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ERCADOS\Desktop\Vrushabh Final Version Petition\"/>
    </mc:Choice>
  </mc:AlternateContent>
  <bookViews>
    <workbookView xWindow="0" yWindow="0" windowWidth="19200" windowHeight="7050" tabRatio="935" activeTab="21"/>
  </bookViews>
  <sheets>
    <sheet name="Index" sheetId="247" r:id="rId1"/>
    <sheet name="Notes" sheetId="160" r:id="rId2"/>
    <sheet name="S1" sheetId="73" r:id="rId3"/>
    <sheet name="S2" sheetId="74" r:id="rId4"/>
    <sheet name="S3" sheetId="75" r:id="rId5"/>
    <sheet name="S4" sheetId="77" r:id="rId6"/>
    <sheet name="F1" sheetId="2" r:id="rId7"/>
    <sheet name="F2" sheetId="78" r:id="rId8"/>
    <sheet name="F3" sheetId="80" r:id="rId9"/>
    <sheet name="F4" sheetId="83" r:id="rId10"/>
    <sheet name="F4A" sheetId="82" r:id="rId11"/>
    <sheet name="F5" sheetId="84" r:id="rId12"/>
    <sheet name="F5A" sheetId="79" r:id="rId13"/>
    <sheet name="F6" sheetId="85" r:id="rId14"/>
    <sheet name="F7" sheetId="86" r:id="rId15"/>
    <sheet name="F7A" sheetId="152" r:id="rId16"/>
    <sheet name="F8" sheetId="157" r:id="rId17"/>
    <sheet name="F9" sheetId="88" r:id="rId18"/>
    <sheet name="F9A" sheetId="90" r:id="rId19"/>
    <sheet name="F10" sheetId="91" r:id="rId20"/>
    <sheet name="F10A" sheetId="92" r:id="rId21"/>
    <sheet name="F10B" sheetId="93" r:id="rId22"/>
    <sheet name="F11" sheetId="96" r:id="rId23"/>
    <sheet name="F11A" sheetId="94" r:id="rId24"/>
    <sheet name="F12" sheetId="95" r:id="rId25"/>
    <sheet name="F13_20 21" sheetId="248" r:id="rId26"/>
    <sheet name="F13_20_21" sheetId="213" state="hidden" r:id="rId27"/>
    <sheet name="F13_21_22" sheetId="250" r:id="rId28"/>
    <sheet name="F13B_20-21_True Up" sheetId="216" state="hidden" r:id="rId29"/>
    <sheet name="F13_22_23" sheetId="251" r:id="rId30"/>
    <sheet name="F13A" sheetId="255" r:id="rId31"/>
    <sheet name="F13B 20 21_TrueUp" sheetId="249" r:id="rId32"/>
    <sheet name="F13B_21_22_APR" sheetId="252" r:id="rId33"/>
    <sheet name="F13B_22_23_ARR" sheetId="253" r:id="rId34"/>
    <sheet name="F13C" sheetId="256" r:id="rId35"/>
    <sheet name="F13D" sheetId="257" r:id="rId36"/>
    <sheet name="F 13E" sheetId="234" r:id="rId37"/>
    <sheet name="F13 F" sheetId="254" r:id="rId38"/>
    <sheet name="F13G_PuVVNL" sheetId="265" r:id="rId39"/>
    <sheet name="F13I" sheetId="258" r:id="rId40"/>
    <sheet name="F13J" sheetId="259" r:id="rId41"/>
    <sheet name="F13K" sheetId="260" r:id="rId42"/>
    <sheet name="DBST FY 2020-21" sheetId="261" state="hidden" r:id="rId43"/>
    <sheet name="DBST FY 2021-22" sheetId="262" r:id="rId44"/>
    <sheet name="DBST FY 2022-23" sheetId="263" r:id="rId45"/>
    <sheet name="F14" sheetId="106" r:id="rId46"/>
    <sheet name="F15" sheetId="105" r:id="rId47"/>
    <sheet name="F16" sheetId="104" r:id="rId48"/>
    <sheet name="F17" sheetId="107" r:id="rId49"/>
    <sheet name="F18" sheetId="111" r:id="rId50"/>
    <sheet name="F19" sheetId="126" r:id="rId51"/>
    <sheet name="F19A" sheetId="128" r:id="rId52"/>
    <sheet name="F19B" sheetId="127" r:id="rId53"/>
    <sheet name="F19C" sheetId="205" r:id="rId54"/>
    <sheet name="F20" sheetId="114" r:id="rId55"/>
    <sheet name="F21" sheetId="115" r:id="rId56"/>
    <sheet name="F21A" sheetId="203" r:id="rId57"/>
    <sheet name="F22" sheetId="116" r:id="rId58"/>
    <sheet name="F23" sheetId="112" r:id="rId59"/>
    <sheet name="F24" sheetId="120" r:id="rId60"/>
    <sheet name="F25" sheetId="29" r:id="rId61"/>
    <sheet name="F26" sheetId="30" r:id="rId62"/>
    <sheet name="F27" sheetId="201" r:id="rId63"/>
    <sheet name="F28" sheetId="202" r:id="rId64"/>
    <sheet name="F29" sheetId="167" r:id="rId65"/>
    <sheet name="F29A" sheetId="65" r:id="rId66"/>
    <sheet name="F29B" sheetId="32" r:id="rId67"/>
    <sheet name="F29C" sheetId="34" r:id="rId68"/>
    <sheet name="F29D" sheetId="61" r:id="rId69"/>
    <sheet name="F29E" sheetId="62" r:id="rId70"/>
    <sheet name="F30" sheetId="204" r:id="rId71"/>
    <sheet name="F30A" sheetId="38" r:id="rId72"/>
    <sheet name="F31" sheetId="172" r:id="rId73"/>
    <sheet name="F32" sheetId="122" r:id="rId74"/>
    <sheet name="F32A" sheetId="123" r:id="rId75"/>
    <sheet name="F33" sheetId="44" r:id="rId76"/>
    <sheet name="F34" sheetId="45" r:id="rId77"/>
    <sheet name="F35" sheetId="46" r:id="rId78"/>
    <sheet name="F36" sheetId="47" r:id="rId79"/>
    <sheet name="F37" sheetId="48" r:id="rId80"/>
    <sheet name="F38" sheetId="67" r:id="rId81"/>
    <sheet name="F39" sheetId="68" r:id="rId82"/>
    <sheet name="F40" sheetId="173" r:id="rId83"/>
    <sheet name="F40A" sheetId="208" r:id="rId84"/>
    <sheet name="F41" sheetId="174" r:id="rId85"/>
    <sheet name="F42" sheetId="175" r:id="rId86"/>
    <sheet name="F43" sheetId="176" r:id="rId87"/>
    <sheet name="F44" sheetId="178" r:id="rId88"/>
    <sheet name="F44A" sheetId="189" r:id="rId89"/>
    <sheet name="F45" sheetId="177" r:id="rId90"/>
    <sheet name="F46" sheetId="180" r:id="rId91"/>
    <sheet name="F47" sheetId="181" r:id="rId92"/>
    <sheet name="F48" sheetId="182" r:id="rId93"/>
    <sheet name="F49" sheetId="183" r:id="rId94"/>
    <sheet name="F50" sheetId="193" r:id="rId95"/>
    <sheet name="F51" sheetId="190" r:id="rId96"/>
    <sheet name="F52" sheetId="191" r:id="rId97"/>
    <sheet name="P1" sheetId="236" r:id="rId98"/>
    <sheet name="P3" sheetId="237" r:id="rId99"/>
    <sheet name="P5" sheetId="238" r:id="rId100"/>
    <sheet name="P6" sheetId="239" r:id="rId101"/>
    <sheet name="P7" sheetId="240" r:id="rId102"/>
    <sheet name="P8" sheetId="241" r:id="rId103"/>
    <sheet name="P9" sheetId="242" r:id="rId104"/>
    <sheet name="P10" sheetId="243" r:id="rId105"/>
    <sheet name="P11" sheetId="244" r:id="rId106"/>
    <sheet name="P13" sheetId="245" r:id="rId107"/>
    <sheet name="P14" sheetId="246"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 localSheetId="43" hidden="1">#REF!</definedName>
    <definedName name="\" localSheetId="44" hidden="1">#REF!</definedName>
    <definedName name="\" localSheetId="36" hidden="1">#REF!</definedName>
    <definedName name="\" localSheetId="25" hidden="1">#REF!</definedName>
    <definedName name="\" localSheetId="26" hidden="1">#REF!</definedName>
    <definedName name="\" localSheetId="27" hidden="1">#REF!</definedName>
    <definedName name="\" localSheetId="29" hidden="1">#REF!</definedName>
    <definedName name="\" localSheetId="30" hidden="1">#REF!</definedName>
    <definedName name="\" localSheetId="31" hidden="1">#REF!</definedName>
    <definedName name="\" localSheetId="28" hidden="1">#REF!</definedName>
    <definedName name="\" localSheetId="32" hidden="1">#REF!</definedName>
    <definedName name="\" localSheetId="33" hidden="1">#REF!</definedName>
    <definedName name="\" localSheetId="34" hidden="1">#REF!</definedName>
    <definedName name="\" localSheetId="35" hidden="1">#REF!</definedName>
    <definedName name="\" localSheetId="56" hidden="1">#REF!</definedName>
    <definedName name="\" localSheetId="83" hidden="1">#REF!</definedName>
    <definedName name="\" localSheetId="90" hidden="1">#REF!</definedName>
    <definedName name="\" localSheetId="91" hidden="1">#REF!</definedName>
    <definedName name="\" hidden="1">#REF!</definedName>
    <definedName name="\B" localSheetId="37">#REF!</definedName>
    <definedName name="\B" localSheetId="83">[1]DLC!$GR$107</definedName>
    <definedName name="\B">[2]DLC!$GR$107</definedName>
    <definedName name="\C" localSheetId="43">#REF!</definedName>
    <definedName name="\C" localSheetId="44">#REF!</definedName>
    <definedName name="\C" localSheetId="36">#REF!</definedName>
    <definedName name="\C" localSheetId="37">#REF!</definedName>
    <definedName name="\C" localSheetId="28">#REF!</definedName>
    <definedName name="\C" localSheetId="83">#REF!</definedName>
    <definedName name="\C">#REF!</definedName>
    <definedName name="\d" localSheetId="43">#REF!</definedName>
    <definedName name="\d" localSheetId="44">#REF!</definedName>
    <definedName name="\d" localSheetId="36">#REF!</definedName>
    <definedName name="\D" localSheetId="37">#REF!</definedName>
    <definedName name="\d" localSheetId="28">#REF!</definedName>
    <definedName name="\d" localSheetId="83">#REF!</definedName>
    <definedName name="\d">#REF!</definedName>
    <definedName name="\e" localSheetId="43" hidden="1">#REF!</definedName>
    <definedName name="\e" localSheetId="44" hidden="1">#REF!</definedName>
    <definedName name="\e" localSheetId="36" hidden="1">#REF!</definedName>
    <definedName name="\E" localSheetId="37">#REF!</definedName>
    <definedName name="\e" localSheetId="25" hidden="1">#REF!</definedName>
    <definedName name="\e" localSheetId="26" hidden="1">#REF!</definedName>
    <definedName name="\e" localSheetId="30" hidden="1">#REF!</definedName>
    <definedName name="\e" localSheetId="28" hidden="1">#REF!</definedName>
    <definedName name="\e" localSheetId="32" hidden="1">#REF!</definedName>
    <definedName name="\e" localSheetId="33" hidden="1">#REF!</definedName>
    <definedName name="\e" localSheetId="83" hidden="1">#REF!</definedName>
    <definedName name="\e" hidden="1">#REF!</definedName>
    <definedName name="\f" localSheetId="43">#REF!</definedName>
    <definedName name="\f" localSheetId="44">#REF!</definedName>
    <definedName name="\f" localSheetId="36">#REF!</definedName>
    <definedName name="\F" localSheetId="37">#REF!</definedName>
    <definedName name="\f" localSheetId="28">#REF!</definedName>
    <definedName name="\f" localSheetId="83">#REF!</definedName>
    <definedName name="\f">#REF!</definedName>
    <definedName name="\g" localSheetId="43">'[3]STN WISE EMR'!#REF!</definedName>
    <definedName name="\g" localSheetId="44">'[3]STN WISE EMR'!#REF!</definedName>
    <definedName name="\g" localSheetId="36">'[3]STN WISE EMR'!#REF!</definedName>
    <definedName name="\G" localSheetId="37">#REF!</definedName>
    <definedName name="\g" localSheetId="28">'[3]STN WISE EMR'!#REF!</definedName>
    <definedName name="\g" localSheetId="83">'[1]STN WISE EMR'!#REF!</definedName>
    <definedName name="\g">'[3]STN WISE EMR'!#REF!</definedName>
    <definedName name="\H" localSheetId="43">'[3]STN WISE EMR'!#REF!</definedName>
    <definedName name="\H" localSheetId="44">'[3]STN WISE EMR'!#REF!</definedName>
    <definedName name="\H" localSheetId="36">'[3]STN WISE EMR'!#REF!</definedName>
    <definedName name="\H" localSheetId="37">#REF!</definedName>
    <definedName name="\H" localSheetId="28">'[3]STN WISE EMR'!#REF!</definedName>
    <definedName name="\H" localSheetId="83">'[1]STN WISE EMR'!#REF!</definedName>
    <definedName name="\H">'[3]STN WISE EMR'!#REF!</definedName>
    <definedName name="\I" localSheetId="43">#REF!</definedName>
    <definedName name="\I" localSheetId="44">#REF!</definedName>
    <definedName name="\I">#REF!</definedName>
    <definedName name="\J" localSheetId="43">#REF!</definedName>
    <definedName name="\J" localSheetId="44">#REF!</definedName>
    <definedName name="\J">#REF!</definedName>
    <definedName name="\K" localSheetId="43">#REF!</definedName>
    <definedName name="\K" localSheetId="44">#REF!</definedName>
    <definedName name="\K">#REF!</definedName>
    <definedName name="\L" localSheetId="37">#REF!</definedName>
    <definedName name="\L" localSheetId="83">[1]DLC!$HR$111</definedName>
    <definedName name="\L">[2]DLC!$HR$111</definedName>
    <definedName name="\M" localSheetId="43">#REF!</definedName>
    <definedName name="\M" localSheetId="44">#REF!</definedName>
    <definedName name="\M">#REF!</definedName>
    <definedName name="\N" localSheetId="43">#REF!</definedName>
    <definedName name="\N" localSheetId="44">#REF!</definedName>
    <definedName name="\N">#REF!</definedName>
    <definedName name="\O" localSheetId="43">#REF!</definedName>
    <definedName name="\O" localSheetId="44">#REF!</definedName>
    <definedName name="\O">#REF!</definedName>
    <definedName name="\P" localSheetId="37">#REF!</definedName>
    <definedName name="\P" localSheetId="83">[1]DLC!$HR$109</definedName>
    <definedName name="\P">[2]DLC!$HR$109</definedName>
    <definedName name="\Q" localSheetId="37">#REF!</definedName>
    <definedName name="\Q" localSheetId="83">[1]DLC!$GS$323:$GS$335</definedName>
    <definedName name="\Q">[2]DLC!$GS$323:$GS$335</definedName>
    <definedName name="\R" localSheetId="43">#REF!</definedName>
    <definedName name="\R" localSheetId="44">#REF!</definedName>
    <definedName name="\R">#REF!</definedName>
    <definedName name="\s" localSheetId="43">#REF!</definedName>
    <definedName name="\s" localSheetId="44">#REF!</definedName>
    <definedName name="\s" localSheetId="36">#REF!</definedName>
    <definedName name="\S" localSheetId="37">#REF!</definedName>
    <definedName name="\s" localSheetId="28">#REF!</definedName>
    <definedName name="\s" localSheetId="83">#REF!</definedName>
    <definedName name="\s">#REF!</definedName>
    <definedName name="\t" localSheetId="43">#REF!</definedName>
    <definedName name="\t" localSheetId="44">#REF!</definedName>
    <definedName name="\t" localSheetId="36">#REF!</definedName>
    <definedName name="\T" localSheetId="37">#REF!</definedName>
    <definedName name="\t" localSheetId="28">#REF!</definedName>
    <definedName name="\t" localSheetId="83">#REF!</definedName>
    <definedName name="\t">#REF!</definedName>
    <definedName name="\U" localSheetId="43">#REF!</definedName>
    <definedName name="\U" localSheetId="44">#REF!</definedName>
    <definedName name="\U">#REF!</definedName>
    <definedName name="\V" localSheetId="43">'[4]R.Hrs. Since Comm'!#REF!</definedName>
    <definedName name="\V" localSheetId="44">'[4]R.Hrs. Since Comm'!#REF!</definedName>
    <definedName name="\V" localSheetId="36">'[4]R.Hrs. Since Comm'!#REF!</definedName>
    <definedName name="\V" localSheetId="37">#REF!</definedName>
    <definedName name="\V" localSheetId="28">'[4]R.Hrs. Since Comm'!#REF!</definedName>
    <definedName name="\V" localSheetId="83">'[1]R.Hrs. Since Comm'!#REF!</definedName>
    <definedName name="\V">'[4]R.Hrs. Since Comm'!#REF!</definedName>
    <definedName name="\w" localSheetId="43">'[4]R.Hrs. Since Comm'!#REF!</definedName>
    <definedName name="\w" localSheetId="44">'[4]R.Hrs. Since Comm'!#REF!</definedName>
    <definedName name="\w" localSheetId="36">'[4]R.Hrs. Since Comm'!#REF!</definedName>
    <definedName name="\W" localSheetId="37">#REF!</definedName>
    <definedName name="\w" localSheetId="28">'[4]R.Hrs. Since Comm'!#REF!</definedName>
    <definedName name="\w" localSheetId="83">'[1]R.Hrs. Since Comm'!#REF!</definedName>
    <definedName name="\w">'[4]R.Hrs. Since Comm'!#REF!</definedName>
    <definedName name="\X" localSheetId="43">#REF!</definedName>
    <definedName name="\X" localSheetId="44">#REF!</definedName>
    <definedName name="\X" localSheetId="36">#REF!</definedName>
    <definedName name="\X" localSheetId="37">#REF!</definedName>
    <definedName name="\X" localSheetId="28">#REF!</definedName>
    <definedName name="\X" localSheetId="83">#REF!</definedName>
    <definedName name="\X">#REF!</definedName>
    <definedName name="\Y" localSheetId="43">#REF!</definedName>
    <definedName name="\Y" localSheetId="44">#REF!</definedName>
    <definedName name="\Y">#REF!</definedName>
    <definedName name="\Z" localSheetId="43">#REF!</definedName>
    <definedName name="\Z" localSheetId="44">#REF!</definedName>
    <definedName name="\Z" localSheetId="36">#REF!</definedName>
    <definedName name="\Z" localSheetId="37">#REF!</definedName>
    <definedName name="\Z" localSheetId="28">#REF!</definedName>
    <definedName name="\Z" localSheetId="83">#REF!</definedName>
    <definedName name="\Z">#REF!</definedName>
    <definedName name="_" localSheetId="43" hidden="1">#REF!</definedName>
    <definedName name="_" localSheetId="44" hidden="1">#REF!</definedName>
    <definedName name="_" localSheetId="36" hidden="1">#REF!</definedName>
    <definedName name="_" localSheetId="25" hidden="1">#REF!</definedName>
    <definedName name="_" localSheetId="26" hidden="1">#REF!</definedName>
    <definedName name="_" localSheetId="30" hidden="1">#REF!</definedName>
    <definedName name="_" localSheetId="28" hidden="1">#REF!</definedName>
    <definedName name="_" localSheetId="32" hidden="1">#REF!</definedName>
    <definedName name="_" localSheetId="33" hidden="1">#REF!</definedName>
    <definedName name="_" localSheetId="83" hidden="1">#REF!</definedName>
    <definedName name="_" hidden="1">#REF!</definedName>
    <definedName name="_____________________________________SCH6" localSheetId="43">'[5]04REL'!#REF!</definedName>
    <definedName name="_____________________________________SCH6" localSheetId="44">'[5]04REL'!#REF!</definedName>
    <definedName name="_____________________________________SCH6" localSheetId="36">'[6]04REL'!#REF!</definedName>
    <definedName name="_____________________________________SCH6" localSheetId="28">'[5]04REL'!#REF!</definedName>
    <definedName name="_____________________________________SCH6" localSheetId="56">'[6]04REL'!#REF!</definedName>
    <definedName name="_____________________________________SCH6" localSheetId="83">'[1]04REL'!#REF!</definedName>
    <definedName name="_____________________________________SCH6" localSheetId="90">'[6]04REL'!#REF!</definedName>
    <definedName name="_____________________________________SCH6" localSheetId="91">'[6]04REL'!#REF!</definedName>
    <definedName name="_____________________________________SCH6" localSheetId="94">'[6]04REL'!#REF!</definedName>
    <definedName name="_____________________________________SCH6">'[7]04REL'!#REF!</definedName>
    <definedName name="____________________________________SCH6" localSheetId="43">'[5]04REL'!#REF!</definedName>
    <definedName name="____________________________________SCH6" localSheetId="44">'[5]04REL'!#REF!</definedName>
    <definedName name="____________________________________SCH6" localSheetId="36">'[6]04REL'!#REF!</definedName>
    <definedName name="____________________________________SCH6" localSheetId="28">'[5]04REL'!#REF!</definedName>
    <definedName name="____________________________________SCH6" localSheetId="56">'[6]04REL'!#REF!</definedName>
    <definedName name="____________________________________SCH6" localSheetId="83">'[1]04REL'!#REF!</definedName>
    <definedName name="____________________________________SCH6" localSheetId="90">'[6]04REL'!#REF!</definedName>
    <definedName name="____________________________________SCH6" localSheetId="91">'[6]04REL'!#REF!</definedName>
    <definedName name="____________________________________SCH6" localSheetId="94">'[6]04REL'!#REF!</definedName>
    <definedName name="____________________________________SCH6">'[7]04REL'!#REF!</definedName>
    <definedName name="___________________________________SCH6" localSheetId="43">'[5]04REL'!#REF!</definedName>
    <definedName name="___________________________________SCH6" localSheetId="44">'[5]04REL'!#REF!</definedName>
    <definedName name="___________________________________SCH6" localSheetId="36">'[6]04REL'!#REF!</definedName>
    <definedName name="___________________________________SCH6" localSheetId="28">'[5]04REL'!#REF!</definedName>
    <definedName name="___________________________________SCH6" localSheetId="56">'[6]04REL'!#REF!</definedName>
    <definedName name="___________________________________SCH6" localSheetId="83">'[1]04REL'!#REF!</definedName>
    <definedName name="___________________________________SCH6" localSheetId="90">'[6]04REL'!#REF!</definedName>
    <definedName name="___________________________________SCH6" localSheetId="91">'[6]04REL'!#REF!</definedName>
    <definedName name="___________________________________SCH6" localSheetId="94">'[6]04REL'!#REF!</definedName>
    <definedName name="___________________________________SCH6">'[7]04REL'!#REF!</definedName>
    <definedName name="__________________________________SCH6" localSheetId="43">'[5]04REL'!#REF!</definedName>
    <definedName name="__________________________________SCH6" localSheetId="44">'[5]04REL'!#REF!</definedName>
    <definedName name="__________________________________SCH6" localSheetId="36">'[6]04REL'!#REF!</definedName>
    <definedName name="__________________________________SCH6" localSheetId="28">'[5]04REL'!#REF!</definedName>
    <definedName name="__________________________________SCH6" localSheetId="56">'[6]04REL'!#REF!</definedName>
    <definedName name="__________________________________SCH6" localSheetId="83">'[1]04REL'!#REF!</definedName>
    <definedName name="__________________________________SCH6" localSheetId="90">'[6]04REL'!#REF!</definedName>
    <definedName name="__________________________________SCH6" localSheetId="91">'[6]04REL'!#REF!</definedName>
    <definedName name="__________________________________SCH6" localSheetId="94">'[6]04REL'!#REF!</definedName>
    <definedName name="__________________________________SCH6">'[7]04REL'!#REF!</definedName>
    <definedName name="_________________________________SCH6" localSheetId="43">'[5]04REL'!#REF!</definedName>
    <definedName name="_________________________________SCH6" localSheetId="44">'[5]04REL'!#REF!</definedName>
    <definedName name="_________________________________SCH6" localSheetId="36">'[6]04REL'!#REF!</definedName>
    <definedName name="_________________________________SCH6" localSheetId="28">'[5]04REL'!#REF!</definedName>
    <definedName name="_________________________________SCH6" localSheetId="56">'[6]04REL'!#REF!</definedName>
    <definedName name="_________________________________SCH6" localSheetId="83">'[1]04REL'!#REF!</definedName>
    <definedName name="_________________________________SCH6" localSheetId="90">'[6]04REL'!#REF!</definedName>
    <definedName name="_________________________________SCH6" localSheetId="91">'[6]04REL'!#REF!</definedName>
    <definedName name="_________________________________SCH6" localSheetId="94">'[6]04REL'!#REF!</definedName>
    <definedName name="_________________________________SCH6">'[7]04REL'!#REF!</definedName>
    <definedName name="________________________________SCH6" localSheetId="43">'[5]04REL'!#REF!</definedName>
    <definedName name="________________________________SCH6" localSheetId="44">'[5]04REL'!#REF!</definedName>
    <definedName name="________________________________SCH6" localSheetId="36">'[6]04REL'!#REF!</definedName>
    <definedName name="________________________________SCH6" localSheetId="28">'[5]04REL'!#REF!</definedName>
    <definedName name="________________________________SCH6" localSheetId="56">'[6]04REL'!#REF!</definedName>
    <definedName name="________________________________SCH6" localSheetId="83">'[1]04REL'!#REF!</definedName>
    <definedName name="________________________________SCH6" localSheetId="90">'[6]04REL'!#REF!</definedName>
    <definedName name="________________________________SCH6" localSheetId="91">'[6]04REL'!#REF!</definedName>
    <definedName name="________________________________SCH6" localSheetId="94">'[6]04REL'!#REF!</definedName>
    <definedName name="________________________________SCH6">'[7]04REL'!#REF!</definedName>
    <definedName name="_______________________________SCH6" localSheetId="43">'[5]04REL'!#REF!</definedName>
    <definedName name="_______________________________SCH6" localSheetId="44">'[5]04REL'!#REF!</definedName>
    <definedName name="_______________________________SCH6" localSheetId="36">'[6]04REL'!#REF!</definedName>
    <definedName name="_______________________________SCH6" localSheetId="28">'[5]04REL'!#REF!</definedName>
    <definedName name="_______________________________SCH6" localSheetId="56">'[6]04REL'!#REF!</definedName>
    <definedName name="_______________________________SCH6" localSheetId="83">'[1]04REL'!#REF!</definedName>
    <definedName name="_______________________________SCH6" localSheetId="90">'[6]04REL'!#REF!</definedName>
    <definedName name="_______________________________SCH6" localSheetId="91">'[6]04REL'!#REF!</definedName>
    <definedName name="_______________________________SCH6" localSheetId="94">'[6]04REL'!#REF!</definedName>
    <definedName name="_______________________________SCH6">'[7]04REL'!#REF!</definedName>
    <definedName name="______________________________SCH6" localSheetId="43">'[5]04REL'!#REF!</definedName>
    <definedName name="______________________________SCH6" localSheetId="44">'[5]04REL'!#REF!</definedName>
    <definedName name="______________________________SCH6" localSheetId="36">'[6]04REL'!#REF!</definedName>
    <definedName name="______________________________SCH6" localSheetId="28">'[5]04REL'!#REF!</definedName>
    <definedName name="______________________________SCH6" localSheetId="56">'[6]04REL'!#REF!</definedName>
    <definedName name="______________________________SCH6" localSheetId="83">'[1]04REL'!#REF!</definedName>
    <definedName name="______________________________SCH6" localSheetId="90">'[6]04REL'!#REF!</definedName>
    <definedName name="______________________________SCH6" localSheetId="91">'[6]04REL'!#REF!</definedName>
    <definedName name="______________________________SCH6" localSheetId="94">'[6]04REL'!#REF!</definedName>
    <definedName name="______________________________SCH6">'[7]04REL'!#REF!</definedName>
    <definedName name="_____________________________SCH6" localSheetId="43">'[5]04REL'!#REF!</definedName>
    <definedName name="_____________________________SCH6" localSheetId="44">'[5]04REL'!#REF!</definedName>
    <definedName name="_____________________________SCH6" localSheetId="36">'[6]04REL'!#REF!</definedName>
    <definedName name="_____________________________SCH6" localSheetId="28">'[5]04REL'!#REF!</definedName>
    <definedName name="_____________________________SCH6" localSheetId="56">'[6]04REL'!#REF!</definedName>
    <definedName name="_____________________________SCH6" localSheetId="83">'[1]04REL'!#REF!</definedName>
    <definedName name="_____________________________SCH6" localSheetId="90">'[6]04REL'!#REF!</definedName>
    <definedName name="_____________________________SCH6" localSheetId="91">'[6]04REL'!#REF!</definedName>
    <definedName name="_____________________________SCH6" localSheetId="94">'[6]04REL'!#REF!</definedName>
    <definedName name="_____________________________SCH6">'[7]04REL'!#REF!</definedName>
    <definedName name="____________________________SCH6" localSheetId="43">'[5]04REL'!#REF!</definedName>
    <definedName name="____________________________SCH6" localSheetId="44">'[5]04REL'!#REF!</definedName>
    <definedName name="____________________________SCH6" localSheetId="36">'[6]04REL'!#REF!</definedName>
    <definedName name="____________________________SCH6" localSheetId="28">'[5]04REL'!#REF!</definedName>
    <definedName name="____________________________SCH6" localSheetId="56">'[6]04REL'!#REF!</definedName>
    <definedName name="____________________________SCH6" localSheetId="83">'[1]04REL'!#REF!</definedName>
    <definedName name="____________________________SCH6" localSheetId="90">'[6]04REL'!#REF!</definedName>
    <definedName name="____________________________SCH6" localSheetId="91">'[6]04REL'!#REF!</definedName>
    <definedName name="____________________________SCH6" localSheetId="94">'[6]04REL'!#REF!</definedName>
    <definedName name="____________________________SCH6">'[7]04REL'!#REF!</definedName>
    <definedName name="________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_SCH6" localSheetId="43">'[5]04REL'!#REF!</definedName>
    <definedName name="___________________________SCH6" localSheetId="44">'[5]04REL'!#REF!</definedName>
    <definedName name="___________________________SCH6" localSheetId="36">'[6]04REL'!#REF!</definedName>
    <definedName name="___________________________SCH6" localSheetId="28">'[5]04REL'!#REF!</definedName>
    <definedName name="___________________________SCH6" localSheetId="56">'[6]04REL'!#REF!</definedName>
    <definedName name="___________________________SCH6" localSheetId="83">'[1]04REL'!#REF!</definedName>
    <definedName name="___________________________SCH6" localSheetId="90">'[6]04REL'!#REF!</definedName>
    <definedName name="___________________________SCH6" localSheetId="91">'[6]04REL'!#REF!</definedName>
    <definedName name="___________________________SCH6" localSheetId="94">'[6]04REL'!#REF!</definedName>
    <definedName name="___________________________SCH6">'[7]04REL'!#REF!</definedName>
    <definedName name="_________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SCH6" localSheetId="43">'[5]04REL'!#REF!</definedName>
    <definedName name="__________________________SCH6" localSheetId="44">'[5]04REL'!#REF!</definedName>
    <definedName name="__________________________SCH6" localSheetId="36">'[6]04REL'!#REF!</definedName>
    <definedName name="__________________________SCH6" localSheetId="28">'[5]04REL'!#REF!</definedName>
    <definedName name="__________________________SCH6" localSheetId="56">'[6]04REL'!#REF!</definedName>
    <definedName name="__________________________SCH6" localSheetId="83">'[1]04REL'!#REF!</definedName>
    <definedName name="__________________________SCH6" localSheetId="90">'[6]04REL'!#REF!</definedName>
    <definedName name="__________________________SCH6" localSheetId="91">'[6]04REL'!#REF!</definedName>
    <definedName name="__________________________SCH6" localSheetId="94">'[6]04REL'!#REF!</definedName>
    <definedName name="__________________________SCH6">'[7]04REL'!#REF!</definedName>
    <definedName name="________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SCH6" localSheetId="43">'[5]04REL'!#REF!</definedName>
    <definedName name="_________________________SCH6" localSheetId="44">'[5]04REL'!#REF!</definedName>
    <definedName name="_________________________SCH6" localSheetId="36">'[6]04REL'!#REF!</definedName>
    <definedName name="_________________________SCH6" localSheetId="28">'[5]04REL'!#REF!</definedName>
    <definedName name="_________________________SCH6" localSheetId="56">'[6]04REL'!#REF!</definedName>
    <definedName name="_________________________SCH6" localSheetId="83">'[1]04REL'!#REF!</definedName>
    <definedName name="_________________________SCH6" localSheetId="90">'[6]04REL'!#REF!</definedName>
    <definedName name="_________________________SCH6" localSheetId="91">'[6]04REL'!#REF!</definedName>
    <definedName name="_________________________SCH6" localSheetId="94">'[6]04REL'!#REF!</definedName>
    <definedName name="_________________________SCH6">'[7]04REL'!#REF!</definedName>
    <definedName name="_______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SCH6" localSheetId="43">'[5]04REL'!#REF!</definedName>
    <definedName name="________________________SCH6" localSheetId="44">'[5]04REL'!#REF!</definedName>
    <definedName name="________________________SCH6" localSheetId="36">'[6]04REL'!#REF!</definedName>
    <definedName name="________________________SCH6" localSheetId="28">'[5]04REL'!#REF!</definedName>
    <definedName name="________________________SCH6" localSheetId="56">'[6]04REL'!#REF!</definedName>
    <definedName name="________________________SCH6" localSheetId="83">'[1]04REL'!#REF!</definedName>
    <definedName name="________________________SCH6" localSheetId="90">'[6]04REL'!#REF!</definedName>
    <definedName name="________________________SCH6" localSheetId="91">'[6]04REL'!#REF!</definedName>
    <definedName name="________________________SCH6" localSheetId="94">'[6]04REL'!#REF!</definedName>
    <definedName name="________________________SCH6">'[7]04REL'!#REF!</definedName>
    <definedName name="______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SCH6" localSheetId="43">'[5]04REL'!#REF!</definedName>
    <definedName name="_______________________SCH6" localSheetId="44">'[5]04REL'!#REF!</definedName>
    <definedName name="_______________________SCH6" localSheetId="36">'[6]04REL'!#REF!</definedName>
    <definedName name="_______________________SCH6" localSheetId="28">'[5]04REL'!#REF!</definedName>
    <definedName name="_______________________SCH6" localSheetId="56">'[6]04REL'!#REF!</definedName>
    <definedName name="_______________________SCH6" localSheetId="83">'[1]04REL'!#REF!</definedName>
    <definedName name="_______________________SCH6" localSheetId="90">'[6]04REL'!#REF!</definedName>
    <definedName name="_______________________SCH6" localSheetId="91">'[6]04REL'!#REF!</definedName>
    <definedName name="_______________________SCH6" localSheetId="94">'[6]04REL'!#REF!</definedName>
    <definedName name="_______________________SCH6">'[7]04REL'!#REF!</definedName>
    <definedName name="______________________SCH6" localSheetId="43">'[5]04REL'!#REF!</definedName>
    <definedName name="______________________SCH6" localSheetId="44">'[5]04REL'!#REF!</definedName>
    <definedName name="______________________SCH6" localSheetId="36">'[6]04REL'!#REF!</definedName>
    <definedName name="______________________SCH6" localSheetId="28">'[5]04REL'!#REF!</definedName>
    <definedName name="______________________SCH6" localSheetId="56">'[6]04REL'!#REF!</definedName>
    <definedName name="______________________SCH6" localSheetId="83">'[1]04REL'!#REF!</definedName>
    <definedName name="______________________SCH6" localSheetId="90">'[6]04REL'!#REF!</definedName>
    <definedName name="______________________SCH6" localSheetId="91">'[6]04REL'!#REF!</definedName>
    <definedName name="______________________SCH6" localSheetId="94">'[6]04REL'!#REF!</definedName>
    <definedName name="______________________SCH6">'[7]04REL'!#REF!</definedName>
    <definedName name="_____________________a65565" localSheetId="43">#REF!</definedName>
    <definedName name="_____________________a65565" localSheetId="44">#REF!</definedName>
    <definedName name="_____________________a65565">#REF!</definedName>
    <definedName name="__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SCH6" localSheetId="43">'[5]04REL'!#REF!</definedName>
    <definedName name="_____________________SCH6" localSheetId="44">'[5]04REL'!#REF!</definedName>
    <definedName name="_____________________SCH6" localSheetId="36">'[6]04REL'!#REF!</definedName>
    <definedName name="_____________________SCH6" localSheetId="28">'[5]04REL'!#REF!</definedName>
    <definedName name="_____________________SCH6" localSheetId="56">'[6]04REL'!#REF!</definedName>
    <definedName name="_____________________SCH6" localSheetId="83">'[1]04REL'!#REF!</definedName>
    <definedName name="_____________________SCH6" localSheetId="90">'[6]04REL'!#REF!</definedName>
    <definedName name="_____________________SCH6" localSheetId="91">'[6]04REL'!#REF!</definedName>
    <definedName name="_____________________SCH6" localSheetId="94">'[6]04REL'!#REF!</definedName>
    <definedName name="_____________________SCH6">'[7]04REL'!#REF!</definedName>
    <definedName name="____________________a65565" localSheetId="43">#REF!</definedName>
    <definedName name="____________________a65565" localSheetId="44">#REF!</definedName>
    <definedName name="____________________a65565">#REF!</definedName>
    <definedName name="____________________BSD1" localSheetId="43">#REF!</definedName>
    <definedName name="____________________BSD1" localSheetId="44">#REF!</definedName>
    <definedName name="____________________BSD1">#REF!</definedName>
    <definedName name="____________________BSD2" localSheetId="43">#REF!</definedName>
    <definedName name="____________________BSD2" localSheetId="44">#REF!</definedName>
    <definedName name="____________________BSD2">#REF!</definedName>
    <definedName name="____________________IED1" localSheetId="43">#REF!</definedName>
    <definedName name="____________________IED1" localSheetId="44">#REF!</definedName>
    <definedName name="____________________IED1">#REF!</definedName>
    <definedName name="____________________IED2" localSheetId="43">#REF!</definedName>
    <definedName name="____________________IED2" localSheetId="44">#REF!</definedName>
    <definedName name="____________________IED2">#REF!</definedName>
    <definedName name="_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a65565" localSheetId="43">#REF!</definedName>
    <definedName name="___________________a65565" localSheetId="44">#REF!</definedName>
    <definedName name="___________________a65565">#REF!</definedName>
    <definedName name="__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BSD1" localSheetId="43">#REF!</definedName>
    <definedName name="___________________BSD1" localSheetId="44">#REF!</definedName>
    <definedName name="___________________BSD1">#REF!</definedName>
    <definedName name="___________________BSD2" localSheetId="43">#REF!</definedName>
    <definedName name="___________________BSD2" localSheetId="44">#REF!</definedName>
    <definedName name="___________________BSD2">#REF!</definedName>
    <definedName name="___________________IED1" localSheetId="43">#REF!</definedName>
    <definedName name="___________________IED1" localSheetId="44">#REF!</definedName>
    <definedName name="___________________IED1">#REF!</definedName>
    <definedName name="___________________IED2" localSheetId="43">#REF!</definedName>
    <definedName name="___________________IED2" localSheetId="44">#REF!</definedName>
    <definedName name="___________________IED2">#REF!</definedName>
    <definedName name="_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NCS111">'[8]Schedule-1'!$B$1:$J$1</definedName>
    <definedName name="___________________SCH6" localSheetId="43">'[5]04REL'!#REF!</definedName>
    <definedName name="___________________SCH6" localSheetId="44">'[5]04REL'!#REF!</definedName>
    <definedName name="___________________SCH6" localSheetId="36">'[6]04REL'!#REF!</definedName>
    <definedName name="___________________SCH6" localSheetId="28">'[5]04REL'!#REF!</definedName>
    <definedName name="___________________SCH6" localSheetId="56">'[6]04REL'!#REF!</definedName>
    <definedName name="___________________SCH6" localSheetId="83">'[1]04REL'!#REF!</definedName>
    <definedName name="___________________SCH6" localSheetId="90">'[6]04REL'!#REF!</definedName>
    <definedName name="___________________SCH6" localSheetId="91">'[6]04REL'!#REF!</definedName>
    <definedName name="___________________SCH6" localSheetId="94">'[6]04REL'!#REF!</definedName>
    <definedName name="___________________SCH6">'[7]04REL'!#REF!</definedName>
    <definedName name="__________________a65565" localSheetId="43">#REF!</definedName>
    <definedName name="__________________a65565" localSheetId="44">#REF!</definedName>
    <definedName name="__________________a65565">#REF!</definedName>
    <definedName name="_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BSD1" localSheetId="43">#REF!</definedName>
    <definedName name="__________________BSD1" localSheetId="44">#REF!</definedName>
    <definedName name="__________________BSD1">#REF!</definedName>
    <definedName name="__________________BSD2" localSheetId="43">#REF!</definedName>
    <definedName name="__________________BSD2" localSheetId="44">#REF!</definedName>
    <definedName name="__________________BSD2">#REF!</definedName>
    <definedName name="__________________IED1" localSheetId="43">#REF!</definedName>
    <definedName name="__________________IED1" localSheetId="44">#REF!</definedName>
    <definedName name="__________________IED1">#REF!</definedName>
    <definedName name="__________________IED2" localSheetId="43">#REF!</definedName>
    <definedName name="__________________IED2" localSheetId="44">#REF!</definedName>
    <definedName name="__________________IED2">#REF!</definedName>
    <definedName name="_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NCS111">'[8]Schedule-1'!$B$1:$J$1</definedName>
    <definedName name="__________________SCH6" localSheetId="43">'[5]04REL'!#REF!</definedName>
    <definedName name="__________________SCH6" localSheetId="44">'[5]04REL'!#REF!</definedName>
    <definedName name="__________________SCH6" localSheetId="36">'[6]04REL'!#REF!</definedName>
    <definedName name="__________________SCH6" localSheetId="28">'[5]04REL'!#REF!</definedName>
    <definedName name="__________________SCH6" localSheetId="56">'[6]04REL'!#REF!</definedName>
    <definedName name="__________________SCH6" localSheetId="83">'[1]04REL'!#REF!</definedName>
    <definedName name="__________________SCH6" localSheetId="90">'[6]04REL'!#REF!</definedName>
    <definedName name="__________________SCH6" localSheetId="91">'[6]04REL'!#REF!</definedName>
    <definedName name="__________________SCH6" localSheetId="94">'[6]04REL'!#REF!</definedName>
    <definedName name="__________________SCH6">'[7]04REL'!#REF!</definedName>
    <definedName name="_________________a65565" localSheetId="43">#REF!</definedName>
    <definedName name="_________________a65565" localSheetId="44">#REF!</definedName>
    <definedName name="_________________a65565">#REF!</definedName>
    <definedName name="_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BSD1" localSheetId="43">#REF!</definedName>
    <definedName name="_________________BSD1" localSheetId="44">#REF!</definedName>
    <definedName name="_________________BSD1">#REF!</definedName>
    <definedName name="_________________BSD2" localSheetId="43">#REF!</definedName>
    <definedName name="_________________BSD2" localSheetId="44">#REF!</definedName>
    <definedName name="_________________BSD2">#REF!</definedName>
    <definedName name="_________________IED1" localSheetId="43">#REF!</definedName>
    <definedName name="_________________IED1" localSheetId="44">#REF!</definedName>
    <definedName name="_________________IED1">#REF!</definedName>
    <definedName name="_________________IED2" localSheetId="43">#REF!</definedName>
    <definedName name="_________________IED2" localSheetId="44">#REF!</definedName>
    <definedName name="_________________IED2">#REF!</definedName>
    <definedName name="_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NCS111">'[8]Schedule-1'!$B$1:$J$1</definedName>
    <definedName name="_________________SCH6" localSheetId="43">'[5]04REL'!#REF!</definedName>
    <definedName name="_________________SCH6" localSheetId="44">'[5]04REL'!#REF!</definedName>
    <definedName name="_________________SCH6" localSheetId="36">'[6]04REL'!#REF!</definedName>
    <definedName name="_________________SCH6" localSheetId="37">'[9]04REL'!#REF!</definedName>
    <definedName name="_________________SCH6" localSheetId="28">'[5]04REL'!#REF!</definedName>
    <definedName name="_________________SCH6" localSheetId="56">'[6]04REL'!#REF!</definedName>
    <definedName name="_________________SCH6" localSheetId="83">'[1]04REL'!#REF!</definedName>
    <definedName name="_________________SCH6" localSheetId="90">'[6]04REL'!#REF!</definedName>
    <definedName name="_________________SCH6" localSheetId="91">'[6]04REL'!#REF!</definedName>
    <definedName name="_________________SCH6" localSheetId="94">'[6]04REL'!#REF!</definedName>
    <definedName name="_________________SCH6">'[7]04REL'!#REF!</definedName>
    <definedName name="________________a65565" localSheetId="43">#REF!</definedName>
    <definedName name="________________a65565" localSheetId="44">#REF!</definedName>
    <definedName name="________________a65565">#REF!</definedName>
    <definedName name="________________Apr02" localSheetId="43">[10]Newabstract!#REF!</definedName>
    <definedName name="________________Apr02" localSheetId="44">[10]Newabstract!#REF!</definedName>
    <definedName name="________________Apr02" localSheetId="36">[10]Newabstract!#REF!</definedName>
    <definedName name="________________Apr02" localSheetId="28">[10]Newabstract!#REF!</definedName>
    <definedName name="________________Apr02" localSheetId="83">[1]Newabstract!#REF!</definedName>
    <definedName name="________________Apr02">[10]Newabstract!#REF!</definedName>
    <definedName name="________________Apr03" localSheetId="43">[10]Newabstract!#REF!</definedName>
    <definedName name="________________Apr03" localSheetId="44">[10]Newabstract!#REF!</definedName>
    <definedName name="________________Apr03" localSheetId="36">[10]Newabstract!#REF!</definedName>
    <definedName name="________________Apr03" localSheetId="28">[10]Newabstract!#REF!</definedName>
    <definedName name="________________Apr03" localSheetId="83">[1]Newabstract!#REF!</definedName>
    <definedName name="________________Apr03">[10]Newabstract!#REF!</definedName>
    <definedName name="________________Apr04" localSheetId="43">[10]Newabstract!#REF!</definedName>
    <definedName name="________________Apr04" localSheetId="44">[10]Newabstract!#REF!</definedName>
    <definedName name="________________Apr04" localSheetId="36">[10]Newabstract!#REF!</definedName>
    <definedName name="________________Apr04" localSheetId="28">[10]Newabstract!#REF!</definedName>
    <definedName name="________________Apr04" localSheetId="83">[1]Newabstract!#REF!</definedName>
    <definedName name="________________Apr04">[10]Newabstract!#REF!</definedName>
    <definedName name="________________Apr05" localSheetId="43">[10]Newabstract!#REF!</definedName>
    <definedName name="________________Apr05" localSheetId="44">[10]Newabstract!#REF!</definedName>
    <definedName name="________________Apr05" localSheetId="36">[10]Newabstract!#REF!</definedName>
    <definedName name="________________Apr05" localSheetId="28">[10]Newabstract!#REF!</definedName>
    <definedName name="________________Apr05" localSheetId="83">[1]Newabstract!#REF!</definedName>
    <definedName name="________________Apr05">[10]Newabstract!#REF!</definedName>
    <definedName name="________________Apr06" localSheetId="43">[10]Newabstract!#REF!</definedName>
    <definedName name="________________Apr06" localSheetId="44">[10]Newabstract!#REF!</definedName>
    <definedName name="________________Apr06" localSheetId="36">[10]Newabstract!#REF!</definedName>
    <definedName name="________________Apr06" localSheetId="28">[10]Newabstract!#REF!</definedName>
    <definedName name="________________Apr06" localSheetId="83">[1]Newabstract!#REF!</definedName>
    <definedName name="________________Apr06">[10]Newabstract!#REF!</definedName>
    <definedName name="________________Apr07" localSheetId="43">[10]Newabstract!#REF!</definedName>
    <definedName name="________________Apr07" localSheetId="44">[10]Newabstract!#REF!</definedName>
    <definedName name="________________Apr07" localSheetId="36">[10]Newabstract!#REF!</definedName>
    <definedName name="________________Apr07" localSheetId="28">[10]Newabstract!#REF!</definedName>
    <definedName name="________________Apr07" localSheetId="83">[1]Newabstract!#REF!</definedName>
    <definedName name="________________Apr07">[10]Newabstract!#REF!</definedName>
    <definedName name="________________Apr08" localSheetId="43">[10]Newabstract!#REF!</definedName>
    <definedName name="________________Apr08" localSheetId="44">[10]Newabstract!#REF!</definedName>
    <definedName name="________________Apr08" localSheetId="36">[10]Newabstract!#REF!</definedName>
    <definedName name="________________Apr08" localSheetId="28">[10]Newabstract!#REF!</definedName>
    <definedName name="________________Apr08" localSheetId="83">[1]Newabstract!#REF!</definedName>
    <definedName name="________________Apr08">[10]Newabstract!#REF!</definedName>
    <definedName name="________________Apr09" localSheetId="43">[10]Newabstract!#REF!</definedName>
    <definedName name="________________Apr09" localSheetId="44">[10]Newabstract!#REF!</definedName>
    <definedName name="________________Apr09" localSheetId="36">[10]Newabstract!#REF!</definedName>
    <definedName name="________________Apr09" localSheetId="28">[10]Newabstract!#REF!</definedName>
    <definedName name="________________Apr09" localSheetId="83">[1]Newabstract!#REF!</definedName>
    <definedName name="________________Apr09">[10]Newabstract!#REF!</definedName>
    <definedName name="________________Apr10" localSheetId="43">[10]Newabstract!#REF!</definedName>
    <definedName name="________________Apr10" localSheetId="44">[10]Newabstract!#REF!</definedName>
    <definedName name="________________Apr10" localSheetId="36">[10]Newabstract!#REF!</definedName>
    <definedName name="________________Apr10" localSheetId="28">[10]Newabstract!#REF!</definedName>
    <definedName name="________________Apr10" localSheetId="83">[1]Newabstract!#REF!</definedName>
    <definedName name="________________Apr10">[10]Newabstract!#REF!</definedName>
    <definedName name="________________Apr11" localSheetId="43">[10]Newabstract!#REF!</definedName>
    <definedName name="________________Apr11" localSheetId="44">[10]Newabstract!#REF!</definedName>
    <definedName name="________________Apr11" localSheetId="36">[10]Newabstract!#REF!</definedName>
    <definedName name="________________Apr11" localSheetId="28">[10]Newabstract!#REF!</definedName>
    <definedName name="________________Apr11" localSheetId="83">[1]Newabstract!#REF!</definedName>
    <definedName name="________________Apr11">[10]Newabstract!#REF!</definedName>
    <definedName name="________________Apr13" localSheetId="43">[10]Newabstract!#REF!</definedName>
    <definedName name="________________Apr13" localSheetId="44">[10]Newabstract!#REF!</definedName>
    <definedName name="________________Apr13" localSheetId="36">[10]Newabstract!#REF!</definedName>
    <definedName name="________________Apr13" localSheetId="28">[10]Newabstract!#REF!</definedName>
    <definedName name="________________Apr13" localSheetId="83">[1]Newabstract!#REF!</definedName>
    <definedName name="________________Apr13">[10]Newabstract!#REF!</definedName>
    <definedName name="________________Apr14" localSheetId="43">[10]Newabstract!#REF!</definedName>
    <definedName name="________________Apr14" localSheetId="44">[10]Newabstract!#REF!</definedName>
    <definedName name="________________Apr14" localSheetId="36">[10]Newabstract!#REF!</definedName>
    <definedName name="________________Apr14" localSheetId="28">[10]Newabstract!#REF!</definedName>
    <definedName name="________________Apr14" localSheetId="83">[1]Newabstract!#REF!</definedName>
    <definedName name="________________Apr14">[10]Newabstract!#REF!</definedName>
    <definedName name="________________Apr15" localSheetId="43">[10]Newabstract!#REF!</definedName>
    <definedName name="________________Apr15" localSheetId="44">[10]Newabstract!#REF!</definedName>
    <definedName name="________________Apr15" localSheetId="36">[10]Newabstract!#REF!</definedName>
    <definedName name="________________Apr15" localSheetId="28">[10]Newabstract!#REF!</definedName>
    <definedName name="________________Apr15" localSheetId="83">[1]Newabstract!#REF!</definedName>
    <definedName name="________________Apr15">[10]Newabstract!#REF!</definedName>
    <definedName name="________________Apr16" localSheetId="43">[10]Newabstract!#REF!</definedName>
    <definedName name="________________Apr16" localSheetId="44">[10]Newabstract!#REF!</definedName>
    <definedName name="________________Apr16" localSheetId="36">[10]Newabstract!#REF!</definedName>
    <definedName name="________________Apr16" localSheetId="28">[10]Newabstract!#REF!</definedName>
    <definedName name="________________Apr16" localSheetId="83">[1]Newabstract!#REF!</definedName>
    <definedName name="________________Apr16">[10]Newabstract!#REF!</definedName>
    <definedName name="________________Apr17" localSheetId="43">[10]Newabstract!#REF!</definedName>
    <definedName name="________________Apr17" localSheetId="44">[10]Newabstract!#REF!</definedName>
    <definedName name="________________Apr17" localSheetId="36">[10]Newabstract!#REF!</definedName>
    <definedName name="________________Apr17" localSheetId="28">[10]Newabstract!#REF!</definedName>
    <definedName name="________________Apr17" localSheetId="83">[1]Newabstract!#REF!</definedName>
    <definedName name="________________Apr17">[10]Newabstract!#REF!</definedName>
    <definedName name="________________Apr20" localSheetId="43">[10]Newabstract!#REF!</definedName>
    <definedName name="________________Apr20" localSheetId="44">[10]Newabstract!#REF!</definedName>
    <definedName name="________________Apr20" localSheetId="36">[10]Newabstract!#REF!</definedName>
    <definedName name="________________Apr20" localSheetId="28">[10]Newabstract!#REF!</definedName>
    <definedName name="________________Apr20" localSheetId="83">[1]Newabstract!#REF!</definedName>
    <definedName name="________________Apr20">[10]Newabstract!#REF!</definedName>
    <definedName name="________________Apr21" localSheetId="43">[10]Newabstract!#REF!</definedName>
    <definedName name="________________Apr21" localSheetId="44">[10]Newabstract!#REF!</definedName>
    <definedName name="________________Apr21" localSheetId="36">[10]Newabstract!#REF!</definedName>
    <definedName name="________________Apr21" localSheetId="28">[10]Newabstract!#REF!</definedName>
    <definedName name="________________Apr21" localSheetId="83">[1]Newabstract!#REF!</definedName>
    <definedName name="________________Apr21">[10]Newabstract!#REF!</definedName>
    <definedName name="________________Apr22" localSheetId="43">[10]Newabstract!#REF!</definedName>
    <definedName name="________________Apr22" localSheetId="44">[10]Newabstract!#REF!</definedName>
    <definedName name="________________Apr22" localSheetId="36">[10]Newabstract!#REF!</definedName>
    <definedName name="________________Apr22" localSheetId="28">[10]Newabstract!#REF!</definedName>
    <definedName name="________________Apr22" localSheetId="83">[1]Newabstract!#REF!</definedName>
    <definedName name="________________Apr22">[10]Newabstract!#REF!</definedName>
    <definedName name="________________Apr23" localSheetId="43">[10]Newabstract!#REF!</definedName>
    <definedName name="________________Apr23" localSheetId="44">[10]Newabstract!#REF!</definedName>
    <definedName name="________________Apr23" localSheetId="36">[10]Newabstract!#REF!</definedName>
    <definedName name="________________Apr23" localSheetId="28">[10]Newabstract!#REF!</definedName>
    <definedName name="________________Apr23" localSheetId="83">[1]Newabstract!#REF!</definedName>
    <definedName name="________________Apr23">[10]Newabstract!#REF!</definedName>
    <definedName name="________________Apr24" localSheetId="43">[10]Newabstract!#REF!</definedName>
    <definedName name="________________Apr24" localSheetId="44">[10]Newabstract!#REF!</definedName>
    <definedName name="________________Apr24" localSheetId="36">[10]Newabstract!#REF!</definedName>
    <definedName name="________________Apr24" localSheetId="28">[10]Newabstract!#REF!</definedName>
    <definedName name="________________Apr24" localSheetId="83">[1]Newabstract!#REF!</definedName>
    <definedName name="________________Apr24">[10]Newabstract!#REF!</definedName>
    <definedName name="________________Apr27" localSheetId="43">[10]Newabstract!#REF!</definedName>
    <definedName name="________________Apr27" localSheetId="44">[10]Newabstract!#REF!</definedName>
    <definedName name="________________Apr27" localSheetId="36">[10]Newabstract!#REF!</definedName>
    <definedName name="________________Apr27" localSheetId="28">[10]Newabstract!#REF!</definedName>
    <definedName name="________________Apr27" localSheetId="83">[1]Newabstract!#REF!</definedName>
    <definedName name="________________Apr27">[10]Newabstract!#REF!</definedName>
    <definedName name="________________Apr28" localSheetId="43">[10]Newabstract!#REF!</definedName>
    <definedName name="________________Apr28" localSheetId="44">[10]Newabstract!#REF!</definedName>
    <definedName name="________________Apr28" localSheetId="36">[10]Newabstract!#REF!</definedName>
    <definedName name="________________Apr28" localSheetId="28">[10]Newabstract!#REF!</definedName>
    <definedName name="________________Apr28" localSheetId="83">[1]Newabstract!#REF!</definedName>
    <definedName name="________________Apr28">[10]Newabstract!#REF!</definedName>
    <definedName name="________________Apr29" localSheetId="43">[10]Newabstract!#REF!</definedName>
    <definedName name="________________Apr29" localSheetId="44">[10]Newabstract!#REF!</definedName>
    <definedName name="________________Apr29" localSheetId="36">[10]Newabstract!#REF!</definedName>
    <definedName name="________________Apr29" localSheetId="28">[10]Newabstract!#REF!</definedName>
    <definedName name="________________Apr29" localSheetId="83">[1]Newabstract!#REF!</definedName>
    <definedName name="________________Apr29">[10]Newabstract!#REF!</definedName>
    <definedName name="________________Apr30" localSheetId="43">[10]Newabstract!#REF!</definedName>
    <definedName name="________________Apr30" localSheetId="44">[10]Newabstract!#REF!</definedName>
    <definedName name="________________Apr30" localSheetId="36">[10]Newabstract!#REF!</definedName>
    <definedName name="________________Apr30" localSheetId="28">[10]Newabstract!#REF!</definedName>
    <definedName name="________________Apr30" localSheetId="83">[1]Newabstract!#REF!</definedName>
    <definedName name="________________Apr30">[10]Newabstract!#REF!</definedName>
    <definedName name="_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BSD1" localSheetId="43">#REF!</definedName>
    <definedName name="________________BSD1" localSheetId="44">#REF!</definedName>
    <definedName name="________________BSD1">#REF!</definedName>
    <definedName name="________________BSD2" localSheetId="43">#REF!</definedName>
    <definedName name="________________BSD2" localSheetId="44">#REF!</definedName>
    <definedName name="________________BSD2">#REF!</definedName>
    <definedName name="________________IED1" localSheetId="43">#REF!</definedName>
    <definedName name="________________IED1" localSheetId="44">#REF!</definedName>
    <definedName name="________________IED1">#REF!</definedName>
    <definedName name="________________IED2" localSheetId="43">#REF!</definedName>
    <definedName name="________________IED2" localSheetId="44">#REF!</definedName>
    <definedName name="________________IED2">#REF!</definedName>
    <definedName name="_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Mar06" localSheetId="43">[10]Newabstract!#REF!</definedName>
    <definedName name="________________Mar06" localSheetId="44">[10]Newabstract!#REF!</definedName>
    <definedName name="________________Mar06" localSheetId="36">[10]Newabstract!#REF!</definedName>
    <definedName name="________________Mar06" localSheetId="28">[10]Newabstract!#REF!</definedName>
    <definedName name="________________Mar06" localSheetId="83">[1]Newabstract!#REF!</definedName>
    <definedName name="________________Mar06">[10]Newabstract!#REF!</definedName>
    <definedName name="________________Mar09" localSheetId="43">[10]Newabstract!#REF!</definedName>
    <definedName name="________________Mar09" localSheetId="44">[10]Newabstract!#REF!</definedName>
    <definedName name="________________Mar09" localSheetId="36">[10]Newabstract!#REF!</definedName>
    <definedName name="________________Mar09" localSheetId="28">[10]Newabstract!#REF!</definedName>
    <definedName name="________________Mar09" localSheetId="83">[1]Newabstract!#REF!</definedName>
    <definedName name="________________Mar09">[10]Newabstract!#REF!</definedName>
    <definedName name="________________Mar10" localSheetId="43">[10]Newabstract!#REF!</definedName>
    <definedName name="________________Mar10" localSheetId="44">[10]Newabstract!#REF!</definedName>
    <definedName name="________________Mar10" localSheetId="36">[10]Newabstract!#REF!</definedName>
    <definedName name="________________Mar10" localSheetId="28">[10]Newabstract!#REF!</definedName>
    <definedName name="________________Mar10" localSheetId="83">[1]Newabstract!#REF!</definedName>
    <definedName name="________________Mar10">[10]Newabstract!#REF!</definedName>
    <definedName name="________________Mar11" localSheetId="43">[10]Newabstract!#REF!</definedName>
    <definedName name="________________Mar11" localSheetId="44">[10]Newabstract!#REF!</definedName>
    <definedName name="________________Mar11" localSheetId="36">[10]Newabstract!#REF!</definedName>
    <definedName name="________________Mar11" localSheetId="28">[10]Newabstract!#REF!</definedName>
    <definedName name="________________Mar11" localSheetId="83">[1]Newabstract!#REF!</definedName>
    <definedName name="________________Mar11">[10]Newabstract!#REF!</definedName>
    <definedName name="________________Mar12" localSheetId="43">[10]Newabstract!#REF!</definedName>
    <definedName name="________________Mar12" localSheetId="44">[10]Newabstract!#REF!</definedName>
    <definedName name="________________Mar12" localSheetId="36">[10]Newabstract!#REF!</definedName>
    <definedName name="________________Mar12" localSheetId="28">[10]Newabstract!#REF!</definedName>
    <definedName name="________________Mar12" localSheetId="83">[1]Newabstract!#REF!</definedName>
    <definedName name="________________Mar12">[10]Newabstract!#REF!</definedName>
    <definedName name="________________Mar13" localSheetId="43">[10]Newabstract!#REF!</definedName>
    <definedName name="________________Mar13" localSheetId="44">[10]Newabstract!#REF!</definedName>
    <definedName name="________________Mar13" localSheetId="36">[10]Newabstract!#REF!</definedName>
    <definedName name="________________Mar13" localSheetId="28">[10]Newabstract!#REF!</definedName>
    <definedName name="________________Mar13" localSheetId="83">[1]Newabstract!#REF!</definedName>
    <definedName name="________________Mar13">[10]Newabstract!#REF!</definedName>
    <definedName name="________________Mar16" localSheetId="43">[10]Newabstract!#REF!</definedName>
    <definedName name="________________Mar16" localSheetId="44">[10]Newabstract!#REF!</definedName>
    <definedName name="________________Mar16" localSheetId="36">[10]Newabstract!#REF!</definedName>
    <definedName name="________________Mar16" localSheetId="28">[10]Newabstract!#REF!</definedName>
    <definedName name="________________Mar16" localSheetId="83">[1]Newabstract!#REF!</definedName>
    <definedName name="________________Mar16">[10]Newabstract!#REF!</definedName>
    <definedName name="________________Mar17" localSheetId="43">[10]Newabstract!#REF!</definedName>
    <definedName name="________________Mar17" localSheetId="44">[10]Newabstract!#REF!</definedName>
    <definedName name="________________Mar17" localSheetId="36">[10]Newabstract!#REF!</definedName>
    <definedName name="________________Mar17" localSheetId="28">[10]Newabstract!#REF!</definedName>
    <definedName name="________________Mar17" localSheetId="83">[1]Newabstract!#REF!</definedName>
    <definedName name="________________Mar17">[10]Newabstract!#REF!</definedName>
    <definedName name="________________Mar18" localSheetId="43">[10]Newabstract!#REF!</definedName>
    <definedName name="________________Mar18" localSheetId="44">[10]Newabstract!#REF!</definedName>
    <definedName name="________________Mar18" localSheetId="36">[10]Newabstract!#REF!</definedName>
    <definedName name="________________Mar18" localSheetId="28">[10]Newabstract!#REF!</definedName>
    <definedName name="________________Mar18" localSheetId="83">[1]Newabstract!#REF!</definedName>
    <definedName name="________________Mar18">[10]Newabstract!#REF!</definedName>
    <definedName name="________________Mar19" localSheetId="43">[10]Newabstract!#REF!</definedName>
    <definedName name="________________Mar19" localSheetId="44">[10]Newabstract!#REF!</definedName>
    <definedName name="________________Mar19" localSheetId="36">[10]Newabstract!#REF!</definedName>
    <definedName name="________________Mar19" localSheetId="28">[10]Newabstract!#REF!</definedName>
    <definedName name="________________Mar19" localSheetId="83">[1]Newabstract!#REF!</definedName>
    <definedName name="________________Mar19">[10]Newabstract!#REF!</definedName>
    <definedName name="________________Mar20" localSheetId="43">[10]Newabstract!#REF!</definedName>
    <definedName name="________________Mar20" localSheetId="44">[10]Newabstract!#REF!</definedName>
    <definedName name="________________Mar20" localSheetId="36">[10]Newabstract!#REF!</definedName>
    <definedName name="________________Mar20" localSheetId="28">[10]Newabstract!#REF!</definedName>
    <definedName name="________________Mar20" localSheetId="83">[1]Newabstract!#REF!</definedName>
    <definedName name="________________Mar20">[10]Newabstract!#REF!</definedName>
    <definedName name="________________Mar23" localSheetId="43">[10]Newabstract!#REF!</definedName>
    <definedName name="________________Mar23" localSheetId="44">[10]Newabstract!#REF!</definedName>
    <definedName name="________________Mar23" localSheetId="36">[10]Newabstract!#REF!</definedName>
    <definedName name="________________Mar23" localSheetId="28">[10]Newabstract!#REF!</definedName>
    <definedName name="________________Mar23" localSheetId="83">[1]Newabstract!#REF!</definedName>
    <definedName name="________________Mar23">[10]Newabstract!#REF!</definedName>
    <definedName name="________________Mar24" localSheetId="43">[10]Newabstract!#REF!</definedName>
    <definedName name="________________Mar24" localSheetId="44">[10]Newabstract!#REF!</definedName>
    <definedName name="________________Mar24" localSheetId="36">[10]Newabstract!#REF!</definedName>
    <definedName name="________________Mar24" localSheetId="28">[10]Newabstract!#REF!</definedName>
    <definedName name="________________Mar24" localSheetId="83">[1]Newabstract!#REF!</definedName>
    <definedName name="________________Mar24">[10]Newabstract!#REF!</definedName>
    <definedName name="________________Mar25" localSheetId="43">[10]Newabstract!#REF!</definedName>
    <definedName name="________________Mar25" localSheetId="44">[10]Newabstract!#REF!</definedName>
    <definedName name="________________Mar25" localSheetId="36">[10]Newabstract!#REF!</definedName>
    <definedName name="________________Mar25" localSheetId="28">[10]Newabstract!#REF!</definedName>
    <definedName name="________________Mar25" localSheetId="83">[1]Newabstract!#REF!</definedName>
    <definedName name="________________Mar25">[10]Newabstract!#REF!</definedName>
    <definedName name="________________Mar26" localSheetId="43">[10]Newabstract!#REF!</definedName>
    <definedName name="________________Mar26" localSheetId="44">[10]Newabstract!#REF!</definedName>
    <definedName name="________________Mar26" localSheetId="36">[10]Newabstract!#REF!</definedName>
    <definedName name="________________Mar26" localSheetId="28">[10]Newabstract!#REF!</definedName>
    <definedName name="________________Mar26" localSheetId="83">[1]Newabstract!#REF!</definedName>
    <definedName name="________________Mar26">[10]Newabstract!#REF!</definedName>
    <definedName name="________________Mar27" localSheetId="43">[10]Newabstract!#REF!</definedName>
    <definedName name="________________Mar27" localSheetId="44">[10]Newabstract!#REF!</definedName>
    <definedName name="________________Mar27" localSheetId="36">[10]Newabstract!#REF!</definedName>
    <definedName name="________________Mar27" localSheetId="28">[10]Newabstract!#REF!</definedName>
    <definedName name="________________Mar27" localSheetId="83">[1]Newabstract!#REF!</definedName>
    <definedName name="________________Mar27">[10]Newabstract!#REF!</definedName>
    <definedName name="________________Mar28" localSheetId="43">[10]Newabstract!#REF!</definedName>
    <definedName name="________________Mar28" localSheetId="44">[10]Newabstract!#REF!</definedName>
    <definedName name="________________Mar28" localSheetId="36">[10]Newabstract!#REF!</definedName>
    <definedName name="________________Mar28" localSheetId="28">[10]Newabstract!#REF!</definedName>
    <definedName name="________________Mar28" localSheetId="83">[1]Newabstract!#REF!</definedName>
    <definedName name="________________Mar28">[10]Newabstract!#REF!</definedName>
    <definedName name="________________Mar30" localSheetId="43">[10]Newabstract!#REF!</definedName>
    <definedName name="________________Mar30" localSheetId="44">[10]Newabstract!#REF!</definedName>
    <definedName name="________________Mar30" localSheetId="36">[10]Newabstract!#REF!</definedName>
    <definedName name="________________Mar30" localSheetId="28">[10]Newabstract!#REF!</definedName>
    <definedName name="________________Mar30" localSheetId="83">[1]Newabstract!#REF!</definedName>
    <definedName name="________________Mar30">[10]Newabstract!#REF!</definedName>
    <definedName name="________________Mar31" localSheetId="43">[10]Newabstract!#REF!</definedName>
    <definedName name="________________Mar31" localSheetId="44">[10]Newabstract!#REF!</definedName>
    <definedName name="________________Mar31" localSheetId="36">[10]Newabstract!#REF!</definedName>
    <definedName name="________________Mar31" localSheetId="28">[10]Newabstract!#REF!</definedName>
    <definedName name="________________Mar31" localSheetId="83">[1]Newabstract!#REF!</definedName>
    <definedName name="________________Mar31">[10]Newabstract!#REF!</definedName>
    <definedName name="________________NCS111">'[8]Schedule-1'!$B$1:$J$1</definedName>
    <definedName name="________________SCH6" localSheetId="43">'[5]04REL'!#REF!</definedName>
    <definedName name="________________SCH6" localSheetId="44">'[5]04REL'!#REF!</definedName>
    <definedName name="________________SCH6" localSheetId="36">'[6]04REL'!#REF!</definedName>
    <definedName name="________________SCH6" localSheetId="28">'[5]04REL'!#REF!</definedName>
    <definedName name="________________SCH6" localSheetId="56">'[6]04REL'!#REF!</definedName>
    <definedName name="________________SCH6" localSheetId="83">'[1]04REL'!#REF!</definedName>
    <definedName name="________________SCH6" localSheetId="90">'[6]04REL'!#REF!</definedName>
    <definedName name="________________SCH6" localSheetId="91">'[6]04REL'!#REF!</definedName>
    <definedName name="________________SCH6" localSheetId="94">'[6]04REL'!#REF!</definedName>
    <definedName name="________________SCH6">'[7]04REL'!#REF!</definedName>
    <definedName name="_______________a65565" localSheetId="43">#REF!</definedName>
    <definedName name="_______________a65565" localSheetId="44">#REF!</definedName>
    <definedName name="_______________a65565">#REF!</definedName>
    <definedName name="_______________Apr02" localSheetId="43">[10]Newabstract!#REF!</definedName>
    <definedName name="_______________Apr02" localSheetId="44">[10]Newabstract!#REF!</definedName>
    <definedName name="_______________Apr02" localSheetId="36">[10]Newabstract!#REF!</definedName>
    <definedName name="_______________Apr02" localSheetId="28">[10]Newabstract!#REF!</definedName>
    <definedName name="_______________Apr02" localSheetId="83">[1]Newabstract!#REF!</definedName>
    <definedName name="_______________Apr02">[10]Newabstract!#REF!</definedName>
    <definedName name="_______________Apr03" localSheetId="43">[10]Newabstract!#REF!</definedName>
    <definedName name="_______________Apr03" localSheetId="44">[10]Newabstract!#REF!</definedName>
    <definedName name="_______________Apr03" localSheetId="36">[10]Newabstract!#REF!</definedName>
    <definedName name="_______________Apr03" localSheetId="28">[10]Newabstract!#REF!</definedName>
    <definedName name="_______________Apr03" localSheetId="83">[1]Newabstract!#REF!</definedName>
    <definedName name="_______________Apr03">[10]Newabstract!#REF!</definedName>
    <definedName name="_______________Apr04" localSheetId="43">[10]Newabstract!#REF!</definedName>
    <definedName name="_______________Apr04" localSheetId="44">[10]Newabstract!#REF!</definedName>
    <definedName name="_______________Apr04" localSheetId="36">[10]Newabstract!#REF!</definedName>
    <definedName name="_______________Apr04" localSheetId="28">[10]Newabstract!#REF!</definedName>
    <definedName name="_______________Apr04" localSheetId="83">[1]Newabstract!#REF!</definedName>
    <definedName name="_______________Apr04">[10]Newabstract!#REF!</definedName>
    <definedName name="_______________Apr05" localSheetId="43">[10]Newabstract!#REF!</definedName>
    <definedName name="_______________Apr05" localSheetId="44">[10]Newabstract!#REF!</definedName>
    <definedName name="_______________Apr05" localSheetId="36">[10]Newabstract!#REF!</definedName>
    <definedName name="_______________Apr05" localSheetId="28">[10]Newabstract!#REF!</definedName>
    <definedName name="_______________Apr05" localSheetId="83">[1]Newabstract!#REF!</definedName>
    <definedName name="_______________Apr05">[10]Newabstract!#REF!</definedName>
    <definedName name="_______________Apr06" localSheetId="43">[10]Newabstract!#REF!</definedName>
    <definedName name="_______________Apr06" localSheetId="44">[10]Newabstract!#REF!</definedName>
    <definedName name="_______________Apr06" localSheetId="36">[10]Newabstract!#REF!</definedName>
    <definedName name="_______________Apr06" localSheetId="28">[10]Newabstract!#REF!</definedName>
    <definedName name="_______________Apr06" localSheetId="83">[1]Newabstract!#REF!</definedName>
    <definedName name="_______________Apr06">[10]Newabstract!#REF!</definedName>
    <definedName name="_______________Apr07" localSheetId="43">[10]Newabstract!#REF!</definedName>
    <definedName name="_______________Apr07" localSheetId="44">[10]Newabstract!#REF!</definedName>
    <definedName name="_______________Apr07" localSheetId="36">[10]Newabstract!#REF!</definedName>
    <definedName name="_______________Apr07" localSheetId="28">[10]Newabstract!#REF!</definedName>
    <definedName name="_______________Apr07" localSheetId="83">[1]Newabstract!#REF!</definedName>
    <definedName name="_______________Apr07">[10]Newabstract!#REF!</definedName>
    <definedName name="_______________Apr08" localSheetId="43">[10]Newabstract!#REF!</definedName>
    <definedName name="_______________Apr08" localSheetId="44">[10]Newabstract!#REF!</definedName>
    <definedName name="_______________Apr08" localSheetId="36">[10]Newabstract!#REF!</definedName>
    <definedName name="_______________Apr08" localSheetId="28">[10]Newabstract!#REF!</definedName>
    <definedName name="_______________Apr08" localSheetId="83">[1]Newabstract!#REF!</definedName>
    <definedName name="_______________Apr08">[10]Newabstract!#REF!</definedName>
    <definedName name="_______________Apr09" localSheetId="43">[10]Newabstract!#REF!</definedName>
    <definedName name="_______________Apr09" localSheetId="44">[10]Newabstract!#REF!</definedName>
    <definedName name="_______________Apr09" localSheetId="36">[10]Newabstract!#REF!</definedName>
    <definedName name="_______________Apr09" localSheetId="28">[10]Newabstract!#REF!</definedName>
    <definedName name="_______________Apr09" localSheetId="83">[1]Newabstract!#REF!</definedName>
    <definedName name="_______________Apr09">[10]Newabstract!#REF!</definedName>
    <definedName name="_______________Apr10" localSheetId="43">[10]Newabstract!#REF!</definedName>
    <definedName name="_______________Apr10" localSheetId="44">[10]Newabstract!#REF!</definedName>
    <definedName name="_______________Apr10" localSheetId="36">[10]Newabstract!#REF!</definedName>
    <definedName name="_______________Apr10" localSheetId="28">[10]Newabstract!#REF!</definedName>
    <definedName name="_______________Apr10" localSheetId="83">[1]Newabstract!#REF!</definedName>
    <definedName name="_______________Apr10">[10]Newabstract!#REF!</definedName>
    <definedName name="_______________Apr11" localSheetId="43">[10]Newabstract!#REF!</definedName>
    <definedName name="_______________Apr11" localSheetId="44">[10]Newabstract!#REF!</definedName>
    <definedName name="_______________Apr11" localSheetId="36">[10]Newabstract!#REF!</definedName>
    <definedName name="_______________Apr11" localSheetId="28">[10]Newabstract!#REF!</definedName>
    <definedName name="_______________Apr11" localSheetId="83">[1]Newabstract!#REF!</definedName>
    <definedName name="_______________Apr11">[10]Newabstract!#REF!</definedName>
    <definedName name="_______________Apr13" localSheetId="43">[10]Newabstract!#REF!</definedName>
    <definedName name="_______________Apr13" localSheetId="44">[10]Newabstract!#REF!</definedName>
    <definedName name="_______________Apr13" localSheetId="36">[10]Newabstract!#REF!</definedName>
    <definedName name="_______________Apr13" localSheetId="28">[10]Newabstract!#REF!</definedName>
    <definedName name="_______________Apr13" localSheetId="83">[1]Newabstract!#REF!</definedName>
    <definedName name="_______________Apr13">[10]Newabstract!#REF!</definedName>
    <definedName name="_______________Apr14" localSheetId="43">[10]Newabstract!#REF!</definedName>
    <definedName name="_______________Apr14" localSheetId="44">[10]Newabstract!#REF!</definedName>
    <definedName name="_______________Apr14" localSheetId="36">[10]Newabstract!#REF!</definedName>
    <definedName name="_______________Apr14" localSheetId="28">[10]Newabstract!#REF!</definedName>
    <definedName name="_______________Apr14" localSheetId="83">[1]Newabstract!#REF!</definedName>
    <definedName name="_______________Apr14">[10]Newabstract!#REF!</definedName>
    <definedName name="_______________Apr15" localSheetId="43">[10]Newabstract!#REF!</definedName>
    <definedName name="_______________Apr15" localSheetId="44">[10]Newabstract!#REF!</definedName>
    <definedName name="_______________Apr15" localSheetId="36">[10]Newabstract!#REF!</definedName>
    <definedName name="_______________Apr15" localSheetId="28">[10]Newabstract!#REF!</definedName>
    <definedName name="_______________Apr15" localSheetId="83">[1]Newabstract!#REF!</definedName>
    <definedName name="_______________Apr15">[10]Newabstract!#REF!</definedName>
    <definedName name="_______________Apr16" localSheetId="43">[10]Newabstract!#REF!</definedName>
    <definedName name="_______________Apr16" localSheetId="44">[10]Newabstract!#REF!</definedName>
    <definedName name="_______________Apr16" localSheetId="36">[10]Newabstract!#REF!</definedName>
    <definedName name="_______________Apr16" localSheetId="28">[10]Newabstract!#REF!</definedName>
    <definedName name="_______________Apr16" localSheetId="83">[1]Newabstract!#REF!</definedName>
    <definedName name="_______________Apr16">[10]Newabstract!#REF!</definedName>
    <definedName name="_______________Apr17" localSheetId="43">[10]Newabstract!#REF!</definedName>
    <definedName name="_______________Apr17" localSheetId="44">[10]Newabstract!#REF!</definedName>
    <definedName name="_______________Apr17" localSheetId="36">[10]Newabstract!#REF!</definedName>
    <definedName name="_______________Apr17" localSheetId="28">[10]Newabstract!#REF!</definedName>
    <definedName name="_______________Apr17" localSheetId="83">[1]Newabstract!#REF!</definedName>
    <definedName name="_______________Apr17">[10]Newabstract!#REF!</definedName>
    <definedName name="_______________Apr20" localSheetId="43">[10]Newabstract!#REF!</definedName>
    <definedName name="_______________Apr20" localSheetId="44">[10]Newabstract!#REF!</definedName>
    <definedName name="_______________Apr20" localSheetId="36">[10]Newabstract!#REF!</definedName>
    <definedName name="_______________Apr20" localSheetId="28">[10]Newabstract!#REF!</definedName>
    <definedName name="_______________Apr20" localSheetId="83">[1]Newabstract!#REF!</definedName>
    <definedName name="_______________Apr20">[10]Newabstract!#REF!</definedName>
    <definedName name="_______________Apr21" localSheetId="43">[10]Newabstract!#REF!</definedName>
    <definedName name="_______________Apr21" localSheetId="44">[10]Newabstract!#REF!</definedName>
    <definedName name="_______________Apr21" localSheetId="36">[10]Newabstract!#REF!</definedName>
    <definedName name="_______________Apr21" localSheetId="28">[10]Newabstract!#REF!</definedName>
    <definedName name="_______________Apr21" localSheetId="83">[1]Newabstract!#REF!</definedName>
    <definedName name="_______________Apr21">[10]Newabstract!#REF!</definedName>
    <definedName name="_______________Apr22" localSheetId="43">[10]Newabstract!#REF!</definedName>
    <definedName name="_______________Apr22" localSheetId="44">[10]Newabstract!#REF!</definedName>
    <definedName name="_______________Apr22" localSheetId="36">[10]Newabstract!#REF!</definedName>
    <definedName name="_______________Apr22" localSheetId="28">[10]Newabstract!#REF!</definedName>
    <definedName name="_______________Apr22" localSheetId="83">[1]Newabstract!#REF!</definedName>
    <definedName name="_______________Apr22">[10]Newabstract!#REF!</definedName>
    <definedName name="_______________Apr23" localSheetId="43">[10]Newabstract!#REF!</definedName>
    <definedName name="_______________Apr23" localSheetId="44">[10]Newabstract!#REF!</definedName>
    <definedName name="_______________Apr23" localSheetId="36">[10]Newabstract!#REF!</definedName>
    <definedName name="_______________Apr23" localSheetId="28">[10]Newabstract!#REF!</definedName>
    <definedName name="_______________Apr23" localSheetId="83">[1]Newabstract!#REF!</definedName>
    <definedName name="_______________Apr23">[10]Newabstract!#REF!</definedName>
    <definedName name="_______________Apr24" localSheetId="43">[10]Newabstract!#REF!</definedName>
    <definedName name="_______________Apr24" localSheetId="44">[10]Newabstract!#REF!</definedName>
    <definedName name="_______________Apr24" localSheetId="36">[10]Newabstract!#REF!</definedName>
    <definedName name="_______________Apr24" localSheetId="28">[10]Newabstract!#REF!</definedName>
    <definedName name="_______________Apr24" localSheetId="83">[1]Newabstract!#REF!</definedName>
    <definedName name="_______________Apr24">[10]Newabstract!#REF!</definedName>
    <definedName name="_______________Apr27" localSheetId="43">[10]Newabstract!#REF!</definedName>
    <definedName name="_______________Apr27" localSheetId="44">[10]Newabstract!#REF!</definedName>
    <definedName name="_______________Apr27" localSheetId="36">[10]Newabstract!#REF!</definedName>
    <definedName name="_______________Apr27" localSheetId="28">[10]Newabstract!#REF!</definedName>
    <definedName name="_______________Apr27" localSheetId="83">[1]Newabstract!#REF!</definedName>
    <definedName name="_______________Apr27">[10]Newabstract!#REF!</definedName>
    <definedName name="_______________Apr28" localSheetId="43">[10]Newabstract!#REF!</definedName>
    <definedName name="_______________Apr28" localSheetId="44">[10]Newabstract!#REF!</definedName>
    <definedName name="_______________Apr28" localSheetId="36">[10]Newabstract!#REF!</definedName>
    <definedName name="_______________Apr28" localSheetId="28">[10]Newabstract!#REF!</definedName>
    <definedName name="_______________Apr28" localSheetId="83">[1]Newabstract!#REF!</definedName>
    <definedName name="_______________Apr28">[10]Newabstract!#REF!</definedName>
    <definedName name="_______________Apr29" localSheetId="43">[10]Newabstract!#REF!</definedName>
    <definedName name="_______________Apr29" localSheetId="44">[10]Newabstract!#REF!</definedName>
    <definedName name="_______________Apr29" localSheetId="36">[10]Newabstract!#REF!</definedName>
    <definedName name="_______________Apr29" localSheetId="28">[10]Newabstract!#REF!</definedName>
    <definedName name="_______________Apr29" localSheetId="83">[1]Newabstract!#REF!</definedName>
    <definedName name="_______________Apr29">[10]Newabstract!#REF!</definedName>
    <definedName name="_______________Apr30" localSheetId="43">[10]Newabstract!#REF!</definedName>
    <definedName name="_______________Apr30" localSheetId="44">[10]Newabstract!#REF!</definedName>
    <definedName name="_______________Apr30" localSheetId="36">[10]Newabstract!#REF!</definedName>
    <definedName name="_______________Apr30" localSheetId="28">[10]Newabstract!#REF!</definedName>
    <definedName name="_______________Apr30" localSheetId="83">[1]Newabstract!#REF!</definedName>
    <definedName name="_______________Apr30">[10]Newabstract!#REF!</definedName>
    <definedName name="_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BSD1" localSheetId="43">#REF!</definedName>
    <definedName name="_______________BSD1" localSheetId="44">#REF!</definedName>
    <definedName name="_______________BSD1" localSheetId="36">#REF!</definedName>
    <definedName name="_______________BSD1" localSheetId="37">#REF!</definedName>
    <definedName name="_______________BSD1" localSheetId="28">#REF!</definedName>
    <definedName name="_______________BSD1" localSheetId="83">#REF!</definedName>
    <definedName name="_______________BSD1">#REF!</definedName>
    <definedName name="_______________BSD2" localSheetId="43">#REF!</definedName>
    <definedName name="_______________BSD2" localSheetId="44">#REF!</definedName>
    <definedName name="_______________BSD2" localSheetId="36">#REF!</definedName>
    <definedName name="_______________BSD2" localSheetId="37">#REF!</definedName>
    <definedName name="_______________BSD2" localSheetId="28">#REF!</definedName>
    <definedName name="_______________BSD2" localSheetId="83">#REF!</definedName>
    <definedName name="_______________BSD2">#REF!</definedName>
    <definedName name="_______________IED1" localSheetId="43">#REF!</definedName>
    <definedName name="_______________IED1" localSheetId="44">#REF!</definedName>
    <definedName name="_______________IED1" localSheetId="36">#REF!</definedName>
    <definedName name="_______________IED1" localSheetId="37">#REF!</definedName>
    <definedName name="_______________IED1" localSheetId="28">#REF!</definedName>
    <definedName name="_______________IED1" localSheetId="83">#REF!</definedName>
    <definedName name="_______________IED1">#REF!</definedName>
    <definedName name="_______________IED2" localSheetId="43">#REF!</definedName>
    <definedName name="_______________IED2" localSheetId="44">#REF!</definedName>
    <definedName name="_______________IED2" localSheetId="36">#REF!</definedName>
    <definedName name="_______________IED2" localSheetId="37">#REF!</definedName>
    <definedName name="_______________IED2" localSheetId="28">#REF!</definedName>
    <definedName name="_______________IED2" localSheetId="83">#REF!</definedName>
    <definedName name="_______________IED2">#REF!</definedName>
    <definedName name="_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Mar06" localSheetId="43">[10]Newabstract!#REF!</definedName>
    <definedName name="_______________Mar06" localSheetId="44">[10]Newabstract!#REF!</definedName>
    <definedName name="_______________Mar06" localSheetId="36">[10]Newabstract!#REF!</definedName>
    <definedName name="_______________Mar06" localSheetId="28">[10]Newabstract!#REF!</definedName>
    <definedName name="_______________Mar06" localSheetId="83">[1]Newabstract!#REF!</definedName>
    <definedName name="_______________Mar06">[10]Newabstract!#REF!</definedName>
    <definedName name="_______________Mar09" localSheetId="43">[10]Newabstract!#REF!</definedName>
    <definedName name="_______________Mar09" localSheetId="44">[10]Newabstract!#REF!</definedName>
    <definedName name="_______________Mar09" localSheetId="36">[10]Newabstract!#REF!</definedName>
    <definedName name="_______________Mar09" localSheetId="28">[10]Newabstract!#REF!</definedName>
    <definedName name="_______________Mar09" localSheetId="83">[1]Newabstract!#REF!</definedName>
    <definedName name="_______________Mar09">[10]Newabstract!#REF!</definedName>
    <definedName name="_______________Mar10" localSheetId="43">[10]Newabstract!#REF!</definedName>
    <definedName name="_______________Mar10" localSheetId="44">[10]Newabstract!#REF!</definedName>
    <definedName name="_______________Mar10" localSheetId="36">[10]Newabstract!#REF!</definedName>
    <definedName name="_______________Mar10" localSheetId="28">[10]Newabstract!#REF!</definedName>
    <definedName name="_______________Mar10" localSheetId="83">[1]Newabstract!#REF!</definedName>
    <definedName name="_______________Mar10">[10]Newabstract!#REF!</definedName>
    <definedName name="_______________Mar11" localSheetId="43">[10]Newabstract!#REF!</definedName>
    <definedName name="_______________Mar11" localSheetId="44">[10]Newabstract!#REF!</definedName>
    <definedName name="_______________Mar11" localSheetId="36">[10]Newabstract!#REF!</definedName>
    <definedName name="_______________Mar11" localSheetId="28">[10]Newabstract!#REF!</definedName>
    <definedName name="_______________Mar11" localSheetId="83">[1]Newabstract!#REF!</definedName>
    <definedName name="_______________Mar11">[10]Newabstract!#REF!</definedName>
    <definedName name="_______________Mar12" localSheetId="43">[10]Newabstract!#REF!</definedName>
    <definedName name="_______________Mar12" localSheetId="44">[10]Newabstract!#REF!</definedName>
    <definedName name="_______________Mar12" localSheetId="36">[10]Newabstract!#REF!</definedName>
    <definedName name="_______________Mar12" localSheetId="28">[10]Newabstract!#REF!</definedName>
    <definedName name="_______________Mar12" localSheetId="83">[1]Newabstract!#REF!</definedName>
    <definedName name="_______________Mar12">[10]Newabstract!#REF!</definedName>
    <definedName name="_______________Mar13" localSheetId="43">[10]Newabstract!#REF!</definedName>
    <definedName name="_______________Mar13" localSheetId="44">[10]Newabstract!#REF!</definedName>
    <definedName name="_______________Mar13" localSheetId="36">[10]Newabstract!#REF!</definedName>
    <definedName name="_______________Mar13" localSheetId="28">[10]Newabstract!#REF!</definedName>
    <definedName name="_______________Mar13" localSheetId="83">[1]Newabstract!#REF!</definedName>
    <definedName name="_______________Mar13">[10]Newabstract!#REF!</definedName>
    <definedName name="_______________Mar16" localSheetId="43">[10]Newabstract!#REF!</definedName>
    <definedName name="_______________Mar16" localSheetId="44">[10]Newabstract!#REF!</definedName>
    <definedName name="_______________Mar16" localSheetId="36">[10]Newabstract!#REF!</definedName>
    <definedName name="_______________Mar16" localSheetId="28">[10]Newabstract!#REF!</definedName>
    <definedName name="_______________Mar16" localSheetId="83">[1]Newabstract!#REF!</definedName>
    <definedName name="_______________Mar16">[10]Newabstract!#REF!</definedName>
    <definedName name="_______________Mar17" localSheetId="43">[10]Newabstract!#REF!</definedName>
    <definedName name="_______________Mar17" localSheetId="44">[10]Newabstract!#REF!</definedName>
    <definedName name="_______________Mar17" localSheetId="36">[10]Newabstract!#REF!</definedName>
    <definedName name="_______________Mar17" localSheetId="28">[10]Newabstract!#REF!</definedName>
    <definedName name="_______________Mar17" localSheetId="83">[1]Newabstract!#REF!</definedName>
    <definedName name="_______________Mar17">[10]Newabstract!#REF!</definedName>
    <definedName name="_______________Mar18" localSheetId="43">[10]Newabstract!#REF!</definedName>
    <definedName name="_______________Mar18" localSheetId="44">[10]Newabstract!#REF!</definedName>
    <definedName name="_______________Mar18" localSheetId="36">[10]Newabstract!#REF!</definedName>
    <definedName name="_______________Mar18" localSheetId="28">[10]Newabstract!#REF!</definedName>
    <definedName name="_______________Mar18" localSheetId="83">[1]Newabstract!#REF!</definedName>
    <definedName name="_______________Mar18">[10]Newabstract!#REF!</definedName>
    <definedName name="_______________Mar19" localSheetId="43">[10]Newabstract!#REF!</definedName>
    <definedName name="_______________Mar19" localSheetId="44">[10]Newabstract!#REF!</definedName>
    <definedName name="_______________Mar19" localSheetId="36">[10]Newabstract!#REF!</definedName>
    <definedName name="_______________Mar19" localSheetId="28">[10]Newabstract!#REF!</definedName>
    <definedName name="_______________Mar19" localSheetId="83">[1]Newabstract!#REF!</definedName>
    <definedName name="_______________Mar19">[10]Newabstract!#REF!</definedName>
    <definedName name="_______________Mar20" localSheetId="43">[10]Newabstract!#REF!</definedName>
    <definedName name="_______________Mar20" localSheetId="44">[10]Newabstract!#REF!</definedName>
    <definedName name="_______________Mar20" localSheetId="36">[10]Newabstract!#REF!</definedName>
    <definedName name="_______________Mar20" localSheetId="28">[10]Newabstract!#REF!</definedName>
    <definedName name="_______________Mar20" localSheetId="83">[1]Newabstract!#REF!</definedName>
    <definedName name="_______________Mar20">[10]Newabstract!#REF!</definedName>
    <definedName name="_______________Mar23" localSheetId="43">[10]Newabstract!#REF!</definedName>
    <definedName name="_______________Mar23" localSheetId="44">[10]Newabstract!#REF!</definedName>
    <definedName name="_______________Mar23" localSheetId="36">[10]Newabstract!#REF!</definedName>
    <definedName name="_______________Mar23" localSheetId="28">[10]Newabstract!#REF!</definedName>
    <definedName name="_______________Mar23" localSheetId="83">[1]Newabstract!#REF!</definedName>
    <definedName name="_______________Mar23">[10]Newabstract!#REF!</definedName>
    <definedName name="_______________Mar24" localSheetId="43">[10]Newabstract!#REF!</definedName>
    <definedName name="_______________Mar24" localSheetId="44">[10]Newabstract!#REF!</definedName>
    <definedName name="_______________Mar24" localSheetId="36">[10]Newabstract!#REF!</definedName>
    <definedName name="_______________Mar24" localSheetId="28">[10]Newabstract!#REF!</definedName>
    <definedName name="_______________Mar24" localSheetId="83">[1]Newabstract!#REF!</definedName>
    <definedName name="_______________Mar24">[10]Newabstract!#REF!</definedName>
    <definedName name="_______________Mar25" localSheetId="43">[10]Newabstract!#REF!</definedName>
    <definedName name="_______________Mar25" localSheetId="44">[10]Newabstract!#REF!</definedName>
    <definedName name="_______________Mar25" localSheetId="36">[10]Newabstract!#REF!</definedName>
    <definedName name="_______________Mar25" localSheetId="28">[10]Newabstract!#REF!</definedName>
    <definedName name="_______________Mar25" localSheetId="83">[1]Newabstract!#REF!</definedName>
    <definedName name="_______________Mar25">[10]Newabstract!#REF!</definedName>
    <definedName name="_______________Mar26" localSheetId="43">[10]Newabstract!#REF!</definedName>
    <definedName name="_______________Mar26" localSheetId="44">[10]Newabstract!#REF!</definedName>
    <definedName name="_______________Mar26" localSheetId="36">[10]Newabstract!#REF!</definedName>
    <definedName name="_______________Mar26" localSheetId="28">[10]Newabstract!#REF!</definedName>
    <definedName name="_______________Mar26" localSheetId="83">[1]Newabstract!#REF!</definedName>
    <definedName name="_______________Mar26">[10]Newabstract!#REF!</definedName>
    <definedName name="_______________Mar27" localSheetId="43">[10]Newabstract!#REF!</definedName>
    <definedName name="_______________Mar27" localSheetId="44">[10]Newabstract!#REF!</definedName>
    <definedName name="_______________Mar27" localSheetId="36">[10]Newabstract!#REF!</definedName>
    <definedName name="_______________Mar27" localSheetId="28">[10]Newabstract!#REF!</definedName>
    <definedName name="_______________Mar27" localSheetId="83">[1]Newabstract!#REF!</definedName>
    <definedName name="_______________Mar27">[10]Newabstract!#REF!</definedName>
    <definedName name="_______________Mar28" localSheetId="43">[10]Newabstract!#REF!</definedName>
    <definedName name="_______________Mar28" localSheetId="44">[10]Newabstract!#REF!</definedName>
    <definedName name="_______________Mar28" localSheetId="36">[10]Newabstract!#REF!</definedName>
    <definedName name="_______________Mar28" localSheetId="28">[10]Newabstract!#REF!</definedName>
    <definedName name="_______________Mar28" localSheetId="83">[1]Newabstract!#REF!</definedName>
    <definedName name="_______________Mar28">[10]Newabstract!#REF!</definedName>
    <definedName name="_______________Mar30" localSheetId="43">[10]Newabstract!#REF!</definedName>
    <definedName name="_______________Mar30" localSheetId="44">[10]Newabstract!#REF!</definedName>
    <definedName name="_______________Mar30" localSheetId="36">[10]Newabstract!#REF!</definedName>
    <definedName name="_______________Mar30" localSheetId="28">[10]Newabstract!#REF!</definedName>
    <definedName name="_______________Mar30" localSheetId="83">[1]Newabstract!#REF!</definedName>
    <definedName name="_______________Mar30">[10]Newabstract!#REF!</definedName>
    <definedName name="_______________Mar31" localSheetId="43">[10]Newabstract!#REF!</definedName>
    <definedName name="_______________Mar31" localSheetId="44">[10]Newabstract!#REF!</definedName>
    <definedName name="_______________Mar31" localSheetId="36">[10]Newabstract!#REF!</definedName>
    <definedName name="_______________Mar31" localSheetId="28">[10]Newabstract!#REF!</definedName>
    <definedName name="_______________Mar31" localSheetId="83">[1]Newabstract!#REF!</definedName>
    <definedName name="_______________Mar31">[10]Newabstract!#REF!</definedName>
    <definedName name="_______________NCS111">'[8]Schedule-1'!$B$1:$J$1</definedName>
    <definedName name="_______________SCH6" localSheetId="43">'[5]04REL'!#REF!</definedName>
    <definedName name="_______________SCH6" localSheetId="44">'[5]04REL'!#REF!</definedName>
    <definedName name="_______________SCH6" localSheetId="36">'[6]04REL'!#REF!</definedName>
    <definedName name="_______________SCH6" localSheetId="28">'[5]04REL'!#REF!</definedName>
    <definedName name="_______________SCH6" localSheetId="56">'[6]04REL'!#REF!</definedName>
    <definedName name="_______________SCH6" localSheetId="83">'[1]04REL'!#REF!</definedName>
    <definedName name="_______________SCH6" localSheetId="90">'[6]04REL'!#REF!</definedName>
    <definedName name="_______________SCH6" localSheetId="91">'[6]04REL'!#REF!</definedName>
    <definedName name="_______________SCH6" localSheetId="94">'[6]04REL'!#REF!</definedName>
    <definedName name="_______________SCH6">'[7]04REL'!#REF!</definedName>
    <definedName name="______________a65565" localSheetId="43">#REF!</definedName>
    <definedName name="______________a65565" localSheetId="44">#REF!</definedName>
    <definedName name="______________a65565">#REF!</definedName>
    <definedName name="_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BSD1" localSheetId="43">#REF!</definedName>
    <definedName name="______________BSD1" localSheetId="44">#REF!</definedName>
    <definedName name="______________BSD1" localSheetId="36">#REF!</definedName>
    <definedName name="______________BSD1" localSheetId="37">#REF!</definedName>
    <definedName name="______________BSD1" localSheetId="28">#REF!</definedName>
    <definedName name="______________BSD1" localSheetId="83">#REF!</definedName>
    <definedName name="______________BSD1">#REF!</definedName>
    <definedName name="______________BSD2" localSheetId="43">#REF!</definedName>
    <definedName name="______________BSD2" localSheetId="44">#REF!</definedName>
    <definedName name="______________BSD2" localSheetId="36">#REF!</definedName>
    <definedName name="______________BSD2" localSheetId="37">#REF!</definedName>
    <definedName name="______________BSD2" localSheetId="28">#REF!</definedName>
    <definedName name="______________BSD2" localSheetId="83">#REF!</definedName>
    <definedName name="______________BSD2">#REF!</definedName>
    <definedName name="______________IED1" localSheetId="43">#REF!</definedName>
    <definedName name="______________IED1" localSheetId="44">#REF!</definedName>
    <definedName name="______________IED1" localSheetId="36">#REF!</definedName>
    <definedName name="______________IED1" localSheetId="37">#REF!</definedName>
    <definedName name="______________IED1" localSheetId="28">#REF!</definedName>
    <definedName name="______________IED1" localSheetId="83">#REF!</definedName>
    <definedName name="______________IED1">#REF!</definedName>
    <definedName name="______________IED2" localSheetId="43">#REF!</definedName>
    <definedName name="______________IED2" localSheetId="44">#REF!</definedName>
    <definedName name="______________IED2" localSheetId="36">#REF!</definedName>
    <definedName name="______________IED2" localSheetId="37">#REF!</definedName>
    <definedName name="______________IED2" localSheetId="28">#REF!</definedName>
    <definedName name="______________IED2" localSheetId="83">#REF!</definedName>
    <definedName name="______________IED2">#REF!</definedName>
    <definedName name="_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NCS111">'[8]Schedule-1'!$B$1:$J$1</definedName>
    <definedName name="______________SCH6" localSheetId="43">'[5]04REL'!#REF!</definedName>
    <definedName name="______________SCH6" localSheetId="44">'[5]04REL'!#REF!</definedName>
    <definedName name="______________SCH6" localSheetId="36">'[6]04REL'!#REF!</definedName>
    <definedName name="______________SCH6" localSheetId="28">'[5]04REL'!#REF!</definedName>
    <definedName name="______________SCH6" localSheetId="56">'[6]04REL'!#REF!</definedName>
    <definedName name="______________SCH6" localSheetId="83">'[1]04REL'!#REF!</definedName>
    <definedName name="______________SCH6" localSheetId="90">'[6]04REL'!#REF!</definedName>
    <definedName name="______________SCH6" localSheetId="91">'[6]04REL'!#REF!</definedName>
    <definedName name="______________SCH6" localSheetId="94">'[6]04REL'!#REF!</definedName>
    <definedName name="______________SCH6">'[7]04REL'!#REF!</definedName>
    <definedName name="_____________a65565" localSheetId="43">#REF!</definedName>
    <definedName name="_____________a65565" localSheetId="44">#REF!</definedName>
    <definedName name="_____________a65565">#REF!</definedName>
    <definedName name="_____________Apr02" localSheetId="43">[10]Newabstract!#REF!</definedName>
    <definedName name="_____________Apr02" localSheetId="44">[10]Newabstract!#REF!</definedName>
    <definedName name="_____________Apr02" localSheetId="36">[10]Newabstract!#REF!</definedName>
    <definedName name="_____________Apr02" localSheetId="28">[10]Newabstract!#REF!</definedName>
    <definedName name="_____________Apr02" localSheetId="83">[1]Newabstract!#REF!</definedName>
    <definedName name="_____________Apr02">[10]Newabstract!#REF!</definedName>
    <definedName name="_____________Apr03" localSheetId="43">[10]Newabstract!#REF!</definedName>
    <definedName name="_____________Apr03" localSheetId="44">[10]Newabstract!#REF!</definedName>
    <definedName name="_____________Apr03" localSheetId="36">[10]Newabstract!#REF!</definedName>
    <definedName name="_____________Apr03" localSheetId="28">[10]Newabstract!#REF!</definedName>
    <definedName name="_____________Apr03" localSheetId="83">[1]Newabstract!#REF!</definedName>
    <definedName name="_____________Apr03">[10]Newabstract!#REF!</definedName>
    <definedName name="_____________Apr04" localSheetId="43">[10]Newabstract!#REF!</definedName>
    <definedName name="_____________Apr04" localSheetId="44">[10]Newabstract!#REF!</definedName>
    <definedName name="_____________Apr04" localSheetId="36">[10]Newabstract!#REF!</definedName>
    <definedName name="_____________Apr04" localSheetId="28">[10]Newabstract!#REF!</definedName>
    <definedName name="_____________Apr04" localSheetId="83">[1]Newabstract!#REF!</definedName>
    <definedName name="_____________Apr04">[10]Newabstract!#REF!</definedName>
    <definedName name="_____________Apr05" localSheetId="43">[10]Newabstract!#REF!</definedName>
    <definedName name="_____________Apr05" localSheetId="44">[10]Newabstract!#REF!</definedName>
    <definedName name="_____________Apr05" localSheetId="36">[10]Newabstract!#REF!</definedName>
    <definedName name="_____________Apr05" localSheetId="28">[10]Newabstract!#REF!</definedName>
    <definedName name="_____________Apr05" localSheetId="83">[1]Newabstract!#REF!</definedName>
    <definedName name="_____________Apr05">[10]Newabstract!#REF!</definedName>
    <definedName name="_____________Apr06" localSheetId="43">[10]Newabstract!#REF!</definedName>
    <definedName name="_____________Apr06" localSheetId="44">[10]Newabstract!#REF!</definedName>
    <definedName name="_____________Apr06" localSheetId="36">[10]Newabstract!#REF!</definedName>
    <definedName name="_____________Apr06" localSheetId="28">[10]Newabstract!#REF!</definedName>
    <definedName name="_____________Apr06" localSheetId="83">[1]Newabstract!#REF!</definedName>
    <definedName name="_____________Apr06">[10]Newabstract!#REF!</definedName>
    <definedName name="_____________Apr07" localSheetId="43">[10]Newabstract!#REF!</definedName>
    <definedName name="_____________Apr07" localSheetId="44">[10]Newabstract!#REF!</definedName>
    <definedName name="_____________Apr07" localSheetId="36">[10]Newabstract!#REF!</definedName>
    <definedName name="_____________Apr07" localSheetId="28">[10]Newabstract!#REF!</definedName>
    <definedName name="_____________Apr07" localSheetId="83">[1]Newabstract!#REF!</definedName>
    <definedName name="_____________Apr07">[10]Newabstract!#REF!</definedName>
    <definedName name="_____________Apr08" localSheetId="43">[10]Newabstract!#REF!</definedName>
    <definedName name="_____________Apr08" localSheetId="44">[10]Newabstract!#REF!</definedName>
    <definedName name="_____________Apr08" localSheetId="36">[10]Newabstract!#REF!</definedName>
    <definedName name="_____________Apr08" localSheetId="28">[10]Newabstract!#REF!</definedName>
    <definedName name="_____________Apr08" localSheetId="83">[1]Newabstract!#REF!</definedName>
    <definedName name="_____________Apr08">[10]Newabstract!#REF!</definedName>
    <definedName name="_____________Apr09" localSheetId="43">[10]Newabstract!#REF!</definedName>
    <definedName name="_____________Apr09" localSheetId="44">[10]Newabstract!#REF!</definedName>
    <definedName name="_____________Apr09" localSheetId="36">[10]Newabstract!#REF!</definedName>
    <definedName name="_____________Apr09" localSheetId="28">[10]Newabstract!#REF!</definedName>
    <definedName name="_____________Apr09" localSheetId="83">[1]Newabstract!#REF!</definedName>
    <definedName name="_____________Apr09">[10]Newabstract!#REF!</definedName>
    <definedName name="_____________Apr10" localSheetId="43">[10]Newabstract!#REF!</definedName>
    <definedName name="_____________Apr10" localSheetId="44">[10]Newabstract!#REF!</definedName>
    <definedName name="_____________Apr10" localSheetId="36">[10]Newabstract!#REF!</definedName>
    <definedName name="_____________Apr10" localSheetId="28">[10]Newabstract!#REF!</definedName>
    <definedName name="_____________Apr10" localSheetId="83">[1]Newabstract!#REF!</definedName>
    <definedName name="_____________Apr10">[10]Newabstract!#REF!</definedName>
    <definedName name="_____________Apr11" localSheetId="43">[10]Newabstract!#REF!</definedName>
    <definedName name="_____________Apr11" localSheetId="44">[10]Newabstract!#REF!</definedName>
    <definedName name="_____________Apr11" localSheetId="36">[10]Newabstract!#REF!</definedName>
    <definedName name="_____________Apr11" localSheetId="28">[10]Newabstract!#REF!</definedName>
    <definedName name="_____________Apr11" localSheetId="83">[1]Newabstract!#REF!</definedName>
    <definedName name="_____________Apr11">[10]Newabstract!#REF!</definedName>
    <definedName name="_____________Apr13" localSheetId="43">[10]Newabstract!#REF!</definedName>
    <definedName name="_____________Apr13" localSheetId="44">[10]Newabstract!#REF!</definedName>
    <definedName name="_____________Apr13" localSheetId="36">[10]Newabstract!#REF!</definedName>
    <definedName name="_____________Apr13" localSheetId="28">[10]Newabstract!#REF!</definedName>
    <definedName name="_____________Apr13" localSheetId="83">[1]Newabstract!#REF!</definedName>
    <definedName name="_____________Apr13">[10]Newabstract!#REF!</definedName>
    <definedName name="_____________Apr14" localSheetId="43">[10]Newabstract!#REF!</definedName>
    <definedName name="_____________Apr14" localSheetId="44">[10]Newabstract!#REF!</definedName>
    <definedName name="_____________Apr14" localSheetId="36">[10]Newabstract!#REF!</definedName>
    <definedName name="_____________Apr14" localSheetId="28">[10]Newabstract!#REF!</definedName>
    <definedName name="_____________Apr14" localSheetId="83">[1]Newabstract!#REF!</definedName>
    <definedName name="_____________Apr14">[10]Newabstract!#REF!</definedName>
    <definedName name="_____________Apr15" localSheetId="43">[10]Newabstract!#REF!</definedName>
    <definedName name="_____________Apr15" localSheetId="44">[10]Newabstract!#REF!</definedName>
    <definedName name="_____________Apr15" localSheetId="36">[10]Newabstract!#REF!</definedName>
    <definedName name="_____________Apr15" localSheetId="28">[10]Newabstract!#REF!</definedName>
    <definedName name="_____________Apr15" localSheetId="83">[1]Newabstract!#REF!</definedName>
    <definedName name="_____________Apr15">[10]Newabstract!#REF!</definedName>
    <definedName name="_____________Apr16" localSheetId="43">[10]Newabstract!#REF!</definedName>
    <definedName name="_____________Apr16" localSheetId="44">[10]Newabstract!#REF!</definedName>
    <definedName name="_____________Apr16" localSheetId="36">[10]Newabstract!#REF!</definedName>
    <definedName name="_____________Apr16" localSheetId="28">[10]Newabstract!#REF!</definedName>
    <definedName name="_____________Apr16" localSheetId="83">[1]Newabstract!#REF!</definedName>
    <definedName name="_____________Apr16">[10]Newabstract!#REF!</definedName>
    <definedName name="_____________Apr17" localSheetId="43">[10]Newabstract!#REF!</definedName>
    <definedName name="_____________Apr17" localSheetId="44">[10]Newabstract!#REF!</definedName>
    <definedName name="_____________Apr17" localSheetId="36">[10]Newabstract!#REF!</definedName>
    <definedName name="_____________Apr17" localSheetId="28">[10]Newabstract!#REF!</definedName>
    <definedName name="_____________Apr17" localSheetId="83">[1]Newabstract!#REF!</definedName>
    <definedName name="_____________Apr17">[10]Newabstract!#REF!</definedName>
    <definedName name="_____________Apr20" localSheetId="43">[10]Newabstract!#REF!</definedName>
    <definedName name="_____________Apr20" localSheetId="44">[10]Newabstract!#REF!</definedName>
    <definedName name="_____________Apr20" localSheetId="36">[10]Newabstract!#REF!</definedName>
    <definedName name="_____________Apr20" localSheetId="28">[10]Newabstract!#REF!</definedName>
    <definedName name="_____________Apr20" localSheetId="83">[1]Newabstract!#REF!</definedName>
    <definedName name="_____________Apr20">[10]Newabstract!#REF!</definedName>
    <definedName name="_____________Apr21" localSheetId="43">[10]Newabstract!#REF!</definedName>
    <definedName name="_____________Apr21" localSheetId="44">[10]Newabstract!#REF!</definedName>
    <definedName name="_____________Apr21" localSheetId="36">[10]Newabstract!#REF!</definedName>
    <definedName name="_____________Apr21" localSheetId="28">[10]Newabstract!#REF!</definedName>
    <definedName name="_____________Apr21" localSheetId="83">[1]Newabstract!#REF!</definedName>
    <definedName name="_____________Apr21">[10]Newabstract!#REF!</definedName>
    <definedName name="_____________Apr22" localSheetId="43">[10]Newabstract!#REF!</definedName>
    <definedName name="_____________Apr22" localSheetId="44">[10]Newabstract!#REF!</definedName>
    <definedName name="_____________Apr22" localSheetId="36">[10]Newabstract!#REF!</definedName>
    <definedName name="_____________Apr22" localSheetId="28">[10]Newabstract!#REF!</definedName>
    <definedName name="_____________Apr22" localSheetId="83">[1]Newabstract!#REF!</definedName>
    <definedName name="_____________Apr22">[10]Newabstract!#REF!</definedName>
    <definedName name="_____________Apr23" localSheetId="43">[10]Newabstract!#REF!</definedName>
    <definedName name="_____________Apr23" localSheetId="44">[10]Newabstract!#REF!</definedName>
    <definedName name="_____________Apr23" localSheetId="36">[10]Newabstract!#REF!</definedName>
    <definedName name="_____________Apr23" localSheetId="28">[10]Newabstract!#REF!</definedName>
    <definedName name="_____________Apr23" localSheetId="83">[1]Newabstract!#REF!</definedName>
    <definedName name="_____________Apr23">[10]Newabstract!#REF!</definedName>
    <definedName name="_____________Apr24" localSheetId="43">[10]Newabstract!#REF!</definedName>
    <definedName name="_____________Apr24" localSheetId="44">[10]Newabstract!#REF!</definedName>
    <definedName name="_____________Apr24" localSheetId="36">[10]Newabstract!#REF!</definedName>
    <definedName name="_____________Apr24" localSheetId="28">[10]Newabstract!#REF!</definedName>
    <definedName name="_____________Apr24" localSheetId="83">[1]Newabstract!#REF!</definedName>
    <definedName name="_____________Apr24">[10]Newabstract!#REF!</definedName>
    <definedName name="_____________Apr27" localSheetId="43">[10]Newabstract!#REF!</definedName>
    <definedName name="_____________Apr27" localSheetId="44">[10]Newabstract!#REF!</definedName>
    <definedName name="_____________Apr27" localSheetId="36">[10]Newabstract!#REF!</definedName>
    <definedName name="_____________Apr27" localSheetId="28">[10]Newabstract!#REF!</definedName>
    <definedName name="_____________Apr27" localSheetId="83">[1]Newabstract!#REF!</definedName>
    <definedName name="_____________Apr27">[10]Newabstract!#REF!</definedName>
    <definedName name="_____________Apr28" localSheetId="43">[10]Newabstract!#REF!</definedName>
    <definedName name="_____________Apr28" localSheetId="44">[10]Newabstract!#REF!</definedName>
    <definedName name="_____________Apr28" localSheetId="36">[10]Newabstract!#REF!</definedName>
    <definedName name="_____________Apr28" localSheetId="28">[10]Newabstract!#REF!</definedName>
    <definedName name="_____________Apr28" localSheetId="83">[1]Newabstract!#REF!</definedName>
    <definedName name="_____________Apr28">[10]Newabstract!#REF!</definedName>
    <definedName name="_____________Apr29" localSheetId="43">[10]Newabstract!#REF!</definedName>
    <definedName name="_____________Apr29" localSheetId="44">[10]Newabstract!#REF!</definedName>
    <definedName name="_____________Apr29" localSheetId="36">[10]Newabstract!#REF!</definedName>
    <definedName name="_____________Apr29" localSheetId="28">[10]Newabstract!#REF!</definedName>
    <definedName name="_____________Apr29" localSheetId="83">[1]Newabstract!#REF!</definedName>
    <definedName name="_____________Apr29">[10]Newabstract!#REF!</definedName>
    <definedName name="_____________Apr30" localSheetId="43">[10]Newabstract!#REF!</definedName>
    <definedName name="_____________Apr30" localSheetId="44">[10]Newabstract!#REF!</definedName>
    <definedName name="_____________Apr30" localSheetId="36">[10]Newabstract!#REF!</definedName>
    <definedName name="_____________Apr30" localSheetId="28">[10]Newabstract!#REF!</definedName>
    <definedName name="_____________Apr30" localSheetId="83">[1]Newabstract!#REF!</definedName>
    <definedName name="_____________Apr30">[10]Newabstract!#REF!</definedName>
    <definedName name="_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BSD1" localSheetId="43">#REF!</definedName>
    <definedName name="_____________BSD1" localSheetId="44">#REF!</definedName>
    <definedName name="_____________BSD1" localSheetId="36">#REF!</definedName>
    <definedName name="_____________BSD1" localSheetId="37">#REF!</definedName>
    <definedName name="_____________BSD1" localSheetId="28">#REF!</definedName>
    <definedName name="_____________BSD1" localSheetId="83">#REF!</definedName>
    <definedName name="_____________BSD1">#REF!</definedName>
    <definedName name="_____________BSD2" localSheetId="43">#REF!</definedName>
    <definedName name="_____________BSD2" localSheetId="44">#REF!</definedName>
    <definedName name="_____________BSD2" localSheetId="36">#REF!</definedName>
    <definedName name="_____________BSD2" localSheetId="37">#REF!</definedName>
    <definedName name="_____________BSD2" localSheetId="28">#REF!</definedName>
    <definedName name="_____________BSD2" localSheetId="83">#REF!</definedName>
    <definedName name="_____________BSD2">#REF!</definedName>
    <definedName name="_____________IED1" localSheetId="43">#REF!</definedName>
    <definedName name="_____________IED1" localSheetId="44">#REF!</definedName>
    <definedName name="_____________IED1" localSheetId="36">#REF!</definedName>
    <definedName name="_____________IED1" localSheetId="37">#REF!</definedName>
    <definedName name="_____________IED1" localSheetId="28">#REF!</definedName>
    <definedName name="_____________IED1" localSheetId="83">#REF!</definedName>
    <definedName name="_____________IED1">#REF!</definedName>
    <definedName name="_____________IED2" localSheetId="43">#REF!</definedName>
    <definedName name="_____________IED2" localSheetId="44">#REF!</definedName>
    <definedName name="_____________IED2" localSheetId="36">#REF!</definedName>
    <definedName name="_____________IED2" localSheetId="37">#REF!</definedName>
    <definedName name="_____________IED2" localSheetId="28">#REF!</definedName>
    <definedName name="_____________IED2" localSheetId="83">#REF!</definedName>
    <definedName name="_____________IED2">#REF!</definedName>
    <definedName name="_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Mar06" localSheetId="43">[10]Newabstract!#REF!</definedName>
    <definedName name="_____________Mar06" localSheetId="44">[10]Newabstract!#REF!</definedName>
    <definedName name="_____________Mar06" localSheetId="36">[10]Newabstract!#REF!</definedName>
    <definedName name="_____________Mar06" localSheetId="28">[10]Newabstract!#REF!</definedName>
    <definedName name="_____________Mar06" localSheetId="83">[1]Newabstract!#REF!</definedName>
    <definedName name="_____________Mar06">[10]Newabstract!#REF!</definedName>
    <definedName name="_____________Mar09" localSheetId="43">[10]Newabstract!#REF!</definedName>
    <definedName name="_____________Mar09" localSheetId="44">[10]Newabstract!#REF!</definedName>
    <definedName name="_____________Mar09" localSheetId="36">[10]Newabstract!#REF!</definedName>
    <definedName name="_____________Mar09" localSheetId="28">[10]Newabstract!#REF!</definedName>
    <definedName name="_____________Mar09" localSheetId="83">[1]Newabstract!#REF!</definedName>
    <definedName name="_____________Mar09">[10]Newabstract!#REF!</definedName>
    <definedName name="_____________Mar10" localSheetId="43">[10]Newabstract!#REF!</definedName>
    <definedName name="_____________Mar10" localSheetId="44">[10]Newabstract!#REF!</definedName>
    <definedName name="_____________Mar10" localSheetId="36">[10]Newabstract!#REF!</definedName>
    <definedName name="_____________Mar10" localSheetId="28">[10]Newabstract!#REF!</definedName>
    <definedName name="_____________Mar10" localSheetId="83">[1]Newabstract!#REF!</definedName>
    <definedName name="_____________Mar10">[10]Newabstract!#REF!</definedName>
    <definedName name="_____________Mar11" localSheetId="43">[10]Newabstract!#REF!</definedName>
    <definedName name="_____________Mar11" localSheetId="44">[10]Newabstract!#REF!</definedName>
    <definedName name="_____________Mar11" localSheetId="36">[10]Newabstract!#REF!</definedName>
    <definedName name="_____________Mar11" localSheetId="28">[10]Newabstract!#REF!</definedName>
    <definedName name="_____________Mar11" localSheetId="83">[1]Newabstract!#REF!</definedName>
    <definedName name="_____________Mar11">[10]Newabstract!#REF!</definedName>
    <definedName name="_____________Mar12" localSheetId="43">[10]Newabstract!#REF!</definedName>
    <definedName name="_____________Mar12" localSheetId="44">[10]Newabstract!#REF!</definedName>
    <definedName name="_____________Mar12" localSheetId="36">[10]Newabstract!#REF!</definedName>
    <definedName name="_____________Mar12" localSheetId="28">[10]Newabstract!#REF!</definedName>
    <definedName name="_____________Mar12" localSheetId="83">[1]Newabstract!#REF!</definedName>
    <definedName name="_____________Mar12">[10]Newabstract!#REF!</definedName>
    <definedName name="_____________Mar13" localSheetId="43">[10]Newabstract!#REF!</definedName>
    <definedName name="_____________Mar13" localSheetId="44">[10]Newabstract!#REF!</definedName>
    <definedName name="_____________Mar13" localSheetId="36">[10]Newabstract!#REF!</definedName>
    <definedName name="_____________Mar13" localSheetId="28">[10]Newabstract!#REF!</definedName>
    <definedName name="_____________Mar13" localSheetId="83">[1]Newabstract!#REF!</definedName>
    <definedName name="_____________Mar13">[10]Newabstract!#REF!</definedName>
    <definedName name="_____________Mar16" localSheetId="43">[10]Newabstract!#REF!</definedName>
    <definedName name="_____________Mar16" localSheetId="44">[10]Newabstract!#REF!</definedName>
    <definedName name="_____________Mar16" localSheetId="36">[10]Newabstract!#REF!</definedName>
    <definedName name="_____________Mar16" localSheetId="28">[10]Newabstract!#REF!</definedName>
    <definedName name="_____________Mar16" localSheetId="83">[1]Newabstract!#REF!</definedName>
    <definedName name="_____________Mar16">[10]Newabstract!#REF!</definedName>
    <definedName name="_____________Mar17" localSheetId="43">[10]Newabstract!#REF!</definedName>
    <definedName name="_____________Mar17" localSheetId="44">[10]Newabstract!#REF!</definedName>
    <definedName name="_____________Mar17" localSheetId="36">[10]Newabstract!#REF!</definedName>
    <definedName name="_____________Mar17" localSheetId="28">[10]Newabstract!#REF!</definedName>
    <definedName name="_____________Mar17" localSheetId="83">[1]Newabstract!#REF!</definedName>
    <definedName name="_____________Mar17">[10]Newabstract!#REF!</definedName>
    <definedName name="_____________Mar18" localSheetId="43">[10]Newabstract!#REF!</definedName>
    <definedName name="_____________Mar18" localSheetId="44">[10]Newabstract!#REF!</definedName>
    <definedName name="_____________Mar18" localSheetId="36">[10]Newabstract!#REF!</definedName>
    <definedName name="_____________Mar18" localSheetId="28">[10]Newabstract!#REF!</definedName>
    <definedName name="_____________Mar18" localSheetId="83">[1]Newabstract!#REF!</definedName>
    <definedName name="_____________Mar18">[10]Newabstract!#REF!</definedName>
    <definedName name="_____________Mar19" localSheetId="43">[10]Newabstract!#REF!</definedName>
    <definedName name="_____________Mar19" localSheetId="44">[10]Newabstract!#REF!</definedName>
    <definedName name="_____________Mar19" localSheetId="36">[10]Newabstract!#REF!</definedName>
    <definedName name="_____________Mar19" localSheetId="28">[10]Newabstract!#REF!</definedName>
    <definedName name="_____________Mar19" localSheetId="83">[1]Newabstract!#REF!</definedName>
    <definedName name="_____________Mar19">[10]Newabstract!#REF!</definedName>
    <definedName name="_____________Mar20" localSheetId="43">[10]Newabstract!#REF!</definedName>
    <definedName name="_____________Mar20" localSheetId="44">[10]Newabstract!#REF!</definedName>
    <definedName name="_____________Mar20" localSheetId="36">[10]Newabstract!#REF!</definedName>
    <definedName name="_____________Mar20" localSheetId="28">[10]Newabstract!#REF!</definedName>
    <definedName name="_____________Mar20" localSheetId="83">[1]Newabstract!#REF!</definedName>
    <definedName name="_____________Mar20">[10]Newabstract!#REF!</definedName>
    <definedName name="_____________Mar23" localSheetId="43">[10]Newabstract!#REF!</definedName>
    <definedName name="_____________Mar23" localSheetId="44">[10]Newabstract!#REF!</definedName>
    <definedName name="_____________Mar23" localSheetId="36">[10]Newabstract!#REF!</definedName>
    <definedName name="_____________Mar23" localSheetId="28">[10]Newabstract!#REF!</definedName>
    <definedName name="_____________Mar23" localSheetId="83">[1]Newabstract!#REF!</definedName>
    <definedName name="_____________Mar23">[10]Newabstract!#REF!</definedName>
    <definedName name="_____________Mar24" localSheetId="43">[10]Newabstract!#REF!</definedName>
    <definedName name="_____________Mar24" localSheetId="44">[10]Newabstract!#REF!</definedName>
    <definedName name="_____________Mar24" localSheetId="36">[10]Newabstract!#REF!</definedName>
    <definedName name="_____________Mar24" localSheetId="28">[10]Newabstract!#REF!</definedName>
    <definedName name="_____________Mar24" localSheetId="83">[1]Newabstract!#REF!</definedName>
    <definedName name="_____________Mar24">[10]Newabstract!#REF!</definedName>
    <definedName name="_____________Mar25" localSheetId="43">[10]Newabstract!#REF!</definedName>
    <definedName name="_____________Mar25" localSheetId="44">[10]Newabstract!#REF!</definedName>
    <definedName name="_____________Mar25" localSheetId="36">[10]Newabstract!#REF!</definedName>
    <definedName name="_____________Mar25" localSheetId="28">[10]Newabstract!#REF!</definedName>
    <definedName name="_____________Mar25" localSheetId="83">[1]Newabstract!#REF!</definedName>
    <definedName name="_____________Mar25">[10]Newabstract!#REF!</definedName>
    <definedName name="_____________Mar26" localSheetId="43">[10]Newabstract!#REF!</definedName>
    <definedName name="_____________Mar26" localSheetId="44">[10]Newabstract!#REF!</definedName>
    <definedName name="_____________Mar26" localSheetId="36">[10]Newabstract!#REF!</definedName>
    <definedName name="_____________Mar26" localSheetId="28">[10]Newabstract!#REF!</definedName>
    <definedName name="_____________Mar26" localSheetId="83">[1]Newabstract!#REF!</definedName>
    <definedName name="_____________Mar26">[10]Newabstract!#REF!</definedName>
    <definedName name="_____________Mar27" localSheetId="43">[10]Newabstract!#REF!</definedName>
    <definedName name="_____________Mar27" localSheetId="44">[10]Newabstract!#REF!</definedName>
    <definedName name="_____________Mar27" localSheetId="36">[10]Newabstract!#REF!</definedName>
    <definedName name="_____________Mar27" localSheetId="28">[10]Newabstract!#REF!</definedName>
    <definedName name="_____________Mar27" localSheetId="83">[1]Newabstract!#REF!</definedName>
    <definedName name="_____________Mar27">[10]Newabstract!#REF!</definedName>
    <definedName name="_____________Mar28" localSheetId="43">[10]Newabstract!#REF!</definedName>
    <definedName name="_____________Mar28" localSheetId="44">[10]Newabstract!#REF!</definedName>
    <definedName name="_____________Mar28" localSheetId="36">[10]Newabstract!#REF!</definedName>
    <definedName name="_____________Mar28" localSheetId="28">[10]Newabstract!#REF!</definedName>
    <definedName name="_____________Mar28" localSheetId="83">[1]Newabstract!#REF!</definedName>
    <definedName name="_____________Mar28">[10]Newabstract!#REF!</definedName>
    <definedName name="_____________Mar30" localSheetId="43">[10]Newabstract!#REF!</definedName>
    <definedName name="_____________Mar30" localSheetId="44">[10]Newabstract!#REF!</definedName>
    <definedName name="_____________Mar30" localSheetId="36">[10]Newabstract!#REF!</definedName>
    <definedName name="_____________Mar30" localSheetId="28">[10]Newabstract!#REF!</definedName>
    <definedName name="_____________Mar30" localSheetId="83">[1]Newabstract!#REF!</definedName>
    <definedName name="_____________Mar30">[10]Newabstract!#REF!</definedName>
    <definedName name="_____________Mar31" localSheetId="43">[10]Newabstract!#REF!</definedName>
    <definedName name="_____________Mar31" localSheetId="44">[10]Newabstract!#REF!</definedName>
    <definedName name="_____________Mar31" localSheetId="36">[10]Newabstract!#REF!</definedName>
    <definedName name="_____________Mar31" localSheetId="28">[10]Newabstract!#REF!</definedName>
    <definedName name="_____________Mar31" localSheetId="83">[1]Newabstract!#REF!</definedName>
    <definedName name="_____________Mar31">[10]Newabstract!#REF!</definedName>
    <definedName name="_____________NCS111">'[8]Schedule-1'!$B$1:$J$1</definedName>
    <definedName name="_____________SCH6" localSheetId="43">'[5]04REL'!#REF!</definedName>
    <definedName name="_____________SCH6" localSheetId="44">'[5]04REL'!#REF!</definedName>
    <definedName name="_____________SCH6" localSheetId="36">'[6]04REL'!#REF!</definedName>
    <definedName name="_____________SCH6" localSheetId="28">'[5]04REL'!#REF!</definedName>
    <definedName name="_____________SCH6" localSheetId="56">'[6]04REL'!#REF!</definedName>
    <definedName name="_____________SCH6" localSheetId="83">'[1]04REL'!#REF!</definedName>
    <definedName name="_____________SCH6" localSheetId="90">'[6]04REL'!#REF!</definedName>
    <definedName name="_____________SCH6" localSheetId="91">'[6]04REL'!#REF!</definedName>
    <definedName name="_____________SCH6" localSheetId="94">'[6]04REL'!#REF!</definedName>
    <definedName name="_____________SCH6">'[7]04REL'!#REF!</definedName>
    <definedName name="____________a65565" localSheetId="43">#REF!</definedName>
    <definedName name="____________a65565" localSheetId="44">#REF!</definedName>
    <definedName name="____________a65565">#REF!</definedName>
    <definedName name="_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BSD1" localSheetId="43">#REF!</definedName>
    <definedName name="____________BSD1" localSheetId="44">#REF!</definedName>
    <definedName name="____________BSD1" localSheetId="36">#REF!</definedName>
    <definedName name="____________BSD1" localSheetId="37">#REF!</definedName>
    <definedName name="____________BSD1" localSheetId="28">#REF!</definedName>
    <definedName name="____________BSD1" localSheetId="83">#REF!</definedName>
    <definedName name="____________BSD1">#REF!</definedName>
    <definedName name="____________BSD2" localSheetId="43">#REF!</definedName>
    <definedName name="____________BSD2" localSheetId="44">#REF!</definedName>
    <definedName name="____________BSD2" localSheetId="36">#REF!</definedName>
    <definedName name="____________BSD2" localSheetId="37">#REF!</definedName>
    <definedName name="____________BSD2" localSheetId="28">#REF!</definedName>
    <definedName name="____________BSD2" localSheetId="83">#REF!</definedName>
    <definedName name="____________BSD2">#REF!</definedName>
    <definedName name="____________IED1" localSheetId="43">#REF!</definedName>
    <definedName name="____________IED1" localSheetId="44">#REF!</definedName>
    <definedName name="____________IED1" localSheetId="36">#REF!</definedName>
    <definedName name="____________IED1" localSheetId="37">#REF!</definedName>
    <definedName name="____________IED1" localSheetId="28">#REF!</definedName>
    <definedName name="____________IED1" localSheetId="83">#REF!</definedName>
    <definedName name="____________IED1">#REF!</definedName>
    <definedName name="____________IED2" localSheetId="43">#REF!</definedName>
    <definedName name="____________IED2" localSheetId="44">#REF!</definedName>
    <definedName name="____________IED2" localSheetId="36">#REF!</definedName>
    <definedName name="____________IED2" localSheetId="37">#REF!</definedName>
    <definedName name="____________IED2" localSheetId="28">#REF!</definedName>
    <definedName name="____________IED2" localSheetId="83">#REF!</definedName>
    <definedName name="____________IED2">#REF!</definedName>
    <definedName name="_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NCS111">'[8]Schedule-1'!$B$1:$J$1</definedName>
    <definedName name="____________SCH6" localSheetId="43">'[5]04REL'!#REF!</definedName>
    <definedName name="____________SCH6" localSheetId="44">'[5]04REL'!#REF!</definedName>
    <definedName name="____________SCH6" localSheetId="36">'[6]04REL'!#REF!</definedName>
    <definedName name="____________SCH6" localSheetId="28">'[5]04REL'!#REF!</definedName>
    <definedName name="____________SCH6" localSheetId="56">'[6]04REL'!#REF!</definedName>
    <definedName name="____________SCH6" localSheetId="83">'[1]04REL'!#REF!</definedName>
    <definedName name="____________SCH6" localSheetId="90">'[6]04REL'!#REF!</definedName>
    <definedName name="____________SCH6" localSheetId="91">'[6]04REL'!#REF!</definedName>
    <definedName name="____________SCH6" localSheetId="94">'[6]04REL'!#REF!</definedName>
    <definedName name="____________SCH6">'[7]04REL'!#REF!</definedName>
    <definedName name="___________a65565" localSheetId="43">#REF!</definedName>
    <definedName name="___________a65565" localSheetId="44">#REF!</definedName>
    <definedName name="___________a65565">#REF!</definedName>
    <definedName name="_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BSD1" localSheetId="43">#REF!</definedName>
    <definedName name="___________BSD1" localSheetId="44">#REF!</definedName>
    <definedName name="___________BSD1" localSheetId="36">#REF!</definedName>
    <definedName name="___________BSD1" localSheetId="37">#REF!</definedName>
    <definedName name="___________BSD1" localSheetId="28">#REF!</definedName>
    <definedName name="___________BSD1" localSheetId="83">#REF!</definedName>
    <definedName name="___________BSD1">#REF!</definedName>
    <definedName name="___________BSD2" localSheetId="43">#REF!</definedName>
    <definedName name="___________BSD2" localSheetId="44">#REF!</definedName>
    <definedName name="___________BSD2" localSheetId="36">#REF!</definedName>
    <definedName name="___________BSD2" localSheetId="37">#REF!</definedName>
    <definedName name="___________BSD2" localSheetId="28">#REF!</definedName>
    <definedName name="___________BSD2" localSheetId="83">#REF!</definedName>
    <definedName name="___________BSD2">#REF!</definedName>
    <definedName name="___________IED1" localSheetId="43">#REF!</definedName>
    <definedName name="___________IED1" localSheetId="44">#REF!</definedName>
    <definedName name="___________IED1" localSheetId="36">#REF!</definedName>
    <definedName name="___________IED1" localSheetId="37">#REF!</definedName>
    <definedName name="___________IED1" localSheetId="28">#REF!</definedName>
    <definedName name="___________IED1" localSheetId="83">#REF!</definedName>
    <definedName name="___________IED1">#REF!</definedName>
    <definedName name="___________IED2" localSheetId="43">#REF!</definedName>
    <definedName name="___________IED2" localSheetId="44">#REF!</definedName>
    <definedName name="___________IED2" localSheetId="36">#REF!</definedName>
    <definedName name="___________IED2" localSheetId="37">#REF!</definedName>
    <definedName name="___________IED2" localSheetId="28">#REF!</definedName>
    <definedName name="___________IED2" localSheetId="83">#REF!</definedName>
    <definedName name="___________IED2">#REF!</definedName>
    <definedName name="_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NCS111">'[8]Schedule-1'!$B$1:$J$1</definedName>
    <definedName name="___________PH1">#N/A</definedName>
    <definedName name="___________SCH6" localSheetId="43">'[5]04REL'!#REF!</definedName>
    <definedName name="___________SCH6" localSheetId="44">'[5]04REL'!#REF!</definedName>
    <definedName name="___________SCH6" localSheetId="36">'[6]04REL'!#REF!</definedName>
    <definedName name="___________SCH6" localSheetId="28">'[5]04REL'!#REF!</definedName>
    <definedName name="___________SCH6" localSheetId="56">'[6]04REL'!#REF!</definedName>
    <definedName name="___________SCH6" localSheetId="83">'[1]04REL'!#REF!</definedName>
    <definedName name="___________SCH6" localSheetId="90">'[6]04REL'!#REF!</definedName>
    <definedName name="___________SCH6" localSheetId="91">'[6]04REL'!#REF!</definedName>
    <definedName name="___________SCH6" localSheetId="94">'[6]04REL'!#REF!</definedName>
    <definedName name="___________SCH6">'[7]04REL'!#REF!</definedName>
    <definedName name="__________a65565" localSheetId="43">#REF!</definedName>
    <definedName name="__________a65565" localSheetId="44">#REF!</definedName>
    <definedName name="__________a65565">#REF!</definedName>
    <definedName name="_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BSD1" localSheetId="43">#REF!</definedName>
    <definedName name="__________BSD1" localSheetId="44">#REF!</definedName>
    <definedName name="__________BSD1" localSheetId="36">#REF!</definedName>
    <definedName name="__________BSD1" localSheetId="37">#REF!</definedName>
    <definedName name="__________BSD1" localSheetId="28">#REF!</definedName>
    <definedName name="__________BSD1" localSheetId="83">#REF!</definedName>
    <definedName name="__________BSD1">#REF!</definedName>
    <definedName name="__________BSD2" localSheetId="43">#REF!</definedName>
    <definedName name="__________BSD2" localSheetId="44">#REF!</definedName>
    <definedName name="__________BSD2" localSheetId="36">#REF!</definedName>
    <definedName name="__________BSD2" localSheetId="37">#REF!</definedName>
    <definedName name="__________BSD2" localSheetId="28">#REF!</definedName>
    <definedName name="__________BSD2" localSheetId="83">#REF!</definedName>
    <definedName name="__________BSD2">#REF!</definedName>
    <definedName name="__________IED1" localSheetId="43">#REF!</definedName>
    <definedName name="__________IED1" localSheetId="44">#REF!</definedName>
    <definedName name="__________IED1" localSheetId="36">#REF!</definedName>
    <definedName name="__________IED1" localSheetId="37">#REF!</definedName>
    <definedName name="__________IED1" localSheetId="28">#REF!</definedName>
    <definedName name="__________IED1" localSheetId="83">#REF!</definedName>
    <definedName name="__________IED1">#REF!</definedName>
    <definedName name="__________IED2" localSheetId="43">#REF!</definedName>
    <definedName name="__________IED2" localSheetId="44">#REF!</definedName>
    <definedName name="__________IED2" localSheetId="36">#REF!</definedName>
    <definedName name="__________IED2" localSheetId="37">#REF!</definedName>
    <definedName name="__________IED2" localSheetId="28">#REF!</definedName>
    <definedName name="__________IED2" localSheetId="83">#REF!</definedName>
    <definedName name="__________IED2">#REF!</definedName>
    <definedName name="_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NCS111">'[8]Schedule-1'!$B$1:$J$1</definedName>
    <definedName name="__________PH1">#N/A</definedName>
    <definedName name="__________SCH6" localSheetId="43">'[5]04REL'!#REF!</definedName>
    <definedName name="__________SCH6" localSheetId="44">'[5]04REL'!#REF!</definedName>
    <definedName name="__________SCH6" localSheetId="36">'[6]04REL'!#REF!</definedName>
    <definedName name="__________SCH6" localSheetId="28">'[5]04REL'!#REF!</definedName>
    <definedName name="__________SCH6" localSheetId="56">'[6]04REL'!#REF!</definedName>
    <definedName name="__________SCH6" localSheetId="83">'[1]04REL'!#REF!</definedName>
    <definedName name="__________SCH6" localSheetId="90">'[6]04REL'!#REF!</definedName>
    <definedName name="__________SCH6" localSheetId="91">'[6]04REL'!#REF!</definedName>
    <definedName name="__________SCH6" localSheetId="94">'[6]04REL'!#REF!</definedName>
    <definedName name="__________SCH6">'[7]04REL'!#REF!</definedName>
    <definedName name="_________a65565" localSheetId="43">#REF!</definedName>
    <definedName name="_________a65565" localSheetId="44">#REF!</definedName>
    <definedName name="_________a65565">#REF!</definedName>
    <definedName name="_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BSD1" localSheetId="43">#REF!</definedName>
    <definedName name="_________BSD1" localSheetId="44">#REF!</definedName>
    <definedName name="_________BSD1" localSheetId="36">#REF!</definedName>
    <definedName name="_________BSD1" localSheetId="37">#REF!</definedName>
    <definedName name="_________BSD1" localSheetId="28">#REF!</definedName>
    <definedName name="_________BSD1" localSheetId="56">#REF!</definedName>
    <definedName name="_________BSD1" localSheetId="83">#REF!</definedName>
    <definedName name="_________BSD1">#REF!</definedName>
    <definedName name="_________BSD2" localSheetId="43">#REF!</definedName>
    <definedName name="_________BSD2" localSheetId="44">#REF!</definedName>
    <definedName name="_________BSD2" localSheetId="36">#REF!</definedName>
    <definedName name="_________BSD2" localSheetId="37">#REF!</definedName>
    <definedName name="_________BSD2" localSheetId="28">#REF!</definedName>
    <definedName name="_________BSD2" localSheetId="83">#REF!</definedName>
    <definedName name="_________BSD2">#REF!</definedName>
    <definedName name="_________IED1" localSheetId="43">#REF!</definedName>
    <definedName name="_________IED1" localSheetId="44">#REF!</definedName>
    <definedName name="_________IED1" localSheetId="36">#REF!</definedName>
    <definedName name="_________IED1" localSheetId="37">#REF!</definedName>
    <definedName name="_________IED1" localSheetId="28">#REF!</definedName>
    <definedName name="_________IED1" localSheetId="83">#REF!</definedName>
    <definedName name="_________IED1">#REF!</definedName>
    <definedName name="_________IED2" localSheetId="43">#REF!</definedName>
    <definedName name="_________IED2" localSheetId="44">#REF!</definedName>
    <definedName name="_________IED2" localSheetId="36">#REF!</definedName>
    <definedName name="_________IED2" localSheetId="37">#REF!</definedName>
    <definedName name="_________IED2" localSheetId="28">#REF!</definedName>
    <definedName name="_________IED2" localSheetId="83">#REF!</definedName>
    <definedName name="_________IED2">#REF!</definedName>
    <definedName name="_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NCS111">'[8]Schedule-1'!$B$1:$J$1</definedName>
    <definedName name="_________PH1">#N/A</definedName>
    <definedName name="_________SCH6" localSheetId="43">'[5]04REL'!#REF!</definedName>
    <definedName name="_________SCH6" localSheetId="44">'[5]04REL'!#REF!</definedName>
    <definedName name="_________SCH6" localSheetId="36">'[6]04REL'!#REF!</definedName>
    <definedName name="_________SCH6" localSheetId="28">'[5]04REL'!#REF!</definedName>
    <definedName name="_________SCH6" localSheetId="56">'[6]04REL'!#REF!</definedName>
    <definedName name="_________SCH6" localSheetId="83">'[1]04REL'!#REF!</definedName>
    <definedName name="_________SCH6" localSheetId="90">'[6]04REL'!#REF!</definedName>
    <definedName name="_________SCH6" localSheetId="91">'[6]04REL'!#REF!</definedName>
    <definedName name="_________SCH6" localSheetId="94">'[6]04REL'!#REF!</definedName>
    <definedName name="_________SCH6">'[7]04REL'!#REF!</definedName>
    <definedName name="________a65565" localSheetId="43">#REF!</definedName>
    <definedName name="________a65565" localSheetId="44">#REF!</definedName>
    <definedName name="________a65565">#REF!</definedName>
    <definedName name="________Apr02" localSheetId="43">[10]Newabstract!#REF!</definedName>
    <definedName name="________Apr02" localSheetId="44">[10]Newabstract!#REF!</definedName>
    <definedName name="________Apr02" localSheetId="36">[10]Newabstract!#REF!</definedName>
    <definedName name="________Apr02" localSheetId="28">[10]Newabstract!#REF!</definedName>
    <definedName name="________Apr02" localSheetId="83">[1]Newabstract!#REF!</definedName>
    <definedName name="________Apr02">[10]Newabstract!#REF!</definedName>
    <definedName name="________Apr03" localSheetId="43">[10]Newabstract!#REF!</definedName>
    <definedName name="________Apr03" localSheetId="44">[10]Newabstract!#REF!</definedName>
    <definedName name="________Apr03" localSheetId="36">[10]Newabstract!#REF!</definedName>
    <definedName name="________Apr03" localSheetId="28">[10]Newabstract!#REF!</definedName>
    <definedName name="________Apr03" localSheetId="83">[1]Newabstract!#REF!</definedName>
    <definedName name="________Apr03">[10]Newabstract!#REF!</definedName>
    <definedName name="________Apr04" localSheetId="43">[10]Newabstract!#REF!</definedName>
    <definedName name="________Apr04" localSheetId="44">[10]Newabstract!#REF!</definedName>
    <definedName name="________Apr04" localSheetId="36">[10]Newabstract!#REF!</definedName>
    <definedName name="________Apr04" localSheetId="28">[10]Newabstract!#REF!</definedName>
    <definedName name="________Apr04" localSheetId="83">[1]Newabstract!#REF!</definedName>
    <definedName name="________Apr04">[10]Newabstract!#REF!</definedName>
    <definedName name="________Apr05" localSheetId="43">[10]Newabstract!#REF!</definedName>
    <definedName name="________Apr05" localSheetId="44">[10]Newabstract!#REF!</definedName>
    <definedName name="________Apr05" localSheetId="36">[10]Newabstract!#REF!</definedName>
    <definedName name="________Apr05" localSheetId="28">[10]Newabstract!#REF!</definedName>
    <definedName name="________Apr05" localSheetId="83">[1]Newabstract!#REF!</definedName>
    <definedName name="________Apr05">[10]Newabstract!#REF!</definedName>
    <definedName name="________Apr06" localSheetId="43">[10]Newabstract!#REF!</definedName>
    <definedName name="________Apr06" localSheetId="44">[10]Newabstract!#REF!</definedName>
    <definedName name="________Apr06" localSheetId="36">[10]Newabstract!#REF!</definedName>
    <definedName name="________Apr06" localSheetId="28">[10]Newabstract!#REF!</definedName>
    <definedName name="________Apr06" localSheetId="83">[1]Newabstract!#REF!</definedName>
    <definedName name="________Apr06">[10]Newabstract!#REF!</definedName>
    <definedName name="________Apr07" localSheetId="43">[10]Newabstract!#REF!</definedName>
    <definedName name="________Apr07" localSheetId="44">[10]Newabstract!#REF!</definedName>
    <definedName name="________Apr07" localSheetId="36">[10]Newabstract!#REF!</definedName>
    <definedName name="________Apr07" localSheetId="28">[10]Newabstract!#REF!</definedName>
    <definedName name="________Apr07" localSheetId="83">[1]Newabstract!#REF!</definedName>
    <definedName name="________Apr07">[10]Newabstract!#REF!</definedName>
    <definedName name="________Apr08" localSheetId="43">[10]Newabstract!#REF!</definedName>
    <definedName name="________Apr08" localSheetId="44">[10]Newabstract!#REF!</definedName>
    <definedName name="________Apr08" localSheetId="36">[10]Newabstract!#REF!</definedName>
    <definedName name="________Apr08" localSheetId="28">[10]Newabstract!#REF!</definedName>
    <definedName name="________Apr08" localSheetId="83">[1]Newabstract!#REF!</definedName>
    <definedName name="________Apr08">[10]Newabstract!#REF!</definedName>
    <definedName name="________Apr09" localSheetId="43">[10]Newabstract!#REF!</definedName>
    <definedName name="________Apr09" localSheetId="44">[10]Newabstract!#REF!</definedName>
    <definedName name="________Apr09" localSheetId="36">[10]Newabstract!#REF!</definedName>
    <definedName name="________Apr09" localSheetId="28">[10]Newabstract!#REF!</definedName>
    <definedName name="________Apr09" localSheetId="83">[1]Newabstract!#REF!</definedName>
    <definedName name="________Apr09">[10]Newabstract!#REF!</definedName>
    <definedName name="________Apr10" localSheetId="43">[10]Newabstract!#REF!</definedName>
    <definedName name="________Apr10" localSheetId="44">[10]Newabstract!#REF!</definedName>
    <definedName name="________Apr10" localSheetId="36">[10]Newabstract!#REF!</definedName>
    <definedName name="________Apr10" localSheetId="28">[10]Newabstract!#REF!</definedName>
    <definedName name="________Apr10" localSheetId="83">[1]Newabstract!#REF!</definedName>
    <definedName name="________Apr10">[10]Newabstract!#REF!</definedName>
    <definedName name="________Apr11" localSheetId="43">[10]Newabstract!#REF!</definedName>
    <definedName name="________Apr11" localSheetId="44">[10]Newabstract!#REF!</definedName>
    <definedName name="________Apr11" localSheetId="36">[10]Newabstract!#REF!</definedName>
    <definedName name="________Apr11" localSheetId="28">[10]Newabstract!#REF!</definedName>
    <definedName name="________Apr11" localSheetId="83">[1]Newabstract!#REF!</definedName>
    <definedName name="________Apr11">[10]Newabstract!#REF!</definedName>
    <definedName name="________Apr13" localSheetId="43">[10]Newabstract!#REF!</definedName>
    <definedName name="________Apr13" localSheetId="44">[10]Newabstract!#REF!</definedName>
    <definedName name="________Apr13" localSheetId="36">[10]Newabstract!#REF!</definedName>
    <definedName name="________Apr13" localSheetId="28">[10]Newabstract!#REF!</definedName>
    <definedName name="________Apr13" localSheetId="83">[1]Newabstract!#REF!</definedName>
    <definedName name="________Apr13">[10]Newabstract!#REF!</definedName>
    <definedName name="________Apr14" localSheetId="43">[10]Newabstract!#REF!</definedName>
    <definedName name="________Apr14" localSheetId="44">[10]Newabstract!#REF!</definedName>
    <definedName name="________Apr14" localSheetId="36">[10]Newabstract!#REF!</definedName>
    <definedName name="________Apr14" localSheetId="28">[10]Newabstract!#REF!</definedName>
    <definedName name="________Apr14" localSheetId="83">[1]Newabstract!#REF!</definedName>
    <definedName name="________Apr14">[10]Newabstract!#REF!</definedName>
    <definedName name="________Apr15" localSheetId="43">[10]Newabstract!#REF!</definedName>
    <definedName name="________Apr15" localSheetId="44">[10]Newabstract!#REF!</definedName>
    <definedName name="________Apr15" localSheetId="36">[10]Newabstract!#REF!</definedName>
    <definedName name="________Apr15" localSheetId="28">[10]Newabstract!#REF!</definedName>
    <definedName name="________Apr15" localSheetId="83">[1]Newabstract!#REF!</definedName>
    <definedName name="________Apr15">[10]Newabstract!#REF!</definedName>
    <definedName name="________Apr16" localSheetId="43">[10]Newabstract!#REF!</definedName>
    <definedName name="________Apr16" localSheetId="44">[10]Newabstract!#REF!</definedName>
    <definedName name="________Apr16" localSheetId="36">[10]Newabstract!#REF!</definedName>
    <definedName name="________Apr16" localSheetId="28">[10]Newabstract!#REF!</definedName>
    <definedName name="________Apr16" localSheetId="83">[1]Newabstract!#REF!</definedName>
    <definedName name="________Apr16">[10]Newabstract!#REF!</definedName>
    <definedName name="________Apr17" localSheetId="43">[10]Newabstract!#REF!</definedName>
    <definedName name="________Apr17" localSheetId="44">[10]Newabstract!#REF!</definedName>
    <definedName name="________Apr17" localSheetId="36">[10]Newabstract!#REF!</definedName>
    <definedName name="________Apr17" localSheetId="28">[10]Newabstract!#REF!</definedName>
    <definedName name="________Apr17" localSheetId="83">[1]Newabstract!#REF!</definedName>
    <definedName name="________Apr17">[10]Newabstract!#REF!</definedName>
    <definedName name="________Apr20" localSheetId="43">[10]Newabstract!#REF!</definedName>
    <definedName name="________Apr20" localSheetId="44">[10]Newabstract!#REF!</definedName>
    <definedName name="________Apr20" localSheetId="36">[10]Newabstract!#REF!</definedName>
    <definedName name="________Apr20" localSheetId="28">[10]Newabstract!#REF!</definedName>
    <definedName name="________Apr20" localSheetId="83">[1]Newabstract!#REF!</definedName>
    <definedName name="________Apr20">[10]Newabstract!#REF!</definedName>
    <definedName name="________Apr21" localSheetId="43">[10]Newabstract!#REF!</definedName>
    <definedName name="________Apr21" localSheetId="44">[10]Newabstract!#REF!</definedName>
    <definedName name="________Apr21" localSheetId="36">[10]Newabstract!#REF!</definedName>
    <definedName name="________Apr21" localSheetId="28">[10]Newabstract!#REF!</definedName>
    <definedName name="________Apr21" localSheetId="83">[1]Newabstract!#REF!</definedName>
    <definedName name="________Apr21">[10]Newabstract!#REF!</definedName>
    <definedName name="________Apr22" localSheetId="43">[10]Newabstract!#REF!</definedName>
    <definedName name="________Apr22" localSheetId="44">[10]Newabstract!#REF!</definedName>
    <definedName name="________Apr22" localSheetId="36">[10]Newabstract!#REF!</definedName>
    <definedName name="________Apr22" localSheetId="28">[10]Newabstract!#REF!</definedName>
    <definedName name="________Apr22" localSheetId="83">[1]Newabstract!#REF!</definedName>
    <definedName name="________Apr22">[10]Newabstract!#REF!</definedName>
    <definedName name="________Apr23" localSheetId="43">[10]Newabstract!#REF!</definedName>
    <definedName name="________Apr23" localSheetId="44">[10]Newabstract!#REF!</definedName>
    <definedName name="________Apr23" localSheetId="36">[10]Newabstract!#REF!</definedName>
    <definedName name="________Apr23" localSheetId="28">[10]Newabstract!#REF!</definedName>
    <definedName name="________Apr23" localSheetId="83">[1]Newabstract!#REF!</definedName>
    <definedName name="________Apr23">[10]Newabstract!#REF!</definedName>
    <definedName name="________Apr24" localSheetId="43">[10]Newabstract!#REF!</definedName>
    <definedName name="________Apr24" localSheetId="44">[10]Newabstract!#REF!</definedName>
    <definedName name="________Apr24" localSheetId="36">[10]Newabstract!#REF!</definedName>
    <definedName name="________Apr24" localSheetId="28">[10]Newabstract!#REF!</definedName>
    <definedName name="________Apr24" localSheetId="83">[1]Newabstract!#REF!</definedName>
    <definedName name="________Apr24">[10]Newabstract!#REF!</definedName>
    <definedName name="________Apr27" localSheetId="43">[10]Newabstract!#REF!</definedName>
    <definedName name="________Apr27" localSheetId="44">[10]Newabstract!#REF!</definedName>
    <definedName name="________Apr27" localSheetId="36">[10]Newabstract!#REF!</definedName>
    <definedName name="________Apr27" localSheetId="28">[10]Newabstract!#REF!</definedName>
    <definedName name="________Apr27" localSheetId="83">[1]Newabstract!#REF!</definedName>
    <definedName name="________Apr27">[10]Newabstract!#REF!</definedName>
    <definedName name="________Apr28" localSheetId="43">[10]Newabstract!#REF!</definedName>
    <definedName name="________Apr28" localSheetId="44">[10]Newabstract!#REF!</definedName>
    <definedName name="________Apr28" localSheetId="36">[10]Newabstract!#REF!</definedName>
    <definedName name="________Apr28" localSheetId="28">[10]Newabstract!#REF!</definedName>
    <definedName name="________Apr28" localSheetId="83">[1]Newabstract!#REF!</definedName>
    <definedName name="________Apr28">[10]Newabstract!#REF!</definedName>
    <definedName name="________Apr29" localSheetId="43">[10]Newabstract!#REF!</definedName>
    <definedName name="________Apr29" localSheetId="44">[10]Newabstract!#REF!</definedName>
    <definedName name="________Apr29" localSheetId="36">[10]Newabstract!#REF!</definedName>
    <definedName name="________Apr29" localSheetId="28">[10]Newabstract!#REF!</definedName>
    <definedName name="________Apr29" localSheetId="83">[1]Newabstract!#REF!</definedName>
    <definedName name="________Apr29">[10]Newabstract!#REF!</definedName>
    <definedName name="________Apr30" localSheetId="43">[10]Newabstract!#REF!</definedName>
    <definedName name="________Apr30" localSheetId="44">[10]Newabstract!#REF!</definedName>
    <definedName name="________Apr30" localSheetId="36">[10]Newabstract!#REF!</definedName>
    <definedName name="________Apr30" localSheetId="28">[10]Newabstract!#REF!</definedName>
    <definedName name="________Apr30" localSheetId="83">[1]Newabstract!#REF!</definedName>
    <definedName name="________Apr30">[10]Newabstract!#REF!</definedName>
    <definedName name="_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BSD1" localSheetId="43">#REF!</definedName>
    <definedName name="________BSD1" localSheetId="44">#REF!</definedName>
    <definedName name="________BSD1" localSheetId="36">#REF!</definedName>
    <definedName name="________BSD1" localSheetId="37">#REF!</definedName>
    <definedName name="________BSD1" localSheetId="28">#REF!</definedName>
    <definedName name="________BSD1" localSheetId="56">#REF!</definedName>
    <definedName name="________BSD1" localSheetId="83">#REF!</definedName>
    <definedName name="________BSD1">#REF!</definedName>
    <definedName name="________BSD2" localSheetId="43">#REF!</definedName>
    <definedName name="________BSD2" localSheetId="44">#REF!</definedName>
    <definedName name="________BSD2" localSheetId="36">#REF!</definedName>
    <definedName name="________BSD2" localSheetId="37">#REF!</definedName>
    <definedName name="________BSD2" localSheetId="28">#REF!</definedName>
    <definedName name="________BSD2" localSheetId="83">#REF!</definedName>
    <definedName name="________BSD2">#REF!</definedName>
    <definedName name="________FC1" localSheetId="83">[1]DEMFIXLD!$A$1:$E$205</definedName>
    <definedName name="________FC1">[11]DEMFIXLD!$A$1:$E$205</definedName>
    <definedName name="________IED1" localSheetId="43">#REF!</definedName>
    <definedName name="________IED1" localSheetId="44">#REF!</definedName>
    <definedName name="________IED1" localSheetId="36">#REF!</definedName>
    <definedName name="________IED1" localSheetId="37">#REF!</definedName>
    <definedName name="________IED1" localSheetId="28">#REF!</definedName>
    <definedName name="________IED1" localSheetId="56">#REF!</definedName>
    <definedName name="________IED1" localSheetId="83">#REF!</definedName>
    <definedName name="________IED1" localSheetId="94">#REF!</definedName>
    <definedName name="________IED1">#REF!</definedName>
    <definedName name="________IED2" localSheetId="43">#REF!</definedName>
    <definedName name="________IED2" localSheetId="44">#REF!</definedName>
    <definedName name="________IED2" localSheetId="36">#REF!</definedName>
    <definedName name="________IED2" localSheetId="37">#REF!</definedName>
    <definedName name="________IED2" localSheetId="28">#REF!</definedName>
    <definedName name="________IED2" localSheetId="83">#REF!</definedName>
    <definedName name="________IED2">#REF!</definedName>
    <definedName name="_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Mar06" localSheetId="43">[10]Newabstract!#REF!</definedName>
    <definedName name="________Mar06" localSheetId="44">[10]Newabstract!#REF!</definedName>
    <definedName name="________Mar06" localSheetId="36">[10]Newabstract!#REF!</definedName>
    <definedName name="________Mar06" localSheetId="28">[10]Newabstract!#REF!</definedName>
    <definedName name="________Mar06" localSheetId="83">[1]Newabstract!#REF!</definedName>
    <definedName name="________Mar06">[10]Newabstract!#REF!</definedName>
    <definedName name="________Mar09" localSheetId="43">[10]Newabstract!#REF!</definedName>
    <definedName name="________Mar09" localSheetId="44">[10]Newabstract!#REF!</definedName>
    <definedName name="________Mar09" localSheetId="36">[10]Newabstract!#REF!</definedName>
    <definedName name="________Mar09" localSheetId="28">[10]Newabstract!#REF!</definedName>
    <definedName name="________Mar09" localSheetId="83">[1]Newabstract!#REF!</definedName>
    <definedName name="________Mar09">[10]Newabstract!#REF!</definedName>
    <definedName name="________Mar10" localSheetId="43">[10]Newabstract!#REF!</definedName>
    <definedName name="________Mar10" localSheetId="44">[10]Newabstract!#REF!</definedName>
    <definedName name="________Mar10" localSheetId="36">[10]Newabstract!#REF!</definedName>
    <definedName name="________Mar10" localSheetId="28">[10]Newabstract!#REF!</definedName>
    <definedName name="________Mar10" localSheetId="83">[1]Newabstract!#REF!</definedName>
    <definedName name="________Mar10">[10]Newabstract!#REF!</definedName>
    <definedName name="________Mar11" localSheetId="43">[10]Newabstract!#REF!</definedName>
    <definedName name="________Mar11" localSheetId="44">[10]Newabstract!#REF!</definedName>
    <definedName name="________Mar11" localSheetId="36">[10]Newabstract!#REF!</definedName>
    <definedName name="________Mar11" localSheetId="28">[10]Newabstract!#REF!</definedName>
    <definedName name="________Mar11" localSheetId="83">[1]Newabstract!#REF!</definedName>
    <definedName name="________Mar11">[10]Newabstract!#REF!</definedName>
    <definedName name="________Mar12" localSheetId="43">[10]Newabstract!#REF!</definedName>
    <definedName name="________Mar12" localSheetId="44">[10]Newabstract!#REF!</definedName>
    <definedName name="________Mar12" localSheetId="36">[10]Newabstract!#REF!</definedName>
    <definedName name="________Mar12" localSheetId="28">[10]Newabstract!#REF!</definedName>
    <definedName name="________Mar12" localSheetId="83">[1]Newabstract!#REF!</definedName>
    <definedName name="________Mar12">[10]Newabstract!#REF!</definedName>
    <definedName name="________Mar13" localSheetId="43">[10]Newabstract!#REF!</definedName>
    <definedName name="________Mar13" localSheetId="44">[10]Newabstract!#REF!</definedName>
    <definedName name="________Mar13" localSheetId="36">[10]Newabstract!#REF!</definedName>
    <definedName name="________Mar13" localSheetId="28">[10]Newabstract!#REF!</definedName>
    <definedName name="________Mar13" localSheetId="83">[1]Newabstract!#REF!</definedName>
    <definedName name="________Mar13">[10]Newabstract!#REF!</definedName>
    <definedName name="________Mar16" localSheetId="43">[10]Newabstract!#REF!</definedName>
    <definedName name="________Mar16" localSheetId="44">[10]Newabstract!#REF!</definedName>
    <definedName name="________Mar16" localSheetId="36">[10]Newabstract!#REF!</definedName>
    <definedName name="________Mar16" localSheetId="28">[10]Newabstract!#REF!</definedName>
    <definedName name="________Mar16" localSheetId="83">[1]Newabstract!#REF!</definedName>
    <definedName name="________Mar16">[10]Newabstract!#REF!</definedName>
    <definedName name="________Mar17" localSheetId="43">[10]Newabstract!#REF!</definedName>
    <definedName name="________Mar17" localSheetId="44">[10]Newabstract!#REF!</definedName>
    <definedName name="________Mar17" localSheetId="36">[10]Newabstract!#REF!</definedName>
    <definedName name="________Mar17" localSheetId="28">[10]Newabstract!#REF!</definedName>
    <definedName name="________Mar17" localSheetId="83">[1]Newabstract!#REF!</definedName>
    <definedName name="________Mar17">[10]Newabstract!#REF!</definedName>
    <definedName name="________Mar18" localSheetId="43">[10]Newabstract!#REF!</definedName>
    <definedName name="________Mar18" localSheetId="44">[10]Newabstract!#REF!</definedName>
    <definedName name="________Mar18" localSheetId="36">[10]Newabstract!#REF!</definedName>
    <definedName name="________Mar18" localSheetId="28">[10]Newabstract!#REF!</definedName>
    <definedName name="________Mar18" localSheetId="83">[1]Newabstract!#REF!</definedName>
    <definedName name="________Mar18">[10]Newabstract!#REF!</definedName>
    <definedName name="________Mar19" localSheetId="43">[10]Newabstract!#REF!</definedName>
    <definedName name="________Mar19" localSheetId="44">[10]Newabstract!#REF!</definedName>
    <definedName name="________Mar19" localSheetId="36">[10]Newabstract!#REF!</definedName>
    <definedName name="________Mar19" localSheetId="28">[10]Newabstract!#REF!</definedName>
    <definedName name="________Mar19" localSheetId="83">[1]Newabstract!#REF!</definedName>
    <definedName name="________Mar19">[10]Newabstract!#REF!</definedName>
    <definedName name="________Mar20" localSheetId="43">[10]Newabstract!#REF!</definedName>
    <definedName name="________Mar20" localSheetId="44">[10]Newabstract!#REF!</definedName>
    <definedName name="________Mar20" localSheetId="36">[10]Newabstract!#REF!</definedName>
    <definedName name="________Mar20" localSheetId="28">[10]Newabstract!#REF!</definedName>
    <definedName name="________Mar20" localSheetId="83">[1]Newabstract!#REF!</definedName>
    <definedName name="________Mar20">[10]Newabstract!#REF!</definedName>
    <definedName name="________Mar23" localSheetId="43">[10]Newabstract!#REF!</definedName>
    <definedName name="________Mar23" localSheetId="44">[10]Newabstract!#REF!</definedName>
    <definedName name="________Mar23" localSheetId="36">[10]Newabstract!#REF!</definedName>
    <definedName name="________Mar23" localSheetId="28">[10]Newabstract!#REF!</definedName>
    <definedName name="________Mar23" localSheetId="83">[1]Newabstract!#REF!</definedName>
    <definedName name="________Mar23">[10]Newabstract!#REF!</definedName>
    <definedName name="________Mar24" localSheetId="43">[10]Newabstract!#REF!</definedName>
    <definedName name="________Mar24" localSheetId="44">[10]Newabstract!#REF!</definedName>
    <definedName name="________Mar24" localSheetId="36">[10]Newabstract!#REF!</definedName>
    <definedName name="________Mar24" localSheetId="28">[10]Newabstract!#REF!</definedName>
    <definedName name="________Mar24" localSheetId="83">[1]Newabstract!#REF!</definedName>
    <definedName name="________Mar24">[10]Newabstract!#REF!</definedName>
    <definedName name="________Mar25" localSheetId="43">[10]Newabstract!#REF!</definedName>
    <definedName name="________Mar25" localSheetId="44">[10]Newabstract!#REF!</definedName>
    <definedName name="________Mar25" localSheetId="36">[10]Newabstract!#REF!</definedName>
    <definedName name="________Mar25" localSheetId="28">[10]Newabstract!#REF!</definedName>
    <definedName name="________Mar25" localSheetId="83">[1]Newabstract!#REF!</definedName>
    <definedName name="________Mar25">[10]Newabstract!#REF!</definedName>
    <definedName name="________Mar26" localSheetId="43">[10]Newabstract!#REF!</definedName>
    <definedName name="________Mar26" localSheetId="44">[10]Newabstract!#REF!</definedName>
    <definedName name="________Mar26" localSheetId="36">[10]Newabstract!#REF!</definedName>
    <definedName name="________Mar26" localSheetId="28">[10]Newabstract!#REF!</definedName>
    <definedName name="________Mar26" localSheetId="83">[1]Newabstract!#REF!</definedName>
    <definedName name="________Mar26">[10]Newabstract!#REF!</definedName>
    <definedName name="________Mar27" localSheetId="43">[10]Newabstract!#REF!</definedName>
    <definedName name="________Mar27" localSheetId="44">[10]Newabstract!#REF!</definedName>
    <definedName name="________Mar27" localSheetId="36">[10]Newabstract!#REF!</definedName>
    <definedName name="________Mar27" localSheetId="28">[10]Newabstract!#REF!</definedName>
    <definedName name="________Mar27" localSheetId="83">[1]Newabstract!#REF!</definedName>
    <definedName name="________Mar27">[10]Newabstract!#REF!</definedName>
    <definedName name="________Mar28" localSheetId="43">[10]Newabstract!#REF!</definedName>
    <definedName name="________Mar28" localSheetId="44">[10]Newabstract!#REF!</definedName>
    <definedName name="________Mar28" localSheetId="36">[10]Newabstract!#REF!</definedName>
    <definedName name="________Mar28" localSheetId="28">[10]Newabstract!#REF!</definedName>
    <definedName name="________Mar28" localSheetId="83">[1]Newabstract!#REF!</definedName>
    <definedName name="________Mar28">[10]Newabstract!#REF!</definedName>
    <definedName name="________Mar30" localSheetId="43">[10]Newabstract!#REF!</definedName>
    <definedName name="________Mar30" localSheetId="44">[10]Newabstract!#REF!</definedName>
    <definedName name="________Mar30" localSheetId="36">[10]Newabstract!#REF!</definedName>
    <definedName name="________Mar30" localSheetId="28">[10]Newabstract!#REF!</definedName>
    <definedName name="________Mar30" localSheetId="83">[1]Newabstract!#REF!</definedName>
    <definedName name="________Mar30">[10]Newabstract!#REF!</definedName>
    <definedName name="________Mar31" localSheetId="43">[10]Newabstract!#REF!</definedName>
    <definedName name="________Mar31" localSheetId="44">[10]Newabstract!#REF!</definedName>
    <definedName name="________Mar31" localSheetId="36">[10]Newabstract!#REF!</definedName>
    <definedName name="________Mar31" localSheetId="28">[10]Newabstract!#REF!</definedName>
    <definedName name="________Mar31" localSheetId="83">[1]Newabstract!#REF!</definedName>
    <definedName name="________Mar31">[10]Newabstract!#REF!</definedName>
    <definedName name="________NCS111">'[8]Schedule-1'!$B$1:$J$1</definedName>
    <definedName name="________PH1">#N/A</definedName>
    <definedName name="________SCH6" localSheetId="43">'[5]04REL'!#REF!</definedName>
    <definedName name="________SCH6" localSheetId="44">'[5]04REL'!#REF!</definedName>
    <definedName name="________SCH6" localSheetId="36">'[6]04REL'!#REF!</definedName>
    <definedName name="________SCH6" localSheetId="37">'[9]04REL'!#REF!</definedName>
    <definedName name="________SCH6" localSheetId="28">'[5]04REL'!#REF!</definedName>
    <definedName name="________SCH6" localSheetId="56">'[6]04REL'!#REF!</definedName>
    <definedName name="________SCH6" localSheetId="83">'[1]04REL'!#REF!</definedName>
    <definedName name="________SCH6" localSheetId="90">'[6]04REL'!#REF!</definedName>
    <definedName name="________SCH6" localSheetId="91">'[6]04REL'!#REF!</definedName>
    <definedName name="________SCH6" localSheetId="94">'[6]04REL'!#REF!</definedName>
    <definedName name="________SCH6">'[7]04REL'!#REF!</definedName>
    <definedName name="_______a65565" localSheetId="43">#REF!</definedName>
    <definedName name="_______a65565" localSheetId="44">#REF!</definedName>
    <definedName name="_______a65565" localSheetId="36">#REF!</definedName>
    <definedName name="_______a65565" localSheetId="37">#REF!</definedName>
    <definedName name="_______a65565" localSheetId="28">#REF!</definedName>
    <definedName name="_______a65565" localSheetId="56">#REF!</definedName>
    <definedName name="_______a65565" localSheetId="83">#REF!</definedName>
    <definedName name="_______a65565">#REF!</definedName>
    <definedName name="_______arr2"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BS1">[12]BSPL!$A$2:$E$56</definedName>
    <definedName name="_______bs2" localSheetId="43">#REF!</definedName>
    <definedName name="_______bs2" localSheetId="44">#REF!</definedName>
    <definedName name="_______bs2">#REF!</definedName>
    <definedName name="_______BSD1" localSheetId="43">#REF!</definedName>
    <definedName name="_______BSD1" localSheetId="44">#REF!</definedName>
    <definedName name="_______BSD1" localSheetId="36">#REF!</definedName>
    <definedName name="_______BSD1" localSheetId="37">#REF!</definedName>
    <definedName name="_______BSD1" localSheetId="28">#REF!</definedName>
    <definedName name="_______BSD1" localSheetId="56">#REF!</definedName>
    <definedName name="_______BSD1" localSheetId="83">#REF!</definedName>
    <definedName name="_______BSD1">#REF!</definedName>
    <definedName name="_______BSD2" localSheetId="43">#REF!</definedName>
    <definedName name="_______BSD2" localSheetId="44">#REF!</definedName>
    <definedName name="_______BSD2" localSheetId="36">#REF!</definedName>
    <definedName name="_______BSD2" localSheetId="37">#REF!</definedName>
    <definedName name="_______BSD2" localSheetId="28">#REF!</definedName>
    <definedName name="_______BSD2" localSheetId="83">#REF!</definedName>
    <definedName name="_______BSD2">#REF!</definedName>
    <definedName name="_______FC1" localSheetId="36">[13]DEMFIXLD!$A$1:$E$205</definedName>
    <definedName name="_______FC1" localSheetId="83">[1]DEMFIXLD!$A$1:$E$205</definedName>
    <definedName name="_______FC1">[13]DEMFIXLD!$A$1:$E$205</definedName>
    <definedName name="_______IED1" localSheetId="43">#REF!</definedName>
    <definedName name="_______IED1" localSheetId="44">#REF!</definedName>
    <definedName name="_______IED1" localSheetId="36">#REF!</definedName>
    <definedName name="_______IED1" localSheetId="37">#REF!</definedName>
    <definedName name="_______IED1" localSheetId="28">#REF!</definedName>
    <definedName name="_______IED1" localSheetId="56">#REF!</definedName>
    <definedName name="_______IED1" localSheetId="83">#REF!</definedName>
    <definedName name="_______IED1" localSheetId="94">#REF!</definedName>
    <definedName name="_______IED1">#REF!</definedName>
    <definedName name="_______IED2" localSheetId="43">#REF!</definedName>
    <definedName name="_______IED2" localSheetId="44">#REF!</definedName>
    <definedName name="_______IED2" localSheetId="36">#REF!</definedName>
    <definedName name="_______IED2" localSheetId="37">#REF!</definedName>
    <definedName name="_______IED2" localSheetId="28">#REF!</definedName>
    <definedName name="_______IED2" localSheetId="83">#REF!</definedName>
    <definedName name="_______IED2">#REF!</definedName>
    <definedName name="_______int06"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NCS111" localSheetId="36">'[14]Schedule-1'!$B$1:$J$1</definedName>
    <definedName name="_______NCS111" localSheetId="37">'[15]Schedule-1'!$B$1:$J$1</definedName>
    <definedName name="_______NCS111" localSheetId="83">'[1]Schedule-1'!$B$1:$J$1</definedName>
    <definedName name="_______NCS111">'[14]Schedule-1'!$B$1:$J$1</definedName>
    <definedName name="_______PH1">#N/A</definedName>
    <definedName name="_______PL1">[12]BSPL!$A$58:$E$111</definedName>
    <definedName name="_______SCH1" localSheetId="43">#REF!</definedName>
    <definedName name="_______SCH1" localSheetId="44">#REF!</definedName>
    <definedName name="_______SCH1">#REF!</definedName>
    <definedName name="_______SCH10" localSheetId="43">#REF!</definedName>
    <definedName name="_______SCH10" localSheetId="44">#REF!</definedName>
    <definedName name="_______SCH10">#REF!</definedName>
    <definedName name="_______SCH11" localSheetId="43">#REF!</definedName>
    <definedName name="_______SCH11" localSheetId="44">#REF!</definedName>
    <definedName name="_______SCH11">#REF!</definedName>
    <definedName name="_______SCH12">[12]BSPL!$A$655:$D$692</definedName>
    <definedName name="_______sch13">[12]BSPL!$A$694:$D$744</definedName>
    <definedName name="_______SCH2" localSheetId="43">#REF!</definedName>
    <definedName name="_______SCH2" localSheetId="44">#REF!</definedName>
    <definedName name="_______SCH2">#REF!</definedName>
    <definedName name="_______SCH3" localSheetId="43">#REF!</definedName>
    <definedName name="_______SCH3" localSheetId="44">#REF!</definedName>
    <definedName name="_______SCH3">#REF!</definedName>
    <definedName name="_______SCH4" localSheetId="43">#REF!</definedName>
    <definedName name="_______SCH4" localSheetId="44">#REF!</definedName>
    <definedName name="_______SCH4">#REF!</definedName>
    <definedName name="_______SCH5" localSheetId="43">#REF!</definedName>
    <definedName name="_______SCH5" localSheetId="44">#REF!</definedName>
    <definedName name="_______SCH5">#REF!</definedName>
    <definedName name="_______SCH6" localSheetId="43">'[5]04REL'!#REF!</definedName>
    <definedName name="_______SCH6" localSheetId="44">'[5]04REL'!#REF!</definedName>
    <definedName name="_______SCH6" localSheetId="36">'[6]04REL'!#REF!</definedName>
    <definedName name="_______SCH6" localSheetId="37">'[9]04REL'!#REF!</definedName>
    <definedName name="_______SCH6" localSheetId="28">'[5]04REL'!#REF!</definedName>
    <definedName name="_______SCH6" localSheetId="56">'[6]04REL'!#REF!</definedName>
    <definedName name="_______SCH6" localSheetId="83">'[1]04REL'!#REF!</definedName>
    <definedName name="_______SCH6" localSheetId="90">'[6]04REL'!#REF!</definedName>
    <definedName name="_______SCH6" localSheetId="91">'[6]04REL'!#REF!</definedName>
    <definedName name="_______SCH6" localSheetId="94">'[6]04REL'!#REF!</definedName>
    <definedName name="_______SCH6">'[7]04REL'!#REF!</definedName>
    <definedName name="_______SCH7" localSheetId="43">#REF!</definedName>
    <definedName name="_______SCH7" localSheetId="44">#REF!</definedName>
    <definedName name="_______SCH7">#REF!</definedName>
    <definedName name="_______SCH8" localSheetId="43">#REF!</definedName>
    <definedName name="_______SCH8" localSheetId="44">#REF!</definedName>
    <definedName name="_______SCH8">#REF!</definedName>
    <definedName name="_______SCH9" localSheetId="43">#REF!</definedName>
    <definedName name="_______SCH9" localSheetId="44">#REF!</definedName>
    <definedName name="_______SCH9">#REF!</definedName>
    <definedName name="______a65565" localSheetId="43">#REF!</definedName>
    <definedName name="______a65565" localSheetId="44">#REF!</definedName>
    <definedName name="______a65565" localSheetId="36">#REF!</definedName>
    <definedName name="______a65565" localSheetId="37">#REF!</definedName>
    <definedName name="______a65565" localSheetId="28">#REF!</definedName>
    <definedName name="______a65565" localSheetId="56">#REF!</definedName>
    <definedName name="______a65565" localSheetId="83">#REF!</definedName>
    <definedName name="______a65565">#REF!</definedName>
    <definedName name="______Apr02" localSheetId="43">[10]Newabstract!#REF!</definedName>
    <definedName name="______Apr02" localSheetId="44">[10]Newabstract!#REF!</definedName>
    <definedName name="______Apr02" localSheetId="36">[10]Newabstract!#REF!</definedName>
    <definedName name="______Apr02" localSheetId="28">[10]Newabstract!#REF!</definedName>
    <definedName name="______Apr02" localSheetId="83">[1]Newabstract!#REF!</definedName>
    <definedName name="______Apr02">[10]Newabstract!#REF!</definedName>
    <definedName name="______Apr03" localSheetId="43">[10]Newabstract!#REF!</definedName>
    <definedName name="______Apr03" localSheetId="44">[10]Newabstract!#REF!</definedName>
    <definedName name="______Apr03" localSheetId="36">[10]Newabstract!#REF!</definedName>
    <definedName name="______Apr03" localSheetId="28">[10]Newabstract!#REF!</definedName>
    <definedName name="______Apr03" localSheetId="83">[1]Newabstract!#REF!</definedName>
    <definedName name="______Apr03">[10]Newabstract!#REF!</definedName>
    <definedName name="______Apr04" localSheetId="43">[10]Newabstract!#REF!</definedName>
    <definedName name="______Apr04" localSheetId="44">[10]Newabstract!#REF!</definedName>
    <definedName name="______Apr04" localSheetId="36">[10]Newabstract!#REF!</definedName>
    <definedName name="______Apr04" localSheetId="28">[10]Newabstract!#REF!</definedName>
    <definedName name="______Apr04" localSheetId="83">[1]Newabstract!#REF!</definedName>
    <definedName name="______Apr04">[10]Newabstract!#REF!</definedName>
    <definedName name="______Apr05" localSheetId="43">[10]Newabstract!#REF!</definedName>
    <definedName name="______Apr05" localSheetId="44">[10]Newabstract!#REF!</definedName>
    <definedName name="______Apr05" localSheetId="36">[10]Newabstract!#REF!</definedName>
    <definedName name="______Apr05" localSheetId="28">[10]Newabstract!#REF!</definedName>
    <definedName name="______Apr05" localSheetId="83">[1]Newabstract!#REF!</definedName>
    <definedName name="______Apr05">[10]Newabstract!#REF!</definedName>
    <definedName name="______Apr06" localSheetId="43">[10]Newabstract!#REF!</definedName>
    <definedName name="______Apr06" localSheetId="44">[10]Newabstract!#REF!</definedName>
    <definedName name="______Apr06" localSheetId="36">[10]Newabstract!#REF!</definedName>
    <definedName name="______Apr06" localSheetId="28">[10]Newabstract!#REF!</definedName>
    <definedName name="______Apr06" localSheetId="83">[1]Newabstract!#REF!</definedName>
    <definedName name="______Apr06">[10]Newabstract!#REF!</definedName>
    <definedName name="______Apr07" localSheetId="43">[10]Newabstract!#REF!</definedName>
    <definedName name="______Apr07" localSheetId="44">[10]Newabstract!#REF!</definedName>
    <definedName name="______Apr07" localSheetId="36">[10]Newabstract!#REF!</definedName>
    <definedName name="______Apr07" localSheetId="28">[10]Newabstract!#REF!</definedName>
    <definedName name="______Apr07" localSheetId="83">[1]Newabstract!#REF!</definedName>
    <definedName name="______Apr07">[10]Newabstract!#REF!</definedName>
    <definedName name="______Apr08" localSheetId="43">[10]Newabstract!#REF!</definedName>
    <definedName name="______Apr08" localSheetId="44">[10]Newabstract!#REF!</definedName>
    <definedName name="______Apr08" localSheetId="36">[10]Newabstract!#REF!</definedName>
    <definedName name="______Apr08" localSheetId="28">[10]Newabstract!#REF!</definedName>
    <definedName name="______Apr08" localSheetId="83">[1]Newabstract!#REF!</definedName>
    <definedName name="______Apr08">[10]Newabstract!#REF!</definedName>
    <definedName name="______Apr09" localSheetId="43">[10]Newabstract!#REF!</definedName>
    <definedName name="______Apr09" localSheetId="44">[10]Newabstract!#REF!</definedName>
    <definedName name="______Apr09" localSheetId="36">[10]Newabstract!#REF!</definedName>
    <definedName name="______Apr09" localSheetId="28">[10]Newabstract!#REF!</definedName>
    <definedName name="______Apr09" localSheetId="83">[1]Newabstract!#REF!</definedName>
    <definedName name="______Apr09">[10]Newabstract!#REF!</definedName>
    <definedName name="______Apr10" localSheetId="43">[10]Newabstract!#REF!</definedName>
    <definedName name="______Apr10" localSheetId="44">[10]Newabstract!#REF!</definedName>
    <definedName name="______Apr10" localSheetId="36">[10]Newabstract!#REF!</definedName>
    <definedName name="______Apr10" localSheetId="28">[10]Newabstract!#REF!</definedName>
    <definedName name="______Apr10" localSheetId="83">[1]Newabstract!#REF!</definedName>
    <definedName name="______Apr10">[10]Newabstract!#REF!</definedName>
    <definedName name="______Apr11" localSheetId="43">[10]Newabstract!#REF!</definedName>
    <definedName name="______Apr11" localSheetId="44">[10]Newabstract!#REF!</definedName>
    <definedName name="______Apr11" localSheetId="36">[10]Newabstract!#REF!</definedName>
    <definedName name="______Apr11" localSheetId="28">[10]Newabstract!#REF!</definedName>
    <definedName name="______Apr11" localSheetId="83">[1]Newabstract!#REF!</definedName>
    <definedName name="______Apr11">[10]Newabstract!#REF!</definedName>
    <definedName name="______Apr13" localSheetId="43">[10]Newabstract!#REF!</definedName>
    <definedName name="______Apr13" localSheetId="44">[10]Newabstract!#REF!</definedName>
    <definedName name="______Apr13" localSheetId="36">[10]Newabstract!#REF!</definedName>
    <definedName name="______Apr13" localSheetId="28">[10]Newabstract!#REF!</definedName>
    <definedName name="______Apr13" localSheetId="83">[1]Newabstract!#REF!</definedName>
    <definedName name="______Apr13">[10]Newabstract!#REF!</definedName>
    <definedName name="______Apr14" localSheetId="43">[10]Newabstract!#REF!</definedName>
    <definedName name="______Apr14" localSheetId="44">[10]Newabstract!#REF!</definedName>
    <definedName name="______Apr14" localSheetId="36">[10]Newabstract!#REF!</definedName>
    <definedName name="______Apr14" localSheetId="28">[10]Newabstract!#REF!</definedName>
    <definedName name="______Apr14" localSheetId="83">[1]Newabstract!#REF!</definedName>
    <definedName name="______Apr14">[10]Newabstract!#REF!</definedName>
    <definedName name="______Apr15" localSheetId="43">[10]Newabstract!#REF!</definedName>
    <definedName name="______Apr15" localSheetId="44">[10]Newabstract!#REF!</definedName>
    <definedName name="______Apr15" localSheetId="36">[10]Newabstract!#REF!</definedName>
    <definedName name="______Apr15" localSheetId="28">[10]Newabstract!#REF!</definedName>
    <definedName name="______Apr15" localSheetId="83">[1]Newabstract!#REF!</definedName>
    <definedName name="______Apr15">[10]Newabstract!#REF!</definedName>
    <definedName name="______Apr16" localSheetId="43">[10]Newabstract!#REF!</definedName>
    <definedName name="______Apr16" localSheetId="44">[10]Newabstract!#REF!</definedName>
    <definedName name="______Apr16" localSheetId="36">[10]Newabstract!#REF!</definedName>
    <definedName name="______Apr16" localSheetId="28">[10]Newabstract!#REF!</definedName>
    <definedName name="______Apr16" localSheetId="83">[1]Newabstract!#REF!</definedName>
    <definedName name="______Apr16">[10]Newabstract!#REF!</definedName>
    <definedName name="______Apr17" localSheetId="43">[10]Newabstract!#REF!</definedName>
    <definedName name="______Apr17" localSheetId="44">[10]Newabstract!#REF!</definedName>
    <definedName name="______Apr17" localSheetId="36">[10]Newabstract!#REF!</definedName>
    <definedName name="______Apr17" localSheetId="28">[10]Newabstract!#REF!</definedName>
    <definedName name="______Apr17" localSheetId="83">[1]Newabstract!#REF!</definedName>
    <definedName name="______Apr17">[10]Newabstract!#REF!</definedName>
    <definedName name="______Apr20" localSheetId="43">[10]Newabstract!#REF!</definedName>
    <definedName name="______Apr20" localSheetId="44">[10]Newabstract!#REF!</definedName>
    <definedName name="______Apr20" localSheetId="36">[10]Newabstract!#REF!</definedName>
    <definedName name="______Apr20" localSheetId="28">[10]Newabstract!#REF!</definedName>
    <definedName name="______Apr20" localSheetId="83">[1]Newabstract!#REF!</definedName>
    <definedName name="______Apr20">[10]Newabstract!#REF!</definedName>
    <definedName name="______Apr21" localSheetId="43">[10]Newabstract!#REF!</definedName>
    <definedName name="______Apr21" localSheetId="44">[10]Newabstract!#REF!</definedName>
    <definedName name="______Apr21" localSheetId="36">[10]Newabstract!#REF!</definedName>
    <definedName name="______Apr21" localSheetId="28">[10]Newabstract!#REF!</definedName>
    <definedName name="______Apr21" localSheetId="83">[1]Newabstract!#REF!</definedName>
    <definedName name="______Apr21">[10]Newabstract!#REF!</definedName>
    <definedName name="______Apr22" localSheetId="43">[10]Newabstract!#REF!</definedName>
    <definedName name="______Apr22" localSheetId="44">[10]Newabstract!#REF!</definedName>
    <definedName name="______Apr22" localSheetId="36">[10]Newabstract!#REF!</definedName>
    <definedName name="______Apr22" localSheetId="28">[10]Newabstract!#REF!</definedName>
    <definedName name="______Apr22" localSheetId="83">[1]Newabstract!#REF!</definedName>
    <definedName name="______Apr22">[10]Newabstract!#REF!</definedName>
    <definedName name="______Apr23" localSheetId="43">[10]Newabstract!#REF!</definedName>
    <definedName name="______Apr23" localSheetId="44">[10]Newabstract!#REF!</definedName>
    <definedName name="______Apr23" localSheetId="36">[10]Newabstract!#REF!</definedName>
    <definedName name="______Apr23" localSheetId="28">[10]Newabstract!#REF!</definedName>
    <definedName name="______Apr23" localSheetId="83">[1]Newabstract!#REF!</definedName>
    <definedName name="______Apr23">[10]Newabstract!#REF!</definedName>
    <definedName name="______Apr24" localSheetId="43">[10]Newabstract!#REF!</definedName>
    <definedName name="______Apr24" localSheetId="44">[10]Newabstract!#REF!</definedName>
    <definedName name="______Apr24" localSheetId="36">[10]Newabstract!#REF!</definedName>
    <definedName name="______Apr24" localSheetId="28">[10]Newabstract!#REF!</definedName>
    <definedName name="______Apr24" localSheetId="83">[1]Newabstract!#REF!</definedName>
    <definedName name="______Apr24">[10]Newabstract!#REF!</definedName>
    <definedName name="______Apr27" localSheetId="43">[10]Newabstract!#REF!</definedName>
    <definedName name="______Apr27" localSheetId="44">[10]Newabstract!#REF!</definedName>
    <definedName name="______Apr27" localSheetId="36">[10]Newabstract!#REF!</definedName>
    <definedName name="______Apr27" localSheetId="28">[10]Newabstract!#REF!</definedName>
    <definedName name="______Apr27" localSheetId="83">[1]Newabstract!#REF!</definedName>
    <definedName name="______Apr27">[10]Newabstract!#REF!</definedName>
    <definedName name="______Apr28" localSheetId="43">[10]Newabstract!#REF!</definedName>
    <definedName name="______Apr28" localSheetId="44">[10]Newabstract!#REF!</definedName>
    <definedName name="______Apr28" localSheetId="36">[10]Newabstract!#REF!</definedName>
    <definedName name="______Apr28" localSheetId="28">[10]Newabstract!#REF!</definedName>
    <definedName name="______Apr28" localSheetId="83">[1]Newabstract!#REF!</definedName>
    <definedName name="______Apr28">[10]Newabstract!#REF!</definedName>
    <definedName name="______Apr29" localSheetId="43">[10]Newabstract!#REF!</definedName>
    <definedName name="______Apr29" localSheetId="44">[10]Newabstract!#REF!</definedName>
    <definedName name="______Apr29" localSheetId="36">[10]Newabstract!#REF!</definedName>
    <definedName name="______Apr29" localSheetId="28">[10]Newabstract!#REF!</definedName>
    <definedName name="______Apr29" localSheetId="83">[1]Newabstract!#REF!</definedName>
    <definedName name="______Apr29">[10]Newabstract!#REF!</definedName>
    <definedName name="______Apr30" localSheetId="43">[10]Newabstract!#REF!</definedName>
    <definedName name="______Apr30" localSheetId="44">[10]Newabstract!#REF!</definedName>
    <definedName name="______Apr30" localSheetId="36">[10]Newabstract!#REF!</definedName>
    <definedName name="______Apr30" localSheetId="28">[10]Newabstract!#REF!</definedName>
    <definedName name="______Apr30" localSheetId="83">[1]Newabstract!#REF!</definedName>
    <definedName name="______Apr30">[10]Newabstract!#REF!</definedName>
    <definedName name="______arr2"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BS1">[12]BSPL!$A$2:$E$56</definedName>
    <definedName name="______bs2" localSheetId="43">#REF!</definedName>
    <definedName name="______bs2" localSheetId="44">#REF!</definedName>
    <definedName name="______bs2">#REF!</definedName>
    <definedName name="______BSD1" localSheetId="43">#REF!</definedName>
    <definedName name="______BSD1" localSheetId="44">#REF!</definedName>
    <definedName name="______BSD1" localSheetId="36">#REF!</definedName>
    <definedName name="______BSD1" localSheetId="37">#REF!</definedName>
    <definedName name="______BSD1" localSheetId="28">#REF!</definedName>
    <definedName name="______BSD1" localSheetId="56">#REF!</definedName>
    <definedName name="______BSD1" localSheetId="83">#REF!</definedName>
    <definedName name="______BSD1">#REF!</definedName>
    <definedName name="______BSD2" localSheetId="43">#REF!</definedName>
    <definedName name="______BSD2" localSheetId="44">#REF!</definedName>
    <definedName name="______BSD2" localSheetId="36">#REF!</definedName>
    <definedName name="______BSD2" localSheetId="37">#REF!</definedName>
    <definedName name="______BSD2" localSheetId="28">#REF!</definedName>
    <definedName name="______BSD2" localSheetId="83">#REF!</definedName>
    <definedName name="______BSD2">#REF!</definedName>
    <definedName name="______FC1" localSheetId="36">[16]DEMFIXLD!$A$1:$E$205</definedName>
    <definedName name="______FC1" localSheetId="83">[1]DEMFIXLD!$A$1:$E$205</definedName>
    <definedName name="______FC1" localSheetId="90">[17]DEMFIXLD!$A$1:$E$205</definedName>
    <definedName name="______FC1" localSheetId="91">[17]DEMFIXLD!$A$1:$E$205</definedName>
    <definedName name="______FC1" localSheetId="94">[17]DEMFIXLD!$A$1:$E$205</definedName>
    <definedName name="______FC1">[16]DEMFIXLD!$A$1:$E$205</definedName>
    <definedName name="______IED1" localSheetId="43">#REF!</definedName>
    <definedName name="______IED1" localSheetId="44">#REF!</definedName>
    <definedName name="______IED1" localSheetId="36">#REF!</definedName>
    <definedName name="______IED1" localSheetId="37">#REF!</definedName>
    <definedName name="______IED1" localSheetId="28">#REF!</definedName>
    <definedName name="______IED1" localSheetId="56">#REF!</definedName>
    <definedName name="______IED1" localSheetId="83">#REF!</definedName>
    <definedName name="______IED1" localSheetId="94">#REF!</definedName>
    <definedName name="______IED1">#REF!</definedName>
    <definedName name="______IED2" localSheetId="43">#REF!</definedName>
    <definedName name="______IED2" localSheetId="44">#REF!</definedName>
    <definedName name="______IED2" localSheetId="36">#REF!</definedName>
    <definedName name="______IED2" localSheetId="37">#REF!</definedName>
    <definedName name="______IED2" localSheetId="28">#REF!</definedName>
    <definedName name="______IED2" localSheetId="83">#REF!</definedName>
    <definedName name="______IED2">#REF!</definedName>
    <definedName name="______int06"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LD1" localSheetId="83">[1]DLC!$K$59:$AF$8180</definedName>
    <definedName name="______LD1">[2]DLC!$K$59:$AF$8180</definedName>
    <definedName name="______LD2" localSheetId="83">[1]DLC!$GR$56:$HT$8181</definedName>
    <definedName name="______LD2">[2]DLC!$GR$56:$HT$8181</definedName>
    <definedName name="______LD3" localSheetId="83">[1]DLC!$HV$57:$IO$8181</definedName>
    <definedName name="______LD3">[2]DLC!$HV$57:$IO$8181</definedName>
    <definedName name="______LD4" localSheetId="83">[1]DLC!$AH$32:$BE$8180</definedName>
    <definedName name="______LD4">[2]DLC!$AH$32:$BE$8180</definedName>
    <definedName name="______LD5" localSheetId="83">[1]DLC!$GR$53:$HK$8180</definedName>
    <definedName name="______LD5">[2]DLC!$GR$53:$HK$8180</definedName>
    <definedName name="______LD6" localSheetId="83">[1]DLC!$GR$69:$HL$8180</definedName>
    <definedName name="______LD6">[2]DLC!$GR$69:$HL$8180</definedName>
    <definedName name="______LR1" localSheetId="43">#REF!</definedName>
    <definedName name="______LR1" localSheetId="44">#REF!</definedName>
    <definedName name="______LR1" localSheetId="36">#REF!</definedName>
    <definedName name="______LR1" localSheetId="28">#REF!</definedName>
    <definedName name="______LR1" localSheetId="83">#REF!</definedName>
    <definedName name="______LR1">#REF!</definedName>
    <definedName name="______LR2" localSheetId="43">#REF!</definedName>
    <definedName name="______LR2" localSheetId="44">#REF!</definedName>
    <definedName name="______LR2" localSheetId="36">#REF!</definedName>
    <definedName name="______LR2" localSheetId="28">#REF!</definedName>
    <definedName name="______LR2" localSheetId="83">#REF!</definedName>
    <definedName name="______LR2">#REF!</definedName>
    <definedName name="______Mar06" localSheetId="43">[10]Newabstract!#REF!</definedName>
    <definedName name="______Mar06" localSheetId="44">[10]Newabstract!#REF!</definedName>
    <definedName name="______Mar06" localSheetId="36">[10]Newabstract!#REF!</definedName>
    <definedName name="______Mar06" localSheetId="28">[10]Newabstract!#REF!</definedName>
    <definedName name="______Mar06" localSheetId="83">[1]Newabstract!#REF!</definedName>
    <definedName name="______Mar06">[10]Newabstract!#REF!</definedName>
    <definedName name="______Mar09" localSheetId="43">[10]Newabstract!#REF!</definedName>
    <definedName name="______Mar09" localSheetId="44">[10]Newabstract!#REF!</definedName>
    <definedName name="______Mar09" localSheetId="36">[10]Newabstract!#REF!</definedName>
    <definedName name="______Mar09" localSheetId="28">[10]Newabstract!#REF!</definedName>
    <definedName name="______Mar09" localSheetId="83">[1]Newabstract!#REF!</definedName>
    <definedName name="______Mar09">[10]Newabstract!#REF!</definedName>
    <definedName name="______Mar10" localSheetId="43">[10]Newabstract!#REF!</definedName>
    <definedName name="______Mar10" localSheetId="44">[10]Newabstract!#REF!</definedName>
    <definedName name="______Mar10" localSheetId="36">[10]Newabstract!#REF!</definedName>
    <definedName name="______Mar10" localSheetId="28">[10]Newabstract!#REF!</definedName>
    <definedName name="______Mar10" localSheetId="83">[1]Newabstract!#REF!</definedName>
    <definedName name="______Mar10">[10]Newabstract!#REF!</definedName>
    <definedName name="______Mar11" localSheetId="43">[10]Newabstract!#REF!</definedName>
    <definedName name="______Mar11" localSheetId="44">[10]Newabstract!#REF!</definedName>
    <definedName name="______Mar11" localSheetId="36">[10]Newabstract!#REF!</definedName>
    <definedName name="______Mar11" localSheetId="28">[10]Newabstract!#REF!</definedName>
    <definedName name="______Mar11" localSheetId="83">[1]Newabstract!#REF!</definedName>
    <definedName name="______Mar11">[10]Newabstract!#REF!</definedName>
    <definedName name="______Mar12" localSheetId="43">[10]Newabstract!#REF!</definedName>
    <definedName name="______Mar12" localSheetId="44">[10]Newabstract!#REF!</definedName>
    <definedName name="______Mar12" localSheetId="36">[10]Newabstract!#REF!</definedName>
    <definedName name="______Mar12" localSheetId="28">[10]Newabstract!#REF!</definedName>
    <definedName name="______Mar12" localSheetId="83">[1]Newabstract!#REF!</definedName>
    <definedName name="______Mar12">[10]Newabstract!#REF!</definedName>
    <definedName name="______Mar13" localSheetId="43">[10]Newabstract!#REF!</definedName>
    <definedName name="______Mar13" localSheetId="44">[10]Newabstract!#REF!</definedName>
    <definedName name="______Mar13" localSheetId="36">[10]Newabstract!#REF!</definedName>
    <definedName name="______Mar13" localSheetId="28">[10]Newabstract!#REF!</definedName>
    <definedName name="______Mar13" localSheetId="83">[1]Newabstract!#REF!</definedName>
    <definedName name="______Mar13">[10]Newabstract!#REF!</definedName>
    <definedName name="______Mar16" localSheetId="43">[10]Newabstract!#REF!</definedName>
    <definedName name="______Mar16" localSheetId="44">[10]Newabstract!#REF!</definedName>
    <definedName name="______Mar16" localSheetId="36">[10]Newabstract!#REF!</definedName>
    <definedName name="______Mar16" localSheetId="28">[10]Newabstract!#REF!</definedName>
    <definedName name="______Mar16" localSheetId="83">[1]Newabstract!#REF!</definedName>
    <definedName name="______Mar16">[10]Newabstract!#REF!</definedName>
    <definedName name="______Mar17" localSheetId="43">[10]Newabstract!#REF!</definedName>
    <definedName name="______Mar17" localSheetId="44">[10]Newabstract!#REF!</definedName>
    <definedName name="______Mar17" localSheetId="36">[10]Newabstract!#REF!</definedName>
    <definedName name="______Mar17" localSheetId="28">[10]Newabstract!#REF!</definedName>
    <definedName name="______Mar17" localSheetId="83">[1]Newabstract!#REF!</definedName>
    <definedName name="______Mar17">[10]Newabstract!#REF!</definedName>
    <definedName name="______Mar18" localSheetId="43">[10]Newabstract!#REF!</definedName>
    <definedName name="______Mar18" localSheetId="44">[10]Newabstract!#REF!</definedName>
    <definedName name="______Mar18" localSheetId="36">[10]Newabstract!#REF!</definedName>
    <definedName name="______Mar18" localSheetId="28">[10]Newabstract!#REF!</definedName>
    <definedName name="______Mar18" localSheetId="83">[1]Newabstract!#REF!</definedName>
    <definedName name="______Mar18">[10]Newabstract!#REF!</definedName>
    <definedName name="______Mar19" localSheetId="43">[10]Newabstract!#REF!</definedName>
    <definedName name="______Mar19" localSheetId="44">[10]Newabstract!#REF!</definedName>
    <definedName name="______Mar19" localSheetId="36">[10]Newabstract!#REF!</definedName>
    <definedName name="______Mar19" localSheetId="28">[10]Newabstract!#REF!</definedName>
    <definedName name="______Mar19" localSheetId="83">[1]Newabstract!#REF!</definedName>
    <definedName name="______Mar19">[10]Newabstract!#REF!</definedName>
    <definedName name="______Mar20" localSheetId="43">[10]Newabstract!#REF!</definedName>
    <definedName name="______Mar20" localSheetId="44">[10]Newabstract!#REF!</definedName>
    <definedName name="______Mar20" localSheetId="36">[10]Newabstract!#REF!</definedName>
    <definedName name="______Mar20" localSheetId="28">[10]Newabstract!#REF!</definedName>
    <definedName name="______Mar20" localSheetId="83">[1]Newabstract!#REF!</definedName>
    <definedName name="______Mar20">[10]Newabstract!#REF!</definedName>
    <definedName name="______Mar23" localSheetId="43">[10]Newabstract!#REF!</definedName>
    <definedName name="______Mar23" localSheetId="44">[10]Newabstract!#REF!</definedName>
    <definedName name="______Mar23" localSheetId="36">[10]Newabstract!#REF!</definedName>
    <definedName name="______Mar23" localSheetId="28">[10]Newabstract!#REF!</definedName>
    <definedName name="______Mar23" localSheetId="83">[1]Newabstract!#REF!</definedName>
    <definedName name="______Mar23">[10]Newabstract!#REF!</definedName>
    <definedName name="______Mar24" localSheetId="43">[10]Newabstract!#REF!</definedName>
    <definedName name="______Mar24" localSheetId="44">[10]Newabstract!#REF!</definedName>
    <definedName name="______Mar24" localSheetId="36">[10]Newabstract!#REF!</definedName>
    <definedName name="______Mar24" localSheetId="28">[10]Newabstract!#REF!</definedName>
    <definedName name="______Mar24" localSheetId="83">[1]Newabstract!#REF!</definedName>
    <definedName name="______Mar24">[10]Newabstract!#REF!</definedName>
    <definedName name="______Mar25" localSheetId="43">[10]Newabstract!#REF!</definedName>
    <definedName name="______Mar25" localSheetId="44">[10]Newabstract!#REF!</definedName>
    <definedName name="______Mar25" localSheetId="36">[10]Newabstract!#REF!</definedName>
    <definedName name="______Mar25" localSheetId="28">[10]Newabstract!#REF!</definedName>
    <definedName name="______Mar25" localSheetId="83">[1]Newabstract!#REF!</definedName>
    <definedName name="______Mar25">[10]Newabstract!#REF!</definedName>
    <definedName name="______Mar26" localSheetId="43">[10]Newabstract!#REF!</definedName>
    <definedName name="______Mar26" localSheetId="44">[10]Newabstract!#REF!</definedName>
    <definedName name="______Mar26" localSheetId="36">[10]Newabstract!#REF!</definedName>
    <definedName name="______Mar26" localSheetId="28">[10]Newabstract!#REF!</definedName>
    <definedName name="______Mar26" localSheetId="83">[1]Newabstract!#REF!</definedName>
    <definedName name="______Mar26">[10]Newabstract!#REF!</definedName>
    <definedName name="______Mar27" localSheetId="43">[10]Newabstract!#REF!</definedName>
    <definedName name="______Mar27" localSheetId="44">[10]Newabstract!#REF!</definedName>
    <definedName name="______Mar27" localSheetId="36">[10]Newabstract!#REF!</definedName>
    <definedName name="______Mar27" localSheetId="28">[10]Newabstract!#REF!</definedName>
    <definedName name="______Mar27" localSheetId="83">[1]Newabstract!#REF!</definedName>
    <definedName name="______Mar27">[10]Newabstract!#REF!</definedName>
    <definedName name="______Mar28" localSheetId="43">[10]Newabstract!#REF!</definedName>
    <definedName name="______Mar28" localSheetId="44">[10]Newabstract!#REF!</definedName>
    <definedName name="______Mar28" localSheetId="36">[10]Newabstract!#REF!</definedName>
    <definedName name="______Mar28" localSheetId="28">[10]Newabstract!#REF!</definedName>
    <definedName name="______Mar28" localSheetId="83">[1]Newabstract!#REF!</definedName>
    <definedName name="______Mar28">[10]Newabstract!#REF!</definedName>
    <definedName name="______Mar30" localSheetId="43">[10]Newabstract!#REF!</definedName>
    <definedName name="______Mar30" localSheetId="44">[10]Newabstract!#REF!</definedName>
    <definedName name="______Mar30" localSheetId="36">[10]Newabstract!#REF!</definedName>
    <definedName name="______Mar30" localSheetId="28">[10]Newabstract!#REF!</definedName>
    <definedName name="______Mar30" localSheetId="83">[1]Newabstract!#REF!</definedName>
    <definedName name="______Mar30">[10]Newabstract!#REF!</definedName>
    <definedName name="______Mar31" localSheetId="43">[10]Newabstract!#REF!</definedName>
    <definedName name="______Mar31" localSheetId="44">[10]Newabstract!#REF!</definedName>
    <definedName name="______Mar31" localSheetId="36">[10]Newabstract!#REF!</definedName>
    <definedName name="______Mar31" localSheetId="28">[10]Newabstract!#REF!</definedName>
    <definedName name="______Mar31" localSheetId="83">[1]Newabstract!#REF!</definedName>
    <definedName name="______Mar31">[10]Newabstract!#REF!</definedName>
    <definedName name="______NCS111" localSheetId="36">'[14]Schedule-1'!$B$1:$J$1</definedName>
    <definedName name="______NCS111" localSheetId="37">'[8]Schedule-1'!$B$1:$J$1</definedName>
    <definedName name="______NCS111" localSheetId="83">'[1]Schedule-1'!$B$1:$J$1</definedName>
    <definedName name="______NCS111">'[14]Schedule-1'!$B$1:$J$1</definedName>
    <definedName name="______PH1">#N/A</definedName>
    <definedName name="______PL1">[12]BSPL!$A$58:$E$111</definedName>
    <definedName name="______SCH1" localSheetId="43">#REF!</definedName>
    <definedName name="______SCH1" localSheetId="44">#REF!</definedName>
    <definedName name="______SCH1">#REF!</definedName>
    <definedName name="______SCH10" localSheetId="43">#REF!</definedName>
    <definedName name="______SCH10" localSheetId="44">#REF!</definedName>
    <definedName name="______SCH10">#REF!</definedName>
    <definedName name="______SCH11" localSheetId="43">#REF!</definedName>
    <definedName name="______SCH11" localSheetId="44">#REF!</definedName>
    <definedName name="______SCH11">#REF!</definedName>
    <definedName name="______SCH12">[12]BSPL!$A$655:$D$692</definedName>
    <definedName name="______sch13">[12]BSPL!$A$694:$D$744</definedName>
    <definedName name="______SCH2" localSheetId="43">#REF!</definedName>
    <definedName name="______SCH2" localSheetId="44">#REF!</definedName>
    <definedName name="______SCH2">#REF!</definedName>
    <definedName name="______SCH3" localSheetId="43">#REF!</definedName>
    <definedName name="______SCH3" localSheetId="44">#REF!</definedName>
    <definedName name="______SCH3">#REF!</definedName>
    <definedName name="______SCH4" localSheetId="43">#REF!</definedName>
    <definedName name="______SCH4" localSheetId="44">#REF!</definedName>
    <definedName name="______SCH4">#REF!</definedName>
    <definedName name="______SCH5" localSheetId="43">#REF!</definedName>
    <definedName name="______SCH5" localSheetId="44">#REF!</definedName>
    <definedName name="______SCH5">#REF!</definedName>
    <definedName name="______SCH6" localSheetId="43">'[5]04REL'!#REF!</definedName>
    <definedName name="______SCH6" localSheetId="44">'[5]04REL'!#REF!</definedName>
    <definedName name="______SCH6" localSheetId="36">'[6]04REL'!#REF!</definedName>
    <definedName name="______SCH6" localSheetId="37">#REF!</definedName>
    <definedName name="______SCH6" localSheetId="28">'[5]04REL'!#REF!</definedName>
    <definedName name="______SCH6" localSheetId="56">'[6]04REL'!#REF!</definedName>
    <definedName name="______SCH6" localSheetId="83">'[1]04REL'!#REF!</definedName>
    <definedName name="______SCH6" localSheetId="90">'[6]04REL'!#REF!</definedName>
    <definedName name="______SCH6" localSheetId="91">'[6]04REL'!#REF!</definedName>
    <definedName name="______SCH6" localSheetId="94">'[6]04REL'!#REF!</definedName>
    <definedName name="______SCH6">'[7]04REL'!#REF!</definedName>
    <definedName name="______SCH7" localSheetId="43">#REF!</definedName>
    <definedName name="______SCH7" localSheetId="44">#REF!</definedName>
    <definedName name="______SCH7">#REF!</definedName>
    <definedName name="______SCH8" localSheetId="43">#REF!</definedName>
    <definedName name="______SCH8" localSheetId="44">#REF!</definedName>
    <definedName name="______SCH8">#REF!</definedName>
    <definedName name="______SCH9" localSheetId="43">#REF!</definedName>
    <definedName name="______SCH9" localSheetId="44">#REF!</definedName>
    <definedName name="______SCH9">#REF!</definedName>
    <definedName name="______SH1" localSheetId="83">'[1]Executive Summary -Thermal'!$A$4:$H$108</definedName>
    <definedName name="______SH1">'[18]Executive Summary -Thermal'!$A$4:$H$108</definedName>
    <definedName name="______SH10" localSheetId="83">'[1]Executive Summary -Thermal'!$A$4:$G$118</definedName>
    <definedName name="______SH10">'[18]Executive Summary -Thermal'!$A$4:$G$118</definedName>
    <definedName name="______SH11" localSheetId="83">'[1]Executive Summary -Thermal'!$A$4:$H$167</definedName>
    <definedName name="______SH11">'[18]Executive Summary -Thermal'!$A$4:$H$167</definedName>
    <definedName name="______SH2" localSheetId="83">'[1]Executive Summary -Thermal'!$A$4:$H$157</definedName>
    <definedName name="______SH2">'[18]Executive Summary -Thermal'!$A$4:$H$157</definedName>
    <definedName name="______SH3" localSheetId="83">'[1]Executive Summary -Thermal'!$A$4:$H$136</definedName>
    <definedName name="______SH3">'[18]Executive Summary -Thermal'!$A$4:$H$136</definedName>
    <definedName name="______SH4" localSheetId="83">'[1]Executive Summary -Thermal'!$A$4:$H$96</definedName>
    <definedName name="______SH4">'[18]Executive Summary -Thermal'!$A$4:$H$96</definedName>
    <definedName name="______SH5" localSheetId="83">'[1]Executive Summary -Thermal'!$A$4:$H$96</definedName>
    <definedName name="______SH5">'[18]Executive Summary -Thermal'!$A$4:$H$96</definedName>
    <definedName name="______SH6" localSheetId="83">'[1]Executive Summary -Thermal'!$A$4:$H$95</definedName>
    <definedName name="______SH6">'[18]Executive Summary -Thermal'!$A$4:$H$95</definedName>
    <definedName name="______SH7" localSheetId="83">'[1]Executive Summary -Thermal'!$A$4:$H$163</definedName>
    <definedName name="______SH7">'[18]Executive Summary -Thermal'!$A$4:$H$163</definedName>
    <definedName name="______SH8" localSheetId="83">'[1]Executive Summary -Thermal'!$A$4:$H$133</definedName>
    <definedName name="______SH8">'[18]Executive Summary -Thermal'!$A$4:$H$133</definedName>
    <definedName name="______SH9" localSheetId="83">'[1]Executive Summary -Thermal'!$A$4:$H$194</definedName>
    <definedName name="______SH9">'[18]Executive Summary -Thermal'!$A$4:$H$194</definedName>
    <definedName name="_____a65565" localSheetId="43">#REF!</definedName>
    <definedName name="_____a65565" localSheetId="44">#REF!</definedName>
    <definedName name="_____a65565" localSheetId="36">#REF!</definedName>
    <definedName name="_____a65565" localSheetId="37">#REF!</definedName>
    <definedName name="_____a65565" localSheetId="28">#REF!</definedName>
    <definedName name="_____a65565" localSheetId="56">#REF!</definedName>
    <definedName name="_____a65565" localSheetId="83">#REF!</definedName>
    <definedName name="_____a65565">#REF!</definedName>
    <definedName name="_____Apr02" localSheetId="43">[10]Newabstract!#REF!</definedName>
    <definedName name="_____Apr02" localSheetId="44">[10]Newabstract!#REF!</definedName>
    <definedName name="_____Apr02" localSheetId="36">[10]Newabstract!#REF!</definedName>
    <definedName name="_____Apr02" localSheetId="28">[10]Newabstract!#REF!</definedName>
    <definedName name="_____Apr02" localSheetId="83">[1]Newabstract!#REF!</definedName>
    <definedName name="_____Apr02">[10]Newabstract!#REF!</definedName>
    <definedName name="_____Apr03" localSheetId="43">[10]Newabstract!#REF!</definedName>
    <definedName name="_____Apr03" localSheetId="44">[10]Newabstract!#REF!</definedName>
    <definedName name="_____Apr03" localSheetId="36">[10]Newabstract!#REF!</definedName>
    <definedName name="_____Apr03" localSheetId="28">[10]Newabstract!#REF!</definedName>
    <definedName name="_____Apr03" localSheetId="83">[1]Newabstract!#REF!</definedName>
    <definedName name="_____Apr03">[10]Newabstract!#REF!</definedName>
    <definedName name="_____Apr04" localSheetId="43">[10]Newabstract!#REF!</definedName>
    <definedName name="_____Apr04" localSheetId="44">[10]Newabstract!#REF!</definedName>
    <definedName name="_____Apr04" localSheetId="36">[10]Newabstract!#REF!</definedName>
    <definedName name="_____Apr04" localSheetId="28">[10]Newabstract!#REF!</definedName>
    <definedName name="_____Apr04" localSheetId="83">[1]Newabstract!#REF!</definedName>
    <definedName name="_____Apr04">[10]Newabstract!#REF!</definedName>
    <definedName name="_____Apr05" localSheetId="43">[10]Newabstract!#REF!</definedName>
    <definedName name="_____Apr05" localSheetId="44">[10]Newabstract!#REF!</definedName>
    <definedName name="_____Apr05" localSheetId="36">[10]Newabstract!#REF!</definedName>
    <definedName name="_____Apr05" localSheetId="28">[10]Newabstract!#REF!</definedName>
    <definedName name="_____Apr05" localSheetId="83">[1]Newabstract!#REF!</definedName>
    <definedName name="_____Apr05">[10]Newabstract!#REF!</definedName>
    <definedName name="_____Apr06" localSheetId="43">[10]Newabstract!#REF!</definedName>
    <definedName name="_____Apr06" localSheetId="44">[10]Newabstract!#REF!</definedName>
    <definedName name="_____Apr06" localSheetId="36">[10]Newabstract!#REF!</definedName>
    <definedName name="_____Apr06" localSheetId="28">[10]Newabstract!#REF!</definedName>
    <definedName name="_____Apr06" localSheetId="83">[1]Newabstract!#REF!</definedName>
    <definedName name="_____Apr06">[10]Newabstract!#REF!</definedName>
    <definedName name="_____Apr07" localSheetId="43">[10]Newabstract!#REF!</definedName>
    <definedName name="_____Apr07" localSheetId="44">[10]Newabstract!#REF!</definedName>
    <definedName name="_____Apr07" localSheetId="36">[10]Newabstract!#REF!</definedName>
    <definedName name="_____Apr07" localSheetId="28">[10]Newabstract!#REF!</definedName>
    <definedName name="_____Apr07" localSheetId="83">[1]Newabstract!#REF!</definedName>
    <definedName name="_____Apr07">[10]Newabstract!#REF!</definedName>
    <definedName name="_____Apr08" localSheetId="43">[10]Newabstract!#REF!</definedName>
    <definedName name="_____Apr08" localSheetId="44">[10]Newabstract!#REF!</definedName>
    <definedName name="_____Apr08" localSheetId="36">[10]Newabstract!#REF!</definedName>
    <definedName name="_____Apr08" localSheetId="28">[10]Newabstract!#REF!</definedName>
    <definedName name="_____Apr08" localSheetId="83">[1]Newabstract!#REF!</definedName>
    <definedName name="_____Apr08">[10]Newabstract!#REF!</definedName>
    <definedName name="_____Apr09" localSheetId="43">[10]Newabstract!#REF!</definedName>
    <definedName name="_____Apr09" localSheetId="44">[10]Newabstract!#REF!</definedName>
    <definedName name="_____Apr09" localSheetId="36">[10]Newabstract!#REF!</definedName>
    <definedName name="_____Apr09" localSheetId="28">[10]Newabstract!#REF!</definedName>
    <definedName name="_____Apr09" localSheetId="83">[1]Newabstract!#REF!</definedName>
    <definedName name="_____Apr09">[10]Newabstract!#REF!</definedName>
    <definedName name="_____Apr10" localSheetId="43">[10]Newabstract!#REF!</definedName>
    <definedName name="_____Apr10" localSheetId="44">[10]Newabstract!#REF!</definedName>
    <definedName name="_____Apr10" localSheetId="36">[10]Newabstract!#REF!</definedName>
    <definedName name="_____Apr10" localSheetId="28">[10]Newabstract!#REF!</definedName>
    <definedName name="_____Apr10" localSheetId="83">[1]Newabstract!#REF!</definedName>
    <definedName name="_____Apr10">[10]Newabstract!#REF!</definedName>
    <definedName name="_____Apr11" localSheetId="43">[10]Newabstract!#REF!</definedName>
    <definedName name="_____Apr11" localSheetId="44">[10]Newabstract!#REF!</definedName>
    <definedName name="_____Apr11" localSheetId="36">[10]Newabstract!#REF!</definedName>
    <definedName name="_____Apr11" localSheetId="28">[10]Newabstract!#REF!</definedName>
    <definedName name="_____Apr11" localSheetId="83">[1]Newabstract!#REF!</definedName>
    <definedName name="_____Apr11">[10]Newabstract!#REF!</definedName>
    <definedName name="_____Apr13" localSheetId="43">[10]Newabstract!#REF!</definedName>
    <definedName name="_____Apr13" localSheetId="44">[10]Newabstract!#REF!</definedName>
    <definedName name="_____Apr13" localSheetId="36">[10]Newabstract!#REF!</definedName>
    <definedName name="_____Apr13" localSheetId="28">[10]Newabstract!#REF!</definedName>
    <definedName name="_____Apr13" localSheetId="83">[1]Newabstract!#REF!</definedName>
    <definedName name="_____Apr13">[10]Newabstract!#REF!</definedName>
    <definedName name="_____Apr14" localSheetId="43">[10]Newabstract!#REF!</definedName>
    <definedName name="_____Apr14" localSheetId="44">[10]Newabstract!#REF!</definedName>
    <definedName name="_____Apr14" localSheetId="36">[10]Newabstract!#REF!</definedName>
    <definedName name="_____Apr14" localSheetId="28">[10]Newabstract!#REF!</definedName>
    <definedName name="_____Apr14" localSheetId="83">[1]Newabstract!#REF!</definedName>
    <definedName name="_____Apr14">[10]Newabstract!#REF!</definedName>
    <definedName name="_____Apr15" localSheetId="43">[10]Newabstract!#REF!</definedName>
    <definedName name="_____Apr15" localSheetId="44">[10]Newabstract!#REF!</definedName>
    <definedName name="_____Apr15" localSheetId="36">[10]Newabstract!#REF!</definedName>
    <definedName name="_____Apr15" localSheetId="28">[10]Newabstract!#REF!</definedName>
    <definedName name="_____Apr15" localSheetId="83">[1]Newabstract!#REF!</definedName>
    <definedName name="_____Apr15">[10]Newabstract!#REF!</definedName>
    <definedName name="_____Apr16" localSheetId="43">[10]Newabstract!#REF!</definedName>
    <definedName name="_____Apr16" localSheetId="44">[10]Newabstract!#REF!</definedName>
    <definedName name="_____Apr16" localSheetId="36">[10]Newabstract!#REF!</definedName>
    <definedName name="_____Apr16" localSheetId="28">[10]Newabstract!#REF!</definedName>
    <definedName name="_____Apr16" localSheetId="83">[1]Newabstract!#REF!</definedName>
    <definedName name="_____Apr16">[10]Newabstract!#REF!</definedName>
    <definedName name="_____Apr17" localSheetId="43">[10]Newabstract!#REF!</definedName>
    <definedName name="_____Apr17" localSheetId="44">[10]Newabstract!#REF!</definedName>
    <definedName name="_____Apr17" localSheetId="36">[10]Newabstract!#REF!</definedName>
    <definedName name="_____Apr17" localSheetId="28">[10]Newabstract!#REF!</definedName>
    <definedName name="_____Apr17" localSheetId="83">[1]Newabstract!#REF!</definedName>
    <definedName name="_____Apr17">[10]Newabstract!#REF!</definedName>
    <definedName name="_____Apr20" localSheetId="43">[10]Newabstract!#REF!</definedName>
    <definedName name="_____Apr20" localSheetId="44">[10]Newabstract!#REF!</definedName>
    <definedName name="_____Apr20" localSheetId="36">[10]Newabstract!#REF!</definedName>
    <definedName name="_____Apr20" localSheetId="28">[10]Newabstract!#REF!</definedName>
    <definedName name="_____Apr20" localSheetId="83">[1]Newabstract!#REF!</definedName>
    <definedName name="_____Apr20">[10]Newabstract!#REF!</definedName>
    <definedName name="_____Apr21" localSheetId="43">[10]Newabstract!#REF!</definedName>
    <definedName name="_____Apr21" localSheetId="44">[10]Newabstract!#REF!</definedName>
    <definedName name="_____Apr21" localSheetId="36">[10]Newabstract!#REF!</definedName>
    <definedName name="_____Apr21" localSheetId="28">[10]Newabstract!#REF!</definedName>
    <definedName name="_____Apr21" localSheetId="83">[1]Newabstract!#REF!</definedName>
    <definedName name="_____Apr21">[10]Newabstract!#REF!</definedName>
    <definedName name="_____Apr22" localSheetId="43">[10]Newabstract!#REF!</definedName>
    <definedName name="_____Apr22" localSheetId="44">[10]Newabstract!#REF!</definedName>
    <definedName name="_____Apr22" localSheetId="36">[10]Newabstract!#REF!</definedName>
    <definedName name="_____Apr22" localSheetId="28">[10]Newabstract!#REF!</definedName>
    <definedName name="_____Apr22" localSheetId="83">[1]Newabstract!#REF!</definedName>
    <definedName name="_____Apr22">[10]Newabstract!#REF!</definedName>
    <definedName name="_____Apr23" localSheetId="43">[10]Newabstract!#REF!</definedName>
    <definedName name="_____Apr23" localSheetId="44">[10]Newabstract!#REF!</definedName>
    <definedName name="_____Apr23" localSheetId="36">[10]Newabstract!#REF!</definedName>
    <definedName name="_____Apr23" localSheetId="28">[10]Newabstract!#REF!</definedName>
    <definedName name="_____Apr23" localSheetId="83">[1]Newabstract!#REF!</definedName>
    <definedName name="_____Apr23">[10]Newabstract!#REF!</definedName>
    <definedName name="_____Apr24" localSheetId="43">[10]Newabstract!#REF!</definedName>
    <definedName name="_____Apr24" localSheetId="44">[10]Newabstract!#REF!</definedName>
    <definedName name="_____Apr24" localSheetId="36">[10]Newabstract!#REF!</definedName>
    <definedName name="_____Apr24" localSheetId="28">[10]Newabstract!#REF!</definedName>
    <definedName name="_____Apr24" localSheetId="83">[1]Newabstract!#REF!</definedName>
    <definedName name="_____Apr24">[10]Newabstract!#REF!</definedName>
    <definedName name="_____Apr27" localSheetId="43">[10]Newabstract!#REF!</definedName>
    <definedName name="_____Apr27" localSheetId="44">[10]Newabstract!#REF!</definedName>
    <definedName name="_____Apr27" localSheetId="36">[10]Newabstract!#REF!</definedName>
    <definedName name="_____Apr27" localSheetId="28">[10]Newabstract!#REF!</definedName>
    <definedName name="_____Apr27" localSheetId="83">[1]Newabstract!#REF!</definedName>
    <definedName name="_____Apr27">[10]Newabstract!#REF!</definedName>
    <definedName name="_____Apr28" localSheetId="43">[10]Newabstract!#REF!</definedName>
    <definedName name="_____Apr28" localSheetId="44">[10]Newabstract!#REF!</definedName>
    <definedName name="_____Apr28" localSheetId="36">[10]Newabstract!#REF!</definedName>
    <definedName name="_____Apr28" localSheetId="28">[10]Newabstract!#REF!</definedName>
    <definedName name="_____Apr28" localSheetId="83">[1]Newabstract!#REF!</definedName>
    <definedName name="_____Apr28">[10]Newabstract!#REF!</definedName>
    <definedName name="_____Apr29" localSheetId="43">[10]Newabstract!#REF!</definedName>
    <definedName name="_____Apr29" localSheetId="44">[10]Newabstract!#REF!</definedName>
    <definedName name="_____Apr29" localSheetId="36">[10]Newabstract!#REF!</definedName>
    <definedName name="_____Apr29" localSheetId="28">[10]Newabstract!#REF!</definedName>
    <definedName name="_____Apr29" localSheetId="83">[1]Newabstract!#REF!</definedName>
    <definedName name="_____Apr29">[10]Newabstract!#REF!</definedName>
    <definedName name="_____Apr30" localSheetId="43">[10]Newabstract!#REF!</definedName>
    <definedName name="_____Apr30" localSheetId="44">[10]Newabstract!#REF!</definedName>
    <definedName name="_____Apr30" localSheetId="36">[10]Newabstract!#REF!</definedName>
    <definedName name="_____Apr30" localSheetId="28">[10]Newabstract!#REF!</definedName>
    <definedName name="_____Apr30" localSheetId="83">[1]Newabstract!#REF!</definedName>
    <definedName name="_____Apr30">[10]Newabstract!#REF!</definedName>
    <definedName name="_____arr2"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BS1">[12]BSPL!$A$2:$E$56</definedName>
    <definedName name="_____bs2" localSheetId="43">#REF!</definedName>
    <definedName name="_____bs2" localSheetId="44">#REF!</definedName>
    <definedName name="_____bs2">#REF!</definedName>
    <definedName name="_____BSD1" localSheetId="43">#REF!</definedName>
    <definedName name="_____BSD1" localSheetId="44">#REF!</definedName>
    <definedName name="_____BSD1" localSheetId="36">#REF!</definedName>
    <definedName name="_____BSD1" localSheetId="37">#REF!</definedName>
    <definedName name="_____BSD1" localSheetId="28">#REF!</definedName>
    <definedName name="_____BSD1" localSheetId="56">#REF!</definedName>
    <definedName name="_____BSD1" localSheetId="83">#REF!</definedName>
    <definedName name="_____BSD1">#REF!</definedName>
    <definedName name="_____BSD2" localSheetId="43">#REF!</definedName>
    <definedName name="_____BSD2" localSheetId="44">#REF!</definedName>
    <definedName name="_____BSD2" localSheetId="36">#REF!</definedName>
    <definedName name="_____BSD2" localSheetId="37">#REF!</definedName>
    <definedName name="_____BSD2" localSheetId="28">#REF!</definedName>
    <definedName name="_____BSD2" localSheetId="83">#REF!</definedName>
    <definedName name="_____BSD2">#REF!</definedName>
    <definedName name="_____CZ1" localSheetId="83">[1]data!$F$721</definedName>
    <definedName name="_____CZ1">[19]data!$F$721</definedName>
    <definedName name="_____FC1" localSheetId="36">[13]DEMFIXLD!$A$1:$E$205</definedName>
    <definedName name="_____FC1" localSheetId="56">[13]DEMFIXLD!$A$1:$E$205</definedName>
    <definedName name="_____FC1" localSheetId="83">[1]DEMFIXLD!$A$1:$E$205</definedName>
    <definedName name="_____FC1" localSheetId="90">[17]DEMFIXLD!$A$1:$E$205</definedName>
    <definedName name="_____FC1" localSheetId="91">[17]DEMFIXLD!$A$1:$E$205</definedName>
    <definedName name="_____FC1" localSheetId="94">[17]DEMFIXLD!$A$1:$E$205</definedName>
    <definedName name="_____FC1">[16]DEMFIXLD!$A$1:$E$205</definedName>
    <definedName name="_____IED1" localSheetId="43">#REF!</definedName>
    <definedName name="_____IED1" localSheetId="44">#REF!</definedName>
    <definedName name="_____IED1" localSheetId="36">#REF!</definedName>
    <definedName name="_____IED1" localSheetId="37">#REF!</definedName>
    <definedName name="_____IED1" localSheetId="28">#REF!</definedName>
    <definedName name="_____IED1" localSheetId="56">#REF!</definedName>
    <definedName name="_____IED1" localSheetId="83">#REF!</definedName>
    <definedName name="_____IED1" localSheetId="94">#REF!</definedName>
    <definedName name="_____IED1">#REF!</definedName>
    <definedName name="_____IED2" localSheetId="43">#REF!</definedName>
    <definedName name="_____IED2" localSheetId="44">#REF!</definedName>
    <definedName name="_____IED2" localSheetId="36">#REF!</definedName>
    <definedName name="_____IED2" localSheetId="37">#REF!</definedName>
    <definedName name="_____IED2" localSheetId="28">#REF!</definedName>
    <definedName name="_____IED2" localSheetId="83">#REF!</definedName>
    <definedName name="_____IED2">#REF!</definedName>
    <definedName name="_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LD1" localSheetId="83">[1]DLC!$K$59:$AF$8180</definedName>
    <definedName name="_____LD1">[2]DLC!$K$59:$AF$8180</definedName>
    <definedName name="_____LD2" localSheetId="83">[1]DLC!$GR$56:$HT$8181</definedName>
    <definedName name="_____LD2">[2]DLC!$GR$56:$HT$8181</definedName>
    <definedName name="_____LD3" localSheetId="83">[1]DLC!$HV$57:$IO$8181</definedName>
    <definedName name="_____LD3">[2]DLC!$HV$57:$IO$8181</definedName>
    <definedName name="_____LD4" localSheetId="83">[1]DLC!$AH$32:$BE$8180</definedName>
    <definedName name="_____LD4">[2]DLC!$AH$32:$BE$8180</definedName>
    <definedName name="_____LD5" localSheetId="83">[1]DLC!$GR$53:$HK$8180</definedName>
    <definedName name="_____LD5">[2]DLC!$GR$53:$HK$8180</definedName>
    <definedName name="_____LD6" localSheetId="83">[1]DLC!$GR$69:$HL$8180</definedName>
    <definedName name="_____LD6">[2]DLC!$GR$69:$HL$8180</definedName>
    <definedName name="_____LR1" localSheetId="43">#REF!</definedName>
    <definedName name="_____LR1" localSheetId="44">#REF!</definedName>
    <definedName name="_____LR1" localSheetId="36">#REF!</definedName>
    <definedName name="_____LR1" localSheetId="28">#REF!</definedName>
    <definedName name="_____LR1" localSheetId="83">#REF!</definedName>
    <definedName name="_____LR1">#REF!</definedName>
    <definedName name="_____LR2" localSheetId="43">#REF!</definedName>
    <definedName name="_____LR2" localSheetId="44">#REF!</definedName>
    <definedName name="_____LR2" localSheetId="36">#REF!</definedName>
    <definedName name="_____LR2" localSheetId="28">#REF!</definedName>
    <definedName name="_____LR2" localSheetId="83">#REF!</definedName>
    <definedName name="_____LR2">#REF!</definedName>
    <definedName name="_____Mar06" localSheetId="43">[10]Newabstract!#REF!</definedName>
    <definedName name="_____Mar06" localSheetId="44">[10]Newabstract!#REF!</definedName>
    <definedName name="_____Mar06" localSheetId="36">[10]Newabstract!#REF!</definedName>
    <definedName name="_____Mar06" localSheetId="28">[10]Newabstract!#REF!</definedName>
    <definedName name="_____Mar06" localSheetId="83">[1]Newabstract!#REF!</definedName>
    <definedName name="_____Mar06">[10]Newabstract!#REF!</definedName>
    <definedName name="_____Mar09" localSheetId="43">[10]Newabstract!#REF!</definedName>
    <definedName name="_____Mar09" localSheetId="44">[10]Newabstract!#REF!</definedName>
    <definedName name="_____Mar09" localSheetId="36">[10]Newabstract!#REF!</definedName>
    <definedName name="_____Mar09" localSheetId="28">[10]Newabstract!#REF!</definedName>
    <definedName name="_____Mar09" localSheetId="83">[1]Newabstract!#REF!</definedName>
    <definedName name="_____Mar09">[10]Newabstract!#REF!</definedName>
    <definedName name="_____Mar10" localSheetId="43">[10]Newabstract!#REF!</definedName>
    <definedName name="_____Mar10" localSheetId="44">[10]Newabstract!#REF!</definedName>
    <definedName name="_____Mar10" localSheetId="36">[10]Newabstract!#REF!</definedName>
    <definedName name="_____Mar10" localSheetId="28">[10]Newabstract!#REF!</definedName>
    <definedName name="_____Mar10" localSheetId="83">[1]Newabstract!#REF!</definedName>
    <definedName name="_____Mar10">[10]Newabstract!#REF!</definedName>
    <definedName name="_____Mar11" localSheetId="43">[10]Newabstract!#REF!</definedName>
    <definedName name="_____Mar11" localSheetId="44">[10]Newabstract!#REF!</definedName>
    <definedName name="_____Mar11" localSheetId="36">[10]Newabstract!#REF!</definedName>
    <definedName name="_____Mar11" localSheetId="28">[10]Newabstract!#REF!</definedName>
    <definedName name="_____Mar11" localSheetId="83">[1]Newabstract!#REF!</definedName>
    <definedName name="_____Mar11">[10]Newabstract!#REF!</definedName>
    <definedName name="_____Mar12" localSheetId="43">[10]Newabstract!#REF!</definedName>
    <definedName name="_____Mar12" localSheetId="44">[10]Newabstract!#REF!</definedName>
    <definedName name="_____Mar12" localSheetId="36">[10]Newabstract!#REF!</definedName>
    <definedName name="_____Mar12" localSheetId="28">[10]Newabstract!#REF!</definedName>
    <definedName name="_____Mar12" localSheetId="83">[1]Newabstract!#REF!</definedName>
    <definedName name="_____Mar12">[10]Newabstract!#REF!</definedName>
    <definedName name="_____Mar13" localSheetId="43">[10]Newabstract!#REF!</definedName>
    <definedName name="_____Mar13" localSheetId="44">[10]Newabstract!#REF!</definedName>
    <definedName name="_____Mar13" localSheetId="36">[10]Newabstract!#REF!</definedName>
    <definedName name="_____Mar13" localSheetId="28">[10]Newabstract!#REF!</definedName>
    <definedName name="_____Mar13" localSheetId="83">[1]Newabstract!#REF!</definedName>
    <definedName name="_____Mar13">[10]Newabstract!#REF!</definedName>
    <definedName name="_____Mar16" localSheetId="43">[10]Newabstract!#REF!</definedName>
    <definedName name="_____Mar16" localSheetId="44">[10]Newabstract!#REF!</definedName>
    <definedName name="_____Mar16" localSheetId="36">[10]Newabstract!#REF!</definedName>
    <definedName name="_____Mar16" localSheetId="28">[10]Newabstract!#REF!</definedName>
    <definedName name="_____Mar16" localSheetId="83">[1]Newabstract!#REF!</definedName>
    <definedName name="_____Mar16">[10]Newabstract!#REF!</definedName>
    <definedName name="_____Mar17" localSheetId="43">[10]Newabstract!#REF!</definedName>
    <definedName name="_____Mar17" localSheetId="44">[10]Newabstract!#REF!</definedName>
    <definedName name="_____Mar17" localSheetId="36">[10]Newabstract!#REF!</definedName>
    <definedName name="_____Mar17" localSheetId="28">[10]Newabstract!#REF!</definedName>
    <definedName name="_____Mar17" localSheetId="83">[1]Newabstract!#REF!</definedName>
    <definedName name="_____Mar17">[10]Newabstract!#REF!</definedName>
    <definedName name="_____Mar18" localSheetId="43">[10]Newabstract!#REF!</definedName>
    <definedName name="_____Mar18" localSheetId="44">[10]Newabstract!#REF!</definedName>
    <definedName name="_____Mar18" localSheetId="36">[10]Newabstract!#REF!</definedName>
    <definedName name="_____Mar18" localSheetId="28">[10]Newabstract!#REF!</definedName>
    <definedName name="_____Mar18" localSheetId="83">[1]Newabstract!#REF!</definedName>
    <definedName name="_____Mar18">[10]Newabstract!#REF!</definedName>
    <definedName name="_____Mar19" localSheetId="43">[10]Newabstract!#REF!</definedName>
    <definedName name="_____Mar19" localSheetId="44">[10]Newabstract!#REF!</definedName>
    <definedName name="_____Mar19" localSheetId="36">[10]Newabstract!#REF!</definedName>
    <definedName name="_____Mar19" localSheetId="28">[10]Newabstract!#REF!</definedName>
    <definedName name="_____Mar19" localSheetId="83">[1]Newabstract!#REF!</definedName>
    <definedName name="_____Mar19">[10]Newabstract!#REF!</definedName>
    <definedName name="_____Mar20" localSheetId="43">[10]Newabstract!#REF!</definedName>
    <definedName name="_____Mar20" localSheetId="44">[10]Newabstract!#REF!</definedName>
    <definedName name="_____Mar20" localSheetId="36">[10]Newabstract!#REF!</definedName>
    <definedName name="_____Mar20" localSheetId="28">[10]Newabstract!#REF!</definedName>
    <definedName name="_____Mar20" localSheetId="83">[1]Newabstract!#REF!</definedName>
    <definedName name="_____Mar20">[10]Newabstract!#REF!</definedName>
    <definedName name="_____Mar23" localSheetId="43">[10]Newabstract!#REF!</definedName>
    <definedName name="_____Mar23" localSheetId="44">[10]Newabstract!#REF!</definedName>
    <definedName name="_____Mar23" localSheetId="36">[10]Newabstract!#REF!</definedName>
    <definedName name="_____Mar23" localSheetId="28">[10]Newabstract!#REF!</definedName>
    <definedName name="_____Mar23" localSheetId="83">[1]Newabstract!#REF!</definedName>
    <definedName name="_____Mar23">[10]Newabstract!#REF!</definedName>
    <definedName name="_____Mar24" localSheetId="43">[10]Newabstract!#REF!</definedName>
    <definedName name="_____Mar24" localSheetId="44">[10]Newabstract!#REF!</definedName>
    <definedName name="_____Mar24" localSheetId="36">[10]Newabstract!#REF!</definedName>
    <definedName name="_____Mar24" localSheetId="28">[10]Newabstract!#REF!</definedName>
    <definedName name="_____Mar24" localSheetId="83">[1]Newabstract!#REF!</definedName>
    <definedName name="_____Mar24">[10]Newabstract!#REF!</definedName>
    <definedName name="_____Mar25" localSheetId="43">[10]Newabstract!#REF!</definedName>
    <definedName name="_____Mar25" localSheetId="44">[10]Newabstract!#REF!</definedName>
    <definedName name="_____Mar25" localSheetId="36">[10]Newabstract!#REF!</definedName>
    <definedName name="_____Mar25" localSheetId="28">[10]Newabstract!#REF!</definedName>
    <definedName name="_____Mar25" localSheetId="83">[1]Newabstract!#REF!</definedName>
    <definedName name="_____Mar25">[10]Newabstract!#REF!</definedName>
    <definedName name="_____Mar26" localSheetId="43">[10]Newabstract!#REF!</definedName>
    <definedName name="_____Mar26" localSheetId="44">[10]Newabstract!#REF!</definedName>
    <definedName name="_____Mar26" localSheetId="36">[10]Newabstract!#REF!</definedName>
    <definedName name="_____Mar26" localSheetId="28">[10]Newabstract!#REF!</definedName>
    <definedName name="_____Mar26" localSheetId="83">[1]Newabstract!#REF!</definedName>
    <definedName name="_____Mar26">[10]Newabstract!#REF!</definedName>
    <definedName name="_____Mar27" localSheetId="43">[10]Newabstract!#REF!</definedName>
    <definedName name="_____Mar27" localSheetId="44">[10]Newabstract!#REF!</definedName>
    <definedName name="_____Mar27" localSheetId="36">[10]Newabstract!#REF!</definedName>
    <definedName name="_____Mar27" localSheetId="28">[10]Newabstract!#REF!</definedName>
    <definedName name="_____Mar27" localSheetId="83">[1]Newabstract!#REF!</definedName>
    <definedName name="_____Mar27">[10]Newabstract!#REF!</definedName>
    <definedName name="_____Mar28" localSheetId="43">[10]Newabstract!#REF!</definedName>
    <definedName name="_____Mar28" localSheetId="44">[10]Newabstract!#REF!</definedName>
    <definedName name="_____Mar28" localSheetId="36">[10]Newabstract!#REF!</definedName>
    <definedName name="_____Mar28" localSheetId="28">[10]Newabstract!#REF!</definedName>
    <definedName name="_____Mar28" localSheetId="83">[1]Newabstract!#REF!</definedName>
    <definedName name="_____Mar28">[10]Newabstract!#REF!</definedName>
    <definedName name="_____Mar30" localSheetId="43">[10]Newabstract!#REF!</definedName>
    <definedName name="_____Mar30" localSheetId="44">[10]Newabstract!#REF!</definedName>
    <definedName name="_____Mar30" localSheetId="36">[10]Newabstract!#REF!</definedName>
    <definedName name="_____Mar30" localSheetId="28">[10]Newabstract!#REF!</definedName>
    <definedName name="_____Mar30" localSheetId="83">[1]Newabstract!#REF!</definedName>
    <definedName name="_____Mar30">[10]Newabstract!#REF!</definedName>
    <definedName name="_____Mar31" localSheetId="43">[10]Newabstract!#REF!</definedName>
    <definedName name="_____Mar31" localSheetId="44">[10]Newabstract!#REF!</definedName>
    <definedName name="_____Mar31" localSheetId="36">[10]Newabstract!#REF!</definedName>
    <definedName name="_____Mar31" localSheetId="28">[10]Newabstract!#REF!</definedName>
    <definedName name="_____Mar31" localSheetId="83">[1]Newabstract!#REF!</definedName>
    <definedName name="_____Mar31">[10]Newabstract!#REF!</definedName>
    <definedName name="_____NCS111" localSheetId="36">'[14]Schedule-1'!$B$1:$J$1</definedName>
    <definedName name="_____NCS111" localSheetId="37">'[20]Schedule-1'!$B$1:$J$1</definedName>
    <definedName name="_____NCS111" localSheetId="56">'[14]Schedule-1'!$B$1:$J$1</definedName>
    <definedName name="_____NCS111" localSheetId="83">'[1]Schedule-1'!$B$1:$J$1</definedName>
    <definedName name="_____NCS111" localSheetId="90">'[14]Schedule-1'!$B$1:$J$1</definedName>
    <definedName name="_____NCS111" localSheetId="91">'[14]Schedule-1'!$B$1:$J$1</definedName>
    <definedName name="_____NCS111" localSheetId="94">'[14]Schedule-1'!$B$1:$J$1</definedName>
    <definedName name="_____NCS111">'[21]Schedule-1'!$B$1:$J$1</definedName>
    <definedName name="_____PH1">#N/A</definedName>
    <definedName name="_____PL1">[12]BSPL!$A$58:$E$111</definedName>
    <definedName name="_____SCH1" localSheetId="43">#REF!</definedName>
    <definedName name="_____SCH1" localSheetId="44">#REF!</definedName>
    <definedName name="_____SCH1">#REF!</definedName>
    <definedName name="_____SCH10" localSheetId="43">#REF!</definedName>
    <definedName name="_____SCH10" localSheetId="44">#REF!</definedName>
    <definedName name="_____SCH10">#REF!</definedName>
    <definedName name="_____SCH11" localSheetId="43">#REF!</definedName>
    <definedName name="_____SCH11" localSheetId="44">#REF!</definedName>
    <definedName name="_____SCH11">#REF!</definedName>
    <definedName name="_____SCH12">[12]BSPL!$A$655:$D$692</definedName>
    <definedName name="_____sch13">[12]BSPL!$A$694:$D$744</definedName>
    <definedName name="_____SCH2" localSheetId="43">#REF!</definedName>
    <definedName name="_____SCH2" localSheetId="44">#REF!</definedName>
    <definedName name="_____SCH2">#REF!</definedName>
    <definedName name="_____SCH3" localSheetId="43">#REF!</definedName>
    <definedName name="_____SCH3" localSheetId="44">#REF!</definedName>
    <definedName name="_____SCH3">#REF!</definedName>
    <definedName name="_____SCH4" localSheetId="43">#REF!</definedName>
    <definedName name="_____SCH4" localSheetId="44">#REF!</definedName>
    <definedName name="_____SCH4">#REF!</definedName>
    <definedName name="_____SCH5" localSheetId="43">#REF!</definedName>
    <definedName name="_____SCH5" localSheetId="44">#REF!</definedName>
    <definedName name="_____SCH5">#REF!</definedName>
    <definedName name="_____SCH6" localSheetId="43">'[5]04REL'!#REF!</definedName>
    <definedName name="_____SCH6" localSheetId="44">'[5]04REL'!#REF!</definedName>
    <definedName name="_____SCH6" localSheetId="36">'[6]04REL'!#REF!</definedName>
    <definedName name="_____SCH6" localSheetId="37">'[9]04REL'!#REF!</definedName>
    <definedName name="_____SCH6" localSheetId="28">'[5]04REL'!#REF!</definedName>
    <definedName name="_____SCH6" localSheetId="56">'[6]04REL'!#REF!</definedName>
    <definedName name="_____SCH6" localSheetId="83">'[1]04REL'!#REF!</definedName>
    <definedName name="_____SCH6" localSheetId="90">'[6]04REL'!#REF!</definedName>
    <definedName name="_____SCH6" localSheetId="91">'[6]04REL'!#REF!</definedName>
    <definedName name="_____SCH6" localSheetId="94">'[6]04REL'!#REF!</definedName>
    <definedName name="_____SCH6">'[7]04REL'!#REF!</definedName>
    <definedName name="_____SCH7" localSheetId="43">#REF!</definedName>
    <definedName name="_____SCH7" localSheetId="44">#REF!</definedName>
    <definedName name="_____SCH7">#REF!</definedName>
    <definedName name="_____SCH8" localSheetId="43">#REF!</definedName>
    <definedName name="_____SCH8" localSheetId="44">#REF!</definedName>
    <definedName name="_____SCH8">#REF!</definedName>
    <definedName name="_____SCH9" localSheetId="43">#REF!</definedName>
    <definedName name="_____SCH9" localSheetId="44">#REF!</definedName>
    <definedName name="_____SCH9">#REF!</definedName>
    <definedName name="_____SH1" localSheetId="83">'[1]Executive Summary -Thermal'!$A$4:$H$108</definedName>
    <definedName name="_____SH1">'[18]Executive Summary -Thermal'!$A$4:$H$108</definedName>
    <definedName name="_____SH10" localSheetId="83">'[1]Executive Summary -Thermal'!$A$4:$G$118</definedName>
    <definedName name="_____SH10">'[18]Executive Summary -Thermal'!$A$4:$G$118</definedName>
    <definedName name="_____SH11" localSheetId="83">'[1]Executive Summary -Thermal'!$A$4:$H$167</definedName>
    <definedName name="_____SH11">'[18]Executive Summary -Thermal'!$A$4:$H$167</definedName>
    <definedName name="_____SH2" localSheetId="83">'[1]Executive Summary -Thermal'!$A$4:$H$157</definedName>
    <definedName name="_____SH2">'[18]Executive Summary -Thermal'!$A$4:$H$157</definedName>
    <definedName name="_____SH3" localSheetId="83">'[1]Executive Summary -Thermal'!$A$4:$H$136</definedName>
    <definedName name="_____SH3">'[18]Executive Summary -Thermal'!$A$4:$H$136</definedName>
    <definedName name="_____SH4" localSheetId="83">'[1]Executive Summary -Thermal'!$A$4:$H$96</definedName>
    <definedName name="_____SH4">'[18]Executive Summary -Thermal'!$A$4:$H$96</definedName>
    <definedName name="_____SH5" localSheetId="83">'[1]Executive Summary -Thermal'!$A$4:$H$96</definedName>
    <definedName name="_____SH5">'[18]Executive Summary -Thermal'!$A$4:$H$96</definedName>
    <definedName name="_____SH6" localSheetId="83">'[1]Executive Summary -Thermal'!$A$4:$H$95</definedName>
    <definedName name="_____SH6">'[18]Executive Summary -Thermal'!$A$4:$H$95</definedName>
    <definedName name="_____SH7" localSheetId="83">'[1]Executive Summary -Thermal'!$A$4:$H$163</definedName>
    <definedName name="_____SH7">'[18]Executive Summary -Thermal'!$A$4:$H$163</definedName>
    <definedName name="_____SH8" localSheetId="83">'[1]Executive Summary -Thermal'!$A$4:$H$133</definedName>
    <definedName name="_____SH8">'[18]Executive Summary -Thermal'!$A$4:$H$133</definedName>
    <definedName name="_____SH9" localSheetId="83">'[1]Executive Summary -Thermal'!$A$4:$H$194</definedName>
    <definedName name="_____SH9">'[18]Executive Summary -Thermal'!$A$4:$H$194</definedName>
    <definedName name="____a65565" localSheetId="43">#REF!</definedName>
    <definedName name="____a65565" localSheetId="44">#REF!</definedName>
    <definedName name="____a65565" localSheetId="36">#REF!</definedName>
    <definedName name="____a65565" localSheetId="37">#REF!</definedName>
    <definedName name="____a65565" localSheetId="28">#REF!</definedName>
    <definedName name="____a65565" localSheetId="56">#REF!</definedName>
    <definedName name="____a65565" localSheetId="83">#REF!</definedName>
    <definedName name="____a65565">#REF!</definedName>
    <definedName name="____Apr02" localSheetId="43">[10]Newabstract!#REF!</definedName>
    <definedName name="____Apr02" localSheetId="44">[10]Newabstract!#REF!</definedName>
    <definedName name="____Apr02" localSheetId="36">[10]Newabstract!#REF!</definedName>
    <definedName name="____Apr02" localSheetId="28">[10]Newabstract!#REF!</definedName>
    <definedName name="____Apr02" localSheetId="83">[1]Newabstract!#REF!</definedName>
    <definedName name="____Apr02">[10]Newabstract!#REF!</definedName>
    <definedName name="____Apr03" localSheetId="43">[10]Newabstract!#REF!</definedName>
    <definedName name="____Apr03" localSheetId="44">[10]Newabstract!#REF!</definedName>
    <definedName name="____Apr03" localSheetId="36">[10]Newabstract!#REF!</definedName>
    <definedName name="____Apr03" localSheetId="28">[10]Newabstract!#REF!</definedName>
    <definedName name="____Apr03" localSheetId="83">[1]Newabstract!#REF!</definedName>
    <definedName name="____Apr03">[10]Newabstract!#REF!</definedName>
    <definedName name="____Apr04" localSheetId="43">[10]Newabstract!#REF!</definedName>
    <definedName name="____Apr04" localSheetId="44">[10]Newabstract!#REF!</definedName>
    <definedName name="____Apr04" localSheetId="36">[10]Newabstract!#REF!</definedName>
    <definedName name="____Apr04" localSheetId="28">[10]Newabstract!#REF!</definedName>
    <definedName name="____Apr04" localSheetId="83">[1]Newabstract!#REF!</definedName>
    <definedName name="____Apr04">[10]Newabstract!#REF!</definedName>
    <definedName name="____Apr05" localSheetId="43">[10]Newabstract!#REF!</definedName>
    <definedName name="____Apr05" localSheetId="44">[10]Newabstract!#REF!</definedName>
    <definedName name="____Apr05" localSheetId="36">[10]Newabstract!#REF!</definedName>
    <definedName name="____Apr05" localSheetId="28">[10]Newabstract!#REF!</definedName>
    <definedName name="____Apr05" localSheetId="83">[1]Newabstract!#REF!</definedName>
    <definedName name="____Apr05">[10]Newabstract!#REF!</definedName>
    <definedName name="____Apr06" localSheetId="43">[10]Newabstract!#REF!</definedName>
    <definedName name="____Apr06" localSheetId="44">[10]Newabstract!#REF!</definedName>
    <definedName name="____Apr06" localSheetId="36">[10]Newabstract!#REF!</definedName>
    <definedName name="____Apr06" localSheetId="28">[10]Newabstract!#REF!</definedName>
    <definedName name="____Apr06" localSheetId="83">[1]Newabstract!#REF!</definedName>
    <definedName name="____Apr06">[10]Newabstract!#REF!</definedName>
    <definedName name="____Apr07" localSheetId="43">[10]Newabstract!#REF!</definedName>
    <definedName name="____Apr07" localSheetId="44">[10]Newabstract!#REF!</definedName>
    <definedName name="____Apr07" localSheetId="36">[10]Newabstract!#REF!</definedName>
    <definedName name="____Apr07" localSheetId="28">[10]Newabstract!#REF!</definedName>
    <definedName name="____Apr07" localSheetId="83">[1]Newabstract!#REF!</definedName>
    <definedName name="____Apr07">[10]Newabstract!#REF!</definedName>
    <definedName name="____Apr08" localSheetId="43">[10]Newabstract!#REF!</definedName>
    <definedName name="____Apr08" localSheetId="44">[10]Newabstract!#REF!</definedName>
    <definedName name="____Apr08" localSheetId="36">[10]Newabstract!#REF!</definedName>
    <definedName name="____Apr08" localSheetId="28">[10]Newabstract!#REF!</definedName>
    <definedName name="____Apr08" localSheetId="83">[1]Newabstract!#REF!</definedName>
    <definedName name="____Apr08">[10]Newabstract!#REF!</definedName>
    <definedName name="____Apr09" localSheetId="43">[10]Newabstract!#REF!</definedName>
    <definedName name="____Apr09" localSheetId="44">[10]Newabstract!#REF!</definedName>
    <definedName name="____Apr09" localSheetId="36">[10]Newabstract!#REF!</definedName>
    <definedName name="____Apr09" localSheetId="28">[10]Newabstract!#REF!</definedName>
    <definedName name="____Apr09" localSheetId="83">[1]Newabstract!#REF!</definedName>
    <definedName name="____Apr09">[10]Newabstract!#REF!</definedName>
    <definedName name="____Apr10" localSheetId="43">[10]Newabstract!#REF!</definedName>
    <definedName name="____Apr10" localSheetId="44">[10]Newabstract!#REF!</definedName>
    <definedName name="____Apr10" localSheetId="36">[10]Newabstract!#REF!</definedName>
    <definedName name="____Apr10" localSheetId="28">[10]Newabstract!#REF!</definedName>
    <definedName name="____Apr10" localSheetId="83">[1]Newabstract!#REF!</definedName>
    <definedName name="____Apr10">[10]Newabstract!#REF!</definedName>
    <definedName name="____Apr11" localSheetId="43">[10]Newabstract!#REF!</definedName>
    <definedName name="____Apr11" localSheetId="44">[10]Newabstract!#REF!</definedName>
    <definedName name="____Apr11" localSheetId="36">[10]Newabstract!#REF!</definedName>
    <definedName name="____Apr11" localSheetId="28">[10]Newabstract!#REF!</definedName>
    <definedName name="____Apr11" localSheetId="83">[1]Newabstract!#REF!</definedName>
    <definedName name="____Apr11">[10]Newabstract!#REF!</definedName>
    <definedName name="____Apr13" localSheetId="43">[10]Newabstract!#REF!</definedName>
    <definedName name="____Apr13" localSheetId="44">[10]Newabstract!#REF!</definedName>
    <definedName name="____Apr13" localSheetId="36">[10]Newabstract!#REF!</definedName>
    <definedName name="____Apr13" localSheetId="28">[10]Newabstract!#REF!</definedName>
    <definedName name="____Apr13" localSheetId="83">[1]Newabstract!#REF!</definedName>
    <definedName name="____Apr13">[10]Newabstract!#REF!</definedName>
    <definedName name="____Apr14" localSheetId="43">[10]Newabstract!#REF!</definedName>
    <definedName name="____Apr14" localSheetId="44">[10]Newabstract!#REF!</definedName>
    <definedName name="____Apr14" localSheetId="36">[10]Newabstract!#REF!</definedName>
    <definedName name="____Apr14" localSheetId="28">[10]Newabstract!#REF!</definedName>
    <definedName name="____Apr14" localSheetId="83">[1]Newabstract!#REF!</definedName>
    <definedName name="____Apr14">[10]Newabstract!#REF!</definedName>
    <definedName name="____Apr15" localSheetId="43">[10]Newabstract!#REF!</definedName>
    <definedName name="____Apr15" localSheetId="44">[10]Newabstract!#REF!</definedName>
    <definedName name="____Apr15" localSheetId="36">[10]Newabstract!#REF!</definedName>
    <definedName name="____Apr15" localSheetId="28">[10]Newabstract!#REF!</definedName>
    <definedName name="____Apr15" localSheetId="83">[1]Newabstract!#REF!</definedName>
    <definedName name="____Apr15">[10]Newabstract!#REF!</definedName>
    <definedName name="____Apr16" localSheetId="43">[10]Newabstract!#REF!</definedName>
    <definedName name="____Apr16" localSheetId="44">[10]Newabstract!#REF!</definedName>
    <definedName name="____Apr16" localSheetId="36">[10]Newabstract!#REF!</definedName>
    <definedName name="____Apr16" localSheetId="28">[10]Newabstract!#REF!</definedName>
    <definedName name="____Apr16" localSheetId="83">[1]Newabstract!#REF!</definedName>
    <definedName name="____Apr16">[10]Newabstract!#REF!</definedName>
    <definedName name="____Apr17" localSheetId="43">[10]Newabstract!#REF!</definedName>
    <definedName name="____Apr17" localSheetId="44">[10]Newabstract!#REF!</definedName>
    <definedName name="____Apr17" localSheetId="36">[10]Newabstract!#REF!</definedName>
    <definedName name="____Apr17" localSheetId="28">[10]Newabstract!#REF!</definedName>
    <definedName name="____Apr17" localSheetId="83">[1]Newabstract!#REF!</definedName>
    <definedName name="____Apr17">[10]Newabstract!#REF!</definedName>
    <definedName name="____Apr20" localSheetId="43">[10]Newabstract!#REF!</definedName>
    <definedName name="____Apr20" localSheetId="44">[10]Newabstract!#REF!</definedName>
    <definedName name="____Apr20" localSheetId="36">[10]Newabstract!#REF!</definedName>
    <definedName name="____Apr20" localSheetId="28">[10]Newabstract!#REF!</definedName>
    <definedName name="____Apr20" localSheetId="83">[1]Newabstract!#REF!</definedName>
    <definedName name="____Apr20">[10]Newabstract!#REF!</definedName>
    <definedName name="____Apr21" localSheetId="43">[10]Newabstract!#REF!</definedName>
    <definedName name="____Apr21" localSheetId="44">[10]Newabstract!#REF!</definedName>
    <definedName name="____Apr21" localSheetId="36">[10]Newabstract!#REF!</definedName>
    <definedName name="____Apr21" localSheetId="28">[10]Newabstract!#REF!</definedName>
    <definedName name="____Apr21" localSheetId="83">[1]Newabstract!#REF!</definedName>
    <definedName name="____Apr21">[10]Newabstract!#REF!</definedName>
    <definedName name="____Apr22" localSheetId="43">[10]Newabstract!#REF!</definedName>
    <definedName name="____Apr22" localSheetId="44">[10]Newabstract!#REF!</definedName>
    <definedName name="____Apr22" localSheetId="36">[10]Newabstract!#REF!</definedName>
    <definedName name="____Apr22" localSheetId="28">[10]Newabstract!#REF!</definedName>
    <definedName name="____Apr22" localSheetId="83">[1]Newabstract!#REF!</definedName>
    <definedName name="____Apr22">[10]Newabstract!#REF!</definedName>
    <definedName name="____Apr23" localSheetId="43">[10]Newabstract!#REF!</definedName>
    <definedName name="____Apr23" localSheetId="44">[10]Newabstract!#REF!</definedName>
    <definedName name="____Apr23" localSheetId="36">[10]Newabstract!#REF!</definedName>
    <definedName name="____Apr23" localSheetId="28">[10]Newabstract!#REF!</definedName>
    <definedName name="____Apr23" localSheetId="83">[1]Newabstract!#REF!</definedName>
    <definedName name="____Apr23">[10]Newabstract!#REF!</definedName>
    <definedName name="____Apr24" localSheetId="43">[10]Newabstract!#REF!</definedName>
    <definedName name="____Apr24" localSheetId="44">[10]Newabstract!#REF!</definedName>
    <definedName name="____Apr24" localSheetId="36">[10]Newabstract!#REF!</definedName>
    <definedName name="____Apr24" localSheetId="28">[10]Newabstract!#REF!</definedName>
    <definedName name="____Apr24" localSheetId="83">[1]Newabstract!#REF!</definedName>
    <definedName name="____Apr24">[10]Newabstract!#REF!</definedName>
    <definedName name="____Apr27" localSheetId="43">[10]Newabstract!#REF!</definedName>
    <definedName name="____Apr27" localSheetId="44">[10]Newabstract!#REF!</definedName>
    <definedName name="____Apr27" localSheetId="36">[10]Newabstract!#REF!</definedName>
    <definedName name="____Apr27" localSheetId="28">[10]Newabstract!#REF!</definedName>
    <definedName name="____Apr27" localSheetId="83">[1]Newabstract!#REF!</definedName>
    <definedName name="____Apr27">[10]Newabstract!#REF!</definedName>
    <definedName name="____Apr28" localSheetId="43">[10]Newabstract!#REF!</definedName>
    <definedName name="____Apr28" localSheetId="44">[10]Newabstract!#REF!</definedName>
    <definedName name="____Apr28" localSheetId="36">[10]Newabstract!#REF!</definedName>
    <definedName name="____Apr28" localSheetId="28">[10]Newabstract!#REF!</definedName>
    <definedName name="____Apr28" localSheetId="83">[1]Newabstract!#REF!</definedName>
    <definedName name="____Apr28">[10]Newabstract!#REF!</definedName>
    <definedName name="____Apr29" localSheetId="43">[10]Newabstract!#REF!</definedName>
    <definedName name="____Apr29" localSheetId="44">[10]Newabstract!#REF!</definedName>
    <definedName name="____Apr29" localSheetId="36">[10]Newabstract!#REF!</definedName>
    <definedName name="____Apr29" localSheetId="28">[10]Newabstract!#REF!</definedName>
    <definedName name="____Apr29" localSheetId="83">[1]Newabstract!#REF!</definedName>
    <definedName name="____Apr29">[10]Newabstract!#REF!</definedName>
    <definedName name="____Apr30" localSheetId="43">[10]Newabstract!#REF!</definedName>
    <definedName name="____Apr30" localSheetId="44">[10]Newabstract!#REF!</definedName>
    <definedName name="____Apr30" localSheetId="36">[10]Newabstract!#REF!</definedName>
    <definedName name="____Apr30" localSheetId="28">[10]Newabstract!#REF!</definedName>
    <definedName name="____Apr30" localSheetId="83">[1]Newabstract!#REF!</definedName>
    <definedName name="____Apr30">[10]Newabstract!#REF!</definedName>
    <definedName name="____arr2"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BS1">[12]BSPL!$A$2:$E$56</definedName>
    <definedName name="____BSD1" localSheetId="43">#REF!</definedName>
    <definedName name="____BSD1" localSheetId="44">#REF!</definedName>
    <definedName name="____BSD1" localSheetId="36">#REF!</definedName>
    <definedName name="____BSD1" localSheetId="37">#REF!</definedName>
    <definedName name="____BSD1" localSheetId="28">#REF!</definedName>
    <definedName name="____BSD1" localSheetId="56">#REF!</definedName>
    <definedName name="____BSD1" localSheetId="83">#REF!</definedName>
    <definedName name="____BSD1">#REF!</definedName>
    <definedName name="____BSD2" localSheetId="43">#REF!</definedName>
    <definedName name="____BSD2" localSheetId="44">#REF!</definedName>
    <definedName name="____BSD2" localSheetId="36">#REF!</definedName>
    <definedName name="____BSD2" localSheetId="37">#REF!</definedName>
    <definedName name="____BSD2" localSheetId="28">#REF!</definedName>
    <definedName name="____BSD2" localSheetId="83">#REF!</definedName>
    <definedName name="____BSD2">#REF!</definedName>
    <definedName name="____CZ1" localSheetId="83">[1]data!$F$721</definedName>
    <definedName name="____CZ1">[22]data!$F$721</definedName>
    <definedName name="____FC1" localSheetId="36">[13]DEMFIXLD!$A$1:$E$205</definedName>
    <definedName name="____FC1" localSheetId="83">[1]DEMFIXLD!$A$1:$E$205</definedName>
    <definedName name="____FC1">[13]DEMFIXLD!$A$1:$E$205</definedName>
    <definedName name="____IED1" localSheetId="43">#REF!</definedName>
    <definedName name="____IED1" localSheetId="44">#REF!</definedName>
    <definedName name="____IED1" localSheetId="36">#REF!</definedName>
    <definedName name="____IED1" localSheetId="37">#REF!</definedName>
    <definedName name="____IED1" localSheetId="28">#REF!</definedName>
    <definedName name="____IED1" localSheetId="56">#REF!</definedName>
    <definedName name="____IED1" localSheetId="83">#REF!</definedName>
    <definedName name="____IED1" localSheetId="94">#REF!</definedName>
    <definedName name="____IED1">#REF!</definedName>
    <definedName name="____IED2" localSheetId="43">#REF!</definedName>
    <definedName name="____IED2" localSheetId="44">#REF!</definedName>
    <definedName name="____IED2" localSheetId="36">#REF!</definedName>
    <definedName name="____IED2" localSheetId="37">#REF!</definedName>
    <definedName name="____IED2" localSheetId="28">#REF!</definedName>
    <definedName name="____IED2" localSheetId="83">#REF!</definedName>
    <definedName name="____IED2">#REF!</definedName>
    <definedName name="_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kvs1" localSheetId="0" hidden="1">{#N/A,#N/A,FALSE,"COVER1.XLS ";#N/A,#N/A,FALSE,"RACT1.XLS";#N/A,#N/A,FALSE,"RACT2.XLS";#N/A,#N/A,FALSE,"ECCMP";#N/A,#N/A,FALSE,"WELDER.XLS"}</definedName>
    <definedName name="____kvs1" hidden="1">{#N/A,#N/A,FALSE,"COVER1.XLS ";#N/A,#N/A,FALSE,"RACT1.XLS";#N/A,#N/A,FALSE,"RACT2.XLS";#N/A,#N/A,FALSE,"ECCMP";#N/A,#N/A,FALSE,"WELDER.XLS"}</definedName>
    <definedName name="____kvs2" localSheetId="0" hidden="1">{#N/A,#N/A,FALSE,"COVER1.XLS ";#N/A,#N/A,FALSE,"RACT1.XLS";#N/A,#N/A,FALSE,"RACT2.XLS";#N/A,#N/A,FALSE,"ECCMP";#N/A,#N/A,FALSE,"WELDER.XLS"}</definedName>
    <definedName name="____kvs2" hidden="1">{#N/A,#N/A,FALSE,"COVER1.XLS ";#N/A,#N/A,FALSE,"RACT1.XLS";#N/A,#N/A,FALSE,"RACT2.XLS";#N/A,#N/A,FALSE,"ECCMP";#N/A,#N/A,FALSE,"WELDER.XLS"}</definedName>
    <definedName name="____kvs5" localSheetId="0" hidden="1">{#N/A,#N/A,FALSE,"COVER.XLS";#N/A,#N/A,FALSE,"RACT1.XLS";#N/A,#N/A,FALSE,"RACT2.XLS";#N/A,#N/A,FALSE,"ECCMP";#N/A,#N/A,FALSE,"WELDER.XLS"}</definedName>
    <definedName name="____kvs5" hidden="1">{#N/A,#N/A,FALSE,"COVER.XLS";#N/A,#N/A,FALSE,"RACT1.XLS";#N/A,#N/A,FALSE,"RACT2.XLS";#N/A,#N/A,FALSE,"ECCMP";#N/A,#N/A,FALSE,"WELDER.XLS"}</definedName>
    <definedName name="____kvs8" localSheetId="0" hidden="1">{#N/A,#N/A,FALSE,"COVER1.XLS ";#N/A,#N/A,FALSE,"RACT1.XLS";#N/A,#N/A,FALSE,"RACT2.XLS";#N/A,#N/A,FALSE,"ECCMP";#N/A,#N/A,FALSE,"WELDER.XLS"}</definedName>
    <definedName name="____kvs8" hidden="1">{#N/A,#N/A,FALSE,"COVER1.XLS ";#N/A,#N/A,FALSE,"RACT1.XLS";#N/A,#N/A,FALSE,"RACT2.XLS";#N/A,#N/A,FALSE,"ECCMP";#N/A,#N/A,FALSE,"WELDER.XLS"}</definedName>
    <definedName name="____LD1" localSheetId="83">[1]DLC!$K$59:$AF$8180</definedName>
    <definedName name="____LD1">[2]DLC!$K$59:$AF$8180</definedName>
    <definedName name="____LD2" localSheetId="83">[1]DLC!$GR$56:$HT$8181</definedName>
    <definedName name="____LD2">[2]DLC!$GR$56:$HT$8181</definedName>
    <definedName name="____LD3" localSheetId="83">[1]DLC!$HV$57:$IO$8181</definedName>
    <definedName name="____LD3">[2]DLC!$HV$57:$IO$8181</definedName>
    <definedName name="____LD4" localSheetId="83">[1]DLC!$AH$32:$BE$8180</definedName>
    <definedName name="____LD4">[2]DLC!$AH$32:$BE$8180</definedName>
    <definedName name="____LD5" localSheetId="83">[1]DLC!$GR$53:$HK$8180</definedName>
    <definedName name="____LD5">[2]DLC!$GR$53:$HK$8180</definedName>
    <definedName name="____LD6" localSheetId="83">[1]DLC!$GR$69:$HL$8180</definedName>
    <definedName name="____LD6">[2]DLC!$GR$69:$HL$8180</definedName>
    <definedName name="_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R1" localSheetId="43">#REF!</definedName>
    <definedName name="____LR1" localSheetId="44">#REF!</definedName>
    <definedName name="____LR1" localSheetId="36">#REF!</definedName>
    <definedName name="____LR1" localSheetId="28">#REF!</definedName>
    <definedName name="____LR1" localSheetId="83">#REF!</definedName>
    <definedName name="____LR1">#REF!</definedName>
    <definedName name="____LR2" localSheetId="43">#REF!</definedName>
    <definedName name="____LR2" localSheetId="44">#REF!</definedName>
    <definedName name="____LR2" localSheetId="36">#REF!</definedName>
    <definedName name="____LR2" localSheetId="28">#REF!</definedName>
    <definedName name="____LR2" localSheetId="83">#REF!</definedName>
    <definedName name="____LR2">#REF!</definedName>
    <definedName name="____Mar06" localSheetId="43">[10]Newabstract!#REF!</definedName>
    <definedName name="____Mar06" localSheetId="44">[10]Newabstract!#REF!</definedName>
    <definedName name="____Mar06" localSheetId="36">[10]Newabstract!#REF!</definedName>
    <definedName name="____Mar06" localSheetId="28">[10]Newabstract!#REF!</definedName>
    <definedName name="____Mar06" localSheetId="83">[1]Newabstract!#REF!</definedName>
    <definedName name="____Mar06">[10]Newabstract!#REF!</definedName>
    <definedName name="____Mar09" localSheetId="43">[10]Newabstract!#REF!</definedName>
    <definedName name="____Mar09" localSheetId="44">[10]Newabstract!#REF!</definedName>
    <definedName name="____Mar09" localSheetId="36">[10]Newabstract!#REF!</definedName>
    <definedName name="____Mar09" localSheetId="28">[10]Newabstract!#REF!</definedName>
    <definedName name="____Mar09" localSheetId="83">[1]Newabstract!#REF!</definedName>
    <definedName name="____Mar09">[10]Newabstract!#REF!</definedName>
    <definedName name="____Mar10" localSheetId="43">[10]Newabstract!#REF!</definedName>
    <definedName name="____Mar10" localSheetId="44">[10]Newabstract!#REF!</definedName>
    <definedName name="____Mar10" localSheetId="36">[10]Newabstract!#REF!</definedName>
    <definedName name="____Mar10" localSheetId="28">[10]Newabstract!#REF!</definedName>
    <definedName name="____Mar10" localSheetId="83">[1]Newabstract!#REF!</definedName>
    <definedName name="____Mar10">[10]Newabstract!#REF!</definedName>
    <definedName name="____Mar11" localSheetId="43">[10]Newabstract!#REF!</definedName>
    <definedName name="____Mar11" localSheetId="44">[10]Newabstract!#REF!</definedName>
    <definedName name="____Mar11" localSheetId="36">[10]Newabstract!#REF!</definedName>
    <definedName name="____Mar11" localSheetId="28">[10]Newabstract!#REF!</definedName>
    <definedName name="____Mar11" localSheetId="83">[1]Newabstract!#REF!</definedName>
    <definedName name="____Mar11">[10]Newabstract!#REF!</definedName>
    <definedName name="____Mar12" localSheetId="43">[10]Newabstract!#REF!</definedName>
    <definedName name="____Mar12" localSheetId="44">[10]Newabstract!#REF!</definedName>
    <definedName name="____Mar12" localSheetId="36">[10]Newabstract!#REF!</definedName>
    <definedName name="____Mar12" localSheetId="28">[10]Newabstract!#REF!</definedName>
    <definedName name="____Mar12" localSheetId="83">[1]Newabstract!#REF!</definedName>
    <definedName name="____Mar12">[10]Newabstract!#REF!</definedName>
    <definedName name="____Mar13" localSheetId="43">[10]Newabstract!#REF!</definedName>
    <definedName name="____Mar13" localSheetId="44">[10]Newabstract!#REF!</definedName>
    <definedName name="____Mar13" localSheetId="36">[10]Newabstract!#REF!</definedName>
    <definedName name="____Mar13" localSheetId="28">[10]Newabstract!#REF!</definedName>
    <definedName name="____Mar13" localSheetId="83">[1]Newabstract!#REF!</definedName>
    <definedName name="____Mar13">[10]Newabstract!#REF!</definedName>
    <definedName name="____Mar16" localSheetId="43">[10]Newabstract!#REF!</definedName>
    <definedName name="____Mar16" localSheetId="44">[10]Newabstract!#REF!</definedName>
    <definedName name="____Mar16" localSheetId="36">[10]Newabstract!#REF!</definedName>
    <definedName name="____Mar16" localSheetId="28">[10]Newabstract!#REF!</definedName>
    <definedName name="____Mar16" localSheetId="83">[1]Newabstract!#REF!</definedName>
    <definedName name="____Mar16">[10]Newabstract!#REF!</definedName>
    <definedName name="____Mar17" localSheetId="43">[10]Newabstract!#REF!</definedName>
    <definedName name="____Mar17" localSheetId="44">[10]Newabstract!#REF!</definedName>
    <definedName name="____Mar17" localSheetId="36">[10]Newabstract!#REF!</definedName>
    <definedName name="____Mar17" localSheetId="28">[10]Newabstract!#REF!</definedName>
    <definedName name="____Mar17" localSheetId="83">[1]Newabstract!#REF!</definedName>
    <definedName name="____Mar17">[10]Newabstract!#REF!</definedName>
    <definedName name="____Mar18" localSheetId="43">[10]Newabstract!#REF!</definedName>
    <definedName name="____Mar18" localSheetId="44">[10]Newabstract!#REF!</definedName>
    <definedName name="____Mar18" localSheetId="36">[10]Newabstract!#REF!</definedName>
    <definedName name="____Mar18" localSheetId="28">[10]Newabstract!#REF!</definedName>
    <definedName name="____Mar18" localSheetId="83">[1]Newabstract!#REF!</definedName>
    <definedName name="____Mar18">[10]Newabstract!#REF!</definedName>
    <definedName name="____Mar19" localSheetId="43">[10]Newabstract!#REF!</definedName>
    <definedName name="____Mar19" localSheetId="44">[10]Newabstract!#REF!</definedName>
    <definedName name="____Mar19" localSheetId="36">[10]Newabstract!#REF!</definedName>
    <definedName name="____Mar19" localSheetId="28">[10]Newabstract!#REF!</definedName>
    <definedName name="____Mar19" localSheetId="83">[1]Newabstract!#REF!</definedName>
    <definedName name="____Mar19">[10]Newabstract!#REF!</definedName>
    <definedName name="____Mar20" localSheetId="43">[10]Newabstract!#REF!</definedName>
    <definedName name="____Mar20" localSheetId="44">[10]Newabstract!#REF!</definedName>
    <definedName name="____Mar20" localSheetId="36">[10]Newabstract!#REF!</definedName>
    <definedName name="____Mar20" localSheetId="28">[10]Newabstract!#REF!</definedName>
    <definedName name="____Mar20" localSheetId="83">[1]Newabstract!#REF!</definedName>
    <definedName name="____Mar20">[10]Newabstract!#REF!</definedName>
    <definedName name="____Mar23" localSheetId="43">[10]Newabstract!#REF!</definedName>
    <definedName name="____Mar23" localSheetId="44">[10]Newabstract!#REF!</definedName>
    <definedName name="____Mar23" localSheetId="36">[10]Newabstract!#REF!</definedName>
    <definedName name="____Mar23" localSheetId="28">[10]Newabstract!#REF!</definedName>
    <definedName name="____Mar23" localSheetId="83">[1]Newabstract!#REF!</definedName>
    <definedName name="____Mar23">[10]Newabstract!#REF!</definedName>
    <definedName name="____Mar24" localSheetId="43">[10]Newabstract!#REF!</definedName>
    <definedName name="____Mar24" localSheetId="44">[10]Newabstract!#REF!</definedName>
    <definedName name="____Mar24" localSheetId="36">[10]Newabstract!#REF!</definedName>
    <definedName name="____Mar24" localSheetId="28">[10]Newabstract!#REF!</definedName>
    <definedName name="____Mar24" localSheetId="83">[1]Newabstract!#REF!</definedName>
    <definedName name="____Mar24">[10]Newabstract!#REF!</definedName>
    <definedName name="____Mar25" localSheetId="43">[10]Newabstract!#REF!</definedName>
    <definedName name="____Mar25" localSheetId="44">[10]Newabstract!#REF!</definedName>
    <definedName name="____Mar25" localSheetId="36">[10]Newabstract!#REF!</definedName>
    <definedName name="____Mar25" localSheetId="28">[10]Newabstract!#REF!</definedName>
    <definedName name="____Mar25" localSheetId="83">[1]Newabstract!#REF!</definedName>
    <definedName name="____Mar25">[10]Newabstract!#REF!</definedName>
    <definedName name="____Mar26" localSheetId="43">[10]Newabstract!#REF!</definedName>
    <definedName name="____Mar26" localSheetId="44">[10]Newabstract!#REF!</definedName>
    <definedName name="____Mar26" localSheetId="36">[10]Newabstract!#REF!</definedName>
    <definedName name="____Mar26" localSheetId="28">[10]Newabstract!#REF!</definedName>
    <definedName name="____Mar26" localSheetId="83">[1]Newabstract!#REF!</definedName>
    <definedName name="____Mar26">[10]Newabstract!#REF!</definedName>
    <definedName name="____Mar27" localSheetId="43">[10]Newabstract!#REF!</definedName>
    <definedName name="____Mar27" localSheetId="44">[10]Newabstract!#REF!</definedName>
    <definedName name="____Mar27" localSheetId="36">[10]Newabstract!#REF!</definedName>
    <definedName name="____Mar27" localSheetId="28">[10]Newabstract!#REF!</definedName>
    <definedName name="____Mar27" localSheetId="83">[1]Newabstract!#REF!</definedName>
    <definedName name="____Mar27">[10]Newabstract!#REF!</definedName>
    <definedName name="____Mar28" localSheetId="43">[10]Newabstract!#REF!</definedName>
    <definedName name="____Mar28" localSheetId="44">[10]Newabstract!#REF!</definedName>
    <definedName name="____Mar28" localSheetId="36">[10]Newabstract!#REF!</definedName>
    <definedName name="____Mar28" localSheetId="28">[10]Newabstract!#REF!</definedName>
    <definedName name="____Mar28" localSheetId="83">[1]Newabstract!#REF!</definedName>
    <definedName name="____Mar28">[10]Newabstract!#REF!</definedName>
    <definedName name="____Mar30" localSheetId="43">[10]Newabstract!#REF!</definedName>
    <definedName name="____Mar30" localSheetId="44">[10]Newabstract!#REF!</definedName>
    <definedName name="____Mar30" localSheetId="36">[10]Newabstract!#REF!</definedName>
    <definedName name="____Mar30" localSheetId="28">[10]Newabstract!#REF!</definedName>
    <definedName name="____Mar30" localSheetId="83">[1]Newabstract!#REF!</definedName>
    <definedName name="____Mar30">[10]Newabstract!#REF!</definedName>
    <definedName name="____Mar31" localSheetId="43">[10]Newabstract!#REF!</definedName>
    <definedName name="____Mar31" localSheetId="44">[10]Newabstract!#REF!</definedName>
    <definedName name="____Mar31" localSheetId="36">[10]Newabstract!#REF!</definedName>
    <definedName name="____Mar31" localSheetId="28">[10]Newabstract!#REF!</definedName>
    <definedName name="____Mar31" localSheetId="83">[1]Newabstract!#REF!</definedName>
    <definedName name="____Mar31">[10]Newabstract!#REF!</definedName>
    <definedName name="____NCS111" localSheetId="36">'[14]Schedule-1'!$B$1:$J$1</definedName>
    <definedName name="____NCS111" localSheetId="37">'[20]Schedule-1'!$B$1:$J$1</definedName>
    <definedName name="____NCS111" localSheetId="56">'[14]Schedule-1'!$B$1:$J$1</definedName>
    <definedName name="____NCS111" localSheetId="83">'[1]Schedule-1'!$B$1:$J$1</definedName>
    <definedName name="____NCS111" localSheetId="90">'[14]Schedule-1'!$B$1:$J$1</definedName>
    <definedName name="____NCS111" localSheetId="91">'[14]Schedule-1'!$B$1:$J$1</definedName>
    <definedName name="____NCS111" localSheetId="94">'[14]Schedule-1'!$B$1:$J$1</definedName>
    <definedName name="____NCS111">'[21]Schedule-1'!$B$1:$J$1</definedName>
    <definedName name="____PH1">#N/A</definedName>
    <definedName name="____PL1">[12]BSPL!$A$58:$E$111</definedName>
    <definedName name="____PRN1" localSheetId="0" hidden="1">{#N/A,#N/A,FALSE,"COVER.XLS";#N/A,#N/A,FALSE,"RACT1.XLS";#N/A,#N/A,FALSE,"RACT2.XLS";#N/A,#N/A,FALSE,"ECCMP";#N/A,#N/A,FALSE,"WELDER.XLS"}</definedName>
    <definedName name="____PRN1" hidden="1">{#N/A,#N/A,FALSE,"COVER.XLS";#N/A,#N/A,FALSE,"RACT1.XLS";#N/A,#N/A,FALSE,"RACT2.XLS";#N/A,#N/A,FALSE,"ECCMP";#N/A,#N/A,FALSE,"WELDER.XLS"}</definedName>
    <definedName name="____SCH12">[12]BSPL!$A$655:$D$692</definedName>
    <definedName name="____sch13">[12]BSPL!$A$694:$D$744</definedName>
    <definedName name="____SCH5" localSheetId="43">#REF!</definedName>
    <definedName name="____SCH5" localSheetId="44">#REF!</definedName>
    <definedName name="____SCH5">#REF!</definedName>
    <definedName name="____SCH6" localSheetId="43">'[5]04REL'!#REF!</definedName>
    <definedName name="____SCH6" localSheetId="44">'[5]04REL'!#REF!</definedName>
    <definedName name="____SCH6" localSheetId="36">'[6]04REL'!#REF!</definedName>
    <definedName name="____SCH6" localSheetId="37">'[9]04REL'!#REF!</definedName>
    <definedName name="____SCH6" localSheetId="28">'[5]04REL'!#REF!</definedName>
    <definedName name="____SCH6" localSheetId="56">'[6]04REL'!#REF!</definedName>
    <definedName name="____SCH6" localSheetId="83">'[1]04REL'!#REF!</definedName>
    <definedName name="____SCH6" localSheetId="90">'[6]04REL'!#REF!</definedName>
    <definedName name="____SCH6" localSheetId="91">'[6]04REL'!#REF!</definedName>
    <definedName name="____SCH6" localSheetId="94">'[6]04REL'!#REF!</definedName>
    <definedName name="____SCH6">'[7]04REL'!#REF!</definedName>
    <definedName name="____SH1" localSheetId="83">'[1]Executive Summary -Thermal'!$A$4:$H$108</definedName>
    <definedName name="____SH1">'[18]Executive Summary -Thermal'!$A$4:$H$108</definedName>
    <definedName name="____SH10" localSheetId="83">'[1]Executive Summary -Thermal'!$A$4:$G$118</definedName>
    <definedName name="____SH10">'[18]Executive Summary -Thermal'!$A$4:$G$118</definedName>
    <definedName name="____SH11" localSheetId="83">'[1]Executive Summary -Thermal'!$A$4:$H$167</definedName>
    <definedName name="____SH11">'[18]Executive Summary -Thermal'!$A$4:$H$167</definedName>
    <definedName name="____SH2" localSheetId="83">'[1]Executive Summary -Thermal'!$A$4:$H$157</definedName>
    <definedName name="____SH2">'[18]Executive Summary -Thermal'!$A$4:$H$157</definedName>
    <definedName name="____SH3" localSheetId="83">'[1]Executive Summary -Thermal'!$A$4:$H$136</definedName>
    <definedName name="____SH3">'[18]Executive Summary -Thermal'!$A$4:$H$136</definedName>
    <definedName name="____SH4" localSheetId="83">'[1]Executive Summary -Thermal'!$A$4:$H$96</definedName>
    <definedName name="____SH4">'[18]Executive Summary -Thermal'!$A$4:$H$96</definedName>
    <definedName name="____SH5" localSheetId="83">'[1]Executive Summary -Thermal'!$A$4:$H$96</definedName>
    <definedName name="____SH5">'[18]Executive Summary -Thermal'!$A$4:$H$96</definedName>
    <definedName name="____SH6" localSheetId="83">'[1]Executive Summary -Thermal'!$A$4:$H$95</definedName>
    <definedName name="____SH6">'[18]Executive Summary -Thermal'!$A$4:$H$95</definedName>
    <definedName name="____SH7" localSheetId="83">'[1]Executive Summary -Thermal'!$A$4:$H$163</definedName>
    <definedName name="____SH7">'[18]Executive Summary -Thermal'!$A$4:$H$163</definedName>
    <definedName name="____SH8" localSheetId="83">'[1]Executive Summary -Thermal'!$A$4:$H$133</definedName>
    <definedName name="____SH8">'[18]Executive Summary -Thermal'!$A$4:$H$133</definedName>
    <definedName name="____SH9" localSheetId="83">'[1]Executive Summary -Thermal'!$A$4:$H$194</definedName>
    <definedName name="____SH9">'[18]Executive Summary -Thermal'!$A$4:$H$194</definedName>
    <definedName name="_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0" hidden="1">{#N/A,#N/A,FALSE,"COVER1.XLS ";#N/A,#N/A,FALSE,"RACT1.XLS";#N/A,#N/A,FALSE,"RACT2.XLS";#N/A,#N/A,FALSE,"ECCMP";#N/A,#N/A,FALSE,"WELDER.XLS"}</definedName>
    <definedName name="____WRN1" hidden="1">{#N/A,#N/A,FALSE,"COVER1.XLS ";#N/A,#N/A,FALSE,"RACT1.XLS";#N/A,#N/A,FALSE,"RACT2.XLS";#N/A,#N/A,FALSE,"ECCMP";#N/A,#N/A,FALSE,"WELDER.XLS"}</definedName>
    <definedName name="____WRN2" localSheetId="0" hidden="1">{#N/A,#N/A,FALSE,"COVER1.XLS ";#N/A,#N/A,FALSE,"RACT1.XLS";#N/A,#N/A,FALSE,"RACT2.XLS";#N/A,#N/A,FALSE,"ECCMP";#N/A,#N/A,FALSE,"WELDER.XLS"}</definedName>
    <definedName name="____WRN2" hidden="1">{#N/A,#N/A,FALSE,"COVER1.XLS ";#N/A,#N/A,FALSE,"RACT1.XLS";#N/A,#N/A,FALSE,"RACT2.XLS";#N/A,#N/A,FALSE,"ECCMP";#N/A,#N/A,FALSE,"WELDER.XLS"}</definedName>
    <definedName name="____WRN3" localSheetId="0"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a65565" localSheetId="43">#REF!</definedName>
    <definedName name="___a65565" localSheetId="44">#REF!</definedName>
    <definedName name="___a65565">#REF!</definedName>
    <definedName name="___Apr02" localSheetId="43">[10]Newabstract!#REF!</definedName>
    <definedName name="___Apr02" localSheetId="44">[10]Newabstract!#REF!</definedName>
    <definedName name="___Apr02" localSheetId="36">[10]Newabstract!#REF!</definedName>
    <definedName name="___Apr02" localSheetId="28">[10]Newabstract!#REF!</definedName>
    <definedName name="___Apr02" localSheetId="83">[1]Newabstract!#REF!</definedName>
    <definedName name="___Apr02">[10]Newabstract!#REF!</definedName>
    <definedName name="___Apr03" localSheetId="43">[10]Newabstract!#REF!</definedName>
    <definedName name="___Apr03" localSheetId="44">[10]Newabstract!#REF!</definedName>
    <definedName name="___Apr03" localSheetId="36">[10]Newabstract!#REF!</definedName>
    <definedName name="___Apr03" localSheetId="28">[10]Newabstract!#REF!</definedName>
    <definedName name="___Apr03" localSheetId="83">[1]Newabstract!#REF!</definedName>
    <definedName name="___Apr03">[10]Newabstract!#REF!</definedName>
    <definedName name="___Apr04" localSheetId="43">[10]Newabstract!#REF!</definedName>
    <definedName name="___Apr04" localSheetId="44">[10]Newabstract!#REF!</definedName>
    <definedName name="___Apr04" localSheetId="36">[10]Newabstract!#REF!</definedName>
    <definedName name="___Apr04" localSheetId="28">[10]Newabstract!#REF!</definedName>
    <definedName name="___Apr04" localSheetId="83">[1]Newabstract!#REF!</definedName>
    <definedName name="___Apr04">[10]Newabstract!#REF!</definedName>
    <definedName name="___Apr05" localSheetId="43">[10]Newabstract!#REF!</definedName>
    <definedName name="___Apr05" localSheetId="44">[10]Newabstract!#REF!</definedName>
    <definedName name="___Apr05" localSheetId="36">[10]Newabstract!#REF!</definedName>
    <definedName name="___Apr05" localSheetId="28">[10]Newabstract!#REF!</definedName>
    <definedName name="___Apr05" localSheetId="83">[1]Newabstract!#REF!</definedName>
    <definedName name="___Apr05">[10]Newabstract!#REF!</definedName>
    <definedName name="___Apr06" localSheetId="43">[10]Newabstract!#REF!</definedName>
    <definedName name="___Apr06" localSheetId="44">[10]Newabstract!#REF!</definedName>
    <definedName name="___Apr06" localSheetId="36">[10]Newabstract!#REF!</definedName>
    <definedName name="___Apr06" localSheetId="28">[10]Newabstract!#REF!</definedName>
    <definedName name="___Apr06" localSheetId="83">[1]Newabstract!#REF!</definedName>
    <definedName name="___Apr06">[10]Newabstract!#REF!</definedName>
    <definedName name="___Apr07" localSheetId="43">[10]Newabstract!#REF!</definedName>
    <definedName name="___Apr07" localSheetId="44">[10]Newabstract!#REF!</definedName>
    <definedName name="___Apr07" localSheetId="36">[10]Newabstract!#REF!</definedName>
    <definedName name="___Apr07" localSheetId="28">[10]Newabstract!#REF!</definedName>
    <definedName name="___Apr07" localSheetId="83">[1]Newabstract!#REF!</definedName>
    <definedName name="___Apr07">[10]Newabstract!#REF!</definedName>
    <definedName name="___Apr08" localSheetId="43">[10]Newabstract!#REF!</definedName>
    <definedName name="___Apr08" localSheetId="44">[10]Newabstract!#REF!</definedName>
    <definedName name="___Apr08" localSheetId="36">[10]Newabstract!#REF!</definedName>
    <definedName name="___Apr08" localSheetId="28">[10]Newabstract!#REF!</definedName>
    <definedName name="___Apr08" localSheetId="83">[1]Newabstract!#REF!</definedName>
    <definedName name="___Apr08">[10]Newabstract!#REF!</definedName>
    <definedName name="___Apr09" localSheetId="43">[10]Newabstract!#REF!</definedName>
    <definedName name="___Apr09" localSheetId="44">[10]Newabstract!#REF!</definedName>
    <definedName name="___Apr09" localSheetId="36">[10]Newabstract!#REF!</definedName>
    <definedName name="___Apr09" localSheetId="28">[10]Newabstract!#REF!</definedName>
    <definedName name="___Apr09" localSheetId="83">[1]Newabstract!#REF!</definedName>
    <definedName name="___Apr09">[10]Newabstract!#REF!</definedName>
    <definedName name="___Apr10" localSheetId="43">[10]Newabstract!#REF!</definedName>
    <definedName name="___Apr10" localSheetId="44">[10]Newabstract!#REF!</definedName>
    <definedName name="___Apr10" localSheetId="36">[10]Newabstract!#REF!</definedName>
    <definedName name="___Apr10" localSheetId="28">[10]Newabstract!#REF!</definedName>
    <definedName name="___Apr10" localSheetId="83">[1]Newabstract!#REF!</definedName>
    <definedName name="___Apr10">[10]Newabstract!#REF!</definedName>
    <definedName name="___Apr11" localSheetId="43">[10]Newabstract!#REF!</definedName>
    <definedName name="___Apr11" localSheetId="44">[10]Newabstract!#REF!</definedName>
    <definedName name="___Apr11" localSheetId="36">[10]Newabstract!#REF!</definedName>
    <definedName name="___Apr11" localSheetId="28">[10]Newabstract!#REF!</definedName>
    <definedName name="___Apr11" localSheetId="83">[1]Newabstract!#REF!</definedName>
    <definedName name="___Apr11">[10]Newabstract!#REF!</definedName>
    <definedName name="___Apr13" localSheetId="43">[10]Newabstract!#REF!</definedName>
    <definedName name="___Apr13" localSheetId="44">[10]Newabstract!#REF!</definedName>
    <definedName name="___Apr13" localSheetId="36">[10]Newabstract!#REF!</definedName>
    <definedName name="___Apr13" localSheetId="28">[10]Newabstract!#REF!</definedName>
    <definedName name="___Apr13" localSheetId="83">[1]Newabstract!#REF!</definedName>
    <definedName name="___Apr13">[10]Newabstract!#REF!</definedName>
    <definedName name="___Apr14" localSheetId="43">[10]Newabstract!#REF!</definedName>
    <definedName name="___Apr14" localSheetId="44">[10]Newabstract!#REF!</definedName>
    <definedName name="___Apr14" localSheetId="36">[10]Newabstract!#REF!</definedName>
    <definedName name="___Apr14" localSheetId="28">[10]Newabstract!#REF!</definedName>
    <definedName name="___Apr14" localSheetId="83">[1]Newabstract!#REF!</definedName>
    <definedName name="___Apr14">[10]Newabstract!#REF!</definedName>
    <definedName name="___Apr15" localSheetId="43">[10]Newabstract!#REF!</definedName>
    <definedName name="___Apr15" localSheetId="44">[10]Newabstract!#REF!</definedName>
    <definedName name="___Apr15" localSheetId="36">[10]Newabstract!#REF!</definedName>
    <definedName name="___Apr15" localSheetId="28">[10]Newabstract!#REF!</definedName>
    <definedName name="___Apr15" localSheetId="83">[1]Newabstract!#REF!</definedName>
    <definedName name="___Apr15">[10]Newabstract!#REF!</definedName>
    <definedName name="___Apr16" localSheetId="43">[10]Newabstract!#REF!</definedName>
    <definedName name="___Apr16" localSheetId="44">[10]Newabstract!#REF!</definedName>
    <definedName name="___Apr16" localSheetId="36">[10]Newabstract!#REF!</definedName>
    <definedName name="___Apr16" localSheetId="28">[10]Newabstract!#REF!</definedName>
    <definedName name="___Apr16" localSheetId="83">[1]Newabstract!#REF!</definedName>
    <definedName name="___Apr16">[10]Newabstract!#REF!</definedName>
    <definedName name="___Apr17" localSheetId="43">[10]Newabstract!#REF!</definedName>
    <definedName name="___Apr17" localSheetId="44">[10]Newabstract!#REF!</definedName>
    <definedName name="___Apr17" localSheetId="36">[10]Newabstract!#REF!</definedName>
    <definedName name="___Apr17" localSheetId="28">[10]Newabstract!#REF!</definedName>
    <definedName name="___Apr17" localSheetId="83">[1]Newabstract!#REF!</definedName>
    <definedName name="___Apr17">[10]Newabstract!#REF!</definedName>
    <definedName name="___Apr20" localSheetId="43">[10]Newabstract!#REF!</definedName>
    <definedName name="___Apr20" localSheetId="44">[10]Newabstract!#REF!</definedName>
    <definedName name="___Apr20" localSheetId="36">[10]Newabstract!#REF!</definedName>
    <definedName name="___Apr20" localSheetId="28">[10]Newabstract!#REF!</definedName>
    <definedName name="___Apr20" localSheetId="83">[1]Newabstract!#REF!</definedName>
    <definedName name="___Apr20">[10]Newabstract!#REF!</definedName>
    <definedName name="___Apr21" localSheetId="43">[10]Newabstract!#REF!</definedName>
    <definedName name="___Apr21" localSheetId="44">[10]Newabstract!#REF!</definedName>
    <definedName name="___Apr21" localSheetId="36">[10]Newabstract!#REF!</definedName>
    <definedName name="___Apr21" localSheetId="28">[10]Newabstract!#REF!</definedName>
    <definedName name="___Apr21" localSheetId="83">[1]Newabstract!#REF!</definedName>
    <definedName name="___Apr21">[10]Newabstract!#REF!</definedName>
    <definedName name="___Apr22" localSheetId="43">[10]Newabstract!#REF!</definedName>
    <definedName name="___Apr22" localSheetId="44">[10]Newabstract!#REF!</definedName>
    <definedName name="___Apr22" localSheetId="36">[10]Newabstract!#REF!</definedName>
    <definedName name="___Apr22" localSheetId="28">[10]Newabstract!#REF!</definedName>
    <definedName name="___Apr22" localSheetId="83">[1]Newabstract!#REF!</definedName>
    <definedName name="___Apr22">[10]Newabstract!#REF!</definedName>
    <definedName name="___Apr23" localSheetId="43">[10]Newabstract!#REF!</definedName>
    <definedName name="___Apr23" localSheetId="44">[10]Newabstract!#REF!</definedName>
    <definedName name="___Apr23" localSheetId="36">[10]Newabstract!#REF!</definedName>
    <definedName name="___Apr23" localSheetId="28">[10]Newabstract!#REF!</definedName>
    <definedName name="___Apr23" localSheetId="83">[1]Newabstract!#REF!</definedName>
    <definedName name="___Apr23">[10]Newabstract!#REF!</definedName>
    <definedName name="___Apr24" localSheetId="43">[10]Newabstract!#REF!</definedName>
    <definedName name="___Apr24" localSheetId="44">[10]Newabstract!#REF!</definedName>
    <definedName name="___Apr24" localSheetId="36">[10]Newabstract!#REF!</definedName>
    <definedName name="___Apr24" localSheetId="28">[10]Newabstract!#REF!</definedName>
    <definedName name="___Apr24" localSheetId="83">[1]Newabstract!#REF!</definedName>
    <definedName name="___Apr24">[10]Newabstract!#REF!</definedName>
    <definedName name="___Apr27" localSheetId="43">[10]Newabstract!#REF!</definedName>
    <definedName name="___Apr27" localSheetId="44">[10]Newabstract!#REF!</definedName>
    <definedName name="___Apr27" localSheetId="36">[10]Newabstract!#REF!</definedName>
    <definedName name="___Apr27" localSheetId="28">[10]Newabstract!#REF!</definedName>
    <definedName name="___Apr27" localSheetId="83">[1]Newabstract!#REF!</definedName>
    <definedName name="___Apr27">[10]Newabstract!#REF!</definedName>
    <definedName name="___Apr28" localSheetId="43">[10]Newabstract!#REF!</definedName>
    <definedName name="___Apr28" localSheetId="44">[10]Newabstract!#REF!</definedName>
    <definedName name="___Apr28" localSheetId="36">[10]Newabstract!#REF!</definedName>
    <definedName name="___Apr28" localSheetId="28">[10]Newabstract!#REF!</definedName>
    <definedName name="___Apr28" localSheetId="83">[1]Newabstract!#REF!</definedName>
    <definedName name="___Apr28">[10]Newabstract!#REF!</definedName>
    <definedName name="___Apr29" localSheetId="43">[10]Newabstract!#REF!</definedName>
    <definedName name="___Apr29" localSheetId="44">[10]Newabstract!#REF!</definedName>
    <definedName name="___Apr29" localSheetId="36">[10]Newabstract!#REF!</definedName>
    <definedName name="___Apr29" localSheetId="28">[10]Newabstract!#REF!</definedName>
    <definedName name="___Apr29" localSheetId="83">[1]Newabstract!#REF!</definedName>
    <definedName name="___Apr29">[10]Newabstract!#REF!</definedName>
    <definedName name="___Apr30" localSheetId="43">[10]Newabstract!#REF!</definedName>
    <definedName name="___Apr30" localSheetId="44">[10]Newabstract!#REF!</definedName>
    <definedName name="___Apr30" localSheetId="36">[10]Newabstract!#REF!</definedName>
    <definedName name="___Apr30" localSheetId="28">[10]Newabstract!#REF!</definedName>
    <definedName name="___Apr30" localSheetId="83">[1]Newabstract!#REF!</definedName>
    <definedName name="___Apr30">[10]Newabstract!#REF!</definedName>
    <definedName name="_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b65555" localSheetId="43">#REF!</definedName>
    <definedName name="___b65555" localSheetId="44">#REF!</definedName>
    <definedName name="___b65555">#REF!</definedName>
    <definedName name="___BS1">[12]BSPL!$A$2:$E$56</definedName>
    <definedName name="___BSD1" localSheetId="43">#REF!</definedName>
    <definedName name="___BSD1" localSheetId="44">#REF!</definedName>
    <definedName name="___BSD1" localSheetId="36">#REF!</definedName>
    <definedName name="___BSD1" localSheetId="37">#REF!</definedName>
    <definedName name="___BSD1" localSheetId="28">#REF!</definedName>
    <definedName name="___BSD1" localSheetId="56">#REF!</definedName>
    <definedName name="___BSD1" localSheetId="83">#REF!</definedName>
    <definedName name="___BSD1">#REF!</definedName>
    <definedName name="___BSD2" localSheetId="43">#REF!</definedName>
    <definedName name="___BSD2" localSheetId="44">#REF!</definedName>
    <definedName name="___BSD2" localSheetId="36">#REF!</definedName>
    <definedName name="___BSD2" localSheetId="37">#REF!</definedName>
    <definedName name="___BSD2" localSheetId="28">#REF!</definedName>
    <definedName name="___BSD2" localSheetId="83">#REF!</definedName>
    <definedName name="___BSD2">#REF!</definedName>
    <definedName name="___CZ1" localSheetId="83">[1]data!$F$721</definedName>
    <definedName name="___CZ1">[22]data!$F$721</definedName>
    <definedName name="___DAT1" localSheetId="43">#REF!</definedName>
    <definedName name="___DAT1" localSheetId="44">#REF!</definedName>
    <definedName name="___DAT1" localSheetId="36">#REF!</definedName>
    <definedName name="___DAT1" localSheetId="28">#REF!</definedName>
    <definedName name="___DAT1" localSheetId="83">#REF!</definedName>
    <definedName name="___DAT1" localSheetId="90">#REF!</definedName>
    <definedName name="___DAT1" localSheetId="91">#REF!</definedName>
    <definedName name="___DAT1">#REF!</definedName>
    <definedName name="___DAT10" localSheetId="43">#REF!</definedName>
    <definedName name="___DAT10" localSheetId="44">#REF!</definedName>
    <definedName name="___DAT10" localSheetId="36">#REF!</definedName>
    <definedName name="___DAT10" localSheetId="28">#REF!</definedName>
    <definedName name="___DAT10" localSheetId="83">#REF!</definedName>
    <definedName name="___DAT10" localSheetId="90">#REF!</definedName>
    <definedName name="___DAT10" localSheetId="91">#REF!</definedName>
    <definedName name="___DAT10">#REF!</definedName>
    <definedName name="___DAT11" localSheetId="43">#REF!</definedName>
    <definedName name="___DAT11" localSheetId="44">#REF!</definedName>
    <definedName name="___DAT11" localSheetId="36">#REF!</definedName>
    <definedName name="___DAT11" localSheetId="28">#REF!</definedName>
    <definedName name="___DAT11" localSheetId="83">#REF!</definedName>
    <definedName name="___DAT11" localSheetId="90">#REF!</definedName>
    <definedName name="___DAT11" localSheetId="91">#REF!</definedName>
    <definedName name="___DAT11">#REF!</definedName>
    <definedName name="___DAT12" localSheetId="43">#REF!</definedName>
    <definedName name="___DAT12" localSheetId="44">#REF!</definedName>
    <definedName name="___DAT12" localSheetId="36">#REF!</definedName>
    <definedName name="___DAT12" localSheetId="28">#REF!</definedName>
    <definedName name="___DAT12" localSheetId="83">#REF!</definedName>
    <definedName name="___DAT12">#REF!</definedName>
    <definedName name="___DAT13" localSheetId="43">#REF!</definedName>
    <definedName name="___DAT13" localSheetId="44">#REF!</definedName>
    <definedName name="___DAT13" localSheetId="36">#REF!</definedName>
    <definedName name="___DAT13" localSheetId="28">#REF!</definedName>
    <definedName name="___DAT13" localSheetId="83">#REF!</definedName>
    <definedName name="___DAT13">#REF!</definedName>
    <definedName name="___DAT14" localSheetId="43">#REF!</definedName>
    <definedName name="___DAT14" localSheetId="44">#REF!</definedName>
    <definedName name="___DAT14" localSheetId="36">#REF!</definedName>
    <definedName name="___DAT14" localSheetId="28">#REF!</definedName>
    <definedName name="___DAT14" localSheetId="83">#REF!</definedName>
    <definedName name="___DAT14">#REF!</definedName>
    <definedName name="___DAT15" localSheetId="43">#REF!</definedName>
    <definedName name="___DAT15" localSheetId="44">#REF!</definedName>
    <definedName name="___DAT15" localSheetId="36">#REF!</definedName>
    <definedName name="___DAT15" localSheetId="28">#REF!</definedName>
    <definedName name="___DAT15" localSheetId="83">#REF!</definedName>
    <definedName name="___DAT15">#REF!</definedName>
    <definedName name="___DAT16" localSheetId="43">#REF!</definedName>
    <definedName name="___DAT16" localSheetId="44">#REF!</definedName>
    <definedName name="___DAT16" localSheetId="36">#REF!</definedName>
    <definedName name="___DAT16" localSheetId="28">#REF!</definedName>
    <definedName name="___DAT16" localSheetId="83">#REF!</definedName>
    <definedName name="___DAT16">#REF!</definedName>
    <definedName name="___DAT17" localSheetId="43">#REF!</definedName>
    <definedName name="___DAT17" localSheetId="44">#REF!</definedName>
    <definedName name="___DAT17" localSheetId="36">#REF!</definedName>
    <definedName name="___DAT17" localSheetId="28">#REF!</definedName>
    <definedName name="___DAT17" localSheetId="83">#REF!</definedName>
    <definedName name="___DAT17">#REF!</definedName>
    <definedName name="___DAT18" localSheetId="43">#REF!</definedName>
    <definedName name="___DAT18" localSheetId="44">#REF!</definedName>
    <definedName name="___DAT18" localSheetId="36">#REF!</definedName>
    <definedName name="___DAT18" localSheetId="28">#REF!</definedName>
    <definedName name="___DAT18" localSheetId="83">#REF!</definedName>
    <definedName name="___DAT18">#REF!</definedName>
    <definedName name="___DAT19" localSheetId="43">#REF!</definedName>
    <definedName name="___DAT19" localSheetId="44">#REF!</definedName>
    <definedName name="___DAT19" localSheetId="36">#REF!</definedName>
    <definedName name="___DAT19" localSheetId="28">#REF!</definedName>
    <definedName name="___DAT19" localSheetId="83">#REF!</definedName>
    <definedName name="___DAT19">#REF!</definedName>
    <definedName name="___DAT2" localSheetId="43">#REF!</definedName>
    <definedName name="___DAT2" localSheetId="44">#REF!</definedName>
    <definedName name="___DAT2" localSheetId="36">#REF!</definedName>
    <definedName name="___DAT2" localSheetId="28">#REF!</definedName>
    <definedName name="___DAT2" localSheetId="83">#REF!</definedName>
    <definedName name="___DAT2">#REF!</definedName>
    <definedName name="___DAT20" localSheetId="43">#REF!</definedName>
    <definedName name="___DAT20" localSheetId="44">#REF!</definedName>
    <definedName name="___DAT20" localSheetId="36">#REF!</definedName>
    <definedName name="___DAT20" localSheetId="28">#REF!</definedName>
    <definedName name="___DAT20" localSheetId="83">#REF!</definedName>
    <definedName name="___DAT20">#REF!</definedName>
    <definedName name="___DAT21" localSheetId="43">#REF!</definedName>
    <definedName name="___DAT21" localSheetId="44">#REF!</definedName>
    <definedName name="___DAT21" localSheetId="36">#REF!</definedName>
    <definedName name="___DAT21" localSheetId="28">#REF!</definedName>
    <definedName name="___DAT21" localSheetId="83">#REF!</definedName>
    <definedName name="___DAT21">#REF!</definedName>
    <definedName name="___DAT22" localSheetId="43">#REF!</definedName>
    <definedName name="___DAT22" localSheetId="44">#REF!</definedName>
    <definedName name="___DAT22" localSheetId="36">#REF!</definedName>
    <definedName name="___DAT22" localSheetId="28">#REF!</definedName>
    <definedName name="___DAT22" localSheetId="83">#REF!</definedName>
    <definedName name="___DAT22">#REF!</definedName>
    <definedName name="___DAT23" localSheetId="43">#REF!</definedName>
    <definedName name="___DAT23" localSheetId="44">#REF!</definedName>
    <definedName name="___DAT23" localSheetId="36">#REF!</definedName>
    <definedName name="___DAT23" localSheetId="28">#REF!</definedName>
    <definedName name="___DAT23" localSheetId="83">#REF!</definedName>
    <definedName name="___DAT23">#REF!</definedName>
    <definedName name="___DAT24" localSheetId="43">#REF!</definedName>
    <definedName name="___DAT24" localSheetId="44">#REF!</definedName>
    <definedName name="___DAT24" localSheetId="36">#REF!</definedName>
    <definedName name="___DAT24" localSheetId="28">#REF!</definedName>
    <definedName name="___DAT24" localSheetId="83">#REF!</definedName>
    <definedName name="___DAT24">#REF!</definedName>
    <definedName name="___DAT25" localSheetId="43">#REF!</definedName>
    <definedName name="___DAT25" localSheetId="44">#REF!</definedName>
    <definedName name="___DAT25" localSheetId="36">#REF!</definedName>
    <definedName name="___DAT25" localSheetId="28">#REF!</definedName>
    <definedName name="___DAT25" localSheetId="83">#REF!</definedName>
    <definedName name="___DAT25">#REF!</definedName>
    <definedName name="___DAT26" localSheetId="43">#REF!</definedName>
    <definedName name="___DAT26" localSheetId="44">#REF!</definedName>
    <definedName name="___DAT26" localSheetId="36">#REF!</definedName>
    <definedName name="___DAT26" localSheetId="28">#REF!</definedName>
    <definedName name="___DAT26" localSheetId="83">#REF!</definedName>
    <definedName name="___DAT26">#REF!</definedName>
    <definedName name="___DAT27" localSheetId="43">#REF!</definedName>
    <definedName name="___DAT27" localSheetId="44">#REF!</definedName>
    <definedName name="___DAT27" localSheetId="36">#REF!</definedName>
    <definedName name="___DAT27" localSheetId="28">#REF!</definedName>
    <definedName name="___DAT27" localSheetId="83">#REF!</definedName>
    <definedName name="___DAT27">#REF!</definedName>
    <definedName name="___DAT28" localSheetId="43">#REF!</definedName>
    <definedName name="___DAT28" localSheetId="44">#REF!</definedName>
    <definedName name="___DAT28" localSheetId="36">#REF!</definedName>
    <definedName name="___DAT28" localSheetId="28">#REF!</definedName>
    <definedName name="___DAT28" localSheetId="83">#REF!</definedName>
    <definedName name="___DAT28">#REF!</definedName>
    <definedName name="___DAT29" localSheetId="43">#REF!</definedName>
    <definedName name="___DAT29" localSheetId="44">#REF!</definedName>
    <definedName name="___DAT29" localSheetId="36">#REF!</definedName>
    <definedName name="___DAT29" localSheetId="28">#REF!</definedName>
    <definedName name="___DAT29" localSheetId="83">#REF!</definedName>
    <definedName name="___DAT29">#REF!</definedName>
    <definedName name="___DAT3" localSheetId="43">#REF!</definedName>
    <definedName name="___DAT3" localSheetId="44">#REF!</definedName>
    <definedName name="___DAT3" localSheetId="36">#REF!</definedName>
    <definedName name="___DAT3" localSheetId="28">#REF!</definedName>
    <definedName name="___DAT3" localSheetId="83">#REF!</definedName>
    <definedName name="___DAT3">#REF!</definedName>
    <definedName name="___DAT30" localSheetId="43">#REF!</definedName>
    <definedName name="___DAT30" localSheetId="44">#REF!</definedName>
    <definedName name="___DAT30" localSheetId="36">#REF!</definedName>
    <definedName name="___DAT30" localSheetId="28">#REF!</definedName>
    <definedName name="___DAT30" localSheetId="83">#REF!</definedName>
    <definedName name="___DAT30">#REF!</definedName>
    <definedName name="___DAT31" localSheetId="43">#REF!</definedName>
    <definedName name="___DAT31" localSheetId="44">#REF!</definedName>
    <definedName name="___DAT31" localSheetId="36">#REF!</definedName>
    <definedName name="___DAT31" localSheetId="28">#REF!</definedName>
    <definedName name="___DAT31" localSheetId="83">#REF!</definedName>
    <definedName name="___DAT31">#REF!</definedName>
    <definedName name="___DAT32" localSheetId="43">#REF!</definedName>
    <definedName name="___DAT32" localSheetId="44">#REF!</definedName>
    <definedName name="___DAT32" localSheetId="36">#REF!</definedName>
    <definedName name="___DAT32" localSheetId="28">#REF!</definedName>
    <definedName name="___DAT32" localSheetId="83">#REF!</definedName>
    <definedName name="___DAT32">#REF!</definedName>
    <definedName name="___DAT33" localSheetId="43">#REF!</definedName>
    <definedName name="___DAT33" localSheetId="44">#REF!</definedName>
    <definedName name="___DAT33" localSheetId="36">#REF!</definedName>
    <definedName name="___DAT33" localSheetId="28">#REF!</definedName>
    <definedName name="___DAT33" localSheetId="83">#REF!</definedName>
    <definedName name="___DAT33">#REF!</definedName>
    <definedName name="___DAT34" localSheetId="43">#REF!</definedName>
    <definedName name="___DAT34" localSheetId="44">#REF!</definedName>
    <definedName name="___DAT34" localSheetId="36">#REF!</definedName>
    <definedName name="___DAT34" localSheetId="28">#REF!</definedName>
    <definedName name="___DAT34" localSheetId="83">#REF!</definedName>
    <definedName name="___DAT34">#REF!</definedName>
    <definedName name="___DAT35" localSheetId="43">#REF!</definedName>
    <definedName name="___DAT35" localSheetId="44">#REF!</definedName>
    <definedName name="___DAT35" localSheetId="36">#REF!</definedName>
    <definedName name="___DAT35" localSheetId="28">#REF!</definedName>
    <definedName name="___DAT35" localSheetId="83">#REF!</definedName>
    <definedName name="___DAT35">#REF!</definedName>
    <definedName name="___DAT36" localSheetId="43">#REF!</definedName>
    <definedName name="___DAT36" localSheetId="44">#REF!</definedName>
    <definedName name="___DAT36" localSheetId="36">#REF!</definedName>
    <definedName name="___DAT36" localSheetId="28">#REF!</definedName>
    <definedName name="___DAT36" localSheetId="83">#REF!</definedName>
    <definedName name="___DAT36">#REF!</definedName>
    <definedName name="___DAT37" localSheetId="43">#REF!</definedName>
    <definedName name="___DAT37" localSheetId="44">#REF!</definedName>
    <definedName name="___DAT37" localSheetId="36">#REF!</definedName>
    <definedName name="___DAT37" localSheetId="28">#REF!</definedName>
    <definedName name="___DAT37" localSheetId="83">#REF!</definedName>
    <definedName name="___DAT37">#REF!</definedName>
    <definedName name="___DAT38" localSheetId="43">#REF!</definedName>
    <definedName name="___DAT38" localSheetId="44">#REF!</definedName>
    <definedName name="___DAT38" localSheetId="36">#REF!</definedName>
    <definedName name="___DAT38" localSheetId="28">#REF!</definedName>
    <definedName name="___DAT38" localSheetId="83">#REF!</definedName>
    <definedName name="___DAT38">#REF!</definedName>
    <definedName name="___DAT39" localSheetId="43">#REF!</definedName>
    <definedName name="___DAT39" localSheetId="44">#REF!</definedName>
    <definedName name="___DAT39" localSheetId="36">#REF!</definedName>
    <definedName name="___DAT39" localSheetId="28">#REF!</definedName>
    <definedName name="___DAT39" localSheetId="83">#REF!</definedName>
    <definedName name="___DAT39">#REF!</definedName>
    <definedName name="___DAT4" localSheetId="43">#REF!</definedName>
    <definedName name="___DAT4" localSheetId="44">#REF!</definedName>
    <definedName name="___DAT4" localSheetId="36">#REF!</definedName>
    <definedName name="___DAT4" localSheetId="28">#REF!</definedName>
    <definedName name="___DAT4" localSheetId="83">#REF!</definedName>
    <definedName name="___DAT4">#REF!</definedName>
    <definedName name="___DAT40" localSheetId="43">#REF!</definedName>
    <definedName name="___DAT40" localSheetId="44">#REF!</definedName>
    <definedName name="___DAT40" localSheetId="36">#REF!</definedName>
    <definedName name="___DAT40" localSheetId="28">#REF!</definedName>
    <definedName name="___DAT40" localSheetId="83">#REF!</definedName>
    <definedName name="___DAT40">#REF!</definedName>
    <definedName name="___DAT41" localSheetId="43">#REF!</definedName>
    <definedName name="___DAT41" localSheetId="44">#REF!</definedName>
    <definedName name="___DAT41" localSheetId="36">#REF!</definedName>
    <definedName name="___DAT41" localSheetId="28">#REF!</definedName>
    <definedName name="___DAT41" localSheetId="83">#REF!</definedName>
    <definedName name="___DAT41">#REF!</definedName>
    <definedName name="___DAT42" localSheetId="43">#REF!</definedName>
    <definedName name="___DAT42" localSheetId="44">#REF!</definedName>
    <definedName name="___DAT42" localSheetId="36">#REF!</definedName>
    <definedName name="___DAT42" localSheetId="28">#REF!</definedName>
    <definedName name="___DAT42" localSheetId="83">#REF!</definedName>
    <definedName name="___DAT42">#REF!</definedName>
    <definedName name="___DAT43" localSheetId="43">#REF!</definedName>
    <definedName name="___DAT43" localSheetId="44">#REF!</definedName>
    <definedName name="___DAT43" localSheetId="36">#REF!</definedName>
    <definedName name="___DAT43" localSheetId="28">#REF!</definedName>
    <definedName name="___DAT43" localSheetId="83">#REF!</definedName>
    <definedName name="___DAT43">#REF!</definedName>
    <definedName name="___DAT44" localSheetId="43">#REF!</definedName>
    <definedName name="___DAT44" localSheetId="44">#REF!</definedName>
    <definedName name="___DAT44" localSheetId="36">#REF!</definedName>
    <definedName name="___DAT44" localSheetId="28">#REF!</definedName>
    <definedName name="___DAT44" localSheetId="83">#REF!</definedName>
    <definedName name="___DAT44">#REF!</definedName>
    <definedName name="___DAT45" localSheetId="43">#REF!</definedName>
    <definedName name="___DAT45" localSheetId="44">#REF!</definedName>
    <definedName name="___DAT45" localSheetId="36">#REF!</definedName>
    <definedName name="___DAT45" localSheetId="28">#REF!</definedName>
    <definedName name="___DAT45" localSheetId="83">#REF!</definedName>
    <definedName name="___DAT45">#REF!</definedName>
    <definedName name="___DAT46" localSheetId="43">#REF!</definedName>
    <definedName name="___DAT46" localSheetId="44">#REF!</definedName>
    <definedName name="___DAT46" localSheetId="36">#REF!</definedName>
    <definedName name="___DAT46" localSheetId="28">#REF!</definedName>
    <definedName name="___DAT46" localSheetId="83">#REF!</definedName>
    <definedName name="___DAT46">#REF!</definedName>
    <definedName name="___DAT47" localSheetId="43">#REF!</definedName>
    <definedName name="___DAT47" localSheetId="44">#REF!</definedName>
    <definedName name="___DAT47" localSheetId="36">#REF!</definedName>
    <definedName name="___DAT47" localSheetId="28">#REF!</definedName>
    <definedName name="___DAT47" localSheetId="83">#REF!</definedName>
    <definedName name="___DAT47">#REF!</definedName>
    <definedName name="___DAT48" localSheetId="43">#REF!</definedName>
    <definedName name="___DAT48" localSheetId="44">#REF!</definedName>
    <definedName name="___DAT48" localSheetId="36">#REF!</definedName>
    <definedName name="___DAT48" localSheetId="28">#REF!</definedName>
    <definedName name="___DAT48" localSheetId="83">#REF!</definedName>
    <definedName name="___DAT48">#REF!</definedName>
    <definedName name="___DAT49" localSheetId="43">#REF!</definedName>
    <definedName name="___DAT49" localSheetId="44">#REF!</definedName>
    <definedName name="___DAT49" localSheetId="36">#REF!</definedName>
    <definedName name="___DAT49" localSheetId="28">#REF!</definedName>
    <definedName name="___DAT49" localSheetId="83">#REF!</definedName>
    <definedName name="___DAT49">#REF!</definedName>
    <definedName name="___DAT5" localSheetId="43">#REF!</definedName>
    <definedName name="___DAT5" localSheetId="44">#REF!</definedName>
    <definedName name="___DAT5" localSheetId="36">#REF!</definedName>
    <definedName name="___DAT5" localSheetId="28">#REF!</definedName>
    <definedName name="___DAT5" localSheetId="83">#REF!</definedName>
    <definedName name="___DAT5">#REF!</definedName>
    <definedName name="___DAT50" localSheetId="43">#REF!</definedName>
    <definedName name="___DAT50" localSheetId="44">#REF!</definedName>
    <definedName name="___DAT50" localSheetId="36">#REF!</definedName>
    <definedName name="___DAT50" localSheetId="28">#REF!</definedName>
    <definedName name="___DAT50" localSheetId="83">#REF!</definedName>
    <definedName name="___DAT50">#REF!</definedName>
    <definedName name="___DAT51" localSheetId="43">#REF!</definedName>
    <definedName name="___DAT51" localSheetId="44">#REF!</definedName>
    <definedName name="___DAT51" localSheetId="36">#REF!</definedName>
    <definedName name="___DAT51" localSheetId="28">#REF!</definedName>
    <definedName name="___DAT51" localSheetId="83">#REF!</definedName>
    <definedName name="___DAT51">#REF!</definedName>
    <definedName name="___DAT52" localSheetId="43">#REF!</definedName>
    <definedName name="___DAT52" localSheetId="44">#REF!</definedName>
    <definedName name="___DAT52" localSheetId="36">#REF!</definedName>
    <definedName name="___DAT52" localSheetId="28">#REF!</definedName>
    <definedName name="___DAT52" localSheetId="83">#REF!</definedName>
    <definedName name="___DAT52">#REF!</definedName>
    <definedName name="___DAT53" localSheetId="43">#REF!</definedName>
    <definedName name="___DAT53" localSheetId="44">#REF!</definedName>
    <definedName name="___DAT53" localSheetId="36">#REF!</definedName>
    <definedName name="___DAT53" localSheetId="28">#REF!</definedName>
    <definedName name="___DAT53" localSheetId="83">#REF!</definedName>
    <definedName name="___DAT53">#REF!</definedName>
    <definedName name="___DAT54" localSheetId="43">#REF!</definedName>
    <definedName name="___DAT54" localSheetId="44">#REF!</definedName>
    <definedName name="___DAT54" localSheetId="36">#REF!</definedName>
    <definedName name="___DAT54" localSheetId="28">#REF!</definedName>
    <definedName name="___DAT54" localSheetId="83">#REF!</definedName>
    <definedName name="___DAT54">#REF!</definedName>
    <definedName name="___DAT55" localSheetId="43">#REF!</definedName>
    <definedName name="___DAT55" localSheetId="44">#REF!</definedName>
    <definedName name="___DAT55" localSheetId="36">#REF!</definedName>
    <definedName name="___DAT55" localSheetId="28">#REF!</definedName>
    <definedName name="___DAT55" localSheetId="83">#REF!</definedName>
    <definedName name="___DAT55">#REF!</definedName>
    <definedName name="___DAT56" localSheetId="43">#REF!</definedName>
    <definedName name="___DAT56" localSheetId="44">#REF!</definedName>
    <definedName name="___DAT56" localSheetId="36">#REF!</definedName>
    <definedName name="___DAT56" localSheetId="28">#REF!</definedName>
    <definedName name="___DAT56" localSheetId="83">#REF!</definedName>
    <definedName name="___DAT56">#REF!</definedName>
    <definedName name="___DAT57" localSheetId="43">#REF!</definedName>
    <definedName name="___DAT57" localSheetId="44">#REF!</definedName>
    <definedName name="___DAT57" localSheetId="36">#REF!</definedName>
    <definedName name="___DAT57" localSheetId="28">#REF!</definedName>
    <definedName name="___DAT57" localSheetId="83">#REF!</definedName>
    <definedName name="___DAT57">#REF!</definedName>
    <definedName name="___DAT58" localSheetId="43">#REF!</definedName>
    <definedName name="___DAT58" localSheetId="44">#REF!</definedName>
    <definedName name="___DAT58" localSheetId="36">#REF!</definedName>
    <definedName name="___DAT58" localSheetId="28">#REF!</definedName>
    <definedName name="___DAT58" localSheetId="83">#REF!</definedName>
    <definedName name="___DAT58">#REF!</definedName>
    <definedName name="___DAT59" localSheetId="43">#REF!</definedName>
    <definedName name="___DAT59" localSheetId="44">#REF!</definedName>
    <definedName name="___DAT59" localSheetId="36">#REF!</definedName>
    <definedName name="___DAT59" localSheetId="28">#REF!</definedName>
    <definedName name="___DAT59" localSheetId="83">#REF!</definedName>
    <definedName name="___DAT59">#REF!</definedName>
    <definedName name="___DAT6" localSheetId="43">#REF!</definedName>
    <definedName name="___DAT6" localSheetId="44">#REF!</definedName>
    <definedName name="___DAT6" localSheetId="36">#REF!</definedName>
    <definedName name="___DAT6" localSheetId="28">#REF!</definedName>
    <definedName name="___DAT6" localSheetId="83">#REF!</definedName>
    <definedName name="___DAT6">#REF!</definedName>
    <definedName name="___DAT60" localSheetId="43">#REF!</definedName>
    <definedName name="___DAT60" localSheetId="44">#REF!</definedName>
    <definedName name="___DAT60" localSheetId="36">#REF!</definedName>
    <definedName name="___DAT60" localSheetId="28">#REF!</definedName>
    <definedName name="___DAT60" localSheetId="83">#REF!</definedName>
    <definedName name="___DAT60">#REF!</definedName>
    <definedName name="___DAT61" localSheetId="43">#REF!</definedName>
    <definedName name="___DAT61" localSheetId="44">#REF!</definedName>
    <definedName name="___DAT61" localSheetId="36">#REF!</definedName>
    <definedName name="___DAT61" localSheetId="28">#REF!</definedName>
    <definedName name="___DAT61" localSheetId="83">#REF!</definedName>
    <definedName name="___DAT61">#REF!</definedName>
    <definedName name="___DAT62" localSheetId="43">#REF!</definedName>
    <definedName name="___DAT62" localSheetId="44">#REF!</definedName>
    <definedName name="___DAT62" localSheetId="36">#REF!</definedName>
    <definedName name="___DAT62" localSheetId="28">#REF!</definedName>
    <definedName name="___DAT62" localSheetId="83">#REF!</definedName>
    <definedName name="___DAT62">#REF!</definedName>
    <definedName name="___DAT63" localSheetId="43">#REF!</definedName>
    <definedName name="___DAT63" localSheetId="44">#REF!</definedName>
    <definedName name="___DAT63" localSheetId="36">#REF!</definedName>
    <definedName name="___DAT63" localSheetId="28">#REF!</definedName>
    <definedName name="___DAT63" localSheetId="83">#REF!</definedName>
    <definedName name="___DAT63">#REF!</definedName>
    <definedName name="___DAT64" localSheetId="43">#REF!</definedName>
    <definedName name="___DAT64" localSheetId="44">#REF!</definedName>
    <definedName name="___DAT64" localSheetId="36">#REF!</definedName>
    <definedName name="___DAT64" localSheetId="28">#REF!</definedName>
    <definedName name="___DAT64" localSheetId="83">#REF!</definedName>
    <definedName name="___DAT64">#REF!</definedName>
    <definedName name="___DAT65" localSheetId="43">#REF!</definedName>
    <definedName name="___DAT65" localSheetId="44">#REF!</definedName>
    <definedName name="___DAT65" localSheetId="36">#REF!</definedName>
    <definedName name="___DAT65" localSheetId="28">#REF!</definedName>
    <definedName name="___DAT65" localSheetId="83">#REF!</definedName>
    <definedName name="___DAT65">#REF!</definedName>
    <definedName name="___DAT66" localSheetId="43">#REF!</definedName>
    <definedName name="___DAT66" localSheetId="44">#REF!</definedName>
    <definedName name="___DAT66" localSheetId="36">#REF!</definedName>
    <definedName name="___DAT66" localSheetId="28">#REF!</definedName>
    <definedName name="___DAT66" localSheetId="83">#REF!</definedName>
    <definedName name="___DAT66">#REF!</definedName>
    <definedName name="___DAT67" localSheetId="43">#REF!</definedName>
    <definedName name="___DAT67" localSheetId="44">#REF!</definedName>
    <definedName name="___DAT67" localSheetId="36">#REF!</definedName>
    <definedName name="___DAT67" localSheetId="28">#REF!</definedName>
    <definedName name="___DAT67" localSheetId="83">#REF!</definedName>
    <definedName name="___DAT67">#REF!</definedName>
    <definedName name="___DAT68" localSheetId="43">#REF!</definedName>
    <definedName name="___DAT68" localSheetId="44">#REF!</definedName>
    <definedName name="___DAT68" localSheetId="36">#REF!</definedName>
    <definedName name="___DAT68" localSheetId="28">#REF!</definedName>
    <definedName name="___DAT68" localSheetId="83">#REF!</definedName>
    <definedName name="___DAT68">#REF!</definedName>
    <definedName name="___DAT69" localSheetId="43">#REF!</definedName>
    <definedName name="___DAT69" localSheetId="44">#REF!</definedName>
    <definedName name="___DAT69" localSheetId="36">#REF!</definedName>
    <definedName name="___DAT69" localSheetId="28">#REF!</definedName>
    <definedName name="___DAT69" localSheetId="83">#REF!</definedName>
    <definedName name="___DAT69">#REF!</definedName>
    <definedName name="___DAT7" localSheetId="43">#REF!</definedName>
    <definedName name="___DAT7" localSheetId="44">#REF!</definedName>
    <definedName name="___DAT7" localSheetId="36">#REF!</definedName>
    <definedName name="___DAT7" localSheetId="28">#REF!</definedName>
    <definedName name="___DAT7" localSheetId="83">#REF!</definedName>
    <definedName name="___DAT7">#REF!</definedName>
    <definedName name="___DAT70" localSheetId="43">#REF!</definedName>
    <definedName name="___DAT70" localSheetId="44">#REF!</definedName>
    <definedName name="___DAT70" localSheetId="36">#REF!</definedName>
    <definedName name="___DAT70" localSheetId="28">#REF!</definedName>
    <definedName name="___DAT70" localSheetId="83">#REF!</definedName>
    <definedName name="___DAT70">#REF!</definedName>
    <definedName name="___DAT71" localSheetId="43">#REF!</definedName>
    <definedName name="___DAT71" localSheetId="44">#REF!</definedName>
    <definedName name="___DAT71" localSheetId="36">#REF!</definedName>
    <definedName name="___DAT71" localSheetId="28">#REF!</definedName>
    <definedName name="___DAT71" localSheetId="83">#REF!</definedName>
    <definedName name="___DAT71">#REF!</definedName>
    <definedName name="___DAT72" localSheetId="43">#REF!</definedName>
    <definedName name="___DAT72" localSheetId="44">#REF!</definedName>
    <definedName name="___DAT72" localSheetId="36">#REF!</definedName>
    <definedName name="___DAT72" localSheetId="28">#REF!</definedName>
    <definedName name="___DAT72" localSheetId="83">#REF!</definedName>
    <definedName name="___DAT72">#REF!</definedName>
    <definedName name="___DAT73" localSheetId="43">#REF!</definedName>
    <definedName name="___DAT73" localSheetId="44">#REF!</definedName>
    <definedName name="___DAT73" localSheetId="36">#REF!</definedName>
    <definedName name="___DAT73" localSheetId="28">#REF!</definedName>
    <definedName name="___DAT73" localSheetId="83">#REF!</definedName>
    <definedName name="___DAT73">#REF!</definedName>
    <definedName name="___DAT74" localSheetId="43">#REF!</definedName>
    <definedName name="___DAT74" localSheetId="44">#REF!</definedName>
    <definedName name="___DAT74" localSheetId="36">#REF!</definedName>
    <definedName name="___DAT74" localSheetId="28">#REF!</definedName>
    <definedName name="___DAT74" localSheetId="83">#REF!</definedName>
    <definedName name="___DAT74">#REF!</definedName>
    <definedName name="___DAT75" localSheetId="43">#REF!</definedName>
    <definedName name="___DAT75" localSheetId="44">#REF!</definedName>
    <definedName name="___DAT75" localSheetId="36">#REF!</definedName>
    <definedName name="___DAT75" localSheetId="28">#REF!</definedName>
    <definedName name="___DAT75" localSheetId="83">#REF!</definedName>
    <definedName name="___DAT75">#REF!</definedName>
    <definedName name="___DAT76" localSheetId="43">#REF!</definedName>
    <definedName name="___DAT76" localSheetId="44">#REF!</definedName>
    <definedName name="___DAT76" localSheetId="36">#REF!</definedName>
    <definedName name="___DAT76" localSheetId="28">#REF!</definedName>
    <definedName name="___DAT76" localSheetId="83">#REF!</definedName>
    <definedName name="___DAT76">#REF!</definedName>
    <definedName name="___DAT77" localSheetId="43">#REF!</definedName>
    <definedName name="___DAT77" localSheetId="44">#REF!</definedName>
    <definedName name="___DAT77" localSheetId="36">#REF!</definedName>
    <definedName name="___DAT77" localSheetId="28">#REF!</definedName>
    <definedName name="___DAT77" localSheetId="83">#REF!</definedName>
    <definedName name="___DAT77">#REF!</definedName>
    <definedName name="___DAT78" localSheetId="43">#REF!</definedName>
    <definedName name="___DAT78" localSheetId="44">#REF!</definedName>
    <definedName name="___DAT78" localSheetId="36">#REF!</definedName>
    <definedName name="___DAT78" localSheetId="28">#REF!</definedName>
    <definedName name="___DAT78" localSheetId="83">#REF!</definedName>
    <definedName name="___DAT78">#REF!</definedName>
    <definedName name="___DAT79" localSheetId="43">#REF!</definedName>
    <definedName name="___DAT79" localSheetId="44">#REF!</definedName>
    <definedName name="___DAT79" localSheetId="36">#REF!</definedName>
    <definedName name="___DAT79" localSheetId="28">#REF!</definedName>
    <definedName name="___DAT79" localSheetId="83">#REF!</definedName>
    <definedName name="___DAT79">#REF!</definedName>
    <definedName name="___DAT8" localSheetId="43">#REF!</definedName>
    <definedName name="___DAT8" localSheetId="44">#REF!</definedName>
    <definedName name="___DAT8" localSheetId="36">#REF!</definedName>
    <definedName name="___DAT8" localSheetId="28">#REF!</definedName>
    <definedName name="___DAT8" localSheetId="83">#REF!</definedName>
    <definedName name="___DAT8">#REF!</definedName>
    <definedName name="___DAT80" localSheetId="43">#REF!</definedName>
    <definedName name="___DAT80" localSheetId="44">#REF!</definedName>
    <definedName name="___DAT80" localSheetId="36">#REF!</definedName>
    <definedName name="___DAT80" localSheetId="28">#REF!</definedName>
    <definedName name="___DAT80" localSheetId="83">#REF!</definedName>
    <definedName name="___DAT80">#REF!</definedName>
    <definedName name="___DAT81" localSheetId="43">#REF!</definedName>
    <definedName name="___DAT81" localSheetId="44">#REF!</definedName>
    <definedName name="___DAT81" localSheetId="36">#REF!</definedName>
    <definedName name="___DAT81" localSheetId="28">#REF!</definedName>
    <definedName name="___DAT81" localSheetId="83">#REF!</definedName>
    <definedName name="___DAT81">#REF!</definedName>
    <definedName name="___DAT82" localSheetId="43">#REF!</definedName>
    <definedName name="___DAT82" localSheetId="44">#REF!</definedName>
    <definedName name="___DAT82" localSheetId="36">#REF!</definedName>
    <definedName name="___DAT82" localSheetId="28">#REF!</definedName>
    <definedName name="___DAT82" localSheetId="83">#REF!</definedName>
    <definedName name="___DAT82">#REF!</definedName>
    <definedName name="___DAT83" localSheetId="43">#REF!</definedName>
    <definedName name="___DAT83" localSheetId="44">#REF!</definedName>
    <definedName name="___DAT83" localSheetId="36">#REF!</definedName>
    <definedName name="___DAT83" localSheetId="28">#REF!</definedName>
    <definedName name="___DAT83" localSheetId="83">#REF!</definedName>
    <definedName name="___DAT83">#REF!</definedName>
    <definedName name="___DAT84" localSheetId="43">#REF!</definedName>
    <definedName name="___DAT84" localSheetId="44">#REF!</definedName>
    <definedName name="___DAT84" localSheetId="36">#REF!</definedName>
    <definedName name="___DAT84" localSheetId="28">#REF!</definedName>
    <definedName name="___DAT84" localSheetId="83">#REF!</definedName>
    <definedName name="___DAT84">#REF!</definedName>
    <definedName name="___DAT85" localSheetId="43">#REF!</definedName>
    <definedName name="___DAT85" localSheetId="44">#REF!</definedName>
    <definedName name="___DAT85" localSheetId="36">#REF!</definedName>
    <definedName name="___DAT85" localSheetId="28">#REF!</definedName>
    <definedName name="___DAT85" localSheetId="83">#REF!</definedName>
    <definedName name="___DAT85">#REF!</definedName>
    <definedName name="___DAT86" localSheetId="43">#REF!</definedName>
    <definedName name="___DAT86" localSheetId="44">#REF!</definedName>
    <definedName name="___DAT86" localSheetId="36">#REF!</definedName>
    <definedName name="___DAT86" localSheetId="28">#REF!</definedName>
    <definedName name="___DAT86" localSheetId="83">#REF!</definedName>
    <definedName name="___DAT86">#REF!</definedName>
    <definedName name="___DAT87" localSheetId="43">#REF!</definedName>
    <definedName name="___DAT87" localSheetId="44">#REF!</definedName>
    <definedName name="___DAT87" localSheetId="36">#REF!</definedName>
    <definedName name="___DAT87" localSheetId="28">#REF!</definedName>
    <definedName name="___DAT87" localSheetId="83">#REF!</definedName>
    <definedName name="___DAT87">#REF!</definedName>
    <definedName name="___DAT9" localSheetId="43">#REF!</definedName>
    <definedName name="___DAT9" localSheetId="44">#REF!</definedName>
    <definedName name="___DAT9" localSheetId="36">#REF!</definedName>
    <definedName name="___DAT9" localSheetId="28">#REF!</definedName>
    <definedName name="___DAT9" localSheetId="83">#REF!</definedName>
    <definedName name="___DAT9">#REF!</definedName>
    <definedName name="___FC1" localSheetId="36">[13]DEMFIXLD!$A$1:$E$205</definedName>
    <definedName name="___FC1" localSheetId="56">[13]DEMFIXLD!$A$1:$E$205</definedName>
    <definedName name="___FC1" localSheetId="83">[1]DEMFIXLD!$A$1:$E$205</definedName>
    <definedName name="___FC1" localSheetId="90">[17]DEMFIXLD!$A$1:$E$205</definedName>
    <definedName name="___FC1" localSheetId="91">[17]DEMFIXLD!$A$1:$E$205</definedName>
    <definedName name="___FC1" localSheetId="94">[17]DEMFIXLD!$A$1:$E$205</definedName>
    <definedName name="___FC1">[16]DEMFIXLD!$A$1:$E$205</definedName>
    <definedName name="___IED1" localSheetId="43">#REF!</definedName>
    <definedName name="___IED1" localSheetId="44">#REF!</definedName>
    <definedName name="___IED1" localSheetId="36">#REF!</definedName>
    <definedName name="___IED1" localSheetId="37">#REF!</definedName>
    <definedName name="___IED1" localSheetId="28">#REF!</definedName>
    <definedName name="___IED1" localSheetId="56">#REF!</definedName>
    <definedName name="___IED1" localSheetId="83">#REF!</definedName>
    <definedName name="___IED1" localSheetId="94">#REF!</definedName>
    <definedName name="___IED1">#REF!</definedName>
    <definedName name="___IED2" localSheetId="43">#REF!</definedName>
    <definedName name="___IED2" localSheetId="44">#REF!</definedName>
    <definedName name="___IED2" localSheetId="36">#REF!</definedName>
    <definedName name="___IED2" localSheetId="37">#REF!</definedName>
    <definedName name="___IED2" localSheetId="28">#REF!</definedName>
    <definedName name="___IED2" localSheetId="83">#REF!</definedName>
    <definedName name="___IED2">#REF!</definedName>
    <definedName name="___INDEX_SHEET___ASAP_Utilities" localSheetId="43">#REF!</definedName>
    <definedName name="___INDEX_SHEET___ASAP_Utilities" localSheetId="44">#REF!</definedName>
    <definedName name="___INDEX_SHEET___ASAP_Utilities">#REF!</definedName>
    <definedName name="_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kvs1" localSheetId="0" hidden="1">{#N/A,#N/A,FALSE,"COVER1.XLS ";#N/A,#N/A,FALSE,"RACT1.XLS";#N/A,#N/A,FALSE,"RACT2.XLS";#N/A,#N/A,FALSE,"ECCMP";#N/A,#N/A,FALSE,"WELDER.XLS"}</definedName>
    <definedName name="___kvs1" hidden="1">{#N/A,#N/A,FALSE,"COVER1.XLS ";#N/A,#N/A,FALSE,"RACT1.XLS";#N/A,#N/A,FALSE,"RACT2.XLS";#N/A,#N/A,FALSE,"ECCMP";#N/A,#N/A,FALSE,"WELDER.XLS"}</definedName>
    <definedName name="___kvs2" localSheetId="0" hidden="1">{#N/A,#N/A,FALSE,"COVER1.XLS ";#N/A,#N/A,FALSE,"RACT1.XLS";#N/A,#N/A,FALSE,"RACT2.XLS";#N/A,#N/A,FALSE,"ECCMP";#N/A,#N/A,FALSE,"WELDER.XLS"}</definedName>
    <definedName name="___kvs2" hidden="1">{#N/A,#N/A,FALSE,"COVER1.XLS ";#N/A,#N/A,FALSE,"RACT1.XLS";#N/A,#N/A,FALSE,"RACT2.XLS";#N/A,#N/A,FALSE,"ECCMP";#N/A,#N/A,FALSE,"WELDER.XLS"}</definedName>
    <definedName name="___kvs5" localSheetId="0" hidden="1">{#N/A,#N/A,FALSE,"COVER.XLS";#N/A,#N/A,FALSE,"RACT1.XLS";#N/A,#N/A,FALSE,"RACT2.XLS";#N/A,#N/A,FALSE,"ECCMP";#N/A,#N/A,FALSE,"WELDER.XLS"}</definedName>
    <definedName name="___kvs5" hidden="1">{#N/A,#N/A,FALSE,"COVER.XLS";#N/A,#N/A,FALSE,"RACT1.XLS";#N/A,#N/A,FALSE,"RACT2.XLS";#N/A,#N/A,FALSE,"ECCMP";#N/A,#N/A,FALSE,"WELDER.XLS"}</definedName>
    <definedName name="___kvs8" localSheetId="0" hidden="1">{#N/A,#N/A,FALSE,"COVER1.XLS ";#N/A,#N/A,FALSE,"RACT1.XLS";#N/A,#N/A,FALSE,"RACT2.XLS";#N/A,#N/A,FALSE,"ECCMP";#N/A,#N/A,FALSE,"WELDER.XLS"}</definedName>
    <definedName name="___kvs8" hidden="1">{#N/A,#N/A,FALSE,"COVER1.XLS ";#N/A,#N/A,FALSE,"RACT1.XLS";#N/A,#N/A,FALSE,"RACT2.XLS";#N/A,#N/A,FALSE,"ECCMP";#N/A,#N/A,FALSE,"WELDER.XLS"}</definedName>
    <definedName name="___LD1" localSheetId="83">[1]DLC!$K$59:$AF$8180</definedName>
    <definedName name="___LD1">[2]DLC!$K$59:$AF$8180</definedName>
    <definedName name="___LD2" localSheetId="83">[1]DLC!$GR$56:$HT$8181</definedName>
    <definedName name="___LD2">[2]DLC!$GR$56:$HT$8181</definedName>
    <definedName name="___LD3" localSheetId="83">[1]DLC!$HV$57:$IO$8181</definedName>
    <definedName name="___LD3">[2]DLC!$HV$57:$IO$8181</definedName>
    <definedName name="___LD4" localSheetId="83">[1]DLC!$AH$32:$BE$8180</definedName>
    <definedName name="___LD4">[2]DLC!$AH$32:$BE$8180</definedName>
    <definedName name="___LD5" localSheetId="83">[1]DLC!$GR$53:$HK$8180</definedName>
    <definedName name="___LD5">[2]DLC!$GR$53:$HK$8180</definedName>
    <definedName name="___LD6" localSheetId="83">[1]DLC!$GR$69:$HL$8180</definedName>
    <definedName name="___LD6">[2]DLC!$GR$69:$HL$8180</definedName>
    <definedName name="__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R1" localSheetId="43">#REF!</definedName>
    <definedName name="___LR1" localSheetId="44">#REF!</definedName>
    <definedName name="___LR1" localSheetId="36">#REF!</definedName>
    <definedName name="___LR1" localSheetId="28">#REF!</definedName>
    <definedName name="___LR1" localSheetId="83">#REF!</definedName>
    <definedName name="___LR1">#REF!</definedName>
    <definedName name="___LR2" localSheetId="43">#REF!</definedName>
    <definedName name="___LR2" localSheetId="44">#REF!</definedName>
    <definedName name="___LR2" localSheetId="36">#REF!</definedName>
    <definedName name="___LR2" localSheetId="28">#REF!</definedName>
    <definedName name="___LR2" localSheetId="83">#REF!</definedName>
    <definedName name="___LR2">#REF!</definedName>
    <definedName name="___Mar06" localSheetId="43">[10]Newabstract!#REF!</definedName>
    <definedName name="___Mar06" localSheetId="44">[10]Newabstract!#REF!</definedName>
    <definedName name="___Mar06" localSheetId="36">[10]Newabstract!#REF!</definedName>
    <definedName name="___Mar06" localSheetId="28">[10]Newabstract!#REF!</definedName>
    <definedName name="___Mar06" localSheetId="83">[1]Newabstract!#REF!</definedName>
    <definedName name="___Mar06">[10]Newabstract!#REF!</definedName>
    <definedName name="___Mar09" localSheetId="43">[10]Newabstract!#REF!</definedName>
    <definedName name="___Mar09" localSheetId="44">[10]Newabstract!#REF!</definedName>
    <definedName name="___Mar09" localSheetId="36">[10]Newabstract!#REF!</definedName>
    <definedName name="___Mar09" localSheetId="28">[10]Newabstract!#REF!</definedName>
    <definedName name="___Mar09" localSheetId="83">[1]Newabstract!#REF!</definedName>
    <definedName name="___Mar09">[10]Newabstract!#REF!</definedName>
    <definedName name="___Mar10" localSheetId="43">[10]Newabstract!#REF!</definedName>
    <definedName name="___Mar10" localSheetId="44">[10]Newabstract!#REF!</definedName>
    <definedName name="___Mar10" localSheetId="36">[10]Newabstract!#REF!</definedName>
    <definedName name="___Mar10" localSheetId="28">[10]Newabstract!#REF!</definedName>
    <definedName name="___Mar10" localSheetId="83">[1]Newabstract!#REF!</definedName>
    <definedName name="___Mar10">[10]Newabstract!#REF!</definedName>
    <definedName name="___Mar11" localSheetId="43">[10]Newabstract!#REF!</definedName>
    <definedName name="___Mar11" localSheetId="44">[10]Newabstract!#REF!</definedName>
    <definedName name="___Mar11" localSheetId="36">[10]Newabstract!#REF!</definedName>
    <definedName name="___Mar11" localSheetId="28">[10]Newabstract!#REF!</definedName>
    <definedName name="___Mar11" localSheetId="83">[1]Newabstract!#REF!</definedName>
    <definedName name="___Mar11">[10]Newabstract!#REF!</definedName>
    <definedName name="___Mar12" localSheetId="43">[10]Newabstract!#REF!</definedName>
    <definedName name="___Mar12" localSheetId="44">[10]Newabstract!#REF!</definedName>
    <definedName name="___Mar12" localSheetId="36">[10]Newabstract!#REF!</definedName>
    <definedName name="___Mar12" localSheetId="28">[10]Newabstract!#REF!</definedName>
    <definedName name="___Mar12" localSheetId="83">[1]Newabstract!#REF!</definedName>
    <definedName name="___Mar12">[10]Newabstract!#REF!</definedName>
    <definedName name="___Mar13" localSheetId="43">[10]Newabstract!#REF!</definedName>
    <definedName name="___Mar13" localSheetId="44">[10]Newabstract!#REF!</definedName>
    <definedName name="___Mar13" localSheetId="36">[10]Newabstract!#REF!</definedName>
    <definedName name="___Mar13" localSheetId="28">[10]Newabstract!#REF!</definedName>
    <definedName name="___Mar13" localSheetId="83">[1]Newabstract!#REF!</definedName>
    <definedName name="___Mar13">[10]Newabstract!#REF!</definedName>
    <definedName name="___Mar16" localSheetId="43">[10]Newabstract!#REF!</definedName>
    <definedName name="___Mar16" localSheetId="44">[10]Newabstract!#REF!</definedName>
    <definedName name="___Mar16" localSheetId="36">[10]Newabstract!#REF!</definedName>
    <definedName name="___Mar16" localSheetId="28">[10]Newabstract!#REF!</definedName>
    <definedName name="___Mar16" localSheetId="83">[1]Newabstract!#REF!</definedName>
    <definedName name="___Mar16">[10]Newabstract!#REF!</definedName>
    <definedName name="___Mar17" localSheetId="43">[10]Newabstract!#REF!</definedName>
    <definedName name="___Mar17" localSheetId="44">[10]Newabstract!#REF!</definedName>
    <definedName name="___Mar17" localSheetId="36">[10]Newabstract!#REF!</definedName>
    <definedName name="___Mar17" localSheetId="28">[10]Newabstract!#REF!</definedName>
    <definedName name="___Mar17" localSheetId="83">[1]Newabstract!#REF!</definedName>
    <definedName name="___Mar17">[10]Newabstract!#REF!</definedName>
    <definedName name="___Mar18" localSheetId="43">[10]Newabstract!#REF!</definedName>
    <definedName name="___Mar18" localSheetId="44">[10]Newabstract!#REF!</definedName>
    <definedName name="___Mar18" localSheetId="36">[10]Newabstract!#REF!</definedName>
    <definedName name="___Mar18" localSheetId="28">[10]Newabstract!#REF!</definedName>
    <definedName name="___Mar18" localSheetId="83">[1]Newabstract!#REF!</definedName>
    <definedName name="___Mar18">[10]Newabstract!#REF!</definedName>
    <definedName name="___Mar19" localSheetId="43">[10]Newabstract!#REF!</definedName>
    <definedName name="___Mar19" localSheetId="44">[10]Newabstract!#REF!</definedName>
    <definedName name="___Mar19" localSheetId="36">[10]Newabstract!#REF!</definedName>
    <definedName name="___Mar19" localSheetId="28">[10]Newabstract!#REF!</definedName>
    <definedName name="___Mar19" localSheetId="83">[1]Newabstract!#REF!</definedName>
    <definedName name="___Mar19">[10]Newabstract!#REF!</definedName>
    <definedName name="___Mar20" localSheetId="43">[10]Newabstract!#REF!</definedName>
    <definedName name="___Mar20" localSheetId="44">[10]Newabstract!#REF!</definedName>
    <definedName name="___Mar20" localSheetId="36">[10]Newabstract!#REF!</definedName>
    <definedName name="___Mar20" localSheetId="28">[10]Newabstract!#REF!</definedName>
    <definedName name="___Mar20" localSheetId="83">[1]Newabstract!#REF!</definedName>
    <definedName name="___Mar20">[10]Newabstract!#REF!</definedName>
    <definedName name="___Mar23" localSheetId="43">[10]Newabstract!#REF!</definedName>
    <definedName name="___Mar23" localSheetId="44">[10]Newabstract!#REF!</definedName>
    <definedName name="___Mar23" localSheetId="36">[10]Newabstract!#REF!</definedName>
    <definedName name="___Mar23" localSheetId="28">[10]Newabstract!#REF!</definedName>
    <definedName name="___Mar23" localSheetId="83">[1]Newabstract!#REF!</definedName>
    <definedName name="___Mar23">[10]Newabstract!#REF!</definedName>
    <definedName name="___Mar24" localSheetId="43">[10]Newabstract!#REF!</definedName>
    <definedName name="___Mar24" localSheetId="44">[10]Newabstract!#REF!</definedName>
    <definedName name="___Mar24" localSheetId="36">[10]Newabstract!#REF!</definedName>
    <definedName name="___Mar24" localSheetId="28">[10]Newabstract!#REF!</definedName>
    <definedName name="___Mar24" localSheetId="83">[1]Newabstract!#REF!</definedName>
    <definedName name="___Mar24">[10]Newabstract!#REF!</definedName>
    <definedName name="___Mar25" localSheetId="43">[10]Newabstract!#REF!</definedName>
    <definedName name="___Mar25" localSheetId="44">[10]Newabstract!#REF!</definedName>
    <definedName name="___Mar25" localSheetId="36">[10]Newabstract!#REF!</definedName>
    <definedName name="___Mar25" localSheetId="28">[10]Newabstract!#REF!</definedName>
    <definedName name="___Mar25" localSheetId="83">[1]Newabstract!#REF!</definedName>
    <definedName name="___Mar25">[10]Newabstract!#REF!</definedName>
    <definedName name="___Mar26" localSheetId="43">[10]Newabstract!#REF!</definedName>
    <definedName name="___Mar26" localSheetId="44">[10]Newabstract!#REF!</definedName>
    <definedName name="___Mar26" localSheetId="36">[10]Newabstract!#REF!</definedName>
    <definedName name="___Mar26" localSheetId="28">[10]Newabstract!#REF!</definedName>
    <definedName name="___Mar26" localSheetId="83">[1]Newabstract!#REF!</definedName>
    <definedName name="___Mar26">[10]Newabstract!#REF!</definedName>
    <definedName name="___Mar27" localSheetId="43">[10]Newabstract!#REF!</definedName>
    <definedName name="___Mar27" localSheetId="44">[10]Newabstract!#REF!</definedName>
    <definedName name="___Mar27" localSheetId="36">[10]Newabstract!#REF!</definedName>
    <definedName name="___Mar27" localSheetId="28">[10]Newabstract!#REF!</definedName>
    <definedName name="___Mar27" localSheetId="83">[1]Newabstract!#REF!</definedName>
    <definedName name="___Mar27">[10]Newabstract!#REF!</definedName>
    <definedName name="___Mar28" localSheetId="43">[10]Newabstract!#REF!</definedName>
    <definedName name="___Mar28" localSheetId="44">[10]Newabstract!#REF!</definedName>
    <definedName name="___Mar28" localSheetId="36">[10]Newabstract!#REF!</definedName>
    <definedName name="___Mar28" localSheetId="28">[10]Newabstract!#REF!</definedName>
    <definedName name="___Mar28" localSheetId="83">[1]Newabstract!#REF!</definedName>
    <definedName name="___Mar28">[10]Newabstract!#REF!</definedName>
    <definedName name="___Mar30" localSheetId="43">[10]Newabstract!#REF!</definedName>
    <definedName name="___Mar30" localSheetId="44">[10]Newabstract!#REF!</definedName>
    <definedName name="___Mar30" localSheetId="36">[10]Newabstract!#REF!</definedName>
    <definedName name="___Mar30" localSheetId="28">[10]Newabstract!#REF!</definedName>
    <definedName name="___Mar30" localSheetId="83">[1]Newabstract!#REF!</definedName>
    <definedName name="___Mar30">[10]Newabstract!#REF!</definedName>
    <definedName name="___Mar31" localSheetId="43">[10]Newabstract!#REF!</definedName>
    <definedName name="___Mar31" localSheetId="44">[10]Newabstract!#REF!</definedName>
    <definedName name="___Mar31" localSheetId="36">[10]Newabstract!#REF!</definedName>
    <definedName name="___Mar31" localSheetId="28">[10]Newabstract!#REF!</definedName>
    <definedName name="___Mar31" localSheetId="83">[1]Newabstract!#REF!</definedName>
    <definedName name="___Mar31">[10]Newabstract!#REF!</definedName>
    <definedName name="___nA84" localSheetId="43">'[23]CAPI_01-02'!#REF!</definedName>
    <definedName name="___nA84" localSheetId="44">'[23]CAPI_01-02'!#REF!</definedName>
    <definedName name="___nA84" localSheetId="36">'[23]CAPI_01-02'!#REF!</definedName>
    <definedName name="___nA84" localSheetId="28">'[23]CAPI_01-02'!#REF!</definedName>
    <definedName name="___nA84" localSheetId="83">'[1]CAPI_01-02'!#REF!</definedName>
    <definedName name="___nA84" localSheetId="90">'[23]CAPI_01-02'!#REF!</definedName>
    <definedName name="___nA84" localSheetId="91">'[23]CAPI_01-02'!#REF!</definedName>
    <definedName name="___nA84">'[23]CAPI_01-02'!#REF!</definedName>
    <definedName name="___NCS111" localSheetId="36">'[14]Schedule-1'!$B$1:$J$1</definedName>
    <definedName name="___NCS111" localSheetId="37">'[15]Schedule-1'!$B$1:$J$1</definedName>
    <definedName name="___NCS111" localSheetId="56">'[14]Schedule-1'!$B$1:$J$1</definedName>
    <definedName name="___NCS111" localSheetId="83">'[1]Schedule-1'!$B$1:$J$1</definedName>
    <definedName name="___NCS111" localSheetId="90">'[14]Schedule-1'!$B$1:$J$1</definedName>
    <definedName name="___NCS111" localSheetId="91">'[14]Schedule-1'!$B$1:$J$1</definedName>
    <definedName name="___NCS111" localSheetId="94">'[14]Schedule-1'!$B$1:$J$1</definedName>
    <definedName name="___NCS111">'[21]Schedule-1'!$B$1:$J$1</definedName>
    <definedName name="___PH1">#N/A</definedName>
    <definedName name="___PL1">[12]BSPL!$A$58:$E$111</definedName>
    <definedName name="___PRN1" localSheetId="0" hidden="1">{#N/A,#N/A,FALSE,"COVER.XLS";#N/A,#N/A,FALSE,"RACT1.XLS";#N/A,#N/A,FALSE,"RACT2.XLS";#N/A,#N/A,FALSE,"ECCMP";#N/A,#N/A,FALSE,"WELDER.XLS"}</definedName>
    <definedName name="___PRN1" hidden="1">{#N/A,#N/A,FALSE,"COVER.XLS";#N/A,#N/A,FALSE,"RACT1.XLS";#N/A,#N/A,FALSE,"RACT2.XLS";#N/A,#N/A,FALSE,"ECCMP";#N/A,#N/A,FALSE,"WELDER.XLS"}</definedName>
    <definedName name="___SCH12">[12]BSPL!$A$655:$D$692</definedName>
    <definedName name="___sch13">[12]BSPL!$A$694:$D$744</definedName>
    <definedName name="___SCH5" localSheetId="43">#REF!</definedName>
    <definedName name="___SCH5" localSheetId="44">#REF!</definedName>
    <definedName name="___SCH5">#REF!</definedName>
    <definedName name="___SCH6" localSheetId="43">'[5]04REL'!#REF!</definedName>
    <definedName name="___SCH6" localSheetId="44">'[5]04REL'!#REF!</definedName>
    <definedName name="___SCH6" localSheetId="36">'[6]04REL'!#REF!</definedName>
    <definedName name="___SCH6" localSheetId="37">'[9]04REL'!#REF!</definedName>
    <definedName name="___SCH6" localSheetId="28">'[5]04REL'!#REF!</definedName>
    <definedName name="___SCH6" localSheetId="56">'[6]04REL'!#REF!</definedName>
    <definedName name="___SCH6" localSheetId="83">'[1]04REL'!#REF!</definedName>
    <definedName name="___SCH6" localSheetId="90">'[6]04REL'!#REF!</definedName>
    <definedName name="___SCH6" localSheetId="91">'[6]04REL'!#REF!</definedName>
    <definedName name="___SCH6" localSheetId="94">'[6]04REL'!#REF!</definedName>
    <definedName name="___SCH6">'[7]04REL'!#REF!</definedName>
    <definedName name="___SH1" localSheetId="83">'[1]Executive Summary -Thermal'!$A$4:$H$108</definedName>
    <definedName name="___SH1">'[18]Executive Summary -Thermal'!$A$4:$H$108</definedName>
    <definedName name="___SH10" localSheetId="83">'[1]Executive Summary -Thermal'!$A$4:$G$118</definedName>
    <definedName name="___SH10">'[18]Executive Summary -Thermal'!$A$4:$G$118</definedName>
    <definedName name="___SH11" localSheetId="83">'[1]Executive Summary -Thermal'!$A$4:$H$167</definedName>
    <definedName name="___SH11">'[18]Executive Summary -Thermal'!$A$4:$H$167</definedName>
    <definedName name="___SH2" localSheetId="83">'[1]Executive Summary -Thermal'!$A$4:$H$157</definedName>
    <definedName name="___SH2">'[18]Executive Summary -Thermal'!$A$4:$H$157</definedName>
    <definedName name="___SH3" localSheetId="83">'[1]Executive Summary -Thermal'!$A$4:$H$136</definedName>
    <definedName name="___SH3">'[18]Executive Summary -Thermal'!$A$4:$H$136</definedName>
    <definedName name="___SH4" localSheetId="83">'[1]Executive Summary -Thermal'!$A$4:$H$96</definedName>
    <definedName name="___SH4">'[18]Executive Summary -Thermal'!$A$4:$H$96</definedName>
    <definedName name="___SH5" localSheetId="83">'[1]Executive Summary -Thermal'!$A$4:$H$96</definedName>
    <definedName name="___SH5">'[18]Executive Summary -Thermal'!$A$4:$H$96</definedName>
    <definedName name="___SH6" localSheetId="83">'[1]Executive Summary -Thermal'!$A$4:$H$95</definedName>
    <definedName name="___SH6">'[18]Executive Summary -Thermal'!$A$4:$H$95</definedName>
    <definedName name="___SH7" localSheetId="83">'[1]Executive Summary -Thermal'!$A$4:$H$163</definedName>
    <definedName name="___SH7">'[18]Executive Summary -Thermal'!$A$4:$H$163</definedName>
    <definedName name="___SH8" localSheetId="83">'[1]Executive Summary -Thermal'!$A$4:$H$133</definedName>
    <definedName name="___SH8">'[18]Executive Summary -Thermal'!$A$4:$H$133</definedName>
    <definedName name="___SH9" localSheetId="83">'[1]Executive Summary -Thermal'!$A$4:$H$194</definedName>
    <definedName name="___SH9">'[18]Executive Summary -Thermal'!$A$4:$H$194</definedName>
    <definedName name="__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WRN1" localSheetId="0" hidden="1">{#N/A,#N/A,FALSE,"COVER1.XLS ";#N/A,#N/A,FALSE,"RACT1.XLS";#N/A,#N/A,FALSE,"RACT2.XLS";#N/A,#N/A,FALSE,"ECCMP";#N/A,#N/A,FALSE,"WELDER.XLS"}</definedName>
    <definedName name="___WRN1" hidden="1">{#N/A,#N/A,FALSE,"COVER1.XLS ";#N/A,#N/A,FALSE,"RACT1.XLS";#N/A,#N/A,FALSE,"RACT2.XLS";#N/A,#N/A,FALSE,"ECCMP";#N/A,#N/A,FALSE,"WELDER.XLS"}</definedName>
    <definedName name="___WRN2" localSheetId="0" hidden="1">{#N/A,#N/A,FALSE,"COVER1.XLS ";#N/A,#N/A,FALSE,"RACT1.XLS";#N/A,#N/A,FALSE,"RACT2.XLS";#N/A,#N/A,FALSE,"ECCMP";#N/A,#N/A,FALSE,"WELDER.XLS"}</definedName>
    <definedName name="___WRN2" hidden="1">{#N/A,#N/A,FALSE,"COVER1.XLS ";#N/A,#N/A,FALSE,"RACT1.XLS";#N/A,#N/A,FALSE,"RACT2.XLS";#N/A,#N/A,FALSE,"ECCMP";#N/A,#N/A,FALSE,"WELDER.XLS"}</definedName>
    <definedName name="___WRN3" localSheetId="0"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123Graph_A" localSheetId="43" hidden="1">[24]CE!#REF!</definedName>
    <definedName name="__123Graph_A" localSheetId="44" hidden="1">[24]CE!#REF!</definedName>
    <definedName name="__123Graph_A" localSheetId="36" hidden="1">[24]CE!#REF!</definedName>
    <definedName name="__123Graph_A" localSheetId="25" hidden="1">[25]CE!#REF!</definedName>
    <definedName name="__123Graph_A" localSheetId="26" hidden="1">[25]CE!#REF!</definedName>
    <definedName name="__123Graph_A" localSheetId="27" hidden="1">[25]CE!#REF!</definedName>
    <definedName name="__123Graph_A" localSheetId="29" hidden="1">[25]CE!#REF!</definedName>
    <definedName name="__123Graph_A" localSheetId="30" hidden="1">[25]CE!#REF!</definedName>
    <definedName name="__123Graph_A" localSheetId="31" hidden="1">[24]CE!#REF!</definedName>
    <definedName name="__123Graph_A" localSheetId="28" hidden="1">[24]CE!#REF!</definedName>
    <definedName name="__123Graph_A" localSheetId="32" hidden="1">[24]CE!#REF!</definedName>
    <definedName name="__123Graph_A" localSheetId="33" hidden="1">[24]CE!#REF!</definedName>
    <definedName name="__123Graph_A" localSheetId="35" hidden="1">[24]CE!#REF!</definedName>
    <definedName name="__123Graph_A" localSheetId="64" hidden="1">[24]CE!#REF!</definedName>
    <definedName name="__123Graph_A" localSheetId="72" hidden="1">[24]CE!#REF!</definedName>
    <definedName name="__123Graph_A" localSheetId="83" hidden="1">[1]CE!#REF!</definedName>
    <definedName name="__123Graph_A" localSheetId="93" hidden="1">[24]CE!#REF!</definedName>
    <definedName name="__123Graph_A" hidden="1">[24]CE!#REF!</definedName>
    <definedName name="__123Graph_ASTNPLF" localSheetId="43" hidden="1">[24]CE!#REF!</definedName>
    <definedName name="__123Graph_ASTNPLF" localSheetId="44" hidden="1">[24]CE!#REF!</definedName>
    <definedName name="__123Graph_ASTNPLF" localSheetId="36" hidden="1">[24]CE!#REF!</definedName>
    <definedName name="__123Graph_ASTNPLF" localSheetId="25" hidden="1">[25]CE!#REF!</definedName>
    <definedName name="__123Graph_ASTNPLF" localSheetId="26" hidden="1">[25]CE!#REF!</definedName>
    <definedName name="__123Graph_ASTNPLF" localSheetId="27" hidden="1">[25]CE!#REF!</definedName>
    <definedName name="__123Graph_ASTNPLF" localSheetId="29" hidden="1">[25]CE!#REF!</definedName>
    <definedName name="__123Graph_ASTNPLF" localSheetId="30" hidden="1">[25]CE!#REF!</definedName>
    <definedName name="__123Graph_ASTNPLF" localSheetId="31" hidden="1">[24]CE!#REF!</definedName>
    <definedName name="__123Graph_ASTNPLF" localSheetId="28" hidden="1">[24]CE!#REF!</definedName>
    <definedName name="__123Graph_ASTNPLF" localSheetId="32" hidden="1">[24]CE!#REF!</definedName>
    <definedName name="__123Graph_ASTNPLF" localSheetId="33" hidden="1">[24]CE!#REF!</definedName>
    <definedName name="__123Graph_ASTNPLF" localSheetId="35" hidden="1">[24]CE!#REF!</definedName>
    <definedName name="__123Graph_ASTNPLF" localSheetId="72" hidden="1">[24]CE!#REF!</definedName>
    <definedName name="__123Graph_ASTNPLF" localSheetId="83" hidden="1">[1]CE!#REF!</definedName>
    <definedName name="__123Graph_ASTNPLF" hidden="1">[24]CE!#REF!</definedName>
    <definedName name="__123Graph_B" localSheetId="43" hidden="1">[24]CE!#REF!</definedName>
    <definedName name="__123Graph_B" localSheetId="44" hidden="1">[24]CE!#REF!</definedName>
    <definedName name="__123Graph_B" localSheetId="36" hidden="1">[24]CE!#REF!</definedName>
    <definedName name="__123Graph_B" localSheetId="25" hidden="1">[25]CE!#REF!</definedName>
    <definedName name="__123Graph_B" localSheetId="26" hidden="1">[25]CE!#REF!</definedName>
    <definedName name="__123Graph_B" localSheetId="27" hidden="1">[25]CE!#REF!</definedName>
    <definedName name="__123Graph_B" localSheetId="29" hidden="1">[25]CE!#REF!</definedName>
    <definedName name="__123Graph_B" localSheetId="30" hidden="1">[25]CE!#REF!</definedName>
    <definedName name="__123Graph_B" localSheetId="31" hidden="1">[24]CE!#REF!</definedName>
    <definedName name="__123Graph_B" localSheetId="28" hidden="1">[24]CE!#REF!</definedName>
    <definedName name="__123Graph_B" localSheetId="32" hidden="1">[24]CE!#REF!</definedName>
    <definedName name="__123Graph_B" localSheetId="33" hidden="1">[24]CE!#REF!</definedName>
    <definedName name="__123Graph_B" localSheetId="35" hidden="1">[24]CE!#REF!</definedName>
    <definedName name="__123Graph_B" localSheetId="83" hidden="1">[1]CE!#REF!</definedName>
    <definedName name="__123Graph_B" hidden="1">[24]CE!#REF!</definedName>
    <definedName name="__123Graph_BCURRENT" localSheetId="43" hidden="1">'[26]BREAKUP OF OIL'!#REF!</definedName>
    <definedName name="__123Graph_BCURRENT" localSheetId="44" hidden="1">'[26]BREAKUP OF OIL'!#REF!</definedName>
    <definedName name="__123Graph_BCURRENT" localSheetId="36" hidden="1">'[26]BREAKUP OF OIL'!#REF!</definedName>
    <definedName name="__123Graph_BCURRENT" localSheetId="25" hidden="1">'[26]BREAKUP OF OIL'!#REF!</definedName>
    <definedName name="__123Graph_BCURRENT" localSheetId="26" hidden="1">'[26]BREAKUP OF OIL'!#REF!</definedName>
    <definedName name="__123Graph_BCURRENT" localSheetId="30" hidden="1">'[26]BREAKUP OF OIL'!#REF!</definedName>
    <definedName name="__123Graph_BCURRENT" localSheetId="28" hidden="1">'[26]BREAKUP OF OIL'!#REF!</definedName>
    <definedName name="__123Graph_BCURRENT" localSheetId="32" hidden="1">'[26]BREAKUP OF OIL'!#REF!</definedName>
    <definedName name="__123Graph_BCURRENT" localSheetId="33" hidden="1">'[26]BREAKUP OF OIL'!#REF!</definedName>
    <definedName name="__123Graph_BCURRENT" localSheetId="83" hidden="1">'[1]BREAKUP OF OIL'!#REF!</definedName>
    <definedName name="__123Graph_BCURRENT" hidden="1">'[26]BREAKUP OF OIL'!#REF!</definedName>
    <definedName name="__123Graph_BSTNPLF" localSheetId="43" hidden="1">[24]CE!#REF!</definedName>
    <definedName name="__123Graph_BSTNPLF" localSheetId="44" hidden="1">[24]CE!#REF!</definedName>
    <definedName name="__123Graph_BSTNPLF" localSheetId="36" hidden="1">[24]CE!#REF!</definedName>
    <definedName name="__123Graph_BSTNPLF" localSheetId="25" hidden="1">[25]CE!#REF!</definedName>
    <definedName name="__123Graph_BSTNPLF" localSheetId="26" hidden="1">[25]CE!#REF!</definedName>
    <definedName name="__123Graph_BSTNPLF" localSheetId="27" hidden="1">[25]CE!#REF!</definedName>
    <definedName name="__123Graph_BSTNPLF" localSheetId="29" hidden="1">[25]CE!#REF!</definedName>
    <definedName name="__123Graph_BSTNPLF" localSheetId="30" hidden="1">[25]CE!#REF!</definedName>
    <definedName name="__123Graph_BSTNPLF" localSheetId="31" hidden="1">[24]CE!#REF!</definedName>
    <definedName name="__123Graph_BSTNPLF" localSheetId="28" hidden="1">[24]CE!#REF!</definedName>
    <definedName name="__123Graph_BSTNPLF" localSheetId="32" hidden="1">[24]CE!#REF!</definedName>
    <definedName name="__123Graph_BSTNPLF" localSheetId="33" hidden="1">[24]CE!#REF!</definedName>
    <definedName name="__123Graph_BSTNPLF" localSheetId="35" hidden="1">[24]CE!#REF!</definedName>
    <definedName name="__123Graph_BSTNPLF" localSheetId="83" hidden="1">[1]CE!#REF!</definedName>
    <definedName name="__123Graph_BSTNPLF" hidden="1">[24]CE!#REF!</definedName>
    <definedName name="__123Graph_C" localSheetId="43" hidden="1">[24]CE!#REF!</definedName>
    <definedName name="__123Graph_C" localSheetId="44" hidden="1">[24]CE!#REF!</definedName>
    <definedName name="__123Graph_C" localSheetId="36" hidden="1">[24]CE!#REF!</definedName>
    <definedName name="__123Graph_C" localSheetId="25" hidden="1">[25]CE!#REF!</definedName>
    <definedName name="__123Graph_C" localSheetId="26" hidden="1">[25]CE!#REF!</definedName>
    <definedName name="__123Graph_C" localSheetId="27" hidden="1">[25]CE!#REF!</definedName>
    <definedName name="__123Graph_C" localSheetId="29" hidden="1">[25]CE!#REF!</definedName>
    <definedName name="__123Graph_C" localSheetId="30" hidden="1">[25]CE!#REF!</definedName>
    <definedName name="__123Graph_C" localSheetId="31" hidden="1">[24]CE!#REF!</definedName>
    <definedName name="__123Graph_C" localSheetId="28" hidden="1">[24]CE!#REF!</definedName>
    <definedName name="__123Graph_C" localSheetId="32" hidden="1">[24]CE!#REF!</definedName>
    <definedName name="__123Graph_C" localSheetId="33" hidden="1">[24]CE!#REF!</definedName>
    <definedName name="__123Graph_C" localSheetId="35" hidden="1">[24]CE!#REF!</definedName>
    <definedName name="__123Graph_C" localSheetId="83" hidden="1">[1]CE!#REF!</definedName>
    <definedName name="__123Graph_C" hidden="1">[24]CE!#REF!</definedName>
    <definedName name="__123Graph_CSTNPLF" localSheetId="43" hidden="1">[24]CE!#REF!</definedName>
    <definedName name="__123Graph_CSTNPLF" localSheetId="44" hidden="1">[24]CE!#REF!</definedName>
    <definedName name="__123Graph_CSTNPLF" localSheetId="36" hidden="1">[24]CE!#REF!</definedName>
    <definedName name="__123Graph_CSTNPLF" localSheetId="25" hidden="1">[25]CE!#REF!</definedName>
    <definedName name="__123Graph_CSTNPLF" localSheetId="26" hidden="1">[25]CE!#REF!</definedName>
    <definedName name="__123Graph_CSTNPLF" localSheetId="27" hidden="1">[25]CE!#REF!</definedName>
    <definedName name="__123Graph_CSTNPLF" localSheetId="29" hidden="1">[25]CE!#REF!</definedName>
    <definedName name="__123Graph_CSTNPLF" localSheetId="30" hidden="1">[25]CE!#REF!</definedName>
    <definedName name="__123Graph_CSTNPLF" localSheetId="31" hidden="1">[24]CE!#REF!</definedName>
    <definedName name="__123Graph_CSTNPLF" localSheetId="28" hidden="1">[24]CE!#REF!</definedName>
    <definedName name="__123Graph_CSTNPLF" localSheetId="32" hidden="1">[24]CE!#REF!</definedName>
    <definedName name="__123Graph_CSTNPLF" localSheetId="33" hidden="1">[24]CE!#REF!</definedName>
    <definedName name="__123Graph_CSTNPLF" localSheetId="35" hidden="1">[24]CE!#REF!</definedName>
    <definedName name="__123Graph_CSTNPLF" localSheetId="83" hidden="1">[1]CE!#REF!</definedName>
    <definedName name="__123Graph_CSTNPLF" hidden="1">[24]CE!#REF!</definedName>
    <definedName name="__123Graph_D" localSheetId="43" hidden="1">#REF!</definedName>
    <definedName name="__123Graph_D" localSheetId="44" hidden="1">#REF!</definedName>
    <definedName name="__123Graph_D" localSheetId="36" hidden="1">#REF!</definedName>
    <definedName name="__123Graph_D" localSheetId="25" hidden="1">#REF!</definedName>
    <definedName name="__123Graph_D" localSheetId="26" hidden="1">#REF!</definedName>
    <definedName name="__123Graph_D" localSheetId="30" hidden="1">#REF!</definedName>
    <definedName name="__123Graph_D" localSheetId="28" hidden="1">#REF!</definedName>
    <definedName name="__123Graph_D" localSheetId="32" hidden="1">#REF!</definedName>
    <definedName name="__123Graph_D" localSheetId="33" hidden="1">#REF!</definedName>
    <definedName name="__123Graph_D" localSheetId="83" hidden="1">#REF!</definedName>
    <definedName name="__123Graph_D" hidden="1">#REF!</definedName>
    <definedName name="__123Graph_DCURRENT" localSheetId="43" hidden="1">'[26]BREAKUP OF OIL'!#REF!</definedName>
    <definedName name="__123Graph_DCURRENT" localSheetId="44" hidden="1">'[26]BREAKUP OF OIL'!#REF!</definedName>
    <definedName name="__123Graph_DCURRENT" localSheetId="36" hidden="1">'[26]BREAKUP OF OIL'!#REF!</definedName>
    <definedName name="__123Graph_DCURRENT" localSheetId="25" hidden="1">'[26]BREAKUP OF OIL'!#REF!</definedName>
    <definedName name="__123Graph_DCURRENT" localSheetId="26" hidden="1">'[26]BREAKUP OF OIL'!#REF!</definedName>
    <definedName name="__123Graph_DCURRENT" localSheetId="30" hidden="1">'[26]BREAKUP OF OIL'!#REF!</definedName>
    <definedName name="__123Graph_DCURRENT" localSheetId="28" hidden="1">'[26]BREAKUP OF OIL'!#REF!</definedName>
    <definedName name="__123Graph_DCURRENT" localSheetId="32" hidden="1">'[26]BREAKUP OF OIL'!#REF!</definedName>
    <definedName name="__123Graph_DCURRENT" localSheetId="33" hidden="1">'[26]BREAKUP OF OIL'!#REF!</definedName>
    <definedName name="__123Graph_DCURRENT" localSheetId="83" hidden="1">'[1]BREAKUP OF OIL'!#REF!</definedName>
    <definedName name="__123Graph_DCURRENT" hidden="1">'[26]BREAKUP OF OIL'!#REF!</definedName>
    <definedName name="__123Graph_E" localSheetId="43" hidden="1">#REF!</definedName>
    <definedName name="__123Graph_E" localSheetId="44" hidden="1">#REF!</definedName>
    <definedName name="__123Graph_E" localSheetId="36" hidden="1">#REF!</definedName>
    <definedName name="__123Graph_E" localSheetId="25" hidden="1">#REF!</definedName>
    <definedName name="__123Graph_E" localSheetId="26" hidden="1">#REF!</definedName>
    <definedName name="__123Graph_E" localSheetId="30" hidden="1">#REF!</definedName>
    <definedName name="__123Graph_E" localSheetId="28" hidden="1">#REF!</definedName>
    <definedName name="__123Graph_E" localSheetId="32" hidden="1">#REF!</definedName>
    <definedName name="__123Graph_E" localSheetId="33" hidden="1">#REF!</definedName>
    <definedName name="__123Graph_E" localSheetId="83" hidden="1">#REF!</definedName>
    <definedName name="__123Graph_E" hidden="1">#REF!</definedName>
    <definedName name="__123Graph_F" localSheetId="43" hidden="1">#REF!</definedName>
    <definedName name="__123Graph_F" localSheetId="44" hidden="1">#REF!</definedName>
    <definedName name="__123Graph_F" localSheetId="36" hidden="1">#REF!</definedName>
    <definedName name="__123Graph_F" localSheetId="25" hidden="1">#REF!</definedName>
    <definedName name="__123Graph_F" localSheetId="26" hidden="1">#REF!</definedName>
    <definedName name="__123Graph_F" localSheetId="30" hidden="1">#REF!</definedName>
    <definedName name="__123Graph_F" localSheetId="28" hidden="1">#REF!</definedName>
    <definedName name="__123Graph_F" localSheetId="32" hidden="1">#REF!</definedName>
    <definedName name="__123Graph_F" localSheetId="33" hidden="1">#REF!</definedName>
    <definedName name="__123Graph_F" localSheetId="83" hidden="1">#REF!</definedName>
    <definedName name="__123Graph_F" hidden="1">#REF!</definedName>
    <definedName name="__123Graph_X" localSheetId="43" hidden="1">[24]CE!#REF!</definedName>
    <definedName name="__123Graph_X" localSheetId="44" hidden="1">[24]CE!#REF!</definedName>
    <definedName name="__123Graph_X" localSheetId="36" hidden="1">[24]CE!#REF!</definedName>
    <definedName name="__123Graph_X" localSheetId="25" hidden="1">[25]CE!#REF!</definedName>
    <definedName name="__123Graph_X" localSheetId="26" hidden="1">[25]CE!#REF!</definedName>
    <definedName name="__123Graph_X" localSheetId="27" hidden="1">[25]CE!#REF!</definedName>
    <definedName name="__123Graph_X" localSheetId="29" hidden="1">[25]CE!#REF!</definedName>
    <definedName name="__123Graph_X" localSheetId="30" hidden="1">[25]CE!#REF!</definedName>
    <definedName name="__123Graph_X" localSheetId="31" hidden="1">[24]CE!#REF!</definedName>
    <definedName name="__123Graph_X" localSheetId="28" hidden="1">[24]CE!#REF!</definedName>
    <definedName name="__123Graph_X" localSheetId="32" hidden="1">[24]CE!#REF!</definedName>
    <definedName name="__123Graph_X" localSheetId="33" hidden="1">[24]CE!#REF!</definedName>
    <definedName name="__123Graph_X" localSheetId="35" hidden="1">[24]CE!#REF!</definedName>
    <definedName name="__123Graph_X" localSheetId="83" hidden="1">[1]CE!#REF!</definedName>
    <definedName name="__123Graph_X" hidden="1">[24]CE!#REF!</definedName>
    <definedName name="__123Graph_XCURRENT" localSheetId="43" hidden="1">'[26]BREAKUP OF OIL'!#REF!</definedName>
    <definedName name="__123Graph_XCURRENT" localSheetId="44" hidden="1">'[26]BREAKUP OF OIL'!#REF!</definedName>
    <definedName name="__123Graph_XCURRENT" localSheetId="36" hidden="1">'[26]BREAKUP OF OIL'!#REF!</definedName>
    <definedName name="__123Graph_XCURRENT" localSheetId="25" hidden="1">'[26]BREAKUP OF OIL'!#REF!</definedName>
    <definedName name="__123Graph_XCURRENT" localSheetId="26" hidden="1">'[26]BREAKUP OF OIL'!#REF!</definedName>
    <definedName name="__123Graph_XCURRENT" localSheetId="30" hidden="1">'[26]BREAKUP OF OIL'!#REF!</definedName>
    <definedName name="__123Graph_XCURRENT" localSheetId="28" hidden="1">'[26]BREAKUP OF OIL'!#REF!</definedName>
    <definedName name="__123Graph_XCURRENT" localSheetId="32" hidden="1">'[26]BREAKUP OF OIL'!#REF!</definedName>
    <definedName name="__123Graph_XCURRENT" localSheetId="33" hidden="1">'[26]BREAKUP OF OIL'!#REF!</definedName>
    <definedName name="__123Graph_XCURRENT" localSheetId="83" hidden="1">'[1]BREAKUP OF OIL'!#REF!</definedName>
    <definedName name="__123Graph_XCURRENT" hidden="1">'[26]BREAKUP OF OIL'!#REF!</definedName>
    <definedName name="__123Graph_XSTNPLF" localSheetId="43" hidden="1">[24]CE!#REF!</definedName>
    <definedName name="__123Graph_XSTNPLF" localSheetId="44" hidden="1">[24]CE!#REF!</definedName>
    <definedName name="__123Graph_XSTNPLF" localSheetId="36" hidden="1">[24]CE!#REF!</definedName>
    <definedName name="__123Graph_XSTNPLF" localSheetId="25" hidden="1">[25]CE!#REF!</definedName>
    <definedName name="__123Graph_XSTNPLF" localSheetId="26" hidden="1">[25]CE!#REF!</definedName>
    <definedName name="__123Graph_XSTNPLF" localSheetId="27" hidden="1">[25]CE!#REF!</definedName>
    <definedName name="__123Graph_XSTNPLF" localSheetId="29" hidden="1">[25]CE!#REF!</definedName>
    <definedName name="__123Graph_XSTNPLF" localSheetId="30" hidden="1">[25]CE!#REF!</definedName>
    <definedName name="__123Graph_XSTNPLF" localSheetId="31" hidden="1">[24]CE!#REF!</definedName>
    <definedName name="__123Graph_XSTNPLF" localSheetId="28" hidden="1">[24]CE!#REF!</definedName>
    <definedName name="__123Graph_XSTNPLF" localSheetId="32" hidden="1">[24]CE!#REF!</definedName>
    <definedName name="__123Graph_XSTNPLF" localSheetId="33" hidden="1">[24]CE!#REF!</definedName>
    <definedName name="__123Graph_XSTNPLF" localSheetId="35" hidden="1">[24]CE!#REF!</definedName>
    <definedName name="__123Graph_XSTNPLF" localSheetId="83" hidden="1">[1]CE!#REF!</definedName>
    <definedName name="__123Graph_XSTNPLF" hidden="1">[24]CE!#REF!</definedName>
    <definedName name="__a65565" localSheetId="43">#REF!</definedName>
    <definedName name="__a65565" localSheetId="44">#REF!</definedName>
    <definedName name="__a65565">#REF!</definedName>
    <definedName name="__Apr02" localSheetId="43">[10]Newabstract!#REF!</definedName>
    <definedName name="__Apr02" localSheetId="44">[10]Newabstract!#REF!</definedName>
    <definedName name="__Apr02" localSheetId="36">[10]Newabstract!#REF!</definedName>
    <definedName name="__Apr02" localSheetId="28">[10]Newabstract!#REF!</definedName>
    <definedName name="__Apr02" localSheetId="83">[1]Newabstract!#REF!</definedName>
    <definedName name="__Apr02">[10]Newabstract!#REF!</definedName>
    <definedName name="__Apr03" localSheetId="43">[10]Newabstract!#REF!</definedName>
    <definedName name="__Apr03" localSheetId="44">[10]Newabstract!#REF!</definedName>
    <definedName name="__Apr03" localSheetId="36">[10]Newabstract!#REF!</definedName>
    <definedName name="__Apr03" localSheetId="28">[10]Newabstract!#REF!</definedName>
    <definedName name="__Apr03" localSheetId="83">[1]Newabstract!#REF!</definedName>
    <definedName name="__Apr03">[10]Newabstract!#REF!</definedName>
    <definedName name="__Apr04" localSheetId="43">[10]Newabstract!#REF!</definedName>
    <definedName name="__Apr04" localSheetId="44">[10]Newabstract!#REF!</definedName>
    <definedName name="__Apr04" localSheetId="36">[10]Newabstract!#REF!</definedName>
    <definedName name="__Apr04" localSheetId="28">[10]Newabstract!#REF!</definedName>
    <definedName name="__Apr04" localSheetId="83">[1]Newabstract!#REF!</definedName>
    <definedName name="__Apr04">[10]Newabstract!#REF!</definedName>
    <definedName name="__Apr05" localSheetId="43">[10]Newabstract!#REF!</definedName>
    <definedName name="__Apr05" localSheetId="44">[10]Newabstract!#REF!</definedName>
    <definedName name="__Apr05" localSheetId="36">[10]Newabstract!#REF!</definedName>
    <definedName name="__Apr05" localSheetId="28">[10]Newabstract!#REF!</definedName>
    <definedName name="__Apr05" localSheetId="83">[1]Newabstract!#REF!</definedName>
    <definedName name="__Apr05">[10]Newabstract!#REF!</definedName>
    <definedName name="__Apr06" localSheetId="43">[10]Newabstract!#REF!</definedName>
    <definedName name="__Apr06" localSheetId="44">[10]Newabstract!#REF!</definedName>
    <definedName name="__Apr06" localSheetId="36">[10]Newabstract!#REF!</definedName>
    <definedName name="__Apr06" localSheetId="28">[10]Newabstract!#REF!</definedName>
    <definedName name="__Apr06" localSheetId="83">[1]Newabstract!#REF!</definedName>
    <definedName name="__Apr06">[10]Newabstract!#REF!</definedName>
    <definedName name="__Apr07" localSheetId="43">[10]Newabstract!#REF!</definedName>
    <definedName name="__Apr07" localSheetId="44">[10]Newabstract!#REF!</definedName>
    <definedName name="__Apr07" localSheetId="36">[10]Newabstract!#REF!</definedName>
    <definedName name="__Apr07" localSheetId="28">[10]Newabstract!#REF!</definedName>
    <definedName name="__Apr07" localSheetId="83">[1]Newabstract!#REF!</definedName>
    <definedName name="__Apr07">[10]Newabstract!#REF!</definedName>
    <definedName name="__Apr08" localSheetId="43">[10]Newabstract!#REF!</definedName>
    <definedName name="__Apr08" localSheetId="44">[10]Newabstract!#REF!</definedName>
    <definedName name="__Apr08" localSheetId="36">[10]Newabstract!#REF!</definedName>
    <definedName name="__Apr08" localSheetId="28">[10]Newabstract!#REF!</definedName>
    <definedName name="__Apr08" localSheetId="83">[1]Newabstract!#REF!</definedName>
    <definedName name="__Apr08">[10]Newabstract!#REF!</definedName>
    <definedName name="__Apr09" localSheetId="43">[10]Newabstract!#REF!</definedName>
    <definedName name="__Apr09" localSheetId="44">[10]Newabstract!#REF!</definedName>
    <definedName name="__Apr09" localSheetId="36">[10]Newabstract!#REF!</definedName>
    <definedName name="__Apr09" localSheetId="28">[10]Newabstract!#REF!</definedName>
    <definedName name="__Apr09" localSheetId="83">[1]Newabstract!#REF!</definedName>
    <definedName name="__Apr09">[10]Newabstract!#REF!</definedName>
    <definedName name="__Apr10" localSheetId="43">[10]Newabstract!#REF!</definedName>
    <definedName name="__Apr10" localSheetId="44">[10]Newabstract!#REF!</definedName>
    <definedName name="__Apr10" localSheetId="36">[10]Newabstract!#REF!</definedName>
    <definedName name="__Apr10" localSheetId="28">[10]Newabstract!#REF!</definedName>
    <definedName name="__Apr10" localSheetId="83">[1]Newabstract!#REF!</definedName>
    <definedName name="__Apr10">[10]Newabstract!#REF!</definedName>
    <definedName name="__Apr11" localSheetId="43">[10]Newabstract!#REF!</definedName>
    <definedName name="__Apr11" localSheetId="44">[10]Newabstract!#REF!</definedName>
    <definedName name="__Apr11" localSheetId="36">[10]Newabstract!#REF!</definedName>
    <definedName name="__Apr11" localSheetId="28">[10]Newabstract!#REF!</definedName>
    <definedName name="__Apr11" localSheetId="83">[1]Newabstract!#REF!</definedName>
    <definedName name="__Apr11">[10]Newabstract!#REF!</definedName>
    <definedName name="__Apr13" localSheetId="43">[10]Newabstract!#REF!</definedName>
    <definedName name="__Apr13" localSheetId="44">[10]Newabstract!#REF!</definedName>
    <definedName name="__Apr13" localSheetId="36">[10]Newabstract!#REF!</definedName>
    <definedName name="__Apr13" localSheetId="28">[10]Newabstract!#REF!</definedName>
    <definedName name="__Apr13" localSheetId="83">[1]Newabstract!#REF!</definedName>
    <definedName name="__Apr13">[10]Newabstract!#REF!</definedName>
    <definedName name="__Apr14" localSheetId="43">[10]Newabstract!#REF!</definedName>
    <definedName name="__Apr14" localSheetId="44">[10]Newabstract!#REF!</definedName>
    <definedName name="__Apr14" localSheetId="36">[10]Newabstract!#REF!</definedName>
    <definedName name="__Apr14" localSheetId="28">[10]Newabstract!#REF!</definedName>
    <definedName name="__Apr14" localSheetId="83">[1]Newabstract!#REF!</definedName>
    <definedName name="__Apr14">[10]Newabstract!#REF!</definedName>
    <definedName name="__Apr15" localSheetId="43">[10]Newabstract!#REF!</definedName>
    <definedName name="__Apr15" localSheetId="44">[10]Newabstract!#REF!</definedName>
    <definedName name="__Apr15" localSheetId="36">[10]Newabstract!#REF!</definedName>
    <definedName name="__Apr15" localSheetId="28">[10]Newabstract!#REF!</definedName>
    <definedName name="__Apr15" localSheetId="83">[1]Newabstract!#REF!</definedName>
    <definedName name="__Apr15">[10]Newabstract!#REF!</definedName>
    <definedName name="__Apr16" localSheetId="43">[10]Newabstract!#REF!</definedName>
    <definedName name="__Apr16" localSheetId="44">[10]Newabstract!#REF!</definedName>
    <definedName name="__Apr16" localSheetId="36">[10]Newabstract!#REF!</definedName>
    <definedName name="__Apr16" localSheetId="28">[10]Newabstract!#REF!</definedName>
    <definedName name="__Apr16" localSheetId="83">[1]Newabstract!#REF!</definedName>
    <definedName name="__Apr16">[10]Newabstract!#REF!</definedName>
    <definedName name="__Apr17" localSheetId="43">[10]Newabstract!#REF!</definedName>
    <definedName name="__Apr17" localSheetId="44">[10]Newabstract!#REF!</definedName>
    <definedName name="__Apr17" localSheetId="36">[10]Newabstract!#REF!</definedName>
    <definedName name="__Apr17" localSheetId="28">[10]Newabstract!#REF!</definedName>
    <definedName name="__Apr17" localSheetId="83">[1]Newabstract!#REF!</definedName>
    <definedName name="__Apr17">[10]Newabstract!#REF!</definedName>
    <definedName name="__Apr20" localSheetId="43">[10]Newabstract!#REF!</definedName>
    <definedName name="__Apr20" localSheetId="44">[10]Newabstract!#REF!</definedName>
    <definedName name="__Apr20" localSheetId="36">[10]Newabstract!#REF!</definedName>
    <definedName name="__Apr20" localSheetId="28">[10]Newabstract!#REF!</definedName>
    <definedName name="__Apr20" localSheetId="83">[1]Newabstract!#REF!</definedName>
    <definedName name="__Apr20">[10]Newabstract!#REF!</definedName>
    <definedName name="__Apr21" localSheetId="43">[10]Newabstract!#REF!</definedName>
    <definedName name="__Apr21" localSheetId="44">[10]Newabstract!#REF!</definedName>
    <definedName name="__Apr21" localSheetId="36">[10]Newabstract!#REF!</definedName>
    <definedName name="__Apr21" localSheetId="28">[10]Newabstract!#REF!</definedName>
    <definedName name="__Apr21" localSheetId="83">[1]Newabstract!#REF!</definedName>
    <definedName name="__Apr21">[10]Newabstract!#REF!</definedName>
    <definedName name="__Apr22" localSheetId="43">[10]Newabstract!#REF!</definedName>
    <definedName name="__Apr22" localSheetId="44">[10]Newabstract!#REF!</definedName>
    <definedName name="__Apr22" localSheetId="36">[10]Newabstract!#REF!</definedName>
    <definedName name="__Apr22" localSheetId="28">[10]Newabstract!#REF!</definedName>
    <definedName name="__Apr22" localSheetId="83">[1]Newabstract!#REF!</definedName>
    <definedName name="__Apr22">[10]Newabstract!#REF!</definedName>
    <definedName name="__Apr23" localSheetId="43">[10]Newabstract!#REF!</definedName>
    <definedName name="__Apr23" localSheetId="44">[10]Newabstract!#REF!</definedName>
    <definedName name="__Apr23" localSheetId="36">[10]Newabstract!#REF!</definedName>
    <definedName name="__Apr23" localSheetId="28">[10]Newabstract!#REF!</definedName>
    <definedName name="__Apr23" localSheetId="83">[1]Newabstract!#REF!</definedName>
    <definedName name="__Apr23">[10]Newabstract!#REF!</definedName>
    <definedName name="__Apr24" localSheetId="43">[10]Newabstract!#REF!</definedName>
    <definedName name="__Apr24" localSheetId="44">[10]Newabstract!#REF!</definedName>
    <definedName name="__Apr24" localSheetId="36">[10]Newabstract!#REF!</definedName>
    <definedName name="__Apr24" localSheetId="28">[10]Newabstract!#REF!</definedName>
    <definedName name="__Apr24" localSheetId="83">[1]Newabstract!#REF!</definedName>
    <definedName name="__Apr24">[10]Newabstract!#REF!</definedName>
    <definedName name="__Apr27" localSheetId="43">[10]Newabstract!#REF!</definedName>
    <definedName name="__Apr27" localSheetId="44">[10]Newabstract!#REF!</definedName>
    <definedName name="__Apr27" localSheetId="36">[10]Newabstract!#REF!</definedName>
    <definedName name="__Apr27" localSheetId="28">[10]Newabstract!#REF!</definedName>
    <definedName name="__Apr27" localSheetId="83">[1]Newabstract!#REF!</definedName>
    <definedName name="__Apr27">[10]Newabstract!#REF!</definedName>
    <definedName name="__Apr28" localSheetId="43">[10]Newabstract!#REF!</definedName>
    <definedName name="__Apr28" localSheetId="44">[10]Newabstract!#REF!</definedName>
    <definedName name="__Apr28" localSheetId="36">[10]Newabstract!#REF!</definedName>
    <definedName name="__Apr28" localSheetId="28">[10]Newabstract!#REF!</definedName>
    <definedName name="__Apr28" localSheetId="83">[1]Newabstract!#REF!</definedName>
    <definedName name="__Apr28">[10]Newabstract!#REF!</definedName>
    <definedName name="__Apr29" localSheetId="43">[10]Newabstract!#REF!</definedName>
    <definedName name="__Apr29" localSheetId="44">[10]Newabstract!#REF!</definedName>
    <definedName name="__Apr29" localSheetId="36">[10]Newabstract!#REF!</definedName>
    <definedName name="__Apr29" localSheetId="28">[10]Newabstract!#REF!</definedName>
    <definedName name="__Apr29" localSheetId="83">[1]Newabstract!#REF!</definedName>
    <definedName name="__Apr29">[10]Newabstract!#REF!</definedName>
    <definedName name="__Apr30" localSheetId="43">[10]Newabstract!#REF!</definedName>
    <definedName name="__Apr30" localSheetId="44">[10]Newabstract!#REF!</definedName>
    <definedName name="__Apr30" localSheetId="36">[10]Newabstract!#REF!</definedName>
    <definedName name="__Apr30" localSheetId="28">[10]Newabstract!#REF!</definedName>
    <definedName name="__Apr30" localSheetId="83">[1]Newabstract!#REF!</definedName>
    <definedName name="__Apr30">[10]Newabstract!#REF!</definedName>
    <definedName name="_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b65555" localSheetId="43">#REF!</definedName>
    <definedName name="__b65555" localSheetId="44">#REF!</definedName>
    <definedName name="__b65555">#REF!</definedName>
    <definedName name="__BS1">[12]BSPL!$A$2:$E$56</definedName>
    <definedName name="__BSD1" localSheetId="43">#REF!</definedName>
    <definedName name="__BSD1" localSheetId="44">#REF!</definedName>
    <definedName name="__BSD1" localSheetId="36">#REF!</definedName>
    <definedName name="__BSD1" localSheetId="37">#REF!</definedName>
    <definedName name="__BSD1" localSheetId="28">#REF!</definedName>
    <definedName name="__BSD1" localSheetId="56">#REF!</definedName>
    <definedName name="__BSD1" localSheetId="83">#REF!</definedName>
    <definedName name="__BSD1" localSheetId="94">#REF!</definedName>
    <definedName name="__BSD1">#REF!</definedName>
    <definedName name="__BSD2" localSheetId="43">#REF!</definedName>
    <definedName name="__BSD2" localSheetId="44">#REF!</definedName>
    <definedName name="__BSD2" localSheetId="36">#REF!</definedName>
    <definedName name="__BSD2" localSheetId="37">#REF!</definedName>
    <definedName name="__BSD2" localSheetId="28">#REF!</definedName>
    <definedName name="__BSD2" localSheetId="83">#REF!</definedName>
    <definedName name="__BSD2">#REF!</definedName>
    <definedName name="__CZ1" localSheetId="83">[1]data!$F$721</definedName>
    <definedName name="__CZ1">[22]data!$F$721</definedName>
    <definedName name="__DAT1" localSheetId="43">#REF!</definedName>
    <definedName name="__DAT1" localSheetId="44">#REF!</definedName>
    <definedName name="__DAT1" localSheetId="36">#REF!</definedName>
    <definedName name="__DAT1" localSheetId="28">#REF!</definedName>
    <definedName name="__DAT1" localSheetId="83">#REF!</definedName>
    <definedName name="__DAT1" localSheetId="90">#REF!</definedName>
    <definedName name="__DAT1" localSheetId="91">#REF!</definedName>
    <definedName name="__DAT1">#REF!</definedName>
    <definedName name="__DAT10" localSheetId="43">#REF!</definedName>
    <definedName name="__DAT10" localSheetId="44">#REF!</definedName>
    <definedName name="__DAT10" localSheetId="36">#REF!</definedName>
    <definedName name="__DAT10" localSheetId="28">#REF!</definedName>
    <definedName name="__DAT10" localSheetId="83">#REF!</definedName>
    <definedName name="__DAT10" localSheetId="90">#REF!</definedName>
    <definedName name="__DAT10" localSheetId="91">#REF!</definedName>
    <definedName name="__DAT10">#REF!</definedName>
    <definedName name="__DAT11" localSheetId="43">#REF!</definedName>
    <definedName name="__DAT11" localSheetId="44">#REF!</definedName>
    <definedName name="__DAT11" localSheetId="36">#REF!</definedName>
    <definedName name="__DAT11" localSheetId="28">#REF!</definedName>
    <definedName name="__DAT11" localSheetId="83">#REF!</definedName>
    <definedName name="__DAT11" localSheetId="90">#REF!</definedName>
    <definedName name="__DAT11" localSheetId="91">#REF!</definedName>
    <definedName name="__DAT11">#REF!</definedName>
    <definedName name="__DAT12" localSheetId="43">#REF!</definedName>
    <definedName name="__DAT12" localSheetId="44">#REF!</definedName>
    <definedName name="__DAT12" localSheetId="36">#REF!</definedName>
    <definedName name="__DAT12" localSheetId="28">#REF!</definedName>
    <definedName name="__DAT12" localSheetId="83">#REF!</definedName>
    <definedName name="__DAT12">#REF!</definedName>
    <definedName name="__DAT13" localSheetId="43">#REF!</definedName>
    <definedName name="__DAT13" localSheetId="44">#REF!</definedName>
    <definedName name="__DAT13" localSheetId="36">#REF!</definedName>
    <definedName name="__DAT13" localSheetId="28">#REF!</definedName>
    <definedName name="__DAT13" localSheetId="83">#REF!</definedName>
    <definedName name="__DAT13">#REF!</definedName>
    <definedName name="__DAT14" localSheetId="43">#REF!</definedName>
    <definedName name="__DAT14" localSheetId="44">#REF!</definedName>
    <definedName name="__DAT14" localSheetId="36">#REF!</definedName>
    <definedName name="__DAT14" localSheetId="28">#REF!</definedName>
    <definedName name="__DAT14" localSheetId="83">#REF!</definedName>
    <definedName name="__DAT14">#REF!</definedName>
    <definedName name="__DAT15" localSheetId="43">#REF!</definedName>
    <definedName name="__DAT15" localSheetId="44">#REF!</definedName>
    <definedName name="__DAT15" localSheetId="36">#REF!</definedName>
    <definedName name="__DAT15" localSheetId="28">#REF!</definedName>
    <definedName name="__DAT15" localSheetId="83">#REF!</definedName>
    <definedName name="__DAT15">#REF!</definedName>
    <definedName name="__DAT16" localSheetId="43">#REF!</definedName>
    <definedName name="__DAT16" localSheetId="44">#REF!</definedName>
    <definedName name="__DAT16" localSheetId="36">#REF!</definedName>
    <definedName name="__DAT16" localSheetId="28">#REF!</definedName>
    <definedName name="__DAT16" localSheetId="83">#REF!</definedName>
    <definedName name="__DAT16">#REF!</definedName>
    <definedName name="__DAT17" localSheetId="43">#REF!</definedName>
    <definedName name="__DAT17" localSheetId="44">#REF!</definedName>
    <definedName name="__DAT17" localSheetId="36">#REF!</definedName>
    <definedName name="__DAT17" localSheetId="28">#REF!</definedName>
    <definedName name="__DAT17" localSheetId="83">#REF!</definedName>
    <definedName name="__DAT17">#REF!</definedName>
    <definedName name="__DAT18" localSheetId="43">#REF!</definedName>
    <definedName name="__DAT18" localSheetId="44">#REF!</definedName>
    <definedName name="__DAT18" localSheetId="36">#REF!</definedName>
    <definedName name="__DAT18" localSheetId="28">#REF!</definedName>
    <definedName name="__DAT18" localSheetId="83">#REF!</definedName>
    <definedName name="__DAT18">#REF!</definedName>
    <definedName name="__DAT19" localSheetId="43">#REF!</definedName>
    <definedName name="__DAT19" localSheetId="44">#REF!</definedName>
    <definedName name="__DAT19" localSheetId="36">#REF!</definedName>
    <definedName name="__DAT19" localSheetId="28">#REF!</definedName>
    <definedName name="__DAT19" localSheetId="83">#REF!</definedName>
    <definedName name="__DAT19">#REF!</definedName>
    <definedName name="__DAT2" localSheetId="43">#REF!</definedName>
    <definedName name="__DAT2" localSheetId="44">#REF!</definedName>
    <definedName name="__DAT2" localSheetId="36">#REF!</definedName>
    <definedName name="__DAT2" localSheetId="28">#REF!</definedName>
    <definedName name="__DAT2" localSheetId="83">#REF!</definedName>
    <definedName name="__DAT2">#REF!</definedName>
    <definedName name="__DAT20" localSheetId="43">#REF!</definedName>
    <definedName name="__DAT20" localSheetId="44">#REF!</definedName>
    <definedName name="__DAT20" localSheetId="36">#REF!</definedName>
    <definedName name="__DAT20" localSheetId="28">#REF!</definedName>
    <definedName name="__DAT20" localSheetId="83">#REF!</definedName>
    <definedName name="__DAT20">#REF!</definedName>
    <definedName name="__DAT21" localSheetId="43">#REF!</definedName>
    <definedName name="__DAT21" localSheetId="44">#REF!</definedName>
    <definedName name="__DAT21" localSheetId="36">#REF!</definedName>
    <definedName name="__DAT21" localSheetId="28">#REF!</definedName>
    <definedName name="__DAT21" localSheetId="83">#REF!</definedName>
    <definedName name="__DAT21">#REF!</definedName>
    <definedName name="__DAT22" localSheetId="43">#REF!</definedName>
    <definedName name="__DAT22" localSheetId="44">#REF!</definedName>
    <definedName name="__DAT22" localSheetId="36">#REF!</definedName>
    <definedName name="__DAT22" localSheetId="28">#REF!</definedName>
    <definedName name="__DAT22" localSheetId="83">#REF!</definedName>
    <definedName name="__DAT22">#REF!</definedName>
    <definedName name="__DAT23" localSheetId="43">#REF!</definedName>
    <definedName name="__DAT23" localSheetId="44">#REF!</definedName>
    <definedName name="__DAT23" localSheetId="36">#REF!</definedName>
    <definedName name="__DAT23" localSheetId="28">#REF!</definedName>
    <definedName name="__DAT23" localSheetId="83">#REF!</definedName>
    <definedName name="__DAT23">#REF!</definedName>
    <definedName name="__DAT24" localSheetId="43">#REF!</definedName>
    <definedName name="__DAT24" localSheetId="44">#REF!</definedName>
    <definedName name="__DAT24" localSheetId="36">#REF!</definedName>
    <definedName name="__DAT24" localSheetId="28">#REF!</definedName>
    <definedName name="__DAT24" localSheetId="83">#REF!</definedName>
    <definedName name="__DAT24">#REF!</definedName>
    <definedName name="__DAT25" localSheetId="43">#REF!</definedName>
    <definedName name="__DAT25" localSheetId="44">#REF!</definedName>
    <definedName name="__DAT25" localSheetId="36">#REF!</definedName>
    <definedName name="__DAT25" localSheetId="28">#REF!</definedName>
    <definedName name="__DAT25" localSheetId="83">#REF!</definedName>
    <definedName name="__DAT25">#REF!</definedName>
    <definedName name="__DAT26" localSheetId="43">#REF!</definedName>
    <definedName name="__DAT26" localSheetId="44">#REF!</definedName>
    <definedName name="__DAT26" localSheetId="36">#REF!</definedName>
    <definedName name="__DAT26" localSheetId="28">#REF!</definedName>
    <definedName name="__DAT26" localSheetId="83">#REF!</definedName>
    <definedName name="__DAT26">#REF!</definedName>
    <definedName name="__DAT27" localSheetId="43">#REF!</definedName>
    <definedName name="__DAT27" localSheetId="44">#REF!</definedName>
    <definedName name="__DAT27" localSheetId="36">#REF!</definedName>
    <definedName name="__DAT27" localSheetId="28">#REF!</definedName>
    <definedName name="__DAT27" localSheetId="83">#REF!</definedName>
    <definedName name="__DAT27">#REF!</definedName>
    <definedName name="__DAT28" localSheetId="43">#REF!</definedName>
    <definedName name="__DAT28" localSheetId="44">#REF!</definedName>
    <definedName name="__DAT28" localSheetId="36">#REF!</definedName>
    <definedName name="__DAT28" localSheetId="28">#REF!</definedName>
    <definedName name="__DAT28" localSheetId="83">#REF!</definedName>
    <definedName name="__DAT28">#REF!</definedName>
    <definedName name="__DAT29" localSheetId="43">#REF!</definedName>
    <definedName name="__DAT29" localSheetId="44">#REF!</definedName>
    <definedName name="__DAT29" localSheetId="36">#REF!</definedName>
    <definedName name="__DAT29" localSheetId="28">#REF!</definedName>
    <definedName name="__DAT29" localSheetId="83">#REF!</definedName>
    <definedName name="__DAT29">#REF!</definedName>
    <definedName name="__DAT3" localSheetId="43">#REF!</definedName>
    <definedName name="__DAT3" localSheetId="44">#REF!</definedName>
    <definedName name="__DAT3" localSheetId="36">#REF!</definedName>
    <definedName name="__DAT3" localSheetId="28">#REF!</definedName>
    <definedName name="__DAT3" localSheetId="83">#REF!</definedName>
    <definedName name="__DAT3">#REF!</definedName>
    <definedName name="__DAT30" localSheetId="43">#REF!</definedName>
    <definedName name="__DAT30" localSheetId="44">#REF!</definedName>
    <definedName name="__DAT30" localSheetId="36">#REF!</definedName>
    <definedName name="__DAT30" localSheetId="28">#REF!</definedName>
    <definedName name="__DAT30" localSheetId="83">#REF!</definedName>
    <definedName name="__DAT30">#REF!</definedName>
    <definedName name="__DAT31" localSheetId="43">#REF!</definedName>
    <definedName name="__DAT31" localSheetId="44">#REF!</definedName>
    <definedName name="__DAT31" localSheetId="36">#REF!</definedName>
    <definedName name="__DAT31" localSheetId="28">#REF!</definedName>
    <definedName name="__DAT31" localSheetId="83">#REF!</definedName>
    <definedName name="__DAT31">#REF!</definedName>
    <definedName name="__DAT32" localSheetId="43">#REF!</definedName>
    <definedName name="__DAT32" localSheetId="44">#REF!</definedName>
    <definedName name="__DAT32" localSheetId="36">#REF!</definedName>
    <definedName name="__DAT32" localSheetId="28">#REF!</definedName>
    <definedName name="__DAT32" localSheetId="83">#REF!</definedName>
    <definedName name="__DAT32">#REF!</definedName>
    <definedName name="__DAT33" localSheetId="43">#REF!</definedName>
    <definedName name="__DAT33" localSheetId="44">#REF!</definedName>
    <definedName name="__DAT33" localSheetId="36">#REF!</definedName>
    <definedName name="__DAT33" localSheetId="28">#REF!</definedName>
    <definedName name="__DAT33" localSheetId="83">#REF!</definedName>
    <definedName name="__DAT33">#REF!</definedName>
    <definedName name="__DAT34" localSheetId="43">#REF!</definedName>
    <definedName name="__DAT34" localSheetId="44">#REF!</definedName>
    <definedName name="__DAT34" localSheetId="36">#REF!</definedName>
    <definedName name="__DAT34" localSheetId="28">#REF!</definedName>
    <definedName name="__DAT34" localSheetId="83">#REF!</definedName>
    <definedName name="__DAT34">#REF!</definedName>
    <definedName name="__DAT35" localSheetId="43">#REF!</definedName>
    <definedName name="__DAT35" localSheetId="44">#REF!</definedName>
    <definedName name="__DAT35" localSheetId="36">#REF!</definedName>
    <definedName name="__DAT35" localSheetId="28">#REF!</definedName>
    <definedName name="__DAT35" localSheetId="83">#REF!</definedName>
    <definedName name="__DAT35">#REF!</definedName>
    <definedName name="__DAT36" localSheetId="43">#REF!</definedName>
    <definedName name="__DAT36" localSheetId="44">#REF!</definedName>
    <definedName name="__DAT36" localSheetId="36">#REF!</definedName>
    <definedName name="__DAT36" localSheetId="28">#REF!</definedName>
    <definedName name="__DAT36" localSheetId="83">#REF!</definedName>
    <definedName name="__DAT36">#REF!</definedName>
    <definedName name="__DAT37" localSheetId="43">#REF!</definedName>
    <definedName name="__DAT37" localSheetId="44">#REF!</definedName>
    <definedName name="__DAT37" localSheetId="36">#REF!</definedName>
    <definedName name="__DAT37" localSheetId="28">#REF!</definedName>
    <definedName name="__DAT37" localSheetId="83">#REF!</definedName>
    <definedName name="__DAT37">#REF!</definedName>
    <definedName name="__DAT38" localSheetId="43">#REF!</definedName>
    <definedName name="__DAT38" localSheetId="44">#REF!</definedName>
    <definedName name="__DAT38" localSheetId="36">#REF!</definedName>
    <definedName name="__DAT38" localSheetId="28">#REF!</definedName>
    <definedName name="__DAT38" localSheetId="83">#REF!</definedName>
    <definedName name="__DAT38">#REF!</definedName>
    <definedName name="__DAT39" localSheetId="43">#REF!</definedName>
    <definedName name="__DAT39" localSheetId="44">#REF!</definedName>
    <definedName name="__DAT39" localSheetId="36">#REF!</definedName>
    <definedName name="__DAT39" localSheetId="28">#REF!</definedName>
    <definedName name="__DAT39" localSheetId="83">#REF!</definedName>
    <definedName name="__DAT39">#REF!</definedName>
    <definedName name="__DAT4" localSheetId="43">#REF!</definedName>
    <definedName name="__DAT4" localSheetId="44">#REF!</definedName>
    <definedName name="__DAT4" localSheetId="36">#REF!</definedName>
    <definedName name="__DAT4" localSheetId="28">#REF!</definedName>
    <definedName name="__DAT4" localSheetId="83">#REF!</definedName>
    <definedName name="__DAT4">#REF!</definedName>
    <definedName name="__DAT40" localSheetId="43">#REF!</definedName>
    <definedName name="__DAT40" localSheetId="44">#REF!</definedName>
    <definedName name="__DAT40" localSheetId="36">#REF!</definedName>
    <definedName name="__DAT40" localSheetId="28">#REF!</definedName>
    <definedName name="__DAT40" localSheetId="83">#REF!</definedName>
    <definedName name="__DAT40">#REF!</definedName>
    <definedName name="__DAT41" localSheetId="43">#REF!</definedName>
    <definedName name="__DAT41" localSheetId="44">#REF!</definedName>
    <definedName name="__DAT41" localSheetId="36">#REF!</definedName>
    <definedName name="__DAT41" localSheetId="28">#REF!</definedName>
    <definedName name="__DAT41" localSheetId="83">#REF!</definedName>
    <definedName name="__DAT41">#REF!</definedName>
    <definedName name="__DAT42" localSheetId="43">#REF!</definedName>
    <definedName name="__DAT42" localSheetId="44">#REF!</definedName>
    <definedName name="__DAT42" localSheetId="36">#REF!</definedName>
    <definedName name="__DAT42" localSheetId="28">#REF!</definedName>
    <definedName name="__DAT42" localSheetId="83">#REF!</definedName>
    <definedName name="__DAT42">#REF!</definedName>
    <definedName name="__DAT43" localSheetId="43">#REF!</definedName>
    <definedName name="__DAT43" localSheetId="44">#REF!</definedName>
    <definedName name="__DAT43" localSheetId="36">#REF!</definedName>
    <definedName name="__DAT43" localSheetId="28">#REF!</definedName>
    <definedName name="__DAT43" localSheetId="83">#REF!</definedName>
    <definedName name="__DAT43">#REF!</definedName>
    <definedName name="__DAT44" localSheetId="43">#REF!</definedName>
    <definedName name="__DAT44" localSheetId="44">#REF!</definedName>
    <definedName name="__DAT44" localSheetId="36">#REF!</definedName>
    <definedName name="__DAT44" localSheetId="28">#REF!</definedName>
    <definedName name="__DAT44" localSheetId="83">#REF!</definedName>
    <definedName name="__DAT44">#REF!</definedName>
    <definedName name="__DAT45" localSheetId="43">#REF!</definedName>
    <definedName name="__DAT45" localSheetId="44">#REF!</definedName>
    <definedName name="__DAT45" localSheetId="36">#REF!</definedName>
    <definedName name="__DAT45" localSheetId="28">#REF!</definedName>
    <definedName name="__DAT45" localSheetId="83">#REF!</definedName>
    <definedName name="__DAT45">#REF!</definedName>
    <definedName name="__DAT46" localSheetId="43">#REF!</definedName>
    <definedName name="__DAT46" localSheetId="44">#REF!</definedName>
    <definedName name="__DAT46" localSheetId="36">#REF!</definedName>
    <definedName name="__DAT46" localSheetId="28">#REF!</definedName>
    <definedName name="__DAT46" localSheetId="83">#REF!</definedName>
    <definedName name="__DAT46">#REF!</definedName>
    <definedName name="__DAT47" localSheetId="43">#REF!</definedName>
    <definedName name="__DAT47" localSheetId="44">#REF!</definedName>
    <definedName name="__DAT47" localSheetId="36">#REF!</definedName>
    <definedName name="__DAT47" localSheetId="28">#REF!</definedName>
    <definedName name="__DAT47" localSheetId="83">#REF!</definedName>
    <definedName name="__DAT47">#REF!</definedName>
    <definedName name="__DAT48" localSheetId="43">#REF!</definedName>
    <definedName name="__DAT48" localSheetId="44">#REF!</definedName>
    <definedName name="__DAT48" localSheetId="36">#REF!</definedName>
    <definedName name="__DAT48" localSheetId="28">#REF!</definedName>
    <definedName name="__DAT48" localSheetId="83">#REF!</definedName>
    <definedName name="__DAT48">#REF!</definedName>
    <definedName name="__DAT49" localSheetId="43">#REF!</definedName>
    <definedName name="__DAT49" localSheetId="44">#REF!</definedName>
    <definedName name="__DAT49" localSheetId="36">#REF!</definedName>
    <definedName name="__DAT49" localSheetId="28">#REF!</definedName>
    <definedName name="__DAT49" localSheetId="83">#REF!</definedName>
    <definedName name="__DAT49">#REF!</definedName>
    <definedName name="__DAT5" localSheetId="43">#REF!</definedName>
    <definedName name="__DAT5" localSheetId="44">#REF!</definedName>
    <definedName name="__DAT5" localSheetId="36">#REF!</definedName>
    <definedName name="__DAT5" localSheetId="28">#REF!</definedName>
    <definedName name="__DAT5" localSheetId="83">#REF!</definedName>
    <definedName name="__DAT5">#REF!</definedName>
    <definedName name="__DAT50" localSheetId="43">#REF!</definedName>
    <definedName name="__DAT50" localSheetId="44">#REF!</definedName>
    <definedName name="__DAT50" localSheetId="36">#REF!</definedName>
    <definedName name="__DAT50" localSheetId="28">#REF!</definedName>
    <definedName name="__DAT50" localSheetId="83">#REF!</definedName>
    <definedName name="__DAT50">#REF!</definedName>
    <definedName name="__DAT51" localSheetId="43">#REF!</definedName>
    <definedName name="__DAT51" localSheetId="44">#REF!</definedName>
    <definedName name="__DAT51" localSheetId="36">#REF!</definedName>
    <definedName name="__DAT51" localSheetId="28">#REF!</definedName>
    <definedName name="__DAT51" localSheetId="83">#REF!</definedName>
    <definedName name="__DAT51">#REF!</definedName>
    <definedName name="__DAT52" localSheetId="43">#REF!</definedName>
    <definedName name="__DAT52" localSheetId="44">#REF!</definedName>
    <definedName name="__DAT52" localSheetId="36">#REF!</definedName>
    <definedName name="__DAT52" localSheetId="28">#REF!</definedName>
    <definedName name="__DAT52" localSheetId="83">#REF!</definedName>
    <definedName name="__DAT52">#REF!</definedName>
    <definedName name="__DAT53" localSheetId="43">#REF!</definedName>
    <definedName name="__DAT53" localSheetId="44">#REF!</definedName>
    <definedName name="__DAT53" localSheetId="36">#REF!</definedName>
    <definedName name="__DAT53" localSheetId="28">#REF!</definedName>
    <definedName name="__DAT53" localSheetId="83">#REF!</definedName>
    <definedName name="__DAT53">#REF!</definedName>
    <definedName name="__DAT54" localSheetId="43">#REF!</definedName>
    <definedName name="__DAT54" localSheetId="44">#REF!</definedName>
    <definedName name="__DAT54" localSheetId="36">#REF!</definedName>
    <definedName name="__DAT54" localSheetId="28">#REF!</definedName>
    <definedName name="__DAT54" localSheetId="83">#REF!</definedName>
    <definedName name="__DAT54">#REF!</definedName>
    <definedName name="__DAT55" localSheetId="43">#REF!</definedName>
    <definedName name="__DAT55" localSheetId="44">#REF!</definedName>
    <definedName name="__DAT55" localSheetId="36">#REF!</definedName>
    <definedName name="__DAT55" localSheetId="28">#REF!</definedName>
    <definedName name="__DAT55" localSheetId="83">#REF!</definedName>
    <definedName name="__DAT55">#REF!</definedName>
    <definedName name="__DAT56" localSheetId="43">#REF!</definedName>
    <definedName name="__DAT56" localSheetId="44">#REF!</definedName>
    <definedName name="__DAT56" localSheetId="36">#REF!</definedName>
    <definedName name="__DAT56" localSheetId="28">#REF!</definedName>
    <definedName name="__DAT56" localSheetId="83">#REF!</definedName>
    <definedName name="__DAT56">#REF!</definedName>
    <definedName name="__DAT57" localSheetId="43">#REF!</definedName>
    <definedName name="__DAT57" localSheetId="44">#REF!</definedName>
    <definedName name="__DAT57" localSheetId="36">#REF!</definedName>
    <definedName name="__DAT57" localSheetId="28">#REF!</definedName>
    <definedName name="__DAT57" localSheetId="83">#REF!</definedName>
    <definedName name="__DAT57">#REF!</definedName>
    <definedName name="__DAT58" localSheetId="43">#REF!</definedName>
    <definedName name="__DAT58" localSheetId="44">#REF!</definedName>
    <definedName name="__DAT58" localSheetId="36">#REF!</definedName>
    <definedName name="__DAT58" localSheetId="28">#REF!</definedName>
    <definedName name="__DAT58" localSheetId="83">#REF!</definedName>
    <definedName name="__DAT58">#REF!</definedName>
    <definedName name="__DAT59" localSheetId="43">#REF!</definedName>
    <definedName name="__DAT59" localSheetId="44">#REF!</definedName>
    <definedName name="__DAT59" localSheetId="36">#REF!</definedName>
    <definedName name="__DAT59" localSheetId="28">#REF!</definedName>
    <definedName name="__DAT59" localSheetId="83">#REF!</definedName>
    <definedName name="__DAT59">#REF!</definedName>
    <definedName name="__DAT6" localSheetId="43">#REF!</definedName>
    <definedName name="__DAT6" localSheetId="44">#REF!</definedName>
    <definedName name="__DAT6" localSheetId="36">#REF!</definedName>
    <definedName name="__DAT6" localSheetId="28">#REF!</definedName>
    <definedName name="__DAT6" localSheetId="83">#REF!</definedName>
    <definedName name="__DAT6">#REF!</definedName>
    <definedName name="__DAT60" localSheetId="43">#REF!</definedName>
    <definedName name="__DAT60" localSheetId="44">#REF!</definedName>
    <definedName name="__DAT60" localSheetId="36">#REF!</definedName>
    <definedName name="__DAT60" localSheetId="28">#REF!</definedName>
    <definedName name="__DAT60" localSheetId="83">#REF!</definedName>
    <definedName name="__DAT60">#REF!</definedName>
    <definedName name="__DAT61" localSheetId="43">#REF!</definedName>
    <definedName name="__DAT61" localSheetId="44">#REF!</definedName>
    <definedName name="__DAT61" localSheetId="36">#REF!</definedName>
    <definedName name="__DAT61" localSheetId="28">#REF!</definedName>
    <definedName name="__DAT61" localSheetId="83">#REF!</definedName>
    <definedName name="__DAT61">#REF!</definedName>
    <definedName name="__DAT62" localSheetId="43">#REF!</definedName>
    <definedName name="__DAT62" localSheetId="44">#REF!</definedName>
    <definedName name="__DAT62" localSheetId="36">#REF!</definedName>
    <definedName name="__DAT62" localSheetId="28">#REF!</definedName>
    <definedName name="__DAT62" localSheetId="83">#REF!</definedName>
    <definedName name="__DAT62">#REF!</definedName>
    <definedName name="__DAT63" localSheetId="43">#REF!</definedName>
    <definedName name="__DAT63" localSheetId="44">#REF!</definedName>
    <definedName name="__DAT63" localSheetId="36">#REF!</definedName>
    <definedName name="__DAT63" localSheetId="28">#REF!</definedName>
    <definedName name="__DAT63" localSheetId="83">#REF!</definedName>
    <definedName name="__DAT63">#REF!</definedName>
    <definedName name="__DAT64" localSheetId="43">#REF!</definedName>
    <definedName name="__DAT64" localSheetId="44">#REF!</definedName>
    <definedName name="__DAT64" localSheetId="36">#REF!</definedName>
    <definedName name="__DAT64" localSheetId="28">#REF!</definedName>
    <definedName name="__DAT64" localSheetId="83">#REF!</definedName>
    <definedName name="__DAT64">#REF!</definedName>
    <definedName name="__DAT65" localSheetId="43">#REF!</definedName>
    <definedName name="__DAT65" localSheetId="44">#REF!</definedName>
    <definedName name="__DAT65" localSheetId="36">#REF!</definedName>
    <definedName name="__DAT65" localSheetId="28">#REF!</definedName>
    <definedName name="__DAT65" localSheetId="83">#REF!</definedName>
    <definedName name="__DAT65">#REF!</definedName>
    <definedName name="__DAT66" localSheetId="43">#REF!</definedName>
    <definedName name="__DAT66" localSheetId="44">#REF!</definedName>
    <definedName name="__DAT66" localSheetId="36">#REF!</definedName>
    <definedName name="__DAT66" localSheetId="28">#REF!</definedName>
    <definedName name="__DAT66" localSheetId="83">#REF!</definedName>
    <definedName name="__DAT66">#REF!</definedName>
    <definedName name="__DAT67" localSheetId="43">#REF!</definedName>
    <definedName name="__DAT67" localSheetId="44">#REF!</definedName>
    <definedName name="__DAT67" localSheetId="36">#REF!</definedName>
    <definedName name="__DAT67" localSheetId="28">#REF!</definedName>
    <definedName name="__DAT67" localSheetId="83">#REF!</definedName>
    <definedName name="__DAT67">#REF!</definedName>
    <definedName name="__DAT68" localSheetId="43">#REF!</definedName>
    <definedName name="__DAT68" localSheetId="44">#REF!</definedName>
    <definedName name="__DAT68" localSheetId="36">#REF!</definedName>
    <definedName name="__DAT68" localSheetId="28">#REF!</definedName>
    <definedName name="__DAT68" localSheetId="83">#REF!</definedName>
    <definedName name="__DAT68">#REF!</definedName>
    <definedName name="__DAT69" localSheetId="43">#REF!</definedName>
    <definedName name="__DAT69" localSheetId="44">#REF!</definedName>
    <definedName name="__DAT69" localSheetId="36">#REF!</definedName>
    <definedName name="__DAT69" localSheetId="28">#REF!</definedName>
    <definedName name="__DAT69" localSheetId="83">#REF!</definedName>
    <definedName name="__DAT69">#REF!</definedName>
    <definedName name="__DAT7" localSheetId="43">#REF!</definedName>
    <definedName name="__DAT7" localSheetId="44">#REF!</definedName>
    <definedName name="__DAT7" localSheetId="36">#REF!</definedName>
    <definedName name="__DAT7" localSheetId="28">#REF!</definedName>
    <definedName name="__DAT7" localSheetId="83">#REF!</definedName>
    <definedName name="__DAT7">#REF!</definedName>
    <definedName name="__DAT70" localSheetId="43">#REF!</definedName>
    <definedName name="__DAT70" localSheetId="44">#REF!</definedName>
    <definedName name="__DAT70" localSheetId="36">#REF!</definedName>
    <definedName name="__DAT70" localSheetId="28">#REF!</definedName>
    <definedName name="__DAT70" localSheetId="83">#REF!</definedName>
    <definedName name="__DAT70">#REF!</definedName>
    <definedName name="__DAT71" localSheetId="43">#REF!</definedName>
    <definedName name="__DAT71" localSheetId="44">#REF!</definedName>
    <definedName name="__DAT71" localSheetId="36">#REF!</definedName>
    <definedName name="__DAT71" localSheetId="28">#REF!</definedName>
    <definedName name="__DAT71" localSheetId="83">#REF!</definedName>
    <definedName name="__DAT71">#REF!</definedName>
    <definedName name="__DAT72" localSheetId="43">#REF!</definedName>
    <definedName name="__DAT72" localSheetId="44">#REF!</definedName>
    <definedName name="__DAT72" localSheetId="36">#REF!</definedName>
    <definedName name="__DAT72" localSheetId="28">#REF!</definedName>
    <definedName name="__DAT72" localSheetId="83">#REF!</definedName>
    <definedName name="__DAT72">#REF!</definedName>
    <definedName name="__DAT73" localSheetId="43">#REF!</definedName>
    <definedName name="__DAT73" localSheetId="44">#REF!</definedName>
    <definedName name="__DAT73" localSheetId="36">#REF!</definedName>
    <definedName name="__DAT73" localSheetId="28">#REF!</definedName>
    <definedName name="__DAT73" localSheetId="83">#REF!</definedName>
    <definedName name="__DAT73">#REF!</definedName>
    <definedName name="__DAT74" localSheetId="43">#REF!</definedName>
    <definedName name="__DAT74" localSheetId="44">#REF!</definedName>
    <definedName name="__DAT74" localSheetId="36">#REF!</definedName>
    <definedName name="__DAT74" localSheetId="28">#REF!</definedName>
    <definedName name="__DAT74" localSheetId="83">#REF!</definedName>
    <definedName name="__DAT74">#REF!</definedName>
    <definedName name="__DAT75" localSheetId="43">#REF!</definedName>
    <definedName name="__DAT75" localSheetId="44">#REF!</definedName>
    <definedName name="__DAT75" localSheetId="36">#REF!</definedName>
    <definedName name="__DAT75" localSheetId="28">#REF!</definedName>
    <definedName name="__DAT75" localSheetId="83">#REF!</definedName>
    <definedName name="__DAT75">#REF!</definedName>
    <definedName name="__DAT76" localSheetId="43">#REF!</definedName>
    <definedName name="__DAT76" localSheetId="44">#REF!</definedName>
    <definedName name="__DAT76" localSheetId="36">#REF!</definedName>
    <definedName name="__DAT76" localSheetId="28">#REF!</definedName>
    <definedName name="__DAT76" localSheetId="83">#REF!</definedName>
    <definedName name="__DAT76">#REF!</definedName>
    <definedName name="__DAT77" localSheetId="43">#REF!</definedName>
    <definedName name="__DAT77" localSheetId="44">#REF!</definedName>
    <definedName name="__DAT77" localSheetId="36">#REF!</definedName>
    <definedName name="__DAT77" localSheetId="28">#REF!</definedName>
    <definedName name="__DAT77" localSheetId="83">#REF!</definedName>
    <definedName name="__DAT77">#REF!</definedName>
    <definedName name="__DAT78" localSheetId="43">#REF!</definedName>
    <definedName name="__DAT78" localSheetId="44">#REF!</definedName>
    <definedName name="__DAT78" localSheetId="36">#REF!</definedName>
    <definedName name="__DAT78" localSheetId="28">#REF!</definedName>
    <definedName name="__DAT78" localSheetId="83">#REF!</definedName>
    <definedName name="__DAT78">#REF!</definedName>
    <definedName name="__DAT79" localSheetId="43">#REF!</definedName>
    <definedName name="__DAT79" localSheetId="44">#REF!</definedName>
    <definedName name="__DAT79" localSheetId="36">#REF!</definedName>
    <definedName name="__DAT79" localSheetId="28">#REF!</definedName>
    <definedName name="__DAT79" localSheetId="83">#REF!</definedName>
    <definedName name="__DAT79">#REF!</definedName>
    <definedName name="__DAT8" localSheetId="43">#REF!</definedName>
    <definedName name="__DAT8" localSheetId="44">#REF!</definedName>
    <definedName name="__DAT8" localSheetId="36">#REF!</definedName>
    <definedName name="__DAT8" localSheetId="28">#REF!</definedName>
    <definedName name="__DAT8" localSheetId="83">#REF!</definedName>
    <definedName name="__DAT8">#REF!</definedName>
    <definedName name="__DAT80" localSheetId="43">#REF!</definedName>
    <definedName name="__DAT80" localSheetId="44">#REF!</definedName>
    <definedName name="__DAT80" localSheetId="36">#REF!</definedName>
    <definedName name="__DAT80" localSheetId="28">#REF!</definedName>
    <definedName name="__DAT80" localSheetId="83">#REF!</definedName>
    <definedName name="__DAT80">#REF!</definedName>
    <definedName name="__DAT81" localSheetId="43">#REF!</definedName>
    <definedName name="__DAT81" localSheetId="44">#REF!</definedName>
    <definedName name="__DAT81" localSheetId="36">#REF!</definedName>
    <definedName name="__DAT81" localSheetId="28">#REF!</definedName>
    <definedName name="__DAT81" localSheetId="83">#REF!</definedName>
    <definedName name="__DAT81">#REF!</definedName>
    <definedName name="__DAT82" localSheetId="43">#REF!</definedName>
    <definedName name="__DAT82" localSheetId="44">#REF!</definedName>
    <definedName name="__DAT82" localSheetId="36">#REF!</definedName>
    <definedName name="__DAT82" localSheetId="28">#REF!</definedName>
    <definedName name="__DAT82" localSheetId="83">#REF!</definedName>
    <definedName name="__DAT82">#REF!</definedName>
    <definedName name="__DAT83" localSheetId="43">#REF!</definedName>
    <definedName name="__DAT83" localSheetId="44">#REF!</definedName>
    <definedName name="__DAT83" localSheetId="36">#REF!</definedName>
    <definedName name="__DAT83" localSheetId="28">#REF!</definedName>
    <definedName name="__DAT83" localSheetId="83">#REF!</definedName>
    <definedName name="__DAT83">#REF!</definedName>
    <definedName name="__DAT84" localSheetId="43">#REF!</definedName>
    <definedName name="__DAT84" localSheetId="44">#REF!</definedName>
    <definedName name="__DAT84" localSheetId="36">#REF!</definedName>
    <definedName name="__DAT84" localSheetId="28">#REF!</definedName>
    <definedName name="__DAT84" localSheetId="83">#REF!</definedName>
    <definedName name="__DAT84">#REF!</definedName>
    <definedName name="__DAT85" localSheetId="43">#REF!</definedName>
    <definedName name="__DAT85" localSheetId="44">#REF!</definedName>
    <definedName name="__DAT85" localSheetId="36">#REF!</definedName>
    <definedName name="__DAT85" localSheetId="28">#REF!</definedName>
    <definedName name="__DAT85" localSheetId="83">#REF!</definedName>
    <definedName name="__DAT85">#REF!</definedName>
    <definedName name="__DAT86" localSheetId="43">#REF!</definedName>
    <definedName name="__DAT86" localSheetId="44">#REF!</definedName>
    <definedName name="__DAT86" localSheetId="36">#REF!</definedName>
    <definedName name="__DAT86" localSheetId="28">#REF!</definedName>
    <definedName name="__DAT86" localSheetId="83">#REF!</definedName>
    <definedName name="__DAT86">#REF!</definedName>
    <definedName name="__DAT87" localSheetId="43">#REF!</definedName>
    <definedName name="__DAT87" localSheetId="44">#REF!</definedName>
    <definedName name="__DAT87" localSheetId="36">#REF!</definedName>
    <definedName name="__DAT87" localSheetId="28">#REF!</definedName>
    <definedName name="__DAT87" localSheetId="83">#REF!</definedName>
    <definedName name="__DAT87">#REF!</definedName>
    <definedName name="__DAT9" localSheetId="43">#REF!</definedName>
    <definedName name="__DAT9" localSheetId="44">#REF!</definedName>
    <definedName name="__DAT9" localSheetId="36">#REF!</definedName>
    <definedName name="__DAT9" localSheetId="28">#REF!</definedName>
    <definedName name="__DAT9" localSheetId="83">#REF!</definedName>
    <definedName name="__DAT9">#REF!</definedName>
    <definedName name="__FC1" localSheetId="36">[13]DEMFIXLD!$A$1:$E$205</definedName>
    <definedName name="__FC1" localSheetId="83">[1]DEMFIXLD!$A$1:$E$205</definedName>
    <definedName name="__FC1">[13]DEMFIXLD!$A$1:$E$205</definedName>
    <definedName name="__IED1" localSheetId="43">#REF!</definedName>
    <definedName name="__IED1" localSheetId="44">#REF!</definedName>
    <definedName name="__IED1" localSheetId="36">#REF!</definedName>
    <definedName name="__IED1" localSheetId="37">#REF!</definedName>
    <definedName name="__IED1" localSheetId="28">#REF!</definedName>
    <definedName name="__IED1" localSheetId="56">#REF!</definedName>
    <definedName name="__IED1" localSheetId="83">#REF!</definedName>
    <definedName name="__IED1" localSheetId="94">#REF!</definedName>
    <definedName name="__IED1">#REF!</definedName>
    <definedName name="__IED2" localSheetId="43">#REF!</definedName>
    <definedName name="__IED2" localSheetId="44">#REF!</definedName>
    <definedName name="__IED2" localSheetId="36">#REF!</definedName>
    <definedName name="__IED2" localSheetId="37">#REF!</definedName>
    <definedName name="__IED2" localSheetId="28">#REF!</definedName>
    <definedName name="__IED2" localSheetId="83">#REF!</definedName>
    <definedName name="__IED2">#REF!</definedName>
    <definedName name="_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LD1" localSheetId="83">[1]DLC!$K$59:$AF$8180</definedName>
    <definedName name="__LD1">[2]DLC!$K$59:$AF$8180</definedName>
    <definedName name="__LD2" localSheetId="83">[1]DLC!$GR$56:$HT$8181</definedName>
    <definedName name="__LD2">[2]DLC!$GR$56:$HT$8181</definedName>
    <definedName name="__LD3" localSheetId="83">[1]DLC!$HV$57:$IO$8181</definedName>
    <definedName name="__LD3">[2]DLC!$HV$57:$IO$8181</definedName>
    <definedName name="__LD4" localSheetId="83">[1]DLC!$AH$32:$BE$8180</definedName>
    <definedName name="__LD4">[2]DLC!$AH$32:$BE$8180</definedName>
    <definedName name="__LD5" localSheetId="83">[1]DLC!$GR$53:$HK$8180</definedName>
    <definedName name="__LD5">[2]DLC!$GR$53:$HK$8180</definedName>
    <definedName name="__LD6" localSheetId="83">[1]DLC!$GR$69:$HL$8180</definedName>
    <definedName name="__LD6">[2]DLC!$GR$69:$HL$8180</definedName>
    <definedName name="__LR1" localSheetId="43">#REF!</definedName>
    <definedName name="__LR1" localSheetId="44">#REF!</definedName>
    <definedName name="__LR1" localSheetId="36">#REF!</definedName>
    <definedName name="__LR1" localSheetId="28">#REF!</definedName>
    <definedName name="__LR1" localSheetId="83">#REF!</definedName>
    <definedName name="__LR1">#REF!</definedName>
    <definedName name="__LR2" localSheetId="43">#REF!</definedName>
    <definedName name="__LR2" localSheetId="44">#REF!</definedName>
    <definedName name="__LR2" localSheetId="36">#REF!</definedName>
    <definedName name="__LR2" localSheetId="28">#REF!</definedName>
    <definedName name="__LR2" localSheetId="83">#REF!</definedName>
    <definedName name="__LR2">#REF!</definedName>
    <definedName name="__Mar06" localSheetId="43">[10]Newabstract!#REF!</definedName>
    <definedName name="__Mar06" localSheetId="44">[10]Newabstract!#REF!</definedName>
    <definedName name="__Mar06" localSheetId="36">[10]Newabstract!#REF!</definedName>
    <definedName name="__Mar06" localSheetId="28">[10]Newabstract!#REF!</definedName>
    <definedName name="__Mar06" localSheetId="83">[1]Newabstract!#REF!</definedName>
    <definedName name="__Mar06">[10]Newabstract!#REF!</definedName>
    <definedName name="__Mar09" localSheetId="43">[10]Newabstract!#REF!</definedName>
    <definedName name="__Mar09" localSheetId="44">[10]Newabstract!#REF!</definedName>
    <definedName name="__Mar09" localSheetId="36">[10]Newabstract!#REF!</definedName>
    <definedName name="__Mar09" localSheetId="28">[10]Newabstract!#REF!</definedName>
    <definedName name="__Mar09" localSheetId="83">[1]Newabstract!#REF!</definedName>
    <definedName name="__Mar09">[10]Newabstract!#REF!</definedName>
    <definedName name="__Mar10" localSheetId="43">[10]Newabstract!#REF!</definedName>
    <definedName name="__Mar10" localSheetId="44">[10]Newabstract!#REF!</definedName>
    <definedName name="__Mar10" localSheetId="36">[10]Newabstract!#REF!</definedName>
    <definedName name="__Mar10" localSheetId="28">[10]Newabstract!#REF!</definedName>
    <definedName name="__Mar10" localSheetId="83">[1]Newabstract!#REF!</definedName>
    <definedName name="__Mar10">[10]Newabstract!#REF!</definedName>
    <definedName name="__Mar11" localSheetId="43">[10]Newabstract!#REF!</definedName>
    <definedName name="__Mar11" localSheetId="44">[10]Newabstract!#REF!</definedName>
    <definedName name="__Mar11" localSheetId="36">[10]Newabstract!#REF!</definedName>
    <definedName name="__Mar11" localSheetId="28">[10]Newabstract!#REF!</definedName>
    <definedName name="__Mar11" localSheetId="83">[1]Newabstract!#REF!</definedName>
    <definedName name="__Mar11">[10]Newabstract!#REF!</definedName>
    <definedName name="__Mar12" localSheetId="43">[10]Newabstract!#REF!</definedName>
    <definedName name="__Mar12" localSheetId="44">[10]Newabstract!#REF!</definedName>
    <definedName name="__Mar12" localSheetId="36">[10]Newabstract!#REF!</definedName>
    <definedName name="__Mar12" localSheetId="28">[10]Newabstract!#REF!</definedName>
    <definedName name="__Mar12" localSheetId="83">[1]Newabstract!#REF!</definedName>
    <definedName name="__Mar12">[10]Newabstract!#REF!</definedName>
    <definedName name="__Mar13" localSheetId="43">[10]Newabstract!#REF!</definedName>
    <definedName name="__Mar13" localSheetId="44">[10]Newabstract!#REF!</definedName>
    <definedName name="__Mar13" localSheetId="36">[10]Newabstract!#REF!</definedName>
    <definedName name="__Mar13" localSheetId="28">[10]Newabstract!#REF!</definedName>
    <definedName name="__Mar13" localSheetId="83">[1]Newabstract!#REF!</definedName>
    <definedName name="__Mar13">[10]Newabstract!#REF!</definedName>
    <definedName name="__Mar16" localSheetId="43">[10]Newabstract!#REF!</definedName>
    <definedName name="__Mar16" localSheetId="44">[10]Newabstract!#REF!</definedName>
    <definedName name="__Mar16" localSheetId="36">[10]Newabstract!#REF!</definedName>
    <definedName name="__Mar16" localSheetId="28">[10]Newabstract!#REF!</definedName>
    <definedName name="__Mar16" localSheetId="83">[1]Newabstract!#REF!</definedName>
    <definedName name="__Mar16">[10]Newabstract!#REF!</definedName>
    <definedName name="__Mar17" localSheetId="43">[10]Newabstract!#REF!</definedName>
    <definedName name="__Mar17" localSheetId="44">[10]Newabstract!#REF!</definedName>
    <definedName name="__Mar17" localSheetId="36">[10]Newabstract!#REF!</definedName>
    <definedName name="__Mar17" localSheetId="28">[10]Newabstract!#REF!</definedName>
    <definedName name="__Mar17" localSheetId="83">[1]Newabstract!#REF!</definedName>
    <definedName name="__Mar17">[10]Newabstract!#REF!</definedName>
    <definedName name="__Mar18" localSheetId="43">[10]Newabstract!#REF!</definedName>
    <definedName name="__Mar18" localSheetId="44">[10]Newabstract!#REF!</definedName>
    <definedName name="__Mar18" localSheetId="36">[10]Newabstract!#REF!</definedName>
    <definedName name="__Mar18" localSheetId="28">[10]Newabstract!#REF!</definedName>
    <definedName name="__Mar18" localSheetId="83">[1]Newabstract!#REF!</definedName>
    <definedName name="__Mar18">[10]Newabstract!#REF!</definedName>
    <definedName name="__Mar19" localSheetId="43">[10]Newabstract!#REF!</definedName>
    <definedName name="__Mar19" localSheetId="44">[10]Newabstract!#REF!</definedName>
    <definedName name="__Mar19" localSheetId="36">[10]Newabstract!#REF!</definedName>
    <definedName name="__Mar19" localSheetId="28">[10]Newabstract!#REF!</definedName>
    <definedName name="__Mar19" localSheetId="83">[1]Newabstract!#REF!</definedName>
    <definedName name="__Mar19">[10]Newabstract!#REF!</definedName>
    <definedName name="__Mar20" localSheetId="43">[10]Newabstract!#REF!</definedName>
    <definedName name="__Mar20" localSheetId="44">[10]Newabstract!#REF!</definedName>
    <definedName name="__Mar20" localSheetId="36">[10]Newabstract!#REF!</definedName>
    <definedName name="__Mar20" localSheetId="28">[10]Newabstract!#REF!</definedName>
    <definedName name="__Mar20" localSheetId="83">[1]Newabstract!#REF!</definedName>
    <definedName name="__Mar20">[10]Newabstract!#REF!</definedName>
    <definedName name="__Mar23" localSheetId="43">[10]Newabstract!#REF!</definedName>
    <definedName name="__Mar23" localSheetId="44">[10]Newabstract!#REF!</definedName>
    <definedName name="__Mar23" localSheetId="36">[10]Newabstract!#REF!</definedName>
    <definedName name="__Mar23" localSheetId="28">[10]Newabstract!#REF!</definedName>
    <definedName name="__Mar23" localSheetId="83">[1]Newabstract!#REF!</definedName>
    <definedName name="__Mar23">[10]Newabstract!#REF!</definedName>
    <definedName name="__Mar24" localSheetId="43">[10]Newabstract!#REF!</definedName>
    <definedName name="__Mar24" localSheetId="44">[10]Newabstract!#REF!</definedName>
    <definedName name="__Mar24" localSheetId="36">[10]Newabstract!#REF!</definedName>
    <definedName name="__Mar24" localSheetId="28">[10]Newabstract!#REF!</definedName>
    <definedName name="__Mar24" localSheetId="83">[1]Newabstract!#REF!</definedName>
    <definedName name="__Mar24">[10]Newabstract!#REF!</definedName>
    <definedName name="__Mar25" localSheetId="43">[10]Newabstract!#REF!</definedName>
    <definedName name="__Mar25" localSheetId="44">[10]Newabstract!#REF!</definedName>
    <definedName name="__Mar25" localSheetId="36">[10]Newabstract!#REF!</definedName>
    <definedName name="__Mar25" localSheetId="28">[10]Newabstract!#REF!</definedName>
    <definedName name="__Mar25" localSheetId="83">[1]Newabstract!#REF!</definedName>
    <definedName name="__Mar25">[10]Newabstract!#REF!</definedName>
    <definedName name="__Mar26" localSheetId="43">[10]Newabstract!#REF!</definedName>
    <definedName name="__Mar26" localSheetId="44">[10]Newabstract!#REF!</definedName>
    <definedName name="__Mar26" localSheetId="36">[10]Newabstract!#REF!</definedName>
    <definedName name="__Mar26" localSheetId="28">[10]Newabstract!#REF!</definedName>
    <definedName name="__Mar26" localSheetId="83">[1]Newabstract!#REF!</definedName>
    <definedName name="__Mar26">[10]Newabstract!#REF!</definedName>
    <definedName name="__Mar27" localSheetId="43">[10]Newabstract!#REF!</definedName>
    <definedName name="__Mar27" localSheetId="44">[10]Newabstract!#REF!</definedName>
    <definedName name="__Mar27" localSheetId="36">[10]Newabstract!#REF!</definedName>
    <definedName name="__Mar27" localSheetId="28">[10]Newabstract!#REF!</definedName>
    <definedName name="__Mar27" localSheetId="83">[1]Newabstract!#REF!</definedName>
    <definedName name="__Mar27">[10]Newabstract!#REF!</definedName>
    <definedName name="__Mar28" localSheetId="43">[10]Newabstract!#REF!</definedName>
    <definedName name="__Mar28" localSheetId="44">[10]Newabstract!#REF!</definedName>
    <definedName name="__Mar28" localSheetId="36">[10]Newabstract!#REF!</definedName>
    <definedName name="__Mar28" localSheetId="28">[10]Newabstract!#REF!</definedName>
    <definedName name="__Mar28" localSheetId="83">[1]Newabstract!#REF!</definedName>
    <definedName name="__Mar28">[10]Newabstract!#REF!</definedName>
    <definedName name="__Mar30" localSheetId="43">[10]Newabstract!#REF!</definedName>
    <definedName name="__Mar30" localSheetId="44">[10]Newabstract!#REF!</definedName>
    <definedName name="__Mar30" localSheetId="36">[10]Newabstract!#REF!</definedName>
    <definedName name="__Mar30" localSheetId="28">[10]Newabstract!#REF!</definedName>
    <definedName name="__Mar30" localSheetId="83">[1]Newabstract!#REF!</definedName>
    <definedName name="__Mar30">[10]Newabstract!#REF!</definedName>
    <definedName name="__Mar31" localSheetId="43">[10]Newabstract!#REF!</definedName>
    <definedName name="__Mar31" localSheetId="44">[10]Newabstract!#REF!</definedName>
    <definedName name="__Mar31" localSheetId="36">[10]Newabstract!#REF!</definedName>
    <definedName name="__Mar31" localSheetId="28">[10]Newabstract!#REF!</definedName>
    <definedName name="__Mar31" localSheetId="83">[1]Newabstract!#REF!</definedName>
    <definedName name="__Mar31">[10]Newabstract!#REF!</definedName>
    <definedName name="__nA34" localSheetId="43">'[23]CAPI_01-02'!#REF!</definedName>
    <definedName name="__nA34" localSheetId="44">'[23]CAPI_01-02'!#REF!</definedName>
    <definedName name="__nA34" localSheetId="36">'[23]CAPI_01-02'!#REF!</definedName>
    <definedName name="__nA34" localSheetId="28">'[23]CAPI_01-02'!#REF!</definedName>
    <definedName name="__nA34" localSheetId="83">'[1]CAPI_01-02'!#REF!</definedName>
    <definedName name="__nA34" localSheetId="90">'[23]CAPI_01-02'!#REF!</definedName>
    <definedName name="__nA34" localSheetId="91">'[23]CAPI_01-02'!#REF!</definedName>
    <definedName name="__nA34">'[23]CAPI_01-02'!#REF!</definedName>
    <definedName name="__nA84" localSheetId="43">'[23]CAPI_01-02'!#REF!</definedName>
    <definedName name="__nA84" localSheetId="44">'[23]CAPI_01-02'!#REF!</definedName>
    <definedName name="__nA84" localSheetId="36">'[23]CAPI_01-02'!#REF!</definedName>
    <definedName name="__nA84" localSheetId="28">'[23]CAPI_01-02'!#REF!</definedName>
    <definedName name="__nA84" localSheetId="83">'[1]CAPI_01-02'!#REF!</definedName>
    <definedName name="__nA84" localSheetId="90">'[23]CAPI_01-02'!#REF!</definedName>
    <definedName name="__nA84" localSheetId="91">'[23]CAPI_01-02'!#REF!</definedName>
    <definedName name="__nA84">'[23]CAPI_01-02'!#REF!</definedName>
    <definedName name="__NCS111" localSheetId="36">'[14]Schedule-1'!$B$1:$J$1</definedName>
    <definedName name="__NCS111" localSheetId="37">'[15]Schedule-1'!$B$1:$J$1</definedName>
    <definedName name="__NCS111" localSheetId="56">'[14]Schedule-1'!$B$1:$J$1</definedName>
    <definedName name="__NCS111" localSheetId="83">'[1]Schedule-1'!$B$1:$J$1</definedName>
    <definedName name="__NCS111" localSheetId="90">'[14]Schedule-1'!$B$1:$J$1</definedName>
    <definedName name="__NCS111" localSheetId="91">'[14]Schedule-1'!$B$1:$J$1</definedName>
    <definedName name="__NCS111" localSheetId="94">'[14]Schedule-1'!$B$1:$J$1</definedName>
    <definedName name="__NCS111">'[21]Schedule-1'!$B$1:$J$1</definedName>
    <definedName name="__PH1">#N/A</definedName>
    <definedName name="__PL1">[12]BSPL!$A$58:$E$111</definedName>
    <definedName name="__PPC34" localSheetId="43">'[23]CAPI_01-02'!#REF!</definedName>
    <definedName name="__PPC34" localSheetId="44">'[23]CAPI_01-02'!#REF!</definedName>
    <definedName name="__PPC34" localSheetId="36">'[23]CAPI_01-02'!#REF!</definedName>
    <definedName name="__PPC34" localSheetId="28">'[23]CAPI_01-02'!#REF!</definedName>
    <definedName name="__PPC34" localSheetId="83">'[1]CAPI_01-02'!#REF!</definedName>
    <definedName name="__PPC34">'[23]CAPI_01-02'!#REF!</definedName>
    <definedName name="__SCH12">[12]BSPL!$A$655:$D$692</definedName>
    <definedName name="__sch13">[12]BSPL!$A$694:$D$744</definedName>
    <definedName name="__SCH5" localSheetId="43">#REF!</definedName>
    <definedName name="__SCH5" localSheetId="44">#REF!</definedName>
    <definedName name="__SCH5">#REF!</definedName>
    <definedName name="__SCH6" localSheetId="43">'[5]04REL'!#REF!</definedName>
    <definedName name="__SCH6" localSheetId="44">'[5]04REL'!#REF!</definedName>
    <definedName name="__SCH6" localSheetId="36">'[6]04REL'!#REF!</definedName>
    <definedName name="__SCH6" localSheetId="37">'[9]04REL'!#REF!</definedName>
    <definedName name="__SCH6" localSheetId="28">'[5]04REL'!#REF!</definedName>
    <definedName name="__SCH6" localSheetId="56">'[6]04REL'!#REF!</definedName>
    <definedName name="__SCH6" localSheetId="83">'[1]04REL'!#REF!</definedName>
    <definedName name="__SCH6" localSheetId="90">'[6]04REL'!#REF!</definedName>
    <definedName name="__SCH6" localSheetId="91">'[6]04REL'!#REF!</definedName>
    <definedName name="__SCH6" localSheetId="94">'[6]04REL'!#REF!</definedName>
    <definedName name="__SCH6">'[7]04REL'!#REF!</definedName>
    <definedName name="__SH1" localSheetId="83">'[1]Executive Summary -Thermal'!$A$4:$H$108</definedName>
    <definedName name="__SH1">'[18]Executive Summary -Thermal'!$A$4:$H$108</definedName>
    <definedName name="__SH10" localSheetId="83">'[1]Executive Summary -Thermal'!$A$4:$G$118</definedName>
    <definedName name="__SH10">'[18]Executive Summary -Thermal'!$A$4:$G$118</definedName>
    <definedName name="__SH11" localSheetId="83">'[1]Executive Summary -Thermal'!$A$4:$H$167</definedName>
    <definedName name="__SH11">'[18]Executive Summary -Thermal'!$A$4:$H$167</definedName>
    <definedName name="__SH2" localSheetId="83">'[1]Executive Summary -Thermal'!$A$4:$H$157</definedName>
    <definedName name="__SH2">'[18]Executive Summary -Thermal'!$A$4:$H$157</definedName>
    <definedName name="__SH3" localSheetId="83">'[1]Executive Summary -Thermal'!$A$4:$H$136</definedName>
    <definedName name="__SH3">'[18]Executive Summary -Thermal'!$A$4:$H$136</definedName>
    <definedName name="__SH4" localSheetId="83">'[1]Executive Summary -Thermal'!$A$4:$H$96</definedName>
    <definedName name="__SH4">'[18]Executive Summary -Thermal'!$A$4:$H$96</definedName>
    <definedName name="__SH5" localSheetId="83">'[1]Executive Summary -Thermal'!$A$4:$H$96</definedName>
    <definedName name="__SH5">'[18]Executive Summary -Thermal'!$A$4:$H$96</definedName>
    <definedName name="__SH6" localSheetId="83">'[1]Executive Summary -Thermal'!$A$4:$H$95</definedName>
    <definedName name="__SH6">'[18]Executive Summary -Thermal'!$A$4:$H$95</definedName>
    <definedName name="__SH7" localSheetId="83">'[1]Executive Summary -Thermal'!$A$4:$H$163</definedName>
    <definedName name="__SH7">'[18]Executive Summary -Thermal'!$A$4:$H$163</definedName>
    <definedName name="__SH8" localSheetId="83">'[1]Executive Summary -Thermal'!$A$4:$H$133</definedName>
    <definedName name="__SH8">'[18]Executive Summary -Thermal'!$A$4:$H$133</definedName>
    <definedName name="__SH9" localSheetId="83">'[1]Executive Summary -Thermal'!$A$4:$H$194</definedName>
    <definedName name="__SH9">'[18]Executive Summary -Thermal'!$A$4:$H$194</definedName>
    <definedName name="__SRT56" localSheetId="43">#REF!</definedName>
    <definedName name="__SRT56" localSheetId="44">#REF!</definedName>
    <definedName name="__SRT56" localSheetId="36">#REF!</definedName>
    <definedName name="__SRT56" localSheetId="28">#REF!</definedName>
    <definedName name="__SRT56" localSheetId="56">#REF!</definedName>
    <definedName name="__SRT56" localSheetId="83">#REF!</definedName>
    <definedName name="__SRT56" localSheetId="90">#REF!</definedName>
    <definedName name="__SRT56" localSheetId="91">#REF!</definedName>
    <definedName name="__SRT56" localSheetId="94">#REF!</definedName>
    <definedName name="__SRT56">#REF!</definedName>
    <definedName name="__TRP3" localSheetId="43">#REF!</definedName>
    <definedName name="__TRP3" localSheetId="44">#REF!</definedName>
    <definedName name="__TRP3" localSheetId="36">#REF!</definedName>
    <definedName name="__TRP3" localSheetId="28">#REF!</definedName>
    <definedName name="__TRP3" localSheetId="83">#REF!</definedName>
    <definedName name="__TRP3" localSheetId="90">#REF!</definedName>
    <definedName name="__TRP3" localSheetId="91">#REF!</definedName>
    <definedName name="__TRP3">#REF!</definedName>
    <definedName name="__TRU3" localSheetId="43" hidden="1">#REF!</definedName>
    <definedName name="__TRU3" localSheetId="44" hidden="1">#REF!</definedName>
    <definedName name="__TRU3" localSheetId="36" hidden="1">#REF!</definedName>
    <definedName name="__TRU3" localSheetId="25" hidden="1">#REF!</definedName>
    <definedName name="__TRU3" localSheetId="26" hidden="1">#REF!</definedName>
    <definedName name="__TRU3" localSheetId="27" hidden="1">#REF!</definedName>
    <definedName name="__TRU3" localSheetId="29" hidden="1">#REF!</definedName>
    <definedName name="__TRU3" localSheetId="30" hidden="1">#REF!</definedName>
    <definedName name="__TRU3" localSheetId="31" hidden="1">#REF!</definedName>
    <definedName name="__TRU3" localSheetId="28" hidden="1">#REF!</definedName>
    <definedName name="__TRU3" localSheetId="32" hidden="1">#REF!</definedName>
    <definedName name="__TRU3" localSheetId="33" hidden="1">#REF!</definedName>
    <definedName name="__TRU3" localSheetId="34" hidden="1">#REF!</definedName>
    <definedName name="__TRU3" localSheetId="35" hidden="1">#REF!</definedName>
    <definedName name="__TRU3" localSheetId="83" hidden="1">#REF!</definedName>
    <definedName name="__TRU3" localSheetId="90" hidden="1">#REF!</definedName>
    <definedName name="__TRU3" localSheetId="91" hidden="1">#REF!</definedName>
    <definedName name="__TRU3" hidden="1">#REF!</definedName>
    <definedName name="__xlfn.BAHTTEXT" hidden="1">#NAME?</definedName>
    <definedName name="_1___123Graph_AI_II_PLF" localSheetId="43" hidden="1">[27]CE!#REF!</definedName>
    <definedName name="_1___123Graph_AI_II_PLF" localSheetId="44" hidden="1">[27]CE!#REF!</definedName>
    <definedName name="_1___123Graph_AI_II_PLF" localSheetId="36" hidden="1">[28]CE!#REF!</definedName>
    <definedName name="_1___123Graph_AI_II_PLF" localSheetId="25" hidden="1">[28]CE!#REF!</definedName>
    <definedName name="_1___123Graph_AI_II_PLF" localSheetId="26" hidden="1">[28]CE!#REF!</definedName>
    <definedName name="_1___123Graph_AI_II_PLF" localSheetId="27" hidden="1">[28]CE!#REF!</definedName>
    <definedName name="_1___123Graph_AI_II_PLF" localSheetId="29" hidden="1">[28]CE!#REF!</definedName>
    <definedName name="_1___123Graph_AI_II_PLF" localSheetId="30" hidden="1">[28]CE!#REF!</definedName>
    <definedName name="_1___123Graph_AI_II_PLF" localSheetId="28" hidden="1">[27]CE!#REF!</definedName>
    <definedName name="_1___123Graph_AI_II_PLF" localSheetId="32" hidden="1">[28]CE!#REF!</definedName>
    <definedName name="_1___123Graph_AI_II_PLF" localSheetId="33" hidden="1">[28]CE!#REF!</definedName>
    <definedName name="_1___123Graph_AI_II_PLF" localSheetId="83" hidden="1">[1]CE!#REF!</definedName>
    <definedName name="_1___123Graph_AI_II_PLF" hidden="1">[27]CE!#REF!</definedName>
    <definedName name="_10GOTO_I_A1" localSheetId="43">#REF!</definedName>
    <definedName name="_10GOTO_I_A1" localSheetId="44">#REF!</definedName>
    <definedName name="_10GOTO_I_A1">#REF!</definedName>
    <definedName name="_11GOTO_J_A1" localSheetId="43">#REF!</definedName>
    <definedName name="_11GOTO_J_A1" localSheetId="44">#REF!</definedName>
    <definedName name="_11GOTO_J_A1">#REF!</definedName>
    <definedName name="_12GOTO_K_A30" localSheetId="43">#REF!</definedName>
    <definedName name="_12GOTO_K_A30" localSheetId="44">#REF!</definedName>
    <definedName name="_12GOTO_K_A30">#REF!</definedName>
    <definedName name="_16GOTO_B_A1" localSheetId="43">#REF!</definedName>
    <definedName name="_16GOTO_B_A1" localSheetId="44">#REF!</definedName>
    <definedName name="_16GOTO_B_A1">#REF!</definedName>
    <definedName name="_1GOTO_A_A207" localSheetId="43">#REF!</definedName>
    <definedName name="_1GOTO_A_A207" localSheetId="44">#REF!</definedName>
    <definedName name="_1GOTO_A_A207">#REF!</definedName>
    <definedName name="_2___123Graph_BI_II_PLF" localSheetId="43" hidden="1">[27]CE!#REF!</definedName>
    <definedName name="_2___123Graph_BI_II_PLF" localSheetId="44" hidden="1">[27]CE!#REF!</definedName>
    <definedName name="_2___123Graph_BI_II_PLF" localSheetId="36" hidden="1">[28]CE!#REF!</definedName>
    <definedName name="_2___123Graph_BI_II_PLF" localSheetId="25" hidden="1">[28]CE!#REF!</definedName>
    <definedName name="_2___123Graph_BI_II_PLF" localSheetId="26" hidden="1">[28]CE!#REF!</definedName>
    <definedName name="_2___123Graph_BI_II_PLF" localSheetId="27" hidden="1">[28]CE!#REF!</definedName>
    <definedName name="_2___123Graph_BI_II_PLF" localSheetId="29" hidden="1">[28]CE!#REF!</definedName>
    <definedName name="_2___123Graph_BI_II_PLF" localSheetId="30" hidden="1">[28]CE!#REF!</definedName>
    <definedName name="_2___123Graph_BI_II_PLF" localSheetId="28" hidden="1">[27]CE!#REF!</definedName>
    <definedName name="_2___123Graph_BI_II_PLF" localSheetId="32" hidden="1">[28]CE!#REF!</definedName>
    <definedName name="_2___123Graph_BI_II_PLF" localSheetId="33" hidden="1">[28]CE!#REF!</definedName>
    <definedName name="_2___123Graph_BI_II_PLF" localSheetId="83" hidden="1">[1]CE!#REF!</definedName>
    <definedName name="_2___123Graph_BI_II_PLF" hidden="1">[27]CE!#REF!</definedName>
    <definedName name="_20GOTO_B_A189" localSheetId="43">#REF!</definedName>
    <definedName name="_20GOTO_B_A189" localSheetId="44">#REF!</definedName>
    <definedName name="_20GOTO_B_A189">#REF!</definedName>
    <definedName name="_24GOTO_B_A536" localSheetId="43">#REF!</definedName>
    <definedName name="_24GOTO_B_A536" localSheetId="44">#REF!</definedName>
    <definedName name="_24GOTO_B_A536">#REF!</definedName>
    <definedName name="_28GOTO_C_A1" localSheetId="43">#REF!</definedName>
    <definedName name="_28GOTO_C_A1" localSheetId="44">#REF!</definedName>
    <definedName name="_28GOTO_C_A1">#REF!</definedName>
    <definedName name="_2GOTO_A_A501" localSheetId="43">#REF!</definedName>
    <definedName name="_2GOTO_A_A501" localSheetId="44">#REF!</definedName>
    <definedName name="_2GOTO_A_A501">#REF!</definedName>
    <definedName name="_3___123Graph_CI_II_PLF" localSheetId="43" hidden="1">[27]CE!#REF!</definedName>
    <definedName name="_3___123Graph_CI_II_PLF" localSheetId="44" hidden="1">[27]CE!#REF!</definedName>
    <definedName name="_3___123Graph_CI_II_PLF" localSheetId="36" hidden="1">[28]CE!#REF!</definedName>
    <definedName name="_3___123Graph_CI_II_PLF" localSheetId="25" hidden="1">[28]CE!#REF!</definedName>
    <definedName name="_3___123Graph_CI_II_PLF" localSheetId="26" hidden="1">[28]CE!#REF!</definedName>
    <definedName name="_3___123Graph_CI_II_PLF" localSheetId="27" hidden="1">[28]CE!#REF!</definedName>
    <definedName name="_3___123Graph_CI_II_PLF" localSheetId="29" hidden="1">[28]CE!#REF!</definedName>
    <definedName name="_3___123Graph_CI_II_PLF" localSheetId="30" hidden="1">[28]CE!#REF!</definedName>
    <definedName name="_3___123Graph_CI_II_PLF" localSheetId="28" hidden="1">[27]CE!#REF!</definedName>
    <definedName name="_3___123Graph_CI_II_PLF" localSheetId="32" hidden="1">[28]CE!#REF!</definedName>
    <definedName name="_3___123Graph_CI_II_PLF" localSheetId="33" hidden="1">[28]CE!#REF!</definedName>
    <definedName name="_3___123Graph_CI_II_PLF" localSheetId="83" hidden="1">[1]CE!#REF!</definedName>
    <definedName name="_3___123Graph_CI_II_PLF" hidden="1">[27]CE!#REF!</definedName>
    <definedName name="_32GOTO_E_A1" localSheetId="43">#REF!</definedName>
    <definedName name="_32GOTO_E_A1" localSheetId="44">#REF!</definedName>
    <definedName name="_32GOTO_E_A1">#REF!</definedName>
    <definedName name="_36GOTO_G_A1" localSheetId="43">#REF!</definedName>
    <definedName name="_36GOTO_G_A1" localSheetId="44">#REF!</definedName>
    <definedName name="_36GOTO_G_A1">#REF!</definedName>
    <definedName name="_3GOTO_A_A952" localSheetId="43">#REF!</definedName>
    <definedName name="_3GOTO_A_A952" localSheetId="44">#REF!</definedName>
    <definedName name="_3GOTO_A_A952">#REF!</definedName>
    <definedName name="_4___123Graph_XI_II_PLF" localSheetId="43" hidden="1">[27]CE!#REF!</definedName>
    <definedName name="_4___123Graph_XI_II_PLF" localSheetId="44" hidden="1">[27]CE!#REF!</definedName>
    <definedName name="_4___123Graph_XI_II_PLF" localSheetId="36" hidden="1">[28]CE!#REF!</definedName>
    <definedName name="_4___123Graph_XI_II_PLF" localSheetId="25" hidden="1">[28]CE!#REF!</definedName>
    <definedName name="_4___123Graph_XI_II_PLF" localSheetId="26" hidden="1">[28]CE!#REF!</definedName>
    <definedName name="_4___123Graph_XI_II_PLF" localSheetId="27" hidden="1">[28]CE!#REF!</definedName>
    <definedName name="_4___123Graph_XI_II_PLF" localSheetId="29" hidden="1">[28]CE!#REF!</definedName>
    <definedName name="_4___123Graph_XI_II_PLF" localSheetId="30" hidden="1">[28]CE!#REF!</definedName>
    <definedName name="_4___123Graph_XI_II_PLF" localSheetId="28" hidden="1">[27]CE!#REF!</definedName>
    <definedName name="_4___123Graph_XI_II_PLF" localSheetId="32" hidden="1">[28]CE!#REF!</definedName>
    <definedName name="_4___123Graph_XI_II_PLF" localSheetId="33" hidden="1">[28]CE!#REF!</definedName>
    <definedName name="_4___123Graph_XI_II_PLF" localSheetId="83" hidden="1">[1]CE!#REF!</definedName>
    <definedName name="_4___123Graph_XI_II_PLF" hidden="1">[27]CE!#REF!</definedName>
    <definedName name="_40GOTO_I_A1" localSheetId="43">#REF!</definedName>
    <definedName name="_40GOTO_I_A1" localSheetId="44">#REF!</definedName>
    <definedName name="_40GOTO_I_A1">#REF!</definedName>
    <definedName name="_44GOTO_J_A1" localSheetId="43">#REF!</definedName>
    <definedName name="_44GOTO_J_A1" localSheetId="44">#REF!</definedName>
    <definedName name="_44GOTO_J_A1">#REF!</definedName>
    <definedName name="_48GOTO_K_A30" localSheetId="43">#REF!</definedName>
    <definedName name="_48GOTO_K_A30" localSheetId="44">#REF!</definedName>
    <definedName name="_48GOTO_K_A30">#REF!</definedName>
    <definedName name="_4GOTO_A_A207" localSheetId="43">#REF!</definedName>
    <definedName name="_4GOTO_A_A207" localSheetId="44">#REF!</definedName>
    <definedName name="_4GOTO_A_A207">#REF!</definedName>
    <definedName name="_4GOTO_B_A1" localSheetId="43">#REF!</definedName>
    <definedName name="_4GOTO_B_A1" localSheetId="44">#REF!</definedName>
    <definedName name="_4GOTO_B_A1">#REF!</definedName>
    <definedName name="_5__123Graph_AI_II_PLF" localSheetId="43" hidden="1">[29]CE!#REF!</definedName>
    <definedName name="_5__123Graph_AI_II_PLF" localSheetId="44" hidden="1">[29]CE!#REF!</definedName>
    <definedName name="_5__123Graph_AI_II_PLF" localSheetId="36" hidden="1">[30]CE!#REF!</definedName>
    <definedName name="_5__123Graph_AI_II_PLF" localSheetId="25" hidden="1">[30]CE!#REF!</definedName>
    <definedName name="_5__123Graph_AI_II_PLF" localSheetId="26" hidden="1">[30]CE!#REF!</definedName>
    <definedName name="_5__123Graph_AI_II_PLF" localSheetId="27" hidden="1">[30]CE!#REF!</definedName>
    <definedName name="_5__123Graph_AI_II_PLF" localSheetId="29" hidden="1">[30]CE!#REF!</definedName>
    <definedName name="_5__123Graph_AI_II_PLF" localSheetId="30" hidden="1">[30]CE!#REF!</definedName>
    <definedName name="_5__123Graph_AI_II_PLF" localSheetId="28" hidden="1">[29]CE!#REF!</definedName>
    <definedName name="_5__123Graph_AI_II_PLF" localSheetId="32" hidden="1">[30]CE!#REF!</definedName>
    <definedName name="_5__123Graph_AI_II_PLF" localSheetId="33" hidden="1">[30]CE!#REF!</definedName>
    <definedName name="_5__123Graph_AI_II_PLF" localSheetId="83" hidden="1">[1]CE!#REF!</definedName>
    <definedName name="_5__123Graph_AI_II_PLF" hidden="1">[29]CE!#REF!</definedName>
    <definedName name="_5GOTO_B_A189" localSheetId="43">#REF!</definedName>
    <definedName name="_5GOTO_B_A189" localSheetId="44">#REF!</definedName>
    <definedName name="_5GOTO_B_A189">#REF!</definedName>
    <definedName name="_6__123Graph_BI_II_PLF" localSheetId="43" hidden="1">[29]CE!#REF!</definedName>
    <definedName name="_6__123Graph_BI_II_PLF" localSheetId="44" hidden="1">[29]CE!#REF!</definedName>
    <definedName name="_6__123Graph_BI_II_PLF" localSheetId="36" hidden="1">[30]CE!#REF!</definedName>
    <definedName name="_6__123Graph_BI_II_PLF" localSheetId="25" hidden="1">[30]CE!#REF!</definedName>
    <definedName name="_6__123Graph_BI_II_PLF" localSheetId="26" hidden="1">[30]CE!#REF!</definedName>
    <definedName name="_6__123Graph_BI_II_PLF" localSheetId="27" hidden="1">[30]CE!#REF!</definedName>
    <definedName name="_6__123Graph_BI_II_PLF" localSheetId="29" hidden="1">[30]CE!#REF!</definedName>
    <definedName name="_6__123Graph_BI_II_PLF" localSheetId="30" hidden="1">[30]CE!#REF!</definedName>
    <definedName name="_6__123Graph_BI_II_PLF" localSheetId="28" hidden="1">[29]CE!#REF!</definedName>
    <definedName name="_6__123Graph_BI_II_PLF" localSheetId="32" hidden="1">[30]CE!#REF!</definedName>
    <definedName name="_6__123Graph_BI_II_PLF" localSheetId="33" hidden="1">[30]CE!#REF!</definedName>
    <definedName name="_6__123Graph_BI_II_PLF" localSheetId="83" hidden="1">[1]CE!#REF!</definedName>
    <definedName name="_6__123Graph_BI_II_PLF" hidden="1">[29]CE!#REF!</definedName>
    <definedName name="_6GOTO_B_A536" localSheetId="43">#REF!</definedName>
    <definedName name="_6GOTO_B_A536" localSheetId="44">#REF!</definedName>
    <definedName name="_6GOTO_B_A536">#REF!</definedName>
    <definedName name="_7__123Graph_CI_II_PLF" localSheetId="43" hidden="1">[29]CE!#REF!</definedName>
    <definedName name="_7__123Graph_CI_II_PLF" localSheetId="44" hidden="1">[29]CE!#REF!</definedName>
    <definedName name="_7__123Graph_CI_II_PLF" localSheetId="36" hidden="1">[30]CE!#REF!</definedName>
    <definedName name="_7__123Graph_CI_II_PLF" localSheetId="25" hidden="1">[30]CE!#REF!</definedName>
    <definedName name="_7__123Graph_CI_II_PLF" localSheetId="26" hidden="1">[30]CE!#REF!</definedName>
    <definedName name="_7__123Graph_CI_II_PLF" localSheetId="27" hidden="1">[30]CE!#REF!</definedName>
    <definedName name="_7__123Graph_CI_II_PLF" localSheetId="29" hidden="1">[30]CE!#REF!</definedName>
    <definedName name="_7__123Graph_CI_II_PLF" localSheetId="30" hidden="1">[30]CE!#REF!</definedName>
    <definedName name="_7__123Graph_CI_II_PLF" localSheetId="28" hidden="1">[29]CE!#REF!</definedName>
    <definedName name="_7__123Graph_CI_II_PLF" localSheetId="32" hidden="1">[30]CE!#REF!</definedName>
    <definedName name="_7__123Graph_CI_II_PLF" localSheetId="33" hidden="1">[30]CE!#REF!</definedName>
    <definedName name="_7__123Graph_CI_II_PLF" localSheetId="83" hidden="1">[1]CE!#REF!</definedName>
    <definedName name="_7__123Graph_CI_II_PLF" hidden="1">[29]CE!#REF!</definedName>
    <definedName name="_7GOTO_C_A1" localSheetId="43">#REF!</definedName>
    <definedName name="_7GOTO_C_A1" localSheetId="44">#REF!</definedName>
    <definedName name="_7GOTO_C_A1">#REF!</definedName>
    <definedName name="_8__123Graph_XI_II_PLF" localSheetId="43" hidden="1">[29]CE!#REF!</definedName>
    <definedName name="_8__123Graph_XI_II_PLF" localSheetId="44" hidden="1">[29]CE!#REF!</definedName>
    <definedName name="_8__123Graph_XI_II_PLF" localSheetId="36" hidden="1">[30]CE!#REF!</definedName>
    <definedName name="_8__123Graph_XI_II_PLF" localSheetId="25" hidden="1">[30]CE!#REF!</definedName>
    <definedName name="_8__123Graph_XI_II_PLF" localSheetId="26" hidden="1">[30]CE!#REF!</definedName>
    <definedName name="_8__123Graph_XI_II_PLF" localSheetId="27" hidden="1">[30]CE!#REF!</definedName>
    <definedName name="_8__123Graph_XI_II_PLF" localSheetId="29" hidden="1">[30]CE!#REF!</definedName>
    <definedName name="_8__123Graph_XI_II_PLF" localSheetId="30" hidden="1">[30]CE!#REF!</definedName>
    <definedName name="_8__123Graph_XI_II_PLF" localSheetId="28" hidden="1">[29]CE!#REF!</definedName>
    <definedName name="_8__123Graph_XI_II_PLF" localSheetId="32" hidden="1">[30]CE!#REF!</definedName>
    <definedName name="_8__123Graph_XI_II_PLF" localSheetId="33" hidden="1">[30]CE!#REF!</definedName>
    <definedName name="_8__123Graph_XI_II_PLF" localSheetId="83" hidden="1">[1]CE!#REF!</definedName>
    <definedName name="_8__123Graph_XI_II_PLF" hidden="1">[29]CE!#REF!</definedName>
    <definedName name="_8485G" localSheetId="83">'[1]Stationwise Thermal &amp; Hydel Gen'!$GR$4:$HK$9</definedName>
    <definedName name="_8485G">'[18]Stationwise Thermal &amp; Hydel Gen'!$GR$4:$HK$9</definedName>
    <definedName name="_8GOTO_A_A501" localSheetId="43">#REF!</definedName>
    <definedName name="_8GOTO_A_A501" localSheetId="44">#REF!</definedName>
    <definedName name="_8GOTO_A_A501">#REF!</definedName>
    <definedName name="_8GOTO_E_A1" localSheetId="43">#REF!</definedName>
    <definedName name="_8GOTO_E_A1" localSheetId="44">#REF!</definedName>
    <definedName name="_8GOTO_E_A1">#REF!</definedName>
    <definedName name="_9GOTO_G_A1" localSheetId="43">#REF!</definedName>
    <definedName name="_9GOTO_G_A1" localSheetId="44">#REF!</definedName>
    <definedName name="_9GOTO_G_A1">#REF!</definedName>
    <definedName name="_a65565" localSheetId="43">#REF!</definedName>
    <definedName name="_a65565" localSheetId="44">#REF!</definedName>
    <definedName name="_a65565">#REF!</definedName>
    <definedName name="_Apr02" localSheetId="43">[10]Newabstract!#REF!</definedName>
    <definedName name="_Apr02" localSheetId="44">[10]Newabstract!#REF!</definedName>
    <definedName name="_Apr02" localSheetId="36">[10]Newabstract!#REF!</definedName>
    <definedName name="_Apr02" localSheetId="28">[10]Newabstract!#REF!</definedName>
    <definedName name="_Apr02" localSheetId="83">[1]Newabstract!#REF!</definedName>
    <definedName name="_Apr02">[10]Newabstract!#REF!</definedName>
    <definedName name="_Apr03" localSheetId="43">[10]Newabstract!#REF!</definedName>
    <definedName name="_Apr03" localSheetId="44">[10]Newabstract!#REF!</definedName>
    <definedName name="_Apr03" localSheetId="36">[10]Newabstract!#REF!</definedName>
    <definedName name="_Apr03" localSheetId="28">[10]Newabstract!#REF!</definedName>
    <definedName name="_Apr03" localSheetId="83">[1]Newabstract!#REF!</definedName>
    <definedName name="_Apr03">[10]Newabstract!#REF!</definedName>
    <definedName name="_Apr04" localSheetId="43">[10]Newabstract!#REF!</definedName>
    <definedName name="_Apr04" localSheetId="44">[10]Newabstract!#REF!</definedName>
    <definedName name="_Apr04" localSheetId="36">[10]Newabstract!#REF!</definedName>
    <definedName name="_Apr04" localSheetId="28">[10]Newabstract!#REF!</definedName>
    <definedName name="_Apr04" localSheetId="83">[1]Newabstract!#REF!</definedName>
    <definedName name="_Apr04">[10]Newabstract!#REF!</definedName>
    <definedName name="_Apr05" localSheetId="43">[10]Newabstract!#REF!</definedName>
    <definedName name="_Apr05" localSheetId="44">[10]Newabstract!#REF!</definedName>
    <definedName name="_Apr05" localSheetId="36">[10]Newabstract!#REF!</definedName>
    <definedName name="_Apr05" localSheetId="28">[10]Newabstract!#REF!</definedName>
    <definedName name="_Apr05" localSheetId="83">[1]Newabstract!#REF!</definedName>
    <definedName name="_Apr05">[10]Newabstract!#REF!</definedName>
    <definedName name="_Apr06" localSheetId="43">[10]Newabstract!#REF!</definedName>
    <definedName name="_Apr06" localSheetId="44">[10]Newabstract!#REF!</definedName>
    <definedName name="_Apr06" localSheetId="36">[10]Newabstract!#REF!</definedName>
    <definedName name="_Apr06" localSheetId="28">[10]Newabstract!#REF!</definedName>
    <definedName name="_Apr06" localSheetId="83">[1]Newabstract!#REF!</definedName>
    <definedName name="_Apr06">[10]Newabstract!#REF!</definedName>
    <definedName name="_Apr07" localSheetId="43">[10]Newabstract!#REF!</definedName>
    <definedName name="_Apr07" localSheetId="44">[10]Newabstract!#REF!</definedName>
    <definedName name="_Apr07" localSheetId="36">[10]Newabstract!#REF!</definedName>
    <definedName name="_Apr07" localSheetId="28">[10]Newabstract!#REF!</definedName>
    <definedName name="_Apr07" localSheetId="83">[1]Newabstract!#REF!</definedName>
    <definedName name="_Apr07">[10]Newabstract!#REF!</definedName>
    <definedName name="_Apr08" localSheetId="43">[10]Newabstract!#REF!</definedName>
    <definedName name="_Apr08" localSheetId="44">[10]Newabstract!#REF!</definedName>
    <definedName name="_Apr08" localSheetId="36">[10]Newabstract!#REF!</definedName>
    <definedName name="_Apr08" localSheetId="28">[10]Newabstract!#REF!</definedName>
    <definedName name="_Apr08" localSheetId="83">[1]Newabstract!#REF!</definedName>
    <definedName name="_Apr08">[10]Newabstract!#REF!</definedName>
    <definedName name="_Apr09" localSheetId="43">[10]Newabstract!#REF!</definedName>
    <definedName name="_Apr09" localSheetId="44">[10]Newabstract!#REF!</definedName>
    <definedName name="_Apr09" localSheetId="36">[10]Newabstract!#REF!</definedName>
    <definedName name="_Apr09" localSheetId="28">[10]Newabstract!#REF!</definedName>
    <definedName name="_Apr09" localSheetId="83">[1]Newabstract!#REF!</definedName>
    <definedName name="_Apr09">[10]Newabstract!#REF!</definedName>
    <definedName name="_Apr10" localSheetId="43">[10]Newabstract!#REF!</definedName>
    <definedName name="_Apr10" localSheetId="44">[10]Newabstract!#REF!</definedName>
    <definedName name="_Apr10" localSheetId="36">[10]Newabstract!#REF!</definedName>
    <definedName name="_Apr10" localSheetId="28">[10]Newabstract!#REF!</definedName>
    <definedName name="_Apr10" localSheetId="83">[1]Newabstract!#REF!</definedName>
    <definedName name="_Apr10">[10]Newabstract!#REF!</definedName>
    <definedName name="_Apr11" localSheetId="43">[10]Newabstract!#REF!</definedName>
    <definedName name="_Apr11" localSheetId="44">[10]Newabstract!#REF!</definedName>
    <definedName name="_Apr11" localSheetId="36">[10]Newabstract!#REF!</definedName>
    <definedName name="_Apr11" localSheetId="28">[10]Newabstract!#REF!</definedName>
    <definedName name="_Apr11" localSheetId="83">[1]Newabstract!#REF!</definedName>
    <definedName name="_Apr11">[10]Newabstract!#REF!</definedName>
    <definedName name="_Apr13" localSheetId="43">[10]Newabstract!#REF!</definedName>
    <definedName name="_Apr13" localSheetId="44">[10]Newabstract!#REF!</definedName>
    <definedName name="_Apr13" localSheetId="36">[10]Newabstract!#REF!</definedName>
    <definedName name="_Apr13" localSheetId="28">[10]Newabstract!#REF!</definedName>
    <definedName name="_Apr13" localSheetId="83">[1]Newabstract!#REF!</definedName>
    <definedName name="_Apr13">[10]Newabstract!#REF!</definedName>
    <definedName name="_Apr14" localSheetId="43">[10]Newabstract!#REF!</definedName>
    <definedName name="_Apr14" localSheetId="44">[10]Newabstract!#REF!</definedName>
    <definedName name="_Apr14" localSheetId="36">[10]Newabstract!#REF!</definedName>
    <definedName name="_Apr14" localSheetId="28">[10]Newabstract!#REF!</definedName>
    <definedName name="_Apr14" localSheetId="83">[1]Newabstract!#REF!</definedName>
    <definedName name="_Apr14">[10]Newabstract!#REF!</definedName>
    <definedName name="_Apr15" localSheetId="43">[10]Newabstract!#REF!</definedName>
    <definedName name="_Apr15" localSheetId="44">[10]Newabstract!#REF!</definedName>
    <definedName name="_Apr15" localSheetId="36">[10]Newabstract!#REF!</definedName>
    <definedName name="_Apr15" localSheetId="28">[10]Newabstract!#REF!</definedName>
    <definedName name="_Apr15" localSheetId="83">[1]Newabstract!#REF!</definedName>
    <definedName name="_Apr15">[10]Newabstract!#REF!</definedName>
    <definedName name="_Apr16" localSheetId="43">[10]Newabstract!#REF!</definedName>
    <definedName name="_Apr16" localSheetId="44">[10]Newabstract!#REF!</definedName>
    <definedName name="_Apr16" localSheetId="36">[10]Newabstract!#REF!</definedName>
    <definedName name="_Apr16" localSheetId="28">[10]Newabstract!#REF!</definedName>
    <definedName name="_Apr16" localSheetId="83">[1]Newabstract!#REF!</definedName>
    <definedName name="_Apr16">[10]Newabstract!#REF!</definedName>
    <definedName name="_Apr17" localSheetId="43">[10]Newabstract!#REF!</definedName>
    <definedName name="_Apr17" localSheetId="44">[10]Newabstract!#REF!</definedName>
    <definedName name="_Apr17" localSheetId="36">[10]Newabstract!#REF!</definedName>
    <definedName name="_Apr17" localSheetId="28">[10]Newabstract!#REF!</definedName>
    <definedName name="_Apr17" localSheetId="83">[1]Newabstract!#REF!</definedName>
    <definedName name="_Apr17">[10]Newabstract!#REF!</definedName>
    <definedName name="_Apr20" localSheetId="43">[10]Newabstract!#REF!</definedName>
    <definedName name="_Apr20" localSheetId="44">[10]Newabstract!#REF!</definedName>
    <definedName name="_Apr20" localSheetId="36">[10]Newabstract!#REF!</definedName>
    <definedName name="_Apr20" localSheetId="28">[10]Newabstract!#REF!</definedName>
    <definedName name="_Apr20" localSheetId="83">[1]Newabstract!#REF!</definedName>
    <definedName name="_Apr20">[10]Newabstract!#REF!</definedName>
    <definedName name="_Apr21" localSheetId="43">[10]Newabstract!#REF!</definedName>
    <definedName name="_Apr21" localSheetId="44">[10]Newabstract!#REF!</definedName>
    <definedName name="_Apr21" localSheetId="36">[10]Newabstract!#REF!</definedName>
    <definedName name="_Apr21" localSheetId="28">[10]Newabstract!#REF!</definedName>
    <definedName name="_Apr21" localSheetId="83">[1]Newabstract!#REF!</definedName>
    <definedName name="_Apr21">[10]Newabstract!#REF!</definedName>
    <definedName name="_Apr22" localSheetId="43">[10]Newabstract!#REF!</definedName>
    <definedName name="_Apr22" localSheetId="44">[10]Newabstract!#REF!</definedName>
    <definedName name="_Apr22" localSheetId="36">[10]Newabstract!#REF!</definedName>
    <definedName name="_Apr22" localSheetId="28">[10]Newabstract!#REF!</definedName>
    <definedName name="_Apr22" localSheetId="83">[1]Newabstract!#REF!</definedName>
    <definedName name="_Apr22">[10]Newabstract!#REF!</definedName>
    <definedName name="_Apr23" localSheetId="43">[10]Newabstract!#REF!</definedName>
    <definedName name="_Apr23" localSheetId="44">[10]Newabstract!#REF!</definedName>
    <definedName name="_Apr23" localSheetId="36">[10]Newabstract!#REF!</definedName>
    <definedName name="_Apr23" localSheetId="28">[10]Newabstract!#REF!</definedName>
    <definedName name="_Apr23" localSheetId="83">[1]Newabstract!#REF!</definedName>
    <definedName name="_Apr23">[10]Newabstract!#REF!</definedName>
    <definedName name="_Apr24" localSheetId="43">[10]Newabstract!#REF!</definedName>
    <definedName name="_Apr24" localSheetId="44">[10]Newabstract!#REF!</definedName>
    <definedName name="_Apr24" localSheetId="36">[10]Newabstract!#REF!</definedName>
    <definedName name="_Apr24" localSheetId="28">[10]Newabstract!#REF!</definedName>
    <definedName name="_Apr24" localSheetId="83">[1]Newabstract!#REF!</definedName>
    <definedName name="_Apr24">[10]Newabstract!#REF!</definedName>
    <definedName name="_Apr27" localSheetId="43">[10]Newabstract!#REF!</definedName>
    <definedName name="_Apr27" localSheetId="44">[10]Newabstract!#REF!</definedName>
    <definedName name="_Apr27" localSheetId="36">[10]Newabstract!#REF!</definedName>
    <definedName name="_Apr27" localSheetId="28">[10]Newabstract!#REF!</definedName>
    <definedName name="_Apr27" localSheetId="83">[1]Newabstract!#REF!</definedName>
    <definedName name="_Apr27">[10]Newabstract!#REF!</definedName>
    <definedName name="_Apr28" localSheetId="43">[10]Newabstract!#REF!</definedName>
    <definedName name="_Apr28" localSheetId="44">[10]Newabstract!#REF!</definedName>
    <definedName name="_Apr28" localSheetId="36">[10]Newabstract!#REF!</definedName>
    <definedName name="_Apr28" localSheetId="28">[10]Newabstract!#REF!</definedName>
    <definedName name="_Apr28" localSheetId="83">[1]Newabstract!#REF!</definedName>
    <definedName name="_Apr28">[10]Newabstract!#REF!</definedName>
    <definedName name="_Apr29" localSheetId="43">[10]Newabstract!#REF!</definedName>
    <definedName name="_Apr29" localSheetId="44">[10]Newabstract!#REF!</definedName>
    <definedName name="_Apr29" localSheetId="36">[10]Newabstract!#REF!</definedName>
    <definedName name="_Apr29" localSheetId="28">[10]Newabstract!#REF!</definedName>
    <definedName name="_Apr29" localSheetId="83">[1]Newabstract!#REF!</definedName>
    <definedName name="_Apr29">[10]Newabstract!#REF!</definedName>
    <definedName name="_Apr30" localSheetId="43">[10]Newabstract!#REF!</definedName>
    <definedName name="_Apr30" localSheetId="44">[10]Newabstract!#REF!</definedName>
    <definedName name="_Apr30" localSheetId="36">[10]Newabstract!#REF!</definedName>
    <definedName name="_Apr30" localSheetId="28">[10]Newabstract!#REF!</definedName>
    <definedName name="_Apr30" localSheetId="83">[1]Newabstract!#REF!</definedName>
    <definedName name="_Apr30">[10]Newabstract!#REF!</definedName>
    <definedName name="_arr2"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arr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b65555" localSheetId="43">#REF!</definedName>
    <definedName name="_b65555" localSheetId="44">#REF!</definedName>
    <definedName name="_b65555">#REF!</definedName>
    <definedName name="_BS1">[12]BSPL!$A$2:$E$56</definedName>
    <definedName name="_BSD1" localSheetId="43">#REF!</definedName>
    <definedName name="_BSD1" localSheetId="44">#REF!</definedName>
    <definedName name="_BSD1" localSheetId="36">#REF!</definedName>
    <definedName name="_BSD1" localSheetId="37">#REF!</definedName>
    <definedName name="_BSD1" localSheetId="28">#REF!</definedName>
    <definedName name="_BSD1" localSheetId="83">#REF!</definedName>
    <definedName name="_BSD1">#REF!</definedName>
    <definedName name="_BSD2" localSheetId="43">#REF!</definedName>
    <definedName name="_BSD2" localSheetId="44">#REF!</definedName>
    <definedName name="_BSD2" localSheetId="36">#REF!</definedName>
    <definedName name="_BSD2" localSheetId="37">#REF!</definedName>
    <definedName name="_BSD2" localSheetId="28">#REF!</definedName>
    <definedName name="_BSD2" localSheetId="83">#REF!</definedName>
    <definedName name="_BSD2">#REF!</definedName>
    <definedName name="_CZ1" localSheetId="83">[1]data!$F$721</definedName>
    <definedName name="_CZ1">[22]data!$F$721</definedName>
    <definedName name="_DAT1" localSheetId="43">#REF!</definedName>
    <definedName name="_DAT1" localSheetId="44">#REF!</definedName>
    <definedName name="_DAT1" localSheetId="36">#REF!</definedName>
    <definedName name="_DAT1" localSheetId="28">#REF!</definedName>
    <definedName name="_DAT1" localSheetId="83">#REF!</definedName>
    <definedName name="_DAT1">#REF!</definedName>
    <definedName name="_DAT10" localSheetId="43">#REF!</definedName>
    <definedName name="_DAT10" localSheetId="44">#REF!</definedName>
    <definedName name="_DAT10" localSheetId="36">#REF!</definedName>
    <definedName name="_DAT10" localSheetId="28">#REF!</definedName>
    <definedName name="_DAT10" localSheetId="83">#REF!</definedName>
    <definedName name="_DAT10">#REF!</definedName>
    <definedName name="_DAT11" localSheetId="43">#REF!</definedName>
    <definedName name="_DAT11" localSheetId="44">#REF!</definedName>
    <definedName name="_DAT11" localSheetId="36">#REF!</definedName>
    <definedName name="_DAT11" localSheetId="28">#REF!</definedName>
    <definedName name="_DAT11" localSheetId="83">#REF!</definedName>
    <definedName name="_DAT11">#REF!</definedName>
    <definedName name="_DAT12" localSheetId="43">#REF!</definedName>
    <definedName name="_DAT12" localSheetId="44">#REF!</definedName>
    <definedName name="_DAT12" localSheetId="36">#REF!</definedName>
    <definedName name="_DAT12" localSheetId="28">#REF!</definedName>
    <definedName name="_DAT12" localSheetId="83">#REF!</definedName>
    <definedName name="_DAT12">#REF!</definedName>
    <definedName name="_DAT13" localSheetId="43">#REF!</definedName>
    <definedName name="_DAT13" localSheetId="44">#REF!</definedName>
    <definedName name="_DAT13" localSheetId="36">#REF!</definedName>
    <definedName name="_DAT13" localSheetId="28">#REF!</definedName>
    <definedName name="_DAT13" localSheetId="83">#REF!</definedName>
    <definedName name="_DAT13">#REF!</definedName>
    <definedName name="_DAT14" localSheetId="43">#REF!</definedName>
    <definedName name="_DAT14" localSheetId="44">#REF!</definedName>
    <definedName name="_DAT14" localSheetId="36">#REF!</definedName>
    <definedName name="_DAT14" localSheetId="28">#REF!</definedName>
    <definedName name="_DAT14" localSheetId="83">#REF!</definedName>
    <definedName name="_DAT14">#REF!</definedName>
    <definedName name="_DAT15" localSheetId="43">#REF!</definedName>
    <definedName name="_DAT15" localSheetId="44">#REF!</definedName>
    <definedName name="_DAT15" localSheetId="36">#REF!</definedName>
    <definedName name="_DAT15" localSheetId="28">#REF!</definedName>
    <definedName name="_DAT15" localSheetId="83">#REF!</definedName>
    <definedName name="_DAT15">#REF!</definedName>
    <definedName name="_DAT16" localSheetId="43">#REF!</definedName>
    <definedName name="_DAT16" localSheetId="44">#REF!</definedName>
    <definedName name="_DAT16" localSheetId="36">#REF!</definedName>
    <definedName name="_DAT16" localSheetId="28">#REF!</definedName>
    <definedName name="_DAT16" localSheetId="83">#REF!</definedName>
    <definedName name="_DAT16">#REF!</definedName>
    <definedName name="_DAT17" localSheetId="43">#REF!</definedName>
    <definedName name="_DAT17" localSheetId="44">#REF!</definedName>
    <definedName name="_DAT17" localSheetId="36">#REF!</definedName>
    <definedName name="_DAT17" localSheetId="28">#REF!</definedName>
    <definedName name="_DAT17" localSheetId="83">#REF!</definedName>
    <definedName name="_DAT17">#REF!</definedName>
    <definedName name="_DAT18" localSheetId="43">#REF!</definedName>
    <definedName name="_DAT18" localSheetId="44">#REF!</definedName>
    <definedName name="_DAT18" localSheetId="36">#REF!</definedName>
    <definedName name="_DAT18" localSheetId="28">#REF!</definedName>
    <definedName name="_DAT18" localSheetId="83">#REF!</definedName>
    <definedName name="_DAT18">#REF!</definedName>
    <definedName name="_DAT19" localSheetId="43">#REF!</definedName>
    <definedName name="_DAT19" localSheetId="44">#REF!</definedName>
    <definedName name="_DAT19" localSheetId="36">#REF!</definedName>
    <definedName name="_DAT19" localSheetId="28">#REF!</definedName>
    <definedName name="_DAT19" localSheetId="83">#REF!</definedName>
    <definedName name="_DAT19">#REF!</definedName>
    <definedName name="_DAT2" localSheetId="43">#REF!</definedName>
    <definedName name="_DAT2" localSheetId="44">#REF!</definedName>
    <definedName name="_DAT2" localSheetId="36">#REF!</definedName>
    <definedName name="_DAT2" localSheetId="28">#REF!</definedName>
    <definedName name="_DAT2" localSheetId="83">#REF!</definedName>
    <definedName name="_DAT2">#REF!</definedName>
    <definedName name="_DAT20" localSheetId="43">#REF!</definedName>
    <definedName name="_DAT20" localSheetId="44">#REF!</definedName>
    <definedName name="_DAT20" localSheetId="36">#REF!</definedName>
    <definedName name="_DAT20" localSheetId="28">#REF!</definedName>
    <definedName name="_DAT20" localSheetId="83">#REF!</definedName>
    <definedName name="_DAT20">#REF!</definedName>
    <definedName name="_DAT21" localSheetId="43">#REF!</definedName>
    <definedName name="_DAT21" localSheetId="44">#REF!</definedName>
    <definedName name="_DAT21" localSheetId="36">#REF!</definedName>
    <definedName name="_DAT21" localSheetId="28">#REF!</definedName>
    <definedName name="_DAT21" localSheetId="83">#REF!</definedName>
    <definedName name="_DAT21">#REF!</definedName>
    <definedName name="_DAT22" localSheetId="43">#REF!</definedName>
    <definedName name="_DAT22" localSheetId="44">#REF!</definedName>
    <definedName name="_DAT22" localSheetId="36">#REF!</definedName>
    <definedName name="_DAT22" localSheetId="28">#REF!</definedName>
    <definedName name="_DAT22" localSheetId="83">#REF!</definedName>
    <definedName name="_DAT22">#REF!</definedName>
    <definedName name="_DAT23" localSheetId="43">#REF!</definedName>
    <definedName name="_DAT23" localSheetId="44">#REF!</definedName>
    <definedName name="_DAT23" localSheetId="36">#REF!</definedName>
    <definedName name="_DAT23" localSheetId="28">#REF!</definedName>
    <definedName name="_DAT23" localSheetId="83">#REF!</definedName>
    <definedName name="_DAT23">#REF!</definedName>
    <definedName name="_DAT24" localSheetId="43">#REF!</definedName>
    <definedName name="_DAT24" localSheetId="44">#REF!</definedName>
    <definedName name="_DAT24" localSheetId="36">#REF!</definedName>
    <definedName name="_DAT24" localSheetId="28">#REF!</definedName>
    <definedName name="_DAT24" localSheetId="83">#REF!</definedName>
    <definedName name="_DAT24">#REF!</definedName>
    <definedName name="_DAT25" localSheetId="43">#REF!</definedName>
    <definedName name="_DAT25" localSheetId="44">#REF!</definedName>
    <definedName name="_DAT25" localSheetId="36">#REF!</definedName>
    <definedName name="_DAT25" localSheetId="28">#REF!</definedName>
    <definedName name="_DAT25" localSheetId="83">#REF!</definedName>
    <definedName name="_DAT25">#REF!</definedName>
    <definedName name="_DAT26" localSheetId="43">#REF!</definedName>
    <definedName name="_DAT26" localSheetId="44">#REF!</definedName>
    <definedName name="_DAT26" localSheetId="36">#REF!</definedName>
    <definedName name="_DAT26" localSheetId="28">#REF!</definedName>
    <definedName name="_DAT26" localSheetId="83">#REF!</definedName>
    <definedName name="_DAT26">#REF!</definedName>
    <definedName name="_DAT27" localSheetId="43">#REF!</definedName>
    <definedName name="_DAT27" localSheetId="44">#REF!</definedName>
    <definedName name="_DAT27" localSheetId="36">#REF!</definedName>
    <definedName name="_DAT27" localSheetId="28">#REF!</definedName>
    <definedName name="_DAT27" localSheetId="83">#REF!</definedName>
    <definedName name="_DAT27">#REF!</definedName>
    <definedName name="_DAT28" localSheetId="43">#REF!</definedName>
    <definedName name="_DAT28" localSheetId="44">#REF!</definedName>
    <definedName name="_DAT28" localSheetId="36">#REF!</definedName>
    <definedName name="_DAT28" localSheetId="28">#REF!</definedName>
    <definedName name="_DAT28" localSheetId="83">#REF!</definedName>
    <definedName name="_DAT28">#REF!</definedName>
    <definedName name="_DAT29" localSheetId="43">#REF!</definedName>
    <definedName name="_DAT29" localSheetId="44">#REF!</definedName>
    <definedName name="_DAT29" localSheetId="36">#REF!</definedName>
    <definedName name="_DAT29" localSheetId="28">#REF!</definedName>
    <definedName name="_DAT29" localSheetId="83">#REF!</definedName>
    <definedName name="_DAT29">#REF!</definedName>
    <definedName name="_DAT3" localSheetId="43">#REF!</definedName>
    <definedName name="_DAT3" localSheetId="44">#REF!</definedName>
    <definedName name="_DAT3" localSheetId="36">#REF!</definedName>
    <definedName name="_DAT3" localSheetId="28">#REF!</definedName>
    <definedName name="_DAT3" localSheetId="83">#REF!</definedName>
    <definedName name="_DAT3">#REF!</definedName>
    <definedName name="_DAT30" localSheetId="43">#REF!</definedName>
    <definedName name="_DAT30" localSheetId="44">#REF!</definedName>
    <definedName name="_DAT30" localSheetId="36">#REF!</definedName>
    <definedName name="_DAT30" localSheetId="28">#REF!</definedName>
    <definedName name="_DAT30" localSheetId="83">#REF!</definedName>
    <definedName name="_DAT30">#REF!</definedName>
    <definedName name="_DAT31" localSheetId="43">#REF!</definedName>
    <definedName name="_DAT31" localSheetId="44">#REF!</definedName>
    <definedName name="_DAT31" localSheetId="36">#REF!</definedName>
    <definedName name="_DAT31" localSheetId="28">#REF!</definedName>
    <definedName name="_DAT31" localSheetId="83">#REF!</definedName>
    <definedName name="_DAT31">#REF!</definedName>
    <definedName name="_DAT32" localSheetId="43">#REF!</definedName>
    <definedName name="_DAT32" localSheetId="44">#REF!</definedName>
    <definedName name="_DAT32" localSheetId="36">#REF!</definedName>
    <definedName name="_DAT32" localSheetId="28">#REF!</definedName>
    <definedName name="_DAT32" localSheetId="83">#REF!</definedName>
    <definedName name="_DAT32">#REF!</definedName>
    <definedName name="_DAT33" localSheetId="43">#REF!</definedName>
    <definedName name="_DAT33" localSheetId="44">#REF!</definedName>
    <definedName name="_DAT33" localSheetId="36">#REF!</definedName>
    <definedName name="_DAT33" localSheetId="28">#REF!</definedName>
    <definedName name="_DAT33" localSheetId="83">#REF!</definedName>
    <definedName name="_DAT33">#REF!</definedName>
    <definedName name="_DAT34" localSheetId="43">#REF!</definedName>
    <definedName name="_DAT34" localSheetId="44">#REF!</definedName>
    <definedName name="_DAT34" localSheetId="36">#REF!</definedName>
    <definedName name="_DAT34" localSheetId="28">#REF!</definedName>
    <definedName name="_DAT34" localSheetId="83">#REF!</definedName>
    <definedName name="_DAT34">#REF!</definedName>
    <definedName name="_DAT35" localSheetId="43">#REF!</definedName>
    <definedName name="_DAT35" localSheetId="44">#REF!</definedName>
    <definedName name="_DAT35" localSheetId="36">#REF!</definedName>
    <definedName name="_DAT35" localSheetId="28">#REF!</definedName>
    <definedName name="_DAT35" localSheetId="83">#REF!</definedName>
    <definedName name="_DAT35">#REF!</definedName>
    <definedName name="_DAT36" localSheetId="43">#REF!</definedName>
    <definedName name="_DAT36" localSheetId="44">#REF!</definedName>
    <definedName name="_DAT36" localSheetId="36">#REF!</definedName>
    <definedName name="_DAT36" localSheetId="28">#REF!</definedName>
    <definedName name="_DAT36" localSheetId="83">#REF!</definedName>
    <definedName name="_DAT36">#REF!</definedName>
    <definedName name="_DAT37" localSheetId="43">#REF!</definedName>
    <definedName name="_DAT37" localSheetId="44">#REF!</definedName>
    <definedName name="_DAT37" localSheetId="36">#REF!</definedName>
    <definedName name="_DAT37" localSheetId="28">#REF!</definedName>
    <definedName name="_DAT37" localSheetId="83">#REF!</definedName>
    <definedName name="_DAT37">#REF!</definedName>
    <definedName name="_DAT38" localSheetId="43">#REF!</definedName>
    <definedName name="_DAT38" localSheetId="44">#REF!</definedName>
    <definedName name="_DAT38" localSheetId="36">#REF!</definedName>
    <definedName name="_DAT38" localSheetId="28">#REF!</definedName>
    <definedName name="_DAT38" localSheetId="83">#REF!</definedName>
    <definedName name="_DAT38">#REF!</definedName>
    <definedName name="_DAT39" localSheetId="43">#REF!</definedName>
    <definedName name="_DAT39" localSheetId="44">#REF!</definedName>
    <definedName name="_DAT39" localSheetId="36">#REF!</definedName>
    <definedName name="_DAT39" localSheetId="28">#REF!</definedName>
    <definedName name="_DAT39" localSheetId="83">#REF!</definedName>
    <definedName name="_DAT39">#REF!</definedName>
    <definedName name="_DAT4" localSheetId="43">#REF!</definedName>
    <definedName name="_DAT4" localSheetId="44">#REF!</definedName>
    <definedName name="_DAT4" localSheetId="36">#REF!</definedName>
    <definedName name="_DAT4" localSheetId="28">#REF!</definedName>
    <definedName name="_DAT4" localSheetId="83">#REF!</definedName>
    <definedName name="_DAT4">#REF!</definedName>
    <definedName name="_DAT40" localSheetId="43">#REF!</definedName>
    <definedName name="_DAT40" localSheetId="44">#REF!</definedName>
    <definedName name="_DAT40" localSheetId="36">#REF!</definedName>
    <definedName name="_DAT40" localSheetId="28">#REF!</definedName>
    <definedName name="_DAT40" localSheetId="83">#REF!</definedName>
    <definedName name="_DAT40">#REF!</definedName>
    <definedName name="_DAT41" localSheetId="43">#REF!</definedName>
    <definedName name="_DAT41" localSheetId="44">#REF!</definedName>
    <definedName name="_DAT41" localSheetId="36">#REF!</definedName>
    <definedName name="_DAT41" localSheetId="28">#REF!</definedName>
    <definedName name="_DAT41" localSheetId="83">#REF!</definedName>
    <definedName name="_DAT41">#REF!</definedName>
    <definedName name="_DAT42" localSheetId="43">#REF!</definedName>
    <definedName name="_DAT42" localSheetId="44">#REF!</definedName>
    <definedName name="_DAT42" localSheetId="36">#REF!</definedName>
    <definedName name="_DAT42" localSheetId="28">#REF!</definedName>
    <definedName name="_DAT42" localSheetId="83">#REF!</definedName>
    <definedName name="_DAT42">#REF!</definedName>
    <definedName name="_DAT43" localSheetId="43">#REF!</definedName>
    <definedName name="_DAT43" localSheetId="44">#REF!</definedName>
    <definedName name="_DAT43" localSheetId="36">#REF!</definedName>
    <definedName name="_DAT43" localSheetId="28">#REF!</definedName>
    <definedName name="_DAT43" localSheetId="83">#REF!</definedName>
    <definedName name="_DAT43">#REF!</definedName>
    <definedName name="_DAT44" localSheetId="43">#REF!</definedName>
    <definedName name="_DAT44" localSheetId="44">#REF!</definedName>
    <definedName name="_DAT44" localSheetId="36">#REF!</definedName>
    <definedName name="_DAT44" localSheetId="28">#REF!</definedName>
    <definedName name="_DAT44" localSheetId="83">#REF!</definedName>
    <definedName name="_DAT44">#REF!</definedName>
    <definedName name="_DAT45" localSheetId="43">#REF!</definedName>
    <definedName name="_DAT45" localSheetId="44">#REF!</definedName>
    <definedName name="_DAT45" localSheetId="36">#REF!</definedName>
    <definedName name="_DAT45" localSheetId="28">#REF!</definedName>
    <definedName name="_DAT45" localSheetId="83">#REF!</definedName>
    <definedName name="_DAT45">#REF!</definedName>
    <definedName name="_DAT46" localSheetId="43">#REF!</definedName>
    <definedName name="_DAT46" localSheetId="44">#REF!</definedName>
    <definedName name="_DAT46" localSheetId="36">#REF!</definedName>
    <definedName name="_DAT46" localSheetId="28">#REF!</definedName>
    <definedName name="_DAT46" localSheetId="83">#REF!</definedName>
    <definedName name="_DAT46">#REF!</definedName>
    <definedName name="_DAT47" localSheetId="43">#REF!</definedName>
    <definedName name="_DAT47" localSheetId="44">#REF!</definedName>
    <definedName name="_DAT47" localSheetId="36">#REF!</definedName>
    <definedName name="_DAT47" localSheetId="28">#REF!</definedName>
    <definedName name="_DAT47" localSheetId="83">#REF!</definedName>
    <definedName name="_DAT47">#REF!</definedName>
    <definedName name="_DAT48" localSheetId="43">#REF!</definedName>
    <definedName name="_DAT48" localSheetId="44">#REF!</definedName>
    <definedName name="_DAT48" localSheetId="36">#REF!</definedName>
    <definedName name="_DAT48" localSheetId="28">#REF!</definedName>
    <definedName name="_DAT48" localSheetId="83">#REF!</definedName>
    <definedName name="_DAT48">#REF!</definedName>
    <definedName name="_DAT49" localSheetId="43">#REF!</definedName>
    <definedName name="_DAT49" localSheetId="44">#REF!</definedName>
    <definedName name="_DAT49" localSheetId="36">#REF!</definedName>
    <definedName name="_DAT49" localSheetId="28">#REF!</definedName>
    <definedName name="_DAT49" localSheetId="83">#REF!</definedName>
    <definedName name="_DAT49">#REF!</definedName>
    <definedName name="_DAT5" localSheetId="43">#REF!</definedName>
    <definedName name="_DAT5" localSheetId="44">#REF!</definedName>
    <definedName name="_DAT5" localSheetId="36">#REF!</definedName>
    <definedName name="_DAT5" localSheetId="28">#REF!</definedName>
    <definedName name="_DAT5" localSheetId="83">#REF!</definedName>
    <definedName name="_DAT5">#REF!</definedName>
    <definedName name="_DAT50" localSheetId="43">#REF!</definedName>
    <definedName name="_DAT50" localSheetId="44">#REF!</definedName>
    <definedName name="_DAT50" localSheetId="36">#REF!</definedName>
    <definedName name="_DAT50" localSheetId="28">#REF!</definedName>
    <definedName name="_DAT50" localSheetId="83">#REF!</definedName>
    <definedName name="_DAT50">#REF!</definedName>
    <definedName name="_DAT51" localSheetId="43">#REF!</definedName>
    <definedName name="_DAT51" localSheetId="44">#REF!</definedName>
    <definedName name="_DAT51" localSheetId="36">#REF!</definedName>
    <definedName name="_DAT51" localSheetId="28">#REF!</definedName>
    <definedName name="_DAT51" localSheetId="83">#REF!</definedName>
    <definedName name="_DAT51">#REF!</definedName>
    <definedName name="_DAT52" localSheetId="43">#REF!</definedName>
    <definedName name="_DAT52" localSheetId="44">#REF!</definedName>
    <definedName name="_DAT52" localSheetId="36">#REF!</definedName>
    <definedName name="_DAT52" localSheetId="28">#REF!</definedName>
    <definedName name="_DAT52" localSheetId="83">#REF!</definedName>
    <definedName name="_DAT52">#REF!</definedName>
    <definedName name="_DAT53" localSheetId="43">#REF!</definedName>
    <definedName name="_DAT53" localSheetId="44">#REF!</definedName>
    <definedName name="_DAT53" localSheetId="36">#REF!</definedName>
    <definedName name="_DAT53" localSheetId="28">#REF!</definedName>
    <definedName name="_DAT53" localSheetId="83">#REF!</definedName>
    <definedName name="_DAT53">#REF!</definedName>
    <definedName name="_DAT54" localSheetId="43">#REF!</definedName>
    <definedName name="_DAT54" localSheetId="44">#REF!</definedName>
    <definedName name="_DAT54" localSheetId="36">#REF!</definedName>
    <definedName name="_DAT54" localSheetId="28">#REF!</definedName>
    <definedName name="_DAT54" localSheetId="83">#REF!</definedName>
    <definedName name="_DAT54">#REF!</definedName>
    <definedName name="_DAT55" localSheetId="43">#REF!</definedName>
    <definedName name="_DAT55" localSheetId="44">#REF!</definedName>
    <definedName name="_DAT55" localSheetId="36">#REF!</definedName>
    <definedName name="_DAT55" localSheetId="28">#REF!</definedName>
    <definedName name="_DAT55" localSheetId="83">#REF!</definedName>
    <definedName name="_DAT55">#REF!</definedName>
    <definedName name="_DAT56" localSheetId="43">#REF!</definedName>
    <definedName name="_DAT56" localSheetId="44">#REF!</definedName>
    <definedName name="_DAT56" localSheetId="36">#REF!</definedName>
    <definedName name="_DAT56" localSheetId="28">#REF!</definedName>
    <definedName name="_DAT56" localSheetId="83">#REF!</definedName>
    <definedName name="_DAT56">#REF!</definedName>
    <definedName name="_DAT57" localSheetId="43">#REF!</definedName>
    <definedName name="_DAT57" localSheetId="44">#REF!</definedName>
    <definedName name="_DAT57" localSheetId="36">#REF!</definedName>
    <definedName name="_DAT57" localSheetId="28">#REF!</definedName>
    <definedName name="_DAT57" localSheetId="83">#REF!</definedName>
    <definedName name="_DAT57">#REF!</definedName>
    <definedName name="_DAT58" localSheetId="43">#REF!</definedName>
    <definedName name="_DAT58" localSheetId="44">#REF!</definedName>
    <definedName name="_DAT58" localSheetId="36">#REF!</definedName>
    <definedName name="_DAT58" localSheetId="28">#REF!</definedName>
    <definedName name="_DAT58" localSheetId="83">#REF!</definedName>
    <definedName name="_DAT58">#REF!</definedName>
    <definedName name="_DAT59" localSheetId="43">#REF!</definedName>
    <definedName name="_DAT59" localSheetId="44">#REF!</definedName>
    <definedName name="_DAT59" localSheetId="36">#REF!</definedName>
    <definedName name="_DAT59" localSheetId="28">#REF!</definedName>
    <definedName name="_DAT59" localSheetId="83">#REF!</definedName>
    <definedName name="_DAT59">#REF!</definedName>
    <definedName name="_DAT6" localSheetId="43">#REF!</definedName>
    <definedName name="_DAT6" localSheetId="44">#REF!</definedName>
    <definedName name="_DAT6" localSheetId="36">#REF!</definedName>
    <definedName name="_DAT6" localSheetId="28">#REF!</definedName>
    <definedName name="_DAT6" localSheetId="83">#REF!</definedName>
    <definedName name="_DAT6">#REF!</definedName>
    <definedName name="_DAT60" localSheetId="43">#REF!</definedName>
    <definedName name="_DAT60" localSheetId="44">#REF!</definedName>
    <definedName name="_DAT60" localSheetId="36">#REF!</definedName>
    <definedName name="_DAT60" localSheetId="28">#REF!</definedName>
    <definedName name="_DAT60" localSheetId="83">#REF!</definedName>
    <definedName name="_DAT60">#REF!</definedName>
    <definedName name="_DAT61" localSheetId="43">#REF!</definedName>
    <definedName name="_DAT61" localSheetId="44">#REF!</definedName>
    <definedName name="_DAT61" localSheetId="36">#REF!</definedName>
    <definedName name="_DAT61" localSheetId="28">#REF!</definedName>
    <definedName name="_DAT61" localSheetId="83">#REF!</definedName>
    <definedName name="_DAT61">#REF!</definedName>
    <definedName name="_DAT62" localSheetId="43">#REF!</definedName>
    <definedName name="_DAT62" localSheetId="44">#REF!</definedName>
    <definedName name="_DAT62" localSheetId="36">#REF!</definedName>
    <definedName name="_DAT62" localSheetId="28">#REF!</definedName>
    <definedName name="_DAT62" localSheetId="83">#REF!</definedName>
    <definedName name="_DAT62">#REF!</definedName>
    <definedName name="_DAT63" localSheetId="43">#REF!</definedName>
    <definedName name="_DAT63" localSheetId="44">#REF!</definedName>
    <definedName name="_DAT63" localSheetId="36">#REF!</definedName>
    <definedName name="_DAT63" localSheetId="28">#REF!</definedName>
    <definedName name="_DAT63" localSheetId="83">#REF!</definedName>
    <definedName name="_DAT63">#REF!</definedName>
    <definedName name="_DAT64" localSheetId="43">#REF!</definedName>
    <definedName name="_DAT64" localSheetId="44">#REF!</definedName>
    <definedName name="_DAT64" localSheetId="36">#REF!</definedName>
    <definedName name="_DAT64" localSheetId="28">#REF!</definedName>
    <definedName name="_DAT64" localSheetId="83">#REF!</definedName>
    <definedName name="_DAT64">#REF!</definedName>
    <definedName name="_DAT65" localSheetId="43">#REF!</definedName>
    <definedName name="_DAT65" localSheetId="44">#REF!</definedName>
    <definedName name="_DAT65" localSheetId="36">#REF!</definedName>
    <definedName name="_DAT65" localSheetId="28">#REF!</definedName>
    <definedName name="_DAT65" localSheetId="83">#REF!</definedName>
    <definedName name="_DAT65">#REF!</definedName>
    <definedName name="_DAT66" localSheetId="43">#REF!</definedName>
    <definedName name="_DAT66" localSheetId="44">#REF!</definedName>
    <definedName name="_DAT66" localSheetId="36">#REF!</definedName>
    <definedName name="_DAT66" localSheetId="28">#REF!</definedName>
    <definedName name="_DAT66" localSheetId="83">#REF!</definedName>
    <definedName name="_DAT66">#REF!</definedName>
    <definedName name="_DAT67" localSheetId="43">#REF!</definedName>
    <definedName name="_DAT67" localSheetId="44">#REF!</definedName>
    <definedName name="_DAT67" localSheetId="36">#REF!</definedName>
    <definedName name="_DAT67" localSheetId="28">#REF!</definedName>
    <definedName name="_DAT67" localSheetId="83">#REF!</definedName>
    <definedName name="_DAT67">#REF!</definedName>
    <definedName name="_DAT68" localSheetId="43">#REF!</definedName>
    <definedName name="_DAT68" localSheetId="44">#REF!</definedName>
    <definedName name="_DAT68" localSheetId="36">#REF!</definedName>
    <definedName name="_DAT68" localSheetId="28">#REF!</definedName>
    <definedName name="_DAT68" localSheetId="83">#REF!</definedName>
    <definedName name="_DAT68">#REF!</definedName>
    <definedName name="_DAT69" localSheetId="43">#REF!</definedName>
    <definedName name="_DAT69" localSheetId="44">#REF!</definedName>
    <definedName name="_DAT69" localSheetId="36">#REF!</definedName>
    <definedName name="_DAT69" localSheetId="28">#REF!</definedName>
    <definedName name="_DAT69" localSheetId="83">#REF!</definedName>
    <definedName name="_DAT69">#REF!</definedName>
    <definedName name="_DAT7" localSheetId="43">#REF!</definedName>
    <definedName name="_DAT7" localSheetId="44">#REF!</definedName>
    <definedName name="_DAT7" localSheetId="36">#REF!</definedName>
    <definedName name="_DAT7" localSheetId="28">#REF!</definedName>
    <definedName name="_DAT7" localSheetId="83">#REF!</definedName>
    <definedName name="_DAT7">#REF!</definedName>
    <definedName name="_DAT70" localSheetId="43">#REF!</definedName>
    <definedName name="_DAT70" localSheetId="44">#REF!</definedName>
    <definedName name="_DAT70" localSheetId="36">#REF!</definedName>
    <definedName name="_DAT70" localSheetId="28">#REF!</definedName>
    <definedName name="_DAT70" localSheetId="83">#REF!</definedName>
    <definedName name="_DAT70">#REF!</definedName>
    <definedName name="_DAT71" localSheetId="43">#REF!</definedName>
    <definedName name="_DAT71" localSheetId="44">#REF!</definedName>
    <definedName name="_DAT71" localSheetId="36">#REF!</definedName>
    <definedName name="_DAT71" localSheetId="28">#REF!</definedName>
    <definedName name="_DAT71" localSheetId="83">#REF!</definedName>
    <definedName name="_DAT71">#REF!</definedName>
    <definedName name="_DAT72" localSheetId="43">#REF!</definedName>
    <definedName name="_DAT72" localSheetId="44">#REF!</definedName>
    <definedName name="_DAT72" localSheetId="36">#REF!</definedName>
    <definedName name="_DAT72" localSheetId="28">#REF!</definedName>
    <definedName name="_DAT72" localSheetId="83">#REF!</definedName>
    <definedName name="_DAT72">#REF!</definedName>
    <definedName name="_DAT73" localSheetId="43">#REF!</definedName>
    <definedName name="_DAT73" localSheetId="44">#REF!</definedName>
    <definedName name="_DAT73" localSheetId="36">#REF!</definedName>
    <definedName name="_DAT73" localSheetId="28">#REF!</definedName>
    <definedName name="_DAT73" localSheetId="83">#REF!</definedName>
    <definedName name="_DAT73">#REF!</definedName>
    <definedName name="_DAT74" localSheetId="43">#REF!</definedName>
    <definedName name="_DAT74" localSheetId="44">#REF!</definedName>
    <definedName name="_DAT74" localSheetId="36">#REF!</definedName>
    <definedName name="_DAT74" localSheetId="28">#REF!</definedName>
    <definedName name="_DAT74" localSheetId="83">#REF!</definedName>
    <definedName name="_DAT74">#REF!</definedName>
    <definedName name="_DAT75" localSheetId="43">#REF!</definedName>
    <definedName name="_DAT75" localSheetId="44">#REF!</definedName>
    <definedName name="_DAT75" localSheetId="36">#REF!</definedName>
    <definedName name="_DAT75" localSheetId="28">#REF!</definedName>
    <definedName name="_DAT75" localSheetId="83">#REF!</definedName>
    <definedName name="_DAT75">#REF!</definedName>
    <definedName name="_DAT76" localSheetId="43">#REF!</definedName>
    <definedName name="_DAT76" localSheetId="44">#REF!</definedName>
    <definedName name="_DAT76" localSheetId="36">#REF!</definedName>
    <definedName name="_DAT76" localSheetId="28">#REF!</definedName>
    <definedName name="_DAT76" localSheetId="83">#REF!</definedName>
    <definedName name="_DAT76">#REF!</definedName>
    <definedName name="_DAT77" localSheetId="43">#REF!</definedName>
    <definedName name="_DAT77" localSheetId="44">#REF!</definedName>
    <definedName name="_DAT77" localSheetId="36">#REF!</definedName>
    <definedName name="_DAT77" localSheetId="28">#REF!</definedName>
    <definedName name="_DAT77" localSheetId="83">#REF!</definedName>
    <definedName name="_DAT77">#REF!</definedName>
    <definedName name="_DAT78" localSheetId="43">#REF!</definedName>
    <definedName name="_DAT78" localSheetId="44">#REF!</definedName>
    <definedName name="_DAT78" localSheetId="36">#REF!</definedName>
    <definedName name="_DAT78" localSheetId="28">#REF!</definedName>
    <definedName name="_DAT78" localSheetId="83">#REF!</definedName>
    <definedName name="_DAT78">#REF!</definedName>
    <definedName name="_DAT79" localSheetId="43">#REF!</definedName>
    <definedName name="_DAT79" localSheetId="44">#REF!</definedName>
    <definedName name="_DAT79" localSheetId="36">#REF!</definedName>
    <definedName name="_DAT79" localSheetId="28">#REF!</definedName>
    <definedName name="_DAT79" localSheetId="83">#REF!</definedName>
    <definedName name="_DAT79">#REF!</definedName>
    <definedName name="_DAT8" localSheetId="43">#REF!</definedName>
    <definedName name="_DAT8" localSheetId="44">#REF!</definedName>
    <definedName name="_DAT8" localSheetId="36">#REF!</definedName>
    <definedName name="_DAT8" localSheetId="28">#REF!</definedName>
    <definedName name="_DAT8" localSheetId="83">#REF!</definedName>
    <definedName name="_DAT8">#REF!</definedName>
    <definedName name="_DAT80" localSheetId="43">#REF!</definedName>
    <definedName name="_DAT80" localSheetId="44">#REF!</definedName>
    <definedName name="_DAT80" localSheetId="36">#REF!</definedName>
    <definedName name="_DAT80" localSheetId="28">#REF!</definedName>
    <definedName name="_DAT80" localSheetId="83">#REF!</definedName>
    <definedName name="_DAT80">#REF!</definedName>
    <definedName name="_DAT81" localSheetId="43">#REF!</definedName>
    <definedName name="_DAT81" localSheetId="44">#REF!</definedName>
    <definedName name="_DAT81" localSheetId="36">#REF!</definedName>
    <definedName name="_DAT81" localSheetId="28">#REF!</definedName>
    <definedName name="_DAT81" localSheetId="83">#REF!</definedName>
    <definedName name="_DAT81">#REF!</definedName>
    <definedName name="_DAT82" localSheetId="43">#REF!</definedName>
    <definedName name="_DAT82" localSheetId="44">#REF!</definedName>
    <definedName name="_DAT82" localSheetId="36">#REF!</definedName>
    <definedName name="_DAT82" localSheetId="28">#REF!</definedName>
    <definedName name="_DAT82" localSheetId="83">#REF!</definedName>
    <definedName name="_DAT82">#REF!</definedName>
    <definedName name="_DAT83" localSheetId="43">#REF!</definedName>
    <definedName name="_DAT83" localSheetId="44">#REF!</definedName>
    <definedName name="_DAT83" localSheetId="36">#REF!</definedName>
    <definedName name="_DAT83" localSheetId="28">#REF!</definedName>
    <definedName name="_DAT83" localSheetId="83">#REF!</definedName>
    <definedName name="_DAT83">#REF!</definedName>
    <definedName name="_DAT84" localSheetId="43">#REF!</definedName>
    <definedName name="_DAT84" localSheetId="44">#REF!</definedName>
    <definedName name="_DAT84" localSheetId="36">#REF!</definedName>
    <definedName name="_DAT84" localSheetId="28">#REF!</definedName>
    <definedName name="_DAT84" localSheetId="83">#REF!</definedName>
    <definedName name="_DAT84">#REF!</definedName>
    <definedName name="_DAT85" localSheetId="43">#REF!</definedName>
    <definedName name="_DAT85" localSheetId="44">#REF!</definedName>
    <definedName name="_DAT85" localSheetId="36">#REF!</definedName>
    <definedName name="_DAT85" localSheetId="28">#REF!</definedName>
    <definedName name="_DAT85" localSheetId="83">#REF!</definedName>
    <definedName name="_DAT85">#REF!</definedName>
    <definedName name="_DAT86" localSheetId="43">#REF!</definedName>
    <definedName name="_DAT86" localSheetId="44">#REF!</definedName>
    <definedName name="_DAT86" localSheetId="36">#REF!</definedName>
    <definedName name="_DAT86" localSheetId="28">#REF!</definedName>
    <definedName name="_DAT86" localSheetId="83">#REF!</definedName>
    <definedName name="_DAT86">#REF!</definedName>
    <definedName name="_DAT87" localSheetId="43">#REF!</definedName>
    <definedName name="_DAT87" localSheetId="44">#REF!</definedName>
    <definedName name="_DAT87" localSheetId="36">#REF!</definedName>
    <definedName name="_DAT87" localSheetId="28">#REF!</definedName>
    <definedName name="_DAT87" localSheetId="83">#REF!</definedName>
    <definedName name="_DAT87">#REF!</definedName>
    <definedName name="_DAT9" localSheetId="43">#REF!</definedName>
    <definedName name="_DAT9" localSheetId="44">#REF!</definedName>
    <definedName name="_DAT9" localSheetId="36">#REF!</definedName>
    <definedName name="_DAT9" localSheetId="28">#REF!</definedName>
    <definedName name="_DAT9" localSheetId="83">#REF!</definedName>
    <definedName name="_DAT9">#REF!</definedName>
    <definedName name="_Fba5" localSheetId="43">'[23]CAPI_01-02'!#REF!</definedName>
    <definedName name="_Fba5" localSheetId="44">'[23]CAPI_01-02'!#REF!</definedName>
    <definedName name="_Fba5" localSheetId="36">'[23]CAPI_01-02'!#REF!</definedName>
    <definedName name="_Fba5" localSheetId="28">'[23]CAPI_01-02'!#REF!</definedName>
    <definedName name="_Fba5" localSheetId="83">'[1]CAPI_01-02'!#REF!</definedName>
    <definedName name="_Fba5">'[23]CAPI_01-02'!#REF!</definedName>
    <definedName name="_FC1" localSheetId="36">[13]DEMFIXLD!$A$1:$E$205</definedName>
    <definedName name="_FC1" localSheetId="83">[1]DEMFIXLD!$A$1:$E$205</definedName>
    <definedName name="_FC1">[13]DEMFIXLD!$A$1:$E$205</definedName>
    <definedName name="_Fill" localSheetId="43" hidden="1">#REF!</definedName>
    <definedName name="_Fill" localSheetId="44" hidden="1">#REF!</definedName>
    <definedName name="_Fill" localSheetId="36" hidden="1">#REF!</definedName>
    <definedName name="_Fill" localSheetId="37" hidden="1">#REF!</definedName>
    <definedName name="_Fill" localSheetId="25" hidden="1">#REF!</definedName>
    <definedName name="_Fill" localSheetId="26" hidden="1">#REF!</definedName>
    <definedName name="_Fill" localSheetId="27" hidden="1">#REF!</definedName>
    <definedName name="_Fill" localSheetId="29" hidden="1">#REF!</definedName>
    <definedName name="_Fill" localSheetId="30" hidden="1">#REF!</definedName>
    <definedName name="_Fill" localSheetId="31" hidden="1">#REF!</definedName>
    <definedName name="_Fill" localSheetId="28"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56" hidden="1">#REF!</definedName>
    <definedName name="_Fill" localSheetId="64" hidden="1">#REF!</definedName>
    <definedName name="_Fill" localSheetId="72" hidden="1">#REF!</definedName>
    <definedName name="_Fill" localSheetId="83" hidden="1">#REF!</definedName>
    <definedName name="_Fill" hidden="1">#REF!</definedName>
    <definedName name="_xlnm._FilterDatabase" localSheetId="36" hidden="1">'F 13E'!$A$5:$I$181</definedName>
    <definedName name="_xlnm._FilterDatabase" localSheetId="27" hidden="1">F13_21_22!$A$13:$EP$220</definedName>
    <definedName name="_xlnm._FilterDatabase" localSheetId="29" hidden="1">F13_22_23!$A$10:$O$215</definedName>
    <definedName name="_xlnm._FilterDatabase" localSheetId="31" hidden="1">'F13B 20 21_TrueUp'!$A$1:$WZL$422</definedName>
    <definedName name="_xlnm._FilterDatabase" localSheetId="28" hidden="1">'F13B_20-21_True Up'!$O$9:$ER$395</definedName>
    <definedName name="_xlnm._FilterDatabase" localSheetId="33" hidden="1">F13B_22_23_ARR!$A$5:$EP$9</definedName>
    <definedName name="_xlnm._FilterDatabase" localSheetId="34" hidden="1">F13C!$A$6:$L$140</definedName>
    <definedName name="_xlnm._FilterDatabase" localSheetId="35" hidden="1">F13D!$A$12:$BA$254</definedName>
    <definedName name="_xlnm._FilterDatabase" localSheetId="83" hidden="1">[1]Dom!$E$9:$S$13</definedName>
    <definedName name="_xlnm._FilterDatabase" hidden="1">[31]Dom!$E$9:$S$13</definedName>
    <definedName name="_IED1" localSheetId="43">#REF!</definedName>
    <definedName name="_IED1" localSheetId="44">#REF!</definedName>
    <definedName name="_IED1" localSheetId="36">#REF!</definedName>
    <definedName name="_IED1" localSheetId="37">#REF!</definedName>
    <definedName name="_IED1" localSheetId="28">#REF!</definedName>
    <definedName name="_IED1" localSheetId="56">#REF!</definedName>
    <definedName name="_IED1" localSheetId="83">#REF!</definedName>
    <definedName name="_IED1" localSheetId="94">#REF!</definedName>
    <definedName name="_IED1">#REF!</definedName>
    <definedName name="_IED2" localSheetId="43">#REF!</definedName>
    <definedName name="_IED2" localSheetId="44">#REF!</definedName>
    <definedName name="_IED2" localSheetId="36">#REF!</definedName>
    <definedName name="_IED2" localSheetId="37">#REF!</definedName>
    <definedName name="_IED2" localSheetId="28">#REF!</definedName>
    <definedName name="_IED2" localSheetId="83">#REF!</definedName>
    <definedName name="_IED2">#REF!</definedName>
    <definedName name="_int06"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KC_2" localSheetId="43">#REF!</definedName>
    <definedName name="_KC_2" localSheetId="44">#REF!</definedName>
    <definedName name="_KC_2" localSheetId="36">#REF!</definedName>
    <definedName name="_KC_2" localSheetId="28">#REF!</definedName>
    <definedName name="_KC_2" localSheetId="83">#REF!</definedName>
    <definedName name="_KC_2">#REF!</definedName>
    <definedName name="_Key1" localSheetId="43" hidden="1">#REF!</definedName>
    <definedName name="_Key1" localSheetId="44" hidden="1">#REF!</definedName>
    <definedName name="_Key1" localSheetId="36" hidden="1">#REF!</definedName>
    <definedName name="_Key1" localSheetId="25" hidden="1">#REF!</definedName>
    <definedName name="_Key1" localSheetId="26" hidden="1">#REF!</definedName>
    <definedName name="_Key1" localSheetId="27" hidden="1">#REF!</definedName>
    <definedName name="_Key1" localSheetId="29" hidden="1">#REF!</definedName>
    <definedName name="_Key1" localSheetId="30" hidden="1">#REF!</definedName>
    <definedName name="_Key1" localSheetId="31" hidden="1">#REF!</definedName>
    <definedName name="_Key1" localSheetId="28" hidden="1">#REF!</definedName>
    <definedName name="_Key1" localSheetId="32" hidden="1">#REF!</definedName>
    <definedName name="_Key1" localSheetId="33" hidden="1">#REF!</definedName>
    <definedName name="_Key1" localSheetId="35" hidden="1">#REF!</definedName>
    <definedName name="_Key1" localSheetId="83" hidden="1">#REF!</definedName>
    <definedName name="_Key1" hidden="1">#REF!</definedName>
    <definedName name="_kvs1" localSheetId="0" hidden="1">{#N/A,#N/A,FALSE,"COVER1.XLS ";#N/A,#N/A,FALSE,"RACT1.XLS";#N/A,#N/A,FALSE,"RACT2.XLS";#N/A,#N/A,FALSE,"ECCMP";#N/A,#N/A,FALSE,"WELDER.XLS"}</definedName>
    <definedName name="_kvs1" hidden="1">{#N/A,#N/A,FALSE,"COVER1.XLS ";#N/A,#N/A,FALSE,"RACT1.XLS";#N/A,#N/A,FALSE,"RACT2.XLS";#N/A,#N/A,FALSE,"ECCMP";#N/A,#N/A,FALSE,"WELDER.XLS"}</definedName>
    <definedName name="_kvs2" localSheetId="0" hidden="1">{#N/A,#N/A,FALSE,"COVER1.XLS ";#N/A,#N/A,FALSE,"RACT1.XLS";#N/A,#N/A,FALSE,"RACT2.XLS";#N/A,#N/A,FALSE,"ECCMP";#N/A,#N/A,FALSE,"WELDER.XLS"}</definedName>
    <definedName name="_kvs2" hidden="1">{#N/A,#N/A,FALSE,"COVER1.XLS ";#N/A,#N/A,FALSE,"RACT1.XLS";#N/A,#N/A,FALSE,"RACT2.XLS";#N/A,#N/A,FALSE,"ECCMP";#N/A,#N/A,FALSE,"WELDER.XLS"}</definedName>
    <definedName name="_kvs5" localSheetId="0" hidden="1">{#N/A,#N/A,FALSE,"COVER.XLS";#N/A,#N/A,FALSE,"RACT1.XLS";#N/A,#N/A,FALSE,"RACT2.XLS";#N/A,#N/A,FALSE,"ECCMP";#N/A,#N/A,FALSE,"WELDER.XLS"}</definedName>
    <definedName name="_kvs5" hidden="1">{#N/A,#N/A,FALSE,"COVER.XLS";#N/A,#N/A,FALSE,"RACT1.XLS";#N/A,#N/A,FALSE,"RACT2.XLS";#N/A,#N/A,FALSE,"ECCMP";#N/A,#N/A,FALSE,"WELDER.XLS"}</definedName>
    <definedName name="_kvs8" localSheetId="0" hidden="1">{#N/A,#N/A,FALSE,"COVER1.XLS ";#N/A,#N/A,FALSE,"RACT1.XLS";#N/A,#N/A,FALSE,"RACT2.XLS";#N/A,#N/A,FALSE,"ECCMP";#N/A,#N/A,FALSE,"WELDER.XLS"}</definedName>
    <definedName name="_kvs8" hidden="1">{#N/A,#N/A,FALSE,"COVER1.XLS ";#N/A,#N/A,FALSE,"RACT1.XLS";#N/A,#N/A,FALSE,"RACT2.XLS";#N/A,#N/A,FALSE,"ECCMP";#N/A,#N/A,FALSE,"WELDER.XLS"}</definedName>
    <definedName name="_LD1" localSheetId="83">[1]DLC!$K$59:$AF$8180</definedName>
    <definedName name="_LD1">[2]DLC!$K$59:$AF$8180</definedName>
    <definedName name="_LD2" localSheetId="83">[1]DLC!$GR$56:$HT$8181</definedName>
    <definedName name="_LD2">[2]DLC!$GR$56:$HT$8181</definedName>
    <definedName name="_LD3" localSheetId="83">[1]DLC!$HV$57:$IO$8181</definedName>
    <definedName name="_LD3">[2]DLC!$HV$57:$IO$8181</definedName>
    <definedName name="_LD4" localSheetId="83">[1]DLC!$AH$32:$BE$8180</definedName>
    <definedName name="_LD4">[2]DLC!$AH$32:$BE$8180</definedName>
    <definedName name="_LD5" localSheetId="83">[1]DLC!$GR$53:$HK$8180</definedName>
    <definedName name="_LD5">[2]DLC!$GR$53:$HK$8180</definedName>
    <definedName name="_LD6" localSheetId="83">[1]DLC!$GR$69:$HL$8180</definedName>
    <definedName name="_LD6">[2]DLC!$GR$69:$HL$8180</definedName>
    <definedName name="_lk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R1" localSheetId="43">#REF!</definedName>
    <definedName name="_LR1" localSheetId="44">#REF!</definedName>
    <definedName name="_LR1" localSheetId="36">#REF!</definedName>
    <definedName name="_LR1" localSheetId="28">#REF!</definedName>
    <definedName name="_LR1" localSheetId="83">#REF!</definedName>
    <definedName name="_LR1">#REF!</definedName>
    <definedName name="_LR2" localSheetId="43">#REF!</definedName>
    <definedName name="_LR2" localSheetId="44">#REF!</definedName>
    <definedName name="_LR2" localSheetId="36">#REF!</definedName>
    <definedName name="_LR2" localSheetId="28">#REF!</definedName>
    <definedName name="_LR2" localSheetId="83">#REF!</definedName>
    <definedName name="_LR2">#REF!</definedName>
    <definedName name="_Mar06" localSheetId="43">[10]Newabstract!#REF!</definedName>
    <definedName name="_Mar06" localSheetId="44">[10]Newabstract!#REF!</definedName>
    <definedName name="_Mar06" localSheetId="36">[10]Newabstract!#REF!</definedName>
    <definedName name="_Mar06" localSheetId="28">[10]Newabstract!#REF!</definedName>
    <definedName name="_Mar06" localSheetId="83">[1]Newabstract!#REF!</definedName>
    <definedName name="_Mar06">[10]Newabstract!#REF!</definedName>
    <definedName name="_Mar09" localSheetId="43">[10]Newabstract!#REF!</definedName>
    <definedName name="_Mar09" localSheetId="44">[10]Newabstract!#REF!</definedName>
    <definedName name="_Mar09" localSheetId="36">[10]Newabstract!#REF!</definedName>
    <definedName name="_Mar09" localSheetId="28">[10]Newabstract!#REF!</definedName>
    <definedName name="_Mar09" localSheetId="83">[1]Newabstract!#REF!</definedName>
    <definedName name="_Mar09">[10]Newabstract!#REF!</definedName>
    <definedName name="_Mar10" localSheetId="43">[10]Newabstract!#REF!</definedName>
    <definedName name="_Mar10" localSheetId="44">[10]Newabstract!#REF!</definedName>
    <definedName name="_Mar10" localSheetId="36">[10]Newabstract!#REF!</definedName>
    <definedName name="_Mar10" localSheetId="28">[10]Newabstract!#REF!</definedName>
    <definedName name="_Mar10" localSheetId="83">[1]Newabstract!#REF!</definedName>
    <definedName name="_Mar10">[10]Newabstract!#REF!</definedName>
    <definedName name="_Mar11" localSheetId="43">[10]Newabstract!#REF!</definedName>
    <definedName name="_Mar11" localSheetId="44">[10]Newabstract!#REF!</definedName>
    <definedName name="_Mar11" localSheetId="36">[10]Newabstract!#REF!</definedName>
    <definedName name="_Mar11" localSheetId="28">[10]Newabstract!#REF!</definedName>
    <definedName name="_Mar11" localSheetId="83">[1]Newabstract!#REF!</definedName>
    <definedName name="_Mar11">[10]Newabstract!#REF!</definedName>
    <definedName name="_Mar12" localSheetId="43">[10]Newabstract!#REF!</definedName>
    <definedName name="_Mar12" localSheetId="44">[10]Newabstract!#REF!</definedName>
    <definedName name="_Mar12" localSheetId="36">[10]Newabstract!#REF!</definedName>
    <definedName name="_Mar12" localSheetId="28">[10]Newabstract!#REF!</definedName>
    <definedName name="_Mar12" localSheetId="83">[1]Newabstract!#REF!</definedName>
    <definedName name="_Mar12">[10]Newabstract!#REF!</definedName>
    <definedName name="_Mar13" localSheetId="43">[10]Newabstract!#REF!</definedName>
    <definedName name="_Mar13" localSheetId="44">[10]Newabstract!#REF!</definedName>
    <definedName name="_Mar13" localSheetId="36">[10]Newabstract!#REF!</definedName>
    <definedName name="_Mar13" localSheetId="28">[10]Newabstract!#REF!</definedName>
    <definedName name="_Mar13" localSheetId="83">[1]Newabstract!#REF!</definedName>
    <definedName name="_Mar13">[10]Newabstract!#REF!</definedName>
    <definedName name="_Mar16" localSheetId="43">[10]Newabstract!#REF!</definedName>
    <definedName name="_Mar16" localSheetId="44">[10]Newabstract!#REF!</definedName>
    <definedName name="_Mar16" localSheetId="36">[10]Newabstract!#REF!</definedName>
    <definedName name="_Mar16" localSheetId="28">[10]Newabstract!#REF!</definedName>
    <definedName name="_Mar16" localSheetId="83">[1]Newabstract!#REF!</definedName>
    <definedName name="_Mar16">[10]Newabstract!#REF!</definedName>
    <definedName name="_Mar17" localSheetId="43">[10]Newabstract!#REF!</definedName>
    <definedName name="_Mar17" localSheetId="44">[10]Newabstract!#REF!</definedName>
    <definedName name="_Mar17" localSheetId="36">[10]Newabstract!#REF!</definedName>
    <definedName name="_Mar17" localSheetId="28">[10]Newabstract!#REF!</definedName>
    <definedName name="_Mar17" localSheetId="83">[1]Newabstract!#REF!</definedName>
    <definedName name="_Mar17">[10]Newabstract!#REF!</definedName>
    <definedName name="_Mar18" localSheetId="43">[10]Newabstract!#REF!</definedName>
    <definedName name="_Mar18" localSheetId="44">[10]Newabstract!#REF!</definedName>
    <definedName name="_Mar18" localSheetId="36">[10]Newabstract!#REF!</definedName>
    <definedName name="_Mar18" localSheetId="28">[10]Newabstract!#REF!</definedName>
    <definedName name="_Mar18" localSheetId="83">[1]Newabstract!#REF!</definedName>
    <definedName name="_Mar18">[10]Newabstract!#REF!</definedName>
    <definedName name="_Mar19" localSheetId="43">[10]Newabstract!#REF!</definedName>
    <definedName name="_Mar19" localSheetId="44">[10]Newabstract!#REF!</definedName>
    <definedName name="_Mar19" localSheetId="36">[10]Newabstract!#REF!</definedName>
    <definedName name="_Mar19" localSheetId="28">[10]Newabstract!#REF!</definedName>
    <definedName name="_Mar19" localSheetId="83">[1]Newabstract!#REF!</definedName>
    <definedName name="_Mar19">[10]Newabstract!#REF!</definedName>
    <definedName name="_Mar20" localSheetId="43">[10]Newabstract!#REF!</definedName>
    <definedName name="_Mar20" localSheetId="44">[10]Newabstract!#REF!</definedName>
    <definedName name="_Mar20" localSheetId="36">[10]Newabstract!#REF!</definedName>
    <definedName name="_Mar20" localSheetId="28">[10]Newabstract!#REF!</definedName>
    <definedName name="_Mar20" localSheetId="83">[1]Newabstract!#REF!</definedName>
    <definedName name="_Mar20">[10]Newabstract!#REF!</definedName>
    <definedName name="_Mar23" localSheetId="43">[10]Newabstract!#REF!</definedName>
    <definedName name="_Mar23" localSheetId="44">[10]Newabstract!#REF!</definedName>
    <definedName name="_Mar23" localSheetId="36">[10]Newabstract!#REF!</definedName>
    <definedName name="_Mar23" localSheetId="28">[10]Newabstract!#REF!</definedName>
    <definedName name="_Mar23" localSheetId="83">[1]Newabstract!#REF!</definedName>
    <definedName name="_Mar23">[10]Newabstract!#REF!</definedName>
    <definedName name="_Mar24" localSheetId="43">[10]Newabstract!#REF!</definedName>
    <definedName name="_Mar24" localSheetId="44">[10]Newabstract!#REF!</definedName>
    <definedName name="_Mar24" localSheetId="36">[10]Newabstract!#REF!</definedName>
    <definedName name="_Mar24" localSheetId="28">[10]Newabstract!#REF!</definedName>
    <definedName name="_Mar24" localSheetId="83">[1]Newabstract!#REF!</definedName>
    <definedName name="_Mar24">[10]Newabstract!#REF!</definedName>
    <definedName name="_Mar25" localSheetId="43">[10]Newabstract!#REF!</definedName>
    <definedName name="_Mar25" localSheetId="44">[10]Newabstract!#REF!</definedName>
    <definedName name="_Mar25" localSheetId="36">[10]Newabstract!#REF!</definedName>
    <definedName name="_Mar25" localSheetId="28">[10]Newabstract!#REF!</definedName>
    <definedName name="_Mar25" localSheetId="83">[1]Newabstract!#REF!</definedName>
    <definedName name="_Mar25">[10]Newabstract!#REF!</definedName>
    <definedName name="_Mar26" localSheetId="43">[10]Newabstract!#REF!</definedName>
    <definedName name="_Mar26" localSheetId="44">[10]Newabstract!#REF!</definedName>
    <definedName name="_Mar26" localSheetId="36">[10]Newabstract!#REF!</definedName>
    <definedName name="_Mar26" localSheetId="28">[10]Newabstract!#REF!</definedName>
    <definedName name="_Mar26" localSheetId="83">[1]Newabstract!#REF!</definedName>
    <definedName name="_Mar26">[10]Newabstract!#REF!</definedName>
    <definedName name="_Mar27" localSheetId="43">[10]Newabstract!#REF!</definedName>
    <definedName name="_Mar27" localSheetId="44">[10]Newabstract!#REF!</definedName>
    <definedName name="_Mar27" localSheetId="36">[10]Newabstract!#REF!</definedName>
    <definedName name="_Mar27" localSheetId="28">[10]Newabstract!#REF!</definedName>
    <definedName name="_Mar27" localSheetId="83">[1]Newabstract!#REF!</definedName>
    <definedName name="_Mar27">[10]Newabstract!#REF!</definedName>
    <definedName name="_Mar28" localSheetId="43">[10]Newabstract!#REF!</definedName>
    <definedName name="_Mar28" localSheetId="44">[10]Newabstract!#REF!</definedName>
    <definedName name="_Mar28" localSheetId="36">[10]Newabstract!#REF!</definedName>
    <definedName name="_Mar28" localSheetId="28">[10]Newabstract!#REF!</definedName>
    <definedName name="_Mar28" localSheetId="83">[1]Newabstract!#REF!</definedName>
    <definedName name="_Mar28">[10]Newabstract!#REF!</definedName>
    <definedName name="_Mar30" localSheetId="43">[10]Newabstract!#REF!</definedName>
    <definedName name="_Mar30" localSheetId="44">[10]Newabstract!#REF!</definedName>
    <definedName name="_Mar30" localSheetId="36">[10]Newabstract!#REF!</definedName>
    <definedName name="_Mar30" localSheetId="28">[10]Newabstract!#REF!</definedName>
    <definedName name="_Mar30" localSheetId="83">[1]Newabstract!#REF!</definedName>
    <definedName name="_Mar30">[10]Newabstract!#REF!</definedName>
    <definedName name="_Mar31" localSheetId="43">[10]Newabstract!#REF!</definedName>
    <definedName name="_Mar31" localSheetId="44">[10]Newabstract!#REF!</definedName>
    <definedName name="_Mar31" localSheetId="36">[10]Newabstract!#REF!</definedName>
    <definedName name="_Mar31" localSheetId="28">[10]Newabstract!#REF!</definedName>
    <definedName name="_Mar31" localSheetId="83">[1]Newabstract!#REF!</definedName>
    <definedName name="_Mar31">[10]Newabstract!#REF!</definedName>
    <definedName name="_nA84" localSheetId="43">'[23]CAPI_01-02'!#REF!</definedName>
    <definedName name="_nA84" localSheetId="44">'[23]CAPI_01-02'!#REF!</definedName>
    <definedName name="_nA84" localSheetId="36">'[23]CAPI_01-02'!#REF!</definedName>
    <definedName name="_nA84" localSheetId="28">'[23]CAPI_01-02'!#REF!</definedName>
    <definedName name="_nA84" localSheetId="83">'[1]CAPI_01-02'!#REF!</definedName>
    <definedName name="_nA84">'[23]CAPI_01-02'!#REF!</definedName>
    <definedName name="_NCS111" localSheetId="36">'[14]Schedule-1'!$B$1:$J$1</definedName>
    <definedName name="_NCS111" localSheetId="37">'[20]Schedule-1'!$B$1:$J$1</definedName>
    <definedName name="_NCS111" localSheetId="83">'[1]Schedule-1'!$B$1:$J$1</definedName>
    <definedName name="_NCS111">'[14]Schedule-1'!$B$1:$J$1</definedName>
    <definedName name="_Order1" hidden="1">255</definedName>
    <definedName name="_Order2" hidden="1">0</definedName>
    <definedName name="_PH1">#N/A</definedName>
    <definedName name="_PL1">[12]BSPL!$A$58:$E$111</definedName>
    <definedName name="_PRN1" localSheetId="0" hidden="1">{#N/A,#N/A,FALSE,"COVER.XLS";#N/A,#N/A,FALSE,"RACT1.XLS";#N/A,#N/A,FALSE,"RACT2.XLS";#N/A,#N/A,FALSE,"ECCMP";#N/A,#N/A,FALSE,"WELDER.XLS"}</definedName>
    <definedName name="_PRN1" hidden="1">{#N/A,#N/A,FALSE,"COVER.XLS";#N/A,#N/A,FALSE,"RACT1.XLS";#N/A,#N/A,FALSE,"RACT2.XLS";#N/A,#N/A,FALSE,"ECCMP";#N/A,#N/A,FALSE,"WELDER.XLS"}</definedName>
    <definedName name="_RT5" localSheetId="43">#REF!</definedName>
    <definedName name="_RT5" localSheetId="44">#REF!</definedName>
    <definedName name="_RT5" localSheetId="36">#REF!</definedName>
    <definedName name="_RT5" localSheetId="28">#REF!</definedName>
    <definedName name="_RT5" localSheetId="56">#REF!</definedName>
    <definedName name="_RT5" localSheetId="83">#REF!</definedName>
    <definedName name="_RT5" localSheetId="90">#REF!</definedName>
    <definedName name="_RT5" localSheetId="91">#REF!</definedName>
    <definedName name="_RT5" localSheetId="94">#REF!</definedName>
    <definedName name="_RT5">#REF!</definedName>
    <definedName name="_SCH10" localSheetId="43">#REF!</definedName>
    <definedName name="_SCH10" localSheetId="44">#REF!</definedName>
    <definedName name="_SCH10">#REF!</definedName>
    <definedName name="_SCH11" localSheetId="43">#REF!</definedName>
    <definedName name="_SCH11" localSheetId="44">#REF!</definedName>
    <definedName name="_SCH11">#REF!</definedName>
    <definedName name="_SCH12">[12]BSPL!$A$655:$D$692</definedName>
    <definedName name="_sch13">[12]BSPL!$A$694:$D$744</definedName>
    <definedName name="_SCH3" localSheetId="43">#REF!</definedName>
    <definedName name="_SCH3" localSheetId="44">#REF!</definedName>
    <definedName name="_SCH3">#REF!</definedName>
    <definedName name="_SCH4" localSheetId="43">#REF!</definedName>
    <definedName name="_SCH4" localSheetId="44">#REF!</definedName>
    <definedName name="_SCH4">#REF!</definedName>
    <definedName name="_SCH5" localSheetId="43">#REF!</definedName>
    <definedName name="_SCH5" localSheetId="44">#REF!</definedName>
    <definedName name="_SCH5">#REF!</definedName>
    <definedName name="_SCH6" localSheetId="43">'[5]04REL'!#REF!</definedName>
    <definedName name="_SCH6" localSheetId="44">'[5]04REL'!#REF!</definedName>
    <definedName name="_SCH6" localSheetId="36">'[6]04REL'!#REF!</definedName>
    <definedName name="_SCH6" localSheetId="37">'[9]04REL'!#REF!</definedName>
    <definedName name="_SCH6" localSheetId="28">'[5]04REL'!#REF!</definedName>
    <definedName name="_SCH6" localSheetId="56">'[6]04REL'!#REF!</definedName>
    <definedName name="_SCH6" localSheetId="64">'[9]04REL'!#REF!</definedName>
    <definedName name="_SCH6" localSheetId="72">'[9]04REL'!#REF!</definedName>
    <definedName name="_SCH6" localSheetId="83">'[1]04REL'!#REF!</definedName>
    <definedName name="_SCH6" localSheetId="90">'[6]04REL'!#REF!</definedName>
    <definedName name="_SCH6" localSheetId="91">'[6]04REL'!#REF!</definedName>
    <definedName name="_SCH6" localSheetId="93">'[9]04REL'!#REF!</definedName>
    <definedName name="_SCH6" localSheetId="94">'[6]04REL'!#REF!</definedName>
    <definedName name="_SCH6">'[9]04REL'!#REF!</definedName>
    <definedName name="_SCH7" localSheetId="43">#REF!</definedName>
    <definedName name="_SCH7" localSheetId="44">#REF!</definedName>
    <definedName name="_SCH7">#REF!</definedName>
    <definedName name="_SCH8" localSheetId="43">#REF!</definedName>
    <definedName name="_SCH8" localSheetId="44">#REF!</definedName>
    <definedName name="_SCH8">#REF!</definedName>
    <definedName name="_SCH9" localSheetId="43">#REF!</definedName>
    <definedName name="_SCH9" localSheetId="44">#REF!</definedName>
    <definedName name="_SCH9">#REF!</definedName>
    <definedName name="_SH1" localSheetId="83">'[1]Executive Summary -Thermal'!$A$4:$H$108</definedName>
    <definedName name="_SH1">'[18]Executive Summary -Thermal'!$A$4:$H$108</definedName>
    <definedName name="_SH10" localSheetId="83">'[1]Executive Summary -Thermal'!$A$4:$G$118</definedName>
    <definedName name="_SH10">'[18]Executive Summary -Thermal'!$A$4:$G$118</definedName>
    <definedName name="_SH11" localSheetId="83">'[1]Executive Summary -Thermal'!$A$4:$H$167</definedName>
    <definedName name="_SH11">'[18]Executive Summary -Thermal'!$A$4:$H$167</definedName>
    <definedName name="_SH2" localSheetId="83">'[1]Executive Summary -Thermal'!$A$4:$H$157</definedName>
    <definedName name="_SH2">'[18]Executive Summary -Thermal'!$A$4:$H$157</definedName>
    <definedName name="_SH3" localSheetId="83">'[1]Executive Summary -Thermal'!$A$4:$H$136</definedName>
    <definedName name="_SH3">'[18]Executive Summary -Thermal'!$A$4:$H$136</definedName>
    <definedName name="_SH4" localSheetId="83">'[1]Executive Summary -Thermal'!$A$4:$H$96</definedName>
    <definedName name="_SH4">'[18]Executive Summary -Thermal'!$A$4:$H$96</definedName>
    <definedName name="_SH5" localSheetId="83">'[1]Executive Summary -Thermal'!$A$4:$H$96</definedName>
    <definedName name="_SH5">'[18]Executive Summary -Thermal'!$A$4:$H$96</definedName>
    <definedName name="_SH6" localSheetId="83">'[1]Executive Summary -Thermal'!$A$4:$H$95</definedName>
    <definedName name="_SH6">'[18]Executive Summary -Thermal'!$A$4:$H$95</definedName>
    <definedName name="_SH7" localSheetId="83">'[1]Executive Summary -Thermal'!$A$4:$H$163</definedName>
    <definedName name="_SH7">'[18]Executive Summary -Thermal'!$A$4:$H$163</definedName>
    <definedName name="_SH8" localSheetId="83">'[1]Executive Summary -Thermal'!$A$4:$H$133</definedName>
    <definedName name="_SH8">'[18]Executive Summary -Thermal'!$A$4:$H$133</definedName>
    <definedName name="_SH9" localSheetId="83">'[1]Executive Summary -Thermal'!$A$4:$H$194</definedName>
    <definedName name="_SH9">'[18]Executive Summary -Thermal'!$A$4:$H$194</definedName>
    <definedName name="_Sort" localSheetId="43" hidden="1">#REF!</definedName>
    <definedName name="_Sort" localSheetId="44" hidden="1">#REF!</definedName>
    <definedName name="_Sort" localSheetId="36" hidden="1">#REF!</definedName>
    <definedName name="_Sort" localSheetId="25" hidden="1">#REF!</definedName>
    <definedName name="_Sort" localSheetId="26" hidden="1">#REF!</definedName>
    <definedName name="_Sort" localSheetId="27" hidden="1">#REF!</definedName>
    <definedName name="_Sort" localSheetId="29" hidden="1">#REF!</definedName>
    <definedName name="_Sort" localSheetId="30" hidden="1">#REF!</definedName>
    <definedName name="_Sort" localSheetId="31" hidden="1">#REF!</definedName>
    <definedName name="_Sort" localSheetId="28"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56" hidden="1">#REF!</definedName>
    <definedName name="_Sort" localSheetId="83" hidden="1">#REF!</definedName>
    <definedName name="_Sort" localSheetId="90" hidden="1">#REF!</definedName>
    <definedName name="_Sort" localSheetId="91" hidden="1">#REF!</definedName>
    <definedName name="_Sort" hidden="1">#REF!</definedName>
    <definedName name="_tr1"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WRN1" localSheetId="0" hidden="1">{#N/A,#N/A,FALSE,"COVER1.XLS ";#N/A,#N/A,FALSE,"RACT1.XLS";#N/A,#N/A,FALSE,"RACT2.XLS";#N/A,#N/A,FALSE,"ECCMP";#N/A,#N/A,FALSE,"WELDER.XLS"}</definedName>
    <definedName name="_WRN1" hidden="1">{#N/A,#N/A,FALSE,"COVER1.XLS ";#N/A,#N/A,FALSE,"RACT1.XLS";#N/A,#N/A,FALSE,"RACT2.XLS";#N/A,#N/A,FALSE,"ECCMP";#N/A,#N/A,FALSE,"WELDER.XLS"}</definedName>
    <definedName name="_WRN2" localSheetId="0" hidden="1">{#N/A,#N/A,FALSE,"COVER1.XLS ";#N/A,#N/A,FALSE,"RACT1.XLS";#N/A,#N/A,FALSE,"RACT2.XLS";#N/A,#N/A,FALSE,"ECCMP";#N/A,#N/A,FALSE,"WELDER.XLS"}</definedName>
    <definedName name="_WRN2" hidden="1">{#N/A,#N/A,FALSE,"COVER1.XLS ";#N/A,#N/A,FALSE,"RACT1.XLS";#N/A,#N/A,FALSE,"RACT2.XLS";#N/A,#N/A,FALSE,"ECCMP";#N/A,#N/A,FALSE,"WELDER.XLS"}</definedName>
    <definedName name="_WRN3" localSheetId="0"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A" localSheetId="43">#REF!</definedName>
    <definedName name="A" localSheetId="44">#REF!</definedName>
    <definedName name="A" localSheetId="36">#REF!</definedName>
    <definedName name="A" localSheetId="37">#REF!</definedName>
    <definedName name="A" localSheetId="28">#REF!</definedName>
    <definedName name="A" localSheetId="64">#REF!</definedName>
    <definedName name="A" localSheetId="72">#REF!</definedName>
    <definedName name="A" localSheetId="83">#REF!</definedName>
    <definedName name="A">#REF!</definedName>
    <definedName name="A1_" localSheetId="43">#REF!</definedName>
    <definedName name="A1_" localSheetId="44">#REF!</definedName>
    <definedName name="A1_">#REF!</definedName>
    <definedName name="A10_" localSheetId="43">#REF!</definedName>
    <definedName name="A10_" localSheetId="44">#REF!</definedName>
    <definedName name="A10_">#REF!</definedName>
    <definedName name="A13_" localSheetId="43">#REF!</definedName>
    <definedName name="A13_" localSheetId="44">#REF!</definedName>
    <definedName name="A13_">#REF!</definedName>
    <definedName name="A2_" localSheetId="43">#REF!</definedName>
    <definedName name="A2_" localSheetId="44">#REF!</definedName>
    <definedName name="A2_">#REF!</definedName>
    <definedName name="A3_" localSheetId="43">#REF!</definedName>
    <definedName name="A3_" localSheetId="44">#REF!</definedName>
    <definedName name="A3_">#REF!</definedName>
    <definedName name="A4_" localSheetId="43">#REF!</definedName>
    <definedName name="A4_" localSheetId="44">#REF!</definedName>
    <definedName name="A4_">#REF!</definedName>
    <definedName name="A5_" localSheetId="43">#REF!</definedName>
    <definedName name="A5_" localSheetId="44">#REF!</definedName>
    <definedName name="A5_">#REF!</definedName>
    <definedName name="A6_" localSheetId="43">#REF!</definedName>
    <definedName name="A6_" localSheetId="44">#REF!</definedName>
    <definedName name="A6_">#REF!</definedName>
    <definedName name="A7_" localSheetId="43">#REF!</definedName>
    <definedName name="A7_" localSheetId="44">#REF!</definedName>
    <definedName name="A7_">#REF!</definedName>
    <definedName name="A8_" localSheetId="43">#REF!</definedName>
    <definedName name="A8_" localSheetId="44">#REF!</definedName>
    <definedName name="A8_">#REF!</definedName>
    <definedName name="A9_" localSheetId="43">#REF!</definedName>
    <definedName name="A9_" localSheetId="44">#REF!</definedName>
    <definedName name="A9_">#REF!</definedName>
    <definedName name="aa" localSheetId="43">#REF!</definedName>
    <definedName name="aa" localSheetId="44">#REF!</definedName>
    <definedName name="aa" localSheetId="36">#REF!</definedName>
    <definedName name="aa" localSheetId="37">[32]oresreqsum!#REF!</definedName>
    <definedName name="aa" localSheetId="28">#REF!</definedName>
    <definedName name="aa" localSheetId="83">#REF!</definedName>
    <definedName name="aa">#REF!</definedName>
    <definedName name="aaa" localSheetId="43">#REF!</definedName>
    <definedName name="aaa" localSheetId="44">#REF!</definedName>
    <definedName name="aaa" localSheetId="36">#REF!</definedName>
    <definedName name="aaa" localSheetId="37" hidden="1">{#N/A,#N/A,FALSE,"COVER1.XLS ";#N/A,#N/A,FALSE,"RACT1.XLS";#N/A,#N/A,FALSE,"RACT2.XLS";#N/A,#N/A,FALSE,"ECCMP";#N/A,#N/A,FALSE,"WELDER.XLS"}</definedName>
    <definedName name="aaa" localSheetId="28">#REF!</definedName>
    <definedName name="aaa" localSheetId="83">#REF!</definedName>
    <definedName name="aaa">#REF!</definedName>
    <definedName name="aaaa"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aa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aaaaaa" localSheetId="0" hidden="1">{#N/A,#N/A,FALSE,"COVER1.XLS ";#N/A,#N/A,FALSE,"RACT1.XLS";#N/A,#N/A,FALSE,"RACT2.XLS";#N/A,#N/A,FALSE,"ECCMP";#N/A,#N/A,FALSE,"WELDER.XLS"}</definedName>
    <definedName name="aaaaaaa" hidden="1">{#N/A,#N/A,FALSE,"COVER1.XLS ";#N/A,#N/A,FALSE,"RACT1.XLS";#N/A,#N/A,FALSE,"RACT2.XLS";#N/A,#N/A,FALSE,"ECCMP";#N/A,#N/A,FALSE,"WELDER.XLS"}</definedName>
    <definedName name="aaaaaaaa" localSheetId="43">#REF!</definedName>
    <definedName name="aaaaaaaa" localSheetId="44">#REF!</definedName>
    <definedName name="aaaaaaaa" localSheetId="36">#REF!</definedName>
    <definedName name="aaaaaaaa" localSheetId="28">#REF!</definedName>
    <definedName name="aaaaaaaa" localSheetId="83">#REF!</definedName>
    <definedName name="aaaaaaaa">#REF!</definedName>
    <definedName name="aaaaaaaaaaaaaadddddd" localSheetId="43">#REF!</definedName>
    <definedName name="aaaaaaaaaaaaaadddddd" localSheetId="44">#REF!</definedName>
    <definedName name="aaaaaaaaaaaaaadddddd" localSheetId="36">#REF!</definedName>
    <definedName name="aaaaaaaaaaaaaadddddd" localSheetId="28">#REF!</definedName>
    <definedName name="aaaaaaaaaaaaaadddddd" localSheetId="83">#REF!</definedName>
    <definedName name="aaaaaaaaaaaaaadddddd">#REF!</definedName>
    <definedName name="aaassssggg" localSheetId="43">#REF!</definedName>
    <definedName name="aaassssggg" localSheetId="44">#REF!</definedName>
    <definedName name="aaassssggg" localSheetId="36">#REF!</definedName>
    <definedName name="aaassssggg" localSheetId="28">#REF!</definedName>
    <definedName name="aaassssggg" localSheetId="83">#REF!</definedName>
    <definedName name="aaassssggg">#REF!</definedName>
    <definedName name="ab" localSheetId="43">#REF!</definedName>
    <definedName name="ab" localSheetId="44">#REF!</definedName>
    <definedName name="ab" localSheetId="36">#REF!</definedName>
    <definedName name="AB" localSheetId="37">#REF!</definedName>
    <definedName name="ab" localSheetId="28">#REF!</definedName>
    <definedName name="ab" localSheetId="83">#REF!</definedName>
    <definedName name="ab">#REF!</definedName>
    <definedName name="ABC" localSheetId="0" hidden="1">{#N/A,#N/A,FALSE,"COVER.XLS";#N/A,#N/A,FALSE,"RACT1.XLS";#N/A,#N/A,FALSE,"RACT2.XLS";#N/A,#N/A,FALSE,"ECCMP";#N/A,#N/A,FALSE,"WELDER.XLS"}</definedName>
    <definedName name="ABC" hidden="1">{#N/A,#N/A,FALSE,"COVER.XLS";#N/A,#N/A,FALSE,"RACT1.XLS";#N/A,#N/A,FALSE,"RACT2.XLS";#N/A,#N/A,FALSE,"ECCMP";#N/A,#N/A,FALSE,"WELDER.XLS"}</definedName>
    <definedName name="abddddd"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bddddd"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df" localSheetId="0" hidden="1">{#N/A,#N/A,FALSE,"COVER1.XLS ";#N/A,#N/A,FALSE,"RACT1.XLS";#N/A,#N/A,FALSE,"RACT2.XLS";#N/A,#N/A,FALSE,"ECCMP";#N/A,#N/A,FALSE,"WELDER.XLS"}</definedName>
    <definedName name="adf" hidden="1">{#N/A,#N/A,FALSE,"COVER1.XLS ";#N/A,#N/A,FALSE,"RACT1.XLS";#N/A,#N/A,FALSE,"RACT2.XLS";#N/A,#N/A,FALSE,"ECCMP";#N/A,#N/A,FALSE,"WELDER.XLS"}</definedName>
    <definedName name="ADL.63" localSheetId="83">[1]Addl.40!$A$38:$I$284</definedName>
    <definedName name="ADL.63">[33]Addl.40!$A$38:$I$284</definedName>
    <definedName name="adsa" localSheetId="43" hidden="1">#REF!</definedName>
    <definedName name="adsa" localSheetId="44" hidden="1">#REF!</definedName>
    <definedName name="adsa" localSheetId="36" hidden="1">#REF!</definedName>
    <definedName name="adsa" localSheetId="25" hidden="1">#REF!</definedName>
    <definedName name="adsa" localSheetId="26" hidden="1">#REF!</definedName>
    <definedName name="adsa" localSheetId="27" hidden="1">#REF!</definedName>
    <definedName name="adsa" localSheetId="29" hidden="1">#REF!</definedName>
    <definedName name="adsa" localSheetId="30" hidden="1">#REF!</definedName>
    <definedName name="adsa" localSheetId="31" hidden="1">#REF!</definedName>
    <definedName name="adsa" localSheetId="28" hidden="1">#REF!</definedName>
    <definedName name="adsa" localSheetId="32" hidden="1">#REF!</definedName>
    <definedName name="adsa" localSheetId="33" hidden="1">#REF!</definedName>
    <definedName name="adsa" localSheetId="34" hidden="1">#REF!</definedName>
    <definedName name="adsa" localSheetId="35" hidden="1">#REF!</definedName>
    <definedName name="adsa" localSheetId="56" hidden="1">#REF!</definedName>
    <definedName name="adsa" localSheetId="83" hidden="1">#REF!</definedName>
    <definedName name="adsa" localSheetId="90" hidden="1">#REF!</definedName>
    <definedName name="adsa" localSheetId="91" hidden="1">#REF!</definedName>
    <definedName name="adsa" hidden="1">#REF!</definedName>
    <definedName name="agri" localSheetId="43">#REF!</definedName>
    <definedName name="agri" localSheetId="44">#REF!</definedName>
    <definedName name="agri" localSheetId="36">#REF!</definedName>
    <definedName name="agri" localSheetId="37">#REF!</definedName>
    <definedName name="agri" localSheetId="28">#REF!</definedName>
    <definedName name="agri" localSheetId="83">#REF!</definedName>
    <definedName name="agri">#REF!</definedName>
    <definedName name="agricalcopt" localSheetId="83">'[1]Input sheet'!$G$19</definedName>
    <definedName name="agricalcopt">'[34]Input Sheet'!$G$19</definedName>
    <definedName name="allocation" localSheetId="43" hidden="1">#REF!</definedName>
    <definedName name="allocation" localSheetId="44" hidden="1">#REF!</definedName>
    <definedName name="allocation" localSheetId="36" hidden="1">#REF!</definedName>
    <definedName name="allocation" localSheetId="25" hidden="1">#REF!</definedName>
    <definedName name="allocation" localSheetId="26" hidden="1">#REF!</definedName>
    <definedName name="allocation" localSheetId="27" hidden="1">#REF!</definedName>
    <definedName name="allocation" localSheetId="29" hidden="1">#REF!</definedName>
    <definedName name="allocation" localSheetId="30" hidden="1">#REF!</definedName>
    <definedName name="allocation" localSheetId="28" hidden="1">#REF!</definedName>
    <definedName name="allocation" localSheetId="32" hidden="1">#REF!</definedName>
    <definedName name="allocation" localSheetId="33" hidden="1">#REF!</definedName>
    <definedName name="allocation" localSheetId="83" hidden="1">#REF!</definedName>
    <definedName name="allocation" hidden="1">#REF!</definedName>
    <definedName name="AMC" localSheetId="43">#REF!</definedName>
    <definedName name="AMC" localSheetId="44">#REF!</definedName>
    <definedName name="AMC">#REF!</definedName>
    <definedName name="arrintrst"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rrintr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s" localSheetId="43">#REF!</definedName>
    <definedName name="as" localSheetId="44">#REF!</definedName>
    <definedName name="as" localSheetId="36">#REF!</definedName>
    <definedName name="AS" localSheetId="37" hidden="1">{#N/A,#N/A,FALSE,"COVER.XLS";#N/A,#N/A,FALSE,"RACT1.XLS";#N/A,#N/A,FALSE,"RACT2.XLS";#N/A,#N/A,FALSE,"ECCMP";#N/A,#N/A,FALSE,"WELDER.XLS"}</definedName>
    <definedName name="as" localSheetId="28">#REF!</definedName>
    <definedName name="AS" localSheetId="83">'[1]Executive Summary -Thermal'!$I$4:$AY$144</definedName>
    <definedName name="as" localSheetId="0">#REF!</definedName>
    <definedName name="as">#REF!</definedName>
    <definedName name="AS2DocOpenMode" hidden="1">"AS2DocumentEdit"</definedName>
    <definedName name="asd" localSheetId="43">#REF!</definedName>
    <definedName name="asd" localSheetId="44">#REF!</definedName>
    <definedName name="asd">#REF!</definedName>
    <definedName name="asdasd" localSheetId="43">'[5]04REL'!#REF!</definedName>
    <definedName name="asdasd" localSheetId="44">'[5]04REL'!#REF!</definedName>
    <definedName name="asdasd" localSheetId="36">'[6]04REL'!#REF!</definedName>
    <definedName name="asdasd" localSheetId="28">'[5]04REL'!#REF!</definedName>
    <definedName name="asdasd" localSheetId="56">'[6]04REL'!#REF!</definedName>
    <definedName name="asdasd" localSheetId="83">'[1]04REL'!#REF!</definedName>
    <definedName name="asdasd" localSheetId="90">'[6]04REL'!#REF!</definedName>
    <definedName name="asdasd" localSheetId="91">'[6]04REL'!#REF!</definedName>
    <definedName name="asdasd">'[6]04REL'!#REF!</definedName>
    <definedName name="asdASDSA" localSheetId="43">#REF!</definedName>
    <definedName name="asdASDSA" localSheetId="44">#REF!</definedName>
    <definedName name="asdASDSA" localSheetId="36">#REF!</definedName>
    <definedName name="asdASDSA" localSheetId="28">#REF!</definedName>
    <definedName name="asdASDSA" localSheetId="83">#REF!</definedName>
    <definedName name="asdASDSA">#REF!</definedName>
    <definedName name="assa"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s" localSheetId="43">#REF!</definedName>
    <definedName name="asss" localSheetId="44">#REF!</definedName>
    <definedName name="asss" localSheetId="36">#REF!</definedName>
    <definedName name="asss" localSheetId="28">#REF!</definedName>
    <definedName name="asss" localSheetId="83">#REF!</definedName>
    <definedName name="asss">#REF!</definedName>
    <definedName name="asst_cost" localSheetId="43">#REF!</definedName>
    <definedName name="asst_cost" localSheetId="44">#REF!</definedName>
    <definedName name="asst_cost" localSheetId="36">#REF!</definedName>
    <definedName name="asst_cost" localSheetId="37">#REF!</definedName>
    <definedName name="asst_cost" localSheetId="28">#REF!</definedName>
    <definedName name="asst_cost" localSheetId="56">#REF!</definedName>
    <definedName name="asst_cost" localSheetId="83">#REF!</definedName>
    <definedName name="asst_cost" localSheetId="94">#REF!</definedName>
    <definedName name="asst_cost">#REF!</definedName>
    <definedName name="ASSUMPTIONS" localSheetId="43">#REF!</definedName>
    <definedName name="ASSUMPTIONS" localSheetId="44">#REF!</definedName>
    <definedName name="ASSUMPTIONS" localSheetId="36">#REF!</definedName>
    <definedName name="ASSUMPTIONS" localSheetId="28">#REF!</definedName>
    <definedName name="ASSUMPTIONS" localSheetId="83">#REF!</definedName>
    <definedName name="ASSUMPTIONS">#REF!</definedName>
    <definedName name="ATC_MoP" localSheetId="43" hidden="1">#REF!</definedName>
    <definedName name="ATC_MoP" localSheetId="44" hidden="1">#REF!</definedName>
    <definedName name="ATC_MoP" localSheetId="36" hidden="1">#REF!</definedName>
    <definedName name="ATC_MoP" localSheetId="25" hidden="1">#REF!</definedName>
    <definedName name="ATC_MoP" localSheetId="26" hidden="1">#REF!</definedName>
    <definedName name="ATC_MoP" localSheetId="30" hidden="1">#REF!</definedName>
    <definedName name="ATC_MoP" localSheetId="28" hidden="1">#REF!</definedName>
    <definedName name="ATC_MoP" localSheetId="32" hidden="1">#REF!</definedName>
    <definedName name="ATC_MoP" localSheetId="33" hidden="1">#REF!</definedName>
    <definedName name="ATC_MoP" localSheetId="83" hidden="1">#REF!</definedName>
    <definedName name="ATC_MoP" hidden="1">#REF!</definedName>
    <definedName name="ÅtkZ_Hkou__nsgjknwu" localSheetId="43">#REF!</definedName>
    <definedName name="ÅtkZ_Hkou__nsgjknwu" localSheetId="44">#REF!</definedName>
    <definedName name="ÅtkZ_Hkou__nsgjknwu" localSheetId="36">#REF!</definedName>
    <definedName name="ÅtkZ_Hkou__nsgjknwu" localSheetId="37">#REF!</definedName>
    <definedName name="ÅtkZ_Hkou__nsgjknwu" localSheetId="28">#REF!</definedName>
    <definedName name="ÅtkZ_Hkou__nsgjknwu" localSheetId="83">#REF!</definedName>
    <definedName name="ÅtkZ_Hkou__nsgjknwu">#REF!</definedName>
    <definedName name="AUG" localSheetId="43" hidden="1">#REF!</definedName>
    <definedName name="AUG" localSheetId="44" hidden="1">#REF!</definedName>
    <definedName name="AUG" localSheetId="36" hidden="1">#REF!</definedName>
    <definedName name="AUG" localSheetId="25" hidden="1">#REF!</definedName>
    <definedName name="AUG" localSheetId="26" hidden="1">#REF!</definedName>
    <definedName name="AUG" localSheetId="30" hidden="1">#REF!</definedName>
    <definedName name="AUG" localSheetId="28" hidden="1">#REF!</definedName>
    <definedName name="AUG" localSheetId="32" hidden="1">#REF!</definedName>
    <definedName name="AUG" localSheetId="33" hidden="1">#REF!</definedName>
    <definedName name="AUG" localSheetId="83" hidden="1">#REF!</definedName>
    <definedName name="AUG" hidden="1">#REF!</definedName>
    <definedName name="AUX" localSheetId="83">'[1]Executive Summary -Thermal'!$A$4:$H$95</definedName>
    <definedName name="AUX">'[18]Executive Summary -Thermal'!$A$4:$H$95</definedName>
    <definedName name="B" localSheetId="3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7">#REF!</definedName>
    <definedName name="B" localSheetId="2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2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2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2"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3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5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8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9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9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9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localSheetId="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Balancesheet" localSheetId="43">#REF!</definedName>
    <definedName name="Balancesheet" localSheetId="44">#REF!</definedName>
    <definedName name="Balancesheet">#REF!</definedName>
    <definedName name="BaseFiscal" localSheetId="36">[35]Select!$J$44</definedName>
    <definedName name="BaseFiscal" localSheetId="83">[1]Select!$J$44</definedName>
    <definedName name="BaseFiscal">[36]Select!$J$44</definedName>
    <definedName name="BaseYear" localSheetId="43">#REF!</definedName>
    <definedName name="BaseYear" localSheetId="44">#REF!</definedName>
    <definedName name="BaseYear" localSheetId="36">#REF!</definedName>
    <definedName name="BaseYear" localSheetId="28">#REF!</definedName>
    <definedName name="BaseYear" localSheetId="56">#REF!</definedName>
    <definedName name="BaseYear" localSheetId="83">#REF!</definedName>
    <definedName name="BaseYear" localSheetId="94">#REF!</definedName>
    <definedName name="BaseYear">#REF!</definedName>
    <definedName name="bbbbbbbb" localSheetId="43">#REF!</definedName>
    <definedName name="bbbbbbbb" localSheetId="44">#REF!</definedName>
    <definedName name="bbbbbbbb">#REF!</definedName>
    <definedName name="Beg_Bal" localSheetId="43">#REF!</definedName>
    <definedName name="Beg_Bal" localSheetId="44">#REF!</definedName>
    <definedName name="Beg_Bal">#REF!</definedName>
    <definedName name="BH" localSheetId="43">'[3]STN WISE EMR'!#REF!</definedName>
    <definedName name="BH" localSheetId="44">'[3]STN WISE EMR'!#REF!</definedName>
    <definedName name="BH" localSheetId="36">'[3]STN WISE EMR'!#REF!</definedName>
    <definedName name="BH" localSheetId="28">'[3]STN WISE EMR'!#REF!</definedName>
    <definedName name="BH" localSheetId="83">'[1]STN WISE EMR'!#REF!</definedName>
    <definedName name="BH">'[3]STN WISE EMR'!#REF!</definedName>
    <definedName name="BHP" localSheetId="36">'[37]Rev Summary'!$T$1</definedName>
    <definedName name="BHP" localSheetId="83">'[1]Rev Summary'!$T$1</definedName>
    <definedName name="BHP">'[38]Rev Summary'!$T$1</definedName>
    <definedName name="BR_Resou" localSheetId="43">[39]ecc_res!#REF!</definedName>
    <definedName name="BR_Resou" localSheetId="44">[39]ecc_res!#REF!</definedName>
    <definedName name="BR_Resou">[39]ecc_res!#REF!</definedName>
    <definedName name="BRH" localSheetId="43">'[3]STN WISE EMR'!#REF!</definedName>
    <definedName name="BRH" localSheetId="44">'[3]STN WISE EMR'!#REF!</definedName>
    <definedName name="BRH" localSheetId="36">'[3]STN WISE EMR'!#REF!</definedName>
    <definedName name="BRH" localSheetId="28">'[3]STN WISE EMR'!#REF!</definedName>
    <definedName name="BRH" localSheetId="83">'[1]STN WISE EMR'!#REF!</definedName>
    <definedName name="BRH">'[3]STN WISE EMR'!#REF!</definedName>
    <definedName name="BSP_LSCH" localSheetId="43">#REF!</definedName>
    <definedName name="BSP_LSCH" localSheetId="44">#REF!</definedName>
    <definedName name="BSP_LSCH" localSheetId="36">#REF!</definedName>
    <definedName name="BSP_LSCH" localSheetId="28">#REF!</definedName>
    <definedName name="BSP_LSCH" localSheetId="56">#REF!</definedName>
    <definedName name="BSP_LSCH" localSheetId="83">#REF!</definedName>
    <definedName name="BSP_LSCH" localSheetId="90">#REF!</definedName>
    <definedName name="BSP_LSCH" localSheetId="91">#REF!</definedName>
    <definedName name="BSP_LSCH">#REF!</definedName>
    <definedName name="budget" localSheetId="0" hidden="1">{#N/A,#N/A,FALSE,"1.1";#N/A,#N/A,FALSE,"1.1a";#N/A,#N/A,FALSE,"1.1b";#N/A,#N/A,FALSE,"1.1c";#N/A,#N/A,FALSE,"1.1e";#N/A,#N/A,FALSE,"1.1f";#N/A,#N/A,FALSE,"1.1g";#N/A,#N/A,FALSE,"1.1h_T";#N/A,#N/A,FALSE,"1.1h_D";#N/A,#N/A,FALSE,"1.2";#N/A,#N/A,FALSE,"1.3";#N/A,#N/A,FALSE,"1.3b";#N/A,#N/A,FALSE,"1.4";#N/A,#N/A,FALSE,"1.5";#N/A,#N/A,FALSE,"1.6";#N/A,#N/A,FALSE,"2.1";#N/A,#N/A,FALSE,"SOD";#N/A,#N/A,FALSE,"OL";#N/A,#N/A,FALSE,"CF"}</definedName>
    <definedName name="budget" hidden="1">{#N/A,#N/A,FALSE,"1.1";#N/A,#N/A,FALSE,"1.1a";#N/A,#N/A,FALSE,"1.1b";#N/A,#N/A,FALSE,"1.1c";#N/A,#N/A,FALSE,"1.1e";#N/A,#N/A,FALSE,"1.1f";#N/A,#N/A,FALSE,"1.1g";#N/A,#N/A,FALSE,"1.1h_T";#N/A,#N/A,FALSE,"1.1h_D";#N/A,#N/A,FALSE,"1.2";#N/A,#N/A,FALSE,"1.3";#N/A,#N/A,FALSE,"1.3b";#N/A,#N/A,FALSE,"1.4";#N/A,#N/A,FALSE,"1.5";#N/A,#N/A,FALSE,"1.6";#N/A,#N/A,FALSE,"2.1";#N/A,#N/A,FALSE,"SOD";#N/A,#N/A,FALSE,"OL";#N/A,#N/A,FALSE,"CF"}</definedName>
    <definedName name="BUS" localSheetId="43">#REF!</definedName>
    <definedName name="BUS" localSheetId="44">#REF!</definedName>
    <definedName name="BUS" localSheetId="36">#REF!</definedName>
    <definedName name="BUS" localSheetId="28">#REF!</definedName>
    <definedName name="BUS" localSheetId="83">#REF!</definedName>
    <definedName name="BUS">#REF!</definedName>
    <definedName name="C_DSC" localSheetId="43">#REF!</definedName>
    <definedName name="C_DSC" localSheetId="44">#REF!</definedName>
    <definedName name="C_DSC" localSheetId="36">#REF!</definedName>
    <definedName name="C_DSC" localSheetId="28">#REF!</definedName>
    <definedName name="C_DSC" localSheetId="83">#REF!</definedName>
    <definedName name="C_DSC" localSheetId="90">#REF!</definedName>
    <definedName name="C_DSC" localSheetId="91">#REF!</definedName>
    <definedName name="C_DSC">#REF!</definedName>
    <definedName name="Cap_add_and_loss_assumptions" localSheetId="43">#REF!</definedName>
    <definedName name="Cap_add_and_loss_assumptions" localSheetId="44">#REF!</definedName>
    <definedName name="Cap_add_and_loss_assumptions" localSheetId="36">#REF!</definedName>
    <definedName name="Cap_add_and_loss_assumptions" localSheetId="28">#REF!</definedName>
    <definedName name="Cap_add_and_loss_assumptions" localSheetId="83">#REF!</definedName>
    <definedName name="Cap_add_and_loss_assumptions">#REF!</definedName>
    <definedName name="caprate1" localSheetId="83">'[1]Input sheet'!$D$211</definedName>
    <definedName name="caprate1">'[40]Input Sheet'!$D$211</definedName>
    <definedName name="caprate2" localSheetId="83">'[1]Input sheet'!$E$211</definedName>
    <definedName name="caprate2">'[40]Input Sheet'!$E$211</definedName>
    <definedName name="caprate3" localSheetId="83">'[1]Input sheet'!$F$211</definedName>
    <definedName name="caprate3">'[40]Input Sheet'!$F$211</definedName>
    <definedName name="CASHFLOW" localSheetId="43">#REF!</definedName>
    <definedName name="CASHFLOW" localSheetId="44">#REF!</definedName>
    <definedName name="CASHFLOW" localSheetId="36">#REF!</definedName>
    <definedName name="CASHFLOW" localSheetId="28">#REF!</definedName>
    <definedName name="CASHFLOW" localSheetId="83">#REF!</definedName>
    <definedName name="CASHFLOW" localSheetId="90">#REF!</definedName>
    <definedName name="CASHFLOW" localSheetId="91">#REF!</definedName>
    <definedName name="CASHFLOW">#REF!</definedName>
    <definedName name="CDGD" localSheetId="43">[41]C.S.GENERATION!#REF!</definedName>
    <definedName name="CDGD" localSheetId="44">[41]C.S.GENERATION!#REF!</definedName>
    <definedName name="CDGD" localSheetId="36">[41]C.S.GENERATION!#REF!</definedName>
    <definedName name="CDGD" localSheetId="28">[41]C.S.GENERATION!#REF!</definedName>
    <definedName name="CDGD" localSheetId="83">[1]C.S.GENERATION!#REF!</definedName>
    <definedName name="CDGD">[41]C.S.GENERATION!#REF!</definedName>
    <definedName name="cdu" localSheetId="0" hidden="1">{#N/A,#N/A,FALSE,"COVER.XLS";#N/A,#N/A,FALSE,"RACT1.XLS";#N/A,#N/A,FALSE,"RACT2.XLS";#N/A,#N/A,FALSE,"ECCMP";#N/A,#N/A,FALSE,"WELDER.XLS"}</definedName>
    <definedName name="cdu" hidden="1">{#N/A,#N/A,FALSE,"COVER.XLS";#N/A,#N/A,FALSE,"RACT1.XLS";#N/A,#N/A,FALSE,"RACT2.XLS";#N/A,#N/A,FALSE,"ECCMP";#N/A,#N/A,FALSE,"WELDER.XLS"}</definedName>
    <definedName name="ch" localSheetId="83">[1]Input_Gen!$A$2</definedName>
    <definedName name="ch">[42]Input_Gen!$A$2</definedName>
    <definedName name="cisco_dscnt" localSheetId="43">#REF!</definedName>
    <definedName name="cisco_dscnt" localSheetId="44">#REF!</definedName>
    <definedName name="cisco_dscnt">#REF!</definedName>
    <definedName name="COAL" localSheetId="83">'[1]Executive Summary -Thermal'!$A$4:$H$96</definedName>
    <definedName name="COAL">'[18]Executive Summary -Thermal'!$A$4:$H$96</definedName>
    <definedName name="Complex">[43]Input!$A$119:$B$129</definedName>
    <definedName name="Connec1" localSheetId="36">'[44]Physical Data'!$G$2</definedName>
    <definedName name="Connec1" localSheetId="83">'[1]Physical Data'!$G$2</definedName>
    <definedName name="Connec1">'[45]Physical Data'!$G$2</definedName>
    <definedName name="Connec2" localSheetId="36">'[44]Physical Data'!$J$2</definedName>
    <definedName name="Connec2" localSheetId="83">'[1]Physical Data'!$J$2</definedName>
    <definedName name="Connec2">'[45]Physical Data'!$J$2</definedName>
    <definedName name="Connec3" localSheetId="43">#REF!</definedName>
    <definedName name="Connec3" localSheetId="44">#REF!</definedName>
    <definedName name="Connec3" localSheetId="36">#REF!</definedName>
    <definedName name="Connec3" localSheetId="28">#REF!</definedName>
    <definedName name="Connec3" localSheetId="56">#REF!</definedName>
    <definedName name="Connec3" localSheetId="83">#REF!</definedName>
    <definedName name="Connec3" localSheetId="94">#REF!</definedName>
    <definedName name="Connec3">#REF!</definedName>
    <definedName name="Connec4" localSheetId="43">#REF!</definedName>
    <definedName name="Connec4" localSheetId="44">#REF!</definedName>
    <definedName name="Connec4" localSheetId="36">#REF!</definedName>
    <definedName name="Connec4" localSheetId="28">#REF!</definedName>
    <definedName name="Connec4" localSheetId="83">#REF!</definedName>
    <definedName name="Connec4">#REF!</definedName>
    <definedName name="Connec5" localSheetId="43">#REF!</definedName>
    <definedName name="Connec5" localSheetId="44">#REF!</definedName>
    <definedName name="Connec5" localSheetId="36">#REF!</definedName>
    <definedName name="Connec5" localSheetId="28">#REF!</definedName>
    <definedName name="Connec5" localSheetId="83">#REF!</definedName>
    <definedName name="Connec5">#REF!</definedName>
    <definedName name="Connected_Load" localSheetId="43">#REF!</definedName>
    <definedName name="Connected_Load" localSheetId="44">#REF!</definedName>
    <definedName name="Connected_Load" localSheetId="36">#REF!</definedName>
    <definedName name="Connected_Load" localSheetId="28">#REF!</definedName>
    <definedName name="Connected_Load" localSheetId="83">#REF!</definedName>
    <definedName name="Connected_Load">#REF!</definedName>
    <definedName name="Connected_Load1" localSheetId="43">#REF!</definedName>
    <definedName name="Connected_Load1" localSheetId="44">#REF!</definedName>
    <definedName name="Connected_Load1" localSheetId="36">#REF!</definedName>
    <definedName name="Connected_Load1" localSheetId="28">#REF!</definedName>
    <definedName name="Connected_Load1" localSheetId="83">#REF!</definedName>
    <definedName name="Connected_Load1">#REF!</definedName>
    <definedName name="Connected_Load2" localSheetId="43">#REF!</definedName>
    <definedName name="Connected_Load2" localSheetId="44">#REF!</definedName>
    <definedName name="Connected_Load2" localSheetId="36">#REF!</definedName>
    <definedName name="Connected_Load2" localSheetId="28">#REF!</definedName>
    <definedName name="Connected_Load2" localSheetId="83">#REF!</definedName>
    <definedName name="Connected_Load2">#REF!</definedName>
    <definedName name="Cons_number_Col_Ind" localSheetId="36">[46]Sales_Summary!$S$2</definedName>
    <definedName name="Cons_number_Col_Ind" localSheetId="83">[1]Sales_Summary!$S$2</definedName>
    <definedName name="Cons_number_Col_Ind">[47]Sales_Summary!$S$2</definedName>
    <definedName name="Cons1" localSheetId="36">'[44]Physical Data'!$F$2</definedName>
    <definedName name="Cons1" localSheetId="83">'[1]Physical Data'!$F$2</definedName>
    <definedName name="Cons1">'[45]Physical Data'!$F$2</definedName>
    <definedName name="Cons2" localSheetId="36">'[44]Physical Data'!$I$2</definedName>
    <definedName name="Cons2" localSheetId="83">'[1]Physical Data'!$I$2</definedName>
    <definedName name="Cons2">'[45]Physical Data'!$I$2</definedName>
    <definedName name="Cons3" localSheetId="43">#REF!</definedName>
    <definedName name="Cons3" localSheetId="44">#REF!</definedName>
    <definedName name="Cons3" localSheetId="36">#REF!</definedName>
    <definedName name="Cons3" localSheetId="28">#REF!</definedName>
    <definedName name="Cons3" localSheetId="56">#REF!</definedName>
    <definedName name="Cons3" localSheetId="83">#REF!</definedName>
    <definedName name="Cons3" localSheetId="94">#REF!</definedName>
    <definedName name="Cons3">#REF!</definedName>
    <definedName name="Cons4" localSheetId="43">#REF!</definedName>
    <definedName name="Cons4" localSheetId="44">#REF!</definedName>
    <definedName name="Cons4" localSheetId="36">#REF!</definedName>
    <definedName name="Cons4" localSheetId="28">#REF!</definedName>
    <definedName name="Cons4" localSheetId="83">#REF!</definedName>
    <definedName name="Cons4">#REF!</definedName>
    <definedName name="Cons5" localSheetId="43">#REF!</definedName>
    <definedName name="Cons5" localSheetId="44">#REF!</definedName>
    <definedName name="Cons5" localSheetId="36">#REF!</definedName>
    <definedName name="Cons5" localSheetId="28">#REF!</definedName>
    <definedName name="Cons5" localSheetId="83">#REF!</definedName>
    <definedName name="Cons5">#REF!</definedName>
    <definedName name="Consumer1" localSheetId="43">#REF!</definedName>
    <definedName name="Consumer1" localSheetId="44">#REF!</definedName>
    <definedName name="Consumer1" localSheetId="36">#REF!</definedName>
    <definedName name="Consumer1" localSheetId="28">#REF!</definedName>
    <definedName name="Consumer1" localSheetId="83">#REF!</definedName>
    <definedName name="Consumer1">#REF!</definedName>
    <definedName name="Consumer2" localSheetId="43">#REF!</definedName>
    <definedName name="Consumer2" localSheetId="44">#REF!</definedName>
    <definedName name="Consumer2" localSheetId="36">#REF!</definedName>
    <definedName name="Consumer2" localSheetId="28">#REF!</definedName>
    <definedName name="Consumer2" localSheetId="83">#REF!</definedName>
    <definedName name="Consumer2">#REF!</definedName>
    <definedName name="Consumers" localSheetId="43">#REF!</definedName>
    <definedName name="Consumers" localSheetId="44">#REF!</definedName>
    <definedName name="Consumers" localSheetId="36">#REF!</definedName>
    <definedName name="Consumers" localSheetId="28">#REF!</definedName>
    <definedName name="Consumers" localSheetId="83">#REF!</definedName>
    <definedName name="Consumers">#REF!</definedName>
    <definedName name="Consumers2" localSheetId="43">#REF!</definedName>
    <definedName name="Consumers2" localSheetId="44">#REF!</definedName>
    <definedName name="Consumers2" localSheetId="36">#REF!</definedName>
    <definedName name="Consumers2" localSheetId="28">#REF!</definedName>
    <definedName name="Consumers2" localSheetId="83">#REF!</definedName>
    <definedName name="Consumers2">#REF!</definedName>
    <definedName name="contracted"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contracted"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Conusmer" localSheetId="43">#REF!</definedName>
    <definedName name="Conusmer" localSheetId="44">#REF!</definedName>
    <definedName name="Conusmer" localSheetId="36">#REF!</definedName>
    <definedName name="Conusmer" localSheetId="28">#REF!</definedName>
    <definedName name="Conusmer" localSheetId="83">#REF!</definedName>
    <definedName name="Conusmer">#REF!</definedName>
    <definedName name="Conusmers" localSheetId="43">#REF!</definedName>
    <definedName name="Conusmers" localSheetId="44">#REF!</definedName>
    <definedName name="Conusmers" localSheetId="36">#REF!</definedName>
    <definedName name="Conusmers" localSheetId="28">#REF!</definedName>
    <definedName name="Conusmers" localSheetId="83">#REF!</definedName>
    <definedName name="Conusmers">#REF!</definedName>
    <definedName name="CR" localSheetId="83">[1]DLC!$GS$40:$HM$87</definedName>
    <definedName name="CR">[2]DLC!$GS$40:$HM$87</definedName>
    <definedName name="CRIT" localSheetId="0" hidden="1">{#N/A,#N/A,FALSE,"consu_cover";#N/A,#N/A,FALSE,"consu_strategy";#N/A,#N/A,FALSE,"consu_flow";#N/A,#N/A,FALSE,"Summary_reqmt";#N/A,#N/A,FALSE,"field_ppg";#N/A,#N/A,FALSE,"ppg_shop";#N/A,#N/A,FALSE,"strl";#N/A,#N/A,FALSE,"tankages";#N/A,#N/A,FALSE,"gases"}</definedName>
    <definedName name="CRIT" hidden="1">{#N/A,#N/A,FALSE,"consu_cover";#N/A,#N/A,FALSE,"consu_strategy";#N/A,#N/A,FALSE,"consu_flow";#N/A,#N/A,FALSE,"Summary_reqmt";#N/A,#N/A,FALSE,"field_ppg";#N/A,#N/A,FALSE,"ppg_shop";#N/A,#N/A,FALSE,"strl";#N/A,#N/A,FALSE,"tankages";#N/A,#N/A,FALSE,"gases"}</definedName>
    <definedName name="_xlnm.Criteria" localSheetId="83">[1]DLC!$GS$304:$HF$305</definedName>
    <definedName name="_xlnm.Criteria">[2]DLC!$GS$304:$HF$305</definedName>
    <definedName name="CRITICAL" localSheetId="0"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ore" localSheetId="36">[48]General!$A$7</definedName>
    <definedName name="crore" localSheetId="37">[49]General!$A$7</definedName>
    <definedName name="crore" localSheetId="83">[1]General!$A$7</definedName>
    <definedName name="crore">[50]General!$A$7</definedName>
    <definedName name="Crores">10000000</definedName>
    <definedName name="CSMPD" localSheetId="43">[41]C.S.GENERATION!#REF!</definedName>
    <definedName name="CSMPD" localSheetId="44">[41]C.S.GENERATION!#REF!</definedName>
    <definedName name="CSMPD" localSheetId="36">[41]C.S.GENERATION!#REF!</definedName>
    <definedName name="CSMPD" localSheetId="28">[41]C.S.GENERATION!#REF!</definedName>
    <definedName name="CSMPD" localSheetId="83">[1]C.S.GENERATION!#REF!</definedName>
    <definedName name="CSMPD">[41]C.S.GENERATION!#REF!</definedName>
    <definedName name="CURR_LIB" localSheetId="43">#REF!</definedName>
    <definedName name="CURR_LIB" localSheetId="44">#REF!</definedName>
    <definedName name="CURR_LIB" localSheetId="36">#REF!</definedName>
    <definedName name="CURR_LIB" localSheetId="28">#REF!</definedName>
    <definedName name="CURR_LIB" localSheetId="56">#REF!</definedName>
    <definedName name="CURR_LIB" localSheetId="83">#REF!</definedName>
    <definedName name="CURR_LIB" localSheetId="90">#REF!</definedName>
    <definedName name="CURR_LIB" localSheetId="91">#REF!</definedName>
    <definedName name="CURR_LIB">#REF!</definedName>
    <definedName name="Current">'[51]Licensee Information'!$G$30</definedName>
    <definedName name="CURVE" localSheetId="0" hidden="1">{#N/A,#N/A,FALSE,"COVER1.XLS ";#N/A,#N/A,FALSE,"RACT1.XLS";#N/A,#N/A,FALSE,"RACT2.XLS";#N/A,#N/A,FALSE,"ECCMP";#N/A,#N/A,FALSE,"WELDER.XLS"}</definedName>
    <definedName name="CURVE" hidden="1">{#N/A,#N/A,FALSE,"COVER1.XLS ";#N/A,#N/A,FALSE,"RACT1.XLS";#N/A,#N/A,FALSE,"RACT2.XLS";#N/A,#N/A,FALSE,"ECCMP";#N/A,#N/A,FALSE,"WELDER.XLS"}</definedName>
    <definedName name="CustFY03" localSheetId="43">#REF!</definedName>
    <definedName name="CustFY03" localSheetId="44">#REF!</definedName>
    <definedName name="CustFY03" localSheetId="36">#REF!</definedName>
    <definedName name="CustFY03" localSheetId="28">#REF!</definedName>
    <definedName name="CustFY03" localSheetId="83">#REF!</definedName>
    <definedName name="CustFY03">#REF!</definedName>
    <definedName name="cwipcaprate1" localSheetId="83">'[1]Input sheet'!$D$213</definedName>
    <definedName name="cwipcaprate1">'[40]Input Sheet'!$D$213</definedName>
    <definedName name="cwipcaprate2" localSheetId="83">'[1]Input sheet'!$E$213</definedName>
    <definedName name="cwipcaprate2">'[40]Input Sheet'!$E$213</definedName>
    <definedName name="cwipcaprate3" localSheetId="83">'[1]Input sheet'!$F$213</definedName>
    <definedName name="cwipcaprate3">'[40]Input Sheet'!$F$213</definedName>
    <definedName name="D">#N/A</definedName>
    <definedName name="D_T" localSheetId="83">'[1]Discom Details'!$F$721</definedName>
    <definedName name="D_T">'[52]Discom Details'!$F$721</definedName>
    <definedName name="Data" localSheetId="43">#REF!</definedName>
    <definedName name="Data" localSheetId="44">#REF!</definedName>
    <definedName name="Data">#REF!</definedName>
    <definedName name="Data1" localSheetId="43">#REF!</definedName>
    <definedName name="Data1" localSheetId="44">#REF!</definedName>
    <definedName name="Data1">#REF!</definedName>
    <definedName name="DATA10" localSheetId="43">#REF!</definedName>
    <definedName name="DATA10" localSheetId="44">#REF!</definedName>
    <definedName name="DATA10">#REF!</definedName>
    <definedName name="DATA11" localSheetId="43">#REF!</definedName>
    <definedName name="DATA11" localSheetId="44">#REF!</definedName>
    <definedName name="DATA11">#REF!</definedName>
    <definedName name="DATA12" localSheetId="43">#REF!</definedName>
    <definedName name="DATA12" localSheetId="44">#REF!</definedName>
    <definedName name="DATA12">#REF!</definedName>
    <definedName name="DATA13" localSheetId="43">#REF!</definedName>
    <definedName name="DATA13" localSheetId="44">#REF!</definedName>
    <definedName name="DATA13">#REF!</definedName>
    <definedName name="DATA14" localSheetId="43">#REF!</definedName>
    <definedName name="DATA14" localSheetId="44">#REF!</definedName>
    <definedName name="DATA14">#REF!</definedName>
    <definedName name="DATA15" localSheetId="43">#REF!</definedName>
    <definedName name="DATA15" localSheetId="44">#REF!</definedName>
    <definedName name="DATA15">#REF!</definedName>
    <definedName name="DATA16" localSheetId="43">#REF!</definedName>
    <definedName name="DATA16" localSheetId="44">#REF!</definedName>
    <definedName name="DATA16">#REF!</definedName>
    <definedName name="DATA19" localSheetId="43">#REF!</definedName>
    <definedName name="DATA19" localSheetId="44">#REF!</definedName>
    <definedName name="DATA19">#REF!</definedName>
    <definedName name="Data2" localSheetId="43">#REF!</definedName>
    <definedName name="Data2" localSheetId="44">#REF!</definedName>
    <definedName name="Data2">#REF!</definedName>
    <definedName name="DATA20" localSheetId="43">#REF!</definedName>
    <definedName name="DATA20" localSheetId="44">#REF!</definedName>
    <definedName name="DATA20">#REF!</definedName>
    <definedName name="DATA3" localSheetId="43">#REF!</definedName>
    <definedName name="DATA3" localSheetId="44">#REF!</definedName>
    <definedName name="DATA3">#REF!</definedName>
    <definedName name="DATA4" localSheetId="43">#REF!</definedName>
    <definedName name="DATA4" localSheetId="44">#REF!</definedName>
    <definedName name="DATA4">#REF!</definedName>
    <definedName name="DATA5" localSheetId="43">#REF!</definedName>
    <definedName name="DATA5" localSheetId="44">#REF!</definedName>
    <definedName name="DATA5">#REF!</definedName>
    <definedName name="DATA6" localSheetId="43">#REF!</definedName>
    <definedName name="DATA6" localSheetId="44">#REF!</definedName>
    <definedName name="DATA6">#REF!</definedName>
    <definedName name="DATA7" localSheetId="43">#REF!</definedName>
    <definedName name="DATA7" localSheetId="44">#REF!</definedName>
    <definedName name="DATA7">#REF!</definedName>
    <definedName name="DATA8" localSheetId="43">#REF!</definedName>
    <definedName name="DATA8" localSheetId="44">#REF!</definedName>
    <definedName name="DATA8">#REF!</definedName>
    <definedName name="DATA9" localSheetId="43">#REF!</definedName>
    <definedName name="DATA9" localSheetId="44">#REF!</definedName>
    <definedName name="DATA9">#REF!</definedName>
    <definedName name="dataarea" localSheetId="43">#REF!</definedName>
    <definedName name="dataarea" localSheetId="44">#REF!</definedName>
    <definedName name="dataarea">#REF!</definedName>
    <definedName name="_xlnm.Database" localSheetId="43">#REF!</definedName>
    <definedName name="_xlnm.Database" localSheetId="44">#REF!</definedName>
    <definedName name="_xlnm.Database" localSheetId="36">#REF!</definedName>
    <definedName name="_xlnm.Database" localSheetId="37">#REF!</definedName>
    <definedName name="_xlnm.Database" localSheetId="28">#REF!</definedName>
    <definedName name="_xlnm.Database" localSheetId="56">#REF!</definedName>
    <definedName name="_xlnm.Database" localSheetId="83">#REF!</definedName>
    <definedName name="_xlnm.Database" localSheetId="90">#REF!</definedName>
    <definedName name="_xlnm.Database" localSheetId="91">#REF!</definedName>
    <definedName name="_xlnm.Database">#REF!</definedName>
    <definedName name="DateTimeStamp" localSheetId="43">#REF!</definedName>
    <definedName name="DateTimeStamp" localSheetId="44">#REF!</definedName>
    <definedName name="DateTimeStamp" localSheetId="36">#REF!</definedName>
    <definedName name="DateTimeStamp" localSheetId="28">#REF!</definedName>
    <definedName name="DateTimeStamp" localSheetId="83">#REF!</definedName>
    <definedName name="DateTimeStamp">#REF!</definedName>
    <definedName name="DB_EDiv" localSheetId="43">#REF!</definedName>
    <definedName name="DB_EDiv" localSheetId="44">#REF!</definedName>
    <definedName name="DB_EDiv" localSheetId="36">#REF!</definedName>
    <definedName name="DB_EDiv" localSheetId="28">#REF!</definedName>
    <definedName name="DB_EDiv" localSheetId="83">#REF!</definedName>
    <definedName name="DB_EDiv">#REF!</definedName>
    <definedName name="DB_PDist" localSheetId="36">[53]Admin!$B$9:$BV$78</definedName>
    <definedName name="DB_PDist" localSheetId="83">[1]Admin!$B$9:$BV$78</definedName>
    <definedName name="DB_PDist">[54]Admin!$B$9:$BV$78</definedName>
    <definedName name="DB_PDiv" localSheetId="36">[55]Admin!$B$92:$AU$108</definedName>
    <definedName name="DB_PDiv" localSheetId="83">[1]Admin!$B$92:$AU$108</definedName>
    <definedName name="DB_PDiv">[55]Admin!$B$92:$AU$108</definedName>
    <definedName name="DBFY03" localSheetId="43">#REF!</definedName>
    <definedName name="DBFY03" localSheetId="44">#REF!</definedName>
    <definedName name="DBFY03" localSheetId="36">#REF!</definedName>
    <definedName name="DBFY03" localSheetId="28">#REF!</definedName>
    <definedName name="DBFY03" localSheetId="56">#REF!</definedName>
    <definedName name="DBFY03" localSheetId="83">#REF!</definedName>
    <definedName name="DBFY03" localSheetId="94">#REF!</definedName>
    <definedName name="DBFY03">#REF!</definedName>
    <definedName name="dbn_assts" localSheetId="36">[56]Sheet1!$A$1508:$Q$1541</definedName>
    <definedName name="dbn_assts" localSheetId="37">[57]Sheet1!$A$1508:$Q$1541</definedName>
    <definedName name="dbn_assts" localSheetId="83">[1]Sheet1!$A$1508:$Q$1541</definedName>
    <definedName name="dbn_assts">[58]Sheet1!$A$1508:$Q$1541</definedName>
    <definedName name="dcd" localSheetId="43">#REF!</definedName>
    <definedName name="dcd" localSheetId="44">#REF!</definedName>
    <definedName name="dcd" localSheetId="36">#REF!</definedName>
    <definedName name="dcd" localSheetId="28">#REF!</definedName>
    <definedName name="dcd" localSheetId="56">#REF!</definedName>
    <definedName name="dcd" localSheetId="83">#REF!</definedName>
    <definedName name="dcd" localSheetId="94">#REF!</definedName>
    <definedName name="dcd">#REF!</definedName>
    <definedName name="dd" localSheetId="43">#REF!</definedName>
    <definedName name="dd" localSheetId="44">#REF!</definedName>
    <definedName name="dd" localSheetId="36">#REF!</definedName>
    <definedName name="dd" localSheetId="37"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d" localSheetId="28">#REF!</definedName>
    <definedName name="dd" localSheetId="83">#REF!</definedName>
    <definedName name="dd">#REF!</definedName>
    <definedName name="DDDD" localSheetId="43">#REF!</definedName>
    <definedName name="DDDD" localSheetId="44">#REF!</definedName>
    <definedName name="DDDD" localSheetId="36">#REF!</definedName>
    <definedName name="DDDD" localSheetId="28">#REF!</definedName>
    <definedName name="DDDD" localSheetId="83">#REF!</definedName>
    <definedName name="DDDD">#REF!</definedName>
    <definedName name="dddddddddddddd" localSheetId="43">#REF!</definedName>
    <definedName name="dddddddddddddd" localSheetId="44">#REF!</definedName>
    <definedName name="dddddddddddddd" localSheetId="36">#REF!</definedName>
    <definedName name="dddddddddddddd" localSheetId="28">#REF!</definedName>
    <definedName name="dddddddddddddd" localSheetId="83">#REF!</definedName>
    <definedName name="dddddddddddddd">#REF!</definedName>
    <definedName name="dddddddddddddddddddd" localSheetId="43">#REF!</definedName>
    <definedName name="dddddddddddddddddddd" localSheetId="44">#REF!</definedName>
    <definedName name="dddddddddddddddddddd" localSheetId="36">#REF!</definedName>
    <definedName name="dddddddddddddddddddd" localSheetId="28">#REF!</definedName>
    <definedName name="dddddddddddddddddddd" localSheetId="83">#REF!</definedName>
    <definedName name="dddddddddddddddddddd">#REF!</definedName>
    <definedName name="ddddddddfffff" localSheetId="43">#REF!</definedName>
    <definedName name="ddddddddfffff" localSheetId="44">#REF!</definedName>
    <definedName name="ddddddddfffff" localSheetId="36">#REF!</definedName>
    <definedName name="ddddddddfffff" localSheetId="28">#REF!</definedName>
    <definedName name="ddddddddfffff" localSheetId="83">#REF!</definedName>
    <definedName name="ddddddddfffff">#REF!</definedName>
    <definedName name="ddffffff" localSheetId="43">#REF!</definedName>
    <definedName name="ddffffff" localSheetId="44">#REF!</definedName>
    <definedName name="ddffffff" localSheetId="36">#REF!</definedName>
    <definedName name="ddffffff" localSheetId="28">#REF!</definedName>
    <definedName name="ddffffff" localSheetId="83">#REF!</definedName>
    <definedName name="ddffffff">#REF!</definedName>
    <definedName name="DdPF" localSheetId="43">#REF!</definedName>
    <definedName name="DdPF" localSheetId="44">#REF!</definedName>
    <definedName name="DdPF" localSheetId="36">#REF!</definedName>
    <definedName name="DdPF" localSheetId="28">#REF!</definedName>
    <definedName name="DdPF" localSheetId="56">#REF!</definedName>
    <definedName name="DdPF" localSheetId="83">#REF!</definedName>
    <definedName name="DdPF">#REF!</definedName>
    <definedName name="Debtors" localSheetId="43">#REF!</definedName>
    <definedName name="Debtors" localSheetId="44">#REF!</definedName>
    <definedName name="Debtors">#REF!</definedName>
    <definedName name="Demographic_data" localSheetId="43">#REF!</definedName>
    <definedName name="Demographic_data" localSheetId="44">#REF!</definedName>
    <definedName name="Demographic_data" localSheetId="36">#REF!</definedName>
    <definedName name="Demographic_data" localSheetId="28">#REF!</definedName>
    <definedName name="Demographic_data" localSheetId="83">#REF!</definedName>
    <definedName name="Demographic_data">#REF!</definedName>
    <definedName name="DER" localSheetId="0" hidden="1">{#N/A,#N/A,FALSE,"COVER.XLS";#N/A,#N/A,FALSE,"RACT1.XLS";#N/A,#N/A,FALSE,"RACT2.XLS";#N/A,#N/A,FALSE,"ECCMP";#N/A,#N/A,FALSE,"WELDER.XLS"}</definedName>
    <definedName name="DER" hidden="1">{#N/A,#N/A,FALSE,"COVER.XLS";#N/A,#N/A,FALSE,"RACT1.XLS";#N/A,#N/A,FALSE,"RACT2.XLS";#N/A,#N/A,FALSE,"ECCMP";#N/A,#N/A,FALSE,"WELDER.XLS"}</definedName>
    <definedName name="DERC" localSheetId="0" hidden="1">{#N/A,#N/A,FALSE,"COVER1.XLS ";#N/A,#N/A,FALSE,"RACT1.XLS";#N/A,#N/A,FALSE,"RACT2.XLS";#N/A,#N/A,FALSE,"ECCMP";#N/A,#N/A,FALSE,"WELDER.XLS"}</definedName>
    <definedName name="DERC" hidden="1">{#N/A,#N/A,FALSE,"COVER1.XLS ";#N/A,#N/A,FALSE,"RACT1.XLS";#N/A,#N/A,FALSE,"RACT2.XLS";#N/A,#N/A,FALSE,"ECCMP";#N/A,#N/A,FALSE,"WELDER.XLS"}</definedName>
    <definedName name="DETAILS1_ADDRESS" localSheetId="83" hidden="1">[1]XLR_NoRangeSheet!$C$7</definedName>
    <definedName name="DETAILS1_ADDRESS" hidden="1">[59]XLR_NoRangeSheet!$C$7</definedName>
    <definedName name="DETAILS1_FINYEAR" localSheetId="83" hidden="1">[1]XLR_NoRangeSheet!$F$7</definedName>
    <definedName name="DETAILS1_FINYEAR" hidden="1">[59]XLR_NoRangeSheet!$F$7</definedName>
    <definedName name="DETAILS1_PFNO" localSheetId="83" hidden="1">[1]XLR_NoRangeSheet!$D$7</definedName>
    <definedName name="DETAILS1_PFNO" hidden="1">[59]XLR_NoRangeSheet!$D$7</definedName>
    <definedName name="DETAILS2_AC21RATE" localSheetId="83" hidden="1">[1]XLR_NoRangeSheet!$F$8</definedName>
    <definedName name="DETAILS2_AC21RATE" hidden="1">[59]XLR_NoRangeSheet!$F$8</definedName>
    <definedName name="DETAILS2_AC22RATE" localSheetId="83" hidden="1">[1]XLR_NoRangeSheet!$G$8</definedName>
    <definedName name="DETAILS2_AC22RATE" hidden="1">[59]XLR_NoRangeSheet!$G$8</definedName>
    <definedName name="DETAILS2_CNT" localSheetId="83" hidden="1">[1]XLR_NoRangeSheet!$C$8</definedName>
    <definedName name="DETAILS2_CNT" hidden="1">[59]XLR_NoRangeSheet!$C$8</definedName>
    <definedName name="DETAILS2_EMPRATE" localSheetId="83" hidden="1">[1]XLR_NoRangeSheet!$E$8</definedName>
    <definedName name="DETAILS2_EMPRATE" hidden="1">[59]XLR_NoRangeSheet!$E$8</definedName>
    <definedName name="DETAILS2_SATRATE" localSheetId="83" hidden="1">[1]XLR_NoRangeSheet!$D$8</definedName>
    <definedName name="DETAILS2_SATRATE" hidden="1">[59]XLR_NoRangeSheet!$D$8</definedName>
    <definedName name="DETAILS2_TOT" localSheetId="83" hidden="1">[1]XLR_NoRangeSheet!$B$8</definedName>
    <definedName name="DETAILS2_TOT" hidden="1">[59]XLR_NoRangeSheet!$B$8</definedName>
    <definedName name="Device" localSheetId="83">[1]list!$F$2:$F$26</definedName>
    <definedName name="Device">[60]list!$F$2:$F$26</definedName>
    <definedName name="df"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f"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fdsfd" localSheetId="43">#REF!</definedName>
    <definedName name="dfdsfd" localSheetId="44">#REF!</definedName>
    <definedName name="dfdsfd" localSheetId="36">#REF!</definedName>
    <definedName name="dfdsfd" localSheetId="28">#REF!</definedName>
    <definedName name="dfdsfd" localSheetId="83">#REF!</definedName>
    <definedName name="dfdsfd">#REF!</definedName>
    <definedName name="dgfgfd" localSheetId="0" hidden="1">{#N/A,#N/A,FALSE,"COVER.XLS";#N/A,#N/A,FALSE,"RACT1.XLS";#N/A,#N/A,FALSE,"RACT2.XLS";#N/A,#N/A,FALSE,"ECCMP";#N/A,#N/A,FALSE,"WELDER.XLS"}</definedName>
    <definedName name="dgfgfd" hidden="1">{#N/A,#N/A,FALSE,"COVER.XLS";#N/A,#N/A,FALSE,"RACT1.XLS";#N/A,#N/A,FALSE,"RACT2.XLS";#N/A,#N/A,FALSE,"ECCMP";#N/A,#N/A,FALSE,"WELDER.XLS"}</definedName>
    <definedName name="Discom1F1" localSheetId="43">#REF!</definedName>
    <definedName name="Discom1F1" localSheetId="44">#REF!</definedName>
    <definedName name="Discom1F1" localSheetId="36">#REF!</definedName>
    <definedName name="Discom1F1" localSheetId="37">#REF!</definedName>
    <definedName name="Discom1F1" localSheetId="28">#REF!</definedName>
    <definedName name="Discom1F1" localSheetId="56">#REF!</definedName>
    <definedName name="Discom1F1" localSheetId="83">#REF!</definedName>
    <definedName name="Discom1F1" localSheetId="94">#REF!</definedName>
    <definedName name="Discom1F1">#REF!</definedName>
    <definedName name="Discom1F2" localSheetId="43">#REF!</definedName>
    <definedName name="Discom1F2" localSheetId="44">#REF!</definedName>
    <definedName name="Discom1F2" localSheetId="36">#REF!</definedName>
    <definedName name="Discom1F2" localSheetId="37">#REF!</definedName>
    <definedName name="Discom1F2" localSheetId="28">#REF!</definedName>
    <definedName name="Discom1F2" localSheetId="83">#REF!</definedName>
    <definedName name="Discom1F2">#REF!</definedName>
    <definedName name="Discom1F3" localSheetId="43">#REF!</definedName>
    <definedName name="Discom1F3" localSheetId="44">#REF!</definedName>
    <definedName name="Discom1F3" localSheetId="36">#REF!</definedName>
    <definedName name="Discom1F3" localSheetId="37">#REF!</definedName>
    <definedName name="Discom1F3" localSheetId="28">#REF!</definedName>
    <definedName name="Discom1F3" localSheetId="83">#REF!</definedName>
    <definedName name="Discom1F3">#REF!</definedName>
    <definedName name="Discom1F4" localSheetId="43">#REF!</definedName>
    <definedName name="Discom1F4" localSheetId="44">#REF!</definedName>
    <definedName name="Discom1F4" localSheetId="36">#REF!</definedName>
    <definedName name="Discom1F4" localSheetId="37">#REF!</definedName>
    <definedName name="Discom1F4" localSheetId="28">#REF!</definedName>
    <definedName name="Discom1F4" localSheetId="83">#REF!</definedName>
    <definedName name="Discom1F4">#REF!</definedName>
    <definedName name="Discom1F6" localSheetId="43">#REF!</definedName>
    <definedName name="Discom1F6" localSheetId="44">#REF!</definedName>
    <definedName name="Discom1F6" localSheetId="36">#REF!</definedName>
    <definedName name="Discom1F6" localSheetId="37">#REF!</definedName>
    <definedName name="Discom1F6" localSheetId="28">#REF!</definedName>
    <definedName name="Discom1F6" localSheetId="83">#REF!</definedName>
    <definedName name="Discom1F6" localSheetId="90">#REF!</definedName>
    <definedName name="Discom1F6" localSheetId="91">#REF!</definedName>
    <definedName name="Discom1F6">#REF!</definedName>
    <definedName name="discom1s" localSheetId="43">#REF!</definedName>
    <definedName name="discom1s" localSheetId="44">#REF!</definedName>
    <definedName name="discom1s" localSheetId="36">#REF!</definedName>
    <definedName name="discom1s" localSheetId="28">#REF!</definedName>
    <definedName name="discom1s" localSheetId="83">#REF!</definedName>
    <definedName name="discom1s">#REF!</definedName>
    <definedName name="Discom2F1" localSheetId="43">#REF!</definedName>
    <definedName name="Discom2F1" localSheetId="44">#REF!</definedName>
    <definedName name="Discom2F1" localSheetId="36">#REF!</definedName>
    <definedName name="Discom2F1" localSheetId="37">#REF!</definedName>
    <definedName name="Discom2F1" localSheetId="28">#REF!</definedName>
    <definedName name="Discom2F1" localSheetId="83">#REF!</definedName>
    <definedName name="Discom2F1" localSheetId="90">#REF!</definedName>
    <definedName name="Discom2F1" localSheetId="91">#REF!</definedName>
    <definedName name="Discom2F1">#REF!</definedName>
    <definedName name="Discom2F2" localSheetId="43">#REF!</definedName>
    <definedName name="Discom2F2" localSheetId="44">#REF!</definedName>
    <definedName name="Discom2F2" localSheetId="36">#REF!</definedName>
    <definedName name="Discom2F2" localSheetId="37">#REF!</definedName>
    <definedName name="Discom2F2" localSheetId="28">#REF!</definedName>
    <definedName name="Discom2F2" localSheetId="83">#REF!</definedName>
    <definedName name="Discom2F2" localSheetId="90">#REF!</definedName>
    <definedName name="Discom2F2" localSheetId="91">#REF!</definedName>
    <definedName name="Discom2F2">#REF!</definedName>
    <definedName name="Discom2F3" localSheetId="43">#REF!</definedName>
    <definedName name="Discom2F3" localSheetId="44">#REF!</definedName>
    <definedName name="Discom2F3" localSheetId="36">#REF!</definedName>
    <definedName name="Discom2F3" localSheetId="37">#REF!</definedName>
    <definedName name="Discom2F3" localSheetId="28">#REF!</definedName>
    <definedName name="Discom2F3" localSheetId="83">#REF!</definedName>
    <definedName name="Discom2F3">#REF!</definedName>
    <definedName name="Discom2F4" localSheetId="43">#REF!</definedName>
    <definedName name="Discom2F4" localSheetId="44">#REF!</definedName>
    <definedName name="Discom2F4" localSheetId="36">#REF!</definedName>
    <definedName name="Discom2F4" localSheetId="37">#REF!</definedName>
    <definedName name="Discom2F4" localSheetId="28">#REF!</definedName>
    <definedName name="Discom2F4" localSheetId="83">#REF!</definedName>
    <definedName name="Discom2F4">#REF!</definedName>
    <definedName name="Discom2F6" localSheetId="43">#REF!</definedName>
    <definedName name="Discom2F6" localSheetId="44">#REF!</definedName>
    <definedName name="Discom2F6" localSheetId="36">#REF!</definedName>
    <definedName name="Discom2F6" localSheetId="37">#REF!</definedName>
    <definedName name="Discom2F6" localSheetId="28">#REF!</definedName>
    <definedName name="Discom2F6" localSheetId="83">#REF!</definedName>
    <definedName name="Discom2F6">#REF!</definedName>
    <definedName name="DIV" localSheetId="43">#REF!</definedName>
    <definedName name="DIV" localSheetId="44">#REF!</definedName>
    <definedName name="DIV" localSheetId="36">#REF!</definedName>
    <definedName name="DIV" localSheetId="28">#REF!</definedName>
    <definedName name="DIV" localSheetId="83">#REF!</definedName>
    <definedName name="DIV">#REF!</definedName>
    <definedName name="DivTB" localSheetId="43">#REF!</definedName>
    <definedName name="DivTB" localSheetId="44">#REF!</definedName>
    <definedName name="DivTB" localSheetId="36">#REF!</definedName>
    <definedName name="DivTB" localSheetId="28">#REF!</definedName>
    <definedName name="DivTB" localSheetId="83">#REF!</definedName>
    <definedName name="DivTB">#REF!</definedName>
    <definedName name="dom" localSheetId="43">#REF!</definedName>
    <definedName name="dom" localSheetId="44">#REF!</definedName>
    <definedName name="dom" localSheetId="36">#REF!</definedName>
    <definedName name="dom" localSheetId="37">#REF!</definedName>
    <definedName name="dom" localSheetId="28">#REF!</definedName>
    <definedName name="dom" localSheetId="83">#REF!</definedName>
    <definedName name="dom">#REF!</definedName>
    <definedName name="dpc" localSheetId="37">'[61]dpc cost'!$D$1</definedName>
    <definedName name="dpc" localSheetId="83">'[1]dpc cost'!$D$1</definedName>
    <definedName name="dpc">'[62]dpc cost'!$D$1</definedName>
    <definedName name="dr" localSheetId="0" hidden="1">{#N/A,#N/A,FALSE,"COVER1.XLS ";#N/A,#N/A,FALSE,"RACT1.XLS";#N/A,#N/A,FALSE,"RACT2.XLS";#N/A,#N/A,FALSE,"ECCMP";#N/A,#N/A,FALSE,"WELDER.XLS"}</definedName>
    <definedName name="dr" hidden="1">{#N/A,#N/A,FALSE,"COVER1.XLS ";#N/A,#N/A,FALSE,"RACT1.XLS";#N/A,#N/A,FALSE,"RACT2.XLS";#N/A,#N/A,FALSE,"ECCMP";#N/A,#N/A,FALSE,"WELDER.XLS"}</definedName>
    <definedName name="ds" localSheetId="0" hidden="1">{#N/A,#N/A,FALSE,"1.1";#N/A,#N/A,FALSE,"1.1a";#N/A,#N/A,FALSE,"1.1b";#N/A,#N/A,FALSE,"1.1c";#N/A,#N/A,FALSE,"1.1e";#N/A,#N/A,FALSE,"1.1f";#N/A,#N/A,FALSE,"1.1g";#N/A,#N/A,FALSE,"1.1h_T";#N/A,#N/A,FALSE,"1.1h_D";#N/A,#N/A,FALSE,"1.2";#N/A,#N/A,FALSE,"1.3";#N/A,#N/A,FALSE,"1.3b";#N/A,#N/A,FALSE,"1.4";#N/A,#N/A,FALSE,"1.5";#N/A,#N/A,FALSE,"1.6";#N/A,#N/A,FALSE,"2.1";#N/A,#N/A,FALSE,"SOD";#N/A,#N/A,FALSE,"OL";#N/A,#N/A,FALSE,"CF"}</definedName>
    <definedName name="ds" hidden="1">{#N/A,#N/A,FALSE,"1.1";#N/A,#N/A,FALSE,"1.1a";#N/A,#N/A,FALSE,"1.1b";#N/A,#N/A,FALSE,"1.1c";#N/A,#N/A,FALSE,"1.1e";#N/A,#N/A,FALSE,"1.1f";#N/A,#N/A,FALSE,"1.1g";#N/A,#N/A,FALSE,"1.1h_T";#N/A,#N/A,FALSE,"1.1h_D";#N/A,#N/A,FALSE,"1.2";#N/A,#N/A,FALSE,"1.3";#N/A,#N/A,FALSE,"1.3b";#N/A,#N/A,FALSE,"1.4";#N/A,#N/A,FALSE,"1.5";#N/A,#N/A,FALSE,"1.6";#N/A,#N/A,FALSE,"2.1";#N/A,#N/A,FALSE,"SOD";#N/A,#N/A,FALSE,"OL";#N/A,#N/A,FALSE,"CF"}</definedName>
    <definedName name="dsds" localSheetId="43">#REF!</definedName>
    <definedName name="dsds" localSheetId="44">#REF!</definedName>
    <definedName name="dsds" localSheetId="36">#REF!</definedName>
    <definedName name="dsds" localSheetId="28">#REF!</definedName>
    <definedName name="dsds" localSheetId="83">#REF!</definedName>
    <definedName name="dsds">#REF!</definedName>
    <definedName name="dt" localSheetId="0" hidden="1">{#N/A,#N/A,FALSE,"COVER1.XLS ";#N/A,#N/A,FALSE,"RACT1.XLS";#N/A,#N/A,FALSE,"RACT2.XLS";#N/A,#N/A,FALSE,"ECCMP";#N/A,#N/A,FALSE,"WELDER.XLS"}</definedName>
    <definedName name="dt" hidden="1">{#N/A,#N/A,FALSE,"COVER1.XLS ";#N/A,#N/A,FALSE,"RACT1.XLS";#N/A,#N/A,FALSE,"RACT2.XLS";#N/A,#N/A,FALSE,"ECCMP";#N/A,#N/A,FALSE,"WELDER.XLS"}</definedName>
    <definedName name="E_315MVA_Addl_Page1" localSheetId="43">#REF!</definedName>
    <definedName name="E_315MVA_Addl_Page1" localSheetId="44">#REF!</definedName>
    <definedName name="E_315MVA_Addl_Page1" localSheetId="36">#REF!</definedName>
    <definedName name="E_315MVA_Addl_Page1" localSheetId="37">#REF!</definedName>
    <definedName name="E_315MVA_Addl_Page1" localSheetId="28">#REF!</definedName>
    <definedName name="E_315MVA_Addl_Page1" localSheetId="56">#REF!</definedName>
    <definedName name="E_315MVA_Addl_Page1" localSheetId="64">#REF!</definedName>
    <definedName name="E_315MVA_Addl_Page1" localSheetId="72">#REF!</definedName>
    <definedName name="E_315MVA_Addl_Page1" localSheetId="83">#REF!</definedName>
    <definedName name="E_315MVA_Addl_Page1" localSheetId="90">#REF!</definedName>
    <definedName name="E_315MVA_Addl_Page1" localSheetId="91">#REF!</definedName>
    <definedName name="E_315MVA_Addl_Page1">#REF!</definedName>
    <definedName name="E_315MVA_Addl_Page2" localSheetId="43">#REF!</definedName>
    <definedName name="E_315MVA_Addl_Page2" localSheetId="44">#REF!</definedName>
    <definedName name="E_315MVA_Addl_Page2" localSheetId="36">#REF!</definedName>
    <definedName name="E_315MVA_Addl_Page2" localSheetId="37">#REF!</definedName>
    <definedName name="E_315MVA_Addl_Page2" localSheetId="28">#REF!</definedName>
    <definedName name="E_315MVA_Addl_Page2" localSheetId="64">#REF!</definedName>
    <definedName name="E_315MVA_Addl_Page2" localSheetId="83">#REF!</definedName>
    <definedName name="E_315MVA_Addl_Page2">#REF!</definedName>
    <definedName name="ED" localSheetId="43">#REF!</definedName>
    <definedName name="ED" localSheetId="44">#REF!</definedName>
    <definedName name="ED" localSheetId="36">#REF!</definedName>
    <definedName name="ED" localSheetId="28">#REF!</definedName>
    <definedName name="ED" localSheetId="83">#REF!</definedName>
    <definedName name="ED">#REF!</definedName>
    <definedName name="End_Bal" localSheetId="43">#REF!</definedName>
    <definedName name="End_Bal" localSheetId="44">#REF!</definedName>
    <definedName name="End_Bal">#REF!</definedName>
    <definedName name="Energy_sales" localSheetId="43">#REF!</definedName>
    <definedName name="Energy_sales" localSheetId="44">#REF!</definedName>
    <definedName name="Energy_sales" localSheetId="36">#REF!</definedName>
    <definedName name="Energy_sales" localSheetId="28">#REF!</definedName>
    <definedName name="Energy_sales" localSheetId="83">#REF!</definedName>
    <definedName name="Energy_sales">#REF!</definedName>
    <definedName name="Engg" localSheetId="0" hidden="1">{#N/A,#N/A,FALSE,"COVER.XLS";#N/A,#N/A,FALSE,"RACT1.XLS";#N/A,#N/A,FALSE,"RACT2.XLS";#N/A,#N/A,FALSE,"ECCMP";#N/A,#N/A,FALSE,"WELDER.XLS"}</definedName>
    <definedName name="Engg" hidden="1">{#N/A,#N/A,FALSE,"COVER.XLS";#N/A,#N/A,FALSE,"RACT1.XLS";#N/A,#N/A,FALSE,"RACT2.XLS";#N/A,#N/A,FALSE,"ECCMP";#N/A,#N/A,FALSE,"WELDER.XLS"}</definedName>
    <definedName name="EnPF" localSheetId="43">#REF!</definedName>
    <definedName name="EnPF" localSheetId="44">#REF!</definedName>
    <definedName name="EnPF" localSheetId="36">#REF!</definedName>
    <definedName name="EnPF" localSheetId="28">#REF!</definedName>
    <definedName name="EnPF" localSheetId="83">#REF!</definedName>
    <definedName name="EnPF">#REF!</definedName>
    <definedName name="Ensuing">'[63]Licensee Information'!$G$23</definedName>
    <definedName name="ER"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E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erer" localSheetId="3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2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2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3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3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2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32"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3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3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3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5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8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9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9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9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localSheetId="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er"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Error_Types" localSheetId="43">#REF!</definedName>
    <definedName name="Error_Types" localSheetId="44">#REF!</definedName>
    <definedName name="Error_Types" localSheetId="36">#REF!</definedName>
    <definedName name="Error_Types" localSheetId="28">#REF!</definedName>
    <definedName name="Error_Types" localSheetId="83">#REF!</definedName>
    <definedName name="Error_Types">#REF!</definedName>
    <definedName name="Excel_BuiltIn_Print_Area_1_1" localSheetId="43">#REF!</definedName>
    <definedName name="Excel_BuiltIn_Print_Area_1_1" localSheetId="44">#REF!</definedName>
    <definedName name="Excel_BuiltIn_Print_Area_1_1">#REF!</definedName>
    <definedName name="Excel_BuiltIn_Print_Area_10" localSheetId="43">#REF!</definedName>
    <definedName name="Excel_BuiltIn_Print_Area_10" localSheetId="44">#REF!</definedName>
    <definedName name="Excel_BuiltIn_Print_Area_10">#REF!</definedName>
    <definedName name="Excel_BuiltIn_Print_Area_12_1" localSheetId="43">#REF!</definedName>
    <definedName name="Excel_BuiltIn_Print_Area_12_1" localSheetId="44">#REF!</definedName>
    <definedName name="Excel_BuiltIn_Print_Area_12_1">#REF!</definedName>
    <definedName name="Excel_BuiltIn_Print_Area_12_1_1" localSheetId="43">#REF!</definedName>
    <definedName name="Excel_BuiltIn_Print_Area_12_1_1" localSheetId="44">#REF!</definedName>
    <definedName name="Excel_BuiltIn_Print_Area_12_1_1">#REF!</definedName>
    <definedName name="Excel_BuiltIn_Print_Area_12_1_1_1" localSheetId="43">#REF!</definedName>
    <definedName name="Excel_BuiltIn_Print_Area_12_1_1_1" localSheetId="44">#REF!</definedName>
    <definedName name="Excel_BuiltIn_Print_Area_12_1_1_1">#REF!</definedName>
    <definedName name="Excel_BuiltIn_Print_Area_12_1_1_1_1" localSheetId="43">#REF!</definedName>
    <definedName name="Excel_BuiltIn_Print_Area_12_1_1_1_1" localSheetId="44">#REF!</definedName>
    <definedName name="Excel_BuiltIn_Print_Area_12_1_1_1_1">#REF!</definedName>
    <definedName name="Excel_BuiltIn_Print_Area_12_1_1_1_1_1" localSheetId="43">#REF!</definedName>
    <definedName name="Excel_BuiltIn_Print_Area_12_1_1_1_1_1" localSheetId="44">#REF!</definedName>
    <definedName name="Excel_BuiltIn_Print_Area_12_1_1_1_1_1">#REF!</definedName>
    <definedName name="Excel_BuiltIn_Print_Area_17_1" localSheetId="43">#REF!</definedName>
    <definedName name="Excel_BuiltIn_Print_Area_17_1" localSheetId="44">#REF!</definedName>
    <definedName name="Excel_BuiltIn_Print_Area_17_1">#REF!</definedName>
    <definedName name="Excel_BuiltIn_Print_Area_2" localSheetId="43">#REF!</definedName>
    <definedName name="Excel_BuiltIn_Print_Area_2" localSheetId="44">#REF!</definedName>
    <definedName name="Excel_BuiltIn_Print_Area_2">#REF!</definedName>
    <definedName name="Excel_BuiltIn_Print_Area_2_1" localSheetId="43">#REF!</definedName>
    <definedName name="Excel_BuiltIn_Print_Area_2_1" localSheetId="44">#REF!</definedName>
    <definedName name="Excel_BuiltIn_Print_Area_2_1">#REF!</definedName>
    <definedName name="Excel_BuiltIn_Print_Area_2_1_1" localSheetId="43">#REF!</definedName>
    <definedName name="Excel_BuiltIn_Print_Area_2_1_1" localSheetId="44">#REF!</definedName>
    <definedName name="Excel_BuiltIn_Print_Area_2_1_1">#REF!</definedName>
    <definedName name="Excel_BuiltIn_Print_Area_2_1_1_1" localSheetId="43">#REF!</definedName>
    <definedName name="Excel_BuiltIn_Print_Area_2_1_1_1" localSheetId="44">#REF!</definedName>
    <definedName name="Excel_BuiltIn_Print_Area_2_1_1_1">#REF!</definedName>
    <definedName name="Excel_BuiltIn_Print_Area_2_1_1_1_1" localSheetId="43">#REF!</definedName>
    <definedName name="Excel_BuiltIn_Print_Area_2_1_1_1_1" localSheetId="44">#REF!</definedName>
    <definedName name="Excel_BuiltIn_Print_Area_2_1_1_1_1">#REF!</definedName>
    <definedName name="Excel_BuiltIn_Print_Area_2_1_1_1_1_1" localSheetId="43">#REF!</definedName>
    <definedName name="Excel_BuiltIn_Print_Area_2_1_1_1_1_1" localSheetId="44">#REF!</definedName>
    <definedName name="Excel_BuiltIn_Print_Area_2_1_1_1_1_1">#REF!</definedName>
    <definedName name="Excel_BuiltIn_Print_Area_20" localSheetId="43">#REF!</definedName>
    <definedName name="Excel_BuiltIn_Print_Area_20" localSheetId="44">#REF!</definedName>
    <definedName name="Excel_BuiltIn_Print_Area_20">#REF!</definedName>
    <definedName name="Excel_BuiltIn_Print_Area_5_1" localSheetId="43">#REF!</definedName>
    <definedName name="Excel_BuiltIn_Print_Area_5_1" localSheetId="44">#REF!</definedName>
    <definedName name="Excel_BuiltIn_Print_Area_5_1">#REF!</definedName>
    <definedName name="Excel_BuiltIn_Print_Area_5_1_1" localSheetId="43">#REF!</definedName>
    <definedName name="Excel_BuiltIn_Print_Area_5_1_1" localSheetId="44">#REF!</definedName>
    <definedName name="Excel_BuiltIn_Print_Area_5_1_1">#REF!</definedName>
    <definedName name="Excel_BuiltIn_Print_Area_5_1_1_1" localSheetId="43">#REF!</definedName>
    <definedName name="Excel_BuiltIn_Print_Area_5_1_1_1" localSheetId="44">#REF!</definedName>
    <definedName name="Excel_BuiltIn_Print_Area_5_1_1_1">#REF!</definedName>
    <definedName name="Excel_BuiltIn_Print_Area_5_1_1_1_1" localSheetId="43">#REF!</definedName>
    <definedName name="Excel_BuiltIn_Print_Area_5_1_1_1_1" localSheetId="44">#REF!</definedName>
    <definedName name="Excel_BuiltIn_Print_Area_5_1_1_1_1">#REF!</definedName>
    <definedName name="Excel_BuiltIn_Print_Area_5_1_1_1_1_1" localSheetId="43">#REF!</definedName>
    <definedName name="Excel_BuiltIn_Print_Area_5_1_1_1_1_1" localSheetId="44">#REF!</definedName>
    <definedName name="Excel_BuiltIn_Print_Area_5_1_1_1_1_1">#REF!</definedName>
    <definedName name="Excel_BuiltIn_Print_Area_7_1" localSheetId="43">#REF!</definedName>
    <definedName name="Excel_BuiltIn_Print_Area_7_1" localSheetId="44">#REF!</definedName>
    <definedName name="Excel_BuiltIn_Print_Area_7_1">#REF!</definedName>
    <definedName name="Excel_BuiltIn_Print_Area_7_1_1" localSheetId="43">#REF!</definedName>
    <definedName name="Excel_BuiltIn_Print_Area_7_1_1" localSheetId="44">#REF!</definedName>
    <definedName name="Excel_BuiltIn_Print_Area_7_1_1">#REF!</definedName>
    <definedName name="Excel_BuiltIn_Print_Area_7_1_1_1" localSheetId="43">#REF!</definedName>
    <definedName name="Excel_BuiltIn_Print_Area_7_1_1_1" localSheetId="44">#REF!</definedName>
    <definedName name="Excel_BuiltIn_Print_Area_7_1_1_1">#REF!</definedName>
    <definedName name="Excel_BuiltIn_Print_Area_7_1_1_1_1" localSheetId="43">#REF!</definedName>
    <definedName name="Excel_BuiltIn_Print_Area_7_1_1_1_1" localSheetId="44">#REF!</definedName>
    <definedName name="Excel_BuiltIn_Print_Area_7_1_1_1_1">#REF!</definedName>
    <definedName name="Excel_BuiltIn_Print_Area_7_1_1_1_1_1" localSheetId="43">#REF!</definedName>
    <definedName name="Excel_BuiltIn_Print_Area_7_1_1_1_1_1" localSheetId="44">#REF!</definedName>
    <definedName name="Excel_BuiltIn_Print_Area_7_1_1_1_1_1">#REF!</definedName>
    <definedName name="Extra_Pay" localSheetId="43">#REF!</definedName>
    <definedName name="Extra_Pay" localSheetId="44">#REF!</definedName>
    <definedName name="Extra_Pay">#REF!</definedName>
    <definedName name="_xlnm.Extract" localSheetId="83">[1]DLC!$GS$307:$HF$322</definedName>
    <definedName name="_xlnm.Extract">[2]DLC!$GS$307:$HF$322</definedName>
    <definedName name="f" localSheetId="43">#REF!</definedName>
    <definedName name="f" localSheetId="44">#REF!</definedName>
    <definedName name="f">#REF!</definedName>
    <definedName name="fact" localSheetId="43">#REF!</definedName>
    <definedName name="fact" localSheetId="44">#REF!</definedName>
    <definedName name="fact">#REF!</definedName>
    <definedName name="fco">[64]fco!$B$1:$AF$1</definedName>
    <definedName name="fdksldls" localSheetId="43">#REF!</definedName>
    <definedName name="fdksldls" localSheetId="44">#REF!</definedName>
    <definedName name="fdksldls" localSheetId="36">#REF!</definedName>
    <definedName name="fdksldls" localSheetId="28">#REF!</definedName>
    <definedName name="fdksldls" localSheetId="83">#REF!</definedName>
    <definedName name="fdksldls">#REF!</definedName>
    <definedName name="fekfjlm" localSheetId="43">#REF!</definedName>
    <definedName name="fekfjlm" localSheetId="44">#REF!</definedName>
    <definedName name="fekfjlm" localSheetId="36">#REF!</definedName>
    <definedName name="fekfjlm" localSheetId="28">#REF!</definedName>
    <definedName name="fekfjlm" localSheetId="83">#REF!</definedName>
    <definedName name="fekfjlm" localSheetId="94">#REF!</definedName>
    <definedName name="fekfjlm">#REF!</definedName>
    <definedName name="ff" localSheetId="43">#REF!</definedName>
    <definedName name="ff" localSheetId="44">#REF!</definedName>
    <definedName name="ff" localSheetId="36">#REF!</definedName>
    <definedName name="ff" localSheetId="28">#REF!</definedName>
    <definedName name="ff" localSheetId="83">#REF!</definedName>
    <definedName name="ff">#REF!</definedName>
    <definedName name="fffff" localSheetId="43">#REF!</definedName>
    <definedName name="fffff" localSheetId="44">#REF!</definedName>
    <definedName name="fffff" localSheetId="36">#REF!</definedName>
    <definedName name="fffff" localSheetId="28">#REF!</definedName>
    <definedName name="fffff" localSheetId="83">#REF!</definedName>
    <definedName name="fffff">#REF!</definedName>
    <definedName name="fg" localSheetId="83">[1]Index!$A$5</definedName>
    <definedName name="fg">[65]Index!$A$5</definedName>
    <definedName name="fkkfkfkedf" localSheetId="43">#REF!</definedName>
    <definedName name="fkkfkfkedf" localSheetId="44">#REF!</definedName>
    <definedName name="fkkfkfkedf" localSheetId="36">#REF!</definedName>
    <definedName name="fkkfkfkedf" localSheetId="28">#REF!</definedName>
    <definedName name="fkkfkfkedf" localSheetId="83">#REF!</definedName>
    <definedName name="fkkfkfkedf">#REF!</definedName>
    <definedName name="fsadgagaf" hidden="1">#REF!</definedName>
    <definedName name="ft" localSheetId="0" hidden="1">{#N/A,#N/A,FALSE,"COVER.XLS";#N/A,#N/A,FALSE,"RACT1.XLS";#N/A,#N/A,FALSE,"RACT2.XLS";#N/A,#N/A,FALSE,"ECCMP";#N/A,#N/A,FALSE,"WELDER.XLS"}</definedName>
    <definedName name="ft" hidden="1">{#N/A,#N/A,FALSE,"COVER.XLS";#N/A,#N/A,FALSE,"RACT1.XLS";#N/A,#N/A,FALSE,"RACT2.XLS";#N/A,#N/A,FALSE,"ECCMP";#N/A,#N/A,FALSE,"WELDER.XLS"}</definedName>
    <definedName name="Fuel_Exp_CY" localSheetId="43">#REF!</definedName>
    <definedName name="Fuel_Exp_CY" localSheetId="44">#REF!</definedName>
    <definedName name="Fuel_Exp_CY" localSheetId="36">#REF!</definedName>
    <definedName name="Fuel_Exp_CY" localSheetId="37">#REF!</definedName>
    <definedName name="Fuel_Exp_CY" localSheetId="28">#REF!</definedName>
    <definedName name="Fuel_Exp_CY" localSheetId="64">#REF!</definedName>
    <definedName name="Fuel_Exp_CY" localSheetId="83">#REF!</definedName>
    <definedName name="Fuel_Exp_CY" localSheetId="90">#REF!</definedName>
    <definedName name="Fuel_Exp_CY" localSheetId="91">#REF!</definedName>
    <definedName name="Fuel_Exp_CY">#REF!</definedName>
    <definedName name="Fuel_Exp_EY" localSheetId="43">#REF!</definedName>
    <definedName name="Fuel_Exp_EY" localSheetId="44">#REF!</definedName>
    <definedName name="Fuel_Exp_EY" localSheetId="36">#REF!</definedName>
    <definedName name="Fuel_Exp_EY" localSheetId="37">#REF!</definedName>
    <definedName name="Fuel_Exp_EY" localSheetId="28">#REF!</definedName>
    <definedName name="Fuel_Exp_EY" localSheetId="64">#REF!</definedName>
    <definedName name="Fuel_Exp_EY" localSheetId="83">#REF!</definedName>
    <definedName name="Fuel_Exp_EY">#REF!</definedName>
    <definedName name="Fuel_Exp_PY" localSheetId="43">#REF!</definedName>
    <definedName name="Fuel_Exp_PY" localSheetId="44">#REF!</definedName>
    <definedName name="Fuel_Exp_PY" localSheetId="36">#REF!</definedName>
    <definedName name="Fuel_Exp_PY" localSheetId="37">#REF!</definedName>
    <definedName name="Fuel_Exp_PY" localSheetId="28">#REF!</definedName>
    <definedName name="Fuel_Exp_PY" localSheetId="64">#REF!</definedName>
    <definedName name="Fuel_Exp_PY" localSheetId="83">#REF!</definedName>
    <definedName name="Fuel_Exp_PY">#REF!</definedName>
    <definedName name="Full_Print" localSheetId="43">#REF!</definedName>
    <definedName name="Full_Print" localSheetId="44">#REF!</definedName>
    <definedName name="Full_Print">#REF!</definedName>
    <definedName name="g" localSheetId="43">#REF!</definedName>
    <definedName name="g" localSheetId="44">#REF!</definedName>
    <definedName name="g" localSheetId="36">#REF!</definedName>
    <definedName name="G" localSheetId="37"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 localSheetId="28">#REF!</definedName>
    <definedName name="g" localSheetId="83">#REF!</definedName>
    <definedName name="g">#REF!</definedName>
    <definedName name="GENPUF" localSheetId="83">'[1]Executive Summary -Thermal'!$A$4:$H$161</definedName>
    <definedName name="GENPUF">'[18]Executive Summary -Thermal'!$A$4:$H$161</definedName>
    <definedName name="GGFBGHJHDJJHJ" localSheetId="43">[10]Newabstract!#REF!</definedName>
    <definedName name="GGFBGHJHDJJHJ" localSheetId="44">[10]Newabstract!#REF!</definedName>
    <definedName name="GGFBGHJHDJJHJ" localSheetId="36">[10]Newabstract!#REF!</definedName>
    <definedName name="GGFBGHJHDJJHJ" localSheetId="28">[10]Newabstract!#REF!</definedName>
    <definedName name="GGFBGHJHDJJHJ" localSheetId="83">[1]Newabstract!#REF!</definedName>
    <definedName name="GGFBGHJHDJJHJ">[10]Newabstract!#REF!</definedName>
    <definedName name="ggg" localSheetId="43">#REF!</definedName>
    <definedName name="ggg" localSheetId="44">#REF!</definedName>
    <definedName name="ggg" localSheetId="36">#REF!</definedName>
    <definedName name="GGG" localSheetId="37"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 localSheetId="28">#REF!</definedName>
    <definedName name="ggg" localSheetId="83">#REF!</definedName>
    <definedName name="ggg">#REF!</definedName>
    <definedName name="gggggggg" localSheetId="43">#REF!</definedName>
    <definedName name="gggggggg" localSheetId="44">#REF!</definedName>
    <definedName name="gggggggg" localSheetId="36">#REF!</definedName>
    <definedName name="gggggggg" localSheetId="28">#REF!</definedName>
    <definedName name="gggggggg" localSheetId="83">#REF!</definedName>
    <definedName name="gggggggg">#REF!</definedName>
    <definedName name="GH" localSheetId="43">'[3]STN WISE EMR'!#REF!</definedName>
    <definedName name="GH" localSheetId="44">'[3]STN WISE EMR'!#REF!</definedName>
    <definedName name="GH" localSheetId="36">'[3]STN WISE EMR'!#REF!</definedName>
    <definedName name="GH" localSheetId="28">'[3]STN WISE EMR'!#REF!</definedName>
    <definedName name="GH" localSheetId="83">'[1]STN WISE EMR'!#REF!</definedName>
    <definedName name="GH">'[3]STN WISE EMR'!#REF!</definedName>
    <definedName name="ghdgjh" localSheetId="43" hidden="1">#REF!</definedName>
    <definedName name="ghdgjh" localSheetId="44" hidden="1">#REF!</definedName>
    <definedName name="ghdgjh" localSheetId="36" hidden="1">#REF!</definedName>
    <definedName name="ghdgjh" localSheetId="25" hidden="1">#REF!</definedName>
    <definedName name="ghdgjh" localSheetId="26" hidden="1">#REF!</definedName>
    <definedName name="ghdgjh" localSheetId="27" hidden="1">#REF!</definedName>
    <definedName name="ghdgjh" localSheetId="29" hidden="1">#REF!</definedName>
    <definedName name="ghdgjh" localSheetId="30" hidden="1">#REF!</definedName>
    <definedName name="ghdgjh" localSheetId="31" hidden="1">#REF!</definedName>
    <definedName name="ghdgjh" localSheetId="28" hidden="1">#REF!</definedName>
    <definedName name="ghdgjh" localSheetId="32" hidden="1">#REF!</definedName>
    <definedName name="ghdgjh" localSheetId="33" hidden="1">#REF!</definedName>
    <definedName name="ghdgjh" localSheetId="35" hidden="1">#REF!</definedName>
    <definedName name="ghdgjh" localSheetId="83" hidden="1">#REF!</definedName>
    <definedName name="ghdgjh" hidden="1">#REF!</definedName>
    <definedName name="ghhhghhh" localSheetId="36">[66]DEMFIXLD!$A$1:$E$205</definedName>
    <definedName name="ghhhghhh" localSheetId="56">[17]DEMFIXLD!$A$1:$E$205</definedName>
    <definedName name="ghhhghhh" localSheetId="83">[1]DEMFIXLD!$A$1:$E$205</definedName>
    <definedName name="ghhhghhh" localSheetId="90">[17]DEMFIXLD!$A$1:$E$205</definedName>
    <definedName name="ghhhghhh" localSheetId="91">[17]DEMFIXLD!$A$1:$E$205</definedName>
    <definedName name="ghhhghhh" localSheetId="94">[17]DEMFIXLD!$A$1:$E$205</definedName>
    <definedName name="ghhhghhh">[16]DEMFIXLD!$A$1:$E$205</definedName>
    <definedName name="gjjjj" localSheetId="43">#REF!</definedName>
    <definedName name="gjjjj" localSheetId="44">#REF!</definedName>
    <definedName name="gjjjj" localSheetId="36">#REF!</definedName>
    <definedName name="gjjjj" localSheetId="28">#REF!</definedName>
    <definedName name="gjjjj" localSheetId="83">#REF!</definedName>
    <definedName name="gjjjj">#REF!</definedName>
    <definedName name="GRBLOCK" localSheetId="43">#REF!</definedName>
    <definedName name="GRBLOCK" localSheetId="44">#REF!</definedName>
    <definedName name="GRBLOCK" localSheetId="36">#REF!</definedName>
    <definedName name="GRBLOCK" localSheetId="28">#REF!</definedName>
    <definedName name="GRBLOCK" localSheetId="56">#REF!</definedName>
    <definedName name="GRBLOCK" localSheetId="83">#REF!</definedName>
    <definedName name="GRBLOCK" localSheetId="90">#REF!</definedName>
    <definedName name="GRBLOCK" localSheetId="91">#REF!</definedName>
    <definedName name="GRBLOCK">#REF!</definedName>
    <definedName name="group" localSheetId="3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2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2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3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3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2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32"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3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3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3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5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8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9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9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9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localSheetId="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urmeet" localSheetId="0" hidden="1">{#N/A,#N/A,FALSE,"COVER.XLS";#N/A,#N/A,FALSE,"RACT1.XLS";#N/A,#N/A,FALSE,"RACT2.XLS";#N/A,#N/A,FALSE,"ECCMP";#N/A,#N/A,FALSE,"WELDER.XLS"}</definedName>
    <definedName name="gurmeet" hidden="1">{#N/A,#N/A,FALSE,"COVER.XLS";#N/A,#N/A,FALSE,"RACT1.XLS";#N/A,#N/A,FALSE,"RACT2.XLS";#N/A,#N/A,FALSE,"ECCMP";#N/A,#N/A,FALSE,"WELDER.XLS"}</definedName>
    <definedName name="h" localSheetId="43">'[67]04REL'!#REF!</definedName>
    <definedName name="h" localSheetId="44">'[67]04REL'!#REF!</definedName>
    <definedName name="h" localSheetId="36">'[67]04REL'!#REF!</definedName>
    <definedName name="h" localSheetId="28">'[67]04REL'!#REF!</definedName>
    <definedName name="h" localSheetId="83">'[1]04REL'!#REF!</definedName>
    <definedName name="h">'[67]04REL'!#REF!</definedName>
    <definedName name="hdgfahsgfh" localSheetId="43">#REF!</definedName>
    <definedName name="hdgfahsgfh" localSheetId="44">#REF!</definedName>
    <definedName name="hdgfahsgfh">#REF!</definedName>
    <definedName name="Header_Row" localSheetId="43">ROW(#REF!)</definedName>
    <definedName name="Header_Row" localSheetId="44">ROW(#REF!)</definedName>
    <definedName name="Header_Row">ROW(#REF!)</definedName>
    <definedName name="HFOHSD" localSheetId="83">'[1]Executive Summary -Thermal'!$A$4:$H$96</definedName>
    <definedName name="HFOHSD">'[18]Executive Summary -Thermal'!$A$4:$H$96</definedName>
    <definedName name="HGHGHGHGH" localSheetId="43" hidden="1">#REF!</definedName>
    <definedName name="HGHGHGHGH" localSheetId="44" hidden="1">#REF!</definedName>
    <definedName name="HGHGHGHGH" localSheetId="36" hidden="1">#REF!</definedName>
    <definedName name="HGHGHGHGH" localSheetId="25" hidden="1">#REF!</definedName>
    <definedName name="HGHGHGHGH" localSheetId="26" hidden="1">#REF!</definedName>
    <definedName name="HGHGHGHGH" localSheetId="30" hidden="1">#REF!</definedName>
    <definedName name="HGHGHGHGH" localSheetId="28" hidden="1">#REF!</definedName>
    <definedName name="HGHGHGHGH" localSheetId="32" hidden="1">#REF!</definedName>
    <definedName name="HGHGHGHGH" localSheetId="33" hidden="1">#REF!</definedName>
    <definedName name="HGHGHGHGH" localSheetId="83" hidden="1">#REF!</definedName>
    <definedName name="HGHGHGHGH" hidden="1">#REF!</definedName>
    <definedName name="hhhhhhhhfff" localSheetId="43">#REF!</definedName>
    <definedName name="hhhhhhhhfff" localSheetId="44">#REF!</definedName>
    <definedName name="hhhhhhhhfff" localSheetId="36">#REF!</definedName>
    <definedName name="hhhhhhhhfff" localSheetId="28">#REF!</definedName>
    <definedName name="hhhhhhhhfff" localSheetId="83">#REF!</definedName>
    <definedName name="hhhhhhhhfff">#REF!</definedName>
    <definedName name="hhhhhhhhhhhhhhhhhh" localSheetId="43">#REF!</definedName>
    <definedName name="hhhhhhhhhhhhhhhhhh" localSheetId="44">#REF!</definedName>
    <definedName name="hhhhhhhhhhhhhhhhhh" localSheetId="36">#REF!</definedName>
    <definedName name="hhhhhhhhhhhhhhhhhh" localSheetId="28">#REF!</definedName>
    <definedName name="hhhhhhhhhhhhhhhhhh" localSheetId="83">#REF!</definedName>
    <definedName name="hhhhhhhhhhhhhhhhhh">#REF!</definedName>
    <definedName name="hj" localSheetId="43">#REF!</definedName>
    <definedName name="hj" localSheetId="44">#REF!</definedName>
    <definedName name="hj">#REF!</definedName>
    <definedName name="Horizontal_Not_Selected" localSheetId="43">#REF!</definedName>
    <definedName name="Horizontal_Not_Selected" localSheetId="44">#REF!</definedName>
    <definedName name="Horizontal_Not_Selected" localSheetId="36">#REF!</definedName>
    <definedName name="Horizontal_Not_Selected" localSheetId="28">#REF!</definedName>
    <definedName name="Horizontal_Not_Selected" localSheetId="83">#REF!</definedName>
    <definedName name="Horizontal_Not_Selected">#REF!</definedName>
    <definedName name="hundred" localSheetId="36">[48]General!$A$3</definedName>
    <definedName name="hundred" localSheetId="37">[49]General!$A$3</definedName>
    <definedName name="hundred" localSheetId="83">[1]General!$A$3</definedName>
    <definedName name="hundred">[50]General!$A$3</definedName>
    <definedName name="HV2LF" localSheetId="43">#REF!</definedName>
    <definedName name="HV2LF" localSheetId="44">#REF!</definedName>
    <definedName name="HV2LF" localSheetId="36">#REF!</definedName>
    <definedName name="HV2LF" localSheetId="28">#REF!</definedName>
    <definedName name="HV2LF" localSheetId="56">#REF!</definedName>
    <definedName name="HV2LF" localSheetId="83">#REF!</definedName>
    <definedName name="HV2LF">#REF!</definedName>
    <definedName name="HV2PF" localSheetId="43">#REF!</definedName>
    <definedName name="HV2PF" localSheetId="44">#REF!</definedName>
    <definedName name="HV2PF" localSheetId="36">#REF!</definedName>
    <definedName name="HV2PF" localSheetId="28">#REF!</definedName>
    <definedName name="HV2PF" localSheetId="56">#REF!</definedName>
    <definedName name="HV2PF" localSheetId="83">#REF!</definedName>
    <definedName name="HV2PF">#REF!</definedName>
    <definedName name="i" localSheetId="43">'[5]04REL'!#REF!</definedName>
    <definedName name="i" localSheetId="44">'[5]04REL'!#REF!</definedName>
    <definedName name="i" localSheetId="36">'[6]04REL'!#REF!</definedName>
    <definedName name="i"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 localSheetId="28">'[5]04REL'!#REF!</definedName>
    <definedName name="i" localSheetId="56">'[6]04REL'!#REF!</definedName>
    <definedName name="i" localSheetId="83">'[1]04REL'!#REF!</definedName>
    <definedName name="i">'[6]04REL'!#REF!</definedName>
    <definedName name="II"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I"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 localSheetId="83">[1]DLC!$GS$2:$HF$22</definedName>
    <definedName name="IN">[2]DLC!$GS$2:$HF$22</definedName>
    <definedName name="IND" localSheetId="43">#REF!</definedName>
    <definedName name="IND" localSheetId="44">#REF!</definedName>
    <definedName name="IND">#REF!</definedName>
    <definedName name="inflationrate" localSheetId="83">'[1]Input sheet'!$C$4</definedName>
    <definedName name="inflationrate">'[40]Input Sheet'!$C$4</definedName>
    <definedName name="InputPO" localSheetId="43">#REF!</definedName>
    <definedName name="InputPO" localSheetId="44">#REF!</definedName>
    <definedName name="InputPO">#REF!</definedName>
    <definedName name="INT" localSheetId="0" hidden="1">{#N/A,#N/A,FALSE,"1.1";#N/A,#N/A,FALSE,"1.1a";#N/A,#N/A,FALSE,"1.1b";#N/A,#N/A,FALSE,"1.1c";#N/A,#N/A,FALSE,"1.1e";#N/A,#N/A,FALSE,"1.1f";#N/A,#N/A,FALSE,"1.1g";#N/A,#N/A,FALSE,"1.1h_T";#N/A,#N/A,FALSE,"1.1h_D";#N/A,#N/A,FALSE,"1.2";#N/A,#N/A,FALSE,"1.3";#N/A,#N/A,FALSE,"1.3b";#N/A,#N/A,FALSE,"1.4";#N/A,#N/A,FALSE,"1.5";#N/A,#N/A,FALSE,"1.6";#N/A,#N/A,FALSE,"2.1";#N/A,#N/A,FALSE,"SOD";#N/A,#N/A,FALSE,"OL";#N/A,#N/A,FALSE,"CF"}</definedName>
    <definedName name="INT" hidden="1">{#N/A,#N/A,FALSE,"1.1";#N/A,#N/A,FALSE,"1.1a";#N/A,#N/A,FALSE,"1.1b";#N/A,#N/A,FALSE,"1.1c";#N/A,#N/A,FALSE,"1.1e";#N/A,#N/A,FALSE,"1.1f";#N/A,#N/A,FALSE,"1.1g";#N/A,#N/A,FALSE,"1.1h_T";#N/A,#N/A,FALSE,"1.1h_D";#N/A,#N/A,FALSE,"1.2";#N/A,#N/A,FALSE,"1.3";#N/A,#N/A,FALSE,"1.3b";#N/A,#N/A,FALSE,"1.4";#N/A,#N/A,FALSE,"1.5";#N/A,#N/A,FALSE,"1.6";#N/A,#N/A,FALSE,"2.1";#N/A,#N/A,FALSE,"SOD";#N/A,#N/A,FALSE,"OL";#N/A,#N/A,FALSE,"CF"}</definedName>
    <definedName name="interest"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_Rate" localSheetId="43">#REF!</definedName>
    <definedName name="Interest_Rate" localSheetId="44">#REF!</definedName>
    <definedName name="Interest_Rate">#REF!</definedName>
    <definedName name="Intt_Charge_cY" localSheetId="43">#REF!,#REF!</definedName>
    <definedName name="Intt_Charge_cY" localSheetId="44">#REF!,#REF!</definedName>
    <definedName name="Intt_Charge_cY" localSheetId="36">#REF!,#REF!</definedName>
    <definedName name="Intt_Charge_cY" localSheetId="37">#REF!,#REF!</definedName>
    <definedName name="Intt_Charge_cY" localSheetId="28">#REF!,#REF!</definedName>
    <definedName name="Intt_Charge_cY" localSheetId="56">#REF!,#REF!</definedName>
    <definedName name="Intt_Charge_cY" localSheetId="64">#REF!,#REF!</definedName>
    <definedName name="Intt_Charge_cY" localSheetId="72">#REF!,#REF!</definedName>
    <definedName name="Intt_Charge_cY" localSheetId="83">#REF!,#REF!</definedName>
    <definedName name="Intt_Charge_cY" localSheetId="90">#REF!,#REF!</definedName>
    <definedName name="Intt_Charge_cY" localSheetId="91">#REF!,#REF!</definedName>
    <definedName name="Intt_Charge_cY">#REF!,#REF!</definedName>
    <definedName name="Intt_Charge_cy_1" localSheetId="43">#REF!,#REF!</definedName>
    <definedName name="Intt_Charge_cy_1" localSheetId="44">#REF!,#REF!</definedName>
    <definedName name="Intt_Charge_cy_1" localSheetId="36">'[68]A 3.7'!$H$35,'[68]A 3.7'!$H$44</definedName>
    <definedName name="Intt_Charge_cy_1" localSheetId="37">'[69]A 3.7'!$H$35,'[69]A 3.7'!$H$44</definedName>
    <definedName name="Intt_Charge_cy_1" localSheetId="28">#REF!,#REF!</definedName>
    <definedName name="Intt_Charge_cy_1" localSheetId="56">'[68]A 3.7'!$H$35,'[68]A 3.7'!$H$44</definedName>
    <definedName name="Intt_Charge_cy_1" localSheetId="83">'[1]A 3.7'!$H$35,'[1]A 3.7'!$H$44</definedName>
    <definedName name="Intt_Charge_cy_1" localSheetId="90">'[68]A 3.7'!$H$35,'[68]A 3.7'!$H$44</definedName>
    <definedName name="Intt_Charge_cy_1" localSheetId="91">'[68]A 3.7'!$H$35,'[68]A 3.7'!$H$44</definedName>
    <definedName name="Intt_Charge_cy_1" localSheetId="94">'[68]A 3.7'!$H$35,'[68]A 3.7'!$H$44</definedName>
    <definedName name="Intt_Charge_cy_1">'[70]A 3.7'!$H$35,'[70]A 3.7'!$H$44</definedName>
    <definedName name="Intt_Charge_eY" localSheetId="43">#REF!,#REF!</definedName>
    <definedName name="Intt_Charge_eY" localSheetId="44">#REF!,#REF!</definedName>
    <definedName name="Intt_Charge_eY" localSheetId="36">#REF!,#REF!</definedName>
    <definedName name="Intt_Charge_eY" localSheetId="37">#REF!,#REF!</definedName>
    <definedName name="Intt_Charge_eY" localSheetId="28">#REF!,#REF!</definedName>
    <definedName name="Intt_Charge_eY" localSheetId="56">#REF!,#REF!</definedName>
    <definedName name="Intt_Charge_eY" localSheetId="64">#REF!,#REF!</definedName>
    <definedName name="Intt_Charge_eY" localSheetId="72">#REF!,#REF!</definedName>
    <definedName name="Intt_Charge_eY" localSheetId="83">#REF!,#REF!</definedName>
    <definedName name="Intt_Charge_eY">#REF!,#REF!</definedName>
    <definedName name="Intt_Charge_ey_1" localSheetId="43">#REF!,#REF!</definedName>
    <definedName name="Intt_Charge_ey_1" localSheetId="44">#REF!,#REF!</definedName>
    <definedName name="Intt_Charge_ey_1" localSheetId="36">'[68]A 3.7'!$I$35,'[68]A 3.7'!$I$44</definedName>
    <definedName name="Intt_Charge_ey_1" localSheetId="37">'[69]A 3.7'!$I$35,'[69]A 3.7'!$I$44</definedName>
    <definedName name="Intt_Charge_ey_1" localSheetId="28">#REF!,#REF!</definedName>
    <definedName name="Intt_Charge_ey_1" localSheetId="56">'[68]A 3.7'!$I$35,'[68]A 3.7'!$I$44</definedName>
    <definedName name="Intt_Charge_ey_1" localSheetId="83">'[1]A 3.7'!$I$35,'[1]A 3.7'!$I$44</definedName>
    <definedName name="Intt_Charge_ey_1" localSheetId="90">'[68]A 3.7'!$I$35,'[68]A 3.7'!$I$44</definedName>
    <definedName name="Intt_Charge_ey_1" localSheetId="91">'[68]A 3.7'!$I$35,'[68]A 3.7'!$I$44</definedName>
    <definedName name="Intt_Charge_ey_1" localSheetId="94">'[68]A 3.7'!$I$35,'[68]A 3.7'!$I$44</definedName>
    <definedName name="Intt_Charge_ey_1">'[70]A 3.7'!$I$35,'[70]A 3.7'!$I$44</definedName>
    <definedName name="Intt_Charge_PY" localSheetId="43">#REF!,#REF!</definedName>
    <definedName name="Intt_Charge_PY" localSheetId="44">#REF!,#REF!</definedName>
    <definedName name="Intt_Charge_PY" localSheetId="36">#REF!,#REF!</definedName>
    <definedName name="Intt_Charge_PY" localSheetId="37">#REF!,#REF!</definedName>
    <definedName name="Intt_Charge_PY" localSheetId="28">#REF!,#REF!</definedName>
    <definedName name="Intt_Charge_PY" localSheetId="56">#REF!,#REF!</definedName>
    <definedName name="Intt_Charge_PY" localSheetId="64">#REF!,#REF!</definedName>
    <definedName name="Intt_Charge_PY" localSheetId="72">#REF!,#REF!</definedName>
    <definedName name="Intt_Charge_PY" localSheetId="83">#REF!,#REF!</definedName>
    <definedName name="Intt_Charge_PY">#REF!,#REF!</definedName>
    <definedName name="Intt_Charge_py_1" localSheetId="43">#REF!,#REF!</definedName>
    <definedName name="Intt_Charge_py_1" localSheetId="44">#REF!,#REF!</definedName>
    <definedName name="Intt_Charge_py_1" localSheetId="36">'[68]A 3.7'!$G$35,'[68]A 3.7'!$G$44</definedName>
    <definedName name="Intt_Charge_py_1" localSheetId="37">'[69]A 3.7'!$G$35,'[69]A 3.7'!$G$44</definedName>
    <definedName name="Intt_Charge_py_1" localSheetId="28">#REF!,#REF!</definedName>
    <definedName name="Intt_Charge_py_1" localSheetId="56">'[68]A 3.7'!$G$35,'[68]A 3.7'!$G$44</definedName>
    <definedName name="Intt_Charge_py_1" localSheetId="83">'[1]A 3.7'!$G$35,'[1]A 3.7'!$G$44</definedName>
    <definedName name="Intt_Charge_py_1" localSheetId="90">'[68]A 3.7'!$G$35,'[68]A 3.7'!$G$44</definedName>
    <definedName name="Intt_Charge_py_1" localSheetId="91">'[68]A 3.7'!$G$35,'[68]A 3.7'!$G$44</definedName>
    <definedName name="Intt_Charge_py_1" localSheetId="94">'[68]A 3.7'!$G$35,'[68]A 3.7'!$G$44</definedName>
    <definedName name="Intt_Charge_py_1">'[70]A 3.7'!$G$35,'[70]A 3.7'!$G$44</definedName>
    <definedName name="Investment_Plan" localSheetId="43">#REF!,#REF!</definedName>
    <definedName name="Investment_Plan" localSheetId="44">#REF!,#REF!</definedName>
    <definedName name="Investment_Plan" localSheetId="36">#REF!,#REF!</definedName>
    <definedName name="Investment_Plan" localSheetId="28">#REF!,#REF!</definedName>
    <definedName name="Investment_Plan" localSheetId="83">#REF!,#REF!</definedName>
    <definedName name="Investment_Plan">#REF!,#REF!</definedName>
    <definedName name="J" localSheetId="43">#REF!</definedName>
    <definedName name="J" localSheetId="44">#REF!</definedName>
    <definedName name="J">#REF!</definedName>
    <definedName name="jai"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jai"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jjkkkkk" localSheetId="36">[13]DEMFIXLD!$A$1:$E$205</definedName>
    <definedName name="jjkkkkk" localSheetId="83">[1]DEMFIXLD!$A$1:$E$205</definedName>
    <definedName name="jjkkkkk">[13]DEMFIXLD!$A$1:$E$205</definedName>
    <definedName name="june" localSheetId="43" hidden="1">#REF!</definedName>
    <definedName name="june" localSheetId="44" hidden="1">#REF!</definedName>
    <definedName name="june" localSheetId="36" hidden="1">#REF!</definedName>
    <definedName name="June" localSheetId="37">#REF!</definedName>
    <definedName name="june" localSheetId="25" hidden="1">#REF!</definedName>
    <definedName name="june" localSheetId="26" hidden="1">#REF!</definedName>
    <definedName name="june" localSheetId="30" hidden="1">#REF!</definedName>
    <definedName name="june" localSheetId="28" hidden="1">#REF!</definedName>
    <definedName name="june" localSheetId="32" hidden="1">#REF!</definedName>
    <definedName name="june" localSheetId="33" hidden="1">#REF!</definedName>
    <definedName name="june" localSheetId="83" hidden="1">#REF!</definedName>
    <definedName name="june" hidden="1">#REF!</definedName>
    <definedName name="JV10Group_944" localSheetId="43">#REF!</definedName>
    <definedName name="JV10Group_944" localSheetId="44">#REF!</definedName>
    <definedName name="JV10Group_944" localSheetId="36">#REF!</definedName>
    <definedName name="JV10Group_944" localSheetId="28">#REF!</definedName>
    <definedName name="JV10Group_944" localSheetId="83">#REF!</definedName>
    <definedName name="JV10Group_944">#REF!</definedName>
    <definedName name="JV14Group_944" localSheetId="43">#REF!</definedName>
    <definedName name="JV14Group_944" localSheetId="44">#REF!</definedName>
    <definedName name="JV14Group_944" localSheetId="36">#REF!</definedName>
    <definedName name="JV14Group_944" localSheetId="28">#REF!</definedName>
    <definedName name="JV14Group_944" localSheetId="83">#REF!</definedName>
    <definedName name="JV14Group_944">#REF!</definedName>
    <definedName name="K" localSheetId="43">#REF!</definedName>
    <definedName name="K" localSheetId="44">#REF!</definedName>
    <definedName name="K">#REF!</definedName>
    <definedName name="K2000_">#N/A</definedName>
    <definedName name="KEII" localSheetId="83">'[1]Executive Summary -Thermal'!$H$4:$I$31</definedName>
    <definedName name="KEII">'[18]Executive Summary -Thermal'!$H$4:$I$31</definedName>
    <definedName name="KEIIU" localSheetId="83">'[1]Executive Summary -Thermal'!$A$4:$F$31</definedName>
    <definedName name="KEIIU">'[18]Executive Summary -Thermal'!$A$4:$F$31</definedName>
    <definedName name="KIKIKI" localSheetId="43">#REF!</definedName>
    <definedName name="KIKIKI" localSheetId="44">#REF!</definedName>
    <definedName name="KIKIKI">#REF!</definedName>
    <definedName name="kil" localSheetId="43">#REF!</definedName>
    <definedName name="kil" localSheetId="44">#REF!</definedName>
    <definedName name="kil" localSheetId="36">#REF!</definedName>
    <definedName name="kil" localSheetId="28">#REF!</definedName>
    <definedName name="kil" localSheetId="83">#REF!</definedName>
    <definedName name="kil">#REF!</definedName>
    <definedName name="kj"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kj"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kkfkfkfk" localSheetId="43">#REF!</definedName>
    <definedName name="kkfkfkfk" localSheetId="44">#REF!</definedName>
    <definedName name="kkfkfkfk" localSheetId="36">#REF!</definedName>
    <definedName name="kkfkfkfk" localSheetId="28">#REF!</definedName>
    <definedName name="kkfkfkfk" localSheetId="83">#REF!</definedName>
    <definedName name="kkfkfkfk">#REF!</definedName>
    <definedName name="kkk" localSheetId="43">#REF!</definedName>
    <definedName name="kkk" localSheetId="44">#REF!</definedName>
    <definedName name="kkk" localSheetId="36">#REF!</definedName>
    <definedName name="KKK" localSheetId="37">'[71]TB-9-01'!#REF!</definedName>
    <definedName name="kkk" localSheetId="28">#REF!</definedName>
    <definedName name="kkk" localSheetId="83">#REF!</definedName>
    <definedName name="kkk">#REF!</definedName>
    <definedName name="kkkk" localSheetId="43">#REF!</definedName>
    <definedName name="kkkk" localSheetId="44">#REF!</definedName>
    <definedName name="kkkk" localSheetId="36">#REF!</definedName>
    <definedName name="kkkk" localSheetId="28">#REF!</definedName>
    <definedName name="kkkk" localSheetId="83">#REF!</definedName>
    <definedName name="kkkk">#REF!</definedName>
    <definedName name="kkkkkkk" localSheetId="43">#REF!</definedName>
    <definedName name="kkkkkkk" localSheetId="44">#REF!</definedName>
    <definedName name="kkkkkkk" localSheetId="36">#REF!</definedName>
    <definedName name="kkkkkkk" localSheetId="28">#REF!</definedName>
    <definedName name="kkkkkkk" localSheetId="83">#REF!</definedName>
    <definedName name="kkkkkkk">#REF!</definedName>
    <definedName name="kskk" localSheetId="0" hidden="1">{#N/A,#N/A,FALSE,"COVER.XLS";#N/A,#N/A,FALSE,"RACT1.XLS";#N/A,#N/A,FALSE,"RACT2.XLS";#N/A,#N/A,FALSE,"ECCMP";#N/A,#N/A,FALSE,"WELDER.XLS"}</definedName>
    <definedName name="kskk" hidden="1">{#N/A,#N/A,FALSE,"COVER.XLS";#N/A,#N/A,FALSE,"RACT1.XLS";#N/A,#N/A,FALSE,"RACT2.XLS";#N/A,#N/A,FALSE,"ECCMP";#N/A,#N/A,FALSE,"WELDER.XLS"}</definedName>
    <definedName name="kvs" localSheetId="0" hidden="1">{#N/A,#N/A,FALSE,"COVER1.XLS ";#N/A,#N/A,FALSE,"RACT1.XLS";#N/A,#N/A,FALSE,"RACT2.XLS";#N/A,#N/A,FALSE,"ECCMP";#N/A,#N/A,FALSE,"WELDER.XLS"}</definedName>
    <definedName name="kvs" hidden="1">{#N/A,#N/A,FALSE,"COVER1.XLS ";#N/A,#N/A,FALSE,"RACT1.XLS";#N/A,#N/A,FALSE,"RACT2.XLS";#N/A,#N/A,FALSE,"ECCMP";#N/A,#N/A,FALSE,"WELDER.XLS"}</definedName>
    <definedName name="kW" localSheetId="43">#REF!</definedName>
    <definedName name="kW" localSheetId="44">#REF!</definedName>
    <definedName name="kW" localSheetId="36">#REF!</definedName>
    <definedName name="kW" localSheetId="28">#REF!</definedName>
    <definedName name="kW" localSheetId="56">#REF!</definedName>
    <definedName name="kW" localSheetId="83">#REF!</definedName>
    <definedName name="kW" localSheetId="90">#REF!</definedName>
    <definedName name="kW" localSheetId="91">#REF!</definedName>
    <definedName name="kW">#REF!</definedName>
    <definedName name="l" localSheetId="43">#REF!</definedName>
    <definedName name="l" localSheetId="44">#REF!</definedName>
    <definedName name="l" localSheetId="36">#REF!</definedName>
    <definedName name="l" localSheetId="28">#REF!</definedName>
    <definedName name="l" localSheetId="83">[1]Newabstract!#REF!</definedName>
    <definedName name="l" localSheetId="0">#REF!</definedName>
    <definedName name="l">#REF!</definedName>
    <definedName name="Last_Row">#N/A</definedName>
    <definedName name="LEVEL" localSheetId="43">#REF!</definedName>
    <definedName name="LEVEL" localSheetId="44">#REF!</definedName>
    <definedName name="LEVEL" localSheetId="36">#REF!</definedName>
    <definedName name="LEVEL" localSheetId="28">#REF!</definedName>
    <definedName name="LEVEL" localSheetId="83">#REF!</definedName>
    <definedName name="LEVEL">#REF!</definedName>
    <definedName name="Li">'[51]Licensee Information'!$F$33</definedName>
    <definedName name="List1">'[72]UGVCL_Historical Data'!$AL$4:$AL$6</definedName>
    <definedName name="ListOfSuperCriticalEquipment" localSheetId="43">#REF!</definedName>
    <definedName name="ListOfSuperCriticalEquipment" localSheetId="44">#REF!</definedName>
    <definedName name="ListOfSuperCriticalEquipment">#REF!</definedName>
    <definedName name="Live_Integrity" localSheetId="43">[73]Inputs!#REF!</definedName>
    <definedName name="Live_Integrity" localSheetId="44">[73]Inputs!#REF!</definedName>
    <definedName name="Live_Integrity" localSheetId="36">[73]Inputs!#REF!</definedName>
    <definedName name="Live_Integrity" localSheetId="28">[73]Inputs!#REF!</definedName>
    <definedName name="Live_Integrity" localSheetId="83">[1]Inputs!#REF!</definedName>
    <definedName name="Live_Integrity">[73]Inputs!#REF!</definedName>
    <definedName name="lk"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lk"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lll"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localSheetId="43">#REF!</definedName>
    <definedName name="llll" localSheetId="44">#REF!</definedName>
    <definedName name="llll" localSheetId="36">#REF!</definedName>
    <definedName name="llll" localSheetId="28">#REF!</definedName>
    <definedName name="llll" localSheetId="83">#REF!</definedName>
    <definedName name="llll">#REF!</definedName>
    <definedName name="Load_Col_Ind" localSheetId="36">[46]Sales_Summary!$AC$2</definedName>
    <definedName name="Load_Col_Ind" localSheetId="83">[1]Sales_Summary!$AC$2</definedName>
    <definedName name="Load_Col_Ind">[47]Sales_Summary!$AC$2</definedName>
    <definedName name="Loan_Amount" localSheetId="43">#REF!</definedName>
    <definedName name="Loan_Amount" localSheetId="44">#REF!</definedName>
    <definedName name="Loan_Amount">#REF!</definedName>
    <definedName name="Loan_Start" localSheetId="43">#REF!</definedName>
    <definedName name="Loan_Start" localSheetId="44">#REF!</definedName>
    <definedName name="Loan_Start">#REF!</definedName>
    <definedName name="Loan_Years" localSheetId="43">#REF!</definedName>
    <definedName name="Loan_Years" localSheetId="44">#REF!</definedName>
    <definedName name="Loan_Years">#REF!</definedName>
    <definedName name="LOANS__A" localSheetId="43">#REF!</definedName>
    <definedName name="LOANS__A" localSheetId="44">#REF!</definedName>
    <definedName name="LOANS__A" localSheetId="36">#REF!</definedName>
    <definedName name="LOANS__A" localSheetId="28">#REF!</definedName>
    <definedName name="LOANS__A" localSheetId="56">#REF!</definedName>
    <definedName name="LOANS__A" localSheetId="83">#REF!</definedName>
    <definedName name="LOANS__A" localSheetId="90">#REF!</definedName>
    <definedName name="LOANS__A" localSheetId="91">#REF!</definedName>
    <definedName name="LOANS__A">#REF!</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s" localSheetId="43">'[74]Users Authorisations'!#REF!</definedName>
    <definedName name="Locations" localSheetId="44">'[74]Users Authorisations'!#REF!</definedName>
    <definedName name="Locations">'[74]Users Authorisations'!#REF!</definedName>
    <definedName name="Loss" localSheetId="43">#REF!</definedName>
    <definedName name="Loss" localSheetId="44">#REF!</definedName>
    <definedName name="Loss">#REF!</definedName>
    <definedName name="ltind" localSheetId="43">#REF!</definedName>
    <definedName name="ltind" localSheetId="44">#REF!</definedName>
    <definedName name="ltind" localSheetId="36">#REF!</definedName>
    <definedName name="ltind" localSheetId="37">#REF!</definedName>
    <definedName name="ltind" localSheetId="28">#REF!</definedName>
    <definedName name="ltind" localSheetId="83">#REF!</definedName>
    <definedName name="ltind">#REF!</definedName>
    <definedName name="m105." localSheetId="43">#REF!</definedName>
    <definedName name="m105." localSheetId="44">#REF!</definedName>
    <definedName name="m105.">#REF!</definedName>
    <definedName name="Mar" localSheetId="43">#REF!</definedName>
    <definedName name="Mar" localSheetId="44">#REF!</definedName>
    <definedName name="Mar">#REF!</definedName>
    <definedName name="Master_Integrity" localSheetId="43">[73]Inputs!#REF!</definedName>
    <definedName name="Master_Integrity" localSheetId="44">[73]Inputs!#REF!</definedName>
    <definedName name="Master_Integrity" localSheetId="36">[73]Inputs!#REF!</definedName>
    <definedName name="Master_Integrity" localSheetId="28">[73]Inputs!#REF!</definedName>
    <definedName name="Master_Integrity" localSheetId="83">[1]Inputs!#REF!</definedName>
    <definedName name="Master_Integrity">[73]Inputs!#REF!</definedName>
    <definedName name="Master_Signals" localSheetId="43">[73]Inputs!#REF!</definedName>
    <definedName name="Master_Signals" localSheetId="44">[73]Inputs!#REF!</definedName>
    <definedName name="Master_Signals" localSheetId="36">[73]Inputs!#REF!</definedName>
    <definedName name="Master_Signals" localSheetId="28">[73]Inputs!#REF!</definedName>
    <definedName name="Master_Signals" localSheetId="83">[1]Inputs!#REF!</definedName>
    <definedName name="Master_Signals">[73]Inputs!#REF!</definedName>
    <definedName name="may" localSheetId="43" hidden="1">#REF!</definedName>
    <definedName name="may" localSheetId="44" hidden="1">#REF!</definedName>
    <definedName name="may" localSheetId="36" hidden="1">#REF!</definedName>
    <definedName name="may" localSheetId="25" hidden="1">#REF!</definedName>
    <definedName name="may" localSheetId="26" hidden="1">#REF!</definedName>
    <definedName name="may" localSheetId="30" hidden="1">#REF!</definedName>
    <definedName name="may" localSheetId="28" hidden="1">#REF!</definedName>
    <definedName name="may" localSheetId="32" hidden="1">#REF!</definedName>
    <definedName name="may" localSheetId="33" hidden="1">#REF!</definedName>
    <definedName name="may" localSheetId="83" hidden="1">#REF!</definedName>
    <definedName name="may" hidden="1">#REF!</definedName>
    <definedName name="MEMORNDM" localSheetId="43">#REF!</definedName>
    <definedName name="MEMORNDM" localSheetId="44">#REF!</definedName>
    <definedName name="MEMORNDM" localSheetId="36">#REF!</definedName>
    <definedName name="MEMORNDM" localSheetId="28">#REF!</definedName>
    <definedName name="MEMORNDM" localSheetId="83">#REF!</definedName>
    <definedName name="MEMORNDM" localSheetId="90">#REF!</definedName>
    <definedName name="MEMORNDM" localSheetId="91">#REF!</definedName>
    <definedName name="MEMORNDM">#REF!</definedName>
    <definedName name="MEPE" localSheetId="83">'[1]Executive Summary -Thermal'!$I$4:$EG$36</definedName>
    <definedName name="MEPE">'[18]Executive Summary -Thermal'!$I$4:$EG$36</definedName>
    <definedName name="mile" localSheetId="43">[75]oresreqsum!#REF!</definedName>
    <definedName name="mile" localSheetId="44">[75]oresreqsum!#REF!</definedName>
    <definedName name="mile">[75]oresreqsum!#REF!</definedName>
    <definedName name="mill" localSheetId="43">#REF!</definedName>
    <definedName name="mill" localSheetId="44">#REF!</definedName>
    <definedName name="mill" localSheetId="36">#REF!</definedName>
    <definedName name="mill" localSheetId="28">#REF!</definedName>
    <definedName name="mill" localSheetId="83">#REF!</definedName>
    <definedName name="mill">#REF!</definedName>
    <definedName name="million" localSheetId="36">[48]General!$A$6</definedName>
    <definedName name="million" localSheetId="37">[49]General!$A$6</definedName>
    <definedName name="million" localSheetId="83">[1]General!$A$6</definedName>
    <definedName name="million">[50]General!$A$6</definedName>
    <definedName name="mmmm" localSheetId="43">#REF!</definedName>
    <definedName name="mmmm" localSheetId="44">#REF!</definedName>
    <definedName name="mmmm" localSheetId="36">#REF!</definedName>
    <definedName name="mmmm" localSheetId="28">#REF!</definedName>
    <definedName name="mmmm" localSheetId="83">#REF!</definedName>
    <definedName name="mmmm">#REF!</definedName>
    <definedName name="mmmmmmmmmmmm" localSheetId="43">#REF!</definedName>
    <definedName name="mmmmmmmmmmmm" localSheetId="44">#REF!</definedName>
    <definedName name="mmmmmmmmmmmm" localSheetId="36">#REF!</definedName>
    <definedName name="mmmmmmmmmmmm" localSheetId="28">#REF!</definedName>
    <definedName name="mmmmmmmmmmmm" localSheetId="83">#REF!</definedName>
    <definedName name="mmmmmmmmmmmm">#REF!</definedName>
    <definedName name="MOD" localSheetId="83">'[1]Executive Summary -Thermal'!$A$162:$H$257</definedName>
    <definedName name="MOD">'[18]Executive Summary -Thermal'!$A$162:$H$257</definedName>
    <definedName name="month" localSheetId="83">[1]Variables!$B$3</definedName>
    <definedName name="month">[76]Variables!$B$3</definedName>
    <definedName name="month_no" localSheetId="83">[1]Variables_x!$B$5</definedName>
    <definedName name="month_no">[77]Variables_x!$B$5</definedName>
    <definedName name="month_todo" localSheetId="83">[1]Variables_x!$B$6</definedName>
    <definedName name="month_todo">[77]Variables_x!$B$6</definedName>
    <definedName name="mpwr" localSheetId="43">#REF!</definedName>
    <definedName name="mpwr" localSheetId="44">#REF!</definedName>
    <definedName name="mpwr">#REF!</definedName>
    <definedName name="mRrjkpay_ikoj_dkjiksjs_ku_fy0" localSheetId="43">#REF!</definedName>
    <definedName name="mRrjkpay_ikoj_dkjiksjs_ku_fy0" localSheetId="44">#REF!</definedName>
    <definedName name="mRrjkpay_ikoj_dkjiksjs_ku_fy0" localSheetId="36">#REF!</definedName>
    <definedName name="mRrjkpay_ikoj_dkjiksjs_ku_fy0" localSheetId="37">#REF!</definedName>
    <definedName name="mRrjkpay_ikoj_dkjiksjs_ku_fy0" localSheetId="28">#REF!</definedName>
    <definedName name="mRrjkpay_ikoj_dkjiksjs_ku_fy0" localSheetId="56">#REF!</definedName>
    <definedName name="mRrjkpay_ikoj_dkjiksjs_ku_fy0" localSheetId="83">#REF!</definedName>
    <definedName name="mRrjkpay_ikoj_dkjiksjs_ku_fy0" localSheetId="94">#REF!</definedName>
    <definedName name="mRrjkpay_ikoj_dkjiksjs_ku_fy0">#REF!</definedName>
    <definedName name="MTPI" localSheetId="43">#REF!</definedName>
    <definedName name="MTPI" localSheetId="44">#REF!</definedName>
    <definedName name="MTPI" localSheetId="36">#REF!</definedName>
    <definedName name="MTPI" localSheetId="28">#REF!</definedName>
    <definedName name="MTPI" localSheetId="83">#REF!</definedName>
    <definedName name="MTPI">#REF!</definedName>
    <definedName name="N" localSheetId="43">#REF!</definedName>
    <definedName name="N" localSheetId="44">#REF!</definedName>
    <definedName name="N">#REF!</definedName>
    <definedName name="Name_Company" localSheetId="83">[1]Inputs!$E$140</definedName>
    <definedName name="Name_Company">[73]Inputs!$E$140</definedName>
    <definedName name="Name_Model" localSheetId="83">[1]Inputs!$E$141</definedName>
    <definedName name="Name_Model">[73]Inputs!$E$141</definedName>
    <definedName name="Name_Project" localSheetId="83">[1]Inputs!$E$142</definedName>
    <definedName name="Name_Project">[73]Inputs!$E$142</definedName>
    <definedName name="NameBaseCase" localSheetId="43">#REF!</definedName>
    <definedName name="NameBaseCase" localSheetId="44">#REF!</definedName>
    <definedName name="NameBaseCase" localSheetId="36">#REF!</definedName>
    <definedName name="NameBaseCase" localSheetId="28">#REF!</definedName>
    <definedName name="NameBaseCase" localSheetId="83">#REF!</definedName>
    <definedName name="NameBaseCase">#REF!</definedName>
    <definedName name="new" localSheetId="43" hidden="1">[78]CE!#REF!</definedName>
    <definedName name="new" localSheetId="44" hidden="1">[78]CE!#REF!</definedName>
    <definedName name="new" localSheetId="36" hidden="1">[78]CE!#REF!</definedName>
    <definedName name="NEW" localSheetId="37">#REF!</definedName>
    <definedName name="new" localSheetId="25" hidden="1">[78]CE!#REF!</definedName>
    <definedName name="new" localSheetId="26" hidden="1">[78]CE!#REF!</definedName>
    <definedName name="new" localSheetId="27" hidden="1">[78]CE!#REF!</definedName>
    <definedName name="new" localSheetId="29" hidden="1">[78]CE!#REF!</definedName>
    <definedName name="new" localSheetId="30" hidden="1">[78]CE!#REF!</definedName>
    <definedName name="new" localSheetId="31" hidden="1">[78]CE!#REF!</definedName>
    <definedName name="new" localSheetId="28" hidden="1">[78]CE!#REF!</definedName>
    <definedName name="new" localSheetId="32" hidden="1">[78]CE!#REF!</definedName>
    <definedName name="new" localSheetId="33" hidden="1">[78]CE!#REF!</definedName>
    <definedName name="new" localSheetId="35" hidden="1">[78]CE!#REF!</definedName>
    <definedName name="new" localSheetId="56" hidden="1">[78]CE!#REF!</definedName>
    <definedName name="new" localSheetId="72" hidden="1">[78]CE!#REF!</definedName>
    <definedName name="new" localSheetId="83" hidden="1">[1]CE!#REF!</definedName>
    <definedName name="new" localSheetId="93" hidden="1">[78]CE!#REF!</definedName>
    <definedName name="new" hidden="1">[78]CE!#REF!</definedName>
    <definedName name="NmDivs" localSheetId="43">#REF!</definedName>
    <definedName name="NmDivs" localSheetId="44">#REF!</definedName>
    <definedName name="NmDivs" localSheetId="36">#REF!</definedName>
    <definedName name="NmDivs" localSheetId="28">#REF!</definedName>
    <definedName name="NmDivs" localSheetId="56">#REF!</definedName>
    <definedName name="NmDivs" localSheetId="83">#REF!</definedName>
    <definedName name="NmDivs" localSheetId="94">#REF!</definedName>
    <definedName name="NmDivs">#REF!</definedName>
    <definedName name="no"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no"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NonDom" localSheetId="43">#REF!</definedName>
    <definedName name="NonDom" localSheetId="44">#REF!</definedName>
    <definedName name="NonDom" localSheetId="36">#REF!</definedName>
    <definedName name="NonDom" localSheetId="37">#REF!</definedName>
    <definedName name="NonDom" localSheetId="28">#REF!</definedName>
    <definedName name="NonDom" localSheetId="83">#REF!</definedName>
    <definedName name="NonDom">#REF!</definedName>
    <definedName name="Nos" localSheetId="43">#REF!</definedName>
    <definedName name="Nos" localSheetId="44">#REF!</definedName>
    <definedName name="Nos">#REF!</definedName>
    <definedName name="Nov"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Nov"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NPV" localSheetId="43">#REF!</definedName>
    <definedName name="NPV" localSheetId="44">#REF!</definedName>
    <definedName name="NPV">#REF!</definedName>
    <definedName name="NPV_Rate" localSheetId="43">#REF!</definedName>
    <definedName name="NPV_Rate" localSheetId="44">#REF!</definedName>
    <definedName name="NPV_Rate">#REF!</definedName>
    <definedName name="Num_Pmt_Per_Year" localSheetId="43">#REF!</definedName>
    <definedName name="Num_Pmt_Per_Year" localSheetId="44">#REF!</definedName>
    <definedName name="Num_Pmt_Per_Year">#REF!</definedName>
    <definedName name="Number_of_Payments" localSheetId="43">MATCH(0.01,'DBST FY 2021-22'!End_Bal,-1)+1</definedName>
    <definedName name="Number_of_Payments" localSheetId="44">MATCH(0.01,'DBST FY 2022-23'!End_Bal,-1)+1</definedName>
    <definedName name="Number_of_Payments" localSheetId="0">MATCH(0.01,End_Bal,-1)+1</definedName>
    <definedName name="Number_of_Payments">MATCH(0.01,End_Bal,-1)+1</definedName>
    <definedName name="o" localSheetId="0">{#N/A,#N/A,FALSE,"Form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o">{#N/A,#N/A,FALSE,"Form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OCT" localSheetId="43" hidden="1">#REF!</definedName>
    <definedName name="OCT" localSheetId="44" hidden="1">#REF!</definedName>
    <definedName name="OCT" localSheetId="36" hidden="1">#REF!</definedName>
    <definedName name="OCT" localSheetId="25" hidden="1">#REF!</definedName>
    <definedName name="OCT" localSheetId="26" hidden="1">#REF!</definedName>
    <definedName name="OCT" localSheetId="30" hidden="1">#REF!</definedName>
    <definedName name="OCT" localSheetId="28" hidden="1">#REF!</definedName>
    <definedName name="OCT" localSheetId="32" hidden="1">#REF!</definedName>
    <definedName name="OCT" localSheetId="33" hidden="1">#REF!</definedName>
    <definedName name="OCT" localSheetId="83" hidden="1">#REF!</definedName>
    <definedName name="OCT" hidden="1">#REF!</definedName>
    <definedName name="OH" localSheetId="43">#REF!</definedName>
    <definedName name="OH" localSheetId="44">#REF!</definedName>
    <definedName name="OH">#REF!</definedName>
    <definedName name="oi"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oi"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opg" localSheetId="43">#REF!</definedName>
    <definedName name="opg" localSheetId="44">#REF!</definedName>
    <definedName name="opg" localSheetId="36">#REF!</definedName>
    <definedName name="opg" localSheetId="28">#REF!</definedName>
    <definedName name="opg" localSheetId="83">#REF!</definedName>
    <definedName name="opg">#REF!</definedName>
    <definedName name="opi" localSheetId="43">#REF!</definedName>
    <definedName name="opi" localSheetId="44">#REF!</definedName>
    <definedName name="opi" localSheetId="36">#REF!</definedName>
    <definedName name="opi" localSheetId="28">#REF!</definedName>
    <definedName name="opi" localSheetId="83">#REF!</definedName>
    <definedName name="opi">#REF!</definedName>
    <definedName name="opz" localSheetId="43">#REF!</definedName>
    <definedName name="opz" localSheetId="44">#REF!</definedName>
    <definedName name="opz" localSheetId="36">#REF!</definedName>
    <definedName name="opz" localSheetId="28">#REF!</definedName>
    <definedName name="opz" localSheetId="83">#REF!</definedName>
    <definedName name="opz">#REF!</definedName>
    <definedName name="OSCH2" localSheetId="43">#REF!</definedName>
    <definedName name="OSCH2" localSheetId="44">#REF!</definedName>
    <definedName name="OSCH2">#REF!</definedName>
    <definedName name="OSCH3" localSheetId="43">#REF!</definedName>
    <definedName name="OSCH3" localSheetId="44">#REF!</definedName>
    <definedName name="OSCH3">#REF!</definedName>
    <definedName name="OSCH4" localSheetId="43">#REF!</definedName>
    <definedName name="OSCH4" localSheetId="44">#REF!</definedName>
    <definedName name="OSCH4">#REF!</definedName>
    <definedName name="OSCH5" localSheetId="43">#REF!</definedName>
    <definedName name="OSCH5" localSheetId="44">#REF!</definedName>
    <definedName name="OSCH5">#REF!</definedName>
    <definedName name="OSCH6" localSheetId="43">#REF!</definedName>
    <definedName name="OSCH6" localSheetId="44">#REF!</definedName>
    <definedName name="OSCH6">#REF!</definedName>
    <definedName name="OSCH7" localSheetId="43">#REF!</definedName>
    <definedName name="OSCH7" localSheetId="44">#REF!</definedName>
    <definedName name="OSCH7">#REF!</definedName>
    <definedName name="OSCH8" localSheetId="43">#REF!</definedName>
    <definedName name="OSCH8" localSheetId="44">#REF!</definedName>
    <definedName name="OSCH8">#REF!</definedName>
    <definedName name="p" localSheetId="43">#REF!</definedName>
    <definedName name="p" localSheetId="44">#REF!</definedName>
    <definedName name="p" localSheetId="36">#REF!</definedName>
    <definedName name="p"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 localSheetId="28">#REF!</definedName>
    <definedName name="p" localSheetId="83">#REF!</definedName>
    <definedName name="p">#REF!</definedName>
    <definedName name="pa"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a"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ay_Date" localSheetId="43">#REF!</definedName>
    <definedName name="Pay_Date" localSheetId="44">#REF!</definedName>
    <definedName name="Pay_Date">#REF!</definedName>
    <definedName name="Pay_Num" localSheetId="43">#REF!</definedName>
    <definedName name="Pay_Num" localSheetId="44">#REF!</definedName>
    <definedName name="Pay_Num">#REF!</definedName>
    <definedName name="Payment_Date" localSheetId="43">DATE(YEAR('DBST FY 2021-22'!Loan_Start),MONTH('DBST FY 2021-22'!Loan_Start)+Payment_Number,DAY('DBST FY 2021-22'!Loan_Start))</definedName>
    <definedName name="Payment_Date" localSheetId="44">DATE(YEAR('DBST FY 2022-23'!Loan_Start),MONTH('DBST FY 2022-23'!Loan_Start)+Payment_Number,DAY('DBST FY 2022-23'!Loan_Start))</definedName>
    <definedName name="Payment_Date" localSheetId="0">DATE(YEAR(Loan_Start),MONTH(Loan_Start)+Payment_Number,DAY(Loan_Start))</definedName>
    <definedName name="Payment_Date">DATE(YEAR(Loan_Start),MONTH(Loan_Start)+Payment_Number,DAY(Loan_Start))</definedName>
    <definedName name="pen"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en"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I" localSheetId="43">#REF!</definedName>
    <definedName name="PI" localSheetId="44">#REF!</definedName>
    <definedName name="PI" localSheetId="36">#REF!</definedName>
    <definedName name="PI" localSheetId="28">#REF!</definedName>
    <definedName name="PI" localSheetId="83">#REF!</definedName>
    <definedName name="PI">#REF!</definedName>
    <definedName name="Pop_Ratio" localSheetId="43">#REF!</definedName>
    <definedName name="Pop_Ratio" localSheetId="44">#REF!</definedName>
    <definedName name="Pop_Ratio" localSheetId="36">#REF!</definedName>
    <definedName name="Pop_Ratio" localSheetId="37">#REF!</definedName>
    <definedName name="Pop_Ratio" localSheetId="28">#REF!</definedName>
    <definedName name="Pop_Ratio" localSheetId="64">#REF!</definedName>
    <definedName name="Pop_Ratio" localSheetId="72">#REF!</definedName>
    <definedName name="Pop_Ratio" localSheetId="83">#REF!</definedName>
    <definedName name="Pop_Ratio">#REF!</definedName>
    <definedName name="PP" localSheetId="43">#REF!</definedName>
    <definedName name="PP" localSheetId="44">#REF!</definedName>
    <definedName name="PP" localSheetId="36">#REF!</definedName>
    <definedName name="PP" localSheetId="37">#REF!</definedName>
    <definedName name="PP" localSheetId="28">#REF!</definedName>
    <definedName name="PP" localSheetId="56">#REF!</definedName>
    <definedName name="PP" localSheetId="83">#REF!</definedName>
    <definedName name="PP">#REF!</definedName>
    <definedName name="Previous">'[51]Licensee Information'!$F$30</definedName>
    <definedName name="Princ" localSheetId="43">#REF!</definedName>
    <definedName name="Princ" localSheetId="44">#REF!</definedName>
    <definedName name="Princ">#REF!</definedName>
    <definedName name="_xlnm.Print_Area" localSheetId="42">'DBST FY 2020-21'!$A$1:$I$26</definedName>
    <definedName name="_xlnm.Print_Area" localSheetId="43">'DBST FY 2021-22'!$A$1:$I$26</definedName>
    <definedName name="_xlnm.Print_Area" localSheetId="44">'DBST FY 2022-23'!$A$1:$M$26</definedName>
    <definedName name="_xlnm.Print_Area" localSheetId="36">'F 13E'!$A$1:$I$192</definedName>
    <definedName name="_xlnm.Print_Area" localSheetId="6">'F1'!$A$1:$I$52</definedName>
    <definedName name="_xlnm.Print_Area" localSheetId="19">'F10'!$B$1:$J$273</definedName>
    <definedName name="_xlnm.Print_Area" localSheetId="20">F10A!$B$1:$M$274</definedName>
    <definedName name="_xlnm.Print_Area" localSheetId="21">F10B!$B$1:$X$277</definedName>
    <definedName name="_xlnm.Print_Area" localSheetId="22">'F11'!$B$1:$C$275</definedName>
    <definedName name="_xlnm.Print_Area" localSheetId="23">F11A!$B$1:$M$274</definedName>
    <definedName name="_xlnm.Print_Area" localSheetId="24">'F12'!$B$1:$H$276</definedName>
    <definedName name="_xlnm.Print_Area" localSheetId="25">'F13_20 21'!$A$1:$N$230</definedName>
    <definedName name="_xlnm.Print_Area" localSheetId="26">F13_20_21!$A$1:$N$230</definedName>
    <definedName name="_xlnm.Print_Area" localSheetId="27">F13_21_22!$A$1:$O$224</definedName>
    <definedName name="_xlnm.Print_Area" localSheetId="29">F13_22_23!$A$1:$O$225</definedName>
    <definedName name="_xlnm.Print_Area" localSheetId="30">F13A!$A$1:$C$82</definedName>
    <definedName name="_xlnm.Print_Area" localSheetId="31">'F13B 20 21_TrueUp'!$A$1:$DA$394</definedName>
    <definedName name="_xlnm.Print_Area" localSheetId="28">'F13B_20-21_True Up'!$A$1:$EN$393</definedName>
    <definedName name="_xlnm.Print_Area" localSheetId="32">F13B_21_22_APR!$A$1:$EP$216</definedName>
    <definedName name="_xlnm.Print_Area" localSheetId="33">F13B_22_23_ARR!$A$1:$EN$211</definedName>
    <definedName name="_xlnm.Print_Area" localSheetId="34">F13C!$A$1:$L$148</definedName>
    <definedName name="_xlnm.Print_Area" localSheetId="35">F13D!$A$1:$AZ$238</definedName>
    <definedName name="_xlnm.Print_Area" localSheetId="38">F13G_PuVVNL!$A$1:$L$43</definedName>
    <definedName name="_xlnm.Print_Area" localSheetId="47">'F16'!$A$1:$J$11</definedName>
    <definedName name="_xlnm.Print_Area" localSheetId="48">'F17'!$A$1:$F$16</definedName>
    <definedName name="_xlnm.Print_Area" localSheetId="51">F19A!$A$1:$D$27</definedName>
    <definedName name="_xlnm.Print_Area" localSheetId="7">'F2'!$A$1:$U$36</definedName>
    <definedName name="_xlnm.Print_Area" localSheetId="54">'F20'!$A$1:$H$15</definedName>
    <definedName name="_xlnm.Print_Area" localSheetId="55">'F21'!$A$1:$J$11</definedName>
    <definedName name="_xlnm.Print_Area" localSheetId="59">'F24'!$A$1:$G$51</definedName>
    <definedName name="_xlnm.Print_Area" localSheetId="60">'F25'!$A$1:$G$19</definedName>
    <definedName name="_xlnm.Print_Area" localSheetId="61">'F26'!$A$1:$N$24</definedName>
    <definedName name="_xlnm.Print_Area" localSheetId="62">'F27'!$A$1:$J$32</definedName>
    <definedName name="_xlnm.Print_Area" localSheetId="63">'F28'!$A$1:$J$32</definedName>
    <definedName name="_xlnm.Print_Area" localSheetId="64">'F29'!$A$1:$M$15</definedName>
    <definedName name="_xlnm.Print_Area" localSheetId="65">F29A!$A$1:$L$12</definedName>
    <definedName name="_xlnm.Print_Area" localSheetId="66">F29B!$A$1:$M$35</definedName>
    <definedName name="_xlnm.Print_Area" localSheetId="67">F29C!$A$1:$M$10</definedName>
    <definedName name="_xlnm.Print_Area" localSheetId="68">F29D!$A$1:$L$12</definedName>
    <definedName name="_xlnm.Print_Area" localSheetId="69">F29E!$A$1:$M$48</definedName>
    <definedName name="_xlnm.Print_Area" localSheetId="8">'F3'!$B$1:$N$129</definedName>
    <definedName name="_xlnm.Print_Area" localSheetId="72">'F31'!$A$1:$I$178</definedName>
    <definedName name="_xlnm.Print_Area" localSheetId="73">'F32'!$A$1:$M$14</definedName>
    <definedName name="_xlnm.Print_Area" localSheetId="75">'F33'!$A$1:$M$41</definedName>
    <definedName name="_xlnm.Print_Area" localSheetId="76">'F34'!$A$1:$M$25</definedName>
    <definedName name="_xlnm.Print_Area" localSheetId="80">'F38'!$B$1:$M$116</definedName>
    <definedName name="_xlnm.Print_Area" localSheetId="9">'F4'!$B$1:$J$129</definedName>
    <definedName name="_xlnm.Print_Area" localSheetId="83">F40A!$A$1:$S$40</definedName>
    <definedName name="_xlnm.Print_Area" localSheetId="87">'F44'!$A$1:$R$278</definedName>
    <definedName name="_xlnm.Print_Area" localSheetId="88">F44A!$B$1:$I$277</definedName>
    <definedName name="_xlnm.Print_Area" localSheetId="90">'F46'!$A$1:$AC$125</definedName>
    <definedName name="_xlnm.Print_Area" localSheetId="93">'F49'!$A$1:$L$271</definedName>
    <definedName name="_xlnm.Print_Area" localSheetId="10">F4A!$B$1:$J$127</definedName>
    <definedName name="_xlnm.Print_Area" localSheetId="11">'F5'!$B$1:$J$129</definedName>
    <definedName name="_xlnm.Print_Area" localSheetId="94">'F50'!$A$1:$G$15</definedName>
    <definedName name="_xlnm.Print_Area" localSheetId="12">F5A!$B$1:$L$127</definedName>
    <definedName name="_xlnm.Print_Area" localSheetId="13">'F6'!$B$1:$R$128</definedName>
    <definedName name="_xlnm.Print_Area" localSheetId="14">'F7'!$B$1:$V$127</definedName>
    <definedName name="_xlnm.Print_Area" localSheetId="15">F7A!$B$1:$AK$127</definedName>
    <definedName name="_xlnm.Print_Area" localSheetId="16">'F8'!$B$1:$Q$127</definedName>
    <definedName name="_xlnm.Print_Area" localSheetId="17">'F9'!$B$1:$Z$127</definedName>
    <definedName name="_xlnm.Print_Area" localSheetId="18">F9A!$B$1:$Z$128</definedName>
    <definedName name="_xlnm.Print_Area" localSheetId="0">Index!$A$1:$C$106</definedName>
    <definedName name="_xlnm.Print_Area" localSheetId="1">Notes!$A$1:$E$18</definedName>
    <definedName name="_xlnm.Print_Area" localSheetId="2">'S1'!$A$1:$D$53</definedName>
    <definedName name="_xlnm.Print_Area" localSheetId="3">'S2'!$A$1:$D$66</definedName>
    <definedName name="_xlnm.Print_Area" localSheetId="4">'S3'!$A$1:$E$64</definedName>
    <definedName name="_xlnm.Print_Area" localSheetId="5">'S4'!$A$1:$L$31</definedName>
    <definedName name="_xlnm.Print_Area">#REF!</definedName>
    <definedName name="Print_Area_MI" localSheetId="43">#REF!</definedName>
    <definedName name="Print_Area_MI" localSheetId="44">#REF!</definedName>
    <definedName name="Print_Area_MI" localSheetId="36">#REF!</definedName>
    <definedName name="Print_Area_MI" localSheetId="28">#REF!</definedName>
    <definedName name="Print_Area_MI" localSheetId="83">#REF!</definedName>
    <definedName name="Print_Area_MI">#REF!</definedName>
    <definedName name="Print_Area_Reset" localSheetId="43">OFFSET('DBST FY 2021-22'!Full_Print,0,0,[0]!Last_Row)</definedName>
    <definedName name="Print_Area_Reset" localSheetId="44">OFFSET('DBST FY 2022-23'!Full_Print,0,0,[0]!Last_Row)</definedName>
    <definedName name="Print_Area_Reset" localSheetId="0">OFFSET(Full_Print,0,0,Last_Row)</definedName>
    <definedName name="Print_Area_Reset">OFFSET(Full_Print,0,0,Last_Row)</definedName>
    <definedName name="_xlnm.Print_Titles" localSheetId="36">'F 13E'!$1:$5</definedName>
    <definedName name="_xlnm.Print_Titles" localSheetId="6">'F1'!$1:$7</definedName>
    <definedName name="_xlnm.Print_Titles" localSheetId="19">'F10'!$1:$7</definedName>
    <definedName name="_xlnm.Print_Titles" localSheetId="20">F10A!$B:$B,F10A!$1:$8</definedName>
    <definedName name="_xlnm.Print_Titles" localSheetId="21">F10B!$B:$B,F10B!$1:$8</definedName>
    <definedName name="_xlnm.Print_Titles" localSheetId="22">'F11'!$1:$8</definedName>
    <definedName name="_xlnm.Print_Titles" localSheetId="23">F11A!$B:$B,F11A!$1:$8</definedName>
    <definedName name="_xlnm.Print_Titles" localSheetId="24">'F12'!$1:$8</definedName>
    <definedName name="_xlnm.Print_Titles" localSheetId="25">'F13_20 21'!$5:$8</definedName>
    <definedName name="_xlnm.Print_Titles" localSheetId="26">F13_20_21!$5:$8</definedName>
    <definedName name="_xlnm.Print_Titles" localSheetId="27">F13_21_22!$5:$8</definedName>
    <definedName name="_xlnm.Print_Titles" localSheetId="29">F13_22_23!$5:$8</definedName>
    <definedName name="_xlnm.Print_Titles" localSheetId="31">'F13B 20 21_TrueUp'!$A:$B,'F13B 20 21_TrueUp'!$5:$7</definedName>
    <definedName name="_xlnm.Print_Titles" localSheetId="28">'F13B_20-21_True Up'!$A:$B,'F13B_20-21_True Up'!$5:$7</definedName>
    <definedName name="_xlnm.Print_Titles" localSheetId="32">F13B_21_22_APR!$A:$D,F13B_21_22_APR!$6:$8</definedName>
    <definedName name="_xlnm.Print_Titles" localSheetId="33">F13B_22_23_ARR!$A:$B,F13B_22_23_ARR!$5:$7</definedName>
    <definedName name="_xlnm.Print_Titles" localSheetId="34">F13C!$5:$7</definedName>
    <definedName name="_xlnm.Print_Titles" localSheetId="35">F13D!$A:$A,F13D!$6:$7</definedName>
    <definedName name="_xlnm.Print_Titles" localSheetId="38">F13G_PuVVNL!$1:$5</definedName>
    <definedName name="_xlnm.Print_Titles" localSheetId="7">'F2'!$A:$E</definedName>
    <definedName name="_xlnm.Print_Titles" localSheetId="8">'F3'!$B:$B,'F3'!$1:$8</definedName>
    <definedName name="_xlnm.Print_Titles" localSheetId="9">'F4'!$1:$8</definedName>
    <definedName name="_xlnm.Print_Titles" localSheetId="87">'F44'!$6:$6</definedName>
    <definedName name="_xlnm.Print_Titles" localSheetId="88">F44A!$6:$6</definedName>
    <definedName name="_xlnm.Print_Titles" localSheetId="90">'F46'!$4:$7</definedName>
    <definedName name="_xlnm.Print_Titles" localSheetId="91">'F47'!$5:$8</definedName>
    <definedName name="_xlnm.Print_Titles" localSheetId="92">'F48'!$1:$8</definedName>
    <definedName name="_xlnm.Print_Titles" localSheetId="93">'F49'!$1:$5</definedName>
    <definedName name="_xlnm.Print_Titles" localSheetId="10">F4A!$1:$8</definedName>
    <definedName name="_xlnm.Print_Titles" localSheetId="11">'F5'!$1:$8</definedName>
    <definedName name="_xlnm.Print_Titles" localSheetId="95">'F51'!$1:$6</definedName>
    <definedName name="_xlnm.Print_Titles" localSheetId="12">F5A!$1:$8</definedName>
    <definedName name="_xlnm.Print_Titles" localSheetId="13">'F6'!$1:$8</definedName>
    <definedName name="_xlnm.Print_Titles" localSheetId="14">'F7'!$1:$8</definedName>
    <definedName name="_xlnm.Print_Titles" localSheetId="16">'F8'!$1:$9</definedName>
    <definedName name="_xlnm.Print_Titles" localSheetId="17">'F9'!$B:$B,'F9'!$1:$9</definedName>
    <definedName name="_xlnm.Print_Titles" localSheetId="18">F9A!$B:$B,F9A!$1:$8</definedName>
    <definedName name="_xlnm.Print_Titles" localSheetId="0">Index!$1:$1</definedName>
    <definedName name="_xlnm.Print_Titles" localSheetId="107">'P14'!$B:$Z</definedName>
    <definedName name="_xlnm.Print_Titles" localSheetId="98">'P3'!$A:$B,'P3'!$2:$8</definedName>
    <definedName name="_xlnm.Print_Titles" localSheetId="2">'S1'!$5:$6</definedName>
    <definedName name="_xlnm.Print_Titles" localSheetId="3">'S2'!$1:$6</definedName>
    <definedName name="_xlnm.Print_Titles" localSheetId="4">'S3'!$1:$6</definedName>
    <definedName name="_xlnm.Print_Titles" localSheetId="5">'S4'!$A:$D</definedName>
    <definedName name="_xlnm.Print_Titles">#N/A</definedName>
    <definedName name="Print_Titles_MI" localSheetId="83">[1]Dhar!$A$4:$IV$12,[1]Dhar!$A$1:$B$65536</definedName>
    <definedName name="Print_Titles_MI">[79]Dhar!$A$4:$IV$12,[79]Dhar!$A$1:$B$65536</definedName>
    <definedName name="Print_Titles_MII" localSheetId="43">#REF!,#REF!</definedName>
    <definedName name="Print_Titles_MII" localSheetId="44">#REF!,#REF!</definedName>
    <definedName name="Print_Titles_MII" localSheetId="36">#REF!,#REF!</definedName>
    <definedName name="Print_Titles_MII" localSheetId="28">#REF!,#REF!</definedName>
    <definedName name="Print_Titles_MII" localSheetId="83">#REF!,#REF!</definedName>
    <definedName name="Print_Titles_MII">#REF!,#REF!</definedName>
    <definedName name="ProfileOfTaggedInstruments___ByConstrMgr_Complex_Category" localSheetId="43">#REF!</definedName>
    <definedName name="ProfileOfTaggedInstruments___ByConstrMgr_Complex_Category" localSheetId="44">#REF!</definedName>
    <definedName name="ProfileOfTaggedInstruments___ByConstrMgr_Complex_Category">#REF!</definedName>
    <definedName name="psj"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sj"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pt"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pt"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PTA_Bulk" localSheetId="43">#REF!</definedName>
    <definedName name="PTA_Bulk" localSheetId="44">#REF!</definedName>
    <definedName name="PTA_Bulk">#REF!</definedName>
    <definedName name="PTA_ISBL" localSheetId="43">#REF!</definedName>
    <definedName name="PTA_ISBL" localSheetId="44">#REF!</definedName>
    <definedName name="PTA_ISBL">#REF!</definedName>
    <definedName name="PTPI" localSheetId="43">#REF!</definedName>
    <definedName name="PTPI" localSheetId="44">#REF!</definedName>
    <definedName name="PTPI" localSheetId="36">#REF!</definedName>
    <definedName name="PTPI" localSheetId="28">#REF!</definedName>
    <definedName name="PTPI" localSheetId="83">#REF!</definedName>
    <definedName name="PTPI">#REF!</definedName>
    <definedName name="Pumps_and_Meterisation" localSheetId="43">#REF!</definedName>
    <definedName name="Pumps_and_Meterisation" localSheetId="44">#REF!</definedName>
    <definedName name="Pumps_and_Meterisation" localSheetId="36">#REF!</definedName>
    <definedName name="Pumps_and_Meterisation" localSheetId="28">#REF!</definedName>
    <definedName name="Pumps_and_Meterisation" localSheetId="83">#REF!</definedName>
    <definedName name="Pumps_and_Meterisation">#REF!</definedName>
    <definedName name="q" localSheetId="36">'[80]A 3.7'!$I$35,'[80]A 3.7'!$I$44</definedName>
    <definedName name="q" localSheetId="37">'[81]A 3.7'!$I$35,'[81]A 3.7'!$I$44</definedName>
    <definedName name="q" localSheetId="83">'[1]A 3.7'!$I$35,'[1]A 3.7'!$I$44</definedName>
    <definedName name="q">'[80]A 3.7'!$I$35,'[80]A 3.7'!$I$44</definedName>
    <definedName name="qq" localSheetId="0" hidden="1">{#N/A,#N/A,FALSE,"COVER1.XLS ";#N/A,#N/A,FALSE,"RACT1.XLS";#N/A,#N/A,FALSE,"RACT2.XLS";#N/A,#N/A,FALSE,"ECCMP";#N/A,#N/A,FALSE,"WELDER.XLS"}</definedName>
    <definedName name="qq" hidden="1">{#N/A,#N/A,FALSE,"COVER1.XLS ";#N/A,#N/A,FALSE,"RACT1.XLS";#N/A,#N/A,FALSE,"RACT2.XLS";#N/A,#N/A,FALSE,"ECCMP";#N/A,#N/A,FALSE,"WELDER.XLS"}</definedName>
    <definedName name="qryEqptOrdDelyETAProfile_byConstrMgr" localSheetId="43">#REF!</definedName>
    <definedName name="qryEqptOrdDelyETAProfile_byConstrMgr" localSheetId="44">#REF!</definedName>
    <definedName name="qryEqptOrdDelyETAProfile_byConstrMgr">#REF!</definedName>
    <definedName name="qryEqptOrdPODelProfile_ByConstrMgr" localSheetId="43">#REF!</definedName>
    <definedName name="qryEqptOrdPODelProfile_ByConstrMgr" localSheetId="44">#REF!</definedName>
    <definedName name="qryEqptOrdPODelProfile_ByConstrMgr">#REF!</definedName>
    <definedName name="qryForEqptProfTotalDelvdFdnErnIndImp" localSheetId="43">#REF!</definedName>
    <definedName name="qryForEqptProfTotalDelvdFdnErnIndImp" localSheetId="44">#REF!</definedName>
    <definedName name="qryForEqptProfTotalDelvdFdnErnIndImp">#REF!</definedName>
    <definedName name="qrySummROSDatesFromQuery" localSheetId="43">#REF!</definedName>
    <definedName name="qrySummROSDatesFromQuery" localSheetId="44">#REF!</definedName>
    <definedName name="qrySummROSDatesFromQuery">#REF!</definedName>
    <definedName name="qryUnitForecastUtils" localSheetId="43">#REF!</definedName>
    <definedName name="qryUnitForecastUtils" localSheetId="44">#REF!</definedName>
    <definedName name="qryUnitForecastUtils">#REF!</definedName>
    <definedName name="Query1" localSheetId="43">#REF!</definedName>
    <definedName name="Query1" localSheetId="44">#REF!</definedName>
    <definedName name="Query1">#REF!</definedName>
    <definedName name="qw" localSheetId="0" hidden="1">{#N/A,#N/A,FALSE,"consu_cover";#N/A,#N/A,FALSE,"consu_strategy";#N/A,#N/A,FALSE,"consu_flow";#N/A,#N/A,FALSE,"Summary_reqmt";#N/A,#N/A,FALSE,"field_ppg";#N/A,#N/A,FALSE,"ppg_shop";#N/A,#N/A,FALSE,"strl";#N/A,#N/A,FALSE,"tankages";#N/A,#N/A,FALSE,"gases"}</definedName>
    <definedName name="qw" hidden="1">{#N/A,#N/A,FALSE,"consu_cover";#N/A,#N/A,FALSE,"consu_strategy";#N/A,#N/A,FALSE,"consu_flow";#N/A,#N/A,FALSE,"Summary_reqmt";#N/A,#N/A,FALSE,"field_ppg";#N/A,#N/A,FALSE,"ppg_shop";#N/A,#N/A,FALSE,"strl";#N/A,#N/A,FALSE,"tankages";#N/A,#N/A,FALSE,"gases"}</definedName>
    <definedName name="R_">#N/A</definedName>
    <definedName name="R_15_00_01" localSheetId="43">#REF!</definedName>
    <definedName name="R_15_00_01" localSheetId="44">#REF!</definedName>
    <definedName name="R_15_00_01" localSheetId="36">#REF!</definedName>
    <definedName name="R_15_00_01" localSheetId="28">#REF!</definedName>
    <definedName name="R_15_00_01" localSheetId="83">#REF!</definedName>
    <definedName name="R_15_00_01">#REF!</definedName>
    <definedName name="rad_dscnt" localSheetId="43">#REF!</definedName>
    <definedName name="rad_dscnt" localSheetId="44">#REF!</definedName>
    <definedName name="rad_dscnt">#REF!</definedName>
    <definedName name="RB"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RB"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res_sum" localSheetId="0" hidden="1">{#N/A,#N/A,FALSE,"COVER1.XLS ";#N/A,#N/A,FALSE,"RACT1.XLS";#N/A,#N/A,FALSE,"RACT2.XLS";#N/A,#N/A,FALSE,"ECCMP";#N/A,#N/A,FALSE,"WELDER.XLS"}</definedName>
    <definedName name="res_sum" hidden="1">{#N/A,#N/A,FALSE,"COVER1.XLS ";#N/A,#N/A,FALSE,"RACT1.XLS";#N/A,#N/A,FALSE,"RACT2.XLS";#N/A,#N/A,FALSE,"ECCMP";#N/A,#N/A,FALSE,"WELDER.XLS"}</definedName>
    <definedName name="RH" localSheetId="43">'[3]STN WISE EMR'!#REF!</definedName>
    <definedName name="RH" localSheetId="44">'[3]STN WISE EMR'!#REF!</definedName>
    <definedName name="RH" localSheetId="36">'[3]STN WISE EMR'!#REF!</definedName>
    <definedName name="RH" localSheetId="28">'[3]STN WISE EMR'!#REF!</definedName>
    <definedName name="RH" localSheetId="83">'[1]STN WISE EMR'!#REF!</definedName>
    <definedName name="RH">'[3]STN WISE EMR'!#REF!</definedName>
    <definedName name="RP_2" localSheetId="3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2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2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3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3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3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8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localSheetId="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P_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rr" localSheetId="0" hidden="1">{#N/A,#N/A,FALSE,"consu_cover";#N/A,#N/A,FALSE,"consu_strategy";#N/A,#N/A,FALSE,"consu_flow";#N/A,#N/A,FALSE,"Summary_reqmt";#N/A,#N/A,FALSE,"field_ppg";#N/A,#N/A,FALSE,"ppg_shop";#N/A,#N/A,FALSE,"strl";#N/A,#N/A,FALSE,"tankages";#N/A,#N/A,FALSE,"gases"}</definedName>
    <definedName name="rr" hidden="1">{#N/A,#N/A,FALSE,"consu_cover";#N/A,#N/A,FALSE,"consu_strategy";#N/A,#N/A,FALSE,"consu_flow";#N/A,#N/A,FALSE,"Summary_reqmt";#N/A,#N/A,FALSE,"field_ppg";#N/A,#N/A,FALSE,"ppg_shop";#N/A,#N/A,FALSE,"strl";#N/A,#N/A,FALSE,"tankages";#N/A,#N/A,FALSE,"gases"}</definedName>
    <definedName name="RTTRTRTR"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were" localSheetId="0" hidden="1">{#N/A,#N/A,FALSE,"COVER1.XLS ";#N/A,#N/A,FALSE,"RACT1.XLS";#N/A,#N/A,FALSE,"RACT2.XLS";#N/A,#N/A,FALSE,"ECCMP";#N/A,#N/A,FALSE,"WELDER.XLS"}</definedName>
    <definedName name="rwere" hidden="1">{#N/A,#N/A,FALSE,"COVER1.XLS ";#N/A,#N/A,FALSE,"RACT1.XLS";#N/A,#N/A,FALSE,"RACT2.XLS";#N/A,#N/A,FALSE,"ECCMP";#N/A,#N/A,FALSE,"WELDER.XLS"}</definedName>
    <definedName name="s" localSheetId="43" hidden="1">#REF!</definedName>
    <definedName name="s" localSheetId="44" hidden="1">#REF!</definedName>
    <definedName name="s" localSheetId="36" hidden="1">#REF!</definedName>
    <definedName name="s" localSheetId="25" hidden="1">#REF!</definedName>
    <definedName name="s" localSheetId="26" hidden="1">#REF!</definedName>
    <definedName name="s" localSheetId="27" hidden="1">#REF!</definedName>
    <definedName name="s" localSheetId="29" hidden="1">#REF!</definedName>
    <definedName name="s" localSheetId="30" hidden="1">#REF!</definedName>
    <definedName name="s" localSheetId="31" hidden="1">#REF!</definedName>
    <definedName name="s" localSheetId="28" hidden="1">#REF!</definedName>
    <definedName name="s" localSheetId="32" hidden="1">#REF!</definedName>
    <definedName name="s" localSheetId="33" hidden="1">#REF!</definedName>
    <definedName name="s" localSheetId="56" hidden="1">#REF!</definedName>
    <definedName name="s" localSheetId="83" hidden="1">#REF!</definedName>
    <definedName name="s" hidden="1">#REF!</definedName>
    <definedName name="S_CRS" localSheetId="43">#REF!</definedName>
    <definedName name="S_CRS" localSheetId="44">#REF!</definedName>
    <definedName name="S_CRS" localSheetId="36">#REF!</definedName>
    <definedName name="S_CRS" localSheetId="28">#REF!</definedName>
    <definedName name="S_CRS" localSheetId="56">#REF!</definedName>
    <definedName name="S_CRS" localSheetId="83">#REF!</definedName>
    <definedName name="S_CRS" localSheetId="90">#REF!</definedName>
    <definedName name="S_CRS" localSheetId="91">#REF!</definedName>
    <definedName name="S_CRS">#REF!</definedName>
    <definedName name="Sales_Col_Ind" localSheetId="36">[46]Sales_Summary!$I$2</definedName>
    <definedName name="Sales_Col_Ind" localSheetId="83">[1]Sales_Summary!$I$2</definedName>
    <definedName name="Sales_Col_Ind">[47]Sales_Summary!$I$2</definedName>
    <definedName name="SAPBEXdnldView" hidden="1">"3SB8LZCV0XHZU35V9QQ6GS6J7"</definedName>
    <definedName name="SAPBEXsysID" hidden="1">"BP1"</definedName>
    <definedName name="SAPBEXwbID" hidden="1">"4OBP177R9VNERV50P8R7WXMPG"</definedName>
    <definedName name="Scenario" localSheetId="43">#REF!</definedName>
    <definedName name="Scenario" localSheetId="44">#REF!</definedName>
    <definedName name="Scenario" localSheetId="36">#REF!</definedName>
    <definedName name="Scenario" localSheetId="28">#REF!</definedName>
    <definedName name="Scenario" localSheetId="83">#REF!</definedName>
    <definedName name="Scenario">#REF!</definedName>
    <definedName name="Scenario_Name" localSheetId="43">#REF!</definedName>
    <definedName name="Scenario_Name" localSheetId="44">#REF!</definedName>
    <definedName name="Scenario_Name" localSheetId="36">#REF!</definedName>
    <definedName name="Scenario_Name" localSheetId="28">#REF!</definedName>
    <definedName name="Scenario_Name" localSheetId="83">#REF!</definedName>
    <definedName name="Scenario_Name">#REF!</definedName>
    <definedName name="SCH">[12]BSPL!$A$113:$D$160</definedName>
    <definedName name="SCHe6" localSheetId="43">'[9]04REL'!#REF!</definedName>
    <definedName name="SCHe6" localSheetId="44">'[9]04REL'!#REF!</definedName>
    <definedName name="SCHe6">'[9]04REL'!#REF!</definedName>
    <definedName name="Sched_Pay" localSheetId="43">#REF!</definedName>
    <definedName name="Sched_Pay" localSheetId="44">#REF!</definedName>
    <definedName name="Sched_Pay">#REF!</definedName>
    <definedName name="Scheduled_Extra_Payments" localSheetId="43">#REF!</definedName>
    <definedName name="Scheduled_Extra_Payments" localSheetId="44">#REF!</definedName>
    <definedName name="Scheduled_Extra_Payments">#REF!</definedName>
    <definedName name="Scheduled_Interest_Rate" localSheetId="43">#REF!</definedName>
    <definedName name="Scheduled_Interest_Rate" localSheetId="44">#REF!</definedName>
    <definedName name="Scheduled_Interest_Rate">#REF!</definedName>
    <definedName name="Scheduled_Monthly_Payment" localSheetId="43">#REF!</definedName>
    <definedName name="Scheduled_Monthly_Payment" localSheetId="44">#REF!</definedName>
    <definedName name="Scheduled_Monthly_Payment">#REF!</definedName>
    <definedName name="Scheme" localSheetId="43">#REF!,#REF!</definedName>
    <definedName name="Scheme" localSheetId="44">#REF!,#REF!</definedName>
    <definedName name="Scheme" localSheetId="36">#REF!,#REF!</definedName>
    <definedName name="Scheme" localSheetId="28">#REF!,#REF!</definedName>
    <definedName name="Scheme" localSheetId="83">#REF!,#REF!</definedName>
    <definedName name="Scheme">#REF!,#REF!</definedName>
    <definedName name="SCHVI_IV" localSheetId="43">#REF!</definedName>
    <definedName name="SCHVI_IV" localSheetId="44">#REF!</definedName>
    <definedName name="SCHVI_IV" localSheetId="36">#REF!</definedName>
    <definedName name="SCHVI_IV" localSheetId="28">#REF!</definedName>
    <definedName name="SCHVI_IV" localSheetId="56">#REF!</definedName>
    <definedName name="SCHVI_IV" localSheetId="83">#REF!</definedName>
    <definedName name="SCHVI_IV" localSheetId="90">#REF!</definedName>
    <definedName name="SCHVI_IV" localSheetId="91">#REF!</definedName>
    <definedName name="SCHVI_IV">#REF!</definedName>
    <definedName name="sd" localSheetId="43">#REF!</definedName>
    <definedName name="sd" localSheetId="44">#REF!</definedName>
    <definedName name="sd">#REF!</definedName>
    <definedName name="sddfdf" localSheetId="43">#REF!</definedName>
    <definedName name="sddfdf" localSheetId="44">#REF!</definedName>
    <definedName name="sddfdf" localSheetId="36">#REF!</definedName>
    <definedName name="sddfdf" localSheetId="28">#REF!</definedName>
    <definedName name="sddfdf" localSheetId="83">#REF!</definedName>
    <definedName name="sddfdf">#REF!</definedName>
    <definedName name="se" localSheetId="0" hidden="1">{#N/A,#N/A,FALSE,"COVER1.XLS ";#N/A,#N/A,FALSE,"RACT1.XLS";#N/A,#N/A,FALSE,"RACT2.XLS";#N/A,#N/A,FALSE,"ECCMP";#N/A,#N/A,FALSE,"WELDER.XLS"}</definedName>
    <definedName name="se" hidden="1">{#N/A,#N/A,FALSE,"COVER1.XLS ";#N/A,#N/A,FALSE,"RACT1.XLS";#N/A,#N/A,FALSE,"RACT2.XLS";#N/A,#N/A,FALSE,"ECCMP";#N/A,#N/A,FALSE,"WELDER.XLS"}</definedName>
    <definedName name="Select_Horizontal" localSheetId="43">#REF!</definedName>
    <definedName name="Select_Horizontal" localSheetId="44">#REF!</definedName>
    <definedName name="Select_Horizontal" localSheetId="36">#REF!</definedName>
    <definedName name="Select_Horizontal" localSheetId="28">#REF!</definedName>
    <definedName name="Select_Horizontal" localSheetId="83">#REF!</definedName>
    <definedName name="Select_Horizontal">#REF!</definedName>
    <definedName name="Select_Vertical" localSheetId="43">#REF!</definedName>
    <definedName name="Select_Vertical" localSheetId="44">#REF!</definedName>
    <definedName name="Select_Vertical" localSheetId="36">#REF!</definedName>
    <definedName name="Select_Vertical" localSheetId="28">#REF!</definedName>
    <definedName name="Select_Vertical" localSheetId="83">#REF!</definedName>
    <definedName name="Select_Vertical">#REF!</definedName>
    <definedName name="SEP" localSheetId="43" hidden="1">#REF!</definedName>
    <definedName name="SEP" localSheetId="44" hidden="1">#REF!</definedName>
    <definedName name="SEP" localSheetId="36" hidden="1">#REF!</definedName>
    <definedName name="Sep"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EP" localSheetId="25" hidden="1">#REF!</definedName>
    <definedName name="SEP" localSheetId="26" hidden="1">#REF!</definedName>
    <definedName name="SEP" localSheetId="30" hidden="1">#REF!</definedName>
    <definedName name="SEP" localSheetId="28" hidden="1">#REF!</definedName>
    <definedName name="SEP" localSheetId="32" hidden="1">#REF!</definedName>
    <definedName name="SEP" localSheetId="33" hidden="1">#REF!</definedName>
    <definedName name="SEP" localSheetId="83" hidden="1">#REF!</definedName>
    <definedName name="SEP" hidden="1">#REF!</definedName>
    <definedName name="Sheet"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hee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hft1" localSheetId="37">[61]SUMMERY!$P$1</definedName>
    <definedName name="shft1" localSheetId="83">[1]SUMMERY!$P$1</definedName>
    <definedName name="shft1">[62]SUMMERY!$P$1</definedName>
    <definedName name="shftI" localSheetId="43">#REF!</definedName>
    <definedName name="shftI" localSheetId="44">#REF!</definedName>
    <definedName name="shftI" localSheetId="36">[82]SUMMERY!$P$1</definedName>
    <definedName name="shftI" localSheetId="37">[83]SUMMERY!$P$1</definedName>
    <definedName name="shftI" localSheetId="28">#REF!</definedName>
    <definedName name="shftI" localSheetId="56">[82]SUMMERY!$P$1</definedName>
    <definedName name="shftI" localSheetId="83">[1]SUMMERY!$P$1</definedName>
    <definedName name="shftI" localSheetId="90">[82]SUMMERY!$P$1</definedName>
    <definedName name="shftI" localSheetId="91">[82]SUMMERY!$P$1</definedName>
    <definedName name="shftI" localSheetId="94">[82]SUMMERY!$P$1</definedName>
    <definedName name="shftI">[84]SUMMERY!$P$1</definedName>
    <definedName name="short" localSheetId="0" hidden="1">{#N/A,#N/A,FALSE,"COVER1.XLS ";#N/A,#N/A,FALSE,"RACT1.XLS";#N/A,#N/A,FALSE,"RACT2.XLS";#N/A,#N/A,FALSE,"ECCMP";#N/A,#N/A,FALSE,"WELDER.XLS"}</definedName>
    <definedName name="short" hidden="1">{#N/A,#N/A,FALSE,"COVER1.XLS ";#N/A,#N/A,FALSE,"RACT1.XLS";#N/A,#N/A,FALSE,"RACT2.XLS";#N/A,#N/A,FALSE,"ECCMP";#N/A,#N/A,FALSE,"WELDER.XLS"}</definedName>
    <definedName name="SHRTFALL" localSheetId="0" hidden="1">{#N/A,#N/A,FALSE,"COVER1.XLS ";#N/A,#N/A,FALSE,"RACT1.XLS";#N/A,#N/A,FALSE,"RACT2.XLS";#N/A,#N/A,FALSE,"ECCMP";#N/A,#N/A,FALSE,"WELDER.XLS"}</definedName>
    <definedName name="SHRTFALL" hidden="1">{#N/A,#N/A,FALSE,"COVER1.XLS ";#N/A,#N/A,FALSE,"RACT1.XLS";#N/A,#N/A,FALSE,"RACT2.XLS";#N/A,#N/A,FALSE,"ECCMP";#N/A,#N/A,FALSE,"WELDER.XLS"}</definedName>
    <definedName name="Sht_EDiv" localSheetId="43">#REF!</definedName>
    <definedName name="Sht_EDiv" localSheetId="44">#REF!</definedName>
    <definedName name="Sht_EDiv" localSheetId="36">#REF!</definedName>
    <definedName name="Sht_EDiv" localSheetId="28">#REF!</definedName>
    <definedName name="Sht_EDiv" localSheetId="56">#REF!</definedName>
    <definedName name="Sht_EDiv" localSheetId="83">#REF!</definedName>
    <definedName name="Sht_EDiv" localSheetId="94">#REF!</definedName>
    <definedName name="Sht_EDiv">#REF!</definedName>
    <definedName name="skjdk"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kjdk"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och" localSheetId="43">#REF!</definedName>
    <definedName name="soch" localSheetId="44">#REF!</definedName>
    <definedName name="soch" localSheetId="36">#REF!</definedName>
    <definedName name="soch" localSheetId="28">#REF!</definedName>
    <definedName name="soch" localSheetId="83">#REF!</definedName>
    <definedName name="soch">#REF!</definedName>
    <definedName name="Specific_Consumption" localSheetId="43">#REF!</definedName>
    <definedName name="Specific_Consumption" localSheetId="44">#REF!</definedName>
    <definedName name="Specific_Consumption" localSheetId="36">#REF!</definedName>
    <definedName name="Specific_Consumption" localSheetId="28">#REF!</definedName>
    <definedName name="Specific_Consumption" localSheetId="83">#REF!</definedName>
    <definedName name="Specific_Consumption">#REF!</definedName>
    <definedName name="ss" localSheetId="43" hidden="1">#REF!</definedName>
    <definedName name="ss" localSheetId="44" hidden="1">#REF!</definedName>
    <definedName name="ss" localSheetId="25" hidden="1">#REF!</definedName>
    <definedName name="ss" localSheetId="26" hidden="1">#REF!</definedName>
    <definedName name="ss" localSheetId="30" hidden="1">#REF!</definedName>
    <definedName name="ss" localSheetId="28" hidden="1">#REF!</definedName>
    <definedName name="ss" localSheetId="32" hidden="1">#REF!</definedName>
    <definedName name="ss" localSheetId="33" hidden="1">#REF!</definedName>
    <definedName name="ss" hidden="1">#REF!</definedName>
    <definedName name="SSS"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t"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t"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T_SP" localSheetId="43">#REF!</definedName>
    <definedName name="ST_SP" localSheetId="44">#REF!</definedName>
    <definedName name="ST_SP" localSheetId="36">#REF!</definedName>
    <definedName name="ST_SP" localSheetId="28">#REF!</definedName>
    <definedName name="ST_SP" localSheetId="83">#REF!</definedName>
    <definedName name="ST_SP" localSheetId="90">#REF!</definedName>
    <definedName name="ST_SP" localSheetId="91">#REF!</definedName>
    <definedName name="ST_SP">#REF!</definedName>
    <definedName name="ST6A" localSheetId="43">#REF!</definedName>
    <definedName name="ST6A" localSheetId="44">#REF!</definedName>
    <definedName name="ST6A" localSheetId="36">#REF!</definedName>
    <definedName name="ST6A" localSheetId="28">#REF!</definedName>
    <definedName name="ST6A" localSheetId="83">#REF!</definedName>
    <definedName name="ST6A">#REF!</definedName>
    <definedName name="Start3" localSheetId="83">'[1]Tariff Sheet'!$A$1</definedName>
    <definedName name="Start3">'[85]Tariff Sheet'!$A$1</definedName>
    <definedName name="STPI" localSheetId="43">#REF!</definedName>
    <definedName name="STPI" localSheetId="44">#REF!</definedName>
    <definedName name="STPI" localSheetId="36">#REF!</definedName>
    <definedName name="STPI" localSheetId="28">#REF!</definedName>
    <definedName name="STPI" localSheetId="83">#REF!</definedName>
    <definedName name="STPI">#REF!</definedName>
    <definedName name="Styles" localSheetId="43">#REF!</definedName>
    <definedName name="Styles" localSheetId="44">#REF!</definedName>
    <definedName name="Styles" localSheetId="36">#REF!</definedName>
    <definedName name="Styles" localSheetId="28">#REF!</definedName>
    <definedName name="Styles" localSheetId="83">#REF!</definedName>
    <definedName name="Styles">#REF!</definedName>
    <definedName name="sub"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ub"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Sup" localSheetId="43">#REF!</definedName>
    <definedName name="Sup" localSheetId="44">#REF!</definedName>
    <definedName name="Sup" localSheetId="36">#REF!</definedName>
    <definedName name="Sup" localSheetId="28">#REF!</definedName>
    <definedName name="Sup" localSheetId="83">#REF!</definedName>
    <definedName name="Sup">#REF!</definedName>
    <definedName name="Supp" localSheetId="43">#REF!</definedName>
    <definedName name="Supp" localSheetId="44">#REF!</definedName>
    <definedName name="Supp" localSheetId="36">#REF!</definedName>
    <definedName name="Supp" localSheetId="28">#REF!</definedName>
    <definedName name="Supp" localSheetId="83">#REF!</definedName>
    <definedName name="Supp">#REF!</definedName>
    <definedName name="T_T" localSheetId="83">'[1]Discom Details'!$F$720</definedName>
    <definedName name="T_T">'[52]Discom Details'!$F$720</definedName>
    <definedName name="TabA_Conn" localSheetId="43">#REF!</definedName>
    <definedName name="TabA_Conn" localSheetId="44">#REF!</definedName>
    <definedName name="TabA_Conn" localSheetId="36">#REF!</definedName>
    <definedName name="TabA_Conn" localSheetId="28">#REF!</definedName>
    <definedName name="TabA_Conn" localSheetId="83">#REF!</definedName>
    <definedName name="TabA_Conn">#REF!</definedName>
    <definedName name="TabA_Cust" localSheetId="43">#REF!</definedName>
    <definedName name="TabA_Cust" localSheetId="44">#REF!</definedName>
    <definedName name="TabA_Cust" localSheetId="36">#REF!</definedName>
    <definedName name="TabA_Cust" localSheetId="28">#REF!</definedName>
    <definedName name="TabA_Cust" localSheetId="83">#REF!</definedName>
    <definedName name="TabA_Cust">#REF!</definedName>
    <definedName name="TabA_Left" localSheetId="43">#REF!</definedName>
    <definedName name="TabA_Left" localSheetId="44">#REF!</definedName>
    <definedName name="TabA_Left" localSheetId="36">#REF!</definedName>
    <definedName name="TabA_Left" localSheetId="28">#REF!</definedName>
    <definedName name="TabA_Left" localSheetId="83">#REF!</definedName>
    <definedName name="TabA_Left">#REF!</definedName>
    <definedName name="TabA_Sales" localSheetId="43">#REF!</definedName>
    <definedName name="TabA_Sales" localSheetId="44">#REF!</definedName>
    <definedName name="TabA_Sales" localSheetId="36">#REF!</definedName>
    <definedName name="TabA_Sales" localSheetId="28">#REF!</definedName>
    <definedName name="TabA_Sales" localSheetId="83">#REF!</definedName>
    <definedName name="TabA_Sales">#REF!</definedName>
    <definedName name="TabA_Top" localSheetId="43">#REF!</definedName>
    <definedName name="TabA_Top" localSheetId="44">#REF!</definedName>
    <definedName name="TabA_Top" localSheetId="36">#REF!</definedName>
    <definedName name="TabA_Top" localSheetId="28">#REF!</definedName>
    <definedName name="TabA_Top" localSheetId="83">#REF!</definedName>
    <definedName name="TabA_Top">#REF!</definedName>
    <definedName name="table">'[86]DETAIL SHEET'!$L$10:$BA$55</definedName>
    <definedName name="TABLE1" localSheetId="43">#REF!</definedName>
    <definedName name="TABLE1" localSheetId="44">#REF!</definedName>
    <definedName name="TABLE1">#REF!</definedName>
    <definedName name="Target" localSheetId="43">#REF!</definedName>
    <definedName name="Target" localSheetId="44">#REF!</definedName>
    <definedName name="Target">#REF!</definedName>
    <definedName name="Target1" localSheetId="43">#REF!</definedName>
    <definedName name="Target1" localSheetId="44">#REF!</definedName>
    <definedName name="Target1">#REF!</definedName>
    <definedName name="Tariff" localSheetId="43">#REF!</definedName>
    <definedName name="Tariff" localSheetId="44">#REF!</definedName>
    <definedName name="Tariff">#REF!</definedName>
    <definedName name="TarrGrowth" localSheetId="43">#REF!</definedName>
    <definedName name="TarrGrowth" localSheetId="44">#REF!</definedName>
    <definedName name="TarrGrowth">#REF!</definedName>
    <definedName name="TaxTV">10%</definedName>
    <definedName name="TaxXL">5%</definedName>
    <definedName name="TEST0" localSheetId="43">#REF!</definedName>
    <definedName name="TEST0" localSheetId="44">#REF!</definedName>
    <definedName name="TEST0" localSheetId="36">#REF!</definedName>
    <definedName name="TEST0" localSheetId="28">#REF!</definedName>
    <definedName name="TEST0" localSheetId="56">#REF!</definedName>
    <definedName name="TEST0" localSheetId="83">#REF!</definedName>
    <definedName name="TEST0" localSheetId="90">#REF!</definedName>
    <definedName name="TEST0" localSheetId="91">#REF!</definedName>
    <definedName name="TEST0">#REF!</definedName>
    <definedName name="TEST1" localSheetId="43">#REF!</definedName>
    <definedName name="TEST1" localSheetId="44">#REF!</definedName>
    <definedName name="TEST1" localSheetId="36">#REF!</definedName>
    <definedName name="TEST1" localSheetId="37">#REF!</definedName>
    <definedName name="TEST1" localSheetId="28">#REF!</definedName>
    <definedName name="TEST1" localSheetId="83">#REF!</definedName>
    <definedName name="TEST1" localSheetId="90">#REF!</definedName>
    <definedName name="TEST1" localSheetId="91">#REF!</definedName>
    <definedName name="TEST1">#REF!</definedName>
    <definedName name="TEST10" localSheetId="43">#REF!</definedName>
    <definedName name="TEST10" localSheetId="44">#REF!</definedName>
    <definedName name="TEST10">#REF!</definedName>
    <definedName name="TEST11" localSheetId="43">#REF!</definedName>
    <definedName name="TEST11" localSheetId="44">#REF!</definedName>
    <definedName name="TEST11">#REF!</definedName>
    <definedName name="TEST12" localSheetId="43">#REF!</definedName>
    <definedName name="TEST12" localSheetId="44">#REF!</definedName>
    <definedName name="TEST12">#REF!</definedName>
    <definedName name="TEST13" localSheetId="43">#REF!</definedName>
    <definedName name="TEST13" localSheetId="44">#REF!</definedName>
    <definedName name="TEST13">#REF!</definedName>
    <definedName name="TEST14" localSheetId="43">#REF!</definedName>
    <definedName name="TEST14" localSheetId="44">#REF!</definedName>
    <definedName name="TEST14">#REF!</definedName>
    <definedName name="TEST15" localSheetId="43">#REF!</definedName>
    <definedName name="TEST15" localSheetId="44">#REF!</definedName>
    <definedName name="TEST15">#REF!</definedName>
    <definedName name="TEST16" localSheetId="43">#REF!</definedName>
    <definedName name="TEST16" localSheetId="44">#REF!</definedName>
    <definedName name="TEST16">#REF!</definedName>
    <definedName name="TEST17" localSheetId="43">#REF!</definedName>
    <definedName name="TEST17" localSheetId="44">#REF!</definedName>
    <definedName name="TEST17">#REF!</definedName>
    <definedName name="TEST18" localSheetId="43">#REF!</definedName>
    <definedName name="TEST18" localSheetId="44">#REF!</definedName>
    <definedName name="TEST18">#REF!</definedName>
    <definedName name="TEST19" localSheetId="43">#REF!</definedName>
    <definedName name="TEST19" localSheetId="44">#REF!</definedName>
    <definedName name="TEST19">#REF!</definedName>
    <definedName name="TEST2" localSheetId="43">#REF!</definedName>
    <definedName name="TEST2" localSheetId="44">#REF!</definedName>
    <definedName name="TEST2">#REF!</definedName>
    <definedName name="TEST3" localSheetId="43">#REF!</definedName>
    <definedName name="TEST3" localSheetId="44">#REF!</definedName>
    <definedName name="TEST3">#REF!</definedName>
    <definedName name="TEST4" localSheetId="43">#REF!</definedName>
    <definedName name="TEST4" localSheetId="44">#REF!</definedName>
    <definedName name="TEST4">#REF!</definedName>
    <definedName name="TEST5" localSheetId="43">#REF!</definedName>
    <definedName name="TEST5" localSheetId="44">#REF!</definedName>
    <definedName name="TEST5">#REF!</definedName>
    <definedName name="Test500" localSheetId="43">#REF!</definedName>
    <definedName name="Test500" localSheetId="44">#REF!</definedName>
    <definedName name="Test500">#REF!</definedName>
    <definedName name="TEST6" localSheetId="43">#REF!</definedName>
    <definedName name="TEST6" localSheetId="44">#REF!</definedName>
    <definedName name="TEST6">#REF!</definedName>
    <definedName name="TEST7" localSheetId="43">#REF!</definedName>
    <definedName name="TEST7" localSheetId="44">#REF!</definedName>
    <definedName name="TEST7">#REF!</definedName>
    <definedName name="TEST8" localSheetId="43">#REF!</definedName>
    <definedName name="TEST8" localSheetId="44">#REF!</definedName>
    <definedName name="TEST8">#REF!</definedName>
    <definedName name="TEST9" localSheetId="43">#REF!</definedName>
    <definedName name="TEST9" localSheetId="44">#REF!</definedName>
    <definedName name="TEST9">#REF!</definedName>
    <definedName name="TESTHKEY" localSheetId="43">#REF!</definedName>
    <definedName name="TESTHKEY" localSheetId="44">#REF!</definedName>
    <definedName name="TESTHKEY" localSheetId="36">#REF!</definedName>
    <definedName name="TESTHKEY" localSheetId="37">#REF!</definedName>
    <definedName name="TESTHKEY" localSheetId="28">#REF!</definedName>
    <definedName name="TESTHKEY" localSheetId="83">#REF!</definedName>
    <definedName name="TESTHKEY">#REF!</definedName>
    <definedName name="TESTKEYS" localSheetId="43">#REF!</definedName>
    <definedName name="TESTKEYS" localSheetId="44">#REF!</definedName>
    <definedName name="TESTKEYS" localSheetId="36">#REF!</definedName>
    <definedName name="TESTKEYS" localSheetId="37">#REF!</definedName>
    <definedName name="TESTKEYS" localSheetId="28">#REF!</definedName>
    <definedName name="TESTKEYS" localSheetId="83">#REF!</definedName>
    <definedName name="TESTKEYS">#REF!</definedName>
    <definedName name="TESTVKEY" localSheetId="43">#REF!</definedName>
    <definedName name="TESTVKEY" localSheetId="44">#REF!</definedName>
    <definedName name="TESTVKEY" localSheetId="36">#REF!</definedName>
    <definedName name="TESTVKEY" localSheetId="37">#REF!</definedName>
    <definedName name="TESTVKEY" localSheetId="28">#REF!</definedName>
    <definedName name="TESTVKEY" localSheetId="83">#REF!</definedName>
    <definedName name="TESTVKEY">#REF!</definedName>
    <definedName name="thou" localSheetId="43">#REF!</definedName>
    <definedName name="thou" localSheetId="44">#REF!</definedName>
    <definedName name="thou" localSheetId="36">#REF!</definedName>
    <definedName name="thou" localSheetId="28">#REF!</definedName>
    <definedName name="thou" localSheetId="83">#REF!</definedName>
    <definedName name="thou">#REF!</definedName>
    <definedName name="thousand" localSheetId="36">[48]General!$A$4</definedName>
    <definedName name="thousand" localSheetId="37">[49]General!$A$4</definedName>
    <definedName name="thousand" localSheetId="83">[1]General!$A$4</definedName>
    <definedName name="thousand">[50]General!$A$4</definedName>
    <definedName name="THPROG" localSheetId="43">'[87]STN WISE EMR'!#REF!</definedName>
    <definedName name="THPROG" localSheetId="44">'[87]STN WISE EMR'!#REF!</definedName>
    <definedName name="THPROG" localSheetId="36">'[87]STN WISE EMR'!#REF!</definedName>
    <definedName name="THPROG" localSheetId="28">'[87]STN WISE EMR'!#REF!</definedName>
    <definedName name="THPROG" localSheetId="83">'[1]STN WISE EMR'!#REF!</definedName>
    <definedName name="THPROG">'[87]STN WISE EMR'!#REF!</definedName>
    <definedName name="TI_EDiv" localSheetId="43">#REF!</definedName>
    <definedName name="TI_EDiv" localSheetId="44">#REF!</definedName>
    <definedName name="TI_EDiv" localSheetId="36">#REF!</definedName>
    <definedName name="TI_EDiv" localSheetId="28">#REF!</definedName>
    <definedName name="TI_EDiv" localSheetId="56">#REF!</definedName>
    <definedName name="TI_EDiv" localSheetId="83">#REF!</definedName>
    <definedName name="TI_EDiv" localSheetId="94">#REF!</definedName>
    <definedName name="TI_EDiv">#REF!</definedName>
    <definedName name="TN" localSheetId="43">'[3]STN WISE EMR'!#REF!</definedName>
    <definedName name="TN" localSheetId="44">'[3]STN WISE EMR'!#REF!</definedName>
    <definedName name="TN" localSheetId="36">'[3]STN WISE EMR'!#REF!</definedName>
    <definedName name="TN" localSheetId="28">'[3]STN WISE EMR'!#REF!</definedName>
    <definedName name="TN" localSheetId="83">'[1]STN WISE EMR'!#REF!</definedName>
    <definedName name="TN">'[3]STN WISE EMR'!#REF!</definedName>
    <definedName name="TOTAL" localSheetId="43">#REF!</definedName>
    <definedName name="TOTAL" localSheetId="44">#REF!</definedName>
    <definedName name="TOTAL">#REF!</definedName>
    <definedName name="Total_Interest" localSheetId="43">#REF!</definedName>
    <definedName name="Total_Interest" localSheetId="44">#REF!</definedName>
    <definedName name="Total_Interest">#REF!</definedName>
    <definedName name="Total_Pay" localSheetId="43">#REF!</definedName>
    <definedName name="Total_Pay" localSheetId="44">#REF!</definedName>
    <definedName name="Total_Pay">#REF!</definedName>
    <definedName name="Total_Payment" localSheetId="43">Scheduled_Payment+Extra_Payment</definedName>
    <definedName name="Total_Payment" localSheetId="44">Scheduled_Payment+Extra_Payment</definedName>
    <definedName name="Total_Payment" localSheetId="0">Scheduled_Payment+Extra_Payment</definedName>
    <definedName name="Total_Payment">Scheduled_Payment+Extra_Payment</definedName>
    <definedName name="tr" localSheetId="0" hidden="1">{#N/A,#N/A,FALSE,"COVER.XLS";#N/A,#N/A,FALSE,"RACT1.XLS";#N/A,#N/A,FALSE,"RACT2.XLS";#N/A,#N/A,FALSE,"ECCMP";#N/A,#N/A,FALSE,"WELDER.XLS"}</definedName>
    <definedName name="tr" hidden="1">{#N/A,#N/A,FALSE,"COVER.XLS";#N/A,#N/A,FALSE,"RACT1.XLS";#N/A,#N/A,FALSE,"RACT2.XLS";#N/A,#N/A,FALSE,"ECCMP";#N/A,#N/A,FALSE,"WELDER.XLS"}</definedName>
    <definedName name="Trf3_Div" localSheetId="43">#REF!</definedName>
    <definedName name="Trf3_Div" localSheetId="44">#REF!</definedName>
    <definedName name="Trf3_Div" localSheetId="36">#REF!</definedName>
    <definedName name="Trf3_Div" localSheetId="28">#REF!</definedName>
    <definedName name="Trf3_Div" localSheetId="83">#REF!</definedName>
    <definedName name="Trf3_Div">#REF!</definedName>
    <definedName name="try" localSheetId="43">[88]InputPO_Del!#REF!</definedName>
    <definedName name="try" localSheetId="44">[88]InputPO_Del!#REF!</definedName>
    <definedName name="try">[88]InputPO_Del!#REF!</definedName>
    <definedName name="ttl_dscnt" localSheetId="43">#REF!</definedName>
    <definedName name="ttl_dscnt" localSheetId="44">#REF!</definedName>
    <definedName name="ttl_dscnt">#REF!</definedName>
    <definedName name="TVA" localSheetId="83">'[1]Executive Summary -Thermal'!$A$4:$H$126</definedName>
    <definedName name="TVA">'[18]Executive Summary -Thermal'!$A$4:$H$126</definedName>
    <definedName name="u" localSheetId="43">#REF!</definedName>
    <definedName name="u" localSheetId="44">#REF!</definedName>
    <definedName name="u" localSheetId="36">#REF!</definedName>
    <definedName name="u" localSheetId="28">#REF!</definedName>
    <definedName name="u" localSheetId="83">#REF!</definedName>
    <definedName name="u">#REF!</definedName>
    <definedName name="UG" localSheetId="43">#REF!</definedName>
    <definedName name="UG" localSheetId="44">#REF!</definedName>
    <definedName name="UG" localSheetId="36">#REF!</definedName>
    <definedName name="UG" localSheetId="28">#REF!</definedName>
    <definedName name="UG" localSheetId="83">#REF!</definedName>
    <definedName name="UG">#REF!</definedName>
    <definedName name="ui" localSheetId="43">#REF!</definedName>
    <definedName name="ui" localSheetId="44">#REF!</definedName>
    <definedName name="ui" localSheetId="36">#REF!</definedName>
    <definedName name="ui" localSheetId="28">#REF!</definedName>
    <definedName name="ui" localSheetId="83">#REF!</definedName>
    <definedName name="ui">#REF!</definedName>
    <definedName name="uj" localSheetId="43">#REF!,#REF!</definedName>
    <definedName name="uj" localSheetId="44">#REF!,#REF!</definedName>
    <definedName name="uj" localSheetId="36">#REF!,#REF!</definedName>
    <definedName name="uj" localSheetId="28">#REF!,#REF!</definedName>
    <definedName name="uj" localSheetId="83">#REF!,#REF!</definedName>
    <definedName name="uj">#REF!,#REF!</definedName>
    <definedName name="uma" localSheetId="0" hidden="1">{#N/A,#N/A,FALSE,"COVER1.XLS ";#N/A,#N/A,FALSE,"RACT1.XLS";#N/A,#N/A,FALSE,"RACT2.XLS";#N/A,#N/A,FALSE,"ECCMP";#N/A,#N/A,FALSE,"WELDER.XLS"}</definedName>
    <definedName name="uma" hidden="1">{#N/A,#N/A,FALSE,"COVER1.XLS ";#N/A,#N/A,FALSE,"RACT1.XLS";#N/A,#N/A,FALSE,"RACT2.XLS";#N/A,#N/A,FALSE,"ECCMP";#N/A,#N/A,FALSE,"WELDER.XLS"}</definedName>
    <definedName name="un" localSheetId="83">'[1]A 3.7'!$I$35,'[1]A 3.7'!$I$44</definedName>
    <definedName name="un">'[89]A 3.7'!$I$35,'[89]A 3.7'!$I$44</definedName>
    <definedName name="Unit1" localSheetId="36">'[44]Physical Data'!$H$2</definedName>
    <definedName name="Unit1" localSheetId="83">'[1]Physical Data'!$H$2</definedName>
    <definedName name="Unit1">'[45]Physical Data'!$H$2</definedName>
    <definedName name="Unit2" localSheetId="36">'[44]Physical Data'!$K$2</definedName>
    <definedName name="Unit2" localSheetId="83">'[1]Physical Data'!$K$2</definedName>
    <definedName name="Unit2">'[45]Physical Data'!$K$2</definedName>
    <definedName name="unit3" localSheetId="43">#REF!</definedName>
    <definedName name="unit3" localSheetId="44">#REF!</definedName>
    <definedName name="unit3" localSheetId="36">#REF!</definedName>
    <definedName name="unit3" localSheetId="28">#REF!</definedName>
    <definedName name="unit3" localSheetId="56">#REF!</definedName>
    <definedName name="unit3" localSheetId="83">#REF!</definedName>
    <definedName name="unit3" localSheetId="94">#REF!</definedName>
    <definedName name="unit3">#REF!</definedName>
    <definedName name="Unit4" localSheetId="43">#REF!</definedName>
    <definedName name="Unit4" localSheetId="44">#REF!</definedName>
    <definedName name="Unit4" localSheetId="36">#REF!</definedName>
    <definedName name="Unit4" localSheetId="28">#REF!</definedName>
    <definedName name="Unit4" localSheetId="83">#REF!</definedName>
    <definedName name="Unit4">#REF!</definedName>
    <definedName name="UNit5" localSheetId="43">#REF!</definedName>
    <definedName name="UNit5" localSheetId="44">#REF!</definedName>
    <definedName name="UNit5" localSheetId="36">#REF!</definedName>
    <definedName name="UNit5" localSheetId="28">#REF!</definedName>
    <definedName name="UNit5" localSheetId="83">#REF!</definedName>
    <definedName name="UNit5">#REF!</definedName>
    <definedName name="Units_Sold" localSheetId="43">#REF!</definedName>
    <definedName name="Units_Sold" localSheetId="44">#REF!</definedName>
    <definedName name="Units_Sold" localSheetId="36">#REF!</definedName>
    <definedName name="Units_Sold" localSheetId="28">#REF!</definedName>
    <definedName name="Units_Sold" localSheetId="83">#REF!</definedName>
    <definedName name="Units_Sold">#REF!</definedName>
    <definedName name="Units_Sold1" localSheetId="43">#REF!</definedName>
    <definedName name="Units_Sold1" localSheetId="44">#REF!</definedName>
    <definedName name="Units_Sold1" localSheetId="36">#REF!</definedName>
    <definedName name="Units_Sold1" localSheetId="28">#REF!</definedName>
    <definedName name="Units_Sold1" localSheetId="83">#REF!</definedName>
    <definedName name="Units_Sold1">#REF!</definedName>
    <definedName name="Units_Sold2" localSheetId="43">#REF!</definedName>
    <definedName name="Units_Sold2" localSheetId="44">#REF!</definedName>
    <definedName name="Units_Sold2" localSheetId="36">#REF!</definedName>
    <definedName name="Units_Sold2" localSheetId="28">#REF!</definedName>
    <definedName name="Units_Sold2" localSheetId="83">#REF!</definedName>
    <definedName name="Units_Sold2">#REF!</definedName>
    <definedName name="unnamed" localSheetId="43">#REF!</definedName>
    <definedName name="unnamed" localSheetId="44">#REF!</definedName>
    <definedName name="unnamed">#REF!</definedName>
    <definedName name="Unrestricted_Specific_Consumption" localSheetId="43">#REF!</definedName>
    <definedName name="Unrestricted_Specific_Consumption" localSheetId="44">#REF!</definedName>
    <definedName name="Unrestricted_Specific_Consumption" localSheetId="36">#REF!</definedName>
    <definedName name="Unrestricted_Specific_Consumption" localSheetId="28">#REF!</definedName>
    <definedName name="Unrestricted_Specific_Consumption" localSheetId="83">#REF!</definedName>
    <definedName name="Unrestricted_Specific_Consumption">#REF!</definedName>
    <definedName name="Urb_Patt" localSheetId="43">#REF!</definedName>
    <definedName name="Urb_Patt" localSheetId="44">#REF!</definedName>
    <definedName name="Urb_Patt" localSheetId="36">#REF!</definedName>
    <definedName name="Urb_Patt" localSheetId="28">#REF!</definedName>
    <definedName name="Urb_Patt" localSheetId="83">#REF!</definedName>
    <definedName name="Urb_Patt">#REF!</definedName>
    <definedName name="V" localSheetId="3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7">IF(Loan_Amount*Interest_Rate*Loan_Years*Loan_Start&gt;0,1,0)</definedName>
    <definedName name="V" localSheetId="2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2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2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2"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3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5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8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9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9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9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localSheetId="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Values_Entered" localSheetId="43">IF('DBST FY 2021-22'!Loan_Amount*'DBST FY 2021-22'!Interest_Rate*'DBST FY 2021-22'!Loan_Years*'DBST FY 2021-22'!Loan_Start&gt;0,1,0)</definedName>
    <definedName name="Values_Entered" localSheetId="44">IF('DBST FY 2022-23'!Loan_Amount*'DBST FY 2022-23'!Interest_Rate*'DBST FY 2022-23'!Loan_Years*'DBST FY 2022-23'!Loan_Start&gt;0,1,0)</definedName>
    <definedName name="Values_Entered" localSheetId="0">IF(Loan_Amount*Interest_Rate*Loan_Years*Loan_Start&gt;0,1,0)</definedName>
    <definedName name="Values_Entered">IF(Loan_Amount*Interest_Rate*Loan_Years*Loan_Start&gt;0,1,0)</definedName>
    <definedName name="Vertical_Not_Selected" localSheetId="43">#REF!</definedName>
    <definedName name="Vertical_Not_Selected" localSheetId="44">#REF!</definedName>
    <definedName name="Vertical_Not_Selected" localSheetId="36">#REF!</definedName>
    <definedName name="Vertical_Not_Selected" localSheetId="28">#REF!</definedName>
    <definedName name="Vertical_Not_Selected" localSheetId="83">#REF!</definedName>
    <definedName name="Vertical_Not_Selected">#REF!</definedName>
    <definedName name="vlde" localSheetId="43">#REF!</definedName>
    <definedName name="vlde" localSheetId="44">#REF!</definedName>
    <definedName name="vlde" localSheetId="36">#REF!</definedName>
    <definedName name="vlde" localSheetId="28">#REF!</definedName>
    <definedName name="vlde" localSheetId="56">#REF!</definedName>
    <definedName name="vlde" localSheetId="83">#REF!</definedName>
    <definedName name="vlde">#REF!</definedName>
    <definedName name="W" localSheetId="43">#REF!</definedName>
    <definedName name="W" localSheetId="44">#REF!</definedName>
    <definedName name="W" localSheetId="36">#REF!</definedName>
    <definedName name="W" localSheetId="28">#REF!</definedName>
    <definedName name="W" localSheetId="83">#REF!</definedName>
    <definedName name="W">#REF!</definedName>
    <definedName name="Waiting">"Picture 1"</definedName>
    <definedName name="WIP_944" localSheetId="43">#REF!</definedName>
    <definedName name="WIP_944" localSheetId="44">#REF!</definedName>
    <definedName name="WIP_944" localSheetId="36">#REF!</definedName>
    <definedName name="WIP_944" localSheetId="28">#REF!</definedName>
    <definedName name="WIP_944" localSheetId="83">#REF!</definedName>
    <definedName name="WIP_944">#REF!</definedName>
    <definedName name="WIPComments" localSheetId="43">#REF!</definedName>
    <definedName name="WIPComments" localSheetId="44">#REF!</definedName>
    <definedName name="WIPComments" localSheetId="36">#REF!</definedName>
    <definedName name="WIPComments" localSheetId="28">#REF!</definedName>
    <definedName name="WIPComments" localSheetId="83">#REF!</definedName>
    <definedName name="WIPComments">#REF!</definedName>
    <definedName name="WIPMacroStart" localSheetId="43">#REF!</definedName>
    <definedName name="WIPMacroStart" localSheetId="44">#REF!</definedName>
    <definedName name="WIPMacroStart" localSheetId="36">#REF!</definedName>
    <definedName name="WIPMacroStart" localSheetId="28">#REF!</definedName>
    <definedName name="WIPMacroStart" localSheetId="83">#REF!</definedName>
    <definedName name="WIPMacroStart">#REF!</definedName>
    <definedName name="WRITBACK" localSheetId="43">#REF!</definedName>
    <definedName name="WRITBACK" localSheetId="44">#REF!</definedName>
    <definedName name="WRITBACK" localSheetId="36">#REF!</definedName>
    <definedName name="WRITBACK" localSheetId="28">#REF!</definedName>
    <definedName name="WRITBACK" localSheetId="83">#REF!</definedName>
    <definedName name="WRITBACK" localSheetId="90">#REF!</definedName>
    <definedName name="WRITBACK" localSheetId="91">#REF!</definedName>
    <definedName name="WRITBACK">#REF!</definedName>
    <definedName name="wrn"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localSheetId="0" hidden="1">{#N/A,#N/A,FALSE,"17MAY";#N/A,#N/A,FALSE,"24MAY"}</definedName>
    <definedName name="wrn.1." hidden="1">{#N/A,#N/A,FALSE,"17MAY";#N/A,#N/A,FALSE,"24MAY"}</definedName>
    <definedName name="wrn.2.2" localSheetId="0" hidden="1">{#N/A,#N/A,FALSE,"17MAY";#N/A,#N/A,FALSE,"24MAY"}</definedName>
    <definedName name="wrn.2.2" hidden="1">{#N/A,#N/A,FALSE,"17MAY";#N/A,#N/A,FALSE,"24MAY"}</definedName>
    <definedName name="wrn.ARR._.Forms." localSheetId="36" hidden="1">{#N/A,#N/A,FALSE,"1.1";#N/A,#N/A,FALSE,"1.1a";#N/A,#N/A,FALSE,"1.1b";#N/A,#N/A,FALSE,"1.1c";#N/A,#N/A,FALSE,"1.1e";#N/A,#N/A,FALSE,"1.1f";#N/A,#N/A,FALSE,"1.1g";#N/A,#N/A,FALSE,"1.1h_D";#N/A,#N/A,FALSE,"1.1h_T";#N/A,#N/A,FALSE,"1.2";#N/A,#N/A,FALSE,"1.3b";#N/A,#N/A,FALSE,"1.3";#N/A,#N/A,FALSE,"1.4";#N/A,#N/A,FALSE,"1.5";#N/A,#N/A,FALSE,"1.6";#N/A,#N/A,FALSE,"SOD";#N/A,#N/A,FALSE,"CF"}</definedName>
    <definedName name="wrn.ARR._.Forms." localSheetId="25" hidden="1">{#N/A,#N/A,FALSE,"1.1";#N/A,#N/A,FALSE,"1.1a";#N/A,#N/A,FALSE,"1.1b";#N/A,#N/A,FALSE,"1.1c";#N/A,#N/A,FALSE,"1.1e";#N/A,#N/A,FALSE,"1.1f";#N/A,#N/A,FALSE,"1.1g";#N/A,#N/A,FALSE,"1.1h_D";#N/A,#N/A,FALSE,"1.1h_T";#N/A,#N/A,FALSE,"1.2";#N/A,#N/A,FALSE,"1.3b";#N/A,#N/A,FALSE,"1.3";#N/A,#N/A,FALSE,"1.4";#N/A,#N/A,FALSE,"1.5";#N/A,#N/A,FALSE,"1.6";#N/A,#N/A,FALSE,"SOD";#N/A,#N/A,FALSE,"CF"}</definedName>
    <definedName name="wrn.ARR._.Forms." localSheetId="26" hidden="1">{#N/A,#N/A,FALSE,"1.1";#N/A,#N/A,FALSE,"1.1a";#N/A,#N/A,FALSE,"1.1b";#N/A,#N/A,FALSE,"1.1c";#N/A,#N/A,FALSE,"1.1e";#N/A,#N/A,FALSE,"1.1f";#N/A,#N/A,FALSE,"1.1g";#N/A,#N/A,FALSE,"1.1h_D";#N/A,#N/A,FALSE,"1.1h_T";#N/A,#N/A,FALSE,"1.2";#N/A,#N/A,FALSE,"1.3b";#N/A,#N/A,FALSE,"1.3";#N/A,#N/A,FALSE,"1.4";#N/A,#N/A,FALSE,"1.5";#N/A,#N/A,FALSE,"1.6";#N/A,#N/A,FALSE,"SOD";#N/A,#N/A,FALSE,"CF"}</definedName>
    <definedName name="wrn.ARR._.Forms." localSheetId="30" hidden="1">{#N/A,#N/A,FALSE,"1.1";#N/A,#N/A,FALSE,"1.1a";#N/A,#N/A,FALSE,"1.1b";#N/A,#N/A,FALSE,"1.1c";#N/A,#N/A,FALSE,"1.1e";#N/A,#N/A,FALSE,"1.1f";#N/A,#N/A,FALSE,"1.1g";#N/A,#N/A,FALSE,"1.1h_D";#N/A,#N/A,FALSE,"1.1h_T";#N/A,#N/A,FALSE,"1.2";#N/A,#N/A,FALSE,"1.3b";#N/A,#N/A,FALSE,"1.3";#N/A,#N/A,FALSE,"1.4";#N/A,#N/A,FALSE,"1.5";#N/A,#N/A,FALSE,"1.6";#N/A,#N/A,FALSE,"SOD";#N/A,#N/A,FALSE,"CF"}</definedName>
    <definedName name="wrn.ARR._.Forms." localSheetId="32" hidden="1">{#N/A,#N/A,FALSE,"1.1";#N/A,#N/A,FALSE,"1.1a";#N/A,#N/A,FALSE,"1.1b";#N/A,#N/A,FALSE,"1.1c";#N/A,#N/A,FALSE,"1.1e";#N/A,#N/A,FALSE,"1.1f";#N/A,#N/A,FALSE,"1.1g";#N/A,#N/A,FALSE,"1.1h_D";#N/A,#N/A,FALSE,"1.1h_T";#N/A,#N/A,FALSE,"1.2";#N/A,#N/A,FALSE,"1.3b";#N/A,#N/A,FALSE,"1.3";#N/A,#N/A,FALSE,"1.4";#N/A,#N/A,FALSE,"1.5";#N/A,#N/A,FALSE,"1.6";#N/A,#N/A,FALSE,"SOD";#N/A,#N/A,FALSE,"CF"}</definedName>
    <definedName name="wrn.ARR._.Forms." localSheetId="33" hidden="1">{#N/A,#N/A,FALSE,"1.1";#N/A,#N/A,FALSE,"1.1a";#N/A,#N/A,FALSE,"1.1b";#N/A,#N/A,FALSE,"1.1c";#N/A,#N/A,FALSE,"1.1e";#N/A,#N/A,FALSE,"1.1f";#N/A,#N/A,FALSE,"1.1g";#N/A,#N/A,FALSE,"1.1h_D";#N/A,#N/A,FALSE,"1.1h_T";#N/A,#N/A,FALSE,"1.2";#N/A,#N/A,FALSE,"1.3b";#N/A,#N/A,FALSE,"1.3";#N/A,#N/A,FALSE,"1.4";#N/A,#N/A,FALSE,"1.5";#N/A,#N/A,FALSE,"1.6";#N/A,#N/A,FALSE,"SOD";#N/A,#N/A,FALSE,"CF"}</definedName>
    <definedName name="wrn.ARR._.Forms." localSheetId="83" hidden="1">{#N/A,#N/A,FALSE,"1.1";#N/A,#N/A,FALSE,"1.1a";#N/A,#N/A,FALSE,"1.1b";#N/A,#N/A,FALSE,"1.1c";#N/A,#N/A,FALSE,"1.1e";#N/A,#N/A,FALSE,"1.1f";#N/A,#N/A,FALSE,"1.1g";#N/A,#N/A,FALSE,"1.1h_D";#N/A,#N/A,FALSE,"1.1h_T";#N/A,#N/A,FALSE,"1.2";#N/A,#N/A,FALSE,"1.3b";#N/A,#N/A,FALSE,"1.3";#N/A,#N/A,FALSE,"1.4";#N/A,#N/A,FALSE,"1.5";#N/A,#N/A,FALSE,"1.6";#N/A,#N/A,FALSE,"SOD";#N/A,#N/A,FALSE,"CF"}</definedName>
    <definedName name="wrn.ARR._.Forms." localSheetId="0" hidden="1">{#N/A,#N/A,FALSE,"1.1";#N/A,#N/A,FALSE,"1.1a";#N/A,#N/A,FALSE,"1.1b";#N/A,#N/A,FALSE,"1.1c";#N/A,#N/A,FALSE,"1.1e";#N/A,#N/A,FALSE,"1.1f";#N/A,#N/A,FALSE,"1.1g";#N/A,#N/A,FALSE,"1.1h_D";#N/A,#N/A,FALSE,"1.1h_T";#N/A,#N/A,FALSE,"1.2";#N/A,#N/A,FALSE,"1.3b";#N/A,#N/A,FALSE,"1.3";#N/A,#N/A,FALSE,"1.4";#N/A,#N/A,FALSE,"1.5";#N/A,#N/A,FALSE,"1.6";#N/A,#N/A,FALSE,"SOD";#N/A,#N/A,FALSE,"CF"}</definedName>
    <definedName name="wrn.ARR._.Forms." hidden="1">{#N/A,#N/A,FALSE,"1.1";#N/A,#N/A,FALSE,"1.1a";#N/A,#N/A,FALSE,"1.1b";#N/A,#N/A,FALSE,"1.1c";#N/A,#N/A,FALSE,"1.1e";#N/A,#N/A,FALSE,"1.1f";#N/A,#N/A,FALSE,"1.1g";#N/A,#N/A,FALSE,"1.1h_D";#N/A,#N/A,FALSE,"1.1h_T";#N/A,#N/A,FALSE,"1.2";#N/A,#N/A,FALSE,"1.3b";#N/A,#N/A,FALSE,"1.3";#N/A,#N/A,FALSE,"1.4";#N/A,#N/A,FALSE,"1.5";#N/A,#N/A,FALSE,"1.6";#N/A,#N/A,FALSE,"SOD";#N/A,#N/A,FALSE,"CF"}</definedName>
    <definedName name="wrn.ARR._.Output." localSheetId="36"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7"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25"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26"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0"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1"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28"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2"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3"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4"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5"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56"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83"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94"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0"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Consolidated._.report._.on._.all._.companies." localSheetId="3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2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2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2"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3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83"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umable." localSheetId="0"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elect." localSheetId="0"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Formats." localSheetId="3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7"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2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2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28"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2"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35"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5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8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94"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Output._.forms." localSheetId="3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25"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26"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2"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3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83"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localSheetId="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_.forms."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Forms." localSheetId="36"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25"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26"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2"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33"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83"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localSheetId="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OutputForms."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piping." localSheetId="0"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P." localSheetId="36" hidden="1">{#N/A,#N/A,FALSE,"2002-03 Form 1.3a";#N/A,#N/A,FALSE,"2003-04 Form 1.3a";#N/A,#N/A,FALSE,"Avai- CY";#N/A,#N/A,FALSE,"Avai- EY";#N/A,#N/A,FALSE,"Demand vs Availability"}</definedName>
    <definedName name="wrn.PP." localSheetId="25" hidden="1">{#N/A,#N/A,FALSE,"2002-03 Form 1.3a";#N/A,#N/A,FALSE,"2003-04 Form 1.3a";#N/A,#N/A,FALSE,"Avai- CY";#N/A,#N/A,FALSE,"Avai- EY";#N/A,#N/A,FALSE,"Demand vs Availability"}</definedName>
    <definedName name="wrn.PP." localSheetId="26" hidden="1">{#N/A,#N/A,FALSE,"2002-03 Form 1.3a";#N/A,#N/A,FALSE,"2003-04 Form 1.3a";#N/A,#N/A,FALSE,"Avai- CY";#N/A,#N/A,FALSE,"Avai- EY";#N/A,#N/A,FALSE,"Demand vs Availability"}</definedName>
    <definedName name="wrn.PP." localSheetId="30" hidden="1">{#N/A,#N/A,FALSE,"2002-03 Form 1.3a";#N/A,#N/A,FALSE,"2003-04 Form 1.3a";#N/A,#N/A,FALSE,"Avai- CY";#N/A,#N/A,FALSE,"Avai- EY";#N/A,#N/A,FALSE,"Demand vs Availability"}</definedName>
    <definedName name="wrn.PP." localSheetId="32" hidden="1">{#N/A,#N/A,FALSE,"2002-03 Form 1.3a";#N/A,#N/A,FALSE,"2003-04 Form 1.3a";#N/A,#N/A,FALSE,"Avai- CY";#N/A,#N/A,FALSE,"Avai- EY";#N/A,#N/A,FALSE,"Demand vs Availability"}</definedName>
    <definedName name="wrn.PP." localSheetId="33" hidden="1">{#N/A,#N/A,FALSE,"2002-03 Form 1.3a";#N/A,#N/A,FALSE,"2003-04 Form 1.3a";#N/A,#N/A,FALSE,"Avai- CY";#N/A,#N/A,FALSE,"Avai- EY";#N/A,#N/A,FALSE,"Demand vs Availability"}</definedName>
    <definedName name="wrn.PP." localSheetId="83" hidden="1">{#N/A,#N/A,FALSE,"2002-03 Form 1.3a";#N/A,#N/A,FALSE,"2003-04 Form 1.3a";#N/A,#N/A,FALSE,"Avai- CY";#N/A,#N/A,FALSE,"Avai- EY";#N/A,#N/A,FALSE,"Demand vs Availability"}</definedName>
    <definedName name="wrn.PP." localSheetId="0" hidden="1">{#N/A,#N/A,FALSE,"2002-03 Form 1.3a";#N/A,#N/A,FALSE,"2003-04 Form 1.3a";#N/A,#N/A,FALSE,"Avai- CY";#N/A,#N/A,FALSE,"Avai- EY";#N/A,#N/A,FALSE,"Demand vs Availability"}</definedName>
    <definedName name="wrn.PP." hidden="1">{#N/A,#N/A,FALSE,"2002-03 Form 1.3a";#N/A,#N/A,FALSE,"2003-04 Form 1.3a";#N/A,#N/A,FALSE,"Avai- CY";#N/A,#N/A,FALSE,"Avai- EY";#N/A,#N/A,FALSE,"Demand vs Availability"}</definedName>
    <definedName name="wrn.RCC." localSheetId="0"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CC."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localSheetId="0" hidden="1">{#N/A,#N/A,FALSE,"COVER.XLS";#N/A,#N/A,FALSE,"RACT1.XLS";#N/A,#N/A,FALSE,"RACT2.XLS";#N/A,#N/A,FALSE,"ECCMP";#N/A,#N/A,FALSE,"WELDER.XLS"}</definedName>
    <definedName name="wrn.report." hidden="1">{#N/A,#N/A,FALSE,"COVER.XLS";#N/A,#N/A,FALSE,"RACT1.XLS";#N/A,#N/A,FALSE,"RACT2.XLS";#N/A,#N/A,FALSE,"ECCMP";#N/A,#N/A,FALSE,"WELDER.XLS"}</definedName>
    <definedName name="wrn.Reports._.of._.NPDCL." localSheetId="36"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25"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26"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2"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33"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83"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localSheetId="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eports._.of._.NPDCL."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rn.RPLINS." localSheetId="0"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summ1" localSheetId="0" hidden="1">{#N/A,#N/A,FALSE,"COVER1.XLS ";#N/A,#N/A,FALSE,"RACT1.XLS";#N/A,#N/A,FALSE,"RACT2.XLS";#N/A,#N/A,FALSE,"ECCMP";#N/A,#N/A,FALSE,"WELDER.XLS"}</definedName>
    <definedName name="wrn.summ1" hidden="1">{#N/A,#N/A,FALSE,"COVER1.XLS ";#N/A,#N/A,FALSE,"RACT1.XLS";#N/A,#N/A,FALSE,"RACT2.XLS";#N/A,#N/A,FALSE,"ECCMP";#N/A,#N/A,FALSE,"WELDER.XLS"}</definedName>
    <definedName name="wrn.summary." localSheetId="0" hidden="1">{#N/A,#N/A,FALSE,"COVER1.XLS ";#N/A,#N/A,FALSE,"RACT1.XLS";#N/A,#N/A,FALSE,"RACT2.XLS";#N/A,#N/A,FALSE,"ECCMP";#N/A,#N/A,FALSE,"WELDER.XLS"}</definedName>
    <definedName name="wrn.summary." hidden="1">{#N/A,#N/A,FALSE,"COVER1.XLS ";#N/A,#N/A,FALSE,"RACT1.XLS";#N/A,#N/A,FALSE,"RACT2.XLS";#N/A,#N/A,FALSE,"ECCMP";#N/A,#N/A,FALSE,"WELDER.XLS"}</definedName>
    <definedName name="wrn.WorkBook._.Print." localSheetId="3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2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2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3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3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2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32"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3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3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3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5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8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9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9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9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localSheetId="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WorkBook._.Print."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0" localSheetId="0" hidden="1">{#N/A,#N/A,FALSE,"COVER1.XLS ";#N/A,#N/A,FALSE,"RACT1.XLS";#N/A,#N/A,FALSE,"RACT2.XLS";#N/A,#N/A,FALSE,"ECCMP";#N/A,#N/A,FALSE,"WELDER.XLS"}</definedName>
    <definedName name="WRN0" hidden="1">{#N/A,#N/A,FALSE,"COVER1.XLS ";#N/A,#N/A,FALSE,"RACT1.XLS";#N/A,#N/A,FALSE,"RACT2.XLS";#N/A,#N/A,FALSE,"ECCMP";#N/A,#N/A,FALSE,"WELDER.XLS"}</definedName>
    <definedName name="WWWW" localSheetId="0" hidden="1">{#N/A,#N/A,FALSE,"COVER.XLS";#N/A,#N/A,FALSE,"RACT1.XLS";#N/A,#N/A,FALSE,"RACT2.XLS";#N/A,#N/A,FALSE,"ECCMP";#N/A,#N/A,FALSE,"WELDER.XLS"}</definedName>
    <definedName name="WWWW" hidden="1">{#N/A,#N/A,FALSE,"COVER.XLS";#N/A,#N/A,FALSE,"RACT1.XLS";#N/A,#N/A,FALSE,"RACT2.XLS";#N/A,#N/A,FALSE,"ECCMP";#N/A,#N/A,FALSE,"WELDER.XLS"}</definedName>
    <definedName name="x" localSheetId="43">'[5]04REL'!#REF!</definedName>
    <definedName name="x" localSheetId="44">'[5]04REL'!#REF!</definedName>
    <definedName name="x" localSheetId="36">'[90]04REL'!#REF!</definedName>
    <definedName name="x" localSheetId="37">OFFSET(Full_Print,0,0,Last_Row)</definedName>
    <definedName name="x" localSheetId="28">'[5]04REL'!#REF!</definedName>
    <definedName name="x" localSheetId="56">'[91]04REL'!#REF!</definedName>
    <definedName name="x" localSheetId="64">#REF!</definedName>
    <definedName name="x" localSheetId="72">#REF!</definedName>
    <definedName name="x" localSheetId="83">'[1]04REL'!#REF!</definedName>
    <definedName name="x" localSheetId="90">'[91]04REL'!#REF!</definedName>
    <definedName name="x" localSheetId="91">'[91]04REL'!#REF!</definedName>
    <definedName name="x" localSheetId="93">#REF!</definedName>
    <definedName name="x" localSheetId="94">'[91]04REL'!#REF!</definedName>
    <definedName name="x" localSheetId="0">#REF!</definedName>
    <definedName name="x">#REF!</definedName>
    <definedName name="X1_" localSheetId="43">#REF!</definedName>
    <definedName name="X1_" localSheetId="44">#REF!</definedName>
    <definedName name="X1_" localSheetId="36">#REF!</definedName>
    <definedName name="X1_" localSheetId="37">#REF!</definedName>
    <definedName name="X1_" localSheetId="28">#REF!</definedName>
    <definedName name="X1_" localSheetId="56">#REF!</definedName>
    <definedName name="X1_" localSheetId="64">#REF!</definedName>
    <definedName name="X1_" localSheetId="72">#REF!</definedName>
    <definedName name="X1_" localSheetId="83">#REF!</definedName>
    <definedName name="X1_" localSheetId="90">#REF!</definedName>
    <definedName name="X1_" localSheetId="91">#REF!</definedName>
    <definedName name="X1_">#REF!</definedName>
    <definedName name="XLRPARAMS_COMPNAME" localSheetId="83" hidden="1">[1]XLR_NoRangeSheet!$B$6</definedName>
    <definedName name="XLRPARAMS_COMPNAME" hidden="1">[59]XLR_NoRangeSheet!$B$6</definedName>
    <definedName name="XLRPARAMS_PAYDT1" localSheetId="83" hidden="1">[1]XLR_NoRangeSheet!$D$6</definedName>
    <definedName name="XLRPARAMS_PAYDT1" hidden="1">[92]XLR_NoRangeSheet!$D$6</definedName>
    <definedName name="XLRPARAMS_PAYDT10" localSheetId="83" hidden="1">[1]XLR_NoRangeSheet!$M$6</definedName>
    <definedName name="XLRPARAMS_PAYDT10" hidden="1">[92]XLR_NoRangeSheet!$M$6</definedName>
    <definedName name="XLRPARAMS_PAYDT11" localSheetId="83" hidden="1">[1]XLR_NoRangeSheet!$N$6</definedName>
    <definedName name="XLRPARAMS_PAYDT11" hidden="1">[92]XLR_NoRangeSheet!$N$6</definedName>
    <definedName name="XLRPARAMS_PAYDT12" localSheetId="83" hidden="1">[1]XLR_NoRangeSheet!$O$6</definedName>
    <definedName name="XLRPARAMS_PAYDT12" hidden="1">[92]XLR_NoRangeSheet!$O$6</definedName>
    <definedName name="XLRPARAMS_PAYDT2" localSheetId="83" hidden="1">[1]XLR_NoRangeSheet!$E$6</definedName>
    <definedName name="XLRPARAMS_PAYDT2" hidden="1">[92]XLR_NoRangeSheet!$E$6</definedName>
    <definedName name="XLRPARAMS_PAYDT3" localSheetId="83" hidden="1">[1]XLR_NoRangeSheet!$F$6</definedName>
    <definedName name="XLRPARAMS_PAYDT3" hidden="1">[92]XLR_NoRangeSheet!$F$6</definedName>
    <definedName name="XLRPARAMS_PAYDT4" localSheetId="83" hidden="1">[1]XLR_NoRangeSheet!$G$6</definedName>
    <definedName name="XLRPARAMS_PAYDT4" hidden="1">[92]XLR_NoRangeSheet!$G$6</definedName>
    <definedName name="XLRPARAMS_PAYDT5" localSheetId="83" hidden="1">[1]XLR_NoRangeSheet!$H$6</definedName>
    <definedName name="XLRPARAMS_PAYDT5" hidden="1">[92]XLR_NoRangeSheet!$H$6</definedName>
    <definedName name="XLRPARAMS_PAYDT6" localSheetId="83" hidden="1">[1]XLR_NoRangeSheet!$I$6</definedName>
    <definedName name="XLRPARAMS_PAYDT6" hidden="1">[92]XLR_NoRangeSheet!$I$6</definedName>
    <definedName name="XLRPARAMS_PAYDT7" localSheetId="83" hidden="1">[1]XLR_NoRangeSheet!$J$6</definedName>
    <definedName name="XLRPARAMS_PAYDT7" hidden="1">[92]XLR_NoRangeSheet!$J$6</definedName>
    <definedName name="XLRPARAMS_PAYDT8" localSheetId="83" hidden="1">[1]XLR_NoRangeSheet!$K$6</definedName>
    <definedName name="XLRPARAMS_PAYDT8" hidden="1">[92]XLR_NoRangeSheet!$K$6</definedName>
    <definedName name="XLRPARAMS_PAYDT9" localSheetId="83" hidden="1">[1]XLR_NoRangeSheet!$L$6</definedName>
    <definedName name="XLRPARAMS_PAYDT9" hidden="1">[92]XLR_NoRangeSheet!$L$6</definedName>
    <definedName name="xx" localSheetId="43">#REF!</definedName>
    <definedName name="xx" localSheetId="44">#REF!</definedName>
    <definedName name="xx">#REF!</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 localSheetId="43" hidden="1">[25]CE!#REF!</definedName>
    <definedName name="xxxx" localSheetId="44" hidden="1">[25]CE!#REF!</definedName>
    <definedName name="xxxx" localSheetId="36" hidden="1">[25]CE!#REF!</definedName>
    <definedName name="xxxx" localSheetId="25" hidden="1">[25]CE!#REF!</definedName>
    <definedName name="xxxx" localSheetId="26" hidden="1">[25]CE!#REF!</definedName>
    <definedName name="xxxx" localSheetId="27" hidden="1">[25]CE!#REF!</definedName>
    <definedName name="xxxx" localSheetId="29" hidden="1">[25]CE!#REF!</definedName>
    <definedName name="xxxx" localSheetId="30" hidden="1">[25]CE!#REF!</definedName>
    <definedName name="xxxx" localSheetId="31" hidden="1">[25]CE!#REF!</definedName>
    <definedName name="xxxx" localSheetId="28" hidden="1">[25]CE!#REF!</definedName>
    <definedName name="xxxx" localSheetId="32" hidden="1">[25]CE!#REF!</definedName>
    <definedName name="xxxx" localSheetId="33" hidden="1">[25]CE!#REF!</definedName>
    <definedName name="xxxx" localSheetId="35" hidden="1">[25]CE!#REF!</definedName>
    <definedName name="xxxx" localSheetId="56" hidden="1">[25]CE!#REF!</definedName>
    <definedName name="xxxx" localSheetId="64" hidden="1">[25]CE!#REF!</definedName>
    <definedName name="xxxx" localSheetId="72" hidden="1">[25]CE!#REF!</definedName>
    <definedName name="xxxx" localSheetId="83" hidden="1">[1]CE!#REF!</definedName>
    <definedName name="xxxx" hidden="1">[25]CE!#REF!</definedName>
    <definedName name="Y122_" localSheetId="83">[1]DLC!$HR$109</definedName>
    <definedName name="Y122_">[2]DLC!$HR$109</definedName>
    <definedName name="Ye" localSheetId="43">#REF!,#REF!</definedName>
    <definedName name="Ye" localSheetId="44">#REF!,#REF!</definedName>
    <definedName name="Ye">#REF!,#REF!</definedName>
    <definedName name="YEAR" localSheetId="43">#REF!</definedName>
    <definedName name="YEAR" localSheetId="44">#REF!</definedName>
    <definedName name="YEAR" localSheetId="36">#REF!</definedName>
    <definedName name="YEAR" localSheetId="37">#REF!</definedName>
    <definedName name="YEAR" localSheetId="28">#REF!</definedName>
    <definedName name="YEAR" localSheetId="56">#REF!</definedName>
    <definedName name="YEAR" localSheetId="64">#REF!</definedName>
    <definedName name="YEAR" localSheetId="72">#REF!</definedName>
    <definedName name="YEAR" localSheetId="83">#REF!</definedName>
    <definedName name="YEAR" localSheetId="90">#REF!</definedName>
    <definedName name="YEAR" localSheetId="91">#REF!</definedName>
    <definedName name="YEAR" localSheetId="94">#REF!</definedName>
    <definedName name="YEAR">#REF!</definedName>
    <definedName name="Year1" localSheetId="43">#REF!</definedName>
    <definedName name="Year1" localSheetId="44">#REF!</definedName>
    <definedName name="Year1" localSheetId="36">#REF!</definedName>
    <definedName name="Year1" localSheetId="28">#REF!</definedName>
    <definedName name="Year1" localSheetId="56">#REF!</definedName>
    <definedName name="Year1" localSheetId="64">#REF!</definedName>
    <definedName name="Year1" localSheetId="83">#REF!</definedName>
    <definedName name="Year1">#REF!</definedName>
    <definedName name="YEARLY" localSheetId="83">[1]TWELVE!$A$3:$Q$445</definedName>
    <definedName name="YEARLY">[18]TWELVE!$A$3:$Q$445</definedName>
    <definedName name="Yes" localSheetId="43">'[74]Users Authorisations'!#REF!</definedName>
    <definedName name="Yes" localSheetId="44">'[74]Users Authorisations'!#REF!</definedName>
    <definedName name="Yes">'[74]Users Authorisations'!#REF!</definedName>
    <definedName name="yew">[83]SUMMERY!$P$1</definedName>
    <definedName name="yrend_date" localSheetId="83">[1]Variables_x!$F$14</definedName>
    <definedName name="yrend_date">[77]Variables_x!$F$14</definedName>
    <definedName name="yrend_date1" localSheetId="83">[1]Variables_x!$F$17</definedName>
    <definedName name="yrend_date1">[77]Variables_x!$F$17</definedName>
    <definedName name="YTPI" localSheetId="43">#REF!</definedName>
    <definedName name="YTPI" localSheetId="44">#REF!</definedName>
    <definedName name="YTPI" localSheetId="36">#REF!</definedName>
    <definedName name="YTPI" localSheetId="28">#REF!</definedName>
    <definedName name="YTPI" localSheetId="83">#REF!</definedName>
    <definedName name="YTPI">#REF!</definedName>
    <definedName name="yyy" localSheetId="43">#REF!</definedName>
    <definedName name="yyy" localSheetId="44">#REF!</definedName>
    <definedName name="yyy" localSheetId="36">#REF!</definedName>
    <definedName name="yyy" localSheetId="28">#REF!</definedName>
    <definedName name="yyy" localSheetId="83">#REF!</definedName>
    <definedName name="yyy">#REF!</definedName>
    <definedName name="yyyy" localSheetId="43">#REF!</definedName>
    <definedName name="yyyy" localSheetId="44">#REF!</definedName>
    <definedName name="yyyy" localSheetId="36">#REF!</definedName>
    <definedName name="yyyy" localSheetId="28">#REF!</definedName>
    <definedName name="yyyy" localSheetId="83">#REF!</definedName>
    <definedName name="yyyy">#REF!</definedName>
    <definedName name="Z" localSheetId="3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2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2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3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3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28"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32"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3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3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35"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56"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83"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9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91"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94"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localSheetId="0"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Z_6FC0BDD8_8325_49FE_B30A_C17FE70E7A70_.wvu.PrintArea" localSheetId="72" hidden="1">'F31'!$A$1:$L$63</definedName>
    <definedName name="zx" localSheetId="0" hidden="1">{#N/A,#N/A,FALSE,"COVER.XLS";#N/A,#N/A,FALSE,"RACT1.XLS";#N/A,#N/A,FALSE,"RACT2.XLS";#N/A,#N/A,FALSE,"ECCMP";#N/A,#N/A,FALSE,"WELDER.XLS"}</definedName>
    <definedName name="zx" hidden="1">{#N/A,#N/A,FALSE,"COVER.XLS";#N/A,#N/A,FALSE,"RACT1.XLS";#N/A,#N/A,FALSE,"RACT2.XLS";#N/A,#N/A,FALSE,"ECCMP";#N/A,#N/A,FALSE,"WELDER.XLS"}</definedName>
    <definedName name="zzzz" localSheetId="43">#REF!</definedName>
    <definedName name="zzzz" localSheetId="44">#REF!</definedName>
    <definedName name="zzzz" localSheetId="36">#REF!</definedName>
    <definedName name="zzzz" localSheetId="28">#REF!</definedName>
    <definedName name="zzzz" localSheetId="83">#REF!</definedName>
    <definedName name="zzzz">#REF!</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 i="265" l="1"/>
  <c r="H24" i="263"/>
  <c r="E24" i="263"/>
  <c r="D24" i="263"/>
  <c r="D16" i="263"/>
  <c r="G14" i="263"/>
  <c r="F14" i="263"/>
  <c r="G13" i="263"/>
  <c r="E13" i="263"/>
  <c r="E19" i="263" s="1"/>
  <c r="D13" i="263"/>
  <c r="E14" i="263"/>
  <c r="I11" i="263"/>
  <c r="I10" i="263"/>
  <c r="N7" i="263" s="1"/>
  <c r="G16" i="263"/>
  <c r="E16" i="263"/>
  <c r="F24" i="262"/>
  <c r="E24" i="262"/>
  <c r="H16" i="262"/>
  <c r="G16" i="262"/>
  <c r="F16" i="262"/>
  <c r="E16" i="262"/>
  <c r="H14" i="262"/>
  <c r="G14" i="262"/>
  <c r="F14" i="262"/>
  <c r="D14" i="262"/>
  <c r="H13" i="262"/>
  <c r="F13" i="262"/>
  <c r="I12" i="262"/>
  <c r="H24" i="262"/>
  <c r="I11" i="262"/>
  <c r="I10" i="262"/>
  <c r="D16" i="262"/>
  <c r="E13" i="262"/>
  <c r="I3" i="262"/>
  <c r="G13" i="262"/>
  <c r="G19" i="262" s="1"/>
  <c r="G24" i="261"/>
  <c r="F24" i="261"/>
  <c r="D24" i="261"/>
  <c r="G16" i="261"/>
  <c r="E16" i="261"/>
  <c r="D16" i="261"/>
  <c r="H14" i="261"/>
  <c r="E14" i="261"/>
  <c r="D14" i="261"/>
  <c r="F13" i="261"/>
  <c r="E13" i="261"/>
  <c r="G14" i="261"/>
  <c r="E24" i="261"/>
  <c r="I11" i="261"/>
  <c r="I10" i="261"/>
  <c r="I6" i="261"/>
  <c r="I4" i="261"/>
  <c r="F16" i="261"/>
  <c r="H13" i="261"/>
  <c r="I3" i="261"/>
  <c r="D13" i="261"/>
  <c r="D19" i="261" s="1"/>
  <c r="AE21" i="260"/>
  <c r="AH21" i="260" s="1"/>
  <c r="AD21" i="260"/>
  <c r="AG21" i="260" s="1"/>
  <c r="AC21" i="260"/>
  <c r="AF21" i="260" s="1"/>
  <c r="AB21" i="260"/>
  <c r="AA21" i="260"/>
  <c r="Y21" i="260"/>
  <c r="X21" i="260"/>
  <c r="W21" i="260"/>
  <c r="Z21" i="260" s="1"/>
  <c r="P21" i="260"/>
  <c r="O21" i="260"/>
  <c r="N21" i="260"/>
  <c r="AC20" i="260"/>
  <c r="AF20" i="260" s="1"/>
  <c r="AB20" i="260"/>
  <c r="AE20" i="260" s="1"/>
  <c r="AH20" i="260" s="1"/>
  <c r="U20" i="260"/>
  <c r="X20" i="260" s="1"/>
  <c r="AA20" i="260" s="1"/>
  <c r="AD20" i="260" s="1"/>
  <c r="AG20" i="260" s="1"/>
  <c r="R20" i="260"/>
  <c r="O20" i="260"/>
  <c r="N20" i="260"/>
  <c r="Q20" i="260" s="1"/>
  <c r="T20" i="260" s="1"/>
  <c r="W20" i="260" s="1"/>
  <c r="Z20" i="260" s="1"/>
  <c r="M20" i="260"/>
  <c r="P20" i="260" s="1"/>
  <c r="S20" i="260" s="1"/>
  <c r="V20" i="260" s="1"/>
  <c r="Y20" i="260" s="1"/>
  <c r="L20" i="260"/>
  <c r="K20" i="260"/>
  <c r="U19" i="260"/>
  <c r="X19" i="260" s="1"/>
  <c r="AA19" i="260" s="1"/>
  <c r="AD19" i="260" s="1"/>
  <c r="AG19" i="260" s="1"/>
  <c r="R19" i="260"/>
  <c r="O19" i="260"/>
  <c r="N19" i="260"/>
  <c r="Q19" i="260" s="1"/>
  <c r="T19" i="260" s="1"/>
  <c r="W19" i="260" s="1"/>
  <c r="Z19" i="260" s="1"/>
  <c r="AC19" i="260" s="1"/>
  <c r="AF19" i="260" s="1"/>
  <c r="M19" i="260"/>
  <c r="P19" i="260" s="1"/>
  <c r="S19" i="260" s="1"/>
  <c r="V19" i="260" s="1"/>
  <c r="Y19" i="260" s="1"/>
  <c r="AB19" i="260" s="1"/>
  <c r="AE19" i="260" s="1"/>
  <c r="AH19" i="260" s="1"/>
  <c r="L19" i="260"/>
  <c r="K19" i="260"/>
  <c r="AB18" i="260"/>
  <c r="AE18" i="260" s="1"/>
  <c r="AH18" i="260" s="1"/>
  <c r="V18" i="260"/>
  <c r="Y18" i="260" s="1"/>
  <c r="U18" i="260"/>
  <c r="X18" i="260" s="1"/>
  <c r="AA18" i="260" s="1"/>
  <c r="AD18" i="260" s="1"/>
  <c r="AG18" i="260" s="1"/>
  <c r="T18" i="260"/>
  <c r="W18" i="260" s="1"/>
  <c r="Z18" i="260" s="1"/>
  <c r="AC18" i="260" s="1"/>
  <c r="AF18" i="260" s="1"/>
  <c r="S18" i="260"/>
  <c r="R18" i="260"/>
  <c r="P18" i="260"/>
  <c r="O18" i="260"/>
  <c r="N18" i="260"/>
  <c r="Q18" i="260" s="1"/>
  <c r="AG17" i="260"/>
  <c r="Z17" i="260"/>
  <c r="AC17" i="260" s="1"/>
  <c r="AF17" i="260" s="1"/>
  <c r="S17" i="260"/>
  <c r="V17" i="260" s="1"/>
  <c r="Y17" i="260" s="1"/>
  <c r="AB17" i="260" s="1"/>
  <c r="AE17" i="260" s="1"/>
  <c r="AH17" i="260" s="1"/>
  <c r="R17" i="260"/>
  <c r="U17" i="260" s="1"/>
  <c r="X17" i="260" s="1"/>
  <c r="AA17" i="260" s="1"/>
  <c r="AD17" i="260" s="1"/>
  <c r="Q17" i="260"/>
  <c r="T17" i="260" s="1"/>
  <c r="W17" i="260" s="1"/>
  <c r="P17" i="260"/>
  <c r="O17" i="260"/>
  <c r="N17" i="260"/>
  <c r="AE16" i="260"/>
  <c r="AH16" i="260" s="1"/>
  <c r="AD16" i="260"/>
  <c r="AG16" i="260" s="1"/>
  <c r="W16" i="260"/>
  <c r="Z16" i="260" s="1"/>
  <c r="AC16" i="260" s="1"/>
  <c r="AF16" i="260" s="1"/>
  <c r="T16" i="260"/>
  <c r="Q16" i="260"/>
  <c r="P16" i="260"/>
  <c r="S16" i="260" s="1"/>
  <c r="V16" i="260" s="1"/>
  <c r="Y16" i="260" s="1"/>
  <c r="AB16" i="260" s="1"/>
  <c r="O16" i="260"/>
  <c r="R16" i="260" s="1"/>
  <c r="U16" i="260" s="1"/>
  <c r="X16" i="260" s="1"/>
  <c r="AA16" i="260" s="1"/>
  <c r="N16" i="260"/>
  <c r="AB15" i="260"/>
  <c r="AE15" i="260" s="1"/>
  <c r="AH15" i="260" s="1"/>
  <c r="Y15" i="260"/>
  <c r="V15" i="260"/>
  <c r="U15" i="260"/>
  <c r="X15" i="260" s="1"/>
  <c r="AA15" i="260" s="1"/>
  <c r="AD15" i="260" s="1"/>
  <c r="AG15" i="260" s="1"/>
  <c r="T15" i="260"/>
  <c r="W15" i="260" s="1"/>
  <c r="Z15" i="260" s="1"/>
  <c r="AC15" i="260" s="1"/>
  <c r="AF15" i="260" s="1"/>
  <c r="S15" i="260"/>
  <c r="R15" i="260"/>
  <c r="Q15" i="260"/>
  <c r="P15" i="260"/>
  <c r="O15" i="260"/>
  <c r="N15" i="260"/>
  <c r="Y14" i="260"/>
  <c r="AB14" i="260" s="1"/>
  <c r="AE14" i="260" s="1"/>
  <c r="AH14" i="260" s="1"/>
  <c r="X14" i="260"/>
  <c r="AA14" i="260" s="1"/>
  <c r="AD14" i="260" s="1"/>
  <c r="AG14" i="260" s="1"/>
  <c r="V14" i="260"/>
  <c r="S14" i="260"/>
  <c r="R14" i="260"/>
  <c r="U14" i="260" s="1"/>
  <c r="Q14" i="260"/>
  <c r="T14" i="260" s="1"/>
  <c r="W14" i="260" s="1"/>
  <c r="Z14" i="260" s="1"/>
  <c r="AC14" i="260" s="1"/>
  <c r="AF14" i="260" s="1"/>
  <c r="P14" i="260"/>
  <c r="O14" i="260"/>
  <c r="N14" i="260"/>
  <c r="AC13" i="260"/>
  <c r="AF13" i="260" s="1"/>
  <c r="V13" i="260"/>
  <c r="Y13" i="260" s="1"/>
  <c r="AB13" i="260" s="1"/>
  <c r="AE13" i="260" s="1"/>
  <c r="AH13" i="260" s="1"/>
  <c r="S13" i="260"/>
  <c r="P13" i="260"/>
  <c r="O13" i="260"/>
  <c r="R13" i="260" s="1"/>
  <c r="U13" i="260" s="1"/>
  <c r="X13" i="260" s="1"/>
  <c r="AA13" i="260" s="1"/>
  <c r="AD13" i="260" s="1"/>
  <c r="AG13" i="260" s="1"/>
  <c r="N13" i="260"/>
  <c r="Q13" i="260" s="1"/>
  <c r="T13" i="260" s="1"/>
  <c r="W13" i="260" s="1"/>
  <c r="Z13" i="260" s="1"/>
  <c r="AH12" i="260"/>
  <c r="Z12" i="260"/>
  <c r="AC12" i="260" s="1"/>
  <c r="AF12" i="260" s="1"/>
  <c r="T12" i="260"/>
  <c r="W12" i="260" s="1"/>
  <c r="S12" i="260"/>
  <c r="V12" i="260" s="1"/>
  <c r="Y12" i="260" s="1"/>
  <c r="AB12" i="260" s="1"/>
  <c r="AE12" i="260" s="1"/>
  <c r="R12" i="260"/>
  <c r="U12" i="260" s="1"/>
  <c r="X12" i="260" s="1"/>
  <c r="AA12" i="260" s="1"/>
  <c r="AD12" i="260" s="1"/>
  <c r="AG12" i="260" s="1"/>
  <c r="Q12" i="260"/>
  <c r="P12" i="260"/>
  <c r="O12" i="260"/>
  <c r="N12" i="260"/>
  <c r="X11" i="260"/>
  <c r="AA11" i="260" s="1"/>
  <c r="AD11" i="260" s="1"/>
  <c r="AG11" i="260" s="1"/>
  <c r="U11" i="260"/>
  <c r="R11" i="260"/>
  <c r="Q11" i="260"/>
  <c r="T11" i="260" s="1"/>
  <c r="W11" i="260" s="1"/>
  <c r="Z11" i="260" s="1"/>
  <c r="AC11" i="260" s="1"/>
  <c r="AF11" i="260" s="1"/>
  <c r="P11" i="260"/>
  <c r="S11" i="260" s="1"/>
  <c r="V11" i="260" s="1"/>
  <c r="Y11" i="260" s="1"/>
  <c r="AB11" i="260" s="1"/>
  <c r="AE11" i="260" s="1"/>
  <c r="AH11" i="260" s="1"/>
  <c r="O11" i="260"/>
  <c r="N11" i="260"/>
  <c r="AB10" i="260"/>
  <c r="AE10" i="260" s="1"/>
  <c r="AH10" i="260" s="1"/>
  <c r="V10" i="260"/>
  <c r="Y10" i="260" s="1"/>
  <c r="U10" i="260"/>
  <c r="X10" i="260" s="1"/>
  <c r="AA10" i="260" s="1"/>
  <c r="AD10" i="260" s="1"/>
  <c r="AG10" i="260" s="1"/>
  <c r="T10" i="260"/>
  <c r="W10" i="260" s="1"/>
  <c r="Z10" i="260" s="1"/>
  <c r="AC10" i="260" s="1"/>
  <c r="AF10" i="260" s="1"/>
  <c r="S10" i="260"/>
  <c r="R10" i="260"/>
  <c r="P10" i="260"/>
  <c r="O10" i="260"/>
  <c r="N10" i="260"/>
  <c r="Q10" i="260" s="1"/>
  <c r="Z9" i="260"/>
  <c r="AC9" i="260" s="1"/>
  <c r="AF9" i="260" s="1"/>
  <c r="Y9" i="260"/>
  <c r="AB9" i="260" s="1"/>
  <c r="AE9" i="260" s="1"/>
  <c r="AH9" i="260" s="1"/>
  <c r="W9" i="260"/>
  <c r="T9" i="260"/>
  <c r="S9" i="260"/>
  <c r="V9" i="260" s="1"/>
  <c r="R9" i="260"/>
  <c r="U9" i="260" s="1"/>
  <c r="X9" i="260" s="1"/>
  <c r="AA9" i="260" s="1"/>
  <c r="AD9" i="260" s="1"/>
  <c r="AG9" i="260" s="1"/>
  <c r="Q9" i="260"/>
  <c r="P9" i="260"/>
  <c r="O9" i="260"/>
  <c r="N9" i="260"/>
  <c r="J22" i="259"/>
  <c r="F22" i="259"/>
  <c r="E22" i="259"/>
  <c r="L20" i="259"/>
  <c r="L22" i="259" s="1"/>
  <c r="K20" i="259"/>
  <c r="K22" i="259" s="1"/>
  <c r="J20" i="259"/>
  <c r="G20" i="259"/>
  <c r="E20" i="259"/>
  <c r="D20" i="259"/>
  <c r="C20" i="259"/>
  <c r="I17" i="259"/>
  <c r="H17" i="259"/>
  <c r="I16" i="259"/>
  <c r="H16" i="259"/>
  <c r="H20" i="259" s="1"/>
  <c r="I15" i="259"/>
  <c r="I20" i="259" s="1"/>
  <c r="H15" i="259"/>
  <c r="G15" i="259"/>
  <c r="L12" i="259"/>
  <c r="K12" i="259"/>
  <c r="J12" i="259"/>
  <c r="F12" i="259"/>
  <c r="E12" i="259"/>
  <c r="D12" i="259"/>
  <c r="D22" i="259" s="1"/>
  <c r="C12" i="259"/>
  <c r="C22" i="259" s="1"/>
  <c r="A2" i="259"/>
  <c r="J64" i="258"/>
  <c r="I64" i="258"/>
  <c r="H64" i="258"/>
  <c r="G64" i="258"/>
  <c r="F64" i="258"/>
  <c r="E64" i="258"/>
  <c r="D64" i="258"/>
  <c r="C64" i="258"/>
  <c r="J63" i="258"/>
  <c r="J62" i="258"/>
  <c r="J61" i="258"/>
  <c r="J60" i="258"/>
  <c r="J57" i="258"/>
  <c r="I57" i="258"/>
  <c r="H57" i="258"/>
  <c r="G57" i="258"/>
  <c r="F57" i="258"/>
  <c r="E57" i="258"/>
  <c r="D57" i="258"/>
  <c r="C57" i="258"/>
  <c r="J56" i="258"/>
  <c r="J55" i="258"/>
  <c r="J54" i="258"/>
  <c r="J53" i="258"/>
  <c r="J50" i="258"/>
  <c r="I50" i="258"/>
  <c r="H50" i="258"/>
  <c r="G50" i="258"/>
  <c r="F50" i="258"/>
  <c r="E50" i="258"/>
  <c r="D50" i="258"/>
  <c r="C50" i="258"/>
  <c r="J49" i="258"/>
  <c r="J48" i="258"/>
  <c r="J47" i="258"/>
  <c r="J46" i="258"/>
  <c r="H43" i="258"/>
  <c r="G43" i="258"/>
  <c r="F43" i="258"/>
  <c r="E43" i="258"/>
  <c r="D43" i="258"/>
  <c r="C43" i="258"/>
  <c r="J42" i="258"/>
  <c r="J41" i="258"/>
  <c r="J40" i="258"/>
  <c r="H36" i="258"/>
  <c r="G36" i="258"/>
  <c r="F36" i="258"/>
  <c r="E36" i="258"/>
  <c r="D36" i="258"/>
  <c r="C36" i="258"/>
  <c r="J35" i="258"/>
  <c r="J34" i="258"/>
  <c r="J33" i="258"/>
  <c r="H29" i="258"/>
  <c r="G29" i="258"/>
  <c r="F29" i="258"/>
  <c r="E29" i="258"/>
  <c r="D29" i="258"/>
  <c r="C29" i="258"/>
  <c r="J28" i="258"/>
  <c r="J27" i="258"/>
  <c r="J26" i="258"/>
  <c r="J25" i="258"/>
  <c r="I29" i="258"/>
  <c r="J29" i="258" s="1"/>
  <c r="I22" i="258"/>
  <c r="J22" i="258" s="1"/>
  <c r="H22" i="258"/>
  <c r="G22" i="258"/>
  <c r="F22" i="258"/>
  <c r="E22" i="258"/>
  <c r="D22" i="258"/>
  <c r="C22" i="258"/>
  <c r="J21" i="258"/>
  <c r="I21" i="258"/>
  <c r="I20" i="258"/>
  <c r="J20" i="258" s="1"/>
  <c r="J19" i="258"/>
  <c r="I19" i="258"/>
  <c r="J18" i="258"/>
  <c r="I18" i="258"/>
  <c r="J17" i="258"/>
  <c r="I17" i="258"/>
  <c r="H14" i="258"/>
  <c r="G14" i="258"/>
  <c r="F14" i="258"/>
  <c r="E14" i="258"/>
  <c r="D14" i="258"/>
  <c r="C14" i="258"/>
  <c r="I13" i="258"/>
  <c r="J13" i="258" s="1"/>
  <c r="J12" i="258"/>
  <c r="I12" i="258"/>
  <c r="J11" i="258"/>
  <c r="I11" i="258"/>
  <c r="J10" i="258"/>
  <c r="I10" i="258"/>
  <c r="I9" i="258"/>
  <c r="J9" i="258" s="1"/>
  <c r="U249" i="257"/>
  <c r="T249" i="257"/>
  <c r="R249" i="257"/>
  <c r="P249" i="257"/>
  <c r="V248" i="257"/>
  <c r="N248" i="257"/>
  <c r="M237" i="257"/>
  <c r="AW236" i="257"/>
  <c r="AU236" i="257"/>
  <c r="AY236" i="257" s="1"/>
  <c r="AS236" i="257"/>
  <c r="AM236" i="257"/>
  <c r="AK236" i="257"/>
  <c r="AJ236" i="257"/>
  <c r="AI236" i="257"/>
  <c r="AH236" i="257"/>
  <c r="AN236" i="257" s="1"/>
  <c r="AD236" i="257"/>
  <c r="AB236" i="257"/>
  <c r="Z236" i="257"/>
  <c r="V236" i="257"/>
  <c r="AW235" i="257"/>
  <c r="AF235" i="257"/>
  <c r="AG235" i="257" s="1"/>
  <c r="AD235" i="257"/>
  <c r="AB235" i="257"/>
  <c r="Z235" i="257"/>
  <c r="AZ234" i="257"/>
  <c r="AY234" i="257"/>
  <c r="AW234" i="257"/>
  <c r="AV234" i="257"/>
  <c r="AU234" i="257"/>
  <c r="AS234" i="257"/>
  <c r="AR234" i="257"/>
  <c r="AT234" i="257" s="1"/>
  <c r="AD234" i="257"/>
  <c r="AB234" i="257"/>
  <c r="V234" i="257"/>
  <c r="AW233" i="257"/>
  <c r="AM233" i="257"/>
  <c r="AK233" i="257"/>
  <c r="AJ233" i="257"/>
  <c r="AI233" i="257"/>
  <c r="AH233" i="257"/>
  <c r="AN233" i="257" s="1"/>
  <c r="AD233" i="257"/>
  <c r="AB233" i="257"/>
  <c r="Z233" i="257"/>
  <c r="V233" i="257"/>
  <c r="AW232" i="257"/>
  <c r="AK232" i="257"/>
  <c r="AL232" i="257" s="1"/>
  <c r="AJ232" i="257"/>
  <c r="AI232" i="257"/>
  <c r="AH232" i="257"/>
  <c r="AF232" i="257"/>
  <c r="AG232" i="257" s="1"/>
  <c r="AD232" i="257"/>
  <c r="AB232" i="257"/>
  <c r="Z232" i="257"/>
  <c r="W232" i="257"/>
  <c r="V232" i="257"/>
  <c r="AW231" i="257"/>
  <c r="AM231" i="257"/>
  <c r="AL231" i="257"/>
  <c r="AK231" i="257"/>
  <c r="AP231" i="257" s="1"/>
  <c r="AQ231" i="257" s="1"/>
  <c r="AJ231" i="257"/>
  <c r="AI231" i="257"/>
  <c r="AH231" i="257"/>
  <c r="AN231" i="257" s="1"/>
  <c r="AD231" i="257"/>
  <c r="AB231" i="257"/>
  <c r="Z231" i="257"/>
  <c r="AF231" i="257"/>
  <c r="AG231" i="257" s="1"/>
  <c r="W231" i="257"/>
  <c r="V231" i="257"/>
  <c r="AW230" i="257"/>
  <c r="AN230" i="257"/>
  <c r="AM230" i="257"/>
  <c r="AK230" i="257"/>
  <c r="AI230" i="257"/>
  <c r="AH230" i="257"/>
  <c r="AF230" i="257"/>
  <c r="AG230" i="257" s="1"/>
  <c r="AD230" i="257"/>
  <c r="AB230" i="257"/>
  <c r="Z230" i="257"/>
  <c r="V230" i="257"/>
  <c r="AW229" i="257"/>
  <c r="AN229" i="257"/>
  <c r="AM229" i="257"/>
  <c r="AK229" i="257"/>
  <c r="AJ229" i="257"/>
  <c r="AI229" i="257"/>
  <c r="AH229" i="257"/>
  <c r="AF229" i="257"/>
  <c r="AG229" i="257" s="1"/>
  <c r="AD229" i="257"/>
  <c r="AB229" i="257"/>
  <c r="Z229" i="257"/>
  <c r="W229" i="257"/>
  <c r="V229" i="257"/>
  <c r="AW228" i="257"/>
  <c r="AM228" i="257"/>
  <c r="AL228" i="257"/>
  <c r="AK228" i="257"/>
  <c r="AJ228" i="257"/>
  <c r="AI228" i="257"/>
  <c r="AH228" i="257"/>
  <c r="AD228" i="257"/>
  <c r="AF228" i="257"/>
  <c r="AG228" i="257" s="1"/>
  <c r="W228" i="257"/>
  <c r="V228" i="257"/>
  <c r="AW227" i="257"/>
  <c r="AQ227" i="257"/>
  <c r="AM227" i="257"/>
  <c r="AL227" i="257"/>
  <c r="AK227" i="257"/>
  <c r="AP227" i="257" s="1"/>
  <c r="AI227" i="257"/>
  <c r="AH227" i="257"/>
  <c r="AJ227" i="257" s="1"/>
  <c r="AD227" i="257"/>
  <c r="Z227" i="257"/>
  <c r="W227" i="257"/>
  <c r="V227" i="257"/>
  <c r="AW226" i="257"/>
  <c r="AD226" i="257"/>
  <c r="V226" i="257"/>
  <c r="W226" i="257" s="1"/>
  <c r="AW225" i="257"/>
  <c r="AV225" i="257"/>
  <c r="AU225" i="257"/>
  <c r="AT225" i="257"/>
  <c r="AS225" i="257"/>
  <c r="AY225" i="257" s="1"/>
  <c r="AZ225" i="257" s="1"/>
  <c r="AR225" i="257"/>
  <c r="AM225" i="257"/>
  <c r="AN225" i="257" s="1"/>
  <c r="AK225" i="257"/>
  <c r="AP225" i="257" s="1"/>
  <c r="AQ225" i="257" s="1"/>
  <c r="AI225" i="257"/>
  <c r="AJ225" i="257" s="1"/>
  <c r="AH225" i="257"/>
  <c r="AD225" i="257"/>
  <c r="AB225" i="257"/>
  <c r="Z225" i="257"/>
  <c r="V225" i="257"/>
  <c r="W225" i="257" s="1"/>
  <c r="AW224" i="257"/>
  <c r="AU224" i="257"/>
  <c r="AY224" i="257" s="1"/>
  <c r="AZ224" i="257" s="1"/>
  <c r="AS224" i="257"/>
  <c r="AR224" i="257"/>
  <c r="AT224" i="257" s="1"/>
  <c r="AM224" i="257"/>
  <c r="AN224" i="257" s="1"/>
  <c r="AL224" i="257"/>
  <c r="AK224" i="257"/>
  <c r="AI224" i="257"/>
  <c r="AH224" i="257"/>
  <c r="AD224" i="257"/>
  <c r="Z224" i="257"/>
  <c r="AF224" i="257"/>
  <c r="AG224" i="257" s="1"/>
  <c r="AB224" i="257"/>
  <c r="V224" i="257"/>
  <c r="W224" i="257" s="1"/>
  <c r="AW223" i="257"/>
  <c r="AD223" i="257"/>
  <c r="AB223" i="257"/>
  <c r="Z223" i="257"/>
  <c r="AF222" i="257"/>
  <c r="AW219" i="257"/>
  <c r="AU219" i="257"/>
  <c r="AS219" i="257"/>
  <c r="AT219" i="257" s="1"/>
  <c r="AR219" i="257"/>
  <c r="AP219" i="257"/>
  <c r="AQ219" i="257" s="1"/>
  <c r="AM219" i="257"/>
  <c r="AL219" i="257"/>
  <c r="AK219" i="257"/>
  <c r="AK220" i="257" s="1"/>
  <c r="AI219" i="257"/>
  <c r="AI220" i="257" s="1"/>
  <c r="AH219" i="257"/>
  <c r="AJ219" i="257" s="1"/>
  <c r="AD219" i="257"/>
  <c r="AA220" i="257"/>
  <c r="X220" i="257"/>
  <c r="AW218" i="257"/>
  <c r="AU218" i="257"/>
  <c r="AV218" i="257" s="1"/>
  <c r="AS218" i="257"/>
  <c r="AT218" i="257" s="1"/>
  <c r="AR218" i="257"/>
  <c r="AN218" i="257"/>
  <c r="AM218" i="257"/>
  <c r="AL218" i="257"/>
  <c r="AK218" i="257"/>
  <c r="AP218" i="257" s="1"/>
  <c r="AQ218" i="257" s="1"/>
  <c r="AI218" i="257"/>
  <c r="AJ218" i="257" s="1"/>
  <c r="AH218" i="257"/>
  <c r="AF218" i="257"/>
  <c r="AG218" i="257" s="1"/>
  <c r="AD218" i="257"/>
  <c r="AB218" i="257"/>
  <c r="Z218" i="257"/>
  <c r="AW217" i="257"/>
  <c r="AU217" i="257"/>
  <c r="AV217" i="257" s="1"/>
  <c r="AT217" i="257"/>
  <c r="AS217" i="257"/>
  <c r="AR217" i="257"/>
  <c r="AM217" i="257"/>
  <c r="AK217" i="257"/>
  <c r="AL217" i="257" s="1"/>
  <c r="AI217" i="257"/>
  <c r="AH217" i="257"/>
  <c r="AD217" i="257"/>
  <c r="AB217" i="257"/>
  <c r="AW216" i="257"/>
  <c r="AV216" i="257"/>
  <c r="AU216" i="257"/>
  <c r="AS216" i="257"/>
  <c r="AR216" i="257"/>
  <c r="AM216" i="257"/>
  <c r="AN216" i="257" s="1"/>
  <c r="AK216" i="257"/>
  <c r="AJ216" i="257"/>
  <c r="AI216" i="257"/>
  <c r="AP216" i="257" s="1"/>
  <c r="AQ216" i="257" s="1"/>
  <c r="AH216" i="257"/>
  <c r="AL216" i="257" s="1"/>
  <c r="AD216" i="257"/>
  <c r="AB216" i="257"/>
  <c r="AF216" i="257"/>
  <c r="AG216" i="257" s="1"/>
  <c r="AW215" i="257"/>
  <c r="AL215" i="257"/>
  <c r="AK215" i="257"/>
  <c r="AJ215" i="257"/>
  <c r="AI215" i="257"/>
  <c r="AH215" i="257"/>
  <c r="AD215" i="257"/>
  <c r="AB215" i="257"/>
  <c r="Z215" i="257"/>
  <c r="AW214" i="257"/>
  <c r="AU214" i="257"/>
  <c r="AV214" i="257" s="1"/>
  <c r="AS214" i="257"/>
  <c r="AT214" i="257" s="1"/>
  <c r="AR214" i="257"/>
  <c r="AN214" i="257"/>
  <c r="AM214" i="257"/>
  <c r="AL214" i="257"/>
  <c r="AK214" i="257"/>
  <c r="AP214" i="257" s="1"/>
  <c r="AQ214" i="257" s="1"/>
  <c r="AI214" i="257"/>
  <c r="AJ214" i="257" s="1"/>
  <c r="AH214" i="257"/>
  <c r="AF214" i="257"/>
  <c r="AG214" i="257" s="1"/>
  <c r="AD214" i="257"/>
  <c r="AB214" i="257"/>
  <c r="Z214" i="257"/>
  <c r="AW211" i="257"/>
  <c r="AU211" i="257"/>
  <c r="AV211" i="257" s="1"/>
  <c r="AT211" i="257"/>
  <c r="AS211" i="257"/>
  <c r="AR211" i="257"/>
  <c r="AD211" i="257"/>
  <c r="AB211" i="257"/>
  <c r="W211" i="257"/>
  <c r="V211" i="257"/>
  <c r="R211" i="257"/>
  <c r="P211" i="257"/>
  <c r="AW210" i="257"/>
  <c r="AU210" i="257"/>
  <c r="AV210" i="257" s="1"/>
  <c r="AS210" i="257"/>
  <c r="AT210" i="257" s="1"/>
  <c r="AR210" i="257"/>
  <c r="AF210" i="257"/>
  <c r="AG210" i="257" s="1"/>
  <c r="AD210" i="257"/>
  <c r="AB210" i="257"/>
  <c r="Z210" i="257"/>
  <c r="W210" i="257"/>
  <c r="V210" i="257"/>
  <c r="R210" i="257"/>
  <c r="P210" i="257"/>
  <c r="AW208" i="257"/>
  <c r="AD208" i="257"/>
  <c r="AB208" i="257"/>
  <c r="Z208" i="257"/>
  <c r="AX205" i="257"/>
  <c r="Q205" i="257"/>
  <c r="O205" i="257"/>
  <c r="N205" i="257"/>
  <c r="AW204" i="257"/>
  <c r="AD204" i="257"/>
  <c r="Z204" i="257"/>
  <c r="AF204" i="257"/>
  <c r="AG204" i="257" s="1"/>
  <c r="AB204" i="257"/>
  <c r="AW203" i="257"/>
  <c r="AF203" i="257"/>
  <c r="AG203" i="257" s="1"/>
  <c r="AB203" i="257"/>
  <c r="Z203" i="257"/>
  <c r="AD203" i="257"/>
  <c r="AW202" i="257"/>
  <c r="AD202" i="257"/>
  <c r="AB202" i="257"/>
  <c r="Z202" i="257"/>
  <c r="AW201" i="257"/>
  <c r="AW200" i="257"/>
  <c r="AD200" i="257"/>
  <c r="AW199" i="257"/>
  <c r="AN199" i="257"/>
  <c r="AM199" i="257"/>
  <c r="AL199" i="257"/>
  <c r="AK199" i="257"/>
  <c r="AI199" i="257"/>
  <c r="AJ199" i="257" s="1"/>
  <c r="AH199" i="257"/>
  <c r="AF199" i="257"/>
  <c r="AG199" i="257" s="1"/>
  <c r="AD199" i="257"/>
  <c r="AB199" i="257"/>
  <c r="Z199" i="257"/>
  <c r="AY198" i="257"/>
  <c r="AZ198" i="257" s="1"/>
  <c r="AW198" i="257"/>
  <c r="AU198" i="257"/>
  <c r="AV198" i="257" s="1"/>
  <c r="AT198" i="257"/>
  <c r="AS198" i="257"/>
  <c r="AR198" i="257"/>
  <c r="AN198" i="257"/>
  <c r="AM198" i="257"/>
  <c r="AL198" i="257"/>
  <c r="AK198" i="257"/>
  <c r="AP198" i="257" s="1"/>
  <c r="AQ198" i="257" s="1"/>
  <c r="AI198" i="257"/>
  <c r="AH198" i="257"/>
  <c r="AJ198" i="257" s="1"/>
  <c r="AB198" i="257"/>
  <c r="AF198" i="257"/>
  <c r="AG198" i="257" s="1"/>
  <c r="AW197" i="257"/>
  <c r="AW205" i="257" s="1"/>
  <c r="AF197" i="257"/>
  <c r="AD197" i="257"/>
  <c r="Z197" i="257"/>
  <c r="Y205" i="257"/>
  <c r="V197" i="257"/>
  <c r="V205" i="257" s="1"/>
  <c r="W205" i="257" s="1"/>
  <c r="R197" i="257"/>
  <c r="P197" i="257"/>
  <c r="AX194" i="257"/>
  <c r="V194" i="257"/>
  <c r="W194" i="257" s="1"/>
  <c r="R194" i="257"/>
  <c r="P194" i="257"/>
  <c r="AW193" i="257"/>
  <c r="AU193" i="257"/>
  <c r="AV193" i="257" s="1"/>
  <c r="AS193" i="257"/>
  <c r="AT193" i="257" s="1"/>
  <c r="AR193" i="257"/>
  <c r="AF193" i="257"/>
  <c r="AG193" i="257" s="1"/>
  <c r="AB193" i="257"/>
  <c r="Z193" i="257"/>
  <c r="AW192" i="257"/>
  <c r="AU192" i="257"/>
  <c r="AV192" i="257" s="1"/>
  <c r="AT192" i="257"/>
  <c r="AS192" i="257"/>
  <c r="AR192" i="257"/>
  <c r="AM192" i="257"/>
  <c r="AN192" i="257" s="1"/>
  <c r="AK192" i="257"/>
  <c r="AL192" i="257" s="1"/>
  <c r="AI192" i="257"/>
  <c r="AH192" i="257"/>
  <c r="AJ192" i="257" s="1"/>
  <c r="AD192" i="257"/>
  <c r="AB192" i="257"/>
  <c r="Z192" i="257"/>
  <c r="AW191" i="257"/>
  <c r="AD191" i="257"/>
  <c r="AB191" i="257"/>
  <c r="Z191" i="257"/>
  <c r="AW190" i="257"/>
  <c r="AD190" i="257"/>
  <c r="AB190" i="257"/>
  <c r="AW189" i="257"/>
  <c r="AB189" i="257"/>
  <c r="Z189" i="257"/>
  <c r="AW188" i="257"/>
  <c r="AN188" i="257"/>
  <c r="AM188" i="257"/>
  <c r="AK188" i="257"/>
  <c r="AL188" i="257" s="1"/>
  <c r="AI188" i="257"/>
  <c r="AJ188" i="257" s="1"/>
  <c r="AH188" i="257"/>
  <c r="AF188" i="257"/>
  <c r="AG188" i="257" s="1"/>
  <c r="AD188" i="257"/>
  <c r="AB188" i="257"/>
  <c r="Z188" i="257"/>
  <c r="AW187" i="257"/>
  <c r="AA194" i="257"/>
  <c r="AB194" i="257" s="1"/>
  <c r="X194" i="257"/>
  <c r="AN186" i="257"/>
  <c r="AD186" i="257"/>
  <c r="AW185" i="257"/>
  <c r="AU185" i="257"/>
  <c r="AV185" i="257" s="1"/>
  <c r="AT185" i="257"/>
  <c r="AS185" i="257"/>
  <c r="AY185" i="257" s="1"/>
  <c r="AZ185" i="257" s="1"/>
  <c r="AR185" i="257"/>
  <c r="AD185" i="257"/>
  <c r="AE183" i="257"/>
  <c r="AE237" i="257" s="1"/>
  <c r="AC183" i="257"/>
  <c r="AD183" i="257" s="1"/>
  <c r="X183" i="257"/>
  <c r="V183" i="257"/>
  <c r="W183" i="257" s="1"/>
  <c r="T183" i="257"/>
  <c r="R183" i="257"/>
  <c r="P183" i="257"/>
  <c r="AW182" i="257"/>
  <c r="AD182" i="257"/>
  <c r="AB182" i="257"/>
  <c r="Z182" i="257"/>
  <c r="AW181" i="257"/>
  <c r="AW183" i="257" s="1"/>
  <c r="AD181" i="257"/>
  <c r="AA183" i="257"/>
  <c r="Y183" i="257"/>
  <c r="AW178" i="257"/>
  <c r="AG178" i="257"/>
  <c r="AF178" i="257"/>
  <c r="AD178" i="257"/>
  <c r="AB178" i="257"/>
  <c r="Z178" i="257"/>
  <c r="AW177" i="257"/>
  <c r="AD177" i="257"/>
  <c r="AB177" i="257"/>
  <c r="AF177" i="257"/>
  <c r="AG177" i="257" s="1"/>
  <c r="W177" i="257"/>
  <c r="V177" i="257"/>
  <c r="T177" i="257"/>
  <c r="R177" i="257"/>
  <c r="P177" i="257"/>
  <c r="S170" i="257"/>
  <c r="Q170" i="257"/>
  <c r="O170" i="257"/>
  <c r="N170" i="257"/>
  <c r="AW169" i="257"/>
  <c r="AB169" i="257"/>
  <c r="Z169" i="257"/>
  <c r="AD169" i="257"/>
  <c r="AW168" i="257"/>
  <c r="AU168" i="257"/>
  <c r="AV168" i="257" s="1"/>
  <c r="AT168" i="257"/>
  <c r="AS168" i="257"/>
  <c r="AY168" i="257" s="1"/>
  <c r="AZ168" i="257" s="1"/>
  <c r="AR168" i="257"/>
  <c r="AM168" i="257"/>
  <c r="AN168" i="257" s="1"/>
  <c r="AL168" i="257"/>
  <c r="AK168" i="257"/>
  <c r="AP168" i="257" s="1"/>
  <c r="AQ168" i="257" s="1"/>
  <c r="AI168" i="257"/>
  <c r="AJ168" i="257" s="1"/>
  <c r="AH168" i="257"/>
  <c r="AD168" i="257"/>
  <c r="AB168" i="257"/>
  <c r="Z168" i="257"/>
  <c r="AF168" i="257"/>
  <c r="AG168" i="257" s="1"/>
  <c r="AW167" i="257"/>
  <c r="AM167" i="257"/>
  <c r="AN167" i="257" s="1"/>
  <c r="AK167" i="257"/>
  <c r="AL167" i="257" s="1"/>
  <c r="AI167" i="257"/>
  <c r="AJ167" i="257" s="1"/>
  <c r="AH167" i="257"/>
  <c r="AF167" i="257"/>
  <c r="AG167" i="257" s="1"/>
  <c r="AD167" i="257"/>
  <c r="AB167" i="257"/>
  <c r="Z167" i="257"/>
  <c r="AW166" i="257"/>
  <c r="AD166" i="257"/>
  <c r="AB166" i="257"/>
  <c r="AW165" i="257"/>
  <c r="AB165" i="257"/>
  <c r="Z165" i="257"/>
  <c r="AD165" i="257"/>
  <c r="V165" i="257"/>
  <c r="W165" i="257" s="1"/>
  <c r="T165" i="257"/>
  <c r="R165" i="257"/>
  <c r="P165" i="257"/>
  <c r="AW164" i="257"/>
  <c r="AF164" i="257"/>
  <c r="AG164" i="257" s="1"/>
  <c r="W164" i="257"/>
  <c r="V164" i="257"/>
  <c r="T164" i="257"/>
  <c r="R164" i="257"/>
  <c r="P164" i="257"/>
  <c r="AW163" i="257"/>
  <c r="V163" i="257"/>
  <c r="W163" i="257" s="1"/>
  <c r="T163" i="257"/>
  <c r="R163" i="257"/>
  <c r="P163" i="257"/>
  <c r="AW162" i="257"/>
  <c r="AG162" i="257"/>
  <c r="AD162" i="257"/>
  <c r="AF162" i="257"/>
  <c r="V162" i="257"/>
  <c r="W162" i="257" s="1"/>
  <c r="T162" i="257"/>
  <c r="R162" i="257"/>
  <c r="P162" i="257"/>
  <c r="AW161" i="257"/>
  <c r="AB161" i="257"/>
  <c r="Z161" i="257"/>
  <c r="V161" i="257"/>
  <c r="W161" i="257" s="1"/>
  <c r="T161" i="257"/>
  <c r="R161" i="257"/>
  <c r="P161" i="257"/>
  <c r="AW160" i="257"/>
  <c r="AD160" i="257"/>
  <c r="AB160" i="257"/>
  <c r="Z160" i="257"/>
  <c r="V160" i="257"/>
  <c r="W160" i="257" s="1"/>
  <c r="T160" i="257"/>
  <c r="R160" i="257"/>
  <c r="P160" i="257"/>
  <c r="AW159" i="257"/>
  <c r="AB159" i="257"/>
  <c r="W159" i="257"/>
  <c r="V159" i="257"/>
  <c r="T159" i="257"/>
  <c r="R159" i="257"/>
  <c r="P159" i="257"/>
  <c r="AW158" i="257"/>
  <c r="AD158" i="257"/>
  <c r="AB158" i="257"/>
  <c r="W158" i="257"/>
  <c r="V158" i="257"/>
  <c r="T158" i="257"/>
  <c r="R158" i="257"/>
  <c r="P158" i="257"/>
  <c r="AW157" i="257"/>
  <c r="Z157" i="257"/>
  <c r="V157" i="257"/>
  <c r="W157" i="257" s="1"/>
  <c r="T157" i="257"/>
  <c r="R157" i="257"/>
  <c r="P157" i="257"/>
  <c r="AW156" i="257"/>
  <c r="AF156" i="257"/>
  <c r="AG156" i="257" s="1"/>
  <c r="AD156" i="257"/>
  <c r="Z156" i="257"/>
  <c r="AB156" i="257"/>
  <c r="W156" i="257"/>
  <c r="V156" i="257"/>
  <c r="T156" i="257"/>
  <c r="R156" i="257"/>
  <c r="P156" i="257"/>
  <c r="AW155" i="257"/>
  <c r="AF155" i="257"/>
  <c r="AG155" i="257" s="1"/>
  <c r="AD155" i="257"/>
  <c r="AB155" i="257"/>
  <c r="V155" i="257"/>
  <c r="W155" i="257" s="1"/>
  <c r="T155" i="257"/>
  <c r="R155" i="257"/>
  <c r="P155" i="257"/>
  <c r="AW154" i="257"/>
  <c r="AB154" i="257"/>
  <c r="Z154" i="257"/>
  <c r="V154" i="257"/>
  <c r="W154" i="257" s="1"/>
  <c r="T154" i="257"/>
  <c r="R154" i="257"/>
  <c r="P154" i="257"/>
  <c r="AW153" i="257"/>
  <c r="AD153" i="257"/>
  <c r="AB153" i="257"/>
  <c r="Z153" i="257"/>
  <c r="AF153" i="257"/>
  <c r="AG153" i="257" s="1"/>
  <c r="V153" i="257"/>
  <c r="W153" i="257" s="1"/>
  <c r="T153" i="257"/>
  <c r="R153" i="257"/>
  <c r="P153" i="257"/>
  <c r="AW152" i="257"/>
  <c r="AD152" i="257"/>
  <c r="AB152" i="257"/>
  <c r="W152" i="257"/>
  <c r="V152" i="257"/>
  <c r="T152" i="257"/>
  <c r="R152" i="257"/>
  <c r="P152" i="257"/>
  <c r="AW151" i="257"/>
  <c r="Z151" i="257"/>
  <c r="W151" i="257"/>
  <c r="V151" i="257"/>
  <c r="T151" i="257"/>
  <c r="R151" i="257"/>
  <c r="P151" i="257"/>
  <c r="AW149" i="257"/>
  <c r="AD149" i="257"/>
  <c r="AB149" i="257"/>
  <c r="AW148" i="257"/>
  <c r="AD148" i="257"/>
  <c r="AB148" i="257"/>
  <c r="AF148" i="257"/>
  <c r="AG148" i="257" s="1"/>
  <c r="W148" i="257"/>
  <c r="V148" i="257"/>
  <c r="T148" i="257"/>
  <c r="R148" i="257"/>
  <c r="P148" i="257"/>
  <c r="AW147" i="257"/>
  <c r="Z147" i="257"/>
  <c r="AD147" i="257"/>
  <c r="W147" i="257"/>
  <c r="V147" i="257"/>
  <c r="T147" i="257"/>
  <c r="R147" i="257"/>
  <c r="P147" i="257"/>
  <c r="AW146" i="257"/>
  <c r="AD146" i="257"/>
  <c r="AB146" i="257"/>
  <c r="Z146" i="257"/>
  <c r="AF146" i="257"/>
  <c r="AG146" i="257" s="1"/>
  <c r="W146" i="257"/>
  <c r="V146" i="257"/>
  <c r="T146" i="257"/>
  <c r="R146" i="257"/>
  <c r="P146" i="257"/>
  <c r="AW145" i="257"/>
  <c r="AF145" i="257"/>
  <c r="AG145" i="257" s="1"/>
  <c r="AD145" i="257"/>
  <c r="V145" i="257"/>
  <c r="W145" i="257" s="1"/>
  <c r="T145" i="257"/>
  <c r="R145" i="257"/>
  <c r="P145" i="257"/>
  <c r="AW144" i="257"/>
  <c r="AB144" i="257"/>
  <c r="AF144" i="257"/>
  <c r="AG144" i="257" s="1"/>
  <c r="W144" i="257"/>
  <c r="V144" i="257"/>
  <c r="T144" i="257"/>
  <c r="R144" i="257"/>
  <c r="P144" i="257"/>
  <c r="AW143" i="257"/>
  <c r="AF143" i="257"/>
  <c r="AG143" i="257" s="1"/>
  <c r="AD143" i="257"/>
  <c r="AB143" i="257"/>
  <c r="Z143" i="257"/>
  <c r="V143" i="257"/>
  <c r="W143" i="257" s="1"/>
  <c r="T143" i="257"/>
  <c r="R143" i="257"/>
  <c r="P143" i="257"/>
  <c r="AW139" i="257"/>
  <c r="AF139" i="257"/>
  <c r="AG139" i="257" s="1"/>
  <c r="AB139" i="257"/>
  <c r="Z139" i="257"/>
  <c r="V139" i="257"/>
  <c r="W139" i="257" s="1"/>
  <c r="T139" i="257"/>
  <c r="R139" i="257"/>
  <c r="P139" i="257"/>
  <c r="AX136" i="257"/>
  <c r="AW136" i="257"/>
  <c r="AO136" i="257"/>
  <c r="AA136" i="257"/>
  <c r="S136" i="257"/>
  <c r="Q136" i="257"/>
  <c r="O136" i="257"/>
  <c r="N136" i="257"/>
  <c r="AW135" i="257"/>
  <c r="AB135" i="257"/>
  <c r="Z135" i="257"/>
  <c r="W135" i="257"/>
  <c r="V135" i="257"/>
  <c r="T135" i="257"/>
  <c r="R135" i="257"/>
  <c r="P135" i="257"/>
  <c r="AW134" i="257"/>
  <c r="AD134" i="257"/>
  <c r="Y136" i="257"/>
  <c r="AB134" i="257"/>
  <c r="V134" i="257"/>
  <c r="V136" i="257" s="1"/>
  <c r="W136" i="257" s="1"/>
  <c r="T134" i="257"/>
  <c r="R134" i="257"/>
  <c r="P134" i="257"/>
  <c r="AX131" i="257"/>
  <c r="AO131" i="257"/>
  <c r="S131" i="257"/>
  <c r="Q131" i="257"/>
  <c r="O131" i="257"/>
  <c r="N131" i="257"/>
  <c r="AW130" i="257"/>
  <c r="AB130" i="257"/>
  <c r="AF130" i="257"/>
  <c r="AG130" i="257" s="1"/>
  <c r="W130" i="257"/>
  <c r="V130" i="257"/>
  <c r="T130" i="257"/>
  <c r="R130" i="257"/>
  <c r="P130" i="257"/>
  <c r="AW129" i="257"/>
  <c r="AU129" i="257"/>
  <c r="AS129" i="257"/>
  <c r="AY129" i="257" s="1"/>
  <c r="AZ129" i="257" s="1"/>
  <c r="AR129" i="257"/>
  <c r="AV129" i="257" s="1"/>
  <c r="AN129" i="257"/>
  <c r="AM129" i="257"/>
  <c r="AK129" i="257"/>
  <c r="AI129" i="257"/>
  <c r="AJ129" i="257" s="1"/>
  <c r="AH129" i="257"/>
  <c r="AD129" i="257"/>
  <c r="AB129" i="257"/>
  <c r="AF129" i="257"/>
  <c r="AG129" i="257" s="1"/>
  <c r="AW128" i="257"/>
  <c r="AU128" i="257"/>
  <c r="AD128" i="257"/>
  <c r="AB128" i="257"/>
  <c r="AF128" i="257"/>
  <c r="AG128" i="257" s="1"/>
  <c r="V128" i="257"/>
  <c r="W128" i="257" s="1"/>
  <c r="T128" i="257"/>
  <c r="R128" i="257"/>
  <c r="P128" i="257"/>
  <c r="AW127" i="257"/>
  <c r="AF127" i="257"/>
  <c r="AG127" i="257" s="1"/>
  <c r="AB127" i="257"/>
  <c r="Z127" i="257"/>
  <c r="V127" i="257"/>
  <c r="W127" i="257" s="1"/>
  <c r="T127" i="257"/>
  <c r="R127" i="257"/>
  <c r="P127" i="257"/>
  <c r="AW126" i="257"/>
  <c r="AD126" i="257"/>
  <c r="AB126" i="257"/>
  <c r="Z126" i="257"/>
  <c r="V126" i="257"/>
  <c r="W126" i="257" s="1"/>
  <c r="T126" i="257"/>
  <c r="R126" i="257"/>
  <c r="P126" i="257"/>
  <c r="AW125" i="257"/>
  <c r="AW131" i="257" s="1"/>
  <c r="AC131" i="257"/>
  <c r="AA131" i="257"/>
  <c r="AF125" i="257"/>
  <c r="X131" i="257"/>
  <c r="V125" i="257"/>
  <c r="V131" i="257" s="1"/>
  <c r="T125" i="257"/>
  <c r="R125" i="257"/>
  <c r="P125" i="257"/>
  <c r="AX121" i="257"/>
  <c r="AW121" i="257"/>
  <c r="AO121" i="257"/>
  <c r="S121" i="257"/>
  <c r="Q121" i="257"/>
  <c r="O121" i="257"/>
  <c r="N121" i="257"/>
  <c r="AW120" i="257"/>
  <c r="AD120" i="257"/>
  <c r="AB120" i="257"/>
  <c r="Z120" i="257"/>
  <c r="V120" i="257"/>
  <c r="W120" i="257" s="1"/>
  <c r="T120" i="257"/>
  <c r="R120" i="257"/>
  <c r="P120" i="257"/>
  <c r="AW119" i="257"/>
  <c r="AF119" i="257"/>
  <c r="AG119" i="257" s="1"/>
  <c r="AB119" i="257"/>
  <c r="Z119" i="257"/>
  <c r="W119" i="257"/>
  <c r="V119" i="257"/>
  <c r="T119" i="257"/>
  <c r="R119" i="257"/>
  <c r="P119" i="257"/>
  <c r="AW118" i="257"/>
  <c r="AD118" i="257"/>
  <c r="AB118" i="257"/>
  <c r="Z118" i="257"/>
  <c r="AF118" i="257"/>
  <c r="AG118" i="257" s="1"/>
  <c r="V118" i="257"/>
  <c r="W118" i="257" s="1"/>
  <c r="T118" i="257"/>
  <c r="R118" i="257"/>
  <c r="P118" i="257"/>
  <c r="AW117" i="257"/>
  <c r="AC121" i="257"/>
  <c r="AA121" i="257"/>
  <c r="X121" i="257"/>
  <c r="V117" i="257"/>
  <c r="W117" i="257" s="1"/>
  <c r="T117" i="257"/>
  <c r="R117" i="257"/>
  <c r="P117" i="257"/>
  <c r="AX114" i="257"/>
  <c r="AO114" i="257"/>
  <c r="S114" i="257"/>
  <c r="Q114" i="257"/>
  <c r="O114" i="257"/>
  <c r="N114" i="257"/>
  <c r="AW113" i="257"/>
  <c r="AV113" i="257"/>
  <c r="AU113" i="257"/>
  <c r="AT113" i="257"/>
  <c r="AS113" i="257"/>
  <c r="AY113" i="257" s="1"/>
  <c r="AZ113" i="257" s="1"/>
  <c r="AR113" i="257"/>
  <c r="AD113" i="257"/>
  <c r="AB113" i="257"/>
  <c r="AF113" i="257"/>
  <c r="AG113" i="257" s="1"/>
  <c r="Z113" i="257"/>
  <c r="V113" i="257"/>
  <c r="W113" i="257" s="1"/>
  <c r="T113" i="257"/>
  <c r="R113" i="257"/>
  <c r="P113" i="257"/>
  <c r="AW112" i="257"/>
  <c r="AD112" i="257"/>
  <c r="Z112" i="257"/>
  <c r="V112" i="257"/>
  <c r="W112" i="257" s="1"/>
  <c r="T112" i="257"/>
  <c r="R112" i="257"/>
  <c r="P112" i="257"/>
  <c r="AW111" i="257"/>
  <c r="AD111" i="257"/>
  <c r="AB111" i="257"/>
  <c r="Z111" i="257"/>
  <c r="AF111" i="257"/>
  <c r="AG111" i="257" s="1"/>
  <c r="V111" i="257"/>
  <c r="W111" i="257" s="1"/>
  <c r="T111" i="257"/>
  <c r="R111" i="257"/>
  <c r="P111" i="257"/>
  <c r="AW110" i="257"/>
  <c r="AD110" i="257"/>
  <c r="AB110" i="257"/>
  <c r="V110" i="257"/>
  <c r="W110" i="257" s="1"/>
  <c r="T110" i="257"/>
  <c r="R110" i="257"/>
  <c r="P110" i="257"/>
  <c r="AW109" i="257"/>
  <c r="AF109" i="257"/>
  <c r="Z109" i="257"/>
  <c r="W109" i="257"/>
  <c r="V109" i="257"/>
  <c r="T109" i="257"/>
  <c r="R109" i="257"/>
  <c r="P109" i="257"/>
  <c r="AW108" i="257"/>
  <c r="AF108" i="257"/>
  <c r="AG108" i="257" s="1"/>
  <c r="AD108" i="257"/>
  <c r="AB108" i="257"/>
  <c r="Z108" i="257"/>
  <c r="W108" i="257"/>
  <c r="V108" i="257"/>
  <c r="T108" i="257"/>
  <c r="R108" i="257"/>
  <c r="P108" i="257"/>
  <c r="AW107" i="257"/>
  <c r="AD107" i="257"/>
  <c r="AB107" i="257"/>
  <c r="Z107" i="257"/>
  <c r="V107" i="257"/>
  <c r="W107" i="257" s="1"/>
  <c r="T107" i="257"/>
  <c r="R107" i="257"/>
  <c r="P107" i="257"/>
  <c r="AW106" i="257"/>
  <c r="AD106" i="257"/>
  <c r="AB106" i="257"/>
  <c r="Z106" i="257"/>
  <c r="W106" i="257"/>
  <c r="V106" i="257"/>
  <c r="T106" i="257"/>
  <c r="R106" i="257"/>
  <c r="P106" i="257"/>
  <c r="AW105" i="257"/>
  <c r="AD105" i="257"/>
  <c r="AF105" i="257"/>
  <c r="AG105" i="257" s="1"/>
  <c r="Z105" i="257"/>
  <c r="V105" i="257"/>
  <c r="W105" i="257" s="1"/>
  <c r="T105" i="257"/>
  <c r="R105" i="257"/>
  <c r="P105" i="257"/>
  <c r="AW104" i="257"/>
  <c r="AD104" i="257"/>
  <c r="Z104" i="257"/>
  <c r="V104" i="257"/>
  <c r="W104" i="257" s="1"/>
  <c r="T104" i="257"/>
  <c r="R104" i="257"/>
  <c r="P104" i="257"/>
  <c r="AW103" i="257"/>
  <c r="AD103" i="257"/>
  <c r="AB103" i="257"/>
  <c r="V103" i="257"/>
  <c r="W103" i="257" s="1"/>
  <c r="T103" i="257"/>
  <c r="R103" i="257"/>
  <c r="P103" i="257"/>
  <c r="AW102" i="257"/>
  <c r="AD102" i="257"/>
  <c r="AB102" i="257"/>
  <c r="W102" i="257"/>
  <c r="V102" i="257"/>
  <c r="T102" i="257"/>
  <c r="R102" i="257"/>
  <c r="P102" i="257"/>
  <c r="AW101" i="257"/>
  <c r="AB101" i="257"/>
  <c r="AF101" i="257"/>
  <c r="AG101" i="257" s="1"/>
  <c r="W101" i="257"/>
  <c r="V101" i="257"/>
  <c r="T101" i="257"/>
  <c r="R101" i="257"/>
  <c r="P101" i="257"/>
  <c r="AW100" i="257"/>
  <c r="AD100" i="257"/>
  <c r="AB100" i="257"/>
  <c r="AF100" i="257"/>
  <c r="AG100" i="257" s="1"/>
  <c r="Z100" i="257"/>
  <c r="V100" i="257"/>
  <c r="W100" i="257" s="1"/>
  <c r="T100" i="257"/>
  <c r="R100" i="257"/>
  <c r="P100" i="257"/>
  <c r="AW99" i="257"/>
  <c r="AD99" i="257"/>
  <c r="AF99" i="257"/>
  <c r="AG99" i="257" s="1"/>
  <c r="Z99" i="257"/>
  <c r="W99" i="257"/>
  <c r="V99" i="257"/>
  <c r="T99" i="257"/>
  <c r="R99" i="257"/>
  <c r="P99" i="257"/>
  <c r="AW98" i="257"/>
  <c r="AD98" i="257"/>
  <c r="Z98" i="257"/>
  <c r="Y114" i="257"/>
  <c r="X114" i="257"/>
  <c r="V98" i="257"/>
  <c r="V114" i="257" s="1"/>
  <c r="T98" i="257"/>
  <c r="R98" i="257"/>
  <c r="P98" i="257"/>
  <c r="AX95" i="257"/>
  <c r="AO95" i="257"/>
  <c r="S95" i="257"/>
  <c r="Q95" i="257"/>
  <c r="O95" i="257"/>
  <c r="N95" i="257"/>
  <c r="AW94" i="257"/>
  <c r="AD94" i="257"/>
  <c r="AB94" i="257"/>
  <c r="AF94" i="257"/>
  <c r="AG94" i="257" s="1"/>
  <c r="Z94" i="257"/>
  <c r="V94" i="257"/>
  <c r="W94" i="257" s="1"/>
  <c r="T94" i="257"/>
  <c r="R94" i="257"/>
  <c r="P94" i="257"/>
  <c r="AW93" i="257"/>
  <c r="AD93" i="257"/>
  <c r="AB93" i="257"/>
  <c r="Z93" i="257"/>
  <c r="W93" i="257"/>
  <c r="V93" i="257"/>
  <c r="T93" i="257"/>
  <c r="R93" i="257"/>
  <c r="P93" i="257"/>
  <c r="AW92" i="257"/>
  <c r="AB92" i="257"/>
  <c r="Z92" i="257"/>
  <c r="AF92" i="257"/>
  <c r="AG92" i="257" s="1"/>
  <c r="AD92" i="257"/>
  <c r="V92" i="257"/>
  <c r="W92" i="257" s="1"/>
  <c r="T92" i="257"/>
  <c r="R92" i="257"/>
  <c r="P92" i="257"/>
  <c r="AW91" i="257"/>
  <c r="AD91" i="257"/>
  <c r="AB91" i="257"/>
  <c r="AF91" i="257"/>
  <c r="AG91" i="257" s="1"/>
  <c r="W91" i="257"/>
  <c r="V91" i="257"/>
  <c r="T91" i="257"/>
  <c r="R91" i="257"/>
  <c r="P91" i="257"/>
  <c r="AW90" i="257"/>
  <c r="AW95" i="257" s="1"/>
  <c r="AC95" i="257"/>
  <c r="AA95" i="257"/>
  <c r="AF90" i="257"/>
  <c r="AD90" i="257"/>
  <c r="W90" i="257"/>
  <c r="V90" i="257"/>
  <c r="V95" i="257" s="1"/>
  <c r="T90" i="257"/>
  <c r="R90" i="257"/>
  <c r="P90" i="257"/>
  <c r="AX87" i="257"/>
  <c r="AO87" i="257"/>
  <c r="AE87" i="257"/>
  <c r="S87" i="257"/>
  <c r="Q87" i="257"/>
  <c r="O87" i="257"/>
  <c r="N87" i="257"/>
  <c r="AY86" i="257"/>
  <c r="AZ86" i="257" s="1"/>
  <c r="AW86" i="257"/>
  <c r="AU86" i="257"/>
  <c r="AS86" i="257"/>
  <c r="AR86" i="257"/>
  <c r="AV86" i="257" s="1"/>
  <c r="AF86" i="257"/>
  <c r="AG86" i="257" s="1"/>
  <c r="AD86" i="257"/>
  <c r="AW85" i="257"/>
  <c r="AD85" i="257"/>
  <c r="AB85" i="257"/>
  <c r="Z85" i="257"/>
  <c r="AF85" i="257"/>
  <c r="AG85" i="257" s="1"/>
  <c r="AW84" i="257"/>
  <c r="AD84" i="257"/>
  <c r="AB84" i="257"/>
  <c r="AF84" i="257"/>
  <c r="AG84" i="257" s="1"/>
  <c r="Z84" i="257"/>
  <c r="V84" i="257"/>
  <c r="W84" i="257" s="1"/>
  <c r="T84" i="257"/>
  <c r="R84" i="257"/>
  <c r="P84" i="257"/>
  <c r="AW83" i="257"/>
  <c r="AD83" i="257"/>
  <c r="AB83" i="257"/>
  <c r="Z83" i="257"/>
  <c r="AW82" i="257"/>
  <c r="AB82" i="257"/>
  <c r="Z82" i="257"/>
  <c r="AW81" i="257"/>
  <c r="AP81" i="257"/>
  <c r="AN81" i="257"/>
  <c r="AM81" i="257"/>
  <c r="AK81" i="257"/>
  <c r="AI81" i="257"/>
  <c r="AH81" i="257"/>
  <c r="AL81" i="257" s="1"/>
  <c r="AF81" i="257"/>
  <c r="AG81" i="257" s="1"/>
  <c r="AB81" i="257"/>
  <c r="Z81" i="257"/>
  <c r="AD81" i="257"/>
  <c r="AW80" i="257"/>
  <c r="AU80" i="257"/>
  <c r="AV80" i="257" s="1"/>
  <c r="AS80" i="257"/>
  <c r="AY80" i="257" s="1"/>
  <c r="AZ80" i="257" s="1"/>
  <c r="AR80" i="257"/>
  <c r="AM80" i="257"/>
  <c r="AK80" i="257"/>
  <c r="AI80" i="257"/>
  <c r="AP80" i="257" s="1"/>
  <c r="AQ80" i="257" s="1"/>
  <c r="AH80" i="257"/>
  <c r="AD80" i="257"/>
  <c r="AB80" i="257"/>
  <c r="AW79" i="257"/>
  <c r="AD79" i="257"/>
  <c r="Z79" i="257"/>
  <c r="AW78" i="257"/>
  <c r="AB78" i="257"/>
  <c r="Z78" i="257"/>
  <c r="W78" i="257"/>
  <c r="V78" i="257"/>
  <c r="T78" i="257"/>
  <c r="R78" i="257"/>
  <c r="P78" i="257"/>
  <c r="AW77" i="257"/>
  <c r="AD77" i="257"/>
  <c r="AB77" i="257"/>
  <c r="AF77" i="257"/>
  <c r="AG77" i="257" s="1"/>
  <c r="Z77" i="257"/>
  <c r="V77" i="257"/>
  <c r="W77" i="257" s="1"/>
  <c r="T77" i="257"/>
  <c r="R77" i="257"/>
  <c r="P77" i="257"/>
  <c r="AW76" i="257"/>
  <c r="AD76" i="257"/>
  <c r="Z76" i="257"/>
  <c r="W76" i="257"/>
  <c r="V76" i="257"/>
  <c r="T76" i="257"/>
  <c r="R76" i="257"/>
  <c r="P76" i="257"/>
  <c r="AW75" i="257"/>
  <c r="AD75" i="257"/>
  <c r="AB75" i="257"/>
  <c r="Z75" i="257"/>
  <c r="AF75" i="257"/>
  <c r="AG75" i="257" s="1"/>
  <c r="V75" i="257"/>
  <c r="W75" i="257" s="1"/>
  <c r="T75" i="257"/>
  <c r="R75" i="257"/>
  <c r="P75" i="257"/>
  <c r="AW74" i="257"/>
  <c r="AD74" i="257"/>
  <c r="AB74" i="257"/>
  <c r="W74" i="257"/>
  <c r="V74" i="257"/>
  <c r="T74" i="257"/>
  <c r="R74" i="257"/>
  <c r="P74" i="257"/>
  <c r="AW73" i="257"/>
  <c r="Z73" i="257"/>
  <c r="AF73" i="257"/>
  <c r="AG73" i="257" s="1"/>
  <c r="W73" i="257"/>
  <c r="V73" i="257"/>
  <c r="T73" i="257"/>
  <c r="R73" i="257"/>
  <c r="P73" i="257"/>
  <c r="AW72" i="257"/>
  <c r="AB72" i="257"/>
  <c r="Z72" i="257"/>
  <c r="AD72" i="257"/>
  <c r="W72" i="257"/>
  <c r="V72" i="257"/>
  <c r="T72" i="257"/>
  <c r="R72" i="257"/>
  <c r="P72" i="257"/>
  <c r="AW71" i="257"/>
  <c r="AF71" i="257"/>
  <c r="AG71" i="257" s="1"/>
  <c r="AD71" i="257"/>
  <c r="W71" i="257"/>
  <c r="V71" i="257"/>
  <c r="T71" i="257"/>
  <c r="R71" i="257"/>
  <c r="P71" i="257"/>
  <c r="AW70" i="257"/>
  <c r="AD70" i="257"/>
  <c r="AB70" i="257"/>
  <c r="Z70" i="257"/>
  <c r="V70" i="257"/>
  <c r="W70" i="257" s="1"/>
  <c r="T70" i="257"/>
  <c r="R70" i="257"/>
  <c r="P70" i="257"/>
  <c r="AW69" i="257"/>
  <c r="AD69" i="257"/>
  <c r="Z69" i="257"/>
  <c r="V69" i="257"/>
  <c r="W69" i="257" s="1"/>
  <c r="T69" i="257"/>
  <c r="R69" i="257"/>
  <c r="P69" i="257"/>
  <c r="AW68" i="257"/>
  <c r="AF68" i="257"/>
  <c r="AG68" i="257" s="1"/>
  <c r="AD68" i="257"/>
  <c r="AB68" i="257"/>
  <c r="Z68" i="257"/>
  <c r="W68" i="257"/>
  <c r="V68" i="257"/>
  <c r="T68" i="257"/>
  <c r="R68" i="257"/>
  <c r="P68" i="257"/>
  <c r="AW67" i="257"/>
  <c r="AD67" i="257"/>
  <c r="AB67" i="257"/>
  <c r="V67" i="257"/>
  <c r="W67" i="257" s="1"/>
  <c r="T67" i="257"/>
  <c r="R67" i="257"/>
  <c r="P67" i="257"/>
  <c r="AW66" i="257"/>
  <c r="AD66" i="257"/>
  <c r="AB66" i="257"/>
  <c r="AF66" i="257"/>
  <c r="AG66" i="257" s="1"/>
  <c r="V66" i="257"/>
  <c r="W66" i="257" s="1"/>
  <c r="T66" i="257"/>
  <c r="R66" i="257"/>
  <c r="P66" i="257"/>
  <c r="AW65" i="257"/>
  <c r="AF65" i="257"/>
  <c r="AG65" i="257" s="1"/>
  <c r="AB65" i="257"/>
  <c r="Z65" i="257"/>
  <c r="W65" i="257"/>
  <c r="V65" i="257"/>
  <c r="T65" i="257"/>
  <c r="R65" i="257"/>
  <c r="P65" i="257"/>
  <c r="AW64" i="257"/>
  <c r="AD64" i="257"/>
  <c r="AB64" i="257"/>
  <c r="AF64" i="257"/>
  <c r="AG64" i="257" s="1"/>
  <c r="W64" i="257"/>
  <c r="V64" i="257"/>
  <c r="T64" i="257"/>
  <c r="R64" i="257"/>
  <c r="P64" i="257"/>
  <c r="AW63" i="257"/>
  <c r="AB63" i="257"/>
  <c r="Z63" i="257"/>
  <c r="AD63" i="257"/>
  <c r="V63" i="257"/>
  <c r="W63" i="257" s="1"/>
  <c r="T63" i="257"/>
  <c r="R63" i="257"/>
  <c r="P63" i="257"/>
  <c r="AW62" i="257"/>
  <c r="AD62" i="257"/>
  <c r="AB62" i="257"/>
  <c r="Z62" i="257"/>
  <c r="W62" i="257"/>
  <c r="V62" i="257"/>
  <c r="T62" i="257"/>
  <c r="R62" i="257"/>
  <c r="P62" i="257"/>
  <c r="AW61" i="257"/>
  <c r="Z61" i="257"/>
  <c r="AB61" i="257"/>
  <c r="V61" i="257"/>
  <c r="W61" i="257" s="1"/>
  <c r="T61" i="257"/>
  <c r="R61" i="257"/>
  <c r="P61" i="257"/>
  <c r="AW60" i="257"/>
  <c r="AF60" i="257"/>
  <c r="AG60" i="257" s="1"/>
  <c r="AD60" i="257"/>
  <c r="AB60" i="257"/>
  <c r="Z60" i="257"/>
  <c r="W60" i="257"/>
  <c r="V60" i="257"/>
  <c r="T60" i="257"/>
  <c r="R60" i="257"/>
  <c r="P60" i="257"/>
  <c r="AW59" i="257"/>
  <c r="AF59" i="257"/>
  <c r="AG59" i="257" s="1"/>
  <c r="AD59" i="257"/>
  <c r="AB59" i="257"/>
  <c r="Z59" i="257"/>
  <c r="V59" i="257"/>
  <c r="W59" i="257" s="1"/>
  <c r="T59" i="257"/>
  <c r="R59" i="257"/>
  <c r="P59" i="257"/>
  <c r="AW58" i="257"/>
  <c r="AD58" i="257"/>
  <c r="AB58" i="257"/>
  <c r="AF58" i="257"/>
  <c r="AG58" i="257" s="1"/>
  <c r="V58" i="257"/>
  <c r="W58" i="257" s="1"/>
  <c r="T58" i="257"/>
  <c r="R58" i="257"/>
  <c r="P58" i="257"/>
  <c r="AW57" i="257"/>
  <c r="AF57" i="257"/>
  <c r="AG57" i="257" s="1"/>
  <c r="AB57" i="257"/>
  <c r="Z57" i="257"/>
  <c r="W57" i="257"/>
  <c r="V57" i="257"/>
  <c r="T57" i="257"/>
  <c r="R57" i="257"/>
  <c r="P57" i="257"/>
  <c r="AW56" i="257"/>
  <c r="AD56" i="257"/>
  <c r="AB56" i="257"/>
  <c r="AF56" i="257"/>
  <c r="AG56" i="257" s="1"/>
  <c r="W56" i="257"/>
  <c r="V56" i="257"/>
  <c r="T56" i="257"/>
  <c r="R56" i="257"/>
  <c r="P56" i="257"/>
  <c r="AW55" i="257"/>
  <c r="AD55" i="257"/>
  <c r="AB55" i="257"/>
  <c r="Z55" i="257"/>
  <c r="V55" i="257"/>
  <c r="W55" i="257" s="1"/>
  <c r="T55" i="257"/>
  <c r="R55" i="257"/>
  <c r="P55" i="257"/>
  <c r="AW54" i="257"/>
  <c r="AD54" i="257"/>
  <c r="AB54" i="257"/>
  <c r="Z54" i="257"/>
  <c r="W54" i="257"/>
  <c r="V54" i="257"/>
  <c r="T54" i="257"/>
  <c r="R54" i="257"/>
  <c r="P54" i="257"/>
  <c r="AW53" i="257"/>
  <c r="AB53" i="257"/>
  <c r="Z53" i="257"/>
  <c r="AD53" i="257"/>
  <c r="V53" i="257"/>
  <c r="W53" i="257" s="1"/>
  <c r="T53" i="257"/>
  <c r="R53" i="257"/>
  <c r="P53" i="257"/>
  <c r="AW52" i="257"/>
  <c r="AF52" i="257"/>
  <c r="AG52" i="257" s="1"/>
  <c r="AD52" i="257"/>
  <c r="AB52" i="257"/>
  <c r="Z52" i="257"/>
  <c r="W52" i="257"/>
  <c r="V52" i="257"/>
  <c r="T52" i="257"/>
  <c r="R52" i="257"/>
  <c r="P52" i="257"/>
  <c r="AW51" i="257"/>
  <c r="AF51" i="257"/>
  <c r="AG51" i="257" s="1"/>
  <c r="AD51" i="257"/>
  <c r="AB51" i="257"/>
  <c r="Z51" i="257"/>
  <c r="V51" i="257"/>
  <c r="W51" i="257" s="1"/>
  <c r="T51" i="257"/>
  <c r="R51" i="257"/>
  <c r="P51" i="257"/>
  <c r="AW50" i="257"/>
  <c r="AD50" i="257"/>
  <c r="AB50" i="257"/>
  <c r="AF50" i="257"/>
  <c r="AG50" i="257" s="1"/>
  <c r="V50" i="257"/>
  <c r="W50" i="257" s="1"/>
  <c r="T50" i="257"/>
  <c r="R50" i="257"/>
  <c r="P50" i="257"/>
  <c r="AW49" i="257"/>
  <c r="AF49" i="257"/>
  <c r="AG49" i="257" s="1"/>
  <c r="AB49" i="257"/>
  <c r="Z49" i="257"/>
  <c r="W49" i="257"/>
  <c r="V49" i="257"/>
  <c r="T49" i="257"/>
  <c r="R49" i="257"/>
  <c r="P49" i="257"/>
  <c r="AW48" i="257"/>
  <c r="AD48" i="257"/>
  <c r="AB48" i="257"/>
  <c r="AF48" i="257"/>
  <c r="AG48" i="257" s="1"/>
  <c r="W48" i="257"/>
  <c r="V48" i="257"/>
  <c r="T48" i="257"/>
  <c r="R48" i="257"/>
  <c r="P48" i="257"/>
  <c r="AW47" i="257"/>
  <c r="AF47" i="257"/>
  <c r="Z47" i="257"/>
  <c r="X87" i="257"/>
  <c r="V47" i="257"/>
  <c r="W47" i="257" s="1"/>
  <c r="T47" i="257"/>
  <c r="R47" i="257"/>
  <c r="P47" i="257"/>
  <c r="AO42" i="257"/>
  <c r="S42" i="257"/>
  <c r="Q42" i="257"/>
  <c r="O42" i="257"/>
  <c r="N42" i="257"/>
  <c r="AF41" i="257"/>
  <c r="AG41" i="257" s="1"/>
  <c r="AB41" i="257"/>
  <c r="Z41" i="257"/>
  <c r="AW40" i="257"/>
  <c r="AF40" i="257"/>
  <c r="AG40" i="257" s="1"/>
  <c r="AD40" i="257"/>
  <c r="AB40" i="257"/>
  <c r="Z40" i="257"/>
  <c r="V40" i="257"/>
  <c r="W40" i="257" s="1"/>
  <c r="T40" i="257"/>
  <c r="R40" i="257"/>
  <c r="P40" i="257"/>
  <c r="AW39" i="257"/>
  <c r="AD39" i="257"/>
  <c r="AB39" i="257"/>
  <c r="AF39" i="257"/>
  <c r="AG39" i="257" s="1"/>
  <c r="V39" i="257"/>
  <c r="W39" i="257" s="1"/>
  <c r="T39" i="257"/>
  <c r="R39" i="257"/>
  <c r="P39" i="257"/>
  <c r="AW38" i="257"/>
  <c r="AF38" i="257"/>
  <c r="AG38" i="257" s="1"/>
  <c r="AD38" i="257"/>
  <c r="AB38" i="257"/>
  <c r="Z38" i="257"/>
  <c r="W38" i="257"/>
  <c r="V38" i="257"/>
  <c r="T38" i="257"/>
  <c r="R38" i="257"/>
  <c r="P38" i="257"/>
  <c r="AW37" i="257"/>
  <c r="AD37" i="257"/>
  <c r="AB37" i="257"/>
  <c r="V37" i="257"/>
  <c r="W37" i="257" s="1"/>
  <c r="T37" i="257"/>
  <c r="R37" i="257"/>
  <c r="P37" i="257"/>
  <c r="AW36" i="257"/>
  <c r="AD36" i="257"/>
  <c r="Z36" i="257"/>
  <c r="V36" i="257"/>
  <c r="W36" i="257" s="1"/>
  <c r="T36" i="257"/>
  <c r="R36" i="257"/>
  <c r="P36" i="257"/>
  <c r="AW35" i="257"/>
  <c r="AF35" i="257"/>
  <c r="AG35" i="257" s="1"/>
  <c r="AD35" i="257"/>
  <c r="AB35" i="257"/>
  <c r="Z35" i="257"/>
  <c r="W35" i="257"/>
  <c r="V35" i="257"/>
  <c r="T35" i="257"/>
  <c r="R35" i="257"/>
  <c r="P35" i="257"/>
  <c r="AW34" i="257"/>
  <c r="AD34" i="257"/>
  <c r="AB34" i="257"/>
  <c r="Z34" i="257"/>
  <c r="V34" i="257"/>
  <c r="W34" i="257" s="1"/>
  <c r="T34" i="257"/>
  <c r="R34" i="257"/>
  <c r="P34" i="257"/>
  <c r="AW33" i="257"/>
  <c r="AA42" i="257"/>
  <c r="Z33" i="257"/>
  <c r="Y42" i="257"/>
  <c r="X42" i="257"/>
  <c r="W33" i="257"/>
  <c r="V33" i="257"/>
  <c r="V42" i="257" s="1"/>
  <c r="T33" i="257"/>
  <c r="R33" i="257"/>
  <c r="P33" i="257"/>
  <c r="AX30" i="257"/>
  <c r="AX173" i="257" s="1"/>
  <c r="AO30" i="257"/>
  <c r="AO173" i="257" s="1"/>
  <c r="S30" i="257"/>
  <c r="S173" i="257" s="1"/>
  <c r="R30" i="257"/>
  <c r="Q30" i="257"/>
  <c r="Q173" i="257" s="1"/>
  <c r="P30" i="257"/>
  <c r="O30" i="257"/>
  <c r="N30" i="257"/>
  <c r="AW29" i="257"/>
  <c r="AV29" i="257"/>
  <c r="AU29" i="257"/>
  <c r="AT29" i="257"/>
  <c r="AS29" i="257"/>
  <c r="AY29" i="257" s="1"/>
  <c r="AZ29" i="257" s="1"/>
  <c r="AR29" i="257"/>
  <c r="AD29" i="257"/>
  <c r="AB29" i="257"/>
  <c r="Z29" i="257"/>
  <c r="W29" i="257"/>
  <c r="V29" i="257"/>
  <c r="T29" i="257"/>
  <c r="R29" i="257"/>
  <c r="P29" i="257"/>
  <c r="AW28" i="257"/>
  <c r="AB28" i="257"/>
  <c r="AD28" i="257"/>
  <c r="AW27" i="257"/>
  <c r="AB27" i="257"/>
  <c r="Z27" i="257"/>
  <c r="W27" i="257"/>
  <c r="V27" i="257"/>
  <c r="T27" i="257"/>
  <c r="R27" i="257"/>
  <c r="P27" i="257"/>
  <c r="AW26" i="257"/>
  <c r="AD26" i="257"/>
  <c r="AB26" i="257"/>
  <c r="Z26" i="257"/>
  <c r="W26" i="257"/>
  <c r="V26" i="257"/>
  <c r="T26" i="257"/>
  <c r="R26" i="257"/>
  <c r="P26" i="257"/>
  <c r="AW25" i="257"/>
  <c r="AB25" i="257"/>
  <c r="AF25" i="257"/>
  <c r="AG25" i="257" s="1"/>
  <c r="AD25" i="257"/>
  <c r="V25" i="257"/>
  <c r="W25" i="257" s="1"/>
  <c r="T25" i="257"/>
  <c r="R25" i="257"/>
  <c r="P25" i="257"/>
  <c r="AW24" i="257"/>
  <c r="AF24" i="257"/>
  <c r="AG24" i="257" s="1"/>
  <c r="AB24" i="257"/>
  <c r="Z24" i="257"/>
  <c r="W24" i="257"/>
  <c r="V24" i="257"/>
  <c r="T24" i="257"/>
  <c r="R24" i="257"/>
  <c r="P24" i="257"/>
  <c r="AW23" i="257"/>
  <c r="AD23" i="257"/>
  <c r="AB23" i="257"/>
  <c r="V23" i="257"/>
  <c r="W23" i="257" s="1"/>
  <c r="T23" i="257"/>
  <c r="R23" i="257"/>
  <c r="P23" i="257"/>
  <c r="AW22" i="257"/>
  <c r="AD22" i="257"/>
  <c r="Z22" i="257"/>
  <c r="V22" i="257"/>
  <c r="W22" i="257" s="1"/>
  <c r="T22" i="257"/>
  <c r="R22" i="257"/>
  <c r="P22" i="257"/>
  <c r="AW21" i="257"/>
  <c r="AF21" i="257"/>
  <c r="AG21" i="257" s="1"/>
  <c r="AD21" i="257"/>
  <c r="AB21" i="257"/>
  <c r="Z21" i="257"/>
  <c r="W21" i="257"/>
  <c r="V21" i="257"/>
  <c r="T21" i="257"/>
  <c r="R21" i="257"/>
  <c r="P21" i="257"/>
  <c r="AW20" i="257"/>
  <c r="AD20" i="257"/>
  <c r="AB20" i="257"/>
  <c r="Z20" i="257"/>
  <c r="V20" i="257"/>
  <c r="W20" i="257" s="1"/>
  <c r="T20" i="257"/>
  <c r="R20" i="257"/>
  <c r="P20" i="257"/>
  <c r="AW19" i="257"/>
  <c r="Z19" i="257"/>
  <c r="W19" i="257"/>
  <c r="V19" i="257"/>
  <c r="T19" i="257"/>
  <c r="R19" i="257"/>
  <c r="P19" i="257"/>
  <c r="AW18" i="257"/>
  <c r="AD18" i="257"/>
  <c r="AB18" i="257"/>
  <c r="Z18" i="257"/>
  <c r="V18" i="257"/>
  <c r="W18" i="257" s="1"/>
  <c r="T18" i="257"/>
  <c r="R18" i="257"/>
  <c r="P18" i="257"/>
  <c r="AW17" i="257"/>
  <c r="AU17" i="257"/>
  <c r="AV17" i="257" s="1"/>
  <c r="AS17" i="257"/>
  <c r="AT17" i="257" s="1"/>
  <c r="AR17" i="257"/>
  <c r="AD17" i="257"/>
  <c r="Z17" i="257"/>
  <c r="V17" i="257"/>
  <c r="W17" i="257" s="1"/>
  <c r="T17" i="257"/>
  <c r="R17" i="257"/>
  <c r="P17" i="257"/>
  <c r="AW16" i="257"/>
  <c r="AU16" i="257"/>
  <c r="AV16" i="257" s="1"/>
  <c r="AS16" i="257"/>
  <c r="AR16" i="257"/>
  <c r="AT16" i="257" s="1"/>
  <c r="AF16" i="257"/>
  <c r="AG16" i="257" s="1"/>
  <c r="AD16" i="257"/>
  <c r="AB16" i="257"/>
  <c r="Z16" i="257"/>
  <c r="W16" i="257"/>
  <c r="V16" i="257"/>
  <c r="T16" i="257"/>
  <c r="R16" i="257"/>
  <c r="P16" i="257"/>
  <c r="AW15" i="257"/>
  <c r="AD15" i="257"/>
  <c r="AB15" i="257"/>
  <c r="V15" i="257"/>
  <c r="W15" i="257" s="1"/>
  <c r="T15" i="257"/>
  <c r="R15" i="257"/>
  <c r="P15" i="257"/>
  <c r="AW14" i="257"/>
  <c r="Z14" i="257"/>
  <c r="W14" i="257"/>
  <c r="V14" i="257"/>
  <c r="V30" i="257" s="1"/>
  <c r="W30" i="257" s="1"/>
  <c r="T14" i="257"/>
  <c r="R14" i="257"/>
  <c r="P14" i="257"/>
  <c r="I141" i="256"/>
  <c r="H70" i="256"/>
  <c r="G55" i="256"/>
  <c r="G15" i="256"/>
  <c r="H15" i="256" s="1"/>
  <c r="F15" i="256"/>
  <c r="E15" i="256"/>
  <c r="D15" i="256"/>
  <c r="H19" i="254"/>
  <c r="G18" i="254"/>
  <c r="F19" i="254"/>
  <c r="H8" i="254"/>
  <c r="F8" i="254"/>
  <c r="BW211" i="253"/>
  <c r="AD211" i="253"/>
  <c r="EN210" i="253"/>
  <c r="DX210" i="253"/>
  <c r="DN210" i="253"/>
  <c r="DD210" i="253"/>
  <c r="CT210" i="253"/>
  <c r="CJ210" i="253"/>
  <c r="BP210" i="253"/>
  <c r="AV210" i="253"/>
  <c r="AB210" i="253"/>
  <c r="R210" i="253"/>
  <c r="DX209" i="253"/>
  <c r="DN209" i="253"/>
  <c r="DD209" i="253"/>
  <c r="CT209" i="253"/>
  <c r="CJ209" i="253"/>
  <c r="BZ209" i="253"/>
  <c r="BP209" i="253"/>
  <c r="BF209" i="253"/>
  <c r="AV209" i="253"/>
  <c r="AL209" i="253"/>
  <c r="AB209" i="253"/>
  <c r="R209" i="253"/>
  <c r="DX208" i="253"/>
  <c r="DR208" i="253"/>
  <c r="DN208" i="253"/>
  <c r="DS208" i="253" s="1"/>
  <c r="DD208" i="253"/>
  <c r="DI208" i="253" s="1"/>
  <c r="DH208" i="253" s="1"/>
  <c r="CT208" i="253"/>
  <c r="CY208" i="253" s="1"/>
  <c r="CX208" i="253" s="1"/>
  <c r="CJ208" i="253"/>
  <c r="CO208" i="253" s="1"/>
  <c r="CN208" i="253" s="1"/>
  <c r="BZ208" i="253"/>
  <c r="CE208" i="253" s="1"/>
  <c r="BP208" i="253"/>
  <c r="BF208" i="253"/>
  <c r="AV208" i="253"/>
  <c r="AL208" i="253"/>
  <c r="AB208" i="253"/>
  <c r="R208" i="253"/>
  <c r="EG207" i="253"/>
  <c r="DX207" i="253"/>
  <c r="EC207" i="253" s="1"/>
  <c r="DN207" i="253"/>
  <c r="DS207" i="253" s="1"/>
  <c r="DI207" i="253"/>
  <c r="DD207" i="253"/>
  <c r="CT207" i="253"/>
  <c r="CJ207" i="253"/>
  <c r="BZ207" i="253"/>
  <c r="BP207" i="253"/>
  <c r="BF207" i="253"/>
  <c r="AV207" i="253"/>
  <c r="AL207" i="253"/>
  <c r="AB207" i="253"/>
  <c r="R207" i="253"/>
  <c r="DX206" i="253"/>
  <c r="EC206" i="253" s="1"/>
  <c r="DN206" i="253"/>
  <c r="DS206" i="253" s="1"/>
  <c r="DD206" i="253"/>
  <c r="DI206" i="253" s="1"/>
  <c r="CY206" i="253"/>
  <c r="CT206" i="253"/>
  <c r="CJ206" i="253"/>
  <c r="BZ206" i="253"/>
  <c r="CE206" i="253" s="1"/>
  <c r="BP206" i="253"/>
  <c r="BU206" i="253" s="1"/>
  <c r="BF206" i="253"/>
  <c r="BK206" i="253" s="1"/>
  <c r="AV206" i="253"/>
  <c r="BA206" i="253" s="1"/>
  <c r="AL206" i="253"/>
  <c r="AQ206" i="253" s="1"/>
  <c r="AB206" i="253"/>
  <c r="AG206" i="253" s="1"/>
  <c r="W206" i="253"/>
  <c r="R206" i="253"/>
  <c r="DX205" i="253"/>
  <c r="EC205" i="253" s="1"/>
  <c r="DN205" i="253"/>
  <c r="DS205" i="253" s="1"/>
  <c r="DD205" i="253"/>
  <c r="DI205" i="253" s="1"/>
  <c r="CT205" i="253"/>
  <c r="CY205" i="253" s="1"/>
  <c r="CJ205" i="253"/>
  <c r="CO205" i="253" s="1"/>
  <c r="BZ205" i="253"/>
  <c r="CE205" i="253" s="1"/>
  <c r="BU205" i="253"/>
  <c r="BP205" i="253"/>
  <c r="BF205" i="253"/>
  <c r="BK205" i="253" s="1"/>
  <c r="AV205" i="253"/>
  <c r="BA205" i="253" s="1"/>
  <c r="AL205" i="253"/>
  <c r="AQ205" i="253" s="1"/>
  <c r="AB205" i="253"/>
  <c r="R205" i="253"/>
  <c r="DX204" i="253"/>
  <c r="EC204" i="253" s="1"/>
  <c r="DS204" i="253"/>
  <c r="DN204" i="253"/>
  <c r="DD204" i="253"/>
  <c r="CT204" i="253"/>
  <c r="CY204" i="253" s="1"/>
  <c r="CJ204" i="253"/>
  <c r="CO204" i="253" s="1"/>
  <c r="BZ204" i="253"/>
  <c r="CE204" i="253" s="1"/>
  <c r="BP204" i="253"/>
  <c r="BU204" i="253" s="1"/>
  <c r="BF204" i="253"/>
  <c r="BK204" i="253" s="1"/>
  <c r="AV204" i="253"/>
  <c r="BA204" i="253" s="1"/>
  <c r="AQ204" i="253"/>
  <c r="AL204" i="253"/>
  <c r="AB204" i="253"/>
  <c r="R204" i="253"/>
  <c r="EG204" i="253"/>
  <c r="DX203" i="253"/>
  <c r="EC203" i="253" s="1"/>
  <c r="DN203" i="253"/>
  <c r="DS203" i="253" s="1"/>
  <c r="DD203" i="253"/>
  <c r="DI203" i="253" s="1"/>
  <c r="CT203" i="253"/>
  <c r="CY203" i="253" s="1"/>
  <c r="CO203" i="253"/>
  <c r="CJ203" i="253"/>
  <c r="BZ203" i="253"/>
  <c r="BP203" i="253"/>
  <c r="BU203" i="253" s="1"/>
  <c r="BF203" i="253"/>
  <c r="BK203" i="253" s="1"/>
  <c r="AV203" i="253"/>
  <c r="BA203" i="253" s="1"/>
  <c r="AL203" i="253"/>
  <c r="AQ203" i="253" s="1"/>
  <c r="AB203" i="253"/>
  <c r="R203" i="253"/>
  <c r="DX202" i="253"/>
  <c r="DN202" i="253"/>
  <c r="DS202" i="253" s="1"/>
  <c r="DD202" i="253"/>
  <c r="DI202" i="253" s="1"/>
  <c r="CT202" i="253"/>
  <c r="CY202" i="253" s="1"/>
  <c r="CJ202" i="253"/>
  <c r="CO202" i="253" s="1"/>
  <c r="BZ202" i="253"/>
  <c r="CE202" i="253" s="1"/>
  <c r="BP202" i="253"/>
  <c r="BU202" i="253" s="1"/>
  <c r="BK202" i="253"/>
  <c r="BF202" i="253"/>
  <c r="AV202" i="253"/>
  <c r="BA202" i="253" s="1"/>
  <c r="AL202" i="253"/>
  <c r="AQ202" i="253" s="1"/>
  <c r="AB202" i="253"/>
  <c r="AG202" i="253" s="1"/>
  <c r="R202" i="253"/>
  <c r="DX201" i="253"/>
  <c r="EC201" i="253" s="1"/>
  <c r="DN201" i="253"/>
  <c r="DS201" i="253" s="1"/>
  <c r="DI201" i="253"/>
  <c r="DD201" i="253"/>
  <c r="CT201" i="253"/>
  <c r="CJ201" i="253"/>
  <c r="CO201" i="253" s="1"/>
  <c r="BZ201" i="253"/>
  <c r="CE201" i="253" s="1"/>
  <c r="BP201" i="253"/>
  <c r="BU201" i="253" s="1"/>
  <c r="BF201" i="253"/>
  <c r="BK201" i="253" s="1"/>
  <c r="AV201" i="253"/>
  <c r="AL201" i="253"/>
  <c r="AB201" i="253"/>
  <c r="R201" i="253"/>
  <c r="DX200" i="253"/>
  <c r="DN200" i="253"/>
  <c r="DR200" i="253"/>
  <c r="DD200" i="253"/>
  <c r="CT200" i="253"/>
  <c r="CJ200" i="253"/>
  <c r="CO200" i="253" s="1"/>
  <c r="CE200" i="253"/>
  <c r="BZ200" i="253"/>
  <c r="BP200" i="253"/>
  <c r="BF200" i="253"/>
  <c r="BK200" i="253" s="1"/>
  <c r="AV200" i="253"/>
  <c r="AL200" i="253"/>
  <c r="AB200" i="253"/>
  <c r="EI200" i="253" s="1"/>
  <c r="R200" i="253"/>
  <c r="DX198" i="253"/>
  <c r="DN198" i="253"/>
  <c r="DD198" i="253"/>
  <c r="CT198" i="253"/>
  <c r="CJ198" i="253"/>
  <c r="BZ198" i="253"/>
  <c r="BP198" i="253"/>
  <c r="BF198" i="253"/>
  <c r="AV198" i="253"/>
  <c r="AL198" i="253"/>
  <c r="AB198" i="253"/>
  <c r="R198" i="253"/>
  <c r="DX196" i="253"/>
  <c r="EC196" i="253" s="1"/>
  <c r="DU196" i="253"/>
  <c r="DN196" i="253"/>
  <c r="DS196" i="253" s="1"/>
  <c r="DR196" i="253" s="1"/>
  <c r="DK196" i="253"/>
  <c r="DA196" i="253"/>
  <c r="DD196" i="253"/>
  <c r="CT196" i="253"/>
  <c r="CY196" i="253" s="1"/>
  <c r="CQ196" i="253"/>
  <c r="CG196" i="253"/>
  <c r="BZ196" i="253"/>
  <c r="BW196" i="253"/>
  <c r="BP196" i="253"/>
  <c r="BU196" i="253" s="1"/>
  <c r="BM196" i="253"/>
  <c r="AV196" i="253"/>
  <c r="BA196" i="253" s="1"/>
  <c r="AS196" i="253"/>
  <c r="AL196" i="253"/>
  <c r="AQ196" i="253" s="1"/>
  <c r="AI196" i="253"/>
  <c r="AB196" i="253"/>
  <c r="R196" i="253"/>
  <c r="O196" i="253"/>
  <c r="M196" i="253"/>
  <c r="DX195" i="253"/>
  <c r="DN195" i="253"/>
  <c r="DD195" i="253"/>
  <c r="CT195" i="253"/>
  <c r="CJ195" i="253"/>
  <c r="BZ195" i="253"/>
  <c r="BP195" i="253"/>
  <c r="BF195" i="253"/>
  <c r="AV195" i="253"/>
  <c r="AL195" i="253"/>
  <c r="AB195" i="253"/>
  <c r="R195" i="253"/>
  <c r="EL193" i="253"/>
  <c r="EK193" i="253"/>
  <c r="EJ193" i="253"/>
  <c r="DG193" i="253"/>
  <c r="DF193" i="253"/>
  <c r="DE193" i="253"/>
  <c r="CW193" i="253"/>
  <c r="CM193" i="253"/>
  <c r="CL193" i="253"/>
  <c r="CK193" i="253"/>
  <c r="CC193" i="253"/>
  <c r="CB193" i="253"/>
  <c r="CA193" i="253"/>
  <c r="BS193" i="253"/>
  <c r="BR193" i="253"/>
  <c r="BQ193" i="253"/>
  <c r="EB192" i="253"/>
  <c r="DX192" i="253"/>
  <c r="EC192" i="253"/>
  <c r="DU192" i="253"/>
  <c r="DS192" i="253"/>
  <c r="DR192" i="253" s="1"/>
  <c r="DN192" i="253"/>
  <c r="DK192" i="253"/>
  <c r="DA192" i="253"/>
  <c r="CT192" i="253"/>
  <c r="CY192" i="253" s="1"/>
  <c r="CX192" i="253" s="1"/>
  <c r="CQ192" i="253"/>
  <c r="CN192" i="253"/>
  <c r="CJ192" i="253"/>
  <c r="CO192" i="253" s="1"/>
  <c r="CG192" i="253"/>
  <c r="BZ192" i="253"/>
  <c r="CE192" i="253" s="1"/>
  <c r="CD192" i="253" s="1"/>
  <c r="BW192" i="253"/>
  <c r="EE192" i="253"/>
  <c r="BP192" i="253"/>
  <c r="BU192" i="253" s="1"/>
  <c r="BT192" i="253" s="1"/>
  <c r="BM192" i="253"/>
  <c r="BK192" i="253"/>
  <c r="BJ192" i="253" s="1"/>
  <c r="BF192" i="253"/>
  <c r="BC192" i="253"/>
  <c r="AZ192" i="253"/>
  <c r="AV192" i="253"/>
  <c r="BA192" i="253" s="1"/>
  <c r="AS192" i="253"/>
  <c r="AL192" i="253"/>
  <c r="AQ192" i="253" s="1"/>
  <c r="AP192" i="253" s="1"/>
  <c r="AI192" i="253"/>
  <c r="AB192" i="253"/>
  <c r="W192" i="253"/>
  <c r="V192" i="253" s="1"/>
  <c r="R192" i="253"/>
  <c r="O192" i="253"/>
  <c r="M192" i="253"/>
  <c r="DX191" i="253"/>
  <c r="EC191" i="253" s="1"/>
  <c r="EB191" i="253" s="1"/>
  <c r="DN191" i="253"/>
  <c r="DS191" i="253" s="1"/>
  <c r="DR191" i="253" s="1"/>
  <c r="DK191" i="253"/>
  <c r="DA191" i="253"/>
  <c r="CX191" i="253"/>
  <c r="CT191" i="253"/>
  <c r="CY191" i="253" s="1"/>
  <c r="CQ191" i="253"/>
  <c r="CJ191" i="253"/>
  <c r="CO191" i="253" s="1"/>
  <c r="CN191" i="253" s="1"/>
  <c r="CG191" i="253"/>
  <c r="BZ191" i="253"/>
  <c r="CE191" i="253" s="1"/>
  <c r="CD191" i="253" s="1"/>
  <c r="BU191" i="253"/>
  <c r="BT191" i="253" s="1"/>
  <c r="BP191" i="253"/>
  <c r="BM191" i="253"/>
  <c r="BC191" i="253"/>
  <c r="AV191" i="253"/>
  <c r="BA191" i="253" s="1"/>
  <c r="AZ191" i="253" s="1"/>
  <c r="AL191" i="253"/>
  <c r="AQ191" i="253" s="1"/>
  <c r="AP191" i="253" s="1"/>
  <c r="AI191" i="253"/>
  <c r="Y191" i="253"/>
  <c r="R191" i="253"/>
  <c r="O191" i="253"/>
  <c r="M191" i="253"/>
  <c r="DX190" i="253"/>
  <c r="EC190" i="253" s="1"/>
  <c r="EB190" i="253" s="1"/>
  <c r="DR190" i="253"/>
  <c r="DN190" i="253"/>
  <c r="DS190" i="253" s="1"/>
  <c r="DK190" i="253"/>
  <c r="DI190" i="253"/>
  <c r="DH190" i="253" s="1"/>
  <c r="DD190" i="253"/>
  <c r="DA190" i="253"/>
  <c r="CT190" i="253"/>
  <c r="CQ190" i="253"/>
  <c r="CJ190" i="253"/>
  <c r="CO190" i="253" s="1"/>
  <c r="CN190" i="253" s="1"/>
  <c r="CG190" i="253"/>
  <c r="BW190" i="253"/>
  <c r="BT190" i="253"/>
  <c r="BP190" i="253"/>
  <c r="BU190" i="253" s="1"/>
  <c r="BM190" i="253"/>
  <c r="BK190" i="253"/>
  <c r="BJ190" i="253" s="1"/>
  <c r="BF190" i="253"/>
  <c r="BC190" i="253"/>
  <c r="AZ190" i="253"/>
  <c r="AV190" i="253"/>
  <c r="BA190" i="253" s="1"/>
  <c r="AS190" i="253"/>
  <c r="AL190" i="253"/>
  <c r="AQ190" i="253" s="1"/>
  <c r="AP190" i="253" s="1"/>
  <c r="AI190" i="253"/>
  <c r="O190" i="253"/>
  <c r="M190" i="253"/>
  <c r="DU189" i="253"/>
  <c r="DN189" i="253"/>
  <c r="DS189" i="253" s="1"/>
  <c r="DR189" i="253" s="1"/>
  <c r="DK189" i="253"/>
  <c r="DD189" i="253"/>
  <c r="DA189" i="253"/>
  <c r="CQ189" i="253"/>
  <c r="CO189" i="253"/>
  <c r="CN189" i="253" s="1"/>
  <c r="CJ189" i="253"/>
  <c r="CG189" i="253"/>
  <c r="CE189" i="253"/>
  <c r="CD189" i="253" s="1"/>
  <c r="BZ189" i="253"/>
  <c r="BW189" i="253"/>
  <c r="BP189" i="253"/>
  <c r="BU189" i="253" s="1"/>
  <c r="BT189" i="253" s="1"/>
  <c r="BM189" i="253"/>
  <c r="BF189" i="253"/>
  <c r="BK189" i="253" s="1"/>
  <c r="BJ189" i="253" s="1"/>
  <c r="BC189" i="253"/>
  <c r="AV189" i="253"/>
  <c r="AS189" i="253"/>
  <c r="AL189" i="253"/>
  <c r="AG189" i="253"/>
  <c r="AF189" i="253" s="1"/>
  <c r="AB189" i="253"/>
  <c r="Y189" i="253"/>
  <c r="M189" i="253"/>
  <c r="F189" i="253"/>
  <c r="DX188" i="253"/>
  <c r="DU188" i="253"/>
  <c r="DN188" i="253"/>
  <c r="DS188" i="253" s="1"/>
  <c r="DR188" i="253" s="1"/>
  <c r="DK188" i="253"/>
  <c r="CY188" i="253"/>
  <c r="CX188" i="253" s="1"/>
  <c r="CT188" i="253"/>
  <c r="CQ188" i="253"/>
  <c r="CG188" i="253"/>
  <c r="CD188" i="253"/>
  <c r="BZ188" i="253"/>
  <c r="CE188" i="253" s="1"/>
  <c r="BW188" i="253"/>
  <c r="BU188" i="253"/>
  <c r="BT188" i="253" s="1"/>
  <c r="BP188" i="253"/>
  <c r="BM188" i="253"/>
  <c r="BF188" i="253"/>
  <c r="BK188" i="253" s="1"/>
  <c r="BJ188" i="253" s="1"/>
  <c r="BC188" i="253"/>
  <c r="AV188" i="253"/>
  <c r="BA188" i="253" s="1"/>
  <c r="AZ188" i="253" s="1"/>
  <c r="AS188" i="253"/>
  <c r="AL188" i="253"/>
  <c r="AQ188" i="253" s="1"/>
  <c r="AP188" i="253" s="1"/>
  <c r="AI188" i="253"/>
  <c r="AB188" i="253"/>
  <c r="W188" i="253"/>
  <c r="V188" i="253" s="1"/>
  <c r="R188" i="253"/>
  <c r="O188" i="253"/>
  <c r="M188" i="253"/>
  <c r="DX187" i="253"/>
  <c r="DU187" i="253"/>
  <c r="DN187" i="253"/>
  <c r="DS187" i="253" s="1"/>
  <c r="DR187" i="253" s="1"/>
  <c r="DK187" i="253"/>
  <c r="CY187" i="253"/>
  <c r="CX187" i="253" s="1"/>
  <c r="CT187" i="253"/>
  <c r="CQ187" i="253"/>
  <c r="CJ187" i="253"/>
  <c r="CO187" i="253" s="1"/>
  <c r="CN187" i="253" s="1"/>
  <c r="CG187" i="253"/>
  <c r="CD187" i="253"/>
  <c r="BZ187" i="253"/>
  <c r="CE187" i="253" s="1"/>
  <c r="BW187" i="253"/>
  <c r="BU187" i="253"/>
  <c r="BT187" i="253" s="1"/>
  <c r="BP187" i="253"/>
  <c r="BM187" i="253"/>
  <c r="BJ187" i="253"/>
  <c r="BF187" i="253"/>
  <c r="BK187" i="253" s="1"/>
  <c r="BC187" i="253"/>
  <c r="AV187" i="253"/>
  <c r="BA187" i="253" s="1"/>
  <c r="AZ187" i="253" s="1"/>
  <c r="AS187" i="253"/>
  <c r="AL187" i="253"/>
  <c r="AQ187" i="253" s="1"/>
  <c r="AP187" i="253" s="1"/>
  <c r="AI187" i="253"/>
  <c r="AB187" i="253"/>
  <c r="W187" i="253"/>
  <c r="V187" i="253" s="1"/>
  <c r="R187" i="253"/>
  <c r="O187" i="253"/>
  <c r="M187" i="253"/>
  <c r="DX186" i="253"/>
  <c r="EC186" i="253" s="1"/>
  <c r="EB186" i="253" s="1"/>
  <c r="DU186" i="253"/>
  <c r="DN186" i="253"/>
  <c r="DS186" i="253" s="1"/>
  <c r="DR186" i="253" s="1"/>
  <c r="DK186" i="253"/>
  <c r="DD186" i="253"/>
  <c r="DI186" i="253" s="1"/>
  <c r="DH186" i="253" s="1"/>
  <c r="DA186" i="253"/>
  <c r="CY186" i="253"/>
  <c r="CX186" i="253" s="1"/>
  <c r="CT186" i="253"/>
  <c r="CQ186" i="253"/>
  <c r="CO186" i="253"/>
  <c r="CN186" i="253" s="1"/>
  <c r="CJ186" i="253"/>
  <c r="CG186" i="253"/>
  <c r="BZ186" i="253"/>
  <c r="CE186" i="253" s="1"/>
  <c r="CD186" i="253" s="1"/>
  <c r="BW186" i="253"/>
  <c r="BP186" i="253"/>
  <c r="BU186" i="253" s="1"/>
  <c r="BT186" i="253" s="1"/>
  <c r="BM186" i="253"/>
  <c r="BJ186" i="253"/>
  <c r="BF186" i="253"/>
  <c r="BK186" i="253" s="1"/>
  <c r="BC186" i="253"/>
  <c r="AV186" i="253"/>
  <c r="AS186" i="253"/>
  <c r="AL186" i="253"/>
  <c r="AQ186" i="253" s="1"/>
  <c r="AP186" i="253" s="1"/>
  <c r="AI186" i="253"/>
  <c r="EE186" i="253"/>
  <c r="W186" i="253"/>
  <c r="V186" i="253" s="1"/>
  <c r="R186" i="253"/>
  <c r="O186" i="253"/>
  <c r="M186" i="253"/>
  <c r="DX185" i="253"/>
  <c r="DU185" i="253"/>
  <c r="DJ193" i="253"/>
  <c r="DI185" i="253"/>
  <c r="DH185" i="253" s="1"/>
  <c r="DD185" i="253"/>
  <c r="DB193" i="253"/>
  <c r="DA185" i="253"/>
  <c r="CJ185" i="253"/>
  <c r="CG185" i="253"/>
  <c r="BZ185" i="253"/>
  <c r="BW185" i="253"/>
  <c r="BP185" i="253"/>
  <c r="BN193" i="253"/>
  <c r="BL193" i="253"/>
  <c r="BF185" i="253"/>
  <c r="EG185" i="253"/>
  <c r="AV185" i="253"/>
  <c r="AS185" i="253"/>
  <c r="AR193" i="253"/>
  <c r="AH193" i="253"/>
  <c r="AG185" i="253"/>
  <c r="AF185" i="253" s="1"/>
  <c r="AB185" i="253"/>
  <c r="Y185" i="253"/>
  <c r="R185" i="253"/>
  <c r="EN184" i="253"/>
  <c r="DX184" i="253"/>
  <c r="DN184" i="253"/>
  <c r="DD184" i="253"/>
  <c r="CT184" i="253"/>
  <c r="CJ184" i="253"/>
  <c r="BZ184" i="253"/>
  <c r="BP184" i="253"/>
  <c r="BF184" i="253"/>
  <c r="AV184" i="253"/>
  <c r="AL184" i="253"/>
  <c r="AB184" i="253"/>
  <c r="R184" i="253"/>
  <c r="EN183" i="253"/>
  <c r="DX183" i="253"/>
  <c r="DN183" i="253"/>
  <c r="DD183" i="253"/>
  <c r="CT183" i="253"/>
  <c r="CJ183" i="253"/>
  <c r="BZ183" i="253"/>
  <c r="BP183" i="253"/>
  <c r="BF183" i="253"/>
  <c r="AV183" i="253"/>
  <c r="AL183" i="253"/>
  <c r="AB183" i="253"/>
  <c r="R183" i="253"/>
  <c r="EL182" i="253"/>
  <c r="EK182" i="253"/>
  <c r="EJ182" i="253"/>
  <c r="ED182" i="253"/>
  <c r="EA182" i="253"/>
  <c r="DZ182" i="253"/>
  <c r="DY182" i="253"/>
  <c r="DQ182" i="253"/>
  <c r="DP182" i="253"/>
  <c r="DO182" i="253"/>
  <c r="DJ182" i="253"/>
  <c r="DG182" i="253"/>
  <c r="DF182" i="253"/>
  <c r="DE182" i="253"/>
  <c r="CW182" i="253"/>
  <c r="CM182" i="253"/>
  <c r="CL182" i="253"/>
  <c r="CK182" i="253"/>
  <c r="CC182" i="253"/>
  <c r="CB182" i="253"/>
  <c r="CA182" i="253"/>
  <c r="BS182" i="253"/>
  <c r="BR182" i="253"/>
  <c r="BQ182" i="253"/>
  <c r="BL182" i="253"/>
  <c r="BI182" i="253"/>
  <c r="BH182" i="253"/>
  <c r="BG182" i="253"/>
  <c r="AY182" i="253"/>
  <c r="AX182" i="253"/>
  <c r="AW182" i="253"/>
  <c r="EP181" i="253"/>
  <c r="EO181" i="253"/>
  <c r="DN181" i="253"/>
  <c r="CT181" i="253"/>
  <c r="CJ181" i="253"/>
  <c r="BZ181" i="253"/>
  <c r="BP181" i="253"/>
  <c r="BF181" i="253"/>
  <c r="AL181" i="253"/>
  <c r="AB181" i="253"/>
  <c r="AF181" i="253"/>
  <c r="W181" i="253"/>
  <c r="V181" i="253" s="1"/>
  <c r="R181" i="253"/>
  <c r="M181" i="253"/>
  <c r="EO180" i="253"/>
  <c r="DX180" i="253"/>
  <c r="DN180" i="253"/>
  <c r="DD180" i="253"/>
  <c r="CT180" i="253"/>
  <c r="BZ180" i="253"/>
  <c r="BP180" i="253"/>
  <c r="BF180" i="253"/>
  <c r="AV180" i="253"/>
  <c r="AL180" i="253"/>
  <c r="AF180" i="253"/>
  <c r="AB180" i="253"/>
  <c r="R180" i="253"/>
  <c r="W180" i="253" s="1"/>
  <c r="V180" i="253" s="1"/>
  <c r="M180" i="253"/>
  <c r="EP180" i="253" s="1"/>
  <c r="DX179" i="253"/>
  <c r="EC179" i="253" s="1"/>
  <c r="EB179" i="253" s="1"/>
  <c r="DU179" i="253"/>
  <c r="DN179" i="253"/>
  <c r="DK179" i="253"/>
  <c r="DI179" i="253"/>
  <c r="DH179" i="253" s="1"/>
  <c r="DD179" i="253"/>
  <c r="DA179" i="253"/>
  <c r="CX179" i="253"/>
  <c r="CT179" i="253"/>
  <c r="CY179" i="253" s="1"/>
  <c r="CQ179" i="253"/>
  <c r="CJ179" i="253"/>
  <c r="CO179" i="253" s="1"/>
  <c r="CN179" i="253" s="1"/>
  <c r="CG179" i="253"/>
  <c r="CE179" i="253"/>
  <c r="CD179" i="253" s="1"/>
  <c r="BZ179" i="253"/>
  <c r="BW179" i="253"/>
  <c r="BT179" i="253"/>
  <c r="BP179" i="253"/>
  <c r="BU179" i="253" s="1"/>
  <c r="BF179" i="253"/>
  <c r="BK179" i="253" s="1"/>
  <c r="BJ179" i="253" s="1"/>
  <c r="BC179" i="253"/>
  <c r="AS179" i="253"/>
  <c r="AL179" i="253"/>
  <c r="AI179" i="253"/>
  <c r="AB179" i="253"/>
  <c r="AG179" i="253" s="1"/>
  <c r="AF179" i="253" s="1"/>
  <c r="Y179" i="253"/>
  <c r="EE179" i="253"/>
  <c r="M179" i="253"/>
  <c r="C179" i="253"/>
  <c r="DX178" i="253"/>
  <c r="EC178" i="253" s="1"/>
  <c r="EB178" i="253" s="1"/>
  <c r="DU178" i="253"/>
  <c r="DD178" i="253"/>
  <c r="DI178" i="253" s="1"/>
  <c r="DH178" i="253" s="1"/>
  <c r="DA178" i="253"/>
  <c r="CY178" i="253"/>
  <c r="CX178" i="253" s="1"/>
  <c r="CT178" i="253"/>
  <c r="CQ178" i="253"/>
  <c r="CJ178" i="253"/>
  <c r="CO178" i="253" s="1"/>
  <c r="CN178" i="253" s="1"/>
  <c r="CG178" i="253"/>
  <c r="BZ178" i="253"/>
  <c r="BW178" i="253"/>
  <c r="BP178" i="253"/>
  <c r="BU178" i="253" s="1"/>
  <c r="BT178" i="253" s="1"/>
  <c r="BM178" i="253"/>
  <c r="BC178" i="253"/>
  <c r="BF178" i="253"/>
  <c r="AV178" i="253"/>
  <c r="BA178" i="253" s="1"/>
  <c r="AZ178" i="253" s="1"/>
  <c r="AS178" i="253"/>
  <c r="EE178" i="253"/>
  <c r="AB178" i="253"/>
  <c r="W178" i="253"/>
  <c r="V178" i="253" s="1"/>
  <c r="R178" i="253"/>
  <c r="O178" i="253"/>
  <c r="M178" i="253"/>
  <c r="C178" i="253"/>
  <c r="DX177" i="253"/>
  <c r="EC177" i="253" s="1"/>
  <c r="EB177" i="253" s="1"/>
  <c r="DN177" i="253"/>
  <c r="DS177" i="253" s="1"/>
  <c r="DR177" i="253" s="1"/>
  <c r="DK177" i="253"/>
  <c r="DI177" i="253"/>
  <c r="DH177" i="253" s="1"/>
  <c r="DD177" i="253"/>
  <c r="DA177" i="253"/>
  <c r="CT177" i="253"/>
  <c r="CY177" i="253" s="1"/>
  <c r="CX177" i="253" s="1"/>
  <c r="CQ177" i="253"/>
  <c r="CJ177" i="253"/>
  <c r="CO177" i="253" s="1"/>
  <c r="CN177" i="253" s="1"/>
  <c r="CG177" i="253"/>
  <c r="BP177" i="253"/>
  <c r="BM177" i="253"/>
  <c r="BF177" i="253"/>
  <c r="BK177" i="253" s="1"/>
  <c r="BJ177" i="253" s="1"/>
  <c r="BC177" i="253"/>
  <c r="AS177" i="253"/>
  <c r="AV177" i="253"/>
  <c r="AL177" i="253"/>
  <c r="AQ177" i="253" s="1"/>
  <c r="AP177" i="253" s="1"/>
  <c r="AI177" i="253"/>
  <c r="R177" i="253"/>
  <c r="M177" i="253"/>
  <c r="C177" i="253"/>
  <c r="DU176" i="253"/>
  <c r="DX176" i="253"/>
  <c r="DN176" i="253"/>
  <c r="DS176" i="253" s="1"/>
  <c r="DR176" i="253" s="1"/>
  <c r="DK176" i="253"/>
  <c r="CZ182" i="253"/>
  <c r="CT176" i="253"/>
  <c r="CY176" i="253" s="1"/>
  <c r="CX176" i="253" s="1"/>
  <c r="CQ176" i="253"/>
  <c r="CO176" i="253"/>
  <c r="CN176" i="253" s="1"/>
  <c r="CJ176" i="253"/>
  <c r="CG176" i="253"/>
  <c r="BZ176" i="253"/>
  <c r="CE176" i="253" s="1"/>
  <c r="CD176" i="253" s="1"/>
  <c r="BW176" i="253"/>
  <c r="BP176" i="253"/>
  <c r="BM176" i="253"/>
  <c r="BF176" i="253"/>
  <c r="BK176" i="253" s="1"/>
  <c r="BJ176" i="253" s="1"/>
  <c r="BC176" i="253"/>
  <c r="AS176" i="253"/>
  <c r="AV176" i="253"/>
  <c r="AL176" i="253"/>
  <c r="AQ176" i="253" s="1"/>
  <c r="AP176" i="253" s="1"/>
  <c r="AI176" i="253"/>
  <c r="R176" i="253"/>
  <c r="M176" i="253"/>
  <c r="DX175" i="253"/>
  <c r="DU175" i="253"/>
  <c r="DN175" i="253"/>
  <c r="DD175" i="253"/>
  <c r="DB182" i="253"/>
  <c r="DA175" i="253"/>
  <c r="CP182" i="253"/>
  <c r="CN175" i="253"/>
  <c r="CJ175" i="253"/>
  <c r="CO175" i="253" s="1"/>
  <c r="CE175" i="253"/>
  <c r="BZ175" i="253"/>
  <c r="BW175" i="253"/>
  <c r="BM175" i="253"/>
  <c r="BF175" i="253"/>
  <c r="BA175" i="253"/>
  <c r="AV175" i="253"/>
  <c r="AT182" i="253"/>
  <c r="AS175" i="253"/>
  <c r="AL175" i="253"/>
  <c r="AB175" i="253"/>
  <c r="Z182" i="253"/>
  <c r="Y175" i="253"/>
  <c r="R175" i="253"/>
  <c r="C175" i="253"/>
  <c r="DX174" i="253"/>
  <c r="DN174" i="253"/>
  <c r="DD174" i="253"/>
  <c r="CT174" i="253"/>
  <c r="CJ174" i="253"/>
  <c r="BZ174" i="253"/>
  <c r="BP174" i="253"/>
  <c r="BF174" i="253"/>
  <c r="AV174" i="253"/>
  <c r="AL174" i="253"/>
  <c r="AB174" i="253"/>
  <c r="R174" i="253"/>
  <c r="EN173" i="253"/>
  <c r="DX173" i="253"/>
  <c r="DN173" i="253"/>
  <c r="DD173" i="253"/>
  <c r="CT173" i="253"/>
  <c r="CJ173" i="253"/>
  <c r="BZ173" i="253"/>
  <c r="BP173" i="253"/>
  <c r="BF173" i="253"/>
  <c r="AV173" i="253"/>
  <c r="AL173" i="253"/>
  <c r="AB173" i="253"/>
  <c r="R173" i="253"/>
  <c r="DX172" i="253"/>
  <c r="DN172" i="253"/>
  <c r="DD172" i="253"/>
  <c r="CT172" i="253"/>
  <c r="CJ172" i="253"/>
  <c r="BZ172" i="253"/>
  <c r="BP172" i="253"/>
  <c r="BF172" i="253"/>
  <c r="AV172" i="253"/>
  <c r="AB172" i="253"/>
  <c r="R172" i="253"/>
  <c r="EL171" i="253"/>
  <c r="EL211" i="253" s="1"/>
  <c r="EK171" i="253"/>
  <c r="EK211" i="253" s="1"/>
  <c r="EJ171" i="253"/>
  <c r="EJ211" i="253" s="1"/>
  <c r="EA171" i="253"/>
  <c r="DZ171" i="253"/>
  <c r="DY171" i="253"/>
  <c r="DV171" i="253"/>
  <c r="DQ171" i="253"/>
  <c r="DP171" i="253"/>
  <c r="DO171" i="253"/>
  <c r="DG171" i="253"/>
  <c r="DF171" i="253"/>
  <c r="DE171" i="253"/>
  <c r="DD171" i="253"/>
  <c r="CZ171" i="253"/>
  <c r="CW171" i="253"/>
  <c r="CP171" i="253"/>
  <c r="CM171" i="253"/>
  <c r="CL171" i="253"/>
  <c r="CK171" i="253"/>
  <c r="CH171" i="253"/>
  <c r="CC171" i="253"/>
  <c r="CB171" i="253"/>
  <c r="CA171" i="253"/>
  <c r="BX171" i="253"/>
  <c r="BS171" i="253"/>
  <c r="BR171" i="253"/>
  <c r="BQ171" i="253"/>
  <c r="BL171" i="253"/>
  <c r="BI171" i="253"/>
  <c r="BH171" i="253"/>
  <c r="BG171" i="253"/>
  <c r="AY171" i="253"/>
  <c r="AX171" i="253"/>
  <c r="AW171" i="253"/>
  <c r="AJ171" i="253"/>
  <c r="EG170" i="253"/>
  <c r="DX170" i="253"/>
  <c r="EC170" i="253" s="1"/>
  <c r="EB170" i="253" s="1"/>
  <c r="DU170" i="253"/>
  <c r="DS170" i="253"/>
  <c r="DR170" i="253" s="1"/>
  <c r="DN170" i="253"/>
  <c r="DK170" i="253"/>
  <c r="DD170" i="253"/>
  <c r="CY170" i="253"/>
  <c r="CX170" i="253"/>
  <c r="CT170" i="253"/>
  <c r="CQ170" i="253"/>
  <c r="CJ170" i="253"/>
  <c r="CG170" i="253"/>
  <c r="BZ170" i="253"/>
  <c r="CE170" i="253" s="1"/>
  <c r="CD170" i="253" s="1"/>
  <c r="BW170" i="253"/>
  <c r="BP170" i="253"/>
  <c r="BU170" i="253" s="1"/>
  <c r="BT170" i="253" s="1"/>
  <c r="BM170" i="253"/>
  <c r="BF170" i="253"/>
  <c r="BK170" i="253" s="1"/>
  <c r="BJ170" i="253" s="1"/>
  <c r="BC170" i="253"/>
  <c r="AS170" i="253"/>
  <c r="AV170" i="253"/>
  <c r="BA170" i="253" s="1"/>
  <c r="AZ170" i="253" s="1"/>
  <c r="AB170" i="253"/>
  <c r="AG170" i="253" s="1"/>
  <c r="AF170" i="253" s="1"/>
  <c r="Y170" i="253"/>
  <c r="R170" i="253"/>
  <c r="O170" i="253"/>
  <c r="M170" i="253"/>
  <c r="C171" i="253"/>
  <c r="DX169" i="253"/>
  <c r="DU169" i="253"/>
  <c r="DN169" i="253"/>
  <c r="DL171" i="253"/>
  <c r="DK169" i="253"/>
  <c r="DJ171" i="253"/>
  <c r="DI169" i="253"/>
  <c r="DH169" i="253" s="1"/>
  <c r="DD169" i="253"/>
  <c r="DA169" i="253"/>
  <c r="CT169" i="253"/>
  <c r="CT171" i="253" s="1"/>
  <c r="CO169" i="253"/>
  <c r="CN169" i="253"/>
  <c r="CJ169" i="253"/>
  <c r="CG169" i="253"/>
  <c r="BZ169" i="253"/>
  <c r="BW169" i="253"/>
  <c r="BP169" i="253"/>
  <c r="BM169" i="253"/>
  <c r="BF169" i="253"/>
  <c r="BD171" i="253"/>
  <c r="BC169" i="253"/>
  <c r="AV169" i="253"/>
  <c r="AS169" i="253"/>
  <c r="AI169" i="253"/>
  <c r="R169" i="253"/>
  <c r="M169" i="253"/>
  <c r="M171" i="253" s="1"/>
  <c r="G171" i="253"/>
  <c r="DX168" i="253"/>
  <c r="DN168" i="253"/>
  <c r="CT168" i="253"/>
  <c r="CJ168" i="253"/>
  <c r="BZ168" i="253"/>
  <c r="BP168" i="253"/>
  <c r="BF168" i="253"/>
  <c r="AL168" i="253"/>
  <c r="R168" i="253"/>
  <c r="DN167" i="253"/>
  <c r="DD167" i="253"/>
  <c r="CT167" i="253"/>
  <c r="BZ167" i="253"/>
  <c r="BF167" i="253"/>
  <c r="AV167" i="253"/>
  <c r="AL167" i="253"/>
  <c r="AB167" i="253"/>
  <c r="R167" i="253"/>
  <c r="DT166" i="253"/>
  <c r="DN166" i="253"/>
  <c r="CT166" i="253"/>
  <c r="BZ166" i="253"/>
  <c r="BF166" i="253"/>
  <c r="AV166" i="253"/>
  <c r="AL166" i="253"/>
  <c r="AB166" i="253"/>
  <c r="R166" i="253"/>
  <c r="DI165" i="253"/>
  <c r="BU165" i="253"/>
  <c r="BT165" i="253" s="1"/>
  <c r="BL166" i="253"/>
  <c r="AG165" i="253"/>
  <c r="AF165" i="253" s="1"/>
  <c r="EG165" i="253"/>
  <c r="M165" i="253"/>
  <c r="DX164" i="253"/>
  <c r="DN164" i="253"/>
  <c r="DD164" i="253"/>
  <c r="CT164" i="253"/>
  <c r="CJ164" i="253"/>
  <c r="BZ164" i="253"/>
  <c r="BP164" i="253"/>
  <c r="BF164" i="253"/>
  <c r="AV164" i="253"/>
  <c r="AL164" i="253"/>
  <c r="AB164" i="253"/>
  <c r="R164" i="253"/>
  <c r="DX163" i="253"/>
  <c r="DN163" i="253"/>
  <c r="DD163" i="253"/>
  <c r="CT163" i="253"/>
  <c r="CJ163" i="253"/>
  <c r="BZ163" i="253"/>
  <c r="BP163" i="253"/>
  <c r="BF163" i="253"/>
  <c r="AV163" i="253"/>
  <c r="AL163" i="253"/>
  <c r="AB163" i="253"/>
  <c r="R163" i="253"/>
  <c r="DX162" i="253"/>
  <c r="DN162" i="253"/>
  <c r="DD162" i="253"/>
  <c r="CT162" i="253"/>
  <c r="CJ162" i="253"/>
  <c r="BZ162" i="253"/>
  <c r="BP162" i="253"/>
  <c r="BF162" i="253"/>
  <c r="AV162" i="253"/>
  <c r="AL162" i="253"/>
  <c r="AB162" i="253"/>
  <c r="R162" i="253"/>
  <c r="DX160" i="253"/>
  <c r="DN160" i="253"/>
  <c r="DD160" i="253"/>
  <c r="CJ160" i="253"/>
  <c r="BZ160" i="253"/>
  <c r="BP160" i="253"/>
  <c r="BF160" i="253"/>
  <c r="AV160" i="253"/>
  <c r="AL160" i="253"/>
  <c r="AB160" i="253"/>
  <c r="R160" i="253"/>
  <c r="ED159" i="253"/>
  <c r="EA159" i="253"/>
  <c r="DZ159" i="253"/>
  <c r="DY159" i="253"/>
  <c r="DV159" i="253"/>
  <c r="DQ159" i="253"/>
  <c r="DP159" i="253"/>
  <c r="DO159" i="253"/>
  <c r="DG159" i="253"/>
  <c r="DF159" i="253"/>
  <c r="DE159" i="253"/>
  <c r="CW159" i="253"/>
  <c r="CM159" i="253"/>
  <c r="CL159" i="253"/>
  <c r="CK159" i="253"/>
  <c r="CC159" i="253"/>
  <c r="CB159" i="253"/>
  <c r="CA159" i="253"/>
  <c r="BS159" i="253"/>
  <c r="BR159" i="253"/>
  <c r="BQ159" i="253"/>
  <c r="BI159" i="253"/>
  <c r="BH159" i="253"/>
  <c r="BG159" i="253"/>
  <c r="AY159" i="253"/>
  <c r="AX159" i="253"/>
  <c r="AW159" i="253"/>
  <c r="DX158" i="253"/>
  <c r="EC158" i="253" s="1"/>
  <c r="EB158" i="253" s="1"/>
  <c r="DU158" i="253"/>
  <c r="DN158" i="253"/>
  <c r="DS158" i="253" s="1"/>
  <c r="DR158" i="253" s="1"/>
  <c r="DK158" i="253"/>
  <c r="DI158" i="253"/>
  <c r="DH158" i="253" s="1"/>
  <c r="DD158" i="253"/>
  <c r="DA158" i="253"/>
  <c r="CJ158" i="253"/>
  <c r="CO158" i="253" s="1"/>
  <c r="CN158" i="253" s="1"/>
  <c r="CG158" i="253"/>
  <c r="BZ158" i="253"/>
  <c r="CE158" i="253" s="1"/>
  <c r="CD158" i="253" s="1"/>
  <c r="BW158" i="253"/>
  <c r="BP158" i="253"/>
  <c r="BF158" i="253"/>
  <c r="BK158" i="253" s="1"/>
  <c r="BJ158" i="253" s="1"/>
  <c r="BC158" i="253"/>
  <c r="AV158" i="253"/>
  <c r="BA158" i="253" s="1"/>
  <c r="AZ158" i="253" s="1"/>
  <c r="AS158" i="253"/>
  <c r="AL158" i="253"/>
  <c r="AI158" i="253"/>
  <c r="AB158" i="253"/>
  <c r="AG158" i="253" s="1"/>
  <c r="AF158" i="253" s="1"/>
  <c r="Y158" i="253"/>
  <c r="R158" i="253"/>
  <c r="O158" i="253"/>
  <c r="M158" i="253"/>
  <c r="D158" i="253"/>
  <c r="DX157" i="253"/>
  <c r="EC157" i="253" s="1"/>
  <c r="EB157" i="253" s="1"/>
  <c r="DU157" i="253"/>
  <c r="DN157" i="253"/>
  <c r="DD157" i="253"/>
  <c r="DI157" i="253" s="1"/>
  <c r="DH157" i="253" s="1"/>
  <c r="DA157" i="253"/>
  <c r="CT157" i="253"/>
  <c r="CY157" i="253" s="1"/>
  <c r="CX157" i="253" s="1"/>
  <c r="CQ157" i="253"/>
  <c r="CJ157" i="253"/>
  <c r="CO157" i="253" s="1"/>
  <c r="CN157" i="253" s="1"/>
  <c r="CG157" i="253"/>
  <c r="CE157" i="253"/>
  <c r="CD157" i="253" s="1"/>
  <c r="BZ157" i="253"/>
  <c r="BW157" i="253"/>
  <c r="BF157" i="253"/>
  <c r="BK157" i="253" s="1"/>
  <c r="BJ157" i="253" s="1"/>
  <c r="BC157" i="253"/>
  <c r="AV157" i="253"/>
  <c r="BA157" i="253" s="1"/>
  <c r="AZ157" i="253" s="1"/>
  <c r="AS157" i="253"/>
  <c r="AL157" i="253"/>
  <c r="AB157" i="253"/>
  <c r="AG157" i="253" s="1"/>
  <c r="AF157" i="253" s="1"/>
  <c r="Y157" i="253"/>
  <c r="R157" i="253"/>
  <c r="EG157" i="253"/>
  <c r="M157" i="253"/>
  <c r="D157" i="253"/>
  <c r="EC156" i="253"/>
  <c r="EB156" i="253" s="1"/>
  <c r="DX156" i="253"/>
  <c r="DU156" i="253"/>
  <c r="DD156" i="253"/>
  <c r="DI156" i="253" s="1"/>
  <c r="DH156" i="253" s="1"/>
  <c r="DA156" i="253"/>
  <c r="CT156" i="253"/>
  <c r="CY156" i="253" s="1"/>
  <c r="CX156" i="253" s="1"/>
  <c r="CQ156" i="253"/>
  <c r="CJ156" i="253"/>
  <c r="EG156" i="253"/>
  <c r="BZ156" i="253"/>
  <c r="CE156" i="253" s="1"/>
  <c r="CD156" i="253" s="1"/>
  <c r="BW156" i="253"/>
  <c r="BP156" i="253"/>
  <c r="BU156" i="253" s="1"/>
  <c r="BT156" i="253" s="1"/>
  <c r="BM156" i="253"/>
  <c r="BF156" i="253"/>
  <c r="BK156" i="253" s="1"/>
  <c r="BJ156" i="253" s="1"/>
  <c r="BC156" i="253"/>
  <c r="BA156" i="253"/>
  <c r="AZ156" i="253" s="1"/>
  <c r="AV156" i="253"/>
  <c r="AS156" i="253"/>
  <c r="AB156" i="253"/>
  <c r="AG156" i="253" s="1"/>
  <c r="AF156" i="253" s="1"/>
  <c r="Y156" i="253"/>
  <c r="R156" i="253"/>
  <c r="O156" i="253"/>
  <c r="M156" i="253"/>
  <c r="D156" i="253"/>
  <c r="DX155" i="253"/>
  <c r="DN155" i="253"/>
  <c r="DS155" i="253" s="1"/>
  <c r="DR155" i="253" s="1"/>
  <c r="DK155" i="253"/>
  <c r="DD155" i="253"/>
  <c r="DI155" i="253" s="1"/>
  <c r="DH155" i="253" s="1"/>
  <c r="DA155" i="253"/>
  <c r="CT155" i="253"/>
  <c r="CQ155" i="253"/>
  <c r="CJ155" i="253"/>
  <c r="CO155" i="253" s="1"/>
  <c r="CN155" i="253" s="1"/>
  <c r="CG155" i="253"/>
  <c r="CD155" i="253"/>
  <c r="BZ155" i="253"/>
  <c r="CE155" i="253" s="1"/>
  <c r="BW155" i="253"/>
  <c r="BP155" i="253"/>
  <c r="BU155" i="253" s="1"/>
  <c r="BT155" i="253" s="1"/>
  <c r="BM155" i="253"/>
  <c r="BK155" i="253"/>
  <c r="BJ155" i="253" s="1"/>
  <c r="BF155" i="253"/>
  <c r="BC155" i="253"/>
  <c r="AV155" i="253"/>
  <c r="AS155" i="253"/>
  <c r="AL155" i="253"/>
  <c r="AQ155" i="253" s="1"/>
  <c r="AP155" i="253" s="1"/>
  <c r="AI155" i="253"/>
  <c r="EE155" i="253"/>
  <c r="R155" i="253"/>
  <c r="M155" i="253"/>
  <c r="D155" i="253"/>
  <c r="DU154" i="253"/>
  <c r="DN154" i="253"/>
  <c r="DS154" i="253" s="1"/>
  <c r="DR154" i="253" s="1"/>
  <c r="DK154" i="253"/>
  <c r="DD154" i="253"/>
  <c r="DI154" i="253" s="1"/>
  <c r="DH154" i="253" s="1"/>
  <c r="DA154" i="253"/>
  <c r="CT154" i="253"/>
  <c r="CY154" i="253" s="1"/>
  <c r="CX154" i="253" s="1"/>
  <c r="CQ154" i="253"/>
  <c r="CJ154" i="253"/>
  <c r="CO154" i="253" s="1"/>
  <c r="CN154" i="253" s="1"/>
  <c r="CG154" i="253"/>
  <c r="BZ154" i="253"/>
  <c r="CE154" i="253" s="1"/>
  <c r="CD154" i="253" s="1"/>
  <c r="BP154" i="253"/>
  <c r="BU154" i="253" s="1"/>
  <c r="BT154" i="253" s="1"/>
  <c r="BM154" i="253"/>
  <c r="BF154" i="253"/>
  <c r="BK154" i="253" s="1"/>
  <c r="BJ154" i="253" s="1"/>
  <c r="BC154" i="253"/>
  <c r="AL154" i="253"/>
  <c r="AQ154" i="253" s="1"/>
  <c r="AP154" i="253" s="1"/>
  <c r="AI154" i="253"/>
  <c r="AG154" i="253"/>
  <c r="AF154" i="253" s="1"/>
  <c r="AB154" i="253"/>
  <c r="Y154" i="253"/>
  <c r="R154" i="253"/>
  <c r="M154" i="253"/>
  <c r="D154" i="253"/>
  <c r="DN153" i="253"/>
  <c r="DS153" i="253" s="1"/>
  <c r="DR153" i="253" s="1"/>
  <c r="DK153" i="253"/>
  <c r="DI153" i="253"/>
  <c r="DH153" i="253" s="1"/>
  <c r="DD153" i="253"/>
  <c r="DA153" i="253"/>
  <c r="CQ153" i="253"/>
  <c r="CJ153" i="253"/>
  <c r="CO153" i="253" s="1"/>
  <c r="CN153" i="253" s="1"/>
  <c r="CG153" i="253"/>
  <c r="BZ153" i="253"/>
  <c r="CE153" i="253" s="1"/>
  <c r="CD153" i="253" s="1"/>
  <c r="BW153" i="253"/>
  <c r="BP153" i="253"/>
  <c r="BF153" i="253"/>
  <c r="BK153" i="253" s="1"/>
  <c r="BJ153" i="253" s="1"/>
  <c r="BC153" i="253"/>
  <c r="AV153" i="253"/>
  <c r="BA153" i="253" s="1"/>
  <c r="AZ153" i="253" s="1"/>
  <c r="AL153" i="253"/>
  <c r="AQ153" i="253" s="1"/>
  <c r="AP153" i="253" s="1"/>
  <c r="AI153" i="253"/>
  <c r="AB153" i="253"/>
  <c r="AG153" i="253" s="1"/>
  <c r="AF153" i="253" s="1"/>
  <c r="Y153" i="253"/>
  <c r="EE153" i="253"/>
  <c r="M153" i="253"/>
  <c r="D153" i="253"/>
  <c r="DX152" i="253"/>
  <c r="EC152" i="253" s="1"/>
  <c r="EB152" i="253" s="1"/>
  <c r="DU152" i="253"/>
  <c r="DN152" i="253"/>
  <c r="DD152" i="253"/>
  <c r="DI152" i="253" s="1"/>
  <c r="DH152" i="253" s="1"/>
  <c r="DA152" i="253"/>
  <c r="CJ152" i="253"/>
  <c r="CO152" i="253" s="1"/>
  <c r="CN152" i="253" s="1"/>
  <c r="CG152" i="253"/>
  <c r="BZ152" i="253"/>
  <c r="CE152" i="253" s="1"/>
  <c r="CD152" i="253" s="1"/>
  <c r="BW152" i="253"/>
  <c r="BM152" i="253"/>
  <c r="BF152" i="253"/>
  <c r="BK152" i="253" s="1"/>
  <c r="BJ152" i="253" s="1"/>
  <c r="BC152" i="253"/>
  <c r="AV152" i="253"/>
  <c r="BA152" i="253" s="1"/>
  <c r="AZ152" i="253" s="1"/>
  <c r="AS152" i="253"/>
  <c r="AL152" i="253"/>
  <c r="AG152" i="253"/>
  <c r="AF152" i="253" s="1"/>
  <c r="AB152" i="253"/>
  <c r="Y152" i="253"/>
  <c r="EG152" i="253"/>
  <c r="EE152" i="253"/>
  <c r="M152" i="253"/>
  <c r="EG151" i="253"/>
  <c r="DX151" i="253"/>
  <c r="EC151" i="253" s="1"/>
  <c r="EB151" i="253" s="1"/>
  <c r="DU151" i="253"/>
  <c r="DK151" i="253"/>
  <c r="DD151" i="253"/>
  <c r="DI151" i="253" s="1"/>
  <c r="DH151" i="253" s="1"/>
  <c r="DA151" i="253"/>
  <c r="CT151" i="253"/>
  <c r="CY151" i="253" s="1"/>
  <c r="CX151" i="253" s="1"/>
  <c r="CQ151" i="253"/>
  <c r="CJ151" i="253"/>
  <c r="CE151" i="253"/>
  <c r="CD151" i="253" s="1"/>
  <c r="BZ151" i="253"/>
  <c r="BW151" i="253"/>
  <c r="BM151" i="253"/>
  <c r="BF151" i="253"/>
  <c r="BC151" i="253"/>
  <c r="AV151" i="253"/>
  <c r="BA151" i="253" s="1"/>
  <c r="AZ151" i="253" s="1"/>
  <c r="AS151" i="253"/>
  <c r="AL151" i="253"/>
  <c r="AI151" i="253"/>
  <c r="AB151" i="253"/>
  <c r="AG151" i="253" s="1"/>
  <c r="AF151" i="253" s="1"/>
  <c r="Y151" i="253"/>
  <c r="R151" i="253"/>
  <c r="W151" i="253" s="1"/>
  <c r="V151" i="253" s="1"/>
  <c r="M151" i="253"/>
  <c r="D151" i="253"/>
  <c r="EC150" i="253"/>
  <c r="EB150" i="253" s="1"/>
  <c r="DX150" i="253"/>
  <c r="DU150" i="253"/>
  <c r="DN150" i="253"/>
  <c r="DS150" i="253" s="1"/>
  <c r="DR150" i="253" s="1"/>
  <c r="DD150" i="253"/>
  <c r="DI150" i="253" s="1"/>
  <c r="DH150" i="253" s="1"/>
  <c r="DA150" i="253"/>
  <c r="CT150" i="253"/>
  <c r="CY150" i="253" s="1"/>
  <c r="CX150" i="253" s="1"/>
  <c r="CQ150" i="253"/>
  <c r="CG150" i="253"/>
  <c r="BZ150" i="253"/>
  <c r="CE150" i="253" s="1"/>
  <c r="CD150" i="253" s="1"/>
  <c r="BU150" i="253"/>
  <c r="BT150" i="253" s="1"/>
  <c r="BP150" i="253"/>
  <c r="BM150" i="253"/>
  <c r="BF150" i="253"/>
  <c r="EG150" i="253"/>
  <c r="BA150" i="253"/>
  <c r="AZ150" i="253" s="1"/>
  <c r="AV150" i="253"/>
  <c r="AS150" i="253"/>
  <c r="AL150" i="253"/>
  <c r="AQ150" i="253" s="1"/>
  <c r="AP150" i="253" s="1"/>
  <c r="AB150" i="253"/>
  <c r="W150" i="253"/>
  <c r="V150" i="253" s="1"/>
  <c r="R150" i="253"/>
  <c r="O150" i="253"/>
  <c r="M150" i="253"/>
  <c r="D150" i="253"/>
  <c r="EC149" i="253"/>
  <c r="EB149" i="253" s="1"/>
  <c r="DX149" i="253"/>
  <c r="DU149" i="253"/>
  <c r="DN149" i="253"/>
  <c r="DD149" i="253"/>
  <c r="DI149" i="253" s="1"/>
  <c r="DH149" i="253" s="1"/>
  <c r="DA149" i="253"/>
  <c r="CT149" i="253"/>
  <c r="CY149" i="253" s="1"/>
  <c r="CX149" i="253" s="1"/>
  <c r="CJ149" i="253"/>
  <c r="CO149" i="253" s="1"/>
  <c r="CN149" i="253" s="1"/>
  <c r="CG149" i="253"/>
  <c r="BZ149" i="253"/>
  <c r="CE149" i="253" s="1"/>
  <c r="CD149" i="253" s="1"/>
  <c r="BW149" i="253"/>
  <c r="BM149" i="253"/>
  <c r="BF149" i="253"/>
  <c r="BK149" i="253" s="1"/>
  <c r="BJ149" i="253" s="1"/>
  <c r="AV149" i="253"/>
  <c r="BA149" i="253" s="1"/>
  <c r="AZ149" i="253" s="1"/>
  <c r="AS149" i="253"/>
  <c r="AQ149" i="253"/>
  <c r="AP149" i="253" s="1"/>
  <c r="AL149" i="253"/>
  <c r="AI149" i="253"/>
  <c r="AB149" i="253"/>
  <c r="AG149" i="253" s="1"/>
  <c r="AF149" i="253" s="1"/>
  <c r="Y149" i="253"/>
  <c r="R149" i="253"/>
  <c r="EE149" i="253"/>
  <c r="M149" i="253"/>
  <c r="D149" i="253"/>
  <c r="EG148" i="253"/>
  <c r="DK148" i="253"/>
  <c r="DD148" i="253"/>
  <c r="DI148" i="253" s="1"/>
  <c r="DH148" i="253" s="1"/>
  <c r="DA148" i="253"/>
  <c r="CT148" i="253"/>
  <c r="CY148" i="253" s="1"/>
  <c r="CX148" i="253" s="1"/>
  <c r="CQ148" i="253"/>
  <c r="CJ148" i="253"/>
  <c r="CO148" i="253" s="1"/>
  <c r="CN148" i="253" s="1"/>
  <c r="BZ148" i="253"/>
  <c r="CE148" i="253" s="1"/>
  <c r="CD148" i="253" s="1"/>
  <c r="BW148" i="253"/>
  <c r="BM148" i="253"/>
  <c r="BF148" i="253"/>
  <c r="BC148" i="253"/>
  <c r="AV148" i="253"/>
  <c r="BA148" i="253" s="1"/>
  <c r="AZ148" i="253" s="1"/>
  <c r="AS148" i="253"/>
  <c r="AQ148" i="253"/>
  <c r="AP148" i="253" s="1"/>
  <c r="AL148" i="253"/>
  <c r="AI148" i="253"/>
  <c r="AB148" i="253"/>
  <c r="AG148" i="253" s="1"/>
  <c r="AF148" i="253" s="1"/>
  <c r="Y148" i="253"/>
  <c r="W148" i="253"/>
  <c r="V148" i="253" s="1"/>
  <c r="R148" i="253"/>
  <c r="O148" i="253"/>
  <c r="M148" i="253"/>
  <c r="D148" i="253"/>
  <c r="DU147" i="253"/>
  <c r="DN147" i="253"/>
  <c r="DS147" i="253" s="1"/>
  <c r="DR147" i="253" s="1"/>
  <c r="DK147" i="253"/>
  <c r="DA147" i="253"/>
  <c r="CT147" i="253"/>
  <c r="CQ147" i="253"/>
  <c r="CJ147" i="253"/>
  <c r="CO147" i="253" s="1"/>
  <c r="CN147" i="253" s="1"/>
  <c r="CG147" i="253"/>
  <c r="BZ147" i="253"/>
  <c r="CE147" i="253" s="1"/>
  <c r="CD147" i="253" s="1"/>
  <c r="BP147" i="253"/>
  <c r="BU147" i="253" s="1"/>
  <c r="BT147" i="253" s="1"/>
  <c r="BM147" i="253"/>
  <c r="BF147" i="253"/>
  <c r="BK147" i="253" s="1"/>
  <c r="BJ147" i="253" s="1"/>
  <c r="BC147" i="253"/>
  <c r="AV147" i="253"/>
  <c r="BA147" i="253" s="1"/>
  <c r="AZ147" i="253" s="1"/>
  <c r="AS147" i="253"/>
  <c r="AL147" i="253"/>
  <c r="AQ147" i="253" s="1"/>
  <c r="AP147" i="253" s="1"/>
  <c r="AI147" i="253"/>
  <c r="Y147" i="253"/>
  <c r="W147" i="253"/>
  <c r="V147" i="253" s="1"/>
  <c r="EG147" i="253"/>
  <c r="R147" i="253"/>
  <c r="M147" i="253"/>
  <c r="D147" i="253"/>
  <c r="DX146" i="253"/>
  <c r="EC146" i="253" s="1"/>
  <c r="EB146" i="253" s="1"/>
  <c r="DU146" i="253"/>
  <c r="DN146" i="253"/>
  <c r="DS146" i="253" s="1"/>
  <c r="DR146" i="253" s="1"/>
  <c r="DK146" i="253"/>
  <c r="DD146" i="253"/>
  <c r="DI146" i="253" s="1"/>
  <c r="DH146" i="253" s="1"/>
  <c r="DA146" i="253"/>
  <c r="CQ146" i="253"/>
  <c r="CO146" i="253"/>
  <c r="CN146" i="253" s="1"/>
  <c r="CJ146" i="253"/>
  <c r="CG146" i="253"/>
  <c r="BZ146" i="253"/>
  <c r="CE146" i="253" s="1"/>
  <c r="CD146" i="253" s="1"/>
  <c r="BW146" i="253"/>
  <c r="BP146" i="253"/>
  <c r="BU146" i="253" s="1"/>
  <c r="BT146" i="253" s="1"/>
  <c r="BM146" i="253"/>
  <c r="BF146" i="253"/>
  <c r="BC146" i="253"/>
  <c r="AV146" i="253"/>
  <c r="BA146" i="253" s="1"/>
  <c r="AZ146" i="253" s="1"/>
  <c r="AS146" i="253"/>
  <c r="AL146" i="253"/>
  <c r="AQ146" i="253" s="1"/>
  <c r="AP146" i="253" s="1"/>
  <c r="AI146" i="253"/>
  <c r="AB146" i="253"/>
  <c r="AG146" i="253" s="1"/>
  <c r="AF146" i="253" s="1"/>
  <c r="Y146" i="253"/>
  <c r="R146" i="253"/>
  <c r="M146" i="253"/>
  <c r="EB145" i="253"/>
  <c r="DX145" i="253"/>
  <c r="EC145" i="253" s="1"/>
  <c r="DU145" i="253"/>
  <c r="DN145" i="253"/>
  <c r="DS145" i="253" s="1"/>
  <c r="DR145" i="253" s="1"/>
  <c r="DK145" i="253"/>
  <c r="DD145" i="253"/>
  <c r="DI145" i="253" s="1"/>
  <c r="DH145" i="253" s="1"/>
  <c r="DA145" i="253"/>
  <c r="CT145" i="253"/>
  <c r="CY145" i="253" s="1"/>
  <c r="CX145" i="253" s="1"/>
  <c r="CQ145" i="253"/>
  <c r="CJ145" i="253"/>
  <c r="CO145" i="253" s="1"/>
  <c r="CN145" i="253" s="1"/>
  <c r="CG145" i="253"/>
  <c r="BW145" i="253"/>
  <c r="BZ145" i="253"/>
  <c r="CE145" i="253" s="1"/>
  <c r="CD145" i="253" s="1"/>
  <c r="BP145" i="253"/>
  <c r="BU145" i="253" s="1"/>
  <c r="BT145" i="253" s="1"/>
  <c r="BM145" i="253"/>
  <c r="BF145" i="253"/>
  <c r="BK145" i="253" s="1"/>
  <c r="BJ145" i="253" s="1"/>
  <c r="BC145" i="253"/>
  <c r="AV145" i="253"/>
  <c r="AS145" i="253"/>
  <c r="AL145" i="253"/>
  <c r="AQ145" i="253" s="1"/>
  <c r="AP145" i="253" s="1"/>
  <c r="AI145" i="253"/>
  <c r="AB145" i="253"/>
  <c r="AG145" i="253" s="1"/>
  <c r="AF145" i="253" s="1"/>
  <c r="Y145" i="253"/>
  <c r="R145" i="253"/>
  <c r="EI145" i="253" s="1"/>
  <c r="M145" i="253"/>
  <c r="D145" i="253"/>
  <c r="EB144" i="253"/>
  <c r="DX144" i="253"/>
  <c r="EC144" i="253" s="1"/>
  <c r="DU144" i="253"/>
  <c r="DN144" i="253"/>
  <c r="DS144" i="253" s="1"/>
  <c r="DR144" i="253" s="1"/>
  <c r="DK144" i="253"/>
  <c r="DD144" i="253"/>
  <c r="DI144" i="253" s="1"/>
  <c r="DH144" i="253" s="1"/>
  <c r="DA144" i="253"/>
  <c r="CT144" i="253"/>
  <c r="CY144" i="253" s="1"/>
  <c r="CX144" i="253" s="1"/>
  <c r="CQ144" i="253"/>
  <c r="CG144" i="253"/>
  <c r="CJ144" i="253"/>
  <c r="CO144" i="253" s="1"/>
  <c r="CN144" i="253" s="1"/>
  <c r="BZ144" i="253"/>
  <c r="CE144" i="253" s="1"/>
  <c r="CD144" i="253" s="1"/>
  <c r="BW144" i="253"/>
  <c r="BM144" i="253"/>
  <c r="BP144" i="253"/>
  <c r="BU144" i="253" s="1"/>
  <c r="BT144" i="253" s="1"/>
  <c r="BF144" i="253"/>
  <c r="BK144" i="253" s="1"/>
  <c r="BJ144" i="253" s="1"/>
  <c r="BC144" i="253"/>
  <c r="AV144" i="253"/>
  <c r="BA144" i="253" s="1"/>
  <c r="AZ144" i="253" s="1"/>
  <c r="AS144" i="253"/>
  <c r="AL144" i="253"/>
  <c r="AQ144" i="253" s="1"/>
  <c r="AP144" i="253" s="1"/>
  <c r="AI144" i="253"/>
  <c r="AB144" i="253"/>
  <c r="Y144" i="253"/>
  <c r="R144" i="253"/>
  <c r="EE144" i="253"/>
  <c r="M144" i="253"/>
  <c r="D144" i="253"/>
  <c r="DX143" i="253"/>
  <c r="DD143" i="253"/>
  <c r="DB159" i="253"/>
  <c r="DA143" i="253"/>
  <c r="CT143" i="253"/>
  <c r="CQ143" i="253"/>
  <c r="CJ143" i="253"/>
  <c r="CG143" i="253"/>
  <c r="BZ143" i="253"/>
  <c r="BP143" i="253"/>
  <c r="BC143" i="253"/>
  <c r="AV143" i="253"/>
  <c r="AI143" i="253"/>
  <c r="AB143" i="253"/>
  <c r="Z159" i="253"/>
  <c r="Y143" i="253"/>
  <c r="R143" i="253"/>
  <c r="O143" i="253"/>
  <c r="D143" i="253"/>
  <c r="DX142" i="253"/>
  <c r="DN142" i="253"/>
  <c r="DD142" i="253"/>
  <c r="CT142" i="253"/>
  <c r="CJ142" i="253"/>
  <c r="BZ142" i="253"/>
  <c r="BP142" i="253"/>
  <c r="BF142" i="253"/>
  <c r="AV142" i="253"/>
  <c r="AL142" i="253"/>
  <c r="AB142" i="253"/>
  <c r="R142" i="253"/>
  <c r="EB141" i="253"/>
  <c r="DX141" i="253"/>
  <c r="EC141" i="253" s="1"/>
  <c r="DU141" i="253"/>
  <c r="DN141" i="253"/>
  <c r="DS141" i="253" s="1"/>
  <c r="DR141" i="253" s="1"/>
  <c r="DK141" i="253"/>
  <c r="DD141" i="253"/>
  <c r="DI141" i="253" s="1"/>
  <c r="DH141" i="253" s="1"/>
  <c r="DA141" i="253"/>
  <c r="CT141" i="253"/>
  <c r="CQ141" i="253"/>
  <c r="CG141" i="253"/>
  <c r="CJ141" i="253"/>
  <c r="CO141" i="253" s="1"/>
  <c r="CN141" i="253" s="1"/>
  <c r="BZ141" i="253"/>
  <c r="CE141" i="253" s="1"/>
  <c r="CD141" i="253" s="1"/>
  <c r="BW141" i="253"/>
  <c r="BM141" i="253"/>
  <c r="BP141" i="253"/>
  <c r="BU141" i="253" s="1"/>
  <c r="BT141" i="253" s="1"/>
  <c r="BF141" i="253"/>
  <c r="BK141" i="253" s="1"/>
  <c r="BJ141" i="253" s="1"/>
  <c r="BC141" i="253"/>
  <c r="AV141" i="253"/>
  <c r="BA141" i="253" s="1"/>
  <c r="AZ141" i="253" s="1"/>
  <c r="AS141" i="253"/>
  <c r="AL141" i="253"/>
  <c r="AQ141" i="253" s="1"/>
  <c r="AP141" i="253" s="1"/>
  <c r="AI141" i="253"/>
  <c r="AB141" i="253"/>
  <c r="Y141" i="253"/>
  <c r="R141" i="253"/>
  <c r="EI141" i="253" s="1"/>
  <c r="EH141" i="253" s="1"/>
  <c r="EE141" i="253"/>
  <c r="M141" i="253"/>
  <c r="DU140" i="253"/>
  <c r="DX140" i="253"/>
  <c r="EC140" i="253" s="1"/>
  <c r="EB140" i="253" s="1"/>
  <c r="DS140" i="253"/>
  <c r="DR140" i="253" s="1"/>
  <c r="DN140" i="253"/>
  <c r="DK140" i="253"/>
  <c r="DD140" i="253"/>
  <c r="DI140" i="253" s="1"/>
  <c r="DH140" i="253" s="1"/>
  <c r="DA140" i="253"/>
  <c r="CT140" i="253"/>
  <c r="CY140" i="253" s="1"/>
  <c r="CX140" i="253" s="1"/>
  <c r="CQ140" i="253"/>
  <c r="CJ140" i="253"/>
  <c r="CO140" i="253" s="1"/>
  <c r="CN140" i="253" s="1"/>
  <c r="CG140" i="253"/>
  <c r="BZ140" i="253"/>
  <c r="BW140" i="253"/>
  <c r="BM140" i="253"/>
  <c r="BP140" i="253"/>
  <c r="BU140" i="253" s="1"/>
  <c r="BT140" i="253" s="1"/>
  <c r="BC140" i="253"/>
  <c r="AS140" i="253"/>
  <c r="AV140" i="253"/>
  <c r="BA140" i="253" s="1"/>
  <c r="AZ140" i="253" s="1"/>
  <c r="AQ140" i="253"/>
  <c r="AP140" i="253" s="1"/>
  <c r="AL140" i="253"/>
  <c r="AI140" i="253"/>
  <c r="AB140" i="253"/>
  <c r="Y140" i="253"/>
  <c r="R140" i="253"/>
  <c r="EG140" i="253"/>
  <c r="O140" i="253"/>
  <c r="M140" i="253"/>
  <c r="D140" i="253"/>
  <c r="DX139" i="253"/>
  <c r="EC139" i="253" s="1"/>
  <c r="EB139" i="253" s="1"/>
  <c r="DU139" i="253"/>
  <c r="DN139" i="253"/>
  <c r="DS139" i="253" s="1"/>
  <c r="DR139" i="253" s="1"/>
  <c r="DK139" i="253"/>
  <c r="DA139" i="253"/>
  <c r="DD139" i="253"/>
  <c r="DI139" i="253" s="1"/>
  <c r="DH139" i="253" s="1"/>
  <c r="CT139" i="253"/>
  <c r="CY139" i="253" s="1"/>
  <c r="CX139" i="253" s="1"/>
  <c r="CQ139" i="253"/>
  <c r="CG139" i="253"/>
  <c r="CJ139" i="253"/>
  <c r="CO139" i="253" s="1"/>
  <c r="CN139" i="253" s="1"/>
  <c r="BZ139" i="253"/>
  <c r="CE139" i="253" s="1"/>
  <c r="CD139" i="253" s="1"/>
  <c r="BW139" i="253"/>
  <c r="BP139" i="253"/>
  <c r="BU139" i="253" s="1"/>
  <c r="BT139" i="253" s="1"/>
  <c r="BM139" i="253"/>
  <c r="BF139" i="253"/>
  <c r="BK139" i="253" s="1"/>
  <c r="BJ139" i="253" s="1"/>
  <c r="BC139" i="253"/>
  <c r="AV139" i="253"/>
  <c r="BA139" i="253" s="1"/>
  <c r="AZ139" i="253" s="1"/>
  <c r="AS139" i="253"/>
  <c r="AL139" i="253"/>
  <c r="AQ139" i="253" s="1"/>
  <c r="AP139" i="253" s="1"/>
  <c r="AI139" i="253"/>
  <c r="EG139" i="253"/>
  <c r="Y139" i="253"/>
  <c r="AB139" i="253"/>
  <c r="AG139" i="253" s="1"/>
  <c r="AF139" i="253" s="1"/>
  <c r="M139" i="253"/>
  <c r="D139" i="253"/>
  <c r="DU138" i="253"/>
  <c r="DX138" i="253"/>
  <c r="EC138" i="253" s="1"/>
  <c r="EB138" i="253" s="1"/>
  <c r="DS138" i="253"/>
  <c r="DR138" i="253" s="1"/>
  <c r="DN138" i="253"/>
  <c r="DK138" i="253"/>
  <c r="DD138" i="253"/>
  <c r="DI138" i="253" s="1"/>
  <c r="DH138" i="253" s="1"/>
  <c r="DA138" i="253"/>
  <c r="CT138" i="253"/>
  <c r="CY138" i="253" s="1"/>
  <c r="CX138" i="253" s="1"/>
  <c r="CQ138" i="253"/>
  <c r="CJ138" i="253"/>
  <c r="CO138" i="253" s="1"/>
  <c r="CN138" i="253" s="1"/>
  <c r="CG138" i="253"/>
  <c r="BZ138" i="253"/>
  <c r="CE138" i="253" s="1"/>
  <c r="CD138" i="253" s="1"/>
  <c r="BW138" i="253"/>
  <c r="BM138" i="253"/>
  <c r="BP138" i="253"/>
  <c r="BU138" i="253" s="1"/>
  <c r="BT138" i="253" s="1"/>
  <c r="BC138" i="253"/>
  <c r="AS138" i="253"/>
  <c r="AV138" i="253"/>
  <c r="BA138" i="253" s="1"/>
  <c r="AZ138" i="253" s="1"/>
  <c r="AL138" i="253"/>
  <c r="AQ138" i="253" s="1"/>
  <c r="AP138" i="253" s="1"/>
  <c r="AI138" i="253"/>
  <c r="AB138" i="253"/>
  <c r="Y138" i="253"/>
  <c r="R138" i="253"/>
  <c r="EG138" i="253"/>
  <c r="O138" i="253"/>
  <c r="M138" i="253"/>
  <c r="D138" i="253"/>
  <c r="DX137" i="253"/>
  <c r="EC137" i="253" s="1"/>
  <c r="EB137" i="253" s="1"/>
  <c r="DU137" i="253"/>
  <c r="DN137" i="253"/>
  <c r="DK137" i="253"/>
  <c r="DA137" i="253"/>
  <c r="DD137" i="253"/>
  <c r="DI137" i="253" s="1"/>
  <c r="DH137" i="253" s="1"/>
  <c r="CT137" i="253"/>
  <c r="CY137" i="253" s="1"/>
  <c r="CX137" i="253" s="1"/>
  <c r="CQ137" i="253"/>
  <c r="CG137" i="253"/>
  <c r="CJ137" i="253"/>
  <c r="CO137" i="253" s="1"/>
  <c r="CN137" i="253" s="1"/>
  <c r="CE137" i="253"/>
  <c r="CD137" i="253" s="1"/>
  <c r="BZ137" i="253"/>
  <c r="BW137" i="253"/>
  <c r="BP137" i="253"/>
  <c r="BU137" i="253" s="1"/>
  <c r="BT137" i="253" s="1"/>
  <c r="BM137" i="253"/>
  <c r="BF137" i="253"/>
  <c r="BK137" i="253" s="1"/>
  <c r="BJ137" i="253" s="1"/>
  <c r="BC137" i="253"/>
  <c r="AV137" i="253"/>
  <c r="BA137" i="253" s="1"/>
  <c r="AZ137" i="253" s="1"/>
  <c r="AS137" i="253"/>
  <c r="AL137" i="253"/>
  <c r="AQ137" i="253" s="1"/>
  <c r="AP137" i="253" s="1"/>
  <c r="AI137" i="253"/>
  <c r="EG137" i="253"/>
  <c r="Y137" i="253"/>
  <c r="AB137" i="253"/>
  <c r="AG137" i="253" s="1"/>
  <c r="AF137" i="253" s="1"/>
  <c r="M137" i="253"/>
  <c r="D137" i="253"/>
  <c r="EE136" i="253"/>
  <c r="DU136" i="253"/>
  <c r="DX136" i="253"/>
  <c r="EC136" i="253" s="1"/>
  <c r="EB136" i="253" s="1"/>
  <c r="DS136" i="253"/>
  <c r="DR136" i="253" s="1"/>
  <c r="DN136" i="253"/>
  <c r="DK136" i="253"/>
  <c r="DD136" i="253"/>
  <c r="DI136" i="253" s="1"/>
  <c r="DH136" i="253" s="1"/>
  <c r="DA136" i="253"/>
  <c r="CT136" i="253"/>
  <c r="CY136" i="253" s="1"/>
  <c r="CX136" i="253" s="1"/>
  <c r="CQ136" i="253"/>
  <c r="CJ136" i="253"/>
  <c r="CO136" i="253" s="1"/>
  <c r="CN136" i="253" s="1"/>
  <c r="CG136" i="253"/>
  <c r="BZ136" i="253"/>
  <c r="CE136" i="253" s="1"/>
  <c r="CD136" i="253" s="1"/>
  <c r="BW136" i="253"/>
  <c r="BM136" i="253"/>
  <c r="BP136" i="253"/>
  <c r="BU136" i="253" s="1"/>
  <c r="BT136" i="253" s="1"/>
  <c r="BC136" i="253"/>
  <c r="AS136" i="253"/>
  <c r="AV136" i="253"/>
  <c r="BA136" i="253" s="1"/>
  <c r="AZ136" i="253" s="1"/>
  <c r="AQ136" i="253"/>
  <c r="AP136" i="253" s="1"/>
  <c r="AL136" i="253"/>
  <c r="AI136" i="253"/>
  <c r="AB136" i="253"/>
  <c r="Y136" i="253"/>
  <c r="R136" i="253"/>
  <c r="EG136" i="253"/>
  <c r="O136" i="253"/>
  <c r="M136" i="253"/>
  <c r="D136" i="253"/>
  <c r="DU135" i="253"/>
  <c r="DX135" i="253"/>
  <c r="EC135" i="253" s="1"/>
  <c r="EB135" i="253" s="1"/>
  <c r="DK135" i="253"/>
  <c r="DI135" i="253"/>
  <c r="DH135" i="253" s="1"/>
  <c r="DD135" i="253"/>
  <c r="DA135" i="253"/>
  <c r="CY135" i="253"/>
  <c r="CX135" i="253" s="1"/>
  <c r="CT135" i="253"/>
  <c r="CQ135" i="253"/>
  <c r="CJ135" i="253"/>
  <c r="CO135" i="253" s="1"/>
  <c r="CN135" i="253" s="1"/>
  <c r="CG135" i="253"/>
  <c r="BZ135" i="253"/>
  <c r="CE135" i="253" s="1"/>
  <c r="CD135" i="253" s="1"/>
  <c r="BW135" i="253"/>
  <c r="BP135" i="253"/>
  <c r="BU135" i="253" s="1"/>
  <c r="BT135" i="253" s="1"/>
  <c r="BM135" i="253"/>
  <c r="BF135" i="253"/>
  <c r="BK135" i="253" s="1"/>
  <c r="BJ135" i="253" s="1"/>
  <c r="BC135" i="253"/>
  <c r="AS135" i="253"/>
  <c r="AV135" i="253"/>
  <c r="BA135" i="253" s="1"/>
  <c r="AZ135" i="253" s="1"/>
  <c r="AI135" i="253"/>
  <c r="AG135" i="253"/>
  <c r="AF135" i="253" s="1"/>
  <c r="AB135" i="253"/>
  <c r="Y135" i="253"/>
  <c r="R135" i="253"/>
  <c r="O135" i="253"/>
  <c r="M135" i="253"/>
  <c r="D135" i="253"/>
  <c r="C159" i="253"/>
  <c r="DX134" i="253"/>
  <c r="DN134" i="253"/>
  <c r="DD134" i="253"/>
  <c r="CT134" i="253"/>
  <c r="CJ134" i="253"/>
  <c r="BZ134" i="253"/>
  <c r="BP134" i="253"/>
  <c r="BF134" i="253"/>
  <c r="AV134" i="253"/>
  <c r="AL134" i="253"/>
  <c r="AB134" i="253"/>
  <c r="R134" i="253"/>
  <c r="DX133" i="253"/>
  <c r="DN133" i="253"/>
  <c r="DD133" i="253"/>
  <c r="CT133" i="253"/>
  <c r="CJ133" i="253"/>
  <c r="BZ133" i="253"/>
  <c r="BP133" i="253"/>
  <c r="BF133" i="253"/>
  <c r="AV133" i="253"/>
  <c r="AL133" i="253"/>
  <c r="AB133" i="253"/>
  <c r="R133" i="253"/>
  <c r="DX132" i="253"/>
  <c r="DN132" i="253"/>
  <c r="DD132" i="253"/>
  <c r="CT132" i="253"/>
  <c r="CJ132" i="253"/>
  <c r="BZ132" i="253"/>
  <c r="BP132" i="253"/>
  <c r="BF132" i="253"/>
  <c r="AV132" i="253"/>
  <c r="AL132" i="253"/>
  <c r="AB132" i="253"/>
  <c r="R132" i="253"/>
  <c r="DX131" i="253"/>
  <c r="EC131" i="253" s="1"/>
  <c r="EB131" i="253" s="1"/>
  <c r="DU131" i="253"/>
  <c r="DN131" i="253"/>
  <c r="DS131" i="253" s="1"/>
  <c r="DR131" i="253" s="1"/>
  <c r="DK131" i="253"/>
  <c r="DD131" i="253"/>
  <c r="DI131" i="253" s="1"/>
  <c r="DH131" i="253" s="1"/>
  <c r="DA131" i="253"/>
  <c r="CQ131" i="253"/>
  <c r="CT131" i="253"/>
  <c r="CY131" i="253" s="1"/>
  <c r="CX131" i="253" s="1"/>
  <c r="CJ131" i="253"/>
  <c r="CO131" i="253" s="1"/>
  <c r="CN131" i="253" s="1"/>
  <c r="CG131" i="253"/>
  <c r="BZ131" i="253"/>
  <c r="CE131" i="253" s="1"/>
  <c r="CD131" i="253" s="1"/>
  <c r="BW131" i="253"/>
  <c r="BP131" i="253"/>
  <c r="BU131" i="253" s="1"/>
  <c r="BT131" i="253" s="1"/>
  <c r="BM131" i="253"/>
  <c r="BC131" i="253"/>
  <c r="BF131" i="253"/>
  <c r="BK131" i="253" s="1"/>
  <c r="BJ131" i="253" s="1"/>
  <c r="AV131" i="253"/>
  <c r="BA131" i="253" s="1"/>
  <c r="AZ131" i="253" s="1"/>
  <c r="AS131" i="253"/>
  <c r="AL131" i="253"/>
  <c r="AQ131" i="253" s="1"/>
  <c r="AP131" i="253" s="1"/>
  <c r="AB131" i="253"/>
  <c r="AG131" i="253"/>
  <c r="AF131" i="253" s="1"/>
  <c r="EG131" i="253"/>
  <c r="O131" i="253"/>
  <c r="R131" i="253"/>
  <c r="M131" i="253"/>
  <c r="D131" i="253"/>
  <c r="DX130" i="253"/>
  <c r="DN130" i="253"/>
  <c r="DD130" i="253"/>
  <c r="CT130" i="253"/>
  <c r="CJ130" i="253"/>
  <c r="BZ130" i="253"/>
  <c r="BP130" i="253"/>
  <c r="BF130" i="253"/>
  <c r="AV130" i="253"/>
  <c r="AL130" i="253"/>
  <c r="AB130" i="253"/>
  <c r="R130" i="253"/>
  <c r="DN129" i="253"/>
  <c r="CT129" i="253"/>
  <c r="CJ129" i="253"/>
  <c r="BZ129" i="253"/>
  <c r="BP129" i="253"/>
  <c r="BF129" i="253"/>
  <c r="AL129" i="253"/>
  <c r="R129" i="253"/>
  <c r="EL128" i="253"/>
  <c r="EK128" i="253"/>
  <c r="EJ128" i="253"/>
  <c r="ED128" i="253"/>
  <c r="EA128" i="253"/>
  <c r="DZ128" i="253"/>
  <c r="DY128" i="253"/>
  <c r="DV128" i="253"/>
  <c r="DQ128" i="253"/>
  <c r="DP128" i="253"/>
  <c r="DO128" i="253"/>
  <c r="DL128" i="253"/>
  <c r="DG128" i="253"/>
  <c r="DF128" i="253"/>
  <c r="DE128" i="253"/>
  <c r="DB128" i="253"/>
  <c r="CZ128" i="253"/>
  <c r="CW128" i="253"/>
  <c r="CM128" i="253"/>
  <c r="CL128" i="253"/>
  <c r="CK128" i="253"/>
  <c r="CH128" i="253"/>
  <c r="CC128" i="253"/>
  <c r="CB128" i="253"/>
  <c r="CA128" i="253"/>
  <c r="BS128" i="253"/>
  <c r="BR128" i="253"/>
  <c r="BQ128" i="253"/>
  <c r="BI128" i="253"/>
  <c r="BH128" i="253"/>
  <c r="BG128" i="253"/>
  <c r="AY128" i="253"/>
  <c r="AX128" i="253"/>
  <c r="AW128" i="253"/>
  <c r="AT128" i="253"/>
  <c r="X128" i="253"/>
  <c r="DX127" i="253"/>
  <c r="EC127" i="253" s="1"/>
  <c r="EB127" i="253" s="1"/>
  <c r="DU127" i="253"/>
  <c r="DN127" i="253"/>
  <c r="DS127" i="253" s="1"/>
  <c r="DR127" i="253" s="1"/>
  <c r="DK127" i="253"/>
  <c r="DD127" i="253"/>
  <c r="DI127" i="253" s="1"/>
  <c r="DH127" i="253" s="1"/>
  <c r="DA127" i="253"/>
  <c r="CT127" i="253"/>
  <c r="CY127" i="253" s="1"/>
  <c r="CX127" i="253" s="1"/>
  <c r="CQ127" i="253"/>
  <c r="CJ127" i="253"/>
  <c r="CO127" i="253" s="1"/>
  <c r="CN127" i="253" s="1"/>
  <c r="BZ127" i="253"/>
  <c r="CE127" i="253" s="1"/>
  <c r="CD127" i="253" s="1"/>
  <c r="BW127" i="253"/>
  <c r="BP127" i="253"/>
  <c r="BU127" i="253" s="1"/>
  <c r="BT127" i="253" s="1"/>
  <c r="BM127" i="253"/>
  <c r="BF127" i="253"/>
  <c r="BK127" i="253" s="1"/>
  <c r="BJ127" i="253" s="1"/>
  <c r="BC127" i="253"/>
  <c r="AV127" i="253"/>
  <c r="BA127" i="253" s="1"/>
  <c r="AZ127" i="253" s="1"/>
  <c r="AS127" i="253"/>
  <c r="AL127" i="253"/>
  <c r="AQ127" i="253" s="1"/>
  <c r="AP127" i="253" s="1"/>
  <c r="AI127" i="253"/>
  <c r="AB127" i="253"/>
  <c r="Y127" i="253"/>
  <c r="EE127" i="253"/>
  <c r="M127" i="253"/>
  <c r="D127" i="253"/>
  <c r="DT128" i="253"/>
  <c r="DN126" i="253"/>
  <c r="DK126" i="253"/>
  <c r="DJ128" i="253"/>
  <c r="DD126" i="253"/>
  <c r="DA126" i="253"/>
  <c r="CT126" i="253"/>
  <c r="CY126" i="253" s="1"/>
  <c r="CR128" i="253"/>
  <c r="CQ126" i="253"/>
  <c r="CP128" i="253"/>
  <c r="CJ126" i="253"/>
  <c r="CO126" i="253" s="1"/>
  <c r="CG126" i="253"/>
  <c r="BZ126" i="253"/>
  <c r="BW126" i="253"/>
  <c r="BV128" i="253"/>
  <c r="BP126" i="253"/>
  <c r="BM126" i="253"/>
  <c r="BL128" i="253"/>
  <c r="BD128" i="253"/>
  <c r="BC126" i="253"/>
  <c r="BF126" i="253"/>
  <c r="EE126" i="253"/>
  <c r="AL126" i="253"/>
  <c r="AI126" i="253"/>
  <c r="AH128" i="253"/>
  <c r="AB126" i="253"/>
  <c r="Y126" i="253"/>
  <c r="R126" i="253"/>
  <c r="P128" i="253"/>
  <c r="O126" i="253"/>
  <c r="N128" i="253"/>
  <c r="J128" i="253"/>
  <c r="D126" i="253"/>
  <c r="DX125" i="253"/>
  <c r="DN125" i="253"/>
  <c r="DD125" i="253"/>
  <c r="CT125" i="253"/>
  <c r="CJ125" i="253"/>
  <c r="BZ125" i="253"/>
  <c r="BP125" i="253"/>
  <c r="BF125" i="253"/>
  <c r="AV125" i="253"/>
  <c r="AL125" i="253"/>
  <c r="AB125" i="253"/>
  <c r="R125" i="253"/>
  <c r="DX124" i="253"/>
  <c r="DN124" i="253"/>
  <c r="DD124" i="253"/>
  <c r="CT124" i="253"/>
  <c r="CJ124" i="253"/>
  <c r="BZ124" i="253"/>
  <c r="BP124" i="253"/>
  <c r="BF124" i="253"/>
  <c r="AV124" i="253"/>
  <c r="AL124" i="253"/>
  <c r="AB124" i="253"/>
  <c r="R124" i="253"/>
  <c r="EL123" i="253"/>
  <c r="EK123" i="253"/>
  <c r="EJ123" i="253"/>
  <c r="ED123" i="253"/>
  <c r="EA123" i="253"/>
  <c r="DZ123" i="253"/>
  <c r="DY123" i="253"/>
  <c r="DQ123" i="253"/>
  <c r="DP123" i="253"/>
  <c r="DO123" i="253"/>
  <c r="DG123" i="253"/>
  <c r="DF123" i="253"/>
  <c r="DE123" i="253"/>
  <c r="CW123" i="253"/>
  <c r="CM123" i="253"/>
  <c r="CL123" i="253"/>
  <c r="CK123" i="253"/>
  <c r="CC123" i="253"/>
  <c r="CB123" i="253"/>
  <c r="CA123" i="253"/>
  <c r="BS123" i="253"/>
  <c r="BR123" i="253"/>
  <c r="BQ123" i="253"/>
  <c r="BI123" i="253"/>
  <c r="BH123" i="253"/>
  <c r="BG123" i="253"/>
  <c r="AY123" i="253"/>
  <c r="AX123" i="253"/>
  <c r="AW123" i="253"/>
  <c r="AH123" i="253"/>
  <c r="DX122" i="253"/>
  <c r="EC122" i="253" s="1"/>
  <c r="EB122" i="253" s="1"/>
  <c r="DU122" i="253"/>
  <c r="DN122" i="253"/>
  <c r="DS122" i="253" s="1"/>
  <c r="DR122" i="253" s="1"/>
  <c r="DK122" i="253"/>
  <c r="DD122" i="253"/>
  <c r="DI122" i="253" s="1"/>
  <c r="DH122" i="253" s="1"/>
  <c r="DA122" i="253"/>
  <c r="CT122" i="253"/>
  <c r="CY122" i="253" s="1"/>
  <c r="CX122" i="253" s="1"/>
  <c r="CQ122" i="253"/>
  <c r="CJ122" i="253"/>
  <c r="CO122" i="253" s="1"/>
  <c r="CN122" i="253" s="1"/>
  <c r="CG122" i="253"/>
  <c r="BW122" i="253"/>
  <c r="BZ122" i="253"/>
  <c r="CE122" i="253" s="1"/>
  <c r="CD122" i="253" s="1"/>
  <c r="BP122" i="253"/>
  <c r="BU122" i="253" s="1"/>
  <c r="BT122" i="253" s="1"/>
  <c r="BF122" i="253"/>
  <c r="BK122" i="253" s="1"/>
  <c r="BJ122" i="253" s="1"/>
  <c r="BC122" i="253"/>
  <c r="AV122" i="253"/>
  <c r="AS122" i="253"/>
  <c r="AR123" i="253"/>
  <c r="AL122" i="253"/>
  <c r="AQ122" i="253" s="1"/>
  <c r="AI122" i="253"/>
  <c r="AB122" i="253"/>
  <c r="AG122" i="253" s="1"/>
  <c r="AF122" i="253" s="1"/>
  <c r="Y122" i="253"/>
  <c r="R122" i="253"/>
  <c r="O122" i="253"/>
  <c r="EE122" i="253"/>
  <c r="M122" i="253"/>
  <c r="D122" i="253"/>
  <c r="DX121" i="253"/>
  <c r="DN121" i="253"/>
  <c r="DD121" i="253"/>
  <c r="CT121" i="253"/>
  <c r="CJ121" i="253"/>
  <c r="BZ121" i="253"/>
  <c r="BP121" i="253"/>
  <c r="BF121" i="253"/>
  <c r="AV121" i="253"/>
  <c r="AL121" i="253"/>
  <c r="AB121" i="253"/>
  <c r="R121" i="253"/>
  <c r="DX120" i="253"/>
  <c r="EC120" i="253" s="1"/>
  <c r="EB120" i="253" s="1"/>
  <c r="DN120" i="253"/>
  <c r="DS120" i="253" s="1"/>
  <c r="DR120" i="253" s="1"/>
  <c r="DK120" i="253"/>
  <c r="DD120" i="253"/>
  <c r="DI120" i="253" s="1"/>
  <c r="DH120" i="253" s="1"/>
  <c r="DA120" i="253"/>
  <c r="CT120" i="253"/>
  <c r="CY120" i="253" s="1"/>
  <c r="CX120" i="253" s="1"/>
  <c r="CR123" i="253"/>
  <c r="CJ120" i="253"/>
  <c r="CO120" i="253" s="1"/>
  <c r="CN120" i="253" s="1"/>
  <c r="CG120" i="253"/>
  <c r="BZ120" i="253"/>
  <c r="CE120" i="253" s="1"/>
  <c r="CD120" i="253" s="1"/>
  <c r="BW120" i="253"/>
  <c r="BP120" i="253"/>
  <c r="BU120" i="253" s="1"/>
  <c r="BT120" i="253" s="1"/>
  <c r="BM120" i="253"/>
  <c r="BD123" i="253"/>
  <c r="BC120" i="253"/>
  <c r="BF120" i="253"/>
  <c r="BK120" i="253" s="1"/>
  <c r="BJ120" i="253" s="1"/>
  <c r="EE120" i="253"/>
  <c r="AL120" i="253"/>
  <c r="AQ120" i="253" s="1"/>
  <c r="AP120" i="253" s="1"/>
  <c r="AI120" i="253"/>
  <c r="AB120" i="253"/>
  <c r="AG120" i="253" s="1"/>
  <c r="AF120" i="253" s="1"/>
  <c r="Y120" i="253"/>
  <c r="R120" i="253"/>
  <c r="P123" i="253"/>
  <c r="M120" i="253"/>
  <c r="D120" i="253"/>
  <c r="EG119" i="253"/>
  <c r="DX119" i="253"/>
  <c r="EC119" i="253" s="1"/>
  <c r="EB119" i="253" s="1"/>
  <c r="DU119" i="253"/>
  <c r="DN119" i="253"/>
  <c r="DS119" i="253" s="1"/>
  <c r="DR119" i="253" s="1"/>
  <c r="DD119" i="253"/>
  <c r="DI119" i="253" s="1"/>
  <c r="DH119" i="253" s="1"/>
  <c r="DA119" i="253"/>
  <c r="CT119" i="253"/>
  <c r="CY119" i="253" s="1"/>
  <c r="CX119" i="253" s="1"/>
  <c r="CQ119" i="253"/>
  <c r="CJ119" i="253"/>
  <c r="CO119" i="253" s="1"/>
  <c r="CN119" i="253" s="1"/>
  <c r="BZ119" i="253"/>
  <c r="CE119" i="253" s="1"/>
  <c r="CD119" i="253" s="1"/>
  <c r="BO119" i="253"/>
  <c r="AV119" i="253"/>
  <c r="BA119" i="253" s="1"/>
  <c r="AZ119" i="253" s="1"/>
  <c r="AS119" i="253"/>
  <c r="Y119" i="253"/>
  <c r="EE119" i="253"/>
  <c r="M119" i="253"/>
  <c r="G119" i="253"/>
  <c r="D119" i="253" s="1"/>
  <c r="DX118" i="253"/>
  <c r="EC118" i="253" s="1"/>
  <c r="EB118" i="253" s="1"/>
  <c r="DU118" i="253"/>
  <c r="DN118" i="253"/>
  <c r="DS118" i="253" s="1"/>
  <c r="DR118" i="253" s="1"/>
  <c r="DK118" i="253"/>
  <c r="DD118" i="253"/>
  <c r="DI118" i="253" s="1"/>
  <c r="DH118" i="253" s="1"/>
  <c r="DA118" i="253"/>
  <c r="CT118" i="253"/>
  <c r="CY118" i="253" s="1"/>
  <c r="CX118" i="253" s="1"/>
  <c r="CQ118" i="253"/>
  <c r="CJ118" i="253"/>
  <c r="CO118" i="253" s="1"/>
  <c r="CN118" i="253" s="1"/>
  <c r="CG118" i="253"/>
  <c r="BZ118" i="253"/>
  <c r="BW118" i="253"/>
  <c r="BM118" i="253"/>
  <c r="BP118" i="253"/>
  <c r="BU118" i="253" s="1"/>
  <c r="BT118" i="253" s="1"/>
  <c r="AV118" i="253"/>
  <c r="BA118" i="253" s="1"/>
  <c r="AZ118" i="253" s="1"/>
  <c r="AS118" i="253"/>
  <c r="AQ118" i="253"/>
  <c r="AP118" i="253" s="1"/>
  <c r="AL118" i="253"/>
  <c r="AI118" i="253"/>
  <c r="AB118" i="253"/>
  <c r="Y118" i="253"/>
  <c r="R118" i="253"/>
  <c r="O118" i="253"/>
  <c r="M118" i="253"/>
  <c r="D118" i="253"/>
  <c r="DX117" i="253"/>
  <c r="DV123" i="253"/>
  <c r="DT123" i="253"/>
  <c r="DN117" i="253"/>
  <c r="DJ123" i="253"/>
  <c r="DB123" i="253"/>
  <c r="DA117" i="253"/>
  <c r="CZ123" i="253"/>
  <c r="CJ117" i="253"/>
  <c r="CO117" i="253" s="1"/>
  <c r="CH123" i="253"/>
  <c r="CF123" i="253"/>
  <c r="BZ117" i="253"/>
  <c r="BV123" i="253"/>
  <c r="BP117" i="253"/>
  <c r="BN123" i="253"/>
  <c r="BL123" i="253"/>
  <c r="BF117" i="253"/>
  <c r="BC117" i="253"/>
  <c r="AV117" i="253"/>
  <c r="BA117" i="253" s="1"/>
  <c r="AT123" i="253"/>
  <c r="AL117" i="253"/>
  <c r="Z123" i="253"/>
  <c r="Y117" i="253"/>
  <c r="X123" i="253"/>
  <c r="M117" i="253"/>
  <c r="C123" i="253"/>
  <c r="DX116" i="253"/>
  <c r="DN116" i="253"/>
  <c r="DD116" i="253"/>
  <c r="CT116" i="253"/>
  <c r="CJ116" i="253"/>
  <c r="BZ116" i="253"/>
  <c r="BP116" i="253"/>
  <c r="BF116" i="253"/>
  <c r="AV116" i="253"/>
  <c r="AL116" i="253"/>
  <c r="AB116" i="253"/>
  <c r="R116" i="253"/>
  <c r="DX115" i="253"/>
  <c r="DN115" i="253"/>
  <c r="DD115" i="253"/>
  <c r="CT115" i="253"/>
  <c r="CJ115" i="253"/>
  <c r="BZ115" i="253"/>
  <c r="BP115" i="253"/>
  <c r="BF115" i="253"/>
  <c r="AV115" i="253"/>
  <c r="AL115" i="253"/>
  <c r="AB115" i="253"/>
  <c r="R115" i="253"/>
  <c r="DX114" i="253"/>
  <c r="DN114" i="253"/>
  <c r="DD114" i="253"/>
  <c r="CT114" i="253"/>
  <c r="CJ114" i="253"/>
  <c r="BZ114" i="253"/>
  <c r="BP114" i="253"/>
  <c r="BF114" i="253"/>
  <c r="AV114" i="253"/>
  <c r="AL114" i="253"/>
  <c r="AB114" i="253"/>
  <c r="R114" i="253"/>
  <c r="ED113" i="253"/>
  <c r="EA113" i="253"/>
  <c r="DZ113" i="253"/>
  <c r="DY113" i="253"/>
  <c r="DQ113" i="253"/>
  <c r="DP113" i="253"/>
  <c r="DO113" i="253"/>
  <c r="DG113" i="253"/>
  <c r="DF113" i="253"/>
  <c r="DE113" i="253"/>
  <c r="CW113" i="253"/>
  <c r="CM113" i="253"/>
  <c r="CL113" i="253"/>
  <c r="CK113" i="253"/>
  <c r="CC113" i="253"/>
  <c r="CB113" i="253"/>
  <c r="CA113" i="253"/>
  <c r="BS113" i="253"/>
  <c r="BR113" i="253"/>
  <c r="BQ113" i="253"/>
  <c r="BI113" i="253"/>
  <c r="BH113" i="253"/>
  <c r="BG113" i="253"/>
  <c r="AY113" i="253"/>
  <c r="AX113" i="253"/>
  <c r="AW113" i="253"/>
  <c r="AH113" i="253"/>
  <c r="DX112" i="253"/>
  <c r="DU112" i="253"/>
  <c r="DN112" i="253"/>
  <c r="DS112" i="253" s="1"/>
  <c r="DR112" i="253" s="1"/>
  <c r="DK112" i="253"/>
  <c r="DJ113" i="253"/>
  <c r="DD112" i="253"/>
  <c r="DI112" i="253" s="1"/>
  <c r="DH112" i="253" s="1"/>
  <c r="DA112" i="253"/>
  <c r="CT112" i="253"/>
  <c r="CY112" i="253" s="1"/>
  <c r="CX112" i="253" s="1"/>
  <c r="CO112" i="253"/>
  <c r="CN112" i="253" s="1"/>
  <c r="CG112" i="253"/>
  <c r="CJ112" i="253"/>
  <c r="BP112" i="253"/>
  <c r="BU112" i="253" s="1"/>
  <c r="BT112" i="253" s="1"/>
  <c r="BM112" i="253"/>
  <c r="BK112" i="253"/>
  <c r="BJ112" i="253" s="1"/>
  <c r="BF112" i="253"/>
  <c r="BC112" i="253"/>
  <c r="AV112" i="253"/>
  <c r="BA112" i="253" s="1"/>
  <c r="AZ112" i="253" s="1"/>
  <c r="AS112" i="253"/>
  <c r="AL112" i="253"/>
  <c r="AQ112" i="253" s="1"/>
  <c r="AP112" i="253" s="1"/>
  <c r="AI112" i="253"/>
  <c r="R112" i="253"/>
  <c r="O112" i="253"/>
  <c r="M112" i="253"/>
  <c r="EC111" i="253"/>
  <c r="EB111" i="253" s="1"/>
  <c r="DX111" i="253"/>
  <c r="DU111" i="253"/>
  <c r="DN111" i="253"/>
  <c r="DS111" i="253" s="1"/>
  <c r="DR111" i="253" s="1"/>
  <c r="DK111" i="253"/>
  <c r="DD111" i="253"/>
  <c r="DI111" i="253" s="1"/>
  <c r="DH111" i="253" s="1"/>
  <c r="DA111" i="253"/>
  <c r="CT111" i="253"/>
  <c r="CY111" i="253" s="1"/>
  <c r="CX111" i="253" s="1"/>
  <c r="CQ111" i="253"/>
  <c r="BZ111" i="253"/>
  <c r="CE111" i="253" s="1"/>
  <c r="CD111" i="253" s="1"/>
  <c r="BW111" i="253"/>
  <c r="BP111" i="253"/>
  <c r="BU111" i="253" s="1"/>
  <c r="BT111" i="253" s="1"/>
  <c r="BC111" i="253"/>
  <c r="BA111" i="253"/>
  <c r="AZ111" i="253" s="1"/>
  <c r="AV111" i="253"/>
  <c r="AS111" i="253"/>
  <c r="AL111" i="253"/>
  <c r="AQ111" i="253" s="1"/>
  <c r="AP111" i="253" s="1"/>
  <c r="AI111" i="253"/>
  <c r="AB111" i="253"/>
  <c r="R111" i="253"/>
  <c r="EG111" i="253"/>
  <c r="O111" i="253"/>
  <c r="M111" i="253"/>
  <c r="D111" i="253"/>
  <c r="DX110" i="253"/>
  <c r="EC110" i="253" s="1"/>
  <c r="EB110" i="253" s="1"/>
  <c r="DU110" i="253"/>
  <c r="DN110" i="253"/>
  <c r="DK110" i="253"/>
  <c r="DD110" i="253"/>
  <c r="DI110" i="253" s="1"/>
  <c r="DH110" i="253" s="1"/>
  <c r="CQ110" i="253"/>
  <c r="CO110" i="253"/>
  <c r="CN110" i="253" s="1"/>
  <c r="CJ110" i="253"/>
  <c r="CG110" i="253"/>
  <c r="BZ110" i="253"/>
  <c r="CE110" i="253" s="1"/>
  <c r="CD110" i="253" s="1"/>
  <c r="BW110" i="253"/>
  <c r="BP110" i="253"/>
  <c r="BU110" i="253" s="1"/>
  <c r="BT110" i="253" s="1"/>
  <c r="BM110" i="253"/>
  <c r="BF110" i="253"/>
  <c r="BK110" i="253" s="1"/>
  <c r="BJ110" i="253" s="1"/>
  <c r="BC110" i="253"/>
  <c r="AS110" i="253"/>
  <c r="AL110" i="253"/>
  <c r="AQ110" i="253" s="1"/>
  <c r="AP110" i="253" s="1"/>
  <c r="AI110" i="253"/>
  <c r="AG110" i="253"/>
  <c r="AF110" i="253" s="1"/>
  <c r="AB110" i="253"/>
  <c r="J113" i="253"/>
  <c r="F113" i="253" s="1"/>
  <c r="D110" i="253"/>
  <c r="DX109" i="253"/>
  <c r="EC109" i="253"/>
  <c r="DN109" i="253"/>
  <c r="DN113" i="253" s="1"/>
  <c r="DK109" i="253"/>
  <c r="DD109" i="253"/>
  <c r="CT109" i="253"/>
  <c r="CY109" i="253" s="1"/>
  <c r="CQ109" i="253"/>
  <c r="CF113" i="253"/>
  <c r="BZ109" i="253"/>
  <c r="BX113" i="253"/>
  <c r="BL113" i="253"/>
  <c r="BD113" i="253"/>
  <c r="AV109" i="253"/>
  <c r="BA109" i="253"/>
  <c r="AL109" i="253"/>
  <c r="AL113" i="253" s="1"/>
  <c r="AQ113" i="253" s="1"/>
  <c r="AP113" i="253" s="1"/>
  <c r="AJ113" i="253"/>
  <c r="AI109" i="253"/>
  <c r="X113" i="253"/>
  <c r="R109" i="253"/>
  <c r="P113" i="253"/>
  <c r="O109" i="253"/>
  <c r="M109" i="253"/>
  <c r="G113" i="253"/>
  <c r="DX108" i="253"/>
  <c r="DN108" i="253"/>
  <c r="DD108" i="253"/>
  <c r="CT108" i="253"/>
  <c r="CJ108" i="253"/>
  <c r="BZ108" i="253"/>
  <c r="BF108" i="253"/>
  <c r="AL108" i="253"/>
  <c r="AB108" i="253"/>
  <c r="R108" i="253"/>
  <c r="DX107" i="253"/>
  <c r="DN107" i="253"/>
  <c r="DD107" i="253"/>
  <c r="CT107" i="253"/>
  <c r="CJ107" i="253"/>
  <c r="BZ107" i="253"/>
  <c r="BP107" i="253"/>
  <c r="BF107" i="253"/>
  <c r="AV107" i="253"/>
  <c r="AL107" i="253"/>
  <c r="AB107" i="253"/>
  <c r="R107" i="253"/>
  <c r="EL106" i="253"/>
  <c r="EK106" i="253"/>
  <c r="EJ106" i="253"/>
  <c r="ED106" i="253"/>
  <c r="EA106" i="253"/>
  <c r="DZ106" i="253"/>
  <c r="DY106" i="253"/>
  <c r="DQ106" i="253"/>
  <c r="DP106" i="253"/>
  <c r="DO106" i="253"/>
  <c r="DG106" i="253"/>
  <c r="DF106" i="253"/>
  <c r="DE106" i="253"/>
  <c r="CW106" i="253"/>
  <c r="CM106" i="253"/>
  <c r="CL106" i="253"/>
  <c r="CK106" i="253"/>
  <c r="CC106" i="253"/>
  <c r="CB106" i="253"/>
  <c r="CA106" i="253"/>
  <c r="BS106" i="253"/>
  <c r="BR106" i="253"/>
  <c r="BQ106" i="253"/>
  <c r="BI106" i="253"/>
  <c r="BH106" i="253"/>
  <c r="BG106" i="253"/>
  <c r="AY106" i="253"/>
  <c r="AX106" i="253"/>
  <c r="AW106" i="253"/>
  <c r="EG105" i="253"/>
  <c r="DU105" i="253"/>
  <c r="DN105" i="253"/>
  <c r="DS105" i="253" s="1"/>
  <c r="DR105" i="253" s="1"/>
  <c r="DK105" i="253"/>
  <c r="DD105" i="253"/>
  <c r="DI105" i="253" s="1"/>
  <c r="DH105" i="253" s="1"/>
  <c r="DA105" i="253"/>
  <c r="CY105" i="253"/>
  <c r="CX105" i="253" s="1"/>
  <c r="CT105" i="253"/>
  <c r="CQ105" i="253"/>
  <c r="CG105" i="253"/>
  <c r="BZ105" i="253"/>
  <c r="CE105" i="253" s="1"/>
  <c r="CD105" i="253" s="1"/>
  <c r="BW105" i="253"/>
  <c r="BP105" i="253"/>
  <c r="BU105" i="253" s="1"/>
  <c r="BT105" i="253" s="1"/>
  <c r="BM105" i="253"/>
  <c r="BK105" i="253"/>
  <c r="BJ105" i="253" s="1"/>
  <c r="BF105" i="253"/>
  <c r="BC105" i="253"/>
  <c r="AS105" i="253"/>
  <c r="AL105" i="253"/>
  <c r="AQ105" i="253" s="1"/>
  <c r="AP105" i="253" s="1"/>
  <c r="AI105" i="253"/>
  <c r="AB105" i="253"/>
  <c r="Y105" i="253"/>
  <c r="W105" i="253"/>
  <c r="V105" i="253" s="1"/>
  <c r="R105" i="253"/>
  <c r="O105" i="253"/>
  <c r="M105" i="253"/>
  <c r="D105" i="253"/>
  <c r="DX104" i="253"/>
  <c r="EC104" i="253" s="1"/>
  <c r="EB104" i="253" s="1"/>
  <c r="DN104" i="253"/>
  <c r="DS104" i="253"/>
  <c r="DR104" i="253" s="1"/>
  <c r="DK104" i="253"/>
  <c r="DD104" i="253"/>
  <c r="DI104" i="253" s="1"/>
  <c r="DH104" i="253" s="1"/>
  <c r="CT104" i="253"/>
  <c r="CY104" i="253" s="1"/>
  <c r="CX104" i="253" s="1"/>
  <c r="CQ104" i="253"/>
  <c r="CJ104" i="253"/>
  <c r="CO104" i="253" s="1"/>
  <c r="CN104" i="253" s="1"/>
  <c r="BZ104" i="253"/>
  <c r="CE104" i="253" s="1"/>
  <c r="CD104" i="253" s="1"/>
  <c r="BW104" i="253"/>
  <c r="BP104" i="253"/>
  <c r="BU104" i="253" s="1"/>
  <c r="BT104" i="253" s="1"/>
  <c r="BF104" i="253"/>
  <c r="BK104" i="253" s="1"/>
  <c r="BJ104" i="253" s="1"/>
  <c r="BC104" i="253"/>
  <c r="AV104" i="253"/>
  <c r="BA104" i="253" s="1"/>
  <c r="AZ104" i="253" s="1"/>
  <c r="AS104" i="253"/>
  <c r="AI104" i="253"/>
  <c r="AB104" i="253"/>
  <c r="AG104" i="253" s="1"/>
  <c r="AF104" i="253" s="1"/>
  <c r="Y104" i="253"/>
  <c r="R104" i="253"/>
  <c r="O104" i="253"/>
  <c r="EE104" i="253"/>
  <c r="M104" i="253"/>
  <c r="D104" i="253"/>
  <c r="EC103" i="253"/>
  <c r="EB103" i="253" s="1"/>
  <c r="DX103" i="253"/>
  <c r="DU103" i="253"/>
  <c r="DN103" i="253"/>
  <c r="DS103" i="253" s="1"/>
  <c r="DR103" i="253" s="1"/>
  <c r="DK103" i="253"/>
  <c r="DD103" i="253"/>
  <c r="DI103" i="253" s="1"/>
  <c r="DH103" i="253" s="1"/>
  <c r="DA103" i="253"/>
  <c r="CY103" i="253"/>
  <c r="CX103" i="253" s="1"/>
  <c r="CT103" i="253"/>
  <c r="CQ103" i="253"/>
  <c r="CO103" i="253"/>
  <c r="CN103" i="253" s="1"/>
  <c r="CJ103" i="253"/>
  <c r="CG103" i="253"/>
  <c r="BZ103" i="253"/>
  <c r="CE103" i="253" s="1"/>
  <c r="CD103" i="253" s="1"/>
  <c r="BW103" i="253"/>
  <c r="BP103" i="253"/>
  <c r="BU103" i="253" s="1"/>
  <c r="BT103" i="253" s="1"/>
  <c r="BM103" i="253"/>
  <c r="BK103" i="253"/>
  <c r="BJ103" i="253" s="1"/>
  <c r="BF103" i="253"/>
  <c r="BC103" i="253"/>
  <c r="BA103" i="253"/>
  <c r="AZ103" i="253" s="1"/>
  <c r="AV103" i="253"/>
  <c r="AS103" i="253"/>
  <c r="AL103" i="253"/>
  <c r="AQ103" i="253" s="1"/>
  <c r="AP103" i="253" s="1"/>
  <c r="AI103" i="253"/>
  <c r="AB103" i="253"/>
  <c r="Y103" i="253"/>
  <c r="W103" i="253"/>
  <c r="V103" i="253" s="1"/>
  <c r="R103" i="253"/>
  <c r="O103" i="253"/>
  <c r="M103" i="253"/>
  <c r="D103" i="253"/>
  <c r="EC102" i="253"/>
  <c r="EB102" i="253" s="1"/>
  <c r="DX102" i="253"/>
  <c r="DU102" i="253"/>
  <c r="DN102" i="253"/>
  <c r="DS102" i="253" s="1"/>
  <c r="DR102" i="253" s="1"/>
  <c r="DK102" i="253"/>
  <c r="DD102" i="253"/>
  <c r="DI102" i="253" s="1"/>
  <c r="DH102" i="253" s="1"/>
  <c r="DA102" i="253"/>
  <c r="CT102" i="253"/>
  <c r="CY102" i="253" s="1"/>
  <c r="CX102" i="253" s="1"/>
  <c r="CQ102" i="253"/>
  <c r="CG102" i="253"/>
  <c r="CJ102" i="253"/>
  <c r="CO102" i="253" s="1"/>
  <c r="CN102" i="253" s="1"/>
  <c r="BZ102" i="253"/>
  <c r="CE102" i="253" s="1"/>
  <c r="CD102" i="253" s="1"/>
  <c r="BW102" i="253"/>
  <c r="BM102" i="253"/>
  <c r="BP102" i="253"/>
  <c r="BU102" i="253" s="1"/>
  <c r="BT102" i="253" s="1"/>
  <c r="BF102" i="253"/>
  <c r="BK102" i="253" s="1"/>
  <c r="BJ102" i="253" s="1"/>
  <c r="BC102" i="253"/>
  <c r="BA102" i="253"/>
  <c r="AZ102" i="253" s="1"/>
  <c r="AV102" i="253"/>
  <c r="AS102" i="253"/>
  <c r="AL102" i="253"/>
  <c r="AQ102" i="253" s="1"/>
  <c r="AP102" i="253" s="1"/>
  <c r="AI102" i="253"/>
  <c r="AB102" i="253"/>
  <c r="Y102" i="253"/>
  <c r="EE102" i="253"/>
  <c r="R102" i="253"/>
  <c r="O102" i="253"/>
  <c r="M102" i="253"/>
  <c r="D102" i="253"/>
  <c r="DX101" i="253"/>
  <c r="EC101" i="253" s="1"/>
  <c r="EB101" i="253" s="1"/>
  <c r="DU101" i="253"/>
  <c r="DN101" i="253"/>
  <c r="DS101" i="253" s="1"/>
  <c r="DR101" i="253" s="1"/>
  <c r="DK101" i="253"/>
  <c r="DA101" i="253"/>
  <c r="DD101" i="253"/>
  <c r="DI101" i="253" s="1"/>
  <c r="DH101" i="253" s="1"/>
  <c r="CT101" i="253"/>
  <c r="CY101" i="253" s="1"/>
  <c r="CX101" i="253" s="1"/>
  <c r="CQ101" i="253"/>
  <c r="CO101" i="253"/>
  <c r="CN101" i="253" s="1"/>
  <c r="CJ101" i="253"/>
  <c r="CG101" i="253"/>
  <c r="BZ101" i="253"/>
  <c r="CE101" i="253" s="1"/>
  <c r="CD101" i="253" s="1"/>
  <c r="BW101" i="253"/>
  <c r="BP101" i="253"/>
  <c r="BU101" i="253" s="1"/>
  <c r="BT101" i="253" s="1"/>
  <c r="BM101" i="253"/>
  <c r="BF101" i="253"/>
  <c r="BK101" i="253" s="1"/>
  <c r="BJ101" i="253" s="1"/>
  <c r="BC101" i="253"/>
  <c r="AV101" i="253"/>
  <c r="BA101" i="253" s="1"/>
  <c r="AZ101" i="253" s="1"/>
  <c r="AS101" i="253"/>
  <c r="AL101" i="253"/>
  <c r="AQ101" i="253" s="1"/>
  <c r="AP101" i="253" s="1"/>
  <c r="AI101" i="253"/>
  <c r="Y101" i="253"/>
  <c r="AB101" i="253"/>
  <c r="AG101" i="253" s="1"/>
  <c r="AF101" i="253" s="1"/>
  <c r="R101" i="253"/>
  <c r="EG101" i="253"/>
  <c r="EE101" i="253"/>
  <c r="M101" i="253"/>
  <c r="D101" i="253"/>
  <c r="EC100" i="253"/>
  <c r="EB100" i="253" s="1"/>
  <c r="DX100" i="253"/>
  <c r="DU100" i="253"/>
  <c r="DN100" i="253"/>
  <c r="DS100" i="253" s="1"/>
  <c r="DR100" i="253" s="1"/>
  <c r="DK100" i="253"/>
  <c r="DD100" i="253"/>
  <c r="DI100" i="253" s="1"/>
  <c r="DH100" i="253" s="1"/>
  <c r="DA100" i="253"/>
  <c r="CT100" i="253"/>
  <c r="CY100" i="253" s="1"/>
  <c r="CX100" i="253" s="1"/>
  <c r="CQ100" i="253"/>
  <c r="CG100" i="253"/>
  <c r="CJ100" i="253"/>
  <c r="CO100" i="253" s="1"/>
  <c r="CN100" i="253" s="1"/>
  <c r="BZ100" i="253"/>
  <c r="CE100" i="253" s="1"/>
  <c r="CD100" i="253" s="1"/>
  <c r="BW100" i="253"/>
  <c r="BM100" i="253"/>
  <c r="BP100" i="253"/>
  <c r="BU100" i="253" s="1"/>
  <c r="BT100" i="253" s="1"/>
  <c r="BF100" i="253"/>
  <c r="BK100" i="253" s="1"/>
  <c r="BJ100" i="253" s="1"/>
  <c r="BC100" i="253"/>
  <c r="BA100" i="253"/>
  <c r="AZ100" i="253" s="1"/>
  <c r="AV100" i="253"/>
  <c r="AS100" i="253"/>
  <c r="AL100" i="253"/>
  <c r="AQ100" i="253" s="1"/>
  <c r="AP100" i="253" s="1"/>
  <c r="AI100" i="253"/>
  <c r="AB100" i="253"/>
  <c r="Y100" i="253"/>
  <c r="EE100" i="253"/>
  <c r="R100" i="253"/>
  <c r="O100" i="253"/>
  <c r="M100" i="253"/>
  <c r="D100" i="253"/>
  <c r="DU99" i="253"/>
  <c r="DX99" i="253"/>
  <c r="EC99" i="253" s="1"/>
  <c r="EB99" i="253" s="1"/>
  <c r="DN99" i="253"/>
  <c r="DS99" i="253" s="1"/>
  <c r="DR99" i="253" s="1"/>
  <c r="DK99" i="253"/>
  <c r="DA99" i="253"/>
  <c r="DD99" i="253"/>
  <c r="DI99" i="253" s="1"/>
  <c r="DH99" i="253" s="1"/>
  <c r="CT99" i="253"/>
  <c r="CY99" i="253" s="1"/>
  <c r="CX99" i="253" s="1"/>
  <c r="CQ99" i="253"/>
  <c r="CO99" i="253"/>
  <c r="CN99" i="253" s="1"/>
  <c r="CJ99" i="253"/>
  <c r="CG99" i="253"/>
  <c r="BZ99" i="253"/>
  <c r="CE99" i="253" s="1"/>
  <c r="CD99" i="253" s="1"/>
  <c r="BW99" i="253"/>
  <c r="BP99" i="253"/>
  <c r="BU99" i="253" s="1"/>
  <c r="BT99" i="253" s="1"/>
  <c r="BM99" i="253"/>
  <c r="BF99" i="253"/>
  <c r="BK99" i="253" s="1"/>
  <c r="BJ99" i="253" s="1"/>
  <c r="BC99" i="253"/>
  <c r="AS99" i="253"/>
  <c r="AV99" i="253"/>
  <c r="BA99" i="253" s="1"/>
  <c r="AZ99" i="253" s="1"/>
  <c r="AL99" i="253"/>
  <c r="AQ99" i="253" s="1"/>
  <c r="AP99" i="253" s="1"/>
  <c r="AI99" i="253"/>
  <c r="Y99" i="253"/>
  <c r="AB99" i="253"/>
  <c r="AG99" i="253" s="1"/>
  <c r="AF99" i="253" s="1"/>
  <c r="R99" i="253"/>
  <c r="EG99" i="253"/>
  <c r="O99" i="253"/>
  <c r="EE99" i="253"/>
  <c r="M99" i="253"/>
  <c r="D99" i="253"/>
  <c r="EC98" i="253"/>
  <c r="EB98" i="253" s="1"/>
  <c r="DX98" i="253"/>
  <c r="DU98" i="253"/>
  <c r="DN98" i="253"/>
  <c r="DS98" i="253" s="1"/>
  <c r="DR98" i="253" s="1"/>
  <c r="DK98" i="253"/>
  <c r="DD98" i="253"/>
  <c r="DI98" i="253" s="1"/>
  <c r="DH98" i="253" s="1"/>
  <c r="DA98" i="253"/>
  <c r="CT98" i="253"/>
  <c r="CY98" i="253" s="1"/>
  <c r="CX98" i="253" s="1"/>
  <c r="CQ98" i="253"/>
  <c r="CG98" i="253"/>
  <c r="CJ98" i="253"/>
  <c r="CO98" i="253" s="1"/>
  <c r="CN98" i="253" s="1"/>
  <c r="BZ98" i="253"/>
  <c r="CE98" i="253" s="1"/>
  <c r="CD98" i="253" s="1"/>
  <c r="BW98" i="253"/>
  <c r="BM98" i="253"/>
  <c r="BP98" i="253"/>
  <c r="BU98" i="253" s="1"/>
  <c r="BT98" i="253" s="1"/>
  <c r="BF98" i="253"/>
  <c r="BK98" i="253" s="1"/>
  <c r="BJ98" i="253" s="1"/>
  <c r="BC98" i="253"/>
  <c r="BA98" i="253"/>
  <c r="AZ98" i="253" s="1"/>
  <c r="AV98" i="253"/>
  <c r="AS98" i="253"/>
  <c r="AL98" i="253"/>
  <c r="AQ98" i="253" s="1"/>
  <c r="AP98" i="253" s="1"/>
  <c r="AI98" i="253"/>
  <c r="AB98" i="253"/>
  <c r="Y98" i="253"/>
  <c r="EE98" i="253"/>
  <c r="R98" i="253"/>
  <c r="O98" i="253"/>
  <c r="M98" i="253"/>
  <c r="D98" i="253"/>
  <c r="DU97" i="253"/>
  <c r="DX97" i="253"/>
  <c r="EC97" i="253" s="1"/>
  <c r="EB97" i="253" s="1"/>
  <c r="DN97" i="253"/>
  <c r="DS97" i="253" s="1"/>
  <c r="DR97" i="253" s="1"/>
  <c r="DK97" i="253"/>
  <c r="DA97" i="253"/>
  <c r="DD97" i="253"/>
  <c r="DI97" i="253" s="1"/>
  <c r="DH97" i="253" s="1"/>
  <c r="CT97" i="253"/>
  <c r="CY97" i="253" s="1"/>
  <c r="CX97" i="253" s="1"/>
  <c r="CQ97" i="253"/>
  <c r="CO97" i="253"/>
  <c r="CN97" i="253" s="1"/>
  <c r="CJ97" i="253"/>
  <c r="CG97" i="253"/>
  <c r="BZ97" i="253"/>
  <c r="CE97" i="253" s="1"/>
  <c r="CD97" i="253" s="1"/>
  <c r="BW97" i="253"/>
  <c r="BP97" i="253"/>
  <c r="BU97" i="253" s="1"/>
  <c r="BT97" i="253" s="1"/>
  <c r="BM97" i="253"/>
  <c r="BF97" i="253"/>
  <c r="BK97" i="253" s="1"/>
  <c r="BJ97" i="253" s="1"/>
  <c r="BC97" i="253"/>
  <c r="AS97" i="253"/>
  <c r="AV97" i="253"/>
  <c r="BA97" i="253" s="1"/>
  <c r="AZ97" i="253" s="1"/>
  <c r="AL97" i="253"/>
  <c r="AQ97" i="253" s="1"/>
  <c r="AP97" i="253" s="1"/>
  <c r="AI97" i="253"/>
  <c r="Y97" i="253"/>
  <c r="AB97" i="253"/>
  <c r="AG97" i="253" s="1"/>
  <c r="AF97" i="253" s="1"/>
  <c r="R97" i="253"/>
  <c r="EI97" i="253" s="1"/>
  <c r="EH97" i="253" s="1"/>
  <c r="EG97" i="253"/>
  <c r="O97" i="253"/>
  <c r="EE97" i="253"/>
  <c r="M97" i="253"/>
  <c r="D97" i="253"/>
  <c r="EC96" i="253"/>
  <c r="EB96" i="253" s="1"/>
  <c r="DX96" i="253"/>
  <c r="DU96" i="253"/>
  <c r="DN96" i="253"/>
  <c r="DS96" i="253" s="1"/>
  <c r="DR96" i="253" s="1"/>
  <c r="DK96" i="253"/>
  <c r="DD96" i="253"/>
  <c r="DI96" i="253" s="1"/>
  <c r="DH96" i="253" s="1"/>
  <c r="DA96" i="253"/>
  <c r="CT96" i="253"/>
  <c r="CY96" i="253" s="1"/>
  <c r="CX96" i="253" s="1"/>
  <c r="CQ96" i="253"/>
  <c r="CG96" i="253"/>
  <c r="CJ96" i="253"/>
  <c r="CO96" i="253" s="1"/>
  <c r="CN96" i="253" s="1"/>
  <c r="BZ96" i="253"/>
  <c r="CE96" i="253" s="1"/>
  <c r="CD96" i="253" s="1"/>
  <c r="BW96" i="253"/>
  <c r="BM96" i="253"/>
  <c r="BP96" i="253"/>
  <c r="BU96" i="253" s="1"/>
  <c r="BT96" i="253" s="1"/>
  <c r="BF96" i="253"/>
  <c r="BK96" i="253" s="1"/>
  <c r="BJ96" i="253" s="1"/>
  <c r="BC96" i="253"/>
  <c r="BA96" i="253"/>
  <c r="AZ96" i="253" s="1"/>
  <c r="AV96" i="253"/>
  <c r="AS96" i="253"/>
  <c r="AL96" i="253"/>
  <c r="AQ96" i="253" s="1"/>
  <c r="AP96" i="253" s="1"/>
  <c r="AI96" i="253"/>
  <c r="AB96" i="253"/>
  <c r="Y96" i="253"/>
  <c r="EE96" i="253"/>
  <c r="R96" i="253"/>
  <c r="O96" i="253"/>
  <c r="M96" i="253"/>
  <c r="D96" i="253"/>
  <c r="DU95" i="253"/>
  <c r="DX95" i="253"/>
  <c r="EC95" i="253" s="1"/>
  <c r="EB95" i="253" s="1"/>
  <c r="DN95" i="253"/>
  <c r="DS95" i="253" s="1"/>
  <c r="DR95" i="253" s="1"/>
  <c r="DK95" i="253"/>
  <c r="DA95" i="253"/>
  <c r="DD95" i="253"/>
  <c r="DI95" i="253" s="1"/>
  <c r="DH95" i="253" s="1"/>
  <c r="CT95" i="253"/>
  <c r="CY95" i="253" s="1"/>
  <c r="CX95" i="253" s="1"/>
  <c r="CQ95" i="253"/>
  <c r="CO95" i="253"/>
  <c r="CN95" i="253" s="1"/>
  <c r="CJ95" i="253"/>
  <c r="CG95" i="253"/>
  <c r="BZ95" i="253"/>
  <c r="CE95" i="253" s="1"/>
  <c r="CD95" i="253" s="1"/>
  <c r="BW95" i="253"/>
  <c r="BP95" i="253"/>
  <c r="BU95" i="253" s="1"/>
  <c r="BT95" i="253" s="1"/>
  <c r="BM95" i="253"/>
  <c r="BF95" i="253"/>
  <c r="BK95" i="253" s="1"/>
  <c r="BJ95" i="253" s="1"/>
  <c r="BC95" i="253"/>
  <c r="AS95" i="253"/>
  <c r="AV95" i="253"/>
  <c r="BA95" i="253" s="1"/>
  <c r="AZ95" i="253" s="1"/>
  <c r="AL95" i="253"/>
  <c r="AQ95" i="253" s="1"/>
  <c r="AP95" i="253" s="1"/>
  <c r="AI95" i="253"/>
  <c r="Y95" i="253"/>
  <c r="AB95" i="253"/>
  <c r="AG95" i="253" s="1"/>
  <c r="AF95" i="253" s="1"/>
  <c r="R95" i="253"/>
  <c r="EG95" i="253"/>
  <c r="O95" i="253"/>
  <c r="EE95" i="253"/>
  <c r="M95" i="253"/>
  <c r="D95" i="253"/>
  <c r="EC94" i="253"/>
  <c r="EB94" i="253" s="1"/>
  <c r="DX94" i="253"/>
  <c r="DU94" i="253"/>
  <c r="DN94" i="253"/>
  <c r="DS94" i="253" s="1"/>
  <c r="DR94" i="253" s="1"/>
  <c r="DK94" i="253"/>
  <c r="DD94" i="253"/>
  <c r="DI94" i="253" s="1"/>
  <c r="DH94" i="253" s="1"/>
  <c r="DA94" i="253"/>
  <c r="CT94" i="253"/>
  <c r="CY94" i="253" s="1"/>
  <c r="CX94" i="253" s="1"/>
  <c r="CQ94" i="253"/>
  <c r="CG94" i="253"/>
  <c r="CJ94" i="253"/>
  <c r="CO94" i="253" s="1"/>
  <c r="CN94" i="253" s="1"/>
  <c r="BZ94" i="253"/>
  <c r="CE94" i="253" s="1"/>
  <c r="CD94" i="253" s="1"/>
  <c r="BW94" i="253"/>
  <c r="BM94" i="253"/>
  <c r="BP94" i="253"/>
  <c r="BU94" i="253" s="1"/>
  <c r="BT94" i="253" s="1"/>
  <c r="BF94" i="253"/>
  <c r="BK94" i="253" s="1"/>
  <c r="BJ94" i="253" s="1"/>
  <c r="BC94" i="253"/>
  <c r="BA94" i="253"/>
  <c r="AZ94" i="253" s="1"/>
  <c r="AV94" i="253"/>
  <c r="AS94" i="253"/>
  <c r="AL94" i="253"/>
  <c r="AQ94" i="253" s="1"/>
  <c r="AP94" i="253" s="1"/>
  <c r="AI94" i="253"/>
  <c r="AB94" i="253"/>
  <c r="Y94" i="253"/>
  <c r="EE94" i="253"/>
  <c r="R94" i="253"/>
  <c r="O94" i="253"/>
  <c r="M94" i="253"/>
  <c r="D94" i="253"/>
  <c r="DU93" i="253"/>
  <c r="DX93" i="253"/>
  <c r="EC93" i="253" s="1"/>
  <c r="EB93" i="253" s="1"/>
  <c r="DN93" i="253"/>
  <c r="DS93" i="253" s="1"/>
  <c r="DR93" i="253" s="1"/>
  <c r="DK93" i="253"/>
  <c r="DA93" i="253"/>
  <c r="DD93" i="253"/>
  <c r="DI93" i="253" s="1"/>
  <c r="DH93" i="253" s="1"/>
  <c r="CT93" i="253"/>
  <c r="CY93" i="253" s="1"/>
  <c r="CX93" i="253" s="1"/>
  <c r="CQ93" i="253"/>
  <c r="CO93" i="253"/>
  <c r="CN93" i="253" s="1"/>
  <c r="CJ93" i="253"/>
  <c r="CG93" i="253"/>
  <c r="BZ93" i="253"/>
  <c r="CE93" i="253" s="1"/>
  <c r="CD93" i="253" s="1"/>
  <c r="BW93" i="253"/>
  <c r="BP93" i="253"/>
  <c r="BU93" i="253" s="1"/>
  <c r="BT93" i="253" s="1"/>
  <c r="BM93" i="253"/>
  <c r="BF93" i="253"/>
  <c r="BK93" i="253" s="1"/>
  <c r="BJ93" i="253" s="1"/>
  <c r="BC93" i="253"/>
  <c r="AS93" i="253"/>
  <c r="AV93" i="253"/>
  <c r="BA93" i="253" s="1"/>
  <c r="AZ93" i="253" s="1"/>
  <c r="AL93" i="253"/>
  <c r="AQ93" i="253" s="1"/>
  <c r="AP93" i="253" s="1"/>
  <c r="AI93" i="253"/>
  <c r="Y93" i="253"/>
  <c r="AB93" i="253"/>
  <c r="AG93" i="253" s="1"/>
  <c r="AF93" i="253" s="1"/>
  <c r="R93" i="253"/>
  <c r="EI93" i="253" s="1"/>
  <c r="EH93" i="253" s="1"/>
  <c r="EG93" i="253"/>
  <c r="O93" i="253"/>
  <c r="EE93" i="253"/>
  <c r="M93" i="253"/>
  <c r="D93" i="253"/>
  <c r="EC92" i="253"/>
  <c r="EB92" i="253" s="1"/>
  <c r="DX92" i="253"/>
  <c r="DU92" i="253"/>
  <c r="DN92" i="253"/>
  <c r="DS92" i="253" s="1"/>
  <c r="DR92" i="253" s="1"/>
  <c r="DK92" i="253"/>
  <c r="DD92" i="253"/>
  <c r="DI92" i="253" s="1"/>
  <c r="DH92" i="253" s="1"/>
  <c r="DA92" i="253"/>
  <c r="CT92" i="253"/>
  <c r="CY92" i="253" s="1"/>
  <c r="CX92" i="253" s="1"/>
  <c r="CQ92" i="253"/>
  <c r="CG92" i="253"/>
  <c r="CJ92" i="253"/>
  <c r="CO92" i="253" s="1"/>
  <c r="CN92" i="253" s="1"/>
  <c r="BZ92" i="253"/>
  <c r="CE92" i="253" s="1"/>
  <c r="CD92" i="253" s="1"/>
  <c r="BW92" i="253"/>
  <c r="BM92" i="253"/>
  <c r="BP92" i="253"/>
  <c r="BU92" i="253" s="1"/>
  <c r="BT92" i="253" s="1"/>
  <c r="BF92" i="253"/>
  <c r="BK92" i="253" s="1"/>
  <c r="BJ92" i="253" s="1"/>
  <c r="BC92" i="253"/>
  <c r="BA92" i="253"/>
  <c r="AZ92" i="253" s="1"/>
  <c r="AV92" i="253"/>
  <c r="AS92" i="253"/>
  <c r="AL92" i="253"/>
  <c r="AQ92" i="253" s="1"/>
  <c r="AP92" i="253" s="1"/>
  <c r="AI92" i="253"/>
  <c r="AB92" i="253"/>
  <c r="Y92" i="253"/>
  <c r="EE92" i="253"/>
  <c r="R92" i="253"/>
  <c r="O92" i="253"/>
  <c r="M92" i="253"/>
  <c r="D92" i="253"/>
  <c r="DU91" i="253"/>
  <c r="DT106" i="253"/>
  <c r="DN91" i="253"/>
  <c r="DL106" i="253"/>
  <c r="DK91" i="253"/>
  <c r="DA91" i="253"/>
  <c r="CZ106" i="253"/>
  <c r="CT91" i="253"/>
  <c r="CR106" i="253"/>
  <c r="CQ91" i="253"/>
  <c r="CP106" i="253"/>
  <c r="CJ91" i="253"/>
  <c r="CH106" i="253"/>
  <c r="CF106" i="253"/>
  <c r="BZ91" i="253"/>
  <c r="BX106" i="253"/>
  <c r="BW91" i="253"/>
  <c r="BV106" i="253"/>
  <c r="BP91" i="253"/>
  <c r="BU91" i="253" s="1"/>
  <c r="BM91" i="253"/>
  <c r="BL106" i="253"/>
  <c r="BF91" i="253"/>
  <c r="BD106" i="253"/>
  <c r="BC91" i="253"/>
  <c r="BB106" i="253"/>
  <c r="AS91" i="253"/>
  <c r="AR106" i="253"/>
  <c r="AL91" i="253"/>
  <c r="AJ106" i="253"/>
  <c r="AI91" i="253"/>
  <c r="AH106" i="253"/>
  <c r="Y91" i="253"/>
  <c r="X106" i="253"/>
  <c r="R91" i="253"/>
  <c r="P106" i="253"/>
  <c r="O91" i="253"/>
  <c r="N106" i="253"/>
  <c r="M91" i="253"/>
  <c r="M106" i="253" s="1"/>
  <c r="G106" i="253"/>
  <c r="D91" i="253"/>
  <c r="C106" i="253"/>
  <c r="DX90" i="253"/>
  <c r="DN90" i="253"/>
  <c r="DD90" i="253"/>
  <c r="CT90" i="253"/>
  <c r="CJ90" i="253"/>
  <c r="BZ90" i="253"/>
  <c r="BP90" i="253"/>
  <c r="BF90" i="253"/>
  <c r="AV90" i="253"/>
  <c r="AL90" i="253"/>
  <c r="AB90" i="253"/>
  <c r="R90" i="253"/>
  <c r="DX89" i="253"/>
  <c r="DN89" i="253"/>
  <c r="DD89" i="253"/>
  <c r="CT89" i="253"/>
  <c r="CJ89" i="253"/>
  <c r="BZ89" i="253"/>
  <c r="BP89" i="253"/>
  <c r="BF89" i="253"/>
  <c r="AV89" i="253"/>
  <c r="AL89" i="253"/>
  <c r="AB89" i="253"/>
  <c r="R89" i="253"/>
  <c r="EL88" i="253"/>
  <c r="EK88" i="253"/>
  <c r="EJ88" i="253"/>
  <c r="ED88" i="253"/>
  <c r="EA88" i="253"/>
  <c r="DZ88" i="253"/>
  <c r="DY88" i="253"/>
  <c r="DV88" i="253"/>
  <c r="DQ88" i="253"/>
  <c r="DP88" i="253"/>
  <c r="DO88" i="253"/>
  <c r="DG88" i="253"/>
  <c r="DF88" i="253"/>
  <c r="DE88" i="253"/>
  <c r="CW88" i="253"/>
  <c r="CP88" i="253"/>
  <c r="CM88" i="253"/>
  <c r="CL88" i="253"/>
  <c r="CK88" i="253"/>
  <c r="CC88" i="253"/>
  <c r="CB88" i="253"/>
  <c r="CA88" i="253"/>
  <c r="BS88" i="253"/>
  <c r="BR88" i="253"/>
  <c r="BQ88" i="253"/>
  <c r="BN88" i="253"/>
  <c r="BI88" i="253"/>
  <c r="BI161" i="253" s="1"/>
  <c r="BI211" i="253" s="1"/>
  <c r="BH88" i="253"/>
  <c r="BG88" i="253"/>
  <c r="AY88" i="253"/>
  <c r="AY161" i="253" s="1"/>
  <c r="AY211" i="253" s="1"/>
  <c r="AX88" i="253"/>
  <c r="AW88" i="253"/>
  <c r="AT88" i="253"/>
  <c r="EE87" i="253"/>
  <c r="DX87" i="253"/>
  <c r="EC87" i="253" s="1"/>
  <c r="EB87" i="253" s="1"/>
  <c r="DU87" i="253"/>
  <c r="DN87" i="253"/>
  <c r="DS87" i="253" s="1"/>
  <c r="DR87" i="253" s="1"/>
  <c r="DK87" i="253"/>
  <c r="DH87" i="253"/>
  <c r="DD87" i="253"/>
  <c r="DI87" i="253" s="1"/>
  <c r="DA87" i="253"/>
  <c r="CT87" i="253"/>
  <c r="CY87" i="253" s="1"/>
  <c r="CX87" i="253" s="1"/>
  <c r="CQ87" i="253"/>
  <c r="CJ87" i="253"/>
  <c r="CO87" i="253" s="1"/>
  <c r="CN87" i="253" s="1"/>
  <c r="CG87" i="253"/>
  <c r="BZ87" i="253"/>
  <c r="BW87" i="253"/>
  <c r="BP87" i="253"/>
  <c r="BU87" i="253" s="1"/>
  <c r="BT87" i="253" s="1"/>
  <c r="BM87" i="253"/>
  <c r="AZ87" i="253"/>
  <c r="AV87" i="253"/>
  <c r="BA87" i="253" s="1"/>
  <c r="AS87" i="253"/>
  <c r="AL87" i="253"/>
  <c r="AQ87" i="253" s="1"/>
  <c r="AP87" i="253" s="1"/>
  <c r="AI87" i="253"/>
  <c r="AB87" i="253"/>
  <c r="AG87" i="253" s="1"/>
  <c r="AF87" i="253" s="1"/>
  <c r="Y87" i="253"/>
  <c r="R87" i="253"/>
  <c r="M87" i="253"/>
  <c r="DX86" i="253"/>
  <c r="EC86" i="253" s="1"/>
  <c r="EB86" i="253" s="1"/>
  <c r="DU86" i="253"/>
  <c r="DN86" i="253"/>
  <c r="DK86" i="253"/>
  <c r="DD86" i="253"/>
  <c r="DI86" i="253" s="1"/>
  <c r="DH86" i="253" s="1"/>
  <c r="DA86" i="253"/>
  <c r="CN86" i="253"/>
  <c r="CJ86" i="253"/>
  <c r="CO86" i="253" s="1"/>
  <c r="CG86" i="253"/>
  <c r="BZ86" i="253"/>
  <c r="CE86" i="253" s="1"/>
  <c r="CD86" i="253" s="1"/>
  <c r="BW86" i="253"/>
  <c r="BP86" i="253"/>
  <c r="BU86" i="253" s="1"/>
  <c r="BT86" i="253" s="1"/>
  <c r="BM86" i="253"/>
  <c r="BF86" i="253"/>
  <c r="BK86" i="253" s="1"/>
  <c r="BJ86" i="253" s="1"/>
  <c r="BC86" i="253"/>
  <c r="AV86" i="253"/>
  <c r="BA86" i="253" s="1"/>
  <c r="AZ86" i="253" s="1"/>
  <c r="AS86" i="253"/>
  <c r="AL86" i="253"/>
  <c r="AQ86" i="253" s="1"/>
  <c r="AP86" i="253" s="1"/>
  <c r="AB86" i="253"/>
  <c r="AG86" i="253"/>
  <c r="AF86" i="253" s="1"/>
  <c r="Y86" i="253"/>
  <c r="M86" i="253"/>
  <c r="M88" i="253" s="1"/>
  <c r="D86" i="253"/>
  <c r="EE85" i="253"/>
  <c r="DX85" i="253"/>
  <c r="EC85" i="253" s="1"/>
  <c r="EB85" i="253" s="1"/>
  <c r="DU85" i="253"/>
  <c r="DN85" i="253"/>
  <c r="DS85" i="253" s="1"/>
  <c r="DR85" i="253" s="1"/>
  <c r="DK85" i="253"/>
  <c r="DH85" i="253"/>
  <c r="DD85" i="253"/>
  <c r="DI85" i="253" s="1"/>
  <c r="DA85" i="253"/>
  <c r="CT85" i="253"/>
  <c r="CQ85" i="253"/>
  <c r="CJ85" i="253"/>
  <c r="CO85" i="253" s="1"/>
  <c r="CN85" i="253" s="1"/>
  <c r="CG85" i="253"/>
  <c r="BW85" i="253"/>
  <c r="BP85" i="253"/>
  <c r="BU85" i="253" s="1"/>
  <c r="BT85" i="253" s="1"/>
  <c r="BM85" i="253"/>
  <c r="AZ85" i="253"/>
  <c r="AV85" i="253"/>
  <c r="BA85" i="253" s="1"/>
  <c r="AS85" i="253"/>
  <c r="AQ85" i="253"/>
  <c r="AP85" i="253" s="1"/>
  <c r="AL85" i="253"/>
  <c r="AI85" i="253"/>
  <c r="AB85" i="253"/>
  <c r="AG85" i="253" s="1"/>
  <c r="AF85" i="253" s="1"/>
  <c r="Y85" i="253"/>
  <c r="R85" i="253"/>
  <c r="M85" i="253"/>
  <c r="D85" i="253"/>
  <c r="DX84" i="253"/>
  <c r="EC84" i="253" s="1"/>
  <c r="EB84" i="253" s="1"/>
  <c r="DU84" i="253"/>
  <c r="DK84" i="253"/>
  <c r="DD84" i="253"/>
  <c r="DI84" i="253" s="1"/>
  <c r="DH84" i="253" s="1"/>
  <c r="DA84" i="253"/>
  <c r="CR88" i="253"/>
  <c r="CN84" i="253"/>
  <c r="CJ84" i="253"/>
  <c r="CO84" i="253" s="1"/>
  <c r="CG84" i="253"/>
  <c r="CE84" i="253"/>
  <c r="CD84" i="253" s="1"/>
  <c r="BZ84" i="253"/>
  <c r="BW84" i="253"/>
  <c r="BP84" i="253"/>
  <c r="BU84" i="253" s="1"/>
  <c r="BT84" i="253" s="1"/>
  <c r="BM84" i="253"/>
  <c r="BF84" i="253"/>
  <c r="BK84" i="253" s="1"/>
  <c r="BJ84" i="253" s="1"/>
  <c r="BC84" i="253"/>
  <c r="AV84" i="253"/>
  <c r="BA84" i="253" s="1"/>
  <c r="AZ84" i="253" s="1"/>
  <c r="AS84" i="253"/>
  <c r="AL84" i="253"/>
  <c r="AQ84" i="253" s="1"/>
  <c r="AP84" i="253" s="1"/>
  <c r="AB84" i="253"/>
  <c r="AG84" i="253"/>
  <c r="AF84" i="253" s="1"/>
  <c r="Y84" i="253"/>
  <c r="M84" i="253"/>
  <c r="D84" i="253"/>
  <c r="EC83" i="253"/>
  <c r="EB83" i="253" s="1"/>
  <c r="DX83" i="253"/>
  <c r="DU83" i="253"/>
  <c r="DT88" i="253"/>
  <c r="DN83" i="253"/>
  <c r="DK83" i="253"/>
  <c r="DD83" i="253"/>
  <c r="DA83" i="253"/>
  <c r="CZ88" i="253"/>
  <c r="CT83" i="253"/>
  <c r="CQ83" i="253"/>
  <c r="CF88" i="253"/>
  <c r="BZ83" i="253"/>
  <c r="BW83" i="253"/>
  <c r="BV88" i="253"/>
  <c r="BF83" i="253"/>
  <c r="BB88" i="253"/>
  <c r="AV83" i="253"/>
  <c r="AS83" i="253"/>
  <c r="AR88" i="253"/>
  <c r="AL83" i="253"/>
  <c r="AI83" i="253"/>
  <c r="AB83" i="253"/>
  <c r="R83" i="253"/>
  <c r="O83" i="253"/>
  <c r="M83" i="253"/>
  <c r="J88" i="253"/>
  <c r="D83" i="253"/>
  <c r="DX82" i="253"/>
  <c r="DD82" i="253"/>
  <c r="CT82" i="253"/>
  <c r="CJ82" i="253"/>
  <c r="BP82" i="253"/>
  <c r="BF82" i="253"/>
  <c r="AV82" i="253"/>
  <c r="AB82" i="253"/>
  <c r="R82" i="253"/>
  <c r="DX81" i="253"/>
  <c r="DN81" i="253"/>
  <c r="DD81" i="253"/>
  <c r="CT81" i="253"/>
  <c r="CJ81" i="253"/>
  <c r="BZ81" i="253"/>
  <c r="BP81" i="253"/>
  <c r="BF81" i="253"/>
  <c r="AV81" i="253"/>
  <c r="AL81" i="253"/>
  <c r="AB81" i="253"/>
  <c r="R81" i="253"/>
  <c r="EL80" i="253"/>
  <c r="EK80" i="253"/>
  <c r="EJ80" i="253"/>
  <c r="ED80" i="253"/>
  <c r="EA80" i="253"/>
  <c r="EA161" i="253" s="1"/>
  <c r="EA211" i="253" s="1"/>
  <c r="DZ80" i="253"/>
  <c r="DQ80" i="253"/>
  <c r="DQ161" i="253" s="1"/>
  <c r="DQ211" i="253" s="1"/>
  <c r="DP80" i="253"/>
  <c r="DG80" i="253"/>
  <c r="DG161" i="253" s="1"/>
  <c r="DG211" i="253" s="1"/>
  <c r="DF80" i="253"/>
  <c r="CW80" i="253"/>
  <c r="CW161" i="253" s="1"/>
  <c r="CW211" i="253" s="1"/>
  <c r="CV80" i="253"/>
  <c r="CM80" i="253"/>
  <c r="CL80" i="253"/>
  <c r="CC80" i="253"/>
  <c r="CC161" i="253" s="1"/>
  <c r="CC211" i="253" s="1"/>
  <c r="CB80" i="253"/>
  <c r="BS80" i="253"/>
  <c r="BS161" i="253" s="1"/>
  <c r="BS211" i="253" s="1"/>
  <c r="BR80" i="253"/>
  <c r="BH80" i="253"/>
  <c r="AX80" i="253"/>
  <c r="AN80" i="253"/>
  <c r="AD80" i="253"/>
  <c r="T80" i="253"/>
  <c r="DX79" i="253"/>
  <c r="EC79" i="253" s="1"/>
  <c r="EB79" i="253" s="1"/>
  <c r="DU79" i="253"/>
  <c r="DN79" i="253"/>
  <c r="DS79" i="253" s="1"/>
  <c r="DR79" i="253" s="1"/>
  <c r="DD79" i="253"/>
  <c r="DI79" i="253" s="1"/>
  <c r="DH79" i="253" s="1"/>
  <c r="DA79" i="253"/>
  <c r="CY79" i="253"/>
  <c r="CX79" i="253" s="1"/>
  <c r="CT79" i="253"/>
  <c r="CQ79" i="253"/>
  <c r="CN79" i="253"/>
  <c r="CJ79" i="253"/>
  <c r="CO79" i="253" s="1"/>
  <c r="CG79" i="253"/>
  <c r="BZ79" i="253"/>
  <c r="CE79" i="253" s="1"/>
  <c r="CD79" i="253" s="1"/>
  <c r="BW79" i="253"/>
  <c r="BP79" i="253"/>
  <c r="BU79" i="253" s="1"/>
  <c r="BT79" i="253" s="1"/>
  <c r="BM79" i="253"/>
  <c r="BF79" i="253"/>
  <c r="BK79" i="253" s="1"/>
  <c r="BJ79" i="253" s="1"/>
  <c r="BC79" i="253"/>
  <c r="AV79" i="253"/>
  <c r="BA79" i="253" s="1"/>
  <c r="AZ79" i="253" s="1"/>
  <c r="AS79" i="253"/>
  <c r="AQ79" i="253"/>
  <c r="AP79" i="253" s="1"/>
  <c r="AI79" i="253"/>
  <c r="AL79" i="253"/>
  <c r="AB79" i="253"/>
  <c r="AG79" i="253"/>
  <c r="AF79" i="253" s="1"/>
  <c r="Y79" i="253"/>
  <c r="R79" i="253"/>
  <c r="M79" i="253"/>
  <c r="EB78" i="253"/>
  <c r="DX78" i="253"/>
  <c r="EC78" i="253" s="1"/>
  <c r="DU78" i="253"/>
  <c r="DK78" i="253"/>
  <c r="DN78" i="253"/>
  <c r="DS78" i="253" s="1"/>
  <c r="DR78" i="253" s="1"/>
  <c r="DH78" i="253"/>
  <c r="DD78" i="253"/>
  <c r="DI78" i="253" s="1"/>
  <c r="DA78" i="253"/>
  <c r="CT78" i="253"/>
  <c r="CY78" i="253" s="1"/>
  <c r="CX78" i="253" s="1"/>
  <c r="CQ78" i="253"/>
  <c r="CN78" i="253"/>
  <c r="CJ78" i="253"/>
  <c r="CO78" i="253" s="1"/>
  <c r="CG78" i="253"/>
  <c r="BZ78" i="253"/>
  <c r="CE78" i="253" s="1"/>
  <c r="CD78" i="253" s="1"/>
  <c r="BW78" i="253"/>
  <c r="BP78" i="253"/>
  <c r="BU78" i="253" s="1"/>
  <c r="BT78" i="253" s="1"/>
  <c r="BM78" i="253"/>
  <c r="BF78" i="253"/>
  <c r="BK78" i="253" s="1"/>
  <c r="BJ78" i="253" s="1"/>
  <c r="AV78" i="253"/>
  <c r="AS78" i="253"/>
  <c r="AI78" i="253"/>
  <c r="AL78" i="253"/>
  <c r="AQ78" i="253" s="1"/>
  <c r="AP78" i="253" s="1"/>
  <c r="Y78" i="253"/>
  <c r="EG78" i="253"/>
  <c r="EE78" i="253"/>
  <c r="M78" i="253"/>
  <c r="DX77" i="253"/>
  <c r="EC77" i="253" s="1"/>
  <c r="EB77" i="253" s="1"/>
  <c r="DU77" i="253"/>
  <c r="DK77" i="253"/>
  <c r="DN77" i="253"/>
  <c r="DS77" i="253" s="1"/>
  <c r="DR77" i="253" s="1"/>
  <c r="DD77" i="253"/>
  <c r="DA77" i="253"/>
  <c r="CT77" i="253"/>
  <c r="CY77" i="253" s="1"/>
  <c r="CX77" i="253" s="1"/>
  <c r="CQ77" i="253"/>
  <c r="CG77" i="253"/>
  <c r="BZ77" i="253"/>
  <c r="CE77" i="253" s="1"/>
  <c r="CD77" i="253" s="1"/>
  <c r="BP77" i="253"/>
  <c r="BU77" i="253" s="1"/>
  <c r="BT77" i="253" s="1"/>
  <c r="BM77" i="253"/>
  <c r="BK77" i="253"/>
  <c r="BJ77" i="253" s="1"/>
  <c r="BF77" i="253"/>
  <c r="BC77" i="253"/>
  <c r="AV77" i="253"/>
  <c r="BA77" i="253" s="1"/>
  <c r="AZ77" i="253" s="1"/>
  <c r="AS77" i="253"/>
  <c r="AL77" i="253"/>
  <c r="AQ77" i="253" s="1"/>
  <c r="AP77" i="253" s="1"/>
  <c r="AI77" i="253"/>
  <c r="AF77" i="253"/>
  <c r="AB77" i="253"/>
  <c r="AG77" i="253"/>
  <c r="R77" i="253"/>
  <c r="W77" i="253"/>
  <c r="V77" i="253" s="1"/>
  <c r="EE77" i="253"/>
  <c r="M77" i="253"/>
  <c r="DX76" i="253"/>
  <c r="EC76" i="253" s="1"/>
  <c r="EB76" i="253" s="1"/>
  <c r="DU76" i="253"/>
  <c r="DN76" i="253"/>
  <c r="DS76" i="253" s="1"/>
  <c r="DR76" i="253" s="1"/>
  <c r="DK76" i="253"/>
  <c r="DA76" i="253"/>
  <c r="CT76" i="253"/>
  <c r="CY76" i="253" s="1"/>
  <c r="CX76" i="253" s="1"/>
  <c r="CQ76" i="253"/>
  <c r="CG76" i="253"/>
  <c r="BZ76" i="253"/>
  <c r="CE76" i="253" s="1"/>
  <c r="CD76" i="253" s="1"/>
  <c r="BP76" i="253"/>
  <c r="BU76" i="253" s="1"/>
  <c r="BT76" i="253" s="1"/>
  <c r="BM76" i="253"/>
  <c r="BC76" i="253"/>
  <c r="AV76" i="253"/>
  <c r="BA76" i="253" s="1"/>
  <c r="AZ76" i="253" s="1"/>
  <c r="AS76" i="253"/>
  <c r="AQ76" i="253"/>
  <c r="AP76" i="253" s="1"/>
  <c r="AL76" i="253"/>
  <c r="AI76" i="253"/>
  <c r="AB76" i="253"/>
  <c r="AG76" i="253" s="1"/>
  <c r="AF76" i="253" s="1"/>
  <c r="Y76" i="253"/>
  <c r="R76" i="253"/>
  <c r="O76" i="253"/>
  <c r="EE76" i="253"/>
  <c r="M76" i="253"/>
  <c r="DX75" i="253"/>
  <c r="EC75" i="253" s="1"/>
  <c r="EB75" i="253" s="1"/>
  <c r="DU75" i="253"/>
  <c r="DK75" i="253"/>
  <c r="DD75" i="253"/>
  <c r="DI75" i="253" s="1"/>
  <c r="DH75" i="253" s="1"/>
  <c r="DA75" i="253"/>
  <c r="CY75" i="253"/>
  <c r="CX75" i="253" s="1"/>
  <c r="CT75" i="253"/>
  <c r="CQ75" i="253"/>
  <c r="CJ75" i="253"/>
  <c r="CO75" i="253" s="1"/>
  <c r="CN75" i="253" s="1"/>
  <c r="CG75" i="253"/>
  <c r="BZ75" i="253"/>
  <c r="CE75" i="253" s="1"/>
  <c r="CD75" i="253" s="1"/>
  <c r="BW75" i="253"/>
  <c r="BP75" i="253"/>
  <c r="BU75" i="253" s="1"/>
  <c r="BT75" i="253" s="1"/>
  <c r="BM75" i="253"/>
  <c r="BF75" i="253"/>
  <c r="BK75" i="253" s="1"/>
  <c r="BJ75" i="253" s="1"/>
  <c r="EG75" i="253"/>
  <c r="AV75" i="253"/>
  <c r="BA75" i="253" s="1"/>
  <c r="AZ75" i="253" s="1"/>
  <c r="AS75" i="253"/>
  <c r="AI75" i="253"/>
  <c r="AB75" i="253"/>
  <c r="AG75" i="253" s="1"/>
  <c r="AF75" i="253" s="1"/>
  <c r="Y75" i="253"/>
  <c r="W75" i="253"/>
  <c r="V75" i="253" s="1"/>
  <c r="R75" i="253"/>
  <c r="O75" i="253"/>
  <c r="M75" i="253"/>
  <c r="D75" i="253"/>
  <c r="DX74" i="253"/>
  <c r="EC74" i="253" s="1"/>
  <c r="EB74" i="253" s="1"/>
  <c r="DU74" i="253"/>
  <c r="DN74" i="253"/>
  <c r="DS74" i="253" s="1"/>
  <c r="DR74" i="253" s="1"/>
  <c r="DK74" i="253"/>
  <c r="DD74" i="253"/>
  <c r="DI74" i="253" s="1"/>
  <c r="DH74" i="253" s="1"/>
  <c r="DA74" i="253"/>
  <c r="CT74" i="253"/>
  <c r="CY74" i="253" s="1"/>
  <c r="CX74" i="253" s="1"/>
  <c r="CQ74" i="253"/>
  <c r="CJ74" i="253"/>
  <c r="CO74" i="253" s="1"/>
  <c r="CN74" i="253" s="1"/>
  <c r="CG74" i="253"/>
  <c r="BW74" i="253"/>
  <c r="BP74" i="253"/>
  <c r="BU74" i="253" s="1"/>
  <c r="BT74" i="253" s="1"/>
  <c r="BM74" i="253"/>
  <c r="BK74" i="253"/>
  <c r="BJ74" i="253" s="1"/>
  <c r="BF74" i="253"/>
  <c r="BC74" i="253"/>
  <c r="AV74" i="253"/>
  <c r="BA74" i="253" s="1"/>
  <c r="AZ74" i="253" s="1"/>
  <c r="AS74" i="253"/>
  <c r="AL74" i="253"/>
  <c r="AQ74" i="253" s="1"/>
  <c r="AP74" i="253" s="1"/>
  <c r="AI74" i="253"/>
  <c r="AB74" i="253"/>
  <c r="Y74" i="253"/>
  <c r="R74" i="253"/>
  <c r="O74" i="253"/>
  <c r="EE74" i="253"/>
  <c r="M74" i="253"/>
  <c r="D74" i="253"/>
  <c r="DU73" i="253"/>
  <c r="DN73" i="253"/>
  <c r="DS73" i="253" s="1"/>
  <c r="DR73" i="253" s="1"/>
  <c r="DK73" i="253"/>
  <c r="DI73" i="253"/>
  <c r="DH73" i="253" s="1"/>
  <c r="DD73" i="253"/>
  <c r="DA73" i="253"/>
  <c r="CT73" i="253"/>
  <c r="CY73" i="253" s="1"/>
  <c r="CX73" i="253" s="1"/>
  <c r="CQ73" i="253"/>
  <c r="CJ73" i="253"/>
  <c r="CO73" i="253" s="1"/>
  <c r="CN73" i="253" s="1"/>
  <c r="CG73" i="253"/>
  <c r="BZ73" i="253"/>
  <c r="CE73" i="253" s="1"/>
  <c r="CD73" i="253" s="1"/>
  <c r="BW73" i="253"/>
  <c r="BP73" i="253"/>
  <c r="BU73" i="253" s="1"/>
  <c r="BT73" i="253" s="1"/>
  <c r="BM73" i="253"/>
  <c r="BF73" i="253"/>
  <c r="BK73" i="253" s="1"/>
  <c r="BJ73" i="253" s="1"/>
  <c r="BC73" i="253"/>
  <c r="AS73" i="253"/>
  <c r="AL73" i="253"/>
  <c r="AQ73" i="253" s="1"/>
  <c r="AP73" i="253" s="1"/>
  <c r="EE73" i="253"/>
  <c r="AG73" i="253"/>
  <c r="AF73" i="253" s="1"/>
  <c r="AB73" i="253"/>
  <c r="EG73" i="253"/>
  <c r="R73" i="253"/>
  <c r="O73" i="253"/>
  <c r="M73" i="253"/>
  <c r="D73" i="253"/>
  <c r="DX72" i="253"/>
  <c r="EC72" i="253" s="1"/>
  <c r="EB72" i="253" s="1"/>
  <c r="DU72" i="253"/>
  <c r="DN72" i="253"/>
  <c r="DS72" i="253" s="1"/>
  <c r="DR72" i="253" s="1"/>
  <c r="DK72" i="253"/>
  <c r="DD72" i="253"/>
  <c r="DI72" i="253" s="1"/>
  <c r="DH72" i="253" s="1"/>
  <c r="DA72" i="253"/>
  <c r="CT72" i="253"/>
  <c r="CY72" i="253" s="1"/>
  <c r="CX72" i="253" s="1"/>
  <c r="CQ72" i="253"/>
  <c r="CG72" i="253"/>
  <c r="BZ72" i="253"/>
  <c r="CE72" i="253" s="1"/>
  <c r="CD72" i="253" s="1"/>
  <c r="BW72" i="253"/>
  <c r="BU72" i="253"/>
  <c r="BT72" i="253" s="1"/>
  <c r="BP72" i="253"/>
  <c r="BM72" i="253"/>
  <c r="BF72" i="253"/>
  <c r="BK72" i="253" s="1"/>
  <c r="BJ72" i="253" s="1"/>
  <c r="BC72" i="253"/>
  <c r="AV72" i="253"/>
  <c r="BA72" i="253" s="1"/>
  <c r="AZ72" i="253" s="1"/>
  <c r="AS72" i="253"/>
  <c r="AL72" i="253"/>
  <c r="AQ72" i="253" s="1"/>
  <c r="AP72" i="253" s="1"/>
  <c r="AI72" i="253"/>
  <c r="AB72" i="253"/>
  <c r="Y72" i="253"/>
  <c r="R72" i="253"/>
  <c r="EG72" i="253"/>
  <c r="O72" i="253"/>
  <c r="EE72" i="253"/>
  <c r="M72" i="253"/>
  <c r="D72" i="253"/>
  <c r="DU71" i="253"/>
  <c r="DN71" i="253"/>
  <c r="DS71" i="253" s="1"/>
  <c r="DR71" i="253" s="1"/>
  <c r="DK71" i="253"/>
  <c r="DI71" i="253"/>
  <c r="DH71" i="253" s="1"/>
  <c r="DD71" i="253"/>
  <c r="DA71" i="253"/>
  <c r="CT71" i="253"/>
  <c r="CY71" i="253" s="1"/>
  <c r="CX71" i="253" s="1"/>
  <c r="CQ71" i="253"/>
  <c r="CJ71" i="253"/>
  <c r="CO71" i="253" s="1"/>
  <c r="CN71" i="253" s="1"/>
  <c r="CG71" i="253"/>
  <c r="BZ71" i="253"/>
  <c r="CE71" i="253" s="1"/>
  <c r="CD71" i="253" s="1"/>
  <c r="BW71" i="253"/>
  <c r="BP71" i="253"/>
  <c r="BU71" i="253" s="1"/>
  <c r="BT71" i="253" s="1"/>
  <c r="BM71" i="253"/>
  <c r="BF71" i="253"/>
  <c r="BK71" i="253" s="1"/>
  <c r="BJ71" i="253" s="1"/>
  <c r="BC71" i="253"/>
  <c r="AS71" i="253"/>
  <c r="AL71" i="253"/>
  <c r="AQ71" i="253" s="1"/>
  <c r="AP71" i="253" s="1"/>
  <c r="AI71" i="253"/>
  <c r="EE71" i="253"/>
  <c r="AG71" i="253"/>
  <c r="AF71" i="253" s="1"/>
  <c r="AB71" i="253"/>
  <c r="EG71" i="253"/>
  <c r="R71" i="253"/>
  <c r="O71" i="253"/>
  <c r="M71" i="253"/>
  <c r="D71" i="253"/>
  <c r="DX70" i="253"/>
  <c r="EC70" i="253" s="1"/>
  <c r="EB70" i="253" s="1"/>
  <c r="DU70" i="253"/>
  <c r="DN70" i="253"/>
  <c r="DS70" i="253" s="1"/>
  <c r="DR70" i="253" s="1"/>
  <c r="DK70" i="253"/>
  <c r="DD70" i="253"/>
  <c r="DI70" i="253" s="1"/>
  <c r="DH70" i="253" s="1"/>
  <c r="DA70" i="253"/>
  <c r="CT70" i="253"/>
  <c r="CY70" i="253" s="1"/>
  <c r="CX70" i="253" s="1"/>
  <c r="CQ70" i="253"/>
  <c r="CG70" i="253"/>
  <c r="BZ70" i="253"/>
  <c r="CE70" i="253" s="1"/>
  <c r="CD70" i="253" s="1"/>
  <c r="BW70" i="253"/>
  <c r="BU70" i="253"/>
  <c r="BT70" i="253" s="1"/>
  <c r="BP70" i="253"/>
  <c r="BM70" i="253"/>
  <c r="BF70" i="253"/>
  <c r="BK70" i="253" s="1"/>
  <c r="BJ70" i="253" s="1"/>
  <c r="BC70" i="253"/>
  <c r="AV70" i="253"/>
  <c r="BA70" i="253" s="1"/>
  <c r="AZ70" i="253" s="1"/>
  <c r="AS70" i="253"/>
  <c r="AL70" i="253"/>
  <c r="AQ70" i="253" s="1"/>
  <c r="AP70" i="253" s="1"/>
  <c r="AI70" i="253"/>
  <c r="AB70" i="253"/>
  <c r="Y70" i="253"/>
  <c r="R70" i="253"/>
  <c r="EG70" i="253"/>
  <c r="O70" i="253"/>
  <c r="EE70" i="253"/>
  <c r="M70" i="253"/>
  <c r="D70" i="253"/>
  <c r="DU69" i="253"/>
  <c r="DN69" i="253"/>
  <c r="DS69" i="253" s="1"/>
  <c r="DR69" i="253" s="1"/>
  <c r="DK69" i="253"/>
  <c r="DI69" i="253"/>
  <c r="DH69" i="253" s="1"/>
  <c r="DD69" i="253"/>
  <c r="DA69" i="253"/>
  <c r="CT69" i="253"/>
  <c r="CY69" i="253" s="1"/>
  <c r="CX69" i="253" s="1"/>
  <c r="CQ69" i="253"/>
  <c r="CJ69" i="253"/>
  <c r="CO69" i="253" s="1"/>
  <c r="CN69" i="253" s="1"/>
  <c r="CG69" i="253"/>
  <c r="BZ69" i="253"/>
  <c r="CE69" i="253" s="1"/>
  <c r="CD69" i="253" s="1"/>
  <c r="BW69" i="253"/>
  <c r="BP69" i="253"/>
  <c r="BU69" i="253" s="1"/>
  <c r="BT69" i="253" s="1"/>
  <c r="BM69" i="253"/>
  <c r="BC69" i="253"/>
  <c r="BF69" i="253"/>
  <c r="BK69" i="253" s="1"/>
  <c r="BJ69" i="253" s="1"/>
  <c r="AS69" i="253"/>
  <c r="AL69" i="253"/>
  <c r="AQ69" i="253" s="1"/>
  <c r="AP69" i="253" s="1"/>
  <c r="AI69" i="253"/>
  <c r="EE69" i="253"/>
  <c r="AG69" i="253"/>
  <c r="AF69" i="253" s="1"/>
  <c r="AB69" i="253"/>
  <c r="EG69" i="253"/>
  <c r="R69" i="253"/>
  <c r="O69" i="253"/>
  <c r="M69" i="253"/>
  <c r="D69" i="253"/>
  <c r="DX68" i="253"/>
  <c r="EC68" i="253" s="1"/>
  <c r="EB68" i="253" s="1"/>
  <c r="DU68" i="253"/>
  <c r="DN68" i="253"/>
  <c r="DS68" i="253" s="1"/>
  <c r="DR68" i="253" s="1"/>
  <c r="DK68" i="253"/>
  <c r="DD68" i="253"/>
  <c r="DI68" i="253" s="1"/>
  <c r="DH68" i="253" s="1"/>
  <c r="DA68" i="253"/>
  <c r="CQ68" i="253"/>
  <c r="CT68" i="253"/>
  <c r="CY68" i="253" s="1"/>
  <c r="CX68" i="253" s="1"/>
  <c r="CG68" i="253"/>
  <c r="BZ68" i="253"/>
  <c r="CE68" i="253" s="1"/>
  <c r="CD68" i="253" s="1"/>
  <c r="BW68" i="253"/>
  <c r="BU68" i="253"/>
  <c r="BT68" i="253" s="1"/>
  <c r="BP68" i="253"/>
  <c r="BM68" i="253"/>
  <c r="BF68" i="253"/>
  <c r="BK68" i="253" s="1"/>
  <c r="BJ68" i="253" s="1"/>
  <c r="BC68" i="253"/>
  <c r="AV68" i="253"/>
  <c r="BA68" i="253" s="1"/>
  <c r="AZ68" i="253" s="1"/>
  <c r="AS68" i="253"/>
  <c r="AL68" i="253"/>
  <c r="AQ68" i="253" s="1"/>
  <c r="AP68" i="253" s="1"/>
  <c r="AI68" i="253"/>
  <c r="AB68" i="253"/>
  <c r="Y68" i="253"/>
  <c r="EG68" i="253"/>
  <c r="O68" i="253"/>
  <c r="EE68" i="253"/>
  <c r="M68" i="253"/>
  <c r="D68" i="253"/>
  <c r="DU67" i="253"/>
  <c r="DN67" i="253"/>
  <c r="DS67" i="253" s="1"/>
  <c r="DR67" i="253" s="1"/>
  <c r="DK67" i="253"/>
  <c r="DI67" i="253"/>
  <c r="DH67" i="253" s="1"/>
  <c r="DD67" i="253"/>
  <c r="DA67" i="253"/>
  <c r="CT67" i="253"/>
  <c r="CY67" i="253" s="1"/>
  <c r="CX67" i="253" s="1"/>
  <c r="CQ67" i="253"/>
  <c r="CJ67" i="253"/>
  <c r="CO67" i="253" s="1"/>
  <c r="CN67" i="253" s="1"/>
  <c r="CG67" i="253"/>
  <c r="BZ67" i="253"/>
  <c r="CE67" i="253" s="1"/>
  <c r="CD67" i="253" s="1"/>
  <c r="BW67" i="253"/>
  <c r="BP67" i="253"/>
  <c r="BU67" i="253" s="1"/>
  <c r="BT67" i="253" s="1"/>
  <c r="BM67" i="253"/>
  <c r="BC67" i="253"/>
  <c r="BF67" i="253"/>
  <c r="BK67" i="253" s="1"/>
  <c r="BJ67" i="253" s="1"/>
  <c r="AS67" i="253"/>
  <c r="AL67" i="253"/>
  <c r="AQ67" i="253" s="1"/>
  <c r="AP67" i="253" s="1"/>
  <c r="AI67" i="253"/>
  <c r="AG67" i="253"/>
  <c r="AF67" i="253" s="1"/>
  <c r="AB67" i="253"/>
  <c r="EG67" i="253"/>
  <c r="R67" i="253"/>
  <c r="O67" i="253"/>
  <c r="EE67" i="253"/>
  <c r="M67" i="253"/>
  <c r="D67" i="253"/>
  <c r="DX66" i="253"/>
  <c r="EC66" i="253" s="1"/>
  <c r="EB66" i="253" s="1"/>
  <c r="DU66" i="253"/>
  <c r="DN66" i="253"/>
  <c r="DS66" i="253" s="1"/>
  <c r="DR66" i="253" s="1"/>
  <c r="DK66" i="253"/>
  <c r="DD66" i="253"/>
  <c r="DI66" i="253" s="1"/>
  <c r="DH66" i="253" s="1"/>
  <c r="DA66" i="253"/>
  <c r="CQ66" i="253"/>
  <c r="CT66" i="253"/>
  <c r="CY66" i="253" s="1"/>
  <c r="CX66" i="253" s="1"/>
  <c r="CG66" i="253"/>
  <c r="BZ66" i="253"/>
  <c r="CE66" i="253" s="1"/>
  <c r="CD66" i="253" s="1"/>
  <c r="BW66" i="253"/>
  <c r="BU66" i="253"/>
  <c r="BT66" i="253" s="1"/>
  <c r="BP66" i="253"/>
  <c r="BM66" i="253"/>
  <c r="BF66" i="253"/>
  <c r="BK66" i="253" s="1"/>
  <c r="BJ66" i="253" s="1"/>
  <c r="BC66" i="253"/>
  <c r="AV66" i="253"/>
  <c r="BA66" i="253" s="1"/>
  <c r="AZ66" i="253" s="1"/>
  <c r="AS66" i="253"/>
  <c r="AL66" i="253"/>
  <c r="AQ66" i="253" s="1"/>
  <c r="AP66" i="253" s="1"/>
  <c r="AI66" i="253"/>
  <c r="AB66" i="253"/>
  <c r="Y66" i="253"/>
  <c r="EG66" i="253"/>
  <c r="O66" i="253"/>
  <c r="EE66" i="253"/>
  <c r="M66" i="253"/>
  <c r="D66" i="253"/>
  <c r="DU65" i="253"/>
  <c r="DN65" i="253"/>
  <c r="DS65" i="253" s="1"/>
  <c r="DR65" i="253" s="1"/>
  <c r="DK65" i="253"/>
  <c r="DI65" i="253"/>
  <c r="DH65" i="253" s="1"/>
  <c r="DD65" i="253"/>
  <c r="DA65" i="253"/>
  <c r="CT65" i="253"/>
  <c r="CY65" i="253" s="1"/>
  <c r="CX65" i="253" s="1"/>
  <c r="CQ65" i="253"/>
  <c r="CJ65" i="253"/>
  <c r="CO65" i="253" s="1"/>
  <c r="CN65" i="253" s="1"/>
  <c r="CG65" i="253"/>
  <c r="BZ65" i="253"/>
  <c r="CE65" i="253" s="1"/>
  <c r="CD65" i="253" s="1"/>
  <c r="BW65" i="253"/>
  <c r="BP65" i="253"/>
  <c r="BU65" i="253" s="1"/>
  <c r="BT65" i="253" s="1"/>
  <c r="BM65" i="253"/>
  <c r="BC65" i="253"/>
  <c r="BF65" i="253"/>
  <c r="BK65" i="253" s="1"/>
  <c r="BJ65" i="253" s="1"/>
  <c r="AS65" i="253"/>
  <c r="AL65" i="253"/>
  <c r="AQ65" i="253" s="1"/>
  <c r="AP65" i="253" s="1"/>
  <c r="AI65" i="253"/>
  <c r="EE65" i="253"/>
  <c r="AG65" i="253"/>
  <c r="AF65" i="253" s="1"/>
  <c r="AB65" i="253"/>
  <c r="EG65" i="253"/>
  <c r="R65" i="253"/>
  <c r="O65" i="253"/>
  <c r="M65" i="253"/>
  <c r="D65" i="253"/>
  <c r="DX64" i="253"/>
  <c r="EC64" i="253" s="1"/>
  <c r="EB64" i="253" s="1"/>
  <c r="DU64" i="253"/>
  <c r="DN64" i="253"/>
  <c r="DS64" i="253" s="1"/>
  <c r="DR64" i="253" s="1"/>
  <c r="DK64" i="253"/>
  <c r="DD64" i="253"/>
  <c r="DI64" i="253" s="1"/>
  <c r="DH64" i="253" s="1"/>
  <c r="DA64" i="253"/>
  <c r="CQ64" i="253"/>
  <c r="CT64" i="253"/>
  <c r="CY64" i="253" s="1"/>
  <c r="CX64" i="253" s="1"/>
  <c r="CG64" i="253"/>
  <c r="BZ64" i="253"/>
  <c r="CE64" i="253" s="1"/>
  <c r="CD64" i="253" s="1"/>
  <c r="BW64" i="253"/>
  <c r="BU64" i="253"/>
  <c r="BT64" i="253" s="1"/>
  <c r="BP64" i="253"/>
  <c r="BM64" i="253"/>
  <c r="BF64" i="253"/>
  <c r="BK64" i="253" s="1"/>
  <c r="BJ64" i="253" s="1"/>
  <c r="BC64" i="253"/>
  <c r="AV64" i="253"/>
  <c r="BA64" i="253" s="1"/>
  <c r="AZ64" i="253" s="1"/>
  <c r="AS64" i="253"/>
  <c r="AL64" i="253"/>
  <c r="AQ64" i="253" s="1"/>
  <c r="AP64" i="253" s="1"/>
  <c r="AI64" i="253"/>
  <c r="AB64" i="253"/>
  <c r="Y64" i="253"/>
  <c r="EG64" i="253"/>
  <c r="O64" i="253"/>
  <c r="EE64" i="253"/>
  <c r="M64" i="253"/>
  <c r="D64" i="253"/>
  <c r="DU63" i="253"/>
  <c r="DN63" i="253"/>
  <c r="DS63" i="253" s="1"/>
  <c r="DR63" i="253" s="1"/>
  <c r="DK63" i="253"/>
  <c r="DI63" i="253"/>
  <c r="DH63" i="253" s="1"/>
  <c r="DD63" i="253"/>
  <c r="DA63" i="253"/>
  <c r="CT63" i="253"/>
  <c r="CY63" i="253" s="1"/>
  <c r="CX63" i="253" s="1"/>
  <c r="CQ63" i="253"/>
  <c r="CJ63" i="253"/>
  <c r="CO63" i="253" s="1"/>
  <c r="CN63" i="253" s="1"/>
  <c r="CG63" i="253"/>
  <c r="BZ63" i="253"/>
  <c r="CE63" i="253" s="1"/>
  <c r="CD63" i="253" s="1"/>
  <c r="BW63" i="253"/>
  <c r="BP63" i="253"/>
  <c r="BU63" i="253" s="1"/>
  <c r="BT63" i="253" s="1"/>
  <c r="BM63" i="253"/>
  <c r="BC63" i="253"/>
  <c r="BF63" i="253"/>
  <c r="BK63" i="253" s="1"/>
  <c r="BJ63" i="253" s="1"/>
  <c r="AS63" i="253"/>
  <c r="AL63" i="253"/>
  <c r="AQ63" i="253" s="1"/>
  <c r="AP63" i="253" s="1"/>
  <c r="AI63" i="253"/>
  <c r="EE63" i="253"/>
  <c r="AG63" i="253"/>
  <c r="AF63" i="253" s="1"/>
  <c r="AB63" i="253"/>
  <c r="EG63" i="253"/>
  <c r="R63" i="253"/>
  <c r="O63" i="253"/>
  <c r="M63" i="253"/>
  <c r="D63" i="253"/>
  <c r="DX62" i="253"/>
  <c r="EC62" i="253" s="1"/>
  <c r="EB62" i="253" s="1"/>
  <c r="DU62" i="253"/>
  <c r="DN62" i="253"/>
  <c r="DS62" i="253" s="1"/>
  <c r="DR62" i="253" s="1"/>
  <c r="DK62" i="253"/>
  <c r="DD62" i="253"/>
  <c r="DI62" i="253" s="1"/>
  <c r="DH62" i="253" s="1"/>
  <c r="DA62" i="253"/>
  <c r="CQ62" i="253"/>
  <c r="CT62" i="253"/>
  <c r="CY62" i="253" s="1"/>
  <c r="CX62" i="253" s="1"/>
  <c r="CG62" i="253"/>
  <c r="BZ62" i="253"/>
  <c r="CE62" i="253" s="1"/>
  <c r="CD62" i="253" s="1"/>
  <c r="BW62" i="253"/>
  <c r="BU62" i="253"/>
  <c r="BT62" i="253" s="1"/>
  <c r="BP62" i="253"/>
  <c r="BM62" i="253"/>
  <c r="BF62" i="253"/>
  <c r="BK62" i="253" s="1"/>
  <c r="BJ62" i="253" s="1"/>
  <c r="BC62" i="253"/>
  <c r="AV62" i="253"/>
  <c r="BA62" i="253" s="1"/>
  <c r="AZ62" i="253" s="1"/>
  <c r="AS62" i="253"/>
  <c r="AL62" i="253"/>
  <c r="AQ62" i="253" s="1"/>
  <c r="AP62" i="253" s="1"/>
  <c r="AI62" i="253"/>
  <c r="AB62" i="253"/>
  <c r="Y62" i="253"/>
  <c r="EG62" i="253"/>
  <c r="O62" i="253"/>
  <c r="EE62" i="253"/>
  <c r="M62" i="253"/>
  <c r="D62" i="253"/>
  <c r="DU61" i="253"/>
  <c r="DN61" i="253"/>
  <c r="DS61" i="253" s="1"/>
  <c r="DR61" i="253" s="1"/>
  <c r="DK61" i="253"/>
  <c r="DI61" i="253"/>
  <c r="DH61" i="253" s="1"/>
  <c r="DD61" i="253"/>
  <c r="DA61" i="253"/>
  <c r="CT61" i="253"/>
  <c r="CY61" i="253" s="1"/>
  <c r="CX61" i="253" s="1"/>
  <c r="CQ61" i="253"/>
  <c r="CJ61" i="253"/>
  <c r="CO61" i="253" s="1"/>
  <c r="CN61" i="253" s="1"/>
  <c r="CG61" i="253"/>
  <c r="BZ61" i="253"/>
  <c r="CE61" i="253" s="1"/>
  <c r="CD61" i="253" s="1"/>
  <c r="BW61" i="253"/>
  <c r="BP61" i="253"/>
  <c r="BU61" i="253" s="1"/>
  <c r="BT61" i="253" s="1"/>
  <c r="BM61" i="253"/>
  <c r="BC61" i="253"/>
  <c r="BF61" i="253"/>
  <c r="BK61" i="253" s="1"/>
  <c r="BJ61" i="253" s="1"/>
  <c r="AS61" i="253"/>
  <c r="AL61" i="253"/>
  <c r="AQ61" i="253" s="1"/>
  <c r="AP61" i="253" s="1"/>
  <c r="AI61" i="253"/>
  <c r="AG61" i="253"/>
  <c r="AF61" i="253" s="1"/>
  <c r="AB61" i="253"/>
  <c r="EG61" i="253"/>
  <c r="R61" i="253"/>
  <c r="O61" i="253"/>
  <c r="EE61" i="253"/>
  <c r="M61" i="253"/>
  <c r="D61" i="253"/>
  <c r="DX60" i="253"/>
  <c r="EC60" i="253" s="1"/>
  <c r="EB60" i="253" s="1"/>
  <c r="DU60" i="253"/>
  <c r="DN60" i="253"/>
  <c r="DS60" i="253" s="1"/>
  <c r="DR60" i="253" s="1"/>
  <c r="DK60" i="253"/>
  <c r="DD60" i="253"/>
  <c r="DI60" i="253" s="1"/>
  <c r="DH60" i="253" s="1"/>
  <c r="DA60" i="253"/>
  <c r="CQ60" i="253"/>
  <c r="CT60" i="253"/>
  <c r="CY60" i="253" s="1"/>
  <c r="CX60" i="253" s="1"/>
  <c r="CG60" i="253"/>
  <c r="BZ60" i="253"/>
  <c r="CE60" i="253" s="1"/>
  <c r="CD60" i="253" s="1"/>
  <c r="BW60" i="253"/>
  <c r="BU60" i="253"/>
  <c r="BT60" i="253" s="1"/>
  <c r="BP60" i="253"/>
  <c r="BM60" i="253"/>
  <c r="BF60" i="253"/>
  <c r="BK60" i="253" s="1"/>
  <c r="BJ60" i="253" s="1"/>
  <c r="BC60" i="253"/>
  <c r="AV60" i="253"/>
  <c r="BA60" i="253" s="1"/>
  <c r="AZ60" i="253" s="1"/>
  <c r="AS60" i="253"/>
  <c r="AL60" i="253"/>
  <c r="AQ60" i="253" s="1"/>
  <c r="AP60" i="253" s="1"/>
  <c r="AI60" i="253"/>
  <c r="AB60" i="253"/>
  <c r="Y60" i="253"/>
  <c r="EG60" i="253"/>
  <c r="O60" i="253"/>
  <c r="EE60" i="253"/>
  <c r="M60" i="253"/>
  <c r="D60" i="253"/>
  <c r="DU59" i="253"/>
  <c r="DN59" i="253"/>
  <c r="DS59" i="253" s="1"/>
  <c r="DR59" i="253" s="1"/>
  <c r="DK59" i="253"/>
  <c r="DI59" i="253"/>
  <c r="DH59" i="253" s="1"/>
  <c r="DD59" i="253"/>
  <c r="DA59" i="253"/>
  <c r="CT59" i="253"/>
  <c r="CY59" i="253" s="1"/>
  <c r="CX59" i="253" s="1"/>
  <c r="CQ59" i="253"/>
  <c r="CJ59" i="253"/>
  <c r="CO59" i="253" s="1"/>
  <c r="CN59" i="253" s="1"/>
  <c r="CG59" i="253"/>
  <c r="BZ59" i="253"/>
  <c r="CE59" i="253" s="1"/>
  <c r="CD59" i="253" s="1"/>
  <c r="BW59" i="253"/>
  <c r="BP59" i="253"/>
  <c r="BU59" i="253" s="1"/>
  <c r="BT59" i="253" s="1"/>
  <c r="BM59" i="253"/>
  <c r="EG59" i="253"/>
  <c r="BC59" i="253"/>
  <c r="BF59" i="253"/>
  <c r="BK59" i="253" s="1"/>
  <c r="BJ59" i="253" s="1"/>
  <c r="AS59" i="253"/>
  <c r="AL59" i="253"/>
  <c r="AQ59" i="253" s="1"/>
  <c r="AP59" i="253" s="1"/>
  <c r="AI59" i="253"/>
  <c r="AG59" i="253"/>
  <c r="AF59" i="253" s="1"/>
  <c r="AB59" i="253"/>
  <c r="Y59" i="253"/>
  <c r="R59" i="253"/>
  <c r="O59" i="253"/>
  <c r="EE59" i="253"/>
  <c r="M59" i="253"/>
  <c r="D59" i="253"/>
  <c r="DX58" i="253"/>
  <c r="EC58" i="253" s="1"/>
  <c r="EB58" i="253" s="1"/>
  <c r="DU58" i="253"/>
  <c r="DN58" i="253"/>
  <c r="DS58" i="253" s="1"/>
  <c r="DR58" i="253" s="1"/>
  <c r="DK58" i="253"/>
  <c r="DD58" i="253"/>
  <c r="DI58" i="253" s="1"/>
  <c r="DH58" i="253" s="1"/>
  <c r="DA58" i="253"/>
  <c r="CQ58" i="253"/>
  <c r="CT58" i="253"/>
  <c r="CY58" i="253" s="1"/>
  <c r="CX58" i="253" s="1"/>
  <c r="CG58" i="253"/>
  <c r="BZ58" i="253"/>
  <c r="CE58" i="253" s="1"/>
  <c r="CD58" i="253" s="1"/>
  <c r="BW58" i="253"/>
  <c r="BU58" i="253"/>
  <c r="BT58" i="253" s="1"/>
  <c r="BP58" i="253"/>
  <c r="BM58" i="253"/>
  <c r="BF58" i="253"/>
  <c r="BK58" i="253" s="1"/>
  <c r="BJ58" i="253" s="1"/>
  <c r="BC58" i="253"/>
  <c r="AV58" i="253"/>
  <c r="BA58" i="253" s="1"/>
  <c r="AZ58" i="253" s="1"/>
  <c r="AS58" i="253"/>
  <c r="AL58" i="253"/>
  <c r="AQ58" i="253" s="1"/>
  <c r="AP58" i="253" s="1"/>
  <c r="AI58" i="253"/>
  <c r="AB58" i="253"/>
  <c r="Y58" i="253"/>
  <c r="EG58" i="253"/>
  <c r="O58" i="253"/>
  <c r="EE58" i="253"/>
  <c r="M58" i="253"/>
  <c r="D58" i="253"/>
  <c r="DU57" i="253"/>
  <c r="DN57" i="253"/>
  <c r="DS57" i="253" s="1"/>
  <c r="DR57" i="253" s="1"/>
  <c r="DK57" i="253"/>
  <c r="DI57" i="253"/>
  <c r="DH57" i="253" s="1"/>
  <c r="DD57" i="253"/>
  <c r="DA57" i="253"/>
  <c r="CT57" i="253"/>
  <c r="CY57" i="253" s="1"/>
  <c r="CX57" i="253" s="1"/>
  <c r="CQ57" i="253"/>
  <c r="CJ57" i="253"/>
  <c r="CO57" i="253" s="1"/>
  <c r="CN57" i="253" s="1"/>
  <c r="CG57" i="253"/>
  <c r="BZ57" i="253"/>
  <c r="CE57" i="253" s="1"/>
  <c r="CD57" i="253" s="1"/>
  <c r="BW57" i="253"/>
  <c r="BP57" i="253"/>
  <c r="BU57" i="253" s="1"/>
  <c r="BT57" i="253" s="1"/>
  <c r="BM57" i="253"/>
  <c r="BC57" i="253"/>
  <c r="BF57" i="253"/>
  <c r="BK57" i="253" s="1"/>
  <c r="BJ57" i="253" s="1"/>
  <c r="AS57" i="253"/>
  <c r="AL57" i="253"/>
  <c r="AQ57" i="253" s="1"/>
  <c r="AP57" i="253" s="1"/>
  <c r="AI57" i="253"/>
  <c r="AG57" i="253"/>
  <c r="AF57" i="253" s="1"/>
  <c r="AB57" i="253"/>
  <c r="EG57" i="253"/>
  <c r="R57" i="253"/>
  <c r="O57" i="253"/>
  <c r="EE57" i="253"/>
  <c r="M57" i="253"/>
  <c r="D57" i="253"/>
  <c r="DX56" i="253"/>
  <c r="EC56" i="253" s="1"/>
  <c r="EB56" i="253" s="1"/>
  <c r="DU56" i="253"/>
  <c r="DN56" i="253"/>
  <c r="DS56" i="253" s="1"/>
  <c r="DR56" i="253" s="1"/>
  <c r="DK56" i="253"/>
  <c r="DD56" i="253"/>
  <c r="DI56" i="253" s="1"/>
  <c r="DH56" i="253" s="1"/>
  <c r="DA56" i="253"/>
  <c r="CQ56" i="253"/>
  <c r="CT56" i="253"/>
  <c r="CY56" i="253" s="1"/>
  <c r="CX56" i="253" s="1"/>
  <c r="CG56" i="253"/>
  <c r="BZ56" i="253"/>
  <c r="CE56" i="253" s="1"/>
  <c r="CD56" i="253" s="1"/>
  <c r="BW56" i="253"/>
  <c r="BU56" i="253"/>
  <c r="BT56" i="253" s="1"/>
  <c r="BP56" i="253"/>
  <c r="BM56" i="253"/>
  <c r="BF56" i="253"/>
  <c r="BK56" i="253" s="1"/>
  <c r="BJ56" i="253" s="1"/>
  <c r="BC56" i="253"/>
  <c r="AV56" i="253"/>
  <c r="BA56" i="253" s="1"/>
  <c r="AZ56" i="253" s="1"/>
  <c r="AS56" i="253"/>
  <c r="AL56" i="253"/>
  <c r="AQ56" i="253" s="1"/>
  <c r="AP56" i="253" s="1"/>
  <c r="AI56" i="253"/>
  <c r="AB56" i="253"/>
  <c r="Y56" i="253"/>
  <c r="EG56" i="253"/>
  <c r="O56" i="253"/>
  <c r="EE56" i="253"/>
  <c r="M56" i="253"/>
  <c r="D56" i="253"/>
  <c r="DU55" i="253"/>
  <c r="DN55" i="253"/>
  <c r="DS55" i="253" s="1"/>
  <c r="DR55" i="253" s="1"/>
  <c r="DK55" i="253"/>
  <c r="DI55" i="253"/>
  <c r="DH55" i="253" s="1"/>
  <c r="DD55" i="253"/>
  <c r="DA55" i="253"/>
  <c r="CT55" i="253"/>
  <c r="CY55" i="253" s="1"/>
  <c r="CX55" i="253" s="1"/>
  <c r="CQ55" i="253"/>
  <c r="CJ55" i="253"/>
  <c r="CO55" i="253" s="1"/>
  <c r="CN55" i="253" s="1"/>
  <c r="CG55" i="253"/>
  <c r="BZ55" i="253"/>
  <c r="CE55" i="253" s="1"/>
  <c r="CD55" i="253" s="1"/>
  <c r="BW55" i="253"/>
  <c r="BP55" i="253"/>
  <c r="BU55" i="253" s="1"/>
  <c r="BT55" i="253" s="1"/>
  <c r="BM55" i="253"/>
  <c r="BC55" i="253"/>
  <c r="BF55" i="253"/>
  <c r="BK55" i="253" s="1"/>
  <c r="BJ55" i="253" s="1"/>
  <c r="AL55" i="253"/>
  <c r="AQ55" i="253" s="1"/>
  <c r="AP55" i="253" s="1"/>
  <c r="AI55" i="253"/>
  <c r="AG55" i="253"/>
  <c r="AF55" i="253" s="1"/>
  <c r="AB55" i="253"/>
  <c r="EG55" i="253"/>
  <c r="R55" i="253"/>
  <c r="O55" i="253"/>
  <c r="EE55" i="253"/>
  <c r="M55" i="253"/>
  <c r="D55" i="253"/>
  <c r="DX54" i="253"/>
  <c r="EC54" i="253" s="1"/>
  <c r="EB54" i="253" s="1"/>
  <c r="DU54" i="253"/>
  <c r="DN54" i="253"/>
  <c r="DS54" i="253" s="1"/>
  <c r="DR54" i="253" s="1"/>
  <c r="DK54" i="253"/>
  <c r="DD54" i="253"/>
  <c r="DA54" i="253"/>
  <c r="CQ54" i="253"/>
  <c r="CT54" i="253"/>
  <c r="CY54" i="253" s="1"/>
  <c r="CX54" i="253" s="1"/>
  <c r="BZ54" i="253"/>
  <c r="CE54" i="253" s="1"/>
  <c r="CD54" i="253" s="1"/>
  <c r="BW54" i="253"/>
  <c r="BU54" i="253"/>
  <c r="BT54" i="253" s="1"/>
  <c r="BP54" i="253"/>
  <c r="BM54" i="253"/>
  <c r="BJ54" i="253"/>
  <c r="BF54" i="253"/>
  <c r="BK54" i="253" s="1"/>
  <c r="BC54" i="253"/>
  <c r="AV54" i="253"/>
  <c r="BA54" i="253" s="1"/>
  <c r="AZ54" i="253" s="1"/>
  <c r="AS54" i="253"/>
  <c r="AL54" i="253"/>
  <c r="AQ54" i="253" s="1"/>
  <c r="AP54" i="253" s="1"/>
  <c r="AI54" i="253"/>
  <c r="AB54" i="253"/>
  <c r="O54" i="253"/>
  <c r="M54" i="253"/>
  <c r="D54" i="253"/>
  <c r="DN53" i="253"/>
  <c r="DS53" i="253" s="1"/>
  <c r="DR53" i="253" s="1"/>
  <c r="DK53" i="253"/>
  <c r="DI53" i="253"/>
  <c r="DH53" i="253" s="1"/>
  <c r="DD53" i="253"/>
  <c r="DA53" i="253"/>
  <c r="CT53" i="253"/>
  <c r="CY53" i="253" s="1"/>
  <c r="CX53" i="253" s="1"/>
  <c r="CQ53" i="253"/>
  <c r="CJ53" i="253"/>
  <c r="CO53" i="253" s="1"/>
  <c r="CN53" i="253" s="1"/>
  <c r="CG53" i="253"/>
  <c r="BZ53" i="253"/>
  <c r="CE53" i="253" s="1"/>
  <c r="CD53" i="253" s="1"/>
  <c r="BW53" i="253"/>
  <c r="BP53" i="253"/>
  <c r="BM53" i="253"/>
  <c r="BC53" i="253"/>
  <c r="BF53" i="253"/>
  <c r="BK53" i="253" s="1"/>
  <c r="BJ53" i="253" s="1"/>
  <c r="AL53" i="253"/>
  <c r="AQ53" i="253" s="1"/>
  <c r="AP53" i="253" s="1"/>
  <c r="AI53" i="253"/>
  <c r="AG53" i="253"/>
  <c r="AF53" i="253" s="1"/>
  <c r="AB53" i="253"/>
  <c r="R53" i="253"/>
  <c r="O53" i="253"/>
  <c r="M53" i="253"/>
  <c r="D53" i="253"/>
  <c r="DX52" i="253"/>
  <c r="EC52" i="253" s="1"/>
  <c r="EB52" i="253" s="1"/>
  <c r="DU52" i="253"/>
  <c r="DN52" i="253"/>
  <c r="DS52" i="253" s="1"/>
  <c r="DR52" i="253" s="1"/>
  <c r="DK52" i="253"/>
  <c r="DD52" i="253"/>
  <c r="DA52" i="253"/>
  <c r="CQ52" i="253"/>
  <c r="CT52" i="253"/>
  <c r="CY52" i="253" s="1"/>
  <c r="CX52" i="253" s="1"/>
  <c r="BZ52" i="253"/>
  <c r="CE52" i="253" s="1"/>
  <c r="CD52" i="253" s="1"/>
  <c r="BW52" i="253"/>
  <c r="BU52" i="253"/>
  <c r="BT52" i="253" s="1"/>
  <c r="BP52" i="253"/>
  <c r="BM52" i="253"/>
  <c r="BF52" i="253"/>
  <c r="BK52" i="253" s="1"/>
  <c r="BJ52" i="253" s="1"/>
  <c r="BC52" i="253"/>
  <c r="AV52" i="253"/>
  <c r="BA52" i="253" s="1"/>
  <c r="AZ52" i="253" s="1"/>
  <c r="AS52" i="253"/>
  <c r="AL52" i="253"/>
  <c r="AQ52" i="253" s="1"/>
  <c r="AP52" i="253" s="1"/>
  <c r="AI52" i="253"/>
  <c r="AB52" i="253"/>
  <c r="EG52" i="253"/>
  <c r="O52" i="253"/>
  <c r="M52" i="253"/>
  <c r="D52" i="253"/>
  <c r="DX51" i="253"/>
  <c r="EC51" i="253" s="1"/>
  <c r="EB51" i="253" s="1"/>
  <c r="DU51" i="253"/>
  <c r="DS51" i="253"/>
  <c r="DR51" i="253" s="1"/>
  <c r="DN51" i="253"/>
  <c r="DK51" i="253"/>
  <c r="DD51" i="253"/>
  <c r="DI51" i="253" s="1"/>
  <c r="DH51" i="253" s="1"/>
  <c r="DA51" i="253"/>
  <c r="CT51" i="253"/>
  <c r="CY51" i="253" s="1"/>
  <c r="CX51" i="253" s="1"/>
  <c r="CQ51" i="253"/>
  <c r="CJ51" i="253"/>
  <c r="CO51" i="253" s="1"/>
  <c r="CN51" i="253" s="1"/>
  <c r="CG51" i="253"/>
  <c r="BZ51" i="253"/>
  <c r="BW51" i="253"/>
  <c r="BM51" i="253"/>
  <c r="BP51" i="253"/>
  <c r="BU51" i="253" s="1"/>
  <c r="BT51" i="253" s="1"/>
  <c r="AV51" i="253"/>
  <c r="BA51" i="253" s="1"/>
  <c r="AZ51" i="253" s="1"/>
  <c r="AS51" i="253"/>
  <c r="AQ51" i="253"/>
  <c r="AP51" i="253" s="1"/>
  <c r="AL51" i="253"/>
  <c r="AI51" i="253"/>
  <c r="AB51" i="253"/>
  <c r="AG51" i="253" s="1"/>
  <c r="AF51" i="253" s="1"/>
  <c r="Y51" i="253"/>
  <c r="R51" i="253"/>
  <c r="M51" i="253"/>
  <c r="D51" i="253"/>
  <c r="DX50" i="253"/>
  <c r="EC50" i="253" s="1"/>
  <c r="EB50" i="253" s="1"/>
  <c r="DK50" i="253"/>
  <c r="DN50" i="253"/>
  <c r="DS50" i="253" s="1"/>
  <c r="DR50" i="253" s="1"/>
  <c r="CT50" i="253"/>
  <c r="CY50" i="253" s="1"/>
  <c r="CX50" i="253" s="1"/>
  <c r="CQ50" i="253"/>
  <c r="CJ50" i="253"/>
  <c r="CO50" i="253" s="1"/>
  <c r="CN50" i="253" s="1"/>
  <c r="CG50" i="253"/>
  <c r="CD50" i="253"/>
  <c r="BZ50" i="253"/>
  <c r="CE50" i="253" s="1"/>
  <c r="BW50" i="253"/>
  <c r="BP50" i="253"/>
  <c r="BM50" i="253"/>
  <c r="BF50" i="253"/>
  <c r="BK50" i="253" s="1"/>
  <c r="BJ50" i="253" s="1"/>
  <c r="BC50" i="253"/>
  <c r="AS50" i="253"/>
  <c r="AI50" i="253"/>
  <c r="AL50" i="253"/>
  <c r="AQ50" i="253" s="1"/>
  <c r="AP50" i="253" s="1"/>
  <c r="R50" i="253"/>
  <c r="O50" i="253"/>
  <c r="EE50" i="253"/>
  <c r="M50" i="253"/>
  <c r="D50" i="253"/>
  <c r="DX49" i="253"/>
  <c r="EC49" i="253" s="1"/>
  <c r="EB49" i="253" s="1"/>
  <c r="DU49" i="253"/>
  <c r="DN49" i="253"/>
  <c r="DS49" i="253" s="1"/>
  <c r="DR49" i="253" s="1"/>
  <c r="DK49" i="253"/>
  <c r="DD49" i="253"/>
  <c r="DI49" i="253" s="1"/>
  <c r="DH49" i="253" s="1"/>
  <c r="DA49" i="253"/>
  <c r="CT49" i="253"/>
  <c r="CY49" i="253" s="1"/>
  <c r="CX49" i="253" s="1"/>
  <c r="CG49" i="253"/>
  <c r="CJ49" i="253"/>
  <c r="CO49" i="253" s="1"/>
  <c r="CN49" i="253" s="1"/>
  <c r="BP49" i="253"/>
  <c r="BU49" i="253" s="1"/>
  <c r="BT49" i="253" s="1"/>
  <c r="BM49" i="253"/>
  <c r="BF49" i="253"/>
  <c r="BK49" i="253" s="1"/>
  <c r="BJ49" i="253" s="1"/>
  <c r="BC49" i="253"/>
  <c r="AZ49" i="253"/>
  <c r="AV49" i="253"/>
  <c r="BA49" i="253" s="1"/>
  <c r="AS49" i="253"/>
  <c r="AL49" i="253"/>
  <c r="AI49" i="253"/>
  <c r="AB49" i="253"/>
  <c r="AG49" i="253"/>
  <c r="AF49" i="253" s="1"/>
  <c r="Y49" i="253"/>
  <c r="EE49" i="253"/>
  <c r="M49" i="253"/>
  <c r="D49" i="253"/>
  <c r="DR48" i="253"/>
  <c r="DN48" i="253"/>
  <c r="DS48" i="253" s="1"/>
  <c r="DK48" i="253"/>
  <c r="DD48" i="253"/>
  <c r="DI48" i="253" s="1"/>
  <c r="DH48" i="253" s="1"/>
  <c r="DA48" i="253"/>
  <c r="CT48" i="253"/>
  <c r="CY48" i="253" s="1"/>
  <c r="CX48" i="253" s="1"/>
  <c r="CQ48" i="253"/>
  <c r="CJ48" i="253"/>
  <c r="CO48" i="253" s="1"/>
  <c r="CN48" i="253" s="1"/>
  <c r="CG48" i="253"/>
  <c r="BZ48" i="253"/>
  <c r="CE48" i="253" s="1"/>
  <c r="CD48" i="253" s="1"/>
  <c r="BW48" i="253"/>
  <c r="BP48" i="253"/>
  <c r="BU48" i="253" s="1"/>
  <c r="BT48" i="253" s="1"/>
  <c r="BC48" i="253"/>
  <c r="BF48" i="253"/>
  <c r="BK48" i="253" s="1"/>
  <c r="BJ48" i="253" s="1"/>
  <c r="AL48" i="253"/>
  <c r="AQ48" i="253" s="1"/>
  <c r="AP48" i="253" s="1"/>
  <c r="AI48" i="253"/>
  <c r="AB48" i="253"/>
  <c r="AG48" i="253" s="1"/>
  <c r="AF48" i="253" s="1"/>
  <c r="EG48" i="253"/>
  <c r="EF48" i="253" s="1"/>
  <c r="R48" i="253"/>
  <c r="O48" i="253"/>
  <c r="EE48" i="253"/>
  <c r="M48" i="253"/>
  <c r="D48" i="253"/>
  <c r="DX47" i="253"/>
  <c r="EC47" i="253" s="1"/>
  <c r="EB47" i="253" s="1"/>
  <c r="DU47" i="253"/>
  <c r="DN47" i="253"/>
  <c r="DK47" i="253"/>
  <c r="DA47" i="253"/>
  <c r="DD47" i="253"/>
  <c r="DI47" i="253" s="1"/>
  <c r="DH47" i="253" s="1"/>
  <c r="CJ47" i="253"/>
  <c r="CO47" i="253" s="1"/>
  <c r="CN47" i="253" s="1"/>
  <c r="CG47" i="253"/>
  <c r="CE47" i="253"/>
  <c r="CD47" i="253" s="1"/>
  <c r="BZ47" i="253"/>
  <c r="BW47" i="253"/>
  <c r="BP47" i="253"/>
  <c r="BU47" i="253" s="1"/>
  <c r="BT47" i="253" s="1"/>
  <c r="BM47" i="253"/>
  <c r="BF47" i="253"/>
  <c r="BK47" i="253" s="1"/>
  <c r="BJ47" i="253" s="1"/>
  <c r="BC47" i="253"/>
  <c r="AV47" i="253"/>
  <c r="BA47" i="253" s="1"/>
  <c r="AZ47" i="253" s="1"/>
  <c r="AS47" i="253"/>
  <c r="AL47" i="253"/>
  <c r="AQ47" i="253" s="1"/>
  <c r="AP47" i="253" s="1"/>
  <c r="AG47" i="253"/>
  <c r="AF47" i="253" s="1"/>
  <c r="Y47" i="253"/>
  <c r="AB47" i="253"/>
  <c r="M47" i="253"/>
  <c r="D47" i="253"/>
  <c r="DX46" i="253"/>
  <c r="EC46" i="253" s="1"/>
  <c r="EB46" i="253" s="1"/>
  <c r="DU46" i="253"/>
  <c r="DN46" i="253"/>
  <c r="DS46" i="253" s="1"/>
  <c r="DR46" i="253" s="1"/>
  <c r="DK46" i="253"/>
  <c r="DH46" i="253"/>
  <c r="DD46" i="253"/>
  <c r="DI46" i="253" s="1"/>
  <c r="DA46" i="253"/>
  <c r="CT46" i="253"/>
  <c r="CY46" i="253" s="1"/>
  <c r="CX46" i="253" s="1"/>
  <c r="CJ46" i="253"/>
  <c r="CO46" i="253" s="1"/>
  <c r="CN46" i="253" s="1"/>
  <c r="CG46" i="253"/>
  <c r="BM46" i="253"/>
  <c r="BP46" i="253"/>
  <c r="BF46" i="253"/>
  <c r="BK46" i="253" s="1"/>
  <c r="BJ46" i="253" s="1"/>
  <c r="BC46" i="253"/>
  <c r="AQ46" i="253"/>
  <c r="AP46" i="253" s="1"/>
  <c r="AL46" i="253"/>
  <c r="AI46" i="253"/>
  <c r="AB46" i="253"/>
  <c r="AG46" i="253" s="1"/>
  <c r="AF46" i="253" s="1"/>
  <c r="Y46" i="253"/>
  <c r="R46" i="253"/>
  <c r="M46" i="253"/>
  <c r="D46" i="253"/>
  <c r="DU45" i="253"/>
  <c r="DX45" i="253"/>
  <c r="DN45" i="253"/>
  <c r="DS45" i="253" s="1"/>
  <c r="DR45" i="253" s="1"/>
  <c r="DK45" i="253"/>
  <c r="CY45" i="253"/>
  <c r="CX45" i="253" s="1"/>
  <c r="CT45" i="253"/>
  <c r="CQ45" i="253"/>
  <c r="CJ45" i="253"/>
  <c r="CO45" i="253" s="1"/>
  <c r="CN45" i="253" s="1"/>
  <c r="CG45" i="253"/>
  <c r="BZ45" i="253"/>
  <c r="CE45" i="253" s="1"/>
  <c r="CD45" i="253" s="1"/>
  <c r="BP45" i="253"/>
  <c r="BU45" i="253" s="1"/>
  <c r="BT45" i="253" s="1"/>
  <c r="BM45" i="253"/>
  <c r="EE45" i="253"/>
  <c r="AS45" i="253"/>
  <c r="AV45" i="253"/>
  <c r="AL45" i="253"/>
  <c r="AQ45" i="253" s="1"/>
  <c r="AP45" i="253" s="1"/>
  <c r="AI45" i="253"/>
  <c r="W45" i="253"/>
  <c r="V45" i="253" s="1"/>
  <c r="R45" i="253"/>
  <c r="O45" i="253"/>
  <c r="M45" i="253"/>
  <c r="D45" i="253"/>
  <c r="DX44" i="253"/>
  <c r="DU44" i="253"/>
  <c r="DK44" i="253"/>
  <c r="DN44" i="253"/>
  <c r="DS44" i="253" s="1"/>
  <c r="DR44" i="253" s="1"/>
  <c r="DD44" i="253"/>
  <c r="DI44" i="253" s="1"/>
  <c r="DH44" i="253" s="1"/>
  <c r="DA44" i="253"/>
  <c r="CJ44" i="253"/>
  <c r="CO44" i="253" s="1"/>
  <c r="CN44" i="253" s="1"/>
  <c r="CG44" i="253"/>
  <c r="BZ44" i="253"/>
  <c r="CE44" i="253" s="1"/>
  <c r="CD44" i="253" s="1"/>
  <c r="BW44" i="253"/>
  <c r="BP44" i="253"/>
  <c r="BU44" i="253" s="1"/>
  <c r="BT44" i="253" s="1"/>
  <c r="BF44" i="253"/>
  <c r="BK44" i="253" s="1"/>
  <c r="BJ44" i="253" s="1"/>
  <c r="BC44" i="253"/>
  <c r="AV44" i="253"/>
  <c r="AS44" i="253"/>
  <c r="AI44" i="253"/>
  <c r="AL44" i="253"/>
  <c r="AQ44" i="253" s="1"/>
  <c r="AP44" i="253" s="1"/>
  <c r="AB44" i="253"/>
  <c r="AG44" i="253" s="1"/>
  <c r="AF44" i="253" s="1"/>
  <c r="Y44" i="253"/>
  <c r="M44" i="253"/>
  <c r="DX43" i="253"/>
  <c r="DU43" i="253"/>
  <c r="DN43" i="253"/>
  <c r="DJ80" i="253"/>
  <c r="DB80" i="253"/>
  <c r="DA43" i="253"/>
  <c r="DD43" i="253"/>
  <c r="CY43" i="253"/>
  <c r="CT43" i="253"/>
  <c r="CQ43" i="253"/>
  <c r="CJ43" i="253"/>
  <c r="CH80" i="253"/>
  <c r="CF80" i="253"/>
  <c r="CE43" i="253"/>
  <c r="BZ43" i="253"/>
  <c r="BU43" i="253"/>
  <c r="BT43" i="253"/>
  <c r="BP43" i="253"/>
  <c r="BM43" i="253"/>
  <c r="AV43" i="253"/>
  <c r="AS43" i="253"/>
  <c r="AL43" i="253"/>
  <c r="AH80" i="253"/>
  <c r="Y43" i="253"/>
  <c r="AB43" i="253"/>
  <c r="W43" i="253"/>
  <c r="R43" i="253"/>
  <c r="O43" i="253"/>
  <c r="EE43" i="253"/>
  <c r="M43" i="253"/>
  <c r="C80" i="253"/>
  <c r="DX42" i="253"/>
  <c r="DN42" i="253"/>
  <c r="DD42" i="253"/>
  <c r="CT42" i="253"/>
  <c r="CJ42" i="253"/>
  <c r="BZ42" i="253"/>
  <c r="BP42" i="253"/>
  <c r="BF42" i="253"/>
  <c r="AV42" i="253"/>
  <c r="AL42" i="253"/>
  <c r="AB42" i="253"/>
  <c r="R42" i="253"/>
  <c r="DN41" i="253"/>
  <c r="DD41" i="253"/>
  <c r="CT41" i="253"/>
  <c r="CJ41" i="253"/>
  <c r="BZ41" i="253"/>
  <c r="BF41" i="253"/>
  <c r="AV41" i="253"/>
  <c r="AL41" i="253"/>
  <c r="AB41" i="253"/>
  <c r="R41" i="253"/>
  <c r="DN40" i="253"/>
  <c r="DD40" i="253"/>
  <c r="CT40" i="253"/>
  <c r="CJ40" i="253"/>
  <c r="BZ40" i="253"/>
  <c r="BF40" i="253"/>
  <c r="AV40" i="253"/>
  <c r="AL40" i="253"/>
  <c r="AB40" i="253"/>
  <c r="R40" i="253"/>
  <c r="DX39" i="253"/>
  <c r="DN39" i="253"/>
  <c r="DD39" i="253"/>
  <c r="BZ39" i="253"/>
  <c r="BP39" i="253"/>
  <c r="BF39" i="253"/>
  <c r="AV39" i="253"/>
  <c r="AL39" i="253"/>
  <c r="AB39" i="253"/>
  <c r="R39" i="253"/>
  <c r="ED38" i="253"/>
  <c r="DZ38" i="253"/>
  <c r="DP38" i="253"/>
  <c r="DF38" i="253"/>
  <c r="CV38" i="253"/>
  <c r="CR38" i="253"/>
  <c r="CL38" i="253"/>
  <c r="CB38" i="253"/>
  <c r="BR38" i="253"/>
  <c r="BH38" i="253"/>
  <c r="AX38" i="253"/>
  <c r="AN38" i="253"/>
  <c r="AD38" i="253"/>
  <c r="T38" i="253"/>
  <c r="P38" i="253"/>
  <c r="DX37" i="253"/>
  <c r="EC37" i="253" s="1"/>
  <c r="EB37" i="253" s="1"/>
  <c r="DN37" i="253"/>
  <c r="DK37" i="253"/>
  <c r="DD37" i="253"/>
  <c r="DI37" i="253" s="1"/>
  <c r="DH37" i="253" s="1"/>
  <c r="CX37" i="253"/>
  <c r="CT37" i="253"/>
  <c r="CY37" i="253" s="1"/>
  <c r="CQ37" i="253"/>
  <c r="CJ37" i="253"/>
  <c r="CG37" i="253"/>
  <c r="CE37" i="253"/>
  <c r="CD37" i="253"/>
  <c r="BZ37" i="253"/>
  <c r="BW37" i="253"/>
  <c r="BP37" i="253"/>
  <c r="BU37" i="253" s="1"/>
  <c r="BT37" i="253" s="1"/>
  <c r="BM37" i="253"/>
  <c r="BF37" i="253"/>
  <c r="BK37" i="253" s="1"/>
  <c r="BJ37" i="253" s="1"/>
  <c r="BC37" i="253"/>
  <c r="AV37" i="253"/>
  <c r="BA37" i="253" s="1"/>
  <c r="AZ37" i="253" s="1"/>
  <c r="AL37" i="253"/>
  <c r="AI37" i="253"/>
  <c r="AB37" i="253"/>
  <c r="AG37" i="253" s="1"/>
  <c r="AF37" i="253" s="1"/>
  <c r="R37" i="253"/>
  <c r="EG37" i="253"/>
  <c r="M37" i="253"/>
  <c r="DU36" i="253"/>
  <c r="DX36" i="253"/>
  <c r="DN36" i="253"/>
  <c r="DS36" i="253" s="1"/>
  <c r="DR36" i="253" s="1"/>
  <c r="DK36" i="253"/>
  <c r="DD36" i="253"/>
  <c r="DI36" i="253" s="1"/>
  <c r="DH36" i="253" s="1"/>
  <c r="CY36" i="253"/>
  <c r="CX36" i="253"/>
  <c r="CT36" i="253"/>
  <c r="CQ36" i="253"/>
  <c r="CJ36" i="253"/>
  <c r="CO36" i="253" s="1"/>
  <c r="CN36" i="253" s="1"/>
  <c r="CD36" i="253"/>
  <c r="BZ36" i="253"/>
  <c r="CE36" i="253" s="1"/>
  <c r="BW36" i="253"/>
  <c r="BP36" i="253"/>
  <c r="BU36" i="253" s="1"/>
  <c r="BT36" i="253" s="1"/>
  <c r="BM36" i="253"/>
  <c r="BK36" i="253"/>
  <c r="BJ36" i="253" s="1"/>
  <c r="BF36" i="253"/>
  <c r="BC36" i="253"/>
  <c r="AZ36" i="253"/>
  <c r="AV36" i="253"/>
  <c r="BA36" i="253" s="1"/>
  <c r="AS36" i="253"/>
  <c r="AL36" i="253"/>
  <c r="AQ36" i="253" s="1"/>
  <c r="AP36" i="253" s="1"/>
  <c r="AI36" i="253"/>
  <c r="AB36" i="253"/>
  <c r="Y36" i="253"/>
  <c r="R36" i="253"/>
  <c r="O36" i="253"/>
  <c r="M36" i="253"/>
  <c r="DX35" i="253"/>
  <c r="EC35" i="253" s="1"/>
  <c r="EB35" i="253" s="1"/>
  <c r="DU35" i="253"/>
  <c r="DN35" i="253"/>
  <c r="DS35" i="253" s="1"/>
  <c r="DR35" i="253" s="1"/>
  <c r="DK35" i="253"/>
  <c r="DA35" i="253"/>
  <c r="DD35" i="253"/>
  <c r="CJ35" i="253"/>
  <c r="CO35" i="253" s="1"/>
  <c r="CN35" i="253" s="1"/>
  <c r="CG35" i="253"/>
  <c r="BZ35" i="253"/>
  <c r="CE35" i="253" s="1"/>
  <c r="CD35" i="253" s="1"/>
  <c r="BW35" i="253"/>
  <c r="BM35" i="253"/>
  <c r="BP35" i="253"/>
  <c r="BF35" i="253"/>
  <c r="BK35" i="253" s="1"/>
  <c r="BJ35" i="253" s="1"/>
  <c r="BC35" i="253"/>
  <c r="AV35" i="253"/>
  <c r="BA35" i="253" s="1"/>
  <c r="AZ35" i="253" s="1"/>
  <c r="AL35" i="253"/>
  <c r="AQ35" i="253" s="1"/>
  <c r="AP35" i="253" s="1"/>
  <c r="AI35" i="253"/>
  <c r="AB35" i="253"/>
  <c r="M35" i="253"/>
  <c r="DU34" i="253"/>
  <c r="DX34" i="253"/>
  <c r="DN34" i="253"/>
  <c r="DS34" i="253" s="1"/>
  <c r="DR34" i="253" s="1"/>
  <c r="DK34" i="253"/>
  <c r="DD34" i="253"/>
  <c r="DI34" i="253" s="1"/>
  <c r="DH34" i="253" s="1"/>
  <c r="DA34" i="253"/>
  <c r="CT34" i="253"/>
  <c r="CY34" i="253" s="1"/>
  <c r="CX34" i="253" s="1"/>
  <c r="CQ34" i="253"/>
  <c r="CO34" i="253"/>
  <c r="CN34" i="253" s="1"/>
  <c r="CJ34" i="253"/>
  <c r="CG34" i="253"/>
  <c r="CD34" i="253"/>
  <c r="BZ34" i="253"/>
  <c r="CE34" i="253" s="1"/>
  <c r="BW34" i="253"/>
  <c r="BP34" i="253"/>
  <c r="BU34" i="253" s="1"/>
  <c r="BT34" i="253" s="1"/>
  <c r="BM34" i="253"/>
  <c r="BF34" i="253"/>
  <c r="BK34" i="253" s="1"/>
  <c r="BJ34" i="253" s="1"/>
  <c r="BC34" i="253"/>
  <c r="AV34" i="253"/>
  <c r="AL34" i="253"/>
  <c r="AQ34" i="253" s="1"/>
  <c r="AP34" i="253" s="1"/>
  <c r="AI34" i="253"/>
  <c r="AB34" i="253"/>
  <c r="AG34" i="253" s="1"/>
  <c r="AF34" i="253" s="1"/>
  <c r="Y34" i="253"/>
  <c r="R34" i="253"/>
  <c r="O34" i="253"/>
  <c r="M34" i="253"/>
  <c r="DX33" i="253"/>
  <c r="EC33" i="253" s="1"/>
  <c r="EB33" i="253" s="1"/>
  <c r="DU33" i="253"/>
  <c r="DN33" i="253"/>
  <c r="DS33" i="253" s="1"/>
  <c r="DR33" i="253" s="1"/>
  <c r="DK33" i="253"/>
  <c r="DD33" i="253"/>
  <c r="DI33" i="253" s="1"/>
  <c r="DH33" i="253" s="1"/>
  <c r="DA33" i="253"/>
  <c r="CT33" i="253"/>
  <c r="CY33" i="253" s="1"/>
  <c r="CX33" i="253" s="1"/>
  <c r="CQ33" i="253"/>
  <c r="CJ33" i="253"/>
  <c r="CO33" i="253" s="1"/>
  <c r="CN33" i="253" s="1"/>
  <c r="CG33" i="253"/>
  <c r="BZ33" i="253"/>
  <c r="CE33" i="253" s="1"/>
  <c r="CD33" i="253" s="1"/>
  <c r="BW33" i="253"/>
  <c r="BU33" i="253"/>
  <c r="BT33" i="253" s="1"/>
  <c r="BP33" i="253"/>
  <c r="BM33" i="253"/>
  <c r="BF33" i="253"/>
  <c r="BK33" i="253" s="1"/>
  <c r="BJ33" i="253" s="1"/>
  <c r="BC33" i="253"/>
  <c r="AV33" i="253"/>
  <c r="BA33" i="253" s="1"/>
  <c r="AZ33" i="253" s="1"/>
  <c r="AS33" i="253"/>
  <c r="AL33" i="253"/>
  <c r="AQ33" i="253" s="1"/>
  <c r="AP33" i="253" s="1"/>
  <c r="AI33" i="253"/>
  <c r="AB33" i="253"/>
  <c r="EE33" i="253"/>
  <c r="R33" i="253"/>
  <c r="EG33" i="253"/>
  <c r="O33" i="253"/>
  <c r="M33" i="253"/>
  <c r="EC32" i="253"/>
  <c r="EB32" i="253" s="1"/>
  <c r="DX32" i="253"/>
  <c r="DU32" i="253"/>
  <c r="DN32" i="253"/>
  <c r="DS32" i="253" s="1"/>
  <c r="DR32" i="253" s="1"/>
  <c r="DK32" i="253"/>
  <c r="DD32" i="253"/>
  <c r="DI32" i="253" s="1"/>
  <c r="DH32" i="253" s="1"/>
  <c r="DA32" i="253"/>
  <c r="CT32" i="253"/>
  <c r="CY32" i="253" s="1"/>
  <c r="CX32" i="253" s="1"/>
  <c r="CQ32" i="253"/>
  <c r="CJ32" i="253"/>
  <c r="CO32" i="253" s="1"/>
  <c r="CN32" i="253" s="1"/>
  <c r="CG32" i="253"/>
  <c r="BZ32" i="253"/>
  <c r="CE32" i="253" s="1"/>
  <c r="CD32" i="253" s="1"/>
  <c r="BW32" i="253"/>
  <c r="BP32" i="253"/>
  <c r="BU32" i="253" s="1"/>
  <c r="BT32" i="253" s="1"/>
  <c r="BM32" i="253"/>
  <c r="BF32" i="253"/>
  <c r="BK32" i="253" s="1"/>
  <c r="BJ32" i="253" s="1"/>
  <c r="BC32" i="253"/>
  <c r="BA32" i="253"/>
  <c r="AZ32" i="253" s="1"/>
  <c r="AV32" i="253"/>
  <c r="AS32" i="253"/>
  <c r="AL32" i="253"/>
  <c r="AQ32" i="253" s="1"/>
  <c r="AP32" i="253" s="1"/>
  <c r="AI32" i="253"/>
  <c r="AB32" i="253"/>
  <c r="Y32" i="253"/>
  <c r="R32" i="253"/>
  <c r="O32" i="253"/>
  <c r="M32" i="253"/>
  <c r="DX31" i="253"/>
  <c r="EC31" i="253" s="1"/>
  <c r="EB31" i="253" s="1"/>
  <c r="DU31" i="253"/>
  <c r="DN31" i="253"/>
  <c r="DS31" i="253" s="1"/>
  <c r="DR31" i="253" s="1"/>
  <c r="DK31" i="253"/>
  <c r="DI31" i="253"/>
  <c r="DH31" i="253" s="1"/>
  <c r="DD31" i="253"/>
  <c r="DA31" i="253"/>
  <c r="CT31" i="253"/>
  <c r="CY31" i="253" s="1"/>
  <c r="CX31" i="253" s="1"/>
  <c r="CQ31" i="253"/>
  <c r="CJ31" i="253"/>
  <c r="CO31" i="253" s="1"/>
  <c r="CN31" i="253" s="1"/>
  <c r="CG31" i="253"/>
  <c r="BZ31" i="253"/>
  <c r="CE31" i="253" s="1"/>
  <c r="CD31" i="253" s="1"/>
  <c r="BW31" i="253"/>
  <c r="BP31" i="253"/>
  <c r="BU31" i="253" s="1"/>
  <c r="BT31" i="253" s="1"/>
  <c r="BM31" i="253"/>
  <c r="BF31" i="253"/>
  <c r="BK31" i="253" s="1"/>
  <c r="BJ31" i="253" s="1"/>
  <c r="BC31" i="253"/>
  <c r="AV31" i="253"/>
  <c r="BA31" i="253" s="1"/>
  <c r="AZ31" i="253" s="1"/>
  <c r="AS31" i="253"/>
  <c r="AL31" i="253"/>
  <c r="AQ31" i="253" s="1"/>
  <c r="AP31" i="253" s="1"/>
  <c r="AI31" i="253"/>
  <c r="AG31" i="253"/>
  <c r="AF31" i="253" s="1"/>
  <c r="AB31" i="253"/>
  <c r="Y31" i="253"/>
  <c r="R31" i="253"/>
  <c r="O31" i="253"/>
  <c r="M31" i="253"/>
  <c r="DX30" i="253"/>
  <c r="DU30" i="253"/>
  <c r="DN30" i="253"/>
  <c r="DL38" i="253"/>
  <c r="DK38" i="253" s="1"/>
  <c r="DK30" i="253"/>
  <c r="DJ38" i="253"/>
  <c r="CT30" i="253"/>
  <c r="CQ30" i="253"/>
  <c r="CP38" i="253"/>
  <c r="CU38" i="253" s="1"/>
  <c r="CO30" i="253"/>
  <c r="CJ30" i="253"/>
  <c r="CG30" i="253"/>
  <c r="BZ30" i="253"/>
  <c r="CE30" i="253" s="1"/>
  <c r="CE38" i="253" s="1"/>
  <c r="CD38" i="253" s="1"/>
  <c r="BX38" i="253"/>
  <c r="BW38" i="253" s="1"/>
  <c r="BV38" i="253"/>
  <c r="BP30" i="253"/>
  <c r="BM30" i="253"/>
  <c r="BL38" i="253"/>
  <c r="BQ38" i="253" s="1"/>
  <c r="BF30" i="253"/>
  <c r="BC30" i="253"/>
  <c r="AV30" i="253"/>
  <c r="AS30" i="253"/>
  <c r="AL30" i="253"/>
  <c r="AJ38" i="253"/>
  <c r="AI38" i="253" s="1"/>
  <c r="AI30" i="253"/>
  <c r="AH38" i="253"/>
  <c r="R30" i="253"/>
  <c r="O30" i="253"/>
  <c r="EE30" i="253"/>
  <c r="M30" i="253"/>
  <c r="EL27" i="253"/>
  <c r="EK27" i="253"/>
  <c r="EJ27" i="253"/>
  <c r="ED27" i="253"/>
  <c r="ED161" i="253" s="1"/>
  <c r="ED211" i="253" s="1"/>
  <c r="DZ27" i="253"/>
  <c r="DZ161" i="253" s="1"/>
  <c r="DZ211" i="253" s="1"/>
  <c r="DP27" i="253"/>
  <c r="DP161" i="253" s="1"/>
  <c r="DP211" i="253" s="1"/>
  <c r="DF27" i="253"/>
  <c r="CV27" i="253"/>
  <c r="CL27" i="253"/>
  <c r="CL161" i="253" s="1"/>
  <c r="CL211" i="253" s="1"/>
  <c r="CB27" i="253"/>
  <c r="CB161" i="253" s="1"/>
  <c r="CB211" i="253" s="1"/>
  <c r="BR27" i="253"/>
  <c r="BR161" i="253" s="1"/>
  <c r="BR211" i="253" s="1"/>
  <c r="BN27" i="253"/>
  <c r="BH27" i="253"/>
  <c r="BH161" i="253" s="1"/>
  <c r="BH211" i="253" s="1"/>
  <c r="AX27" i="253"/>
  <c r="AX161" i="253" s="1"/>
  <c r="AX211" i="253" s="1"/>
  <c r="AN27" i="253"/>
  <c r="AD27" i="253"/>
  <c r="T27" i="253"/>
  <c r="EC26" i="253"/>
  <c r="EB26" i="253" s="1"/>
  <c r="DX26" i="253"/>
  <c r="DU26" i="253"/>
  <c r="DR26" i="253"/>
  <c r="DN26" i="253"/>
  <c r="DS26" i="253" s="1"/>
  <c r="DK26" i="253"/>
  <c r="DD26" i="253"/>
  <c r="DI26" i="253" s="1"/>
  <c r="DH26" i="253" s="1"/>
  <c r="DA26" i="253"/>
  <c r="CT26" i="253"/>
  <c r="CY26" i="253" s="1"/>
  <c r="CX26" i="253" s="1"/>
  <c r="CQ26" i="253"/>
  <c r="CJ26" i="253"/>
  <c r="CG26" i="253"/>
  <c r="BZ26" i="253"/>
  <c r="CE26" i="253" s="1"/>
  <c r="CD26" i="253" s="1"/>
  <c r="BW26" i="253"/>
  <c r="BM26" i="253"/>
  <c r="BF26" i="253"/>
  <c r="BK26" i="253" s="1"/>
  <c r="BJ26" i="253" s="1"/>
  <c r="EG26" i="253"/>
  <c r="BA26" i="253"/>
  <c r="AZ26" i="253" s="1"/>
  <c r="AV26" i="253"/>
  <c r="AS26" i="253"/>
  <c r="AL26" i="253"/>
  <c r="AQ26" i="253" s="1"/>
  <c r="AP26" i="253" s="1"/>
  <c r="AI26" i="253"/>
  <c r="AB26" i="253"/>
  <c r="AG26" i="253" s="1"/>
  <c r="AF26" i="253" s="1"/>
  <c r="Y26" i="253"/>
  <c r="R26" i="253"/>
  <c r="O26" i="253"/>
  <c r="M26" i="253"/>
  <c r="DX25" i="253"/>
  <c r="EC25" i="253" s="1"/>
  <c r="EB25" i="253" s="1"/>
  <c r="DU25" i="253"/>
  <c r="DN25" i="253"/>
  <c r="DS25" i="253" s="1"/>
  <c r="DR25" i="253" s="1"/>
  <c r="DK25" i="253"/>
  <c r="DD25" i="253"/>
  <c r="DA25" i="253"/>
  <c r="CT25" i="253"/>
  <c r="CY25" i="253" s="1"/>
  <c r="CX25" i="253" s="1"/>
  <c r="CQ25" i="253"/>
  <c r="CG25" i="253"/>
  <c r="BZ25" i="253"/>
  <c r="CE25" i="253" s="1"/>
  <c r="CD25" i="253" s="1"/>
  <c r="BW25" i="253"/>
  <c r="BU25" i="253"/>
  <c r="BT25" i="253" s="1"/>
  <c r="BP25" i="253"/>
  <c r="BM25" i="253"/>
  <c r="BF25" i="253"/>
  <c r="BK25" i="253" s="1"/>
  <c r="BJ25" i="253" s="1"/>
  <c r="EG25" i="253"/>
  <c r="BC25" i="253"/>
  <c r="AV25" i="253"/>
  <c r="BA25" i="253" s="1"/>
  <c r="AZ25" i="253" s="1"/>
  <c r="AS25" i="253"/>
  <c r="AL25" i="253"/>
  <c r="AQ25" i="253" s="1"/>
  <c r="AP25" i="253" s="1"/>
  <c r="AI25" i="253"/>
  <c r="AB25" i="253"/>
  <c r="AG25" i="253" s="1"/>
  <c r="AF25" i="253" s="1"/>
  <c r="Y25" i="253"/>
  <c r="R25" i="253"/>
  <c r="M25" i="253"/>
  <c r="DX24" i="253"/>
  <c r="EC24" i="253" s="1"/>
  <c r="EB24" i="253" s="1"/>
  <c r="DU24" i="253"/>
  <c r="DN24" i="253"/>
  <c r="DS24" i="253" s="1"/>
  <c r="DR24" i="253" s="1"/>
  <c r="DK24" i="253"/>
  <c r="DA24" i="253"/>
  <c r="CQ24" i="253"/>
  <c r="CT24" i="253"/>
  <c r="CY24" i="253" s="1"/>
  <c r="CX24" i="253" s="1"/>
  <c r="CO24" i="253"/>
  <c r="CN24" i="253" s="1"/>
  <c r="CJ24" i="253"/>
  <c r="CG24" i="253"/>
  <c r="BZ24" i="253"/>
  <c r="CE24" i="253" s="1"/>
  <c r="CD24" i="253" s="1"/>
  <c r="BW24" i="253"/>
  <c r="BP24" i="253"/>
  <c r="BU24" i="253" s="1"/>
  <c r="BT24" i="253" s="1"/>
  <c r="BM24" i="253"/>
  <c r="BF24" i="253"/>
  <c r="BK24" i="253" s="1"/>
  <c r="BJ24" i="253" s="1"/>
  <c r="BC24" i="253"/>
  <c r="AV24" i="253"/>
  <c r="BA24" i="253" s="1"/>
  <c r="AZ24" i="253" s="1"/>
  <c r="AS24" i="253"/>
  <c r="AL24" i="253"/>
  <c r="AQ24" i="253" s="1"/>
  <c r="AP24" i="253" s="1"/>
  <c r="AI24" i="253"/>
  <c r="Y24" i="253"/>
  <c r="O24" i="253"/>
  <c r="M24" i="253"/>
  <c r="DX23" i="253"/>
  <c r="DD23" i="253"/>
  <c r="DI23" i="253" s="1"/>
  <c r="DH23" i="253" s="1"/>
  <c r="DA23" i="253"/>
  <c r="CT23" i="253"/>
  <c r="CY23" i="253" s="1"/>
  <c r="CX23" i="253" s="1"/>
  <c r="CQ23" i="253"/>
  <c r="CJ23" i="253"/>
  <c r="CO23" i="253" s="1"/>
  <c r="CN23" i="253" s="1"/>
  <c r="CG23" i="253"/>
  <c r="BP23" i="253"/>
  <c r="BU23" i="253" s="1"/>
  <c r="BT23" i="253" s="1"/>
  <c r="BM23" i="253"/>
  <c r="BF23" i="253"/>
  <c r="BK23" i="253" s="1"/>
  <c r="BJ23" i="253" s="1"/>
  <c r="BC23" i="253"/>
  <c r="AV23" i="253"/>
  <c r="BA23" i="253" s="1"/>
  <c r="AZ23" i="253" s="1"/>
  <c r="AS23" i="253"/>
  <c r="AB23" i="253"/>
  <c r="AG23" i="253" s="1"/>
  <c r="AF23" i="253" s="1"/>
  <c r="Y23" i="253"/>
  <c r="R23" i="253"/>
  <c r="M23" i="253"/>
  <c r="EG22" i="253"/>
  <c r="DX22" i="253"/>
  <c r="EC22" i="253" s="1"/>
  <c r="EB22" i="253" s="1"/>
  <c r="DU22" i="253"/>
  <c r="DK22" i="253"/>
  <c r="DD22" i="253"/>
  <c r="DI22" i="253" s="1"/>
  <c r="DH22" i="253" s="1"/>
  <c r="DA22" i="253"/>
  <c r="CY22" i="253"/>
  <c r="CX22" i="253" s="1"/>
  <c r="CT22" i="253"/>
  <c r="CQ22" i="253"/>
  <c r="CN22" i="253"/>
  <c r="CJ22" i="253"/>
  <c r="CO22" i="253" s="1"/>
  <c r="CG22" i="253"/>
  <c r="BZ22" i="253"/>
  <c r="CE22" i="253" s="1"/>
  <c r="CD22" i="253" s="1"/>
  <c r="BW22" i="253"/>
  <c r="BP22" i="253"/>
  <c r="BU22" i="253" s="1"/>
  <c r="BT22" i="253" s="1"/>
  <c r="BM22" i="253"/>
  <c r="BF22" i="253"/>
  <c r="BC22" i="253"/>
  <c r="AV22" i="253"/>
  <c r="BA22" i="253" s="1"/>
  <c r="AZ22" i="253" s="1"/>
  <c r="AS22" i="253"/>
  <c r="AI22" i="253"/>
  <c r="AB22" i="253"/>
  <c r="Y22" i="253"/>
  <c r="W22" i="253"/>
  <c r="V22" i="253" s="1"/>
  <c r="R22" i="253"/>
  <c r="O22" i="253"/>
  <c r="M22" i="253"/>
  <c r="DX21" i="253"/>
  <c r="EC21" i="253" s="1"/>
  <c r="EB21" i="253" s="1"/>
  <c r="DU21" i="253"/>
  <c r="DN21" i="253"/>
  <c r="DK21" i="253"/>
  <c r="DD21" i="253"/>
  <c r="DI21" i="253" s="1"/>
  <c r="DH21" i="253" s="1"/>
  <c r="DA21" i="253"/>
  <c r="CQ21" i="253"/>
  <c r="CJ21" i="253"/>
  <c r="CO21" i="253" s="1"/>
  <c r="CN21" i="253" s="1"/>
  <c r="CG21" i="253"/>
  <c r="CE21" i="253"/>
  <c r="CD21" i="253" s="1"/>
  <c r="BZ21" i="253"/>
  <c r="BW21" i="253"/>
  <c r="BP21" i="253"/>
  <c r="BU21" i="253" s="1"/>
  <c r="BT21" i="253" s="1"/>
  <c r="BM21" i="253"/>
  <c r="BF21" i="253"/>
  <c r="BK21" i="253" s="1"/>
  <c r="BJ21" i="253" s="1"/>
  <c r="BC21" i="253"/>
  <c r="AV21" i="253"/>
  <c r="BA21" i="253" s="1"/>
  <c r="AZ21" i="253" s="1"/>
  <c r="AS21" i="253"/>
  <c r="AL21" i="253"/>
  <c r="AI21" i="253"/>
  <c r="AB21" i="253"/>
  <c r="Y21" i="253"/>
  <c r="M21" i="253"/>
  <c r="DX20" i="253"/>
  <c r="EC20" i="253" s="1"/>
  <c r="EB20" i="253" s="1"/>
  <c r="DU20" i="253"/>
  <c r="DN20" i="253"/>
  <c r="DS20" i="253" s="1"/>
  <c r="DR20" i="253" s="1"/>
  <c r="DK20" i="253"/>
  <c r="DD20" i="253"/>
  <c r="DI20" i="253" s="1"/>
  <c r="DH20" i="253" s="1"/>
  <c r="DA20" i="253"/>
  <c r="CT20" i="253"/>
  <c r="CQ20" i="253"/>
  <c r="CJ20" i="253"/>
  <c r="CO20" i="253" s="1"/>
  <c r="CN20" i="253" s="1"/>
  <c r="CG20" i="253"/>
  <c r="BW20" i="253"/>
  <c r="BP20" i="253"/>
  <c r="BU20" i="253" s="1"/>
  <c r="BT20" i="253" s="1"/>
  <c r="BM20" i="253"/>
  <c r="BK20" i="253"/>
  <c r="BJ20" i="253" s="1"/>
  <c r="BF20" i="253"/>
  <c r="BC20" i="253"/>
  <c r="AV20" i="253"/>
  <c r="BA20" i="253" s="1"/>
  <c r="AZ20" i="253" s="1"/>
  <c r="AS20" i="253"/>
  <c r="AL20" i="253"/>
  <c r="AQ20" i="253" s="1"/>
  <c r="AP20" i="253" s="1"/>
  <c r="AI20" i="253"/>
  <c r="AB20" i="253"/>
  <c r="AG20" i="253" s="1"/>
  <c r="AF20" i="253" s="1"/>
  <c r="Y20" i="253"/>
  <c r="R20" i="253"/>
  <c r="EE20" i="253"/>
  <c r="M20" i="253"/>
  <c r="EC19" i="253"/>
  <c r="EB19" i="253" s="1"/>
  <c r="DX19" i="253"/>
  <c r="DU19" i="253"/>
  <c r="DR19" i="253"/>
  <c r="DN19" i="253"/>
  <c r="DS19" i="253" s="1"/>
  <c r="DK19" i="253"/>
  <c r="DD19" i="253"/>
  <c r="DI19" i="253" s="1"/>
  <c r="DH19" i="253" s="1"/>
  <c r="DA19" i="253"/>
  <c r="CT19" i="253"/>
  <c r="CY19" i="253" s="1"/>
  <c r="CX19" i="253" s="1"/>
  <c r="CQ19" i="253"/>
  <c r="CJ19" i="253"/>
  <c r="CG19" i="253"/>
  <c r="BZ19" i="253"/>
  <c r="CE19" i="253" s="1"/>
  <c r="CD19" i="253" s="1"/>
  <c r="BW19" i="253"/>
  <c r="BP19" i="253"/>
  <c r="BU19" i="253" s="1"/>
  <c r="BT19" i="253" s="1"/>
  <c r="BM19" i="253"/>
  <c r="BF19" i="253"/>
  <c r="BK19" i="253" s="1"/>
  <c r="BJ19" i="253" s="1"/>
  <c r="BC19" i="253"/>
  <c r="BA19" i="253"/>
  <c r="AZ19" i="253" s="1"/>
  <c r="AV19" i="253"/>
  <c r="AS19" i="253"/>
  <c r="AL19" i="253"/>
  <c r="AQ19" i="253" s="1"/>
  <c r="AI19" i="253"/>
  <c r="AB19" i="253"/>
  <c r="R19" i="253"/>
  <c r="W19" i="253"/>
  <c r="M19" i="253"/>
  <c r="DX18" i="253"/>
  <c r="EC18" i="253" s="1"/>
  <c r="EB18" i="253" s="1"/>
  <c r="DU18" i="253"/>
  <c r="DN18" i="253"/>
  <c r="DS18" i="253" s="1"/>
  <c r="DR18" i="253" s="1"/>
  <c r="DK18" i="253"/>
  <c r="DD18" i="253"/>
  <c r="DI18" i="253" s="1"/>
  <c r="DH18" i="253" s="1"/>
  <c r="DA18" i="253"/>
  <c r="CT18" i="253"/>
  <c r="CY18" i="253" s="1"/>
  <c r="CX18" i="253" s="1"/>
  <c r="CQ18" i="253"/>
  <c r="CJ18" i="253"/>
  <c r="CO18" i="253" s="1"/>
  <c r="CN18" i="253" s="1"/>
  <c r="CG18" i="253"/>
  <c r="BW18" i="253"/>
  <c r="BP18" i="253"/>
  <c r="BU18" i="253" s="1"/>
  <c r="BT18" i="253" s="1"/>
  <c r="BM18" i="253"/>
  <c r="BK18" i="253"/>
  <c r="BJ18" i="253" s="1"/>
  <c r="BF18" i="253"/>
  <c r="BC18" i="253"/>
  <c r="AV18" i="253"/>
  <c r="BA18" i="253" s="1"/>
  <c r="AZ18" i="253" s="1"/>
  <c r="AS18" i="253"/>
  <c r="AL18" i="253"/>
  <c r="AQ18" i="253" s="1"/>
  <c r="AP18" i="253" s="1"/>
  <c r="AI18" i="253"/>
  <c r="AB18" i="253"/>
  <c r="AG18" i="253" s="1"/>
  <c r="AF18" i="253" s="1"/>
  <c r="Y18" i="253"/>
  <c r="R18" i="253"/>
  <c r="M18" i="253"/>
  <c r="DX17" i="253"/>
  <c r="DN17" i="253"/>
  <c r="DD17" i="253"/>
  <c r="CT17" i="253"/>
  <c r="CJ17" i="253"/>
  <c r="BZ17" i="253"/>
  <c r="BP17" i="253"/>
  <c r="BF17" i="253"/>
  <c r="AV17" i="253"/>
  <c r="AL17" i="253"/>
  <c r="AQ17" i="253" s="1"/>
  <c r="AB17" i="253"/>
  <c r="R17" i="253"/>
  <c r="DX16" i="253"/>
  <c r="EC16" i="253" s="1"/>
  <c r="EB16" i="253" s="1"/>
  <c r="DU16" i="253"/>
  <c r="DK16" i="253"/>
  <c r="DD16" i="253"/>
  <c r="DI16" i="253" s="1"/>
  <c r="DH16" i="253" s="1"/>
  <c r="DA16" i="253"/>
  <c r="CY16" i="253"/>
  <c r="CX16" i="253" s="1"/>
  <c r="CT16" i="253"/>
  <c r="CQ16" i="253"/>
  <c r="CJ16" i="253"/>
  <c r="CO16" i="253" s="1"/>
  <c r="CN16" i="253" s="1"/>
  <c r="CG16" i="253"/>
  <c r="BZ16" i="253"/>
  <c r="CE16" i="253" s="1"/>
  <c r="CD16" i="253" s="1"/>
  <c r="BW16" i="253"/>
  <c r="BP16" i="253"/>
  <c r="BU16" i="253" s="1"/>
  <c r="BT16" i="253" s="1"/>
  <c r="BM16" i="253"/>
  <c r="BF16" i="253"/>
  <c r="BC16" i="253"/>
  <c r="AV16" i="253"/>
  <c r="BA16" i="253" s="1"/>
  <c r="AZ16" i="253" s="1"/>
  <c r="AS16" i="253"/>
  <c r="AI16" i="253"/>
  <c r="AB16" i="253"/>
  <c r="Y16" i="253"/>
  <c r="EE16" i="253"/>
  <c r="W16" i="253"/>
  <c r="V16" i="253" s="1"/>
  <c r="R16" i="253"/>
  <c r="O16" i="253"/>
  <c r="M16" i="253"/>
  <c r="DX15" i="253"/>
  <c r="DN15" i="253"/>
  <c r="DD15" i="253"/>
  <c r="CT15" i="253"/>
  <c r="CJ15" i="253"/>
  <c r="BZ15" i="253"/>
  <c r="BP15" i="253"/>
  <c r="BF15" i="253"/>
  <c r="AV15" i="253"/>
  <c r="AL15" i="253"/>
  <c r="EG15" i="253"/>
  <c r="EN15" i="253" s="1"/>
  <c r="AB15" i="253"/>
  <c r="AG15" i="253" s="1"/>
  <c r="R15" i="253"/>
  <c r="DX14" i="253"/>
  <c r="DN14" i="253"/>
  <c r="DD14" i="253"/>
  <c r="CT14" i="253"/>
  <c r="CJ14" i="253"/>
  <c r="BZ14" i="253"/>
  <c r="BP14" i="253"/>
  <c r="BF14" i="253"/>
  <c r="AV14" i="253"/>
  <c r="AL14" i="253"/>
  <c r="AQ14" i="253" s="1"/>
  <c r="AB14" i="253"/>
  <c r="AG14" i="253" s="1"/>
  <c r="R14" i="253"/>
  <c r="DX13" i="253"/>
  <c r="EC13" i="253" s="1"/>
  <c r="EB13" i="253" s="1"/>
  <c r="DU13" i="253"/>
  <c r="DN13" i="253"/>
  <c r="DS13" i="253" s="1"/>
  <c r="DR13" i="253" s="1"/>
  <c r="DK13" i="253"/>
  <c r="DD13" i="253"/>
  <c r="DA13" i="253"/>
  <c r="CT13" i="253"/>
  <c r="CY13" i="253" s="1"/>
  <c r="CX13" i="253" s="1"/>
  <c r="CQ13" i="253"/>
  <c r="CJ13" i="253"/>
  <c r="CO13" i="253" s="1"/>
  <c r="CN13" i="253" s="1"/>
  <c r="CG13" i="253"/>
  <c r="CF27" i="253"/>
  <c r="CE13" i="253"/>
  <c r="CD13" i="253" s="1"/>
  <c r="BZ13" i="253"/>
  <c r="BW13" i="253"/>
  <c r="BU13" i="253"/>
  <c r="BT13" i="253" s="1"/>
  <c r="BP13" i="253"/>
  <c r="BM13" i="253"/>
  <c r="BJ13" i="253"/>
  <c r="BF13" i="253"/>
  <c r="BK13" i="253" s="1"/>
  <c r="BC13" i="253"/>
  <c r="AV13" i="253"/>
  <c r="BA13" i="253" s="1"/>
  <c r="AZ13" i="253" s="1"/>
  <c r="AS13" i="253"/>
  <c r="AL13" i="253"/>
  <c r="AQ13" i="253" s="1"/>
  <c r="AP13" i="253" s="1"/>
  <c r="AI13" i="253"/>
  <c r="AB13" i="253"/>
  <c r="Y13" i="253"/>
  <c r="R13" i="253"/>
  <c r="W13" i="253" s="1"/>
  <c r="V13" i="253" s="1"/>
  <c r="EE13" i="253"/>
  <c r="M13" i="253"/>
  <c r="DX12" i="253"/>
  <c r="EC12" i="253" s="1"/>
  <c r="DV27" i="253"/>
  <c r="DN12" i="253"/>
  <c r="DD12" i="253"/>
  <c r="DA12" i="253"/>
  <c r="CP27" i="253"/>
  <c r="CJ12" i="253"/>
  <c r="CO12" i="253" s="1"/>
  <c r="CN12" i="253" s="1"/>
  <c r="CG12" i="253"/>
  <c r="BX27" i="253"/>
  <c r="BP12" i="253"/>
  <c r="BM12" i="253"/>
  <c r="BF12" i="253"/>
  <c r="BF27" i="253" s="1"/>
  <c r="BE27" i="253" s="1"/>
  <c r="BD27" i="253"/>
  <c r="BC12" i="253"/>
  <c r="BB27" i="253"/>
  <c r="BA12" i="253"/>
  <c r="AZ12" i="253" s="1"/>
  <c r="AV12" i="253"/>
  <c r="AT27" i="253"/>
  <c r="AL12" i="253"/>
  <c r="AB12" i="253"/>
  <c r="Y12" i="253"/>
  <c r="R12" i="253"/>
  <c r="M12" i="253"/>
  <c r="G27" i="253"/>
  <c r="C27" i="253"/>
  <c r="EC219" i="252"/>
  <c r="DS219" i="252"/>
  <c r="DI219" i="252"/>
  <c r="EW215" i="252"/>
  <c r="EV215" i="252"/>
  <c r="EU215" i="252"/>
  <c r="EK215" i="252"/>
  <c r="DX215" i="252"/>
  <c r="EC215" i="252"/>
  <c r="EB215" i="252" s="1"/>
  <c r="DU215" i="252"/>
  <c r="DS215" i="252"/>
  <c r="DR215" i="252" s="1"/>
  <c r="DN215" i="252"/>
  <c r="DK215" i="252"/>
  <c r="DD215" i="252"/>
  <c r="CY215" i="252"/>
  <c r="CX215" i="252" s="1"/>
  <c r="CU215" i="252"/>
  <c r="CS215" i="252"/>
  <c r="CQ215" i="252"/>
  <c r="CO215" i="252"/>
  <c r="CN215" i="252" s="1"/>
  <c r="CK215" i="252"/>
  <c r="CI215" i="252"/>
  <c r="CG215" i="252"/>
  <c r="CE215" i="252"/>
  <c r="CD215" i="252" s="1"/>
  <c r="CA215" i="252"/>
  <c r="BY215" i="252"/>
  <c r="BW215" i="252"/>
  <c r="BU215" i="252"/>
  <c r="BT215" i="252"/>
  <c r="BQ215" i="252"/>
  <c r="BO215" i="252"/>
  <c r="BM215" i="252"/>
  <c r="BK215" i="252"/>
  <c r="BJ215" i="252"/>
  <c r="BG215" i="252"/>
  <c r="BE215" i="252"/>
  <c r="BC215" i="252"/>
  <c r="BA215" i="252"/>
  <c r="AZ215" i="252"/>
  <c r="AW215" i="252"/>
  <c r="AU215" i="252"/>
  <c r="AS215" i="252"/>
  <c r="AQ215" i="252"/>
  <c r="AP215" i="252"/>
  <c r="AM215" i="252"/>
  <c r="AK215" i="252"/>
  <c r="AI215" i="252"/>
  <c r="AG215" i="252"/>
  <c r="AF215" i="252"/>
  <c r="AC215" i="252"/>
  <c r="AA215" i="252"/>
  <c r="Y215" i="252"/>
  <c r="W215" i="252"/>
  <c r="S215" i="252"/>
  <c r="Q215" i="252"/>
  <c r="EV214" i="252"/>
  <c r="EW214" i="252" s="1"/>
  <c r="EU214" i="252"/>
  <c r="ES214" i="252"/>
  <c r="DX214" i="252"/>
  <c r="DU214" i="252"/>
  <c r="DN214" i="252"/>
  <c r="DK214" i="252"/>
  <c r="DD214" i="252"/>
  <c r="DA214" i="252"/>
  <c r="EV213" i="252"/>
  <c r="EW213" i="252" s="1"/>
  <c r="EU213" i="252"/>
  <c r="EK213" i="252"/>
  <c r="EG213" i="252"/>
  <c r="DU213" i="252"/>
  <c r="DN213" i="252"/>
  <c r="DD213" i="252"/>
  <c r="DI213" i="252" s="1"/>
  <c r="DH213" i="252" s="1"/>
  <c r="DA213" i="252"/>
  <c r="CY213" i="252"/>
  <c r="CX213" i="252" s="1"/>
  <c r="CU213" i="252"/>
  <c r="CS213" i="252"/>
  <c r="CQ213" i="252"/>
  <c r="CO213" i="252"/>
  <c r="CN213" i="252"/>
  <c r="CK213" i="252"/>
  <c r="CI213" i="252"/>
  <c r="CG213" i="252"/>
  <c r="CE213" i="252"/>
  <c r="CD213" i="252"/>
  <c r="CA213" i="252"/>
  <c r="BY213" i="252"/>
  <c r="BW213" i="252"/>
  <c r="BU213" i="252"/>
  <c r="BT213" i="252"/>
  <c r="BQ213" i="252"/>
  <c r="BO213" i="252"/>
  <c r="BM213" i="252"/>
  <c r="BK213" i="252"/>
  <c r="BJ213" i="252"/>
  <c r="BG213" i="252"/>
  <c r="BE213" i="252"/>
  <c r="BC213" i="252"/>
  <c r="BA213" i="252"/>
  <c r="AZ213" i="252" s="1"/>
  <c r="AW213" i="252"/>
  <c r="AU213" i="252"/>
  <c r="AS213" i="252"/>
  <c r="AQ213" i="252"/>
  <c r="AP213" i="252" s="1"/>
  <c r="AM213" i="252"/>
  <c r="AK213" i="252"/>
  <c r="AI213" i="252"/>
  <c r="AG213" i="252"/>
  <c r="AF213" i="252"/>
  <c r="AC213" i="252"/>
  <c r="AA213" i="252"/>
  <c r="Y213" i="252"/>
  <c r="W213" i="252"/>
  <c r="V213" i="252" s="1"/>
  <c r="S213" i="252"/>
  <c r="Q213" i="252"/>
  <c r="O213" i="252"/>
  <c r="EV212" i="252"/>
  <c r="EU212" i="252"/>
  <c r="EW212" i="252" s="1"/>
  <c r="DX212" i="252"/>
  <c r="DS212" i="252"/>
  <c r="DR212" i="252" s="1"/>
  <c r="DN212" i="252"/>
  <c r="DK212" i="252"/>
  <c r="DD212" i="252"/>
  <c r="EI212" i="252" s="1"/>
  <c r="DA212" i="252"/>
  <c r="CY212" i="252"/>
  <c r="CX212" i="252" s="1"/>
  <c r="CS212" i="252"/>
  <c r="CQ212" i="252"/>
  <c r="CN212" i="252"/>
  <c r="CO212" i="252"/>
  <c r="CI212" i="252"/>
  <c r="CG212" i="252"/>
  <c r="CE212" i="252"/>
  <c r="CD212" i="252" s="1"/>
  <c r="BY212" i="252"/>
  <c r="BW212" i="252"/>
  <c r="BU212" i="252"/>
  <c r="BT212" i="252" s="1"/>
  <c r="BO212" i="252"/>
  <c r="BM212" i="252"/>
  <c r="BK212" i="252"/>
  <c r="BJ212" i="252" s="1"/>
  <c r="BE212" i="252"/>
  <c r="BC212" i="252"/>
  <c r="BA212" i="252"/>
  <c r="AZ212" i="252" s="1"/>
  <c r="AU212" i="252"/>
  <c r="AS212" i="252"/>
  <c r="AQ212" i="252"/>
  <c r="AP212" i="252" s="1"/>
  <c r="AK212" i="252"/>
  <c r="AI212" i="252"/>
  <c r="AG212" i="252"/>
  <c r="AF212" i="252" s="1"/>
  <c r="AA212" i="252"/>
  <c r="Y212" i="252"/>
  <c r="EV211" i="252"/>
  <c r="EU211" i="252"/>
  <c r="DX211" i="252"/>
  <c r="EC211" i="252" s="1"/>
  <c r="EB211" i="252" s="1"/>
  <c r="DN211" i="252"/>
  <c r="DS211" i="252" s="1"/>
  <c r="DR211" i="252" s="1"/>
  <c r="DD211" i="252"/>
  <c r="DA211" i="252"/>
  <c r="CY211" i="252"/>
  <c r="CX211" i="252"/>
  <c r="CU211" i="252"/>
  <c r="CS211" i="252"/>
  <c r="CQ211" i="252"/>
  <c r="CO211" i="252"/>
  <c r="CN211" i="252" s="1"/>
  <c r="CK211" i="252"/>
  <c r="CI211" i="252"/>
  <c r="CG211" i="252"/>
  <c r="CE211" i="252"/>
  <c r="CD211" i="252" s="1"/>
  <c r="CA211" i="252"/>
  <c r="BY211" i="252"/>
  <c r="BW211" i="252"/>
  <c r="BU211" i="252"/>
  <c r="BT211" i="252"/>
  <c r="BQ211" i="252"/>
  <c r="BO211" i="252"/>
  <c r="BM211" i="252"/>
  <c r="BK211" i="252"/>
  <c r="BJ211" i="252" s="1"/>
  <c r="BG211" i="252"/>
  <c r="BE211" i="252"/>
  <c r="BC211" i="252"/>
  <c r="AW211" i="252"/>
  <c r="AU211" i="252"/>
  <c r="AS211" i="252"/>
  <c r="AK211" i="252"/>
  <c r="AI211" i="252"/>
  <c r="AG211" i="252"/>
  <c r="AF211" i="252" s="1"/>
  <c r="AC211" i="252"/>
  <c r="AA211" i="252"/>
  <c r="Y211" i="252"/>
  <c r="S211" i="252"/>
  <c r="Q211" i="252"/>
  <c r="O211" i="252"/>
  <c r="EW210" i="252"/>
  <c r="EV210" i="252"/>
  <c r="EU210" i="252"/>
  <c r="DX210" i="252"/>
  <c r="EC210" i="252" s="1"/>
  <c r="EB210" i="252" s="1"/>
  <c r="DU210" i="252"/>
  <c r="DS210" i="252"/>
  <c r="DR210" i="252" s="1"/>
  <c r="DN210" i="252"/>
  <c r="DK210" i="252"/>
  <c r="DD210" i="252"/>
  <c r="EI210" i="252" s="1"/>
  <c r="EH210" i="252" s="1"/>
  <c r="EG210" i="252"/>
  <c r="ED210" i="252"/>
  <c r="EF210" i="252" s="1"/>
  <c r="CS210" i="252"/>
  <c r="CQ210" i="252"/>
  <c r="CO210" i="252"/>
  <c r="CN210" i="252" s="1"/>
  <c r="CK210" i="252"/>
  <c r="CI210" i="252"/>
  <c r="CG210" i="252"/>
  <c r="CE210" i="252"/>
  <c r="CD210" i="252" s="1"/>
  <c r="CA210" i="252"/>
  <c r="BY210" i="252"/>
  <c r="BW210" i="252"/>
  <c r="BU210" i="252"/>
  <c r="BT210" i="252" s="1"/>
  <c r="BQ210" i="252"/>
  <c r="BO210" i="252"/>
  <c r="BM210" i="252"/>
  <c r="BK210" i="252"/>
  <c r="BJ210" i="252" s="1"/>
  <c r="BG210" i="252"/>
  <c r="BE210" i="252"/>
  <c r="BC210" i="252"/>
  <c r="AW210" i="252"/>
  <c r="AU210" i="252"/>
  <c r="AS210" i="252"/>
  <c r="AK210" i="252"/>
  <c r="AI210" i="252"/>
  <c r="AG210" i="252"/>
  <c r="AF210" i="252" s="1"/>
  <c r="AA210" i="252"/>
  <c r="Y210" i="252"/>
  <c r="W210" i="252"/>
  <c r="V210" i="252" s="1"/>
  <c r="S210" i="252"/>
  <c r="Q210" i="252"/>
  <c r="O210" i="252"/>
  <c r="CY209" i="252"/>
  <c r="CX209" i="252" s="1"/>
  <c r="CO209" i="252"/>
  <c r="CN209" i="252" s="1"/>
  <c r="CE209" i="252"/>
  <c r="CD209" i="252" s="1"/>
  <c r="BU209" i="252"/>
  <c r="BT209" i="252" s="1"/>
  <c r="BK209" i="252"/>
  <c r="BJ209" i="252" s="1"/>
  <c r="BA209" i="252"/>
  <c r="AZ209" i="252" s="1"/>
  <c r="AQ209" i="252"/>
  <c r="AG209" i="252"/>
  <c r="W209" i="252"/>
  <c r="V209" i="252" s="1"/>
  <c r="EV208" i="252"/>
  <c r="EU208" i="252"/>
  <c r="EW208" i="252" s="1"/>
  <c r="EK208" i="252"/>
  <c r="DX208" i="252"/>
  <c r="EC208" i="252" s="1"/>
  <c r="EB208" i="252" s="1"/>
  <c r="DU208" i="252"/>
  <c r="DN208" i="252"/>
  <c r="EI208" i="252" s="1"/>
  <c r="EH208" i="252" s="1"/>
  <c r="DD208" i="252"/>
  <c r="DI208" i="252" s="1"/>
  <c r="DH208" i="252" s="1"/>
  <c r="DA208" i="252"/>
  <c r="ED208" i="252"/>
  <c r="CY208" i="252"/>
  <c r="CX208" i="252" s="1"/>
  <c r="CU208" i="252"/>
  <c r="CS208" i="252"/>
  <c r="CQ208" i="252"/>
  <c r="CO208" i="252"/>
  <c r="CN208" i="252"/>
  <c r="CK208" i="252"/>
  <c r="CI208" i="252"/>
  <c r="CG208" i="252"/>
  <c r="CE208" i="252"/>
  <c r="CD208" i="252"/>
  <c r="CA208" i="252"/>
  <c r="BY208" i="252"/>
  <c r="BW208" i="252"/>
  <c r="BU208" i="252"/>
  <c r="BT208" i="252"/>
  <c r="BQ208" i="252"/>
  <c r="BO208" i="252"/>
  <c r="BM208" i="252"/>
  <c r="BK208" i="252"/>
  <c r="BJ208" i="252" s="1"/>
  <c r="BG208" i="252"/>
  <c r="BE208" i="252"/>
  <c r="BC208" i="252"/>
  <c r="BA208" i="252"/>
  <c r="AZ208" i="252" s="1"/>
  <c r="AW208" i="252"/>
  <c r="AU208" i="252"/>
  <c r="AS208" i="252"/>
  <c r="AQ208" i="252"/>
  <c r="AP208" i="252" s="1"/>
  <c r="AO208" i="252"/>
  <c r="AO213" i="252" s="1"/>
  <c r="AM208" i="252"/>
  <c r="AK208" i="252"/>
  <c r="AI208" i="252"/>
  <c r="AG208" i="252"/>
  <c r="AF208" i="252" s="1"/>
  <c r="AC208" i="252"/>
  <c r="AA208" i="252"/>
  <c r="Y208" i="252"/>
  <c r="W208" i="252"/>
  <c r="V208" i="252" s="1"/>
  <c r="S208" i="252"/>
  <c r="Q208" i="252"/>
  <c r="O208" i="252"/>
  <c r="DX207" i="252"/>
  <c r="DN207" i="252"/>
  <c r="DS207" i="252" s="1"/>
  <c r="DR207" i="252" s="1"/>
  <c r="DK207" i="252"/>
  <c r="CU207" i="252"/>
  <c r="CS207" i="252"/>
  <c r="CQ207" i="252"/>
  <c r="CI207" i="252"/>
  <c r="CK207" i="252"/>
  <c r="CE207" i="252"/>
  <c r="CD207" i="252" s="1"/>
  <c r="BY207" i="252"/>
  <c r="BW207" i="252"/>
  <c r="CA207" i="252"/>
  <c r="BQ207" i="252"/>
  <c r="BO207" i="252"/>
  <c r="BM207" i="252"/>
  <c r="BG207" i="252"/>
  <c r="BE207" i="252"/>
  <c r="BC207" i="252"/>
  <c r="AW207" i="252"/>
  <c r="AS207" i="252"/>
  <c r="AP207" i="252"/>
  <c r="AO207" i="252"/>
  <c r="AM207" i="252"/>
  <c r="AQ207" i="252"/>
  <c r="AK207" i="252"/>
  <c r="AC207" i="252"/>
  <c r="AA207" i="252"/>
  <c r="Y207" i="252"/>
  <c r="DX206" i="252"/>
  <c r="DU206" i="252"/>
  <c r="DN206" i="252"/>
  <c r="DK206" i="252"/>
  <c r="DD206" i="252"/>
  <c r="DI206" i="252"/>
  <c r="DH206" i="252" s="1"/>
  <c r="DA206" i="252"/>
  <c r="CU206" i="252"/>
  <c r="CS206" i="252"/>
  <c r="CQ206" i="252"/>
  <c r="CK206" i="252"/>
  <c r="CI206" i="252"/>
  <c r="CG206" i="252"/>
  <c r="CA206" i="252"/>
  <c r="BY206" i="252"/>
  <c r="BW206" i="252"/>
  <c r="BQ206" i="252"/>
  <c r="BO206" i="252"/>
  <c r="BU206" i="252"/>
  <c r="BT206" i="252" s="1"/>
  <c r="BM206" i="252"/>
  <c r="BK206" i="252"/>
  <c r="BE206" i="252"/>
  <c r="AW206" i="252"/>
  <c r="AU206" i="252"/>
  <c r="AS206" i="252"/>
  <c r="AQ206" i="252"/>
  <c r="AP206" i="252" s="1"/>
  <c r="AO206" i="252"/>
  <c r="AK206" i="252"/>
  <c r="AI206" i="252"/>
  <c r="ED206" i="252"/>
  <c r="AC206" i="252"/>
  <c r="Y206" i="252"/>
  <c r="S206" i="252"/>
  <c r="Q206" i="252"/>
  <c r="EG206" i="252"/>
  <c r="EV206" i="252"/>
  <c r="EV205" i="252"/>
  <c r="EU205" i="252"/>
  <c r="EW205" i="252" s="1"/>
  <c r="ES205" i="252"/>
  <c r="DX205" i="252"/>
  <c r="DU205" i="252"/>
  <c r="DN205" i="252"/>
  <c r="DK205" i="252"/>
  <c r="DX204" i="252"/>
  <c r="EC204" i="252" s="1"/>
  <c r="EB204" i="252" s="1"/>
  <c r="DU204" i="252"/>
  <c r="DS204" i="252"/>
  <c r="DR204" i="252" s="1"/>
  <c r="DN204" i="252"/>
  <c r="DK204" i="252"/>
  <c r="DD204" i="252"/>
  <c r="DA204" i="252"/>
  <c r="CU204" i="252"/>
  <c r="CS204" i="252"/>
  <c r="CQ204" i="252"/>
  <c r="CN204" i="252"/>
  <c r="CK204" i="252"/>
  <c r="CI204" i="252"/>
  <c r="CO204" i="252"/>
  <c r="CG204" i="252"/>
  <c r="CE204" i="252"/>
  <c r="CD204" i="252" s="1"/>
  <c r="CA204" i="252"/>
  <c r="BW204" i="252"/>
  <c r="BY204" i="252"/>
  <c r="BQ204" i="252"/>
  <c r="BU204" i="252"/>
  <c r="BT204" i="252" s="1"/>
  <c r="BO204" i="252"/>
  <c r="BM204" i="252"/>
  <c r="BE204" i="252"/>
  <c r="BG204" i="252"/>
  <c r="BA204" i="252"/>
  <c r="AZ204" i="252" s="1"/>
  <c r="AU204" i="252"/>
  <c r="AS204" i="252"/>
  <c r="AW204" i="252"/>
  <c r="AO204" i="252"/>
  <c r="AM204" i="252"/>
  <c r="AK204" i="252"/>
  <c r="AQ204" i="252"/>
  <c r="AP204" i="252" s="1"/>
  <c r="AA204" i="252"/>
  <c r="Y204" i="252"/>
  <c r="V204" i="252"/>
  <c r="S204" i="252"/>
  <c r="EI204" i="252"/>
  <c r="W204" i="252"/>
  <c r="O204" i="252"/>
  <c r="DZ201" i="252"/>
  <c r="DP201" i="252"/>
  <c r="DF201" i="252"/>
  <c r="CT201" i="252"/>
  <c r="CR201" i="252"/>
  <c r="CL201" i="252"/>
  <c r="CK201" i="252" s="1"/>
  <c r="CJ201" i="252"/>
  <c r="CI201" i="252" s="1"/>
  <c r="CF201" i="252"/>
  <c r="CB201" i="252"/>
  <c r="BZ201" i="252"/>
  <c r="BU201" i="252"/>
  <c r="BT201" i="252" s="1"/>
  <c r="BR201" i="252"/>
  <c r="BN201" i="252"/>
  <c r="BM201" i="252" s="1"/>
  <c r="BL201" i="252"/>
  <c r="BH201" i="252"/>
  <c r="BG201" i="252" s="1"/>
  <c r="BB201" i="252"/>
  <c r="AV201" i="252"/>
  <c r="AU201" i="252" s="1"/>
  <c r="AT201" i="252"/>
  <c r="AR201" i="252"/>
  <c r="AO201" i="252"/>
  <c r="AN201" i="252"/>
  <c r="AL201" i="252"/>
  <c r="AK201" i="252" s="1"/>
  <c r="AJ201" i="252"/>
  <c r="AB201" i="252"/>
  <c r="Z201" i="252"/>
  <c r="T201" i="252"/>
  <c r="S201" i="252" s="1"/>
  <c r="R201" i="252"/>
  <c r="N201" i="252"/>
  <c r="G201" i="252"/>
  <c r="EW200" i="252"/>
  <c r="EV200" i="252"/>
  <c r="EU200" i="252"/>
  <c r="EK200" i="252"/>
  <c r="DN200" i="252"/>
  <c r="DK200" i="252"/>
  <c r="C200" i="252"/>
  <c r="EV199" i="252"/>
  <c r="EU199" i="252"/>
  <c r="EW199" i="252" s="1"/>
  <c r="ES199" i="252"/>
  <c r="DX199" i="252"/>
  <c r="DU199" i="252"/>
  <c r="DN199" i="252"/>
  <c r="DK199" i="252"/>
  <c r="DD199" i="252"/>
  <c r="DA199" i="252"/>
  <c r="EG198" i="252"/>
  <c r="DX198" i="252"/>
  <c r="EC198" i="252" s="1"/>
  <c r="EB198" i="252" s="1"/>
  <c r="DU198" i="252"/>
  <c r="DK198" i="252"/>
  <c r="DD198" i="252"/>
  <c r="DI198" i="252"/>
  <c r="DH198" i="252" s="1"/>
  <c r="DA198" i="252"/>
  <c r="CY198" i="252"/>
  <c r="CU198" i="252"/>
  <c r="CQ198" i="252"/>
  <c r="CS198" i="252"/>
  <c r="CK198" i="252"/>
  <c r="CO198" i="252"/>
  <c r="CN198" i="252" s="1"/>
  <c r="CI198" i="252"/>
  <c r="CG198" i="252"/>
  <c r="BY198" i="252"/>
  <c r="CA198" i="252"/>
  <c r="BU198" i="252"/>
  <c r="BT198" i="252" s="1"/>
  <c r="BO198" i="252"/>
  <c r="BM198" i="252"/>
  <c r="BQ198" i="252"/>
  <c r="BG198" i="252"/>
  <c r="BE198" i="252"/>
  <c r="BC198" i="252"/>
  <c r="AW198" i="252"/>
  <c r="AU198" i="252"/>
  <c r="AS198" i="252"/>
  <c r="AO198" i="252"/>
  <c r="AM198" i="252"/>
  <c r="AK198" i="252"/>
  <c r="AI198" i="252"/>
  <c r="AG198" i="252"/>
  <c r="AF198" i="252" s="1"/>
  <c r="S198" i="252"/>
  <c r="Q198" i="252"/>
  <c r="O198" i="252"/>
  <c r="EW197" i="252"/>
  <c r="EV197" i="252"/>
  <c r="EU197" i="252"/>
  <c r="EK197" i="252"/>
  <c r="EI197" i="252"/>
  <c r="EH197" i="252"/>
  <c r="EG197" i="252"/>
  <c r="EF197" i="252" s="1"/>
  <c r="ED197" i="252"/>
  <c r="EV196" i="252"/>
  <c r="EU196" i="252"/>
  <c r="EW196" i="252" s="1"/>
  <c r="EK196" i="252"/>
  <c r="DX196" i="252"/>
  <c r="EC196" i="252" s="1"/>
  <c r="EB196" i="252" s="1"/>
  <c r="DU196" i="252"/>
  <c r="DN196" i="252"/>
  <c r="EG196" i="252"/>
  <c r="DK196" i="252"/>
  <c r="DI196" i="252"/>
  <c r="DH196" i="252" s="1"/>
  <c r="DD196" i="252"/>
  <c r="EI196" i="252" s="1"/>
  <c r="DA196" i="252"/>
  <c r="DM195" i="252"/>
  <c r="DJ195" i="252"/>
  <c r="DJ201" i="252" s="1"/>
  <c r="DO201" i="252" s="1"/>
  <c r="CY195" i="252"/>
  <c r="CU195" i="252"/>
  <c r="CQ195" i="252"/>
  <c r="CK195" i="252"/>
  <c r="CO195" i="252"/>
  <c r="CN195" i="252" s="1"/>
  <c r="CI195" i="252"/>
  <c r="CH201" i="252"/>
  <c r="CG195" i="252"/>
  <c r="BY195" i="252"/>
  <c r="CA195" i="252"/>
  <c r="BU195" i="252"/>
  <c r="BT195" i="252" s="1"/>
  <c r="BP201" i="252"/>
  <c r="BO201" i="252" s="1"/>
  <c r="BO195" i="252"/>
  <c r="BM195" i="252"/>
  <c r="BQ195" i="252"/>
  <c r="BG195" i="252"/>
  <c r="BC195" i="252"/>
  <c r="AX201" i="252"/>
  <c r="AW201" i="252" s="1"/>
  <c r="AW195" i="252"/>
  <c r="AU195" i="252"/>
  <c r="AS195" i="252"/>
  <c r="AO195" i="252"/>
  <c r="AM195" i="252"/>
  <c r="AK195" i="252"/>
  <c r="AI195" i="252"/>
  <c r="AH201" i="252"/>
  <c r="AG195" i="252"/>
  <c r="AF195" i="252" s="1"/>
  <c r="S195" i="252"/>
  <c r="Q195" i="252"/>
  <c r="P201" i="252"/>
  <c r="O195" i="252"/>
  <c r="EW194" i="252"/>
  <c r="EV194" i="252"/>
  <c r="EU194" i="252"/>
  <c r="EK194" i="252"/>
  <c r="EN194" i="252" s="1"/>
  <c r="DW195" i="252"/>
  <c r="DU194" i="252"/>
  <c r="DU195" i="252" s="1"/>
  <c r="DT195" i="252"/>
  <c r="DN194" i="252"/>
  <c r="DN195" i="252" s="1"/>
  <c r="DD194" i="252"/>
  <c r="DD195" i="252" s="1"/>
  <c r="DC195" i="252"/>
  <c r="DB195" i="252"/>
  <c r="DA194" i="252"/>
  <c r="DA195" i="252" s="1"/>
  <c r="CZ195" i="252"/>
  <c r="CZ201" i="252" s="1"/>
  <c r="EW193" i="252"/>
  <c r="EV193" i="252"/>
  <c r="EU193" i="252"/>
  <c r="ES193" i="252"/>
  <c r="DN193" i="252"/>
  <c r="DK193" i="252"/>
  <c r="DA193" i="252"/>
  <c r="DD193" i="252"/>
  <c r="EW192" i="252"/>
  <c r="EV192" i="252"/>
  <c r="EU192" i="252"/>
  <c r="ES192" i="252"/>
  <c r="DX192" i="252"/>
  <c r="DU192" i="252"/>
  <c r="DN192" i="252"/>
  <c r="DK192" i="252"/>
  <c r="DD192" i="252"/>
  <c r="DA192" i="252"/>
  <c r="EV191" i="252"/>
  <c r="EU191" i="252"/>
  <c r="EW191" i="252" s="1"/>
  <c r="EA191" i="252"/>
  <c r="DZ191" i="252"/>
  <c r="DP191" i="252"/>
  <c r="DE191" i="252"/>
  <c r="CW191" i="252"/>
  <c r="EV190" i="252"/>
  <c r="EU190" i="252"/>
  <c r="EW190" i="252" s="1"/>
  <c r="ES190" i="252"/>
  <c r="DX190" i="252"/>
  <c r="DU190" i="252"/>
  <c r="DN190" i="252"/>
  <c r="DK190" i="252"/>
  <c r="DD190" i="252"/>
  <c r="DA190" i="252"/>
  <c r="C190" i="252"/>
  <c r="EV189" i="252"/>
  <c r="EW189" i="252" s="1"/>
  <c r="EU189" i="252"/>
  <c r="ES189" i="252"/>
  <c r="DX189" i="252"/>
  <c r="DU189" i="252"/>
  <c r="DK189" i="252"/>
  <c r="DN189" i="252"/>
  <c r="DD189" i="252"/>
  <c r="DA189" i="252"/>
  <c r="EW188" i="252"/>
  <c r="EV188" i="252"/>
  <c r="EU188" i="252"/>
  <c r="ES188" i="252"/>
  <c r="DX188" i="252"/>
  <c r="DU188" i="252"/>
  <c r="DN188" i="252"/>
  <c r="DK188" i="252"/>
  <c r="DD188" i="252"/>
  <c r="DA188" i="252"/>
  <c r="EW187" i="252"/>
  <c r="EV187" i="252"/>
  <c r="EU187" i="252"/>
  <c r="EK187" i="252"/>
  <c r="DU187" i="252"/>
  <c r="DN187" i="252"/>
  <c r="DK187" i="252"/>
  <c r="EW186" i="252"/>
  <c r="EV186" i="252"/>
  <c r="EU186" i="252"/>
  <c r="ES186" i="252"/>
  <c r="DX186" i="252"/>
  <c r="DU186" i="252"/>
  <c r="DD186" i="252"/>
  <c r="DA186" i="252"/>
  <c r="EA185" i="252"/>
  <c r="DZ185" i="252"/>
  <c r="DY185" i="252"/>
  <c r="DY191" i="252" s="1"/>
  <c r="DW185" i="252"/>
  <c r="DT185" i="252"/>
  <c r="DT191" i="252" s="1"/>
  <c r="DQ185" i="252"/>
  <c r="DQ191" i="252" s="1"/>
  <c r="DP185" i="252"/>
  <c r="DO185" i="252"/>
  <c r="DO191" i="252" s="1"/>
  <c r="DL185" i="252"/>
  <c r="DL191" i="252" s="1"/>
  <c r="DG185" i="252"/>
  <c r="DG191" i="252" s="1"/>
  <c r="DF185" i="252"/>
  <c r="DF191" i="252" s="1"/>
  <c r="DE185" i="252"/>
  <c r="CY185" i="252"/>
  <c r="CY191" i="252" s="1"/>
  <c r="CW185" i="252"/>
  <c r="CV185" i="252"/>
  <c r="CT185" i="252"/>
  <c r="CQ185" i="252"/>
  <c r="CM185" i="252"/>
  <c r="CF185" i="252"/>
  <c r="CC185" i="252"/>
  <c r="BS185" i="252"/>
  <c r="BN185" i="252"/>
  <c r="BI185" i="252"/>
  <c r="BH185" i="252"/>
  <c r="BC185" i="252"/>
  <c r="BB185" i="252"/>
  <c r="AY185" i="252"/>
  <c r="AV185" i="252"/>
  <c r="AO185" i="252"/>
  <c r="AK185" i="252"/>
  <c r="AJ185" i="252"/>
  <c r="AH185" i="252"/>
  <c r="AE185" i="252"/>
  <c r="AD185" i="252"/>
  <c r="AB185" i="252"/>
  <c r="W185" i="252"/>
  <c r="U185" i="252"/>
  <c r="T185" i="252"/>
  <c r="R185" i="252"/>
  <c r="O185" i="252"/>
  <c r="DX184" i="252"/>
  <c r="DX185" i="252" s="1"/>
  <c r="DU184" i="252"/>
  <c r="DU185" i="252" s="1"/>
  <c r="DU191" i="252" s="1"/>
  <c r="DK184" i="252"/>
  <c r="DK185" i="252" s="1"/>
  <c r="DJ185" i="252"/>
  <c r="DC185" i="252"/>
  <c r="DD184" i="252"/>
  <c r="DD185" i="252" s="1"/>
  <c r="CY184" i="252"/>
  <c r="CX184" i="252" s="1"/>
  <c r="CX185" i="252" s="1"/>
  <c r="CX191" i="252" s="1"/>
  <c r="CS184" i="252"/>
  <c r="CS185" i="252" s="1"/>
  <c r="CR185" i="252"/>
  <c r="CQ184" i="252"/>
  <c r="CU184" i="252"/>
  <c r="CU185" i="252" s="1"/>
  <c r="CL185" i="252"/>
  <c r="CG184" i="252"/>
  <c r="CG185" i="252" s="1"/>
  <c r="CB185" i="252"/>
  <c r="CA184" i="252"/>
  <c r="CA185" i="252" s="1"/>
  <c r="BZ185" i="252"/>
  <c r="BY184" i="252"/>
  <c r="BY185" i="252" s="1"/>
  <c r="BX185" i="252"/>
  <c r="BV185" i="252"/>
  <c r="BP185" i="252"/>
  <c r="BM184" i="252"/>
  <c r="BM185" i="252" s="1"/>
  <c r="BG184" i="252"/>
  <c r="BG185" i="252" s="1"/>
  <c r="BE184" i="252"/>
  <c r="BE185" i="252" s="1"/>
  <c r="BD185" i="252"/>
  <c r="BC184" i="252"/>
  <c r="BA184" i="252"/>
  <c r="AW184" i="252"/>
  <c r="AW185" i="252" s="1"/>
  <c r="AS184" i="252"/>
  <c r="AS185" i="252" s="1"/>
  <c r="AM184" i="252"/>
  <c r="AM185" i="252" s="1"/>
  <c r="AL185" i="252"/>
  <c r="AK184" i="252"/>
  <c r="AI184" i="252"/>
  <c r="AI185" i="252" s="1"/>
  <c r="AA184" i="252"/>
  <c r="AA185" i="252" s="1"/>
  <c r="AC184" i="252"/>
  <c r="AC185" i="252" s="1"/>
  <c r="W184" i="252"/>
  <c r="V184" i="252" s="1"/>
  <c r="V185" i="252" s="1"/>
  <c r="EU184" i="252"/>
  <c r="Q184" i="252"/>
  <c r="Q185" i="252" s="1"/>
  <c r="P185" i="252"/>
  <c r="O184" i="252"/>
  <c r="EV184" i="252"/>
  <c r="EV183" i="252"/>
  <c r="EU183" i="252"/>
  <c r="EW183" i="252" s="1"/>
  <c r="ES183" i="252"/>
  <c r="DX183" i="252"/>
  <c r="DU183" i="252"/>
  <c r="DN183" i="252"/>
  <c r="DK183" i="252"/>
  <c r="DD183" i="252"/>
  <c r="DA183" i="252"/>
  <c r="EV182" i="252"/>
  <c r="EU182" i="252"/>
  <c r="EG182" i="252"/>
  <c r="DX182" i="252"/>
  <c r="EC182" i="252" s="1"/>
  <c r="EB182" i="252" s="1"/>
  <c r="DU182" i="252"/>
  <c r="DN182" i="252"/>
  <c r="DS182" i="252" s="1"/>
  <c r="DR182" i="252" s="1"/>
  <c r="DK182" i="252"/>
  <c r="DD182" i="252"/>
  <c r="DI182" i="252"/>
  <c r="DH182" i="252" s="1"/>
  <c r="DA182" i="252"/>
  <c r="CY182" i="252"/>
  <c r="CX182" i="252" s="1"/>
  <c r="CU182" i="252"/>
  <c r="CQ182" i="252"/>
  <c r="CS182" i="252"/>
  <c r="CK182" i="252"/>
  <c r="CO182" i="252"/>
  <c r="CN182" i="252" s="1"/>
  <c r="CI182" i="252"/>
  <c r="CG182" i="252"/>
  <c r="BY182" i="252"/>
  <c r="CA182" i="252"/>
  <c r="BU182" i="252"/>
  <c r="BT182" i="252" s="1"/>
  <c r="BO182" i="252"/>
  <c r="BM182" i="252"/>
  <c r="BQ182" i="252"/>
  <c r="BG182" i="252"/>
  <c r="BE182" i="252"/>
  <c r="BC182" i="252"/>
  <c r="AW182" i="252"/>
  <c r="AU182" i="252"/>
  <c r="AS182" i="252"/>
  <c r="AM182" i="252"/>
  <c r="AK182" i="252"/>
  <c r="AI182" i="252"/>
  <c r="AC182" i="252"/>
  <c r="AA182" i="252"/>
  <c r="AG182" i="252"/>
  <c r="AF182" i="252" s="1"/>
  <c r="Y182" i="252"/>
  <c r="W182" i="252"/>
  <c r="V182" i="252" s="1"/>
  <c r="EV181" i="252"/>
  <c r="EU181" i="252"/>
  <c r="EW181" i="252" s="1"/>
  <c r="ES181" i="252"/>
  <c r="DX181" i="252"/>
  <c r="DU181" i="252"/>
  <c r="DN181" i="252"/>
  <c r="DK181" i="252"/>
  <c r="DD181" i="252"/>
  <c r="DA181" i="252"/>
  <c r="DZ180" i="252"/>
  <c r="DY180" i="252" s="1"/>
  <c r="DT180" i="252"/>
  <c r="DP180" i="252"/>
  <c r="DO180" i="252" s="1"/>
  <c r="DF180" i="252"/>
  <c r="DB180" i="252"/>
  <c r="CV180" i="252"/>
  <c r="CU180" i="252" s="1"/>
  <c r="CT180" i="252"/>
  <c r="CS180" i="252" s="1"/>
  <c r="CK180" i="252"/>
  <c r="CJ180" i="252"/>
  <c r="CH180" i="252"/>
  <c r="CB180" i="252"/>
  <c r="CA180" i="252" s="1"/>
  <c r="BV180" i="252"/>
  <c r="BR180" i="252"/>
  <c r="BP180" i="252"/>
  <c r="BD180" i="252"/>
  <c r="BB180" i="252"/>
  <c r="AX180" i="252"/>
  <c r="AW180" i="252" s="1"/>
  <c r="AS180" i="252"/>
  <c r="AR180" i="252"/>
  <c r="AO180" i="252"/>
  <c r="AB180" i="252"/>
  <c r="AA180" i="252" s="1"/>
  <c r="Z180" i="252"/>
  <c r="G180" i="252"/>
  <c r="EV179" i="252"/>
  <c r="EU179" i="252"/>
  <c r="EK179" i="252"/>
  <c r="DX179" i="252"/>
  <c r="DU179" i="252"/>
  <c r="DN179" i="252"/>
  <c r="DK179" i="252"/>
  <c r="DD179" i="252"/>
  <c r="EI179" i="252" s="1"/>
  <c r="EH179" i="252" s="1"/>
  <c r="EG179" i="252"/>
  <c r="ED179" i="252"/>
  <c r="EF179" i="252" s="1"/>
  <c r="EU178" i="252"/>
  <c r="DX178" i="252"/>
  <c r="DX180" i="252" s="1"/>
  <c r="DW180" i="252" s="1"/>
  <c r="DN178" i="252"/>
  <c r="DL180" i="252"/>
  <c r="DK178" i="252"/>
  <c r="DJ180" i="252"/>
  <c r="DK180" i="252" s="1"/>
  <c r="DD178" i="252"/>
  <c r="CW180" i="252"/>
  <c r="CS178" i="252"/>
  <c r="CP180" i="252"/>
  <c r="CO178" i="252"/>
  <c r="CN178" i="252" s="1"/>
  <c r="CL180" i="252"/>
  <c r="CI178" i="252"/>
  <c r="CG178" i="252"/>
  <c r="CF180" i="252"/>
  <c r="CI180" i="252" s="1"/>
  <c r="CA178" i="252"/>
  <c r="BW178" i="252"/>
  <c r="BQ178" i="252"/>
  <c r="BO178" i="252"/>
  <c r="BM178" i="252"/>
  <c r="BL180" i="252"/>
  <c r="BQ180" i="252" s="1"/>
  <c r="BE178" i="252"/>
  <c r="BC178" i="252"/>
  <c r="AW178" i="252"/>
  <c r="AU178" i="252"/>
  <c r="AT180" i="252"/>
  <c r="AS178" i="252"/>
  <c r="AQ178" i="252"/>
  <c r="AP178" i="252" s="1"/>
  <c r="AL180" i="252"/>
  <c r="AC178" i="252"/>
  <c r="AG178" i="252"/>
  <c r="AF178" i="252" s="1"/>
  <c r="AA178" i="252"/>
  <c r="Y178" i="252"/>
  <c r="X180" i="252"/>
  <c r="T180" i="252"/>
  <c r="ES177" i="252"/>
  <c r="DX177" i="252"/>
  <c r="DU177" i="252"/>
  <c r="DN177" i="252"/>
  <c r="DD177" i="252"/>
  <c r="DA177" i="252"/>
  <c r="CQ177" i="252"/>
  <c r="EV177" i="252"/>
  <c r="EW176" i="252"/>
  <c r="EV176" i="252"/>
  <c r="EU176" i="252"/>
  <c r="ES176" i="252"/>
  <c r="DX176" i="252"/>
  <c r="DU176" i="252"/>
  <c r="DK176" i="252"/>
  <c r="DD176" i="252"/>
  <c r="DA176" i="252"/>
  <c r="EV175" i="252"/>
  <c r="EU175" i="252"/>
  <c r="EW175" i="252" s="1"/>
  <c r="EK175" i="252"/>
  <c r="DX175" i="252"/>
  <c r="DU175" i="252"/>
  <c r="DN175" i="252"/>
  <c r="DK175" i="252"/>
  <c r="DD175" i="252"/>
  <c r="EG175" i="252"/>
  <c r="EF175" i="252" s="1"/>
  <c r="EV174" i="252"/>
  <c r="EU174" i="252"/>
  <c r="EW174" i="252" s="1"/>
  <c r="EK174" i="252"/>
  <c r="DX174" i="252"/>
  <c r="EC174" i="252" s="1"/>
  <c r="EB174" i="252" s="1"/>
  <c r="DU174" i="252"/>
  <c r="DN174" i="252"/>
  <c r="DD174" i="252"/>
  <c r="DI174" i="252" s="1"/>
  <c r="DH174" i="252" s="1"/>
  <c r="DA174" i="252"/>
  <c r="ED174" i="252"/>
  <c r="ED175" i="252" s="1"/>
  <c r="EW173" i="252"/>
  <c r="EV173" i="252"/>
  <c r="EU173" i="252"/>
  <c r="ES173" i="252"/>
  <c r="DU173" i="252"/>
  <c r="DX173" i="252"/>
  <c r="DN173" i="252"/>
  <c r="DK173" i="252"/>
  <c r="DD173" i="252"/>
  <c r="DA173" i="252"/>
  <c r="EV172" i="252"/>
  <c r="EW172" i="252" s="1"/>
  <c r="EU172" i="252"/>
  <c r="ES172" i="252"/>
  <c r="DX172" i="252"/>
  <c r="DU172" i="252"/>
  <c r="DK172" i="252"/>
  <c r="DN172" i="252"/>
  <c r="DD172" i="252"/>
  <c r="DA172" i="252"/>
  <c r="EW171" i="252"/>
  <c r="EV171" i="252"/>
  <c r="EU171" i="252"/>
  <c r="ES171" i="252"/>
  <c r="J170" i="252"/>
  <c r="EV169" i="252"/>
  <c r="EU169" i="252"/>
  <c r="EW169" i="252" s="1"/>
  <c r="ES169" i="252"/>
  <c r="DZ168" i="252"/>
  <c r="DP168" i="252"/>
  <c r="DF168" i="252"/>
  <c r="AY168" i="252"/>
  <c r="AE168" i="252"/>
  <c r="C168" i="252"/>
  <c r="EG167" i="252"/>
  <c r="DX167" i="252"/>
  <c r="DU167" i="252"/>
  <c r="CU167" i="252"/>
  <c r="CS167" i="252"/>
  <c r="CQ167" i="252"/>
  <c r="ED167" i="252"/>
  <c r="DX166" i="252"/>
  <c r="DU166" i="252"/>
  <c r="DN166" i="252"/>
  <c r="DK166" i="252"/>
  <c r="DD166" i="252"/>
  <c r="CY166" i="252"/>
  <c r="CX166" i="252" s="1"/>
  <c r="CS166" i="252"/>
  <c r="CQ166" i="252"/>
  <c r="CU166" i="252"/>
  <c r="CK166" i="252"/>
  <c r="CI166" i="252"/>
  <c r="CG166" i="252"/>
  <c r="CA166" i="252"/>
  <c r="BY166" i="252"/>
  <c r="BW166" i="252"/>
  <c r="BQ166" i="252"/>
  <c r="BO166" i="252"/>
  <c r="BM166" i="252"/>
  <c r="BG166" i="252"/>
  <c r="BE166" i="252"/>
  <c r="BK166" i="252"/>
  <c r="BJ166" i="252" s="1"/>
  <c r="BC166" i="252"/>
  <c r="BA166" i="252"/>
  <c r="AW166" i="252"/>
  <c r="AS166" i="252"/>
  <c r="AM166" i="252"/>
  <c r="AK166" i="252"/>
  <c r="AG166" i="252"/>
  <c r="AF166" i="252" s="1"/>
  <c r="AA166" i="252"/>
  <c r="Y166" i="252"/>
  <c r="S166" i="252"/>
  <c r="EG166" i="252"/>
  <c r="ED166" i="252"/>
  <c r="DX165" i="252"/>
  <c r="EC165" i="252" s="1"/>
  <c r="EB165" i="252" s="1"/>
  <c r="DU165" i="252"/>
  <c r="DN165" i="252"/>
  <c r="DS165" i="252"/>
  <c r="DR165" i="252" s="1"/>
  <c r="DK165" i="252"/>
  <c r="DI165" i="252"/>
  <c r="DH165" i="252" s="1"/>
  <c r="DD165" i="252"/>
  <c r="DA165" i="252"/>
  <c r="CX165" i="252"/>
  <c r="CU165" i="252"/>
  <c r="CS165" i="252"/>
  <c r="CY165" i="252"/>
  <c r="CQ165" i="252"/>
  <c r="CO165" i="252"/>
  <c r="CK165" i="252"/>
  <c r="CG165" i="252"/>
  <c r="CA165" i="252"/>
  <c r="CE165" i="252"/>
  <c r="CD165" i="252" s="1"/>
  <c r="BY165" i="252"/>
  <c r="BW165" i="252"/>
  <c r="BQ165" i="252"/>
  <c r="BO165" i="252"/>
  <c r="BK165" i="252"/>
  <c r="BJ165" i="252" s="1"/>
  <c r="BE165" i="252"/>
  <c r="BC165" i="252"/>
  <c r="BG165" i="252"/>
  <c r="AW165" i="252"/>
  <c r="AU165" i="252"/>
  <c r="AS165" i="252"/>
  <c r="AM165" i="252"/>
  <c r="AK165" i="252"/>
  <c r="AC165" i="252"/>
  <c r="AA165" i="252"/>
  <c r="AG165" i="252"/>
  <c r="AF165" i="252" s="1"/>
  <c r="Y165" i="252"/>
  <c r="EG165" i="252"/>
  <c r="DX164" i="252"/>
  <c r="DN164" i="252"/>
  <c r="DK164" i="252"/>
  <c r="DD164" i="252"/>
  <c r="CY164" i="252"/>
  <c r="CX164" i="252" s="1"/>
  <c r="CS164" i="252"/>
  <c r="CQ164" i="252"/>
  <c r="CU164" i="252"/>
  <c r="CK164" i="252"/>
  <c r="CI164" i="252"/>
  <c r="CA164" i="252"/>
  <c r="BY164" i="252"/>
  <c r="BW164" i="252"/>
  <c r="BQ164" i="252"/>
  <c r="BM164" i="252"/>
  <c r="BG164" i="252"/>
  <c r="BE164" i="252"/>
  <c r="BK164" i="252"/>
  <c r="BJ164" i="252" s="1"/>
  <c r="BC164" i="252"/>
  <c r="AW164" i="252"/>
  <c r="AS164" i="252"/>
  <c r="AM164" i="252"/>
  <c r="AG164" i="252"/>
  <c r="AF164" i="252" s="1"/>
  <c r="AA164" i="252"/>
  <c r="Y164" i="252"/>
  <c r="EV164" i="252"/>
  <c r="S164" i="252"/>
  <c r="EU163" i="252"/>
  <c r="DX163" i="252"/>
  <c r="EC163" i="252" s="1"/>
  <c r="EB163" i="252" s="1"/>
  <c r="DN163" i="252"/>
  <c r="DS163" i="252"/>
  <c r="DR163" i="252" s="1"/>
  <c r="DK163" i="252"/>
  <c r="DD163" i="252"/>
  <c r="DI163" i="252" s="1"/>
  <c r="DH163" i="252" s="1"/>
  <c r="DA163" i="252"/>
  <c r="CU163" i="252"/>
  <c r="CS163" i="252"/>
  <c r="CY163" i="252"/>
  <c r="CX163" i="252" s="1"/>
  <c r="CQ163" i="252"/>
  <c r="CK163" i="252"/>
  <c r="CG163" i="252"/>
  <c r="CC168" i="252"/>
  <c r="CA163" i="252"/>
  <c r="BU163" i="252"/>
  <c r="BT163" i="252" s="1"/>
  <c r="BQ163" i="252"/>
  <c r="BO163" i="252"/>
  <c r="BM163" i="252"/>
  <c r="BG163" i="252"/>
  <c r="BE163" i="252"/>
  <c r="AW163" i="252"/>
  <c r="AU163" i="252"/>
  <c r="AS163" i="252"/>
  <c r="AQ163" i="252"/>
  <c r="AP163" i="252" s="1"/>
  <c r="AM163" i="252"/>
  <c r="AK163" i="252"/>
  <c r="AI163" i="252"/>
  <c r="AC163" i="252"/>
  <c r="AA163" i="252"/>
  <c r="Y163" i="252"/>
  <c r="EI163" i="252"/>
  <c r="Q163" i="252"/>
  <c r="EG163" i="252"/>
  <c r="O163" i="252"/>
  <c r="EV163" i="252"/>
  <c r="DX162" i="252"/>
  <c r="DU162" i="252"/>
  <c r="DN162" i="252"/>
  <c r="DD162" i="252"/>
  <c r="DI162" i="252" s="1"/>
  <c r="DH162" i="252" s="1"/>
  <c r="DA162" i="252"/>
  <c r="CU162" i="252"/>
  <c r="CS162" i="252"/>
  <c r="CK162" i="252"/>
  <c r="CI162" i="252"/>
  <c r="CG162" i="252"/>
  <c r="CA162" i="252"/>
  <c r="BW162" i="252"/>
  <c r="BT162" i="252"/>
  <c r="BQ162" i="252"/>
  <c r="BO162" i="252"/>
  <c r="BU162" i="252"/>
  <c r="BM162" i="252"/>
  <c r="BG162" i="252"/>
  <c r="BE162" i="252"/>
  <c r="BC162" i="252"/>
  <c r="AW162" i="252"/>
  <c r="BA162" i="252"/>
  <c r="AZ162" i="252" s="1"/>
  <c r="AU162" i="252"/>
  <c r="AS162" i="252"/>
  <c r="AQ162" i="252"/>
  <c r="AP162" i="252" s="1"/>
  <c r="AK162" i="252"/>
  <c r="AI162" i="252"/>
  <c r="ED162" i="252"/>
  <c r="AC162" i="252"/>
  <c r="AA162" i="252"/>
  <c r="S162" i="252"/>
  <c r="Q162" i="252"/>
  <c r="EV162" i="252"/>
  <c r="EV161" i="252"/>
  <c r="EG161" i="252"/>
  <c r="DX161" i="252"/>
  <c r="EC161" i="252" s="1"/>
  <c r="EB161" i="252" s="1"/>
  <c r="DU161" i="252"/>
  <c r="DS161" i="252"/>
  <c r="DR161" i="252" s="1"/>
  <c r="DN161" i="252"/>
  <c r="DK161" i="252"/>
  <c r="DH161" i="252"/>
  <c r="DD161" i="252"/>
  <c r="DI161" i="252"/>
  <c r="DA161" i="252"/>
  <c r="CY161" i="252"/>
  <c r="CX161" i="252" s="1"/>
  <c r="CS161" i="252"/>
  <c r="CK161" i="252"/>
  <c r="CO161" i="252"/>
  <c r="CN161" i="252" s="1"/>
  <c r="CI161" i="252"/>
  <c r="CG161" i="252"/>
  <c r="CE161" i="252"/>
  <c r="BY161" i="252"/>
  <c r="CA161" i="252"/>
  <c r="BU161" i="252"/>
  <c r="BT161" i="252" s="1"/>
  <c r="BO161" i="252"/>
  <c r="BM161" i="252"/>
  <c r="BQ161" i="252"/>
  <c r="BG161" i="252"/>
  <c r="BE161" i="252"/>
  <c r="AW161" i="252"/>
  <c r="AU161" i="252"/>
  <c r="AS161" i="252"/>
  <c r="AQ161" i="252"/>
  <c r="AP161" i="252" s="1"/>
  <c r="AM161" i="252"/>
  <c r="AK161" i="252"/>
  <c r="AI161" i="252"/>
  <c r="AC161" i="252"/>
  <c r="Y161" i="252"/>
  <c r="AA161" i="252"/>
  <c r="S161" i="252"/>
  <c r="EU161" i="252"/>
  <c r="Q161" i="252"/>
  <c r="O161" i="252"/>
  <c r="DX160" i="252"/>
  <c r="DU160" i="252"/>
  <c r="DN160" i="252"/>
  <c r="DD160" i="252"/>
  <c r="DI160" i="252" s="1"/>
  <c r="DH160" i="252" s="1"/>
  <c r="DA160" i="252"/>
  <c r="CU160" i="252"/>
  <c r="CS160" i="252"/>
  <c r="CK160" i="252"/>
  <c r="CI160" i="252"/>
  <c r="CG160" i="252"/>
  <c r="CA160" i="252"/>
  <c r="BW160" i="252"/>
  <c r="BQ160" i="252"/>
  <c r="BO160" i="252"/>
  <c r="BU160" i="252"/>
  <c r="BT160" i="252" s="1"/>
  <c r="BM160" i="252"/>
  <c r="BG160" i="252"/>
  <c r="BC160" i="252"/>
  <c r="BE160" i="252"/>
  <c r="AZ160" i="252"/>
  <c r="AW160" i="252"/>
  <c r="BA160" i="252"/>
  <c r="AU160" i="252"/>
  <c r="AS160" i="252"/>
  <c r="AQ160" i="252"/>
  <c r="AP160" i="252" s="1"/>
  <c r="AK160" i="252"/>
  <c r="AI160" i="252"/>
  <c r="ED160" i="252"/>
  <c r="AC160" i="252"/>
  <c r="AA160" i="252"/>
  <c r="S160" i="252"/>
  <c r="Q160" i="252"/>
  <c r="EV160" i="252"/>
  <c r="DX159" i="252"/>
  <c r="EC159" i="252" s="1"/>
  <c r="EB159" i="252" s="1"/>
  <c r="DU159" i="252"/>
  <c r="DS159" i="252"/>
  <c r="DR159" i="252" s="1"/>
  <c r="DN159" i="252"/>
  <c r="DK159" i="252"/>
  <c r="DH159" i="252"/>
  <c r="DD159" i="252"/>
  <c r="DI159" i="252"/>
  <c r="DA159" i="252"/>
  <c r="CY159" i="252"/>
  <c r="CS159" i="252"/>
  <c r="CN159" i="252"/>
  <c r="CK159" i="252"/>
  <c r="CO159" i="252"/>
  <c r="CI159" i="252"/>
  <c r="CG159" i="252"/>
  <c r="CE159" i="252"/>
  <c r="CD159" i="252" s="1"/>
  <c r="BY159" i="252"/>
  <c r="CA159" i="252"/>
  <c r="BQ159" i="252"/>
  <c r="BO159" i="252"/>
  <c r="BG159" i="252"/>
  <c r="BE159" i="252"/>
  <c r="BC159" i="252"/>
  <c r="AW159" i="252"/>
  <c r="AS159" i="252"/>
  <c r="AM159" i="252"/>
  <c r="AK159" i="252"/>
  <c r="AC159" i="252"/>
  <c r="AG159" i="252"/>
  <c r="AF159" i="252" s="1"/>
  <c r="AA159" i="252"/>
  <c r="Y159" i="252"/>
  <c r="W159" i="252"/>
  <c r="V159" i="252" s="1"/>
  <c r="S159" i="252"/>
  <c r="DX158" i="252"/>
  <c r="EC158" i="252" s="1"/>
  <c r="EB158" i="252" s="1"/>
  <c r="DU158" i="252"/>
  <c r="DN158" i="252"/>
  <c r="DI158" i="252"/>
  <c r="DH158" i="252" s="1"/>
  <c r="DD158" i="252"/>
  <c r="DA158" i="252"/>
  <c r="CU158" i="252"/>
  <c r="CQ158" i="252"/>
  <c r="CK158" i="252"/>
  <c r="CI158" i="252"/>
  <c r="CG158" i="252"/>
  <c r="CA158" i="252"/>
  <c r="BW158" i="252"/>
  <c r="BY158" i="252"/>
  <c r="BQ158" i="252"/>
  <c r="BU158" i="252"/>
  <c r="BT158" i="252" s="1"/>
  <c r="BO158" i="252"/>
  <c r="BM158" i="252"/>
  <c r="BG158" i="252"/>
  <c r="BA158" i="252"/>
  <c r="AW158" i="252"/>
  <c r="AM158" i="252"/>
  <c r="AK158" i="252"/>
  <c r="AG158" i="252"/>
  <c r="AF158" i="252" s="1"/>
  <c r="AC158" i="252"/>
  <c r="AA158" i="252"/>
  <c r="S158" i="252"/>
  <c r="Q158" i="252"/>
  <c r="O158" i="252"/>
  <c r="EG157" i="252"/>
  <c r="DU157" i="252"/>
  <c r="DN157" i="252"/>
  <c r="DD157" i="252"/>
  <c r="DI157" i="252" s="1"/>
  <c r="DH157" i="252" s="1"/>
  <c r="DA157" i="252"/>
  <c r="CY157" i="252"/>
  <c r="CX157" i="252" s="1"/>
  <c r="CW168" i="252"/>
  <c r="CU157" i="252"/>
  <c r="CS157" i="252"/>
  <c r="CQ157" i="252"/>
  <c r="CK157" i="252"/>
  <c r="CI157" i="252"/>
  <c r="CO157" i="252"/>
  <c r="CN157" i="252" s="1"/>
  <c r="CA157" i="252"/>
  <c r="BY157" i="252"/>
  <c r="BU157" i="252"/>
  <c r="BT157" i="252" s="1"/>
  <c r="BQ157" i="252"/>
  <c r="BO157" i="252"/>
  <c r="BM157" i="252"/>
  <c r="BG157" i="252"/>
  <c r="BE157" i="252"/>
  <c r="BK157" i="252"/>
  <c r="BJ157" i="252" s="1"/>
  <c r="BC157" i="252"/>
  <c r="AW157" i="252"/>
  <c r="BA157" i="252"/>
  <c r="AZ157" i="252" s="1"/>
  <c r="AU157" i="252"/>
  <c r="AM157" i="252"/>
  <c r="AG157" i="252"/>
  <c r="AC157" i="252"/>
  <c r="Q157" i="252"/>
  <c r="O157" i="252"/>
  <c r="DX156" i="252"/>
  <c r="EC156" i="252" s="1"/>
  <c r="EB156" i="252" s="1"/>
  <c r="DN156" i="252"/>
  <c r="DS156" i="252"/>
  <c r="DR156" i="252" s="1"/>
  <c r="DD156" i="252"/>
  <c r="DI156" i="252" s="1"/>
  <c r="DH156" i="252" s="1"/>
  <c r="DA156" i="252"/>
  <c r="CU156" i="252"/>
  <c r="CS156" i="252"/>
  <c r="CQ156" i="252"/>
  <c r="CO156" i="252"/>
  <c r="CN156" i="252" s="1"/>
  <c r="CK156" i="252"/>
  <c r="CI156" i="252"/>
  <c r="CA156" i="252"/>
  <c r="BY156" i="252"/>
  <c r="BW156" i="252"/>
  <c r="BO156" i="252"/>
  <c r="BU156" i="252"/>
  <c r="BT156" i="252" s="1"/>
  <c r="BM156" i="252"/>
  <c r="BQ156" i="252"/>
  <c r="BG156" i="252"/>
  <c r="BE156" i="252"/>
  <c r="BK156" i="252"/>
  <c r="BJ156" i="252" s="1"/>
  <c r="BC156" i="252"/>
  <c r="AW156" i="252"/>
  <c r="AU156" i="252"/>
  <c r="BA156" i="252"/>
  <c r="AZ156" i="252" s="1"/>
  <c r="AM156" i="252"/>
  <c r="AK156" i="252"/>
  <c r="AQ156" i="252"/>
  <c r="AP156" i="252" s="1"/>
  <c r="AC156" i="252"/>
  <c r="AA156" i="252"/>
  <c r="Y156" i="252"/>
  <c r="S156" i="252"/>
  <c r="EI156" i="252"/>
  <c r="Q156" i="252"/>
  <c r="W156" i="252"/>
  <c r="V156" i="252" s="1"/>
  <c r="EC155" i="252"/>
  <c r="EB155" i="252" s="1"/>
  <c r="DX155" i="252"/>
  <c r="DK155" i="252"/>
  <c r="DA155" i="252"/>
  <c r="DD155" i="252"/>
  <c r="CU155" i="252"/>
  <c r="CQ155" i="252"/>
  <c r="CS155" i="252"/>
  <c r="CI155" i="252"/>
  <c r="CG155" i="252"/>
  <c r="CA155" i="252"/>
  <c r="BY155" i="252"/>
  <c r="CE155" i="252"/>
  <c r="CD155" i="252" s="1"/>
  <c r="BW155" i="252"/>
  <c r="BU155" i="252"/>
  <c r="BT155" i="252" s="1"/>
  <c r="BQ155" i="252"/>
  <c r="BO155" i="252"/>
  <c r="BM155" i="252"/>
  <c r="BG155" i="252"/>
  <c r="BE155" i="252"/>
  <c r="BC155" i="252"/>
  <c r="AW155" i="252"/>
  <c r="AU155" i="252"/>
  <c r="AS155" i="252"/>
  <c r="AQ155" i="252"/>
  <c r="AP155" i="252" s="1"/>
  <c r="AM155" i="252"/>
  <c r="AK155" i="252"/>
  <c r="AI155" i="252"/>
  <c r="AG155" i="252"/>
  <c r="AF155" i="252" s="1"/>
  <c r="AC155" i="252"/>
  <c r="EG155" i="252"/>
  <c r="ED155" i="252"/>
  <c r="W155" i="252"/>
  <c r="V155" i="252" s="1"/>
  <c r="Q155" i="252"/>
  <c r="O155" i="252"/>
  <c r="S155" i="252"/>
  <c r="DX154" i="252"/>
  <c r="DU154" i="252"/>
  <c r="DN154" i="252"/>
  <c r="DK154" i="252"/>
  <c r="DD154" i="252"/>
  <c r="DI154" i="252"/>
  <c r="DH154" i="252" s="1"/>
  <c r="DA154" i="252"/>
  <c r="CU154" i="252"/>
  <c r="CS154" i="252"/>
  <c r="CQ154" i="252"/>
  <c r="CK154" i="252"/>
  <c r="CI154" i="252"/>
  <c r="CG154" i="252"/>
  <c r="CA154" i="252"/>
  <c r="BY154" i="252"/>
  <c r="BW154" i="252"/>
  <c r="BQ154" i="252"/>
  <c r="BO154" i="252"/>
  <c r="BM154" i="252"/>
  <c r="BK154" i="252"/>
  <c r="BJ154" i="252" s="1"/>
  <c r="BG154" i="252"/>
  <c r="BE154" i="252"/>
  <c r="BC154" i="252"/>
  <c r="BA154" i="252"/>
  <c r="AZ154" i="252" s="1"/>
  <c r="AW154" i="252"/>
  <c r="AU154" i="252"/>
  <c r="AS154" i="252"/>
  <c r="AQ154" i="252"/>
  <c r="AP154" i="252" s="1"/>
  <c r="AM154" i="252"/>
  <c r="AK154" i="252"/>
  <c r="AI154" i="252"/>
  <c r="AC154" i="252"/>
  <c r="AA154" i="252"/>
  <c r="Y154" i="252"/>
  <c r="EV154" i="252"/>
  <c r="EK154" i="252"/>
  <c r="S154" i="252"/>
  <c r="EU154" i="252"/>
  <c r="Q154" i="252"/>
  <c r="EG154" i="252"/>
  <c r="O154" i="252"/>
  <c r="DX153" i="252"/>
  <c r="EC153" i="252" s="1"/>
  <c r="EB153" i="252" s="1"/>
  <c r="DU153" i="252"/>
  <c r="DK153" i="252"/>
  <c r="DN153" i="252"/>
  <c r="DS153" i="252" s="1"/>
  <c r="DR153" i="252" s="1"/>
  <c r="DD153" i="252"/>
  <c r="DI153" i="252" s="1"/>
  <c r="DH153" i="252" s="1"/>
  <c r="DA153" i="252"/>
  <c r="CY153" i="252"/>
  <c r="CX153" i="252" s="1"/>
  <c r="CU153" i="252"/>
  <c r="CS153" i="252"/>
  <c r="CQ153" i="252"/>
  <c r="CO153" i="252"/>
  <c r="CN153" i="252"/>
  <c r="CK153" i="252"/>
  <c r="CI153" i="252"/>
  <c r="CG153" i="252"/>
  <c r="CA153" i="252"/>
  <c r="BY153" i="252"/>
  <c r="BW153" i="252"/>
  <c r="BQ153" i="252"/>
  <c r="BO153" i="252"/>
  <c r="BU153" i="252"/>
  <c r="BT153" i="252" s="1"/>
  <c r="BM153" i="252"/>
  <c r="BK153" i="252"/>
  <c r="BJ153" i="252" s="1"/>
  <c r="BI168" i="252"/>
  <c r="BG153" i="252"/>
  <c r="BE153" i="252"/>
  <c r="BC153" i="252"/>
  <c r="AW153" i="252"/>
  <c r="AU153" i="252"/>
  <c r="AS153" i="252"/>
  <c r="AM153" i="252"/>
  <c r="AK153" i="252"/>
  <c r="AQ153" i="252"/>
  <c r="AP153" i="252" s="1"/>
  <c r="EV153" i="252"/>
  <c r="AG153" i="252"/>
  <c r="AF153" i="252"/>
  <c r="AC153" i="252"/>
  <c r="AA153" i="252"/>
  <c r="Y153" i="252"/>
  <c r="EK153" i="252"/>
  <c r="EU153" i="252"/>
  <c r="EW153" i="252" s="1"/>
  <c r="O153" i="252"/>
  <c r="ED153" i="252"/>
  <c r="EO152" i="252"/>
  <c r="DX152" i="252"/>
  <c r="EC152" i="252"/>
  <c r="EB152" i="252" s="1"/>
  <c r="DU152" i="252"/>
  <c r="DK152" i="252"/>
  <c r="DN152" i="252"/>
  <c r="DD152" i="252"/>
  <c r="DI152" i="252" s="1"/>
  <c r="DH152" i="252" s="1"/>
  <c r="DA152" i="252"/>
  <c r="CU152" i="252"/>
  <c r="CS152" i="252"/>
  <c r="CQ152" i="252"/>
  <c r="CM168" i="252"/>
  <c r="CK152" i="252"/>
  <c r="CI152" i="252"/>
  <c r="CO152" i="252"/>
  <c r="CN152" i="252" s="1"/>
  <c r="CA152" i="252"/>
  <c r="BY152" i="252"/>
  <c r="CE152" i="252"/>
  <c r="CD152" i="252" s="1"/>
  <c r="BW152" i="252"/>
  <c r="BS168" i="252"/>
  <c r="BQ152" i="252"/>
  <c r="BO152" i="252"/>
  <c r="BM152" i="252"/>
  <c r="BK152" i="252"/>
  <c r="BJ152" i="252" s="1"/>
  <c r="BG152" i="252"/>
  <c r="BE152" i="252"/>
  <c r="BC152" i="252"/>
  <c r="BA152" i="252"/>
  <c r="AZ152" i="252"/>
  <c r="AW152" i="252"/>
  <c r="AU152" i="252"/>
  <c r="AS152" i="252"/>
  <c r="AQ152" i="252"/>
  <c r="AP152" i="252" s="1"/>
  <c r="AM152" i="252"/>
  <c r="AK152" i="252"/>
  <c r="AI152" i="252"/>
  <c r="AC152" i="252"/>
  <c r="AA152" i="252"/>
  <c r="Y152" i="252"/>
  <c r="S152" i="252"/>
  <c r="Q152" i="252"/>
  <c r="W152" i="252"/>
  <c r="V152" i="252" s="1"/>
  <c r="O152" i="252"/>
  <c r="DX151" i="252"/>
  <c r="DN151" i="252"/>
  <c r="DS151" i="252" s="1"/>
  <c r="DR151" i="252" s="1"/>
  <c r="DK151" i="252"/>
  <c r="DA151" i="252"/>
  <c r="DD151" i="252"/>
  <c r="DI151" i="252" s="1"/>
  <c r="DH151" i="252" s="1"/>
  <c r="CU151" i="252"/>
  <c r="CY151" i="252"/>
  <c r="CX151" i="252" s="1"/>
  <c r="CS151" i="252"/>
  <c r="CQ151" i="252"/>
  <c r="CO151" i="252"/>
  <c r="CN151" i="252" s="1"/>
  <c r="CK151" i="252"/>
  <c r="CI151" i="252"/>
  <c r="CG151" i="252"/>
  <c r="CE151" i="252"/>
  <c r="CD151" i="252"/>
  <c r="CA151" i="252"/>
  <c r="BY151" i="252"/>
  <c r="BW151" i="252"/>
  <c r="BQ151" i="252"/>
  <c r="BO151" i="252"/>
  <c r="BM151" i="252"/>
  <c r="BG151" i="252"/>
  <c r="BE151" i="252"/>
  <c r="BK151" i="252"/>
  <c r="BJ151" i="252" s="1"/>
  <c r="BC151" i="252"/>
  <c r="AW151" i="252"/>
  <c r="AU151" i="252"/>
  <c r="AS151" i="252"/>
  <c r="AM151" i="252"/>
  <c r="AK151" i="252"/>
  <c r="AQ151" i="252"/>
  <c r="AP151" i="252" s="1"/>
  <c r="AC151" i="252"/>
  <c r="AG151" i="252"/>
  <c r="AF151" i="252" s="1"/>
  <c r="AA151" i="252"/>
  <c r="Y151" i="252"/>
  <c r="W151" i="252"/>
  <c r="V151" i="252" s="1"/>
  <c r="S151" i="252"/>
  <c r="EG151" i="252"/>
  <c r="ED151" i="252"/>
  <c r="DX150" i="252"/>
  <c r="EC150" i="252" s="1"/>
  <c r="EB150" i="252" s="1"/>
  <c r="DU150" i="252"/>
  <c r="DN150" i="252"/>
  <c r="DS150" i="252"/>
  <c r="DR150" i="252" s="1"/>
  <c r="DK150" i="252"/>
  <c r="DA150" i="252"/>
  <c r="DD150" i="252"/>
  <c r="CU150" i="252"/>
  <c r="CS150" i="252"/>
  <c r="CY150" i="252"/>
  <c r="CX150" i="252" s="1"/>
  <c r="CQ150" i="252"/>
  <c r="CK150" i="252"/>
  <c r="CI150" i="252"/>
  <c r="CG150" i="252"/>
  <c r="CA150" i="252"/>
  <c r="BY150" i="252"/>
  <c r="CE150" i="252"/>
  <c r="CD150" i="252" s="1"/>
  <c r="BW150" i="252"/>
  <c r="BQ150" i="252"/>
  <c r="BO150" i="252"/>
  <c r="BM150" i="252"/>
  <c r="BG150" i="252"/>
  <c r="BK150" i="252"/>
  <c r="BJ150" i="252" s="1"/>
  <c r="BE150" i="252"/>
  <c r="BC150" i="252"/>
  <c r="BA150" i="252"/>
  <c r="AZ150" i="252" s="1"/>
  <c r="AW150" i="252"/>
  <c r="AU150" i="252"/>
  <c r="AS150" i="252"/>
  <c r="AM150" i="252"/>
  <c r="AK150" i="252"/>
  <c r="AQ150" i="252"/>
  <c r="AP150" i="252" s="1"/>
  <c r="AC150" i="252"/>
  <c r="AA150" i="252"/>
  <c r="AG150" i="252"/>
  <c r="AF150" i="252" s="1"/>
  <c r="Y150" i="252"/>
  <c r="S150" i="252"/>
  <c r="EI150" i="252"/>
  <c r="EG150" i="252"/>
  <c r="EV150" i="252"/>
  <c r="EU149" i="252"/>
  <c r="EW149" i="252" s="1"/>
  <c r="ES149" i="252"/>
  <c r="CU149" i="252"/>
  <c r="CS149" i="252"/>
  <c r="CQ149" i="252"/>
  <c r="EV149" i="252"/>
  <c r="S149" i="252"/>
  <c r="EC148" i="252"/>
  <c r="EB148" i="252"/>
  <c r="DX148" i="252"/>
  <c r="DU148" i="252"/>
  <c r="DN148" i="252"/>
  <c r="DS148" i="252" s="1"/>
  <c r="DR148" i="252" s="1"/>
  <c r="DK148" i="252"/>
  <c r="DA148" i="252"/>
  <c r="DD148" i="252"/>
  <c r="DI148" i="252" s="1"/>
  <c r="DH148" i="252" s="1"/>
  <c r="CY148" i="252"/>
  <c r="CX148" i="252" s="1"/>
  <c r="CU148" i="252"/>
  <c r="CS148" i="252"/>
  <c r="CQ148" i="252"/>
  <c r="CK148" i="252"/>
  <c r="CI148" i="252"/>
  <c r="CO148" i="252"/>
  <c r="CN148" i="252" s="1"/>
  <c r="CG148" i="252"/>
  <c r="CA148" i="252"/>
  <c r="BY148" i="252"/>
  <c r="BW148" i="252"/>
  <c r="BQ148" i="252"/>
  <c r="BO148" i="252"/>
  <c r="BU148" i="252"/>
  <c r="BT148" i="252" s="1"/>
  <c r="BM148" i="252"/>
  <c r="BG148" i="252"/>
  <c r="BE148" i="252"/>
  <c r="BC148" i="252"/>
  <c r="AW148" i="252"/>
  <c r="AU148" i="252"/>
  <c r="BA148" i="252"/>
  <c r="AZ148" i="252" s="1"/>
  <c r="AS148" i="252"/>
  <c r="AQ148" i="252"/>
  <c r="AP148" i="252" s="1"/>
  <c r="AM148" i="252"/>
  <c r="AK148" i="252"/>
  <c r="AI148" i="252"/>
  <c r="AG148" i="252"/>
  <c r="AF148" i="252" s="1"/>
  <c r="AC148" i="252"/>
  <c r="AA148" i="252"/>
  <c r="Y148" i="252"/>
  <c r="ED148" i="252"/>
  <c r="S148" i="252"/>
  <c r="Q148" i="252"/>
  <c r="O148" i="252"/>
  <c r="DX147" i="252"/>
  <c r="DU147" i="252"/>
  <c r="DN147" i="252"/>
  <c r="DK147" i="252"/>
  <c r="DD147" i="252"/>
  <c r="DA147" i="252"/>
  <c r="CU147" i="252"/>
  <c r="CS147" i="252"/>
  <c r="CQ147" i="252"/>
  <c r="CK147" i="252"/>
  <c r="CI147" i="252"/>
  <c r="CO147" i="252"/>
  <c r="CN147" i="252" s="1"/>
  <c r="CG147" i="252"/>
  <c r="CA147" i="252"/>
  <c r="BY147" i="252"/>
  <c r="BW147" i="252"/>
  <c r="BQ147" i="252"/>
  <c r="BO147" i="252"/>
  <c r="BU147" i="252"/>
  <c r="BT147" i="252" s="1"/>
  <c r="BM147" i="252"/>
  <c r="BK147" i="252"/>
  <c r="BJ147" i="252" s="1"/>
  <c r="BG147" i="252"/>
  <c r="BE147" i="252"/>
  <c r="BC147" i="252"/>
  <c r="AW147" i="252"/>
  <c r="AU147" i="252"/>
  <c r="BA147" i="252"/>
  <c r="AZ147" i="252" s="1"/>
  <c r="AS147" i="252"/>
  <c r="AQ147" i="252"/>
  <c r="AP147" i="252" s="1"/>
  <c r="AM147" i="252"/>
  <c r="AK147" i="252"/>
  <c r="AI147" i="252"/>
  <c r="AC147" i="252"/>
  <c r="AA147" i="252"/>
  <c r="EG147" i="252"/>
  <c r="EV147" i="252"/>
  <c r="EK147" i="252"/>
  <c r="S147" i="252"/>
  <c r="EU147" i="252"/>
  <c r="Q147" i="252"/>
  <c r="O147" i="252"/>
  <c r="DX146" i="252"/>
  <c r="EC146" i="252" s="1"/>
  <c r="EB146" i="252" s="1"/>
  <c r="DU146" i="252"/>
  <c r="DS146" i="252"/>
  <c r="DR146" i="252" s="1"/>
  <c r="DN146" i="252"/>
  <c r="DK146" i="252"/>
  <c r="DD146" i="252"/>
  <c r="DI146" i="252" s="1"/>
  <c r="DH146" i="252" s="1"/>
  <c r="DA146" i="252"/>
  <c r="CU146" i="252"/>
  <c r="CS146" i="252"/>
  <c r="CQ146" i="252"/>
  <c r="CO146" i="252"/>
  <c r="CN146" i="252" s="1"/>
  <c r="CK146" i="252"/>
  <c r="CI146" i="252"/>
  <c r="CG146" i="252"/>
  <c r="CE146" i="252"/>
  <c r="CD146" i="252" s="1"/>
  <c r="CA146" i="252"/>
  <c r="BW146" i="252"/>
  <c r="ED146" i="252"/>
  <c r="BU146" i="252"/>
  <c r="BT146" i="252"/>
  <c r="BQ146" i="252"/>
  <c r="BO146" i="252"/>
  <c r="BM146" i="252"/>
  <c r="BG146" i="252"/>
  <c r="BE146" i="252"/>
  <c r="BC146" i="252"/>
  <c r="AW146" i="252"/>
  <c r="AU146" i="252"/>
  <c r="BA146" i="252"/>
  <c r="AZ146" i="252" s="1"/>
  <c r="AS146" i="252"/>
  <c r="AQ146" i="252"/>
  <c r="AP146" i="252" s="1"/>
  <c r="AM146" i="252"/>
  <c r="AK146" i="252"/>
  <c r="AI146" i="252"/>
  <c r="AC146" i="252"/>
  <c r="AA146" i="252"/>
  <c r="Y146" i="252"/>
  <c r="EV146" i="252"/>
  <c r="EK146" i="252"/>
  <c r="S146" i="252"/>
  <c r="EU146" i="252"/>
  <c r="EW146" i="252" s="1"/>
  <c r="Q146" i="252"/>
  <c r="O146" i="252"/>
  <c r="DX145" i="252"/>
  <c r="DU145" i="252"/>
  <c r="DK145" i="252"/>
  <c r="DN145" i="252"/>
  <c r="DD145" i="252"/>
  <c r="DI145" i="252"/>
  <c r="DH145" i="252" s="1"/>
  <c r="DA145" i="252"/>
  <c r="CU145" i="252"/>
  <c r="CS145" i="252"/>
  <c r="CQ145" i="252"/>
  <c r="CK145" i="252"/>
  <c r="CI145" i="252"/>
  <c r="CO145" i="252"/>
  <c r="CN145" i="252" s="1"/>
  <c r="CG145" i="252"/>
  <c r="CA145" i="252"/>
  <c r="BY145" i="252"/>
  <c r="BW145" i="252"/>
  <c r="ED145" i="252"/>
  <c r="BQ145" i="252"/>
  <c r="BO145" i="252"/>
  <c r="BU145" i="252"/>
  <c r="BT145" i="252" s="1"/>
  <c r="BM145" i="252"/>
  <c r="BG145" i="252"/>
  <c r="BE145" i="252"/>
  <c r="BC145" i="252"/>
  <c r="BA145" i="252"/>
  <c r="AZ145" i="252" s="1"/>
  <c r="AW145" i="252"/>
  <c r="AU145" i="252"/>
  <c r="AS145" i="252"/>
  <c r="AQ145" i="252"/>
  <c r="AP145" i="252" s="1"/>
  <c r="AM145" i="252"/>
  <c r="AK145" i="252"/>
  <c r="AI145" i="252"/>
  <c r="AC145" i="252"/>
  <c r="AA145" i="252"/>
  <c r="Y145" i="252"/>
  <c r="EV145" i="252"/>
  <c r="EK145" i="252"/>
  <c r="S145" i="252"/>
  <c r="EU145" i="252"/>
  <c r="Q145" i="252"/>
  <c r="W145" i="252"/>
  <c r="V145" i="252" s="1"/>
  <c r="O145" i="252"/>
  <c r="DX144" i="252"/>
  <c r="EC144" i="252" s="1"/>
  <c r="EB144" i="252" s="1"/>
  <c r="DU144" i="252"/>
  <c r="DS144" i="252"/>
  <c r="DR144" i="252" s="1"/>
  <c r="DN144" i="252"/>
  <c r="DK144" i="252"/>
  <c r="DD144" i="252"/>
  <c r="DI144" i="252" s="1"/>
  <c r="DH144" i="252" s="1"/>
  <c r="DA144" i="252"/>
  <c r="CU144" i="252"/>
  <c r="CS144" i="252"/>
  <c r="CQ144" i="252"/>
  <c r="CK144" i="252"/>
  <c r="CI144" i="252"/>
  <c r="CO144" i="252"/>
  <c r="CN144" i="252" s="1"/>
  <c r="CG144" i="252"/>
  <c r="CE144" i="252"/>
  <c r="CD144" i="252" s="1"/>
  <c r="CA144" i="252"/>
  <c r="BW144" i="252"/>
  <c r="ED144" i="252"/>
  <c r="BQ144" i="252"/>
  <c r="BO144" i="252"/>
  <c r="BU144" i="252"/>
  <c r="BT144" i="252" s="1"/>
  <c r="BM144" i="252"/>
  <c r="BG144" i="252"/>
  <c r="BE144" i="252"/>
  <c r="BC144" i="252"/>
  <c r="AW144" i="252"/>
  <c r="AU144" i="252"/>
  <c r="BA144" i="252"/>
  <c r="AZ144" i="252" s="1"/>
  <c r="AS144" i="252"/>
  <c r="AQ144" i="252"/>
  <c r="AP144" i="252" s="1"/>
  <c r="AM144" i="252"/>
  <c r="AK144" i="252"/>
  <c r="AI144" i="252"/>
  <c r="AC144" i="252"/>
  <c r="AA144" i="252"/>
  <c r="Y144" i="252"/>
  <c r="EV144" i="252"/>
  <c r="EK144" i="252"/>
  <c r="S144" i="252"/>
  <c r="EU144" i="252"/>
  <c r="EW144" i="252" s="1"/>
  <c r="Q144" i="252"/>
  <c r="W144" i="252"/>
  <c r="V144" i="252" s="1"/>
  <c r="O144" i="252"/>
  <c r="DX143" i="252"/>
  <c r="DU143" i="252"/>
  <c r="DK143" i="252"/>
  <c r="DN143" i="252"/>
  <c r="DD143" i="252"/>
  <c r="DI143" i="252"/>
  <c r="DH143" i="252" s="1"/>
  <c r="DA143" i="252"/>
  <c r="CU143" i="252"/>
  <c r="CS143" i="252"/>
  <c r="CQ143" i="252"/>
  <c r="CK143" i="252"/>
  <c r="CI143" i="252"/>
  <c r="CO143" i="252"/>
  <c r="CN143" i="252" s="1"/>
  <c r="CG143" i="252"/>
  <c r="CA143" i="252"/>
  <c r="BY143" i="252"/>
  <c r="BW143" i="252"/>
  <c r="ED143" i="252"/>
  <c r="BQ143" i="252"/>
  <c r="BO143" i="252"/>
  <c r="BU143" i="252"/>
  <c r="BT143" i="252" s="1"/>
  <c r="BM143" i="252"/>
  <c r="BG143" i="252"/>
  <c r="BE143" i="252"/>
  <c r="BC143" i="252"/>
  <c r="BA143" i="252"/>
  <c r="AZ143" i="252" s="1"/>
  <c r="AW143" i="252"/>
  <c r="AU143" i="252"/>
  <c r="AS143" i="252"/>
  <c r="AQ143" i="252"/>
  <c r="AP143" i="252" s="1"/>
  <c r="AM143" i="252"/>
  <c r="AK143" i="252"/>
  <c r="AI143" i="252"/>
  <c r="AC143" i="252"/>
  <c r="AA143" i="252"/>
  <c r="Y143" i="252"/>
  <c r="EV143" i="252"/>
  <c r="EK143" i="252"/>
  <c r="S143" i="252"/>
  <c r="EU143" i="252"/>
  <c r="EW143" i="252" s="1"/>
  <c r="Q143" i="252"/>
  <c r="W143" i="252"/>
  <c r="V143" i="252" s="1"/>
  <c r="O143" i="252"/>
  <c r="DX142" i="252"/>
  <c r="DV168" i="252"/>
  <c r="DU142" i="252"/>
  <c r="DT168" i="252"/>
  <c r="DY168" i="252" s="1"/>
  <c r="DS142" i="252"/>
  <c r="DN142" i="252"/>
  <c r="DK142" i="252"/>
  <c r="DJ168" i="252"/>
  <c r="DD142" i="252"/>
  <c r="DA142" i="252"/>
  <c r="CZ168" i="252"/>
  <c r="DE168" i="252" s="1"/>
  <c r="CV168" i="252"/>
  <c r="CS142" i="252"/>
  <c r="CQ142" i="252"/>
  <c r="CL168" i="252"/>
  <c r="CK142" i="252"/>
  <c r="CI142" i="252"/>
  <c r="CH168" i="252"/>
  <c r="CG168" i="252" s="1"/>
  <c r="CG142" i="252"/>
  <c r="CF168" i="252"/>
  <c r="CE142" i="252"/>
  <c r="CA142" i="252"/>
  <c r="BY142" i="252"/>
  <c r="BW142" i="252"/>
  <c r="BV168" i="252"/>
  <c r="BU142" i="252"/>
  <c r="BT142" i="252"/>
  <c r="BQ142" i="252"/>
  <c r="BP168" i="252"/>
  <c r="BO168" i="252" s="1"/>
  <c r="BO142" i="252"/>
  <c r="BN168" i="252"/>
  <c r="BM142" i="252"/>
  <c r="BL168" i="252"/>
  <c r="BH168" i="252"/>
  <c r="BE142" i="252"/>
  <c r="BD168" i="252"/>
  <c r="AX168" i="252"/>
  <c r="AW142" i="252"/>
  <c r="AV168" i="252"/>
  <c r="AU142" i="252"/>
  <c r="AT168" i="252"/>
  <c r="AS142" i="252"/>
  <c r="AQ142" i="252"/>
  <c r="AP142" i="252" s="1"/>
  <c r="AN168" i="252"/>
  <c r="AM142" i="252"/>
  <c r="AL168" i="252"/>
  <c r="AK168" i="252" s="1"/>
  <c r="AK142" i="252"/>
  <c r="AI142" i="252"/>
  <c r="AH168" i="252"/>
  <c r="AD168" i="252"/>
  <c r="AA142" i="252"/>
  <c r="Y142" i="252"/>
  <c r="X168" i="252"/>
  <c r="T168" i="252"/>
  <c r="S168" i="252" s="1"/>
  <c r="S142" i="252"/>
  <c r="EU142" i="252"/>
  <c r="Q142" i="252"/>
  <c r="P168" i="252"/>
  <c r="O168" i="252" s="1"/>
  <c r="O142" i="252"/>
  <c r="N168" i="252"/>
  <c r="ES141" i="252"/>
  <c r="DX141" i="252"/>
  <c r="DU141" i="252"/>
  <c r="DK141" i="252"/>
  <c r="DN141" i="252"/>
  <c r="DD141" i="252"/>
  <c r="DA141" i="252"/>
  <c r="CQ141" i="252"/>
  <c r="EV141" i="252"/>
  <c r="ES140" i="252"/>
  <c r="DX140" i="252"/>
  <c r="DU140" i="252"/>
  <c r="DK140" i="252"/>
  <c r="DN140" i="252"/>
  <c r="DD140" i="252"/>
  <c r="DA140" i="252"/>
  <c r="CQ140" i="252"/>
  <c r="EV140" i="252"/>
  <c r="EV139" i="252"/>
  <c r="ES139" i="252"/>
  <c r="CT139" i="252"/>
  <c r="EU139" i="252" s="1"/>
  <c r="EW139" i="252" s="1"/>
  <c r="CQ139" i="252"/>
  <c r="DX138" i="252"/>
  <c r="EC138" i="252" s="1"/>
  <c r="EB138" i="252" s="1"/>
  <c r="DU138" i="252"/>
  <c r="DN138" i="252"/>
  <c r="DS138" i="252"/>
  <c r="DR138" i="252" s="1"/>
  <c r="DK138" i="252"/>
  <c r="DD138" i="252"/>
  <c r="DA138" i="252"/>
  <c r="CU138" i="252"/>
  <c r="CS138" i="252"/>
  <c r="CY138" i="252"/>
  <c r="CX138" i="252" s="1"/>
  <c r="CQ138" i="252"/>
  <c r="CK138" i="252"/>
  <c r="CI138" i="252"/>
  <c r="CG138" i="252"/>
  <c r="CA138" i="252"/>
  <c r="BY138" i="252"/>
  <c r="CE138" i="252"/>
  <c r="CD138" i="252" s="1"/>
  <c r="BW138" i="252"/>
  <c r="BQ138" i="252"/>
  <c r="BO138" i="252"/>
  <c r="BM138" i="252"/>
  <c r="BG138" i="252"/>
  <c r="BK138" i="252"/>
  <c r="BJ138" i="252" s="1"/>
  <c r="BE138" i="252"/>
  <c r="BC138" i="252"/>
  <c r="BA138" i="252"/>
  <c r="AZ138" i="252" s="1"/>
  <c r="AW138" i="252"/>
  <c r="AU138" i="252"/>
  <c r="AS138" i="252"/>
  <c r="AM138" i="252"/>
  <c r="AK138" i="252"/>
  <c r="AQ138" i="252"/>
  <c r="AP138" i="252" s="1"/>
  <c r="AC138" i="252"/>
  <c r="AA138" i="252"/>
  <c r="AG138" i="252"/>
  <c r="AF138" i="252" s="1"/>
  <c r="Y138" i="252"/>
  <c r="S138" i="252"/>
  <c r="EI138" i="252"/>
  <c r="EG138" i="252"/>
  <c r="EV138" i="252"/>
  <c r="ES137" i="252"/>
  <c r="CQ137" i="252"/>
  <c r="CT137" i="252"/>
  <c r="EU137" i="252" s="1"/>
  <c r="EV136" i="252"/>
  <c r="ES136" i="252"/>
  <c r="CT136" i="252"/>
  <c r="EU136" i="252" s="1"/>
  <c r="EW136" i="252" s="1"/>
  <c r="CQ136" i="252"/>
  <c r="DZ135" i="252"/>
  <c r="DP135" i="252"/>
  <c r="DF135" i="252"/>
  <c r="CV135" i="252"/>
  <c r="CL135" i="252"/>
  <c r="CK135" i="252" s="1"/>
  <c r="CJ135" i="252"/>
  <c r="CH135" i="252"/>
  <c r="BR135" i="252"/>
  <c r="BQ135" i="252" s="1"/>
  <c r="BP135" i="252"/>
  <c r="BO135" i="252" s="1"/>
  <c r="BL135" i="252"/>
  <c r="AX135" i="252"/>
  <c r="AW135" i="252" s="1"/>
  <c r="AT135" i="252"/>
  <c r="AS135" i="252" s="1"/>
  <c r="AR135" i="252"/>
  <c r="R135" i="252"/>
  <c r="P135" i="252"/>
  <c r="O135" i="252" s="1"/>
  <c r="N135" i="252"/>
  <c r="C135" i="252"/>
  <c r="DX134" i="252"/>
  <c r="EC134" i="252"/>
  <c r="EB134" i="252" s="1"/>
  <c r="DU134" i="252"/>
  <c r="DN134" i="252"/>
  <c r="DS134" i="252" s="1"/>
  <c r="DR134" i="252" s="1"/>
  <c r="DK134" i="252"/>
  <c r="DD134" i="252"/>
  <c r="DI134" i="252"/>
  <c r="DH134" i="252" s="1"/>
  <c r="DA134" i="252"/>
  <c r="CU134" i="252"/>
  <c r="CS134" i="252"/>
  <c r="CQ134" i="252"/>
  <c r="CK134" i="252"/>
  <c r="CI134" i="252"/>
  <c r="CO134" i="252"/>
  <c r="CG134" i="252"/>
  <c r="CA134" i="252"/>
  <c r="BY134" i="252"/>
  <c r="EG134" i="252"/>
  <c r="BQ134" i="252"/>
  <c r="BO134" i="252"/>
  <c r="BU134" i="252"/>
  <c r="BT134" i="252" s="1"/>
  <c r="BM134" i="252"/>
  <c r="BK134" i="252"/>
  <c r="BJ134" i="252" s="1"/>
  <c r="BG134" i="252"/>
  <c r="BE134" i="252"/>
  <c r="BC134" i="252"/>
  <c r="BA134" i="252"/>
  <c r="AZ134" i="252"/>
  <c r="AW134" i="252"/>
  <c r="AU134" i="252"/>
  <c r="AS134" i="252"/>
  <c r="AQ134" i="252"/>
  <c r="AP134" i="252" s="1"/>
  <c r="AM134" i="252"/>
  <c r="AK134" i="252"/>
  <c r="AI134" i="252"/>
  <c r="AC134" i="252"/>
  <c r="AA134" i="252"/>
  <c r="Y134" i="252"/>
  <c r="EV134" i="252"/>
  <c r="EK134" i="252"/>
  <c r="S134" i="252"/>
  <c r="EU134" i="252"/>
  <c r="EW134" i="252" s="1"/>
  <c r="Q134" i="252"/>
  <c r="W134" i="252"/>
  <c r="O134" i="252"/>
  <c r="DX133" i="252"/>
  <c r="DV135" i="252"/>
  <c r="DU133" i="252"/>
  <c r="DT135" i="252"/>
  <c r="DJ135" i="252"/>
  <c r="DD133" i="252"/>
  <c r="DB135" i="252"/>
  <c r="DA133" i="252"/>
  <c r="CZ135" i="252"/>
  <c r="CY133" i="252"/>
  <c r="CX133" i="252" s="1"/>
  <c r="CU133" i="252"/>
  <c r="CT135" i="252"/>
  <c r="CR135" i="252"/>
  <c r="CP135" i="252"/>
  <c r="CO133" i="252"/>
  <c r="CN133" i="252"/>
  <c r="CK133" i="252"/>
  <c r="CI133" i="252"/>
  <c r="CG133" i="252"/>
  <c r="CF135" i="252"/>
  <c r="CB135" i="252"/>
  <c r="BZ135" i="252"/>
  <c r="BY135" i="252" s="1"/>
  <c r="BX135" i="252"/>
  <c r="BW135" i="252" s="1"/>
  <c r="BV135" i="252"/>
  <c r="BQ133" i="252"/>
  <c r="BO133" i="252"/>
  <c r="BN135" i="252"/>
  <c r="BM135" i="252" s="1"/>
  <c r="BM133" i="252"/>
  <c r="BH135" i="252"/>
  <c r="BF135" i="252"/>
  <c r="BD135" i="252"/>
  <c r="BB135" i="252"/>
  <c r="AW133" i="252"/>
  <c r="AV135" i="252"/>
  <c r="AU135" i="252" s="1"/>
  <c r="AU133" i="252"/>
  <c r="BA133" i="252"/>
  <c r="AS133" i="252"/>
  <c r="AO135" i="252"/>
  <c r="AN135" i="252"/>
  <c r="AM133" i="252"/>
  <c r="AL135" i="252"/>
  <c r="AK135" i="252" s="1"/>
  <c r="AK133" i="252"/>
  <c r="AJ135" i="252"/>
  <c r="AI135" i="252" s="1"/>
  <c r="AI133" i="252"/>
  <c r="AH135" i="252"/>
  <c r="AG133" i="252"/>
  <c r="AD135" i="252"/>
  <c r="AB135" i="252"/>
  <c r="Z135" i="252"/>
  <c r="W133" i="252"/>
  <c r="V133" i="252"/>
  <c r="T135" i="252"/>
  <c r="S135" i="252" s="1"/>
  <c r="S133" i="252"/>
  <c r="EU133" i="252"/>
  <c r="Q133" i="252"/>
  <c r="O133" i="252"/>
  <c r="G135" i="252"/>
  <c r="EV132" i="252"/>
  <c r="EW132" i="252" s="1"/>
  <c r="EU132" i="252"/>
  <c r="ES132" i="252"/>
  <c r="EV131" i="252"/>
  <c r="EU131" i="252"/>
  <c r="EW131" i="252" s="1"/>
  <c r="ES131" i="252"/>
  <c r="DZ130" i="252"/>
  <c r="DP130" i="252"/>
  <c r="DF130" i="252"/>
  <c r="CT130" i="252"/>
  <c r="CS130" i="252" s="1"/>
  <c r="CP130" i="252"/>
  <c r="BZ130" i="252"/>
  <c r="BY130" i="252" s="1"/>
  <c r="BV130" i="252"/>
  <c r="BF130" i="252"/>
  <c r="BE130" i="252" s="1"/>
  <c r="BB130" i="252"/>
  <c r="AX130" i="252"/>
  <c r="AO130" i="252"/>
  <c r="G130" i="252"/>
  <c r="C130" i="252"/>
  <c r="ES129" i="252"/>
  <c r="DX129" i="252"/>
  <c r="DU129" i="252"/>
  <c r="DN129" i="252"/>
  <c r="DK129" i="252"/>
  <c r="DD129" i="252"/>
  <c r="DA129" i="252"/>
  <c r="CU129" i="252"/>
  <c r="CS129" i="252"/>
  <c r="CY129" i="252"/>
  <c r="CX129" i="252" s="1"/>
  <c r="CQ129" i="252"/>
  <c r="CK129" i="252"/>
  <c r="CI129" i="252"/>
  <c r="CG129" i="252"/>
  <c r="CD129" i="252"/>
  <c r="CA129" i="252"/>
  <c r="BY129" i="252"/>
  <c r="CE129" i="252"/>
  <c r="BW129" i="252"/>
  <c r="BU129" i="252"/>
  <c r="BQ129" i="252"/>
  <c r="BO129" i="252"/>
  <c r="BK129" i="252"/>
  <c r="BJ129" i="252"/>
  <c r="BG129" i="252"/>
  <c r="BE129" i="252"/>
  <c r="BC129" i="252"/>
  <c r="AW129" i="252"/>
  <c r="AU129" i="252"/>
  <c r="AM129" i="252"/>
  <c r="AC129" i="252"/>
  <c r="AG129" i="252"/>
  <c r="AF129" i="252" s="1"/>
  <c r="AA129" i="252"/>
  <c r="Y129" i="252"/>
  <c r="EV129" i="252"/>
  <c r="EV128" i="252"/>
  <c r="EU128" i="252"/>
  <c r="EW128" i="252" s="1"/>
  <c r="ES128" i="252"/>
  <c r="DX128" i="252"/>
  <c r="DU128" i="252"/>
  <c r="DD128" i="252"/>
  <c r="DA128" i="252"/>
  <c r="EK127" i="252"/>
  <c r="DX127" i="252"/>
  <c r="DU127" i="252"/>
  <c r="DN127" i="252"/>
  <c r="DK127" i="252"/>
  <c r="DD127" i="252"/>
  <c r="DA127" i="252"/>
  <c r="CU127" i="252"/>
  <c r="CY127" i="252"/>
  <c r="CX127" i="252" s="1"/>
  <c r="CS127" i="252"/>
  <c r="CQ127" i="252"/>
  <c r="CK127" i="252"/>
  <c r="CI127" i="252"/>
  <c r="CG127" i="252"/>
  <c r="CD127" i="252"/>
  <c r="CA127" i="252"/>
  <c r="BY127" i="252"/>
  <c r="CE127" i="252"/>
  <c r="BW127" i="252"/>
  <c r="BU127" i="252"/>
  <c r="BT127" i="252" s="1"/>
  <c r="BQ127" i="252"/>
  <c r="BM127" i="252"/>
  <c r="BK127" i="252"/>
  <c r="BJ127" i="252"/>
  <c r="BG127" i="252"/>
  <c r="BE127" i="252"/>
  <c r="BC127" i="252"/>
  <c r="BA127" i="252"/>
  <c r="AZ127" i="252" s="1"/>
  <c r="AW127" i="252"/>
  <c r="AU127" i="252"/>
  <c r="AS127" i="252"/>
  <c r="AQ127" i="252"/>
  <c r="AP127" i="252" s="1"/>
  <c r="AM127" i="252"/>
  <c r="AK127" i="252"/>
  <c r="AI127" i="252"/>
  <c r="AC127" i="252"/>
  <c r="AA127" i="252"/>
  <c r="Z130" i="252"/>
  <c r="S127" i="252"/>
  <c r="Q127" i="252"/>
  <c r="O127" i="252"/>
  <c r="ED127" i="252"/>
  <c r="EK126" i="252"/>
  <c r="DU126" i="252"/>
  <c r="DX126" i="252"/>
  <c r="DN126" i="252"/>
  <c r="DK126" i="252"/>
  <c r="DD126" i="252"/>
  <c r="DD130" i="252" s="1"/>
  <c r="CU126" i="252"/>
  <c r="CY126" i="252"/>
  <c r="CX126" i="252" s="1"/>
  <c r="CS126" i="252"/>
  <c r="CQ126" i="252"/>
  <c r="CK126" i="252"/>
  <c r="CI126" i="252"/>
  <c r="CA126" i="252"/>
  <c r="BY126" i="252"/>
  <c r="CE126" i="252"/>
  <c r="CD126" i="252" s="1"/>
  <c r="BW126" i="252"/>
  <c r="BU126" i="252"/>
  <c r="BT126" i="252" s="1"/>
  <c r="BP130" i="252"/>
  <c r="BO130" i="252" s="1"/>
  <c r="BG126" i="252"/>
  <c r="BK126" i="252"/>
  <c r="BJ126" i="252" s="1"/>
  <c r="BE126" i="252"/>
  <c r="BC126" i="252"/>
  <c r="AW126" i="252"/>
  <c r="AU126" i="252"/>
  <c r="AQ126" i="252"/>
  <c r="AP126" i="252"/>
  <c r="AG126" i="252"/>
  <c r="AF126" i="252"/>
  <c r="AC126" i="252"/>
  <c r="AA126" i="252"/>
  <c r="Y126" i="252"/>
  <c r="EK125" i="252"/>
  <c r="DX125" i="252"/>
  <c r="EC125" i="252" s="1"/>
  <c r="EB125" i="252" s="1"/>
  <c r="DN125" i="252"/>
  <c r="DS125" i="252"/>
  <c r="DR125" i="252" s="1"/>
  <c r="DK125" i="252"/>
  <c r="DD125" i="252"/>
  <c r="DA125" i="252"/>
  <c r="CX125" i="252"/>
  <c r="CU125" i="252"/>
  <c r="CS125" i="252"/>
  <c r="CY125" i="252"/>
  <c r="CQ125" i="252"/>
  <c r="CK125" i="252"/>
  <c r="CI125" i="252"/>
  <c r="CA125" i="252"/>
  <c r="CE125" i="252"/>
  <c r="CD125" i="252" s="1"/>
  <c r="BY125" i="252"/>
  <c r="BW125" i="252"/>
  <c r="BQ125" i="252"/>
  <c r="BO125" i="252"/>
  <c r="BJ125" i="252"/>
  <c r="BG125" i="252"/>
  <c r="BE125" i="252"/>
  <c r="BK125" i="252"/>
  <c r="BC125" i="252"/>
  <c r="AW125" i="252"/>
  <c r="AU125" i="252"/>
  <c r="AM125" i="252"/>
  <c r="AK125" i="252"/>
  <c r="AF125" i="252"/>
  <c r="AC125" i="252"/>
  <c r="AA125" i="252"/>
  <c r="AG125" i="252"/>
  <c r="Y125" i="252"/>
  <c r="W125" i="252"/>
  <c r="V125" i="252" s="1"/>
  <c r="EU125" i="252"/>
  <c r="EK124" i="252"/>
  <c r="DX124" i="252"/>
  <c r="DN124" i="252"/>
  <c r="DS124" i="252" s="1"/>
  <c r="DR124" i="252" s="1"/>
  <c r="DK124" i="252"/>
  <c r="DA124" i="252"/>
  <c r="DD124" i="252"/>
  <c r="CU124" i="252"/>
  <c r="CS124" i="252"/>
  <c r="CY124" i="252"/>
  <c r="CX124" i="252" s="1"/>
  <c r="CQ124" i="252"/>
  <c r="CK124" i="252"/>
  <c r="CI124" i="252"/>
  <c r="CG124" i="252"/>
  <c r="CE124" i="252"/>
  <c r="CD124" i="252"/>
  <c r="CA124" i="252"/>
  <c r="BY124" i="252"/>
  <c r="BW124" i="252"/>
  <c r="BQ124" i="252"/>
  <c r="BO124" i="252"/>
  <c r="BJ124" i="252"/>
  <c r="BG124" i="252"/>
  <c r="BE124" i="252"/>
  <c r="BK124" i="252"/>
  <c r="BC124" i="252"/>
  <c r="BA124" i="252"/>
  <c r="AZ124" i="252" s="1"/>
  <c r="AW124" i="252"/>
  <c r="AS124" i="252"/>
  <c r="AM124" i="252"/>
  <c r="AK124" i="252"/>
  <c r="AC124" i="252"/>
  <c r="AA124" i="252"/>
  <c r="AG124" i="252"/>
  <c r="AF124" i="252" s="1"/>
  <c r="Y124" i="252"/>
  <c r="S124" i="252"/>
  <c r="EU123" i="252"/>
  <c r="EK123" i="252"/>
  <c r="DX123" i="252"/>
  <c r="EC123" i="252" s="1"/>
  <c r="DN123" i="252"/>
  <c r="DL130" i="252"/>
  <c r="DK123" i="252"/>
  <c r="DI123" i="252"/>
  <c r="DD123" i="252"/>
  <c r="CV130" i="252"/>
  <c r="CU123" i="252"/>
  <c r="CS123" i="252"/>
  <c r="CR130" i="252"/>
  <c r="CQ130" i="252" s="1"/>
  <c r="CQ123" i="252"/>
  <c r="CO123" i="252"/>
  <c r="CL130" i="252"/>
  <c r="CJ130" i="252"/>
  <c r="CB130" i="252"/>
  <c r="CA123" i="252"/>
  <c r="CE123" i="252"/>
  <c r="BY123" i="252"/>
  <c r="BX130" i="252"/>
  <c r="BW130" i="252" s="1"/>
  <c r="BW123" i="252"/>
  <c r="BO123" i="252"/>
  <c r="BL130" i="252"/>
  <c r="BH130" i="252"/>
  <c r="BG123" i="252"/>
  <c r="BE123" i="252"/>
  <c r="BD130" i="252"/>
  <c r="BC130" i="252" s="1"/>
  <c r="BC123" i="252"/>
  <c r="BA123" i="252"/>
  <c r="AW123" i="252"/>
  <c r="AL130" i="252"/>
  <c r="AD130" i="252"/>
  <c r="AC123" i="252"/>
  <c r="AB130" i="252"/>
  <c r="AA123" i="252"/>
  <c r="AG123" i="252"/>
  <c r="Y123" i="252"/>
  <c r="X130" i="252"/>
  <c r="T130" i="252"/>
  <c r="EU122" i="252"/>
  <c r="ES122" i="252"/>
  <c r="CQ122" i="252"/>
  <c r="CT122" i="252"/>
  <c r="EV121" i="252"/>
  <c r="EU121" i="252"/>
  <c r="ES121" i="252"/>
  <c r="EV120" i="252"/>
  <c r="EU120" i="252"/>
  <c r="ES120" i="252"/>
  <c r="DZ119" i="252"/>
  <c r="DP119" i="252"/>
  <c r="DO119" i="252" s="1"/>
  <c r="DL119" i="252"/>
  <c r="DF119" i="252"/>
  <c r="CT119" i="252"/>
  <c r="CP119" i="252"/>
  <c r="CB119" i="252"/>
  <c r="BX119" i="252"/>
  <c r="BF119" i="252"/>
  <c r="BE119" i="252" s="1"/>
  <c r="BB119" i="252"/>
  <c r="AO119" i="252"/>
  <c r="AB119" i="252"/>
  <c r="X119" i="252"/>
  <c r="C119" i="252"/>
  <c r="EC118" i="252"/>
  <c r="EB118" i="252" s="1"/>
  <c r="DX118" i="252"/>
  <c r="DU118" i="252"/>
  <c r="DN118" i="252"/>
  <c r="DK118" i="252"/>
  <c r="DD118" i="252"/>
  <c r="CY118" i="252"/>
  <c r="CX118" i="252"/>
  <c r="CU118" i="252"/>
  <c r="CS118" i="252"/>
  <c r="CQ118" i="252"/>
  <c r="CK118" i="252"/>
  <c r="CI118" i="252"/>
  <c r="CA118" i="252"/>
  <c r="BY118" i="252"/>
  <c r="CE118" i="252"/>
  <c r="CD118" i="252" s="1"/>
  <c r="BW118" i="252"/>
  <c r="BQ118" i="252"/>
  <c r="BM118" i="252"/>
  <c r="BG118" i="252"/>
  <c r="BK118" i="252"/>
  <c r="BJ118" i="252" s="1"/>
  <c r="BE118" i="252"/>
  <c r="BC118" i="252"/>
  <c r="AW118" i="252"/>
  <c r="AU118" i="252"/>
  <c r="AG118" i="252"/>
  <c r="AF118" i="252"/>
  <c r="AC118" i="252"/>
  <c r="AA118" i="252"/>
  <c r="Y118" i="252"/>
  <c r="DX117" i="252"/>
  <c r="DU117" i="252"/>
  <c r="DN117" i="252"/>
  <c r="DK117" i="252"/>
  <c r="DA117" i="252"/>
  <c r="DD117" i="252"/>
  <c r="CU117" i="252"/>
  <c r="CS117" i="252"/>
  <c r="CY117" i="252"/>
  <c r="CX117" i="252" s="1"/>
  <c r="CQ117" i="252"/>
  <c r="CE117" i="252"/>
  <c r="CD117" i="252"/>
  <c r="CA117" i="252"/>
  <c r="BY117" i="252"/>
  <c r="BW117" i="252"/>
  <c r="BQ117" i="252"/>
  <c r="BO117" i="252"/>
  <c r="BG117" i="252"/>
  <c r="BE117" i="252"/>
  <c r="BK117" i="252"/>
  <c r="BJ117" i="252" s="1"/>
  <c r="BC117" i="252"/>
  <c r="AW117" i="252"/>
  <c r="AU117" i="252"/>
  <c r="AS117" i="252"/>
  <c r="AF117" i="252"/>
  <c r="AC117" i="252"/>
  <c r="AA117" i="252"/>
  <c r="AG117" i="252"/>
  <c r="Y117" i="252"/>
  <c r="EK116" i="252"/>
  <c r="DX116" i="252"/>
  <c r="DN116" i="252"/>
  <c r="DK116" i="252"/>
  <c r="DD116" i="252"/>
  <c r="DA116" i="252"/>
  <c r="CU116" i="252"/>
  <c r="CS116" i="252"/>
  <c r="CY116" i="252"/>
  <c r="CX116" i="252" s="1"/>
  <c r="CQ116" i="252"/>
  <c r="CK116" i="252"/>
  <c r="CI116" i="252"/>
  <c r="CG116" i="252"/>
  <c r="CA116" i="252"/>
  <c r="BY116" i="252"/>
  <c r="CE116" i="252"/>
  <c r="CD116" i="252" s="1"/>
  <c r="BW116" i="252"/>
  <c r="BU116" i="252"/>
  <c r="BT116" i="252" s="1"/>
  <c r="BJ116" i="252"/>
  <c r="BG116" i="252"/>
  <c r="BE116" i="252"/>
  <c r="BK116" i="252"/>
  <c r="BK119" i="252" s="1"/>
  <c r="BJ119" i="252" s="1"/>
  <c r="BC116" i="252"/>
  <c r="BA116" i="252"/>
  <c r="AZ116" i="252" s="1"/>
  <c r="AW116" i="252"/>
  <c r="AS116" i="252"/>
  <c r="AM116" i="252"/>
  <c r="AK116" i="252"/>
  <c r="AC116" i="252"/>
  <c r="AA116" i="252"/>
  <c r="AG116" i="252"/>
  <c r="AF116" i="252" s="1"/>
  <c r="Y116" i="252"/>
  <c r="S116" i="252"/>
  <c r="DX115" i="252"/>
  <c r="EC115" i="252"/>
  <c r="DT119" i="252"/>
  <c r="DY119" i="252" s="1"/>
  <c r="DN115" i="252"/>
  <c r="DN119" i="252" s="1"/>
  <c r="DK115" i="252"/>
  <c r="DJ119" i="252"/>
  <c r="DI115" i="252"/>
  <c r="DD115" i="252"/>
  <c r="DD119" i="252" s="1"/>
  <c r="DC119" i="252" s="1"/>
  <c r="CZ119" i="252"/>
  <c r="DE119" i="252" s="1"/>
  <c r="CV119" i="252"/>
  <c r="CU115" i="252"/>
  <c r="CS115" i="252"/>
  <c r="CR119" i="252"/>
  <c r="CQ115" i="252"/>
  <c r="CO115" i="252"/>
  <c r="CA115" i="252"/>
  <c r="BZ119" i="252"/>
  <c r="BY115" i="252"/>
  <c r="BW115" i="252"/>
  <c r="BV119" i="252"/>
  <c r="BK115" i="252"/>
  <c r="BJ115" i="252"/>
  <c r="BH119" i="252"/>
  <c r="BG119" i="252" s="1"/>
  <c r="BG115" i="252"/>
  <c r="BE115" i="252"/>
  <c r="BD119" i="252"/>
  <c r="BC115" i="252"/>
  <c r="BA115" i="252"/>
  <c r="EK115" i="252"/>
  <c r="AR119" i="252"/>
  <c r="EU115" i="252"/>
  <c r="AD119" i="252"/>
  <c r="AC115" i="252"/>
  <c r="AA115" i="252"/>
  <c r="Z119" i="252"/>
  <c r="Y119" i="252" s="1"/>
  <c r="Y115" i="252"/>
  <c r="W115" i="252"/>
  <c r="S115" i="252"/>
  <c r="G119" i="252"/>
  <c r="ES114" i="252"/>
  <c r="CQ114" i="252"/>
  <c r="EV114" i="252"/>
  <c r="ES113" i="252"/>
  <c r="EV113" i="252"/>
  <c r="EA112" i="252"/>
  <c r="DZ112" i="252"/>
  <c r="DQ112" i="252"/>
  <c r="DP112" i="252"/>
  <c r="DG112" i="252"/>
  <c r="DF112" i="252"/>
  <c r="CM112" i="252"/>
  <c r="CM170" i="252" s="1"/>
  <c r="CM216" i="252" s="1"/>
  <c r="CC112" i="252"/>
  <c r="BS112" i="252"/>
  <c r="BI112" i="252"/>
  <c r="BI170" i="252" s="1"/>
  <c r="BI216" i="252" s="1"/>
  <c r="AY112" i="252"/>
  <c r="AE112" i="252"/>
  <c r="AE170" i="252" s="1"/>
  <c r="AE216" i="252" s="1"/>
  <c r="C112" i="252"/>
  <c r="DX111" i="252"/>
  <c r="DU111" i="252"/>
  <c r="DN111" i="252"/>
  <c r="DK111" i="252"/>
  <c r="DA111" i="252"/>
  <c r="DD111" i="252"/>
  <c r="DI111" i="252" s="1"/>
  <c r="DH111" i="252" s="1"/>
  <c r="CW112" i="252"/>
  <c r="CU111" i="252"/>
  <c r="CS111" i="252"/>
  <c r="CY111" i="252"/>
  <c r="CX111" i="252" s="1"/>
  <c r="CK111" i="252"/>
  <c r="CI111" i="252"/>
  <c r="CG111" i="252"/>
  <c r="CA111" i="252"/>
  <c r="BY111" i="252"/>
  <c r="CE111" i="252"/>
  <c r="CD111" i="252" s="1"/>
  <c r="BQ111" i="252"/>
  <c r="BO111" i="252"/>
  <c r="BK111" i="252"/>
  <c r="BJ111" i="252" s="1"/>
  <c r="BE111" i="252"/>
  <c r="BG111" i="252"/>
  <c r="BA111" i="252"/>
  <c r="AZ111" i="252" s="1"/>
  <c r="AU111" i="252"/>
  <c r="AS111" i="252"/>
  <c r="AM111" i="252"/>
  <c r="AK111" i="252"/>
  <c r="AQ111" i="252"/>
  <c r="AP111" i="252" s="1"/>
  <c r="AC111" i="252"/>
  <c r="EI111" i="252"/>
  <c r="Y111" i="252"/>
  <c r="EK111" i="252"/>
  <c r="S111" i="252"/>
  <c r="Q111" i="252"/>
  <c r="EG111" i="252"/>
  <c r="EV111" i="252"/>
  <c r="DX110" i="252"/>
  <c r="DU110" i="252"/>
  <c r="DN110" i="252"/>
  <c r="DK110" i="252"/>
  <c r="DD110" i="252"/>
  <c r="CY110" i="252"/>
  <c r="CX110" i="252" s="1"/>
  <c r="CS110" i="252"/>
  <c r="CQ110" i="252"/>
  <c r="CK110" i="252"/>
  <c r="CI110" i="252"/>
  <c r="CG110" i="252"/>
  <c r="CE110" i="252"/>
  <c r="CD110" i="252" s="1"/>
  <c r="CA110" i="252"/>
  <c r="BY110" i="252"/>
  <c r="BW110" i="252"/>
  <c r="BQ110" i="252"/>
  <c r="EU110" i="252"/>
  <c r="BM110" i="252"/>
  <c r="BG110" i="252"/>
  <c r="BE110" i="252"/>
  <c r="BC110" i="252"/>
  <c r="AW110" i="252"/>
  <c r="AU110" i="252"/>
  <c r="AS110" i="252"/>
  <c r="AQ110" i="252"/>
  <c r="AP110" i="252" s="1"/>
  <c r="AK110" i="252"/>
  <c r="AM110" i="252"/>
  <c r="AG110" i="252"/>
  <c r="AF110" i="252" s="1"/>
  <c r="AA110" i="252"/>
  <c r="Y110" i="252"/>
  <c r="EK110" i="252"/>
  <c r="EG110" i="252"/>
  <c r="ED110" i="252"/>
  <c r="DX109" i="252"/>
  <c r="DU109" i="252"/>
  <c r="DN109" i="252"/>
  <c r="DK109" i="252"/>
  <c r="DD109" i="252"/>
  <c r="DA109" i="252"/>
  <c r="CU109" i="252"/>
  <c r="CS109" i="252"/>
  <c r="CQ109" i="252"/>
  <c r="EK109" i="252"/>
  <c r="CI109" i="252"/>
  <c r="CO109" i="252"/>
  <c r="CN109" i="252" s="1"/>
  <c r="CG109" i="252"/>
  <c r="CA109" i="252"/>
  <c r="BY109" i="252"/>
  <c r="BW109" i="252"/>
  <c r="BU109" i="252"/>
  <c r="BT109" i="252" s="1"/>
  <c r="BQ109" i="252"/>
  <c r="BK109" i="252"/>
  <c r="BJ109" i="252" s="1"/>
  <c r="BE109" i="252"/>
  <c r="BC109" i="252"/>
  <c r="EV109" i="252"/>
  <c r="AW109" i="252"/>
  <c r="AU109" i="252"/>
  <c r="AS109" i="252"/>
  <c r="AM109" i="252"/>
  <c r="AK109" i="252"/>
  <c r="AI109" i="252"/>
  <c r="AC109" i="252"/>
  <c r="AA109" i="252"/>
  <c r="EG109" i="252"/>
  <c r="S109" i="252"/>
  <c r="O109" i="252"/>
  <c r="ED109" i="252"/>
  <c r="DX108" i="252"/>
  <c r="EC108" i="252"/>
  <c r="EB108" i="252" s="1"/>
  <c r="DU108" i="252"/>
  <c r="DN108" i="252"/>
  <c r="DK108" i="252"/>
  <c r="DD108" i="252"/>
  <c r="CY108" i="252"/>
  <c r="CX108" i="252" s="1"/>
  <c r="CS108" i="252"/>
  <c r="CQ108" i="252"/>
  <c r="CK108" i="252"/>
  <c r="CI108" i="252"/>
  <c r="CG108" i="252"/>
  <c r="CA108" i="252"/>
  <c r="BY108" i="252"/>
  <c r="BW108" i="252"/>
  <c r="EU108" i="252"/>
  <c r="BM108" i="252"/>
  <c r="BQ108" i="252"/>
  <c r="BG108" i="252"/>
  <c r="BE108" i="252"/>
  <c r="BC108" i="252"/>
  <c r="AW108" i="252"/>
  <c r="AU108" i="252"/>
  <c r="BA108" i="252"/>
  <c r="AZ108" i="252" s="1"/>
  <c r="AS108" i="252"/>
  <c r="AK108" i="252"/>
  <c r="AM108" i="252"/>
  <c r="AG108" i="252"/>
  <c r="AF108" i="252" s="1"/>
  <c r="AC108" i="252"/>
  <c r="AA108" i="252"/>
  <c r="Y108" i="252"/>
  <c r="EK108" i="252"/>
  <c r="EI108" i="252"/>
  <c r="EH108" i="252" s="1"/>
  <c r="EG108" i="252"/>
  <c r="ED108" i="252"/>
  <c r="DX107" i="252"/>
  <c r="EC107" i="252"/>
  <c r="EB107" i="252" s="1"/>
  <c r="DU107" i="252"/>
  <c r="DN107" i="252"/>
  <c r="DK107" i="252"/>
  <c r="DD107" i="252"/>
  <c r="DA107" i="252"/>
  <c r="CU107" i="252"/>
  <c r="CS107" i="252"/>
  <c r="CQ107" i="252"/>
  <c r="CI107" i="252"/>
  <c r="CG107" i="252"/>
  <c r="CK107" i="252"/>
  <c r="CA107" i="252"/>
  <c r="BY107" i="252"/>
  <c r="BW107" i="252"/>
  <c r="EK107" i="252"/>
  <c r="BO107" i="252"/>
  <c r="BM107" i="252"/>
  <c r="BG107" i="252"/>
  <c r="BE107" i="252"/>
  <c r="BC107" i="252"/>
  <c r="BA107" i="252"/>
  <c r="AZ107" i="252" s="1"/>
  <c r="AU107" i="252"/>
  <c r="AW107" i="252"/>
  <c r="AM107" i="252"/>
  <c r="AK107" i="252"/>
  <c r="AQ107" i="252"/>
  <c r="AP107" i="252" s="1"/>
  <c r="AC107" i="252"/>
  <c r="AA107" i="252"/>
  <c r="Y107" i="252"/>
  <c r="EV107" i="252"/>
  <c r="O107" i="252"/>
  <c r="ED107" i="252"/>
  <c r="EC106" i="252"/>
  <c r="EB106" i="252" s="1"/>
  <c r="DX106" i="252"/>
  <c r="DS106" i="252"/>
  <c r="DR106" i="252" s="1"/>
  <c r="DN106" i="252"/>
  <c r="DK106" i="252"/>
  <c r="DD106" i="252"/>
  <c r="DI106" i="252" s="1"/>
  <c r="DH106" i="252" s="1"/>
  <c r="DA106" i="252"/>
  <c r="CU106" i="252"/>
  <c r="CS106" i="252"/>
  <c r="CQ106" i="252"/>
  <c r="CO106" i="252"/>
  <c r="CN106" i="252" s="1"/>
  <c r="CI106" i="252"/>
  <c r="CK106" i="252"/>
  <c r="CE106" i="252"/>
  <c r="CD106" i="252" s="1"/>
  <c r="CA106" i="252"/>
  <c r="BY106" i="252"/>
  <c r="BW106" i="252"/>
  <c r="BQ106" i="252"/>
  <c r="BO106" i="252"/>
  <c r="BM106" i="252"/>
  <c r="BG106" i="252"/>
  <c r="BE106" i="252"/>
  <c r="BC106" i="252"/>
  <c r="EU106" i="252"/>
  <c r="AS106" i="252"/>
  <c r="AW106" i="252"/>
  <c r="AM106" i="252"/>
  <c r="AK106" i="252"/>
  <c r="AQ106" i="252"/>
  <c r="AP106" i="252" s="1"/>
  <c r="AC106" i="252"/>
  <c r="AA106" i="252"/>
  <c r="Y106" i="252"/>
  <c r="W106" i="252"/>
  <c r="V106" i="252" s="1"/>
  <c r="EG106" i="252"/>
  <c r="ED106" i="252"/>
  <c r="DX105" i="252"/>
  <c r="EC105" i="252" s="1"/>
  <c r="EB105" i="252" s="1"/>
  <c r="DU105" i="252"/>
  <c r="DN105" i="252"/>
  <c r="DK105" i="252"/>
  <c r="DD105" i="252"/>
  <c r="DA105" i="252"/>
  <c r="CY105" i="252"/>
  <c r="CX105" i="252" s="1"/>
  <c r="CU105" i="252"/>
  <c r="CS105" i="252"/>
  <c r="CQ105" i="252"/>
  <c r="CI105" i="252"/>
  <c r="CG105" i="252"/>
  <c r="CK105" i="252"/>
  <c r="CA105" i="252"/>
  <c r="BY105" i="252"/>
  <c r="BW105" i="252"/>
  <c r="EK105" i="252"/>
  <c r="BO105" i="252"/>
  <c r="BU105" i="252"/>
  <c r="BT105" i="252" s="1"/>
  <c r="BM105" i="252"/>
  <c r="BG105" i="252"/>
  <c r="BE105" i="252"/>
  <c r="BC105" i="252"/>
  <c r="BA105" i="252"/>
  <c r="AZ105" i="252" s="1"/>
  <c r="AW105" i="252"/>
  <c r="AM105" i="252"/>
  <c r="AK105" i="252"/>
  <c r="AQ105" i="252"/>
  <c r="AP105" i="252" s="1"/>
  <c r="AG105" i="252"/>
  <c r="AF105" i="252" s="1"/>
  <c r="AC105" i="252"/>
  <c r="AA105" i="252"/>
  <c r="Y105" i="252"/>
  <c r="EV105" i="252"/>
  <c r="EI105" i="252"/>
  <c r="O105" i="252"/>
  <c r="ED105" i="252"/>
  <c r="DX104" i="252"/>
  <c r="EC104" i="252"/>
  <c r="EB104" i="252" s="1"/>
  <c r="DU104" i="252"/>
  <c r="DN104" i="252"/>
  <c r="DS104" i="252" s="1"/>
  <c r="DR104" i="252" s="1"/>
  <c r="DK104" i="252"/>
  <c r="DD104" i="252"/>
  <c r="DI104" i="252" s="1"/>
  <c r="DH104" i="252" s="1"/>
  <c r="DA104" i="252"/>
  <c r="CU104" i="252"/>
  <c r="CS104" i="252"/>
  <c r="CQ104" i="252"/>
  <c r="CO104" i="252"/>
  <c r="CN104" i="252" s="1"/>
  <c r="CK104" i="252"/>
  <c r="CE104" i="252"/>
  <c r="CD104" i="252" s="1"/>
  <c r="BY104" i="252"/>
  <c r="BW104" i="252"/>
  <c r="BQ104" i="252"/>
  <c r="BO104" i="252"/>
  <c r="BM104" i="252"/>
  <c r="BK104" i="252"/>
  <c r="BJ104" i="252" s="1"/>
  <c r="BG104" i="252"/>
  <c r="BE104" i="252"/>
  <c r="BC104" i="252"/>
  <c r="EU104" i="252"/>
  <c r="AS104" i="252"/>
  <c r="AW104" i="252"/>
  <c r="AM104" i="252"/>
  <c r="AK104" i="252"/>
  <c r="AI104" i="252"/>
  <c r="AC104" i="252"/>
  <c r="AA104" i="252"/>
  <c r="Y104" i="252"/>
  <c r="W104" i="252"/>
  <c r="V104" i="252" s="1"/>
  <c r="EI104" i="252"/>
  <c r="EG104" i="252"/>
  <c r="ED104" i="252"/>
  <c r="DX103" i="252"/>
  <c r="EC103" i="252" s="1"/>
  <c r="EB103" i="252" s="1"/>
  <c r="DU103" i="252"/>
  <c r="DN103" i="252"/>
  <c r="DK103" i="252"/>
  <c r="DD103" i="252"/>
  <c r="DA103" i="252"/>
  <c r="CY103" i="252"/>
  <c r="CX103" i="252" s="1"/>
  <c r="CU103" i="252"/>
  <c r="CS103" i="252"/>
  <c r="CQ103" i="252"/>
  <c r="CI103" i="252"/>
  <c r="CG103" i="252"/>
  <c r="CK103" i="252"/>
  <c r="CA103" i="252"/>
  <c r="BY103" i="252"/>
  <c r="BW103" i="252"/>
  <c r="EK103" i="252"/>
  <c r="BO103" i="252"/>
  <c r="BU103" i="252"/>
  <c r="BT103" i="252" s="1"/>
  <c r="BM103" i="252"/>
  <c r="BG103" i="252"/>
  <c r="BE103" i="252"/>
  <c r="BC103" i="252"/>
  <c r="BA103" i="252"/>
  <c r="AZ103" i="252" s="1"/>
  <c r="AW103" i="252"/>
  <c r="AM103" i="252"/>
  <c r="AK103" i="252"/>
  <c r="AQ103" i="252"/>
  <c r="AP103" i="252" s="1"/>
  <c r="AG103" i="252"/>
  <c r="AF103" i="252" s="1"/>
  <c r="AC103" i="252"/>
  <c r="AA103" i="252"/>
  <c r="Y103" i="252"/>
  <c r="EV103" i="252"/>
  <c r="EI103" i="252"/>
  <c r="O103" i="252"/>
  <c r="ED103" i="252"/>
  <c r="DX102" i="252"/>
  <c r="DU102" i="252"/>
  <c r="DN102" i="252"/>
  <c r="DS102" i="252" s="1"/>
  <c r="DR102" i="252" s="1"/>
  <c r="DK102" i="252"/>
  <c r="DD102" i="252"/>
  <c r="DI102" i="252" s="1"/>
  <c r="DH102" i="252" s="1"/>
  <c r="DA102" i="252"/>
  <c r="CU102" i="252"/>
  <c r="CS102" i="252"/>
  <c r="CQ102" i="252"/>
  <c r="CO102" i="252"/>
  <c r="CN102" i="252" s="1"/>
  <c r="CK102" i="252"/>
  <c r="CE102" i="252"/>
  <c r="CD102" i="252" s="1"/>
  <c r="BY102" i="252"/>
  <c r="BW102" i="252"/>
  <c r="BQ102" i="252"/>
  <c r="BO102" i="252"/>
  <c r="BM102" i="252"/>
  <c r="BK102" i="252"/>
  <c r="BJ102" i="252" s="1"/>
  <c r="BG102" i="252"/>
  <c r="BE102" i="252"/>
  <c r="BC102" i="252"/>
  <c r="EU102" i="252"/>
  <c r="AS102" i="252"/>
  <c r="AW102" i="252"/>
  <c r="AM102" i="252"/>
  <c r="AK102" i="252"/>
  <c r="AQ102" i="252"/>
  <c r="AP102" i="252" s="1"/>
  <c r="AC102" i="252"/>
  <c r="AA102" i="252"/>
  <c r="Y102" i="252"/>
  <c r="W102" i="252"/>
  <c r="V102" i="252" s="1"/>
  <c r="EI102" i="252"/>
  <c r="EH102" i="252" s="1"/>
  <c r="EG102" i="252"/>
  <c r="ED102" i="252"/>
  <c r="DX101" i="252"/>
  <c r="EC101" i="252" s="1"/>
  <c r="EB101" i="252" s="1"/>
  <c r="DU101" i="252"/>
  <c r="DN101" i="252"/>
  <c r="DK101" i="252"/>
  <c r="DD101" i="252"/>
  <c r="DA101" i="252"/>
  <c r="CY101" i="252"/>
  <c r="CX101" i="252" s="1"/>
  <c r="CU101" i="252"/>
  <c r="CS101" i="252"/>
  <c r="CQ101" i="252"/>
  <c r="CI101" i="252"/>
  <c r="CG101" i="252"/>
  <c r="CK101" i="252"/>
  <c r="CA101" i="252"/>
  <c r="BY101" i="252"/>
  <c r="BW101" i="252"/>
  <c r="EK101" i="252"/>
  <c r="BO101" i="252"/>
  <c r="BM101" i="252"/>
  <c r="BG101" i="252"/>
  <c r="BE101" i="252"/>
  <c r="BC101" i="252"/>
  <c r="BA101" i="252"/>
  <c r="AZ101" i="252" s="1"/>
  <c r="AU101" i="252"/>
  <c r="AW101" i="252"/>
  <c r="AM101" i="252"/>
  <c r="AK101" i="252"/>
  <c r="AQ101" i="252"/>
  <c r="AP101" i="252" s="1"/>
  <c r="AG101" i="252"/>
  <c r="AF101" i="252" s="1"/>
  <c r="AC101" i="252"/>
  <c r="AA101" i="252"/>
  <c r="Y101" i="252"/>
  <c r="EV101" i="252"/>
  <c r="O101" i="252"/>
  <c r="ED101" i="252"/>
  <c r="EC100" i="252"/>
  <c r="EB100" i="252" s="1"/>
  <c r="DX100" i="252"/>
  <c r="DN100" i="252"/>
  <c r="DS100" i="252" s="1"/>
  <c r="DR100" i="252" s="1"/>
  <c r="DK100" i="252"/>
  <c r="DD100" i="252"/>
  <c r="DI100" i="252" s="1"/>
  <c r="DH100" i="252" s="1"/>
  <c r="DA100" i="252"/>
  <c r="CU100" i="252"/>
  <c r="CS100" i="252"/>
  <c r="CQ100" i="252"/>
  <c r="CO100" i="252"/>
  <c r="CN100" i="252" s="1"/>
  <c r="CI100" i="252"/>
  <c r="CK100" i="252"/>
  <c r="CE100" i="252"/>
  <c r="CD100" i="252" s="1"/>
  <c r="BY100" i="252"/>
  <c r="BW100" i="252"/>
  <c r="BQ100" i="252"/>
  <c r="BO100" i="252"/>
  <c r="BM100" i="252"/>
  <c r="BK100" i="252"/>
  <c r="BJ100" i="252" s="1"/>
  <c r="BG100" i="252"/>
  <c r="BE100" i="252"/>
  <c r="BC100" i="252"/>
  <c r="EU100" i="252"/>
  <c r="AS100" i="252"/>
  <c r="AW100" i="252"/>
  <c r="AM100" i="252"/>
  <c r="AK100" i="252"/>
  <c r="AQ100" i="252"/>
  <c r="AP100" i="252" s="1"/>
  <c r="AC100" i="252"/>
  <c r="AA100" i="252"/>
  <c r="Y100" i="252"/>
  <c r="W100" i="252"/>
  <c r="V100" i="252" s="1"/>
  <c r="EG100" i="252"/>
  <c r="ED100" i="252"/>
  <c r="DX99" i="252"/>
  <c r="EC99" i="252" s="1"/>
  <c r="EB99" i="252" s="1"/>
  <c r="DU99" i="252"/>
  <c r="DN99" i="252"/>
  <c r="DK99" i="252"/>
  <c r="DD99" i="252"/>
  <c r="DA99" i="252"/>
  <c r="CY99" i="252"/>
  <c r="CX99" i="252" s="1"/>
  <c r="CU99" i="252"/>
  <c r="CS99" i="252"/>
  <c r="CQ99" i="252"/>
  <c r="CI99" i="252"/>
  <c r="CG99" i="252"/>
  <c r="CK99" i="252"/>
  <c r="CA99" i="252"/>
  <c r="BY99" i="252"/>
  <c r="BW99" i="252"/>
  <c r="BQ99" i="252"/>
  <c r="BO99" i="252"/>
  <c r="BM99" i="252"/>
  <c r="EK99" i="252"/>
  <c r="BE99" i="252"/>
  <c r="BC99" i="252"/>
  <c r="BA99" i="252"/>
  <c r="AZ99" i="252"/>
  <c r="AU99" i="252"/>
  <c r="AW99" i="252"/>
  <c r="AQ99" i="252"/>
  <c r="AP99" i="252" s="1"/>
  <c r="AM99" i="252"/>
  <c r="AK99" i="252"/>
  <c r="AI99" i="252"/>
  <c r="AC99" i="252"/>
  <c r="AA99" i="252"/>
  <c r="EV99" i="252"/>
  <c r="Q99" i="252"/>
  <c r="O99" i="252"/>
  <c r="ED99" i="252"/>
  <c r="DX98" i="252"/>
  <c r="EC98" i="252"/>
  <c r="EB98" i="252" s="1"/>
  <c r="DU98" i="252"/>
  <c r="DS98" i="252"/>
  <c r="DR98" i="252" s="1"/>
  <c r="DN98" i="252"/>
  <c r="DK98" i="252"/>
  <c r="DD98" i="252"/>
  <c r="DI98" i="252" s="1"/>
  <c r="DH98" i="252" s="1"/>
  <c r="DA98" i="252"/>
  <c r="CU98" i="252"/>
  <c r="CS98" i="252"/>
  <c r="CQ98" i="252"/>
  <c r="CO98" i="252"/>
  <c r="CN98" i="252"/>
  <c r="CK98" i="252"/>
  <c r="CE98" i="252"/>
  <c r="BY98" i="252"/>
  <c r="BW98" i="252"/>
  <c r="BQ98" i="252"/>
  <c r="BO98" i="252"/>
  <c r="BU98" i="252"/>
  <c r="BT98" i="252" s="1"/>
  <c r="BM98" i="252"/>
  <c r="BG98" i="252"/>
  <c r="BE98" i="252"/>
  <c r="EU98" i="252"/>
  <c r="AU98" i="252"/>
  <c r="AS98" i="252"/>
  <c r="AW98" i="252"/>
  <c r="AQ98" i="252"/>
  <c r="AP98" i="252" s="1"/>
  <c r="AM98" i="252"/>
  <c r="AK98" i="252"/>
  <c r="AI98" i="252"/>
  <c r="AA98" i="252"/>
  <c r="Y98" i="252"/>
  <c r="W98" i="252"/>
  <c r="V98" i="252"/>
  <c r="EI98" i="252"/>
  <c r="EG98" i="252"/>
  <c r="S98" i="252"/>
  <c r="DX97" i="252"/>
  <c r="EC97" i="252" s="1"/>
  <c r="EB97" i="252" s="1"/>
  <c r="DU97" i="252"/>
  <c r="DN97" i="252"/>
  <c r="DD97" i="252"/>
  <c r="EI97" i="252" s="1"/>
  <c r="EH97" i="252" s="1"/>
  <c r="DA97" i="252"/>
  <c r="CU97" i="252"/>
  <c r="CS97" i="252"/>
  <c r="CO97" i="252"/>
  <c r="CN97" i="252" s="1"/>
  <c r="CI97" i="252"/>
  <c r="CG97" i="252"/>
  <c r="CK97" i="252"/>
  <c r="CA97" i="252"/>
  <c r="BY97" i="252"/>
  <c r="BW97" i="252"/>
  <c r="BQ97" i="252"/>
  <c r="BO97" i="252"/>
  <c r="BU97" i="252"/>
  <c r="BT97" i="252" s="1"/>
  <c r="BM97" i="252"/>
  <c r="BE97" i="252"/>
  <c r="BC97" i="252"/>
  <c r="BA97" i="252"/>
  <c r="AZ97" i="252"/>
  <c r="AW97" i="252"/>
  <c r="AQ97" i="252"/>
  <c r="AP97" i="252" s="1"/>
  <c r="AM97" i="252"/>
  <c r="AK97" i="252"/>
  <c r="AI97" i="252"/>
  <c r="AC97" i="252"/>
  <c r="AA97" i="252"/>
  <c r="EV97" i="252"/>
  <c r="EU97" i="252"/>
  <c r="EW97" i="252" s="1"/>
  <c r="Q97" i="252"/>
  <c r="O97" i="252"/>
  <c r="ED97" i="252"/>
  <c r="DX96" i="252"/>
  <c r="DX112" i="252" s="1"/>
  <c r="DW112" i="252" s="1"/>
  <c r="DT112" i="252"/>
  <c r="DY112" i="252" s="1"/>
  <c r="DS96" i="252"/>
  <c r="DN96" i="252"/>
  <c r="DK96" i="252"/>
  <c r="DD96" i="252"/>
  <c r="DA96" i="252"/>
  <c r="CZ112" i="252"/>
  <c r="DE112" i="252" s="1"/>
  <c r="CT112" i="252"/>
  <c r="CR112" i="252"/>
  <c r="CO96" i="252"/>
  <c r="CN96" i="252"/>
  <c r="CJ112" i="252"/>
  <c r="CI112" i="252" s="1"/>
  <c r="CF112" i="252"/>
  <c r="CE96" i="252"/>
  <c r="CB112" i="252"/>
  <c r="BY96" i="252"/>
  <c r="ED96" i="252"/>
  <c r="BQ96" i="252"/>
  <c r="BO96" i="252"/>
  <c r="BN112" i="252"/>
  <c r="BM112" i="252" s="1"/>
  <c r="BM96" i="252"/>
  <c r="BL112" i="252"/>
  <c r="BG96" i="252"/>
  <c r="BE96" i="252"/>
  <c r="BB112" i="252"/>
  <c r="EU96" i="252"/>
  <c r="AU96" i="252"/>
  <c r="AT112" i="252"/>
  <c r="AS96" i="252"/>
  <c r="AW96" i="252"/>
  <c r="AO112" i="252"/>
  <c r="AN112" i="252"/>
  <c r="AM96" i="252"/>
  <c r="AL112" i="252"/>
  <c r="AK112" i="252" s="1"/>
  <c r="AK96" i="252"/>
  <c r="AJ112" i="252"/>
  <c r="AI96" i="252"/>
  <c r="AH112" i="252"/>
  <c r="AB112" i="252"/>
  <c r="Z112" i="252"/>
  <c r="Y112" i="252" s="1"/>
  <c r="X112" i="252"/>
  <c r="W96" i="252"/>
  <c r="V96" i="252"/>
  <c r="T112" i="252"/>
  <c r="R112" i="252"/>
  <c r="P112" i="252"/>
  <c r="S96" i="252"/>
  <c r="G112" i="252"/>
  <c r="EV95" i="252"/>
  <c r="EU95" i="252"/>
  <c r="EW95" i="252" s="1"/>
  <c r="ES95" i="252"/>
  <c r="DX95" i="252"/>
  <c r="DU95" i="252"/>
  <c r="DN95" i="252"/>
  <c r="DK95" i="252"/>
  <c r="DD95" i="252"/>
  <c r="DA95" i="252"/>
  <c r="EW94" i="252"/>
  <c r="EV94" i="252"/>
  <c r="EU94" i="252"/>
  <c r="ES94" i="252"/>
  <c r="DX94" i="252"/>
  <c r="DU94" i="252"/>
  <c r="DN94" i="252"/>
  <c r="DK94" i="252"/>
  <c r="DD94" i="252"/>
  <c r="DA94" i="252"/>
  <c r="DZ93" i="252"/>
  <c r="DQ93" i="252"/>
  <c r="DP93" i="252"/>
  <c r="DG93" i="252"/>
  <c r="DF93" i="252"/>
  <c r="CW93" i="252"/>
  <c r="CP93" i="252"/>
  <c r="BX93" i="252"/>
  <c r="BF93" i="252"/>
  <c r="AO93" i="252"/>
  <c r="C93" i="252"/>
  <c r="EC92" i="252"/>
  <c r="EB92" i="252" s="1"/>
  <c r="DX92" i="252"/>
  <c r="DU92" i="252"/>
  <c r="DN92" i="252"/>
  <c r="DS92" i="252" s="1"/>
  <c r="DR92" i="252" s="1"/>
  <c r="DK92" i="252"/>
  <c r="DD92" i="252"/>
  <c r="DA92" i="252"/>
  <c r="CU92" i="252"/>
  <c r="CS92" i="252"/>
  <c r="CQ92" i="252"/>
  <c r="CK92" i="252"/>
  <c r="CI92" i="252"/>
  <c r="CG92" i="252"/>
  <c r="CE92" i="252"/>
  <c r="BU92" i="252"/>
  <c r="BT92" i="252" s="1"/>
  <c r="BM92" i="252"/>
  <c r="BG92" i="252"/>
  <c r="BE92" i="252"/>
  <c r="BK92" i="252"/>
  <c r="BJ92" i="252" s="1"/>
  <c r="AW92" i="252"/>
  <c r="AU92" i="252"/>
  <c r="AM92" i="252"/>
  <c r="AK92" i="252"/>
  <c r="AC92" i="252"/>
  <c r="AA92" i="252"/>
  <c r="Y92" i="252"/>
  <c r="DX91" i="252"/>
  <c r="DN91" i="252"/>
  <c r="DS91" i="252"/>
  <c r="DR91" i="252" s="1"/>
  <c r="DA91" i="252"/>
  <c r="DD91" i="252"/>
  <c r="DI91" i="252" s="1"/>
  <c r="DH91" i="252" s="1"/>
  <c r="CU91" i="252"/>
  <c r="CS91" i="252"/>
  <c r="CY91" i="252"/>
  <c r="CX91" i="252" s="1"/>
  <c r="CQ91" i="252"/>
  <c r="CK91" i="252"/>
  <c r="CI91" i="252"/>
  <c r="CE91" i="252"/>
  <c r="CD91" i="252" s="1"/>
  <c r="BW91" i="252"/>
  <c r="CA91" i="252"/>
  <c r="BQ91" i="252"/>
  <c r="BM91" i="252"/>
  <c r="BG91" i="252"/>
  <c r="BE91" i="252"/>
  <c r="BK91" i="252"/>
  <c r="BJ91" i="252" s="1"/>
  <c r="BC91" i="252"/>
  <c r="AW91" i="252"/>
  <c r="AS91" i="252"/>
  <c r="AQ91" i="252"/>
  <c r="AP91" i="252" s="1"/>
  <c r="AM91" i="252"/>
  <c r="AI91" i="252"/>
  <c r="AH93" i="252"/>
  <c r="AC91" i="252"/>
  <c r="AA91" i="252"/>
  <c r="AG91" i="252"/>
  <c r="AF91" i="252" s="1"/>
  <c r="S91" i="252"/>
  <c r="Q91" i="252"/>
  <c r="EV91" i="252"/>
  <c r="EC90" i="252"/>
  <c r="EB90" i="252" s="1"/>
  <c r="DX90" i="252"/>
  <c r="DU90" i="252"/>
  <c r="DN90" i="252"/>
  <c r="DS90" i="252" s="1"/>
  <c r="DR90" i="252" s="1"/>
  <c r="DK90" i="252"/>
  <c r="DD90" i="252"/>
  <c r="DA90" i="252"/>
  <c r="CU90" i="252"/>
  <c r="CS90" i="252"/>
  <c r="CQ90" i="252"/>
  <c r="CI90" i="252"/>
  <c r="CG90" i="252"/>
  <c r="CE90" i="252"/>
  <c r="CD90" i="252" s="1"/>
  <c r="BU90" i="252"/>
  <c r="BT90" i="252" s="1"/>
  <c r="BQ90" i="252"/>
  <c r="BM90" i="252"/>
  <c r="ED90" i="252"/>
  <c r="BG90" i="252"/>
  <c r="BE90" i="252"/>
  <c r="BK90" i="252"/>
  <c r="BJ90" i="252" s="1"/>
  <c r="AW90" i="252"/>
  <c r="AU90" i="252"/>
  <c r="AM90" i="252"/>
  <c r="AK90" i="252"/>
  <c r="AQ90" i="252"/>
  <c r="AP90" i="252" s="1"/>
  <c r="AC90" i="252"/>
  <c r="AA90" i="252"/>
  <c r="Y90" i="252"/>
  <c r="EI90" i="252"/>
  <c r="DX89" i="252"/>
  <c r="DN89" i="252"/>
  <c r="DS89" i="252"/>
  <c r="DR89" i="252" s="1"/>
  <c r="DA89" i="252"/>
  <c r="DD89" i="252"/>
  <c r="DI89" i="252" s="1"/>
  <c r="DH89" i="252" s="1"/>
  <c r="CU89" i="252"/>
  <c r="CS89" i="252"/>
  <c r="CY89" i="252"/>
  <c r="CX89" i="252" s="1"/>
  <c r="CQ89" i="252"/>
  <c r="CK89" i="252"/>
  <c r="CI89" i="252"/>
  <c r="CE89" i="252"/>
  <c r="CD89" i="252" s="1"/>
  <c r="BW89" i="252"/>
  <c r="CA89" i="252"/>
  <c r="BS93" i="252"/>
  <c r="BU89" i="252"/>
  <c r="BT89" i="252" s="1"/>
  <c r="BO89" i="252"/>
  <c r="BM89" i="252"/>
  <c r="BG89" i="252"/>
  <c r="BE89" i="252"/>
  <c r="BC89" i="252"/>
  <c r="BA89" i="252"/>
  <c r="AZ89" i="252" s="1"/>
  <c r="AQ89" i="252"/>
  <c r="AP89" i="252" s="1"/>
  <c r="AM89" i="252"/>
  <c r="AK89" i="252"/>
  <c r="AI89" i="252"/>
  <c r="AG89" i="252"/>
  <c r="X93" i="252"/>
  <c r="O89" i="252"/>
  <c r="EU88" i="252"/>
  <c r="DN88" i="252"/>
  <c r="DN93" i="252" s="1"/>
  <c r="DM93" i="252" s="1"/>
  <c r="DJ93" i="252"/>
  <c r="DO93" i="252" s="1"/>
  <c r="DD88" i="252"/>
  <c r="DD93" i="252" s="1"/>
  <c r="DC93" i="252" s="1"/>
  <c r="DB93" i="252"/>
  <c r="DA88" i="252"/>
  <c r="CZ93" i="252"/>
  <c r="DE93" i="252" s="1"/>
  <c r="CR93" i="252"/>
  <c r="CQ93" i="252" s="1"/>
  <c r="CO88" i="252"/>
  <c r="CN88" i="252"/>
  <c r="CJ93" i="252"/>
  <c r="CH93" i="252"/>
  <c r="CE88" i="252"/>
  <c r="BZ93" i="252"/>
  <c r="BW88" i="252"/>
  <c r="BQ88" i="252"/>
  <c r="BO88" i="252"/>
  <c r="BM88" i="252"/>
  <c r="BB93" i="252"/>
  <c r="AU88" i="252"/>
  <c r="AS88" i="252"/>
  <c r="AR93" i="252"/>
  <c r="AN93" i="252"/>
  <c r="AK88" i="252"/>
  <c r="Y88" i="252"/>
  <c r="W88" i="252"/>
  <c r="V88" i="252" s="1"/>
  <c r="S88" i="252"/>
  <c r="EV87" i="252"/>
  <c r="EU87" i="252"/>
  <c r="ES87" i="252"/>
  <c r="DX87" i="252"/>
  <c r="DU87" i="252"/>
  <c r="DN87" i="252"/>
  <c r="DK87" i="252"/>
  <c r="DD87" i="252"/>
  <c r="DA87" i="252"/>
  <c r="EW86" i="252"/>
  <c r="EV86" i="252"/>
  <c r="EU86" i="252"/>
  <c r="ES86" i="252"/>
  <c r="DX86" i="252"/>
  <c r="DU86" i="252"/>
  <c r="DN86" i="252"/>
  <c r="DK86" i="252"/>
  <c r="DD86" i="252"/>
  <c r="DA86" i="252"/>
  <c r="DZ85" i="252"/>
  <c r="DP85" i="252"/>
  <c r="DF85" i="252"/>
  <c r="CC85" i="252"/>
  <c r="CC170" i="252" s="1"/>
  <c r="CC216" i="252" s="1"/>
  <c r="BS85" i="252"/>
  <c r="C85" i="252"/>
  <c r="DX84" i="252"/>
  <c r="EC84" i="252"/>
  <c r="EB84" i="252" s="1"/>
  <c r="DU84" i="252"/>
  <c r="DD84" i="252"/>
  <c r="DA84" i="252"/>
  <c r="CY84" i="252"/>
  <c r="CX84" i="252" s="1"/>
  <c r="CS84" i="252"/>
  <c r="CQ84" i="252"/>
  <c r="CO84" i="252"/>
  <c r="CN84" i="252" s="1"/>
  <c r="CI84" i="252"/>
  <c r="CG84" i="252"/>
  <c r="CK84" i="252"/>
  <c r="CA84" i="252"/>
  <c r="BY84" i="252"/>
  <c r="BQ84" i="252"/>
  <c r="BO84" i="252"/>
  <c r="BU84" i="252"/>
  <c r="BT84" i="252" s="1"/>
  <c r="BM84" i="252"/>
  <c r="BG84" i="252"/>
  <c r="BE84" i="252"/>
  <c r="BC84" i="252"/>
  <c r="BA84" i="252"/>
  <c r="AW84" i="252"/>
  <c r="AZ84" i="252"/>
  <c r="AM84" i="252"/>
  <c r="AK84" i="252"/>
  <c r="EG84" i="252"/>
  <c r="AG84" i="252"/>
  <c r="EV84" i="252"/>
  <c r="Q84" i="252"/>
  <c r="O84" i="252"/>
  <c r="DX83" i="252"/>
  <c r="EC83" i="252" s="1"/>
  <c r="EB83" i="252" s="1"/>
  <c r="DU83" i="252"/>
  <c r="DS83" i="252"/>
  <c r="DR83" i="252" s="1"/>
  <c r="DN83" i="252"/>
  <c r="DK83" i="252"/>
  <c r="DD83" i="252"/>
  <c r="CU83" i="252"/>
  <c r="CS83" i="252"/>
  <c r="CQ83" i="252"/>
  <c r="CK83" i="252"/>
  <c r="CI83" i="252"/>
  <c r="CG83" i="252"/>
  <c r="CE83" i="252"/>
  <c r="CD83" i="252"/>
  <c r="BU83" i="252"/>
  <c r="BT83" i="252" s="1"/>
  <c r="BO83" i="252"/>
  <c r="BM83" i="252"/>
  <c r="BG83" i="252"/>
  <c r="BE83" i="252"/>
  <c r="BK83" i="252"/>
  <c r="BJ83" i="252" s="1"/>
  <c r="AS83" i="252"/>
  <c r="ED83" i="252"/>
  <c r="AM83" i="252"/>
  <c r="AK83" i="252"/>
  <c r="AC83" i="252"/>
  <c r="AA83" i="252"/>
  <c r="Y83" i="252"/>
  <c r="S83" i="252"/>
  <c r="DX82" i="252"/>
  <c r="DN82" i="252"/>
  <c r="DS82" i="252"/>
  <c r="DR82" i="252" s="1"/>
  <c r="DI82" i="252"/>
  <c r="DH82" i="252" s="1"/>
  <c r="DA82" i="252"/>
  <c r="DD82" i="252"/>
  <c r="CX82" i="252"/>
  <c r="CU82" i="252"/>
  <c r="CS82" i="252"/>
  <c r="CY82" i="252"/>
  <c r="CQ82" i="252"/>
  <c r="CO82" i="252"/>
  <c r="CN82" i="252" s="1"/>
  <c r="CI82" i="252"/>
  <c r="CG82" i="252"/>
  <c r="CE82" i="252"/>
  <c r="CD82" i="252" s="1"/>
  <c r="BY82" i="252"/>
  <c r="BW82" i="252"/>
  <c r="CA82" i="252"/>
  <c r="BQ82" i="252"/>
  <c r="BO82" i="252"/>
  <c r="BG82" i="252"/>
  <c r="BE82" i="252"/>
  <c r="BK82" i="252"/>
  <c r="BJ82" i="252" s="1"/>
  <c r="BC82" i="252"/>
  <c r="AW82" i="252"/>
  <c r="AU82" i="252"/>
  <c r="AS82" i="252"/>
  <c r="AM82" i="252"/>
  <c r="AI82" i="252"/>
  <c r="AC82" i="252"/>
  <c r="AA82" i="252"/>
  <c r="AG82" i="252"/>
  <c r="AF82" i="252" s="1"/>
  <c r="W82" i="252"/>
  <c r="EC81" i="252"/>
  <c r="EB81" i="252" s="1"/>
  <c r="DX81" i="252"/>
  <c r="DU81" i="252"/>
  <c r="DN81" i="252"/>
  <c r="DS81" i="252" s="1"/>
  <c r="DR81" i="252" s="1"/>
  <c r="DK81" i="252"/>
  <c r="DD81" i="252"/>
  <c r="CU81" i="252"/>
  <c r="CS81" i="252"/>
  <c r="CQ81" i="252"/>
  <c r="CK81" i="252"/>
  <c r="CI81" i="252"/>
  <c r="CG81" i="252"/>
  <c r="CE81" i="252"/>
  <c r="CD81" i="252" s="1"/>
  <c r="EK81" i="252"/>
  <c r="BM81" i="252"/>
  <c r="BG81" i="252"/>
  <c r="BE81" i="252"/>
  <c r="BK81" i="252"/>
  <c r="BJ81" i="252" s="1"/>
  <c r="AW81" i="252"/>
  <c r="AU81" i="252"/>
  <c r="BA81" i="252"/>
  <c r="AZ81" i="252" s="1"/>
  <c r="ED81" i="252"/>
  <c r="AM81" i="252"/>
  <c r="AK81" i="252"/>
  <c r="AC81" i="252"/>
  <c r="AA81" i="252"/>
  <c r="Y81" i="252"/>
  <c r="S81" i="252"/>
  <c r="DX80" i="252"/>
  <c r="DN80" i="252"/>
  <c r="DK80" i="252"/>
  <c r="DD80" i="252"/>
  <c r="DI80" i="252" s="1"/>
  <c r="DH80" i="252" s="1"/>
  <c r="CU80" i="252"/>
  <c r="CS80" i="252"/>
  <c r="CY80" i="252"/>
  <c r="CX80" i="252" s="1"/>
  <c r="CI80" i="252"/>
  <c r="CE80" i="252"/>
  <c r="CD80" i="252" s="1"/>
  <c r="BW80" i="252"/>
  <c r="CA80" i="252"/>
  <c r="BQ80" i="252"/>
  <c r="BO80" i="252"/>
  <c r="BG80" i="252"/>
  <c r="BE80" i="252"/>
  <c r="BK80" i="252"/>
  <c r="BJ80" i="252" s="1"/>
  <c r="BC80" i="252"/>
  <c r="AW80" i="252"/>
  <c r="AU80" i="252"/>
  <c r="AS80" i="252"/>
  <c r="AQ80" i="252"/>
  <c r="AP80" i="252" s="1"/>
  <c r="AK80" i="252"/>
  <c r="AI80" i="252"/>
  <c r="AF80" i="252"/>
  <c r="AC80" i="252"/>
  <c r="AA80" i="252"/>
  <c r="AG80" i="252"/>
  <c r="W80" i="252"/>
  <c r="V80" i="252" s="1"/>
  <c r="Q80" i="252"/>
  <c r="DX79" i="252"/>
  <c r="EC79" i="252" s="1"/>
  <c r="EB79" i="252" s="1"/>
  <c r="DU79" i="252"/>
  <c r="DN79" i="252"/>
  <c r="DK79" i="252"/>
  <c r="DD79" i="252"/>
  <c r="CU79" i="252"/>
  <c r="CS79" i="252"/>
  <c r="CY79" i="252"/>
  <c r="CX79" i="252" s="1"/>
  <c r="CK79" i="252"/>
  <c r="CO79" i="252"/>
  <c r="CN79" i="252" s="1"/>
  <c r="CI79" i="252"/>
  <c r="CE79" i="252"/>
  <c r="CD79" i="252" s="1"/>
  <c r="BW79" i="252"/>
  <c r="CA79" i="252"/>
  <c r="BQ79" i="252"/>
  <c r="BO79" i="252"/>
  <c r="BG79" i="252"/>
  <c r="BE79" i="252"/>
  <c r="BC79" i="252"/>
  <c r="AW79" i="252"/>
  <c r="AU79" i="252"/>
  <c r="AS79" i="252"/>
  <c r="AQ79" i="252"/>
  <c r="AP79" i="252" s="1"/>
  <c r="AK79" i="252"/>
  <c r="AI79" i="252"/>
  <c r="AF79" i="252"/>
  <c r="AC79" i="252"/>
  <c r="AA79" i="252"/>
  <c r="AG79" i="252"/>
  <c r="Y79" i="252"/>
  <c r="EK79" i="252"/>
  <c r="EG79" i="252"/>
  <c r="EV79" i="252"/>
  <c r="DX78" i="252"/>
  <c r="DU78" i="252"/>
  <c r="DN78" i="252"/>
  <c r="DS78" i="252"/>
  <c r="DR78" i="252" s="1"/>
  <c r="DK78" i="252"/>
  <c r="DD78" i="252"/>
  <c r="DA78" i="252"/>
  <c r="CX78" i="252"/>
  <c r="CU78" i="252"/>
  <c r="CY78" i="252"/>
  <c r="CS78" i="252"/>
  <c r="CQ78" i="252"/>
  <c r="CO78" i="252"/>
  <c r="CN78" i="252" s="1"/>
  <c r="CK78" i="252"/>
  <c r="CI78" i="252"/>
  <c r="CG78" i="252"/>
  <c r="CD78" i="252"/>
  <c r="CA78" i="252"/>
  <c r="BY78" i="252"/>
  <c r="CE78" i="252"/>
  <c r="BW78" i="252"/>
  <c r="BQ78" i="252"/>
  <c r="BO78" i="252"/>
  <c r="BM78" i="252"/>
  <c r="BK78" i="252"/>
  <c r="BJ78" i="252" s="1"/>
  <c r="BE78" i="252"/>
  <c r="AW78" i="252"/>
  <c r="AS78" i="252"/>
  <c r="AK78" i="252"/>
  <c r="AF78" i="252"/>
  <c r="AC78" i="252"/>
  <c r="AG78" i="252"/>
  <c r="AA78" i="252"/>
  <c r="Y78" i="252"/>
  <c r="EK78" i="252"/>
  <c r="S78" i="252"/>
  <c r="EC77" i="252"/>
  <c r="EB77" i="252" s="1"/>
  <c r="DX77" i="252"/>
  <c r="DN77" i="252"/>
  <c r="DS77" i="252" s="1"/>
  <c r="DR77" i="252" s="1"/>
  <c r="DK77" i="252"/>
  <c r="DD77" i="252"/>
  <c r="DI77" i="252" s="1"/>
  <c r="DH77" i="252" s="1"/>
  <c r="CY77" i="252"/>
  <c r="CX77" i="252"/>
  <c r="CU77" i="252"/>
  <c r="CS77" i="252"/>
  <c r="CQ77" i="252"/>
  <c r="CK77" i="252"/>
  <c r="CI77" i="252"/>
  <c r="CG77" i="252"/>
  <c r="CD77" i="252"/>
  <c r="CA77" i="252"/>
  <c r="BY77" i="252"/>
  <c r="CE77" i="252"/>
  <c r="BW77" i="252"/>
  <c r="BU77" i="252"/>
  <c r="BT77" i="252" s="1"/>
  <c r="BQ77" i="252"/>
  <c r="BO77" i="252"/>
  <c r="BM77" i="252"/>
  <c r="BJ77" i="252"/>
  <c r="BG77" i="252"/>
  <c r="BK77" i="252"/>
  <c r="BE77" i="252"/>
  <c r="BC77" i="252"/>
  <c r="BA77" i="252"/>
  <c r="AZ77" i="252" s="1"/>
  <c r="AW77" i="252"/>
  <c r="AU77" i="252"/>
  <c r="AS77" i="252"/>
  <c r="AM77" i="252"/>
  <c r="AG77" i="252"/>
  <c r="AF77" i="252" s="1"/>
  <c r="Y77" i="252"/>
  <c r="EK77" i="252"/>
  <c r="W77" i="252"/>
  <c r="V77" i="252" s="1"/>
  <c r="ED77" i="252"/>
  <c r="DX76" i="252"/>
  <c r="EC76" i="252" s="1"/>
  <c r="EB76" i="252" s="1"/>
  <c r="DN76" i="252"/>
  <c r="DK76" i="252"/>
  <c r="DD76" i="252"/>
  <c r="DA76" i="252"/>
  <c r="CX76" i="252"/>
  <c r="CU76" i="252"/>
  <c r="CY76" i="252"/>
  <c r="CS76" i="252"/>
  <c r="CQ76" i="252"/>
  <c r="CK76" i="252"/>
  <c r="CI76" i="252"/>
  <c r="CG76" i="252"/>
  <c r="CA76" i="252"/>
  <c r="BY76" i="252"/>
  <c r="BW76" i="252"/>
  <c r="BU76" i="252"/>
  <c r="BT76" i="252" s="1"/>
  <c r="BQ76" i="252"/>
  <c r="BM76" i="252"/>
  <c r="BK76" i="252"/>
  <c r="BJ76" i="252" s="1"/>
  <c r="BG76" i="252"/>
  <c r="AW76" i="252"/>
  <c r="AS76" i="252"/>
  <c r="AK76" i="252"/>
  <c r="AF76" i="252"/>
  <c r="AC76" i="252"/>
  <c r="AG76" i="252"/>
  <c r="AA76" i="252"/>
  <c r="Y76" i="252"/>
  <c r="S76" i="252"/>
  <c r="DX75" i="252"/>
  <c r="DN75" i="252"/>
  <c r="DS75" i="252" s="1"/>
  <c r="DR75" i="252" s="1"/>
  <c r="DK75" i="252"/>
  <c r="DD75" i="252"/>
  <c r="DI75" i="252" s="1"/>
  <c r="DH75" i="252" s="1"/>
  <c r="CY75" i="252"/>
  <c r="CX75" i="252"/>
  <c r="CU75" i="252"/>
  <c r="CS75" i="252"/>
  <c r="CQ75" i="252"/>
  <c r="CI75" i="252"/>
  <c r="CG75" i="252"/>
  <c r="CD75" i="252"/>
  <c r="CA75" i="252"/>
  <c r="BY75" i="252"/>
  <c r="CE75" i="252"/>
  <c r="BW75" i="252"/>
  <c r="BQ75" i="252"/>
  <c r="BO75" i="252"/>
  <c r="BM75" i="252"/>
  <c r="BJ75" i="252"/>
  <c r="BG75" i="252"/>
  <c r="BK75" i="252"/>
  <c r="BE75" i="252"/>
  <c r="BC75" i="252"/>
  <c r="BA75" i="252"/>
  <c r="AZ75" i="252" s="1"/>
  <c r="AW75" i="252"/>
  <c r="AS75" i="252"/>
  <c r="AM75" i="252"/>
  <c r="AK75" i="252"/>
  <c r="AG75" i="252"/>
  <c r="AF75" i="252" s="1"/>
  <c r="AA75" i="252"/>
  <c r="S75" i="252"/>
  <c r="EG75" i="252"/>
  <c r="EV75" i="252"/>
  <c r="DX74" i="252"/>
  <c r="DU74" i="252"/>
  <c r="DN74" i="252"/>
  <c r="DD74" i="252"/>
  <c r="DA74" i="252"/>
  <c r="CY74" i="252"/>
  <c r="CX74" i="252" s="1"/>
  <c r="CS74" i="252"/>
  <c r="CU74" i="252"/>
  <c r="CK74" i="252"/>
  <c r="CI74" i="252"/>
  <c r="CO74" i="252"/>
  <c r="CN74" i="252" s="1"/>
  <c r="CG74" i="252"/>
  <c r="CD74" i="252"/>
  <c r="CA74" i="252"/>
  <c r="BY74" i="252"/>
  <c r="CE74" i="252"/>
  <c r="BW74" i="252"/>
  <c r="BQ74" i="252"/>
  <c r="BO74" i="252"/>
  <c r="BG74" i="252"/>
  <c r="BK74" i="252"/>
  <c r="BJ74" i="252" s="1"/>
  <c r="BE74" i="252"/>
  <c r="BC74" i="252"/>
  <c r="BA74" i="252"/>
  <c r="AZ74" i="252" s="1"/>
  <c r="AW74" i="252"/>
  <c r="AS74" i="252"/>
  <c r="AK74" i="252"/>
  <c r="AA74" i="252"/>
  <c r="Y74" i="252"/>
  <c r="S74" i="252"/>
  <c r="EG74" i="252"/>
  <c r="O74" i="252"/>
  <c r="DX73" i="252"/>
  <c r="EC73" i="252" s="1"/>
  <c r="EB73" i="252" s="1"/>
  <c r="DU73" i="252"/>
  <c r="DN73" i="252"/>
  <c r="DS73" i="252" s="1"/>
  <c r="DR73" i="252" s="1"/>
  <c r="DK73" i="252"/>
  <c r="DD73" i="252"/>
  <c r="DA73" i="252"/>
  <c r="CY73" i="252"/>
  <c r="CX73" i="252" s="1"/>
  <c r="CS73" i="252"/>
  <c r="CU73" i="252"/>
  <c r="CK73" i="252"/>
  <c r="CI73" i="252"/>
  <c r="CG73" i="252"/>
  <c r="CA73" i="252"/>
  <c r="BY73" i="252"/>
  <c r="BW73" i="252"/>
  <c r="BU73" i="252"/>
  <c r="BT73" i="252" s="1"/>
  <c r="BO73" i="252"/>
  <c r="BG73" i="252"/>
  <c r="BK73" i="252"/>
  <c r="BJ73" i="252" s="1"/>
  <c r="BE73" i="252"/>
  <c r="BC73" i="252"/>
  <c r="BA73" i="252"/>
  <c r="AZ73" i="252" s="1"/>
  <c r="AS73" i="252"/>
  <c r="AW73" i="252"/>
  <c r="AM73" i="252"/>
  <c r="AK73" i="252"/>
  <c r="AG73" i="252"/>
  <c r="AF73" i="252" s="1"/>
  <c r="AA73" i="252"/>
  <c r="AC73" i="252"/>
  <c r="S73" i="252"/>
  <c r="EU73" i="252"/>
  <c r="W73" i="252"/>
  <c r="V73" i="252" s="1"/>
  <c r="O73" i="252"/>
  <c r="EV72" i="252"/>
  <c r="DU72" i="252"/>
  <c r="DX72" i="252"/>
  <c r="EC72" i="252" s="1"/>
  <c r="EB72" i="252" s="1"/>
  <c r="DN72" i="252"/>
  <c r="DK72" i="252"/>
  <c r="DD72" i="252"/>
  <c r="DA72" i="252"/>
  <c r="CY72" i="252"/>
  <c r="CX72" i="252" s="1"/>
  <c r="CQ72" i="252"/>
  <c r="CK72" i="252"/>
  <c r="CI72" i="252"/>
  <c r="CG72" i="252"/>
  <c r="CA72" i="252"/>
  <c r="BY72" i="252"/>
  <c r="CE72" i="252"/>
  <c r="CD72" i="252" s="1"/>
  <c r="BQ72" i="252"/>
  <c r="BO72" i="252"/>
  <c r="BU72" i="252"/>
  <c r="BT72" i="252" s="1"/>
  <c r="BK72" i="252"/>
  <c r="BJ72" i="252" s="1"/>
  <c r="BG72" i="252"/>
  <c r="BE72" i="252"/>
  <c r="BC72" i="252"/>
  <c r="EK72" i="252"/>
  <c r="AU72" i="252"/>
  <c r="AS72" i="252"/>
  <c r="AK72" i="252"/>
  <c r="AI72" i="252"/>
  <c r="AC72" i="252"/>
  <c r="AG72" i="252"/>
  <c r="AF72" i="252" s="1"/>
  <c r="AA72" i="252"/>
  <c r="Y72" i="252"/>
  <c r="W72" i="252"/>
  <c r="V72" i="252" s="1"/>
  <c r="S72" i="252"/>
  <c r="Q72" i="252"/>
  <c r="O72" i="252"/>
  <c r="EC71" i="252"/>
  <c r="EB71" i="252" s="1"/>
  <c r="DX71" i="252"/>
  <c r="DN71" i="252"/>
  <c r="DS71" i="252" s="1"/>
  <c r="DR71" i="252" s="1"/>
  <c r="DK71" i="252"/>
  <c r="DI71" i="252"/>
  <c r="DH71" i="252" s="1"/>
  <c r="DD71" i="252"/>
  <c r="DA71" i="252"/>
  <c r="CU71" i="252"/>
  <c r="CS71" i="252"/>
  <c r="CQ71" i="252"/>
  <c r="CG71" i="252"/>
  <c r="CK71" i="252"/>
  <c r="CA71" i="252"/>
  <c r="BY71" i="252"/>
  <c r="CE71" i="252"/>
  <c r="CD71" i="252" s="1"/>
  <c r="BW71" i="252"/>
  <c r="BU71" i="252"/>
  <c r="BT71" i="252" s="1"/>
  <c r="BQ71" i="252"/>
  <c r="BO71" i="252"/>
  <c r="BM71" i="252"/>
  <c r="BK71" i="252"/>
  <c r="BJ71" i="252" s="1"/>
  <c r="BE71" i="252"/>
  <c r="BC71" i="252"/>
  <c r="BG71" i="252"/>
  <c r="BA71" i="252"/>
  <c r="AZ71" i="252"/>
  <c r="AW71" i="252"/>
  <c r="AU71" i="252"/>
  <c r="AS71" i="252"/>
  <c r="AQ71" i="252"/>
  <c r="AP71" i="252" s="1"/>
  <c r="AM71" i="252"/>
  <c r="AK71" i="252"/>
  <c r="AI71" i="252"/>
  <c r="EK71" i="252"/>
  <c r="AA71" i="252"/>
  <c r="Y71" i="252"/>
  <c r="S71" i="252"/>
  <c r="W71" i="252"/>
  <c r="V71" i="252" s="1"/>
  <c r="Q71" i="252"/>
  <c r="EG71" i="252"/>
  <c r="O71" i="252"/>
  <c r="ED71" i="252"/>
  <c r="J70" i="250" s="1"/>
  <c r="AH71" i="257" s="1"/>
  <c r="DX70" i="252"/>
  <c r="EC70" i="252" s="1"/>
  <c r="EB70" i="252" s="1"/>
  <c r="DU70" i="252"/>
  <c r="DN70" i="252"/>
  <c r="DD70" i="252"/>
  <c r="DI70" i="252" s="1"/>
  <c r="DH70" i="252" s="1"/>
  <c r="DA70" i="252"/>
  <c r="CY70" i="252"/>
  <c r="CX70" i="252" s="1"/>
  <c r="CU70" i="252"/>
  <c r="CS70" i="252"/>
  <c r="CQ70" i="252"/>
  <c r="CO70" i="252"/>
  <c r="CN70" i="252"/>
  <c r="CK70" i="252"/>
  <c r="CI70" i="252"/>
  <c r="CG70" i="252"/>
  <c r="CA70" i="252"/>
  <c r="BY70" i="252"/>
  <c r="BW70" i="252"/>
  <c r="BQ70" i="252"/>
  <c r="BO70" i="252"/>
  <c r="BU70" i="252"/>
  <c r="BT70" i="252" s="1"/>
  <c r="BM70" i="252"/>
  <c r="BG70" i="252"/>
  <c r="BE70" i="252"/>
  <c r="BC70" i="252"/>
  <c r="AW70" i="252"/>
  <c r="BA70" i="252"/>
  <c r="AZ70" i="252" s="1"/>
  <c r="AU70" i="252"/>
  <c r="AS70" i="252"/>
  <c r="AQ70" i="252"/>
  <c r="AP70" i="252" s="1"/>
  <c r="AM70" i="252"/>
  <c r="AK70" i="252"/>
  <c r="AI70" i="252"/>
  <c r="AG70" i="252"/>
  <c r="AF70" i="252" s="1"/>
  <c r="AC70" i="252"/>
  <c r="AA70" i="252"/>
  <c r="Y70" i="252"/>
  <c r="ED70" i="252"/>
  <c r="W70" i="252"/>
  <c r="V70" i="252"/>
  <c r="S70" i="252"/>
  <c r="EU70" i="252"/>
  <c r="Q70" i="252"/>
  <c r="O70" i="252"/>
  <c r="DX69" i="252"/>
  <c r="DU69" i="252"/>
  <c r="DN69" i="252"/>
  <c r="DS69" i="252" s="1"/>
  <c r="DR69" i="252" s="1"/>
  <c r="DK69" i="252"/>
  <c r="DD69" i="252"/>
  <c r="DA69" i="252"/>
  <c r="CU69" i="252"/>
  <c r="CS69" i="252"/>
  <c r="CQ69" i="252"/>
  <c r="CK69" i="252"/>
  <c r="CO69" i="252"/>
  <c r="CN69" i="252" s="1"/>
  <c r="CI69" i="252"/>
  <c r="CG69" i="252"/>
  <c r="CA69" i="252"/>
  <c r="BY69" i="252"/>
  <c r="BW69" i="252"/>
  <c r="BQ69" i="252"/>
  <c r="BO69" i="252"/>
  <c r="BU69" i="252"/>
  <c r="BT69" i="252" s="1"/>
  <c r="BM69" i="252"/>
  <c r="BK69" i="252"/>
  <c r="BJ69" i="252" s="1"/>
  <c r="BG69" i="252"/>
  <c r="BE69" i="252"/>
  <c r="BC69" i="252"/>
  <c r="ED69" i="252"/>
  <c r="BA69" i="252"/>
  <c r="AZ69" i="252"/>
  <c r="AW69" i="252"/>
  <c r="AU69" i="252"/>
  <c r="AS69" i="252"/>
  <c r="AQ69" i="252"/>
  <c r="AP69" i="252" s="1"/>
  <c r="AM69" i="252"/>
  <c r="AK69" i="252"/>
  <c r="AI69" i="252"/>
  <c r="EK69" i="252"/>
  <c r="AA69" i="252"/>
  <c r="Y69" i="252"/>
  <c r="EV69" i="252"/>
  <c r="S69" i="252"/>
  <c r="EU69" i="252"/>
  <c r="Q69" i="252"/>
  <c r="O69" i="252"/>
  <c r="DX68" i="252"/>
  <c r="EC68" i="252" s="1"/>
  <c r="EB68" i="252" s="1"/>
  <c r="DU68" i="252"/>
  <c r="DS68" i="252"/>
  <c r="DR68" i="252" s="1"/>
  <c r="DN68" i="252"/>
  <c r="DD68" i="252"/>
  <c r="DI68" i="252" s="1"/>
  <c r="DH68" i="252" s="1"/>
  <c r="DA68" i="252"/>
  <c r="CY68" i="252"/>
  <c r="CX68" i="252" s="1"/>
  <c r="CU68" i="252"/>
  <c r="CS68" i="252"/>
  <c r="CQ68" i="252"/>
  <c r="CK68" i="252"/>
  <c r="CO68" i="252"/>
  <c r="CN68" i="252" s="1"/>
  <c r="CI68" i="252"/>
  <c r="CG68" i="252"/>
  <c r="CA68" i="252"/>
  <c r="BY68" i="252"/>
  <c r="BW68" i="252"/>
  <c r="BQ68" i="252"/>
  <c r="BO68" i="252"/>
  <c r="BU68" i="252"/>
  <c r="BT68" i="252" s="1"/>
  <c r="BM68" i="252"/>
  <c r="BG68" i="252"/>
  <c r="BE68" i="252"/>
  <c r="BC68" i="252"/>
  <c r="AW68" i="252"/>
  <c r="BA68" i="252"/>
  <c r="AZ68" i="252" s="1"/>
  <c r="AU68" i="252"/>
  <c r="AS68" i="252"/>
  <c r="AQ68" i="252"/>
  <c r="AP68" i="252" s="1"/>
  <c r="AM68" i="252"/>
  <c r="AK68" i="252"/>
  <c r="AI68" i="252"/>
  <c r="AG68" i="252"/>
  <c r="AF68" i="252" s="1"/>
  <c r="AC68" i="252"/>
  <c r="AA68" i="252"/>
  <c r="Y68" i="252"/>
  <c r="ED68" i="252"/>
  <c r="S68" i="252"/>
  <c r="EU68" i="252"/>
  <c r="Q68" i="252"/>
  <c r="O68" i="252"/>
  <c r="DX67" i="252"/>
  <c r="EC67" i="252"/>
  <c r="EB67" i="252" s="1"/>
  <c r="DU67" i="252"/>
  <c r="DN67" i="252"/>
  <c r="DS67" i="252" s="1"/>
  <c r="DR67" i="252" s="1"/>
  <c r="DK67" i="252"/>
  <c r="DD67" i="252"/>
  <c r="DI67" i="252"/>
  <c r="DH67" i="252" s="1"/>
  <c r="DA67" i="252"/>
  <c r="CU67" i="252"/>
  <c r="CS67" i="252"/>
  <c r="CQ67" i="252"/>
  <c r="CK67" i="252"/>
  <c r="CO67" i="252"/>
  <c r="CN67" i="252" s="1"/>
  <c r="CI67" i="252"/>
  <c r="CG67" i="252"/>
  <c r="CA67" i="252"/>
  <c r="BY67" i="252"/>
  <c r="BW67" i="252"/>
  <c r="BQ67" i="252"/>
  <c r="BO67" i="252"/>
  <c r="BU67" i="252"/>
  <c r="BT67" i="252" s="1"/>
  <c r="BM67" i="252"/>
  <c r="BK67" i="252"/>
  <c r="BJ67" i="252" s="1"/>
  <c r="BG67" i="252"/>
  <c r="BE67" i="252"/>
  <c r="BC67" i="252"/>
  <c r="ED67" i="252"/>
  <c r="AW67" i="252"/>
  <c r="BA67" i="252"/>
  <c r="AZ67" i="252" s="1"/>
  <c r="AU67" i="252"/>
  <c r="AS67" i="252"/>
  <c r="AQ67" i="252"/>
  <c r="AP67" i="252" s="1"/>
  <c r="AM67" i="252"/>
  <c r="AK67" i="252"/>
  <c r="AI67" i="252"/>
  <c r="EK67" i="252"/>
  <c r="AA67" i="252"/>
  <c r="Y67" i="252"/>
  <c r="S67" i="252"/>
  <c r="EU67" i="252"/>
  <c r="Q67" i="252"/>
  <c r="O67" i="252"/>
  <c r="EV67" i="252"/>
  <c r="DX66" i="252"/>
  <c r="DU66" i="252"/>
  <c r="DN66" i="252"/>
  <c r="DD66" i="252"/>
  <c r="DI66" i="252"/>
  <c r="DH66" i="252" s="1"/>
  <c r="DA66" i="252"/>
  <c r="CY66" i="252"/>
  <c r="CX66" i="252" s="1"/>
  <c r="CU66" i="252"/>
  <c r="CS66" i="252"/>
  <c r="CQ66" i="252"/>
  <c r="CK66" i="252"/>
  <c r="CO66" i="252"/>
  <c r="CN66" i="252" s="1"/>
  <c r="CI66" i="252"/>
  <c r="CG66" i="252"/>
  <c r="CA66" i="252"/>
  <c r="BY66" i="252"/>
  <c r="BW66" i="252"/>
  <c r="BQ66" i="252"/>
  <c r="BO66" i="252"/>
  <c r="BU66" i="252"/>
  <c r="BT66" i="252" s="1"/>
  <c r="BM66" i="252"/>
  <c r="BG66" i="252"/>
  <c r="BE66" i="252"/>
  <c r="BC66" i="252"/>
  <c r="BA66" i="252"/>
  <c r="AZ66" i="252"/>
  <c r="AW66" i="252"/>
  <c r="AU66" i="252"/>
  <c r="AS66" i="252"/>
  <c r="AQ66" i="252"/>
  <c r="AP66" i="252" s="1"/>
  <c r="AM66" i="252"/>
  <c r="AK66" i="252"/>
  <c r="AI66" i="252"/>
  <c r="AG66" i="252"/>
  <c r="AF66" i="252" s="1"/>
  <c r="AC66" i="252"/>
  <c r="AA66" i="252"/>
  <c r="Y66" i="252"/>
  <c r="ED66" i="252"/>
  <c r="S66" i="252"/>
  <c r="EU66" i="252"/>
  <c r="Q66" i="252"/>
  <c r="O66" i="252"/>
  <c r="DX65" i="252"/>
  <c r="DU65" i="252"/>
  <c r="DN65" i="252"/>
  <c r="DS65" i="252" s="1"/>
  <c r="DR65" i="252" s="1"/>
  <c r="DK65" i="252"/>
  <c r="DD65" i="252"/>
  <c r="DI65" i="252" s="1"/>
  <c r="DH65" i="252" s="1"/>
  <c r="DA65" i="252"/>
  <c r="CU65" i="252"/>
  <c r="CS65" i="252"/>
  <c r="CQ65" i="252"/>
  <c r="CK65" i="252"/>
  <c r="CO65" i="252"/>
  <c r="CN65" i="252" s="1"/>
  <c r="CI65" i="252"/>
  <c r="CG65" i="252"/>
  <c r="CA65" i="252"/>
  <c r="BY65" i="252"/>
  <c r="BW65" i="252"/>
  <c r="BQ65" i="252"/>
  <c r="BO65" i="252"/>
  <c r="BU65" i="252"/>
  <c r="BT65" i="252" s="1"/>
  <c r="BM65" i="252"/>
  <c r="BK65" i="252"/>
  <c r="BJ65" i="252" s="1"/>
  <c r="BG65" i="252"/>
  <c r="BE65" i="252"/>
  <c r="EG65" i="252"/>
  <c r="ED65" i="252"/>
  <c r="AW65" i="252"/>
  <c r="BA65" i="252"/>
  <c r="AZ65" i="252" s="1"/>
  <c r="AU65" i="252"/>
  <c r="AS65" i="252"/>
  <c r="AQ65" i="252"/>
  <c r="AP65" i="252" s="1"/>
  <c r="AM65" i="252"/>
  <c r="AK65" i="252"/>
  <c r="AI65" i="252"/>
  <c r="EK65" i="252"/>
  <c r="AA65" i="252"/>
  <c r="Y65" i="252"/>
  <c r="EV65" i="252"/>
  <c r="S65" i="252"/>
  <c r="EU65" i="252"/>
  <c r="EW65" i="252" s="1"/>
  <c r="Q65" i="252"/>
  <c r="O65" i="252"/>
  <c r="DX64" i="252"/>
  <c r="DU64" i="252"/>
  <c r="DS64" i="252"/>
  <c r="DR64" i="252" s="1"/>
  <c r="DN64" i="252"/>
  <c r="DD64" i="252"/>
  <c r="DI64" i="252"/>
  <c r="DH64" i="252" s="1"/>
  <c r="DA64" i="252"/>
  <c r="CY64" i="252"/>
  <c r="CX64" i="252" s="1"/>
  <c r="CU64" i="252"/>
  <c r="CS64" i="252"/>
  <c r="CQ64" i="252"/>
  <c r="CK64" i="252"/>
  <c r="CO64" i="252"/>
  <c r="CN64" i="252" s="1"/>
  <c r="CI64" i="252"/>
  <c r="CG64" i="252"/>
  <c r="CA64" i="252"/>
  <c r="BY64" i="252"/>
  <c r="BW64" i="252"/>
  <c r="BQ64" i="252"/>
  <c r="BO64" i="252"/>
  <c r="BU64" i="252"/>
  <c r="BT64" i="252" s="1"/>
  <c r="BM64" i="252"/>
  <c r="BG64" i="252"/>
  <c r="BE64" i="252"/>
  <c r="BC64" i="252"/>
  <c r="BA64" i="252"/>
  <c r="AZ64" i="252"/>
  <c r="AW64" i="252"/>
  <c r="AU64" i="252"/>
  <c r="AS64" i="252"/>
  <c r="AQ64" i="252"/>
  <c r="AP64" i="252" s="1"/>
  <c r="AM64" i="252"/>
  <c r="AK64" i="252"/>
  <c r="AI64" i="252"/>
  <c r="AG64" i="252"/>
  <c r="AF64" i="252" s="1"/>
  <c r="AC64" i="252"/>
  <c r="AA64" i="252"/>
  <c r="Y64" i="252"/>
  <c r="ED64" i="252"/>
  <c r="S64" i="252"/>
  <c r="EU64" i="252"/>
  <c r="Q64" i="252"/>
  <c r="O64" i="252"/>
  <c r="DX63" i="252"/>
  <c r="DU63" i="252"/>
  <c r="DN63" i="252"/>
  <c r="DS63" i="252" s="1"/>
  <c r="DR63" i="252" s="1"/>
  <c r="DK63" i="252"/>
  <c r="DD63" i="252"/>
  <c r="DI63" i="252" s="1"/>
  <c r="DH63" i="252" s="1"/>
  <c r="DA63" i="252"/>
  <c r="CU63" i="252"/>
  <c r="CS63" i="252"/>
  <c r="CQ63" i="252"/>
  <c r="CK63" i="252"/>
  <c r="CO63" i="252"/>
  <c r="CN63" i="252" s="1"/>
  <c r="CI63" i="252"/>
  <c r="CG63" i="252"/>
  <c r="CA63" i="252"/>
  <c r="BY63" i="252"/>
  <c r="BW63" i="252"/>
  <c r="BQ63" i="252"/>
  <c r="BO63" i="252"/>
  <c r="BU63" i="252"/>
  <c r="BT63" i="252" s="1"/>
  <c r="BM63" i="252"/>
  <c r="BK63" i="252"/>
  <c r="BJ63" i="252" s="1"/>
  <c r="BG63" i="252"/>
  <c r="BE63" i="252"/>
  <c r="EG63" i="252"/>
  <c r="ED63" i="252"/>
  <c r="BA63" i="252"/>
  <c r="AZ63" i="252"/>
  <c r="AW63" i="252"/>
  <c r="AU63" i="252"/>
  <c r="AS63" i="252"/>
  <c r="AQ63" i="252"/>
  <c r="AP63" i="252" s="1"/>
  <c r="AM63" i="252"/>
  <c r="AK63" i="252"/>
  <c r="AI63" i="252"/>
  <c r="EK63" i="252"/>
  <c r="AA63" i="252"/>
  <c r="Y63" i="252"/>
  <c r="EV63" i="252"/>
  <c r="S63" i="252"/>
  <c r="EU63" i="252"/>
  <c r="EW63" i="252" s="1"/>
  <c r="Q63" i="252"/>
  <c r="O63" i="252"/>
  <c r="DX62" i="252"/>
  <c r="DU62" i="252"/>
  <c r="DS62" i="252"/>
  <c r="DR62" i="252" s="1"/>
  <c r="DN62" i="252"/>
  <c r="DD62" i="252"/>
  <c r="DI62" i="252" s="1"/>
  <c r="DH62" i="252" s="1"/>
  <c r="DA62" i="252"/>
  <c r="CY62" i="252"/>
  <c r="CX62" i="252" s="1"/>
  <c r="CU62" i="252"/>
  <c r="CS62" i="252"/>
  <c r="CQ62" i="252"/>
  <c r="CO62" i="252"/>
  <c r="CN62" i="252"/>
  <c r="CK62" i="252"/>
  <c r="CI62" i="252"/>
  <c r="CG62" i="252"/>
  <c r="CA62" i="252"/>
  <c r="BY62" i="252"/>
  <c r="BW62" i="252"/>
  <c r="BQ62" i="252"/>
  <c r="BO62" i="252"/>
  <c r="BU62" i="252"/>
  <c r="BT62" i="252" s="1"/>
  <c r="BM62" i="252"/>
  <c r="BG62" i="252"/>
  <c r="BE62" i="252"/>
  <c r="BC62" i="252"/>
  <c r="AW62" i="252"/>
  <c r="BA62" i="252"/>
  <c r="AZ62" i="252" s="1"/>
  <c r="AU62" i="252"/>
  <c r="AS62" i="252"/>
  <c r="AQ62" i="252"/>
  <c r="AP62" i="252" s="1"/>
  <c r="AM62" i="252"/>
  <c r="AK62" i="252"/>
  <c r="AI62" i="252"/>
  <c r="AG62" i="252"/>
  <c r="AF62" i="252" s="1"/>
  <c r="AC62" i="252"/>
  <c r="AA62" i="252"/>
  <c r="Y62" i="252"/>
  <c r="ED62" i="252"/>
  <c r="W62" i="252"/>
  <c r="V62" i="252"/>
  <c r="S62" i="252"/>
  <c r="EU62" i="252"/>
  <c r="Q62" i="252"/>
  <c r="O62" i="252"/>
  <c r="DX61" i="252"/>
  <c r="DU61" i="252"/>
  <c r="DN61" i="252"/>
  <c r="DS61" i="252" s="1"/>
  <c r="DR61" i="252" s="1"/>
  <c r="DK61" i="252"/>
  <c r="DD61" i="252"/>
  <c r="DA61" i="252"/>
  <c r="CU61" i="252"/>
  <c r="CS61" i="252"/>
  <c r="CQ61" i="252"/>
  <c r="CK61" i="252"/>
  <c r="CO61" i="252"/>
  <c r="CN61" i="252" s="1"/>
  <c r="CI61" i="252"/>
  <c r="CG61" i="252"/>
  <c r="CA61" i="252"/>
  <c r="BY61" i="252"/>
  <c r="BW61" i="252"/>
  <c r="BQ61" i="252"/>
  <c r="BO61" i="252"/>
  <c r="BU61" i="252"/>
  <c r="BT61" i="252" s="1"/>
  <c r="BM61" i="252"/>
  <c r="BK61" i="252"/>
  <c r="BJ61" i="252" s="1"/>
  <c r="BG61" i="252"/>
  <c r="BE61" i="252"/>
  <c r="EG61" i="252"/>
  <c r="ED61" i="252"/>
  <c r="BA61" i="252"/>
  <c r="AZ61" i="252"/>
  <c r="AW61" i="252"/>
  <c r="AU61" i="252"/>
  <c r="AS61" i="252"/>
  <c r="AQ61" i="252"/>
  <c r="AP61" i="252" s="1"/>
  <c r="AM61" i="252"/>
  <c r="AK61" i="252"/>
  <c r="AI61" i="252"/>
  <c r="EK61" i="252"/>
  <c r="AA61" i="252"/>
  <c r="Y61" i="252"/>
  <c r="EV61" i="252"/>
  <c r="S61" i="252"/>
  <c r="EU61" i="252"/>
  <c r="EW61" i="252" s="1"/>
  <c r="Q61" i="252"/>
  <c r="O61" i="252"/>
  <c r="DX60" i="252"/>
  <c r="DU60" i="252"/>
  <c r="DN60" i="252"/>
  <c r="DD60" i="252"/>
  <c r="DI60" i="252" s="1"/>
  <c r="DH60" i="252" s="1"/>
  <c r="DA60" i="252"/>
  <c r="CY60" i="252"/>
  <c r="CX60" i="252" s="1"/>
  <c r="CU60" i="252"/>
  <c r="CS60" i="252"/>
  <c r="CQ60" i="252"/>
  <c r="CO60" i="252"/>
  <c r="CN60" i="252"/>
  <c r="CK60" i="252"/>
  <c r="CI60" i="252"/>
  <c r="CG60" i="252"/>
  <c r="CA60" i="252"/>
  <c r="BY60" i="252"/>
  <c r="BW60" i="252"/>
  <c r="BQ60" i="252"/>
  <c r="BO60" i="252"/>
  <c r="BU60" i="252"/>
  <c r="BT60" i="252" s="1"/>
  <c r="BM60" i="252"/>
  <c r="BG60" i="252"/>
  <c r="BE60" i="252"/>
  <c r="BC60" i="252"/>
  <c r="AW60" i="252"/>
  <c r="BA60" i="252"/>
  <c r="AZ60" i="252" s="1"/>
  <c r="AU60" i="252"/>
  <c r="AS60" i="252"/>
  <c r="AQ60" i="252"/>
  <c r="AP60" i="252" s="1"/>
  <c r="AM60" i="252"/>
  <c r="AK60" i="252"/>
  <c r="AI60" i="252"/>
  <c r="AG60" i="252"/>
  <c r="AF60" i="252" s="1"/>
  <c r="AC60" i="252"/>
  <c r="EU60" i="252"/>
  <c r="Y60" i="252"/>
  <c r="ED60" i="252"/>
  <c r="W60" i="252"/>
  <c r="V60" i="252"/>
  <c r="S60" i="252"/>
  <c r="Q60" i="252"/>
  <c r="O60" i="252"/>
  <c r="DX59" i="252"/>
  <c r="DU59" i="252"/>
  <c r="DN59" i="252"/>
  <c r="DS59" i="252" s="1"/>
  <c r="DR59" i="252" s="1"/>
  <c r="DK59" i="252"/>
  <c r="DD59" i="252"/>
  <c r="DA59" i="252"/>
  <c r="CU59" i="252"/>
  <c r="CS59" i="252"/>
  <c r="CQ59" i="252"/>
  <c r="CK59" i="252"/>
  <c r="CO59" i="252"/>
  <c r="CN59" i="252" s="1"/>
  <c r="CI59" i="252"/>
  <c r="CG59" i="252"/>
  <c r="CA59" i="252"/>
  <c r="BY59" i="252"/>
  <c r="BW59" i="252"/>
  <c r="BQ59" i="252"/>
  <c r="BO59" i="252"/>
  <c r="BU59" i="252"/>
  <c r="BT59" i="252" s="1"/>
  <c r="BM59" i="252"/>
  <c r="BK59" i="252"/>
  <c r="BJ59" i="252" s="1"/>
  <c r="BG59" i="252"/>
  <c r="BE59" i="252"/>
  <c r="EG59" i="252"/>
  <c r="ED59" i="252"/>
  <c r="BA59" i="252"/>
  <c r="AZ59" i="252"/>
  <c r="AW59" i="252"/>
  <c r="AU59" i="252"/>
  <c r="AS59" i="252"/>
  <c r="AQ59" i="252"/>
  <c r="AP59" i="252" s="1"/>
  <c r="AM59" i="252"/>
  <c r="AK59" i="252"/>
  <c r="AI59" i="252"/>
  <c r="EK59" i="252"/>
  <c r="M58" i="250" s="1"/>
  <c r="AM59" i="257" s="1"/>
  <c r="AN59" i="257" s="1"/>
  <c r="AA59" i="252"/>
  <c r="Y59" i="252"/>
  <c r="EV59" i="252"/>
  <c r="S59" i="252"/>
  <c r="EU59" i="252"/>
  <c r="EW59" i="252" s="1"/>
  <c r="Q59" i="252"/>
  <c r="O59" i="252"/>
  <c r="DX58" i="252"/>
  <c r="EC58" i="252" s="1"/>
  <c r="EB58" i="252" s="1"/>
  <c r="DU58" i="252"/>
  <c r="DN58" i="252"/>
  <c r="DD58" i="252"/>
  <c r="DI58" i="252" s="1"/>
  <c r="DH58" i="252" s="1"/>
  <c r="DA58" i="252"/>
  <c r="CY58" i="252"/>
  <c r="CX58" i="252" s="1"/>
  <c r="CU58" i="252"/>
  <c r="CS58" i="252"/>
  <c r="CQ58" i="252"/>
  <c r="CO58" i="252"/>
  <c r="CN58" i="252"/>
  <c r="CK58" i="252"/>
  <c r="CI58" i="252"/>
  <c r="CG58" i="252"/>
  <c r="CA58" i="252"/>
  <c r="BY58" i="252"/>
  <c r="BW58" i="252"/>
  <c r="BQ58" i="252"/>
  <c r="BO58" i="252"/>
  <c r="BU58" i="252"/>
  <c r="BT58" i="252" s="1"/>
  <c r="BM58" i="252"/>
  <c r="BG58" i="252"/>
  <c r="BE58" i="252"/>
  <c r="BC58" i="252"/>
  <c r="AW58" i="252"/>
  <c r="BA58" i="252"/>
  <c r="AZ58" i="252" s="1"/>
  <c r="AU58" i="252"/>
  <c r="AS58" i="252"/>
  <c r="AQ58" i="252"/>
  <c r="AP58" i="252" s="1"/>
  <c r="AM58" i="252"/>
  <c r="AK58" i="252"/>
  <c r="AI58" i="252"/>
  <c r="AG58" i="252"/>
  <c r="AF58" i="252" s="1"/>
  <c r="AC58" i="252"/>
  <c r="EU58" i="252"/>
  <c r="Y58" i="252"/>
  <c r="ED58" i="252"/>
  <c r="W58" i="252"/>
  <c r="V58" i="252"/>
  <c r="S58" i="252"/>
  <c r="Q58" i="252"/>
  <c r="O58" i="252"/>
  <c r="DX57" i="252"/>
  <c r="DU57" i="252"/>
  <c r="DN57" i="252"/>
  <c r="DS57" i="252" s="1"/>
  <c r="DR57" i="252" s="1"/>
  <c r="DK57" i="252"/>
  <c r="DD57" i="252"/>
  <c r="DA57" i="252"/>
  <c r="CU57" i="252"/>
  <c r="CS57" i="252"/>
  <c r="CQ57" i="252"/>
  <c r="CK57" i="252"/>
  <c r="CO57" i="252"/>
  <c r="CN57" i="252" s="1"/>
  <c r="CI57" i="252"/>
  <c r="CG57" i="252"/>
  <c r="CA57" i="252"/>
  <c r="BY57" i="252"/>
  <c r="BW57" i="252"/>
  <c r="BQ57" i="252"/>
  <c r="BO57" i="252"/>
  <c r="BU57" i="252"/>
  <c r="BT57" i="252" s="1"/>
  <c r="BM57" i="252"/>
  <c r="BK57" i="252"/>
  <c r="BJ57" i="252" s="1"/>
  <c r="BG57" i="252"/>
  <c r="BE57" i="252"/>
  <c r="EG57" i="252"/>
  <c r="ED57" i="252"/>
  <c r="J56" i="250" s="1"/>
  <c r="AH57" i="257" s="1"/>
  <c r="BA57" i="252"/>
  <c r="AZ57" i="252"/>
  <c r="AW57" i="252"/>
  <c r="AU57" i="252"/>
  <c r="AS57" i="252"/>
  <c r="AQ57" i="252"/>
  <c r="AP57" i="252" s="1"/>
  <c r="AM57" i="252"/>
  <c r="AK57" i="252"/>
  <c r="AI57" i="252"/>
  <c r="EK57" i="252"/>
  <c r="AA57" i="252"/>
  <c r="Y57" i="252"/>
  <c r="EV57" i="252"/>
  <c r="S57" i="252"/>
  <c r="EU57" i="252"/>
  <c r="EW57" i="252" s="1"/>
  <c r="Q57" i="252"/>
  <c r="O57" i="252"/>
  <c r="DX56" i="252"/>
  <c r="EC56" i="252" s="1"/>
  <c r="EB56" i="252" s="1"/>
  <c r="DU56" i="252"/>
  <c r="DN56" i="252"/>
  <c r="DD56" i="252"/>
  <c r="DI56" i="252" s="1"/>
  <c r="DH56" i="252" s="1"/>
  <c r="DA56" i="252"/>
  <c r="CY56" i="252"/>
  <c r="CX56" i="252" s="1"/>
  <c r="CU56" i="252"/>
  <c r="CS56" i="252"/>
  <c r="CQ56" i="252"/>
  <c r="CO56" i="252"/>
  <c r="CN56" i="252"/>
  <c r="CK56" i="252"/>
  <c r="CI56" i="252"/>
  <c r="CG56" i="252"/>
  <c r="CA56" i="252"/>
  <c r="BY56" i="252"/>
  <c r="BW56" i="252"/>
  <c r="BQ56" i="252"/>
  <c r="BO56" i="252"/>
  <c r="BU56" i="252"/>
  <c r="BT56" i="252" s="1"/>
  <c r="BM56" i="252"/>
  <c r="BG56" i="252"/>
  <c r="BE56" i="252"/>
  <c r="BC56" i="252"/>
  <c r="AW56" i="252"/>
  <c r="BA56" i="252"/>
  <c r="AZ56" i="252" s="1"/>
  <c r="AU56" i="252"/>
  <c r="AS56" i="252"/>
  <c r="AQ56" i="252"/>
  <c r="AP56" i="252" s="1"/>
  <c r="AM56" i="252"/>
  <c r="AK56" i="252"/>
  <c r="AI56" i="252"/>
  <c r="AG56" i="252"/>
  <c r="AF56" i="252" s="1"/>
  <c r="AC56" i="252"/>
  <c r="EU56" i="252"/>
  <c r="Y56" i="252"/>
  <c r="ED56" i="252"/>
  <c r="W56" i="252"/>
  <c r="V56" i="252"/>
  <c r="S56" i="252"/>
  <c r="Q56" i="252"/>
  <c r="O56" i="252"/>
  <c r="DX55" i="252"/>
  <c r="DU55" i="252"/>
  <c r="DN55" i="252"/>
  <c r="DS55" i="252" s="1"/>
  <c r="DR55" i="252" s="1"/>
  <c r="DK55" i="252"/>
  <c r="DD55" i="252"/>
  <c r="DA55" i="252"/>
  <c r="CU55" i="252"/>
  <c r="CS55" i="252"/>
  <c r="CQ55" i="252"/>
  <c r="CK55" i="252"/>
  <c r="CO55" i="252"/>
  <c r="CN55" i="252" s="1"/>
  <c r="CI55" i="252"/>
  <c r="CG55" i="252"/>
  <c r="CA55" i="252"/>
  <c r="BY55" i="252"/>
  <c r="BW55" i="252"/>
  <c r="BQ55" i="252"/>
  <c r="BO55" i="252"/>
  <c r="BU55" i="252"/>
  <c r="BT55" i="252" s="1"/>
  <c r="BM55" i="252"/>
  <c r="BK55" i="252"/>
  <c r="BJ55" i="252" s="1"/>
  <c r="BG55" i="252"/>
  <c r="BE55" i="252"/>
  <c r="EG55" i="252"/>
  <c r="ED55" i="252"/>
  <c r="BA55" i="252"/>
  <c r="AZ55" i="252"/>
  <c r="AW55" i="252"/>
  <c r="AU55" i="252"/>
  <c r="AS55" i="252"/>
  <c r="AQ55" i="252"/>
  <c r="AP55" i="252" s="1"/>
  <c r="AM55" i="252"/>
  <c r="AK55" i="252"/>
  <c r="AI55" i="252"/>
  <c r="EK55" i="252"/>
  <c r="AA55" i="252"/>
  <c r="Y55" i="252"/>
  <c r="EV55" i="252"/>
  <c r="S55" i="252"/>
  <c r="EU55" i="252"/>
  <c r="EW55" i="252" s="1"/>
  <c r="Q55" i="252"/>
  <c r="O55" i="252"/>
  <c r="DX54" i="252"/>
  <c r="DU54" i="252"/>
  <c r="DS54" i="252"/>
  <c r="DR54" i="252" s="1"/>
  <c r="DN54" i="252"/>
  <c r="DD54" i="252"/>
  <c r="DI54" i="252" s="1"/>
  <c r="DH54" i="252" s="1"/>
  <c r="DA54" i="252"/>
  <c r="CY54" i="252"/>
  <c r="CX54" i="252" s="1"/>
  <c r="CU54" i="252"/>
  <c r="CS54" i="252"/>
  <c r="CQ54" i="252"/>
  <c r="CO54" i="252"/>
  <c r="CN54" i="252"/>
  <c r="CK54" i="252"/>
  <c r="CI54" i="252"/>
  <c r="CG54" i="252"/>
  <c r="CA54" i="252"/>
  <c r="BY54" i="252"/>
  <c r="BW54" i="252"/>
  <c r="BQ54" i="252"/>
  <c r="BO54" i="252"/>
  <c r="BU54" i="252"/>
  <c r="BT54" i="252" s="1"/>
  <c r="BM54" i="252"/>
  <c r="BG54" i="252"/>
  <c r="BE54" i="252"/>
  <c r="BC54" i="252"/>
  <c r="AW54" i="252"/>
  <c r="BA54" i="252"/>
  <c r="AZ54" i="252" s="1"/>
  <c r="AU54" i="252"/>
  <c r="AS54" i="252"/>
  <c r="AQ54" i="252"/>
  <c r="AP54" i="252" s="1"/>
  <c r="AM54" i="252"/>
  <c r="AK54" i="252"/>
  <c r="AI54" i="252"/>
  <c r="AG54" i="252"/>
  <c r="AF54" i="252" s="1"/>
  <c r="AC54" i="252"/>
  <c r="EU54" i="252"/>
  <c r="Y54" i="252"/>
  <c r="ED54" i="252"/>
  <c r="W54" i="252"/>
  <c r="V54" i="252"/>
  <c r="S54" i="252"/>
  <c r="Q54" i="252"/>
  <c r="O54" i="252"/>
  <c r="DX53" i="252"/>
  <c r="DU53" i="252"/>
  <c r="DN53" i="252"/>
  <c r="DS53" i="252" s="1"/>
  <c r="DR53" i="252" s="1"/>
  <c r="DK53" i="252"/>
  <c r="DD53" i="252"/>
  <c r="DA53" i="252"/>
  <c r="CU53" i="252"/>
  <c r="CS53" i="252"/>
  <c r="CQ53" i="252"/>
  <c r="CK53" i="252"/>
  <c r="CO53" i="252"/>
  <c r="CN53" i="252" s="1"/>
  <c r="CI53" i="252"/>
  <c r="CG53" i="252"/>
  <c r="CA53" i="252"/>
  <c r="BY53" i="252"/>
  <c r="BW53" i="252"/>
  <c r="BQ53" i="252"/>
  <c r="BO53" i="252"/>
  <c r="BU53" i="252"/>
  <c r="BT53" i="252" s="1"/>
  <c r="BM53" i="252"/>
  <c r="BK53" i="252"/>
  <c r="BJ53" i="252" s="1"/>
  <c r="BG53" i="252"/>
  <c r="BE53" i="252"/>
  <c r="BC53" i="252"/>
  <c r="ED53" i="252"/>
  <c r="BA53" i="252"/>
  <c r="AZ53" i="252"/>
  <c r="AW53" i="252"/>
  <c r="AU53" i="252"/>
  <c r="AS53" i="252"/>
  <c r="AQ53" i="252"/>
  <c r="AP53" i="252" s="1"/>
  <c r="AM53" i="252"/>
  <c r="AK53" i="252"/>
  <c r="AI53" i="252"/>
  <c r="EK53" i="252"/>
  <c r="AA53" i="252"/>
  <c r="Y53" i="252"/>
  <c r="EV53" i="252"/>
  <c r="S53" i="252"/>
  <c r="EU53" i="252"/>
  <c r="EW53" i="252" s="1"/>
  <c r="Q53" i="252"/>
  <c r="O53" i="252"/>
  <c r="DX52" i="252"/>
  <c r="EC52" i="252" s="1"/>
  <c r="EB52" i="252" s="1"/>
  <c r="DU52" i="252"/>
  <c r="DN52" i="252"/>
  <c r="DD52" i="252"/>
  <c r="DI52" i="252" s="1"/>
  <c r="DH52" i="252" s="1"/>
  <c r="DA52" i="252"/>
  <c r="CY52" i="252"/>
  <c r="CX52" i="252" s="1"/>
  <c r="CU52" i="252"/>
  <c r="CS52" i="252"/>
  <c r="CQ52" i="252"/>
  <c r="CO52" i="252"/>
  <c r="CN52" i="252"/>
  <c r="CK52" i="252"/>
  <c r="CI52" i="252"/>
  <c r="CG52" i="252"/>
  <c r="CA52" i="252"/>
  <c r="BY52" i="252"/>
  <c r="BW52" i="252"/>
  <c r="BQ52" i="252"/>
  <c r="BO52" i="252"/>
  <c r="BU52" i="252"/>
  <c r="BT52" i="252" s="1"/>
  <c r="BM52" i="252"/>
  <c r="BG52" i="252"/>
  <c r="BE52" i="252"/>
  <c r="BC52" i="252"/>
  <c r="AW52" i="252"/>
  <c r="BA52" i="252"/>
  <c r="AZ52" i="252" s="1"/>
  <c r="AU52" i="252"/>
  <c r="AS52" i="252"/>
  <c r="AQ52" i="252"/>
  <c r="AP52" i="252" s="1"/>
  <c r="AM52" i="252"/>
  <c r="AK52" i="252"/>
  <c r="AI52" i="252"/>
  <c r="AG52" i="252"/>
  <c r="AF52" i="252" s="1"/>
  <c r="AC52" i="252"/>
  <c r="EU52" i="252"/>
  <c r="Y52" i="252"/>
  <c r="ED52" i="252"/>
  <c r="W52" i="252"/>
  <c r="V52" i="252"/>
  <c r="S52" i="252"/>
  <c r="Q52" i="252"/>
  <c r="O52" i="252"/>
  <c r="DX51" i="252"/>
  <c r="DU51" i="252"/>
  <c r="DN51" i="252"/>
  <c r="DS51" i="252" s="1"/>
  <c r="DR51" i="252" s="1"/>
  <c r="DK51" i="252"/>
  <c r="DD51" i="252"/>
  <c r="DA51" i="252"/>
  <c r="CU51" i="252"/>
  <c r="CS51" i="252"/>
  <c r="CQ51" i="252"/>
  <c r="CK51" i="252"/>
  <c r="CI51" i="252"/>
  <c r="CG51" i="252"/>
  <c r="CA51" i="252"/>
  <c r="BY51" i="252"/>
  <c r="BW51" i="252"/>
  <c r="BQ51" i="252"/>
  <c r="BO51" i="252"/>
  <c r="BU51" i="252"/>
  <c r="BT51" i="252" s="1"/>
  <c r="BM51" i="252"/>
  <c r="BK51" i="252"/>
  <c r="BJ51" i="252" s="1"/>
  <c r="BG51" i="252"/>
  <c r="BE51" i="252"/>
  <c r="BC51" i="252"/>
  <c r="ED51" i="252"/>
  <c r="BA51" i="252"/>
  <c r="AZ51" i="252" s="1"/>
  <c r="AU51" i="252"/>
  <c r="AS51" i="252"/>
  <c r="AW51" i="252"/>
  <c r="AM51" i="252"/>
  <c r="AK51" i="252"/>
  <c r="AQ51" i="252"/>
  <c r="AP51" i="252" s="1"/>
  <c r="EK51" i="252"/>
  <c r="AA51" i="252"/>
  <c r="Y51" i="252"/>
  <c r="EV51" i="252"/>
  <c r="S51" i="252"/>
  <c r="EI51" i="252"/>
  <c r="EH51" i="252" s="1"/>
  <c r="O51" i="252"/>
  <c r="DX50" i="252"/>
  <c r="DU50" i="252"/>
  <c r="DS50" i="252"/>
  <c r="DR50" i="252" s="1"/>
  <c r="DN50" i="252"/>
  <c r="DD50" i="252"/>
  <c r="DI50" i="252" s="1"/>
  <c r="DH50" i="252" s="1"/>
  <c r="DA50" i="252"/>
  <c r="CY50" i="252"/>
  <c r="CX50" i="252" s="1"/>
  <c r="CU50" i="252"/>
  <c r="CS50" i="252"/>
  <c r="CQ50" i="252"/>
  <c r="CO50" i="252"/>
  <c r="CN50" i="252" s="1"/>
  <c r="CI50" i="252"/>
  <c r="CG50" i="252"/>
  <c r="CK50" i="252"/>
  <c r="CA50" i="252"/>
  <c r="BY50" i="252"/>
  <c r="BW50" i="252"/>
  <c r="BQ50" i="252"/>
  <c r="BO50" i="252"/>
  <c r="BM50" i="252"/>
  <c r="BG50" i="252"/>
  <c r="BE50" i="252"/>
  <c r="BC50" i="252"/>
  <c r="AW50" i="252"/>
  <c r="EU50" i="252"/>
  <c r="EW50" i="252" s="1"/>
  <c r="AS50" i="252"/>
  <c r="AQ50" i="252"/>
  <c r="AP50" i="252" s="1"/>
  <c r="AM50" i="252"/>
  <c r="AK50" i="252"/>
  <c r="AI50" i="252"/>
  <c r="AG50" i="252"/>
  <c r="AF50" i="252" s="1"/>
  <c r="AC50" i="252"/>
  <c r="AA50" i="252"/>
  <c r="Y50" i="252"/>
  <c r="EV50" i="252"/>
  <c r="W50" i="252"/>
  <c r="V50" i="252" s="1"/>
  <c r="Q50" i="252"/>
  <c r="O50" i="252"/>
  <c r="ED50" i="252"/>
  <c r="DX49" i="252"/>
  <c r="EC49" i="252"/>
  <c r="EB49" i="252" s="1"/>
  <c r="DU49" i="252"/>
  <c r="DN49" i="252"/>
  <c r="DS49" i="252" s="1"/>
  <c r="DR49" i="252" s="1"/>
  <c r="DK49" i="252"/>
  <c r="DD49" i="252"/>
  <c r="DA49" i="252"/>
  <c r="CU49" i="252"/>
  <c r="CS49" i="252"/>
  <c r="CQ49" i="252"/>
  <c r="CK49" i="252"/>
  <c r="CI49" i="252"/>
  <c r="CG49" i="252"/>
  <c r="CA49" i="252"/>
  <c r="BY49" i="252"/>
  <c r="BW49" i="252"/>
  <c r="BQ49" i="252"/>
  <c r="BO49" i="252"/>
  <c r="BU49" i="252"/>
  <c r="BT49" i="252" s="1"/>
  <c r="BM49" i="252"/>
  <c r="BK49" i="252"/>
  <c r="BJ49" i="252" s="1"/>
  <c r="BG49" i="252"/>
  <c r="BE49" i="252"/>
  <c r="BC49" i="252"/>
  <c r="BA49" i="252"/>
  <c r="AZ49" i="252" s="1"/>
  <c r="AU49" i="252"/>
  <c r="AS49" i="252"/>
  <c r="AW49" i="252"/>
  <c r="AM49" i="252"/>
  <c r="AK49" i="252"/>
  <c r="AQ49" i="252"/>
  <c r="AP49" i="252" s="1"/>
  <c r="EK49" i="252"/>
  <c r="AA49" i="252"/>
  <c r="Y49" i="252"/>
  <c r="EV49" i="252"/>
  <c r="S49" i="252"/>
  <c r="EI49" i="252"/>
  <c r="O49" i="252"/>
  <c r="DX48" i="252"/>
  <c r="DU48" i="252"/>
  <c r="DN48" i="252"/>
  <c r="DD48" i="252"/>
  <c r="DI48" i="252" s="1"/>
  <c r="DH48" i="252" s="1"/>
  <c r="DA48" i="252"/>
  <c r="CY48" i="252"/>
  <c r="CX48" i="252" s="1"/>
  <c r="CU48" i="252"/>
  <c r="CS48" i="252"/>
  <c r="CQ48" i="252"/>
  <c r="CO48" i="252"/>
  <c r="CN48" i="252" s="1"/>
  <c r="CI48" i="252"/>
  <c r="CG48" i="252"/>
  <c r="CK48" i="252"/>
  <c r="CA48" i="252"/>
  <c r="BY48" i="252"/>
  <c r="BW48" i="252"/>
  <c r="BQ48" i="252"/>
  <c r="BO48" i="252"/>
  <c r="BM48" i="252"/>
  <c r="BG48" i="252"/>
  <c r="BE48" i="252"/>
  <c r="AW48" i="252"/>
  <c r="EU48" i="252"/>
  <c r="AS48" i="252"/>
  <c r="AM48" i="252"/>
  <c r="AK48" i="252"/>
  <c r="AQ48" i="252"/>
  <c r="AP48" i="252" s="1"/>
  <c r="AC48" i="252"/>
  <c r="AA48" i="252"/>
  <c r="AG48" i="252"/>
  <c r="AF48" i="252" s="1"/>
  <c r="Y48" i="252"/>
  <c r="W48" i="252"/>
  <c r="V48" i="252" s="1"/>
  <c r="S48" i="252"/>
  <c r="Q48" i="252"/>
  <c r="O48" i="252"/>
  <c r="ED48" i="252"/>
  <c r="DX47" i="252"/>
  <c r="DV85" i="252"/>
  <c r="DU85" i="252" s="1"/>
  <c r="DT85" i="252"/>
  <c r="DN47" i="252"/>
  <c r="DK47" i="252"/>
  <c r="DD47" i="252"/>
  <c r="DA47" i="252"/>
  <c r="CZ85" i="252"/>
  <c r="CU47" i="252"/>
  <c r="CT85" i="252"/>
  <c r="CS47" i="252"/>
  <c r="CR85" i="252"/>
  <c r="CL85" i="252"/>
  <c r="CJ85" i="252"/>
  <c r="CH85" i="252"/>
  <c r="CB85" i="252"/>
  <c r="CA47" i="252"/>
  <c r="BY47" i="252"/>
  <c r="BW47" i="252"/>
  <c r="BR85" i="252"/>
  <c r="BP85" i="252"/>
  <c r="BM47" i="252"/>
  <c r="BL85" i="252"/>
  <c r="BH85" i="252"/>
  <c r="BE47" i="252"/>
  <c r="BD85" i="252"/>
  <c r="BC47" i="252"/>
  <c r="BA47" i="252"/>
  <c r="AZ47" i="252" s="1"/>
  <c r="AW47" i="252"/>
  <c r="AU47" i="252"/>
  <c r="AT85" i="252"/>
  <c r="AS85" i="252" s="1"/>
  <c r="AR85" i="252"/>
  <c r="AM47" i="252"/>
  <c r="AL85" i="252"/>
  <c r="AQ47" i="252"/>
  <c r="AD85" i="252"/>
  <c r="AC47" i="252"/>
  <c r="AA47" i="252"/>
  <c r="Z85" i="252"/>
  <c r="T85" i="252"/>
  <c r="EG47" i="252"/>
  <c r="ED47" i="252"/>
  <c r="G85" i="252"/>
  <c r="ES46" i="252"/>
  <c r="CQ46" i="252"/>
  <c r="CT46" i="252"/>
  <c r="EU46" i="252" s="1"/>
  <c r="EV45" i="252"/>
  <c r="EU45" i="252"/>
  <c r="EW45" i="252" s="1"/>
  <c r="ES45" i="252"/>
  <c r="EV44" i="252"/>
  <c r="EU44" i="252"/>
  <c r="EW44" i="252" s="1"/>
  <c r="ES44" i="252"/>
  <c r="EV43" i="252"/>
  <c r="EU43" i="252"/>
  <c r="EW43" i="252" s="1"/>
  <c r="ES43" i="252"/>
  <c r="DZ42" i="252"/>
  <c r="DP42" i="252"/>
  <c r="DF42" i="252"/>
  <c r="C42" i="252"/>
  <c r="DX41" i="252"/>
  <c r="DU41" i="252"/>
  <c r="DN41" i="252"/>
  <c r="DS41" i="252"/>
  <c r="DR41" i="252" s="1"/>
  <c r="DK41" i="252"/>
  <c r="DI41" i="252"/>
  <c r="DH41" i="252" s="1"/>
  <c r="DD41" i="252"/>
  <c r="CY41" i="252"/>
  <c r="CX41" i="252" s="1"/>
  <c r="CS41" i="252"/>
  <c r="CQ41" i="252"/>
  <c r="CU41" i="252"/>
  <c r="CK41" i="252"/>
  <c r="CI41" i="252"/>
  <c r="CG41" i="252"/>
  <c r="CA41" i="252"/>
  <c r="BY41" i="252"/>
  <c r="BW41" i="252"/>
  <c r="BQ41" i="252"/>
  <c r="BO41" i="252"/>
  <c r="BM41" i="252"/>
  <c r="BG41" i="252"/>
  <c r="BE41" i="252"/>
  <c r="BC41" i="252"/>
  <c r="AW41" i="252"/>
  <c r="AU41" i="252"/>
  <c r="AS41" i="252"/>
  <c r="AM41" i="252"/>
  <c r="AK41" i="252"/>
  <c r="AQ41" i="252"/>
  <c r="AP41" i="252" s="1"/>
  <c r="AG41" i="252"/>
  <c r="AF41" i="252" s="1"/>
  <c r="AA41" i="252"/>
  <c r="Y41" i="252"/>
  <c r="AC41" i="252"/>
  <c r="S41" i="252"/>
  <c r="EG41" i="252"/>
  <c r="ED41" i="252"/>
  <c r="DX40" i="252"/>
  <c r="EC40" i="252" s="1"/>
  <c r="EB40" i="252" s="1"/>
  <c r="DU40" i="252"/>
  <c r="DN40" i="252"/>
  <c r="DS40" i="252" s="1"/>
  <c r="DR40" i="252" s="1"/>
  <c r="DK40" i="252"/>
  <c r="DD40" i="252"/>
  <c r="DA40" i="252"/>
  <c r="CU40" i="252"/>
  <c r="CS40" i="252"/>
  <c r="CQ40" i="252"/>
  <c r="CK40" i="252"/>
  <c r="CI40" i="252"/>
  <c r="CG40" i="252"/>
  <c r="CA40" i="252"/>
  <c r="BY40" i="252"/>
  <c r="BW40" i="252"/>
  <c r="BQ40" i="252"/>
  <c r="BO40" i="252"/>
  <c r="BU40" i="252"/>
  <c r="BT40" i="252" s="1"/>
  <c r="BM40" i="252"/>
  <c r="BK40" i="252"/>
  <c r="BJ40" i="252" s="1"/>
  <c r="BG40" i="252"/>
  <c r="BE40" i="252"/>
  <c r="BC40" i="252"/>
  <c r="ED40" i="252"/>
  <c r="BA40" i="252"/>
  <c r="AZ40" i="252" s="1"/>
  <c r="AU40" i="252"/>
  <c r="AS40" i="252"/>
  <c r="AW40" i="252"/>
  <c r="AM40" i="252"/>
  <c r="AK40" i="252"/>
  <c r="AQ40" i="252"/>
  <c r="AP40" i="252" s="1"/>
  <c r="EK40" i="252"/>
  <c r="AA40" i="252"/>
  <c r="Y40" i="252"/>
  <c r="EV40" i="252"/>
  <c r="S40" i="252"/>
  <c r="EI40" i="252"/>
  <c r="O40" i="252"/>
  <c r="DX39" i="252"/>
  <c r="EC39" i="252"/>
  <c r="EB39" i="252" s="1"/>
  <c r="DU39" i="252"/>
  <c r="DS39" i="252"/>
  <c r="DR39" i="252" s="1"/>
  <c r="DN39" i="252"/>
  <c r="DD39" i="252"/>
  <c r="DI39" i="252" s="1"/>
  <c r="DH39" i="252" s="1"/>
  <c r="DA39" i="252"/>
  <c r="CY39" i="252"/>
  <c r="CX39" i="252" s="1"/>
  <c r="CU39" i="252"/>
  <c r="CS39" i="252"/>
  <c r="CQ39" i="252"/>
  <c r="CO39" i="252"/>
  <c r="CN39" i="252" s="1"/>
  <c r="CI39" i="252"/>
  <c r="CG39" i="252"/>
  <c r="CK39" i="252"/>
  <c r="CA39" i="252"/>
  <c r="BY39" i="252"/>
  <c r="BW39" i="252"/>
  <c r="BQ39" i="252"/>
  <c r="BO39" i="252"/>
  <c r="BM39" i="252"/>
  <c r="BG39" i="252"/>
  <c r="BE39" i="252"/>
  <c r="BC39" i="252"/>
  <c r="AW39" i="252"/>
  <c r="EU39" i="252"/>
  <c r="AS39" i="252"/>
  <c r="AQ39" i="252"/>
  <c r="AP39" i="252" s="1"/>
  <c r="AM39" i="252"/>
  <c r="AK39" i="252"/>
  <c r="AI39" i="252"/>
  <c r="AG39" i="252"/>
  <c r="AF39" i="252" s="1"/>
  <c r="AC39" i="252"/>
  <c r="AA39" i="252"/>
  <c r="Y39" i="252"/>
  <c r="EV39" i="252"/>
  <c r="W39" i="252"/>
  <c r="V39" i="252" s="1"/>
  <c r="Q39" i="252"/>
  <c r="O39" i="252"/>
  <c r="ED39" i="252"/>
  <c r="DX38" i="252"/>
  <c r="EC38" i="252"/>
  <c r="EB38" i="252" s="1"/>
  <c r="DU38" i="252"/>
  <c r="DN38" i="252"/>
  <c r="DS38" i="252" s="1"/>
  <c r="DR38" i="252" s="1"/>
  <c r="DK38" i="252"/>
  <c r="DD38" i="252"/>
  <c r="DA38" i="252"/>
  <c r="CU38" i="252"/>
  <c r="CS38" i="252"/>
  <c r="CQ38" i="252"/>
  <c r="CK38" i="252"/>
  <c r="CI38" i="252"/>
  <c r="CG38" i="252"/>
  <c r="CA38" i="252"/>
  <c r="BY38" i="252"/>
  <c r="BW38" i="252"/>
  <c r="BQ38" i="252"/>
  <c r="BO38" i="252"/>
  <c r="BU38" i="252"/>
  <c r="BT38" i="252" s="1"/>
  <c r="BM38" i="252"/>
  <c r="BK38" i="252"/>
  <c r="BJ38" i="252" s="1"/>
  <c r="BG38" i="252"/>
  <c r="BE38" i="252"/>
  <c r="BC38" i="252"/>
  <c r="BA38" i="252"/>
  <c r="AZ38" i="252" s="1"/>
  <c r="AS38" i="252"/>
  <c r="AW38" i="252"/>
  <c r="AM38" i="252"/>
  <c r="AK38" i="252"/>
  <c r="AQ38" i="252"/>
  <c r="AP38" i="252" s="1"/>
  <c r="EK38" i="252"/>
  <c r="M38" i="250" s="1"/>
  <c r="AM38" i="257" s="1"/>
  <c r="AA38" i="252"/>
  <c r="Y38" i="252"/>
  <c r="EV38" i="252"/>
  <c r="S38" i="252"/>
  <c r="EI38" i="252"/>
  <c r="O38" i="252"/>
  <c r="DX37" i="252"/>
  <c r="EC37" i="252" s="1"/>
  <c r="EB37" i="252" s="1"/>
  <c r="DU37" i="252"/>
  <c r="DS37" i="252"/>
  <c r="DR37" i="252" s="1"/>
  <c r="DN37" i="252"/>
  <c r="DD37" i="252"/>
  <c r="DI37" i="252" s="1"/>
  <c r="DH37" i="252" s="1"/>
  <c r="DA37" i="252"/>
  <c r="CY37" i="252"/>
  <c r="CX37" i="252" s="1"/>
  <c r="CU37" i="252"/>
  <c r="CS37" i="252"/>
  <c r="CQ37" i="252"/>
  <c r="CO37" i="252"/>
  <c r="CN37" i="252" s="1"/>
  <c r="CK37" i="252"/>
  <c r="CI37" i="252"/>
  <c r="CG37" i="252"/>
  <c r="CA37" i="252"/>
  <c r="BY37" i="252"/>
  <c r="BW37" i="252"/>
  <c r="BQ37" i="252"/>
  <c r="BO37" i="252"/>
  <c r="BM37" i="252"/>
  <c r="BG37" i="252"/>
  <c r="BE37" i="252"/>
  <c r="BC37" i="252"/>
  <c r="AW37" i="252"/>
  <c r="AU37" i="252"/>
  <c r="AS37" i="252"/>
  <c r="AM37" i="252"/>
  <c r="AK37" i="252"/>
  <c r="AI37" i="252"/>
  <c r="AG37" i="252"/>
  <c r="AF37" i="252" s="1"/>
  <c r="AC37" i="252"/>
  <c r="EU37" i="252"/>
  <c r="EW37" i="252" s="1"/>
  <c r="Y37" i="252"/>
  <c r="EV37" i="252"/>
  <c r="W37" i="252"/>
  <c r="V37" i="252" s="1"/>
  <c r="S37" i="252"/>
  <c r="O37" i="252"/>
  <c r="ED37" i="252"/>
  <c r="DX36" i="252"/>
  <c r="EC36" i="252"/>
  <c r="EB36" i="252" s="1"/>
  <c r="DU36" i="252"/>
  <c r="DN36" i="252"/>
  <c r="DS36" i="252" s="1"/>
  <c r="DR36" i="252" s="1"/>
  <c r="DK36" i="252"/>
  <c r="DD36" i="252"/>
  <c r="DA36" i="252"/>
  <c r="CU36" i="252"/>
  <c r="CS36" i="252"/>
  <c r="CQ36" i="252"/>
  <c r="CK36" i="252"/>
  <c r="CI36" i="252"/>
  <c r="CG36" i="252"/>
  <c r="CA36" i="252"/>
  <c r="BY36" i="252"/>
  <c r="EG36" i="252"/>
  <c r="EK36" i="252"/>
  <c r="BO36" i="252"/>
  <c r="BU36" i="252"/>
  <c r="BT36" i="252" s="1"/>
  <c r="BM36" i="252"/>
  <c r="BK36" i="252"/>
  <c r="BJ36" i="252" s="1"/>
  <c r="BG36" i="252"/>
  <c r="BE36" i="252"/>
  <c r="BC36" i="252"/>
  <c r="BA36" i="252"/>
  <c r="AZ36" i="252" s="1"/>
  <c r="AW36" i="252"/>
  <c r="AS36" i="252"/>
  <c r="AU36" i="252"/>
  <c r="AM36" i="252"/>
  <c r="AK36" i="252"/>
  <c r="AQ36" i="252"/>
  <c r="AP36" i="252" s="1"/>
  <c r="AC36" i="252"/>
  <c r="AA36" i="252"/>
  <c r="Y36" i="252"/>
  <c r="EV36" i="252"/>
  <c r="S36" i="252"/>
  <c r="EI36" i="252"/>
  <c r="O36" i="252"/>
  <c r="DX35" i="252"/>
  <c r="DU35" i="252"/>
  <c r="DS35" i="252"/>
  <c r="DR35" i="252" s="1"/>
  <c r="DN35" i="252"/>
  <c r="DD35" i="252"/>
  <c r="DI35" i="252" s="1"/>
  <c r="DH35" i="252" s="1"/>
  <c r="DA35" i="252"/>
  <c r="CY35" i="252"/>
  <c r="CX35" i="252" s="1"/>
  <c r="CU35" i="252"/>
  <c r="CS35" i="252"/>
  <c r="CQ35" i="252"/>
  <c r="CO35" i="252"/>
  <c r="CN35" i="252" s="1"/>
  <c r="CK35" i="252"/>
  <c r="CG35" i="252"/>
  <c r="CI35" i="252"/>
  <c r="CA35" i="252"/>
  <c r="BY35" i="252"/>
  <c r="BW35" i="252"/>
  <c r="BQ35" i="252"/>
  <c r="BO35" i="252"/>
  <c r="BM35" i="252"/>
  <c r="BG35" i="252"/>
  <c r="BE35" i="252"/>
  <c r="BC35" i="252"/>
  <c r="AW35" i="252"/>
  <c r="AU35" i="252"/>
  <c r="AS35" i="252"/>
  <c r="AM35" i="252"/>
  <c r="AK35" i="252"/>
  <c r="AI35" i="252"/>
  <c r="AG35" i="252"/>
  <c r="AF35" i="252" s="1"/>
  <c r="AC35" i="252"/>
  <c r="EU35" i="252"/>
  <c r="EW35" i="252" s="1"/>
  <c r="Y35" i="252"/>
  <c r="EV35" i="252"/>
  <c r="W35" i="252"/>
  <c r="V35" i="252" s="1"/>
  <c r="S35" i="252"/>
  <c r="O35" i="252"/>
  <c r="ED35" i="252"/>
  <c r="DX34" i="252"/>
  <c r="EC34" i="252"/>
  <c r="EB34" i="252" s="1"/>
  <c r="DU34" i="252"/>
  <c r="DN34" i="252"/>
  <c r="DS34" i="252" s="1"/>
  <c r="DR34" i="252" s="1"/>
  <c r="DK34" i="252"/>
  <c r="DD34" i="252"/>
  <c r="DA34" i="252"/>
  <c r="CU34" i="252"/>
  <c r="CS34" i="252"/>
  <c r="CQ34" i="252"/>
  <c r="CK34" i="252"/>
  <c r="CI34" i="252"/>
  <c r="CG34" i="252"/>
  <c r="CA34" i="252"/>
  <c r="BY34" i="252"/>
  <c r="BW34" i="252"/>
  <c r="EK34" i="252"/>
  <c r="BO34" i="252"/>
  <c r="BU34" i="252"/>
  <c r="BT34" i="252" s="1"/>
  <c r="BM34" i="252"/>
  <c r="BK34" i="252"/>
  <c r="BJ34" i="252" s="1"/>
  <c r="BG34" i="252"/>
  <c r="BE34" i="252"/>
  <c r="BC34" i="252"/>
  <c r="BA34" i="252"/>
  <c r="AZ34" i="252" s="1"/>
  <c r="AW34" i="252"/>
  <c r="AS34" i="252"/>
  <c r="AU34" i="252"/>
  <c r="AM34" i="252"/>
  <c r="AK34" i="252"/>
  <c r="AQ34" i="252"/>
  <c r="AP34" i="252" s="1"/>
  <c r="AC34" i="252"/>
  <c r="AA34" i="252"/>
  <c r="Y34" i="252"/>
  <c r="EV34" i="252"/>
  <c r="S34" i="252"/>
  <c r="EI34" i="252"/>
  <c r="O34" i="252"/>
  <c r="DX33" i="252"/>
  <c r="DV42" i="252"/>
  <c r="DU33" i="252"/>
  <c r="DT42" i="252"/>
  <c r="DY42" i="252" s="1"/>
  <c r="DN33" i="252"/>
  <c r="DN42" i="252" s="1"/>
  <c r="DD33" i="252"/>
  <c r="DB42" i="252"/>
  <c r="DA33" i="252"/>
  <c r="CZ42" i="252"/>
  <c r="CY33" i="252"/>
  <c r="CV42" i="252"/>
  <c r="CT42" i="252"/>
  <c r="CR42" i="252"/>
  <c r="CP42" i="252"/>
  <c r="CO33" i="252"/>
  <c r="CL42" i="252"/>
  <c r="CK33" i="252"/>
  <c r="CJ42" i="252"/>
  <c r="CH42" i="252"/>
  <c r="CG33" i="252"/>
  <c r="CF42" i="252"/>
  <c r="CB42" i="252"/>
  <c r="BZ42" i="252"/>
  <c r="BV42" i="252"/>
  <c r="BR42" i="252"/>
  <c r="BQ42" i="252" s="1"/>
  <c r="BQ33" i="252"/>
  <c r="BP42" i="252"/>
  <c r="BO33" i="252"/>
  <c r="BN42" i="252"/>
  <c r="BM42" i="252" s="1"/>
  <c r="BL42" i="252"/>
  <c r="BH42" i="252"/>
  <c r="BD42" i="252"/>
  <c r="BC42" i="252" s="1"/>
  <c r="BB42" i="252"/>
  <c r="AX42" i="252"/>
  <c r="AW33" i="252"/>
  <c r="AV42" i="252"/>
  <c r="AT42" i="252"/>
  <c r="AS33" i="252"/>
  <c r="AR42" i="252"/>
  <c r="AO42" i="252"/>
  <c r="AN42" i="252"/>
  <c r="AM42" i="252" s="1"/>
  <c r="AL42" i="252"/>
  <c r="AK42" i="252" s="1"/>
  <c r="AK33" i="252"/>
  <c r="AJ42" i="252"/>
  <c r="AI42" i="252" s="1"/>
  <c r="AI33" i="252"/>
  <c r="AH42" i="252"/>
  <c r="AG33" i="252"/>
  <c r="AD42" i="252"/>
  <c r="Z42" i="252"/>
  <c r="W33" i="252"/>
  <c r="T42" i="252"/>
  <c r="S42" i="252" s="1"/>
  <c r="S33" i="252"/>
  <c r="R42" i="252"/>
  <c r="P42" i="252"/>
  <c r="O42" i="252" s="1"/>
  <c r="O33" i="252"/>
  <c r="N42" i="252"/>
  <c r="G42" i="252"/>
  <c r="EV32" i="252"/>
  <c r="EU32" i="252"/>
  <c r="EW32" i="252" s="1"/>
  <c r="ES32" i="252"/>
  <c r="DX32" i="252"/>
  <c r="DU32" i="252"/>
  <c r="DN32" i="252"/>
  <c r="EW31" i="252"/>
  <c r="EV31" i="252"/>
  <c r="EU31" i="252"/>
  <c r="ES31" i="252"/>
  <c r="DX31" i="252"/>
  <c r="DU31" i="252"/>
  <c r="DK31" i="252"/>
  <c r="DN31" i="252"/>
  <c r="DZ30" i="252"/>
  <c r="DZ170" i="252" s="1"/>
  <c r="DP30" i="252"/>
  <c r="DF30" i="252"/>
  <c r="BB30" i="252"/>
  <c r="C30" i="252"/>
  <c r="EV29" i="252"/>
  <c r="DX29" i="252"/>
  <c r="DU29" i="252"/>
  <c r="DN29" i="252"/>
  <c r="DA29" i="252"/>
  <c r="CU29" i="252"/>
  <c r="CS29" i="252"/>
  <c r="CQ29" i="252"/>
  <c r="CK29" i="252"/>
  <c r="CI29" i="252"/>
  <c r="CE29" i="252"/>
  <c r="CD29" i="252" s="1"/>
  <c r="BY29" i="252"/>
  <c r="BQ29" i="252"/>
  <c r="EU29" i="252"/>
  <c r="EW29" i="252" s="1"/>
  <c r="BM29" i="252"/>
  <c r="BG29" i="252"/>
  <c r="BE29" i="252"/>
  <c r="AW29" i="252"/>
  <c r="AU29" i="252"/>
  <c r="BA29" i="252"/>
  <c r="AZ29" i="252" s="1"/>
  <c r="AS29" i="252"/>
  <c r="AQ29" i="252"/>
  <c r="AP29" i="252" s="1"/>
  <c r="AK29" i="252"/>
  <c r="AC29" i="252"/>
  <c r="EK29" i="252"/>
  <c r="S29" i="252"/>
  <c r="Q29" i="252"/>
  <c r="DX28" i="252"/>
  <c r="DU28" i="252"/>
  <c r="DN28" i="252"/>
  <c r="DK28" i="252"/>
  <c r="DD28" i="252"/>
  <c r="CU28" i="252"/>
  <c r="CQ28" i="252"/>
  <c r="CK28" i="252"/>
  <c r="CI28" i="252"/>
  <c r="CA28" i="252"/>
  <c r="BY28" i="252"/>
  <c r="CE28" i="252"/>
  <c r="CD28" i="252" s="1"/>
  <c r="BW28" i="252"/>
  <c r="BK28" i="252"/>
  <c r="BG28" i="252"/>
  <c r="AW28" i="252"/>
  <c r="AU28" i="252"/>
  <c r="BA28" i="252"/>
  <c r="AZ28" i="252" s="1"/>
  <c r="AP28" i="252"/>
  <c r="AM28" i="252"/>
  <c r="AK28" i="252"/>
  <c r="AQ28" i="252"/>
  <c r="AC28" i="252"/>
  <c r="Y28" i="252"/>
  <c r="EK28" i="252"/>
  <c r="S28" i="252"/>
  <c r="W28" i="252"/>
  <c r="V28" i="252" s="1"/>
  <c r="DX27" i="252"/>
  <c r="DN27" i="252"/>
  <c r="DK27" i="252"/>
  <c r="DA27" i="252"/>
  <c r="DD27" i="252"/>
  <c r="EI27" i="252" s="1"/>
  <c r="L27" i="250" s="1"/>
  <c r="AK27" i="257" s="1"/>
  <c r="CY27" i="252"/>
  <c r="CQ27" i="252"/>
  <c r="CK27" i="252"/>
  <c r="CI27" i="252"/>
  <c r="CG27" i="252"/>
  <c r="CD27" i="252"/>
  <c r="CA27" i="252"/>
  <c r="BY27" i="252"/>
  <c r="CE27" i="252"/>
  <c r="BW27" i="252"/>
  <c r="BU27" i="252"/>
  <c r="BT27" i="252" s="1"/>
  <c r="BO27" i="252"/>
  <c r="BJ27" i="252"/>
  <c r="BG27" i="252"/>
  <c r="BK27" i="252"/>
  <c r="BC27" i="252"/>
  <c r="BA27" i="252"/>
  <c r="AZ27" i="252" s="1"/>
  <c r="AW27" i="252"/>
  <c r="AM27" i="252"/>
  <c r="AG27" i="252"/>
  <c r="AF27" i="252"/>
  <c r="Y27" i="252"/>
  <c r="AC27" i="252"/>
  <c r="ED27" i="252"/>
  <c r="DX26" i="252"/>
  <c r="DU26" i="252"/>
  <c r="DN26" i="252"/>
  <c r="DK26" i="252"/>
  <c r="DD26" i="252"/>
  <c r="DA26" i="252"/>
  <c r="CU26" i="252"/>
  <c r="CY26" i="252"/>
  <c r="CX26" i="252" s="1"/>
  <c r="CQ26" i="252"/>
  <c r="CK26" i="252"/>
  <c r="CG26" i="252"/>
  <c r="CA26" i="252"/>
  <c r="BY26" i="252"/>
  <c r="CE26" i="252"/>
  <c r="CD26" i="252" s="1"/>
  <c r="BQ26" i="252"/>
  <c r="BO26" i="252"/>
  <c r="BM26" i="252"/>
  <c r="BK26" i="252"/>
  <c r="BJ26" i="252" s="1"/>
  <c r="BG26" i="252"/>
  <c r="BE26" i="252"/>
  <c r="BA26" i="252"/>
  <c r="AZ26" i="252" s="1"/>
  <c r="AS26" i="252"/>
  <c r="AK26" i="252"/>
  <c r="Y26" i="252"/>
  <c r="AC26" i="252"/>
  <c r="EK26" i="252"/>
  <c r="M26" i="250" s="1"/>
  <c r="AM26" i="257" s="1"/>
  <c r="S26" i="252"/>
  <c r="DX25" i="252"/>
  <c r="DU25" i="252"/>
  <c r="DN25" i="252"/>
  <c r="DK25" i="252"/>
  <c r="DD25" i="252"/>
  <c r="EI25" i="252" s="1"/>
  <c r="DA25" i="252"/>
  <c r="CY25" i="252"/>
  <c r="CX25" i="252"/>
  <c r="CU25" i="252"/>
  <c r="CO25" i="252"/>
  <c r="CN25" i="252" s="1"/>
  <c r="CK25" i="252"/>
  <c r="CI25" i="252"/>
  <c r="CG25" i="252"/>
  <c r="CA25" i="252"/>
  <c r="BY25" i="252"/>
  <c r="BW25" i="252"/>
  <c r="BU25" i="252"/>
  <c r="BO25" i="252"/>
  <c r="BT25" i="252"/>
  <c r="BG25" i="252"/>
  <c r="BE25" i="252"/>
  <c r="BC25" i="252"/>
  <c r="BA25" i="252"/>
  <c r="AS25" i="252"/>
  <c r="AM25" i="252"/>
  <c r="AK25" i="252"/>
  <c r="AG25" i="252"/>
  <c r="EK25" i="252"/>
  <c r="S25" i="252"/>
  <c r="Q25" i="252"/>
  <c r="O25" i="252"/>
  <c r="ED25" i="252"/>
  <c r="J25" i="250" s="1"/>
  <c r="AH25" i="257" s="1"/>
  <c r="DN24" i="252"/>
  <c r="DK24" i="252"/>
  <c r="DD24" i="252"/>
  <c r="DI24" i="252"/>
  <c r="DH24" i="252" s="1"/>
  <c r="CQ24" i="252"/>
  <c r="CU24" i="252"/>
  <c r="CG24" i="252"/>
  <c r="CA24" i="252"/>
  <c r="BY24" i="252"/>
  <c r="BW24" i="252"/>
  <c r="BU24" i="252"/>
  <c r="BT24" i="252" s="1"/>
  <c r="BO24" i="252"/>
  <c r="BK24" i="252"/>
  <c r="BJ24" i="252" s="1"/>
  <c r="BE24" i="252"/>
  <c r="BC24" i="252"/>
  <c r="AW24" i="252"/>
  <c r="AM24" i="252"/>
  <c r="AK24" i="252"/>
  <c r="AG24" i="252"/>
  <c r="AF24" i="252"/>
  <c r="EV24" i="252"/>
  <c r="W24" i="252"/>
  <c r="V24" i="252" s="1"/>
  <c r="EK24" i="252"/>
  <c r="S24" i="252"/>
  <c r="O24" i="252"/>
  <c r="DX23" i="252"/>
  <c r="DN23" i="252"/>
  <c r="DK23" i="252"/>
  <c r="DD23" i="252"/>
  <c r="CY23" i="252"/>
  <c r="CX23" i="252" s="1"/>
  <c r="CS23" i="252"/>
  <c r="CQ23" i="252"/>
  <c r="CU23" i="252"/>
  <c r="CK23" i="252"/>
  <c r="CI23" i="252"/>
  <c r="CG23" i="252"/>
  <c r="CA23" i="252"/>
  <c r="BY23" i="252"/>
  <c r="CE23" i="252"/>
  <c r="CD23" i="252" s="1"/>
  <c r="BQ23" i="252"/>
  <c r="BO23" i="252"/>
  <c r="BM23" i="252"/>
  <c r="BK23" i="252"/>
  <c r="BJ23" i="252" s="1"/>
  <c r="BG23" i="252"/>
  <c r="BE23" i="252"/>
  <c r="BC23" i="252"/>
  <c r="AW23" i="252"/>
  <c r="BA23" i="252"/>
  <c r="AZ23" i="252" s="1"/>
  <c r="AS23" i="252"/>
  <c r="AK23" i="252"/>
  <c r="Y23" i="252"/>
  <c r="AC23" i="252"/>
  <c r="EV23" i="252"/>
  <c r="DX22" i="252"/>
  <c r="DU22" i="252"/>
  <c r="DN22" i="252"/>
  <c r="DS22" i="252"/>
  <c r="DR22" i="252" s="1"/>
  <c r="DK22" i="252"/>
  <c r="DD22" i="252"/>
  <c r="DI22" i="252" s="1"/>
  <c r="DH22" i="252" s="1"/>
  <c r="CY22" i="252"/>
  <c r="CX22" i="252" s="1"/>
  <c r="CK22" i="252"/>
  <c r="CI22" i="252"/>
  <c r="CG22" i="252"/>
  <c r="CD22" i="252"/>
  <c r="CA22" i="252"/>
  <c r="BY22" i="252"/>
  <c r="CE22" i="252"/>
  <c r="BU22" i="252"/>
  <c r="BT22" i="252" s="1"/>
  <c r="BQ22" i="252"/>
  <c r="BO22" i="252"/>
  <c r="BM22" i="252"/>
  <c r="BG22" i="252"/>
  <c r="BE22" i="252"/>
  <c r="BC22" i="252"/>
  <c r="BA22" i="252"/>
  <c r="AZ22" i="252" s="1"/>
  <c r="AW22" i="252"/>
  <c r="AU22" i="252"/>
  <c r="AS22" i="252"/>
  <c r="AK22" i="252"/>
  <c r="AG22" i="252"/>
  <c r="AF22" i="252" s="1"/>
  <c r="AA22" i="252"/>
  <c r="Y22" i="252"/>
  <c r="AC22" i="252"/>
  <c r="EU22" i="252"/>
  <c r="EG22" i="252"/>
  <c r="EC21" i="252"/>
  <c r="EB21" i="252" s="1"/>
  <c r="DX21" i="252"/>
  <c r="DU21" i="252"/>
  <c r="DN21" i="252"/>
  <c r="DK21" i="252"/>
  <c r="DD21" i="252"/>
  <c r="CY21" i="252"/>
  <c r="CX21" i="252"/>
  <c r="CU21" i="252"/>
  <c r="CO21" i="252"/>
  <c r="CN21" i="252" s="1"/>
  <c r="CK21" i="252"/>
  <c r="CI21" i="252"/>
  <c r="CG21" i="252"/>
  <c r="CA21" i="252"/>
  <c r="BY21" i="252"/>
  <c r="BW21" i="252"/>
  <c r="BU21" i="252"/>
  <c r="BT21" i="252"/>
  <c r="BG21" i="252"/>
  <c r="BE21" i="252"/>
  <c r="BC21" i="252"/>
  <c r="BA21" i="252"/>
  <c r="AZ21" i="252" s="1"/>
  <c r="AS21" i="252"/>
  <c r="AM21" i="252"/>
  <c r="AK21" i="252"/>
  <c r="AG21" i="252"/>
  <c r="AF21" i="252" s="1"/>
  <c r="AA21" i="252"/>
  <c r="EK21" i="252"/>
  <c r="S21" i="252"/>
  <c r="EU21" i="252"/>
  <c r="EG20" i="252"/>
  <c r="DN20" i="252"/>
  <c r="DK20" i="252"/>
  <c r="DD20" i="252"/>
  <c r="CQ20" i="252"/>
  <c r="CU20" i="252"/>
  <c r="CG20" i="252"/>
  <c r="CA20" i="252"/>
  <c r="BY20" i="252"/>
  <c r="BW20" i="252"/>
  <c r="BU20" i="252"/>
  <c r="BT20" i="252" s="1"/>
  <c r="BO20" i="252"/>
  <c r="BK20" i="252"/>
  <c r="BJ20" i="252" s="1"/>
  <c r="BE20" i="252"/>
  <c r="BC20" i="252"/>
  <c r="AW20" i="252"/>
  <c r="AM20" i="252"/>
  <c r="AK20" i="252"/>
  <c r="AG20" i="252"/>
  <c r="AF20" i="252"/>
  <c r="EV20" i="252"/>
  <c r="W20" i="252"/>
  <c r="V20" i="252" s="1"/>
  <c r="EK20" i="252"/>
  <c r="S20" i="252"/>
  <c r="O20" i="252"/>
  <c r="DX19" i="252"/>
  <c r="EC19" i="252" s="1"/>
  <c r="EB19" i="252" s="1"/>
  <c r="DS19" i="252"/>
  <c r="DR19" i="252" s="1"/>
  <c r="DN19" i="252"/>
  <c r="DK19" i="252"/>
  <c r="DD19" i="252"/>
  <c r="DA19" i="252"/>
  <c r="CU19" i="252"/>
  <c r="CS19" i="252"/>
  <c r="CY19" i="252"/>
  <c r="CX19" i="252" s="1"/>
  <c r="CQ19" i="252"/>
  <c r="CI19" i="252"/>
  <c r="BW19" i="252"/>
  <c r="CA19" i="252"/>
  <c r="BM19" i="252"/>
  <c r="BG19" i="252"/>
  <c r="BE19" i="252"/>
  <c r="BC19" i="252"/>
  <c r="BA19" i="252"/>
  <c r="AU19" i="252"/>
  <c r="AZ19" i="252"/>
  <c r="EI19" i="252"/>
  <c r="L19" i="250" s="1"/>
  <c r="AK19" i="257" s="1"/>
  <c r="AI19" i="252"/>
  <c r="AC19" i="252"/>
  <c r="AA19" i="252"/>
  <c r="Y19" i="252"/>
  <c r="W19" i="252"/>
  <c r="V19" i="252" s="1"/>
  <c r="Q19" i="252"/>
  <c r="ED19" i="252"/>
  <c r="J19" i="250" s="1"/>
  <c r="AH19" i="257" s="1"/>
  <c r="DX18" i="252"/>
  <c r="DS18" i="252"/>
  <c r="DR18" i="252"/>
  <c r="DN18" i="252"/>
  <c r="DK18" i="252"/>
  <c r="DI18" i="252"/>
  <c r="DH18" i="252" s="1"/>
  <c r="DD18" i="252"/>
  <c r="DA18" i="252"/>
  <c r="CU18" i="252"/>
  <c r="CS18" i="252"/>
  <c r="CQ18" i="252"/>
  <c r="CK18" i="252"/>
  <c r="CI18" i="252"/>
  <c r="CG18" i="252"/>
  <c r="CE18" i="252"/>
  <c r="CA18" i="252"/>
  <c r="BQ18" i="252"/>
  <c r="BO18" i="252"/>
  <c r="BU18" i="252"/>
  <c r="BT18" i="252" s="1"/>
  <c r="BM18" i="252"/>
  <c r="BG18" i="252"/>
  <c r="BE18" i="252"/>
  <c r="BA18" i="252"/>
  <c r="AZ18" i="252" s="1"/>
  <c r="AW18" i="252"/>
  <c r="AU18" i="252"/>
  <c r="AS18" i="252"/>
  <c r="AM18" i="252"/>
  <c r="AQ18" i="252"/>
  <c r="AP18" i="252" s="1"/>
  <c r="AK18" i="252"/>
  <c r="AC18" i="252"/>
  <c r="AA18" i="252"/>
  <c r="AG18" i="252"/>
  <c r="AF18" i="252" s="1"/>
  <c r="Y18" i="252"/>
  <c r="Q18" i="252"/>
  <c r="O18" i="252"/>
  <c r="DX17" i="252"/>
  <c r="DS17" i="252"/>
  <c r="DR17" i="252" s="1"/>
  <c r="DN17" i="252"/>
  <c r="DK17" i="252"/>
  <c r="DD17" i="252"/>
  <c r="DI17" i="252" s="1"/>
  <c r="DH17" i="252" s="1"/>
  <c r="DA17" i="252"/>
  <c r="CU17" i="252"/>
  <c r="CS17" i="252"/>
  <c r="CY17" i="252"/>
  <c r="CX17" i="252" s="1"/>
  <c r="CQ17" i="252"/>
  <c r="CK17" i="252"/>
  <c r="CI17" i="252"/>
  <c r="CE17" i="252"/>
  <c r="CD17" i="252" s="1"/>
  <c r="CA17" i="252"/>
  <c r="BY17" i="252"/>
  <c r="BW17" i="252"/>
  <c r="BQ17" i="252"/>
  <c r="BU17" i="252"/>
  <c r="BT17" i="252" s="1"/>
  <c r="BM17" i="252"/>
  <c r="BG17" i="252"/>
  <c r="BC17" i="252"/>
  <c r="BE17" i="252"/>
  <c r="AW17" i="252"/>
  <c r="AU17" i="252"/>
  <c r="AS17" i="252"/>
  <c r="AQ17" i="252"/>
  <c r="AC17" i="252"/>
  <c r="AA17" i="252"/>
  <c r="AG17" i="252"/>
  <c r="AF17" i="252" s="1"/>
  <c r="Y17" i="252"/>
  <c r="S17" i="252"/>
  <c r="Q17" i="252"/>
  <c r="EC16" i="252"/>
  <c r="EB16" i="252" s="1"/>
  <c r="DX16" i="252"/>
  <c r="DU16" i="252"/>
  <c r="DN16" i="252"/>
  <c r="DK16" i="252"/>
  <c r="DD16" i="252"/>
  <c r="DI16" i="252"/>
  <c r="DH16" i="252" s="1"/>
  <c r="DA16" i="252"/>
  <c r="CU16" i="252"/>
  <c r="CQ16" i="252"/>
  <c r="CS16" i="252"/>
  <c r="CK16" i="252"/>
  <c r="CI16" i="252"/>
  <c r="CG16" i="252"/>
  <c r="BY16" i="252"/>
  <c r="BW16" i="252"/>
  <c r="CA16" i="252"/>
  <c r="BU16" i="252"/>
  <c r="BT16" i="252" s="1"/>
  <c r="BG16" i="252"/>
  <c r="BE16" i="252"/>
  <c r="BK16" i="252"/>
  <c r="BJ16" i="252" s="1"/>
  <c r="BC16" i="252"/>
  <c r="AW16" i="252"/>
  <c r="AU16" i="252"/>
  <c r="AM16" i="252"/>
  <c r="AI16" i="252"/>
  <c r="AC16" i="252"/>
  <c r="Y16" i="252"/>
  <c r="AA16" i="252"/>
  <c r="EU16" i="252"/>
  <c r="Q16" i="252"/>
  <c r="O16" i="252"/>
  <c r="ED16" i="252"/>
  <c r="DX15" i="252"/>
  <c r="DS15" i="252"/>
  <c r="DR15" i="252" s="1"/>
  <c r="DN15" i="252"/>
  <c r="DK15" i="252"/>
  <c r="DD15" i="252"/>
  <c r="DA15" i="252"/>
  <c r="CU15" i="252"/>
  <c r="CS15" i="252"/>
  <c r="CY15" i="252"/>
  <c r="CX15" i="252" s="1"/>
  <c r="CQ15" i="252"/>
  <c r="CK15" i="252"/>
  <c r="CI15" i="252"/>
  <c r="CE15" i="252"/>
  <c r="CD15" i="252" s="1"/>
  <c r="CA15" i="252"/>
  <c r="BY15" i="252"/>
  <c r="BW15" i="252"/>
  <c r="BQ15" i="252"/>
  <c r="BO15" i="252"/>
  <c r="BU15" i="252"/>
  <c r="BT15" i="252" s="1"/>
  <c r="BM15" i="252"/>
  <c r="BG15" i="252"/>
  <c r="BC15" i="252"/>
  <c r="BE15" i="252"/>
  <c r="AU15" i="252"/>
  <c r="AS15" i="252"/>
  <c r="AQ15" i="252"/>
  <c r="AP15" i="252"/>
  <c r="AC15" i="252"/>
  <c r="AA15" i="252"/>
  <c r="AG15" i="252"/>
  <c r="AF15" i="252" s="1"/>
  <c r="Y15" i="252"/>
  <c r="S15" i="252"/>
  <c r="EU15" i="252"/>
  <c r="Q15" i="252"/>
  <c r="DX14" i="252"/>
  <c r="DU14" i="252"/>
  <c r="DN14" i="252"/>
  <c r="DN30" i="252" s="1"/>
  <c r="DL30" i="252"/>
  <c r="DD14" i="252"/>
  <c r="DB30" i="252"/>
  <c r="DA14" i="252"/>
  <c r="CU14" i="252"/>
  <c r="CT30" i="252"/>
  <c r="CR30" i="252"/>
  <c r="CS14" i="252"/>
  <c r="CJ30" i="252"/>
  <c r="CI14" i="252"/>
  <c r="CG14" i="252"/>
  <c r="CB30" i="252"/>
  <c r="BY14" i="252"/>
  <c r="BW14" i="252"/>
  <c r="BU14" i="252"/>
  <c r="BR30" i="252"/>
  <c r="BN30" i="252"/>
  <c r="BH30" i="252"/>
  <c r="BE14" i="252"/>
  <c r="BK14" i="252"/>
  <c r="BC14" i="252"/>
  <c r="AW14" i="252"/>
  <c r="AV30" i="252"/>
  <c r="AM14" i="252"/>
  <c r="AI14" i="252"/>
  <c r="AC14" i="252"/>
  <c r="Y14" i="252"/>
  <c r="AA14" i="252"/>
  <c r="Q14" i="252"/>
  <c r="O14" i="252"/>
  <c r="N30" i="252"/>
  <c r="O214" i="251"/>
  <c r="AR236" i="257"/>
  <c r="AU235" i="257"/>
  <c r="AV235" i="257" s="1"/>
  <c r="AS235" i="257"/>
  <c r="AR235" i="257"/>
  <c r="O212" i="251"/>
  <c r="AU232" i="257"/>
  <c r="AV232" i="257" s="1"/>
  <c r="AS232" i="257"/>
  <c r="AR232" i="257"/>
  <c r="AU233" i="257"/>
  <c r="AV233" i="257" s="1"/>
  <c r="AS233" i="257"/>
  <c r="AR233" i="257"/>
  <c r="AS231" i="257"/>
  <c r="AR231" i="257"/>
  <c r="AU229" i="257"/>
  <c r="AS229" i="257"/>
  <c r="AR229" i="257"/>
  <c r="AU228" i="257"/>
  <c r="AV228" i="257" s="1"/>
  <c r="AR228" i="257"/>
  <c r="N206" i="251"/>
  <c r="O206" i="251" s="1"/>
  <c r="AU227" i="257"/>
  <c r="AV227" i="257" s="1"/>
  <c r="AS227" i="257"/>
  <c r="AR227" i="257"/>
  <c r="O205" i="251"/>
  <c r="AU226" i="257"/>
  <c r="AV226" i="257" s="1"/>
  <c r="AS226" i="257"/>
  <c r="AR226" i="257"/>
  <c r="O204" i="251"/>
  <c r="AU223" i="257"/>
  <c r="AV223" i="257" s="1"/>
  <c r="AS223" i="257"/>
  <c r="AR223" i="257"/>
  <c r="O203" i="251"/>
  <c r="O202" i="251"/>
  <c r="O201" i="251"/>
  <c r="N200" i="251"/>
  <c r="O200" i="251" s="1"/>
  <c r="AU208" i="257"/>
  <c r="AS208" i="257"/>
  <c r="AR208" i="257"/>
  <c r="D137" i="256" s="1"/>
  <c r="H200" i="251"/>
  <c r="G200" i="251"/>
  <c r="F200" i="251"/>
  <c r="E200" i="251"/>
  <c r="C200" i="251"/>
  <c r="M197" i="251"/>
  <c r="N196" i="251"/>
  <c r="AU204" i="257"/>
  <c r="AS204" i="257"/>
  <c r="G196" i="251"/>
  <c r="E196" i="251"/>
  <c r="N195" i="251"/>
  <c r="O195" i="251" s="1"/>
  <c r="AU203" i="257"/>
  <c r="AS203" i="257"/>
  <c r="AR203" i="257"/>
  <c r="D20" i="256" s="1"/>
  <c r="G195" i="251"/>
  <c r="E195" i="251"/>
  <c r="D195" i="251"/>
  <c r="P194" i="251"/>
  <c r="AS202" i="257"/>
  <c r="AR202" i="257"/>
  <c r="D19" i="256" s="1"/>
  <c r="G194" i="251"/>
  <c r="E194" i="251"/>
  <c r="C194" i="251"/>
  <c r="Q193" i="251"/>
  <c r="AU201" i="257"/>
  <c r="AR201" i="257"/>
  <c r="D18" i="256" s="1"/>
  <c r="G193" i="251"/>
  <c r="E193" i="251"/>
  <c r="S192" i="251"/>
  <c r="N192" i="251"/>
  <c r="O192" i="251" s="1"/>
  <c r="AU200" i="257"/>
  <c r="AS200" i="257"/>
  <c r="R192" i="251"/>
  <c r="G192" i="251"/>
  <c r="F192" i="251"/>
  <c r="E192" i="251"/>
  <c r="N191" i="251"/>
  <c r="O191" i="251" s="1"/>
  <c r="AU199" i="257"/>
  <c r="AS199" i="257"/>
  <c r="AR199" i="257"/>
  <c r="D16" i="256" s="1"/>
  <c r="H191" i="251"/>
  <c r="G191" i="251"/>
  <c r="F191" i="251"/>
  <c r="E191" i="251"/>
  <c r="C191" i="251"/>
  <c r="P190" i="251"/>
  <c r="AS197" i="257"/>
  <c r="AR197" i="257"/>
  <c r="G190" i="251"/>
  <c r="F190" i="251"/>
  <c r="E190" i="251"/>
  <c r="C190" i="251"/>
  <c r="O189" i="251"/>
  <c r="O188" i="251"/>
  <c r="R187" i="251"/>
  <c r="M187" i="251"/>
  <c r="R186" i="251"/>
  <c r="S186" i="251" s="1"/>
  <c r="Q186" i="251"/>
  <c r="AU191" i="257"/>
  <c r="AS191" i="257"/>
  <c r="AR191" i="257"/>
  <c r="D13" i="256" s="1"/>
  <c r="P185" i="251"/>
  <c r="AU190" i="257"/>
  <c r="AS190" i="257"/>
  <c r="AR190" i="257"/>
  <c r="D12" i="256" s="1"/>
  <c r="G185" i="251"/>
  <c r="E185" i="251"/>
  <c r="N184" i="251"/>
  <c r="O184" i="251" s="1"/>
  <c r="AU189" i="257"/>
  <c r="AS189" i="257"/>
  <c r="AR189" i="257"/>
  <c r="D11" i="256" s="1"/>
  <c r="G184" i="251"/>
  <c r="E184" i="251"/>
  <c r="N183" i="251"/>
  <c r="O183" i="251" s="1"/>
  <c r="AU188" i="257"/>
  <c r="AS188" i="257"/>
  <c r="AR188" i="257"/>
  <c r="D10" i="256" s="1"/>
  <c r="G183" i="251"/>
  <c r="E183" i="251"/>
  <c r="D183" i="251"/>
  <c r="P182" i="251"/>
  <c r="AS187" i="257"/>
  <c r="AR187" i="257"/>
  <c r="G182" i="251"/>
  <c r="E182" i="251"/>
  <c r="O181" i="251"/>
  <c r="O180" i="251"/>
  <c r="O179" i="251"/>
  <c r="M178" i="251"/>
  <c r="K178" i="251"/>
  <c r="N177" i="251"/>
  <c r="AU182" i="257"/>
  <c r="AS182" i="257"/>
  <c r="AR182" i="257"/>
  <c r="D28" i="256" s="1"/>
  <c r="E177" i="251"/>
  <c r="N176" i="251"/>
  <c r="AU181" i="257"/>
  <c r="AS181" i="257"/>
  <c r="AR181" i="257"/>
  <c r="E176" i="251"/>
  <c r="O175" i="251"/>
  <c r="O174" i="251"/>
  <c r="R173" i="251"/>
  <c r="K173" i="251"/>
  <c r="R172" i="251"/>
  <c r="P172" i="251"/>
  <c r="AU177" i="257"/>
  <c r="AS177" i="257"/>
  <c r="AR177" i="257"/>
  <c r="O171" i="251"/>
  <c r="O170" i="251"/>
  <c r="O169" i="251"/>
  <c r="O167" i="251"/>
  <c r="M166" i="251"/>
  <c r="P165" i="251"/>
  <c r="AS169" i="257"/>
  <c r="AR169" i="257"/>
  <c r="D136" i="256" s="1"/>
  <c r="E165" i="251"/>
  <c r="Q164" i="251"/>
  <c r="AU165" i="257"/>
  <c r="AR165" i="257"/>
  <c r="D135" i="256" s="1"/>
  <c r="E164" i="251"/>
  <c r="N163" i="251"/>
  <c r="AU164" i="257"/>
  <c r="AS164" i="257"/>
  <c r="E163" i="251"/>
  <c r="AU163" i="257"/>
  <c r="AS163" i="257"/>
  <c r="AR163" i="257"/>
  <c r="D133" i="256" s="1"/>
  <c r="E162" i="251"/>
  <c r="Q161" i="251"/>
  <c r="N161" i="251"/>
  <c r="O161" i="251" s="1"/>
  <c r="AU162" i="257"/>
  <c r="AS162" i="257"/>
  <c r="AR162" i="257"/>
  <c r="D132" i="256" s="1"/>
  <c r="E161" i="251"/>
  <c r="P160" i="251"/>
  <c r="AU161" i="257"/>
  <c r="AS161" i="257"/>
  <c r="AR161" i="257"/>
  <c r="D131" i="256" s="1"/>
  <c r="E160" i="251"/>
  <c r="Q159" i="251"/>
  <c r="AU160" i="257"/>
  <c r="AS160" i="257"/>
  <c r="AR160" i="257"/>
  <c r="D130" i="256" s="1"/>
  <c r="E159" i="251"/>
  <c r="N158" i="251"/>
  <c r="O158" i="251" s="1"/>
  <c r="AU159" i="257"/>
  <c r="AS159" i="257"/>
  <c r="AR159" i="257"/>
  <c r="D129" i="256" s="1"/>
  <c r="E158" i="251"/>
  <c r="P157" i="251"/>
  <c r="AS158" i="257"/>
  <c r="AR158" i="257"/>
  <c r="D128" i="256" s="1"/>
  <c r="E157" i="251"/>
  <c r="Q156" i="251"/>
  <c r="AU157" i="257"/>
  <c r="AR157" i="257"/>
  <c r="D127" i="256" s="1"/>
  <c r="E156" i="251"/>
  <c r="N155" i="251"/>
  <c r="AU156" i="257"/>
  <c r="AS156" i="257"/>
  <c r="E155" i="251"/>
  <c r="AU155" i="257"/>
  <c r="AS155" i="257"/>
  <c r="AR155" i="257"/>
  <c r="D125" i="256" s="1"/>
  <c r="E154" i="251"/>
  <c r="Q153" i="251"/>
  <c r="N153" i="251"/>
  <c r="O153" i="251" s="1"/>
  <c r="AU154" i="257"/>
  <c r="AS154" i="257"/>
  <c r="AR154" i="257"/>
  <c r="D124" i="256" s="1"/>
  <c r="E153" i="251"/>
  <c r="P152" i="251"/>
  <c r="AU153" i="257"/>
  <c r="AS153" i="257"/>
  <c r="AR153" i="257"/>
  <c r="D123" i="256" s="1"/>
  <c r="E152" i="251"/>
  <c r="Q151" i="251"/>
  <c r="AU152" i="257"/>
  <c r="AS152" i="257"/>
  <c r="AR152" i="257"/>
  <c r="D121" i="256" s="1"/>
  <c r="E151" i="251"/>
  <c r="N150" i="251"/>
  <c r="O150" i="251" s="1"/>
  <c r="AU151" i="257"/>
  <c r="AS151" i="257"/>
  <c r="AR151" i="257"/>
  <c r="E150" i="251"/>
  <c r="O149" i="251"/>
  <c r="Q148" i="251"/>
  <c r="AU149" i="257"/>
  <c r="AR149" i="257"/>
  <c r="D69" i="256" s="1"/>
  <c r="E148" i="251"/>
  <c r="N147" i="251"/>
  <c r="O147" i="251" s="1"/>
  <c r="AU148" i="257"/>
  <c r="AS148" i="257"/>
  <c r="AR148" i="257"/>
  <c r="D58" i="256" s="1"/>
  <c r="E147" i="251"/>
  <c r="Q146" i="251"/>
  <c r="AU147" i="257"/>
  <c r="AR147" i="257"/>
  <c r="D62" i="256" s="1"/>
  <c r="E146" i="251"/>
  <c r="N145" i="251"/>
  <c r="AU146" i="257"/>
  <c r="AS146" i="257"/>
  <c r="E145" i="251"/>
  <c r="AU145" i="257"/>
  <c r="AS145" i="257"/>
  <c r="AR145" i="257"/>
  <c r="D60" i="256" s="1"/>
  <c r="E144" i="251"/>
  <c r="Q143" i="251"/>
  <c r="N143" i="251"/>
  <c r="O143" i="251" s="1"/>
  <c r="AU144" i="257"/>
  <c r="AS144" i="257"/>
  <c r="AR144" i="257"/>
  <c r="D59" i="256" s="1"/>
  <c r="E143" i="251"/>
  <c r="P142" i="251"/>
  <c r="AU143" i="257"/>
  <c r="AS143" i="257"/>
  <c r="AR143" i="257"/>
  <c r="D67" i="256" s="1"/>
  <c r="E142" i="251"/>
  <c r="O141" i="251"/>
  <c r="O140" i="251"/>
  <c r="O139" i="251"/>
  <c r="AU139" i="257"/>
  <c r="AS139" i="257"/>
  <c r="AR139" i="257"/>
  <c r="D68" i="256" s="1"/>
  <c r="E138" i="251"/>
  <c r="O137" i="251"/>
  <c r="O136" i="251"/>
  <c r="M135" i="251"/>
  <c r="P134" i="251"/>
  <c r="AS135" i="257"/>
  <c r="AR135" i="257"/>
  <c r="D57" i="256" s="1"/>
  <c r="E134" i="251"/>
  <c r="Q133" i="251"/>
  <c r="AU134" i="257"/>
  <c r="AR134" i="257"/>
  <c r="E133" i="251"/>
  <c r="M130" i="251"/>
  <c r="K130" i="251"/>
  <c r="N129" i="251"/>
  <c r="O129" i="251" s="1"/>
  <c r="AU130" i="257"/>
  <c r="AS130" i="257"/>
  <c r="AR130" i="257"/>
  <c r="D119" i="256" s="1"/>
  <c r="E129" i="251"/>
  <c r="O128" i="251"/>
  <c r="N127" i="251"/>
  <c r="O127" i="251" s="1"/>
  <c r="AS128" i="257"/>
  <c r="AR128" i="257"/>
  <c r="E127" i="251"/>
  <c r="Q126" i="251"/>
  <c r="N126" i="251"/>
  <c r="O126" i="251" s="1"/>
  <c r="AU127" i="257"/>
  <c r="AS127" i="257"/>
  <c r="J126" i="251"/>
  <c r="AR127" i="257" s="1"/>
  <c r="D54" i="256" s="1"/>
  <c r="E126" i="251"/>
  <c r="P125" i="251"/>
  <c r="AU126" i="257"/>
  <c r="AS126" i="257"/>
  <c r="AR126" i="257"/>
  <c r="D53" i="256" s="1"/>
  <c r="E125" i="251"/>
  <c r="Q124" i="251"/>
  <c r="AU125" i="257"/>
  <c r="AS125" i="257"/>
  <c r="AR125" i="257"/>
  <c r="E124" i="251"/>
  <c r="O123" i="251"/>
  <c r="O122" i="251"/>
  <c r="O121" i="251"/>
  <c r="M120" i="251"/>
  <c r="K120" i="251"/>
  <c r="N119" i="251"/>
  <c r="AU120" i="257"/>
  <c r="AS120" i="257"/>
  <c r="E119" i="251"/>
  <c r="N118" i="251"/>
  <c r="O118" i="251" s="1"/>
  <c r="AU119" i="257"/>
  <c r="AS119" i="257"/>
  <c r="AR119" i="257"/>
  <c r="D65" i="256" s="1"/>
  <c r="E118" i="251"/>
  <c r="AU118" i="257"/>
  <c r="AS118" i="257"/>
  <c r="AR118" i="257"/>
  <c r="D64" i="256" s="1"/>
  <c r="E117" i="251"/>
  <c r="N116" i="251"/>
  <c r="AU117" i="257"/>
  <c r="AS117" i="257"/>
  <c r="AR117" i="257"/>
  <c r="E116" i="251"/>
  <c r="O115" i="251"/>
  <c r="O114" i="251"/>
  <c r="M113" i="251"/>
  <c r="O112" i="251"/>
  <c r="AU112" i="257"/>
  <c r="AS112" i="257"/>
  <c r="AR112" i="257"/>
  <c r="D51" i="256" s="1"/>
  <c r="E111" i="251"/>
  <c r="N110" i="251"/>
  <c r="O110" i="251" s="1"/>
  <c r="AU111" i="257"/>
  <c r="AS111" i="257"/>
  <c r="AR111" i="257"/>
  <c r="D50" i="256" s="1"/>
  <c r="E110" i="251"/>
  <c r="Q109" i="251"/>
  <c r="AU110" i="257"/>
  <c r="AR110" i="257"/>
  <c r="D49" i="256" s="1"/>
  <c r="E109" i="251"/>
  <c r="N108" i="251"/>
  <c r="O108" i="251" s="1"/>
  <c r="AU109" i="257"/>
  <c r="AS109" i="257"/>
  <c r="E108" i="251"/>
  <c r="AU108" i="257"/>
  <c r="AS108" i="257"/>
  <c r="AR108" i="257"/>
  <c r="D47" i="256" s="1"/>
  <c r="E107" i="251"/>
  <c r="Q106" i="251"/>
  <c r="N106" i="251"/>
  <c r="O106" i="251" s="1"/>
  <c r="AU107" i="257"/>
  <c r="AS107" i="257"/>
  <c r="AR107" i="257"/>
  <c r="D46" i="256" s="1"/>
  <c r="G106" i="251"/>
  <c r="E106" i="251"/>
  <c r="P105" i="251"/>
  <c r="AU106" i="257"/>
  <c r="AS106" i="257"/>
  <c r="AR106" i="257"/>
  <c r="D45" i="256" s="1"/>
  <c r="E105" i="251"/>
  <c r="Q104" i="251"/>
  <c r="AU105" i="257"/>
  <c r="AS105" i="257"/>
  <c r="AR105" i="257"/>
  <c r="D44" i="256" s="1"/>
  <c r="E104" i="251"/>
  <c r="N103" i="251"/>
  <c r="O103" i="251" s="1"/>
  <c r="AU104" i="257"/>
  <c r="AS104" i="257"/>
  <c r="AR104" i="257"/>
  <c r="D43" i="256" s="1"/>
  <c r="E103" i="251"/>
  <c r="P102" i="251"/>
  <c r="AS103" i="257"/>
  <c r="AR103" i="257"/>
  <c r="D42" i="256" s="1"/>
  <c r="E102" i="251"/>
  <c r="Q101" i="251"/>
  <c r="AU102" i="257"/>
  <c r="AR102" i="257"/>
  <c r="D41" i="256" s="1"/>
  <c r="E101" i="251"/>
  <c r="N100" i="251"/>
  <c r="O100" i="251" s="1"/>
  <c r="AU101" i="257"/>
  <c r="AS101" i="257"/>
  <c r="E100" i="251"/>
  <c r="AU100" i="257"/>
  <c r="AS100" i="257"/>
  <c r="AR100" i="257"/>
  <c r="D39" i="256" s="1"/>
  <c r="E99" i="251"/>
  <c r="Q98" i="251"/>
  <c r="N98" i="251"/>
  <c r="O98" i="251" s="1"/>
  <c r="AU99" i="257"/>
  <c r="AS99" i="257"/>
  <c r="AR99" i="257"/>
  <c r="D38" i="256" s="1"/>
  <c r="G98" i="251"/>
  <c r="E98" i="251"/>
  <c r="P97" i="251"/>
  <c r="AU98" i="257"/>
  <c r="AS98" i="257"/>
  <c r="AR98" i="257"/>
  <c r="E97" i="251"/>
  <c r="C97" i="251"/>
  <c r="M94" i="251"/>
  <c r="Q93" i="251"/>
  <c r="AU94" i="257"/>
  <c r="AR94" i="257"/>
  <c r="D26" i="256" s="1"/>
  <c r="E93" i="251"/>
  <c r="Q92" i="251"/>
  <c r="AU93" i="257"/>
  <c r="AR93" i="257"/>
  <c r="D25" i="256" s="1"/>
  <c r="E92" i="251"/>
  <c r="Q91" i="251"/>
  <c r="N91" i="251"/>
  <c r="O91" i="251" s="1"/>
  <c r="AU92" i="257"/>
  <c r="AS92" i="257"/>
  <c r="AR92" i="257"/>
  <c r="D24" i="256" s="1"/>
  <c r="E91" i="251"/>
  <c r="N90" i="251"/>
  <c r="O90" i="251" s="1"/>
  <c r="AU91" i="257"/>
  <c r="AS91" i="257"/>
  <c r="E90" i="251"/>
  <c r="N89" i="251"/>
  <c r="AU90" i="257"/>
  <c r="AS90" i="257"/>
  <c r="AR90" i="257"/>
  <c r="E89" i="251"/>
  <c r="M86" i="251"/>
  <c r="Q84" i="251"/>
  <c r="AU85" i="257"/>
  <c r="AR85" i="257"/>
  <c r="D118" i="256" s="1"/>
  <c r="E84" i="251"/>
  <c r="Q83" i="251"/>
  <c r="N83" i="251"/>
  <c r="O83" i="251" s="1"/>
  <c r="AU84" i="257"/>
  <c r="AS84" i="257"/>
  <c r="AR84" i="257"/>
  <c r="D117" i="256" s="1"/>
  <c r="E83" i="251"/>
  <c r="D83" i="251"/>
  <c r="AU83" i="257"/>
  <c r="AR83" i="257"/>
  <c r="D116" i="256" s="1"/>
  <c r="E82" i="251"/>
  <c r="D82" i="251"/>
  <c r="E81" i="251"/>
  <c r="D81" i="251"/>
  <c r="AU81" i="257"/>
  <c r="AV81" i="257" s="1"/>
  <c r="AS81" i="257"/>
  <c r="AR81" i="257"/>
  <c r="G80" i="251"/>
  <c r="F80" i="251"/>
  <c r="N79" i="251"/>
  <c r="O79" i="251" s="1"/>
  <c r="AU167" i="257"/>
  <c r="AS167" i="257"/>
  <c r="AR167" i="257"/>
  <c r="H79" i="251"/>
  <c r="G79" i="251"/>
  <c r="F79" i="251"/>
  <c r="E79" i="251"/>
  <c r="D79" i="251"/>
  <c r="C79" i="251"/>
  <c r="P78" i="251"/>
  <c r="AS166" i="257"/>
  <c r="AR166" i="257"/>
  <c r="D115" i="256" s="1"/>
  <c r="E78" i="251"/>
  <c r="C78" i="251"/>
  <c r="Q77" i="251"/>
  <c r="AU78" i="257"/>
  <c r="J77" i="251"/>
  <c r="AR78" i="257" s="1"/>
  <c r="D114" i="256" s="1"/>
  <c r="F77" i="251"/>
  <c r="E77" i="251"/>
  <c r="N76" i="251"/>
  <c r="O76" i="251" s="1"/>
  <c r="AU77" i="257"/>
  <c r="AS77" i="257"/>
  <c r="E76" i="251"/>
  <c r="P75" i="251"/>
  <c r="AS76" i="257"/>
  <c r="AR76" i="257"/>
  <c r="D112" i="256" s="1"/>
  <c r="E75" i="251"/>
  <c r="Q74" i="251"/>
  <c r="AU75" i="257"/>
  <c r="AR75" i="257"/>
  <c r="D111" i="256" s="1"/>
  <c r="E74" i="251"/>
  <c r="P73" i="251"/>
  <c r="N73" i="251"/>
  <c r="O73" i="251" s="1"/>
  <c r="AU74" i="257"/>
  <c r="AS74" i="257"/>
  <c r="AR74" i="257"/>
  <c r="D110" i="256" s="1"/>
  <c r="E73" i="251"/>
  <c r="AU73" i="257"/>
  <c r="AS73" i="257"/>
  <c r="AR73" i="257"/>
  <c r="D109" i="256" s="1"/>
  <c r="E72" i="251"/>
  <c r="Q71" i="251"/>
  <c r="N71" i="251"/>
  <c r="O71" i="251" s="1"/>
  <c r="AU72" i="257"/>
  <c r="AS72" i="257"/>
  <c r="AR72" i="257"/>
  <c r="D108" i="256" s="1"/>
  <c r="E71" i="251"/>
  <c r="P70" i="251"/>
  <c r="AS71" i="257"/>
  <c r="AR71" i="257"/>
  <c r="D107" i="256" s="1"/>
  <c r="F70" i="251"/>
  <c r="E70" i="251"/>
  <c r="Q69" i="251"/>
  <c r="AU70" i="257"/>
  <c r="AR70" i="257"/>
  <c r="D106" i="256" s="1"/>
  <c r="E69" i="251"/>
  <c r="N68" i="251"/>
  <c r="O68" i="251" s="1"/>
  <c r="AU69" i="257"/>
  <c r="AS69" i="257"/>
  <c r="E68" i="251"/>
  <c r="P67" i="251"/>
  <c r="AS68" i="257"/>
  <c r="AR68" i="257"/>
  <c r="D104" i="256" s="1"/>
  <c r="E67" i="251"/>
  <c r="Q66" i="251"/>
  <c r="AU67" i="257"/>
  <c r="AR67" i="257"/>
  <c r="D103" i="256" s="1"/>
  <c r="E66" i="251"/>
  <c r="P65" i="251"/>
  <c r="N65" i="251"/>
  <c r="O65" i="251" s="1"/>
  <c r="AU66" i="257"/>
  <c r="AS66" i="257"/>
  <c r="AR66" i="257"/>
  <c r="D102" i="256" s="1"/>
  <c r="E65" i="251"/>
  <c r="AU65" i="257"/>
  <c r="AS65" i="257"/>
  <c r="AR65" i="257"/>
  <c r="D101" i="256" s="1"/>
  <c r="E64" i="251"/>
  <c r="Q63" i="251"/>
  <c r="N63" i="251"/>
  <c r="O63" i="251" s="1"/>
  <c r="AU64" i="257"/>
  <c r="AS64" i="257"/>
  <c r="AR64" i="257"/>
  <c r="D100" i="256" s="1"/>
  <c r="E63" i="251"/>
  <c r="P62" i="251"/>
  <c r="AS63" i="257"/>
  <c r="AR63" i="257"/>
  <c r="D99" i="256" s="1"/>
  <c r="E62" i="251"/>
  <c r="Q61" i="251"/>
  <c r="AU62" i="257"/>
  <c r="AR62" i="257"/>
  <c r="D98" i="256" s="1"/>
  <c r="E61" i="251"/>
  <c r="N60" i="251"/>
  <c r="O60" i="251" s="1"/>
  <c r="AU61" i="257"/>
  <c r="AS61" i="257"/>
  <c r="E60" i="251"/>
  <c r="D60" i="251"/>
  <c r="P59" i="251"/>
  <c r="AS60" i="257"/>
  <c r="AR60" i="257"/>
  <c r="D96" i="256" s="1"/>
  <c r="E59" i="251"/>
  <c r="Q58" i="251"/>
  <c r="AU59" i="257"/>
  <c r="AR59" i="257"/>
  <c r="D95" i="256" s="1"/>
  <c r="E58" i="251"/>
  <c r="P57" i="251"/>
  <c r="N57" i="251"/>
  <c r="O57" i="251" s="1"/>
  <c r="AU58" i="257"/>
  <c r="AS58" i="257"/>
  <c r="AR58" i="257"/>
  <c r="D94" i="256" s="1"/>
  <c r="E57" i="251"/>
  <c r="AU57" i="257"/>
  <c r="AR57" i="257"/>
  <c r="D93" i="256" s="1"/>
  <c r="E56" i="251"/>
  <c r="D56" i="251"/>
  <c r="N55" i="251"/>
  <c r="AU56" i="257"/>
  <c r="AS56" i="257"/>
  <c r="E55" i="251"/>
  <c r="P54" i="251"/>
  <c r="AS55" i="257"/>
  <c r="AR55" i="257"/>
  <c r="D91" i="256" s="1"/>
  <c r="E54" i="251"/>
  <c r="Q53" i="251"/>
  <c r="AU54" i="257"/>
  <c r="AR54" i="257"/>
  <c r="D90" i="256" s="1"/>
  <c r="G53" i="251"/>
  <c r="E53" i="251"/>
  <c r="P52" i="251"/>
  <c r="N52" i="251"/>
  <c r="AU53" i="257"/>
  <c r="AS53" i="257"/>
  <c r="AR53" i="257"/>
  <c r="D89" i="256" s="1"/>
  <c r="E52" i="251"/>
  <c r="AU52" i="257"/>
  <c r="AS52" i="257"/>
  <c r="AR52" i="257"/>
  <c r="D88" i="256" s="1"/>
  <c r="E51" i="251"/>
  <c r="Q50" i="251"/>
  <c r="N50" i="251"/>
  <c r="O50" i="251" s="1"/>
  <c r="AU51" i="257"/>
  <c r="AS51" i="257"/>
  <c r="AR51" i="257"/>
  <c r="D87" i="256" s="1"/>
  <c r="E50" i="251"/>
  <c r="D50" i="251"/>
  <c r="P49" i="251"/>
  <c r="AS50" i="257"/>
  <c r="AR50" i="257"/>
  <c r="D86" i="256" s="1"/>
  <c r="E49" i="251"/>
  <c r="Q48" i="251"/>
  <c r="AU49" i="257"/>
  <c r="AR49" i="257"/>
  <c r="D85" i="256" s="1"/>
  <c r="E48" i="251"/>
  <c r="N47" i="251"/>
  <c r="O47" i="251" s="1"/>
  <c r="AU48" i="257"/>
  <c r="AS48" i="257"/>
  <c r="E47" i="251"/>
  <c r="P46" i="251"/>
  <c r="AS47" i="257"/>
  <c r="AR47" i="257"/>
  <c r="E46" i="251"/>
  <c r="M41" i="251"/>
  <c r="Q40" i="251"/>
  <c r="AU40" i="257"/>
  <c r="AR40" i="257"/>
  <c r="D36" i="256" s="1"/>
  <c r="E40" i="251"/>
  <c r="S39" i="251"/>
  <c r="AU39" i="257"/>
  <c r="AS39" i="257"/>
  <c r="AR39" i="257"/>
  <c r="D35" i="256" s="1"/>
  <c r="E39" i="251"/>
  <c r="AS38" i="257"/>
  <c r="P38" i="251"/>
  <c r="E38" i="251"/>
  <c r="N37" i="251"/>
  <c r="AU37" i="257"/>
  <c r="AS37" i="257"/>
  <c r="E37" i="251"/>
  <c r="P36" i="251"/>
  <c r="AS36" i="257"/>
  <c r="AR36" i="257"/>
  <c r="D32" i="256" s="1"/>
  <c r="E36" i="251"/>
  <c r="Q35" i="251"/>
  <c r="AU35" i="257"/>
  <c r="AR35" i="257"/>
  <c r="D31" i="256" s="1"/>
  <c r="E35" i="251"/>
  <c r="N34" i="251"/>
  <c r="AU34" i="257"/>
  <c r="AS34" i="257"/>
  <c r="AR34" i="257"/>
  <c r="D30" i="256" s="1"/>
  <c r="E34" i="251"/>
  <c r="AS33" i="257"/>
  <c r="AR33" i="257"/>
  <c r="E33" i="251"/>
  <c r="M30" i="251"/>
  <c r="L30" i="251"/>
  <c r="O29" i="251"/>
  <c r="N28" i="251"/>
  <c r="AU28" i="257"/>
  <c r="AS28" i="257"/>
  <c r="E28" i="251"/>
  <c r="Q27" i="251"/>
  <c r="AU27" i="257"/>
  <c r="AR27" i="257"/>
  <c r="D81" i="256" s="1"/>
  <c r="E27" i="251"/>
  <c r="AS26" i="257"/>
  <c r="AR26" i="257"/>
  <c r="D80" i="256" s="1"/>
  <c r="H26" i="251"/>
  <c r="R26" i="251" s="1"/>
  <c r="S26" i="251" s="1"/>
  <c r="E26" i="251"/>
  <c r="Q25" i="251"/>
  <c r="N25" i="251"/>
  <c r="O25" i="251" s="1"/>
  <c r="AU25" i="257"/>
  <c r="AR25" i="257"/>
  <c r="D79" i="256" s="1"/>
  <c r="E25" i="251"/>
  <c r="AS24" i="257"/>
  <c r="AR24" i="257"/>
  <c r="D78" i="256" s="1"/>
  <c r="F24" i="251"/>
  <c r="E24" i="251"/>
  <c r="Q23" i="251"/>
  <c r="AU23" i="257"/>
  <c r="AR23" i="257"/>
  <c r="D77" i="256" s="1"/>
  <c r="E23" i="251"/>
  <c r="N22" i="251"/>
  <c r="AU22" i="257"/>
  <c r="AS22" i="257"/>
  <c r="Q22" i="251"/>
  <c r="E22" i="251"/>
  <c r="N21" i="251"/>
  <c r="O21" i="251" s="1"/>
  <c r="AU21" i="257"/>
  <c r="AS21" i="257"/>
  <c r="AR21" i="257"/>
  <c r="D75" i="256" s="1"/>
  <c r="G21" i="251"/>
  <c r="E21" i="251"/>
  <c r="N20" i="251"/>
  <c r="AU20" i="257"/>
  <c r="AS20" i="257"/>
  <c r="G20" i="251"/>
  <c r="E20" i="251"/>
  <c r="AU19" i="257"/>
  <c r="AS19" i="257"/>
  <c r="E19" i="251"/>
  <c r="Q18" i="251"/>
  <c r="AU18" i="257"/>
  <c r="AR18" i="257"/>
  <c r="D73" i="256" s="1"/>
  <c r="E18" i="251"/>
  <c r="O17" i="251"/>
  <c r="H17" i="251"/>
  <c r="G17" i="251"/>
  <c r="F17" i="251"/>
  <c r="E17" i="251"/>
  <c r="C17" i="251"/>
  <c r="O16" i="251"/>
  <c r="H16" i="251"/>
  <c r="G16" i="251"/>
  <c r="F16" i="251"/>
  <c r="E16" i="251"/>
  <c r="C16" i="251"/>
  <c r="P15" i="251"/>
  <c r="N15" i="251"/>
  <c r="O15" i="251" s="1"/>
  <c r="AU15" i="257"/>
  <c r="AS15" i="257"/>
  <c r="AR15" i="257"/>
  <c r="D72" i="256" s="1"/>
  <c r="E15" i="251"/>
  <c r="D15" i="251"/>
  <c r="P14" i="251"/>
  <c r="AS14" i="257"/>
  <c r="E14" i="251"/>
  <c r="Q220" i="250"/>
  <c r="Q218" i="250"/>
  <c r="L218" i="250"/>
  <c r="K218" i="250"/>
  <c r="N218" i="250" s="1"/>
  <c r="J218" i="250"/>
  <c r="Q217" i="250"/>
  <c r="M217" i="250"/>
  <c r="AM235" i="257" s="1"/>
  <c r="L217" i="250"/>
  <c r="AK235" i="257" s="1"/>
  <c r="K217" i="250"/>
  <c r="AI235" i="257" s="1"/>
  <c r="AJ235" i="257" s="1"/>
  <c r="J217" i="250"/>
  <c r="AH235" i="257" s="1"/>
  <c r="Q216" i="250"/>
  <c r="Q215" i="250"/>
  <c r="Q214" i="250"/>
  <c r="J214" i="250"/>
  <c r="Q213" i="250"/>
  <c r="J213" i="250"/>
  <c r="Q212" i="250"/>
  <c r="J212" i="250"/>
  <c r="Q211" i="250"/>
  <c r="J211" i="250"/>
  <c r="Q210" i="250"/>
  <c r="L210" i="250"/>
  <c r="Q209" i="250"/>
  <c r="M209" i="250"/>
  <c r="AM234" i="257" s="1"/>
  <c r="Q208" i="250"/>
  <c r="L208" i="250"/>
  <c r="AK226" i="257" s="1"/>
  <c r="K208" i="250"/>
  <c r="J208" i="250"/>
  <c r="AH226" i="257" s="1"/>
  <c r="Q207" i="250"/>
  <c r="M207" i="250"/>
  <c r="AM223" i="257" s="1"/>
  <c r="L207" i="250"/>
  <c r="AK223" i="257" s="1"/>
  <c r="K207" i="250"/>
  <c r="AI223" i="257" s="1"/>
  <c r="AJ223" i="257" s="1"/>
  <c r="J207" i="250"/>
  <c r="AH223" i="257" s="1"/>
  <c r="Q206" i="250"/>
  <c r="Q205" i="250"/>
  <c r="N205" i="250"/>
  <c r="M205" i="250"/>
  <c r="AM215" i="257" s="1"/>
  <c r="Q204" i="250"/>
  <c r="Q203" i="250"/>
  <c r="K203" i="250"/>
  <c r="AI210" i="257" s="1"/>
  <c r="AJ210" i="257" s="1"/>
  <c r="J203" i="250"/>
  <c r="AH210" i="257" s="1"/>
  <c r="W202" i="250"/>
  <c r="Q202" i="250"/>
  <c r="L201" i="250"/>
  <c r="AK208" i="257" s="1"/>
  <c r="W200" i="250"/>
  <c r="W199" i="250"/>
  <c r="H198" i="250"/>
  <c r="Q198" i="250" s="1"/>
  <c r="M197" i="250"/>
  <c r="AM204" i="257" s="1"/>
  <c r="H196" i="251"/>
  <c r="F196" i="251"/>
  <c r="D196" i="251"/>
  <c r="C196" i="251"/>
  <c r="M196" i="250"/>
  <c r="AM203" i="257" s="1"/>
  <c r="AN203" i="257" s="1"/>
  <c r="L196" i="250"/>
  <c r="AK203" i="257" s="1"/>
  <c r="K196" i="250"/>
  <c r="AI203" i="257" s="1"/>
  <c r="J196" i="250"/>
  <c r="AH203" i="257" s="1"/>
  <c r="H195" i="251"/>
  <c r="F195" i="251"/>
  <c r="C195" i="251"/>
  <c r="K195" i="250"/>
  <c r="AI202" i="257" s="1"/>
  <c r="H194" i="251"/>
  <c r="F194" i="251"/>
  <c r="D194" i="251"/>
  <c r="N194" i="250"/>
  <c r="M194" i="250"/>
  <c r="L194" i="250"/>
  <c r="AK201" i="257" s="1"/>
  <c r="AP201" i="257" s="1"/>
  <c r="AQ201" i="257" s="1"/>
  <c r="K194" i="250"/>
  <c r="J194" i="250"/>
  <c r="AH201" i="257" s="1"/>
  <c r="AJ201" i="257" s="1"/>
  <c r="H193" i="251"/>
  <c r="F193" i="251"/>
  <c r="D193" i="251"/>
  <c r="C193" i="251"/>
  <c r="N193" i="250"/>
  <c r="M193" i="250"/>
  <c r="AM200" i="257" s="1"/>
  <c r="L193" i="250"/>
  <c r="AK200" i="257" s="1"/>
  <c r="K193" i="250"/>
  <c r="AI200" i="257" s="1"/>
  <c r="D192" i="251"/>
  <c r="C192" i="251"/>
  <c r="Q192" i="250"/>
  <c r="D192" i="250"/>
  <c r="D191" i="251" s="1"/>
  <c r="H191" i="250"/>
  <c r="H190" i="251" s="1"/>
  <c r="D191" i="250"/>
  <c r="W190" i="250"/>
  <c r="Q190" i="250"/>
  <c r="W189" i="250"/>
  <c r="Q189" i="250"/>
  <c r="N187" i="250"/>
  <c r="W187" i="250" s="1"/>
  <c r="M187" i="250"/>
  <c r="AM193" i="257" s="1"/>
  <c r="AN193" i="257" s="1"/>
  <c r="L187" i="250"/>
  <c r="AK193" i="257" s="1"/>
  <c r="K187" i="250"/>
  <c r="AI193" i="257" s="1"/>
  <c r="AJ193" i="257" s="1"/>
  <c r="J187" i="250"/>
  <c r="AH193" i="257" s="1"/>
  <c r="W186" i="250"/>
  <c r="N186" i="250"/>
  <c r="M186" i="250"/>
  <c r="L186" i="250"/>
  <c r="K186" i="250"/>
  <c r="J186" i="250"/>
  <c r="Q186" i="250"/>
  <c r="M185" i="250"/>
  <c r="AM191" i="257" s="1"/>
  <c r="L185" i="250"/>
  <c r="AK191" i="257" s="1"/>
  <c r="K185" i="250"/>
  <c r="AI191" i="257" s="1"/>
  <c r="J185" i="250"/>
  <c r="AH191" i="257" s="1"/>
  <c r="Q185" i="250"/>
  <c r="M184" i="250"/>
  <c r="AM190" i="257" s="1"/>
  <c r="H185" i="251"/>
  <c r="F185" i="251"/>
  <c r="D185" i="251"/>
  <c r="C185" i="251"/>
  <c r="W183" i="250"/>
  <c r="N183" i="250"/>
  <c r="M183" i="250"/>
  <c r="AM189" i="257" s="1"/>
  <c r="AN189" i="257" s="1"/>
  <c r="L183" i="250"/>
  <c r="AK189" i="257" s="1"/>
  <c r="K183" i="250"/>
  <c r="AI189" i="257" s="1"/>
  <c r="AJ189" i="257" s="1"/>
  <c r="J183" i="250"/>
  <c r="AH189" i="257" s="1"/>
  <c r="I188" i="250"/>
  <c r="H184" i="251"/>
  <c r="F184" i="251"/>
  <c r="D184" i="251"/>
  <c r="C184" i="251"/>
  <c r="N182" i="250"/>
  <c r="H183" i="251"/>
  <c r="F183" i="251"/>
  <c r="C183" i="251"/>
  <c r="Q181" i="250"/>
  <c r="F182" i="251"/>
  <c r="D182" i="251"/>
  <c r="C182" i="251"/>
  <c r="W180" i="250"/>
  <c r="Q180" i="250"/>
  <c r="Q179" i="250"/>
  <c r="K179" i="250"/>
  <c r="AI185" i="257" s="1"/>
  <c r="Q178" i="250"/>
  <c r="M176" i="250"/>
  <c r="AM182" i="257" s="1"/>
  <c r="AN182" i="257" s="1"/>
  <c r="L176" i="250"/>
  <c r="AK182" i="257" s="1"/>
  <c r="K176" i="250"/>
  <c r="AI182" i="257" s="1"/>
  <c r="AJ182" i="257" s="1"/>
  <c r="J176" i="250"/>
  <c r="AH182" i="257" s="1"/>
  <c r="H177" i="251"/>
  <c r="G177" i="251"/>
  <c r="F177" i="251"/>
  <c r="D177" i="251"/>
  <c r="C177" i="251"/>
  <c r="I177" i="250"/>
  <c r="H176" i="251"/>
  <c r="H178" i="251" s="1"/>
  <c r="G176" i="251"/>
  <c r="F176" i="251"/>
  <c r="D176" i="251"/>
  <c r="C176" i="251"/>
  <c r="Q174" i="250"/>
  <c r="Q173" i="250"/>
  <c r="Q172" i="250"/>
  <c r="M172" i="250"/>
  <c r="AM178" i="257" s="1"/>
  <c r="AN178" i="257" s="1"/>
  <c r="J172" i="250"/>
  <c r="I172" i="250"/>
  <c r="Q171" i="250"/>
  <c r="O171" i="250"/>
  <c r="M171" i="250"/>
  <c r="AM177" i="257" s="1"/>
  <c r="AN177" i="257" s="1"/>
  <c r="J171" i="250"/>
  <c r="AH177" i="257" s="1"/>
  <c r="AH178" i="257" s="1"/>
  <c r="Q170" i="250"/>
  <c r="Q169" i="250"/>
  <c r="Q168" i="250"/>
  <c r="Q166" i="250"/>
  <c r="K164" i="250"/>
  <c r="AI169" i="257" s="1"/>
  <c r="J164" i="250"/>
  <c r="AH169" i="257" s="1"/>
  <c r="H165" i="251"/>
  <c r="R165" i="251" s="1"/>
  <c r="S165" i="251" s="1"/>
  <c r="G165" i="251"/>
  <c r="F165" i="251"/>
  <c r="D165" i="251"/>
  <c r="C165" i="251"/>
  <c r="K163" i="250"/>
  <c r="AI166" i="257" s="1"/>
  <c r="J163" i="250"/>
  <c r="AH166" i="257" s="1"/>
  <c r="H78" i="251"/>
  <c r="G78" i="251"/>
  <c r="F78" i="251"/>
  <c r="D78" i="251"/>
  <c r="K162" i="250"/>
  <c r="AI165" i="257" s="1"/>
  <c r="H164" i="251"/>
  <c r="R164" i="251" s="1"/>
  <c r="S164" i="251" s="1"/>
  <c r="G164" i="251"/>
  <c r="F164" i="251"/>
  <c r="D164" i="251"/>
  <c r="C164" i="251"/>
  <c r="H163" i="251"/>
  <c r="G163" i="251"/>
  <c r="F163" i="251"/>
  <c r="D163" i="251"/>
  <c r="C163" i="251"/>
  <c r="L160" i="250"/>
  <c r="AK163" i="257" s="1"/>
  <c r="K160" i="250"/>
  <c r="AI163" i="257" s="1"/>
  <c r="Q160" i="250"/>
  <c r="G162" i="251"/>
  <c r="F162" i="251"/>
  <c r="D162" i="251"/>
  <c r="C162" i="251"/>
  <c r="J159" i="250"/>
  <c r="AH162" i="257" s="1"/>
  <c r="H161" i="251"/>
  <c r="R161" i="251" s="1"/>
  <c r="S161" i="251" s="1"/>
  <c r="G161" i="251"/>
  <c r="F161" i="251"/>
  <c r="D161" i="251"/>
  <c r="C161" i="251"/>
  <c r="K158" i="250"/>
  <c r="AI161" i="257" s="1"/>
  <c r="H160" i="251"/>
  <c r="G160" i="251"/>
  <c r="F160" i="251"/>
  <c r="D160" i="251"/>
  <c r="C160" i="251"/>
  <c r="J157" i="250"/>
  <c r="AH160" i="257" s="1"/>
  <c r="H159" i="251"/>
  <c r="R159" i="251" s="1"/>
  <c r="S159" i="251" s="1"/>
  <c r="G159" i="251"/>
  <c r="F159" i="251"/>
  <c r="D159" i="251"/>
  <c r="C159" i="251"/>
  <c r="H158" i="251"/>
  <c r="R158" i="251" s="1"/>
  <c r="S158" i="251" s="1"/>
  <c r="G158" i="251"/>
  <c r="F158" i="251"/>
  <c r="D158" i="251"/>
  <c r="C158" i="251"/>
  <c r="H157" i="251"/>
  <c r="G157" i="251"/>
  <c r="F157" i="251"/>
  <c r="D157" i="251"/>
  <c r="C157" i="251"/>
  <c r="K154" i="250"/>
  <c r="AI157" i="257" s="1"/>
  <c r="H156" i="251"/>
  <c r="R156" i="251" s="1"/>
  <c r="S156" i="251" s="1"/>
  <c r="G156" i="251"/>
  <c r="F156" i="251"/>
  <c r="D156" i="251"/>
  <c r="C156" i="251"/>
  <c r="L153" i="250"/>
  <c r="AK156" i="257" s="1"/>
  <c r="H155" i="251"/>
  <c r="R155" i="251" s="1"/>
  <c r="S155" i="251" s="1"/>
  <c r="G155" i="251"/>
  <c r="F155" i="251"/>
  <c r="D155" i="251"/>
  <c r="C155" i="251"/>
  <c r="K152" i="250"/>
  <c r="AI155" i="257" s="1"/>
  <c r="AJ155" i="257" s="1"/>
  <c r="J152" i="250"/>
  <c r="AH155" i="257" s="1"/>
  <c r="Q152" i="250"/>
  <c r="G154" i="251"/>
  <c r="F154" i="251"/>
  <c r="D154" i="251"/>
  <c r="C154" i="251"/>
  <c r="M151" i="250"/>
  <c r="AM154" i="257" s="1"/>
  <c r="K151" i="250"/>
  <c r="AI154" i="257" s="1"/>
  <c r="H153" i="251"/>
  <c r="R153" i="251" s="1"/>
  <c r="S153" i="251" s="1"/>
  <c r="G153" i="251"/>
  <c r="F153" i="251"/>
  <c r="D153" i="251"/>
  <c r="C153" i="251"/>
  <c r="M150" i="250"/>
  <c r="AM153" i="257" s="1"/>
  <c r="AN153" i="257" s="1"/>
  <c r="J150" i="250"/>
  <c r="AH153" i="257" s="1"/>
  <c r="H152" i="251"/>
  <c r="G152" i="251"/>
  <c r="F152" i="251"/>
  <c r="D152" i="251"/>
  <c r="C152" i="251"/>
  <c r="K149" i="250"/>
  <c r="AI152" i="257" s="1"/>
  <c r="AJ152" i="257" s="1"/>
  <c r="J149" i="250"/>
  <c r="AH152" i="257" s="1"/>
  <c r="H151" i="251"/>
  <c r="R151" i="251" s="1"/>
  <c r="S151" i="251" s="1"/>
  <c r="G151" i="251"/>
  <c r="F151" i="251"/>
  <c r="D151" i="251"/>
  <c r="C151" i="251"/>
  <c r="L148" i="250"/>
  <c r="AK151" i="257" s="1"/>
  <c r="K148" i="250"/>
  <c r="AI151" i="257" s="1"/>
  <c r="I165" i="250"/>
  <c r="H150" i="251"/>
  <c r="R150" i="251" s="1"/>
  <c r="S150" i="251" s="1"/>
  <c r="G150" i="251"/>
  <c r="F150" i="251"/>
  <c r="D150" i="251"/>
  <c r="C150" i="251"/>
  <c r="Q147" i="250"/>
  <c r="M146" i="250"/>
  <c r="AM149" i="257" s="1"/>
  <c r="AN149" i="257" s="1"/>
  <c r="K146" i="250"/>
  <c r="AI149" i="257" s="1"/>
  <c r="AJ149" i="257" s="1"/>
  <c r="J146" i="250"/>
  <c r="AH149" i="257" s="1"/>
  <c r="H148" i="251"/>
  <c r="G148" i="251"/>
  <c r="F148" i="251"/>
  <c r="C148" i="251"/>
  <c r="M145" i="250"/>
  <c r="AM148" i="257" s="1"/>
  <c r="K145" i="250"/>
  <c r="AI148" i="257" s="1"/>
  <c r="H147" i="251"/>
  <c r="G147" i="251"/>
  <c r="F147" i="251"/>
  <c r="C147" i="251"/>
  <c r="M144" i="250"/>
  <c r="AM147" i="257" s="1"/>
  <c r="AN147" i="257" s="1"/>
  <c r="J144" i="250"/>
  <c r="AH147" i="257" s="1"/>
  <c r="H146" i="251"/>
  <c r="G146" i="251"/>
  <c r="F146" i="251"/>
  <c r="D146" i="251"/>
  <c r="C146" i="251"/>
  <c r="M143" i="250"/>
  <c r="AM146" i="257" s="1"/>
  <c r="J143" i="250"/>
  <c r="AH146" i="257" s="1"/>
  <c r="H145" i="251"/>
  <c r="R145" i="251" s="1"/>
  <c r="S145" i="251" s="1"/>
  <c r="G145" i="251"/>
  <c r="F145" i="251"/>
  <c r="D145" i="251"/>
  <c r="C145" i="251"/>
  <c r="M142" i="250"/>
  <c r="AM145" i="257" s="1"/>
  <c r="AN145" i="257" s="1"/>
  <c r="J142" i="250"/>
  <c r="AH145" i="257" s="1"/>
  <c r="H144" i="251"/>
  <c r="R144" i="251" s="1"/>
  <c r="S144" i="251" s="1"/>
  <c r="G144" i="251"/>
  <c r="F144" i="251"/>
  <c r="D144" i="251"/>
  <c r="C144" i="251"/>
  <c r="M141" i="250"/>
  <c r="AM144" i="257" s="1"/>
  <c r="AN144" i="257" s="1"/>
  <c r="J141" i="250"/>
  <c r="AH144" i="257" s="1"/>
  <c r="H143" i="251"/>
  <c r="G143" i="251"/>
  <c r="F143" i="251"/>
  <c r="D143" i="251"/>
  <c r="C143" i="251"/>
  <c r="H142" i="251"/>
  <c r="G142" i="251"/>
  <c r="F142" i="251"/>
  <c r="D142" i="251"/>
  <c r="C142" i="251"/>
  <c r="Q139" i="250"/>
  <c r="Q138" i="250"/>
  <c r="Q137" i="250"/>
  <c r="L136" i="250"/>
  <c r="AK139" i="257" s="1"/>
  <c r="K136" i="250"/>
  <c r="AI139" i="257" s="1"/>
  <c r="Q136" i="250"/>
  <c r="G138" i="251"/>
  <c r="F138" i="251"/>
  <c r="D138" i="251"/>
  <c r="C138" i="251"/>
  <c r="Q135" i="250"/>
  <c r="Q134" i="250"/>
  <c r="I133" i="250"/>
  <c r="M132" i="250"/>
  <c r="AM135" i="257" s="1"/>
  <c r="K132" i="250"/>
  <c r="AI135" i="257" s="1"/>
  <c r="H134" i="251"/>
  <c r="R134" i="251" s="1"/>
  <c r="S134" i="251" s="1"/>
  <c r="G134" i="251"/>
  <c r="F134" i="251"/>
  <c r="D134" i="251"/>
  <c r="C134" i="251"/>
  <c r="H133" i="251"/>
  <c r="R133" i="251" s="1"/>
  <c r="S133" i="251" s="1"/>
  <c r="G133" i="251"/>
  <c r="F133" i="251"/>
  <c r="D133" i="251"/>
  <c r="C133" i="251"/>
  <c r="Q130" i="250"/>
  <c r="Q129" i="250"/>
  <c r="M127" i="250"/>
  <c r="AM130" i="257" s="1"/>
  <c r="AN130" i="257" s="1"/>
  <c r="L127" i="250"/>
  <c r="AK130" i="257" s="1"/>
  <c r="K127" i="250"/>
  <c r="AI130" i="257" s="1"/>
  <c r="J127" i="250"/>
  <c r="AH130" i="257" s="1"/>
  <c r="H129" i="251"/>
  <c r="G129" i="251"/>
  <c r="F129" i="251"/>
  <c r="C129" i="251"/>
  <c r="Q126" i="250"/>
  <c r="M125" i="250"/>
  <c r="AM128" i="257" s="1"/>
  <c r="H127" i="251"/>
  <c r="G127" i="251"/>
  <c r="F127" i="251"/>
  <c r="Q125" i="250"/>
  <c r="C127" i="251"/>
  <c r="M124" i="250"/>
  <c r="AM127" i="257" s="1"/>
  <c r="H126" i="251"/>
  <c r="G126" i="251"/>
  <c r="F126" i="251"/>
  <c r="D126" i="251"/>
  <c r="C126" i="251"/>
  <c r="M123" i="250"/>
  <c r="AM126" i="257" s="1"/>
  <c r="H125" i="251"/>
  <c r="G125" i="251"/>
  <c r="F125" i="251"/>
  <c r="D125" i="251"/>
  <c r="C125" i="251"/>
  <c r="M122" i="250"/>
  <c r="AM125" i="257" s="1"/>
  <c r="I128" i="250"/>
  <c r="H124" i="251"/>
  <c r="G124" i="251"/>
  <c r="F124" i="251"/>
  <c r="D124" i="251"/>
  <c r="C124" i="251"/>
  <c r="C130" i="251" s="1"/>
  <c r="Q121" i="250"/>
  <c r="Q120" i="250"/>
  <c r="Q119" i="250"/>
  <c r="H119" i="251"/>
  <c r="G119" i="251"/>
  <c r="F119" i="251"/>
  <c r="D119" i="251"/>
  <c r="C119" i="251"/>
  <c r="Q116" i="250"/>
  <c r="I118" i="250"/>
  <c r="H118" i="251"/>
  <c r="G118" i="251"/>
  <c r="F118" i="251"/>
  <c r="C118" i="251"/>
  <c r="M115" i="250"/>
  <c r="AM118" i="257" s="1"/>
  <c r="H117" i="251"/>
  <c r="G117" i="251"/>
  <c r="F117" i="251"/>
  <c r="Q115" i="250"/>
  <c r="C117" i="251"/>
  <c r="M114" i="250"/>
  <c r="AM117" i="257" s="1"/>
  <c r="H116" i="251"/>
  <c r="R116" i="251" s="1"/>
  <c r="S116" i="251" s="1"/>
  <c r="G116" i="251"/>
  <c r="F116" i="251"/>
  <c r="D116" i="251"/>
  <c r="C116" i="251"/>
  <c r="Q113" i="250"/>
  <c r="Q112" i="250"/>
  <c r="Q110" i="250"/>
  <c r="M110" i="250"/>
  <c r="AM113" i="257" s="1"/>
  <c r="L110" i="250"/>
  <c r="AK113" i="257" s="1"/>
  <c r="K110" i="250"/>
  <c r="AI113" i="257" s="1"/>
  <c r="M109" i="250"/>
  <c r="AM112" i="257" s="1"/>
  <c r="K109" i="250"/>
  <c r="AI112" i="257" s="1"/>
  <c r="J109" i="250"/>
  <c r="AH112" i="257" s="1"/>
  <c r="H111" i="251"/>
  <c r="G111" i="251"/>
  <c r="F111" i="251"/>
  <c r="C111" i="251"/>
  <c r="M108" i="250"/>
  <c r="AM111" i="257" s="1"/>
  <c r="AN111" i="257" s="1"/>
  <c r="K108" i="250"/>
  <c r="AI111" i="257" s="1"/>
  <c r="J108" i="250"/>
  <c r="AH111" i="257" s="1"/>
  <c r="H110" i="251"/>
  <c r="G110" i="251"/>
  <c r="F110" i="251"/>
  <c r="Q108" i="250"/>
  <c r="C110" i="251"/>
  <c r="M107" i="250"/>
  <c r="AM110" i="257" s="1"/>
  <c r="L107" i="250"/>
  <c r="AK110" i="257" s="1"/>
  <c r="K107" i="250"/>
  <c r="AI110" i="257" s="1"/>
  <c r="J107" i="250"/>
  <c r="AH110" i="257" s="1"/>
  <c r="H109" i="251"/>
  <c r="G109" i="251"/>
  <c r="F109" i="251"/>
  <c r="D109" i="251"/>
  <c r="C109" i="251"/>
  <c r="M106" i="250"/>
  <c r="AM109" i="257" s="1"/>
  <c r="J106" i="250"/>
  <c r="AH109" i="257" s="1"/>
  <c r="H108" i="251"/>
  <c r="G108" i="251"/>
  <c r="F108" i="251"/>
  <c r="D108" i="251"/>
  <c r="C108" i="251"/>
  <c r="K105" i="250"/>
  <c r="AI108" i="257" s="1"/>
  <c r="AJ108" i="257" s="1"/>
  <c r="J105" i="250"/>
  <c r="AH108" i="257" s="1"/>
  <c r="Q105" i="250"/>
  <c r="G107" i="251"/>
  <c r="F107" i="251"/>
  <c r="D107" i="251"/>
  <c r="C107" i="251"/>
  <c r="M104" i="250"/>
  <c r="AM107" i="257" s="1"/>
  <c r="L104" i="250"/>
  <c r="AK107" i="257" s="1"/>
  <c r="J104" i="250"/>
  <c r="AH107" i="257" s="1"/>
  <c r="H106" i="251"/>
  <c r="R106" i="251" s="1"/>
  <c r="S106" i="251" s="1"/>
  <c r="F106" i="251"/>
  <c r="D106" i="251"/>
  <c r="C106" i="251"/>
  <c r="L103" i="250"/>
  <c r="AK106" i="257" s="1"/>
  <c r="K103" i="250"/>
  <c r="AI106" i="257" s="1"/>
  <c r="AJ106" i="257" s="1"/>
  <c r="J103" i="250"/>
  <c r="AH106" i="257" s="1"/>
  <c r="H105" i="251"/>
  <c r="G105" i="251"/>
  <c r="F105" i="251"/>
  <c r="D105" i="251"/>
  <c r="C105" i="251"/>
  <c r="M102" i="250"/>
  <c r="AM105" i="257" s="1"/>
  <c r="L102" i="250"/>
  <c r="AK105" i="257" s="1"/>
  <c r="J102" i="250"/>
  <c r="AH105" i="257" s="1"/>
  <c r="H104" i="251"/>
  <c r="R104" i="251" s="1"/>
  <c r="S104" i="251" s="1"/>
  <c r="G104" i="251"/>
  <c r="F104" i="251"/>
  <c r="D104" i="251"/>
  <c r="C104" i="251"/>
  <c r="L101" i="250"/>
  <c r="AK104" i="257" s="1"/>
  <c r="K101" i="250"/>
  <c r="AI104" i="257" s="1"/>
  <c r="J101" i="250"/>
  <c r="AH104" i="257" s="1"/>
  <c r="H103" i="251"/>
  <c r="R103" i="251" s="1"/>
  <c r="S103" i="251" s="1"/>
  <c r="G103" i="251"/>
  <c r="F103" i="251"/>
  <c r="D103" i="251"/>
  <c r="C103" i="251"/>
  <c r="M100" i="250"/>
  <c r="AM103" i="257" s="1"/>
  <c r="AN103" i="257" s="1"/>
  <c r="J100" i="250"/>
  <c r="AH103" i="257" s="1"/>
  <c r="H102" i="251"/>
  <c r="G102" i="251"/>
  <c r="F102" i="251"/>
  <c r="D102" i="251"/>
  <c r="C102" i="251"/>
  <c r="K99" i="250"/>
  <c r="AI102" i="257" s="1"/>
  <c r="J99" i="250"/>
  <c r="AH102" i="257" s="1"/>
  <c r="H101" i="251"/>
  <c r="G101" i="251"/>
  <c r="F101" i="251"/>
  <c r="D101" i="251"/>
  <c r="C101" i="251"/>
  <c r="M98" i="250"/>
  <c r="AM101" i="257" s="1"/>
  <c r="J98" i="250"/>
  <c r="AH101" i="257" s="1"/>
  <c r="H100" i="251"/>
  <c r="G100" i="251"/>
  <c r="F100" i="251"/>
  <c r="D100" i="251"/>
  <c r="C100" i="251"/>
  <c r="L97" i="250"/>
  <c r="AK100" i="257" s="1"/>
  <c r="K97" i="250"/>
  <c r="AI100" i="257" s="1"/>
  <c r="Q97" i="250"/>
  <c r="G99" i="251"/>
  <c r="F99" i="251"/>
  <c r="D99" i="251"/>
  <c r="C99" i="251"/>
  <c r="L96" i="250"/>
  <c r="AK99" i="257" s="1"/>
  <c r="J96" i="250"/>
  <c r="AH99" i="257" s="1"/>
  <c r="I111" i="250"/>
  <c r="H98" i="251"/>
  <c r="R98" i="251" s="1"/>
  <c r="S98" i="251" s="1"/>
  <c r="F98" i="251"/>
  <c r="D98" i="251"/>
  <c r="C98" i="251"/>
  <c r="J95" i="250"/>
  <c r="AH98" i="257" s="1"/>
  <c r="H97" i="251"/>
  <c r="G97" i="251"/>
  <c r="F97" i="251"/>
  <c r="D97" i="251"/>
  <c r="C111" i="250"/>
  <c r="Q94" i="250"/>
  <c r="Q93" i="250"/>
  <c r="H93" i="251"/>
  <c r="G93" i="251"/>
  <c r="F93" i="251"/>
  <c r="D93" i="251"/>
  <c r="C93" i="251"/>
  <c r="H92" i="251"/>
  <c r="G92" i="251"/>
  <c r="F92" i="251"/>
  <c r="D92" i="251"/>
  <c r="C92" i="251"/>
  <c r="L89" i="250"/>
  <c r="AK92" i="257" s="1"/>
  <c r="J89" i="250"/>
  <c r="AH92" i="257" s="1"/>
  <c r="H91" i="251"/>
  <c r="G91" i="251"/>
  <c r="F91" i="251"/>
  <c r="D91" i="251"/>
  <c r="C91" i="251"/>
  <c r="I92" i="250"/>
  <c r="H90" i="251"/>
  <c r="G90" i="251"/>
  <c r="F90" i="251"/>
  <c r="D90" i="251"/>
  <c r="C90" i="251"/>
  <c r="H89" i="251"/>
  <c r="G89" i="251"/>
  <c r="F89" i="251"/>
  <c r="D89" i="251"/>
  <c r="C89" i="251"/>
  <c r="Q86" i="250"/>
  <c r="Q85" i="250"/>
  <c r="Q83" i="250"/>
  <c r="K83" i="250"/>
  <c r="AI86" i="257" s="1"/>
  <c r="J82" i="250"/>
  <c r="AH85" i="257" s="1"/>
  <c r="H84" i="251"/>
  <c r="G84" i="251"/>
  <c r="F84" i="251"/>
  <c r="D84" i="251"/>
  <c r="C84" i="251"/>
  <c r="H83" i="251"/>
  <c r="G83" i="251"/>
  <c r="F83" i="251"/>
  <c r="C83" i="251"/>
  <c r="M80" i="250"/>
  <c r="AM83" i="257" s="1"/>
  <c r="J80" i="250"/>
  <c r="AH83" i="257" s="1"/>
  <c r="H82" i="251"/>
  <c r="G82" i="251"/>
  <c r="F82" i="251"/>
  <c r="C82" i="251"/>
  <c r="H81" i="251"/>
  <c r="G81" i="251"/>
  <c r="F81" i="251"/>
  <c r="C81" i="251"/>
  <c r="Q78" i="250"/>
  <c r="M77" i="250"/>
  <c r="AM78" i="257" s="1"/>
  <c r="H77" i="251"/>
  <c r="R77" i="251" s="1"/>
  <c r="S77" i="251" s="1"/>
  <c r="G77" i="251"/>
  <c r="D77" i="251"/>
  <c r="C77" i="251"/>
  <c r="M76" i="250"/>
  <c r="AM77" i="257" s="1"/>
  <c r="J76" i="250"/>
  <c r="AH77" i="257" s="1"/>
  <c r="H76" i="251"/>
  <c r="G76" i="251"/>
  <c r="F76" i="251"/>
  <c r="D76" i="251"/>
  <c r="C76" i="251"/>
  <c r="H75" i="251"/>
  <c r="R75" i="251" s="1"/>
  <c r="S75" i="251" s="1"/>
  <c r="G75" i="251"/>
  <c r="F75" i="251"/>
  <c r="D75" i="251"/>
  <c r="C75" i="251"/>
  <c r="H74" i="251"/>
  <c r="R74" i="251" s="1"/>
  <c r="S74" i="251" s="1"/>
  <c r="G74" i="251"/>
  <c r="F74" i="251"/>
  <c r="D74" i="251"/>
  <c r="C74" i="251"/>
  <c r="K73" i="250"/>
  <c r="AI74" i="257" s="1"/>
  <c r="H73" i="251"/>
  <c r="G73" i="251"/>
  <c r="F73" i="251"/>
  <c r="D73" i="251"/>
  <c r="C73" i="251"/>
  <c r="H72" i="251"/>
  <c r="R72" i="251" s="1"/>
  <c r="S72" i="251" s="1"/>
  <c r="G72" i="251"/>
  <c r="F72" i="251"/>
  <c r="D72" i="251"/>
  <c r="C72" i="251"/>
  <c r="M71" i="250"/>
  <c r="AM72" i="257" s="1"/>
  <c r="H71" i="251"/>
  <c r="R71" i="251" s="1"/>
  <c r="S71" i="251" s="1"/>
  <c r="G71" i="251"/>
  <c r="F71" i="251"/>
  <c r="D71" i="251"/>
  <c r="C71" i="251"/>
  <c r="M70" i="250"/>
  <c r="AM71" i="257" s="1"/>
  <c r="K70" i="250"/>
  <c r="AI71" i="257" s="1"/>
  <c r="H70" i="251"/>
  <c r="G70" i="251"/>
  <c r="D70" i="251"/>
  <c r="C70" i="251"/>
  <c r="J69" i="250"/>
  <c r="AH70" i="257" s="1"/>
  <c r="H69" i="251"/>
  <c r="G69" i="251"/>
  <c r="F69" i="251"/>
  <c r="D69" i="251"/>
  <c r="C69" i="251"/>
  <c r="M68" i="250"/>
  <c r="AM69" i="257" s="1"/>
  <c r="J68" i="250"/>
  <c r="AH69" i="257" s="1"/>
  <c r="H68" i="251"/>
  <c r="G68" i="251"/>
  <c r="F68" i="251"/>
  <c r="D68" i="251"/>
  <c r="C68" i="251"/>
  <c r="J67" i="250"/>
  <c r="AH68" i="257" s="1"/>
  <c r="Q67" i="250"/>
  <c r="G67" i="251"/>
  <c r="F67" i="251"/>
  <c r="D67" i="251"/>
  <c r="C67" i="251"/>
  <c r="M66" i="250"/>
  <c r="AM67" i="257" s="1"/>
  <c r="J66" i="250"/>
  <c r="AH67" i="257" s="1"/>
  <c r="H66" i="251"/>
  <c r="R66" i="251" s="1"/>
  <c r="S66" i="251" s="1"/>
  <c r="G66" i="251"/>
  <c r="F66" i="251"/>
  <c r="D66" i="251"/>
  <c r="C66" i="251"/>
  <c r="J65" i="250"/>
  <c r="AH66" i="257" s="1"/>
  <c r="H65" i="251"/>
  <c r="G65" i="251"/>
  <c r="F65" i="251"/>
  <c r="D65" i="251"/>
  <c r="C65" i="251"/>
  <c r="M64" i="250"/>
  <c r="AM65" i="257" s="1"/>
  <c r="K64" i="250"/>
  <c r="AI65" i="257" s="1"/>
  <c r="AJ65" i="257" s="1"/>
  <c r="J64" i="250"/>
  <c r="AH65" i="257" s="1"/>
  <c r="H64" i="251"/>
  <c r="R64" i="251" s="1"/>
  <c r="S64" i="251" s="1"/>
  <c r="G64" i="251"/>
  <c r="F64" i="251"/>
  <c r="D64" i="251"/>
  <c r="C64" i="251"/>
  <c r="J63" i="250"/>
  <c r="AH64" i="257" s="1"/>
  <c r="H63" i="251"/>
  <c r="R63" i="251" s="1"/>
  <c r="S63" i="251" s="1"/>
  <c r="G63" i="251"/>
  <c r="F63" i="251"/>
  <c r="D63" i="251"/>
  <c r="C63" i="251"/>
  <c r="M62" i="250"/>
  <c r="AM63" i="257" s="1"/>
  <c r="AN63" i="257" s="1"/>
  <c r="K62" i="250"/>
  <c r="AI63" i="257" s="1"/>
  <c r="J62" i="250"/>
  <c r="AH63" i="257" s="1"/>
  <c r="H62" i="251"/>
  <c r="G62" i="251"/>
  <c r="F62" i="251"/>
  <c r="D62" i="251"/>
  <c r="C62" i="251"/>
  <c r="J61" i="250"/>
  <c r="AH62" i="257" s="1"/>
  <c r="H61" i="251"/>
  <c r="G61" i="251"/>
  <c r="F61" i="251"/>
  <c r="D61" i="251"/>
  <c r="C61" i="251"/>
  <c r="M60" i="250"/>
  <c r="AM61" i="257" s="1"/>
  <c r="K60" i="250"/>
  <c r="AI61" i="257" s="1"/>
  <c r="J60" i="250"/>
  <c r="AH61" i="257" s="1"/>
  <c r="H60" i="251"/>
  <c r="G60" i="251"/>
  <c r="F60" i="251"/>
  <c r="C60" i="251"/>
  <c r="J59" i="250"/>
  <c r="AH60" i="257" s="1"/>
  <c r="Q59" i="250"/>
  <c r="G59" i="251"/>
  <c r="F59" i="251"/>
  <c r="D59" i="251"/>
  <c r="C59" i="251"/>
  <c r="K58" i="250"/>
  <c r="AI59" i="257" s="1"/>
  <c r="J58" i="250"/>
  <c r="AH59" i="257" s="1"/>
  <c r="H58" i="251"/>
  <c r="R58" i="251" s="1"/>
  <c r="S58" i="251" s="1"/>
  <c r="G58" i="251"/>
  <c r="F58" i="251"/>
  <c r="D58" i="251"/>
  <c r="C58" i="251"/>
  <c r="J57" i="250"/>
  <c r="AH58" i="257" s="1"/>
  <c r="H57" i="251"/>
  <c r="G57" i="251"/>
  <c r="F57" i="251"/>
  <c r="D57" i="251"/>
  <c r="C57" i="251"/>
  <c r="M56" i="250"/>
  <c r="AM57" i="257" s="1"/>
  <c r="K56" i="250"/>
  <c r="AI57" i="257" s="1"/>
  <c r="H56" i="251"/>
  <c r="R56" i="251" s="1"/>
  <c r="G56" i="251"/>
  <c r="F56" i="251"/>
  <c r="C56" i="251"/>
  <c r="J55" i="250"/>
  <c r="AH56" i="257" s="1"/>
  <c r="H55" i="251"/>
  <c r="G55" i="251"/>
  <c r="F55" i="251"/>
  <c r="D55" i="251"/>
  <c r="C55" i="251"/>
  <c r="M54" i="250"/>
  <c r="AM55" i="257" s="1"/>
  <c r="AN55" i="257" s="1"/>
  <c r="K54" i="250"/>
  <c r="AI55" i="257" s="1"/>
  <c r="AJ55" i="257" s="1"/>
  <c r="J54" i="250"/>
  <c r="AH55" i="257" s="1"/>
  <c r="Q54" i="250"/>
  <c r="G54" i="251"/>
  <c r="F54" i="251"/>
  <c r="D54" i="251"/>
  <c r="C54" i="251"/>
  <c r="J53" i="250"/>
  <c r="AH54" i="257" s="1"/>
  <c r="H53" i="251"/>
  <c r="R53" i="251" s="1"/>
  <c r="S53" i="251" s="1"/>
  <c r="F53" i="251"/>
  <c r="D53" i="251"/>
  <c r="C53" i="251"/>
  <c r="M52" i="250"/>
  <c r="AM53" i="257" s="1"/>
  <c r="AN53" i="257" s="1"/>
  <c r="J52" i="250"/>
  <c r="AH53" i="257" s="1"/>
  <c r="H52" i="251"/>
  <c r="G52" i="251"/>
  <c r="F52" i="251"/>
  <c r="D52" i="251"/>
  <c r="C52" i="251"/>
  <c r="J51" i="250"/>
  <c r="AH52" i="257" s="1"/>
  <c r="Q51" i="250"/>
  <c r="G51" i="251"/>
  <c r="F51" i="251"/>
  <c r="D51" i="251"/>
  <c r="C51" i="251"/>
  <c r="M50" i="250"/>
  <c r="AM51" i="257" s="1"/>
  <c r="J50" i="250"/>
  <c r="AH51" i="257" s="1"/>
  <c r="H50" i="251"/>
  <c r="R50" i="251" s="1"/>
  <c r="S50" i="251" s="1"/>
  <c r="G50" i="251"/>
  <c r="F50" i="251"/>
  <c r="C50" i="251"/>
  <c r="J49" i="250"/>
  <c r="AH50" i="257" s="1"/>
  <c r="H49" i="251"/>
  <c r="G49" i="251"/>
  <c r="F49" i="251"/>
  <c r="D49" i="251"/>
  <c r="C49" i="251"/>
  <c r="M48" i="250"/>
  <c r="AM49" i="257" s="1"/>
  <c r="L48" i="250"/>
  <c r="AK49" i="257" s="1"/>
  <c r="H48" i="251"/>
  <c r="G48" i="251"/>
  <c r="F48" i="251"/>
  <c r="D48" i="251"/>
  <c r="C48" i="251"/>
  <c r="J47" i="250"/>
  <c r="AH48" i="257" s="1"/>
  <c r="H47" i="251"/>
  <c r="G47" i="251"/>
  <c r="F47" i="251"/>
  <c r="D47" i="251"/>
  <c r="C47" i="251"/>
  <c r="K46" i="250"/>
  <c r="AI47" i="257" s="1"/>
  <c r="J46" i="250"/>
  <c r="AH47" i="257" s="1"/>
  <c r="I84" i="250"/>
  <c r="H84" i="250"/>
  <c r="Q84" i="250" s="1"/>
  <c r="F46" i="251"/>
  <c r="R46" i="251" s="1"/>
  <c r="S46" i="251" s="1"/>
  <c r="C46" i="251"/>
  <c r="Q45" i="250"/>
  <c r="Q44" i="250"/>
  <c r="Q43" i="250"/>
  <c r="Q42" i="250"/>
  <c r="M40" i="250"/>
  <c r="AM40" i="257" s="1"/>
  <c r="L40" i="250"/>
  <c r="AK40" i="257" s="1"/>
  <c r="J40" i="250"/>
  <c r="AH40" i="257" s="1"/>
  <c r="H40" i="251"/>
  <c r="G40" i="251"/>
  <c r="F40" i="251"/>
  <c r="D40" i="251"/>
  <c r="C40" i="251"/>
  <c r="J39" i="250"/>
  <c r="AH39" i="257" s="1"/>
  <c r="H39" i="251"/>
  <c r="G39" i="251"/>
  <c r="F39" i="251"/>
  <c r="D39" i="251"/>
  <c r="C39" i="251"/>
  <c r="L38" i="250"/>
  <c r="AK38" i="257" s="1"/>
  <c r="H38" i="251"/>
  <c r="G38" i="251"/>
  <c r="F38" i="251"/>
  <c r="D38" i="251"/>
  <c r="C38" i="251"/>
  <c r="J37" i="250"/>
  <c r="AH37" i="257" s="1"/>
  <c r="H37" i="251"/>
  <c r="G37" i="251"/>
  <c r="F37" i="251"/>
  <c r="D37" i="251"/>
  <c r="C37" i="251"/>
  <c r="M36" i="250"/>
  <c r="AM36" i="257" s="1"/>
  <c r="L36" i="250"/>
  <c r="AK36" i="257" s="1"/>
  <c r="K36" i="250"/>
  <c r="AI36" i="257" s="1"/>
  <c r="Q36" i="250"/>
  <c r="G36" i="251"/>
  <c r="F36" i="251"/>
  <c r="D36" i="251"/>
  <c r="C36" i="251"/>
  <c r="J35" i="250"/>
  <c r="AH35" i="257" s="1"/>
  <c r="H35" i="251"/>
  <c r="R35" i="251" s="1"/>
  <c r="S35" i="251" s="1"/>
  <c r="G35" i="251"/>
  <c r="F35" i="251"/>
  <c r="D35" i="251"/>
  <c r="C35" i="251"/>
  <c r="M34" i="250"/>
  <c r="AM34" i="257" s="1"/>
  <c r="L34" i="250"/>
  <c r="AK34" i="257" s="1"/>
  <c r="H34" i="251"/>
  <c r="G34" i="251"/>
  <c r="F34" i="251"/>
  <c r="D34" i="251"/>
  <c r="C34" i="251"/>
  <c r="I41" i="250"/>
  <c r="H33" i="251"/>
  <c r="G33" i="251"/>
  <c r="F33" i="251"/>
  <c r="D33" i="251"/>
  <c r="C33" i="251"/>
  <c r="C41" i="251" s="1"/>
  <c r="Q32" i="250"/>
  <c r="Q31" i="250"/>
  <c r="W29" i="250"/>
  <c r="Q29" i="250"/>
  <c r="M29" i="250"/>
  <c r="AM29" i="257" s="1"/>
  <c r="W28" i="250"/>
  <c r="M28" i="250"/>
  <c r="AM28" i="257" s="1"/>
  <c r="H28" i="251"/>
  <c r="G28" i="251"/>
  <c r="F28" i="251"/>
  <c r="C28" i="251"/>
  <c r="W27" i="250"/>
  <c r="J27" i="250"/>
  <c r="AH27" i="257" s="1"/>
  <c r="H27" i="251"/>
  <c r="R27" i="251" s="1"/>
  <c r="S27" i="251" s="1"/>
  <c r="G27" i="251"/>
  <c r="F27" i="251"/>
  <c r="C27" i="251"/>
  <c r="W26" i="250"/>
  <c r="Q26" i="250"/>
  <c r="G26" i="251"/>
  <c r="F26" i="251"/>
  <c r="D26" i="251"/>
  <c r="C26" i="251"/>
  <c r="W25" i="250"/>
  <c r="Q25" i="250"/>
  <c r="M25" i="250"/>
  <c r="AM25" i="257" s="1"/>
  <c r="L25" i="250"/>
  <c r="AK25" i="257" s="1"/>
  <c r="H25" i="251"/>
  <c r="G25" i="251"/>
  <c r="F25" i="251"/>
  <c r="C25" i="251"/>
  <c r="W24" i="250"/>
  <c r="M24" i="250"/>
  <c r="AM24" i="257" s="1"/>
  <c r="H24" i="251"/>
  <c r="G24" i="251"/>
  <c r="D24" i="251"/>
  <c r="C24" i="251"/>
  <c r="W23" i="250"/>
  <c r="Q23" i="250"/>
  <c r="G23" i="251"/>
  <c r="F23" i="251"/>
  <c r="D23" i="251"/>
  <c r="C23" i="251"/>
  <c r="W22" i="250"/>
  <c r="K22" i="250"/>
  <c r="AI22" i="257" s="1"/>
  <c r="H22" i="251"/>
  <c r="R22" i="251" s="1"/>
  <c r="S22" i="251" s="1"/>
  <c r="G22" i="251"/>
  <c r="F22" i="251"/>
  <c r="D22" i="251"/>
  <c r="C22" i="251"/>
  <c r="W21" i="250"/>
  <c r="M21" i="250"/>
  <c r="AM21" i="257" s="1"/>
  <c r="H21" i="251"/>
  <c r="F21" i="251"/>
  <c r="D21" i="251"/>
  <c r="C21" i="251"/>
  <c r="W20" i="250"/>
  <c r="X20" i="250" s="1"/>
  <c r="M20" i="250"/>
  <c r="AM20" i="257" s="1"/>
  <c r="K20" i="250"/>
  <c r="AI20" i="257" s="1"/>
  <c r="H20" i="251"/>
  <c r="F20" i="251"/>
  <c r="D20" i="251"/>
  <c r="C20" i="251"/>
  <c r="W19" i="250"/>
  <c r="H19" i="251"/>
  <c r="G19" i="251"/>
  <c r="Q19" i="250"/>
  <c r="C19" i="251"/>
  <c r="W18" i="250"/>
  <c r="H18" i="251"/>
  <c r="G18" i="251"/>
  <c r="F18" i="251"/>
  <c r="D18" i="251"/>
  <c r="C18" i="251"/>
  <c r="W17" i="250"/>
  <c r="Q17" i="250"/>
  <c r="W16" i="250"/>
  <c r="J16" i="250"/>
  <c r="AH16" i="257" s="1"/>
  <c r="Q16" i="250"/>
  <c r="W15" i="250"/>
  <c r="H15" i="251"/>
  <c r="G15" i="251"/>
  <c r="F15" i="251"/>
  <c r="C15" i="251"/>
  <c r="W14" i="250"/>
  <c r="I30" i="250"/>
  <c r="H14" i="251"/>
  <c r="G14" i="251"/>
  <c r="F14" i="251"/>
  <c r="D14" i="251"/>
  <c r="C30" i="250"/>
  <c r="C106" i="247"/>
  <c r="C105" i="247"/>
  <c r="C103" i="247"/>
  <c r="C102" i="247"/>
  <c r="C101" i="247"/>
  <c r="C100" i="247"/>
  <c r="C99" i="247"/>
  <c r="C98" i="247"/>
  <c r="C97" i="247"/>
  <c r="C95" i="247"/>
  <c r="C94" i="247"/>
  <c r="I167" i="250" l="1"/>
  <c r="AL27" i="257"/>
  <c r="AL19" i="257"/>
  <c r="R33" i="251"/>
  <c r="S33" i="251" s="1"/>
  <c r="Q20" i="250"/>
  <c r="X22" i="250"/>
  <c r="Q38" i="250"/>
  <c r="AJ47" i="257"/>
  <c r="Q53" i="250"/>
  <c r="Q58" i="250"/>
  <c r="Q66" i="250"/>
  <c r="Q74" i="250"/>
  <c r="Q89" i="250"/>
  <c r="Q96" i="250"/>
  <c r="Q104" i="250"/>
  <c r="Q127" i="250"/>
  <c r="H133" i="250"/>
  <c r="Q133" i="250" s="1"/>
  <c r="Q151" i="250"/>
  <c r="Q159" i="250"/>
  <c r="Q175" i="250"/>
  <c r="I198" i="250"/>
  <c r="Q197" i="250"/>
  <c r="AI226" i="257"/>
  <c r="AJ226" i="257" s="1"/>
  <c r="H23" i="251"/>
  <c r="R23" i="251" s="1"/>
  <c r="S23" i="251" s="1"/>
  <c r="H36" i="251"/>
  <c r="R36" i="251" s="1"/>
  <c r="S36" i="251" s="1"/>
  <c r="H54" i="251"/>
  <c r="R54" i="251" s="1"/>
  <c r="S54" i="251" s="1"/>
  <c r="AR56" i="257"/>
  <c r="D92" i="256" s="1"/>
  <c r="Q55" i="251"/>
  <c r="P55" i="251"/>
  <c r="AS57" i="257"/>
  <c r="N56" i="251"/>
  <c r="O56" i="251" s="1"/>
  <c r="AS75" i="257"/>
  <c r="P74" i="251"/>
  <c r="N74" i="251"/>
  <c r="O74" i="251" s="1"/>
  <c r="AU76" i="257"/>
  <c r="Q75" i="251"/>
  <c r="N75" i="251"/>
  <c r="O75" i="251" s="1"/>
  <c r="D22" i="256"/>
  <c r="H99" i="251"/>
  <c r="R99" i="251" s="1"/>
  <c r="S99" i="251" s="1"/>
  <c r="H107" i="251"/>
  <c r="R107" i="251" s="1"/>
  <c r="S107" i="251" s="1"/>
  <c r="H135" i="251"/>
  <c r="AR156" i="257"/>
  <c r="D126" i="256" s="1"/>
  <c r="P155" i="251"/>
  <c r="AR164" i="257"/>
  <c r="D134" i="256" s="1"/>
  <c r="P163" i="251"/>
  <c r="AR204" i="257"/>
  <c r="D21" i="256" s="1"/>
  <c r="P196" i="251"/>
  <c r="AS228" i="257"/>
  <c r="N207" i="251"/>
  <c r="O207" i="251" s="1"/>
  <c r="AT232" i="257"/>
  <c r="AY232" i="257"/>
  <c r="AZ232" i="257" s="1"/>
  <c r="AL30" i="252"/>
  <c r="EI14" i="252"/>
  <c r="AQ14" i="252"/>
  <c r="AK14" i="252"/>
  <c r="BQ30" i="252"/>
  <c r="EC15" i="252"/>
  <c r="EB15" i="252" s="1"/>
  <c r="DU15" i="252"/>
  <c r="BA16" i="252"/>
  <c r="AZ16" i="252" s="1"/>
  <c r="AS16" i="252"/>
  <c r="CO16" i="252"/>
  <c r="CN16" i="252" s="1"/>
  <c r="W17" i="252"/>
  <c r="V17" i="252" s="1"/>
  <c r="EG17" i="252"/>
  <c r="O17" i="252"/>
  <c r="DA21" i="252"/>
  <c r="DI21" i="252"/>
  <c r="DH21" i="252" s="1"/>
  <c r="DI23" i="252"/>
  <c r="DH23" i="252" s="1"/>
  <c r="EK23" i="252"/>
  <c r="M23" i="250" s="1"/>
  <c r="AM23" i="257" s="1"/>
  <c r="AQ24" i="252"/>
  <c r="AP24" i="252" s="1"/>
  <c r="AI24" i="252"/>
  <c r="AA25" i="252"/>
  <c r="Q26" i="252"/>
  <c r="EU26" i="252"/>
  <c r="W26" i="252"/>
  <c r="V26" i="252" s="1"/>
  <c r="AJ22" i="257"/>
  <c r="C86" i="251"/>
  <c r="Q101" i="250"/>
  <c r="C128" i="250"/>
  <c r="Q142" i="250"/>
  <c r="AR37" i="257"/>
  <c r="D33" i="256" s="1"/>
  <c r="S37" i="251"/>
  <c r="P37" i="251"/>
  <c r="R25" i="251"/>
  <c r="S25" i="251" s="1"/>
  <c r="R47" i="251"/>
  <c r="S47" i="251" s="1"/>
  <c r="R55" i="251"/>
  <c r="S55" i="251" s="1"/>
  <c r="Q55" i="250"/>
  <c r="R60" i="251"/>
  <c r="S60" i="251" s="1"/>
  <c r="Q60" i="250"/>
  <c r="R68" i="251"/>
  <c r="S68" i="251" s="1"/>
  <c r="Q68" i="250"/>
  <c r="R76" i="251"/>
  <c r="S76" i="251" s="1"/>
  <c r="Q76" i="250"/>
  <c r="Q79" i="250"/>
  <c r="Q81" i="250"/>
  <c r="C94" i="251"/>
  <c r="Q91" i="250"/>
  <c r="R100" i="251"/>
  <c r="S100" i="251" s="1"/>
  <c r="Q98" i="250"/>
  <c r="AJ102" i="257"/>
  <c r="AL105" i="257"/>
  <c r="R108" i="251"/>
  <c r="S108" i="251" s="1"/>
  <c r="Q106" i="250"/>
  <c r="AJ110" i="257"/>
  <c r="AP113" i="257"/>
  <c r="C120" i="251"/>
  <c r="AM131" i="257"/>
  <c r="R125" i="251"/>
  <c r="S125" i="251" s="1"/>
  <c r="Q123" i="250"/>
  <c r="H128" i="250"/>
  <c r="Q128" i="250" s="1"/>
  <c r="Q153" i="250"/>
  <c r="R163" i="251"/>
  <c r="S163" i="251" s="1"/>
  <c r="Q161" i="250"/>
  <c r="C165" i="250"/>
  <c r="AP191" i="257"/>
  <c r="AQ191" i="257" s="1"/>
  <c r="AL191" i="257"/>
  <c r="O194" i="250"/>
  <c r="AL235" i="257"/>
  <c r="AP235" i="257"/>
  <c r="AQ235" i="257" s="1"/>
  <c r="C14" i="251"/>
  <c r="C30" i="251" s="1"/>
  <c r="AR20" i="257"/>
  <c r="D74" i="256" s="1"/>
  <c r="P20" i="251"/>
  <c r="AS23" i="257"/>
  <c r="P23" i="251"/>
  <c r="N23" i="251"/>
  <c r="O23" i="251" s="1"/>
  <c r="AS27" i="257"/>
  <c r="P27" i="251"/>
  <c r="N27" i="251"/>
  <c r="O27" i="251" s="1"/>
  <c r="M168" i="251"/>
  <c r="M215" i="251" s="1"/>
  <c r="AU33" i="257"/>
  <c r="L41" i="251"/>
  <c r="Q33" i="251"/>
  <c r="AU47" i="257"/>
  <c r="Q46" i="251"/>
  <c r="L86" i="251"/>
  <c r="Q86" i="251" s="1"/>
  <c r="H51" i="251"/>
  <c r="R51" i="251" s="1"/>
  <c r="S51" i="251" s="1"/>
  <c r="AS62" i="257"/>
  <c r="P61" i="251"/>
  <c r="N61" i="251"/>
  <c r="O61" i="251" s="1"/>
  <c r="AS83" i="257"/>
  <c r="N82" i="251"/>
  <c r="O82" i="251" s="1"/>
  <c r="J86" i="251"/>
  <c r="AR120" i="257"/>
  <c r="D66" i="256" s="1"/>
  <c r="P119" i="251"/>
  <c r="AR146" i="257"/>
  <c r="D61" i="256" s="1"/>
  <c r="P145" i="251"/>
  <c r="H154" i="251"/>
  <c r="R154" i="251" s="1"/>
  <c r="S154" i="251" s="1"/>
  <c r="H162" i="251"/>
  <c r="R162" i="251" s="1"/>
  <c r="S162" i="251" s="1"/>
  <c r="AB30" i="252"/>
  <c r="AO30" i="252"/>
  <c r="BJ14" i="252"/>
  <c r="EV15" i="252"/>
  <c r="EW15" i="252" s="1"/>
  <c r="EK16" i="252"/>
  <c r="M16" i="250" s="1"/>
  <c r="AM16" i="257" s="1"/>
  <c r="AN16" i="257" s="1"/>
  <c r="S16" i="252"/>
  <c r="BQ16" i="252"/>
  <c r="BO16" i="252"/>
  <c r="BM16" i="252"/>
  <c r="EI17" i="252"/>
  <c r="ED17" i="252"/>
  <c r="J17" i="250" s="1"/>
  <c r="AH17" i="257" s="1"/>
  <c r="AM17" i="252"/>
  <c r="AK17" i="252"/>
  <c r="AI17" i="252"/>
  <c r="BW18" i="252"/>
  <c r="CI20" i="252"/>
  <c r="EU20" i="252"/>
  <c r="EW20" i="252" s="1"/>
  <c r="CO20" i="252"/>
  <c r="CN20" i="252" s="1"/>
  <c r="DI20" i="252"/>
  <c r="DH20" i="252" s="1"/>
  <c r="BO21" i="252"/>
  <c r="EK22" i="252"/>
  <c r="M22" i="250" s="1"/>
  <c r="AM22" i="257" s="1"/>
  <c r="S22" i="252"/>
  <c r="EC22" i="252"/>
  <c r="EB22" i="252" s="1"/>
  <c r="CY24" i="252"/>
  <c r="CX24" i="252" s="1"/>
  <c r="CS24" i="252"/>
  <c r="AF25" i="252"/>
  <c r="AG29" i="252"/>
  <c r="AF29" i="252" s="1"/>
  <c r="Y29" i="252"/>
  <c r="Q35" i="250"/>
  <c r="AJ57" i="257"/>
  <c r="AN71" i="257"/>
  <c r="BT14" i="252"/>
  <c r="BA15" i="252"/>
  <c r="AZ15" i="252" s="1"/>
  <c r="AW15" i="252"/>
  <c r="CO17" i="252"/>
  <c r="CN17" i="252" s="1"/>
  <c r="CG17" i="252"/>
  <c r="Q42" i="252"/>
  <c r="Q47" i="250"/>
  <c r="R28" i="251"/>
  <c r="S28" i="251" s="1"/>
  <c r="Q37" i="250"/>
  <c r="C41" i="250"/>
  <c r="C167" i="250" s="1"/>
  <c r="R52" i="251"/>
  <c r="S52" i="251" s="1"/>
  <c r="Q52" i="250"/>
  <c r="AN57" i="257"/>
  <c r="R57" i="251"/>
  <c r="S57" i="251" s="1"/>
  <c r="Q57" i="250"/>
  <c r="AJ59" i="257"/>
  <c r="AN65" i="257"/>
  <c r="R65" i="251"/>
  <c r="S65" i="251" s="1"/>
  <c r="Q65" i="250"/>
  <c r="R73" i="251"/>
  <c r="S73" i="251" s="1"/>
  <c r="Q73" i="250"/>
  <c r="K74" i="250"/>
  <c r="AN83" i="257"/>
  <c r="Q88" i="250"/>
  <c r="C92" i="250"/>
  <c r="H113" i="251"/>
  <c r="R113" i="251" s="1"/>
  <c r="R97" i="251"/>
  <c r="S97" i="251" s="1"/>
  <c r="Q95" i="250"/>
  <c r="AN105" i="257"/>
  <c r="R105" i="251"/>
  <c r="S105" i="251" s="1"/>
  <c r="Q103" i="250"/>
  <c r="AP110" i="257"/>
  <c r="AQ110" i="257" s="1"/>
  <c r="AL110" i="257"/>
  <c r="AJ112" i="257"/>
  <c r="Q117" i="250"/>
  <c r="C166" i="251"/>
  <c r="AN146" i="257"/>
  <c r="R146" i="251"/>
  <c r="S146" i="251" s="1"/>
  <c r="Q144" i="250"/>
  <c r="Q146" i="250"/>
  <c r="R152" i="251"/>
  <c r="S152" i="251" s="1"/>
  <c r="Q150" i="250"/>
  <c r="R160" i="251"/>
  <c r="S160" i="251" s="1"/>
  <c r="Q158" i="250"/>
  <c r="H165" i="250"/>
  <c r="Q165" i="250" s="1"/>
  <c r="N176" i="250"/>
  <c r="Q184" i="250"/>
  <c r="AN191" i="257"/>
  <c r="Q187" i="250"/>
  <c r="R193" i="251"/>
  <c r="S193" i="251" s="1"/>
  <c r="R196" i="251"/>
  <c r="S196" i="251" s="1"/>
  <c r="F19" i="251"/>
  <c r="AT21" i="257"/>
  <c r="AY21" i="257"/>
  <c r="AZ21" i="257" s="1"/>
  <c r="E75" i="256"/>
  <c r="AS25" i="257"/>
  <c r="P25" i="251"/>
  <c r="O34" i="251"/>
  <c r="AU36" i="257"/>
  <c r="Q36" i="251"/>
  <c r="AU38" i="257"/>
  <c r="Q38" i="251"/>
  <c r="AS54" i="257"/>
  <c r="P53" i="251"/>
  <c r="N53" i="251"/>
  <c r="O53" i="251" s="1"/>
  <c r="AU55" i="257"/>
  <c r="AY55" i="257" s="1"/>
  <c r="AZ55" i="257" s="1"/>
  <c r="Q54" i="251"/>
  <c r="O55" i="251"/>
  <c r="H59" i="251"/>
  <c r="R59" i="251" s="1"/>
  <c r="S59" i="251" s="1"/>
  <c r="AR61" i="257"/>
  <c r="D97" i="256" s="1"/>
  <c r="Q60" i="251"/>
  <c r="P60" i="251"/>
  <c r="AU63" i="257"/>
  <c r="Q62" i="251"/>
  <c r="AS70" i="257"/>
  <c r="P69" i="251"/>
  <c r="N69" i="251"/>
  <c r="O69" i="251" s="1"/>
  <c r="AS82" i="257"/>
  <c r="AS79" i="257"/>
  <c r="N81" i="251"/>
  <c r="O81" i="251" s="1"/>
  <c r="O89" i="251"/>
  <c r="AS94" i="257"/>
  <c r="AS95" i="257" s="1"/>
  <c r="P93" i="251"/>
  <c r="N93" i="251"/>
  <c r="O93" i="251" s="1"/>
  <c r="O155" i="251"/>
  <c r="O163" i="251"/>
  <c r="O196" i="251"/>
  <c r="AU231" i="257"/>
  <c r="AV231" i="257" s="1"/>
  <c r="N210" i="251"/>
  <c r="O210" i="251" s="1"/>
  <c r="AR30" i="252"/>
  <c r="AU30" i="252" s="1"/>
  <c r="W15" i="252"/>
  <c r="V15" i="252" s="1"/>
  <c r="EG15" i="252"/>
  <c r="O15" i="252"/>
  <c r="EI16" i="252"/>
  <c r="AQ16" i="252"/>
  <c r="AP16" i="252" s="1"/>
  <c r="AK16" i="252"/>
  <c r="BY18" i="252"/>
  <c r="DI19" i="252"/>
  <c r="DH19" i="252" s="1"/>
  <c r="BA20" i="252"/>
  <c r="AZ20" i="252" s="1"/>
  <c r="AS20" i="252"/>
  <c r="AC21" i="252"/>
  <c r="Y21" i="252"/>
  <c r="AZ25" i="252"/>
  <c r="AJ36" i="257"/>
  <c r="Q148" i="250"/>
  <c r="AR28" i="257"/>
  <c r="D82" i="256" s="1"/>
  <c r="P28" i="251"/>
  <c r="C113" i="251"/>
  <c r="Q40" i="250"/>
  <c r="AN21" i="257"/>
  <c r="R24" i="251"/>
  <c r="S24" i="251" s="1"/>
  <c r="Q24" i="250"/>
  <c r="R34" i="251"/>
  <c r="S34" i="251" s="1"/>
  <c r="Q34" i="250"/>
  <c r="N36" i="250"/>
  <c r="H41" i="250"/>
  <c r="Q41" i="250" s="1"/>
  <c r="R49" i="251"/>
  <c r="S49" i="251" s="1"/>
  <c r="Q49" i="250"/>
  <c r="R62" i="251"/>
  <c r="S62" i="251" s="1"/>
  <c r="Q62" i="250"/>
  <c r="R70" i="251"/>
  <c r="S70" i="251" s="1"/>
  <c r="Q70" i="250"/>
  <c r="AL92" i="257"/>
  <c r="H92" i="250"/>
  <c r="Q92" i="250" s="1"/>
  <c r="AL99" i="257"/>
  <c r="R102" i="251"/>
  <c r="S102" i="251" s="1"/>
  <c r="Q100" i="250"/>
  <c r="AJ104" i="257"/>
  <c r="AL107" i="257"/>
  <c r="AN110" i="257"/>
  <c r="R110" i="251"/>
  <c r="S110" i="251" s="1"/>
  <c r="N110" i="250"/>
  <c r="C118" i="250"/>
  <c r="AJ130" i="257"/>
  <c r="R143" i="251"/>
  <c r="S143" i="251" s="1"/>
  <c r="Q141" i="250"/>
  <c r="R157" i="251"/>
  <c r="S157" i="251" s="1"/>
  <c r="Q155" i="250"/>
  <c r="R78" i="251"/>
  <c r="S78" i="251" s="1"/>
  <c r="Q163" i="250"/>
  <c r="AJ169" i="257"/>
  <c r="C178" i="251"/>
  <c r="Q176" i="250"/>
  <c r="Q182" i="250"/>
  <c r="AP189" i="257"/>
  <c r="AQ189" i="257" s="1"/>
  <c r="AL189" i="257"/>
  <c r="R185" i="251"/>
  <c r="S185" i="251" s="1"/>
  <c r="N185" i="250"/>
  <c r="W185" i="250" s="1"/>
  <c r="C198" i="250"/>
  <c r="Q191" i="250"/>
  <c r="AP200" i="257"/>
  <c r="N217" i="250"/>
  <c r="AR19" i="257"/>
  <c r="AV19" i="257" s="1"/>
  <c r="O19" i="251"/>
  <c r="O22" i="251"/>
  <c r="AU24" i="257"/>
  <c r="Q24" i="251"/>
  <c r="AU26" i="257"/>
  <c r="Q26" i="251"/>
  <c r="O28" i="251"/>
  <c r="Q30" i="251"/>
  <c r="P34" i="251"/>
  <c r="O37" i="251"/>
  <c r="H67" i="251"/>
  <c r="R67" i="251" s="1"/>
  <c r="S67" i="251" s="1"/>
  <c r="AR69" i="257"/>
  <c r="D105" i="256" s="1"/>
  <c r="Q68" i="251"/>
  <c r="P68" i="251"/>
  <c r="AU71" i="257"/>
  <c r="Q70" i="251"/>
  <c r="P89" i="251"/>
  <c r="AU103" i="257"/>
  <c r="Q102" i="251"/>
  <c r="N102" i="251"/>
  <c r="O102" i="251" s="1"/>
  <c r="AS149" i="257"/>
  <c r="P148" i="251"/>
  <c r="N148" i="251"/>
  <c r="O148" i="251" s="1"/>
  <c r="O177" i="251"/>
  <c r="AT30" i="252"/>
  <c r="BA14" i="252"/>
  <c r="AS14" i="252"/>
  <c r="CL30" i="252"/>
  <c r="CO14" i="252"/>
  <c r="CK14" i="252"/>
  <c r="CO15" i="252"/>
  <c r="CN15" i="252" s="1"/>
  <c r="CG15" i="252"/>
  <c r="EK17" i="252"/>
  <c r="M17" i="250" s="1"/>
  <c r="AM17" i="257" s="1"/>
  <c r="AN17" i="257" s="1"/>
  <c r="CE19" i="252"/>
  <c r="CD19" i="252" s="1"/>
  <c r="BY19" i="252"/>
  <c r="DX24" i="252"/>
  <c r="EC24" i="252" s="1"/>
  <c r="EB24" i="252" s="1"/>
  <c r="DU24" i="252"/>
  <c r="EG27" i="252"/>
  <c r="W27" i="252"/>
  <c r="V27" i="252" s="1"/>
  <c r="O27" i="252"/>
  <c r="O29" i="252"/>
  <c r="W29" i="252"/>
  <c r="V29" i="252" s="1"/>
  <c r="EG29" i="252"/>
  <c r="Q164" i="250"/>
  <c r="AR38" i="257"/>
  <c r="D34" i="256" s="1"/>
  <c r="S38" i="251"/>
  <c r="BK18" i="252"/>
  <c r="BJ18" i="252" s="1"/>
  <c r="BC18" i="252"/>
  <c r="DX20" i="252"/>
  <c r="EC20" i="252" s="1"/>
  <c r="EB20" i="252" s="1"/>
  <c r="DU20" i="252"/>
  <c r="EI23" i="252"/>
  <c r="Q23" i="252"/>
  <c r="EU23" i="252"/>
  <c r="EW23" i="252" s="1"/>
  <c r="W23" i="252"/>
  <c r="V23" i="252" s="1"/>
  <c r="AF33" i="252"/>
  <c r="Q28" i="250"/>
  <c r="Q15" i="250"/>
  <c r="Q18" i="250"/>
  <c r="Q27" i="250"/>
  <c r="Q39" i="250"/>
  <c r="Q46" i="250"/>
  <c r="L50" i="250"/>
  <c r="AK51" i="257" s="1"/>
  <c r="AJ61" i="257"/>
  <c r="AN67" i="257"/>
  <c r="Q75" i="250"/>
  <c r="Q90" i="250"/>
  <c r="AL104" i="257"/>
  <c r="AN107" i="257"/>
  <c r="N107" i="250"/>
  <c r="O107" i="250" s="1"/>
  <c r="AN112" i="257"/>
  <c r="H118" i="250"/>
  <c r="Q118" i="250" s="1"/>
  <c r="H130" i="251"/>
  <c r="R130" i="251" s="1"/>
  <c r="R124" i="251"/>
  <c r="S124" i="251" s="1"/>
  <c r="Q122" i="250"/>
  <c r="AP130" i="257"/>
  <c r="AQ130" i="257" s="1"/>
  <c r="AL130" i="257"/>
  <c r="C135" i="251"/>
  <c r="C177" i="250"/>
  <c r="H182" i="251"/>
  <c r="R182" i="251" s="1"/>
  <c r="S182" i="251" s="1"/>
  <c r="H188" i="250"/>
  <c r="Q188" i="250" s="1"/>
  <c r="AP203" i="257"/>
  <c r="AQ203" i="257" s="1"/>
  <c r="AL203" i="257"/>
  <c r="N207" i="250"/>
  <c r="AR14" i="257"/>
  <c r="AT14" i="257" s="1"/>
  <c r="J30" i="251"/>
  <c r="O20" i="251"/>
  <c r="P24" i="251"/>
  <c r="Q28" i="251"/>
  <c r="Q37" i="251"/>
  <c r="O52" i="251"/>
  <c r="AR77" i="257"/>
  <c r="D113" i="256" s="1"/>
  <c r="Q76" i="251"/>
  <c r="P76" i="251"/>
  <c r="AS78" i="257"/>
  <c r="P77" i="251"/>
  <c r="N77" i="251"/>
  <c r="O77" i="251" s="1"/>
  <c r="AS102" i="257"/>
  <c r="P101" i="251"/>
  <c r="N101" i="251"/>
  <c r="O101" i="251" s="1"/>
  <c r="AS110" i="257"/>
  <c r="AS114" i="257" s="1"/>
  <c r="P109" i="251"/>
  <c r="N109" i="251"/>
  <c r="O109" i="251" s="1"/>
  <c r="O116" i="251"/>
  <c r="O119" i="251"/>
  <c r="O145" i="251"/>
  <c r="AU197" i="257"/>
  <c r="L197" i="251"/>
  <c r="Q190" i="251"/>
  <c r="AR200" i="257"/>
  <c r="D17" i="256" s="1"/>
  <c r="P192" i="251"/>
  <c r="AS201" i="257"/>
  <c r="P193" i="251"/>
  <c r="N193" i="251"/>
  <c r="O193" i="251" s="1"/>
  <c r="AU202" i="257"/>
  <c r="AY202" i="257" s="1"/>
  <c r="AZ202" i="257" s="1"/>
  <c r="Q194" i="251"/>
  <c r="BL30" i="252"/>
  <c r="BQ14" i="252"/>
  <c r="BO14" i="252"/>
  <c r="ED15" i="252"/>
  <c r="J15" i="250" s="1"/>
  <c r="AH15" i="257" s="1"/>
  <c r="AM15" i="252"/>
  <c r="AK15" i="252"/>
  <c r="AI15" i="252"/>
  <c r="BA17" i="252"/>
  <c r="AZ17" i="252" s="1"/>
  <c r="EC17" i="252"/>
  <c r="EB17" i="252" s="1"/>
  <c r="DU17" i="252"/>
  <c r="CD18" i="252"/>
  <c r="DU18" i="252"/>
  <c r="EC18" i="252"/>
  <c r="EB18" i="252" s="1"/>
  <c r="AQ20" i="252"/>
  <c r="AP20" i="252" s="1"/>
  <c r="AI20" i="252"/>
  <c r="EV21" i="252"/>
  <c r="EW21" i="252" s="1"/>
  <c r="CU22" i="252"/>
  <c r="CS22" i="252"/>
  <c r="CQ22" i="252"/>
  <c r="CI24" i="252"/>
  <c r="EU24" i="252"/>
  <c r="EW24" i="252" s="1"/>
  <c r="CO24" i="252"/>
  <c r="CN24" i="252" s="1"/>
  <c r="AG26" i="252"/>
  <c r="AF26" i="252" s="1"/>
  <c r="AA26" i="252"/>
  <c r="Q50" i="250"/>
  <c r="Q71" i="250"/>
  <c r="AP182" i="257"/>
  <c r="AQ182" i="257" s="1"/>
  <c r="AL182" i="257"/>
  <c r="AS35" i="257"/>
  <c r="AS42" i="257" s="1"/>
  <c r="AT42" i="257" s="1"/>
  <c r="P35" i="251"/>
  <c r="N35" i="251"/>
  <c r="O35" i="251" s="1"/>
  <c r="EI26" i="252"/>
  <c r="L26" i="250" s="1"/>
  <c r="AK26" i="257" s="1"/>
  <c r="BE33" i="252"/>
  <c r="BK33" i="252"/>
  <c r="BF42" i="252"/>
  <c r="BE42" i="252" s="1"/>
  <c r="AP36" i="257"/>
  <c r="AQ36" i="257" s="1"/>
  <c r="Q22" i="250"/>
  <c r="AL25" i="257"/>
  <c r="H30" i="250"/>
  <c r="AL40" i="257"/>
  <c r="AN51" i="257"/>
  <c r="Q56" i="250"/>
  <c r="Q64" i="250"/>
  <c r="Q72" i="250"/>
  <c r="Q77" i="250"/>
  <c r="Q80" i="250"/>
  <c r="C84" i="250"/>
  <c r="H94" i="251"/>
  <c r="Q87" i="250"/>
  <c r="Q102" i="250"/>
  <c r="Q114" i="250"/>
  <c r="Q132" i="250"/>
  <c r="Q143" i="250"/>
  <c r="Q149" i="250"/>
  <c r="Q157" i="250"/>
  <c r="H177" i="250"/>
  <c r="Q177" i="250" s="1"/>
  <c r="AL193" i="257"/>
  <c r="AP193" i="257"/>
  <c r="AQ193" i="257" s="1"/>
  <c r="AS18" i="257"/>
  <c r="P18" i="251"/>
  <c r="N18" i="251"/>
  <c r="O18" i="251" s="1"/>
  <c r="Q20" i="251"/>
  <c r="AS49" i="257"/>
  <c r="P48" i="251"/>
  <c r="N48" i="251"/>
  <c r="O48" i="251" s="1"/>
  <c r="AS59" i="257"/>
  <c r="P58" i="251"/>
  <c r="N58" i="251"/>
  <c r="O58" i="251" s="1"/>
  <c r="AU60" i="257"/>
  <c r="Q59" i="251"/>
  <c r="N59" i="251"/>
  <c r="O59" i="251" s="1"/>
  <c r="AU166" i="257"/>
  <c r="Q78" i="251"/>
  <c r="AS93" i="257"/>
  <c r="P92" i="251"/>
  <c r="N92" i="251"/>
  <c r="O92" i="251" s="1"/>
  <c r="AR101" i="257"/>
  <c r="D40" i="256" s="1"/>
  <c r="P100" i="251"/>
  <c r="AR109" i="257"/>
  <c r="D48" i="256" s="1"/>
  <c r="P108" i="251"/>
  <c r="H120" i="251"/>
  <c r="R120" i="251" s="1"/>
  <c r="AU135" i="257"/>
  <c r="Q134" i="251"/>
  <c r="L135" i="251"/>
  <c r="Q135" i="251" s="1"/>
  <c r="N134" i="251"/>
  <c r="O134" i="251" s="1"/>
  <c r="H138" i="251"/>
  <c r="R138" i="251" s="1"/>
  <c r="S138" i="251" s="1"/>
  <c r="AU158" i="257"/>
  <c r="Q157" i="251"/>
  <c r="AU169" i="257"/>
  <c r="Q165" i="251"/>
  <c r="R30" i="252"/>
  <c r="DI14" i="252"/>
  <c r="DX30" i="252"/>
  <c r="AK19" i="252"/>
  <c r="AQ19" i="252"/>
  <c r="AP19" i="252" s="1"/>
  <c r="AG23" i="252"/>
  <c r="AF23" i="252" s="1"/>
  <c r="AA23" i="252"/>
  <c r="EC23" i="252"/>
  <c r="EB23" i="252" s="1"/>
  <c r="DU23" i="252"/>
  <c r="BA24" i="252"/>
  <c r="AZ24" i="252" s="1"/>
  <c r="AS24" i="252"/>
  <c r="AC25" i="252"/>
  <c r="Y25" i="252"/>
  <c r="BO28" i="252"/>
  <c r="BU28" i="252"/>
  <c r="BT28" i="252" s="1"/>
  <c r="Q63" i="250"/>
  <c r="Q131" i="250"/>
  <c r="Q156" i="250"/>
  <c r="C188" i="250"/>
  <c r="AR22" i="257"/>
  <c r="D76" i="256" s="1"/>
  <c r="P22" i="251"/>
  <c r="AS147" i="257"/>
  <c r="P146" i="251"/>
  <c r="N146" i="251"/>
  <c r="O146" i="251" s="1"/>
  <c r="EW22" i="252"/>
  <c r="Q14" i="250"/>
  <c r="Q21" i="250"/>
  <c r="AN25" i="257"/>
  <c r="Q33" i="250"/>
  <c r="AN40" i="257"/>
  <c r="R48" i="251"/>
  <c r="S48" i="251" s="1"/>
  <c r="Q48" i="250"/>
  <c r="AN61" i="257"/>
  <c r="R61" i="251"/>
  <c r="S61" i="251" s="1"/>
  <c r="Q61" i="250"/>
  <c r="AJ63" i="257"/>
  <c r="AN69" i="257"/>
  <c r="R69" i="251"/>
  <c r="S69" i="251" s="1"/>
  <c r="Q69" i="250"/>
  <c r="AJ71" i="257"/>
  <c r="AN77" i="257"/>
  <c r="Q82" i="250"/>
  <c r="AN101" i="257"/>
  <c r="R101" i="251"/>
  <c r="S101" i="251" s="1"/>
  <c r="Q99" i="250"/>
  <c r="AL106" i="257"/>
  <c r="AN109" i="257"/>
  <c r="R109" i="251"/>
  <c r="S109" i="251" s="1"/>
  <c r="Q107" i="250"/>
  <c r="AJ111" i="257"/>
  <c r="Q109" i="250"/>
  <c r="H111" i="250"/>
  <c r="Q111" i="250" s="1"/>
  <c r="Q124" i="250"/>
  <c r="N127" i="250"/>
  <c r="M128" i="250"/>
  <c r="C133" i="250"/>
  <c r="R142" i="251"/>
  <c r="S142" i="251" s="1"/>
  <c r="Q140" i="250"/>
  <c r="Q145" i="250"/>
  <c r="Q154" i="250"/>
  <c r="Q162" i="250"/>
  <c r="AJ166" i="257"/>
  <c r="Q183" i="250"/>
  <c r="R190" i="251"/>
  <c r="S190" i="251" s="1"/>
  <c r="H197" i="251"/>
  <c r="R197" i="251" s="1"/>
  <c r="R194" i="251"/>
  <c r="S194" i="251" s="1"/>
  <c r="Q196" i="250"/>
  <c r="AU14" i="257"/>
  <c r="Q14" i="251"/>
  <c r="K30" i="251"/>
  <c r="AS40" i="257"/>
  <c r="P40" i="251"/>
  <c r="N40" i="251"/>
  <c r="O40" i="251" s="1"/>
  <c r="AR48" i="257"/>
  <c r="D84" i="256" s="1"/>
  <c r="Q47" i="251"/>
  <c r="P47" i="251"/>
  <c r="AU50" i="257"/>
  <c r="Q49" i="251"/>
  <c r="AS67" i="257"/>
  <c r="P66" i="251"/>
  <c r="N66" i="251"/>
  <c r="O66" i="251" s="1"/>
  <c r="AU68" i="257"/>
  <c r="Q67" i="251"/>
  <c r="N67" i="251"/>
  <c r="O67" i="251" s="1"/>
  <c r="AS85" i="257"/>
  <c r="P84" i="251"/>
  <c r="N84" i="251"/>
  <c r="O84" i="251" s="1"/>
  <c r="AR91" i="257"/>
  <c r="D23" i="256" s="1"/>
  <c r="Q90" i="251"/>
  <c r="P90" i="251"/>
  <c r="J94" i="251"/>
  <c r="AS134" i="257"/>
  <c r="P133" i="251"/>
  <c r="K135" i="251"/>
  <c r="N133" i="251"/>
  <c r="AS157" i="257"/>
  <c r="P156" i="251"/>
  <c r="N156" i="251"/>
  <c r="O156" i="251" s="1"/>
  <c r="AS165" i="257"/>
  <c r="P164" i="251"/>
  <c r="N164" i="251"/>
  <c r="O164" i="251" s="1"/>
  <c r="N178" i="251"/>
  <c r="O176" i="251"/>
  <c r="AU187" i="257"/>
  <c r="Q182" i="251"/>
  <c r="L187" i="251"/>
  <c r="C197" i="251"/>
  <c r="T30" i="252"/>
  <c r="EK14" i="252"/>
  <c r="W14" i="252"/>
  <c r="S14" i="252"/>
  <c r="AJ30" i="252"/>
  <c r="EC14" i="252"/>
  <c r="DI15" i="252"/>
  <c r="DH15" i="252" s="1"/>
  <c r="EV17" i="252"/>
  <c r="AP17" i="252"/>
  <c r="EU17" i="252"/>
  <c r="EW17" i="252" s="1"/>
  <c r="BO17" i="252"/>
  <c r="EK18" i="252"/>
  <c r="M18" i="250" s="1"/>
  <c r="AM18" i="257" s="1"/>
  <c r="AN18" i="257" s="1"/>
  <c r="BO19" i="252"/>
  <c r="BU19" i="252"/>
  <c r="BT19" i="252" s="1"/>
  <c r="CO19" i="252"/>
  <c r="CN19" i="252" s="1"/>
  <c r="CY20" i="252"/>
  <c r="CX20" i="252" s="1"/>
  <c r="CS20" i="252"/>
  <c r="EG21" i="252"/>
  <c r="EV22" i="252"/>
  <c r="EG24" i="252"/>
  <c r="DT30" i="252"/>
  <c r="Q193" i="250"/>
  <c r="AP215" i="257"/>
  <c r="AQ215" i="257" s="1"/>
  <c r="AN215" i="257"/>
  <c r="AN223" i="257"/>
  <c r="AV20" i="257"/>
  <c r="G74" i="256"/>
  <c r="H74" i="256" s="1"/>
  <c r="AV22" i="257"/>
  <c r="G76" i="256"/>
  <c r="H76" i="256" s="1"/>
  <c r="AV28" i="257"/>
  <c r="G82" i="256"/>
  <c r="H82" i="256" s="1"/>
  <c r="AT36" i="257"/>
  <c r="AY36" i="257"/>
  <c r="AZ36" i="257" s="1"/>
  <c r="E32" i="256"/>
  <c r="AV37" i="257"/>
  <c r="G33" i="256"/>
  <c r="H33" i="256" s="1"/>
  <c r="Q39" i="251"/>
  <c r="AS87" i="257"/>
  <c r="AT47" i="257"/>
  <c r="AY47" i="257"/>
  <c r="E83" i="256"/>
  <c r="AV48" i="257"/>
  <c r="G84" i="256"/>
  <c r="H84" i="256" s="1"/>
  <c r="P50" i="251"/>
  <c r="Q51" i="251"/>
  <c r="AT55" i="257"/>
  <c r="E91" i="256"/>
  <c r="AV56" i="257"/>
  <c r="G92" i="256"/>
  <c r="H92" i="256" s="1"/>
  <c r="AY60" i="257"/>
  <c r="AZ60" i="257" s="1"/>
  <c r="AT60" i="257"/>
  <c r="E96" i="256"/>
  <c r="AV61" i="257"/>
  <c r="G97" i="256"/>
  <c r="H97" i="256" s="1"/>
  <c r="P63" i="251"/>
  <c r="Q64" i="251"/>
  <c r="AY68" i="257"/>
  <c r="AZ68" i="257" s="1"/>
  <c r="AT68" i="257"/>
  <c r="E104" i="256"/>
  <c r="G105" i="256"/>
  <c r="P71" i="251"/>
  <c r="Q72" i="251"/>
  <c r="AY76" i="257"/>
  <c r="AZ76" i="257" s="1"/>
  <c r="AT76" i="257"/>
  <c r="E112" i="256"/>
  <c r="AV77" i="257"/>
  <c r="G113" i="256"/>
  <c r="H113" i="256" s="1"/>
  <c r="P83" i="251"/>
  <c r="AV91" i="257"/>
  <c r="G23" i="256"/>
  <c r="H23" i="256" s="1"/>
  <c r="P91" i="251"/>
  <c r="L94" i="251"/>
  <c r="Q94" i="251" s="1"/>
  <c r="P98" i="251"/>
  <c r="Q99" i="251"/>
  <c r="AY103" i="257"/>
  <c r="AZ103" i="257" s="1"/>
  <c r="AT103" i="257"/>
  <c r="E42" i="256"/>
  <c r="AV104" i="257"/>
  <c r="G43" i="256"/>
  <c r="H43" i="256" s="1"/>
  <c r="N104" i="251"/>
  <c r="O104" i="251" s="1"/>
  <c r="P106" i="251"/>
  <c r="Q107" i="251"/>
  <c r="AV111" i="257"/>
  <c r="G50" i="256"/>
  <c r="H50" i="256" s="1"/>
  <c r="AU121" i="257"/>
  <c r="AV117" i="257"/>
  <c r="G63" i="256"/>
  <c r="AV119" i="257"/>
  <c r="G65" i="256"/>
  <c r="H65" i="256" s="1"/>
  <c r="N124" i="251"/>
  <c r="P126" i="251"/>
  <c r="AY128" i="257"/>
  <c r="AZ128" i="257" s="1"/>
  <c r="AT128" i="257"/>
  <c r="E55" i="256"/>
  <c r="J130" i="251"/>
  <c r="P130" i="251" s="1"/>
  <c r="AR136" i="257"/>
  <c r="D56" i="256"/>
  <c r="AT135" i="257"/>
  <c r="E57" i="256"/>
  <c r="Q138" i="251"/>
  <c r="P143" i="251"/>
  <c r="Q144" i="251"/>
  <c r="AV148" i="257"/>
  <c r="G58" i="256"/>
  <c r="H58" i="256" s="1"/>
  <c r="AU170" i="257"/>
  <c r="AV151" i="257"/>
  <c r="G120" i="256"/>
  <c r="N151" i="251"/>
  <c r="O151" i="251" s="1"/>
  <c r="P153" i="251"/>
  <c r="Q154" i="251"/>
  <c r="AY158" i="257"/>
  <c r="AZ158" i="257" s="1"/>
  <c r="AT158" i="257"/>
  <c r="E128" i="256"/>
  <c r="AV159" i="257"/>
  <c r="G129" i="256"/>
  <c r="H129" i="256" s="1"/>
  <c r="N159" i="251"/>
  <c r="O159" i="251" s="1"/>
  <c r="P161" i="251"/>
  <c r="Q162" i="251"/>
  <c r="AY169" i="257"/>
  <c r="AZ169" i="257" s="1"/>
  <c r="AT169" i="257"/>
  <c r="E136" i="256"/>
  <c r="AU183" i="257"/>
  <c r="AV181" i="257"/>
  <c r="G27" i="256"/>
  <c r="J178" i="251"/>
  <c r="AT187" i="257"/>
  <c r="AS194" i="257"/>
  <c r="AY187" i="257"/>
  <c r="E9" i="256"/>
  <c r="AV188" i="257"/>
  <c r="G10" i="256"/>
  <c r="H10" i="256" s="1"/>
  <c r="N186" i="251"/>
  <c r="O186" i="251" s="1"/>
  <c r="AS205" i="257"/>
  <c r="AY197" i="257"/>
  <c r="AT197" i="257"/>
  <c r="E14" i="256"/>
  <c r="AV199" i="257"/>
  <c r="G16" i="256"/>
  <c r="H16" i="256" s="1"/>
  <c r="AT202" i="257"/>
  <c r="E19" i="256"/>
  <c r="AV203" i="257"/>
  <c r="G20" i="256"/>
  <c r="H20" i="256" s="1"/>
  <c r="AT226" i="257"/>
  <c r="AY226" i="257"/>
  <c r="AZ226" i="257" s="1"/>
  <c r="N208" i="251"/>
  <c r="O208" i="251" s="1"/>
  <c r="AY231" i="257"/>
  <c r="AZ231" i="257" s="1"/>
  <c r="AT231" i="257"/>
  <c r="AV236" i="257"/>
  <c r="AT236" i="257"/>
  <c r="EI18" i="252"/>
  <c r="EG19" i="252"/>
  <c r="O19" i="252"/>
  <c r="AG19" i="252"/>
  <c r="AF19" i="252" s="1"/>
  <c r="AS19" i="252"/>
  <c r="BK19" i="252"/>
  <c r="BJ19" i="252" s="1"/>
  <c r="ED20" i="252"/>
  <c r="J20" i="250" s="1"/>
  <c r="AH20" i="257" s="1"/>
  <c r="AJ20" i="257" s="1"/>
  <c r="Y20" i="252"/>
  <c r="BM20" i="252"/>
  <c r="CE20" i="252"/>
  <c r="CD20" i="252" s="1"/>
  <c r="W21" i="252"/>
  <c r="V21" i="252" s="1"/>
  <c r="BK21" i="252"/>
  <c r="BJ21" i="252" s="1"/>
  <c r="CQ21" i="252"/>
  <c r="AM22" i="252"/>
  <c r="CO22" i="252"/>
  <c r="CN22" i="252" s="1"/>
  <c r="AU23" i="252"/>
  <c r="ED24" i="252"/>
  <c r="J24" i="250" s="1"/>
  <c r="AH24" i="257" s="1"/>
  <c r="AN24" i="257" s="1"/>
  <c r="Y24" i="252"/>
  <c r="BM24" i="252"/>
  <c r="CE24" i="252"/>
  <c r="CD24" i="252" s="1"/>
  <c r="W25" i="252"/>
  <c r="V25" i="252" s="1"/>
  <c r="BK25" i="252"/>
  <c r="BJ25" i="252" s="1"/>
  <c r="CQ25" i="252"/>
  <c r="EG26" i="252"/>
  <c r="AU26" i="252"/>
  <c r="AA27" i="252"/>
  <c r="AK27" i="252"/>
  <c r="CS27" i="252"/>
  <c r="EI28" i="252"/>
  <c r="L28" i="250" s="1"/>
  <c r="AK28" i="257" s="1"/>
  <c r="BC28" i="252"/>
  <c r="BM28" i="252"/>
  <c r="DA28" i="252"/>
  <c r="AM29" i="252"/>
  <c r="BW29" i="252"/>
  <c r="BX30" i="252"/>
  <c r="DP170" i="252"/>
  <c r="CI42" i="252"/>
  <c r="CX33" i="252"/>
  <c r="AP47" i="252"/>
  <c r="CS85" i="252"/>
  <c r="EC51" i="252"/>
  <c r="EB51" i="252" s="1"/>
  <c r="EC54" i="252"/>
  <c r="EB54" i="252" s="1"/>
  <c r="EF55" i="252"/>
  <c r="DS58" i="252"/>
  <c r="DR58" i="252" s="1"/>
  <c r="DI59" i="252"/>
  <c r="DH59" i="252" s="1"/>
  <c r="EC59" i="252"/>
  <c r="EB59" i="252" s="1"/>
  <c r="EC62" i="252"/>
  <c r="EB62" i="252" s="1"/>
  <c r="EF63" i="252"/>
  <c r="EC64" i="252"/>
  <c r="EB64" i="252" s="1"/>
  <c r="DI69" i="252"/>
  <c r="DH69" i="252" s="1"/>
  <c r="EC69" i="252"/>
  <c r="EB69" i="252" s="1"/>
  <c r="EW73" i="252"/>
  <c r="Q195" i="250"/>
  <c r="AJ203" i="257"/>
  <c r="AY15" i="257"/>
  <c r="AZ15" i="257" s="1"/>
  <c r="AT15" i="257"/>
  <c r="E72" i="256"/>
  <c r="AV18" i="257"/>
  <c r="G73" i="256"/>
  <c r="H73" i="256" s="1"/>
  <c r="AV27" i="257"/>
  <c r="G81" i="256"/>
  <c r="H81" i="256" s="1"/>
  <c r="AR42" i="257"/>
  <c r="D29" i="256"/>
  <c r="AT34" i="257"/>
  <c r="AY34" i="257"/>
  <c r="AZ34" i="257" s="1"/>
  <c r="E30" i="256"/>
  <c r="AV35" i="257"/>
  <c r="G31" i="256"/>
  <c r="H31" i="256" s="1"/>
  <c r="N36" i="251"/>
  <c r="O36" i="251" s="1"/>
  <c r="AV40" i="257"/>
  <c r="G36" i="256"/>
  <c r="H36" i="256" s="1"/>
  <c r="J41" i="251"/>
  <c r="N46" i="251"/>
  <c r="AT53" i="257"/>
  <c r="AY53" i="257"/>
  <c r="AZ53" i="257" s="1"/>
  <c r="E89" i="256"/>
  <c r="AV54" i="257"/>
  <c r="G90" i="256"/>
  <c r="H90" i="256" s="1"/>
  <c r="N54" i="251"/>
  <c r="O54" i="251" s="1"/>
  <c r="AY58" i="257"/>
  <c r="AZ58" i="257" s="1"/>
  <c r="AT58" i="257"/>
  <c r="E94" i="256"/>
  <c r="AV59" i="257"/>
  <c r="G95" i="256"/>
  <c r="H95" i="256" s="1"/>
  <c r="AT66" i="257"/>
  <c r="AY66" i="257"/>
  <c r="AZ66" i="257" s="1"/>
  <c r="E102" i="256"/>
  <c r="AV67" i="257"/>
  <c r="G103" i="256"/>
  <c r="H103" i="256" s="1"/>
  <c r="AY74" i="257"/>
  <c r="AZ74" i="257" s="1"/>
  <c r="AT74" i="257"/>
  <c r="E110" i="256"/>
  <c r="AV75" i="257"/>
  <c r="G111" i="256"/>
  <c r="H111" i="256" s="1"/>
  <c r="AV83" i="257"/>
  <c r="G116" i="256"/>
  <c r="H116" i="256" s="1"/>
  <c r="AV85" i="257"/>
  <c r="G118" i="256"/>
  <c r="H118" i="256" s="1"/>
  <c r="K86" i="251"/>
  <c r="P86" i="251" s="1"/>
  <c r="AT90" i="257"/>
  <c r="AY90" i="257"/>
  <c r="E22" i="256"/>
  <c r="AV93" i="257"/>
  <c r="G25" i="256"/>
  <c r="H25" i="256" s="1"/>
  <c r="N94" i="251"/>
  <c r="Q97" i="251"/>
  <c r="AY101" i="257"/>
  <c r="AZ101" i="257" s="1"/>
  <c r="AT101" i="257"/>
  <c r="E40" i="256"/>
  <c r="AV102" i="257"/>
  <c r="G41" i="256"/>
  <c r="H41" i="256" s="1"/>
  <c r="P104" i="251"/>
  <c r="Q105" i="251"/>
  <c r="AT109" i="257"/>
  <c r="AY109" i="257"/>
  <c r="AZ109" i="257" s="1"/>
  <c r="E48" i="256"/>
  <c r="AV110" i="257"/>
  <c r="G49" i="256"/>
  <c r="H49" i="256" s="1"/>
  <c r="AY120" i="257"/>
  <c r="E66" i="256"/>
  <c r="J120" i="251"/>
  <c r="P120" i="251" s="1"/>
  <c r="P124" i="251"/>
  <c r="Q125" i="251"/>
  <c r="AY130" i="257"/>
  <c r="AZ130" i="257" s="1"/>
  <c r="AT130" i="257"/>
  <c r="E119" i="256"/>
  <c r="L130" i="251"/>
  <c r="Q130" i="251" s="1"/>
  <c r="AU136" i="257"/>
  <c r="AV134" i="257"/>
  <c r="G56" i="256"/>
  <c r="H56" i="256" s="1"/>
  <c r="J135" i="251"/>
  <c r="Q142" i="251"/>
  <c r="AT146" i="257"/>
  <c r="AY146" i="257"/>
  <c r="AZ146" i="257" s="1"/>
  <c r="E61" i="256"/>
  <c r="AV147" i="257"/>
  <c r="G62" i="256"/>
  <c r="H62" i="256" s="1"/>
  <c r="AV149" i="257"/>
  <c r="G69" i="256"/>
  <c r="H69" i="256" s="1"/>
  <c r="P151" i="251"/>
  <c r="Q152" i="251"/>
  <c r="AT156" i="257"/>
  <c r="AY156" i="257"/>
  <c r="AZ156" i="257" s="1"/>
  <c r="E126" i="256"/>
  <c r="AV157" i="257"/>
  <c r="G127" i="256"/>
  <c r="H127" i="256" s="1"/>
  <c r="N157" i="251"/>
  <c r="O157" i="251" s="1"/>
  <c r="P159" i="251"/>
  <c r="Q160" i="251"/>
  <c r="AT164" i="257"/>
  <c r="AY164" i="257"/>
  <c r="AZ164" i="257" s="1"/>
  <c r="E134" i="256"/>
  <c r="AV165" i="257"/>
  <c r="G135" i="256"/>
  <c r="H135" i="256" s="1"/>
  <c r="N165" i="251"/>
  <c r="O165" i="251" s="1"/>
  <c r="J166" i="251"/>
  <c r="Q172" i="251"/>
  <c r="AY182" i="257"/>
  <c r="AZ182" i="257" s="1"/>
  <c r="AT182" i="257"/>
  <c r="E28" i="256"/>
  <c r="L178" i="251"/>
  <c r="N182" i="251"/>
  <c r="AY189" i="257"/>
  <c r="AZ189" i="257" s="1"/>
  <c r="AT189" i="257"/>
  <c r="E11" i="256"/>
  <c r="Q185" i="251"/>
  <c r="P186" i="251"/>
  <c r="N190" i="251"/>
  <c r="AT200" i="257"/>
  <c r="AY200" i="257"/>
  <c r="AZ200" i="257" s="1"/>
  <c r="E17" i="256"/>
  <c r="AV201" i="257"/>
  <c r="G18" i="256"/>
  <c r="H18" i="256" s="1"/>
  <c r="N194" i="251"/>
  <c r="O194" i="251" s="1"/>
  <c r="AY204" i="257"/>
  <c r="AZ204" i="257" s="1"/>
  <c r="AT204" i="257"/>
  <c r="E21" i="256"/>
  <c r="AR230" i="257"/>
  <c r="AR215" i="257"/>
  <c r="G30" i="252"/>
  <c r="AD30" i="252"/>
  <c r="AU14" i="252"/>
  <c r="BD30" i="252"/>
  <c r="BM14" i="252"/>
  <c r="BV30" i="252"/>
  <c r="CA30" i="252" s="1"/>
  <c r="CE14" i="252"/>
  <c r="CV30" i="252"/>
  <c r="DS14" i="252"/>
  <c r="ED14" i="252"/>
  <c r="EI15" i="252"/>
  <c r="CE16" i="252"/>
  <c r="CD16" i="252" s="1"/>
  <c r="DS16" i="252"/>
  <c r="DR16" i="252" s="1"/>
  <c r="EV18" i="252"/>
  <c r="W18" i="252"/>
  <c r="V18" i="252" s="1"/>
  <c r="CO18" i="252"/>
  <c r="CN18" i="252" s="1"/>
  <c r="AM19" i="252"/>
  <c r="BQ19" i="252"/>
  <c r="CK19" i="252"/>
  <c r="EK19" i="252"/>
  <c r="M19" i="250" s="1"/>
  <c r="AM19" i="257" s="1"/>
  <c r="AN19" i="257" s="1"/>
  <c r="AA20" i="252"/>
  <c r="AU20" i="252"/>
  <c r="CK20" i="252"/>
  <c r="ED21" i="252"/>
  <c r="J21" i="250" s="1"/>
  <c r="AH21" i="257" s="1"/>
  <c r="BM21" i="252"/>
  <c r="CE21" i="252"/>
  <c r="CD21" i="252" s="1"/>
  <c r="CS21" i="252"/>
  <c r="W22" i="252"/>
  <c r="V22" i="252" s="1"/>
  <c r="BK22" i="252"/>
  <c r="BJ22" i="252" s="1"/>
  <c r="S23" i="252"/>
  <c r="AM23" i="252"/>
  <c r="CO23" i="252"/>
  <c r="CN23" i="252" s="1"/>
  <c r="AA24" i="252"/>
  <c r="AU24" i="252"/>
  <c r="CK24" i="252"/>
  <c r="BM25" i="252"/>
  <c r="CE25" i="252"/>
  <c r="CD25" i="252" s="1"/>
  <c r="CS25" i="252"/>
  <c r="EU25" i="252"/>
  <c r="EW25" i="252" s="1"/>
  <c r="AM26" i="252"/>
  <c r="CO26" i="252"/>
  <c r="CN26" i="252" s="1"/>
  <c r="EU27" i="252"/>
  <c r="Q27" i="252"/>
  <c r="CO27" i="252"/>
  <c r="CN27" i="252" s="1"/>
  <c r="CU27" i="252"/>
  <c r="BE28" i="252"/>
  <c r="BQ28" i="252"/>
  <c r="BF30" i="252"/>
  <c r="BG42" i="252"/>
  <c r="BW33" i="252"/>
  <c r="CE33" i="252"/>
  <c r="BX42" i="252"/>
  <c r="BW42" i="252" s="1"/>
  <c r="EG33" i="252"/>
  <c r="CK42" i="252"/>
  <c r="DU42" i="252"/>
  <c r="EF41" i="252"/>
  <c r="BQ85" i="252"/>
  <c r="DS48" i="252"/>
  <c r="DR48" i="252" s="1"/>
  <c r="DS52" i="252"/>
  <c r="DR52" i="252" s="1"/>
  <c r="DI53" i="252"/>
  <c r="DH53" i="252" s="1"/>
  <c r="EC53" i="252"/>
  <c r="EB53" i="252" s="1"/>
  <c r="EF57" i="252"/>
  <c r="DS60" i="252"/>
  <c r="DR60" i="252" s="1"/>
  <c r="DI61" i="252"/>
  <c r="DH61" i="252" s="1"/>
  <c r="EC61" i="252"/>
  <c r="EB61" i="252" s="1"/>
  <c r="EC65" i="252"/>
  <c r="EB65" i="252" s="1"/>
  <c r="DS66" i="252"/>
  <c r="DR66" i="252" s="1"/>
  <c r="EW69" i="252"/>
  <c r="DS70" i="252"/>
  <c r="DR70" i="252" s="1"/>
  <c r="AV15" i="257"/>
  <c r="G72" i="256"/>
  <c r="H72" i="256" s="1"/>
  <c r="AY26" i="257"/>
  <c r="AZ26" i="257" s="1"/>
  <c r="AT26" i="257"/>
  <c r="E80" i="256"/>
  <c r="AY33" i="257"/>
  <c r="AT33" i="257"/>
  <c r="E29" i="256"/>
  <c r="AV34" i="257"/>
  <c r="G30" i="256"/>
  <c r="H30" i="256" s="1"/>
  <c r="AY39" i="257"/>
  <c r="AZ39" i="257" s="1"/>
  <c r="AT39" i="257"/>
  <c r="E35" i="256"/>
  <c r="K41" i="251"/>
  <c r="AY52" i="257"/>
  <c r="AZ52" i="257" s="1"/>
  <c r="AT52" i="257"/>
  <c r="E88" i="256"/>
  <c r="AV53" i="257"/>
  <c r="G89" i="256"/>
  <c r="H89" i="256" s="1"/>
  <c r="AV58" i="257"/>
  <c r="G94" i="256"/>
  <c r="H94" i="256" s="1"/>
  <c r="AY65" i="257"/>
  <c r="AZ65" i="257" s="1"/>
  <c r="AT65" i="257"/>
  <c r="E101" i="256"/>
  <c r="AV66" i="257"/>
  <c r="G102" i="256"/>
  <c r="H102" i="256" s="1"/>
  <c r="AT73" i="257"/>
  <c r="AY73" i="257"/>
  <c r="AZ73" i="257" s="1"/>
  <c r="E109" i="256"/>
  <c r="AV74" i="257"/>
  <c r="G110" i="256"/>
  <c r="H110" i="256" s="1"/>
  <c r="AT81" i="257"/>
  <c r="AY81" i="257"/>
  <c r="AZ81" i="257" s="1"/>
  <c r="AV90" i="257"/>
  <c r="AU95" i="257"/>
  <c r="G22" i="256"/>
  <c r="H22" i="256" s="1"/>
  <c r="AT100" i="257"/>
  <c r="AY100" i="257"/>
  <c r="AZ100" i="257" s="1"/>
  <c r="E39" i="256"/>
  <c r="AV101" i="257"/>
  <c r="G40" i="256"/>
  <c r="H40" i="256" s="1"/>
  <c r="P103" i="251"/>
  <c r="AT108" i="257"/>
  <c r="AY108" i="257"/>
  <c r="AZ108" i="257" s="1"/>
  <c r="E47" i="256"/>
  <c r="AV109" i="257"/>
  <c r="G48" i="256"/>
  <c r="H48" i="256" s="1"/>
  <c r="P110" i="251"/>
  <c r="P116" i="251"/>
  <c r="G66" i="256"/>
  <c r="AV130" i="257"/>
  <c r="G119" i="256"/>
  <c r="H119" i="256" s="1"/>
  <c r="AY139" i="257"/>
  <c r="AZ139" i="257" s="1"/>
  <c r="AT139" i="257"/>
  <c r="E68" i="256"/>
  <c r="AT145" i="257"/>
  <c r="AY145" i="257"/>
  <c r="AZ145" i="257" s="1"/>
  <c r="E60" i="256"/>
  <c r="AV146" i="257"/>
  <c r="G61" i="256"/>
  <c r="H61" i="256" s="1"/>
  <c r="P150" i="251"/>
  <c r="AT155" i="257"/>
  <c r="AY155" i="257"/>
  <c r="AZ155" i="257" s="1"/>
  <c r="E125" i="256"/>
  <c r="AV156" i="257"/>
  <c r="G126" i="256"/>
  <c r="H126" i="256" s="1"/>
  <c r="P158" i="251"/>
  <c r="AT163" i="257"/>
  <c r="AY163" i="257"/>
  <c r="AZ163" i="257" s="1"/>
  <c r="E133" i="256"/>
  <c r="AV164" i="257"/>
  <c r="G134" i="256"/>
  <c r="H134" i="256" s="1"/>
  <c r="K166" i="251"/>
  <c r="P166" i="251" s="1"/>
  <c r="AV182" i="257"/>
  <c r="G28" i="256"/>
  <c r="H28" i="256" s="1"/>
  <c r="AV189" i="257"/>
  <c r="G11" i="256"/>
  <c r="H11" i="256" s="1"/>
  <c r="AV200" i="257"/>
  <c r="G17" i="256"/>
  <c r="H17" i="256" s="1"/>
  <c r="AV204" i="257"/>
  <c r="G21" i="256"/>
  <c r="H21" i="256" s="1"/>
  <c r="AS230" i="257"/>
  <c r="AS215" i="257"/>
  <c r="AN30" i="252"/>
  <c r="BM30" i="252"/>
  <c r="CF30" i="252"/>
  <c r="EU14" i="252"/>
  <c r="EK15" i="252"/>
  <c r="M15" i="250" s="1"/>
  <c r="AM15" i="257" s="1"/>
  <c r="AN15" i="257" s="1"/>
  <c r="W16" i="252"/>
  <c r="V16" i="252" s="1"/>
  <c r="S19" i="252"/>
  <c r="AW19" i="252"/>
  <c r="DU19" i="252"/>
  <c r="EI20" i="252"/>
  <c r="Q20" i="252"/>
  <c r="BG20" i="252"/>
  <c r="BQ20" i="252"/>
  <c r="O21" i="252"/>
  <c r="AQ21" i="252"/>
  <c r="AP21" i="252" s="1"/>
  <c r="AI21" i="252"/>
  <c r="BW22" i="252"/>
  <c r="DA22" i="252"/>
  <c r="BU23" i="252"/>
  <c r="BT23" i="252" s="1"/>
  <c r="DS23" i="252"/>
  <c r="DR23" i="252" s="1"/>
  <c r="EI24" i="252"/>
  <c r="Q24" i="252"/>
  <c r="BG24" i="252"/>
  <c r="BQ24" i="252"/>
  <c r="AQ25" i="252"/>
  <c r="AP25" i="252" s="1"/>
  <c r="AI25" i="252"/>
  <c r="EV25" i="252"/>
  <c r="BU26" i="252"/>
  <c r="BT26" i="252" s="1"/>
  <c r="EK27" i="252"/>
  <c r="M27" i="250" s="1"/>
  <c r="AM27" i="257" s="1"/>
  <c r="AN27" i="257" s="1"/>
  <c r="S27" i="252"/>
  <c r="BM27" i="252"/>
  <c r="EV27" i="252"/>
  <c r="AS28" i="252"/>
  <c r="CA29" i="252"/>
  <c r="AS42" i="252"/>
  <c r="BY42" i="252"/>
  <c r="CO42" i="252"/>
  <c r="CN42" i="252" s="1"/>
  <c r="DA42" i="252"/>
  <c r="DX42" i="252"/>
  <c r="DW42" i="252" s="1"/>
  <c r="EW39" i="252"/>
  <c r="EI41" i="252"/>
  <c r="EH41" i="252" s="1"/>
  <c r="EC50" i="252"/>
  <c r="EB50" i="252" s="1"/>
  <c r="EF71" i="252"/>
  <c r="AV39" i="257"/>
  <c r="G35" i="256"/>
  <c r="H35" i="256" s="1"/>
  <c r="AY51" i="257"/>
  <c r="AZ51" i="257" s="1"/>
  <c r="AT51" i="257"/>
  <c r="E87" i="256"/>
  <c r="AV52" i="257"/>
  <c r="G88" i="256"/>
  <c r="H88" i="256" s="1"/>
  <c r="AT64" i="257"/>
  <c r="AY64" i="257"/>
  <c r="AZ64" i="257" s="1"/>
  <c r="E100" i="256"/>
  <c r="AV65" i="257"/>
  <c r="G101" i="256"/>
  <c r="H101" i="256" s="1"/>
  <c r="AT72" i="257"/>
  <c r="AY72" i="257"/>
  <c r="AZ72" i="257" s="1"/>
  <c r="E108" i="256"/>
  <c r="AV73" i="257"/>
  <c r="G109" i="256"/>
  <c r="H109" i="256" s="1"/>
  <c r="AT167" i="257"/>
  <c r="AY167" i="257"/>
  <c r="AZ167" i="257" s="1"/>
  <c r="AY84" i="257"/>
  <c r="AZ84" i="257" s="1"/>
  <c r="AT84" i="257"/>
  <c r="E117" i="256"/>
  <c r="AY92" i="257"/>
  <c r="AZ92" i="257" s="1"/>
  <c r="AT92" i="257"/>
  <c r="E24" i="256"/>
  <c r="AR114" i="257"/>
  <c r="D37" i="256"/>
  <c r="AY99" i="257"/>
  <c r="AZ99" i="257" s="1"/>
  <c r="AT99" i="257"/>
  <c r="E38" i="256"/>
  <c r="AV100" i="257"/>
  <c r="G39" i="256"/>
  <c r="H39" i="256" s="1"/>
  <c r="Q103" i="251"/>
  <c r="AT107" i="257"/>
  <c r="AY107" i="257"/>
  <c r="AZ107" i="257" s="1"/>
  <c r="E46" i="256"/>
  <c r="AV108" i="257"/>
  <c r="G47" i="256"/>
  <c r="H47" i="256" s="1"/>
  <c r="Q110" i="251"/>
  <c r="J113" i="251"/>
  <c r="Q116" i="251"/>
  <c r="L120" i="251"/>
  <c r="Q120" i="251" s="1"/>
  <c r="AT127" i="257"/>
  <c r="AY127" i="257"/>
  <c r="AZ127" i="257" s="1"/>
  <c r="E54" i="256"/>
  <c r="AV139" i="257"/>
  <c r="G68" i="256"/>
  <c r="H68" i="256" s="1"/>
  <c r="AT144" i="257"/>
  <c r="AY144" i="257"/>
  <c r="AZ144" i="257" s="1"/>
  <c r="E59" i="256"/>
  <c r="AV145" i="257"/>
  <c r="G60" i="256"/>
  <c r="H60" i="256" s="1"/>
  <c r="Q150" i="251"/>
  <c r="AY154" i="257"/>
  <c r="AZ154" i="257" s="1"/>
  <c r="AT154" i="257"/>
  <c r="E124" i="256"/>
  <c r="AV155" i="257"/>
  <c r="G125" i="256"/>
  <c r="H125" i="256" s="1"/>
  <c r="Q158" i="251"/>
  <c r="AT162" i="257"/>
  <c r="AY162" i="257"/>
  <c r="AZ162" i="257" s="1"/>
  <c r="E132" i="256"/>
  <c r="AV163" i="257"/>
  <c r="G133" i="256"/>
  <c r="H133" i="256" s="1"/>
  <c r="L166" i="251"/>
  <c r="Q166" i="251" s="1"/>
  <c r="AR178" i="257"/>
  <c r="D140" i="256"/>
  <c r="S172" i="251"/>
  <c r="J197" i="251"/>
  <c r="AY208" i="257"/>
  <c r="AZ208" i="257" s="1"/>
  <c r="AT208" i="257"/>
  <c r="E137" i="256"/>
  <c r="AT223" i="257"/>
  <c r="AY223" i="257"/>
  <c r="AZ223" i="257" s="1"/>
  <c r="AY227" i="257"/>
  <c r="AZ227" i="257" s="1"/>
  <c r="AT227" i="257"/>
  <c r="AU230" i="257"/>
  <c r="AV230" i="257" s="1"/>
  <c r="AU215" i="257"/>
  <c r="AV215" i="257" s="1"/>
  <c r="AG14" i="252"/>
  <c r="CY14" i="252"/>
  <c r="DJ30" i="252"/>
  <c r="DO30" i="252" s="1"/>
  <c r="EG14" i="252"/>
  <c r="EV14" i="252"/>
  <c r="BK15" i="252"/>
  <c r="BJ15" i="252" s="1"/>
  <c r="AG16" i="252"/>
  <c r="AF16" i="252" s="1"/>
  <c r="CY16" i="252"/>
  <c r="CX16" i="252" s="1"/>
  <c r="EG16" i="252"/>
  <c r="EV16" i="252"/>
  <c r="EW16" i="252" s="1"/>
  <c r="BK17" i="252"/>
  <c r="BJ17" i="252" s="1"/>
  <c r="EG18" i="252"/>
  <c r="EU18" i="252"/>
  <c r="EW18" i="252" s="1"/>
  <c r="EU19" i="252"/>
  <c r="AC20" i="252"/>
  <c r="AU21" i="252"/>
  <c r="ED22" i="252"/>
  <c r="J22" i="250" s="1"/>
  <c r="AH22" i="257" s="1"/>
  <c r="AC24" i="252"/>
  <c r="EG25" i="252"/>
  <c r="AU25" i="252"/>
  <c r="CX27" i="252"/>
  <c r="CS28" i="252"/>
  <c r="CY28" i="252"/>
  <c r="CX28" i="252" s="1"/>
  <c r="BO29" i="252"/>
  <c r="BU29" i="252"/>
  <c r="BT29" i="252" s="1"/>
  <c r="DD29" i="252"/>
  <c r="EI29" i="252" s="1"/>
  <c r="AU42" i="252"/>
  <c r="CA42" i="252"/>
  <c r="DI33" i="252"/>
  <c r="DD42" i="252"/>
  <c r="DC42" i="252" s="1"/>
  <c r="DE42" i="252"/>
  <c r="DI55" i="252"/>
  <c r="DH55" i="252" s="1"/>
  <c r="EC55" i="252"/>
  <c r="EB55" i="252" s="1"/>
  <c r="EW58" i="252"/>
  <c r="EF59" i="252"/>
  <c r="EC63" i="252"/>
  <c r="EB63" i="252" s="1"/>
  <c r="Q194" i="250"/>
  <c r="N196" i="250"/>
  <c r="W196" i="250" s="1"/>
  <c r="AL226" i="257"/>
  <c r="AN235" i="257"/>
  <c r="AS30" i="257"/>
  <c r="AY14" i="257"/>
  <c r="E71" i="256"/>
  <c r="AY19" i="257"/>
  <c r="AZ19" i="257" s="1"/>
  <c r="AT19" i="257"/>
  <c r="AV21" i="257"/>
  <c r="G75" i="256"/>
  <c r="H75" i="256" s="1"/>
  <c r="AY24" i="257"/>
  <c r="AZ24" i="257" s="1"/>
  <c r="AT24" i="257"/>
  <c r="E78" i="256"/>
  <c r="AV25" i="257"/>
  <c r="G79" i="256"/>
  <c r="H79" i="256" s="1"/>
  <c r="N26" i="251"/>
  <c r="O26" i="251" s="1"/>
  <c r="N33" i="251"/>
  <c r="AY38" i="257"/>
  <c r="AZ38" i="257" s="1"/>
  <c r="AT38" i="257"/>
  <c r="E34" i="256"/>
  <c r="N39" i="251"/>
  <c r="O39" i="251" s="1"/>
  <c r="AY50" i="257"/>
  <c r="AZ50" i="257" s="1"/>
  <c r="AT50" i="257"/>
  <c r="E86" i="256"/>
  <c r="AV51" i="257"/>
  <c r="G87" i="256"/>
  <c r="H87" i="256" s="1"/>
  <c r="N51" i="251"/>
  <c r="O51" i="251" s="1"/>
  <c r="AT63" i="257"/>
  <c r="AY63" i="257"/>
  <c r="AZ63" i="257" s="1"/>
  <c r="E99" i="256"/>
  <c r="AV64" i="257"/>
  <c r="G100" i="256"/>
  <c r="H100" i="256" s="1"/>
  <c r="N64" i="251"/>
  <c r="O64" i="251" s="1"/>
  <c r="AT71" i="257"/>
  <c r="AY71" i="257"/>
  <c r="AZ71" i="257" s="1"/>
  <c r="E107" i="256"/>
  <c r="AV72" i="257"/>
  <c r="G108" i="256"/>
  <c r="H108" i="256" s="1"/>
  <c r="N72" i="251"/>
  <c r="O72" i="251" s="1"/>
  <c r="AT166" i="257"/>
  <c r="AY166" i="257"/>
  <c r="AZ166" i="257" s="1"/>
  <c r="E115" i="256"/>
  <c r="AV167" i="257"/>
  <c r="N80" i="251"/>
  <c r="O80" i="251" s="1"/>
  <c r="AR79" i="257"/>
  <c r="D122" i="256" s="1"/>
  <c r="AR82" i="257"/>
  <c r="AV84" i="257"/>
  <c r="G117" i="256"/>
  <c r="H117" i="256" s="1"/>
  <c r="AV92" i="257"/>
  <c r="G24" i="256"/>
  <c r="H24" i="256" s="1"/>
  <c r="AY98" i="257"/>
  <c r="AT98" i="257"/>
  <c r="E37" i="256"/>
  <c r="AV99" i="257"/>
  <c r="G38" i="256"/>
  <c r="H38" i="256" s="1"/>
  <c r="N99" i="251"/>
  <c r="O99" i="251" s="1"/>
  <c r="AT106" i="257"/>
  <c r="AY106" i="257"/>
  <c r="AZ106" i="257" s="1"/>
  <c r="E45" i="256"/>
  <c r="AV107" i="257"/>
  <c r="G46" i="256"/>
  <c r="H46" i="256" s="1"/>
  <c r="N107" i="251"/>
  <c r="O107" i="251" s="1"/>
  <c r="AY112" i="257"/>
  <c r="AZ112" i="257" s="1"/>
  <c r="AT112" i="257"/>
  <c r="E51" i="256"/>
  <c r="K113" i="251"/>
  <c r="P113" i="251" s="1"/>
  <c r="AY118" i="257"/>
  <c r="AZ118" i="257" s="1"/>
  <c r="AT118" i="257"/>
  <c r="E64" i="256"/>
  <c r="AR131" i="257"/>
  <c r="D52" i="256"/>
  <c r="AY126" i="257"/>
  <c r="AZ126" i="257" s="1"/>
  <c r="AT126" i="257"/>
  <c r="E53" i="256"/>
  <c r="AV127" i="257"/>
  <c r="G54" i="256"/>
  <c r="H54" i="256" s="1"/>
  <c r="N138" i="251"/>
  <c r="O138" i="251" s="1"/>
  <c r="AT143" i="257"/>
  <c r="AY143" i="257"/>
  <c r="AZ143" i="257" s="1"/>
  <c r="E67" i="256"/>
  <c r="AV144" i="257"/>
  <c r="G59" i="256"/>
  <c r="H59" i="256" s="1"/>
  <c r="N144" i="251"/>
  <c r="O144" i="251" s="1"/>
  <c r="AY153" i="257"/>
  <c r="AZ153" i="257" s="1"/>
  <c r="AT153" i="257"/>
  <c r="E123" i="256"/>
  <c r="AV154" i="257"/>
  <c r="G124" i="256"/>
  <c r="H124" i="256" s="1"/>
  <c r="N154" i="251"/>
  <c r="O154" i="251" s="1"/>
  <c r="AY161" i="257"/>
  <c r="AZ161" i="257" s="1"/>
  <c r="AT161" i="257"/>
  <c r="E131" i="256"/>
  <c r="AV162" i="257"/>
  <c r="G132" i="256"/>
  <c r="H132" i="256" s="1"/>
  <c r="N162" i="251"/>
  <c r="O162" i="251" s="1"/>
  <c r="AY177" i="257"/>
  <c r="AZ177" i="257" s="1"/>
  <c r="AS178" i="257"/>
  <c r="AT177" i="257"/>
  <c r="AT178" i="257" s="1"/>
  <c r="E140" i="256"/>
  <c r="J173" i="251"/>
  <c r="P173" i="251" s="1"/>
  <c r="AT190" i="257"/>
  <c r="AY190" i="257"/>
  <c r="AZ190" i="257" s="1"/>
  <c r="E12" i="256"/>
  <c r="K197" i="251"/>
  <c r="P197" i="251" s="1"/>
  <c r="AV208" i="257"/>
  <c r="G137" i="256"/>
  <c r="H137" i="256" s="1"/>
  <c r="N209" i="251"/>
  <c r="O209" i="251" s="1"/>
  <c r="AY233" i="257"/>
  <c r="AZ233" i="257" s="1"/>
  <c r="AT233" i="257"/>
  <c r="AT235" i="257"/>
  <c r="AY235" i="257"/>
  <c r="AZ235" i="257" s="1"/>
  <c r="P30" i="252"/>
  <c r="AH30" i="252"/>
  <c r="AX30" i="252"/>
  <c r="BG14" i="252"/>
  <c r="BP30" i="252"/>
  <c r="CH30" i="252"/>
  <c r="CQ14" i="252"/>
  <c r="CZ30" i="252"/>
  <c r="DA30" i="252" s="1"/>
  <c r="DK14" i="252"/>
  <c r="DV30" i="252"/>
  <c r="AI18" i="252"/>
  <c r="CY18" i="252"/>
  <c r="CX18" i="252" s="1"/>
  <c r="ED18" i="252"/>
  <c r="J18" i="250" s="1"/>
  <c r="AH18" i="257" s="1"/>
  <c r="EV19" i="252"/>
  <c r="DS20" i="252"/>
  <c r="DR20" i="252" s="1"/>
  <c r="EI21" i="252"/>
  <c r="Q21" i="252"/>
  <c r="AW21" i="252"/>
  <c r="BQ21" i="252"/>
  <c r="O22" i="252"/>
  <c r="AQ22" i="252"/>
  <c r="AP22" i="252" s="1"/>
  <c r="AI22" i="252"/>
  <c r="BW23" i="252"/>
  <c r="DA23" i="252"/>
  <c r="DS24" i="252"/>
  <c r="DR24" i="252" s="1"/>
  <c r="AW25" i="252"/>
  <c r="BQ25" i="252"/>
  <c r="BC26" i="252"/>
  <c r="BW26" i="252"/>
  <c r="AS27" i="252"/>
  <c r="BE27" i="252"/>
  <c r="DU27" i="252"/>
  <c r="CG28" i="252"/>
  <c r="CO28" i="252"/>
  <c r="CN28" i="252" s="1"/>
  <c r="AI29" i="252"/>
  <c r="BC29" i="252"/>
  <c r="BK29" i="252"/>
  <c r="BJ29" i="252" s="1"/>
  <c r="DK32" i="252"/>
  <c r="X42" i="252"/>
  <c r="Y42" i="252" s="1"/>
  <c r="EV33" i="252"/>
  <c r="CQ42" i="252"/>
  <c r="EW67" i="252"/>
  <c r="EC75" i="252"/>
  <c r="EB75" i="252" s="1"/>
  <c r="AU114" i="257"/>
  <c r="AV98" i="257"/>
  <c r="G37" i="256"/>
  <c r="AY105" i="257"/>
  <c r="AZ105" i="257" s="1"/>
  <c r="AT105" i="257"/>
  <c r="E44" i="256"/>
  <c r="AV106" i="257"/>
  <c r="G45" i="256"/>
  <c r="H45" i="256" s="1"/>
  <c r="AV112" i="257"/>
  <c r="G51" i="256"/>
  <c r="H51" i="256" s="1"/>
  <c r="L113" i="251"/>
  <c r="Q113" i="251" s="1"/>
  <c r="D63" i="256"/>
  <c r="AV118" i="257"/>
  <c r="G64" i="256"/>
  <c r="H64" i="256" s="1"/>
  <c r="AS131" i="257"/>
  <c r="AY125" i="257"/>
  <c r="AT125" i="257"/>
  <c r="E52" i="256"/>
  <c r="AV126" i="257"/>
  <c r="G53" i="256"/>
  <c r="H53" i="256" s="1"/>
  <c r="AV143" i="257"/>
  <c r="G67" i="256"/>
  <c r="H67" i="256" s="1"/>
  <c r="AR170" i="257"/>
  <c r="D120" i="256"/>
  <c r="AY152" i="257"/>
  <c r="AZ152" i="257" s="1"/>
  <c r="AT152" i="257"/>
  <c r="E121" i="256"/>
  <c r="AV153" i="257"/>
  <c r="G123" i="256"/>
  <c r="H123" i="256" s="1"/>
  <c r="AY160" i="257"/>
  <c r="AZ160" i="257" s="1"/>
  <c r="AT160" i="257"/>
  <c r="E130" i="256"/>
  <c r="AV161" i="257"/>
  <c r="G131" i="256"/>
  <c r="H131" i="256" s="1"/>
  <c r="AU178" i="257"/>
  <c r="AV178" i="257" s="1"/>
  <c r="AV177" i="257"/>
  <c r="G140" i="256"/>
  <c r="H140" i="256" s="1"/>
  <c r="AR183" i="257"/>
  <c r="D27" i="256"/>
  <c r="AV190" i="257"/>
  <c r="G12" i="256"/>
  <c r="H12" i="256" s="1"/>
  <c r="AT191" i="257"/>
  <c r="AY191" i="257"/>
  <c r="AZ191" i="257" s="1"/>
  <c r="E13" i="256"/>
  <c r="J187" i="251"/>
  <c r="S187" i="251" s="1"/>
  <c r="AY229" i="257"/>
  <c r="AZ229" i="257" s="1"/>
  <c r="AT229" i="257"/>
  <c r="Z30" i="252"/>
  <c r="BG30" i="252"/>
  <c r="BZ30" i="252"/>
  <c r="CQ30" i="252"/>
  <c r="ED23" i="252"/>
  <c r="J23" i="250" s="1"/>
  <c r="AH23" i="257" s="1"/>
  <c r="EV26" i="252"/>
  <c r="ED26" i="252"/>
  <c r="J26" i="250" s="1"/>
  <c r="AH26" i="257" s="1"/>
  <c r="AN26" i="257" s="1"/>
  <c r="CS26" i="252"/>
  <c r="AU27" i="252"/>
  <c r="BQ27" i="252"/>
  <c r="EV28" i="252"/>
  <c r="ED28" i="252"/>
  <c r="J28" i="250" s="1"/>
  <c r="AH28" i="257" s="1"/>
  <c r="AN28" i="257" s="1"/>
  <c r="BJ28" i="252"/>
  <c r="CG29" i="252"/>
  <c r="CO29" i="252"/>
  <c r="CN29" i="252" s="1"/>
  <c r="CY29" i="252"/>
  <c r="CX29" i="252" s="1"/>
  <c r="DK29" i="252"/>
  <c r="X30" i="252"/>
  <c r="CP30" i="252"/>
  <c r="CS30" i="252" s="1"/>
  <c r="EV42" i="252"/>
  <c r="AW42" i="252"/>
  <c r="BO42" i="252"/>
  <c r="CS42" i="252"/>
  <c r="DS33" i="252"/>
  <c r="EN36" i="252"/>
  <c r="EF47" i="252"/>
  <c r="EC48" i="252"/>
  <c r="EB48" i="252" s="1"/>
  <c r="EW52" i="252"/>
  <c r="DS56" i="252"/>
  <c r="DR56" i="252" s="1"/>
  <c r="DI57" i="252"/>
  <c r="DH57" i="252" s="1"/>
  <c r="EC57" i="252"/>
  <c r="EB57" i="252" s="1"/>
  <c r="EC60" i="252"/>
  <c r="EB60" i="252" s="1"/>
  <c r="EF61" i="252"/>
  <c r="EF65" i="252"/>
  <c r="EC66" i="252"/>
  <c r="EB66" i="252" s="1"/>
  <c r="AJ191" i="257"/>
  <c r="AP223" i="257"/>
  <c r="AQ223" i="257" s="1"/>
  <c r="AL223" i="257"/>
  <c r="N14" i="251"/>
  <c r="Q15" i="251"/>
  <c r="AT20" i="257"/>
  <c r="AY20" i="257"/>
  <c r="AZ20" i="257" s="1"/>
  <c r="E74" i="256"/>
  <c r="AT22" i="257"/>
  <c r="AY22" i="257"/>
  <c r="AZ22" i="257" s="1"/>
  <c r="E76" i="256"/>
  <c r="AV23" i="257"/>
  <c r="G77" i="256"/>
  <c r="H77" i="256" s="1"/>
  <c r="N24" i="251"/>
  <c r="O24" i="251" s="1"/>
  <c r="P26" i="251"/>
  <c r="AY28" i="257"/>
  <c r="AZ28" i="257" s="1"/>
  <c r="AT28" i="257"/>
  <c r="E82" i="256"/>
  <c r="P33" i="251"/>
  <c r="Q34" i="251"/>
  <c r="AT37" i="257"/>
  <c r="AY37" i="257"/>
  <c r="AZ37" i="257" s="1"/>
  <c r="E33" i="256"/>
  <c r="N38" i="251"/>
  <c r="O38" i="251" s="1"/>
  <c r="P39" i="251"/>
  <c r="S40" i="251"/>
  <c r="D83" i="256"/>
  <c r="AT48" i="257"/>
  <c r="AY48" i="257"/>
  <c r="AZ48" i="257" s="1"/>
  <c r="E84" i="256"/>
  <c r="AV49" i="257"/>
  <c r="G85" i="256"/>
  <c r="H85" i="256" s="1"/>
  <c r="N49" i="251"/>
  <c r="O49" i="251" s="1"/>
  <c r="P51" i="251"/>
  <c r="Q52" i="251"/>
  <c r="AT56" i="257"/>
  <c r="AY56" i="257"/>
  <c r="AZ56" i="257" s="1"/>
  <c r="E92" i="256"/>
  <c r="AV57" i="257"/>
  <c r="G93" i="256"/>
  <c r="H93" i="256" s="1"/>
  <c r="Q57" i="251"/>
  <c r="AT61" i="257"/>
  <c r="AY61" i="257"/>
  <c r="AZ61" i="257" s="1"/>
  <c r="E97" i="256"/>
  <c r="AV62" i="257"/>
  <c r="G98" i="256"/>
  <c r="H98" i="256" s="1"/>
  <c r="N62" i="251"/>
  <c r="O62" i="251" s="1"/>
  <c r="P64" i="251"/>
  <c r="Q65" i="251"/>
  <c r="AY69" i="257"/>
  <c r="E105" i="256"/>
  <c r="AV70" i="257"/>
  <c r="G106" i="256"/>
  <c r="H106" i="256" s="1"/>
  <c r="N70" i="251"/>
  <c r="O70" i="251" s="1"/>
  <c r="P72" i="251"/>
  <c r="Q73" i="251"/>
  <c r="AY77" i="257"/>
  <c r="AZ77" i="257" s="1"/>
  <c r="AT77" i="257"/>
  <c r="E113" i="256"/>
  <c r="AV78" i="257"/>
  <c r="G114" i="256"/>
  <c r="H114" i="256" s="1"/>
  <c r="N78" i="251"/>
  <c r="O78" i="251" s="1"/>
  <c r="AU79" i="257"/>
  <c r="AU82" i="257"/>
  <c r="AV82" i="257" s="1"/>
  <c r="Q89" i="251"/>
  <c r="AY91" i="257"/>
  <c r="AZ91" i="257" s="1"/>
  <c r="AT91" i="257"/>
  <c r="E23" i="256"/>
  <c r="AV94" i="257"/>
  <c r="G26" i="256"/>
  <c r="H26" i="256" s="1"/>
  <c r="K94" i="251"/>
  <c r="N97" i="251"/>
  <c r="P99" i="251"/>
  <c r="Q100" i="251"/>
  <c r="AY104" i="257"/>
  <c r="AZ104" i="257" s="1"/>
  <c r="AT104" i="257"/>
  <c r="E43" i="256"/>
  <c r="AV105" i="257"/>
  <c r="G44" i="256"/>
  <c r="H44" i="256" s="1"/>
  <c r="N105" i="251"/>
  <c r="O105" i="251" s="1"/>
  <c r="P107" i="251"/>
  <c r="Q108" i="251"/>
  <c r="AY111" i="257"/>
  <c r="AZ111" i="257" s="1"/>
  <c r="AT111" i="257"/>
  <c r="E50" i="256"/>
  <c r="N111" i="251"/>
  <c r="O111" i="251" s="1"/>
  <c r="AY117" i="257"/>
  <c r="AS121" i="257"/>
  <c r="AT117" i="257"/>
  <c r="E63" i="256"/>
  <c r="N117" i="251"/>
  <c r="O117" i="251" s="1"/>
  <c r="AY119" i="257"/>
  <c r="AZ119" i="257" s="1"/>
  <c r="AT119" i="257"/>
  <c r="E65" i="256"/>
  <c r="Q119" i="251"/>
  <c r="AV125" i="257"/>
  <c r="AU131" i="257"/>
  <c r="G52" i="256"/>
  <c r="H52" i="256" s="1"/>
  <c r="N125" i="251"/>
  <c r="O125" i="251" s="1"/>
  <c r="AV128" i="257"/>
  <c r="D55" i="256"/>
  <c r="P138" i="251"/>
  <c r="N142" i="251"/>
  <c r="P144" i="251"/>
  <c r="Q145" i="251"/>
  <c r="AY148" i="257"/>
  <c r="AZ148" i="257" s="1"/>
  <c r="AT148" i="257"/>
  <c r="E58" i="256"/>
  <c r="AS170" i="257"/>
  <c r="AY151" i="257"/>
  <c r="AT151" i="257"/>
  <c r="E120" i="256"/>
  <c r="AV152" i="257"/>
  <c r="G121" i="256"/>
  <c r="H121" i="256" s="1"/>
  <c r="N152" i="251"/>
  <c r="O152" i="251" s="1"/>
  <c r="P154" i="251"/>
  <c r="Q155" i="251"/>
  <c r="AY159" i="257"/>
  <c r="AZ159" i="257" s="1"/>
  <c r="AT159" i="257"/>
  <c r="E129" i="256"/>
  <c r="AV160" i="257"/>
  <c r="G130" i="256"/>
  <c r="H130" i="256" s="1"/>
  <c r="N160" i="251"/>
  <c r="O160" i="251" s="1"/>
  <c r="P162" i="251"/>
  <c r="Q163" i="251"/>
  <c r="N172" i="251"/>
  <c r="O172" i="251" s="1"/>
  <c r="L173" i="251"/>
  <c r="Q173" i="251" s="1"/>
  <c r="AT181" i="257"/>
  <c r="AY181" i="257"/>
  <c r="AS183" i="257"/>
  <c r="E27" i="256"/>
  <c r="AR194" i="257"/>
  <c r="D9" i="256"/>
  <c r="AT188" i="257"/>
  <c r="AY188" i="257"/>
  <c r="AZ188" i="257" s="1"/>
  <c r="E10" i="256"/>
  <c r="N185" i="251"/>
  <c r="O185" i="251" s="1"/>
  <c r="AV191" i="257"/>
  <c r="G13" i="256"/>
  <c r="H13" i="256" s="1"/>
  <c r="K187" i="251"/>
  <c r="AR205" i="257"/>
  <c r="D14" i="256"/>
  <c r="AT199" i="257"/>
  <c r="AY199" i="257"/>
  <c r="AZ199" i="257" s="1"/>
  <c r="E16" i="256"/>
  <c r="Q192" i="251"/>
  <c r="AY203" i="257"/>
  <c r="AZ203" i="257" s="1"/>
  <c r="AT203" i="257"/>
  <c r="E20" i="256"/>
  <c r="Q196" i="251"/>
  <c r="AV229" i="257"/>
  <c r="O211" i="251"/>
  <c r="O213" i="251"/>
  <c r="CA14" i="252"/>
  <c r="S18" i="252"/>
  <c r="CG19" i="252"/>
  <c r="DA20" i="252"/>
  <c r="DS21" i="252"/>
  <c r="DR21" i="252" s="1"/>
  <c r="EI22" i="252"/>
  <c r="Q22" i="252"/>
  <c r="O23" i="252"/>
  <c r="AQ23" i="252"/>
  <c r="AP23" i="252" s="1"/>
  <c r="AI23" i="252"/>
  <c r="EG23" i="252"/>
  <c r="DA24" i="252"/>
  <c r="O26" i="252"/>
  <c r="AQ26" i="252"/>
  <c r="AP26" i="252" s="1"/>
  <c r="AI26" i="252"/>
  <c r="CI26" i="252"/>
  <c r="AQ27" i="252"/>
  <c r="AP27" i="252" s="1"/>
  <c r="AI27" i="252"/>
  <c r="EG28" i="252"/>
  <c r="O28" i="252"/>
  <c r="AA28" i="252"/>
  <c r="AG28" i="252"/>
  <c r="AF28" i="252" s="1"/>
  <c r="ED29" i="252"/>
  <c r="J29" i="250" s="1"/>
  <c r="AH29" i="257" s="1"/>
  <c r="AN29" i="257" s="1"/>
  <c r="EU33" i="252"/>
  <c r="EW33" i="252" s="1"/>
  <c r="CG42" i="252"/>
  <c r="CU42" i="252"/>
  <c r="EC35" i="252"/>
  <c r="EB35" i="252" s="1"/>
  <c r="EH40" i="252"/>
  <c r="EI47" i="252"/>
  <c r="EN47" i="252" s="1"/>
  <c r="EW70" i="252"/>
  <c r="EG35" i="252"/>
  <c r="EG37" i="252"/>
  <c r="EG39" i="252"/>
  <c r="DX85" i="252"/>
  <c r="DW85" i="252" s="1"/>
  <c r="EK47" i="252"/>
  <c r="EG48" i="252"/>
  <c r="EV48" i="252"/>
  <c r="EW48" i="252" s="1"/>
  <c r="EG50" i="252"/>
  <c r="EG52" i="252"/>
  <c r="EV52" i="252"/>
  <c r="EG54" i="252"/>
  <c r="EV54" i="252"/>
  <c r="EW54" i="252" s="1"/>
  <c r="EG56" i="252"/>
  <c r="EV56" i="252"/>
  <c r="EW56" i="252" s="1"/>
  <c r="EG58" i="252"/>
  <c r="EV58" i="252"/>
  <c r="EG60" i="252"/>
  <c r="EV60" i="252"/>
  <c r="EW60" i="252" s="1"/>
  <c r="EG62" i="252"/>
  <c r="EV62" i="252"/>
  <c r="EW62" i="252" s="1"/>
  <c r="EG64" i="252"/>
  <c r="EV64" i="252"/>
  <c r="EW64" i="252" s="1"/>
  <c r="EG66" i="252"/>
  <c r="EV66" i="252"/>
  <c r="EW66" i="252" s="1"/>
  <c r="EG68" i="252"/>
  <c r="EV68" i="252"/>
  <c r="EW68" i="252" s="1"/>
  <c r="EG70" i="252"/>
  <c r="EV70" i="252"/>
  <c r="EV71" i="252"/>
  <c r="EI74" i="252"/>
  <c r="Q74" i="252"/>
  <c r="EK74" i="252"/>
  <c r="M73" i="250" s="1"/>
  <c r="AM74" i="257" s="1"/>
  <c r="EG76" i="252"/>
  <c r="O76" i="252"/>
  <c r="AQ77" i="252"/>
  <c r="AP77" i="252" s="1"/>
  <c r="AI77" i="252"/>
  <c r="AQ78" i="252"/>
  <c r="AP78" i="252" s="1"/>
  <c r="AI78" i="252"/>
  <c r="ED79" i="252"/>
  <c r="EF79" i="252" s="1"/>
  <c r="BM80" i="252"/>
  <c r="BU80" i="252"/>
  <c r="BT80" i="252" s="1"/>
  <c r="BY81" i="252"/>
  <c r="BW81" i="252"/>
  <c r="EV82" i="252"/>
  <c r="ED82" i="252"/>
  <c r="J81" i="250" s="1"/>
  <c r="AH84" i="257" s="1"/>
  <c r="DK84" i="252"/>
  <c r="DS84" i="252"/>
  <c r="DR84" i="252" s="1"/>
  <c r="AC88" i="252"/>
  <c r="AD93" i="252"/>
  <c r="AC93" i="252" s="1"/>
  <c r="EK88" i="252"/>
  <c r="BC88" i="252"/>
  <c r="BD93" i="252"/>
  <c r="BC93" i="252" s="1"/>
  <c r="BY93" i="252"/>
  <c r="EU89" i="252"/>
  <c r="W89" i="252"/>
  <c r="V89" i="252" s="1"/>
  <c r="S90" i="252"/>
  <c r="EK90" i="252"/>
  <c r="M89" i="250" s="1"/>
  <c r="AM92" i="257" s="1"/>
  <c r="AN92" i="257" s="1"/>
  <c r="AS90" i="252"/>
  <c r="BA90" i="252"/>
  <c r="AZ90" i="252" s="1"/>
  <c r="EG91" i="252"/>
  <c r="O91" i="252"/>
  <c r="W91" i="252"/>
  <c r="V91" i="252" s="1"/>
  <c r="S92" i="252"/>
  <c r="EK92" i="252"/>
  <c r="M91" i="250" s="1"/>
  <c r="AM94" i="257" s="1"/>
  <c r="AS92" i="252"/>
  <c r="BA92" i="252"/>
  <c r="AZ92" i="252" s="1"/>
  <c r="CA92" i="252"/>
  <c r="BW92" i="252"/>
  <c r="ED92" i="252"/>
  <c r="J91" i="250" s="1"/>
  <c r="AH94" i="257" s="1"/>
  <c r="Y99" i="252"/>
  <c r="EG99" i="252"/>
  <c r="AG99" i="252"/>
  <c r="AF99" i="252" s="1"/>
  <c r="EF100" i="252"/>
  <c r="EH111" i="252"/>
  <c r="EC119" i="252"/>
  <c r="EB119" i="252" s="1"/>
  <c r="EB115" i="252"/>
  <c r="AA29" i="252"/>
  <c r="Y33" i="252"/>
  <c r="BG33" i="252"/>
  <c r="BY33" i="252"/>
  <c r="CQ33" i="252"/>
  <c r="DK33" i="252"/>
  <c r="DK35" i="252"/>
  <c r="DK37" i="252"/>
  <c r="AC38" i="252"/>
  <c r="DK39" i="252"/>
  <c r="AC40" i="252"/>
  <c r="Q41" i="252"/>
  <c r="AI41" i="252"/>
  <c r="DA41" i="252"/>
  <c r="EV46" i="252"/>
  <c r="EW46" i="252" s="1"/>
  <c r="S47" i="252"/>
  <c r="AB85" i="252"/>
  <c r="AK47" i="252"/>
  <c r="AS47" i="252"/>
  <c r="BB85" i="252"/>
  <c r="BG85" i="252" s="1"/>
  <c r="BK47" i="252"/>
  <c r="CK47" i="252"/>
  <c r="DK48" i="252"/>
  <c r="AC49" i="252"/>
  <c r="DK50" i="252"/>
  <c r="AC51" i="252"/>
  <c r="DK52" i="252"/>
  <c r="AC53" i="252"/>
  <c r="DK54" i="252"/>
  <c r="AC55" i="252"/>
  <c r="BC55" i="252"/>
  <c r="DK56" i="252"/>
  <c r="AC57" i="252"/>
  <c r="BC57" i="252"/>
  <c r="DK58" i="252"/>
  <c r="AC59" i="252"/>
  <c r="BC59" i="252"/>
  <c r="DK60" i="252"/>
  <c r="AC61" i="252"/>
  <c r="BC61" i="252"/>
  <c r="DK62" i="252"/>
  <c r="AC63" i="252"/>
  <c r="BC63" i="252"/>
  <c r="DK64" i="252"/>
  <c r="AC65" i="252"/>
  <c r="BC65" i="252"/>
  <c r="DK66" i="252"/>
  <c r="AC67" i="252"/>
  <c r="DK68" i="252"/>
  <c r="AC69" i="252"/>
  <c r="DK70" i="252"/>
  <c r="AC71" i="252"/>
  <c r="CO71" i="252"/>
  <c r="CN71" i="252" s="1"/>
  <c r="DU71" i="252"/>
  <c r="AM72" i="252"/>
  <c r="AW72" i="252"/>
  <c r="CS72" i="252"/>
  <c r="CQ73" i="252"/>
  <c r="AC74" i="252"/>
  <c r="AM74" i="252"/>
  <c r="DK74" i="252"/>
  <c r="EI75" i="252"/>
  <c r="Q75" i="252"/>
  <c r="AC75" i="252"/>
  <c r="DU75" i="252"/>
  <c r="EK75" i="252"/>
  <c r="M74" i="250" s="1"/>
  <c r="AM75" i="257" s="1"/>
  <c r="AN75" i="257" s="1"/>
  <c r="EI76" i="252"/>
  <c r="Q76" i="252"/>
  <c r="AM76" i="252"/>
  <c r="BA76" i="252"/>
  <c r="AZ76" i="252" s="1"/>
  <c r="O77" i="252"/>
  <c r="AA77" i="252"/>
  <c r="AK77" i="252"/>
  <c r="DA77" i="252"/>
  <c r="EG77" i="252"/>
  <c r="EV78" i="252"/>
  <c r="ED78" i="252"/>
  <c r="J77" i="250" s="1"/>
  <c r="AH78" i="257" s="1"/>
  <c r="AN78" i="257" s="1"/>
  <c r="AU78" i="252"/>
  <c r="BG78" i="252"/>
  <c r="EC78" i="252"/>
  <c r="EB78" i="252" s="1"/>
  <c r="O79" i="252"/>
  <c r="AM79" i="252"/>
  <c r="BY79" i="252"/>
  <c r="S80" i="252"/>
  <c r="CQ80" i="252"/>
  <c r="DA80" i="252"/>
  <c r="AG81" i="252"/>
  <c r="AF81" i="252" s="1"/>
  <c r="EG82" i="252"/>
  <c r="O82" i="252"/>
  <c r="AK82" i="252"/>
  <c r="CK82" i="252"/>
  <c r="DK82" i="252"/>
  <c r="EI82" i="252"/>
  <c r="AU83" i="252"/>
  <c r="BQ83" i="252"/>
  <c r="CY83" i="252"/>
  <c r="CX83" i="252" s="1"/>
  <c r="Y84" i="252"/>
  <c r="CU84" i="252"/>
  <c r="DN84" i="252"/>
  <c r="EI84" i="252" s="1"/>
  <c r="EK84" i="252"/>
  <c r="M83" i="250" s="1"/>
  <c r="AM86" i="257" s="1"/>
  <c r="AN86" i="257" s="1"/>
  <c r="BE88" i="252"/>
  <c r="CB93" i="252"/>
  <c r="CB170" i="252" s="1"/>
  <c r="CB216" i="252" s="1"/>
  <c r="CA88" i="252"/>
  <c r="DA93" i="252"/>
  <c r="DS88" i="252"/>
  <c r="EK89" i="252"/>
  <c r="M88" i="250" s="1"/>
  <c r="AM91" i="257" s="1"/>
  <c r="AW89" i="252"/>
  <c r="AU89" i="252"/>
  <c r="AS89" i="252"/>
  <c r="BQ89" i="252"/>
  <c r="CA90" i="252"/>
  <c r="BY90" i="252"/>
  <c r="BW90" i="252"/>
  <c r="BP93" i="252"/>
  <c r="BO91" i="252"/>
  <c r="AA112" i="252"/>
  <c r="AM112" i="252"/>
  <c r="CD96" i="252"/>
  <c r="EK97" i="252"/>
  <c r="M96" i="250" s="1"/>
  <c r="AM99" i="257" s="1"/>
  <c r="AN99" i="257" s="1"/>
  <c r="BG97" i="252"/>
  <c r="EI100" i="252"/>
  <c r="EC102" i="252"/>
  <c r="EB102" i="252" s="1"/>
  <c r="EF104" i="252"/>
  <c r="EF106" i="252"/>
  <c r="EN111" i="252"/>
  <c r="EU28" i="252"/>
  <c r="EW28" i="252" s="1"/>
  <c r="Q33" i="252"/>
  <c r="AQ33" i="252"/>
  <c r="CI33" i="252"/>
  <c r="EI33" i="252"/>
  <c r="CE34" i="252"/>
  <c r="CD34" i="252" s="1"/>
  <c r="ED34" i="252"/>
  <c r="J34" i="250" s="1"/>
  <c r="AH34" i="257" s="1"/>
  <c r="AL34" i="257" s="1"/>
  <c r="Q35" i="252"/>
  <c r="AQ35" i="252"/>
  <c r="AP35" i="252" s="1"/>
  <c r="EI35" i="252"/>
  <c r="CE36" i="252"/>
  <c r="CD36" i="252" s="1"/>
  <c r="ED36" i="252"/>
  <c r="J36" i="250" s="1"/>
  <c r="AH36" i="257" s="1"/>
  <c r="AL36" i="257" s="1"/>
  <c r="Q37" i="252"/>
  <c r="AQ37" i="252"/>
  <c r="AP37" i="252" s="1"/>
  <c r="EI37" i="252"/>
  <c r="AU38" i="252"/>
  <c r="CE38" i="252"/>
  <c r="CD38" i="252" s="1"/>
  <c r="ED38" i="252"/>
  <c r="J38" i="250" s="1"/>
  <c r="AH38" i="257" s="1"/>
  <c r="AL38" i="257" s="1"/>
  <c r="EI39" i="252"/>
  <c r="CE40" i="252"/>
  <c r="CD40" i="252" s="1"/>
  <c r="BA41" i="252"/>
  <c r="AZ41" i="252" s="1"/>
  <c r="EK41" i="252"/>
  <c r="DJ42" i="252"/>
  <c r="DM42" i="252" s="1"/>
  <c r="BU47" i="252"/>
  <c r="DD85" i="252"/>
  <c r="DC85" i="252" s="1"/>
  <c r="EC47" i="252"/>
  <c r="EI48" i="252"/>
  <c r="CE49" i="252"/>
  <c r="CD49" i="252" s="1"/>
  <c r="ED49" i="252"/>
  <c r="J48" i="250" s="1"/>
  <c r="EI50" i="252"/>
  <c r="CE51" i="252"/>
  <c r="CD51" i="252" s="1"/>
  <c r="EI52" i="252"/>
  <c r="CE53" i="252"/>
  <c r="CD53" i="252" s="1"/>
  <c r="EI54" i="252"/>
  <c r="CE55" i="252"/>
  <c r="CD55" i="252" s="1"/>
  <c r="EI56" i="252"/>
  <c r="CE57" i="252"/>
  <c r="CD57" i="252" s="1"/>
  <c r="EI58" i="252"/>
  <c r="CE59" i="252"/>
  <c r="CD59" i="252" s="1"/>
  <c r="EI60" i="252"/>
  <c r="CE61" i="252"/>
  <c r="CD61" i="252" s="1"/>
  <c r="EI62" i="252"/>
  <c r="CE63" i="252"/>
  <c r="CD63" i="252" s="1"/>
  <c r="EI64" i="252"/>
  <c r="CE65" i="252"/>
  <c r="CD65" i="252" s="1"/>
  <c r="EI66" i="252"/>
  <c r="CE67" i="252"/>
  <c r="CD67" i="252" s="1"/>
  <c r="EI68" i="252"/>
  <c r="CE69" i="252"/>
  <c r="CD69" i="252" s="1"/>
  <c r="EI70" i="252"/>
  <c r="CY71" i="252"/>
  <c r="CX71" i="252" s="1"/>
  <c r="EG72" i="252"/>
  <c r="EV73" i="252"/>
  <c r="BU74" i="252"/>
  <c r="BT74" i="252" s="1"/>
  <c r="DS74" i="252"/>
  <c r="DR74" i="252" s="1"/>
  <c r="EK76" i="252"/>
  <c r="M75" i="250" s="1"/>
  <c r="AM76" i="257" s="1"/>
  <c r="EG78" i="252"/>
  <c r="O78" i="252"/>
  <c r="BU78" i="252"/>
  <c r="BT78" i="252" s="1"/>
  <c r="EN79" i="252"/>
  <c r="BM79" i="252"/>
  <c r="BU79" i="252"/>
  <c r="BT79" i="252" s="1"/>
  <c r="DU80" i="252"/>
  <c r="EC80" i="252"/>
  <c r="EB80" i="252" s="1"/>
  <c r="EV81" i="252"/>
  <c r="Q82" i="252"/>
  <c r="EU82" i="252"/>
  <c r="EW82" i="252" s="1"/>
  <c r="AQ83" i="252"/>
  <c r="AP83" i="252" s="1"/>
  <c r="AI83" i="252"/>
  <c r="ED84" i="252"/>
  <c r="J83" i="250" s="1"/>
  <c r="AH86" i="257" s="1"/>
  <c r="AJ86" i="257" s="1"/>
  <c r="AA84" i="252"/>
  <c r="DL85" i="252"/>
  <c r="T93" i="252"/>
  <c r="S93" i="252" s="1"/>
  <c r="CE93" i="252"/>
  <c r="CD88" i="252"/>
  <c r="DT93" i="252"/>
  <c r="DY93" i="252" s="1"/>
  <c r="DU88" i="252"/>
  <c r="EI89" i="252"/>
  <c r="CK90" i="252"/>
  <c r="CL93" i="252"/>
  <c r="CK93" i="252" s="1"/>
  <c r="EI91" i="252"/>
  <c r="AQ92" i="252"/>
  <c r="AP92" i="252" s="1"/>
  <c r="BY92" i="252"/>
  <c r="O112" i="252"/>
  <c r="AC96" i="252"/>
  <c r="EK96" i="252"/>
  <c r="AD112" i="252"/>
  <c r="AC112" i="252" s="1"/>
  <c r="BD112" i="252"/>
  <c r="BC112" i="252" s="1"/>
  <c r="BC96" i="252"/>
  <c r="BK96" i="252"/>
  <c r="EI101" i="252"/>
  <c r="EH104" i="252"/>
  <c r="EI106" i="252"/>
  <c r="EF109" i="252"/>
  <c r="EF110" i="252"/>
  <c r="DF170" i="252"/>
  <c r="AA33" i="252"/>
  <c r="BA33" i="252"/>
  <c r="CA33" i="252"/>
  <c r="CS33" i="252"/>
  <c r="EK33" i="252"/>
  <c r="W34" i="252"/>
  <c r="V34" i="252" s="1"/>
  <c r="CO34" i="252"/>
  <c r="CN34" i="252" s="1"/>
  <c r="DI34" i="252"/>
  <c r="DH34" i="252" s="1"/>
  <c r="EU34" i="252"/>
  <c r="EW34" i="252" s="1"/>
  <c r="AA35" i="252"/>
  <c r="BA35" i="252"/>
  <c r="AZ35" i="252" s="1"/>
  <c r="EK35" i="252"/>
  <c r="M35" i="250" s="1"/>
  <c r="AM35" i="257" s="1"/>
  <c r="AN35" i="257" s="1"/>
  <c r="W36" i="252"/>
  <c r="V36" i="252" s="1"/>
  <c r="BW36" i="252"/>
  <c r="CO36" i="252"/>
  <c r="CN36" i="252" s="1"/>
  <c r="DI36" i="252"/>
  <c r="DH36" i="252" s="1"/>
  <c r="EU36" i="252"/>
  <c r="EW36" i="252" s="1"/>
  <c r="AA37" i="252"/>
  <c r="BA37" i="252"/>
  <c r="AZ37" i="252" s="1"/>
  <c r="EK37" i="252"/>
  <c r="M37" i="250" s="1"/>
  <c r="AM37" i="257" s="1"/>
  <c r="AN37" i="257" s="1"/>
  <c r="W38" i="252"/>
  <c r="V38" i="252" s="1"/>
  <c r="CO38" i="252"/>
  <c r="CN38" i="252" s="1"/>
  <c r="DI38" i="252"/>
  <c r="DH38" i="252" s="1"/>
  <c r="EU38" i="252"/>
  <c r="EW38" i="252" s="1"/>
  <c r="BA39" i="252"/>
  <c r="AZ39" i="252" s="1"/>
  <c r="EK39" i="252"/>
  <c r="M39" i="250" s="1"/>
  <c r="AM39" i="257" s="1"/>
  <c r="AN39" i="257" s="1"/>
  <c r="W40" i="252"/>
  <c r="V40" i="252" s="1"/>
  <c r="CO40" i="252"/>
  <c r="CN40" i="252" s="1"/>
  <c r="DI40" i="252"/>
  <c r="DH40" i="252" s="1"/>
  <c r="EU40" i="252"/>
  <c r="EW40" i="252" s="1"/>
  <c r="BK41" i="252"/>
  <c r="BJ41" i="252" s="1"/>
  <c r="BV85" i="252"/>
  <c r="CA85" i="252" s="1"/>
  <c r="CE47" i="252"/>
  <c r="CV85" i="252"/>
  <c r="DS47" i="252"/>
  <c r="AI48" i="252"/>
  <c r="EK48" i="252"/>
  <c r="M47" i="250" s="1"/>
  <c r="AM48" i="257" s="1"/>
  <c r="AN48" i="257" s="1"/>
  <c r="W49" i="252"/>
  <c r="V49" i="252" s="1"/>
  <c r="CO49" i="252"/>
  <c r="CN49" i="252" s="1"/>
  <c r="DI49" i="252"/>
  <c r="DH49" i="252" s="1"/>
  <c r="EU49" i="252"/>
  <c r="EW49" i="252" s="1"/>
  <c r="BA50" i="252"/>
  <c r="AZ50" i="252" s="1"/>
  <c r="EK50" i="252"/>
  <c r="M49" i="250" s="1"/>
  <c r="AM50" i="257" s="1"/>
  <c r="AN50" i="257" s="1"/>
  <c r="W51" i="252"/>
  <c r="V51" i="252" s="1"/>
  <c r="CO51" i="252"/>
  <c r="CN51" i="252" s="1"/>
  <c r="DI51" i="252"/>
  <c r="DH51" i="252" s="1"/>
  <c r="EU51" i="252"/>
  <c r="EW51" i="252" s="1"/>
  <c r="AA52" i="252"/>
  <c r="EK52" i="252"/>
  <c r="M51" i="250" s="1"/>
  <c r="AM52" i="257" s="1"/>
  <c r="AN52" i="257" s="1"/>
  <c r="W53" i="252"/>
  <c r="V53" i="252" s="1"/>
  <c r="AA54" i="252"/>
  <c r="EK54" i="252"/>
  <c r="M53" i="250" s="1"/>
  <c r="AM54" i="257" s="1"/>
  <c r="AN54" i="257" s="1"/>
  <c r="W55" i="252"/>
  <c r="V55" i="252" s="1"/>
  <c r="AA56" i="252"/>
  <c r="EK56" i="252"/>
  <c r="M55" i="250" s="1"/>
  <c r="AM56" i="257" s="1"/>
  <c r="AN56" i="257" s="1"/>
  <c r="W57" i="252"/>
  <c r="V57" i="252" s="1"/>
  <c r="AA58" i="252"/>
  <c r="EK58" i="252"/>
  <c r="M57" i="250" s="1"/>
  <c r="AM58" i="257" s="1"/>
  <c r="AN58" i="257" s="1"/>
  <c r="W59" i="252"/>
  <c r="V59" i="252" s="1"/>
  <c r="AA60" i="252"/>
  <c r="EK60" i="252"/>
  <c r="M59" i="250" s="1"/>
  <c r="AM60" i="257" s="1"/>
  <c r="AN60" i="257" s="1"/>
  <c r="W61" i="252"/>
  <c r="V61" i="252" s="1"/>
  <c r="EK62" i="252"/>
  <c r="M61" i="250" s="1"/>
  <c r="AM62" i="257" s="1"/>
  <c r="AN62" i="257" s="1"/>
  <c r="W63" i="252"/>
  <c r="V63" i="252" s="1"/>
  <c r="EK64" i="252"/>
  <c r="M63" i="250" s="1"/>
  <c r="AM64" i="257" s="1"/>
  <c r="AN64" i="257" s="1"/>
  <c r="W65" i="252"/>
  <c r="V65" i="252" s="1"/>
  <c r="EK66" i="252"/>
  <c r="M65" i="250" s="1"/>
  <c r="AM66" i="257" s="1"/>
  <c r="AN66" i="257" s="1"/>
  <c r="W67" i="252"/>
  <c r="V67" i="252" s="1"/>
  <c r="EK68" i="252"/>
  <c r="M67" i="250" s="1"/>
  <c r="AM68" i="257" s="1"/>
  <c r="AN68" i="257" s="1"/>
  <c r="W69" i="252"/>
  <c r="V69" i="252" s="1"/>
  <c r="EK70" i="252"/>
  <c r="M69" i="250" s="1"/>
  <c r="AM70" i="257" s="1"/>
  <c r="AN70" i="257" s="1"/>
  <c r="ED72" i="252"/>
  <c r="J71" i="250" s="1"/>
  <c r="AH72" i="257" s="1"/>
  <c r="AN72" i="257" s="1"/>
  <c r="CU72" i="252"/>
  <c r="DI72" i="252"/>
  <c r="DH72" i="252" s="1"/>
  <c r="ED73" i="252"/>
  <c r="J72" i="250" s="1"/>
  <c r="AH73" i="257" s="1"/>
  <c r="Y73" i="252"/>
  <c r="BM73" i="252"/>
  <c r="CE73" i="252"/>
  <c r="CD73" i="252" s="1"/>
  <c r="W74" i="252"/>
  <c r="V74" i="252" s="1"/>
  <c r="CQ74" i="252"/>
  <c r="EU74" i="252"/>
  <c r="EW74" i="252" s="1"/>
  <c r="W75" i="252"/>
  <c r="V75" i="252" s="1"/>
  <c r="CK75" i="252"/>
  <c r="EU75" i="252"/>
  <c r="EW75" i="252" s="1"/>
  <c r="BC76" i="252"/>
  <c r="CE76" i="252"/>
  <c r="CD76" i="252" s="1"/>
  <c r="DI76" i="252"/>
  <c r="DH76" i="252" s="1"/>
  <c r="DU76" i="252"/>
  <c r="EI77" i="252"/>
  <c r="Q77" i="252"/>
  <c r="AC77" i="252"/>
  <c r="DU77" i="252"/>
  <c r="EI78" i="252"/>
  <c r="Q78" i="252"/>
  <c r="EU78" i="252"/>
  <c r="EW78" i="252" s="1"/>
  <c r="AM78" i="252"/>
  <c r="BA78" i="252"/>
  <c r="AZ78" i="252" s="1"/>
  <c r="EI79" i="252"/>
  <c r="CQ79" i="252"/>
  <c r="DA79" i="252"/>
  <c r="CG80" i="252"/>
  <c r="EG81" i="252"/>
  <c r="BC81" i="252"/>
  <c r="CA81" i="252"/>
  <c r="BM82" i="252"/>
  <c r="BU82" i="252"/>
  <c r="BT82" i="252" s="1"/>
  <c r="AW83" i="252"/>
  <c r="BY83" i="252"/>
  <c r="BW83" i="252"/>
  <c r="BW84" i="252"/>
  <c r="CE84" i="252"/>
  <c r="CD84" i="252" s="1"/>
  <c r="AJ85" i="252"/>
  <c r="BZ85" i="252"/>
  <c r="BY85" i="252" s="1"/>
  <c r="EW87" i="252"/>
  <c r="AQ88" i="252"/>
  <c r="AT93" i="252"/>
  <c r="AS93" i="252" s="1"/>
  <c r="BG88" i="252"/>
  <c r="BR93" i="252"/>
  <c r="CI88" i="252"/>
  <c r="CG88" i="252"/>
  <c r="Y89" i="252"/>
  <c r="CG89" i="252"/>
  <c r="CO89" i="252"/>
  <c r="DK89" i="252"/>
  <c r="CG91" i="252"/>
  <c r="CO91" i="252"/>
  <c r="CN91" i="252" s="1"/>
  <c r="DK91" i="252"/>
  <c r="CF93" i="252"/>
  <c r="CG93" i="252" s="1"/>
  <c r="Q112" i="252"/>
  <c r="CV112" i="252"/>
  <c r="CU96" i="252"/>
  <c r="Y97" i="252"/>
  <c r="EG97" i="252"/>
  <c r="AG97" i="252"/>
  <c r="AF97" i="252" s="1"/>
  <c r="DI97" i="252"/>
  <c r="DH97" i="252" s="1"/>
  <c r="EF102" i="252"/>
  <c r="EN102" i="252"/>
  <c r="EF108" i="252"/>
  <c r="EN108" i="252"/>
  <c r="EI110" i="252"/>
  <c r="AG34" i="252"/>
  <c r="AF34" i="252" s="1"/>
  <c r="CY34" i="252"/>
  <c r="CX34" i="252" s="1"/>
  <c r="EG34" i="252"/>
  <c r="BK35" i="252"/>
  <c r="BJ35" i="252" s="1"/>
  <c r="AG36" i="252"/>
  <c r="AF36" i="252" s="1"/>
  <c r="CY36" i="252"/>
  <c r="CX36" i="252" s="1"/>
  <c r="BK37" i="252"/>
  <c r="BJ37" i="252" s="1"/>
  <c r="AG38" i="252"/>
  <c r="AF38" i="252" s="1"/>
  <c r="CY38" i="252"/>
  <c r="CX38" i="252" s="1"/>
  <c r="EG38" i="252"/>
  <c r="S39" i="252"/>
  <c r="BK39" i="252"/>
  <c r="BJ39" i="252" s="1"/>
  <c r="AG40" i="252"/>
  <c r="AF40" i="252" s="1"/>
  <c r="CY40" i="252"/>
  <c r="CX40" i="252" s="1"/>
  <c r="EG40" i="252"/>
  <c r="BU41" i="252"/>
  <c r="BT41" i="252" s="1"/>
  <c r="EC41" i="252"/>
  <c r="EB41" i="252" s="1"/>
  <c r="AB42" i="252"/>
  <c r="AA42" i="252" s="1"/>
  <c r="DL42" i="252"/>
  <c r="DK42" i="252" s="1"/>
  <c r="N85" i="252"/>
  <c r="S85" i="252" s="1"/>
  <c r="W47" i="252"/>
  <c r="AN85" i="252"/>
  <c r="AV85" i="252"/>
  <c r="AU85" i="252" s="1"/>
  <c r="BN85" i="252"/>
  <c r="BM85" i="252" s="1"/>
  <c r="CF85" i="252"/>
  <c r="CI85" i="252" s="1"/>
  <c r="CO47" i="252"/>
  <c r="DI47" i="252"/>
  <c r="EU47" i="252"/>
  <c r="BA48" i="252"/>
  <c r="AZ48" i="252" s="1"/>
  <c r="BK48" i="252"/>
  <c r="BJ48" i="252" s="1"/>
  <c r="AG49" i="252"/>
  <c r="AF49" i="252" s="1"/>
  <c r="CY49" i="252"/>
  <c r="CX49" i="252" s="1"/>
  <c r="EG49" i="252"/>
  <c r="S50" i="252"/>
  <c r="BK50" i="252"/>
  <c r="BJ50" i="252" s="1"/>
  <c r="AG51" i="252"/>
  <c r="AF51" i="252" s="1"/>
  <c r="CY51" i="252"/>
  <c r="CX51" i="252" s="1"/>
  <c r="EG51" i="252"/>
  <c r="BK52" i="252"/>
  <c r="BJ52" i="252" s="1"/>
  <c r="AG53" i="252"/>
  <c r="AF53" i="252" s="1"/>
  <c r="CY53" i="252"/>
  <c r="CX53" i="252" s="1"/>
  <c r="EG53" i="252"/>
  <c r="BK54" i="252"/>
  <c r="BJ54" i="252" s="1"/>
  <c r="AG55" i="252"/>
  <c r="AF55" i="252" s="1"/>
  <c r="CY55" i="252"/>
  <c r="CX55" i="252" s="1"/>
  <c r="BK56" i="252"/>
  <c r="BJ56" i="252" s="1"/>
  <c r="AG57" i="252"/>
  <c r="AF57" i="252" s="1"/>
  <c r="CY57" i="252"/>
  <c r="CX57" i="252" s="1"/>
  <c r="BK58" i="252"/>
  <c r="BJ58" i="252" s="1"/>
  <c r="AG59" i="252"/>
  <c r="AF59" i="252" s="1"/>
  <c r="CY59" i="252"/>
  <c r="CX59" i="252" s="1"/>
  <c r="BK60" i="252"/>
  <c r="BJ60" i="252" s="1"/>
  <c r="AG61" i="252"/>
  <c r="AF61" i="252" s="1"/>
  <c r="CY61" i="252"/>
  <c r="CX61" i="252" s="1"/>
  <c r="BK62" i="252"/>
  <c r="BJ62" i="252" s="1"/>
  <c r="AG63" i="252"/>
  <c r="AF63" i="252" s="1"/>
  <c r="CY63" i="252"/>
  <c r="CX63" i="252" s="1"/>
  <c r="BK64" i="252"/>
  <c r="BJ64" i="252" s="1"/>
  <c r="AG65" i="252"/>
  <c r="AF65" i="252" s="1"/>
  <c r="CY65" i="252"/>
  <c r="CX65" i="252" s="1"/>
  <c r="BK66" i="252"/>
  <c r="BJ66" i="252" s="1"/>
  <c r="AG67" i="252"/>
  <c r="AF67" i="252" s="1"/>
  <c r="CY67" i="252"/>
  <c r="CX67" i="252" s="1"/>
  <c r="EG67" i="252"/>
  <c r="BK68" i="252"/>
  <c r="BJ68" i="252" s="1"/>
  <c r="AG69" i="252"/>
  <c r="AF69" i="252" s="1"/>
  <c r="CY69" i="252"/>
  <c r="CX69" i="252" s="1"/>
  <c r="EG69" i="252"/>
  <c r="BK70" i="252"/>
  <c r="BJ70" i="252" s="1"/>
  <c r="AG71" i="252"/>
  <c r="AF71" i="252" s="1"/>
  <c r="AQ72" i="252"/>
  <c r="AP72" i="252" s="1"/>
  <c r="BA72" i="252"/>
  <c r="AZ72" i="252" s="1"/>
  <c r="AQ73" i="252"/>
  <c r="AP73" i="252" s="1"/>
  <c r="AI73" i="252"/>
  <c r="EG73" i="252"/>
  <c r="AG74" i="252"/>
  <c r="AF74" i="252" s="1"/>
  <c r="EC74" i="252"/>
  <c r="EB74" i="252" s="1"/>
  <c r="CO75" i="252"/>
  <c r="CN75" i="252" s="1"/>
  <c r="W76" i="252"/>
  <c r="V76" i="252" s="1"/>
  <c r="S77" i="252"/>
  <c r="S79" i="252"/>
  <c r="BK79" i="252"/>
  <c r="BJ79" i="252" s="1"/>
  <c r="Y80" i="252"/>
  <c r="EI81" i="252"/>
  <c r="Q81" i="252"/>
  <c r="EU81" i="252"/>
  <c r="DA81" i="252"/>
  <c r="DI81" i="252"/>
  <c r="DH81" i="252" s="1"/>
  <c r="S82" i="252"/>
  <c r="AG83" i="252"/>
  <c r="AF83" i="252" s="1"/>
  <c r="BA83" i="252"/>
  <c r="AZ83" i="252" s="1"/>
  <c r="AC84" i="252"/>
  <c r="W93" i="252"/>
  <c r="BK88" i="252"/>
  <c r="CT93" i="252"/>
  <c r="CS93" i="252" s="1"/>
  <c r="CS88" i="252"/>
  <c r="DI88" i="252"/>
  <c r="DX88" i="252"/>
  <c r="DX93" i="252" s="1"/>
  <c r="DW93" i="252" s="1"/>
  <c r="EV89" i="252"/>
  <c r="AA89" i="252"/>
  <c r="AG90" i="252"/>
  <c r="AF90" i="252" s="1"/>
  <c r="AG92" i="252"/>
  <c r="AF92" i="252" s="1"/>
  <c r="CD92" i="252"/>
  <c r="S112" i="252"/>
  <c r="EI107" i="252"/>
  <c r="EW110" i="252"/>
  <c r="CN115" i="252"/>
  <c r="Q28" i="252"/>
  <c r="AI28" i="252"/>
  <c r="DZ216" i="252"/>
  <c r="AC33" i="252"/>
  <c r="BC33" i="252"/>
  <c r="BU33" i="252"/>
  <c r="CU33" i="252"/>
  <c r="EC33" i="252"/>
  <c r="BU35" i="252"/>
  <c r="BT35" i="252" s="1"/>
  <c r="BU37" i="252"/>
  <c r="BT37" i="252" s="1"/>
  <c r="BU39" i="252"/>
  <c r="BT39" i="252" s="1"/>
  <c r="CE41" i="252"/>
  <c r="CD41" i="252" s="1"/>
  <c r="O47" i="252"/>
  <c r="X85" i="252"/>
  <c r="AC85" i="252" s="1"/>
  <c r="AG47" i="252"/>
  <c r="AO85" i="252"/>
  <c r="BF85" i="252"/>
  <c r="BE85" i="252" s="1"/>
  <c r="BO47" i="252"/>
  <c r="BX85" i="252"/>
  <c r="BW85" i="252" s="1"/>
  <c r="CG47" i="252"/>
  <c r="CP85" i="252"/>
  <c r="CQ85" i="252" s="1"/>
  <c r="CY47" i="252"/>
  <c r="DJ85" i="252"/>
  <c r="DO85" i="252" s="1"/>
  <c r="DU47" i="252"/>
  <c r="EV47" i="252"/>
  <c r="BU48" i="252"/>
  <c r="BT48" i="252" s="1"/>
  <c r="BU50" i="252"/>
  <c r="BT50" i="252" s="1"/>
  <c r="CI71" i="252"/>
  <c r="CO72" i="252"/>
  <c r="CN72" i="252" s="1"/>
  <c r="AU73" i="252"/>
  <c r="DI73" i="252"/>
  <c r="DH73" i="252" s="1"/>
  <c r="EV74" i="252"/>
  <c r="ED74" i="252"/>
  <c r="J73" i="250" s="1"/>
  <c r="AH74" i="257" s="1"/>
  <c r="AJ74" i="257" s="1"/>
  <c r="BM74" i="252"/>
  <c r="Y75" i="252"/>
  <c r="AU75" i="252"/>
  <c r="BE76" i="252"/>
  <c r="BO76" i="252"/>
  <c r="EU76" i="252"/>
  <c r="EW76" i="252" s="1"/>
  <c r="EU77" i="252"/>
  <c r="BC78" i="252"/>
  <c r="DI78" i="252"/>
  <c r="DH78" i="252" s="1"/>
  <c r="CG79" i="252"/>
  <c r="EV80" i="252"/>
  <c r="ED80" i="252"/>
  <c r="J79" i="250" s="1"/>
  <c r="AS81" i="252"/>
  <c r="BO81" i="252"/>
  <c r="V82" i="252"/>
  <c r="AQ82" i="252"/>
  <c r="AP82" i="252" s="1"/>
  <c r="DU82" i="252"/>
  <c r="EC82" i="252"/>
  <c r="EB82" i="252" s="1"/>
  <c r="EV83" i="252"/>
  <c r="AF84" i="252"/>
  <c r="DI84" i="252"/>
  <c r="DH84" i="252" s="1"/>
  <c r="R85" i="252"/>
  <c r="DB85" i="252"/>
  <c r="DA85" i="252" s="1"/>
  <c r="G93" i="252"/>
  <c r="AL93" i="252"/>
  <c r="AK93" i="252" s="1"/>
  <c r="AV93" i="252"/>
  <c r="AU93" i="252" s="1"/>
  <c r="BA88" i="252"/>
  <c r="BL93" i="252"/>
  <c r="BV93" i="252"/>
  <c r="BW93" i="252" s="1"/>
  <c r="CI93" i="252"/>
  <c r="CV93" i="252"/>
  <c r="CU93" i="252" s="1"/>
  <c r="CU88" i="252"/>
  <c r="EV90" i="252"/>
  <c r="BC90" i="252"/>
  <c r="Y91" i="252"/>
  <c r="EU91" i="252"/>
  <c r="EW91" i="252" s="1"/>
  <c r="EV92" i="252"/>
  <c r="BC92" i="252"/>
  <c r="BO92" i="252"/>
  <c r="P93" i="252"/>
  <c r="O93" i="252" s="1"/>
  <c r="AX93" i="252"/>
  <c r="AW93" i="252" s="1"/>
  <c r="AI112" i="252"/>
  <c r="BV112" i="252"/>
  <c r="CA112" i="252" s="1"/>
  <c r="BW96" i="252"/>
  <c r="DR96" i="252"/>
  <c r="CQ97" i="252"/>
  <c r="CY97" i="252"/>
  <c r="CX97" i="252" s="1"/>
  <c r="CA98" i="252"/>
  <c r="EI99" i="252"/>
  <c r="V33" i="252"/>
  <c r="AM33" i="252"/>
  <c r="AU33" i="252"/>
  <c r="BM33" i="252"/>
  <c r="CN33" i="252"/>
  <c r="ED33" i="252"/>
  <c r="Q34" i="252"/>
  <c r="AI34" i="252"/>
  <c r="BQ34" i="252"/>
  <c r="CE35" i="252"/>
  <c r="CD35" i="252" s="1"/>
  <c r="Q36" i="252"/>
  <c r="AI36" i="252"/>
  <c r="BQ36" i="252"/>
  <c r="CE37" i="252"/>
  <c r="CD37" i="252" s="1"/>
  <c r="Q38" i="252"/>
  <c r="AI38" i="252"/>
  <c r="AU39" i="252"/>
  <c r="CE39" i="252"/>
  <c r="CD39" i="252" s="1"/>
  <c r="Q40" i="252"/>
  <c r="AI40" i="252"/>
  <c r="W41" i="252"/>
  <c r="V41" i="252" s="1"/>
  <c r="CO41" i="252"/>
  <c r="CN41" i="252" s="1"/>
  <c r="P85" i="252"/>
  <c r="Y47" i="252"/>
  <c r="AH85" i="252"/>
  <c r="AK85" i="252" s="1"/>
  <c r="AX85" i="252"/>
  <c r="AW85" i="252" s="1"/>
  <c r="BG47" i="252"/>
  <c r="BO85" i="252"/>
  <c r="CQ47" i="252"/>
  <c r="CE48" i="252"/>
  <c r="CD48" i="252" s="1"/>
  <c r="Q49" i="252"/>
  <c r="AI49" i="252"/>
  <c r="AU50" i="252"/>
  <c r="CE50" i="252"/>
  <c r="CD50" i="252" s="1"/>
  <c r="Q51" i="252"/>
  <c r="AI51" i="252"/>
  <c r="CE52" i="252"/>
  <c r="CD52" i="252" s="1"/>
  <c r="EI53" i="252"/>
  <c r="CE54" i="252"/>
  <c r="CD54" i="252" s="1"/>
  <c r="EI55" i="252"/>
  <c r="EN55" i="252" s="1"/>
  <c r="CE56" i="252"/>
  <c r="CD56" i="252" s="1"/>
  <c r="EI57" i="252"/>
  <c r="CE58" i="252"/>
  <c r="CD58" i="252" s="1"/>
  <c r="EI59" i="252"/>
  <c r="CE60" i="252"/>
  <c r="CD60" i="252" s="1"/>
  <c r="EI61" i="252"/>
  <c r="EN61" i="252" s="1"/>
  <c r="CE62" i="252"/>
  <c r="CD62" i="252" s="1"/>
  <c r="EI63" i="252"/>
  <c r="CE64" i="252"/>
  <c r="CD64" i="252" s="1"/>
  <c r="EI65" i="252"/>
  <c r="CE66" i="252"/>
  <c r="CD66" i="252" s="1"/>
  <c r="EI67" i="252"/>
  <c r="CE68" i="252"/>
  <c r="CD68" i="252" s="1"/>
  <c r="EI69" i="252"/>
  <c r="CE70" i="252"/>
  <c r="CD70" i="252" s="1"/>
  <c r="DS72" i="252"/>
  <c r="DR72" i="252" s="1"/>
  <c r="EI73" i="252"/>
  <c r="Q73" i="252"/>
  <c r="BQ73" i="252"/>
  <c r="EK73" i="252"/>
  <c r="M72" i="250" s="1"/>
  <c r="AM73" i="257" s="1"/>
  <c r="AN73" i="257" s="1"/>
  <c r="AQ74" i="252"/>
  <c r="AP74" i="252" s="1"/>
  <c r="AI74" i="252"/>
  <c r="ED75" i="252"/>
  <c r="J74" i="250" s="1"/>
  <c r="AH75" i="257" s="1"/>
  <c r="AQ75" i="252"/>
  <c r="AP75" i="252" s="1"/>
  <c r="AI75" i="252"/>
  <c r="BU75" i="252"/>
  <c r="BT75" i="252" s="1"/>
  <c r="AQ76" i="252"/>
  <c r="AP76" i="252" s="1"/>
  <c r="AI76" i="252"/>
  <c r="CO76" i="252"/>
  <c r="CN76" i="252" s="1"/>
  <c r="DS76" i="252"/>
  <c r="DR76" i="252" s="1"/>
  <c r="CO77" i="252"/>
  <c r="CN77" i="252" s="1"/>
  <c r="EV77" i="252"/>
  <c r="W78" i="252"/>
  <c r="V78" i="252" s="1"/>
  <c r="EG80" i="252"/>
  <c r="O80" i="252"/>
  <c r="CK80" i="252"/>
  <c r="EI80" i="252"/>
  <c r="BQ81" i="252"/>
  <c r="CY81" i="252"/>
  <c r="CX81" i="252" s="1"/>
  <c r="EG83" i="252"/>
  <c r="BC83" i="252"/>
  <c r="CA83" i="252"/>
  <c r="EU84" i="252"/>
  <c r="EW84" i="252" s="1"/>
  <c r="W84" i="252"/>
  <c r="V84" i="252" s="1"/>
  <c r="AQ84" i="252"/>
  <c r="AP84" i="252" s="1"/>
  <c r="N93" i="252"/>
  <c r="Q88" i="252"/>
  <c r="EV88" i="252"/>
  <c r="EW88" i="252" s="1"/>
  <c r="O88" i="252"/>
  <c r="AM88" i="252"/>
  <c r="CK88" i="252"/>
  <c r="DL93" i="252"/>
  <c r="DK93" i="252" s="1"/>
  <c r="ED88" i="252"/>
  <c r="EG89" i="252"/>
  <c r="AC89" i="252"/>
  <c r="EG90" i="252"/>
  <c r="BO90" i="252"/>
  <c r="CY90" i="252"/>
  <c r="CX90" i="252" s="1"/>
  <c r="AK91" i="252"/>
  <c r="EG92" i="252"/>
  <c r="BQ92" i="252"/>
  <c r="BE93" i="252"/>
  <c r="CW170" i="252"/>
  <c r="CW216" i="252" s="1"/>
  <c r="DK97" i="252"/>
  <c r="DS97" i="252"/>
  <c r="DR97" i="252" s="1"/>
  <c r="CD98" i="252"/>
  <c r="ED98" i="252"/>
  <c r="J97" i="250" s="1"/>
  <c r="EH105" i="252"/>
  <c r="EI109" i="252"/>
  <c r="O41" i="252"/>
  <c r="Q47" i="252"/>
  <c r="Y85" i="252"/>
  <c r="AI47" i="252"/>
  <c r="BQ47" i="252"/>
  <c r="CI47" i="252"/>
  <c r="AU48" i="252"/>
  <c r="W64" i="252"/>
  <c r="V64" i="252" s="1"/>
  <c r="W66" i="252"/>
  <c r="V66" i="252" s="1"/>
  <c r="W68" i="252"/>
  <c r="V68" i="252" s="1"/>
  <c r="EI71" i="252"/>
  <c r="EU71" i="252"/>
  <c r="EI72" i="252"/>
  <c r="BM72" i="252"/>
  <c r="BW72" i="252"/>
  <c r="EU72" i="252"/>
  <c r="EW72" i="252" s="1"/>
  <c r="CO73" i="252"/>
  <c r="CN73" i="252" s="1"/>
  <c r="AU74" i="252"/>
  <c r="DI74" i="252"/>
  <c r="DH74" i="252" s="1"/>
  <c r="O75" i="252"/>
  <c r="DA75" i="252"/>
  <c r="EV76" i="252"/>
  <c r="ED76" i="252"/>
  <c r="J75" i="250" s="1"/>
  <c r="AH76" i="257" s="1"/>
  <c r="AU76" i="252"/>
  <c r="AM80" i="252"/>
  <c r="BY80" i="252"/>
  <c r="CO80" i="252"/>
  <c r="CN80" i="252" s="1"/>
  <c r="DS80" i="252"/>
  <c r="DR80" i="252" s="1"/>
  <c r="EU80" i="252"/>
  <c r="EW80" i="252" s="1"/>
  <c r="AQ81" i="252"/>
  <c r="AP81" i="252" s="1"/>
  <c r="AI81" i="252"/>
  <c r="BU81" i="252"/>
  <c r="BT81" i="252" s="1"/>
  <c r="Y82" i="252"/>
  <c r="EI83" i="252"/>
  <c r="Q83" i="252"/>
  <c r="EU83" i="252"/>
  <c r="EW83" i="252" s="1"/>
  <c r="DA83" i="252"/>
  <c r="DI83" i="252"/>
  <c r="DH83" i="252" s="1"/>
  <c r="EK83" i="252"/>
  <c r="M82" i="250" s="1"/>
  <c r="AM85" i="257" s="1"/>
  <c r="AN85" i="257" s="1"/>
  <c r="AI84" i="252"/>
  <c r="AU84" i="252"/>
  <c r="AS84" i="252"/>
  <c r="DE85" i="252"/>
  <c r="DY85" i="252"/>
  <c r="EG88" i="252"/>
  <c r="AA88" i="252"/>
  <c r="AB93" i="252"/>
  <c r="AA93" i="252" s="1"/>
  <c r="AM93" i="252"/>
  <c r="BN93" i="252"/>
  <c r="BM93" i="252" s="1"/>
  <c r="BU88" i="252"/>
  <c r="Q89" i="252"/>
  <c r="AF89" i="252"/>
  <c r="BY89" i="252"/>
  <c r="DV93" i="252"/>
  <c r="DU93" i="252" s="1"/>
  <c r="DU89" i="252"/>
  <c r="EC89" i="252"/>
  <c r="EB89" i="252" s="1"/>
  <c r="EH90" i="252"/>
  <c r="BY91" i="252"/>
  <c r="DU91" i="252"/>
  <c r="EC91" i="252"/>
  <c r="EB91" i="252" s="1"/>
  <c r="EI92" i="252"/>
  <c r="DD112" i="252"/>
  <c r="DC112" i="252" s="1"/>
  <c r="DI96" i="252"/>
  <c r="EN98" i="252"/>
  <c r="AC98" i="252"/>
  <c r="EK98" i="252"/>
  <c r="M97" i="250" s="1"/>
  <c r="AM100" i="257" s="1"/>
  <c r="AP100" i="257" s="1"/>
  <c r="BC98" i="252"/>
  <c r="BK98" i="252"/>
  <c r="BJ98" i="252" s="1"/>
  <c r="EH103" i="252"/>
  <c r="EW115" i="252"/>
  <c r="BA79" i="252"/>
  <c r="AZ79" i="252" s="1"/>
  <c r="EU79" i="252"/>
  <c r="EW79" i="252" s="1"/>
  <c r="BA80" i="252"/>
  <c r="AZ80" i="252" s="1"/>
  <c r="EK80" i="252"/>
  <c r="M79" i="250" s="1"/>
  <c r="W81" i="252"/>
  <c r="V81" i="252" s="1"/>
  <c r="CO81" i="252"/>
  <c r="CN81" i="252" s="1"/>
  <c r="BA82" i="252"/>
  <c r="AZ82" i="252" s="1"/>
  <c r="EK82" i="252"/>
  <c r="M81" i="250" s="1"/>
  <c r="AM84" i="257" s="1"/>
  <c r="W83" i="252"/>
  <c r="V83" i="252" s="1"/>
  <c r="CO83" i="252"/>
  <c r="CN83" i="252" s="1"/>
  <c r="S84" i="252"/>
  <c r="BK84" i="252"/>
  <c r="BJ84" i="252" s="1"/>
  <c r="AG88" i="252"/>
  <c r="AW88" i="252"/>
  <c r="CY88" i="252"/>
  <c r="S89" i="252"/>
  <c r="BK89" i="252"/>
  <c r="BJ89" i="252" s="1"/>
  <c r="W90" i="252"/>
  <c r="V90" i="252" s="1"/>
  <c r="CO90" i="252"/>
  <c r="CN90" i="252" s="1"/>
  <c r="DI90" i="252"/>
  <c r="DH90" i="252" s="1"/>
  <c r="EU90" i="252"/>
  <c r="EW90" i="252" s="1"/>
  <c r="BA91" i="252"/>
  <c r="AZ91" i="252" s="1"/>
  <c r="EK91" i="252"/>
  <c r="M90" i="250" s="1"/>
  <c r="AM93" i="257" s="1"/>
  <c r="AN93" i="257" s="1"/>
  <c r="W92" i="252"/>
  <c r="V92" i="252" s="1"/>
  <c r="CO92" i="252"/>
  <c r="CN92" i="252" s="1"/>
  <c r="DI92" i="252"/>
  <c r="DH92" i="252" s="1"/>
  <c r="EU92" i="252"/>
  <c r="EW92" i="252" s="1"/>
  <c r="Z93" i="252"/>
  <c r="Y93" i="252" s="1"/>
  <c r="BH93" i="252"/>
  <c r="BG93" i="252" s="1"/>
  <c r="O96" i="252"/>
  <c r="AG96" i="252"/>
  <c r="BF112" i="252"/>
  <c r="BE112" i="252" s="1"/>
  <c r="BX112" i="252"/>
  <c r="BW112" i="252" s="1"/>
  <c r="CG96" i="252"/>
  <c r="CP112" i="252"/>
  <c r="CQ112" i="252" s="1"/>
  <c r="CY96" i="252"/>
  <c r="DJ112" i="252"/>
  <c r="DO112" i="252" s="1"/>
  <c r="DU96" i="252"/>
  <c r="EG96" i="252"/>
  <c r="EV96" i="252"/>
  <c r="EW96" i="252" s="1"/>
  <c r="S97" i="252"/>
  <c r="AS97" i="252"/>
  <c r="BK97" i="252"/>
  <c r="BJ97" i="252" s="1"/>
  <c r="O98" i="252"/>
  <c r="AG98" i="252"/>
  <c r="AF98" i="252" s="1"/>
  <c r="CG98" i="252"/>
  <c r="CY98" i="252"/>
  <c r="CX98" i="252" s="1"/>
  <c r="EV98" i="252"/>
  <c r="EW98" i="252" s="1"/>
  <c r="S99" i="252"/>
  <c r="AS99" i="252"/>
  <c r="BK99" i="252"/>
  <c r="BJ99" i="252" s="1"/>
  <c r="O100" i="252"/>
  <c r="AG100" i="252"/>
  <c r="AF100" i="252" s="1"/>
  <c r="CG100" i="252"/>
  <c r="CY100" i="252"/>
  <c r="CX100" i="252" s="1"/>
  <c r="DU100" i="252"/>
  <c r="EV100" i="252"/>
  <c r="EW100" i="252" s="1"/>
  <c r="S101" i="252"/>
  <c r="AS101" i="252"/>
  <c r="BK101" i="252"/>
  <c r="BJ101" i="252" s="1"/>
  <c r="O102" i="252"/>
  <c r="AG102" i="252"/>
  <c r="AF102" i="252" s="1"/>
  <c r="CG102" i="252"/>
  <c r="CY102" i="252"/>
  <c r="CX102" i="252" s="1"/>
  <c r="EV102" i="252"/>
  <c r="EW102" i="252" s="1"/>
  <c r="S103" i="252"/>
  <c r="AS103" i="252"/>
  <c r="BK103" i="252"/>
  <c r="BJ103" i="252" s="1"/>
  <c r="O104" i="252"/>
  <c r="AG104" i="252"/>
  <c r="AF104" i="252" s="1"/>
  <c r="CG104" i="252"/>
  <c r="CY104" i="252"/>
  <c r="CX104" i="252" s="1"/>
  <c r="EV104" i="252"/>
  <c r="EW104" i="252" s="1"/>
  <c r="S105" i="252"/>
  <c r="AS105" i="252"/>
  <c r="BK105" i="252"/>
  <c r="BJ105" i="252" s="1"/>
  <c r="O106" i="252"/>
  <c r="AG106" i="252"/>
  <c r="AF106" i="252" s="1"/>
  <c r="CG106" i="252"/>
  <c r="CY106" i="252"/>
  <c r="CX106" i="252" s="1"/>
  <c r="DU106" i="252"/>
  <c r="EV106" i="252"/>
  <c r="EW106" i="252" s="1"/>
  <c r="S107" i="252"/>
  <c r="AS107" i="252"/>
  <c r="BK107" i="252"/>
  <c r="BJ107" i="252" s="1"/>
  <c r="O108" i="252"/>
  <c r="AI108" i="252"/>
  <c r="AQ108" i="252"/>
  <c r="AP108" i="252" s="1"/>
  <c r="DA108" i="252"/>
  <c r="EV108" i="252"/>
  <c r="EW108" i="252" s="1"/>
  <c r="BM109" i="252"/>
  <c r="BM111" i="252" s="1"/>
  <c r="CE109" i="252"/>
  <c r="CD109" i="252" s="1"/>
  <c r="O110" i="252"/>
  <c r="AI110" i="252"/>
  <c r="DA110" i="252"/>
  <c r="EV110" i="252"/>
  <c r="BC111" i="252"/>
  <c r="BU111" i="252"/>
  <c r="BT111" i="252" s="1"/>
  <c r="AV112" i="252"/>
  <c r="AU112" i="252" s="1"/>
  <c r="CQ113" i="252"/>
  <c r="P119" i="252"/>
  <c r="EG115" i="252"/>
  <c r="O115" i="252"/>
  <c r="AN119" i="252"/>
  <c r="AM115" i="252"/>
  <c r="CJ119" i="252"/>
  <c r="CI115" i="252"/>
  <c r="DX119" i="252"/>
  <c r="DW119" i="252" s="1"/>
  <c r="AQ117" i="252"/>
  <c r="AP117" i="252" s="1"/>
  <c r="AI117" i="252"/>
  <c r="CG117" i="252"/>
  <c r="AA119" i="252"/>
  <c r="CS119" i="252"/>
  <c r="CE130" i="252"/>
  <c r="CD130" i="252" s="1"/>
  <c r="CD123" i="252"/>
  <c r="EU124" i="252"/>
  <c r="AQ125" i="252"/>
  <c r="AP125" i="252" s="1"/>
  <c r="AI125" i="252"/>
  <c r="BA125" i="252"/>
  <c r="AZ125" i="252" s="1"/>
  <c r="CO125" i="252"/>
  <c r="CN125" i="252" s="1"/>
  <c r="EG127" i="252"/>
  <c r="AS129" i="252"/>
  <c r="BA129" i="252"/>
  <c r="AZ129" i="252" s="1"/>
  <c r="BT129" i="252"/>
  <c r="CA135" i="252"/>
  <c r="DU135" i="252"/>
  <c r="CG135" i="252"/>
  <c r="DD168" i="252"/>
  <c r="DC168" i="252" s="1"/>
  <c r="DI142" i="252"/>
  <c r="EI151" i="252"/>
  <c r="Q79" i="252"/>
  <c r="O81" i="252"/>
  <c r="O83" i="252"/>
  <c r="BY88" i="252"/>
  <c r="CQ88" i="252"/>
  <c r="DK88" i="252"/>
  <c r="O90" i="252"/>
  <c r="O92" i="252"/>
  <c r="CY92" i="252"/>
  <c r="CX92" i="252" s="1"/>
  <c r="R93" i="252"/>
  <c r="AJ93" i="252"/>
  <c r="AI93" i="252" s="1"/>
  <c r="Y96" i="252"/>
  <c r="AX112" i="252"/>
  <c r="AW112" i="252" s="1"/>
  <c r="BP112" i="252"/>
  <c r="BO112" i="252" s="1"/>
  <c r="CH112" i="252"/>
  <c r="CG112" i="252" s="1"/>
  <c r="CQ96" i="252"/>
  <c r="DV112" i="252"/>
  <c r="DU112" i="252" s="1"/>
  <c r="BU99" i="252"/>
  <c r="BT99" i="252" s="1"/>
  <c r="BU101" i="252"/>
  <c r="BT101" i="252" s="1"/>
  <c r="BU107" i="252"/>
  <c r="BT107" i="252" s="1"/>
  <c r="BA110" i="252"/>
  <c r="AZ110" i="252" s="1"/>
  <c r="N112" i="252"/>
  <c r="CT114" i="252"/>
  <c r="EU114" i="252" s="1"/>
  <c r="EW114" i="252" s="1"/>
  <c r="R119" i="252"/>
  <c r="EI115" i="252"/>
  <c r="Q115" i="252"/>
  <c r="BL119" i="252"/>
  <c r="CK115" i="252"/>
  <c r="CL119" i="252"/>
  <c r="CU119" i="252"/>
  <c r="EV116" i="252"/>
  <c r="ED116" i="252"/>
  <c r="J115" i="250" s="1"/>
  <c r="AH118" i="257" s="1"/>
  <c r="AN118" i="257" s="1"/>
  <c r="BM116" i="252"/>
  <c r="CO116" i="252"/>
  <c r="CN116" i="252" s="1"/>
  <c r="AK117" i="252"/>
  <c r="BA117" i="252"/>
  <c r="AZ117" i="252" s="1"/>
  <c r="CI117" i="252"/>
  <c r="AQ118" i="252"/>
  <c r="AP118" i="252" s="1"/>
  <c r="DS118" i="252"/>
  <c r="DR118" i="252" s="1"/>
  <c r="EW121" i="252"/>
  <c r="EV123" i="252"/>
  <c r="ED123" i="252"/>
  <c r="N130" i="252"/>
  <c r="AN130" i="252"/>
  <c r="AM123" i="252"/>
  <c r="BN130" i="252"/>
  <c r="BM130" i="252" s="1"/>
  <c r="BM123" i="252"/>
  <c r="BU123" i="252"/>
  <c r="DA123" i="252"/>
  <c r="DB130" i="252"/>
  <c r="DT130" i="252"/>
  <c r="ED124" i="252"/>
  <c r="J123" i="250" s="1"/>
  <c r="AH126" i="257" s="1"/>
  <c r="AN126" i="257" s="1"/>
  <c r="EV124" i="252"/>
  <c r="BM124" i="252"/>
  <c r="BU124" i="252"/>
  <c r="BT124" i="252" s="1"/>
  <c r="CO124" i="252"/>
  <c r="CN124" i="252" s="1"/>
  <c r="AK126" i="252"/>
  <c r="BM126" i="252"/>
  <c r="DA126" i="252"/>
  <c r="DA135" i="252"/>
  <c r="EC133" i="252"/>
  <c r="DX135" i="252"/>
  <c r="DW135" i="252" s="1"/>
  <c r="CO135" i="252"/>
  <c r="CN135" i="252" s="1"/>
  <c r="CN134" i="252"/>
  <c r="EU135" i="252"/>
  <c r="CI135" i="252"/>
  <c r="EC142" i="252"/>
  <c r="EC143" i="252"/>
  <c r="EB143" i="252" s="1"/>
  <c r="EN154" i="252"/>
  <c r="AI88" i="252"/>
  <c r="BU91" i="252"/>
  <c r="BT91" i="252" s="1"/>
  <c r="Q96" i="252"/>
  <c r="AQ96" i="252"/>
  <c r="BH112" i="252"/>
  <c r="BG112" i="252" s="1"/>
  <c r="BZ112" i="252"/>
  <c r="BY112" i="252" s="1"/>
  <c r="CI96" i="252"/>
  <c r="DL112" i="252"/>
  <c r="DK112" i="252" s="1"/>
  <c r="EI96" i="252"/>
  <c r="AU97" i="252"/>
  <c r="CE97" i="252"/>
  <c r="CD97" i="252" s="1"/>
  <c r="Q98" i="252"/>
  <c r="CI98" i="252"/>
  <c r="CE99" i="252"/>
  <c r="CD99" i="252" s="1"/>
  <c r="DS99" i="252"/>
  <c r="DR99" i="252" s="1"/>
  <c r="Q100" i="252"/>
  <c r="AI100" i="252"/>
  <c r="CE101" i="252"/>
  <c r="CD101" i="252" s="1"/>
  <c r="DS101" i="252"/>
  <c r="DR101" i="252" s="1"/>
  <c r="Q102" i="252"/>
  <c r="AI102" i="252"/>
  <c r="CI102" i="252"/>
  <c r="AU103" i="252"/>
  <c r="CE103" i="252"/>
  <c r="CD103" i="252" s="1"/>
  <c r="DS103" i="252"/>
  <c r="DR103" i="252" s="1"/>
  <c r="Q104" i="252"/>
  <c r="AQ104" i="252"/>
  <c r="AP104" i="252" s="1"/>
  <c r="CI104" i="252"/>
  <c r="AU105" i="252"/>
  <c r="CE105" i="252"/>
  <c r="CD105" i="252" s="1"/>
  <c r="DS105" i="252"/>
  <c r="DR105" i="252" s="1"/>
  <c r="Q106" i="252"/>
  <c r="AI106" i="252"/>
  <c r="CE107" i="252"/>
  <c r="CD107" i="252" s="1"/>
  <c r="DS107" i="252"/>
  <c r="DR107" i="252" s="1"/>
  <c r="Q108" i="252"/>
  <c r="BK108" i="252"/>
  <c r="BJ108" i="252" s="1"/>
  <c r="AG109" i="252"/>
  <c r="AF109" i="252" s="1"/>
  <c r="BO109" i="252"/>
  <c r="CY109" i="252"/>
  <c r="CX109" i="252" s="1"/>
  <c r="Q110" i="252"/>
  <c r="BK110" i="252"/>
  <c r="BJ110" i="252" s="1"/>
  <c r="W111" i="252"/>
  <c r="V111" i="252" s="1"/>
  <c r="BW111" i="252"/>
  <c r="EC111" i="252"/>
  <c r="EB111" i="252" s="1"/>
  <c r="CT113" i="252"/>
  <c r="EU113" i="252" s="1"/>
  <c r="EW113" i="252" s="1"/>
  <c r="BC119" i="252"/>
  <c r="BN119" i="252"/>
  <c r="BM115" i="252"/>
  <c r="BY119" i="252"/>
  <c r="DS115" i="252"/>
  <c r="EG116" i="252"/>
  <c r="O116" i="252"/>
  <c r="BO116" i="252"/>
  <c r="AM117" i="252"/>
  <c r="CK117" i="252"/>
  <c r="AK118" i="252"/>
  <c r="EG123" i="252"/>
  <c r="AA130" i="252"/>
  <c r="DV130" i="252"/>
  <c r="EG124" i="252"/>
  <c r="EV125" i="252"/>
  <c r="EW125" i="252" s="1"/>
  <c r="ED125" i="252"/>
  <c r="J124" i="250" s="1"/>
  <c r="AH127" i="257" s="1"/>
  <c r="AN127" i="257" s="1"/>
  <c r="BM125" i="252"/>
  <c r="BU125" i="252"/>
  <c r="BT125" i="252" s="1"/>
  <c r="ED126" i="252"/>
  <c r="J125" i="250" s="1"/>
  <c r="AH128" i="257" s="1"/>
  <c r="AN128" i="257" s="1"/>
  <c r="EV126" i="252"/>
  <c r="AM126" i="252"/>
  <c r="BO126" i="252"/>
  <c r="EI127" i="252"/>
  <c r="EH127" i="252" s="1"/>
  <c r="AF133" i="252"/>
  <c r="DI133" i="252"/>
  <c r="DD135" i="252"/>
  <c r="DC135" i="252" s="1"/>
  <c r="ED89" i="252"/>
  <c r="J88" i="250" s="1"/>
  <c r="AH91" i="257" s="1"/>
  <c r="Q90" i="252"/>
  <c r="AI90" i="252"/>
  <c r="AU91" i="252"/>
  <c r="ED91" i="252"/>
  <c r="J90" i="250" s="1"/>
  <c r="AH93" i="257" s="1"/>
  <c r="Q92" i="252"/>
  <c r="AI92" i="252"/>
  <c r="AA96" i="252"/>
  <c r="AR112" i="252"/>
  <c r="AS112" i="252" s="1"/>
  <c r="BA96" i="252"/>
  <c r="BR112" i="252"/>
  <c r="BQ112" i="252" s="1"/>
  <c r="CA96" i="252"/>
  <c r="CS96" i="252"/>
  <c r="DB112" i="252"/>
  <c r="DA112" i="252" s="1"/>
  <c r="W97" i="252"/>
  <c r="V97" i="252" s="1"/>
  <c r="BA98" i="252"/>
  <c r="AZ98" i="252" s="1"/>
  <c r="W99" i="252"/>
  <c r="V99" i="252" s="1"/>
  <c r="CO99" i="252"/>
  <c r="CN99" i="252" s="1"/>
  <c r="DI99" i="252"/>
  <c r="DH99" i="252" s="1"/>
  <c r="EU99" i="252"/>
  <c r="EW99" i="252" s="1"/>
  <c r="BA100" i="252"/>
  <c r="AZ100" i="252" s="1"/>
  <c r="CA100" i="252"/>
  <c r="EK100" i="252"/>
  <c r="M99" i="250" s="1"/>
  <c r="AM102" i="257" s="1"/>
  <c r="AN102" i="257" s="1"/>
  <c r="W101" i="252"/>
  <c r="V101" i="252" s="1"/>
  <c r="CO101" i="252"/>
  <c r="CN101" i="252" s="1"/>
  <c r="DI101" i="252"/>
  <c r="DH101" i="252" s="1"/>
  <c r="EU101" i="252"/>
  <c r="EW101" i="252" s="1"/>
  <c r="BA102" i="252"/>
  <c r="AZ102" i="252" s="1"/>
  <c r="CA102" i="252"/>
  <c r="EK102" i="252"/>
  <c r="M101" i="250" s="1"/>
  <c r="AM104" i="257" s="1"/>
  <c r="AN104" i="257" s="1"/>
  <c r="W103" i="252"/>
  <c r="V103" i="252" s="1"/>
  <c r="CO103" i="252"/>
  <c r="CN103" i="252" s="1"/>
  <c r="DI103" i="252"/>
  <c r="DH103" i="252" s="1"/>
  <c r="EU103" i="252"/>
  <c r="EW103" i="252" s="1"/>
  <c r="BA104" i="252"/>
  <c r="AZ104" i="252" s="1"/>
  <c r="CA104" i="252"/>
  <c r="EK104" i="252"/>
  <c r="M103" i="250" s="1"/>
  <c r="W105" i="252"/>
  <c r="V105" i="252" s="1"/>
  <c r="CO105" i="252"/>
  <c r="CN105" i="252" s="1"/>
  <c r="DI105" i="252"/>
  <c r="DH105" i="252" s="1"/>
  <c r="EU105" i="252"/>
  <c r="EW105" i="252" s="1"/>
  <c r="BA106" i="252"/>
  <c r="AZ106" i="252" s="1"/>
  <c r="EK106" i="252"/>
  <c r="M105" i="250" s="1"/>
  <c r="AM108" i="257" s="1"/>
  <c r="AN108" i="257" s="1"/>
  <c r="W107" i="252"/>
  <c r="V107" i="252" s="1"/>
  <c r="CO107" i="252"/>
  <c r="CN107" i="252" s="1"/>
  <c r="DI107" i="252"/>
  <c r="DH107" i="252" s="1"/>
  <c r="EU107" i="252"/>
  <c r="EW107" i="252" s="1"/>
  <c r="BU108" i="252"/>
  <c r="BT108" i="252" s="1"/>
  <c r="CU108" i="252"/>
  <c r="Y109" i="252"/>
  <c r="BG109" i="252"/>
  <c r="EU109" i="252"/>
  <c r="EW109" i="252" s="1"/>
  <c r="AC110" i="252"/>
  <c r="BU110" i="252"/>
  <c r="BT110" i="252" s="1"/>
  <c r="CU110" i="252"/>
  <c r="O111" i="252"/>
  <c r="AG111" i="252"/>
  <c r="AF111" i="252" s="1"/>
  <c r="AW111" i="252"/>
  <c r="CO111" i="252"/>
  <c r="CN111" i="252" s="1"/>
  <c r="DS111" i="252"/>
  <c r="DR111" i="252" s="1"/>
  <c r="ED111" i="252"/>
  <c r="J110" i="250" s="1"/>
  <c r="AH113" i="257" s="1"/>
  <c r="AL113" i="257" s="1"/>
  <c r="T119" i="252"/>
  <c r="AC119" i="252"/>
  <c r="BP119" i="252"/>
  <c r="BO115" i="252"/>
  <c r="DM119" i="252"/>
  <c r="EU116" i="252"/>
  <c r="EI116" i="252"/>
  <c r="Q116" i="252"/>
  <c r="BQ116" i="252"/>
  <c r="DU116" i="252"/>
  <c r="EV117" i="252"/>
  <c r="ED117" i="252"/>
  <c r="J116" i="250" s="1"/>
  <c r="AH119" i="257" s="1"/>
  <c r="BM117" i="252"/>
  <c r="BU117" i="252"/>
  <c r="BT117" i="252" s="1"/>
  <c r="CO117" i="252"/>
  <c r="CN117" i="252" s="1"/>
  <c r="EV118" i="252"/>
  <c r="AM118" i="252"/>
  <c r="BO118" i="252"/>
  <c r="BW119" i="252"/>
  <c r="EI123" i="252"/>
  <c r="Q123" i="252"/>
  <c r="R130" i="252"/>
  <c r="AR130" i="252"/>
  <c r="BQ123" i="252"/>
  <c r="BR130" i="252"/>
  <c r="CF130" i="252"/>
  <c r="CI130" i="252" s="1"/>
  <c r="EI124" i="252"/>
  <c r="Q124" i="252"/>
  <c r="EC124" i="252"/>
  <c r="EB124" i="252" s="1"/>
  <c r="EG125" i="252"/>
  <c r="DU125" i="252"/>
  <c r="EG126" i="252"/>
  <c r="BQ126" i="252"/>
  <c r="AQ129" i="252"/>
  <c r="AP129" i="252" s="1"/>
  <c r="DX130" i="252"/>
  <c r="BC135" i="252"/>
  <c r="CQ135" i="252"/>
  <c r="EN138" i="252"/>
  <c r="EI146" i="252"/>
  <c r="EW147" i="252"/>
  <c r="EC151" i="252"/>
  <c r="EB151" i="252" s="1"/>
  <c r="EW154" i="252"/>
  <c r="DI155" i="252"/>
  <c r="DH155" i="252" s="1"/>
  <c r="CK96" i="252"/>
  <c r="DN112" i="252"/>
  <c r="DM112" i="252" s="1"/>
  <c r="S100" i="252"/>
  <c r="EG101" i="252"/>
  <c r="S102" i="252"/>
  <c r="EG103" i="252"/>
  <c r="S104" i="252"/>
  <c r="EG105" i="252"/>
  <c r="S106" i="252"/>
  <c r="BK106" i="252"/>
  <c r="BJ106" i="252" s="1"/>
  <c r="AG107" i="252"/>
  <c r="AF107" i="252" s="1"/>
  <c r="CY107" i="252"/>
  <c r="CX107" i="252" s="1"/>
  <c r="EG107" i="252"/>
  <c r="S108" i="252"/>
  <c r="CE108" i="252"/>
  <c r="CD108" i="252" s="1"/>
  <c r="AQ109" i="252"/>
  <c r="AP109" i="252" s="1"/>
  <c r="S110" i="252"/>
  <c r="EU111" i="252"/>
  <c r="EW111" i="252" s="1"/>
  <c r="W119" i="252"/>
  <c r="V115" i="252"/>
  <c r="AS115" i="252"/>
  <c r="AT119" i="252"/>
  <c r="AS119" i="252" s="1"/>
  <c r="BR119" i="252"/>
  <c r="BQ115" i="252"/>
  <c r="DB119" i="252"/>
  <c r="DA119" i="252" s="1"/>
  <c r="DA115" i="252"/>
  <c r="EG117" i="252"/>
  <c r="O117" i="252"/>
  <c r="EG118" i="252"/>
  <c r="O118" i="252"/>
  <c r="W118" i="252"/>
  <c r="V118" i="252" s="1"/>
  <c r="DI118" i="252"/>
  <c r="DH118" i="252" s="1"/>
  <c r="CA119" i="252"/>
  <c r="S130" i="252"/>
  <c r="AT130" i="252"/>
  <c r="CH130" i="252"/>
  <c r="CG130" i="252" s="1"/>
  <c r="DH123" i="252"/>
  <c r="EB123" i="252"/>
  <c r="EI125" i="252"/>
  <c r="Q125" i="252"/>
  <c r="EI126" i="252"/>
  <c r="Q126" i="252"/>
  <c r="DJ130" i="252"/>
  <c r="DN128" i="252"/>
  <c r="DN130" i="252" s="1"/>
  <c r="DM130" i="252" s="1"/>
  <c r="AK129" i="252"/>
  <c r="EU129" i="252"/>
  <c r="EW129" i="252" s="1"/>
  <c r="BE135" i="252"/>
  <c r="CS135" i="252"/>
  <c r="EH138" i="252"/>
  <c r="EI144" i="252"/>
  <c r="EW145" i="252"/>
  <c r="BS170" i="252"/>
  <c r="BS216" i="252" s="1"/>
  <c r="BU96" i="252"/>
  <c r="CL112" i="252"/>
  <c r="CK112" i="252" s="1"/>
  <c r="EC96" i="252"/>
  <c r="BG99" i="252"/>
  <c r="BU100" i="252"/>
  <c r="BT100" i="252" s="1"/>
  <c r="BU102" i="252"/>
  <c r="BT102" i="252" s="1"/>
  <c r="BU104" i="252"/>
  <c r="BT104" i="252" s="1"/>
  <c r="BU106" i="252"/>
  <c r="BT106" i="252" s="1"/>
  <c r="CO108" i="252"/>
  <c r="CN108" i="252" s="1"/>
  <c r="BA109" i="252"/>
  <c r="AZ109" i="252" s="1"/>
  <c r="CO110" i="252"/>
  <c r="CN110" i="252" s="1"/>
  <c r="AI111" i="252"/>
  <c r="CQ111" i="252"/>
  <c r="AH119" i="252"/>
  <c r="AV119" i="252"/>
  <c r="AU119" i="252" s="1"/>
  <c r="AU115" i="252"/>
  <c r="BU115" i="252"/>
  <c r="CQ119" i="252"/>
  <c r="AU116" i="252"/>
  <c r="EI117" i="252"/>
  <c r="EU118" i="252"/>
  <c r="EW118" i="252" s="1"/>
  <c r="BU118" i="252"/>
  <c r="BT118" i="252" s="1"/>
  <c r="DK119" i="252"/>
  <c r="W123" i="252"/>
  <c r="AF123" i="252"/>
  <c r="AV130" i="252"/>
  <c r="AU123" i="252"/>
  <c r="CI123" i="252"/>
  <c r="W124" i="252"/>
  <c r="V124" i="252" s="1"/>
  <c r="AU124" i="252"/>
  <c r="DI124" i="252"/>
  <c r="DH124" i="252" s="1"/>
  <c r="S125" i="252"/>
  <c r="AS125" i="252"/>
  <c r="CG125" i="252"/>
  <c r="DI125" i="252"/>
  <c r="DH125" i="252" s="1"/>
  <c r="S126" i="252"/>
  <c r="EU126" i="252"/>
  <c r="BO127" i="252"/>
  <c r="DK128" i="252"/>
  <c r="BM129" i="252"/>
  <c r="BA135" i="252"/>
  <c r="AZ135" i="252" s="1"/>
  <c r="AZ133" i="252"/>
  <c r="BG135" i="252"/>
  <c r="V134" i="252"/>
  <c r="W135" i="252"/>
  <c r="V135" i="252" s="1"/>
  <c r="EW137" i="252"/>
  <c r="EF155" i="252"/>
  <c r="AU100" i="252"/>
  <c r="Q101" i="252"/>
  <c r="AI101" i="252"/>
  <c r="BQ101" i="252"/>
  <c r="AU102" i="252"/>
  <c r="Q103" i="252"/>
  <c r="AI103" i="252"/>
  <c r="BQ103" i="252"/>
  <c r="AU104" i="252"/>
  <c r="Q105" i="252"/>
  <c r="AI105" i="252"/>
  <c r="BQ105" i="252"/>
  <c r="AU106" i="252"/>
  <c r="Q107" i="252"/>
  <c r="AI107" i="252"/>
  <c r="BQ107" i="252"/>
  <c r="BO108" i="252"/>
  <c r="Q109" i="252"/>
  <c r="CK109" i="252"/>
  <c r="BO110" i="252"/>
  <c r="AA111" i="252"/>
  <c r="AJ119" i="252"/>
  <c r="AQ115" i="252"/>
  <c r="AI115" i="252"/>
  <c r="AX119" i="252"/>
  <c r="AW119" i="252" s="1"/>
  <c r="AW115" i="252"/>
  <c r="CF119" i="252"/>
  <c r="DU115" i="252"/>
  <c r="DV119" i="252"/>
  <c r="DU119" i="252" s="1"/>
  <c r="AQ116" i="252"/>
  <c r="AP116" i="252" s="1"/>
  <c r="AI116" i="252"/>
  <c r="S117" i="252"/>
  <c r="EK117" i="252"/>
  <c r="M116" i="250" s="1"/>
  <c r="AM119" i="257" s="1"/>
  <c r="AN119" i="257" s="1"/>
  <c r="S118" i="252"/>
  <c r="EK118" i="252"/>
  <c r="M117" i="250" s="1"/>
  <c r="AM120" i="257" s="1"/>
  <c r="AN120" i="257" s="1"/>
  <c r="EW120" i="252"/>
  <c r="AH130" i="252"/>
  <c r="AK130" i="252" s="1"/>
  <c r="EK130" i="252"/>
  <c r="AS126" i="252"/>
  <c r="BA126" i="252"/>
  <c r="AZ126" i="252" s="1"/>
  <c r="CG126" i="252"/>
  <c r="CO126" i="252"/>
  <c r="CN126" i="252" s="1"/>
  <c r="Y130" i="252"/>
  <c r="ED133" i="252"/>
  <c r="X135" i="252"/>
  <c r="Y135" i="252" s="1"/>
  <c r="EV133" i="252"/>
  <c r="EW133" i="252" s="1"/>
  <c r="EC145" i="252"/>
  <c r="EB145" i="252" s="1"/>
  <c r="N119" i="252"/>
  <c r="EV115" i="252"/>
  <c r="ED115" i="252"/>
  <c r="AK115" i="252"/>
  <c r="AL119" i="252"/>
  <c r="AK119" i="252" s="1"/>
  <c r="AZ115" i="252"/>
  <c r="CH119" i="252"/>
  <c r="CG115" i="252"/>
  <c r="DH115" i="252"/>
  <c r="AS118" i="252"/>
  <c r="BA118" i="252"/>
  <c r="AZ118" i="252" s="1"/>
  <c r="CG118" i="252"/>
  <c r="CO118" i="252"/>
  <c r="CN118" i="252" s="1"/>
  <c r="AQ123" i="252"/>
  <c r="AI123" i="252"/>
  <c r="AJ130" i="252"/>
  <c r="AZ123" i="252"/>
  <c r="CN123" i="252"/>
  <c r="DK130" i="252"/>
  <c r="EW123" i="252"/>
  <c r="AQ124" i="252"/>
  <c r="AP124" i="252" s="1"/>
  <c r="AI124" i="252"/>
  <c r="EV135" i="252"/>
  <c r="EN147" i="252"/>
  <c r="EF151" i="252"/>
  <c r="EG133" i="252"/>
  <c r="EK138" i="252"/>
  <c r="M136" i="250" s="1"/>
  <c r="AM139" i="257" s="1"/>
  <c r="CU168" i="252"/>
  <c r="ED142" i="252"/>
  <c r="EI143" i="252"/>
  <c r="EI145" i="252"/>
  <c r="EI147" i="252"/>
  <c r="EK150" i="252"/>
  <c r="M148" i="250" s="1"/>
  <c r="EU151" i="252"/>
  <c r="EG153" i="252"/>
  <c r="EU155" i="252"/>
  <c r="EU156" i="252"/>
  <c r="DK158" i="252"/>
  <c r="DS158" i="252"/>
  <c r="DR158" i="252" s="1"/>
  <c r="EI159" i="252"/>
  <c r="Q159" i="252"/>
  <c r="EU159" i="252"/>
  <c r="BU159" i="252"/>
  <c r="BT159" i="252" s="1"/>
  <c r="BM159" i="252"/>
  <c r="CQ160" i="252"/>
  <c r="CY160" i="252"/>
  <c r="CX160" i="252" s="1"/>
  <c r="DK160" i="252"/>
  <c r="DS160" i="252"/>
  <c r="DR160" i="252" s="1"/>
  <c r="EU164" i="252"/>
  <c r="EW164" i="252" s="1"/>
  <c r="EI164" i="252"/>
  <c r="Q164" i="252"/>
  <c r="DU164" i="252"/>
  <c r="EC164" i="252"/>
  <c r="EB164" i="252" s="1"/>
  <c r="EN165" i="252"/>
  <c r="DS178" i="252"/>
  <c r="DR178" i="252" s="1"/>
  <c r="DN180" i="252"/>
  <c r="DM180" i="252" s="1"/>
  <c r="AG184" i="252"/>
  <c r="EG184" i="252"/>
  <c r="Z185" i="252"/>
  <c r="Y184" i="252"/>
  <c r="Y185" i="252" s="1"/>
  <c r="BR185" i="252"/>
  <c r="BQ184" i="252"/>
  <c r="BQ185" i="252" s="1"/>
  <c r="DM185" i="252"/>
  <c r="DM191" i="252" s="1"/>
  <c r="DN184" i="252"/>
  <c r="O201" i="252"/>
  <c r="W201" i="252"/>
  <c r="V201" i="252" s="1"/>
  <c r="BF201" i="252"/>
  <c r="BE201" i="252" s="1"/>
  <c r="BE195" i="252"/>
  <c r="BA201" i="252"/>
  <c r="AZ201" i="252" s="1"/>
  <c r="AS201" i="252"/>
  <c r="EC207" i="252"/>
  <c r="EB207" i="252" s="1"/>
  <c r="DU207" i="252"/>
  <c r="BV27" i="253"/>
  <c r="BW12" i="253"/>
  <c r="CE115" i="252"/>
  <c r="Q118" i="252"/>
  <c r="AI118" i="252"/>
  <c r="DA118" i="252"/>
  <c r="EI118" i="252"/>
  <c r="EV122" i="252"/>
  <c r="EW122" i="252" s="1"/>
  <c r="S123" i="252"/>
  <c r="AK123" i="252"/>
  <c r="AS123" i="252"/>
  <c r="BK123" i="252"/>
  <c r="CK123" i="252"/>
  <c r="O124" i="252"/>
  <c r="DU124" i="252"/>
  <c r="O126" i="252"/>
  <c r="AI126" i="252"/>
  <c r="AY130" i="252"/>
  <c r="AY170" i="252" s="1"/>
  <c r="AY216" i="252" s="1"/>
  <c r="Y133" i="252"/>
  <c r="BG133" i="252"/>
  <c r="BY133" i="252"/>
  <c r="CQ133" i="252"/>
  <c r="DK133" i="252"/>
  <c r="DL135" i="252"/>
  <c r="DK135" i="252" s="1"/>
  <c r="EV137" i="252"/>
  <c r="W142" i="252"/>
  <c r="BM168" i="252"/>
  <c r="CO142" i="252"/>
  <c r="W146" i="252"/>
  <c r="V146" i="252" s="1"/>
  <c r="O151" i="252"/>
  <c r="DU151" i="252"/>
  <c r="EV151" i="252"/>
  <c r="Q153" i="252"/>
  <c r="AI153" i="252"/>
  <c r="BU154" i="252"/>
  <c r="BT154" i="252" s="1"/>
  <c r="EC154" i="252"/>
  <c r="EB154" i="252" s="1"/>
  <c r="Y155" i="252"/>
  <c r="CK155" i="252"/>
  <c r="EV155" i="252"/>
  <c r="EK156" i="252"/>
  <c r="M153" i="250" s="1"/>
  <c r="AM156" i="257" s="1"/>
  <c r="CE156" i="252"/>
  <c r="CD156" i="252" s="1"/>
  <c r="DK156" i="252"/>
  <c r="Y157" i="252"/>
  <c r="AQ157" i="252"/>
  <c r="AP157" i="252" s="1"/>
  <c r="AI157" i="252"/>
  <c r="CG157" i="252"/>
  <c r="EU157" i="252"/>
  <c r="EW157" i="252" s="1"/>
  <c r="AS158" i="252"/>
  <c r="BC158" i="252"/>
  <c r="EI158" i="252"/>
  <c r="EK159" i="252"/>
  <c r="M156" i="250" s="1"/>
  <c r="AM159" i="257" s="1"/>
  <c r="AN159" i="257" s="1"/>
  <c r="CQ159" i="252"/>
  <c r="EG160" i="252"/>
  <c r="Y162" i="252"/>
  <c r="AG162" i="252"/>
  <c r="AF162" i="252" s="1"/>
  <c r="BY162" i="252"/>
  <c r="CE162" i="252"/>
  <c r="CD162" i="252" s="1"/>
  <c r="EI162" i="252"/>
  <c r="EK163" i="252"/>
  <c r="M160" i="250" s="1"/>
  <c r="AM163" i="257" s="1"/>
  <c r="AN163" i="257" s="1"/>
  <c r="CI163" i="252"/>
  <c r="AU164" i="252"/>
  <c r="DI164" i="252"/>
  <c r="DH164" i="252" s="1"/>
  <c r="DA164" i="252"/>
  <c r="EI165" i="252"/>
  <c r="CN165" i="252"/>
  <c r="BO180" i="252"/>
  <c r="AR185" i="252"/>
  <c r="AU184" i="252"/>
  <c r="AU185" i="252" s="1"/>
  <c r="CJ185" i="252"/>
  <c r="CI184" i="252"/>
  <c r="CI185" i="252" s="1"/>
  <c r="DK186" i="252"/>
  <c r="DU193" i="252"/>
  <c r="DB201" i="252"/>
  <c r="DI195" i="252"/>
  <c r="DH195" i="252" s="1"/>
  <c r="BY201" i="252"/>
  <c r="ED207" i="252"/>
  <c r="J204" i="250" s="1"/>
  <c r="AH211" i="257" s="1"/>
  <c r="DA207" i="252"/>
  <c r="EG208" i="252"/>
  <c r="DS208" i="252"/>
  <c r="DR208" i="252" s="1"/>
  <c r="DK208" i="252"/>
  <c r="AQ210" i="252"/>
  <c r="AP210" i="252" s="1"/>
  <c r="AM210" i="252"/>
  <c r="AM211" i="252"/>
  <c r="AQ211" i="252"/>
  <c r="AP211" i="252" s="1"/>
  <c r="EI211" i="252"/>
  <c r="EF55" i="253"/>
  <c r="EF56" i="253"/>
  <c r="EF59" i="253"/>
  <c r="W61" i="253"/>
  <c r="V61" i="253" s="1"/>
  <c r="EF63" i="253"/>
  <c r="EF64" i="253"/>
  <c r="W69" i="253"/>
  <c r="V69" i="253" s="1"/>
  <c r="EI69" i="253"/>
  <c r="EH69" i="253" s="1"/>
  <c r="EF71" i="253"/>
  <c r="EF72" i="253"/>
  <c r="EF78" i="253"/>
  <c r="EU117" i="252"/>
  <c r="AG127" i="252"/>
  <c r="AF127" i="252" s="1"/>
  <c r="CO127" i="252"/>
  <c r="CN127" i="252" s="1"/>
  <c r="CO129" i="252"/>
  <c r="CN129" i="252" s="1"/>
  <c r="AQ133" i="252"/>
  <c r="CE134" i="252"/>
  <c r="CD134" i="252" s="1"/>
  <c r="ED134" i="252"/>
  <c r="J132" i="250" s="1"/>
  <c r="AH135" i="257" s="1"/>
  <c r="AN135" i="257" s="1"/>
  <c r="BU138" i="252"/>
  <c r="BT138" i="252" s="1"/>
  <c r="AG142" i="252"/>
  <c r="AO168" i="252"/>
  <c r="BF168" i="252"/>
  <c r="BX168" i="252"/>
  <c r="BW168" i="252" s="1"/>
  <c r="CP168" i="252"/>
  <c r="CY142" i="252"/>
  <c r="EG142" i="252"/>
  <c r="EV142" i="252"/>
  <c r="EW142" i="252" s="1"/>
  <c r="BK143" i="252"/>
  <c r="BJ143" i="252" s="1"/>
  <c r="AG144" i="252"/>
  <c r="AF144" i="252" s="1"/>
  <c r="CY144" i="252"/>
  <c r="CX144" i="252" s="1"/>
  <c r="EG144" i="252"/>
  <c r="BK145" i="252"/>
  <c r="BJ145" i="252" s="1"/>
  <c r="AG146" i="252"/>
  <c r="AF146" i="252" s="1"/>
  <c r="CY146" i="252"/>
  <c r="CX146" i="252" s="1"/>
  <c r="EG146" i="252"/>
  <c r="CE147" i="252"/>
  <c r="CD147" i="252" s="1"/>
  <c r="EI148" i="252"/>
  <c r="BU150" i="252"/>
  <c r="BT150" i="252" s="1"/>
  <c r="BU152" i="252"/>
  <c r="BT152" i="252" s="1"/>
  <c r="BA153" i="252"/>
  <c r="AZ153" i="252" s="1"/>
  <c r="EI153" i="252"/>
  <c r="CE154" i="252"/>
  <c r="CD154" i="252" s="1"/>
  <c r="DS154" i="252"/>
  <c r="DR154" i="252" s="1"/>
  <c r="ED154" i="252"/>
  <c r="J151" i="250" s="1"/>
  <c r="AH154" i="257" s="1"/>
  <c r="AJ154" i="257" s="1"/>
  <c r="BA155" i="252"/>
  <c r="AZ155" i="252" s="1"/>
  <c r="AK157" i="252"/>
  <c r="BW157" i="252"/>
  <c r="CE157" i="252"/>
  <c r="CD157" i="252" s="1"/>
  <c r="EV157" i="252"/>
  <c r="AQ158" i="252"/>
  <c r="AP158" i="252" s="1"/>
  <c r="AI158" i="252"/>
  <c r="BE158" i="252"/>
  <c r="CE158" i="252"/>
  <c r="CD158" i="252" s="1"/>
  <c r="EK158" i="252"/>
  <c r="M155" i="250" s="1"/>
  <c r="AM158" i="257" s="1"/>
  <c r="CD161" i="252"/>
  <c r="CQ162" i="252"/>
  <c r="CY162" i="252"/>
  <c r="CX162" i="252" s="1"/>
  <c r="DK162" i="252"/>
  <c r="DS162" i="252"/>
  <c r="DR162" i="252" s="1"/>
  <c r="CE163" i="252"/>
  <c r="CD163" i="252" s="1"/>
  <c r="BW163" i="252"/>
  <c r="AQ164" i="252"/>
  <c r="AP164" i="252" s="1"/>
  <c r="AI164" i="252"/>
  <c r="S165" i="252"/>
  <c r="EK165" i="252"/>
  <c r="M162" i="250" s="1"/>
  <c r="AM165" i="257" s="1"/>
  <c r="EF166" i="252"/>
  <c r="EV178" i="252"/>
  <c r="CZ180" i="252"/>
  <c r="DE180" i="252" s="1"/>
  <c r="EC178" i="252"/>
  <c r="EB178" i="252" s="1"/>
  <c r="DV180" i="252"/>
  <c r="DU178" i="252"/>
  <c r="ED182" i="252"/>
  <c r="J179" i="250" s="1"/>
  <c r="AH185" i="257" s="1"/>
  <c r="AJ185" i="257" s="1"/>
  <c r="Q182" i="252"/>
  <c r="DN186" i="252"/>
  <c r="DX193" i="252"/>
  <c r="ES194" i="252"/>
  <c r="EO194" i="252"/>
  <c r="EU195" i="252"/>
  <c r="CE195" i="252"/>
  <c r="CD195" i="252" s="1"/>
  <c r="BX201" i="252"/>
  <c r="BW195" i="252"/>
  <c r="EU198" i="252"/>
  <c r="CE198" i="252"/>
  <c r="CD198" i="252" s="1"/>
  <c r="BW198" i="252"/>
  <c r="EI206" i="252"/>
  <c r="AA206" i="252"/>
  <c r="W207" i="252"/>
  <c r="V207" i="252" s="1"/>
  <c r="EG207" i="252"/>
  <c r="O207" i="252"/>
  <c r="DD207" i="252"/>
  <c r="DI207" i="252" s="1"/>
  <c r="DH207" i="252" s="1"/>
  <c r="EN215" i="252"/>
  <c r="ES215" i="252" s="1"/>
  <c r="V215" i="252"/>
  <c r="BC27" i="253"/>
  <c r="EG19" i="253"/>
  <c r="AG19" i="253"/>
  <c r="Y19" i="253"/>
  <c r="AG115" i="252"/>
  <c r="CY115" i="252"/>
  <c r="DS123" i="252"/>
  <c r="Y127" i="252"/>
  <c r="P130" i="252"/>
  <c r="O130" i="252" s="1"/>
  <c r="AA133" i="252"/>
  <c r="CA133" i="252"/>
  <c r="CS133" i="252"/>
  <c r="EK133" i="252"/>
  <c r="BW134" i="252"/>
  <c r="Q135" i="252"/>
  <c r="ED138" i="252"/>
  <c r="J136" i="250" s="1"/>
  <c r="AH139" i="257" s="1"/>
  <c r="AJ139" i="257" s="1"/>
  <c r="BG142" i="252"/>
  <c r="DU168" i="252"/>
  <c r="BY144" i="252"/>
  <c r="BY146" i="252"/>
  <c r="ED150" i="252"/>
  <c r="J148" i="250" s="1"/>
  <c r="Q151" i="252"/>
  <c r="AI151" i="252"/>
  <c r="S153" i="252"/>
  <c r="W154" i="252"/>
  <c r="V154" i="252" s="1"/>
  <c r="CO154" i="252"/>
  <c r="CN154" i="252" s="1"/>
  <c r="AA155" i="252"/>
  <c r="CO155" i="252"/>
  <c r="CN155" i="252" s="1"/>
  <c r="DU155" i="252"/>
  <c r="ED157" i="252"/>
  <c r="J154" i="250" s="1"/>
  <c r="AH157" i="257" s="1"/>
  <c r="AJ157" i="257" s="1"/>
  <c r="AA157" i="252"/>
  <c r="DX157" i="252"/>
  <c r="EC157" i="252" s="1"/>
  <c r="EB157" i="252" s="1"/>
  <c r="EV158" i="252"/>
  <c r="Y158" i="252"/>
  <c r="AU158" i="252"/>
  <c r="CU159" i="252"/>
  <c r="ED159" i="252"/>
  <c r="J156" i="250" s="1"/>
  <c r="AH159" i="257" s="1"/>
  <c r="EU160" i="252"/>
  <c r="EW160" i="252" s="1"/>
  <c r="CQ161" i="252"/>
  <c r="EG162" i="252"/>
  <c r="BY163" i="252"/>
  <c r="CO163" i="252"/>
  <c r="CN163" i="252" s="1"/>
  <c r="AK164" i="252"/>
  <c r="BA164" i="252"/>
  <c r="AZ164" i="252" s="1"/>
  <c r="W165" i="252"/>
  <c r="V165" i="252" s="1"/>
  <c r="EU166" i="252"/>
  <c r="EI166" i="252"/>
  <c r="Q166" i="252"/>
  <c r="AU166" i="252"/>
  <c r="DI166" i="252"/>
  <c r="DH166" i="252" s="1"/>
  <c r="DA166" i="252"/>
  <c r="EI174" i="252"/>
  <c r="DN176" i="252"/>
  <c r="DK177" i="252"/>
  <c r="W178" i="252"/>
  <c r="V178" i="252" s="1"/>
  <c r="P180" i="252"/>
  <c r="EG178" i="252"/>
  <c r="O178" i="252"/>
  <c r="BH180" i="252"/>
  <c r="BG180" i="252" s="1"/>
  <c r="BG178" i="252"/>
  <c r="DA178" i="252"/>
  <c r="EW179" i="252"/>
  <c r="DA180" i="252"/>
  <c r="O182" i="252"/>
  <c r="DI184" i="252"/>
  <c r="DB185" i="252"/>
  <c r="DB191" i="252" s="1"/>
  <c r="DA184" i="252"/>
  <c r="DA185" i="252" s="1"/>
  <c r="ED187" i="252"/>
  <c r="J184" i="250" s="1"/>
  <c r="AH190" i="257" s="1"/>
  <c r="AN190" i="257" s="1"/>
  <c r="DX187" i="252"/>
  <c r="CP201" i="252"/>
  <c r="CS201" i="252" s="1"/>
  <c r="CS195" i="252"/>
  <c r="AQ201" i="252"/>
  <c r="AP201" i="252" s="1"/>
  <c r="DE201" i="252"/>
  <c r="ED204" i="252"/>
  <c r="J201" i="250" s="1"/>
  <c r="AH208" i="257" s="1"/>
  <c r="AL208" i="257" s="1"/>
  <c r="EF206" i="252"/>
  <c r="BC206" i="252"/>
  <c r="EI207" i="252"/>
  <c r="EU207" i="252"/>
  <c r="BZ23" i="253"/>
  <c r="CE23" i="253" s="1"/>
  <c r="CD23" i="253" s="1"/>
  <c r="BW23" i="253"/>
  <c r="CZ130" i="252"/>
  <c r="DC130" i="252" s="1"/>
  <c r="BK133" i="252"/>
  <c r="DN133" i="252"/>
  <c r="DN135" i="252" s="1"/>
  <c r="DM135" i="252" s="1"/>
  <c r="AG134" i="252"/>
  <c r="AF134" i="252" s="1"/>
  <c r="CY134" i="252"/>
  <c r="CX134" i="252" s="1"/>
  <c r="W138" i="252"/>
  <c r="V138" i="252" s="1"/>
  <c r="CO138" i="252"/>
  <c r="CN138" i="252" s="1"/>
  <c r="DI138" i="252"/>
  <c r="DH138" i="252" s="1"/>
  <c r="EU138" i="252"/>
  <c r="EW138" i="252" s="1"/>
  <c r="CT140" i="252"/>
  <c r="EU140" i="252" s="1"/>
  <c r="EW140" i="252" s="1"/>
  <c r="CT141" i="252"/>
  <c r="EU141" i="252" s="1"/>
  <c r="EW141" i="252" s="1"/>
  <c r="Z168" i="252"/>
  <c r="Y168" i="252" s="1"/>
  <c r="AQ168" i="252"/>
  <c r="AP168" i="252" s="1"/>
  <c r="BZ168" i="252"/>
  <c r="BY168" i="252" s="1"/>
  <c r="CR168" i="252"/>
  <c r="DL168" i="252"/>
  <c r="DK168" i="252" s="1"/>
  <c r="EI142" i="252"/>
  <c r="CE143" i="252"/>
  <c r="CD143" i="252" s="1"/>
  <c r="DS143" i="252"/>
  <c r="DR143" i="252" s="1"/>
  <c r="CE145" i="252"/>
  <c r="CD145" i="252" s="1"/>
  <c r="DS145" i="252"/>
  <c r="DR145" i="252" s="1"/>
  <c r="AG147" i="252"/>
  <c r="AF147" i="252" s="1"/>
  <c r="CY147" i="252"/>
  <c r="CX147" i="252" s="1"/>
  <c r="ED147" i="252"/>
  <c r="J145" i="250" s="1"/>
  <c r="AH148" i="257" s="1"/>
  <c r="AJ148" i="257" s="1"/>
  <c r="BK148" i="252"/>
  <c r="BJ148" i="252" s="1"/>
  <c r="W150" i="252"/>
  <c r="V150" i="252" s="1"/>
  <c r="CO150" i="252"/>
  <c r="CN150" i="252" s="1"/>
  <c r="DI150" i="252"/>
  <c r="DH150" i="252" s="1"/>
  <c r="EU150" i="252"/>
  <c r="EW150" i="252" s="1"/>
  <c r="BA151" i="252"/>
  <c r="AZ151" i="252" s="1"/>
  <c r="EK151" i="252"/>
  <c r="M149" i="250" s="1"/>
  <c r="AM152" i="257" s="1"/>
  <c r="AN152" i="257" s="1"/>
  <c r="AG152" i="252"/>
  <c r="AF152" i="252" s="1"/>
  <c r="DS152" i="252"/>
  <c r="DR152" i="252" s="1"/>
  <c r="AG154" i="252"/>
  <c r="AF154" i="252" s="1"/>
  <c r="CY154" i="252"/>
  <c r="CX154" i="252" s="1"/>
  <c r="CY155" i="252"/>
  <c r="CX155" i="252" s="1"/>
  <c r="EV156" i="252"/>
  <c r="ED156" i="252"/>
  <c r="J153" i="250" s="1"/>
  <c r="AH156" i="257" s="1"/>
  <c r="AL156" i="257" s="1"/>
  <c r="ED158" i="252"/>
  <c r="J155" i="250" s="1"/>
  <c r="AH158" i="257" s="1"/>
  <c r="CS158" i="252"/>
  <c r="EU158" i="252"/>
  <c r="AQ159" i="252"/>
  <c r="AP159" i="252" s="1"/>
  <c r="AI159" i="252"/>
  <c r="AU159" i="252"/>
  <c r="CX159" i="252"/>
  <c r="EG159" i="252"/>
  <c r="BC161" i="252"/>
  <c r="BK161" i="252"/>
  <c r="BJ161" i="252" s="1"/>
  <c r="EW163" i="252"/>
  <c r="EK164" i="252"/>
  <c r="M161" i="250" s="1"/>
  <c r="AM164" i="257" s="1"/>
  <c r="AQ165" i="252"/>
  <c r="AP165" i="252" s="1"/>
  <c r="BU165" i="252"/>
  <c r="BT165" i="252" s="1"/>
  <c r="BM165" i="252"/>
  <c r="EI178" i="252"/>
  <c r="AH180" i="252"/>
  <c r="AK180" i="252" s="1"/>
  <c r="AK178" i="252"/>
  <c r="BZ180" i="252"/>
  <c r="BY180" i="252" s="1"/>
  <c r="BY178" i="252"/>
  <c r="DI178" i="252"/>
  <c r="DH178" i="252" s="1"/>
  <c r="DD180" i="252"/>
  <c r="DC180" i="252" s="1"/>
  <c r="CE182" i="252"/>
  <c r="CD182" i="252" s="1"/>
  <c r="BW182" i="252"/>
  <c r="EW184" i="252"/>
  <c r="DC191" i="252"/>
  <c r="DX191" i="252"/>
  <c r="EG187" i="252"/>
  <c r="DA187" i="252"/>
  <c r="ED195" i="252"/>
  <c r="X201" i="252"/>
  <c r="AA201" i="252" s="1"/>
  <c r="AA195" i="252"/>
  <c r="EV195" i="252"/>
  <c r="EN196" i="252"/>
  <c r="W193" i="250" s="1"/>
  <c r="ED198" i="252"/>
  <c r="J195" i="250" s="1"/>
  <c r="AH202" i="257" s="1"/>
  <c r="AJ202" i="257" s="1"/>
  <c r="AA198" i="252"/>
  <c r="EF198" i="252"/>
  <c r="EK204" i="252"/>
  <c r="M201" i="250" s="1"/>
  <c r="AM208" i="257" s="1"/>
  <c r="AC204" i="252"/>
  <c r="BK204" i="252"/>
  <c r="BJ204" i="252" s="1"/>
  <c r="BC204" i="252"/>
  <c r="EF26" i="253"/>
  <c r="O35" i="253"/>
  <c r="EE35" i="253"/>
  <c r="CX43" i="253"/>
  <c r="Q117" i="252"/>
  <c r="ED118" i="252"/>
  <c r="J117" i="250" s="1"/>
  <c r="AH120" i="257" s="1"/>
  <c r="O123" i="252"/>
  <c r="CG123" i="252"/>
  <c r="CY123" i="252"/>
  <c r="DU123" i="252"/>
  <c r="O125" i="252"/>
  <c r="AI129" i="252"/>
  <c r="AC133" i="252"/>
  <c r="BC133" i="252"/>
  <c r="BU133" i="252"/>
  <c r="O138" i="252"/>
  <c r="R168" i="252"/>
  <c r="AJ168" i="252"/>
  <c r="AI168" i="252" s="1"/>
  <c r="AR168" i="252"/>
  <c r="EV168" i="252" s="1"/>
  <c r="BA142" i="252"/>
  <c r="BR168" i="252"/>
  <c r="CJ168" i="252"/>
  <c r="CI168" i="252" s="1"/>
  <c r="DB168" i="252"/>
  <c r="DA168" i="252" s="1"/>
  <c r="EK142" i="252"/>
  <c r="Y147" i="252"/>
  <c r="O150" i="252"/>
  <c r="CG152" i="252"/>
  <c r="BK155" i="252"/>
  <c r="BJ155" i="252" s="1"/>
  <c r="EK155" i="252"/>
  <c r="M152" i="250" s="1"/>
  <c r="AM155" i="257" s="1"/>
  <c r="AN155" i="257" s="1"/>
  <c r="EG156" i="252"/>
  <c r="O156" i="252"/>
  <c r="AI156" i="252"/>
  <c r="CG156" i="252"/>
  <c r="CY156" i="252"/>
  <c r="CX156" i="252" s="1"/>
  <c r="W157" i="252"/>
  <c r="V157" i="252" s="1"/>
  <c r="DS157" i="252"/>
  <c r="DR157" i="252" s="1"/>
  <c r="DK157" i="252"/>
  <c r="BK158" i="252"/>
  <c r="BJ158" i="252" s="1"/>
  <c r="CO158" i="252"/>
  <c r="CN158" i="252" s="1"/>
  <c r="CY158" i="252"/>
  <c r="CX158" i="252" s="1"/>
  <c r="BW159" i="252"/>
  <c r="EK160" i="252"/>
  <c r="M157" i="250" s="1"/>
  <c r="AM160" i="257" s="1"/>
  <c r="AN160" i="257" s="1"/>
  <c r="BK160" i="252"/>
  <c r="BJ160" i="252" s="1"/>
  <c r="AG161" i="252"/>
  <c r="AF161" i="252" s="1"/>
  <c r="CU161" i="252"/>
  <c r="ED161" i="252"/>
  <c r="J158" i="250" s="1"/>
  <c r="AH161" i="257" s="1"/>
  <c r="AJ161" i="257" s="1"/>
  <c r="EU162" i="252"/>
  <c r="EW162" i="252" s="1"/>
  <c r="BO164" i="252"/>
  <c r="BU164" i="252"/>
  <c r="BT164" i="252" s="1"/>
  <c r="DS164" i="252"/>
  <c r="DR164" i="252" s="1"/>
  <c r="EV166" i="252"/>
  <c r="AQ166" i="252"/>
  <c r="AP166" i="252" s="1"/>
  <c r="AI166" i="252"/>
  <c r="AZ166" i="252"/>
  <c r="EK166" i="252"/>
  <c r="M163" i="250" s="1"/>
  <c r="AM166" i="257" s="1"/>
  <c r="AN166" i="257" s="1"/>
  <c r="EG174" i="252"/>
  <c r="DS174" i="252"/>
  <c r="DR174" i="252" s="1"/>
  <c r="DK174" i="252"/>
  <c r="AI178" i="252"/>
  <c r="EW178" i="252"/>
  <c r="S182" i="252"/>
  <c r="BA185" i="252"/>
  <c r="AZ184" i="252"/>
  <c r="AZ185" i="252" s="1"/>
  <c r="DJ191" i="252"/>
  <c r="EK184" i="252"/>
  <c r="M181" i="250" s="1"/>
  <c r="DL195" i="252"/>
  <c r="DS195" i="252" s="1"/>
  <c r="DR195" i="252" s="1"/>
  <c r="DK194" i="252"/>
  <c r="DK195" i="252" s="1"/>
  <c r="Y195" i="252"/>
  <c r="Y198" i="252"/>
  <c r="EV198" i="252"/>
  <c r="DU200" i="252"/>
  <c r="AM201" i="252"/>
  <c r="DA205" i="252"/>
  <c r="EU206" i="252"/>
  <c r="EW206" i="252" s="1"/>
  <c r="BG206" i="252"/>
  <c r="CY210" i="252"/>
  <c r="CX210" i="252" s="1"/>
  <c r="CU210" i="252"/>
  <c r="EB12" i="253"/>
  <c r="EE18" i="253"/>
  <c r="EE23" i="253"/>
  <c r="CY30" i="253"/>
  <c r="EG34" i="253"/>
  <c r="AS34" i="253"/>
  <c r="CK38" i="253"/>
  <c r="CE133" i="252"/>
  <c r="EI134" i="252"/>
  <c r="AB168" i="252"/>
  <c r="AA168" i="252" s="1"/>
  <c r="BB168" i="252"/>
  <c r="BC168" i="252" s="1"/>
  <c r="BK142" i="252"/>
  <c r="CB168" i="252"/>
  <c r="CT168" i="252"/>
  <c r="CS168" i="252" s="1"/>
  <c r="AG143" i="252"/>
  <c r="AF143" i="252" s="1"/>
  <c r="CY143" i="252"/>
  <c r="CX143" i="252" s="1"/>
  <c r="EG143" i="252"/>
  <c r="BK144" i="252"/>
  <c r="BJ144" i="252" s="1"/>
  <c r="AG145" i="252"/>
  <c r="AF145" i="252" s="1"/>
  <c r="CY145" i="252"/>
  <c r="CX145" i="252" s="1"/>
  <c r="EG145" i="252"/>
  <c r="BK146" i="252"/>
  <c r="BJ146" i="252" s="1"/>
  <c r="CE148" i="252"/>
  <c r="CD148" i="252" s="1"/>
  <c r="BU151" i="252"/>
  <c r="BT151" i="252" s="1"/>
  <c r="CY152" i="252"/>
  <c r="CX152" i="252" s="1"/>
  <c r="W153" i="252"/>
  <c r="V153" i="252" s="1"/>
  <c r="CE153" i="252"/>
  <c r="CD153" i="252" s="1"/>
  <c r="EI154" i="252"/>
  <c r="AG156" i="252"/>
  <c r="AF156" i="252" s="1"/>
  <c r="EG158" i="252"/>
  <c r="EV159" i="252"/>
  <c r="EW161" i="252"/>
  <c r="EF161" i="252"/>
  <c r="BC163" i="252"/>
  <c r="BK163" i="252"/>
  <c r="BJ163" i="252" s="1"/>
  <c r="ED164" i="252"/>
  <c r="J161" i="250" s="1"/>
  <c r="AH164" i="257" s="1"/>
  <c r="CG164" i="252"/>
  <c r="CO164" i="252"/>
  <c r="CN164" i="252" s="1"/>
  <c r="EC167" i="252"/>
  <c r="EB167" i="252" s="1"/>
  <c r="EI167" i="252"/>
  <c r="CR180" i="252"/>
  <c r="CY178" i="252"/>
  <c r="CX178" i="252" s="1"/>
  <c r="CQ178" i="252"/>
  <c r="CG180" i="252"/>
  <c r="EF182" i="252"/>
  <c r="DK191" i="252"/>
  <c r="ED200" i="252"/>
  <c r="J197" i="250" s="1"/>
  <c r="AH204" i="257" s="1"/>
  <c r="AN204" i="257" s="1"/>
  <c r="DX200" i="252"/>
  <c r="EU201" i="252"/>
  <c r="DD205" i="252"/>
  <c r="BJ206" i="252"/>
  <c r="ED211" i="252"/>
  <c r="J209" i="250" s="1"/>
  <c r="AH234" i="257" s="1"/>
  <c r="AN234" i="257" s="1"/>
  <c r="DU211" i="252"/>
  <c r="AB27" i="253"/>
  <c r="AG12" i="253"/>
  <c r="AV27" i="253"/>
  <c r="DI12" i="253"/>
  <c r="BE133" i="252"/>
  <c r="BW133" i="252"/>
  <c r="Q138" i="252"/>
  <c r="AI138" i="252"/>
  <c r="AC142" i="252"/>
  <c r="AS168" i="252"/>
  <c r="BC142" i="252"/>
  <c r="CD142" i="252"/>
  <c r="CU142" i="252"/>
  <c r="DR142" i="252"/>
  <c r="Q150" i="252"/>
  <c r="AI150" i="252"/>
  <c r="DN155" i="252"/>
  <c r="EI155" i="252" s="1"/>
  <c r="AS156" i="252"/>
  <c r="DU156" i="252"/>
  <c r="EK157" i="252"/>
  <c r="M154" i="250" s="1"/>
  <c r="AM157" i="257" s="1"/>
  <c r="AN157" i="257" s="1"/>
  <c r="S157" i="252"/>
  <c r="AF157" i="252"/>
  <c r="AS157" i="252"/>
  <c r="EI157" i="252"/>
  <c r="AZ158" i="252"/>
  <c r="O159" i="252"/>
  <c r="BA159" i="252"/>
  <c r="AZ159" i="252" s="1"/>
  <c r="Y160" i="252"/>
  <c r="AG160" i="252"/>
  <c r="AF160" i="252" s="1"/>
  <c r="BY160" i="252"/>
  <c r="CE160" i="252"/>
  <c r="CD160" i="252" s="1"/>
  <c r="EI160" i="252"/>
  <c r="BW161" i="252"/>
  <c r="EK162" i="252"/>
  <c r="M159" i="250" s="1"/>
  <c r="AM162" i="257" s="1"/>
  <c r="AN162" i="257" s="1"/>
  <c r="BK162" i="252"/>
  <c r="BJ162" i="252" s="1"/>
  <c r="AG163" i="252"/>
  <c r="AF163" i="252" s="1"/>
  <c r="DU163" i="252"/>
  <c r="EG164" i="252"/>
  <c r="O164" i="252"/>
  <c r="W164" i="252"/>
  <c r="V164" i="252" s="1"/>
  <c r="EV165" i="252"/>
  <c r="ED165" i="252"/>
  <c r="J162" i="250" s="1"/>
  <c r="AH165" i="257" s="1"/>
  <c r="AJ165" i="257" s="1"/>
  <c r="CI165" i="252"/>
  <c r="EU165" i="252"/>
  <c r="DS166" i="252"/>
  <c r="DR166" i="252" s="1"/>
  <c r="EF167" i="252"/>
  <c r="DO168" i="252"/>
  <c r="AM178" i="252"/>
  <c r="DS180" i="252"/>
  <c r="DR180" i="252" s="1"/>
  <c r="EN179" i="252"/>
  <c r="EO179" i="252" s="1"/>
  <c r="Y180" i="252"/>
  <c r="BC180" i="252"/>
  <c r="EW182" i="252"/>
  <c r="DW191" i="252"/>
  <c r="DT201" i="252"/>
  <c r="DY201" i="252" s="1"/>
  <c r="AC195" i="252"/>
  <c r="CG201" i="252"/>
  <c r="CO201" i="252"/>
  <c r="CN201" i="252" s="1"/>
  <c r="CX195" i="252"/>
  <c r="AC198" i="252"/>
  <c r="CX198" i="252"/>
  <c r="DN198" i="252"/>
  <c r="DS198" i="252" s="1"/>
  <c r="DR198" i="252" s="1"/>
  <c r="EG200" i="252"/>
  <c r="DA200" i="252"/>
  <c r="BQ201" i="252"/>
  <c r="CQ201" i="252"/>
  <c r="CO207" i="252"/>
  <c r="CN207" i="252" s="1"/>
  <c r="CG207" i="252"/>
  <c r="EN210" i="252"/>
  <c r="M27" i="253"/>
  <c r="EP15" i="253"/>
  <c r="EO15" i="253"/>
  <c r="EM15" i="253"/>
  <c r="W25" i="253"/>
  <c r="V25" i="253" s="1"/>
  <c r="EF33" i="253"/>
  <c r="EN33" i="253"/>
  <c r="W161" i="252"/>
  <c r="V161" i="252" s="1"/>
  <c r="W163" i="252"/>
  <c r="V163" i="252" s="1"/>
  <c r="ED163" i="252"/>
  <c r="J160" i="250" s="1"/>
  <c r="AH163" i="257" s="1"/>
  <c r="AL163" i="257" s="1"/>
  <c r="R180" i="252"/>
  <c r="AJ180" i="252"/>
  <c r="AQ184" i="252"/>
  <c r="N185" i="252"/>
  <c r="AT185" i="252"/>
  <c r="EG185" i="252" s="1"/>
  <c r="CH185" i="252"/>
  <c r="CP185" i="252"/>
  <c r="DV185" i="252"/>
  <c r="DV191" i="252" s="1"/>
  <c r="DX194" i="252"/>
  <c r="DX195" i="252" s="1"/>
  <c r="W195" i="252"/>
  <c r="V195" i="252" s="1"/>
  <c r="DS196" i="252"/>
  <c r="DR196" i="252" s="1"/>
  <c r="ED196" i="252"/>
  <c r="J193" i="250" s="1"/>
  <c r="AH200" i="257" s="1"/>
  <c r="AJ200" i="257" s="1"/>
  <c r="W198" i="252"/>
  <c r="V198" i="252" s="1"/>
  <c r="BA206" i="252"/>
  <c r="AZ206" i="252" s="1"/>
  <c r="EK206" i="252"/>
  <c r="M203" i="250" s="1"/>
  <c r="AM210" i="257" s="1"/>
  <c r="AN210" i="257" s="1"/>
  <c r="AG207" i="252"/>
  <c r="AF207" i="252" s="1"/>
  <c r="CY207" i="252"/>
  <c r="CX207" i="252" s="1"/>
  <c r="EV207" i="252"/>
  <c r="W211" i="252"/>
  <c r="V211" i="252" s="1"/>
  <c r="BA211" i="252"/>
  <c r="AZ211" i="252" s="1"/>
  <c r="EG211" i="252"/>
  <c r="DI212" i="252"/>
  <c r="DH212" i="252" s="1"/>
  <c r="DU212" i="252"/>
  <c r="EC212" i="252"/>
  <c r="EB212" i="252" s="1"/>
  <c r="DA215" i="252"/>
  <c r="DI215" i="252"/>
  <c r="DH215" i="252" s="1"/>
  <c r="X27" i="253"/>
  <c r="AQ12" i="253"/>
  <c r="CH27" i="253"/>
  <c r="DB27" i="253"/>
  <c r="DT27" i="253"/>
  <c r="DI13" i="253"/>
  <c r="DH13" i="253" s="1"/>
  <c r="EI13" i="253"/>
  <c r="EH13" i="253" s="1"/>
  <c r="W15" i="253"/>
  <c r="AQ15" i="253"/>
  <c r="EG17" i="253"/>
  <c r="EN17" i="253" s="1"/>
  <c r="R21" i="253"/>
  <c r="AQ21" i="253"/>
  <c r="AP21" i="253" s="1"/>
  <c r="CT21" i="253"/>
  <c r="CY21" i="253" s="1"/>
  <c r="CX21" i="253" s="1"/>
  <c r="DS21" i="253"/>
  <c r="DR21" i="253" s="1"/>
  <c r="EE22" i="253"/>
  <c r="DX27" i="253"/>
  <c r="BF38" i="253"/>
  <c r="BK30" i="253"/>
  <c r="CD30" i="253"/>
  <c r="EC34" i="253"/>
  <c r="EB34" i="253" s="1"/>
  <c r="DI35" i="253"/>
  <c r="DH35" i="253" s="1"/>
  <c r="DN80" i="253"/>
  <c r="DS43" i="253"/>
  <c r="W158" i="252"/>
  <c r="V158" i="252" s="1"/>
  <c r="EC160" i="252"/>
  <c r="EB160" i="252" s="1"/>
  <c r="EC162" i="252"/>
  <c r="EB162" i="252" s="1"/>
  <c r="O165" i="252"/>
  <c r="DA175" i="252"/>
  <c r="Q178" i="252"/>
  <c r="BA178" i="252"/>
  <c r="AZ178" i="252" s="1"/>
  <c r="DA179" i="252"/>
  <c r="BK184" i="252"/>
  <c r="CK184" i="252"/>
  <c r="CK185" i="252" s="1"/>
  <c r="X185" i="252"/>
  <c r="AN185" i="252"/>
  <c r="EK185" i="252" s="1"/>
  <c r="EK191" i="252" s="1"/>
  <c r="BL185" i="252"/>
  <c r="CZ185" i="252"/>
  <c r="CZ191" i="252" s="1"/>
  <c r="DV195" i="252"/>
  <c r="EN197" i="252"/>
  <c r="AD201" i="252"/>
  <c r="AC201" i="252" s="1"/>
  <c r="BD201" i="252"/>
  <c r="BV201" i="252"/>
  <c r="CA201" i="252" s="1"/>
  <c r="CV201" i="252"/>
  <c r="CU201" i="252" s="1"/>
  <c r="DI204" i="252"/>
  <c r="DH204" i="252" s="1"/>
  <c r="EC206" i="252"/>
  <c r="EB206" i="252" s="1"/>
  <c r="Q207" i="252"/>
  <c r="AI207" i="252"/>
  <c r="AC210" i="252"/>
  <c r="BA210" i="252"/>
  <c r="AZ210" i="252" s="1"/>
  <c r="DI210" i="252"/>
  <c r="DH210" i="252" s="1"/>
  <c r="Z27" i="253"/>
  <c r="AR27" i="253"/>
  <c r="AS27" i="253" s="1"/>
  <c r="EG13" i="253"/>
  <c r="AG13" i="253"/>
  <c r="AF13" i="253" s="1"/>
  <c r="EG16" i="253"/>
  <c r="EG18" i="253"/>
  <c r="W18" i="253"/>
  <c r="V18" i="253" s="1"/>
  <c r="O18" i="253"/>
  <c r="CO19" i="253"/>
  <c r="CN19" i="253" s="1"/>
  <c r="EI23" i="253"/>
  <c r="EH23" i="253" s="1"/>
  <c r="W23" i="253"/>
  <c r="V23" i="253" s="1"/>
  <c r="X38" i="253"/>
  <c r="AC38" i="253" s="1"/>
  <c r="Y30" i="253"/>
  <c r="CZ38" i="253"/>
  <c r="DE38" i="253" s="1"/>
  <c r="DA30" i="253"/>
  <c r="EI32" i="253"/>
  <c r="W32" i="253"/>
  <c r="V32" i="253" s="1"/>
  <c r="BA34" i="253"/>
  <c r="AZ34" i="253" s="1"/>
  <c r="BU35" i="253"/>
  <c r="BT35" i="253" s="1"/>
  <c r="AT38" i="253"/>
  <c r="CQ38" i="253"/>
  <c r="BA43" i="253"/>
  <c r="AM160" i="252"/>
  <c r="EI161" i="252"/>
  <c r="AM162" i="252"/>
  <c r="AC164" i="252"/>
  <c r="AC166" i="252"/>
  <c r="BU166" i="252"/>
  <c r="BT166" i="252" s="1"/>
  <c r="EC166" i="252"/>
  <c r="EB166" i="252" s="1"/>
  <c r="CT177" i="252"/>
  <c r="EU177" i="252" s="1"/>
  <c r="EW177" i="252" s="1"/>
  <c r="BK178" i="252"/>
  <c r="BJ178" i="252" s="1"/>
  <c r="CK178" i="252"/>
  <c r="EK178" i="252"/>
  <c r="M175" i="250" s="1"/>
  <c r="AD180" i="252"/>
  <c r="AC180" i="252" s="1"/>
  <c r="AQ182" i="252"/>
  <c r="AP182" i="252" s="1"/>
  <c r="EI182" i="252"/>
  <c r="S184" i="252"/>
  <c r="S185" i="252" s="1"/>
  <c r="BU184" i="252"/>
  <c r="EC184" i="252"/>
  <c r="DD187" i="252"/>
  <c r="DD191" i="252" s="1"/>
  <c r="AQ195" i="252"/>
  <c r="AP195" i="252" s="1"/>
  <c r="EI195" i="252"/>
  <c r="AQ198" i="252"/>
  <c r="AP198" i="252" s="1"/>
  <c r="DD200" i="252"/>
  <c r="AG204" i="252"/>
  <c r="AF204" i="252" s="1"/>
  <c r="CY204" i="252"/>
  <c r="CX204" i="252" s="1"/>
  <c r="EG204" i="252"/>
  <c r="AM206" i="252"/>
  <c r="CE206" i="252"/>
  <c r="CD206" i="252" s="1"/>
  <c r="DS206" i="252"/>
  <c r="DR206" i="252" s="1"/>
  <c r="BA207" i="252"/>
  <c r="AZ207" i="252" s="1"/>
  <c r="EK207" i="252"/>
  <c r="M204" i="250" s="1"/>
  <c r="AM211" i="257" s="1"/>
  <c r="AN211" i="257" s="1"/>
  <c r="DI211" i="252"/>
  <c r="DH211" i="252" s="1"/>
  <c r="ED212" i="252"/>
  <c r="J210" i="250" s="1"/>
  <c r="I27" i="253"/>
  <c r="CP161" i="253"/>
  <c r="CP211" i="253" s="1"/>
  <c r="CU27" i="253"/>
  <c r="DJ27" i="253"/>
  <c r="BZ18" i="253"/>
  <c r="CE18" i="253" s="1"/>
  <c r="CD18" i="253" s="1"/>
  <c r="EG20" i="253"/>
  <c r="W20" i="253"/>
  <c r="V20" i="253" s="1"/>
  <c r="O20" i="253"/>
  <c r="EG21" i="253"/>
  <c r="EF22" i="253"/>
  <c r="DN23" i="253"/>
  <c r="DS23" i="253" s="1"/>
  <c r="DR23" i="253" s="1"/>
  <c r="DK23" i="253"/>
  <c r="AB24" i="253"/>
  <c r="AG24" i="253" s="1"/>
  <c r="AF24" i="253" s="1"/>
  <c r="DD24" i="253"/>
  <c r="DI24" i="253" s="1"/>
  <c r="DH24" i="253" s="1"/>
  <c r="EI33" i="253"/>
  <c r="EH33" i="253" s="1"/>
  <c r="R35" i="253"/>
  <c r="EI35" i="253" s="1"/>
  <c r="EH35" i="253" s="1"/>
  <c r="EE44" i="253"/>
  <c r="BK159" i="252"/>
  <c r="BJ159" i="252" s="1"/>
  <c r="W160" i="252"/>
  <c r="V160" i="252" s="1"/>
  <c r="CO160" i="252"/>
  <c r="CN160" i="252" s="1"/>
  <c r="BA161" i="252"/>
  <c r="AZ161" i="252" s="1"/>
  <c r="EK161" i="252"/>
  <c r="M158" i="250" s="1"/>
  <c r="AM161" i="257" s="1"/>
  <c r="AN161" i="257" s="1"/>
  <c r="W162" i="252"/>
  <c r="V162" i="252" s="1"/>
  <c r="CO162" i="252"/>
  <c r="CN162" i="252" s="1"/>
  <c r="BA163" i="252"/>
  <c r="AZ163" i="252" s="1"/>
  <c r="CE164" i="252"/>
  <c r="CD164" i="252" s="1"/>
  <c r="Q165" i="252"/>
  <c r="AI165" i="252"/>
  <c r="CE166" i="252"/>
  <c r="CD166" i="252" s="1"/>
  <c r="EK167" i="252"/>
  <c r="M164" i="250" s="1"/>
  <c r="AM169" i="257" s="1"/>
  <c r="AN169" i="257" s="1"/>
  <c r="S178" i="252"/>
  <c r="BU178" i="252"/>
  <c r="BT178" i="252" s="1"/>
  <c r="CU178" i="252"/>
  <c r="N180" i="252"/>
  <c r="AN180" i="252"/>
  <c r="AM180" i="252" s="1"/>
  <c r="AV180" i="252"/>
  <c r="AU180" i="252" s="1"/>
  <c r="BN180" i="252"/>
  <c r="CO180" i="252"/>
  <c r="CN180" i="252" s="1"/>
  <c r="BA182" i="252"/>
  <c r="AZ182" i="252" s="1"/>
  <c r="EK182" i="252"/>
  <c r="M179" i="250" s="1"/>
  <c r="AM185" i="257" s="1"/>
  <c r="AN185" i="257" s="1"/>
  <c r="CE184" i="252"/>
  <c r="ED184" i="252"/>
  <c r="J181" i="250" s="1"/>
  <c r="AX185" i="252"/>
  <c r="BF185" i="252"/>
  <c r="EU185" i="252" s="1"/>
  <c r="BA195" i="252"/>
  <c r="AZ195" i="252" s="1"/>
  <c r="EK195" i="252"/>
  <c r="BA198" i="252"/>
  <c r="AZ198" i="252" s="1"/>
  <c r="EK198" i="252"/>
  <c r="M195" i="250" s="1"/>
  <c r="AM202" i="257" s="1"/>
  <c r="AN202" i="257" s="1"/>
  <c r="CY201" i="252"/>
  <c r="CX201" i="252" s="1"/>
  <c r="W206" i="252"/>
  <c r="V206" i="252" s="1"/>
  <c r="CO206" i="252"/>
  <c r="CN206" i="252" s="1"/>
  <c r="S207" i="252"/>
  <c r="BK207" i="252"/>
  <c r="BJ207" i="252" s="1"/>
  <c r="EK210" i="252"/>
  <c r="M208" i="250" s="1"/>
  <c r="AM226" i="257" s="1"/>
  <c r="AN226" i="257" s="1"/>
  <c r="DX213" i="252"/>
  <c r="EC213" i="252" s="1"/>
  <c r="EB213" i="252" s="1"/>
  <c r="BK12" i="253"/>
  <c r="BZ12" i="253"/>
  <c r="EI12" i="253" s="1"/>
  <c r="CR27" i="253"/>
  <c r="CQ12" i="253"/>
  <c r="DL27" i="253"/>
  <c r="DK12" i="253"/>
  <c r="AL16" i="253"/>
  <c r="AQ16" i="253" s="1"/>
  <c r="AP16" i="253" s="1"/>
  <c r="BK16" i="253"/>
  <c r="BJ16" i="253" s="1"/>
  <c r="DN16" i="253"/>
  <c r="DS16" i="253" s="1"/>
  <c r="DR16" i="253" s="1"/>
  <c r="BZ20" i="253"/>
  <c r="CE20" i="253" s="1"/>
  <c r="CD20" i="253" s="1"/>
  <c r="CY20" i="253"/>
  <c r="CX20" i="253" s="1"/>
  <c r="CJ25" i="253"/>
  <c r="CO25" i="253" s="1"/>
  <c r="CN25" i="253" s="1"/>
  <c r="DI25" i="253"/>
  <c r="DH25" i="253" s="1"/>
  <c r="W26" i="253"/>
  <c r="V26" i="253" s="1"/>
  <c r="EI26" i="253"/>
  <c r="EH26" i="253" s="1"/>
  <c r="G38" i="253"/>
  <c r="G211" i="253" s="1"/>
  <c r="AB30" i="253"/>
  <c r="EI30" i="253" s="1"/>
  <c r="AV38" i="253"/>
  <c r="BA30" i="253"/>
  <c r="BP38" i="253"/>
  <c r="BO38" i="253" s="1"/>
  <c r="BU30" i="253"/>
  <c r="DD30" i="253"/>
  <c r="DX38" i="253"/>
  <c r="EC30" i="253"/>
  <c r="EI31" i="253"/>
  <c r="EH31" i="253" s="1"/>
  <c r="W31" i="253"/>
  <c r="V31" i="253" s="1"/>
  <c r="BD80" i="253"/>
  <c r="BC43" i="253"/>
  <c r="DX80" i="253"/>
  <c r="EC43" i="253"/>
  <c r="EC44" i="253"/>
  <c r="EB44" i="253" s="1"/>
  <c r="O160" i="252"/>
  <c r="O162" i="252"/>
  <c r="S163" i="252"/>
  <c r="BA165" i="252"/>
  <c r="AZ165" i="252" s="1"/>
  <c r="W166" i="252"/>
  <c r="V166" i="252" s="1"/>
  <c r="CO166" i="252"/>
  <c r="CN166" i="252" s="1"/>
  <c r="CE178" i="252"/>
  <c r="CD178" i="252" s="1"/>
  <c r="AG180" i="252"/>
  <c r="AF180" i="252" s="1"/>
  <c r="BF180" i="252"/>
  <c r="BX180" i="252"/>
  <c r="BK182" i="252"/>
  <c r="BJ182" i="252" s="1"/>
  <c r="BW184" i="252"/>
  <c r="BW185" i="252" s="1"/>
  <c r="CO184" i="252"/>
  <c r="C221" i="252"/>
  <c r="BK195" i="252"/>
  <c r="BJ195" i="252" s="1"/>
  <c r="BK198" i="252"/>
  <c r="BJ198" i="252" s="1"/>
  <c r="Q204" i="252"/>
  <c r="AI204" i="252"/>
  <c r="O206" i="252"/>
  <c r="AG206" i="252"/>
  <c r="AF206" i="252" s="1"/>
  <c r="CY206" i="252"/>
  <c r="CX206" i="252" s="1"/>
  <c r="BU207" i="252"/>
  <c r="BT207" i="252" s="1"/>
  <c r="DA210" i="252"/>
  <c r="DK211" i="252"/>
  <c r="EW211" i="252"/>
  <c r="EG212" i="252"/>
  <c r="EE12" i="253"/>
  <c r="N27" i="253"/>
  <c r="AH27" i="253"/>
  <c r="BL27" i="253"/>
  <c r="BM27" i="253" s="1"/>
  <c r="CT12" i="253"/>
  <c r="O13" i="253"/>
  <c r="EI16" i="253"/>
  <c r="EH16" i="253" s="1"/>
  <c r="EE19" i="253"/>
  <c r="O19" i="253"/>
  <c r="AL22" i="253"/>
  <c r="AQ22" i="253" s="1"/>
  <c r="AP22" i="253" s="1"/>
  <c r="BK22" i="253"/>
  <c r="BJ22" i="253" s="1"/>
  <c r="DN22" i="253"/>
  <c r="DS22" i="253" s="1"/>
  <c r="DR22" i="253" s="1"/>
  <c r="BP26" i="253"/>
  <c r="BU26" i="253" s="1"/>
  <c r="BT26" i="253" s="1"/>
  <c r="CO26" i="253"/>
  <c r="CN26" i="253" s="1"/>
  <c r="AC27" i="253"/>
  <c r="DF161" i="253"/>
  <c r="DF211" i="253" s="1"/>
  <c r="BB38" i="253"/>
  <c r="BB161" i="253" s="1"/>
  <c r="BB211" i="253" s="1"/>
  <c r="AG33" i="253"/>
  <c r="AF33" i="253" s="1"/>
  <c r="Y33" i="253"/>
  <c r="AG35" i="253"/>
  <c r="AF35" i="253" s="1"/>
  <c r="Y35" i="253"/>
  <c r="CT35" i="253"/>
  <c r="CY35" i="253" s="1"/>
  <c r="CX35" i="253" s="1"/>
  <c r="CQ35" i="253"/>
  <c r="EC36" i="253"/>
  <c r="EB36" i="253" s="1"/>
  <c r="EG43" i="253"/>
  <c r="O166" i="252"/>
  <c r="ED178" i="252"/>
  <c r="J175" i="250" s="1"/>
  <c r="BO184" i="252"/>
  <c r="BO185" i="252" s="1"/>
  <c r="Q201" i="252"/>
  <c r="AI201" i="252"/>
  <c r="AU207" i="252"/>
  <c r="DK213" i="252"/>
  <c r="DS213" i="252"/>
  <c r="DR213" i="252" s="1"/>
  <c r="EG12" i="253"/>
  <c r="W12" i="253"/>
  <c r="P27" i="253"/>
  <c r="O12" i="253"/>
  <c r="AJ27" i="253"/>
  <c r="AI12" i="253"/>
  <c r="BA27" i="253"/>
  <c r="CZ27" i="253"/>
  <c r="CZ161" i="253" s="1"/>
  <c r="CZ211" i="253" s="1"/>
  <c r="DS12" i="253"/>
  <c r="DN27" i="253"/>
  <c r="W14" i="253"/>
  <c r="EE21" i="253"/>
  <c r="O21" i="253"/>
  <c r="EG23" i="253"/>
  <c r="DU23" i="253"/>
  <c r="EE24" i="253"/>
  <c r="EF25" i="253"/>
  <c r="BW27" i="253"/>
  <c r="M38" i="253"/>
  <c r="CN30" i="253"/>
  <c r="O38" i="253"/>
  <c r="DV38" i="253"/>
  <c r="DV161" i="253" s="1"/>
  <c r="DV211" i="253" s="1"/>
  <c r="AL80" i="253"/>
  <c r="AQ43" i="253"/>
  <c r="EK212" i="252"/>
  <c r="M210" i="250" s="1"/>
  <c r="AM232" i="257" s="1"/>
  <c r="AN232" i="257" s="1"/>
  <c r="W212" i="252"/>
  <c r="V212" i="252" s="1"/>
  <c r="ED213" i="252"/>
  <c r="EF213" i="252" s="1"/>
  <c r="R27" i="253"/>
  <c r="BP27" i="253"/>
  <c r="BU12" i="253"/>
  <c r="EI19" i="253"/>
  <c r="AL23" i="253"/>
  <c r="AQ23" i="253" s="1"/>
  <c r="AP23" i="253" s="1"/>
  <c r="AI23" i="253"/>
  <c r="EC23" i="253"/>
  <c r="EB23" i="253" s="1"/>
  <c r="EE38" i="253"/>
  <c r="EI34" i="253"/>
  <c r="EI37" i="253"/>
  <c r="EH37" i="253" s="1"/>
  <c r="BZ38" i="253"/>
  <c r="BY38" i="253" s="1"/>
  <c r="D43" i="253"/>
  <c r="G80" i="253"/>
  <c r="V43" i="253"/>
  <c r="BA44" i="253"/>
  <c r="AZ44" i="253" s="1"/>
  <c r="AG16" i="253"/>
  <c r="AF16" i="253" s="1"/>
  <c r="AG22" i="253"/>
  <c r="AF22" i="253" s="1"/>
  <c r="W24" i="253"/>
  <c r="V24" i="253" s="1"/>
  <c r="EG24" i="253"/>
  <c r="J27" i="253"/>
  <c r="J38" i="253"/>
  <c r="W30" i="253"/>
  <c r="BD38" i="253"/>
  <c r="EG30" i="253"/>
  <c r="EE31" i="253"/>
  <c r="W34" i="253"/>
  <c r="V34" i="253" s="1"/>
  <c r="EI36" i="253"/>
  <c r="DA36" i="253"/>
  <c r="N38" i="253"/>
  <c r="S38" i="253" s="1"/>
  <c r="BG38" i="253"/>
  <c r="AI43" i="253"/>
  <c r="AJ80" i="253"/>
  <c r="BB80" i="253"/>
  <c r="BP80" i="253"/>
  <c r="DL80" i="253"/>
  <c r="DK43" i="253"/>
  <c r="BM48" i="253"/>
  <c r="DU48" i="253"/>
  <c r="DX48" i="253"/>
  <c r="EC48" i="253" s="1"/>
  <c r="EB48" i="253" s="1"/>
  <c r="AV50" i="253"/>
  <c r="BA50" i="253" s="1"/>
  <c r="AZ50" i="253" s="1"/>
  <c r="BU50" i="253"/>
  <c r="BT50" i="253" s="1"/>
  <c r="DU50" i="253"/>
  <c r="Y52" i="253"/>
  <c r="AG52" i="253"/>
  <c r="AF52" i="253" s="1"/>
  <c r="DI52" i="253"/>
  <c r="DH52" i="253" s="1"/>
  <c r="EE53" i="253"/>
  <c r="EG54" i="253"/>
  <c r="AS55" i="253"/>
  <c r="AV55" i="253"/>
  <c r="BA55" i="253" s="1"/>
  <c r="AZ55" i="253" s="1"/>
  <c r="AG74" i="253"/>
  <c r="AF74" i="253" s="1"/>
  <c r="EE26" i="253"/>
  <c r="EG31" i="253"/>
  <c r="EE32" i="253"/>
  <c r="EE34" i="253"/>
  <c r="W36" i="253"/>
  <c r="V36" i="253" s="1"/>
  <c r="CA38" i="253"/>
  <c r="BU80" i="253"/>
  <c r="CO43" i="253"/>
  <c r="DI43" i="253"/>
  <c r="EI43" i="253"/>
  <c r="EG44" i="253"/>
  <c r="BM44" i="253"/>
  <c r="CQ44" i="253"/>
  <c r="BC45" i="253"/>
  <c r="EG45" i="253"/>
  <c r="BW46" i="253"/>
  <c r="CQ46" i="253"/>
  <c r="CG54" i="253"/>
  <c r="CJ54" i="253"/>
  <c r="CO54" i="253" s="1"/>
  <c r="CN54" i="253" s="1"/>
  <c r="BC26" i="253"/>
  <c r="BG27" i="253"/>
  <c r="Z38" i="253"/>
  <c r="Y38" i="253" s="1"/>
  <c r="CF38" i="253"/>
  <c r="CF161" i="253" s="1"/>
  <c r="CF211" i="253" s="1"/>
  <c r="DB38" i="253"/>
  <c r="DA38" i="253" s="1"/>
  <c r="AG32" i="253"/>
  <c r="AF32" i="253" s="1"/>
  <c r="EG35" i="253"/>
  <c r="CG36" i="253"/>
  <c r="Y37" i="253"/>
  <c r="AQ37" i="253"/>
  <c r="AP37" i="253" s="1"/>
  <c r="DA37" i="253"/>
  <c r="DS37" i="253"/>
  <c r="DR37" i="253" s="1"/>
  <c r="CJ39" i="253"/>
  <c r="BP41" i="253"/>
  <c r="M80" i="253"/>
  <c r="BF43" i="253"/>
  <c r="BV80" i="253"/>
  <c r="R44" i="253"/>
  <c r="CT44" i="253"/>
  <c r="CY44" i="253" s="1"/>
  <c r="CX44" i="253" s="1"/>
  <c r="Y45" i="253"/>
  <c r="BF45" i="253"/>
  <c r="BK45" i="253" s="1"/>
  <c r="BJ45" i="253" s="1"/>
  <c r="BW45" i="253"/>
  <c r="DA45" i="253"/>
  <c r="O46" i="253"/>
  <c r="EG46" i="253"/>
  <c r="W46" i="253"/>
  <c r="V46" i="253" s="1"/>
  <c r="AS46" i="253"/>
  <c r="BZ46" i="253"/>
  <c r="CE46" i="253" s="1"/>
  <c r="CD46" i="253" s="1"/>
  <c r="EE46" i="253"/>
  <c r="EE80" i="253" s="1"/>
  <c r="O47" i="253"/>
  <c r="EE47" i="253"/>
  <c r="R47" i="253"/>
  <c r="EG47" i="253"/>
  <c r="O49" i="253"/>
  <c r="EG49" i="253"/>
  <c r="BW49" i="253"/>
  <c r="BZ49" i="253"/>
  <c r="CE49" i="253" s="1"/>
  <c r="CD49" i="253" s="1"/>
  <c r="O51" i="253"/>
  <c r="EG51" i="253"/>
  <c r="W51" i="253"/>
  <c r="V51" i="253" s="1"/>
  <c r="EE52" i="253"/>
  <c r="EF52" i="253" s="1"/>
  <c r="W53" i="253"/>
  <c r="V53" i="253" s="1"/>
  <c r="Y54" i="253"/>
  <c r="AG54" i="253"/>
  <c r="AF54" i="253" s="1"/>
  <c r="DI54" i="253"/>
  <c r="DH54" i="253" s="1"/>
  <c r="W59" i="253"/>
  <c r="V59" i="253" s="1"/>
  <c r="EF61" i="253"/>
  <c r="EF62" i="253"/>
  <c r="W67" i="253"/>
  <c r="V67" i="253" s="1"/>
  <c r="EF69" i="253"/>
  <c r="EF70" i="253"/>
  <c r="EE25" i="253"/>
  <c r="AL38" i="253"/>
  <c r="AK38" i="253" s="1"/>
  <c r="DN38" i="253"/>
  <c r="DM38" i="253" s="1"/>
  <c r="EG32" i="253"/>
  <c r="BP40" i="253"/>
  <c r="N80" i="253"/>
  <c r="Z80" i="253"/>
  <c r="AG43" i="253"/>
  <c r="BX80" i="253"/>
  <c r="BX161" i="253" s="1"/>
  <c r="BX211" i="253" s="1"/>
  <c r="BW43" i="253"/>
  <c r="CP80" i="253"/>
  <c r="AB45" i="253"/>
  <c r="AG45" i="253" s="1"/>
  <c r="AF45" i="253" s="1"/>
  <c r="BA45" i="253"/>
  <c r="AZ45" i="253" s="1"/>
  <c r="DD45" i="253"/>
  <c r="DI45" i="253" s="1"/>
  <c r="DH45" i="253" s="1"/>
  <c r="EC45" i="253"/>
  <c r="EB45" i="253" s="1"/>
  <c r="AV46" i="253"/>
  <c r="BA46" i="253" s="1"/>
  <c r="AZ46" i="253" s="1"/>
  <c r="BU46" i="253"/>
  <c r="BT46" i="253" s="1"/>
  <c r="AI47" i="253"/>
  <c r="CQ47" i="253"/>
  <c r="CT47" i="253"/>
  <c r="CY47" i="253" s="1"/>
  <c r="CX47" i="253" s="1"/>
  <c r="W48" i="253"/>
  <c r="V48" i="253" s="1"/>
  <c r="EI48" i="253"/>
  <c r="EH48" i="253" s="1"/>
  <c r="R49" i="253"/>
  <c r="W49" i="253" s="1"/>
  <c r="V49" i="253" s="1"/>
  <c r="AQ49" i="253"/>
  <c r="AP49" i="253" s="1"/>
  <c r="CQ49" i="253"/>
  <c r="W50" i="253"/>
  <c r="V50" i="253" s="1"/>
  <c r="EG50" i="253"/>
  <c r="BC51" i="253"/>
  <c r="BF51" i="253"/>
  <c r="BK51" i="253" s="1"/>
  <c r="BJ51" i="253" s="1"/>
  <c r="EE51" i="253"/>
  <c r="DU53" i="253"/>
  <c r="DX53" i="253"/>
  <c r="EC53" i="253" s="1"/>
  <c r="EB53" i="253" s="1"/>
  <c r="AS12" i="253"/>
  <c r="DU12" i="253"/>
  <c r="EG14" i="253"/>
  <c r="EN14" i="253" s="1"/>
  <c r="O25" i="253"/>
  <c r="CJ27" i="253"/>
  <c r="BW30" i="253"/>
  <c r="CH38" i="253"/>
  <c r="CG38" i="253" s="1"/>
  <c r="AS35" i="253"/>
  <c r="EE36" i="253"/>
  <c r="CO37" i="253"/>
  <c r="CN37" i="253" s="1"/>
  <c r="DX41" i="253"/>
  <c r="AT80" i="253"/>
  <c r="AT161" i="253" s="1"/>
  <c r="AT211" i="253" s="1"/>
  <c r="AS53" i="253"/>
  <c r="AV53" i="253"/>
  <c r="BA53" i="253" s="1"/>
  <c r="AZ53" i="253" s="1"/>
  <c r="W57" i="253"/>
  <c r="V57" i="253" s="1"/>
  <c r="EF60" i="253"/>
  <c r="W65" i="253"/>
  <c r="V65" i="253" s="1"/>
  <c r="EF67" i="253"/>
  <c r="EF68" i="253"/>
  <c r="W73" i="253"/>
  <c r="V73" i="253" s="1"/>
  <c r="EI74" i="253"/>
  <c r="EH74" i="253" s="1"/>
  <c r="AG21" i="253"/>
  <c r="AF21" i="253" s="1"/>
  <c r="O23" i="253"/>
  <c r="R24" i="253"/>
  <c r="CK27" i="253"/>
  <c r="CK161" i="253" s="1"/>
  <c r="CK211" i="253" s="1"/>
  <c r="C38" i="253"/>
  <c r="AQ30" i="253"/>
  <c r="DS30" i="253"/>
  <c r="W33" i="253"/>
  <c r="V33" i="253" s="1"/>
  <c r="AG36" i="253"/>
  <c r="AF36" i="253" s="1"/>
  <c r="EE37" i="253"/>
  <c r="EF37" i="253" s="1"/>
  <c r="O37" i="253"/>
  <c r="AS37" i="253"/>
  <c r="DU37" i="253"/>
  <c r="AM38" i="253"/>
  <c r="DO38" i="253"/>
  <c r="CT39" i="253"/>
  <c r="DX40" i="253"/>
  <c r="D44" i="253"/>
  <c r="DS47" i="253"/>
  <c r="DR47" i="253" s="1"/>
  <c r="Y50" i="253"/>
  <c r="AB50" i="253"/>
  <c r="AG50" i="253" s="1"/>
  <c r="AF50" i="253" s="1"/>
  <c r="CE51" i="253"/>
  <c r="CD51" i="253" s="1"/>
  <c r="EG53" i="253"/>
  <c r="BU53" i="253"/>
  <c r="BT53" i="253" s="1"/>
  <c r="EE54" i="253"/>
  <c r="W55" i="253"/>
  <c r="V55" i="253" s="1"/>
  <c r="AR38" i="253"/>
  <c r="AW38" i="253" s="1"/>
  <c r="BN38" i="253"/>
  <c r="BM38" i="253" s="1"/>
  <c r="CJ38" i="253"/>
  <c r="CI38" i="253" s="1"/>
  <c r="DT38" i="253"/>
  <c r="DY38" i="253" s="1"/>
  <c r="EG36" i="253"/>
  <c r="CD43" i="253"/>
  <c r="EN48" i="253"/>
  <c r="AS48" i="253"/>
  <c r="AV48" i="253"/>
  <c r="BA48" i="253" s="1"/>
  <c r="AZ48" i="253" s="1"/>
  <c r="DA50" i="253"/>
  <c r="DD50" i="253"/>
  <c r="DI50" i="253" s="1"/>
  <c r="DH50" i="253" s="1"/>
  <c r="CG52" i="253"/>
  <c r="CJ52" i="253"/>
  <c r="CO52" i="253" s="1"/>
  <c r="CN52" i="253" s="1"/>
  <c r="EF57" i="253"/>
  <c r="EF58" i="253"/>
  <c r="W63" i="253"/>
  <c r="V63" i="253" s="1"/>
  <c r="EF65" i="253"/>
  <c r="EF66" i="253"/>
  <c r="W71" i="253"/>
  <c r="V71" i="253" s="1"/>
  <c r="EF73" i="253"/>
  <c r="P80" i="253"/>
  <c r="CG43" i="253"/>
  <c r="CR80" i="253"/>
  <c r="O44" i="253"/>
  <c r="AI73" i="253"/>
  <c r="W76" i="253"/>
  <c r="V76" i="253" s="1"/>
  <c r="EG76" i="253"/>
  <c r="BC78" i="253"/>
  <c r="O79" i="253"/>
  <c r="N88" i="253"/>
  <c r="AH88" i="253"/>
  <c r="AV88" i="253"/>
  <c r="CJ83" i="253"/>
  <c r="DD88" i="253"/>
  <c r="DI83" i="253"/>
  <c r="D87" i="253"/>
  <c r="DL88" i="253"/>
  <c r="DN106" i="253"/>
  <c r="DS91" i="253"/>
  <c r="EI94" i="253"/>
  <c r="EH94" i="253" s="1"/>
  <c r="W94" i="253"/>
  <c r="V94" i="253" s="1"/>
  <c r="BL80" i="253"/>
  <c r="Y48" i="253"/>
  <c r="R52" i="253"/>
  <c r="Y53" i="253"/>
  <c r="R54" i="253"/>
  <c r="Y55" i="253"/>
  <c r="R56" i="253"/>
  <c r="Y57" i="253"/>
  <c r="R58" i="253"/>
  <c r="R60" i="253"/>
  <c r="Y61" i="253"/>
  <c r="R62" i="253"/>
  <c r="EI62" i="253" s="1"/>
  <c r="EH62" i="253" s="1"/>
  <c r="Y63" i="253"/>
  <c r="R64" i="253"/>
  <c r="Y65" i="253"/>
  <c r="R66" i="253"/>
  <c r="Y67" i="253"/>
  <c r="R68" i="253"/>
  <c r="Y69" i="253"/>
  <c r="Y71" i="253"/>
  <c r="Y73" i="253"/>
  <c r="DD76" i="253"/>
  <c r="DI76" i="253" s="1"/>
  <c r="DH76" i="253" s="1"/>
  <c r="Y77" i="253"/>
  <c r="EG77" i="253"/>
  <c r="AG78" i="253"/>
  <c r="AF78" i="253" s="1"/>
  <c r="BZ82" i="253"/>
  <c r="BA83" i="253"/>
  <c r="DJ88" i="253"/>
  <c r="DX88" i="253"/>
  <c r="BF106" i="253"/>
  <c r="BK91" i="253"/>
  <c r="BZ106" i="253"/>
  <c r="CE91" i="253"/>
  <c r="CT106" i="253"/>
  <c r="CY91" i="253"/>
  <c r="EF97" i="253"/>
  <c r="EN97" i="253"/>
  <c r="EI100" i="253"/>
  <c r="EH100" i="253" s="1"/>
  <c r="W100" i="253"/>
  <c r="V100" i="253" s="1"/>
  <c r="DD113" i="253"/>
  <c r="DI109" i="253"/>
  <c r="EB109" i="253"/>
  <c r="DX55" i="253"/>
  <c r="EC55" i="253" s="1"/>
  <c r="EB55" i="253" s="1"/>
  <c r="AG56" i="253"/>
  <c r="AF56" i="253" s="1"/>
  <c r="CJ56" i="253"/>
  <c r="CO56" i="253" s="1"/>
  <c r="CN56" i="253" s="1"/>
  <c r="AV57" i="253"/>
  <c r="BA57" i="253" s="1"/>
  <c r="AZ57" i="253" s="1"/>
  <c r="DX57" i="253"/>
  <c r="EC57" i="253" s="1"/>
  <c r="EB57" i="253" s="1"/>
  <c r="AG58" i="253"/>
  <c r="AF58" i="253" s="1"/>
  <c r="CJ58" i="253"/>
  <c r="CO58" i="253" s="1"/>
  <c r="CN58" i="253" s="1"/>
  <c r="AV59" i="253"/>
  <c r="BA59" i="253" s="1"/>
  <c r="AZ59" i="253" s="1"/>
  <c r="DX59" i="253"/>
  <c r="EC59" i="253" s="1"/>
  <c r="EB59" i="253" s="1"/>
  <c r="AG60" i="253"/>
  <c r="AF60" i="253" s="1"/>
  <c r="CJ60" i="253"/>
  <c r="CO60" i="253" s="1"/>
  <c r="CN60" i="253" s="1"/>
  <c r="AV61" i="253"/>
  <c r="BA61" i="253" s="1"/>
  <c r="AZ61" i="253" s="1"/>
  <c r="DX61" i="253"/>
  <c r="EC61" i="253" s="1"/>
  <c r="EB61" i="253" s="1"/>
  <c r="AG62" i="253"/>
  <c r="AF62" i="253" s="1"/>
  <c r="CJ62" i="253"/>
  <c r="CO62" i="253" s="1"/>
  <c r="CN62" i="253" s="1"/>
  <c r="AV63" i="253"/>
  <c r="BA63" i="253" s="1"/>
  <c r="AZ63" i="253" s="1"/>
  <c r="DX63" i="253"/>
  <c r="EC63" i="253" s="1"/>
  <c r="EB63" i="253" s="1"/>
  <c r="AG64" i="253"/>
  <c r="AF64" i="253" s="1"/>
  <c r="CJ64" i="253"/>
  <c r="CO64" i="253" s="1"/>
  <c r="CN64" i="253" s="1"/>
  <c r="AV65" i="253"/>
  <c r="BA65" i="253" s="1"/>
  <c r="AZ65" i="253" s="1"/>
  <c r="DX65" i="253"/>
  <c r="EC65" i="253" s="1"/>
  <c r="EB65" i="253" s="1"/>
  <c r="AG66" i="253"/>
  <c r="AF66" i="253" s="1"/>
  <c r="CJ66" i="253"/>
  <c r="CO66" i="253" s="1"/>
  <c r="CN66" i="253" s="1"/>
  <c r="AV67" i="253"/>
  <c r="BA67" i="253" s="1"/>
  <c r="AZ67" i="253" s="1"/>
  <c r="DX67" i="253"/>
  <c r="EC67" i="253" s="1"/>
  <c r="EB67" i="253" s="1"/>
  <c r="AG68" i="253"/>
  <c r="AF68" i="253" s="1"/>
  <c r="CJ68" i="253"/>
  <c r="CO68" i="253" s="1"/>
  <c r="CN68" i="253" s="1"/>
  <c r="AV69" i="253"/>
  <c r="BA69" i="253" s="1"/>
  <c r="AZ69" i="253" s="1"/>
  <c r="DX69" i="253"/>
  <c r="EC69" i="253" s="1"/>
  <c r="EB69" i="253" s="1"/>
  <c r="AG70" i="253"/>
  <c r="AF70" i="253" s="1"/>
  <c r="CJ70" i="253"/>
  <c r="CO70" i="253" s="1"/>
  <c r="CN70" i="253" s="1"/>
  <c r="AV71" i="253"/>
  <c r="BA71" i="253" s="1"/>
  <c r="AZ71" i="253" s="1"/>
  <c r="DX71" i="253"/>
  <c r="EC71" i="253" s="1"/>
  <c r="EB71" i="253" s="1"/>
  <c r="AG72" i="253"/>
  <c r="AF72" i="253" s="1"/>
  <c r="CJ72" i="253"/>
  <c r="CO72" i="253" s="1"/>
  <c r="CN72" i="253" s="1"/>
  <c r="AV73" i="253"/>
  <c r="BA73" i="253" s="1"/>
  <c r="AZ73" i="253" s="1"/>
  <c r="DX73" i="253"/>
  <c r="EC73" i="253" s="1"/>
  <c r="EB73" i="253" s="1"/>
  <c r="W74" i="253"/>
  <c r="V74" i="253" s="1"/>
  <c r="BZ74" i="253"/>
  <c r="CE74" i="253" s="1"/>
  <c r="CD74" i="253" s="1"/>
  <c r="EG74" i="253"/>
  <c r="AL75" i="253"/>
  <c r="AQ75" i="253" s="1"/>
  <c r="AP75" i="253" s="1"/>
  <c r="DN75" i="253"/>
  <c r="DS75" i="253" s="1"/>
  <c r="DR75" i="253" s="1"/>
  <c r="BF76" i="253"/>
  <c r="BK76" i="253" s="1"/>
  <c r="BJ76" i="253" s="1"/>
  <c r="AB78" i="253"/>
  <c r="EI79" i="253"/>
  <c r="O84" i="253"/>
  <c r="EE84" i="253"/>
  <c r="R84" i="253"/>
  <c r="EG84" i="253"/>
  <c r="O85" i="253"/>
  <c r="EG85" i="253"/>
  <c r="W85" i="253"/>
  <c r="V85" i="253" s="1"/>
  <c r="DB88" i="253"/>
  <c r="AQ91" i="253"/>
  <c r="AP91" i="253" s="1"/>
  <c r="AL106" i="253"/>
  <c r="AQ106" i="253" s="1"/>
  <c r="AP106" i="253" s="1"/>
  <c r="EI102" i="253"/>
  <c r="EH102" i="253" s="1"/>
  <c r="W102" i="253"/>
  <c r="V102" i="253" s="1"/>
  <c r="J80" i="253"/>
  <c r="F80" i="253" s="1"/>
  <c r="AR80" i="253"/>
  <c r="BN80" i="253"/>
  <c r="DT80" i="253"/>
  <c r="W52" i="253"/>
  <c r="V52" i="253" s="1"/>
  <c r="W54" i="253"/>
  <c r="V54" i="253" s="1"/>
  <c r="W56" i="253"/>
  <c r="V56" i="253" s="1"/>
  <c r="W60" i="253"/>
  <c r="V60" i="253" s="1"/>
  <c r="W66" i="253"/>
  <c r="V66" i="253" s="1"/>
  <c r="W68" i="253"/>
  <c r="V68" i="253" s="1"/>
  <c r="W70" i="253"/>
  <c r="V70" i="253" s="1"/>
  <c r="W72" i="253"/>
  <c r="V72" i="253" s="1"/>
  <c r="O77" i="253"/>
  <c r="DI77" i="253"/>
  <c r="DH77" i="253" s="1"/>
  <c r="O78" i="253"/>
  <c r="W79" i="253"/>
  <c r="V79" i="253" s="1"/>
  <c r="EI83" i="253"/>
  <c r="W83" i="253"/>
  <c r="AQ83" i="253"/>
  <c r="AL88" i="253"/>
  <c r="AI84" i="253"/>
  <c r="AJ88" i="253"/>
  <c r="CQ84" i="253"/>
  <c r="CT84" i="253"/>
  <c r="CY84" i="253" s="1"/>
  <c r="CX84" i="253" s="1"/>
  <c r="BC85" i="253"/>
  <c r="BF85" i="253"/>
  <c r="BK85" i="253" s="1"/>
  <c r="BJ85" i="253" s="1"/>
  <c r="P88" i="253"/>
  <c r="BX88" i="253"/>
  <c r="EC88" i="253"/>
  <c r="R106" i="253"/>
  <c r="EF93" i="253"/>
  <c r="EN93" i="253"/>
  <c r="EI96" i="253"/>
  <c r="EH96" i="253" s="1"/>
  <c r="W96" i="253"/>
  <c r="V96" i="253" s="1"/>
  <c r="EE75" i="253"/>
  <c r="EF75" i="253" s="1"/>
  <c r="EE79" i="253"/>
  <c r="G88" i="253"/>
  <c r="EE83" i="253"/>
  <c r="BK83" i="253"/>
  <c r="BF88" i="253"/>
  <c r="CY83" i="253"/>
  <c r="DS83" i="253"/>
  <c r="DN88" i="253"/>
  <c r="O86" i="253"/>
  <c r="EE86" i="253"/>
  <c r="R86" i="253"/>
  <c r="R88" i="253" s="1"/>
  <c r="EG86" i="253"/>
  <c r="O87" i="253"/>
  <c r="EG87" i="253"/>
  <c r="W87" i="253"/>
  <c r="V87" i="253" s="1"/>
  <c r="EF99" i="253"/>
  <c r="EN99" i="253"/>
  <c r="W37" i="253"/>
  <c r="V37" i="253" s="1"/>
  <c r="X80" i="253"/>
  <c r="CZ80" i="253"/>
  <c r="DV80" i="253"/>
  <c r="BC75" i="253"/>
  <c r="BW76" i="253"/>
  <c r="CJ76" i="253"/>
  <c r="CO76" i="253" s="1"/>
  <c r="CN76" i="253" s="1"/>
  <c r="R78" i="253"/>
  <c r="BA78" i="253"/>
  <c r="AZ78" i="253" s="1"/>
  <c r="DK79" i="253"/>
  <c r="EG79" i="253"/>
  <c r="AL82" i="253"/>
  <c r="DN82" i="253"/>
  <c r="F88" i="253"/>
  <c r="Z88" i="253"/>
  <c r="Y83" i="253"/>
  <c r="EG83" i="253"/>
  <c r="AG83" i="253"/>
  <c r="CE83" i="253"/>
  <c r="BZ88" i="253"/>
  <c r="DN84" i="253"/>
  <c r="DS84" i="253" s="1"/>
  <c r="DR84" i="253" s="1"/>
  <c r="C88" i="253"/>
  <c r="BZ85" i="253"/>
  <c r="CE85" i="253" s="1"/>
  <c r="CD85" i="253" s="1"/>
  <c r="CY85" i="253"/>
  <c r="CX85" i="253" s="1"/>
  <c r="AI86" i="253"/>
  <c r="CQ86" i="253"/>
  <c r="CT86" i="253"/>
  <c r="CY86" i="253" s="1"/>
  <c r="CX86" i="253" s="1"/>
  <c r="BC87" i="253"/>
  <c r="BF87" i="253"/>
  <c r="BK87" i="253" s="1"/>
  <c r="BJ87" i="253" s="1"/>
  <c r="BU106" i="253"/>
  <c r="BT91" i="253"/>
  <c r="EI92" i="253"/>
  <c r="EH92" i="253" s="1"/>
  <c r="W92" i="253"/>
  <c r="V92" i="253" s="1"/>
  <c r="EI99" i="253"/>
  <c r="EH99" i="253" s="1"/>
  <c r="AZ109" i="253"/>
  <c r="BM83" i="253"/>
  <c r="BL88" i="253"/>
  <c r="BP83" i="253"/>
  <c r="EI87" i="253"/>
  <c r="EH87" i="253" s="1"/>
  <c r="EF95" i="253"/>
  <c r="EI98" i="253"/>
  <c r="EH98" i="253" s="1"/>
  <c r="W98" i="253"/>
  <c r="V98" i="253" s="1"/>
  <c r="EF101" i="253"/>
  <c r="BW77" i="253"/>
  <c r="CJ77" i="253"/>
  <c r="CO77" i="253" s="1"/>
  <c r="CN77" i="253" s="1"/>
  <c r="AB88" i="253"/>
  <c r="CH88" i="253"/>
  <c r="CG83" i="253"/>
  <c r="DS86" i="253"/>
  <c r="DR86" i="253" s="1"/>
  <c r="CE87" i="253"/>
  <c r="CD87" i="253" s="1"/>
  <c r="BD88" i="253"/>
  <c r="EI95" i="253"/>
  <c r="EH95" i="253" s="1"/>
  <c r="EI101" i="253"/>
  <c r="EH101" i="253" s="1"/>
  <c r="BC83" i="253"/>
  <c r="AV91" i="253"/>
  <c r="DX91" i="253"/>
  <c r="AG92" i="253"/>
  <c r="AF92" i="253" s="1"/>
  <c r="AG94" i="253"/>
  <c r="AF94" i="253" s="1"/>
  <c r="AG96" i="253"/>
  <c r="AF96" i="253" s="1"/>
  <c r="AG98" i="253"/>
  <c r="AF98" i="253" s="1"/>
  <c r="AG100" i="253"/>
  <c r="AF100" i="253" s="1"/>
  <c r="O101" i="253"/>
  <c r="AG102" i="253"/>
  <c r="AF102" i="253" s="1"/>
  <c r="EG103" i="253"/>
  <c r="W104" i="253"/>
  <c r="V104" i="253" s="1"/>
  <c r="BM104" i="253"/>
  <c r="DA104" i="253"/>
  <c r="BN106" i="253"/>
  <c r="DV106" i="253"/>
  <c r="BP108" i="253"/>
  <c r="D109" i="253"/>
  <c r="AV113" i="253"/>
  <c r="BN113" i="253"/>
  <c r="DX113" i="253"/>
  <c r="R110" i="253"/>
  <c r="R113" i="253" s="1"/>
  <c r="DA110" i="253"/>
  <c r="CG111" i="253"/>
  <c r="EC112" i="253"/>
  <c r="EB112" i="253" s="1"/>
  <c r="G123" i="253"/>
  <c r="BB123" i="253"/>
  <c r="CE118" i="253"/>
  <c r="CD118" i="253" s="1"/>
  <c r="F128" i="253"/>
  <c r="BF128" i="253"/>
  <c r="BK126" i="253"/>
  <c r="DS126" i="253"/>
  <c r="DN128" i="253"/>
  <c r="EF150" i="253"/>
  <c r="CG91" i="253"/>
  <c r="EG92" i="253"/>
  <c r="EG94" i="253"/>
  <c r="EG96" i="253"/>
  <c r="EG98" i="253"/>
  <c r="EG100" i="253"/>
  <c r="EG102" i="253"/>
  <c r="AG103" i="253"/>
  <c r="AF103" i="253" s="1"/>
  <c r="AL104" i="253"/>
  <c r="AQ104" i="253" s="1"/>
  <c r="AP104" i="253" s="1"/>
  <c r="AV108" i="253"/>
  <c r="EI109" i="253"/>
  <c r="W109" i="253"/>
  <c r="CY113" i="253"/>
  <c r="CX109" i="253"/>
  <c r="DL113" i="253"/>
  <c r="EI111" i="253"/>
  <c r="EH111" i="253" s="1"/>
  <c r="W111" i="253"/>
  <c r="V111" i="253" s="1"/>
  <c r="CJ111" i="253"/>
  <c r="CO111" i="253" s="1"/>
  <c r="CN111" i="253" s="1"/>
  <c r="EG112" i="253"/>
  <c r="W112" i="253"/>
  <c r="V112" i="253" s="1"/>
  <c r="BV113" i="253"/>
  <c r="BW112" i="253"/>
  <c r="CZ113" i="253"/>
  <c r="M123" i="253"/>
  <c r="CO123" i="253"/>
  <c r="CN117" i="253"/>
  <c r="EI118" i="253"/>
  <c r="EH118" i="253" s="1"/>
  <c r="W118" i="253"/>
  <c r="V118" i="253" s="1"/>
  <c r="AG126" i="253"/>
  <c r="AB128" i="253"/>
  <c r="BZ128" i="253"/>
  <c r="CE126" i="253"/>
  <c r="CM161" i="253"/>
  <c r="CM211" i="253" s="1"/>
  <c r="X88" i="253"/>
  <c r="AB91" i="253"/>
  <c r="DD91" i="253"/>
  <c r="EI103" i="253"/>
  <c r="EH103" i="253" s="1"/>
  <c r="AV105" i="253"/>
  <c r="BA105" i="253" s="1"/>
  <c r="AZ105" i="253" s="1"/>
  <c r="CJ105" i="253"/>
  <c r="CO105" i="253" s="1"/>
  <c r="CN105" i="253" s="1"/>
  <c r="DX105" i="253"/>
  <c r="EC105" i="253" s="1"/>
  <c r="EB105" i="253" s="1"/>
  <c r="DB106" i="253"/>
  <c r="BB113" i="253"/>
  <c r="BC109" i="253"/>
  <c r="BP109" i="253"/>
  <c r="CG109" i="253"/>
  <c r="CH113" i="253"/>
  <c r="EE109" i="253"/>
  <c r="C113" i="253"/>
  <c r="D112" i="253"/>
  <c r="CP123" i="253"/>
  <c r="CT117" i="253"/>
  <c r="CQ117" i="253"/>
  <c r="DK117" i="253"/>
  <c r="DL123" i="253"/>
  <c r="EI122" i="253"/>
  <c r="EH122" i="253" s="1"/>
  <c r="CX126" i="253"/>
  <c r="CY128" i="253"/>
  <c r="EE91" i="253"/>
  <c r="EE106" i="253" s="1"/>
  <c r="EG104" i="253"/>
  <c r="Z106" i="253"/>
  <c r="Z113" i="253"/>
  <c r="Y109" i="253"/>
  <c r="AG109" i="253"/>
  <c r="CJ109" i="253"/>
  <c r="DA109" i="253"/>
  <c r="DB113" i="253"/>
  <c r="Y110" i="253"/>
  <c r="Y111" i="253"/>
  <c r="AG111" i="253"/>
  <c r="AF111" i="253" s="1"/>
  <c r="EE112" i="253"/>
  <c r="BZ112" i="253"/>
  <c r="CE112" i="253" s="1"/>
  <c r="CD112" i="253" s="1"/>
  <c r="CQ112" i="253"/>
  <c r="CR113" i="253"/>
  <c r="N123" i="253"/>
  <c r="EE117" i="253"/>
  <c r="EE123" i="253" s="1"/>
  <c r="R117" i="253"/>
  <c r="O117" i="253"/>
  <c r="AI117" i="253"/>
  <c r="AJ123" i="253"/>
  <c r="BX123" i="253"/>
  <c r="DN123" i="253"/>
  <c r="DS117" i="253"/>
  <c r="AP122" i="253"/>
  <c r="EI131" i="253"/>
  <c r="W131" i="253"/>
  <c r="V131" i="253" s="1"/>
  <c r="AT106" i="253"/>
  <c r="AQ109" i="253"/>
  <c r="AP109" i="253" s="1"/>
  <c r="BF109" i="253"/>
  <c r="DS109" i="253"/>
  <c r="BF111" i="253"/>
  <c r="BK111" i="253" s="1"/>
  <c r="BJ111" i="253" s="1"/>
  <c r="Y112" i="253"/>
  <c r="EG117" i="253"/>
  <c r="AQ117" i="253"/>
  <c r="AP117" i="253" s="1"/>
  <c r="BK117" i="253"/>
  <c r="BZ123" i="253"/>
  <c r="AL128" i="253"/>
  <c r="AQ126" i="253"/>
  <c r="W91" i="253"/>
  <c r="DJ106" i="253"/>
  <c r="EG91" i="253"/>
  <c r="W93" i="253"/>
  <c r="V93" i="253" s="1"/>
  <c r="W95" i="253"/>
  <c r="V95" i="253" s="1"/>
  <c r="W97" i="253"/>
  <c r="V97" i="253" s="1"/>
  <c r="W99" i="253"/>
  <c r="V99" i="253" s="1"/>
  <c r="W101" i="253"/>
  <c r="V101" i="253" s="1"/>
  <c r="CG104" i="253"/>
  <c r="DU104" i="253"/>
  <c r="EE105" i="253"/>
  <c r="EF105" i="253" s="1"/>
  <c r="J106" i="253"/>
  <c r="F106" i="253" s="1"/>
  <c r="N113" i="253"/>
  <c r="AB109" i="253"/>
  <c r="AR113" i="253"/>
  <c r="BW109" i="253"/>
  <c r="CP113" i="253"/>
  <c r="DT113" i="253"/>
  <c r="M110" i="253"/>
  <c r="M113" i="253" s="1"/>
  <c r="AV110" i="253"/>
  <c r="BA110" i="253" s="1"/>
  <c r="AZ110" i="253" s="1"/>
  <c r="CT110" i="253"/>
  <c r="CY110" i="253" s="1"/>
  <c r="CX110" i="253" s="1"/>
  <c r="AB112" i="253"/>
  <c r="AG112" i="253" s="1"/>
  <c r="AF112" i="253" s="1"/>
  <c r="CE117" i="253"/>
  <c r="BP119" i="253"/>
  <c r="BU119" i="253" s="1"/>
  <c r="BT119" i="253" s="1"/>
  <c r="BE119" i="253"/>
  <c r="EF119" i="253"/>
  <c r="EE128" i="253"/>
  <c r="CO128" i="253"/>
  <c r="CN126" i="253"/>
  <c r="DI126" i="253"/>
  <c r="DD128" i="253"/>
  <c r="EN131" i="253"/>
  <c r="EF131" i="253"/>
  <c r="BP106" i="253"/>
  <c r="CO91" i="253"/>
  <c r="AT113" i="253"/>
  <c r="AS109" i="253"/>
  <c r="DV113" i="253"/>
  <c r="DU109" i="253"/>
  <c r="EE110" i="253"/>
  <c r="O110" i="253"/>
  <c r="DX123" i="253"/>
  <c r="EC117" i="253"/>
  <c r="BA122" i="253"/>
  <c r="AZ122" i="253" s="1"/>
  <c r="EI126" i="253"/>
  <c r="BP128" i="253"/>
  <c r="BU126" i="253"/>
  <c r="EE103" i="253"/>
  <c r="AG105" i="253"/>
  <c r="AF105" i="253" s="1"/>
  <c r="BM109" i="253"/>
  <c r="BZ113" i="253"/>
  <c r="CE109" i="253"/>
  <c r="EG110" i="253"/>
  <c r="DS110" i="253"/>
  <c r="DR110" i="253" s="1"/>
  <c r="EF111" i="253"/>
  <c r="BM111" i="253"/>
  <c r="EE111" i="253"/>
  <c r="CT113" i="253"/>
  <c r="AZ117" i="253"/>
  <c r="EE118" i="253"/>
  <c r="BF118" i="253"/>
  <c r="BK118" i="253" s="1"/>
  <c r="BJ118" i="253" s="1"/>
  <c r="BC118" i="253"/>
  <c r="BU117" i="253"/>
  <c r="AG118" i="253"/>
  <c r="AF118" i="253" s="1"/>
  <c r="O119" i="253"/>
  <c r="DK119" i="253"/>
  <c r="W120" i="253"/>
  <c r="V120" i="253" s="1"/>
  <c r="AS120" i="253"/>
  <c r="DU120" i="253"/>
  <c r="EG120" i="253"/>
  <c r="BM122" i="253"/>
  <c r="W126" i="253"/>
  <c r="AS126" i="253"/>
  <c r="DU126" i="253"/>
  <c r="EG126" i="253"/>
  <c r="EG127" i="253"/>
  <c r="CG127" i="253"/>
  <c r="AV129" i="253"/>
  <c r="EE135" i="253"/>
  <c r="DN135" i="253"/>
  <c r="DS135" i="253" s="1"/>
  <c r="DR135" i="253" s="1"/>
  <c r="EE138" i="253"/>
  <c r="EI140" i="253"/>
  <c r="EH140" i="253" s="1"/>
  <c r="BF140" i="253"/>
  <c r="BK140" i="253" s="1"/>
  <c r="BJ140" i="253" s="1"/>
  <c r="DT159" i="253"/>
  <c r="DU143" i="253"/>
  <c r="W146" i="253"/>
  <c r="V146" i="253" s="1"/>
  <c r="BK146" i="253"/>
  <c r="BJ146" i="253" s="1"/>
  <c r="EI149" i="253"/>
  <c r="EH149" i="253" s="1"/>
  <c r="EG109" i="253"/>
  <c r="CG117" i="253"/>
  <c r="EG118" i="253"/>
  <c r="CJ123" i="253"/>
  <c r="M126" i="253"/>
  <c r="M128" i="253" s="1"/>
  <c r="G128" i="253"/>
  <c r="Z128" i="253"/>
  <c r="AR128" i="253"/>
  <c r="BB128" i="253"/>
  <c r="AB129" i="253"/>
  <c r="AI131" i="253"/>
  <c r="EF138" i="253"/>
  <c r="EE139" i="253"/>
  <c r="O139" i="253"/>
  <c r="AR159" i="253"/>
  <c r="AS143" i="253"/>
  <c r="BN159" i="253"/>
  <c r="BM143" i="253"/>
  <c r="EI146" i="253"/>
  <c r="D117" i="253"/>
  <c r="AB117" i="253"/>
  <c r="BW117" i="253"/>
  <c r="DD117" i="253"/>
  <c r="R119" i="253"/>
  <c r="W122" i="253"/>
  <c r="V122" i="253" s="1"/>
  <c r="EG122" i="253"/>
  <c r="AJ128" i="253"/>
  <c r="R127" i="253"/>
  <c r="EI127" i="253" s="1"/>
  <c r="EH127" i="253" s="1"/>
  <c r="BN128" i="253"/>
  <c r="BX128" i="253"/>
  <c r="CF128" i="253"/>
  <c r="J159" i="253"/>
  <c r="M143" i="253"/>
  <c r="M159" i="253" s="1"/>
  <c r="BU143" i="253"/>
  <c r="CO143" i="253"/>
  <c r="EC143" i="253"/>
  <c r="EG144" i="253"/>
  <c r="W144" i="253"/>
  <c r="V144" i="253" s="1"/>
  <c r="O144" i="253"/>
  <c r="BM117" i="253"/>
  <c r="O120" i="253"/>
  <c r="AV120" i="253"/>
  <c r="BA120" i="253" s="1"/>
  <c r="AZ120" i="253" s="1"/>
  <c r="CQ120" i="253"/>
  <c r="J123" i="253"/>
  <c r="F123" i="253" s="1"/>
  <c r="AV126" i="253"/>
  <c r="DX126" i="253"/>
  <c r="AG127" i="253"/>
  <c r="AF127" i="253" s="1"/>
  <c r="Y131" i="253"/>
  <c r="EE131" i="253"/>
  <c r="BF138" i="253"/>
  <c r="BK138" i="253" s="1"/>
  <c r="BJ138" i="253" s="1"/>
  <c r="R139" i="253"/>
  <c r="BA143" i="253"/>
  <c r="EI144" i="253"/>
  <c r="EH144" i="253" s="1"/>
  <c r="BA145" i="253"/>
  <c r="AZ145" i="253" s="1"/>
  <c r="BC150" i="253"/>
  <c r="BK150" i="253"/>
  <c r="BJ150" i="253" s="1"/>
  <c r="BK169" i="253"/>
  <c r="BF171" i="253"/>
  <c r="BZ171" i="253"/>
  <c r="CE169" i="253"/>
  <c r="EI170" i="253"/>
  <c r="EH170" i="253" s="1"/>
  <c r="W170" i="253"/>
  <c r="V170" i="253" s="1"/>
  <c r="CJ171" i="253"/>
  <c r="CO170" i="253"/>
  <c r="C128" i="253"/>
  <c r="W127" i="253"/>
  <c r="V127" i="253" s="1"/>
  <c r="DX129" i="253"/>
  <c r="EE143" i="253"/>
  <c r="AB159" i="253"/>
  <c r="DI143" i="253"/>
  <c r="DK149" i="253"/>
  <c r="DS149" i="253"/>
  <c r="DR149" i="253" s="1"/>
  <c r="AJ159" i="253"/>
  <c r="W110" i="253"/>
  <c r="V110" i="253" s="1"/>
  <c r="AS117" i="253"/>
  <c r="DU117" i="253"/>
  <c r="DD129" i="253"/>
  <c r="EG135" i="253"/>
  <c r="EF136" i="253"/>
  <c r="EE137" i="253"/>
  <c r="EF137" i="253" s="1"/>
  <c r="O137" i="253"/>
  <c r="DS137" i="253"/>
  <c r="DR137" i="253" s="1"/>
  <c r="EE140" i="253"/>
  <c r="EG141" i="253"/>
  <c r="W141" i="253"/>
  <c r="V141" i="253" s="1"/>
  <c r="O141" i="253"/>
  <c r="CY141" i="253"/>
  <c r="CX141" i="253" s="1"/>
  <c r="AG143" i="253"/>
  <c r="BZ159" i="253"/>
  <c r="CE143" i="253"/>
  <c r="EE147" i="253"/>
  <c r="EF152" i="253"/>
  <c r="EF185" i="253"/>
  <c r="R128" i="253"/>
  <c r="CT128" i="253"/>
  <c r="EF139" i="253"/>
  <c r="EF140" i="253"/>
  <c r="DL159" i="253"/>
  <c r="EH145" i="253"/>
  <c r="EF147" i="253"/>
  <c r="DX148" i="253"/>
  <c r="EC148" i="253" s="1"/>
  <c r="EB148" i="253" s="1"/>
  <c r="DU148" i="253"/>
  <c r="CJ128" i="253"/>
  <c r="O127" i="253"/>
  <c r="W135" i="253"/>
  <c r="V135" i="253" s="1"/>
  <c r="AL135" i="253"/>
  <c r="AQ135" i="253" s="1"/>
  <c r="AP135" i="253" s="1"/>
  <c r="BF136" i="253"/>
  <c r="BK136" i="253" s="1"/>
  <c r="BJ136" i="253" s="1"/>
  <c r="R137" i="253"/>
  <c r="CE140" i="253"/>
  <c r="CD140" i="253" s="1"/>
  <c r="EG145" i="253"/>
  <c r="EG149" i="253"/>
  <c r="W149" i="253"/>
  <c r="V149" i="253" s="1"/>
  <c r="O149" i="253"/>
  <c r="AG150" i="253"/>
  <c r="AF150" i="253" s="1"/>
  <c r="Y150" i="253"/>
  <c r="AG155" i="253"/>
  <c r="AF155" i="253" s="1"/>
  <c r="AI175" i="253"/>
  <c r="AJ182" i="253"/>
  <c r="EG175" i="253"/>
  <c r="DI175" i="253"/>
  <c r="C176" i="253"/>
  <c r="C182" i="253" s="1"/>
  <c r="G182" i="253"/>
  <c r="BB159" i="253"/>
  <c r="BX159" i="253"/>
  <c r="W145" i="253"/>
  <c r="V145" i="253" s="1"/>
  <c r="BW147" i="253"/>
  <c r="CY147" i="253"/>
  <c r="CX147" i="253" s="1"/>
  <c r="BC149" i="253"/>
  <c r="BP149" i="253"/>
  <c r="BU149" i="253" s="1"/>
  <c r="BT149" i="253" s="1"/>
  <c r="O154" i="253"/>
  <c r="EG154" i="253"/>
  <c r="W154" i="253"/>
  <c r="V154" i="253" s="1"/>
  <c r="EE165" i="253"/>
  <c r="EF165" i="253" s="1"/>
  <c r="AL169" i="253"/>
  <c r="AH171" i="253"/>
  <c r="DH171" i="253"/>
  <c r="EC175" i="253"/>
  <c r="EE176" i="253"/>
  <c r="X182" i="253"/>
  <c r="AG136" i="253"/>
  <c r="AF136" i="253" s="1"/>
  <c r="AG138" i="253"/>
  <c r="AF138" i="253" s="1"/>
  <c r="AG140" i="253"/>
  <c r="AF140" i="253" s="1"/>
  <c r="W143" i="253"/>
  <c r="AH159" i="253"/>
  <c r="BD159" i="253"/>
  <c r="CY143" i="253"/>
  <c r="DJ159" i="253"/>
  <c r="EG143" i="253"/>
  <c r="EG146" i="253"/>
  <c r="CJ150" i="253"/>
  <c r="CO150" i="253" s="1"/>
  <c r="CN150" i="253" s="1"/>
  <c r="O151" i="253"/>
  <c r="EE151" i="253"/>
  <c r="EF151" i="253" s="1"/>
  <c r="BP151" i="253"/>
  <c r="BU151" i="253" s="1"/>
  <c r="BT151" i="253" s="1"/>
  <c r="DN151" i="253"/>
  <c r="DS151" i="253" s="1"/>
  <c r="DR151" i="253" s="1"/>
  <c r="R152" i="253"/>
  <c r="BP152" i="253"/>
  <c r="BU152" i="253" s="1"/>
  <c r="BT152" i="253" s="1"/>
  <c r="CT153" i="253"/>
  <c r="CY153" i="253" s="1"/>
  <c r="CX153" i="253" s="1"/>
  <c r="DX154" i="253"/>
  <c r="EC154" i="253" s="1"/>
  <c r="EB154" i="253" s="1"/>
  <c r="AB155" i="253"/>
  <c r="EI155" i="253" s="1"/>
  <c r="EH155" i="253" s="1"/>
  <c r="CY155" i="253"/>
  <c r="CX155" i="253" s="1"/>
  <c r="AI156" i="253"/>
  <c r="BM157" i="253"/>
  <c r="AQ158" i="253"/>
  <c r="AP158" i="253" s="1"/>
  <c r="CQ158" i="253"/>
  <c r="DX166" i="253"/>
  <c r="EC165" i="253"/>
  <c r="EB165" i="253" s="1"/>
  <c r="BP166" i="253"/>
  <c r="CR171" i="253"/>
  <c r="CQ169" i="253"/>
  <c r="DA170" i="253"/>
  <c r="DB171" i="253"/>
  <c r="W175" i="253"/>
  <c r="G19" i="254"/>
  <c r="G8" i="254"/>
  <c r="W136" i="253"/>
  <c r="V136" i="253" s="1"/>
  <c r="W138" i="253"/>
  <c r="V138" i="253" s="1"/>
  <c r="W140" i="253"/>
  <c r="V140" i="253" s="1"/>
  <c r="X159" i="253"/>
  <c r="AT159" i="253"/>
  <c r="CZ159" i="253"/>
  <c r="DK143" i="253"/>
  <c r="O145" i="253"/>
  <c r="EE145" i="253"/>
  <c r="D146" i="253"/>
  <c r="DD147" i="253"/>
  <c r="DI147" i="253" s="1"/>
  <c r="DH147" i="253" s="1"/>
  <c r="BP148" i="253"/>
  <c r="BU148" i="253" s="1"/>
  <c r="BT148" i="253" s="1"/>
  <c r="CG148" i="253"/>
  <c r="EE150" i="253"/>
  <c r="BW150" i="253"/>
  <c r="CG151" i="253"/>
  <c r="CO151" i="253"/>
  <c r="CN151" i="253" s="1"/>
  <c r="AI152" i="253"/>
  <c r="AQ152" i="253"/>
  <c r="AP152" i="253" s="1"/>
  <c r="AS153" i="253"/>
  <c r="BM153" i="253"/>
  <c r="BU153" i="253"/>
  <c r="BT153" i="253" s="1"/>
  <c r="BW154" i="253"/>
  <c r="BA155" i="253"/>
  <c r="AZ155" i="253" s="1"/>
  <c r="W156" i="253"/>
  <c r="V156" i="253" s="1"/>
  <c r="AL156" i="253"/>
  <c r="AQ156" i="253" s="1"/>
  <c r="AP156" i="253" s="1"/>
  <c r="EE157" i="253"/>
  <c r="BP157" i="253"/>
  <c r="BU157" i="253" s="1"/>
  <c r="BT157" i="253" s="1"/>
  <c r="CT158" i="253"/>
  <c r="CY158" i="253" s="1"/>
  <c r="CX158" i="253" s="1"/>
  <c r="DI170" i="253"/>
  <c r="DH170" i="253" s="1"/>
  <c r="BK175" i="253"/>
  <c r="BF182" i="253"/>
  <c r="CJ180" i="253"/>
  <c r="CJ182" i="253" s="1"/>
  <c r="CF182" i="253"/>
  <c r="Y187" i="253"/>
  <c r="EG187" i="253"/>
  <c r="AG187" i="253"/>
  <c r="AF187" i="253" s="1"/>
  <c r="AG141" i="253"/>
  <c r="AF141" i="253" s="1"/>
  <c r="N159" i="253"/>
  <c r="BF143" i="253"/>
  <c r="CP159" i="253"/>
  <c r="AG144" i="253"/>
  <c r="AF144" i="253" s="1"/>
  <c r="DU155" i="253"/>
  <c r="EC155" i="253"/>
  <c r="EB155" i="253" s="1"/>
  <c r="EF157" i="253"/>
  <c r="AI157" i="253"/>
  <c r="AQ157" i="253"/>
  <c r="AP157" i="253" s="1"/>
  <c r="BM158" i="253"/>
  <c r="BU158" i="253"/>
  <c r="BT158" i="253" s="1"/>
  <c r="DH165" i="253"/>
  <c r="R171" i="253"/>
  <c r="W169" i="253"/>
  <c r="EI169" i="253"/>
  <c r="BV182" i="253"/>
  <c r="BD193" i="253"/>
  <c r="BC185" i="253"/>
  <c r="AG192" i="253"/>
  <c r="AF192" i="253" s="1"/>
  <c r="Y192" i="253"/>
  <c r="EG192" i="253"/>
  <c r="EN204" i="253"/>
  <c r="EM204" i="253" s="1"/>
  <c r="CF159" i="253"/>
  <c r="CT146" i="253"/>
  <c r="CY146" i="253" s="1"/>
  <c r="CX146" i="253" s="1"/>
  <c r="O147" i="253"/>
  <c r="AB147" i="253"/>
  <c r="AG147" i="253" s="1"/>
  <c r="AF147" i="253" s="1"/>
  <c r="CQ149" i="253"/>
  <c r="AI150" i="253"/>
  <c r="AQ151" i="253"/>
  <c r="AP151" i="253" s="1"/>
  <c r="EG155" i="253"/>
  <c r="W155" i="253"/>
  <c r="V155" i="253" s="1"/>
  <c r="O155" i="253"/>
  <c r="DK156" i="253"/>
  <c r="X171" i="253"/>
  <c r="Y169" i="253"/>
  <c r="BA169" i="253"/>
  <c r="AV171" i="253"/>
  <c r="BU169" i="253"/>
  <c r="BP171" i="253"/>
  <c r="DS169" i="253"/>
  <c r="DN171" i="253"/>
  <c r="AI170" i="253"/>
  <c r="EE170" i="253"/>
  <c r="R193" i="253"/>
  <c r="W185" i="253"/>
  <c r="AI189" i="253"/>
  <c r="EG189" i="253"/>
  <c r="EN200" i="253"/>
  <c r="EM200" i="253" s="1"/>
  <c r="EH200" i="253"/>
  <c r="W203" i="253"/>
  <c r="EI203" i="253"/>
  <c r="EH203" i="253" s="1"/>
  <c r="P159" i="253"/>
  <c r="AL143" i="253"/>
  <c r="BV159" i="253"/>
  <c r="CR159" i="253"/>
  <c r="DN143" i="253"/>
  <c r="EE146" i="253"/>
  <c r="BK148" i="253"/>
  <c r="BJ148" i="253" s="1"/>
  <c r="DN148" i="253"/>
  <c r="DS148" i="253" s="1"/>
  <c r="DR148" i="253" s="1"/>
  <c r="DK150" i="253"/>
  <c r="D152" i="253"/>
  <c r="CQ152" i="253"/>
  <c r="DK152" i="253"/>
  <c r="DS152" i="253"/>
  <c r="DR152" i="253" s="1"/>
  <c r="O153" i="253"/>
  <c r="DU153" i="253"/>
  <c r="AS154" i="253"/>
  <c r="DN156" i="253"/>
  <c r="DS156" i="253" s="1"/>
  <c r="DR156" i="253" s="1"/>
  <c r="EE158" i="253"/>
  <c r="EF170" i="253"/>
  <c r="AL172" i="253"/>
  <c r="BZ193" i="253"/>
  <c r="CE185" i="253"/>
  <c r="EI209" i="253"/>
  <c r="G159" i="253"/>
  <c r="BL159" i="253"/>
  <c r="BW143" i="253"/>
  <c r="CH159" i="253"/>
  <c r="O146" i="253"/>
  <c r="DX147" i="253"/>
  <c r="EC147" i="253" s="1"/>
  <c r="EB147" i="253" s="1"/>
  <c r="EE148" i="253"/>
  <c r="EF148" i="253" s="1"/>
  <c r="BK151" i="253"/>
  <c r="BJ151" i="253" s="1"/>
  <c r="CT152" i="253"/>
  <c r="CY152" i="253" s="1"/>
  <c r="CX152" i="253" s="1"/>
  <c r="R153" i="253"/>
  <c r="DX153" i="253"/>
  <c r="EC153" i="253" s="1"/>
  <c r="EB153" i="253" s="1"/>
  <c r="AV154" i="253"/>
  <c r="BA154" i="253" s="1"/>
  <c r="AZ154" i="253" s="1"/>
  <c r="CG156" i="253"/>
  <c r="CO156" i="253"/>
  <c r="CN156" i="253" s="1"/>
  <c r="DK157" i="253"/>
  <c r="DS157" i="253"/>
  <c r="DR157" i="253" s="1"/>
  <c r="DT182" i="253"/>
  <c r="O152" i="253"/>
  <c r="W153" i="253"/>
  <c r="V153" i="253" s="1"/>
  <c r="EG153" i="253"/>
  <c r="Y155" i="253"/>
  <c r="EE156" i="253"/>
  <c r="EF156" i="253" s="1"/>
  <c r="O157" i="253"/>
  <c r="W158" i="253"/>
  <c r="V158" i="253" s="1"/>
  <c r="EG158" i="253"/>
  <c r="AQ165" i="253"/>
  <c r="AP165" i="253" s="1"/>
  <c r="CE165" i="253"/>
  <c r="CD165" i="253" s="1"/>
  <c r="DS165" i="253"/>
  <c r="DR165" i="253" s="1"/>
  <c r="CJ167" i="253"/>
  <c r="DT171" i="253"/>
  <c r="BC175" i="253"/>
  <c r="BD182" i="253"/>
  <c r="CO182" i="253"/>
  <c r="Y176" i="253"/>
  <c r="BA176" i="253"/>
  <c r="AZ176" i="253" s="1"/>
  <c r="EG177" i="253"/>
  <c r="W177" i="253"/>
  <c r="V177" i="253" s="1"/>
  <c r="O177" i="253"/>
  <c r="AI178" i="253"/>
  <c r="BK178" i="253"/>
  <c r="BJ178" i="253" s="1"/>
  <c r="DX181" i="253"/>
  <c r="DX182" i="253" s="1"/>
  <c r="AH182" i="253"/>
  <c r="AI185" i="253"/>
  <c r="EE188" i="253"/>
  <c r="AQ189" i="253"/>
  <c r="AP189" i="253" s="1"/>
  <c r="Y190" i="253"/>
  <c r="AP196" i="253"/>
  <c r="EB196" i="253"/>
  <c r="EE154" i="253"/>
  <c r="BP167" i="253"/>
  <c r="DD168" i="253"/>
  <c r="BB171" i="253"/>
  <c r="BV171" i="253"/>
  <c r="CF171" i="253"/>
  <c r="BX182" i="253"/>
  <c r="DV182" i="253"/>
  <c r="AB176" i="253"/>
  <c r="AG176" i="253" s="1"/>
  <c r="AF176" i="253" s="1"/>
  <c r="BU177" i="253"/>
  <c r="BT177" i="253" s="1"/>
  <c r="AL178" i="253"/>
  <c r="AQ179" i="253"/>
  <c r="AP179" i="253" s="1"/>
  <c r="DD181" i="253"/>
  <c r="BB182" i="253"/>
  <c r="AL185" i="253"/>
  <c r="BK185" i="253"/>
  <c r="CP193" i="253"/>
  <c r="CQ185" i="253"/>
  <c r="EC185" i="253"/>
  <c r="Y188" i="253"/>
  <c r="EG188" i="253"/>
  <c r="AG188" i="253"/>
  <c r="AF188" i="253" s="1"/>
  <c r="AB190" i="253"/>
  <c r="AG190" i="253" s="1"/>
  <c r="AF190" i="253" s="1"/>
  <c r="J171" i="253"/>
  <c r="F171" i="253" s="1"/>
  <c r="DX171" i="253"/>
  <c r="EC169" i="253"/>
  <c r="CR182" i="253"/>
  <c r="DS175" i="253"/>
  <c r="DN182" i="253"/>
  <c r="EG176" i="253"/>
  <c r="W176" i="253"/>
  <c r="V176" i="253" s="1"/>
  <c r="O176" i="253"/>
  <c r="BW177" i="253"/>
  <c r="DU177" i="253"/>
  <c r="AG178" i="253"/>
  <c r="AF178" i="253" s="1"/>
  <c r="Y178" i="253"/>
  <c r="AR182" i="253"/>
  <c r="CT185" i="253"/>
  <c r="DA187" i="253"/>
  <c r="EG196" i="253"/>
  <c r="AG196" i="253"/>
  <c r="Y196" i="253"/>
  <c r="BT196" i="253"/>
  <c r="BK165" i="253"/>
  <c r="BJ165" i="253" s="1"/>
  <c r="CY165" i="253"/>
  <c r="CX165" i="253" s="1"/>
  <c r="AV168" i="253"/>
  <c r="AR171" i="253"/>
  <c r="J182" i="253"/>
  <c r="F182" i="253" s="1"/>
  <c r="M175" i="253"/>
  <c r="M182" i="253" s="1"/>
  <c r="CD175" i="253"/>
  <c r="CT175" i="253"/>
  <c r="DL182" i="253"/>
  <c r="DK175" i="253"/>
  <c r="BU176" i="253"/>
  <c r="BT176" i="253" s="1"/>
  <c r="EE177" i="253"/>
  <c r="BZ177" i="253"/>
  <c r="CE178" i="253"/>
  <c r="CD178" i="253" s="1"/>
  <c r="AV181" i="253"/>
  <c r="M185" i="253"/>
  <c r="M193" i="253" s="1"/>
  <c r="J193" i="253"/>
  <c r="BP193" i="253"/>
  <c r="BU185" i="253"/>
  <c r="DK185" i="253"/>
  <c r="DL193" i="253"/>
  <c r="DD187" i="253"/>
  <c r="DI187" i="253" s="1"/>
  <c r="DH187" i="253" s="1"/>
  <c r="EC187" i="253"/>
  <c r="EB187" i="253" s="1"/>
  <c r="CJ188" i="253"/>
  <c r="CO188" i="253" s="1"/>
  <c r="CN188" i="253" s="1"/>
  <c r="EE189" i="253"/>
  <c r="O189" i="253"/>
  <c r="BA189" i="253"/>
  <c r="AZ189" i="253" s="1"/>
  <c r="AZ196" i="253"/>
  <c r="EI204" i="253"/>
  <c r="EH204" i="253" s="1"/>
  <c r="BZ210" i="253"/>
  <c r="G20" i="254"/>
  <c r="G22" i="254" s="1"/>
  <c r="G26" i="254" s="1"/>
  <c r="W157" i="253"/>
  <c r="V157" i="253" s="1"/>
  <c r="DD166" i="253"/>
  <c r="AB168" i="253"/>
  <c r="EE169" i="253"/>
  <c r="EE171" i="253" s="1"/>
  <c r="N171" i="253"/>
  <c r="AB169" i="253"/>
  <c r="CY169" i="253"/>
  <c r="AL170" i="253"/>
  <c r="AQ170" i="253" s="1"/>
  <c r="AP170" i="253" s="1"/>
  <c r="EE175" i="253"/>
  <c r="N182" i="253"/>
  <c r="AG175" i="253"/>
  <c r="BP175" i="253"/>
  <c r="DA176" i="253"/>
  <c r="EC176" i="253"/>
  <c r="EB176" i="253" s="1"/>
  <c r="Y177" i="253"/>
  <c r="BA177" i="253"/>
  <c r="AZ177" i="253" s="1"/>
  <c r="DK178" i="253"/>
  <c r="O179" i="253"/>
  <c r="AV179" i="253"/>
  <c r="BA179" i="253" s="1"/>
  <c r="AZ179" i="253" s="1"/>
  <c r="BM179" i="253"/>
  <c r="N193" i="253"/>
  <c r="EE185" i="253"/>
  <c r="O185" i="253"/>
  <c r="AV193" i="253"/>
  <c r="BA185" i="253"/>
  <c r="CZ193" i="253"/>
  <c r="DN185" i="253"/>
  <c r="Y186" i="253"/>
  <c r="EG186" i="253"/>
  <c r="DA188" i="253"/>
  <c r="EE190" i="253"/>
  <c r="EI191" i="253"/>
  <c r="BF191" i="253"/>
  <c r="BK191" i="253" s="1"/>
  <c r="BJ191" i="253" s="1"/>
  <c r="EE191" i="253"/>
  <c r="H10" i="254"/>
  <c r="H30" i="254"/>
  <c r="H32" i="254" s="1"/>
  <c r="H36" i="254" s="1"/>
  <c r="BA165" i="253"/>
  <c r="AZ165" i="253" s="1"/>
  <c r="CO165" i="253"/>
  <c r="CN165" i="253" s="1"/>
  <c r="CJ166" i="253"/>
  <c r="DX167" i="253"/>
  <c r="O169" i="253"/>
  <c r="P171" i="253"/>
  <c r="AT171" i="253"/>
  <c r="EG169" i="253"/>
  <c r="P182" i="253"/>
  <c r="AQ175" i="253"/>
  <c r="AZ175" i="253"/>
  <c r="CG175" i="253"/>
  <c r="CH182" i="253"/>
  <c r="DD176" i="253"/>
  <c r="DI176" i="253" s="1"/>
  <c r="DH176" i="253" s="1"/>
  <c r="AB177" i="253"/>
  <c r="AG177" i="253" s="1"/>
  <c r="AF177" i="253" s="1"/>
  <c r="DN178" i="253"/>
  <c r="DS178" i="253" s="1"/>
  <c r="DR178" i="253" s="1"/>
  <c r="EG178" i="253"/>
  <c r="R179" i="253"/>
  <c r="DS179" i="253"/>
  <c r="DR179" i="253" s="1"/>
  <c r="DT193" i="253"/>
  <c r="AB186" i="253"/>
  <c r="AG186" i="253" s="1"/>
  <c r="BA186" i="253"/>
  <c r="AZ186" i="253" s="1"/>
  <c r="EE187" i="253"/>
  <c r="DD188" i="253"/>
  <c r="DI188" i="253" s="1"/>
  <c r="DH188" i="253" s="1"/>
  <c r="EC188" i="253"/>
  <c r="EB188" i="253" s="1"/>
  <c r="R189" i="253"/>
  <c r="DI189" i="253"/>
  <c r="DH189" i="253" s="1"/>
  <c r="DX189" i="253"/>
  <c r="EC189" i="253" s="1"/>
  <c r="EB189" i="253" s="1"/>
  <c r="R190" i="253"/>
  <c r="CY190" i="253"/>
  <c r="CX190" i="253" s="1"/>
  <c r="O175" i="253"/>
  <c r="CQ175" i="253"/>
  <c r="W179" i="253"/>
  <c r="V179" i="253" s="1"/>
  <c r="EG179" i="253"/>
  <c r="BN182" i="253"/>
  <c r="CF193" i="253"/>
  <c r="CT189" i="253"/>
  <c r="CY189" i="253" s="1"/>
  <c r="CX189" i="253" s="1"/>
  <c r="DU190" i="253"/>
  <c r="BC196" i="253"/>
  <c r="BF196" i="253"/>
  <c r="BK196" i="253" s="1"/>
  <c r="DI204" i="253"/>
  <c r="EI206" i="253"/>
  <c r="EH206" i="253" s="1"/>
  <c r="CO206" i="253"/>
  <c r="EG206" i="253" s="1"/>
  <c r="EN206" i="253" s="1"/>
  <c r="EM206" i="253" s="1"/>
  <c r="P193" i="253"/>
  <c r="BV193" i="253"/>
  <c r="CR193" i="253"/>
  <c r="EG190" i="253"/>
  <c r="W190" i="253"/>
  <c r="V190" i="253" s="1"/>
  <c r="AB191" i="253"/>
  <c r="AG191" i="253" s="1"/>
  <c r="AF191" i="253" s="1"/>
  <c r="DD191" i="253"/>
  <c r="DI191" i="253" s="1"/>
  <c r="DH191" i="253" s="1"/>
  <c r="EG203" i="253"/>
  <c r="EG205" i="253"/>
  <c r="EN205" i="253" s="1"/>
  <c r="EM205" i="253" s="1"/>
  <c r="BF210" i="253"/>
  <c r="F13" i="254"/>
  <c r="F14" i="254"/>
  <c r="F16" i="254" s="1"/>
  <c r="AB193" i="253"/>
  <c r="CH193" i="253"/>
  <c r="BZ190" i="253"/>
  <c r="CE190" i="253" s="1"/>
  <c r="CD190" i="253" s="1"/>
  <c r="EG191" i="253"/>
  <c r="W191" i="253"/>
  <c r="V191" i="253" s="1"/>
  <c r="W196" i="253"/>
  <c r="EI202" i="253"/>
  <c r="EH202" i="253" s="1"/>
  <c r="EI208" i="253"/>
  <c r="EH208" i="253" s="1"/>
  <c r="BB193" i="253"/>
  <c r="BM185" i="253"/>
  <c r="BX193" i="253"/>
  <c r="AS191" i="253"/>
  <c r="DU191" i="253"/>
  <c r="CE196" i="253"/>
  <c r="CX196" i="253"/>
  <c r="BU200" i="253"/>
  <c r="EG202" i="253"/>
  <c r="EC202" i="253"/>
  <c r="CE203" i="253"/>
  <c r="AG204" i="253"/>
  <c r="EI207" i="253"/>
  <c r="EH207" i="253" s="1"/>
  <c r="AL210" i="253"/>
  <c r="F30" i="254"/>
  <c r="F32" i="254" s="1"/>
  <c r="F10" i="254"/>
  <c r="F12" i="254" s="1"/>
  <c r="H12" i="254"/>
  <c r="H55" i="256"/>
  <c r="CJ193" i="253"/>
  <c r="EI192" i="253"/>
  <c r="EH192" i="253" s="1"/>
  <c r="DI196" i="253"/>
  <c r="EI201" i="253"/>
  <c r="EI205" i="253"/>
  <c r="EH205" i="253" s="1"/>
  <c r="W205" i="253"/>
  <c r="X193" i="253"/>
  <c r="CO185" i="253"/>
  <c r="DV193" i="253"/>
  <c r="BW191" i="253"/>
  <c r="DD192" i="253"/>
  <c r="DI192" i="253" s="1"/>
  <c r="DH192" i="253" s="1"/>
  <c r="EE196" i="253"/>
  <c r="CJ196" i="253"/>
  <c r="CO196" i="253" s="1"/>
  <c r="CY201" i="253"/>
  <c r="EG201" i="253" s="1"/>
  <c r="EN201" i="253" s="1"/>
  <c r="EM201" i="253" s="1"/>
  <c r="AG205" i="253"/>
  <c r="EG208" i="253"/>
  <c r="EN208" i="253" s="1"/>
  <c r="EM208" i="253" s="1"/>
  <c r="F18" i="254"/>
  <c r="F20" i="254" s="1"/>
  <c r="F22" i="254" s="1"/>
  <c r="H18" i="254"/>
  <c r="H20" i="254" s="1"/>
  <c r="H22" i="254" s="1"/>
  <c r="AG203" i="253"/>
  <c r="K15" i="256"/>
  <c r="L15" i="256" s="1"/>
  <c r="EG209" i="253"/>
  <c r="EH201" i="253"/>
  <c r="W202" i="253"/>
  <c r="W204" i="253"/>
  <c r="X30" i="257"/>
  <c r="AF19" i="257"/>
  <c r="AG19" i="257" s="1"/>
  <c r="AD19" i="257"/>
  <c r="AF23" i="257"/>
  <c r="AG23" i="257" s="1"/>
  <c r="Z23" i="257"/>
  <c r="AF37" i="257"/>
  <c r="AG37" i="257" s="1"/>
  <c r="Z37" i="257"/>
  <c r="AF14" i="257"/>
  <c r="AF27" i="257"/>
  <c r="AG27" i="257" s="1"/>
  <c r="AD27" i="257"/>
  <c r="AF33" i="257"/>
  <c r="AD33" i="257"/>
  <c r="AC42" i="257"/>
  <c r="AD42" i="257" s="1"/>
  <c r="AG47" i="257"/>
  <c r="AB14" i="257"/>
  <c r="AA30" i="257"/>
  <c r="AY17" i="257"/>
  <c r="AZ17" i="257" s="1"/>
  <c r="I143" i="256"/>
  <c r="AD14" i="257"/>
  <c r="AC30" i="257"/>
  <c r="AF15" i="257"/>
  <c r="AG15" i="257" s="1"/>
  <c r="Z15" i="257"/>
  <c r="AY16" i="257"/>
  <c r="AZ16" i="257" s="1"/>
  <c r="Y30" i="257"/>
  <c r="AW30" i="257"/>
  <c r="AF17" i="257"/>
  <c r="AG17" i="257" s="1"/>
  <c r="AB22" i="257"/>
  <c r="AB36" i="257"/>
  <c r="AB17" i="257"/>
  <c r="AF28" i="257"/>
  <c r="AG28" i="257" s="1"/>
  <c r="AF18" i="257"/>
  <c r="AG18" i="257" s="1"/>
  <c r="AB19" i="257"/>
  <c r="AF22" i="257"/>
  <c r="AG22" i="257" s="1"/>
  <c r="Z25" i="257"/>
  <c r="Z28" i="257"/>
  <c r="AB33" i="257"/>
  <c r="AF36" i="257"/>
  <c r="AG36" i="257" s="1"/>
  <c r="Z39" i="257"/>
  <c r="AW87" i="257"/>
  <c r="Z50" i="257"/>
  <c r="AF55" i="257"/>
  <c r="AG55" i="257" s="1"/>
  <c r="Z58" i="257"/>
  <c r="AF63" i="257"/>
  <c r="AG63" i="257" s="1"/>
  <c r="Z66" i="257"/>
  <c r="AF80" i="257"/>
  <c r="AG80" i="257" s="1"/>
  <c r="Z80" i="257"/>
  <c r="AF95" i="257"/>
  <c r="AG95" i="257" s="1"/>
  <c r="AG90" i="257"/>
  <c r="AF54" i="257"/>
  <c r="AG54" i="257" s="1"/>
  <c r="AD61" i="257"/>
  <c r="AF62" i="257"/>
  <c r="AG62" i="257" s="1"/>
  <c r="AF67" i="257"/>
  <c r="AG67" i="257" s="1"/>
  <c r="AF20" i="257"/>
  <c r="AG20" i="257" s="1"/>
  <c r="Q237" i="257"/>
  <c r="Q249" i="257" s="1"/>
  <c r="R173" i="257"/>
  <c r="AF34" i="257"/>
  <c r="AG34" i="257" s="1"/>
  <c r="Y87" i="257"/>
  <c r="Z87" i="257" s="1"/>
  <c r="Z48" i="257"/>
  <c r="AF53" i="257"/>
  <c r="AG53" i="257" s="1"/>
  <c r="Z56" i="257"/>
  <c r="AF61" i="257"/>
  <c r="AG61" i="257" s="1"/>
  <c r="Z64" i="257"/>
  <c r="Z67" i="257"/>
  <c r="AF72" i="257"/>
  <c r="AG72" i="257" s="1"/>
  <c r="AF79" i="257"/>
  <c r="AG79" i="257" s="1"/>
  <c r="AB79" i="257"/>
  <c r="AF83" i="257"/>
  <c r="AG83" i="257" s="1"/>
  <c r="AF78" i="257"/>
  <c r="AG78" i="257" s="1"/>
  <c r="AD78" i="257"/>
  <c r="AN80" i="257"/>
  <c r="AL80" i="257"/>
  <c r="AJ80" i="257"/>
  <c r="AF26" i="257"/>
  <c r="AG26" i="257" s="1"/>
  <c r="AF29" i="257"/>
  <c r="AG29" i="257" s="1"/>
  <c r="S237" i="257"/>
  <c r="S249" i="257" s="1"/>
  <c r="AA87" i="257"/>
  <c r="AB87" i="257" s="1"/>
  <c r="AF69" i="257"/>
  <c r="AG69" i="257" s="1"/>
  <c r="AB71" i="257"/>
  <c r="Z71" i="257"/>
  <c r="AD24" i="257"/>
  <c r="T30" i="257"/>
  <c r="AD41" i="257"/>
  <c r="AB47" i="257"/>
  <c r="AD49" i="257"/>
  <c r="AD57" i="257"/>
  <c r="AD65" i="257"/>
  <c r="AD73" i="257"/>
  <c r="AB73" i="257"/>
  <c r="AF82" i="257"/>
  <c r="AG82" i="257" s="1"/>
  <c r="AD82" i="257"/>
  <c r="AC87" i="257"/>
  <c r="AD87" i="257" s="1"/>
  <c r="AB69" i="257"/>
  <c r="AF70" i="257"/>
  <c r="AG70" i="257" s="1"/>
  <c r="AF74" i="257"/>
  <c r="AG74" i="257" s="1"/>
  <c r="Z74" i="257"/>
  <c r="V87" i="257"/>
  <c r="W87" i="257" s="1"/>
  <c r="AD47" i="257"/>
  <c r="AF76" i="257"/>
  <c r="AG76" i="257" s="1"/>
  <c r="AB76" i="257"/>
  <c r="AD95" i="257"/>
  <c r="AF104" i="257"/>
  <c r="AG104" i="257" s="1"/>
  <c r="AB104" i="257"/>
  <c r="AG125" i="257"/>
  <c r="Z91" i="257"/>
  <c r="AA114" i="257"/>
  <c r="AB99" i="257"/>
  <c r="AB105" i="257"/>
  <c r="AF112" i="257"/>
  <c r="AG112" i="257" s="1"/>
  <c r="AB112" i="257"/>
  <c r="AQ81" i="257"/>
  <c r="Z86" i="257"/>
  <c r="Z90" i="257"/>
  <c r="AB98" i="257"/>
  <c r="AF103" i="257"/>
  <c r="AG103" i="257" s="1"/>
  <c r="AB109" i="257"/>
  <c r="AT80" i="257"/>
  <c r="X95" i="257"/>
  <c r="AC114" i="257"/>
  <c r="AD114" i="257" s="1"/>
  <c r="Z101" i="257"/>
  <c r="Z103" i="257"/>
  <c r="AD109" i="257"/>
  <c r="AJ81" i="257"/>
  <c r="AB86" i="257"/>
  <c r="AT86" i="257"/>
  <c r="AB90" i="257"/>
  <c r="AF93" i="257"/>
  <c r="AG93" i="257" s="1"/>
  <c r="Y95" i="257"/>
  <c r="AF102" i="257"/>
  <c r="AG102" i="257" s="1"/>
  <c r="AF117" i="257"/>
  <c r="Y121" i="257"/>
  <c r="Z117" i="257"/>
  <c r="W98" i="257"/>
  <c r="AF98" i="257"/>
  <c r="AW114" i="257"/>
  <c r="Z102" i="257"/>
  <c r="AF106" i="257"/>
  <c r="AG106" i="257" s="1"/>
  <c r="AG109" i="257"/>
  <c r="AD101" i="257"/>
  <c r="AF110" i="257"/>
  <c r="AG110" i="257" s="1"/>
  <c r="Z110" i="257"/>
  <c r="AF107" i="257"/>
  <c r="AG107" i="257" s="1"/>
  <c r="Z125" i="257"/>
  <c r="Z130" i="257"/>
  <c r="W134" i="257"/>
  <c r="AF134" i="257"/>
  <c r="AF135" i="257"/>
  <c r="AG135" i="257" s="1"/>
  <c r="AB145" i="257"/>
  <c r="V121" i="257"/>
  <c r="AF152" i="257"/>
  <c r="AG152" i="257" s="1"/>
  <c r="AB117" i="257"/>
  <c r="AD119" i="257"/>
  <c r="AF120" i="257"/>
  <c r="AG120" i="257" s="1"/>
  <c r="AB125" i="257"/>
  <c r="AD127" i="257"/>
  <c r="Z128" i="257"/>
  <c r="Z129" i="257"/>
  <c r="Y131" i="257"/>
  <c r="X136" i="257"/>
  <c r="AD139" i="257"/>
  <c r="AF161" i="257"/>
  <c r="AG161" i="257" s="1"/>
  <c r="AD161" i="257"/>
  <c r="AT129" i="257"/>
  <c r="AD130" i="257"/>
  <c r="Z134" i="257"/>
  <c r="X170" i="257"/>
  <c r="AF158" i="257"/>
  <c r="AG158" i="257" s="1"/>
  <c r="Z158" i="257"/>
  <c r="P170" i="257"/>
  <c r="O173" i="257"/>
  <c r="AD189" i="257"/>
  <c r="AC194" i="257"/>
  <c r="AD194" i="257" s="1"/>
  <c r="AD117" i="257"/>
  <c r="AD121" i="257" s="1"/>
  <c r="AD125" i="257"/>
  <c r="AF126" i="257"/>
  <c r="AG126" i="257" s="1"/>
  <c r="AL129" i="257"/>
  <c r="AF147" i="257"/>
  <c r="AG147" i="257" s="1"/>
  <c r="AB147" i="257"/>
  <c r="AF154" i="257"/>
  <c r="AG154" i="257" s="1"/>
  <c r="AD154" i="257"/>
  <c r="W125" i="257"/>
  <c r="Z144" i="257"/>
  <c r="AD157" i="257"/>
  <c r="AB157" i="257"/>
  <c r="AD163" i="257"/>
  <c r="AB163" i="257"/>
  <c r="AF149" i="257"/>
  <c r="AG149" i="257" s="1"/>
  <c r="Z149" i="257"/>
  <c r="AF187" i="257"/>
  <c r="AG187" i="257" s="1"/>
  <c r="Y194" i="257"/>
  <c r="Z187" i="257"/>
  <c r="AP129" i="257"/>
  <c r="AQ129" i="257" s="1"/>
  <c r="AC136" i="257"/>
  <c r="AD135" i="257"/>
  <c r="AD136" i="257" s="1"/>
  <c r="AD144" i="257"/>
  <c r="Z145" i="257"/>
  <c r="Z148" i="257"/>
  <c r="Y170" i="257"/>
  <c r="Z152" i="257"/>
  <c r="AF157" i="257"/>
  <c r="AG157" i="257" s="1"/>
  <c r="AD159" i="257"/>
  <c r="N173" i="257"/>
  <c r="N237" i="257" s="1"/>
  <c r="N249" i="257" s="1"/>
  <c r="T170" i="257"/>
  <c r="R170" i="257"/>
  <c r="AA170" i="257"/>
  <c r="Z163" i="257"/>
  <c r="AB151" i="257"/>
  <c r="Z164" i="257"/>
  <c r="Z177" i="257"/>
  <c r="AF192" i="257"/>
  <c r="AG192" i="257" s="1"/>
  <c r="AC170" i="257"/>
  <c r="AF159" i="257"/>
  <c r="AG159" i="257" s="1"/>
  <c r="Z162" i="257"/>
  <c r="AB164" i="257"/>
  <c r="AF166" i="257"/>
  <c r="AG166" i="257" s="1"/>
  <c r="Z166" i="257"/>
  <c r="AF211" i="257"/>
  <c r="AG211" i="257" s="1"/>
  <c r="Z211" i="257"/>
  <c r="V170" i="257"/>
  <c r="AD151" i="257"/>
  <c r="Z155" i="257"/>
  <c r="Z159" i="257"/>
  <c r="AF160" i="257"/>
  <c r="AG160" i="257" s="1"/>
  <c r="AB162" i="257"/>
  <c r="AD164" i="257"/>
  <c r="AF151" i="257"/>
  <c r="AW194" i="257"/>
  <c r="AF189" i="257"/>
  <c r="AG189" i="257" s="1"/>
  <c r="AF190" i="257"/>
  <c r="AG190" i="257" s="1"/>
  <c r="AF163" i="257"/>
  <c r="AG163" i="257" s="1"/>
  <c r="AF165" i="257"/>
  <c r="AG165" i="257" s="1"/>
  <c r="AF169" i="257"/>
  <c r="AG169" i="257" s="1"/>
  <c r="Z190" i="257"/>
  <c r="AD193" i="257"/>
  <c r="AY193" i="257"/>
  <c r="AZ193" i="257" s="1"/>
  <c r="AB200" i="257"/>
  <c r="AF217" i="257"/>
  <c r="AG217" i="257" s="1"/>
  <c r="Z217" i="257"/>
  <c r="Y220" i="257"/>
  <c r="AP224" i="257"/>
  <c r="AQ224" i="257" s="1"/>
  <c r="AJ224" i="257"/>
  <c r="AZ236" i="257"/>
  <c r="AP167" i="257"/>
  <c r="AQ167" i="257" s="1"/>
  <c r="AF181" i="257"/>
  <c r="AP188" i="257"/>
  <c r="AQ188" i="257" s="1"/>
  <c r="AG197" i="257"/>
  <c r="AD198" i="257"/>
  <c r="AC205" i="257"/>
  <c r="AP228" i="257"/>
  <c r="AQ228" i="257" s="1"/>
  <c r="AN228" i="257"/>
  <c r="H19" i="261"/>
  <c r="AF191" i="257"/>
  <c r="AG191" i="257" s="1"/>
  <c r="W197" i="257"/>
  <c r="AH220" i="257"/>
  <c r="AY216" i="257"/>
  <c r="AZ216" i="257" s="1"/>
  <c r="AT216" i="257"/>
  <c r="AY219" i="257"/>
  <c r="AZ219" i="257" s="1"/>
  <c r="AV219" i="257"/>
  <c r="H13" i="263"/>
  <c r="H14" i="263"/>
  <c r="I4" i="263"/>
  <c r="H16" i="263"/>
  <c r="AF182" i="257"/>
  <c r="AG182" i="257" s="1"/>
  <c r="AB187" i="257"/>
  <c r="X205" i="257"/>
  <c r="AN217" i="257"/>
  <c r="AJ217" i="257"/>
  <c r="AF226" i="257"/>
  <c r="AG226" i="257" s="1"/>
  <c r="AB226" i="257"/>
  <c r="Z181" i="257"/>
  <c r="Z183" i="257" s="1"/>
  <c r="AY192" i="257"/>
  <c r="AZ192" i="257" s="1"/>
  <c r="AC220" i="257"/>
  <c r="AF227" i="257"/>
  <c r="AG227" i="257" s="1"/>
  <c r="AB227" i="257"/>
  <c r="AD187" i="257"/>
  <c r="AP199" i="257"/>
  <c r="AQ199" i="257" s="1"/>
  <c r="AB181" i="257"/>
  <c r="AB183" i="257" s="1"/>
  <c r="AP192" i="257"/>
  <c r="AQ192" i="257" s="1"/>
  <c r="AB197" i="257"/>
  <c r="AA205" i="257"/>
  <c r="Z198" i="257"/>
  <c r="Z200" i="257"/>
  <c r="AF200" i="257"/>
  <c r="AG200" i="257" s="1"/>
  <c r="AM220" i="257"/>
  <c r="AY211" i="257"/>
  <c r="AZ211" i="257" s="1"/>
  <c r="Z216" i="257"/>
  <c r="AP217" i="257"/>
  <c r="AQ217" i="257" s="1"/>
  <c r="AY217" i="257"/>
  <c r="AZ217" i="257" s="1"/>
  <c r="AB219" i="257"/>
  <c r="AL225" i="257"/>
  <c r="Z226" i="257"/>
  <c r="I13" i="261"/>
  <c r="AF202" i="257"/>
  <c r="AG202" i="257" s="1"/>
  <c r="AY210" i="257"/>
  <c r="AZ210" i="257" s="1"/>
  <c r="AY214" i="257"/>
  <c r="AZ214" i="257" s="1"/>
  <c r="AY218" i="257"/>
  <c r="AZ218" i="257" s="1"/>
  <c r="AF223" i="257"/>
  <c r="AG223" i="257" s="1"/>
  <c r="AF225" i="257"/>
  <c r="AG225" i="257" s="1"/>
  <c r="I43" i="258"/>
  <c r="J43" i="258" s="1"/>
  <c r="J39" i="258"/>
  <c r="G13" i="261"/>
  <c r="G19" i="261" s="1"/>
  <c r="I3" i="263"/>
  <c r="F13" i="263"/>
  <c r="F19" i="263" s="1"/>
  <c r="G19" i="263"/>
  <c r="AF208" i="257"/>
  <c r="AG208" i="257" s="1"/>
  <c r="AF215" i="257"/>
  <c r="AG215" i="257" s="1"/>
  <c r="AF219" i="257"/>
  <c r="AN219" i="257"/>
  <c r="AN227" i="257"/>
  <c r="D14" i="263"/>
  <c r="D19" i="263" s="1"/>
  <c r="I12" i="263"/>
  <c r="AP233" i="257"/>
  <c r="AQ233" i="257" s="1"/>
  <c r="AL233" i="257"/>
  <c r="AF234" i="257"/>
  <c r="AG234" i="257" s="1"/>
  <c r="Z234" i="257"/>
  <c r="H11" i="259"/>
  <c r="H12" i="259" s="1"/>
  <c r="I36" i="258"/>
  <c r="J36" i="258" s="1"/>
  <c r="J32" i="258"/>
  <c r="AV224" i="257"/>
  <c r="AP229" i="257"/>
  <c r="AQ229" i="257" s="1"/>
  <c r="AL229" i="257"/>
  <c r="AP236" i="257"/>
  <c r="AQ236" i="257" s="1"/>
  <c r="AL236" i="257"/>
  <c r="I11" i="259"/>
  <c r="I12" i="259" s="1"/>
  <c r="F14" i="261"/>
  <c r="F19" i="261" s="1"/>
  <c r="I12" i="261"/>
  <c r="F19" i="262"/>
  <c r="G24" i="262"/>
  <c r="F16" i="263"/>
  <c r="F24" i="263"/>
  <c r="I9" i="263"/>
  <c r="Z219" i="257"/>
  <c r="Z228" i="257"/>
  <c r="AJ230" i="257"/>
  <c r="I4" i="262"/>
  <c r="I13" i="262" s="1"/>
  <c r="D13" i="262"/>
  <c r="D19" i="262" s="1"/>
  <c r="AB228" i="257"/>
  <c r="AL230" i="257"/>
  <c r="G22" i="259"/>
  <c r="H16" i="261"/>
  <c r="H24" i="261"/>
  <c r="I9" i="261"/>
  <c r="AP230" i="257"/>
  <c r="AQ230" i="257" s="1"/>
  <c r="AP232" i="257"/>
  <c r="AQ232" i="257" s="1"/>
  <c r="E19" i="261"/>
  <c r="E14" i="262"/>
  <c r="E19" i="262" s="1"/>
  <c r="H19" i="262"/>
  <c r="AF233" i="257"/>
  <c r="AG233" i="257" s="1"/>
  <c r="AF236" i="257"/>
  <c r="AG236" i="257" s="1"/>
  <c r="I14" i="258"/>
  <c r="J14" i="258" s="1"/>
  <c r="G11" i="259"/>
  <c r="G12" i="259" s="1"/>
  <c r="D24" i="262"/>
  <c r="G24" i="263"/>
  <c r="I9" i="262"/>
  <c r="C93" i="247"/>
  <c r="A5" i="247"/>
  <c r="A6" i="247" s="1"/>
  <c r="A4" i="247"/>
  <c r="C231" i="253" l="1"/>
  <c r="C232" i="253"/>
  <c r="C227" i="253"/>
  <c r="EH12" i="253"/>
  <c r="EI38" i="253"/>
  <c r="EH38" i="253" s="1"/>
  <c r="EH30" i="253"/>
  <c r="EH155" i="252"/>
  <c r="L152" i="250"/>
  <c r="EN155" i="252"/>
  <c r="ES55" i="252"/>
  <c r="EO55" i="252"/>
  <c r="EH29" i="252"/>
  <c r="L29" i="250"/>
  <c r="AK29" i="257" s="1"/>
  <c r="ES61" i="252"/>
  <c r="EO61" i="252"/>
  <c r="AF186" i="253"/>
  <c r="AG193" i="253"/>
  <c r="C230" i="253"/>
  <c r="EH84" i="252"/>
  <c r="L83" i="250"/>
  <c r="EN84" i="252"/>
  <c r="ES47" i="252"/>
  <c r="EO47" i="252"/>
  <c r="EG191" i="252"/>
  <c r="BT143" i="253"/>
  <c r="BU159" i="253"/>
  <c r="AH181" i="257"/>
  <c r="AH183" i="257" s="1"/>
  <c r="J177" i="250"/>
  <c r="BU38" i="253"/>
  <c r="BT38" i="253" s="1"/>
  <c r="BT30" i="253"/>
  <c r="EW207" i="252"/>
  <c r="AG151" i="257"/>
  <c r="AF170" i="257"/>
  <c r="G25" i="254"/>
  <c r="G28" i="254" s="1"/>
  <c r="DX193" i="253"/>
  <c r="BA171" i="253"/>
  <c r="AZ169" i="253"/>
  <c r="AZ171" i="253" s="1"/>
  <c r="DS113" i="253"/>
  <c r="DR109" i="253"/>
  <c r="EN98" i="253"/>
  <c r="EF98" i="253"/>
  <c r="CX83" i="253"/>
  <c r="CX88" i="253" s="1"/>
  <c r="CY88" i="253"/>
  <c r="EN69" i="253"/>
  <c r="EF46" i="253"/>
  <c r="EI75" i="253"/>
  <c r="V30" i="253"/>
  <c r="Q27" i="253"/>
  <c r="EG80" i="253"/>
  <c r="EF80" i="253" s="1"/>
  <c r="EF43" i="253"/>
  <c r="EN43" i="253"/>
  <c r="N161" i="253"/>
  <c r="N211" i="253" s="1"/>
  <c r="S27" i="253"/>
  <c r="BA38" i="253"/>
  <c r="AZ38" i="253" s="1"/>
  <c r="AZ30" i="253"/>
  <c r="EK201" i="252"/>
  <c r="M191" i="250"/>
  <c r="EI200" i="252"/>
  <c r="DD201" i="252"/>
  <c r="DC201" i="252" s="1"/>
  <c r="AV80" i="253"/>
  <c r="C161" i="253"/>
  <c r="DB161" i="253"/>
  <c r="DB211" i="253" s="1"/>
  <c r="DA27" i="253"/>
  <c r="Q180" i="252"/>
  <c r="EI180" i="252"/>
  <c r="EU180" i="252"/>
  <c r="BU168" i="252"/>
  <c r="BT168" i="252" s="1"/>
  <c r="EN182" i="252"/>
  <c r="CY135" i="252"/>
  <c r="CX135" i="252" s="1"/>
  <c r="EH166" i="252"/>
  <c r="L163" i="250"/>
  <c r="DS130" i="252"/>
  <c r="DR130" i="252" s="1"/>
  <c r="DR123" i="252"/>
  <c r="EH206" i="252"/>
  <c r="EN206" i="252"/>
  <c r="L203" i="250"/>
  <c r="EI133" i="252"/>
  <c r="EI77" i="253"/>
  <c r="EH77" i="253" s="1"/>
  <c r="DA201" i="252"/>
  <c r="DI201" i="252"/>
  <c r="DH201" i="252" s="1"/>
  <c r="AU168" i="252"/>
  <c r="BK130" i="252"/>
  <c r="BJ130" i="252" s="1"/>
  <c r="BJ123" i="252"/>
  <c r="DS184" i="252"/>
  <c r="DN185" i="252"/>
  <c r="DN191" i="252" s="1"/>
  <c r="EH163" i="252"/>
  <c r="AM151" i="257"/>
  <c r="BA130" i="252"/>
  <c r="AZ130" i="252" s="1"/>
  <c r="EF105" i="252"/>
  <c r="EN105" i="252"/>
  <c r="K104" i="250"/>
  <c r="EF196" i="252"/>
  <c r="BA112" i="252"/>
  <c r="AZ112" i="252" s="1"/>
  <c r="AZ96" i="252"/>
  <c r="EN124" i="252"/>
  <c r="EF124" i="252"/>
  <c r="K123" i="250"/>
  <c r="EN150" i="252"/>
  <c r="EI119" i="252"/>
  <c r="EH115" i="252"/>
  <c r="L114" i="250"/>
  <c r="AA135" i="252"/>
  <c r="EF96" i="252"/>
  <c r="EN96" i="252"/>
  <c r="EG112" i="252"/>
  <c r="K95" i="250"/>
  <c r="AF96" i="252"/>
  <c r="AG112" i="252"/>
  <c r="AF112" i="252" s="1"/>
  <c r="CY93" i="252"/>
  <c r="CX93" i="252" s="1"/>
  <c r="CX88" i="252"/>
  <c r="EF98" i="252"/>
  <c r="EH71" i="252"/>
  <c r="L70" i="250"/>
  <c r="EN80" i="252"/>
  <c r="EF80" i="252"/>
  <c r="K79" i="250"/>
  <c r="EH65" i="252"/>
  <c r="L64" i="250"/>
  <c r="EH57" i="252"/>
  <c r="L56" i="250"/>
  <c r="EU85" i="252"/>
  <c r="Q85" i="252"/>
  <c r="AG85" i="252"/>
  <c r="AF85" i="252" s="1"/>
  <c r="AF47" i="252"/>
  <c r="EF49" i="252"/>
  <c r="EN49" i="252"/>
  <c r="K48" i="250"/>
  <c r="EC88" i="252"/>
  <c r="EH77" i="252"/>
  <c r="L76" i="250"/>
  <c r="AK77" i="257" s="1"/>
  <c r="CE85" i="252"/>
  <c r="CD85" i="252" s="1"/>
  <c r="CD47" i="252"/>
  <c r="EH106" i="252"/>
  <c r="L105" i="250"/>
  <c r="EK112" i="252"/>
  <c r="M95" i="250"/>
  <c r="EH89" i="252"/>
  <c r="L88" i="250"/>
  <c r="AK91" i="257" s="1"/>
  <c r="AN76" i="257"/>
  <c r="EH68" i="252"/>
  <c r="L67" i="250"/>
  <c r="AK68" i="257" s="1"/>
  <c r="EH60" i="252"/>
  <c r="L59" i="250"/>
  <c r="AK60" i="257" s="1"/>
  <c r="EH52" i="252"/>
  <c r="L51" i="250"/>
  <c r="AK52" i="257" s="1"/>
  <c r="BU85" i="252"/>
  <c r="BT85" i="252" s="1"/>
  <c r="BT47" i="252"/>
  <c r="ES111" i="252"/>
  <c r="EO111" i="252"/>
  <c r="EH100" i="252"/>
  <c r="L99" i="250"/>
  <c r="EF64" i="252"/>
  <c r="EN64" i="252"/>
  <c r="K63" i="250"/>
  <c r="EF56" i="252"/>
  <c r="EN56" i="252"/>
  <c r="K55" i="250"/>
  <c r="EK85" i="252"/>
  <c r="M46" i="250"/>
  <c r="EN28" i="252"/>
  <c r="ES28" i="252" s="1"/>
  <c r="EF28" i="252"/>
  <c r="K28" i="250"/>
  <c r="EF23" i="252"/>
  <c r="EN23" i="252"/>
  <c r="K23" i="250"/>
  <c r="P187" i="251"/>
  <c r="K58" i="256"/>
  <c r="L58" i="256" s="1"/>
  <c r="F58" i="256"/>
  <c r="K23" i="256"/>
  <c r="L23" i="256" s="1"/>
  <c r="F23" i="256"/>
  <c r="EF36" i="252"/>
  <c r="X170" i="252"/>
  <c r="X216" i="252" s="1"/>
  <c r="BZ170" i="252"/>
  <c r="BY30" i="252"/>
  <c r="K121" i="256"/>
  <c r="L121" i="256" s="1"/>
  <c r="F121" i="256"/>
  <c r="AR121" i="257"/>
  <c r="EF74" i="252"/>
  <c r="K123" i="256"/>
  <c r="L123" i="256" s="1"/>
  <c r="F123" i="256"/>
  <c r="AP226" i="257"/>
  <c r="AQ226" i="257" s="1"/>
  <c r="BC85" i="252"/>
  <c r="CF170" i="252"/>
  <c r="CF216" i="252" s="1"/>
  <c r="AV120" i="257"/>
  <c r="O190" i="251"/>
  <c r="N197" i="251"/>
  <c r="O197" i="251" s="1"/>
  <c r="K28" i="256"/>
  <c r="L28" i="256" s="1"/>
  <c r="F28" i="256"/>
  <c r="K134" i="256"/>
  <c r="L134" i="256" s="1"/>
  <c r="F134" i="256"/>
  <c r="K126" i="256"/>
  <c r="L126" i="256" s="1"/>
  <c r="F126" i="256"/>
  <c r="K66" i="256"/>
  <c r="L66" i="256" s="1"/>
  <c r="F66" i="256"/>
  <c r="O94" i="251"/>
  <c r="F94" i="256"/>
  <c r="K94" i="256"/>
  <c r="L94" i="256" s="1"/>
  <c r="K30" i="256"/>
  <c r="L30" i="256" s="1"/>
  <c r="F30" i="256"/>
  <c r="AC42" i="252"/>
  <c r="H27" i="256"/>
  <c r="K55" i="256"/>
  <c r="L55" i="256" s="1"/>
  <c r="F55" i="256"/>
  <c r="F91" i="256"/>
  <c r="AZ47" i="257"/>
  <c r="EN21" i="252"/>
  <c r="EF21" i="252"/>
  <c r="K21" i="250"/>
  <c r="AT157" i="257"/>
  <c r="AY157" i="257"/>
  <c r="AZ157" i="257" s="1"/>
  <c r="E127" i="256"/>
  <c r="N148" i="250"/>
  <c r="O148" i="250" s="1"/>
  <c r="DD30" i="252"/>
  <c r="H167" i="250"/>
  <c r="Q30" i="250"/>
  <c r="AN154" i="257"/>
  <c r="AL51" i="257"/>
  <c r="AJ135" i="257"/>
  <c r="AT170" i="252"/>
  <c r="AS30" i="252"/>
  <c r="AV103" i="257"/>
  <c r="G42" i="256"/>
  <c r="H42" i="256" s="1"/>
  <c r="O36" i="250"/>
  <c r="DN85" i="252"/>
  <c r="EH16" i="252"/>
  <c r="L16" i="250"/>
  <c r="AK16" i="257" s="1"/>
  <c r="AY25" i="257"/>
  <c r="AZ25" i="257" s="1"/>
  <c r="AT25" i="257"/>
  <c r="E79" i="256"/>
  <c r="AN113" i="257"/>
  <c r="N97" i="250"/>
  <c r="O97" i="250" s="1"/>
  <c r="AI75" i="257"/>
  <c r="AJ75" i="257" s="1"/>
  <c r="BU30" i="252"/>
  <c r="BB170" i="252"/>
  <c r="BB216" i="252" s="1"/>
  <c r="AN22" i="257"/>
  <c r="AU87" i="257"/>
  <c r="AV47" i="257"/>
  <c r="G83" i="256"/>
  <c r="H83" i="256" s="1"/>
  <c r="M118" i="250"/>
  <c r="EW26" i="252"/>
  <c r="EF22" i="252"/>
  <c r="AY75" i="257"/>
  <c r="AZ75" i="257" s="1"/>
  <c r="AT75" i="257"/>
  <c r="E111" i="256"/>
  <c r="H166" i="251"/>
  <c r="R166" i="251" s="1"/>
  <c r="S166" i="251" s="1"/>
  <c r="EG171" i="253"/>
  <c r="EF171" i="253" s="1"/>
  <c r="EF169" i="253"/>
  <c r="EN169" i="253"/>
  <c r="BT169" i="253"/>
  <c r="BT171" i="253" s="1"/>
  <c r="BU171" i="253"/>
  <c r="EF145" i="253"/>
  <c r="EN145" i="253"/>
  <c r="EM145" i="253" s="1"/>
  <c r="AG159" i="253"/>
  <c r="AF143" i="253"/>
  <c r="EF110" i="253"/>
  <c r="EC195" i="252"/>
  <c r="EB195" i="252" s="1"/>
  <c r="DV201" i="252"/>
  <c r="AP184" i="252"/>
  <c r="AP185" i="252" s="1"/>
  <c r="AQ185" i="252"/>
  <c r="V196" i="253"/>
  <c r="DN193" i="253"/>
  <c r="DS185" i="253"/>
  <c r="AL182" i="253"/>
  <c r="AQ178" i="253"/>
  <c r="AP178" i="253" s="1"/>
  <c r="EI152" i="253"/>
  <c r="EC126" i="253"/>
  <c r="DX128" i="253"/>
  <c r="W128" i="253"/>
  <c r="V126" i="253"/>
  <c r="DS123" i="253"/>
  <c r="DR117" i="253"/>
  <c r="AB106" i="253"/>
  <c r="AG91" i="253"/>
  <c r="EF112" i="253"/>
  <c r="EI113" i="253"/>
  <c r="EH109" i="253"/>
  <c r="DS128" i="253"/>
  <c r="DR126" i="253"/>
  <c r="AV106" i="253"/>
  <c r="BA91" i="253"/>
  <c r="AP83" i="253"/>
  <c r="AQ88" i="253"/>
  <c r="AP88" i="253" s="1"/>
  <c r="EF84" i="253"/>
  <c r="EI59" i="253"/>
  <c r="EF47" i="253"/>
  <c r="I13" i="263"/>
  <c r="AP220" i="257"/>
  <c r="AQ220" i="257" s="1"/>
  <c r="I14" i="262"/>
  <c r="AD205" i="257"/>
  <c r="O237" i="257"/>
  <c r="O249" i="257" s="1"/>
  <c r="P173" i="257"/>
  <c r="AF136" i="257"/>
  <c r="AG136" i="257" s="1"/>
  <c r="AG134" i="257"/>
  <c r="AF121" i="257"/>
  <c r="AG121" i="257" s="1"/>
  <c r="AG117" i="257"/>
  <c r="T173" i="257"/>
  <c r="AD30" i="257"/>
  <c r="AF87" i="257"/>
  <c r="AG87" i="257" s="1"/>
  <c r="CO193" i="253"/>
  <c r="CN185" i="253"/>
  <c r="EN207" i="253"/>
  <c r="EM207" i="253" s="1"/>
  <c r="AB182" i="253"/>
  <c r="EF196" i="253"/>
  <c r="AV182" i="253"/>
  <c r="BF193" i="253"/>
  <c r="BK182" i="253"/>
  <c r="BJ175" i="253"/>
  <c r="EI156" i="253"/>
  <c r="EI151" i="253"/>
  <c r="EF175" i="253"/>
  <c r="EG182" i="253"/>
  <c r="W137" i="253"/>
  <c r="V137" i="253" s="1"/>
  <c r="EI137" i="253"/>
  <c r="EF135" i="253"/>
  <c r="AV159" i="253"/>
  <c r="BA126" i="253"/>
  <c r="AV128" i="253"/>
  <c r="EF144" i="253"/>
  <c r="EN144" i="253"/>
  <c r="F159" i="253"/>
  <c r="EN122" i="253"/>
  <c r="EM122" i="253" s="1"/>
  <c r="EF122" i="253"/>
  <c r="EI120" i="253"/>
  <c r="EH120" i="253" s="1"/>
  <c r="BJ117" i="253"/>
  <c r="BK109" i="253"/>
  <c r="BF113" i="253"/>
  <c r="EI112" i="253"/>
  <c r="EH112" i="253" s="1"/>
  <c r="EN96" i="253"/>
  <c r="EF96" i="253"/>
  <c r="BJ126" i="253"/>
  <c r="BK128" i="253"/>
  <c r="EN95" i="253"/>
  <c r="CE88" i="253"/>
  <c r="CD83" i="253"/>
  <c r="CD88" i="253" s="1"/>
  <c r="EF79" i="253"/>
  <c r="EN79" i="253"/>
  <c r="EM79" i="253" s="1"/>
  <c r="EF86" i="253"/>
  <c r="EN86" i="253"/>
  <c r="CT88" i="253"/>
  <c r="W84" i="253"/>
  <c r="V84" i="253" s="1"/>
  <c r="EI84" i="253"/>
  <c r="EH84" i="253" s="1"/>
  <c r="EN74" i="253"/>
  <c r="EF74" i="253"/>
  <c r="EC113" i="253"/>
  <c r="CX91" i="253"/>
  <c r="CY106" i="253"/>
  <c r="AZ83" i="253"/>
  <c r="BA88" i="253"/>
  <c r="EI52" i="253"/>
  <c r="EN37" i="253"/>
  <c r="BZ80" i="253"/>
  <c r="EI24" i="253"/>
  <c r="EH24" i="253" s="1"/>
  <c r="EI57" i="253"/>
  <c r="EM14" i="253"/>
  <c r="EO14" i="253"/>
  <c r="EP14" i="253"/>
  <c r="EF51" i="253"/>
  <c r="W47" i="253"/>
  <c r="V47" i="253" s="1"/>
  <c r="EI47" i="253"/>
  <c r="EH47" i="253" s="1"/>
  <c r="BF80" i="253"/>
  <c r="BK43" i="253"/>
  <c r="EI72" i="253"/>
  <c r="AB80" i="253"/>
  <c r="F38" i="253"/>
  <c r="EF23" i="253"/>
  <c r="EN23" i="253"/>
  <c r="EM23" i="253" s="1"/>
  <c r="AZ27" i="253"/>
  <c r="DE27" i="253"/>
  <c r="DE161" i="253" s="1"/>
  <c r="DE211" i="253" s="1"/>
  <c r="EE27" i="253"/>
  <c r="AU38" i="253"/>
  <c r="DL161" i="253"/>
  <c r="DL211" i="253" s="1"/>
  <c r="DK27" i="253"/>
  <c r="BM180" i="252"/>
  <c r="BU180" i="252"/>
  <c r="BT180" i="252" s="1"/>
  <c r="EF20" i="253"/>
  <c r="EI198" i="252"/>
  <c r="EH182" i="252"/>
  <c r="L179" i="250"/>
  <c r="W21" i="253"/>
  <c r="V21" i="253" s="1"/>
  <c r="EI21" i="253"/>
  <c r="EH21" i="253" s="1"/>
  <c r="CH161" i="253"/>
  <c r="CH211" i="253" s="1"/>
  <c r="CG27" i="253"/>
  <c r="R38" i="253"/>
  <c r="Q38" i="253" s="1"/>
  <c r="EH134" i="252"/>
  <c r="L132" i="250"/>
  <c r="EH204" i="252"/>
  <c r="DL201" i="252"/>
  <c r="BA168" i="252"/>
  <c r="AZ168" i="252" s="1"/>
  <c r="AZ142" i="252"/>
  <c r="EH212" i="252"/>
  <c r="EF187" i="252"/>
  <c r="K184" i="250"/>
  <c r="AN164" i="257"/>
  <c r="BK135" i="252"/>
  <c r="BJ135" i="252" s="1"/>
  <c r="BJ133" i="252"/>
  <c r="EW166" i="252"/>
  <c r="CX115" i="252"/>
  <c r="CY119" i="252"/>
  <c r="CX119" i="252" s="1"/>
  <c r="DU180" i="252"/>
  <c r="EC180" i="252"/>
  <c r="EB180" i="252" s="1"/>
  <c r="EN144" i="252"/>
  <c r="EF144" i="252"/>
  <c r="K142" i="250"/>
  <c r="AQ135" i="252"/>
  <c r="AP135" i="252" s="1"/>
  <c r="AP133" i="252"/>
  <c r="EI76" i="253"/>
  <c r="EH76" i="253" s="1"/>
  <c r="EH165" i="252"/>
  <c r="L162" i="250"/>
  <c r="AN156" i="257"/>
  <c r="W168" i="252"/>
  <c r="V168" i="252" s="1"/>
  <c r="V142" i="252"/>
  <c r="CE119" i="252"/>
  <c r="CD119" i="252" s="1"/>
  <c r="CD115" i="252"/>
  <c r="Y201" i="252"/>
  <c r="EH159" i="252"/>
  <c r="L156" i="250"/>
  <c r="AK159" i="257" s="1"/>
  <c r="EH147" i="252"/>
  <c r="L145" i="250"/>
  <c r="AN139" i="257"/>
  <c r="ED135" i="252"/>
  <c r="J131" i="250"/>
  <c r="EW126" i="252"/>
  <c r="EH144" i="252"/>
  <c r="L142" i="250"/>
  <c r="AK145" i="257" s="1"/>
  <c r="EC130" i="252"/>
  <c r="EB130" i="252" s="1"/>
  <c r="BQ119" i="252"/>
  <c r="EI130" i="252"/>
  <c r="EH123" i="252"/>
  <c r="L122" i="250"/>
  <c r="DU130" i="252"/>
  <c r="EF116" i="252"/>
  <c r="EN116" i="252"/>
  <c r="K115" i="250"/>
  <c r="EF150" i="252"/>
  <c r="BU130" i="252"/>
  <c r="BT130" i="252" s="1"/>
  <c r="BT123" i="252"/>
  <c r="EU119" i="252"/>
  <c r="Q119" i="252"/>
  <c r="EW124" i="252"/>
  <c r="EN115" i="252"/>
  <c r="EG119" i="252"/>
  <c r="EF115" i="252"/>
  <c r="K114" i="250"/>
  <c r="DI112" i="252"/>
  <c r="DH112" i="252" s="1"/>
  <c r="DH96" i="252"/>
  <c r="BU93" i="252"/>
  <c r="BT93" i="252" s="1"/>
  <c r="BT88" i="252"/>
  <c r="EH83" i="252"/>
  <c r="L82" i="250"/>
  <c r="AK85" i="257" s="1"/>
  <c r="EH73" i="252"/>
  <c r="L72" i="250"/>
  <c r="AK73" i="257" s="1"/>
  <c r="CY85" i="252"/>
  <c r="CX85" i="252" s="1"/>
  <c r="CX47" i="252"/>
  <c r="BU42" i="252"/>
  <c r="BT42" i="252" s="1"/>
  <c r="BT33" i="252"/>
  <c r="EF67" i="252"/>
  <c r="EN67" i="252"/>
  <c r="K66" i="250"/>
  <c r="AI85" i="252"/>
  <c r="DF216" i="252"/>
  <c r="EH37" i="252"/>
  <c r="L37" i="250"/>
  <c r="AK37" i="257" s="1"/>
  <c r="EF111" i="252"/>
  <c r="BO93" i="252"/>
  <c r="AN91" i="257"/>
  <c r="EN77" i="252"/>
  <c r="EF77" i="252"/>
  <c r="K76" i="250"/>
  <c r="EH76" i="252"/>
  <c r="L75" i="250"/>
  <c r="AK76" i="257" s="1"/>
  <c r="EK93" i="252"/>
  <c r="M87" i="250"/>
  <c r="K27" i="256"/>
  <c r="L27" i="256" s="1"/>
  <c r="F27" i="256"/>
  <c r="K113" i="256"/>
  <c r="L113" i="256" s="1"/>
  <c r="F113" i="256"/>
  <c r="F105" i="256"/>
  <c r="K105" i="256"/>
  <c r="L105" i="256" s="1"/>
  <c r="F97" i="256"/>
  <c r="K97" i="256"/>
  <c r="L97" i="256" s="1"/>
  <c r="DR33" i="252"/>
  <c r="DS42" i="252"/>
  <c r="DR42" i="252" s="1"/>
  <c r="K52" i="256"/>
  <c r="L52" i="256" s="1"/>
  <c r="F52" i="256"/>
  <c r="H37" i="256"/>
  <c r="CH170" i="252"/>
  <c r="CG30" i="252"/>
  <c r="K64" i="256"/>
  <c r="L64" i="256" s="1"/>
  <c r="F64" i="256"/>
  <c r="K37" i="256"/>
  <c r="L37" i="256" s="1"/>
  <c r="F37" i="256"/>
  <c r="F99" i="256"/>
  <c r="EN18" i="252"/>
  <c r="EF18" i="252"/>
  <c r="K18" i="250"/>
  <c r="EG30" i="252"/>
  <c r="EF14" i="252"/>
  <c r="EN14" i="252"/>
  <c r="K14" i="250"/>
  <c r="K59" i="256"/>
  <c r="L59" i="256" s="1"/>
  <c r="F59" i="256"/>
  <c r="F100" i="256"/>
  <c r="K100" i="256"/>
  <c r="L100" i="256" s="1"/>
  <c r="EH20" i="252"/>
  <c r="L20" i="250"/>
  <c r="K125" i="256"/>
  <c r="L125" i="256" s="1"/>
  <c r="F125" i="256"/>
  <c r="F88" i="256"/>
  <c r="K88" i="256"/>
  <c r="L88" i="256" s="1"/>
  <c r="CG85" i="252"/>
  <c r="CE42" i="252"/>
  <c r="CD42" i="252" s="1"/>
  <c r="CD33" i="252"/>
  <c r="BD170" i="252"/>
  <c r="BC30" i="252"/>
  <c r="K61" i="256"/>
  <c r="L61" i="256" s="1"/>
  <c r="F61" i="256"/>
  <c r="AZ120" i="257"/>
  <c r="N86" i="251"/>
  <c r="O86" i="251" s="1"/>
  <c r="O46" i="251"/>
  <c r="F72" i="256"/>
  <c r="K72" i="256"/>
  <c r="L72" i="256" s="1"/>
  <c r="AQ85" i="252"/>
  <c r="AP85" i="252" s="1"/>
  <c r="AL28" i="257"/>
  <c r="K42" i="256"/>
  <c r="L42" i="256" s="1"/>
  <c r="F42" i="256"/>
  <c r="W30" i="252"/>
  <c r="V14" i="252"/>
  <c r="O178" i="251"/>
  <c r="N135" i="251"/>
  <c r="O135" i="251" s="1"/>
  <c r="O133" i="251"/>
  <c r="S197" i="251"/>
  <c r="N101" i="250"/>
  <c r="O101" i="250" s="1"/>
  <c r="R170" i="252"/>
  <c r="EU30" i="252"/>
  <c r="BK42" i="252"/>
  <c r="BJ42" i="252" s="1"/>
  <c r="BJ33" i="252"/>
  <c r="AJ113" i="257"/>
  <c r="AT201" i="257"/>
  <c r="AY201" i="257"/>
  <c r="AZ201" i="257" s="1"/>
  <c r="E18" i="256"/>
  <c r="AY102" i="257"/>
  <c r="AZ102" i="257" s="1"/>
  <c r="AT102" i="257"/>
  <c r="E41" i="256"/>
  <c r="AP104" i="257"/>
  <c r="AQ104" i="257" s="1"/>
  <c r="AG42" i="252"/>
  <c r="AF42" i="252" s="1"/>
  <c r="AY79" i="257"/>
  <c r="AZ79" i="257" s="1"/>
  <c r="AT79" i="257"/>
  <c r="E122" i="256"/>
  <c r="AT54" i="257"/>
  <c r="AY54" i="257"/>
  <c r="AZ54" i="257" s="1"/>
  <c r="E90" i="256"/>
  <c r="F75" i="256"/>
  <c r="K75" i="256"/>
  <c r="L75" i="256" s="1"/>
  <c r="EU42" i="252"/>
  <c r="EW42" i="252" s="1"/>
  <c r="AY83" i="257"/>
  <c r="AZ83" i="257" s="1"/>
  <c r="AT83" i="257"/>
  <c r="E116" i="256"/>
  <c r="H86" i="251"/>
  <c r="R86" i="251" s="1"/>
  <c r="S86" i="251" s="1"/>
  <c r="AQ30" i="252"/>
  <c r="AP14" i="252"/>
  <c r="N208" i="250"/>
  <c r="W208" i="250" s="1"/>
  <c r="H30" i="251"/>
  <c r="EF186" i="253"/>
  <c r="EN186" i="253"/>
  <c r="CY171" i="253"/>
  <c r="CX169" i="253"/>
  <c r="CX171" i="253" s="1"/>
  <c r="CE177" i="253"/>
  <c r="BZ182" i="253"/>
  <c r="AL159" i="253"/>
  <c r="AQ143" i="253"/>
  <c r="V185" i="253"/>
  <c r="EN109" i="253"/>
  <c r="EG113" i="253"/>
  <c r="EF109" i="253"/>
  <c r="R123" i="253"/>
  <c r="EI117" i="253"/>
  <c r="EN102" i="253"/>
  <c r="EF102" i="253"/>
  <c r="EI64" i="253"/>
  <c r="EP48" i="253"/>
  <c r="EM48" i="253"/>
  <c r="EO48" i="253"/>
  <c r="EF49" i="253"/>
  <c r="EC171" i="253"/>
  <c r="EB169" i="253"/>
  <c r="G10" i="254"/>
  <c r="G30" i="254"/>
  <c r="G32" i="254" s="1"/>
  <c r="DI182" i="253"/>
  <c r="DH175" i="253"/>
  <c r="EF179" i="253"/>
  <c r="EH191" i="253"/>
  <c r="BA193" i="253"/>
  <c r="AZ185" i="253"/>
  <c r="AF175" i="253"/>
  <c r="AG182" i="253"/>
  <c r="EI186" i="253"/>
  <c r="EH186" i="253" s="1"/>
  <c r="CY159" i="253"/>
  <c r="CX143" i="253"/>
  <c r="CT159" i="253"/>
  <c r="EI135" i="253"/>
  <c r="EH135" i="253" s="1"/>
  <c r="EF141" i="253"/>
  <c r="EN141" i="253"/>
  <c r="EI158" i="253"/>
  <c r="EH158" i="253" s="1"/>
  <c r="BJ169" i="253"/>
  <c r="BJ171" i="253" s="1"/>
  <c r="BK171" i="253"/>
  <c r="W139" i="253"/>
  <c r="V139" i="253" s="1"/>
  <c r="EI139" i="253"/>
  <c r="EC159" i="253"/>
  <c r="EB143" i="253"/>
  <c r="EF120" i="253"/>
  <c r="EN120" i="253"/>
  <c r="EM120" i="253" s="1"/>
  <c r="BU123" i="253"/>
  <c r="BT117" i="253"/>
  <c r="EC123" i="253"/>
  <c r="EB117" i="253"/>
  <c r="CN91" i="253"/>
  <c r="CO106" i="253"/>
  <c r="EF91" i="253"/>
  <c r="EG106" i="253"/>
  <c r="EF106" i="253" s="1"/>
  <c r="CO109" i="253"/>
  <c r="CJ113" i="253"/>
  <c r="EN94" i="253"/>
  <c r="EF94" i="253"/>
  <c r="AF83" i="253"/>
  <c r="AG88" i="253"/>
  <c r="W86" i="253"/>
  <c r="V86" i="253" s="1"/>
  <c r="EI86" i="253"/>
  <c r="EH86" i="253" s="1"/>
  <c r="EP93" i="253"/>
  <c r="EO93" i="253"/>
  <c r="EM93" i="253"/>
  <c r="V83" i="253"/>
  <c r="EI68" i="253"/>
  <c r="EI60" i="253"/>
  <c r="EI63" i="253"/>
  <c r="EF36" i="253"/>
  <c r="EN36" i="253"/>
  <c r="EN50" i="253"/>
  <c r="EF50" i="253"/>
  <c r="EF32" i="253"/>
  <c r="EN32" i="253"/>
  <c r="EI67" i="253"/>
  <c r="EN35" i="253"/>
  <c r="EF35" i="253"/>
  <c r="EF44" i="253"/>
  <c r="CT80" i="253"/>
  <c r="J161" i="253"/>
  <c r="J211" i="253" s="1"/>
  <c r="F27" i="253"/>
  <c r="CO38" i="253"/>
  <c r="CN38" i="253" s="1"/>
  <c r="EI22" i="253"/>
  <c r="EN212" i="252"/>
  <c r="EF212" i="252"/>
  <c r="K210" i="250"/>
  <c r="N210" i="250" s="1"/>
  <c r="W210" i="250" s="1"/>
  <c r="BW180" i="252"/>
  <c r="CE180" i="252"/>
  <c r="CD180" i="252" s="1"/>
  <c r="AG30" i="253"/>
  <c r="AB38" i="253"/>
  <c r="AA38" i="253" s="1"/>
  <c r="EF18" i="253"/>
  <c r="BJ30" i="253"/>
  <c r="BK38" i="253"/>
  <c r="BJ38" i="253" s="1"/>
  <c r="EM17" i="253"/>
  <c r="EO17" i="253"/>
  <c r="EP17" i="253"/>
  <c r="AL27" i="253"/>
  <c r="EF200" i="252"/>
  <c r="EN200" i="252"/>
  <c r="K197" i="250"/>
  <c r="DI27" i="253"/>
  <c r="DH12" i="253"/>
  <c r="EN158" i="252"/>
  <c r="EF158" i="252"/>
  <c r="K155" i="250"/>
  <c r="DN168" i="252"/>
  <c r="DM168" i="252" s="1"/>
  <c r="CE135" i="252"/>
  <c r="CD135" i="252" s="1"/>
  <c r="CD133" i="252"/>
  <c r="EK180" i="252"/>
  <c r="CY80" i="253"/>
  <c r="EO196" i="252"/>
  <c r="ES196" i="252"/>
  <c r="EW158" i="252"/>
  <c r="EI168" i="252"/>
  <c r="EH142" i="252"/>
  <c r="L140" i="250"/>
  <c r="AK143" i="257" s="1"/>
  <c r="DA191" i="252"/>
  <c r="AH151" i="257"/>
  <c r="EK135" i="252"/>
  <c r="M131" i="250"/>
  <c r="AF115" i="252"/>
  <c r="AG119" i="252"/>
  <c r="AF119" i="252" s="1"/>
  <c r="AN158" i="257"/>
  <c r="BE168" i="252"/>
  <c r="EH196" i="252"/>
  <c r="EO165" i="252"/>
  <c r="ES165" i="252"/>
  <c r="EH145" i="252"/>
  <c r="L143" i="250"/>
  <c r="AK146" i="257" s="1"/>
  <c r="EF133" i="252"/>
  <c r="EN133" i="252"/>
  <c r="EG135" i="252"/>
  <c r="K131" i="250"/>
  <c r="AI130" i="252"/>
  <c r="ED119" i="252"/>
  <c r="J114" i="250"/>
  <c r="EH117" i="252"/>
  <c r="L116" i="250"/>
  <c r="AK119" i="257" s="1"/>
  <c r="EF103" i="252"/>
  <c r="EN103" i="252"/>
  <c r="K102" i="250"/>
  <c r="DW130" i="252"/>
  <c r="EH124" i="252"/>
  <c r="L123" i="250"/>
  <c r="AK126" i="257" s="1"/>
  <c r="BO119" i="252"/>
  <c r="EH150" i="252"/>
  <c r="DS119" i="252"/>
  <c r="DR119" i="252" s="1"/>
  <c r="DR115" i="252"/>
  <c r="AQ112" i="252"/>
  <c r="AP112" i="252" s="1"/>
  <c r="AP96" i="252"/>
  <c r="EH151" i="252"/>
  <c r="L149" i="250"/>
  <c r="O119" i="252"/>
  <c r="AF88" i="252"/>
  <c r="AG93" i="252"/>
  <c r="AF93" i="252" s="1"/>
  <c r="W112" i="252"/>
  <c r="V112" i="252" s="1"/>
  <c r="EN90" i="252"/>
  <c r="EF90" i="252"/>
  <c r="K89" i="250"/>
  <c r="EN83" i="252"/>
  <c r="EF83" i="252"/>
  <c r="K82" i="250"/>
  <c r="EH63" i="252"/>
  <c r="L62" i="250"/>
  <c r="EH55" i="252"/>
  <c r="L54" i="250"/>
  <c r="EK119" i="252"/>
  <c r="AH79" i="257"/>
  <c r="AH82" i="257"/>
  <c r="CO119" i="252"/>
  <c r="CN119" i="252" s="1"/>
  <c r="EF40" i="252"/>
  <c r="EN40" i="252"/>
  <c r="K40" i="250"/>
  <c r="EH110" i="252"/>
  <c r="L109" i="250"/>
  <c r="EF97" i="252"/>
  <c r="EN97" i="252"/>
  <c r="K96" i="250"/>
  <c r="EH101" i="252"/>
  <c r="L100" i="250"/>
  <c r="AK103" i="257" s="1"/>
  <c r="EH66" i="252"/>
  <c r="L65" i="250"/>
  <c r="AK66" i="257" s="1"/>
  <c r="EH58" i="252"/>
  <c r="L57" i="250"/>
  <c r="AK58" i="257" s="1"/>
  <c r="EH50" i="252"/>
  <c r="L49" i="250"/>
  <c r="AK50" i="257" s="1"/>
  <c r="EN106" i="252"/>
  <c r="DR88" i="252"/>
  <c r="DS93" i="252"/>
  <c r="DR93" i="252" s="1"/>
  <c r="EF99" i="252"/>
  <c r="EN99" i="252"/>
  <c r="K98" i="250"/>
  <c r="EF70" i="252"/>
  <c r="EN70" i="252"/>
  <c r="K69" i="250"/>
  <c r="EF62" i="252"/>
  <c r="EN62" i="252"/>
  <c r="K61" i="250"/>
  <c r="EF54" i="252"/>
  <c r="EN54" i="252"/>
  <c r="K53" i="250"/>
  <c r="EF39" i="252"/>
  <c r="EN39" i="252"/>
  <c r="K39" i="250"/>
  <c r="K63" i="256"/>
  <c r="L63" i="256" s="1"/>
  <c r="F63" i="256"/>
  <c r="AZ69" i="257"/>
  <c r="O14" i="251"/>
  <c r="N30" i="251"/>
  <c r="BH170" i="252"/>
  <c r="BH216" i="252" s="1"/>
  <c r="ED85" i="252"/>
  <c r="BP170" i="252"/>
  <c r="BO30" i="252"/>
  <c r="K131" i="256"/>
  <c r="L131" i="256" s="1"/>
  <c r="F131" i="256"/>
  <c r="F78" i="256"/>
  <c r="AZ14" i="257"/>
  <c r="W42" i="252"/>
  <c r="V42" i="252" s="1"/>
  <c r="EF25" i="252"/>
  <c r="K25" i="250"/>
  <c r="EN25" i="252"/>
  <c r="ES25" i="252" s="1"/>
  <c r="DJ170" i="252"/>
  <c r="DJ216" i="252" s="1"/>
  <c r="K24" i="256"/>
  <c r="L24" i="256" s="1"/>
  <c r="F24" i="256"/>
  <c r="BN170" i="252"/>
  <c r="K68" i="256"/>
  <c r="L68" i="256" s="1"/>
  <c r="F68" i="256"/>
  <c r="F101" i="256"/>
  <c r="K101" i="256"/>
  <c r="L101" i="256" s="1"/>
  <c r="F29" i="256"/>
  <c r="EN57" i="252"/>
  <c r="L15" i="250"/>
  <c r="AK15" i="257" s="1"/>
  <c r="EH15" i="252"/>
  <c r="K119" i="256"/>
  <c r="L119" i="256" s="1"/>
  <c r="F119" i="256"/>
  <c r="AT120" i="257"/>
  <c r="DP216" i="252"/>
  <c r="DO170" i="252"/>
  <c r="H120" i="256"/>
  <c r="K57" i="256"/>
  <c r="L57" i="256" s="1"/>
  <c r="F57" i="256"/>
  <c r="H105" i="256"/>
  <c r="EK30" i="252"/>
  <c r="M14" i="250"/>
  <c r="S173" i="251"/>
  <c r="P135" i="251"/>
  <c r="AY67" i="257"/>
  <c r="AZ67" i="257" s="1"/>
  <c r="AT67" i="257"/>
  <c r="E103" i="256"/>
  <c r="AY40" i="257"/>
  <c r="AZ40" i="257" s="1"/>
  <c r="AT40" i="257"/>
  <c r="E36" i="256"/>
  <c r="AV135" i="257"/>
  <c r="G57" i="256"/>
  <c r="H57" i="256" s="1"/>
  <c r="AY93" i="257"/>
  <c r="AZ93" i="257" s="1"/>
  <c r="AT93" i="257"/>
  <c r="E25" i="256"/>
  <c r="AY59" i="257"/>
  <c r="AZ59" i="257" s="1"/>
  <c r="AT59" i="257"/>
  <c r="E95" i="256"/>
  <c r="AY18" i="257"/>
  <c r="AZ18" i="257" s="1"/>
  <c r="AT18" i="257"/>
  <c r="E73" i="256"/>
  <c r="AN200" i="257"/>
  <c r="EN29" i="252"/>
  <c r="EF29" i="252"/>
  <c r="K29" i="250"/>
  <c r="EF20" i="252"/>
  <c r="DB170" i="252"/>
  <c r="EF15" i="252"/>
  <c r="EN15" i="252"/>
  <c r="K15" i="250"/>
  <c r="AT82" i="257"/>
  <c r="AY82" i="257"/>
  <c r="AZ82" i="257" s="1"/>
  <c r="AL139" i="257"/>
  <c r="AN36" i="257"/>
  <c r="BK30" i="252"/>
  <c r="Q41" i="251"/>
  <c r="AT23" i="257"/>
  <c r="AY23" i="257"/>
  <c r="AZ23" i="257" s="1"/>
  <c r="E77" i="256"/>
  <c r="EI30" i="252"/>
  <c r="EH14" i="252"/>
  <c r="L14" i="250"/>
  <c r="AR95" i="257"/>
  <c r="AY57" i="257"/>
  <c r="AZ57" i="257" s="1"/>
  <c r="AT57" i="257"/>
  <c r="E93" i="256"/>
  <c r="BU175" i="253"/>
  <c r="BP182" i="253"/>
  <c r="AF205" i="257"/>
  <c r="BA182" i="253"/>
  <c r="CY175" i="253"/>
  <c r="CT182" i="253"/>
  <c r="CT193" i="253"/>
  <c r="CY185" i="253"/>
  <c r="EF153" i="253"/>
  <c r="EI148" i="253"/>
  <c r="EI143" i="253"/>
  <c r="EF187" i="253"/>
  <c r="EN187" i="253"/>
  <c r="W182" i="253"/>
  <c r="V175" i="253"/>
  <c r="EC182" i="253"/>
  <c r="EB175" i="253"/>
  <c r="EF154" i="253"/>
  <c r="EI136" i="253"/>
  <c r="EI147" i="253"/>
  <c r="CO171" i="253"/>
  <c r="CN170" i="253"/>
  <c r="CN171" i="253" s="1"/>
  <c r="DX159" i="253"/>
  <c r="W119" i="253"/>
  <c r="V119" i="253" s="1"/>
  <c r="EH146" i="253"/>
  <c r="AG113" i="253"/>
  <c r="AF109" i="253"/>
  <c r="CE128" i="253"/>
  <c r="CD126" i="253"/>
  <c r="CD128" i="253" s="1"/>
  <c r="EN92" i="253"/>
  <c r="EF92" i="253"/>
  <c r="EI110" i="253"/>
  <c r="EH110" i="253" s="1"/>
  <c r="EI105" i="253"/>
  <c r="EN83" i="253"/>
  <c r="EG88" i="253"/>
  <c r="EF88" i="253" s="1"/>
  <c r="EF83" i="253"/>
  <c r="BJ83" i="253"/>
  <c r="BK88" i="253"/>
  <c r="EH83" i="253"/>
  <c r="DI113" i="253"/>
  <c r="DH109" i="253"/>
  <c r="DH113" i="253" s="1"/>
  <c r="CD91" i="253"/>
  <c r="CD106" i="253" s="1"/>
  <c r="CE106" i="253"/>
  <c r="EI58" i="253"/>
  <c r="DH83" i="253"/>
  <c r="DI88" i="253"/>
  <c r="EF76" i="253"/>
  <c r="EN76" i="253"/>
  <c r="EM76" i="253" s="1"/>
  <c r="EF53" i="253"/>
  <c r="EH43" i="253"/>
  <c r="EH36" i="253"/>
  <c r="EF24" i="253"/>
  <c r="EN24" i="253"/>
  <c r="AJ161" i="253"/>
  <c r="AJ211" i="253" s="1"/>
  <c r="AI27" i="253"/>
  <c r="BE180" i="252"/>
  <c r="BK180" i="252"/>
  <c r="BJ180" i="252" s="1"/>
  <c r="EC38" i="253"/>
  <c r="EB38" i="253" s="1"/>
  <c r="EB30" i="253"/>
  <c r="CR161" i="253"/>
  <c r="CR211" i="253" s="1"/>
  <c r="CQ27" i="253"/>
  <c r="EI18" i="253"/>
  <c r="EH18" i="253" s="1"/>
  <c r="EI201" i="252"/>
  <c r="EH195" i="252"/>
  <c r="L191" i="250"/>
  <c r="AS38" i="253"/>
  <c r="EN16" i="253"/>
  <c r="EF16" i="253"/>
  <c r="BK201" i="252"/>
  <c r="BJ201" i="252" s="1"/>
  <c r="BC201" i="252"/>
  <c r="BE38" i="253"/>
  <c r="AQ27" i="253"/>
  <c r="AP12" i="253"/>
  <c r="EF211" i="252"/>
  <c r="EN211" i="252"/>
  <c r="K209" i="250"/>
  <c r="M161" i="253"/>
  <c r="M211" i="253" s="1"/>
  <c r="EH160" i="252"/>
  <c r="L157" i="250"/>
  <c r="AK160" i="257" s="1"/>
  <c r="EH157" i="252"/>
  <c r="EN157" i="252"/>
  <c r="L154" i="250"/>
  <c r="DD27" i="253"/>
  <c r="EW201" i="252"/>
  <c r="EF145" i="252"/>
  <c r="EN145" i="252"/>
  <c r="K143" i="250"/>
  <c r="EC27" i="253"/>
  <c r="EV201" i="252"/>
  <c r="AM187" i="257"/>
  <c r="M188" i="250"/>
  <c r="EI175" i="252"/>
  <c r="EH175" i="252" s="1"/>
  <c r="EH174" i="252"/>
  <c r="L171" i="250"/>
  <c r="EW198" i="252"/>
  <c r="EN148" i="252"/>
  <c r="EH148" i="252"/>
  <c r="L146" i="250"/>
  <c r="EF208" i="252"/>
  <c r="EN208" i="252"/>
  <c r="DS155" i="252"/>
  <c r="DR155" i="252" s="1"/>
  <c r="EH143" i="252"/>
  <c r="L141" i="250"/>
  <c r="AK144" i="257" s="1"/>
  <c r="EH156" i="252"/>
  <c r="DI119" i="252"/>
  <c r="DH119" i="252" s="1"/>
  <c r="EB96" i="252"/>
  <c r="EC112" i="252"/>
  <c r="EB112" i="252" s="1"/>
  <c r="EN134" i="252"/>
  <c r="DI130" i="252"/>
  <c r="DH130" i="252" s="1"/>
  <c r="EF118" i="252"/>
  <c r="EN118" i="252"/>
  <c r="K117" i="250"/>
  <c r="EF107" i="252"/>
  <c r="EN107" i="252"/>
  <c r="K106" i="250"/>
  <c r="EG130" i="252"/>
  <c r="EN123" i="252"/>
  <c r="EF123" i="252"/>
  <c r="K122" i="250"/>
  <c r="EC168" i="252"/>
  <c r="EB168" i="252" s="1"/>
  <c r="EB142" i="252"/>
  <c r="EC135" i="252"/>
  <c r="EB135" i="252" s="1"/>
  <c r="EB133" i="252"/>
  <c r="EV112" i="252"/>
  <c r="DI168" i="252"/>
  <c r="DH168" i="252" s="1"/>
  <c r="DH142" i="252"/>
  <c r="CX96" i="252"/>
  <c r="CY112" i="252"/>
  <c r="CX112" i="252" s="1"/>
  <c r="AM79" i="257"/>
  <c r="AN79" i="257" s="1"/>
  <c r="AM82" i="257"/>
  <c r="AN82" i="257" s="1"/>
  <c r="CO112" i="252"/>
  <c r="CN112" i="252" s="1"/>
  <c r="O85" i="252"/>
  <c r="EH99" i="252"/>
  <c r="L98" i="250"/>
  <c r="AK101" i="257" s="1"/>
  <c r="AZ88" i="252"/>
  <c r="BA93" i="252"/>
  <c r="AZ93" i="252" s="1"/>
  <c r="BJ88" i="252"/>
  <c r="BK93" i="252"/>
  <c r="BJ93" i="252" s="1"/>
  <c r="EW81" i="252"/>
  <c r="EF51" i="252"/>
  <c r="EN51" i="252"/>
  <c r="K50" i="250"/>
  <c r="AM85" i="252"/>
  <c r="ES108" i="252"/>
  <c r="EO108" i="252"/>
  <c r="BQ93" i="252"/>
  <c r="EN81" i="252"/>
  <c r="EF81" i="252"/>
  <c r="K80" i="250"/>
  <c r="EN110" i="252"/>
  <c r="CS112" i="252"/>
  <c r="AH49" i="257"/>
  <c r="J84" i="250"/>
  <c r="EI42" i="252"/>
  <c r="EH33" i="252"/>
  <c r="L33" i="250"/>
  <c r="AA85" i="252"/>
  <c r="AN94" i="257"/>
  <c r="EF37" i="252"/>
  <c r="EN37" i="252"/>
  <c r="K37" i="250"/>
  <c r="K16" i="256"/>
  <c r="L16" i="256" s="1"/>
  <c r="F16" i="256"/>
  <c r="AZ181" i="257"/>
  <c r="AY183" i="257"/>
  <c r="AT69" i="257"/>
  <c r="AR87" i="257"/>
  <c r="F76" i="256"/>
  <c r="K76" i="256"/>
  <c r="L76" i="256" s="1"/>
  <c r="Z170" i="252"/>
  <c r="Y30" i="252"/>
  <c r="K130" i="256"/>
  <c r="L130" i="256" s="1"/>
  <c r="F130" i="256"/>
  <c r="AZ125" i="257"/>
  <c r="AY131" i="257"/>
  <c r="DO42" i="252"/>
  <c r="K140" i="256"/>
  <c r="L140" i="256" s="1"/>
  <c r="F140" i="256"/>
  <c r="K45" i="256"/>
  <c r="L45" i="256" s="1"/>
  <c r="F45" i="256"/>
  <c r="AZ98" i="257"/>
  <c r="F107" i="256"/>
  <c r="K107" i="256"/>
  <c r="L107" i="256" s="1"/>
  <c r="F34" i="256"/>
  <c r="EH49" i="252"/>
  <c r="CX14" i="252"/>
  <c r="CY30" i="252"/>
  <c r="K137" i="256"/>
  <c r="L137" i="256" s="1"/>
  <c r="F137" i="256"/>
  <c r="K124" i="256"/>
  <c r="L124" i="256" s="1"/>
  <c r="F124" i="256"/>
  <c r="EH38" i="252"/>
  <c r="K133" i="256"/>
  <c r="L133" i="256" s="1"/>
  <c r="F133" i="256"/>
  <c r="K39" i="256"/>
  <c r="L39" i="256" s="1"/>
  <c r="F39" i="256"/>
  <c r="EN41" i="252"/>
  <c r="EO41" i="252" s="1"/>
  <c r="EW27" i="252"/>
  <c r="ED30" i="252"/>
  <c r="J14" i="250"/>
  <c r="AD170" i="252"/>
  <c r="AD216" i="252" s="1"/>
  <c r="AC30" i="252"/>
  <c r="K11" i="256"/>
  <c r="L11" i="256" s="1"/>
  <c r="F11" i="256"/>
  <c r="K22" i="256"/>
  <c r="L22" i="256" s="1"/>
  <c r="F22" i="256"/>
  <c r="F102" i="256"/>
  <c r="K102" i="256"/>
  <c r="L102" i="256" s="1"/>
  <c r="EN63" i="252"/>
  <c r="BX170" i="252"/>
  <c r="BW30" i="252"/>
  <c r="F9" i="256"/>
  <c r="N173" i="251"/>
  <c r="O173" i="251" s="1"/>
  <c r="AY135" i="257"/>
  <c r="AZ135" i="257" s="1"/>
  <c r="AV69" i="257"/>
  <c r="F96" i="256"/>
  <c r="T170" i="252"/>
  <c r="S30" i="252"/>
  <c r="K168" i="251"/>
  <c r="P30" i="251"/>
  <c r="W30" i="250"/>
  <c r="AY147" i="257"/>
  <c r="AZ147" i="257" s="1"/>
  <c r="AT147" i="257"/>
  <c r="E62" i="256"/>
  <c r="AV169" i="257"/>
  <c r="G136" i="256"/>
  <c r="H136" i="256" s="1"/>
  <c r="S120" i="251"/>
  <c r="AL26" i="257"/>
  <c r="N120" i="251"/>
  <c r="O120" i="251" s="1"/>
  <c r="S130" i="251"/>
  <c r="EN20" i="252"/>
  <c r="AV71" i="257"/>
  <c r="G107" i="256"/>
  <c r="H107" i="256" s="1"/>
  <c r="AV38" i="257"/>
  <c r="G34" i="256"/>
  <c r="H34" i="256" s="1"/>
  <c r="AP139" i="257"/>
  <c r="AQ139" i="257" s="1"/>
  <c r="S113" i="251"/>
  <c r="EH17" i="252"/>
  <c r="L17" i="250"/>
  <c r="AK17" i="257" s="1"/>
  <c r="AV33" i="257"/>
  <c r="AU42" i="257"/>
  <c r="G29" i="256"/>
  <c r="H29" i="256" s="1"/>
  <c r="AQ113" i="257"/>
  <c r="AL170" i="252"/>
  <c r="AK30" i="252"/>
  <c r="H41" i="251"/>
  <c r="R41" i="251" s="1"/>
  <c r="S41" i="251" s="1"/>
  <c r="EF155" i="253"/>
  <c r="EN155" i="253"/>
  <c r="EF178" i="252"/>
  <c r="EN178" i="252"/>
  <c r="EO178" i="252" s="1"/>
  <c r="K175" i="250"/>
  <c r="I16" i="263"/>
  <c r="I24" i="263"/>
  <c r="EN191" i="253"/>
  <c r="EM191" i="253" s="1"/>
  <c r="EF191" i="253"/>
  <c r="EN203" i="253"/>
  <c r="EM203" i="253" s="1"/>
  <c r="EF177" i="253"/>
  <c r="AG219" i="257"/>
  <c r="AF220" i="257"/>
  <c r="AG220" i="257" s="1"/>
  <c r="H19" i="263"/>
  <c r="Z170" i="257"/>
  <c r="Y173" i="257"/>
  <c r="Y237" i="257" s="1"/>
  <c r="AF131" i="257"/>
  <c r="AG131" i="257" s="1"/>
  <c r="AW173" i="257"/>
  <c r="AW237" i="257" s="1"/>
  <c r="AW257" i="257" s="1"/>
  <c r="AG33" i="257"/>
  <c r="AF42" i="257"/>
  <c r="AG42" i="257" s="1"/>
  <c r="F24" i="254"/>
  <c r="F26" i="254"/>
  <c r="F25" i="254"/>
  <c r="CN196" i="253"/>
  <c r="DD193" i="253"/>
  <c r="BJ196" i="253"/>
  <c r="EF178" i="253"/>
  <c r="EN178" i="253"/>
  <c r="AQ182" i="253"/>
  <c r="AP175" i="253"/>
  <c r="EE182" i="253"/>
  <c r="W165" i="253"/>
  <c r="V165" i="253" s="1"/>
  <c r="EI165" i="253"/>
  <c r="AL193" i="253"/>
  <c r="AQ185" i="253"/>
  <c r="EN170" i="253"/>
  <c r="EF189" i="253"/>
  <c r="DR169" i="253"/>
  <c r="DR171" i="253" s="1"/>
  <c r="DS171" i="253"/>
  <c r="EI177" i="253"/>
  <c r="EH177" i="253" s="1"/>
  <c r="EI175" i="253"/>
  <c r="EN175" i="253" s="1"/>
  <c r="CE159" i="253"/>
  <c r="CD143" i="253"/>
  <c r="EI138" i="253"/>
  <c r="CO159" i="253"/>
  <c r="CN143" i="253"/>
  <c r="DD123" i="253"/>
  <c r="DI117" i="253"/>
  <c r="EN118" i="253"/>
  <c r="EF118" i="253"/>
  <c r="EN127" i="253"/>
  <c r="EF127" i="253"/>
  <c r="EN111" i="253"/>
  <c r="EM111" i="253" s="1"/>
  <c r="BT126" i="253"/>
  <c r="BU128" i="253"/>
  <c r="AK119" i="253"/>
  <c r="BF119" i="253"/>
  <c r="V91" i="253"/>
  <c r="W106" i="253"/>
  <c r="EG123" i="253"/>
  <c r="EF117" i="253"/>
  <c r="EF123" i="253" s="1"/>
  <c r="EN117" i="253"/>
  <c r="EE113" i="253"/>
  <c r="BP88" i="253"/>
  <c r="BU83" i="253"/>
  <c r="CJ106" i="253"/>
  <c r="W78" i="253"/>
  <c r="V78" i="253" s="1"/>
  <c r="EI78" i="253"/>
  <c r="EP99" i="253"/>
  <c r="EO99" i="253"/>
  <c r="EM99" i="253"/>
  <c r="EE88" i="253"/>
  <c r="EI91" i="253"/>
  <c r="EN91" i="253" s="1"/>
  <c r="W64" i="253"/>
  <c r="V64" i="253" s="1"/>
  <c r="EH79" i="253"/>
  <c r="EF77" i="253"/>
  <c r="EN77" i="253"/>
  <c r="EM77" i="253" s="1"/>
  <c r="EI66" i="253"/>
  <c r="W35" i="253"/>
  <c r="V35" i="253" s="1"/>
  <c r="EI71" i="253"/>
  <c r="DS38" i="253"/>
  <c r="DR38" i="253" s="1"/>
  <c r="DR30" i="253"/>
  <c r="EI70" i="253"/>
  <c r="EI50" i="253"/>
  <c r="EH50" i="253" s="1"/>
  <c r="DI80" i="253"/>
  <c r="DH43" i="253"/>
  <c r="EN54" i="253"/>
  <c r="EF54" i="253"/>
  <c r="EH19" i="253"/>
  <c r="DW38" i="253"/>
  <c r="EI20" i="253"/>
  <c r="EH20" i="253" s="1"/>
  <c r="BZ27" i="253"/>
  <c r="CE12" i="253"/>
  <c r="AH187" i="257"/>
  <c r="AH194" i="257" s="1"/>
  <c r="AJ194" i="257" s="1"/>
  <c r="J188" i="250"/>
  <c r="EV180" i="252"/>
  <c r="ED180" i="252"/>
  <c r="S180" i="252"/>
  <c r="DJ161" i="253"/>
  <c r="DJ211" i="253" s="1"/>
  <c r="DO27" i="253"/>
  <c r="DO161" i="253" s="1"/>
  <c r="DO211" i="253" s="1"/>
  <c r="G161" i="253"/>
  <c r="AM181" i="257"/>
  <c r="M177" i="250"/>
  <c r="CO27" i="253"/>
  <c r="BJ184" i="252"/>
  <c r="BJ185" i="252" s="1"/>
  <c r="BK185" i="252"/>
  <c r="DW27" i="253"/>
  <c r="X161" i="253"/>
  <c r="X211" i="253" s="1"/>
  <c r="EV185" i="252"/>
  <c r="EW185" i="252" s="1"/>
  <c r="ED185" i="252"/>
  <c r="ED191" i="252" s="1"/>
  <c r="EP33" i="253"/>
  <c r="EO33" i="253"/>
  <c r="EM33" i="253"/>
  <c r="ES210" i="252"/>
  <c r="EO210" i="252"/>
  <c r="EI185" i="252"/>
  <c r="EN185" i="252" s="1"/>
  <c r="AU27" i="253"/>
  <c r="CY180" i="252"/>
  <c r="CX180" i="252" s="1"/>
  <c r="CQ180" i="252"/>
  <c r="EH154" i="252"/>
  <c r="L151" i="250"/>
  <c r="EU168" i="252"/>
  <c r="EW168" i="252" s="1"/>
  <c r="Q168" i="252"/>
  <c r="CY130" i="252"/>
  <c r="CX130" i="252" s="1"/>
  <c r="CX123" i="252"/>
  <c r="CQ168" i="252"/>
  <c r="DH184" i="252"/>
  <c r="DH185" i="252" s="1"/>
  <c r="DH191" i="252" s="1"/>
  <c r="DI185" i="252"/>
  <c r="DI191" i="252" s="1"/>
  <c r="BA180" i="252"/>
  <c r="AZ180" i="252" s="1"/>
  <c r="AG168" i="252"/>
  <c r="AF168" i="252" s="1"/>
  <c r="AF142" i="252"/>
  <c r="EI61" i="253"/>
  <c r="EH211" i="252"/>
  <c r="L209" i="250"/>
  <c r="AK234" i="257" s="1"/>
  <c r="EF160" i="252"/>
  <c r="EN160" i="252"/>
  <c r="K157" i="250"/>
  <c r="BV161" i="253"/>
  <c r="BV211" i="253" s="1"/>
  <c r="CA27" i="253"/>
  <c r="CA161" i="253" s="1"/>
  <c r="CA211" i="253" s="1"/>
  <c r="EW156" i="252"/>
  <c r="ED168" i="252"/>
  <c r="J140" i="250"/>
  <c r="AH143" i="257" s="1"/>
  <c r="AP123" i="252"/>
  <c r="AQ130" i="252"/>
  <c r="AP130" i="252" s="1"/>
  <c r="EV119" i="252"/>
  <c r="AU130" i="252"/>
  <c r="EF134" i="252"/>
  <c r="EF101" i="252"/>
  <c r="EN101" i="252"/>
  <c r="K100" i="250"/>
  <c r="S119" i="252"/>
  <c r="DI135" i="252"/>
  <c r="DH135" i="252" s="1"/>
  <c r="DH133" i="252"/>
  <c r="DX168" i="252"/>
  <c r="DW168" i="252" s="1"/>
  <c r="CK119" i="252"/>
  <c r="EF127" i="252"/>
  <c r="EN127" i="252"/>
  <c r="EO127" i="252" s="1"/>
  <c r="EH109" i="252"/>
  <c r="L108" i="250"/>
  <c r="EF89" i="252"/>
  <c r="EN89" i="252"/>
  <c r="K88" i="250"/>
  <c r="EV93" i="252"/>
  <c r="EH69" i="252"/>
  <c r="L68" i="250"/>
  <c r="AK69" i="257" s="1"/>
  <c r="EH61" i="252"/>
  <c r="L60" i="250"/>
  <c r="EH53" i="252"/>
  <c r="L52" i="250"/>
  <c r="AK53" i="257" s="1"/>
  <c r="ED42" i="252"/>
  <c r="J33" i="250"/>
  <c r="V93" i="252"/>
  <c r="W85" i="252"/>
  <c r="V85" i="252" s="1"/>
  <c r="V47" i="252"/>
  <c r="EH78" i="252"/>
  <c r="L77" i="250"/>
  <c r="AK78" i="257" s="1"/>
  <c r="EK42" i="252"/>
  <c r="M33" i="250"/>
  <c r="BJ96" i="252"/>
  <c r="BK112" i="252"/>
  <c r="BJ112" i="252" s="1"/>
  <c r="ES79" i="252"/>
  <c r="EO79" i="252"/>
  <c r="EN72" i="252"/>
  <c r="EF72" i="252"/>
  <c r="K71" i="250"/>
  <c r="EH64" i="252"/>
  <c r="L63" i="250"/>
  <c r="AK64" i="257" s="1"/>
  <c r="EH56" i="252"/>
  <c r="L55" i="250"/>
  <c r="AK56" i="257" s="1"/>
  <c r="EN104" i="252"/>
  <c r="EN82" i="252"/>
  <c r="EF82" i="252"/>
  <c r="K81" i="250"/>
  <c r="EH98" i="252"/>
  <c r="EI88" i="252"/>
  <c r="EN76" i="252"/>
  <c r="EF76" i="252"/>
  <c r="K75" i="250"/>
  <c r="EF68" i="252"/>
  <c r="EN68" i="252"/>
  <c r="K67" i="250"/>
  <c r="EF60" i="252"/>
  <c r="EN60" i="252"/>
  <c r="K59" i="250"/>
  <c r="EF52" i="252"/>
  <c r="EN52" i="252"/>
  <c r="K51" i="250"/>
  <c r="EF35" i="252"/>
  <c r="EN35" i="252"/>
  <c r="K35" i="250"/>
  <c r="K10" i="256"/>
  <c r="L10" i="256" s="1"/>
  <c r="F10" i="256"/>
  <c r="K129" i="256"/>
  <c r="L129" i="256" s="1"/>
  <c r="F129" i="256"/>
  <c r="K120" i="256"/>
  <c r="L120" i="256" s="1"/>
  <c r="F120" i="256"/>
  <c r="N113" i="251"/>
  <c r="O113" i="251" s="1"/>
  <c r="O97" i="251"/>
  <c r="F82" i="256"/>
  <c r="K82" i="256"/>
  <c r="L82" i="256" s="1"/>
  <c r="AR173" i="257"/>
  <c r="AR237" i="257" s="1"/>
  <c r="EH36" i="252"/>
  <c r="AX170" i="252"/>
  <c r="AX216" i="252" s="1"/>
  <c r="AW30" i="252"/>
  <c r="K53" i="256"/>
  <c r="L53" i="256" s="1"/>
  <c r="F53" i="256"/>
  <c r="ED112" i="252"/>
  <c r="CK85" i="252"/>
  <c r="EF16" i="252"/>
  <c r="EN16" i="252"/>
  <c r="K16" i="250"/>
  <c r="AF14" i="252"/>
  <c r="AG30" i="252"/>
  <c r="F108" i="256"/>
  <c r="K108" i="256"/>
  <c r="L108" i="256" s="1"/>
  <c r="EN71" i="252"/>
  <c r="AV170" i="252"/>
  <c r="P41" i="251"/>
  <c r="AZ33" i="257"/>
  <c r="BF170" i="252"/>
  <c r="BE30" i="252"/>
  <c r="DS30" i="252"/>
  <c r="DR14" i="252"/>
  <c r="G169" i="252"/>
  <c r="G221" i="252" s="1"/>
  <c r="K40" i="256"/>
  <c r="L40" i="256" s="1"/>
  <c r="F40" i="256"/>
  <c r="AZ90" i="257"/>
  <c r="EH34" i="252"/>
  <c r="EN19" i="252"/>
  <c r="ES19" i="252" s="1"/>
  <c r="EF19" i="252"/>
  <c r="K19" i="250"/>
  <c r="F14" i="256"/>
  <c r="AY194" i="257"/>
  <c r="AZ187" i="257"/>
  <c r="K136" i="256"/>
  <c r="L136" i="256" s="1"/>
  <c r="F136" i="256"/>
  <c r="F128" i="256"/>
  <c r="N130" i="251"/>
  <c r="O130" i="251" s="1"/>
  <c r="O124" i="251"/>
  <c r="F104" i="256"/>
  <c r="EC30" i="252"/>
  <c r="EB14" i="252"/>
  <c r="AS136" i="257"/>
  <c r="AS173" i="257" s="1"/>
  <c r="AY134" i="257"/>
  <c r="AT134" i="257"/>
  <c r="E56" i="256"/>
  <c r="AY85" i="257"/>
  <c r="AZ85" i="257" s="1"/>
  <c r="AT85" i="257"/>
  <c r="E118" i="256"/>
  <c r="AV50" i="257"/>
  <c r="G86" i="256"/>
  <c r="H86" i="256" s="1"/>
  <c r="AV166" i="257"/>
  <c r="G115" i="256"/>
  <c r="H115" i="256" s="1"/>
  <c r="BL170" i="252"/>
  <c r="BL216" i="252" s="1"/>
  <c r="AT78" i="257"/>
  <c r="AY78" i="257"/>
  <c r="AZ78" i="257" s="1"/>
  <c r="E114" i="256"/>
  <c r="AN148" i="257"/>
  <c r="AN20" i="257"/>
  <c r="CO30" i="252"/>
  <c r="CN14" i="252"/>
  <c r="AL200" i="257"/>
  <c r="CI30" i="252"/>
  <c r="AO170" i="252"/>
  <c r="AO216" i="252" s="1"/>
  <c r="AT62" i="257"/>
  <c r="AY62" i="257"/>
  <c r="AZ62" i="257" s="1"/>
  <c r="E98" i="256"/>
  <c r="DK30" i="252"/>
  <c r="L168" i="251"/>
  <c r="J12" i="261"/>
  <c r="I14" i="261"/>
  <c r="I19" i="261" s="1"/>
  <c r="AF183" i="257"/>
  <c r="AG181" i="257"/>
  <c r="AG183" i="257" s="1"/>
  <c r="EN158" i="253"/>
  <c r="EF158" i="253"/>
  <c r="BO27" i="253"/>
  <c r="BL161" i="253"/>
  <c r="BL211" i="253" s="1"/>
  <c r="BQ27" i="253"/>
  <c r="BQ161" i="253" s="1"/>
  <c r="BQ211" i="253" s="1"/>
  <c r="EF21" i="253"/>
  <c r="EN21" i="253"/>
  <c r="EC185" i="252"/>
  <c r="EC191" i="252" s="1"/>
  <c r="EB184" i="252"/>
  <c r="EB185" i="252" s="1"/>
  <c r="EB191" i="252" s="1"/>
  <c r="BT185" i="253"/>
  <c r="BU193" i="253"/>
  <c r="AF196" i="253"/>
  <c r="EI178" i="253"/>
  <c r="EH178" i="253" s="1"/>
  <c r="EG159" i="253"/>
  <c r="EN143" i="253"/>
  <c r="EF143" i="253"/>
  <c r="AL171" i="253"/>
  <c r="AQ169" i="253"/>
  <c r="AZ143" i="253"/>
  <c r="BA159" i="253"/>
  <c r="I22" i="259"/>
  <c r="G24" i="254"/>
  <c r="EI189" i="253"/>
  <c r="EH189" i="253" s="1"/>
  <c r="W189" i="253"/>
  <c r="V189" i="253" s="1"/>
  <c r="I16" i="261"/>
  <c r="I24" i="261"/>
  <c r="D17" i="261"/>
  <c r="H24" i="254"/>
  <c r="H25" i="254"/>
  <c r="CD196" i="253"/>
  <c r="EI179" i="253"/>
  <c r="EH179" i="253" s="1"/>
  <c r="EF176" i="253"/>
  <c r="BK193" i="253"/>
  <c r="BJ185" i="253"/>
  <c r="DN159" i="253"/>
  <c r="DS143" i="253"/>
  <c r="I16" i="262"/>
  <c r="I24" i="262"/>
  <c r="AB170" i="257"/>
  <c r="AA173" i="257"/>
  <c r="AA237" i="257" s="1"/>
  <c r="Z194" i="257"/>
  <c r="AF194" i="257"/>
  <c r="AG194" i="257" s="1"/>
  <c r="AD131" i="257"/>
  <c r="X173" i="257"/>
  <c r="X237" i="257" s="1"/>
  <c r="AG98" i="257"/>
  <c r="AF114" i="257"/>
  <c r="AG114" i="257" s="1"/>
  <c r="EN209" i="253"/>
  <c r="DH196" i="253"/>
  <c r="F34" i="254"/>
  <c r="F36" i="254"/>
  <c r="F35" i="254"/>
  <c r="F38" i="254" s="1"/>
  <c r="EI188" i="253"/>
  <c r="EH188" i="253" s="1"/>
  <c r="EE193" i="253"/>
  <c r="W152" i="253"/>
  <c r="V152" i="253" s="1"/>
  <c r="EI187" i="253"/>
  <c r="EH187" i="253" s="1"/>
  <c r="DS182" i="253"/>
  <c r="DR175" i="253"/>
  <c r="EF188" i="253"/>
  <c r="EN188" i="253"/>
  <c r="BF159" i="253"/>
  <c r="BK143" i="253"/>
  <c r="R182" i="253"/>
  <c r="EI154" i="253"/>
  <c r="EH154" i="253" s="1"/>
  <c r="W159" i="253"/>
  <c r="V143" i="253"/>
  <c r="DI171" i="253"/>
  <c r="EN149" i="253"/>
  <c r="EM149" i="253" s="1"/>
  <c r="EF149" i="253"/>
  <c r="W117" i="253"/>
  <c r="DI159" i="253"/>
  <c r="DH143" i="253"/>
  <c r="CJ159" i="253"/>
  <c r="EF126" i="253"/>
  <c r="EN126" i="253"/>
  <c r="EG128" i="253"/>
  <c r="EF128" i="253" s="1"/>
  <c r="EO131" i="253"/>
  <c r="EM131" i="253"/>
  <c r="EP131" i="253"/>
  <c r="AP126" i="253"/>
  <c r="AQ128" i="253"/>
  <c r="EH131" i="253"/>
  <c r="BP123" i="253"/>
  <c r="EN101" i="253"/>
  <c r="EI85" i="253"/>
  <c r="EH85" i="253" s="1"/>
  <c r="W62" i="253"/>
  <c r="V62" i="253" s="1"/>
  <c r="BK106" i="253"/>
  <c r="BJ91" i="253"/>
  <c r="EI56" i="253"/>
  <c r="CO83" i="253"/>
  <c r="CJ88" i="253"/>
  <c r="AQ38" i="253"/>
  <c r="AP38" i="253" s="1"/>
  <c r="AP30" i="253"/>
  <c r="EI65" i="253"/>
  <c r="EN62" i="253"/>
  <c r="EI53" i="253"/>
  <c r="EH53" i="253" s="1"/>
  <c r="DD80" i="253"/>
  <c r="BU27" i="253"/>
  <c r="BT12" i="253"/>
  <c r="AQ80" i="253"/>
  <c r="AP43" i="253"/>
  <c r="P161" i="253"/>
  <c r="P211" i="253" s="1"/>
  <c r="P213" i="253" s="1"/>
  <c r="O27" i="253"/>
  <c r="CT27" i="253"/>
  <c r="CY12" i="253"/>
  <c r="EC80" i="253"/>
  <c r="EB43" i="253"/>
  <c r="DI30" i="253"/>
  <c r="DD38" i="253"/>
  <c r="DC38" i="253" s="1"/>
  <c r="BN161" i="253"/>
  <c r="BN211" i="253" s="1"/>
  <c r="BK27" i="253"/>
  <c r="BJ12" i="253"/>
  <c r="AG201" i="252"/>
  <c r="AF201" i="252" s="1"/>
  <c r="CE185" i="252"/>
  <c r="CD184" i="252"/>
  <c r="CD185" i="252" s="1"/>
  <c r="EN204" i="252"/>
  <c r="EO204" i="252" s="1"/>
  <c r="EF204" i="252"/>
  <c r="K201" i="250"/>
  <c r="EI187" i="252"/>
  <c r="EN187" i="252" s="1"/>
  <c r="EH161" i="252"/>
  <c r="L158" i="250"/>
  <c r="EF13" i="253"/>
  <c r="EN13" i="253"/>
  <c r="ES197" i="252"/>
  <c r="EO197" i="252"/>
  <c r="DS80" i="253"/>
  <c r="DR43" i="253"/>
  <c r="EI184" i="252"/>
  <c r="EN167" i="252"/>
  <c r="EO167" i="252" s="1"/>
  <c r="EF164" i="252"/>
  <c r="EN164" i="252"/>
  <c r="K161" i="250"/>
  <c r="AG27" i="253"/>
  <c r="AF12" i="253"/>
  <c r="EH167" i="252"/>
  <c r="L164" i="250"/>
  <c r="EN163" i="252"/>
  <c r="BK168" i="252"/>
  <c r="BJ168" i="252" s="1"/>
  <c r="BJ142" i="252"/>
  <c r="EF34" i="253"/>
  <c r="EN34" i="253"/>
  <c r="EF174" i="252"/>
  <c r="EN174" i="252"/>
  <c r="K171" i="250"/>
  <c r="EK168" i="252"/>
  <c r="M140" i="250"/>
  <c r="AM143" i="257" s="1"/>
  <c r="AN143" i="257" s="1"/>
  <c r="EN26" i="253"/>
  <c r="AN208" i="257"/>
  <c r="EH178" i="252"/>
  <c r="L175" i="250"/>
  <c r="EN159" i="252"/>
  <c r="EF159" i="252"/>
  <c r="K156" i="250"/>
  <c r="EG195" i="252"/>
  <c r="EN19" i="253"/>
  <c r="EF19" i="253"/>
  <c r="EF207" i="252"/>
  <c r="EN207" i="252"/>
  <c r="K204" i="250"/>
  <c r="BW201" i="252"/>
  <c r="CE201" i="252"/>
  <c r="CD201" i="252" s="1"/>
  <c r="EN166" i="252"/>
  <c r="EN146" i="252"/>
  <c r="EF146" i="252"/>
  <c r="K144" i="250"/>
  <c r="EW117" i="252"/>
  <c r="EH118" i="252"/>
  <c r="L117" i="250"/>
  <c r="AK120" i="257" s="1"/>
  <c r="EW155" i="252"/>
  <c r="DS168" i="252"/>
  <c r="DR168" i="252" s="1"/>
  <c r="EN151" i="252"/>
  <c r="CG119" i="252"/>
  <c r="EF157" i="252"/>
  <c r="BT115" i="252"/>
  <c r="BU119" i="252"/>
  <c r="BT119" i="252" s="1"/>
  <c r="BT96" i="252"/>
  <c r="BU112" i="252"/>
  <c r="BT112" i="252" s="1"/>
  <c r="DS133" i="252"/>
  <c r="EH126" i="252"/>
  <c r="L125" i="250"/>
  <c r="AK128" i="257" s="1"/>
  <c r="AS130" i="252"/>
  <c r="EN117" i="252"/>
  <c r="EF117" i="252"/>
  <c r="K116" i="250"/>
  <c r="V119" i="252"/>
  <c r="EH146" i="252"/>
  <c r="L144" i="250"/>
  <c r="AK147" i="257" s="1"/>
  <c r="EN126" i="252"/>
  <c r="EF126" i="252"/>
  <c r="K125" i="250"/>
  <c r="AM106" i="257"/>
  <c r="N103" i="250"/>
  <c r="O103" i="250" s="1"/>
  <c r="AG135" i="252"/>
  <c r="AF135" i="252" s="1"/>
  <c r="BM119" i="252"/>
  <c r="EI112" i="252"/>
  <c r="EH96" i="252"/>
  <c r="L95" i="250"/>
  <c r="AG130" i="252"/>
  <c r="AF130" i="252" s="1"/>
  <c r="CI119" i="252"/>
  <c r="AN100" i="257"/>
  <c r="ED93" i="252"/>
  <c r="J87" i="250"/>
  <c r="EH80" i="252"/>
  <c r="L79" i="250"/>
  <c r="EH107" i="252"/>
  <c r="L106" i="250"/>
  <c r="AK109" i="257" s="1"/>
  <c r="EH81" i="252"/>
  <c r="L80" i="250"/>
  <c r="AK83" i="257" s="1"/>
  <c r="EF69" i="252"/>
  <c r="EN69" i="252"/>
  <c r="K68" i="250"/>
  <c r="EW47" i="252"/>
  <c r="EV85" i="252"/>
  <c r="CU112" i="252"/>
  <c r="CN89" i="252"/>
  <c r="CO93" i="252"/>
  <c r="CN93" i="252" s="1"/>
  <c r="EN109" i="252"/>
  <c r="EH91" i="252"/>
  <c r="L90" i="250"/>
  <c r="AK93" i="257" s="1"/>
  <c r="CD93" i="252"/>
  <c r="EH48" i="252"/>
  <c r="L47" i="250"/>
  <c r="AK48" i="257" s="1"/>
  <c r="EH39" i="252"/>
  <c r="L39" i="250"/>
  <c r="AK39" i="257" s="1"/>
  <c r="AQ42" i="252"/>
  <c r="AP42" i="252" s="1"/>
  <c r="AP33" i="252"/>
  <c r="CE112" i="252"/>
  <c r="CD112" i="252" s="1"/>
  <c r="CA93" i="252"/>
  <c r="EW89" i="252"/>
  <c r="AN74" i="257"/>
  <c r="EF50" i="252"/>
  <c r="EN50" i="252"/>
  <c r="K49" i="250"/>
  <c r="EH22" i="252"/>
  <c r="L22" i="250"/>
  <c r="N166" i="251"/>
  <c r="O166" i="251" s="1"/>
  <c r="O142" i="251"/>
  <c r="AY121" i="257"/>
  <c r="AZ117" i="257"/>
  <c r="P94" i="251"/>
  <c r="AV79" i="257"/>
  <c r="G122" i="256"/>
  <c r="H122" i="256" s="1"/>
  <c r="EF84" i="252"/>
  <c r="DV170" i="252"/>
  <c r="DU30" i="252"/>
  <c r="AH170" i="252"/>
  <c r="AH216" i="252" s="1"/>
  <c r="AY178" i="257"/>
  <c r="AZ178" i="257" s="1"/>
  <c r="K51" i="256"/>
  <c r="L51" i="256" s="1"/>
  <c r="F51" i="256"/>
  <c r="F115" i="256"/>
  <c r="K132" i="256"/>
  <c r="L132" i="256" s="1"/>
  <c r="F132" i="256"/>
  <c r="K38" i="256"/>
  <c r="L38" i="256" s="1"/>
  <c r="F38" i="256"/>
  <c r="K117" i="256"/>
  <c r="L117" i="256" s="1"/>
  <c r="F117" i="256"/>
  <c r="AN170" i="252"/>
  <c r="AN216" i="252" s="1"/>
  <c r="AM30" i="252"/>
  <c r="K47" i="256"/>
  <c r="L47" i="256" s="1"/>
  <c r="F47" i="256"/>
  <c r="K109" i="256"/>
  <c r="L109" i="256" s="1"/>
  <c r="F109" i="256"/>
  <c r="K35" i="256"/>
  <c r="L35" i="256" s="1"/>
  <c r="F35" i="256"/>
  <c r="CV170" i="252"/>
  <c r="CU30" i="252"/>
  <c r="K17" i="256"/>
  <c r="L17" i="256" s="1"/>
  <c r="F17" i="256"/>
  <c r="K48" i="256"/>
  <c r="L48" i="256" s="1"/>
  <c r="F48" i="256"/>
  <c r="CY42" i="252"/>
  <c r="CX42" i="252" s="1"/>
  <c r="EH18" i="252"/>
  <c r="L18" i="250"/>
  <c r="AK18" i="257" s="1"/>
  <c r="AT205" i="257"/>
  <c r="K112" i="256"/>
  <c r="L112" i="256" s="1"/>
  <c r="F112" i="256"/>
  <c r="DT170" i="252"/>
  <c r="DY30" i="252"/>
  <c r="Q187" i="251"/>
  <c r="AT165" i="257"/>
  <c r="AY165" i="257"/>
  <c r="AZ165" i="257" s="1"/>
  <c r="E135" i="256"/>
  <c r="AV14" i="257"/>
  <c r="AU30" i="257"/>
  <c r="AU173" i="257" s="1"/>
  <c r="G71" i="256"/>
  <c r="H71" i="256" s="1"/>
  <c r="AV158" i="257"/>
  <c r="G128" i="256"/>
  <c r="H128" i="256" s="1"/>
  <c r="AY49" i="257"/>
  <c r="AZ49" i="257" s="1"/>
  <c r="AT49" i="257"/>
  <c r="E85" i="256"/>
  <c r="O193" i="250"/>
  <c r="Q197" i="251"/>
  <c r="J168" i="251"/>
  <c r="J215" i="251" s="1"/>
  <c r="N136" i="250"/>
  <c r="O136" i="250" s="1"/>
  <c r="CL170" i="252"/>
  <c r="CL216" i="252" s="1"/>
  <c r="CK30" i="252"/>
  <c r="AT149" i="257"/>
  <c r="AY149" i="257"/>
  <c r="AZ149" i="257" s="1"/>
  <c r="E69" i="256"/>
  <c r="AV26" i="257"/>
  <c r="G80" i="256"/>
  <c r="H80" i="256" s="1"/>
  <c r="AQ200" i="257"/>
  <c r="CJ170" i="252"/>
  <c r="AT70" i="257"/>
  <c r="AY70" i="257"/>
  <c r="AZ70" i="257" s="1"/>
  <c r="E106" i="256"/>
  <c r="AV36" i="257"/>
  <c r="G32" i="256"/>
  <c r="H32" i="256" s="1"/>
  <c r="N160" i="250"/>
  <c r="O160" i="250" s="1"/>
  <c r="EF75" i="252"/>
  <c r="AW26" i="252"/>
  <c r="AB170" i="252"/>
  <c r="AA30" i="252"/>
  <c r="C168" i="251"/>
  <c r="DM30" i="252"/>
  <c r="AN23" i="257"/>
  <c r="EF17" i="252"/>
  <c r="EN17" i="252"/>
  <c r="ES17" i="252" s="1"/>
  <c r="K17" i="250"/>
  <c r="DL170" i="252"/>
  <c r="AV76" i="257"/>
  <c r="G112" i="256"/>
  <c r="H112" i="256" s="1"/>
  <c r="AN38" i="257"/>
  <c r="I219" i="250"/>
  <c r="P218" i="250" s="1"/>
  <c r="AG117" i="253"/>
  <c r="EI128" i="253"/>
  <c r="EH128" i="253" s="1"/>
  <c r="EH126" i="253"/>
  <c r="AF126" i="253"/>
  <c r="AG128" i="253"/>
  <c r="AG80" i="253"/>
  <c r="AF43" i="253"/>
  <c r="EN31" i="253"/>
  <c r="EF31" i="253"/>
  <c r="EG38" i="253"/>
  <c r="EF30" i="253"/>
  <c r="EN30" i="253"/>
  <c r="V12" i="253"/>
  <c r="W27" i="253"/>
  <c r="CO168" i="252"/>
  <c r="CN168" i="252" s="1"/>
  <c r="CN142" i="252"/>
  <c r="EF184" i="252"/>
  <c r="EN184" i="252"/>
  <c r="K181" i="250"/>
  <c r="EF153" i="252"/>
  <c r="EN153" i="252"/>
  <c r="K150" i="250"/>
  <c r="ES147" i="252"/>
  <c r="EO147" i="252"/>
  <c r="AQ119" i="252"/>
  <c r="AP119" i="252" s="1"/>
  <c r="AP115" i="252"/>
  <c r="V123" i="252"/>
  <c r="W130" i="252"/>
  <c r="V130" i="252" s="1"/>
  <c r="ES138" i="252"/>
  <c r="EO138" i="252"/>
  <c r="EH116" i="252"/>
  <c r="L115" i="250"/>
  <c r="AK118" i="257" s="1"/>
  <c r="ES154" i="252"/>
  <c r="EO154" i="252"/>
  <c r="EV130" i="252"/>
  <c r="EH92" i="252"/>
  <c r="L91" i="250"/>
  <c r="AK94" i="257" s="1"/>
  <c r="EG93" i="252"/>
  <c r="EF88" i="252"/>
  <c r="EN88" i="252"/>
  <c r="K87" i="250"/>
  <c r="EH72" i="252"/>
  <c r="L71" i="250"/>
  <c r="AK72" i="257" s="1"/>
  <c r="AH100" i="257"/>
  <c r="J111" i="250"/>
  <c r="EN92" i="252"/>
  <c r="EF92" i="252"/>
  <c r="K91" i="250"/>
  <c r="EH67" i="252"/>
  <c r="L66" i="250"/>
  <c r="AK67" i="257" s="1"/>
  <c r="EH59" i="252"/>
  <c r="L58" i="250"/>
  <c r="EN73" i="252"/>
  <c r="EF73" i="252"/>
  <c r="K72" i="250"/>
  <c r="DH47" i="252"/>
  <c r="DI85" i="252"/>
  <c r="DH85" i="252" s="1"/>
  <c r="EF34" i="252"/>
  <c r="EN34" i="252"/>
  <c r="K34" i="250"/>
  <c r="ES102" i="252"/>
  <c r="EO102" i="252"/>
  <c r="AP88" i="252"/>
  <c r="AQ93" i="252"/>
  <c r="AP93" i="252" s="1"/>
  <c r="DS85" i="252"/>
  <c r="DR85" i="252" s="1"/>
  <c r="DR47" i="252"/>
  <c r="EH70" i="252"/>
  <c r="L69" i="250"/>
  <c r="AK70" i="257" s="1"/>
  <c r="EH62" i="252"/>
  <c r="L61" i="250"/>
  <c r="AK62" i="257" s="1"/>
  <c r="EH54" i="252"/>
  <c r="L53" i="250"/>
  <c r="AK54" i="257" s="1"/>
  <c r="EB47" i="252"/>
  <c r="EC85" i="252"/>
  <c r="EB85" i="252" s="1"/>
  <c r="EH35" i="252"/>
  <c r="L35" i="250"/>
  <c r="AK35" i="257" s="1"/>
  <c r="EH75" i="252"/>
  <c r="L74" i="250"/>
  <c r="AK75" i="257" s="1"/>
  <c r="EF66" i="252"/>
  <c r="EN66" i="252"/>
  <c r="K65" i="250"/>
  <c r="EF58" i="252"/>
  <c r="EN58" i="252"/>
  <c r="K57" i="250"/>
  <c r="EI85" i="252"/>
  <c r="EH47" i="252"/>
  <c r="L46" i="250"/>
  <c r="AY170" i="257"/>
  <c r="AZ151" i="257"/>
  <c r="K65" i="256"/>
  <c r="L65" i="256" s="1"/>
  <c r="F65" i="256"/>
  <c r="F74" i="256"/>
  <c r="K74" i="256"/>
  <c r="L74" i="256" s="1"/>
  <c r="EG85" i="252"/>
  <c r="K44" i="256"/>
  <c r="L44" i="256" s="1"/>
  <c r="F44" i="256"/>
  <c r="P170" i="252"/>
  <c r="O30" i="252"/>
  <c r="K67" i="256"/>
  <c r="L67" i="256" s="1"/>
  <c r="F67" i="256"/>
  <c r="N41" i="251"/>
  <c r="O41" i="251" s="1"/>
  <c r="O33" i="251"/>
  <c r="EN59" i="252"/>
  <c r="K54" i="256"/>
  <c r="L54" i="256" s="1"/>
  <c r="F54" i="256"/>
  <c r="F87" i="256"/>
  <c r="K87" i="256"/>
  <c r="L87" i="256" s="1"/>
  <c r="EH24" i="252"/>
  <c r="L24" i="250"/>
  <c r="AK24" i="257" s="1"/>
  <c r="AY215" i="257"/>
  <c r="AZ215" i="257" s="1"/>
  <c r="AT215" i="257"/>
  <c r="F80" i="256"/>
  <c r="CE30" i="252"/>
  <c r="CD14" i="252"/>
  <c r="O182" i="251"/>
  <c r="N187" i="251"/>
  <c r="O187" i="251" s="1"/>
  <c r="AT95" i="257"/>
  <c r="K110" i="256"/>
  <c r="L110" i="256" s="1"/>
  <c r="F110" i="256"/>
  <c r="F89" i="256"/>
  <c r="K89" i="256"/>
  <c r="L89" i="256" s="1"/>
  <c r="EN26" i="252"/>
  <c r="ES26" i="252" s="1"/>
  <c r="EF26" i="252"/>
  <c r="K26" i="250"/>
  <c r="AY205" i="257"/>
  <c r="AZ197" i="257"/>
  <c r="AT194" i="257"/>
  <c r="F32" i="256"/>
  <c r="EN24" i="252"/>
  <c r="EF24" i="252"/>
  <c r="K24" i="250"/>
  <c r="CT170" i="252"/>
  <c r="DX170" i="252"/>
  <c r="DW30" i="252"/>
  <c r="AT35" i="257"/>
  <c r="AY35" i="257"/>
  <c r="AZ35" i="257" s="1"/>
  <c r="E31" i="256"/>
  <c r="AV202" i="257"/>
  <c r="G19" i="256"/>
  <c r="H19" i="256" s="1"/>
  <c r="AU205" i="257"/>
  <c r="AV197" i="257"/>
  <c r="G14" i="256"/>
  <c r="H14" i="256" s="1"/>
  <c r="AY110" i="257"/>
  <c r="AZ110" i="257" s="1"/>
  <c r="AT110" i="257"/>
  <c r="E49" i="256"/>
  <c r="AR30" i="257"/>
  <c r="D71" i="256"/>
  <c r="F71" i="256" s="1"/>
  <c r="EH23" i="252"/>
  <c r="L23" i="250"/>
  <c r="AK23" i="257" s="1"/>
  <c r="AP163" i="257"/>
  <c r="AQ163" i="257" s="1"/>
  <c r="AR170" i="252"/>
  <c r="AR216" i="252" s="1"/>
  <c r="AY94" i="257"/>
  <c r="AZ94" i="257" s="1"/>
  <c r="AT94" i="257"/>
  <c r="E26" i="256"/>
  <c r="AV55" i="257"/>
  <c r="G91" i="256"/>
  <c r="H91" i="256" s="1"/>
  <c r="EN75" i="252"/>
  <c r="EV30" i="252"/>
  <c r="AJ163" i="257"/>
  <c r="W194" i="250"/>
  <c r="H35" i="254"/>
  <c r="H38" i="254" s="1"/>
  <c r="H34" i="254"/>
  <c r="EH209" i="253"/>
  <c r="EI171" i="253"/>
  <c r="EH171" i="253" s="1"/>
  <c r="EH169" i="253"/>
  <c r="CD117" i="253"/>
  <c r="CD123" i="253" s="1"/>
  <c r="CE123" i="253"/>
  <c r="EF85" i="253"/>
  <c r="EN85" i="253"/>
  <c r="EF45" i="253"/>
  <c r="CO80" i="253"/>
  <c r="CN43" i="253"/>
  <c r="DN161" i="253"/>
  <c r="DN211" i="253" s="1"/>
  <c r="DM27" i="253"/>
  <c r="AR161" i="253"/>
  <c r="AR211" i="253" s="1"/>
  <c r="AW27" i="253"/>
  <c r="AW161" i="253" s="1"/>
  <c r="AW211" i="253" s="1"/>
  <c r="AA27" i="253"/>
  <c r="CX30" i="253"/>
  <c r="CY38" i="253"/>
  <c r="CX38" i="253" s="1"/>
  <c r="BU135" i="252"/>
  <c r="BT135" i="252" s="1"/>
  <c r="BT133" i="252"/>
  <c r="ED201" i="252"/>
  <c r="J191" i="250"/>
  <c r="EG168" i="252"/>
  <c r="EN142" i="252"/>
  <c r="EF142" i="252"/>
  <c r="K140" i="250"/>
  <c r="EH164" i="252"/>
  <c r="L161" i="250"/>
  <c r="AK164" i="257" s="1"/>
  <c r="I14" i="263"/>
  <c r="H22" i="259"/>
  <c r="V173" i="257"/>
  <c r="W170" i="257"/>
  <c r="AD170" i="257"/>
  <c r="AC173" i="257"/>
  <c r="AF30" i="257"/>
  <c r="AG30" i="257" s="1"/>
  <c r="AG14" i="257"/>
  <c r="DI193" i="253"/>
  <c r="EN202" i="253"/>
  <c r="EI196" i="253"/>
  <c r="EH196" i="253" s="1"/>
  <c r="H26" i="254"/>
  <c r="EF190" i="253"/>
  <c r="EN190" i="253"/>
  <c r="EI190" i="253"/>
  <c r="EH190" i="253" s="1"/>
  <c r="H14" i="254"/>
  <c r="H13" i="254"/>
  <c r="EI176" i="253"/>
  <c r="EH176" i="253" s="1"/>
  <c r="AB171" i="253"/>
  <c r="AG169" i="253"/>
  <c r="EC193" i="253"/>
  <c r="EB185" i="253"/>
  <c r="EI153" i="253"/>
  <c r="EH153" i="253" s="1"/>
  <c r="CD185" i="253"/>
  <c r="CE193" i="253"/>
  <c r="EI150" i="253"/>
  <c r="EI185" i="253"/>
  <c r="EF192" i="253"/>
  <c r="EN192" i="253"/>
  <c r="W171" i="253"/>
  <c r="V169" i="253"/>
  <c r="EN146" i="253"/>
  <c r="EM146" i="253" s="1"/>
  <c r="EF146" i="253"/>
  <c r="DD182" i="253"/>
  <c r="R159" i="253"/>
  <c r="EN140" i="253"/>
  <c r="EG193" i="253"/>
  <c r="EE159" i="253"/>
  <c r="CE171" i="253"/>
  <c r="CD169" i="253"/>
  <c r="CD171" i="253" s="1"/>
  <c r="DD159" i="253"/>
  <c r="BP159" i="253"/>
  <c r="EI157" i="253"/>
  <c r="BA123" i="253"/>
  <c r="CE113" i="253"/>
  <c r="CD109" i="253"/>
  <c r="CD113" i="253" s="1"/>
  <c r="AV123" i="253"/>
  <c r="AV161" i="253" s="1"/>
  <c r="AV211" i="253" s="1"/>
  <c r="DH126" i="253"/>
  <c r="DI128" i="253"/>
  <c r="AB113" i="253"/>
  <c r="EF104" i="253"/>
  <c r="CY117" i="253"/>
  <c r="CT123" i="253"/>
  <c r="BP113" i="253"/>
  <c r="BP161" i="253" s="1"/>
  <c r="BP211" i="253" s="1"/>
  <c r="BU109" i="253"/>
  <c r="DD106" i="253"/>
  <c r="DI91" i="253"/>
  <c r="V109" i="253"/>
  <c r="W113" i="253"/>
  <c r="EN100" i="253"/>
  <c r="EF100" i="253"/>
  <c r="EF103" i="253"/>
  <c r="EN103" i="253"/>
  <c r="EM103" i="253" s="1"/>
  <c r="DX106" i="253"/>
  <c r="DX161" i="253" s="1"/>
  <c r="DX211" i="253" s="1"/>
  <c r="EC91" i="253"/>
  <c r="BA113" i="253"/>
  <c r="EF87" i="253"/>
  <c r="EN87" i="253"/>
  <c r="DS88" i="253"/>
  <c r="DR83" i="253"/>
  <c r="W58" i="253"/>
  <c r="V58" i="253" s="1"/>
  <c r="EI104" i="253"/>
  <c r="EH104" i="253" s="1"/>
  <c r="EP97" i="253"/>
  <c r="EO97" i="253"/>
  <c r="EM97" i="253"/>
  <c r="EI54" i="253"/>
  <c r="EH54" i="253" s="1"/>
  <c r="DS106" i="253"/>
  <c r="DR91" i="253"/>
  <c r="CE80" i="253"/>
  <c r="EI55" i="253"/>
  <c r="EI73" i="253"/>
  <c r="EI51" i="253"/>
  <c r="EH51" i="253" s="1"/>
  <c r="CJ161" i="253"/>
  <c r="CJ211" i="253" s="1"/>
  <c r="CI27" i="253"/>
  <c r="EI49" i="253"/>
  <c r="EH49" i="253" s="1"/>
  <c r="W44" i="253"/>
  <c r="EI44" i="253"/>
  <c r="EH44" i="253" s="1"/>
  <c r="BG161" i="253"/>
  <c r="BG211" i="253" s="1"/>
  <c r="CJ80" i="253"/>
  <c r="EI45" i="253"/>
  <c r="EH45" i="253" s="1"/>
  <c r="R80" i="253"/>
  <c r="BC38" i="253"/>
  <c r="EI46" i="253"/>
  <c r="EH46" i="253" s="1"/>
  <c r="EH34" i="253"/>
  <c r="DU38" i="253"/>
  <c r="DS27" i="253"/>
  <c r="DR12" i="253"/>
  <c r="EF12" i="253"/>
  <c r="EN12" i="253"/>
  <c r="EG27" i="253"/>
  <c r="AH161" i="253"/>
  <c r="AH211" i="253" s="1"/>
  <c r="AM27" i="253"/>
  <c r="CO185" i="252"/>
  <c r="CN184" i="252"/>
  <c r="CN185" i="252" s="1"/>
  <c r="BU185" i="252"/>
  <c r="BT184" i="252"/>
  <c r="BT185" i="252" s="1"/>
  <c r="BA80" i="253"/>
  <c r="AZ43" i="253"/>
  <c r="EH32" i="253"/>
  <c r="Z161" i="253"/>
  <c r="Z211" i="253" s="1"/>
  <c r="Y27" i="253"/>
  <c r="DT161" i="253"/>
  <c r="DT211" i="253" s="1"/>
  <c r="DY27" i="253"/>
  <c r="DY161" i="253" s="1"/>
  <c r="DY211" i="253" s="1"/>
  <c r="EI213" i="252"/>
  <c r="DX201" i="252"/>
  <c r="DW201" i="252" s="1"/>
  <c r="AQ180" i="252"/>
  <c r="AP180" i="252" s="1"/>
  <c r="AI180" i="252"/>
  <c r="EI25" i="253"/>
  <c r="EW165" i="252"/>
  <c r="EF165" i="252"/>
  <c r="EN161" i="252"/>
  <c r="EF143" i="252"/>
  <c r="EN143" i="252"/>
  <c r="K141" i="250"/>
  <c r="CT38" i="253"/>
  <c r="CS38" i="253" s="1"/>
  <c r="EN156" i="252"/>
  <c r="EF156" i="252"/>
  <c r="K153" i="250"/>
  <c r="DU27" i="253"/>
  <c r="DN201" i="252"/>
  <c r="DM201" i="252" s="1"/>
  <c r="EH207" i="252"/>
  <c r="L204" i="250"/>
  <c r="AK211" i="257" s="1"/>
  <c r="DI180" i="252"/>
  <c r="DH180" i="252" s="1"/>
  <c r="O180" i="252"/>
  <c r="EG180" i="252"/>
  <c r="W180" i="252"/>
  <c r="V180" i="252" s="1"/>
  <c r="EF162" i="252"/>
  <c r="EN162" i="252"/>
  <c r="K159" i="250"/>
  <c r="BD161" i="253"/>
  <c r="BD211" i="253" s="1"/>
  <c r="EW195" i="252"/>
  <c r="AN165" i="257"/>
  <c r="EH153" i="252"/>
  <c r="L150" i="250"/>
  <c r="AK153" i="257" s="1"/>
  <c r="CY168" i="252"/>
  <c r="CX168" i="252" s="1"/>
  <c r="CX142" i="252"/>
  <c r="EH162" i="252"/>
  <c r="L159" i="250"/>
  <c r="AK162" i="257" s="1"/>
  <c r="EH158" i="252"/>
  <c r="L155" i="250"/>
  <c r="AK158" i="257" s="1"/>
  <c r="AF184" i="252"/>
  <c r="AF185" i="252" s="1"/>
  <c r="AG185" i="252"/>
  <c r="EW159" i="252"/>
  <c r="EW151" i="252"/>
  <c r="CE168" i="252"/>
  <c r="CD168" i="252" s="1"/>
  <c r="EF147" i="252"/>
  <c r="CO130" i="252"/>
  <c r="CN130" i="252" s="1"/>
  <c r="BA119" i="252"/>
  <c r="AZ119" i="252" s="1"/>
  <c r="AI119" i="252"/>
  <c r="EF163" i="252"/>
  <c r="EH125" i="252"/>
  <c r="L124" i="250"/>
  <c r="AK127" i="257" s="1"/>
  <c r="EF138" i="252"/>
  <c r="EN125" i="252"/>
  <c r="EF125" i="252"/>
  <c r="K124" i="250"/>
  <c r="Q130" i="252"/>
  <c r="EU130" i="252"/>
  <c r="EW130" i="252" s="1"/>
  <c r="EW116" i="252"/>
  <c r="EF154" i="252"/>
  <c r="EW135" i="252"/>
  <c r="DA130" i="252"/>
  <c r="ED130" i="252"/>
  <c r="J122" i="250"/>
  <c r="EU93" i="252"/>
  <c r="EW93" i="252" s="1"/>
  <c r="Q93" i="252"/>
  <c r="AM119" i="252"/>
  <c r="AN84" i="257"/>
  <c r="EO98" i="252"/>
  <c r="ES98" i="252"/>
  <c r="EW71" i="252"/>
  <c r="DS112" i="252"/>
  <c r="DR112" i="252" s="1"/>
  <c r="EW77" i="252"/>
  <c r="EB33" i="252"/>
  <c r="EC42" i="252"/>
  <c r="EB42" i="252" s="1"/>
  <c r="DI93" i="252"/>
  <c r="DH93" i="252" s="1"/>
  <c r="DH88" i="252"/>
  <c r="EF53" i="252"/>
  <c r="EN53" i="252"/>
  <c r="K52" i="250"/>
  <c r="CO85" i="252"/>
  <c r="CN85" i="252" s="1"/>
  <c r="CN47" i="252"/>
  <c r="EF38" i="252"/>
  <c r="EN38" i="252"/>
  <c r="K38" i="250"/>
  <c r="EU112" i="252"/>
  <c r="EW112" i="252" s="1"/>
  <c r="EH79" i="252"/>
  <c r="CU85" i="252"/>
  <c r="BA42" i="252"/>
  <c r="AZ42" i="252" s="1"/>
  <c r="AZ33" i="252"/>
  <c r="DK85" i="252"/>
  <c r="EF78" i="252"/>
  <c r="EN78" i="252"/>
  <c r="K77" i="250"/>
  <c r="BA85" i="252"/>
  <c r="AZ85" i="252" s="1"/>
  <c r="EH82" i="252"/>
  <c r="L81" i="250"/>
  <c r="AK84" i="257" s="1"/>
  <c r="BK85" i="252"/>
  <c r="BJ85" i="252" s="1"/>
  <c r="BJ47" i="252"/>
  <c r="EN100" i="252"/>
  <c r="EF91" i="252"/>
  <c r="EN91" i="252"/>
  <c r="K90" i="250"/>
  <c r="EH74" i="252"/>
  <c r="L73" i="250"/>
  <c r="EF48" i="252"/>
  <c r="EN48" i="252"/>
  <c r="K47" i="250"/>
  <c r="K20" i="256"/>
  <c r="L20" i="256" s="1"/>
  <c r="F20" i="256"/>
  <c r="D141" i="256"/>
  <c r="K50" i="256"/>
  <c r="L50" i="256" s="1"/>
  <c r="F50" i="256"/>
  <c r="K43" i="256"/>
  <c r="L43" i="256" s="1"/>
  <c r="F43" i="256"/>
  <c r="F92" i="256"/>
  <c r="K92" i="256"/>
  <c r="L92" i="256" s="1"/>
  <c r="F84" i="256"/>
  <c r="K84" i="256"/>
  <c r="L84" i="256" s="1"/>
  <c r="K33" i="256"/>
  <c r="L33" i="256" s="1"/>
  <c r="F33" i="256"/>
  <c r="EN65" i="252"/>
  <c r="ES36" i="252"/>
  <c r="EO36" i="252"/>
  <c r="CP170" i="252"/>
  <c r="CP216" i="252" s="1"/>
  <c r="CR170" i="252"/>
  <c r="K13" i="256"/>
  <c r="L13" i="256" s="1"/>
  <c r="F13" i="256"/>
  <c r="EN74" i="252"/>
  <c r="EH21" i="252"/>
  <c r="L21" i="250"/>
  <c r="AK21" i="257" s="1"/>
  <c r="CZ170" i="252"/>
  <c r="CZ216" i="252" s="1"/>
  <c r="DE30" i="252"/>
  <c r="K12" i="256"/>
  <c r="L12" i="256" s="1"/>
  <c r="F12" i="256"/>
  <c r="F86" i="256"/>
  <c r="DH33" i="252"/>
  <c r="DI42" i="252"/>
  <c r="DH42" i="252" s="1"/>
  <c r="EW19" i="252"/>
  <c r="K46" i="256"/>
  <c r="L46" i="256" s="1"/>
  <c r="F46" i="256"/>
  <c r="EW14" i="252"/>
  <c r="AT230" i="257"/>
  <c r="AY230" i="257"/>
  <c r="AZ230" i="257" s="1"/>
  <c r="K60" i="256"/>
  <c r="L60" i="256" s="1"/>
  <c r="F60" i="256"/>
  <c r="H66" i="256"/>
  <c r="EF33" i="252"/>
  <c r="EG42" i="252"/>
  <c r="EN33" i="252"/>
  <c r="K33" i="250"/>
  <c r="BV170" i="252"/>
  <c r="BV216" i="252" s="1"/>
  <c r="K21" i="256"/>
  <c r="L21" i="256" s="1"/>
  <c r="F21" i="256"/>
  <c r="K19" i="256"/>
  <c r="L19" i="256" s="1"/>
  <c r="F19" i="256"/>
  <c r="H63" i="256"/>
  <c r="F83" i="256"/>
  <c r="K83" i="256"/>
  <c r="L83" i="256" s="1"/>
  <c r="AJ170" i="252"/>
  <c r="AI30" i="252"/>
  <c r="AU194" i="257"/>
  <c r="AV187" i="257"/>
  <c r="G9" i="256"/>
  <c r="K9" i="256" s="1"/>
  <c r="AV68" i="257"/>
  <c r="G104" i="256"/>
  <c r="H104" i="256" s="1"/>
  <c r="DI30" i="252"/>
  <c r="DH14" i="252"/>
  <c r="AV60" i="257"/>
  <c r="G96" i="256"/>
  <c r="H96" i="256" s="1"/>
  <c r="EN27" i="252"/>
  <c r="ES27" i="252" s="1"/>
  <c r="EF27" i="252"/>
  <c r="K27" i="250"/>
  <c r="AZ14" i="252"/>
  <c r="BA30" i="252"/>
  <c r="AV24" i="257"/>
  <c r="G78" i="256"/>
  <c r="H78" i="256" s="1"/>
  <c r="AV63" i="257"/>
  <c r="G99" i="256"/>
  <c r="H99" i="256" s="1"/>
  <c r="AM121" i="257"/>
  <c r="AN34" i="257"/>
  <c r="N170" i="252"/>
  <c r="AY27" i="257"/>
  <c r="AZ27" i="257" s="1"/>
  <c r="AT27" i="257"/>
  <c r="E81" i="256"/>
  <c r="EN22" i="252"/>
  <c r="BR170" i="252"/>
  <c r="BR216" i="252" s="1"/>
  <c r="AT228" i="257"/>
  <c r="AY228" i="257"/>
  <c r="AZ228" i="257" s="1"/>
  <c r="P49" i="246"/>
  <c r="L49" i="246"/>
  <c r="H49" i="246"/>
  <c r="H19" i="245"/>
  <c r="F19" i="245"/>
  <c r="D19" i="245"/>
  <c r="B19" i="245"/>
  <c r="F10" i="244"/>
  <c r="I10" i="244" s="1"/>
  <c r="J10" i="244" s="1"/>
  <c r="I9" i="244"/>
  <c r="J9" i="244" s="1"/>
  <c r="F9" i="244"/>
  <c r="O17" i="243"/>
  <c r="N17" i="243"/>
  <c r="M17" i="243"/>
  <c r="K17" i="243"/>
  <c r="J17" i="243"/>
  <c r="I17" i="243"/>
  <c r="H17" i="243"/>
  <c r="G17" i="243"/>
  <c r="F17" i="243"/>
  <c r="E17" i="243"/>
  <c r="D17" i="243"/>
  <c r="C17" i="243"/>
  <c r="Q9" i="243"/>
  <c r="L9" i="243"/>
  <c r="L17" i="243" s="1"/>
  <c r="G9" i="243"/>
  <c r="J27" i="242"/>
  <c r="K27" i="242" s="1"/>
  <c r="I27" i="242"/>
  <c r="K26" i="242"/>
  <c r="K25" i="242"/>
  <c r="K24" i="242"/>
  <c r="K23" i="242"/>
  <c r="K22" i="242"/>
  <c r="K21" i="242"/>
  <c r="K20" i="242"/>
  <c r="K19" i="242"/>
  <c r="K18" i="242"/>
  <c r="K17" i="242"/>
  <c r="G22" i="240"/>
  <c r="H22" i="240" s="1"/>
  <c r="F22" i="240"/>
  <c r="G13" i="240"/>
  <c r="H13" i="240" s="1"/>
  <c r="F13" i="240"/>
  <c r="G10" i="240"/>
  <c r="H10" i="240" s="1"/>
  <c r="F10" i="240"/>
  <c r="R22" i="237"/>
  <c r="O22" i="237"/>
  <c r="L22" i="237"/>
  <c r="R19" i="237"/>
  <c r="O19" i="237"/>
  <c r="L19" i="237"/>
  <c r="N16" i="237"/>
  <c r="Q16" i="237" s="1"/>
  <c r="T16" i="237" s="1"/>
  <c r="T14" i="237"/>
  <c r="Q14" i="237"/>
  <c r="O14" i="237" s="1"/>
  <c r="N14" i="237"/>
  <c r="L14" i="237"/>
  <c r="R13" i="237"/>
  <c r="O13" i="237"/>
  <c r="L13" i="237"/>
  <c r="R12" i="237"/>
  <c r="O12" i="237"/>
  <c r="L12" i="237"/>
  <c r="R11" i="237"/>
  <c r="O11" i="237"/>
  <c r="L11" i="237"/>
  <c r="I31" i="236"/>
  <c r="E31" i="236"/>
  <c r="D31" i="236"/>
  <c r="I30" i="236"/>
  <c r="G30" i="236"/>
  <c r="F30" i="236"/>
  <c r="I29" i="236"/>
  <c r="G29" i="236"/>
  <c r="G31" i="236" s="1"/>
  <c r="F29" i="236"/>
  <c r="F31" i="236" s="1"/>
  <c r="I26" i="236"/>
  <c r="G26" i="236"/>
  <c r="F26" i="236"/>
  <c r="E26" i="236"/>
  <c r="D26" i="236"/>
  <c r="I20" i="236"/>
  <c r="E20" i="236"/>
  <c r="D20" i="236"/>
  <c r="I19" i="236"/>
  <c r="I18" i="236"/>
  <c r="F18" i="236"/>
  <c r="G16" i="236"/>
  <c r="G19" i="236" s="1"/>
  <c r="G20" i="236" s="1"/>
  <c r="F16" i="236"/>
  <c r="F19" i="236" s="1"/>
  <c r="F20" i="236" s="1"/>
  <c r="I12" i="236"/>
  <c r="I13" i="236" s="1"/>
  <c r="G12" i="236"/>
  <c r="G13" i="236" s="1"/>
  <c r="F12" i="236"/>
  <c r="F13" i="236" s="1"/>
  <c r="AU237" i="257" l="1"/>
  <c r="AV173" i="257"/>
  <c r="AS237" i="257"/>
  <c r="AT173" i="257"/>
  <c r="L9" i="256"/>
  <c r="EO185" i="252"/>
  <c r="ES185" i="252"/>
  <c r="ES187" i="252"/>
  <c r="EO187" i="252"/>
  <c r="EP91" i="253"/>
  <c r="EO91" i="253"/>
  <c r="EM91" i="253"/>
  <c r="EP175" i="253"/>
  <c r="EM175" i="253"/>
  <c r="EO175" i="253"/>
  <c r="AI94" i="257"/>
  <c r="AJ94" i="257" s="1"/>
  <c r="N91" i="250"/>
  <c r="O91" i="250" s="1"/>
  <c r="AI128" i="257"/>
  <c r="AJ128" i="257" s="1"/>
  <c r="N125" i="250"/>
  <c r="ES117" i="252"/>
  <c r="EO117" i="252"/>
  <c r="ES207" i="252"/>
  <c r="EO207" i="252"/>
  <c r="EO161" i="252"/>
  <c r="ES161" i="252"/>
  <c r="AP128" i="257"/>
  <c r="AQ128" i="257" s="1"/>
  <c r="AL128" i="257"/>
  <c r="F98" i="256"/>
  <c r="K98" i="256"/>
  <c r="L98" i="256" s="1"/>
  <c r="AU170" i="252"/>
  <c r="AV216" i="252"/>
  <c r="AR257" i="257"/>
  <c r="AR251" i="257"/>
  <c r="AL56" i="257"/>
  <c r="AL69" i="257"/>
  <c r="ES101" i="252"/>
  <c r="EO101" i="252"/>
  <c r="EP54" i="253"/>
  <c r="EO54" i="253"/>
  <c r="EM54" i="253"/>
  <c r="P168" i="251"/>
  <c r="K215" i="251"/>
  <c r="S216" i="251" s="1"/>
  <c r="ES37" i="252"/>
  <c r="EO37" i="252"/>
  <c r="AL49" i="257"/>
  <c r="AN49" i="257"/>
  <c r="AH87" i="257"/>
  <c r="AI120" i="257"/>
  <c r="AJ120" i="257" s="1"/>
  <c r="N117" i="250"/>
  <c r="O117" i="250" s="1"/>
  <c r="EP148" i="252"/>
  <c r="EO148" i="252"/>
  <c r="EM148" i="252"/>
  <c r="EB27" i="253"/>
  <c r="AP27" i="253"/>
  <c r="EH147" i="253"/>
  <c r="EN147" i="253"/>
  <c r="EM147" i="253" s="1"/>
  <c r="EP187" i="253"/>
  <c r="EO187" i="253"/>
  <c r="EM187" i="253"/>
  <c r="F93" i="256"/>
  <c r="K93" i="256"/>
  <c r="L93" i="256" s="1"/>
  <c r="AI15" i="257"/>
  <c r="AJ15" i="257" s="1"/>
  <c r="N15" i="250"/>
  <c r="O15" i="250" s="1"/>
  <c r="X15" i="250"/>
  <c r="AL15" i="257"/>
  <c r="BM170" i="252"/>
  <c r="BN216" i="252"/>
  <c r="ES39" i="252"/>
  <c r="EO39" i="252"/>
  <c r="AI70" i="257"/>
  <c r="AJ70" i="257" s="1"/>
  <c r="N69" i="250"/>
  <c r="O69" i="250" s="1"/>
  <c r="ES106" i="252"/>
  <c r="EO106" i="252"/>
  <c r="ES133" i="252"/>
  <c r="EO133" i="252"/>
  <c r="EN135" i="252"/>
  <c r="AL143" i="257"/>
  <c r="AI204" i="257"/>
  <c r="AJ204" i="257" s="1"/>
  <c r="EP50" i="253"/>
  <c r="EO50" i="253"/>
  <c r="EM50" i="253"/>
  <c r="EP94" i="253"/>
  <c r="EO94" i="253"/>
  <c r="EM94" i="253"/>
  <c r="EH139" i="253"/>
  <c r="EN139" i="253"/>
  <c r="EP102" i="253"/>
  <c r="EO102" i="253"/>
  <c r="EM102" i="253"/>
  <c r="AP143" i="253"/>
  <c r="AQ159" i="253"/>
  <c r="K71" i="256"/>
  <c r="L71" i="256" s="1"/>
  <c r="ES115" i="252"/>
  <c r="EO115" i="252"/>
  <c r="EN119" i="252"/>
  <c r="ES116" i="252"/>
  <c r="EO116" i="252"/>
  <c r="AL145" i="257"/>
  <c r="AL159" i="257"/>
  <c r="AK165" i="257"/>
  <c r="N162" i="250"/>
  <c r="O162" i="250" s="1"/>
  <c r="AI190" i="257"/>
  <c r="AJ190" i="257" s="1"/>
  <c r="AK135" i="257"/>
  <c r="N132" i="250"/>
  <c r="O132" i="250" s="1"/>
  <c r="EP95" i="253"/>
  <c r="EO95" i="253"/>
  <c r="EM95" i="253"/>
  <c r="EN196" i="253"/>
  <c r="EM196" i="253" s="1"/>
  <c r="EH113" i="253"/>
  <c r="AI21" i="257"/>
  <c r="AJ21" i="257" s="1"/>
  <c r="N21" i="250"/>
  <c r="O21" i="250" s="1"/>
  <c r="X21" i="250"/>
  <c r="AI28" i="257"/>
  <c r="N28" i="250"/>
  <c r="X28" i="250"/>
  <c r="AI64" i="257"/>
  <c r="AJ64" i="257" s="1"/>
  <c r="N63" i="250"/>
  <c r="O63" i="250" s="1"/>
  <c r="AL91" i="257"/>
  <c r="AL77" i="257"/>
  <c r="ES80" i="252"/>
  <c r="EO80" i="252"/>
  <c r="AI98" i="257"/>
  <c r="N95" i="250"/>
  <c r="K111" i="250"/>
  <c r="ES150" i="252"/>
  <c r="EO150" i="252"/>
  <c r="ES105" i="252"/>
  <c r="EO105" i="252"/>
  <c r="ES206" i="252"/>
  <c r="EO206" i="252"/>
  <c r="EM43" i="253"/>
  <c r="EN46" i="253"/>
  <c r="EI27" i="253"/>
  <c r="EM140" i="253"/>
  <c r="EO140" i="253"/>
  <c r="EP140" i="253"/>
  <c r="AL54" i="257"/>
  <c r="AK181" i="257"/>
  <c r="L177" i="250"/>
  <c r="EH65" i="253"/>
  <c r="EN65" i="253"/>
  <c r="Q168" i="251"/>
  <c r="L215" i="251"/>
  <c r="K14" i="256"/>
  <c r="L14" i="256" s="1"/>
  <c r="ES82" i="252"/>
  <c r="EO82" i="252"/>
  <c r="ES48" i="252"/>
  <c r="EO48" i="252"/>
  <c r="AP75" i="257"/>
  <c r="AQ75" i="257" s="1"/>
  <c r="AL75" i="257"/>
  <c r="K69" i="256"/>
  <c r="L69" i="256" s="1"/>
  <c r="F69" i="256"/>
  <c r="ES126" i="252"/>
  <c r="EO126" i="252"/>
  <c r="DI38" i="253"/>
  <c r="DH38" i="253" s="1"/>
  <c r="DH30" i="253"/>
  <c r="EP101" i="253"/>
  <c r="EO101" i="253"/>
  <c r="EM101" i="253"/>
  <c r="EP188" i="253"/>
  <c r="EO188" i="253"/>
  <c r="EM188" i="253"/>
  <c r="K86" i="256"/>
  <c r="L86" i="256" s="1"/>
  <c r="ES74" i="252"/>
  <c r="EO74" i="252"/>
  <c r="AL153" i="257"/>
  <c r="AI156" i="257"/>
  <c r="N153" i="250"/>
  <c r="O153" i="250" s="1"/>
  <c r="C234" i="253"/>
  <c r="EO213" i="253"/>
  <c r="DR27" i="253"/>
  <c r="EH55" i="253"/>
  <c r="EN55" i="253"/>
  <c r="H16" i="254"/>
  <c r="AH197" i="257"/>
  <c r="AH205" i="257" s="1"/>
  <c r="J198" i="250"/>
  <c r="EO85" i="253"/>
  <c r="EM85" i="253"/>
  <c r="EP85" i="253"/>
  <c r="AI24" i="257"/>
  <c r="AJ24" i="257" s="1"/>
  <c r="X24" i="250"/>
  <c r="N24" i="250"/>
  <c r="O24" i="250" s="1"/>
  <c r="AI26" i="257"/>
  <c r="N26" i="250"/>
  <c r="O26" i="250" s="1"/>
  <c r="X26" i="250"/>
  <c r="AL24" i="257"/>
  <c r="ES73" i="252"/>
  <c r="EO73" i="252"/>
  <c r="AP94" i="257"/>
  <c r="AQ94" i="257" s="1"/>
  <c r="AL94" i="257"/>
  <c r="ES153" i="252"/>
  <c r="EO153" i="252"/>
  <c r="F106" i="256"/>
  <c r="K106" i="256"/>
  <c r="L106" i="256" s="1"/>
  <c r="F85" i="256"/>
  <c r="K85" i="256"/>
  <c r="L85" i="256" s="1"/>
  <c r="K135" i="256"/>
  <c r="L135" i="256" s="1"/>
  <c r="F135" i="256"/>
  <c r="AK22" i="257"/>
  <c r="N22" i="250"/>
  <c r="O22" i="250" s="1"/>
  <c r="AL93" i="257"/>
  <c r="AI69" i="257"/>
  <c r="AJ69" i="257" s="1"/>
  <c r="N68" i="250"/>
  <c r="O68" i="250" s="1"/>
  <c r="AL147" i="257"/>
  <c r="ES151" i="252"/>
  <c r="EO151" i="252"/>
  <c r="EO146" i="252"/>
  <c r="ES146" i="252"/>
  <c r="EO19" i="253"/>
  <c r="EP19" i="253"/>
  <c r="EM26" i="253"/>
  <c r="EP26" i="253"/>
  <c r="EO26" i="253"/>
  <c r="ES164" i="252"/>
  <c r="EO164" i="252"/>
  <c r="EP13" i="253"/>
  <c r="EO13" i="253"/>
  <c r="EM13" i="253"/>
  <c r="EN128" i="253"/>
  <c r="EP126" i="253"/>
  <c r="EO126" i="253"/>
  <c r="EM126" i="253"/>
  <c r="EO143" i="253"/>
  <c r="EM143" i="253"/>
  <c r="EP143" i="253"/>
  <c r="EP158" i="253"/>
  <c r="EO158" i="253"/>
  <c r="EM158" i="253"/>
  <c r="K128" i="256"/>
  <c r="L128" i="256" s="1"/>
  <c r="ES71" i="252"/>
  <c r="EO71" i="252"/>
  <c r="AI60" i="257"/>
  <c r="AJ60" i="257" s="1"/>
  <c r="N59" i="250"/>
  <c r="O59" i="250" s="1"/>
  <c r="ES76" i="252"/>
  <c r="EO76" i="252"/>
  <c r="EH61" i="253"/>
  <c r="EN61" i="253"/>
  <c r="AM183" i="257"/>
  <c r="AN183" i="257" s="1"/>
  <c r="AN181" i="257"/>
  <c r="EH66" i="253"/>
  <c r="EN66" i="253"/>
  <c r="EP117" i="253"/>
  <c r="EO117" i="253"/>
  <c r="EM117" i="253"/>
  <c r="AI125" i="257"/>
  <c r="K128" i="250"/>
  <c r="N122" i="250"/>
  <c r="ES118" i="252"/>
  <c r="EO118" i="252"/>
  <c r="AL144" i="257"/>
  <c r="AI146" i="257"/>
  <c r="AJ146" i="257" s="1"/>
  <c r="N143" i="250"/>
  <c r="O143" i="250" s="1"/>
  <c r="AL160" i="257"/>
  <c r="EN53" i="253"/>
  <c r="EP83" i="253"/>
  <c r="EO83" i="253"/>
  <c r="EM83" i="253"/>
  <c r="EH136" i="253"/>
  <c r="EN136" i="253"/>
  <c r="CY182" i="253"/>
  <c r="CX175" i="253"/>
  <c r="ES15" i="252"/>
  <c r="EO15" i="252"/>
  <c r="F73" i="256"/>
  <c r="K73" i="256"/>
  <c r="L73" i="256" s="1"/>
  <c r="ES57" i="252"/>
  <c r="EO57" i="252"/>
  <c r="AY30" i="257"/>
  <c r="ES70" i="252"/>
  <c r="EO70" i="252"/>
  <c r="AL50" i="257"/>
  <c r="AI99" i="257"/>
  <c r="N96" i="250"/>
  <c r="O96" i="250" s="1"/>
  <c r="AI85" i="257"/>
  <c r="AJ85" i="257" s="1"/>
  <c r="N82" i="250"/>
  <c r="O82" i="250" s="1"/>
  <c r="AL119" i="257"/>
  <c r="ES200" i="252"/>
  <c r="EO200" i="252"/>
  <c r="EN18" i="253"/>
  <c r="EN44" i="253"/>
  <c r="EM44" i="253" s="1"/>
  <c r="EP36" i="253"/>
  <c r="EO36" i="253"/>
  <c r="EM36" i="253"/>
  <c r="EN49" i="253"/>
  <c r="EH117" i="253"/>
  <c r="H168" i="251"/>
  <c r="R168" i="251" s="1"/>
  <c r="S168" i="251" s="1"/>
  <c r="R30" i="251"/>
  <c r="S30" i="251" s="1"/>
  <c r="AI14" i="257"/>
  <c r="K30" i="250"/>
  <c r="N14" i="250"/>
  <c r="O14" i="250" s="1"/>
  <c r="X14" i="250"/>
  <c r="CH216" i="252"/>
  <c r="CG170" i="252"/>
  <c r="AL76" i="257"/>
  <c r="AL37" i="257"/>
  <c r="EH198" i="252"/>
  <c r="L195" i="250"/>
  <c r="EN198" i="252"/>
  <c r="EE161" i="253"/>
  <c r="EE211" i="253" s="1"/>
  <c r="EH72" i="253"/>
  <c r="EN72" i="253"/>
  <c r="AZ126" i="253"/>
  <c r="BA128" i="253"/>
  <c r="EN112" i="253"/>
  <c r="ES64" i="252"/>
  <c r="EO64" i="252"/>
  <c r="AL52" i="257"/>
  <c r="EW85" i="252"/>
  <c r="AK71" i="257"/>
  <c r="N70" i="250"/>
  <c r="O70" i="250" s="1"/>
  <c r="AI126" i="257"/>
  <c r="AJ126" i="257" s="1"/>
  <c r="N123" i="250"/>
  <c r="O123" i="250" s="1"/>
  <c r="EW180" i="252"/>
  <c r="EH200" i="252"/>
  <c r="L197" i="250"/>
  <c r="AK204" i="257" s="1"/>
  <c r="ES143" i="252"/>
  <c r="EO143" i="252"/>
  <c r="AL118" i="257"/>
  <c r="AL48" i="257"/>
  <c r="EH175" i="253"/>
  <c r="EI182" i="253"/>
  <c r="EH182" i="253" s="1"/>
  <c r="F81" i="256"/>
  <c r="K81" i="256"/>
  <c r="L81" i="256" s="1"/>
  <c r="ES65" i="252"/>
  <c r="EO65" i="252"/>
  <c r="EC106" i="253"/>
  <c r="EC161" i="253" s="1"/>
  <c r="EC211" i="253" s="1"/>
  <c r="D234" i="253" s="1"/>
  <c r="EB91" i="253"/>
  <c r="AL84" i="257"/>
  <c r="BT109" i="253"/>
  <c r="BU113" i="253"/>
  <c r="C226" i="253"/>
  <c r="K26" i="256"/>
  <c r="L26" i="256" s="1"/>
  <c r="F26" i="256"/>
  <c r="AI58" i="257"/>
  <c r="AJ58" i="257" s="1"/>
  <c r="N57" i="250"/>
  <c r="O57" i="250" s="1"/>
  <c r="AL35" i="257"/>
  <c r="AP70" i="257"/>
  <c r="AQ70" i="257" s="1"/>
  <c r="AL70" i="257"/>
  <c r="AI34" i="257"/>
  <c r="N34" i="250"/>
  <c r="O34" i="250" s="1"/>
  <c r="AK59" i="257"/>
  <c r="N58" i="250"/>
  <c r="O58" i="250" s="1"/>
  <c r="AJ100" i="257"/>
  <c r="AH114" i="257"/>
  <c r="AL100" i="257"/>
  <c r="EP30" i="253"/>
  <c r="EO30" i="253"/>
  <c r="EM30" i="253"/>
  <c r="AL18" i="257"/>
  <c r="CU170" i="252"/>
  <c r="CV216" i="252"/>
  <c r="K115" i="256"/>
  <c r="L115" i="256" s="1"/>
  <c r="ES69" i="252"/>
  <c r="EO69" i="252"/>
  <c r="AH90" i="257"/>
  <c r="AH95" i="257" s="1"/>
  <c r="J92" i="250"/>
  <c r="DS135" i="252"/>
  <c r="DR135" i="252" s="1"/>
  <c r="DR133" i="252"/>
  <c r="ES166" i="252"/>
  <c r="EO166" i="252"/>
  <c r="EN195" i="252"/>
  <c r="EF195" i="252"/>
  <c r="EG201" i="252"/>
  <c r="EN201" i="252" s="1"/>
  <c r="K191" i="250"/>
  <c r="BT27" i="253"/>
  <c r="CO88" i="253"/>
  <c r="CN83" i="253"/>
  <c r="DS159" i="253"/>
  <c r="DS161" i="253" s="1"/>
  <c r="DS211" i="253" s="1"/>
  <c r="D233" i="253" s="1"/>
  <c r="DR143" i="253"/>
  <c r="EF159" i="253"/>
  <c r="EP21" i="253"/>
  <c r="EO21" i="253"/>
  <c r="EM21" i="253"/>
  <c r="K114" i="256"/>
  <c r="L114" i="256" s="1"/>
  <c r="F114" i="256"/>
  <c r="K118" i="256"/>
  <c r="L118" i="256" s="1"/>
  <c r="F118" i="256"/>
  <c r="EB30" i="252"/>
  <c r="DR30" i="252"/>
  <c r="ES60" i="252"/>
  <c r="EO60" i="252"/>
  <c r="EH88" i="252"/>
  <c r="EI93" i="252"/>
  <c r="L87" i="250"/>
  <c r="AL64" i="257"/>
  <c r="AP64" i="257"/>
  <c r="AQ64" i="257" s="1"/>
  <c r="AH33" i="257"/>
  <c r="AH42" i="257" s="1"/>
  <c r="J41" i="250"/>
  <c r="EI191" i="252"/>
  <c r="EH185" i="252"/>
  <c r="C224" i="253"/>
  <c r="CD12" i="253"/>
  <c r="CE27" i="253"/>
  <c r="EN189" i="253"/>
  <c r="EM189" i="253" s="1"/>
  <c r="Z237" i="257"/>
  <c r="EP155" i="253"/>
  <c r="EO155" i="253"/>
  <c r="EM155" i="253"/>
  <c r="T216" i="252"/>
  <c r="S170" i="252"/>
  <c r="E141" i="256"/>
  <c r="ES110" i="252"/>
  <c r="EO110" i="252"/>
  <c r="AI51" i="257"/>
  <c r="N50" i="250"/>
  <c r="O50" i="250" s="1"/>
  <c r="AL101" i="257"/>
  <c r="AP101" i="257"/>
  <c r="AQ101" i="257" s="1"/>
  <c r="AK177" i="257"/>
  <c r="L172" i="250"/>
  <c r="AK178" i="257" s="1"/>
  <c r="ES145" i="252"/>
  <c r="EO145" i="252"/>
  <c r="EH105" i="253"/>
  <c r="EN105" i="253"/>
  <c r="EM105" i="253" s="1"/>
  <c r="EI159" i="253"/>
  <c r="EH159" i="253" s="1"/>
  <c r="EH143" i="253"/>
  <c r="K78" i="256"/>
  <c r="L78" i="256" s="1"/>
  <c r="O30" i="251"/>
  <c r="N168" i="251"/>
  <c r="AI54" i="257"/>
  <c r="AJ54" i="257" s="1"/>
  <c r="N53" i="250"/>
  <c r="O53" i="250" s="1"/>
  <c r="ES97" i="252"/>
  <c r="EO97" i="252"/>
  <c r="AL146" i="257"/>
  <c r="AP146" i="257"/>
  <c r="AQ146" i="257" s="1"/>
  <c r="EO212" i="252"/>
  <c r="ES212" i="252"/>
  <c r="CN109" i="253"/>
  <c r="CO113" i="253"/>
  <c r="EN179" i="253"/>
  <c r="EN30" i="252"/>
  <c r="ES14" i="252"/>
  <c r="EO14" i="252"/>
  <c r="K99" i="256"/>
  <c r="L99" i="256" s="1"/>
  <c r="EN20" i="253"/>
  <c r="BK80" i="253"/>
  <c r="BJ43" i="253"/>
  <c r="EM86" i="253"/>
  <c r="EP86" i="253"/>
  <c r="EO86" i="253"/>
  <c r="EH151" i="253"/>
  <c r="EN151" i="253"/>
  <c r="EC128" i="253"/>
  <c r="EB126" i="253"/>
  <c r="K111" i="256"/>
  <c r="L111" i="256" s="1"/>
  <c r="F111" i="256"/>
  <c r="F79" i="256"/>
  <c r="K79" i="256"/>
  <c r="L79" i="256" s="1"/>
  <c r="Q167" i="250"/>
  <c r="H219" i="250"/>
  <c r="Q219" i="250" s="1"/>
  <c r="ES21" i="252"/>
  <c r="EO21" i="252"/>
  <c r="AM98" i="257"/>
  <c r="M111" i="250"/>
  <c r="EC93" i="252"/>
  <c r="EB93" i="252" s="1"/>
  <c r="EB88" i="252"/>
  <c r="AK57" i="257"/>
  <c r="N56" i="250"/>
  <c r="O56" i="250" s="1"/>
  <c r="EN112" i="252"/>
  <c r="EO96" i="252"/>
  <c r="ES96" i="252"/>
  <c r="EH180" i="252"/>
  <c r="AM197" i="257"/>
  <c r="M198" i="250"/>
  <c r="EP69" i="253"/>
  <c r="EO69" i="253"/>
  <c r="EM69" i="253"/>
  <c r="ES78" i="252"/>
  <c r="EO78" i="252"/>
  <c r="AL109" i="257"/>
  <c r="AI52" i="257"/>
  <c r="AJ52" i="257" s="1"/>
  <c r="N51" i="250"/>
  <c r="O51" i="250" s="1"/>
  <c r="DH91" i="253"/>
  <c r="DI106" i="253"/>
  <c r="CT216" i="252"/>
  <c r="CS170" i="252"/>
  <c r="AL62" i="257"/>
  <c r="ES92" i="252"/>
  <c r="EO92" i="252"/>
  <c r="AK82" i="257"/>
  <c r="AK79" i="257"/>
  <c r="AI19" i="257"/>
  <c r="X19" i="250"/>
  <c r="AJ216" i="252"/>
  <c r="AI170" i="252"/>
  <c r="BA170" i="252"/>
  <c r="AZ30" i="252"/>
  <c r="DI170" i="252"/>
  <c r="DH30" i="252"/>
  <c r="AI33" i="257"/>
  <c r="K41" i="250"/>
  <c r="N33" i="250"/>
  <c r="O33" i="250" s="1"/>
  <c r="AK74" i="257"/>
  <c r="N73" i="250"/>
  <c r="O73" i="250" s="1"/>
  <c r="EF180" i="252"/>
  <c r="EN180" i="252"/>
  <c r="N216" i="252"/>
  <c r="EV170" i="252"/>
  <c r="ES33" i="252"/>
  <c r="EO33" i="252"/>
  <c r="EN42" i="252"/>
  <c r="AI53" i="257"/>
  <c r="AJ53" i="257" s="1"/>
  <c r="N52" i="250"/>
  <c r="O52" i="250" s="1"/>
  <c r="AH125" i="257"/>
  <c r="J128" i="250"/>
  <c r="AI127" i="257"/>
  <c r="AJ127" i="257" s="1"/>
  <c r="N124" i="250"/>
  <c r="O124" i="250" s="1"/>
  <c r="AL158" i="257"/>
  <c r="ES156" i="252"/>
  <c r="EO156" i="252"/>
  <c r="EH25" i="253"/>
  <c r="EN25" i="253"/>
  <c r="V44" i="253"/>
  <c r="W80" i="253"/>
  <c r="AL164" i="257"/>
  <c r="K49" i="256"/>
  <c r="L49" i="256" s="1"/>
  <c r="F49" i="256"/>
  <c r="K31" i="256"/>
  <c r="L31" i="256" s="1"/>
  <c r="F31" i="256"/>
  <c r="ES24" i="252"/>
  <c r="EO24" i="252"/>
  <c r="ES58" i="252"/>
  <c r="EO58" i="252"/>
  <c r="ES34" i="252"/>
  <c r="EO34" i="252"/>
  <c r="AL72" i="257"/>
  <c r="AI187" i="257"/>
  <c r="AJ187" i="257" s="1"/>
  <c r="K188" i="250"/>
  <c r="DL216" i="252"/>
  <c r="DK216" i="252" s="1"/>
  <c r="DK170" i="252"/>
  <c r="AB216" i="252"/>
  <c r="AA170" i="252"/>
  <c r="AI50" i="257"/>
  <c r="AJ50" i="257" s="1"/>
  <c r="N49" i="250"/>
  <c r="O49" i="250" s="1"/>
  <c r="ES109" i="252"/>
  <c r="EO109" i="252"/>
  <c r="AI159" i="257"/>
  <c r="AJ159" i="257" s="1"/>
  <c r="N156" i="250"/>
  <c r="O156" i="250" s="1"/>
  <c r="ES163" i="252"/>
  <c r="EO163" i="252"/>
  <c r="AK161" i="257"/>
  <c r="N158" i="250"/>
  <c r="O158" i="250" s="1"/>
  <c r="CX12" i="253"/>
  <c r="CY27" i="253"/>
  <c r="EH56" i="253"/>
  <c r="EN56" i="253"/>
  <c r="H28" i="254"/>
  <c r="K104" i="256"/>
  <c r="L104" i="256" s="1"/>
  <c r="AI35" i="257"/>
  <c r="AJ35" i="257" s="1"/>
  <c r="N35" i="250"/>
  <c r="O35" i="250" s="1"/>
  <c r="AM33" i="257"/>
  <c r="M41" i="250"/>
  <c r="AI91" i="257"/>
  <c r="AJ91" i="257" s="1"/>
  <c r="N88" i="250"/>
  <c r="O88" i="250" s="1"/>
  <c r="C229" i="253"/>
  <c r="BZ161" i="253"/>
  <c r="BZ211" i="253" s="1"/>
  <c r="BY27" i="253"/>
  <c r="EH78" i="253"/>
  <c r="EN78" i="253"/>
  <c r="EM78" i="253" s="1"/>
  <c r="EH138" i="253"/>
  <c r="EN138" i="253"/>
  <c r="F28" i="254"/>
  <c r="AL17" i="257"/>
  <c r="ES20" i="252"/>
  <c r="EO20" i="252"/>
  <c r="K62" i="256"/>
  <c r="L62" i="256" s="1"/>
  <c r="F62" i="256"/>
  <c r="K96" i="256"/>
  <c r="L96" i="256" s="1"/>
  <c r="CY170" i="252"/>
  <c r="CX30" i="252"/>
  <c r="AY114" i="257"/>
  <c r="AI83" i="257"/>
  <c r="AJ83" i="257" s="1"/>
  <c r="N80" i="250"/>
  <c r="O80" i="250" s="1"/>
  <c r="ES51" i="252"/>
  <c r="EO51" i="252"/>
  <c r="ES123" i="252"/>
  <c r="EO123" i="252"/>
  <c r="EN130" i="252"/>
  <c r="EP24" i="253"/>
  <c r="EO24" i="253"/>
  <c r="EM24" i="253"/>
  <c r="EN154" i="253"/>
  <c r="EH148" i="253"/>
  <c r="EN148" i="253"/>
  <c r="EM148" i="253" s="1"/>
  <c r="BK170" i="252"/>
  <c r="BJ30" i="252"/>
  <c r="DB216" i="252"/>
  <c r="DA216" i="252" s="1"/>
  <c r="DA170" i="252"/>
  <c r="K29" i="256"/>
  <c r="L29" i="256" s="1"/>
  <c r="ES54" i="252"/>
  <c r="EO54" i="252"/>
  <c r="AI101" i="257"/>
  <c r="AJ101" i="257" s="1"/>
  <c r="N98" i="250"/>
  <c r="O98" i="250" s="1"/>
  <c r="AP58" i="257"/>
  <c r="AQ58" i="257" s="1"/>
  <c r="AL58" i="257"/>
  <c r="ES83" i="252"/>
  <c r="EO83" i="252"/>
  <c r="AK152" i="257"/>
  <c r="N149" i="250"/>
  <c r="O149" i="250" s="1"/>
  <c r="L165" i="250"/>
  <c r="AP126" i="257"/>
  <c r="AQ126" i="257" s="1"/>
  <c r="AL126" i="257"/>
  <c r="AH117" i="257"/>
  <c r="J118" i="250"/>
  <c r="AM134" i="257"/>
  <c r="M133" i="250"/>
  <c r="AI158" i="257"/>
  <c r="AJ158" i="257" s="1"/>
  <c r="N155" i="250"/>
  <c r="O155" i="250" s="1"/>
  <c r="AK27" i="253"/>
  <c r="EH22" i="253"/>
  <c r="EN22" i="253"/>
  <c r="EP35" i="253"/>
  <c r="EO35" i="253"/>
  <c r="EM35" i="253"/>
  <c r="EH63" i="253"/>
  <c r="EN63" i="253"/>
  <c r="CD177" i="253"/>
  <c r="CE182" i="253"/>
  <c r="BD216" i="252"/>
  <c r="BC170" i="252"/>
  <c r="AK20" i="257"/>
  <c r="N20" i="250"/>
  <c r="O20" i="250" s="1"/>
  <c r="AI77" i="257"/>
  <c r="AJ77" i="257" s="1"/>
  <c r="N76" i="250"/>
  <c r="O76" i="250" s="1"/>
  <c r="DE170" i="252"/>
  <c r="EW119" i="252"/>
  <c r="AK125" i="257"/>
  <c r="L128" i="250"/>
  <c r="AH134" i="257"/>
  <c r="AH136" i="257" s="1"/>
  <c r="J133" i="250"/>
  <c r="EH57" i="253"/>
  <c r="EN57" i="253"/>
  <c r="EH156" i="253"/>
  <c r="EN156" i="253"/>
  <c r="I19" i="263"/>
  <c r="BA106" i="253"/>
  <c r="BA161" i="253" s="1"/>
  <c r="BA211" i="253" s="1"/>
  <c r="D226" i="253" s="1"/>
  <c r="AZ91" i="253"/>
  <c r="AG106" i="253"/>
  <c r="AF91" i="253"/>
  <c r="EH152" i="253"/>
  <c r="EN152" i="253"/>
  <c r="DD170" i="252"/>
  <c r="DC30" i="252"/>
  <c r="AZ87" i="257"/>
  <c r="AM47" i="257"/>
  <c r="M84" i="250"/>
  <c r="AK102" i="257"/>
  <c r="N99" i="250"/>
  <c r="O99" i="250" s="1"/>
  <c r="AP60" i="257"/>
  <c r="AQ60" i="257" s="1"/>
  <c r="AL60" i="257"/>
  <c r="AI49" i="257"/>
  <c r="N48" i="250"/>
  <c r="O48" i="250" s="1"/>
  <c r="ES124" i="252"/>
  <c r="EO124" i="252"/>
  <c r="M165" i="250"/>
  <c r="EN85" i="252"/>
  <c r="ES85" i="252" s="1"/>
  <c r="ES155" i="252"/>
  <c r="EO155" i="252"/>
  <c r="AI164" i="257"/>
  <c r="AJ164" i="257" s="1"/>
  <c r="N161" i="250"/>
  <c r="O161" i="250" s="1"/>
  <c r="AI27" i="257"/>
  <c r="N27" i="250"/>
  <c r="X27" i="250"/>
  <c r="CR216" i="252"/>
  <c r="CQ170" i="252"/>
  <c r="AI93" i="257"/>
  <c r="AJ93" i="257" s="1"/>
  <c r="N90" i="250"/>
  <c r="O90" i="250" s="1"/>
  <c r="ES53" i="252"/>
  <c r="EO53" i="252"/>
  <c r="AC237" i="257"/>
  <c r="AD173" i="257"/>
  <c r="CE170" i="252"/>
  <c r="CD30" i="252"/>
  <c r="EN38" i="253"/>
  <c r="EM38" i="253" s="1"/>
  <c r="EF38" i="253"/>
  <c r="AI17" i="257"/>
  <c r="AJ17" i="257" s="1"/>
  <c r="X17" i="250"/>
  <c r="ES50" i="252"/>
  <c r="EO50" i="252"/>
  <c r="AP83" i="257"/>
  <c r="AQ83" i="257" s="1"/>
  <c r="AL83" i="257"/>
  <c r="AI119" i="257"/>
  <c r="AJ119" i="257" s="1"/>
  <c r="N116" i="250"/>
  <c r="AP120" i="257"/>
  <c r="AQ120" i="257" s="1"/>
  <c r="AL120" i="257"/>
  <c r="AI177" i="257"/>
  <c r="K172" i="250"/>
  <c r="N172" i="250" s="1"/>
  <c r="O172" i="250" s="1"/>
  <c r="AK169" i="257"/>
  <c r="N164" i="250"/>
  <c r="O164" i="250" s="1"/>
  <c r="EH184" i="252"/>
  <c r="L181" i="250"/>
  <c r="CT161" i="253"/>
  <c r="CT211" i="253" s="1"/>
  <c r="CS27" i="253"/>
  <c r="AY95" i="257"/>
  <c r="BF216" i="252"/>
  <c r="BE170" i="252"/>
  <c r="AG170" i="252"/>
  <c r="AF30" i="252"/>
  <c r="ES35" i="252"/>
  <c r="EO35" i="252"/>
  <c r="AI68" i="257"/>
  <c r="AJ68" i="257" s="1"/>
  <c r="N67" i="250"/>
  <c r="O67" i="250" s="1"/>
  <c r="AI84" i="257"/>
  <c r="AJ84" i="257" s="1"/>
  <c r="N81" i="250"/>
  <c r="O81" i="250" s="1"/>
  <c r="AI72" i="257"/>
  <c r="AJ72" i="257" s="1"/>
  <c r="N71" i="250"/>
  <c r="O71" i="250" s="1"/>
  <c r="AP53" i="257"/>
  <c r="AQ53" i="257" s="1"/>
  <c r="AL53" i="257"/>
  <c r="ES89" i="252"/>
  <c r="EO89" i="252"/>
  <c r="AI160" i="257"/>
  <c r="AJ160" i="257" s="1"/>
  <c r="N157" i="250"/>
  <c r="O157" i="250" s="1"/>
  <c r="AK154" i="257"/>
  <c r="N151" i="250"/>
  <c r="O151" i="250" s="1"/>
  <c r="C233" i="253"/>
  <c r="EH70" i="253"/>
  <c r="EN70" i="253"/>
  <c r="EP127" i="253"/>
  <c r="EO127" i="253"/>
  <c r="EM127" i="253"/>
  <c r="EO170" i="253"/>
  <c r="EP170" i="253"/>
  <c r="EM170" i="253"/>
  <c r="EO178" i="253"/>
  <c r="EP178" i="253"/>
  <c r="EM178" i="253"/>
  <c r="BX216" i="252"/>
  <c r="BW170" i="252"/>
  <c r="AK33" i="257"/>
  <c r="L41" i="250"/>
  <c r="ES134" i="252"/>
  <c r="EO134" i="252"/>
  <c r="ES208" i="252"/>
  <c r="EO208" i="252"/>
  <c r="AI234" i="257"/>
  <c r="AJ234" i="257" s="1"/>
  <c r="N209" i="250"/>
  <c r="W209" i="250" s="1"/>
  <c r="EI88" i="253"/>
  <c r="EH88" i="253" s="1"/>
  <c r="AK14" i="257"/>
  <c r="L30" i="250"/>
  <c r="F95" i="256"/>
  <c r="K95" i="256"/>
  <c r="L95" i="256" s="1"/>
  <c r="K36" i="256"/>
  <c r="L36" i="256" s="1"/>
  <c r="F36" i="256"/>
  <c r="AM14" i="257"/>
  <c r="M30" i="250"/>
  <c r="ES99" i="252"/>
  <c r="EO99" i="252"/>
  <c r="AK112" i="257"/>
  <c r="N109" i="250"/>
  <c r="AI92" i="257"/>
  <c r="N89" i="250"/>
  <c r="O89" i="250" s="1"/>
  <c r="EH67" i="253"/>
  <c r="EN67" i="253"/>
  <c r="EH60" i="253"/>
  <c r="EN60" i="253"/>
  <c r="EF113" i="253"/>
  <c r="EN113" i="253"/>
  <c r="AQ170" i="252"/>
  <c r="AP30" i="252"/>
  <c r="F90" i="256"/>
  <c r="K90" i="256"/>
  <c r="L90" i="256" s="1"/>
  <c r="K41" i="256"/>
  <c r="L41" i="256" s="1"/>
  <c r="F41" i="256"/>
  <c r="EG170" i="252"/>
  <c r="EP96" i="253"/>
  <c r="EO96" i="253"/>
  <c r="EM96" i="253"/>
  <c r="EN135" i="253"/>
  <c r="EM135" i="253" s="1"/>
  <c r="EN47" i="253"/>
  <c r="EC201" i="252"/>
  <c r="EB201" i="252" s="1"/>
  <c r="DU201" i="252"/>
  <c r="AT216" i="252"/>
  <c r="AS170" i="252"/>
  <c r="AY87" i="257"/>
  <c r="AK108" i="257"/>
  <c r="N105" i="250"/>
  <c r="O105" i="250" s="1"/>
  <c r="ES49" i="252"/>
  <c r="EO49" i="252"/>
  <c r="AK65" i="257"/>
  <c r="N64" i="250"/>
  <c r="O64" i="250" s="1"/>
  <c r="AM170" i="257"/>
  <c r="AN151" i="257"/>
  <c r="AP151" i="257"/>
  <c r="AK166" i="257"/>
  <c r="N163" i="250"/>
  <c r="O163" i="250" s="1"/>
  <c r="R161" i="253"/>
  <c r="R211" i="253" s="1"/>
  <c r="ES84" i="252"/>
  <c r="EO84" i="252"/>
  <c r="AK155" i="257"/>
  <c r="N152" i="250"/>
  <c r="O152" i="250" s="1"/>
  <c r="ES66" i="252"/>
  <c r="EO66" i="252"/>
  <c r="DT216" i="252"/>
  <c r="DY170" i="252"/>
  <c r="BK159" i="253"/>
  <c r="BJ143" i="253"/>
  <c r="AI16" i="257"/>
  <c r="AJ16" i="257" s="1"/>
  <c r="X16" i="250"/>
  <c r="ES72" i="252"/>
  <c r="EO72" i="252"/>
  <c r="EH73" i="253"/>
  <c r="EN73" i="253"/>
  <c r="EH150" i="253"/>
  <c r="EN150" i="253"/>
  <c r="K142" i="256"/>
  <c r="EM202" i="253"/>
  <c r="AI153" i="257"/>
  <c r="N150" i="250"/>
  <c r="O150" i="250" s="1"/>
  <c r="K165" i="250"/>
  <c r="N165" i="250" s="1"/>
  <c r="O165" i="250" s="1"/>
  <c r="V27" i="253"/>
  <c r="DV216" i="252"/>
  <c r="DU170" i="252"/>
  <c r="D143" i="256"/>
  <c r="J143" i="256" s="1"/>
  <c r="J141" i="256"/>
  <c r="C225" i="253"/>
  <c r="EP190" i="253"/>
  <c r="EO190" i="253"/>
  <c r="EM190" i="253"/>
  <c r="AL67" i="257"/>
  <c r="ES184" i="252"/>
  <c r="EO184" i="252"/>
  <c r="CJ216" i="252"/>
  <c r="CI170" i="252"/>
  <c r="AL39" i="257"/>
  <c r="G141" i="256"/>
  <c r="H9" i="256"/>
  <c r="ES91" i="252"/>
  <c r="EO91" i="252"/>
  <c r="AI78" i="257"/>
  <c r="AJ78" i="257" s="1"/>
  <c r="N77" i="250"/>
  <c r="O77" i="250" s="1"/>
  <c r="ES125" i="252"/>
  <c r="EO125" i="252"/>
  <c r="AL162" i="257"/>
  <c r="AL211" i="257"/>
  <c r="AI144" i="257"/>
  <c r="AJ144" i="257" s="1"/>
  <c r="N141" i="250"/>
  <c r="O141" i="250" s="1"/>
  <c r="EG161" i="253"/>
  <c r="EF27" i="253"/>
  <c r="EO87" i="253"/>
  <c r="EM87" i="253"/>
  <c r="EP87" i="253"/>
  <c r="EP100" i="253"/>
  <c r="EO100" i="253"/>
  <c r="EM100" i="253"/>
  <c r="CX117" i="253"/>
  <c r="CY123" i="253"/>
  <c r="EF193" i="253"/>
  <c r="EO192" i="253"/>
  <c r="EM192" i="253"/>
  <c r="EP192" i="253"/>
  <c r="AI143" i="257"/>
  <c r="AJ143" i="257" s="1"/>
  <c r="N140" i="250"/>
  <c r="O140" i="250" s="1"/>
  <c r="K32" i="256"/>
  <c r="L32" i="256" s="1"/>
  <c r="K80" i="256"/>
  <c r="L80" i="256" s="1"/>
  <c r="O170" i="252"/>
  <c r="P216" i="252"/>
  <c r="AI66" i="257"/>
  <c r="AJ66" i="257" s="1"/>
  <c r="N65" i="250"/>
  <c r="O65" i="250" s="1"/>
  <c r="AI90" i="257"/>
  <c r="K92" i="250"/>
  <c r="N87" i="250"/>
  <c r="AF117" i="253"/>
  <c r="AN106" i="257"/>
  <c r="AP106" i="257"/>
  <c r="AQ106" i="257" s="1"/>
  <c r="AI211" i="257"/>
  <c r="AJ211" i="257" s="1"/>
  <c r="N204" i="250"/>
  <c r="EO159" i="252"/>
  <c r="ES159" i="252"/>
  <c r="EN175" i="252"/>
  <c r="ES174" i="252"/>
  <c r="EO174" i="252"/>
  <c r="EH187" i="252"/>
  <c r="L184" i="250"/>
  <c r="AK190" i="257" s="1"/>
  <c r="BJ27" i="253"/>
  <c r="EM62" i="253"/>
  <c r="EP62" i="253"/>
  <c r="EO62" i="253"/>
  <c r="AB237" i="257"/>
  <c r="D20" i="261"/>
  <c r="I20" i="261"/>
  <c r="I25" i="261" s="1"/>
  <c r="H20" i="261"/>
  <c r="G20" i="261"/>
  <c r="F20" i="261"/>
  <c r="E20" i="261"/>
  <c r="C228" i="253"/>
  <c r="K56" i="256"/>
  <c r="L56" i="256" s="1"/>
  <c r="F56" i="256"/>
  <c r="AY42" i="257"/>
  <c r="AZ42" i="257" s="1"/>
  <c r="ES68" i="252"/>
  <c r="EO68" i="252"/>
  <c r="AP78" i="257"/>
  <c r="AQ78" i="257" s="1"/>
  <c r="AL78" i="257"/>
  <c r="ES160" i="252"/>
  <c r="EO160" i="252"/>
  <c r="AQ193" i="253"/>
  <c r="AP185" i="253"/>
  <c r="ES63" i="252"/>
  <c r="EO63" i="252"/>
  <c r="AC216" i="252"/>
  <c r="ES81" i="252"/>
  <c r="EO81" i="252"/>
  <c r="AI109" i="257"/>
  <c r="AJ109" i="257" s="1"/>
  <c r="N106" i="250"/>
  <c r="O106" i="250" s="1"/>
  <c r="DD161" i="253"/>
  <c r="DD211" i="253" s="1"/>
  <c r="DC27" i="253"/>
  <c r="ES211" i="252"/>
  <c r="EO211" i="252"/>
  <c r="EP16" i="253"/>
  <c r="EO16" i="253"/>
  <c r="EM16" i="253"/>
  <c r="EP92" i="253"/>
  <c r="EO92" i="253"/>
  <c r="EM92" i="253"/>
  <c r="EN153" i="253"/>
  <c r="I19" i="262"/>
  <c r="AI29" i="257"/>
  <c r="AJ29" i="257" s="1"/>
  <c r="N29" i="250"/>
  <c r="X29" i="250"/>
  <c r="EK170" i="252"/>
  <c r="EK216" i="252" s="1"/>
  <c r="AI25" i="257"/>
  <c r="N25" i="250"/>
  <c r="X25" i="250"/>
  <c r="AI62" i="257"/>
  <c r="AJ62" i="257" s="1"/>
  <c r="N61" i="250"/>
  <c r="O61" i="250" s="1"/>
  <c r="AP66" i="257"/>
  <c r="AQ66" i="257" s="1"/>
  <c r="AL66" i="257"/>
  <c r="AK55" i="257"/>
  <c r="N54" i="250"/>
  <c r="O54" i="250" s="1"/>
  <c r="J165" i="250"/>
  <c r="ES158" i="252"/>
  <c r="EO158" i="252"/>
  <c r="AG38" i="253"/>
  <c r="AF38" i="253" s="1"/>
  <c r="AF30" i="253"/>
  <c r="EM32" i="253"/>
  <c r="EP32" i="253"/>
  <c r="EO32" i="253"/>
  <c r="EH68" i="253"/>
  <c r="EN68" i="253"/>
  <c r="EP141" i="253"/>
  <c r="EO141" i="253"/>
  <c r="EM141" i="253"/>
  <c r="G34" i="254"/>
  <c r="G36" i="254"/>
  <c r="G35" i="254"/>
  <c r="EP109" i="253"/>
  <c r="EO109" i="253"/>
  <c r="EM109" i="253"/>
  <c r="EW30" i="252"/>
  <c r="W170" i="252"/>
  <c r="V30" i="252"/>
  <c r="AI18" i="257"/>
  <c r="AJ18" i="257" s="1"/>
  <c r="N18" i="250"/>
  <c r="O18" i="250" s="1"/>
  <c r="X18" i="250"/>
  <c r="ES77" i="252"/>
  <c r="EO77" i="252"/>
  <c r="AL73" i="257"/>
  <c r="AP73" i="257"/>
  <c r="AQ73" i="257" s="1"/>
  <c r="AI117" i="257"/>
  <c r="N114" i="250"/>
  <c r="O114" i="250" s="1"/>
  <c r="K118" i="250"/>
  <c r="AI145" i="257"/>
  <c r="AJ145" i="257" s="1"/>
  <c r="N142" i="250"/>
  <c r="O142" i="250" s="1"/>
  <c r="EH137" i="253"/>
  <c r="EN137" i="253"/>
  <c r="BU170" i="252"/>
  <c r="BT30" i="252"/>
  <c r="AP16" i="257"/>
  <c r="AQ16" i="257" s="1"/>
  <c r="AL16" i="257"/>
  <c r="K127" i="256"/>
  <c r="L127" i="256" s="1"/>
  <c r="F127" i="256"/>
  <c r="K91" i="256"/>
  <c r="L91" i="256" s="1"/>
  <c r="BZ216" i="252"/>
  <c r="BY170" i="252"/>
  <c r="AI23" i="257"/>
  <c r="AJ23" i="257" s="1"/>
  <c r="N23" i="250"/>
  <c r="O23" i="250" s="1"/>
  <c r="X23" i="250"/>
  <c r="AI56" i="257"/>
  <c r="AJ56" i="257" s="1"/>
  <c r="N55" i="250"/>
  <c r="O55" i="250" s="1"/>
  <c r="AP68" i="257"/>
  <c r="AQ68" i="257" s="1"/>
  <c r="AL68" i="257"/>
  <c r="AK117" i="257"/>
  <c r="L118" i="250"/>
  <c r="W38" i="253"/>
  <c r="V38" i="253" s="1"/>
  <c r="AF173" i="257"/>
  <c r="AG170" i="257"/>
  <c r="AK86" i="257"/>
  <c r="N83" i="250"/>
  <c r="AI38" i="257"/>
  <c r="N38" i="250"/>
  <c r="O38" i="250" s="1"/>
  <c r="EP12" i="253"/>
  <c r="EN27" i="253"/>
  <c r="EM12" i="253"/>
  <c r="EO12" i="253"/>
  <c r="AF169" i="253"/>
  <c r="AG171" i="253"/>
  <c r="AF171" i="253" s="1"/>
  <c r="AY173" i="257"/>
  <c r="EO31" i="253"/>
  <c r="EM31" i="253"/>
  <c r="EP31" i="253"/>
  <c r="V117" i="253"/>
  <c r="W123" i="253"/>
  <c r="EM209" i="253"/>
  <c r="AP169" i="253"/>
  <c r="AQ171" i="253"/>
  <c r="AK61" i="257"/>
  <c r="N60" i="250"/>
  <c r="O60" i="250" s="1"/>
  <c r="EH91" i="253"/>
  <c r="EI106" i="253"/>
  <c r="EH106" i="253" s="1"/>
  <c r="BT83" i="253"/>
  <c r="BU88" i="253"/>
  <c r="BU161" i="253" s="1"/>
  <c r="BU211" i="253" s="1"/>
  <c r="D228" i="253" s="1"/>
  <c r="EP118" i="253"/>
  <c r="EO118" i="253"/>
  <c r="EM118" i="253"/>
  <c r="X30" i="250"/>
  <c r="AH14" i="257"/>
  <c r="AH30" i="257" s="1"/>
  <c r="J30" i="250"/>
  <c r="J167" i="250" s="1"/>
  <c r="J219" i="250" s="1"/>
  <c r="Y170" i="252"/>
  <c r="Z216" i="252"/>
  <c r="ES107" i="252"/>
  <c r="EO107" i="252"/>
  <c r="AK157" i="257"/>
  <c r="N154" i="250"/>
  <c r="O154" i="250" s="1"/>
  <c r="AI134" i="257"/>
  <c r="K133" i="250"/>
  <c r="EH64" i="253"/>
  <c r="EN64" i="253"/>
  <c r="EP186" i="253"/>
  <c r="EO186" i="253"/>
  <c r="EM186" i="253"/>
  <c r="R216" i="252"/>
  <c r="EU170" i="252"/>
  <c r="EW170" i="252" s="1"/>
  <c r="Q170" i="252"/>
  <c r="AK148" i="257"/>
  <c r="N145" i="250"/>
  <c r="DK201" i="252"/>
  <c r="DS201" i="252"/>
  <c r="DR201" i="252" s="1"/>
  <c r="EN51" i="253"/>
  <c r="EP37" i="253"/>
  <c r="EM37" i="253"/>
  <c r="EO37" i="253"/>
  <c r="EO74" i="253"/>
  <c r="EM74" i="253"/>
  <c r="EP74" i="253"/>
  <c r="EP144" i="253"/>
  <c r="EO144" i="253"/>
  <c r="EM144" i="253"/>
  <c r="EH59" i="253"/>
  <c r="EN59" i="253"/>
  <c r="DS193" i="253"/>
  <c r="DR185" i="253"/>
  <c r="EM169" i="253"/>
  <c r="EP169" i="253"/>
  <c r="EO169" i="253"/>
  <c r="EN171" i="253"/>
  <c r="N74" i="250"/>
  <c r="O74" i="250" s="1"/>
  <c r="ES23" i="252"/>
  <c r="EO23" i="252"/>
  <c r="ES56" i="252"/>
  <c r="EO56" i="252"/>
  <c r="AI79" i="257"/>
  <c r="AJ79" i="257" s="1"/>
  <c r="AI82" i="257"/>
  <c r="AJ82" i="257" s="1"/>
  <c r="N79" i="250"/>
  <c r="EI135" i="252"/>
  <c r="EI170" i="252" s="1"/>
  <c r="EH133" i="252"/>
  <c r="L131" i="250"/>
  <c r="EP98" i="253"/>
  <c r="EO98" i="253"/>
  <c r="EM98" i="253"/>
  <c r="EF185" i="252"/>
  <c r="AQ100" i="257"/>
  <c r="AI162" i="257"/>
  <c r="AJ162" i="257" s="1"/>
  <c r="N159" i="250"/>
  <c r="O159" i="250" s="1"/>
  <c r="EO88" i="252"/>
  <c r="EN93" i="252"/>
  <c r="ES88" i="252"/>
  <c r="AI208" i="257"/>
  <c r="N201" i="250"/>
  <c r="AK111" i="257"/>
  <c r="N108" i="250"/>
  <c r="BK119" i="253"/>
  <c r="BF123" i="253"/>
  <c r="BF161" i="253" s="1"/>
  <c r="BF211" i="253" s="1"/>
  <c r="AL216" i="252"/>
  <c r="AK170" i="252"/>
  <c r="AK149" i="257"/>
  <c r="N146" i="250"/>
  <c r="O146" i="250" s="1"/>
  <c r="AM194" i="257"/>
  <c r="AN194" i="257" s="1"/>
  <c r="AN187" i="257"/>
  <c r="EH58" i="253"/>
  <c r="EN58" i="253"/>
  <c r="CY193" i="253"/>
  <c r="CX185" i="253"/>
  <c r="ES62" i="252"/>
  <c r="EO62" i="252"/>
  <c r="AI40" i="257"/>
  <c r="N40" i="250"/>
  <c r="O40" i="250" s="1"/>
  <c r="ES90" i="252"/>
  <c r="EO90" i="252"/>
  <c r="AI105" i="257"/>
  <c r="N102" i="250"/>
  <c r="O102" i="250" s="1"/>
  <c r="AH170" i="257"/>
  <c r="AJ151" i="257"/>
  <c r="AL151" i="257"/>
  <c r="G12" i="254"/>
  <c r="G14" i="254"/>
  <c r="G13" i="254"/>
  <c r="G16" i="254" s="1"/>
  <c r="K116" i="256"/>
  <c r="L116" i="256" s="1"/>
  <c r="F116" i="256"/>
  <c r="AI67" i="257"/>
  <c r="AJ67" i="257" s="1"/>
  <c r="N66" i="250"/>
  <c r="O66" i="250" s="1"/>
  <c r="ES22" i="252"/>
  <c r="EO22" i="252"/>
  <c r="AL21" i="257"/>
  <c r="AP21" i="257"/>
  <c r="AQ21" i="257" s="1"/>
  <c r="AI48" i="257"/>
  <c r="AP48" i="257" s="1"/>
  <c r="AQ48" i="257" s="1"/>
  <c r="N47" i="250"/>
  <c r="O47" i="250" s="1"/>
  <c r="K84" i="250"/>
  <c r="ES100" i="252"/>
  <c r="EO100" i="252"/>
  <c r="ES38" i="252"/>
  <c r="EO38" i="252"/>
  <c r="AP127" i="257"/>
  <c r="AQ127" i="257" s="1"/>
  <c r="AL127" i="257"/>
  <c r="ES162" i="252"/>
  <c r="EO162" i="252"/>
  <c r="EH213" i="252"/>
  <c r="EN213" i="252"/>
  <c r="EN104" i="253"/>
  <c r="EM104" i="253" s="1"/>
  <c r="EH157" i="253"/>
  <c r="EN157" i="253"/>
  <c r="EI193" i="253"/>
  <c r="EH193" i="253" s="1"/>
  <c r="EH185" i="253"/>
  <c r="EN185" i="253"/>
  <c r="V237" i="257"/>
  <c r="W173" i="257"/>
  <c r="EO142" i="252"/>
  <c r="EN168" i="252"/>
  <c r="ES142" i="252"/>
  <c r="EN45" i="253"/>
  <c r="EM45" i="253" s="1"/>
  <c r="ES75" i="252"/>
  <c r="EO75" i="252"/>
  <c r="AL23" i="257"/>
  <c r="AP23" i="257"/>
  <c r="AQ23" i="257" s="1"/>
  <c r="DX216" i="252"/>
  <c r="DW216" i="252" s="1"/>
  <c r="DW170" i="252"/>
  <c r="ES59" i="252"/>
  <c r="EO59" i="252"/>
  <c r="AK47" i="257"/>
  <c r="L84" i="250"/>
  <c r="N46" i="250"/>
  <c r="AI73" i="257"/>
  <c r="AJ73" i="257" s="1"/>
  <c r="N72" i="250"/>
  <c r="O72" i="250" s="1"/>
  <c r="AK98" i="257"/>
  <c r="L111" i="250"/>
  <c r="AI147" i="257"/>
  <c r="AJ147" i="257" s="1"/>
  <c r="N144" i="250"/>
  <c r="O144" i="250" s="1"/>
  <c r="EP34" i="253"/>
  <c r="EO34" i="253"/>
  <c r="EM34" i="253"/>
  <c r="AF27" i="253"/>
  <c r="EN176" i="253"/>
  <c r="I21" i="261"/>
  <c r="I22" i="261" s="1"/>
  <c r="I26" i="261" s="1"/>
  <c r="CO170" i="252"/>
  <c r="CN30" i="252"/>
  <c r="AY136" i="257"/>
  <c r="AZ134" i="257"/>
  <c r="ES16" i="252"/>
  <c r="EO16" i="252"/>
  <c r="ES52" i="252"/>
  <c r="EO52" i="252"/>
  <c r="AI76" i="257"/>
  <c r="AJ76" i="257" s="1"/>
  <c r="N75" i="250"/>
  <c r="O75" i="250" s="1"/>
  <c r="ES104" i="252"/>
  <c r="EO104" i="252"/>
  <c r="AI103" i="257"/>
  <c r="AJ103" i="257" s="1"/>
  <c r="N100" i="250"/>
  <c r="O100" i="250" s="1"/>
  <c r="AL234" i="257"/>
  <c r="AP234" i="257"/>
  <c r="AQ234" i="257" s="1"/>
  <c r="CO161" i="253"/>
  <c r="CO211" i="253" s="1"/>
  <c r="D230" i="253" s="1"/>
  <c r="CN27" i="253"/>
  <c r="EH71" i="253"/>
  <c r="EN71" i="253"/>
  <c r="AA119" i="253"/>
  <c r="AB119" i="253" s="1"/>
  <c r="AL119" i="253"/>
  <c r="DI123" i="253"/>
  <c r="DI161" i="253" s="1"/>
  <c r="DI211" i="253" s="1"/>
  <c r="D232" i="253" s="1"/>
  <c r="DH117" i="253"/>
  <c r="EH165" i="253"/>
  <c r="EN165" i="253"/>
  <c r="EM165" i="253" s="1"/>
  <c r="EN177" i="253"/>
  <c r="AI181" i="257"/>
  <c r="N175" i="250"/>
  <c r="O175" i="250" s="1"/>
  <c r="K177" i="250"/>
  <c r="N177" i="250" s="1"/>
  <c r="ED170" i="252"/>
  <c r="ED216" i="252" s="1"/>
  <c r="K34" i="256"/>
  <c r="L34" i="256" s="1"/>
  <c r="AI37" i="257"/>
  <c r="AJ37" i="257" s="1"/>
  <c r="N37" i="250"/>
  <c r="O37" i="250" s="1"/>
  <c r="ES157" i="252"/>
  <c r="EO157" i="252"/>
  <c r="AK197" i="257"/>
  <c r="L198" i="250"/>
  <c r="EI80" i="253"/>
  <c r="EH80" i="253" s="1"/>
  <c r="BU182" i="253"/>
  <c r="BT175" i="253"/>
  <c r="F77" i="256"/>
  <c r="K77" i="256"/>
  <c r="L77" i="256" s="1"/>
  <c r="ES29" i="252"/>
  <c r="EO29" i="252"/>
  <c r="K25" i="256"/>
  <c r="L25" i="256" s="1"/>
  <c r="F25" i="256"/>
  <c r="F103" i="256"/>
  <c r="K103" i="256"/>
  <c r="L103" i="256" s="1"/>
  <c r="BP216" i="252"/>
  <c r="BO170" i="252"/>
  <c r="AI39" i="257"/>
  <c r="AJ39" i="257" s="1"/>
  <c r="N39" i="250"/>
  <c r="O39" i="250" s="1"/>
  <c r="AL103" i="257"/>
  <c r="ES40" i="252"/>
  <c r="EO40" i="252"/>
  <c r="AK63" i="257"/>
  <c r="N62" i="250"/>
  <c r="O62" i="250" s="1"/>
  <c r="ES103" i="252"/>
  <c r="EO103" i="252"/>
  <c r="DH27" i="253"/>
  <c r="W88" i="253"/>
  <c r="W161" i="253" s="1"/>
  <c r="W211" i="253" s="1"/>
  <c r="W193" i="253"/>
  <c r="K122" i="256"/>
  <c r="L122" i="256" s="1"/>
  <c r="F122" i="256"/>
  <c r="K18" i="256"/>
  <c r="L18" i="256" s="1"/>
  <c r="F18" i="256"/>
  <c r="ES18" i="252"/>
  <c r="EO18" i="252"/>
  <c r="AM90" i="257"/>
  <c r="M92" i="250"/>
  <c r="ES67" i="252"/>
  <c r="EO67" i="252"/>
  <c r="AP85" i="257"/>
  <c r="AQ85" i="257" s="1"/>
  <c r="AL85" i="257"/>
  <c r="AI118" i="257"/>
  <c r="AJ118" i="257" s="1"/>
  <c r="N115" i="250"/>
  <c r="EO144" i="252"/>
  <c r="ES144" i="252"/>
  <c r="AK185" i="257"/>
  <c r="N179" i="250"/>
  <c r="EH52" i="253"/>
  <c r="EN52" i="253"/>
  <c r="BK113" i="253"/>
  <c r="BJ109" i="253"/>
  <c r="EF182" i="253"/>
  <c r="EN84" i="253"/>
  <c r="EN110" i="253"/>
  <c r="DM85" i="252"/>
  <c r="DN170" i="252"/>
  <c r="AI107" i="257"/>
  <c r="N104" i="250"/>
  <c r="O104" i="250" s="1"/>
  <c r="DS185" i="252"/>
  <c r="DS191" i="252" s="1"/>
  <c r="DR184" i="252"/>
  <c r="DR185" i="252" s="1"/>
  <c r="DR191" i="252" s="1"/>
  <c r="AK210" i="257"/>
  <c r="N203" i="250"/>
  <c r="ES182" i="252"/>
  <c r="EO182" i="252"/>
  <c r="C223" i="253"/>
  <c r="C235" i="253" s="1"/>
  <c r="EH75" i="253"/>
  <c r="EN75" i="253"/>
  <c r="EN191" i="252"/>
  <c r="AP29" i="257"/>
  <c r="AQ29" i="257" s="1"/>
  <c r="AL29" i="257"/>
  <c r="R14" i="237"/>
  <c r="G18" i="236"/>
  <c r="EI216" i="252" l="1"/>
  <c r="EH170" i="252"/>
  <c r="D223" i="253"/>
  <c r="W213" i="253"/>
  <c r="EO191" i="252"/>
  <c r="ES191" i="252"/>
  <c r="AL210" i="257"/>
  <c r="AP210" i="257"/>
  <c r="AQ210" i="257" s="1"/>
  <c r="EM84" i="253"/>
  <c r="EP84" i="253"/>
  <c r="EO84" i="253"/>
  <c r="CO216" i="252"/>
  <c r="CN170" i="252"/>
  <c r="AK87" i="257"/>
  <c r="AL87" i="257" s="1"/>
  <c r="AL47" i="257"/>
  <c r="AP47" i="257"/>
  <c r="AL157" i="257"/>
  <c r="AP157" i="257"/>
  <c r="AQ157" i="257" s="1"/>
  <c r="AP61" i="257"/>
  <c r="AQ61" i="257" s="1"/>
  <c r="AL61" i="257"/>
  <c r="AI121" i="257"/>
  <c r="AJ117" i="257"/>
  <c r="W204" i="250"/>
  <c r="O204" i="250"/>
  <c r="AI95" i="257"/>
  <c r="AJ90" i="257"/>
  <c r="AP39" i="257"/>
  <c r="AQ39" i="257" s="1"/>
  <c r="AP65" i="257"/>
  <c r="AQ65" i="257" s="1"/>
  <c r="AL65" i="257"/>
  <c r="EM60" i="253"/>
  <c r="EP60" i="253"/>
  <c r="EO60" i="253"/>
  <c r="EM138" i="253"/>
  <c r="EO138" i="253"/>
  <c r="EP138" i="253"/>
  <c r="EM56" i="253"/>
  <c r="EP56" i="253"/>
  <c r="EO56" i="253"/>
  <c r="BA216" i="252"/>
  <c r="AZ170" i="252"/>
  <c r="AP57" i="257"/>
  <c r="AQ57" i="257" s="1"/>
  <c r="AL57" i="257"/>
  <c r="AP177" i="257"/>
  <c r="AQ177" i="257" s="1"/>
  <c r="AL177" i="257"/>
  <c r="CE161" i="253"/>
  <c r="CE211" i="253" s="1"/>
  <c r="D229" i="253" s="1"/>
  <c r="CD27" i="253"/>
  <c r="DS170" i="252"/>
  <c r="EM72" i="253"/>
  <c r="EP72" i="253"/>
  <c r="EO72" i="253"/>
  <c r="AJ125" i="257"/>
  <c r="AI131" i="257"/>
  <c r="AP93" i="257"/>
  <c r="AQ93" i="257" s="1"/>
  <c r="AP24" i="257"/>
  <c r="AQ24" i="257" s="1"/>
  <c r="EP65" i="253"/>
  <c r="EO65" i="253"/>
  <c r="EM65" i="253"/>
  <c r="AJ28" i="257"/>
  <c r="AP28" i="257"/>
  <c r="AQ28" i="257" s="1"/>
  <c r="AP159" i="257"/>
  <c r="AQ159" i="257" s="1"/>
  <c r="AP143" i="257"/>
  <c r="AQ143" i="257" s="1"/>
  <c r="AP56" i="257"/>
  <c r="AQ56" i="257" s="1"/>
  <c r="AP190" i="257"/>
  <c r="AQ190" i="257" s="1"/>
  <c r="AL190" i="257"/>
  <c r="AP211" i="257"/>
  <c r="AQ211" i="257" s="1"/>
  <c r="EP73" i="253"/>
  <c r="EO73" i="253"/>
  <c r="EM73" i="253"/>
  <c r="AK30" i="257"/>
  <c r="AL30" i="257" s="1"/>
  <c r="AP14" i="257"/>
  <c r="AL14" i="257"/>
  <c r="AK187" i="257"/>
  <c r="L188" i="250"/>
  <c r="AJ49" i="257"/>
  <c r="AP49" i="257"/>
  <c r="AQ49" i="257" s="1"/>
  <c r="AP158" i="257"/>
  <c r="AQ158" i="257" s="1"/>
  <c r="ES42" i="252"/>
  <c r="EO42" i="252"/>
  <c r="AP74" i="257"/>
  <c r="AQ74" i="257" s="1"/>
  <c r="AL74" i="257"/>
  <c r="AP62" i="257"/>
  <c r="AQ62" i="257" s="1"/>
  <c r="AP204" i="257"/>
  <c r="AQ204" i="257" s="1"/>
  <c r="AL204" i="257"/>
  <c r="AP76" i="257"/>
  <c r="AQ76" i="257" s="1"/>
  <c r="EP18" i="253"/>
  <c r="EO18" i="253"/>
  <c r="EM18" i="253"/>
  <c r="AJ99" i="257"/>
  <c r="AP99" i="257"/>
  <c r="AQ99" i="257" s="1"/>
  <c r="EP61" i="253"/>
  <c r="EO61" i="253"/>
  <c r="EM61" i="253"/>
  <c r="EH27" i="253"/>
  <c r="AP77" i="257"/>
  <c r="AQ77" i="257" s="1"/>
  <c r="AP145" i="257"/>
  <c r="AQ145" i="257" s="1"/>
  <c r="EN106" i="253"/>
  <c r="K141" i="256"/>
  <c r="EP176" i="253"/>
  <c r="EM176" i="253"/>
  <c r="EM58" i="253"/>
  <c r="EP58" i="253"/>
  <c r="EO58" i="253"/>
  <c r="AP148" i="257"/>
  <c r="AQ148" i="257" s="1"/>
  <c r="AL148" i="257"/>
  <c r="AY237" i="257"/>
  <c r="AZ173" i="257"/>
  <c r="BY216" i="252"/>
  <c r="EP137" i="253"/>
  <c r="EO137" i="253"/>
  <c r="EM137" i="253"/>
  <c r="CI216" i="252"/>
  <c r="CL219" i="252"/>
  <c r="EM47" i="253"/>
  <c r="EP47" i="253"/>
  <c r="EO47" i="253"/>
  <c r="EP67" i="253"/>
  <c r="EO67" i="253"/>
  <c r="EM67" i="253"/>
  <c r="M167" i="250"/>
  <c r="M219" i="250" s="1"/>
  <c r="M227" i="250" s="1"/>
  <c r="AK42" i="257"/>
  <c r="AP33" i="257"/>
  <c r="AQ33" i="257" s="1"/>
  <c r="AL33" i="257"/>
  <c r="AP20" i="257"/>
  <c r="AQ20" i="257" s="1"/>
  <c r="AL20" i="257"/>
  <c r="AP152" i="257"/>
  <c r="AQ152" i="257" s="1"/>
  <c r="AL152" i="257"/>
  <c r="AK170" i="257"/>
  <c r="EM154" i="253"/>
  <c r="EP154" i="253"/>
  <c r="EO154" i="253"/>
  <c r="CY161" i="253"/>
  <c r="CY211" i="253" s="1"/>
  <c r="D231" i="253" s="1"/>
  <c r="CX27" i="253"/>
  <c r="N188" i="250"/>
  <c r="AP164" i="257"/>
  <c r="AQ164" i="257" s="1"/>
  <c r="AI216" i="252"/>
  <c r="AP109" i="257"/>
  <c r="AQ109" i="257" s="1"/>
  <c r="AM205" i="257"/>
  <c r="AN205" i="257" s="1"/>
  <c r="AN197" i="257"/>
  <c r="EN170" i="252"/>
  <c r="ES30" i="252"/>
  <c r="EO30" i="252"/>
  <c r="AK90" i="257"/>
  <c r="L92" i="250"/>
  <c r="EC170" i="252"/>
  <c r="EN159" i="253"/>
  <c r="AI197" i="257"/>
  <c r="K198" i="250"/>
  <c r="N191" i="250"/>
  <c r="AP18" i="257"/>
  <c r="AQ18" i="257" s="1"/>
  <c r="AP59" i="257"/>
  <c r="AQ59" i="257" s="1"/>
  <c r="AL59" i="257"/>
  <c r="AP84" i="257"/>
  <c r="AQ84" i="257" s="1"/>
  <c r="AP52" i="257"/>
  <c r="AQ52" i="257" s="1"/>
  <c r="EP213" i="253"/>
  <c r="AP144" i="257"/>
  <c r="AQ144" i="257" s="1"/>
  <c r="AL22" i="257"/>
  <c r="AP22" i="257"/>
  <c r="AQ22" i="257" s="1"/>
  <c r="EO46" i="253"/>
  <c r="EM46" i="253"/>
  <c r="EP46" i="253"/>
  <c r="AP135" i="257"/>
  <c r="AQ135" i="257" s="1"/>
  <c r="AL135" i="257"/>
  <c r="ES135" i="252"/>
  <c r="EO135" i="252"/>
  <c r="ES93" i="252"/>
  <c r="EO93" i="252"/>
  <c r="EP157" i="253"/>
  <c r="EM157" i="253"/>
  <c r="EO157" i="253"/>
  <c r="AK134" i="257"/>
  <c r="L133" i="250"/>
  <c r="L167" i="250" s="1"/>
  <c r="L219" i="250" s="1"/>
  <c r="L227" i="250" s="1"/>
  <c r="AJ38" i="257"/>
  <c r="AP38" i="257"/>
  <c r="AQ38" i="257" s="1"/>
  <c r="AP103" i="257"/>
  <c r="AQ103" i="257" s="1"/>
  <c r="W177" i="250"/>
  <c r="O177" i="250"/>
  <c r="AQ119" i="253"/>
  <c r="AL123" i="253"/>
  <c r="AL161" i="253" s="1"/>
  <c r="AL211" i="253" s="1"/>
  <c r="AK114" i="257"/>
  <c r="AL114" i="257" s="1"/>
  <c r="AP98" i="257"/>
  <c r="AL98" i="257"/>
  <c r="ES168" i="252"/>
  <c r="EO168" i="252"/>
  <c r="BJ119" i="253"/>
  <c r="BK123" i="253"/>
  <c r="BK161" i="253" s="1"/>
  <c r="BK211" i="253" s="1"/>
  <c r="D227" i="253" s="1"/>
  <c r="EP59" i="253"/>
  <c r="EO59" i="253"/>
  <c r="EM59" i="253"/>
  <c r="Y216" i="252"/>
  <c r="O216" i="252"/>
  <c r="AL166" i="257"/>
  <c r="AP166" i="257"/>
  <c r="AQ166" i="257" s="1"/>
  <c r="AM30" i="257"/>
  <c r="AN30" i="257" s="1"/>
  <c r="AN14" i="257"/>
  <c r="AP154" i="257"/>
  <c r="AQ154" i="257" s="1"/>
  <c r="AL154" i="257"/>
  <c r="AG216" i="252"/>
  <c r="AF170" i="252"/>
  <c r="AN134" i="257"/>
  <c r="AN136" i="257" s="1"/>
  <c r="AM136" i="257"/>
  <c r="AN33" i="257"/>
  <c r="AM42" i="257"/>
  <c r="AN42" i="257" s="1"/>
  <c r="N181" i="250"/>
  <c r="N41" i="250"/>
  <c r="O41" i="250" s="1"/>
  <c r="EP179" i="253"/>
  <c r="EM179" i="253"/>
  <c r="EO179" i="253"/>
  <c r="ES201" i="252"/>
  <c r="EO201" i="252"/>
  <c r="ES198" i="252"/>
  <c r="EO198" i="252"/>
  <c r="CG216" i="252"/>
  <c r="AP50" i="257"/>
  <c r="AQ50" i="257" s="1"/>
  <c r="AJ26" i="257"/>
  <c r="AP26" i="257"/>
  <c r="AQ26" i="257" s="1"/>
  <c r="AP181" i="257"/>
  <c r="AQ181" i="257" s="1"/>
  <c r="AL181" i="257"/>
  <c r="AK183" i="257"/>
  <c r="AP91" i="257"/>
  <c r="AQ91" i="257" s="1"/>
  <c r="N184" i="250"/>
  <c r="BM216" i="252"/>
  <c r="AT237" i="257"/>
  <c r="AS257" i="257"/>
  <c r="EP75" i="253"/>
  <c r="EO75" i="253"/>
  <c r="EM75" i="253"/>
  <c r="AP117" i="257"/>
  <c r="AK121" i="257"/>
  <c r="AL117" i="257"/>
  <c r="EP52" i="253"/>
  <c r="EO52" i="253"/>
  <c r="EM52" i="253"/>
  <c r="N131" i="250"/>
  <c r="O131" i="250" s="1"/>
  <c r="AL86" i="257"/>
  <c r="AP86" i="257"/>
  <c r="AQ86" i="257" s="1"/>
  <c r="EM68" i="253"/>
  <c r="EP68" i="253"/>
  <c r="EO68" i="253"/>
  <c r="EP153" i="253"/>
  <c r="EO153" i="253"/>
  <c r="EM153" i="253"/>
  <c r="E25" i="261"/>
  <c r="E21" i="261"/>
  <c r="E22" i="261" s="1"/>
  <c r="E26" i="261" s="1"/>
  <c r="AP162" i="257"/>
  <c r="AQ162" i="257" s="1"/>
  <c r="AJ153" i="257"/>
  <c r="AI170" i="257"/>
  <c r="AQ151" i="257"/>
  <c r="AL108" i="257"/>
  <c r="AP108" i="257"/>
  <c r="AQ108" i="257" s="1"/>
  <c r="BW216" i="252"/>
  <c r="AP169" i="257"/>
  <c r="AQ169" i="257" s="1"/>
  <c r="AL169" i="257"/>
  <c r="CE216" i="252"/>
  <c r="CD170" i="252"/>
  <c r="CQ216" i="252"/>
  <c r="DD216" i="252"/>
  <c r="DC216" i="252" s="1"/>
  <c r="DC170" i="252"/>
  <c r="EM156" i="253"/>
  <c r="EP156" i="253"/>
  <c r="EO156" i="253"/>
  <c r="AP125" i="257"/>
  <c r="AL125" i="257"/>
  <c r="AK131" i="257"/>
  <c r="BC216" i="252"/>
  <c r="EP22" i="253"/>
  <c r="EO22" i="253"/>
  <c r="EM22" i="253"/>
  <c r="AJ33" i="257"/>
  <c r="AI42" i="257"/>
  <c r="AJ42" i="257" s="1"/>
  <c r="AJ19" i="257"/>
  <c r="AP19" i="257"/>
  <c r="AQ19" i="257" s="1"/>
  <c r="CS216" i="252"/>
  <c r="AM114" i="257"/>
  <c r="AN114" i="257" s="1"/>
  <c r="AN98" i="257"/>
  <c r="AJ51" i="257"/>
  <c r="AP51" i="257"/>
  <c r="AQ51" i="257" s="1"/>
  <c r="AJ34" i="257"/>
  <c r="AP34" i="257"/>
  <c r="AQ34" i="257" s="1"/>
  <c r="AK202" i="257"/>
  <c r="N195" i="250"/>
  <c r="EO49" i="253"/>
  <c r="EM49" i="253"/>
  <c r="EP49" i="253"/>
  <c r="EN88" i="253"/>
  <c r="EM88" i="253" s="1"/>
  <c r="EM128" i="253"/>
  <c r="EP128" i="253"/>
  <c r="EO128" i="253"/>
  <c r="AP147" i="257"/>
  <c r="AQ147" i="257" s="1"/>
  <c r="AP54" i="257"/>
  <c r="AQ54" i="257" s="1"/>
  <c r="EN80" i="253"/>
  <c r="EM80" i="253" s="1"/>
  <c r="N111" i="250"/>
  <c r="O111" i="250" s="1"/>
  <c r="O95" i="250"/>
  <c r="AU216" i="252"/>
  <c r="EN182" i="253"/>
  <c r="AJ105" i="257"/>
  <c r="AP105" i="257"/>
  <c r="AQ105" i="257" s="1"/>
  <c r="W216" i="252"/>
  <c r="V170" i="252"/>
  <c r="AP197" i="257"/>
  <c r="AL197" i="257"/>
  <c r="AG119" i="253"/>
  <c r="EI119" i="253"/>
  <c r="AB123" i="253"/>
  <c r="AB161" i="253" s="1"/>
  <c r="AB211" i="253" s="1"/>
  <c r="DM170" i="252"/>
  <c r="DN216" i="252"/>
  <c r="DM216" i="252" s="1"/>
  <c r="AI183" i="257"/>
  <c r="AJ183" i="257" s="1"/>
  <c r="AJ181" i="257"/>
  <c r="EP71" i="253"/>
  <c r="EO71" i="253"/>
  <c r="EM71" i="253"/>
  <c r="AP111" i="257"/>
  <c r="AQ111" i="257" s="1"/>
  <c r="AL111" i="257"/>
  <c r="EM171" i="253"/>
  <c r="EP171" i="253"/>
  <c r="EO171" i="253"/>
  <c r="AJ134" i="257"/>
  <c r="AI136" i="257"/>
  <c r="J227" i="250"/>
  <c r="F25" i="261"/>
  <c r="F21" i="261"/>
  <c r="F22" i="261" s="1"/>
  <c r="F26" i="261" s="1"/>
  <c r="EO175" i="252"/>
  <c r="ES175" i="252"/>
  <c r="AP67" i="257"/>
  <c r="AQ67" i="257" s="1"/>
  <c r="AQ216" i="252"/>
  <c r="AP170" i="252"/>
  <c r="AJ92" i="257"/>
  <c r="AP92" i="257"/>
  <c r="AQ92" i="257" s="1"/>
  <c r="BE216" i="252"/>
  <c r="AL102" i="257"/>
  <c r="AP102" i="257"/>
  <c r="AQ102" i="257" s="1"/>
  <c r="EP152" i="253"/>
  <c r="EM152" i="253"/>
  <c r="EO152" i="253"/>
  <c r="AH121" i="257"/>
  <c r="AH173" i="257" s="1"/>
  <c r="AH237" i="257" s="1"/>
  <c r="AN117" i="257"/>
  <c r="AN121" i="257" s="1"/>
  <c r="AP161" i="257"/>
  <c r="AQ161" i="257" s="1"/>
  <c r="AL161" i="257"/>
  <c r="AP72" i="257"/>
  <c r="AQ72" i="257" s="1"/>
  <c r="EP25" i="253"/>
  <c r="EO25" i="253"/>
  <c r="EM25" i="253"/>
  <c r="EV216" i="252"/>
  <c r="AP79" i="257"/>
  <c r="AQ79" i="257" s="1"/>
  <c r="AL79" i="257"/>
  <c r="ES195" i="252"/>
  <c r="EO195" i="252"/>
  <c r="EM112" i="253"/>
  <c r="EP112" i="253"/>
  <c r="EO112" i="253"/>
  <c r="AP119" i="257"/>
  <c r="AQ119" i="257" s="1"/>
  <c r="EP53" i="253"/>
  <c r="EO53" i="253"/>
  <c r="EM53" i="253"/>
  <c r="EM66" i="253"/>
  <c r="EP66" i="253"/>
  <c r="EO66" i="253"/>
  <c r="EP55" i="253"/>
  <c r="EO55" i="253"/>
  <c r="EM55" i="253"/>
  <c r="AJ156" i="257"/>
  <c r="AP156" i="257"/>
  <c r="AQ156" i="257" s="1"/>
  <c r="AI114" i="257"/>
  <c r="AJ114" i="257" s="1"/>
  <c r="AJ98" i="257"/>
  <c r="ES119" i="252"/>
  <c r="EO119" i="252"/>
  <c r="AP15" i="257"/>
  <c r="AQ15" i="257" s="1"/>
  <c r="AJ48" i="257"/>
  <c r="AI87" i="257"/>
  <c r="AJ87" i="257" s="1"/>
  <c r="D25" i="261"/>
  <c r="D21" i="261"/>
  <c r="D22" i="261" s="1"/>
  <c r="D26" i="261" s="1"/>
  <c r="AJ107" i="257"/>
  <c r="AP107" i="257"/>
  <c r="AQ107" i="257" s="1"/>
  <c r="EO213" i="252"/>
  <c r="W205" i="250"/>
  <c r="AJ40" i="257"/>
  <c r="AP40" i="257"/>
  <c r="AQ40" i="257" s="1"/>
  <c r="EU216" i="252"/>
  <c r="EW216" i="252" s="1"/>
  <c r="Q216" i="252"/>
  <c r="W179" i="250"/>
  <c r="O179" i="250"/>
  <c r="EP177" i="253"/>
  <c r="EO177" i="253"/>
  <c r="EM177" i="253"/>
  <c r="N84" i="250"/>
  <c r="O84" i="250" s="1"/>
  <c r="O46" i="250"/>
  <c r="W237" i="257"/>
  <c r="V249" i="257"/>
  <c r="W249" i="257" s="1"/>
  <c r="W201" i="250"/>
  <c r="O201" i="250"/>
  <c r="EO51" i="253"/>
  <c r="EM51" i="253"/>
  <c r="EP51" i="253"/>
  <c r="AF237" i="257"/>
  <c r="AG173" i="257"/>
  <c r="N118" i="250"/>
  <c r="O118" i="250" s="1"/>
  <c r="G38" i="254"/>
  <c r="AJ25" i="257"/>
  <c r="AP25" i="257"/>
  <c r="AQ25" i="257" s="1"/>
  <c r="G25" i="261"/>
  <c r="G21" i="261"/>
  <c r="G22" i="261" s="1"/>
  <c r="G26" i="261" s="1"/>
  <c r="O87" i="250"/>
  <c r="N92" i="250"/>
  <c r="O92" i="250" s="1"/>
  <c r="EG211" i="253"/>
  <c r="EF211" i="253" s="1"/>
  <c r="EF161" i="253"/>
  <c r="H141" i="256"/>
  <c r="G143" i="256"/>
  <c r="H143" i="256" s="1"/>
  <c r="AP155" i="257"/>
  <c r="AQ155" i="257" s="1"/>
  <c r="AL155" i="257"/>
  <c r="AN170" i="257"/>
  <c r="EM113" i="253"/>
  <c r="EP113" i="253"/>
  <c r="EO113" i="253"/>
  <c r="EM70" i="253"/>
  <c r="EP70" i="253"/>
  <c r="EO70" i="253"/>
  <c r="AI178" i="257"/>
  <c r="AJ178" i="257" s="1"/>
  <c r="AJ177" i="257"/>
  <c r="AD237" i="257"/>
  <c r="EP57" i="253"/>
  <c r="EO57" i="253"/>
  <c r="EM57" i="253"/>
  <c r="ES130" i="252"/>
  <c r="EO130" i="252"/>
  <c r="AP17" i="257"/>
  <c r="AQ17" i="257" s="1"/>
  <c r="AH131" i="257"/>
  <c r="AN125" i="257"/>
  <c r="AN131" i="257" s="1"/>
  <c r="ES180" i="252"/>
  <c r="EO180" i="252"/>
  <c r="DI216" i="252"/>
  <c r="DH216" i="252" s="1"/>
  <c r="DH170" i="252"/>
  <c r="AP82" i="257"/>
  <c r="AQ82" i="257" s="1"/>
  <c r="AL82" i="257"/>
  <c r="ES112" i="252"/>
  <c r="EO112" i="252"/>
  <c r="EP20" i="253"/>
  <c r="EO20" i="253"/>
  <c r="EM20" i="253"/>
  <c r="N215" i="251"/>
  <c r="O168" i="251"/>
  <c r="AP118" i="257"/>
  <c r="AQ118" i="257" s="1"/>
  <c r="AP37" i="257"/>
  <c r="AQ37" i="257" s="1"/>
  <c r="K167" i="250"/>
  <c r="K219" i="250" s="1"/>
  <c r="N30" i="250"/>
  <c r="O122" i="250"/>
  <c r="N128" i="250"/>
  <c r="O128" i="250" s="1"/>
  <c r="AL165" i="257"/>
  <c r="AP165" i="257"/>
  <c r="AQ165" i="257" s="1"/>
  <c r="EP139" i="253"/>
  <c r="EO139" i="253"/>
  <c r="EM139" i="253"/>
  <c r="N197" i="250"/>
  <c r="AV237" i="257"/>
  <c r="AU257" i="257"/>
  <c r="AN90" i="257"/>
  <c r="AN95" i="257" s="1"/>
  <c r="AM95" i="257"/>
  <c r="AM173" i="257" s="1"/>
  <c r="AK216" i="252"/>
  <c r="EM64" i="253"/>
  <c r="EP64" i="253"/>
  <c r="EO64" i="253"/>
  <c r="BU216" i="252"/>
  <c r="BT170" i="252"/>
  <c r="W203" i="250"/>
  <c r="O203" i="250"/>
  <c r="EP110" i="253"/>
  <c r="EO110" i="253"/>
  <c r="EM110" i="253"/>
  <c r="AP185" i="257"/>
  <c r="AQ185" i="257" s="1"/>
  <c r="AL185" i="257"/>
  <c r="AL63" i="257"/>
  <c r="AP63" i="257"/>
  <c r="AQ63" i="257" s="1"/>
  <c r="BO216" i="252"/>
  <c r="EN193" i="253"/>
  <c r="EP185" i="253"/>
  <c r="EO185" i="253"/>
  <c r="EM185" i="253"/>
  <c r="AL149" i="257"/>
  <c r="AP149" i="257"/>
  <c r="AQ149" i="257" s="1"/>
  <c r="AJ208" i="257"/>
  <c r="AP208" i="257"/>
  <c r="AQ208" i="257" s="1"/>
  <c r="EM27" i="253"/>
  <c r="EP27" i="253"/>
  <c r="EO27" i="253"/>
  <c r="AL55" i="257"/>
  <c r="AP55" i="257"/>
  <c r="AQ55" i="257" s="1"/>
  <c r="H25" i="261"/>
  <c r="H21" i="261"/>
  <c r="H22" i="261" s="1"/>
  <c r="H26" i="261" s="1"/>
  <c r="DU216" i="252"/>
  <c r="EP150" i="253"/>
  <c r="EO150" i="253"/>
  <c r="EM150" i="253"/>
  <c r="AS216" i="252"/>
  <c r="EG216" i="252"/>
  <c r="EF170" i="252"/>
  <c r="AP112" i="257"/>
  <c r="AQ112" i="257" s="1"/>
  <c r="AL112" i="257"/>
  <c r="AJ27" i="257"/>
  <c r="AP27" i="257"/>
  <c r="AQ27" i="257" s="1"/>
  <c r="AM87" i="257"/>
  <c r="AN87" i="257" s="1"/>
  <c r="AN47" i="257"/>
  <c r="EP63" i="253"/>
  <c r="EO63" i="253"/>
  <c r="EM63" i="253"/>
  <c r="BK216" i="252"/>
  <c r="BJ170" i="252"/>
  <c r="CY216" i="252"/>
  <c r="CX170" i="252"/>
  <c r="AA216" i="252"/>
  <c r="EM151" i="253"/>
  <c r="EP151" i="253"/>
  <c r="EO151" i="253"/>
  <c r="AL178" i="257"/>
  <c r="E143" i="256"/>
  <c r="F143" i="256" s="1"/>
  <c r="F141" i="256"/>
  <c r="AP35" i="257"/>
  <c r="AQ35" i="257" s="1"/>
  <c r="AL71" i="257"/>
  <c r="AP71" i="257"/>
  <c r="AQ71" i="257" s="1"/>
  <c r="AI30" i="257"/>
  <c r="AJ30" i="257" s="1"/>
  <c r="AJ14" i="257"/>
  <c r="EM136" i="253"/>
  <c r="EO136" i="253"/>
  <c r="EP136" i="253"/>
  <c r="AP160" i="257"/>
  <c r="AQ160" i="257" s="1"/>
  <c r="AP153" i="257"/>
  <c r="AQ153" i="257" s="1"/>
  <c r="AP69" i="257"/>
  <c r="AQ69" i="257" s="1"/>
  <c r="E184" i="234"/>
  <c r="E183" i="234"/>
  <c r="DY422" i="216"/>
  <c r="DU422" i="216"/>
  <c r="DO420" i="216"/>
  <c r="DK420" i="216"/>
  <c r="DU419" i="216"/>
  <c r="DU420" i="216" s="1"/>
  <c r="EN418" i="216"/>
  <c r="EE418" i="216"/>
  <c r="EB392" i="216"/>
  <c r="EA392" i="216"/>
  <c r="EP392" i="216" s="1"/>
  <c r="DY392" i="216"/>
  <c r="DW392" i="216"/>
  <c r="DU392" i="216"/>
  <c r="DR392" i="216"/>
  <c r="DQ392" i="216"/>
  <c r="DO392" i="216"/>
  <c r="DM392" i="216"/>
  <c r="DK392" i="216"/>
  <c r="DS392" i="216" s="1"/>
  <c r="DH392" i="216"/>
  <c r="DG392" i="216"/>
  <c r="DE392" i="216"/>
  <c r="DC392" i="216"/>
  <c r="DA392" i="216"/>
  <c r="DI392" i="216" s="1"/>
  <c r="CX392" i="216"/>
  <c r="CW392" i="216"/>
  <c r="CU392" i="216"/>
  <c r="CS392" i="216"/>
  <c r="CQ392" i="216"/>
  <c r="CY392" i="216" s="1"/>
  <c r="CN392" i="216"/>
  <c r="CM392" i="216"/>
  <c r="CK392" i="216"/>
  <c r="CI392" i="216"/>
  <c r="CG392" i="216"/>
  <c r="CD392" i="216"/>
  <c r="CC392" i="216"/>
  <c r="CA392" i="216"/>
  <c r="BY392" i="216"/>
  <c r="BW392" i="216"/>
  <c r="CE392" i="216" s="1"/>
  <c r="BT392" i="216"/>
  <c r="BS392" i="216"/>
  <c r="BQ392" i="216"/>
  <c r="BO392" i="216"/>
  <c r="BN392" i="216" s="1"/>
  <c r="BM392" i="216"/>
  <c r="BU392" i="216" s="1"/>
  <c r="BJ392" i="216"/>
  <c r="BI392" i="216"/>
  <c r="BG392" i="216"/>
  <c r="BE392" i="216"/>
  <c r="BC392" i="216"/>
  <c r="BK392" i="216" s="1"/>
  <c r="AZ392" i="216"/>
  <c r="AY392" i="216"/>
  <c r="AW392" i="216"/>
  <c r="AU392" i="216"/>
  <c r="AS392" i="216"/>
  <c r="AP392" i="216"/>
  <c r="AO392" i="216"/>
  <c r="AM392" i="216"/>
  <c r="AK392" i="216"/>
  <c r="AI392" i="216"/>
  <c r="AQ392" i="216" s="1"/>
  <c r="AF392" i="216"/>
  <c r="AE392" i="216"/>
  <c r="AC392" i="216"/>
  <c r="AA392" i="216"/>
  <c r="Y392" i="216"/>
  <c r="AG392" i="216" s="1"/>
  <c r="V392" i="216"/>
  <c r="U392" i="216"/>
  <c r="S392" i="216"/>
  <c r="Q392" i="216"/>
  <c r="O392" i="216"/>
  <c r="D392" i="216"/>
  <c r="EB391" i="216"/>
  <c r="EA391" i="216"/>
  <c r="EP391" i="216" s="1"/>
  <c r="DY391" i="216"/>
  <c r="DW391" i="216"/>
  <c r="DU391" i="216"/>
  <c r="DR391" i="216"/>
  <c r="DQ391" i="216"/>
  <c r="DO391" i="216"/>
  <c r="DM391" i="216"/>
  <c r="DK391" i="216"/>
  <c r="DS391" i="216" s="1"/>
  <c r="DH391" i="216"/>
  <c r="DG391" i="216"/>
  <c r="DE391" i="216"/>
  <c r="DC391" i="216"/>
  <c r="DA391" i="216"/>
  <c r="DI391" i="216" s="1"/>
  <c r="CX391" i="216"/>
  <c r="CW391" i="216"/>
  <c r="CV391" i="216" s="1"/>
  <c r="CU391" i="216"/>
  <c r="CS391" i="216"/>
  <c r="CQ391" i="216"/>
  <c r="CN391" i="216"/>
  <c r="CM391" i="216"/>
  <c r="CL391" i="216" s="1"/>
  <c r="CK391" i="216"/>
  <c r="CI391" i="216"/>
  <c r="CG391" i="216"/>
  <c r="CD391" i="216"/>
  <c r="CC391" i="216"/>
  <c r="CA391" i="216"/>
  <c r="BY391" i="216"/>
  <c r="BX391" i="216"/>
  <c r="BW391" i="216"/>
  <c r="CE391" i="216" s="1"/>
  <c r="BT391" i="216"/>
  <c r="BS391" i="216"/>
  <c r="BQ391" i="216"/>
  <c r="BO391" i="216"/>
  <c r="BM391" i="216"/>
  <c r="BJ391" i="216"/>
  <c r="BI391" i="216"/>
  <c r="BG391" i="216"/>
  <c r="BE391" i="216"/>
  <c r="BC391" i="216"/>
  <c r="AZ391" i="216"/>
  <c r="AY391" i="216"/>
  <c r="AX391" i="216" s="1"/>
  <c r="AW391" i="216"/>
  <c r="AU391" i="216"/>
  <c r="AS391" i="216"/>
  <c r="AP391" i="216"/>
  <c r="AO391" i="216"/>
  <c r="AN391" i="216" s="1"/>
  <c r="AM391" i="216"/>
  <c r="AL391" i="216" s="1"/>
  <c r="AK391" i="216"/>
  <c r="AJ391" i="216" s="1"/>
  <c r="AI391" i="216"/>
  <c r="AQ391" i="216" s="1"/>
  <c r="AF391" i="216"/>
  <c r="AE391" i="216"/>
  <c r="AC391" i="216"/>
  <c r="AA391" i="216"/>
  <c r="Y391" i="216"/>
  <c r="AG391" i="216" s="1"/>
  <c r="V391" i="216"/>
  <c r="U391" i="216"/>
  <c r="S391" i="216"/>
  <c r="Q391" i="216"/>
  <c r="O391" i="216"/>
  <c r="D391" i="216"/>
  <c r="EB390" i="216"/>
  <c r="DY390" i="216"/>
  <c r="DW390" i="216"/>
  <c r="DU390" i="216"/>
  <c r="EC390" i="216" s="1"/>
  <c r="DR390" i="216"/>
  <c r="DQ390" i="216"/>
  <c r="DO390" i="216"/>
  <c r="DM390" i="216"/>
  <c r="DK390" i="216"/>
  <c r="DS390" i="216" s="1"/>
  <c r="DI390" i="216"/>
  <c r="DH390" i="216"/>
  <c r="DG390" i="216"/>
  <c r="DE390" i="216"/>
  <c r="DC390" i="216"/>
  <c r="DA390" i="216"/>
  <c r="CX390" i="216"/>
  <c r="CU390" i="216"/>
  <c r="CS390" i="216"/>
  <c r="CQ390" i="216"/>
  <c r="CN390" i="216"/>
  <c r="CM390" i="216"/>
  <c r="CK390" i="216"/>
  <c r="CI390" i="216"/>
  <c r="CG390" i="216"/>
  <c r="CO390" i="216" s="1"/>
  <c r="CD390" i="216"/>
  <c r="CA390" i="216"/>
  <c r="BY390" i="216"/>
  <c r="BX390" i="216" s="1"/>
  <c r="BW390" i="216"/>
  <c r="CE390" i="216" s="1"/>
  <c r="BT390" i="216"/>
  <c r="BS390" i="216"/>
  <c r="BQ390" i="216"/>
  <c r="BO390" i="216"/>
  <c r="BM390" i="216"/>
  <c r="BU390" i="216" s="1"/>
  <c r="BJ390" i="216"/>
  <c r="BG390" i="216"/>
  <c r="BE390" i="216"/>
  <c r="BC390" i="216"/>
  <c r="AZ390" i="216"/>
  <c r="AY390" i="216"/>
  <c r="AX390" i="216" s="1"/>
  <c r="AW390" i="216"/>
  <c r="AU390" i="216"/>
  <c r="AS390" i="216"/>
  <c r="BA390" i="216" s="1"/>
  <c r="AP390" i="216"/>
  <c r="AO390" i="216"/>
  <c r="AM390" i="216"/>
  <c r="AK390" i="216"/>
  <c r="AI390" i="216"/>
  <c r="AQ390" i="216" s="1"/>
  <c r="AF390" i="216"/>
  <c r="AE390" i="216"/>
  <c r="AC390" i="216"/>
  <c r="AA390" i="216"/>
  <c r="Y390" i="216"/>
  <c r="AG390" i="216" s="1"/>
  <c r="V390" i="216"/>
  <c r="U390" i="216"/>
  <c r="S390" i="216"/>
  <c r="Q390" i="216"/>
  <c r="O390" i="216"/>
  <c r="T390" i="216" s="1"/>
  <c r="D390" i="216"/>
  <c r="EZ389" i="216"/>
  <c r="EP389" i="216"/>
  <c r="EM389" i="216"/>
  <c r="EL389" i="216"/>
  <c r="EK389" i="216"/>
  <c r="EJ389" i="216"/>
  <c r="EH389" i="216"/>
  <c r="EF389" i="216"/>
  <c r="ED389" i="216"/>
  <c r="EC389" i="216"/>
  <c r="DZ389" i="216"/>
  <c r="DX389" i="216"/>
  <c r="DV389" i="216"/>
  <c r="DT389" i="216"/>
  <c r="DS389" i="216"/>
  <c r="DP389" i="216"/>
  <c r="DN389" i="216"/>
  <c r="DL389" i="216"/>
  <c r="DJ389" i="216"/>
  <c r="DI389" i="216"/>
  <c r="DF389" i="216"/>
  <c r="DD389" i="216"/>
  <c r="DB389" i="216"/>
  <c r="CZ389" i="216"/>
  <c r="CY389" i="216"/>
  <c r="CV389" i="216"/>
  <c r="CT389" i="216"/>
  <c r="CR389" i="216"/>
  <c r="CP389" i="216"/>
  <c r="CO389" i="216"/>
  <c r="CL389" i="216"/>
  <c r="CJ389" i="216"/>
  <c r="CH389" i="216"/>
  <c r="CF389" i="216"/>
  <c r="CE389" i="216"/>
  <c r="CB389" i="216"/>
  <c r="BZ389" i="216"/>
  <c r="BX389" i="216"/>
  <c r="BV389" i="216"/>
  <c r="BU389" i="216"/>
  <c r="BR389" i="216"/>
  <c r="BP389" i="216"/>
  <c r="BN389" i="216"/>
  <c r="BL389" i="216"/>
  <c r="BK389" i="216"/>
  <c r="BH389" i="216"/>
  <c r="BF389" i="216"/>
  <c r="BD389" i="216"/>
  <c r="BB389" i="216"/>
  <c r="BA389" i="216"/>
  <c r="AX389" i="216"/>
  <c r="AV389" i="216"/>
  <c r="AT389" i="216"/>
  <c r="AR389" i="216"/>
  <c r="AQ389" i="216"/>
  <c r="AN389" i="216"/>
  <c r="AL389" i="216"/>
  <c r="AJ389" i="216"/>
  <c r="AH389" i="216"/>
  <c r="AG389" i="216"/>
  <c r="AD389" i="216"/>
  <c r="AB389" i="216"/>
  <c r="Z389" i="216"/>
  <c r="X389" i="216"/>
  <c r="W389" i="216"/>
  <c r="T389" i="216"/>
  <c r="R389" i="216"/>
  <c r="P389" i="216"/>
  <c r="EZ388" i="216"/>
  <c r="EP388" i="216"/>
  <c r="EM388" i="216"/>
  <c r="EJ388" i="216"/>
  <c r="EH388" i="216"/>
  <c r="EF388" i="216"/>
  <c r="EC388" i="216"/>
  <c r="DZ388" i="216"/>
  <c r="DX388" i="216"/>
  <c r="DV388" i="216"/>
  <c r="DT388" i="216"/>
  <c r="DS388" i="216"/>
  <c r="DP388" i="216"/>
  <c r="DN388" i="216"/>
  <c r="DL388" i="216"/>
  <c r="DJ388" i="216"/>
  <c r="DI388" i="216"/>
  <c r="DF388" i="216"/>
  <c r="DD388" i="216"/>
  <c r="DB388" i="216"/>
  <c r="CZ388" i="216"/>
  <c r="CY388" i="216"/>
  <c r="CV388" i="216"/>
  <c r="CT388" i="216"/>
  <c r="CR388" i="216"/>
  <c r="CP388" i="216"/>
  <c r="CO388" i="216"/>
  <c r="CL388" i="216"/>
  <c r="CJ388" i="216"/>
  <c r="CH388" i="216"/>
  <c r="CF388" i="216"/>
  <c r="CE388" i="216"/>
  <c r="CB388" i="216"/>
  <c r="BZ388" i="216"/>
  <c r="BX388" i="216"/>
  <c r="BV388" i="216"/>
  <c r="BU388" i="216"/>
  <c r="BR388" i="216"/>
  <c r="BP388" i="216"/>
  <c r="BN388" i="216"/>
  <c r="BL388" i="216"/>
  <c r="BK388" i="216"/>
  <c r="BH388" i="216"/>
  <c r="BF388" i="216"/>
  <c r="BD388" i="216"/>
  <c r="BB388" i="216"/>
  <c r="BA388" i="216"/>
  <c r="AX388" i="216"/>
  <c r="AV388" i="216"/>
  <c r="AT388" i="216"/>
  <c r="AR388" i="216"/>
  <c r="AQ388" i="216"/>
  <c r="AN388" i="216"/>
  <c r="AL388" i="216"/>
  <c r="AJ388" i="216"/>
  <c r="AH388" i="216"/>
  <c r="AG388" i="216"/>
  <c r="AD388" i="216"/>
  <c r="AB388" i="216"/>
  <c r="Z388" i="216"/>
  <c r="W388" i="216"/>
  <c r="T388" i="216"/>
  <c r="R388" i="216"/>
  <c r="P388" i="216"/>
  <c r="EP386" i="216"/>
  <c r="EL386" i="216"/>
  <c r="EK386" i="216"/>
  <c r="EJ386" i="216"/>
  <c r="EI386" i="216"/>
  <c r="EG386" i="216"/>
  <c r="EF386" i="216" s="1"/>
  <c r="EE386" i="216"/>
  <c r="EZ386" i="216" s="1"/>
  <c r="ED386" i="216"/>
  <c r="EC386" i="216"/>
  <c r="DZ386" i="216"/>
  <c r="DX386" i="216"/>
  <c r="DV386" i="216"/>
  <c r="DT386" i="216"/>
  <c r="DS386" i="216"/>
  <c r="DP386" i="216"/>
  <c r="DN386" i="216"/>
  <c r="DL386" i="216"/>
  <c r="DJ386" i="216"/>
  <c r="DI386" i="216"/>
  <c r="DF386" i="216"/>
  <c r="DD386" i="216"/>
  <c r="DB386" i="216"/>
  <c r="CZ386" i="216"/>
  <c r="CY386" i="216"/>
  <c r="CV386" i="216"/>
  <c r="CT386" i="216"/>
  <c r="CR386" i="216"/>
  <c r="CP386" i="216"/>
  <c r="CO386" i="216"/>
  <c r="CL386" i="216"/>
  <c r="CJ386" i="216"/>
  <c r="CH386" i="216"/>
  <c r="CF386" i="216"/>
  <c r="CE386" i="216"/>
  <c r="CB386" i="216"/>
  <c r="BZ386" i="216"/>
  <c r="BX386" i="216"/>
  <c r="BV386" i="216"/>
  <c r="BU386" i="216"/>
  <c r="BR386" i="216"/>
  <c r="BP386" i="216"/>
  <c r="BN386" i="216"/>
  <c r="BL386" i="216"/>
  <c r="BK386" i="216"/>
  <c r="BH386" i="216"/>
  <c r="BF386" i="216"/>
  <c r="BD386" i="216"/>
  <c r="BB386" i="216"/>
  <c r="BA386" i="216"/>
  <c r="AX386" i="216"/>
  <c r="AV386" i="216"/>
  <c r="AT386" i="216"/>
  <c r="AR386" i="216"/>
  <c r="AQ386" i="216"/>
  <c r="AN386" i="216"/>
  <c r="AL386" i="216"/>
  <c r="AJ386" i="216"/>
  <c r="AH386" i="216"/>
  <c r="AG386" i="216"/>
  <c r="AD386" i="216"/>
  <c r="AB386" i="216"/>
  <c r="Z386" i="216"/>
  <c r="X386" i="216"/>
  <c r="W386" i="216"/>
  <c r="T386" i="216"/>
  <c r="R386" i="216"/>
  <c r="P386" i="216"/>
  <c r="EP385" i="216"/>
  <c r="EL385" i="216"/>
  <c r="EK385" i="216"/>
  <c r="EJ385" i="216"/>
  <c r="EI385" i="216"/>
  <c r="EG385" i="216"/>
  <c r="EF385" i="216" s="1"/>
  <c r="EE385" i="216"/>
  <c r="EZ385" i="216" s="1"/>
  <c r="ED385" i="216"/>
  <c r="EC385" i="216"/>
  <c r="DZ385" i="216"/>
  <c r="DX385" i="216"/>
  <c r="DV385" i="216"/>
  <c r="DT385" i="216"/>
  <c r="DS385" i="216"/>
  <c r="DP385" i="216"/>
  <c r="DN385" i="216"/>
  <c r="DL385" i="216"/>
  <c r="DJ385" i="216"/>
  <c r="DI385" i="216"/>
  <c r="DF385" i="216"/>
  <c r="DD385" i="216"/>
  <c r="DB385" i="216"/>
  <c r="CZ385" i="216"/>
  <c r="CY385" i="216"/>
  <c r="CV385" i="216"/>
  <c r="CT385" i="216"/>
  <c r="CR385" i="216"/>
  <c r="CP385" i="216"/>
  <c r="CO385" i="216"/>
  <c r="CL385" i="216"/>
  <c r="CJ385" i="216"/>
  <c r="CH385" i="216"/>
  <c r="CF385" i="216"/>
  <c r="CE385" i="216"/>
  <c r="CB385" i="216"/>
  <c r="BZ385" i="216"/>
  <c r="BX385" i="216"/>
  <c r="BV385" i="216"/>
  <c r="BU385" i="216"/>
  <c r="BR385" i="216"/>
  <c r="BP385" i="216"/>
  <c r="BN385" i="216"/>
  <c r="BL385" i="216"/>
  <c r="BK385" i="216"/>
  <c r="BH385" i="216"/>
  <c r="BF385" i="216"/>
  <c r="BD385" i="216"/>
  <c r="BB385" i="216"/>
  <c r="BA385" i="216"/>
  <c r="AX385" i="216"/>
  <c r="AV385" i="216"/>
  <c r="AT385" i="216"/>
  <c r="AR385" i="216"/>
  <c r="AQ385" i="216"/>
  <c r="AN385" i="216"/>
  <c r="AL385" i="216"/>
  <c r="AJ385" i="216"/>
  <c r="AH385" i="216"/>
  <c r="AG385" i="216"/>
  <c r="AD385" i="216"/>
  <c r="AB385" i="216"/>
  <c r="Z385" i="216"/>
  <c r="X385" i="216"/>
  <c r="W385" i="216"/>
  <c r="T385" i="216"/>
  <c r="R385" i="216"/>
  <c r="P385" i="216"/>
  <c r="EP384" i="216"/>
  <c r="EL384" i="216"/>
  <c r="EK384" i="216"/>
  <c r="EJ384" i="216"/>
  <c r="EI384" i="216"/>
  <c r="EG384" i="216"/>
  <c r="EF384" i="216" s="1"/>
  <c r="EE384" i="216"/>
  <c r="EZ384" i="216" s="1"/>
  <c r="ED384" i="216"/>
  <c r="EC384" i="216"/>
  <c r="DZ384" i="216"/>
  <c r="DX384" i="216"/>
  <c r="DV384" i="216"/>
  <c r="DT384" i="216"/>
  <c r="DS384" i="216"/>
  <c r="DP384" i="216"/>
  <c r="DN384" i="216"/>
  <c r="DL384" i="216"/>
  <c r="DJ384" i="216"/>
  <c r="DI384" i="216"/>
  <c r="DF384" i="216"/>
  <c r="DD384" i="216"/>
  <c r="DB384" i="216"/>
  <c r="CZ384" i="216"/>
  <c r="CY384" i="216"/>
  <c r="CV384" i="216"/>
  <c r="CT384" i="216"/>
  <c r="CR384" i="216"/>
  <c r="CP384" i="216"/>
  <c r="CO384" i="216"/>
  <c r="CL384" i="216"/>
  <c r="CJ384" i="216"/>
  <c r="CH384" i="216"/>
  <c r="CF384" i="216"/>
  <c r="CE384" i="216"/>
  <c r="CB384" i="216"/>
  <c r="BZ384" i="216"/>
  <c r="BX384" i="216"/>
  <c r="BV384" i="216"/>
  <c r="BU384" i="216"/>
  <c r="BR384" i="216"/>
  <c r="BP384" i="216"/>
  <c r="BN384" i="216"/>
  <c r="BL384" i="216"/>
  <c r="BK384" i="216"/>
  <c r="BH384" i="216"/>
  <c r="BF384" i="216"/>
  <c r="BD384" i="216"/>
  <c r="BB384" i="216"/>
  <c r="BA384" i="216"/>
  <c r="AX384" i="216"/>
  <c r="AV384" i="216"/>
  <c r="AT384" i="216"/>
  <c r="AR384" i="216"/>
  <c r="AQ384" i="216"/>
  <c r="AN384" i="216"/>
  <c r="AL384" i="216"/>
  <c r="AJ384" i="216"/>
  <c r="AH384" i="216"/>
  <c r="AG384" i="216"/>
  <c r="AD384" i="216"/>
  <c r="AB384" i="216"/>
  <c r="Z384" i="216"/>
  <c r="X384" i="216"/>
  <c r="EN384" i="216" s="1"/>
  <c r="W384" i="216"/>
  <c r="T384" i="216"/>
  <c r="R384" i="216"/>
  <c r="P384" i="216"/>
  <c r="EB383" i="216"/>
  <c r="DY383" i="216"/>
  <c r="DW383" i="216"/>
  <c r="DV383" i="216" s="1"/>
  <c r="DU383" i="216"/>
  <c r="EC383" i="216" s="1"/>
  <c r="DR383" i="216"/>
  <c r="DQ383" i="216"/>
  <c r="DO383" i="216"/>
  <c r="DM383" i="216"/>
  <c r="DK383" i="216"/>
  <c r="DS383" i="216" s="1"/>
  <c r="DH383" i="216"/>
  <c r="DG383" i="216"/>
  <c r="DF383" i="216" s="1"/>
  <c r="DE383" i="216"/>
  <c r="DD383" i="216" s="1"/>
  <c r="DC383" i="216"/>
  <c r="DA383" i="216"/>
  <c r="CX383" i="216"/>
  <c r="CU383" i="216"/>
  <c r="CS383" i="216"/>
  <c r="CQ383" i="216"/>
  <c r="CN383" i="216"/>
  <c r="CK383" i="216"/>
  <c r="CI383" i="216"/>
  <c r="CH383" i="216" s="1"/>
  <c r="CG383" i="216"/>
  <c r="CO383" i="216" s="1"/>
  <c r="CD383" i="216"/>
  <c r="CA383" i="216"/>
  <c r="BY383" i="216"/>
  <c r="BX383" i="216" s="1"/>
  <c r="BW383" i="216"/>
  <c r="CE383" i="216" s="1"/>
  <c r="BT383" i="216"/>
  <c r="BQ383" i="216"/>
  <c r="BO383" i="216"/>
  <c r="BM383" i="216"/>
  <c r="BJ383" i="216"/>
  <c r="BI383" i="216"/>
  <c r="BH383" i="216" s="1"/>
  <c r="BG383" i="216"/>
  <c r="BE383" i="216"/>
  <c r="BC383" i="216"/>
  <c r="AZ383" i="216"/>
  <c r="AW383" i="216"/>
  <c r="AU383" i="216"/>
  <c r="AS383" i="216"/>
  <c r="AP383" i="216"/>
  <c r="AO383" i="216"/>
  <c r="AM383" i="216"/>
  <c r="AK383" i="216"/>
  <c r="AI383" i="216"/>
  <c r="AQ383" i="216" s="1"/>
  <c r="AF383" i="216"/>
  <c r="AE383" i="216"/>
  <c r="AC383" i="216"/>
  <c r="AA383" i="216"/>
  <c r="Y383" i="216"/>
  <c r="V383" i="216"/>
  <c r="U383" i="216"/>
  <c r="S383" i="216"/>
  <c r="Q383" i="216"/>
  <c r="O383" i="216"/>
  <c r="R383" i="216" s="1"/>
  <c r="D383" i="216"/>
  <c r="EB382" i="216"/>
  <c r="EA382" i="216"/>
  <c r="DY382" i="216"/>
  <c r="DW382" i="216"/>
  <c r="DU382" i="216"/>
  <c r="EC382" i="216" s="1"/>
  <c r="DR382" i="216"/>
  <c r="DQ382" i="216"/>
  <c r="DO382" i="216"/>
  <c r="DM382" i="216"/>
  <c r="DK382" i="216"/>
  <c r="DS382" i="216" s="1"/>
  <c r="DH382" i="216"/>
  <c r="DG382" i="216"/>
  <c r="DE382" i="216"/>
  <c r="DC382" i="216"/>
  <c r="DA382" i="216"/>
  <c r="CX382" i="216"/>
  <c r="CW382" i="216"/>
  <c r="CV382" i="216" s="1"/>
  <c r="CU382" i="216"/>
  <c r="CS382" i="216"/>
  <c r="CQ382" i="216"/>
  <c r="CN382" i="216"/>
  <c r="CM382" i="216"/>
  <c r="CK382" i="216"/>
  <c r="CI382" i="216"/>
  <c r="CG382" i="216"/>
  <c r="CO382" i="216" s="1"/>
  <c r="CD382" i="216"/>
  <c r="CC382" i="216"/>
  <c r="CA382" i="216"/>
  <c r="BY382" i="216"/>
  <c r="BW382" i="216"/>
  <c r="BT382" i="216"/>
  <c r="BS382" i="216"/>
  <c r="BQ382" i="216"/>
  <c r="BO382" i="216"/>
  <c r="BM382" i="216"/>
  <c r="BJ382" i="216"/>
  <c r="BI382" i="216"/>
  <c r="BG382" i="216"/>
  <c r="BF382" i="216" s="1"/>
  <c r="BE382" i="216"/>
  <c r="BC382" i="216"/>
  <c r="AZ382" i="216"/>
  <c r="AY382" i="216"/>
  <c r="AW382" i="216"/>
  <c r="AU382" i="216"/>
  <c r="AT382" i="216" s="1"/>
  <c r="AS382" i="216"/>
  <c r="BA382" i="216" s="1"/>
  <c r="AP382" i="216"/>
  <c r="AO382" i="216"/>
  <c r="AM382" i="216"/>
  <c r="AK382" i="216"/>
  <c r="AI382" i="216"/>
  <c r="AQ382" i="216" s="1"/>
  <c r="AF382" i="216"/>
  <c r="AE382" i="216"/>
  <c r="AC382" i="216"/>
  <c r="AA382" i="216"/>
  <c r="Y382" i="216"/>
  <c r="V382" i="216"/>
  <c r="U382" i="216"/>
  <c r="S382" i="216"/>
  <c r="Q382" i="216"/>
  <c r="O382" i="216"/>
  <c r="D382" i="216"/>
  <c r="EB381" i="216"/>
  <c r="EA381" i="216"/>
  <c r="DY381" i="216"/>
  <c r="DW381" i="216"/>
  <c r="DU381" i="216"/>
  <c r="EC381" i="216" s="1"/>
  <c r="DR381" i="216"/>
  <c r="DQ381" i="216"/>
  <c r="DO381" i="216"/>
  <c r="DM381" i="216"/>
  <c r="DK381" i="216"/>
  <c r="DH381" i="216"/>
  <c r="DG381" i="216"/>
  <c r="DE381" i="216"/>
  <c r="DC381" i="216"/>
  <c r="DA381" i="216"/>
  <c r="CX381" i="216"/>
  <c r="CW381" i="216"/>
  <c r="CV381" i="216" s="1"/>
  <c r="CU381" i="216"/>
  <c r="CS381" i="216"/>
  <c r="CQ381" i="216"/>
  <c r="CY381" i="216" s="1"/>
  <c r="CN381" i="216"/>
  <c r="CM381" i="216"/>
  <c r="CK381" i="216"/>
  <c r="CI381" i="216"/>
  <c r="CG381" i="216"/>
  <c r="CO381" i="216" s="1"/>
  <c r="CD381" i="216"/>
  <c r="CC381" i="216"/>
  <c r="CB381" i="216" s="1"/>
  <c r="CA381" i="216"/>
  <c r="BZ381" i="216" s="1"/>
  <c r="BY381" i="216"/>
  <c r="BW381" i="216"/>
  <c r="CE381" i="216" s="1"/>
  <c r="BT381" i="216"/>
  <c r="BS381" i="216"/>
  <c r="BQ381" i="216"/>
  <c r="BO381" i="216"/>
  <c r="BM381" i="216"/>
  <c r="BJ381" i="216"/>
  <c r="BI381" i="216"/>
  <c r="BG381" i="216"/>
  <c r="BE381" i="216"/>
  <c r="BC381" i="216"/>
  <c r="BK381" i="216" s="1"/>
  <c r="AZ381" i="216"/>
  <c r="AY381" i="216"/>
  <c r="AW381" i="216"/>
  <c r="AU381" i="216"/>
  <c r="AS381" i="216"/>
  <c r="BA381" i="216" s="1"/>
  <c r="AP381" i="216"/>
  <c r="AO381" i="216"/>
  <c r="AM381" i="216"/>
  <c r="AL381" i="216" s="1"/>
  <c r="AK381" i="216"/>
  <c r="AI381" i="216"/>
  <c r="AF381" i="216"/>
  <c r="AE381" i="216"/>
  <c r="AD381" i="216" s="1"/>
  <c r="AC381" i="216"/>
  <c r="AA381" i="216"/>
  <c r="Y381" i="216"/>
  <c r="V381" i="216"/>
  <c r="U381" i="216"/>
  <c r="T381" i="216"/>
  <c r="S381" i="216"/>
  <c r="Q381" i="216"/>
  <c r="O381" i="216"/>
  <c r="D381" i="216"/>
  <c r="EB380" i="216"/>
  <c r="EA380" i="216"/>
  <c r="DY380" i="216"/>
  <c r="DW380" i="216"/>
  <c r="DU380" i="216"/>
  <c r="EC380" i="216" s="1"/>
  <c r="DR380" i="216"/>
  <c r="DR387" i="216" s="1"/>
  <c r="DO380" i="216"/>
  <c r="DM380" i="216"/>
  <c r="DK380" i="216"/>
  <c r="DS380" i="216" s="1"/>
  <c r="DH380" i="216"/>
  <c r="DH387" i="216" s="1"/>
  <c r="DG380" i="216"/>
  <c r="DE380" i="216"/>
  <c r="DC380" i="216"/>
  <c r="DC387" i="216" s="1"/>
  <c r="DA380" i="216"/>
  <c r="CX380" i="216"/>
  <c r="CX387" i="216" s="1"/>
  <c r="CU380" i="216"/>
  <c r="CS380" i="216"/>
  <c r="CQ380" i="216"/>
  <c r="CY380" i="216" s="1"/>
  <c r="CN380" i="216"/>
  <c r="CK380" i="216"/>
  <c r="CI380" i="216"/>
  <c r="CG380" i="216"/>
  <c r="CO380" i="216" s="1"/>
  <c r="CD380" i="216"/>
  <c r="CD387" i="216" s="1"/>
  <c r="CC380" i="216"/>
  <c r="CA380" i="216"/>
  <c r="BY380" i="216"/>
  <c r="BW380" i="216"/>
  <c r="BZ380" i="216" s="1"/>
  <c r="BT380" i="216"/>
  <c r="BQ380" i="216"/>
  <c r="BO380" i="216"/>
  <c r="BO387" i="216" s="1"/>
  <c r="BM380" i="216"/>
  <c r="BU380" i="216" s="1"/>
  <c r="BJ380" i="216"/>
  <c r="BJ387" i="216" s="1"/>
  <c r="BI380" i="216"/>
  <c r="BG380" i="216"/>
  <c r="BG387" i="216" s="1"/>
  <c r="BE380" i="216"/>
  <c r="BC380" i="216"/>
  <c r="BK380" i="216" s="1"/>
  <c r="AZ380" i="216"/>
  <c r="AY380" i="216"/>
  <c r="AW380" i="216"/>
  <c r="AU380" i="216"/>
  <c r="AS380" i="216"/>
  <c r="AQ380" i="216"/>
  <c r="AP380" i="216"/>
  <c r="AP387" i="216" s="1"/>
  <c r="AO380" i="216"/>
  <c r="AN380" i="216" s="1"/>
  <c r="AM380" i="216"/>
  <c r="AK380" i="216"/>
  <c r="AI380" i="216"/>
  <c r="AF380" i="216"/>
  <c r="AE380" i="216"/>
  <c r="AC380" i="216"/>
  <c r="AA380" i="216"/>
  <c r="Y380" i="216"/>
  <c r="AG380" i="216" s="1"/>
  <c r="V380" i="216"/>
  <c r="U380" i="216"/>
  <c r="S380" i="216"/>
  <c r="Q380" i="216"/>
  <c r="O380" i="216"/>
  <c r="D380" i="216"/>
  <c r="EZ379" i="216"/>
  <c r="EP379" i="216"/>
  <c r="EM379" i="216"/>
  <c r="EJ379" i="216"/>
  <c r="EH379" i="216"/>
  <c r="EF379" i="216"/>
  <c r="EC379" i="216"/>
  <c r="DZ379" i="216"/>
  <c r="DX379" i="216"/>
  <c r="DV379" i="216"/>
  <c r="DT379" i="216"/>
  <c r="DS379" i="216"/>
  <c r="DP379" i="216"/>
  <c r="DN379" i="216"/>
  <c r="DL379" i="216"/>
  <c r="DJ379" i="216"/>
  <c r="DI379" i="216"/>
  <c r="DF379" i="216"/>
  <c r="DD379" i="216"/>
  <c r="DB379" i="216"/>
  <c r="CZ379" i="216"/>
  <c r="CY379" i="216"/>
  <c r="CV379" i="216"/>
  <c r="CT379" i="216"/>
  <c r="CR379" i="216"/>
  <c r="CP379" i="216"/>
  <c r="CO379" i="216"/>
  <c r="CL379" i="216"/>
  <c r="CJ379" i="216"/>
  <c r="CH379" i="216"/>
  <c r="CF379" i="216"/>
  <c r="CE379" i="216"/>
  <c r="CB379" i="216"/>
  <c r="BZ379" i="216"/>
  <c r="BX379" i="216"/>
  <c r="BV379" i="216"/>
  <c r="BU379" i="216"/>
  <c r="BR379" i="216"/>
  <c r="BP379" i="216"/>
  <c r="BN379" i="216"/>
  <c r="BL379" i="216"/>
  <c r="BK379" i="216"/>
  <c r="BH379" i="216"/>
  <c r="BF379" i="216"/>
  <c r="BD379" i="216"/>
  <c r="BB379" i="216"/>
  <c r="BA379" i="216"/>
  <c r="AX379" i="216"/>
  <c r="AV379" i="216"/>
  <c r="AT379" i="216"/>
  <c r="AR379" i="216"/>
  <c r="AQ379" i="216"/>
  <c r="AN379" i="216"/>
  <c r="AL379" i="216"/>
  <c r="AJ379" i="216"/>
  <c r="AH379" i="216"/>
  <c r="AG379" i="216"/>
  <c r="AD379" i="216"/>
  <c r="AB379" i="216"/>
  <c r="Z379" i="216"/>
  <c r="W379" i="216"/>
  <c r="T379" i="216"/>
  <c r="R379" i="216"/>
  <c r="P379" i="216"/>
  <c r="EZ378" i="216"/>
  <c r="EP378" i="216"/>
  <c r="EM378" i="216"/>
  <c r="EJ378" i="216"/>
  <c r="EH378" i="216"/>
  <c r="EF378" i="216"/>
  <c r="EC378" i="216"/>
  <c r="DZ378" i="216"/>
  <c r="DX378" i="216"/>
  <c r="DV378" i="216"/>
  <c r="DS378" i="216"/>
  <c r="DP378" i="216"/>
  <c r="DN378" i="216"/>
  <c r="DL378" i="216"/>
  <c r="DI378" i="216"/>
  <c r="DF378" i="216"/>
  <c r="DD378" i="216"/>
  <c r="DB378" i="216"/>
  <c r="CY378" i="216"/>
  <c r="CV378" i="216"/>
  <c r="CT378" i="216"/>
  <c r="CR378" i="216"/>
  <c r="CO378" i="216"/>
  <c r="CL378" i="216"/>
  <c r="CJ378" i="216"/>
  <c r="CH378" i="216"/>
  <c r="CE378" i="216"/>
  <c r="CB378" i="216"/>
  <c r="BZ378" i="216"/>
  <c r="BX378" i="216"/>
  <c r="BU378" i="216"/>
  <c r="BR378" i="216"/>
  <c r="BP378" i="216"/>
  <c r="BN378" i="216"/>
  <c r="BK378" i="216"/>
  <c r="BH378" i="216"/>
  <c r="BF378" i="216"/>
  <c r="BD378" i="216"/>
  <c r="BA378" i="216"/>
  <c r="AX378" i="216"/>
  <c r="AV378" i="216"/>
  <c r="AT378" i="216"/>
  <c r="AQ378" i="216"/>
  <c r="AN378" i="216"/>
  <c r="AL378" i="216"/>
  <c r="AJ378" i="216"/>
  <c r="AH378" i="216"/>
  <c r="AG378" i="216"/>
  <c r="AD378" i="216"/>
  <c r="AB378" i="216"/>
  <c r="Z378" i="216"/>
  <c r="W378" i="216"/>
  <c r="T378" i="216"/>
  <c r="R378" i="216"/>
  <c r="P378" i="216"/>
  <c r="EZ376" i="216"/>
  <c r="EP376" i="216"/>
  <c r="EL376" i="216"/>
  <c r="EK376" i="216"/>
  <c r="EN376" i="216" s="1"/>
  <c r="EJ376" i="216"/>
  <c r="EI376" i="216"/>
  <c r="EG376" i="216"/>
  <c r="EE376" i="216"/>
  <c r="EF376" i="216" s="1"/>
  <c r="ED376" i="216"/>
  <c r="EC376" i="216"/>
  <c r="DZ376" i="216"/>
  <c r="DX376" i="216"/>
  <c r="DV376" i="216"/>
  <c r="DT376" i="216"/>
  <c r="DS376" i="216"/>
  <c r="DP376" i="216"/>
  <c r="DN376" i="216"/>
  <c r="DL376" i="216"/>
  <c r="DJ376" i="216"/>
  <c r="DI376" i="216"/>
  <c r="DF376" i="216"/>
  <c r="DD376" i="216"/>
  <c r="DB376" i="216"/>
  <c r="CZ376" i="216"/>
  <c r="CY376" i="216"/>
  <c r="CV376" i="216"/>
  <c r="CT376" i="216"/>
  <c r="CR376" i="216"/>
  <c r="CP376" i="216"/>
  <c r="CO376" i="216"/>
  <c r="CL376" i="216"/>
  <c r="CJ376" i="216"/>
  <c r="CH376" i="216"/>
  <c r="CF376" i="216"/>
  <c r="CE376" i="216"/>
  <c r="CB376" i="216"/>
  <c r="BZ376" i="216"/>
  <c r="BX376" i="216"/>
  <c r="BV376" i="216"/>
  <c r="BU376" i="216"/>
  <c r="BR376" i="216"/>
  <c r="BP376" i="216"/>
  <c r="BN376" i="216"/>
  <c r="BL376" i="216"/>
  <c r="BK376" i="216"/>
  <c r="BH376" i="216"/>
  <c r="BF376" i="216"/>
  <c r="BD376" i="216"/>
  <c r="BB376" i="216"/>
  <c r="BA376" i="216"/>
  <c r="AX376" i="216"/>
  <c r="AV376" i="216"/>
  <c r="AT376" i="216"/>
  <c r="AR376" i="216"/>
  <c r="AQ376" i="216"/>
  <c r="AN376" i="216"/>
  <c r="AL376" i="216"/>
  <c r="AJ376" i="216"/>
  <c r="AH376" i="216"/>
  <c r="AG376" i="216"/>
  <c r="AD376" i="216"/>
  <c r="AB376" i="216"/>
  <c r="Z376" i="216"/>
  <c r="X376" i="216"/>
  <c r="W376" i="216" s="1"/>
  <c r="T376" i="216"/>
  <c r="R376" i="216"/>
  <c r="P376" i="216"/>
  <c r="EP375" i="216"/>
  <c r="EL375" i="216"/>
  <c r="EK375" i="216"/>
  <c r="EN375" i="216" s="1"/>
  <c r="EI375" i="216"/>
  <c r="EG375" i="216"/>
  <c r="EE375" i="216"/>
  <c r="ED375" i="216"/>
  <c r="EC375" i="216"/>
  <c r="DZ375" i="216"/>
  <c r="DX375" i="216"/>
  <c r="DV375" i="216"/>
  <c r="DT375" i="216"/>
  <c r="DS375" i="216"/>
  <c r="DP375" i="216"/>
  <c r="DN375" i="216"/>
  <c r="DL375" i="216"/>
  <c r="DJ375" i="216"/>
  <c r="DI375" i="216"/>
  <c r="DF375" i="216"/>
  <c r="DD375" i="216"/>
  <c r="DB375" i="216"/>
  <c r="CZ375" i="216"/>
  <c r="CY375" i="216"/>
  <c r="CV375" i="216"/>
  <c r="CT375" i="216"/>
  <c r="CR375" i="216"/>
  <c r="CP375" i="216"/>
  <c r="CO375" i="216"/>
  <c r="CL375" i="216"/>
  <c r="CJ375" i="216"/>
  <c r="CH375" i="216"/>
  <c r="CF375" i="216"/>
  <c r="CE375" i="216"/>
  <c r="CB375" i="216"/>
  <c r="BZ375" i="216"/>
  <c r="BX375" i="216"/>
  <c r="BV375" i="216"/>
  <c r="BU375" i="216"/>
  <c r="BR375" i="216"/>
  <c r="BP375" i="216"/>
  <c r="BN375" i="216"/>
  <c r="BL375" i="216"/>
  <c r="BK375" i="216"/>
  <c r="BH375" i="216"/>
  <c r="BF375" i="216"/>
  <c r="BD375" i="216"/>
  <c r="BB375" i="216"/>
  <c r="BA375" i="216"/>
  <c r="AX375" i="216"/>
  <c r="AV375" i="216"/>
  <c r="AT375" i="216"/>
  <c r="AR375" i="216"/>
  <c r="AQ375" i="216"/>
  <c r="AN375" i="216"/>
  <c r="AL375" i="216"/>
  <c r="AJ375" i="216"/>
  <c r="AH375" i="216"/>
  <c r="AG375" i="216"/>
  <c r="AD375" i="216"/>
  <c r="AB375" i="216"/>
  <c r="Z375" i="216"/>
  <c r="X375" i="216"/>
  <c r="W375" i="216" s="1"/>
  <c r="T375" i="216"/>
  <c r="R375" i="216"/>
  <c r="P375" i="216"/>
  <c r="EP374" i="216"/>
  <c r="EL374" i="216"/>
  <c r="EK374" i="216"/>
  <c r="EI374" i="216"/>
  <c r="EG374" i="216"/>
  <c r="EE374" i="216"/>
  <c r="EF374" i="216" s="1"/>
  <c r="ED374" i="216"/>
  <c r="EC374" i="216"/>
  <c r="DZ374" i="216"/>
  <c r="DX374" i="216"/>
  <c r="DV374" i="216"/>
  <c r="DT374" i="216"/>
  <c r="DS374" i="216"/>
  <c r="DP374" i="216"/>
  <c r="DN374" i="216"/>
  <c r="DL374" i="216"/>
  <c r="DJ374" i="216"/>
  <c r="DI374" i="216"/>
  <c r="DF374" i="216"/>
  <c r="DD374" i="216"/>
  <c r="DB374" i="216"/>
  <c r="CZ374" i="216"/>
  <c r="CY374" i="216"/>
  <c r="CV374" i="216"/>
  <c r="CT374" i="216"/>
  <c r="CR374" i="216"/>
  <c r="CP374" i="216"/>
  <c r="CO374" i="216"/>
  <c r="CL374" i="216"/>
  <c r="CJ374" i="216"/>
  <c r="CH374" i="216"/>
  <c r="CF374" i="216"/>
  <c r="CE374" i="216"/>
  <c r="CB374" i="216"/>
  <c r="BZ374" i="216"/>
  <c r="BX374" i="216"/>
  <c r="BV374" i="216"/>
  <c r="BU374" i="216"/>
  <c r="BR374" i="216"/>
  <c r="BP374" i="216"/>
  <c r="BN374" i="216"/>
  <c r="BL374" i="216"/>
  <c r="BK374" i="216"/>
  <c r="BH374" i="216"/>
  <c r="BF374" i="216"/>
  <c r="BD374" i="216"/>
  <c r="BB374" i="216"/>
  <c r="BA374" i="216"/>
  <c r="AX374" i="216"/>
  <c r="AV374" i="216"/>
  <c r="AT374" i="216"/>
  <c r="AR374" i="216"/>
  <c r="AQ374" i="216"/>
  <c r="AN374" i="216"/>
  <c r="AL374" i="216"/>
  <c r="AJ374" i="216"/>
  <c r="AH374" i="216"/>
  <c r="AG374" i="216"/>
  <c r="AD374" i="216"/>
  <c r="AB374" i="216"/>
  <c r="Z374" i="216"/>
  <c r="X374" i="216"/>
  <c r="W374" i="216" s="1"/>
  <c r="T374" i="216"/>
  <c r="R374" i="216"/>
  <c r="P374" i="216"/>
  <c r="EB373" i="216"/>
  <c r="EA373" i="216"/>
  <c r="EP373" i="216" s="1"/>
  <c r="DY373" i="216"/>
  <c r="DW373" i="216"/>
  <c r="DU373" i="216"/>
  <c r="EC373" i="216" s="1"/>
  <c r="DR373" i="216"/>
  <c r="DO373" i="216"/>
  <c r="DM373" i="216"/>
  <c r="DK373" i="216"/>
  <c r="DS373" i="216" s="1"/>
  <c r="DH373" i="216"/>
  <c r="DE373" i="216"/>
  <c r="DC373" i="216"/>
  <c r="DA373" i="216"/>
  <c r="DI373" i="216" s="1"/>
  <c r="CX373" i="216"/>
  <c r="CU373" i="216"/>
  <c r="CS373" i="216"/>
  <c r="CQ373" i="216"/>
  <c r="CY373" i="216" s="1"/>
  <c r="CN373" i="216"/>
  <c r="CM373" i="216"/>
  <c r="CK373" i="216"/>
  <c r="CI373" i="216"/>
  <c r="CG373" i="216"/>
  <c r="CD373" i="216"/>
  <c r="CC373" i="216"/>
  <c r="CA373" i="216"/>
  <c r="BY373" i="216"/>
  <c r="BW373" i="216"/>
  <c r="BT373" i="216"/>
  <c r="BQ373" i="216"/>
  <c r="BO373" i="216"/>
  <c r="BN373" i="216"/>
  <c r="BM373" i="216"/>
  <c r="BU373" i="216" s="1"/>
  <c r="BJ373" i="216"/>
  <c r="BI373" i="216"/>
  <c r="BG373" i="216"/>
  <c r="BE373" i="216"/>
  <c r="BC373" i="216"/>
  <c r="AZ373" i="216"/>
  <c r="AW373" i="216"/>
  <c r="AU373" i="216"/>
  <c r="AS373" i="216"/>
  <c r="AP373" i="216"/>
  <c r="AM373" i="216"/>
  <c r="AK373" i="216"/>
  <c r="AI373" i="216"/>
  <c r="AQ373" i="216" s="1"/>
  <c r="AF373" i="216"/>
  <c r="AE373" i="216"/>
  <c r="AD373" i="216" s="1"/>
  <c r="AC373" i="216"/>
  <c r="AB373" i="216" s="1"/>
  <c r="AA373" i="216"/>
  <c r="Y373" i="216"/>
  <c r="AG373" i="216" s="1"/>
  <c r="V373" i="216"/>
  <c r="U373" i="216"/>
  <c r="S373" i="216"/>
  <c r="Q373" i="216"/>
  <c r="O373" i="216"/>
  <c r="D373" i="216"/>
  <c r="EB372" i="216"/>
  <c r="EA372" i="216"/>
  <c r="DY372" i="216"/>
  <c r="DW372" i="216"/>
  <c r="DU372" i="216"/>
  <c r="EC372" i="216" s="1"/>
  <c r="DR372" i="216"/>
  <c r="DO372" i="216"/>
  <c r="DM372" i="216"/>
  <c r="DK372" i="216"/>
  <c r="DS372" i="216" s="1"/>
  <c r="DH372" i="216"/>
  <c r="DE372" i="216"/>
  <c r="DD372" i="216" s="1"/>
  <c r="DC372" i="216"/>
  <c r="DA372" i="216"/>
  <c r="CX372" i="216"/>
  <c r="CU372" i="216"/>
  <c r="CT372" i="216" s="1"/>
  <c r="CS372" i="216"/>
  <c r="CQ372" i="216"/>
  <c r="CY372" i="216" s="1"/>
  <c r="CN372" i="216"/>
  <c r="CK372" i="216"/>
  <c r="CI372" i="216"/>
  <c r="CG372" i="216"/>
  <c r="CO372" i="216" s="1"/>
  <c r="CD372" i="216"/>
  <c r="CA372" i="216"/>
  <c r="BY372" i="216"/>
  <c r="BX372" i="216" s="1"/>
  <c r="BW372" i="216"/>
  <c r="CE372" i="216" s="1"/>
  <c r="BT372" i="216"/>
  <c r="BQ372" i="216"/>
  <c r="BO372" i="216"/>
  <c r="BN372" i="216" s="1"/>
  <c r="BM372" i="216"/>
  <c r="BU372" i="216" s="1"/>
  <c r="BJ372" i="216"/>
  <c r="BG372" i="216"/>
  <c r="BE372" i="216"/>
  <c r="BC372" i="216"/>
  <c r="AZ372" i="216"/>
  <c r="AW372" i="216"/>
  <c r="AV372" i="216" s="1"/>
  <c r="AU372" i="216"/>
  <c r="AS372" i="216"/>
  <c r="BA372" i="216" s="1"/>
  <c r="AP372" i="216"/>
  <c r="AM372" i="216"/>
  <c r="AL372" i="216" s="1"/>
  <c r="AK372" i="216"/>
  <c r="AJ372" i="216" s="1"/>
  <c r="AI372" i="216"/>
  <c r="AQ372" i="216" s="1"/>
  <c r="AF372" i="216"/>
  <c r="AE372" i="216"/>
  <c r="AC372" i="216"/>
  <c r="AB372" i="216" s="1"/>
  <c r="AA372" i="216"/>
  <c r="Y372" i="216"/>
  <c r="V372" i="216"/>
  <c r="S372" i="216"/>
  <c r="R372" i="216" s="1"/>
  <c r="Q372" i="216"/>
  <c r="O372" i="216"/>
  <c r="D372" i="216"/>
  <c r="EB371" i="216"/>
  <c r="EA371" i="216"/>
  <c r="EP371" i="216" s="1"/>
  <c r="DY371" i="216"/>
  <c r="DX371" i="216" s="1"/>
  <c r="DW371" i="216"/>
  <c r="DU371" i="216"/>
  <c r="EC371" i="216" s="1"/>
  <c r="DR371" i="216"/>
  <c r="DQ371" i="216"/>
  <c r="DO371" i="216"/>
  <c r="DM371" i="216"/>
  <c r="DK371" i="216"/>
  <c r="DH371" i="216"/>
  <c r="DG371" i="216"/>
  <c r="DE371" i="216"/>
  <c r="DC371" i="216"/>
  <c r="DA371" i="216"/>
  <c r="CX371" i="216"/>
  <c r="CW371" i="216"/>
  <c r="CU371" i="216"/>
  <c r="CS371" i="216"/>
  <c r="CQ371" i="216"/>
  <c r="CN371" i="216"/>
  <c r="CM371" i="216"/>
  <c r="CL371" i="216" s="1"/>
  <c r="CK371" i="216"/>
  <c r="CI371" i="216"/>
  <c r="CG371" i="216"/>
  <c r="CO371" i="216" s="1"/>
  <c r="CD371" i="216"/>
  <c r="CC371" i="216"/>
  <c r="CA371" i="216"/>
  <c r="BY371" i="216"/>
  <c r="BW371" i="216"/>
  <c r="BT371" i="216"/>
  <c r="BS371" i="216"/>
  <c r="BQ371" i="216"/>
  <c r="BO371" i="216"/>
  <c r="BM371" i="216"/>
  <c r="BJ371" i="216"/>
  <c r="BI371" i="216"/>
  <c r="BG371" i="216"/>
  <c r="BE371" i="216"/>
  <c r="BC371" i="216"/>
  <c r="AZ371" i="216"/>
  <c r="AY371" i="216"/>
  <c r="AX371" i="216" s="1"/>
  <c r="AW371" i="216"/>
  <c r="AU371" i="216"/>
  <c r="AT371" i="216" s="1"/>
  <c r="AS371" i="216"/>
  <c r="BA371" i="216" s="1"/>
  <c r="AP371" i="216"/>
  <c r="AO371" i="216"/>
  <c r="AM371" i="216"/>
  <c r="AK371" i="216"/>
  <c r="AI371" i="216"/>
  <c r="AQ371" i="216" s="1"/>
  <c r="AF371" i="216"/>
  <c r="AE371" i="216"/>
  <c r="AC371" i="216"/>
  <c r="AA371" i="216"/>
  <c r="Y371" i="216"/>
  <c r="V371" i="216"/>
  <c r="U371" i="216"/>
  <c r="S371" i="216"/>
  <c r="Q371" i="216"/>
  <c r="O371" i="216"/>
  <c r="D371" i="216"/>
  <c r="EB370" i="216"/>
  <c r="EA370" i="216"/>
  <c r="DY370" i="216"/>
  <c r="DW370" i="216"/>
  <c r="DU370" i="216"/>
  <c r="EC370" i="216" s="1"/>
  <c r="DS370" i="216"/>
  <c r="DR370" i="216"/>
  <c r="DQ370" i="216"/>
  <c r="DO370" i="216"/>
  <c r="DN370" i="216"/>
  <c r="DM370" i="216"/>
  <c r="DK370" i="216"/>
  <c r="DI370" i="216"/>
  <c r="DH370" i="216"/>
  <c r="DG370" i="216"/>
  <c r="DE370" i="216"/>
  <c r="DC370" i="216"/>
  <c r="DA370" i="216"/>
  <c r="CX370" i="216"/>
  <c r="CW370" i="216"/>
  <c r="CU370" i="216"/>
  <c r="CS370" i="216"/>
  <c r="CQ370" i="216"/>
  <c r="CY370" i="216" s="1"/>
  <c r="CN370" i="216"/>
  <c r="CM370" i="216"/>
  <c r="CK370" i="216"/>
  <c r="CI370" i="216"/>
  <c r="CG370" i="216"/>
  <c r="CO370" i="216" s="1"/>
  <c r="CE370" i="216"/>
  <c r="CD370" i="216"/>
  <c r="CC370" i="216"/>
  <c r="CB370" i="216" s="1"/>
  <c r="CA370" i="216"/>
  <c r="BY370" i="216"/>
  <c r="BX370" i="216" s="1"/>
  <c r="BW370" i="216"/>
  <c r="BZ370" i="216" s="1"/>
  <c r="BT370" i="216"/>
  <c r="BS370" i="216"/>
  <c r="BQ370" i="216"/>
  <c r="BP370" i="216" s="1"/>
  <c r="BO370" i="216"/>
  <c r="BM370" i="216"/>
  <c r="BU370" i="216" s="1"/>
  <c r="BJ370" i="216"/>
  <c r="BI370" i="216"/>
  <c r="BG370" i="216"/>
  <c r="BE370" i="216"/>
  <c r="BC370" i="216"/>
  <c r="BK370" i="216" s="1"/>
  <c r="AZ370" i="216"/>
  <c r="AY370" i="216"/>
  <c r="AW370" i="216"/>
  <c r="AU370" i="216"/>
  <c r="AS370" i="216"/>
  <c r="BA370" i="216" s="1"/>
  <c r="AP370" i="216"/>
  <c r="AO370" i="216"/>
  <c r="AM370" i="216"/>
  <c r="AK370" i="216"/>
  <c r="AI370" i="216"/>
  <c r="AQ370" i="216" s="1"/>
  <c r="AF370" i="216"/>
  <c r="AE370" i="216"/>
  <c r="AC370" i="216"/>
  <c r="AA370" i="216"/>
  <c r="Y370" i="216"/>
  <c r="AG370" i="216" s="1"/>
  <c r="V370" i="216"/>
  <c r="U370" i="216"/>
  <c r="S370" i="216"/>
  <c r="Q370" i="216"/>
  <c r="O370" i="216"/>
  <c r="D370" i="216"/>
  <c r="EB369" i="216"/>
  <c r="DY369" i="216"/>
  <c r="DW369" i="216"/>
  <c r="DU369" i="216"/>
  <c r="EC369" i="216" s="1"/>
  <c r="DR369" i="216"/>
  <c r="DO369" i="216"/>
  <c r="DM369" i="216"/>
  <c r="DK369" i="216"/>
  <c r="DS369" i="216" s="1"/>
  <c r="DH369" i="216"/>
  <c r="DH377" i="216" s="1"/>
  <c r="DE369" i="216"/>
  <c r="DC369" i="216"/>
  <c r="DA369" i="216"/>
  <c r="DA377" i="216" s="1"/>
  <c r="DI377" i="216" s="1"/>
  <c r="CX369" i="216"/>
  <c r="CU369" i="216"/>
  <c r="CS369" i="216"/>
  <c r="CQ369" i="216"/>
  <c r="CY369" i="216" s="1"/>
  <c r="CN369" i="216"/>
  <c r="CK369" i="216"/>
  <c r="CI369" i="216"/>
  <c r="CG369" i="216"/>
  <c r="CD369" i="216"/>
  <c r="CA369" i="216"/>
  <c r="BY369" i="216"/>
  <c r="BY377" i="216" s="1"/>
  <c r="BW369" i="216"/>
  <c r="BT369" i="216"/>
  <c r="BT377" i="216" s="1"/>
  <c r="BQ369" i="216"/>
  <c r="BQ377" i="216" s="1"/>
  <c r="BO369" i="216"/>
  <c r="BM369" i="216"/>
  <c r="BP369" i="216" s="1"/>
  <c r="BJ369" i="216"/>
  <c r="BG369" i="216"/>
  <c r="BE369" i="216"/>
  <c r="BC369" i="216"/>
  <c r="BK369" i="216" s="1"/>
  <c r="AZ369" i="216"/>
  <c r="AW369" i="216"/>
  <c r="AU369" i="216"/>
  <c r="AS369" i="216"/>
  <c r="BA369" i="216" s="1"/>
  <c r="AP369" i="216"/>
  <c r="AM369" i="216"/>
  <c r="AK369" i="216"/>
  <c r="AI369" i="216"/>
  <c r="AQ369" i="216" s="1"/>
  <c r="AF369" i="216"/>
  <c r="AF377" i="216" s="1"/>
  <c r="AC369" i="216"/>
  <c r="AC377" i="216" s="1"/>
  <c r="AA369" i="216"/>
  <c r="Y369" i="216"/>
  <c r="V369" i="216"/>
  <c r="S369" i="216"/>
  <c r="Q369" i="216"/>
  <c r="Q377" i="216" s="1"/>
  <c r="O369" i="216"/>
  <c r="D369" i="216"/>
  <c r="EZ368" i="216"/>
  <c r="EP368" i="216"/>
  <c r="EM368" i="216"/>
  <c r="EJ368" i="216"/>
  <c r="EH368" i="216"/>
  <c r="EF368" i="216"/>
  <c r="EC368" i="216"/>
  <c r="DZ368" i="216"/>
  <c r="DX368" i="216"/>
  <c r="DV368" i="216"/>
  <c r="DT368" i="216"/>
  <c r="DS368" i="216"/>
  <c r="DP368" i="216"/>
  <c r="DN368" i="216"/>
  <c r="DL368" i="216"/>
  <c r="DJ368" i="216"/>
  <c r="DI368" i="216"/>
  <c r="DF368" i="216"/>
  <c r="DD368" i="216"/>
  <c r="DB368" i="216"/>
  <c r="CZ368" i="216"/>
  <c r="CY368" i="216"/>
  <c r="CV368" i="216"/>
  <c r="CT368" i="216"/>
  <c r="CR368" i="216"/>
  <c r="CP368" i="216"/>
  <c r="CO368" i="216"/>
  <c r="CL368" i="216"/>
  <c r="CJ368" i="216"/>
  <c r="CH368" i="216"/>
  <c r="CF368" i="216"/>
  <c r="CE368" i="216"/>
  <c r="CB368" i="216"/>
  <c r="BZ368" i="216"/>
  <c r="BX368" i="216"/>
  <c r="BV368" i="216"/>
  <c r="BU368" i="216"/>
  <c r="BR368" i="216"/>
  <c r="BP368" i="216"/>
  <c r="BN368" i="216"/>
  <c r="BL368" i="216"/>
  <c r="BK368" i="216"/>
  <c r="BH368" i="216"/>
  <c r="BF368" i="216"/>
  <c r="BD368" i="216"/>
  <c r="BB368" i="216"/>
  <c r="BA368" i="216"/>
  <c r="AX368" i="216"/>
  <c r="AV368" i="216"/>
  <c r="AT368" i="216"/>
  <c r="AR368" i="216"/>
  <c r="AQ368" i="216"/>
  <c r="AN368" i="216"/>
  <c r="AL368" i="216"/>
  <c r="AJ368" i="216"/>
  <c r="AH368" i="216"/>
  <c r="AG368" i="216"/>
  <c r="AD368" i="216"/>
  <c r="AB368" i="216"/>
  <c r="Z368" i="216"/>
  <c r="W368" i="216"/>
  <c r="T368" i="216"/>
  <c r="R368" i="216"/>
  <c r="P368" i="216"/>
  <c r="EZ367" i="216"/>
  <c r="EP367" i="216"/>
  <c r="EM367" i="216"/>
  <c r="EJ367" i="216"/>
  <c r="EH367" i="216"/>
  <c r="EF367" i="216"/>
  <c r="EC367" i="216"/>
  <c r="DZ367" i="216"/>
  <c r="DX367" i="216"/>
  <c r="DV367" i="216"/>
  <c r="DS367" i="216"/>
  <c r="DP367" i="216"/>
  <c r="DN367" i="216"/>
  <c r="DL367" i="216"/>
  <c r="DI367" i="216"/>
  <c r="DF367" i="216"/>
  <c r="DD367" i="216"/>
  <c r="DB367" i="216"/>
  <c r="CY367" i="216"/>
  <c r="CV367" i="216"/>
  <c r="CT367" i="216"/>
  <c r="CR367" i="216"/>
  <c r="CO367" i="216"/>
  <c r="CL367" i="216"/>
  <c r="CJ367" i="216"/>
  <c r="CH367" i="216"/>
  <c r="CE367" i="216"/>
  <c r="CB367" i="216"/>
  <c r="BZ367" i="216"/>
  <c r="BX367" i="216"/>
  <c r="BU367" i="216"/>
  <c r="BR367" i="216"/>
  <c r="BP367" i="216"/>
  <c r="BN367" i="216"/>
  <c r="BK367" i="216"/>
  <c r="BH367" i="216"/>
  <c r="BF367" i="216"/>
  <c r="BD367" i="216"/>
  <c r="BA367" i="216"/>
  <c r="AX367" i="216"/>
  <c r="AV367" i="216"/>
  <c r="AT367" i="216"/>
  <c r="AQ367" i="216"/>
  <c r="AN367" i="216"/>
  <c r="AL367" i="216"/>
  <c r="AJ367" i="216"/>
  <c r="AG367" i="216"/>
  <c r="AD367" i="216"/>
  <c r="AB367" i="216"/>
  <c r="Z367" i="216"/>
  <c r="W367" i="216"/>
  <c r="T367" i="216"/>
  <c r="R367" i="216"/>
  <c r="P367" i="216"/>
  <c r="EP365" i="216"/>
  <c r="EM365" i="216"/>
  <c r="EL365" i="216"/>
  <c r="EK365" i="216"/>
  <c r="EJ365" i="216"/>
  <c r="EI365" i="216"/>
  <c r="EG365" i="216"/>
  <c r="EE365" i="216"/>
  <c r="ED365" i="216"/>
  <c r="EC365" i="216"/>
  <c r="DZ365" i="216"/>
  <c r="DX365" i="216"/>
  <c r="DV365" i="216"/>
  <c r="DT365" i="216"/>
  <c r="DS365" i="216"/>
  <c r="DP365" i="216"/>
  <c r="DN365" i="216"/>
  <c r="DL365" i="216"/>
  <c r="DJ365" i="216"/>
  <c r="DI365" i="216"/>
  <c r="DF365" i="216"/>
  <c r="DD365" i="216"/>
  <c r="DB365" i="216"/>
  <c r="CZ365" i="216"/>
  <c r="CY365" i="216"/>
  <c r="CV365" i="216"/>
  <c r="CT365" i="216"/>
  <c r="CR365" i="216"/>
  <c r="CP365" i="216"/>
  <c r="CO365" i="216"/>
  <c r="CL365" i="216"/>
  <c r="CJ365" i="216"/>
  <c r="CH365" i="216"/>
  <c r="CF365" i="216"/>
  <c r="CE365" i="216"/>
  <c r="CB365" i="216"/>
  <c r="BZ365" i="216"/>
  <c r="BX365" i="216"/>
  <c r="BV365" i="216"/>
  <c r="BU365" i="216"/>
  <c r="BR365" i="216"/>
  <c r="BP365" i="216"/>
  <c r="BN365" i="216"/>
  <c r="BL365" i="216"/>
  <c r="BK365" i="216"/>
  <c r="BH365" i="216"/>
  <c r="BF365" i="216"/>
  <c r="BD365" i="216"/>
  <c r="BB365" i="216"/>
  <c r="BA365" i="216"/>
  <c r="AX365" i="216"/>
  <c r="AV365" i="216"/>
  <c r="AT365" i="216"/>
  <c r="AR365" i="216"/>
  <c r="AQ365" i="216"/>
  <c r="AN365" i="216"/>
  <c r="AL365" i="216"/>
  <c r="AJ365" i="216"/>
  <c r="AG365" i="216"/>
  <c r="AD365" i="216"/>
  <c r="AB365" i="216"/>
  <c r="Z365" i="216"/>
  <c r="X365" i="216"/>
  <c r="W365" i="216"/>
  <c r="T365" i="216"/>
  <c r="R365" i="216"/>
  <c r="P365" i="216"/>
  <c r="EB364" i="216"/>
  <c r="DY364" i="216"/>
  <c r="DW364" i="216"/>
  <c r="DR364" i="216"/>
  <c r="DO364" i="216"/>
  <c r="DM364" i="216"/>
  <c r="DK364" i="216"/>
  <c r="DS364" i="216" s="1"/>
  <c r="DH364" i="216"/>
  <c r="DG364" i="216"/>
  <c r="DF364" i="216" s="1"/>
  <c r="DE364" i="216"/>
  <c r="DD364" i="216" s="1"/>
  <c r="DC364" i="216"/>
  <c r="DA364" i="216"/>
  <c r="DI364" i="216" s="1"/>
  <c r="CX364" i="216"/>
  <c r="CW364" i="216"/>
  <c r="CU364" i="216"/>
  <c r="CS364" i="216"/>
  <c r="CQ364" i="216"/>
  <c r="CY364" i="216" s="1"/>
  <c r="CN364" i="216"/>
  <c r="CK364" i="216"/>
  <c r="CI364" i="216"/>
  <c r="CH364" i="216" s="1"/>
  <c r="CG364" i="216"/>
  <c r="CO364" i="216" s="1"/>
  <c r="CD364" i="216"/>
  <c r="CC364" i="216"/>
  <c r="CA364" i="216"/>
  <c r="BY364" i="216"/>
  <c r="BW364" i="216"/>
  <c r="CE364" i="216" s="1"/>
  <c r="BT364" i="216"/>
  <c r="BS364" i="216"/>
  <c r="BR364" i="216" s="1"/>
  <c r="BQ364" i="216"/>
  <c r="BO364" i="216"/>
  <c r="BM364" i="216"/>
  <c r="BU364" i="216" s="1"/>
  <c r="BJ364" i="216"/>
  <c r="BI364" i="216"/>
  <c r="BG364" i="216"/>
  <c r="BE364" i="216"/>
  <c r="BD364" i="216" s="1"/>
  <c r="BC364" i="216"/>
  <c r="BK364" i="216" s="1"/>
  <c r="AZ364" i="216"/>
  <c r="AW364" i="216"/>
  <c r="AU364" i="216"/>
  <c r="AS364" i="216"/>
  <c r="AP364" i="216"/>
  <c r="AO364" i="216"/>
  <c r="AM364" i="216"/>
  <c r="AK364" i="216"/>
  <c r="AI364" i="216"/>
  <c r="AF364" i="216"/>
  <c r="AC364" i="216"/>
  <c r="AA364" i="216"/>
  <c r="Y364" i="216"/>
  <c r="AG364" i="216" s="1"/>
  <c r="V364" i="216"/>
  <c r="S364" i="216"/>
  <c r="Q364" i="216"/>
  <c r="O364" i="216"/>
  <c r="D364" i="216"/>
  <c r="EB363" i="216"/>
  <c r="EA363" i="216"/>
  <c r="DY363" i="216"/>
  <c r="DW363" i="216"/>
  <c r="DR363" i="216"/>
  <c r="DQ363" i="216"/>
  <c r="DO363" i="216"/>
  <c r="DM363" i="216"/>
  <c r="DK363" i="216"/>
  <c r="DH363" i="216"/>
  <c r="DG363" i="216"/>
  <c r="DE363" i="216"/>
  <c r="DC363" i="216"/>
  <c r="DA363" i="216"/>
  <c r="CX363" i="216"/>
  <c r="CW363" i="216"/>
  <c r="CU363" i="216"/>
  <c r="CS363" i="216"/>
  <c r="CQ363" i="216"/>
  <c r="CY363" i="216" s="1"/>
  <c r="CN363" i="216"/>
  <c r="CM363" i="216"/>
  <c r="CK363" i="216"/>
  <c r="CI363" i="216"/>
  <c r="CG363" i="216"/>
  <c r="CD363" i="216"/>
  <c r="CC363" i="216"/>
  <c r="CA363" i="216"/>
  <c r="BY363" i="216"/>
  <c r="BW363" i="216"/>
  <c r="BT363" i="216"/>
  <c r="BS363" i="216"/>
  <c r="BQ363" i="216"/>
  <c r="BO363" i="216"/>
  <c r="BM363" i="216"/>
  <c r="BU363" i="216" s="1"/>
  <c r="BJ363" i="216"/>
  <c r="BI363" i="216"/>
  <c r="BG363" i="216"/>
  <c r="BE363" i="216"/>
  <c r="BC363" i="216"/>
  <c r="BK363" i="216" s="1"/>
  <c r="AZ363" i="216"/>
  <c r="AW363" i="216"/>
  <c r="AU363" i="216"/>
  <c r="AS363" i="216"/>
  <c r="AP363" i="216"/>
  <c r="AO363" i="216"/>
  <c r="AM363" i="216"/>
  <c r="AK363" i="216"/>
  <c r="AI363" i="216"/>
  <c r="AF363" i="216"/>
  <c r="AE363" i="216"/>
  <c r="AD363" i="216" s="1"/>
  <c r="AC363" i="216"/>
  <c r="AA363" i="216"/>
  <c r="Z363" i="216" s="1"/>
  <c r="Y363" i="216"/>
  <c r="AG363" i="216" s="1"/>
  <c r="V363" i="216"/>
  <c r="S363" i="216"/>
  <c r="Q363" i="216"/>
  <c r="O363" i="216"/>
  <c r="D363" i="216"/>
  <c r="DR362" i="216"/>
  <c r="DM362" i="216"/>
  <c r="DK362" i="216"/>
  <c r="DS362" i="216" s="1"/>
  <c r="DH362" i="216"/>
  <c r="DC362" i="216"/>
  <c r="DA362" i="216"/>
  <c r="DI362" i="216" s="1"/>
  <c r="CY362" i="216"/>
  <c r="CS362" i="216"/>
  <c r="CQ362" i="216"/>
  <c r="CI362" i="216"/>
  <c r="CG362" i="216"/>
  <c r="CO362" i="216" s="1"/>
  <c r="BY362" i="216"/>
  <c r="BW362" i="216"/>
  <c r="CE362" i="216" s="1"/>
  <c r="BO362" i="216"/>
  <c r="BM362" i="216"/>
  <c r="BU362" i="216" s="1"/>
  <c r="BE362" i="216"/>
  <c r="BC362" i="216"/>
  <c r="BK362" i="216" s="1"/>
  <c r="AU362" i="216"/>
  <c r="AS362" i="216"/>
  <c r="BA362" i="216" s="1"/>
  <c r="AK362" i="216"/>
  <c r="AI362" i="216"/>
  <c r="AQ362" i="216" s="1"/>
  <c r="AF362" i="216"/>
  <c r="AC362" i="216"/>
  <c r="AA362" i="216"/>
  <c r="Z362" i="216" s="1"/>
  <c r="Y362" i="216"/>
  <c r="AG362" i="216" s="1"/>
  <c r="V362" i="216"/>
  <c r="S362" i="216"/>
  <c r="Q362" i="216"/>
  <c r="O362" i="216"/>
  <c r="D362" i="216"/>
  <c r="EB361" i="216"/>
  <c r="EA361" i="216"/>
  <c r="EP361" i="216" s="1"/>
  <c r="DY361" i="216"/>
  <c r="DW361" i="216"/>
  <c r="DU361" i="216"/>
  <c r="DR361" i="216"/>
  <c r="DQ361" i="216"/>
  <c r="DO361" i="216"/>
  <c r="DM361" i="216"/>
  <c r="DT361" i="216" s="1"/>
  <c r="DK361" i="216"/>
  <c r="DH361" i="216"/>
  <c r="DG361" i="216"/>
  <c r="DE361" i="216"/>
  <c r="DC361" i="216"/>
  <c r="DA361" i="216"/>
  <c r="DI361" i="216" s="1"/>
  <c r="CX361" i="216"/>
  <c r="CW361" i="216"/>
  <c r="CU361" i="216"/>
  <c r="CS361" i="216"/>
  <c r="CQ361" i="216"/>
  <c r="CO361" i="216"/>
  <c r="CN361" i="216"/>
  <c r="CM361" i="216"/>
  <c r="CK361" i="216"/>
  <c r="CI361" i="216"/>
  <c r="CG361" i="216"/>
  <c r="CD361" i="216"/>
  <c r="CC361" i="216"/>
  <c r="CA361" i="216"/>
  <c r="BY361" i="216"/>
  <c r="BW361" i="216"/>
  <c r="CE361" i="216" s="1"/>
  <c r="BT361" i="216"/>
  <c r="BS361" i="216"/>
  <c r="BQ361" i="216"/>
  <c r="BO361" i="216"/>
  <c r="BN361" i="216" s="1"/>
  <c r="BM361" i="216"/>
  <c r="BU361" i="216" s="1"/>
  <c r="BJ361" i="216"/>
  <c r="BI361" i="216"/>
  <c r="BG361" i="216"/>
  <c r="BE361" i="216"/>
  <c r="BC361" i="216"/>
  <c r="BD361" i="216" s="1"/>
  <c r="AZ361" i="216"/>
  <c r="AY361" i="216"/>
  <c r="AX361" i="216" s="1"/>
  <c r="AW361" i="216"/>
  <c r="AU361" i="216"/>
  <c r="AS361" i="216"/>
  <c r="BA361" i="216" s="1"/>
  <c r="AP361" i="216"/>
  <c r="AO361" i="216"/>
  <c r="AM361" i="216"/>
  <c r="AK361" i="216"/>
  <c r="AI361" i="216"/>
  <c r="AQ361" i="216" s="1"/>
  <c r="AF361" i="216"/>
  <c r="AE361" i="216"/>
  <c r="AC361" i="216"/>
  <c r="AA361" i="216"/>
  <c r="Y361" i="216"/>
  <c r="AG361" i="216" s="1"/>
  <c r="V361" i="216"/>
  <c r="U361" i="216"/>
  <c r="S361" i="216"/>
  <c r="R361" i="216" s="1"/>
  <c r="Q361" i="216"/>
  <c r="O361" i="216"/>
  <c r="D361" i="216"/>
  <c r="EB360" i="216"/>
  <c r="EA360" i="216"/>
  <c r="DY360" i="216"/>
  <c r="DW360" i="216"/>
  <c r="DU360" i="216"/>
  <c r="EC360" i="216" s="1"/>
  <c r="DR360" i="216"/>
  <c r="DQ360" i="216"/>
  <c r="DO360" i="216"/>
  <c r="DM360" i="216"/>
  <c r="DK360" i="216"/>
  <c r="DS360" i="216" s="1"/>
  <c r="DH360" i="216"/>
  <c r="DG360" i="216"/>
  <c r="DE360" i="216"/>
  <c r="DC360" i="216"/>
  <c r="DA360" i="216"/>
  <c r="CX360" i="216"/>
  <c r="CW360" i="216"/>
  <c r="CU360" i="216"/>
  <c r="CS360" i="216"/>
  <c r="CQ360" i="216"/>
  <c r="CN360" i="216"/>
  <c r="CM360" i="216"/>
  <c r="CK360" i="216"/>
  <c r="CI360" i="216"/>
  <c r="CG360" i="216"/>
  <c r="CO360" i="216" s="1"/>
  <c r="CD360" i="216"/>
  <c r="CC360" i="216"/>
  <c r="CA360" i="216"/>
  <c r="BY360" i="216"/>
  <c r="BW360" i="216"/>
  <c r="CE360" i="216" s="1"/>
  <c r="BT360" i="216"/>
  <c r="BS360" i="216"/>
  <c r="BQ360" i="216"/>
  <c r="BO360" i="216"/>
  <c r="BM360" i="216"/>
  <c r="BU360" i="216" s="1"/>
  <c r="BJ360" i="216"/>
  <c r="BI360" i="216"/>
  <c r="BG360" i="216"/>
  <c r="BE360" i="216"/>
  <c r="BC360" i="216"/>
  <c r="BK360" i="216" s="1"/>
  <c r="AZ360" i="216"/>
  <c r="AY360" i="216"/>
  <c r="AW360" i="216"/>
  <c r="AU360" i="216"/>
  <c r="AS360" i="216"/>
  <c r="BA360" i="216" s="1"/>
  <c r="AP360" i="216"/>
  <c r="AO360" i="216"/>
  <c r="AM360" i="216"/>
  <c r="AK360" i="216"/>
  <c r="AI360" i="216"/>
  <c r="AQ360" i="216" s="1"/>
  <c r="AF360" i="216"/>
  <c r="AE360" i="216"/>
  <c r="AC360" i="216"/>
  <c r="AA360" i="216"/>
  <c r="Y360" i="216"/>
  <c r="AG360" i="216" s="1"/>
  <c r="V360" i="216"/>
  <c r="U360" i="216"/>
  <c r="S360" i="216"/>
  <c r="Q360" i="216"/>
  <c r="O360" i="216"/>
  <c r="D360" i="216"/>
  <c r="EB359" i="216"/>
  <c r="DY359" i="216"/>
  <c r="DW359" i="216"/>
  <c r="DU359" i="216"/>
  <c r="EC359" i="216" s="1"/>
  <c r="DR359" i="216"/>
  <c r="DQ359" i="216"/>
  <c r="DO359" i="216"/>
  <c r="DM359" i="216"/>
  <c r="DL359" i="216" s="1"/>
  <c r="DK359" i="216"/>
  <c r="DS359" i="216" s="1"/>
  <c r="DH359" i="216"/>
  <c r="DE359" i="216"/>
  <c r="DC359" i="216"/>
  <c r="DA359" i="216"/>
  <c r="CX359" i="216"/>
  <c r="CW359" i="216"/>
  <c r="CU359" i="216"/>
  <c r="CS359" i="216"/>
  <c r="CQ359" i="216"/>
  <c r="CY359" i="216" s="1"/>
  <c r="CN359" i="216"/>
  <c r="CM359" i="216"/>
  <c r="CK359" i="216"/>
  <c r="CI359" i="216"/>
  <c r="CG359" i="216"/>
  <c r="CO359" i="216" s="1"/>
  <c r="CD359" i="216"/>
  <c r="CC359" i="216"/>
  <c r="CA359" i="216"/>
  <c r="BZ359" i="216"/>
  <c r="BY359" i="216"/>
  <c r="BX359" i="216" s="1"/>
  <c r="BW359" i="216"/>
  <c r="CE359" i="216" s="1"/>
  <c r="BT359" i="216"/>
  <c r="BS359" i="216"/>
  <c r="BR359" i="216"/>
  <c r="BQ359" i="216"/>
  <c r="BO359" i="216"/>
  <c r="BM359" i="216"/>
  <c r="BJ359" i="216"/>
  <c r="BI359" i="216"/>
  <c r="BG359" i="216"/>
  <c r="BE359" i="216"/>
  <c r="BC359" i="216"/>
  <c r="AZ359" i="216"/>
  <c r="AY359" i="216"/>
  <c r="AX359" i="216" s="1"/>
  <c r="AW359" i="216"/>
  <c r="AU359" i="216"/>
  <c r="AS359" i="216"/>
  <c r="BA359" i="216" s="1"/>
  <c r="AP359" i="216"/>
  <c r="AO359" i="216"/>
  <c r="AM359" i="216"/>
  <c r="AL359" i="216" s="1"/>
  <c r="AK359" i="216"/>
  <c r="AI359" i="216"/>
  <c r="AQ359" i="216" s="1"/>
  <c r="AF359" i="216"/>
  <c r="AE359" i="216"/>
  <c r="AC359" i="216"/>
  <c r="AA359" i="216"/>
  <c r="Y359" i="216"/>
  <c r="V359" i="216"/>
  <c r="U359" i="216"/>
  <c r="S359" i="216"/>
  <c r="Q359" i="216"/>
  <c r="O359" i="216"/>
  <c r="D359" i="216"/>
  <c r="EB358" i="216"/>
  <c r="EA358" i="216"/>
  <c r="EP358" i="216" s="1"/>
  <c r="DY358" i="216"/>
  <c r="DW358" i="216"/>
  <c r="DR358" i="216"/>
  <c r="DQ358" i="216"/>
  <c r="DO358" i="216"/>
  <c r="DM358" i="216"/>
  <c r="DH358" i="216"/>
  <c r="DG358" i="216"/>
  <c r="DE358" i="216"/>
  <c r="DD358" i="216" s="1"/>
  <c r="DC358" i="216"/>
  <c r="DA358" i="216"/>
  <c r="CX358" i="216"/>
  <c r="CW358" i="216"/>
  <c r="CV358" i="216" s="1"/>
  <c r="CU358" i="216"/>
  <c r="CS358" i="216"/>
  <c r="CQ358" i="216"/>
  <c r="CN358" i="216"/>
  <c r="CM358" i="216"/>
  <c r="CK358" i="216"/>
  <c r="CI358" i="216"/>
  <c r="CG358" i="216"/>
  <c r="CD358" i="216"/>
  <c r="CC358" i="216"/>
  <c r="CA358" i="216"/>
  <c r="BY358" i="216"/>
  <c r="BW358" i="216"/>
  <c r="BT358" i="216"/>
  <c r="BS358" i="216"/>
  <c r="BO358" i="216"/>
  <c r="BJ358" i="216"/>
  <c r="BI358" i="216"/>
  <c r="BE358" i="216"/>
  <c r="AZ358" i="216"/>
  <c r="AY358" i="216"/>
  <c r="AU358" i="216"/>
  <c r="AP358" i="216"/>
  <c r="AO358" i="216"/>
  <c r="AM358" i="216"/>
  <c r="AK358" i="216"/>
  <c r="AF358" i="216"/>
  <c r="AE358" i="216"/>
  <c r="AC358" i="216"/>
  <c r="AA358" i="216"/>
  <c r="V358" i="216"/>
  <c r="Q358" i="216"/>
  <c r="D358" i="216"/>
  <c r="EA357" i="216"/>
  <c r="EP357" i="216" s="1"/>
  <c r="DY357" i="216"/>
  <c r="DW357" i="216"/>
  <c r="DR357" i="216"/>
  <c r="DQ357" i="216"/>
  <c r="DO357" i="216"/>
  <c r="DM357" i="216"/>
  <c r="DH357" i="216"/>
  <c r="DG357" i="216"/>
  <c r="DE357" i="216"/>
  <c r="DC357" i="216"/>
  <c r="DC366" i="216" s="1"/>
  <c r="CX357" i="216"/>
  <c r="CW357" i="216"/>
  <c r="CU357" i="216"/>
  <c r="CS357" i="216"/>
  <c r="CN357" i="216"/>
  <c r="CM357" i="216"/>
  <c r="CK357" i="216"/>
  <c r="CI357" i="216"/>
  <c r="CD357" i="216"/>
  <c r="CC357" i="216"/>
  <c r="CA357" i="216"/>
  <c r="BY357" i="216"/>
  <c r="BT357" i="216"/>
  <c r="BS357" i="216"/>
  <c r="BQ357" i="216"/>
  <c r="BO357" i="216"/>
  <c r="BJ357" i="216"/>
  <c r="BI357" i="216"/>
  <c r="BG357" i="216"/>
  <c r="BE357" i="216"/>
  <c r="AZ357" i="216"/>
  <c r="AY357" i="216"/>
  <c r="AW357" i="216"/>
  <c r="AU357" i="216"/>
  <c r="AP357" i="216"/>
  <c r="AO357" i="216"/>
  <c r="AM357" i="216"/>
  <c r="AK357" i="216"/>
  <c r="AF357" i="216"/>
  <c r="AE357" i="216"/>
  <c r="AA357" i="216"/>
  <c r="AA366" i="216" s="1"/>
  <c r="V357" i="216"/>
  <c r="U357" i="216"/>
  <c r="Q357" i="216"/>
  <c r="EG357" i="216" s="1"/>
  <c r="D357" i="216"/>
  <c r="EZ356" i="216"/>
  <c r="EP356" i="216"/>
  <c r="EM356" i="216"/>
  <c r="EJ356" i="216"/>
  <c r="EH356" i="216"/>
  <c r="EF356" i="216"/>
  <c r="EC356" i="216"/>
  <c r="DZ356" i="216"/>
  <c r="DX356" i="216"/>
  <c r="DV356" i="216"/>
  <c r="DS356" i="216"/>
  <c r="DP356" i="216"/>
  <c r="DN356" i="216"/>
  <c r="DL356" i="216"/>
  <c r="DI356" i="216"/>
  <c r="DF356" i="216"/>
  <c r="DD356" i="216"/>
  <c r="DB356" i="216"/>
  <c r="CY356" i="216"/>
  <c r="CV356" i="216"/>
  <c r="CT356" i="216"/>
  <c r="CR356" i="216"/>
  <c r="CO356" i="216"/>
  <c r="CL356" i="216"/>
  <c r="CJ356" i="216"/>
  <c r="CH356" i="216"/>
  <c r="CE356" i="216"/>
  <c r="CB356" i="216"/>
  <c r="BZ356" i="216"/>
  <c r="BX356" i="216"/>
  <c r="BU356" i="216"/>
  <c r="BR356" i="216"/>
  <c r="BP356" i="216"/>
  <c r="BN356" i="216"/>
  <c r="BK356" i="216"/>
  <c r="BH356" i="216"/>
  <c r="BF356" i="216"/>
  <c r="BD356" i="216"/>
  <c r="BA356" i="216"/>
  <c r="AX356" i="216"/>
  <c r="AV356" i="216"/>
  <c r="AT356" i="216"/>
  <c r="AQ356" i="216"/>
  <c r="AN356" i="216"/>
  <c r="AL356" i="216"/>
  <c r="AJ356" i="216"/>
  <c r="AG356" i="216"/>
  <c r="AD356" i="216"/>
  <c r="AB356" i="216"/>
  <c r="Z356" i="216"/>
  <c r="W356" i="216"/>
  <c r="T356" i="216"/>
  <c r="R356" i="216"/>
  <c r="P356" i="216"/>
  <c r="EL355" i="216"/>
  <c r="EI355" i="216"/>
  <c r="EB355" i="216"/>
  <c r="EA355" i="216"/>
  <c r="DY355" i="216"/>
  <c r="DX355" i="216" s="1"/>
  <c r="DW355" i="216"/>
  <c r="DV355" i="216" s="1"/>
  <c r="DU355" i="216"/>
  <c r="EC355" i="216" s="1"/>
  <c r="DS355" i="216"/>
  <c r="DP355" i="216"/>
  <c r="DN355" i="216"/>
  <c r="DL355" i="216"/>
  <c r="DI355" i="216"/>
  <c r="DF355" i="216"/>
  <c r="DD355" i="216"/>
  <c r="DB355" i="216"/>
  <c r="CY355" i="216"/>
  <c r="CV355" i="216"/>
  <c r="CT355" i="216"/>
  <c r="CR355" i="216"/>
  <c r="CO355" i="216"/>
  <c r="CL355" i="216"/>
  <c r="CJ355" i="216"/>
  <c r="CH355" i="216"/>
  <c r="CE355" i="216"/>
  <c r="CB355" i="216"/>
  <c r="BZ355" i="216"/>
  <c r="BX355" i="216"/>
  <c r="BU355" i="216"/>
  <c r="BR355" i="216"/>
  <c r="BP355" i="216"/>
  <c r="BN355" i="216"/>
  <c r="BK355" i="216"/>
  <c r="BH355" i="216"/>
  <c r="BF355" i="216"/>
  <c r="BD355" i="216"/>
  <c r="BB355" i="216"/>
  <c r="AZ355" i="216"/>
  <c r="AY355" i="216"/>
  <c r="AW355" i="216"/>
  <c r="AU355" i="216"/>
  <c r="AT355" i="216" s="1"/>
  <c r="AS355" i="216"/>
  <c r="BA355" i="216" s="1"/>
  <c r="AP355" i="216"/>
  <c r="AO355" i="216"/>
  <c r="AN355" i="216" s="1"/>
  <c r="AM355" i="216"/>
  <c r="AL355" i="216"/>
  <c r="AK355" i="216"/>
  <c r="AJ355" i="216" s="1"/>
  <c r="AI355" i="216"/>
  <c r="AQ355" i="216" s="1"/>
  <c r="AF355" i="216"/>
  <c r="AE355" i="216"/>
  <c r="AD355" i="216"/>
  <c r="AC355" i="216"/>
  <c r="AB355" i="216" s="1"/>
  <c r="AA355" i="216"/>
  <c r="Z355" i="216"/>
  <c r="Y355" i="216"/>
  <c r="AG355" i="216" s="1"/>
  <c r="W355" i="216"/>
  <c r="U355" i="216"/>
  <c r="T355" i="216"/>
  <c r="S355" i="216"/>
  <c r="R355" i="216" s="1"/>
  <c r="Q355" i="216"/>
  <c r="P355" i="216" s="1"/>
  <c r="O355" i="216"/>
  <c r="EP354" i="216"/>
  <c r="EL354" i="216"/>
  <c r="EK354" i="216"/>
  <c r="EJ354" i="216" s="1"/>
  <c r="EI354" i="216"/>
  <c r="EG354" i="216"/>
  <c r="EN354" i="216" s="1"/>
  <c r="EE354" i="216"/>
  <c r="EZ354" i="216" s="1"/>
  <c r="EC354" i="216"/>
  <c r="DZ354" i="216"/>
  <c r="DX354" i="216"/>
  <c r="DV354" i="216"/>
  <c r="DS354" i="216"/>
  <c r="DP354" i="216"/>
  <c r="DN354" i="216"/>
  <c r="DL354" i="216"/>
  <c r="DI354" i="216"/>
  <c r="DF354" i="216"/>
  <c r="DD354" i="216"/>
  <c r="DB354" i="216"/>
  <c r="CY354" i="216"/>
  <c r="CV354" i="216"/>
  <c r="CT354" i="216"/>
  <c r="CR354" i="216"/>
  <c r="CO354" i="216"/>
  <c r="CL354" i="216"/>
  <c r="CJ354" i="216"/>
  <c r="CH354" i="216"/>
  <c r="CE354" i="216"/>
  <c r="CB354" i="216"/>
  <c r="BZ354" i="216"/>
  <c r="BX354" i="216"/>
  <c r="BU354" i="216"/>
  <c r="BR354" i="216"/>
  <c r="BP354" i="216"/>
  <c r="BN354" i="216"/>
  <c r="BK354" i="216"/>
  <c r="BH354" i="216"/>
  <c r="BF354" i="216"/>
  <c r="BD354" i="216"/>
  <c r="BA354" i="216"/>
  <c r="AX354" i="216"/>
  <c r="AV354" i="216"/>
  <c r="AT354" i="216"/>
  <c r="AQ354" i="216"/>
  <c r="AN354" i="216"/>
  <c r="AL354" i="216"/>
  <c r="AJ354" i="216"/>
  <c r="AH354" i="216"/>
  <c r="AG354" i="216"/>
  <c r="AD354" i="216"/>
  <c r="AB354" i="216"/>
  <c r="Z354" i="216"/>
  <c r="W354" i="216"/>
  <c r="T354" i="216"/>
  <c r="R354" i="216"/>
  <c r="P354" i="216"/>
  <c r="EZ353" i="216"/>
  <c r="EP353" i="216"/>
  <c r="EL353" i="216"/>
  <c r="EK353" i="216"/>
  <c r="EJ353" i="216" s="1"/>
  <c r="EI353" i="216"/>
  <c r="EH353" i="216"/>
  <c r="EG353" i="216"/>
  <c r="EE353" i="216"/>
  <c r="EM353" i="216" s="1"/>
  <c r="ED353" i="216"/>
  <c r="ED355" i="216" s="1"/>
  <c r="EC353" i="216"/>
  <c r="DZ353" i="216"/>
  <c r="DX353" i="216"/>
  <c r="DV353" i="216"/>
  <c r="DT353" i="216"/>
  <c r="DS353" i="216"/>
  <c r="DP353" i="216"/>
  <c r="DN353" i="216"/>
  <c r="DL353" i="216"/>
  <c r="DJ353" i="216"/>
  <c r="DI353" i="216"/>
  <c r="DF353" i="216"/>
  <c r="DD353" i="216"/>
  <c r="DB353" i="216"/>
  <c r="CZ353" i="216"/>
  <c r="CY353" i="216"/>
  <c r="CV353" i="216"/>
  <c r="CT353" i="216"/>
  <c r="CR353" i="216"/>
  <c r="CP353" i="216"/>
  <c r="CO353" i="216"/>
  <c r="CL353" i="216"/>
  <c r="CJ353" i="216"/>
  <c r="CH353" i="216"/>
  <c r="CF353" i="216"/>
  <c r="CE353" i="216"/>
  <c r="CB353" i="216"/>
  <c r="BZ353" i="216"/>
  <c r="BX353" i="216"/>
  <c r="BV353" i="216"/>
  <c r="BU353" i="216"/>
  <c r="BR353" i="216"/>
  <c r="BP353" i="216"/>
  <c r="BN353" i="216"/>
  <c r="BL353" i="216"/>
  <c r="BK353" i="216"/>
  <c r="BH353" i="216"/>
  <c r="BF353" i="216"/>
  <c r="BD353" i="216"/>
  <c r="BB353" i="216"/>
  <c r="BA353" i="216"/>
  <c r="AX353" i="216"/>
  <c r="AV353" i="216"/>
  <c r="AT353" i="216"/>
  <c r="AR353" i="216"/>
  <c r="AR355" i="216" s="1"/>
  <c r="AQ353" i="216"/>
  <c r="AN353" i="216"/>
  <c r="AL353" i="216"/>
  <c r="AJ353" i="216"/>
  <c r="AH353" i="216"/>
  <c r="AG353" i="216"/>
  <c r="AD353" i="216"/>
  <c r="AB353" i="216"/>
  <c r="Z353" i="216"/>
  <c r="X353" i="216"/>
  <c r="X355" i="216" s="1"/>
  <c r="T353" i="216"/>
  <c r="R353" i="216"/>
  <c r="P353" i="216"/>
  <c r="EP352" i="216"/>
  <c r="EL352" i="216"/>
  <c r="EK352" i="216"/>
  <c r="EJ352" i="216" s="1"/>
  <c r="EI352" i="216"/>
  <c r="EG352" i="216"/>
  <c r="EE352" i="216"/>
  <c r="EC352" i="216"/>
  <c r="DZ352" i="216"/>
  <c r="DX352" i="216"/>
  <c r="DV352" i="216"/>
  <c r="DS352" i="216"/>
  <c r="DP352" i="216"/>
  <c r="DN352" i="216"/>
  <c r="DL352" i="216"/>
  <c r="DI352" i="216"/>
  <c r="DF352" i="216"/>
  <c r="DD352" i="216"/>
  <c r="DB352" i="216"/>
  <c r="CY352" i="216"/>
  <c r="CV352" i="216"/>
  <c r="CT352" i="216"/>
  <c r="CR352" i="216"/>
  <c r="CO352" i="216"/>
  <c r="CL352" i="216"/>
  <c r="CJ352" i="216"/>
  <c r="CH352" i="216"/>
  <c r="CE352" i="216"/>
  <c r="CB352" i="216"/>
  <c r="BZ352" i="216"/>
  <c r="BX352" i="216"/>
  <c r="BU352" i="216"/>
  <c r="BR352" i="216"/>
  <c r="BP352" i="216"/>
  <c r="BN352" i="216"/>
  <c r="BK352" i="216"/>
  <c r="BH352" i="216"/>
  <c r="BF352" i="216"/>
  <c r="BD352" i="216"/>
  <c r="BA352" i="216"/>
  <c r="AX352" i="216"/>
  <c r="AV352" i="216"/>
  <c r="AT352" i="216"/>
  <c r="AQ352" i="216"/>
  <c r="AN352" i="216"/>
  <c r="AL352" i="216"/>
  <c r="AJ352" i="216"/>
  <c r="AH352" i="216"/>
  <c r="AH355" i="216" s="1"/>
  <c r="AG352" i="216"/>
  <c r="AD352" i="216"/>
  <c r="AB352" i="216"/>
  <c r="Z352" i="216"/>
  <c r="W352" i="216"/>
  <c r="T352" i="216"/>
  <c r="R352" i="216"/>
  <c r="P352" i="216"/>
  <c r="EZ351" i="216"/>
  <c r="EP351" i="216"/>
  <c r="EM351" i="216"/>
  <c r="EJ351" i="216"/>
  <c r="EH351" i="216"/>
  <c r="EF351" i="216"/>
  <c r="EC351" i="216"/>
  <c r="DZ351" i="216"/>
  <c r="DX351" i="216"/>
  <c r="DV351" i="216"/>
  <c r="DS351" i="216"/>
  <c r="DP351" i="216"/>
  <c r="DN351" i="216"/>
  <c r="DL351" i="216"/>
  <c r="DI351" i="216"/>
  <c r="DF351" i="216"/>
  <c r="DD351" i="216"/>
  <c r="DB351" i="216"/>
  <c r="CY351" i="216"/>
  <c r="CV351" i="216"/>
  <c r="CT351" i="216"/>
  <c r="CR351" i="216"/>
  <c r="CO351" i="216"/>
  <c r="CL351" i="216"/>
  <c r="CJ351" i="216"/>
  <c r="CH351" i="216"/>
  <c r="CE351" i="216"/>
  <c r="CB351" i="216"/>
  <c r="BZ351" i="216"/>
  <c r="BX351" i="216"/>
  <c r="BU351" i="216"/>
  <c r="BR351" i="216"/>
  <c r="BP351" i="216"/>
  <c r="BN351" i="216"/>
  <c r="BK351" i="216"/>
  <c r="BH351" i="216"/>
  <c r="BF351" i="216"/>
  <c r="BD351" i="216"/>
  <c r="BA351" i="216"/>
  <c r="AX351" i="216"/>
  <c r="AV351" i="216"/>
  <c r="AT351" i="216"/>
  <c r="AQ351" i="216"/>
  <c r="AN351" i="216"/>
  <c r="AL351" i="216"/>
  <c r="AJ351" i="216"/>
  <c r="AH351" i="216"/>
  <c r="AG351" i="216"/>
  <c r="AD351" i="216"/>
  <c r="AB351" i="216"/>
  <c r="Z351" i="216"/>
  <c r="W351" i="216"/>
  <c r="T351" i="216"/>
  <c r="R351" i="216"/>
  <c r="P351" i="216"/>
  <c r="EZ350" i="216"/>
  <c r="EP350" i="216"/>
  <c r="EM350" i="216"/>
  <c r="EJ350" i="216"/>
  <c r="EH350" i="216"/>
  <c r="EF350" i="216"/>
  <c r="EC350" i="216"/>
  <c r="DZ350" i="216"/>
  <c r="DX350" i="216"/>
  <c r="DV350" i="216"/>
  <c r="DS350" i="216"/>
  <c r="DP350" i="216"/>
  <c r="DN350" i="216"/>
  <c r="DL350" i="216"/>
  <c r="DI350" i="216"/>
  <c r="DF350" i="216"/>
  <c r="DD350" i="216"/>
  <c r="DB350" i="216"/>
  <c r="CY350" i="216"/>
  <c r="CV350" i="216"/>
  <c r="CT350" i="216"/>
  <c r="CR350" i="216"/>
  <c r="CO350" i="216"/>
  <c r="CL350" i="216"/>
  <c r="CJ350" i="216"/>
  <c r="CH350" i="216"/>
  <c r="CE350" i="216"/>
  <c r="CB350" i="216"/>
  <c r="BZ350" i="216"/>
  <c r="BX350" i="216"/>
  <c r="BU350" i="216"/>
  <c r="BR350" i="216"/>
  <c r="BP350" i="216"/>
  <c r="BN350" i="216"/>
  <c r="BK350" i="216"/>
  <c r="BH350" i="216"/>
  <c r="BF350" i="216"/>
  <c r="BD350" i="216"/>
  <c r="BA350" i="216"/>
  <c r="AX350" i="216"/>
  <c r="AV350" i="216"/>
  <c r="AT350" i="216"/>
  <c r="AQ350" i="216"/>
  <c r="AN350" i="216"/>
  <c r="AL350" i="216"/>
  <c r="AJ350" i="216"/>
  <c r="AH350" i="216"/>
  <c r="AG350" i="216"/>
  <c r="AD350" i="216"/>
  <c r="AB350" i="216"/>
  <c r="Z350" i="216"/>
  <c r="W350" i="216"/>
  <c r="T350" i="216"/>
  <c r="R350" i="216"/>
  <c r="P350" i="216"/>
  <c r="EZ349" i="216"/>
  <c r="EB349" i="216"/>
  <c r="EA349" i="216"/>
  <c r="DY349" i="216"/>
  <c r="DW349" i="216"/>
  <c r="DU349" i="216"/>
  <c r="EC349" i="216" s="1"/>
  <c r="DT349" i="216"/>
  <c r="DS349" i="216"/>
  <c r="DP349" i="216"/>
  <c r="DN349" i="216"/>
  <c r="DL349" i="216"/>
  <c r="DJ349" i="216"/>
  <c r="DI349" i="216"/>
  <c r="DF349" i="216"/>
  <c r="DD349" i="216"/>
  <c r="DB349" i="216"/>
  <c r="CZ349" i="216"/>
  <c r="CY349" i="216"/>
  <c r="CV349" i="216"/>
  <c r="CT349" i="216"/>
  <c r="CR349" i="216"/>
  <c r="CP349" i="216"/>
  <c r="CO349" i="216"/>
  <c r="CL349" i="216"/>
  <c r="CJ349" i="216"/>
  <c r="CH349" i="216"/>
  <c r="CF349" i="216"/>
  <c r="CE349" i="216"/>
  <c r="CB349" i="216"/>
  <c r="BZ349" i="216"/>
  <c r="BX349" i="216"/>
  <c r="BV349" i="216"/>
  <c r="BU349" i="216"/>
  <c r="BR349" i="216"/>
  <c r="BP349" i="216"/>
  <c r="BN349" i="216"/>
  <c r="BL349" i="216"/>
  <c r="BK349" i="216"/>
  <c r="BH349" i="216"/>
  <c r="BF349" i="216"/>
  <c r="BD349" i="216"/>
  <c r="BB349" i="216"/>
  <c r="AZ349" i="216"/>
  <c r="AY349" i="216"/>
  <c r="AX349" i="216"/>
  <c r="AW349" i="216"/>
  <c r="AU349" i="216"/>
  <c r="AT349" i="216" s="1"/>
  <c r="AS349" i="216"/>
  <c r="BA349" i="216" s="1"/>
  <c r="AP349" i="216"/>
  <c r="AO349" i="216"/>
  <c r="AN349" i="216" s="1"/>
  <c r="AM349" i="216"/>
  <c r="AL349" i="216" s="1"/>
  <c r="AK349" i="216"/>
  <c r="AJ349" i="216" s="1"/>
  <c r="AI349" i="216"/>
  <c r="AQ349" i="216" s="1"/>
  <c r="AF349" i="216"/>
  <c r="AE349" i="216"/>
  <c r="AD349" i="216" s="1"/>
  <c r="AC349" i="216"/>
  <c r="AB349" i="216" s="1"/>
  <c r="AA349" i="216"/>
  <c r="Y349" i="216"/>
  <c r="Z349" i="216" s="1"/>
  <c r="U349" i="216"/>
  <c r="T349" i="216" s="1"/>
  <c r="S349" i="216"/>
  <c r="R349" i="216" s="1"/>
  <c r="Q349" i="216"/>
  <c r="P349" i="216"/>
  <c r="O349" i="216"/>
  <c r="EP348" i="216"/>
  <c r="EL348" i="216"/>
  <c r="EK348" i="216"/>
  <c r="EJ348" i="216"/>
  <c r="EI348" i="216"/>
  <c r="EG348" i="216"/>
  <c r="EE348" i="216"/>
  <c r="EM348" i="216" s="1"/>
  <c r="ED348" i="216"/>
  <c r="EC348" i="216"/>
  <c r="DZ348" i="216"/>
  <c r="DX348" i="216"/>
  <c r="DV348" i="216"/>
  <c r="DT348" i="216"/>
  <c r="DS348" i="216"/>
  <c r="DP348" i="216"/>
  <c r="DN348" i="216"/>
  <c r="DL348" i="216"/>
  <c r="DJ348" i="216"/>
  <c r="DI348" i="216"/>
  <c r="DF348" i="216"/>
  <c r="DD348" i="216"/>
  <c r="DB348" i="216"/>
  <c r="CZ348" i="216"/>
  <c r="CY348" i="216"/>
  <c r="CV348" i="216"/>
  <c r="CT348" i="216"/>
  <c r="CR348" i="216"/>
  <c r="CP348" i="216"/>
  <c r="CO348" i="216"/>
  <c r="CL348" i="216"/>
  <c r="CJ348" i="216"/>
  <c r="CH348" i="216"/>
  <c r="CF348" i="216"/>
  <c r="CE348" i="216"/>
  <c r="CB348" i="216"/>
  <c r="BZ348" i="216"/>
  <c r="BX348" i="216"/>
  <c r="BV348" i="216"/>
  <c r="BU348" i="216"/>
  <c r="BR348" i="216"/>
  <c r="BP348" i="216"/>
  <c r="BN348" i="216"/>
  <c r="BL348" i="216"/>
  <c r="BK348" i="216"/>
  <c r="BH348" i="216"/>
  <c r="BF348" i="216"/>
  <c r="BD348" i="216"/>
  <c r="BB348" i="216"/>
  <c r="BA348" i="216"/>
  <c r="AX348" i="216"/>
  <c r="AV348" i="216"/>
  <c r="AT348" i="216"/>
  <c r="AR348" i="216"/>
  <c r="AQ348" i="216"/>
  <c r="AN348" i="216"/>
  <c r="AL348" i="216"/>
  <c r="AJ348" i="216"/>
  <c r="AH348" i="216"/>
  <c r="AG348" i="216"/>
  <c r="AD348" i="216"/>
  <c r="AB348" i="216"/>
  <c r="Z348" i="216"/>
  <c r="X348" i="216"/>
  <c r="W348" i="216" s="1"/>
  <c r="T348" i="216"/>
  <c r="R348" i="216"/>
  <c r="P348" i="216"/>
  <c r="EP347" i="216"/>
  <c r="EN347" i="216"/>
  <c r="EL347" i="216"/>
  <c r="EL349" i="216" s="1"/>
  <c r="EK347" i="216"/>
  <c r="EK349" i="216" s="1"/>
  <c r="EJ349" i="216" s="1"/>
  <c r="EI347" i="216"/>
  <c r="EI349" i="216" s="1"/>
  <c r="EG347" i="216"/>
  <c r="EG349" i="216" s="1"/>
  <c r="EF349" i="216" s="1"/>
  <c r="EF347" i="216"/>
  <c r="EE347" i="216"/>
  <c r="EE349" i="216" s="1"/>
  <c r="EM349" i="216" s="1"/>
  <c r="ED347" i="216"/>
  <c r="EC347" i="216"/>
  <c r="DZ347" i="216"/>
  <c r="DX347" i="216"/>
  <c r="DV347" i="216"/>
  <c r="DT347" i="216"/>
  <c r="DS347" i="216"/>
  <c r="DP347" i="216"/>
  <c r="DN347" i="216"/>
  <c r="DL347" i="216"/>
  <c r="DJ347" i="216"/>
  <c r="DI347" i="216"/>
  <c r="DF347" i="216"/>
  <c r="DD347" i="216"/>
  <c r="DB347" i="216"/>
  <c r="CZ347" i="216"/>
  <c r="CY347" i="216"/>
  <c r="CV347" i="216"/>
  <c r="CT347" i="216"/>
  <c r="CR347" i="216"/>
  <c r="CP347" i="216"/>
  <c r="CO347" i="216"/>
  <c r="CL347" i="216"/>
  <c r="CJ347" i="216"/>
  <c r="CH347" i="216"/>
  <c r="CF347" i="216"/>
  <c r="CE347" i="216"/>
  <c r="CB347" i="216"/>
  <c r="BZ347" i="216"/>
  <c r="BX347" i="216"/>
  <c r="BV347" i="216"/>
  <c r="BU347" i="216"/>
  <c r="BR347" i="216"/>
  <c r="BP347" i="216"/>
  <c r="BN347" i="216"/>
  <c r="BL347" i="216"/>
  <c r="BK347" i="216"/>
  <c r="BH347" i="216"/>
  <c r="BF347" i="216"/>
  <c r="BD347" i="216"/>
  <c r="BB347" i="216"/>
  <c r="BA347" i="216"/>
  <c r="AX347" i="216"/>
  <c r="AV347" i="216"/>
  <c r="AT347" i="216"/>
  <c r="AR347" i="216"/>
  <c r="AQ347" i="216"/>
  <c r="AN347" i="216"/>
  <c r="AL347" i="216"/>
  <c r="AJ347" i="216"/>
  <c r="AH347" i="216"/>
  <c r="AH349" i="216" s="1"/>
  <c r="AG347" i="216"/>
  <c r="AD347" i="216"/>
  <c r="AB347" i="216"/>
  <c r="Z347" i="216"/>
  <c r="X347" i="216"/>
  <c r="W347" i="216" s="1"/>
  <c r="T347" i="216"/>
  <c r="R347" i="216"/>
  <c r="P347" i="216"/>
  <c r="EZ346" i="216"/>
  <c r="EP346" i="216"/>
  <c r="EM346" i="216"/>
  <c r="EJ346" i="216"/>
  <c r="EH346" i="216"/>
  <c r="EF346" i="216"/>
  <c r="ED346" i="216"/>
  <c r="EC346" i="216"/>
  <c r="DZ346" i="216"/>
  <c r="DX346" i="216"/>
  <c r="DV346" i="216"/>
  <c r="DT346" i="216"/>
  <c r="DS346" i="216"/>
  <c r="DP346" i="216"/>
  <c r="DN346" i="216"/>
  <c r="DL346" i="216"/>
  <c r="DJ346" i="216"/>
  <c r="DI346" i="216"/>
  <c r="DF346" i="216"/>
  <c r="DD346" i="216"/>
  <c r="DB346" i="216"/>
  <c r="CZ346" i="216"/>
  <c r="CY346" i="216"/>
  <c r="CV346" i="216"/>
  <c r="CT346" i="216"/>
  <c r="CR346" i="216"/>
  <c r="CP346" i="216"/>
  <c r="CO346" i="216"/>
  <c r="CL346" i="216"/>
  <c r="CJ346" i="216"/>
  <c r="CH346" i="216"/>
  <c r="CF346" i="216"/>
  <c r="CE346" i="216"/>
  <c r="CB346" i="216"/>
  <c r="BZ346" i="216"/>
  <c r="BX346" i="216"/>
  <c r="BV346" i="216"/>
  <c r="BU346" i="216"/>
  <c r="BR346" i="216"/>
  <c r="BP346" i="216"/>
  <c r="BN346" i="216"/>
  <c r="BL346" i="216"/>
  <c r="BK346" i="216"/>
  <c r="BH346" i="216"/>
  <c r="BF346" i="216"/>
  <c r="BD346" i="216"/>
  <c r="BB346" i="216"/>
  <c r="BA346" i="216"/>
  <c r="AX346" i="216"/>
  <c r="AV346" i="216"/>
  <c r="AT346" i="216"/>
  <c r="AR346" i="216"/>
  <c r="AQ346" i="216"/>
  <c r="AN346" i="216"/>
  <c r="AL346" i="216"/>
  <c r="AJ346" i="216"/>
  <c r="AH346" i="216"/>
  <c r="AG346" i="216"/>
  <c r="AD346" i="216"/>
  <c r="AB346" i="216"/>
  <c r="Z346" i="216"/>
  <c r="X346" i="216"/>
  <c r="W346" i="216" s="1"/>
  <c r="T346" i="216"/>
  <c r="R346" i="216"/>
  <c r="P346" i="216"/>
  <c r="EZ345" i="216"/>
  <c r="EP345" i="216"/>
  <c r="EM345" i="216"/>
  <c r="EJ345" i="216"/>
  <c r="EH345" i="216"/>
  <c r="EF345" i="216"/>
  <c r="ED345" i="216"/>
  <c r="EC345" i="216"/>
  <c r="DZ345" i="216"/>
  <c r="DX345" i="216"/>
  <c r="DV345" i="216"/>
  <c r="DT345" i="216"/>
  <c r="DS345" i="216"/>
  <c r="DP345" i="216"/>
  <c r="DN345" i="216"/>
  <c r="DL345" i="216"/>
  <c r="DJ345" i="216"/>
  <c r="DI345" i="216"/>
  <c r="DF345" i="216"/>
  <c r="DD345" i="216"/>
  <c r="DB345" i="216"/>
  <c r="CZ345" i="216"/>
  <c r="CY345" i="216"/>
  <c r="CV345" i="216"/>
  <c r="CT345" i="216"/>
  <c r="CR345" i="216"/>
  <c r="CP345" i="216"/>
  <c r="CO345" i="216"/>
  <c r="CL345" i="216"/>
  <c r="CJ345" i="216"/>
  <c r="CH345" i="216"/>
  <c r="CF345" i="216"/>
  <c r="CE345" i="216"/>
  <c r="CB345" i="216"/>
  <c r="BZ345" i="216"/>
  <c r="BX345" i="216"/>
  <c r="BV345" i="216"/>
  <c r="BU345" i="216"/>
  <c r="BR345" i="216"/>
  <c r="BP345" i="216"/>
  <c r="BN345" i="216"/>
  <c r="BL345" i="216"/>
  <c r="BK345" i="216"/>
  <c r="BH345" i="216"/>
  <c r="BF345" i="216"/>
  <c r="BD345" i="216"/>
  <c r="BB345" i="216"/>
  <c r="BA345" i="216"/>
  <c r="AX345" i="216"/>
  <c r="AV345" i="216"/>
  <c r="AT345" i="216"/>
  <c r="AR345" i="216"/>
  <c r="AQ345" i="216"/>
  <c r="AN345" i="216"/>
  <c r="AL345" i="216"/>
  <c r="AJ345" i="216"/>
  <c r="AH345" i="216"/>
  <c r="AG345" i="216"/>
  <c r="AD345" i="216"/>
  <c r="AB345" i="216"/>
  <c r="Z345" i="216"/>
  <c r="X345" i="216"/>
  <c r="W345" i="216"/>
  <c r="T345" i="216"/>
  <c r="R345" i="216"/>
  <c r="P345" i="216"/>
  <c r="H344" i="216"/>
  <c r="G344" i="216"/>
  <c r="F344" i="216"/>
  <c r="E344" i="216"/>
  <c r="D344" i="216"/>
  <c r="C344" i="216"/>
  <c r="EZ343" i="216"/>
  <c r="EP343" i="216"/>
  <c r="EL343" i="216"/>
  <c r="EK343" i="216"/>
  <c r="EJ343" i="216" s="1"/>
  <c r="EI343" i="216"/>
  <c r="EH343" i="216"/>
  <c r="EG343" i="216"/>
  <c r="EE343" i="216"/>
  <c r="EM343" i="216" s="1"/>
  <c r="ED343" i="216"/>
  <c r="EC343" i="216"/>
  <c r="DZ343" i="216"/>
  <c r="DX343" i="216"/>
  <c r="DV343" i="216"/>
  <c r="DT343" i="216"/>
  <c r="DS343" i="216"/>
  <c r="DP343" i="216"/>
  <c r="DN343" i="216"/>
  <c r="DL343" i="216"/>
  <c r="DJ343" i="216"/>
  <c r="DI343" i="216"/>
  <c r="DF343" i="216"/>
  <c r="DD343" i="216"/>
  <c r="DB343" i="216"/>
  <c r="CZ343" i="216"/>
  <c r="CY343" i="216"/>
  <c r="CV343" i="216"/>
  <c r="CT343" i="216"/>
  <c r="CR343" i="216"/>
  <c r="CP343" i="216"/>
  <c r="CO343" i="216"/>
  <c r="CL343" i="216"/>
  <c r="CJ343" i="216"/>
  <c r="CH343" i="216"/>
  <c r="CF343" i="216"/>
  <c r="CE343" i="216"/>
  <c r="CB343" i="216"/>
  <c r="BZ343" i="216"/>
  <c r="BX343" i="216"/>
  <c r="BV343" i="216"/>
  <c r="BU343" i="216"/>
  <c r="BR343" i="216"/>
  <c r="BP343" i="216"/>
  <c r="BN343" i="216"/>
  <c r="BL343" i="216"/>
  <c r="BK343" i="216"/>
  <c r="BH343" i="216"/>
  <c r="BF343" i="216"/>
  <c r="BD343" i="216"/>
  <c r="BB343" i="216"/>
  <c r="BA343" i="216"/>
  <c r="AX343" i="216"/>
  <c r="AV343" i="216"/>
  <c r="AT343" i="216"/>
  <c r="AR343" i="216"/>
  <c r="AQ343" i="216"/>
  <c r="AN343" i="216"/>
  <c r="AL343" i="216"/>
  <c r="AJ343" i="216"/>
  <c r="AH343" i="216"/>
  <c r="AG343" i="216"/>
  <c r="AD343" i="216"/>
  <c r="AB343" i="216"/>
  <c r="Z343" i="216"/>
  <c r="X343" i="216"/>
  <c r="W343" i="216" s="1"/>
  <c r="T343" i="216"/>
  <c r="R343" i="216"/>
  <c r="P343" i="216"/>
  <c r="EP342" i="216"/>
  <c r="EL342" i="216"/>
  <c r="EK342" i="216"/>
  <c r="EI342" i="216"/>
  <c r="EG342" i="216"/>
  <c r="EE342" i="216"/>
  <c r="ED342" i="216"/>
  <c r="EC342" i="216"/>
  <c r="DZ342" i="216"/>
  <c r="DX342" i="216"/>
  <c r="DV342" i="216"/>
  <c r="DT342" i="216"/>
  <c r="DS342" i="216"/>
  <c r="DP342" i="216"/>
  <c r="DN342" i="216"/>
  <c r="DL342" i="216"/>
  <c r="DJ342" i="216"/>
  <c r="DI342" i="216"/>
  <c r="DF342" i="216"/>
  <c r="DD342" i="216"/>
  <c r="DB342" i="216"/>
  <c r="CZ342" i="216"/>
  <c r="CY342" i="216"/>
  <c r="CV342" i="216"/>
  <c r="CT342" i="216"/>
  <c r="CR342" i="216"/>
  <c r="CP342" i="216"/>
  <c r="CO342" i="216"/>
  <c r="CL342" i="216"/>
  <c r="CJ342" i="216"/>
  <c r="CH342" i="216"/>
  <c r="CF342" i="216"/>
  <c r="CE342" i="216"/>
  <c r="CB342" i="216"/>
  <c r="BZ342" i="216"/>
  <c r="BX342" i="216"/>
  <c r="BV342" i="216"/>
  <c r="BU342" i="216"/>
  <c r="BR342" i="216"/>
  <c r="BP342" i="216"/>
  <c r="BN342" i="216"/>
  <c r="BL342" i="216"/>
  <c r="BK342" i="216"/>
  <c r="BH342" i="216"/>
  <c r="BF342" i="216"/>
  <c r="BD342" i="216"/>
  <c r="BB342" i="216"/>
  <c r="BA342" i="216"/>
  <c r="AX342" i="216"/>
  <c r="AV342" i="216"/>
  <c r="AT342" i="216"/>
  <c r="AR342" i="216"/>
  <c r="AQ342" i="216"/>
  <c r="AN342" i="216"/>
  <c r="AL342" i="216"/>
  <c r="AJ342" i="216"/>
  <c r="AH342" i="216"/>
  <c r="AG342" i="216"/>
  <c r="AD342" i="216"/>
  <c r="AB342" i="216"/>
  <c r="Z342" i="216"/>
  <c r="X342" i="216"/>
  <c r="W342" i="216" s="1"/>
  <c r="T342" i="216"/>
  <c r="R342" i="216"/>
  <c r="P342" i="216"/>
  <c r="EB341" i="216"/>
  <c r="EA341" i="216"/>
  <c r="EP341" i="216" s="1"/>
  <c r="DW341" i="216"/>
  <c r="DU341" i="216"/>
  <c r="DR341" i="216"/>
  <c r="DQ341" i="216"/>
  <c r="DO341" i="216"/>
  <c r="DM341" i="216"/>
  <c r="DK341" i="216"/>
  <c r="DS341" i="216" s="1"/>
  <c r="DH341" i="216"/>
  <c r="DG341" i="216"/>
  <c r="DE341" i="216"/>
  <c r="DC341" i="216"/>
  <c r="DA341" i="216"/>
  <c r="DI341" i="216" s="1"/>
  <c r="CX341" i="216"/>
  <c r="CW341" i="216"/>
  <c r="CU341" i="216"/>
  <c r="CS341" i="216"/>
  <c r="CQ341" i="216"/>
  <c r="CN341" i="216"/>
  <c r="CM341" i="216"/>
  <c r="CK341" i="216"/>
  <c r="CI341" i="216"/>
  <c r="CH341" i="216" s="1"/>
  <c r="CG341" i="216"/>
  <c r="CO341" i="216" s="1"/>
  <c r="CD341" i="216"/>
  <c r="CC341" i="216"/>
  <c r="CA341" i="216"/>
  <c r="BY341" i="216"/>
  <c r="BW341" i="216"/>
  <c r="CE341" i="216" s="1"/>
  <c r="BT341" i="216"/>
  <c r="BS341" i="216"/>
  <c r="BQ341" i="216"/>
  <c r="BO341" i="216"/>
  <c r="BM341" i="216"/>
  <c r="BJ341" i="216"/>
  <c r="BI341" i="216"/>
  <c r="BG341" i="216"/>
  <c r="BF341" i="216" s="1"/>
  <c r="BE341" i="216"/>
  <c r="BC341" i="216"/>
  <c r="BK341" i="216" s="1"/>
  <c r="AZ341" i="216"/>
  <c r="AY341" i="216"/>
  <c r="AW341" i="216"/>
  <c r="AU341" i="216"/>
  <c r="AS341" i="216"/>
  <c r="BA341" i="216" s="1"/>
  <c r="AP341" i="216"/>
  <c r="AO341" i="216"/>
  <c r="AM341" i="216"/>
  <c r="AK341" i="216"/>
  <c r="AJ341" i="216" s="1"/>
  <c r="AI341" i="216"/>
  <c r="AQ341" i="216" s="1"/>
  <c r="AF341" i="216"/>
  <c r="AE341" i="216"/>
  <c r="AC341" i="216"/>
  <c r="AA341" i="216"/>
  <c r="Y341" i="216"/>
  <c r="V341" i="216"/>
  <c r="U341" i="216"/>
  <c r="S341" i="216"/>
  <c r="Q341" i="216"/>
  <c r="O341" i="216"/>
  <c r="EB340" i="216"/>
  <c r="EA340" i="216"/>
  <c r="DY340" i="216"/>
  <c r="DW340" i="216"/>
  <c r="DV340" i="216" s="1"/>
  <c r="DU340" i="216"/>
  <c r="DR340" i="216"/>
  <c r="DQ340" i="216"/>
  <c r="DO340" i="216"/>
  <c r="DM340" i="216"/>
  <c r="DK340" i="216"/>
  <c r="DS340" i="216" s="1"/>
  <c r="DH340" i="216"/>
  <c r="DG340" i="216"/>
  <c r="DE340" i="216"/>
  <c r="DC340" i="216"/>
  <c r="DA340" i="216"/>
  <c r="DI340" i="216" s="1"/>
  <c r="CX340" i="216"/>
  <c r="CW340" i="216"/>
  <c r="CU340" i="216"/>
  <c r="CS340" i="216"/>
  <c r="CQ340" i="216"/>
  <c r="CY340" i="216" s="1"/>
  <c r="CN340" i="216"/>
  <c r="CM340" i="216"/>
  <c r="CK340" i="216"/>
  <c r="CI340" i="216"/>
  <c r="CG340" i="216"/>
  <c r="CO340" i="216" s="1"/>
  <c r="CD340" i="216"/>
  <c r="CC340" i="216"/>
  <c r="CB340" i="216" s="1"/>
  <c r="CA340" i="216"/>
  <c r="BY340" i="216"/>
  <c r="BW340" i="216"/>
  <c r="CE340" i="216" s="1"/>
  <c r="BT340" i="216"/>
  <c r="BS340" i="216"/>
  <c r="BR340" i="216" s="1"/>
  <c r="BQ340" i="216"/>
  <c r="BO340" i="216"/>
  <c r="BN340" i="216" s="1"/>
  <c r="BM340" i="216"/>
  <c r="BU340" i="216" s="1"/>
  <c r="BJ340" i="216"/>
  <c r="BI340" i="216"/>
  <c r="BG340" i="216"/>
  <c r="BE340" i="216"/>
  <c r="BC340" i="216"/>
  <c r="BK340" i="216" s="1"/>
  <c r="AZ340" i="216"/>
  <c r="AY340" i="216"/>
  <c r="AW340" i="216"/>
  <c r="AU340" i="216"/>
  <c r="AS340" i="216"/>
  <c r="AQ340" i="216"/>
  <c r="AP340" i="216"/>
  <c r="AO340" i="216"/>
  <c r="AM340" i="216"/>
  <c r="AK340" i="216"/>
  <c r="AI340" i="216"/>
  <c r="AF340" i="216"/>
  <c r="AE340" i="216"/>
  <c r="AC340" i="216"/>
  <c r="AA340" i="216"/>
  <c r="Y340" i="216"/>
  <c r="V340" i="216"/>
  <c r="U340" i="216"/>
  <c r="S340" i="216"/>
  <c r="R340" i="216" s="1"/>
  <c r="Q340" i="216"/>
  <c r="P340" i="216" s="1"/>
  <c r="O340" i="216"/>
  <c r="EB339" i="216"/>
  <c r="EA339" i="216"/>
  <c r="EP339" i="216" s="1"/>
  <c r="DY339" i="216"/>
  <c r="DW339" i="216"/>
  <c r="DU339" i="216"/>
  <c r="DR339" i="216"/>
  <c r="DQ339" i="216"/>
  <c r="DO339" i="216"/>
  <c r="DM339" i="216"/>
  <c r="DK339" i="216"/>
  <c r="DH339" i="216"/>
  <c r="DG339" i="216"/>
  <c r="DE339" i="216"/>
  <c r="DC339" i="216"/>
  <c r="DA339" i="216"/>
  <c r="CX339" i="216"/>
  <c r="CW339" i="216"/>
  <c r="CU339" i="216"/>
  <c r="CT339" i="216" s="1"/>
  <c r="CS339" i="216"/>
  <c r="CQ339" i="216"/>
  <c r="CN339" i="216"/>
  <c r="CM339" i="216"/>
  <c r="CI339" i="216"/>
  <c r="CG339" i="216"/>
  <c r="CD339" i="216"/>
  <c r="CA339" i="216"/>
  <c r="BY339" i="216"/>
  <c r="BW339" i="216"/>
  <c r="BT339" i="216"/>
  <c r="BS339" i="216"/>
  <c r="BO339" i="216"/>
  <c r="BJ339" i="216"/>
  <c r="BI339" i="216"/>
  <c r="BG339" i="216"/>
  <c r="BE339" i="216"/>
  <c r="BC339" i="216"/>
  <c r="AZ339" i="216"/>
  <c r="AY339" i="216"/>
  <c r="BB339" i="216" s="1"/>
  <c r="AW339" i="216"/>
  <c r="AU339" i="216"/>
  <c r="AS339" i="216"/>
  <c r="AP339" i="216"/>
  <c r="AO339" i="216"/>
  <c r="AM339" i="216"/>
  <c r="AK339" i="216"/>
  <c r="AI339" i="216"/>
  <c r="AQ339" i="216" s="1"/>
  <c r="AF339" i="216"/>
  <c r="AE339" i="216"/>
  <c r="AC339" i="216"/>
  <c r="AH339" i="216" s="1"/>
  <c r="AA339" i="216"/>
  <c r="Y339" i="216"/>
  <c r="AG339" i="216" s="1"/>
  <c r="V339" i="216"/>
  <c r="U339" i="216"/>
  <c r="S339" i="216"/>
  <c r="R339" i="216" s="1"/>
  <c r="Q339" i="216"/>
  <c r="O339" i="216"/>
  <c r="EB338" i="216"/>
  <c r="EB416" i="216" s="1"/>
  <c r="EA338" i="216"/>
  <c r="EA416" i="216" s="1"/>
  <c r="DW338" i="216"/>
  <c r="DW416" i="216" s="1"/>
  <c r="DU338" i="216"/>
  <c r="DU416" i="216" s="1"/>
  <c r="DR338" i="216"/>
  <c r="DR416" i="216" s="1"/>
  <c r="DQ338" i="216"/>
  <c r="DO338" i="216"/>
  <c r="DO416" i="216" s="1"/>
  <c r="DM338" i="216"/>
  <c r="DK338" i="216"/>
  <c r="DK416" i="216" s="1"/>
  <c r="DH338" i="216"/>
  <c r="DH416" i="216" s="1"/>
  <c r="DG338" i="216"/>
  <c r="DG416" i="216" s="1"/>
  <c r="DE338" i="216"/>
  <c r="DC338" i="216"/>
  <c r="DA338" i="216"/>
  <c r="DA416" i="216" s="1"/>
  <c r="CX338" i="216"/>
  <c r="CX416" i="216" s="1"/>
  <c r="CW338" i="216"/>
  <c r="CU338" i="216"/>
  <c r="CU416" i="216" s="1"/>
  <c r="CS338" i="216"/>
  <c r="CS416" i="216" s="1"/>
  <c r="CN338" i="216"/>
  <c r="CN416" i="216" s="1"/>
  <c r="CM338" i="216"/>
  <c r="CM416" i="216" s="1"/>
  <c r="CK338" i="216"/>
  <c r="CK416" i="216" s="1"/>
  <c r="CI338" i="216"/>
  <c r="CI416" i="216" s="1"/>
  <c r="CD338" i="216"/>
  <c r="CD416" i="216" s="1"/>
  <c r="CA338" i="216"/>
  <c r="CA416" i="216" s="1"/>
  <c r="BY338" i="216"/>
  <c r="BW338" i="216"/>
  <c r="BW416" i="216" s="1"/>
  <c r="BT338" i="216"/>
  <c r="BT416" i="216" s="1"/>
  <c r="BS338" i="216"/>
  <c r="BS416" i="216" s="1"/>
  <c r="BO338" i="216"/>
  <c r="BO416" i="216" s="1"/>
  <c r="BJ338" i="216"/>
  <c r="BJ416" i="216" s="1"/>
  <c r="BI338" i="216"/>
  <c r="BG338" i="216"/>
  <c r="BE338" i="216"/>
  <c r="BE416" i="216" s="1"/>
  <c r="BC338" i="216"/>
  <c r="BC416" i="216" s="1"/>
  <c r="AZ338" i="216"/>
  <c r="AZ416" i="216" s="1"/>
  <c r="AY338" i="216"/>
  <c r="AY416" i="216" s="1"/>
  <c r="AU338" i="216"/>
  <c r="AU416" i="216" s="1"/>
  <c r="AP338" i="216"/>
  <c r="AP416" i="216" s="1"/>
  <c r="AO338" i="216"/>
  <c r="AO416" i="216" s="1"/>
  <c r="AK338" i="216"/>
  <c r="AF338" i="216"/>
  <c r="AF416" i="216" s="1"/>
  <c r="AE338" i="216"/>
  <c r="AE416" i="216" s="1"/>
  <c r="AC338" i="216"/>
  <c r="AA338" i="216"/>
  <c r="Y338" i="216"/>
  <c r="Y416" i="216" s="1"/>
  <c r="V338" i="216"/>
  <c r="V416" i="216" s="1"/>
  <c r="U338" i="216"/>
  <c r="S338" i="216"/>
  <c r="S416" i="216" s="1"/>
  <c r="Q338" i="216"/>
  <c r="O338" i="216"/>
  <c r="O416" i="216" s="1"/>
  <c r="D338" i="216"/>
  <c r="EB337" i="216"/>
  <c r="EB415" i="216" s="1"/>
  <c r="EA337" i="216"/>
  <c r="DW337" i="216"/>
  <c r="DU337" i="216"/>
  <c r="DU415" i="216" s="1"/>
  <c r="DR337" i="216"/>
  <c r="DR415" i="216" s="1"/>
  <c r="DQ337" i="216"/>
  <c r="DQ415" i="216" s="1"/>
  <c r="DO337" i="216"/>
  <c r="DO415" i="216" s="1"/>
  <c r="DM337" i="216"/>
  <c r="DK337" i="216"/>
  <c r="DH337" i="216"/>
  <c r="DH415" i="216" s="1"/>
  <c r="DG337" i="216"/>
  <c r="DE337" i="216"/>
  <c r="DC337" i="216"/>
  <c r="DC415" i="216" s="1"/>
  <c r="DA337" i="216"/>
  <c r="DA415" i="216" s="1"/>
  <c r="CX337" i="216"/>
  <c r="CX415" i="216" s="1"/>
  <c r="CW337" i="216"/>
  <c r="CW415" i="216" s="1"/>
  <c r="CS337" i="216"/>
  <c r="CS415" i="216" s="1"/>
  <c r="CN337" i="216"/>
  <c r="CN415" i="216" s="1"/>
  <c r="CM337" i="216"/>
  <c r="CM415" i="216" s="1"/>
  <c r="CK337" i="216"/>
  <c r="CK415" i="216" s="1"/>
  <c r="CI337" i="216"/>
  <c r="CI415" i="216" s="1"/>
  <c r="CD337" i="216"/>
  <c r="CD415" i="216" s="1"/>
  <c r="CA337" i="216"/>
  <c r="CA415" i="216" s="1"/>
  <c r="BY337" i="216"/>
  <c r="BW337" i="216"/>
  <c r="BW415" i="216" s="1"/>
  <c r="BT337" i="216"/>
  <c r="BT415" i="216" s="1"/>
  <c r="BS337" i="216"/>
  <c r="BS415" i="216" s="1"/>
  <c r="BQ337" i="216"/>
  <c r="BO337" i="216"/>
  <c r="BJ337" i="216"/>
  <c r="BJ415" i="216" s="1"/>
  <c r="BI337" i="216"/>
  <c r="BG337" i="216"/>
  <c r="BG415" i="216" s="1"/>
  <c r="BE337" i="216"/>
  <c r="BE415" i="216" s="1"/>
  <c r="BC337" i="216"/>
  <c r="BC415" i="216" s="1"/>
  <c r="AZ337" i="216"/>
  <c r="AZ415" i="216" s="1"/>
  <c r="AY337" i="216"/>
  <c r="AY415" i="216" s="1"/>
  <c r="AU337" i="216"/>
  <c r="AU415" i="216" s="1"/>
  <c r="AP337" i="216"/>
  <c r="AP415" i="216" s="1"/>
  <c r="AO337" i="216"/>
  <c r="AO415" i="216" s="1"/>
  <c r="AK337" i="216"/>
  <c r="AF337" i="216"/>
  <c r="AF415" i="216" s="1"/>
  <c r="AE337" i="216"/>
  <c r="AE415" i="216" s="1"/>
  <c r="AC337" i="216"/>
  <c r="AA337" i="216"/>
  <c r="Y337" i="216"/>
  <c r="V337" i="216"/>
  <c r="U337" i="216"/>
  <c r="S337" i="216"/>
  <c r="S415" i="216" s="1"/>
  <c r="Q337" i="216"/>
  <c r="Q415" i="216" s="1"/>
  <c r="P337" i="216"/>
  <c r="O337" i="216"/>
  <c r="O415" i="216" s="1"/>
  <c r="D337" i="216"/>
  <c r="EB336" i="216"/>
  <c r="EB414" i="216" s="1"/>
  <c r="EA336" i="216"/>
  <c r="DW336" i="216"/>
  <c r="DU336" i="216"/>
  <c r="DU414" i="216" s="1"/>
  <c r="DR336" i="216"/>
  <c r="DR414" i="216" s="1"/>
  <c r="DQ336" i="216"/>
  <c r="DQ414" i="216" s="1"/>
  <c r="DO336" i="216"/>
  <c r="DM336" i="216"/>
  <c r="DM414" i="216" s="1"/>
  <c r="DK336" i="216"/>
  <c r="DK414" i="216" s="1"/>
  <c r="DH336" i="216"/>
  <c r="DH414" i="216" s="1"/>
  <c r="DG336" i="216"/>
  <c r="DE336" i="216"/>
  <c r="DE414" i="216" s="1"/>
  <c r="DC336" i="216"/>
  <c r="DC414" i="216" s="1"/>
  <c r="DA336" i="216"/>
  <c r="CX336" i="216"/>
  <c r="CX414" i="216" s="1"/>
  <c r="CW336" i="216"/>
  <c r="CW414" i="216" s="1"/>
  <c r="CU336" i="216"/>
  <c r="CU414" i="216" s="1"/>
  <c r="CS336" i="216"/>
  <c r="CS414" i="216" s="1"/>
  <c r="CQ336" i="216"/>
  <c r="CQ414" i="216" s="1"/>
  <c r="CN336" i="216"/>
  <c r="CN414" i="216" s="1"/>
  <c r="CM336" i="216"/>
  <c r="CK336" i="216"/>
  <c r="CK414" i="216" s="1"/>
  <c r="CI336" i="216"/>
  <c r="CI414" i="216" s="1"/>
  <c r="CD336" i="216"/>
  <c r="CD414" i="216" s="1"/>
  <c r="CA336" i="216"/>
  <c r="BY336" i="216"/>
  <c r="BY414" i="216" s="1"/>
  <c r="BW336" i="216"/>
  <c r="BW414" i="216" s="1"/>
  <c r="BT336" i="216"/>
  <c r="BT414" i="216" s="1"/>
  <c r="BS336" i="216"/>
  <c r="BO336" i="216"/>
  <c r="BO414" i="216" s="1"/>
  <c r="BJ336" i="216"/>
  <c r="BJ414" i="216" s="1"/>
  <c r="BI336" i="216"/>
  <c r="BG336" i="216"/>
  <c r="BG414" i="216" s="1"/>
  <c r="BE336" i="216"/>
  <c r="BE414" i="216" s="1"/>
  <c r="BC336" i="216"/>
  <c r="AZ336" i="216"/>
  <c r="AZ414" i="216" s="1"/>
  <c r="AY336" i="216"/>
  <c r="AY414" i="216" s="1"/>
  <c r="AU336" i="216"/>
  <c r="AU414" i="216" s="1"/>
  <c r="AP336" i="216"/>
  <c r="AP414" i="216" s="1"/>
  <c r="AO336" i="216"/>
  <c r="AO414" i="216" s="1"/>
  <c r="AM336" i="216"/>
  <c r="AK336" i="216"/>
  <c r="AK414" i="216" s="1"/>
  <c r="AI336" i="216"/>
  <c r="AI414" i="216" s="1"/>
  <c r="AF336" i="216"/>
  <c r="AF414" i="216" s="1"/>
  <c r="AE336" i="216"/>
  <c r="AC336" i="216"/>
  <c r="AC414" i="216" s="1"/>
  <c r="AA336" i="216"/>
  <c r="AA414" i="216" s="1"/>
  <c r="Y336" i="216"/>
  <c r="V336" i="216"/>
  <c r="V414" i="216" s="1"/>
  <c r="U336" i="216"/>
  <c r="U414" i="216" s="1"/>
  <c r="S336" i="216"/>
  <c r="S414" i="216" s="1"/>
  <c r="Q336" i="216"/>
  <c r="Q414" i="216" s="1"/>
  <c r="O336" i="216"/>
  <c r="D336" i="216"/>
  <c r="EB335" i="216"/>
  <c r="EA335" i="216"/>
  <c r="EP335" i="216" s="1"/>
  <c r="DY335" i="216"/>
  <c r="DW335" i="216"/>
  <c r="DU335" i="216"/>
  <c r="DR335" i="216"/>
  <c r="DQ335" i="216"/>
  <c r="DO335" i="216"/>
  <c r="DM335" i="216"/>
  <c r="DK335" i="216"/>
  <c r="DP335" i="216" s="1"/>
  <c r="DH335" i="216"/>
  <c r="DG335" i="216"/>
  <c r="DE335" i="216"/>
  <c r="DC335" i="216"/>
  <c r="DA335" i="216"/>
  <c r="CX335" i="216"/>
  <c r="CW335" i="216"/>
  <c r="CU335" i="216"/>
  <c r="CS335" i="216"/>
  <c r="CQ335" i="216"/>
  <c r="CN335" i="216"/>
  <c r="CM335" i="216"/>
  <c r="CK335" i="216"/>
  <c r="CI335" i="216"/>
  <c r="CG335" i="216"/>
  <c r="CD335" i="216"/>
  <c r="CA335" i="216"/>
  <c r="BY335" i="216"/>
  <c r="BX335" i="216" s="1"/>
  <c r="BW335" i="216"/>
  <c r="BT335" i="216"/>
  <c r="BS335" i="216"/>
  <c r="BQ335" i="216"/>
  <c r="BO335" i="216"/>
  <c r="BJ335" i="216"/>
  <c r="BI335" i="216"/>
  <c r="BH335" i="216" s="1"/>
  <c r="BG335" i="216"/>
  <c r="BE335" i="216"/>
  <c r="BD335" i="216" s="1"/>
  <c r="BC335" i="216"/>
  <c r="AZ335" i="216"/>
  <c r="AY335" i="216"/>
  <c r="AX335" i="216" s="1"/>
  <c r="AW335" i="216"/>
  <c r="AU335" i="216"/>
  <c r="AS335" i="216"/>
  <c r="AP335" i="216"/>
  <c r="AO335" i="216"/>
  <c r="AM335" i="216"/>
  <c r="AK335" i="216"/>
  <c r="AI335" i="216"/>
  <c r="AF335" i="216"/>
  <c r="AE335" i="216"/>
  <c r="AD335" i="216" s="1"/>
  <c r="AC335" i="216"/>
  <c r="AB335" i="216" s="1"/>
  <c r="AA335" i="216"/>
  <c r="Y335" i="216"/>
  <c r="V335" i="216"/>
  <c r="U335" i="216"/>
  <c r="S335" i="216"/>
  <c r="Q335" i="216"/>
  <c r="O335" i="216"/>
  <c r="D335" i="216"/>
  <c r="EB334" i="216"/>
  <c r="EB413" i="216" s="1"/>
  <c r="EA334" i="216"/>
  <c r="DW334" i="216"/>
  <c r="DW413" i="216" s="1"/>
  <c r="DU334" i="216"/>
  <c r="DU413" i="216" s="1"/>
  <c r="DR334" i="216"/>
  <c r="DR413" i="216" s="1"/>
  <c r="DQ334" i="216"/>
  <c r="DQ413" i="216" s="1"/>
  <c r="DO334" i="216"/>
  <c r="DO413" i="216" s="1"/>
  <c r="DM334" i="216"/>
  <c r="DM413" i="216" s="1"/>
  <c r="DK334" i="216"/>
  <c r="DK413" i="216" s="1"/>
  <c r="DH334" i="216"/>
  <c r="DH413" i="216" s="1"/>
  <c r="DG334" i="216"/>
  <c r="DG413" i="216" s="1"/>
  <c r="DE334" i="216"/>
  <c r="DE413" i="216" s="1"/>
  <c r="DC334" i="216"/>
  <c r="DA334" i="216"/>
  <c r="DA413" i="216" s="1"/>
  <c r="CX334" i="216"/>
  <c r="CX413" i="216" s="1"/>
  <c r="CW334" i="216"/>
  <c r="CW413" i="216" s="1"/>
  <c r="CS334" i="216"/>
  <c r="CS413" i="216" s="1"/>
  <c r="CN334" i="216"/>
  <c r="CN413" i="216" s="1"/>
  <c r="CM334" i="216"/>
  <c r="CM413" i="216" s="1"/>
  <c r="CK334" i="216"/>
  <c r="CK413" i="216" s="1"/>
  <c r="CI334" i="216"/>
  <c r="CI413" i="216" s="1"/>
  <c r="CG334" i="216"/>
  <c r="CD334" i="216"/>
  <c r="CD413" i="216" s="1"/>
  <c r="CA334" i="216"/>
  <c r="CA413" i="216" s="1"/>
  <c r="BY334" i="216"/>
  <c r="BY413" i="216" s="1"/>
  <c r="BW334" i="216"/>
  <c r="BW413" i="216" s="1"/>
  <c r="BT334" i="216"/>
  <c r="BT413" i="216" s="1"/>
  <c r="BS334" i="216"/>
  <c r="BS413" i="216" s="1"/>
  <c r="BQ334" i="216"/>
  <c r="BQ413" i="216" s="1"/>
  <c r="BO334" i="216"/>
  <c r="BM334" i="216"/>
  <c r="BM413" i="216" s="1"/>
  <c r="BJ334" i="216"/>
  <c r="BJ413" i="216" s="1"/>
  <c r="BI334" i="216"/>
  <c r="BI413" i="216" s="1"/>
  <c r="BG334" i="216"/>
  <c r="BG413" i="216" s="1"/>
  <c r="BE334" i="216"/>
  <c r="BE413" i="216" s="1"/>
  <c r="BC334" i="216"/>
  <c r="AZ334" i="216"/>
  <c r="AZ413" i="216" s="1"/>
  <c r="AY334" i="216"/>
  <c r="AY413" i="216" s="1"/>
  <c r="AW334" i="216"/>
  <c r="AW413" i="216" s="1"/>
  <c r="AU334" i="216"/>
  <c r="AU413" i="216" s="1"/>
  <c r="AS334" i="216"/>
  <c r="AS413" i="216" s="1"/>
  <c r="AP334" i="216"/>
  <c r="AP413" i="216" s="1"/>
  <c r="AO334" i="216"/>
  <c r="AO413" i="216" s="1"/>
  <c r="AM334" i="216"/>
  <c r="AM413" i="216" s="1"/>
  <c r="AK334" i="216"/>
  <c r="AK413" i="216" s="1"/>
  <c r="AI334" i="216"/>
  <c r="AI413" i="216" s="1"/>
  <c r="AF334" i="216"/>
  <c r="AF413" i="216" s="1"/>
  <c r="AE334" i="216"/>
  <c r="AE413" i="216" s="1"/>
  <c r="AC334" i="216"/>
  <c r="AC413" i="216" s="1"/>
  <c r="AA334" i="216"/>
  <c r="Z334" i="216" s="1"/>
  <c r="Y334" i="216"/>
  <c r="Y413" i="216" s="1"/>
  <c r="V334" i="216"/>
  <c r="V413" i="216" s="1"/>
  <c r="U334" i="216"/>
  <c r="U413" i="216" s="1"/>
  <c r="S334" i="216"/>
  <c r="S413" i="216" s="1"/>
  <c r="Q334" i="216"/>
  <c r="Q413" i="216" s="1"/>
  <c r="O334" i="216"/>
  <c r="D334" i="216"/>
  <c r="EB333" i="216"/>
  <c r="EB412" i="216" s="1"/>
  <c r="EA333" i="216"/>
  <c r="EA412" i="216" s="1"/>
  <c r="DW333" i="216"/>
  <c r="DU333" i="216"/>
  <c r="DU412" i="216" s="1"/>
  <c r="DR333" i="216"/>
  <c r="DR412" i="216" s="1"/>
  <c r="DQ333" i="216"/>
  <c r="DQ412" i="216" s="1"/>
  <c r="DO333" i="216"/>
  <c r="DM333" i="216"/>
  <c r="DM412" i="216" s="1"/>
  <c r="DK333" i="216"/>
  <c r="DK412" i="216" s="1"/>
  <c r="DH333" i="216"/>
  <c r="DG333" i="216"/>
  <c r="DE333" i="216"/>
  <c r="DE412" i="216" s="1"/>
  <c r="DC333" i="216"/>
  <c r="DC412" i="216" s="1"/>
  <c r="DA333" i="216"/>
  <c r="DA412" i="216" s="1"/>
  <c r="CX333" i="216"/>
  <c r="CX412" i="216" s="1"/>
  <c r="CW333" i="216"/>
  <c r="CW412" i="216" s="1"/>
  <c r="CU333" i="216"/>
  <c r="CU412" i="216" s="1"/>
  <c r="CS333" i="216"/>
  <c r="CS412" i="216" s="1"/>
  <c r="CQ333" i="216"/>
  <c r="CN333" i="216"/>
  <c r="CN412" i="216" s="1"/>
  <c r="CM333" i="216"/>
  <c r="CM412" i="216" s="1"/>
  <c r="CK333" i="216"/>
  <c r="CK412" i="216" s="1"/>
  <c r="CI333" i="216"/>
  <c r="CD333" i="216"/>
  <c r="CD412" i="216" s="1"/>
  <c r="CA333" i="216"/>
  <c r="BY333" i="216"/>
  <c r="BY412" i="216" s="1"/>
  <c r="BW333" i="216"/>
  <c r="BW412" i="216" s="1"/>
  <c r="BT333" i="216"/>
  <c r="BT412" i="216" s="1"/>
  <c r="BS333" i="216"/>
  <c r="BQ333" i="216"/>
  <c r="BQ412" i="216" s="1"/>
  <c r="BO333" i="216"/>
  <c r="BO412" i="216" s="1"/>
  <c r="BJ333" i="216"/>
  <c r="BJ412" i="216" s="1"/>
  <c r="BI333" i="216"/>
  <c r="BI412" i="216" s="1"/>
  <c r="BG333" i="216"/>
  <c r="BG412" i="216" s="1"/>
  <c r="BE333" i="216"/>
  <c r="BE412" i="216" s="1"/>
  <c r="BC333" i="216"/>
  <c r="AZ333" i="216"/>
  <c r="AZ412" i="216" s="1"/>
  <c r="AY333" i="216"/>
  <c r="AY412" i="216" s="1"/>
  <c r="AW333" i="216"/>
  <c r="AW412" i="216" s="1"/>
  <c r="AU333" i="216"/>
  <c r="AS333" i="216"/>
  <c r="AP333" i="216"/>
  <c r="AP412" i="216" s="1"/>
  <c r="AO333" i="216"/>
  <c r="AO412" i="216" s="1"/>
  <c r="AM333" i="216"/>
  <c r="AK333" i="216"/>
  <c r="AK412" i="216" s="1"/>
  <c r="AI333" i="216"/>
  <c r="AI412" i="216" s="1"/>
  <c r="AF333" i="216"/>
  <c r="AF412" i="216" s="1"/>
  <c r="AE333" i="216"/>
  <c r="AC333" i="216"/>
  <c r="AC412" i="216" s="1"/>
  <c r="AA333" i="216"/>
  <c r="AA412" i="216" s="1"/>
  <c r="Y333" i="216"/>
  <c r="Y412" i="216" s="1"/>
  <c r="V333" i="216"/>
  <c r="V412" i="216" s="1"/>
  <c r="U333" i="216"/>
  <c r="S333" i="216"/>
  <c r="S412" i="216" s="1"/>
  <c r="Q333" i="216"/>
  <c r="Q412" i="216" s="1"/>
  <c r="O333" i="216"/>
  <c r="D333" i="216"/>
  <c r="EB332" i="216"/>
  <c r="EA332" i="216"/>
  <c r="EA411" i="216" s="1"/>
  <c r="DW332" i="216"/>
  <c r="DU332" i="216"/>
  <c r="DR332" i="216"/>
  <c r="DQ332" i="216"/>
  <c r="DQ411" i="216" s="1"/>
  <c r="DO332" i="216"/>
  <c r="DN332" i="216" s="1"/>
  <c r="DM332" i="216"/>
  <c r="DK332" i="216"/>
  <c r="DK411" i="216" s="1"/>
  <c r="DH332" i="216"/>
  <c r="DH411" i="216" s="1"/>
  <c r="DG332" i="216"/>
  <c r="DE332" i="216"/>
  <c r="DE411" i="216" s="1"/>
  <c r="DC332" i="216"/>
  <c r="DC411" i="216" s="1"/>
  <c r="DA332" i="216"/>
  <c r="CX332" i="216"/>
  <c r="CX411" i="216" s="1"/>
  <c r="CW332" i="216"/>
  <c r="CW411" i="216" s="1"/>
  <c r="CU332" i="216"/>
  <c r="CU411" i="216" s="1"/>
  <c r="CS332" i="216"/>
  <c r="CS411" i="216" s="1"/>
  <c r="CQ332" i="216"/>
  <c r="CV332" i="216" s="1"/>
  <c r="CN332" i="216"/>
  <c r="CM332" i="216"/>
  <c r="CM411" i="216" s="1"/>
  <c r="CK332" i="216"/>
  <c r="CK411" i="216" s="1"/>
  <c r="CI332" i="216"/>
  <c r="CG332" i="216"/>
  <c r="CG411" i="216" s="1"/>
  <c r="CD332" i="216"/>
  <c r="CA332" i="216"/>
  <c r="BY332" i="216"/>
  <c r="BY411" i="216" s="1"/>
  <c r="BW332" i="216"/>
  <c r="BW411" i="216" s="1"/>
  <c r="BT332" i="216"/>
  <c r="BT411" i="216" s="1"/>
  <c r="BS332" i="216"/>
  <c r="BO332" i="216"/>
  <c r="BO411" i="216" s="1"/>
  <c r="BJ332" i="216"/>
  <c r="BJ411" i="216" s="1"/>
  <c r="BI332" i="216"/>
  <c r="BI411" i="216" s="1"/>
  <c r="BH332" i="216"/>
  <c r="BG332" i="216"/>
  <c r="BG344" i="216" s="1"/>
  <c r="BE332" i="216"/>
  <c r="BE411" i="216" s="1"/>
  <c r="BC332" i="216"/>
  <c r="AZ332" i="216"/>
  <c r="AY332" i="216"/>
  <c r="AY411" i="216" s="1"/>
  <c r="AU332" i="216"/>
  <c r="AP332" i="216"/>
  <c r="AO332" i="216"/>
  <c r="AO411" i="216" s="1"/>
  <c r="AM332" i="216"/>
  <c r="AK332" i="216"/>
  <c r="AK411" i="216" s="1"/>
  <c r="AI332" i="216"/>
  <c r="AI411" i="216" s="1"/>
  <c r="AF332" i="216"/>
  <c r="AF411" i="216" s="1"/>
  <c r="AE332" i="216"/>
  <c r="AC332" i="216"/>
  <c r="AA332" i="216"/>
  <c r="AA411" i="216" s="1"/>
  <c r="Y332" i="216"/>
  <c r="Y411" i="216" s="1"/>
  <c r="V332" i="216"/>
  <c r="V411" i="216" s="1"/>
  <c r="U332" i="216"/>
  <c r="U411" i="216" s="1"/>
  <c r="S332" i="216"/>
  <c r="S411" i="216" s="1"/>
  <c r="Q332" i="216"/>
  <c r="O332" i="216"/>
  <c r="O411" i="216" s="1"/>
  <c r="D332" i="216"/>
  <c r="EZ331" i="216"/>
  <c r="EP331" i="216"/>
  <c r="EM331" i="216"/>
  <c r="EJ331" i="216"/>
  <c r="EH331" i="216"/>
  <c r="EF331" i="216"/>
  <c r="EC331" i="216"/>
  <c r="DZ331" i="216"/>
  <c r="DX331" i="216"/>
  <c r="DV331" i="216"/>
  <c r="DT331" i="216"/>
  <c r="DS331" i="216"/>
  <c r="DP331" i="216"/>
  <c r="DN331" i="216"/>
  <c r="DL331" i="216"/>
  <c r="DJ331" i="216"/>
  <c r="DI331" i="216"/>
  <c r="DF331" i="216"/>
  <c r="DD331" i="216"/>
  <c r="DB331" i="216"/>
  <c r="CZ331" i="216"/>
  <c r="CY331" i="216"/>
  <c r="CV331" i="216"/>
  <c r="CT331" i="216"/>
  <c r="CR331" i="216"/>
  <c r="CP331" i="216"/>
  <c r="CO331" i="216"/>
  <c r="CL331" i="216"/>
  <c r="CJ331" i="216"/>
  <c r="CH331" i="216"/>
  <c r="CF331" i="216"/>
  <c r="CE331" i="216"/>
  <c r="CB331" i="216"/>
  <c r="BZ331" i="216"/>
  <c r="BX331" i="216"/>
  <c r="BV331" i="216"/>
  <c r="BU331" i="216"/>
  <c r="BR331" i="216"/>
  <c r="BP331" i="216"/>
  <c r="BN331" i="216"/>
  <c r="BL331" i="216"/>
  <c r="BK331" i="216"/>
  <c r="BH331" i="216"/>
  <c r="BF331" i="216"/>
  <c r="BD331" i="216"/>
  <c r="BB331" i="216"/>
  <c r="BA331" i="216"/>
  <c r="AX331" i="216"/>
  <c r="AV331" i="216"/>
  <c r="AT331" i="216"/>
  <c r="AR331" i="216"/>
  <c r="AQ331" i="216"/>
  <c r="AN331" i="216"/>
  <c r="AL331" i="216"/>
  <c r="AJ331" i="216"/>
  <c r="AH331" i="216"/>
  <c r="AG331" i="216"/>
  <c r="AD331" i="216"/>
  <c r="AB331" i="216"/>
  <c r="Z331" i="216"/>
  <c r="W331" i="216"/>
  <c r="T331" i="216"/>
  <c r="R331" i="216"/>
  <c r="P331" i="216"/>
  <c r="EZ330" i="216"/>
  <c r="EP330" i="216"/>
  <c r="EM330" i="216"/>
  <c r="EJ330" i="216"/>
  <c r="EH330" i="216"/>
  <c r="EF330" i="216"/>
  <c r="EC330" i="216"/>
  <c r="DZ330" i="216"/>
  <c r="DX330" i="216"/>
  <c r="DV330" i="216"/>
  <c r="DT330" i="216"/>
  <c r="DS330" i="216"/>
  <c r="DP330" i="216"/>
  <c r="DN330" i="216"/>
  <c r="DL330" i="216"/>
  <c r="DJ330" i="216"/>
  <c r="DI330" i="216"/>
  <c r="DF330" i="216"/>
  <c r="DD330" i="216"/>
  <c r="DB330" i="216"/>
  <c r="CZ330" i="216"/>
  <c r="CY330" i="216"/>
  <c r="CV330" i="216"/>
  <c r="CT330" i="216"/>
  <c r="CR330" i="216"/>
  <c r="CP330" i="216"/>
  <c r="CO330" i="216"/>
  <c r="CL330" i="216"/>
  <c r="CJ330" i="216"/>
  <c r="CH330" i="216"/>
  <c r="CF330" i="216"/>
  <c r="CE330" i="216"/>
  <c r="CB330" i="216"/>
  <c r="BZ330" i="216"/>
  <c r="BX330" i="216"/>
  <c r="BV330" i="216"/>
  <c r="BU330" i="216"/>
  <c r="BR330" i="216"/>
  <c r="BP330" i="216"/>
  <c r="BN330" i="216"/>
  <c r="BL330" i="216"/>
  <c r="BK330" i="216"/>
  <c r="BH330" i="216"/>
  <c r="BF330" i="216"/>
  <c r="BD330" i="216"/>
  <c r="BB330" i="216"/>
  <c r="BA330" i="216"/>
  <c r="AX330" i="216"/>
  <c r="AV330" i="216"/>
  <c r="AT330" i="216"/>
  <c r="AR330" i="216"/>
  <c r="AQ330" i="216"/>
  <c r="AN330" i="216"/>
  <c r="AL330" i="216"/>
  <c r="AJ330" i="216"/>
  <c r="AH330" i="216"/>
  <c r="AG330" i="216"/>
  <c r="AD330" i="216"/>
  <c r="AB330" i="216"/>
  <c r="Z330" i="216"/>
  <c r="W330" i="216"/>
  <c r="T330" i="216"/>
  <c r="R330" i="216"/>
  <c r="P330" i="216"/>
  <c r="EZ329" i="216"/>
  <c r="EP329" i="216"/>
  <c r="EM329" i="216"/>
  <c r="EJ329" i="216"/>
  <c r="EH329" i="216"/>
  <c r="EF329" i="216"/>
  <c r="EC329" i="216"/>
  <c r="DZ329" i="216"/>
  <c r="DX329" i="216"/>
  <c r="DV329" i="216"/>
  <c r="DS329" i="216"/>
  <c r="DP329" i="216"/>
  <c r="DN329" i="216"/>
  <c r="DL329" i="216"/>
  <c r="DJ329" i="216"/>
  <c r="DI329" i="216"/>
  <c r="DF329" i="216"/>
  <c r="DD329" i="216"/>
  <c r="DB329" i="216"/>
  <c r="CZ329" i="216"/>
  <c r="CY329" i="216"/>
  <c r="CV329" i="216"/>
  <c r="CT329" i="216"/>
  <c r="CR329" i="216"/>
  <c r="CP329" i="216"/>
  <c r="CO329" i="216"/>
  <c r="CL329" i="216"/>
  <c r="CJ329" i="216"/>
  <c r="CH329" i="216"/>
  <c r="CF329" i="216"/>
  <c r="CE329" i="216"/>
  <c r="CB329" i="216"/>
  <c r="BZ329" i="216"/>
  <c r="BX329" i="216"/>
  <c r="BV329" i="216"/>
  <c r="BU329" i="216"/>
  <c r="BR329" i="216"/>
  <c r="BP329" i="216"/>
  <c r="BN329" i="216"/>
  <c r="BL329" i="216"/>
  <c r="BK329" i="216"/>
  <c r="BH329" i="216"/>
  <c r="BF329" i="216"/>
  <c r="BD329" i="216"/>
  <c r="BB329" i="216"/>
  <c r="BA329" i="216"/>
  <c r="AX329" i="216"/>
  <c r="AV329" i="216"/>
  <c r="AT329" i="216"/>
  <c r="AR329" i="216"/>
  <c r="AQ329" i="216"/>
  <c r="AN329" i="216"/>
  <c r="AL329" i="216"/>
  <c r="AJ329" i="216"/>
  <c r="AH329" i="216"/>
  <c r="AG329" i="216"/>
  <c r="AD329" i="216"/>
  <c r="AB329" i="216"/>
  <c r="Z329" i="216"/>
  <c r="W329" i="216"/>
  <c r="T329" i="216"/>
  <c r="R329" i="216"/>
  <c r="P329" i="216"/>
  <c r="EP327" i="216"/>
  <c r="EL327" i="216"/>
  <c r="EK327" i="216"/>
  <c r="EJ327" i="216"/>
  <c r="EI327" i="216"/>
  <c r="EG327" i="216"/>
  <c r="EE327" i="216"/>
  <c r="EM327" i="216" s="1"/>
  <c r="ED327" i="216"/>
  <c r="EC327" i="216"/>
  <c r="DZ327" i="216"/>
  <c r="DX327" i="216"/>
  <c r="DV327" i="216"/>
  <c r="DT327" i="216"/>
  <c r="DS327" i="216"/>
  <c r="DP327" i="216"/>
  <c r="DN327" i="216"/>
  <c r="DL327" i="216"/>
  <c r="DJ327" i="216"/>
  <c r="DI327" i="216"/>
  <c r="DF327" i="216"/>
  <c r="DD327" i="216"/>
  <c r="DB327" i="216"/>
  <c r="CZ327" i="216"/>
  <c r="CY327" i="216"/>
  <c r="CV327" i="216"/>
  <c r="CT327" i="216"/>
  <c r="CR327" i="216"/>
  <c r="CP327" i="216"/>
  <c r="CO327" i="216"/>
  <c r="CL327" i="216"/>
  <c r="CJ327" i="216"/>
  <c r="CH327" i="216"/>
  <c r="CF327" i="216"/>
  <c r="CE327" i="216"/>
  <c r="CB327" i="216"/>
  <c r="BZ327" i="216"/>
  <c r="BX327" i="216"/>
  <c r="BV327" i="216"/>
  <c r="BU327" i="216"/>
  <c r="BR327" i="216"/>
  <c r="BP327" i="216"/>
  <c r="BN327" i="216"/>
  <c r="BL327" i="216"/>
  <c r="BK327" i="216"/>
  <c r="BH327" i="216"/>
  <c r="BF327" i="216"/>
  <c r="BD327" i="216"/>
  <c r="BB327" i="216"/>
  <c r="BA327" i="216"/>
  <c r="AX327" i="216"/>
  <c r="AV327" i="216"/>
  <c r="AT327" i="216"/>
  <c r="AR327" i="216"/>
  <c r="AQ327" i="216"/>
  <c r="AN327" i="216"/>
  <c r="AL327" i="216"/>
  <c r="AJ327" i="216"/>
  <c r="AH327" i="216"/>
  <c r="AG327" i="216"/>
  <c r="AD327" i="216"/>
  <c r="AB327" i="216"/>
  <c r="Z327" i="216"/>
  <c r="X327" i="216"/>
  <c r="W327" i="216"/>
  <c r="T327" i="216"/>
  <c r="R327" i="216"/>
  <c r="P327" i="216"/>
  <c r="EB326" i="216"/>
  <c r="EA326" i="216"/>
  <c r="EP326" i="216" s="1"/>
  <c r="DY326" i="216"/>
  <c r="DW326" i="216"/>
  <c r="DR326" i="216"/>
  <c r="DQ326" i="216"/>
  <c r="DM326" i="216"/>
  <c r="DH326" i="216"/>
  <c r="DG326" i="216"/>
  <c r="DE326" i="216"/>
  <c r="DC326" i="216"/>
  <c r="DA326" i="216"/>
  <c r="DI326" i="216" s="1"/>
  <c r="CX326" i="216"/>
  <c r="CW326" i="216"/>
  <c r="CS326" i="216"/>
  <c r="CN326" i="216"/>
  <c r="CM326" i="216"/>
  <c r="CK326" i="216"/>
  <c r="CI326" i="216"/>
  <c r="CG326" i="216"/>
  <c r="CO326" i="216" s="1"/>
  <c r="CD326" i="216"/>
  <c r="CC326" i="216"/>
  <c r="BY326" i="216"/>
  <c r="BT326" i="216"/>
  <c r="BS326" i="216"/>
  <c r="BO326" i="216"/>
  <c r="BJ326" i="216"/>
  <c r="BI326" i="216"/>
  <c r="BG326" i="216"/>
  <c r="BE326" i="216"/>
  <c r="AZ326" i="216"/>
  <c r="AY326" i="216"/>
  <c r="AX326" i="216" s="1"/>
  <c r="AW326" i="216"/>
  <c r="AU326" i="216"/>
  <c r="AS326" i="216"/>
  <c r="AP326" i="216"/>
  <c r="AO326" i="216"/>
  <c r="AK326" i="216"/>
  <c r="AF326" i="216"/>
  <c r="AE326" i="216"/>
  <c r="AC326" i="216"/>
  <c r="AA326" i="216"/>
  <c r="Y326" i="216"/>
  <c r="AG326" i="216" s="1"/>
  <c r="V326" i="216"/>
  <c r="U326" i="216"/>
  <c r="S326" i="216"/>
  <c r="Q326" i="216"/>
  <c r="O326" i="216"/>
  <c r="D326" i="216"/>
  <c r="EB325" i="216"/>
  <c r="EA325" i="216"/>
  <c r="EP325" i="216" s="1"/>
  <c r="DY325" i="216"/>
  <c r="DW325" i="216"/>
  <c r="DU325" i="216"/>
  <c r="DR325" i="216"/>
  <c r="DQ325" i="216"/>
  <c r="DO325" i="216"/>
  <c r="DM325" i="216"/>
  <c r="DK325" i="216"/>
  <c r="DH325" i="216"/>
  <c r="DG325" i="216"/>
  <c r="DE325" i="216"/>
  <c r="DC325" i="216"/>
  <c r="DA325" i="216"/>
  <c r="CX325" i="216"/>
  <c r="CW325" i="216"/>
  <c r="CU325" i="216"/>
  <c r="CS325" i="216"/>
  <c r="CQ325" i="216"/>
  <c r="CN325" i="216"/>
  <c r="CM325" i="216"/>
  <c r="CK325" i="216"/>
  <c r="CI325" i="216"/>
  <c r="CG325" i="216"/>
  <c r="CD325" i="216"/>
  <c r="CC325" i="216"/>
  <c r="CA325" i="216"/>
  <c r="BY325" i="216"/>
  <c r="BW325" i="216"/>
  <c r="BT325" i="216"/>
  <c r="BS325" i="216"/>
  <c r="BO325" i="216"/>
  <c r="BM325" i="216"/>
  <c r="BJ325" i="216"/>
  <c r="BI325" i="216"/>
  <c r="BG325" i="216"/>
  <c r="BE325" i="216"/>
  <c r="BC325" i="216"/>
  <c r="AZ325" i="216"/>
  <c r="AY325" i="216"/>
  <c r="AW325" i="216"/>
  <c r="AU325" i="216"/>
  <c r="AS325" i="216"/>
  <c r="AP325" i="216"/>
  <c r="AO325" i="216"/>
  <c r="AM325" i="216"/>
  <c r="AK325" i="216"/>
  <c r="AI325" i="216"/>
  <c r="AF325" i="216"/>
  <c r="AE325" i="216"/>
  <c r="AC325" i="216"/>
  <c r="AA325" i="216"/>
  <c r="Y325" i="216"/>
  <c r="V325" i="216"/>
  <c r="U325" i="216"/>
  <c r="S325" i="216"/>
  <c r="Q325" i="216"/>
  <c r="O325" i="216"/>
  <c r="D325" i="216"/>
  <c r="EB324" i="216"/>
  <c r="EA324" i="216"/>
  <c r="DY324" i="216"/>
  <c r="DW324" i="216"/>
  <c r="DR324" i="216"/>
  <c r="DQ324" i="216"/>
  <c r="DO324" i="216"/>
  <c r="DN324" i="216" s="1"/>
  <c r="DM324" i="216"/>
  <c r="DL324" i="216" s="1"/>
  <c r="DK324" i="216"/>
  <c r="DH324" i="216"/>
  <c r="DG324" i="216"/>
  <c r="DE324" i="216"/>
  <c r="DC324" i="216"/>
  <c r="DA324" i="216"/>
  <c r="CX324" i="216"/>
  <c r="CW324" i="216"/>
  <c r="CU324" i="216"/>
  <c r="CS324" i="216"/>
  <c r="CQ324" i="216"/>
  <c r="CY324" i="216" s="1"/>
  <c r="CN324" i="216"/>
  <c r="CM324" i="216"/>
  <c r="CK324" i="216"/>
  <c r="CI324" i="216"/>
  <c r="CG324" i="216"/>
  <c r="CD324" i="216"/>
  <c r="CC324" i="216"/>
  <c r="CA324" i="216"/>
  <c r="BY324" i="216"/>
  <c r="BW324" i="216"/>
  <c r="BT324" i="216"/>
  <c r="BS324" i="216"/>
  <c r="BQ324" i="216"/>
  <c r="BO324" i="216"/>
  <c r="BM324" i="216"/>
  <c r="BJ324" i="216"/>
  <c r="BI324" i="216"/>
  <c r="BH324" i="216"/>
  <c r="BG324" i="216"/>
  <c r="BF324" i="216" s="1"/>
  <c r="BE324" i="216"/>
  <c r="BC324" i="216"/>
  <c r="BK324" i="216" s="1"/>
  <c r="AZ324" i="216"/>
  <c r="AY324" i="216"/>
  <c r="AW324" i="216"/>
  <c r="AU324" i="216"/>
  <c r="AS324" i="216"/>
  <c r="AP324" i="216"/>
  <c r="AO324" i="216"/>
  <c r="AN324" i="216" s="1"/>
  <c r="AM324" i="216"/>
  <c r="AK324" i="216"/>
  <c r="AJ324" i="216"/>
  <c r="AI324" i="216"/>
  <c r="AF324" i="216"/>
  <c r="AE324" i="216"/>
  <c r="AC324" i="216"/>
  <c r="AA324" i="216"/>
  <c r="Y324" i="216"/>
  <c r="V324" i="216"/>
  <c r="U324" i="216"/>
  <c r="T324" i="216" s="1"/>
  <c r="S324" i="216"/>
  <c r="Q324" i="216"/>
  <c r="O324" i="216"/>
  <c r="D324" i="216"/>
  <c r="EB323" i="216"/>
  <c r="EA323" i="216"/>
  <c r="EP323" i="216" s="1"/>
  <c r="DY323" i="216"/>
  <c r="DW323" i="216"/>
  <c r="DU323" i="216"/>
  <c r="DR323" i="216"/>
  <c r="DQ323" i="216"/>
  <c r="DO323" i="216"/>
  <c r="DM323" i="216"/>
  <c r="DK323" i="216"/>
  <c r="DH323" i="216"/>
  <c r="DG323" i="216"/>
  <c r="DE323" i="216"/>
  <c r="DC323" i="216"/>
  <c r="DA323" i="216"/>
  <c r="CX323" i="216"/>
  <c r="CW323" i="216"/>
  <c r="CU323" i="216"/>
  <c r="CS323" i="216"/>
  <c r="CQ323" i="216"/>
  <c r="CN323" i="216"/>
  <c r="CM323" i="216"/>
  <c r="CK323" i="216"/>
  <c r="CJ323" i="216" s="1"/>
  <c r="CI323" i="216"/>
  <c r="CG323" i="216"/>
  <c r="CD323" i="216"/>
  <c r="CC323" i="216"/>
  <c r="CA323" i="216"/>
  <c r="BY323" i="216"/>
  <c r="BT323" i="216"/>
  <c r="BS323" i="216"/>
  <c r="BQ323" i="216"/>
  <c r="BO323" i="216"/>
  <c r="BM323" i="216"/>
  <c r="BJ323" i="216"/>
  <c r="BI323" i="216"/>
  <c r="BG323" i="216"/>
  <c r="BE323" i="216"/>
  <c r="BC323" i="216"/>
  <c r="AZ323" i="216"/>
  <c r="AY323" i="216"/>
  <c r="AW323" i="216"/>
  <c r="AU323" i="216"/>
  <c r="AS323" i="216"/>
  <c r="AP323" i="216"/>
  <c r="AO323" i="216"/>
  <c r="AM323" i="216"/>
  <c r="AL323" i="216" s="1"/>
  <c r="AK323" i="216"/>
  <c r="AJ323" i="216" s="1"/>
  <c r="AI323" i="216"/>
  <c r="AF323" i="216"/>
  <c r="AE323" i="216"/>
  <c r="AA323" i="216"/>
  <c r="V323" i="216"/>
  <c r="U323" i="216"/>
  <c r="T323" i="216" s="1"/>
  <c r="S323" i="216"/>
  <c r="Q323" i="216"/>
  <c r="O323" i="216"/>
  <c r="D323" i="216"/>
  <c r="EB322" i="216"/>
  <c r="EA322" i="216"/>
  <c r="DY322" i="216"/>
  <c r="DW322" i="216"/>
  <c r="DU322" i="216"/>
  <c r="DV322" i="216" s="1"/>
  <c r="DR322" i="216"/>
  <c r="DQ322" i="216"/>
  <c r="DO322" i="216"/>
  <c r="DM322" i="216"/>
  <c r="DK322" i="216"/>
  <c r="DS322" i="216" s="1"/>
  <c r="DH322" i="216"/>
  <c r="DG322" i="216"/>
  <c r="DE322" i="216"/>
  <c r="DC322" i="216"/>
  <c r="DA322" i="216"/>
  <c r="CX322" i="216"/>
  <c r="CW322" i="216"/>
  <c r="CU322" i="216"/>
  <c r="CS322" i="216"/>
  <c r="CQ322" i="216"/>
  <c r="CY322" i="216" s="1"/>
  <c r="CN322" i="216"/>
  <c r="CM322" i="216"/>
  <c r="CK322" i="216"/>
  <c r="CI322" i="216"/>
  <c r="CH322" i="216"/>
  <c r="CG322" i="216"/>
  <c r="CO322" i="216" s="1"/>
  <c r="CD322" i="216"/>
  <c r="CC322" i="216"/>
  <c r="CB322" i="216" s="1"/>
  <c r="CA322" i="216"/>
  <c r="BZ322" i="216" s="1"/>
  <c r="BY322" i="216"/>
  <c r="BW322" i="216"/>
  <c r="CE322" i="216" s="1"/>
  <c r="BT322" i="216"/>
  <c r="BS322" i="216"/>
  <c r="BQ322" i="216"/>
  <c r="BO322" i="216"/>
  <c r="BM322" i="216"/>
  <c r="BJ322" i="216"/>
  <c r="BI322" i="216"/>
  <c r="BG322" i="216"/>
  <c r="BE322" i="216"/>
  <c r="BC322" i="216"/>
  <c r="BK322" i="216" s="1"/>
  <c r="AZ322" i="216"/>
  <c r="AY322" i="216"/>
  <c r="AW322" i="216"/>
  <c r="AV322" i="216" s="1"/>
  <c r="AU322" i="216"/>
  <c r="AT322" i="216" s="1"/>
  <c r="AS322" i="216"/>
  <c r="BA322" i="216" s="1"/>
  <c r="AP322" i="216"/>
  <c r="AO322" i="216"/>
  <c r="AM322" i="216"/>
  <c r="AL322" i="216" s="1"/>
  <c r="AK322" i="216"/>
  <c r="AI322" i="216"/>
  <c r="AQ322" i="216" s="1"/>
  <c r="AF322" i="216"/>
  <c r="AE322" i="216"/>
  <c r="AC322" i="216"/>
  <c r="AA322" i="216"/>
  <c r="Y322" i="216"/>
  <c r="V322" i="216"/>
  <c r="U322" i="216"/>
  <c r="S322" i="216"/>
  <c r="Q322" i="216"/>
  <c r="O322" i="216"/>
  <c r="EB321" i="216"/>
  <c r="EA321" i="216"/>
  <c r="DY321" i="216"/>
  <c r="DW321" i="216"/>
  <c r="DU321" i="216"/>
  <c r="DR321" i="216"/>
  <c r="DQ321" i="216"/>
  <c r="DO321" i="216"/>
  <c r="DM321" i="216"/>
  <c r="DK321" i="216"/>
  <c r="DH321" i="216"/>
  <c r="DG321" i="216"/>
  <c r="DE321" i="216"/>
  <c r="DC321" i="216"/>
  <c r="DA321" i="216"/>
  <c r="DI321" i="216" s="1"/>
  <c r="CX321" i="216"/>
  <c r="CW321" i="216"/>
  <c r="CU321" i="216"/>
  <c r="CS321" i="216"/>
  <c r="CQ321" i="216"/>
  <c r="CY321" i="216" s="1"/>
  <c r="CN321" i="216"/>
  <c r="CM321" i="216"/>
  <c r="CK321" i="216"/>
  <c r="CI321" i="216"/>
  <c r="CG321" i="216"/>
  <c r="CD321" i="216"/>
  <c r="CC321" i="216"/>
  <c r="CA321" i="216"/>
  <c r="BY321" i="216"/>
  <c r="BW321" i="216"/>
  <c r="BT321" i="216"/>
  <c r="BS321" i="216"/>
  <c r="BO321" i="216"/>
  <c r="BJ321" i="216"/>
  <c r="BI321" i="216"/>
  <c r="BG321" i="216"/>
  <c r="BE321" i="216"/>
  <c r="BC321" i="216"/>
  <c r="AZ321" i="216"/>
  <c r="AY321" i="216"/>
  <c r="AX321" i="216" s="1"/>
  <c r="AW321" i="216"/>
  <c r="AU321" i="216"/>
  <c r="AS321" i="216"/>
  <c r="AP321" i="216"/>
  <c r="AO321" i="216"/>
  <c r="AM321" i="216"/>
  <c r="AK321" i="216"/>
  <c r="AI321" i="216"/>
  <c r="AF321" i="216"/>
  <c r="AE321" i="216"/>
  <c r="AC321" i="216"/>
  <c r="AB321" i="216" s="1"/>
  <c r="AA321" i="216"/>
  <c r="Y321" i="216"/>
  <c r="V321" i="216"/>
  <c r="U321" i="216"/>
  <c r="Q321" i="216"/>
  <c r="O321" i="216"/>
  <c r="D321" i="216"/>
  <c r="EB320" i="216"/>
  <c r="EA320" i="216"/>
  <c r="EP320" i="216" s="1"/>
  <c r="DY320" i="216"/>
  <c r="DW320" i="216"/>
  <c r="DU320" i="216"/>
  <c r="DR320" i="216"/>
  <c r="DQ320" i="216"/>
  <c r="DO320" i="216"/>
  <c r="DM320" i="216"/>
  <c r="DK320" i="216"/>
  <c r="DP320" i="216" s="1"/>
  <c r="DH320" i="216"/>
  <c r="DG320" i="216"/>
  <c r="DE320" i="216"/>
  <c r="DD320" i="216" s="1"/>
  <c r="DC320" i="216"/>
  <c r="DB320" i="216" s="1"/>
  <c r="DA320" i="216"/>
  <c r="CX320" i="216"/>
  <c r="CW320" i="216"/>
  <c r="CU320" i="216"/>
  <c r="CS320" i="216"/>
  <c r="CQ320" i="216"/>
  <c r="CN320" i="216"/>
  <c r="CM320" i="216"/>
  <c r="CK320" i="216"/>
  <c r="CI320" i="216"/>
  <c r="CG320" i="216"/>
  <c r="CD320" i="216"/>
  <c r="CC320" i="216"/>
  <c r="CA320" i="216"/>
  <c r="BY320" i="216"/>
  <c r="BW320" i="216"/>
  <c r="BT320" i="216"/>
  <c r="BS320" i="216"/>
  <c r="BQ320" i="216"/>
  <c r="BO320" i="216"/>
  <c r="BJ320" i="216"/>
  <c r="BI320" i="216"/>
  <c r="BG320" i="216"/>
  <c r="BE320" i="216"/>
  <c r="BC320" i="216"/>
  <c r="AZ320" i="216"/>
  <c r="AY320" i="216"/>
  <c r="AW320" i="216"/>
  <c r="AU320" i="216"/>
  <c r="AS320" i="216"/>
  <c r="AP320" i="216"/>
  <c r="AO320" i="216"/>
  <c r="AM320" i="216"/>
  <c r="AK320" i="216"/>
  <c r="AI320" i="216"/>
  <c r="AF320" i="216"/>
  <c r="AE320" i="216"/>
  <c r="AC320" i="216"/>
  <c r="AA320" i="216"/>
  <c r="Y320" i="216"/>
  <c r="V320" i="216"/>
  <c r="U320" i="216"/>
  <c r="S320" i="216"/>
  <c r="Q320" i="216"/>
  <c r="O320" i="216"/>
  <c r="D320" i="216"/>
  <c r="EB319" i="216"/>
  <c r="EA319" i="216"/>
  <c r="DY319" i="216"/>
  <c r="DW319" i="216"/>
  <c r="DR319" i="216"/>
  <c r="DQ319" i="216"/>
  <c r="DM319" i="216"/>
  <c r="DH319" i="216"/>
  <c r="DG319" i="216"/>
  <c r="DF319" i="216" s="1"/>
  <c r="DE319" i="216"/>
  <c r="DC319" i="216"/>
  <c r="DA319" i="216"/>
  <c r="DI319" i="216" s="1"/>
  <c r="CX319" i="216"/>
  <c r="CW319" i="216"/>
  <c r="CU319" i="216"/>
  <c r="CS319" i="216"/>
  <c r="CQ319" i="216"/>
  <c r="CY319" i="216" s="1"/>
  <c r="CN319" i="216"/>
  <c r="CM319" i="216"/>
  <c r="CK319" i="216"/>
  <c r="CI319" i="216"/>
  <c r="CG319" i="216"/>
  <c r="CO319" i="216" s="1"/>
  <c r="CD319" i="216"/>
  <c r="CC319" i="216"/>
  <c r="CA319" i="216"/>
  <c r="BZ319" i="216" s="1"/>
  <c r="BY319" i="216"/>
  <c r="BX319" i="216" s="1"/>
  <c r="BW319" i="216"/>
  <c r="CE319" i="216" s="1"/>
  <c r="BT319" i="216"/>
  <c r="BS319" i="216"/>
  <c r="BQ319" i="216"/>
  <c r="BO319" i="216"/>
  <c r="BM319" i="216"/>
  <c r="BU319" i="216" s="1"/>
  <c r="BJ319" i="216"/>
  <c r="BI319" i="216"/>
  <c r="BG319" i="216"/>
  <c r="BE319" i="216"/>
  <c r="BC319" i="216"/>
  <c r="BK319" i="216" s="1"/>
  <c r="AZ319" i="216"/>
  <c r="AY319" i="216"/>
  <c r="AW319" i="216"/>
  <c r="AU319" i="216"/>
  <c r="AS319" i="216"/>
  <c r="BA319" i="216" s="1"/>
  <c r="AP319" i="216"/>
  <c r="AO319" i="216"/>
  <c r="AM319" i="216"/>
  <c r="AK319" i="216"/>
  <c r="AI319" i="216"/>
  <c r="AQ319" i="216" s="1"/>
  <c r="AF319" i="216"/>
  <c r="AE319" i="216"/>
  <c r="AC319" i="216"/>
  <c r="AA319" i="216"/>
  <c r="Y319" i="216"/>
  <c r="AG319" i="216" s="1"/>
  <c r="V319" i="216"/>
  <c r="U319" i="216"/>
  <c r="S319" i="216"/>
  <c r="Q319" i="216"/>
  <c r="O319" i="216"/>
  <c r="EB318" i="216"/>
  <c r="EA318" i="216"/>
  <c r="DY318" i="216"/>
  <c r="DW318" i="216"/>
  <c r="DR318" i="216"/>
  <c r="DQ318" i="216"/>
  <c r="DP318" i="216" s="1"/>
  <c r="DO318" i="216"/>
  <c r="DN318" i="216" s="1"/>
  <c r="DM318" i="216"/>
  <c r="DK318" i="216"/>
  <c r="DS318" i="216" s="1"/>
  <c r="DH318" i="216"/>
  <c r="DG318" i="216"/>
  <c r="DC318" i="216"/>
  <c r="DA318" i="216"/>
  <c r="CX318" i="216"/>
  <c r="CW318" i="216"/>
  <c r="CV318" i="216" s="1"/>
  <c r="CU318" i="216"/>
  <c r="CS318" i="216"/>
  <c r="CR318" i="216" s="1"/>
  <c r="CQ318" i="216"/>
  <c r="CN318" i="216"/>
  <c r="CM318" i="216"/>
  <c r="CK318" i="216"/>
  <c r="CI318" i="216"/>
  <c r="CG318" i="216"/>
  <c r="CD318" i="216"/>
  <c r="CC318" i="216"/>
  <c r="CA318" i="216"/>
  <c r="BY318" i="216"/>
  <c r="BW318" i="216"/>
  <c r="BT318" i="216"/>
  <c r="BS318" i="216"/>
  <c r="BO318" i="216"/>
  <c r="BJ318" i="216"/>
  <c r="BI318" i="216"/>
  <c r="BG318" i="216"/>
  <c r="BE318" i="216"/>
  <c r="BD318" i="216" s="1"/>
  <c r="BC318" i="216"/>
  <c r="AZ318" i="216"/>
  <c r="AY318" i="216"/>
  <c r="AU318" i="216"/>
  <c r="AS318" i="216"/>
  <c r="AP318" i="216"/>
  <c r="AO318" i="216"/>
  <c r="AM318" i="216"/>
  <c r="AK318" i="216"/>
  <c r="AI318" i="216"/>
  <c r="AQ318" i="216" s="1"/>
  <c r="AF318" i="216"/>
  <c r="AE318" i="216"/>
  <c r="AC318" i="216"/>
  <c r="AA318" i="216"/>
  <c r="Y318" i="216"/>
  <c r="V318" i="216"/>
  <c r="U318" i="216"/>
  <c r="S318" i="216"/>
  <c r="Q318" i="216"/>
  <c r="P318" i="216" s="1"/>
  <c r="O318" i="216"/>
  <c r="D318" i="216"/>
  <c r="EB317" i="216"/>
  <c r="EA317" i="216"/>
  <c r="DY317" i="216"/>
  <c r="DW317" i="216"/>
  <c r="DU317" i="216"/>
  <c r="DR317" i="216"/>
  <c r="DQ317" i="216"/>
  <c r="DO317" i="216"/>
  <c r="DM317" i="216"/>
  <c r="DK317" i="216"/>
  <c r="DH317" i="216"/>
  <c r="DG317" i="216"/>
  <c r="DF317" i="216" s="1"/>
  <c r="DE317" i="216"/>
  <c r="DC317" i="216"/>
  <c r="DA317" i="216"/>
  <c r="CX317" i="216"/>
  <c r="CW317" i="216"/>
  <c r="CU317" i="216"/>
  <c r="CS317" i="216"/>
  <c r="CQ317" i="216"/>
  <c r="CN317" i="216"/>
  <c r="CM317" i="216"/>
  <c r="CK317" i="216"/>
  <c r="CI317" i="216"/>
  <c r="CG317" i="216"/>
  <c r="CD317" i="216"/>
  <c r="CC317" i="216"/>
  <c r="CA317" i="216"/>
  <c r="BY317" i="216"/>
  <c r="BT317" i="216"/>
  <c r="BS317" i="216"/>
  <c r="BO317" i="216"/>
  <c r="BJ317" i="216"/>
  <c r="BI317" i="216"/>
  <c r="BG317" i="216"/>
  <c r="BE317" i="216"/>
  <c r="BC317" i="216"/>
  <c r="AZ317" i="216"/>
  <c r="AY317" i="216"/>
  <c r="AW317" i="216"/>
  <c r="AU317" i="216"/>
  <c r="AS317" i="216"/>
  <c r="AP317" i="216"/>
  <c r="AO317" i="216"/>
  <c r="AN317" i="216" s="1"/>
  <c r="AM317" i="216"/>
  <c r="AK317" i="216"/>
  <c r="AI317" i="216"/>
  <c r="AF317" i="216"/>
  <c r="AE317" i="216"/>
  <c r="AD317" i="216" s="1"/>
  <c r="AC317" i="216"/>
  <c r="AA317" i="216"/>
  <c r="Y317" i="216"/>
  <c r="V317" i="216"/>
  <c r="U317" i="216"/>
  <c r="S317" i="216"/>
  <c r="Q317" i="216"/>
  <c r="O317" i="216"/>
  <c r="D317" i="216"/>
  <c r="EB316" i="216"/>
  <c r="EA316" i="216"/>
  <c r="EP316" i="216" s="1"/>
  <c r="DY316" i="216"/>
  <c r="DW316" i="216"/>
  <c r="DR316" i="216"/>
  <c r="DQ316" i="216"/>
  <c r="DO316" i="216"/>
  <c r="DM316" i="216"/>
  <c r="DK316" i="216"/>
  <c r="DH316" i="216"/>
  <c r="DG316" i="216"/>
  <c r="DF316" i="216" s="1"/>
  <c r="DE316" i="216"/>
  <c r="DD316" i="216" s="1"/>
  <c r="DC316" i="216"/>
  <c r="DB316" i="216" s="1"/>
  <c r="DA316" i="216"/>
  <c r="CX316" i="216"/>
  <c r="CW316" i="216"/>
  <c r="CU316" i="216"/>
  <c r="CS316" i="216"/>
  <c r="CQ316" i="216"/>
  <c r="CT316" i="216" s="1"/>
  <c r="CN316" i="216"/>
  <c r="CM316" i="216"/>
  <c r="CK316" i="216"/>
  <c r="CI316" i="216"/>
  <c r="CG316" i="216"/>
  <c r="CD316" i="216"/>
  <c r="CC316" i="216"/>
  <c r="BY316" i="216"/>
  <c r="BT316" i="216"/>
  <c r="BS316" i="216"/>
  <c r="BO316" i="216"/>
  <c r="BM316" i="216"/>
  <c r="BJ316" i="216"/>
  <c r="BI316" i="216"/>
  <c r="BG316" i="216"/>
  <c r="BE316" i="216"/>
  <c r="BC316" i="216"/>
  <c r="BK316" i="216" s="1"/>
  <c r="AZ316" i="216"/>
  <c r="AY316" i="216"/>
  <c r="AW316" i="216"/>
  <c r="AU316" i="216"/>
  <c r="AS316" i="216"/>
  <c r="BA316" i="216" s="1"/>
  <c r="AP316" i="216"/>
  <c r="AO316" i="216"/>
  <c r="AM316" i="216"/>
  <c r="AK316" i="216"/>
  <c r="AI316" i="216"/>
  <c r="AF316" i="216"/>
  <c r="AE316" i="216"/>
  <c r="AC316" i="216"/>
  <c r="AA316" i="216"/>
  <c r="Z316" i="216" s="1"/>
  <c r="Y316" i="216"/>
  <c r="V316" i="216"/>
  <c r="U316" i="216"/>
  <c r="S316" i="216"/>
  <c r="R316" i="216" s="1"/>
  <c r="Q316" i="216"/>
  <c r="O316" i="216"/>
  <c r="D316" i="216"/>
  <c r="EB315" i="216"/>
  <c r="EA315" i="216"/>
  <c r="DY315" i="216"/>
  <c r="DW315" i="216"/>
  <c r="DU315" i="216"/>
  <c r="DR315" i="216"/>
  <c r="DQ315" i="216"/>
  <c r="DO315" i="216"/>
  <c r="DM315" i="216"/>
  <c r="DK315" i="216"/>
  <c r="DH315" i="216"/>
  <c r="DG315" i="216"/>
  <c r="DE315" i="216"/>
  <c r="DC315" i="216"/>
  <c r="DA315" i="216"/>
  <c r="CX315" i="216"/>
  <c r="CW315" i="216"/>
  <c r="CU315" i="216"/>
  <c r="CS315" i="216"/>
  <c r="CQ315" i="216"/>
  <c r="CN315" i="216"/>
  <c r="CM315" i="216"/>
  <c r="CI315" i="216"/>
  <c r="CD315" i="216"/>
  <c r="CC315" i="216"/>
  <c r="CA315" i="216"/>
  <c r="BY315" i="216"/>
  <c r="BW315" i="216"/>
  <c r="BT315" i="216"/>
  <c r="BS315" i="216"/>
  <c r="BQ315" i="216"/>
  <c r="BO315" i="216"/>
  <c r="BJ315" i="216"/>
  <c r="BI315" i="216"/>
  <c r="BG315" i="216"/>
  <c r="BF315" i="216" s="1"/>
  <c r="BE315" i="216"/>
  <c r="BC315" i="216"/>
  <c r="AZ315" i="216"/>
  <c r="AY315" i="216"/>
  <c r="AX315" i="216" s="1"/>
  <c r="AW315" i="216"/>
  <c r="AU315" i="216"/>
  <c r="AS315" i="216"/>
  <c r="AP315" i="216"/>
  <c r="AO315" i="216"/>
  <c r="AN315" i="216" s="1"/>
  <c r="AM315" i="216"/>
  <c r="AK315" i="216"/>
  <c r="AI315" i="216"/>
  <c r="AF315" i="216"/>
  <c r="AE315" i="216"/>
  <c r="AC315" i="216"/>
  <c r="AA315" i="216"/>
  <c r="Y315" i="216"/>
  <c r="V315" i="216"/>
  <c r="U315" i="216"/>
  <c r="S315" i="216"/>
  <c r="Q315" i="216"/>
  <c r="O315" i="216"/>
  <c r="D315" i="216"/>
  <c r="EB314" i="216"/>
  <c r="EA314" i="216"/>
  <c r="DW314" i="216"/>
  <c r="DR314" i="216"/>
  <c r="DQ314" i="216"/>
  <c r="DO314" i="216"/>
  <c r="DM314" i="216"/>
  <c r="DK314" i="216"/>
  <c r="DH314" i="216"/>
  <c r="DG314" i="216"/>
  <c r="DE314" i="216"/>
  <c r="DC314" i="216"/>
  <c r="DA314" i="216"/>
  <c r="DD314" i="216" s="1"/>
  <c r="CX314" i="216"/>
  <c r="CW314" i="216"/>
  <c r="CU314" i="216"/>
  <c r="CS314" i="216"/>
  <c r="CQ314" i="216"/>
  <c r="CY314" i="216" s="1"/>
  <c r="CN314" i="216"/>
  <c r="CM314" i="216"/>
  <c r="CL314" i="216" s="1"/>
  <c r="CK314" i="216"/>
  <c r="CI314" i="216"/>
  <c r="CG314" i="216"/>
  <c r="CD314" i="216"/>
  <c r="CC314" i="216"/>
  <c r="CA314" i="216"/>
  <c r="BY314" i="216"/>
  <c r="BW314" i="216"/>
  <c r="BT314" i="216"/>
  <c r="BS314" i="216"/>
  <c r="BQ314" i="216"/>
  <c r="BO314" i="216"/>
  <c r="BJ314" i="216"/>
  <c r="BI314" i="216"/>
  <c r="BG314" i="216"/>
  <c r="BE314" i="216"/>
  <c r="BC314" i="216"/>
  <c r="BK314" i="216" s="1"/>
  <c r="AZ314" i="216"/>
  <c r="AY314" i="216"/>
  <c r="AW314" i="216"/>
  <c r="AU314" i="216"/>
  <c r="AS314" i="216"/>
  <c r="AP314" i="216"/>
  <c r="AO314" i="216"/>
  <c r="AM314" i="216"/>
  <c r="AK314" i="216"/>
  <c r="AI314" i="216"/>
  <c r="AF314" i="216"/>
  <c r="AE314" i="216"/>
  <c r="AC314" i="216"/>
  <c r="AA314" i="216"/>
  <c r="Y314" i="216"/>
  <c r="V314" i="216"/>
  <c r="U314" i="216"/>
  <c r="S314" i="216"/>
  <c r="Q314" i="216"/>
  <c r="O314" i="216"/>
  <c r="D314" i="216"/>
  <c r="EB313" i="216"/>
  <c r="EA313" i="216"/>
  <c r="EP313" i="216" s="1"/>
  <c r="DY313" i="216"/>
  <c r="DW313" i="216"/>
  <c r="DR313" i="216"/>
  <c r="DQ313" i="216"/>
  <c r="DO313" i="216"/>
  <c r="DM313" i="216"/>
  <c r="DK313" i="216"/>
  <c r="DH313" i="216"/>
  <c r="DG313" i="216"/>
  <c r="DE313" i="216"/>
  <c r="DD313" i="216" s="1"/>
  <c r="DC313" i="216"/>
  <c r="DA313" i="216"/>
  <c r="CX313" i="216"/>
  <c r="CW313" i="216"/>
  <c r="CU313" i="216"/>
  <c r="CS313" i="216"/>
  <c r="CQ313" i="216"/>
  <c r="CN313" i="216"/>
  <c r="CM313" i="216"/>
  <c r="CK313" i="216"/>
  <c r="CI313" i="216"/>
  <c r="CG313" i="216"/>
  <c r="CD313" i="216"/>
  <c r="CC313" i="216"/>
  <c r="CA313" i="216"/>
  <c r="BY313" i="216"/>
  <c r="BX313" i="216" s="1"/>
  <c r="BW313" i="216"/>
  <c r="BT313" i="216"/>
  <c r="BS313" i="216"/>
  <c r="BQ313" i="216"/>
  <c r="BO313" i="216"/>
  <c r="BM313" i="216"/>
  <c r="BJ313" i="216"/>
  <c r="BI313" i="216"/>
  <c r="BH313" i="216" s="1"/>
  <c r="BG313" i="216"/>
  <c r="BE313" i="216"/>
  <c r="BC313" i="216"/>
  <c r="AZ313" i="216"/>
  <c r="AY313" i="216"/>
  <c r="AW313" i="216"/>
  <c r="AU313" i="216"/>
  <c r="AS313" i="216"/>
  <c r="AP313" i="216"/>
  <c r="AO313" i="216"/>
  <c r="AM313" i="216"/>
  <c r="AK313" i="216"/>
  <c r="AI313" i="216"/>
  <c r="AF313" i="216"/>
  <c r="AE313" i="216"/>
  <c r="AC313" i="216"/>
  <c r="AA313" i="216"/>
  <c r="Y313" i="216"/>
  <c r="V313" i="216"/>
  <c r="U313" i="216"/>
  <c r="T313" i="216" s="1"/>
  <c r="Q313" i="216"/>
  <c r="O313" i="216"/>
  <c r="D313" i="216"/>
  <c r="EB312" i="216"/>
  <c r="EA312" i="216"/>
  <c r="EP312" i="216" s="1"/>
  <c r="DY312" i="216"/>
  <c r="DW312" i="216"/>
  <c r="DR312" i="216"/>
  <c r="DQ312" i="216"/>
  <c r="DO312" i="216"/>
  <c r="DM312" i="216"/>
  <c r="DK312" i="216"/>
  <c r="DN312" i="216" s="1"/>
  <c r="DH312" i="216"/>
  <c r="DG312" i="216"/>
  <c r="DE312" i="216"/>
  <c r="DC312" i="216"/>
  <c r="DA312" i="216"/>
  <c r="CX312" i="216"/>
  <c r="CW312" i="216"/>
  <c r="CU312" i="216"/>
  <c r="CS312" i="216"/>
  <c r="CQ312" i="216"/>
  <c r="CN312" i="216"/>
  <c r="CM312" i="216"/>
  <c r="CK312" i="216"/>
  <c r="CI312" i="216"/>
  <c r="CG312" i="216"/>
  <c r="CD312" i="216"/>
  <c r="CC312" i="216"/>
  <c r="CB312" i="216" s="1"/>
  <c r="CA312" i="216"/>
  <c r="BZ312" i="216" s="1"/>
  <c r="BY312" i="216"/>
  <c r="BW312" i="216"/>
  <c r="BT312" i="216"/>
  <c r="BS312" i="216"/>
  <c r="BQ312" i="216"/>
  <c r="BO312" i="216"/>
  <c r="BJ312" i="216"/>
  <c r="BI312" i="216"/>
  <c r="BG312" i="216"/>
  <c r="BF312" i="216" s="1"/>
  <c r="BE312" i="216"/>
  <c r="BC312" i="216"/>
  <c r="AZ312" i="216"/>
  <c r="AY312" i="216"/>
  <c r="AW312" i="216"/>
  <c r="AU312" i="216"/>
  <c r="AS312" i="216"/>
  <c r="AP312" i="216"/>
  <c r="AO312" i="216"/>
  <c r="AM312" i="216"/>
  <c r="AK312" i="216"/>
  <c r="AI312" i="216"/>
  <c r="AL312" i="216" s="1"/>
  <c r="AF312" i="216"/>
  <c r="AE312" i="216"/>
  <c r="AD312" i="216" s="1"/>
  <c r="AC312" i="216"/>
  <c r="AA312" i="216"/>
  <c r="Y312" i="216"/>
  <c r="AG312" i="216" s="1"/>
  <c r="V312" i="216"/>
  <c r="U312" i="216"/>
  <c r="S312" i="216"/>
  <c r="Q312" i="216"/>
  <c r="O312" i="216"/>
  <c r="D312" i="216"/>
  <c r="EB311" i="216"/>
  <c r="EA311" i="216"/>
  <c r="DY311" i="216"/>
  <c r="DW311" i="216"/>
  <c r="DU311" i="216"/>
  <c r="DR311" i="216"/>
  <c r="DQ311" i="216"/>
  <c r="DO311" i="216"/>
  <c r="DM311" i="216"/>
  <c r="DK311" i="216"/>
  <c r="DH311" i="216"/>
  <c r="DG311" i="216"/>
  <c r="DF311" i="216" s="1"/>
  <c r="DE311" i="216"/>
  <c r="DC311" i="216"/>
  <c r="DA311" i="216"/>
  <c r="CX311" i="216"/>
  <c r="CW311" i="216"/>
  <c r="CU311" i="216"/>
  <c r="CS311" i="216"/>
  <c r="CQ311" i="216"/>
  <c r="CN311" i="216"/>
  <c r="CM311" i="216"/>
  <c r="CK311" i="216"/>
  <c r="CI311" i="216"/>
  <c r="CG311" i="216"/>
  <c r="CD311" i="216"/>
  <c r="CC311" i="216"/>
  <c r="BY311" i="216"/>
  <c r="BT311" i="216"/>
  <c r="BS311" i="216"/>
  <c r="BO311" i="216"/>
  <c r="BJ311" i="216"/>
  <c r="BI311" i="216"/>
  <c r="BG311" i="216"/>
  <c r="BE311" i="216"/>
  <c r="BC311" i="216"/>
  <c r="AZ311" i="216"/>
  <c r="AY311" i="216"/>
  <c r="AW311" i="216"/>
  <c r="AU311" i="216"/>
  <c r="AS311" i="216"/>
  <c r="AP311" i="216"/>
  <c r="AO311" i="216"/>
  <c r="AM311" i="216"/>
  <c r="AL311" i="216" s="1"/>
  <c r="AK311" i="216"/>
  <c r="AI311" i="216"/>
  <c r="AF311" i="216"/>
  <c r="AE311" i="216"/>
  <c r="AC311" i="216"/>
  <c r="AA311" i="216"/>
  <c r="Y311" i="216"/>
  <c r="AD311" i="216" s="1"/>
  <c r="V311" i="216"/>
  <c r="U311" i="216"/>
  <c r="T311" i="216" s="1"/>
  <c r="S311" i="216"/>
  <c r="Q311" i="216"/>
  <c r="O311" i="216"/>
  <c r="D311" i="216"/>
  <c r="EB310" i="216"/>
  <c r="EA310" i="216"/>
  <c r="DY310" i="216"/>
  <c r="DW310" i="216"/>
  <c r="DR310" i="216"/>
  <c r="DQ310" i="216"/>
  <c r="DO310" i="216"/>
  <c r="DM310" i="216"/>
  <c r="DK310" i="216"/>
  <c r="DH310" i="216"/>
  <c r="DG310" i="216"/>
  <c r="DE310" i="216"/>
  <c r="DC310" i="216"/>
  <c r="DA310" i="216"/>
  <c r="CX310" i="216"/>
  <c r="CW310" i="216"/>
  <c r="CU310" i="216"/>
  <c r="CS310" i="216"/>
  <c r="CQ310" i="216"/>
  <c r="CN310" i="216"/>
  <c r="CM310" i="216"/>
  <c r="CK310" i="216"/>
  <c r="CI310" i="216"/>
  <c r="CG310" i="216"/>
  <c r="CO310" i="216" s="1"/>
  <c r="CD310" i="216"/>
  <c r="CC310" i="216"/>
  <c r="CA310" i="216"/>
  <c r="BY310" i="216"/>
  <c r="BW310" i="216"/>
  <c r="CE310" i="216" s="1"/>
  <c r="BT310" i="216"/>
  <c r="BS310" i="216"/>
  <c r="BQ310" i="216"/>
  <c r="BP310" i="216" s="1"/>
  <c r="BO310" i="216"/>
  <c r="BM310" i="216"/>
  <c r="BJ310" i="216"/>
  <c r="BI310" i="216"/>
  <c r="BG310" i="216"/>
  <c r="BE310" i="216"/>
  <c r="BC310" i="216"/>
  <c r="AZ310" i="216"/>
  <c r="AY310" i="216"/>
  <c r="AW310" i="216"/>
  <c r="AV310" i="216"/>
  <c r="AU310" i="216"/>
  <c r="AS310" i="216"/>
  <c r="AP310" i="216"/>
  <c r="AO310" i="216"/>
  <c r="AM310" i="216"/>
  <c r="AK310" i="216"/>
  <c r="AI310" i="216"/>
  <c r="AF310" i="216"/>
  <c r="AE310" i="216"/>
  <c r="AD310" i="216" s="1"/>
  <c r="AC310" i="216"/>
  <c r="AB310" i="216" s="1"/>
  <c r="AA310" i="216"/>
  <c r="Y310" i="216"/>
  <c r="V310" i="216"/>
  <c r="U310" i="216"/>
  <c r="Q310" i="216"/>
  <c r="O310" i="216"/>
  <c r="D310" i="216"/>
  <c r="EB309" i="216"/>
  <c r="EA309" i="216"/>
  <c r="DY309" i="216"/>
  <c r="DW309" i="216"/>
  <c r="DU309" i="216"/>
  <c r="DR309" i="216"/>
  <c r="DQ309" i="216"/>
  <c r="DP309" i="216" s="1"/>
  <c r="DO309" i="216"/>
  <c r="DM309" i="216"/>
  <c r="DK309" i="216"/>
  <c r="DH309" i="216"/>
  <c r="DG309" i="216"/>
  <c r="DE309" i="216"/>
  <c r="DC309" i="216"/>
  <c r="DA309" i="216"/>
  <c r="CX309" i="216"/>
  <c r="CW309" i="216"/>
  <c r="CU309" i="216"/>
  <c r="CS309" i="216"/>
  <c r="CQ309" i="216"/>
  <c r="CN309" i="216"/>
  <c r="CM309" i="216"/>
  <c r="CK309" i="216"/>
  <c r="CI309" i="216"/>
  <c r="CG309" i="216"/>
  <c r="CD309" i="216"/>
  <c r="CC309" i="216"/>
  <c r="CA309" i="216"/>
  <c r="BY309" i="216"/>
  <c r="BW309" i="216"/>
  <c r="CB309" i="216" s="1"/>
  <c r="BT309" i="216"/>
  <c r="BS309" i="216"/>
  <c r="BR309" i="216" s="1"/>
  <c r="BQ309" i="216"/>
  <c r="BO309" i="216"/>
  <c r="BM309" i="216"/>
  <c r="BJ309" i="216"/>
  <c r="BI309" i="216"/>
  <c r="BG309" i="216"/>
  <c r="BE309" i="216"/>
  <c r="BD309" i="216" s="1"/>
  <c r="BC309" i="216"/>
  <c r="AZ309" i="216"/>
  <c r="AY309" i="216"/>
  <c r="AW309" i="216"/>
  <c r="AU309" i="216"/>
  <c r="AS309" i="216"/>
  <c r="AP309" i="216"/>
  <c r="AO309" i="216"/>
  <c r="AM309" i="216"/>
  <c r="AK309" i="216"/>
  <c r="AI309" i="216"/>
  <c r="AF309" i="216"/>
  <c r="AE309" i="216"/>
  <c r="AC309" i="216"/>
  <c r="AA309" i="216"/>
  <c r="Y309" i="216"/>
  <c r="AB309" i="216" s="1"/>
  <c r="V309" i="216"/>
  <c r="U309" i="216"/>
  <c r="S309" i="216"/>
  <c r="Q309" i="216"/>
  <c r="P309" i="216" s="1"/>
  <c r="O309" i="216"/>
  <c r="D309" i="216"/>
  <c r="EB308" i="216"/>
  <c r="EA308" i="216"/>
  <c r="EP308" i="216" s="1"/>
  <c r="DY308" i="216"/>
  <c r="DW308" i="216"/>
  <c r="DR308" i="216"/>
  <c r="DQ308" i="216"/>
  <c r="DO308" i="216"/>
  <c r="DM308" i="216"/>
  <c r="DK308" i="216"/>
  <c r="DH308" i="216"/>
  <c r="DG308" i="216"/>
  <c r="DE308" i="216"/>
  <c r="DC308" i="216"/>
  <c r="DA308" i="216"/>
  <c r="CX308" i="216"/>
  <c r="CW308" i="216"/>
  <c r="CU308" i="216"/>
  <c r="CT308" i="216"/>
  <c r="CS308" i="216"/>
  <c r="CQ308" i="216"/>
  <c r="CN308" i="216"/>
  <c r="CM308" i="216"/>
  <c r="CK308" i="216"/>
  <c r="CI308" i="216"/>
  <c r="CG308" i="216"/>
  <c r="CD308" i="216"/>
  <c r="CC308" i="216"/>
  <c r="CA308" i="216"/>
  <c r="BY308" i="216"/>
  <c r="BW308" i="216"/>
  <c r="BT308" i="216"/>
  <c r="BS308" i="216"/>
  <c r="BQ308" i="216"/>
  <c r="BO308" i="216"/>
  <c r="BJ308" i="216"/>
  <c r="BI308" i="216"/>
  <c r="BG308" i="216"/>
  <c r="BF308" i="216" s="1"/>
  <c r="BE308" i="216"/>
  <c r="BC308" i="216"/>
  <c r="AZ308" i="216"/>
  <c r="AY308" i="216"/>
  <c r="AW308" i="216"/>
  <c r="AU308" i="216"/>
  <c r="AS308" i="216"/>
  <c r="AP308" i="216"/>
  <c r="AO308" i="216"/>
  <c r="AM308" i="216"/>
  <c r="AK308" i="216"/>
  <c r="AI308" i="216"/>
  <c r="AF308" i="216"/>
  <c r="AE308" i="216"/>
  <c r="AC308" i="216"/>
  <c r="AA308" i="216"/>
  <c r="Y308" i="216"/>
  <c r="Z308" i="216" s="1"/>
  <c r="V308" i="216"/>
  <c r="U308" i="216"/>
  <c r="S308" i="216"/>
  <c r="R308" i="216" s="1"/>
  <c r="Q308" i="216"/>
  <c r="O308" i="216"/>
  <c r="D308" i="216"/>
  <c r="EB307" i="216"/>
  <c r="EA307" i="216"/>
  <c r="DY307" i="216"/>
  <c r="DW307" i="216"/>
  <c r="DU307" i="216"/>
  <c r="DR307" i="216"/>
  <c r="DQ307" i="216"/>
  <c r="DM307" i="216"/>
  <c r="DH307" i="216"/>
  <c r="DG307" i="216"/>
  <c r="DE307" i="216"/>
  <c r="DC307" i="216"/>
  <c r="DA307" i="216"/>
  <c r="CX307" i="216"/>
  <c r="CW307" i="216"/>
  <c r="CU307" i="216"/>
  <c r="CS307" i="216"/>
  <c r="CQ307" i="216"/>
  <c r="CN307" i="216"/>
  <c r="CM307" i="216"/>
  <c r="CL307" i="216"/>
  <c r="CK307" i="216"/>
  <c r="CI307" i="216"/>
  <c r="CG307" i="216"/>
  <c r="CO307" i="216" s="1"/>
  <c r="CD307" i="216"/>
  <c r="CC307" i="216"/>
  <c r="CA307" i="216"/>
  <c r="BY307" i="216"/>
  <c r="BW307" i="216"/>
  <c r="BT307" i="216"/>
  <c r="BS307" i="216"/>
  <c r="BQ307" i="216"/>
  <c r="BO307" i="216"/>
  <c r="BM307" i="216"/>
  <c r="BR307" i="216" s="1"/>
  <c r="BJ307" i="216"/>
  <c r="BI307" i="216"/>
  <c r="BE307" i="216"/>
  <c r="BC307" i="216"/>
  <c r="AZ307" i="216"/>
  <c r="AY307" i="216"/>
  <c r="AW307" i="216"/>
  <c r="AU307" i="216"/>
  <c r="AS307" i="216"/>
  <c r="BA307" i="216" s="1"/>
  <c r="AP307" i="216"/>
  <c r="AO307" i="216"/>
  <c r="AN307" i="216" s="1"/>
  <c r="AM307" i="216"/>
  <c r="AL307" i="216" s="1"/>
  <c r="AK307" i="216"/>
  <c r="AI307" i="216"/>
  <c r="AF307" i="216"/>
  <c r="AE307" i="216"/>
  <c r="AC307" i="216"/>
  <c r="AA307" i="216"/>
  <c r="Y307" i="216"/>
  <c r="V307" i="216"/>
  <c r="U307" i="216"/>
  <c r="S307" i="216"/>
  <c r="Q307" i="216"/>
  <c r="O307" i="216"/>
  <c r="D307" i="216"/>
  <c r="EB306" i="216"/>
  <c r="EA306" i="216"/>
  <c r="DY306" i="216"/>
  <c r="DW306" i="216"/>
  <c r="DU306" i="216"/>
  <c r="DR306" i="216"/>
  <c r="DQ306" i="216"/>
  <c r="DM306" i="216"/>
  <c r="DH306" i="216"/>
  <c r="DG306" i="216"/>
  <c r="DF306" i="216" s="1"/>
  <c r="DE306" i="216"/>
  <c r="DD306" i="216" s="1"/>
  <c r="DC306" i="216"/>
  <c r="DA306" i="216"/>
  <c r="CX306" i="216"/>
  <c r="CW306" i="216"/>
  <c r="CU306" i="216"/>
  <c r="CS306" i="216"/>
  <c r="CQ306" i="216"/>
  <c r="CN306" i="216"/>
  <c r="CM306" i="216"/>
  <c r="CK306" i="216"/>
  <c r="CI306" i="216"/>
  <c r="CG306" i="216"/>
  <c r="CD306" i="216"/>
  <c r="CC306" i="216"/>
  <c r="CA306" i="216"/>
  <c r="BY306" i="216"/>
  <c r="BX306" i="216" s="1"/>
  <c r="BW306" i="216"/>
  <c r="CE306" i="216" s="1"/>
  <c r="BT306" i="216"/>
  <c r="BS306" i="216"/>
  <c r="BQ306" i="216"/>
  <c r="BO306" i="216"/>
  <c r="BM306" i="216"/>
  <c r="BU306" i="216" s="1"/>
  <c r="BJ306" i="216"/>
  <c r="BI306" i="216"/>
  <c r="BG306" i="216"/>
  <c r="BE306" i="216"/>
  <c r="BC306" i="216"/>
  <c r="BK306" i="216" s="1"/>
  <c r="AZ306" i="216"/>
  <c r="AY306" i="216"/>
  <c r="AW306" i="216"/>
  <c r="AV306" i="216" s="1"/>
  <c r="AU306" i="216"/>
  <c r="AS306" i="216"/>
  <c r="BA306" i="216" s="1"/>
  <c r="AP306" i="216"/>
  <c r="AO306" i="216"/>
  <c r="AM306" i="216"/>
  <c r="AK306" i="216"/>
  <c r="AI306" i="216"/>
  <c r="AF306" i="216"/>
  <c r="AE306" i="216"/>
  <c r="AC306" i="216"/>
  <c r="AA306" i="216"/>
  <c r="Y306" i="216"/>
  <c r="AG306" i="216" s="1"/>
  <c r="V306" i="216"/>
  <c r="U306" i="216"/>
  <c r="T306" i="216" s="1"/>
  <c r="S306" i="216"/>
  <c r="Q306" i="216"/>
  <c r="O306" i="216"/>
  <c r="EB305" i="216"/>
  <c r="EA305" i="216"/>
  <c r="DY305" i="216"/>
  <c r="DW305" i="216"/>
  <c r="DU305" i="216"/>
  <c r="DR305" i="216"/>
  <c r="DQ305" i="216"/>
  <c r="DO305" i="216"/>
  <c r="DM305" i="216"/>
  <c r="DK305" i="216"/>
  <c r="DH305" i="216"/>
  <c r="DG305" i="216"/>
  <c r="DE305" i="216"/>
  <c r="DC305" i="216"/>
  <c r="DA305" i="216"/>
  <c r="CX305" i="216"/>
  <c r="CW305" i="216"/>
  <c r="CU305" i="216"/>
  <c r="CS305" i="216"/>
  <c r="CQ305" i="216"/>
  <c r="CN305" i="216"/>
  <c r="CM305" i="216"/>
  <c r="CK305" i="216"/>
  <c r="CI305" i="216"/>
  <c r="CG305" i="216"/>
  <c r="CD305" i="216"/>
  <c r="CC305" i="216"/>
  <c r="CA305" i="216"/>
  <c r="BY305" i="216"/>
  <c r="BW305" i="216"/>
  <c r="BT305" i="216"/>
  <c r="BS305" i="216"/>
  <c r="BQ305" i="216"/>
  <c r="BO305" i="216"/>
  <c r="BM305" i="216"/>
  <c r="BJ305" i="216"/>
  <c r="BI305" i="216"/>
  <c r="BG305" i="216"/>
  <c r="BE305" i="216"/>
  <c r="BD305" i="216" s="1"/>
  <c r="BC305" i="216"/>
  <c r="AZ305" i="216"/>
  <c r="AY305" i="216"/>
  <c r="AW305" i="216"/>
  <c r="AV305" i="216" s="1"/>
  <c r="AU305" i="216"/>
  <c r="AS305" i="216"/>
  <c r="AP305" i="216"/>
  <c r="AO305" i="216"/>
  <c r="AM305" i="216"/>
  <c r="AK305" i="216"/>
  <c r="AI305" i="216"/>
  <c r="AQ305" i="216" s="1"/>
  <c r="AF305" i="216"/>
  <c r="AE305" i="216"/>
  <c r="AC305" i="216"/>
  <c r="AA305" i="216"/>
  <c r="Y305" i="216"/>
  <c r="V305" i="216"/>
  <c r="U305" i="216"/>
  <c r="S305" i="216"/>
  <c r="Q305" i="216"/>
  <c r="P305" i="216" s="1"/>
  <c r="O305" i="216"/>
  <c r="D305" i="216"/>
  <c r="EB304" i="216"/>
  <c r="EA304" i="216"/>
  <c r="DY304" i="216"/>
  <c r="DW304" i="216"/>
  <c r="DR304" i="216"/>
  <c r="DQ304" i="216"/>
  <c r="DO304" i="216"/>
  <c r="DM304" i="216"/>
  <c r="DK304" i="216"/>
  <c r="DH304" i="216"/>
  <c r="DG304" i="216"/>
  <c r="DE304" i="216"/>
  <c r="DC304" i="216"/>
  <c r="DA304" i="216"/>
  <c r="CX304" i="216"/>
  <c r="CW304" i="216"/>
  <c r="CU304" i="216"/>
  <c r="CS304" i="216"/>
  <c r="CQ304" i="216"/>
  <c r="CN304" i="216"/>
  <c r="CM304" i="216"/>
  <c r="CK304" i="216"/>
  <c r="CI304" i="216"/>
  <c r="CG304" i="216"/>
  <c r="CD304" i="216"/>
  <c r="CC304" i="216"/>
  <c r="CA304" i="216"/>
  <c r="BY304" i="216"/>
  <c r="BX304" i="216" s="1"/>
  <c r="BW304" i="216"/>
  <c r="CE304" i="216" s="1"/>
  <c r="BT304" i="216"/>
  <c r="BS304" i="216"/>
  <c r="BQ304" i="216"/>
  <c r="BO304" i="216"/>
  <c r="BJ304" i="216"/>
  <c r="BI304" i="216"/>
  <c r="BG304" i="216"/>
  <c r="BE304" i="216"/>
  <c r="BC304" i="216"/>
  <c r="AZ304" i="216"/>
  <c r="AY304" i="216"/>
  <c r="AW304" i="216"/>
  <c r="AV304" i="216" s="1"/>
  <c r="AU304" i="216"/>
  <c r="AS304" i="216"/>
  <c r="AP304" i="216"/>
  <c r="AO304" i="216"/>
  <c r="AM304" i="216"/>
  <c r="AK304" i="216"/>
  <c r="AI304" i="216"/>
  <c r="AF304" i="216"/>
  <c r="AE304" i="216"/>
  <c r="AC304" i="216"/>
  <c r="AA304" i="216"/>
  <c r="Y304" i="216"/>
  <c r="V304" i="216"/>
  <c r="U304" i="216"/>
  <c r="S304" i="216"/>
  <c r="Q304" i="216"/>
  <c r="O304" i="216"/>
  <c r="D304" i="216"/>
  <c r="EB303" i="216"/>
  <c r="EA303" i="216"/>
  <c r="EP303" i="216" s="1"/>
  <c r="DY303" i="216"/>
  <c r="DW303" i="216"/>
  <c r="DU303" i="216"/>
  <c r="DR303" i="216"/>
  <c r="DQ303" i="216"/>
  <c r="DO303" i="216"/>
  <c r="DM303" i="216"/>
  <c r="DK303" i="216"/>
  <c r="DH303" i="216"/>
  <c r="DG303" i="216"/>
  <c r="DE303" i="216"/>
  <c r="DC303" i="216"/>
  <c r="DA303" i="216"/>
  <c r="CX303" i="216"/>
  <c r="CW303" i="216"/>
  <c r="CU303" i="216"/>
  <c r="CS303" i="216"/>
  <c r="CQ303" i="216"/>
  <c r="CN303" i="216"/>
  <c r="CM303" i="216"/>
  <c r="CK303" i="216"/>
  <c r="CI303" i="216"/>
  <c r="CG303" i="216"/>
  <c r="CD303" i="216"/>
  <c r="CC303" i="216"/>
  <c r="CA303" i="216"/>
  <c r="BY303" i="216"/>
  <c r="BW303" i="216"/>
  <c r="BT303" i="216"/>
  <c r="BS303" i="216"/>
  <c r="BO303" i="216"/>
  <c r="BJ303" i="216"/>
  <c r="BI303" i="216"/>
  <c r="BG303" i="216"/>
  <c r="BE303" i="216"/>
  <c r="BC303" i="216"/>
  <c r="BF303" i="216" s="1"/>
  <c r="AZ303" i="216"/>
  <c r="AY303" i="216"/>
  <c r="AW303" i="216"/>
  <c r="AU303" i="216"/>
  <c r="AS303" i="216"/>
  <c r="AP303" i="216"/>
  <c r="AO303" i="216"/>
  <c r="AN303" i="216" s="1"/>
  <c r="AM303" i="216"/>
  <c r="AL303" i="216" s="1"/>
  <c r="AK303" i="216"/>
  <c r="AI303" i="216"/>
  <c r="AF303" i="216"/>
  <c r="AE303" i="216"/>
  <c r="AC303" i="216"/>
  <c r="AA303" i="216"/>
  <c r="Y303" i="216"/>
  <c r="AG303" i="216" s="1"/>
  <c r="V303" i="216"/>
  <c r="U303" i="216"/>
  <c r="S303" i="216"/>
  <c r="Q303" i="216"/>
  <c r="O303" i="216"/>
  <c r="R303" i="216" s="1"/>
  <c r="D303" i="216"/>
  <c r="EB302" i="216"/>
  <c r="EA302" i="216"/>
  <c r="DY302" i="216"/>
  <c r="DW302" i="216"/>
  <c r="DR302" i="216"/>
  <c r="DQ302" i="216"/>
  <c r="DO302" i="216"/>
  <c r="DN302" i="216" s="1"/>
  <c r="DM302" i="216"/>
  <c r="DK302" i="216"/>
  <c r="DH302" i="216"/>
  <c r="DG302" i="216"/>
  <c r="DE302" i="216"/>
  <c r="DC302" i="216"/>
  <c r="DA302" i="216"/>
  <c r="CX302" i="216"/>
  <c r="CW302" i="216"/>
  <c r="CU302" i="216"/>
  <c r="CS302" i="216"/>
  <c r="CQ302" i="216"/>
  <c r="CN302" i="216"/>
  <c r="CM302" i="216"/>
  <c r="CL302" i="216" s="1"/>
  <c r="CK302" i="216"/>
  <c r="CI302" i="216"/>
  <c r="CG302" i="216"/>
  <c r="CD302" i="216"/>
  <c r="CC302" i="216"/>
  <c r="CB302" i="216" s="1"/>
  <c r="CA302" i="216"/>
  <c r="BY302" i="216"/>
  <c r="BW302" i="216"/>
  <c r="BT302" i="216"/>
  <c r="BS302" i="216"/>
  <c r="BQ302" i="216"/>
  <c r="BO302" i="216"/>
  <c r="BM302" i="216"/>
  <c r="BJ302" i="216"/>
  <c r="BI302" i="216"/>
  <c r="BG302" i="216"/>
  <c r="BE302" i="216"/>
  <c r="BC302" i="216"/>
  <c r="BD302" i="216" s="1"/>
  <c r="AZ302" i="216"/>
  <c r="AY302" i="216"/>
  <c r="AX302" i="216" s="1"/>
  <c r="AW302" i="216"/>
  <c r="AU302" i="216"/>
  <c r="AS302" i="216"/>
  <c r="BA302" i="216" s="1"/>
  <c r="AP302" i="216"/>
  <c r="AO302" i="216"/>
  <c r="AM302" i="216"/>
  <c r="AK302" i="216"/>
  <c r="AI302" i="216"/>
  <c r="AF302" i="216"/>
  <c r="AE302" i="216"/>
  <c r="AC302" i="216"/>
  <c r="AB302" i="216" s="1"/>
  <c r="AA302" i="216"/>
  <c r="Y302" i="216"/>
  <c r="V302" i="216"/>
  <c r="U302" i="216"/>
  <c r="S302" i="216"/>
  <c r="Q302" i="216"/>
  <c r="O302" i="216"/>
  <c r="D302" i="216"/>
  <c r="EB301" i="216"/>
  <c r="EA301" i="216"/>
  <c r="DW301" i="216"/>
  <c r="DU301" i="216"/>
  <c r="DR301" i="216"/>
  <c r="DQ301" i="216"/>
  <c r="DO301" i="216"/>
  <c r="DM301" i="216"/>
  <c r="DH301" i="216"/>
  <c r="DG301" i="216"/>
  <c r="DE301" i="216"/>
  <c r="DC301" i="216"/>
  <c r="DA301" i="216"/>
  <c r="CX301" i="216"/>
  <c r="CW301" i="216"/>
  <c r="CU301" i="216"/>
  <c r="CT301" i="216" s="1"/>
  <c r="CS301" i="216"/>
  <c r="CQ301" i="216"/>
  <c r="CN301" i="216"/>
  <c r="CM301" i="216"/>
  <c r="CK301" i="216"/>
  <c r="CI301" i="216"/>
  <c r="CG301" i="216"/>
  <c r="CD301" i="216"/>
  <c r="CC301" i="216"/>
  <c r="CA301" i="216"/>
  <c r="BY301" i="216"/>
  <c r="BX301" i="216" s="1"/>
  <c r="BW301" i="216"/>
  <c r="BT301" i="216"/>
  <c r="BS301" i="216"/>
  <c r="BQ301" i="216"/>
  <c r="BO301" i="216"/>
  <c r="BM301" i="216"/>
  <c r="BJ301" i="216"/>
  <c r="BI301" i="216"/>
  <c r="BG301" i="216"/>
  <c r="BE301" i="216"/>
  <c r="BC301" i="216"/>
  <c r="BK301" i="216" s="1"/>
  <c r="AZ301" i="216"/>
  <c r="AY301" i="216"/>
  <c r="AW301" i="216"/>
  <c r="AU301" i="216"/>
  <c r="AS301" i="216"/>
  <c r="AP301" i="216"/>
  <c r="AO301" i="216"/>
  <c r="AM301" i="216"/>
  <c r="AK301" i="216"/>
  <c r="AI301" i="216"/>
  <c r="AF301" i="216"/>
  <c r="AE301" i="216"/>
  <c r="AC301" i="216"/>
  <c r="AA301" i="216"/>
  <c r="Y301" i="216"/>
  <c r="V301" i="216"/>
  <c r="U301" i="216"/>
  <c r="S301" i="216"/>
  <c r="Q301" i="216"/>
  <c r="O301" i="216"/>
  <c r="D301" i="216"/>
  <c r="EB300" i="216"/>
  <c r="EA300" i="216"/>
  <c r="EP300" i="216" s="1"/>
  <c r="DY300" i="216"/>
  <c r="DW300" i="216"/>
  <c r="DR300" i="216"/>
  <c r="DQ300" i="216"/>
  <c r="DM300" i="216"/>
  <c r="DK300" i="216"/>
  <c r="DH300" i="216"/>
  <c r="DG300" i="216"/>
  <c r="DE300" i="216"/>
  <c r="DC300" i="216"/>
  <c r="DA300" i="216"/>
  <c r="CX300" i="216"/>
  <c r="CW300" i="216"/>
  <c r="CU300" i="216"/>
  <c r="CS300" i="216"/>
  <c r="CQ300" i="216"/>
  <c r="CN300" i="216"/>
  <c r="CM300" i="216"/>
  <c r="CL300" i="216" s="1"/>
  <c r="CK300" i="216"/>
  <c r="CI300" i="216"/>
  <c r="CG300" i="216"/>
  <c r="CD300" i="216"/>
  <c r="CC300" i="216"/>
  <c r="CA300" i="216"/>
  <c r="BY300" i="216"/>
  <c r="BW300" i="216"/>
  <c r="CE300" i="216" s="1"/>
  <c r="BT300" i="216"/>
  <c r="BS300" i="216"/>
  <c r="BQ300" i="216"/>
  <c r="BO300" i="216"/>
  <c r="BM300" i="216"/>
  <c r="BJ300" i="216"/>
  <c r="BI300" i="216"/>
  <c r="BE300" i="216"/>
  <c r="AZ300" i="216"/>
  <c r="AY300" i="216"/>
  <c r="AW300" i="216"/>
  <c r="AV300" i="216"/>
  <c r="AU300" i="216"/>
  <c r="AS300" i="216"/>
  <c r="AX300" i="216" s="1"/>
  <c r="AP300" i="216"/>
  <c r="AO300" i="216"/>
  <c r="AM300" i="216"/>
  <c r="AK300" i="216"/>
  <c r="AI300" i="216"/>
  <c r="AF300" i="216"/>
  <c r="AE300" i="216"/>
  <c r="AC300" i="216"/>
  <c r="AA300" i="216"/>
  <c r="Y300" i="216"/>
  <c r="V300" i="216"/>
  <c r="U300" i="216"/>
  <c r="S300" i="216"/>
  <c r="Q300" i="216"/>
  <c r="P300" i="216" s="1"/>
  <c r="O300" i="216"/>
  <c r="D300" i="216"/>
  <c r="EB299" i="216"/>
  <c r="EA299" i="216"/>
  <c r="EP299" i="216" s="1"/>
  <c r="DY299" i="216"/>
  <c r="DW299" i="216"/>
  <c r="DR299" i="216"/>
  <c r="DQ299" i="216"/>
  <c r="DO299" i="216"/>
  <c r="DM299" i="216"/>
  <c r="DK299" i="216"/>
  <c r="DS299" i="216" s="1"/>
  <c r="DH299" i="216"/>
  <c r="DG299" i="216"/>
  <c r="DE299" i="216"/>
  <c r="DC299" i="216"/>
  <c r="DA299" i="216"/>
  <c r="CX299" i="216"/>
  <c r="CW299" i="216"/>
  <c r="CS299" i="216"/>
  <c r="CN299" i="216"/>
  <c r="CM299" i="216"/>
  <c r="CK299" i="216"/>
  <c r="CI299" i="216"/>
  <c r="CG299" i="216"/>
  <c r="CO299" i="216" s="1"/>
  <c r="CD299" i="216"/>
  <c r="CC299" i="216"/>
  <c r="CA299" i="216"/>
  <c r="BZ299" i="216"/>
  <c r="BY299" i="216"/>
  <c r="BW299" i="216"/>
  <c r="BT299" i="216"/>
  <c r="BS299" i="216"/>
  <c r="BQ299" i="216"/>
  <c r="BO299" i="216"/>
  <c r="BM299" i="216"/>
  <c r="BR299" i="216" s="1"/>
  <c r="BJ299" i="216"/>
  <c r="BI299" i="216"/>
  <c r="BG299" i="216"/>
  <c r="BE299" i="216"/>
  <c r="BC299" i="216"/>
  <c r="AZ299" i="216"/>
  <c r="AY299" i="216"/>
  <c r="AW299" i="216"/>
  <c r="AU299" i="216"/>
  <c r="BB299" i="216" s="1"/>
  <c r="AS299" i="216"/>
  <c r="AP299" i="216"/>
  <c r="AO299" i="216"/>
  <c r="AM299" i="216"/>
  <c r="AK299" i="216"/>
  <c r="AI299" i="216"/>
  <c r="AF299" i="216"/>
  <c r="AE299" i="216"/>
  <c r="AD299" i="216" s="1"/>
  <c r="AC299" i="216"/>
  <c r="AB299" i="216" s="1"/>
  <c r="AA299" i="216"/>
  <c r="Y299" i="216"/>
  <c r="V299" i="216"/>
  <c r="U299" i="216"/>
  <c r="S299" i="216"/>
  <c r="Q299" i="216"/>
  <c r="O299" i="216"/>
  <c r="D299" i="216"/>
  <c r="EB298" i="216"/>
  <c r="EA298" i="216"/>
  <c r="EP298" i="216" s="1"/>
  <c r="DY298" i="216"/>
  <c r="DW298" i="216"/>
  <c r="DU298" i="216"/>
  <c r="DR298" i="216"/>
  <c r="DQ298" i="216"/>
  <c r="DO298" i="216"/>
  <c r="DM298" i="216"/>
  <c r="DK298" i="216"/>
  <c r="DH298" i="216"/>
  <c r="DG298" i="216"/>
  <c r="DF298" i="216"/>
  <c r="DE298" i="216"/>
  <c r="DC298" i="216"/>
  <c r="DA298" i="216"/>
  <c r="DI298" i="216" s="1"/>
  <c r="CX298" i="216"/>
  <c r="CW298" i="216"/>
  <c r="CU298" i="216"/>
  <c r="CS298" i="216"/>
  <c r="CQ298" i="216"/>
  <c r="CN298" i="216"/>
  <c r="CM298" i="216"/>
  <c r="CK298" i="216"/>
  <c r="CI298" i="216"/>
  <c r="CD298" i="216"/>
  <c r="CC298" i="216"/>
  <c r="CA298" i="216"/>
  <c r="BY298" i="216"/>
  <c r="BW298" i="216"/>
  <c r="BX298" i="216" s="1"/>
  <c r="BT298" i="216"/>
  <c r="BS298" i="216"/>
  <c r="BO298" i="216"/>
  <c r="BJ298" i="216"/>
  <c r="BI298" i="216"/>
  <c r="BG298" i="216"/>
  <c r="BE298" i="216"/>
  <c r="BC298" i="216"/>
  <c r="AZ298" i="216"/>
  <c r="AY298" i="216"/>
  <c r="AW298" i="216"/>
  <c r="AU298" i="216"/>
  <c r="AS298" i="216"/>
  <c r="BA298" i="216" s="1"/>
  <c r="AP298" i="216"/>
  <c r="AO298" i="216"/>
  <c r="AM298" i="216"/>
  <c r="AK298" i="216"/>
  <c r="AI298" i="216"/>
  <c r="AF298" i="216"/>
  <c r="AE298" i="216"/>
  <c r="AC298" i="216"/>
  <c r="AA298" i="216"/>
  <c r="Y298" i="216"/>
  <c r="Z298" i="216" s="1"/>
  <c r="V298" i="216"/>
  <c r="U298" i="216"/>
  <c r="S298" i="216"/>
  <c r="Q298" i="216"/>
  <c r="O298" i="216"/>
  <c r="D298" i="216"/>
  <c r="EB297" i="216"/>
  <c r="EA297" i="216"/>
  <c r="DY297" i="216"/>
  <c r="DX297" i="216" s="1"/>
  <c r="DW297" i="216"/>
  <c r="DU297" i="216"/>
  <c r="DR297" i="216"/>
  <c r="DQ297" i="216"/>
  <c r="DP297" i="216" s="1"/>
  <c r="DO297" i="216"/>
  <c r="DM297" i="216"/>
  <c r="DK297" i="216"/>
  <c r="DH297" i="216"/>
  <c r="DG297" i="216"/>
  <c r="DE297" i="216"/>
  <c r="DC297" i="216"/>
  <c r="DA297" i="216"/>
  <c r="CX297" i="216"/>
  <c r="CW297" i="216"/>
  <c r="CU297" i="216"/>
  <c r="CS297" i="216"/>
  <c r="CQ297" i="216"/>
  <c r="CY297" i="216" s="1"/>
  <c r="CN297" i="216"/>
  <c r="CM297" i="216"/>
  <c r="CK297" i="216"/>
  <c r="CI297" i="216"/>
  <c r="CG297" i="216"/>
  <c r="CD297" i="216"/>
  <c r="CC297" i="216"/>
  <c r="CA297" i="216"/>
  <c r="BY297" i="216"/>
  <c r="BW297" i="216"/>
  <c r="BT297" i="216"/>
  <c r="BS297" i="216"/>
  <c r="BR297" i="216" s="1"/>
  <c r="BQ297" i="216"/>
  <c r="BO297" i="216"/>
  <c r="BM297" i="216"/>
  <c r="BJ297" i="216"/>
  <c r="BI297" i="216"/>
  <c r="BG297" i="216"/>
  <c r="BE297" i="216"/>
  <c r="BC297" i="216"/>
  <c r="AZ297" i="216"/>
  <c r="AY297" i="216"/>
  <c r="AW297" i="216"/>
  <c r="AV297" i="216" s="1"/>
  <c r="AU297" i="216"/>
  <c r="AS297" i="216"/>
  <c r="AP297" i="216"/>
  <c r="AO297" i="216"/>
  <c r="AM297" i="216"/>
  <c r="AK297" i="216"/>
  <c r="AI297" i="216"/>
  <c r="AF297" i="216"/>
  <c r="AE297" i="216"/>
  <c r="AC297" i="216"/>
  <c r="AA297" i="216"/>
  <c r="Y297" i="216"/>
  <c r="V297" i="216"/>
  <c r="U297" i="216"/>
  <c r="S297" i="216"/>
  <c r="Q297" i="216"/>
  <c r="O297" i="216"/>
  <c r="D297" i="216"/>
  <c r="EB296" i="216"/>
  <c r="EA296" i="216"/>
  <c r="DY296" i="216"/>
  <c r="DW296" i="216"/>
  <c r="DU296" i="216"/>
  <c r="DR296" i="216"/>
  <c r="DQ296" i="216"/>
  <c r="DO296" i="216"/>
  <c r="DM296" i="216"/>
  <c r="DT296" i="216" s="1"/>
  <c r="DH296" i="216"/>
  <c r="DG296" i="216"/>
  <c r="DE296" i="216"/>
  <c r="DD296" i="216" s="1"/>
  <c r="DC296" i="216"/>
  <c r="DA296" i="216"/>
  <c r="DI296" i="216" s="1"/>
  <c r="CX296" i="216"/>
  <c r="CW296" i="216"/>
  <c r="CU296" i="216"/>
  <c r="CS296" i="216"/>
  <c r="CQ296" i="216"/>
  <c r="CY296" i="216" s="1"/>
  <c r="CN296" i="216"/>
  <c r="CM296" i="216"/>
  <c r="CK296" i="216"/>
  <c r="CI296" i="216"/>
  <c r="CG296" i="216"/>
  <c r="CD296" i="216"/>
  <c r="CC296" i="216"/>
  <c r="CA296" i="216"/>
  <c r="BY296" i="216"/>
  <c r="BX296" i="216" s="1"/>
  <c r="BW296" i="216"/>
  <c r="CE296" i="216" s="1"/>
  <c r="BT296" i="216"/>
  <c r="BS296" i="216"/>
  <c r="BQ296" i="216"/>
  <c r="BO296" i="216"/>
  <c r="BM296" i="216"/>
  <c r="BU296" i="216" s="1"/>
  <c r="BJ296" i="216"/>
  <c r="BI296" i="216"/>
  <c r="BG296" i="216"/>
  <c r="BE296" i="216"/>
  <c r="BC296" i="216"/>
  <c r="BK296" i="216" s="1"/>
  <c r="AZ296" i="216"/>
  <c r="AY296" i="216"/>
  <c r="AW296" i="216"/>
  <c r="AU296" i="216"/>
  <c r="AS296" i="216"/>
  <c r="AP296" i="216"/>
  <c r="AO296" i="216"/>
  <c r="AM296" i="216"/>
  <c r="AK296" i="216"/>
  <c r="AI296" i="216"/>
  <c r="AQ296" i="216" s="1"/>
  <c r="AF296" i="216"/>
  <c r="AE296" i="216"/>
  <c r="AD296" i="216" s="1"/>
  <c r="AC296" i="216"/>
  <c r="AB296" i="216" s="1"/>
  <c r="AA296" i="216"/>
  <c r="Y296" i="216"/>
  <c r="AG296" i="216" s="1"/>
  <c r="V296" i="216"/>
  <c r="U296" i="216"/>
  <c r="S296" i="216"/>
  <c r="Q296" i="216"/>
  <c r="O296" i="216"/>
  <c r="EP295" i="216"/>
  <c r="EB295" i="216"/>
  <c r="EA295" i="216"/>
  <c r="DW295" i="216"/>
  <c r="DU295" i="216"/>
  <c r="DR295" i="216"/>
  <c r="DQ295" i="216"/>
  <c r="DO295" i="216"/>
  <c r="DM295" i="216"/>
  <c r="DL295" i="216" s="1"/>
  <c r="DK295" i="216"/>
  <c r="DH295" i="216"/>
  <c r="DG295" i="216"/>
  <c r="DE295" i="216"/>
  <c r="DC295" i="216"/>
  <c r="DA295" i="216"/>
  <c r="CX295" i="216"/>
  <c r="CW295" i="216"/>
  <c r="CU295" i="216"/>
  <c r="CS295" i="216"/>
  <c r="CQ295" i="216"/>
  <c r="CY295" i="216" s="1"/>
  <c r="CN295" i="216"/>
  <c r="CM295" i="216"/>
  <c r="CK295" i="216"/>
  <c r="CI295" i="216"/>
  <c r="CG295" i="216"/>
  <c r="CD295" i="216"/>
  <c r="CC295" i="216"/>
  <c r="CA295" i="216"/>
  <c r="BY295" i="216"/>
  <c r="BW295" i="216"/>
  <c r="BT295" i="216"/>
  <c r="BS295" i="216"/>
  <c r="BQ295" i="216"/>
  <c r="BO295" i="216"/>
  <c r="BJ295" i="216"/>
  <c r="BI295" i="216"/>
  <c r="BH295" i="216" s="1"/>
  <c r="BG295" i="216"/>
  <c r="BE295" i="216"/>
  <c r="BD295" i="216" s="1"/>
  <c r="BC295" i="216"/>
  <c r="AZ295" i="216"/>
  <c r="AY295" i="216"/>
  <c r="AX295" i="216" s="1"/>
  <c r="AW295" i="216"/>
  <c r="AV295" i="216" s="1"/>
  <c r="AU295" i="216"/>
  <c r="AS295" i="216"/>
  <c r="BA295" i="216" s="1"/>
  <c r="AP295" i="216"/>
  <c r="AO295" i="216"/>
  <c r="AM295" i="216"/>
  <c r="AK295" i="216"/>
  <c r="AI295" i="216"/>
  <c r="AF295" i="216"/>
  <c r="AE295" i="216"/>
  <c r="AC295" i="216"/>
  <c r="AA295" i="216"/>
  <c r="Y295" i="216"/>
  <c r="V295" i="216"/>
  <c r="U295" i="216"/>
  <c r="S295" i="216"/>
  <c r="Q295" i="216"/>
  <c r="O295" i="216"/>
  <c r="D295" i="216"/>
  <c r="EB294" i="216"/>
  <c r="EA294" i="216"/>
  <c r="DY294" i="216"/>
  <c r="DW294" i="216"/>
  <c r="DU294" i="216"/>
  <c r="DR294" i="216"/>
  <c r="DQ294" i="216"/>
  <c r="DM294" i="216"/>
  <c r="DK294" i="216"/>
  <c r="DH294" i="216"/>
  <c r="DG294" i="216"/>
  <c r="DE294" i="216"/>
  <c r="DC294" i="216"/>
  <c r="DA294" i="216"/>
  <c r="CX294" i="216"/>
  <c r="CW294" i="216"/>
  <c r="CU294" i="216"/>
  <c r="CS294" i="216"/>
  <c r="CQ294" i="216"/>
  <c r="CN294" i="216"/>
  <c r="CM294" i="216"/>
  <c r="CP294" i="216" s="1"/>
  <c r="CO294" i="216" s="1"/>
  <c r="CK294" i="216"/>
  <c r="CI294" i="216"/>
  <c r="CH294" i="216" s="1"/>
  <c r="CG294" i="216"/>
  <c r="CD294" i="216"/>
  <c r="CC294" i="216"/>
  <c r="CA294" i="216"/>
  <c r="BY294" i="216"/>
  <c r="BT294" i="216"/>
  <c r="BS294" i="216"/>
  <c r="BO294" i="216"/>
  <c r="BJ294" i="216"/>
  <c r="BI294" i="216"/>
  <c r="BG294" i="216"/>
  <c r="BE294" i="216"/>
  <c r="BC294" i="216"/>
  <c r="AZ294" i="216"/>
  <c r="AY294" i="216"/>
  <c r="AW294" i="216"/>
  <c r="AU294" i="216"/>
  <c r="AS294" i="216"/>
  <c r="BA294" i="216" s="1"/>
  <c r="AP294" i="216"/>
  <c r="AO294" i="216"/>
  <c r="AM294" i="216"/>
  <c r="AK294" i="216"/>
  <c r="AI294" i="216"/>
  <c r="AF294" i="216"/>
  <c r="AE294" i="216"/>
  <c r="AD294" i="216" s="1"/>
  <c r="AC294" i="216"/>
  <c r="AA294" i="216"/>
  <c r="Y294" i="216"/>
  <c r="V294" i="216"/>
  <c r="U294" i="216"/>
  <c r="S294" i="216"/>
  <c r="Q294" i="216"/>
  <c r="O294" i="216"/>
  <c r="D294" i="216"/>
  <c r="EB293" i="216"/>
  <c r="EA293" i="216"/>
  <c r="DY293" i="216"/>
  <c r="DW293" i="216"/>
  <c r="DR293" i="216"/>
  <c r="DQ293" i="216"/>
  <c r="DO293" i="216"/>
  <c r="DM293" i="216"/>
  <c r="DK293" i="216"/>
  <c r="DH293" i="216"/>
  <c r="DG293" i="216"/>
  <c r="DC293" i="216"/>
  <c r="CX293" i="216"/>
  <c r="CW293" i="216"/>
  <c r="CU293" i="216"/>
  <c r="CS293" i="216"/>
  <c r="CN293" i="216"/>
  <c r="CM293" i="216"/>
  <c r="CK293" i="216"/>
  <c r="CI293" i="216"/>
  <c r="CG293" i="216"/>
  <c r="CO293" i="216" s="1"/>
  <c r="CD293" i="216"/>
  <c r="CC293" i="216"/>
  <c r="CA293" i="216"/>
  <c r="BZ293" i="216" s="1"/>
  <c r="BY293" i="216"/>
  <c r="BW293" i="216"/>
  <c r="CE293" i="216" s="1"/>
  <c r="BT293" i="216"/>
  <c r="BS293" i="216"/>
  <c r="BQ293" i="216"/>
  <c r="BO293" i="216"/>
  <c r="BM293" i="216"/>
  <c r="BJ293" i="216"/>
  <c r="BI293" i="216"/>
  <c r="BG293" i="216"/>
  <c r="BE293" i="216"/>
  <c r="BC293" i="216"/>
  <c r="BK293" i="216" s="1"/>
  <c r="AZ293" i="216"/>
  <c r="AY293" i="216"/>
  <c r="AW293" i="216"/>
  <c r="AU293" i="216"/>
  <c r="AS293" i="216"/>
  <c r="BA293" i="216" s="1"/>
  <c r="AP293" i="216"/>
  <c r="AO293" i="216"/>
  <c r="AN293" i="216" s="1"/>
  <c r="AM293" i="216"/>
  <c r="AK293" i="216"/>
  <c r="AI293" i="216"/>
  <c r="AF293" i="216"/>
  <c r="AE293" i="216"/>
  <c r="AC293" i="216"/>
  <c r="AA293" i="216"/>
  <c r="Y293" i="216"/>
  <c r="AG293" i="216" s="1"/>
  <c r="V293" i="216"/>
  <c r="U293" i="216"/>
  <c r="S293" i="216"/>
  <c r="Q293" i="216"/>
  <c r="O293" i="216"/>
  <c r="EB292" i="216"/>
  <c r="EA292" i="216"/>
  <c r="EP292" i="216" s="1"/>
  <c r="DW292" i="216"/>
  <c r="DR292" i="216"/>
  <c r="DQ292" i="216"/>
  <c r="DM292" i="216"/>
  <c r="DH292" i="216"/>
  <c r="DG292" i="216"/>
  <c r="DC292" i="216"/>
  <c r="CX292" i="216"/>
  <c r="CW292" i="216"/>
  <c r="CS292" i="216"/>
  <c r="CN292" i="216"/>
  <c r="CM292" i="216"/>
  <c r="CL292" i="216" s="1"/>
  <c r="CK292" i="216"/>
  <c r="CI292" i="216"/>
  <c r="CG292" i="216"/>
  <c r="CO292" i="216" s="1"/>
  <c r="CD292" i="216"/>
  <c r="CC292" i="216"/>
  <c r="CA292" i="216"/>
  <c r="BY292" i="216"/>
  <c r="BW292" i="216"/>
  <c r="BT292" i="216"/>
  <c r="BS292" i="216"/>
  <c r="BQ292" i="216"/>
  <c r="BO292" i="216"/>
  <c r="BM292" i="216"/>
  <c r="BU292" i="216" s="1"/>
  <c r="BJ292" i="216"/>
  <c r="BI292" i="216"/>
  <c r="BG292" i="216"/>
  <c r="BE292" i="216"/>
  <c r="BC292" i="216"/>
  <c r="BK292" i="216" s="1"/>
  <c r="AZ292" i="216"/>
  <c r="AY292" i="216"/>
  <c r="AW292" i="216"/>
  <c r="AU292" i="216"/>
  <c r="AS292" i="216"/>
  <c r="BA292" i="216" s="1"/>
  <c r="AP292" i="216"/>
  <c r="AO292" i="216"/>
  <c r="AM292" i="216"/>
  <c r="AK292" i="216"/>
  <c r="AI292" i="216"/>
  <c r="AQ292" i="216" s="1"/>
  <c r="AF292" i="216"/>
  <c r="AE292" i="216"/>
  <c r="AC292" i="216"/>
  <c r="AA292" i="216"/>
  <c r="Y292" i="216"/>
  <c r="AG292" i="216" s="1"/>
  <c r="V292" i="216"/>
  <c r="U292" i="216"/>
  <c r="S292" i="216"/>
  <c r="Q292" i="216"/>
  <c r="O292" i="216"/>
  <c r="EB291" i="216"/>
  <c r="EB328" i="216" s="1"/>
  <c r="EA291" i="216"/>
  <c r="DY291" i="216"/>
  <c r="DW291" i="216"/>
  <c r="DU291" i="216"/>
  <c r="DR291" i="216"/>
  <c r="DR328" i="216" s="1"/>
  <c r="DQ291" i="216"/>
  <c r="DP291" i="216" s="1"/>
  <c r="DO291" i="216"/>
  <c r="DM291" i="216"/>
  <c r="DK291" i="216"/>
  <c r="DH291" i="216"/>
  <c r="DH328" i="216" s="1"/>
  <c r="DG291" i="216"/>
  <c r="DE291" i="216"/>
  <c r="DC291" i="216"/>
  <c r="DB291" i="216" s="1"/>
  <c r="DA291" i="216"/>
  <c r="CX291" i="216"/>
  <c r="CX328" i="216" s="1"/>
  <c r="CW291" i="216"/>
  <c r="CW328" i="216" s="1"/>
  <c r="CU291" i="216"/>
  <c r="CS291" i="216"/>
  <c r="CQ291" i="216"/>
  <c r="CN291" i="216"/>
  <c r="CM291" i="216"/>
  <c r="CK291" i="216"/>
  <c r="CI291" i="216"/>
  <c r="CG291" i="216"/>
  <c r="CH291" i="216" s="1"/>
  <c r="CD291" i="216"/>
  <c r="CC291" i="216"/>
  <c r="CA291" i="216"/>
  <c r="BY291" i="216"/>
  <c r="BW291" i="216"/>
  <c r="BT291" i="216"/>
  <c r="BS291" i="216"/>
  <c r="BQ291" i="216"/>
  <c r="BO291" i="216"/>
  <c r="BJ291" i="216"/>
  <c r="BI291" i="216"/>
  <c r="BG291" i="216"/>
  <c r="BE291" i="216"/>
  <c r="BC291" i="216"/>
  <c r="AZ291" i="216"/>
  <c r="AY291" i="216"/>
  <c r="AU291" i="216"/>
  <c r="AP291" i="216"/>
  <c r="AO291" i="216"/>
  <c r="AK291" i="216"/>
  <c r="AI291" i="216"/>
  <c r="AF291" i="216"/>
  <c r="AE291" i="216"/>
  <c r="AE328" i="216" s="1"/>
  <c r="AC291" i="216"/>
  <c r="AA291" i="216"/>
  <c r="Y291" i="216"/>
  <c r="V291" i="216"/>
  <c r="U291" i="216"/>
  <c r="S291" i="216"/>
  <c r="Q291" i="216"/>
  <c r="O291" i="216"/>
  <c r="D291" i="216"/>
  <c r="EZ290" i="216"/>
  <c r="EP290" i="216"/>
  <c r="EM290" i="216"/>
  <c r="EJ290" i="216"/>
  <c r="EH290" i="216"/>
  <c r="EF290" i="216"/>
  <c r="EC290" i="216"/>
  <c r="DZ290" i="216"/>
  <c r="DX290" i="216"/>
  <c r="DV290" i="216"/>
  <c r="DS290" i="216"/>
  <c r="DP290" i="216"/>
  <c r="DN290" i="216"/>
  <c r="DL290" i="216"/>
  <c r="DI290" i="216"/>
  <c r="DF290" i="216"/>
  <c r="DD290" i="216"/>
  <c r="DB290" i="216"/>
  <c r="CY290" i="216"/>
  <c r="CV290" i="216"/>
  <c r="CT290" i="216"/>
  <c r="CR290" i="216"/>
  <c r="CP290" i="216"/>
  <c r="CO290" i="216"/>
  <c r="CL290" i="216"/>
  <c r="CJ290" i="216"/>
  <c r="CH290" i="216"/>
  <c r="CF290" i="216"/>
  <c r="CE290" i="216"/>
  <c r="CB290" i="216"/>
  <c r="BZ290" i="216"/>
  <c r="BX290" i="216"/>
  <c r="BV290" i="216"/>
  <c r="BU290" i="216"/>
  <c r="BR290" i="216"/>
  <c r="BP290" i="216"/>
  <c r="BN290" i="216"/>
  <c r="BL290" i="216"/>
  <c r="BK290" i="216"/>
  <c r="BH290" i="216"/>
  <c r="BF290" i="216"/>
  <c r="BD290" i="216"/>
  <c r="BB290" i="216"/>
  <c r="BA290" i="216"/>
  <c r="AX290" i="216"/>
  <c r="AV290" i="216"/>
  <c r="AT290" i="216"/>
  <c r="AR290" i="216"/>
  <c r="AQ290" i="216"/>
  <c r="AN290" i="216"/>
  <c r="AL290" i="216"/>
  <c r="AJ290" i="216"/>
  <c r="AH290" i="216"/>
  <c r="AG290" i="216"/>
  <c r="AD290" i="216"/>
  <c r="AB290" i="216"/>
  <c r="Z290" i="216"/>
  <c r="W290" i="216"/>
  <c r="T290" i="216"/>
  <c r="R290" i="216"/>
  <c r="P290" i="216"/>
  <c r="EZ289" i="216"/>
  <c r="EP289" i="216"/>
  <c r="EM289" i="216"/>
  <c r="EJ289" i="216"/>
  <c r="EH289" i="216"/>
  <c r="EF289" i="216"/>
  <c r="EC289" i="216"/>
  <c r="DZ289" i="216"/>
  <c r="DX289" i="216"/>
  <c r="DV289" i="216"/>
  <c r="DS289" i="216"/>
  <c r="DP289" i="216"/>
  <c r="DN289" i="216"/>
  <c r="DL289" i="216"/>
  <c r="DI289" i="216"/>
  <c r="DF289" i="216"/>
  <c r="DD289" i="216"/>
  <c r="DB289" i="216"/>
  <c r="CY289" i="216"/>
  <c r="CV289" i="216"/>
  <c r="CT289" i="216"/>
  <c r="CR289" i="216"/>
  <c r="CO289" i="216"/>
  <c r="CL289" i="216"/>
  <c r="CJ289" i="216"/>
  <c r="CH289" i="216"/>
  <c r="CE289" i="216"/>
  <c r="CB289" i="216"/>
  <c r="BZ289" i="216"/>
  <c r="BX289" i="216"/>
  <c r="BU289" i="216"/>
  <c r="BR289" i="216"/>
  <c r="BP289" i="216"/>
  <c r="BN289" i="216"/>
  <c r="BK289" i="216"/>
  <c r="BH289" i="216"/>
  <c r="BF289" i="216"/>
  <c r="BD289" i="216"/>
  <c r="BA289" i="216"/>
  <c r="AX289" i="216"/>
  <c r="AV289" i="216"/>
  <c r="AT289" i="216"/>
  <c r="AQ289" i="216"/>
  <c r="AN289" i="216"/>
  <c r="AL289" i="216"/>
  <c r="AJ289" i="216"/>
  <c r="AG289" i="216"/>
  <c r="AD289" i="216"/>
  <c r="AB289" i="216"/>
  <c r="Z289" i="216"/>
  <c r="W289" i="216"/>
  <c r="T289" i="216"/>
  <c r="R289" i="216"/>
  <c r="P289" i="216"/>
  <c r="BW288" i="216"/>
  <c r="EB287" i="216"/>
  <c r="EA287" i="216"/>
  <c r="EP287" i="216" s="1"/>
  <c r="DW287" i="216"/>
  <c r="DR287" i="216"/>
  <c r="DQ287" i="216"/>
  <c r="DM287" i="216"/>
  <c r="DH287" i="216"/>
  <c r="DG287" i="216"/>
  <c r="DE287" i="216"/>
  <c r="DC287" i="216"/>
  <c r="CX287" i="216"/>
  <c r="CW287" i="216"/>
  <c r="CU287" i="216"/>
  <c r="CS287" i="216"/>
  <c r="CQ287" i="216"/>
  <c r="CN287" i="216"/>
  <c r="CM287" i="216"/>
  <c r="CK287" i="216"/>
  <c r="CI287" i="216"/>
  <c r="CD287" i="216"/>
  <c r="CC287" i="216"/>
  <c r="CA287" i="216"/>
  <c r="BY287" i="216"/>
  <c r="BW287" i="216"/>
  <c r="BT287" i="216"/>
  <c r="BS287" i="216"/>
  <c r="BQ287" i="216"/>
  <c r="BO287" i="216"/>
  <c r="BM287" i="216"/>
  <c r="BJ287" i="216"/>
  <c r="BI287" i="216"/>
  <c r="BG287" i="216"/>
  <c r="BE287" i="216"/>
  <c r="AZ287" i="216"/>
  <c r="AY287" i="216"/>
  <c r="AW287" i="216"/>
  <c r="AU287" i="216"/>
  <c r="AS287" i="216"/>
  <c r="AP287" i="216"/>
  <c r="AO287" i="216"/>
  <c r="AM287" i="216"/>
  <c r="AL287" i="216" s="1"/>
  <c r="AK287" i="216"/>
  <c r="AI287" i="216"/>
  <c r="AQ287" i="216" s="1"/>
  <c r="AF287" i="216"/>
  <c r="AE287" i="216"/>
  <c r="AC287" i="216"/>
  <c r="AA287" i="216"/>
  <c r="Y287" i="216"/>
  <c r="V287" i="216"/>
  <c r="U287" i="216"/>
  <c r="S287" i="216"/>
  <c r="Q287" i="216"/>
  <c r="O287" i="216"/>
  <c r="D287" i="216"/>
  <c r="EB286" i="216"/>
  <c r="EB288" i="216" s="1"/>
  <c r="EA286" i="216"/>
  <c r="DW286" i="216"/>
  <c r="DW288" i="216" s="1"/>
  <c r="DR286" i="216"/>
  <c r="DR288" i="216" s="1"/>
  <c r="DQ286" i="216"/>
  <c r="DM286" i="216"/>
  <c r="DH286" i="216"/>
  <c r="DH288" i="216" s="1"/>
  <c r="DG286" i="216"/>
  <c r="DG288" i="216" s="1"/>
  <c r="DE286" i="216"/>
  <c r="DE288" i="216" s="1"/>
  <c r="DC286" i="216"/>
  <c r="CX286" i="216"/>
  <c r="CW286" i="216"/>
  <c r="CU286" i="216"/>
  <c r="CS286" i="216"/>
  <c r="CQ286" i="216"/>
  <c r="CQ288" i="216" s="1"/>
  <c r="CN286" i="216"/>
  <c r="CN288" i="216" s="1"/>
  <c r="CM286" i="216"/>
  <c r="CM288" i="216" s="1"/>
  <c r="CI286" i="216"/>
  <c r="CI288" i="216" s="1"/>
  <c r="CD286" i="216"/>
  <c r="CD288" i="216" s="1"/>
  <c r="CC286" i="216"/>
  <c r="CA286" i="216"/>
  <c r="BY286" i="216"/>
  <c r="BW286" i="216"/>
  <c r="BT286" i="216"/>
  <c r="BT288" i="216" s="1"/>
  <c r="BS286" i="216"/>
  <c r="BS288" i="216" s="1"/>
  <c r="BQ286" i="216"/>
  <c r="BO286" i="216"/>
  <c r="BM286" i="216"/>
  <c r="BJ286" i="216"/>
  <c r="BJ288" i="216" s="1"/>
  <c r="BI286" i="216"/>
  <c r="BI288" i="216" s="1"/>
  <c r="BG286" i="216"/>
  <c r="BG288" i="216" s="1"/>
  <c r="BE286" i="216"/>
  <c r="AZ286" i="216"/>
  <c r="AY286" i="216"/>
  <c r="AW286" i="216"/>
  <c r="AU286" i="216"/>
  <c r="AU288" i="216" s="1"/>
  <c r="AS286" i="216"/>
  <c r="AP286" i="216"/>
  <c r="AP288" i="216" s="1"/>
  <c r="AO286" i="216"/>
  <c r="AM286" i="216"/>
  <c r="AM288" i="216" s="1"/>
  <c r="AK286" i="216"/>
  <c r="AI286" i="216"/>
  <c r="AI288" i="216" s="1"/>
  <c r="AF286" i="216"/>
  <c r="AF288" i="216" s="1"/>
  <c r="AE286" i="216"/>
  <c r="AE288" i="216" s="1"/>
  <c r="AC286" i="216"/>
  <c r="AC288" i="216" s="1"/>
  <c r="AA286" i="216"/>
  <c r="AA288" i="216" s="1"/>
  <c r="Y286" i="216"/>
  <c r="V286" i="216"/>
  <c r="U286" i="216"/>
  <c r="S286" i="216"/>
  <c r="Q286" i="216"/>
  <c r="Q288" i="216" s="1"/>
  <c r="O286" i="216"/>
  <c r="O288" i="216" s="1"/>
  <c r="D286" i="216"/>
  <c r="EZ285" i="216"/>
  <c r="EP285" i="216"/>
  <c r="EM285" i="216"/>
  <c r="EJ285" i="216"/>
  <c r="EH285" i="216"/>
  <c r="EF285" i="216"/>
  <c r="ED285" i="216"/>
  <c r="EC285" i="216"/>
  <c r="DZ285" i="216"/>
  <c r="DX285" i="216"/>
  <c r="DV285" i="216"/>
  <c r="DT285" i="216"/>
  <c r="DS285" i="216"/>
  <c r="DP285" i="216"/>
  <c r="DN285" i="216"/>
  <c r="DL285" i="216"/>
  <c r="DJ285" i="216"/>
  <c r="DI285" i="216"/>
  <c r="DF285" i="216"/>
  <c r="DD285" i="216"/>
  <c r="DB285" i="216"/>
  <c r="CZ285" i="216"/>
  <c r="CY285" i="216"/>
  <c r="CV285" i="216"/>
  <c r="CT285" i="216"/>
  <c r="CR285" i="216"/>
  <c r="CP285" i="216"/>
  <c r="CO285" i="216"/>
  <c r="CL285" i="216"/>
  <c r="CJ285" i="216"/>
  <c r="CH285" i="216"/>
  <c r="CF285" i="216"/>
  <c r="CE285" i="216"/>
  <c r="CB285" i="216"/>
  <c r="BZ285" i="216"/>
  <c r="BX285" i="216"/>
  <c r="BV285" i="216"/>
  <c r="BU285" i="216"/>
  <c r="BR285" i="216"/>
  <c r="BP285" i="216"/>
  <c r="BN285" i="216"/>
  <c r="BL285" i="216"/>
  <c r="BK285" i="216"/>
  <c r="BH285" i="216"/>
  <c r="BF285" i="216"/>
  <c r="BD285" i="216"/>
  <c r="BB285" i="216"/>
  <c r="BA285" i="216"/>
  <c r="AX285" i="216"/>
  <c r="AV285" i="216"/>
  <c r="AT285" i="216"/>
  <c r="AR285" i="216"/>
  <c r="AQ285" i="216"/>
  <c r="AN285" i="216"/>
  <c r="AL285" i="216"/>
  <c r="AJ285" i="216"/>
  <c r="AH285" i="216"/>
  <c r="AG285" i="216"/>
  <c r="AD285" i="216"/>
  <c r="AB285" i="216"/>
  <c r="Z285" i="216"/>
  <c r="X285" i="216"/>
  <c r="W285" i="216" s="1"/>
  <c r="T285" i="216"/>
  <c r="R285" i="216"/>
  <c r="P285" i="216"/>
  <c r="EZ284" i="216"/>
  <c r="EP284" i="216"/>
  <c r="EM284" i="216"/>
  <c r="EJ284" i="216"/>
  <c r="EH284" i="216"/>
  <c r="EF284" i="216"/>
  <c r="EC284" i="216"/>
  <c r="DZ284" i="216"/>
  <c r="DX284" i="216"/>
  <c r="DV284" i="216"/>
  <c r="DS284" i="216"/>
  <c r="DP284" i="216"/>
  <c r="DN284" i="216"/>
  <c r="DL284" i="216"/>
  <c r="DI284" i="216"/>
  <c r="DF284" i="216"/>
  <c r="DD284" i="216"/>
  <c r="DB284" i="216"/>
  <c r="CY284" i="216"/>
  <c r="CV284" i="216"/>
  <c r="CT284" i="216"/>
  <c r="CR284" i="216"/>
  <c r="CO284" i="216"/>
  <c r="CL284" i="216"/>
  <c r="CJ284" i="216"/>
  <c r="CH284" i="216"/>
  <c r="CE284" i="216"/>
  <c r="CB284" i="216"/>
  <c r="BZ284" i="216"/>
  <c r="BX284" i="216"/>
  <c r="BU284" i="216"/>
  <c r="BR284" i="216"/>
  <c r="BP284" i="216"/>
  <c r="BN284" i="216"/>
  <c r="BK284" i="216"/>
  <c r="BH284" i="216"/>
  <c r="BF284" i="216"/>
  <c r="BD284" i="216"/>
  <c r="BA284" i="216"/>
  <c r="AX284" i="216"/>
  <c r="AV284" i="216"/>
  <c r="AT284" i="216"/>
  <c r="AQ284" i="216"/>
  <c r="AN284" i="216"/>
  <c r="AL284" i="216"/>
  <c r="AJ284" i="216"/>
  <c r="AH284" i="216"/>
  <c r="AG284" i="216"/>
  <c r="AD284" i="216"/>
  <c r="AB284" i="216"/>
  <c r="Z284" i="216"/>
  <c r="W284" i="216"/>
  <c r="T284" i="216"/>
  <c r="R284" i="216"/>
  <c r="P284" i="216"/>
  <c r="EB282" i="216"/>
  <c r="EB409" i="216" s="1"/>
  <c r="EA282" i="216"/>
  <c r="DY282" i="216"/>
  <c r="DY409" i="216" s="1"/>
  <c r="DW282" i="216"/>
  <c r="DW409" i="216" s="1"/>
  <c r="DR282" i="216"/>
  <c r="DR409" i="216" s="1"/>
  <c r="DQ282" i="216"/>
  <c r="DQ409" i="216" s="1"/>
  <c r="DO282" i="216"/>
  <c r="DO409" i="216" s="1"/>
  <c r="DM282" i="216"/>
  <c r="DK282" i="216"/>
  <c r="DH282" i="216"/>
  <c r="DH409" i="216" s="1"/>
  <c r="DG282" i="216"/>
  <c r="DG409" i="216" s="1"/>
  <c r="DE282" i="216"/>
  <c r="DC282" i="216"/>
  <c r="DA282" i="216"/>
  <c r="DA409" i="216" s="1"/>
  <c r="CX282" i="216"/>
  <c r="CX409" i="216" s="1"/>
  <c r="CW282" i="216"/>
  <c r="CU282" i="216"/>
  <c r="CS282" i="216"/>
  <c r="CS409" i="216" s="1"/>
  <c r="CQ282" i="216"/>
  <c r="CQ409" i="216" s="1"/>
  <c r="CN282" i="216"/>
  <c r="CN409" i="216" s="1"/>
  <c r="CM282" i="216"/>
  <c r="CK282" i="216"/>
  <c r="CK409" i="216" s="1"/>
  <c r="CI282" i="216"/>
  <c r="CI409" i="216" s="1"/>
  <c r="CG282" i="216"/>
  <c r="CO282" i="216" s="1"/>
  <c r="CO409" i="216" s="1"/>
  <c r="CD282" i="216"/>
  <c r="CD409" i="216" s="1"/>
  <c r="CC282" i="216"/>
  <c r="CC409" i="216" s="1"/>
  <c r="CA282" i="216"/>
  <c r="CA409" i="216" s="1"/>
  <c r="BY282" i="216"/>
  <c r="BW282" i="216"/>
  <c r="CE282" i="216" s="1"/>
  <c r="CE409" i="216" s="1"/>
  <c r="BT282" i="216"/>
  <c r="BT409" i="216" s="1"/>
  <c r="BS282" i="216"/>
  <c r="BS409" i="216" s="1"/>
  <c r="BQ282" i="216"/>
  <c r="BO282" i="216"/>
  <c r="BM282" i="216"/>
  <c r="BM409" i="216" s="1"/>
  <c r="BJ282" i="216"/>
  <c r="BJ409" i="216" s="1"/>
  <c r="BI282" i="216"/>
  <c r="BG282" i="216"/>
  <c r="BE282" i="216"/>
  <c r="BC282" i="216"/>
  <c r="BC409" i="216" s="1"/>
  <c r="AZ282" i="216"/>
  <c r="AZ409" i="216" s="1"/>
  <c r="AY282" i="216"/>
  <c r="AW282" i="216"/>
  <c r="AW409" i="216" s="1"/>
  <c r="AU282" i="216"/>
  <c r="AU409" i="216" s="1"/>
  <c r="AS282" i="216"/>
  <c r="AP282" i="216"/>
  <c r="AP409" i="216" s="1"/>
  <c r="AO282" i="216"/>
  <c r="AO409" i="216" s="1"/>
  <c r="AM282" i="216"/>
  <c r="AM409" i="216" s="1"/>
  <c r="AK282" i="216"/>
  <c r="AI282" i="216"/>
  <c r="AF282" i="216"/>
  <c r="AF409" i="216" s="1"/>
  <c r="AE282" i="216"/>
  <c r="AE409" i="216" s="1"/>
  <c r="AC282" i="216"/>
  <c r="AA282" i="216"/>
  <c r="Y282" i="216"/>
  <c r="Y409" i="216" s="1"/>
  <c r="V282" i="216"/>
  <c r="V409" i="216" s="1"/>
  <c r="U282" i="216"/>
  <c r="S282" i="216"/>
  <c r="Q282" i="216"/>
  <c r="O282" i="216"/>
  <c r="O409" i="216" s="1"/>
  <c r="EB281" i="216"/>
  <c r="EA281" i="216"/>
  <c r="DZ281" i="216" s="1"/>
  <c r="DY281" i="216"/>
  <c r="DW281" i="216"/>
  <c r="DU281" i="216"/>
  <c r="DR281" i="216"/>
  <c r="DQ281" i="216"/>
  <c r="DP281" i="216" s="1"/>
  <c r="DO281" i="216"/>
  <c r="DM281" i="216"/>
  <c r="DK281" i="216"/>
  <c r="DS281" i="216" s="1"/>
  <c r="DH281" i="216"/>
  <c r="DG281" i="216"/>
  <c r="DE281" i="216"/>
  <c r="DC281" i="216"/>
  <c r="DA281" i="216"/>
  <c r="CX281" i="216"/>
  <c r="CW281" i="216"/>
  <c r="CU281" i="216"/>
  <c r="CT281" i="216" s="1"/>
  <c r="CS281" i="216"/>
  <c r="CQ281" i="216"/>
  <c r="CN281" i="216"/>
  <c r="CM281" i="216"/>
  <c r="CK281" i="216"/>
  <c r="CI281" i="216"/>
  <c r="CG281" i="216"/>
  <c r="CO281" i="216" s="1"/>
  <c r="CD281" i="216"/>
  <c r="CC281" i="216"/>
  <c r="CA281" i="216"/>
  <c r="BY281" i="216"/>
  <c r="BW281" i="216"/>
  <c r="CE281" i="216" s="1"/>
  <c r="BT281" i="216"/>
  <c r="BS281" i="216"/>
  <c r="BQ281" i="216"/>
  <c r="BO281" i="216"/>
  <c r="BM281" i="216"/>
  <c r="BJ281" i="216"/>
  <c r="BI281" i="216"/>
  <c r="BG281" i="216"/>
  <c r="BE281" i="216"/>
  <c r="BC281" i="216"/>
  <c r="AZ281" i="216"/>
  <c r="AY281" i="216"/>
  <c r="AW281" i="216"/>
  <c r="AU281" i="216"/>
  <c r="AS281" i="216"/>
  <c r="AP281" i="216"/>
  <c r="AO281" i="216"/>
  <c r="AN281" i="216" s="1"/>
  <c r="AM281" i="216"/>
  <c r="AK281" i="216"/>
  <c r="AI281" i="216"/>
  <c r="AF281" i="216"/>
  <c r="AE281" i="216"/>
  <c r="AC281" i="216"/>
  <c r="AA281" i="216"/>
  <c r="Y281" i="216"/>
  <c r="AB281" i="216" s="1"/>
  <c r="V281" i="216"/>
  <c r="U281" i="216"/>
  <c r="S281" i="216"/>
  <c r="Q281" i="216"/>
  <c r="O281" i="216"/>
  <c r="EB280" i="216"/>
  <c r="EA280" i="216"/>
  <c r="DY280" i="216"/>
  <c r="DW280" i="216"/>
  <c r="DU280" i="216"/>
  <c r="DR280" i="216"/>
  <c r="DQ280" i="216"/>
  <c r="DO280" i="216"/>
  <c r="DM280" i="216"/>
  <c r="DK280" i="216"/>
  <c r="DH280" i="216"/>
  <c r="DG280" i="216"/>
  <c r="DE280" i="216"/>
  <c r="DC280" i="216"/>
  <c r="DA280" i="216"/>
  <c r="CX280" i="216"/>
  <c r="CW280" i="216"/>
  <c r="CU280" i="216"/>
  <c r="CS280" i="216"/>
  <c r="CR280" i="216" s="1"/>
  <c r="CQ280" i="216"/>
  <c r="CY280" i="216" s="1"/>
  <c r="CN280" i="216"/>
  <c r="CM280" i="216"/>
  <c r="CK280" i="216"/>
  <c r="CI280" i="216"/>
  <c r="CG280" i="216"/>
  <c r="CD280" i="216"/>
  <c r="CC280" i="216"/>
  <c r="CA280" i="216"/>
  <c r="BY280" i="216"/>
  <c r="BW280" i="216"/>
  <c r="BT280" i="216"/>
  <c r="BS280" i="216"/>
  <c r="BO280" i="216"/>
  <c r="BJ280" i="216"/>
  <c r="BI280" i="216"/>
  <c r="BG280" i="216"/>
  <c r="BE280" i="216"/>
  <c r="AZ280" i="216"/>
  <c r="AY280" i="216"/>
  <c r="AU280" i="216"/>
  <c r="AP280" i="216"/>
  <c r="AO280" i="216"/>
  <c r="AM280" i="216"/>
  <c r="AK280" i="216"/>
  <c r="AI280" i="216"/>
  <c r="AF280" i="216"/>
  <c r="AE280" i="216"/>
  <c r="AC280" i="216"/>
  <c r="AA280" i="216"/>
  <c r="V280" i="216"/>
  <c r="U280" i="216"/>
  <c r="S280" i="216"/>
  <c r="Q280" i="216"/>
  <c r="P280" i="216" s="1"/>
  <c r="O280" i="216"/>
  <c r="EB279" i="216"/>
  <c r="EA279" i="216"/>
  <c r="EP279" i="216" s="1"/>
  <c r="DY279" i="216"/>
  <c r="DW279" i="216"/>
  <c r="DU279" i="216"/>
  <c r="EC279" i="216" s="1"/>
  <c r="DR279" i="216"/>
  <c r="DQ279" i="216"/>
  <c r="DO279" i="216"/>
  <c r="DM279" i="216"/>
  <c r="DK279" i="216"/>
  <c r="DS279" i="216" s="1"/>
  <c r="DH279" i="216"/>
  <c r="DG279" i="216"/>
  <c r="DE279" i="216"/>
  <c r="DC279" i="216"/>
  <c r="DA279" i="216"/>
  <c r="CX279" i="216"/>
  <c r="CW279" i="216"/>
  <c r="CU279" i="216"/>
  <c r="CS279" i="216"/>
  <c r="CQ279" i="216"/>
  <c r="CN279" i="216"/>
  <c r="CM279" i="216"/>
  <c r="CK279" i="216"/>
  <c r="CI279" i="216"/>
  <c r="CG279" i="216"/>
  <c r="CO279" i="216" s="1"/>
  <c r="CD279" i="216"/>
  <c r="CC279" i="216"/>
  <c r="CA279" i="216"/>
  <c r="BY279" i="216"/>
  <c r="BW279" i="216"/>
  <c r="CE279" i="216" s="1"/>
  <c r="BT279" i="216"/>
  <c r="BS279" i="216"/>
  <c r="BQ279" i="216"/>
  <c r="BO279" i="216"/>
  <c r="BM279" i="216"/>
  <c r="BJ279" i="216"/>
  <c r="BI279" i="216"/>
  <c r="BG279" i="216"/>
  <c r="BE279" i="216"/>
  <c r="BC279" i="216"/>
  <c r="AZ279" i="216"/>
  <c r="AY279" i="216"/>
  <c r="AW279" i="216"/>
  <c r="AU279" i="216"/>
  <c r="AS279" i="216"/>
  <c r="AP279" i="216"/>
  <c r="AO279" i="216"/>
  <c r="AM279" i="216"/>
  <c r="AK279" i="216"/>
  <c r="AJ279" i="216" s="1"/>
  <c r="AI279" i="216"/>
  <c r="AF279" i="216"/>
  <c r="AE279" i="216"/>
  <c r="AC279" i="216"/>
  <c r="AA279" i="216"/>
  <c r="Y279" i="216"/>
  <c r="AG279" i="216" s="1"/>
  <c r="V279" i="216"/>
  <c r="U279" i="216"/>
  <c r="S279" i="216"/>
  <c r="Q279" i="216"/>
  <c r="O279" i="216"/>
  <c r="EB278" i="216"/>
  <c r="DW278" i="216"/>
  <c r="DU278" i="216"/>
  <c r="EC278" i="216" s="1"/>
  <c r="DM278" i="216"/>
  <c r="DC278" i="216"/>
  <c r="AI278" i="216"/>
  <c r="V278" i="216"/>
  <c r="D278" i="216"/>
  <c r="EB277" i="216"/>
  <c r="EA277" i="216"/>
  <c r="EP277" i="216" s="1"/>
  <c r="DY277" i="216"/>
  <c r="DW277" i="216"/>
  <c r="DR277" i="216"/>
  <c r="DQ277" i="216"/>
  <c r="DO277" i="216"/>
  <c r="DM277" i="216"/>
  <c r="DK277" i="216"/>
  <c r="DH277" i="216"/>
  <c r="DG277" i="216"/>
  <c r="DF277" i="216" s="1"/>
  <c r="DE277" i="216"/>
  <c r="DC277" i="216"/>
  <c r="DB277" i="216" s="1"/>
  <c r="DA277" i="216"/>
  <c r="CX277" i="216"/>
  <c r="CW277" i="216"/>
  <c r="CS277" i="216"/>
  <c r="CN277" i="216"/>
  <c r="CM277" i="216"/>
  <c r="CL277" i="216" s="1"/>
  <c r="CK277" i="216"/>
  <c r="CI277" i="216"/>
  <c r="CG277" i="216"/>
  <c r="CD277" i="216"/>
  <c r="CC277" i="216"/>
  <c r="CA277" i="216"/>
  <c r="BY277" i="216"/>
  <c r="BW277" i="216"/>
  <c r="BT277" i="216"/>
  <c r="BS277" i="216"/>
  <c r="BQ277" i="216"/>
  <c r="BO277" i="216"/>
  <c r="BM277" i="216"/>
  <c r="BJ277" i="216"/>
  <c r="BI277" i="216"/>
  <c r="BH277" i="216" s="1"/>
  <c r="BG277" i="216"/>
  <c r="BF277" i="216" s="1"/>
  <c r="BE277" i="216"/>
  <c r="BD277" i="216" s="1"/>
  <c r="BC277" i="216"/>
  <c r="BK277" i="216" s="1"/>
  <c r="AZ277" i="216"/>
  <c r="AY277" i="216"/>
  <c r="AW277" i="216"/>
  <c r="AU277" i="216"/>
  <c r="AS277" i="216"/>
  <c r="BA277" i="216" s="1"/>
  <c r="AP277" i="216"/>
  <c r="AO277" i="216"/>
  <c r="AK277" i="216"/>
  <c r="AF277" i="216"/>
  <c r="AE277" i="216"/>
  <c r="AA277" i="216"/>
  <c r="V277" i="216"/>
  <c r="U277" i="216"/>
  <c r="Q277" i="216"/>
  <c r="D277" i="216"/>
  <c r="EB276" i="216"/>
  <c r="EA276" i="216"/>
  <c r="EP276" i="216" s="1"/>
  <c r="DY276" i="216"/>
  <c r="DX276" i="216" s="1"/>
  <c r="DW276" i="216"/>
  <c r="DU276" i="216"/>
  <c r="DR276" i="216"/>
  <c r="DQ276" i="216"/>
  <c r="DO276" i="216"/>
  <c r="DM276" i="216"/>
  <c r="DH276" i="216"/>
  <c r="DG276" i="216"/>
  <c r="DE276" i="216"/>
  <c r="DC276" i="216"/>
  <c r="DA276" i="216"/>
  <c r="CX276" i="216"/>
  <c r="CW276" i="216"/>
  <c r="CS276" i="216"/>
  <c r="CN276" i="216"/>
  <c r="CM276" i="216"/>
  <c r="CI276" i="216"/>
  <c r="CG276" i="216"/>
  <c r="CD276" i="216"/>
  <c r="CC276" i="216"/>
  <c r="CA276" i="216"/>
  <c r="BY276" i="216"/>
  <c r="BW276" i="216"/>
  <c r="BT276" i="216"/>
  <c r="BS276" i="216"/>
  <c r="BQ276" i="216"/>
  <c r="BO276" i="216"/>
  <c r="BN276" i="216" s="1"/>
  <c r="BM276" i="216"/>
  <c r="BJ276" i="216"/>
  <c r="BI276" i="216"/>
  <c r="BG276" i="216"/>
  <c r="BE276" i="216"/>
  <c r="BC276" i="216"/>
  <c r="AZ276" i="216"/>
  <c r="AY276" i="216"/>
  <c r="AW276" i="216"/>
  <c r="AU276" i="216"/>
  <c r="AS276" i="216"/>
  <c r="AP276" i="216"/>
  <c r="AO276" i="216"/>
  <c r="AK276" i="216"/>
  <c r="AF276" i="216"/>
  <c r="AE276" i="216"/>
  <c r="AA276" i="216"/>
  <c r="V276" i="216"/>
  <c r="U276" i="216"/>
  <c r="S276" i="216"/>
  <c r="Q276" i="216"/>
  <c r="O276" i="216"/>
  <c r="D276" i="216"/>
  <c r="EZ275" i="216"/>
  <c r="EP275" i="216"/>
  <c r="EL275" i="216"/>
  <c r="EK275" i="216"/>
  <c r="EJ275" i="216"/>
  <c r="EI275" i="216"/>
  <c r="EH275" i="216"/>
  <c r="EG275" i="216"/>
  <c r="EN275" i="216" s="1"/>
  <c r="EE275" i="216"/>
  <c r="EC275" i="216"/>
  <c r="DZ275" i="216"/>
  <c r="DX275" i="216"/>
  <c r="DV275" i="216"/>
  <c r="DS275" i="216"/>
  <c r="DP275" i="216"/>
  <c r="DN275" i="216"/>
  <c r="DL275" i="216"/>
  <c r="DI275" i="216"/>
  <c r="DF275" i="216"/>
  <c r="DD275" i="216"/>
  <c r="DB275" i="216"/>
  <c r="CY275" i="216"/>
  <c r="CV275" i="216"/>
  <c r="CT275" i="216"/>
  <c r="CR275" i="216"/>
  <c r="CO275" i="216"/>
  <c r="CL275" i="216"/>
  <c r="CJ275" i="216"/>
  <c r="CH275" i="216"/>
  <c r="CE275" i="216"/>
  <c r="CB275" i="216"/>
  <c r="BZ275" i="216"/>
  <c r="BX275" i="216"/>
  <c r="BU275" i="216"/>
  <c r="BR275" i="216"/>
  <c r="BP275" i="216"/>
  <c r="BN275" i="216"/>
  <c r="BK275" i="216"/>
  <c r="BH275" i="216"/>
  <c r="BF275" i="216"/>
  <c r="BD275" i="216"/>
  <c r="BA275" i="216"/>
  <c r="AX275" i="216"/>
  <c r="AV275" i="216"/>
  <c r="AT275" i="216"/>
  <c r="AQ275" i="216"/>
  <c r="AN275" i="216"/>
  <c r="AL275" i="216"/>
  <c r="AJ275" i="216"/>
  <c r="AG275" i="216"/>
  <c r="AD275" i="216"/>
  <c r="AB275" i="216"/>
  <c r="Z275" i="216"/>
  <c r="W275" i="216"/>
  <c r="T275" i="216"/>
  <c r="R275" i="216"/>
  <c r="P275" i="216"/>
  <c r="D275" i="216"/>
  <c r="EZ274" i="216"/>
  <c r="EP274" i="216"/>
  <c r="EM274" i="216"/>
  <c r="EJ274" i="216"/>
  <c r="EH274" i="216"/>
  <c r="EF274" i="216"/>
  <c r="EC274" i="216"/>
  <c r="DZ274" i="216"/>
  <c r="DX274" i="216"/>
  <c r="DV274" i="216"/>
  <c r="DS274" i="216"/>
  <c r="DP274" i="216"/>
  <c r="DN274" i="216"/>
  <c r="DL274" i="216"/>
  <c r="DI274" i="216"/>
  <c r="DF274" i="216"/>
  <c r="DD274" i="216"/>
  <c r="DB274" i="216"/>
  <c r="CY274" i="216"/>
  <c r="CV274" i="216"/>
  <c r="CT274" i="216"/>
  <c r="CR274" i="216"/>
  <c r="CO274" i="216"/>
  <c r="CL274" i="216"/>
  <c r="CJ274" i="216"/>
  <c r="CH274" i="216"/>
  <c r="CE274" i="216"/>
  <c r="CB274" i="216"/>
  <c r="BZ274" i="216"/>
  <c r="BX274" i="216"/>
  <c r="BU274" i="216"/>
  <c r="BR274" i="216"/>
  <c r="BP274" i="216"/>
  <c r="BN274" i="216"/>
  <c r="BK274" i="216"/>
  <c r="BH274" i="216"/>
  <c r="BF274" i="216"/>
  <c r="BD274" i="216"/>
  <c r="BA274" i="216"/>
  <c r="AX274" i="216"/>
  <c r="AV274" i="216"/>
  <c r="AT274" i="216"/>
  <c r="AQ274" i="216"/>
  <c r="AN274" i="216"/>
  <c r="AL274" i="216"/>
  <c r="AJ274" i="216"/>
  <c r="AH274" i="216"/>
  <c r="AG274" i="216"/>
  <c r="AD274" i="216"/>
  <c r="AB274" i="216"/>
  <c r="Z274" i="216"/>
  <c r="W274" i="216"/>
  <c r="T274" i="216"/>
  <c r="R274" i="216"/>
  <c r="P274" i="216"/>
  <c r="EZ273" i="216"/>
  <c r="EP273" i="216"/>
  <c r="EM273" i="216"/>
  <c r="EJ273" i="216"/>
  <c r="EH273" i="216"/>
  <c r="EF273" i="216"/>
  <c r="ED273" i="216"/>
  <c r="EC273" i="216"/>
  <c r="DZ273" i="216"/>
  <c r="DX273" i="216"/>
  <c r="DV273" i="216"/>
  <c r="DT273" i="216"/>
  <c r="DS273" i="216"/>
  <c r="DP273" i="216"/>
  <c r="DN273" i="216"/>
  <c r="DL273" i="216"/>
  <c r="DJ273" i="216"/>
  <c r="DI273" i="216"/>
  <c r="DF273" i="216"/>
  <c r="DD273" i="216"/>
  <c r="DB273" i="216"/>
  <c r="CZ273" i="216"/>
  <c r="CY273" i="216"/>
  <c r="CV273" i="216"/>
  <c r="CT273" i="216"/>
  <c r="CR273" i="216"/>
  <c r="CP273" i="216"/>
  <c r="CO273" i="216"/>
  <c r="CL273" i="216"/>
  <c r="CJ273" i="216"/>
  <c r="CH273" i="216"/>
  <c r="CF273" i="216"/>
  <c r="CE273" i="216"/>
  <c r="CB273" i="216"/>
  <c r="BZ273" i="216"/>
  <c r="BX273" i="216"/>
  <c r="BV273" i="216"/>
  <c r="BU273" i="216"/>
  <c r="BR273" i="216"/>
  <c r="BP273" i="216"/>
  <c r="BN273" i="216"/>
  <c r="BL273" i="216"/>
  <c r="BK273" i="216"/>
  <c r="BH273" i="216"/>
  <c r="BF273" i="216"/>
  <c r="BD273" i="216"/>
  <c r="BB273" i="216"/>
  <c r="BA273" i="216"/>
  <c r="AX273" i="216"/>
  <c r="AV273" i="216"/>
  <c r="AT273" i="216"/>
  <c r="AR273" i="216"/>
  <c r="AQ273" i="216"/>
  <c r="AN273" i="216"/>
  <c r="AL273" i="216"/>
  <c r="AJ273" i="216"/>
  <c r="AH273" i="216"/>
  <c r="AG273" i="216"/>
  <c r="AD273" i="216"/>
  <c r="AB273" i="216"/>
  <c r="Z273" i="216"/>
  <c r="X273" i="216"/>
  <c r="W273" i="216" s="1"/>
  <c r="T273" i="216"/>
  <c r="R273" i="216"/>
  <c r="P273" i="216"/>
  <c r="EO272" i="216"/>
  <c r="EP271" i="216"/>
  <c r="EL271" i="216"/>
  <c r="EK271" i="216"/>
  <c r="EJ271" i="216"/>
  <c r="EI271" i="216"/>
  <c r="EZ271" i="216" s="1"/>
  <c r="EG271" i="216"/>
  <c r="EN271" i="216" s="1"/>
  <c r="EE271" i="216"/>
  <c r="EM271" i="216" s="1"/>
  <c r="ED271" i="216"/>
  <c r="EC271" i="216"/>
  <c r="DZ271" i="216"/>
  <c r="DX271" i="216"/>
  <c r="DV271" i="216"/>
  <c r="DT271" i="216"/>
  <c r="DS271" i="216"/>
  <c r="DP271" i="216"/>
  <c r="DN271" i="216"/>
  <c r="DL271" i="216"/>
  <c r="DJ271" i="216"/>
  <c r="DI271" i="216"/>
  <c r="DF271" i="216"/>
  <c r="DD271" i="216"/>
  <c r="DB271" i="216"/>
  <c r="CZ271" i="216"/>
  <c r="CY271" i="216"/>
  <c r="CV271" i="216"/>
  <c r="CT271" i="216"/>
  <c r="CR271" i="216"/>
  <c r="CP271" i="216"/>
  <c r="CO271" i="216"/>
  <c r="CL271" i="216"/>
  <c r="CJ271" i="216"/>
  <c r="CH271" i="216"/>
  <c r="CF271" i="216"/>
  <c r="CE271" i="216"/>
  <c r="CB271" i="216"/>
  <c r="BZ271" i="216"/>
  <c r="BX271" i="216"/>
  <c r="BV271" i="216"/>
  <c r="BU271" i="216"/>
  <c r="BR271" i="216"/>
  <c r="BP271" i="216"/>
  <c r="BN271" i="216"/>
  <c r="BL271" i="216"/>
  <c r="BK271" i="216"/>
  <c r="BH271" i="216"/>
  <c r="BF271" i="216"/>
  <c r="BD271" i="216"/>
  <c r="BB271" i="216"/>
  <c r="BA271" i="216"/>
  <c r="AX271" i="216"/>
  <c r="AV271" i="216"/>
  <c r="AT271" i="216"/>
  <c r="AR271" i="216"/>
  <c r="AQ271" i="216"/>
  <c r="AN271" i="216"/>
  <c r="AL271" i="216"/>
  <c r="AJ271" i="216"/>
  <c r="AH271" i="216"/>
  <c r="AG271" i="216"/>
  <c r="AD271" i="216"/>
  <c r="AB271" i="216"/>
  <c r="Z271" i="216"/>
  <c r="X271" i="216"/>
  <c r="W271" i="216"/>
  <c r="T271" i="216"/>
  <c r="R271" i="216"/>
  <c r="P271" i="216"/>
  <c r="EP270" i="216"/>
  <c r="EL270" i="216"/>
  <c r="EK270" i="216"/>
  <c r="EJ270" i="216"/>
  <c r="EI270" i="216"/>
  <c r="EZ270" i="216" s="1"/>
  <c r="EG270" i="216"/>
  <c r="EN270" i="216" s="1"/>
  <c r="EE270" i="216"/>
  <c r="EM270" i="216" s="1"/>
  <c r="ED270" i="216"/>
  <c r="EC270" i="216"/>
  <c r="DZ270" i="216"/>
  <c r="DX270" i="216"/>
  <c r="DV270" i="216"/>
  <c r="DT270" i="216"/>
  <c r="DS270" i="216"/>
  <c r="DP270" i="216"/>
  <c r="DN270" i="216"/>
  <c r="DL270" i="216"/>
  <c r="DJ270" i="216"/>
  <c r="DI270" i="216"/>
  <c r="DF270" i="216"/>
  <c r="DD270" i="216"/>
  <c r="DB270" i="216"/>
  <c r="CZ270" i="216"/>
  <c r="CY270" i="216"/>
  <c r="CV270" i="216"/>
  <c r="CT270" i="216"/>
  <c r="CR270" i="216"/>
  <c r="CP270" i="216"/>
  <c r="CO270" i="216"/>
  <c r="CL270" i="216"/>
  <c r="CJ270" i="216"/>
  <c r="CH270" i="216"/>
  <c r="CF270" i="216"/>
  <c r="CE270" i="216"/>
  <c r="CB270" i="216"/>
  <c r="BZ270" i="216"/>
  <c r="BX270" i="216"/>
  <c r="BV270" i="216"/>
  <c r="BU270" i="216"/>
  <c r="BR270" i="216"/>
  <c r="BP270" i="216"/>
  <c r="BN270" i="216"/>
  <c r="BL270" i="216"/>
  <c r="BK270" i="216"/>
  <c r="BH270" i="216"/>
  <c r="BF270" i="216"/>
  <c r="BD270" i="216"/>
  <c r="BB270" i="216"/>
  <c r="BA270" i="216"/>
  <c r="AX270" i="216"/>
  <c r="AV270" i="216"/>
  <c r="AT270" i="216"/>
  <c r="AR270" i="216"/>
  <c r="AQ270" i="216"/>
  <c r="AN270" i="216"/>
  <c r="AL270" i="216"/>
  <c r="AJ270" i="216"/>
  <c r="AH270" i="216"/>
  <c r="AG270" i="216"/>
  <c r="AD270" i="216"/>
  <c r="AB270" i="216"/>
  <c r="Z270" i="216"/>
  <c r="X270" i="216"/>
  <c r="W270" i="216"/>
  <c r="T270" i="216"/>
  <c r="R270" i="216"/>
  <c r="P270" i="216"/>
  <c r="EB269" i="216"/>
  <c r="EA269" i="216"/>
  <c r="EP269" i="216" s="1"/>
  <c r="DY269" i="216"/>
  <c r="DW269" i="216"/>
  <c r="DU269" i="216"/>
  <c r="DR269" i="216"/>
  <c r="DQ269" i="216"/>
  <c r="DO269" i="216"/>
  <c r="DM269" i="216"/>
  <c r="DK269" i="216"/>
  <c r="DS269" i="216" s="1"/>
  <c r="DH269" i="216"/>
  <c r="DG269" i="216"/>
  <c r="DE269" i="216"/>
  <c r="DC269" i="216"/>
  <c r="DA269" i="216"/>
  <c r="CX269" i="216"/>
  <c r="CW269" i="216"/>
  <c r="CU269" i="216"/>
  <c r="CS269" i="216"/>
  <c r="CQ269" i="216"/>
  <c r="CN269" i="216"/>
  <c r="CM269" i="216"/>
  <c r="CK269" i="216"/>
  <c r="CI269" i="216"/>
  <c r="CG269" i="216"/>
  <c r="CD269" i="216"/>
  <c r="CC269" i="216"/>
  <c r="CA269" i="216"/>
  <c r="BY269" i="216"/>
  <c r="BW269" i="216"/>
  <c r="CE269" i="216" s="1"/>
  <c r="BT269" i="216"/>
  <c r="BS269" i="216"/>
  <c r="BQ269" i="216"/>
  <c r="BO269" i="216"/>
  <c r="BM269" i="216"/>
  <c r="BU269" i="216" s="1"/>
  <c r="BJ269" i="216"/>
  <c r="BI269" i="216"/>
  <c r="BG269" i="216"/>
  <c r="BE269" i="216"/>
  <c r="BC269" i="216"/>
  <c r="AZ269" i="216"/>
  <c r="AY269" i="216"/>
  <c r="AW269" i="216"/>
  <c r="AU269" i="216"/>
  <c r="AS269" i="216"/>
  <c r="AP269" i="216"/>
  <c r="AO269" i="216"/>
  <c r="AN269" i="216" s="1"/>
  <c r="AM269" i="216"/>
  <c r="AK269" i="216"/>
  <c r="AI269" i="216"/>
  <c r="AQ269" i="216" s="1"/>
  <c r="AF269" i="216"/>
  <c r="AE269" i="216"/>
  <c r="AC269" i="216"/>
  <c r="AA269" i="216"/>
  <c r="Y269" i="216"/>
  <c r="AG269" i="216" s="1"/>
  <c r="V269" i="216"/>
  <c r="U269" i="216"/>
  <c r="S269" i="216"/>
  <c r="Q269" i="216"/>
  <c r="O269" i="216"/>
  <c r="D269" i="216"/>
  <c r="EB268" i="216"/>
  <c r="EA268" i="216"/>
  <c r="DY268" i="216"/>
  <c r="DW268" i="216"/>
  <c r="DR268" i="216"/>
  <c r="DQ268" i="216"/>
  <c r="DO268" i="216"/>
  <c r="DM268" i="216"/>
  <c r="DK268" i="216"/>
  <c r="DH268" i="216"/>
  <c r="DG268" i="216"/>
  <c r="DE268" i="216"/>
  <c r="DC268" i="216"/>
  <c r="DA268" i="216"/>
  <c r="DI268" i="216" s="1"/>
  <c r="CX268" i="216"/>
  <c r="CW268" i="216"/>
  <c r="CU268" i="216"/>
  <c r="CS268" i="216"/>
  <c r="CQ268" i="216"/>
  <c r="CY268" i="216" s="1"/>
  <c r="CN268" i="216"/>
  <c r="CM268" i="216"/>
  <c r="CK268" i="216"/>
  <c r="CI268" i="216"/>
  <c r="CG268" i="216"/>
  <c r="CD268" i="216"/>
  <c r="CC268" i="216"/>
  <c r="CA268" i="216"/>
  <c r="BY268" i="216"/>
  <c r="BW268" i="216"/>
  <c r="BT268" i="216"/>
  <c r="BS268" i="216"/>
  <c r="BQ268" i="216"/>
  <c r="BO268" i="216"/>
  <c r="BM268" i="216"/>
  <c r="BU268" i="216" s="1"/>
  <c r="BJ268" i="216"/>
  <c r="BI268" i="216"/>
  <c r="BG268" i="216"/>
  <c r="BE268" i="216"/>
  <c r="BC268" i="216"/>
  <c r="BK268" i="216" s="1"/>
  <c r="AZ268" i="216"/>
  <c r="AY268" i="216"/>
  <c r="AW268" i="216"/>
  <c r="AU268" i="216"/>
  <c r="AS268" i="216"/>
  <c r="BA268" i="216" s="1"/>
  <c r="AP268" i="216"/>
  <c r="AO268" i="216"/>
  <c r="AM268" i="216"/>
  <c r="AK268" i="216"/>
  <c r="AI268" i="216"/>
  <c r="AF268" i="216"/>
  <c r="AE268" i="216"/>
  <c r="AC268" i="216"/>
  <c r="AA268" i="216"/>
  <c r="Y268" i="216"/>
  <c r="AG268" i="216" s="1"/>
  <c r="V268" i="216"/>
  <c r="U268" i="216"/>
  <c r="S268" i="216"/>
  <c r="Q268" i="216"/>
  <c r="O268" i="216"/>
  <c r="D268" i="216"/>
  <c r="EB267" i="216"/>
  <c r="EA267" i="216"/>
  <c r="EP267" i="216" s="1"/>
  <c r="DW267" i="216"/>
  <c r="DR267" i="216"/>
  <c r="DQ267" i="216"/>
  <c r="DO267" i="216"/>
  <c r="DM267" i="216"/>
  <c r="DK267" i="216"/>
  <c r="DS267" i="216" s="1"/>
  <c r="DH267" i="216"/>
  <c r="DG267" i="216"/>
  <c r="DE267" i="216"/>
  <c r="DC267" i="216"/>
  <c r="DA267" i="216"/>
  <c r="CX267" i="216"/>
  <c r="CW267" i="216"/>
  <c r="CU267" i="216"/>
  <c r="CS267" i="216"/>
  <c r="CQ267" i="216"/>
  <c r="CY267" i="216" s="1"/>
  <c r="CN267" i="216"/>
  <c r="CM267" i="216"/>
  <c r="CK267" i="216"/>
  <c r="CI267" i="216"/>
  <c r="CG267" i="216"/>
  <c r="CO267" i="216" s="1"/>
  <c r="CD267" i="216"/>
  <c r="CC267" i="216"/>
  <c r="CA267" i="216"/>
  <c r="BY267" i="216"/>
  <c r="BW267" i="216"/>
  <c r="BT267" i="216"/>
  <c r="BS267" i="216"/>
  <c r="BQ267" i="216"/>
  <c r="BO267" i="216"/>
  <c r="BM267" i="216"/>
  <c r="BJ267" i="216"/>
  <c r="BI267" i="216"/>
  <c r="BG267" i="216"/>
  <c r="BE267" i="216"/>
  <c r="BC267" i="216"/>
  <c r="BK267" i="216" s="1"/>
  <c r="AZ267" i="216"/>
  <c r="AY267" i="216"/>
  <c r="AU267" i="216"/>
  <c r="AP267" i="216"/>
  <c r="AO267" i="216"/>
  <c r="AM267" i="216"/>
  <c r="AK267" i="216"/>
  <c r="AI267" i="216"/>
  <c r="AQ267" i="216" s="1"/>
  <c r="AF267" i="216"/>
  <c r="AE267" i="216"/>
  <c r="AC267" i="216"/>
  <c r="AA267" i="216"/>
  <c r="Y267" i="216"/>
  <c r="AD267" i="216" s="1"/>
  <c r="V267" i="216"/>
  <c r="U267" i="216"/>
  <c r="S267" i="216"/>
  <c r="Q267" i="216"/>
  <c r="O267" i="216"/>
  <c r="D267" i="216"/>
  <c r="EB266" i="216"/>
  <c r="EA266" i="216"/>
  <c r="EP266" i="216" s="1"/>
  <c r="DW266" i="216"/>
  <c r="DR266" i="216"/>
  <c r="DQ266" i="216"/>
  <c r="DO266" i="216"/>
  <c r="DM266" i="216"/>
  <c r="DK266" i="216"/>
  <c r="DI266" i="216"/>
  <c r="DH266" i="216"/>
  <c r="DG266" i="216"/>
  <c r="DE266" i="216"/>
  <c r="DC266" i="216"/>
  <c r="DA266" i="216"/>
  <c r="CX266" i="216"/>
  <c r="CW266" i="216"/>
  <c r="CU266" i="216"/>
  <c r="CS266" i="216"/>
  <c r="CQ266" i="216"/>
  <c r="CN266" i="216"/>
  <c r="CM266" i="216"/>
  <c r="CK266" i="216"/>
  <c r="CI266" i="216"/>
  <c r="CG266" i="216"/>
  <c r="CO266" i="216" s="1"/>
  <c r="CD266" i="216"/>
  <c r="CC266" i="216"/>
  <c r="BY266" i="216"/>
  <c r="BT266" i="216"/>
  <c r="BS266" i="216"/>
  <c r="BQ266" i="216"/>
  <c r="BO266" i="216"/>
  <c r="BM266" i="216"/>
  <c r="BP266" i="216" s="1"/>
  <c r="BJ266" i="216"/>
  <c r="BI266" i="216"/>
  <c r="BG266" i="216"/>
  <c r="BE266" i="216"/>
  <c r="BC266" i="216"/>
  <c r="AZ266" i="216"/>
  <c r="AY266" i="216"/>
  <c r="AU266" i="216"/>
  <c r="AP266" i="216"/>
  <c r="AO266" i="216"/>
  <c r="AM266" i="216"/>
  <c r="AK266" i="216"/>
  <c r="AI266" i="216"/>
  <c r="AQ266" i="216" s="1"/>
  <c r="AF266" i="216"/>
  <c r="AE266" i="216"/>
  <c r="AC266" i="216"/>
  <c r="AA266" i="216"/>
  <c r="Y266" i="216"/>
  <c r="V266" i="216"/>
  <c r="U266" i="216"/>
  <c r="S266" i="216"/>
  <c r="Q266" i="216"/>
  <c r="O266" i="216"/>
  <c r="D266" i="216"/>
  <c r="EB265" i="216"/>
  <c r="EA265" i="216"/>
  <c r="DW265" i="216"/>
  <c r="DR265" i="216"/>
  <c r="DQ265" i="216"/>
  <c r="DO265" i="216"/>
  <c r="DM265" i="216"/>
  <c r="DK265" i="216"/>
  <c r="DS265" i="216" s="1"/>
  <c r="DH265" i="216"/>
  <c r="DG265" i="216"/>
  <c r="DE265" i="216"/>
  <c r="DC265" i="216"/>
  <c r="DA265" i="216"/>
  <c r="DI265" i="216" s="1"/>
  <c r="CX265" i="216"/>
  <c r="CW265" i="216"/>
  <c r="CU265" i="216"/>
  <c r="CS265" i="216"/>
  <c r="CR265" i="216" s="1"/>
  <c r="CQ265" i="216"/>
  <c r="CY265" i="216" s="1"/>
  <c r="CN265" i="216"/>
  <c r="CM265" i="216"/>
  <c r="CK265" i="216"/>
  <c r="CI265" i="216"/>
  <c r="CH265" i="216" s="1"/>
  <c r="CG265" i="216"/>
  <c r="CO265" i="216" s="1"/>
  <c r="CD265" i="216"/>
  <c r="CC265" i="216"/>
  <c r="CA265" i="216"/>
  <c r="BY265" i="216"/>
  <c r="BW265" i="216"/>
  <c r="BT265" i="216"/>
  <c r="BS265" i="216"/>
  <c r="BQ265" i="216"/>
  <c r="BO265" i="216"/>
  <c r="BM265" i="216"/>
  <c r="BU265" i="216" s="1"/>
  <c r="BJ265" i="216"/>
  <c r="BI265" i="216"/>
  <c r="BG265" i="216"/>
  <c r="BE265" i="216"/>
  <c r="BC265" i="216"/>
  <c r="BK265" i="216" s="1"/>
  <c r="AZ265" i="216"/>
  <c r="AY265" i="216"/>
  <c r="AU265" i="216"/>
  <c r="AP265" i="216"/>
  <c r="AO265" i="216"/>
  <c r="AM265" i="216"/>
  <c r="AK265" i="216"/>
  <c r="AI265" i="216"/>
  <c r="AF265" i="216"/>
  <c r="AE265" i="216"/>
  <c r="AD265" i="216" s="1"/>
  <c r="AC265" i="216"/>
  <c r="AA265" i="216"/>
  <c r="Y265" i="216"/>
  <c r="AG265" i="216" s="1"/>
  <c r="V265" i="216"/>
  <c r="U265" i="216"/>
  <c r="S265" i="216"/>
  <c r="Q265" i="216"/>
  <c r="O265" i="216"/>
  <c r="D265" i="216"/>
  <c r="EB264" i="216"/>
  <c r="EA264" i="216"/>
  <c r="DY264" i="216"/>
  <c r="DW264" i="216"/>
  <c r="DU264" i="216"/>
  <c r="EC264" i="216" s="1"/>
  <c r="DR264" i="216"/>
  <c r="DQ264" i="216"/>
  <c r="DO264" i="216"/>
  <c r="DN264" i="216" s="1"/>
  <c r="DM264" i="216"/>
  <c r="DK264" i="216"/>
  <c r="DS264" i="216" s="1"/>
  <c r="DH264" i="216"/>
  <c r="DG264" i="216"/>
  <c r="DE264" i="216"/>
  <c r="DD264" i="216" s="1"/>
  <c r="DC264" i="216"/>
  <c r="DA264" i="216"/>
  <c r="DI264" i="216" s="1"/>
  <c r="CX264" i="216"/>
  <c r="CW264" i="216"/>
  <c r="CU264" i="216"/>
  <c r="CS264" i="216"/>
  <c r="CQ264" i="216"/>
  <c r="CN264" i="216"/>
  <c r="CM264" i="216"/>
  <c r="CK264" i="216"/>
  <c r="CI264" i="216"/>
  <c r="CG264" i="216"/>
  <c r="CO264" i="216" s="1"/>
  <c r="CD264" i="216"/>
  <c r="CC264" i="216"/>
  <c r="CA264" i="216"/>
  <c r="BY264" i="216"/>
  <c r="BX264" i="216" s="1"/>
  <c r="BW264" i="216"/>
  <c r="CE264" i="216" s="1"/>
  <c r="BT264" i="216"/>
  <c r="BS264" i="216"/>
  <c r="BR264" i="216" s="1"/>
  <c r="BQ264" i="216"/>
  <c r="BP264" i="216" s="1"/>
  <c r="BO264" i="216"/>
  <c r="BM264" i="216"/>
  <c r="BU264" i="216" s="1"/>
  <c r="BJ264" i="216"/>
  <c r="BI264" i="216"/>
  <c r="BG264" i="216"/>
  <c r="BE264" i="216"/>
  <c r="BC264" i="216"/>
  <c r="BK264" i="216" s="1"/>
  <c r="AZ264" i="216"/>
  <c r="AY264" i="216"/>
  <c r="AW264" i="216"/>
  <c r="AU264" i="216"/>
  <c r="AS264" i="216"/>
  <c r="BA264" i="216" s="1"/>
  <c r="AP264" i="216"/>
  <c r="AO264" i="216"/>
  <c r="AN264" i="216" s="1"/>
  <c r="AM264" i="216"/>
  <c r="AL264" i="216" s="1"/>
  <c r="AK264" i="216"/>
  <c r="AI264" i="216"/>
  <c r="AQ264" i="216" s="1"/>
  <c r="AF264" i="216"/>
  <c r="AE264" i="216"/>
  <c r="AC264" i="216"/>
  <c r="AA264" i="216"/>
  <c r="Y264" i="216"/>
  <c r="V264" i="216"/>
  <c r="U264" i="216"/>
  <c r="T264" i="216" s="1"/>
  <c r="S264" i="216"/>
  <c r="Q264" i="216"/>
  <c r="O264" i="216"/>
  <c r="D264" i="216"/>
  <c r="ET263" i="216"/>
  <c r="ET265" i="216" s="1"/>
  <c r="EB263" i="216"/>
  <c r="EA263" i="216"/>
  <c r="DY263" i="216"/>
  <c r="DW263" i="216"/>
  <c r="DU263" i="216"/>
  <c r="DR263" i="216"/>
  <c r="DQ263" i="216"/>
  <c r="DM263" i="216"/>
  <c r="DH263" i="216"/>
  <c r="DG263" i="216"/>
  <c r="DC263" i="216"/>
  <c r="CX263" i="216"/>
  <c r="CW263" i="216"/>
  <c r="CV263" i="216" s="1"/>
  <c r="CU263" i="216"/>
  <c r="CS263" i="216"/>
  <c r="CR263" i="216" s="1"/>
  <c r="CQ263" i="216"/>
  <c r="CY263" i="216" s="1"/>
  <c r="CN263" i="216"/>
  <c r="CM263" i="216"/>
  <c r="CK263" i="216"/>
  <c r="CI263" i="216"/>
  <c r="CG263" i="216"/>
  <c r="CD263" i="216"/>
  <c r="CC263" i="216"/>
  <c r="CA263" i="216"/>
  <c r="BY263" i="216"/>
  <c r="BW263" i="216"/>
  <c r="BT263" i="216"/>
  <c r="BS263" i="216"/>
  <c r="BQ263" i="216"/>
  <c r="BO263" i="216"/>
  <c r="BM263" i="216"/>
  <c r="BU263" i="216" s="1"/>
  <c r="BJ263" i="216"/>
  <c r="BI263" i="216"/>
  <c r="BG263" i="216"/>
  <c r="BE263" i="216"/>
  <c r="BD263" i="216" s="1"/>
  <c r="BC263" i="216"/>
  <c r="BK263" i="216" s="1"/>
  <c r="AZ263" i="216"/>
  <c r="AY263" i="216"/>
  <c r="AW263" i="216"/>
  <c r="AU263" i="216"/>
  <c r="AS263" i="216"/>
  <c r="AP263" i="216"/>
  <c r="AO263" i="216"/>
  <c r="AM263" i="216"/>
  <c r="AK263" i="216"/>
  <c r="AI263" i="216"/>
  <c r="AF263" i="216"/>
  <c r="AE263" i="216"/>
  <c r="AC263" i="216"/>
  <c r="AB263" i="216" s="1"/>
  <c r="AA263" i="216"/>
  <c r="Y263" i="216"/>
  <c r="AG263" i="216" s="1"/>
  <c r="V263" i="216"/>
  <c r="U263" i="216"/>
  <c r="S263" i="216"/>
  <c r="Q263" i="216"/>
  <c r="O263" i="216"/>
  <c r="D263" i="216"/>
  <c r="ET262" i="216"/>
  <c r="EB262" i="216"/>
  <c r="DY262" i="216"/>
  <c r="DW262" i="216"/>
  <c r="DR262" i="216"/>
  <c r="DQ262" i="216"/>
  <c r="DO262" i="216"/>
  <c r="DM262" i="216"/>
  <c r="DH262" i="216"/>
  <c r="DG262" i="216"/>
  <c r="DC262" i="216"/>
  <c r="CX262" i="216"/>
  <c r="CW262" i="216"/>
  <c r="CU262" i="216"/>
  <c r="CS262" i="216"/>
  <c r="CQ262" i="216"/>
  <c r="CN262" i="216"/>
  <c r="CM262" i="216"/>
  <c r="CK262" i="216"/>
  <c r="CI262" i="216"/>
  <c r="CG262" i="216"/>
  <c r="CO262" i="216" s="1"/>
  <c r="CD262" i="216"/>
  <c r="CC262" i="216"/>
  <c r="CB262" i="216" s="1"/>
  <c r="CA262" i="216"/>
  <c r="BY262" i="216"/>
  <c r="BX262" i="216" s="1"/>
  <c r="BW262" i="216"/>
  <c r="CE262" i="216" s="1"/>
  <c r="BT262" i="216"/>
  <c r="BS262" i="216"/>
  <c r="BQ262" i="216"/>
  <c r="BO262" i="216"/>
  <c r="BM262" i="216"/>
  <c r="BU262" i="216" s="1"/>
  <c r="BJ262" i="216"/>
  <c r="BI262" i="216"/>
  <c r="BH262" i="216" s="1"/>
  <c r="BG262" i="216"/>
  <c r="BE262" i="216"/>
  <c r="BC262" i="216"/>
  <c r="BK262" i="216" s="1"/>
  <c r="AZ262" i="216"/>
  <c r="AY262" i="216"/>
  <c r="AW262" i="216"/>
  <c r="AU262" i="216"/>
  <c r="AP262" i="216"/>
  <c r="AO262" i="216"/>
  <c r="AM262" i="216"/>
  <c r="AK262" i="216"/>
  <c r="AI262" i="216"/>
  <c r="AQ262" i="216" s="1"/>
  <c r="AF262" i="216"/>
  <c r="AE262" i="216"/>
  <c r="AD262" i="216" s="1"/>
  <c r="AC262" i="216"/>
  <c r="AA262" i="216"/>
  <c r="Z262" i="216" s="1"/>
  <c r="Y262" i="216"/>
  <c r="AG262" i="216" s="1"/>
  <c r="V262" i="216"/>
  <c r="U262" i="216"/>
  <c r="S262" i="216"/>
  <c r="R262" i="216" s="1"/>
  <c r="Q262" i="216"/>
  <c r="O262" i="216"/>
  <c r="D262" i="216"/>
  <c r="ET261" i="216"/>
  <c r="EB261" i="216"/>
  <c r="EA261" i="216"/>
  <c r="EP261" i="216" s="1"/>
  <c r="EQ261" i="216" s="1"/>
  <c r="DW261" i="216"/>
  <c r="DR261" i="216"/>
  <c r="DQ261" i="216"/>
  <c r="DO261" i="216"/>
  <c r="DM261" i="216"/>
  <c r="DL261" i="216" s="1"/>
  <c r="DK261" i="216"/>
  <c r="DS261" i="216" s="1"/>
  <c r="DH261" i="216"/>
  <c r="DG261" i="216"/>
  <c r="DF261" i="216" s="1"/>
  <c r="DE261" i="216"/>
  <c r="DD261" i="216" s="1"/>
  <c r="DC261" i="216"/>
  <c r="DA261" i="216"/>
  <c r="DI261" i="216" s="1"/>
  <c r="CX261" i="216"/>
  <c r="CW261" i="216"/>
  <c r="CU261" i="216"/>
  <c r="CS261" i="216"/>
  <c r="CQ261" i="216"/>
  <c r="CN261" i="216"/>
  <c r="CM261" i="216"/>
  <c r="CK261" i="216"/>
  <c r="CI261" i="216"/>
  <c r="CG261" i="216"/>
  <c r="CO261" i="216" s="1"/>
  <c r="CD261" i="216"/>
  <c r="CC261" i="216"/>
  <c r="CA261" i="216"/>
  <c r="BY261" i="216"/>
  <c r="BX261" i="216"/>
  <c r="BW261" i="216"/>
  <c r="CE261" i="216" s="1"/>
  <c r="BT261" i="216"/>
  <c r="BS261" i="216"/>
  <c r="BR261" i="216" s="1"/>
  <c r="BQ261" i="216"/>
  <c r="BO261" i="216"/>
  <c r="BM261" i="216"/>
  <c r="BU261" i="216" s="1"/>
  <c r="BJ261" i="216"/>
  <c r="BI261" i="216"/>
  <c r="BE261" i="216"/>
  <c r="AZ261" i="216"/>
  <c r="AY261" i="216"/>
  <c r="AX261" i="216" s="1"/>
  <c r="AW261" i="216"/>
  <c r="AV261" i="216" s="1"/>
  <c r="AU261" i="216"/>
  <c r="AS261" i="216"/>
  <c r="BA261" i="216" s="1"/>
  <c r="AP261" i="216"/>
  <c r="AO261" i="216"/>
  <c r="AM261" i="216"/>
  <c r="AK261" i="216"/>
  <c r="AI261" i="216"/>
  <c r="AF261" i="216"/>
  <c r="AE261" i="216"/>
  <c r="AC261" i="216"/>
  <c r="AA261" i="216"/>
  <c r="Y261" i="216"/>
  <c r="AG261" i="216" s="1"/>
  <c r="V261" i="216"/>
  <c r="U261" i="216"/>
  <c r="S261" i="216"/>
  <c r="R261" i="216" s="1"/>
  <c r="Q261" i="216"/>
  <c r="O261" i="216"/>
  <c r="EB260" i="216"/>
  <c r="EA260" i="216"/>
  <c r="DY260" i="216"/>
  <c r="DW260" i="216"/>
  <c r="DU260" i="216"/>
  <c r="DR260" i="216"/>
  <c r="DQ260" i="216"/>
  <c r="DO260" i="216"/>
  <c r="DM260" i="216"/>
  <c r="DK260" i="216"/>
  <c r="DS260" i="216" s="1"/>
  <c r="DH260" i="216"/>
  <c r="DG260" i="216"/>
  <c r="DE260" i="216"/>
  <c r="DC260" i="216"/>
  <c r="DA260" i="216"/>
  <c r="DI260" i="216" s="1"/>
  <c r="CX260" i="216"/>
  <c r="CW260" i="216"/>
  <c r="CU260" i="216"/>
  <c r="CS260" i="216"/>
  <c r="CQ260" i="216"/>
  <c r="CY260" i="216" s="1"/>
  <c r="CN260" i="216"/>
  <c r="CM260" i="216"/>
  <c r="CK260" i="216"/>
  <c r="CI260" i="216"/>
  <c r="CG260" i="216"/>
  <c r="CO260" i="216" s="1"/>
  <c r="CD260" i="216"/>
  <c r="CC260" i="216"/>
  <c r="BY260" i="216"/>
  <c r="BT260" i="216"/>
  <c r="BS260" i="216"/>
  <c r="BQ260" i="216"/>
  <c r="BO260" i="216"/>
  <c r="BM260" i="216"/>
  <c r="BJ260" i="216"/>
  <c r="BI260" i="216"/>
  <c r="BG260" i="216"/>
  <c r="BE260" i="216"/>
  <c r="BC260" i="216"/>
  <c r="AZ260" i="216"/>
  <c r="AY260" i="216"/>
  <c r="AW260" i="216"/>
  <c r="AU260" i="216"/>
  <c r="AS260" i="216"/>
  <c r="BA260" i="216" s="1"/>
  <c r="AP260" i="216"/>
  <c r="AO260" i="216"/>
  <c r="AN260" i="216" s="1"/>
  <c r="AM260" i="216"/>
  <c r="AK260" i="216"/>
  <c r="AI260" i="216"/>
  <c r="AQ260" i="216" s="1"/>
  <c r="AF260" i="216"/>
  <c r="AE260" i="216"/>
  <c r="AC260" i="216"/>
  <c r="AA260" i="216"/>
  <c r="Y260" i="216"/>
  <c r="V260" i="216"/>
  <c r="U260" i="216"/>
  <c r="S260" i="216"/>
  <c r="Q260" i="216"/>
  <c r="O260" i="216"/>
  <c r="D260" i="216"/>
  <c r="EB259" i="216"/>
  <c r="EA259" i="216"/>
  <c r="EP259" i="216" s="1"/>
  <c r="DW259" i="216"/>
  <c r="DR259" i="216"/>
  <c r="DQ259" i="216"/>
  <c r="DM259" i="216"/>
  <c r="DH259" i="216"/>
  <c r="DG259" i="216"/>
  <c r="DE259" i="216"/>
  <c r="DC259" i="216"/>
  <c r="DA259" i="216"/>
  <c r="DI259" i="216" s="1"/>
  <c r="CX259" i="216"/>
  <c r="CW259" i="216"/>
  <c r="CU259" i="216"/>
  <c r="CS259" i="216"/>
  <c r="CQ259" i="216"/>
  <c r="CN259" i="216"/>
  <c r="CM259" i="216"/>
  <c r="CK259" i="216"/>
  <c r="CI259" i="216"/>
  <c r="CG259" i="216"/>
  <c r="CD259" i="216"/>
  <c r="CC259" i="216"/>
  <c r="CA259" i="216"/>
  <c r="BY259" i="216"/>
  <c r="BW259" i="216"/>
  <c r="CE259" i="216" s="1"/>
  <c r="BT259" i="216"/>
  <c r="BS259" i="216"/>
  <c r="BQ259" i="216"/>
  <c r="BO259" i="216"/>
  <c r="BM259" i="216"/>
  <c r="BU259" i="216" s="1"/>
  <c r="BJ259" i="216"/>
  <c r="BI259" i="216"/>
  <c r="BG259" i="216"/>
  <c r="BE259" i="216"/>
  <c r="BC259" i="216"/>
  <c r="BK259" i="216" s="1"/>
  <c r="AZ259" i="216"/>
  <c r="AY259" i="216"/>
  <c r="AU259" i="216"/>
  <c r="AP259" i="216"/>
  <c r="AO259" i="216"/>
  <c r="AM259" i="216"/>
  <c r="AL259" i="216" s="1"/>
  <c r="AK259" i="216"/>
  <c r="AI259" i="216"/>
  <c r="AQ259" i="216" s="1"/>
  <c r="AF259" i="216"/>
  <c r="AE259" i="216"/>
  <c r="AC259" i="216"/>
  <c r="AA259" i="216"/>
  <c r="Y259" i="216"/>
  <c r="AG259" i="216" s="1"/>
  <c r="V259" i="216"/>
  <c r="U259" i="216"/>
  <c r="S259" i="216"/>
  <c r="Q259" i="216"/>
  <c r="O259" i="216"/>
  <c r="D259" i="216"/>
  <c r="EB258" i="216"/>
  <c r="EA258" i="216"/>
  <c r="EP258" i="216" s="1"/>
  <c r="DY258" i="216"/>
  <c r="DW258" i="216"/>
  <c r="DR258" i="216"/>
  <c r="DQ258" i="216"/>
  <c r="DM258" i="216"/>
  <c r="DH258" i="216"/>
  <c r="DG258" i="216"/>
  <c r="DE258" i="216"/>
  <c r="DJ258" i="216" s="1"/>
  <c r="DC258" i="216"/>
  <c r="DA258" i="216"/>
  <c r="DI258" i="216" s="1"/>
  <c r="CX258" i="216"/>
  <c r="CW258" i="216"/>
  <c r="CU258" i="216"/>
  <c r="CS258" i="216"/>
  <c r="CQ258" i="216"/>
  <c r="CO258" i="216"/>
  <c r="CN258" i="216"/>
  <c r="CM258" i="216"/>
  <c r="CK258" i="216"/>
  <c r="CI258" i="216"/>
  <c r="CG258" i="216"/>
  <c r="CJ258" i="216" s="1"/>
  <c r="CD258" i="216"/>
  <c r="CC258" i="216"/>
  <c r="CA258" i="216"/>
  <c r="BY258" i="216"/>
  <c r="BW258" i="216"/>
  <c r="BT258" i="216"/>
  <c r="BS258" i="216"/>
  <c r="BQ258" i="216"/>
  <c r="BO258" i="216"/>
  <c r="BM258" i="216"/>
  <c r="BU258" i="216" s="1"/>
  <c r="BJ258" i="216"/>
  <c r="BI258" i="216"/>
  <c r="BG258" i="216"/>
  <c r="BE258" i="216"/>
  <c r="BC258" i="216"/>
  <c r="AZ258" i="216"/>
  <c r="AY258" i="216"/>
  <c r="AU258" i="216"/>
  <c r="AP258" i="216"/>
  <c r="AO258" i="216"/>
  <c r="AM258" i="216"/>
  <c r="AK258" i="216"/>
  <c r="AI258" i="216"/>
  <c r="AF258" i="216"/>
  <c r="AE258" i="216"/>
  <c r="AC258" i="216"/>
  <c r="AA258" i="216"/>
  <c r="Z258" i="216" s="1"/>
  <c r="Y258" i="216"/>
  <c r="AG258" i="216" s="1"/>
  <c r="V258" i="216"/>
  <c r="U258" i="216"/>
  <c r="S258" i="216"/>
  <c r="Q258" i="216"/>
  <c r="O258" i="216"/>
  <c r="D258" i="216"/>
  <c r="EB257" i="216"/>
  <c r="EA257" i="216"/>
  <c r="EP257" i="216" s="1"/>
  <c r="DY257" i="216"/>
  <c r="DW257" i="216"/>
  <c r="DR257" i="216"/>
  <c r="DQ257" i="216"/>
  <c r="DO257" i="216"/>
  <c r="DM257" i="216"/>
  <c r="DT257" i="216" s="1"/>
  <c r="DK257" i="216"/>
  <c r="DH257" i="216"/>
  <c r="DG257" i="216"/>
  <c r="DE257" i="216"/>
  <c r="DC257" i="216"/>
  <c r="DA257" i="216"/>
  <c r="CX257" i="216"/>
  <c r="CW257" i="216"/>
  <c r="CV257" i="216" s="1"/>
  <c r="CU257" i="216"/>
  <c r="CS257" i="216"/>
  <c r="CQ257" i="216"/>
  <c r="CY257" i="216" s="1"/>
  <c r="CN257" i="216"/>
  <c r="CM257" i="216"/>
  <c r="CK257" i="216"/>
  <c r="CI257" i="216"/>
  <c r="CH257" i="216"/>
  <c r="CG257" i="216"/>
  <c r="CO257" i="216" s="1"/>
  <c r="CD257" i="216"/>
  <c r="CC257" i="216"/>
  <c r="BY257" i="216"/>
  <c r="BT257" i="216"/>
  <c r="BS257" i="216"/>
  <c r="BQ257" i="216"/>
  <c r="BO257" i="216"/>
  <c r="BM257" i="216"/>
  <c r="BJ257" i="216"/>
  <c r="BI257" i="216"/>
  <c r="BG257" i="216"/>
  <c r="BE257" i="216"/>
  <c r="BC257" i="216"/>
  <c r="BK257" i="216" s="1"/>
  <c r="AZ257" i="216"/>
  <c r="AY257" i="216"/>
  <c r="AX257" i="216" s="1"/>
  <c r="AW257" i="216"/>
  <c r="AU257" i="216"/>
  <c r="AS257" i="216"/>
  <c r="BA257" i="216" s="1"/>
  <c r="AP257" i="216"/>
  <c r="AO257" i="216"/>
  <c r="AM257" i="216"/>
  <c r="AK257" i="216"/>
  <c r="AI257" i="216"/>
  <c r="AF257" i="216"/>
  <c r="AE257" i="216"/>
  <c r="AC257" i="216"/>
  <c r="AA257" i="216"/>
  <c r="Y257" i="216"/>
  <c r="V257" i="216"/>
  <c r="U257" i="216"/>
  <c r="S257" i="216"/>
  <c r="Q257" i="216"/>
  <c r="O257" i="216"/>
  <c r="D257" i="216"/>
  <c r="EB256" i="216"/>
  <c r="EA256" i="216"/>
  <c r="EP256" i="216" s="1"/>
  <c r="DW256" i="216"/>
  <c r="DR256" i="216"/>
  <c r="DQ256" i="216"/>
  <c r="DO256" i="216"/>
  <c r="DM256" i="216"/>
  <c r="DK256" i="216"/>
  <c r="DS256" i="216" s="1"/>
  <c r="DH256" i="216"/>
  <c r="DG256" i="216"/>
  <c r="DE256" i="216"/>
  <c r="DC256" i="216"/>
  <c r="DA256" i="216"/>
  <c r="CX256" i="216"/>
  <c r="CW256" i="216"/>
  <c r="CU256" i="216"/>
  <c r="CS256" i="216"/>
  <c r="CQ256" i="216"/>
  <c r="CN256" i="216"/>
  <c r="CM256" i="216"/>
  <c r="CK256" i="216"/>
  <c r="CI256" i="216"/>
  <c r="CG256" i="216"/>
  <c r="CD256" i="216"/>
  <c r="CC256" i="216"/>
  <c r="BY256" i="216"/>
  <c r="BW256" i="216"/>
  <c r="BT256" i="216"/>
  <c r="BS256" i="216"/>
  <c r="BQ256" i="216"/>
  <c r="BO256" i="216"/>
  <c r="BM256" i="216"/>
  <c r="BJ256" i="216"/>
  <c r="BI256" i="216"/>
  <c r="BG256" i="216"/>
  <c r="BE256" i="216"/>
  <c r="BC256" i="216"/>
  <c r="BK256" i="216" s="1"/>
  <c r="AZ256" i="216"/>
  <c r="AY256" i="216"/>
  <c r="AX256" i="216" s="1"/>
  <c r="AW256" i="216"/>
  <c r="AU256" i="216"/>
  <c r="AS256" i="216"/>
  <c r="BA256" i="216" s="1"/>
  <c r="AP256" i="216"/>
  <c r="AO256" i="216"/>
  <c r="AM256" i="216"/>
  <c r="AK256" i="216"/>
  <c r="AI256" i="216"/>
  <c r="AQ256" i="216" s="1"/>
  <c r="AF256" i="216"/>
  <c r="AE256" i="216"/>
  <c r="AC256" i="216"/>
  <c r="AA256" i="216"/>
  <c r="Y256" i="216"/>
  <c r="V256" i="216"/>
  <c r="U256" i="216"/>
  <c r="S256" i="216"/>
  <c r="Q256" i="216"/>
  <c r="O256" i="216"/>
  <c r="D256" i="216"/>
  <c r="EB255" i="216"/>
  <c r="EA255" i="216"/>
  <c r="EP255" i="216" s="1"/>
  <c r="DY255" i="216"/>
  <c r="DW255" i="216"/>
  <c r="DU255" i="216"/>
  <c r="DR255" i="216"/>
  <c r="DQ255" i="216"/>
  <c r="DO255" i="216"/>
  <c r="DM255" i="216"/>
  <c r="DK255" i="216"/>
  <c r="DS255" i="216" s="1"/>
  <c r="DH255" i="216"/>
  <c r="DG255" i="216"/>
  <c r="DE255" i="216"/>
  <c r="DD255" i="216" s="1"/>
  <c r="DC255" i="216"/>
  <c r="DB255" i="216" s="1"/>
  <c r="DA255" i="216"/>
  <c r="DI255" i="216" s="1"/>
  <c r="CX255" i="216"/>
  <c r="CW255" i="216"/>
  <c r="CU255" i="216"/>
  <c r="CS255" i="216"/>
  <c r="CQ255" i="216"/>
  <c r="CY255" i="216" s="1"/>
  <c r="CN255" i="216"/>
  <c r="CM255" i="216"/>
  <c r="CK255" i="216"/>
  <c r="CI255" i="216"/>
  <c r="CG255" i="216"/>
  <c r="CD255" i="216"/>
  <c r="CC255" i="216"/>
  <c r="CB255" i="216" s="1"/>
  <c r="CA255" i="216"/>
  <c r="BZ255" i="216" s="1"/>
  <c r="BY255" i="216"/>
  <c r="BX255" i="216" s="1"/>
  <c r="BW255" i="216"/>
  <c r="CE255" i="216" s="1"/>
  <c r="BT255" i="216"/>
  <c r="BS255" i="216"/>
  <c r="BO255" i="216"/>
  <c r="BJ255" i="216"/>
  <c r="BI255" i="216"/>
  <c r="BH255" i="216" s="1"/>
  <c r="BG255" i="216"/>
  <c r="BE255" i="216"/>
  <c r="BC255" i="216"/>
  <c r="AZ255" i="216"/>
  <c r="AY255" i="216"/>
  <c r="AW255" i="216"/>
  <c r="AU255" i="216"/>
  <c r="AS255" i="216"/>
  <c r="AP255" i="216"/>
  <c r="AO255" i="216"/>
  <c r="AM255" i="216"/>
  <c r="AK255" i="216"/>
  <c r="AI255" i="216"/>
  <c r="AQ255" i="216" s="1"/>
  <c r="AF255" i="216"/>
  <c r="AE255" i="216"/>
  <c r="AC255" i="216"/>
  <c r="AA255" i="216"/>
  <c r="Y255" i="216"/>
  <c r="AG255" i="216" s="1"/>
  <c r="V255" i="216"/>
  <c r="U255" i="216"/>
  <c r="S255" i="216"/>
  <c r="Q255" i="216"/>
  <c r="O255" i="216"/>
  <c r="D255" i="216"/>
  <c r="EB254" i="216"/>
  <c r="EA254" i="216"/>
  <c r="EP254" i="216" s="1"/>
  <c r="DY254" i="216"/>
  <c r="DW254" i="216"/>
  <c r="DU254" i="216"/>
  <c r="DX254" i="216" s="1"/>
  <c r="DR254" i="216"/>
  <c r="DQ254" i="216"/>
  <c r="DM254" i="216"/>
  <c r="DH254" i="216"/>
  <c r="DG254" i="216"/>
  <c r="DC254" i="216"/>
  <c r="CX254" i="216"/>
  <c r="CW254" i="216"/>
  <c r="CU254" i="216"/>
  <c r="CS254" i="216"/>
  <c r="CQ254" i="216"/>
  <c r="CY254" i="216" s="1"/>
  <c r="CO254" i="216"/>
  <c r="CN254" i="216"/>
  <c r="CM254" i="216"/>
  <c r="CL254" i="216" s="1"/>
  <c r="CK254" i="216"/>
  <c r="CI254" i="216"/>
  <c r="CG254" i="216"/>
  <c r="CD254" i="216"/>
  <c r="CC254" i="216"/>
  <c r="CA254" i="216"/>
  <c r="BY254" i="216"/>
  <c r="BW254" i="216"/>
  <c r="BT254" i="216"/>
  <c r="BS254" i="216"/>
  <c r="BQ254" i="216"/>
  <c r="BO254" i="216"/>
  <c r="BM254" i="216"/>
  <c r="BU254" i="216" s="1"/>
  <c r="BJ254" i="216"/>
  <c r="BI254" i="216"/>
  <c r="BG254" i="216"/>
  <c r="BE254" i="216"/>
  <c r="BC254" i="216"/>
  <c r="BK254" i="216" s="1"/>
  <c r="AZ254" i="216"/>
  <c r="AY254" i="216"/>
  <c r="AU254" i="216"/>
  <c r="AP254" i="216"/>
  <c r="AO254" i="216"/>
  <c r="AM254" i="216"/>
  <c r="AK254" i="216"/>
  <c r="AI254" i="216"/>
  <c r="AF254" i="216"/>
  <c r="AE254" i="216"/>
  <c r="AD254" i="216" s="1"/>
  <c r="AC254" i="216"/>
  <c r="AA254" i="216"/>
  <c r="Y254" i="216"/>
  <c r="AG254" i="216" s="1"/>
  <c r="V254" i="216"/>
  <c r="U254" i="216"/>
  <c r="S254" i="216"/>
  <c r="Q254" i="216"/>
  <c r="O254" i="216"/>
  <c r="P254" i="216" s="1"/>
  <c r="D254" i="216"/>
  <c r="EB253" i="216"/>
  <c r="EA253" i="216"/>
  <c r="EP253" i="216" s="1"/>
  <c r="DW253" i="216"/>
  <c r="DR253" i="216"/>
  <c r="DQ253" i="216"/>
  <c r="DO253" i="216"/>
  <c r="DM253" i="216"/>
  <c r="DK253" i="216"/>
  <c r="DH253" i="216"/>
  <c r="DG253" i="216"/>
  <c r="DE253" i="216"/>
  <c r="DC253" i="216"/>
  <c r="DA253" i="216"/>
  <c r="CX253" i="216"/>
  <c r="CW253" i="216"/>
  <c r="CV253" i="216" s="1"/>
  <c r="CU253" i="216"/>
  <c r="CS253" i="216"/>
  <c r="CQ253" i="216"/>
  <c r="CY253" i="216" s="1"/>
  <c r="CN253" i="216"/>
  <c r="CM253" i="216"/>
  <c r="CK253" i="216"/>
  <c r="CI253" i="216"/>
  <c r="CH253" i="216"/>
  <c r="CG253" i="216"/>
  <c r="CO253" i="216" s="1"/>
  <c r="CD253" i="216"/>
  <c r="CC253" i="216"/>
  <c r="CA253" i="216"/>
  <c r="BY253" i="216"/>
  <c r="BW253" i="216"/>
  <c r="BT253" i="216"/>
  <c r="BS253" i="216"/>
  <c r="BQ253" i="216"/>
  <c r="BO253" i="216"/>
  <c r="BM253" i="216"/>
  <c r="BJ253" i="216"/>
  <c r="BI253" i="216"/>
  <c r="BE253" i="216"/>
  <c r="AZ253" i="216"/>
  <c r="AY253" i="216"/>
  <c r="AW253" i="216"/>
  <c r="AU253" i="216"/>
  <c r="AS253" i="216"/>
  <c r="BA253" i="216" s="1"/>
  <c r="AP253" i="216"/>
  <c r="AO253" i="216"/>
  <c r="AM253" i="216"/>
  <c r="AK253" i="216"/>
  <c r="AI253" i="216"/>
  <c r="AL253" i="216" s="1"/>
  <c r="AF253" i="216"/>
  <c r="AE253" i="216"/>
  <c r="AC253" i="216"/>
  <c r="AA253" i="216"/>
  <c r="Y253" i="216"/>
  <c r="AG253" i="216" s="1"/>
  <c r="V253" i="216"/>
  <c r="U253" i="216"/>
  <c r="S253" i="216"/>
  <c r="R253" i="216" s="1"/>
  <c r="Q253" i="216"/>
  <c r="P253" i="216" s="1"/>
  <c r="O253" i="216"/>
  <c r="D253" i="216"/>
  <c r="EB252" i="216"/>
  <c r="EA252" i="216"/>
  <c r="EP252" i="216" s="1"/>
  <c r="DW252" i="216"/>
  <c r="DR252" i="216"/>
  <c r="DQ252" i="216"/>
  <c r="DO252" i="216"/>
  <c r="DM252" i="216"/>
  <c r="DK252" i="216"/>
  <c r="DH252" i="216"/>
  <c r="DG252" i="216"/>
  <c r="DE252" i="216"/>
  <c r="DC252" i="216"/>
  <c r="CX252" i="216"/>
  <c r="CW252" i="216"/>
  <c r="CU252" i="216"/>
  <c r="CS252" i="216"/>
  <c r="CQ252" i="216"/>
  <c r="CN252" i="216"/>
  <c r="CM252" i="216"/>
  <c r="CK252" i="216"/>
  <c r="CI252" i="216"/>
  <c r="CH252" i="216" s="1"/>
  <c r="CG252" i="216"/>
  <c r="CO252" i="216" s="1"/>
  <c r="CD252" i="216"/>
  <c r="CC252" i="216"/>
  <c r="CA252" i="216"/>
  <c r="BY252" i="216"/>
  <c r="BW252" i="216"/>
  <c r="BT252" i="216"/>
  <c r="BS252" i="216"/>
  <c r="BO252" i="216"/>
  <c r="BM252" i="216"/>
  <c r="BJ252" i="216"/>
  <c r="BI252" i="216"/>
  <c r="BG252" i="216"/>
  <c r="BE252" i="216"/>
  <c r="BC252" i="216"/>
  <c r="AZ252" i="216"/>
  <c r="AY252" i="216"/>
  <c r="AW252" i="216"/>
  <c r="AU252" i="216"/>
  <c r="AS252" i="216"/>
  <c r="AP252" i="216"/>
  <c r="AO252" i="216"/>
  <c r="AM252" i="216"/>
  <c r="AK252" i="216"/>
  <c r="AI252" i="216"/>
  <c r="AF252" i="216"/>
  <c r="AE252" i="216"/>
  <c r="AD252" i="216" s="1"/>
  <c r="AC252" i="216"/>
  <c r="AA252" i="216"/>
  <c r="Y252" i="216"/>
  <c r="V252" i="216"/>
  <c r="U252" i="216"/>
  <c r="S252" i="216"/>
  <c r="Q252" i="216"/>
  <c r="O252" i="216"/>
  <c r="D252" i="216"/>
  <c r="EB251" i="216"/>
  <c r="EA251" i="216"/>
  <c r="EP251" i="216" s="1"/>
  <c r="DW251" i="216"/>
  <c r="DR251" i="216"/>
  <c r="DQ251" i="216"/>
  <c r="DM251" i="216"/>
  <c r="DH251" i="216"/>
  <c r="DG251" i="216"/>
  <c r="DE251" i="216"/>
  <c r="DC251" i="216"/>
  <c r="DA251" i="216"/>
  <c r="DI251" i="216" s="1"/>
  <c r="CX251" i="216"/>
  <c r="CW251" i="216"/>
  <c r="CU251" i="216"/>
  <c r="CS251" i="216"/>
  <c r="CQ251" i="216"/>
  <c r="CN251" i="216"/>
  <c r="CM251" i="216"/>
  <c r="CK251" i="216"/>
  <c r="CI251" i="216"/>
  <c r="CG251" i="216"/>
  <c r="CD251" i="216"/>
  <c r="CC251" i="216"/>
  <c r="CA251" i="216"/>
  <c r="BY251" i="216"/>
  <c r="BW251" i="216"/>
  <c r="BT251" i="216"/>
  <c r="BS251" i="216"/>
  <c r="BQ251" i="216"/>
  <c r="BO251" i="216"/>
  <c r="BM251" i="216"/>
  <c r="BU251" i="216" s="1"/>
  <c r="BJ251" i="216"/>
  <c r="BI251" i="216"/>
  <c r="BE251" i="216"/>
  <c r="AZ251" i="216"/>
  <c r="AY251" i="216"/>
  <c r="AW251" i="216"/>
  <c r="AU251" i="216"/>
  <c r="AS251" i="216"/>
  <c r="AP251" i="216"/>
  <c r="AO251" i="216"/>
  <c r="AM251" i="216"/>
  <c r="AK251" i="216"/>
  <c r="AI251" i="216"/>
  <c r="AQ251" i="216" s="1"/>
  <c r="AF251" i="216"/>
  <c r="AE251" i="216"/>
  <c r="AC251" i="216"/>
  <c r="AA251" i="216"/>
  <c r="Y251" i="216"/>
  <c r="AG251" i="216" s="1"/>
  <c r="V251" i="216"/>
  <c r="U251" i="216"/>
  <c r="T251" i="216" s="1"/>
  <c r="S251" i="216"/>
  <c r="R251" i="216" s="1"/>
  <c r="Q251" i="216"/>
  <c r="O251" i="216"/>
  <c r="D251" i="216"/>
  <c r="EB250" i="216"/>
  <c r="EA250" i="216"/>
  <c r="EP250" i="216" s="1"/>
  <c r="DY250" i="216"/>
  <c r="DW250" i="216"/>
  <c r="DR250" i="216"/>
  <c r="DQ250" i="216"/>
  <c r="DM250" i="216"/>
  <c r="DH250" i="216"/>
  <c r="DG250" i="216"/>
  <c r="DE250" i="216"/>
  <c r="DC250" i="216"/>
  <c r="DA250" i="216"/>
  <c r="DI250" i="216" s="1"/>
  <c r="CX250" i="216"/>
  <c r="CW250" i="216"/>
  <c r="CU250" i="216"/>
  <c r="CS250" i="216"/>
  <c r="CQ250" i="216"/>
  <c r="CY250" i="216" s="1"/>
  <c r="CN250" i="216"/>
  <c r="CM250" i="216"/>
  <c r="CK250" i="216"/>
  <c r="CI250" i="216"/>
  <c r="CG250" i="216"/>
  <c r="CO250" i="216" s="1"/>
  <c r="CD250" i="216"/>
  <c r="CC250" i="216"/>
  <c r="CA250" i="216"/>
  <c r="BY250" i="216"/>
  <c r="BW250" i="216"/>
  <c r="BT250" i="216"/>
  <c r="BS250" i="216"/>
  <c r="BR250" i="216" s="1"/>
  <c r="BQ250" i="216"/>
  <c r="BP250" i="216" s="1"/>
  <c r="BO250" i="216"/>
  <c r="BM250" i="216"/>
  <c r="BU250" i="216" s="1"/>
  <c r="BJ250" i="216"/>
  <c r="BI250" i="216"/>
  <c r="BG250" i="216"/>
  <c r="BE250" i="216"/>
  <c r="BC250" i="216"/>
  <c r="BK250" i="216" s="1"/>
  <c r="AZ250" i="216"/>
  <c r="AY250" i="216"/>
  <c r="AU250" i="216"/>
  <c r="AP250" i="216"/>
  <c r="AO250" i="216"/>
  <c r="AM250" i="216"/>
  <c r="AK250" i="216"/>
  <c r="AI250" i="216"/>
  <c r="AQ250" i="216" s="1"/>
  <c r="AF250" i="216"/>
  <c r="AE250" i="216"/>
  <c r="AC250" i="216"/>
  <c r="AA250" i="216"/>
  <c r="Y250" i="216"/>
  <c r="AG250" i="216" s="1"/>
  <c r="V250" i="216"/>
  <c r="U250" i="216"/>
  <c r="T250" i="216" s="1"/>
  <c r="S250" i="216"/>
  <c r="Q250" i="216"/>
  <c r="P250" i="216" s="1"/>
  <c r="O250" i="216"/>
  <c r="D250" i="216"/>
  <c r="EB249" i="216"/>
  <c r="EA249" i="216"/>
  <c r="DY249" i="216"/>
  <c r="DW249" i="216"/>
  <c r="DU249" i="216"/>
  <c r="EC249" i="216" s="1"/>
  <c r="DR249" i="216"/>
  <c r="DQ249" i="216"/>
  <c r="DM249" i="216"/>
  <c r="DH249" i="216"/>
  <c r="DG249" i="216"/>
  <c r="DE249" i="216"/>
  <c r="DC249" i="216"/>
  <c r="DA249" i="216"/>
  <c r="DI249" i="216" s="1"/>
  <c r="CX249" i="216"/>
  <c r="CW249" i="216"/>
  <c r="CU249" i="216"/>
  <c r="CS249" i="216"/>
  <c r="CQ249" i="216"/>
  <c r="CY249" i="216" s="1"/>
  <c r="CN249" i="216"/>
  <c r="CM249" i="216"/>
  <c r="CL249" i="216" s="1"/>
  <c r="CK249" i="216"/>
  <c r="CJ249" i="216" s="1"/>
  <c r="CI249" i="216"/>
  <c r="CG249" i="216"/>
  <c r="CO249" i="216" s="1"/>
  <c r="CD249" i="216"/>
  <c r="CC249" i="216"/>
  <c r="CA249" i="216"/>
  <c r="BY249" i="216"/>
  <c r="BW249" i="216"/>
  <c r="BT249" i="216"/>
  <c r="BS249" i="216"/>
  <c r="BQ249" i="216"/>
  <c r="BO249" i="216"/>
  <c r="BM249" i="216"/>
  <c r="BJ249" i="216"/>
  <c r="BI249" i="216"/>
  <c r="BG249" i="216"/>
  <c r="BE249" i="216"/>
  <c r="BC249" i="216"/>
  <c r="BK249" i="216" s="1"/>
  <c r="AZ249" i="216"/>
  <c r="AY249" i="216"/>
  <c r="AU249" i="216"/>
  <c r="AS249" i="216"/>
  <c r="AP249" i="216"/>
  <c r="AO249" i="216"/>
  <c r="AN249" i="216" s="1"/>
  <c r="AM249" i="216"/>
  <c r="AL249" i="216" s="1"/>
  <c r="AK249" i="216"/>
  <c r="AI249" i="216"/>
  <c r="AQ249" i="216" s="1"/>
  <c r="AG249" i="216"/>
  <c r="AF249" i="216"/>
  <c r="AE249" i="216"/>
  <c r="AD249" i="216" s="1"/>
  <c r="AC249" i="216"/>
  <c r="AA249" i="216"/>
  <c r="Y249" i="216"/>
  <c r="V249" i="216"/>
  <c r="U249" i="216"/>
  <c r="S249" i="216"/>
  <c r="Q249" i="216"/>
  <c r="O249" i="216"/>
  <c r="D249" i="216"/>
  <c r="EP248" i="216"/>
  <c r="EB248" i="216"/>
  <c r="EA248" i="216"/>
  <c r="DY248" i="216"/>
  <c r="DW248" i="216"/>
  <c r="DR248" i="216"/>
  <c r="DQ248" i="216"/>
  <c r="DM248" i="216"/>
  <c r="DI248" i="216"/>
  <c r="DH248" i="216"/>
  <c r="DG248" i="216"/>
  <c r="DE248" i="216"/>
  <c r="DD248" i="216" s="1"/>
  <c r="DC248" i="216"/>
  <c r="DA248" i="216"/>
  <c r="CX248" i="216"/>
  <c r="CW248" i="216"/>
  <c r="CU248" i="216"/>
  <c r="CS248" i="216"/>
  <c r="CQ248" i="216"/>
  <c r="CN248" i="216"/>
  <c r="CM248" i="216"/>
  <c r="CI248" i="216"/>
  <c r="CG248" i="216"/>
  <c r="CD248" i="216"/>
  <c r="CC248" i="216"/>
  <c r="CA248" i="216"/>
  <c r="BY248" i="216"/>
  <c r="BW248" i="216"/>
  <c r="CE248" i="216" s="1"/>
  <c r="BT248" i="216"/>
  <c r="BS248" i="216"/>
  <c r="BQ248" i="216"/>
  <c r="BO248" i="216"/>
  <c r="BM248" i="216"/>
  <c r="BU248" i="216" s="1"/>
  <c r="BJ248" i="216"/>
  <c r="BI248" i="216"/>
  <c r="BE248" i="216"/>
  <c r="AZ248" i="216"/>
  <c r="AY248" i="216"/>
  <c r="AW248" i="216"/>
  <c r="AU248" i="216"/>
  <c r="AS248" i="216"/>
  <c r="BA248" i="216" s="1"/>
  <c r="AP248" i="216"/>
  <c r="AO248" i="216"/>
  <c r="AM248" i="216"/>
  <c r="AK248" i="216"/>
  <c r="AJ248" i="216"/>
  <c r="AI248" i="216"/>
  <c r="AQ248" i="216" s="1"/>
  <c r="AF248" i="216"/>
  <c r="AE248" i="216"/>
  <c r="AD248" i="216"/>
  <c r="AC248" i="216"/>
  <c r="AB248" i="216" s="1"/>
  <c r="AA248" i="216"/>
  <c r="Y248" i="216"/>
  <c r="AG248" i="216" s="1"/>
  <c r="V248" i="216"/>
  <c r="U248" i="216"/>
  <c r="S248" i="216"/>
  <c r="Q248" i="216"/>
  <c r="O248" i="216"/>
  <c r="D248" i="216"/>
  <c r="EB247" i="216"/>
  <c r="EA247" i="216"/>
  <c r="EP247" i="216" s="1"/>
  <c r="DW247" i="216"/>
  <c r="DR247" i="216"/>
  <c r="DQ247" i="216"/>
  <c r="DM247" i="216"/>
  <c r="DH247" i="216"/>
  <c r="DG247" i="216"/>
  <c r="DC247" i="216"/>
  <c r="CX247" i="216"/>
  <c r="CW247" i="216"/>
  <c r="CU247" i="216"/>
  <c r="CS247" i="216"/>
  <c r="CQ247" i="216"/>
  <c r="CY247" i="216" s="1"/>
  <c r="CN247" i="216"/>
  <c r="CM247" i="216"/>
  <c r="CK247" i="216"/>
  <c r="CI247" i="216"/>
  <c r="CG247" i="216"/>
  <c r="CO247" i="216" s="1"/>
  <c r="CD247" i="216"/>
  <c r="CC247" i="216"/>
  <c r="CA247" i="216"/>
  <c r="BY247" i="216"/>
  <c r="BX247" i="216" s="1"/>
  <c r="BW247" i="216"/>
  <c r="CE247" i="216" s="1"/>
  <c r="BT247" i="216"/>
  <c r="BS247" i="216"/>
  <c r="BQ247" i="216"/>
  <c r="BO247" i="216"/>
  <c r="BM247" i="216"/>
  <c r="BU247" i="216" s="1"/>
  <c r="BJ247" i="216"/>
  <c r="BI247" i="216"/>
  <c r="BE247" i="216"/>
  <c r="AZ247" i="216"/>
  <c r="AY247" i="216"/>
  <c r="AW247" i="216"/>
  <c r="AU247" i="216"/>
  <c r="AS247" i="216"/>
  <c r="AP247" i="216"/>
  <c r="AO247" i="216"/>
  <c r="AM247" i="216"/>
  <c r="AK247" i="216"/>
  <c r="AI247" i="216"/>
  <c r="AF247" i="216"/>
  <c r="AE247" i="216"/>
  <c r="AC247" i="216"/>
  <c r="AA247" i="216"/>
  <c r="Y247" i="216"/>
  <c r="AG247" i="216" s="1"/>
  <c r="V247" i="216"/>
  <c r="U247" i="216"/>
  <c r="T247" i="216" s="1"/>
  <c r="S247" i="216"/>
  <c r="R247" i="216" s="1"/>
  <c r="Q247" i="216"/>
  <c r="O247" i="216"/>
  <c r="D247" i="216"/>
  <c r="EB246" i="216"/>
  <c r="EA246" i="216"/>
  <c r="EP246" i="216" s="1"/>
  <c r="DW246" i="216"/>
  <c r="DU246" i="216"/>
  <c r="DR246" i="216"/>
  <c r="DQ246" i="216"/>
  <c r="DO246" i="216"/>
  <c r="DM246" i="216"/>
  <c r="DK246" i="216"/>
  <c r="DS246" i="216" s="1"/>
  <c r="DH246" i="216"/>
  <c r="DG246" i="216"/>
  <c r="DE246" i="216"/>
  <c r="DC246" i="216"/>
  <c r="DA246" i="216"/>
  <c r="DI246" i="216" s="1"/>
  <c r="CX246" i="216"/>
  <c r="CW246" i="216"/>
  <c r="CU246" i="216"/>
  <c r="CS246" i="216"/>
  <c r="CQ246" i="216"/>
  <c r="CY246" i="216" s="1"/>
  <c r="CN246" i="216"/>
  <c r="CK246" i="216"/>
  <c r="CJ246" i="216" s="1"/>
  <c r="CI246" i="216"/>
  <c r="CG246" i="216"/>
  <c r="CO246" i="216" s="1"/>
  <c r="CD246" i="216"/>
  <c r="CC246" i="216"/>
  <c r="CA246" i="216"/>
  <c r="BY246" i="216"/>
  <c r="BW246" i="216"/>
  <c r="CE246" i="216" s="1"/>
  <c r="BT246" i="216"/>
  <c r="BS246" i="216"/>
  <c r="BR246" i="216" s="1"/>
  <c r="BQ246" i="216"/>
  <c r="BP246" i="216" s="1"/>
  <c r="BO246" i="216"/>
  <c r="BM246" i="216"/>
  <c r="BU246" i="216" s="1"/>
  <c r="BJ246" i="216"/>
  <c r="BI246" i="216"/>
  <c r="BE246" i="216"/>
  <c r="AZ246" i="216"/>
  <c r="AY246" i="216"/>
  <c r="AW246" i="216"/>
  <c r="AU246" i="216"/>
  <c r="AS246" i="216"/>
  <c r="AP246" i="216"/>
  <c r="AO246" i="216"/>
  <c r="AM246" i="216"/>
  <c r="AK246" i="216"/>
  <c r="AI246" i="216"/>
  <c r="AQ246" i="216" s="1"/>
  <c r="AF246" i="216"/>
  <c r="AE246" i="216"/>
  <c r="AC246" i="216"/>
  <c r="AA246" i="216"/>
  <c r="Y246" i="216"/>
  <c r="AG246" i="216" s="1"/>
  <c r="V246" i="216"/>
  <c r="U246" i="216"/>
  <c r="S246" i="216"/>
  <c r="Q246" i="216"/>
  <c r="O246" i="216"/>
  <c r="D246" i="216"/>
  <c r="EB245" i="216"/>
  <c r="EA245" i="216"/>
  <c r="DY245" i="216"/>
  <c r="DW245" i="216"/>
  <c r="DU245" i="216"/>
  <c r="EC245" i="216" s="1"/>
  <c r="DR245" i="216"/>
  <c r="DQ245" i="216"/>
  <c r="DO245" i="216"/>
  <c r="DM245" i="216"/>
  <c r="DK245" i="216"/>
  <c r="DS245" i="216" s="1"/>
  <c r="DH245" i="216"/>
  <c r="DG245" i="216"/>
  <c r="DE245" i="216"/>
  <c r="DC245" i="216"/>
  <c r="DA245" i="216"/>
  <c r="CX245" i="216"/>
  <c r="CW245" i="216"/>
  <c r="CU245" i="216"/>
  <c r="CS245" i="216"/>
  <c r="CQ245" i="216"/>
  <c r="CY245" i="216" s="1"/>
  <c r="CN245" i="216"/>
  <c r="CM245" i="216"/>
  <c r="CK245" i="216"/>
  <c r="CI245" i="216"/>
  <c r="CH245" i="216" s="1"/>
  <c r="CG245" i="216"/>
  <c r="CO245" i="216" s="1"/>
  <c r="CD245" i="216"/>
  <c r="CC245" i="216"/>
  <c r="CA245" i="216"/>
  <c r="BZ245" i="216"/>
  <c r="BY245" i="216"/>
  <c r="BW245" i="216"/>
  <c r="BT245" i="216"/>
  <c r="BS245" i="216"/>
  <c r="BQ245" i="216"/>
  <c r="BO245" i="216"/>
  <c r="BM245" i="216"/>
  <c r="BU245" i="216" s="1"/>
  <c r="BJ245" i="216"/>
  <c r="BI245" i="216"/>
  <c r="BE245" i="216"/>
  <c r="AZ245" i="216"/>
  <c r="AY245" i="216"/>
  <c r="AW245" i="216"/>
  <c r="AU245" i="216"/>
  <c r="AS245" i="216"/>
  <c r="BA245" i="216" s="1"/>
  <c r="AP245" i="216"/>
  <c r="AO245" i="216"/>
  <c r="AN245" i="216" s="1"/>
  <c r="AM245" i="216"/>
  <c r="AK245" i="216"/>
  <c r="AI245" i="216"/>
  <c r="AQ245" i="216" s="1"/>
  <c r="AF245" i="216"/>
  <c r="AE245" i="216"/>
  <c r="AC245" i="216"/>
  <c r="AA245" i="216"/>
  <c r="Y245" i="216"/>
  <c r="AG245" i="216" s="1"/>
  <c r="V245" i="216"/>
  <c r="U245" i="216"/>
  <c r="S245" i="216"/>
  <c r="Q245" i="216"/>
  <c r="O245" i="216"/>
  <c r="D245" i="216"/>
  <c r="EB244" i="216"/>
  <c r="EA244" i="216"/>
  <c r="DW244" i="216"/>
  <c r="DU244" i="216"/>
  <c r="DR244" i="216"/>
  <c r="DQ244" i="216"/>
  <c r="DO244" i="216"/>
  <c r="DM244" i="216"/>
  <c r="DK244" i="216"/>
  <c r="DS244" i="216" s="1"/>
  <c r="DH244" i="216"/>
  <c r="DG244" i="216"/>
  <c r="DE244" i="216"/>
  <c r="DC244" i="216"/>
  <c r="DA244" i="216"/>
  <c r="CX244" i="216"/>
  <c r="CW244" i="216"/>
  <c r="CU244" i="216"/>
  <c r="CT244" i="216" s="1"/>
  <c r="CS244" i="216"/>
  <c r="CQ244" i="216"/>
  <c r="CY244" i="216" s="1"/>
  <c r="CN244" i="216"/>
  <c r="CM244" i="216"/>
  <c r="CK244" i="216"/>
  <c r="CI244" i="216"/>
  <c r="CG244" i="216"/>
  <c r="CO244" i="216" s="1"/>
  <c r="CD244" i="216"/>
  <c r="CC244" i="216"/>
  <c r="CA244" i="216"/>
  <c r="BY244" i="216"/>
  <c r="BX244" i="216" s="1"/>
  <c r="BW244" i="216"/>
  <c r="CE244" i="216" s="1"/>
  <c r="BT244" i="216"/>
  <c r="BS244" i="216"/>
  <c r="BQ244" i="216"/>
  <c r="BP244" i="216" s="1"/>
  <c r="BO244" i="216"/>
  <c r="BM244" i="216"/>
  <c r="BU244" i="216" s="1"/>
  <c r="BJ244" i="216"/>
  <c r="BI244" i="216"/>
  <c r="BE244" i="216"/>
  <c r="BC244" i="216"/>
  <c r="AZ244" i="216"/>
  <c r="AY244" i="216"/>
  <c r="AW244" i="216"/>
  <c r="AU244" i="216"/>
  <c r="AS244" i="216"/>
  <c r="BA244" i="216" s="1"/>
  <c r="AP244" i="216"/>
  <c r="AO244" i="216"/>
  <c r="AM244" i="216"/>
  <c r="AK244" i="216"/>
  <c r="AJ244" i="216" s="1"/>
  <c r="AI244" i="216"/>
  <c r="AQ244" i="216" s="1"/>
  <c r="AF244" i="216"/>
  <c r="AE244" i="216"/>
  <c r="AC244" i="216"/>
  <c r="AA244" i="216"/>
  <c r="Y244" i="216"/>
  <c r="V244" i="216"/>
  <c r="U244" i="216"/>
  <c r="S244" i="216"/>
  <c r="Q244" i="216"/>
  <c r="O244" i="216"/>
  <c r="D244" i="216"/>
  <c r="EB243" i="216"/>
  <c r="EA243" i="216"/>
  <c r="EP243" i="216" s="1"/>
  <c r="DY243" i="216"/>
  <c r="DW243" i="216"/>
  <c r="DR243" i="216"/>
  <c r="DQ243" i="216"/>
  <c r="DM243" i="216"/>
  <c r="DH243" i="216"/>
  <c r="DG243" i="216"/>
  <c r="DE243" i="216"/>
  <c r="DC243" i="216"/>
  <c r="DA243" i="216"/>
  <c r="CX243" i="216"/>
  <c r="CW243" i="216"/>
  <c r="CU243" i="216"/>
  <c r="CS243" i="216"/>
  <c r="CQ243" i="216"/>
  <c r="CY243" i="216" s="1"/>
  <c r="CN243" i="216"/>
  <c r="CM243" i="216"/>
  <c r="CK243" i="216"/>
  <c r="CI243" i="216"/>
  <c r="CG243" i="216"/>
  <c r="CO243" i="216" s="1"/>
  <c r="CD243" i="216"/>
  <c r="CC243" i="216"/>
  <c r="CA243" i="216"/>
  <c r="BY243" i="216"/>
  <c r="BW243" i="216"/>
  <c r="CE243" i="216" s="1"/>
  <c r="BT243" i="216"/>
  <c r="BS243" i="216"/>
  <c r="BQ243" i="216"/>
  <c r="BO243" i="216"/>
  <c r="BM243" i="216"/>
  <c r="BU243" i="216" s="1"/>
  <c r="BJ243" i="216"/>
  <c r="BI243" i="216"/>
  <c r="BG243" i="216"/>
  <c r="BE243" i="216"/>
  <c r="BC243" i="216"/>
  <c r="AZ243" i="216"/>
  <c r="AY243" i="216"/>
  <c r="AU243" i="216"/>
  <c r="AP243" i="216"/>
  <c r="AO243" i="216"/>
  <c r="AM243" i="216"/>
  <c r="AK243" i="216"/>
  <c r="AI243" i="216"/>
  <c r="AQ243" i="216" s="1"/>
  <c r="AF243" i="216"/>
  <c r="AE243" i="216"/>
  <c r="AC243" i="216"/>
  <c r="AB243" i="216" s="1"/>
  <c r="AA243" i="216"/>
  <c r="Y243" i="216"/>
  <c r="AG243" i="216" s="1"/>
  <c r="V243" i="216"/>
  <c r="U243" i="216"/>
  <c r="S243" i="216"/>
  <c r="Q243" i="216"/>
  <c r="O243" i="216"/>
  <c r="EB242" i="216"/>
  <c r="EA242" i="216"/>
  <c r="EP242" i="216" s="1"/>
  <c r="DY242" i="216"/>
  <c r="DW242" i="216"/>
  <c r="DR242" i="216"/>
  <c r="DQ242" i="216"/>
  <c r="DO242" i="216"/>
  <c r="DN242" i="216" s="1"/>
  <c r="DM242" i="216"/>
  <c r="DL242" i="216"/>
  <c r="DK242" i="216"/>
  <c r="DS242" i="216" s="1"/>
  <c r="DH242" i="216"/>
  <c r="DG242" i="216"/>
  <c r="DE242" i="216"/>
  <c r="DC242" i="216"/>
  <c r="DA242" i="216"/>
  <c r="DI242" i="216" s="1"/>
  <c r="CX242" i="216"/>
  <c r="CW242" i="216"/>
  <c r="CU242" i="216"/>
  <c r="CS242" i="216"/>
  <c r="CQ242" i="216"/>
  <c r="CY242" i="216" s="1"/>
  <c r="CN242" i="216"/>
  <c r="CM242" i="216"/>
  <c r="CK242" i="216"/>
  <c r="CI242" i="216"/>
  <c r="CG242" i="216"/>
  <c r="CO242" i="216" s="1"/>
  <c r="CD242" i="216"/>
  <c r="CC242" i="216"/>
  <c r="BY242" i="216"/>
  <c r="BT242" i="216"/>
  <c r="BS242" i="216"/>
  <c r="BQ242" i="216"/>
  <c r="BO242" i="216"/>
  <c r="BM242" i="216"/>
  <c r="BJ242" i="216"/>
  <c r="BI242" i="216"/>
  <c r="BG242" i="216"/>
  <c r="BE242" i="216"/>
  <c r="BC242" i="216"/>
  <c r="BF242" i="216" s="1"/>
  <c r="AZ242" i="216"/>
  <c r="AY242" i="216"/>
  <c r="AX242" i="216" s="1"/>
  <c r="AW242" i="216"/>
  <c r="AU242" i="216"/>
  <c r="AS242" i="216"/>
  <c r="BA242" i="216" s="1"/>
  <c r="AP242" i="216"/>
  <c r="AO242" i="216"/>
  <c r="AM242" i="216"/>
  <c r="AK242" i="216"/>
  <c r="AI242" i="216"/>
  <c r="AQ242" i="216" s="1"/>
  <c r="AF242" i="216"/>
  <c r="AE242" i="216"/>
  <c r="AC242" i="216"/>
  <c r="AA242" i="216"/>
  <c r="Z242" i="216" s="1"/>
  <c r="Y242" i="216"/>
  <c r="V242" i="216"/>
  <c r="U242" i="216"/>
  <c r="S242" i="216"/>
  <c r="Q242" i="216"/>
  <c r="O242" i="216"/>
  <c r="D242" i="216"/>
  <c r="EB241" i="216"/>
  <c r="EA241" i="216"/>
  <c r="EP241" i="216" s="1"/>
  <c r="DY241" i="216"/>
  <c r="DW241" i="216"/>
  <c r="DU241" i="216"/>
  <c r="DX241" i="216" s="1"/>
  <c r="DR241" i="216"/>
  <c r="DQ241" i="216"/>
  <c r="DM241" i="216"/>
  <c r="DH241" i="216"/>
  <c r="DG241" i="216"/>
  <c r="DE241" i="216"/>
  <c r="DC241" i="216"/>
  <c r="DB241" i="216" s="1"/>
  <c r="DA241" i="216"/>
  <c r="DI241" i="216" s="1"/>
  <c r="CX241" i="216"/>
  <c r="CW241" i="216"/>
  <c r="CU241" i="216"/>
  <c r="CS241" i="216"/>
  <c r="CR241" i="216" s="1"/>
  <c r="CQ241" i="216"/>
  <c r="CY241" i="216" s="1"/>
  <c r="CN241" i="216"/>
  <c r="CM241" i="216"/>
  <c r="CK241" i="216"/>
  <c r="CI241" i="216"/>
  <c r="CG241" i="216"/>
  <c r="CO241" i="216" s="1"/>
  <c r="CD241" i="216"/>
  <c r="BY241" i="216"/>
  <c r="BT241" i="216"/>
  <c r="BS241" i="216"/>
  <c r="BQ241" i="216"/>
  <c r="BO241" i="216"/>
  <c r="BN241" i="216"/>
  <c r="BM241" i="216"/>
  <c r="BU241" i="216" s="1"/>
  <c r="BJ241" i="216"/>
  <c r="BI241" i="216"/>
  <c r="BG241" i="216"/>
  <c r="BE241" i="216"/>
  <c r="BC241" i="216"/>
  <c r="AZ241" i="216"/>
  <c r="AY241" i="216"/>
  <c r="AW241" i="216"/>
  <c r="AU241" i="216"/>
  <c r="AS241" i="216"/>
  <c r="AP241" i="216"/>
  <c r="AO241" i="216"/>
  <c r="AM241" i="216"/>
  <c r="AK241" i="216"/>
  <c r="AI241" i="216"/>
  <c r="AQ241" i="216" s="1"/>
  <c r="AF241" i="216"/>
  <c r="AE241" i="216"/>
  <c r="AC241" i="216"/>
  <c r="AA241" i="216"/>
  <c r="Y241" i="216"/>
  <c r="AG241" i="216" s="1"/>
  <c r="V241" i="216"/>
  <c r="U241" i="216"/>
  <c r="S241" i="216"/>
  <c r="Q241" i="216"/>
  <c r="O241" i="216"/>
  <c r="EB240" i="216"/>
  <c r="EA240" i="216"/>
  <c r="DY240" i="216"/>
  <c r="DW240" i="216"/>
  <c r="DU240" i="216"/>
  <c r="DR240" i="216"/>
  <c r="DQ240" i="216"/>
  <c r="DO240" i="216"/>
  <c r="DM240" i="216"/>
  <c r="DK240" i="216"/>
  <c r="DS240" i="216" s="1"/>
  <c r="DH240" i="216"/>
  <c r="DG240" i="216"/>
  <c r="DE240" i="216"/>
  <c r="DC240" i="216"/>
  <c r="DB240" i="216" s="1"/>
  <c r="DA240" i="216"/>
  <c r="DI240" i="216" s="1"/>
  <c r="CX240" i="216"/>
  <c r="CW240" i="216"/>
  <c r="CV240" i="216" s="1"/>
  <c r="CU240" i="216"/>
  <c r="CS240" i="216"/>
  <c r="CQ240" i="216"/>
  <c r="CY240" i="216" s="1"/>
  <c r="CN240" i="216"/>
  <c r="CM240" i="216"/>
  <c r="CK240" i="216"/>
  <c r="CI240" i="216"/>
  <c r="CG240" i="216"/>
  <c r="CO240" i="216" s="1"/>
  <c r="CD240" i="216"/>
  <c r="CC240" i="216"/>
  <c r="CA240" i="216"/>
  <c r="BY240" i="216"/>
  <c r="BW240" i="216"/>
  <c r="CE240" i="216" s="1"/>
  <c r="BT240" i="216"/>
  <c r="BS240" i="216"/>
  <c r="BQ240" i="216"/>
  <c r="BO240" i="216"/>
  <c r="BM240" i="216"/>
  <c r="BJ240" i="216"/>
  <c r="BI240" i="216"/>
  <c r="BE240" i="216"/>
  <c r="AZ240" i="216"/>
  <c r="AY240" i="216"/>
  <c r="AW240" i="216"/>
  <c r="AU240" i="216"/>
  <c r="AS240" i="216"/>
  <c r="BA240" i="216" s="1"/>
  <c r="AP240" i="216"/>
  <c r="AO240" i="216"/>
  <c r="AM240" i="216"/>
  <c r="AK240" i="216"/>
  <c r="AI240" i="216"/>
  <c r="AQ240" i="216" s="1"/>
  <c r="AF240" i="216"/>
  <c r="AE240" i="216"/>
  <c r="AC240" i="216"/>
  <c r="AA240" i="216"/>
  <c r="Y240" i="216"/>
  <c r="AG240" i="216" s="1"/>
  <c r="V240" i="216"/>
  <c r="U240" i="216"/>
  <c r="S240" i="216"/>
  <c r="Q240" i="216"/>
  <c r="O240" i="216"/>
  <c r="D240" i="216"/>
  <c r="EB239" i="216"/>
  <c r="EA239" i="216"/>
  <c r="EP239" i="216" s="1"/>
  <c r="DY239" i="216"/>
  <c r="DW239" i="216"/>
  <c r="DU239" i="216"/>
  <c r="DR239" i="216"/>
  <c r="DQ239" i="216"/>
  <c r="DO239" i="216"/>
  <c r="DM239" i="216"/>
  <c r="DK239" i="216"/>
  <c r="DH239" i="216"/>
  <c r="DG239" i="216"/>
  <c r="DF239" i="216" s="1"/>
  <c r="DE239" i="216"/>
  <c r="DC239" i="216"/>
  <c r="DB239" i="216" s="1"/>
  <c r="DA239" i="216"/>
  <c r="DI239" i="216" s="1"/>
  <c r="CX239" i="216"/>
  <c r="CW239" i="216"/>
  <c r="CU239" i="216"/>
  <c r="CS239" i="216"/>
  <c r="CQ239" i="216"/>
  <c r="CY239" i="216" s="1"/>
  <c r="CO239" i="216"/>
  <c r="CN239" i="216"/>
  <c r="CM239" i="216"/>
  <c r="CK239" i="216"/>
  <c r="CI239" i="216"/>
  <c r="CG239" i="216"/>
  <c r="CD239" i="216"/>
  <c r="CC239" i="216"/>
  <c r="CA239" i="216"/>
  <c r="BZ239" i="216" s="1"/>
  <c r="BY239" i="216"/>
  <c r="BW239" i="216"/>
  <c r="CE239" i="216" s="1"/>
  <c r="BT239" i="216"/>
  <c r="BS239" i="216"/>
  <c r="BQ239" i="216"/>
  <c r="BO239" i="216"/>
  <c r="BM239" i="216"/>
  <c r="BU239" i="216" s="1"/>
  <c r="BJ239" i="216"/>
  <c r="BI239" i="216"/>
  <c r="BE239" i="216"/>
  <c r="AZ239" i="216"/>
  <c r="AY239" i="216"/>
  <c r="AW239" i="216"/>
  <c r="AU239" i="216"/>
  <c r="AS239" i="216"/>
  <c r="BA239" i="216" s="1"/>
  <c r="AP239" i="216"/>
  <c r="AO239" i="216"/>
  <c r="AM239" i="216"/>
  <c r="AK239" i="216"/>
  <c r="AI239" i="216"/>
  <c r="AQ239" i="216" s="1"/>
  <c r="AF239" i="216"/>
  <c r="AE239" i="216"/>
  <c r="AC239" i="216"/>
  <c r="AA239" i="216"/>
  <c r="Z239" i="216" s="1"/>
  <c r="Y239" i="216"/>
  <c r="AG239" i="216" s="1"/>
  <c r="V239" i="216"/>
  <c r="U239" i="216"/>
  <c r="S239" i="216"/>
  <c r="Q239" i="216"/>
  <c r="O239" i="216"/>
  <c r="D239" i="216"/>
  <c r="EB238" i="216"/>
  <c r="EA238" i="216"/>
  <c r="DY238" i="216"/>
  <c r="DW238" i="216"/>
  <c r="DU238" i="216"/>
  <c r="DR238" i="216"/>
  <c r="DQ238" i="216"/>
  <c r="DM238" i="216"/>
  <c r="DH238" i="216"/>
  <c r="DG238" i="216"/>
  <c r="DE238" i="216"/>
  <c r="DC238" i="216"/>
  <c r="DA238" i="216"/>
  <c r="DI238" i="216" s="1"/>
  <c r="CX238" i="216"/>
  <c r="CW238" i="216"/>
  <c r="CU238" i="216"/>
  <c r="CS238" i="216"/>
  <c r="CQ238" i="216"/>
  <c r="CY238" i="216" s="1"/>
  <c r="CN238" i="216"/>
  <c r="CM238" i="216"/>
  <c r="CK238" i="216"/>
  <c r="CI238" i="216"/>
  <c r="CG238" i="216"/>
  <c r="CO238" i="216" s="1"/>
  <c r="CD238" i="216"/>
  <c r="CC238" i="216"/>
  <c r="CA238" i="216"/>
  <c r="BY238" i="216"/>
  <c r="BW238" i="216"/>
  <c r="CE238" i="216" s="1"/>
  <c r="BT238" i="216"/>
  <c r="BS238" i="216"/>
  <c r="BQ238" i="216"/>
  <c r="BO238" i="216"/>
  <c r="BM238" i="216"/>
  <c r="BU238" i="216" s="1"/>
  <c r="BJ238" i="216"/>
  <c r="BI238" i="216"/>
  <c r="BE238" i="216"/>
  <c r="AZ238" i="216"/>
  <c r="AY238" i="216"/>
  <c r="AW238" i="216"/>
  <c r="AU238" i="216"/>
  <c r="AS238" i="216"/>
  <c r="BA238" i="216" s="1"/>
  <c r="AQ238" i="216"/>
  <c r="AP238" i="216"/>
  <c r="AO238" i="216"/>
  <c r="AM238" i="216"/>
  <c r="AK238" i="216"/>
  <c r="AI238" i="216"/>
  <c r="AF238" i="216"/>
  <c r="AE238" i="216"/>
  <c r="AC238" i="216"/>
  <c r="AA238" i="216"/>
  <c r="Y238" i="216"/>
  <c r="AG238" i="216" s="1"/>
  <c r="V238" i="216"/>
  <c r="U238" i="216"/>
  <c r="S238" i="216"/>
  <c r="Q238" i="216"/>
  <c r="O238" i="216"/>
  <c r="D238" i="216"/>
  <c r="EB237" i="216"/>
  <c r="EA237" i="216"/>
  <c r="EP237" i="216" s="1"/>
  <c r="DY237" i="216"/>
  <c r="DW237" i="216"/>
  <c r="DR237" i="216"/>
  <c r="DQ237" i="216"/>
  <c r="DO237" i="216"/>
  <c r="DM237" i="216"/>
  <c r="DK237" i="216"/>
  <c r="DS237" i="216" s="1"/>
  <c r="DH237" i="216"/>
  <c r="DG237" i="216"/>
  <c r="DE237" i="216"/>
  <c r="DC237" i="216"/>
  <c r="DA237" i="216"/>
  <c r="DI237" i="216" s="1"/>
  <c r="CX237" i="216"/>
  <c r="CW237" i="216"/>
  <c r="CU237" i="216"/>
  <c r="CS237" i="216"/>
  <c r="CQ237" i="216"/>
  <c r="CY237" i="216" s="1"/>
  <c r="CN237" i="216"/>
  <c r="CM237" i="216"/>
  <c r="CK237" i="216"/>
  <c r="CI237" i="216"/>
  <c r="CH237" i="216" s="1"/>
  <c r="CG237" i="216"/>
  <c r="CO237" i="216" s="1"/>
  <c r="CD237" i="216"/>
  <c r="CC237" i="216"/>
  <c r="BY237" i="216"/>
  <c r="BT237" i="216"/>
  <c r="BS237" i="216"/>
  <c r="BO237" i="216"/>
  <c r="BM237" i="216"/>
  <c r="BJ237" i="216"/>
  <c r="BI237" i="216"/>
  <c r="BE237" i="216"/>
  <c r="BC237" i="216"/>
  <c r="AZ237" i="216"/>
  <c r="AY237" i="216"/>
  <c r="AW237" i="216"/>
  <c r="AU237" i="216"/>
  <c r="AT237" i="216" s="1"/>
  <c r="AS237" i="216"/>
  <c r="BA237" i="216" s="1"/>
  <c r="AQ237" i="216"/>
  <c r="AP237" i="216"/>
  <c r="AO237" i="216"/>
  <c r="AM237" i="216"/>
  <c r="AK237" i="216"/>
  <c r="AI237" i="216"/>
  <c r="AF237" i="216"/>
  <c r="AE237" i="216"/>
  <c r="AC237" i="216"/>
  <c r="AA237" i="216"/>
  <c r="Y237" i="216"/>
  <c r="AG237" i="216" s="1"/>
  <c r="V237" i="216"/>
  <c r="U237" i="216"/>
  <c r="S237" i="216"/>
  <c r="Q237" i="216"/>
  <c r="O237" i="216"/>
  <c r="D237" i="216"/>
  <c r="EB236" i="216"/>
  <c r="EA236" i="216"/>
  <c r="EP236" i="216" s="1"/>
  <c r="DW236" i="216"/>
  <c r="DR236" i="216"/>
  <c r="DQ236" i="216"/>
  <c r="DO236" i="216"/>
  <c r="DM236" i="216"/>
  <c r="DK236" i="216"/>
  <c r="DS236" i="216" s="1"/>
  <c r="DH236" i="216"/>
  <c r="DG236" i="216"/>
  <c r="DE236" i="216"/>
  <c r="DC236" i="216"/>
  <c r="DA236" i="216"/>
  <c r="DI236" i="216" s="1"/>
  <c r="CX236" i="216"/>
  <c r="CW236" i="216"/>
  <c r="CU236" i="216"/>
  <c r="CS236" i="216"/>
  <c r="CQ236" i="216"/>
  <c r="CY236" i="216" s="1"/>
  <c r="CN236" i="216"/>
  <c r="CM236" i="216"/>
  <c r="CI236" i="216"/>
  <c r="CG236" i="216"/>
  <c r="CD236" i="216"/>
  <c r="CC236" i="216"/>
  <c r="CA236" i="216"/>
  <c r="BY236" i="216"/>
  <c r="BW236" i="216"/>
  <c r="CE236" i="216" s="1"/>
  <c r="BT236" i="216"/>
  <c r="BS236" i="216"/>
  <c r="BQ236" i="216"/>
  <c r="BO236" i="216"/>
  <c r="BM236" i="216"/>
  <c r="BU236" i="216" s="1"/>
  <c r="BJ236" i="216"/>
  <c r="BI236" i="216"/>
  <c r="BE236" i="216"/>
  <c r="AZ236" i="216"/>
  <c r="AY236" i="216"/>
  <c r="AW236" i="216"/>
  <c r="AU236" i="216"/>
  <c r="AS236" i="216"/>
  <c r="BA236" i="216" s="1"/>
  <c r="AP236" i="216"/>
  <c r="AO236" i="216"/>
  <c r="AM236" i="216"/>
  <c r="AK236" i="216"/>
  <c r="AJ236" i="216" s="1"/>
  <c r="AI236" i="216"/>
  <c r="AQ236" i="216" s="1"/>
  <c r="AF236" i="216"/>
  <c r="AE236" i="216"/>
  <c r="AC236" i="216"/>
  <c r="AA236" i="216"/>
  <c r="Y236" i="216"/>
  <c r="AG236" i="216" s="1"/>
  <c r="V236" i="216"/>
  <c r="U236" i="216"/>
  <c r="S236" i="216"/>
  <c r="Q236" i="216"/>
  <c r="O236" i="216"/>
  <c r="D236" i="216"/>
  <c r="EB235" i="216"/>
  <c r="EA235" i="216"/>
  <c r="EP235" i="216" s="1"/>
  <c r="DY235" i="216"/>
  <c r="DW235" i="216"/>
  <c r="DU235" i="216"/>
  <c r="DR235" i="216"/>
  <c r="DQ235" i="216"/>
  <c r="DM235" i="216"/>
  <c r="DH235" i="216"/>
  <c r="DG235" i="216"/>
  <c r="DE235" i="216"/>
  <c r="DC235" i="216"/>
  <c r="DA235" i="216"/>
  <c r="DI235" i="216" s="1"/>
  <c r="CX235" i="216"/>
  <c r="CW235" i="216"/>
  <c r="CU235" i="216"/>
  <c r="CS235" i="216"/>
  <c r="CQ235" i="216"/>
  <c r="CY235" i="216" s="1"/>
  <c r="CN235" i="216"/>
  <c r="CM235" i="216"/>
  <c r="CI235" i="216"/>
  <c r="CG235" i="216"/>
  <c r="CD235" i="216"/>
  <c r="CC235" i="216"/>
  <c r="CA235" i="216"/>
  <c r="BY235" i="216"/>
  <c r="BW235" i="216"/>
  <c r="CE235" i="216" s="1"/>
  <c r="BT235" i="216"/>
  <c r="BS235" i="216"/>
  <c r="BO235" i="216"/>
  <c r="BJ235" i="216"/>
  <c r="BI235" i="216"/>
  <c r="BE235" i="216"/>
  <c r="AZ235" i="216"/>
  <c r="AY235" i="216"/>
  <c r="AW235" i="216"/>
  <c r="AU235" i="216"/>
  <c r="AS235" i="216"/>
  <c r="BA235" i="216" s="1"/>
  <c r="AP235" i="216"/>
  <c r="AO235" i="216"/>
  <c r="AM235" i="216"/>
  <c r="AK235" i="216"/>
  <c r="AI235" i="216"/>
  <c r="AQ235" i="216" s="1"/>
  <c r="AF235" i="216"/>
  <c r="AE235" i="216"/>
  <c r="AC235" i="216"/>
  <c r="AA235" i="216"/>
  <c r="Z235" i="216" s="1"/>
  <c r="Y235" i="216"/>
  <c r="AG235" i="216" s="1"/>
  <c r="V235" i="216"/>
  <c r="U235" i="216"/>
  <c r="S235" i="216"/>
  <c r="Q235" i="216"/>
  <c r="O235" i="216"/>
  <c r="D235" i="216"/>
  <c r="EB234" i="216"/>
  <c r="EA234" i="216"/>
  <c r="DW234" i="216"/>
  <c r="DR234" i="216"/>
  <c r="DQ234" i="216"/>
  <c r="DM234" i="216"/>
  <c r="DH234" i="216"/>
  <c r="DG234" i="216"/>
  <c r="DE234" i="216"/>
  <c r="DC234" i="216"/>
  <c r="DA234" i="216"/>
  <c r="DI234" i="216" s="1"/>
  <c r="CX234" i="216"/>
  <c r="CW234" i="216"/>
  <c r="CV234" i="216" s="1"/>
  <c r="CU234" i="216"/>
  <c r="CS234" i="216"/>
  <c r="CR234" i="216" s="1"/>
  <c r="CQ234" i="216"/>
  <c r="CY234" i="216" s="1"/>
  <c r="CN234" i="216"/>
  <c r="CM234" i="216"/>
  <c r="CK234" i="216"/>
  <c r="CI234" i="216"/>
  <c r="CG234" i="216"/>
  <c r="CO234" i="216" s="1"/>
  <c r="CD234" i="216"/>
  <c r="CC234" i="216"/>
  <c r="CA234" i="216"/>
  <c r="BY234" i="216"/>
  <c r="BW234" i="216"/>
  <c r="CE234" i="216" s="1"/>
  <c r="BT234" i="216"/>
  <c r="BS234" i="216"/>
  <c r="BQ234" i="216"/>
  <c r="BO234" i="216"/>
  <c r="BM234" i="216"/>
  <c r="BU234" i="216" s="1"/>
  <c r="BJ234" i="216"/>
  <c r="BI234" i="216"/>
  <c r="BH234" i="216" s="1"/>
  <c r="BG234" i="216"/>
  <c r="BE234" i="216"/>
  <c r="BC234" i="216"/>
  <c r="AZ234" i="216"/>
  <c r="AY234" i="216"/>
  <c r="AU234" i="216"/>
  <c r="AP234" i="216"/>
  <c r="AO234" i="216"/>
  <c r="AM234" i="216"/>
  <c r="AK234" i="216"/>
  <c r="AI234" i="216"/>
  <c r="AQ234" i="216" s="1"/>
  <c r="AF234" i="216"/>
  <c r="AE234" i="216"/>
  <c r="AC234" i="216"/>
  <c r="AA234" i="216"/>
  <c r="Y234" i="216"/>
  <c r="AG234" i="216" s="1"/>
  <c r="V234" i="216"/>
  <c r="U234" i="216"/>
  <c r="S234" i="216"/>
  <c r="Q234" i="216"/>
  <c r="O234" i="216"/>
  <c r="D234" i="216"/>
  <c r="EB233" i="216"/>
  <c r="EA233" i="216"/>
  <c r="EP233" i="216" s="1"/>
  <c r="DW233" i="216"/>
  <c r="DR233" i="216"/>
  <c r="DQ233" i="216"/>
  <c r="DM233" i="216"/>
  <c r="DH233" i="216"/>
  <c r="DG233" i="216"/>
  <c r="DE233" i="216"/>
  <c r="DC233" i="216"/>
  <c r="DA233" i="216"/>
  <c r="DI233" i="216" s="1"/>
  <c r="CX233" i="216"/>
  <c r="CW233" i="216"/>
  <c r="CU233" i="216"/>
  <c r="CS233" i="216"/>
  <c r="CQ233" i="216"/>
  <c r="CY233" i="216" s="1"/>
  <c r="CN233" i="216"/>
  <c r="CM233" i="216"/>
  <c r="CK233" i="216"/>
  <c r="CI233" i="216"/>
  <c r="CG233" i="216"/>
  <c r="CO233" i="216" s="1"/>
  <c r="CD233" i="216"/>
  <c r="CC233" i="216"/>
  <c r="CA233" i="216"/>
  <c r="BY233" i="216"/>
  <c r="BW233" i="216"/>
  <c r="CE233" i="216" s="1"/>
  <c r="BT233" i="216"/>
  <c r="BS233" i="216"/>
  <c r="BQ233" i="216"/>
  <c r="BO233" i="216"/>
  <c r="BM233" i="216"/>
  <c r="BU233" i="216" s="1"/>
  <c r="BJ233" i="216"/>
  <c r="BI233" i="216"/>
  <c r="BG233" i="216"/>
  <c r="BE233" i="216"/>
  <c r="BC233" i="216"/>
  <c r="BK233" i="216" s="1"/>
  <c r="AZ233" i="216"/>
  <c r="AY233" i="216"/>
  <c r="AU233" i="216"/>
  <c r="AP233" i="216"/>
  <c r="AO233" i="216"/>
  <c r="AM233" i="216"/>
  <c r="AK233" i="216"/>
  <c r="AI233" i="216"/>
  <c r="AQ233" i="216" s="1"/>
  <c r="AF233" i="216"/>
  <c r="AE233" i="216"/>
  <c r="AC233" i="216"/>
  <c r="AA233" i="216"/>
  <c r="Y233" i="216"/>
  <c r="AG233" i="216" s="1"/>
  <c r="V233" i="216"/>
  <c r="U233" i="216"/>
  <c r="S233" i="216"/>
  <c r="Q233" i="216"/>
  <c r="O233" i="216"/>
  <c r="D233" i="216"/>
  <c r="EB232" i="216"/>
  <c r="EA232" i="216"/>
  <c r="EP232" i="216" s="1"/>
  <c r="DW232" i="216"/>
  <c r="DR232" i="216"/>
  <c r="DQ232" i="216"/>
  <c r="DO232" i="216"/>
  <c r="DM232" i="216"/>
  <c r="DL232" i="216" s="1"/>
  <c r="DK232" i="216"/>
  <c r="DS232" i="216" s="1"/>
  <c r="DH232" i="216"/>
  <c r="DG232" i="216"/>
  <c r="DE232" i="216"/>
  <c r="DC232" i="216"/>
  <c r="DA232" i="216"/>
  <c r="CX232" i="216"/>
  <c r="CW232" i="216"/>
  <c r="CU232" i="216"/>
  <c r="CS232" i="216"/>
  <c r="CQ232" i="216"/>
  <c r="CN232" i="216"/>
  <c r="CM232" i="216"/>
  <c r="CK232" i="216"/>
  <c r="CI232" i="216"/>
  <c r="CG232" i="216"/>
  <c r="CO232" i="216" s="1"/>
  <c r="CD232" i="216"/>
  <c r="CC232" i="216"/>
  <c r="BY232" i="216"/>
  <c r="BT232" i="216"/>
  <c r="BS232" i="216"/>
  <c r="BO232" i="216"/>
  <c r="BJ232" i="216"/>
  <c r="BI232" i="216"/>
  <c r="BG232" i="216"/>
  <c r="BE232" i="216"/>
  <c r="BC232" i="216"/>
  <c r="AZ232" i="216"/>
  <c r="AY232" i="216"/>
  <c r="AW232" i="216"/>
  <c r="AU232" i="216"/>
  <c r="AS232" i="216"/>
  <c r="BA232" i="216" s="1"/>
  <c r="AP232" i="216"/>
  <c r="AO232" i="216"/>
  <c r="AM232" i="216"/>
  <c r="AK232" i="216"/>
  <c r="AI232" i="216"/>
  <c r="AQ232" i="216" s="1"/>
  <c r="AF232" i="216"/>
  <c r="AE232" i="216"/>
  <c r="AC232" i="216"/>
  <c r="AA232" i="216"/>
  <c r="Y232" i="216"/>
  <c r="AG232" i="216" s="1"/>
  <c r="V232" i="216"/>
  <c r="U232" i="216"/>
  <c r="S232" i="216"/>
  <c r="Q232" i="216"/>
  <c r="O232" i="216"/>
  <c r="D232" i="216"/>
  <c r="EB231" i="216"/>
  <c r="EA231" i="216"/>
  <c r="EP231" i="216" s="1"/>
  <c r="DY231" i="216"/>
  <c r="DX231" i="216" s="1"/>
  <c r="DW231" i="216"/>
  <c r="DU231" i="216"/>
  <c r="DR231" i="216"/>
  <c r="DQ231" i="216"/>
  <c r="DO231" i="216"/>
  <c r="DM231" i="216"/>
  <c r="DK231" i="216"/>
  <c r="DS231" i="216" s="1"/>
  <c r="DH231" i="216"/>
  <c r="DG231" i="216"/>
  <c r="DC231" i="216"/>
  <c r="CX231" i="216"/>
  <c r="CW231" i="216"/>
  <c r="CU231" i="216"/>
  <c r="CS231" i="216"/>
  <c r="CQ231" i="216"/>
  <c r="CN231" i="216"/>
  <c r="CM231" i="216"/>
  <c r="CK231" i="216"/>
  <c r="CI231" i="216"/>
  <c r="CG231" i="216"/>
  <c r="CD231" i="216"/>
  <c r="CC231" i="216"/>
  <c r="BY231" i="216"/>
  <c r="BT231" i="216"/>
  <c r="BS231" i="216"/>
  <c r="BQ231" i="216"/>
  <c r="BO231" i="216"/>
  <c r="BM231" i="216"/>
  <c r="BU231" i="216" s="1"/>
  <c r="BJ231" i="216"/>
  <c r="BI231" i="216"/>
  <c r="BG231" i="216"/>
  <c r="BE231" i="216"/>
  <c r="BC231" i="216"/>
  <c r="AZ231" i="216"/>
  <c r="AY231" i="216"/>
  <c r="AW231" i="216"/>
  <c r="AU231" i="216"/>
  <c r="AS231" i="216"/>
  <c r="AP231" i="216"/>
  <c r="AO231" i="216"/>
  <c r="AM231" i="216"/>
  <c r="AK231" i="216"/>
  <c r="AI231" i="216"/>
  <c r="AQ231" i="216" s="1"/>
  <c r="AF231" i="216"/>
  <c r="AE231" i="216"/>
  <c r="AC231" i="216"/>
  <c r="AA231" i="216"/>
  <c r="Y231" i="216"/>
  <c r="AG231" i="216" s="1"/>
  <c r="V231" i="216"/>
  <c r="U231" i="216"/>
  <c r="S231" i="216"/>
  <c r="Q231" i="216"/>
  <c r="O231" i="216"/>
  <c r="D231" i="216"/>
  <c r="EB230" i="216"/>
  <c r="EA230" i="216"/>
  <c r="DW230" i="216"/>
  <c r="DR230" i="216"/>
  <c r="DQ230" i="216"/>
  <c r="DM230" i="216"/>
  <c r="DH230" i="216"/>
  <c r="DG230" i="216"/>
  <c r="DC230" i="216"/>
  <c r="CX230" i="216"/>
  <c r="CW230" i="216"/>
  <c r="CU230" i="216"/>
  <c r="CS230" i="216"/>
  <c r="CQ230" i="216"/>
  <c r="CY230" i="216" s="1"/>
  <c r="CN230" i="216"/>
  <c r="CM230" i="216"/>
  <c r="CK230" i="216"/>
  <c r="CI230" i="216"/>
  <c r="CG230" i="216"/>
  <c r="CE230" i="216"/>
  <c r="CD230" i="216"/>
  <c r="CC230" i="216"/>
  <c r="CA230" i="216"/>
  <c r="BY230" i="216"/>
  <c r="BW230" i="216"/>
  <c r="BT230" i="216"/>
  <c r="BS230" i="216"/>
  <c r="BQ230" i="216"/>
  <c r="BO230" i="216"/>
  <c r="BM230" i="216"/>
  <c r="BU230" i="216" s="1"/>
  <c r="BJ230" i="216"/>
  <c r="BI230" i="216"/>
  <c r="BG230" i="216"/>
  <c r="BE230" i="216"/>
  <c r="BD230" i="216" s="1"/>
  <c r="BC230" i="216"/>
  <c r="BK230" i="216" s="1"/>
  <c r="AZ230" i="216"/>
  <c r="AY230" i="216"/>
  <c r="AU230" i="216"/>
  <c r="AP230" i="216"/>
  <c r="AO230" i="216"/>
  <c r="AM230" i="216"/>
  <c r="AK230" i="216"/>
  <c r="AI230" i="216"/>
  <c r="AF230" i="216"/>
  <c r="AE230" i="216"/>
  <c r="AC230" i="216"/>
  <c r="AA230" i="216"/>
  <c r="Y230" i="216"/>
  <c r="AG230" i="216" s="1"/>
  <c r="V230" i="216"/>
  <c r="U230" i="216"/>
  <c r="S230" i="216"/>
  <c r="Q230" i="216"/>
  <c r="P230" i="216" s="1"/>
  <c r="O230" i="216"/>
  <c r="D230" i="216"/>
  <c r="EP229" i="216"/>
  <c r="EB229" i="216"/>
  <c r="EA229" i="216"/>
  <c r="DW229" i="216"/>
  <c r="DR229" i="216"/>
  <c r="DQ229" i="216"/>
  <c r="DM229" i="216"/>
  <c r="DK229" i="216"/>
  <c r="DH229" i="216"/>
  <c r="DG229" i="216"/>
  <c r="DE229" i="216"/>
  <c r="DC229" i="216"/>
  <c r="DA229" i="216"/>
  <c r="CX229" i="216"/>
  <c r="CW229" i="216"/>
  <c r="CU229" i="216"/>
  <c r="CS229" i="216"/>
  <c r="CQ229" i="216"/>
  <c r="CY229" i="216" s="1"/>
  <c r="CN229" i="216"/>
  <c r="CM229" i="216"/>
  <c r="CL229" i="216" s="1"/>
  <c r="CK229" i="216"/>
  <c r="CI229" i="216"/>
  <c r="CH229" i="216" s="1"/>
  <c r="CG229" i="216"/>
  <c r="CO229" i="216" s="1"/>
  <c r="CE229" i="216"/>
  <c r="CD229" i="216"/>
  <c r="CC229" i="216"/>
  <c r="CA229" i="216"/>
  <c r="BY229" i="216"/>
  <c r="BW229" i="216"/>
  <c r="BT229" i="216"/>
  <c r="BS229" i="216"/>
  <c r="BQ229" i="216"/>
  <c r="BO229" i="216"/>
  <c r="BJ229" i="216"/>
  <c r="BI229" i="216"/>
  <c r="BE229" i="216"/>
  <c r="AZ229" i="216"/>
  <c r="AY229" i="216"/>
  <c r="AU229" i="216"/>
  <c r="AQ229" i="216"/>
  <c r="AP229" i="216"/>
  <c r="AO229" i="216"/>
  <c r="AM229" i="216"/>
  <c r="AK229" i="216"/>
  <c r="AI229" i="216"/>
  <c r="AF229" i="216"/>
  <c r="AE229" i="216"/>
  <c r="AC229" i="216"/>
  <c r="AA229" i="216"/>
  <c r="Y229" i="216"/>
  <c r="V229" i="216"/>
  <c r="U229" i="216"/>
  <c r="S229" i="216"/>
  <c r="Q229" i="216"/>
  <c r="O229" i="216"/>
  <c r="D229" i="216"/>
  <c r="EB228" i="216"/>
  <c r="EA228" i="216"/>
  <c r="DY228" i="216"/>
  <c r="DW228" i="216"/>
  <c r="DU228" i="216"/>
  <c r="EC228" i="216" s="1"/>
  <c r="DR228" i="216"/>
  <c r="DQ228" i="216"/>
  <c r="DO228" i="216"/>
  <c r="DM228" i="216"/>
  <c r="DL228" i="216" s="1"/>
  <c r="DK228" i="216"/>
  <c r="DS228" i="216" s="1"/>
  <c r="DH228" i="216"/>
  <c r="DG228" i="216"/>
  <c r="DE228" i="216"/>
  <c r="DC228" i="216"/>
  <c r="DA228" i="216"/>
  <c r="CX228" i="216"/>
  <c r="CW228" i="216"/>
  <c r="CU228" i="216"/>
  <c r="CS228" i="216"/>
  <c r="CQ228" i="216"/>
  <c r="CN228" i="216"/>
  <c r="CM228" i="216"/>
  <c r="CK228" i="216"/>
  <c r="CI228" i="216"/>
  <c r="CG228" i="216"/>
  <c r="CO228" i="216" s="1"/>
  <c r="CD228" i="216"/>
  <c r="CC228" i="216"/>
  <c r="CA228" i="216"/>
  <c r="BY228" i="216"/>
  <c r="BW228" i="216"/>
  <c r="CE228" i="216" s="1"/>
  <c r="BT228" i="216"/>
  <c r="BS228" i="216"/>
  <c r="BQ228" i="216"/>
  <c r="BO228" i="216"/>
  <c r="BM228" i="216"/>
  <c r="BJ228" i="216"/>
  <c r="BI228" i="216"/>
  <c r="BG228" i="216"/>
  <c r="BE228" i="216"/>
  <c r="BC228" i="216"/>
  <c r="BK228" i="216" s="1"/>
  <c r="AZ228" i="216"/>
  <c r="AY228" i="216"/>
  <c r="AW228" i="216"/>
  <c r="AU228" i="216"/>
  <c r="AS228" i="216"/>
  <c r="BA228" i="216" s="1"/>
  <c r="AP228" i="216"/>
  <c r="AO228" i="216"/>
  <c r="AM228" i="216"/>
  <c r="AK228" i="216"/>
  <c r="AI228" i="216"/>
  <c r="AQ228" i="216" s="1"/>
  <c r="AF228" i="216"/>
  <c r="AE228" i="216"/>
  <c r="AC228" i="216"/>
  <c r="AA228" i="216"/>
  <c r="Y228" i="216"/>
  <c r="V228" i="216"/>
  <c r="U228" i="216"/>
  <c r="S228" i="216"/>
  <c r="Q228" i="216"/>
  <c r="O228" i="216"/>
  <c r="D228" i="216"/>
  <c r="EB227" i="216"/>
  <c r="EA227" i="216"/>
  <c r="EP227" i="216" s="1"/>
  <c r="DY227" i="216"/>
  <c r="DW227" i="216"/>
  <c r="DU227" i="216"/>
  <c r="DZ227" i="216" s="1"/>
  <c r="DR227" i="216"/>
  <c r="DQ227" i="216"/>
  <c r="DM227" i="216"/>
  <c r="DH227" i="216"/>
  <c r="DG227" i="216"/>
  <c r="DC227" i="216"/>
  <c r="CX227" i="216"/>
  <c r="CW227" i="216"/>
  <c r="CU227" i="216"/>
  <c r="CS227" i="216"/>
  <c r="CQ227" i="216"/>
  <c r="CY227" i="216" s="1"/>
  <c r="CN227" i="216"/>
  <c r="CM227" i="216"/>
  <c r="CK227" i="216"/>
  <c r="CI227" i="216"/>
  <c r="CG227" i="216"/>
  <c r="CD227" i="216"/>
  <c r="CC227" i="216"/>
  <c r="CA227" i="216"/>
  <c r="BY227" i="216"/>
  <c r="BW227" i="216"/>
  <c r="CE227" i="216" s="1"/>
  <c r="BT227" i="216"/>
  <c r="BS227" i="216"/>
  <c r="BQ227" i="216"/>
  <c r="BO227" i="216"/>
  <c r="BM227" i="216"/>
  <c r="BU227" i="216" s="1"/>
  <c r="BJ227" i="216"/>
  <c r="BI227" i="216"/>
  <c r="BE227" i="216"/>
  <c r="AZ227" i="216"/>
  <c r="AY227" i="216"/>
  <c r="AW227" i="216"/>
  <c r="AU227" i="216"/>
  <c r="AS227" i="216"/>
  <c r="AP227" i="216"/>
  <c r="AO227" i="216"/>
  <c r="AM227" i="216"/>
  <c r="AK227" i="216"/>
  <c r="AI227" i="216"/>
  <c r="AQ227" i="216" s="1"/>
  <c r="AF227" i="216"/>
  <c r="AE227" i="216"/>
  <c r="AC227" i="216"/>
  <c r="AA227" i="216"/>
  <c r="Y227" i="216"/>
  <c r="AG227" i="216" s="1"/>
  <c r="V227" i="216"/>
  <c r="U227" i="216"/>
  <c r="S227" i="216"/>
  <c r="Q227" i="216"/>
  <c r="O227" i="216"/>
  <c r="D227" i="216"/>
  <c r="EB226" i="216"/>
  <c r="EA226" i="216"/>
  <c r="DY226" i="216"/>
  <c r="DW226" i="216"/>
  <c r="DR226" i="216"/>
  <c r="DQ226" i="216"/>
  <c r="DM226" i="216"/>
  <c r="DH226" i="216"/>
  <c r="DG226" i="216"/>
  <c r="DC226" i="216"/>
  <c r="CX226" i="216"/>
  <c r="CW226" i="216"/>
  <c r="CU226" i="216"/>
  <c r="CS226" i="216"/>
  <c r="CR226" i="216" s="1"/>
  <c r="CQ226" i="216"/>
  <c r="CY226" i="216" s="1"/>
  <c r="CN226" i="216"/>
  <c r="CM226" i="216"/>
  <c r="CK226" i="216"/>
  <c r="CI226" i="216"/>
  <c r="CG226" i="216"/>
  <c r="CD226" i="216"/>
  <c r="CC226" i="216"/>
  <c r="CA226" i="216"/>
  <c r="BY226" i="216"/>
  <c r="BW226" i="216"/>
  <c r="BT226" i="216"/>
  <c r="BS226" i="216"/>
  <c r="BQ226" i="216"/>
  <c r="BO226" i="216"/>
  <c r="BM226" i="216"/>
  <c r="BU226" i="216" s="1"/>
  <c r="BJ226" i="216"/>
  <c r="BI226" i="216"/>
  <c r="BH226" i="216" s="1"/>
  <c r="BG226" i="216"/>
  <c r="BE226" i="216"/>
  <c r="BD226" i="216" s="1"/>
  <c r="BC226" i="216"/>
  <c r="BK226" i="216" s="1"/>
  <c r="AZ226" i="216"/>
  <c r="AY226" i="216"/>
  <c r="AU226" i="216"/>
  <c r="AP226" i="216"/>
  <c r="AO226" i="216"/>
  <c r="AM226" i="216"/>
  <c r="AK226" i="216"/>
  <c r="AI226" i="216"/>
  <c r="AQ226" i="216" s="1"/>
  <c r="AF226" i="216"/>
  <c r="AE226" i="216"/>
  <c r="AC226" i="216"/>
  <c r="AA226" i="216"/>
  <c r="Y226" i="216"/>
  <c r="AG226" i="216" s="1"/>
  <c r="V226" i="216"/>
  <c r="U226" i="216"/>
  <c r="S226" i="216"/>
  <c r="Q226" i="216"/>
  <c r="P226" i="216" s="1"/>
  <c r="O226" i="216"/>
  <c r="D226" i="216"/>
  <c r="EB225" i="216"/>
  <c r="EA225" i="216"/>
  <c r="DW225" i="216"/>
  <c r="DR225" i="216"/>
  <c r="DQ225" i="216"/>
  <c r="DM225" i="216"/>
  <c r="DH225" i="216"/>
  <c r="DG225" i="216"/>
  <c r="DC225" i="216"/>
  <c r="CX225" i="216"/>
  <c r="CW225" i="216"/>
  <c r="CU225" i="216"/>
  <c r="CS225" i="216"/>
  <c r="CQ225" i="216"/>
  <c r="CY225" i="216" s="1"/>
  <c r="CN225" i="216"/>
  <c r="CM225" i="216"/>
  <c r="CK225" i="216"/>
  <c r="CI225" i="216"/>
  <c r="CG225" i="216"/>
  <c r="CO225" i="216" s="1"/>
  <c r="CD225" i="216"/>
  <c r="CC225" i="216"/>
  <c r="BY225" i="216"/>
  <c r="BT225" i="216"/>
  <c r="BS225" i="216"/>
  <c r="BQ225" i="216"/>
  <c r="BO225" i="216"/>
  <c r="BJ225" i="216"/>
  <c r="BI225" i="216"/>
  <c r="BE225" i="216"/>
  <c r="BC225" i="216"/>
  <c r="AZ225" i="216"/>
  <c r="AY225" i="216"/>
  <c r="AU225" i="216"/>
  <c r="AP225" i="216"/>
  <c r="AO225" i="216"/>
  <c r="AM225" i="216"/>
  <c r="AK225" i="216"/>
  <c r="AI225" i="216"/>
  <c r="AL225" i="216" s="1"/>
  <c r="AG225" i="216"/>
  <c r="AF225" i="216"/>
  <c r="AE225" i="216"/>
  <c r="AC225" i="216"/>
  <c r="AA225" i="216"/>
  <c r="Y225" i="216"/>
  <c r="V225" i="216"/>
  <c r="U225" i="216"/>
  <c r="S225" i="216"/>
  <c r="Q225" i="216"/>
  <c r="O225" i="216"/>
  <c r="D225" i="216"/>
  <c r="EB224" i="216"/>
  <c r="EA224" i="216"/>
  <c r="EP224" i="216" s="1"/>
  <c r="DY224" i="216"/>
  <c r="DX224" i="216" s="1"/>
  <c r="DW224" i="216"/>
  <c r="DU224" i="216"/>
  <c r="DR224" i="216"/>
  <c r="DQ224" i="216"/>
  <c r="DM224" i="216"/>
  <c r="DH224" i="216"/>
  <c r="DG224" i="216"/>
  <c r="DE224" i="216"/>
  <c r="DC224" i="216"/>
  <c r="DA224" i="216"/>
  <c r="CX224" i="216"/>
  <c r="CW224" i="216"/>
  <c r="CU224" i="216"/>
  <c r="CS224" i="216"/>
  <c r="CQ224" i="216"/>
  <c r="CN224" i="216"/>
  <c r="CM224" i="216"/>
  <c r="CL224" i="216" s="1"/>
  <c r="CK224" i="216"/>
  <c r="CI224" i="216"/>
  <c r="CG224" i="216"/>
  <c r="CD224" i="216"/>
  <c r="CC224" i="216"/>
  <c r="CA224" i="216"/>
  <c r="BY224" i="216"/>
  <c r="BX224" i="216" s="1"/>
  <c r="BW224" i="216"/>
  <c r="CE224" i="216" s="1"/>
  <c r="BT224" i="216"/>
  <c r="BS224" i="216"/>
  <c r="BQ224" i="216"/>
  <c r="BO224" i="216"/>
  <c r="BM224" i="216"/>
  <c r="BJ224" i="216"/>
  <c r="BI224" i="216"/>
  <c r="BE224" i="216"/>
  <c r="AZ224" i="216"/>
  <c r="AY224" i="216"/>
  <c r="AW224" i="216"/>
  <c r="AU224" i="216"/>
  <c r="AS224" i="216"/>
  <c r="BA224" i="216" s="1"/>
  <c r="AP224" i="216"/>
  <c r="AO224" i="216"/>
  <c r="AM224" i="216"/>
  <c r="AK224" i="216"/>
  <c r="AI224" i="216"/>
  <c r="AQ224" i="216" s="1"/>
  <c r="AF224" i="216"/>
  <c r="AE224" i="216"/>
  <c r="AC224" i="216"/>
  <c r="AA224" i="216"/>
  <c r="Y224" i="216"/>
  <c r="AG224" i="216" s="1"/>
  <c r="V224" i="216"/>
  <c r="U224" i="216"/>
  <c r="S224" i="216"/>
  <c r="Q224" i="216"/>
  <c r="O224" i="216"/>
  <c r="D224" i="216"/>
  <c r="EB223" i="216"/>
  <c r="EA223" i="216"/>
  <c r="EP223" i="216" s="1"/>
  <c r="DY223" i="216"/>
  <c r="DW223" i="216"/>
  <c r="DU223" i="216"/>
  <c r="DR223" i="216"/>
  <c r="DQ223" i="216"/>
  <c r="DM223" i="216"/>
  <c r="DH223" i="216"/>
  <c r="DG223" i="216"/>
  <c r="DE223" i="216"/>
  <c r="DC223" i="216"/>
  <c r="DA223" i="216"/>
  <c r="DI223" i="216" s="1"/>
  <c r="CX223" i="216"/>
  <c r="CW223" i="216"/>
  <c r="CU223" i="216"/>
  <c r="CS223" i="216"/>
  <c r="CQ223" i="216"/>
  <c r="CN223" i="216"/>
  <c r="CM223" i="216"/>
  <c r="CK223" i="216"/>
  <c r="CI223" i="216"/>
  <c r="CG223" i="216"/>
  <c r="CD223" i="216"/>
  <c r="CC223" i="216"/>
  <c r="CA223" i="216"/>
  <c r="BZ223" i="216" s="1"/>
  <c r="BY223" i="216"/>
  <c r="BW223" i="216"/>
  <c r="CE223" i="216" s="1"/>
  <c r="BT223" i="216"/>
  <c r="BS223" i="216"/>
  <c r="BQ223" i="216"/>
  <c r="BO223" i="216"/>
  <c r="BM223" i="216"/>
  <c r="BU223" i="216" s="1"/>
  <c r="BJ223" i="216"/>
  <c r="BI223" i="216"/>
  <c r="BE223" i="216"/>
  <c r="AZ223" i="216"/>
  <c r="AY223" i="216"/>
  <c r="AW223" i="216"/>
  <c r="AU223" i="216"/>
  <c r="AS223" i="216"/>
  <c r="AP223" i="216"/>
  <c r="AO223" i="216"/>
  <c r="AM223" i="216"/>
  <c r="AK223" i="216"/>
  <c r="AI223" i="216"/>
  <c r="AQ223" i="216" s="1"/>
  <c r="AF223" i="216"/>
  <c r="AE223" i="216"/>
  <c r="AC223" i="216"/>
  <c r="AA223" i="216"/>
  <c r="Z223" i="216" s="1"/>
  <c r="Y223" i="216"/>
  <c r="AG223" i="216" s="1"/>
  <c r="V223" i="216"/>
  <c r="U223" i="216"/>
  <c r="S223" i="216"/>
  <c r="Q223" i="216"/>
  <c r="O223" i="216"/>
  <c r="D223" i="216"/>
  <c r="EB222" i="216"/>
  <c r="EA222" i="216"/>
  <c r="DY222" i="216"/>
  <c r="DW222" i="216"/>
  <c r="DU222" i="216"/>
  <c r="DR222" i="216"/>
  <c r="DQ222" i="216"/>
  <c r="DM222" i="216"/>
  <c r="DH222" i="216"/>
  <c r="DG222" i="216"/>
  <c r="DE222" i="216"/>
  <c r="DC222" i="216"/>
  <c r="DA222" i="216"/>
  <c r="DI222" i="216" s="1"/>
  <c r="CX222" i="216"/>
  <c r="CW222" i="216"/>
  <c r="CU222" i="216"/>
  <c r="CS222" i="216"/>
  <c r="CR222" i="216" s="1"/>
  <c r="CQ222" i="216"/>
  <c r="CY222" i="216" s="1"/>
  <c r="CN222" i="216"/>
  <c r="CM222" i="216"/>
  <c r="CK222" i="216"/>
  <c r="CI222" i="216"/>
  <c r="CG222" i="216"/>
  <c r="CD222" i="216"/>
  <c r="CC222" i="216"/>
  <c r="CA222" i="216"/>
  <c r="BY222" i="216"/>
  <c r="BW222" i="216"/>
  <c r="BT222" i="216"/>
  <c r="BS222" i="216"/>
  <c r="BQ222" i="216"/>
  <c r="BO222" i="216"/>
  <c r="BM222" i="216"/>
  <c r="BU222" i="216" s="1"/>
  <c r="BJ222" i="216"/>
  <c r="BI222" i="216"/>
  <c r="BE222" i="216"/>
  <c r="AZ222" i="216"/>
  <c r="AY222" i="216"/>
  <c r="AW222" i="216"/>
  <c r="AU222" i="216"/>
  <c r="AS222" i="216"/>
  <c r="AP222" i="216"/>
  <c r="AO222" i="216"/>
  <c r="AM222" i="216"/>
  <c r="AL222" i="216" s="1"/>
  <c r="AK222" i="216"/>
  <c r="AI222" i="216"/>
  <c r="AN222" i="216" s="1"/>
  <c r="AF222" i="216"/>
  <c r="AE222" i="216"/>
  <c r="AD222" i="216" s="1"/>
  <c r="AC222" i="216"/>
  <c r="AB222" i="216" s="1"/>
  <c r="AA222" i="216"/>
  <c r="Y222" i="216"/>
  <c r="AG222" i="216" s="1"/>
  <c r="V222" i="216"/>
  <c r="U222" i="216"/>
  <c r="S222" i="216"/>
  <c r="Q222" i="216"/>
  <c r="O222" i="216"/>
  <c r="D222" i="216"/>
  <c r="EB221" i="216"/>
  <c r="EA221" i="216"/>
  <c r="EP221" i="216" s="1"/>
  <c r="DW221" i="216"/>
  <c r="DR221" i="216"/>
  <c r="DQ221" i="216"/>
  <c r="DM221" i="216"/>
  <c r="DH221" i="216"/>
  <c r="DG221" i="216"/>
  <c r="DE221" i="216"/>
  <c r="DC221" i="216"/>
  <c r="DA221" i="216"/>
  <c r="CX221" i="216"/>
  <c r="CW221" i="216"/>
  <c r="CU221" i="216"/>
  <c r="CS221" i="216"/>
  <c r="CQ221" i="216"/>
  <c r="CY221" i="216" s="1"/>
  <c r="CN221" i="216"/>
  <c r="CM221" i="216"/>
  <c r="CK221" i="216"/>
  <c r="CI221" i="216"/>
  <c r="CG221" i="216"/>
  <c r="CO221" i="216" s="1"/>
  <c r="CD221" i="216"/>
  <c r="CC221" i="216"/>
  <c r="CA221" i="216"/>
  <c r="BY221" i="216"/>
  <c r="BW221" i="216"/>
  <c r="BT221" i="216"/>
  <c r="BS221" i="216"/>
  <c r="BQ221" i="216"/>
  <c r="BO221" i="216"/>
  <c r="BM221" i="216"/>
  <c r="BR221" i="216" s="1"/>
  <c r="BJ221" i="216"/>
  <c r="BI221" i="216"/>
  <c r="BG221" i="216"/>
  <c r="BE221" i="216"/>
  <c r="BC221" i="216"/>
  <c r="BK221" i="216" s="1"/>
  <c r="AZ221" i="216"/>
  <c r="AY221" i="216"/>
  <c r="AU221" i="216"/>
  <c r="AP221" i="216"/>
  <c r="AO221" i="216"/>
  <c r="AM221" i="216"/>
  <c r="AK221" i="216"/>
  <c r="AI221" i="216"/>
  <c r="AQ221" i="216" s="1"/>
  <c r="AF221" i="216"/>
  <c r="AE221" i="216"/>
  <c r="AC221" i="216"/>
  <c r="AB221" i="216" s="1"/>
  <c r="AA221" i="216"/>
  <c r="Y221" i="216"/>
  <c r="AG221" i="216" s="1"/>
  <c r="V221" i="216"/>
  <c r="U221" i="216"/>
  <c r="S221" i="216"/>
  <c r="Q221" i="216"/>
  <c r="O221" i="216"/>
  <c r="D221" i="216"/>
  <c r="EP220" i="216"/>
  <c r="EB220" i="216"/>
  <c r="EA220" i="216"/>
  <c r="DW220" i="216"/>
  <c r="DR220" i="216"/>
  <c r="DQ220" i="216"/>
  <c r="DM220" i="216"/>
  <c r="DI220" i="216"/>
  <c r="DH220" i="216"/>
  <c r="DG220" i="216"/>
  <c r="DE220" i="216"/>
  <c r="DD220" i="216"/>
  <c r="DC220" i="216"/>
  <c r="DA220" i="216"/>
  <c r="CX220" i="216"/>
  <c r="CW220" i="216"/>
  <c r="CV220" i="216" s="1"/>
  <c r="CU220" i="216"/>
  <c r="CS220" i="216"/>
  <c r="CQ220" i="216"/>
  <c r="CY220" i="216" s="1"/>
  <c r="CN220" i="216"/>
  <c r="CM220" i="216"/>
  <c r="CK220" i="216"/>
  <c r="CI220" i="216"/>
  <c r="CG220" i="216"/>
  <c r="CD220" i="216"/>
  <c r="CC220" i="216"/>
  <c r="CA220" i="216"/>
  <c r="BY220" i="216"/>
  <c r="BX220" i="216" s="1"/>
  <c r="BW220" i="216"/>
  <c r="CE220" i="216" s="1"/>
  <c r="BT220" i="216"/>
  <c r="BS220" i="216"/>
  <c r="BQ220" i="216"/>
  <c r="BO220" i="216"/>
  <c r="BM220" i="216"/>
  <c r="BU220" i="216" s="1"/>
  <c r="BJ220" i="216"/>
  <c r="BI220" i="216"/>
  <c r="BH220" i="216" s="1"/>
  <c r="BG220" i="216"/>
  <c r="BE220" i="216"/>
  <c r="BC220" i="216"/>
  <c r="BK220" i="216" s="1"/>
  <c r="AZ220" i="216"/>
  <c r="AY220" i="216"/>
  <c r="AU220" i="216"/>
  <c r="AS220" i="216"/>
  <c r="AP220" i="216"/>
  <c r="AO220" i="216"/>
  <c r="AM220" i="216"/>
  <c r="AK220" i="216"/>
  <c r="AI220" i="216"/>
  <c r="AF220" i="216"/>
  <c r="AE220" i="216"/>
  <c r="AC220" i="216"/>
  <c r="AA220" i="216"/>
  <c r="Y220" i="216"/>
  <c r="AG220" i="216" s="1"/>
  <c r="V220" i="216"/>
  <c r="U220" i="216"/>
  <c r="S220" i="216"/>
  <c r="Q220" i="216"/>
  <c r="O220" i="216"/>
  <c r="D220" i="216"/>
  <c r="EB219" i="216"/>
  <c r="EA219" i="216"/>
  <c r="EP219" i="216" s="1"/>
  <c r="DY219" i="216"/>
  <c r="DW219" i="216"/>
  <c r="DU219" i="216"/>
  <c r="DR219" i="216"/>
  <c r="DQ219" i="216"/>
  <c r="DM219" i="216"/>
  <c r="DH219" i="216"/>
  <c r="DG219" i="216"/>
  <c r="DE219" i="216"/>
  <c r="DC219" i="216"/>
  <c r="DA219" i="216"/>
  <c r="DI219" i="216" s="1"/>
  <c r="CX219" i="216"/>
  <c r="CW219" i="216"/>
  <c r="CU219" i="216"/>
  <c r="CS219" i="216"/>
  <c r="CQ219" i="216"/>
  <c r="CY219" i="216" s="1"/>
  <c r="CN219" i="216"/>
  <c r="CM219" i="216"/>
  <c r="CI219" i="216"/>
  <c r="CG219" i="216"/>
  <c r="CD219" i="216"/>
  <c r="CC219" i="216"/>
  <c r="CA219" i="216"/>
  <c r="BY219" i="216"/>
  <c r="BW219" i="216"/>
  <c r="CE219" i="216" s="1"/>
  <c r="BT219" i="216"/>
  <c r="BS219" i="216"/>
  <c r="BQ219" i="216"/>
  <c r="BO219" i="216"/>
  <c r="BM219" i="216"/>
  <c r="BU219" i="216" s="1"/>
  <c r="BJ219" i="216"/>
  <c r="BI219" i="216"/>
  <c r="BG219" i="216"/>
  <c r="BE219" i="216"/>
  <c r="BC219" i="216"/>
  <c r="BK219" i="216" s="1"/>
  <c r="AZ219" i="216"/>
  <c r="AY219" i="216"/>
  <c r="AU219" i="216"/>
  <c r="AP219" i="216"/>
  <c r="AO219" i="216"/>
  <c r="AM219" i="216"/>
  <c r="AK219" i="216"/>
  <c r="AI219" i="216"/>
  <c r="AQ219" i="216" s="1"/>
  <c r="AF219" i="216"/>
  <c r="AE219" i="216"/>
  <c r="AD219" i="216" s="1"/>
  <c r="AC219" i="216"/>
  <c r="AA219" i="216"/>
  <c r="Y219" i="216"/>
  <c r="AG219" i="216" s="1"/>
  <c r="V219" i="216"/>
  <c r="U219" i="216"/>
  <c r="S219" i="216"/>
  <c r="Q219" i="216"/>
  <c r="O219" i="216"/>
  <c r="D219" i="216"/>
  <c r="EB218" i="216"/>
  <c r="EA218" i="216"/>
  <c r="DY218" i="216"/>
  <c r="DW218" i="216"/>
  <c r="DU218" i="216"/>
  <c r="DR218" i="216"/>
  <c r="DQ218" i="216"/>
  <c r="DO218" i="216"/>
  <c r="DM218" i="216"/>
  <c r="DK218" i="216"/>
  <c r="DH218" i="216"/>
  <c r="DG218" i="216"/>
  <c r="DE218" i="216"/>
  <c r="DC218" i="216"/>
  <c r="DA218" i="216"/>
  <c r="DI218" i="216" s="1"/>
  <c r="CX218" i="216"/>
  <c r="CW218" i="216"/>
  <c r="CU218" i="216"/>
  <c r="CT218" i="216" s="1"/>
  <c r="CS218" i="216"/>
  <c r="CQ218" i="216"/>
  <c r="CY218" i="216" s="1"/>
  <c r="CN218" i="216"/>
  <c r="CM218" i="216"/>
  <c r="CK218" i="216"/>
  <c r="CI218" i="216"/>
  <c r="CG218" i="216"/>
  <c r="CO218" i="216" s="1"/>
  <c r="CD218" i="216"/>
  <c r="CC218" i="216"/>
  <c r="CA218" i="216"/>
  <c r="BY218" i="216"/>
  <c r="BW218" i="216"/>
  <c r="CE218" i="216" s="1"/>
  <c r="BT218" i="216"/>
  <c r="BS218" i="216"/>
  <c r="BQ218" i="216"/>
  <c r="BO218" i="216"/>
  <c r="BM218" i="216"/>
  <c r="BU218" i="216" s="1"/>
  <c r="BJ218" i="216"/>
  <c r="BI218" i="216"/>
  <c r="BG218" i="216"/>
  <c r="BE218" i="216"/>
  <c r="BD218" i="216" s="1"/>
  <c r="BC218" i="216"/>
  <c r="BK218" i="216" s="1"/>
  <c r="AZ218" i="216"/>
  <c r="AY218" i="216"/>
  <c r="AU218" i="216"/>
  <c r="AP218" i="216"/>
  <c r="AO218" i="216"/>
  <c r="AM218" i="216"/>
  <c r="AK218" i="216"/>
  <c r="AI218" i="216"/>
  <c r="AQ218" i="216" s="1"/>
  <c r="AF218" i="216"/>
  <c r="AE218" i="216"/>
  <c r="AC218" i="216"/>
  <c r="AA218" i="216"/>
  <c r="Y218" i="216"/>
  <c r="AG218" i="216" s="1"/>
  <c r="V218" i="216"/>
  <c r="U218" i="216"/>
  <c r="S218" i="216"/>
  <c r="Q218" i="216"/>
  <c r="P218" i="216" s="1"/>
  <c r="O218" i="216"/>
  <c r="D218" i="216"/>
  <c r="EB217" i="216"/>
  <c r="EA217" i="216"/>
  <c r="EP217" i="216" s="1"/>
  <c r="DW217" i="216"/>
  <c r="DR217" i="216"/>
  <c r="DQ217" i="216"/>
  <c r="DO217" i="216"/>
  <c r="DM217" i="216"/>
  <c r="DK217" i="216"/>
  <c r="DS217" i="216" s="1"/>
  <c r="DH217" i="216"/>
  <c r="DG217" i="216"/>
  <c r="DF217" i="216" s="1"/>
  <c r="DE217" i="216"/>
  <c r="DC217" i="216"/>
  <c r="DA217" i="216"/>
  <c r="DI217" i="216" s="1"/>
  <c r="CX217" i="216"/>
  <c r="CW217" i="216"/>
  <c r="CU217" i="216"/>
  <c r="CS217" i="216"/>
  <c r="CQ217" i="216"/>
  <c r="CY217" i="216" s="1"/>
  <c r="CN217" i="216"/>
  <c r="CM217" i="216"/>
  <c r="CK217" i="216"/>
  <c r="CI217" i="216"/>
  <c r="CH217" i="216" s="1"/>
  <c r="CG217" i="216"/>
  <c r="CO217" i="216" s="1"/>
  <c r="CD217" i="216"/>
  <c r="CC217" i="216"/>
  <c r="CA217" i="216"/>
  <c r="BZ217" i="216" s="1"/>
  <c r="BY217" i="216"/>
  <c r="BW217" i="216"/>
  <c r="CE217" i="216" s="1"/>
  <c r="BT217" i="216"/>
  <c r="BS217" i="216"/>
  <c r="BQ217" i="216"/>
  <c r="BO217" i="216"/>
  <c r="BJ217" i="216"/>
  <c r="BI217" i="216"/>
  <c r="BH217" i="216" s="1"/>
  <c r="BG217" i="216"/>
  <c r="BF217" i="216" s="1"/>
  <c r="BE217" i="216"/>
  <c r="BC217" i="216"/>
  <c r="BK217" i="216" s="1"/>
  <c r="AZ217" i="216"/>
  <c r="AY217" i="216"/>
  <c r="AU217" i="216"/>
  <c r="AP217" i="216"/>
  <c r="AO217" i="216"/>
  <c r="AM217" i="216"/>
  <c r="AK217" i="216"/>
  <c r="AI217" i="216"/>
  <c r="AQ217" i="216" s="1"/>
  <c r="AF217" i="216"/>
  <c r="AE217" i="216"/>
  <c r="AC217" i="216"/>
  <c r="AA217" i="216"/>
  <c r="Y217" i="216"/>
  <c r="AG217" i="216" s="1"/>
  <c r="V217" i="216"/>
  <c r="U217" i="216"/>
  <c r="S217" i="216"/>
  <c r="Q217" i="216"/>
  <c r="O217" i="216"/>
  <c r="D217" i="216"/>
  <c r="EB216" i="216"/>
  <c r="EA216" i="216"/>
  <c r="EP216" i="216" s="1"/>
  <c r="DW216" i="216"/>
  <c r="DR216" i="216"/>
  <c r="DQ216" i="216"/>
  <c r="DM216" i="216"/>
  <c r="DH216" i="216"/>
  <c r="DG216" i="216"/>
  <c r="DE216" i="216"/>
  <c r="DC216" i="216"/>
  <c r="DA216" i="216"/>
  <c r="DI216" i="216" s="1"/>
  <c r="CX216" i="216"/>
  <c r="CW216" i="216"/>
  <c r="CU216" i="216"/>
  <c r="CS216" i="216"/>
  <c r="CQ216" i="216"/>
  <c r="CY216" i="216" s="1"/>
  <c r="CN216" i="216"/>
  <c r="CM216" i="216"/>
  <c r="CK216" i="216"/>
  <c r="CI216" i="216"/>
  <c r="CG216" i="216"/>
  <c r="CO216" i="216" s="1"/>
  <c r="CD216" i="216"/>
  <c r="CC216" i="216"/>
  <c r="CA216" i="216"/>
  <c r="BY216" i="216"/>
  <c r="BW216" i="216"/>
  <c r="CE216" i="216" s="1"/>
  <c r="BT216" i="216"/>
  <c r="BS216" i="216"/>
  <c r="BQ216" i="216"/>
  <c r="BO216" i="216"/>
  <c r="BM216" i="216"/>
  <c r="BU216" i="216" s="1"/>
  <c r="BJ216" i="216"/>
  <c r="BI216" i="216"/>
  <c r="BE216" i="216"/>
  <c r="AZ216" i="216"/>
  <c r="AY216" i="216"/>
  <c r="AW216" i="216"/>
  <c r="AU216" i="216"/>
  <c r="AS216" i="216"/>
  <c r="BA216" i="216" s="1"/>
  <c r="AP216" i="216"/>
  <c r="AO216" i="216"/>
  <c r="AM216" i="216"/>
  <c r="AK216" i="216"/>
  <c r="AJ216" i="216" s="1"/>
  <c r="AI216" i="216"/>
  <c r="AQ216" i="216" s="1"/>
  <c r="AF216" i="216"/>
  <c r="AE216" i="216"/>
  <c r="AC216" i="216"/>
  <c r="AA216" i="216"/>
  <c r="Y216" i="216"/>
  <c r="AG216" i="216" s="1"/>
  <c r="V216" i="216"/>
  <c r="U216" i="216"/>
  <c r="S216" i="216"/>
  <c r="Q216" i="216"/>
  <c r="O216" i="216"/>
  <c r="D216" i="216"/>
  <c r="EB215" i="216"/>
  <c r="EA215" i="216"/>
  <c r="EP215" i="216" s="1"/>
  <c r="DY215" i="216"/>
  <c r="DW215" i="216"/>
  <c r="DR215" i="216"/>
  <c r="DQ215" i="216"/>
  <c r="DO215" i="216"/>
  <c r="DM215" i="216"/>
  <c r="DK215" i="216"/>
  <c r="DS215" i="216" s="1"/>
  <c r="DH215" i="216"/>
  <c r="DG215" i="216"/>
  <c r="DE215" i="216"/>
  <c r="DC215" i="216"/>
  <c r="DA215" i="216"/>
  <c r="DI215" i="216" s="1"/>
  <c r="CX215" i="216"/>
  <c r="CW215" i="216"/>
  <c r="CU215" i="216"/>
  <c r="CS215" i="216"/>
  <c r="CQ215" i="216"/>
  <c r="CY215" i="216" s="1"/>
  <c r="CN215" i="216"/>
  <c r="CM215" i="216"/>
  <c r="CK215" i="216"/>
  <c r="CI215" i="216"/>
  <c r="CG215" i="216"/>
  <c r="CO215" i="216" s="1"/>
  <c r="CD215" i="216"/>
  <c r="CC215" i="216"/>
  <c r="CA215" i="216"/>
  <c r="BZ215" i="216" s="1"/>
  <c r="BY215" i="216"/>
  <c r="BW215" i="216"/>
  <c r="BT215" i="216"/>
  <c r="BS215" i="216"/>
  <c r="BO215" i="216"/>
  <c r="BJ215" i="216"/>
  <c r="BI215" i="216"/>
  <c r="BG215" i="216"/>
  <c r="BE215" i="216"/>
  <c r="BC215" i="216"/>
  <c r="BK215" i="216" s="1"/>
  <c r="AZ215" i="216"/>
  <c r="AY215" i="216"/>
  <c r="AW215" i="216"/>
  <c r="AU215" i="216"/>
  <c r="AS215" i="216"/>
  <c r="BA215" i="216" s="1"/>
  <c r="AP215" i="216"/>
  <c r="AO215" i="216"/>
  <c r="AM215" i="216"/>
  <c r="AK215" i="216"/>
  <c r="AI215" i="216"/>
  <c r="AQ215" i="216" s="1"/>
  <c r="AF215" i="216"/>
  <c r="AE215" i="216"/>
  <c r="AC215" i="216"/>
  <c r="AA215" i="216"/>
  <c r="Z215" i="216" s="1"/>
  <c r="Y215" i="216"/>
  <c r="AG215" i="216" s="1"/>
  <c r="V215" i="216"/>
  <c r="U215" i="216"/>
  <c r="S215" i="216"/>
  <c r="R215" i="216" s="1"/>
  <c r="Q215" i="216"/>
  <c r="O215" i="216"/>
  <c r="D215" i="216"/>
  <c r="EB214" i="216"/>
  <c r="EA214" i="216"/>
  <c r="DW214" i="216"/>
  <c r="DR214" i="216"/>
  <c r="DQ214" i="216"/>
  <c r="DO214" i="216"/>
  <c r="DM214" i="216"/>
  <c r="DK214" i="216"/>
  <c r="DS214" i="216" s="1"/>
  <c r="DH214" i="216"/>
  <c r="DG214" i="216"/>
  <c r="DF214" i="216" s="1"/>
  <c r="DE214" i="216"/>
  <c r="DC214" i="216"/>
  <c r="DA214" i="216"/>
  <c r="DI214" i="216" s="1"/>
  <c r="CX214" i="216"/>
  <c r="CW214" i="216"/>
  <c r="CU214" i="216"/>
  <c r="CT214" i="216" s="1"/>
  <c r="CS214" i="216"/>
  <c r="CR214" i="216" s="1"/>
  <c r="CQ214" i="216"/>
  <c r="CY214" i="216" s="1"/>
  <c r="CN214" i="216"/>
  <c r="CM214" i="216"/>
  <c r="CK214" i="216"/>
  <c r="CI214" i="216"/>
  <c r="CG214" i="216"/>
  <c r="CO214" i="216" s="1"/>
  <c r="CD214" i="216"/>
  <c r="CC214" i="216"/>
  <c r="CA214" i="216"/>
  <c r="BY214" i="216"/>
  <c r="BW214" i="216"/>
  <c r="CE214" i="216" s="1"/>
  <c r="BT214" i="216"/>
  <c r="BS214" i="216"/>
  <c r="BQ214" i="216"/>
  <c r="BO214" i="216"/>
  <c r="BM214" i="216"/>
  <c r="BU214" i="216" s="1"/>
  <c r="BJ214" i="216"/>
  <c r="BI214" i="216"/>
  <c r="BG214" i="216"/>
  <c r="BF214" i="216" s="1"/>
  <c r="BE214" i="216"/>
  <c r="BC214" i="216"/>
  <c r="BK214" i="216" s="1"/>
  <c r="AZ214" i="216"/>
  <c r="AY214" i="216"/>
  <c r="AU214" i="216"/>
  <c r="AP214" i="216"/>
  <c r="AO214" i="216"/>
  <c r="AM214" i="216"/>
  <c r="AK214" i="216"/>
  <c r="AI214" i="216"/>
  <c r="AQ214" i="216" s="1"/>
  <c r="AF214" i="216"/>
  <c r="AE214" i="216"/>
  <c r="AC214" i="216"/>
  <c r="AA214" i="216"/>
  <c r="Y214" i="216"/>
  <c r="AG214" i="216" s="1"/>
  <c r="V214" i="216"/>
  <c r="U214" i="216"/>
  <c r="S214" i="216"/>
  <c r="Q214" i="216"/>
  <c r="O214" i="216"/>
  <c r="D214" i="216"/>
  <c r="EB213" i="216"/>
  <c r="EA213" i="216"/>
  <c r="EP213" i="216" s="1"/>
  <c r="DW213" i="216"/>
  <c r="DR213" i="216"/>
  <c r="DQ213" i="216"/>
  <c r="DO213" i="216"/>
  <c r="DM213" i="216"/>
  <c r="DK213" i="216"/>
  <c r="DS213" i="216" s="1"/>
  <c r="DH213" i="216"/>
  <c r="DG213" i="216"/>
  <c r="DE213" i="216"/>
  <c r="DC213" i="216"/>
  <c r="DA213" i="216"/>
  <c r="DI213" i="216" s="1"/>
  <c r="CX213" i="216"/>
  <c r="CW213" i="216"/>
  <c r="CU213" i="216"/>
  <c r="CS213" i="216"/>
  <c r="CQ213" i="216"/>
  <c r="CY213" i="216" s="1"/>
  <c r="CN213" i="216"/>
  <c r="CM213" i="216"/>
  <c r="CK213" i="216"/>
  <c r="CI213" i="216"/>
  <c r="CG213" i="216"/>
  <c r="CO213" i="216" s="1"/>
  <c r="CD213" i="216"/>
  <c r="CC213" i="216"/>
  <c r="CA213" i="216"/>
  <c r="BY213" i="216"/>
  <c r="BW213" i="216"/>
  <c r="CE213" i="216" s="1"/>
  <c r="BT213" i="216"/>
  <c r="BS213" i="216"/>
  <c r="BQ213" i="216"/>
  <c r="BO213" i="216"/>
  <c r="BM213" i="216"/>
  <c r="BU213" i="216" s="1"/>
  <c r="BJ213" i="216"/>
  <c r="BI213" i="216"/>
  <c r="BG213" i="216"/>
  <c r="BF213" i="216" s="1"/>
  <c r="BE213" i="216"/>
  <c r="BC213" i="216"/>
  <c r="BK213" i="216" s="1"/>
  <c r="AZ213" i="216"/>
  <c r="AY213" i="216"/>
  <c r="AU213" i="216"/>
  <c r="AP213" i="216"/>
  <c r="AO213" i="216"/>
  <c r="AM213" i="216"/>
  <c r="AL213" i="216" s="1"/>
  <c r="AK213" i="216"/>
  <c r="AI213" i="216"/>
  <c r="AQ213" i="216" s="1"/>
  <c r="AF213" i="216"/>
  <c r="AE213" i="216"/>
  <c r="AC213" i="216"/>
  <c r="AA213" i="216"/>
  <c r="Y213" i="216"/>
  <c r="AG213" i="216" s="1"/>
  <c r="V213" i="216"/>
  <c r="U213" i="216"/>
  <c r="S213" i="216"/>
  <c r="Q213" i="216"/>
  <c r="O213" i="216"/>
  <c r="D213" i="216"/>
  <c r="EB212" i="216"/>
  <c r="EA212" i="216"/>
  <c r="EP212" i="216" s="1"/>
  <c r="DW212" i="216"/>
  <c r="DR212" i="216"/>
  <c r="DQ212" i="216"/>
  <c r="DO212" i="216"/>
  <c r="DM212" i="216"/>
  <c r="DK212" i="216"/>
  <c r="DS212" i="216" s="1"/>
  <c r="DH212" i="216"/>
  <c r="DG212" i="216"/>
  <c r="DF212" i="216" s="1"/>
  <c r="DE212" i="216"/>
  <c r="DC212" i="216"/>
  <c r="DA212" i="216"/>
  <c r="CY212" i="216"/>
  <c r="CX212" i="216"/>
  <c r="CW212" i="216"/>
  <c r="CU212" i="216"/>
  <c r="CS212" i="216"/>
  <c r="CQ212" i="216"/>
  <c r="CN212" i="216"/>
  <c r="CM212" i="216"/>
  <c r="CK212" i="216"/>
  <c r="CJ212" i="216" s="1"/>
  <c r="CI212" i="216"/>
  <c r="CG212" i="216"/>
  <c r="CO212" i="216" s="1"/>
  <c r="CD212" i="216"/>
  <c r="CC212" i="216"/>
  <c r="CA212" i="216"/>
  <c r="BY212" i="216"/>
  <c r="BW212" i="216"/>
  <c r="CE212" i="216" s="1"/>
  <c r="BT212" i="216"/>
  <c r="BS212" i="216"/>
  <c r="BQ212" i="216"/>
  <c r="BO212" i="216"/>
  <c r="BM212" i="216"/>
  <c r="BU212" i="216" s="1"/>
  <c r="BJ212" i="216"/>
  <c r="BI212" i="216"/>
  <c r="BG212" i="216"/>
  <c r="BE212" i="216"/>
  <c r="BC212" i="216"/>
  <c r="BK212" i="216" s="1"/>
  <c r="AZ212" i="216"/>
  <c r="AY212" i="216"/>
  <c r="AU212" i="216"/>
  <c r="AP212" i="216"/>
  <c r="AO212" i="216"/>
  <c r="AM212" i="216"/>
  <c r="AK212" i="216"/>
  <c r="AI212" i="216"/>
  <c r="AQ212" i="216" s="1"/>
  <c r="AF212" i="216"/>
  <c r="AE212" i="216"/>
  <c r="AC212" i="216"/>
  <c r="AA212" i="216"/>
  <c r="Y212" i="216"/>
  <c r="AG212" i="216" s="1"/>
  <c r="V212" i="216"/>
  <c r="U212" i="216"/>
  <c r="S212" i="216"/>
  <c r="Q212" i="216"/>
  <c r="O212" i="216"/>
  <c r="D212" i="216"/>
  <c r="EB211" i="216"/>
  <c r="EA211" i="216"/>
  <c r="EP211" i="216" s="1"/>
  <c r="DW211" i="216"/>
  <c r="DR211" i="216"/>
  <c r="DQ211" i="216"/>
  <c r="DO211" i="216"/>
  <c r="DM211" i="216"/>
  <c r="DK211" i="216"/>
  <c r="DS211" i="216" s="1"/>
  <c r="DH211" i="216"/>
  <c r="DG211" i="216"/>
  <c r="DE211" i="216"/>
  <c r="DC211" i="216"/>
  <c r="DA211" i="216"/>
  <c r="CX211" i="216"/>
  <c r="CW211" i="216"/>
  <c r="CU211" i="216"/>
  <c r="CS211" i="216"/>
  <c r="CQ211" i="216"/>
  <c r="CY211" i="216" s="1"/>
  <c r="CN211" i="216"/>
  <c r="CM211" i="216"/>
  <c r="CK211" i="216"/>
  <c r="CI211" i="216"/>
  <c r="CG211" i="216"/>
  <c r="CO211" i="216" s="1"/>
  <c r="CD211" i="216"/>
  <c r="CC211" i="216"/>
  <c r="CA211" i="216"/>
  <c r="BZ211" i="216" s="1"/>
  <c r="BY211" i="216"/>
  <c r="BW211" i="216"/>
  <c r="CE211" i="216" s="1"/>
  <c r="BT211" i="216"/>
  <c r="BS211" i="216"/>
  <c r="BQ211" i="216"/>
  <c r="BO211" i="216"/>
  <c r="BM211" i="216"/>
  <c r="BU211" i="216" s="1"/>
  <c r="BJ211" i="216"/>
  <c r="BI211" i="216"/>
  <c r="BG211" i="216"/>
  <c r="BE211" i="216"/>
  <c r="BL211" i="216" s="1"/>
  <c r="BC211" i="216"/>
  <c r="BK211" i="216" s="1"/>
  <c r="AZ211" i="216"/>
  <c r="AY211" i="216"/>
  <c r="AU211" i="216"/>
  <c r="AP211" i="216"/>
  <c r="AO211" i="216"/>
  <c r="AM211" i="216"/>
  <c r="AK211" i="216"/>
  <c r="AI211" i="216"/>
  <c r="AQ211" i="216" s="1"/>
  <c r="AF211" i="216"/>
  <c r="AE211" i="216"/>
  <c r="AD211" i="216" s="1"/>
  <c r="AC211" i="216"/>
  <c r="AB211" i="216" s="1"/>
  <c r="AA211" i="216"/>
  <c r="Z211" i="216" s="1"/>
  <c r="Y211" i="216"/>
  <c r="AG211" i="216" s="1"/>
  <c r="V211" i="216"/>
  <c r="U211" i="216"/>
  <c r="S211" i="216"/>
  <c r="Q211" i="216"/>
  <c r="O211" i="216"/>
  <c r="D211" i="216"/>
  <c r="EB210" i="216"/>
  <c r="EA210" i="216"/>
  <c r="DW210" i="216"/>
  <c r="DR210" i="216"/>
  <c r="DQ210" i="216"/>
  <c r="DP210" i="216" s="1"/>
  <c r="DO210" i="216"/>
  <c r="DM210" i="216"/>
  <c r="DK210" i="216"/>
  <c r="DS210" i="216" s="1"/>
  <c r="DH210" i="216"/>
  <c r="DG210" i="216"/>
  <c r="DE210" i="216"/>
  <c r="DD210" i="216" s="1"/>
  <c r="DC210" i="216"/>
  <c r="DA210" i="216"/>
  <c r="DI210" i="216" s="1"/>
  <c r="CX210" i="216"/>
  <c r="CW210" i="216"/>
  <c r="CV210" i="216" s="1"/>
  <c r="CU210" i="216"/>
  <c r="CS210" i="216"/>
  <c r="CQ210" i="216"/>
  <c r="CN210" i="216"/>
  <c r="CM210" i="216"/>
  <c r="CI210" i="216"/>
  <c r="CG210" i="216"/>
  <c r="CD210" i="216"/>
  <c r="CC210" i="216"/>
  <c r="CA210" i="216"/>
  <c r="BY210" i="216"/>
  <c r="BW210" i="216"/>
  <c r="CE210" i="216" s="1"/>
  <c r="BT210" i="216"/>
  <c r="BS210" i="216"/>
  <c r="BO210" i="216"/>
  <c r="BJ210" i="216"/>
  <c r="BI210" i="216"/>
  <c r="BG210" i="216"/>
  <c r="BE210" i="216"/>
  <c r="BC210" i="216"/>
  <c r="BK210" i="216" s="1"/>
  <c r="AZ210" i="216"/>
  <c r="AY210" i="216"/>
  <c r="AW210" i="216"/>
  <c r="AU210" i="216"/>
  <c r="AS210" i="216"/>
  <c r="BA210" i="216" s="1"/>
  <c r="AP210" i="216"/>
  <c r="AO210" i="216"/>
  <c r="AM210" i="216"/>
  <c r="AK210" i="216"/>
  <c r="AI210" i="216"/>
  <c r="AQ210" i="216" s="1"/>
  <c r="AF210" i="216"/>
  <c r="AE210" i="216"/>
  <c r="AC210" i="216"/>
  <c r="AA210" i="216"/>
  <c r="Y210" i="216"/>
  <c r="AG210" i="216" s="1"/>
  <c r="V210" i="216"/>
  <c r="U210" i="216"/>
  <c r="S210" i="216"/>
  <c r="Q210" i="216"/>
  <c r="O210" i="216"/>
  <c r="D210" i="216"/>
  <c r="EB209" i="216"/>
  <c r="EA209" i="216"/>
  <c r="DY209" i="216"/>
  <c r="DX209" i="216" s="1"/>
  <c r="DW209" i="216"/>
  <c r="DV209" i="216" s="1"/>
  <c r="DU209" i="216"/>
  <c r="EC209" i="216" s="1"/>
  <c r="DR209" i="216"/>
  <c r="DQ209" i="216"/>
  <c r="DM209" i="216"/>
  <c r="DH209" i="216"/>
  <c r="DG209" i="216"/>
  <c r="DE209" i="216"/>
  <c r="DC209" i="216"/>
  <c r="DA209" i="216"/>
  <c r="DI209" i="216" s="1"/>
  <c r="CX209" i="216"/>
  <c r="CW209" i="216"/>
  <c r="CV209" i="216" s="1"/>
  <c r="CU209" i="216"/>
  <c r="CS209" i="216"/>
  <c r="CQ209" i="216"/>
  <c r="CY209" i="216" s="1"/>
  <c r="CN209" i="216"/>
  <c r="CM209" i="216"/>
  <c r="CK209" i="216"/>
  <c r="CI209" i="216"/>
  <c r="CG209" i="216"/>
  <c r="CO209" i="216" s="1"/>
  <c r="CD209" i="216"/>
  <c r="CC209" i="216"/>
  <c r="CA209" i="216"/>
  <c r="BY209" i="216"/>
  <c r="BT209" i="216"/>
  <c r="BS209" i="216"/>
  <c r="BO209" i="216"/>
  <c r="BJ209" i="216"/>
  <c r="BI209" i="216"/>
  <c r="BG209" i="216"/>
  <c r="BE209" i="216"/>
  <c r="AZ209" i="216"/>
  <c r="AY209" i="216"/>
  <c r="AU209" i="216"/>
  <c r="AP209" i="216"/>
  <c r="AO209" i="216"/>
  <c r="AM209" i="216"/>
  <c r="AK209" i="216"/>
  <c r="AI209" i="216"/>
  <c r="AQ209" i="216" s="1"/>
  <c r="AF209" i="216"/>
  <c r="AE209" i="216"/>
  <c r="AC209" i="216"/>
  <c r="AA209" i="216"/>
  <c r="Y209" i="216"/>
  <c r="AG209" i="216" s="1"/>
  <c r="V209" i="216"/>
  <c r="U209" i="216"/>
  <c r="S209" i="216"/>
  <c r="Q209" i="216"/>
  <c r="O209" i="216"/>
  <c r="D209" i="216"/>
  <c r="EB208" i="216"/>
  <c r="EA208" i="216"/>
  <c r="DY208" i="216"/>
  <c r="DW208" i="216"/>
  <c r="DU208" i="216"/>
  <c r="DR208" i="216"/>
  <c r="DQ208" i="216"/>
  <c r="DO208" i="216"/>
  <c r="DM208" i="216"/>
  <c r="DK208" i="216"/>
  <c r="DS208" i="216" s="1"/>
  <c r="DH208" i="216"/>
  <c r="DG208" i="216"/>
  <c r="DE208" i="216"/>
  <c r="DC208" i="216"/>
  <c r="DA208" i="216"/>
  <c r="DI208" i="216" s="1"/>
  <c r="CX208" i="216"/>
  <c r="CW208" i="216"/>
  <c r="CV208" i="216" s="1"/>
  <c r="CU208" i="216"/>
  <c r="CT208" i="216" s="1"/>
  <c r="CS208" i="216"/>
  <c r="CQ208" i="216"/>
  <c r="CY208" i="216" s="1"/>
  <c r="CN208" i="216"/>
  <c r="CM208" i="216"/>
  <c r="CL208" i="216" s="1"/>
  <c r="CK208" i="216"/>
  <c r="CI208" i="216"/>
  <c r="CG208" i="216"/>
  <c r="CO208" i="216" s="1"/>
  <c r="CD208" i="216"/>
  <c r="CA208" i="216"/>
  <c r="BY208" i="216"/>
  <c r="BW208" i="216"/>
  <c r="CE208" i="216" s="1"/>
  <c r="BT208" i="216"/>
  <c r="BS208" i="216"/>
  <c r="BO208" i="216"/>
  <c r="BJ208" i="216"/>
  <c r="BI208" i="216"/>
  <c r="BE208" i="216"/>
  <c r="AZ208" i="216"/>
  <c r="AY208" i="216"/>
  <c r="AU208" i="216"/>
  <c r="AP208" i="216"/>
  <c r="AO208" i="216"/>
  <c r="AM208" i="216"/>
  <c r="AK208" i="216"/>
  <c r="AI208" i="216"/>
  <c r="AQ208" i="216" s="1"/>
  <c r="AF208" i="216"/>
  <c r="AE208" i="216"/>
  <c r="AC208" i="216"/>
  <c r="AB208" i="216" s="1"/>
  <c r="AA208" i="216"/>
  <c r="Y208" i="216"/>
  <c r="AG208" i="216" s="1"/>
  <c r="V208" i="216"/>
  <c r="U208" i="216"/>
  <c r="S208" i="216"/>
  <c r="Q208" i="216"/>
  <c r="O208" i="216"/>
  <c r="T208" i="216" s="1"/>
  <c r="D208" i="216"/>
  <c r="EB207" i="216"/>
  <c r="EA207" i="216"/>
  <c r="EP207" i="216" s="1"/>
  <c r="DY207" i="216"/>
  <c r="DW207" i="216"/>
  <c r="DR207" i="216"/>
  <c r="DQ207" i="216"/>
  <c r="DM207" i="216"/>
  <c r="DH207" i="216"/>
  <c r="DG207" i="216"/>
  <c r="DE207" i="216"/>
  <c r="DC207" i="216"/>
  <c r="DB207" i="216"/>
  <c r="DA207" i="216"/>
  <c r="DI207" i="216" s="1"/>
  <c r="CX207" i="216"/>
  <c r="CW207" i="216"/>
  <c r="CU207" i="216"/>
  <c r="CS207" i="216"/>
  <c r="CQ207" i="216"/>
  <c r="CY207" i="216" s="1"/>
  <c r="CN207" i="216"/>
  <c r="CM207" i="216"/>
  <c r="CK207" i="216"/>
  <c r="CI207" i="216"/>
  <c r="CG207" i="216"/>
  <c r="CD207" i="216"/>
  <c r="CC207" i="216"/>
  <c r="CA207" i="216"/>
  <c r="BZ207" i="216" s="1"/>
  <c r="BY207" i="216"/>
  <c r="BW207" i="216"/>
  <c r="CE207" i="216" s="1"/>
  <c r="BT207" i="216"/>
  <c r="BS207" i="216"/>
  <c r="BO207" i="216"/>
  <c r="BJ207" i="216"/>
  <c r="BI207" i="216"/>
  <c r="BE207" i="216"/>
  <c r="AZ207" i="216"/>
  <c r="AY207" i="216"/>
  <c r="AW207" i="216"/>
  <c r="AU207" i="216"/>
  <c r="AS207" i="216"/>
  <c r="AP207" i="216"/>
  <c r="AO207" i="216"/>
  <c r="AM207" i="216"/>
  <c r="AK207" i="216"/>
  <c r="AI207" i="216"/>
  <c r="AQ207" i="216" s="1"/>
  <c r="AF207" i="216"/>
  <c r="AE207" i="216"/>
  <c r="AC207" i="216"/>
  <c r="AB207" i="216" s="1"/>
  <c r="AA207" i="216"/>
  <c r="Y207" i="216"/>
  <c r="AG207" i="216" s="1"/>
  <c r="V207" i="216"/>
  <c r="U207" i="216"/>
  <c r="S207" i="216"/>
  <c r="Q207" i="216"/>
  <c r="O207" i="216"/>
  <c r="D207" i="216"/>
  <c r="EB206" i="216"/>
  <c r="EA206" i="216"/>
  <c r="DW206" i="216"/>
  <c r="DU206" i="216"/>
  <c r="DR206" i="216"/>
  <c r="DQ206" i="216"/>
  <c r="DM206" i="216"/>
  <c r="DH206" i="216"/>
  <c r="DG206" i="216"/>
  <c r="DE206" i="216"/>
  <c r="DC206" i="216"/>
  <c r="DA206" i="216"/>
  <c r="DI206" i="216" s="1"/>
  <c r="CX206" i="216"/>
  <c r="CW206" i="216"/>
  <c r="CU206" i="216"/>
  <c r="CT206" i="216" s="1"/>
  <c r="CS206" i="216"/>
  <c r="CR206" i="216" s="1"/>
  <c r="CQ206" i="216"/>
  <c r="CY206" i="216" s="1"/>
  <c r="CN206" i="216"/>
  <c r="CM206" i="216"/>
  <c r="CK206" i="216"/>
  <c r="CJ206" i="216" s="1"/>
  <c r="CI206" i="216"/>
  <c r="CG206" i="216"/>
  <c r="CO206" i="216" s="1"/>
  <c r="CD206" i="216"/>
  <c r="CC206" i="216"/>
  <c r="CA206" i="216"/>
  <c r="BY206" i="216"/>
  <c r="BW206" i="216"/>
  <c r="CE206" i="216" s="1"/>
  <c r="BT206" i="216"/>
  <c r="BS206" i="216"/>
  <c r="BQ206" i="216"/>
  <c r="BO206" i="216"/>
  <c r="BM206" i="216"/>
  <c r="BU206" i="216" s="1"/>
  <c r="BJ206" i="216"/>
  <c r="BI206" i="216"/>
  <c r="BG206" i="216"/>
  <c r="BF206" i="216" s="1"/>
  <c r="BE206" i="216"/>
  <c r="BC206" i="216"/>
  <c r="BK206" i="216" s="1"/>
  <c r="AZ206" i="216"/>
  <c r="AY206" i="216"/>
  <c r="AW206" i="216"/>
  <c r="AU206" i="216"/>
  <c r="AS206" i="216"/>
  <c r="AP206" i="216"/>
  <c r="AO206" i="216"/>
  <c r="AM206" i="216"/>
  <c r="AK206" i="216"/>
  <c r="AI206" i="216"/>
  <c r="AQ206" i="216" s="1"/>
  <c r="AF206" i="216"/>
  <c r="AE206" i="216"/>
  <c r="AC206" i="216"/>
  <c r="AA206" i="216"/>
  <c r="Y206" i="216"/>
  <c r="AG206" i="216" s="1"/>
  <c r="V206" i="216"/>
  <c r="U206" i="216"/>
  <c r="S206" i="216"/>
  <c r="R206" i="216" s="1"/>
  <c r="Q206" i="216"/>
  <c r="O206" i="216"/>
  <c r="D206" i="216"/>
  <c r="EB205" i="216"/>
  <c r="EA205" i="216"/>
  <c r="EP205" i="216" s="1"/>
  <c r="DW205" i="216"/>
  <c r="DR205" i="216"/>
  <c r="DQ205" i="216"/>
  <c r="DM205" i="216"/>
  <c r="DH205" i="216"/>
  <c r="DG205" i="216"/>
  <c r="DE205" i="216"/>
  <c r="DC205" i="216"/>
  <c r="DA205" i="216"/>
  <c r="DI205" i="216" s="1"/>
  <c r="CX205" i="216"/>
  <c r="CW205" i="216"/>
  <c r="CV205" i="216" s="1"/>
  <c r="CU205" i="216"/>
  <c r="CT205" i="216" s="1"/>
  <c r="CS205" i="216"/>
  <c r="CQ205" i="216"/>
  <c r="CY205" i="216" s="1"/>
  <c r="CN205" i="216"/>
  <c r="CM205" i="216"/>
  <c r="CK205" i="216"/>
  <c r="CI205" i="216"/>
  <c r="CG205" i="216"/>
  <c r="CO205" i="216" s="1"/>
  <c r="CD205" i="216"/>
  <c r="CC205" i="216"/>
  <c r="CA205" i="216"/>
  <c r="BZ205" i="216"/>
  <c r="BY205" i="216"/>
  <c r="BW205" i="216"/>
  <c r="CE205" i="216" s="1"/>
  <c r="BT205" i="216"/>
  <c r="BS205" i="216"/>
  <c r="BR205" i="216" s="1"/>
  <c r="BQ205" i="216"/>
  <c r="BO205" i="216"/>
  <c r="BM205" i="216"/>
  <c r="BU205" i="216" s="1"/>
  <c r="BJ205" i="216"/>
  <c r="BI205" i="216"/>
  <c r="BE205" i="216"/>
  <c r="AZ205" i="216"/>
  <c r="AY205" i="216"/>
  <c r="AW205" i="216"/>
  <c r="AU205" i="216"/>
  <c r="AS205" i="216"/>
  <c r="BA205" i="216" s="1"/>
  <c r="AP205" i="216"/>
  <c r="AO205" i="216"/>
  <c r="AM205" i="216"/>
  <c r="AK205" i="216"/>
  <c r="AI205" i="216"/>
  <c r="AQ205" i="216" s="1"/>
  <c r="AF205" i="216"/>
  <c r="AE205" i="216"/>
  <c r="AC205" i="216"/>
  <c r="AA205" i="216"/>
  <c r="Y205" i="216"/>
  <c r="V205" i="216"/>
  <c r="U205" i="216"/>
  <c r="S205" i="216"/>
  <c r="Q205" i="216"/>
  <c r="O205" i="216"/>
  <c r="D205" i="216"/>
  <c r="EB204" i="216"/>
  <c r="EA204" i="216"/>
  <c r="EP204" i="216" s="1"/>
  <c r="DW204" i="216"/>
  <c r="DR204" i="216"/>
  <c r="DQ204" i="216"/>
  <c r="DO204" i="216"/>
  <c r="DM204" i="216"/>
  <c r="DK204" i="216"/>
  <c r="DS204" i="216" s="1"/>
  <c r="DH204" i="216"/>
  <c r="DG204" i="216"/>
  <c r="DE204" i="216"/>
  <c r="DC204" i="216"/>
  <c r="DA204" i="216"/>
  <c r="CX204" i="216"/>
  <c r="CW204" i="216"/>
  <c r="CU204" i="216"/>
  <c r="CS204" i="216"/>
  <c r="CQ204" i="216"/>
  <c r="CN204" i="216"/>
  <c r="CM204" i="216"/>
  <c r="CK204" i="216"/>
  <c r="CJ204" i="216" s="1"/>
  <c r="CI204" i="216"/>
  <c r="CG204" i="216"/>
  <c r="CO204" i="216" s="1"/>
  <c r="CD204" i="216"/>
  <c r="CC204" i="216"/>
  <c r="CA204" i="216"/>
  <c r="BY204" i="216"/>
  <c r="BW204" i="216"/>
  <c r="CE204" i="216" s="1"/>
  <c r="BT204" i="216"/>
  <c r="BS204" i="216"/>
  <c r="BQ204" i="216"/>
  <c r="BO204" i="216"/>
  <c r="BM204" i="216"/>
  <c r="BJ204" i="216"/>
  <c r="BI204" i="216"/>
  <c r="BG204" i="216"/>
  <c r="BE204" i="216"/>
  <c r="BC204" i="216"/>
  <c r="AZ204" i="216"/>
  <c r="AY204" i="216"/>
  <c r="AU204" i="216"/>
  <c r="AP204" i="216"/>
  <c r="AO204" i="216"/>
  <c r="AM204" i="216"/>
  <c r="AK204" i="216"/>
  <c r="AJ204" i="216" s="1"/>
  <c r="AI204" i="216"/>
  <c r="AQ204" i="216" s="1"/>
  <c r="AF204" i="216"/>
  <c r="AE204" i="216"/>
  <c r="AC204" i="216"/>
  <c r="AA204" i="216"/>
  <c r="Y204" i="216"/>
  <c r="AG204" i="216" s="1"/>
  <c r="V204" i="216"/>
  <c r="U204" i="216"/>
  <c r="T204" i="216" s="1"/>
  <c r="S204" i="216"/>
  <c r="Q204" i="216"/>
  <c r="O204" i="216"/>
  <c r="D204" i="216"/>
  <c r="EB203" i="216"/>
  <c r="EA203" i="216"/>
  <c r="EP203" i="216" s="1"/>
  <c r="DW203" i="216"/>
  <c r="DR203" i="216"/>
  <c r="DQ203" i="216"/>
  <c r="DM203" i="216"/>
  <c r="DH203" i="216"/>
  <c r="DG203" i="216"/>
  <c r="DE203" i="216"/>
  <c r="DC203" i="216"/>
  <c r="DA203" i="216"/>
  <c r="DI203" i="216" s="1"/>
  <c r="CX203" i="216"/>
  <c r="CW203" i="216"/>
  <c r="CU203" i="216"/>
  <c r="CS203" i="216"/>
  <c r="CQ203" i="216"/>
  <c r="CY203" i="216" s="1"/>
  <c r="CN203" i="216"/>
  <c r="CM203" i="216"/>
  <c r="CK203" i="216"/>
  <c r="CI203" i="216"/>
  <c r="CG203" i="216"/>
  <c r="CO203" i="216" s="1"/>
  <c r="CD203" i="216"/>
  <c r="CC203" i="216"/>
  <c r="CA203" i="216"/>
  <c r="BY203" i="216"/>
  <c r="BW203" i="216"/>
  <c r="CE203" i="216" s="1"/>
  <c r="BT203" i="216"/>
  <c r="BS203" i="216"/>
  <c r="BQ203" i="216"/>
  <c r="BO203" i="216"/>
  <c r="BM203" i="216"/>
  <c r="BJ203" i="216"/>
  <c r="BI203" i="216"/>
  <c r="BG203" i="216"/>
  <c r="BF203" i="216" s="1"/>
  <c r="BE203" i="216"/>
  <c r="BC203" i="216"/>
  <c r="BK203" i="216" s="1"/>
  <c r="AZ203" i="216"/>
  <c r="AY203" i="216"/>
  <c r="AU203" i="216"/>
  <c r="AP203" i="216"/>
  <c r="AO203" i="216"/>
  <c r="AM203" i="216"/>
  <c r="AL203" i="216" s="1"/>
  <c r="AK203" i="216"/>
  <c r="AI203" i="216"/>
  <c r="AQ203" i="216" s="1"/>
  <c r="AF203" i="216"/>
  <c r="AE203" i="216"/>
  <c r="AD203" i="216" s="1"/>
  <c r="AC203" i="216"/>
  <c r="AA203" i="216"/>
  <c r="Y203" i="216"/>
  <c r="V203" i="216"/>
  <c r="U203" i="216"/>
  <c r="S203" i="216"/>
  <c r="R203" i="216" s="1"/>
  <c r="Q203" i="216"/>
  <c r="O203" i="216"/>
  <c r="D203" i="216"/>
  <c r="EB202" i="216"/>
  <c r="EA202" i="216"/>
  <c r="DW202" i="216"/>
  <c r="DR202" i="216"/>
  <c r="DQ202" i="216"/>
  <c r="DO202" i="216"/>
  <c r="DM202" i="216"/>
  <c r="DK202" i="216"/>
  <c r="DS202" i="216" s="1"/>
  <c r="DH202" i="216"/>
  <c r="DG202" i="216"/>
  <c r="DE202" i="216"/>
  <c r="DC202" i="216"/>
  <c r="DA202" i="216"/>
  <c r="DI202" i="216" s="1"/>
  <c r="CX202" i="216"/>
  <c r="CW202" i="216"/>
  <c r="CU202" i="216"/>
  <c r="CS202" i="216"/>
  <c r="CQ202" i="216"/>
  <c r="CY202" i="216" s="1"/>
  <c r="CN202" i="216"/>
  <c r="CM202" i="216"/>
  <c r="CK202" i="216"/>
  <c r="CI202" i="216"/>
  <c r="CG202" i="216"/>
  <c r="CO202" i="216" s="1"/>
  <c r="CD202" i="216"/>
  <c r="CC202" i="216"/>
  <c r="CA202" i="216"/>
  <c r="BY202" i="216"/>
  <c r="BW202" i="216"/>
  <c r="CE202" i="216" s="1"/>
  <c r="BT202" i="216"/>
  <c r="BS202" i="216"/>
  <c r="BQ202" i="216"/>
  <c r="BO202" i="216"/>
  <c r="BM202" i="216"/>
  <c r="BU202" i="216" s="1"/>
  <c r="BJ202" i="216"/>
  <c r="BI202" i="216"/>
  <c r="BG202" i="216"/>
  <c r="BE202" i="216"/>
  <c r="BC202" i="216"/>
  <c r="BK202" i="216" s="1"/>
  <c r="AZ202" i="216"/>
  <c r="AY202" i="216"/>
  <c r="AW202" i="216"/>
  <c r="AU202" i="216"/>
  <c r="AS202" i="216"/>
  <c r="AP202" i="216"/>
  <c r="AO202" i="216"/>
  <c r="AM202" i="216"/>
  <c r="AK202" i="216"/>
  <c r="AI202" i="216"/>
  <c r="AQ202" i="216" s="1"/>
  <c r="AF202" i="216"/>
  <c r="AE202" i="216"/>
  <c r="AC202" i="216"/>
  <c r="AA202" i="216"/>
  <c r="Y202" i="216"/>
  <c r="AG202" i="216" s="1"/>
  <c r="V202" i="216"/>
  <c r="U202" i="216"/>
  <c r="S202" i="216"/>
  <c r="R202" i="216" s="1"/>
  <c r="Q202" i="216"/>
  <c r="O202" i="216"/>
  <c r="D202" i="216"/>
  <c r="EB201" i="216"/>
  <c r="EA201" i="216"/>
  <c r="EP201" i="216" s="1"/>
  <c r="DY201" i="216"/>
  <c r="DW201" i="216"/>
  <c r="DR201" i="216"/>
  <c r="DQ201" i="216"/>
  <c r="DO201" i="216"/>
  <c r="DN201" i="216"/>
  <c r="DM201" i="216"/>
  <c r="DK201" i="216"/>
  <c r="DS201" i="216" s="1"/>
  <c r="DH201" i="216"/>
  <c r="DG201" i="216"/>
  <c r="DE201" i="216"/>
  <c r="DC201" i="216"/>
  <c r="DA201" i="216"/>
  <c r="DI201" i="216" s="1"/>
  <c r="CX201" i="216"/>
  <c r="CW201" i="216"/>
  <c r="CV201" i="216" s="1"/>
  <c r="CU201" i="216"/>
  <c r="CS201" i="216"/>
  <c r="CQ201" i="216"/>
  <c r="CY201" i="216" s="1"/>
  <c r="CN201" i="216"/>
  <c r="CM201" i="216"/>
  <c r="CK201" i="216"/>
  <c r="CJ201" i="216" s="1"/>
  <c r="CI201" i="216"/>
  <c r="CG201" i="216"/>
  <c r="CO201" i="216" s="1"/>
  <c r="CD201" i="216"/>
  <c r="CC201" i="216"/>
  <c r="BY201" i="216"/>
  <c r="BT201" i="216"/>
  <c r="BS201" i="216"/>
  <c r="BQ201" i="216"/>
  <c r="BO201" i="216"/>
  <c r="BM201" i="216"/>
  <c r="BU201" i="216" s="1"/>
  <c r="BJ201" i="216"/>
  <c r="BI201" i="216"/>
  <c r="BH201" i="216" s="1"/>
  <c r="BG201" i="216"/>
  <c r="BF201" i="216" s="1"/>
  <c r="BE201" i="216"/>
  <c r="BC201" i="216"/>
  <c r="BK201" i="216" s="1"/>
  <c r="AZ201" i="216"/>
  <c r="AY201" i="216"/>
  <c r="AU201" i="216"/>
  <c r="AP201" i="216"/>
  <c r="AO201" i="216"/>
  <c r="AN201" i="216" s="1"/>
  <c r="AM201" i="216"/>
  <c r="AK201" i="216"/>
  <c r="AI201" i="216"/>
  <c r="AQ201" i="216" s="1"/>
  <c r="AF201" i="216"/>
  <c r="AE201" i="216"/>
  <c r="AC201" i="216"/>
  <c r="AA201" i="216"/>
  <c r="Y201" i="216"/>
  <c r="AG201" i="216" s="1"/>
  <c r="V201" i="216"/>
  <c r="U201" i="216"/>
  <c r="S201" i="216"/>
  <c r="Q201" i="216"/>
  <c r="O201" i="216"/>
  <c r="D201" i="216"/>
  <c r="EB200" i="216"/>
  <c r="EA200" i="216"/>
  <c r="EP200" i="216" s="1"/>
  <c r="DW200" i="216"/>
  <c r="DR200" i="216"/>
  <c r="DQ200" i="216"/>
  <c r="DO200" i="216"/>
  <c r="DM200" i="216"/>
  <c r="DK200" i="216"/>
  <c r="DS200" i="216" s="1"/>
  <c r="DH200" i="216"/>
  <c r="DG200" i="216"/>
  <c r="DE200" i="216"/>
  <c r="DD200" i="216" s="1"/>
  <c r="DC200" i="216"/>
  <c r="DA200" i="216"/>
  <c r="DI200" i="216" s="1"/>
  <c r="CX200" i="216"/>
  <c r="CW200" i="216"/>
  <c r="CU200" i="216"/>
  <c r="CS200" i="216"/>
  <c r="CQ200" i="216"/>
  <c r="CY200" i="216" s="1"/>
  <c r="CN200" i="216"/>
  <c r="CM200" i="216"/>
  <c r="CK200" i="216"/>
  <c r="CI200" i="216"/>
  <c r="CG200" i="216"/>
  <c r="CO200" i="216" s="1"/>
  <c r="CD200" i="216"/>
  <c r="CC200" i="216"/>
  <c r="CA200" i="216"/>
  <c r="BY200" i="216"/>
  <c r="BW200" i="216"/>
  <c r="CE200" i="216" s="1"/>
  <c r="BT200" i="216"/>
  <c r="BS200" i="216"/>
  <c r="BQ200" i="216"/>
  <c r="BO200" i="216"/>
  <c r="BM200" i="216"/>
  <c r="BJ200" i="216"/>
  <c r="BI200" i="216"/>
  <c r="BE200" i="216"/>
  <c r="AZ200" i="216"/>
  <c r="AY200" i="216"/>
  <c r="AX200" i="216" s="1"/>
  <c r="AW200" i="216"/>
  <c r="AV200" i="216" s="1"/>
  <c r="AU200" i="216"/>
  <c r="AS200" i="216"/>
  <c r="BA200" i="216" s="1"/>
  <c r="AP200" i="216"/>
  <c r="AO200" i="216"/>
  <c r="AM200" i="216"/>
  <c r="AL200" i="216" s="1"/>
  <c r="AK200" i="216"/>
  <c r="AI200" i="216"/>
  <c r="AQ200" i="216" s="1"/>
  <c r="AF200" i="216"/>
  <c r="AE200" i="216"/>
  <c r="AD200" i="216" s="1"/>
  <c r="AC200" i="216"/>
  <c r="AA200" i="216"/>
  <c r="Y200" i="216"/>
  <c r="AG200" i="216" s="1"/>
  <c r="V200" i="216"/>
  <c r="U200" i="216"/>
  <c r="S200" i="216"/>
  <c r="Q200" i="216"/>
  <c r="O200" i="216"/>
  <c r="D200" i="216"/>
  <c r="EB199" i="216"/>
  <c r="EA199" i="216"/>
  <c r="EP199" i="216" s="1"/>
  <c r="DY199" i="216"/>
  <c r="DW199" i="216"/>
  <c r="DR199" i="216"/>
  <c r="DQ199" i="216"/>
  <c r="DO199" i="216"/>
  <c r="DM199" i="216"/>
  <c r="DK199" i="216"/>
  <c r="DS199" i="216" s="1"/>
  <c r="DH199" i="216"/>
  <c r="DG199" i="216"/>
  <c r="DE199" i="216"/>
  <c r="DC199" i="216"/>
  <c r="DA199" i="216"/>
  <c r="DI199" i="216" s="1"/>
  <c r="CX199" i="216"/>
  <c r="CW199" i="216"/>
  <c r="CU199" i="216"/>
  <c r="CS199" i="216"/>
  <c r="CQ199" i="216"/>
  <c r="CN199" i="216"/>
  <c r="CM199" i="216"/>
  <c r="CK199" i="216"/>
  <c r="CI199" i="216"/>
  <c r="CG199" i="216"/>
  <c r="CD199" i="216"/>
  <c r="CC199" i="216"/>
  <c r="BY199" i="216"/>
  <c r="BT199" i="216"/>
  <c r="BS199" i="216"/>
  <c r="BQ199" i="216"/>
  <c r="BO199" i="216"/>
  <c r="BN199" i="216" s="1"/>
  <c r="BM199" i="216"/>
  <c r="BU199" i="216" s="1"/>
  <c r="BJ199" i="216"/>
  <c r="BI199" i="216"/>
  <c r="BE199" i="216"/>
  <c r="AZ199" i="216"/>
  <c r="AY199" i="216"/>
  <c r="AW199" i="216"/>
  <c r="AU199" i="216"/>
  <c r="AS199" i="216"/>
  <c r="BA199" i="216" s="1"/>
  <c r="AP199" i="216"/>
  <c r="AO199" i="216"/>
  <c r="AM199" i="216"/>
  <c r="AK199" i="216"/>
  <c r="AI199" i="216"/>
  <c r="AQ199" i="216" s="1"/>
  <c r="AF199" i="216"/>
  <c r="AE199" i="216"/>
  <c r="AC199" i="216"/>
  <c r="AA199" i="216"/>
  <c r="Y199" i="216"/>
  <c r="AG199" i="216" s="1"/>
  <c r="V199" i="216"/>
  <c r="U199" i="216"/>
  <c r="S199" i="216"/>
  <c r="R199" i="216" s="1"/>
  <c r="Q199" i="216"/>
  <c r="O199" i="216"/>
  <c r="D199" i="216"/>
  <c r="EB198" i="216"/>
  <c r="EA198" i="216"/>
  <c r="EP198" i="216" s="1"/>
  <c r="DW198" i="216"/>
  <c r="DR198" i="216"/>
  <c r="DQ198" i="216"/>
  <c r="DM198" i="216"/>
  <c r="DH198" i="216"/>
  <c r="DG198" i="216"/>
  <c r="DE198" i="216"/>
  <c r="DC198" i="216"/>
  <c r="DB198" i="216" s="1"/>
  <c r="DA198" i="216"/>
  <c r="DI198" i="216" s="1"/>
  <c r="CX198" i="216"/>
  <c r="CW198" i="216"/>
  <c r="CU198" i="216"/>
  <c r="CS198" i="216"/>
  <c r="CQ198" i="216"/>
  <c r="CN198" i="216"/>
  <c r="CM198" i="216"/>
  <c r="CK198" i="216"/>
  <c r="CI198" i="216"/>
  <c r="CG198" i="216"/>
  <c r="CO198" i="216" s="1"/>
  <c r="CD198" i="216"/>
  <c r="CC198" i="216"/>
  <c r="CA198" i="216"/>
  <c r="BY198" i="216"/>
  <c r="BW198" i="216"/>
  <c r="CE198" i="216" s="1"/>
  <c r="BT198" i="216"/>
  <c r="BS198" i="216"/>
  <c r="BR198" i="216" s="1"/>
  <c r="BQ198" i="216"/>
  <c r="BO198" i="216"/>
  <c r="BN198" i="216" s="1"/>
  <c r="BM198" i="216"/>
  <c r="BU198" i="216" s="1"/>
  <c r="BJ198" i="216"/>
  <c r="BI198" i="216"/>
  <c r="BG198" i="216"/>
  <c r="BE198" i="216"/>
  <c r="BC198" i="216"/>
  <c r="BK198" i="216" s="1"/>
  <c r="AZ198" i="216"/>
  <c r="AY198" i="216"/>
  <c r="AU198" i="216"/>
  <c r="AP198" i="216"/>
  <c r="AO198" i="216"/>
  <c r="AM198" i="216"/>
  <c r="AK198" i="216"/>
  <c r="AI198" i="216"/>
  <c r="AQ198" i="216" s="1"/>
  <c r="AF198" i="216"/>
  <c r="AE198" i="216"/>
  <c r="AD198" i="216" s="1"/>
  <c r="AC198" i="216"/>
  <c r="AA198" i="216"/>
  <c r="Y198" i="216"/>
  <c r="AG198" i="216" s="1"/>
  <c r="V198" i="216"/>
  <c r="U198" i="216"/>
  <c r="S198" i="216"/>
  <c r="Q198" i="216"/>
  <c r="O198" i="216"/>
  <c r="D198" i="216"/>
  <c r="EB197" i="216"/>
  <c r="EA197" i="216"/>
  <c r="DW197" i="216"/>
  <c r="DR197" i="216"/>
  <c r="DQ197" i="216"/>
  <c r="DP197" i="216" s="1"/>
  <c r="DO197" i="216"/>
  <c r="DM197" i="216"/>
  <c r="DK197" i="216"/>
  <c r="DS197" i="216" s="1"/>
  <c r="DH197" i="216"/>
  <c r="DG197" i="216"/>
  <c r="DE197" i="216"/>
  <c r="DC197" i="216"/>
  <c r="DA197" i="216"/>
  <c r="CX197" i="216"/>
  <c r="CW197" i="216"/>
  <c r="CU197" i="216"/>
  <c r="CS197" i="216"/>
  <c r="CQ197" i="216"/>
  <c r="CY197" i="216" s="1"/>
  <c r="CN197" i="216"/>
  <c r="CM197" i="216"/>
  <c r="CK197" i="216"/>
  <c r="CJ197" i="216" s="1"/>
  <c r="CI197" i="216"/>
  <c r="CG197" i="216"/>
  <c r="CO197" i="216" s="1"/>
  <c r="CD197" i="216"/>
  <c r="CC197" i="216"/>
  <c r="CB197" i="216" s="1"/>
  <c r="CA197" i="216"/>
  <c r="BY197" i="216"/>
  <c r="BW197" i="216"/>
  <c r="CE197" i="216" s="1"/>
  <c r="BT197" i="216"/>
  <c r="BS197" i="216"/>
  <c r="BQ197" i="216"/>
  <c r="BO197" i="216"/>
  <c r="BM197" i="216"/>
  <c r="BU197" i="216" s="1"/>
  <c r="BJ197" i="216"/>
  <c r="BI197" i="216"/>
  <c r="BG197" i="216"/>
  <c r="BE197" i="216"/>
  <c r="BC197" i="216"/>
  <c r="BK197" i="216" s="1"/>
  <c r="AZ197" i="216"/>
  <c r="AY197" i="216"/>
  <c r="AU197" i="216"/>
  <c r="AP197" i="216"/>
  <c r="AO197" i="216"/>
  <c r="AN197" i="216" s="1"/>
  <c r="AM197" i="216"/>
  <c r="AK197" i="216"/>
  <c r="AI197" i="216"/>
  <c r="AQ197" i="216" s="1"/>
  <c r="AF197" i="216"/>
  <c r="AE197" i="216"/>
  <c r="AD197" i="216"/>
  <c r="AC197" i="216"/>
  <c r="AB197" i="216" s="1"/>
  <c r="AA197" i="216"/>
  <c r="Y197" i="216"/>
  <c r="AG197" i="216" s="1"/>
  <c r="V197" i="216"/>
  <c r="U197" i="216"/>
  <c r="S197" i="216"/>
  <c r="Q197" i="216"/>
  <c r="O197" i="216"/>
  <c r="D197" i="216"/>
  <c r="EP196" i="216"/>
  <c r="EB196" i="216"/>
  <c r="EA196" i="216"/>
  <c r="DW196" i="216"/>
  <c r="DR196" i="216"/>
  <c r="DQ196" i="216"/>
  <c r="DM196" i="216"/>
  <c r="DH196" i="216"/>
  <c r="DG196" i="216"/>
  <c r="DE196" i="216"/>
  <c r="DC196" i="216"/>
  <c r="DA196" i="216"/>
  <c r="DI196" i="216" s="1"/>
  <c r="CX196" i="216"/>
  <c r="CW196" i="216"/>
  <c r="CU196" i="216"/>
  <c r="CS196" i="216"/>
  <c r="CQ196" i="216"/>
  <c r="CY196" i="216" s="1"/>
  <c r="CN196" i="216"/>
  <c r="CM196" i="216"/>
  <c r="CK196" i="216"/>
  <c r="CI196" i="216"/>
  <c r="CH196" i="216" s="1"/>
  <c r="CG196" i="216"/>
  <c r="CO196" i="216" s="1"/>
  <c r="CD196" i="216"/>
  <c r="CC196" i="216"/>
  <c r="CA196" i="216"/>
  <c r="BY196" i="216"/>
  <c r="BW196" i="216"/>
  <c r="CE196" i="216" s="1"/>
  <c r="BT196" i="216"/>
  <c r="BS196" i="216"/>
  <c r="BQ196" i="216"/>
  <c r="BO196" i="216"/>
  <c r="BM196" i="216"/>
  <c r="BU196" i="216" s="1"/>
  <c r="BJ196" i="216"/>
  <c r="BI196" i="216"/>
  <c r="BG196" i="216"/>
  <c r="BE196" i="216"/>
  <c r="BC196" i="216"/>
  <c r="BK196" i="216" s="1"/>
  <c r="AZ196" i="216"/>
  <c r="AY196" i="216"/>
  <c r="AU196" i="216"/>
  <c r="AP196" i="216"/>
  <c r="AO196" i="216"/>
  <c r="AM196" i="216"/>
  <c r="AK196" i="216"/>
  <c r="AJ196" i="216" s="1"/>
  <c r="AI196" i="216"/>
  <c r="AQ196" i="216" s="1"/>
  <c r="AF196" i="216"/>
  <c r="AE196" i="216"/>
  <c r="AC196" i="216"/>
  <c r="AA196" i="216"/>
  <c r="Y196" i="216"/>
  <c r="V196" i="216"/>
  <c r="U196" i="216"/>
  <c r="S196" i="216"/>
  <c r="Q196" i="216"/>
  <c r="O196" i="216"/>
  <c r="D196" i="216"/>
  <c r="EB195" i="216"/>
  <c r="EA195" i="216"/>
  <c r="EP195" i="216" s="1"/>
  <c r="DW195" i="216"/>
  <c r="DR195" i="216"/>
  <c r="DQ195" i="216"/>
  <c r="DP195" i="216" s="1"/>
  <c r="DO195" i="216"/>
  <c r="DM195" i="216"/>
  <c r="DL195" i="216" s="1"/>
  <c r="DK195" i="216"/>
  <c r="DS195" i="216" s="1"/>
  <c r="DH195" i="216"/>
  <c r="DG195" i="216"/>
  <c r="DF195" i="216" s="1"/>
  <c r="DE195" i="216"/>
  <c r="DC195" i="216"/>
  <c r="DB195" i="216" s="1"/>
  <c r="DA195" i="216"/>
  <c r="DI195" i="216" s="1"/>
  <c r="CX195" i="216"/>
  <c r="CW195" i="216"/>
  <c r="CU195" i="216"/>
  <c r="CS195" i="216"/>
  <c r="CQ195" i="216"/>
  <c r="CY195" i="216" s="1"/>
  <c r="CN195" i="216"/>
  <c r="CM195" i="216"/>
  <c r="CK195" i="216"/>
  <c r="CI195" i="216"/>
  <c r="CG195" i="216"/>
  <c r="CO195" i="216" s="1"/>
  <c r="CD195" i="216"/>
  <c r="CC195" i="216"/>
  <c r="CB195" i="216" s="1"/>
  <c r="CA195" i="216"/>
  <c r="BY195" i="216"/>
  <c r="BW195" i="216"/>
  <c r="CE195" i="216" s="1"/>
  <c r="BT195" i="216"/>
  <c r="BS195" i="216"/>
  <c r="BQ195" i="216"/>
  <c r="BO195" i="216"/>
  <c r="BM195" i="216"/>
  <c r="BU195" i="216" s="1"/>
  <c r="BJ195" i="216"/>
  <c r="BI195" i="216"/>
  <c r="BE195" i="216"/>
  <c r="AZ195" i="216"/>
  <c r="AY195" i="216"/>
  <c r="AW195" i="216"/>
  <c r="AU195" i="216"/>
  <c r="AS195" i="216"/>
  <c r="AP195" i="216"/>
  <c r="AO195" i="216"/>
  <c r="AM195" i="216"/>
  <c r="AK195" i="216"/>
  <c r="AI195" i="216"/>
  <c r="AQ195" i="216" s="1"/>
  <c r="AF195" i="216"/>
  <c r="AE195" i="216"/>
  <c r="AC195" i="216"/>
  <c r="AA195" i="216"/>
  <c r="Y195" i="216"/>
  <c r="V195" i="216"/>
  <c r="U195" i="216"/>
  <c r="S195" i="216"/>
  <c r="Q195" i="216"/>
  <c r="O195" i="216"/>
  <c r="D195" i="216"/>
  <c r="EB194" i="216"/>
  <c r="EA194" i="216"/>
  <c r="EP194" i="216" s="1"/>
  <c r="DW194" i="216"/>
  <c r="DR194" i="216"/>
  <c r="DQ194" i="216"/>
  <c r="DO194" i="216"/>
  <c r="DM194" i="216"/>
  <c r="DK194" i="216"/>
  <c r="DS194" i="216" s="1"/>
  <c r="DH194" i="216"/>
  <c r="DG194" i="216"/>
  <c r="DE194" i="216"/>
  <c r="DC194" i="216"/>
  <c r="DA194" i="216"/>
  <c r="DI194" i="216" s="1"/>
  <c r="CX194" i="216"/>
  <c r="CW194" i="216"/>
  <c r="CU194" i="216"/>
  <c r="CS194" i="216"/>
  <c r="CQ194" i="216"/>
  <c r="CY194" i="216" s="1"/>
  <c r="CN194" i="216"/>
  <c r="CM194" i="216"/>
  <c r="CK194" i="216"/>
  <c r="CI194" i="216"/>
  <c r="CG194" i="216"/>
  <c r="CO194" i="216" s="1"/>
  <c r="CD194" i="216"/>
  <c r="CC194" i="216"/>
  <c r="CA194" i="216"/>
  <c r="BY194" i="216"/>
  <c r="BW194" i="216"/>
  <c r="CE194" i="216" s="1"/>
  <c r="BT194" i="216"/>
  <c r="BS194" i="216"/>
  <c r="BQ194" i="216"/>
  <c r="BO194" i="216"/>
  <c r="BM194" i="216"/>
  <c r="BU194" i="216" s="1"/>
  <c r="BJ194" i="216"/>
  <c r="BI194" i="216"/>
  <c r="BG194" i="216"/>
  <c r="BE194" i="216"/>
  <c r="BD194" i="216" s="1"/>
  <c r="BC194" i="216"/>
  <c r="BK194" i="216" s="1"/>
  <c r="AZ194" i="216"/>
  <c r="AY194" i="216"/>
  <c r="AU194" i="216"/>
  <c r="AP194" i="216"/>
  <c r="AO194" i="216"/>
  <c r="AM194" i="216"/>
  <c r="AK194" i="216"/>
  <c r="AI194" i="216"/>
  <c r="AF194" i="216"/>
  <c r="AE194" i="216"/>
  <c r="AD194" i="216" s="1"/>
  <c r="AC194" i="216"/>
  <c r="AB194" i="216" s="1"/>
  <c r="AA194" i="216"/>
  <c r="Y194" i="216"/>
  <c r="AG194" i="216" s="1"/>
  <c r="V194" i="216"/>
  <c r="U194" i="216"/>
  <c r="S194" i="216"/>
  <c r="Q194" i="216"/>
  <c r="P194" i="216" s="1"/>
  <c r="O194" i="216"/>
  <c r="D194" i="216"/>
  <c r="EB193" i="216"/>
  <c r="EA193" i="216"/>
  <c r="DW193" i="216"/>
  <c r="DR193" i="216"/>
  <c r="DQ193" i="216"/>
  <c r="DM193" i="216"/>
  <c r="DH193" i="216"/>
  <c r="DG193" i="216"/>
  <c r="DC193" i="216"/>
  <c r="CX193" i="216"/>
  <c r="CW193" i="216"/>
  <c r="CU193" i="216"/>
  <c r="CS193" i="216"/>
  <c r="CQ193" i="216"/>
  <c r="CY193" i="216" s="1"/>
  <c r="CN193" i="216"/>
  <c r="CM193" i="216"/>
  <c r="CK193" i="216"/>
  <c r="CI193" i="216"/>
  <c r="CG193" i="216"/>
  <c r="CO193" i="216" s="1"/>
  <c r="CD193" i="216"/>
  <c r="CC193" i="216"/>
  <c r="CA193" i="216"/>
  <c r="BZ193" i="216" s="1"/>
  <c r="BY193" i="216"/>
  <c r="BW193" i="216"/>
  <c r="CE193" i="216" s="1"/>
  <c r="BT193" i="216"/>
  <c r="BS193" i="216"/>
  <c r="BQ193" i="216"/>
  <c r="BO193" i="216"/>
  <c r="BM193" i="216"/>
  <c r="BU193" i="216" s="1"/>
  <c r="BJ193" i="216"/>
  <c r="BI193" i="216"/>
  <c r="BH193" i="216" s="1"/>
  <c r="BG193" i="216"/>
  <c r="BE193" i="216"/>
  <c r="BD193" i="216" s="1"/>
  <c r="BC193" i="216"/>
  <c r="BK193" i="216" s="1"/>
  <c r="AZ193" i="216"/>
  <c r="AY193" i="216"/>
  <c r="AW193" i="216"/>
  <c r="AV193" i="216" s="1"/>
  <c r="AU193" i="216"/>
  <c r="AS193" i="216"/>
  <c r="BA193" i="216" s="1"/>
  <c r="AP193" i="216"/>
  <c r="AO193" i="216"/>
  <c r="AM193" i="216"/>
  <c r="AK193" i="216"/>
  <c r="AI193" i="216"/>
  <c r="AF193" i="216"/>
  <c r="AE193" i="216"/>
  <c r="AD193" i="216" s="1"/>
  <c r="AC193" i="216"/>
  <c r="AA193" i="216"/>
  <c r="Y193" i="216"/>
  <c r="AG193" i="216" s="1"/>
  <c r="V193" i="216"/>
  <c r="U193" i="216"/>
  <c r="S193" i="216"/>
  <c r="Q193" i="216"/>
  <c r="O193" i="216"/>
  <c r="D193" i="216"/>
  <c r="EB192" i="216"/>
  <c r="EA192" i="216"/>
  <c r="DY192" i="216"/>
  <c r="DX192" i="216" s="1"/>
  <c r="DW192" i="216"/>
  <c r="DV192" i="216" s="1"/>
  <c r="DU192" i="216"/>
  <c r="EC192" i="216" s="1"/>
  <c r="DR192" i="216"/>
  <c r="DQ192" i="216"/>
  <c r="DO192" i="216"/>
  <c r="DM192" i="216"/>
  <c r="DK192" i="216"/>
  <c r="DH192" i="216"/>
  <c r="DG192" i="216"/>
  <c r="DF192" i="216" s="1"/>
  <c r="DE192" i="216"/>
  <c r="DC192" i="216"/>
  <c r="DA192" i="216"/>
  <c r="DI192" i="216" s="1"/>
  <c r="CX192" i="216"/>
  <c r="CW192" i="216"/>
  <c r="CU192" i="216"/>
  <c r="CS192" i="216"/>
  <c r="CQ192" i="216"/>
  <c r="CY192" i="216" s="1"/>
  <c r="CN192" i="216"/>
  <c r="CM192" i="216"/>
  <c r="CK192" i="216"/>
  <c r="CI192" i="216"/>
  <c r="CG192" i="216"/>
  <c r="CD192" i="216"/>
  <c r="CC192" i="216"/>
  <c r="CA192" i="216"/>
  <c r="BY192" i="216"/>
  <c r="BW192" i="216"/>
  <c r="BT192" i="216"/>
  <c r="BS192" i="216"/>
  <c r="BR192" i="216" s="1"/>
  <c r="BQ192" i="216"/>
  <c r="BO192" i="216"/>
  <c r="BM192" i="216"/>
  <c r="BU192" i="216" s="1"/>
  <c r="BJ192" i="216"/>
  <c r="BI192" i="216"/>
  <c r="BG192" i="216"/>
  <c r="BE192" i="216"/>
  <c r="BC192" i="216"/>
  <c r="AZ192" i="216"/>
  <c r="AY192" i="216"/>
  <c r="AW192" i="216"/>
  <c r="AU192" i="216"/>
  <c r="AS192" i="216"/>
  <c r="AQ192" i="216"/>
  <c r="AP192" i="216"/>
  <c r="AO192" i="216"/>
  <c r="AM192" i="216"/>
  <c r="AK192" i="216"/>
  <c r="AI192" i="216"/>
  <c r="AF192" i="216"/>
  <c r="AE192" i="216"/>
  <c r="AC192" i="216"/>
  <c r="AB192" i="216" s="1"/>
  <c r="AA192" i="216"/>
  <c r="Y192" i="216"/>
  <c r="AG192" i="216" s="1"/>
  <c r="V192" i="216"/>
  <c r="U192" i="216"/>
  <c r="S192" i="216"/>
  <c r="Q192" i="216"/>
  <c r="O192" i="216"/>
  <c r="D192" i="216"/>
  <c r="EB191" i="216"/>
  <c r="EA191" i="216"/>
  <c r="DY191" i="216"/>
  <c r="DW191" i="216"/>
  <c r="DU191" i="216"/>
  <c r="DR191" i="216"/>
  <c r="DR272" i="216" s="1"/>
  <c r="DQ191" i="216"/>
  <c r="DO191" i="216"/>
  <c r="DM191" i="216"/>
  <c r="DK191" i="216"/>
  <c r="DS191" i="216" s="1"/>
  <c r="DH191" i="216"/>
  <c r="DG191" i="216"/>
  <c r="DE191" i="216"/>
  <c r="DC191" i="216"/>
  <c r="DA191" i="216"/>
  <c r="DI191" i="216" s="1"/>
  <c r="CX191" i="216"/>
  <c r="CW191" i="216"/>
  <c r="CU191" i="216"/>
  <c r="CS191" i="216"/>
  <c r="CR191" i="216" s="1"/>
  <c r="CQ191" i="216"/>
  <c r="CN191" i="216"/>
  <c r="CM191" i="216"/>
  <c r="CK191" i="216"/>
  <c r="CI191" i="216"/>
  <c r="CG191" i="216"/>
  <c r="CD191" i="216"/>
  <c r="CC191" i="216"/>
  <c r="CA191" i="216"/>
  <c r="BZ191" i="216"/>
  <c r="BY191" i="216"/>
  <c r="BW191" i="216"/>
  <c r="BT191" i="216"/>
  <c r="BT272" i="216" s="1"/>
  <c r="BS191" i="216"/>
  <c r="BQ191" i="216"/>
  <c r="BO191" i="216"/>
  <c r="BM191" i="216"/>
  <c r="BJ191" i="216"/>
  <c r="BI191" i="216"/>
  <c r="BG191" i="216"/>
  <c r="BE191" i="216"/>
  <c r="BC191" i="216"/>
  <c r="AZ191" i="216"/>
  <c r="AY191" i="216"/>
  <c r="AW191" i="216"/>
  <c r="AV191" i="216" s="1"/>
  <c r="AU191" i="216"/>
  <c r="AT191" i="216" s="1"/>
  <c r="AS191" i="216"/>
  <c r="AP191" i="216"/>
  <c r="AO191" i="216"/>
  <c r="AM191" i="216"/>
  <c r="AK191" i="216"/>
  <c r="AI191" i="216"/>
  <c r="AF191" i="216"/>
  <c r="AF272" i="216" s="1"/>
  <c r="AE191" i="216"/>
  <c r="AC191" i="216"/>
  <c r="AA191" i="216"/>
  <c r="Y191" i="216"/>
  <c r="AB191" i="216" s="1"/>
  <c r="V191" i="216"/>
  <c r="U191" i="216"/>
  <c r="S191" i="216"/>
  <c r="R191" i="216" s="1"/>
  <c r="Q191" i="216"/>
  <c r="O191" i="216"/>
  <c r="D191" i="216"/>
  <c r="EZ190" i="216"/>
  <c r="EP190" i="216"/>
  <c r="EM190" i="216"/>
  <c r="EJ190" i="216"/>
  <c r="EH190" i="216"/>
  <c r="EF190" i="216"/>
  <c r="ED190" i="216"/>
  <c r="EC190" i="216"/>
  <c r="DZ190" i="216"/>
  <c r="DX190" i="216"/>
  <c r="DV190" i="216"/>
  <c r="DT190" i="216"/>
  <c r="DS190" i="216"/>
  <c r="DP190" i="216"/>
  <c r="DN190" i="216"/>
  <c r="DL190" i="216"/>
  <c r="DJ190" i="216"/>
  <c r="DI190" i="216"/>
  <c r="DF190" i="216"/>
  <c r="DD190" i="216"/>
  <c r="DB190" i="216"/>
  <c r="CZ190" i="216"/>
  <c r="CY190" i="216"/>
  <c r="CV190" i="216"/>
  <c r="CT190" i="216"/>
  <c r="CR190" i="216"/>
  <c r="CP190" i="216"/>
  <c r="CO190" i="216"/>
  <c r="CL190" i="216"/>
  <c r="CJ190" i="216"/>
  <c r="CH190" i="216"/>
  <c r="CF190" i="216"/>
  <c r="CE190" i="216"/>
  <c r="CB190" i="216"/>
  <c r="BZ190" i="216"/>
  <c r="BX190" i="216"/>
  <c r="BV190" i="216"/>
  <c r="BU190" i="216"/>
  <c r="BR190" i="216"/>
  <c r="BP190" i="216"/>
  <c r="BN190" i="216"/>
  <c r="BL190" i="216"/>
  <c r="BK190" i="216"/>
  <c r="BH190" i="216"/>
  <c r="BF190" i="216"/>
  <c r="BD190" i="216"/>
  <c r="BB190" i="216"/>
  <c r="BA190" i="216"/>
  <c r="AX190" i="216"/>
  <c r="AV190" i="216"/>
  <c r="AT190" i="216"/>
  <c r="AR190" i="216"/>
  <c r="AQ190" i="216"/>
  <c r="AN190" i="216"/>
  <c r="AL190" i="216"/>
  <c r="AJ190" i="216"/>
  <c r="AH190" i="216"/>
  <c r="AG190" i="216"/>
  <c r="AD190" i="216"/>
  <c r="AB190" i="216"/>
  <c r="Z190" i="216"/>
  <c r="X190" i="216"/>
  <c r="W190" i="216" s="1"/>
  <c r="T190" i="216"/>
  <c r="R190" i="216"/>
  <c r="P190" i="216"/>
  <c r="EZ189" i="216"/>
  <c r="EP189" i="216"/>
  <c r="EM189" i="216"/>
  <c r="EJ189" i="216"/>
  <c r="EH189" i="216"/>
  <c r="EF189" i="216"/>
  <c r="ED189" i="216"/>
  <c r="EC189" i="216"/>
  <c r="DZ189" i="216"/>
  <c r="DX189" i="216"/>
  <c r="DV189" i="216"/>
  <c r="DT189" i="216"/>
  <c r="DS189" i="216"/>
  <c r="DP189" i="216"/>
  <c r="DN189" i="216"/>
  <c r="DL189" i="216"/>
  <c r="DJ189" i="216"/>
  <c r="DI189" i="216"/>
  <c r="DF189" i="216"/>
  <c r="DD189" i="216"/>
  <c r="DB189" i="216"/>
  <c r="CZ189" i="216"/>
  <c r="CY189" i="216"/>
  <c r="CV189" i="216"/>
  <c r="CT189" i="216"/>
  <c r="CR189" i="216"/>
  <c r="CP189" i="216"/>
  <c r="CO189" i="216"/>
  <c r="CL189" i="216"/>
  <c r="CJ189" i="216"/>
  <c r="CH189" i="216"/>
  <c r="CF189" i="216"/>
  <c r="CE189" i="216"/>
  <c r="CB189" i="216"/>
  <c r="BZ189" i="216"/>
  <c r="BX189" i="216"/>
  <c r="BV189" i="216"/>
  <c r="BU189" i="216"/>
  <c r="BR189" i="216"/>
  <c r="BP189" i="216"/>
  <c r="BN189" i="216"/>
  <c r="BL189" i="216"/>
  <c r="BK189" i="216"/>
  <c r="BH189" i="216"/>
  <c r="BF189" i="216"/>
  <c r="BD189" i="216"/>
  <c r="BB189" i="216"/>
  <c r="BA189" i="216"/>
  <c r="AX189" i="216"/>
  <c r="AV189" i="216"/>
  <c r="AT189" i="216"/>
  <c r="AR189" i="216"/>
  <c r="AQ189" i="216"/>
  <c r="AN189" i="216"/>
  <c r="AL189" i="216"/>
  <c r="AJ189" i="216"/>
  <c r="AH189" i="216"/>
  <c r="AG189" i="216"/>
  <c r="AD189" i="216"/>
  <c r="AB189" i="216"/>
  <c r="Z189" i="216"/>
  <c r="X189" i="216"/>
  <c r="W189" i="216" s="1"/>
  <c r="T189" i="216"/>
  <c r="R189" i="216"/>
  <c r="P189" i="216"/>
  <c r="CP188" i="216"/>
  <c r="CO188" i="216"/>
  <c r="CL188" i="216"/>
  <c r="CJ188" i="216"/>
  <c r="CH188" i="216"/>
  <c r="CF188" i="216"/>
  <c r="CE188" i="216"/>
  <c r="CB188" i="216"/>
  <c r="BZ188" i="216"/>
  <c r="BX188" i="216"/>
  <c r="BV188" i="216"/>
  <c r="BU188" i="216"/>
  <c r="BR188" i="216"/>
  <c r="BP188" i="216"/>
  <c r="BN188" i="216"/>
  <c r="BL188" i="216"/>
  <c r="BK188" i="216"/>
  <c r="BH188" i="216"/>
  <c r="BF188" i="216"/>
  <c r="BD188" i="216"/>
  <c r="EB187" i="216"/>
  <c r="EA187" i="216"/>
  <c r="DY187" i="216"/>
  <c r="DW187" i="216"/>
  <c r="DU187" i="216"/>
  <c r="EC187" i="216" s="1"/>
  <c r="DR187" i="216"/>
  <c r="DQ187" i="216"/>
  <c r="DP187" i="216" s="1"/>
  <c r="DO187" i="216"/>
  <c r="DM187" i="216"/>
  <c r="DL187" i="216" s="1"/>
  <c r="DK187" i="216"/>
  <c r="DS187" i="216" s="1"/>
  <c r="DH187" i="216"/>
  <c r="DG187" i="216"/>
  <c r="DE187" i="216"/>
  <c r="DC187" i="216"/>
  <c r="DA187" i="216"/>
  <c r="CX187" i="216"/>
  <c r="CW187" i="216"/>
  <c r="CU187" i="216"/>
  <c r="CS187" i="216"/>
  <c r="CQ187" i="216"/>
  <c r="CY187" i="216" s="1"/>
  <c r="CN187" i="216"/>
  <c r="CM187" i="216"/>
  <c r="CK187" i="216"/>
  <c r="CI187" i="216"/>
  <c r="CG187" i="216"/>
  <c r="CO187" i="216" s="1"/>
  <c r="CD187" i="216"/>
  <c r="CC187" i="216"/>
  <c r="CA187" i="216"/>
  <c r="BY187" i="216"/>
  <c r="BX187" i="216" s="1"/>
  <c r="BW187" i="216"/>
  <c r="CE187" i="216" s="1"/>
  <c r="BT187" i="216"/>
  <c r="BS187" i="216"/>
  <c r="BQ187" i="216"/>
  <c r="BO187" i="216"/>
  <c r="BM187" i="216"/>
  <c r="BU187" i="216" s="1"/>
  <c r="BJ187" i="216"/>
  <c r="BI187" i="216"/>
  <c r="BG187" i="216"/>
  <c r="BE187" i="216"/>
  <c r="BC187" i="216"/>
  <c r="AZ187" i="216"/>
  <c r="AY187" i="216"/>
  <c r="AW187" i="216"/>
  <c r="AU187" i="216"/>
  <c r="AS187" i="216"/>
  <c r="AP187" i="216"/>
  <c r="AO187" i="216"/>
  <c r="AN187" i="216" s="1"/>
  <c r="AM187" i="216"/>
  <c r="AK187" i="216"/>
  <c r="AI187" i="216"/>
  <c r="AF187" i="216"/>
  <c r="AE187" i="216"/>
  <c r="AD187" i="216"/>
  <c r="AC187" i="216"/>
  <c r="AB187" i="216" s="1"/>
  <c r="AA187" i="216"/>
  <c r="Y187" i="216"/>
  <c r="AG187" i="216" s="1"/>
  <c r="V187" i="216"/>
  <c r="U187" i="216"/>
  <c r="S187" i="216"/>
  <c r="Q187" i="216"/>
  <c r="P187" i="216"/>
  <c r="O187" i="216"/>
  <c r="D187" i="216"/>
  <c r="EB186" i="216"/>
  <c r="EB188" i="216" s="1"/>
  <c r="EA186" i="216"/>
  <c r="DY186" i="216"/>
  <c r="DW186" i="216"/>
  <c r="DW188" i="216" s="1"/>
  <c r="DU186" i="216"/>
  <c r="DR186" i="216"/>
  <c r="DR188" i="216" s="1"/>
  <c r="DQ186" i="216"/>
  <c r="DQ188" i="216" s="1"/>
  <c r="DO186" i="216"/>
  <c r="DO188" i="216" s="1"/>
  <c r="DM186" i="216"/>
  <c r="DK186" i="216"/>
  <c r="DS186" i="216" s="1"/>
  <c r="DH186" i="216"/>
  <c r="DG186" i="216"/>
  <c r="DG188" i="216" s="1"/>
  <c r="DE186" i="216"/>
  <c r="DC186" i="216"/>
  <c r="DA186" i="216"/>
  <c r="DI186" i="216" s="1"/>
  <c r="CX186" i="216"/>
  <c r="CX188" i="216" s="1"/>
  <c r="CW186" i="216"/>
  <c r="CU186" i="216"/>
  <c r="CT186" i="216" s="1"/>
  <c r="CS186" i="216"/>
  <c r="CQ186" i="216"/>
  <c r="CY186" i="216" s="1"/>
  <c r="CN186" i="216"/>
  <c r="CM186" i="216"/>
  <c r="CK186" i="216"/>
  <c r="CI186" i="216"/>
  <c r="CG186" i="216"/>
  <c r="CD186" i="216"/>
  <c r="CC186" i="216"/>
  <c r="CA186" i="216"/>
  <c r="BY186" i="216"/>
  <c r="BW186" i="216"/>
  <c r="CE186" i="216" s="1"/>
  <c r="BT186" i="216"/>
  <c r="BS186" i="216"/>
  <c r="BQ186" i="216"/>
  <c r="BO186" i="216"/>
  <c r="BV186" i="216" s="1"/>
  <c r="BM186" i="216"/>
  <c r="BU186" i="216" s="1"/>
  <c r="BJ186" i="216"/>
  <c r="BI186" i="216"/>
  <c r="BG186" i="216"/>
  <c r="BE186" i="216"/>
  <c r="BC186" i="216"/>
  <c r="BK186" i="216" s="1"/>
  <c r="AZ186" i="216"/>
  <c r="AZ188" i="216" s="1"/>
  <c r="AY186" i="216"/>
  <c r="AY188" i="216" s="1"/>
  <c r="AW186" i="216"/>
  <c r="AW188" i="216" s="1"/>
  <c r="AU186" i="216"/>
  <c r="AU188" i="216" s="1"/>
  <c r="AS186" i="216"/>
  <c r="AP186" i="216"/>
  <c r="AP188" i="216" s="1"/>
  <c r="AO186" i="216"/>
  <c r="AO188" i="216" s="1"/>
  <c r="AM186" i="216"/>
  <c r="AM188" i="216" s="1"/>
  <c r="AK186" i="216"/>
  <c r="AK188" i="216" s="1"/>
  <c r="AI186" i="216"/>
  <c r="AI188" i="216" s="1"/>
  <c r="AQ188" i="216" s="1"/>
  <c r="AF186" i="216"/>
  <c r="AF188" i="216" s="1"/>
  <c r="AE186" i="216"/>
  <c r="AE188" i="216" s="1"/>
  <c r="AC186" i="216"/>
  <c r="AA186" i="216"/>
  <c r="AA188" i="216" s="1"/>
  <c r="Y186" i="216"/>
  <c r="Y188" i="216" s="1"/>
  <c r="AG188" i="216" s="1"/>
  <c r="V186" i="216"/>
  <c r="U186" i="216"/>
  <c r="S186" i="216"/>
  <c r="S188" i="216" s="1"/>
  <c r="Q186" i="216"/>
  <c r="Q188" i="216" s="1"/>
  <c r="O186" i="216"/>
  <c r="O188" i="216" s="1"/>
  <c r="D186" i="216"/>
  <c r="EZ185" i="216"/>
  <c r="EP185" i="216"/>
  <c r="EM185" i="216"/>
  <c r="EJ185" i="216"/>
  <c r="EH185" i="216"/>
  <c r="EF185" i="216"/>
  <c r="ED185" i="216"/>
  <c r="EC185" i="216"/>
  <c r="DZ185" i="216"/>
  <c r="DX185" i="216"/>
  <c r="DV185" i="216"/>
  <c r="DT185" i="216"/>
  <c r="DS185" i="216"/>
  <c r="DP185" i="216"/>
  <c r="DN185" i="216"/>
  <c r="DL185" i="216"/>
  <c r="DJ185" i="216"/>
  <c r="DI185" i="216"/>
  <c r="DF185" i="216"/>
  <c r="DD185" i="216"/>
  <c r="DB185" i="216"/>
  <c r="CZ185" i="216"/>
  <c r="CY185" i="216"/>
  <c r="CV185" i="216"/>
  <c r="CT185" i="216"/>
  <c r="CR185" i="216"/>
  <c r="CP185" i="216"/>
  <c r="CO185" i="216"/>
  <c r="CL185" i="216"/>
  <c r="CJ185" i="216"/>
  <c r="CH185" i="216"/>
  <c r="CF185" i="216"/>
  <c r="CE185" i="216"/>
  <c r="CB185" i="216"/>
  <c r="BZ185" i="216"/>
  <c r="BX185" i="216"/>
  <c r="BV185" i="216"/>
  <c r="BU185" i="216"/>
  <c r="BR185" i="216"/>
  <c r="BP185" i="216"/>
  <c r="BN185" i="216"/>
  <c r="BL185" i="216"/>
  <c r="BK185" i="216"/>
  <c r="BH185" i="216"/>
  <c r="BF185" i="216"/>
  <c r="BD185" i="216"/>
  <c r="BB185" i="216"/>
  <c r="BA185" i="216"/>
  <c r="AX185" i="216"/>
  <c r="AV185" i="216"/>
  <c r="AT185" i="216"/>
  <c r="AR185" i="216"/>
  <c r="AQ185" i="216"/>
  <c r="AN185" i="216"/>
  <c r="AL185" i="216"/>
  <c r="AJ185" i="216"/>
  <c r="AH185" i="216"/>
  <c r="AG185" i="216"/>
  <c r="AD185" i="216"/>
  <c r="AB185" i="216"/>
  <c r="Z185" i="216"/>
  <c r="X185" i="216"/>
  <c r="W185" i="216" s="1"/>
  <c r="T185" i="216"/>
  <c r="R185" i="216"/>
  <c r="P185" i="216"/>
  <c r="EZ184" i="216"/>
  <c r="EP184" i="216"/>
  <c r="EM184" i="216"/>
  <c r="EJ184" i="216"/>
  <c r="EH184" i="216"/>
  <c r="EF184" i="216"/>
  <c r="ED184" i="216"/>
  <c r="EC184" i="216"/>
  <c r="DZ184" i="216"/>
  <c r="DX184" i="216"/>
  <c r="DV184" i="216"/>
  <c r="DT184" i="216"/>
  <c r="DS184" i="216"/>
  <c r="DP184" i="216"/>
  <c r="DN184" i="216"/>
  <c r="DL184" i="216"/>
  <c r="DJ184" i="216"/>
  <c r="DI184" i="216"/>
  <c r="DF184" i="216"/>
  <c r="DD184" i="216"/>
  <c r="DB184" i="216"/>
  <c r="CZ184" i="216"/>
  <c r="CY184" i="216"/>
  <c r="CV184" i="216"/>
  <c r="CT184" i="216"/>
  <c r="CR184" i="216"/>
  <c r="CP184" i="216"/>
  <c r="CO184" i="216"/>
  <c r="CL184" i="216"/>
  <c r="CJ184" i="216"/>
  <c r="CH184" i="216"/>
  <c r="CF184" i="216"/>
  <c r="CE184" i="216"/>
  <c r="CB184" i="216"/>
  <c r="BZ184" i="216"/>
  <c r="BX184" i="216"/>
  <c r="BV184" i="216"/>
  <c r="BU184" i="216"/>
  <c r="BR184" i="216"/>
  <c r="BP184" i="216"/>
  <c r="BN184" i="216"/>
  <c r="BL184" i="216"/>
  <c r="BK184" i="216"/>
  <c r="BH184" i="216"/>
  <c r="BF184" i="216"/>
  <c r="BD184" i="216"/>
  <c r="BB184" i="216"/>
  <c r="BA184" i="216"/>
  <c r="AX184" i="216"/>
  <c r="AV184" i="216"/>
  <c r="AT184" i="216"/>
  <c r="AR184" i="216"/>
  <c r="AQ184" i="216"/>
  <c r="AN184" i="216"/>
  <c r="AL184" i="216"/>
  <c r="AJ184" i="216"/>
  <c r="AH184" i="216"/>
  <c r="AG184" i="216"/>
  <c r="AD184" i="216"/>
  <c r="AB184" i="216"/>
  <c r="Z184" i="216"/>
  <c r="X184" i="216"/>
  <c r="W184" i="216"/>
  <c r="T184" i="216"/>
  <c r="R184" i="216"/>
  <c r="P184" i="216"/>
  <c r="CP183" i="216"/>
  <c r="CO183" i="216"/>
  <c r="CL183" i="216"/>
  <c r="CJ183" i="216"/>
  <c r="CH183" i="216"/>
  <c r="CF183" i="216"/>
  <c r="CE183" i="216"/>
  <c r="CB183" i="216"/>
  <c r="BZ183" i="216"/>
  <c r="BX183" i="216"/>
  <c r="BV183" i="216"/>
  <c r="BU183" i="216"/>
  <c r="BR183" i="216"/>
  <c r="BP183" i="216"/>
  <c r="BN183" i="216"/>
  <c r="BL183" i="216"/>
  <c r="BK183" i="216"/>
  <c r="BH183" i="216"/>
  <c r="BF183" i="216"/>
  <c r="BD183" i="216"/>
  <c r="EB182" i="216"/>
  <c r="EA182" i="216"/>
  <c r="DY182" i="216"/>
  <c r="DW182" i="216"/>
  <c r="DU182" i="216"/>
  <c r="EC182" i="216" s="1"/>
  <c r="DR182" i="216"/>
  <c r="DQ182" i="216"/>
  <c r="DO182" i="216"/>
  <c r="DM182" i="216"/>
  <c r="DK182" i="216"/>
  <c r="DS182" i="216" s="1"/>
  <c r="DH182" i="216"/>
  <c r="DG182" i="216"/>
  <c r="DE182" i="216"/>
  <c r="DC182" i="216"/>
  <c r="DA182" i="216"/>
  <c r="DI182" i="216" s="1"/>
  <c r="CX182" i="216"/>
  <c r="CW182" i="216"/>
  <c r="CU182" i="216"/>
  <c r="CS182" i="216"/>
  <c r="CQ182" i="216"/>
  <c r="CY182" i="216" s="1"/>
  <c r="CN182" i="216"/>
  <c r="CM182" i="216"/>
  <c r="CK182" i="216"/>
  <c r="CI182" i="216"/>
  <c r="CG182" i="216"/>
  <c r="CD182" i="216"/>
  <c r="CC182" i="216"/>
  <c r="CA182" i="216"/>
  <c r="BY182" i="216"/>
  <c r="BW182" i="216"/>
  <c r="CE182" i="216" s="1"/>
  <c r="BT182" i="216"/>
  <c r="BS182" i="216"/>
  <c r="BQ182" i="216"/>
  <c r="BO182" i="216"/>
  <c r="BM182" i="216"/>
  <c r="BU182" i="216" s="1"/>
  <c r="BJ182" i="216"/>
  <c r="BI182" i="216"/>
  <c r="BG182" i="216"/>
  <c r="BF182" i="216" s="1"/>
  <c r="BE182" i="216"/>
  <c r="BC182" i="216"/>
  <c r="BK182" i="216" s="1"/>
  <c r="AZ182" i="216"/>
  <c r="AY182" i="216"/>
  <c r="AW182" i="216"/>
  <c r="AU182" i="216"/>
  <c r="AS182" i="216"/>
  <c r="AP182" i="216"/>
  <c r="AO182" i="216"/>
  <c r="AM182" i="216"/>
  <c r="AK182" i="216"/>
  <c r="AI182" i="216"/>
  <c r="AQ182" i="216" s="1"/>
  <c r="AF182" i="216"/>
  <c r="AE182" i="216"/>
  <c r="AC182" i="216"/>
  <c r="AA182" i="216"/>
  <c r="Y182" i="216"/>
  <c r="AG182" i="216" s="1"/>
  <c r="V182" i="216"/>
  <c r="U182" i="216"/>
  <c r="S182" i="216"/>
  <c r="Q182" i="216"/>
  <c r="O182" i="216"/>
  <c r="EB181" i="216"/>
  <c r="EB183" i="216" s="1"/>
  <c r="EA181" i="216"/>
  <c r="EP181" i="216" s="1"/>
  <c r="DY181" i="216"/>
  <c r="DW181" i="216"/>
  <c r="DU181" i="216"/>
  <c r="EC181" i="216" s="1"/>
  <c r="DR181" i="216"/>
  <c r="DR183" i="216" s="1"/>
  <c r="DQ181" i="216"/>
  <c r="DO181" i="216"/>
  <c r="DM181" i="216"/>
  <c r="DK181" i="216"/>
  <c r="DS181" i="216" s="1"/>
  <c r="DH181" i="216"/>
  <c r="DH183" i="216" s="1"/>
  <c r="DG181" i="216"/>
  <c r="DE181" i="216"/>
  <c r="DC181" i="216"/>
  <c r="DA181" i="216"/>
  <c r="DI181" i="216" s="1"/>
  <c r="CX181" i="216"/>
  <c r="CX183" i="216" s="1"/>
  <c r="CW181" i="216"/>
  <c r="CU181" i="216"/>
  <c r="CS181" i="216"/>
  <c r="CQ181" i="216"/>
  <c r="CY181" i="216" s="1"/>
  <c r="CN181" i="216"/>
  <c r="CM181" i="216"/>
  <c r="CK181" i="216"/>
  <c r="CI181" i="216"/>
  <c r="CG181" i="216"/>
  <c r="CO181" i="216" s="1"/>
  <c r="CD181" i="216"/>
  <c r="CC181" i="216"/>
  <c r="CA181" i="216"/>
  <c r="BY181" i="216"/>
  <c r="BW181" i="216"/>
  <c r="CE181" i="216" s="1"/>
  <c r="BT181" i="216"/>
  <c r="BS181" i="216"/>
  <c r="BQ181" i="216"/>
  <c r="BO181" i="216"/>
  <c r="BM181" i="216"/>
  <c r="BJ181" i="216"/>
  <c r="BI181" i="216"/>
  <c r="BG181" i="216"/>
  <c r="BE181" i="216"/>
  <c r="BC181" i="216"/>
  <c r="BK181" i="216" s="1"/>
  <c r="AZ181" i="216"/>
  <c r="AZ183" i="216" s="1"/>
  <c r="AY181" i="216"/>
  <c r="AW181" i="216"/>
  <c r="AU181" i="216"/>
  <c r="AU183" i="216" s="1"/>
  <c r="AS181" i="216"/>
  <c r="BA181" i="216" s="1"/>
  <c r="AP181" i="216"/>
  <c r="AP183" i="216" s="1"/>
  <c r="AO181" i="216"/>
  <c r="AM181" i="216"/>
  <c r="AM183" i="216" s="1"/>
  <c r="AK181" i="216"/>
  <c r="AK183" i="216" s="1"/>
  <c r="AI181" i="216"/>
  <c r="AQ181" i="216" s="1"/>
  <c r="AF181" i="216"/>
  <c r="AF183" i="216" s="1"/>
  <c r="AE181" i="216"/>
  <c r="AE183" i="216" s="1"/>
  <c r="AC181" i="216"/>
  <c r="AA181" i="216"/>
  <c r="Y181" i="216"/>
  <c r="AG181" i="216" s="1"/>
  <c r="V181" i="216"/>
  <c r="U181" i="216"/>
  <c r="S181" i="216"/>
  <c r="S183" i="216" s="1"/>
  <c r="Q181" i="216"/>
  <c r="O181" i="216"/>
  <c r="O183" i="216" s="1"/>
  <c r="EZ180" i="216"/>
  <c r="EP180" i="216"/>
  <c r="EM180" i="216"/>
  <c r="EJ180" i="216"/>
  <c r="EH180" i="216"/>
  <c r="EF180" i="216"/>
  <c r="ED180" i="216"/>
  <c r="EC180" i="216"/>
  <c r="DZ180" i="216"/>
  <c r="DX180" i="216"/>
  <c r="DV180" i="216"/>
  <c r="DT180" i="216"/>
  <c r="DS180" i="216"/>
  <c r="DP180" i="216"/>
  <c r="DN180" i="216"/>
  <c r="DL180" i="216"/>
  <c r="DJ180" i="216"/>
  <c r="DI180" i="216"/>
  <c r="DF180" i="216"/>
  <c r="DD180" i="216"/>
  <c r="DB180" i="216"/>
  <c r="CZ180" i="216"/>
  <c r="CY180" i="216"/>
  <c r="CV180" i="216"/>
  <c r="CT180" i="216"/>
  <c r="CR180" i="216"/>
  <c r="CP180" i="216"/>
  <c r="CO180" i="216"/>
  <c r="CL180" i="216"/>
  <c r="CJ180" i="216"/>
  <c r="CH180" i="216"/>
  <c r="CF180" i="216"/>
  <c r="CE180" i="216"/>
  <c r="CB180" i="216"/>
  <c r="BZ180" i="216"/>
  <c r="BX180" i="216"/>
  <c r="BV180" i="216"/>
  <c r="BU180" i="216"/>
  <c r="BR180" i="216"/>
  <c r="BP180" i="216"/>
  <c r="BN180" i="216"/>
  <c r="BL180" i="216"/>
  <c r="BK180" i="216"/>
  <c r="BH180" i="216"/>
  <c r="BF180" i="216"/>
  <c r="BD180" i="216"/>
  <c r="BB180" i="216"/>
  <c r="BA180" i="216"/>
  <c r="AX180" i="216"/>
  <c r="AV180" i="216"/>
  <c r="AT180" i="216"/>
  <c r="AR180" i="216"/>
  <c r="AQ180" i="216"/>
  <c r="AN180" i="216"/>
  <c r="AL180" i="216"/>
  <c r="AJ180" i="216"/>
  <c r="AH180" i="216"/>
  <c r="AG180" i="216"/>
  <c r="AD180" i="216"/>
  <c r="AB180" i="216"/>
  <c r="Z180" i="216"/>
  <c r="X180" i="216"/>
  <c r="W180" i="216" s="1"/>
  <c r="T180" i="216"/>
  <c r="R180" i="216"/>
  <c r="P180" i="216"/>
  <c r="EZ179" i="216"/>
  <c r="EP179" i="216"/>
  <c r="EM179" i="216"/>
  <c r="EJ179" i="216"/>
  <c r="EH179" i="216"/>
  <c r="EF179" i="216"/>
  <c r="ED179" i="216"/>
  <c r="EC179" i="216"/>
  <c r="DZ179" i="216"/>
  <c r="DX179" i="216"/>
  <c r="DV179" i="216"/>
  <c r="DT179" i="216"/>
  <c r="DS179" i="216"/>
  <c r="DP179" i="216"/>
  <c r="DN179" i="216"/>
  <c r="DL179" i="216"/>
  <c r="DJ179" i="216"/>
  <c r="DI179" i="216"/>
  <c r="DF179" i="216"/>
  <c r="DD179" i="216"/>
  <c r="DB179" i="216"/>
  <c r="CZ179" i="216"/>
  <c r="CY179" i="216"/>
  <c r="CV179" i="216"/>
  <c r="CT179" i="216"/>
  <c r="CR179" i="216"/>
  <c r="CP179" i="216"/>
  <c r="CO179" i="216"/>
  <c r="CL179" i="216"/>
  <c r="CJ179" i="216"/>
  <c r="CH179" i="216"/>
  <c r="CF179" i="216"/>
  <c r="CE179" i="216"/>
  <c r="CB179" i="216"/>
  <c r="BZ179" i="216"/>
  <c r="BX179" i="216"/>
  <c r="BV179" i="216"/>
  <c r="BU179" i="216"/>
  <c r="BR179" i="216"/>
  <c r="BP179" i="216"/>
  <c r="BN179" i="216"/>
  <c r="BL179" i="216"/>
  <c r="BK179" i="216"/>
  <c r="BH179" i="216"/>
  <c r="BF179" i="216"/>
  <c r="BD179" i="216"/>
  <c r="BB179" i="216"/>
  <c r="BA179" i="216"/>
  <c r="AX179" i="216"/>
  <c r="AV179" i="216"/>
  <c r="AT179" i="216"/>
  <c r="AR179" i="216"/>
  <c r="AQ179" i="216"/>
  <c r="AN179" i="216"/>
  <c r="AL179" i="216"/>
  <c r="AJ179" i="216"/>
  <c r="AH179" i="216"/>
  <c r="AG179" i="216"/>
  <c r="AD179" i="216"/>
  <c r="AB179" i="216"/>
  <c r="Z179" i="216"/>
  <c r="X179" i="216"/>
  <c r="W179" i="216" s="1"/>
  <c r="T179" i="216"/>
  <c r="R179" i="216"/>
  <c r="P179" i="216"/>
  <c r="EZ178" i="216"/>
  <c r="EP178" i="216"/>
  <c r="EM178" i="216"/>
  <c r="EJ178" i="216"/>
  <c r="EH178" i="216"/>
  <c r="EF178" i="216"/>
  <c r="ED178" i="216"/>
  <c r="EC178" i="216"/>
  <c r="DZ178" i="216"/>
  <c r="DX178" i="216"/>
  <c r="DV178" i="216"/>
  <c r="DT178" i="216"/>
  <c r="DS178" i="216"/>
  <c r="DP178" i="216"/>
  <c r="DN178" i="216"/>
  <c r="DL178" i="216"/>
  <c r="DJ178" i="216"/>
  <c r="DI178" i="216"/>
  <c r="DF178" i="216"/>
  <c r="DD178" i="216"/>
  <c r="DB178" i="216"/>
  <c r="CZ178" i="216"/>
  <c r="CY178" i="216"/>
  <c r="CV178" i="216"/>
  <c r="CT178" i="216"/>
  <c r="CR178" i="216"/>
  <c r="CP178" i="216"/>
  <c r="CO178" i="216"/>
  <c r="CL178" i="216"/>
  <c r="CJ178" i="216"/>
  <c r="CH178" i="216"/>
  <c r="CF178" i="216"/>
  <c r="CE178" i="216"/>
  <c r="CB178" i="216"/>
  <c r="BZ178" i="216"/>
  <c r="BX178" i="216"/>
  <c r="BV178" i="216"/>
  <c r="BU178" i="216"/>
  <c r="BR178" i="216"/>
  <c r="BP178" i="216"/>
  <c r="BN178" i="216"/>
  <c r="BL178" i="216"/>
  <c r="BK178" i="216"/>
  <c r="BH178" i="216"/>
  <c r="BF178" i="216"/>
  <c r="BD178" i="216"/>
  <c r="BB178" i="216"/>
  <c r="BA178" i="216"/>
  <c r="AX178" i="216"/>
  <c r="AV178" i="216"/>
  <c r="AT178" i="216"/>
  <c r="AR178" i="216"/>
  <c r="AQ178" i="216"/>
  <c r="AN178" i="216"/>
  <c r="AL178" i="216"/>
  <c r="AJ178" i="216"/>
  <c r="AH178" i="216"/>
  <c r="AG178" i="216"/>
  <c r="AD178" i="216"/>
  <c r="AB178" i="216"/>
  <c r="Z178" i="216"/>
  <c r="X178" i="216"/>
  <c r="W178" i="216" s="1"/>
  <c r="T178" i="216"/>
  <c r="R178" i="216"/>
  <c r="P178" i="216"/>
  <c r="EZ177" i="216"/>
  <c r="EP177" i="216"/>
  <c r="EM177" i="216"/>
  <c r="EJ177" i="216"/>
  <c r="EH177" i="216"/>
  <c r="EF177" i="216"/>
  <c r="ED177" i="216"/>
  <c r="DZ177" i="216"/>
  <c r="DX177" i="216"/>
  <c r="DV177" i="216"/>
  <c r="DT177" i="216"/>
  <c r="DS177" i="216"/>
  <c r="DP177" i="216"/>
  <c r="DN177" i="216"/>
  <c r="DL177" i="216"/>
  <c r="DJ177" i="216"/>
  <c r="DI177" i="216" s="1"/>
  <c r="DF177" i="216"/>
  <c r="DD177" i="216"/>
  <c r="DB177" i="216"/>
  <c r="CZ177" i="216"/>
  <c r="CY177" i="216"/>
  <c r="CV177" i="216"/>
  <c r="CT177" i="216"/>
  <c r="CR177" i="216"/>
  <c r="CP177" i="216"/>
  <c r="CO177" i="216"/>
  <c r="CL177" i="216"/>
  <c r="CJ177" i="216"/>
  <c r="CH177" i="216"/>
  <c r="CF177" i="216"/>
  <c r="CE177" i="216"/>
  <c r="CB177" i="216"/>
  <c r="BZ177" i="216"/>
  <c r="BX177" i="216"/>
  <c r="BU177" i="216"/>
  <c r="BR177" i="216"/>
  <c r="BN177" i="216"/>
  <c r="BL177" i="216"/>
  <c r="BK177" i="216"/>
  <c r="BH177" i="216"/>
  <c r="BF177" i="216"/>
  <c r="BD177" i="216"/>
  <c r="BB177" i="216"/>
  <c r="BA177" i="216"/>
  <c r="AX177" i="216"/>
  <c r="AV177" i="216"/>
  <c r="AT177" i="216"/>
  <c r="AR177" i="216"/>
  <c r="AQ177" i="216"/>
  <c r="AN177" i="216"/>
  <c r="AL177" i="216"/>
  <c r="AJ177" i="216"/>
  <c r="AH177" i="216"/>
  <c r="AG177" i="216"/>
  <c r="AD177" i="216"/>
  <c r="AB177" i="216"/>
  <c r="Z177" i="216"/>
  <c r="X177" i="216"/>
  <c r="W177" i="216"/>
  <c r="T177" i="216"/>
  <c r="R177" i="216"/>
  <c r="P177" i="216"/>
  <c r="EP175" i="216"/>
  <c r="EN175" i="216"/>
  <c r="EL175" i="216"/>
  <c r="EK175" i="216"/>
  <c r="EI175" i="216"/>
  <c r="EZ175" i="216" s="1"/>
  <c r="EG175" i="216"/>
  <c r="EF175" i="216"/>
  <c r="EE175" i="216"/>
  <c r="EM175" i="216" s="1"/>
  <c r="ED175" i="216"/>
  <c r="EC175" i="216"/>
  <c r="DZ175" i="216"/>
  <c r="DX175" i="216"/>
  <c r="DV175" i="216"/>
  <c r="DT175" i="216"/>
  <c r="DS175" i="216"/>
  <c r="DP175" i="216"/>
  <c r="DN175" i="216"/>
  <c r="DL175" i="216"/>
  <c r="DJ175" i="216"/>
  <c r="DI175" i="216"/>
  <c r="DF175" i="216"/>
  <c r="DD175" i="216"/>
  <c r="DB175" i="216"/>
  <c r="CZ175" i="216"/>
  <c r="CY175" i="216"/>
  <c r="CV175" i="216"/>
  <c r="CT175" i="216"/>
  <c r="CR175" i="216"/>
  <c r="CP175" i="216"/>
  <c r="CO175" i="216"/>
  <c r="CL175" i="216"/>
  <c r="CJ175" i="216"/>
  <c r="CH175" i="216"/>
  <c r="CF175" i="216"/>
  <c r="CE175" i="216"/>
  <c r="CB175" i="216"/>
  <c r="BZ175" i="216"/>
  <c r="BX175" i="216"/>
  <c r="BV175" i="216"/>
  <c r="BU175" i="216"/>
  <c r="BR175" i="216"/>
  <c r="BP175" i="216"/>
  <c r="BN175" i="216"/>
  <c r="BL175" i="216"/>
  <c r="BK175" i="216"/>
  <c r="BH175" i="216"/>
  <c r="BF175" i="216"/>
  <c r="BD175" i="216"/>
  <c r="BB175" i="216"/>
  <c r="BA175" i="216"/>
  <c r="AX175" i="216"/>
  <c r="AV175" i="216"/>
  <c r="AT175" i="216"/>
  <c r="AR175" i="216"/>
  <c r="AQ175" i="216"/>
  <c r="AN175" i="216"/>
  <c r="AL175" i="216"/>
  <c r="AJ175" i="216"/>
  <c r="AH175" i="216"/>
  <c r="AG175" i="216"/>
  <c r="AD175" i="216"/>
  <c r="AB175" i="216"/>
  <c r="Z175" i="216"/>
  <c r="X175" i="216"/>
  <c r="W175" i="216"/>
  <c r="T175" i="216"/>
  <c r="R175" i="216"/>
  <c r="P175" i="216"/>
  <c r="EP174" i="216"/>
  <c r="EN174" i="216"/>
  <c r="EL174" i="216"/>
  <c r="EK174" i="216"/>
  <c r="EI174" i="216"/>
  <c r="EZ174" i="216" s="1"/>
  <c r="EG174" i="216"/>
  <c r="EF174" i="216"/>
  <c r="EE174" i="216"/>
  <c r="EM174" i="216" s="1"/>
  <c r="ED174" i="216"/>
  <c r="EC174" i="216"/>
  <c r="DZ174" i="216"/>
  <c r="DX174" i="216"/>
  <c r="DV174" i="216"/>
  <c r="DT174" i="216"/>
  <c r="DS174" i="216"/>
  <c r="DP174" i="216"/>
  <c r="DN174" i="216"/>
  <c r="DL174" i="216"/>
  <c r="DJ174" i="216"/>
  <c r="DI174" i="216"/>
  <c r="DF174" i="216"/>
  <c r="DD174" i="216"/>
  <c r="DB174" i="216"/>
  <c r="CZ174" i="216"/>
  <c r="CY174" i="216"/>
  <c r="CV174" i="216"/>
  <c r="CT174" i="216"/>
  <c r="CR174" i="216"/>
  <c r="CP174" i="216"/>
  <c r="CO174" i="216"/>
  <c r="CL174" i="216"/>
  <c r="CJ174" i="216"/>
  <c r="CH174" i="216"/>
  <c r="CF174" i="216"/>
  <c r="CE174" i="216"/>
  <c r="CB174" i="216"/>
  <c r="BZ174" i="216"/>
  <c r="BX174" i="216"/>
  <c r="BV174" i="216"/>
  <c r="BU174" i="216"/>
  <c r="BR174" i="216"/>
  <c r="BP174" i="216"/>
  <c r="BN174" i="216"/>
  <c r="BL174" i="216"/>
  <c r="BK174" i="216"/>
  <c r="BH174" i="216"/>
  <c r="BF174" i="216"/>
  <c r="BD174" i="216"/>
  <c r="BB174" i="216"/>
  <c r="BA174" i="216"/>
  <c r="AX174" i="216"/>
  <c r="AV174" i="216"/>
  <c r="AT174" i="216"/>
  <c r="AR174" i="216"/>
  <c r="AQ174" i="216"/>
  <c r="AN174" i="216"/>
  <c r="AL174" i="216"/>
  <c r="AJ174" i="216"/>
  <c r="AH174" i="216"/>
  <c r="AG174" i="216"/>
  <c r="AD174" i="216"/>
  <c r="AB174" i="216"/>
  <c r="Z174" i="216"/>
  <c r="X174" i="216"/>
  <c r="W174" i="216"/>
  <c r="T174" i="216"/>
  <c r="R174" i="216"/>
  <c r="P174" i="216"/>
  <c r="EP173" i="216"/>
  <c r="EN173" i="216"/>
  <c r="EL173" i="216"/>
  <c r="EK173" i="216"/>
  <c r="EI173" i="216"/>
  <c r="EZ173" i="216" s="1"/>
  <c r="EG173" i="216"/>
  <c r="EF173" i="216"/>
  <c r="EE173" i="216"/>
  <c r="EM173" i="216" s="1"/>
  <c r="ED173" i="216"/>
  <c r="EC173" i="216"/>
  <c r="DZ173" i="216"/>
  <c r="DX173" i="216"/>
  <c r="DV173" i="216"/>
  <c r="DT173" i="216"/>
  <c r="DS173" i="216"/>
  <c r="DP173" i="216"/>
  <c r="DN173" i="216"/>
  <c r="DL173" i="216"/>
  <c r="DJ173" i="216"/>
  <c r="DI173" i="216"/>
  <c r="DF173" i="216"/>
  <c r="DD173" i="216"/>
  <c r="DB173" i="216"/>
  <c r="CZ173" i="216"/>
  <c r="CY173" i="216"/>
  <c r="CV173" i="216"/>
  <c r="CT173" i="216"/>
  <c r="CR173" i="216"/>
  <c r="CO173" i="216"/>
  <c r="CL173" i="216"/>
  <c r="CJ173" i="216"/>
  <c r="CH173" i="216"/>
  <c r="CE173" i="216"/>
  <c r="CB173" i="216"/>
  <c r="BZ173" i="216"/>
  <c r="BX173" i="216"/>
  <c r="BU173" i="216"/>
  <c r="BR173" i="216"/>
  <c r="BP173" i="216"/>
  <c r="BN173" i="216"/>
  <c r="BK173" i="216"/>
  <c r="BH173" i="216"/>
  <c r="BF173" i="216"/>
  <c r="BD173" i="216"/>
  <c r="BA173" i="216"/>
  <c r="AX173" i="216"/>
  <c r="AV173" i="216"/>
  <c r="AT173" i="216"/>
  <c r="AQ173" i="216"/>
  <c r="AN173" i="216"/>
  <c r="AL173" i="216"/>
  <c r="AJ173" i="216"/>
  <c r="AH173" i="216"/>
  <c r="AG173" i="216"/>
  <c r="AD173" i="216"/>
  <c r="AB173" i="216"/>
  <c r="Z173" i="216"/>
  <c r="X173" i="216"/>
  <c r="W173" i="216"/>
  <c r="T173" i="216"/>
  <c r="R173" i="216"/>
  <c r="P173" i="216"/>
  <c r="EB172" i="216"/>
  <c r="DY172" i="216"/>
  <c r="DW172" i="216"/>
  <c r="DV172" i="216" s="1"/>
  <c r="DU172" i="216"/>
  <c r="DR172" i="216"/>
  <c r="DO172" i="216"/>
  <c r="DM172" i="216"/>
  <c r="DK172" i="216"/>
  <c r="DH172" i="216"/>
  <c r="DE172" i="216"/>
  <c r="DD172" i="216" s="1"/>
  <c r="DC172" i="216"/>
  <c r="DA172" i="216"/>
  <c r="CX172" i="216"/>
  <c r="CU172" i="216"/>
  <c r="CT172" i="216" s="1"/>
  <c r="CS172" i="216"/>
  <c r="CR172" i="216" s="1"/>
  <c r="CQ172" i="216"/>
  <c r="CN172" i="216"/>
  <c r="CK172" i="216"/>
  <c r="CI172" i="216"/>
  <c r="CH172" i="216" s="1"/>
  <c r="CG172" i="216"/>
  <c r="CD172" i="216"/>
  <c r="CA172" i="216"/>
  <c r="BY172" i="216"/>
  <c r="BW172" i="216"/>
  <c r="BT172" i="216"/>
  <c r="BJ172" i="216"/>
  <c r="BI172" i="216"/>
  <c r="BG172" i="216"/>
  <c r="BE172" i="216"/>
  <c r="BC172" i="216"/>
  <c r="AZ172" i="216"/>
  <c r="AW172" i="216"/>
  <c r="AU172" i="216"/>
  <c r="AS172" i="216"/>
  <c r="AP172" i="216"/>
  <c r="AM172" i="216"/>
  <c r="AK172" i="216"/>
  <c r="AI172" i="216"/>
  <c r="AJ172" i="216" s="1"/>
  <c r="AF172" i="216"/>
  <c r="AC172" i="216"/>
  <c r="AA172" i="216"/>
  <c r="Y172" i="216"/>
  <c r="V172" i="216"/>
  <c r="U172" i="216"/>
  <c r="S172" i="216"/>
  <c r="Q172" i="216"/>
  <c r="O172" i="216"/>
  <c r="D172" i="216"/>
  <c r="EA171" i="216"/>
  <c r="EA408" i="216" s="1"/>
  <c r="DY171" i="216"/>
  <c r="DY408" i="216" s="1"/>
  <c r="DW171" i="216"/>
  <c r="DU171" i="216"/>
  <c r="DU408" i="216" s="1"/>
  <c r="DR171" i="216"/>
  <c r="DR408" i="216" s="1"/>
  <c r="DQ171" i="216"/>
  <c r="DQ408" i="216" s="1"/>
  <c r="DO171" i="216"/>
  <c r="DM171" i="216"/>
  <c r="DM408" i="216" s="1"/>
  <c r="DK171" i="216"/>
  <c r="DK408" i="216" s="1"/>
  <c r="DG171" i="216"/>
  <c r="DE171" i="216"/>
  <c r="DE408" i="216" s="1"/>
  <c r="DC171" i="216"/>
  <c r="DC408" i="216" s="1"/>
  <c r="DA171" i="216"/>
  <c r="DA408" i="216" s="1"/>
  <c r="CX171" i="216"/>
  <c r="CX408" i="216" s="1"/>
  <c r="CW171" i="216"/>
  <c r="CW408" i="216" s="1"/>
  <c r="CU171" i="216"/>
  <c r="CU408" i="216" s="1"/>
  <c r="CS171" i="216"/>
  <c r="CS408" i="216" s="1"/>
  <c r="CQ171" i="216"/>
  <c r="CN171" i="216"/>
  <c r="CN408" i="216" s="1"/>
  <c r="CM171" i="216"/>
  <c r="CM408" i="216" s="1"/>
  <c r="CI171" i="216"/>
  <c r="CG171" i="216"/>
  <c r="CG408" i="216" s="1"/>
  <c r="CD171" i="216"/>
  <c r="CD408" i="216" s="1"/>
  <c r="CC171" i="216"/>
  <c r="CC408" i="216" s="1"/>
  <c r="CA171" i="216"/>
  <c r="BY171" i="216"/>
  <c r="BY408" i="216" s="1"/>
  <c r="BW171" i="216"/>
  <c r="BW408" i="216" s="1"/>
  <c r="BT171" i="216"/>
  <c r="BT408" i="216" s="1"/>
  <c r="BS171" i="216"/>
  <c r="BQ171" i="216"/>
  <c r="BQ408" i="216" s="1"/>
  <c r="BO171" i="216"/>
  <c r="BO408" i="216" s="1"/>
  <c r="BM171" i="216"/>
  <c r="BM408" i="216" s="1"/>
  <c r="BJ171" i="216"/>
  <c r="BJ408" i="216" s="1"/>
  <c r="BI171" i="216"/>
  <c r="BI408" i="216" s="1"/>
  <c r="BG171" i="216"/>
  <c r="BG408" i="216" s="1"/>
  <c r="BE171" i="216"/>
  <c r="BE408" i="216" s="1"/>
  <c r="BC171" i="216"/>
  <c r="AZ171" i="216"/>
  <c r="AZ408" i="216" s="1"/>
  <c r="AY171" i="216"/>
  <c r="AY408" i="216" s="1"/>
  <c r="AW171" i="216"/>
  <c r="AW408" i="216" s="1"/>
  <c r="AU171" i="216"/>
  <c r="AS171" i="216"/>
  <c r="AS408" i="216" s="1"/>
  <c r="AP171" i="216"/>
  <c r="AP408" i="216" s="1"/>
  <c r="AO171" i="216"/>
  <c r="AO408" i="216" s="1"/>
  <c r="AM171" i="216"/>
  <c r="AK171" i="216"/>
  <c r="AK408" i="216" s="1"/>
  <c r="AI171" i="216"/>
  <c r="AI408" i="216" s="1"/>
  <c r="AF171" i="216"/>
  <c r="AF408" i="216" s="1"/>
  <c r="AE171" i="216"/>
  <c r="AC171" i="216"/>
  <c r="AC408" i="216" s="1"/>
  <c r="AA171" i="216"/>
  <c r="AA408" i="216" s="1"/>
  <c r="Y171" i="216"/>
  <c r="Y408" i="216" s="1"/>
  <c r="V171" i="216"/>
  <c r="V408" i="216" s="1"/>
  <c r="U171" i="216"/>
  <c r="U408" i="216" s="1"/>
  <c r="S171" i="216"/>
  <c r="S408" i="216" s="1"/>
  <c r="Q171" i="216"/>
  <c r="Q408" i="216" s="1"/>
  <c r="O171" i="216"/>
  <c r="D171" i="216"/>
  <c r="EB170" i="216"/>
  <c r="DY170" i="216"/>
  <c r="DW170" i="216"/>
  <c r="DU170" i="216"/>
  <c r="DV170" i="216" s="1"/>
  <c r="DR170" i="216"/>
  <c r="DM170" i="216"/>
  <c r="DK170" i="216"/>
  <c r="DL170" i="216" s="1"/>
  <c r="DH170" i="216"/>
  <c r="DE170" i="216"/>
  <c r="DC170" i="216"/>
  <c r="DA170" i="216"/>
  <c r="CX170" i="216"/>
  <c r="CU170" i="216"/>
  <c r="CS170" i="216"/>
  <c r="CQ170" i="216"/>
  <c r="CN170" i="216"/>
  <c r="CM170" i="216"/>
  <c r="CK170" i="216"/>
  <c r="CI170" i="216"/>
  <c r="CG170" i="216"/>
  <c r="CH170" i="216" s="1"/>
  <c r="CD170" i="216"/>
  <c r="CC170" i="216"/>
  <c r="CA170" i="216"/>
  <c r="BY170" i="216"/>
  <c r="BX170" i="216"/>
  <c r="BW170" i="216"/>
  <c r="BT170" i="216"/>
  <c r="BO170" i="216"/>
  <c r="BM170" i="216"/>
  <c r="BJ170" i="216"/>
  <c r="BG170" i="216"/>
  <c r="BE170" i="216"/>
  <c r="BC170" i="216"/>
  <c r="AZ170" i="216"/>
  <c r="AS170" i="216"/>
  <c r="AP170" i="216"/>
  <c r="AM170" i="216"/>
  <c r="AK170" i="216"/>
  <c r="AI170" i="216"/>
  <c r="AF170" i="216"/>
  <c r="AC170" i="216"/>
  <c r="AB170" i="216" s="1"/>
  <c r="AA170" i="216"/>
  <c r="Y170" i="216"/>
  <c r="V170" i="216"/>
  <c r="S170" i="216"/>
  <c r="Q170" i="216"/>
  <c r="D170" i="216"/>
  <c r="EB169" i="216"/>
  <c r="EA169" i="216"/>
  <c r="EP169" i="216" s="1"/>
  <c r="DY169" i="216"/>
  <c r="DW169" i="216"/>
  <c r="DR169" i="216"/>
  <c r="DO169" i="216"/>
  <c r="DM169" i="216"/>
  <c r="DH169" i="216"/>
  <c r="DG169" i="216"/>
  <c r="DE169" i="216"/>
  <c r="DC169" i="216"/>
  <c r="CX169" i="216"/>
  <c r="CW169" i="216"/>
  <c r="CU169" i="216"/>
  <c r="CS169" i="216"/>
  <c r="CQ169" i="216"/>
  <c r="CN169" i="216"/>
  <c r="CK169" i="216"/>
  <c r="CI169" i="216"/>
  <c r="CG169" i="216"/>
  <c r="CD169" i="216"/>
  <c r="CC169" i="216"/>
  <c r="CA169" i="216"/>
  <c r="BY169" i="216"/>
  <c r="BT169" i="216"/>
  <c r="BS169" i="216"/>
  <c r="BQ169" i="216"/>
  <c r="BO169" i="216"/>
  <c r="BM169" i="216"/>
  <c r="BN169" i="216" s="1"/>
  <c r="BJ169" i="216"/>
  <c r="BI169" i="216"/>
  <c r="BG169" i="216"/>
  <c r="BE169" i="216"/>
  <c r="BC169" i="216"/>
  <c r="AZ169" i="216"/>
  <c r="AW169" i="216"/>
  <c r="AU169" i="216"/>
  <c r="AP169" i="216"/>
  <c r="AO169" i="216"/>
  <c r="AM169" i="216"/>
  <c r="AK169" i="216"/>
  <c r="AI169" i="216"/>
  <c r="AQ169" i="216" s="1"/>
  <c r="AF169" i="216"/>
  <c r="AE169" i="216"/>
  <c r="AA169" i="216"/>
  <c r="Y169" i="216"/>
  <c r="V169" i="216"/>
  <c r="U169" i="216"/>
  <c r="S169" i="216"/>
  <c r="Q169" i="216"/>
  <c r="O169" i="216"/>
  <c r="D169" i="216"/>
  <c r="DY168" i="216"/>
  <c r="DW168" i="216"/>
  <c r="DU168" i="216"/>
  <c r="DR168" i="216"/>
  <c r="DO168" i="216"/>
  <c r="DM168" i="216"/>
  <c r="DH168" i="216"/>
  <c r="DG168" i="216"/>
  <c r="DE168" i="216"/>
  <c r="DD168" i="216" s="1"/>
  <c r="DC168" i="216"/>
  <c r="DA168" i="216"/>
  <c r="DI168" i="216" s="1"/>
  <c r="CX168" i="216"/>
  <c r="CW168" i="216"/>
  <c r="CU168" i="216"/>
  <c r="CT168" i="216" s="1"/>
  <c r="CS168" i="216"/>
  <c r="CQ168" i="216"/>
  <c r="CN168" i="216"/>
  <c r="CM168" i="216"/>
  <c r="CK168" i="216"/>
  <c r="CI168" i="216"/>
  <c r="CG168" i="216"/>
  <c r="CH168" i="216" s="1"/>
  <c r="CD168" i="216"/>
  <c r="CC168" i="216"/>
  <c r="CB168" i="216" s="1"/>
  <c r="CA168" i="216"/>
  <c r="BZ168" i="216" s="1"/>
  <c r="BY168" i="216"/>
  <c r="BW168" i="216"/>
  <c r="CE168" i="216" s="1"/>
  <c r="BT168" i="216"/>
  <c r="BS168" i="216"/>
  <c r="BQ168" i="216"/>
  <c r="BO168" i="216"/>
  <c r="BM168" i="216"/>
  <c r="BU168" i="216" s="1"/>
  <c r="BJ168" i="216"/>
  <c r="BG168" i="216"/>
  <c r="BE168" i="216"/>
  <c r="BC168" i="216"/>
  <c r="AZ168" i="216"/>
  <c r="AY168" i="216"/>
  <c r="AW168" i="216"/>
  <c r="AU168" i="216"/>
  <c r="AS168" i="216"/>
  <c r="AP168" i="216"/>
  <c r="AO168" i="216"/>
  <c r="AM168" i="216"/>
  <c r="AK168" i="216"/>
  <c r="AI168" i="216"/>
  <c r="AF168" i="216"/>
  <c r="AE168" i="216"/>
  <c r="AC168" i="216"/>
  <c r="AA168" i="216"/>
  <c r="Y168" i="216"/>
  <c r="V168" i="216"/>
  <c r="U168" i="216"/>
  <c r="T168" i="216" s="1"/>
  <c r="O168" i="216"/>
  <c r="D168" i="216"/>
  <c r="EA167" i="216"/>
  <c r="DY167" i="216"/>
  <c r="DW167" i="216"/>
  <c r="DR167" i="216"/>
  <c r="DQ167" i="216"/>
  <c r="DO167" i="216"/>
  <c r="DM167" i="216"/>
  <c r="DK167" i="216"/>
  <c r="DH167" i="216"/>
  <c r="DG167" i="216"/>
  <c r="DE167" i="216"/>
  <c r="DC167" i="216"/>
  <c r="DA167" i="216"/>
  <c r="CX167" i="216"/>
  <c r="CW167" i="216"/>
  <c r="CS167" i="216"/>
  <c r="CQ167" i="216"/>
  <c r="CN167" i="216"/>
  <c r="CK167" i="216"/>
  <c r="CI167" i="216"/>
  <c r="CG167" i="216"/>
  <c r="CD167" i="216"/>
  <c r="CA167" i="216"/>
  <c r="BY167" i="216"/>
  <c r="BW167" i="216"/>
  <c r="BT167" i="216"/>
  <c r="BQ167" i="216"/>
  <c r="BO167" i="216"/>
  <c r="BM167" i="216"/>
  <c r="BJ167" i="216"/>
  <c r="BG167" i="216"/>
  <c r="BE167" i="216"/>
  <c r="BC167" i="216"/>
  <c r="AZ167" i="216"/>
  <c r="AW167" i="216"/>
  <c r="AU167" i="216"/>
  <c r="AS167" i="216"/>
  <c r="AP167" i="216"/>
  <c r="AM167" i="216"/>
  <c r="AK167" i="216"/>
  <c r="AI167" i="216"/>
  <c r="AF167" i="216"/>
  <c r="AE167" i="216"/>
  <c r="AC167" i="216"/>
  <c r="AA167" i="216"/>
  <c r="Y167" i="216"/>
  <c r="V167" i="216"/>
  <c r="U167" i="216"/>
  <c r="S167" i="216"/>
  <c r="Q167" i="216"/>
  <c r="O167" i="216"/>
  <c r="D167" i="216"/>
  <c r="EB166" i="216"/>
  <c r="EB407" i="216" s="1"/>
  <c r="DY166" i="216"/>
  <c r="DW166" i="216"/>
  <c r="DW407" i="216" s="1"/>
  <c r="DU166" i="216"/>
  <c r="DU407" i="216" s="1"/>
  <c r="DR166" i="216"/>
  <c r="DR407" i="216" s="1"/>
  <c r="DM166" i="216"/>
  <c r="DM407" i="216" s="1"/>
  <c r="DK166" i="216"/>
  <c r="DH166" i="216"/>
  <c r="DH407" i="216" s="1"/>
  <c r="DG166" i="216"/>
  <c r="DG407" i="216" s="1"/>
  <c r="DE166" i="216"/>
  <c r="DC166" i="216"/>
  <c r="DC407" i="216" s="1"/>
  <c r="DA166" i="216"/>
  <c r="DA407" i="216" s="1"/>
  <c r="CW166" i="216"/>
  <c r="CW407" i="216" s="1"/>
  <c r="CS166" i="216"/>
  <c r="CQ166" i="216"/>
  <c r="CQ407" i="216" s="1"/>
  <c r="CN166" i="216"/>
  <c r="CN407" i="216" s="1"/>
  <c r="CM166" i="216"/>
  <c r="CM407" i="216" s="1"/>
  <c r="CK166" i="216"/>
  <c r="CK407" i="216" s="1"/>
  <c r="CI166" i="216"/>
  <c r="CI407" i="216" s="1"/>
  <c r="CG166" i="216"/>
  <c r="CG407" i="216" s="1"/>
  <c r="CD166" i="216"/>
  <c r="CD407" i="216" s="1"/>
  <c r="CC166" i="216"/>
  <c r="CA166" i="216"/>
  <c r="BY166" i="216"/>
  <c r="BY407" i="216" s="1"/>
  <c r="BW166" i="216"/>
  <c r="BT166" i="216"/>
  <c r="BT407" i="216" s="1"/>
  <c r="BS166" i="216"/>
  <c r="BS407" i="216" s="1"/>
  <c r="BQ166" i="216"/>
  <c r="BQ407" i="216" s="1"/>
  <c r="BO166" i="216"/>
  <c r="BO407" i="216" s="1"/>
  <c r="BJ166" i="216"/>
  <c r="BI166" i="216"/>
  <c r="BI407" i="216" s="1"/>
  <c r="BG166" i="216"/>
  <c r="BG407" i="216" s="1"/>
  <c r="BE166" i="216"/>
  <c r="BE407" i="216" s="1"/>
  <c r="BD166" i="216"/>
  <c r="BC166" i="216"/>
  <c r="BC407" i="216" s="1"/>
  <c r="AZ166" i="216"/>
  <c r="AY166" i="216"/>
  <c r="AY407" i="216" s="1"/>
  <c r="AW166" i="216"/>
  <c r="AW407" i="216" s="1"/>
  <c r="AU166" i="216"/>
  <c r="AT166" i="216"/>
  <c r="AS166" i="216"/>
  <c r="AS407" i="216" s="1"/>
  <c r="AP166" i="216"/>
  <c r="AP407" i="216" s="1"/>
  <c r="AM166" i="216"/>
  <c r="AK166" i="216"/>
  <c r="AK407" i="216" s="1"/>
  <c r="AI166" i="216"/>
  <c r="AI407" i="216" s="1"/>
  <c r="AF166" i="216"/>
  <c r="AF407" i="216" s="1"/>
  <c r="AE166" i="216"/>
  <c r="AE407" i="216" s="1"/>
  <c r="AC166" i="216"/>
  <c r="AA166" i="216"/>
  <c r="AA407" i="216" s="1"/>
  <c r="Y166" i="216"/>
  <c r="Y407" i="216" s="1"/>
  <c r="V166" i="216"/>
  <c r="V407" i="216" s="1"/>
  <c r="U166" i="216"/>
  <c r="U407" i="216" s="1"/>
  <c r="O166" i="216"/>
  <c r="O407" i="216" s="1"/>
  <c r="D166" i="216"/>
  <c r="DY165" i="216"/>
  <c r="DX165" i="216" s="1"/>
  <c r="DW165" i="216"/>
  <c r="DU165" i="216"/>
  <c r="DR165" i="216"/>
  <c r="DQ165" i="216"/>
  <c r="DO165" i="216"/>
  <c r="DH165" i="216"/>
  <c r="DG165" i="216"/>
  <c r="DE165" i="216"/>
  <c r="DD165" i="216" s="1"/>
  <c r="DC165" i="216"/>
  <c r="DA165" i="216"/>
  <c r="CX165" i="216"/>
  <c r="CW165" i="216"/>
  <c r="CU165" i="216"/>
  <c r="CT165" i="216" s="1"/>
  <c r="CS165" i="216"/>
  <c r="CQ165" i="216"/>
  <c r="CY165" i="216" s="1"/>
  <c r="CN165" i="216"/>
  <c r="CM165" i="216"/>
  <c r="CK165" i="216"/>
  <c r="CI165" i="216"/>
  <c r="CG165" i="216"/>
  <c r="CD165" i="216"/>
  <c r="CC165" i="216"/>
  <c r="CA165" i="216"/>
  <c r="BY165" i="216"/>
  <c r="BW165" i="216"/>
  <c r="BT165" i="216"/>
  <c r="BS165" i="216"/>
  <c r="BQ165" i="216"/>
  <c r="BO165" i="216"/>
  <c r="BM165" i="216"/>
  <c r="BJ165" i="216"/>
  <c r="BI165" i="216"/>
  <c r="BG165" i="216"/>
  <c r="BF165" i="216" s="1"/>
  <c r="BE165" i="216"/>
  <c r="BC165" i="216"/>
  <c r="AZ165" i="216"/>
  <c r="AY165" i="216"/>
  <c r="AX165" i="216" s="1"/>
  <c r="AW165" i="216"/>
  <c r="AU165" i="216"/>
  <c r="AS165" i="216"/>
  <c r="AP165" i="216"/>
  <c r="AO165" i="216"/>
  <c r="AM165" i="216"/>
  <c r="AK165" i="216"/>
  <c r="AI165" i="216"/>
  <c r="AF165" i="216"/>
  <c r="AE165" i="216"/>
  <c r="AC165" i="216"/>
  <c r="AB165" i="216" s="1"/>
  <c r="AA165" i="216"/>
  <c r="Y165" i="216"/>
  <c r="V165" i="216"/>
  <c r="U165" i="216"/>
  <c r="S165" i="216"/>
  <c r="Q165" i="216"/>
  <c r="O165" i="216"/>
  <c r="D165" i="216"/>
  <c r="EB164" i="216"/>
  <c r="DY164" i="216"/>
  <c r="DW164" i="216"/>
  <c r="DU164" i="216"/>
  <c r="DR164" i="216"/>
  <c r="DQ164" i="216"/>
  <c r="DO164" i="216"/>
  <c r="DM164" i="216"/>
  <c r="DK164" i="216"/>
  <c r="DH164" i="216"/>
  <c r="DE164" i="216"/>
  <c r="DC164" i="216"/>
  <c r="DA164" i="216"/>
  <c r="CX164" i="216"/>
  <c r="CU164" i="216"/>
  <c r="CS164" i="216"/>
  <c r="CQ164" i="216"/>
  <c r="CN164" i="216"/>
  <c r="CM164" i="216"/>
  <c r="CL164" i="216" s="1"/>
  <c r="CK164" i="216"/>
  <c r="CI164" i="216"/>
  <c r="CG164" i="216"/>
  <c r="CD164" i="216"/>
  <c r="CC164" i="216"/>
  <c r="CA164" i="216"/>
  <c r="BY164" i="216"/>
  <c r="BW164" i="216"/>
  <c r="BT164" i="216"/>
  <c r="BS164" i="216"/>
  <c r="BQ164" i="216"/>
  <c r="BO164" i="216"/>
  <c r="BJ164" i="216"/>
  <c r="BG164" i="216"/>
  <c r="BF164" i="216" s="1"/>
  <c r="BE164" i="216"/>
  <c r="BC164" i="216"/>
  <c r="AZ164" i="216"/>
  <c r="AY164" i="216"/>
  <c r="AW164" i="216"/>
  <c r="AU164" i="216"/>
  <c r="AS164" i="216"/>
  <c r="AP164" i="216"/>
  <c r="AK164" i="216"/>
  <c r="AI164" i="216"/>
  <c r="AF164" i="216"/>
  <c r="AC164" i="216"/>
  <c r="AA164" i="216"/>
  <c r="Y164" i="216"/>
  <c r="V164" i="216"/>
  <c r="Q164" i="216"/>
  <c r="O164" i="216"/>
  <c r="D164" i="216"/>
  <c r="EB163" i="216"/>
  <c r="EA163" i="216"/>
  <c r="DY163" i="216"/>
  <c r="DW163" i="216"/>
  <c r="DU163" i="216"/>
  <c r="DR163" i="216"/>
  <c r="DQ163" i="216"/>
  <c r="DO163" i="216"/>
  <c r="DN163" i="216" s="1"/>
  <c r="DM163" i="216"/>
  <c r="DK163" i="216"/>
  <c r="DH163" i="216"/>
  <c r="DG163" i="216"/>
  <c r="DE163" i="216"/>
  <c r="DC163" i="216"/>
  <c r="DA163" i="216"/>
  <c r="DI163" i="216" s="1"/>
  <c r="CX163" i="216"/>
  <c r="CW163" i="216"/>
  <c r="CU163" i="216"/>
  <c r="CS163" i="216"/>
  <c r="CQ163" i="216"/>
  <c r="CN163" i="216"/>
  <c r="CM163" i="216"/>
  <c r="CK163" i="216"/>
  <c r="CI163" i="216"/>
  <c r="CG163" i="216"/>
  <c r="CO163" i="216" s="1"/>
  <c r="CD163" i="216"/>
  <c r="CC163" i="216"/>
  <c r="CA163" i="216"/>
  <c r="BY163" i="216"/>
  <c r="BW163" i="216"/>
  <c r="BT163" i="216"/>
  <c r="BS163" i="216"/>
  <c r="BQ163" i="216"/>
  <c r="BO163" i="216"/>
  <c r="BM163" i="216"/>
  <c r="BJ163" i="216"/>
  <c r="BI163" i="216"/>
  <c r="BG163" i="216"/>
  <c r="BE163" i="216"/>
  <c r="BC163" i="216"/>
  <c r="AZ163" i="216"/>
  <c r="AY163" i="216"/>
  <c r="AW163" i="216"/>
  <c r="AU163" i="216"/>
  <c r="AS163" i="216"/>
  <c r="AP163" i="216"/>
  <c r="AO163" i="216"/>
  <c r="AM163" i="216"/>
  <c r="AL163" i="216" s="1"/>
  <c r="AK163" i="216"/>
  <c r="AI163" i="216"/>
  <c r="AF163" i="216"/>
  <c r="AE163" i="216"/>
  <c r="AC163" i="216"/>
  <c r="AA163" i="216"/>
  <c r="Y163" i="216"/>
  <c r="AG163" i="216" s="1"/>
  <c r="V163" i="216"/>
  <c r="U163" i="216"/>
  <c r="S163" i="216"/>
  <c r="Q163" i="216"/>
  <c r="O163" i="216"/>
  <c r="D163" i="216"/>
  <c r="EB162" i="216"/>
  <c r="EA162" i="216"/>
  <c r="EP162" i="216" s="1"/>
  <c r="DY162" i="216"/>
  <c r="DX162" i="216" s="1"/>
  <c r="DW162" i="216"/>
  <c r="DU162" i="216"/>
  <c r="DR162" i="216"/>
  <c r="DQ162" i="216"/>
  <c r="DO162" i="216"/>
  <c r="DN162" i="216" s="1"/>
  <c r="DM162" i="216"/>
  <c r="DK162" i="216"/>
  <c r="DH162" i="216"/>
  <c r="DG162" i="216"/>
  <c r="DF162" i="216" s="1"/>
  <c r="DE162" i="216"/>
  <c r="DC162" i="216"/>
  <c r="DA162" i="216"/>
  <c r="DI162" i="216" s="1"/>
  <c r="CX162" i="216"/>
  <c r="CW162" i="216"/>
  <c r="CV162" i="216"/>
  <c r="CU162" i="216"/>
  <c r="CT162" i="216" s="1"/>
  <c r="CS162" i="216"/>
  <c r="CR162" i="216" s="1"/>
  <c r="CQ162" i="216"/>
  <c r="CN162" i="216"/>
  <c r="CM162" i="216"/>
  <c r="CL162" i="216"/>
  <c r="CK162" i="216"/>
  <c r="CI162" i="216"/>
  <c r="CG162" i="216"/>
  <c r="CO162" i="216" s="1"/>
  <c r="CD162" i="216"/>
  <c r="CC162" i="216"/>
  <c r="CA162" i="216"/>
  <c r="BY162" i="216"/>
  <c r="BW162" i="216"/>
  <c r="CE162" i="216" s="1"/>
  <c r="BT162" i="216"/>
  <c r="BS162" i="216"/>
  <c r="BQ162" i="216"/>
  <c r="BO162" i="216"/>
  <c r="BM162" i="216"/>
  <c r="BU162" i="216" s="1"/>
  <c r="BJ162" i="216"/>
  <c r="BI162" i="216"/>
  <c r="BG162" i="216"/>
  <c r="BE162" i="216"/>
  <c r="BC162" i="216"/>
  <c r="AZ162" i="216"/>
  <c r="AY162" i="216"/>
  <c r="AW162" i="216"/>
  <c r="AV162" i="216" s="1"/>
  <c r="AU162" i="216"/>
  <c r="AS162" i="216"/>
  <c r="AP162" i="216"/>
  <c r="AO162" i="216"/>
  <c r="AM162" i="216"/>
  <c r="AK162" i="216"/>
  <c r="AI162" i="216"/>
  <c r="AF162" i="216"/>
  <c r="AE162" i="216"/>
  <c r="AC162" i="216"/>
  <c r="AA162" i="216"/>
  <c r="Y162" i="216"/>
  <c r="AG162" i="216" s="1"/>
  <c r="V162" i="216"/>
  <c r="U162" i="216"/>
  <c r="S162" i="216"/>
  <c r="Q162" i="216"/>
  <c r="O162" i="216"/>
  <c r="D162" i="216"/>
  <c r="EB161" i="216"/>
  <c r="EA161" i="216"/>
  <c r="EP161" i="216" s="1"/>
  <c r="DY161" i="216"/>
  <c r="DW161" i="216"/>
  <c r="DU161" i="216"/>
  <c r="DR161" i="216"/>
  <c r="DQ161" i="216"/>
  <c r="DO161" i="216"/>
  <c r="DM161" i="216"/>
  <c r="DK161" i="216"/>
  <c r="DH161" i="216"/>
  <c r="DG161" i="216"/>
  <c r="DE161" i="216"/>
  <c r="DC161" i="216"/>
  <c r="DA161" i="216"/>
  <c r="CX161" i="216"/>
  <c r="CW161" i="216"/>
  <c r="CU161" i="216"/>
  <c r="CS161" i="216"/>
  <c r="CQ161" i="216"/>
  <c r="CN161" i="216"/>
  <c r="CM161" i="216"/>
  <c r="CK161" i="216"/>
  <c r="CJ161" i="216" s="1"/>
  <c r="CI161" i="216"/>
  <c r="CG161" i="216"/>
  <c r="CO161" i="216" s="1"/>
  <c r="CD161" i="216"/>
  <c r="CC161" i="216"/>
  <c r="CA161" i="216"/>
  <c r="BY161" i="216"/>
  <c r="BW161" i="216"/>
  <c r="BT161" i="216"/>
  <c r="BS161" i="216"/>
  <c r="BQ161" i="216"/>
  <c r="BM161" i="216"/>
  <c r="BJ161" i="216"/>
  <c r="BI161" i="216"/>
  <c r="BG161" i="216"/>
  <c r="BE161" i="216"/>
  <c r="BC161" i="216"/>
  <c r="AZ161" i="216"/>
  <c r="AY161" i="216"/>
  <c r="AW161" i="216"/>
  <c r="AV161" i="216" s="1"/>
  <c r="AU161" i="216"/>
  <c r="AS161" i="216"/>
  <c r="AP161" i="216"/>
  <c r="AO161" i="216"/>
  <c r="AN161" i="216" s="1"/>
  <c r="AM161" i="216"/>
  <c r="AL161" i="216" s="1"/>
  <c r="AK161" i="216"/>
  <c r="AI161" i="216"/>
  <c r="AF161" i="216"/>
  <c r="AE161" i="216"/>
  <c r="AC161" i="216"/>
  <c r="AA161" i="216"/>
  <c r="Y161" i="216"/>
  <c r="V161" i="216"/>
  <c r="U161" i="216"/>
  <c r="S161" i="216"/>
  <c r="Q161" i="216"/>
  <c r="O161" i="216"/>
  <c r="D161" i="216"/>
  <c r="EB160" i="216"/>
  <c r="EA160" i="216"/>
  <c r="EP160" i="216" s="1"/>
  <c r="DY160" i="216"/>
  <c r="DX160" i="216" s="1"/>
  <c r="DW160" i="216"/>
  <c r="DV160" i="216" s="1"/>
  <c r="DU160" i="216"/>
  <c r="DR160" i="216"/>
  <c r="DQ160" i="216"/>
  <c r="DO160" i="216"/>
  <c r="DM160" i="216"/>
  <c r="DK160" i="216"/>
  <c r="DH160" i="216"/>
  <c r="DG160" i="216"/>
  <c r="DE160" i="216"/>
  <c r="DC160" i="216"/>
  <c r="DA160" i="216"/>
  <c r="DI160" i="216" s="1"/>
  <c r="CX160" i="216"/>
  <c r="CW160" i="216"/>
  <c r="CU160" i="216"/>
  <c r="CS160" i="216"/>
  <c r="CQ160" i="216"/>
  <c r="CV160" i="216" s="1"/>
  <c r="CN160" i="216"/>
  <c r="CM160" i="216"/>
  <c r="CK160" i="216"/>
  <c r="CI160" i="216"/>
  <c r="CG160" i="216"/>
  <c r="CO160" i="216" s="1"/>
  <c r="CD160" i="216"/>
  <c r="CC160" i="216"/>
  <c r="CA160" i="216"/>
  <c r="BZ160" i="216" s="1"/>
  <c r="BY160" i="216"/>
  <c r="BW160" i="216"/>
  <c r="BT160" i="216"/>
  <c r="BS160" i="216"/>
  <c r="BQ160" i="216"/>
  <c r="BO160" i="216"/>
  <c r="BN160" i="216" s="1"/>
  <c r="BM160" i="216"/>
  <c r="BJ160" i="216"/>
  <c r="BI160" i="216"/>
  <c r="BG160" i="216"/>
  <c r="BF160" i="216" s="1"/>
  <c r="BE160" i="216"/>
  <c r="BC160" i="216"/>
  <c r="AZ160" i="216"/>
  <c r="AY160" i="216"/>
  <c r="AW160" i="216"/>
  <c r="AU160" i="216"/>
  <c r="AT160" i="216" s="1"/>
  <c r="AS160" i="216"/>
  <c r="AP160" i="216"/>
  <c r="AO160" i="216"/>
  <c r="AN160" i="216" s="1"/>
  <c r="AM160" i="216"/>
  <c r="AK160" i="216"/>
  <c r="AI160" i="216"/>
  <c r="AF160" i="216"/>
  <c r="AE160" i="216"/>
  <c r="AC160" i="216"/>
  <c r="AA160" i="216"/>
  <c r="Z160" i="216" s="1"/>
  <c r="Y160" i="216"/>
  <c r="V160" i="216"/>
  <c r="U160" i="216"/>
  <c r="S160" i="216"/>
  <c r="Q160" i="216"/>
  <c r="O160" i="216"/>
  <c r="D160" i="216"/>
  <c r="EP159" i="216"/>
  <c r="EA159" i="216"/>
  <c r="DY159" i="216"/>
  <c r="DW159" i="216"/>
  <c r="DR159" i="216"/>
  <c r="DQ159" i="216"/>
  <c r="DO159" i="216"/>
  <c r="DM159" i="216"/>
  <c r="DK159" i="216"/>
  <c r="DH159" i="216"/>
  <c r="DG159" i="216"/>
  <c r="DE159" i="216"/>
  <c r="DC159" i="216"/>
  <c r="DA159" i="216"/>
  <c r="DD159" i="216" s="1"/>
  <c r="CX159" i="216"/>
  <c r="CW159" i="216"/>
  <c r="CU159" i="216"/>
  <c r="CS159" i="216"/>
  <c r="CQ159" i="216"/>
  <c r="CN159" i="216"/>
  <c r="CM159" i="216"/>
  <c r="CK159" i="216"/>
  <c r="CI159" i="216"/>
  <c r="CG159" i="216"/>
  <c r="CO159" i="216" s="1"/>
  <c r="CD159" i="216"/>
  <c r="CC159" i="216"/>
  <c r="CA159" i="216"/>
  <c r="BY159" i="216"/>
  <c r="BT159" i="216"/>
  <c r="BS159" i="216"/>
  <c r="BQ159" i="216"/>
  <c r="BO159" i="216"/>
  <c r="BM159" i="216"/>
  <c r="BJ159" i="216"/>
  <c r="BI159" i="216"/>
  <c r="BG159" i="216"/>
  <c r="BE159" i="216"/>
  <c r="BC159" i="216"/>
  <c r="AZ159" i="216"/>
  <c r="AY159" i="216"/>
  <c r="AX159" i="216" s="1"/>
  <c r="AW159" i="216"/>
  <c r="AU159" i="216"/>
  <c r="AS159" i="216"/>
  <c r="AP159" i="216"/>
  <c r="AO159" i="216"/>
  <c r="AM159" i="216"/>
  <c r="AK159" i="216"/>
  <c r="AI159" i="216"/>
  <c r="AJ159" i="216" s="1"/>
  <c r="AF159" i="216"/>
  <c r="AE159" i="216"/>
  <c r="AD159" i="216" s="1"/>
  <c r="AC159" i="216"/>
  <c r="AA159" i="216"/>
  <c r="Y159" i="216"/>
  <c r="V159" i="216"/>
  <c r="U159" i="216"/>
  <c r="S159" i="216"/>
  <c r="R159" i="216" s="1"/>
  <c r="Q159" i="216"/>
  <c r="O159" i="216"/>
  <c r="D159" i="216"/>
  <c r="EB158" i="216"/>
  <c r="DY158" i="216"/>
  <c r="DW158" i="216"/>
  <c r="DR158" i="216"/>
  <c r="DO158" i="216"/>
  <c r="DN158" i="216" s="1"/>
  <c r="DM158" i="216"/>
  <c r="DL158" i="216" s="1"/>
  <c r="DK158" i="216"/>
  <c r="DH158" i="216"/>
  <c r="DE158" i="216"/>
  <c r="DC158" i="216"/>
  <c r="DA158" i="216"/>
  <c r="CX158" i="216"/>
  <c r="CU158" i="216"/>
  <c r="CT158" i="216" s="1"/>
  <c r="CS158" i="216"/>
  <c r="CR158" i="216" s="1"/>
  <c r="CQ158" i="216"/>
  <c r="CN158" i="216"/>
  <c r="CK158" i="216"/>
  <c r="CI158" i="216"/>
  <c r="CH158" i="216" s="1"/>
  <c r="CG158" i="216"/>
  <c r="CD158" i="216"/>
  <c r="CC158" i="216"/>
  <c r="CA158" i="216"/>
  <c r="BY158" i="216"/>
  <c r="BW158" i="216"/>
  <c r="BT158" i="216"/>
  <c r="BS158" i="216"/>
  <c r="BQ158" i="216"/>
  <c r="BJ158" i="216"/>
  <c r="BI158" i="216"/>
  <c r="BG158" i="216"/>
  <c r="BE158" i="216"/>
  <c r="AZ158" i="216"/>
  <c r="AW158" i="216"/>
  <c r="AU158" i="216"/>
  <c r="AS158" i="216"/>
  <c r="AP158" i="216"/>
  <c r="AM158" i="216"/>
  <c r="AK158" i="216"/>
  <c r="AJ158" i="216" s="1"/>
  <c r="AI158" i="216"/>
  <c r="AQ158" i="216" s="1"/>
  <c r="AF158" i="216"/>
  <c r="AC158" i="216"/>
  <c r="AA158" i="216"/>
  <c r="Y158" i="216"/>
  <c r="AG158" i="216" s="1"/>
  <c r="V158" i="216"/>
  <c r="U158" i="216"/>
  <c r="S158" i="216"/>
  <c r="Q158" i="216"/>
  <c r="O158" i="216"/>
  <c r="D158" i="216"/>
  <c r="EA157" i="216"/>
  <c r="DY157" i="216"/>
  <c r="DW157" i="216"/>
  <c r="DU157" i="216"/>
  <c r="DR157" i="216"/>
  <c r="DQ157" i="216"/>
  <c r="DO157" i="216"/>
  <c r="DM157" i="216"/>
  <c r="DK157" i="216"/>
  <c r="DH157" i="216"/>
  <c r="DG157" i="216"/>
  <c r="DE157" i="216"/>
  <c r="DC157" i="216"/>
  <c r="DA157" i="216"/>
  <c r="CX157" i="216"/>
  <c r="CW157" i="216"/>
  <c r="CU157" i="216"/>
  <c r="CN157" i="216"/>
  <c r="CM157" i="216"/>
  <c r="CK157" i="216"/>
  <c r="CI157" i="216"/>
  <c r="CG157" i="216"/>
  <c r="CD157" i="216"/>
  <c r="CC157" i="216"/>
  <c r="CA157" i="216"/>
  <c r="BY157" i="216"/>
  <c r="BW157" i="216"/>
  <c r="BT157" i="216"/>
  <c r="BQ157" i="216"/>
  <c r="BO157" i="216"/>
  <c r="BM157" i="216"/>
  <c r="BJ157" i="216"/>
  <c r="BI157" i="216"/>
  <c r="BG157" i="216"/>
  <c r="BE157" i="216"/>
  <c r="BC157" i="216"/>
  <c r="AZ157" i="216"/>
  <c r="AW157" i="216"/>
  <c r="AV157" i="216" s="1"/>
  <c r="AU157" i="216"/>
  <c r="AS157" i="216"/>
  <c r="AP157" i="216"/>
  <c r="AM157" i="216"/>
  <c r="AK157" i="216"/>
  <c r="AI157" i="216"/>
  <c r="AF157" i="216"/>
  <c r="AC157" i="216"/>
  <c r="AB157" i="216" s="1"/>
  <c r="AA157" i="216"/>
  <c r="Y157" i="216"/>
  <c r="V157" i="216"/>
  <c r="S157" i="216"/>
  <c r="Q157" i="216"/>
  <c r="O157" i="216"/>
  <c r="D157" i="216"/>
  <c r="EB156" i="216"/>
  <c r="DY156" i="216"/>
  <c r="DW156" i="216"/>
  <c r="DW176" i="216" s="1"/>
  <c r="DU156" i="216"/>
  <c r="DR156" i="216"/>
  <c r="DO156" i="216"/>
  <c r="DM156" i="216"/>
  <c r="DK156" i="216"/>
  <c r="DH156" i="216"/>
  <c r="DC156" i="216"/>
  <c r="CX156" i="216"/>
  <c r="CS156" i="216"/>
  <c r="CN156" i="216"/>
  <c r="CI156" i="216"/>
  <c r="CD156" i="216"/>
  <c r="CD176" i="216" s="1"/>
  <c r="BY156" i="216"/>
  <c r="BT156" i="216"/>
  <c r="BT176" i="216" s="1"/>
  <c r="BQ156" i="216"/>
  <c r="BO156" i="216"/>
  <c r="BM156" i="216"/>
  <c r="BN156" i="216" s="1"/>
  <c r="BJ156" i="216"/>
  <c r="BG156" i="216"/>
  <c r="BE156" i="216"/>
  <c r="BE176" i="216" s="1"/>
  <c r="BC156" i="216"/>
  <c r="AZ156" i="216"/>
  <c r="AW156" i="216"/>
  <c r="AU156" i="216"/>
  <c r="AS156" i="216"/>
  <c r="AP156" i="216"/>
  <c r="AP176" i="216" s="1"/>
  <c r="AO156" i="216"/>
  <c r="AN156" i="216" s="1"/>
  <c r="AM156" i="216"/>
  <c r="AL156" i="216" s="1"/>
  <c r="AK156" i="216"/>
  <c r="AI156" i="216"/>
  <c r="AF156" i="216"/>
  <c r="AF176" i="216" s="1"/>
  <c r="AE156" i="216"/>
  <c r="AC156" i="216"/>
  <c r="AA156" i="216"/>
  <c r="Y156" i="216"/>
  <c r="AG156" i="216" s="1"/>
  <c r="V156" i="216"/>
  <c r="U156" i="216"/>
  <c r="S156" i="216"/>
  <c r="R156" i="216" s="1"/>
  <c r="Q156" i="216"/>
  <c r="O156" i="216"/>
  <c r="D156" i="216"/>
  <c r="EZ155" i="216"/>
  <c r="EP155" i="216"/>
  <c r="EM155" i="216"/>
  <c r="EJ155" i="216"/>
  <c r="EH155" i="216"/>
  <c r="EF155" i="216"/>
  <c r="EC155" i="216"/>
  <c r="DZ155" i="216"/>
  <c r="DX155" i="216"/>
  <c r="DV155" i="216"/>
  <c r="DS155" i="216"/>
  <c r="DP155" i="216"/>
  <c r="DN155" i="216"/>
  <c r="DL155" i="216"/>
  <c r="DI155" i="216"/>
  <c r="DF155" i="216"/>
  <c r="DD155" i="216"/>
  <c r="DB155" i="216"/>
  <c r="CY155" i="216"/>
  <c r="CV155" i="216"/>
  <c r="CT155" i="216"/>
  <c r="CR155" i="216"/>
  <c r="CO155" i="216"/>
  <c r="CL155" i="216"/>
  <c r="CJ155" i="216"/>
  <c r="CH155" i="216"/>
  <c r="CE155" i="216"/>
  <c r="CB155" i="216"/>
  <c r="BZ155" i="216"/>
  <c r="BX155" i="216"/>
  <c r="BU155" i="216"/>
  <c r="BR155" i="216"/>
  <c r="BP155" i="216"/>
  <c r="BN155" i="216"/>
  <c r="BK155" i="216"/>
  <c r="BH155" i="216"/>
  <c r="BF155" i="216"/>
  <c r="BD155" i="216"/>
  <c r="BA155" i="216"/>
  <c r="AX155" i="216"/>
  <c r="AV155" i="216"/>
  <c r="AT155" i="216"/>
  <c r="AQ155" i="216"/>
  <c r="AN155" i="216"/>
  <c r="AL155" i="216"/>
  <c r="AJ155" i="216"/>
  <c r="AG155" i="216"/>
  <c r="AD155" i="216"/>
  <c r="AB155" i="216"/>
  <c r="Z155" i="216"/>
  <c r="W155" i="216"/>
  <c r="T155" i="216"/>
  <c r="R155" i="216"/>
  <c r="P155" i="216"/>
  <c r="EZ154" i="216"/>
  <c r="EP154" i="216"/>
  <c r="EM154" i="216"/>
  <c r="EJ154" i="216"/>
  <c r="EH154" i="216"/>
  <c r="EF154" i="216"/>
  <c r="EC154" i="216"/>
  <c r="DZ154" i="216"/>
  <c r="DX154" i="216"/>
  <c r="DV154" i="216"/>
  <c r="DS154" i="216"/>
  <c r="DP154" i="216"/>
  <c r="DN154" i="216"/>
  <c r="DL154" i="216"/>
  <c r="DI154" i="216"/>
  <c r="DF154" i="216"/>
  <c r="DD154" i="216"/>
  <c r="DB154" i="216"/>
  <c r="CY154" i="216"/>
  <c r="CV154" i="216"/>
  <c r="CT154" i="216"/>
  <c r="CR154" i="216"/>
  <c r="CO154" i="216"/>
  <c r="CL154" i="216"/>
  <c r="CJ154" i="216"/>
  <c r="CH154" i="216"/>
  <c r="CE154" i="216"/>
  <c r="CB154" i="216"/>
  <c r="BZ154" i="216"/>
  <c r="BX154" i="216"/>
  <c r="BV154" i="216"/>
  <c r="BU154" i="216"/>
  <c r="BR154" i="216"/>
  <c r="BP154" i="216"/>
  <c r="BN154" i="216"/>
  <c r="BL154" i="216"/>
  <c r="BK154" i="216"/>
  <c r="BH154" i="216"/>
  <c r="BF154" i="216"/>
  <c r="BD154" i="216"/>
  <c r="BB154" i="216"/>
  <c r="BA154" i="216"/>
  <c r="AX154" i="216"/>
  <c r="AV154" i="216"/>
  <c r="AT154" i="216"/>
  <c r="AR154" i="216"/>
  <c r="AQ154" i="216"/>
  <c r="AN154" i="216"/>
  <c r="AL154" i="216"/>
  <c r="AJ154" i="216"/>
  <c r="AH154" i="216"/>
  <c r="AG154" i="216"/>
  <c r="AD154" i="216"/>
  <c r="AB154" i="216"/>
  <c r="Z154" i="216"/>
  <c r="W154" i="216"/>
  <c r="T154" i="216"/>
  <c r="R154" i="216"/>
  <c r="P154" i="216"/>
  <c r="EP152" i="216"/>
  <c r="EL152" i="216"/>
  <c r="EK152" i="216"/>
  <c r="EI152" i="216"/>
  <c r="EG152" i="216"/>
  <c r="EE152" i="216"/>
  <c r="EM152" i="216" s="1"/>
  <c r="ED152" i="216"/>
  <c r="EC152" i="216"/>
  <c r="DZ152" i="216"/>
  <c r="DX152" i="216"/>
  <c r="DV152" i="216"/>
  <c r="DT152" i="216"/>
  <c r="DS152" i="216"/>
  <c r="DP152" i="216"/>
  <c r="DN152" i="216"/>
  <c r="DL152" i="216"/>
  <c r="DJ152" i="216"/>
  <c r="DI152" i="216"/>
  <c r="DF152" i="216"/>
  <c r="DD152" i="216"/>
  <c r="DB152" i="216"/>
  <c r="CZ152" i="216"/>
  <c r="CY152" i="216"/>
  <c r="CV152" i="216"/>
  <c r="CT152" i="216"/>
  <c r="CR152" i="216"/>
  <c r="CP152" i="216"/>
  <c r="CO152" i="216"/>
  <c r="CL152" i="216"/>
  <c r="CJ152" i="216"/>
  <c r="CH152" i="216"/>
  <c r="CF152" i="216"/>
  <c r="CE152" i="216"/>
  <c r="CB152" i="216"/>
  <c r="BZ152" i="216"/>
  <c r="BX152" i="216"/>
  <c r="BV152" i="216"/>
  <c r="BU152" i="216"/>
  <c r="BR152" i="216"/>
  <c r="BP152" i="216"/>
  <c r="BN152" i="216"/>
  <c r="BL152" i="216"/>
  <c r="BK152" i="216"/>
  <c r="BH152" i="216"/>
  <c r="BF152" i="216"/>
  <c r="BD152" i="216"/>
  <c r="BB152" i="216"/>
  <c r="BA152" i="216"/>
  <c r="AX152" i="216"/>
  <c r="AV152" i="216"/>
  <c r="AT152" i="216"/>
  <c r="AR152" i="216"/>
  <c r="AQ152" i="216"/>
  <c r="AN152" i="216"/>
  <c r="AL152" i="216"/>
  <c r="AJ152" i="216"/>
  <c r="AH152" i="216"/>
  <c r="AG152" i="216"/>
  <c r="AD152" i="216"/>
  <c r="AB152" i="216"/>
  <c r="Z152" i="216"/>
  <c r="X152" i="216"/>
  <c r="W152" i="216" s="1"/>
  <c r="T152" i="216"/>
  <c r="R152" i="216"/>
  <c r="P152" i="216"/>
  <c r="EP151" i="216"/>
  <c r="EL151" i="216"/>
  <c r="EK151" i="216"/>
  <c r="EI151" i="216"/>
  <c r="EG151" i="216"/>
  <c r="EE151" i="216"/>
  <c r="EM151" i="216" s="1"/>
  <c r="ED151" i="216"/>
  <c r="EC151" i="216"/>
  <c r="DZ151" i="216"/>
  <c r="DX151" i="216"/>
  <c r="DV151" i="216"/>
  <c r="DT151" i="216"/>
  <c r="DS151" i="216"/>
  <c r="DP151" i="216"/>
  <c r="DN151" i="216"/>
  <c r="DL151" i="216"/>
  <c r="DJ151" i="216"/>
  <c r="DI151" i="216"/>
  <c r="DF151" i="216"/>
  <c r="DD151" i="216"/>
  <c r="DB151" i="216"/>
  <c r="CZ151" i="216"/>
  <c r="CY151" i="216"/>
  <c r="CV151" i="216"/>
  <c r="CT151" i="216"/>
  <c r="CR151" i="216"/>
  <c r="CO151" i="216"/>
  <c r="CL151" i="216"/>
  <c r="CJ151" i="216"/>
  <c r="CH151" i="216"/>
  <c r="CE151" i="216"/>
  <c r="CB151" i="216"/>
  <c r="BZ151" i="216"/>
  <c r="BX151" i="216"/>
  <c r="BU151" i="216"/>
  <c r="BR151" i="216"/>
  <c r="BP151" i="216"/>
  <c r="BN151" i="216"/>
  <c r="BK151" i="216"/>
  <c r="BH151" i="216"/>
  <c r="BF151" i="216"/>
  <c r="BD151" i="216"/>
  <c r="BA151" i="216"/>
  <c r="AX151" i="216"/>
  <c r="AV151" i="216"/>
  <c r="AT151" i="216"/>
  <c r="AQ151" i="216"/>
  <c r="AN151" i="216"/>
  <c r="AL151" i="216"/>
  <c r="AJ151" i="216"/>
  <c r="AH151" i="216"/>
  <c r="AG151" i="216"/>
  <c r="AD151" i="216"/>
  <c r="AB151" i="216"/>
  <c r="Z151" i="216"/>
  <c r="X151" i="216"/>
  <c r="W151" i="216"/>
  <c r="T151" i="216"/>
  <c r="R151" i="216"/>
  <c r="P151" i="216"/>
  <c r="EP150" i="216"/>
  <c r="EL150" i="216"/>
  <c r="EK150" i="216"/>
  <c r="EJ150" i="216" s="1"/>
  <c r="EI150" i="216"/>
  <c r="EG150" i="216"/>
  <c r="EE150" i="216"/>
  <c r="EM150" i="216" s="1"/>
  <c r="ED150" i="216"/>
  <c r="EC150" i="216"/>
  <c r="DZ150" i="216"/>
  <c r="DX150" i="216"/>
  <c r="DV150" i="216"/>
  <c r="DT150" i="216"/>
  <c r="DS150" i="216"/>
  <c r="DP150" i="216"/>
  <c r="DN150" i="216"/>
  <c r="DL150" i="216"/>
  <c r="DJ150" i="216"/>
  <c r="DI150" i="216"/>
  <c r="DF150" i="216"/>
  <c r="DD150" i="216"/>
  <c r="DB150" i="216"/>
  <c r="CZ150" i="216"/>
  <c r="CY150" i="216"/>
  <c r="CV150" i="216"/>
  <c r="CT150" i="216"/>
  <c r="CR150" i="216"/>
  <c r="CO150" i="216"/>
  <c r="CL150" i="216"/>
  <c r="CJ150" i="216"/>
  <c r="CH150" i="216"/>
  <c r="CE150" i="216"/>
  <c r="CB150" i="216"/>
  <c r="BZ150" i="216"/>
  <c r="BX150" i="216"/>
  <c r="BU150" i="216"/>
  <c r="BR150" i="216"/>
  <c r="BP150" i="216"/>
  <c r="BN150" i="216"/>
  <c r="BK150" i="216"/>
  <c r="BH150" i="216"/>
  <c r="BF150" i="216"/>
  <c r="BD150" i="216"/>
  <c r="BA150" i="216"/>
  <c r="AX150" i="216"/>
  <c r="AV150" i="216"/>
  <c r="AT150" i="216"/>
  <c r="AQ150" i="216"/>
  <c r="AN150" i="216"/>
  <c r="AL150" i="216"/>
  <c r="AJ150" i="216"/>
  <c r="AG150" i="216"/>
  <c r="AD150" i="216"/>
  <c r="AB150" i="216"/>
  <c r="Z150" i="216"/>
  <c r="X150" i="216"/>
  <c r="W150" i="216"/>
  <c r="T150" i="216"/>
  <c r="R150" i="216"/>
  <c r="P150" i="216"/>
  <c r="DY149" i="216"/>
  <c r="DY406" i="216" s="1"/>
  <c r="DW149" i="216"/>
  <c r="DW406" i="216" s="1"/>
  <c r="DU149" i="216"/>
  <c r="DU406" i="216" s="1"/>
  <c r="DR149" i="216"/>
  <c r="DR406" i="216" s="1"/>
  <c r="DO149" i="216"/>
  <c r="DO406" i="216" s="1"/>
  <c r="DM149" i="216"/>
  <c r="DM406" i="216" s="1"/>
  <c r="DK149" i="216"/>
  <c r="DK406" i="216" s="1"/>
  <c r="DH149" i="216"/>
  <c r="DH406" i="216" s="1"/>
  <c r="DE149" i="216"/>
  <c r="DC149" i="216"/>
  <c r="DC406" i="216" s="1"/>
  <c r="DA149" i="216"/>
  <c r="DA406" i="216" s="1"/>
  <c r="CX149" i="216"/>
  <c r="CX406" i="216" s="1"/>
  <c r="CU149" i="216"/>
  <c r="CU406" i="216" s="1"/>
  <c r="CS149" i="216"/>
  <c r="CS406" i="216" s="1"/>
  <c r="CQ149" i="216"/>
  <c r="CQ406" i="216" s="1"/>
  <c r="CN149" i="216"/>
  <c r="CN406" i="216" s="1"/>
  <c r="CM149" i="216"/>
  <c r="CM406" i="216" s="1"/>
  <c r="CK149" i="216"/>
  <c r="CK406" i="216" s="1"/>
  <c r="CI149" i="216"/>
  <c r="CI406" i="216" s="1"/>
  <c r="CD149" i="216"/>
  <c r="CD406" i="216" s="1"/>
  <c r="CA149" i="216"/>
  <c r="BY149" i="216"/>
  <c r="BY406" i="216" s="1"/>
  <c r="BW149" i="216"/>
  <c r="BW406" i="216" s="1"/>
  <c r="BT149" i="216"/>
  <c r="BT406" i="216" s="1"/>
  <c r="BM149" i="216"/>
  <c r="BM406" i="216" s="1"/>
  <c r="BJ149" i="216"/>
  <c r="BJ406" i="216" s="1"/>
  <c r="BI149" i="216"/>
  <c r="BG149" i="216"/>
  <c r="BG406" i="216" s="1"/>
  <c r="BE149" i="216"/>
  <c r="BE406" i="216" s="1"/>
  <c r="BC149" i="216"/>
  <c r="BC406" i="216" s="1"/>
  <c r="AZ149" i="216"/>
  <c r="AZ406" i="216" s="1"/>
  <c r="AY149" i="216"/>
  <c r="AW149" i="216"/>
  <c r="AW406" i="216" s="1"/>
  <c r="AU149" i="216"/>
  <c r="AU406" i="216" s="1"/>
  <c r="AS149" i="216"/>
  <c r="AS406" i="216" s="1"/>
  <c r="AP149" i="216"/>
  <c r="AP406" i="216" s="1"/>
  <c r="AM149" i="216"/>
  <c r="AM406" i="216" s="1"/>
  <c r="AK149" i="216"/>
  <c r="AI149" i="216"/>
  <c r="AI406" i="216" s="1"/>
  <c r="AF149" i="216"/>
  <c r="AF406" i="216" s="1"/>
  <c r="AC149" i="216"/>
  <c r="AA149" i="216"/>
  <c r="AA406" i="216" s="1"/>
  <c r="Y149" i="216"/>
  <c r="Y406" i="216" s="1"/>
  <c r="V149" i="216"/>
  <c r="V406" i="216" s="1"/>
  <c r="S149" i="216"/>
  <c r="S406" i="216" s="1"/>
  <c r="Q149" i="216"/>
  <c r="Q406" i="216" s="1"/>
  <c r="O149" i="216"/>
  <c r="O406" i="216" s="1"/>
  <c r="D149" i="216"/>
  <c r="DY148" i="216"/>
  <c r="DW148" i="216"/>
  <c r="DW405" i="216" s="1"/>
  <c r="DU148" i="216"/>
  <c r="DU405" i="216" s="1"/>
  <c r="DR148" i="216"/>
  <c r="DR405" i="216" s="1"/>
  <c r="DO148" i="216"/>
  <c r="DO405" i="216" s="1"/>
  <c r="DM148" i="216"/>
  <c r="DM405" i="216" s="1"/>
  <c r="DK148" i="216"/>
  <c r="DH148" i="216"/>
  <c r="DH405" i="216" s="1"/>
  <c r="DE148" i="216"/>
  <c r="DE405" i="216" s="1"/>
  <c r="DC148" i="216"/>
  <c r="DA148" i="216"/>
  <c r="CX148" i="216"/>
  <c r="CX405" i="216" s="1"/>
  <c r="CS148" i="216"/>
  <c r="CQ148" i="216"/>
  <c r="CQ405" i="216" s="1"/>
  <c r="CN148" i="216"/>
  <c r="CN405" i="216" s="1"/>
  <c r="CK148" i="216"/>
  <c r="CI148" i="216"/>
  <c r="CI405" i="216" s="1"/>
  <c r="CG148" i="216"/>
  <c r="CG405" i="216" s="1"/>
  <c r="CD148" i="216"/>
  <c r="CD405" i="216" s="1"/>
  <c r="CA148" i="216"/>
  <c r="CA405" i="216" s="1"/>
  <c r="BY148" i="216"/>
  <c r="BY405" i="216" s="1"/>
  <c r="BW148" i="216"/>
  <c r="BT148" i="216"/>
  <c r="BT405" i="216" s="1"/>
  <c r="BQ148" i="216"/>
  <c r="BQ405" i="216" s="1"/>
  <c r="BO148" i="216"/>
  <c r="BM148" i="216"/>
  <c r="BJ148" i="216"/>
  <c r="BJ405" i="216" s="1"/>
  <c r="BG148" i="216"/>
  <c r="BE148" i="216"/>
  <c r="BC148" i="216"/>
  <c r="BC405" i="216" s="1"/>
  <c r="AZ148" i="216"/>
  <c r="AZ405" i="216" s="1"/>
  <c r="AW148" i="216"/>
  <c r="AU148" i="216"/>
  <c r="AU405" i="216" s="1"/>
  <c r="AS148" i="216"/>
  <c r="AS405" i="216" s="1"/>
  <c r="AP148" i="216"/>
  <c r="AP405" i="216" s="1"/>
  <c r="AM148" i="216"/>
  <c r="AM405" i="216" s="1"/>
  <c r="AK148" i="216"/>
  <c r="AK405" i="216" s="1"/>
  <c r="AI148" i="216"/>
  <c r="AF148" i="216"/>
  <c r="AF405" i="216" s="1"/>
  <c r="AC148" i="216"/>
  <c r="AC405" i="216" s="1"/>
  <c r="AA148" i="216"/>
  <c r="Y148" i="216"/>
  <c r="Y405" i="216" s="1"/>
  <c r="V148" i="216"/>
  <c r="V405" i="216" s="1"/>
  <c r="S148" i="216"/>
  <c r="Q148" i="216"/>
  <c r="O148" i="216"/>
  <c r="O405" i="216" s="1"/>
  <c r="D148" i="216"/>
  <c r="EB147" i="216"/>
  <c r="EA147" i="216"/>
  <c r="DY147" i="216"/>
  <c r="DW147" i="216"/>
  <c r="DR147" i="216"/>
  <c r="DQ147" i="216"/>
  <c r="DM147" i="216"/>
  <c r="DH147" i="216"/>
  <c r="DE147" i="216"/>
  <c r="DC147" i="216"/>
  <c r="DA147" i="216"/>
  <c r="CX147" i="216"/>
  <c r="CW147" i="216"/>
  <c r="CU147" i="216"/>
  <c r="CS147" i="216"/>
  <c r="CN147" i="216"/>
  <c r="CM147" i="216"/>
  <c r="CK147" i="216"/>
  <c r="CI147" i="216"/>
  <c r="CD147" i="216"/>
  <c r="CC147" i="216"/>
  <c r="CA147" i="216"/>
  <c r="BY147" i="216"/>
  <c r="BW147" i="216"/>
  <c r="BT147" i="216"/>
  <c r="BS147" i="216"/>
  <c r="BR147" i="216" s="1"/>
  <c r="BQ147" i="216"/>
  <c r="BP147" i="216" s="1"/>
  <c r="BO147" i="216"/>
  <c r="BM147" i="216"/>
  <c r="BJ147" i="216"/>
  <c r="BI147" i="216"/>
  <c r="BG147" i="216"/>
  <c r="BF147" i="216" s="1"/>
  <c r="BE147" i="216"/>
  <c r="BC147" i="216"/>
  <c r="AZ147" i="216"/>
  <c r="AY147" i="216"/>
  <c r="AX147" i="216" s="1"/>
  <c r="AW147" i="216"/>
  <c r="AU147" i="216"/>
  <c r="AT147" i="216" s="1"/>
  <c r="AS147" i="216"/>
  <c r="BA147" i="216" s="1"/>
  <c r="AP147" i="216"/>
  <c r="AM147" i="216"/>
  <c r="AK147" i="216"/>
  <c r="AJ147" i="216" s="1"/>
  <c r="AI147" i="216"/>
  <c r="AF147" i="216"/>
  <c r="AE147" i="216"/>
  <c r="AC147" i="216"/>
  <c r="AA147" i="216"/>
  <c r="Y147" i="216"/>
  <c r="V147" i="216"/>
  <c r="U147" i="216"/>
  <c r="S147" i="216"/>
  <c r="Q147" i="216"/>
  <c r="O147" i="216"/>
  <c r="D147" i="216"/>
  <c r="EB146" i="216"/>
  <c r="EA146" i="216"/>
  <c r="DY146" i="216"/>
  <c r="DW146" i="216"/>
  <c r="DU146" i="216"/>
  <c r="DR146" i="216"/>
  <c r="DO146" i="216"/>
  <c r="DM146" i="216"/>
  <c r="DK146" i="216"/>
  <c r="DH146" i="216"/>
  <c r="DG146" i="216"/>
  <c r="DE146" i="216"/>
  <c r="DC146" i="216"/>
  <c r="DA146" i="216"/>
  <c r="CX146" i="216"/>
  <c r="CW146" i="216"/>
  <c r="CU146" i="216"/>
  <c r="CS146" i="216"/>
  <c r="CQ146" i="216"/>
  <c r="CN146" i="216"/>
  <c r="CM146" i="216"/>
  <c r="CK146" i="216"/>
  <c r="CI146" i="216"/>
  <c r="CG146" i="216"/>
  <c r="CD146" i="216"/>
  <c r="CC146" i="216"/>
  <c r="CA146" i="216"/>
  <c r="BY146" i="216"/>
  <c r="BW146" i="216"/>
  <c r="BT146" i="216"/>
  <c r="BS146" i="216"/>
  <c r="BQ146" i="216"/>
  <c r="BO146" i="216"/>
  <c r="BM146" i="216"/>
  <c r="BJ146" i="216"/>
  <c r="BI146" i="216"/>
  <c r="BG146" i="216"/>
  <c r="BE146" i="216"/>
  <c r="BC146" i="216"/>
  <c r="AZ146" i="216"/>
  <c r="AY146" i="216"/>
  <c r="AX146" i="216" s="1"/>
  <c r="AW146" i="216"/>
  <c r="AU146" i="216"/>
  <c r="AS146" i="216"/>
  <c r="AP146" i="216"/>
  <c r="AO146" i="216"/>
  <c r="AM146" i="216"/>
  <c r="AK146" i="216"/>
  <c r="AI146" i="216"/>
  <c r="AF146" i="216"/>
  <c r="AE146" i="216"/>
  <c r="AC146" i="216"/>
  <c r="AA146" i="216"/>
  <c r="Y146" i="216"/>
  <c r="V146" i="216"/>
  <c r="U146" i="216"/>
  <c r="S146" i="216"/>
  <c r="Q146" i="216"/>
  <c r="O146" i="216"/>
  <c r="D146" i="216"/>
  <c r="EB145" i="216"/>
  <c r="EB404" i="216" s="1"/>
  <c r="EA145" i="216"/>
  <c r="EA404" i="216" s="1"/>
  <c r="DY145" i="216"/>
  <c r="DW145" i="216"/>
  <c r="DW404" i="216" s="1"/>
  <c r="DU145" i="216"/>
  <c r="DU404" i="216" s="1"/>
  <c r="DR145" i="216"/>
  <c r="DQ145" i="216"/>
  <c r="DQ404" i="216" s="1"/>
  <c r="DO145" i="216"/>
  <c r="DM145" i="216"/>
  <c r="DM404" i="216" s="1"/>
  <c r="DK145" i="216"/>
  <c r="DK404" i="216" s="1"/>
  <c r="DH145" i="216"/>
  <c r="DH404" i="216" s="1"/>
  <c r="DG145" i="216"/>
  <c r="DG404" i="216" s="1"/>
  <c r="DE145" i="216"/>
  <c r="DE404" i="216" s="1"/>
  <c r="DC145" i="216"/>
  <c r="DA145" i="216"/>
  <c r="DA404" i="216" s="1"/>
  <c r="CX145" i="216"/>
  <c r="CX404" i="216" s="1"/>
  <c r="CW145" i="216"/>
  <c r="CW404" i="216" s="1"/>
  <c r="CU145" i="216"/>
  <c r="CS145" i="216"/>
  <c r="CQ145" i="216"/>
  <c r="CQ404" i="216" s="1"/>
  <c r="CN145" i="216"/>
  <c r="CN404" i="216" s="1"/>
  <c r="CM145" i="216"/>
  <c r="CM404" i="216" s="1"/>
  <c r="CK145" i="216"/>
  <c r="CI145" i="216"/>
  <c r="CI404" i="216" s="1"/>
  <c r="CG145" i="216"/>
  <c r="CG404" i="216" s="1"/>
  <c r="CD145" i="216"/>
  <c r="CC145" i="216"/>
  <c r="CC404" i="216" s="1"/>
  <c r="CA145" i="216"/>
  <c r="BY145" i="216"/>
  <c r="BY404" i="216" s="1"/>
  <c r="BW145" i="216"/>
  <c r="BW404" i="216" s="1"/>
  <c r="BT145" i="216"/>
  <c r="BT404" i="216" s="1"/>
  <c r="BS145" i="216"/>
  <c r="BS404" i="216" s="1"/>
  <c r="BQ145" i="216"/>
  <c r="BQ404" i="216" s="1"/>
  <c r="BO145" i="216"/>
  <c r="BO404" i="216" s="1"/>
  <c r="BM145" i="216"/>
  <c r="BJ145" i="216"/>
  <c r="BI145" i="216"/>
  <c r="BI404" i="216" s="1"/>
  <c r="BG145" i="216"/>
  <c r="BG404" i="216" s="1"/>
  <c r="BE145" i="216"/>
  <c r="BE404" i="216" s="1"/>
  <c r="BD145" i="216"/>
  <c r="BC145" i="216"/>
  <c r="BC404" i="216" s="1"/>
  <c r="AZ145" i="216"/>
  <c r="AZ404" i="216" s="1"/>
  <c r="AY145" i="216"/>
  <c r="AW145" i="216"/>
  <c r="AW404" i="216" s="1"/>
  <c r="AU145" i="216"/>
  <c r="AU404" i="216" s="1"/>
  <c r="AS145" i="216"/>
  <c r="AS404" i="216" s="1"/>
  <c r="AP145" i="216"/>
  <c r="AO145" i="216"/>
  <c r="AM145" i="216"/>
  <c r="AM404" i="216" s="1"/>
  <c r="AK145" i="216"/>
  <c r="AK404" i="216" s="1"/>
  <c r="AI145" i="216"/>
  <c r="AI404" i="216" s="1"/>
  <c r="AF145" i="216"/>
  <c r="AF404" i="216" s="1"/>
  <c r="AE145" i="216"/>
  <c r="AE404" i="216" s="1"/>
  <c r="AC145" i="216"/>
  <c r="AC404" i="216" s="1"/>
  <c r="AA145" i="216"/>
  <c r="Y145" i="216"/>
  <c r="Y404" i="216" s="1"/>
  <c r="V145" i="216"/>
  <c r="V404" i="216" s="1"/>
  <c r="U145" i="216"/>
  <c r="U404" i="216" s="1"/>
  <c r="S145" i="216"/>
  <c r="S404" i="216" s="1"/>
  <c r="Q145" i="216"/>
  <c r="O145" i="216"/>
  <c r="O404" i="216" s="1"/>
  <c r="D145" i="216"/>
  <c r="EZ144" i="216"/>
  <c r="EP144" i="216"/>
  <c r="EM144" i="216"/>
  <c r="EJ144" i="216"/>
  <c r="EH144" i="216"/>
  <c r="EF144" i="216"/>
  <c r="EC144" i="216"/>
  <c r="DZ144" i="216"/>
  <c r="DX144" i="216"/>
  <c r="DV144" i="216"/>
  <c r="DT144" i="216"/>
  <c r="DS144" i="216"/>
  <c r="DP144" i="216"/>
  <c r="DN144" i="216"/>
  <c r="DL144" i="216"/>
  <c r="DJ144" i="216"/>
  <c r="DI144" i="216"/>
  <c r="DF144" i="216"/>
  <c r="DD144" i="216"/>
  <c r="DB144" i="216"/>
  <c r="CZ144" i="216"/>
  <c r="CY144" i="216"/>
  <c r="CV144" i="216"/>
  <c r="CT144" i="216"/>
  <c r="CR144" i="216"/>
  <c r="CO144" i="216"/>
  <c r="CL144" i="216"/>
  <c r="CJ144" i="216"/>
  <c r="CH144" i="216"/>
  <c r="CE144" i="216"/>
  <c r="CB144" i="216"/>
  <c r="BZ144" i="216"/>
  <c r="BX144" i="216"/>
  <c r="BU144" i="216"/>
  <c r="BR144" i="216"/>
  <c r="BP144" i="216"/>
  <c r="BN144" i="216"/>
  <c r="BK144" i="216"/>
  <c r="BH144" i="216"/>
  <c r="BF144" i="216"/>
  <c r="BD144" i="216"/>
  <c r="BA144" i="216"/>
  <c r="AX144" i="216"/>
  <c r="AV144" i="216"/>
  <c r="AT144" i="216"/>
  <c r="AQ144" i="216"/>
  <c r="AN144" i="216"/>
  <c r="AL144" i="216"/>
  <c r="AJ144" i="216"/>
  <c r="AG144" i="216"/>
  <c r="AD144" i="216"/>
  <c r="AB144" i="216"/>
  <c r="Z144" i="216"/>
  <c r="W144" i="216"/>
  <c r="T144" i="216"/>
  <c r="R144" i="216"/>
  <c r="P144" i="216"/>
  <c r="EZ143" i="216"/>
  <c r="EP143" i="216"/>
  <c r="EM143" i="216"/>
  <c r="EJ143" i="216"/>
  <c r="EH143" i="216"/>
  <c r="EF143" i="216"/>
  <c r="EC143" i="216"/>
  <c r="DZ143" i="216"/>
  <c r="DX143" i="216"/>
  <c r="DV143" i="216"/>
  <c r="DT143" i="216"/>
  <c r="DS143" i="216"/>
  <c r="DP143" i="216"/>
  <c r="DN143" i="216"/>
  <c r="DL143" i="216"/>
  <c r="DJ143" i="216"/>
  <c r="DI143" i="216"/>
  <c r="DF143" i="216"/>
  <c r="DD143" i="216"/>
  <c r="DB143" i="216"/>
  <c r="CZ143" i="216"/>
  <c r="CY143" i="216"/>
  <c r="CV143" i="216"/>
  <c r="CT143" i="216"/>
  <c r="CR143" i="216"/>
  <c r="CP143" i="216"/>
  <c r="CO143" i="216"/>
  <c r="CL143" i="216"/>
  <c r="CJ143" i="216"/>
  <c r="CH143" i="216"/>
  <c r="CF143" i="216"/>
  <c r="CE143" i="216"/>
  <c r="CB143" i="216"/>
  <c r="BZ143" i="216"/>
  <c r="BX143" i="216"/>
  <c r="BV143" i="216"/>
  <c r="BU143" i="216"/>
  <c r="BR143" i="216"/>
  <c r="BP143" i="216"/>
  <c r="BN143" i="216"/>
  <c r="BL143" i="216"/>
  <c r="BK143" i="216"/>
  <c r="BH143" i="216"/>
  <c r="BF143" i="216"/>
  <c r="BD143" i="216"/>
  <c r="BB143" i="216"/>
  <c r="BA143" i="216"/>
  <c r="AX143" i="216"/>
  <c r="AV143" i="216"/>
  <c r="AT143" i="216"/>
  <c r="AR143" i="216"/>
  <c r="AQ143" i="216"/>
  <c r="AN143" i="216"/>
  <c r="AL143" i="216"/>
  <c r="AJ143" i="216"/>
  <c r="AH143" i="216"/>
  <c r="AG143" i="216"/>
  <c r="AD143" i="216"/>
  <c r="AB143" i="216"/>
  <c r="Z143" i="216"/>
  <c r="W143" i="216"/>
  <c r="T143" i="216"/>
  <c r="R143" i="216"/>
  <c r="P143" i="216"/>
  <c r="EZ142" i="216"/>
  <c r="EP142" i="216"/>
  <c r="EM142" i="216"/>
  <c r="EJ142" i="216"/>
  <c r="EH142" i="216"/>
  <c r="EF142" i="216"/>
  <c r="EC142" i="216"/>
  <c r="DZ142" i="216"/>
  <c r="DX142" i="216"/>
  <c r="DV142" i="216"/>
  <c r="DS142" i="216"/>
  <c r="DP142" i="216"/>
  <c r="DN142" i="216"/>
  <c r="DL142" i="216"/>
  <c r="DI142" i="216"/>
  <c r="DF142" i="216"/>
  <c r="DD142" i="216"/>
  <c r="DB142" i="216"/>
  <c r="CY142" i="216"/>
  <c r="CV142" i="216"/>
  <c r="CT142" i="216"/>
  <c r="CR142" i="216"/>
  <c r="CO142" i="216"/>
  <c r="CL142" i="216"/>
  <c r="CJ142" i="216"/>
  <c r="CH142" i="216"/>
  <c r="CE142" i="216"/>
  <c r="CB142" i="216"/>
  <c r="BZ142" i="216"/>
  <c r="BX142" i="216"/>
  <c r="BU142" i="216"/>
  <c r="BR142" i="216"/>
  <c r="BP142" i="216"/>
  <c r="BN142" i="216"/>
  <c r="BK142" i="216"/>
  <c r="BH142" i="216"/>
  <c r="BF142" i="216"/>
  <c r="BD142" i="216"/>
  <c r="BA142" i="216"/>
  <c r="AX142" i="216"/>
  <c r="AV142" i="216"/>
  <c r="AT142" i="216"/>
  <c r="AQ142" i="216"/>
  <c r="AN142" i="216"/>
  <c r="AL142" i="216"/>
  <c r="AJ142" i="216"/>
  <c r="AH142" i="216"/>
  <c r="AG142" i="216"/>
  <c r="AD142" i="216"/>
  <c r="AB142" i="216"/>
  <c r="Z142" i="216"/>
  <c r="W142" i="216"/>
  <c r="T142" i="216"/>
  <c r="R142" i="216"/>
  <c r="P142" i="216"/>
  <c r="EP140" i="216"/>
  <c r="EL140" i="216"/>
  <c r="EK140" i="216"/>
  <c r="EJ140" i="216" s="1"/>
  <c r="EI140" i="216"/>
  <c r="EG140" i="216"/>
  <c r="EE140" i="216"/>
  <c r="EM140" i="216" s="1"/>
  <c r="ED140" i="216"/>
  <c r="EC140" i="216"/>
  <c r="DZ140" i="216"/>
  <c r="DX140" i="216"/>
  <c r="DV140" i="216"/>
  <c r="DT140" i="216"/>
  <c r="DS140" i="216"/>
  <c r="DP140" i="216"/>
  <c r="DN140" i="216"/>
  <c r="DL140" i="216"/>
  <c r="DJ140" i="216"/>
  <c r="DI140" i="216"/>
  <c r="DF140" i="216"/>
  <c r="DD140" i="216"/>
  <c r="DB140" i="216"/>
  <c r="CZ140" i="216"/>
  <c r="CY140" i="216"/>
  <c r="CV140" i="216"/>
  <c r="CT140" i="216"/>
  <c r="CR140" i="216"/>
  <c r="CP140" i="216"/>
  <c r="CO140" i="216"/>
  <c r="CL140" i="216"/>
  <c r="CJ140" i="216"/>
  <c r="CH140" i="216"/>
  <c r="CF140" i="216"/>
  <c r="CE140" i="216"/>
  <c r="CB140" i="216"/>
  <c r="BZ140" i="216"/>
  <c r="BX140" i="216"/>
  <c r="BV140" i="216"/>
  <c r="BU140" i="216"/>
  <c r="BR140" i="216"/>
  <c r="BP140" i="216"/>
  <c r="BN140" i="216"/>
  <c r="BL140" i="216"/>
  <c r="BK140" i="216"/>
  <c r="BH140" i="216"/>
  <c r="BF140" i="216"/>
  <c r="BD140" i="216"/>
  <c r="BB140" i="216"/>
  <c r="BA140" i="216"/>
  <c r="AX140" i="216"/>
  <c r="AV140" i="216"/>
  <c r="AT140" i="216"/>
  <c r="AR140" i="216"/>
  <c r="AQ140" i="216"/>
  <c r="AN140" i="216"/>
  <c r="AL140" i="216"/>
  <c r="AJ140" i="216"/>
  <c r="AH140" i="216"/>
  <c r="AG140" i="216"/>
  <c r="AD140" i="216"/>
  <c r="AB140" i="216"/>
  <c r="Z140" i="216"/>
  <c r="X140" i="216"/>
  <c r="W140" i="216" s="1"/>
  <c r="T140" i="216"/>
  <c r="R140" i="216"/>
  <c r="P140" i="216"/>
  <c r="DY139" i="216"/>
  <c r="DW139" i="216"/>
  <c r="DW141" i="216" s="1"/>
  <c r="DU139" i="216"/>
  <c r="DU141" i="216" s="1"/>
  <c r="DR139" i="216"/>
  <c r="DQ139" i="216"/>
  <c r="DM139" i="216"/>
  <c r="DM141" i="216" s="1"/>
  <c r="DH139" i="216"/>
  <c r="DG139" i="216"/>
  <c r="DE139" i="216"/>
  <c r="DE141" i="216" s="1"/>
  <c r="DC139" i="216"/>
  <c r="DA139" i="216"/>
  <c r="CX139" i="216"/>
  <c r="CU139" i="216"/>
  <c r="CS139" i="216"/>
  <c r="CQ139" i="216"/>
  <c r="CN139" i="216"/>
  <c r="CM139" i="216"/>
  <c r="CI139" i="216"/>
  <c r="CI141" i="216" s="1"/>
  <c r="CD139" i="216"/>
  <c r="BY139" i="216"/>
  <c r="BY141" i="216" s="1"/>
  <c r="BT139" i="216"/>
  <c r="BO139" i="216"/>
  <c r="BJ139" i="216"/>
  <c r="BI139" i="216"/>
  <c r="BI141" i="216" s="1"/>
  <c r="BG139" i="216"/>
  <c r="BE139" i="216"/>
  <c r="BC139" i="216"/>
  <c r="BK139" i="216" s="1"/>
  <c r="AZ139" i="216"/>
  <c r="AZ141" i="216" s="1"/>
  <c r="AY139" i="216"/>
  <c r="AW139" i="216"/>
  <c r="AU139" i="216"/>
  <c r="AU141" i="216" s="1"/>
  <c r="AT141" i="216" s="1"/>
  <c r="AS139" i="216"/>
  <c r="AS141" i="216" s="1"/>
  <c r="BA141" i="216" s="1"/>
  <c r="AP139" i="216"/>
  <c r="AP141" i="216" s="1"/>
  <c r="AO139" i="216"/>
  <c r="AM139" i="216"/>
  <c r="AM141" i="216" s="1"/>
  <c r="AK139" i="216"/>
  <c r="AK141" i="216" s="1"/>
  <c r="AI139" i="216"/>
  <c r="AI141" i="216" s="1"/>
  <c r="AQ141" i="216" s="1"/>
  <c r="AF139" i="216"/>
  <c r="AF141" i="216" s="1"/>
  <c r="AE139" i="216"/>
  <c r="AC139" i="216"/>
  <c r="AC141" i="216" s="1"/>
  <c r="AA139" i="216"/>
  <c r="Y139" i="216"/>
  <c r="V139" i="216"/>
  <c r="U139" i="216"/>
  <c r="U141" i="216" s="1"/>
  <c r="S139" i="216"/>
  <c r="Q139" i="216"/>
  <c r="O139" i="216"/>
  <c r="O141" i="216" s="1"/>
  <c r="D139" i="216"/>
  <c r="EZ138" i="216"/>
  <c r="EP138" i="216"/>
  <c r="EM138" i="216"/>
  <c r="EJ138" i="216"/>
  <c r="EH138" i="216"/>
  <c r="EF138" i="216"/>
  <c r="ED138" i="216"/>
  <c r="EC138" i="216"/>
  <c r="DZ138" i="216"/>
  <c r="DX138" i="216"/>
  <c r="DV138" i="216"/>
  <c r="DT138" i="216"/>
  <c r="DS138" i="216"/>
  <c r="DP138" i="216"/>
  <c r="DN138" i="216"/>
  <c r="DL138" i="216"/>
  <c r="DJ138" i="216"/>
  <c r="DI138" i="216"/>
  <c r="DF138" i="216"/>
  <c r="DD138" i="216"/>
  <c r="DB138" i="216"/>
  <c r="CZ138" i="216"/>
  <c r="CY138" i="216"/>
  <c r="CV138" i="216"/>
  <c r="CT138" i="216"/>
  <c r="CR138" i="216"/>
  <c r="CP138" i="216"/>
  <c r="CO138" i="216"/>
  <c r="CL138" i="216"/>
  <c r="CJ138" i="216"/>
  <c r="CH138" i="216"/>
  <c r="CF138" i="216"/>
  <c r="CE138" i="216"/>
  <c r="CB138" i="216"/>
  <c r="BZ138" i="216"/>
  <c r="BX138" i="216"/>
  <c r="BV138" i="216"/>
  <c r="BU138" i="216"/>
  <c r="BR138" i="216"/>
  <c r="BP138" i="216"/>
  <c r="BN138" i="216"/>
  <c r="BL138" i="216"/>
  <c r="BK138" i="216"/>
  <c r="BH138" i="216"/>
  <c r="BF138" i="216"/>
  <c r="BD138" i="216"/>
  <c r="BB138" i="216"/>
  <c r="BA138" i="216"/>
  <c r="AX138" i="216"/>
  <c r="AV138" i="216"/>
  <c r="AT138" i="216"/>
  <c r="AR138" i="216"/>
  <c r="AQ138" i="216"/>
  <c r="AN138" i="216"/>
  <c r="AL138" i="216"/>
  <c r="AJ138" i="216"/>
  <c r="AH138" i="216"/>
  <c r="AG138" i="216"/>
  <c r="AD138" i="216"/>
  <c r="AB138" i="216"/>
  <c r="Z138" i="216"/>
  <c r="X138" i="216"/>
  <c r="W138" i="216"/>
  <c r="T138" i="216"/>
  <c r="R138" i="216"/>
  <c r="P138" i="216"/>
  <c r="EZ137" i="216"/>
  <c r="EP137" i="216"/>
  <c r="EM137" i="216"/>
  <c r="EJ137" i="216"/>
  <c r="EH137" i="216"/>
  <c r="EF137" i="216"/>
  <c r="ED137" i="216"/>
  <c r="EC137" i="216"/>
  <c r="DZ137" i="216"/>
  <c r="DX137" i="216"/>
  <c r="DV137" i="216"/>
  <c r="DT137" i="216"/>
  <c r="DS137" i="216"/>
  <c r="DP137" i="216"/>
  <c r="DN137" i="216"/>
  <c r="DL137" i="216"/>
  <c r="DJ137" i="216"/>
  <c r="DI137" i="216"/>
  <c r="DF137" i="216"/>
  <c r="DD137" i="216"/>
  <c r="DB137" i="216"/>
  <c r="CZ137" i="216"/>
  <c r="CY137" i="216"/>
  <c r="CV137" i="216"/>
  <c r="CT137" i="216"/>
  <c r="CR137" i="216"/>
  <c r="CP137" i="216"/>
  <c r="CO137" i="216"/>
  <c r="CL137" i="216"/>
  <c r="CJ137" i="216"/>
  <c r="CH137" i="216"/>
  <c r="CF137" i="216"/>
  <c r="CE137" i="216"/>
  <c r="CB137" i="216"/>
  <c r="BZ137" i="216"/>
  <c r="BX137" i="216"/>
  <c r="BV137" i="216"/>
  <c r="BU137" i="216"/>
  <c r="BR137" i="216"/>
  <c r="BP137" i="216"/>
  <c r="BN137" i="216"/>
  <c r="BL137" i="216"/>
  <c r="BK137" i="216"/>
  <c r="BH137" i="216"/>
  <c r="BF137" i="216"/>
  <c r="BD137" i="216"/>
  <c r="BB137" i="216"/>
  <c r="BA137" i="216"/>
  <c r="AX137" i="216"/>
  <c r="AV137" i="216"/>
  <c r="AT137" i="216"/>
  <c r="AR137" i="216"/>
  <c r="AQ137" i="216"/>
  <c r="AN137" i="216"/>
  <c r="AL137" i="216"/>
  <c r="AJ137" i="216"/>
  <c r="AH137" i="216"/>
  <c r="AG137" i="216"/>
  <c r="AD137" i="216"/>
  <c r="AB137" i="216"/>
  <c r="Z137" i="216"/>
  <c r="X137" i="216"/>
  <c r="W137" i="216" s="1"/>
  <c r="T137" i="216"/>
  <c r="R137" i="216"/>
  <c r="P137" i="216"/>
  <c r="EP135" i="216"/>
  <c r="EM135" i="216"/>
  <c r="EL135" i="216"/>
  <c r="EK135" i="216"/>
  <c r="EJ135" i="216" s="1"/>
  <c r="EI135" i="216"/>
  <c r="EG135" i="216"/>
  <c r="EN135" i="216" s="1"/>
  <c r="EE135" i="216"/>
  <c r="ED135" i="216"/>
  <c r="EC135" i="216"/>
  <c r="DZ135" i="216"/>
  <c r="DX135" i="216"/>
  <c r="DV135" i="216"/>
  <c r="DT135" i="216"/>
  <c r="DS135" i="216"/>
  <c r="DP135" i="216"/>
  <c r="DN135" i="216"/>
  <c r="DL135" i="216"/>
  <c r="DJ135" i="216"/>
  <c r="DI135" i="216"/>
  <c r="DF135" i="216"/>
  <c r="DD135" i="216"/>
  <c r="DB135" i="216"/>
  <c r="CZ135" i="216"/>
  <c r="CY135" i="216"/>
  <c r="CV135" i="216"/>
  <c r="CT135" i="216"/>
  <c r="CR135" i="216"/>
  <c r="CP135" i="216"/>
  <c r="CO135" i="216"/>
  <c r="CL135" i="216"/>
  <c r="CJ135" i="216"/>
  <c r="CH135" i="216"/>
  <c r="CF135" i="216"/>
  <c r="CE135" i="216"/>
  <c r="CB135" i="216"/>
  <c r="BZ135" i="216"/>
  <c r="BX135" i="216"/>
  <c r="BV135" i="216"/>
  <c r="BU135" i="216"/>
  <c r="BR135" i="216"/>
  <c r="BP135" i="216"/>
  <c r="BN135" i="216"/>
  <c r="BL135" i="216"/>
  <c r="BK135" i="216"/>
  <c r="BH135" i="216"/>
  <c r="BF135" i="216"/>
  <c r="BD135" i="216"/>
  <c r="BB135" i="216"/>
  <c r="BA135" i="216"/>
  <c r="AX135" i="216"/>
  <c r="AV135" i="216"/>
  <c r="AT135" i="216"/>
  <c r="AR135" i="216"/>
  <c r="AQ135" i="216"/>
  <c r="AN135" i="216"/>
  <c r="AL135" i="216"/>
  <c r="AJ135" i="216"/>
  <c r="AH135" i="216"/>
  <c r="AG135" i="216"/>
  <c r="AD135" i="216"/>
  <c r="AB135" i="216"/>
  <c r="Z135" i="216"/>
  <c r="X135" i="216"/>
  <c r="W135" i="216" s="1"/>
  <c r="T135" i="216"/>
  <c r="R135" i="216"/>
  <c r="P135" i="216"/>
  <c r="EP134" i="216"/>
  <c r="EM134" i="216"/>
  <c r="EL134" i="216"/>
  <c r="EK134" i="216"/>
  <c r="EJ134" i="216" s="1"/>
  <c r="EI134" i="216"/>
  <c r="EZ134" i="216" s="1"/>
  <c r="EG134" i="216"/>
  <c r="EE134" i="216"/>
  <c r="ED134" i="216"/>
  <c r="EC134" i="216"/>
  <c r="DZ134" i="216"/>
  <c r="DX134" i="216"/>
  <c r="DV134" i="216"/>
  <c r="DT134" i="216"/>
  <c r="DS134" i="216"/>
  <c r="DP134" i="216"/>
  <c r="DN134" i="216"/>
  <c r="DL134" i="216"/>
  <c r="DJ134" i="216"/>
  <c r="DI134" i="216"/>
  <c r="DF134" i="216"/>
  <c r="DD134" i="216"/>
  <c r="DB134" i="216"/>
  <c r="CZ134" i="216"/>
  <c r="CY134" i="216"/>
  <c r="CV134" i="216"/>
  <c r="CT134" i="216"/>
  <c r="CR134" i="216"/>
  <c r="CP134" i="216"/>
  <c r="CO134" i="216"/>
  <c r="CL134" i="216"/>
  <c r="CJ134" i="216"/>
  <c r="CH134" i="216"/>
  <c r="CF134" i="216"/>
  <c r="CE134" i="216"/>
  <c r="CB134" i="216"/>
  <c r="BZ134" i="216"/>
  <c r="BX134" i="216"/>
  <c r="BV134" i="216"/>
  <c r="BU134" i="216"/>
  <c r="BR134" i="216"/>
  <c r="BP134" i="216"/>
  <c r="BN134" i="216"/>
  <c r="BL134" i="216"/>
  <c r="BK134" i="216"/>
  <c r="BH134" i="216"/>
  <c r="BF134" i="216"/>
  <c r="BD134" i="216"/>
  <c r="BB134" i="216"/>
  <c r="BA134" i="216"/>
  <c r="AX134" i="216"/>
  <c r="AV134" i="216"/>
  <c r="AT134" i="216"/>
  <c r="AR134" i="216"/>
  <c r="AQ134" i="216"/>
  <c r="AN134" i="216"/>
  <c r="AL134" i="216"/>
  <c r="AJ134" i="216"/>
  <c r="AH134" i="216"/>
  <c r="AG134" i="216"/>
  <c r="AD134" i="216"/>
  <c r="AB134" i="216"/>
  <c r="Z134" i="216"/>
  <c r="X134" i="216"/>
  <c r="W134" i="216" s="1"/>
  <c r="T134" i="216"/>
  <c r="R134" i="216"/>
  <c r="P134" i="216"/>
  <c r="EP133" i="216"/>
  <c r="EM133" i="216"/>
  <c r="EL133" i="216"/>
  <c r="EK133" i="216"/>
  <c r="EJ133" i="216" s="1"/>
  <c r="EI133" i="216"/>
  <c r="EZ133" i="216" s="1"/>
  <c r="EG133" i="216"/>
  <c r="EN133" i="216" s="1"/>
  <c r="EE133" i="216"/>
  <c r="ED133" i="216"/>
  <c r="EC133" i="216"/>
  <c r="DZ133" i="216"/>
  <c r="DX133" i="216"/>
  <c r="DV133" i="216"/>
  <c r="DS133" i="216"/>
  <c r="DP133" i="216"/>
  <c r="DN133" i="216"/>
  <c r="DL133" i="216"/>
  <c r="DI133" i="216"/>
  <c r="DF133" i="216"/>
  <c r="DD133" i="216"/>
  <c r="DB133" i="216"/>
  <c r="CZ133" i="216"/>
  <c r="CY133" i="216"/>
  <c r="CV133" i="216"/>
  <c r="CT133" i="216"/>
  <c r="CR133" i="216"/>
  <c r="CP133" i="216"/>
  <c r="CO133" i="216"/>
  <c r="CL133" i="216"/>
  <c r="CJ133" i="216"/>
  <c r="CH133" i="216"/>
  <c r="CF133" i="216"/>
  <c r="CE133" i="216"/>
  <c r="CB133" i="216"/>
  <c r="BZ133" i="216"/>
  <c r="BX133" i="216"/>
  <c r="BV133" i="216"/>
  <c r="BU133" i="216"/>
  <c r="BR133" i="216"/>
  <c r="BP133" i="216"/>
  <c r="BN133" i="216"/>
  <c r="BL133" i="216"/>
  <c r="BK133" i="216"/>
  <c r="BH133" i="216"/>
  <c r="BF133" i="216"/>
  <c r="BD133" i="216"/>
  <c r="BB133" i="216"/>
  <c r="BA133" i="216"/>
  <c r="AX133" i="216"/>
  <c r="AV133" i="216"/>
  <c r="AT133" i="216"/>
  <c r="AR133" i="216"/>
  <c r="AQ133" i="216"/>
  <c r="AN133" i="216"/>
  <c r="AL133" i="216"/>
  <c r="AJ133" i="216"/>
  <c r="AH133" i="216"/>
  <c r="AG133" i="216"/>
  <c r="AD133" i="216"/>
  <c r="AB133" i="216"/>
  <c r="Z133" i="216"/>
  <c r="X133" i="216"/>
  <c r="W133" i="216" s="1"/>
  <c r="T133" i="216"/>
  <c r="R133" i="216"/>
  <c r="P133" i="216"/>
  <c r="EB132" i="216"/>
  <c r="DY132" i="216"/>
  <c r="DW132" i="216"/>
  <c r="DR132" i="216"/>
  <c r="DO132" i="216"/>
  <c r="DM132" i="216"/>
  <c r="DK132" i="216"/>
  <c r="DH132" i="216"/>
  <c r="DC132" i="216"/>
  <c r="DA132" i="216"/>
  <c r="CX132" i="216"/>
  <c r="CW132" i="216"/>
  <c r="CU132" i="216"/>
  <c r="CS132" i="216"/>
  <c r="CN132" i="216"/>
  <c r="CM132" i="216"/>
  <c r="CK132" i="216"/>
  <c r="CI132" i="216"/>
  <c r="CG132" i="216"/>
  <c r="CD132" i="216"/>
  <c r="CA132" i="216"/>
  <c r="BY132" i="216"/>
  <c r="BW132" i="216"/>
  <c r="BT132" i="216"/>
  <c r="BS132" i="216"/>
  <c r="BQ132" i="216"/>
  <c r="BO132" i="216"/>
  <c r="BJ132" i="216"/>
  <c r="BG132" i="216"/>
  <c r="BE132" i="216"/>
  <c r="BC132" i="216"/>
  <c r="AZ132" i="216"/>
  <c r="AY132" i="216"/>
  <c r="AW132" i="216"/>
  <c r="AU132" i="216"/>
  <c r="AS132" i="216"/>
  <c r="BA132" i="216" s="1"/>
  <c r="AP132" i="216"/>
  <c r="AM132" i="216"/>
  <c r="AK132" i="216"/>
  <c r="AF132" i="216"/>
  <c r="AE132" i="216"/>
  <c r="AC132" i="216"/>
  <c r="AA132" i="216"/>
  <c r="Y132" i="216"/>
  <c r="AG132" i="216" s="1"/>
  <c r="V132" i="216"/>
  <c r="S132" i="216"/>
  <c r="Q132" i="216"/>
  <c r="O132" i="216"/>
  <c r="D132" i="216"/>
  <c r="DY131" i="216"/>
  <c r="DY136" i="216" s="1"/>
  <c r="DW131" i="216"/>
  <c r="DU131" i="216"/>
  <c r="DR131" i="216"/>
  <c r="DO131" i="216"/>
  <c r="DM131" i="216"/>
  <c r="DM136" i="216" s="1"/>
  <c r="DK131" i="216"/>
  <c r="DH131" i="216"/>
  <c r="DG131" i="216"/>
  <c r="DE131" i="216"/>
  <c r="DC131" i="216"/>
  <c r="DB131" i="216"/>
  <c r="DA131" i="216"/>
  <c r="CX131" i="216"/>
  <c r="CW131" i="216"/>
  <c r="CU131" i="216"/>
  <c r="CS131" i="216"/>
  <c r="CS136" i="216" s="1"/>
  <c r="CN131" i="216"/>
  <c r="CM131" i="216"/>
  <c r="CK131" i="216"/>
  <c r="CI131" i="216"/>
  <c r="CG131" i="216"/>
  <c r="CD131" i="216"/>
  <c r="CC131" i="216"/>
  <c r="CA131" i="216"/>
  <c r="BY131" i="216"/>
  <c r="BY136" i="216" s="1"/>
  <c r="BW131" i="216"/>
  <c r="BT131" i="216"/>
  <c r="BQ131" i="216"/>
  <c r="BO131" i="216"/>
  <c r="BM131" i="216"/>
  <c r="BJ131" i="216"/>
  <c r="BG131" i="216"/>
  <c r="BE131" i="216"/>
  <c r="BC131" i="216"/>
  <c r="AZ131" i="216"/>
  <c r="AZ136" i="216" s="1"/>
  <c r="AY131" i="216"/>
  <c r="AW131" i="216"/>
  <c r="AW136" i="216" s="1"/>
  <c r="AU131" i="216"/>
  <c r="AU136" i="216" s="1"/>
  <c r="AS131" i="216"/>
  <c r="AP131" i="216"/>
  <c r="AP136" i="216" s="1"/>
  <c r="AM131" i="216"/>
  <c r="AM136" i="216" s="1"/>
  <c r="AF131" i="216"/>
  <c r="AF136" i="216" s="1"/>
  <c r="AE131" i="216"/>
  <c r="AE136" i="216" s="1"/>
  <c r="AC131" i="216"/>
  <c r="AC136" i="216" s="1"/>
  <c r="AA131" i="216"/>
  <c r="Y131" i="216"/>
  <c r="V131" i="216"/>
  <c r="S131" i="216"/>
  <c r="Q131" i="216"/>
  <c r="O131" i="216"/>
  <c r="O136" i="216" s="1"/>
  <c r="D131" i="216"/>
  <c r="EZ130" i="216"/>
  <c r="EP130" i="216"/>
  <c r="EM130" i="216"/>
  <c r="EJ130" i="216"/>
  <c r="EH130" i="216"/>
  <c r="EF130" i="216"/>
  <c r="ED130" i="216"/>
  <c r="EC130" i="216"/>
  <c r="DZ130" i="216"/>
  <c r="DX130" i="216"/>
  <c r="DV130" i="216"/>
  <c r="DT130" i="216"/>
  <c r="DS130" i="216"/>
  <c r="DP130" i="216"/>
  <c r="DN130" i="216"/>
  <c r="DL130" i="216"/>
  <c r="DJ130" i="216"/>
  <c r="DI130" i="216"/>
  <c r="DF130" i="216"/>
  <c r="DD130" i="216"/>
  <c r="DB130" i="216"/>
  <c r="CZ130" i="216"/>
  <c r="CY130" i="216"/>
  <c r="CV130" i="216"/>
  <c r="CT130" i="216"/>
  <c r="CR130" i="216"/>
  <c r="CP130" i="216"/>
  <c r="CO130" i="216"/>
  <c r="CL130" i="216"/>
  <c r="CJ130" i="216"/>
  <c r="CH130" i="216"/>
  <c r="CF130" i="216"/>
  <c r="CE130" i="216"/>
  <c r="CB130" i="216"/>
  <c r="BZ130" i="216"/>
  <c r="BX130" i="216"/>
  <c r="BV130" i="216"/>
  <c r="BU130" i="216"/>
  <c r="BR130" i="216"/>
  <c r="BP130" i="216"/>
  <c r="BN130" i="216"/>
  <c r="BL130" i="216"/>
  <c r="BK130" i="216"/>
  <c r="BH130" i="216"/>
  <c r="BF130" i="216"/>
  <c r="BD130" i="216"/>
  <c r="BB130" i="216"/>
  <c r="BA130" i="216"/>
  <c r="AX130" i="216"/>
  <c r="AV130" i="216"/>
  <c r="AT130" i="216"/>
  <c r="AR130" i="216"/>
  <c r="AQ130" i="216"/>
  <c r="AN130" i="216"/>
  <c r="AL130" i="216"/>
  <c r="AJ130" i="216"/>
  <c r="AH130" i="216"/>
  <c r="AG130" i="216"/>
  <c r="AD130" i="216"/>
  <c r="AB130" i="216"/>
  <c r="Z130" i="216"/>
  <c r="X130" i="216"/>
  <c r="W130" i="216" s="1"/>
  <c r="T130" i="216"/>
  <c r="R130" i="216"/>
  <c r="P130" i="216"/>
  <c r="EZ129" i="216"/>
  <c r="EP129" i="216"/>
  <c r="EM129" i="216"/>
  <c r="EJ129" i="216"/>
  <c r="EH129" i="216"/>
  <c r="EF129" i="216"/>
  <c r="EC129" i="216"/>
  <c r="DZ129" i="216"/>
  <c r="DX129" i="216"/>
  <c r="DV129" i="216"/>
  <c r="DS129" i="216"/>
  <c r="DP129" i="216"/>
  <c r="DN129" i="216"/>
  <c r="DL129" i="216"/>
  <c r="DI129" i="216"/>
  <c r="DF129" i="216"/>
  <c r="DD129" i="216"/>
  <c r="DB129" i="216"/>
  <c r="CY129" i="216"/>
  <c r="CV129" i="216"/>
  <c r="CT129" i="216"/>
  <c r="CR129" i="216"/>
  <c r="CO129" i="216"/>
  <c r="CL129" i="216"/>
  <c r="CJ129" i="216"/>
  <c r="CH129" i="216"/>
  <c r="CE129" i="216"/>
  <c r="CB129" i="216"/>
  <c r="BZ129" i="216"/>
  <c r="BX129" i="216"/>
  <c r="BU129" i="216"/>
  <c r="BR129" i="216"/>
  <c r="BP129" i="216"/>
  <c r="BN129" i="216"/>
  <c r="BK129" i="216"/>
  <c r="BH129" i="216"/>
  <c r="BF129" i="216"/>
  <c r="BD129" i="216"/>
  <c r="BA129" i="216"/>
  <c r="AX129" i="216"/>
  <c r="AV129" i="216"/>
  <c r="AT129" i="216"/>
  <c r="AQ129" i="216"/>
  <c r="AN129" i="216"/>
  <c r="AL129" i="216"/>
  <c r="AJ129" i="216"/>
  <c r="AH129" i="216"/>
  <c r="AG129" i="216"/>
  <c r="AD129" i="216"/>
  <c r="AB129" i="216"/>
  <c r="Z129" i="216"/>
  <c r="W129" i="216"/>
  <c r="T129" i="216"/>
  <c r="R129" i="216"/>
  <c r="P129" i="216"/>
  <c r="EP127" i="216"/>
  <c r="EL127" i="216"/>
  <c r="EK127" i="216"/>
  <c r="EJ127" i="216" s="1"/>
  <c r="EI127" i="216"/>
  <c r="EG127" i="216"/>
  <c r="EE127" i="216"/>
  <c r="EM127" i="216" s="1"/>
  <c r="ED127" i="216"/>
  <c r="EC127" i="216"/>
  <c r="DZ127" i="216"/>
  <c r="DX127" i="216"/>
  <c r="DV127" i="216"/>
  <c r="DT127" i="216"/>
  <c r="DS127" i="216"/>
  <c r="DP127" i="216"/>
  <c r="DN127" i="216"/>
  <c r="DL127" i="216"/>
  <c r="DJ127" i="216"/>
  <c r="DI127" i="216"/>
  <c r="DF127" i="216"/>
  <c r="DD127" i="216"/>
  <c r="DB127" i="216"/>
  <c r="CZ127" i="216"/>
  <c r="CY127" i="216"/>
  <c r="CV127" i="216"/>
  <c r="CT127" i="216"/>
  <c r="CR127" i="216"/>
  <c r="CP127" i="216"/>
  <c r="CO127" i="216"/>
  <c r="CL127" i="216"/>
  <c r="CJ127" i="216"/>
  <c r="CH127" i="216"/>
  <c r="CF127" i="216"/>
  <c r="CE127" i="216"/>
  <c r="CB127" i="216"/>
  <c r="BZ127" i="216"/>
  <c r="BX127" i="216"/>
  <c r="BV127" i="216"/>
  <c r="BU127" i="216"/>
  <c r="BR127" i="216"/>
  <c r="BP127" i="216"/>
  <c r="BN127" i="216"/>
  <c r="BL127" i="216"/>
  <c r="BK127" i="216"/>
  <c r="BH127" i="216"/>
  <c r="BF127" i="216"/>
  <c r="BD127" i="216"/>
  <c r="BB127" i="216"/>
  <c r="BA127" i="216"/>
  <c r="AX127" i="216"/>
  <c r="AV127" i="216"/>
  <c r="AT127" i="216"/>
  <c r="AR127" i="216"/>
  <c r="AQ127" i="216"/>
  <c r="AN127" i="216"/>
  <c r="AL127" i="216"/>
  <c r="AJ127" i="216"/>
  <c r="AH127" i="216"/>
  <c r="AG127" i="216"/>
  <c r="AD127" i="216"/>
  <c r="AB127" i="216"/>
  <c r="Z127" i="216"/>
  <c r="X127" i="216"/>
  <c r="W127" i="216" s="1"/>
  <c r="T127" i="216"/>
  <c r="R127" i="216"/>
  <c r="P127" i="216"/>
  <c r="EP126" i="216"/>
  <c r="EL126" i="216"/>
  <c r="EK126" i="216"/>
  <c r="EJ126" i="216" s="1"/>
  <c r="EI126" i="216"/>
  <c r="EG126" i="216"/>
  <c r="EE126" i="216"/>
  <c r="EM126" i="216" s="1"/>
  <c r="ED126" i="216"/>
  <c r="EC126" i="216"/>
  <c r="DZ126" i="216"/>
  <c r="DX126" i="216"/>
  <c r="DV126" i="216"/>
  <c r="DT126" i="216"/>
  <c r="DS126" i="216"/>
  <c r="DP126" i="216"/>
  <c r="DN126" i="216"/>
  <c r="DL126" i="216"/>
  <c r="DJ126" i="216"/>
  <c r="DI126" i="216"/>
  <c r="DF126" i="216"/>
  <c r="DD126" i="216"/>
  <c r="DB126" i="216"/>
  <c r="CZ126" i="216"/>
  <c r="CY126" i="216"/>
  <c r="CV126" i="216"/>
  <c r="CT126" i="216"/>
  <c r="CR126" i="216"/>
  <c r="CP126" i="216"/>
  <c r="CO126" i="216"/>
  <c r="CL126" i="216"/>
  <c r="CJ126" i="216"/>
  <c r="CH126" i="216"/>
  <c r="CF126" i="216"/>
  <c r="CE126" i="216"/>
  <c r="CB126" i="216"/>
  <c r="BZ126" i="216"/>
  <c r="BX126" i="216"/>
  <c r="BV126" i="216"/>
  <c r="BU126" i="216"/>
  <c r="BR126" i="216"/>
  <c r="BP126" i="216"/>
  <c r="BN126" i="216"/>
  <c r="BL126" i="216"/>
  <c r="BK126" i="216"/>
  <c r="BH126" i="216"/>
  <c r="BF126" i="216"/>
  <c r="BD126" i="216"/>
  <c r="BB126" i="216"/>
  <c r="BA126" i="216"/>
  <c r="AX126" i="216"/>
  <c r="AV126" i="216"/>
  <c r="AT126" i="216"/>
  <c r="AR126" i="216"/>
  <c r="AQ126" i="216"/>
  <c r="AN126" i="216"/>
  <c r="AL126" i="216"/>
  <c r="AJ126" i="216"/>
  <c r="AH126" i="216"/>
  <c r="AG126" i="216"/>
  <c r="AD126" i="216"/>
  <c r="AB126" i="216"/>
  <c r="Z126" i="216"/>
  <c r="X126" i="216"/>
  <c r="W126" i="216" s="1"/>
  <c r="T126" i="216"/>
  <c r="R126" i="216"/>
  <c r="P126" i="216"/>
  <c r="EB125" i="216"/>
  <c r="EA125" i="216"/>
  <c r="DY125" i="216"/>
  <c r="DW125" i="216"/>
  <c r="DU125" i="216"/>
  <c r="DR125" i="216"/>
  <c r="DQ125" i="216"/>
  <c r="DM125" i="216"/>
  <c r="DH125" i="216"/>
  <c r="DG125" i="216"/>
  <c r="DE125" i="216"/>
  <c r="DC125" i="216"/>
  <c r="DA125" i="216"/>
  <c r="CX125" i="216"/>
  <c r="CW125" i="216"/>
  <c r="CU125" i="216"/>
  <c r="CS125" i="216"/>
  <c r="CQ125" i="216"/>
  <c r="CN125" i="216"/>
  <c r="CM125" i="216"/>
  <c r="CK125" i="216"/>
  <c r="CI125" i="216"/>
  <c r="CG125" i="216"/>
  <c r="CD125" i="216"/>
  <c r="CC125" i="216"/>
  <c r="CA125" i="216"/>
  <c r="BY125" i="216"/>
  <c r="BW125" i="216"/>
  <c r="BT125" i="216"/>
  <c r="BS125" i="216"/>
  <c r="BO125" i="216"/>
  <c r="BJ125" i="216"/>
  <c r="BI125" i="216"/>
  <c r="BE125" i="216"/>
  <c r="BC125" i="216"/>
  <c r="AZ125" i="216"/>
  <c r="AY125" i="216"/>
  <c r="AW125" i="216"/>
  <c r="AU125" i="216"/>
  <c r="AS125" i="216"/>
  <c r="BA125" i="216" s="1"/>
  <c r="AP125" i="216"/>
  <c r="AO125" i="216"/>
  <c r="AM125" i="216"/>
  <c r="AK125" i="216"/>
  <c r="AI125" i="216"/>
  <c r="AF125" i="216"/>
  <c r="AE125" i="216"/>
  <c r="AC125" i="216"/>
  <c r="AA125" i="216"/>
  <c r="Y125" i="216"/>
  <c r="V125" i="216"/>
  <c r="U125" i="216"/>
  <c r="S125" i="216"/>
  <c r="Q125" i="216"/>
  <c r="O125" i="216"/>
  <c r="D125" i="216"/>
  <c r="DY124" i="216"/>
  <c r="DW124" i="216"/>
  <c r="DR124" i="216"/>
  <c r="DO124" i="216"/>
  <c r="DM124" i="216"/>
  <c r="DL124" i="216" s="1"/>
  <c r="DK124" i="216"/>
  <c r="DH124" i="216"/>
  <c r="DE124" i="216"/>
  <c r="DC124" i="216"/>
  <c r="DA124" i="216"/>
  <c r="CX124" i="216"/>
  <c r="CW124" i="216"/>
  <c r="CU124" i="216"/>
  <c r="CS124" i="216"/>
  <c r="CQ124" i="216"/>
  <c r="CQ128" i="216" s="1"/>
  <c r="CN124" i="216"/>
  <c r="CK124" i="216"/>
  <c r="CI124" i="216"/>
  <c r="CG124" i="216"/>
  <c r="CJ124" i="216" s="1"/>
  <c r="CD124" i="216"/>
  <c r="CA124" i="216"/>
  <c r="BY124" i="216"/>
  <c r="BW124" i="216"/>
  <c r="BT124" i="216"/>
  <c r="BQ124" i="216"/>
  <c r="BO124" i="216"/>
  <c r="BM124" i="216"/>
  <c r="BJ124" i="216"/>
  <c r="BG124" i="216"/>
  <c r="BE124" i="216"/>
  <c r="BC124" i="216"/>
  <c r="AZ124" i="216"/>
  <c r="AY124" i="216"/>
  <c r="AW124" i="216"/>
  <c r="AU124" i="216"/>
  <c r="AS124" i="216"/>
  <c r="AP124" i="216"/>
  <c r="AM124" i="216"/>
  <c r="AL124" i="216" s="1"/>
  <c r="AK124" i="216"/>
  <c r="AJ124" i="216" s="1"/>
  <c r="AI124" i="216"/>
  <c r="AF124" i="216"/>
  <c r="AE124" i="216"/>
  <c r="AC124" i="216"/>
  <c r="AB124" i="216" s="1"/>
  <c r="AA124" i="216"/>
  <c r="Y124" i="216"/>
  <c r="V124" i="216"/>
  <c r="U124" i="216"/>
  <c r="S124" i="216"/>
  <c r="Q124" i="216"/>
  <c r="O124" i="216"/>
  <c r="D124" i="216"/>
  <c r="EB123" i="216"/>
  <c r="DY123" i="216"/>
  <c r="DW123" i="216"/>
  <c r="DU123" i="216"/>
  <c r="DR123" i="216"/>
  <c r="DR128" i="216" s="1"/>
  <c r="DM123" i="216"/>
  <c r="DK123" i="216"/>
  <c r="DH123" i="216"/>
  <c r="DH128" i="216" s="1"/>
  <c r="DG123" i="216"/>
  <c r="DE123" i="216"/>
  <c r="DC123" i="216"/>
  <c r="DA123" i="216"/>
  <c r="CX123" i="216"/>
  <c r="CW123" i="216"/>
  <c r="CU123" i="216"/>
  <c r="CS123" i="216"/>
  <c r="CQ123" i="216"/>
  <c r="CN123" i="216"/>
  <c r="CN128" i="216" s="1"/>
  <c r="CK123" i="216"/>
  <c r="CI123" i="216"/>
  <c r="CG123" i="216"/>
  <c r="CG128" i="216" s="1"/>
  <c r="CD123" i="216"/>
  <c r="CD128" i="216" s="1"/>
  <c r="CA123" i="216"/>
  <c r="BZ123" i="216" s="1"/>
  <c r="BY123" i="216"/>
  <c r="BW123" i="216"/>
  <c r="BW128" i="216" s="1"/>
  <c r="BT123" i="216"/>
  <c r="BT128" i="216" s="1"/>
  <c r="BQ123" i="216"/>
  <c r="BO123" i="216"/>
  <c r="BM123" i="216"/>
  <c r="BJ123" i="216"/>
  <c r="BG123" i="216"/>
  <c r="BE123" i="216"/>
  <c r="BC123" i="216"/>
  <c r="AZ123" i="216"/>
  <c r="AZ128" i="216" s="1"/>
  <c r="AY123" i="216"/>
  <c r="AW123" i="216"/>
  <c r="AU123" i="216"/>
  <c r="AS123" i="216"/>
  <c r="AS128" i="216" s="1"/>
  <c r="AP123" i="216"/>
  <c r="AP128" i="216" s="1"/>
  <c r="AM123" i="216"/>
  <c r="AK123" i="216"/>
  <c r="AI123" i="216"/>
  <c r="AF123" i="216"/>
  <c r="AE123" i="216"/>
  <c r="AC123" i="216"/>
  <c r="AA123" i="216"/>
  <c r="Y123" i="216"/>
  <c r="V123" i="216"/>
  <c r="U123" i="216"/>
  <c r="S123" i="216"/>
  <c r="Q123" i="216"/>
  <c r="O123" i="216"/>
  <c r="O128" i="216" s="1"/>
  <c r="D123" i="216"/>
  <c r="EZ122" i="216"/>
  <c r="EP122" i="216"/>
  <c r="EM122" i="216"/>
  <c r="EJ122" i="216"/>
  <c r="EH122" i="216"/>
  <c r="EF122" i="216"/>
  <c r="ED122" i="216"/>
  <c r="EC122" i="216"/>
  <c r="DZ122" i="216"/>
  <c r="DX122" i="216"/>
  <c r="DV122" i="216"/>
  <c r="DT122" i="216"/>
  <c r="DS122" i="216"/>
  <c r="DP122" i="216"/>
  <c r="DN122" i="216"/>
  <c r="DL122" i="216"/>
  <c r="DJ122" i="216"/>
  <c r="DI122" i="216"/>
  <c r="DF122" i="216"/>
  <c r="DD122" i="216"/>
  <c r="DB122" i="216"/>
  <c r="CZ122" i="216"/>
  <c r="CY122" i="216"/>
  <c r="CV122" i="216"/>
  <c r="CT122" i="216"/>
  <c r="CR122" i="216"/>
  <c r="CP122" i="216"/>
  <c r="CO122" i="216"/>
  <c r="CL122" i="216"/>
  <c r="CJ122" i="216"/>
  <c r="CH122" i="216"/>
  <c r="CF122" i="216"/>
  <c r="CE122" i="216"/>
  <c r="CB122" i="216"/>
  <c r="BZ122" i="216"/>
  <c r="BX122" i="216"/>
  <c r="BV122" i="216"/>
  <c r="BU122" i="216"/>
  <c r="BR122" i="216"/>
  <c r="BP122" i="216"/>
  <c r="BN122" i="216"/>
  <c r="BL122" i="216"/>
  <c r="BK122" i="216"/>
  <c r="BH122" i="216"/>
  <c r="BF122" i="216"/>
  <c r="BD122" i="216"/>
  <c r="BB122" i="216"/>
  <c r="BA122" i="216"/>
  <c r="AX122" i="216"/>
  <c r="AV122" i="216"/>
  <c r="AT122" i="216"/>
  <c r="AR122" i="216"/>
  <c r="AQ122" i="216"/>
  <c r="AN122" i="216"/>
  <c r="AL122" i="216"/>
  <c r="AJ122" i="216"/>
  <c r="AH122" i="216"/>
  <c r="AG122" i="216"/>
  <c r="AD122" i="216"/>
  <c r="AB122" i="216"/>
  <c r="Z122" i="216"/>
  <c r="X122" i="216"/>
  <c r="W122" i="216" s="1"/>
  <c r="T122" i="216"/>
  <c r="R122" i="216"/>
  <c r="P122" i="216"/>
  <c r="EZ121" i="216"/>
  <c r="EP121" i="216"/>
  <c r="EM121" i="216"/>
  <c r="EJ121" i="216"/>
  <c r="EH121" i="216"/>
  <c r="EF121" i="216"/>
  <c r="ED121" i="216"/>
  <c r="EC121" i="216"/>
  <c r="DZ121" i="216"/>
  <c r="DX121" i="216"/>
  <c r="DV121" i="216"/>
  <c r="DT121" i="216"/>
  <c r="DS121" i="216"/>
  <c r="DP121" i="216"/>
  <c r="DN121" i="216"/>
  <c r="DL121" i="216"/>
  <c r="DJ121" i="216"/>
  <c r="DI121" i="216"/>
  <c r="DF121" i="216"/>
  <c r="DD121" i="216"/>
  <c r="DB121" i="216"/>
  <c r="CZ121" i="216"/>
  <c r="CY121" i="216"/>
  <c r="CV121" i="216"/>
  <c r="CT121" i="216"/>
  <c r="CR121" i="216"/>
  <c r="CP121" i="216"/>
  <c r="CO121" i="216"/>
  <c r="CL121" i="216"/>
  <c r="CJ121" i="216"/>
  <c r="CH121" i="216"/>
  <c r="CF121" i="216"/>
  <c r="CE121" i="216"/>
  <c r="CB121" i="216"/>
  <c r="BZ121" i="216"/>
  <c r="BX121" i="216"/>
  <c r="BV121" i="216"/>
  <c r="BU121" i="216"/>
  <c r="BR121" i="216"/>
  <c r="BP121" i="216"/>
  <c r="BN121" i="216"/>
  <c r="BL121" i="216"/>
  <c r="BK121" i="216"/>
  <c r="BH121" i="216"/>
  <c r="BF121" i="216"/>
  <c r="BD121" i="216"/>
  <c r="BB121" i="216"/>
  <c r="BA121" i="216"/>
  <c r="AX121" i="216"/>
  <c r="AV121" i="216"/>
  <c r="AT121" i="216"/>
  <c r="AR121" i="216"/>
  <c r="AQ121" i="216"/>
  <c r="AN121" i="216"/>
  <c r="AL121" i="216"/>
  <c r="AJ121" i="216"/>
  <c r="AH121" i="216"/>
  <c r="AG121" i="216"/>
  <c r="AD121" i="216"/>
  <c r="AB121" i="216"/>
  <c r="Z121" i="216"/>
  <c r="X121" i="216"/>
  <c r="W121" i="216"/>
  <c r="T121" i="216"/>
  <c r="R121" i="216"/>
  <c r="P121" i="216"/>
  <c r="EZ120" i="216"/>
  <c r="EP120" i="216"/>
  <c r="EM120" i="216"/>
  <c r="EJ120" i="216"/>
  <c r="EH120" i="216"/>
  <c r="EF120" i="216"/>
  <c r="ED120" i="216"/>
  <c r="EC120" i="216"/>
  <c r="DZ120" i="216"/>
  <c r="DX120" i="216"/>
  <c r="DV120" i="216"/>
  <c r="DT120" i="216"/>
  <c r="DS120" i="216"/>
  <c r="DP120" i="216"/>
  <c r="DN120" i="216"/>
  <c r="DL120" i="216"/>
  <c r="DJ120" i="216"/>
  <c r="DI120" i="216"/>
  <c r="DF120" i="216"/>
  <c r="DD120" i="216"/>
  <c r="DB120" i="216"/>
  <c r="CZ120" i="216"/>
  <c r="CY120" i="216"/>
  <c r="CV120" i="216"/>
  <c r="CT120" i="216"/>
  <c r="CR120" i="216"/>
  <c r="CP120" i="216"/>
  <c r="CO120" i="216"/>
  <c r="CL120" i="216"/>
  <c r="CJ120" i="216"/>
  <c r="CH120" i="216"/>
  <c r="CF120" i="216"/>
  <c r="CE120" i="216"/>
  <c r="CB120" i="216"/>
  <c r="BZ120" i="216"/>
  <c r="BX120" i="216"/>
  <c r="BV120" i="216"/>
  <c r="BU120" i="216"/>
  <c r="BR120" i="216"/>
  <c r="BP120" i="216"/>
  <c r="BN120" i="216"/>
  <c r="BL120" i="216"/>
  <c r="BK120" i="216"/>
  <c r="BH120" i="216"/>
  <c r="BF120" i="216"/>
  <c r="BD120" i="216"/>
  <c r="BB120" i="216"/>
  <c r="BA120" i="216"/>
  <c r="AX120" i="216"/>
  <c r="AV120" i="216"/>
  <c r="AT120" i="216"/>
  <c r="AR120" i="216"/>
  <c r="AQ120" i="216"/>
  <c r="AN120" i="216"/>
  <c r="AL120" i="216"/>
  <c r="AJ120" i="216"/>
  <c r="AH120" i="216"/>
  <c r="AG120" i="216"/>
  <c r="AD120" i="216"/>
  <c r="AB120" i="216"/>
  <c r="Z120" i="216"/>
  <c r="X120" i="216"/>
  <c r="W120" i="216"/>
  <c r="T120" i="216"/>
  <c r="R120" i="216"/>
  <c r="P120" i="216"/>
  <c r="U119" i="216"/>
  <c r="EP118" i="216"/>
  <c r="EL118" i="216"/>
  <c r="EK118" i="216"/>
  <c r="EJ118" i="216" s="1"/>
  <c r="EI118" i="216"/>
  <c r="EG118" i="216"/>
  <c r="EE118" i="216"/>
  <c r="EM118" i="216" s="1"/>
  <c r="ED118" i="216"/>
  <c r="EC118" i="216"/>
  <c r="DZ118" i="216"/>
  <c r="DX118" i="216"/>
  <c r="DV118" i="216"/>
  <c r="DT118" i="216"/>
  <c r="DS118" i="216"/>
  <c r="DP118" i="216"/>
  <c r="DN118" i="216"/>
  <c r="DL118" i="216"/>
  <c r="DJ118" i="216"/>
  <c r="DI118" i="216"/>
  <c r="DF118" i="216"/>
  <c r="DD118" i="216"/>
  <c r="DB118" i="216"/>
  <c r="CZ118" i="216"/>
  <c r="CY118" i="216"/>
  <c r="CV118" i="216"/>
  <c r="CT118" i="216"/>
  <c r="CR118" i="216"/>
  <c r="CP118" i="216"/>
  <c r="CO118" i="216"/>
  <c r="CL118" i="216"/>
  <c r="CJ118" i="216"/>
  <c r="CH118" i="216"/>
  <c r="CF118" i="216"/>
  <c r="CE118" i="216"/>
  <c r="CB118" i="216"/>
  <c r="BZ118" i="216"/>
  <c r="BX118" i="216"/>
  <c r="BV118" i="216"/>
  <c r="BU118" i="216"/>
  <c r="BR118" i="216"/>
  <c r="BP118" i="216"/>
  <c r="BN118" i="216"/>
  <c r="BL118" i="216"/>
  <c r="BK118" i="216"/>
  <c r="BH118" i="216"/>
  <c r="BF118" i="216"/>
  <c r="BD118" i="216"/>
  <c r="BB118" i="216"/>
  <c r="BA118" i="216"/>
  <c r="AX118" i="216"/>
  <c r="AV118" i="216"/>
  <c r="AT118" i="216"/>
  <c r="AR118" i="216"/>
  <c r="AQ118" i="216"/>
  <c r="AN118" i="216"/>
  <c r="AL118" i="216"/>
  <c r="AJ118" i="216"/>
  <c r="AH118" i="216"/>
  <c r="AG118" i="216"/>
  <c r="AD118" i="216"/>
  <c r="AB118" i="216"/>
  <c r="Z118" i="216"/>
  <c r="X118" i="216"/>
  <c r="W118" i="216" s="1"/>
  <c r="T118" i="216"/>
  <c r="R118" i="216"/>
  <c r="P118" i="216"/>
  <c r="EP117" i="216"/>
  <c r="EL117" i="216"/>
  <c r="EK117" i="216"/>
  <c r="EJ117" i="216" s="1"/>
  <c r="EI117" i="216"/>
  <c r="EG117" i="216"/>
  <c r="EE117" i="216"/>
  <c r="EM117" i="216" s="1"/>
  <c r="ED117" i="216"/>
  <c r="EC117" i="216"/>
  <c r="DZ117" i="216"/>
  <c r="DX117" i="216"/>
  <c r="DV117" i="216"/>
  <c r="DT117" i="216"/>
  <c r="DS117" i="216"/>
  <c r="DP117" i="216"/>
  <c r="DN117" i="216"/>
  <c r="DL117" i="216"/>
  <c r="DJ117" i="216"/>
  <c r="DI117" i="216"/>
  <c r="DF117" i="216"/>
  <c r="DD117" i="216"/>
  <c r="DB117" i="216"/>
  <c r="CZ117" i="216"/>
  <c r="CY117" i="216"/>
  <c r="CV117" i="216"/>
  <c r="CT117" i="216"/>
  <c r="CR117" i="216"/>
  <c r="CP117" i="216"/>
  <c r="CO117" i="216"/>
  <c r="CL117" i="216"/>
  <c r="CJ117" i="216"/>
  <c r="CH117" i="216"/>
  <c r="CF117" i="216"/>
  <c r="CE117" i="216"/>
  <c r="CB117" i="216"/>
  <c r="BZ117" i="216"/>
  <c r="BX117" i="216"/>
  <c r="BV117" i="216"/>
  <c r="BU117" i="216"/>
  <c r="BR117" i="216"/>
  <c r="BP117" i="216"/>
  <c r="BN117" i="216"/>
  <c r="BL117" i="216"/>
  <c r="BK117" i="216"/>
  <c r="BH117" i="216"/>
  <c r="BF117" i="216"/>
  <c r="BD117" i="216"/>
  <c r="BB117" i="216"/>
  <c r="BA117" i="216"/>
  <c r="AX117" i="216"/>
  <c r="AV117" i="216"/>
  <c r="AT117" i="216"/>
  <c r="AR117" i="216"/>
  <c r="AQ117" i="216"/>
  <c r="AN117" i="216"/>
  <c r="AL117" i="216"/>
  <c r="AJ117" i="216"/>
  <c r="AH117" i="216"/>
  <c r="AG117" i="216"/>
  <c r="AD117" i="216"/>
  <c r="AB117" i="216"/>
  <c r="Z117" i="216"/>
  <c r="X117" i="216"/>
  <c r="W117" i="216" s="1"/>
  <c r="T117" i="216"/>
  <c r="R117" i="216"/>
  <c r="P117" i="216"/>
  <c r="EP116" i="216"/>
  <c r="EL116" i="216"/>
  <c r="EK116" i="216"/>
  <c r="EJ116" i="216" s="1"/>
  <c r="EI116" i="216"/>
  <c r="EG116" i="216"/>
  <c r="EE116" i="216"/>
  <c r="EM116" i="216" s="1"/>
  <c r="ED116" i="216"/>
  <c r="EC116" i="216"/>
  <c r="DZ116" i="216"/>
  <c r="DX116" i="216"/>
  <c r="DV116" i="216"/>
  <c r="DT116" i="216"/>
  <c r="DS116" i="216"/>
  <c r="DP116" i="216"/>
  <c r="DN116" i="216"/>
  <c r="DL116" i="216"/>
  <c r="DJ116" i="216"/>
  <c r="DI116" i="216"/>
  <c r="DF116" i="216"/>
  <c r="DD116" i="216"/>
  <c r="DB116" i="216"/>
  <c r="CZ116" i="216"/>
  <c r="CY116" i="216"/>
  <c r="CV116" i="216"/>
  <c r="CT116" i="216"/>
  <c r="CR116" i="216"/>
  <c r="CP116" i="216"/>
  <c r="CO116" i="216"/>
  <c r="CL116" i="216"/>
  <c r="CJ116" i="216"/>
  <c r="CH116" i="216"/>
  <c r="CF116" i="216"/>
  <c r="CE116" i="216"/>
  <c r="CB116" i="216"/>
  <c r="BZ116" i="216"/>
  <c r="BX116" i="216"/>
  <c r="BV116" i="216"/>
  <c r="BU116" i="216"/>
  <c r="BR116" i="216"/>
  <c r="BP116" i="216"/>
  <c r="BN116" i="216"/>
  <c r="BL116" i="216"/>
  <c r="BK116" i="216"/>
  <c r="BH116" i="216"/>
  <c r="BF116" i="216"/>
  <c r="BD116" i="216"/>
  <c r="BB116" i="216"/>
  <c r="BA116" i="216"/>
  <c r="AX116" i="216"/>
  <c r="AV116" i="216"/>
  <c r="AT116" i="216"/>
  <c r="AR116" i="216"/>
  <c r="AQ116" i="216"/>
  <c r="AN116" i="216"/>
  <c r="AL116" i="216"/>
  <c r="AJ116" i="216"/>
  <c r="AH116" i="216"/>
  <c r="AG116" i="216"/>
  <c r="AD116" i="216"/>
  <c r="AB116" i="216"/>
  <c r="Z116" i="216"/>
  <c r="X116" i="216"/>
  <c r="W116" i="216" s="1"/>
  <c r="T116" i="216"/>
  <c r="R116" i="216"/>
  <c r="P116" i="216"/>
  <c r="EB115" i="216"/>
  <c r="EA115" i="216"/>
  <c r="EP115" i="216" s="1"/>
  <c r="DY115" i="216"/>
  <c r="DW115" i="216"/>
  <c r="DR115" i="216"/>
  <c r="DQ115" i="216"/>
  <c r="DO115" i="216"/>
  <c r="DM115" i="216"/>
  <c r="DK115" i="216"/>
  <c r="DH115" i="216"/>
  <c r="DG115" i="216"/>
  <c r="DE115" i="216"/>
  <c r="DC115" i="216"/>
  <c r="DA115" i="216"/>
  <c r="CX115" i="216"/>
  <c r="CW115" i="216"/>
  <c r="CU115" i="216"/>
  <c r="CT115" i="216" s="1"/>
  <c r="CS115" i="216"/>
  <c r="CQ115" i="216"/>
  <c r="CY115" i="216" s="1"/>
  <c r="CN115" i="216"/>
  <c r="CM115" i="216"/>
  <c r="CK115" i="216"/>
  <c r="CJ115" i="216" s="1"/>
  <c r="CI115" i="216"/>
  <c r="CG115" i="216"/>
  <c r="CO115" i="216" s="1"/>
  <c r="CD115" i="216"/>
  <c r="CC115" i="216"/>
  <c r="CA115" i="216"/>
  <c r="BY115" i="216"/>
  <c r="BW115" i="216"/>
  <c r="CE115" i="216" s="1"/>
  <c r="BT115" i="216"/>
  <c r="BS115" i="216"/>
  <c r="BQ115" i="216"/>
  <c r="BO115" i="216"/>
  <c r="BM115" i="216"/>
  <c r="BJ115" i="216"/>
  <c r="BI115" i="216"/>
  <c r="BG115" i="216"/>
  <c r="BE115" i="216"/>
  <c r="BC115" i="216"/>
  <c r="AZ115" i="216"/>
  <c r="AY115" i="216"/>
  <c r="AW115" i="216"/>
  <c r="AU115" i="216"/>
  <c r="AS115" i="216"/>
  <c r="AP115" i="216"/>
  <c r="AO115" i="216"/>
  <c r="AM115" i="216"/>
  <c r="AK115" i="216"/>
  <c r="AI115" i="216"/>
  <c r="AQ115" i="216" s="1"/>
  <c r="AF115" i="216"/>
  <c r="AE115" i="216"/>
  <c r="AC115" i="216"/>
  <c r="AA115" i="216"/>
  <c r="Y115" i="216"/>
  <c r="V115" i="216"/>
  <c r="U115" i="216"/>
  <c r="S115" i="216"/>
  <c r="Q115" i="216"/>
  <c r="O115" i="216"/>
  <c r="D115" i="216"/>
  <c r="EB114" i="216"/>
  <c r="EB119" i="216" s="1"/>
  <c r="EA114" i="216"/>
  <c r="DY114" i="216"/>
  <c r="DY119" i="216" s="1"/>
  <c r="DW114" i="216"/>
  <c r="DR114" i="216"/>
  <c r="DQ114" i="216"/>
  <c r="DO114" i="216"/>
  <c r="DM114" i="216"/>
  <c r="DK114" i="216"/>
  <c r="DH114" i="216"/>
  <c r="DH119" i="216" s="1"/>
  <c r="DG114" i="216"/>
  <c r="DE114" i="216"/>
  <c r="DC114" i="216"/>
  <c r="DA114" i="216"/>
  <c r="CX114" i="216"/>
  <c r="CW114" i="216"/>
  <c r="CU114" i="216"/>
  <c r="CS114" i="216"/>
  <c r="CQ114" i="216"/>
  <c r="CN114" i="216"/>
  <c r="CM114" i="216"/>
  <c r="CK114" i="216"/>
  <c r="CI114" i="216"/>
  <c r="CG114" i="216"/>
  <c r="CD114" i="216"/>
  <c r="CC114" i="216"/>
  <c r="CA114" i="216"/>
  <c r="BY114" i="216"/>
  <c r="BX114" i="216" s="1"/>
  <c r="BW114" i="216"/>
  <c r="BT114" i="216"/>
  <c r="BS114" i="216"/>
  <c r="BR114" i="216"/>
  <c r="BQ114" i="216"/>
  <c r="BO114" i="216"/>
  <c r="BM114" i="216"/>
  <c r="BJ114" i="216"/>
  <c r="BJ119" i="216" s="1"/>
  <c r="BI114" i="216"/>
  <c r="BG114" i="216"/>
  <c r="BE114" i="216"/>
  <c r="BC114" i="216"/>
  <c r="BC119" i="216" s="1"/>
  <c r="AZ114" i="216"/>
  <c r="AZ119" i="216" s="1"/>
  <c r="AY114" i="216"/>
  <c r="AY119" i="216" s="1"/>
  <c r="AW114" i="216"/>
  <c r="AU114" i="216"/>
  <c r="AS114" i="216"/>
  <c r="AS119" i="216" s="1"/>
  <c r="AP114" i="216"/>
  <c r="AP119" i="216" s="1"/>
  <c r="AO114" i="216"/>
  <c r="AM114" i="216"/>
  <c r="AK114" i="216"/>
  <c r="AI114" i="216"/>
  <c r="AF114" i="216"/>
  <c r="AF119" i="216" s="1"/>
  <c r="AE114" i="216"/>
  <c r="AE119" i="216" s="1"/>
  <c r="AC114" i="216"/>
  <c r="AA114" i="216"/>
  <c r="AA119" i="216" s="1"/>
  <c r="Y114" i="216"/>
  <c r="AD114" i="216" s="1"/>
  <c r="V114" i="216"/>
  <c r="U114" i="216"/>
  <c r="S114" i="216"/>
  <c r="Q114" i="216"/>
  <c r="O114" i="216"/>
  <c r="O119" i="216" s="1"/>
  <c r="D114" i="216"/>
  <c r="EZ113" i="216"/>
  <c r="EP113" i="216"/>
  <c r="EM113" i="216"/>
  <c r="EJ113" i="216"/>
  <c r="EH113" i="216"/>
  <c r="EF113" i="216"/>
  <c r="ED113" i="216"/>
  <c r="EC113" i="216"/>
  <c r="DZ113" i="216"/>
  <c r="DX113" i="216"/>
  <c r="DV113" i="216"/>
  <c r="DT113" i="216"/>
  <c r="DS113" i="216"/>
  <c r="DP113" i="216"/>
  <c r="DN113" i="216"/>
  <c r="DL113" i="216"/>
  <c r="DJ113" i="216"/>
  <c r="DI113" i="216"/>
  <c r="DF113" i="216"/>
  <c r="DD113" i="216"/>
  <c r="DB113" i="216"/>
  <c r="CZ113" i="216"/>
  <c r="CY113" i="216"/>
  <c r="CV113" i="216"/>
  <c r="CT113" i="216"/>
  <c r="CR113" i="216"/>
  <c r="CP113" i="216"/>
  <c r="CO113" i="216"/>
  <c r="CL113" i="216"/>
  <c r="CJ113" i="216"/>
  <c r="CH113" i="216"/>
  <c r="CF113" i="216"/>
  <c r="CE113" i="216"/>
  <c r="CB113" i="216"/>
  <c r="BZ113" i="216"/>
  <c r="BX113" i="216"/>
  <c r="BV113" i="216"/>
  <c r="BU113" i="216"/>
  <c r="BR113" i="216"/>
  <c r="BP113" i="216"/>
  <c r="BN113" i="216"/>
  <c r="BL113" i="216"/>
  <c r="BK113" i="216"/>
  <c r="BH113" i="216"/>
  <c r="BF113" i="216"/>
  <c r="BD113" i="216"/>
  <c r="BB113" i="216"/>
  <c r="BA113" i="216"/>
  <c r="AX113" i="216"/>
  <c r="AV113" i="216"/>
  <c r="AT113" i="216"/>
  <c r="AR113" i="216"/>
  <c r="AQ113" i="216"/>
  <c r="AN113" i="216"/>
  <c r="AL113" i="216"/>
  <c r="AJ113" i="216"/>
  <c r="AH113" i="216"/>
  <c r="AG113" i="216"/>
  <c r="AD113" i="216"/>
  <c r="AB113" i="216"/>
  <c r="Z113" i="216"/>
  <c r="X113" i="216"/>
  <c r="W113" i="216" s="1"/>
  <c r="T113" i="216"/>
  <c r="R113" i="216"/>
  <c r="P113" i="216"/>
  <c r="EZ112" i="216"/>
  <c r="EP112" i="216"/>
  <c r="EM112" i="216"/>
  <c r="EJ112" i="216"/>
  <c r="EH112" i="216"/>
  <c r="EF112" i="216"/>
  <c r="EC112" i="216"/>
  <c r="DZ112" i="216"/>
  <c r="DX112" i="216"/>
  <c r="DV112" i="216"/>
  <c r="DS112" i="216"/>
  <c r="DP112" i="216"/>
  <c r="DN112" i="216"/>
  <c r="DL112" i="216"/>
  <c r="DI112" i="216"/>
  <c r="DF112" i="216"/>
  <c r="DD112" i="216"/>
  <c r="DB112" i="216"/>
  <c r="CY112" i="216"/>
  <c r="CV112" i="216"/>
  <c r="CT112" i="216"/>
  <c r="CR112" i="216"/>
  <c r="CO112" i="216"/>
  <c r="CL112" i="216"/>
  <c r="CJ112" i="216"/>
  <c r="CH112" i="216"/>
  <c r="CE112" i="216"/>
  <c r="CB112" i="216"/>
  <c r="BZ112" i="216"/>
  <c r="BX112" i="216"/>
  <c r="BU112" i="216"/>
  <c r="BR112" i="216"/>
  <c r="BP112" i="216"/>
  <c r="BN112" i="216"/>
  <c r="BK112" i="216"/>
  <c r="BH112" i="216"/>
  <c r="BF112" i="216"/>
  <c r="BD112" i="216"/>
  <c r="BA112" i="216"/>
  <c r="AX112" i="216"/>
  <c r="AV112" i="216"/>
  <c r="AT112" i="216"/>
  <c r="AQ112" i="216"/>
  <c r="AN112" i="216"/>
  <c r="AL112" i="216"/>
  <c r="AJ112" i="216"/>
  <c r="AG112" i="216"/>
  <c r="AD112" i="216"/>
  <c r="AB112" i="216"/>
  <c r="Z112" i="216"/>
  <c r="W112" i="216"/>
  <c r="T112" i="216"/>
  <c r="R112" i="216"/>
  <c r="P112" i="216"/>
  <c r="EP110" i="216"/>
  <c r="EN110" i="216"/>
  <c r="EL110" i="216"/>
  <c r="EK110" i="216"/>
  <c r="EI110" i="216"/>
  <c r="EZ110" i="216" s="1"/>
  <c r="EG110" i="216"/>
  <c r="EF110" i="216"/>
  <c r="EE110" i="216"/>
  <c r="EM110" i="216" s="1"/>
  <c r="ED110" i="216"/>
  <c r="EC110" i="216"/>
  <c r="DZ110" i="216"/>
  <c r="DX110" i="216"/>
  <c r="DV110" i="216"/>
  <c r="DT110" i="216"/>
  <c r="DS110" i="216"/>
  <c r="DP110" i="216"/>
  <c r="DN110" i="216"/>
  <c r="DL110" i="216"/>
  <c r="DJ110" i="216"/>
  <c r="DI110" i="216"/>
  <c r="DF110" i="216"/>
  <c r="DD110" i="216"/>
  <c r="DB110" i="216"/>
  <c r="CZ110" i="216"/>
  <c r="CY110" i="216"/>
  <c r="CV110" i="216"/>
  <c r="CT110" i="216"/>
  <c r="CR110" i="216"/>
  <c r="CP110" i="216"/>
  <c r="CO110" i="216"/>
  <c r="CL110" i="216"/>
  <c r="CJ110" i="216"/>
  <c r="CH110" i="216"/>
  <c r="CF110" i="216"/>
  <c r="CE110" i="216"/>
  <c r="CB110" i="216"/>
  <c r="BZ110" i="216"/>
  <c r="BX110" i="216"/>
  <c r="BV110" i="216"/>
  <c r="BU110" i="216"/>
  <c r="BR110" i="216"/>
  <c r="BP110" i="216"/>
  <c r="BN110" i="216"/>
  <c r="BL110" i="216"/>
  <c r="BK110" i="216"/>
  <c r="BH110" i="216"/>
  <c r="BF110" i="216"/>
  <c r="BD110" i="216"/>
  <c r="BB110" i="216"/>
  <c r="BA110" i="216"/>
  <c r="AX110" i="216"/>
  <c r="AV110" i="216"/>
  <c r="AT110" i="216"/>
  <c r="AR110" i="216"/>
  <c r="AQ110" i="216"/>
  <c r="AN110" i="216"/>
  <c r="AL110" i="216"/>
  <c r="AJ110" i="216"/>
  <c r="AH110" i="216"/>
  <c r="AG110" i="216"/>
  <c r="AD110" i="216"/>
  <c r="AB110" i="216"/>
  <c r="Z110" i="216"/>
  <c r="X110" i="216"/>
  <c r="W110" i="216"/>
  <c r="T110" i="216"/>
  <c r="R110" i="216"/>
  <c r="P110" i="216"/>
  <c r="EP109" i="216"/>
  <c r="EN109" i="216"/>
  <c r="EL109" i="216"/>
  <c r="EK109" i="216"/>
  <c r="EI109" i="216"/>
  <c r="EZ109" i="216" s="1"/>
  <c r="EG109" i="216"/>
  <c r="EF109" i="216"/>
  <c r="EE109" i="216"/>
  <c r="EM109" i="216" s="1"/>
  <c r="ED109" i="216"/>
  <c r="EC109" i="216"/>
  <c r="DZ109" i="216"/>
  <c r="DX109" i="216"/>
  <c r="DV109" i="216"/>
  <c r="DT109" i="216"/>
  <c r="DS109" i="216"/>
  <c r="DP109" i="216"/>
  <c r="DN109" i="216"/>
  <c r="DL109" i="216"/>
  <c r="DJ109" i="216"/>
  <c r="DI109" i="216"/>
  <c r="DF109" i="216"/>
  <c r="DD109" i="216"/>
  <c r="DB109" i="216"/>
  <c r="CZ109" i="216"/>
  <c r="CY109" i="216"/>
  <c r="CV109" i="216"/>
  <c r="CT109" i="216"/>
  <c r="CR109" i="216"/>
  <c r="CP109" i="216"/>
  <c r="CO109" i="216"/>
  <c r="CL109" i="216"/>
  <c r="CJ109" i="216"/>
  <c r="CH109" i="216"/>
  <c r="CF109" i="216"/>
  <c r="CE109" i="216"/>
  <c r="CB109" i="216"/>
  <c r="BZ109" i="216"/>
  <c r="BX109" i="216"/>
  <c r="BV109" i="216"/>
  <c r="BU109" i="216"/>
  <c r="BR109" i="216"/>
  <c r="BP109" i="216"/>
  <c r="BN109" i="216"/>
  <c r="BL109" i="216"/>
  <c r="BK109" i="216"/>
  <c r="BH109" i="216"/>
  <c r="BF109" i="216"/>
  <c r="BD109" i="216"/>
  <c r="BB109" i="216"/>
  <c r="BA109" i="216"/>
  <c r="AX109" i="216"/>
  <c r="AV109" i="216"/>
  <c r="AT109" i="216"/>
  <c r="AR109" i="216"/>
  <c r="AQ109" i="216"/>
  <c r="AN109" i="216"/>
  <c r="AL109" i="216"/>
  <c r="AJ109" i="216"/>
  <c r="AH109" i="216"/>
  <c r="AG109" i="216"/>
  <c r="AD109" i="216"/>
  <c r="AB109" i="216"/>
  <c r="Z109" i="216"/>
  <c r="X109" i="216"/>
  <c r="W109" i="216"/>
  <c r="T109" i="216"/>
  <c r="R109" i="216"/>
  <c r="P109" i="216"/>
  <c r="EB108" i="216"/>
  <c r="DY108" i="216"/>
  <c r="DW108" i="216"/>
  <c r="DU108" i="216"/>
  <c r="DR108" i="216"/>
  <c r="DO108" i="216"/>
  <c r="DM108" i="216"/>
  <c r="DL108" i="216" s="1"/>
  <c r="DK108" i="216"/>
  <c r="DS108" i="216" s="1"/>
  <c r="DH108" i="216"/>
  <c r="DG108" i="216"/>
  <c r="DF108" i="216" s="1"/>
  <c r="DE108" i="216"/>
  <c r="DC108" i="216"/>
  <c r="DA108" i="216"/>
  <c r="DI108" i="216" s="1"/>
  <c r="CX108" i="216"/>
  <c r="CW108" i="216"/>
  <c r="CU108" i="216"/>
  <c r="CT108" i="216" s="1"/>
  <c r="CS108" i="216"/>
  <c r="CQ108" i="216"/>
  <c r="CY108" i="216" s="1"/>
  <c r="CN108" i="216"/>
  <c r="CK108" i="216"/>
  <c r="CI108" i="216"/>
  <c r="CG108" i="216"/>
  <c r="CO108" i="216" s="1"/>
  <c r="CD108" i="216"/>
  <c r="CC108" i="216"/>
  <c r="CA108" i="216"/>
  <c r="BY108" i="216"/>
  <c r="BX108" i="216"/>
  <c r="BW108" i="216"/>
  <c r="CE108" i="216" s="1"/>
  <c r="BT108" i="216"/>
  <c r="BS108" i="216"/>
  <c r="BR108" i="216" s="1"/>
  <c r="BQ108" i="216"/>
  <c r="BP108" i="216" s="1"/>
  <c r="BO108" i="216"/>
  <c r="BM108" i="216"/>
  <c r="BU108" i="216" s="1"/>
  <c r="BJ108" i="216"/>
  <c r="BI108" i="216"/>
  <c r="BG108" i="216"/>
  <c r="BE108" i="216"/>
  <c r="BC108" i="216"/>
  <c r="BK108" i="216" s="1"/>
  <c r="AZ108" i="216"/>
  <c r="AY108" i="216"/>
  <c r="AW108" i="216"/>
  <c r="AU108" i="216"/>
  <c r="AT108" i="216"/>
  <c r="AS108" i="216"/>
  <c r="BA108" i="216" s="1"/>
  <c r="AP108" i="216"/>
  <c r="AM108" i="216"/>
  <c r="AK108" i="216"/>
  <c r="AI108" i="216"/>
  <c r="AF108" i="216"/>
  <c r="AE108" i="216"/>
  <c r="AD108" i="216"/>
  <c r="AC108" i="216"/>
  <c r="AB108" i="216" s="1"/>
  <c r="AA108" i="216"/>
  <c r="Y108" i="216"/>
  <c r="AG108" i="216" s="1"/>
  <c r="V108" i="216"/>
  <c r="U108" i="216"/>
  <c r="S108" i="216"/>
  <c r="Q108" i="216"/>
  <c r="O108" i="216"/>
  <c r="EB107" i="216"/>
  <c r="DY107" i="216"/>
  <c r="DW107" i="216"/>
  <c r="DU107" i="216"/>
  <c r="DR107" i="216"/>
  <c r="DM107" i="216"/>
  <c r="DL107" i="216" s="1"/>
  <c r="DK107" i="216"/>
  <c r="DH107" i="216"/>
  <c r="DG107" i="216"/>
  <c r="DF107" i="216" s="1"/>
  <c r="DE107" i="216"/>
  <c r="DC107" i="216"/>
  <c r="DA107" i="216"/>
  <c r="CX107" i="216"/>
  <c r="CW107" i="216"/>
  <c r="CU107" i="216"/>
  <c r="CS107" i="216"/>
  <c r="CR107" i="216" s="1"/>
  <c r="CQ107" i="216"/>
  <c r="CY107" i="216" s="1"/>
  <c r="CN107" i="216"/>
  <c r="CM107" i="216"/>
  <c r="CK107" i="216"/>
  <c r="CI107" i="216"/>
  <c r="CG107" i="216"/>
  <c r="CD107" i="216"/>
  <c r="CC107" i="216"/>
  <c r="CA107" i="216"/>
  <c r="BY107" i="216"/>
  <c r="BX107" i="216" s="1"/>
  <c r="BW107" i="216"/>
  <c r="BT107" i="216"/>
  <c r="BS107" i="216"/>
  <c r="BQ107" i="216"/>
  <c r="BO107" i="216"/>
  <c r="BM107" i="216"/>
  <c r="BJ107" i="216"/>
  <c r="BI107" i="216"/>
  <c r="BH107" i="216" s="1"/>
  <c r="BG107" i="216"/>
  <c r="BF107" i="216"/>
  <c r="BE107" i="216"/>
  <c r="BD107" i="216" s="1"/>
  <c r="BC107" i="216"/>
  <c r="AZ107" i="216"/>
  <c r="AY107" i="216"/>
  <c r="AW107" i="216"/>
  <c r="AU107" i="216"/>
  <c r="AS107" i="216"/>
  <c r="AP107" i="216"/>
  <c r="AO107" i="216"/>
  <c r="AM107" i="216"/>
  <c r="AK107" i="216"/>
  <c r="AI107" i="216"/>
  <c r="AF107" i="216"/>
  <c r="AE107" i="216"/>
  <c r="AC107" i="216"/>
  <c r="AA107" i="216"/>
  <c r="Y107" i="216"/>
  <c r="V107" i="216"/>
  <c r="U107" i="216"/>
  <c r="S107" i="216"/>
  <c r="R107" i="216" s="1"/>
  <c r="Q107" i="216"/>
  <c r="O107" i="216"/>
  <c r="D107" i="216"/>
  <c r="EB106" i="216"/>
  <c r="EA106" i="216"/>
  <c r="DY106" i="216"/>
  <c r="DW106" i="216"/>
  <c r="DU106" i="216"/>
  <c r="DR106" i="216"/>
  <c r="DM106" i="216"/>
  <c r="DK106" i="216"/>
  <c r="DH106" i="216"/>
  <c r="DG106" i="216"/>
  <c r="DE106" i="216"/>
  <c r="DC106" i="216"/>
  <c r="DA106" i="216"/>
  <c r="CX106" i="216"/>
  <c r="CW106" i="216"/>
  <c r="CU106" i="216"/>
  <c r="CS106" i="216"/>
  <c r="CQ106" i="216"/>
  <c r="CN106" i="216"/>
  <c r="CM106" i="216"/>
  <c r="CK106" i="216"/>
  <c r="CI106" i="216"/>
  <c r="CG106" i="216"/>
  <c r="CD106" i="216"/>
  <c r="CC106" i="216"/>
  <c r="CA106" i="216"/>
  <c r="BY106" i="216"/>
  <c r="BW106" i="216"/>
  <c r="BT106" i="216"/>
  <c r="BS106" i="216"/>
  <c r="BQ106" i="216"/>
  <c r="BO106" i="216"/>
  <c r="BM106" i="216"/>
  <c r="BJ106" i="216"/>
  <c r="BI106" i="216"/>
  <c r="BG106" i="216"/>
  <c r="BE106" i="216"/>
  <c r="BC106" i="216"/>
  <c r="AZ106" i="216"/>
  <c r="AY106" i="216"/>
  <c r="AW106" i="216"/>
  <c r="AU106" i="216"/>
  <c r="AS106" i="216"/>
  <c r="AP106" i="216"/>
  <c r="AO106" i="216"/>
  <c r="AM106" i="216"/>
  <c r="AK106" i="216"/>
  <c r="AI106" i="216"/>
  <c r="AF106" i="216"/>
  <c r="AE106" i="216"/>
  <c r="AC106" i="216"/>
  <c r="AA106" i="216"/>
  <c r="Y106" i="216"/>
  <c r="AG106" i="216" s="1"/>
  <c r="V106" i="216"/>
  <c r="U106" i="216"/>
  <c r="S106" i="216"/>
  <c r="Q106" i="216"/>
  <c r="O106" i="216"/>
  <c r="D106" i="216"/>
  <c r="EB105" i="216"/>
  <c r="EA105" i="216"/>
  <c r="EP105" i="216" s="1"/>
  <c r="DY105" i="216"/>
  <c r="DW105" i="216"/>
  <c r="DU105" i="216"/>
  <c r="DR105" i="216"/>
  <c r="DM105" i="216"/>
  <c r="DL105" i="216" s="1"/>
  <c r="DK105" i="216"/>
  <c r="DH105" i="216"/>
  <c r="DE105" i="216"/>
  <c r="DC105" i="216"/>
  <c r="DA105" i="216"/>
  <c r="CX105" i="216"/>
  <c r="CU105" i="216"/>
  <c r="CT105" i="216" s="1"/>
  <c r="CS105" i="216"/>
  <c r="CQ105" i="216"/>
  <c r="CN105" i="216"/>
  <c r="CM105" i="216"/>
  <c r="CP105" i="216" s="1"/>
  <c r="CK105" i="216"/>
  <c r="CJ105" i="216" s="1"/>
  <c r="CI105" i="216"/>
  <c r="CH105" i="216" s="1"/>
  <c r="CG105" i="216"/>
  <c r="CD105" i="216"/>
  <c r="CC105" i="216"/>
  <c r="CA105" i="216"/>
  <c r="BY105" i="216"/>
  <c r="BW105" i="216"/>
  <c r="CE105" i="216" s="1"/>
  <c r="BT105" i="216"/>
  <c r="BS105" i="216"/>
  <c r="BQ105" i="216"/>
  <c r="BO105" i="216"/>
  <c r="BM105" i="216"/>
  <c r="BU105" i="216" s="1"/>
  <c r="BJ105" i="216"/>
  <c r="BI105" i="216"/>
  <c r="BG105" i="216"/>
  <c r="BF105" i="216" s="1"/>
  <c r="BE105" i="216"/>
  <c r="BC105" i="216"/>
  <c r="AZ105" i="216"/>
  <c r="AY105" i="216"/>
  <c r="AW105" i="216"/>
  <c r="AU105" i="216"/>
  <c r="AS105" i="216"/>
  <c r="AP105" i="216"/>
  <c r="AO105" i="216"/>
  <c r="AM105" i="216"/>
  <c r="AK105" i="216"/>
  <c r="AI105" i="216"/>
  <c r="AQ105" i="216" s="1"/>
  <c r="AF105" i="216"/>
  <c r="AE105" i="216"/>
  <c r="AC105" i="216"/>
  <c r="AA105" i="216"/>
  <c r="Y105" i="216"/>
  <c r="V105" i="216"/>
  <c r="U105" i="216"/>
  <c r="T105" i="216"/>
  <c r="S105" i="216"/>
  <c r="Q105" i="216"/>
  <c r="O105" i="216"/>
  <c r="D105" i="216"/>
  <c r="EB104" i="216"/>
  <c r="EA104" i="216"/>
  <c r="DY104" i="216"/>
  <c r="DW104" i="216"/>
  <c r="DU104" i="216"/>
  <c r="DR104" i="216"/>
  <c r="DQ104" i="216"/>
  <c r="DM104" i="216"/>
  <c r="DK104" i="216"/>
  <c r="DH104" i="216"/>
  <c r="DG104" i="216"/>
  <c r="DE104" i="216"/>
  <c r="DC104" i="216"/>
  <c r="DA104" i="216"/>
  <c r="CX104" i="216"/>
  <c r="CW104" i="216"/>
  <c r="CU104" i="216"/>
  <c r="CT104" i="216" s="1"/>
  <c r="CS104" i="216"/>
  <c r="CQ104" i="216"/>
  <c r="CN104" i="216"/>
  <c r="CM104" i="216"/>
  <c r="CK104" i="216"/>
  <c r="CI104" i="216"/>
  <c r="CG104" i="216"/>
  <c r="CD104" i="216"/>
  <c r="CC104" i="216"/>
  <c r="CA104" i="216"/>
  <c r="BY104" i="216"/>
  <c r="BW104" i="216"/>
  <c r="BT104" i="216"/>
  <c r="BS104" i="216"/>
  <c r="BQ104" i="216"/>
  <c r="BO104" i="216"/>
  <c r="BM104" i="216"/>
  <c r="BJ104" i="216"/>
  <c r="BI104" i="216"/>
  <c r="BG104" i="216"/>
  <c r="BE104" i="216"/>
  <c r="BC104" i="216"/>
  <c r="AZ104" i="216"/>
  <c r="AY104" i="216"/>
  <c r="AW104" i="216"/>
  <c r="AU104" i="216"/>
  <c r="AS104" i="216"/>
  <c r="AP104" i="216"/>
  <c r="AO104" i="216"/>
  <c r="AM104" i="216"/>
  <c r="AK104" i="216"/>
  <c r="AI104" i="216"/>
  <c r="AQ104" i="216" s="1"/>
  <c r="AF104" i="216"/>
  <c r="AE104" i="216"/>
  <c r="AC104" i="216"/>
  <c r="AA104" i="216"/>
  <c r="Y104" i="216"/>
  <c r="V104" i="216"/>
  <c r="U104" i="216"/>
  <c r="S104" i="216"/>
  <c r="Q104" i="216"/>
  <c r="O104" i="216"/>
  <c r="D104" i="216"/>
  <c r="EB103" i="216"/>
  <c r="EA103" i="216"/>
  <c r="DY103" i="216"/>
  <c r="DW103" i="216"/>
  <c r="DU103" i="216"/>
  <c r="EC103" i="216" s="1"/>
  <c r="DR103" i="216"/>
  <c r="DO103" i="216"/>
  <c r="DM103" i="216"/>
  <c r="DK103" i="216"/>
  <c r="DS103" i="216" s="1"/>
  <c r="DH103" i="216"/>
  <c r="DG103" i="216"/>
  <c r="DE103" i="216"/>
  <c r="DC103" i="216"/>
  <c r="DA103" i="216"/>
  <c r="DI103" i="216" s="1"/>
  <c r="CX103" i="216"/>
  <c r="CW103" i="216"/>
  <c r="CU103" i="216"/>
  <c r="CT103" i="216" s="1"/>
  <c r="CS103" i="216"/>
  <c r="CR103" i="216" s="1"/>
  <c r="CQ103" i="216"/>
  <c r="CY103" i="216" s="1"/>
  <c r="CN103" i="216"/>
  <c r="CM103" i="216"/>
  <c r="CK103" i="216"/>
  <c r="CI103" i="216"/>
  <c r="CG103" i="216"/>
  <c r="CO103" i="216" s="1"/>
  <c r="CD103" i="216"/>
  <c r="CC103" i="216"/>
  <c r="CA103" i="216"/>
  <c r="BY103" i="216"/>
  <c r="BX103" i="216" s="1"/>
  <c r="BW103" i="216"/>
  <c r="CE103" i="216" s="1"/>
  <c r="BT103" i="216"/>
  <c r="BS103" i="216"/>
  <c r="BQ103" i="216"/>
  <c r="BP103" i="216" s="1"/>
  <c r="BO103" i="216"/>
  <c r="BM103" i="216"/>
  <c r="BJ103" i="216"/>
  <c r="BI103" i="216"/>
  <c r="BG103" i="216"/>
  <c r="BE103" i="216"/>
  <c r="BC103" i="216"/>
  <c r="AZ103" i="216"/>
  <c r="AY103" i="216"/>
  <c r="AW103" i="216"/>
  <c r="AU103" i="216"/>
  <c r="AS103" i="216"/>
  <c r="AP103" i="216"/>
  <c r="AO103" i="216"/>
  <c r="AM103" i="216"/>
  <c r="AK103" i="216"/>
  <c r="AI103" i="216"/>
  <c r="AQ103" i="216" s="1"/>
  <c r="AF103" i="216"/>
  <c r="AE103" i="216"/>
  <c r="AD103" i="216" s="1"/>
  <c r="AC103" i="216"/>
  <c r="AB103" i="216" s="1"/>
  <c r="AA103" i="216"/>
  <c r="Y103" i="216"/>
  <c r="V103" i="216"/>
  <c r="U103" i="216"/>
  <c r="S103" i="216"/>
  <c r="Q103" i="216"/>
  <c r="O103" i="216"/>
  <c r="D103" i="216"/>
  <c r="EB102" i="216"/>
  <c r="EA102" i="216"/>
  <c r="DY102" i="216"/>
  <c r="DW102" i="216"/>
  <c r="DU102" i="216"/>
  <c r="DR102" i="216"/>
  <c r="DM102" i="216"/>
  <c r="DK102" i="216"/>
  <c r="DH102" i="216"/>
  <c r="DG102" i="216"/>
  <c r="DE102" i="216"/>
  <c r="DC102" i="216"/>
  <c r="DA102" i="216"/>
  <c r="CX102" i="216"/>
  <c r="CW102" i="216"/>
  <c r="CV102" i="216" s="1"/>
  <c r="CU102" i="216"/>
  <c r="CS102" i="216"/>
  <c r="CQ102" i="216"/>
  <c r="CN102" i="216"/>
  <c r="CM102" i="216"/>
  <c r="CL102" i="216" s="1"/>
  <c r="CI102" i="216"/>
  <c r="CG102" i="216"/>
  <c r="CD102" i="216"/>
  <c r="CC102" i="216"/>
  <c r="CA102" i="216"/>
  <c r="BY102" i="216"/>
  <c r="BW102" i="216"/>
  <c r="BT102" i="216"/>
  <c r="BS102" i="216"/>
  <c r="BQ102" i="216"/>
  <c r="BO102" i="216"/>
  <c r="BM102" i="216"/>
  <c r="BJ102" i="216"/>
  <c r="BI102" i="216"/>
  <c r="BG102" i="216"/>
  <c r="BE102" i="216"/>
  <c r="BC102" i="216"/>
  <c r="AZ102" i="216"/>
  <c r="AY102" i="216"/>
  <c r="AW102" i="216"/>
  <c r="AU102" i="216"/>
  <c r="AS102" i="216"/>
  <c r="AP102" i="216"/>
  <c r="AO102" i="216"/>
  <c r="AM102" i="216"/>
  <c r="AK102" i="216"/>
  <c r="AI102" i="216"/>
  <c r="AF102" i="216"/>
  <c r="AE102" i="216"/>
  <c r="AC102" i="216"/>
  <c r="AA102" i="216"/>
  <c r="Y102" i="216"/>
  <c r="V102" i="216"/>
  <c r="U102" i="216"/>
  <c r="S102" i="216"/>
  <c r="R102" i="216" s="1"/>
  <c r="Q102" i="216"/>
  <c r="O102" i="216"/>
  <c r="D102" i="216"/>
  <c r="EB101" i="216"/>
  <c r="EA101" i="216"/>
  <c r="DY101" i="216"/>
  <c r="DW101" i="216"/>
  <c r="DV101" i="216"/>
  <c r="DU101" i="216"/>
  <c r="EC101" i="216" s="1"/>
  <c r="DR101" i="216"/>
  <c r="DM101" i="216"/>
  <c r="DK101" i="216"/>
  <c r="DH101" i="216"/>
  <c r="DJ101" i="216" s="1"/>
  <c r="DG101" i="216"/>
  <c r="DE101" i="216"/>
  <c r="DC101" i="216"/>
  <c r="DA101" i="216"/>
  <c r="CX101" i="216"/>
  <c r="CW101" i="216"/>
  <c r="CU101" i="216"/>
  <c r="CS101" i="216"/>
  <c r="CR101" i="216" s="1"/>
  <c r="CQ101" i="216"/>
  <c r="CY101" i="216" s="1"/>
  <c r="CN101" i="216"/>
  <c r="CM101" i="216"/>
  <c r="CK101" i="216"/>
  <c r="CI101" i="216"/>
  <c r="CG101" i="216"/>
  <c r="CO101" i="216" s="1"/>
  <c r="CD101" i="216"/>
  <c r="CC101" i="216"/>
  <c r="CB101" i="216" s="1"/>
  <c r="CA101" i="216"/>
  <c r="BY101" i="216"/>
  <c r="BW101" i="216"/>
  <c r="BT101" i="216"/>
  <c r="BS101" i="216"/>
  <c r="BQ101" i="216"/>
  <c r="BO101" i="216"/>
  <c r="BM101" i="216"/>
  <c r="BJ101" i="216"/>
  <c r="BI101" i="216"/>
  <c r="BG101" i="216"/>
  <c r="BE101" i="216"/>
  <c r="BC101" i="216"/>
  <c r="BK101" i="216" s="1"/>
  <c r="AZ101" i="216"/>
  <c r="AY101" i="216"/>
  <c r="AX101" i="216" s="1"/>
  <c r="AW101" i="216"/>
  <c r="AV101" i="216" s="1"/>
  <c r="AU101" i="216"/>
  <c r="AT101" i="216" s="1"/>
  <c r="AS101" i="216"/>
  <c r="BA101" i="216" s="1"/>
  <c r="AP101" i="216"/>
  <c r="AO101" i="216"/>
  <c r="AM101" i="216"/>
  <c r="AK101" i="216"/>
  <c r="AI101" i="216"/>
  <c r="AF101" i="216"/>
  <c r="AE101" i="216"/>
  <c r="AC101" i="216"/>
  <c r="AA101" i="216"/>
  <c r="Y101" i="216"/>
  <c r="V101" i="216"/>
  <c r="U101" i="216"/>
  <c r="S101" i="216"/>
  <c r="Q101" i="216"/>
  <c r="P101" i="216" s="1"/>
  <c r="O101" i="216"/>
  <c r="D101" i="216"/>
  <c r="EB100" i="216"/>
  <c r="EA100" i="216"/>
  <c r="DY100" i="216"/>
  <c r="DW100" i="216"/>
  <c r="DU100" i="216"/>
  <c r="DR100" i="216"/>
  <c r="DM100" i="216"/>
  <c r="DK100" i="216"/>
  <c r="DH100" i="216"/>
  <c r="DG100" i="216"/>
  <c r="DE100" i="216"/>
  <c r="DC100" i="216"/>
  <c r="DA100" i="216"/>
  <c r="CX100" i="216"/>
  <c r="CW100" i="216"/>
  <c r="CU100" i="216"/>
  <c r="CS100" i="216"/>
  <c r="CQ100" i="216"/>
  <c r="CY100" i="216" s="1"/>
  <c r="CN100" i="216"/>
  <c r="CM100" i="216"/>
  <c r="CK100" i="216"/>
  <c r="CI100" i="216"/>
  <c r="CG100" i="216"/>
  <c r="CD100" i="216"/>
  <c r="CC100" i="216"/>
  <c r="CA100" i="216"/>
  <c r="BY100" i="216"/>
  <c r="BW100" i="216"/>
  <c r="BT100" i="216"/>
  <c r="BS100" i="216"/>
  <c r="BR100" i="216" s="1"/>
  <c r="BQ100" i="216"/>
  <c r="BO100" i="216"/>
  <c r="BM100" i="216"/>
  <c r="BJ100" i="216"/>
  <c r="BI100" i="216"/>
  <c r="BG100" i="216"/>
  <c r="BE100" i="216"/>
  <c r="BC100" i="216"/>
  <c r="AZ100" i="216"/>
  <c r="AY100" i="216"/>
  <c r="AW100" i="216"/>
  <c r="AU100" i="216"/>
  <c r="AS100" i="216"/>
  <c r="AP100" i="216"/>
  <c r="AO100" i="216"/>
  <c r="AM100" i="216"/>
  <c r="AL100" i="216" s="1"/>
  <c r="AK100" i="216"/>
  <c r="AI100" i="216"/>
  <c r="AF100" i="216"/>
  <c r="AE100" i="216"/>
  <c r="AC100" i="216"/>
  <c r="AA100" i="216"/>
  <c r="Y100" i="216"/>
  <c r="V100" i="216"/>
  <c r="U100" i="216"/>
  <c r="S100" i="216"/>
  <c r="Q100" i="216"/>
  <c r="O100" i="216"/>
  <c r="D100" i="216"/>
  <c r="EB99" i="216"/>
  <c r="EA99" i="216"/>
  <c r="EP99" i="216" s="1"/>
  <c r="DZ99" i="216"/>
  <c r="DY99" i="216"/>
  <c r="DW99" i="216"/>
  <c r="DU99" i="216"/>
  <c r="DR99" i="216"/>
  <c r="DM99" i="216"/>
  <c r="DL99" i="216" s="1"/>
  <c r="DK99" i="216"/>
  <c r="DH99" i="216"/>
  <c r="DG99" i="216"/>
  <c r="DE99" i="216"/>
  <c r="DC99" i="216"/>
  <c r="DA99" i="216"/>
  <c r="CX99" i="216"/>
  <c r="CW99" i="216"/>
  <c r="CU99" i="216"/>
  <c r="CS99" i="216"/>
  <c r="CQ99" i="216"/>
  <c r="CN99" i="216"/>
  <c r="CM99" i="216"/>
  <c r="CK99" i="216"/>
  <c r="CI99" i="216"/>
  <c r="CG99" i="216"/>
  <c r="CD99" i="216"/>
  <c r="CC99" i="216"/>
  <c r="CA99" i="216"/>
  <c r="BY99" i="216"/>
  <c r="BX99" i="216" s="1"/>
  <c r="BW99" i="216"/>
  <c r="BT99" i="216"/>
  <c r="BS99" i="216"/>
  <c r="BQ99" i="216"/>
  <c r="BO99" i="216"/>
  <c r="BM99" i="216"/>
  <c r="BJ99" i="216"/>
  <c r="BI99" i="216"/>
  <c r="BG99" i="216"/>
  <c r="BE99" i="216"/>
  <c r="BC99" i="216"/>
  <c r="BK99" i="216" s="1"/>
  <c r="AZ99" i="216"/>
  <c r="AY99" i="216"/>
  <c r="AW99" i="216"/>
  <c r="AV99" i="216" s="1"/>
  <c r="AU99" i="216"/>
  <c r="AS99" i="216"/>
  <c r="AP99" i="216"/>
  <c r="AO99" i="216"/>
  <c r="AM99" i="216"/>
  <c r="AK99" i="216"/>
  <c r="AI99" i="216"/>
  <c r="AF99" i="216"/>
  <c r="AE99" i="216"/>
  <c r="AC99" i="216"/>
  <c r="AA99" i="216"/>
  <c r="Y99" i="216"/>
  <c r="AB99" i="216" s="1"/>
  <c r="V99" i="216"/>
  <c r="U99" i="216"/>
  <c r="T99" i="216" s="1"/>
  <c r="S99" i="216"/>
  <c r="R99" i="216"/>
  <c r="Q99" i="216"/>
  <c r="O99" i="216"/>
  <c r="D99" i="216"/>
  <c r="EB98" i="216"/>
  <c r="EA98" i="216"/>
  <c r="EP98" i="216" s="1"/>
  <c r="DY98" i="216"/>
  <c r="DW98" i="216"/>
  <c r="DU98" i="216"/>
  <c r="DR98" i="216"/>
  <c r="DM98" i="216"/>
  <c r="DK98" i="216"/>
  <c r="DH98" i="216"/>
  <c r="DE98" i="216"/>
  <c r="DC98" i="216"/>
  <c r="DA98" i="216"/>
  <c r="CX98" i="216"/>
  <c r="CU98" i="216"/>
  <c r="CS98" i="216"/>
  <c r="CQ98" i="216"/>
  <c r="CN98" i="216"/>
  <c r="CK98" i="216"/>
  <c r="CI98" i="216"/>
  <c r="CG98" i="216"/>
  <c r="CD98" i="216"/>
  <c r="CA98" i="216"/>
  <c r="BY98" i="216"/>
  <c r="BW98" i="216"/>
  <c r="BT98" i="216"/>
  <c r="BQ98" i="216"/>
  <c r="BO98" i="216"/>
  <c r="BM98" i="216"/>
  <c r="BJ98" i="216"/>
  <c r="BG98" i="216"/>
  <c r="BE98" i="216"/>
  <c r="BC98" i="216"/>
  <c r="AZ98" i="216"/>
  <c r="AY98" i="216"/>
  <c r="AW98" i="216"/>
  <c r="AU98" i="216"/>
  <c r="AS98" i="216"/>
  <c r="AP98" i="216"/>
  <c r="AO98" i="216"/>
  <c r="AM98" i="216"/>
  <c r="AK98" i="216"/>
  <c r="AI98" i="216"/>
  <c r="AF98" i="216"/>
  <c r="AE98" i="216"/>
  <c r="AC98" i="216"/>
  <c r="AA98" i="216"/>
  <c r="Y98" i="216"/>
  <c r="V98" i="216"/>
  <c r="U98" i="216"/>
  <c r="S98" i="216"/>
  <c r="Q98" i="216"/>
  <c r="O98" i="216"/>
  <c r="D98" i="216"/>
  <c r="EB97" i="216"/>
  <c r="EA97" i="216"/>
  <c r="EP97" i="216" s="1"/>
  <c r="DY97" i="216"/>
  <c r="DW97" i="216"/>
  <c r="DU97" i="216"/>
  <c r="DR97" i="216"/>
  <c r="DQ97" i="216"/>
  <c r="DM97" i="216"/>
  <c r="DL97" i="216"/>
  <c r="DK97" i="216"/>
  <c r="DH97" i="216"/>
  <c r="DG97" i="216"/>
  <c r="DF97" i="216" s="1"/>
  <c r="DE97" i="216"/>
  <c r="DC97" i="216"/>
  <c r="DA97" i="216"/>
  <c r="DB97" i="216" s="1"/>
  <c r="CX97" i="216"/>
  <c r="CW97" i="216"/>
  <c r="CV97" i="216" s="1"/>
  <c r="CU97" i="216"/>
  <c r="CT97" i="216" s="1"/>
  <c r="CS97" i="216"/>
  <c r="CQ97" i="216"/>
  <c r="CN97" i="216"/>
  <c r="CM97" i="216"/>
  <c r="CK97" i="216"/>
  <c r="CI97" i="216"/>
  <c r="CG97" i="216"/>
  <c r="CO97" i="216" s="1"/>
  <c r="CD97" i="216"/>
  <c r="CC97" i="216"/>
  <c r="CA97" i="216"/>
  <c r="BY97" i="216"/>
  <c r="BW97" i="216"/>
  <c r="CE97" i="216" s="1"/>
  <c r="BT97" i="216"/>
  <c r="BS97" i="216"/>
  <c r="BR97" i="216" s="1"/>
  <c r="BQ97" i="216"/>
  <c r="BO97" i="216"/>
  <c r="BN97" i="216"/>
  <c r="BM97" i="216"/>
  <c r="BU97" i="216" s="1"/>
  <c r="BJ97" i="216"/>
  <c r="BI97" i="216"/>
  <c r="BG97" i="216"/>
  <c r="BE97" i="216"/>
  <c r="BC97" i="216"/>
  <c r="BH97" i="216" s="1"/>
  <c r="AZ97" i="216"/>
  <c r="AY97" i="216"/>
  <c r="AW97" i="216"/>
  <c r="AU97" i="216"/>
  <c r="AS97" i="216"/>
  <c r="AP97" i="216"/>
  <c r="AO97" i="216"/>
  <c r="AM97" i="216"/>
  <c r="AK97" i="216"/>
  <c r="AI97" i="216"/>
  <c r="AF97" i="216"/>
  <c r="AC97" i="216"/>
  <c r="AA97" i="216"/>
  <c r="Y97" i="216"/>
  <c r="V97" i="216"/>
  <c r="U97" i="216"/>
  <c r="S97" i="216"/>
  <c r="Q97" i="216"/>
  <c r="O97" i="216"/>
  <c r="D97" i="216"/>
  <c r="EB96" i="216"/>
  <c r="EA96" i="216"/>
  <c r="DY96" i="216"/>
  <c r="DW96" i="216"/>
  <c r="DU96" i="216"/>
  <c r="DR96" i="216"/>
  <c r="DM96" i="216"/>
  <c r="DK96" i="216"/>
  <c r="DH96" i="216"/>
  <c r="DH111" i="216" s="1"/>
  <c r="DE96" i="216"/>
  <c r="DC96" i="216"/>
  <c r="DA96" i="216"/>
  <c r="CX96" i="216"/>
  <c r="CX111" i="216" s="1"/>
  <c r="CU96" i="216"/>
  <c r="CS96" i="216"/>
  <c r="CQ96" i="216"/>
  <c r="CN96" i="216"/>
  <c r="CM96" i="216"/>
  <c r="CK96" i="216"/>
  <c r="CI96" i="216"/>
  <c r="CG96" i="216"/>
  <c r="CD96" i="216"/>
  <c r="CC96" i="216"/>
  <c r="CA96" i="216"/>
  <c r="BY96" i="216"/>
  <c r="BW96" i="216"/>
  <c r="CE96" i="216" s="1"/>
  <c r="BT96" i="216"/>
  <c r="BT111" i="216" s="1"/>
  <c r="BQ96" i="216"/>
  <c r="BO96" i="216"/>
  <c r="BO111" i="216" s="1"/>
  <c r="BM96" i="216"/>
  <c r="BJ96" i="216"/>
  <c r="BJ111" i="216" s="1"/>
  <c r="BI96" i="216"/>
  <c r="BG96" i="216"/>
  <c r="BE96" i="216"/>
  <c r="BC96" i="216"/>
  <c r="AZ96" i="216"/>
  <c r="AY96" i="216"/>
  <c r="AW96" i="216"/>
  <c r="AU96" i="216"/>
  <c r="AS96" i="216"/>
  <c r="AP96" i="216"/>
  <c r="AO96" i="216"/>
  <c r="AM96" i="216"/>
  <c r="AK96" i="216"/>
  <c r="AI96" i="216"/>
  <c r="AI111" i="216" s="1"/>
  <c r="AF96" i="216"/>
  <c r="AE96" i="216"/>
  <c r="AC96" i="216"/>
  <c r="AA96" i="216"/>
  <c r="Y96" i="216"/>
  <c r="Y111" i="216" s="1"/>
  <c r="V96" i="216"/>
  <c r="U96" i="216"/>
  <c r="S96" i="216"/>
  <c r="Q96" i="216"/>
  <c r="O96" i="216"/>
  <c r="D96" i="216"/>
  <c r="EZ95" i="216"/>
  <c r="EP95" i="216"/>
  <c r="EM95" i="216"/>
  <c r="EJ95" i="216"/>
  <c r="EH95" i="216"/>
  <c r="EF95" i="216"/>
  <c r="ED95" i="216"/>
  <c r="EC95" i="216"/>
  <c r="DZ95" i="216"/>
  <c r="DX95" i="216"/>
  <c r="DV95" i="216"/>
  <c r="DT95" i="216"/>
  <c r="DS95" i="216"/>
  <c r="DP95" i="216"/>
  <c r="DN95" i="216"/>
  <c r="DL95" i="216"/>
  <c r="DJ95" i="216"/>
  <c r="DI95" i="216"/>
  <c r="DF95" i="216"/>
  <c r="DD95" i="216"/>
  <c r="DB95" i="216"/>
  <c r="CZ95" i="216"/>
  <c r="CY95" i="216"/>
  <c r="CV95" i="216"/>
  <c r="CT95" i="216"/>
  <c r="CR95" i="216"/>
  <c r="CP95" i="216"/>
  <c r="CO95" i="216"/>
  <c r="CL95" i="216"/>
  <c r="CJ95" i="216"/>
  <c r="CH95" i="216"/>
  <c r="CF95" i="216"/>
  <c r="CE95" i="216"/>
  <c r="CB95" i="216"/>
  <c r="BZ95" i="216"/>
  <c r="BX95" i="216"/>
  <c r="BV95" i="216"/>
  <c r="BU95" i="216"/>
  <c r="BR95" i="216"/>
  <c r="BP95" i="216"/>
  <c r="BN95" i="216"/>
  <c r="BL95" i="216"/>
  <c r="BK95" i="216"/>
  <c r="BH95" i="216"/>
  <c r="BF95" i="216"/>
  <c r="BD95" i="216"/>
  <c r="BB95" i="216"/>
  <c r="BA95" i="216"/>
  <c r="AX95" i="216"/>
  <c r="AV95" i="216"/>
  <c r="AT95" i="216"/>
  <c r="AR95" i="216"/>
  <c r="AQ95" i="216"/>
  <c r="AN95" i="216"/>
  <c r="AL95" i="216"/>
  <c r="AJ95" i="216"/>
  <c r="AH95" i="216"/>
  <c r="AG95" i="216"/>
  <c r="AD95" i="216"/>
  <c r="AB95" i="216"/>
  <c r="Z95" i="216"/>
  <c r="X95" i="216"/>
  <c r="W95" i="216"/>
  <c r="T95" i="216"/>
  <c r="R95" i="216"/>
  <c r="P95" i="216"/>
  <c r="EZ94" i="216"/>
  <c r="EP94" i="216"/>
  <c r="EM94" i="216"/>
  <c r="EJ94" i="216"/>
  <c r="EH94" i="216"/>
  <c r="EF94" i="216"/>
  <c r="ED94" i="216"/>
  <c r="EC94" i="216"/>
  <c r="DZ94" i="216"/>
  <c r="DX94" i="216"/>
  <c r="DV94" i="216"/>
  <c r="DT94" i="216"/>
  <c r="DS94" i="216"/>
  <c r="DP94" i="216"/>
  <c r="DN94" i="216"/>
  <c r="DL94" i="216"/>
  <c r="DJ94" i="216"/>
  <c r="DI94" i="216"/>
  <c r="DF94" i="216"/>
  <c r="DD94" i="216"/>
  <c r="DB94" i="216"/>
  <c r="CZ94" i="216"/>
  <c r="CY94" i="216"/>
  <c r="CV94" i="216"/>
  <c r="CT94" i="216"/>
  <c r="CR94" i="216"/>
  <c r="CP94" i="216"/>
  <c r="CO94" i="216"/>
  <c r="CL94" i="216"/>
  <c r="CJ94" i="216"/>
  <c r="CH94" i="216"/>
  <c r="CF94" i="216"/>
  <c r="CE94" i="216"/>
  <c r="CB94" i="216"/>
  <c r="BZ94" i="216"/>
  <c r="BX94" i="216"/>
  <c r="BV94" i="216"/>
  <c r="BU94" i="216"/>
  <c r="BR94" i="216"/>
  <c r="BP94" i="216"/>
  <c r="BN94" i="216"/>
  <c r="BL94" i="216"/>
  <c r="BK94" i="216"/>
  <c r="BH94" i="216"/>
  <c r="BF94" i="216"/>
  <c r="BD94" i="216"/>
  <c r="BB94" i="216"/>
  <c r="BA94" i="216"/>
  <c r="AX94" i="216"/>
  <c r="AV94" i="216"/>
  <c r="AT94" i="216"/>
  <c r="AR94" i="216"/>
  <c r="AQ94" i="216"/>
  <c r="AN94" i="216"/>
  <c r="AL94" i="216"/>
  <c r="AJ94" i="216"/>
  <c r="AH94" i="216"/>
  <c r="AG94" i="216"/>
  <c r="AD94" i="216"/>
  <c r="AB94" i="216"/>
  <c r="Z94" i="216"/>
  <c r="X94" i="216"/>
  <c r="W94" i="216" s="1"/>
  <c r="T94" i="216"/>
  <c r="R94" i="216"/>
  <c r="P94" i="216"/>
  <c r="H93" i="216"/>
  <c r="EP92" i="216"/>
  <c r="EN92" i="216"/>
  <c r="EL92" i="216"/>
  <c r="EK92" i="216"/>
  <c r="EI92" i="216"/>
  <c r="EZ92" i="216" s="1"/>
  <c r="EG92" i="216"/>
  <c r="EF92" i="216"/>
  <c r="EE92" i="216"/>
  <c r="EM92" i="216" s="1"/>
  <c r="ED92" i="216"/>
  <c r="EC92" i="216"/>
  <c r="DZ92" i="216"/>
  <c r="DX92" i="216"/>
  <c r="DV92" i="216"/>
  <c r="DT92" i="216"/>
  <c r="DS92" i="216"/>
  <c r="DP92" i="216"/>
  <c r="DN92" i="216"/>
  <c r="DL92" i="216"/>
  <c r="DJ92" i="216"/>
  <c r="DI92" i="216"/>
  <c r="DF92" i="216"/>
  <c r="DD92" i="216"/>
  <c r="DB92" i="216"/>
  <c r="CZ92" i="216"/>
  <c r="CY92" i="216"/>
  <c r="CV92" i="216"/>
  <c r="CT92" i="216"/>
  <c r="CR92" i="216"/>
  <c r="CP92" i="216"/>
  <c r="CO92" i="216"/>
  <c r="CL92" i="216"/>
  <c r="CJ92" i="216"/>
  <c r="CH92" i="216"/>
  <c r="CF92" i="216"/>
  <c r="CE92" i="216"/>
  <c r="CB92" i="216"/>
  <c r="BZ92" i="216"/>
  <c r="BX92" i="216"/>
  <c r="BV92" i="216"/>
  <c r="BU92" i="216"/>
  <c r="BR92" i="216"/>
  <c r="BP92" i="216"/>
  <c r="BN92" i="216"/>
  <c r="BL92" i="216"/>
  <c r="BK92" i="216"/>
  <c r="BH92" i="216"/>
  <c r="BF92" i="216"/>
  <c r="BD92" i="216"/>
  <c r="BB92" i="216"/>
  <c r="BA92" i="216"/>
  <c r="AX92" i="216"/>
  <c r="AV92" i="216"/>
  <c r="AT92" i="216"/>
  <c r="AR92" i="216"/>
  <c r="AQ92" i="216"/>
  <c r="AN92" i="216"/>
  <c r="AL92" i="216"/>
  <c r="AJ92" i="216"/>
  <c r="AH92" i="216"/>
  <c r="AG92" i="216"/>
  <c r="AD92" i="216"/>
  <c r="AB92" i="216"/>
  <c r="Z92" i="216"/>
  <c r="X92" i="216"/>
  <c r="W92" i="216"/>
  <c r="T92" i="216"/>
  <c r="R92" i="216"/>
  <c r="P92" i="216"/>
  <c r="EP91" i="216"/>
  <c r="EN91" i="216"/>
  <c r="EL91" i="216"/>
  <c r="EK91" i="216"/>
  <c r="EI91" i="216"/>
  <c r="EZ91" i="216" s="1"/>
  <c r="EG91" i="216"/>
  <c r="EF91" i="216"/>
  <c r="EE91" i="216"/>
  <c r="EM91" i="216" s="1"/>
  <c r="ED91" i="216"/>
  <c r="EC91" i="216"/>
  <c r="DZ91" i="216"/>
  <c r="DX91" i="216"/>
  <c r="DV91" i="216"/>
  <c r="DT91" i="216"/>
  <c r="DS91" i="216"/>
  <c r="DP91" i="216"/>
  <c r="DN91" i="216"/>
  <c r="DL91" i="216"/>
  <c r="DJ91" i="216"/>
  <c r="DI91" i="216"/>
  <c r="DF91" i="216"/>
  <c r="DD91" i="216"/>
  <c r="DB91" i="216"/>
  <c r="CZ91" i="216"/>
  <c r="CY91" i="216"/>
  <c r="CV91" i="216"/>
  <c r="CT91" i="216"/>
  <c r="CR91" i="216"/>
  <c r="CP91" i="216"/>
  <c r="CO91" i="216"/>
  <c r="CL91" i="216"/>
  <c r="CJ91" i="216"/>
  <c r="CH91" i="216"/>
  <c r="CF91" i="216"/>
  <c r="CE91" i="216"/>
  <c r="CB91" i="216"/>
  <c r="BZ91" i="216"/>
  <c r="BX91" i="216"/>
  <c r="BV91" i="216"/>
  <c r="BU91" i="216"/>
  <c r="BR91" i="216"/>
  <c r="BP91" i="216"/>
  <c r="BN91" i="216"/>
  <c r="BL91" i="216"/>
  <c r="BK91" i="216"/>
  <c r="BH91" i="216"/>
  <c r="BF91" i="216"/>
  <c r="BD91" i="216"/>
  <c r="BB91" i="216"/>
  <c r="BA91" i="216"/>
  <c r="AX91" i="216"/>
  <c r="AV91" i="216"/>
  <c r="AT91" i="216"/>
  <c r="AR91" i="216"/>
  <c r="AQ91" i="216"/>
  <c r="AN91" i="216"/>
  <c r="AL91" i="216"/>
  <c r="AJ91" i="216"/>
  <c r="AH91" i="216"/>
  <c r="AG91" i="216"/>
  <c r="AD91" i="216"/>
  <c r="AB91" i="216"/>
  <c r="Z91" i="216"/>
  <c r="X91" i="216"/>
  <c r="W91" i="216"/>
  <c r="T91" i="216"/>
  <c r="R91" i="216"/>
  <c r="P91" i="216"/>
  <c r="EP90" i="216"/>
  <c r="EN90" i="216"/>
  <c r="EL90" i="216"/>
  <c r="EK90" i="216"/>
  <c r="EI90" i="216"/>
  <c r="EZ90" i="216" s="1"/>
  <c r="EG90" i="216"/>
  <c r="EF90" i="216"/>
  <c r="EE90" i="216"/>
  <c r="EM90" i="216" s="1"/>
  <c r="ED90" i="216"/>
  <c r="EC90" i="216"/>
  <c r="DZ90" i="216"/>
  <c r="DX90" i="216"/>
  <c r="DV90" i="216"/>
  <c r="DT90" i="216"/>
  <c r="DS90" i="216"/>
  <c r="DP90" i="216"/>
  <c r="DN90" i="216"/>
  <c r="DL90" i="216"/>
  <c r="DJ90" i="216"/>
  <c r="DI90" i="216"/>
  <c r="DF90" i="216"/>
  <c r="DD90" i="216"/>
  <c r="DB90" i="216"/>
  <c r="CZ90" i="216"/>
  <c r="CY90" i="216"/>
  <c r="CV90" i="216"/>
  <c r="CT90" i="216"/>
  <c r="CR90" i="216"/>
  <c r="CP90" i="216"/>
  <c r="CO90" i="216"/>
  <c r="CL90" i="216"/>
  <c r="CJ90" i="216"/>
  <c r="CH90" i="216"/>
  <c r="CF90" i="216"/>
  <c r="CE90" i="216"/>
  <c r="CB90" i="216"/>
  <c r="BZ90" i="216"/>
  <c r="BX90" i="216"/>
  <c r="BV90" i="216"/>
  <c r="BU90" i="216"/>
  <c r="BR90" i="216"/>
  <c r="BP90" i="216"/>
  <c r="BN90" i="216"/>
  <c r="BL90" i="216"/>
  <c r="BK90" i="216"/>
  <c r="BH90" i="216"/>
  <c r="BF90" i="216"/>
  <c r="BD90" i="216"/>
  <c r="BB90" i="216"/>
  <c r="BA90" i="216"/>
  <c r="AX90" i="216"/>
  <c r="AV90" i="216"/>
  <c r="AT90" i="216"/>
  <c r="AR90" i="216"/>
  <c r="AQ90" i="216"/>
  <c r="AN90" i="216"/>
  <c r="AL90" i="216"/>
  <c r="AJ90" i="216"/>
  <c r="AH90" i="216"/>
  <c r="AG90" i="216"/>
  <c r="AD90" i="216"/>
  <c r="AB90" i="216"/>
  <c r="Z90" i="216"/>
  <c r="X90" i="216"/>
  <c r="W90" i="216"/>
  <c r="T90" i="216"/>
  <c r="R90" i="216"/>
  <c r="P90" i="216"/>
  <c r="EB89" i="216"/>
  <c r="EA89" i="216"/>
  <c r="DY89" i="216"/>
  <c r="DX89" i="216" s="1"/>
  <c r="DW89" i="216"/>
  <c r="DU89" i="216"/>
  <c r="DR89" i="216"/>
  <c r="DQ89" i="216"/>
  <c r="DO89" i="216"/>
  <c r="DM89" i="216"/>
  <c r="DK89" i="216"/>
  <c r="DH89" i="216"/>
  <c r="DG89" i="216"/>
  <c r="DE89" i="216"/>
  <c r="DD89" i="216" s="1"/>
  <c r="DC89" i="216"/>
  <c r="DA89" i="216"/>
  <c r="CX89" i="216"/>
  <c r="CW89" i="216"/>
  <c r="CU89" i="216"/>
  <c r="CS89" i="216"/>
  <c r="CQ89" i="216"/>
  <c r="CN89" i="216"/>
  <c r="CK89" i="216"/>
  <c r="CI89" i="216"/>
  <c r="CG89" i="216"/>
  <c r="CD89" i="216"/>
  <c r="CC89" i="216"/>
  <c r="CB89" i="216" s="1"/>
  <c r="CA89" i="216"/>
  <c r="BZ89" i="216" s="1"/>
  <c r="BY89" i="216"/>
  <c r="BX89" i="216" s="1"/>
  <c r="BW89" i="216"/>
  <c r="CE89" i="216" s="1"/>
  <c r="BT89" i="216"/>
  <c r="BS89" i="216"/>
  <c r="BR89" i="216" s="1"/>
  <c r="BQ89" i="216"/>
  <c r="BO89" i="216"/>
  <c r="BM89" i="216"/>
  <c r="BJ89" i="216"/>
  <c r="BI89" i="216"/>
  <c r="BG89" i="216"/>
  <c r="BE89" i="216"/>
  <c r="BC89" i="216"/>
  <c r="AZ89" i="216"/>
  <c r="AY89" i="216"/>
  <c r="AX89" i="216" s="1"/>
  <c r="AW89" i="216"/>
  <c r="AV89" i="216" s="1"/>
  <c r="AU89" i="216"/>
  <c r="AS89" i="216"/>
  <c r="BA89" i="216" s="1"/>
  <c r="AP89" i="216"/>
  <c r="AO89" i="216"/>
  <c r="AM89" i="216"/>
  <c r="AL89" i="216" s="1"/>
  <c r="AK89" i="216"/>
  <c r="AI89" i="216"/>
  <c r="AQ89" i="216" s="1"/>
  <c r="AF89" i="216"/>
  <c r="AE89" i="216"/>
  <c r="AC89" i="216"/>
  <c r="AA89" i="216"/>
  <c r="Y89" i="216"/>
  <c r="V89" i="216"/>
  <c r="U89" i="216"/>
  <c r="S89" i="216"/>
  <c r="Q89" i="216"/>
  <c r="P89" i="216" s="1"/>
  <c r="O89" i="216"/>
  <c r="D89" i="216"/>
  <c r="EA88" i="216"/>
  <c r="DY88" i="216"/>
  <c r="DW88" i="216"/>
  <c r="DU88" i="216"/>
  <c r="DR88" i="216"/>
  <c r="DQ88" i="216"/>
  <c r="DO88" i="216"/>
  <c r="DM88" i="216"/>
  <c r="DH88" i="216"/>
  <c r="DG88" i="216"/>
  <c r="DE88" i="216"/>
  <c r="DC88" i="216"/>
  <c r="DA88" i="216"/>
  <c r="CX88" i="216"/>
  <c r="CW88" i="216"/>
  <c r="CU88" i="216"/>
  <c r="CS88" i="216"/>
  <c r="CQ88" i="216"/>
  <c r="CN88" i="216"/>
  <c r="CM88" i="216"/>
  <c r="CK88" i="216"/>
  <c r="CJ88" i="216" s="1"/>
  <c r="CI88" i="216"/>
  <c r="CG88" i="216"/>
  <c r="CD88" i="216"/>
  <c r="CA88" i="216"/>
  <c r="BY88" i="216"/>
  <c r="BW88" i="216"/>
  <c r="BT88" i="216"/>
  <c r="BS88" i="216"/>
  <c r="BQ88" i="216"/>
  <c r="BO88" i="216"/>
  <c r="BM88" i="216"/>
  <c r="BJ88" i="216"/>
  <c r="BI88" i="216"/>
  <c r="BG88" i="216"/>
  <c r="BE88" i="216"/>
  <c r="BC88" i="216"/>
  <c r="AZ88" i="216"/>
  <c r="AY88" i="216"/>
  <c r="AW88" i="216"/>
  <c r="AU88" i="216"/>
  <c r="AS88" i="216"/>
  <c r="AP88" i="216"/>
  <c r="AO88" i="216"/>
  <c r="AM88" i="216"/>
  <c r="AK88" i="216"/>
  <c r="AI88" i="216"/>
  <c r="AF88" i="216"/>
  <c r="AE88" i="216"/>
  <c r="AC88" i="216"/>
  <c r="AA88" i="216"/>
  <c r="Y88" i="216"/>
  <c r="V88" i="216"/>
  <c r="U88" i="216"/>
  <c r="S88" i="216"/>
  <c r="Q88" i="216"/>
  <c r="O88" i="216"/>
  <c r="D88" i="216"/>
  <c r="EB87" i="216"/>
  <c r="EA87" i="216"/>
  <c r="EP87" i="216" s="1"/>
  <c r="DY87" i="216"/>
  <c r="DW87" i="216"/>
  <c r="DR87" i="216"/>
  <c r="DO87" i="216"/>
  <c r="DM87" i="216"/>
  <c r="DK87" i="216"/>
  <c r="DN87" i="216" s="1"/>
  <c r="DH87" i="216"/>
  <c r="DE87" i="216"/>
  <c r="DC87" i="216"/>
  <c r="DB87" i="216" s="1"/>
  <c r="DA87" i="216"/>
  <c r="CX87" i="216"/>
  <c r="CW87" i="216"/>
  <c r="CU87" i="216"/>
  <c r="CS87" i="216"/>
  <c r="CR87" i="216"/>
  <c r="CQ87" i="216"/>
  <c r="CN87" i="216"/>
  <c r="CK87" i="216"/>
  <c r="CI87" i="216"/>
  <c r="CG87" i="216"/>
  <c r="CD87" i="216"/>
  <c r="CA87" i="216"/>
  <c r="BY87" i="216"/>
  <c r="BW87" i="216"/>
  <c r="BT87" i="216"/>
  <c r="BQ87" i="216"/>
  <c r="BO87" i="216"/>
  <c r="BM87" i="216"/>
  <c r="BJ87" i="216"/>
  <c r="BG87" i="216"/>
  <c r="BE87" i="216"/>
  <c r="BC87" i="216"/>
  <c r="AZ87" i="216"/>
  <c r="AW87" i="216"/>
  <c r="AU87" i="216"/>
  <c r="AS87" i="216"/>
  <c r="AP87" i="216"/>
  <c r="AK87" i="216"/>
  <c r="AI87" i="216"/>
  <c r="AF87" i="216"/>
  <c r="AE87" i="216"/>
  <c r="AC87" i="216"/>
  <c r="AA87" i="216"/>
  <c r="Z87" i="216" s="1"/>
  <c r="Y87" i="216"/>
  <c r="V87" i="216"/>
  <c r="U87" i="216"/>
  <c r="Q87" i="216"/>
  <c r="D87" i="216"/>
  <c r="EB86" i="216"/>
  <c r="DY86" i="216"/>
  <c r="DW86" i="216"/>
  <c r="DR86" i="216"/>
  <c r="DQ86" i="216"/>
  <c r="DO86" i="216"/>
  <c r="DN86" i="216" s="1"/>
  <c r="DM86" i="216"/>
  <c r="DK86" i="216"/>
  <c r="DH86" i="216"/>
  <c r="DE86" i="216"/>
  <c r="DC86" i="216"/>
  <c r="DA86" i="216"/>
  <c r="CX86" i="216"/>
  <c r="CU86" i="216"/>
  <c r="CT86" i="216" s="1"/>
  <c r="CS86" i="216"/>
  <c r="CQ86" i="216"/>
  <c r="CR86" i="216" s="1"/>
  <c r="CN86" i="216"/>
  <c r="CM86" i="216"/>
  <c r="CK86" i="216"/>
  <c r="CI86" i="216"/>
  <c r="CG86" i="216"/>
  <c r="CD86" i="216"/>
  <c r="CC86" i="216"/>
  <c r="CA86" i="216"/>
  <c r="BY86" i="216"/>
  <c r="BW86" i="216"/>
  <c r="BT86" i="216"/>
  <c r="BS86" i="216"/>
  <c r="BO86" i="216"/>
  <c r="BM86" i="216"/>
  <c r="BJ86" i="216"/>
  <c r="BI86" i="216"/>
  <c r="BG86" i="216"/>
  <c r="BE86" i="216"/>
  <c r="BC86" i="216"/>
  <c r="BK86" i="216" s="1"/>
  <c r="AZ86" i="216"/>
  <c r="AY86" i="216"/>
  <c r="AW86" i="216"/>
  <c r="AU86" i="216"/>
  <c r="AS86" i="216"/>
  <c r="AP86" i="216"/>
  <c r="AM86" i="216"/>
  <c r="AK86" i="216"/>
  <c r="AI86" i="216"/>
  <c r="AF86" i="216"/>
  <c r="AE86" i="216"/>
  <c r="AD86" i="216" s="1"/>
  <c r="AC86" i="216"/>
  <c r="AA86" i="216"/>
  <c r="Y86" i="216"/>
  <c r="V86" i="216"/>
  <c r="U86" i="216"/>
  <c r="S86" i="216"/>
  <c r="Q86" i="216"/>
  <c r="O86" i="216"/>
  <c r="D86" i="216"/>
  <c r="EB85" i="216"/>
  <c r="DY85" i="216"/>
  <c r="DY93" i="216" s="1"/>
  <c r="DW85" i="216"/>
  <c r="DW93" i="216" s="1"/>
  <c r="DU85" i="216"/>
  <c r="DR85" i="216"/>
  <c r="DR93" i="216" s="1"/>
  <c r="DQ85" i="216"/>
  <c r="DO85" i="216"/>
  <c r="DO93" i="216" s="1"/>
  <c r="DM85" i="216"/>
  <c r="DK85" i="216"/>
  <c r="DH85" i="216"/>
  <c r="DH93" i="216" s="1"/>
  <c r="DE85" i="216"/>
  <c r="DC85" i="216"/>
  <c r="DA85" i="216"/>
  <c r="DA93" i="216" s="1"/>
  <c r="CX85" i="216"/>
  <c r="CX93" i="216" s="1"/>
  <c r="CW85" i="216"/>
  <c r="CV85" i="216" s="1"/>
  <c r="CU85" i="216"/>
  <c r="CS85" i="216"/>
  <c r="CQ85" i="216"/>
  <c r="CN85" i="216"/>
  <c r="CN93" i="216" s="1"/>
  <c r="CM85" i="216"/>
  <c r="CK85" i="216"/>
  <c r="CK93" i="216" s="1"/>
  <c r="CI85" i="216"/>
  <c r="CI93" i="216" s="1"/>
  <c r="CG85" i="216"/>
  <c r="CD85" i="216"/>
  <c r="CD93" i="216" s="1"/>
  <c r="CC85" i="216"/>
  <c r="CA85" i="216"/>
  <c r="CA93" i="216" s="1"/>
  <c r="BZ93" i="216" s="1"/>
  <c r="BY85" i="216"/>
  <c r="BX85" i="216" s="1"/>
  <c r="BW85" i="216"/>
  <c r="BW93" i="216" s="1"/>
  <c r="BT85" i="216"/>
  <c r="BQ85" i="216"/>
  <c r="BO85" i="216"/>
  <c r="BM85" i="216"/>
  <c r="BM93" i="216" s="1"/>
  <c r="BJ85" i="216"/>
  <c r="BJ93" i="216" s="1"/>
  <c r="BE85" i="216"/>
  <c r="BC85" i="216"/>
  <c r="BC93" i="216" s="1"/>
  <c r="AZ85" i="216"/>
  <c r="AZ93" i="216" s="1"/>
  <c r="AY85" i="216"/>
  <c r="AU85" i="216"/>
  <c r="AU93" i="216" s="1"/>
  <c r="AP85" i="216"/>
  <c r="AP93" i="216" s="1"/>
  <c r="AO85" i="216"/>
  <c r="AM85" i="216"/>
  <c r="AK85" i="216"/>
  <c r="AI85" i="216"/>
  <c r="AI93" i="216" s="1"/>
  <c r="AF85" i="216"/>
  <c r="AE85" i="216"/>
  <c r="AE93" i="216" s="1"/>
  <c r="AC85" i="216"/>
  <c r="AA85" i="216"/>
  <c r="Y85" i="216"/>
  <c r="Y93" i="216" s="1"/>
  <c r="V85" i="216"/>
  <c r="U85" i="216"/>
  <c r="S85" i="216"/>
  <c r="Q85" i="216"/>
  <c r="Q93" i="216" s="1"/>
  <c r="O85" i="216"/>
  <c r="P85" i="216" s="1"/>
  <c r="D85" i="216"/>
  <c r="EZ84" i="216"/>
  <c r="EP84" i="216"/>
  <c r="EM84" i="216"/>
  <c r="EJ84" i="216"/>
  <c r="EH84" i="216"/>
  <c r="EF84" i="216"/>
  <c r="EC84" i="216"/>
  <c r="DZ84" i="216"/>
  <c r="DX84" i="216"/>
  <c r="DV84" i="216"/>
  <c r="DS84" i="216"/>
  <c r="DP84" i="216"/>
  <c r="DN84" i="216"/>
  <c r="DL84" i="216"/>
  <c r="DI84" i="216"/>
  <c r="DF84" i="216"/>
  <c r="DD84" i="216"/>
  <c r="DB84" i="216"/>
  <c r="CY84" i="216"/>
  <c r="CV84" i="216"/>
  <c r="CT84" i="216"/>
  <c r="CR84" i="216"/>
  <c r="CO84" i="216"/>
  <c r="CL84" i="216"/>
  <c r="CJ84" i="216"/>
  <c r="CH84" i="216"/>
  <c r="CE84" i="216"/>
  <c r="CB84" i="216"/>
  <c r="BZ84" i="216"/>
  <c r="BX84" i="216"/>
  <c r="BU84" i="216"/>
  <c r="BR84" i="216"/>
  <c r="BP84" i="216"/>
  <c r="BN84" i="216"/>
  <c r="BK84" i="216"/>
  <c r="BH84" i="216"/>
  <c r="BF84" i="216"/>
  <c r="BD84" i="216"/>
  <c r="BA84" i="216"/>
  <c r="AX84" i="216"/>
  <c r="AV84" i="216"/>
  <c r="AT84" i="216"/>
  <c r="AQ84" i="216"/>
  <c r="AN84" i="216"/>
  <c r="AL84" i="216"/>
  <c r="AJ84" i="216"/>
  <c r="AG84" i="216"/>
  <c r="AD84" i="216"/>
  <c r="AB84" i="216"/>
  <c r="Z84" i="216"/>
  <c r="W84" i="216"/>
  <c r="T84" i="216"/>
  <c r="R84" i="216"/>
  <c r="P84" i="216"/>
  <c r="EZ83" i="216"/>
  <c r="EP83" i="216"/>
  <c r="EM83" i="216"/>
  <c r="EJ83" i="216"/>
  <c r="EH83" i="216"/>
  <c r="EF83" i="216"/>
  <c r="EC83" i="216"/>
  <c r="DZ83" i="216"/>
  <c r="DX83" i="216"/>
  <c r="DV83" i="216"/>
  <c r="DS83" i="216"/>
  <c r="DP83" i="216"/>
  <c r="DN83" i="216"/>
  <c r="DL83" i="216"/>
  <c r="DI83" i="216"/>
  <c r="DF83" i="216"/>
  <c r="DD83" i="216"/>
  <c r="DB83" i="216"/>
  <c r="CY83" i="216"/>
  <c r="CV83" i="216"/>
  <c r="CT83" i="216"/>
  <c r="CR83" i="216"/>
  <c r="CE83" i="216"/>
  <c r="CB83" i="216"/>
  <c r="BZ83" i="216"/>
  <c r="BX83" i="216"/>
  <c r="BU83" i="216"/>
  <c r="BR83" i="216"/>
  <c r="BP83" i="216"/>
  <c r="BN83" i="216"/>
  <c r="BK83" i="216"/>
  <c r="BH83" i="216"/>
  <c r="BF83" i="216"/>
  <c r="BD83" i="216"/>
  <c r="BA83" i="216"/>
  <c r="AX83" i="216"/>
  <c r="AV83" i="216"/>
  <c r="AT83" i="216"/>
  <c r="AQ83" i="216"/>
  <c r="AN83" i="216"/>
  <c r="AL83" i="216"/>
  <c r="AJ83" i="216"/>
  <c r="AG83" i="216"/>
  <c r="AD83" i="216"/>
  <c r="AB83" i="216"/>
  <c r="Z83" i="216"/>
  <c r="W83" i="216"/>
  <c r="T83" i="216"/>
  <c r="R83" i="216"/>
  <c r="P83" i="216"/>
  <c r="H82" i="216"/>
  <c r="EP81" i="216"/>
  <c r="EM81" i="216"/>
  <c r="EL81" i="216"/>
  <c r="EK81" i="216"/>
  <c r="EJ81" i="216" s="1"/>
  <c r="EI81" i="216"/>
  <c r="EG81" i="216"/>
  <c r="EN81" i="216" s="1"/>
  <c r="EE81" i="216"/>
  <c r="ED81" i="216"/>
  <c r="EC81" i="216"/>
  <c r="DZ81" i="216"/>
  <c r="DX81" i="216"/>
  <c r="DV81" i="216"/>
  <c r="DT81" i="216"/>
  <c r="DS81" i="216"/>
  <c r="DP81" i="216"/>
  <c r="DN81" i="216"/>
  <c r="DL81" i="216"/>
  <c r="DJ81" i="216"/>
  <c r="DI81" i="216"/>
  <c r="DF81" i="216"/>
  <c r="DD81" i="216"/>
  <c r="DB81" i="216"/>
  <c r="CZ81" i="216"/>
  <c r="CY81" i="216"/>
  <c r="CV81" i="216"/>
  <c r="CT81" i="216"/>
  <c r="CR81" i="216"/>
  <c r="CP81" i="216"/>
  <c r="CO81" i="216"/>
  <c r="CL81" i="216"/>
  <c r="CJ81" i="216"/>
  <c r="CH81" i="216"/>
  <c r="CF81" i="216"/>
  <c r="CE81" i="216"/>
  <c r="CB81" i="216"/>
  <c r="BZ81" i="216"/>
  <c r="BX81" i="216"/>
  <c r="BV81" i="216"/>
  <c r="BU81" i="216"/>
  <c r="BR81" i="216"/>
  <c r="BP81" i="216"/>
  <c r="BN81" i="216"/>
  <c r="BL81" i="216"/>
  <c r="BK81" i="216"/>
  <c r="BH81" i="216"/>
  <c r="BF81" i="216"/>
  <c r="BD81" i="216"/>
  <c r="BB81" i="216"/>
  <c r="BA81" i="216"/>
  <c r="AX81" i="216"/>
  <c r="AV81" i="216"/>
  <c r="AT81" i="216"/>
  <c r="AR81" i="216"/>
  <c r="AQ81" i="216"/>
  <c r="AN81" i="216"/>
  <c r="AL81" i="216"/>
  <c r="AJ81" i="216"/>
  <c r="AH81" i="216"/>
  <c r="AG81" i="216"/>
  <c r="AD81" i="216"/>
  <c r="AB81" i="216"/>
  <c r="Z81" i="216"/>
  <c r="X81" i="216"/>
  <c r="W81" i="216" s="1"/>
  <c r="T81" i="216"/>
  <c r="R81" i="216"/>
  <c r="P81" i="216"/>
  <c r="EP80" i="216"/>
  <c r="EM80" i="216"/>
  <c r="EL80" i="216"/>
  <c r="EK80" i="216"/>
  <c r="EJ80" i="216" s="1"/>
  <c r="EI80" i="216"/>
  <c r="EZ80" i="216" s="1"/>
  <c r="EG80" i="216"/>
  <c r="EN80" i="216" s="1"/>
  <c r="EE80" i="216"/>
  <c r="ED80" i="216"/>
  <c r="EC80" i="216"/>
  <c r="DZ80" i="216"/>
  <c r="DX80" i="216"/>
  <c r="DV80" i="216"/>
  <c r="DT80" i="216"/>
  <c r="DS80" i="216"/>
  <c r="DP80" i="216"/>
  <c r="DN80" i="216"/>
  <c r="DL80" i="216"/>
  <c r="DJ80" i="216"/>
  <c r="DI80" i="216"/>
  <c r="DF80" i="216"/>
  <c r="DD80" i="216"/>
  <c r="DB80" i="216"/>
  <c r="CZ80" i="216"/>
  <c r="CY80" i="216"/>
  <c r="CV80" i="216"/>
  <c r="CT80" i="216"/>
  <c r="CR80" i="216"/>
  <c r="CP80" i="216"/>
  <c r="CO80" i="216"/>
  <c r="CL80" i="216"/>
  <c r="CJ80" i="216"/>
  <c r="CH80" i="216"/>
  <c r="CF80" i="216"/>
  <c r="CE80" i="216"/>
  <c r="CB80" i="216"/>
  <c r="BZ80" i="216"/>
  <c r="BX80" i="216"/>
  <c r="BV80" i="216"/>
  <c r="BU80" i="216"/>
  <c r="BR80" i="216"/>
  <c r="BP80" i="216"/>
  <c r="BN80" i="216"/>
  <c r="BL80" i="216"/>
  <c r="BK80" i="216"/>
  <c r="BH80" i="216"/>
  <c r="BF80" i="216"/>
  <c r="BD80" i="216"/>
  <c r="BB80" i="216"/>
  <c r="BA80" i="216"/>
  <c r="AX80" i="216"/>
  <c r="AV80" i="216"/>
  <c r="AT80" i="216"/>
  <c r="AR80" i="216"/>
  <c r="AQ80" i="216"/>
  <c r="AN80" i="216"/>
  <c r="AL80" i="216"/>
  <c r="AJ80" i="216"/>
  <c r="AH80" i="216"/>
  <c r="AG80" i="216"/>
  <c r="AD80" i="216"/>
  <c r="AB80" i="216"/>
  <c r="Z80" i="216"/>
  <c r="X80" i="216"/>
  <c r="W80" i="216" s="1"/>
  <c r="T80" i="216"/>
  <c r="R80" i="216"/>
  <c r="P80" i="216"/>
  <c r="DY79" i="216"/>
  <c r="DW79" i="216"/>
  <c r="DU79" i="216"/>
  <c r="EC79" i="216" s="1"/>
  <c r="DR79" i="216"/>
  <c r="DO79" i="216"/>
  <c r="DM79" i="216"/>
  <c r="DK79" i="216"/>
  <c r="DS79" i="216" s="1"/>
  <c r="DH79" i="216"/>
  <c r="DG79" i="216"/>
  <c r="DE79" i="216"/>
  <c r="DC79" i="216"/>
  <c r="DA79" i="216"/>
  <c r="DI79" i="216" s="1"/>
  <c r="CX79" i="216"/>
  <c r="CW79" i="216"/>
  <c r="CU79" i="216"/>
  <c r="CS79" i="216"/>
  <c r="CQ79" i="216"/>
  <c r="CY79" i="216" s="1"/>
  <c r="CN79" i="216"/>
  <c r="CK79" i="216"/>
  <c r="CI79" i="216"/>
  <c r="CG79" i="216"/>
  <c r="CO79" i="216" s="1"/>
  <c r="CD79" i="216"/>
  <c r="CC79" i="216"/>
  <c r="CA79" i="216"/>
  <c r="BY79" i="216"/>
  <c r="BW79" i="216"/>
  <c r="CE79" i="216" s="1"/>
  <c r="BT79" i="216"/>
  <c r="BQ79" i="216"/>
  <c r="BO79" i="216"/>
  <c r="BM79" i="216"/>
  <c r="BU79" i="216" s="1"/>
  <c r="BJ79" i="216"/>
  <c r="BG79" i="216"/>
  <c r="BE79" i="216"/>
  <c r="BC79" i="216"/>
  <c r="BK79" i="216" s="1"/>
  <c r="AZ79" i="216"/>
  <c r="AW79" i="216"/>
  <c r="AU79" i="216"/>
  <c r="AS79" i="216"/>
  <c r="BA79" i="216" s="1"/>
  <c r="AP79" i="216"/>
  <c r="AM79" i="216"/>
  <c r="AK79" i="216"/>
  <c r="AI79" i="216"/>
  <c r="AQ79" i="216" s="1"/>
  <c r="AF79" i="216"/>
  <c r="AC79" i="216"/>
  <c r="AA79" i="216"/>
  <c r="Y79" i="216"/>
  <c r="AG79" i="216" s="1"/>
  <c r="V79" i="216"/>
  <c r="U79" i="216"/>
  <c r="S79" i="216"/>
  <c r="Q79" i="216"/>
  <c r="O79" i="216"/>
  <c r="EB78" i="216"/>
  <c r="EA78" i="216"/>
  <c r="DY78" i="216"/>
  <c r="DW78" i="216"/>
  <c r="DR78" i="216"/>
  <c r="DO78" i="216"/>
  <c r="DM78" i="216"/>
  <c r="DK78" i="216"/>
  <c r="DH78" i="216"/>
  <c r="DG78" i="216"/>
  <c r="DE78" i="216"/>
  <c r="DC78" i="216"/>
  <c r="DA78" i="216"/>
  <c r="CX78" i="216"/>
  <c r="CU78" i="216"/>
  <c r="CS78" i="216"/>
  <c r="CQ78" i="216"/>
  <c r="CN78" i="216"/>
  <c r="CM78" i="216"/>
  <c r="CK78" i="216"/>
  <c r="CI78" i="216"/>
  <c r="CG78" i="216"/>
  <c r="CD78" i="216"/>
  <c r="CA78" i="216"/>
  <c r="BY78" i="216"/>
  <c r="BW78" i="216"/>
  <c r="BT78" i="216"/>
  <c r="BS78" i="216"/>
  <c r="BQ78" i="216"/>
  <c r="BO78" i="216"/>
  <c r="BM78" i="216"/>
  <c r="BU78" i="216" s="1"/>
  <c r="BJ78" i="216"/>
  <c r="BG78" i="216"/>
  <c r="BE78" i="216"/>
  <c r="BC78" i="216"/>
  <c r="AZ78" i="216"/>
  <c r="AW78" i="216"/>
  <c r="AU78" i="216"/>
  <c r="AS78" i="216"/>
  <c r="AP78" i="216"/>
  <c r="AO78" i="216"/>
  <c r="AM78" i="216"/>
  <c r="AK78" i="216"/>
  <c r="AI78" i="216"/>
  <c r="AQ78" i="216" s="1"/>
  <c r="AF78" i="216"/>
  <c r="AA78" i="216"/>
  <c r="Y78" i="216"/>
  <c r="V78" i="216"/>
  <c r="U78" i="216"/>
  <c r="S78" i="216"/>
  <c r="Q78" i="216"/>
  <c r="O78" i="216"/>
  <c r="C78" i="216"/>
  <c r="D78" i="216" s="1"/>
  <c r="EB77" i="216"/>
  <c r="EA77" i="216"/>
  <c r="EP77" i="216" s="1"/>
  <c r="DY77" i="216"/>
  <c r="DW77" i="216"/>
  <c r="DR77" i="216"/>
  <c r="DO77" i="216"/>
  <c r="DM77" i="216"/>
  <c r="DK77" i="216"/>
  <c r="DH77" i="216"/>
  <c r="DE77" i="216"/>
  <c r="DC77" i="216"/>
  <c r="DA77" i="216"/>
  <c r="CX77" i="216"/>
  <c r="CU77" i="216"/>
  <c r="CS77" i="216"/>
  <c r="CQ77" i="216"/>
  <c r="CN77" i="216"/>
  <c r="CK77" i="216"/>
  <c r="CI77" i="216"/>
  <c r="CG77" i="216"/>
  <c r="CD77" i="216"/>
  <c r="CA77" i="216"/>
  <c r="BY77" i="216"/>
  <c r="BW77" i="216"/>
  <c r="BT77" i="216"/>
  <c r="BQ77" i="216"/>
  <c r="BO77" i="216"/>
  <c r="BM77" i="216"/>
  <c r="BJ77" i="216"/>
  <c r="BG77" i="216"/>
  <c r="BE77" i="216"/>
  <c r="BC77" i="216"/>
  <c r="AZ77" i="216"/>
  <c r="AY77" i="216"/>
  <c r="AX77" i="216" s="1"/>
  <c r="AW77" i="216"/>
  <c r="AU77" i="216"/>
  <c r="AS77" i="216"/>
  <c r="AP77" i="216"/>
  <c r="AO77" i="216"/>
  <c r="AM77" i="216"/>
  <c r="AK77" i="216"/>
  <c r="AI77" i="216"/>
  <c r="AQ77" i="216" s="1"/>
  <c r="AF77" i="216"/>
  <c r="AE77" i="216"/>
  <c r="AC77" i="216"/>
  <c r="AA77" i="216"/>
  <c r="Y77" i="216"/>
  <c r="AG77" i="216" s="1"/>
  <c r="V77" i="216"/>
  <c r="U77" i="216"/>
  <c r="S77" i="216"/>
  <c r="Q77" i="216"/>
  <c r="O77" i="216"/>
  <c r="D77" i="216"/>
  <c r="EB76" i="216"/>
  <c r="EA76" i="216"/>
  <c r="EP76" i="216" s="1"/>
  <c r="DY76" i="216"/>
  <c r="DW76" i="216"/>
  <c r="DR76" i="216"/>
  <c r="DQ76" i="216"/>
  <c r="DO76" i="216"/>
  <c r="DN76" i="216" s="1"/>
  <c r="DM76" i="216"/>
  <c r="DK76" i="216"/>
  <c r="DH76" i="216"/>
  <c r="DG76" i="216"/>
  <c r="DF76" i="216" s="1"/>
  <c r="DE76" i="216"/>
  <c r="DC76" i="216"/>
  <c r="DB76" i="216" s="1"/>
  <c r="DA76" i="216"/>
  <c r="CX76" i="216"/>
  <c r="CW76" i="216"/>
  <c r="CU76" i="216"/>
  <c r="CT76" i="216" s="1"/>
  <c r="CS76" i="216"/>
  <c r="CQ76" i="216"/>
  <c r="CN76" i="216"/>
  <c r="CM76" i="216"/>
  <c r="CK76" i="216"/>
  <c r="CI76" i="216"/>
  <c r="CG76" i="216"/>
  <c r="CD76" i="216"/>
  <c r="CC76" i="216"/>
  <c r="CA76" i="216"/>
  <c r="BY76" i="216"/>
  <c r="BW76" i="216"/>
  <c r="BZ76" i="216" s="1"/>
  <c r="BT76" i="216"/>
  <c r="BS76" i="216"/>
  <c r="BR76" i="216" s="1"/>
  <c r="BQ76" i="216"/>
  <c r="BO76" i="216"/>
  <c r="BM76" i="216"/>
  <c r="BJ76" i="216"/>
  <c r="BG76" i="216"/>
  <c r="BF76" i="216" s="1"/>
  <c r="BE76" i="216"/>
  <c r="BC76" i="216"/>
  <c r="AZ76" i="216"/>
  <c r="AY76" i="216"/>
  <c r="AW76" i="216"/>
  <c r="AU76" i="216"/>
  <c r="AS76" i="216"/>
  <c r="AP76" i="216"/>
  <c r="AO76" i="216"/>
  <c r="AN76" i="216" s="1"/>
  <c r="AM76" i="216"/>
  <c r="AK76" i="216"/>
  <c r="AJ76" i="216" s="1"/>
  <c r="AI76" i="216"/>
  <c r="AQ76" i="216" s="1"/>
  <c r="AF76" i="216"/>
  <c r="AE76" i="216"/>
  <c r="AC76" i="216"/>
  <c r="AA76" i="216"/>
  <c r="Y76" i="216"/>
  <c r="V76" i="216"/>
  <c r="U76" i="216"/>
  <c r="T76" i="216" s="1"/>
  <c r="S76" i="216"/>
  <c r="Q76" i="216"/>
  <c r="O76" i="216"/>
  <c r="D76" i="216"/>
  <c r="EB75" i="216"/>
  <c r="EA75" i="216"/>
  <c r="DY75" i="216"/>
  <c r="DW75" i="216"/>
  <c r="DR75" i="216"/>
  <c r="DO75" i="216"/>
  <c r="DM75" i="216"/>
  <c r="DK75" i="216"/>
  <c r="DH75" i="216"/>
  <c r="DE75" i="216"/>
  <c r="DC75" i="216"/>
  <c r="DA75" i="216"/>
  <c r="CX75" i="216"/>
  <c r="CU75" i="216"/>
  <c r="CS75" i="216"/>
  <c r="CQ75" i="216"/>
  <c r="CN75" i="216"/>
  <c r="CK75" i="216"/>
  <c r="CI75" i="216"/>
  <c r="CG75" i="216"/>
  <c r="CD75" i="216"/>
  <c r="CA75" i="216"/>
  <c r="BY75" i="216"/>
  <c r="BW75" i="216"/>
  <c r="BT75" i="216"/>
  <c r="BQ75" i="216"/>
  <c r="BO75" i="216"/>
  <c r="BM75" i="216"/>
  <c r="BJ75" i="216"/>
  <c r="BG75" i="216"/>
  <c r="BE75" i="216"/>
  <c r="BC75" i="216"/>
  <c r="AZ75" i="216"/>
  <c r="AY75" i="216"/>
  <c r="AW75" i="216"/>
  <c r="AU75" i="216"/>
  <c r="AS75" i="216"/>
  <c r="AP75" i="216"/>
  <c r="AO75" i="216"/>
  <c r="AM75" i="216"/>
  <c r="AK75" i="216"/>
  <c r="AI75" i="216"/>
  <c r="AQ75" i="216" s="1"/>
  <c r="AG75" i="216"/>
  <c r="AF75" i="216"/>
  <c r="AE75" i="216"/>
  <c r="AD75" i="216" s="1"/>
  <c r="AC75" i="216"/>
  <c r="AA75" i="216"/>
  <c r="Y75" i="216"/>
  <c r="V75" i="216"/>
  <c r="U75" i="216"/>
  <c r="S75" i="216"/>
  <c r="Q75" i="216"/>
  <c r="O75" i="216"/>
  <c r="D75" i="216"/>
  <c r="EB74" i="216"/>
  <c r="EA74" i="216"/>
  <c r="DY74" i="216"/>
  <c r="DW74" i="216"/>
  <c r="DR74" i="216"/>
  <c r="DQ74" i="216"/>
  <c r="DO74" i="216"/>
  <c r="DM74" i="216"/>
  <c r="DK74" i="216"/>
  <c r="DH74" i="216"/>
  <c r="DG74" i="216"/>
  <c r="DE74" i="216"/>
  <c r="DC74" i="216"/>
  <c r="DA74" i="216"/>
  <c r="CX74" i="216"/>
  <c r="CW74" i="216"/>
  <c r="CU74" i="216"/>
  <c r="CS74" i="216"/>
  <c r="CQ74" i="216"/>
  <c r="CN74" i="216"/>
  <c r="CM74" i="216"/>
  <c r="CK74" i="216"/>
  <c r="CI74" i="216"/>
  <c r="CG74" i="216"/>
  <c r="CD74" i="216"/>
  <c r="CC74" i="216"/>
  <c r="CA74" i="216"/>
  <c r="BY74" i="216"/>
  <c r="BW74" i="216"/>
  <c r="CE74" i="216" s="1"/>
  <c r="BT74" i="216"/>
  <c r="BS74" i="216"/>
  <c r="BR74" i="216" s="1"/>
  <c r="BQ74" i="216"/>
  <c r="BO74" i="216"/>
  <c r="BM74" i="216"/>
  <c r="BJ74" i="216"/>
  <c r="BI74" i="216"/>
  <c r="BG74" i="216"/>
  <c r="BE74" i="216"/>
  <c r="BD74" i="216" s="1"/>
  <c r="BC74" i="216"/>
  <c r="AZ74" i="216"/>
  <c r="AY74" i="216"/>
  <c r="AW74" i="216"/>
  <c r="AU74" i="216"/>
  <c r="AS74" i="216"/>
  <c r="AP74" i="216"/>
  <c r="AO74" i="216"/>
  <c r="AM74" i="216"/>
  <c r="AL74" i="216" s="1"/>
  <c r="AK74" i="216"/>
  <c r="AI74" i="216"/>
  <c r="AJ74" i="216" s="1"/>
  <c r="AF74" i="216"/>
  <c r="AE74" i="216"/>
  <c r="AC74" i="216"/>
  <c r="AA74" i="216"/>
  <c r="Y74" i="216"/>
  <c r="AD74" i="216" s="1"/>
  <c r="V74" i="216"/>
  <c r="U74" i="216"/>
  <c r="S74" i="216"/>
  <c r="Q74" i="216"/>
  <c r="O74" i="216"/>
  <c r="D74" i="216"/>
  <c r="EB73" i="216"/>
  <c r="EA73" i="216"/>
  <c r="DY73" i="216"/>
  <c r="DW73" i="216"/>
  <c r="DR73" i="216"/>
  <c r="DQ73" i="216"/>
  <c r="DO73" i="216"/>
  <c r="DM73" i="216"/>
  <c r="DK73" i="216"/>
  <c r="DH73" i="216"/>
  <c r="DG73" i="216"/>
  <c r="DE73" i="216"/>
  <c r="DC73" i="216"/>
  <c r="DA73" i="216"/>
  <c r="CX73" i="216"/>
  <c r="CW73" i="216"/>
  <c r="CU73" i="216"/>
  <c r="CS73" i="216"/>
  <c r="CQ73" i="216"/>
  <c r="CN73" i="216"/>
  <c r="CM73" i="216"/>
  <c r="CK73" i="216"/>
  <c r="CI73" i="216"/>
  <c r="CG73" i="216"/>
  <c r="CD73" i="216"/>
  <c r="CA73" i="216"/>
  <c r="BY73" i="216"/>
  <c r="BW73" i="216"/>
  <c r="BT73" i="216"/>
  <c r="BS73" i="216"/>
  <c r="BQ73" i="216"/>
  <c r="BO73" i="216"/>
  <c r="BM73" i="216"/>
  <c r="BJ73" i="216"/>
  <c r="BI73" i="216"/>
  <c r="BG73" i="216"/>
  <c r="BE73" i="216"/>
  <c r="BC73" i="216"/>
  <c r="AZ73" i="216"/>
  <c r="AY73" i="216"/>
  <c r="AW73" i="216"/>
  <c r="AU73" i="216"/>
  <c r="AS73" i="216"/>
  <c r="AP73" i="216"/>
  <c r="AO73" i="216"/>
  <c r="AM73" i="216"/>
  <c r="AK73" i="216"/>
  <c r="AI73" i="216"/>
  <c r="AF73" i="216"/>
  <c r="AE73" i="216"/>
  <c r="AD73" i="216" s="1"/>
  <c r="AC73" i="216"/>
  <c r="AA73" i="216"/>
  <c r="Y73" i="216"/>
  <c r="V73" i="216"/>
  <c r="U73" i="216"/>
  <c r="S73" i="216"/>
  <c r="Q73" i="216"/>
  <c r="O73" i="216"/>
  <c r="D73" i="216"/>
  <c r="EB72" i="216"/>
  <c r="EA72" i="216"/>
  <c r="EP72" i="216" s="1"/>
  <c r="DY72" i="216"/>
  <c r="DW72" i="216"/>
  <c r="DR72" i="216"/>
  <c r="DO72" i="216"/>
  <c r="DM72" i="216"/>
  <c r="DK72" i="216"/>
  <c r="DH72" i="216"/>
  <c r="DE72" i="216"/>
  <c r="DD72" i="216" s="1"/>
  <c r="DC72" i="216"/>
  <c r="DA72" i="216"/>
  <c r="CX72" i="216"/>
  <c r="CW72" i="216"/>
  <c r="CU72" i="216"/>
  <c r="CT72" i="216" s="1"/>
  <c r="CS72" i="216"/>
  <c r="CQ72" i="216"/>
  <c r="CN72" i="216"/>
  <c r="CM72" i="216"/>
  <c r="CK72" i="216"/>
  <c r="CI72" i="216"/>
  <c r="CG72" i="216"/>
  <c r="CD72" i="216"/>
  <c r="CC72" i="216"/>
  <c r="CA72" i="216"/>
  <c r="BY72" i="216"/>
  <c r="BW72" i="216"/>
  <c r="BT72" i="216"/>
  <c r="BS72" i="216"/>
  <c r="BQ72" i="216"/>
  <c r="BO72" i="216"/>
  <c r="BM72" i="216"/>
  <c r="BJ72" i="216"/>
  <c r="BI72" i="216"/>
  <c r="BG72" i="216"/>
  <c r="BE72" i="216"/>
  <c r="BC72" i="216"/>
  <c r="AZ72" i="216"/>
  <c r="AY72" i="216"/>
  <c r="AX72" i="216" s="1"/>
  <c r="AW72" i="216"/>
  <c r="AU72" i="216"/>
  <c r="AS72" i="216"/>
  <c r="BA72" i="216" s="1"/>
  <c r="AP72" i="216"/>
  <c r="AO72" i="216"/>
  <c r="AM72" i="216"/>
  <c r="AK72" i="216"/>
  <c r="AI72" i="216"/>
  <c r="AF72" i="216"/>
  <c r="AE72" i="216"/>
  <c r="AC72" i="216"/>
  <c r="AA72" i="216"/>
  <c r="Y72" i="216"/>
  <c r="V72" i="216"/>
  <c r="U72" i="216"/>
  <c r="S72" i="216"/>
  <c r="Q72" i="216"/>
  <c r="O72" i="216"/>
  <c r="D72" i="216"/>
  <c r="EB71" i="216"/>
  <c r="EA71" i="216"/>
  <c r="DY71" i="216"/>
  <c r="DW71" i="216"/>
  <c r="DR71" i="216"/>
  <c r="DQ71" i="216"/>
  <c r="DP71" i="216" s="1"/>
  <c r="DO71" i="216"/>
  <c r="DM71" i="216"/>
  <c r="DK71" i="216"/>
  <c r="DH71" i="216"/>
  <c r="DG71" i="216"/>
  <c r="DF71" i="216" s="1"/>
  <c r="DE71" i="216"/>
  <c r="DD71" i="216" s="1"/>
  <c r="DC71" i="216"/>
  <c r="DA71" i="216"/>
  <c r="CX71" i="216"/>
  <c r="CU71" i="216"/>
  <c r="CS71" i="216"/>
  <c r="CQ71" i="216"/>
  <c r="CN71" i="216"/>
  <c r="CM71" i="216"/>
  <c r="CL71" i="216" s="1"/>
  <c r="CK71" i="216"/>
  <c r="CI71" i="216"/>
  <c r="CG71" i="216"/>
  <c r="CD71" i="216"/>
  <c r="CC71" i="216"/>
  <c r="CA71" i="216"/>
  <c r="BY71" i="216"/>
  <c r="BW71" i="216"/>
  <c r="BT71" i="216"/>
  <c r="BS71" i="216"/>
  <c r="BR71" i="216" s="1"/>
  <c r="BQ71" i="216"/>
  <c r="BO71" i="216"/>
  <c r="BM71" i="216"/>
  <c r="BJ71" i="216"/>
  <c r="BI71" i="216"/>
  <c r="BH71" i="216" s="1"/>
  <c r="BG71" i="216"/>
  <c r="BE71" i="216"/>
  <c r="BC71" i="216"/>
  <c r="AZ71" i="216"/>
  <c r="AY71" i="216"/>
  <c r="AW71" i="216"/>
  <c r="AU71" i="216"/>
  <c r="AS71" i="216"/>
  <c r="AP71" i="216"/>
  <c r="AO71" i="216"/>
  <c r="AM71" i="216"/>
  <c r="AK71" i="216"/>
  <c r="AI71" i="216"/>
  <c r="AF71" i="216"/>
  <c r="AE71" i="216"/>
  <c r="AC71" i="216"/>
  <c r="AA71" i="216"/>
  <c r="Y71" i="216"/>
  <c r="V71" i="216"/>
  <c r="U71" i="216"/>
  <c r="S71" i="216"/>
  <c r="Q71" i="216"/>
  <c r="O71" i="216"/>
  <c r="D71" i="216"/>
  <c r="EB70" i="216"/>
  <c r="EA70" i="216"/>
  <c r="EP70" i="216" s="1"/>
  <c r="DY70" i="216"/>
  <c r="DW70" i="216"/>
  <c r="DR70" i="216"/>
  <c r="DQ70" i="216"/>
  <c r="DO70" i="216"/>
  <c r="DM70" i="216"/>
  <c r="DK70" i="216"/>
  <c r="DH70" i="216"/>
  <c r="DG70" i="216"/>
  <c r="DE70" i="216"/>
  <c r="DC70" i="216"/>
  <c r="DA70" i="216"/>
  <c r="CX70" i="216"/>
  <c r="CW70" i="216"/>
  <c r="CU70" i="216"/>
  <c r="CT70" i="216" s="1"/>
  <c r="CS70" i="216"/>
  <c r="CQ70" i="216"/>
  <c r="CN70" i="216"/>
  <c r="CM70" i="216"/>
  <c r="CK70" i="216"/>
  <c r="CI70" i="216"/>
  <c r="CG70" i="216"/>
  <c r="CD70" i="216"/>
  <c r="CC70" i="216"/>
  <c r="CA70" i="216"/>
  <c r="BY70" i="216"/>
  <c r="BW70" i="216"/>
  <c r="BT70" i="216"/>
  <c r="BS70" i="216"/>
  <c r="BR70" i="216" s="1"/>
  <c r="BQ70" i="216"/>
  <c r="BO70" i="216"/>
  <c r="BM70" i="216"/>
  <c r="BJ70" i="216"/>
  <c r="BI70" i="216"/>
  <c r="BG70" i="216"/>
  <c r="BE70" i="216"/>
  <c r="BC70" i="216"/>
  <c r="BK70" i="216" s="1"/>
  <c r="AZ70" i="216"/>
  <c r="AY70" i="216"/>
  <c r="AX70" i="216" s="1"/>
  <c r="AW70" i="216"/>
  <c r="AU70" i="216"/>
  <c r="AS70" i="216"/>
  <c r="AP70" i="216"/>
  <c r="AO70" i="216"/>
  <c r="AM70" i="216"/>
  <c r="AK70" i="216"/>
  <c r="AI70" i="216"/>
  <c r="AF70" i="216"/>
  <c r="AE70" i="216"/>
  <c r="AC70" i="216"/>
  <c r="AA70" i="216"/>
  <c r="Z70" i="216" s="1"/>
  <c r="Y70" i="216"/>
  <c r="V70" i="216"/>
  <c r="U70" i="216"/>
  <c r="S70" i="216"/>
  <c r="Q70" i="216"/>
  <c r="O70" i="216"/>
  <c r="D70" i="216"/>
  <c r="EB69" i="216"/>
  <c r="EA69" i="216"/>
  <c r="EP69" i="216" s="1"/>
  <c r="DY69" i="216"/>
  <c r="DW69" i="216"/>
  <c r="DR69" i="216"/>
  <c r="DQ69" i="216"/>
  <c r="DO69" i="216"/>
  <c r="DM69" i="216"/>
  <c r="DK69" i="216"/>
  <c r="DH69" i="216"/>
  <c r="DG69" i="216"/>
  <c r="DF69" i="216" s="1"/>
  <c r="DE69" i="216"/>
  <c r="DC69" i="216"/>
  <c r="DA69" i="216"/>
  <c r="CX69" i="216"/>
  <c r="CU69" i="216"/>
  <c r="CS69" i="216"/>
  <c r="CQ69" i="216"/>
  <c r="CN69" i="216"/>
  <c r="CM69" i="216"/>
  <c r="CK69" i="216"/>
  <c r="CI69" i="216"/>
  <c r="CG69" i="216"/>
  <c r="CD69" i="216"/>
  <c r="CA69" i="216"/>
  <c r="BY69" i="216"/>
  <c r="BW69" i="216"/>
  <c r="BT69" i="216"/>
  <c r="BS69" i="216"/>
  <c r="BQ69" i="216"/>
  <c r="BO69" i="216"/>
  <c r="BM69" i="216"/>
  <c r="BU69" i="216" s="1"/>
  <c r="BJ69" i="216"/>
  <c r="BI69" i="216"/>
  <c r="BG69" i="216"/>
  <c r="BE69" i="216"/>
  <c r="BC69" i="216"/>
  <c r="AZ69" i="216"/>
  <c r="AY69" i="216"/>
  <c r="AW69" i="216"/>
  <c r="AU69" i="216"/>
  <c r="AS69" i="216"/>
  <c r="AP69" i="216"/>
  <c r="AM69" i="216"/>
  <c r="AK69" i="216"/>
  <c r="AI69" i="216"/>
  <c r="AF69" i="216"/>
  <c r="AE69" i="216"/>
  <c r="AC69" i="216"/>
  <c r="AA69" i="216"/>
  <c r="Y69" i="216"/>
  <c r="V69" i="216"/>
  <c r="U69" i="216"/>
  <c r="S69" i="216"/>
  <c r="Q69" i="216"/>
  <c r="O69" i="216"/>
  <c r="D69" i="216"/>
  <c r="EB68" i="216"/>
  <c r="ED68" i="216" s="1"/>
  <c r="EA68" i="216"/>
  <c r="EP68" i="216" s="1"/>
  <c r="DY68" i="216"/>
  <c r="DW68" i="216"/>
  <c r="DR68" i="216"/>
  <c r="DO68" i="216"/>
  <c r="DM68" i="216"/>
  <c r="DK68" i="216"/>
  <c r="DH68" i="216"/>
  <c r="DE68" i="216"/>
  <c r="DC68" i="216"/>
  <c r="DA68" i="216"/>
  <c r="CX68" i="216"/>
  <c r="CU68" i="216"/>
  <c r="CS68" i="216"/>
  <c r="CQ68" i="216"/>
  <c r="CN68" i="216"/>
  <c r="CM68" i="216"/>
  <c r="CK68" i="216"/>
  <c r="CI68" i="216"/>
  <c r="CG68" i="216"/>
  <c r="CO68" i="216" s="1"/>
  <c r="CD68" i="216"/>
  <c r="CC68" i="216"/>
  <c r="CA68" i="216"/>
  <c r="BZ68" i="216" s="1"/>
  <c r="BY68" i="216"/>
  <c r="BW68" i="216"/>
  <c r="CE68" i="216" s="1"/>
  <c r="BT68" i="216"/>
  <c r="BS68" i="216"/>
  <c r="BQ68" i="216"/>
  <c r="BP68" i="216" s="1"/>
  <c r="BO68" i="216"/>
  <c r="BM68" i="216"/>
  <c r="BJ68" i="216"/>
  <c r="BI68" i="216"/>
  <c r="BG68" i="216"/>
  <c r="BF68" i="216" s="1"/>
  <c r="BE68" i="216"/>
  <c r="BC68" i="216"/>
  <c r="AZ68" i="216"/>
  <c r="AY68" i="216"/>
  <c r="AW68" i="216"/>
  <c r="AU68" i="216"/>
  <c r="AT68" i="216" s="1"/>
  <c r="AS68" i="216"/>
  <c r="BA68" i="216" s="1"/>
  <c r="AP68" i="216"/>
  <c r="AM68" i="216"/>
  <c r="AK68" i="216"/>
  <c r="AI68" i="216"/>
  <c r="AF68" i="216"/>
  <c r="AC68" i="216"/>
  <c r="AA68" i="216"/>
  <c r="Y68" i="216"/>
  <c r="V68" i="216"/>
  <c r="U68" i="216"/>
  <c r="T68" i="216" s="1"/>
  <c r="S68" i="216"/>
  <c r="Q68" i="216"/>
  <c r="O68" i="216"/>
  <c r="D68" i="216"/>
  <c r="EB67" i="216"/>
  <c r="EA67" i="216"/>
  <c r="EP67" i="216" s="1"/>
  <c r="DY67" i="216"/>
  <c r="DW67" i="216"/>
  <c r="DR67" i="216"/>
  <c r="DO67" i="216"/>
  <c r="DM67" i="216"/>
  <c r="DK67" i="216"/>
  <c r="DH67" i="216"/>
  <c r="DE67" i="216"/>
  <c r="DC67" i="216"/>
  <c r="DA67" i="216"/>
  <c r="CX67" i="216"/>
  <c r="CU67" i="216"/>
  <c r="CS67" i="216"/>
  <c r="CQ67" i="216"/>
  <c r="CN67" i="216"/>
  <c r="CK67" i="216"/>
  <c r="CJ67" i="216" s="1"/>
  <c r="CI67" i="216"/>
  <c r="CG67" i="216"/>
  <c r="CD67" i="216"/>
  <c r="CA67" i="216"/>
  <c r="BY67" i="216"/>
  <c r="BW67" i="216"/>
  <c r="BT67" i="216"/>
  <c r="BQ67" i="216"/>
  <c r="BP67" i="216" s="1"/>
  <c r="BO67" i="216"/>
  <c r="BM67" i="216"/>
  <c r="BJ67" i="216"/>
  <c r="BI67" i="216"/>
  <c r="BG67" i="216"/>
  <c r="BE67" i="216"/>
  <c r="BC67" i="216"/>
  <c r="AZ67" i="216"/>
  <c r="AY67" i="216"/>
  <c r="AW67" i="216"/>
  <c r="AU67" i="216"/>
  <c r="AS67" i="216"/>
  <c r="AP67" i="216"/>
  <c r="AO67" i="216"/>
  <c r="AM67" i="216"/>
  <c r="AK67" i="216"/>
  <c r="AI67" i="216"/>
  <c r="AQ67" i="216" s="1"/>
  <c r="AF67" i="216"/>
  <c r="AE67" i="216"/>
  <c r="AC67" i="216"/>
  <c r="AA67" i="216"/>
  <c r="Y67" i="216"/>
  <c r="AG67" i="216" s="1"/>
  <c r="V67" i="216"/>
  <c r="U67" i="216"/>
  <c r="S67" i="216"/>
  <c r="Q67" i="216"/>
  <c r="O67" i="216"/>
  <c r="D67" i="216"/>
  <c r="EB66" i="216"/>
  <c r="EA66" i="216"/>
  <c r="DY66" i="216"/>
  <c r="DW66" i="216"/>
  <c r="DR66" i="216"/>
  <c r="DO66" i="216"/>
  <c r="DM66" i="216"/>
  <c r="DK66" i="216"/>
  <c r="DH66" i="216"/>
  <c r="DE66" i="216"/>
  <c r="DC66" i="216"/>
  <c r="DA66" i="216"/>
  <c r="CX66" i="216"/>
  <c r="CU66" i="216"/>
  <c r="CS66" i="216"/>
  <c r="CQ66" i="216"/>
  <c r="CN66" i="216"/>
  <c r="CK66" i="216"/>
  <c r="CI66" i="216"/>
  <c r="CG66" i="216"/>
  <c r="CD66" i="216"/>
  <c r="CA66" i="216"/>
  <c r="BY66" i="216"/>
  <c r="BW66" i="216"/>
  <c r="BT66" i="216"/>
  <c r="BQ66" i="216"/>
  <c r="BO66" i="216"/>
  <c r="BM66" i="216"/>
  <c r="BJ66" i="216"/>
  <c r="BI66" i="216"/>
  <c r="BG66" i="216"/>
  <c r="BE66" i="216"/>
  <c r="BC66" i="216"/>
  <c r="BK66" i="216" s="1"/>
  <c r="AZ66" i="216"/>
  <c r="AY66" i="216"/>
  <c r="AX66" i="216" s="1"/>
  <c r="AW66" i="216"/>
  <c r="AV66" i="216" s="1"/>
  <c r="AU66" i="216"/>
  <c r="AT66" i="216" s="1"/>
  <c r="AS66" i="216"/>
  <c r="BA66" i="216" s="1"/>
  <c r="AP66" i="216"/>
  <c r="AO66" i="216"/>
  <c r="AN66" i="216" s="1"/>
  <c r="AM66" i="216"/>
  <c r="AL66" i="216" s="1"/>
  <c r="AK66" i="216"/>
  <c r="AJ66" i="216" s="1"/>
  <c r="AI66" i="216"/>
  <c r="AQ66" i="216" s="1"/>
  <c r="AF66" i="216"/>
  <c r="AE66" i="216"/>
  <c r="AC66" i="216"/>
  <c r="AB66" i="216" s="1"/>
  <c r="AA66" i="216"/>
  <c r="Y66" i="216"/>
  <c r="AG66" i="216" s="1"/>
  <c r="V66" i="216"/>
  <c r="U66" i="216"/>
  <c r="S66" i="216"/>
  <c r="Q66" i="216"/>
  <c r="P66" i="216" s="1"/>
  <c r="O66" i="216"/>
  <c r="D66" i="216"/>
  <c r="EB65" i="216"/>
  <c r="EA65" i="216"/>
  <c r="DY65" i="216"/>
  <c r="DW65" i="216"/>
  <c r="DR65" i="216"/>
  <c r="DO65" i="216"/>
  <c r="DM65" i="216"/>
  <c r="DK65" i="216"/>
  <c r="DH65" i="216"/>
  <c r="DE65" i="216"/>
  <c r="DC65" i="216"/>
  <c r="DA65" i="216"/>
  <c r="CX65" i="216"/>
  <c r="CU65" i="216"/>
  <c r="CS65" i="216"/>
  <c r="CQ65" i="216"/>
  <c r="CN65" i="216"/>
  <c r="CK65" i="216"/>
  <c r="CI65" i="216"/>
  <c r="CG65" i="216"/>
  <c r="CD65" i="216"/>
  <c r="CA65" i="216"/>
  <c r="BY65" i="216"/>
  <c r="BW65" i="216"/>
  <c r="BT65" i="216"/>
  <c r="BQ65" i="216"/>
  <c r="BO65" i="216"/>
  <c r="BM65" i="216"/>
  <c r="BJ65" i="216"/>
  <c r="BI65" i="216"/>
  <c r="BG65" i="216"/>
  <c r="BE65" i="216"/>
  <c r="BC65" i="216"/>
  <c r="AZ65" i="216"/>
  <c r="AY65" i="216"/>
  <c r="AW65" i="216"/>
  <c r="AU65" i="216"/>
  <c r="AS65" i="216"/>
  <c r="AP65" i="216"/>
  <c r="AO65" i="216"/>
  <c r="AM65" i="216"/>
  <c r="AK65" i="216"/>
  <c r="AI65" i="216"/>
  <c r="AF65" i="216"/>
  <c r="AE65" i="216"/>
  <c r="AC65" i="216"/>
  <c r="AA65" i="216"/>
  <c r="Y65" i="216"/>
  <c r="AG65" i="216" s="1"/>
  <c r="V65" i="216"/>
  <c r="U65" i="216"/>
  <c r="S65" i="216"/>
  <c r="Q65" i="216"/>
  <c r="O65" i="216"/>
  <c r="D65" i="216"/>
  <c r="EB64" i="216"/>
  <c r="EA64" i="216"/>
  <c r="EP64" i="216" s="1"/>
  <c r="DY64" i="216"/>
  <c r="DW64" i="216"/>
  <c r="DR64" i="216"/>
  <c r="DQ64" i="216"/>
  <c r="DP64" i="216" s="1"/>
  <c r="DO64" i="216"/>
  <c r="DN64" i="216" s="1"/>
  <c r="DM64" i="216"/>
  <c r="DK64" i="216"/>
  <c r="DS64" i="216" s="1"/>
  <c r="DH64" i="216"/>
  <c r="DG64" i="216"/>
  <c r="DE64" i="216"/>
  <c r="DC64" i="216"/>
  <c r="DB64" i="216" s="1"/>
  <c r="DA64" i="216"/>
  <c r="DI64" i="216" s="1"/>
  <c r="CX64" i="216"/>
  <c r="CW64" i="216"/>
  <c r="CU64" i="216"/>
  <c r="CS64" i="216"/>
  <c r="CQ64" i="216"/>
  <c r="CY64" i="216" s="1"/>
  <c r="CN64" i="216"/>
  <c r="CM64" i="216"/>
  <c r="CI64" i="216"/>
  <c r="CG64" i="216"/>
  <c r="CD64" i="216"/>
  <c r="BY64" i="216"/>
  <c r="BW64" i="216"/>
  <c r="BT64" i="216"/>
  <c r="BS64" i="216"/>
  <c r="BO64" i="216"/>
  <c r="BN64" i="216" s="1"/>
  <c r="BM64" i="216"/>
  <c r="BJ64" i="216"/>
  <c r="BI64" i="216"/>
  <c r="BG64" i="216"/>
  <c r="BE64" i="216"/>
  <c r="BC64" i="216"/>
  <c r="BK64" i="216" s="1"/>
  <c r="AZ64" i="216"/>
  <c r="AY64" i="216"/>
  <c r="AX64" i="216" s="1"/>
  <c r="AU64" i="216"/>
  <c r="AT64" i="216" s="1"/>
  <c r="AS64" i="216"/>
  <c r="AP64" i="216"/>
  <c r="AO64" i="216"/>
  <c r="AK64" i="216"/>
  <c r="AI64" i="216"/>
  <c r="AF64" i="216"/>
  <c r="AE64" i="216"/>
  <c r="AA64" i="216"/>
  <c r="Z64" i="216" s="1"/>
  <c r="Y64" i="216"/>
  <c r="V64" i="216"/>
  <c r="U64" i="216"/>
  <c r="Q64" i="216"/>
  <c r="O64" i="216"/>
  <c r="D64" i="216"/>
  <c r="EB63" i="216"/>
  <c r="EA63" i="216"/>
  <c r="DY63" i="216"/>
  <c r="DW63" i="216"/>
  <c r="DR63" i="216"/>
  <c r="DO63" i="216"/>
  <c r="DM63" i="216"/>
  <c r="DK63" i="216"/>
  <c r="DH63" i="216"/>
  <c r="DE63" i="216"/>
  <c r="DD63" i="216" s="1"/>
  <c r="DC63" i="216"/>
  <c r="DA63" i="216"/>
  <c r="CX63" i="216"/>
  <c r="CU63" i="216"/>
  <c r="CS63" i="216"/>
  <c r="CQ63" i="216"/>
  <c r="CN63" i="216"/>
  <c r="CK63" i="216"/>
  <c r="CI63" i="216"/>
  <c r="CG63" i="216"/>
  <c r="CD63" i="216"/>
  <c r="CC63" i="216"/>
  <c r="CA63" i="216"/>
  <c r="BY63" i="216"/>
  <c r="BW63" i="216"/>
  <c r="BT63" i="216"/>
  <c r="BQ63" i="216"/>
  <c r="BO63" i="216"/>
  <c r="BM63" i="216"/>
  <c r="BJ63" i="216"/>
  <c r="BG63" i="216"/>
  <c r="BE63" i="216"/>
  <c r="BC63" i="216"/>
  <c r="AZ63" i="216"/>
  <c r="AW63" i="216"/>
  <c r="AU63" i="216"/>
  <c r="AS63" i="216"/>
  <c r="AP63" i="216"/>
  <c r="AK63" i="216"/>
  <c r="AI63" i="216"/>
  <c r="AF63" i="216"/>
  <c r="AE63" i="216"/>
  <c r="AD63" i="216" s="1"/>
  <c r="AC63" i="216"/>
  <c r="AA63" i="216"/>
  <c r="Y63" i="216"/>
  <c r="V63" i="216"/>
  <c r="U63" i="216"/>
  <c r="S63" i="216"/>
  <c r="Q63" i="216"/>
  <c r="O63" i="216"/>
  <c r="D63" i="216"/>
  <c r="EB62" i="216"/>
  <c r="EA62" i="216"/>
  <c r="EP62" i="216" s="1"/>
  <c r="DY62" i="216"/>
  <c r="DW62" i="216"/>
  <c r="DR62" i="216"/>
  <c r="DO62" i="216"/>
  <c r="DM62" i="216"/>
  <c r="DL62" i="216" s="1"/>
  <c r="DK62" i="216"/>
  <c r="DH62" i="216"/>
  <c r="DE62" i="216"/>
  <c r="DC62" i="216"/>
  <c r="DA62" i="216"/>
  <c r="CX62" i="216"/>
  <c r="CU62" i="216"/>
  <c r="CT62" i="216" s="1"/>
  <c r="CS62" i="216"/>
  <c r="CQ62" i="216"/>
  <c r="CN62" i="216"/>
  <c r="CK62" i="216"/>
  <c r="CI62" i="216"/>
  <c r="CG62" i="216"/>
  <c r="CD62" i="216"/>
  <c r="CA62" i="216"/>
  <c r="BY62" i="216"/>
  <c r="BW62" i="216"/>
  <c r="BT62" i="216"/>
  <c r="BQ62" i="216"/>
  <c r="BP62" i="216"/>
  <c r="BO62" i="216"/>
  <c r="BM62" i="216"/>
  <c r="BJ62" i="216"/>
  <c r="BG62" i="216"/>
  <c r="BE62" i="216"/>
  <c r="BD62" i="216" s="1"/>
  <c r="BC62" i="216"/>
  <c r="AZ62" i="216"/>
  <c r="AW62" i="216"/>
  <c r="AV62" i="216" s="1"/>
  <c r="AU62" i="216"/>
  <c r="AS62" i="216"/>
  <c r="AP62" i="216"/>
  <c r="AK62" i="216"/>
  <c r="AJ62" i="216" s="1"/>
  <c r="AI62" i="216"/>
  <c r="AF62" i="216"/>
  <c r="AC62" i="216"/>
  <c r="AA62" i="216"/>
  <c r="Y62" i="216"/>
  <c r="V62" i="216"/>
  <c r="U62" i="216"/>
  <c r="S62" i="216"/>
  <c r="Q62" i="216"/>
  <c r="O62" i="216"/>
  <c r="D62" i="216"/>
  <c r="EB61" i="216"/>
  <c r="EA61" i="216"/>
  <c r="EP61" i="216" s="1"/>
  <c r="DY61" i="216"/>
  <c r="DW61" i="216"/>
  <c r="DU61" i="216"/>
  <c r="EC61" i="216" s="1"/>
  <c r="DR61" i="216"/>
  <c r="DQ61" i="216"/>
  <c r="DO61" i="216"/>
  <c r="DM61" i="216"/>
  <c r="DK61" i="216"/>
  <c r="DS61" i="216" s="1"/>
  <c r="DH61" i="216"/>
  <c r="DG61" i="216"/>
  <c r="DE61" i="216"/>
  <c r="DC61" i="216"/>
  <c r="DA61" i="216"/>
  <c r="DI61" i="216" s="1"/>
  <c r="CX61" i="216"/>
  <c r="CW61" i="216"/>
  <c r="CU61" i="216"/>
  <c r="CS61" i="216"/>
  <c r="CQ61" i="216"/>
  <c r="CN61" i="216"/>
  <c r="CM61" i="216"/>
  <c r="CK61" i="216"/>
  <c r="CI61" i="216"/>
  <c r="CG61" i="216"/>
  <c r="CD61" i="216"/>
  <c r="CC61" i="216"/>
  <c r="CA61" i="216"/>
  <c r="BY61" i="216"/>
  <c r="BW61" i="216"/>
  <c r="CE61" i="216" s="1"/>
  <c r="BT61" i="216"/>
  <c r="BS61" i="216"/>
  <c r="BO61" i="216"/>
  <c r="BM61" i="216"/>
  <c r="BJ61" i="216"/>
  <c r="BI61" i="216"/>
  <c r="BG61" i="216"/>
  <c r="BE61" i="216"/>
  <c r="BC61" i="216"/>
  <c r="BK61" i="216" s="1"/>
  <c r="AZ61" i="216"/>
  <c r="AY61" i="216"/>
  <c r="AX61" i="216" s="1"/>
  <c r="AU61" i="216"/>
  <c r="AS61" i="216"/>
  <c r="AP61" i="216"/>
  <c r="AO61" i="216"/>
  <c r="AK61" i="216"/>
  <c r="AI61" i="216"/>
  <c r="AF61" i="216"/>
  <c r="AE61" i="216"/>
  <c r="AD61" i="216" s="1"/>
  <c r="AA61" i="216"/>
  <c r="Y61" i="216"/>
  <c r="V61" i="216"/>
  <c r="U61" i="216"/>
  <c r="Q61" i="216"/>
  <c r="O61" i="216"/>
  <c r="D61" i="216"/>
  <c r="EB60" i="216"/>
  <c r="EA60" i="216"/>
  <c r="EP60" i="216" s="1"/>
  <c r="DY60" i="216"/>
  <c r="DW60" i="216"/>
  <c r="DR60" i="216"/>
  <c r="DQ60" i="216"/>
  <c r="DO60" i="216"/>
  <c r="DM60" i="216"/>
  <c r="DK60" i="216"/>
  <c r="DH60" i="216"/>
  <c r="DG60" i="216"/>
  <c r="DE60" i="216"/>
  <c r="DC60" i="216"/>
  <c r="DA60" i="216"/>
  <c r="CX60" i="216"/>
  <c r="CU60" i="216"/>
  <c r="CS60" i="216"/>
  <c r="CQ60" i="216"/>
  <c r="CN60" i="216"/>
  <c r="CM60" i="216"/>
  <c r="CK60" i="216"/>
  <c r="CI60" i="216"/>
  <c r="CG60" i="216"/>
  <c r="CD60" i="216"/>
  <c r="CA60" i="216"/>
  <c r="BY60" i="216"/>
  <c r="BW60" i="216"/>
  <c r="BT60" i="216"/>
  <c r="BS60" i="216"/>
  <c r="BQ60" i="216"/>
  <c r="BO60" i="216"/>
  <c r="BM60" i="216"/>
  <c r="BJ60" i="216"/>
  <c r="BI60" i="216"/>
  <c r="BG60" i="216"/>
  <c r="BE60" i="216"/>
  <c r="BC60" i="216"/>
  <c r="AZ60" i="216"/>
  <c r="AY60" i="216"/>
  <c r="AW60" i="216"/>
  <c r="AU60" i="216"/>
  <c r="AS60" i="216"/>
  <c r="AP60" i="216"/>
  <c r="AO60" i="216"/>
  <c r="AM60" i="216"/>
  <c r="AK60" i="216"/>
  <c r="AI60" i="216"/>
  <c r="AF60" i="216"/>
  <c r="AE60" i="216"/>
  <c r="AC60" i="216"/>
  <c r="AA60" i="216"/>
  <c r="Y60" i="216"/>
  <c r="V60" i="216"/>
  <c r="U60" i="216"/>
  <c r="S60" i="216"/>
  <c r="Q60" i="216"/>
  <c r="O60" i="216"/>
  <c r="D60" i="216"/>
  <c r="EB59" i="216"/>
  <c r="EA59" i="216"/>
  <c r="EP59" i="216" s="1"/>
  <c r="DY59" i="216"/>
  <c r="DW59" i="216"/>
  <c r="DR59" i="216"/>
  <c r="DQ59" i="216"/>
  <c r="DO59" i="216"/>
  <c r="DM59" i="216"/>
  <c r="DK59" i="216"/>
  <c r="DH59" i="216"/>
  <c r="DG59" i="216"/>
  <c r="DE59" i="216"/>
  <c r="DC59" i="216"/>
  <c r="DA59" i="216"/>
  <c r="CX59" i="216"/>
  <c r="CW59" i="216"/>
  <c r="CU59" i="216"/>
  <c r="CS59" i="216"/>
  <c r="CQ59" i="216"/>
  <c r="CN59" i="216"/>
  <c r="CM59" i="216"/>
  <c r="CK59" i="216"/>
  <c r="CI59" i="216"/>
  <c r="CG59" i="216"/>
  <c r="CD59" i="216"/>
  <c r="CA59" i="216"/>
  <c r="BY59" i="216"/>
  <c r="BW59" i="216"/>
  <c r="BT59" i="216"/>
  <c r="BS59" i="216"/>
  <c r="BR59" i="216" s="1"/>
  <c r="BQ59" i="216"/>
  <c r="BO59" i="216"/>
  <c r="BM59" i="216"/>
  <c r="BJ59" i="216"/>
  <c r="BI59" i="216"/>
  <c r="BG59" i="216"/>
  <c r="BE59" i="216"/>
  <c r="BC59" i="216"/>
  <c r="AZ59" i="216"/>
  <c r="AY59" i="216"/>
  <c r="AW59" i="216"/>
  <c r="AU59" i="216"/>
  <c r="AS59" i="216"/>
  <c r="AP59" i="216"/>
  <c r="AO59" i="216"/>
  <c r="AM59" i="216"/>
  <c r="AL59" i="216" s="1"/>
  <c r="AK59" i="216"/>
  <c r="AI59" i="216"/>
  <c r="AF59" i="216"/>
  <c r="AE59" i="216"/>
  <c r="AC59" i="216"/>
  <c r="AA59" i="216"/>
  <c r="Y59" i="216"/>
  <c r="V59" i="216"/>
  <c r="U59" i="216"/>
  <c r="S59" i="216"/>
  <c r="Q59" i="216"/>
  <c r="O59" i="216"/>
  <c r="D59" i="216"/>
  <c r="EB58" i="216"/>
  <c r="EA58" i="216"/>
  <c r="DY58" i="216"/>
  <c r="DW58" i="216"/>
  <c r="DR58" i="216"/>
  <c r="DO58" i="216"/>
  <c r="DM58" i="216"/>
  <c r="DL58" i="216" s="1"/>
  <c r="DK58" i="216"/>
  <c r="DH58" i="216"/>
  <c r="DE58" i="216"/>
  <c r="DC58" i="216"/>
  <c r="DA58" i="216"/>
  <c r="CX58" i="216"/>
  <c r="CU58" i="216"/>
  <c r="CS58" i="216"/>
  <c r="CQ58" i="216"/>
  <c r="CN58" i="216"/>
  <c r="CK58" i="216"/>
  <c r="CJ58" i="216"/>
  <c r="CI58" i="216"/>
  <c r="CG58" i="216"/>
  <c r="CD58" i="216"/>
  <c r="CA58" i="216"/>
  <c r="BY58" i="216"/>
  <c r="BX58" i="216" s="1"/>
  <c r="BW58" i="216"/>
  <c r="BT58" i="216"/>
  <c r="BQ58" i="216"/>
  <c r="BP58" i="216" s="1"/>
  <c r="BO58" i="216"/>
  <c r="BM58" i="216"/>
  <c r="BJ58" i="216"/>
  <c r="BG58" i="216"/>
  <c r="BE58" i="216"/>
  <c r="BC58" i="216"/>
  <c r="AZ58" i="216"/>
  <c r="AW58" i="216"/>
  <c r="AU58" i="216"/>
  <c r="AS58" i="216"/>
  <c r="AP58" i="216"/>
  <c r="AM58" i="216"/>
  <c r="AL58" i="216" s="1"/>
  <c r="AK58" i="216"/>
  <c r="AJ58" i="216" s="1"/>
  <c r="AI58" i="216"/>
  <c r="AF58" i="216"/>
  <c r="AC58" i="216"/>
  <c r="AB58" i="216" s="1"/>
  <c r="AA58" i="216"/>
  <c r="Y58" i="216"/>
  <c r="V58" i="216"/>
  <c r="S58" i="216"/>
  <c r="Q58" i="216"/>
  <c r="O58" i="216"/>
  <c r="D58" i="216"/>
  <c r="EP57" i="216"/>
  <c r="EB57" i="216"/>
  <c r="EA57" i="216"/>
  <c r="DY57" i="216"/>
  <c r="DW57" i="216"/>
  <c r="DR57" i="216"/>
  <c r="DO57" i="216"/>
  <c r="DM57" i="216"/>
  <c r="DK57" i="216"/>
  <c r="DN57" i="216" s="1"/>
  <c r="DH57" i="216"/>
  <c r="DE57" i="216"/>
  <c r="DD57" i="216" s="1"/>
  <c r="DC57" i="216"/>
  <c r="DA57" i="216"/>
  <c r="CX57" i="216"/>
  <c r="CU57" i="216"/>
  <c r="CS57" i="216"/>
  <c r="CQ57" i="216"/>
  <c r="CN57" i="216"/>
  <c r="CK57" i="216"/>
  <c r="CI57" i="216"/>
  <c r="CG57" i="216"/>
  <c r="CD57" i="216"/>
  <c r="CA57" i="216"/>
  <c r="BY57" i="216"/>
  <c r="BW57" i="216"/>
  <c r="BT57" i="216"/>
  <c r="BQ57" i="216"/>
  <c r="BO57" i="216"/>
  <c r="BM57" i="216"/>
  <c r="BJ57" i="216"/>
  <c r="BI57" i="216"/>
  <c r="BG57" i="216"/>
  <c r="BE57" i="216"/>
  <c r="BC57" i="216"/>
  <c r="AZ57" i="216"/>
  <c r="AY57" i="216"/>
  <c r="AW57" i="216"/>
  <c r="AU57" i="216"/>
  <c r="AS57" i="216"/>
  <c r="AP57" i="216"/>
  <c r="AO57" i="216"/>
  <c r="AM57" i="216"/>
  <c r="AK57" i="216"/>
  <c r="AI57" i="216"/>
  <c r="AF57" i="216"/>
  <c r="AC57" i="216"/>
  <c r="AA57" i="216"/>
  <c r="Y57" i="216"/>
  <c r="V57" i="216"/>
  <c r="S57" i="216"/>
  <c r="Q57" i="216"/>
  <c r="O57" i="216"/>
  <c r="D57" i="216"/>
  <c r="EB56" i="216"/>
  <c r="EA56" i="216"/>
  <c r="EP56" i="216" s="1"/>
  <c r="DY56" i="216"/>
  <c r="DW56" i="216"/>
  <c r="DR56" i="216"/>
  <c r="DQ56" i="216"/>
  <c r="DP56" i="216" s="1"/>
  <c r="DO56" i="216"/>
  <c r="DN56" i="216" s="1"/>
  <c r="DM56" i="216"/>
  <c r="DK56" i="216"/>
  <c r="DH56" i="216"/>
  <c r="DG56" i="216"/>
  <c r="DF56" i="216" s="1"/>
  <c r="DE56" i="216"/>
  <c r="DC56" i="216"/>
  <c r="DA56" i="216"/>
  <c r="CX56" i="216"/>
  <c r="CW56" i="216"/>
  <c r="CU56" i="216"/>
  <c r="CS56" i="216"/>
  <c r="CQ56" i="216"/>
  <c r="CN56" i="216"/>
  <c r="CM56" i="216"/>
  <c r="CK56" i="216"/>
  <c r="CI56" i="216"/>
  <c r="CG56" i="216"/>
  <c r="CD56" i="216"/>
  <c r="CA56" i="216"/>
  <c r="BY56" i="216"/>
  <c r="BW56" i="216"/>
  <c r="BT56" i="216"/>
  <c r="BS56" i="216"/>
  <c r="BQ56" i="216"/>
  <c r="BO56" i="216"/>
  <c r="BM56" i="216"/>
  <c r="BU56" i="216" s="1"/>
  <c r="BJ56" i="216"/>
  <c r="BI56" i="216"/>
  <c r="BG56" i="216"/>
  <c r="BE56" i="216"/>
  <c r="BD56" i="216" s="1"/>
  <c r="BC56" i="216"/>
  <c r="AZ56" i="216"/>
  <c r="AY56" i="216"/>
  <c r="AW56" i="216"/>
  <c r="AU56" i="216"/>
  <c r="AS56" i="216"/>
  <c r="AP56" i="216"/>
  <c r="AO56" i="216"/>
  <c r="AN56" i="216" s="1"/>
  <c r="AM56" i="216"/>
  <c r="AL56" i="216" s="1"/>
  <c r="AK56" i="216"/>
  <c r="AI56" i="216"/>
  <c r="AF56" i="216"/>
  <c r="AE56" i="216"/>
  <c r="AC56" i="216"/>
  <c r="AA56" i="216"/>
  <c r="Y56" i="216"/>
  <c r="V56" i="216"/>
  <c r="U56" i="216"/>
  <c r="S56" i="216"/>
  <c r="Q56" i="216"/>
  <c r="O56" i="216"/>
  <c r="R56" i="216" s="1"/>
  <c r="D56" i="216"/>
  <c r="EB55" i="216"/>
  <c r="EA55" i="216"/>
  <c r="DY55" i="216"/>
  <c r="DW55" i="216"/>
  <c r="DR55" i="216"/>
  <c r="DQ55" i="216"/>
  <c r="DO55" i="216"/>
  <c r="DM55" i="216"/>
  <c r="DK55" i="216"/>
  <c r="DH55" i="216"/>
  <c r="DG55" i="216"/>
  <c r="DE55" i="216"/>
  <c r="DC55" i="216"/>
  <c r="DA55" i="216"/>
  <c r="CX55" i="216"/>
  <c r="CW55" i="216"/>
  <c r="CU55" i="216"/>
  <c r="CS55" i="216"/>
  <c r="CQ55" i="216"/>
  <c r="CN55" i="216"/>
  <c r="CM55" i="216"/>
  <c r="CK55" i="216"/>
  <c r="CJ55" i="216" s="1"/>
  <c r="CI55" i="216"/>
  <c r="CG55" i="216"/>
  <c r="CO55" i="216" s="1"/>
  <c r="CD55" i="216"/>
  <c r="CA55" i="216"/>
  <c r="BY55" i="216"/>
  <c r="BW55" i="216"/>
  <c r="BT55" i="216"/>
  <c r="BS55" i="216"/>
  <c r="BQ55" i="216"/>
  <c r="BO55" i="216"/>
  <c r="BM55" i="216"/>
  <c r="BJ55" i="216"/>
  <c r="BI55" i="216"/>
  <c r="BG55" i="216"/>
  <c r="BE55" i="216"/>
  <c r="BC55" i="216"/>
  <c r="AZ55" i="216"/>
  <c r="AY55" i="216"/>
  <c r="AW55" i="216"/>
  <c r="AU55" i="216"/>
  <c r="AT55" i="216" s="1"/>
  <c r="AS55" i="216"/>
  <c r="BA55" i="216" s="1"/>
  <c r="AP55" i="216"/>
  <c r="AO55" i="216"/>
  <c r="AM55" i="216"/>
  <c r="AK55" i="216"/>
  <c r="AI55" i="216"/>
  <c r="AL55" i="216" s="1"/>
  <c r="AF55" i="216"/>
  <c r="AE55" i="216"/>
  <c r="AC55" i="216"/>
  <c r="AA55" i="216"/>
  <c r="Y55" i="216"/>
  <c r="V55" i="216"/>
  <c r="U55" i="216"/>
  <c r="S55" i="216"/>
  <c r="Q55" i="216"/>
  <c r="O55" i="216"/>
  <c r="D55" i="216"/>
  <c r="EB54" i="216"/>
  <c r="EA54" i="216"/>
  <c r="EP54" i="216" s="1"/>
  <c r="DY54" i="216"/>
  <c r="DW54" i="216"/>
  <c r="DR54" i="216"/>
  <c r="DQ54" i="216"/>
  <c r="DO54" i="216"/>
  <c r="DM54" i="216"/>
  <c r="DK54" i="216"/>
  <c r="DH54" i="216"/>
  <c r="DG54" i="216"/>
  <c r="DE54" i="216"/>
  <c r="DC54" i="216"/>
  <c r="DA54" i="216"/>
  <c r="DI54" i="216" s="1"/>
  <c r="CX54" i="216"/>
  <c r="CW54" i="216"/>
  <c r="CU54" i="216"/>
  <c r="CS54" i="216"/>
  <c r="CQ54" i="216"/>
  <c r="CY54" i="216" s="1"/>
  <c r="CN54" i="216"/>
  <c r="CM54" i="216"/>
  <c r="CL54" i="216" s="1"/>
  <c r="CK54" i="216"/>
  <c r="CJ54" i="216" s="1"/>
  <c r="CI54" i="216"/>
  <c r="CG54" i="216"/>
  <c r="CO54" i="216" s="1"/>
  <c r="CD54" i="216"/>
  <c r="CA54" i="216"/>
  <c r="BY54" i="216"/>
  <c r="BW54" i="216"/>
  <c r="BT54" i="216"/>
  <c r="BS54" i="216"/>
  <c r="BQ54" i="216"/>
  <c r="BO54" i="216"/>
  <c r="BM54" i="216"/>
  <c r="BJ54" i="216"/>
  <c r="BI54" i="216"/>
  <c r="BH54" i="216" s="1"/>
  <c r="BG54" i="216"/>
  <c r="BF54" i="216" s="1"/>
  <c r="BE54" i="216"/>
  <c r="BC54" i="216"/>
  <c r="AZ54" i="216"/>
  <c r="AY54" i="216"/>
  <c r="AW54" i="216"/>
  <c r="AV54" i="216" s="1"/>
  <c r="AU54" i="216"/>
  <c r="AS54" i="216"/>
  <c r="AP54" i="216"/>
  <c r="AO54" i="216"/>
  <c r="AM54" i="216"/>
  <c r="AK54" i="216"/>
  <c r="AI54" i="216"/>
  <c r="AF54" i="216"/>
  <c r="AE54" i="216"/>
  <c r="AC54" i="216"/>
  <c r="AA54" i="216"/>
  <c r="Y54" i="216"/>
  <c r="V54" i="216"/>
  <c r="U54" i="216"/>
  <c r="S54" i="216"/>
  <c r="Q54" i="216"/>
  <c r="O54" i="216"/>
  <c r="D54" i="216"/>
  <c r="EB53" i="216"/>
  <c r="EA53" i="216"/>
  <c r="EP53" i="216" s="1"/>
  <c r="DY53" i="216"/>
  <c r="DW53" i="216"/>
  <c r="DR53" i="216"/>
  <c r="DQ53" i="216"/>
  <c r="DP53" i="216" s="1"/>
  <c r="DO53" i="216"/>
  <c r="DM53" i="216"/>
  <c r="DK53" i="216"/>
  <c r="DH53" i="216"/>
  <c r="DG53" i="216"/>
  <c r="DE53" i="216"/>
  <c r="DC53" i="216"/>
  <c r="DA53" i="216"/>
  <c r="CX53" i="216"/>
  <c r="CW53" i="216"/>
  <c r="CU53" i="216"/>
  <c r="CS53" i="216"/>
  <c r="CQ53" i="216"/>
  <c r="CN53" i="216"/>
  <c r="CM53" i="216"/>
  <c r="CK53" i="216"/>
  <c r="CI53" i="216"/>
  <c r="CG53" i="216"/>
  <c r="CD53" i="216"/>
  <c r="CA53" i="216"/>
  <c r="BY53" i="216"/>
  <c r="BW53" i="216"/>
  <c r="BT53" i="216"/>
  <c r="BS53" i="216"/>
  <c r="BQ53" i="216"/>
  <c r="BO53" i="216"/>
  <c r="BM53" i="216"/>
  <c r="BJ53" i="216"/>
  <c r="BI53" i="216"/>
  <c r="BE53" i="216"/>
  <c r="BC53" i="216"/>
  <c r="AZ53" i="216"/>
  <c r="AY53" i="216"/>
  <c r="AW53" i="216"/>
  <c r="AU53" i="216"/>
  <c r="AS53" i="216"/>
  <c r="AP53" i="216"/>
  <c r="AO53" i="216"/>
  <c r="AN53" i="216" s="1"/>
  <c r="AM53" i="216"/>
  <c r="AL53" i="216" s="1"/>
  <c r="AK53" i="216"/>
  <c r="AI53" i="216"/>
  <c r="AF53" i="216"/>
  <c r="AE53" i="216"/>
  <c r="AC53" i="216"/>
  <c r="AA53" i="216"/>
  <c r="Y53" i="216"/>
  <c r="V53" i="216"/>
  <c r="U53" i="216"/>
  <c r="S53" i="216"/>
  <c r="Q53" i="216"/>
  <c r="O53" i="216"/>
  <c r="D53" i="216"/>
  <c r="EB52" i="216"/>
  <c r="EA52" i="216"/>
  <c r="EP52" i="216" s="1"/>
  <c r="DY52" i="216"/>
  <c r="DW52" i="216"/>
  <c r="DR52" i="216"/>
  <c r="DQ52" i="216"/>
  <c r="DO52" i="216"/>
  <c r="DM52" i="216"/>
  <c r="DK52" i="216"/>
  <c r="DH52" i="216"/>
  <c r="DG52" i="216"/>
  <c r="DE52" i="216"/>
  <c r="DC52" i="216"/>
  <c r="DB52" i="216"/>
  <c r="DA52" i="216"/>
  <c r="CX52" i="216"/>
  <c r="CW52" i="216"/>
  <c r="CU52" i="216"/>
  <c r="CS52" i="216"/>
  <c r="CQ52" i="216"/>
  <c r="CN52" i="216"/>
  <c r="CM52" i="216"/>
  <c r="CK52" i="216"/>
  <c r="CI52" i="216"/>
  <c r="CG52" i="216"/>
  <c r="CD52" i="216"/>
  <c r="CA52" i="216"/>
  <c r="BZ52" i="216" s="1"/>
  <c r="BY52" i="216"/>
  <c r="BX52" i="216" s="1"/>
  <c r="BW52" i="216"/>
  <c r="BT52" i="216"/>
  <c r="BS52" i="216"/>
  <c r="BR52" i="216" s="1"/>
  <c r="BQ52" i="216"/>
  <c r="BO52" i="216"/>
  <c r="BN52" i="216" s="1"/>
  <c r="BM52" i="216"/>
  <c r="BJ52" i="216"/>
  <c r="BI52" i="216"/>
  <c r="BG52" i="216"/>
  <c r="BE52" i="216"/>
  <c r="BC52" i="216"/>
  <c r="AZ52" i="216"/>
  <c r="AY52" i="216"/>
  <c r="AW52" i="216"/>
  <c r="AU52" i="216"/>
  <c r="AS52" i="216"/>
  <c r="AP52" i="216"/>
  <c r="AO52" i="216"/>
  <c r="AM52" i="216"/>
  <c r="AL52" i="216" s="1"/>
  <c r="AK52" i="216"/>
  <c r="AI52" i="216"/>
  <c r="AF52" i="216"/>
  <c r="AE52" i="216"/>
  <c r="AC52" i="216"/>
  <c r="AA52" i="216"/>
  <c r="Y52" i="216"/>
  <c r="V52" i="216"/>
  <c r="U52" i="216"/>
  <c r="S52" i="216"/>
  <c r="Q52" i="216"/>
  <c r="O52" i="216"/>
  <c r="T52" i="216" s="1"/>
  <c r="D52" i="216"/>
  <c r="EB51" i="216"/>
  <c r="EA51" i="216"/>
  <c r="DY51" i="216"/>
  <c r="DW51" i="216"/>
  <c r="DR51" i="216"/>
  <c r="DQ51" i="216"/>
  <c r="DP51" i="216" s="1"/>
  <c r="DO51" i="216"/>
  <c r="DM51" i="216"/>
  <c r="DK51" i="216"/>
  <c r="DH51" i="216"/>
  <c r="DG51" i="216"/>
  <c r="DE51" i="216"/>
  <c r="DC51" i="216"/>
  <c r="DA51" i="216"/>
  <c r="CX51" i="216"/>
  <c r="CW51" i="216"/>
  <c r="CU51" i="216"/>
  <c r="CS51" i="216"/>
  <c r="CQ51" i="216"/>
  <c r="CN51" i="216"/>
  <c r="CM51" i="216"/>
  <c r="CK51" i="216"/>
  <c r="CI51" i="216"/>
  <c r="CG51" i="216"/>
  <c r="CD51" i="216"/>
  <c r="CC51" i="216"/>
  <c r="CA51" i="216"/>
  <c r="BY51" i="216"/>
  <c r="BW51" i="216"/>
  <c r="BT51" i="216"/>
  <c r="BS51" i="216"/>
  <c r="BQ51" i="216"/>
  <c r="BO51" i="216"/>
  <c r="BM51" i="216"/>
  <c r="BJ51" i="216"/>
  <c r="BI51" i="216"/>
  <c r="BG51" i="216"/>
  <c r="BE51" i="216"/>
  <c r="BC51" i="216"/>
  <c r="AZ51" i="216"/>
  <c r="AY51" i="216"/>
  <c r="AW51" i="216"/>
  <c r="AU51" i="216"/>
  <c r="AS51" i="216"/>
  <c r="AP51" i="216"/>
  <c r="AO51" i="216"/>
  <c r="AM51" i="216"/>
  <c r="AK51" i="216"/>
  <c r="AI51" i="216"/>
  <c r="AQ51" i="216" s="1"/>
  <c r="AF51" i="216"/>
  <c r="AE51" i="216"/>
  <c r="AC51" i="216"/>
  <c r="AA51" i="216"/>
  <c r="Y51" i="216"/>
  <c r="AG51" i="216" s="1"/>
  <c r="V51" i="216"/>
  <c r="U51" i="216"/>
  <c r="S51" i="216"/>
  <c r="Q51" i="216"/>
  <c r="O51" i="216"/>
  <c r="D51" i="216"/>
  <c r="EB50" i="216"/>
  <c r="EA50" i="216"/>
  <c r="DY50" i="216"/>
  <c r="DW50" i="216"/>
  <c r="DR50" i="216"/>
  <c r="DQ50" i="216"/>
  <c r="DO50" i="216"/>
  <c r="DN50" i="216" s="1"/>
  <c r="DM50" i="216"/>
  <c r="DL50" i="216" s="1"/>
  <c r="DK50" i="216"/>
  <c r="DH50" i="216"/>
  <c r="DG50" i="216"/>
  <c r="DE50" i="216"/>
  <c r="DD50" i="216"/>
  <c r="DC50" i="216"/>
  <c r="DA50" i="216"/>
  <c r="CX50" i="216"/>
  <c r="CW50" i="216"/>
  <c r="CU50" i="216"/>
  <c r="CS50" i="216"/>
  <c r="CR50" i="216" s="1"/>
  <c r="CQ50" i="216"/>
  <c r="CV50" i="216" s="1"/>
  <c r="CN50" i="216"/>
  <c r="CM50" i="216"/>
  <c r="CL50" i="216" s="1"/>
  <c r="CK50" i="216"/>
  <c r="CI50" i="216"/>
  <c r="CH50" i="216" s="1"/>
  <c r="CG50" i="216"/>
  <c r="CD50" i="216"/>
  <c r="CA50" i="216"/>
  <c r="BY50" i="216"/>
  <c r="BW50" i="216"/>
  <c r="BT50" i="216"/>
  <c r="BS50" i="216"/>
  <c r="BQ50" i="216"/>
  <c r="BO50" i="216"/>
  <c r="BM50" i="216"/>
  <c r="BJ50" i="216"/>
  <c r="BI50" i="216"/>
  <c r="BG50" i="216"/>
  <c r="BF50" i="216" s="1"/>
  <c r="BE50" i="216"/>
  <c r="BD50" i="216" s="1"/>
  <c r="BC50" i="216"/>
  <c r="AZ50" i="216"/>
  <c r="AY50" i="216"/>
  <c r="AW50" i="216"/>
  <c r="AU50" i="216"/>
  <c r="AS50" i="216"/>
  <c r="AP50" i="216"/>
  <c r="AO50" i="216"/>
  <c r="AM50" i="216"/>
  <c r="AK50" i="216"/>
  <c r="AI50" i="216"/>
  <c r="AN50" i="216" s="1"/>
  <c r="AF50" i="216"/>
  <c r="AE50" i="216"/>
  <c r="AC50" i="216"/>
  <c r="AA50" i="216"/>
  <c r="Y50" i="216"/>
  <c r="V50" i="216"/>
  <c r="U50" i="216"/>
  <c r="T50" i="216" s="1"/>
  <c r="S50" i="216"/>
  <c r="Q50" i="216"/>
  <c r="O50" i="216"/>
  <c r="D50" i="216"/>
  <c r="EB49" i="216"/>
  <c r="EA49" i="216"/>
  <c r="EP49" i="216" s="1"/>
  <c r="DY49" i="216"/>
  <c r="DW49" i="216"/>
  <c r="DU49" i="216"/>
  <c r="DR49" i="216"/>
  <c r="DQ49" i="216"/>
  <c r="DO49" i="216"/>
  <c r="DM49" i="216"/>
  <c r="DK49" i="216"/>
  <c r="DH49" i="216"/>
  <c r="DG49" i="216"/>
  <c r="DE49" i="216"/>
  <c r="DC49" i="216"/>
  <c r="DA49" i="216"/>
  <c r="CX49" i="216"/>
  <c r="CW49" i="216"/>
  <c r="CV49" i="216" s="1"/>
  <c r="CU49" i="216"/>
  <c r="CS49" i="216"/>
  <c r="CQ49" i="216"/>
  <c r="CN49" i="216"/>
  <c r="CM49" i="216"/>
  <c r="CK49" i="216"/>
  <c r="CI49" i="216"/>
  <c r="CG49" i="216"/>
  <c r="CD49" i="216"/>
  <c r="CA49" i="216"/>
  <c r="BY49" i="216"/>
  <c r="BW49" i="216"/>
  <c r="BX49" i="216" s="1"/>
  <c r="BT49" i="216"/>
  <c r="BS49" i="216"/>
  <c r="BQ49" i="216"/>
  <c r="BO49" i="216"/>
  <c r="BM49" i="216"/>
  <c r="BJ49" i="216"/>
  <c r="BI49" i="216"/>
  <c r="BG49" i="216"/>
  <c r="BE49" i="216"/>
  <c r="BC49" i="216"/>
  <c r="AZ49" i="216"/>
  <c r="AY49" i="216"/>
  <c r="AW49" i="216"/>
  <c r="AU49" i="216"/>
  <c r="AS49" i="216"/>
  <c r="AP49" i="216"/>
  <c r="AO49" i="216"/>
  <c r="AM49" i="216"/>
  <c r="AK49" i="216"/>
  <c r="AI49" i="216"/>
  <c r="AF49" i="216"/>
  <c r="AE49" i="216"/>
  <c r="AC49" i="216"/>
  <c r="AA49" i="216"/>
  <c r="Y49" i="216"/>
  <c r="V49" i="216"/>
  <c r="U49" i="216"/>
  <c r="S49" i="216"/>
  <c r="Q49" i="216"/>
  <c r="O49" i="216"/>
  <c r="D49" i="216"/>
  <c r="EB48" i="216"/>
  <c r="EA48" i="216"/>
  <c r="EP48" i="216" s="1"/>
  <c r="DY48" i="216"/>
  <c r="DW48" i="216"/>
  <c r="DR48" i="216"/>
  <c r="DO48" i="216"/>
  <c r="DM48" i="216"/>
  <c r="DK48" i="216"/>
  <c r="DL48" i="216" s="1"/>
  <c r="DH48" i="216"/>
  <c r="DG48" i="216"/>
  <c r="DE48" i="216"/>
  <c r="DC48" i="216"/>
  <c r="DA48" i="216"/>
  <c r="CX48" i="216"/>
  <c r="CW48" i="216"/>
  <c r="CU48" i="216"/>
  <c r="CS48" i="216"/>
  <c r="CQ48" i="216"/>
  <c r="CN48" i="216"/>
  <c r="CM48" i="216"/>
  <c r="CK48" i="216"/>
  <c r="CI48" i="216"/>
  <c r="CH48" i="216" s="1"/>
  <c r="CG48" i="216"/>
  <c r="CD48" i="216"/>
  <c r="CA48" i="216"/>
  <c r="BY48" i="216"/>
  <c r="BW48" i="216"/>
  <c r="BT48" i="216"/>
  <c r="BS48" i="216"/>
  <c r="BQ48" i="216"/>
  <c r="BO48" i="216"/>
  <c r="BM48" i="216"/>
  <c r="BP48" i="216" s="1"/>
  <c r="BJ48" i="216"/>
  <c r="BI48" i="216"/>
  <c r="BG48" i="216"/>
  <c r="BE48" i="216"/>
  <c r="BC48" i="216"/>
  <c r="AZ48" i="216"/>
  <c r="AY48" i="216"/>
  <c r="AW48" i="216"/>
  <c r="AV48" i="216" s="1"/>
  <c r="AU48" i="216"/>
  <c r="AT48" i="216"/>
  <c r="AS48" i="216"/>
  <c r="BA48" i="216" s="1"/>
  <c r="AP48" i="216"/>
  <c r="AO48" i="216"/>
  <c r="AM48" i="216"/>
  <c r="AK48" i="216"/>
  <c r="AI48" i="216"/>
  <c r="AF48" i="216"/>
  <c r="AE48" i="216"/>
  <c r="AC48" i="216"/>
  <c r="AA48" i="216"/>
  <c r="Y48" i="216"/>
  <c r="V48" i="216"/>
  <c r="U48" i="216"/>
  <c r="S48" i="216"/>
  <c r="Q48" i="216"/>
  <c r="O48" i="216"/>
  <c r="D48" i="216"/>
  <c r="EB47" i="216"/>
  <c r="EA47" i="216"/>
  <c r="DY47" i="216"/>
  <c r="DW47" i="216"/>
  <c r="ED47" i="216" s="1"/>
  <c r="DR47" i="216"/>
  <c r="DO47" i="216"/>
  <c r="DM47" i="216"/>
  <c r="DK47" i="216"/>
  <c r="DH47" i="216"/>
  <c r="DG47" i="216"/>
  <c r="DF47" i="216" s="1"/>
  <c r="DE47" i="216"/>
  <c r="DC47" i="216"/>
  <c r="DA47" i="216"/>
  <c r="CY47" i="216"/>
  <c r="CX47" i="216"/>
  <c r="CW47" i="216"/>
  <c r="CU47" i="216"/>
  <c r="CS47" i="216"/>
  <c r="CQ47" i="216"/>
  <c r="CN47" i="216"/>
  <c r="CM47" i="216"/>
  <c r="CK47" i="216"/>
  <c r="CJ47" i="216" s="1"/>
  <c r="CI47" i="216"/>
  <c r="CH47" i="216" s="1"/>
  <c r="CG47" i="216"/>
  <c r="CD47" i="216"/>
  <c r="CA47" i="216"/>
  <c r="BY47" i="216"/>
  <c r="BW47" i="216"/>
  <c r="BT47" i="216"/>
  <c r="BQ47" i="216"/>
  <c r="BO47" i="216"/>
  <c r="BM47" i="216"/>
  <c r="BJ47" i="216"/>
  <c r="BG47" i="216"/>
  <c r="BE47" i="216"/>
  <c r="BC47" i="216"/>
  <c r="AZ47" i="216"/>
  <c r="AY47" i="216"/>
  <c r="AU47" i="216"/>
  <c r="AS47" i="216"/>
  <c r="AP47" i="216"/>
  <c r="AO47" i="216"/>
  <c r="AM47" i="216"/>
  <c r="AK47" i="216"/>
  <c r="AI47" i="216"/>
  <c r="AF47" i="216"/>
  <c r="AE47" i="216"/>
  <c r="AD47" i="216" s="1"/>
  <c r="AC47" i="216"/>
  <c r="AB47" i="216" s="1"/>
  <c r="AA47" i="216"/>
  <c r="Y47" i="216"/>
  <c r="V47" i="216"/>
  <c r="U47" i="216"/>
  <c r="S47" i="216"/>
  <c r="Q47" i="216"/>
  <c r="O47" i="216"/>
  <c r="D47" i="216"/>
  <c r="EB46" i="216"/>
  <c r="EA46" i="216"/>
  <c r="EP46" i="216" s="1"/>
  <c r="DY46" i="216"/>
  <c r="DW46" i="216"/>
  <c r="DU46" i="216"/>
  <c r="EC46" i="216" s="1"/>
  <c r="DR46" i="216"/>
  <c r="DM46" i="216"/>
  <c r="DK46" i="216"/>
  <c r="DH46" i="216"/>
  <c r="DE46" i="216"/>
  <c r="DC46" i="216"/>
  <c r="DA46" i="216"/>
  <c r="CX46" i="216"/>
  <c r="CU46" i="216"/>
  <c r="CT46" i="216" s="1"/>
  <c r="CS46" i="216"/>
  <c r="CQ46" i="216"/>
  <c r="CN46" i="216"/>
  <c r="CI46" i="216"/>
  <c r="CG46" i="216"/>
  <c r="CD46" i="216"/>
  <c r="BY46" i="216"/>
  <c r="BW46" i="216"/>
  <c r="BX46" i="216" s="1"/>
  <c r="BT46" i="216"/>
  <c r="BO46" i="216"/>
  <c r="BM46" i="216"/>
  <c r="BJ46" i="216"/>
  <c r="BE46" i="216"/>
  <c r="BD46" i="216"/>
  <c r="BC46" i="216"/>
  <c r="AZ46" i="216"/>
  <c r="AU46" i="216"/>
  <c r="AS46" i="216"/>
  <c r="AP46" i="216"/>
  <c r="AK46" i="216"/>
  <c r="AI46" i="216"/>
  <c r="AF46" i="216"/>
  <c r="AA46" i="216"/>
  <c r="Y46" i="216"/>
  <c r="V46" i="216"/>
  <c r="S46" i="216"/>
  <c r="Q46" i="216"/>
  <c r="P46" i="216" s="1"/>
  <c r="O46" i="216"/>
  <c r="D46" i="216"/>
  <c r="EB45" i="216"/>
  <c r="EA45" i="216"/>
  <c r="EP45" i="216" s="1"/>
  <c r="DY45" i="216"/>
  <c r="DW45" i="216"/>
  <c r="DR45" i="216"/>
  <c r="DO45" i="216"/>
  <c r="DM45" i="216"/>
  <c r="DK45" i="216"/>
  <c r="DH45" i="216"/>
  <c r="DE45" i="216"/>
  <c r="DC45" i="216"/>
  <c r="DA45" i="216"/>
  <c r="CX45" i="216"/>
  <c r="CU45" i="216"/>
  <c r="CS45" i="216"/>
  <c r="CQ45" i="216"/>
  <c r="CY45" i="216" s="1"/>
  <c r="CN45" i="216"/>
  <c r="CK45" i="216"/>
  <c r="CI45" i="216"/>
  <c r="CG45" i="216"/>
  <c r="CO45" i="216" s="1"/>
  <c r="CD45" i="216"/>
  <c r="CA45" i="216"/>
  <c r="BY45" i="216"/>
  <c r="BW45" i="216"/>
  <c r="CE45" i="216" s="1"/>
  <c r="BT45" i="216"/>
  <c r="BQ45" i="216"/>
  <c r="BO45" i="216"/>
  <c r="BM45" i="216"/>
  <c r="BJ45" i="216"/>
  <c r="BE45" i="216"/>
  <c r="BC45" i="216"/>
  <c r="AZ45" i="216"/>
  <c r="AU45" i="216"/>
  <c r="AS45" i="216"/>
  <c r="AP45" i="216"/>
  <c r="AK45" i="216"/>
  <c r="AI45" i="216"/>
  <c r="AF45" i="216"/>
  <c r="AA45" i="216"/>
  <c r="Y45" i="216"/>
  <c r="V45" i="216"/>
  <c r="S45" i="216"/>
  <c r="Q45" i="216"/>
  <c r="O45" i="216"/>
  <c r="D45" i="216"/>
  <c r="EB44" i="216"/>
  <c r="EA44" i="216"/>
  <c r="EP44" i="216" s="1"/>
  <c r="DY44" i="216"/>
  <c r="DW44" i="216"/>
  <c r="DR44" i="216"/>
  <c r="DM44" i="216"/>
  <c r="DL44" i="216" s="1"/>
  <c r="DK44" i="216"/>
  <c r="DH44" i="216"/>
  <c r="DE44" i="216"/>
  <c r="DE82" i="216" s="1"/>
  <c r="DC44" i="216"/>
  <c r="DA44" i="216"/>
  <c r="DI44" i="216" s="1"/>
  <c r="CX44" i="216"/>
  <c r="CU44" i="216"/>
  <c r="CT44" i="216"/>
  <c r="CS44" i="216"/>
  <c r="CQ44" i="216"/>
  <c r="CN44" i="216"/>
  <c r="CK44" i="216"/>
  <c r="CI44" i="216"/>
  <c r="CH44" i="216"/>
  <c r="CG44" i="216"/>
  <c r="CO44" i="216" s="1"/>
  <c r="CD44" i="216"/>
  <c r="CA44" i="216"/>
  <c r="BY44" i="216"/>
  <c r="BY82" i="216" s="1"/>
  <c r="BW44" i="216"/>
  <c r="BT44" i="216"/>
  <c r="BO44" i="216"/>
  <c r="BM44" i="216"/>
  <c r="BJ44" i="216"/>
  <c r="BE44" i="216"/>
  <c r="BC44" i="216"/>
  <c r="AZ44" i="216"/>
  <c r="AU44" i="216"/>
  <c r="AT44" i="216" s="1"/>
  <c r="AS44" i="216"/>
  <c r="AP44" i="216"/>
  <c r="AO44" i="216"/>
  <c r="AM44" i="216"/>
  <c r="AK44" i="216"/>
  <c r="AI44" i="216"/>
  <c r="AF44" i="216"/>
  <c r="AE44" i="216"/>
  <c r="AC44" i="216"/>
  <c r="AA44" i="216"/>
  <c r="Y44" i="216"/>
  <c r="V44" i="216"/>
  <c r="U44" i="216"/>
  <c r="S44" i="216"/>
  <c r="Q44" i="216"/>
  <c r="O44" i="216"/>
  <c r="D44" i="216"/>
  <c r="EZ43" i="216"/>
  <c r="EP43" i="216"/>
  <c r="EM43" i="216"/>
  <c r="EJ43" i="216"/>
  <c r="EH43" i="216"/>
  <c r="EF43" i="216"/>
  <c r="ED43" i="216"/>
  <c r="EC43" i="216"/>
  <c r="DZ43" i="216"/>
  <c r="DX43" i="216"/>
  <c r="DV43" i="216"/>
  <c r="DT43" i="216"/>
  <c r="DS43" i="216"/>
  <c r="DP43" i="216"/>
  <c r="DN43" i="216"/>
  <c r="DL43" i="216"/>
  <c r="DJ43" i="216"/>
  <c r="DI43" i="216"/>
  <c r="DF43" i="216"/>
  <c r="DD43" i="216"/>
  <c r="DB43" i="216"/>
  <c r="CZ43" i="216"/>
  <c r="CY43" i="216"/>
  <c r="CV43" i="216"/>
  <c r="CT43" i="216"/>
  <c r="CR43" i="216"/>
  <c r="CP43" i="216"/>
  <c r="CO43" i="216"/>
  <c r="CL43" i="216"/>
  <c r="CJ43" i="216"/>
  <c r="CH43" i="216"/>
  <c r="CF43" i="216"/>
  <c r="CE43" i="216"/>
  <c r="CB43" i="216"/>
  <c r="BZ43" i="216"/>
  <c r="BX43" i="216"/>
  <c r="BV43" i="216"/>
  <c r="BU43" i="216"/>
  <c r="BR43" i="216"/>
  <c r="BP43" i="216"/>
  <c r="BN43" i="216"/>
  <c r="BL43" i="216"/>
  <c r="BK43" i="216"/>
  <c r="BH43" i="216"/>
  <c r="BF43" i="216"/>
  <c r="BD43" i="216"/>
  <c r="BB43" i="216"/>
  <c r="BA43" i="216"/>
  <c r="AX43" i="216"/>
  <c r="AV43" i="216"/>
  <c r="AT43" i="216"/>
  <c r="AR43" i="216"/>
  <c r="AQ43" i="216"/>
  <c r="AN43" i="216"/>
  <c r="AL43" i="216"/>
  <c r="AJ43" i="216"/>
  <c r="AH43" i="216"/>
  <c r="AG43" i="216"/>
  <c r="AD43" i="216"/>
  <c r="AB43" i="216"/>
  <c r="Z43" i="216"/>
  <c r="X43" i="216"/>
  <c r="W43" i="216" s="1"/>
  <c r="T43" i="216"/>
  <c r="R43" i="216"/>
  <c r="P43" i="216"/>
  <c r="EZ42" i="216"/>
  <c r="EP42" i="216"/>
  <c r="EM42" i="216"/>
  <c r="EJ42" i="216"/>
  <c r="EH42" i="216"/>
  <c r="EF42" i="216"/>
  <c r="ED42" i="216"/>
  <c r="EC42" i="216"/>
  <c r="DZ42" i="216"/>
  <c r="DX42" i="216"/>
  <c r="DV42" i="216"/>
  <c r="DT42" i="216"/>
  <c r="DS42" i="216"/>
  <c r="DP42" i="216"/>
  <c r="DN42" i="216"/>
  <c r="DL42" i="216"/>
  <c r="DJ42" i="216"/>
  <c r="DI42" i="216"/>
  <c r="DF42" i="216"/>
  <c r="DD42" i="216"/>
  <c r="DB42" i="216"/>
  <c r="CZ42" i="216"/>
  <c r="CY42" i="216"/>
  <c r="CV42" i="216"/>
  <c r="CT42" i="216"/>
  <c r="CR42" i="216"/>
  <c r="CP42" i="216"/>
  <c r="CO42" i="216"/>
  <c r="CL42" i="216"/>
  <c r="CJ42" i="216"/>
  <c r="CH42" i="216"/>
  <c r="CF42" i="216"/>
  <c r="CE42" i="216"/>
  <c r="CB42" i="216"/>
  <c r="BZ42" i="216"/>
  <c r="BX42" i="216"/>
  <c r="BV42" i="216"/>
  <c r="BU42" i="216"/>
  <c r="BR42" i="216"/>
  <c r="BP42" i="216"/>
  <c r="BN42" i="216"/>
  <c r="BL42" i="216"/>
  <c r="BK42" i="216"/>
  <c r="BH42" i="216"/>
  <c r="BF42" i="216"/>
  <c r="BD42" i="216"/>
  <c r="BB42" i="216"/>
  <c r="BA42" i="216"/>
  <c r="AX42" i="216"/>
  <c r="AV42" i="216"/>
  <c r="AT42" i="216"/>
  <c r="AR42" i="216"/>
  <c r="AQ42" i="216"/>
  <c r="AN42" i="216"/>
  <c r="AL42" i="216"/>
  <c r="AJ42" i="216"/>
  <c r="AH42" i="216"/>
  <c r="AG42" i="216"/>
  <c r="AD42" i="216"/>
  <c r="AB42" i="216"/>
  <c r="Z42" i="216"/>
  <c r="X42" i="216"/>
  <c r="W42" i="216"/>
  <c r="T42" i="216"/>
  <c r="R42" i="216"/>
  <c r="P42" i="216"/>
  <c r="EZ41" i="216"/>
  <c r="EP41" i="216"/>
  <c r="EM41" i="216"/>
  <c r="EJ41" i="216"/>
  <c r="EH41" i="216"/>
  <c r="EF41" i="216"/>
  <c r="ED41" i="216"/>
  <c r="EC41" i="216"/>
  <c r="DZ41" i="216"/>
  <c r="DX41" i="216"/>
  <c r="DV41" i="216"/>
  <c r="DT41" i="216"/>
  <c r="DS41" i="216"/>
  <c r="DP41" i="216"/>
  <c r="DN41" i="216"/>
  <c r="DL41" i="216"/>
  <c r="DJ41" i="216"/>
  <c r="DI41" i="216"/>
  <c r="DF41" i="216"/>
  <c r="DD41" i="216"/>
  <c r="DB41" i="216"/>
  <c r="CZ41" i="216"/>
  <c r="CY41" i="216"/>
  <c r="CV41" i="216"/>
  <c r="CT41" i="216"/>
  <c r="CR41" i="216"/>
  <c r="CP41" i="216"/>
  <c r="CO41" i="216"/>
  <c r="CL41" i="216"/>
  <c r="CJ41" i="216"/>
  <c r="CH41" i="216"/>
  <c r="CF41" i="216"/>
  <c r="CE41" i="216"/>
  <c r="CB41" i="216"/>
  <c r="BZ41" i="216"/>
  <c r="BX41" i="216"/>
  <c r="BV41" i="216"/>
  <c r="BU41" i="216"/>
  <c r="BR41" i="216"/>
  <c r="BP41" i="216"/>
  <c r="BN41" i="216"/>
  <c r="BL41" i="216"/>
  <c r="BK41" i="216"/>
  <c r="BH41" i="216"/>
  <c r="BF41" i="216"/>
  <c r="BD41" i="216"/>
  <c r="BB41" i="216"/>
  <c r="BA41" i="216"/>
  <c r="AX41" i="216"/>
  <c r="AV41" i="216"/>
  <c r="AT41" i="216"/>
  <c r="AR41" i="216"/>
  <c r="AQ41" i="216"/>
  <c r="AN41" i="216"/>
  <c r="AL41" i="216"/>
  <c r="AJ41" i="216"/>
  <c r="AH41" i="216"/>
  <c r="AG41" i="216"/>
  <c r="AD41" i="216"/>
  <c r="AB41" i="216"/>
  <c r="Z41" i="216"/>
  <c r="X41" i="216"/>
  <c r="W41" i="216" s="1"/>
  <c r="T41" i="216"/>
  <c r="R41" i="216"/>
  <c r="P41" i="216"/>
  <c r="H40" i="216"/>
  <c r="EP39" i="216"/>
  <c r="EL39" i="216"/>
  <c r="EK39" i="216"/>
  <c r="EI39" i="216"/>
  <c r="EG39" i="216"/>
  <c r="ED39" i="216"/>
  <c r="EC39" i="216"/>
  <c r="DZ39" i="216"/>
  <c r="DX39" i="216"/>
  <c r="DV39" i="216"/>
  <c r="DT39" i="216"/>
  <c r="DS39" i="216"/>
  <c r="DP39" i="216"/>
  <c r="DN39" i="216"/>
  <c r="DL39" i="216"/>
  <c r="DJ39" i="216"/>
  <c r="DI39" i="216"/>
  <c r="DF39" i="216"/>
  <c r="DD39" i="216"/>
  <c r="DB39" i="216"/>
  <c r="CZ39" i="216"/>
  <c r="CY39" i="216"/>
  <c r="CV39" i="216"/>
  <c r="CT39" i="216"/>
  <c r="CR39" i="216"/>
  <c r="CP39" i="216"/>
  <c r="CO39" i="216"/>
  <c r="CL39" i="216"/>
  <c r="CJ39" i="216"/>
  <c r="CH39" i="216"/>
  <c r="CF39" i="216"/>
  <c r="CE39" i="216"/>
  <c r="CB39" i="216"/>
  <c r="BZ39" i="216"/>
  <c r="BX39" i="216"/>
  <c r="BV39" i="216"/>
  <c r="BU39" i="216"/>
  <c r="BR39" i="216"/>
  <c r="BP39" i="216"/>
  <c r="BN39" i="216"/>
  <c r="BL39" i="216"/>
  <c r="BK39" i="216"/>
  <c r="BH39" i="216"/>
  <c r="BF39" i="216"/>
  <c r="BD39" i="216"/>
  <c r="BB39" i="216"/>
  <c r="BA39" i="216"/>
  <c r="AX39" i="216"/>
  <c r="AV39" i="216"/>
  <c r="AT39" i="216"/>
  <c r="AR39" i="216"/>
  <c r="AQ39" i="216"/>
  <c r="AN39" i="216"/>
  <c r="AL39" i="216"/>
  <c r="AJ39" i="216"/>
  <c r="AH39" i="216"/>
  <c r="AG39" i="216"/>
  <c r="AD39" i="216"/>
  <c r="AB39" i="216"/>
  <c r="Z39" i="216"/>
  <c r="X39" i="216"/>
  <c r="O39" i="216"/>
  <c r="EP38" i="216"/>
  <c r="EL38" i="216"/>
  <c r="EK38" i="216"/>
  <c r="EI38" i="216"/>
  <c r="EG38" i="216"/>
  <c r="EE38" i="216"/>
  <c r="EM38" i="216" s="1"/>
  <c r="ED38" i="216"/>
  <c r="EC38" i="216"/>
  <c r="DZ38" i="216"/>
  <c r="DX38" i="216"/>
  <c r="DV38" i="216"/>
  <c r="DT38" i="216"/>
  <c r="DS38" i="216"/>
  <c r="DP38" i="216"/>
  <c r="DN38" i="216"/>
  <c r="DL38" i="216"/>
  <c r="DJ38" i="216"/>
  <c r="DI38" i="216"/>
  <c r="DF38" i="216"/>
  <c r="DD38" i="216"/>
  <c r="DB38" i="216"/>
  <c r="CZ38" i="216"/>
  <c r="CY38" i="216"/>
  <c r="CV38" i="216"/>
  <c r="CT38" i="216"/>
  <c r="CR38" i="216"/>
  <c r="CP38" i="216"/>
  <c r="CO38" i="216"/>
  <c r="CL38" i="216"/>
  <c r="CJ38" i="216"/>
  <c r="CH38" i="216"/>
  <c r="CF38" i="216"/>
  <c r="CE38" i="216"/>
  <c r="CB38" i="216"/>
  <c r="BZ38" i="216"/>
  <c r="BX38" i="216"/>
  <c r="BV38" i="216"/>
  <c r="BU38" i="216"/>
  <c r="BR38" i="216"/>
  <c r="BP38" i="216"/>
  <c r="BN38" i="216"/>
  <c r="BL38" i="216"/>
  <c r="BK38" i="216"/>
  <c r="BH38" i="216"/>
  <c r="BF38" i="216"/>
  <c r="BD38" i="216"/>
  <c r="BB38" i="216"/>
  <c r="BA38" i="216"/>
  <c r="AX38" i="216"/>
  <c r="AV38" i="216"/>
  <c r="AT38" i="216"/>
  <c r="AR38" i="216"/>
  <c r="AQ38" i="216"/>
  <c r="AN38" i="216"/>
  <c r="AL38" i="216"/>
  <c r="AJ38" i="216"/>
  <c r="AH38" i="216"/>
  <c r="AG38" i="216"/>
  <c r="AD38" i="216"/>
  <c r="AB38" i="216"/>
  <c r="Z38" i="216"/>
  <c r="X38" i="216"/>
  <c r="P38" i="216"/>
  <c r="O38" i="216"/>
  <c r="R38" i="216" s="1"/>
  <c r="EB37" i="216"/>
  <c r="EA37" i="216"/>
  <c r="DY37" i="216"/>
  <c r="DW37" i="216"/>
  <c r="DR37" i="216"/>
  <c r="DQ37" i="216"/>
  <c r="DO37" i="216"/>
  <c r="DM37" i="216"/>
  <c r="DK37" i="216"/>
  <c r="DS37" i="216" s="1"/>
  <c r="DH37" i="216"/>
  <c r="DG37" i="216"/>
  <c r="DE37" i="216"/>
  <c r="DC37" i="216"/>
  <c r="DA37" i="216"/>
  <c r="DI37" i="216" s="1"/>
  <c r="CX37" i="216"/>
  <c r="CW37" i="216"/>
  <c r="CU37" i="216"/>
  <c r="CS37" i="216"/>
  <c r="CQ37" i="216"/>
  <c r="CY37" i="216" s="1"/>
  <c r="CN37" i="216"/>
  <c r="CM37" i="216"/>
  <c r="CK37" i="216"/>
  <c r="CI37" i="216"/>
  <c r="CG37" i="216"/>
  <c r="CO37" i="216" s="1"/>
  <c r="CD37" i="216"/>
  <c r="CC37" i="216"/>
  <c r="CA37" i="216"/>
  <c r="BY37" i="216"/>
  <c r="BW37" i="216"/>
  <c r="CE37" i="216" s="1"/>
  <c r="BT37" i="216"/>
  <c r="BS37" i="216"/>
  <c r="BQ37" i="216"/>
  <c r="BO37" i="216"/>
  <c r="BV37" i="216" s="1"/>
  <c r="BM37" i="216"/>
  <c r="BU37" i="216" s="1"/>
  <c r="BJ37" i="216"/>
  <c r="BI37" i="216"/>
  <c r="BG37" i="216"/>
  <c r="BE37" i="216"/>
  <c r="BC37" i="216"/>
  <c r="AZ37" i="216"/>
  <c r="AY37" i="216"/>
  <c r="AX37" i="216" s="1"/>
  <c r="AW37" i="216"/>
  <c r="AV37" i="216" s="1"/>
  <c r="AU37" i="216"/>
  <c r="AS37" i="216"/>
  <c r="BA37" i="216" s="1"/>
  <c r="AP37" i="216"/>
  <c r="AO37" i="216"/>
  <c r="AM37" i="216"/>
  <c r="AL37" i="216" s="1"/>
  <c r="AK37" i="216"/>
  <c r="AJ37" i="216" s="1"/>
  <c r="AI37" i="216"/>
  <c r="AQ37" i="216" s="1"/>
  <c r="AF37" i="216"/>
  <c r="AE37" i="216"/>
  <c r="AD37" i="216" s="1"/>
  <c r="AC37" i="216"/>
  <c r="AA37" i="216"/>
  <c r="Y37" i="216"/>
  <c r="AG37" i="216" s="1"/>
  <c r="V37" i="216"/>
  <c r="U37" i="216"/>
  <c r="S37" i="216"/>
  <c r="Q37" i="216"/>
  <c r="O37" i="216"/>
  <c r="EB36" i="216"/>
  <c r="EA36" i="216"/>
  <c r="EP36" i="216" s="1"/>
  <c r="DY36" i="216"/>
  <c r="DW36" i="216"/>
  <c r="DU36" i="216"/>
  <c r="DR36" i="216"/>
  <c r="DQ36" i="216"/>
  <c r="DO36" i="216"/>
  <c r="DN36" i="216" s="1"/>
  <c r="DM36" i="216"/>
  <c r="DL36" i="216"/>
  <c r="DK36" i="216"/>
  <c r="DH36" i="216"/>
  <c r="DG36" i="216"/>
  <c r="DE36" i="216"/>
  <c r="DC36" i="216"/>
  <c r="DA36" i="216"/>
  <c r="DB36" i="216" s="1"/>
  <c r="CX36" i="216"/>
  <c r="CW36" i="216"/>
  <c r="CU36" i="216"/>
  <c r="CS36" i="216"/>
  <c r="CN36" i="216"/>
  <c r="CM36" i="216"/>
  <c r="CK36" i="216"/>
  <c r="CJ36" i="216"/>
  <c r="CI36" i="216"/>
  <c r="CG36" i="216"/>
  <c r="CD36" i="216"/>
  <c r="CC36" i="216"/>
  <c r="CA36" i="216"/>
  <c r="BY36" i="216"/>
  <c r="BW36" i="216"/>
  <c r="BX36" i="216" s="1"/>
  <c r="BT36" i="216"/>
  <c r="BS36" i="216"/>
  <c r="BQ36" i="216"/>
  <c r="BO36" i="216"/>
  <c r="BM36" i="216"/>
  <c r="BJ36" i="216"/>
  <c r="BI36" i="216"/>
  <c r="BG36" i="216"/>
  <c r="BE36" i="216"/>
  <c r="BC36" i="216"/>
  <c r="BD36" i="216" s="1"/>
  <c r="AZ36" i="216"/>
  <c r="AY36" i="216"/>
  <c r="AW36" i="216"/>
  <c r="AV36" i="216"/>
  <c r="AU36" i="216"/>
  <c r="AS36" i="216"/>
  <c r="AP36" i="216"/>
  <c r="AO36" i="216"/>
  <c r="AR36" i="216" s="1"/>
  <c r="AM36" i="216"/>
  <c r="AK36" i="216"/>
  <c r="AI36" i="216"/>
  <c r="AF36" i="216"/>
  <c r="AE36" i="216"/>
  <c r="AC36" i="216"/>
  <c r="AA36" i="216"/>
  <c r="Y36" i="216"/>
  <c r="V36" i="216"/>
  <c r="U36" i="216"/>
  <c r="S36" i="216"/>
  <c r="Q36" i="216"/>
  <c r="O36" i="216"/>
  <c r="P36" i="216" s="1"/>
  <c r="D36" i="216"/>
  <c r="EB35" i="216"/>
  <c r="EA35" i="216"/>
  <c r="EP35" i="216" s="1"/>
  <c r="DY35" i="216"/>
  <c r="DW35" i="216"/>
  <c r="DU35" i="216"/>
  <c r="DR35" i="216"/>
  <c r="DQ35" i="216"/>
  <c r="DO35" i="216"/>
  <c r="DM35" i="216"/>
  <c r="DK35" i="216"/>
  <c r="DH35" i="216"/>
  <c r="DG35" i="216"/>
  <c r="DE35" i="216"/>
  <c r="DC35" i="216"/>
  <c r="DA35" i="216"/>
  <c r="CX35" i="216"/>
  <c r="CW35" i="216"/>
  <c r="CU35" i="216"/>
  <c r="CS35" i="216"/>
  <c r="CN35" i="216"/>
  <c r="CM35" i="216"/>
  <c r="CK35" i="216"/>
  <c r="CI35" i="216"/>
  <c r="CG35" i="216"/>
  <c r="CD35" i="216"/>
  <c r="CC35" i="216"/>
  <c r="CB35" i="216" s="1"/>
  <c r="CA35" i="216"/>
  <c r="BY35" i="216"/>
  <c r="BW35" i="216"/>
  <c r="BT35" i="216"/>
  <c r="BS35" i="216"/>
  <c r="BQ35" i="216"/>
  <c r="BO35" i="216"/>
  <c r="BM35" i="216"/>
  <c r="BJ35" i="216"/>
  <c r="BI35" i="216"/>
  <c r="BG35" i="216"/>
  <c r="BE35" i="216"/>
  <c r="BC35" i="216"/>
  <c r="BK35" i="216" s="1"/>
  <c r="AZ35" i="216"/>
  <c r="AY35" i="216"/>
  <c r="AW35" i="216"/>
  <c r="AU35" i="216"/>
  <c r="AS35" i="216"/>
  <c r="AP35" i="216"/>
  <c r="AO35" i="216"/>
  <c r="AM35" i="216"/>
  <c r="AK35" i="216"/>
  <c r="AI35" i="216"/>
  <c r="AF35" i="216"/>
  <c r="AE35" i="216"/>
  <c r="AC35" i="216"/>
  <c r="AA35" i="216"/>
  <c r="Y35" i="216"/>
  <c r="V35" i="216"/>
  <c r="U35" i="216"/>
  <c r="S35" i="216"/>
  <c r="Q35" i="216"/>
  <c r="O35" i="216"/>
  <c r="D35" i="216"/>
  <c r="EB34" i="216"/>
  <c r="EA34" i="216"/>
  <c r="EP34" i="216" s="1"/>
  <c r="DY34" i="216"/>
  <c r="DW34" i="216"/>
  <c r="DU34" i="216"/>
  <c r="DR34" i="216"/>
  <c r="DQ34" i="216"/>
  <c r="DO34" i="216"/>
  <c r="DM34" i="216"/>
  <c r="DK34" i="216"/>
  <c r="DJ34" i="216"/>
  <c r="DH34" i="216"/>
  <c r="DG34" i="216"/>
  <c r="DF34" i="216" s="1"/>
  <c r="DE34" i="216"/>
  <c r="DC34" i="216"/>
  <c r="DA34" i="216"/>
  <c r="DI34" i="216" s="1"/>
  <c r="CX34" i="216"/>
  <c r="CW34" i="216"/>
  <c r="CU34" i="216"/>
  <c r="CS34" i="216"/>
  <c r="CN34" i="216"/>
  <c r="CM34" i="216"/>
  <c r="CK34" i="216"/>
  <c r="CI34" i="216"/>
  <c r="CG34" i="216"/>
  <c r="CD34" i="216"/>
  <c r="CC34" i="216"/>
  <c r="CA34" i="216"/>
  <c r="BY34" i="216"/>
  <c r="BT34" i="216"/>
  <c r="BS34" i="216"/>
  <c r="BQ34" i="216"/>
  <c r="BO34" i="216"/>
  <c r="BM34" i="216"/>
  <c r="BR34" i="216" s="1"/>
  <c r="BJ34" i="216"/>
  <c r="BI34" i="216"/>
  <c r="BG34" i="216"/>
  <c r="BF34" i="216" s="1"/>
  <c r="BE34" i="216"/>
  <c r="BC34" i="216"/>
  <c r="AZ34" i="216"/>
  <c r="AY34" i="216"/>
  <c r="AW34" i="216"/>
  <c r="AU34" i="216"/>
  <c r="AS34" i="216"/>
  <c r="AP34" i="216"/>
  <c r="AO34" i="216"/>
  <c r="AM34" i="216"/>
  <c r="AK34" i="216"/>
  <c r="AI34" i="216"/>
  <c r="AF34" i="216"/>
  <c r="AE34" i="216"/>
  <c r="AD34" i="216" s="1"/>
  <c r="AC34" i="216"/>
  <c r="AA34" i="216"/>
  <c r="Y34" i="216"/>
  <c r="AG34" i="216" s="1"/>
  <c r="V34" i="216"/>
  <c r="U34" i="216"/>
  <c r="S34" i="216"/>
  <c r="Q34" i="216"/>
  <c r="O34" i="216"/>
  <c r="D34" i="216"/>
  <c r="EB33" i="216"/>
  <c r="EA33" i="216"/>
  <c r="EP33" i="216" s="1"/>
  <c r="DY33" i="216"/>
  <c r="DW33" i="216"/>
  <c r="DR33" i="216"/>
  <c r="DQ33" i="216"/>
  <c r="DM33" i="216"/>
  <c r="DH33" i="216"/>
  <c r="DG33" i="216"/>
  <c r="DC33" i="216"/>
  <c r="CX33" i="216"/>
  <c r="CW33" i="216"/>
  <c r="CS33" i="216"/>
  <c r="CN33" i="216"/>
  <c r="CM33" i="216"/>
  <c r="CI33" i="216"/>
  <c r="CD33" i="216"/>
  <c r="CC33" i="216"/>
  <c r="CA33" i="216"/>
  <c r="BY33" i="216"/>
  <c r="BT33" i="216"/>
  <c r="BS33" i="216"/>
  <c r="BQ33" i="216"/>
  <c r="BO33" i="216"/>
  <c r="BJ33" i="216"/>
  <c r="BI33" i="216"/>
  <c r="BG33" i="216"/>
  <c r="BE33" i="216"/>
  <c r="AZ33" i="216"/>
  <c r="AY33" i="216"/>
  <c r="AW33" i="216"/>
  <c r="AU33" i="216"/>
  <c r="AP33" i="216"/>
  <c r="AO33" i="216"/>
  <c r="AM33" i="216"/>
  <c r="AK33" i="216"/>
  <c r="AF33" i="216"/>
  <c r="AE33" i="216"/>
  <c r="AA33" i="216"/>
  <c r="V33" i="216"/>
  <c r="U33" i="216"/>
  <c r="Q33" i="216"/>
  <c r="D33" i="216"/>
  <c r="EB32" i="216"/>
  <c r="EA32" i="216"/>
  <c r="DY32" i="216"/>
  <c r="DW32" i="216"/>
  <c r="DU32" i="216"/>
  <c r="DR32" i="216"/>
  <c r="DQ32" i="216"/>
  <c r="DP32" i="216" s="1"/>
  <c r="DO32" i="216"/>
  <c r="DM32" i="216"/>
  <c r="DK32" i="216"/>
  <c r="DH32" i="216"/>
  <c r="DG32" i="216"/>
  <c r="DF32" i="216" s="1"/>
  <c r="DE32" i="216"/>
  <c r="DD32" i="216" s="1"/>
  <c r="DC32" i="216"/>
  <c r="DB32" i="216" s="1"/>
  <c r="DA32" i="216"/>
  <c r="CX32" i="216"/>
  <c r="CW32" i="216"/>
  <c r="CU32" i="216"/>
  <c r="CS32" i="216"/>
  <c r="CN32" i="216"/>
  <c r="CM32" i="216"/>
  <c r="CK32" i="216"/>
  <c r="CI32" i="216"/>
  <c r="CG32" i="216"/>
  <c r="CD32" i="216"/>
  <c r="CC32" i="216"/>
  <c r="CA32" i="216"/>
  <c r="BY32" i="216"/>
  <c r="BW32" i="216"/>
  <c r="BT32" i="216"/>
  <c r="BS32" i="216"/>
  <c r="BQ32" i="216"/>
  <c r="BO32" i="216"/>
  <c r="BM32" i="216"/>
  <c r="BJ32" i="216"/>
  <c r="BI32" i="216"/>
  <c r="BG32" i="216"/>
  <c r="BE32" i="216"/>
  <c r="BC32" i="216"/>
  <c r="AZ32" i="216"/>
  <c r="AY32" i="216"/>
  <c r="AW32" i="216"/>
  <c r="AU32" i="216"/>
  <c r="AS32" i="216"/>
  <c r="AP32" i="216"/>
  <c r="AO32" i="216"/>
  <c r="AM32" i="216"/>
  <c r="AK32" i="216"/>
  <c r="AI32" i="216"/>
  <c r="AF32" i="216"/>
  <c r="AE32" i="216"/>
  <c r="AC32" i="216"/>
  <c r="AA32" i="216"/>
  <c r="Y32" i="216"/>
  <c r="V32" i="216"/>
  <c r="U32" i="216"/>
  <c r="S32" i="216"/>
  <c r="Q32" i="216"/>
  <c r="O32" i="216"/>
  <c r="D32" i="216"/>
  <c r="EP31" i="216"/>
  <c r="EN31" i="216"/>
  <c r="EL31" i="216"/>
  <c r="EK31" i="216"/>
  <c r="EI31" i="216"/>
  <c r="EG31" i="216"/>
  <c r="ED31" i="216"/>
  <c r="EC31" i="216" s="1"/>
  <c r="DZ31" i="216"/>
  <c r="DX31" i="216"/>
  <c r="DV31" i="216"/>
  <c r="DT31" i="216"/>
  <c r="DS31" i="216"/>
  <c r="DP31" i="216"/>
  <c r="DN31" i="216"/>
  <c r="DL31" i="216"/>
  <c r="DJ31" i="216"/>
  <c r="DI31" i="216" s="1"/>
  <c r="DF31" i="216"/>
  <c r="DD31" i="216"/>
  <c r="DB31" i="216"/>
  <c r="CZ31" i="216"/>
  <c r="CQ31" i="216"/>
  <c r="CP31" i="216"/>
  <c r="CO31" i="216"/>
  <c r="CL31" i="216"/>
  <c r="CJ31" i="216"/>
  <c r="CH31" i="216"/>
  <c r="CF31" i="216"/>
  <c r="CE31" i="216" s="1"/>
  <c r="CB31" i="216"/>
  <c r="BZ31" i="216"/>
  <c r="BX31" i="216"/>
  <c r="BV31" i="216"/>
  <c r="BU31" i="216"/>
  <c r="BR31" i="216"/>
  <c r="BP31" i="216"/>
  <c r="BN31" i="216"/>
  <c r="BL31" i="216"/>
  <c r="BK31" i="216" s="1"/>
  <c r="BH31" i="216"/>
  <c r="BF31" i="216"/>
  <c r="BD31" i="216"/>
  <c r="BB31" i="216"/>
  <c r="BA31" i="216"/>
  <c r="AX31" i="216"/>
  <c r="AV31" i="216"/>
  <c r="AT31" i="216"/>
  <c r="AR31" i="216"/>
  <c r="AQ31" i="216" s="1"/>
  <c r="AN31" i="216"/>
  <c r="AL31" i="216"/>
  <c r="AJ31" i="216"/>
  <c r="AH31" i="216"/>
  <c r="AG31" i="216"/>
  <c r="AD31" i="216"/>
  <c r="AB31" i="216"/>
  <c r="Z31" i="216"/>
  <c r="X31" i="216"/>
  <c r="O31" i="216"/>
  <c r="D31" i="216"/>
  <c r="EB30" i="216"/>
  <c r="EA30" i="216"/>
  <c r="DY30" i="216"/>
  <c r="DW30" i="216"/>
  <c r="DU30" i="216"/>
  <c r="DR30" i="216"/>
  <c r="DQ30" i="216"/>
  <c r="DO30" i="216"/>
  <c r="DM30" i="216"/>
  <c r="DM40" i="216" s="1"/>
  <c r="DK30" i="216"/>
  <c r="DH30" i="216"/>
  <c r="DG30" i="216"/>
  <c r="DE30" i="216"/>
  <c r="DC30" i="216"/>
  <c r="DA30" i="216"/>
  <c r="CX30" i="216"/>
  <c r="CW30" i="216"/>
  <c r="CU30" i="216"/>
  <c r="CS30" i="216"/>
  <c r="CN30" i="216"/>
  <c r="CM30" i="216"/>
  <c r="CK30" i="216"/>
  <c r="CI30" i="216"/>
  <c r="CG30" i="216"/>
  <c r="CO30" i="216" s="1"/>
  <c r="CD30" i="216"/>
  <c r="CC30" i="216"/>
  <c r="CA30" i="216"/>
  <c r="BY30" i="216"/>
  <c r="BW30" i="216"/>
  <c r="BT30" i="216"/>
  <c r="BS30" i="216"/>
  <c r="BQ30" i="216"/>
  <c r="BO30" i="216"/>
  <c r="BM30" i="216"/>
  <c r="BJ30" i="216"/>
  <c r="BI30" i="216"/>
  <c r="BG30" i="216"/>
  <c r="BE30" i="216"/>
  <c r="BC30" i="216"/>
  <c r="AZ30" i="216"/>
  <c r="AY30" i="216"/>
  <c r="AW30" i="216"/>
  <c r="AU30" i="216"/>
  <c r="AS30" i="216"/>
  <c r="AP30" i="216"/>
  <c r="AO30" i="216"/>
  <c r="AM30" i="216"/>
  <c r="AK30" i="216"/>
  <c r="AI30" i="216"/>
  <c r="AF30" i="216"/>
  <c r="AE30" i="216"/>
  <c r="AC30" i="216"/>
  <c r="AA30" i="216"/>
  <c r="Y30" i="216"/>
  <c r="V30" i="216"/>
  <c r="U30" i="216"/>
  <c r="T30" i="216" s="1"/>
  <c r="S30" i="216"/>
  <c r="Q30" i="216"/>
  <c r="O30" i="216"/>
  <c r="D30" i="216"/>
  <c r="EB29" i="216"/>
  <c r="EB40" i="216" s="1"/>
  <c r="EA29" i="216"/>
  <c r="DZ29" i="216" s="1"/>
  <c r="DY29" i="216"/>
  <c r="DW29" i="216"/>
  <c r="DU29" i="216"/>
  <c r="EC29" i="216" s="1"/>
  <c r="DR29" i="216"/>
  <c r="DQ29" i="216"/>
  <c r="DQ40" i="216" s="1"/>
  <c r="DO29" i="216"/>
  <c r="DM29" i="216"/>
  <c r="DK29" i="216"/>
  <c r="DL29" i="216" s="1"/>
  <c r="DH29" i="216"/>
  <c r="DH40" i="216" s="1"/>
  <c r="DG29" i="216"/>
  <c r="DG40" i="216" s="1"/>
  <c r="DE29" i="216"/>
  <c r="DC29" i="216"/>
  <c r="DA29" i="216"/>
  <c r="CX29" i="216"/>
  <c r="CX40" i="216" s="1"/>
  <c r="CW29" i="216"/>
  <c r="CU29" i="216"/>
  <c r="CS29" i="216"/>
  <c r="CS40" i="216" s="1"/>
  <c r="CN29" i="216"/>
  <c r="CN40" i="216" s="1"/>
  <c r="CM29" i="216"/>
  <c r="CL29" i="216" s="1"/>
  <c r="CK29" i="216"/>
  <c r="CJ29" i="216"/>
  <c r="CI29" i="216"/>
  <c r="CI40" i="216" s="1"/>
  <c r="CG29" i="216"/>
  <c r="CO29" i="216" s="1"/>
  <c r="CD29" i="216"/>
  <c r="CC29" i="216"/>
  <c r="CA29" i="216"/>
  <c r="CA40" i="216" s="1"/>
  <c r="BY29" i="216"/>
  <c r="BW29" i="216"/>
  <c r="BT29" i="216"/>
  <c r="BT40" i="216" s="1"/>
  <c r="BS29" i="216"/>
  <c r="BQ29" i="216"/>
  <c r="BO29" i="216"/>
  <c r="BN29" i="216" s="1"/>
  <c r="BM29" i="216"/>
  <c r="BJ29" i="216"/>
  <c r="BJ40" i="216" s="1"/>
  <c r="BI29" i="216"/>
  <c r="BG29" i="216"/>
  <c r="BE29" i="216"/>
  <c r="BC29" i="216"/>
  <c r="BK29" i="216" s="1"/>
  <c r="AZ29" i="216"/>
  <c r="AZ40" i="216" s="1"/>
  <c r="AY29" i="216"/>
  <c r="AW29" i="216"/>
  <c r="AW40" i="216" s="1"/>
  <c r="AV29" i="216"/>
  <c r="AU29" i="216"/>
  <c r="AU40" i="216" s="1"/>
  <c r="AS29" i="216"/>
  <c r="BA29" i="216" s="1"/>
  <c r="AP29" i="216"/>
  <c r="AO29" i="216"/>
  <c r="AM29" i="216"/>
  <c r="AM40" i="216" s="1"/>
  <c r="AK29" i="216"/>
  <c r="AJ29" i="216" s="1"/>
  <c r="AI29" i="216"/>
  <c r="AF29" i="216"/>
  <c r="AE29" i="216"/>
  <c r="AE40" i="216" s="1"/>
  <c r="AC29" i="216"/>
  <c r="AB29" i="216" s="1"/>
  <c r="AA29" i="216"/>
  <c r="Z29" i="216" s="1"/>
  <c r="Y29" i="216"/>
  <c r="V29" i="216"/>
  <c r="V40" i="216" s="1"/>
  <c r="U29" i="216"/>
  <c r="S29" i="216"/>
  <c r="R29" i="216"/>
  <c r="Q29" i="216"/>
  <c r="Q40" i="216" s="1"/>
  <c r="O29" i="216"/>
  <c r="T29" i="216" s="1"/>
  <c r="D29" i="216"/>
  <c r="EZ28" i="216"/>
  <c r="EP28" i="216"/>
  <c r="EM28" i="216"/>
  <c r="EJ28" i="216"/>
  <c r="EH28" i="216"/>
  <c r="EF28" i="216"/>
  <c r="ED28" i="216"/>
  <c r="EC28" i="216"/>
  <c r="DZ28" i="216"/>
  <c r="DX28" i="216"/>
  <c r="DV28" i="216"/>
  <c r="DT28" i="216"/>
  <c r="DS28" i="216"/>
  <c r="DP28" i="216"/>
  <c r="DN28" i="216"/>
  <c r="DL28" i="216"/>
  <c r="DJ28" i="216"/>
  <c r="DI28" i="216"/>
  <c r="DF28" i="216"/>
  <c r="DD28" i="216"/>
  <c r="DB28" i="216"/>
  <c r="CZ28" i="216"/>
  <c r="CY28" i="216"/>
  <c r="CV28" i="216"/>
  <c r="CT28" i="216"/>
  <c r="CR28" i="216"/>
  <c r="CP28" i="216"/>
  <c r="CO28" i="216"/>
  <c r="CL28" i="216"/>
  <c r="CJ28" i="216"/>
  <c r="CH28" i="216"/>
  <c r="CF28" i="216"/>
  <c r="CE28" i="216"/>
  <c r="CB28" i="216"/>
  <c r="BZ28" i="216"/>
  <c r="BX28" i="216"/>
  <c r="BV28" i="216"/>
  <c r="BU28" i="216"/>
  <c r="BR28" i="216"/>
  <c r="BP28" i="216"/>
  <c r="BN28" i="216"/>
  <c r="BL28" i="216"/>
  <c r="BK28" i="216"/>
  <c r="BH28" i="216"/>
  <c r="BF28" i="216"/>
  <c r="BD28" i="216"/>
  <c r="BB28" i="216"/>
  <c r="BA28" i="216"/>
  <c r="AX28" i="216"/>
  <c r="AV28" i="216"/>
  <c r="AT28" i="216"/>
  <c r="AR28" i="216"/>
  <c r="AQ28" i="216"/>
  <c r="AN28" i="216"/>
  <c r="AL28" i="216"/>
  <c r="AJ28" i="216"/>
  <c r="AH28" i="216"/>
  <c r="AG28" i="216"/>
  <c r="AD28" i="216"/>
  <c r="AB28" i="216"/>
  <c r="Z28" i="216"/>
  <c r="X28" i="216"/>
  <c r="W28" i="216" s="1"/>
  <c r="T28" i="216"/>
  <c r="R28" i="216"/>
  <c r="P28" i="216"/>
  <c r="EZ27" i="216"/>
  <c r="EP27" i="216"/>
  <c r="EM27" i="216"/>
  <c r="EJ27" i="216"/>
  <c r="EH27" i="216"/>
  <c r="EF27" i="216"/>
  <c r="EC27" i="216"/>
  <c r="DZ27" i="216"/>
  <c r="DX27" i="216"/>
  <c r="DV27" i="216"/>
  <c r="DS27" i="216"/>
  <c r="DP27" i="216"/>
  <c r="DN27" i="216"/>
  <c r="DL27" i="216"/>
  <c r="DI27" i="216"/>
  <c r="DF27" i="216"/>
  <c r="DD27" i="216"/>
  <c r="DB27" i="216"/>
  <c r="CY27" i="216"/>
  <c r="CV27" i="216"/>
  <c r="CT27" i="216"/>
  <c r="CR27" i="216"/>
  <c r="CO27" i="216"/>
  <c r="CL27" i="216"/>
  <c r="CJ27" i="216"/>
  <c r="CH27" i="216"/>
  <c r="CE27" i="216"/>
  <c r="CB27" i="216"/>
  <c r="BZ27" i="216"/>
  <c r="BX27" i="216"/>
  <c r="BU27" i="216"/>
  <c r="BR27" i="216"/>
  <c r="BP27" i="216"/>
  <c r="BN27" i="216"/>
  <c r="BK27" i="216"/>
  <c r="BH27" i="216"/>
  <c r="BF27" i="216"/>
  <c r="BD27" i="216"/>
  <c r="BA27" i="216"/>
  <c r="AX27" i="216"/>
  <c r="AV27" i="216"/>
  <c r="AT27" i="216"/>
  <c r="AQ27" i="216"/>
  <c r="AN27" i="216"/>
  <c r="AL27" i="216"/>
  <c r="AJ27" i="216"/>
  <c r="AG27" i="216"/>
  <c r="AD27" i="216"/>
  <c r="AB27" i="216"/>
  <c r="Z27" i="216"/>
  <c r="W27" i="216"/>
  <c r="T27" i="216"/>
  <c r="R27" i="216"/>
  <c r="P27" i="216"/>
  <c r="H26" i="216"/>
  <c r="EP25" i="216"/>
  <c r="ED25" i="216"/>
  <c r="EC25" i="216"/>
  <c r="DZ25" i="216"/>
  <c r="DX25" i="216"/>
  <c r="DV25" i="216"/>
  <c r="DT25" i="216"/>
  <c r="DS25" i="216"/>
  <c r="DP25" i="216"/>
  <c r="DN25" i="216"/>
  <c r="DL25" i="216"/>
  <c r="DJ25" i="216"/>
  <c r="DI25" i="216"/>
  <c r="DF25" i="216"/>
  <c r="DD25" i="216"/>
  <c r="DB25" i="216"/>
  <c r="CZ25" i="216"/>
  <c r="CY25" i="216"/>
  <c r="CV25" i="216"/>
  <c r="CT25" i="216"/>
  <c r="CR25" i="216"/>
  <c r="CO25" i="216"/>
  <c r="CL25" i="216"/>
  <c r="CJ25" i="216"/>
  <c r="CH25" i="216"/>
  <c r="CE25" i="216"/>
  <c r="CB25" i="216"/>
  <c r="BZ25" i="216"/>
  <c r="BX25" i="216"/>
  <c r="BU25" i="216"/>
  <c r="BR25" i="216"/>
  <c r="BP25" i="216"/>
  <c r="BN25" i="216"/>
  <c r="BK25" i="216"/>
  <c r="BH25" i="216"/>
  <c r="BF25" i="216"/>
  <c r="BD25" i="216"/>
  <c r="BA25" i="216"/>
  <c r="AX25" i="216"/>
  <c r="AV25" i="216"/>
  <c r="AT25" i="216"/>
  <c r="AQ25" i="216"/>
  <c r="AN25" i="216"/>
  <c r="AL25" i="216"/>
  <c r="AJ25" i="216"/>
  <c r="AG25" i="216"/>
  <c r="AD25" i="216"/>
  <c r="AB25" i="216"/>
  <c r="Z25" i="216"/>
  <c r="V25" i="216"/>
  <c r="U25" i="216"/>
  <c r="S25" i="216"/>
  <c r="EI25" i="216" s="1"/>
  <c r="Q25" i="216"/>
  <c r="EG25" i="216" s="1"/>
  <c r="O25" i="216"/>
  <c r="EE25" i="216" s="1"/>
  <c r="EM25" i="216" s="1"/>
  <c r="EP24" i="216"/>
  <c r="ED24" i="216"/>
  <c r="EC24" i="216"/>
  <c r="DZ24" i="216"/>
  <c r="DX24" i="216"/>
  <c r="DV24" i="216"/>
  <c r="DT24" i="216"/>
  <c r="DS24" i="216"/>
  <c r="DP24" i="216"/>
  <c r="DN24" i="216"/>
  <c r="DL24" i="216"/>
  <c r="DJ24" i="216"/>
  <c r="DI24" i="216"/>
  <c r="DF24" i="216"/>
  <c r="DD24" i="216"/>
  <c r="DB24" i="216"/>
  <c r="CZ24" i="216"/>
  <c r="CY24" i="216"/>
  <c r="CV24" i="216"/>
  <c r="CT24" i="216"/>
  <c r="CR24" i="216"/>
  <c r="CP24" i="216"/>
  <c r="CO24" i="216"/>
  <c r="CL24" i="216"/>
  <c r="CJ24" i="216"/>
  <c r="CH24" i="216"/>
  <c r="CF24" i="216"/>
  <c r="CE24" i="216"/>
  <c r="CB24" i="216"/>
  <c r="BZ24" i="216"/>
  <c r="BX24" i="216"/>
  <c r="BV24" i="216"/>
  <c r="BU24" i="216"/>
  <c r="BR24" i="216"/>
  <c r="BP24" i="216"/>
  <c r="BN24" i="216"/>
  <c r="BL24" i="216"/>
  <c r="BK24" i="216"/>
  <c r="BH24" i="216"/>
  <c r="BF24" i="216"/>
  <c r="BD24" i="216"/>
  <c r="BB24" i="216"/>
  <c r="BA24" i="216"/>
  <c r="AX24" i="216"/>
  <c r="AV24" i="216"/>
  <c r="AT24" i="216"/>
  <c r="AR24" i="216"/>
  <c r="AQ24" i="216"/>
  <c r="AN24" i="216"/>
  <c r="AL24" i="216"/>
  <c r="AJ24" i="216"/>
  <c r="AH24" i="216"/>
  <c r="AG24" i="216"/>
  <c r="AD24" i="216"/>
  <c r="AB24" i="216"/>
  <c r="Z24" i="216"/>
  <c r="V24" i="216"/>
  <c r="EL24" i="216" s="1"/>
  <c r="U24" i="216"/>
  <c r="EK24" i="216" s="1"/>
  <c r="S24" i="216"/>
  <c r="Q24" i="216"/>
  <c r="EG24" i="216" s="1"/>
  <c r="O24" i="216"/>
  <c r="EE24" i="216" s="1"/>
  <c r="EM24" i="216" s="1"/>
  <c r="EB23" i="216"/>
  <c r="EA23" i="216"/>
  <c r="DY23" i="216"/>
  <c r="DX23" i="216" s="1"/>
  <c r="DW23" i="216"/>
  <c r="DU23" i="216"/>
  <c r="EC23" i="216" s="1"/>
  <c r="DR23" i="216"/>
  <c r="DQ23" i="216"/>
  <c r="DP23" i="216" s="1"/>
  <c r="DO23" i="216"/>
  <c r="DM23" i="216"/>
  <c r="DK23" i="216"/>
  <c r="DS23" i="216" s="1"/>
  <c r="DH23" i="216"/>
  <c r="DG23" i="216"/>
  <c r="DE23" i="216"/>
  <c r="DC23" i="216"/>
  <c r="DA23" i="216"/>
  <c r="DI23" i="216" s="1"/>
  <c r="CX23" i="216"/>
  <c r="CW23" i="216"/>
  <c r="CU23" i="216"/>
  <c r="CS23" i="216"/>
  <c r="CQ23" i="216"/>
  <c r="CY23" i="216" s="1"/>
  <c r="CN23" i="216"/>
  <c r="CM23" i="216"/>
  <c r="CK23" i="216"/>
  <c r="CI23" i="216"/>
  <c r="CG23" i="216"/>
  <c r="CO23" i="216" s="1"/>
  <c r="CD23" i="216"/>
  <c r="CC23" i="216"/>
  <c r="CB23" i="216" s="1"/>
  <c r="CA23" i="216"/>
  <c r="BZ23" i="216" s="1"/>
  <c r="BY23" i="216"/>
  <c r="BW23" i="216"/>
  <c r="CE23" i="216" s="1"/>
  <c r="BV23" i="216"/>
  <c r="BU23" i="216"/>
  <c r="BR23" i="216"/>
  <c r="BP23" i="216"/>
  <c r="BN23" i="216"/>
  <c r="BL23" i="216"/>
  <c r="BK23" i="216"/>
  <c r="BH23" i="216"/>
  <c r="BF23" i="216"/>
  <c r="BD23" i="216"/>
  <c r="AZ23" i="216"/>
  <c r="AY23" i="216"/>
  <c r="AW23" i="216"/>
  <c r="AU23" i="216"/>
  <c r="AS23" i="216"/>
  <c r="BA23" i="216" s="1"/>
  <c r="AP23" i="216"/>
  <c r="AO23" i="216"/>
  <c r="AN23" i="216" s="1"/>
  <c r="AM23" i="216"/>
  <c r="AK23" i="216"/>
  <c r="AI23" i="216"/>
  <c r="AQ23" i="216" s="1"/>
  <c r="AF23" i="216"/>
  <c r="AE23" i="216"/>
  <c r="AC23" i="216"/>
  <c r="AA23" i="216"/>
  <c r="Y23" i="216"/>
  <c r="AG23" i="216" s="1"/>
  <c r="V23" i="216"/>
  <c r="U23" i="216"/>
  <c r="S23" i="216"/>
  <c r="Q23" i="216"/>
  <c r="O23" i="216"/>
  <c r="EB22" i="216"/>
  <c r="EA22" i="216"/>
  <c r="EP22" i="216" s="1"/>
  <c r="DY22" i="216"/>
  <c r="DW22" i="216"/>
  <c r="DR22" i="216"/>
  <c r="DQ22" i="216"/>
  <c r="DM22" i="216"/>
  <c r="DK22" i="216"/>
  <c r="DH22" i="216"/>
  <c r="DG22" i="216"/>
  <c r="DC22" i="216"/>
  <c r="DA22" i="216"/>
  <c r="CX22" i="216"/>
  <c r="CW22" i="216"/>
  <c r="CS22" i="216"/>
  <c r="CQ22" i="216"/>
  <c r="CN22" i="216"/>
  <c r="CM22" i="216"/>
  <c r="CK22" i="216"/>
  <c r="CI22" i="216"/>
  <c r="CG22" i="216"/>
  <c r="CD22" i="216"/>
  <c r="CC22" i="216"/>
  <c r="CB22" i="216" s="1"/>
  <c r="BY22" i="216"/>
  <c r="BW22" i="216"/>
  <c r="BT22" i="216"/>
  <c r="BS22" i="216"/>
  <c r="BO22" i="216"/>
  <c r="BM22" i="216"/>
  <c r="BJ22" i="216"/>
  <c r="BI22" i="216"/>
  <c r="BH22" i="216" s="1"/>
  <c r="BE22" i="216"/>
  <c r="BC22" i="216"/>
  <c r="AZ22" i="216"/>
  <c r="AY22" i="216"/>
  <c r="AU22" i="216"/>
  <c r="AS22" i="216"/>
  <c r="AP22" i="216"/>
  <c r="AO22" i="216"/>
  <c r="AN22" i="216" s="1"/>
  <c r="AK22" i="216"/>
  <c r="AI22" i="216"/>
  <c r="AF22" i="216"/>
  <c r="AE22" i="216"/>
  <c r="AA22" i="216"/>
  <c r="Y22" i="216"/>
  <c r="V22" i="216"/>
  <c r="U22" i="216"/>
  <c r="Q22" i="216"/>
  <c r="O22" i="216"/>
  <c r="D22" i="216"/>
  <c r="EB21" i="216"/>
  <c r="EA21" i="216"/>
  <c r="EP21" i="216" s="1"/>
  <c r="DZ21" i="216"/>
  <c r="DY21" i="216"/>
  <c r="DW21" i="216"/>
  <c r="DV21" i="216"/>
  <c r="DU21" i="216"/>
  <c r="EC21" i="216" s="1"/>
  <c r="DR21" i="216"/>
  <c r="DQ21" i="216"/>
  <c r="DM21" i="216"/>
  <c r="DK21" i="216"/>
  <c r="DH21" i="216"/>
  <c r="DG21" i="216"/>
  <c r="DF21" i="216" s="1"/>
  <c r="DC21" i="216"/>
  <c r="DB21" i="216" s="1"/>
  <c r="DA21" i="216"/>
  <c r="CX21" i="216"/>
  <c r="CW21" i="216"/>
  <c r="CS21" i="216"/>
  <c r="CQ21" i="216"/>
  <c r="CV21" i="216" s="1"/>
  <c r="CN21" i="216"/>
  <c r="CM21" i="216"/>
  <c r="CK21" i="216"/>
  <c r="CI21" i="216"/>
  <c r="CG21" i="216"/>
  <c r="CO21" i="216" s="1"/>
  <c r="CD21" i="216"/>
  <c r="CC21" i="216"/>
  <c r="BY21" i="216"/>
  <c r="BX21" i="216" s="1"/>
  <c r="BW21" i="216"/>
  <c r="BT21" i="216"/>
  <c r="BS21" i="216"/>
  <c r="BO21" i="216"/>
  <c r="BM21" i="216"/>
  <c r="BJ21" i="216"/>
  <c r="BI21" i="216"/>
  <c r="BH21" i="216" s="1"/>
  <c r="BE21" i="216"/>
  <c r="BD21" i="216" s="1"/>
  <c r="BC21" i="216"/>
  <c r="AZ21" i="216"/>
  <c r="AY21" i="216"/>
  <c r="AU21" i="216"/>
  <c r="AS21" i="216"/>
  <c r="AP21" i="216"/>
  <c r="AO21" i="216"/>
  <c r="AK21" i="216"/>
  <c r="AJ21" i="216" s="1"/>
  <c r="AI21" i="216"/>
  <c r="AF21" i="216"/>
  <c r="AE21" i="216"/>
  <c r="AD21" i="216" s="1"/>
  <c r="AA21" i="216"/>
  <c r="Z21" i="216" s="1"/>
  <c r="Y21" i="216"/>
  <c r="V21" i="216"/>
  <c r="U21" i="216"/>
  <c r="Q21" i="216"/>
  <c r="P21" i="216" s="1"/>
  <c r="O21" i="216"/>
  <c r="D21" i="216"/>
  <c r="EB20" i="216"/>
  <c r="EA20" i="216"/>
  <c r="DY20" i="216"/>
  <c r="DW20" i="216"/>
  <c r="DU20" i="216"/>
  <c r="DR20" i="216"/>
  <c r="DQ20" i="216"/>
  <c r="DM20" i="216"/>
  <c r="DK20" i="216"/>
  <c r="DH20" i="216"/>
  <c r="DG20" i="216"/>
  <c r="DC20" i="216"/>
  <c r="DA20" i="216"/>
  <c r="CX20" i="216"/>
  <c r="CW20" i="216"/>
  <c r="CS20" i="216"/>
  <c r="CQ20" i="216"/>
  <c r="CN20" i="216"/>
  <c r="CM20" i="216"/>
  <c r="CK20" i="216"/>
  <c r="CI20" i="216"/>
  <c r="CP20" i="216" s="1"/>
  <c r="CG20" i="216"/>
  <c r="CO20" i="216" s="1"/>
  <c r="CD20" i="216"/>
  <c r="CC20" i="216"/>
  <c r="CA20" i="216"/>
  <c r="BY20" i="216"/>
  <c r="BW20" i="216"/>
  <c r="CE20" i="216" s="1"/>
  <c r="BT20" i="216"/>
  <c r="BS20" i="216"/>
  <c r="BR20" i="216" s="1"/>
  <c r="BO20" i="216"/>
  <c r="BM20" i="216"/>
  <c r="BJ20" i="216"/>
  <c r="BI20" i="216"/>
  <c r="BE20" i="216"/>
  <c r="BC20" i="216"/>
  <c r="AZ20" i="216"/>
  <c r="AY20" i="216"/>
  <c r="AX20" i="216" s="1"/>
  <c r="AU20" i="216"/>
  <c r="AS20" i="216"/>
  <c r="AP20" i="216"/>
  <c r="AO20" i="216"/>
  <c r="AK20" i="216"/>
  <c r="AI20" i="216"/>
  <c r="AF20" i="216"/>
  <c r="AE20" i="216"/>
  <c r="AD20" i="216" s="1"/>
  <c r="AA20" i="216"/>
  <c r="Y20" i="216"/>
  <c r="V20" i="216"/>
  <c r="U20" i="216"/>
  <c r="Q20" i="216"/>
  <c r="O20" i="216"/>
  <c r="D20" i="216"/>
  <c r="EB19" i="216"/>
  <c r="EA19" i="216"/>
  <c r="EP19" i="216" s="1"/>
  <c r="DY19" i="216"/>
  <c r="DW19" i="216"/>
  <c r="DU19" i="216"/>
  <c r="EC19" i="216" s="1"/>
  <c r="DR19" i="216"/>
  <c r="DQ19" i="216"/>
  <c r="DO19" i="216"/>
  <c r="DM19" i="216"/>
  <c r="DK19" i="216"/>
  <c r="DS19" i="216" s="1"/>
  <c r="DH19" i="216"/>
  <c r="DG19" i="216"/>
  <c r="DE19" i="216"/>
  <c r="DC19" i="216"/>
  <c r="DA19" i="216"/>
  <c r="DI19" i="216" s="1"/>
  <c r="CX19" i="216"/>
  <c r="CW19" i="216"/>
  <c r="CU19" i="216"/>
  <c r="CS19" i="216"/>
  <c r="CR19" i="216" s="1"/>
  <c r="CQ19" i="216"/>
  <c r="CY19" i="216" s="1"/>
  <c r="CN19" i="216"/>
  <c r="CM19" i="216"/>
  <c r="CK19" i="216"/>
  <c r="CI19" i="216"/>
  <c r="CG19" i="216"/>
  <c r="CO19" i="216" s="1"/>
  <c r="CD19" i="216"/>
  <c r="CC19" i="216"/>
  <c r="CA19" i="216"/>
  <c r="BY19" i="216"/>
  <c r="BW19" i="216"/>
  <c r="CE19" i="216" s="1"/>
  <c r="BT19" i="216"/>
  <c r="BS19" i="216"/>
  <c r="BQ19" i="216"/>
  <c r="BO19" i="216"/>
  <c r="BN19" i="216" s="1"/>
  <c r="BM19" i="216"/>
  <c r="BU19" i="216" s="1"/>
  <c r="BJ19" i="216"/>
  <c r="BI19" i="216"/>
  <c r="BG19" i="216"/>
  <c r="BF19" i="216" s="1"/>
  <c r="BE19" i="216"/>
  <c r="BC19" i="216"/>
  <c r="BK19" i="216" s="1"/>
  <c r="AZ19" i="216"/>
  <c r="AY19" i="216"/>
  <c r="AW19" i="216"/>
  <c r="AU19" i="216"/>
  <c r="AS19" i="216"/>
  <c r="BA19" i="216" s="1"/>
  <c r="AP19" i="216"/>
  <c r="AO19" i="216"/>
  <c r="AM19" i="216"/>
  <c r="AK19" i="216"/>
  <c r="AI19" i="216"/>
  <c r="AQ19" i="216" s="1"/>
  <c r="AF19" i="216"/>
  <c r="AE19" i="216"/>
  <c r="AC19" i="216"/>
  <c r="AA19" i="216"/>
  <c r="Y19" i="216"/>
  <c r="AG19" i="216" s="1"/>
  <c r="V19" i="216"/>
  <c r="U19" i="216"/>
  <c r="T19" i="216" s="1"/>
  <c r="S19" i="216"/>
  <c r="Q19" i="216"/>
  <c r="P19" i="216"/>
  <c r="O19" i="216"/>
  <c r="D19" i="216"/>
  <c r="EB18" i="216"/>
  <c r="EA18" i="216"/>
  <c r="DY18" i="216"/>
  <c r="DW18" i="216"/>
  <c r="DU18" i="216"/>
  <c r="EC18" i="216" s="1"/>
  <c r="DR18" i="216"/>
  <c r="DQ18" i="216"/>
  <c r="DM18" i="216"/>
  <c r="DK18" i="216"/>
  <c r="DH18" i="216"/>
  <c r="DG18" i="216"/>
  <c r="DC18" i="216"/>
  <c r="DA18" i="216"/>
  <c r="CX18" i="216"/>
  <c r="CW18" i="216"/>
  <c r="CS18" i="216"/>
  <c r="CQ18" i="216"/>
  <c r="CN18" i="216"/>
  <c r="CM18" i="216"/>
  <c r="CI18" i="216"/>
  <c r="CG18" i="216"/>
  <c r="CD18" i="216"/>
  <c r="CC18" i="216"/>
  <c r="CA18" i="216"/>
  <c r="BY18" i="216"/>
  <c r="BW18" i="216"/>
  <c r="BT18" i="216"/>
  <c r="BS18" i="216"/>
  <c r="BO18" i="216"/>
  <c r="BM18" i="216"/>
  <c r="BJ18" i="216"/>
  <c r="BI18" i="216"/>
  <c r="BE18" i="216"/>
  <c r="BC18" i="216"/>
  <c r="AZ18" i="216"/>
  <c r="AY18" i="216"/>
  <c r="AU18" i="216"/>
  <c r="AS18" i="216"/>
  <c r="AP18" i="216"/>
  <c r="AO18" i="216"/>
  <c r="AK18" i="216"/>
  <c r="AI18" i="216"/>
  <c r="AF18" i="216"/>
  <c r="AE18" i="216"/>
  <c r="AA18" i="216"/>
  <c r="Y18" i="216"/>
  <c r="V18" i="216"/>
  <c r="U18" i="216"/>
  <c r="Q18" i="216"/>
  <c r="O18" i="216"/>
  <c r="D18" i="216"/>
  <c r="EB17" i="216"/>
  <c r="EA17" i="216"/>
  <c r="EP17" i="216" s="1"/>
  <c r="DY17" i="216"/>
  <c r="DW17" i="216"/>
  <c r="DU17" i="216"/>
  <c r="EC17" i="216" s="1"/>
  <c r="DR17" i="216"/>
  <c r="DQ17" i="216"/>
  <c r="DO17" i="216"/>
  <c r="DM17" i="216"/>
  <c r="DK17" i="216"/>
  <c r="DS17" i="216" s="1"/>
  <c r="DH17" i="216"/>
  <c r="DG17" i="216"/>
  <c r="DE17" i="216"/>
  <c r="DD17" i="216" s="1"/>
  <c r="DC17" i="216"/>
  <c r="DA17" i="216"/>
  <c r="DI17" i="216" s="1"/>
  <c r="CX17" i="216"/>
  <c r="CW17" i="216"/>
  <c r="CU17" i="216"/>
  <c r="CS17" i="216"/>
  <c r="CR17" i="216" s="1"/>
  <c r="CQ17" i="216"/>
  <c r="CY17" i="216" s="1"/>
  <c r="CN17" i="216"/>
  <c r="CM17" i="216"/>
  <c r="CL17" i="216" s="1"/>
  <c r="CK17" i="216"/>
  <c r="CI17" i="216"/>
  <c r="CG17" i="216"/>
  <c r="CO17" i="216" s="1"/>
  <c r="CD17" i="216"/>
  <c r="CC17" i="216"/>
  <c r="CB17" i="216" s="1"/>
  <c r="CA17" i="216"/>
  <c r="BY17" i="216"/>
  <c r="BW17" i="216"/>
  <c r="CE17" i="216" s="1"/>
  <c r="BT17" i="216"/>
  <c r="BS17" i="216"/>
  <c r="BQ17" i="216"/>
  <c r="BO17" i="216"/>
  <c r="BV17" i="216" s="1"/>
  <c r="BM17" i="216"/>
  <c r="BU17" i="216" s="1"/>
  <c r="BJ17" i="216"/>
  <c r="BI17" i="216"/>
  <c r="BH17" i="216" s="1"/>
  <c r="BG17" i="216"/>
  <c r="BF17" i="216" s="1"/>
  <c r="BE17" i="216"/>
  <c r="BC17" i="216"/>
  <c r="BK17" i="216" s="1"/>
  <c r="AZ17" i="216"/>
  <c r="AY17" i="216"/>
  <c r="AW17" i="216"/>
  <c r="AU17" i="216"/>
  <c r="AS17" i="216"/>
  <c r="BA17" i="216" s="1"/>
  <c r="AP17" i="216"/>
  <c r="AO17" i="216"/>
  <c r="AN17" i="216" s="1"/>
  <c r="AM17" i="216"/>
  <c r="AK17" i="216"/>
  <c r="AI17" i="216"/>
  <c r="AQ17" i="216" s="1"/>
  <c r="AF17" i="216"/>
  <c r="AE17" i="216"/>
  <c r="AC17" i="216"/>
  <c r="AA17" i="216"/>
  <c r="Y17" i="216"/>
  <c r="AG17" i="216" s="1"/>
  <c r="V17" i="216"/>
  <c r="U17" i="216"/>
  <c r="S17" i="216"/>
  <c r="Q17" i="216"/>
  <c r="P17" i="216" s="1"/>
  <c r="O17" i="216"/>
  <c r="D17" i="216"/>
  <c r="EB16" i="216"/>
  <c r="EA16" i="216"/>
  <c r="DY16" i="216"/>
  <c r="DW16" i="216"/>
  <c r="DU16" i="216"/>
  <c r="DR16" i="216"/>
  <c r="DQ16" i="216"/>
  <c r="DM16" i="216"/>
  <c r="DK16" i="216"/>
  <c r="DH16" i="216"/>
  <c r="DG16" i="216"/>
  <c r="DC16" i="216"/>
  <c r="DA16" i="216"/>
  <c r="CX16" i="216"/>
  <c r="CW16" i="216"/>
  <c r="CS16" i="216"/>
  <c r="CQ16" i="216"/>
  <c r="CN16" i="216"/>
  <c r="CM16" i="216"/>
  <c r="CK16" i="216"/>
  <c r="CI16" i="216"/>
  <c r="CG16" i="216"/>
  <c r="CO16" i="216" s="1"/>
  <c r="CD16" i="216"/>
  <c r="CC16" i="216"/>
  <c r="BY16" i="216"/>
  <c r="BW16" i="216"/>
  <c r="BT16" i="216"/>
  <c r="BS16" i="216"/>
  <c r="BO16" i="216"/>
  <c r="BM16" i="216"/>
  <c r="BJ16" i="216"/>
  <c r="BI16" i="216"/>
  <c r="BE16" i="216"/>
  <c r="BC16" i="216"/>
  <c r="AZ16" i="216"/>
  <c r="AY16" i="216"/>
  <c r="AU16" i="216"/>
  <c r="AS16" i="216"/>
  <c r="AP16" i="216"/>
  <c r="AO16" i="216"/>
  <c r="AK16" i="216"/>
  <c r="AI16" i="216"/>
  <c r="AF16" i="216"/>
  <c r="AE16" i="216"/>
  <c r="AA16" i="216"/>
  <c r="Y16" i="216"/>
  <c r="V16" i="216"/>
  <c r="U16" i="216"/>
  <c r="S16" i="216"/>
  <c r="Q16" i="216"/>
  <c r="O16" i="216"/>
  <c r="D16" i="216"/>
  <c r="EB15" i="216"/>
  <c r="EA15" i="216"/>
  <c r="DY15" i="216"/>
  <c r="DW15" i="216"/>
  <c r="DV15" i="216" s="1"/>
  <c r="DU15" i="216"/>
  <c r="EC15" i="216" s="1"/>
  <c r="DR15" i="216"/>
  <c r="DQ15" i="216"/>
  <c r="DO15" i="216"/>
  <c r="DM15" i="216"/>
  <c r="DK15" i="216"/>
  <c r="DS15" i="216" s="1"/>
  <c r="DH15" i="216"/>
  <c r="DG15" i="216"/>
  <c r="DE15" i="216"/>
  <c r="DC15" i="216"/>
  <c r="DA15" i="216"/>
  <c r="DI15" i="216" s="1"/>
  <c r="CX15" i="216"/>
  <c r="CW15" i="216"/>
  <c r="CU15" i="216"/>
  <c r="CS15" i="216"/>
  <c r="CQ15" i="216"/>
  <c r="CY15" i="216" s="1"/>
  <c r="CN15" i="216"/>
  <c r="CM15" i="216"/>
  <c r="CL15" i="216" s="1"/>
  <c r="CK15" i="216"/>
  <c r="CI15" i="216"/>
  <c r="CG15" i="216"/>
  <c r="CO15" i="216" s="1"/>
  <c r="CD15" i="216"/>
  <c r="CC15" i="216"/>
  <c r="CA15" i="216"/>
  <c r="BY15" i="216"/>
  <c r="BW15" i="216"/>
  <c r="CE15" i="216" s="1"/>
  <c r="BT15" i="216"/>
  <c r="BS15" i="216"/>
  <c r="BQ15" i="216"/>
  <c r="BO15" i="216"/>
  <c r="BM15" i="216"/>
  <c r="BU15" i="216" s="1"/>
  <c r="BJ15" i="216"/>
  <c r="BI15" i="216"/>
  <c r="BH15" i="216" s="1"/>
  <c r="BG15" i="216"/>
  <c r="BE15" i="216"/>
  <c r="BC15" i="216"/>
  <c r="BK15" i="216" s="1"/>
  <c r="AZ15" i="216"/>
  <c r="AY15" i="216"/>
  <c r="AX15" i="216" s="1"/>
  <c r="AW15" i="216"/>
  <c r="AV15" i="216"/>
  <c r="AU15" i="216"/>
  <c r="AS15" i="216"/>
  <c r="BA15" i="216" s="1"/>
  <c r="AP15" i="216"/>
  <c r="AO15" i="216"/>
  <c r="AN15" i="216" s="1"/>
  <c r="AM15" i="216"/>
  <c r="AL15" i="216"/>
  <c r="AK15" i="216"/>
  <c r="AI15" i="216"/>
  <c r="AF15" i="216"/>
  <c r="AE15" i="216"/>
  <c r="AD15" i="216"/>
  <c r="AC15" i="216"/>
  <c r="AA15" i="216"/>
  <c r="Y15" i="216"/>
  <c r="AG15" i="216" s="1"/>
  <c r="V15" i="216"/>
  <c r="U15" i="216"/>
  <c r="S15" i="216"/>
  <c r="Q15" i="216"/>
  <c r="O15" i="216"/>
  <c r="D15" i="216"/>
  <c r="EP14" i="216"/>
  <c r="EB14" i="216"/>
  <c r="EA14" i="216"/>
  <c r="DY14" i="216"/>
  <c r="DW14" i="216"/>
  <c r="DU14" i="216"/>
  <c r="EC14" i="216" s="1"/>
  <c r="DR14" i="216"/>
  <c r="DQ14" i="216"/>
  <c r="DO14" i="216"/>
  <c r="DN14" i="216" s="1"/>
  <c r="DM14" i="216"/>
  <c r="DK14" i="216"/>
  <c r="DS14" i="216" s="1"/>
  <c r="DH14" i="216"/>
  <c r="DG14" i="216"/>
  <c r="DE14" i="216"/>
  <c r="DD14" i="216" s="1"/>
  <c r="DC14" i="216"/>
  <c r="DA14" i="216"/>
  <c r="DI14" i="216" s="1"/>
  <c r="CX14" i="216"/>
  <c r="CW14" i="216"/>
  <c r="CV14" i="216" s="1"/>
  <c r="CU14" i="216"/>
  <c r="CS14" i="216"/>
  <c r="CQ14" i="216"/>
  <c r="CY14" i="216" s="1"/>
  <c r="CN14" i="216"/>
  <c r="CM14" i="216"/>
  <c r="CK14" i="216"/>
  <c r="CI14" i="216"/>
  <c r="CG14" i="216"/>
  <c r="CO14" i="216" s="1"/>
  <c r="CD14" i="216"/>
  <c r="CC14" i="216"/>
  <c r="CA14" i="216"/>
  <c r="BY14" i="216"/>
  <c r="BW14" i="216"/>
  <c r="CE14" i="216" s="1"/>
  <c r="BT14" i="216"/>
  <c r="BS14" i="216"/>
  <c r="BR14" i="216" s="1"/>
  <c r="BQ14" i="216"/>
  <c r="BP14" i="216" s="1"/>
  <c r="BO14" i="216"/>
  <c r="BM14" i="216"/>
  <c r="BU14" i="216" s="1"/>
  <c r="BJ14" i="216"/>
  <c r="BI14" i="216"/>
  <c r="BG14" i="216"/>
  <c r="BE14" i="216"/>
  <c r="BC14" i="216"/>
  <c r="BK14" i="216" s="1"/>
  <c r="AZ14" i="216"/>
  <c r="AY14" i="216"/>
  <c r="AW14" i="216"/>
  <c r="AU14" i="216"/>
  <c r="AS14" i="216"/>
  <c r="BA14" i="216" s="1"/>
  <c r="AP14" i="216"/>
  <c r="AO14" i="216"/>
  <c r="AM14" i="216"/>
  <c r="AL14" i="216" s="1"/>
  <c r="AK14" i="216"/>
  <c r="AI14" i="216"/>
  <c r="AQ14" i="216" s="1"/>
  <c r="AF14" i="216"/>
  <c r="AE14" i="216"/>
  <c r="AC14" i="216"/>
  <c r="AA14" i="216"/>
  <c r="Y14" i="216"/>
  <c r="AG14" i="216" s="1"/>
  <c r="V14" i="216"/>
  <c r="U14" i="216"/>
  <c r="S14" i="216"/>
  <c r="Q14" i="216"/>
  <c r="O14" i="216"/>
  <c r="D14" i="216"/>
  <c r="EB13" i="216"/>
  <c r="EA13" i="216"/>
  <c r="EP13" i="216" s="1"/>
  <c r="DY13" i="216"/>
  <c r="DX13" i="216" s="1"/>
  <c r="DW13" i="216"/>
  <c r="DV13" i="216" s="1"/>
  <c r="DU13" i="216"/>
  <c r="EC13" i="216" s="1"/>
  <c r="DR13" i="216"/>
  <c r="DQ13" i="216"/>
  <c r="DM13" i="216"/>
  <c r="DK13" i="216"/>
  <c r="DH13" i="216"/>
  <c r="DG13" i="216"/>
  <c r="DF13" i="216"/>
  <c r="DC13" i="216"/>
  <c r="DB13" i="216" s="1"/>
  <c r="DA13" i="216"/>
  <c r="CX13" i="216"/>
  <c r="CW13" i="216"/>
  <c r="CS13" i="216"/>
  <c r="CR13" i="216" s="1"/>
  <c r="CQ13" i="216"/>
  <c r="CN13" i="216"/>
  <c r="CM13" i="216"/>
  <c r="CL13" i="216" s="1"/>
  <c r="CK13" i="216"/>
  <c r="CI13" i="216"/>
  <c r="CG13" i="216"/>
  <c r="CO13" i="216" s="1"/>
  <c r="CD13" i="216"/>
  <c r="CC13" i="216"/>
  <c r="BY13" i="216"/>
  <c r="BW13" i="216"/>
  <c r="BT13" i="216"/>
  <c r="BS13" i="216"/>
  <c r="BR13" i="216" s="1"/>
  <c r="BO13" i="216"/>
  <c r="BN13" i="216" s="1"/>
  <c r="BM13" i="216"/>
  <c r="BJ13" i="216"/>
  <c r="BI13" i="216"/>
  <c r="BE13" i="216"/>
  <c r="BD13" i="216" s="1"/>
  <c r="BC13" i="216"/>
  <c r="AZ13" i="216"/>
  <c r="AY13" i="216"/>
  <c r="AU13" i="216"/>
  <c r="AS13" i="216"/>
  <c r="AP13" i="216"/>
  <c r="AO13" i="216"/>
  <c r="AK13" i="216"/>
  <c r="AI13" i="216"/>
  <c r="AF13" i="216"/>
  <c r="AE13" i="216"/>
  <c r="AD13" i="216" s="1"/>
  <c r="AA13" i="216"/>
  <c r="Y13" i="216"/>
  <c r="V13" i="216"/>
  <c r="U13" i="216"/>
  <c r="Q13" i="216"/>
  <c r="P13" i="216" s="1"/>
  <c r="O13" i="216"/>
  <c r="D13" i="216"/>
  <c r="EB12" i="216"/>
  <c r="EB26" i="216" s="1"/>
  <c r="EA12" i="216"/>
  <c r="DY12" i="216"/>
  <c r="DW12" i="216"/>
  <c r="DU12" i="216"/>
  <c r="DR12" i="216"/>
  <c r="DQ12" i="216"/>
  <c r="DM12" i="216"/>
  <c r="DM26" i="216" s="1"/>
  <c r="DK12" i="216"/>
  <c r="DK26" i="216" s="1"/>
  <c r="DH12" i="216"/>
  <c r="DG12" i="216"/>
  <c r="DC12" i="216"/>
  <c r="DA12" i="216"/>
  <c r="CX12" i="216"/>
  <c r="CW12" i="216"/>
  <c r="CS12" i="216"/>
  <c r="CQ12" i="216"/>
  <c r="CQ26" i="216" s="1"/>
  <c r="CN12" i="216"/>
  <c r="CM12" i="216"/>
  <c r="CK12" i="216"/>
  <c r="CJ12" i="216" s="1"/>
  <c r="CI12" i="216"/>
  <c r="CG12" i="216"/>
  <c r="CG26" i="216" s="1"/>
  <c r="CD12" i="216"/>
  <c r="CC12" i="216"/>
  <c r="BY12" i="216"/>
  <c r="BY26" i="216" s="1"/>
  <c r="BW12" i="216"/>
  <c r="BT12" i="216"/>
  <c r="BT26" i="216" s="1"/>
  <c r="BS12" i="216"/>
  <c r="BR12" i="216" s="1"/>
  <c r="BO12" i="216"/>
  <c r="BM12" i="216"/>
  <c r="BJ12" i="216"/>
  <c r="BI12" i="216"/>
  <c r="BE12" i="216"/>
  <c r="BC12" i="216"/>
  <c r="BC26" i="216" s="1"/>
  <c r="AZ12" i="216"/>
  <c r="AZ26" i="216" s="1"/>
  <c r="AY12" i="216"/>
  <c r="AU12" i="216"/>
  <c r="AS12" i="216"/>
  <c r="AS26" i="216" s="1"/>
  <c r="AP12" i="216"/>
  <c r="AP26" i="216" s="1"/>
  <c r="AO12" i="216"/>
  <c r="AK12" i="216"/>
  <c r="AK26" i="216" s="1"/>
  <c r="AI12" i="216"/>
  <c r="AF12" i="216"/>
  <c r="AF26" i="216" s="1"/>
  <c r="AE12" i="216"/>
  <c r="AD12" i="216" s="1"/>
  <c r="AA12" i="216"/>
  <c r="Y12" i="216"/>
  <c r="V12" i="216"/>
  <c r="V26" i="216" s="1"/>
  <c r="V393" i="216" s="1"/>
  <c r="U12" i="216"/>
  <c r="Q12" i="216"/>
  <c r="O12" i="216"/>
  <c r="O26" i="216" s="1"/>
  <c r="D12" i="216"/>
  <c r="EE10" i="216"/>
  <c r="EE9" i="216"/>
  <c r="E182" i="213"/>
  <c r="E161" i="213"/>
  <c r="E160" i="213"/>
  <c r="E156" i="213"/>
  <c r="E153" i="213"/>
  <c r="E152" i="213"/>
  <c r="E146" i="213"/>
  <c r="E138" i="213"/>
  <c r="E107" i="213"/>
  <c r="E104" i="213"/>
  <c r="E99" i="213"/>
  <c r="E83" i="213"/>
  <c r="E74" i="213"/>
  <c r="E71" i="213"/>
  <c r="E66" i="213"/>
  <c r="E63" i="213"/>
  <c r="E58" i="213"/>
  <c r="E56" i="213"/>
  <c r="E53" i="213"/>
  <c r="E51" i="213"/>
  <c r="E48" i="213"/>
  <c r="E40" i="213"/>
  <c r="E38" i="213"/>
  <c r="E35" i="213"/>
  <c r="E28" i="213"/>
  <c r="E27" i="213"/>
  <c r="D26" i="213"/>
  <c r="E21" i="213"/>
  <c r="E19" i="213"/>
  <c r="E16" i="213"/>
  <c r="N222" i="213"/>
  <c r="N217" i="213"/>
  <c r="M217" i="213"/>
  <c r="K210" i="213"/>
  <c r="J210" i="213"/>
  <c r="I210" i="213"/>
  <c r="L209" i="213"/>
  <c r="K209" i="213"/>
  <c r="J209" i="213"/>
  <c r="M209" i="213" s="1"/>
  <c r="I209" i="213"/>
  <c r="K207" i="213"/>
  <c r="J207" i="213"/>
  <c r="I207" i="213"/>
  <c r="J201" i="213"/>
  <c r="E198" i="213"/>
  <c r="E197" i="213"/>
  <c r="E196" i="213"/>
  <c r="E195" i="213"/>
  <c r="E194" i="213"/>
  <c r="E177" i="213"/>
  <c r="E176" i="213"/>
  <c r="E164" i="213"/>
  <c r="E163" i="213"/>
  <c r="G162" i="213"/>
  <c r="E162" i="213"/>
  <c r="G161" i="213"/>
  <c r="G159" i="213"/>
  <c r="E159" i="213"/>
  <c r="E158" i="213"/>
  <c r="E157" i="213"/>
  <c r="G156" i="213"/>
  <c r="E155" i="213"/>
  <c r="E154" i="213"/>
  <c r="G154" i="213"/>
  <c r="E151" i="213"/>
  <c r="E150" i="213"/>
  <c r="G149" i="213"/>
  <c r="E149" i="213"/>
  <c r="P148" i="213"/>
  <c r="L147" i="213"/>
  <c r="K147" i="213"/>
  <c r="J147" i="213"/>
  <c r="I147" i="213"/>
  <c r="E147" i="213"/>
  <c r="D147" i="213"/>
  <c r="E145" i="213"/>
  <c r="E144" i="213"/>
  <c r="G143" i="213"/>
  <c r="E143" i="213"/>
  <c r="G142" i="213"/>
  <c r="E142" i="213"/>
  <c r="P141" i="213"/>
  <c r="P140" i="213"/>
  <c r="P137" i="213"/>
  <c r="P136" i="213"/>
  <c r="E134" i="213"/>
  <c r="E133" i="213"/>
  <c r="M132" i="213"/>
  <c r="P132" i="213" s="1"/>
  <c r="P131" i="213"/>
  <c r="L129" i="213"/>
  <c r="K129" i="213"/>
  <c r="J129" i="213"/>
  <c r="I129" i="213"/>
  <c r="E129" i="213"/>
  <c r="D129" i="213"/>
  <c r="P128" i="213"/>
  <c r="L127" i="213"/>
  <c r="K127" i="213"/>
  <c r="J127" i="213"/>
  <c r="I127" i="213"/>
  <c r="E127" i="213"/>
  <c r="G126" i="213"/>
  <c r="E125" i="213"/>
  <c r="G124" i="213"/>
  <c r="E124" i="213"/>
  <c r="P123" i="213"/>
  <c r="P122" i="213"/>
  <c r="P121" i="213"/>
  <c r="E119" i="213"/>
  <c r="L118" i="213"/>
  <c r="K118" i="213"/>
  <c r="J118" i="213"/>
  <c r="I118" i="213"/>
  <c r="E118" i="213"/>
  <c r="L117" i="213"/>
  <c r="K117" i="213"/>
  <c r="J117" i="213"/>
  <c r="I117" i="213"/>
  <c r="E117" i="213"/>
  <c r="G117" i="213"/>
  <c r="E116" i="213"/>
  <c r="P115" i="213"/>
  <c r="P114" i="213"/>
  <c r="L111" i="213"/>
  <c r="K111" i="213"/>
  <c r="J111" i="213"/>
  <c r="I111" i="213"/>
  <c r="E111" i="213"/>
  <c r="L110" i="213"/>
  <c r="K110" i="213"/>
  <c r="J110" i="213"/>
  <c r="I110" i="213"/>
  <c r="E110" i="213"/>
  <c r="L109" i="213"/>
  <c r="K109" i="213"/>
  <c r="J109" i="213"/>
  <c r="I109" i="213"/>
  <c r="E109" i="213"/>
  <c r="E108" i="213"/>
  <c r="E106" i="213"/>
  <c r="E105" i="213"/>
  <c r="G104" i="213"/>
  <c r="E103" i="213"/>
  <c r="E102" i="213"/>
  <c r="E101" i="213"/>
  <c r="G100" i="213"/>
  <c r="E100" i="213"/>
  <c r="E98" i="213"/>
  <c r="G97" i="213"/>
  <c r="E97" i="213"/>
  <c r="P96" i="213"/>
  <c r="P95" i="213"/>
  <c r="O94" i="213"/>
  <c r="E93" i="213"/>
  <c r="G92" i="213"/>
  <c r="E92" i="213"/>
  <c r="E91" i="213"/>
  <c r="G90" i="213"/>
  <c r="E90" i="213"/>
  <c r="E89" i="213"/>
  <c r="P88" i="213"/>
  <c r="P87" i="213"/>
  <c r="E84" i="213"/>
  <c r="G83" i="213"/>
  <c r="E82" i="213"/>
  <c r="L81" i="213"/>
  <c r="K81" i="213"/>
  <c r="J81" i="213"/>
  <c r="I81" i="213"/>
  <c r="G81" i="213"/>
  <c r="E81" i="213"/>
  <c r="L80" i="213"/>
  <c r="K80" i="213"/>
  <c r="J80" i="213"/>
  <c r="I80" i="213"/>
  <c r="G80" i="213"/>
  <c r="G79" i="213"/>
  <c r="G78" i="213"/>
  <c r="E78" i="213"/>
  <c r="E77" i="213"/>
  <c r="E76" i="213"/>
  <c r="G75" i="213"/>
  <c r="E75" i="213"/>
  <c r="E73" i="213"/>
  <c r="E72" i="213"/>
  <c r="E70" i="213"/>
  <c r="E69" i="213"/>
  <c r="G68" i="213"/>
  <c r="E68" i="213"/>
  <c r="G67" i="213"/>
  <c r="E67" i="213"/>
  <c r="E65" i="213"/>
  <c r="G64" i="213"/>
  <c r="E64" i="213"/>
  <c r="E62" i="213"/>
  <c r="G61" i="213"/>
  <c r="E61" i="213"/>
  <c r="E60" i="213"/>
  <c r="E59" i="213"/>
  <c r="E57" i="213"/>
  <c r="G56" i="213"/>
  <c r="E55" i="213"/>
  <c r="G55" i="213"/>
  <c r="E54" i="213"/>
  <c r="G54" i="213"/>
  <c r="E52" i="213"/>
  <c r="E50" i="213"/>
  <c r="E49" i="213"/>
  <c r="D48" i="213"/>
  <c r="P47" i="213"/>
  <c r="M47" i="213"/>
  <c r="N47" i="213" s="1"/>
  <c r="P46" i="213"/>
  <c r="P45" i="213"/>
  <c r="P44" i="213"/>
  <c r="E41" i="213"/>
  <c r="G39" i="213"/>
  <c r="E39" i="213"/>
  <c r="E37" i="213"/>
  <c r="L36" i="213"/>
  <c r="K36" i="213"/>
  <c r="J36" i="213"/>
  <c r="E36" i="213"/>
  <c r="E34" i="213"/>
  <c r="M33" i="213"/>
  <c r="N33" i="213" s="1"/>
  <c r="P32" i="213"/>
  <c r="L29" i="213"/>
  <c r="K29" i="213"/>
  <c r="J29" i="213"/>
  <c r="I29" i="213"/>
  <c r="G29" i="213"/>
  <c r="E29" i="213"/>
  <c r="L28" i="213"/>
  <c r="K28" i="213"/>
  <c r="J28" i="213"/>
  <c r="I28" i="213"/>
  <c r="L27" i="213"/>
  <c r="K27" i="213"/>
  <c r="J27" i="213"/>
  <c r="I27" i="213"/>
  <c r="G27" i="213"/>
  <c r="L26" i="213"/>
  <c r="K26" i="213"/>
  <c r="J26" i="213"/>
  <c r="I26" i="213"/>
  <c r="E26" i="213"/>
  <c r="E25" i="213"/>
  <c r="E24" i="213"/>
  <c r="E23" i="213"/>
  <c r="E22" i="213"/>
  <c r="G21" i="213"/>
  <c r="E20" i="213"/>
  <c r="E15" i="213"/>
  <c r="EA390" i="216"/>
  <c r="CW390" i="216"/>
  <c r="CV390" i="216" s="1"/>
  <c r="CC390" i="216"/>
  <c r="CB390" i="216" s="1"/>
  <c r="EA383" i="216"/>
  <c r="CW383" i="216"/>
  <c r="CV383" i="216" s="1"/>
  <c r="CM383" i="216"/>
  <c r="CC383" i="216"/>
  <c r="BS383" i="216"/>
  <c r="AY383" i="216"/>
  <c r="DQ380" i="216"/>
  <c r="CW380" i="216"/>
  <c r="CM380" i="216"/>
  <c r="BS380" i="216"/>
  <c r="DQ373" i="216"/>
  <c r="DP373" i="216" s="1"/>
  <c r="DG373" i="216"/>
  <c r="DF373" i="216" s="1"/>
  <c r="CW373" i="216"/>
  <c r="BS373" i="216"/>
  <c r="BR373" i="216" s="1"/>
  <c r="AY373" i="216"/>
  <c r="AX373" i="216" s="1"/>
  <c r="AO373" i="216"/>
  <c r="DQ372" i="216"/>
  <c r="DP372" i="216" s="1"/>
  <c r="DG372" i="216"/>
  <c r="CM372" i="216"/>
  <c r="CL372" i="216" s="1"/>
  <c r="CC372" i="216"/>
  <c r="BS372" i="216"/>
  <c r="BI372" i="216"/>
  <c r="BH372" i="216" s="1"/>
  <c r="AY372" i="216"/>
  <c r="AX372" i="216" s="1"/>
  <c r="AO372" i="216"/>
  <c r="AN372" i="216" s="1"/>
  <c r="U372" i="216"/>
  <c r="EA369" i="216"/>
  <c r="DQ369" i="216"/>
  <c r="CW369" i="216"/>
  <c r="CM369" i="216"/>
  <c r="CC369" i="216"/>
  <c r="BS369" i="216"/>
  <c r="BI369" i="216"/>
  <c r="AY369" i="216"/>
  <c r="AO369" i="216"/>
  <c r="U369" i="216"/>
  <c r="EA364" i="216"/>
  <c r="DU364" i="216"/>
  <c r="DQ364" i="216"/>
  <c r="DP364" i="216" s="1"/>
  <c r="CM364" i="216"/>
  <c r="AE364" i="216"/>
  <c r="AD364" i="216" s="1"/>
  <c r="U364" i="216"/>
  <c r="DU363" i="216"/>
  <c r="AY363" i="216"/>
  <c r="U363" i="216"/>
  <c r="EB362" i="216"/>
  <c r="EA362" i="216"/>
  <c r="DY362" i="216"/>
  <c r="DQ362" i="216"/>
  <c r="DP362" i="216" s="1"/>
  <c r="DO362" i="216"/>
  <c r="DN362" i="216" s="1"/>
  <c r="DE362" i="216"/>
  <c r="CX362" i="216"/>
  <c r="CX366" i="216" s="1"/>
  <c r="CW362" i="216"/>
  <c r="CV362" i="216" s="1"/>
  <c r="CU362" i="216"/>
  <c r="CN362" i="216"/>
  <c r="CM362" i="216"/>
  <c r="CL362" i="216" s="1"/>
  <c r="CK362" i="216"/>
  <c r="CJ362" i="216" s="1"/>
  <c r="CD362" i="216"/>
  <c r="CC362" i="216"/>
  <c r="CB362" i="216" s="1"/>
  <c r="BT362" i="216"/>
  <c r="BS362" i="216"/>
  <c r="BR362" i="216" s="1"/>
  <c r="BQ362" i="216"/>
  <c r="BI362" i="216"/>
  <c r="BH362" i="216" s="1"/>
  <c r="BG362" i="216"/>
  <c r="AZ362" i="216"/>
  <c r="AW362" i="216"/>
  <c r="AV362" i="216" s="1"/>
  <c r="AP362" i="216"/>
  <c r="AO362" i="216"/>
  <c r="AN362" i="216" s="1"/>
  <c r="AM362" i="216"/>
  <c r="AL362" i="216" s="1"/>
  <c r="AE362" i="216"/>
  <c r="EA359" i="216"/>
  <c r="DG359" i="216"/>
  <c r="DU358" i="216"/>
  <c r="DK358" i="216"/>
  <c r="BQ358" i="216"/>
  <c r="BM358" i="216"/>
  <c r="BG358" i="216"/>
  <c r="BC358" i="216"/>
  <c r="AW358" i="216"/>
  <c r="AS358" i="216"/>
  <c r="AI358" i="216"/>
  <c r="Y358" i="216"/>
  <c r="U358" i="216"/>
  <c r="O358" i="216"/>
  <c r="EB357" i="216"/>
  <c r="DU357" i="216"/>
  <c r="DK357" i="216"/>
  <c r="DA357" i="216"/>
  <c r="CQ357" i="216"/>
  <c r="CG357" i="216"/>
  <c r="BW357" i="216"/>
  <c r="BC357" i="216"/>
  <c r="AS357" i="216"/>
  <c r="AI357" i="216"/>
  <c r="AC357" i="216"/>
  <c r="Y357" i="216"/>
  <c r="O357" i="216"/>
  <c r="EP349" i="216"/>
  <c r="DY341" i="216"/>
  <c r="DX341" i="216" s="1"/>
  <c r="CK339" i="216"/>
  <c r="CC339" i="216"/>
  <c r="CB339" i="216" s="1"/>
  <c r="BQ339" i="216"/>
  <c r="BM339" i="216"/>
  <c r="DY338" i="216"/>
  <c r="CQ338" i="216"/>
  <c r="CC338" i="216"/>
  <c r="BQ338" i="216"/>
  <c r="BM338" i="216"/>
  <c r="AW338" i="216"/>
  <c r="AS338" i="216"/>
  <c r="AI338" i="216"/>
  <c r="DY337" i="216"/>
  <c r="CQ337" i="216"/>
  <c r="CG337" i="216"/>
  <c r="CC337" i="216"/>
  <c r="BM337" i="216"/>
  <c r="AW337" i="216"/>
  <c r="AM337" i="216"/>
  <c r="AI337" i="216"/>
  <c r="DY336" i="216"/>
  <c r="CG336" i="216"/>
  <c r="BQ336" i="216"/>
  <c r="BM336" i="216"/>
  <c r="AW336" i="216"/>
  <c r="AS336" i="216"/>
  <c r="CC335" i="216"/>
  <c r="CB335" i="216" s="1"/>
  <c r="BM335" i="216"/>
  <c r="DY334" i="216"/>
  <c r="CU334" i="216"/>
  <c r="CQ334" i="216"/>
  <c r="CC334" i="216"/>
  <c r="DY333" i="216"/>
  <c r="CG333" i="216"/>
  <c r="BM333" i="216"/>
  <c r="DY332" i="216"/>
  <c r="CC332" i="216"/>
  <c r="BQ332" i="216"/>
  <c r="AW332" i="216"/>
  <c r="AS332" i="216"/>
  <c r="DU326" i="216"/>
  <c r="DO326" i="216"/>
  <c r="DK326" i="216"/>
  <c r="CU326" i="216"/>
  <c r="CQ326" i="216"/>
  <c r="CA326" i="216"/>
  <c r="BW326" i="216"/>
  <c r="BQ326" i="216"/>
  <c r="BM326" i="216"/>
  <c r="BC326" i="216"/>
  <c r="AM326" i="216"/>
  <c r="AI326" i="216"/>
  <c r="BQ325" i="216"/>
  <c r="BW323" i="216"/>
  <c r="AC323" i="216"/>
  <c r="BM321" i="216"/>
  <c r="S321" i="216"/>
  <c r="BM320" i="216"/>
  <c r="DU319" i="216"/>
  <c r="DO319" i="216"/>
  <c r="DK319" i="216"/>
  <c r="DU318" i="216"/>
  <c r="DE318" i="216"/>
  <c r="DD318" i="216" s="1"/>
  <c r="BQ318" i="216"/>
  <c r="BM318" i="216"/>
  <c r="BW317" i="216"/>
  <c r="BQ317" i="216"/>
  <c r="DU316" i="216"/>
  <c r="CA316" i="216"/>
  <c r="BW316" i="216"/>
  <c r="BQ316" i="216"/>
  <c r="CK315" i="216"/>
  <c r="CG315" i="216"/>
  <c r="BM315" i="216"/>
  <c r="DY314" i="216"/>
  <c r="BM314" i="216"/>
  <c r="DU313" i="216"/>
  <c r="S313" i="216"/>
  <c r="DU312" i="216"/>
  <c r="BM312" i="216"/>
  <c r="CA311" i="216"/>
  <c r="BW311" i="216"/>
  <c r="BQ311" i="216"/>
  <c r="DU310" i="216"/>
  <c r="S310" i="216"/>
  <c r="BM308" i="216"/>
  <c r="DO307" i="216"/>
  <c r="BG307" i="216"/>
  <c r="DO306" i="216"/>
  <c r="DK306" i="216"/>
  <c r="DU304" i="216"/>
  <c r="BQ303" i="216"/>
  <c r="BM303" i="216"/>
  <c r="DU302" i="216"/>
  <c r="DY301" i="216"/>
  <c r="DO300" i="216"/>
  <c r="BC300" i="216"/>
  <c r="DU299" i="216"/>
  <c r="CU299" i="216"/>
  <c r="CQ299" i="216"/>
  <c r="CG298" i="216"/>
  <c r="BQ298" i="216"/>
  <c r="BM298" i="216"/>
  <c r="DY295" i="216"/>
  <c r="DX295" i="216" s="1"/>
  <c r="BM295" i="216"/>
  <c r="DO294" i="216"/>
  <c r="DN294" i="216" s="1"/>
  <c r="BW294" i="216"/>
  <c r="BQ294" i="216"/>
  <c r="DU293" i="216"/>
  <c r="DE293" i="216"/>
  <c r="DA293" i="216"/>
  <c r="CQ293" i="216"/>
  <c r="DY292" i="216"/>
  <c r="DU292" i="216"/>
  <c r="DO292" i="216"/>
  <c r="DE292" i="216"/>
  <c r="DA292" i="216"/>
  <c r="CU292" i="216"/>
  <c r="BM291" i="216"/>
  <c r="AW291" i="216"/>
  <c r="AS291" i="216"/>
  <c r="DY287" i="216"/>
  <c r="DU287" i="216"/>
  <c r="DO287" i="216"/>
  <c r="DK287" i="216"/>
  <c r="DA287" i="216"/>
  <c r="BC287" i="216"/>
  <c r="DY286" i="216"/>
  <c r="DU286" i="216"/>
  <c r="DO286" i="216"/>
  <c r="DA286" i="216"/>
  <c r="CK286" i="216"/>
  <c r="CG286" i="216"/>
  <c r="DU282" i="216"/>
  <c r="BQ280" i="216"/>
  <c r="BC280" i="216"/>
  <c r="AS280" i="216"/>
  <c r="Y280" i="216"/>
  <c r="EA278" i="216"/>
  <c r="DY278" i="216"/>
  <c r="DR278" i="216"/>
  <c r="DO278" i="216"/>
  <c r="DK278" i="216"/>
  <c r="DS278" i="216" s="1"/>
  <c r="DH278" i="216"/>
  <c r="DH283" i="216" s="1"/>
  <c r="DG278" i="216"/>
  <c r="DE278" i="216"/>
  <c r="CX278" i="216"/>
  <c r="CW278" i="216"/>
  <c r="CU278" i="216"/>
  <c r="CS278" i="216"/>
  <c r="CQ278" i="216"/>
  <c r="CY278" i="216" s="1"/>
  <c r="CM278" i="216"/>
  <c r="CL278" i="216" s="1"/>
  <c r="CK278" i="216"/>
  <c r="CI278" i="216"/>
  <c r="CG278" i="216"/>
  <c r="CO278" i="216" s="1"/>
  <c r="CD278" i="216"/>
  <c r="CA278" i="216"/>
  <c r="BY278" i="216"/>
  <c r="BW278" i="216"/>
  <c r="CE278" i="216" s="1"/>
  <c r="BS278" i="216"/>
  <c r="BO278" i="216"/>
  <c r="BJ278" i="216"/>
  <c r="BJ283" i="216" s="1"/>
  <c r="BG278" i="216"/>
  <c r="BC278" i="216"/>
  <c r="AZ278" i="216"/>
  <c r="AY278" i="216"/>
  <c r="AU278" i="216"/>
  <c r="AP278" i="216"/>
  <c r="AO278" i="216"/>
  <c r="AM278" i="216"/>
  <c r="AL278" i="216" s="1"/>
  <c r="AF278" i="216"/>
  <c r="AE278" i="216"/>
  <c r="AC278" i="216"/>
  <c r="AA278" i="216"/>
  <c r="S278" i="216"/>
  <c r="Q278" i="216"/>
  <c r="O278" i="216"/>
  <c r="DU277" i="216"/>
  <c r="CQ277" i="216"/>
  <c r="AM277" i="216"/>
  <c r="AI277" i="216"/>
  <c r="AC277" i="216"/>
  <c r="Y277" i="216"/>
  <c r="S277" i="216"/>
  <c r="O277" i="216"/>
  <c r="DK276" i="216"/>
  <c r="CU276" i="216"/>
  <c r="CQ276" i="216"/>
  <c r="CK276" i="216"/>
  <c r="AM276" i="216"/>
  <c r="AC276" i="216"/>
  <c r="Y276" i="216"/>
  <c r="DU268" i="216"/>
  <c r="DY267" i="216"/>
  <c r="DU267" i="216"/>
  <c r="AW267" i="216"/>
  <c r="AS267" i="216"/>
  <c r="DY266" i="216"/>
  <c r="DU266" i="216"/>
  <c r="CA266" i="216"/>
  <c r="BW266" i="216"/>
  <c r="AW266" i="216"/>
  <c r="AV266" i="216" s="1"/>
  <c r="AS266" i="216"/>
  <c r="DY265" i="216"/>
  <c r="DU265" i="216"/>
  <c r="AW265" i="216"/>
  <c r="AS265" i="216"/>
  <c r="DO263" i="216"/>
  <c r="DK263" i="216"/>
  <c r="DE263" i="216"/>
  <c r="DA263" i="216"/>
  <c r="EA262" i="216"/>
  <c r="DU262" i="216"/>
  <c r="DK262" i="216"/>
  <c r="DA262" i="216"/>
  <c r="AS262" i="216"/>
  <c r="DY261" i="216"/>
  <c r="DU261" i="216"/>
  <c r="BG261" i="216"/>
  <c r="BC261" i="216"/>
  <c r="CA260" i="216"/>
  <c r="BW260" i="216"/>
  <c r="DY259" i="216"/>
  <c r="DU259" i="216"/>
  <c r="DO259" i="216"/>
  <c r="DK259" i="216"/>
  <c r="AS259" i="216"/>
  <c r="DU258" i="216"/>
  <c r="DO258" i="216"/>
  <c r="DK258" i="216"/>
  <c r="AW258" i="216"/>
  <c r="DU257" i="216"/>
  <c r="BW257" i="216"/>
  <c r="DY256" i="216"/>
  <c r="DX256" i="216" s="1"/>
  <c r="DU256" i="216"/>
  <c r="CA256" i="216"/>
  <c r="BQ255" i="216"/>
  <c r="BM255" i="216"/>
  <c r="DO254" i="216"/>
  <c r="DK254" i="216"/>
  <c r="DE254" i="216"/>
  <c r="DA254" i="216"/>
  <c r="AW254" i="216"/>
  <c r="DY253" i="216"/>
  <c r="DU253" i="216"/>
  <c r="BG253" i="216"/>
  <c r="BC253" i="216"/>
  <c r="DY252" i="216"/>
  <c r="DA252" i="216"/>
  <c r="DU251" i="216"/>
  <c r="DO251" i="216"/>
  <c r="DK251" i="216"/>
  <c r="BC251" i="216"/>
  <c r="DO250" i="216"/>
  <c r="DK250" i="216"/>
  <c r="AW250" i="216"/>
  <c r="AS250" i="216"/>
  <c r="DO249" i="216"/>
  <c r="AW249" i="216"/>
  <c r="DU248" i="216"/>
  <c r="DO248" i="216"/>
  <c r="CK248" i="216"/>
  <c r="CJ248" i="216" s="1"/>
  <c r="BG248" i="216"/>
  <c r="BC248" i="216"/>
  <c r="DY247" i="216"/>
  <c r="DU247" i="216"/>
  <c r="DK247" i="216"/>
  <c r="DE247" i="216"/>
  <c r="DA247" i="216"/>
  <c r="BC247" i="216"/>
  <c r="DY246" i="216"/>
  <c r="DX246" i="216" s="1"/>
  <c r="CM246" i="216"/>
  <c r="CL246" i="216" s="1"/>
  <c r="BG246" i="216"/>
  <c r="BC246" i="216"/>
  <c r="BC245" i="216"/>
  <c r="BG244" i="216"/>
  <c r="BF244" i="216" s="1"/>
  <c r="DU243" i="216"/>
  <c r="DO243" i="216"/>
  <c r="AW243" i="216"/>
  <c r="AS243" i="216"/>
  <c r="DU242" i="216"/>
  <c r="CA242" i="216"/>
  <c r="BW242" i="216"/>
  <c r="DO241" i="216"/>
  <c r="DK241" i="216"/>
  <c r="CA241" i="216"/>
  <c r="BG240" i="216"/>
  <c r="BC240" i="216"/>
  <c r="BC239" i="216"/>
  <c r="DO238" i="216"/>
  <c r="DN238" i="216" s="1"/>
  <c r="DK238" i="216"/>
  <c r="BC238" i="216"/>
  <c r="DU237" i="216"/>
  <c r="CA237" i="216"/>
  <c r="BQ237" i="216"/>
  <c r="BP237" i="216" s="1"/>
  <c r="DY236" i="216"/>
  <c r="DU236" i="216"/>
  <c r="CK236" i="216"/>
  <c r="CJ236" i="216" s="1"/>
  <c r="BG236" i="216"/>
  <c r="BC236" i="216"/>
  <c r="DO235" i="216"/>
  <c r="DK235" i="216"/>
  <c r="CK235" i="216"/>
  <c r="CJ235" i="216" s="1"/>
  <c r="BQ235" i="216"/>
  <c r="BM235" i="216"/>
  <c r="BG235" i="216"/>
  <c r="DY234" i="216"/>
  <c r="DU234" i="216"/>
  <c r="DO234" i="216"/>
  <c r="DK234" i="216"/>
  <c r="AW234" i="216"/>
  <c r="AS234" i="216"/>
  <c r="DY233" i="216"/>
  <c r="DU233" i="216"/>
  <c r="DO233" i="216"/>
  <c r="DK233" i="216"/>
  <c r="AW233" i="216"/>
  <c r="AS233" i="216"/>
  <c r="DY232" i="216"/>
  <c r="DU232" i="216"/>
  <c r="CA232" i="216"/>
  <c r="BW232" i="216"/>
  <c r="BQ232" i="216"/>
  <c r="BM232" i="216"/>
  <c r="DE231" i="216"/>
  <c r="DA231" i="216"/>
  <c r="CA231" i="216"/>
  <c r="BW231" i="216"/>
  <c r="DY230" i="216"/>
  <c r="DU230" i="216"/>
  <c r="DO230" i="216"/>
  <c r="DE230" i="216"/>
  <c r="DA230" i="216"/>
  <c r="AW230" i="216"/>
  <c r="AS230" i="216"/>
  <c r="DY229" i="216"/>
  <c r="DU229" i="216"/>
  <c r="DO229" i="216"/>
  <c r="DN229" i="216" s="1"/>
  <c r="BM229" i="216"/>
  <c r="BG229" i="216"/>
  <c r="AW229" i="216"/>
  <c r="AS229" i="216"/>
  <c r="DO227" i="216"/>
  <c r="DK227" i="216"/>
  <c r="DE227" i="216"/>
  <c r="BG227" i="216"/>
  <c r="BF227" i="216" s="1"/>
  <c r="BC227" i="216"/>
  <c r="DU226" i="216"/>
  <c r="DO226" i="216"/>
  <c r="DK226" i="216"/>
  <c r="DA226" i="216"/>
  <c r="AW226" i="216"/>
  <c r="AS226" i="216"/>
  <c r="DY225" i="216"/>
  <c r="DU225" i="216"/>
  <c r="DO225" i="216"/>
  <c r="DK225" i="216"/>
  <c r="DE225" i="216"/>
  <c r="DA225" i="216"/>
  <c r="BW225" i="216"/>
  <c r="BM225" i="216"/>
  <c r="BG225" i="216"/>
  <c r="BF225" i="216" s="1"/>
  <c r="AW225" i="216"/>
  <c r="AS225" i="216"/>
  <c r="DO224" i="216"/>
  <c r="DK224" i="216"/>
  <c r="BC224" i="216"/>
  <c r="DK223" i="216"/>
  <c r="BG223" i="216"/>
  <c r="BC223" i="216"/>
  <c r="DO222" i="216"/>
  <c r="DK222" i="216"/>
  <c r="BG222" i="216"/>
  <c r="BC222" i="216"/>
  <c r="DY221" i="216"/>
  <c r="DU221" i="216"/>
  <c r="DO221" i="216"/>
  <c r="DK221" i="216"/>
  <c r="AW221" i="216"/>
  <c r="AS221" i="216"/>
  <c r="DY220" i="216"/>
  <c r="DU220" i="216"/>
  <c r="DO220" i="216"/>
  <c r="DK220" i="216"/>
  <c r="AW220" i="216"/>
  <c r="AV220" i="216" s="1"/>
  <c r="DO219" i="216"/>
  <c r="DN219" i="216" s="1"/>
  <c r="DK219" i="216"/>
  <c r="CK219" i="216"/>
  <c r="CJ219" i="216" s="1"/>
  <c r="AW219" i="216"/>
  <c r="AS219" i="216"/>
  <c r="AS218" i="216"/>
  <c r="DY217" i="216"/>
  <c r="DU217" i="216"/>
  <c r="AW217" i="216"/>
  <c r="DY216" i="216"/>
  <c r="DU216" i="216"/>
  <c r="DO216" i="216"/>
  <c r="BG216" i="216"/>
  <c r="BC216" i="216"/>
  <c r="DU215" i="216"/>
  <c r="BM215" i="216"/>
  <c r="DU214" i="216"/>
  <c r="AS214" i="216"/>
  <c r="DY213" i="216"/>
  <c r="DU213" i="216"/>
  <c r="AS213" i="216"/>
  <c r="DY212" i="216"/>
  <c r="DU212" i="216"/>
  <c r="AW212" i="216"/>
  <c r="AS212" i="216"/>
  <c r="DU211" i="216"/>
  <c r="AW211" i="216"/>
  <c r="AS211" i="216"/>
  <c r="DU210" i="216"/>
  <c r="BQ210" i="216"/>
  <c r="DO209" i="216"/>
  <c r="DK209" i="216"/>
  <c r="BW209" i="216"/>
  <c r="BQ209" i="216"/>
  <c r="BM209" i="216"/>
  <c r="AW209" i="216"/>
  <c r="AS209" i="216"/>
  <c r="CC208" i="216"/>
  <c r="BQ208" i="216"/>
  <c r="BM208" i="216"/>
  <c r="BG208" i="216"/>
  <c r="BF208" i="216" s="1"/>
  <c r="BC208" i="216"/>
  <c r="AW208" i="216"/>
  <c r="AS208" i="216"/>
  <c r="DO207" i="216"/>
  <c r="DK207" i="216"/>
  <c r="BQ207" i="216"/>
  <c r="BM207" i="216"/>
  <c r="BG207" i="216"/>
  <c r="BC207" i="216"/>
  <c r="DY206" i="216"/>
  <c r="DX206" i="216" s="1"/>
  <c r="DO206" i="216"/>
  <c r="DK206" i="216"/>
  <c r="DU205" i="216"/>
  <c r="DO205" i="216"/>
  <c r="DK205" i="216"/>
  <c r="BC205" i="216"/>
  <c r="DU204" i="216"/>
  <c r="AS204" i="216"/>
  <c r="DY203" i="216"/>
  <c r="DU203" i="216"/>
  <c r="DO203" i="216"/>
  <c r="DK203" i="216"/>
  <c r="AS203" i="216"/>
  <c r="DY202" i="216"/>
  <c r="DX202" i="216" s="1"/>
  <c r="DU202" i="216"/>
  <c r="CA201" i="216"/>
  <c r="BW201" i="216"/>
  <c r="AW201" i="216"/>
  <c r="AS201" i="216"/>
  <c r="DY200" i="216"/>
  <c r="DU200" i="216"/>
  <c r="BG200" i="216"/>
  <c r="DU199" i="216"/>
  <c r="BW199" i="216"/>
  <c r="BC199" i="216"/>
  <c r="DY198" i="216"/>
  <c r="DU198" i="216"/>
  <c r="DO198" i="216"/>
  <c r="DK198" i="216"/>
  <c r="AS198" i="216"/>
  <c r="DY197" i="216"/>
  <c r="DU197" i="216"/>
  <c r="AS197" i="216"/>
  <c r="DY196" i="216"/>
  <c r="DU196" i="216"/>
  <c r="DK196" i="216"/>
  <c r="AS196" i="216"/>
  <c r="DY195" i="216"/>
  <c r="DU195" i="216"/>
  <c r="BG195" i="216"/>
  <c r="BC195" i="216"/>
  <c r="DU194" i="216"/>
  <c r="AW194" i="216"/>
  <c r="AS194" i="216"/>
  <c r="DU193" i="216"/>
  <c r="DO193" i="216"/>
  <c r="DK193" i="216"/>
  <c r="DA193" i="216"/>
  <c r="EA172" i="216"/>
  <c r="DQ172" i="216"/>
  <c r="DP172" i="216" s="1"/>
  <c r="DG172" i="216"/>
  <c r="CM172" i="216"/>
  <c r="CL172" i="216" s="1"/>
  <c r="CC172" i="216"/>
  <c r="CB172" i="216" s="1"/>
  <c r="BS172" i="216"/>
  <c r="BO172" i="216"/>
  <c r="BM172" i="216"/>
  <c r="AY172" i="216"/>
  <c r="AX172" i="216" s="1"/>
  <c r="AO172" i="216"/>
  <c r="AN172" i="216" s="1"/>
  <c r="AE172" i="216"/>
  <c r="EB171" i="216"/>
  <c r="EB408" i="216" s="1"/>
  <c r="CK171" i="216"/>
  <c r="DQ170" i="216"/>
  <c r="DP170" i="216" s="1"/>
  <c r="DG170" i="216"/>
  <c r="CW170" i="216"/>
  <c r="CV170" i="216" s="1"/>
  <c r="BS170" i="216"/>
  <c r="BR170" i="216" s="1"/>
  <c r="BI170" i="216"/>
  <c r="BH170" i="216" s="1"/>
  <c r="AY170" i="216"/>
  <c r="AX170" i="216" s="1"/>
  <c r="AW170" i="216"/>
  <c r="AV170" i="216" s="1"/>
  <c r="AO170" i="216"/>
  <c r="U170" i="216"/>
  <c r="DQ169" i="216"/>
  <c r="DA169" i="216"/>
  <c r="CM169" i="216"/>
  <c r="CL169" i="216" s="1"/>
  <c r="BW169" i="216"/>
  <c r="CE169" i="216" s="1"/>
  <c r="AY169" i="216"/>
  <c r="AS169" i="216"/>
  <c r="EA168" i="216"/>
  <c r="DQ168" i="216"/>
  <c r="DK168" i="216"/>
  <c r="S168" i="216"/>
  <c r="Q168" i="216"/>
  <c r="DU167" i="216"/>
  <c r="CM167" i="216"/>
  <c r="CL167" i="216" s="1"/>
  <c r="BS167" i="216"/>
  <c r="BR167" i="216" s="1"/>
  <c r="BI167" i="216"/>
  <c r="BH167" i="216" s="1"/>
  <c r="AY167" i="216"/>
  <c r="AX167" i="216" s="1"/>
  <c r="AO167" i="216"/>
  <c r="AN167" i="216" s="1"/>
  <c r="DQ166" i="216"/>
  <c r="CX166" i="216"/>
  <c r="CX407" i="216" s="1"/>
  <c r="CU166" i="216"/>
  <c r="BM166" i="216"/>
  <c r="S166" i="216"/>
  <c r="EB165" i="216"/>
  <c r="EA165" i="216"/>
  <c r="DK165" i="216"/>
  <c r="EA164" i="216"/>
  <c r="CW164" i="216"/>
  <c r="BI164" i="216"/>
  <c r="AM164" i="216"/>
  <c r="AL164" i="216" s="1"/>
  <c r="AE164" i="216"/>
  <c r="U164" i="216"/>
  <c r="BO161" i="216"/>
  <c r="DU159" i="216"/>
  <c r="DU158" i="216"/>
  <c r="DG158" i="216"/>
  <c r="DF158" i="216" s="1"/>
  <c r="CW158" i="216"/>
  <c r="CM158" i="216"/>
  <c r="BO158" i="216"/>
  <c r="BM158" i="216"/>
  <c r="AY158" i="216"/>
  <c r="AE158" i="216"/>
  <c r="AD158" i="216" s="1"/>
  <c r="CS157" i="216"/>
  <c r="BS157" i="216"/>
  <c r="BR157" i="216" s="1"/>
  <c r="AO157" i="216"/>
  <c r="AN157" i="216" s="1"/>
  <c r="EA156" i="216"/>
  <c r="DG156" i="216"/>
  <c r="DA156" i="216"/>
  <c r="CW156" i="216"/>
  <c r="CQ156" i="216"/>
  <c r="CM156" i="216"/>
  <c r="CG156" i="216"/>
  <c r="CC156" i="216"/>
  <c r="CA156" i="216"/>
  <c r="BS156" i="216"/>
  <c r="BI156" i="216"/>
  <c r="AY156" i="216"/>
  <c r="EB149" i="216"/>
  <c r="EA149" i="216"/>
  <c r="CG149" i="216"/>
  <c r="CC149" i="216"/>
  <c r="BS149" i="216"/>
  <c r="BO149" i="216"/>
  <c r="DG148" i="216"/>
  <c r="CW148" i="216"/>
  <c r="CU148" i="216"/>
  <c r="BI148" i="216"/>
  <c r="AY148" i="216"/>
  <c r="AO148" i="216"/>
  <c r="U148" i="216"/>
  <c r="DU147" i="216"/>
  <c r="DO147" i="216"/>
  <c r="DK147" i="216"/>
  <c r="CQ147" i="216"/>
  <c r="AO147" i="216"/>
  <c r="AN147" i="216" s="1"/>
  <c r="EB139" i="216"/>
  <c r="EB141" i="216" s="1"/>
  <c r="DO139" i="216"/>
  <c r="CG139" i="216"/>
  <c r="CC139" i="216"/>
  <c r="BW139" i="216"/>
  <c r="BS139" i="216"/>
  <c r="BM139" i="216"/>
  <c r="EA132" i="216"/>
  <c r="DU132" i="216"/>
  <c r="DQ132" i="216"/>
  <c r="DP132" i="216" s="1"/>
  <c r="DE132" i="216"/>
  <c r="CQ132" i="216"/>
  <c r="CC132" i="216"/>
  <c r="CB132" i="216" s="1"/>
  <c r="BM132" i="216"/>
  <c r="BI132" i="216"/>
  <c r="BH132" i="216" s="1"/>
  <c r="AO132" i="216"/>
  <c r="U132" i="216"/>
  <c r="EB131" i="216"/>
  <c r="EB136" i="216" s="1"/>
  <c r="DQ131" i="216"/>
  <c r="BS131" i="216"/>
  <c r="BI131" i="216"/>
  <c r="AO131" i="216"/>
  <c r="U131" i="216"/>
  <c r="DO125" i="216"/>
  <c r="DK125" i="216"/>
  <c r="BM125" i="216"/>
  <c r="BG125" i="216"/>
  <c r="EB124" i="216"/>
  <c r="DU124" i="216"/>
  <c r="DQ124" i="216"/>
  <c r="DP124" i="216" s="1"/>
  <c r="DG124" i="216"/>
  <c r="CM124" i="216"/>
  <c r="CC124" i="216"/>
  <c r="CB124" i="216" s="1"/>
  <c r="BS124" i="216"/>
  <c r="BR124" i="216" s="1"/>
  <c r="BI124" i="216"/>
  <c r="EA123" i="216"/>
  <c r="DQ123" i="216"/>
  <c r="CM123" i="216"/>
  <c r="DU114" i="216"/>
  <c r="EA108" i="216"/>
  <c r="DQ108" i="216"/>
  <c r="DP108" i="216" s="1"/>
  <c r="DO107" i="216"/>
  <c r="DQ106" i="216"/>
  <c r="DP106" i="216" s="1"/>
  <c r="DQ105" i="216"/>
  <c r="DP105" i="216" s="1"/>
  <c r="DO105" i="216"/>
  <c r="DG105" i="216"/>
  <c r="DF105" i="216" s="1"/>
  <c r="DO104" i="216"/>
  <c r="DQ102" i="216"/>
  <c r="DP102" i="216" s="1"/>
  <c r="DO102" i="216"/>
  <c r="DN102" i="216" s="1"/>
  <c r="CK102" i="216"/>
  <c r="DQ101" i="216"/>
  <c r="DP101" i="216" s="1"/>
  <c r="DQ100" i="216"/>
  <c r="DP100" i="216" s="1"/>
  <c r="DO100" i="216"/>
  <c r="DN100" i="216" s="1"/>
  <c r="DQ99" i="216"/>
  <c r="DP99" i="216" s="1"/>
  <c r="DQ98" i="216"/>
  <c r="DP98" i="216" s="1"/>
  <c r="DO98" i="216"/>
  <c r="DN98" i="216" s="1"/>
  <c r="CW98" i="216"/>
  <c r="CV98" i="216" s="1"/>
  <c r="CM98" i="216"/>
  <c r="CL98" i="216" s="1"/>
  <c r="CC98" i="216"/>
  <c r="CB98" i="216" s="1"/>
  <c r="BS98" i="216"/>
  <c r="BR98" i="216" s="1"/>
  <c r="BI98" i="216"/>
  <c r="DO96" i="216"/>
  <c r="DG96" i="216"/>
  <c r="CW96" i="216"/>
  <c r="BS96" i="216"/>
  <c r="CM89" i="216"/>
  <c r="DK88" i="216"/>
  <c r="CC88" i="216"/>
  <c r="CB88" i="216" s="1"/>
  <c r="DQ87" i="216"/>
  <c r="DP87" i="216" s="1"/>
  <c r="DG87" i="216"/>
  <c r="CM87" i="216"/>
  <c r="CL87" i="216" s="1"/>
  <c r="CC87" i="216"/>
  <c r="CB87" i="216" s="1"/>
  <c r="AY87" i="216"/>
  <c r="AX87" i="216" s="1"/>
  <c r="AO87" i="216"/>
  <c r="AN87" i="216" s="1"/>
  <c r="AM87" i="216"/>
  <c r="AL87" i="216" s="1"/>
  <c r="EA86" i="216"/>
  <c r="DG86" i="216"/>
  <c r="DF86" i="216" s="1"/>
  <c r="CW86" i="216"/>
  <c r="CV86" i="216" s="1"/>
  <c r="BQ86" i="216"/>
  <c r="BP86" i="216" s="1"/>
  <c r="BS85" i="216"/>
  <c r="BI85" i="216"/>
  <c r="AS85" i="216"/>
  <c r="EB79" i="216"/>
  <c r="EA79" i="216"/>
  <c r="CM79" i="216"/>
  <c r="CL79" i="216" s="1"/>
  <c r="BS79" i="216"/>
  <c r="BR79" i="216" s="1"/>
  <c r="BI79" i="216"/>
  <c r="BH79" i="216" s="1"/>
  <c r="AY79" i="216"/>
  <c r="AX79" i="216" s="1"/>
  <c r="AO79" i="216"/>
  <c r="AN79" i="216" s="1"/>
  <c r="AE79" i="216"/>
  <c r="AD79" i="216" s="1"/>
  <c r="DU78" i="216"/>
  <c r="CC78" i="216"/>
  <c r="CB78" i="216" s="1"/>
  <c r="BI78" i="216"/>
  <c r="BH78" i="216" s="1"/>
  <c r="AY78" i="216"/>
  <c r="AX78" i="216" s="1"/>
  <c r="AE78" i="216"/>
  <c r="AD78" i="216" s="1"/>
  <c r="AC78" i="216"/>
  <c r="AB78" i="216" s="1"/>
  <c r="DU77" i="216"/>
  <c r="DQ77" i="216"/>
  <c r="DP77" i="216" s="1"/>
  <c r="CM77" i="216"/>
  <c r="CL77" i="216" s="1"/>
  <c r="CC77" i="216"/>
  <c r="CB77" i="216" s="1"/>
  <c r="BS77" i="216"/>
  <c r="BR77" i="216" s="1"/>
  <c r="DU76" i="216"/>
  <c r="BI76" i="216"/>
  <c r="BH76" i="216" s="1"/>
  <c r="CW75" i="216"/>
  <c r="CV75" i="216" s="1"/>
  <c r="CM75" i="216"/>
  <c r="CL75" i="216" s="1"/>
  <c r="CC75" i="216"/>
  <c r="CB75" i="216" s="1"/>
  <c r="BS75" i="216"/>
  <c r="BR75" i="216" s="1"/>
  <c r="BI75" i="216"/>
  <c r="BH75" i="216" s="1"/>
  <c r="CC73" i="216"/>
  <c r="CB73" i="216" s="1"/>
  <c r="DU72" i="216"/>
  <c r="DQ72" i="216"/>
  <c r="DP72" i="216" s="1"/>
  <c r="DU71" i="216"/>
  <c r="CW71" i="216"/>
  <c r="CV71" i="216" s="1"/>
  <c r="DU70" i="216"/>
  <c r="CW69" i="216"/>
  <c r="CV69" i="216" s="1"/>
  <c r="CC69" i="216"/>
  <c r="CB69" i="216" s="1"/>
  <c r="DU68" i="216"/>
  <c r="DG68" i="216"/>
  <c r="DF68" i="216" s="1"/>
  <c r="CW68" i="216"/>
  <c r="CV68" i="216" s="1"/>
  <c r="AO68" i="216"/>
  <c r="AE68" i="216"/>
  <c r="AD68" i="216" s="1"/>
  <c r="DU67" i="216"/>
  <c r="DG67" i="216"/>
  <c r="DF67" i="216" s="1"/>
  <c r="CW67" i="216"/>
  <c r="CV67" i="216" s="1"/>
  <c r="CM67" i="216"/>
  <c r="CL67" i="216" s="1"/>
  <c r="CC67" i="216"/>
  <c r="CB67" i="216" s="1"/>
  <c r="BS67" i="216"/>
  <c r="BR67" i="216" s="1"/>
  <c r="DQ66" i="216"/>
  <c r="DP66" i="216" s="1"/>
  <c r="DG66" i="216"/>
  <c r="DF66" i="216" s="1"/>
  <c r="CC66" i="216"/>
  <c r="CB66" i="216" s="1"/>
  <c r="BS66" i="216"/>
  <c r="BR66" i="216" s="1"/>
  <c r="DU65" i="216"/>
  <c r="DQ65" i="216"/>
  <c r="DP65" i="216" s="1"/>
  <c r="DG65" i="216"/>
  <c r="DF65" i="216" s="1"/>
  <c r="CW65" i="216"/>
  <c r="CV65" i="216" s="1"/>
  <c r="CM65" i="216"/>
  <c r="CL65" i="216" s="1"/>
  <c r="CC65" i="216"/>
  <c r="CB65" i="216" s="1"/>
  <c r="CK64" i="216"/>
  <c r="CC64" i="216"/>
  <c r="CB64" i="216" s="1"/>
  <c r="CA64" i="216"/>
  <c r="BZ64" i="216" s="1"/>
  <c r="BQ64" i="216"/>
  <c r="AW64" i="216"/>
  <c r="AM64" i="216"/>
  <c r="AL64" i="216" s="1"/>
  <c r="DQ63" i="216"/>
  <c r="DP63" i="216" s="1"/>
  <c r="DG63" i="216"/>
  <c r="DF63" i="216" s="1"/>
  <c r="AY63" i="216"/>
  <c r="AX63" i="216" s="1"/>
  <c r="AO63" i="216"/>
  <c r="AN63" i="216" s="1"/>
  <c r="AM63" i="216"/>
  <c r="AL63" i="216" s="1"/>
  <c r="DQ62" i="216"/>
  <c r="CM62" i="216"/>
  <c r="CL62" i="216" s="1"/>
  <c r="CC62" i="216"/>
  <c r="BS62" i="216"/>
  <c r="BI62" i="216"/>
  <c r="BH62" i="216" s="1"/>
  <c r="AY62" i="216"/>
  <c r="AX62" i="216" s="1"/>
  <c r="AO62" i="216"/>
  <c r="AN62" i="216" s="1"/>
  <c r="AM62" i="216"/>
  <c r="AE62" i="216"/>
  <c r="BQ61" i="216"/>
  <c r="BP61" i="216" s="1"/>
  <c r="AW61" i="216"/>
  <c r="AV61" i="216" s="1"/>
  <c r="AM61" i="216"/>
  <c r="AL61" i="216" s="1"/>
  <c r="CW60" i="216"/>
  <c r="CV60" i="216" s="1"/>
  <c r="CW58" i="216"/>
  <c r="CM58" i="216"/>
  <c r="CL58" i="216" s="1"/>
  <c r="CC58" i="216"/>
  <c r="BS58" i="216"/>
  <c r="BR58" i="216" s="1"/>
  <c r="BI58" i="216"/>
  <c r="AY58" i="216"/>
  <c r="AX58" i="216" s="1"/>
  <c r="U58" i="216"/>
  <c r="DQ57" i="216"/>
  <c r="DP57" i="216" s="1"/>
  <c r="CM57" i="216"/>
  <c r="CL57" i="216" s="1"/>
  <c r="CC57" i="216"/>
  <c r="CB57" i="216" s="1"/>
  <c r="BS57" i="216"/>
  <c r="BR57" i="216" s="1"/>
  <c r="AE57" i="216"/>
  <c r="AD57" i="216" s="1"/>
  <c r="DU56" i="216"/>
  <c r="DU53" i="216"/>
  <c r="CC53" i="216"/>
  <c r="CB53" i="216" s="1"/>
  <c r="BG53" i="216"/>
  <c r="DU52" i="216"/>
  <c r="DU51" i="216"/>
  <c r="CC50" i="216"/>
  <c r="CC49" i="216"/>
  <c r="DQ48" i="216"/>
  <c r="DP48" i="216" s="1"/>
  <c r="DQ47" i="216"/>
  <c r="DP47" i="216" s="1"/>
  <c r="CC47" i="216"/>
  <c r="CB47" i="216" s="1"/>
  <c r="BS47" i="216"/>
  <c r="BR47" i="216" s="1"/>
  <c r="BI47" i="216"/>
  <c r="BH47" i="216" s="1"/>
  <c r="AW47" i="216"/>
  <c r="DQ46" i="216"/>
  <c r="DP46" i="216" s="1"/>
  <c r="DO46" i="216"/>
  <c r="DG46" i="216"/>
  <c r="DF46" i="216" s="1"/>
  <c r="CW46" i="216"/>
  <c r="CM46" i="216"/>
  <c r="CL46" i="216" s="1"/>
  <c r="CC46" i="216"/>
  <c r="CB46" i="216" s="1"/>
  <c r="CA46" i="216"/>
  <c r="BS46" i="216"/>
  <c r="BR46" i="216" s="1"/>
  <c r="BQ46" i="216"/>
  <c r="BP46" i="216" s="1"/>
  <c r="BI46" i="216"/>
  <c r="BH46" i="216" s="1"/>
  <c r="BG46" i="216"/>
  <c r="AY46" i="216"/>
  <c r="AX46" i="216" s="1"/>
  <c r="AW46" i="216"/>
  <c r="AV46" i="216" s="1"/>
  <c r="AO46" i="216"/>
  <c r="AN46" i="216" s="1"/>
  <c r="AM46" i="216"/>
  <c r="AE46" i="216"/>
  <c r="AD46" i="216" s="1"/>
  <c r="AC46" i="216"/>
  <c r="DQ45" i="216"/>
  <c r="DP45" i="216" s="1"/>
  <c r="DG45" i="216"/>
  <c r="DF45" i="216" s="1"/>
  <c r="CW45" i="216"/>
  <c r="CV45" i="216" s="1"/>
  <c r="BS45" i="216"/>
  <c r="BR45" i="216" s="1"/>
  <c r="BI45" i="216"/>
  <c r="BH45" i="216" s="1"/>
  <c r="BG45" i="216"/>
  <c r="AY45" i="216"/>
  <c r="AX45" i="216" s="1"/>
  <c r="AW45" i="216"/>
  <c r="AV45" i="216" s="1"/>
  <c r="AO45" i="216"/>
  <c r="AM45" i="216"/>
  <c r="AL45" i="216" s="1"/>
  <c r="AE45" i="216"/>
  <c r="AD45" i="216" s="1"/>
  <c r="AC45" i="216"/>
  <c r="AB45" i="216" s="1"/>
  <c r="U45" i="216"/>
  <c r="DO44" i="216"/>
  <c r="DG44" i="216"/>
  <c r="CM44" i="216"/>
  <c r="BQ44" i="216"/>
  <c r="BI44" i="216"/>
  <c r="AY44" i="216"/>
  <c r="AW44" i="216"/>
  <c r="DU37" i="216"/>
  <c r="CQ36" i="216"/>
  <c r="CQ35" i="216"/>
  <c r="CQ34" i="216"/>
  <c r="BW34" i="216"/>
  <c r="DU33" i="216"/>
  <c r="DO33" i="216"/>
  <c r="DK33" i="216"/>
  <c r="DA33" i="216"/>
  <c r="CU33" i="216"/>
  <c r="CQ33" i="216"/>
  <c r="CK33" i="216"/>
  <c r="BW33" i="216"/>
  <c r="BM33" i="216"/>
  <c r="BU33" i="216" s="1"/>
  <c r="AS33" i="216"/>
  <c r="AI33" i="216"/>
  <c r="Y33" i="216"/>
  <c r="S33" i="216"/>
  <c r="O33" i="216"/>
  <c r="CQ32" i="216"/>
  <c r="CQ30" i="216"/>
  <c r="CQ29" i="216"/>
  <c r="DU22" i="216"/>
  <c r="DO22" i="216"/>
  <c r="DN22" i="216" s="1"/>
  <c r="DE22" i="216"/>
  <c r="DD22" i="216" s="1"/>
  <c r="CU22" i="216"/>
  <c r="CT22" i="216" s="1"/>
  <c r="CA22" i="216"/>
  <c r="BZ22" i="216" s="1"/>
  <c r="BQ22" i="216"/>
  <c r="BP22" i="216" s="1"/>
  <c r="BG22" i="216"/>
  <c r="BF22" i="216" s="1"/>
  <c r="AW22" i="216"/>
  <c r="AV22" i="216" s="1"/>
  <c r="AM22" i="216"/>
  <c r="AL22" i="216" s="1"/>
  <c r="AC22" i="216"/>
  <c r="AB22" i="216" s="1"/>
  <c r="S22" i="216"/>
  <c r="DO21" i="216"/>
  <c r="DE21" i="216"/>
  <c r="CU21" i="216"/>
  <c r="CA21" i="216"/>
  <c r="BQ21" i="216"/>
  <c r="BG21" i="216"/>
  <c r="AW21" i="216"/>
  <c r="AM21" i="216"/>
  <c r="AC21" i="216"/>
  <c r="S21" i="216"/>
  <c r="DO20" i="216"/>
  <c r="DN20" i="216" s="1"/>
  <c r="DE20" i="216"/>
  <c r="DD20" i="216" s="1"/>
  <c r="CU20" i="216"/>
  <c r="CT20" i="216" s="1"/>
  <c r="BQ20" i="216"/>
  <c r="BP20" i="216" s="1"/>
  <c r="BG20" i="216"/>
  <c r="BF20" i="216" s="1"/>
  <c r="AW20" i="216"/>
  <c r="AV20" i="216" s="1"/>
  <c r="AM20" i="216"/>
  <c r="AL20" i="216" s="1"/>
  <c r="AC20" i="216"/>
  <c r="AB20" i="216" s="1"/>
  <c r="S20" i="216"/>
  <c r="DO18" i="216"/>
  <c r="DN18" i="216" s="1"/>
  <c r="DE18" i="216"/>
  <c r="DD18" i="216" s="1"/>
  <c r="CU18" i="216"/>
  <c r="CT18" i="216" s="1"/>
  <c r="CK18" i="216"/>
  <c r="CJ18" i="216" s="1"/>
  <c r="BQ18" i="216"/>
  <c r="BP18" i="216" s="1"/>
  <c r="BG18" i="216"/>
  <c r="BF18" i="216" s="1"/>
  <c r="AW18" i="216"/>
  <c r="AV18" i="216" s="1"/>
  <c r="AM18" i="216"/>
  <c r="AL18" i="216" s="1"/>
  <c r="AC18" i="216"/>
  <c r="AB18" i="216" s="1"/>
  <c r="S18" i="216"/>
  <c r="DO16" i="216"/>
  <c r="DN16" i="216" s="1"/>
  <c r="DE16" i="216"/>
  <c r="DD16" i="216" s="1"/>
  <c r="CU16" i="216"/>
  <c r="CT16" i="216" s="1"/>
  <c r="CA16" i="216"/>
  <c r="BZ16" i="216" s="1"/>
  <c r="BQ16" i="216"/>
  <c r="BP16" i="216" s="1"/>
  <c r="BG16" i="216"/>
  <c r="BF16" i="216" s="1"/>
  <c r="AW16" i="216"/>
  <c r="AV16" i="216" s="1"/>
  <c r="AM16" i="216"/>
  <c r="AL16" i="216" s="1"/>
  <c r="AC16" i="216"/>
  <c r="AB16" i="216" s="1"/>
  <c r="DO13" i="216"/>
  <c r="DE13" i="216"/>
  <c r="CU13" i="216"/>
  <c r="CA13" i="216"/>
  <c r="BQ13" i="216"/>
  <c r="BG13" i="216"/>
  <c r="AW13" i="216"/>
  <c r="AM13" i="216"/>
  <c r="AC13" i="216"/>
  <c r="S13" i="216"/>
  <c r="DO12" i="216"/>
  <c r="DE12" i="216"/>
  <c r="CU12" i="216"/>
  <c r="CA12" i="216"/>
  <c r="BQ12" i="216"/>
  <c r="BG12" i="216"/>
  <c r="AW12" i="216"/>
  <c r="AM12" i="216"/>
  <c r="AC12" i="216"/>
  <c r="S12" i="216"/>
  <c r="AM237" i="257" l="1"/>
  <c r="AN173" i="257"/>
  <c r="AN237" i="257" s="1"/>
  <c r="AH257" i="257"/>
  <c r="AH252" i="257"/>
  <c r="AH240" i="257"/>
  <c r="AF119" i="253"/>
  <c r="AG123" i="253"/>
  <c r="AG161" i="253" s="1"/>
  <c r="EM182" i="253"/>
  <c r="EP182" i="253"/>
  <c r="EO182" i="253"/>
  <c r="AP202" i="257"/>
  <c r="AQ202" i="257" s="1"/>
  <c r="AL202" i="257"/>
  <c r="AL121" i="257"/>
  <c r="AP119" i="253"/>
  <c r="AQ123" i="253"/>
  <c r="AI205" i="257"/>
  <c r="AJ197" i="257"/>
  <c r="AJ205" i="257" s="1"/>
  <c r="AP30" i="257"/>
  <c r="AQ30" i="257" s="1"/>
  <c r="AQ14" i="257"/>
  <c r="I8" i="263"/>
  <c r="O215" i="251"/>
  <c r="R217" i="251"/>
  <c r="AG237" i="257"/>
  <c r="AP216" i="252"/>
  <c r="AP121" i="257"/>
  <c r="AQ121" i="257" s="1"/>
  <c r="AQ117" i="257"/>
  <c r="W184" i="250"/>
  <c r="O184" i="250"/>
  <c r="AF216" i="252"/>
  <c r="EO159" i="253"/>
  <c r="EM159" i="253"/>
  <c r="EP159" i="253"/>
  <c r="AP178" i="257"/>
  <c r="AQ178" i="257" s="1"/>
  <c r="CX216" i="252"/>
  <c r="BT216" i="252"/>
  <c r="AP205" i="257"/>
  <c r="AQ205" i="257" s="1"/>
  <c r="AQ197" i="257"/>
  <c r="EC216" i="252"/>
  <c r="EB216" i="252" s="1"/>
  <c r="EB170" i="252"/>
  <c r="AJ121" i="257"/>
  <c r="AK205" i="257"/>
  <c r="AP183" i="257"/>
  <c r="AQ183" i="257" s="1"/>
  <c r="AL183" i="257"/>
  <c r="W181" i="250"/>
  <c r="O181" i="250"/>
  <c r="AP42" i="257"/>
  <c r="AQ42" i="257" s="1"/>
  <c r="AL42" i="257"/>
  <c r="AY257" i="257"/>
  <c r="AZ237" i="257"/>
  <c r="K143" i="256"/>
  <c r="L143" i="256" s="1"/>
  <c r="L141" i="256"/>
  <c r="CN216" i="252"/>
  <c r="BJ216" i="252"/>
  <c r="O197" i="250"/>
  <c r="W197" i="250"/>
  <c r="O30" i="250"/>
  <c r="N167" i="250"/>
  <c r="AQ125" i="257"/>
  <c r="AP131" i="257"/>
  <c r="AQ131" i="257" s="1"/>
  <c r="AP170" i="257"/>
  <c r="N133" i="250"/>
  <c r="O133" i="250" s="1"/>
  <c r="AL90" i="257"/>
  <c r="AK95" i="257"/>
  <c r="AK173" i="257" s="1"/>
  <c r="AP90" i="257"/>
  <c r="AL170" i="257"/>
  <c r="EP106" i="253"/>
  <c r="EM106" i="253"/>
  <c r="EO106" i="253"/>
  <c r="EO193" i="253"/>
  <c r="EP193" i="253"/>
  <c r="EM193" i="253"/>
  <c r="K227" i="250"/>
  <c r="V216" i="252"/>
  <c r="CD216" i="252"/>
  <c r="AP114" i="257"/>
  <c r="AQ114" i="257" s="1"/>
  <c r="AQ98" i="257"/>
  <c r="AJ170" i="257"/>
  <c r="AI173" i="257"/>
  <c r="O191" i="250"/>
  <c r="N198" i="250"/>
  <c r="W188" i="250"/>
  <c r="O188" i="250"/>
  <c r="AK194" i="257"/>
  <c r="AL187" i="257"/>
  <c r="AP187" i="257"/>
  <c r="AQ187" i="257" s="1"/>
  <c r="EH119" i="253"/>
  <c r="EN119" i="253"/>
  <c r="EI123" i="253"/>
  <c r="W195" i="250"/>
  <c r="O195" i="250"/>
  <c r="AL134" i="257"/>
  <c r="AP134" i="257"/>
  <c r="AK136" i="257"/>
  <c r="ES170" i="252"/>
  <c r="EN216" i="252"/>
  <c r="EO170" i="252"/>
  <c r="DS216" i="252"/>
  <c r="DR216" i="252" s="1"/>
  <c r="DR170" i="252"/>
  <c r="AZ216" i="252"/>
  <c r="AP87" i="257"/>
  <c r="AQ87" i="257" s="1"/>
  <c r="AQ47" i="257"/>
  <c r="AJ13" i="216"/>
  <c r="AH15" i="216"/>
  <c r="CV15" i="216"/>
  <c r="DT15" i="216"/>
  <c r="P29" i="216"/>
  <c r="CS93" i="216"/>
  <c r="CR85" i="216"/>
  <c r="CJ89" i="216"/>
  <c r="CH89" i="216"/>
  <c r="AH32" i="216"/>
  <c r="DW40" i="216"/>
  <c r="DV40" i="216" s="1"/>
  <c r="DV29" i="216"/>
  <c r="AQ265" i="216"/>
  <c r="AL265" i="216"/>
  <c r="DN198" i="216"/>
  <c r="BP208" i="216"/>
  <c r="AV226" i="216"/>
  <c r="AV250" i="216"/>
  <c r="CJ315" i="216"/>
  <c r="BP318" i="216"/>
  <c r="Z13" i="216"/>
  <c r="P15" i="216"/>
  <c r="BL17" i="216"/>
  <c r="DD36" i="216"/>
  <c r="R48" i="216"/>
  <c r="AV50" i="216"/>
  <c r="AV58" i="216"/>
  <c r="BX60" i="216"/>
  <c r="AL65" i="216"/>
  <c r="AN263" i="216"/>
  <c r="AQ263" i="216"/>
  <c r="CB32" i="216"/>
  <c r="T70" i="216"/>
  <c r="BP77" i="216"/>
  <c r="CJ77" i="216"/>
  <c r="AJ160" i="216"/>
  <c r="AR160" i="216"/>
  <c r="CL19" i="216"/>
  <c r="BL147" i="216"/>
  <c r="AV156" i="216"/>
  <c r="BP162" i="216"/>
  <c r="CJ194" i="216"/>
  <c r="DN194" i="216"/>
  <c r="BP195" i="216"/>
  <c r="EL13" i="216"/>
  <c r="AR15" i="216"/>
  <c r="BR21" i="216"/>
  <c r="BS40" i="216"/>
  <c r="BR29" i="216"/>
  <c r="DN29" i="216"/>
  <c r="DN32" i="216"/>
  <c r="CJ37" i="216"/>
  <c r="BF57" i="216"/>
  <c r="BM404" i="216"/>
  <c r="BN145" i="216"/>
  <c r="BZ192" i="216"/>
  <c r="AN13" i="216"/>
  <c r="CT15" i="216"/>
  <c r="BE40" i="216"/>
  <c r="BL29" i="216"/>
  <c r="BK36" i="216"/>
  <c r="BH36" i="216"/>
  <c r="DN55" i="216"/>
  <c r="BP60" i="216"/>
  <c r="DN68" i="216"/>
  <c r="BZ131" i="216"/>
  <c r="BX131" i="216"/>
  <c r="BX13" i="216"/>
  <c r="AN14" i="216"/>
  <c r="DP14" i="216"/>
  <c r="CR15" i="216"/>
  <c r="BZ17" i="216"/>
  <c r="DF17" i="216"/>
  <c r="DP19" i="216"/>
  <c r="CR21" i="216"/>
  <c r="BR30" i="216"/>
  <c r="DP30" i="216"/>
  <c r="EE31" i="216"/>
  <c r="AD32" i="216"/>
  <c r="AB34" i="216"/>
  <c r="DP36" i="216"/>
  <c r="AL44" i="216"/>
  <c r="BZ48" i="216"/>
  <c r="BB50" i="216"/>
  <c r="BN51" i="216"/>
  <c r="BF52" i="216"/>
  <c r="DD54" i="216"/>
  <c r="CH58" i="216"/>
  <c r="BP59" i="216"/>
  <c r="DF60" i="216"/>
  <c r="BL61" i="216"/>
  <c r="DX61" i="216"/>
  <c r="CR63" i="216"/>
  <c r="BP65" i="216"/>
  <c r="DD65" i="216"/>
  <c r="BF67" i="216"/>
  <c r="BV70" i="216"/>
  <c r="CJ70" i="216"/>
  <c r="Z72" i="216"/>
  <c r="DB72" i="216"/>
  <c r="BX74" i="216"/>
  <c r="AL76" i="216"/>
  <c r="AV77" i="216"/>
  <c r="BZ78" i="216"/>
  <c r="AB86" i="216"/>
  <c r="DD87" i="216"/>
  <c r="AJ89" i="216"/>
  <c r="BP89" i="216"/>
  <c r="BF97" i="216"/>
  <c r="CJ97" i="216"/>
  <c r="DX99" i="216"/>
  <c r="T100" i="216"/>
  <c r="BP100" i="216"/>
  <c r="CV100" i="216"/>
  <c r="EL102" i="216"/>
  <c r="EN102" i="216" s="1"/>
  <c r="BR102" i="216"/>
  <c r="DV102" i="216"/>
  <c r="EI103" i="216"/>
  <c r="K104" i="213" s="1"/>
  <c r="AN104" i="216"/>
  <c r="DX106" i="216"/>
  <c r="BP107" i="216"/>
  <c r="CV107" i="216"/>
  <c r="BB108" i="216"/>
  <c r="CG119" i="216"/>
  <c r="CW119" i="216"/>
  <c r="DM119" i="216"/>
  <c r="BX124" i="216"/>
  <c r="DN124" i="216"/>
  <c r="Q404" i="216"/>
  <c r="P145" i="216"/>
  <c r="AL146" i="216"/>
  <c r="DN146" i="216"/>
  <c r="CZ147" i="216"/>
  <c r="R172" i="216"/>
  <c r="DN172" i="216"/>
  <c r="BN181" i="216"/>
  <c r="AN182" i="216"/>
  <c r="DP182" i="216"/>
  <c r="CT195" i="216"/>
  <c r="Z199" i="216"/>
  <c r="AL202" i="216"/>
  <c r="AD209" i="216"/>
  <c r="BH19" i="216"/>
  <c r="BN21" i="216"/>
  <c r="DL21" i="216"/>
  <c r="BN32" i="216"/>
  <c r="CL48" i="216"/>
  <c r="AH52" i="216"/>
  <c r="DF52" i="216"/>
  <c r="BR55" i="216"/>
  <c r="DJ56" i="216"/>
  <c r="BH57" i="216"/>
  <c r="DL57" i="216"/>
  <c r="BN60" i="216"/>
  <c r="BZ60" i="216"/>
  <c r="CR64" i="216"/>
  <c r="AN65" i="216"/>
  <c r="CR66" i="216"/>
  <c r="DL66" i="216"/>
  <c r="AJ68" i="216"/>
  <c r="P70" i="216"/>
  <c r="AB70" i="216"/>
  <c r="BH70" i="216"/>
  <c r="AT72" i="216"/>
  <c r="BH72" i="216"/>
  <c r="CB74" i="216"/>
  <c r="CR74" i="216"/>
  <c r="BX76" i="216"/>
  <c r="AD93" i="216"/>
  <c r="AD89" i="216"/>
  <c r="AN89" i="216"/>
  <c r="BN105" i="216"/>
  <c r="Z107" i="216"/>
  <c r="AR107" i="216"/>
  <c r="CB108" i="216"/>
  <c r="BT119" i="216"/>
  <c r="P131" i="216"/>
  <c r="BX158" i="216"/>
  <c r="AX164" i="216"/>
  <c r="EI165" i="216"/>
  <c r="K157" i="213" s="1"/>
  <c r="DD170" i="216"/>
  <c r="AJ17" i="216"/>
  <c r="BP17" i="216"/>
  <c r="DL17" i="216"/>
  <c r="AV19" i="216"/>
  <c r="DV19" i="216"/>
  <c r="DP21" i="216"/>
  <c r="BZ29" i="216"/>
  <c r="R34" i="216"/>
  <c r="CL34" i="216"/>
  <c r="DL34" i="216"/>
  <c r="X36" i="216"/>
  <c r="W36" i="216" s="1"/>
  <c r="AJ36" i="216"/>
  <c r="CL36" i="216"/>
  <c r="DJ36" i="216"/>
  <c r="P37" i="216"/>
  <c r="BX37" i="216"/>
  <c r="AJ50" i="216"/>
  <c r="Z51" i="216"/>
  <c r="CJ51" i="216"/>
  <c r="CT52" i="216"/>
  <c r="BD53" i="216"/>
  <c r="DD53" i="216"/>
  <c r="AJ54" i="216"/>
  <c r="BP54" i="216"/>
  <c r="CT54" i="216"/>
  <c r="CT60" i="216"/>
  <c r="BF64" i="216"/>
  <c r="CT64" i="216"/>
  <c r="BF65" i="216"/>
  <c r="CT66" i="216"/>
  <c r="AL68" i="216"/>
  <c r="AD70" i="216"/>
  <c r="AH72" i="216"/>
  <c r="CT74" i="216"/>
  <c r="AB76" i="216"/>
  <c r="AV78" i="216"/>
  <c r="BP78" i="216"/>
  <c r="CP78" i="216"/>
  <c r="AL79" i="216"/>
  <c r="CL85" i="216"/>
  <c r="CT87" i="216"/>
  <c r="AH89" i="216"/>
  <c r="BF89" i="216"/>
  <c r="BB96" i="216"/>
  <c r="DB107" i="216"/>
  <c r="P124" i="216"/>
  <c r="AT124" i="216"/>
  <c r="DN160" i="216"/>
  <c r="AR162" i="216"/>
  <c r="AR163" i="216"/>
  <c r="BP163" i="216"/>
  <c r="DT163" i="216"/>
  <c r="DB164" i="216"/>
  <c r="CH166" i="216"/>
  <c r="BN168" i="216"/>
  <c r="CJ193" i="216"/>
  <c r="CL194" i="216"/>
  <c r="BH202" i="216"/>
  <c r="DF211" i="216"/>
  <c r="CE249" i="216"/>
  <c r="CB249" i="216"/>
  <c r="CJ15" i="216"/>
  <c r="DF16" i="216"/>
  <c r="DX16" i="216"/>
  <c r="BR17" i="216"/>
  <c r="DN17" i="216"/>
  <c r="DF18" i="216"/>
  <c r="DX18" i="216"/>
  <c r="AL32" i="216"/>
  <c r="BR32" i="216"/>
  <c r="T34" i="216"/>
  <c r="T36" i="216"/>
  <c r="BZ36" i="216"/>
  <c r="BL37" i="216"/>
  <c r="BZ37" i="216"/>
  <c r="BZ44" i="216"/>
  <c r="BZ45" i="216"/>
  <c r="DN45" i="216"/>
  <c r="AN48" i="216"/>
  <c r="BF48" i="216"/>
  <c r="BP50" i="216"/>
  <c r="BF51" i="216"/>
  <c r="R52" i="216"/>
  <c r="CH52" i="216"/>
  <c r="CV52" i="216"/>
  <c r="BH53" i="216"/>
  <c r="BR54" i="216"/>
  <c r="CV54" i="216"/>
  <c r="BF60" i="216"/>
  <c r="AB65" i="216"/>
  <c r="CT65" i="216"/>
  <c r="R67" i="216"/>
  <c r="CJ68" i="216"/>
  <c r="AL69" i="216"/>
  <c r="DD69" i="216"/>
  <c r="AH70" i="216"/>
  <c r="AV70" i="216"/>
  <c r="AN71" i="216"/>
  <c r="CJ71" i="216"/>
  <c r="R72" i="216"/>
  <c r="AB73" i="216"/>
  <c r="BH73" i="216"/>
  <c r="DF73" i="216"/>
  <c r="BP74" i="216"/>
  <c r="AB75" i="216"/>
  <c r="BF75" i="216"/>
  <c r="CT75" i="216"/>
  <c r="AD76" i="216"/>
  <c r="BN76" i="216"/>
  <c r="AN77" i="216"/>
  <c r="BR78" i="216"/>
  <c r="R85" i="216"/>
  <c r="DX85" i="216"/>
  <c r="T86" i="216"/>
  <c r="DD97" i="216"/>
  <c r="AN103" i="216"/>
  <c r="BR105" i="216"/>
  <c r="AD107" i="216"/>
  <c r="DD107" i="216"/>
  <c r="AV114" i="216"/>
  <c r="DD114" i="216"/>
  <c r="DP160" i="216"/>
  <c r="BR163" i="216"/>
  <c r="BZ164" i="216"/>
  <c r="CL170" i="216"/>
  <c r="CZ197" i="216"/>
  <c r="DF221" i="216"/>
  <c r="DP17" i="216"/>
  <c r="CZ19" i="216"/>
  <c r="CL21" i="216"/>
  <c r="EL34" i="216"/>
  <c r="CB36" i="216"/>
  <c r="CZ36" i="216"/>
  <c r="CB37" i="216"/>
  <c r="BR50" i="216"/>
  <c r="BH51" i="216"/>
  <c r="AV53" i="216"/>
  <c r="Z54" i="216"/>
  <c r="AN54" i="216"/>
  <c r="BP66" i="216"/>
  <c r="CJ66" i="216"/>
  <c r="DD66" i="216"/>
  <c r="AR67" i="216"/>
  <c r="DL70" i="216"/>
  <c r="AH77" i="216"/>
  <c r="T85" i="216"/>
  <c r="BL86" i="216"/>
  <c r="CH88" i="216"/>
  <c r="DV97" i="216"/>
  <c r="Z101" i="216"/>
  <c r="DL104" i="216"/>
  <c r="CP162" i="216"/>
  <c r="DE407" i="216"/>
  <c r="DD166" i="216"/>
  <c r="ED37" i="216"/>
  <c r="AJ44" i="216"/>
  <c r="BX54" i="216"/>
  <c r="DL59" i="216"/>
  <c r="CL70" i="216"/>
  <c r="CL72" i="216"/>
  <c r="CH76" i="216"/>
  <c r="ED89" i="216"/>
  <c r="BV97" i="216"/>
  <c r="AH101" i="216"/>
  <c r="AH156" i="216"/>
  <c r="AT158" i="216"/>
  <c r="DT262" i="216"/>
  <c r="AQ306" i="216"/>
  <c r="AJ306" i="216"/>
  <c r="AD309" i="216"/>
  <c r="CV310" i="216"/>
  <c r="P201" i="216"/>
  <c r="DB203" i="216"/>
  <c r="AJ212" i="216"/>
  <c r="P238" i="216"/>
  <c r="AJ240" i="216"/>
  <c r="CJ243" i="216"/>
  <c r="AJ251" i="216"/>
  <c r="CJ252" i="216"/>
  <c r="CR268" i="216"/>
  <c r="DI269" i="216"/>
  <c r="DB269" i="216"/>
  <c r="AT97" i="216"/>
  <c r="BZ103" i="216"/>
  <c r="DF103" i="216"/>
  <c r="BH105" i="216"/>
  <c r="CT107" i="216"/>
  <c r="DF125" i="216"/>
  <c r="AT131" i="216"/>
  <c r="P147" i="216"/>
  <c r="AV147" i="216"/>
  <c r="AT156" i="216"/>
  <c r="AV158" i="216"/>
  <c r="AD160" i="216"/>
  <c r="Z162" i="216"/>
  <c r="P164" i="216"/>
  <c r="BD164" i="216"/>
  <c r="CJ165" i="216"/>
  <c r="AL167" i="216"/>
  <c r="BF167" i="216"/>
  <c r="Z170" i="216"/>
  <c r="CJ170" i="216"/>
  <c r="CV181" i="216"/>
  <c r="BP186" i="216"/>
  <c r="CH187" i="216"/>
  <c r="AD192" i="216"/>
  <c r="BH192" i="216"/>
  <c r="DD192" i="216"/>
  <c r="AB196" i="216"/>
  <c r="BX196" i="216"/>
  <c r="AL197" i="216"/>
  <c r="BF197" i="216"/>
  <c r="CL197" i="216"/>
  <c r="BD198" i="216"/>
  <c r="AJ199" i="216"/>
  <c r="DD199" i="216"/>
  <c r="T200" i="216"/>
  <c r="AJ200" i="216"/>
  <c r="P202" i="216"/>
  <c r="AV202" i="216"/>
  <c r="CR202" i="216"/>
  <c r="AN203" i="216"/>
  <c r="DD203" i="216"/>
  <c r="AL205" i="216"/>
  <c r="CH205" i="216"/>
  <c r="T206" i="216"/>
  <c r="CV206" i="216"/>
  <c r="BX208" i="216"/>
  <c r="CL212" i="216"/>
  <c r="DP212" i="216"/>
  <c r="CH213" i="216"/>
  <c r="P214" i="216"/>
  <c r="CV214" i="216"/>
  <c r="BX216" i="216"/>
  <c r="DF218" i="216"/>
  <c r="CL219" i="216"/>
  <c r="CV222" i="216"/>
  <c r="BN223" i="216"/>
  <c r="CJ228" i="216"/>
  <c r="DD228" i="216"/>
  <c r="DP228" i="216"/>
  <c r="DP232" i="216"/>
  <c r="CH233" i="216"/>
  <c r="BD234" i="216"/>
  <c r="BX236" i="216"/>
  <c r="CL240" i="216"/>
  <c r="AD242" i="216"/>
  <c r="AL243" i="216"/>
  <c r="CL243" i="216"/>
  <c r="AX244" i="216"/>
  <c r="CB244" i="216"/>
  <c r="BN247" i="216"/>
  <c r="AJ266" i="216"/>
  <c r="DF267" i="216"/>
  <c r="AV277" i="216"/>
  <c r="BD317" i="216"/>
  <c r="AT369" i="216"/>
  <c r="BR381" i="216"/>
  <c r="CJ213" i="216"/>
  <c r="AR216" i="216"/>
  <c r="BZ216" i="216"/>
  <c r="DF216" i="216"/>
  <c r="AL219" i="216"/>
  <c r="CJ220" i="216"/>
  <c r="CV221" i="216"/>
  <c r="AX222" i="216"/>
  <c r="AL226" i="216"/>
  <c r="BP230" i="216"/>
  <c r="AN240" i="216"/>
  <c r="AV242" i="216"/>
  <c r="CT242" i="216"/>
  <c r="AN250" i="216"/>
  <c r="AN265" i="216"/>
  <c r="DD265" i="216"/>
  <c r="CB303" i="216"/>
  <c r="CB305" i="216"/>
  <c r="CL340" i="216"/>
  <c r="AR156" i="216"/>
  <c r="DP157" i="216"/>
  <c r="CJ158" i="216"/>
  <c r="BR160" i="216"/>
  <c r="P162" i="216"/>
  <c r="AT164" i="216"/>
  <c r="CB164" i="216"/>
  <c r="AT165" i="216"/>
  <c r="BH165" i="216"/>
  <c r="BR168" i="216"/>
  <c r="Z172" i="216"/>
  <c r="AT172" i="216"/>
  <c r="DB172" i="216"/>
  <c r="DF191" i="216"/>
  <c r="CR192" i="216"/>
  <c r="CP193" i="216"/>
  <c r="DF201" i="216"/>
  <c r="T202" i="216"/>
  <c r="CL205" i="216"/>
  <c r="AN206" i="216"/>
  <c r="BD214" i="216"/>
  <c r="DP214" i="216"/>
  <c r="CB216" i="216"/>
  <c r="CH221" i="216"/>
  <c r="CH225" i="216"/>
  <c r="AJ232" i="216"/>
  <c r="CB236" i="216"/>
  <c r="BR239" i="216"/>
  <c r="CV239" i="216"/>
  <c r="CV242" i="216"/>
  <c r="Z243" i="216"/>
  <c r="DJ243" i="216"/>
  <c r="BR244" i="216"/>
  <c r="DV245" i="216"/>
  <c r="DB246" i="216"/>
  <c r="BR302" i="216"/>
  <c r="Y415" i="216"/>
  <c r="Z337" i="216"/>
  <c r="AN361" i="216"/>
  <c r="DZ370" i="216"/>
  <c r="AH391" i="216"/>
  <c r="DP391" i="216"/>
  <c r="DP325" i="216"/>
  <c r="DP97" i="216"/>
  <c r="AD98" i="216"/>
  <c r="AX99" i="216"/>
  <c r="BN99" i="216"/>
  <c r="CV101" i="216"/>
  <c r="BR103" i="216"/>
  <c r="AR105" i="216"/>
  <c r="DV105" i="216"/>
  <c r="BZ108" i="216"/>
  <c r="CR108" i="216"/>
  <c r="BZ124" i="216"/>
  <c r="DN131" i="216"/>
  <c r="CB146" i="216"/>
  <c r="BD147" i="216"/>
  <c r="DD147" i="216"/>
  <c r="ED147" i="216"/>
  <c r="DV157" i="216"/>
  <c r="AL160" i="216"/>
  <c r="BP160" i="216"/>
  <c r="R162" i="216"/>
  <c r="DD162" i="216"/>
  <c r="AB164" i="216"/>
  <c r="AV167" i="216"/>
  <c r="CJ167" i="216"/>
  <c r="DV168" i="216"/>
  <c r="AN169" i="216"/>
  <c r="BH169" i="216"/>
  <c r="AV172" i="216"/>
  <c r="BZ172" i="216"/>
  <c r="DX172" i="216"/>
  <c r="CH182" i="216"/>
  <c r="BF193" i="216"/>
  <c r="Z194" i="216"/>
  <c r="DN195" i="216"/>
  <c r="BP196" i="216"/>
  <c r="CB198" i="216"/>
  <c r="DL199" i="216"/>
  <c r="AB200" i="216"/>
  <c r="CT201" i="216"/>
  <c r="AN202" i="216"/>
  <c r="BD202" i="216"/>
  <c r="CJ202" i="216"/>
  <c r="DP202" i="216"/>
  <c r="BH206" i="216"/>
  <c r="CB207" i="216"/>
  <c r="DF213" i="216"/>
  <c r="BH214" i="216"/>
  <c r="CL215" i="216"/>
  <c r="DB215" i="216"/>
  <c r="AB219" i="216"/>
  <c r="AB220" i="216"/>
  <c r="DB223" i="216"/>
  <c r="CL225" i="216"/>
  <c r="BN227" i="216"/>
  <c r="BP228" i="216"/>
  <c r="CB230" i="216"/>
  <c r="Z231" i="216"/>
  <c r="AB234" i="216"/>
  <c r="DL236" i="216"/>
  <c r="R243" i="216"/>
  <c r="AD243" i="216"/>
  <c r="BN243" i="216"/>
  <c r="DF248" i="216"/>
  <c r="Z255" i="216"/>
  <c r="AJ256" i="216"/>
  <c r="CB280" i="216"/>
  <c r="CE280" i="216"/>
  <c r="CL295" i="216"/>
  <c r="AD307" i="216"/>
  <c r="CB307" i="216"/>
  <c r="BH323" i="216"/>
  <c r="DN199" i="216"/>
  <c r="BF202" i="216"/>
  <c r="CT207" i="216"/>
  <c r="CJ209" i="216"/>
  <c r="DN211" i="216"/>
  <c r="DD215" i="216"/>
  <c r="BV219" i="216"/>
  <c r="AV227" i="216"/>
  <c r="BV228" i="216"/>
  <c r="CT240" i="216"/>
  <c r="AJ252" i="216"/>
  <c r="ED291" i="216"/>
  <c r="DV291" i="216"/>
  <c r="P304" i="216"/>
  <c r="BF267" i="216"/>
  <c r="Z269" i="216"/>
  <c r="BB277" i="216"/>
  <c r="AJ281" i="216"/>
  <c r="DL281" i="216"/>
  <c r="BZ287" i="216"/>
  <c r="R292" i="216"/>
  <c r="BN292" i="216"/>
  <c r="CJ293" i="216"/>
  <c r="AL294" i="216"/>
  <c r="DV294" i="216"/>
  <c r="AL297" i="216"/>
  <c r="DT297" i="216"/>
  <c r="DS297" i="216" s="1"/>
  <c r="BL298" i="216"/>
  <c r="AB300" i="216"/>
  <c r="BN302" i="216"/>
  <c r="DD305" i="216"/>
  <c r="DV307" i="216"/>
  <c r="BF309" i="216"/>
  <c r="CR310" i="216"/>
  <c r="AB314" i="216"/>
  <c r="BF317" i="216"/>
  <c r="CR317" i="216"/>
  <c r="AJ319" i="216"/>
  <c r="CF324" i="216"/>
  <c r="BN325" i="216"/>
  <c r="BN334" i="216"/>
  <c r="CH340" i="216"/>
  <c r="DZ341" i="216"/>
  <c r="P363" i="216"/>
  <c r="BN363" i="216"/>
  <c r="CR364" i="216"/>
  <c r="AV369" i="216"/>
  <c r="DV370" i="216"/>
  <c r="AJ371" i="216"/>
  <c r="CH382" i="216"/>
  <c r="AB383" i="216"/>
  <c r="DT383" i="216"/>
  <c r="DB392" i="216"/>
  <c r="AT245" i="216"/>
  <c r="DJ246" i="216"/>
  <c r="BR247" i="216"/>
  <c r="BZ249" i="216"/>
  <c r="CL252" i="216"/>
  <c r="AB256" i="216"/>
  <c r="CJ261" i="216"/>
  <c r="P265" i="216"/>
  <c r="DF265" i="216"/>
  <c r="BH267" i="216"/>
  <c r="BP268" i="216"/>
  <c r="BX279" i="216"/>
  <c r="AN291" i="216"/>
  <c r="BZ291" i="216"/>
  <c r="CL293" i="216"/>
  <c r="CR296" i="216"/>
  <c r="CJ297" i="216"/>
  <c r="ED298" i="216"/>
  <c r="BN300" i="216"/>
  <c r="CB300" i="216"/>
  <c r="CZ300" i="216"/>
  <c r="BP302" i="216"/>
  <c r="BZ303" i="216"/>
  <c r="DF305" i="216"/>
  <c r="AT309" i="216"/>
  <c r="CT310" i="216"/>
  <c r="AX313" i="216"/>
  <c r="DB315" i="216"/>
  <c r="AV316" i="216"/>
  <c r="AB317" i="216"/>
  <c r="AT317" i="216"/>
  <c r="DZ317" i="216"/>
  <c r="CL318" i="216"/>
  <c r="Z321" i="216"/>
  <c r="DX322" i="216"/>
  <c r="EI324" i="216"/>
  <c r="CL326" i="216"/>
  <c r="DF326" i="216"/>
  <c r="AL332" i="216"/>
  <c r="CH339" i="216"/>
  <c r="AJ359" i="216"/>
  <c r="AH360" i="216"/>
  <c r="CL360" i="216"/>
  <c r="DB360" i="216"/>
  <c r="DJ361" i="216"/>
  <c r="P362" i="216"/>
  <c r="CH370" i="216"/>
  <c r="DL370" i="216"/>
  <c r="DX370" i="216"/>
  <c r="EL371" i="216"/>
  <c r="BP373" i="216"/>
  <c r="BD380" i="216"/>
  <c r="CJ382" i="216"/>
  <c r="DN383" i="216"/>
  <c r="BF391" i="216"/>
  <c r="BH392" i="216"/>
  <c r="CL244" i="216"/>
  <c r="Z246" i="216"/>
  <c r="CR246" i="216"/>
  <c r="CL247" i="216"/>
  <c r="AN248" i="216"/>
  <c r="BX248" i="216"/>
  <c r="CR249" i="216"/>
  <c r="CL253" i="216"/>
  <c r="BD254" i="216"/>
  <c r="CV254" i="216"/>
  <c r="AN257" i="216"/>
  <c r="CL257" i="216"/>
  <c r="P258" i="216"/>
  <c r="Z261" i="216"/>
  <c r="AR261" i="216"/>
  <c r="CF261" i="216"/>
  <c r="T262" i="216"/>
  <c r="AJ262" i="216"/>
  <c r="BR262" i="216"/>
  <c r="T263" i="216"/>
  <c r="AX263" i="216"/>
  <c r="AT264" i="216"/>
  <c r="BZ264" i="216"/>
  <c r="DF264" i="216"/>
  <c r="DV264" i="216"/>
  <c r="BR265" i="216"/>
  <c r="BR267" i="216"/>
  <c r="BD268" i="216"/>
  <c r="AX277" i="216"/>
  <c r="BN277" i="216"/>
  <c r="AH281" i="216"/>
  <c r="AN292" i="216"/>
  <c r="CP292" i="216"/>
  <c r="T293" i="216"/>
  <c r="AD293" i="216"/>
  <c r="BX295" i="216"/>
  <c r="DZ295" i="216"/>
  <c r="BP296" i="216"/>
  <c r="AD298" i="216"/>
  <c r="AJ300" i="216"/>
  <c r="DL300" i="216"/>
  <c r="AX305" i="216"/>
  <c r="BL306" i="216"/>
  <c r="DB308" i="216"/>
  <c r="BR310" i="216"/>
  <c r="AT311" i="216"/>
  <c r="BH312" i="216"/>
  <c r="T316" i="216"/>
  <c r="BF319" i="216"/>
  <c r="AD321" i="216"/>
  <c r="BH321" i="216"/>
  <c r="CB321" i="216"/>
  <c r="CZ321" i="216"/>
  <c r="DX323" i="216"/>
  <c r="CL325" i="216"/>
  <c r="R341" i="216"/>
  <c r="CB358" i="216"/>
  <c r="CR358" i="216"/>
  <c r="DF358" i="216"/>
  <c r="AN359" i="216"/>
  <c r="AJ361" i="216"/>
  <c r="BD363" i="216"/>
  <c r="CR369" i="216"/>
  <c r="AT370" i="216"/>
  <c r="CL370" i="216"/>
  <c r="AL373" i="216"/>
  <c r="CL373" i="216"/>
  <c r="AD380" i="216"/>
  <c r="CH381" i="216"/>
  <c r="BH382" i="216"/>
  <c r="CJ383" i="216"/>
  <c r="DN245" i="216"/>
  <c r="CT246" i="216"/>
  <c r="CT249" i="216"/>
  <c r="CB252" i="216"/>
  <c r="DL252" i="216"/>
  <c r="T256" i="216"/>
  <c r="BF257" i="216"/>
  <c r="R258" i="216"/>
  <c r="DL260" i="216"/>
  <c r="AH261" i="216"/>
  <c r="CJ262" i="216"/>
  <c r="AV264" i="216"/>
  <c r="DX264" i="216"/>
  <c r="CP265" i="216"/>
  <c r="BP277" i="216"/>
  <c r="DP277" i="216"/>
  <c r="CJ280" i="216"/>
  <c r="CV280" i="216"/>
  <c r="AH291" i="216"/>
  <c r="Z292" i="216"/>
  <c r="BB294" i="216"/>
  <c r="BZ295" i="216"/>
  <c r="AR300" i="216"/>
  <c r="DP300" i="216"/>
  <c r="AV301" i="216"/>
  <c r="DP302" i="216"/>
  <c r="DD304" i="216"/>
  <c r="BP305" i="216"/>
  <c r="CJ305" i="216"/>
  <c r="CJ310" i="216"/>
  <c r="Z313" i="216"/>
  <c r="DB313" i="216"/>
  <c r="AB319" i="216"/>
  <c r="AL320" i="216"/>
  <c r="AV321" i="216"/>
  <c r="CT321" i="216"/>
  <c r="DP322" i="216"/>
  <c r="AV323" i="216"/>
  <c r="AL324" i="216"/>
  <c r="BP324" i="216"/>
  <c r="CV324" i="216"/>
  <c r="CF325" i="216"/>
  <c r="R326" i="216"/>
  <c r="BL326" i="216"/>
  <c r="AB332" i="216"/>
  <c r="CL335" i="216"/>
  <c r="AV340" i="216"/>
  <c r="CV341" i="216"/>
  <c r="BF363" i="216"/>
  <c r="CP363" i="216"/>
  <c r="DJ363" i="216"/>
  <c r="DN369" i="216"/>
  <c r="AV370" i="216"/>
  <c r="DP370" i="216"/>
  <c r="CN377" i="216"/>
  <c r="CJ381" i="216"/>
  <c r="DD381" i="216"/>
  <c r="O387" i="216"/>
  <c r="CR391" i="216"/>
  <c r="DX391" i="216"/>
  <c r="BZ244" i="216"/>
  <c r="AL245" i="216"/>
  <c r="DP245" i="216"/>
  <c r="BN246" i="216"/>
  <c r="CV246" i="216"/>
  <c r="Z247" i="216"/>
  <c r="AD251" i="216"/>
  <c r="BN251" i="216"/>
  <c r="BR252" i="216"/>
  <c r="CB253" i="216"/>
  <c r="BP256" i="216"/>
  <c r="CT256" i="216"/>
  <c r="BH257" i="216"/>
  <c r="AJ260" i="216"/>
  <c r="BN261" i="216"/>
  <c r="BF262" i="216"/>
  <c r="DZ264" i="216"/>
  <c r="CJ265" i="216"/>
  <c r="BR277" i="216"/>
  <c r="BV293" i="216"/>
  <c r="DP293" i="216"/>
  <c r="T295" i="216"/>
  <c r="CB295" i="216"/>
  <c r="P297" i="216"/>
  <c r="AJ298" i="216"/>
  <c r="BH299" i="216"/>
  <c r="DB300" i="216"/>
  <c r="AX301" i="216"/>
  <c r="BL304" i="216"/>
  <c r="CB308" i="216"/>
  <c r="AX311" i="216"/>
  <c r="BV312" i="216"/>
  <c r="T319" i="216"/>
  <c r="AD319" i="216"/>
  <c r="AN320" i="216"/>
  <c r="AX323" i="216"/>
  <c r="CV323" i="216"/>
  <c r="BR324" i="216"/>
  <c r="DT324" i="216"/>
  <c r="AD332" i="216"/>
  <c r="AX340" i="216"/>
  <c r="DT358" i="216"/>
  <c r="BH363" i="216"/>
  <c r="DF370" i="216"/>
  <c r="AV373" i="216"/>
  <c r="BH381" i="216"/>
  <c r="AR383" i="216"/>
  <c r="CT383" i="216"/>
  <c r="AX13" i="216"/>
  <c r="Z15" i="216"/>
  <c r="AT15" i="216"/>
  <c r="BF15" i="216"/>
  <c r="CH15" i="216"/>
  <c r="Z17" i="216"/>
  <c r="AT19" i="216"/>
  <c r="CJ19" i="216"/>
  <c r="CV22" i="216"/>
  <c r="DP22" i="216"/>
  <c r="AX23" i="216"/>
  <c r="DZ23" i="216"/>
  <c r="P25" i="216"/>
  <c r="AL29" i="216"/>
  <c r="BP30" i="216"/>
  <c r="DN30" i="216"/>
  <c r="AN32" i="216"/>
  <c r="DL32" i="216"/>
  <c r="ED32" i="216"/>
  <c r="ED34" i="216"/>
  <c r="DX35" i="216"/>
  <c r="BM82" i="216"/>
  <c r="CR46" i="216"/>
  <c r="P47" i="216"/>
  <c r="AD48" i="216"/>
  <c r="DJ48" i="216"/>
  <c r="AT50" i="216"/>
  <c r="DJ53" i="216"/>
  <c r="DI53" i="216" s="1"/>
  <c r="CH55" i="216"/>
  <c r="AH56" i="216"/>
  <c r="BZ56" i="216"/>
  <c r="DD58" i="216"/>
  <c r="Z62" i="216"/>
  <c r="BN62" i="216"/>
  <c r="CH66" i="216"/>
  <c r="BX97" i="216"/>
  <c r="CP132" i="216"/>
  <c r="CO132" i="216" s="1"/>
  <c r="DD160" i="216"/>
  <c r="CO256" i="216"/>
  <c r="CH256" i="216"/>
  <c r="BE409" i="216"/>
  <c r="BD282" i="216"/>
  <c r="AJ287" i="216"/>
  <c r="AR287" i="216"/>
  <c r="X295" i="216"/>
  <c r="W295" i="216" s="1"/>
  <c r="P295" i="216"/>
  <c r="BB381" i="216"/>
  <c r="AT381" i="216"/>
  <c r="BB105" i="216"/>
  <c r="AT105" i="216"/>
  <c r="AG131" i="216"/>
  <c r="Z131" i="216"/>
  <c r="DF160" i="216"/>
  <c r="EK13" i="216"/>
  <c r="L16" i="213" s="1"/>
  <c r="CH13" i="216"/>
  <c r="CV13" i="216"/>
  <c r="DL13" i="216"/>
  <c r="CF14" i="216"/>
  <c r="CF15" i="216"/>
  <c r="DL15" i="216"/>
  <c r="AD17" i="216"/>
  <c r="AJ19" i="216"/>
  <c r="AX19" i="216"/>
  <c r="BX19" i="216"/>
  <c r="R25" i="216"/>
  <c r="BX29" i="216"/>
  <c r="DP29" i="216"/>
  <c r="P31" i="216"/>
  <c r="AJ34" i="216"/>
  <c r="BN34" i="216"/>
  <c r="DZ34" i="216"/>
  <c r="BV36" i="216"/>
  <c r="DP37" i="216"/>
  <c r="AA82" i="216"/>
  <c r="BX50" i="216"/>
  <c r="CL51" i="216"/>
  <c r="DJ51" i="216"/>
  <c r="DF53" i="216"/>
  <c r="ED56" i="216"/>
  <c r="AT58" i="216"/>
  <c r="BZ58" i="216"/>
  <c r="CR58" i="216"/>
  <c r="DL60" i="216"/>
  <c r="BD66" i="216"/>
  <c r="CZ72" i="216"/>
  <c r="AT76" i="216"/>
  <c r="DB85" i="216"/>
  <c r="CJ87" i="216"/>
  <c r="CH87" i="216"/>
  <c r="CR99" i="216"/>
  <c r="AA404" i="216"/>
  <c r="Z145" i="216"/>
  <c r="BX200" i="216"/>
  <c r="CF200" i="216"/>
  <c r="DF12" i="216"/>
  <c r="DX12" i="216"/>
  <c r="CJ13" i="216"/>
  <c r="DP13" i="216"/>
  <c r="BZ15" i="216"/>
  <c r="AV17" i="216"/>
  <c r="AL19" i="216"/>
  <c r="BZ19" i="216"/>
  <c r="CP21" i="216"/>
  <c r="CJ23" i="216"/>
  <c r="T31" i="216"/>
  <c r="AL34" i="216"/>
  <c r="AL35" i="216"/>
  <c r="BP35" i="216"/>
  <c r="AB36" i="216"/>
  <c r="BP36" i="216"/>
  <c r="AB37" i="216"/>
  <c r="BZ50" i="216"/>
  <c r="AH51" i="216"/>
  <c r="BZ53" i="216"/>
  <c r="CT56" i="216"/>
  <c r="ED76" i="216"/>
  <c r="BZ77" i="216"/>
  <c r="DN77" i="216"/>
  <c r="BB89" i="216"/>
  <c r="AT89" i="216"/>
  <c r="CJ107" i="216"/>
  <c r="AO119" i="216"/>
  <c r="AN114" i="216"/>
  <c r="AC406" i="216"/>
  <c r="AB149" i="216"/>
  <c r="AN191" i="216"/>
  <c r="AJ191" i="216"/>
  <c r="DS192" i="216"/>
  <c r="DN192" i="216"/>
  <c r="DP192" i="216"/>
  <c r="CH244" i="216"/>
  <c r="CP244" i="216"/>
  <c r="CB15" i="216"/>
  <c r="DB15" i="216"/>
  <c r="ED15" i="216"/>
  <c r="AU26" i="216"/>
  <c r="EI17" i="216"/>
  <c r="K20" i="213" s="1"/>
  <c r="AX17" i="216"/>
  <c r="CF17" i="216"/>
  <c r="CZ17" i="216"/>
  <c r="DV17" i="216"/>
  <c r="T18" i="216"/>
  <c r="AN18" i="216"/>
  <c r="BH18" i="216"/>
  <c r="BZ18" i="216"/>
  <c r="CB19" i="216"/>
  <c r="CB21" i="216"/>
  <c r="CL22" i="216"/>
  <c r="DF22" i="216"/>
  <c r="DF30" i="216"/>
  <c r="BL34" i="216"/>
  <c r="CP34" i="216"/>
  <c r="DN34" i="216"/>
  <c r="AN35" i="216"/>
  <c r="BD35" i="216"/>
  <c r="BR35" i="216"/>
  <c r="AD36" i="216"/>
  <c r="BL36" i="216"/>
  <c r="BR36" i="216"/>
  <c r="AN37" i="216"/>
  <c r="BP37" i="216"/>
  <c r="CR37" i="216"/>
  <c r="R44" i="216"/>
  <c r="BN44" i="216"/>
  <c r="AI82" i="216"/>
  <c r="DB46" i="216"/>
  <c r="DX46" i="216"/>
  <c r="EL47" i="216"/>
  <c r="DC82" i="216"/>
  <c r="P48" i="216"/>
  <c r="DD48" i="216"/>
  <c r="CT49" i="216"/>
  <c r="DT50" i="216"/>
  <c r="BZ51" i="216"/>
  <c r="DP52" i="216"/>
  <c r="CT53" i="216"/>
  <c r="AL54" i="216"/>
  <c r="AX54" i="216"/>
  <c r="DB54" i="216"/>
  <c r="DP54" i="216"/>
  <c r="BH55" i="216"/>
  <c r="CP55" i="216"/>
  <c r="DD55" i="216"/>
  <c r="AX56" i="216"/>
  <c r="BN56" i="216"/>
  <c r="DN58" i="216"/>
  <c r="CT59" i="216"/>
  <c r="AD60" i="216"/>
  <c r="BR60" i="216"/>
  <c r="P61" i="216"/>
  <c r="BD61" i="216"/>
  <c r="DL68" i="216"/>
  <c r="AJ70" i="216"/>
  <c r="AL72" i="216"/>
  <c r="CJ74" i="216"/>
  <c r="AJ99" i="216"/>
  <c r="CJ103" i="216"/>
  <c r="CH131" i="216"/>
  <c r="DC404" i="216"/>
  <c r="DC417" i="216" s="1"/>
  <c r="DB145" i="216"/>
  <c r="CS407" i="216"/>
  <c r="CR166" i="216"/>
  <c r="AV208" i="216"/>
  <c r="DN225" i="216"/>
  <c r="DD230" i="216"/>
  <c r="DN241" i="216"/>
  <c r="AL277" i="216"/>
  <c r="CT326" i="216"/>
  <c r="BH13" i="216"/>
  <c r="CB13" i="216"/>
  <c r="EK15" i="216"/>
  <c r="L18" i="213" s="1"/>
  <c r="BB15" i="216"/>
  <c r="BP15" i="216"/>
  <c r="DD15" i="216"/>
  <c r="T17" i="216"/>
  <c r="BB17" i="216"/>
  <c r="DX17" i="216"/>
  <c r="CV18" i="216"/>
  <c r="DP18" i="216"/>
  <c r="AN19" i="216"/>
  <c r="DD19" i="216"/>
  <c r="EK20" i="216"/>
  <c r="AN20" i="216"/>
  <c r="BH20" i="216"/>
  <c r="AT29" i="216"/>
  <c r="EK33" i="216"/>
  <c r="L38" i="213" s="1"/>
  <c r="Z34" i="216"/>
  <c r="DB34" i="216"/>
  <c r="DP34" i="216"/>
  <c r="BL35" i="216"/>
  <c r="BF36" i="216"/>
  <c r="DT36" i="216"/>
  <c r="DS36" i="216" s="1"/>
  <c r="CJ44" i="216"/>
  <c r="AJ46" i="216"/>
  <c r="DD46" i="216"/>
  <c r="DD47" i="216"/>
  <c r="T49" i="216"/>
  <c r="BP49" i="216"/>
  <c r="AB50" i="216"/>
  <c r="ED50" i="216"/>
  <c r="AX52" i="216"/>
  <c r="CR54" i="216"/>
  <c r="R55" i="216"/>
  <c r="BZ55" i="216"/>
  <c r="DF55" i="216"/>
  <c r="BN59" i="216"/>
  <c r="CL59" i="216"/>
  <c r="Z60" i="216"/>
  <c r="DB60" i="216"/>
  <c r="R62" i="216"/>
  <c r="AT65" i="216"/>
  <c r="BA65" i="216"/>
  <c r="BB68" i="216"/>
  <c r="BN68" i="216"/>
  <c r="CT68" i="216"/>
  <c r="DN70" i="216"/>
  <c r="BZ71" i="216"/>
  <c r="AB74" i="216"/>
  <c r="CP97" i="216"/>
  <c r="CH97" i="216"/>
  <c r="DD105" i="216"/>
  <c r="AC119" i="216"/>
  <c r="AB114" i="216"/>
  <c r="CJ131" i="216"/>
  <c r="CT146" i="216"/>
  <c r="AL191" i="216"/>
  <c r="X15" i="216"/>
  <c r="W15" i="216" s="1"/>
  <c r="BR15" i="216"/>
  <c r="DF15" i="216"/>
  <c r="CL16" i="216"/>
  <c r="DZ17" i="216"/>
  <c r="BP19" i="216"/>
  <c r="CT19" i="216"/>
  <c r="DF19" i="216"/>
  <c r="BH29" i="216"/>
  <c r="BV33" i="216"/>
  <c r="BF35" i="216"/>
  <c r="DZ36" i="216"/>
  <c r="CP37" i="216"/>
  <c r="BE82" i="216"/>
  <c r="EL49" i="216"/>
  <c r="BR49" i="216"/>
  <c r="BH50" i="216"/>
  <c r="CZ50" i="216"/>
  <c r="CY50" i="216" s="1"/>
  <c r="AX51" i="216"/>
  <c r="T53" i="216"/>
  <c r="P54" i="216"/>
  <c r="AB54" i="216"/>
  <c r="BD54" i="216"/>
  <c r="AV55" i="216"/>
  <c r="BR56" i="216"/>
  <c r="CP56" i="216"/>
  <c r="EI58" i="216"/>
  <c r="K65" i="213" s="1"/>
  <c r="BD58" i="216"/>
  <c r="BH60" i="216"/>
  <c r="AA93" i="216"/>
  <c r="Z93" i="216" s="1"/>
  <c r="Z85" i="216"/>
  <c r="BO93" i="216"/>
  <c r="BN85" i="216"/>
  <c r="DS89" i="216"/>
  <c r="DN89" i="216"/>
  <c r="BE136" i="216"/>
  <c r="BD131" i="216"/>
  <c r="AT13" i="216"/>
  <c r="EL14" i="216"/>
  <c r="CP14" i="216"/>
  <c r="BD15" i="216"/>
  <c r="BD17" i="216"/>
  <c r="BN17" i="216"/>
  <c r="BX17" i="216"/>
  <c r="BR19" i="216"/>
  <c r="CP19" i="216"/>
  <c r="X29" i="216"/>
  <c r="W29" i="216" s="1"/>
  <c r="BV30" i="216"/>
  <c r="CW40" i="216"/>
  <c r="CJ32" i="216"/>
  <c r="DV32" i="216"/>
  <c r="BB34" i="216"/>
  <c r="BH34" i="216"/>
  <c r="CV37" i="216"/>
  <c r="DL37" i="216"/>
  <c r="AR44" i="216"/>
  <c r="AX48" i="216"/>
  <c r="DF50" i="216"/>
  <c r="AD54" i="216"/>
  <c r="DF54" i="216"/>
  <c r="EL55" i="216"/>
  <c r="BF59" i="216"/>
  <c r="DD59" i="216"/>
  <c r="R60" i="216"/>
  <c r="AT74" i="216"/>
  <c r="BB74" i="216"/>
  <c r="BZ88" i="216"/>
  <c r="DL89" i="216"/>
  <c r="BB103" i="216"/>
  <c r="CS404" i="216"/>
  <c r="CR145" i="216"/>
  <c r="AR98" i="216"/>
  <c r="CG111" i="216"/>
  <c r="BL102" i="216"/>
  <c r="DB105" i="216"/>
  <c r="AT107" i="216"/>
  <c r="CR114" i="216"/>
  <c r="P158" i="216"/>
  <c r="BX160" i="216"/>
  <c r="DB160" i="216"/>
  <c r="CF168" i="216"/>
  <c r="BX168" i="216"/>
  <c r="DB168" i="216"/>
  <c r="DV187" i="216"/>
  <c r="CO192" i="216"/>
  <c r="CJ192" i="216"/>
  <c r="AJ208" i="216"/>
  <c r="DP218" i="216"/>
  <c r="DS218" i="216"/>
  <c r="CH264" i="216"/>
  <c r="CP264" i="216"/>
  <c r="DD60" i="216"/>
  <c r="AN61" i="216"/>
  <c r="CJ62" i="216"/>
  <c r="ED66" i="216"/>
  <c r="AL67" i="216"/>
  <c r="BR68" i="216"/>
  <c r="BX70" i="216"/>
  <c r="DB70" i="216"/>
  <c r="AN72" i="216"/>
  <c r="CH72" i="216"/>
  <c r="DN72" i="216"/>
  <c r="CT73" i="216"/>
  <c r="BZ74" i="216"/>
  <c r="CL74" i="216"/>
  <c r="AV75" i="216"/>
  <c r="BP85" i="216"/>
  <c r="DD85" i="216"/>
  <c r="BN87" i="216"/>
  <c r="CV87" i="216"/>
  <c r="EG88" i="216"/>
  <c r="J92" i="213" s="1"/>
  <c r="CT88" i="216"/>
  <c r="T97" i="216"/>
  <c r="BZ97" i="216"/>
  <c r="AL99" i="216"/>
  <c r="BP99" i="216"/>
  <c r="AN100" i="216"/>
  <c r="BF101" i="216"/>
  <c r="CH101" i="216"/>
  <c r="DN103" i="216"/>
  <c r="AD104" i="216"/>
  <c r="DF104" i="216"/>
  <c r="DX104" i="216"/>
  <c r="BX105" i="216"/>
  <c r="CL107" i="216"/>
  <c r="CH108" i="216"/>
  <c r="BS119" i="216"/>
  <c r="CI119" i="216"/>
  <c r="CH119" i="216" s="1"/>
  <c r="BH115" i="216"/>
  <c r="DD115" i="216"/>
  <c r="BF131" i="216"/>
  <c r="CN136" i="216"/>
  <c r="AQ139" i="216"/>
  <c r="CH145" i="216"/>
  <c r="T146" i="216"/>
  <c r="BP146" i="216"/>
  <c r="CV146" i="216"/>
  <c r="DL149" i="216"/>
  <c r="BF156" i="216"/>
  <c r="CJ157" i="216"/>
  <c r="DD157" i="216"/>
  <c r="AL158" i="216"/>
  <c r="DD158" i="216"/>
  <c r="DV164" i="216"/>
  <c r="DZ187" i="216"/>
  <c r="CB194" i="216"/>
  <c r="BR196" i="216"/>
  <c r="P198" i="216"/>
  <c r="R198" i="216"/>
  <c r="CV216" i="216"/>
  <c r="CL250" i="216"/>
  <c r="CE252" i="216"/>
  <c r="BX252" i="216"/>
  <c r="DG328" i="216"/>
  <c r="DF291" i="216"/>
  <c r="ED60" i="216"/>
  <c r="BZ61" i="216"/>
  <c r="DF61" i="216"/>
  <c r="BV69" i="216"/>
  <c r="DN69" i="216"/>
  <c r="DJ70" i="216"/>
  <c r="AX71" i="216"/>
  <c r="R73" i="216"/>
  <c r="AX73" i="216"/>
  <c r="CV73" i="216"/>
  <c r="CF74" i="216"/>
  <c r="ED74" i="216"/>
  <c r="CP76" i="216"/>
  <c r="AB79" i="216"/>
  <c r="DN79" i="216"/>
  <c r="CT85" i="216"/>
  <c r="BP87" i="216"/>
  <c r="R88" i="216"/>
  <c r="AX88" i="216"/>
  <c r="CV88" i="216"/>
  <c r="CB97" i="216"/>
  <c r="BZ98" i="216"/>
  <c r="BR99" i="216"/>
  <c r="EE100" i="216"/>
  <c r="I101" i="213" s="1"/>
  <c r="CL100" i="216"/>
  <c r="BL101" i="216"/>
  <c r="BZ101" i="216"/>
  <c r="CL103" i="216"/>
  <c r="CB104" i="216"/>
  <c r="DZ104" i="216"/>
  <c r="BZ105" i="216"/>
  <c r="CJ108" i="216"/>
  <c r="DN108" i="216"/>
  <c r="EI114" i="216"/>
  <c r="K116" i="213" s="1"/>
  <c r="BG119" i="216"/>
  <c r="CX119" i="216"/>
  <c r="DO119" i="216"/>
  <c r="BZ115" i="216"/>
  <c r="BP124" i="216"/>
  <c r="R125" i="216"/>
  <c r="AX125" i="216"/>
  <c r="CJ125" i="216"/>
  <c r="CK136" i="216"/>
  <c r="R132" i="216"/>
  <c r="R145" i="216"/>
  <c r="AT145" i="216"/>
  <c r="DZ145" i="216"/>
  <c r="DN156" i="216"/>
  <c r="T160" i="216"/>
  <c r="CT160" i="216"/>
  <c r="BR161" i="216"/>
  <c r="DN161" i="216"/>
  <c r="BW407" i="216"/>
  <c r="BX166" i="216"/>
  <c r="AH195" i="216"/>
  <c r="R211" i="216"/>
  <c r="Q409" i="216"/>
  <c r="P282" i="216"/>
  <c r="AG291" i="216"/>
  <c r="AD291" i="216"/>
  <c r="CB61" i="216"/>
  <c r="EL65" i="216"/>
  <c r="BB66" i="216"/>
  <c r="BF66" i="216"/>
  <c r="DB68" i="216"/>
  <c r="AL70" i="216"/>
  <c r="BN70" i="216"/>
  <c r="AB72" i="216"/>
  <c r="AV76" i="216"/>
  <c r="AJ85" i="216"/>
  <c r="DL85" i="216"/>
  <c r="T88" i="216"/>
  <c r="CL96" i="216"/>
  <c r="BD99" i="216"/>
  <c r="DJ100" i="216"/>
  <c r="R101" i="216"/>
  <c r="CL101" i="216"/>
  <c r="CB103" i="216"/>
  <c r="AX104" i="216"/>
  <c r="CB105" i="216"/>
  <c r="T107" i="216"/>
  <c r="BZ107" i="216"/>
  <c r="DX107" i="216"/>
  <c r="BW119" i="216"/>
  <c r="CM119" i="216"/>
  <c r="CH124" i="216"/>
  <c r="CL125" i="216"/>
  <c r="CL131" i="216"/>
  <c r="BL146" i="216"/>
  <c r="CB158" i="216"/>
  <c r="DF159" i="216"/>
  <c r="DP161" i="216"/>
  <c r="DI211" i="216"/>
  <c r="DB211" i="216"/>
  <c r="CT223" i="216"/>
  <c r="CY223" i="216"/>
  <c r="AJ228" i="216"/>
  <c r="EG228" i="216"/>
  <c r="T254" i="216"/>
  <c r="DS266" i="216"/>
  <c r="DL266" i="216"/>
  <c r="BF62" i="216"/>
  <c r="CR62" i="216"/>
  <c r="DN66" i="216"/>
  <c r="AB67" i="216"/>
  <c r="CT67" i="216"/>
  <c r="BH68" i="216"/>
  <c r="BP70" i="216"/>
  <c r="CF70" i="216"/>
  <c r="ED72" i="216"/>
  <c r="P74" i="216"/>
  <c r="AV74" i="216"/>
  <c r="Z76" i="216"/>
  <c r="BF87" i="216"/>
  <c r="BZ87" i="216"/>
  <c r="ED87" i="216"/>
  <c r="AL88" i="216"/>
  <c r="BF96" i="216"/>
  <c r="CF96" i="216"/>
  <c r="DB98" i="216"/>
  <c r="AD99" i="216"/>
  <c r="DD99" i="216"/>
  <c r="AL101" i="216"/>
  <c r="AX102" i="216"/>
  <c r="AR104" i="216"/>
  <c r="BP105" i="216"/>
  <c r="EE106" i="216"/>
  <c r="I107" i="213" s="1"/>
  <c r="BZ106" i="216"/>
  <c r="BV108" i="216"/>
  <c r="DD108" i="216"/>
  <c r="DC119" i="216"/>
  <c r="DR119" i="216"/>
  <c r="AX115" i="216"/>
  <c r="BC128" i="216"/>
  <c r="AX131" i="216"/>
  <c r="CB131" i="216"/>
  <c r="BH160" i="216"/>
  <c r="CH160" i="216"/>
  <c r="BB162" i="216"/>
  <c r="CA407" i="216"/>
  <c r="BZ166" i="216"/>
  <c r="CV224" i="216"/>
  <c r="CY224" i="216"/>
  <c r="CE292" i="216"/>
  <c r="BZ292" i="216"/>
  <c r="P63" i="216"/>
  <c r="AR66" i="216"/>
  <c r="EL68" i="216"/>
  <c r="BL71" i="216"/>
  <c r="BK71" i="216" s="1"/>
  <c r="CR72" i="216"/>
  <c r="DN74" i="216"/>
  <c r="R76" i="216"/>
  <c r="BL88" i="216"/>
  <c r="DV88" i="216"/>
  <c r="CR89" i="216"/>
  <c r="DP89" i="216"/>
  <c r="BH96" i="216"/>
  <c r="BB97" i="216"/>
  <c r="DJ97" i="216"/>
  <c r="BH99" i="216"/>
  <c r="DJ99" i="216"/>
  <c r="EL101" i="216"/>
  <c r="AR101" i="216"/>
  <c r="BN101" i="216"/>
  <c r="AV103" i="216"/>
  <c r="AL104" i="216"/>
  <c r="BR104" i="216"/>
  <c r="AB107" i="216"/>
  <c r="CF108" i="216"/>
  <c r="CP114" i="216"/>
  <c r="AM128" i="216"/>
  <c r="DW128" i="216"/>
  <c r="BQ136" i="216"/>
  <c r="Q136" i="216"/>
  <c r="P136" i="216" s="1"/>
  <c r="AB158" i="216"/>
  <c r="EG159" i="216"/>
  <c r="J151" i="213" s="1"/>
  <c r="BP159" i="216"/>
  <c r="ED160" i="216"/>
  <c r="BV164" i="216"/>
  <c r="AG203" i="216"/>
  <c r="Z203" i="216"/>
  <c r="DZ209" i="216"/>
  <c r="EP209" i="216"/>
  <c r="BL210" i="216"/>
  <c r="CY210" i="216"/>
  <c r="CR210" i="216"/>
  <c r="DJ219" i="216"/>
  <c r="DB219" i="216"/>
  <c r="AJ162" i="216"/>
  <c r="DD164" i="216"/>
  <c r="CH165" i="216"/>
  <c r="AL169" i="216"/>
  <c r="CF169" i="216"/>
  <c r="DB170" i="216"/>
  <c r="CH186" i="216"/>
  <c r="BD191" i="216"/>
  <c r="CP192" i="216"/>
  <c r="AX193" i="216"/>
  <c r="AH194" i="216"/>
  <c r="CR194" i="216"/>
  <c r="X198" i="216"/>
  <c r="EK198" i="216"/>
  <c r="CZ198" i="216"/>
  <c r="CZ199" i="216"/>
  <c r="DF199" i="216"/>
  <c r="DL200" i="216"/>
  <c r="BX204" i="216"/>
  <c r="AD207" i="216"/>
  <c r="CT209" i="216"/>
  <c r="BD210" i="216"/>
  <c r="BN211" i="216"/>
  <c r="BX212" i="216"/>
  <c r="DD212" i="216"/>
  <c r="DN215" i="216"/>
  <c r="BH218" i="216"/>
  <c r="DD218" i="216"/>
  <c r="CL220" i="216"/>
  <c r="CT221" i="216"/>
  <c r="P222" i="216"/>
  <c r="BP222" i="216"/>
  <c r="CJ222" i="216"/>
  <c r="AX223" i="216"/>
  <c r="AJ224" i="216"/>
  <c r="CJ224" i="216"/>
  <c r="CB226" i="216"/>
  <c r="DD229" i="216"/>
  <c r="T230" i="216"/>
  <c r="BR230" i="216"/>
  <c r="CJ230" i="216"/>
  <c r="DZ231" i="216"/>
  <c r="CT233" i="216"/>
  <c r="DV244" i="216"/>
  <c r="CL248" i="216"/>
  <c r="DJ248" i="216"/>
  <c r="DX255" i="216"/>
  <c r="AL256" i="216"/>
  <c r="DX263" i="216"/>
  <c r="BK298" i="216"/>
  <c r="BF298" i="216"/>
  <c r="DV359" i="216"/>
  <c r="BZ162" i="216"/>
  <c r="BB168" i="216"/>
  <c r="CF170" i="216"/>
  <c r="X172" i="216"/>
  <c r="BP182" i="216"/>
  <c r="CU183" i="216"/>
  <c r="DA188" i="216"/>
  <c r="DI188" i="216" s="1"/>
  <c r="CJ191" i="216"/>
  <c r="CZ191" i="216"/>
  <c r="R194" i="216"/>
  <c r="DN200" i="216"/>
  <c r="AB201" i="216"/>
  <c r="CR201" i="216"/>
  <c r="BZ203" i="216"/>
  <c r="AB204" i="216"/>
  <c r="BZ204" i="216"/>
  <c r="BP206" i="216"/>
  <c r="AR208" i="216"/>
  <c r="BP211" i="216"/>
  <c r="AB212" i="216"/>
  <c r="BZ212" i="216"/>
  <c r="AL215" i="216"/>
  <c r="AB218" i="216"/>
  <c r="DX218" i="216"/>
  <c r="R219" i="216"/>
  <c r="AX220" i="216"/>
  <c r="CF220" i="216"/>
  <c r="CP222" i="216"/>
  <c r="R223" i="216"/>
  <c r="AB226" i="216"/>
  <c r="CP230" i="216"/>
  <c r="AV232" i="216"/>
  <c r="CJ232" i="216"/>
  <c r="DD232" i="216"/>
  <c r="BZ243" i="216"/>
  <c r="DZ244" i="216"/>
  <c r="EP244" i="216"/>
  <c r="AR247" i="216"/>
  <c r="CJ250" i="216"/>
  <c r="BF294" i="216"/>
  <c r="EP302" i="216"/>
  <c r="ED302" i="216"/>
  <c r="AX162" i="216"/>
  <c r="BV162" i="216"/>
  <c r="Z164" i="216"/>
  <c r="AV164" i="216"/>
  <c r="CT164" i="216"/>
  <c r="DX164" i="216"/>
  <c r="DV165" i="216"/>
  <c r="BF168" i="216"/>
  <c r="AJ170" i="216"/>
  <c r="BL186" i="216"/>
  <c r="DX187" i="216"/>
  <c r="BX191" i="216"/>
  <c r="CL191" i="216"/>
  <c r="CV193" i="216"/>
  <c r="T194" i="216"/>
  <c r="CV194" i="216"/>
  <c r="R195" i="216"/>
  <c r="BZ195" i="216"/>
  <c r="CV196" i="216"/>
  <c r="BP198" i="216"/>
  <c r="CV199" i="216"/>
  <c r="AN200" i="216"/>
  <c r="AD201" i="216"/>
  <c r="AB203" i="216"/>
  <c r="AD204" i="216"/>
  <c r="BN204" i="216"/>
  <c r="CB204" i="216"/>
  <c r="CJ205" i="216"/>
  <c r="BR206" i="216"/>
  <c r="AX207" i="216"/>
  <c r="AD214" i="216"/>
  <c r="AN215" i="216"/>
  <c r="AD218" i="216"/>
  <c r="CZ218" i="216"/>
  <c r="T222" i="216"/>
  <c r="AN224" i="216"/>
  <c r="DJ224" i="216"/>
  <c r="EL232" i="216"/>
  <c r="AX232" i="216"/>
  <c r="DP240" i="216"/>
  <c r="X241" i="216"/>
  <c r="CT241" i="216"/>
  <c r="AN242" i="216"/>
  <c r="CB243" i="216"/>
  <c r="AN253" i="216"/>
  <c r="CV255" i="216"/>
  <c r="CL256" i="216"/>
  <c r="DB259" i="216"/>
  <c r="AQ261" i="216"/>
  <c r="AJ261" i="216"/>
  <c r="AR264" i="216"/>
  <c r="DP265" i="216"/>
  <c r="BH294" i="216"/>
  <c r="AB162" i="216"/>
  <c r="AU407" i="216"/>
  <c r="DF168" i="216"/>
  <c r="BN170" i="216"/>
  <c r="CJ172" i="216"/>
  <c r="R183" i="216"/>
  <c r="CL182" i="216"/>
  <c r="BR191" i="216"/>
  <c r="CJ196" i="216"/>
  <c r="AL198" i="216"/>
  <c r="BF198" i="216"/>
  <c r="DT200" i="216"/>
  <c r="R201" i="216"/>
  <c r="AD205" i="216"/>
  <c r="AL207" i="216"/>
  <c r="DD208" i="216"/>
  <c r="CL209" i="216"/>
  <c r="EG210" i="216"/>
  <c r="CB210" i="216"/>
  <c r="BF211" i="216"/>
  <c r="CL211" i="216"/>
  <c r="CF212" i="216"/>
  <c r="CT212" i="216"/>
  <c r="BH213" i="216"/>
  <c r="R214" i="216"/>
  <c r="DN214" i="216"/>
  <c r="R217" i="216"/>
  <c r="CJ217" i="216"/>
  <c r="R218" i="216"/>
  <c r="CV218" i="216"/>
  <c r="AN219" i="216"/>
  <c r="DD219" i="216"/>
  <c r="DX219" i="216"/>
  <c r="CT220" i="216"/>
  <c r="AL221" i="216"/>
  <c r="BF221" i="216"/>
  <c r="CL221" i="216"/>
  <c r="CJ223" i="216"/>
  <c r="T224" i="216"/>
  <c r="AD224" i="216"/>
  <c r="BP224" i="216"/>
  <c r="CL227" i="216"/>
  <c r="CV227" i="216"/>
  <c r="R231" i="216"/>
  <c r="AX231" i="216"/>
  <c r="BH232" i="216"/>
  <c r="CV232" i="216"/>
  <c r="EL234" i="216"/>
  <c r="AX237" i="216"/>
  <c r="AB238" i="216"/>
  <c r="CB240" i="216"/>
  <c r="DB242" i="216"/>
  <c r="DP242" i="216"/>
  <c r="CT243" i="216"/>
  <c r="AD245" i="216"/>
  <c r="Z250" i="216"/>
  <c r="BX256" i="216"/>
  <c r="BZ259" i="216"/>
  <c r="DF259" i="216"/>
  <c r="CL267" i="216"/>
  <c r="X296" i="216"/>
  <c r="W296" i="216" s="1"/>
  <c r="AJ296" i="216"/>
  <c r="CJ164" i="216"/>
  <c r="BJ407" i="216"/>
  <c r="CJ166" i="216"/>
  <c r="AT168" i="216"/>
  <c r="CV168" i="216"/>
  <c r="BH182" i="216"/>
  <c r="BV191" i="216"/>
  <c r="CB191" i="216"/>
  <c r="R192" i="216"/>
  <c r="P193" i="216"/>
  <c r="AT193" i="216"/>
  <c r="CF193" i="216"/>
  <c r="CL196" i="216"/>
  <c r="BP197" i="216"/>
  <c r="AN198" i="216"/>
  <c r="DP199" i="216"/>
  <c r="AB202" i="216"/>
  <c r="DD202" i="216"/>
  <c r="BF204" i="216"/>
  <c r="AB206" i="216"/>
  <c r="AN207" i="216"/>
  <c r="DD207" i="216"/>
  <c r="R210" i="216"/>
  <c r="CZ210" i="216"/>
  <c r="CV212" i="216"/>
  <c r="BZ213" i="216"/>
  <c r="T214" i="216"/>
  <c r="AD215" i="216"/>
  <c r="T218" i="216"/>
  <c r="CP218" i="216"/>
  <c r="Z219" i="216"/>
  <c r="DF219" i="216"/>
  <c r="DF220" i="216"/>
  <c r="BH221" i="216"/>
  <c r="DD221" i="216"/>
  <c r="DD222" i="216"/>
  <c r="AL223" i="216"/>
  <c r="CT225" i="216"/>
  <c r="BP226" i="216"/>
  <c r="CV226" i="216"/>
  <c r="T227" i="216"/>
  <c r="BR227" i="216"/>
  <c r="AV228" i="216"/>
  <c r="CV228" i="216"/>
  <c r="DP229" i="216"/>
  <c r="AD231" i="216"/>
  <c r="DN231" i="216"/>
  <c r="AN232" i="216"/>
  <c r="EL237" i="216"/>
  <c r="CL237" i="216"/>
  <c r="CZ240" i="216"/>
  <c r="CL241" i="216"/>
  <c r="DD242" i="216"/>
  <c r="CV243" i="216"/>
  <c r="DP244" i="216"/>
  <c r="T248" i="216"/>
  <c r="CH249" i="216"/>
  <c r="AT256" i="216"/>
  <c r="CV258" i="216"/>
  <c r="AD259" i="216"/>
  <c r="BN259" i="216"/>
  <c r="AN267" i="216"/>
  <c r="CJ268" i="216"/>
  <c r="DJ286" i="216"/>
  <c r="AH292" i="216"/>
  <c r="AT292" i="216"/>
  <c r="ED299" i="216"/>
  <c r="AH162" i="216"/>
  <c r="CJ162" i="216"/>
  <c r="AH163" i="216"/>
  <c r="BF163" i="216"/>
  <c r="DJ163" i="216"/>
  <c r="CB165" i="216"/>
  <c r="BL166" i="216"/>
  <c r="DL167" i="216"/>
  <c r="CJ168" i="216"/>
  <c r="CJ169" i="216"/>
  <c r="CO182" i="216"/>
  <c r="BL187" i="216"/>
  <c r="AH191" i="216"/>
  <c r="CT191" i="216"/>
  <c r="BB192" i="216"/>
  <c r="R193" i="216"/>
  <c r="BR195" i="216"/>
  <c r="CV195" i="216"/>
  <c r="BR197" i="216"/>
  <c r="BH198" i="216"/>
  <c r="CL201" i="216"/>
  <c r="AD202" i="216"/>
  <c r="AD206" i="216"/>
  <c r="DF207" i="216"/>
  <c r="DF209" i="216"/>
  <c r="T210" i="216"/>
  <c r="CT210" i="216"/>
  <c r="DD211" i="216"/>
  <c r="EL212" i="216"/>
  <c r="DT212" i="216"/>
  <c r="DF222" i="216"/>
  <c r="AN223" i="216"/>
  <c r="DZ223" i="216"/>
  <c r="CV225" i="216"/>
  <c r="EL226" i="216"/>
  <c r="BR226" i="216"/>
  <c r="CP226" i="216"/>
  <c r="AX228" i="216"/>
  <c r="CL231" i="216"/>
  <c r="CB233" i="216"/>
  <c r="AN241" i="216"/>
  <c r="BL241" i="216"/>
  <c r="BR241" i="216"/>
  <c r="DF242" i="216"/>
  <c r="CP249" i="216"/>
  <c r="AD250" i="216"/>
  <c r="BV250" i="216"/>
  <c r="CV279" i="216"/>
  <c r="CY279" i="216"/>
  <c r="DJ291" i="216"/>
  <c r="AT249" i="216"/>
  <c r="DV249" i="216"/>
  <c r="CP250" i="216"/>
  <c r="CR250" i="216"/>
  <c r="CT252" i="216"/>
  <c r="AB253" i="216"/>
  <c r="BR253" i="216"/>
  <c r="BF254" i="216"/>
  <c r="BD258" i="216"/>
  <c r="AV260" i="216"/>
  <c r="CZ261" i="216"/>
  <c r="CZ262" i="216"/>
  <c r="DL264" i="216"/>
  <c r="DN265" i="216"/>
  <c r="T266" i="216"/>
  <c r="BV266" i="216"/>
  <c r="AN268" i="216"/>
  <c r="BN269" i="216"/>
  <c r="DX269" i="216"/>
  <c r="BZ277" i="216"/>
  <c r="DL279" i="216"/>
  <c r="BX281" i="216"/>
  <c r="EL286" i="216"/>
  <c r="AJ295" i="216"/>
  <c r="DP295" i="216"/>
  <c r="CZ296" i="216"/>
  <c r="DB307" i="216"/>
  <c r="BX341" i="216"/>
  <c r="DS371" i="216"/>
  <c r="DN371" i="216"/>
  <c r="P234" i="216"/>
  <c r="BN239" i="216"/>
  <c r="CJ241" i="216"/>
  <c r="BN242" i="216"/>
  <c r="BP243" i="216"/>
  <c r="BH244" i="216"/>
  <c r="R245" i="216"/>
  <c r="AB247" i="216"/>
  <c r="BD250" i="216"/>
  <c r="Z251" i="216"/>
  <c r="AB252" i="216"/>
  <c r="AR252" i="216"/>
  <c r="BH254" i="216"/>
  <c r="AN256" i="216"/>
  <c r="BR256" i="216"/>
  <c r="CP256" i="216"/>
  <c r="AT257" i="216"/>
  <c r="CR257" i="216"/>
  <c r="CL258" i="216"/>
  <c r="AX260" i="216"/>
  <c r="DX260" i="216"/>
  <c r="CT261" i="216"/>
  <c r="BN262" i="216"/>
  <c r="P263" i="216"/>
  <c r="BZ263" i="216"/>
  <c r="AH264" i="216"/>
  <c r="BF264" i="216"/>
  <c r="BH265" i="216"/>
  <c r="CL269" i="216"/>
  <c r="CV269" i="216"/>
  <c r="CB277" i="216"/>
  <c r="T279" i="216"/>
  <c r="CJ279" i="216"/>
  <c r="T281" i="216"/>
  <c r="CF287" i="216"/>
  <c r="AX292" i="216"/>
  <c r="CT294" i="216"/>
  <c r="AL295" i="216"/>
  <c r="CZ295" i="216"/>
  <c r="AN296" i="216"/>
  <c r="BL296" i="216"/>
  <c r="CT306" i="216"/>
  <c r="DC413" i="216"/>
  <c r="DJ334" i="216"/>
  <c r="DJ413" i="216" s="1"/>
  <c r="AD235" i="216"/>
  <c r="AV236" i="216"/>
  <c r="DF240" i="216"/>
  <c r="AL241" i="216"/>
  <c r="BP241" i="216"/>
  <c r="DF241" i="216"/>
  <c r="T243" i="216"/>
  <c r="BR243" i="216"/>
  <c r="AN244" i="216"/>
  <c r="BR245" i="216"/>
  <c r="AL246" i="216"/>
  <c r="DP246" i="216"/>
  <c r="AD247" i="216"/>
  <c r="CB247" i="216"/>
  <c r="CB248" i="216"/>
  <c r="CV250" i="216"/>
  <c r="BZ251" i="216"/>
  <c r="DF251" i="216"/>
  <c r="AH252" i="216"/>
  <c r="CT253" i="216"/>
  <c r="CJ256" i="216"/>
  <c r="DD256" i="216"/>
  <c r="R257" i="216"/>
  <c r="AL257" i="216"/>
  <c r="CJ260" i="216"/>
  <c r="AB264" i="216"/>
  <c r="BH264" i="216"/>
  <c r="DJ264" i="216"/>
  <c r="BZ265" i="216"/>
  <c r="AL269" i="216"/>
  <c r="BF269" i="216"/>
  <c r="EG279" i="216"/>
  <c r="CL279" i="216"/>
  <c r="DD279" i="216"/>
  <c r="DP279" i="216"/>
  <c r="DX281" i="216"/>
  <c r="DN291" i="216"/>
  <c r="AL292" i="216"/>
  <c r="CB292" i="216"/>
  <c r="T294" i="216"/>
  <c r="AR295" i="216"/>
  <c r="CJ295" i="216"/>
  <c r="CL296" i="216"/>
  <c r="CR297" i="216"/>
  <c r="R298" i="216"/>
  <c r="BH298" i="216"/>
  <c r="CT298" i="216"/>
  <c r="DX298" i="216"/>
  <c r="T299" i="216"/>
  <c r="DN299" i="216"/>
  <c r="CP312" i="216"/>
  <c r="EL260" i="216"/>
  <c r="BH260" i="216"/>
  <c r="DP264" i="216"/>
  <c r="DP268" i="216"/>
  <c r="BL269" i="216"/>
  <c r="AN280" i="216"/>
  <c r="BB287" i="216"/>
  <c r="AT296" i="216"/>
  <c r="CB297" i="216"/>
  <c r="CZ297" i="216"/>
  <c r="T298" i="216"/>
  <c r="DC416" i="216"/>
  <c r="DB338" i="216"/>
  <c r="AQ309" i="216"/>
  <c r="AN309" i="216"/>
  <c r="R237" i="216"/>
  <c r="AL239" i="216"/>
  <c r="BX240" i="216"/>
  <c r="R242" i="216"/>
  <c r="AN243" i="216"/>
  <c r="BH243" i="216"/>
  <c r="BX243" i="216"/>
  <c r="AT244" i="216"/>
  <c r="CJ244" i="216"/>
  <c r="CL245" i="216"/>
  <c r="CB246" i="216"/>
  <c r="EK247" i="216"/>
  <c r="CV249" i="216"/>
  <c r="DJ250" i="216"/>
  <c r="AX251" i="216"/>
  <c r="DP253" i="216"/>
  <c r="CJ254" i="216"/>
  <c r="CR254" i="216"/>
  <c r="AD255" i="216"/>
  <c r="AV256" i="216"/>
  <c r="CB256" i="216"/>
  <c r="DF256" i="216"/>
  <c r="AD257" i="216"/>
  <c r="BN258" i="216"/>
  <c r="CR258" i="216"/>
  <c r="Z259" i="216"/>
  <c r="BF260" i="216"/>
  <c r="CV260" i="216"/>
  <c r="AD261" i="216"/>
  <c r="CL261" i="216"/>
  <c r="DP261" i="216"/>
  <c r="AR262" i="216"/>
  <c r="CL262" i="216"/>
  <c r="AX264" i="216"/>
  <c r="CF264" i="216"/>
  <c r="CZ265" i="216"/>
  <c r="CH267" i="216"/>
  <c r="AB268" i="216"/>
  <c r="AQ268" i="216"/>
  <c r="BR268" i="216"/>
  <c r="CP268" i="216"/>
  <c r="R269" i="216"/>
  <c r="DB276" i="216"/>
  <c r="CJ277" i="216"/>
  <c r="DD277" i="216"/>
  <c r="BH281" i="216"/>
  <c r="BR281" i="216"/>
  <c r="Z291" i="216"/>
  <c r="CB291" i="216"/>
  <c r="CH292" i="216"/>
  <c r="BH293" i="216"/>
  <c r="DL293" i="216"/>
  <c r="P296" i="216"/>
  <c r="AV296" i="216"/>
  <c r="CB296" i="216"/>
  <c r="DF296" i="216"/>
  <c r="CP299" i="216"/>
  <c r="CF300" i="216"/>
  <c r="DZ360" i="216"/>
  <c r="EP360" i="216"/>
  <c r="AJ301" i="216"/>
  <c r="Z302" i="216"/>
  <c r="CB304" i="216"/>
  <c r="CZ305" i="216"/>
  <c r="DX305" i="216"/>
  <c r="CF310" i="216"/>
  <c r="AJ311" i="216"/>
  <c r="AV311" i="216"/>
  <c r="DD312" i="216"/>
  <c r="CJ314" i="216"/>
  <c r="DL314" i="216"/>
  <c r="BN316" i="216"/>
  <c r="DP316" i="216"/>
  <c r="CH317" i="216"/>
  <c r="DX317" i="216"/>
  <c r="CJ318" i="216"/>
  <c r="EG319" i="216"/>
  <c r="DD319" i="216"/>
  <c r="Z320" i="216"/>
  <c r="BF321" i="216"/>
  <c r="BZ321" i="216"/>
  <c r="DL323" i="216"/>
  <c r="DZ323" i="216"/>
  <c r="BX324" i="216"/>
  <c r="Z325" i="216"/>
  <c r="DB325" i="216"/>
  <c r="DD326" i="216"/>
  <c r="P335" i="216"/>
  <c r="CR335" i="216"/>
  <c r="DX335" i="216"/>
  <c r="BD338" i="216"/>
  <c r="EL339" i="216"/>
  <c r="AJ339" i="216"/>
  <c r="CL339" i="216"/>
  <c r="DB339" i="216"/>
  <c r="X340" i="216"/>
  <c r="W340" i="216" s="1"/>
  <c r="DK344" i="216"/>
  <c r="AB359" i="216"/>
  <c r="CF359" i="216"/>
  <c r="AJ360" i="216"/>
  <c r="DL360" i="216"/>
  <c r="BK361" i="216"/>
  <c r="AB362" i="216"/>
  <c r="AB363" i="216"/>
  <c r="P364" i="216"/>
  <c r="BP364" i="216"/>
  <c r="DV369" i="216"/>
  <c r="AZ377" i="216"/>
  <c r="DD370" i="216"/>
  <c r="DL371" i="216"/>
  <c r="DZ371" i="216"/>
  <c r="BL373" i="216"/>
  <c r="DB373" i="216"/>
  <c r="DX383" i="216"/>
  <c r="CF391" i="216"/>
  <c r="DD392" i="216"/>
  <c r="DX321" i="216"/>
  <c r="AB325" i="216"/>
  <c r="AH326" i="216"/>
  <c r="R335" i="216"/>
  <c r="CT335" i="216"/>
  <c r="AL339" i="216"/>
  <c r="AV341" i="216"/>
  <c r="AL360" i="216"/>
  <c r="DD361" i="216"/>
  <c r="AL364" i="216"/>
  <c r="DX369" i="216"/>
  <c r="DX390" i="216"/>
  <c r="DD391" i="216"/>
  <c r="BZ392" i="216"/>
  <c r="CV301" i="216"/>
  <c r="DF303" i="216"/>
  <c r="X304" i="216"/>
  <c r="W304" i="216" s="1"/>
  <c r="AX304" i="216"/>
  <c r="CH304" i="216"/>
  <c r="BR305" i="216"/>
  <c r="AN306" i="216"/>
  <c r="CV306" i="216"/>
  <c r="T308" i="216"/>
  <c r="DJ308" i="216"/>
  <c r="BL309" i="216"/>
  <c r="CF309" i="216"/>
  <c r="DL313" i="216"/>
  <c r="BH314" i="216"/>
  <c r="CB315" i="216"/>
  <c r="CF318" i="216"/>
  <c r="CB319" i="216"/>
  <c r="CZ319" i="216"/>
  <c r="AH321" i="216"/>
  <c r="AN322" i="216"/>
  <c r="BR323" i="216"/>
  <c r="BZ324" i="216"/>
  <c r="DP324" i="216"/>
  <c r="BX332" i="216"/>
  <c r="DL335" i="216"/>
  <c r="BZ338" i="216"/>
  <c r="Z339" i="216"/>
  <c r="AN339" i="216"/>
  <c r="DF339" i="216"/>
  <c r="BZ340" i="216"/>
  <c r="AX341" i="216"/>
  <c r="DV341" i="216"/>
  <c r="CI366" i="216"/>
  <c r="DX359" i="216"/>
  <c r="CJ360" i="216"/>
  <c r="BN362" i="216"/>
  <c r="CR363" i="216"/>
  <c r="BL364" i="216"/>
  <c r="BR370" i="216"/>
  <c r="DL372" i="216"/>
  <c r="DZ373" i="216"/>
  <c r="DF381" i="216"/>
  <c r="DV381" i="216"/>
  <c r="T382" i="216"/>
  <c r="T383" i="216"/>
  <c r="Z391" i="216"/>
  <c r="BV391" i="216"/>
  <c r="DF391" i="216"/>
  <c r="CB392" i="216"/>
  <c r="CF302" i="216"/>
  <c r="AB306" i="216"/>
  <c r="CV308" i="216"/>
  <c r="DD309" i="216"/>
  <c r="CJ313" i="216"/>
  <c r="BZ314" i="216"/>
  <c r="DN315" i="216"/>
  <c r="BP319" i="216"/>
  <c r="CF319" i="216"/>
  <c r="CT319" i="216"/>
  <c r="BZ320" i="216"/>
  <c r="EL321" i="216"/>
  <c r="CB324" i="216"/>
  <c r="DD324" i="216"/>
  <c r="EK326" i="216"/>
  <c r="DZ334" i="216"/>
  <c r="DN335" i="216"/>
  <c r="EK341" i="216"/>
  <c r="AH363" i="216"/>
  <c r="CT363" i="216"/>
  <c r="AL369" i="216"/>
  <c r="AB370" i="216"/>
  <c r="DP371" i="216"/>
  <c r="DN372" i="216"/>
  <c r="CT373" i="216"/>
  <c r="CT381" i="216"/>
  <c r="DY387" i="216"/>
  <c r="DX382" i="216"/>
  <c r="AB391" i="216"/>
  <c r="CT391" i="216"/>
  <c r="Z300" i="216"/>
  <c r="CV300" i="216"/>
  <c r="AB301" i="216"/>
  <c r="CJ301" i="216"/>
  <c r="AL302" i="216"/>
  <c r="BZ302" i="216"/>
  <c r="CT303" i="216"/>
  <c r="AD304" i="216"/>
  <c r="BD304" i="216"/>
  <c r="DF304" i="216"/>
  <c r="AD305" i="216"/>
  <c r="BF305" i="216"/>
  <c r="DP305" i="216"/>
  <c r="AX307" i="216"/>
  <c r="BH309" i="216"/>
  <c r="BV309" i="216"/>
  <c r="AN311" i="216"/>
  <c r="CH312" i="216"/>
  <c r="CV312" i="216"/>
  <c r="BB313" i="216"/>
  <c r="CL313" i="216"/>
  <c r="DP313" i="216"/>
  <c r="AV314" i="216"/>
  <c r="CZ314" i="216"/>
  <c r="AL315" i="216"/>
  <c r="BF316" i="216"/>
  <c r="CZ316" i="216"/>
  <c r="DP317" i="216"/>
  <c r="AL319" i="216"/>
  <c r="BR319" i="216"/>
  <c r="CB320" i="216"/>
  <c r="DN321" i="216"/>
  <c r="DN322" i="216"/>
  <c r="EL323" i="216"/>
  <c r="DF324" i="216"/>
  <c r="AX325" i="216"/>
  <c r="DB335" i="216"/>
  <c r="AD339" i="216"/>
  <c r="AL340" i="216"/>
  <c r="AT359" i="216"/>
  <c r="BH359" i="216"/>
  <c r="BX360" i="216"/>
  <c r="BP361" i="216"/>
  <c r="CV363" i="216"/>
  <c r="AV364" i="216"/>
  <c r="BH370" i="216"/>
  <c r="CV370" i="216"/>
  <c r="DB372" i="216"/>
  <c r="DL373" i="216"/>
  <c r="AZ387" i="216"/>
  <c r="DP383" i="216"/>
  <c r="AJ390" i="216"/>
  <c r="BR390" i="216"/>
  <c r="CP390" i="216"/>
  <c r="CL392" i="216"/>
  <c r="DP299" i="216"/>
  <c r="AN300" i="216"/>
  <c r="CJ300" i="216"/>
  <c r="CL301" i="216"/>
  <c r="CV303" i="216"/>
  <c r="R306" i="216"/>
  <c r="CL306" i="216"/>
  <c r="CV307" i="216"/>
  <c r="AR309" i="216"/>
  <c r="CR309" i="216"/>
  <c r="DT310" i="216"/>
  <c r="CT311" i="216"/>
  <c r="DL311" i="216"/>
  <c r="CJ312" i="216"/>
  <c r="AV313" i="216"/>
  <c r="AX314" i="216"/>
  <c r="Z315" i="216"/>
  <c r="BD315" i="216"/>
  <c r="AD316" i="216"/>
  <c r="BH316" i="216"/>
  <c r="AN319" i="216"/>
  <c r="BL319" i="216"/>
  <c r="CJ321" i="216"/>
  <c r="DP321" i="216"/>
  <c r="CJ322" i="216"/>
  <c r="AB324" i="216"/>
  <c r="CT324" i="216"/>
  <c r="Z333" i="216"/>
  <c r="AN333" i="216"/>
  <c r="CV339" i="216"/>
  <c r="AN340" i="216"/>
  <c r="CT340" i="216"/>
  <c r="DX340" i="216"/>
  <c r="DL341" i="216"/>
  <c r="BZ358" i="216"/>
  <c r="R359" i="216"/>
  <c r="AV359" i="216"/>
  <c r="CJ359" i="216"/>
  <c r="DP359" i="216"/>
  <c r="BZ360" i="216"/>
  <c r="BF361" i="216"/>
  <c r="BR361" i="216"/>
  <c r="CZ361" i="216"/>
  <c r="BR363" i="216"/>
  <c r="DN363" i="216"/>
  <c r="AB369" i="216"/>
  <c r="AV371" i="216"/>
  <c r="BD373" i="216"/>
  <c r="DN373" i="216"/>
  <c r="DW377" i="216"/>
  <c r="DX380" i="216"/>
  <c r="BX381" i="216"/>
  <c r="EB387" i="216"/>
  <c r="AL390" i="216"/>
  <c r="BF390" i="216"/>
  <c r="AD391" i="216"/>
  <c r="AR391" i="216"/>
  <c r="DZ391" i="216"/>
  <c r="EL392" i="216"/>
  <c r="AL392" i="216"/>
  <c r="CF301" i="216"/>
  <c r="BV302" i="216"/>
  <c r="DJ302" i="216"/>
  <c r="DP308" i="216"/>
  <c r="CV311" i="216"/>
  <c r="CL312" i="216"/>
  <c r="DF312" i="216"/>
  <c r="DP312" i="216"/>
  <c r="CV314" i="216"/>
  <c r="AR319" i="216"/>
  <c r="AX320" i="216"/>
  <c r="CL320" i="216"/>
  <c r="CL321" i="216"/>
  <c r="DF323" i="216"/>
  <c r="AD324" i="216"/>
  <c r="AR324" i="216"/>
  <c r="BR325" i="216"/>
  <c r="CL334" i="216"/>
  <c r="CV340" i="216"/>
  <c r="CL359" i="216"/>
  <c r="CB360" i="216"/>
  <c r="BL361" i="216"/>
  <c r="CZ363" i="216"/>
  <c r="DO387" i="216"/>
  <c r="AN390" i="216"/>
  <c r="AN392" i="216"/>
  <c r="DP392" i="216"/>
  <c r="BF240" i="216"/>
  <c r="BN15" i="216"/>
  <c r="BV15" i="216"/>
  <c r="DZ16" i="216"/>
  <c r="EP16" i="216"/>
  <c r="DB17" i="216"/>
  <c r="DJ17" i="216"/>
  <c r="BB29" i="216"/>
  <c r="AX29" i="216"/>
  <c r="DI29" i="216"/>
  <c r="DD29" i="216"/>
  <c r="AG44" i="216"/>
  <c r="AD44" i="216"/>
  <c r="DD51" i="216"/>
  <c r="DB51" i="216"/>
  <c r="AH85" i="216"/>
  <c r="AB85" i="216"/>
  <c r="BL108" i="216"/>
  <c r="BD108" i="216"/>
  <c r="CT33" i="216"/>
  <c r="DX198" i="216"/>
  <c r="DD225" i="216"/>
  <c r="DN250" i="216"/>
  <c r="BF253" i="216"/>
  <c r="DX266" i="216"/>
  <c r="DD293" i="216"/>
  <c r="CN26" i="216"/>
  <c r="ED13" i="216"/>
  <c r="CJ14" i="216"/>
  <c r="AQ15" i="216"/>
  <c r="AJ15" i="216"/>
  <c r="EL17" i="216"/>
  <c r="AR17" i="216"/>
  <c r="CH17" i="216"/>
  <c r="CT17" i="216"/>
  <c r="EL18" i="216"/>
  <c r="Z19" i="216"/>
  <c r="CV19" i="216"/>
  <c r="DJ19" i="216"/>
  <c r="DX19" i="216"/>
  <c r="AT21" i="216"/>
  <c r="EK25" i="216"/>
  <c r="T25" i="216"/>
  <c r="AO40" i="216"/>
  <c r="AN29" i="216"/>
  <c r="CP29" i="216"/>
  <c r="DB29" i="216"/>
  <c r="DY40" i="216"/>
  <c r="ED29" i="216"/>
  <c r="DX29" i="216"/>
  <c r="DX32" i="216"/>
  <c r="AT34" i="216"/>
  <c r="DD37" i="216"/>
  <c r="Z44" i="216"/>
  <c r="R46" i="216"/>
  <c r="Z48" i="216"/>
  <c r="CR48" i="216"/>
  <c r="DI48" i="216"/>
  <c r="EI54" i="216"/>
  <c r="BF56" i="216"/>
  <c r="CL60" i="216"/>
  <c r="CO60" i="216"/>
  <c r="CO61" i="216"/>
  <c r="CJ61" i="216"/>
  <c r="BX62" i="216"/>
  <c r="BH64" i="216"/>
  <c r="BX66" i="216"/>
  <c r="BZ66" i="216"/>
  <c r="EL66" i="216"/>
  <c r="AD71" i="216"/>
  <c r="DD74" i="216"/>
  <c r="DF74" i="216"/>
  <c r="DT76" i="216"/>
  <c r="DL76" i="216"/>
  <c r="AJ97" i="216"/>
  <c r="AR97" i="216"/>
  <c r="EG108" i="216"/>
  <c r="J112" i="213" s="1"/>
  <c r="P108" i="216"/>
  <c r="DX203" i="216"/>
  <c r="DN206" i="216"/>
  <c r="DX220" i="216"/>
  <c r="DN235" i="216"/>
  <c r="BZ278" i="216"/>
  <c r="CT278" i="216"/>
  <c r="EG12" i="216"/>
  <c r="J15" i="213" s="1"/>
  <c r="AH14" i="216"/>
  <c r="BF14" i="216"/>
  <c r="CL14" i="216"/>
  <c r="DJ14" i="216"/>
  <c r="EE15" i="216"/>
  <c r="DN15" i="216"/>
  <c r="DX15" i="216"/>
  <c r="X17" i="216"/>
  <c r="W17" i="216" s="1"/>
  <c r="AH17" i="216"/>
  <c r="CJ17" i="216"/>
  <c r="AB19" i="216"/>
  <c r="BB19" i="216"/>
  <c r="AX21" i="216"/>
  <c r="AD23" i="216"/>
  <c r="BB23" i="216"/>
  <c r="DF23" i="216"/>
  <c r="BF32" i="216"/>
  <c r="BV35" i="216"/>
  <c r="BU35" i="216" s="1"/>
  <c r="EI37" i="216"/>
  <c r="K42" i="213" s="1"/>
  <c r="DF37" i="216"/>
  <c r="EG45" i="216"/>
  <c r="J49" i="213" s="1"/>
  <c r="P45" i="216"/>
  <c r="EL48" i="216"/>
  <c r="BR48" i="216"/>
  <c r="CT48" i="216"/>
  <c r="BF49" i="216"/>
  <c r="CL52" i="216"/>
  <c r="T54" i="216"/>
  <c r="BH56" i="216"/>
  <c r="CH68" i="216"/>
  <c r="CP68" i="216"/>
  <c r="AH99" i="216"/>
  <c r="Z99" i="216"/>
  <c r="BH14" i="216"/>
  <c r="EE17" i="216"/>
  <c r="EZ17" i="216" s="1"/>
  <c r="AT17" i="216"/>
  <c r="CV17" i="216"/>
  <c r="DL19" i="216"/>
  <c r="CH21" i="216"/>
  <c r="EK22" i="216"/>
  <c r="L25" i="213" s="1"/>
  <c r="CZ23" i="216"/>
  <c r="AH29" i="216"/>
  <c r="DF29" i="216"/>
  <c r="AN30" i="216"/>
  <c r="CJ30" i="216"/>
  <c r="BX32" i="216"/>
  <c r="EP32" i="216"/>
  <c r="DZ32" i="216"/>
  <c r="AH34" i="216"/>
  <c r="DD34" i="216"/>
  <c r="DX36" i="216"/>
  <c r="T37" i="216"/>
  <c r="CH37" i="216"/>
  <c r="CP47" i="216"/>
  <c r="DL52" i="216"/>
  <c r="CY53" i="216"/>
  <c r="CR53" i="216"/>
  <c r="AT56" i="216"/>
  <c r="BW82" i="216"/>
  <c r="BV59" i="216"/>
  <c r="BU59" i="216" s="1"/>
  <c r="DN60" i="216"/>
  <c r="CH64" i="216"/>
  <c r="CZ64" i="216"/>
  <c r="CV70" i="216"/>
  <c r="CR70" i="216"/>
  <c r="DD70" i="216"/>
  <c r="EG99" i="216"/>
  <c r="J100" i="213" s="1"/>
  <c r="P99" i="216"/>
  <c r="BP209" i="216"/>
  <c r="DX216" i="216"/>
  <c r="DN222" i="216"/>
  <c r="BF236" i="216"/>
  <c r="BF261" i="216"/>
  <c r="M117" i="213"/>
  <c r="CD26" i="216"/>
  <c r="CW26" i="216"/>
  <c r="EE13" i="216"/>
  <c r="I16" i="213" s="1"/>
  <c r="BB14" i="216"/>
  <c r="BZ14" i="216"/>
  <c r="AB15" i="216"/>
  <c r="DP15" i="216"/>
  <c r="EP15" i="216"/>
  <c r="DZ15" i="216"/>
  <c r="EI19" i="216"/>
  <c r="X19" i="216"/>
  <c r="W19" i="216" s="1"/>
  <c r="R19" i="216"/>
  <c r="AD19" i="216"/>
  <c r="BD19" i="216"/>
  <c r="BL19" i="216"/>
  <c r="DN19" i="216"/>
  <c r="ED19" i="216"/>
  <c r="EG21" i="216"/>
  <c r="J24" i="213" s="1"/>
  <c r="CJ21" i="216"/>
  <c r="ED21" i="216"/>
  <c r="DX21" i="216"/>
  <c r="EL22" i="216"/>
  <c r="BF29" i="216"/>
  <c r="BV29" i="216"/>
  <c r="BP29" i="216"/>
  <c r="CC40" i="216"/>
  <c r="CB29" i="216"/>
  <c r="BZ32" i="216"/>
  <c r="EL32" i="216"/>
  <c r="AX34" i="216"/>
  <c r="DP35" i="216"/>
  <c r="BN36" i="216"/>
  <c r="CT37" i="216"/>
  <c r="EJ38" i="216"/>
  <c r="DW82" i="216"/>
  <c r="ED44" i="216"/>
  <c r="Z46" i="216"/>
  <c r="BF47" i="216"/>
  <c r="BZ47" i="216"/>
  <c r="DN48" i="216"/>
  <c r="DS50" i="216"/>
  <c r="DP50" i="216"/>
  <c r="AV51" i="216"/>
  <c r="DN52" i="216"/>
  <c r="CZ53" i="216"/>
  <c r="BH59" i="216"/>
  <c r="DP60" i="216"/>
  <c r="T62" i="216"/>
  <c r="P62" i="216"/>
  <c r="AB62" i="216"/>
  <c r="CL64" i="216"/>
  <c r="CB72" i="216"/>
  <c r="BZ72" i="216"/>
  <c r="DZ96" i="216"/>
  <c r="EP96" i="216"/>
  <c r="AD105" i="216"/>
  <c r="Z105" i="216"/>
  <c r="DN227" i="216"/>
  <c r="AV243" i="216"/>
  <c r="N209" i="213"/>
  <c r="EG14" i="216"/>
  <c r="J17" i="213" s="1"/>
  <c r="EI15" i="216"/>
  <c r="K18" i="213" s="1"/>
  <c r="R15" i="216"/>
  <c r="EG17" i="216"/>
  <c r="J20" i="213" s="1"/>
  <c r="EK21" i="216"/>
  <c r="L24" i="213" s="1"/>
  <c r="T21" i="216"/>
  <c r="DT23" i="216"/>
  <c r="AE26" i="216"/>
  <c r="CZ32" i="216"/>
  <c r="AG48" i="216"/>
  <c r="BB48" i="216"/>
  <c r="AG52" i="216"/>
  <c r="AD52" i="216"/>
  <c r="Z52" i="216"/>
  <c r="CL56" i="216"/>
  <c r="CH56" i="216"/>
  <c r="EI70" i="216"/>
  <c r="K74" i="213" s="1"/>
  <c r="R70" i="216"/>
  <c r="EG72" i="216"/>
  <c r="J76" i="213" s="1"/>
  <c r="X72" i="216"/>
  <c r="W72" i="216" s="1"/>
  <c r="P72" i="216"/>
  <c r="CB76" i="216"/>
  <c r="CF76" i="216"/>
  <c r="DJ76" i="216"/>
  <c r="DD76" i="216"/>
  <c r="BL89" i="216"/>
  <c r="BD89" i="216"/>
  <c r="DV103" i="216"/>
  <c r="ED103" i="216"/>
  <c r="DI187" i="216"/>
  <c r="DF187" i="216"/>
  <c r="DT187" i="216"/>
  <c r="DN187" i="216"/>
  <c r="DN203" i="216"/>
  <c r="BF248" i="216"/>
  <c r="DX259" i="216"/>
  <c r="DN33" i="216"/>
  <c r="AV212" i="216"/>
  <c r="DN221" i="216"/>
  <c r="BF223" i="216"/>
  <c r="DX230" i="216"/>
  <c r="DN259" i="216"/>
  <c r="DX261" i="216"/>
  <c r="CP12" i="216"/>
  <c r="EG13" i="216"/>
  <c r="CP13" i="216"/>
  <c r="DZ13" i="216"/>
  <c r="DZ14" i="216"/>
  <c r="T15" i="216"/>
  <c r="BL15" i="216"/>
  <c r="DJ15" i="216"/>
  <c r="AD16" i="216"/>
  <c r="AX16" i="216"/>
  <c r="BR16" i="216"/>
  <c r="CJ16" i="216"/>
  <c r="R17" i="216"/>
  <c r="AB17" i="216"/>
  <c r="AL17" i="216"/>
  <c r="CP17" i="216"/>
  <c r="EE18" i="216"/>
  <c r="I21" i="213" s="1"/>
  <c r="DB19" i="216"/>
  <c r="DT19" i="216"/>
  <c r="CL20" i="216"/>
  <c r="DF20" i="216"/>
  <c r="DX20" i="216"/>
  <c r="AN21" i="216"/>
  <c r="AG29" i="216"/>
  <c r="AD29" i="216"/>
  <c r="CZ29" i="216"/>
  <c r="DJ29" i="216"/>
  <c r="AB35" i="216"/>
  <c r="CF37" i="216"/>
  <c r="DB44" i="216"/>
  <c r="AJ48" i="216"/>
  <c r="AL48" i="216"/>
  <c r="DB48" i="216"/>
  <c r="CJ50" i="216"/>
  <c r="AH54" i="216"/>
  <c r="BB55" i="216"/>
  <c r="DB62" i="216"/>
  <c r="EG64" i="216"/>
  <c r="J52" i="213" s="1"/>
  <c r="P64" i="216"/>
  <c r="DW119" i="216"/>
  <c r="ED114" i="216"/>
  <c r="DL160" i="216"/>
  <c r="DT160" i="216"/>
  <c r="BK162" i="216"/>
  <c r="BF162" i="216"/>
  <c r="ED12" i="216"/>
  <c r="T13" i="216"/>
  <c r="DT14" i="216"/>
  <c r="EJ15" i="216"/>
  <c r="BX15" i="216"/>
  <c r="EE16" i="216"/>
  <c r="I19" i="213" s="1"/>
  <c r="EH17" i="216"/>
  <c r="CH19" i="216"/>
  <c r="CH34" i="216"/>
  <c r="R36" i="216"/>
  <c r="DT37" i="216"/>
  <c r="DN37" i="216"/>
  <c r="BD45" i="216"/>
  <c r="AR49" i="216"/>
  <c r="AB52" i="216"/>
  <c r="CJ56" i="216"/>
  <c r="AL60" i="216"/>
  <c r="DD62" i="216"/>
  <c r="AN64" i="216"/>
  <c r="BD64" i="216"/>
  <c r="ED101" i="216"/>
  <c r="DX101" i="216"/>
  <c r="AV14" i="216"/>
  <c r="CB14" i="216"/>
  <c r="EG15" i="216"/>
  <c r="J18" i="213" s="1"/>
  <c r="AN16" i="216"/>
  <c r="CB16" i="216"/>
  <c r="DT17" i="216"/>
  <c r="ED17" i="216"/>
  <c r="EG19" i="216"/>
  <c r="J22" i="213" s="1"/>
  <c r="BV19" i="216"/>
  <c r="CF19" i="216"/>
  <c r="DZ19" i="216"/>
  <c r="EL20" i="216"/>
  <c r="CL23" i="216"/>
  <c r="DJ23" i="216"/>
  <c r="EK29" i="216"/>
  <c r="L34" i="213" s="1"/>
  <c r="CH29" i="216"/>
  <c r="AD30" i="216"/>
  <c r="BB30" i="216"/>
  <c r="BA30" i="216" s="1"/>
  <c r="BZ30" i="216"/>
  <c r="W31" i="216"/>
  <c r="AV32" i="216"/>
  <c r="AN34" i="216"/>
  <c r="BZ35" i="216"/>
  <c r="X37" i="216"/>
  <c r="W37" i="216" s="1"/>
  <c r="BR37" i="216"/>
  <c r="CZ37" i="216"/>
  <c r="T38" i="216"/>
  <c r="AT47" i="216"/>
  <c r="CT47" i="216"/>
  <c r="AB48" i="216"/>
  <c r="BV48" i="216"/>
  <c r="R49" i="216"/>
  <c r="DD49" i="216"/>
  <c r="DV49" i="216"/>
  <c r="EG50" i="216"/>
  <c r="J57" i="213" s="1"/>
  <c r="CT50" i="216"/>
  <c r="AN51" i="216"/>
  <c r="BP52" i="216"/>
  <c r="ED52" i="216"/>
  <c r="DN53" i="216"/>
  <c r="BN54" i="216"/>
  <c r="AB55" i="216"/>
  <c r="AV56" i="216"/>
  <c r="BP56" i="216"/>
  <c r="DB56" i="216"/>
  <c r="P58" i="216"/>
  <c r="EI59" i="216"/>
  <c r="AX59" i="216"/>
  <c r="BZ59" i="216"/>
  <c r="CV59" i="216"/>
  <c r="DF59" i="216"/>
  <c r="AX60" i="216"/>
  <c r="BV60" i="216"/>
  <c r="BF61" i="216"/>
  <c r="DB61" i="216"/>
  <c r="DN61" i="216"/>
  <c r="BZ62" i="216"/>
  <c r="T63" i="216"/>
  <c r="BZ63" i="216"/>
  <c r="CV64" i="216"/>
  <c r="DJ64" i="216"/>
  <c r="R65" i="216"/>
  <c r="AX65" i="216"/>
  <c r="CH65" i="216"/>
  <c r="EI66" i="216"/>
  <c r="K70" i="213" s="1"/>
  <c r="AV67" i="216"/>
  <c r="EG68" i="216"/>
  <c r="J72" i="213" s="1"/>
  <c r="CJ69" i="216"/>
  <c r="EG70" i="216"/>
  <c r="J74" i="213" s="1"/>
  <c r="X74" i="216"/>
  <c r="W74" i="216" s="1"/>
  <c r="EG75" i="216"/>
  <c r="J82" i="213" s="1"/>
  <c r="CT78" i="216"/>
  <c r="EE89" i="216"/>
  <c r="I93" i="213" s="1"/>
  <c r="AB89" i="216"/>
  <c r="AR89" i="216"/>
  <c r="EE96" i="216"/>
  <c r="I97" i="213" s="1"/>
  <c r="AD96" i="216"/>
  <c r="CF97" i="216"/>
  <c r="AX98" i="216"/>
  <c r="CJ98" i="216"/>
  <c r="DD98" i="216"/>
  <c r="BL99" i="216"/>
  <c r="BF99" i="216"/>
  <c r="EL100" i="216"/>
  <c r="DM111" i="216"/>
  <c r="DI101" i="216"/>
  <c r="DB101" i="216"/>
  <c r="DL103" i="216"/>
  <c r="BL105" i="216"/>
  <c r="BV107" i="216"/>
  <c r="BN107" i="216"/>
  <c r="P114" i="216"/>
  <c r="EL181" i="216"/>
  <c r="EL183" i="216" s="1"/>
  <c r="CZ186" i="216"/>
  <c r="CZ188" i="216" s="1"/>
  <c r="CS188" i="216"/>
  <c r="DX186" i="216"/>
  <c r="DY188" i="216"/>
  <c r="AX14" i="216"/>
  <c r="BV14" i="216"/>
  <c r="CT14" i="216"/>
  <c r="DX14" i="216"/>
  <c r="CP15" i="216"/>
  <c r="CZ15" i="216"/>
  <c r="EL16" i="216"/>
  <c r="DP16" i="216"/>
  <c r="EK17" i="216"/>
  <c r="AD18" i="216"/>
  <c r="BR18" i="216"/>
  <c r="ED18" i="216"/>
  <c r="CV20" i="216"/>
  <c r="DP20" i="216"/>
  <c r="EE21" i="216"/>
  <c r="EF21" i="216" s="1"/>
  <c r="EG22" i="216"/>
  <c r="AB23" i="216"/>
  <c r="CF23" i="216"/>
  <c r="DD23" i="216"/>
  <c r="EJ24" i="216"/>
  <c r="AV30" i="216"/>
  <c r="CB30" i="216"/>
  <c r="R32" i="216"/>
  <c r="CF32" i="216"/>
  <c r="CL32" i="216"/>
  <c r="EK34" i="216"/>
  <c r="L39" i="213" s="1"/>
  <c r="DF36" i="216"/>
  <c r="W38" i="216"/>
  <c r="ED46" i="216"/>
  <c r="BP47" i="216"/>
  <c r="CV47" i="216"/>
  <c r="BX48" i="216"/>
  <c r="CJ48" i="216"/>
  <c r="BZ49" i="216"/>
  <c r="DF49" i="216"/>
  <c r="AD50" i="216"/>
  <c r="R51" i="216"/>
  <c r="AB51" i="216"/>
  <c r="BR51" i="216"/>
  <c r="DL51" i="216"/>
  <c r="AT52" i="216"/>
  <c r="DD52" i="216"/>
  <c r="CV55" i="216"/>
  <c r="DP55" i="216"/>
  <c r="AV57" i="216"/>
  <c r="EG58" i="216"/>
  <c r="J65" i="213" s="1"/>
  <c r="ED58" i="216"/>
  <c r="DJ60" i="216"/>
  <c r="DP61" i="216"/>
  <c r="EL63" i="216"/>
  <c r="CB63" i="216"/>
  <c r="CT63" i="216"/>
  <c r="DN63" i="216"/>
  <c r="ED64" i="216"/>
  <c r="T65" i="216"/>
  <c r="EI68" i="216"/>
  <c r="K72" i="213" s="1"/>
  <c r="R68" i="216"/>
  <c r="AV68" i="216"/>
  <c r="EL69" i="216"/>
  <c r="CL69" i="216"/>
  <c r="EL71" i="216"/>
  <c r="AL71" i="216"/>
  <c r="BN72" i="216"/>
  <c r="BF74" i="216"/>
  <c r="BB75" i="216"/>
  <c r="EI76" i="216"/>
  <c r="K83" i="213" s="1"/>
  <c r="AH76" i="216"/>
  <c r="EL77" i="216"/>
  <c r="AL77" i="216"/>
  <c r="DD79" i="216"/>
  <c r="CJ85" i="216"/>
  <c r="DT85" i="216"/>
  <c r="BR86" i="216"/>
  <c r="BP88" i="216"/>
  <c r="DV89" i="216"/>
  <c r="BL97" i="216"/>
  <c r="BP97" i="216"/>
  <c r="BV99" i="216"/>
  <c r="CJ100" i="216"/>
  <c r="EE101" i="216"/>
  <c r="I102" i="213" s="1"/>
  <c r="BB101" i="216"/>
  <c r="CZ103" i="216"/>
  <c r="BV105" i="216"/>
  <c r="CF105" i="216"/>
  <c r="Q119" i="216"/>
  <c r="P119" i="216" s="1"/>
  <c r="X114" i="216"/>
  <c r="W114" i="216" s="1"/>
  <c r="AM407" i="216"/>
  <c r="AL166" i="216"/>
  <c r="CC407" i="216"/>
  <c r="CB166" i="216"/>
  <c r="DY407" i="216"/>
  <c r="DX166" i="216"/>
  <c r="AQ168" i="216"/>
  <c r="AL168" i="216"/>
  <c r="AJ168" i="216"/>
  <c r="EG169" i="216"/>
  <c r="J161" i="213" s="1"/>
  <c r="BF170" i="216"/>
  <c r="BD170" i="216"/>
  <c r="BE93" i="216"/>
  <c r="BD85" i="216"/>
  <c r="AV87" i="216"/>
  <c r="AT87" i="216"/>
  <c r="EG89" i="216"/>
  <c r="J93" i="213" s="1"/>
  <c r="X89" i="216"/>
  <c r="W89" i="216" s="1"/>
  <c r="EL89" i="216"/>
  <c r="EC108" i="216"/>
  <c r="DX108" i="216"/>
  <c r="AD139" i="216"/>
  <c r="AE141" i="216"/>
  <c r="EG53" i="216"/>
  <c r="J60" i="213" s="1"/>
  <c r="BL54" i="216"/>
  <c r="DT54" i="216"/>
  <c r="BV56" i="216"/>
  <c r="CR56" i="216"/>
  <c r="AJ60" i="216"/>
  <c r="EE61" i="216"/>
  <c r="I51" i="213" s="1"/>
  <c r="CT61" i="216"/>
  <c r="AH63" i="216"/>
  <c r="EL67" i="216"/>
  <c r="AR70" i="216"/>
  <c r="BD70" i="216"/>
  <c r="AH71" i="216"/>
  <c r="BD72" i="216"/>
  <c r="CH74" i="216"/>
  <c r="CP74" i="216"/>
  <c r="CZ87" i="216"/>
  <c r="AQ97" i="216"/>
  <c r="AL97" i="216"/>
  <c r="DB99" i="216"/>
  <c r="EE103" i="216"/>
  <c r="I104" i="213" s="1"/>
  <c r="EE104" i="216"/>
  <c r="I105" i="213" s="1"/>
  <c r="BB104" i="216"/>
  <c r="AJ105" i="216"/>
  <c r="DV108" i="216"/>
  <c r="EK19" i="216"/>
  <c r="CJ20" i="216"/>
  <c r="ED20" i="216"/>
  <c r="R23" i="216"/>
  <c r="CT23" i="216"/>
  <c r="EL30" i="216"/>
  <c r="AL30" i="216"/>
  <c r="CP30" i="216"/>
  <c r="BL32" i="216"/>
  <c r="DT32" i="216"/>
  <c r="DV34" i="216"/>
  <c r="DN35" i="216"/>
  <c r="BB36" i="216"/>
  <c r="AR37" i="216"/>
  <c r="DN47" i="216"/>
  <c r="X48" i="216"/>
  <c r="W48" i="216" s="1"/>
  <c r="AH48" i="216"/>
  <c r="CZ48" i="216"/>
  <c r="CP50" i="216"/>
  <c r="AJ52" i="216"/>
  <c r="DT52" i="216"/>
  <c r="CZ54" i="216"/>
  <c r="X56" i="216"/>
  <c r="W56" i="216" s="1"/>
  <c r="BB56" i="216"/>
  <c r="BL56" i="216"/>
  <c r="R57" i="216"/>
  <c r="CJ59" i="216"/>
  <c r="BB60" i="216"/>
  <c r="BA60" i="216" s="1"/>
  <c r="DT60" i="216"/>
  <c r="EG62" i="216"/>
  <c r="J67" i="213" s="1"/>
  <c r="AB63" i="216"/>
  <c r="BP63" i="216"/>
  <c r="BL64" i="216"/>
  <c r="BL65" i="216"/>
  <c r="DN65" i="216"/>
  <c r="AH66" i="216"/>
  <c r="BL66" i="216"/>
  <c r="EI67" i="216"/>
  <c r="K71" i="213" s="1"/>
  <c r="BX68" i="216"/>
  <c r="CF68" i="216"/>
  <c r="BZ69" i="216"/>
  <c r="BL70" i="216"/>
  <c r="BF70" i="216"/>
  <c r="AB71" i="216"/>
  <c r="EI72" i="216"/>
  <c r="K76" i="213" s="1"/>
  <c r="BF72" i="216"/>
  <c r="BV72" i="216"/>
  <c r="BP73" i="216"/>
  <c r="CZ74" i="216"/>
  <c r="DL74" i="216"/>
  <c r="CF89" i="216"/>
  <c r="CV99" i="216"/>
  <c r="CT99" i="216"/>
  <c r="BP101" i="216"/>
  <c r="BV101" i="216"/>
  <c r="EG103" i="216"/>
  <c r="P103" i="216"/>
  <c r="BD103" i="216"/>
  <c r="DD103" i="216"/>
  <c r="EL105" i="216"/>
  <c r="DZ106" i="216"/>
  <c r="EP106" i="216"/>
  <c r="AH107" i="216"/>
  <c r="AV107" i="216"/>
  <c r="CB18" i="216"/>
  <c r="EE19" i="216"/>
  <c r="AH19" i="216"/>
  <c r="AR19" i="216"/>
  <c r="EG20" i="216"/>
  <c r="J23" i="213" s="1"/>
  <c r="CF20" i="216"/>
  <c r="EL21" i="216"/>
  <c r="AX22" i="216"/>
  <c r="CJ22" i="216"/>
  <c r="EL23" i="216"/>
  <c r="AL23" i="216"/>
  <c r="DN23" i="216"/>
  <c r="BD29" i="216"/>
  <c r="AH30" i="216"/>
  <c r="BF30" i="216"/>
  <c r="R31" i="216"/>
  <c r="AB32" i="216"/>
  <c r="BH32" i="216"/>
  <c r="BH35" i="216"/>
  <c r="CJ35" i="216"/>
  <c r="BD37" i="216"/>
  <c r="EL44" i="216"/>
  <c r="DY82" i="216"/>
  <c r="EG48" i="216"/>
  <c r="J55" i="213" s="1"/>
  <c r="AB49" i="216"/>
  <c r="BH49" i="216"/>
  <c r="CL49" i="216"/>
  <c r="AL50" i="216"/>
  <c r="AR51" i="216"/>
  <c r="DF51" i="216"/>
  <c r="BB52" i="216"/>
  <c r="BP53" i="216"/>
  <c r="CV53" i="216"/>
  <c r="DL54" i="216"/>
  <c r="EI56" i="216"/>
  <c r="K63" i="213" s="1"/>
  <c r="CV56" i="216"/>
  <c r="DB59" i="216"/>
  <c r="EG60" i="216"/>
  <c r="J53" i="213" s="1"/>
  <c r="AN60" i="216"/>
  <c r="CP60" i="216"/>
  <c r="EK61" i="216"/>
  <c r="EJ61" i="216" s="1"/>
  <c r="DN62" i="216"/>
  <c r="DD64" i="216"/>
  <c r="AD65" i="216"/>
  <c r="BB65" i="216"/>
  <c r="BH65" i="216"/>
  <c r="BH67" i="216"/>
  <c r="Z68" i="216"/>
  <c r="BL68" i="216"/>
  <c r="DD68" i="216"/>
  <c r="AX69" i="216"/>
  <c r="BB72" i="216"/>
  <c r="AV72" i="216"/>
  <c r="CJ72" i="216"/>
  <c r="BB76" i="216"/>
  <c r="EL97" i="216"/>
  <c r="CF99" i="216"/>
  <c r="DZ101" i="216"/>
  <c r="EP101" i="216"/>
  <c r="AN102" i="216"/>
  <c r="DX103" i="216"/>
  <c r="AX106" i="216"/>
  <c r="AM119" i="216"/>
  <c r="AL114" i="216"/>
  <c r="CC119" i="216"/>
  <c r="CB119" i="216" s="1"/>
  <c r="CB114" i="216"/>
  <c r="DG119" i="216"/>
  <c r="DF114" i="216"/>
  <c r="DE406" i="216"/>
  <c r="DD149" i="216"/>
  <c r="DY176" i="216"/>
  <c r="DX156" i="216"/>
  <c r="AH160" i="216"/>
  <c r="AB160" i="216"/>
  <c r="ED30" i="216"/>
  <c r="BB32" i="216"/>
  <c r="BA32" i="216" s="1"/>
  <c r="EG35" i="216"/>
  <c r="J40" i="213" s="1"/>
  <c r="DD35" i="216"/>
  <c r="DZ35" i="216"/>
  <c r="AX36" i="216"/>
  <c r="CF36" i="216"/>
  <c r="CE36" i="216" s="1"/>
  <c r="EL37" i="216"/>
  <c r="CL37" i="216"/>
  <c r="AN44" i="216"/>
  <c r="EL45" i="216"/>
  <c r="BP45" i="216"/>
  <c r="CZ47" i="216"/>
  <c r="AX50" i="216"/>
  <c r="BL50" i="216"/>
  <c r="BK50" i="216" s="1"/>
  <c r="AL51" i="216"/>
  <c r="AN52" i="216"/>
  <c r="CP52" i="216"/>
  <c r="AR54" i="216"/>
  <c r="AQ54" i="216" s="1"/>
  <c r="BP55" i="216"/>
  <c r="CZ55" i="216"/>
  <c r="CY55" i="216" s="1"/>
  <c r="CT57" i="216"/>
  <c r="AV59" i="216"/>
  <c r="ED59" i="216"/>
  <c r="EG65" i="216"/>
  <c r="J69" i="213" s="1"/>
  <c r="EG66" i="216"/>
  <c r="J70" i="213" s="1"/>
  <c r="X66" i="216"/>
  <c r="W66" i="216" s="1"/>
  <c r="AD66" i="216"/>
  <c r="AB68" i="216"/>
  <c r="BV68" i="216"/>
  <c r="CB68" i="216"/>
  <c r="DF70" i="216"/>
  <c r="DT70" i="216"/>
  <c r="BV71" i="216"/>
  <c r="BL72" i="216"/>
  <c r="EK74" i="216"/>
  <c r="L78" i="213" s="1"/>
  <c r="AQ74" i="216"/>
  <c r="AN74" i="216"/>
  <c r="DP74" i="216"/>
  <c r="EG76" i="216"/>
  <c r="J83" i="213" s="1"/>
  <c r="AR76" i="216"/>
  <c r="BU76" i="216"/>
  <c r="BP76" i="216"/>
  <c r="CV76" i="216"/>
  <c r="EL78" i="216"/>
  <c r="EE79" i="216"/>
  <c r="BP79" i="216"/>
  <c r="BD87" i="216"/>
  <c r="DF89" i="216"/>
  <c r="AB96" i="216"/>
  <c r="DL96" i="216"/>
  <c r="DK111" i="216"/>
  <c r="AB97" i="216"/>
  <c r="Z97" i="216"/>
  <c r="AV98" i="216"/>
  <c r="DX98" i="216"/>
  <c r="CL99" i="216"/>
  <c r="CJ99" i="216"/>
  <c r="X101" i="216"/>
  <c r="W101" i="216" s="1"/>
  <c r="CP103" i="216"/>
  <c r="CH103" i="216"/>
  <c r="BQ119" i="216"/>
  <c r="BP114" i="216"/>
  <c r="CD119" i="216"/>
  <c r="AO404" i="216"/>
  <c r="AN145" i="216"/>
  <c r="BZ147" i="216"/>
  <c r="CB147" i="216"/>
  <c r="EI187" i="216"/>
  <c r="X187" i="216"/>
  <c r="W187" i="216" s="1"/>
  <c r="BE119" i="216"/>
  <c r="BD119" i="216" s="1"/>
  <c r="BD114" i="216"/>
  <c r="BL114" i="216"/>
  <c r="BD124" i="216"/>
  <c r="DD124" i="216"/>
  <c r="DZ125" i="216"/>
  <c r="EP125" i="216"/>
  <c r="BN131" i="216"/>
  <c r="AM153" i="216"/>
  <c r="AL147" i="216"/>
  <c r="EL147" i="216"/>
  <c r="BX147" i="216"/>
  <c r="AY406" i="216"/>
  <c r="BB149" i="216"/>
  <c r="BB406" i="216" s="1"/>
  <c r="BD162" i="216"/>
  <c r="CR164" i="216"/>
  <c r="BV168" i="216"/>
  <c r="BP168" i="216"/>
  <c r="P172" i="216"/>
  <c r="BA187" i="216"/>
  <c r="AV187" i="216"/>
  <c r="AT187" i="216"/>
  <c r="AV192" i="216"/>
  <c r="BA192" i="216"/>
  <c r="BV195" i="216"/>
  <c r="BN195" i="216"/>
  <c r="EL196" i="216"/>
  <c r="EG196" i="216"/>
  <c r="CP197" i="216"/>
  <c r="AD199" i="216"/>
  <c r="AH199" i="216"/>
  <c r="DZ208" i="216"/>
  <c r="EP208" i="216"/>
  <c r="BN93" i="216"/>
  <c r="EL86" i="216"/>
  <c r="AL86" i="216"/>
  <c r="DD86" i="216"/>
  <c r="AN88" i="216"/>
  <c r="EI89" i="216"/>
  <c r="K93" i="213" s="1"/>
  <c r="DT89" i="216"/>
  <c r="CT96" i="216"/>
  <c r="EE97" i="216"/>
  <c r="I98" i="213" s="1"/>
  <c r="AV97" i="216"/>
  <c r="AR99" i="216"/>
  <c r="AB100" i="216"/>
  <c r="AS111" i="216"/>
  <c r="BH100" i="216"/>
  <c r="EG101" i="216"/>
  <c r="J102" i="213" s="1"/>
  <c r="BF102" i="216"/>
  <c r="DD102" i="216"/>
  <c r="AT103" i="216"/>
  <c r="BF103" i="216"/>
  <c r="DZ103" i="216"/>
  <c r="DX105" i="216"/>
  <c r="EI108" i="216"/>
  <c r="K112" i="213" s="1"/>
  <c r="DK119" i="216"/>
  <c r="DW136" i="216"/>
  <c r="DV131" i="216"/>
  <c r="CU404" i="216"/>
  <c r="CT145" i="216"/>
  <c r="DY404" i="216"/>
  <c r="DX145" i="216"/>
  <c r="AC407" i="216"/>
  <c r="AB166" i="216"/>
  <c r="DK407" i="216"/>
  <c r="DL166" i="216"/>
  <c r="AD167" i="216"/>
  <c r="AB168" i="216"/>
  <c r="Z168" i="216"/>
  <c r="CP187" i="216"/>
  <c r="DD187" i="216"/>
  <c r="X192" i="216"/>
  <c r="W192" i="216" s="1"/>
  <c r="P192" i="216"/>
  <c r="CP200" i="216"/>
  <c r="CH200" i="216"/>
  <c r="AV69" i="216"/>
  <c r="CT69" i="216"/>
  <c r="DT69" i="216"/>
  <c r="EK70" i="216"/>
  <c r="L74" i="213" s="1"/>
  <c r="CZ70" i="216"/>
  <c r="AV71" i="216"/>
  <c r="CB71" i="216"/>
  <c r="CP72" i="216"/>
  <c r="EL73" i="216"/>
  <c r="BR73" i="216"/>
  <c r="AR74" i="216"/>
  <c r="EL75" i="216"/>
  <c r="AR75" i="216"/>
  <c r="AX75" i="216"/>
  <c r="CJ75" i="216"/>
  <c r="DP76" i="216"/>
  <c r="AR78" i="216"/>
  <c r="CJ78" i="216"/>
  <c r="DF79" i="216"/>
  <c r="DX79" i="216"/>
  <c r="AB87" i="216"/>
  <c r="BF88" i="216"/>
  <c r="DD88" i="216"/>
  <c r="DZ89" i="216"/>
  <c r="AX96" i="216"/>
  <c r="AY111" i="216"/>
  <c r="AX111" i="216" s="1"/>
  <c r="EG97" i="216"/>
  <c r="J98" i="213" s="1"/>
  <c r="DX97" i="216"/>
  <c r="EL98" i="216"/>
  <c r="AL98" i="216"/>
  <c r="CT98" i="216"/>
  <c r="CZ99" i="216"/>
  <c r="AD100" i="216"/>
  <c r="BZ100" i="216"/>
  <c r="DD100" i="216"/>
  <c r="AN101" i="216"/>
  <c r="AB102" i="216"/>
  <c r="BH102" i="216"/>
  <c r="AJ103" i="216"/>
  <c r="EL104" i="216"/>
  <c r="CP104" i="216"/>
  <c r="EE105" i="216"/>
  <c r="I106" i="213" s="1"/>
  <c r="AL105" i="216"/>
  <c r="EL106" i="216"/>
  <c r="AL106" i="216"/>
  <c r="AJ107" i="216"/>
  <c r="AX107" i="216"/>
  <c r="AV108" i="216"/>
  <c r="EL114" i="216"/>
  <c r="EL119" i="216" s="1"/>
  <c r="AU119" i="216"/>
  <c r="AT119" i="216" s="1"/>
  <c r="AT114" i="216"/>
  <c r="BB114" i="216"/>
  <c r="BI119" i="216"/>
  <c r="BH119" i="216" s="1"/>
  <c r="CK119" i="216"/>
  <c r="CJ119" i="216" s="1"/>
  <c r="CJ114" i="216"/>
  <c r="DL114" i="216"/>
  <c r="AE128" i="216"/>
  <c r="AD124" i="216"/>
  <c r="BA124" i="216"/>
  <c r="AV124" i="216"/>
  <c r="CZ124" i="216"/>
  <c r="CR124" i="216"/>
  <c r="EI131" i="216"/>
  <c r="K133" i="213" s="1"/>
  <c r="R131" i="216"/>
  <c r="S136" i="216"/>
  <c r="R136" i="216" s="1"/>
  <c r="T141" i="216"/>
  <c r="AB147" i="216"/>
  <c r="AK406" i="216"/>
  <c r="AJ149" i="216"/>
  <c r="EI160" i="216"/>
  <c r="K152" i="213" s="1"/>
  <c r="R160" i="216"/>
  <c r="EK162" i="216"/>
  <c r="T162" i="216"/>
  <c r="DL162" i="216"/>
  <c r="DT162" i="216"/>
  <c r="CL163" i="216"/>
  <c r="CH164" i="216"/>
  <c r="DN164" i="216"/>
  <c r="AN168" i="216"/>
  <c r="AR168" i="216"/>
  <c r="DX168" i="216"/>
  <c r="CV169" i="216"/>
  <c r="DX170" i="216"/>
  <c r="W172" i="216"/>
  <c r="AL172" i="216"/>
  <c r="BK172" i="216"/>
  <c r="BF172" i="216"/>
  <c r="BD172" i="216"/>
  <c r="EK186" i="216"/>
  <c r="AQ187" i="216"/>
  <c r="AL187" i="216"/>
  <c r="AJ187" i="216"/>
  <c r="EK199" i="216"/>
  <c r="CV72" i="216"/>
  <c r="AN73" i="216"/>
  <c r="BL73" i="216"/>
  <c r="EG74" i="216"/>
  <c r="J78" i="213" s="1"/>
  <c r="AX74" i="216"/>
  <c r="BL74" i="216"/>
  <c r="CJ76" i="216"/>
  <c r="R78" i="216"/>
  <c r="AL78" i="216"/>
  <c r="CL78" i="216"/>
  <c r="BZ79" i="216"/>
  <c r="CZ79" i="216"/>
  <c r="AH86" i="216"/>
  <c r="BZ86" i="216"/>
  <c r="AB88" i="216"/>
  <c r="BH88" i="216"/>
  <c r="CT89" i="216"/>
  <c r="ED96" i="216"/>
  <c r="R97" i="216"/>
  <c r="AN97" i="216"/>
  <c r="AN98" i="216"/>
  <c r="DF99" i="216"/>
  <c r="EG100" i="216"/>
  <c r="J101" i="213" s="1"/>
  <c r="AV100" i="216"/>
  <c r="CB100" i="216"/>
  <c r="CZ100" i="216"/>
  <c r="DF100" i="216"/>
  <c r="CF101" i="216"/>
  <c r="CZ101" i="216"/>
  <c r="DD101" i="216"/>
  <c r="AL103" i="216"/>
  <c r="BL103" i="216"/>
  <c r="CJ104" i="216"/>
  <c r="DD104" i="216"/>
  <c r="EG105" i="216"/>
  <c r="J106" i="213" s="1"/>
  <c r="AH105" i="216"/>
  <c r="AB105" i="216"/>
  <c r="AN105" i="216"/>
  <c r="AN106" i="216"/>
  <c r="CJ106" i="216"/>
  <c r="EE107" i="216"/>
  <c r="I108" i="213" s="1"/>
  <c r="AL107" i="216"/>
  <c r="CZ107" i="216"/>
  <c r="DJ107" i="216"/>
  <c r="EL108" i="216"/>
  <c r="AQ108" i="216"/>
  <c r="AL108" i="216"/>
  <c r="AK119" i="216"/>
  <c r="AJ114" i="216"/>
  <c r="CZ114" i="216"/>
  <c r="CF115" i="216"/>
  <c r="ED115" i="216"/>
  <c r="EI124" i="216"/>
  <c r="K125" i="213" s="1"/>
  <c r="AD132" i="216"/>
  <c r="CK404" i="216"/>
  <c r="CJ145" i="216"/>
  <c r="AN146" i="216"/>
  <c r="AD147" i="216"/>
  <c r="CA406" i="216"/>
  <c r="BZ149" i="216"/>
  <c r="AB156" i="216"/>
  <c r="CF158" i="216"/>
  <c r="BZ158" i="216"/>
  <c r="BH162" i="216"/>
  <c r="DP164" i="216"/>
  <c r="AN188" i="216"/>
  <c r="AX187" i="216"/>
  <c r="BB187" i="216"/>
  <c r="BV187" i="216"/>
  <c r="CZ187" i="216"/>
  <c r="CR187" i="216"/>
  <c r="BB191" i="216"/>
  <c r="AX199" i="216"/>
  <c r="AX67" i="216"/>
  <c r="BP69" i="216"/>
  <c r="DP69" i="216"/>
  <c r="BZ70" i="216"/>
  <c r="ED70" i="216"/>
  <c r="T71" i="216"/>
  <c r="BP71" i="216"/>
  <c r="DN71" i="216"/>
  <c r="BF73" i="216"/>
  <c r="DD73" i="216"/>
  <c r="EI74" i="216"/>
  <c r="K78" i="213" s="1"/>
  <c r="DT74" i="216"/>
  <c r="AN75" i="216"/>
  <c r="BV76" i="216"/>
  <c r="EL76" i="216"/>
  <c r="EG77" i="216"/>
  <c r="J84" i="213" s="1"/>
  <c r="BF78" i="216"/>
  <c r="CB79" i="216"/>
  <c r="CT79" i="216"/>
  <c r="EG85" i="216"/>
  <c r="J89" i="213" s="1"/>
  <c r="CB86" i="216"/>
  <c r="EG87" i="216"/>
  <c r="J91" i="213" s="1"/>
  <c r="AH87" i="216"/>
  <c r="AD88" i="216"/>
  <c r="BB88" i="216"/>
  <c r="BA88" i="216" s="1"/>
  <c r="BV89" i="216"/>
  <c r="EL96" i="216"/>
  <c r="CZ97" i="216"/>
  <c r="EB111" i="216"/>
  <c r="EE99" i="216"/>
  <c r="I100" i="213" s="1"/>
  <c r="BZ99" i="216"/>
  <c r="AX100" i="216"/>
  <c r="BV100" i="216"/>
  <c r="BD101" i="216"/>
  <c r="CJ101" i="216"/>
  <c r="CT101" i="216"/>
  <c r="EG102" i="216"/>
  <c r="J103" i="213" s="1"/>
  <c r="CB102" i="216"/>
  <c r="CT102" i="216"/>
  <c r="AX103" i="216"/>
  <c r="R105" i="216"/>
  <c r="ED105" i="216"/>
  <c r="P107" i="216"/>
  <c r="AJ108" i="216"/>
  <c r="CZ108" i="216"/>
  <c r="CA119" i="216"/>
  <c r="BZ119" i="216" s="1"/>
  <c r="BZ114" i="216"/>
  <c r="CN119" i="216"/>
  <c r="AD123" i="216"/>
  <c r="CX136" i="216"/>
  <c r="CZ131" i="216"/>
  <c r="Y141" i="216"/>
  <c r="AG141" i="216" s="1"/>
  <c r="AG139" i="216"/>
  <c r="BJ404" i="216"/>
  <c r="BJ153" i="216"/>
  <c r="BL145" i="216"/>
  <c r="BL404" i="216" s="1"/>
  <c r="DO404" i="216"/>
  <c r="DN145" i="216"/>
  <c r="BB147" i="216"/>
  <c r="P156" i="216"/>
  <c r="EI157" i="216"/>
  <c r="K150" i="213" s="1"/>
  <c r="BL158" i="216"/>
  <c r="EL160" i="216"/>
  <c r="CF160" i="216"/>
  <c r="CP161" i="216"/>
  <c r="CF162" i="216"/>
  <c r="AD168" i="216"/>
  <c r="CP168" i="216"/>
  <c r="CT170" i="216"/>
  <c r="CR170" i="216"/>
  <c r="T191" i="216"/>
  <c r="P191" i="216"/>
  <c r="CT192" i="216"/>
  <c r="AG195" i="216"/>
  <c r="AB195" i="216"/>
  <c r="DQ119" i="216"/>
  <c r="DP119" i="216" s="1"/>
  <c r="DP114" i="216"/>
  <c r="AX124" i="216"/>
  <c r="BB124" i="216"/>
  <c r="AY404" i="216"/>
  <c r="AY417" i="216" s="1"/>
  <c r="AX145" i="216"/>
  <c r="CA404" i="216"/>
  <c r="BZ145" i="216"/>
  <c r="CI153" i="216"/>
  <c r="CP147" i="216"/>
  <c r="BI406" i="216"/>
  <c r="BH149" i="216"/>
  <c r="DB162" i="216"/>
  <c r="DJ162" i="216"/>
  <c r="AZ407" i="216"/>
  <c r="BB166" i="216"/>
  <c r="BB407" i="216" s="1"/>
  <c r="BH172" i="216"/>
  <c r="BL172" i="216"/>
  <c r="BK187" i="216"/>
  <c r="BD187" i="216"/>
  <c r="ED187" i="216"/>
  <c r="X191" i="216"/>
  <c r="CY198" i="216"/>
  <c r="CT198" i="216"/>
  <c r="CR198" i="216"/>
  <c r="CA128" i="216"/>
  <c r="BZ128" i="216" s="1"/>
  <c r="CA136" i="216"/>
  <c r="DL131" i="216"/>
  <c r="DX131" i="216"/>
  <c r="BB132" i="216"/>
  <c r="DP145" i="216"/>
  <c r="AZ153" i="216"/>
  <c r="CH146" i="216"/>
  <c r="Z149" i="216"/>
  <c r="AL149" i="216"/>
  <c r="CT149" i="216"/>
  <c r="DV149" i="216"/>
  <c r="Z156" i="216"/>
  <c r="CH157" i="216"/>
  <c r="BB160" i="216"/>
  <c r="EL161" i="216"/>
  <c r="DB161" i="216"/>
  <c r="BN162" i="216"/>
  <c r="BX162" i="216"/>
  <c r="DZ162" i="216"/>
  <c r="EL163" i="216"/>
  <c r="BD163" i="216"/>
  <c r="AD166" i="216"/>
  <c r="DJ168" i="216"/>
  <c r="EL169" i="216"/>
  <c r="EE171" i="216"/>
  <c r="I163" i="213" s="1"/>
  <c r="CP181" i="216"/>
  <c r="DT181" i="216"/>
  <c r="DT183" i="216" s="1"/>
  <c r="AJ188" i="216"/>
  <c r="EK187" i="216"/>
  <c r="DJ187" i="216"/>
  <c r="AR191" i="216"/>
  <c r="CP191" i="216"/>
  <c r="CH191" i="216"/>
  <c r="AT192" i="216"/>
  <c r="CH192" i="216"/>
  <c r="X194" i="216"/>
  <c r="W194" i="216" s="1"/>
  <c r="AH207" i="216"/>
  <c r="Z207" i="216"/>
  <c r="AV115" i="216"/>
  <c r="EG124" i="216"/>
  <c r="J125" i="213" s="1"/>
  <c r="EL125" i="216"/>
  <c r="CF125" i="216"/>
  <c r="CE125" i="216" s="1"/>
  <c r="DX125" i="216"/>
  <c r="AB132" i="216"/>
  <c r="AV132" i="216"/>
  <c r="EL146" i="216"/>
  <c r="EG156" i="216"/>
  <c r="J149" i="213" s="1"/>
  <c r="BP157" i="216"/>
  <c r="AV159" i="216"/>
  <c r="CT159" i="216"/>
  <c r="DL159" i="216"/>
  <c r="EK160" i="216"/>
  <c r="L152" i="213" s="1"/>
  <c r="DJ160" i="216"/>
  <c r="Z161" i="216"/>
  <c r="EE162" i="216"/>
  <c r="I154" i="213" s="1"/>
  <c r="CZ162" i="216"/>
  <c r="BB164" i="216"/>
  <c r="CZ165" i="216"/>
  <c r="Z169" i="216"/>
  <c r="CJ181" i="216"/>
  <c r="DN181" i="216"/>
  <c r="AB182" i="216"/>
  <c r="AT182" i="216"/>
  <c r="DC183" i="216"/>
  <c r="EL186" i="216"/>
  <c r="EL188" i="216" s="1"/>
  <c r="AL188" i="216"/>
  <c r="EL187" i="216"/>
  <c r="CB192" i="216"/>
  <c r="CE192" i="216"/>
  <c r="CZ192" i="216"/>
  <c r="CH193" i="216"/>
  <c r="W198" i="216"/>
  <c r="AV199" i="216"/>
  <c r="X206" i="216"/>
  <c r="W206" i="216" s="1"/>
  <c r="P206" i="216"/>
  <c r="AV206" i="216"/>
  <c r="EL209" i="216"/>
  <c r="CP101" i="216"/>
  <c r="AD102" i="216"/>
  <c r="BB102" i="216"/>
  <c r="BA102" i="216" s="1"/>
  <c r="CF103" i="216"/>
  <c r="BF104" i="216"/>
  <c r="BX104" i="216"/>
  <c r="CL104" i="216"/>
  <c r="AV105" i="216"/>
  <c r="AH106" i="216"/>
  <c r="CL106" i="216"/>
  <c r="BL107" i="216"/>
  <c r="BF108" i="216"/>
  <c r="EK114" i="216"/>
  <c r="L116" i="213" s="1"/>
  <c r="CQ119" i="216"/>
  <c r="CV119" i="216" s="1"/>
  <c r="EK115" i="216"/>
  <c r="L119" i="213" s="1"/>
  <c r="AR115" i="216"/>
  <c r="CV115" i="216"/>
  <c r="CJ123" i="216"/>
  <c r="AF128" i="216"/>
  <c r="CT124" i="216"/>
  <c r="BH125" i="216"/>
  <c r="CB125" i="216"/>
  <c r="BT136" i="216"/>
  <c r="CD136" i="216"/>
  <c r="DO136" i="216"/>
  <c r="BH141" i="216"/>
  <c r="X145" i="216"/>
  <c r="CB145" i="216"/>
  <c r="CL145" i="216"/>
  <c r="EP145" i="216"/>
  <c r="BF146" i="216"/>
  <c r="BZ146" i="216"/>
  <c r="CL146" i="216"/>
  <c r="DV146" i="216"/>
  <c r="EG147" i="216"/>
  <c r="J143" i="213" s="1"/>
  <c r="O153" i="216"/>
  <c r="BZ157" i="216"/>
  <c r="CL157" i="216"/>
  <c r="EI158" i="216"/>
  <c r="K165" i="213" s="1"/>
  <c r="CP159" i="216"/>
  <c r="CJ160" i="216"/>
  <c r="AB161" i="216"/>
  <c r="BH161" i="216"/>
  <c r="BZ161" i="216"/>
  <c r="DF161" i="216"/>
  <c r="EG162" i="216"/>
  <c r="J154" i="213" s="1"/>
  <c r="BL162" i="216"/>
  <c r="AB163" i="216"/>
  <c r="BH163" i="216"/>
  <c r="DD163" i="216"/>
  <c r="EG164" i="216"/>
  <c r="J156" i="213" s="1"/>
  <c r="CP164" i="216"/>
  <c r="DT164" i="216"/>
  <c r="T165" i="216"/>
  <c r="BP165" i="216"/>
  <c r="CV165" i="216"/>
  <c r="CP166" i="216"/>
  <c r="DF167" i="216"/>
  <c r="ED169" i="216"/>
  <c r="BH181" i="216"/>
  <c r="AV182" i="216"/>
  <c r="CB182" i="216"/>
  <c r="BF186" i="216"/>
  <c r="CL186" i="216"/>
  <c r="DP186" i="216"/>
  <c r="BP187" i="216"/>
  <c r="BZ187" i="216"/>
  <c r="CJ187" i="216"/>
  <c r="CT187" i="216"/>
  <c r="CQ188" i="216"/>
  <c r="CY188" i="216" s="1"/>
  <c r="BH191" i="216"/>
  <c r="BP191" i="216"/>
  <c r="CF191" i="216"/>
  <c r="DN191" i="216"/>
  <c r="BL192" i="216"/>
  <c r="BB193" i="216"/>
  <c r="BF194" i="216"/>
  <c r="CP194" i="216"/>
  <c r="Z195" i="216"/>
  <c r="AL195" i="216"/>
  <c r="BH196" i="216"/>
  <c r="DP200" i="216"/>
  <c r="DL208" i="216"/>
  <c r="DT208" i="216"/>
  <c r="EG107" i="216"/>
  <c r="J108" i="213" s="1"/>
  <c r="BR107" i="216"/>
  <c r="CF107" i="216"/>
  <c r="CH114" i="216"/>
  <c r="DN114" i="216"/>
  <c r="EL115" i="216"/>
  <c r="AU128" i="216"/>
  <c r="AT128" i="216" s="1"/>
  <c r="CI128" i="216"/>
  <c r="CH128" i="216" s="1"/>
  <c r="CT125" i="216"/>
  <c r="AV131" i="216"/>
  <c r="DR136" i="216"/>
  <c r="AL145" i="216"/>
  <c r="AV145" i="216"/>
  <c r="BF145" i="216"/>
  <c r="DV145" i="216"/>
  <c r="AT146" i="216"/>
  <c r="BH146" i="216"/>
  <c r="CN153" i="216"/>
  <c r="DD146" i="216"/>
  <c r="BC153" i="216"/>
  <c r="BV147" i="216"/>
  <c r="DW153" i="216"/>
  <c r="R149" i="216"/>
  <c r="AT149" i="216"/>
  <c r="BF149" i="216"/>
  <c r="BX149" i="216"/>
  <c r="DB149" i="216"/>
  <c r="DN149" i="216"/>
  <c r="BD156" i="216"/>
  <c r="BP156" i="216"/>
  <c r="DV156" i="216"/>
  <c r="CN176" i="216"/>
  <c r="AL159" i="216"/>
  <c r="BR159" i="216"/>
  <c r="CJ159" i="216"/>
  <c r="DP159" i="216"/>
  <c r="EE160" i="216"/>
  <c r="I152" i="213" s="1"/>
  <c r="BV160" i="216"/>
  <c r="BB161" i="216"/>
  <c r="CB161" i="216"/>
  <c r="DX161" i="216"/>
  <c r="AL162" i="216"/>
  <c r="BR162" i="216"/>
  <c r="P163" i="216"/>
  <c r="AD163" i="216"/>
  <c r="BZ163" i="216"/>
  <c r="CR163" i="216"/>
  <c r="DF163" i="216"/>
  <c r="AJ166" i="216"/>
  <c r="AV166" i="216"/>
  <c r="DF166" i="216"/>
  <c r="DV166" i="216"/>
  <c r="R167" i="216"/>
  <c r="AJ167" i="216"/>
  <c r="BX167" i="216"/>
  <c r="EG181" i="216"/>
  <c r="BZ181" i="216"/>
  <c r="DF181" i="216"/>
  <c r="BV182" i="216"/>
  <c r="AB186" i="216"/>
  <c r="AT186" i="216"/>
  <c r="BH186" i="216"/>
  <c r="EE187" i="216"/>
  <c r="EM187" i="216" s="1"/>
  <c r="AH187" i="216"/>
  <c r="CF187" i="216"/>
  <c r="DP191" i="216"/>
  <c r="EK193" i="216"/>
  <c r="X193" i="216"/>
  <c r="W193" i="216" s="1"/>
  <c r="BL193" i="216"/>
  <c r="BH194" i="216"/>
  <c r="AN195" i="216"/>
  <c r="CL195" i="216"/>
  <c r="AR196" i="216"/>
  <c r="DD196" i="216"/>
  <c r="AR197" i="216"/>
  <c r="DD198" i="216"/>
  <c r="DJ199" i="216"/>
  <c r="DB199" i="216"/>
  <c r="CP201" i="216"/>
  <c r="X202" i="216"/>
  <c r="W202" i="216" s="1"/>
  <c r="BU203" i="216"/>
  <c r="BN203" i="216"/>
  <c r="CP206" i="216"/>
  <c r="R207" i="216"/>
  <c r="CL207" i="216"/>
  <c r="CP209" i="216"/>
  <c r="CH209" i="216"/>
  <c r="EE108" i="216"/>
  <c r="AX108" i="216"/>
  <c r="BO119" i="216"/>
  <c r="BY119" i="216"/>
  <c r="DE119" i="216"/>
  <c r="DN119" i="216"/>
  <c r="T123" i="216"/>
  <c r="DF123" i="216"/>
  <c r="BF124" i="216"/>
  <c r="CX128" i="216"/>
  <c r="CV125" i="216"/>
  <c r="BW136" i="216"/>
  <c r="BX136" i="216" s="1"/>
  <c r="DK136" i="216"/>
  <c r="DL136" i="216" s="1"/>
  <c r="BC141" i="216"/>
  <c r="BK141" i="216" s="1"/>
  <c r="CZ145" i="216"/>
  <c r="CZ404" i="216" s="1"/>
  <c r="AD146" i="216"/>
  <c r="DF146" i="216"/>
  <c r="CP149" i="216"/>
  <c r="CP406" i="216" s="1"/>
  <c r="BH157" i="216"/>
  <c r="EL158" i="216"/>
  <c r="AB159" i="216"/>
  <c r="AN159" i="216"/>
  <c r="CL159" i="216"/>
  <c r="EG160" i="216"/>
  <c r="J152" i="213" s="1"/>
  <c r="CB160" i="216"/>
  <c r="CP160" i="216"/>
  <c r="EI162" i="216"/>
  <c r="K154" i="213" s="1"/>
  <c r="ED162" i="216"/>
  <c r="AN165" i="216"/>
  <c r="BL165" i="216"/>
  <c r="AV168" i="216"/>
  <c r="BR169" i="216"/>
  <c r="CB181" i="216"/>
  <c r="T182" i="216"/>
  <c r="EA183" i="216"/>
  <c r="EP183" i="216" s="1"/>
  <c r="CO186" i="216"/>
  <c r="BF187" i="216"/>
  <c r="BR187" i="216"/>
  <c r="CB187" i="216"/>
  <c r="CL187" i="216"/>
  <c r="DH188" i="216"/>
  <c r="BE272" i="216"/>
  <c r="BL191" i="216"/>
  <c r="EL193" i="216"/>
  <c r="AG196" i="216"/>
  <c r="DF196" i="216"/>
  <c r="DF198" i="216"/>
  <c r="DT199" i="216"/>
  <c r="BL206" i="216"/>
  <c r="BD206" i="216"/>
  <c r="AB101" i="216"/>
  <c r="BH101" i="216"/>
  <c r="T102" i="216"/>
  <c r="BP102" i="216"/>
  <c r="AR103" i="216"/>
  <c r="R104" i="216"/>
  <c r="AJ104" i="216"/>
  <c r="AV104" i="216"/>
  <c r="BP104" i="216"/>
  <c r="AV106" i="216"/>
  <c r="CB106" i="216"/>
  <c r="CU119" i="216"/>
  <c r="BF115" i="216"/>
  <c r="CL115" i="216"/>
  <c r="EL123" i="216"/>
  <c r="AL123" i="216"/>
  <c r="BJ128" i="216"/>
  <c r="AV125" i="216"/>
  <c r="BJ136" i="216"/>
  <c r="CI136" i="216"/>
  <c r="CW136" i="216"/>
  <c r="EL132" i="216"/>
  <c r="AJ141" i="216"/>
  <c r="X147" i="216"/>
  <c r="W147" i="216" s="1"/>
  <c r="AU153" i="216"/>
  <c r="CA153" i="216"/>
  <c r="X156" i="216"/>
  <c r="DL156" i="216"/>
  <c r="AT157" i="216"/>
  <c r="CB157" i="216"/>
  <c r="BF159" i="216"/>
  <c r="AV160" i="216"/>
  <c r="BP161" i="216"/>
  <c r="CV161" i="216"/>
  <c r="AD162" i="216"/>
  <c r="EI163" i="216"/>
  <c r="K155" i="213" s="1"/>
  <c r="AX163" i="216"/>
  <c r="DZ163" i="216"/>
  <c r="AH165" i="216"/>
  <c r="DJ165" i="216"/>
  <c r="AH168" i="216"/>
  <c r="EL182" i="216"/>
  <c r="EK182" i="216"/>
  <c r="P188" i="216"/>
  <c r="CB186" i="216"/>
  <c r="EG187" i="216"/>
  <c r="AR187" i="216"/>
  <c r="EP187" i="216"/>
  <c r="Y272" i="216"/>
  <c r="AD191" i="216"/>
  <c r="BF191" i="216"/>
  <c r="BK192" i="216"/>
  <c r="BD192" i="216"/>
  <c r="BL194" i="216"/>
  <c r="BZ194" i="216"/>
  <c r="DP194" i="216"/>
  <c r="BV196" i="216"/>
  <c r="BL197" i="216"/>
  <c r="BD197" i="216"/>
  <c r="CH197" i="216"/>
  <c r="AB199" i="216"/>
  <c r="CT199" i="216"/>
  <c r="CY199" i="216"/>
  <c r="BV204" i="216"/>
  <c r="BP204" i="216"/>
  <c r="DL204" i="216"/>
  <c r="BL201" i="216"/>
  <c r="BD201" i="216"/>
  <c r="AT205" i="216"/>
  <c r="BB205" i="216"/>
  <c r="DJ191" i="216"/>
  <c r="BF192" i="216"/>
  <c r="BR194" i="216"/>
  <c r="DF194" i="216"/>
  <c r="T195" i="216"/>
  <c r="AD196" i="216"/>
  <c r="CV197" i="216"/>
  <c r="DT197" i="216"/>
  <c r="AN199" i="216"/>
  <c r="BB200" i="216"/>
  <c r="CB200" i="216"/>
  <c r="DJ200" i="216"/>
  <c r="CH201" i="216"/>
  <c r="BR202" i="216"/>
  <c r="CP202" i="216"/>
  <c r="BL203" i="216"/>
  <c r="BP203" i="216"/>
  <c r="DJ203" i="216"/>
  <c r="AN204" i="216"/>
  <c r="DB204" i="216"/>
  <c r="DN204" i="216"/>
  <c r="AN205" i="216"/>
  <c r="DF206" i="216"/>
  <c r="AN208" i="216"/>
  <c r="DF208" i="216"/>
  <c r="P210" i="216"/>
  <c r="AD210" i="216"/>
  <c r="BB210" i="216"/>
  <c r="BH210" i="216"/>
  <c r="AN212" i="216"/>
  <c r="CV213" i="216"/>
  <c r="EL214" i="216"/>
  <c r="AH216" i="216"/>
  <c r="CL216" i="216"/>
  <c r="BN219" i="216"/>
  <c r="CB219" i="216"/>
  <c r="CR230" i="216"/>
  <c r="EP240" i="216"/>
  <c r="DZ240" i="216"/>
  <c r="Z241" i="216"/>
  <c r="AQ247" i="216"/>
  <c r="AJ247" i="216"/>
  <c r="CV247" i="216"/>
  <c r="CZ201" i="216"/>
  <c r="CV202" i="216"/>
  <c r="BR203" i="216"/>
  <c r="EG204" i="216"/>
  <c r="DP204" i="216"/>
  <c r="AD208" i="216"/>
  <c r="EG211" i="216"/>
  <c r="DL212" i="216"/>
  <c r="CZ214" i="216"/>
  <c r="BL215" i="216"/>
  <c r="CF216" i="216"/>
  <c r="CR218" i="216"/>
  <c r="AN230" i="216"/>
  <c r="AQ230" i="216"/>
  <c r="AB246" i="216"/>
  <c r="AH246" i="216"/>
  <c r="BP251" i="216"/>
  <c r="BV251" i="216"/>
  <c r="DJ261" i="216"/>
  <c r="DB261" i="216"/>
  <c r="EG213" i="216"/>
  <c r="CF213" i="216"/>
  <c r="DI243" i="216"/>
  <c r="DB243" i="216"/>
  <c r="X246" i="216"/>
  <c r="W246" i="216" s="1"/>
  <c r="P246" i="216"/>
  <c r="CL255" i="216"/>
  <c r="CO255" i="216"/>
  <c r="CT193" i="216"/>
  <c r="AJ195" i="216"/>
  <c r="CZ195" i="216"/>
  <c r="EG198" i="216"/>
  <c r="AB198" i="216"/>
  <c r="BL198" i="216"/>
  <c r="CJ198" i="216"/>
  <c r="EL200" i="216"/>
  <c r="CT204" i="216"/>
  <c r="DT204" i="216"/>
  <c r="R205" i="216"/>
  <c r="CJ208" i="216"/>
  <c r="R209" i="216"/>
  <c r="DF210" i="216"/>
  <c r="CB211" i="216"/>
  <c r="DP211" i="216"/>
  <c r="BV212" i="216"/>
  <c r="CB212" i="216"/>
  <c r="DN212" i="216"/>
  <c r="AB213" i="216"/>
  <c r="EL213" i="216"/>
  <c r="CL213" i="216"/>
  <c r="AB214" i="216"/>
  <c r="EG215" i="216"/>
  <c r="AB215" i="216"/>
  <c r="CB215" i="216"/>
  <c r="DP215" i="216"/>
  <c r="EG216" i="216"/>
  <c r="EF216" i="216" s="1"/>
  <c r="DD216" i="216"/>
  <c r="AL217" i="216"/>
  <c r="CF217" i="216"/>
  <c r="BP218" i="216"/>
  <c r="AD229" i="216"/>
  <c r="AG229" i="216"/>
  <c r="EK261" i="216"/>
  <c r="T261" i="216"/>
  <c r="AJ205" i="216"/>
  <c r="EL205" i="216"/>
  <c r="EL208" i="216"/>
  <c r="DX208" i="216"/>
  <c r="EK209" i="216"/>
  <c r="CF209" i="216"/>
  <c r="ED209" i="216"/>
  <c r="DD214" i="216"/>
  <c r="BR218" i="216"/>
  <c r="AQ220" i="216"/>
  <c r="AJ220" i="216"/>
  <c r="T242" i="216"/>
  <c r="BU242" i="216"/>
  <c r="BP242" i="216"/>
  <c r="EG245" i="216"/>
  <c r="EL217" i="216"/>
  <c r="CT231" i="216"/>
  <c r="CY231" i="216"/>
  <c r="AR242" i="216"/>
  <c r="AJ242" i="216"/>
  <c r="DX245" i="216"/>
  <c r="ED245" i="216"/>
  <c r="CZ253" i="216"/>
  <c r="CR253" i="216"/>
  <c r="AX191" i="216"/>
  <c r="DX191" i="216"/>
  <c r="T192" i="216"/>
  <c r="BP192" i="216"/>
  <c r="CV192" i="216"/>
  <c r="CL193" i="216"/>
  <c r="DB194" i="216"/>
  <c r="AR195" i="216"/>
  <c r="CJ195" i="216"/>
  <c r="AH196" i="216"/>
  <c r="AL196" i="216"/>
  <c r="CB196" i="216"/>
  <c r="BH197" i="216"/>
  <c r="CR197" i="216"/>
  <c r="T198" i="216"/>
  <c r="BZ198" i="216"/>
  <c r="CL198" i="216"/>
  <c r="CV198" i="216"/>
  <c r="DJ198" i="216"/>
  <c r="AR199" i="216"/>
  <c r="BP199" i="216"/>
  <c r="CJ200" i="216"/>
  <c r="DF202" i="216"/>
  <c r="CB203" i="216"/>
  <c r="CZ203" i="216"/>
  <c r="DF203" i="216"/>
  <c r="AB205" i="216"/>
  <c r="AV205" i="216"/>
  <c r="AL206" i="216"/>
  <c r="AX206" i="216"/>
  <c r="BZ206" i="216"/>
  <c r="T207" i="216"/>
  <c r="AV207" i="216"/>
  <c r="DN208" i="216"/>
  <c r="DD209" i="216"/>
  <c r="AL211" i="216"/>
  <c r="BR211" i="216"/>
  <c r="R213" i="216"/>
  <c r="BP214" i="216"/>
  <c r="AL216" i="216"/>
  <c r="AB217" i="216"/>
  <c r="CT217" i="216"/>
  <c r="BZ221" i="216"/>
  <c r="CE221" i="216"/>
  <c r="BX228" i="216"/>
  <c r="CV191" i="216"/>
  <c r="EL192" i="216"/>
  <c r="AN192" i="216"/>
  <c r="CB193" i="216"/>
  <c r="BP194" i="216"/>
  <c r="DD194" i="216"/>
  <c r="AD195" i="216"/>
  <c r="AN196" i="216"/>
  <c r="BF196" i="216"/>
  <c r="CT196" i="216"/>
  <c r="R197" i="216"/>
  <c r="EL197" i="216"/>
  <c r="BZ197" i="216"/>
  <c r="CT197" i="216"/>
  <c r="DN197" i="216"/>
  <c r="EG199" i="216"/>
  <c r="AL199" i="216"/>
  <c r="BR199" i="216"/>
  <c r="AT200" i="216"/>
  <c r="BZ200" i="216"/>
  <c r="CL200" i="216"/>
  <c r="EL201" i="216"/>
  <c r="AL201" i="216"/>
  <c r="DD201" i="216"/>
  <c r="DP201" i="216"/>
  <c r="BP202" i="216"/>
  <c r="T203" i="216"/>
  <c r="AL204" i="216"/>
  <c r="AX205" i="216"/>
  <c r="BP205" i="216"/>
  <c r="CB205" i="216"/>
  <c r="DD206" i="216"/>
  <c r="EL207" i="216"/>
  <c r="CJ207" i="216"/>
  <c r="CV207" i="216"/>
  <c r="AL208" i="216"/>
  <c r="BZ208" i="216"/>
  <c r="DP208" i="216"/>
  <c r="AB210" i="216"/>
  <c r="BF210" i="216"/>
  <c r="DN210" i="216"/>
  <c r="AN211" i="216"/>
  <c r="DJ211" i="216"/>
  <c r="AH212" i="216"/>
  <c r="AL212" i="216"/>
  <c r="DI212" i="216"/>
  <c r="EK213" i="216"/>
  <c r="AR213" i="216"/>
  <c r="CT213" i="216"/>
  <c r="BR214" i="216"/>
  <c r="CP214" i="216"/>
  <c r="DJ215" i="216"/>
  <c r="AN216" i="216"/>
  <c r="CJ216" i="216"/>
  <c r="BZ219" i="216"/>
  <c r="DB235" i="216"/>
  <c r="CT247" i="216"/>
  <c r="BP248" i="216"/>
  <c r="AH220" i="216"/>
  <c r="AL220" i="216"/>
  <c r="AR221" i="216"/>
  <c r="AQ222" i="216"/>
  <c r="CL223" i="216"/>
  <c r="CV223" i="216"/>
  <c r="AB224" i="216"/>
  <c r="AN226" i="216"/>
  <c r="AD227" i="216"/>
  <c r="CB227" i="216"/>
  <c r="DZ228" i="216"/>
  <c r="AL229" i="216"/>
  <c r="BZ229" i="216"/>
  <c r="AD230" i="216"/>
  <c r="AN231" i="216"/>
  <c r="BR231" i="216"/>
  <c r="AH236" i="216"/>
  <c r="DF236" i="216"/>
  <c r="BR237" i="216"/>
  <c r="EL238" i="216"/>
  <c r="CV238" i="216"/>
  <c r="CL242" i="216"/>
  <c r="AH244" i="216"/>
  <c r="AR244" i="216"/>
  <c r="DN244" i="216"/>
  <c r="EL245" i="216"/>
  <c r="CV245" i="216"/>
  <c r="DT245" i="216"/>
  <c r="AX249" i="216"/>
  <c r="BF250" i="216"/>
  <c r="DD250" i="216"/>
  <c r="CT251" i="216"/>
  <c r="DD251" i="216"/>
  <c r="AX252" i="216"/>
  <c r="AR253" i="216"/>
  <c r="R255" i="216"/>
  <c r="DP255" i="216"/>
  <c r="DN256" i="216"/>
  <c r="CF262" i="216"/>
  <c r="CT262" i="216"/>
  <c r="AG264" i="216"/>
  <c r="AD264" i="216"/>
  <c r="CY264" i="216"/>
  <c r="CV264" i="216"/>
  <c r="Z293" i="216"/>
  <c r="AH293" i="216"/>
  <c r="EG217" i="216"/>
  <c r="CL217" i="216"/>
  <c r="AN220" i="216"/>
  <c r="EL221" i="216"/>
  <c r="AV222" i="216"/>
  <c r="EL223" i="216"/>
  <c r="BR223" i="216"/>
  <c r="EC223" i="216"/>
  <c r="BU224" i="216"/>
  <c r="T226" i="216"/>
  <c r="CJ226" i="216"/>
  <c r="T228" i="216"/>
  <c r="BU228" i="216"/>
  <c r="EL229" i="216"/>
  <c r="AR229" i="216"/>
  <c r="DF229" i="216"/>
  <c r="CO230" i="216"/>
  <c r="EK232" i="216"/>
  <c r="BK232" i="216"/>
  <c r="CL233" i="216"/>
  <c r="T234" i="216"/>
  <c r="BP234" i="216"/>
  <c r="CL235" i="216"/>
  <c r="CP238" i="216"/>
  <c r="AD239" i="216"/>
  <c r="AB242" i="216"/>
  <c r="BV242" i="216"/>
  <c r="DT244" i="216"/>
  <c r="EG244" i="216"/>
  <c r="AR245" i="216"/>
  <c r="CJ245" i="216"/>
  <c r="AH247" i="216"/>
  <c r="BZ247" i="216"/>
  <c r="AB249" i="216"/>
  <c r="CZ249" i="216"/>
  <c r="AB250" i="216"/>
  <c r="BH250" i="216"/>
  <c r="CT250" i="216"/>
  <c r="DF250" i="216"/>
  <c r="EK251" i="216"/>
  <c r="CB251" i="216"/>
  <c r="DJ251" i="216"/>
  <c r="X253" i="216"/>
  <c r="W253" i="216" s="1"/>
  <c r="AX253" i="216"/>
  <c r="DD253" i="216"/>
  <c r="BR254" i="216"/>
  <c r="CP254" i="216"/>
  <c r="CF255" i="216"/>
  <c r="CZ255" i="216"/>
  <c r="BH258" i="216"/>
  <c r="DB258" i="216"/>
  <c r="BP262" i="216"/>
  <c r="BV262" i="216"/>
  <c r="BN286" i="216"/>
  <c r="BO288" i="216"/>
  <c r="BV286" i="216"/>
  <c r="DD224" i="216"/>
  <c r="EG225" i="216"/>
  <c r="EL227" i="216"/>
  <c r="CL228" i="216"/>
  <c r="DJ228" i="216"/>
  <c r="EP228" i="216"/>
  <c r="CB229" i="216"/>
  <c r="AB232" i="216"/>
  <c r="CL232" i="216"/>
  <c r="DJ232" i="216"/>
  <c r="EG233" i="216"/>
  <c r="BV236" i="216"/>
  <c r="AN237" i="216"/>
  <c r="EK239" i="216"/>
  <c r="AV240" i="216"/>
  <c r="DN240" i="216"/>
  <c r="AL242" i="216"/>
  <c r="BF243" i="216"/>
  <c r="DF244" i="216"/>
  <c r="BP245" i="216"/>
  <c r="DZ245" i="216"/>
  <c r="R246" i="216"/>
  <c r="AD246" i="216"/>
  <c r="AV246" i="216"/>
  <c r="DN246" i="216"/>
  <c r="AV247" i="216"/>
  <c r="CZ247" i="216"/>
  <c r="EL248" i="216"/>
  <c r="AT248" i="216"/>
  <c r="EG249" i="216"/>
  <c r="BL249" i="216"/>
  <c r="EG250" i="216"/>
  <c r="BL250" i="216"/>
  <c r="AL251" i="216"/>
  <c r="BR251" i="216"/>
  <c r="AN252" i="216"/>
  <c r="EL252" i="216"/>
  <c r="DT252" i="216"/>
  <c r="BU253" i="216"/>
  <c r="CB254" i="216"/>
  <c r="EK255" i="216"/>
  <c r="T255" i="216"/>
  <c r="AR255" i="216"/>
  <c r="CV256" i="216"/>
  <c r="CY258" i="216"/>
  <c r="CT258" i="216"/>
  <c r="BV260" i="216"/>
  <c r="CY261" i="216"/>
  <c r="CV261" i="216"/>
  <c r="EL263" i="216"/>
  <c r="BU293" i="216"/>
  <c r="BR293" i="216"/>
  <c r="R225" i="216"/>
  <c r="AL227" i="216"/>
  <c r="CJ227" i="216"/>
  <c r="EL230" i="216"/>
  <c r="AL230" i="216"/>
  <c r="AV231" i="216"/>
  <c r="R233" i="216"/>
  <c r="DD238" i="216"/>
  <c r="EL239" i="216"/>
  <c r="AX245" i="216"/>
  <c r="CB245" i="216"/>
  <c r="CP245" i="216"/>
  <c r="T246" i="216"/>
  <c r="BB246" i="216"/>
  <c r="AV248" i="216"/>
  <c r="BZ248" i="216"/>
  <c r="R249" i="216"/>
  <c r="BF249" i="216"/>
  <c r="DD249" i="216"/>
  <c r="CZ250" i="216"/>
  <c r="AN251" i="216"/>
  <c r="T252" i="216"/>
  <c r="DP252" i="216"/>
  <c r="AQ253" i="216"/>
  <c r="BZ253" i="216"/>
  <c r="CJ253" i="216"/>
  <c r="DN253" i="216"/>
  <c r="EL255" i="216"/>
  <c r="DZ260" i="216"/>
  <c r="EP260" i="216"/>
  <c r="BV261" i="216"/>
  <c r="AH262" i="216"/>
  <c r="CE265" i="216"/>
  <c r="CB265" i="216"/>
  <c r="EK276" i="216"/>
  <c r="L219" i="213" s="1"/>
  <c r="AL288" i="216"/>
  <c r="R293" i="216"/>
  <c r="BB293" i="216"/>
  <c r="AX293" i="216"/>
  <c r="CB221" i="216"/>
  <c r="EL222" i="216"/>
  <c r="BR222" i="216"/>
  <c r="Z227" i="216"/>
  <c r="AN227" i="216"/>
  <c r="EL228" i="216"/>
  <c r="T231" i="216"/>
  <c r="BN231" i="216"/>
  <c r="CV231" i="216"/>
  <c r="EK233" i="216"/>
  <c r="CL234" i="216"/>
  <c r="EL235" i="216"/>
  <c r="EL236" i="216"/>
  <c r="EG238" i="216"/>
  <c r="CR238" i="216"/>
  <c r="AB241" i="216"/>
  <c r="DD243" i="216"/>
  <c r="DD246" i="216"/>
  <c r="AL247" i="216"/>
  <c r="AH248" i="216"/>
  <c r="AX248" i="216"/>
  <c r="BH249" i="216"/>
  <c r="CF249" i="216"/>
  <c r="EG252" i="216"/>
  <c r="EG253" i="216"/>
  <c r="BX259" i="216"/>
  <c r="CF259" i="216"/>
  <c r="AG286" i="216"/>
  <c r="AD286" i="216"/>
  <c r="DF215" i="216"/>
  <c r="AV216" i="216"/>
  <c r="AR217" i="216"/>
  <c r="CV217" i="216"/>
  <c r="EL218" i="216"/>
  <c r="BP219" i="216"/>
  <c r="DZ219" i="216"/>
  <c r="BZ220" i="216"/>
  <c r="BA222" i="216"/>
  <c r="AD223" i="216"/>
  <c r="CB223" i="216"/>
  <c r="DX223" i="216"/>
  <c r="EK224" i="216"/>
  <c r="AV224" i="216"/>
  <c r="CB224" i="216"/>
  <c r="DZ224" i="216"/>
  <c r="EL225" i="216"/>
  <c r="AR225" i="216"/>
  <c r="AD226" i="216"/>
  <c r="AB228" i="216"/>
  <c r="BH228" i="216"/>
  <c r="CB228" i="216"/>
  <c r="EG229" i="216"/>
  <c r="CT229" i="216"/>
  <c r="CV230" i="216"/>
  <c r="EL231" i="216"/>
  <c r="DP231" i="216"/>
  <c r="T232" i="216"/>
  <c r="AD232" i="216"/>
  <c r="BF232" i="216"/>
  <c r="EL233" i="216"/>
  <c r="AR233" i="216"/>
  <c r="BF233" i="216"/>
  <c r="AL235" i="216"/>
  <c r="BZ235" i="216"/>
  <c r="DF235" i="216"/>
  <c r="BB238" i="216"/>
  <c r="AD241" i="216"/>
  <c r="AV241" i="216"/>
  <c r="CV241" i="216"/>
  <c r="DZ241" i="216"/>
  <c r="DF243" i="216"/>
  <c r="DL244" i="216"/>
  <c r="CZ245" i="216"/>
  <c r="DF246" i="216"/>
  <c r="AN247" i="216"/>
  <c r="BR248" i="216"/>
  <c r="EL249" i="216"/>
  <c r="DZ249" i="216"/>
  <c r="DB250" i="216"/>
  <c r="DB251" i="216"/>
  <c r="BB252" i="216"/>
  <c r="AT253" i="216"/>
  <c r="DL255" i="216"/>
  <c r="DL256" i="216"/>
  <c r="AN258" i="216"/>
  <c r="AQ258" i="216"/>
  <c r="BK258" i="216"/>
  <c r="BF258" i="216"/>
  <c r="CY262" i="216"/>
  <c r="CV262" i="216"/>
  <c r="AJ264" i="216"/>
  <c r="AT287" i="216"/>
  <c r="BA287" i="216"/>
  <c r="CH293" i="216"/>
  <c r="CP293" i="216"/>
  <c r="EL216" i="216"/>
  <c r="AX216" i="216"/>
  <c r="CT216" i="216"/>
  <c r="BF218" i="216"/>
  <c r="DN218" i="216"/>
  <c r="BL219" i="216"/>
  <c r="BR219" i="216"/>
  <c r="CB220" i="216"/>
  <c r="R221" i="216"/>
  <c r="BP221" i="216"/>
  <c r="CB222" i="216"/>
  <c r="DX222" i="216"/>
  <c r="DF223" i="216"/>
  <c r="EL224" i="216"/>
  <c r="AX224" i="216"/>
  <c r="BR224" i="216"/>
  <c r="CT224" i="216"/>
  <c r="AD225" i="216"/>
  <c r="BH225" i="216"/>
  <c r="R227" i="216"/>
  <c r="AX227" i="216"/>
  <c r="BZ227" i="216"/>
  <c r="CT227" i="216"/>
  <c r="AH228" i="216"/>
  <c r="AN228" i="216"/>
  <c r="DX228" i="216"/>
  <c r="R229" i="216"/>
  <c r="CV229" i="216"/>
  <c r="AB230" i="216"/>
  <c r="BH230" i="216"/>
  <c r="AL231" i="216"/>
  <c r="BF231" i="216"/>
  <c r="CJ231" i="216"/>
  <c r="CT232" i="216"/>
  <c r="EG234" i="216"/>
  <c r="DD234" i="216"/>
  <c r="CZ235" i="216"/>
  <c r="AN236" i="216"/>
  <c r="DP236" i="216"/>
  <c r="CT237" i="216"/>
  <c r="T238" i="216"/>
  <c r="BP238" i="216"/>
  <c r="DN239" i="216"/>
  <c r="EK242" i="216"/>
  <c r="AG242" i="216"/>
  <c r="CJ242" i="216"/>
  <c r="AB244" i="216"/>
  <c r="AL244" i="216"/>
  <c r="BV244" i="216"/>
  <c r="CT245" i="216"/>
  <c r="EG248" i="216"/>
  <c r="CF248" i="216"/>
  <c r="ED250" i="216"/>
  <c r="CF251" i="216"/>
  <c r="EK252" i="216"/>
  <c r="AV253" i="216"/>
  <c r="DF253" i="216"/>
  <c r="BN254" i="216"/>
  <c r="BV254" i="216"/>
  <c r="CA288" i="216"/>
  <c r="BZ286" i="216"/>
  <c r="CT286" i="216"/>
  <c r="CU288" i="216"/>
  <c r="CT288" i="216" s="1"/>
  <c r="AN255" i="216"/>
  <c r="BL255" i="216"/>
  <c r="CJ255" i="216"/>
  <c r="BL257" i="216"/>
  <c r="BR258" i="216"/>
  <c r="DD258" i="216"/>
  <c r="BP259" i="216"/>
  <c r="BB261" i="216"/>
  <c r="CP262" i="216"/>
  <c r="BR263" i="216"/>
  <c r="EG264" i="216"/>
  <c r="CT264" i="216"/>
  <c r="EL265" i="216"/>
  <c r="AR265" i="216"/>
  <c r="CT265" i="216"/>
  <c r="CL266" i="216"/>
  <c r="EG268" i="216"/>
  <c r="BB268" i="216"/>
  <c r="DN269" i="216"/>
  <c r="AV276" i="216"/>
  <c r="DJ277" i="216"/>
  <c r="EK279" i="216"/>
  <c r="AV279" i="216"/>
  <c r="EE279" i="216"/>
  <c r="AD281" i="216"/>
  <c r="CL281" i="216"/>
  <c r="DJ281" i="216"/>
  <c r="AB292" i="216"/>
  <c r="BD292" i="216"/>
  <c r="EL293" i="216"/>
  <c r="EL294" i="216"/>
  <c r="ED294" i="216"/>
  <c r="EC294" i="216" s="1"/>
  <c r="DB295" i="216"/>
  <c r="DN295" i="216"/>
  <c r="BF296" i="216"/>
  <c r="AB297" i="216"/>
  <c r="CB298" i="216"/>
  <c r="DV298" i="216"/>
  <c r="CR300" i="216"/>
  <c r="DD301" i="216"/>
  <c r="CV304" i="216"/>
  <c r="BR306" i="216"/>
  <c r="AN310" i="216"/>
  <c r="AR314" i="216"/>
  <c r="AJ314" i="216"/>
  <c r="CL316" i="216"/>
  <c r="CO316" i="216"/>
  <c r="DI322" i="216"/>
  <c r="DF322" i="216"/>
  <c r="AB258" i="216"/>
  <c r="DF258" i="216"/>
  <c r="BR259" i="216"/>
  <c r="DP260" i="216"/>
  <c r="DT261" i="216"/>
  <c r="EI264" i="216"/>
  <c r="BB264" i="216"/>
  <c r="BV264" i="216"/>
  <c r="ED264" i="216"/>
  <c r="BV265" i="216"/>
  <c r="CV265" i="216"/>
  <c r="EL266" i="216"/>
  <c r="DP266" i="216"/>
  <c r="BH268" i="216"/>
  <c r="AD269" i="216"/>
  <c r="DP269" i="216"/>
  <c r="BV277" i="216"/>
  <c r="CP277" i="216"/>
  <c r="EL279" i="216"/>
  <c r="AX279" i="216"/>
  <c r="CB279" i="216"/>
  <c r="DF279" i="216"/>
  <c r="EG280" i="216"/>
  <c r="CL280" i="216"/>
  <c r="EG281" i="216"/>
  <c r="BP292" i="216"/>
  <c r="CB293" i="216"/>
  <c r="DZ294" i="216"/>
  <c r="AF328" i="216"/>
  <c r="BB295" i="216"/>
  <c r="BL295" i="216"/>
  <c r="BT328" i="216"/>
  <c r="CF295" i="216"/>
  <c r="AH296" i="216"/>
  <c r="AR296" i="216"/>
  <c r="BH296" i="216"/>
  <c r="BR296" i="216"/>
  <c r="AD297" i="216"/>
  <c r="AV298" i="216"/>
  <c r="DF299" i="216"/>
  <c r="DF301" i="216"/>
  <c r="AN302" i="216"/>
  <c r="AX303" i="216"/>
  <c r="AN304" i="216"/>
  <c r="BZ307" i="216"/>
  <c r="DZ309" i="216"/>
  <c r="BD310" i="216"/>
  <c r="BH311" i="216"/>
  <c r="AN313" i="216"/>
  <c r="CV313" i="216"/>
  <c r="CL322" i="216"/>
  <c r="CP322" i="216"/>
  <c r="AH255" i="216"/>
  <c r="EL256" i="216"/>
  <c r="DP256" i="216"/>
  <c r="ED257" i="216"/>
  <c r="AD258" i="216"/>
  <c r="BL258" i="216"/>
  <c r="CB258" i="216"/>
  <c r="AN259" i="216"/>
  <c r="BH259" i="216"/>
  <c r="CL259" i="216"/>
  <c r="CV259" i="216"/>
  <c r="T260" i="216"/>
  <c r="AD260" i="216"/>
  <c r="DF260" i="216"/>
  <c r="EG261" i="216"/>
  <c r="EG262" i="216"/>
  <c r="AD263" i="216"/>
  <c r="AV263" i="216"/>
  <c r="CB263" i="216"/>
  <c r="CJ264" i="216"/>
  <c r="DT264" i="216"/>
  <c r="AH265" i="216"/>
  <c r="BD265" i="216"/>
  <c r="BP265" i="216"/>
  <c r="CL265" i="216"/>
  <c r="CV266" i="216"/>
  <c r="DF266" i="216"/>
  <c r="R267" i="216"/>
  <c r="AL267" i="216"/>
  <c r="BP267" i="216"/>
  <c r="CT267" i="216"/>
  <c r="DI267" i="216"/>
  <c r="T268" i="216"/>
  <c r="DD268" i="216"/>
  <c r="DS268" i="216"/>
  <c r="BZ269" i="216"/>
  <c r="CO269" i="216"/>
  <c r="BL277" i="216"/>
  <c r="AB279" i="216"/>
  <c r="CT279" i="216"/>
  <c r="BZ280" i="216"/>
  <c r="EI281" i="216"/>
  <c r="AV281" i="216"/>
  <c r="BP281" i="216"/>
  <c r="CV281" i="216"/>
  <c r="DF281" i="216"/>
  <c r="P288" i="216"/>
  <c r="EL291" i="216"/>
  <c r="BL291" i="216"/>
  <c r="AT293" i="216"/>
  <c r="BF293" i="216"/>
  <c r="CV294" i="216"/>
  <c r="CR295" i="216"/>
  <c r="DT295" i="216"/>
  <c r="CF296" i="216"/>
  <c r="DV296" i="216"/>
  <c r="EG297" i="216"/>
  <c r="BB298" i="216"/>
  <c r="CV298" i="216"/>
  <c r="DL298" i="216"/>
  <c r="DZ298" i="216"/>
  <c r="X300" i="216"/>
  <c r="W300" i="216" s="1"/>
  <c r="BP301" i="216"/>
  <c r="EG303" i="216"/>
  <c r="DN303" i="216"/>
  <c r="DP304" i="216"/>
  <c r="EG306" i="216"/>
  <c r="BV307" i="216"/>
  <c r="BN307" i="216"/>
  <c r="CH311" i="216"/>
  <c r="DN311" i="216"/>
  <c r="ED312" i="216"/>
  <c r="AB313" i="216"/>
  <c r="AN314" i="216"/>
  <c r="AD315" i="216"/>
  <c r="BU322" i="216"/>
  <c r="BR322" i="216"/>
  <c r="AB261" i="216"/>
  <c r="AL261" i="216"/>
  <c r="BP261" i="216"/>
  <c r="BZ261" i="216"/>
  <c r="AB262" i="216"/>
  <c r="AL262" i="216"/>
  <c r="BL262" i="216"/>
  <c r="BH263" i="216"/>
  <c r="EK264" i="216"/>
  <c r="CL264" i="216"/>
  <c r="AB265" i="216"/>
  <c r="DT265" i="216"/>
  <c r="AN266" i="216"/>
  <c r="CV267" i="216"/>
  <c r="DN267" i="216"/>
  <c r="EL268" i="216"/>
  <c r="AL268" i="216"/>
  <c r="DF268" i="216"/>
  <c r="CB269" i="216"/>
  <c r="CT269" i="216"/>
  <c r="DZ269" i="216"/>
  <c r="EG277" i="216"/>
  <c r="J218" i="213" s="1"/>
  <c r="CF277" i="216"/>
  <c r="DN277" i="216"/>
  <c r="EB283" i="216"/>
  <c r="AH279" i="216"/>
  <c r="BH279" i="216"/>
  <c r="DX279" i="216"/>
  <c r="AL280" i="216"/>
  <c r="DD280" i="216"/>
  <c r="DX280" i="216"/>
  <c r="AX281" i="216"/>
  <c r="CB281" i="216"/>
  <c r="AN287" i="216"/>
  <c r="BP287" i="216"/>
  <c r="CB287" i="216"/>
  <c r="CT287" i="216"/>
  <c r="BF291" i="216"/>
  <c r="CJ291" i="216"/>
  <c r="DX291" i="216"/>
  <c r="BB292" i="216"/>
  <c r="BH292" i="216"/>
  <c r="CZ293" i="216"/>
  <c r="CJ294" i="216"/>
  <c r="DP294" i="216"/>
  <c r="EP294" i="216"/>
  <c r="DF295" i="216"/>
  <c r="CH296" i="216"/>
  <c r="CT296" i="216"/>
  <c r="R297" i="216"/>
  <c r="AN297" i="216"/>
  <c r="EL299" i="216"/>
  <c r="AL299" i="216"/>
  <c r="CB299" i="216"/>
  <c r="BL301" i="216"/>
  <c r="BR301" i="216"/>
  <c r="DT301" i="216"/>
  <c r="AB304" i="216"/>
  <c r="BH310" i="216"/>
  <c r="CL310" i="216"/>
  <c r="EG315" i="216"/>
  <c r="EP315" i="216"/>
  <c r="DZ315" i="216"/>
  <c r="EG317" i="216"/>
  <c r="X317" i="216"/>
  <c r="W317" i="216" s="1"/>
  <c r="P317" i="216"/>
  <c r="AX322" i="216"/>
  <c r="BB322" i="216"/>
  <c r="DA411" i="216"/>
  <c r="DD332" i="216"/>
  <c r="AV252" i="216"/>
  <c r="CV252" i="216"/>
  <c r="AB254" i="216"/>
  <c r="ED254" i="216"/>
  <c r="CT255" i="216"/>
  <c r="AH256" i="216"/>
  <c r="AR256" i="216"/>
  <c r="BH256" i="216"/>
  <c r="BB257" i="216"/>
  <c r="CT257" i="216"/>
  <c r="AH258" i="216"/>
  <c r="AH259" i="216"/>
  <c r="BP260" i="216"/>
  <c r="AN261" i="216"/>
  <c r="CB261" i="216"/>
  <c r="AN262" i="216"/>
  <c r="BZ262" i="216"/>
  <c r="CB264" i="216"/>
  <c r="BF265" i="216"/>
  <c r="EL267" i="216"/>
  <c r="DT267" i="216"/>
  <c r="EL269" i="216"/>
  <c r="DF269" i="216"/>
  <c r="DZ276" i="216"/>
  <c r="EK277" i="216"/>
  <c r="L218" i="213" s="1"/>
  <c r="AN279" i="216"/>
  <c r="DZ279" i="216"/>
  <c r="EL280" i="216"/>
  <c r="DF280" i="216"/>
  <c r="ED280" i="216"/>
  <c r="EL281" i="216"/>
  <c r="CR282" i="216"/>
  <c r="AH286" i="216"/>
  <c r="AT286" i="216"/>
  <c r="CV287" i="216"/>
  <c r="DZ291" i="216"/>
  <c r="EL292" i="216"/>
  <c r="AJ293" i="216"/>
  <c r="AV293" i="216"/>
  <c r="CL294" i="216"/>
  <c r="CV295" i="216"/>
  <c r="EG296" i="216"/>
  <c r="BA296" i="216"/>
  <c r="CV296" i="216"/>
  <c r="AX297" i="216"/>
  <c r="AH298" i="216"/>
  <c r="AN299" i="216"/>
  <c r="EK300" i="216"/>
  <c r="T300" i="216"/>
  <c r="BX300" i="216"/>
  <c r="P302" i="216"/>
  <c r="CF314" i="216"/>
  <c r="BX314" i="216"/>
  <c r="AG322" i="216"/>
  <c r="AD322" i="216"/>
  <c r="EG265" i="216"/>
  <c r="EL287" i="216"/>
  <c r="BX293" i="216"/>
  <c r="AT294" i="216"/>
  <c r="Z295" i="216"/>
  <c r="DB298" i="216"/>
  <c r="DJ298" i="216"/>
  <c r="AT302" i="216"/>
  <c r="BB302" i="216"/>
  <c r="AH303" i="216"/>
  <c r="Z303" i="216"/>
  <c r="DJ307" i="216"/>
  <c r="DF307" i="216"/>
  <c r="EP307" i="216"/>
  <c r="DZ307" i="216"/>
  <c r="CL308" i="216"/>
  <c r="CO308" i="216"/>
  <c r="BB312" i="216"/>
  <c r="AT312" i="216"/>
  <c r="DZ321" i="216"/>
  <c r="EP321" i="216"/>
  <c r="BD296" i="216"/>
  <c r="CR304" i="216"/>
  <c r="CZ304" i="216"/>
  <c r="AH307" i="216"/>
  <c r="Z307" i="216"/>
  <c r="DV309" i="216"/>
  <c r="DX309" i="216"/>
  <c r="AD253" i="216"/>
  <c r="X254" i="216"/>
  <c r="W254" i="216" s="1"/>
  <c r="AN254" i="216"/>
  <c r="BP254" i="216"/>
  <c r="AL255" i="216"/>
  <c r="BF255" i="216"/>
  <c r="DF255" i="216"/>
  <c r="DZ255" i="216"/>
  <c r="DF257" i="216"/>
  <c r="AL258" i="216"/>
  <c r="BP258" i="216"/>
  <c r="CE258" i="216"/>
  <c r="ED258" i="216"/>
  <c r="BF259" i="216"/>
  <c r="CB259" i="216"/>
  <c r="CT259" i="216"/>
  <c r="AB260" i="216"/>
  <c r="CL260" i="216"/>
  <c r="DD260" i="216"/>
  <c r="DN261" i="216"/>
  <c r="BP263" i="216"/>
  <c r="EE264" i="216"/>
  <c r="CZ264" i="216"/>
  <c r="EK265" i="216"/>
  <c r="BL265" i="216"/>
  <c r="CF265" i="216"/>
  <c r="CJ266" i="216"/>
  <c r="DD266" i="216"/>
  <c r="DD267" i="216"/>
  <c r="P268" i="216"/>
  <c r="AD268" i="216"/>
  <c r="AV268" i="216"/>
  <c r="EL276" i="216"/>
  <c r="ED277" i="216"/>
  <c r="DJ279" i="216"/>
  <c r="CP280" i="216"/>
  <c r="CJ281" i="216"/>
  <c r="DD281" i="216"/>
  <c r="EP281" i="216"/>
  <c r="ED282" i="216"/>
  <c r="ED409" i="216" s="1"/>
  <c r="AL286" i="216"/>
  <c r="BX287" i="216"/>
  <c r="EG291" i="216"/>
  <c r="P292" i="216"/>
  <c r="BN293" i="216"/>
  <c r="BL297" i="216"/>
  <c r="AT298" i="216"/>
  <c r="BP300" i="216"/>
  <c r="DB302" i="216"/>
  <c r="CF304" i="216"/>
  <c r="BP306" i="216"/>
  <c r="CH307" i="216"/>
  <c r="CP307" i="216"/>
  <c r="ED307" i="216"/>
  <c r="DF309" i="216"/>
  <c r="DV311" i="216"/>
  <c r="AX312" i="216"/>
  <c r="AR313" i="216"/>
  <c r="AJ313" i="216"/>
  <c r="T314" i="216"/>
  <c r="DZ322" i="216"/>
  <c r="EP322" i="216"/>
  <c r="ED322" i="216"/>
  <c r="EK321" i="216"/>
  <c r="BO415" i="216"/>
  <c r="BV337" i="216"/>
  <c r="BV415" i="216" s="1"/>
  <c r="CE371" i="216"/>
  <c r="BZ371" i="216"/>
  <c r="DB371" i="216"/>
  <c r="DD371" i="216"/>
  <c r="AH373" i="216"/>
  <c r="Z373" i="216"/>
  <c r="CF373" i="216"/>
  <c r="BX373" i="216"/>
  <c r="P380" i="216"/>
  <c r="X380" i="216"/>
  <c r="DT304" i="216"/>
  <c r="AD306" i="216"/>
  <c r="AR307" i="216"/>
  <c r="DJ309" i="216"/>
  <c r="CP310" i="216"/>
  <c r="DP310" i="216"/>
  <c r="EI312" i="216"/>
  <c r="EL314" i="216"/>
  <c r="DP314" i="216"/>
  <c r="BB316" i="216"/>
  <c r="ED316" i="216"/>
  <c r="CP323" i="216"/>
  <c r="DM411" i="216"/>
  <c r="DL332" i="216"/>
  <c r="DT332" i="216"/>
  <c r="EA413" i="216"/>
  <c r="EP334" i="216"/>
  <c r="AA415" i="216"/>
  <c r="AH337" i="216"/>
  <c r="AH415" i="216" s="1"/>
  <c r="DF338" i="216"/>
  <c r="BX371" i="216"/>
  <c r="BA383" i="216"/>
  <c r="AT383" i="216"/>
  <c r="DN391" i="216"/>
  <c r="DT391" i="216"/>
  <c r="DA414" i="216"/>
  <c r="DD336" i="216"/>
  <c r="BG416" i="216"/>
  <c r="BF338" i="216"/>
  <c r="BL338" i="216"/>
  <c r="BL416" i="216" s="1"/>
  <c r="BU341" i="216"/>
  <c r="BP341" i="216"/>
  <c r="BN341" i="216"/>
  <c r="CV360" i="216"/>
  <c r="CT360" i="216"/>
  <c r="CY360" i="216"/>
  <c r="DS361" i="216"/>
  <c r="DP361" i="216"/>
  <c r="P373" i="216"/>
  <c r="R373" i="216"/>
  <c r="CL297" i="216"/>
  <c r="DN297" i="216"/>
  <c r="EL298" i="216"/>
  <c r="AL300" i="216"/>
  <c r="BZ300" i="216"/>
  <c r="AL301" i="216"/>
  <c r="BH301" i="216"/>
  <c r="DD302" i="216"/>
  <c r="DB303" i="216"/>
  <c r="DP303" i="216"/>
  <c r="AH304" i="216"/>
  <c r="DJ304" i="216"/>
  <c r="AB305" i="216"/>
  <c r="CJ306" i="216"/>
  <c r="P307" i="216"/>
  <c r="AB307" i="216"/>
  <c r="BP307" i="216"/>
  <c r="AL308" i="216"/>
  <c r="CP308" i="216"/>
  <c r="BP309" i="216"/>
  <c r="BL310" i="216"/>
  <c r="BK310" i="216" s="1"/>
  <c r="CJ311" i="216"/>
  <c r="DX311" i="216"/>
  <c r="EL312" i="216"/>
  <c r="AV312" i="216"/>
  <c r="DJ312" i="216"/>
  <c r="DI312" i="216" s="1"/>
  <c r="AL313" i="216"/>
  <c r="BN313" i="216"/>
  <c r="BZ313" i="216"/>
  <c r="DN313" i="216"/>
  <c r="AL314" i="216"/>
  <c r="AR315" i="216"/>
  <c r="EL320" i="216"/>
  <c r="DT321" i="216"/>
  <c r="AH322" i="216"/>
  <c r="BV322" i="216"/>
  <c r="DJ322" i="216"/>
  <c r="CL323" i="216"/>
  <c r="AN325" i="216"/>
  <c r="DT325" i="216"/>
  <c r="DZ325" i="216"/>
  <c r="BO413" i="216"/>
  <c r="BV334" i="216"/>
  <c r="BV413" i="216" s="1"/>
  <c r="BL335" i="216"/>
  <c r="DZ338" i="216"/>
  <c r="DN339" i="216"/>
  <c r="AH340" i="216"/>
  <c r="BD340" i="216"/>
  <c r="EL341" i="216"/>
  <c r="BL357" i="216"/>
  <c r="BN360" i="216"/>
  <c r="DF371" i="216"/>
  <c r="AB322" i="216"/>
  <c r="BP322" i="216"/>
  <c r="DD322" i="216"/>
  <c r="DN325" i="216"/>
  <c r="BC413" i="216"/>
  <c r="BF334" i="216"/>
  <c r="DZ340" i="216"/>
  <c r="EP340" i="216"/>
  <c r="AG341" i="216"/>
  <c r="Z341" i="216"/>
  <c r="DI363" i="216"/>
  <c r="DB363" i="216"/>
  <c r="CO369" i="216"/>
  <c r="CH369" i="216"/>
  <c r="BU391" i="216"/>
  <c r="BN391" i="216"/>
  <c r="EL302" i="216"/>
  <c r="DZ303" i="216"/>
  <c r="CT304" i="216"/>
  <c r="BH305" i="216"/>
  <c r="AX306" i="216"/>
  <c r="BZ306" i="216"/>
  <c r="EL309" i="216"/>
  <c r="CT309" i="216"/>
  <c r="AR310" i="216"/>
  <c r="AQ310" i="216" s="1"/>
  <c r="AH312" i="216"/>
  <c r="DB321" i="216"/>
  <c r="EE322" i="216"/>
  <c r="Z326" i="216"/>
  <c r="AJ336" i="216"/>
  <c r="BC414" i="216"/>
  <c r="BD336" i="216"/>
  <c r="DK415" i="216"/>
  <c r="DP337" i="216"/>
  <c r="BK339" i="216"/>
  <c r="BF339" i="216"/>
  <c r="Z360" i="216"/>
  <c r="BE387" i="216"/>
  <c r="BL381" i="216"/>
  <c r="BL407" i="216" s="1"/>
  <c r="BD381" i="216"/>
  <c r="DL390" i="216"/>
  <c r="BP297" i="216"/>
  <c r="DD297" i="216"/>
  <c r="CH299" i="216"/>
  <c r="BR300" i="216"/>
  <c r="AD301" i="216"/>
  <c r="CP302" i="216"/>
  <c r="T303" i="216"/>
  <c r="AV303" i="216"/>
  <c r="BH303" i="216"/>
  <c r="AT304" i="216"/>
  <c r="X305" i="216"/>
  <c r="W305" i="216" s="1"/>
  <c r="BZ305" i="216"/>
  <c r="CL305" i="216"/>
  <c r="AR306" i="216"/>
  <c r="CB306" i="216"/>
  <c r="CR307" i="216"/>
  <c r="DD307" i="216"/>
  <c r="AX308" i="216"/>
  <c r="AJ309" i="216"/>
  <c r="CZ309" i="216"/>
  <c r="AL310" i="216"/>
  <c r="AX310" i="216"/>
  <c r="DD310" i="216"/>
  <c r="DS310" i="216"/>
  <c r="R311" i="216"/>
  <c r="BF311" i="216"/>
  <c r="AN312" i="216"/>
  <c r="AD313" i="216"/>
  <c r="BR313" i="216"/>
  <c r="DP315" i="216"/>
  <c r="DJ317" i="216"/>
  <c r="AB318" i="216"/>
  <c r="BF318" i="216"/>
  <c r="BH319" i="216"/>
  <c r="CV319" i="216"/>
  <c r="CF321" i="216"/>
  <c r="DJ321" i="216"/>
  <c r="BZ325" i="216"/>
  <c r="ED326" i="216"/>
  <c r="AC411" i="216"/>
  <c r="AC344" i="216"/>
  <c r="AR332" i="216"/>
  <c r="BZ332" i="216"/>
  <c r="AA413" i="216"/>
  <c r="AH334" i="216"/>
  <c r="AH413" i="216" s="1"/>
  <c r="BZ337" i="216"/>
  <c r="AR339" i="216"/>
  <c r="ED340" i="216"/>
  <c r="CV364" i="216"/>
  <c r="CZ364" i="216"/>
  <c r="CJ369" i="216"/>
  <c r="DF297" i="216"/>
  <c r="BF299" i="216"/>
  <c r="DT302" i="216"/>
  <c r="EL303" i="216"/>
  <c r="EI304" i="216"/>
  <c r="BF304" i="216"/>
  <c r="EK305" i="216"/>
  <c r="AR305" i="216"/>
  <c r="DX306" i="216"/>
  <c r="EL307" i="216"/>
  <c r="BB307" i="216"/>
  <c r="AD308" i="216"/>
  <c r="BH308" i="216"/>
  <c r="BZ308" i="216"/>
  <c r="DN308" i="216"/>
  <c r="DF310" i="216"/>
  <c r="ED310" i="216"/>
  <c r="CT312" i="216"/>
  <c r="DT314" i="216"/>
  <c r="DD317" i="216"/>
  <c r="EG321" i="216"/>
  <c r="BB321" i="216"/>
  <c r="DD321" i="216"/>
  <c r="ED323" i="216"/>
  <c r="EG324" i="216"/>
  <c r="BL324" i="216"/>
  <c r="CZ324" i="216"/>
  <c r="EG325" i="216"/>
  <c r="CB325" i="216"/>
  <c r="DB326" i="216"/>
  <c r="DJ326" i="216"/>
  <c r="X332" i="216"/>
  <c r="DB333" i="216"/>
  <c r="DP333" i="216"/>
  <c r="O413" i="216"/>
  <c r="R334" i="216"/>
  <c r="Y414" i="216"/>
  <c r="Z336" i="216"/>
  <c r="EG339" i="216"/>
  <c r="CP341" i="216"/>
  <c r="DI359" i="216"/>
  <c r="DD359" i="216"/>
  <c r="DB359" i="216"/>
  <c r="DI360" i="216"/>
  <c r="DD360" i="216"/>
  <c r="DF363" i="216"/>
  <c r="BH373" i="216"/>
  <c r="CE373" i="216"/>
  <c r="CB373" i="216"/>
  <c r="X361" i="216"/>
  <c r="W361" i="216" s="1"/>
  <c r="AR370" i="216"/>
  <c r="DI380" i="216"/>
  <c r="DF380" i="216"/>
  <c r="X391" i="216"/>
  <c r="W391" i="216" s="1"/>
  <c r="AR392" i="216"/>
  <c r="BZ335" i="216"/>
  <c r="BF340" i="216"/>
  <c r="AN341" i="216"/>
  <c r="DN341" i="216"/>
  <c r="EG358" i="216"/>
  <c r="J202" i="213" s="1"/>
  <c r="EE359" i="216"/>
  <c r="DT359" i="216"/>
  <c r="DP360" i="216"/>
  <c r="Z361" i="216"/>
  <c r="BX361" i="216"/>
  <c r="DL361" i="216"/>
  <c r="DB362" i="216"/>
  <c r="R363" i="216"/>
  <c r="EI363" i="216"/>
  <c r="BF364" i="216"/>
  <c r="EE370" i="216"/>
  <c r="EM370" i="216" s="1"/>
  <c r="AU377" i="216"/>
  <c r="BB371" i="216"/>
  <c r="BZ373" i="216"/>
  <c r="DS381" i="216"/>
  <c r="DP381" i="216"/>
  <c r="Z392" i="216"/>
  <c r="CB314" i="216"/>
  <c r="DN314" i="216"/>
  <c r="P315" i="216"/>
  <c r="AB315" i="216"/>
  <c r="AL316" i="216"/>
  <c r="CP316" i="216"/>
  <c r="T317" i="216"/>
  <c r="BH317" i="216"/>
  <c r="DV317" i="216"/>
  <c r="AD318" i="216"/>
  <c r="BH318" i="216"/>
  <c r="DF318" i="216"/>
  <c r="ED318" i="216"/>
  <c r="EK319" i="216"/>
  <c r="BB319" i="216"/>
  <c r="CP319" i="216"/>
  <c r="AB320" i="216"/>
  <c r="DZ320" i="216"/>
  <c r="AR321" i="216"/>
  <c r="DF321" i="216"/>
  <c r="EG322" i="216"/>
  <c r="EK324" i="216"/>
  <c r="EN324" i="216" s="1"/>
  <c r="BB324" i="216"/>
  <c r="CP324" i="216"/>
  <c r="EL325" i="216"/>
  <c r="EL326" i="216"/>
  <c r="T332" i="216"/>
  <c r="DF332" i="216"/>
  <c r="DB334" i="216"/>
  <c r="AN336" i="216"/>
  <c r="BX339" i="216"/>
  <c r="T340" i="216"/>
  <c r="AT340" i="216"/>
  <c r="BH340" i="216"/>
  <c r="BV340" i="216"/>
  <c r="CF341" i="216"/>
  <c r="DP341" i="216"/>
  <c r="CJ358" i="216"/>
  <c r="T359" i="216"/>
  <c r="CB359" i="216"/>
  <c r="P361" i="216"/>
  <c r="AB361" i="216"/>
  <c r="BZ361" i="216"/>
  <c r="DB361" i="216"/>
  <c r="DN361" i="216"/>
  <c r="BD362" i="216"/>
  <c r="EL363" i="216"/>
  <c r="AL363" i="216"/>
  <c r="AQ363" i="216"/>
  <c r="BH364" i="216"/>
  <c r="DN364" i="216"/>
  <c r="AG369" i="216"/>
  <c r="BN371" i="216"/>
  <c r="BP371" i="216"/>
  <c r="CR373" i="216"/>
  <c r="BA380" i="216"/>
  <c r="AV380" i="216"/>
  <c r="AJ381" i="216"/>
  <c r="AQ381" i="216"/>
  <c r="AV381" i="216"/>
  <c r="AJ383" i="216"/>
  <c r="BZ383" i="216"/>
  <c r="EL390" i="216"/>
  <c r="CB391" i="216"/>
  <c r="AN316" i="216"/>
  <c r="CV316" i="216"/>
  <c r="EL317" i="216"/>
  <c r="CT317" i="216"/>
  <c r="EG318" i="216"/>
  <c r="EL319" i="216"/>
  <c r="AV319" i="216"/>
  <c r="CJ319" i="216"/>
  <c r="EG320" i="216"/>
  <c r="DN320" i="216"/>
  <c r="AL321" i="216"/>
  <c r="CP321" i="216"/>
  <c r="ED321" i="216"/>
  <c r="EI322" i="216"/>
  <c r="EN322" i="216" s="1"/>
  <c r="EM322" i="216" s="1"/>
  <c r="BF322" i="216"/>
  <c r="CT322" i="216"/>
  <c r="BB323" i="216"/>
  <c r="DN323" i="216"/>
  <c r="EL324" i="216"/>
  <c r="AV324" i="216"/>
  <c r="CJ324" i="216"/>
  <c r="AL325" i="216"/>
  <c r="DD325" i="216"/>
  <c r="DU411" i="216"/>
  <c r="DU344" i="216"/>
  <c r="DZ333" i="216"/>
  <c r="AN335" i="216"/>
  <c r="R338" i="216"/>
  <c r="BH339" i="216"/>
  <c r="BZ339" i="216"/>
  <c r="EL340" i="216"/>
  <c r="AB341" i="216"/>
  <c r="CB341" i="216"/>
  <c r="CL358" i="216"/>
  <c r="CT359" i="216"/>
  <c r="BF360" i="216"/>
  <c r="BR360" i="216"/>
  <c r="EG361" i="216"/>
  <c r="AD361" i="216"/>
  <c r="AR361" i="216"/>
  <c r="CB361" i="216"/>
  <c r="BV363" i="216"/>
  <c r="DD363" i="216"/>
  <c r="EL364" i="216"/>
  <c r="AR371" i="216"/>
  <c r="Z372" i="216"/>
  <c r="DX372" i="216"/>
  <c r="X373" i="216"/>
  <c r="W373" i="216" s="1"/>
  <c r="BP381" i="216"/>
  <c r="CK387" i="216"/>
  <c r="CL390" i="216"/>
  <c r="BD391" i="216"/>
  <c r="BH391" i="216"/>
  <c r="BP391" i="216"/>
  <c r="DJ391" i="216"/>
  <c r="BL314" i="216"/>
  <c r="CT314" i="216"/>
  <c r="CR315" i="216"/>
  <c r="DD315" i="216"/>
  <c r="BL316" i="216"/>
  <c r="BR316" i="216"/>
  <c r="CV317" i="216"/>
  <c r="AN318" i="216"/>
  <c r="AX318" i="216"/>
  <c r="AX319" i="216"/>
  <c r="CL319" i="216"/>
  <c r="AN321" i="216"/>
  <c r="CV321" i="216"/>
  <c r="EK322" i="216"/>
  <c r="EJ322" i="216" s="1"/>
  <c r="BH322" i="216"/>
  <c r="CV322" i="216"/>
  <c r="AX324" i="216"/>
  <c r="CL324" i="216"/>
  <c r="X326" i="216"/>
  <c r="W326" i="216" s="1"/>
  <c r="AB326" i="216"/>
  <c r="BB326" i="216"/>
  <c r="CP326" i="216"/>
  <c r="AJ332" i="216"/>
  <c r="CP332" i="216"/>
  <c r="AX333" i="216"/>
  <c r="AX334" i="216"/>
  <c r="DF335" i="216"/>
  <c r="CV336" i="216"/>
  <c r="EL337" i="216"/>
  <c r="EL415" i="216" s="1"/>
  <c r="V415" i="216"/>
  <c r="DP339" i="216"/>
  <c r="AT341" i="216"/>
  <c r="AY344" i="216"/>
  <c r="BV361" i="216"/>
  <c r="AN364" i="216"/>
  <c r="AQ364" i="216"/>
  <c r="CE369" i="216"/>
  <c r="BZ369" i="216"/>
  <c r="T370" i="216"/>
  <c r="DJ371" i="216"/>
  <c r="AP377" i="216"/>
  <c r="EP372" i="216"/>
  <c r="DZ372" i="216"/>
  <c r="CJ373" i="216"/>
  <c r="CO373" i="216"/>
  <c r="BL382" i="216"/>
  <c r="Z383" i="216"/>
  <c r="AD383" i="216"/>
  <c r="AL383" i="216"/>
  <c r="DL383" i="216"/>
  <c r="CJ391" i="216"/>
  <c r="AD314" i="216"/>
  <c r="BF314" i="216"/>
  <c r="DF314" i="216"/>
  <c r="EK315" i="216"/>
  <c r="EJ315" i="216" s="1"/>
  <c r="BH315" i="216"/>
  <c r="BZ315" i="216"/>
  <c r="DF315" i="216"/>
  <c r="EG316" i="216"/>
  <c r="AB316" i="216"/>
  <c r="AX316" i="216"/>
  <c r="DN316" i="216"/>
  <c r="EK318" i="216"/>
  <c r="AR318" i="216"/>
  <c r="CP318" i="216"/>
  <c r="DT318" i="216"/>
  <c r="AH319" i="216"/>
  <c r="BV319" i="216"/>
  <c r="DJ319" i="216"/>
  <c r="BL321" i="216"/>
  <c r="EL322" i="216"/>
  <c r="AR322" i="216"/>
  <c r="CF322" i="216"/>
  <c r="DT322" i="216"/>
  <c r="AH324" i="216"/>
  <c r="BV324" i="216"/>
  <c r="DJ324" i="216"/>
  <c r="AD326" i="216"/>
  <c r="AV326" i="216"/>
  <c r="CJ326" i="216"/>
  <c r="CJ335" i="216"/>
  <c r="X337" i="216"/>
  <c r="X415" i="216" s="1"/>
  <c r="DV337" i="216"/>
  <c r="DW415" i="216"/>
  <c r="EE340" i="216"/>
  <c r="BV341" i="216"/>
  <c r="BT344" i="216"/>
  <c r="ED358" i="216"/>
  <c r="EG359" i="216"/>
  <c r="J215" i="213" s="1"/>
  <c r="CV359" i="216"/>
  <c r="BH360" i="216"/>
  <c r="DX360" i="216"/>
  <c r="CF361" i="216"/>
  <c r="R362" i="216"/>
  <c r="BL363" i="216"/>
  <c r="CH363" i="216"/>
  <c r="BA364" i="216"/>
  <c r="EL370" i="216"/>
  <c r="AJ370" i="216"/>
  <c r="EB377" i="216"/>
  <c r="AN371" i="216"/>
  <c r="BV371" i="216"/>
  <c r="AE387" i="216"/>
  <c r="CI387" i="216"/>
  <c r="DB383" i="216"/>
  <c r="T391" i="216"/>
  <c r="CP391" i="216"/>
  <c r="BX358" i="216"/>
  <c r="EL359" i="216"/>
  <c r="BP359" i="216"/>
  <c r="DF360" i="216"/>
  <c r="AL361" i="216"/>
  <c r="CJ361" i="216"/>
  <c r="DF361" i="216"/>
  <c r="BP363" i="216"/>
  <c r="AB364" i="216"/>
  <c r="CT364" i="216"/>
  <c r="EL369" i="216"/>
  <c r="DD369" i="216"/>
  <c r="AX370" i="216"/>
  <c r="CT370" i="216"/>
  <c r="Z371" i="216"/>
  <c r="AM377" i="216"/>
  <c r="CJ371" i="216"/>
  <c r="DV371" i="216"/>
  <c r="BZ372" i="216"/>
  <c r="AL380" i="216"/>
  <c r="BF380" i="216"/>
  <c r="AB381" i="216"/>
  <c r="BF381" i="216"/>
  <c r="CF381" i="216"/>
  <c r="DX381" i="216"/>
  <c r="AU387" i="216"/>
  <c r="CL382" i="216"/>
  <c r="DF382" i="216"/>
  <c r="CJ390" i="216"/>
  <c r="AV391" i="216"/>
  <c r="BZ391" i="216"/>
  <c r="CZ391" i="216"/>
  <c r="BP392" i="216"/>
  <c r="DF392" i="216"/>
  <c r="DZ392" i="216"/>
  <c r="EE381" i="216"/>
  <c r="EM381" i="216" s="1"/>
  <c r="AW387" i="216"/>
  <c r="AV382" i="216"/>
  <c r="CA387" i="216"/>
  <c r="CN387" i="216"/>
  <c r="AV383" i="216"/>
  <c r="BN383" i="216"/>
  <c r="AD390" i="216"/>
  <c r="DN390" i="216"/>
  <c r="P391" i="216"/>
  <c r="BR392" i="216"/>
  <c r="CV392" i="216"/>
  <c r="CR380" i="216"/>
  <c r="P381" i="216"/>
  <c r="AR381" i="216"/>
  <c r="AX381" i="216"/>
  <c r="EL382" i="216"/>
  <c r="AM387" i="216"/>
  <c r="AX382" i="216"/>
  <c r="BR382" i="216"/>
  <c r="CQ387" i="216"/>
  <c r="CY387" i="216" s="1"/>
  <c r="EG383" i="216"/>
  <c r="DJ383" i="216"/>
  <c r="DP390" i="216"/>
  <c r="EG391" i="216"/>
  <c r="BR391" i="216"/>
  <c r="EE392" i="216"/>
  <c r="EM392" i="216" s="1"/>
  <c r="AB392" i="216"/>
  <c r="R370" i="216"/>
  <c r="AH371" i="216"/>
  <c r="EI372" i="216"/>
  <c r="EE380" i="216"/>
  <c r="EG381" i="216"/>
  <c r="CR381" i="216"/>
  <c r="DT381" i="216"/>
  <c r="AD382" i="216"/>
  <c r="DG387" i="216"/>
  <c r="DV382" i="216"/>
  <c r="EI383" i="216"/>
  <c r="AN383" i="216"/>
  <c r="BF383" i="216"/>
  <c r="BP383" i="216"/>
  <c r="AV390" i="216"/>
  <c r="R391" i="216"/>
  <c r="BL391" i="216"/>
  <c r="DB391" i="216"/>
  <c r="DL391" i="216"/>
  <c r="ED391" i="216"/>
  <c r="AD392" i="216"/>
  <c r="AX392" i="216"/>
  <c r="DT392" i="216"/>
  <c r="CF357" i="216"/>
  <c r="AD359" i="216"/>
  <c r="BV359" i="216"/>
  <c r="T360" i="216"/>
  <c r="AB360" i="216"/>
  <c r="AN360" i="216"/>
  <c r="AV361" i="216"/>
  <c r="CR362" i="216"/>
  <c r="DI369" i="216"/>
  <c r="BF371" i="216"/>
  <c r="CB371" i="216"/>
  <c r="CT371" i="216"/>
  <c r="DO377" i="216"/>
  <c r="CJ372" i="216"/>
  <c r="AJ373" i="216"/>
  <c r="DX373" i="216"/>
  <c r="CT380" i="216"/>
  <c r="DN380" i="216"/>
  <c r="R381" i="216"/>
  <c r="CS387" i="216"/>
  <c r="BC387" i="216"/>
  <c r="BK387" i="216" s="1"/>
  <c r="CT382" i="216"/>
  <c r="DW387" i="216"/>
  <c r="AH383" i="216"/>
  <c r="BL383" i="216"/>
  <c r="EL383" i="216"/>
  <c r="BZ390" i="216"/>
  <c r="CT390" i="216"/>
  <c r="EI391" i="216"/>
  <c r="EI392" i="216"/>
  <c r="DN392" i="216"/>
  <c r="G152" i="213"/>
  <c r="G60" i="213"/>
  <c r="G84" i="213"/>
  <c r="G105" i="213"/>
  <c r="G119" i="213"/>
  <c r="G153" i="213"/>
  <c r="G26" i="213"/>
  <c r="G127" i="213"/>
  <c r="G157" i="213"/>
  <c r="G163" i="213"/>
  <c r="G106" i="213"/>
  <c r="G107" i="213"/>
  <c r="G110" i="213"/>
  <c r="G40" i="213"/>
  <c r="G48" i="213"/>
  <c r="G69" i="213"/>
  <c r="G34" i="213"/>
  <c r="G37" i="213"/>
  <c r="G41" i="213"/>
  <c r="G76" i="213"/>
  <c r="G98" i="213"/>
  <c r="G144" i="213"/>
  <c r="G146" i="213"/>
  <c r="G20" i="213"/>
  <c r="G36" i="213"/>
  <c r="G38" i="213"/>
  <c r="G59" i="213"/>
  <c r="G77" i="213"/>
  <c r="G89" i="213"/>
  <c r="G125" i="213"/>
  <c r="G138" i="213"/>
  <c r="G155" i="213"/>
  <c r="G164" i="213"/>
  <c r="G50" i="213"/>
  <c r="G65" i="213"/>
  <c r="G71" i="213"/>
  <c r="G91" i="213"/>
  <c r="G99" i="213"/>
  <c r="G118" i="213"/>
  <c r="G134" i="213"/>
  <c r="G82" i="213"/>
  <c r="G150" i="213"/>
  <c r="G158" i="213"/>
  <c r="G160" i="213"/>
  <c r="G57" i="213"/>
  <c r="G70" i="213"/>
  <c r="G101" i="213"/>
  <c r="G109" i="213"/>
  <c r="G111" i="213"/>
  <c r="G145" i="213"/>
  <c r="G22" i="213"/>
  <c r="G28" i="213"/>
  <c r="G35" i="213"/>
  <c r="G49" i="213"/>
  <c r="G53" i="213"/>
  <c r="G62" i="213"/>
  <c r="G66" i="213"/>
  <c r="G103" i="213"/>
  <c r="G17" i="213"/>
  <c r="G58" i="213"/>
  <c r="G74" i="213"/>
  <c r="CC54" i="216"/>
  <c r="BS63" i="216"/>
  <c r="BR63" i="216" s="1"/>
  <c r="DG85" i="216"/>
  <c r="O87" i="216"/>
  <c r="DQ96" i="216"/>
  <c r="DT96" i="216" s="1"/>
  <c r="DZ123" i="216"/>
  <c r="EP123" i="216"/>
  <c r="EA128" i="216"/>
  <c r="EA124" i="216"/>
  <c r="EA131" i="216"/>
  <c r="EK131" i="216" s="1"/>
  <c r="CM148" i="216"/>
  <c r="DQ148" i="216"/>
  <c r="DQ149" i="216"/>
  <c r="CV156" i="216"/>
  <c r="U157" i="216"/>
  <c r="AO158" i="216"/>
  <c r="AN158" i="216" s="1"/>
  <c r="Q166" i="216"/>
  <c r="DU169" i="216"/>
  <c r="CW172" i="216"/>
  <c r="CW176" i="216" s="1"/>
  <c r="CA199" i="216"/>
  <c r="AW203" i="216"/>
  <c r="AV203" i="216" s="1"/>
  <c r="DU207" i="216"/>
  <c r="DY211" i="216"/>
  <c r="DX211" i="216" s="1"/>
  <c r="BG237" i="216"/>
  <c r="BF237" i="216" s="1"/>
  <c r="BG239" i="216"/>
  <c r="BZ242" i="216"/>
  <c r="CF242" i="216"/>
  <c r="DU250" i="216"/>
  <c r="U278" i="216"/>
  <c r="U283" i="216" s="1"/>
  <c r="BT278" i="216"/>
  <c r="BM280" i="216"/>
  <c r="BP280" i="216" s="1"/>
  <c r="BJ362" i="216"/>
  <c r="AC33" i="216"/>
  <c r="AB33" i="216" s="1"/>
  <c r="BH44" i="216"/>
  <c r="AC64" i="216"/>
  <c r="BG85" i="216"/>
  <c r="AO123" i="216"/>
  <c r="AR123" i="216" s="1"/>
  <c r="AQ123" i="216" s="1"/>
  <c r="DQ156" i="216"/>
  <c r="AL12" i="216"/>
  <c r="AM26" i="216"/>
  <c r="AB13" i="216"/>
  <c r="AH13" i="216"/>
  <c r="AV21" i="216"/>
  <c r="BB21" i="216"/>
  <c r="CG33" i="216"/>
  <c r="CJ33" i="216" s="1"/>
  <c r="BZ34" i="216"/>
  <c r="DQ44" i="216"/>
  <c r="DU45" i="216"/>
  <c r="BQ26" i="216"/>
  <c r="BP12" i="216"/>
  <c r="CT12" i="216"/>
  <c r="CU26" i="216"/>
  <c r="BF13" i="216"/>
  <c r="BL13" i="216"/>
  <c r="CF21" i="216"/>
  <c r="BZ21" i="216"/>
  <c r="DD21" i="216"/>
  <c r="DJ21" i="216"/>
  <c r="CR29" i="216"/>
  <c r="CQ40" i="216"/>
  <c r="CY29" i="216"/>
  <c r="CV29" i="216"/>
  <c r="CT29" i="216"/>
  <c r="DE33" i="216"/>
  <c r="CY36" i="216"/>
  <c r="CR36" i="216"/>
  <c r="CV36" i="216"/>
  <c r="CK46" i="216"/>
  <c r="CJ46" i="216" s="1"/>
  <c r="CC56" i="216"/>
  <c r="CB56" i="216" s="1"/>
  <c r="DQ58" i="216"/>
  <c r="DG62" i="216"/>
  <c r="DU66" i="216"/>
  <c r="CW77" i="216"/>
  <c r="CV77" i="216" s="1"/>
  <c r="S87" i="216"/>
  <c r="DO97" i="216"/>
  <c r="CW105" i="216"/>
  <c r="CV105" i="216" s="1"/>
  <c r="DO106" i="216"/>
  <c r="DN106" i="216" s="1"/>
  <c r="DZ108" i="216"/>
  <c r="EP108" i="216"/>
  <c r="ED108" i="216"/>
  <c r="DU115" i="216"/>
  <c r="EC115" i="216" s="1"/>
  <c r="U136" i="216"/>
  <c r="T136" i="216" s="1"/>
  <c r="T131" i="216"/>
  <c r="X131" i="216"/>
  <c r="EA148" i="216"/>
  <c r="ED148" i="216" s="1"/>
  <c r="ED405" i="216" s="1"/>
  <c r="DQ158" i="216"/>
  <c r="DP158" i="216" s="1"/>
  <c r="AO164" i="216"/>
  <c r="AN164" i="216" s="1"/>
  <c r="CC167" i="216"/>
  <c r="CB167" i="216" s="1"/>
  <c r="DH171" i="216"/>
  <c r="DH408" i="216" s="1"/>
  <c r="BQ172" i="216"/>
  <c r="BP172" i="216" s="1"/>
  <c r="AW196" i="216"/>
  <c r="AV196" i="216" s="1"/>
  <c r="BC200" i="216"/>
  <c r="BF200" i="216" s="1"/>
  <c r="AW214" i="216"/>
  <c r="BB214" i="216" s="1"/>
  <c r="BA214" i="216" s="1"/>
  <c r="DK248" i="216"/>
  <c r="DB254" i="216"/>
  <c r="CU277" i="216"/>
  <c r="CU283" i="216" s="1"/>
  <c r="BE278" i="216"/>
  <c r="DK292" i="216"/>
  <c r="DN292" i="216" s="1"/>
  <c r="CT21" i="216"/>
  <c r="CZ21" i="216"/>
  <c r="DG164" i="216"/>
  <c r="R12" i="216"/>
  <c r="S26" i="216"/>
  <c r="EI12" i="216"/>
  <c r="DT13" i="216"/>
  <c r="DN13" i="216"/>
  <c r="EI18" i="216"/>
  <c r="R18" i="216"/>
  <c r="AB21" i="216"/>
  <c r="AH21" i="216"/>
  <c r="EI22" i="216"/>
  <c r="EN22" i="216" s="1"/>
  <c r="R22" i="216"/>
  <c r="R33" i="216"/>
  <c r="BS44" i="216"/>
  <c r="CW44" i="216"/>
  <c r="DU44" i="216"/>
  <c r="U46" i="216"/>
  <c r="CC52" i="216"/>
  <c r="DU54" i="216"/>
  <c r="DU57" i="216"/>
  <c r="CC60" i="216"/>
  <c r="CB60" i="216" s="1"/>
  <c r="BB64" i="216"/>
  <c r="AV64" i="216"/>
  <c r="CM66" i="216"/>
  <c r="DG75" i="216"/>
  <c r="DF75" i="216" s="1"/>
  <c r="DG77" i="216"/>
  <c r="DF77" i="216" s="1"/>
  <c r="BI87" i="216"/>
  <c r="EB88" i="216"/>
  <c r="EB93" i="216" s="1"/>
  <c r="BI123" i="216"/>
  <c r="BQ139" i="216"/>
  <c r="CK139" i="216"/>
  <c r="EA139" i="216"/>
  <c r="DG147" i="216"/>
  <c r="EK147" i="216" s="1"/>
  <c r="EN147" i="216" s="1"/>
  <c r="EB148" i="216"/>
  <c r="EB405" i="216" s="1"/>
  <c r="U149" i="216"/>
  <c r="AE157" i="216"/>
  <c r="AD157" i="216" s="1"/>
  <c r="EB167" i="216"/>
  <c r="BI168" i="216"/>
  <c r="BH168" i="216" s="1"/>
  <c r="AE170" i="216"/>
  <c r="BQ170" i="216"/>
  <c r="DE193" i="216"/>
  <c r="DD193" i="216" s="1"/>
  <c r="CK210" i="216"/>
  <c r="CJ210" i="216" s="1"/>
  <c r="DY214" i="216"/>
  <c r="DX214" i="216" s="1"/>
  <c r="BQ215" i="216"/>
  <c r="BM217" i="216"/>
  <c r="DN224" i="216"/>
  <c r="DT224" i="216"/>
  <c r="BC235" i="216"/>
  <c r="DK243" i="216"/>
  <c r="DN243" i="216" s="1"/>
  <c r="AI276" i="216"/>
  <c r="DQ278" i="216"/>
  <c r="DP278" i="216" s="1"/>
  <c r="CK288" i="216"/>
  <c r="CJ286" i="216"/>
  <c r="CP286" i="216"/>
  <c r="AM291" i="216"/>
  <c r="DK307" i="216"/>
  <c r="DU314" i="216"/>
  <c r="DX314" i="216" s="1"/>
  <c r="DU324" i="216"/>
  <c r="S358" i="216"/>
  <c r="DW362" i="216"/>
  <c r="AY364" i="216"/>
  <c r="EK364" i="216" s="1"/>
  <c r="CW372" i="216"/>
  <c r="CV372" i="216" s="1"/>
  <c r="AV13" i="216"/>
  <c r="BB13" i="216"/>
  <c r="BI63" i="216"/>
  <c r="BH63" i="216" s="1"/>
  <c r="EC68" i="216"/>
  <c r="DZ68" i="216"/>
  <c r="DV68" i="216"/>
  <c r="AY157" i="216"/>
  <c r="AX157" i="216" s="1"/>
  <c r="EB168" i="216"/>
  <c r="AV12" i="216"/>
  <c r="AW26" i="216"/>
  <c r="AR13" i="216"/>
  <c r="AL13" i="216"/>
  <c r="BF21" i="216"/>
  <c r="BL21" i="216"/>
  <c r="AY82" i="216"/>
  <c r="AX44" i="216"/>
  <c r="DN46" i="216"/>
  <c r="DT46" i="216"/>
  <c r="CC48" i="216"/>
  <c r="CB48" i="216" s="1"/>
  <c r="DZ52" i="216"/>
  <c r="DV52" i="216"/>
  <c r="EC52" i="216"/>
  <c r="U57" i="216"/>
  <c r="BL58" i="216"/>
  <c r="BK58" i="216" s="1"/>
  <c r="BH58" i="216"/>
  <c r="DU58" i="216"/>
  <c r="DU60" i="216"/>
  <c r="DX60" i="216" s="1"/>
  <c r="S61" i="216"/>
  <c r="DP62" i="216"/>
  <c r="DT62" i="216"/>
  <c r="CW66" i="216"/>
  <c r="AO69" i="216"/>
  <c r="AN69" i="216" s="1"/>
  <c r="DU69" i="216"/>
  <c r="DQ75" i="216"/>
  <c r="DP75" i="216" s="1"/>
  <c r="DQ78" i="216"/>
  <c r="DP78" i="216" s="1"/>
  <c r="BS87" i="216"/>
  <c r="DF87" i="216"/>
  <c r="DJ87" i="216"/>
  <c r="DO99" i="216"/>
  <c r="BS123" i="216"/>
  <c r="AO124" i="216"/>
  <c r="AN124" i="216" s="1"/>
  <c r="BQ125" i="216"/>
  <c r="BP125" i="216" s="1"/>
  <c r="CQ131" i="216"/>
  <c r="EE131" i="216" s="1"/>
  <c r="CW139" i="216"/>
  <c r="AE148" i="216"/>
  <c r="AH148" i="216" s="1"/>
  <c r="AH405" i="216" s="1"/>
  <c r="AE149" i="216"/>
  <c r="CK156" i="216"/>
  <c r="DE156" i="216"/>
  <c r="EA158" i="216"/>
  <c r="S164" i="216"/>
  <c r="BN207" i="216"/>
  <c r="DY210" i="216"/>
  <c r="DX210" i="216" s="1"/>
  <c r="DK216" i="216"/>
  <c r="DN216" i="216" s="1"/>
  <c r="DX225" i="216"/>
  <c r="ED225" i="216"/>
  <c r="DA227" i="216"/>
  <c r="DB231" i="216"/>
  <c r="BW237" i="216"/>
  <c r="BW241" i="216"/>
  <c r="BZ241" i="216" s="1"/>
  <c r="DY244" i="216"/>
  <c r="BG245" i="216"/>
  <c r="BF245" i="216" s="1"/>
  <c r="DO247" i="216"/>
  <c r="AS278" i="216"/>
  <c r="AT278" i="216" s="1"/>
  <c r="BI278" i="216"/>
  <c r="BH278" i="216" s="1"/>
  <c r="CN278" i="216"/>
  <c r="CP278" i="216" s="1"/>
  <c r="DA278" i="216"/>
  <c r="CQ292" i="216"/>
  <c r="CT292" i="216" s="1"/>
  <c r="BM294" i="216"/>
  <c r="BP294" i="216" s="1"/>
  <c r="BG300" i="216"/>
  <c r="BM332" i="216"/>
  <c r="AS337" i="216"/>
  <c r="AV337" i="216" s="1"/>
  <c r="BM357" i="216"/>
  <c r="DG369" i="216"/>
  <c r="CM45" i="216"/>
  <c r="CL45" i="216" s="1"/>
  <c r="DG57" i="216"/>
  <c r="DF57" i="216" s="1"/>
  <c r="BP64" i="216"/>
  <c r="BV64" i="216"/>
  <c r="CA139" i="216"/>
  <c r="CC148" i="216"/>
  <c r="DG149" i="216"/>
  <c r="BZ12" i="216"/>
  <c r="CA26" i="216"/>
  <c r="DE26" i="216"/>
  <c r="DD12" i="216"/>
  <c r="BP13" i="216"/>
  <c r="BV13" i="216"/>
  <c r="CT13" i="216"/>
  <c r="CZ13" i="216"/>
  <c r="DT21" i="216"/>
  <c r="DN21" i="216"/>
  <c r="AX33" i="216"/>
  <c r="CC44" i="216"/>
  <c r="DF44" i="216"/>
  <c r="CC45" i="216"/>
  <c r="CB45" i="216" s="1"/>
  <c r="AB46" i="216"/>
  <c r="EI46" i="216"/>
  <c r="AH46" i="216"/>
  <c r="AV47" i="216"/>
  <c r="BB47" i="216"/>
  <c r="DU48" i="216"/>
  <c r="CW57" i="216"/>
  <c r="CV57" i="216" s="1"/>
  <c r="CM63" i="216"/>
  <c r="CL63" i="216" s="1"/>
  <c r="DU63" i="216"/>
  <c r="S64" i="216"/>
  <c r="DU64" i="216"/>
  <c r="BS65" i="216"/>
  <c r="DQ67" i="216"/>
  <c r="DP67" i="216" s="1"/>
  <c r="DU73" i="216"/>
  <c r="DQ79" i="216"/>
  <c r="DP79" i="216" s="1"/>
  <c r="AW85" i="216"/>
  <c r="EA85" i="216"/>
  <c r="AE97" i="216"/>
  <c r="AD97" i="216" s="1"/>
  <c r="DQ107" i="216"/>
  <c r="DP107" i="216" s="1"/>
  <c r="CM108" i="216"/>
  <c r="BQ149" i="216"/>
  <c r="EI149" i="216" s="1"/>
  <c r="BC158" i="216"/>
  <c r="BW159" i="216"/>
  <c r="AO166" i="216"/>
  <c r="CU167" i="216"/>
  <c r="CT167" i="216" s="1"/>
  <c r="DO170" i="216"/>
  <c r="DY194" i="216"/>
  <c r="DX194" i="216" s="1"/>
  <c r="AW198" i="216"/>
  <c r="BG199" i="216"/>
  <c r="BF199" i="216" s="1"/>
  <c r="AW213" i="216"/>
  <c r="DK230" i="216"/>
  <c r="DN230" i="216" s="1"/>
  <c r="BX232" i="216"/>
  <c r="AS254" i="216"/>
  <c r="AV254" i="216" s="1"/>
  <c r="CC278" i="216"/>
  <c r="CB278" i="216" s="1"/>
  <c r="BC286" i="216"/>
  <c r="AW318" i="216"/>
  <c r="AV318" i="216" s="1"/>
  <c r="DG362" i="216"/>
  <c r="DF362" i="216" s="1"/>
  <c r="BI390" i="216"/>
  <c r="BH390" i="216" s="1"/>
  <c r="BF12" i="216"/>
  <c r="BG26" i="216"/>
  <c r="AC26" i="216"/>
  <c r="AB12" i="216"/>
  <c r="EI13" i="216"/>
  <c r="EN13" i="216" s="1"/>
  <c r="R13" i="216"/>
  <c r="X13" i="216"/>
  <c r="W13" i="216" s="1"/>
  <c r="R20" i="216"/>
  <c r="EI20" i="216"/>
  <c r="AR21" i="216"/>
  <c r="AL21" i="216"/>
  <c r="Z33" i="216"/>
  <c r="CT34" i="216"/>
  <c r="CV34" i="216"/>
  <c r="EC37" i="216"/>
  <c r="DX37" i="216"/>
  <c r="DV37" i="216"/>
  <c r="BG44" i="216"/>
  <c r="BF45" i="216"/>
  <c r="BL45" i="216"/>
  <c r="BK45" i="216" s="1"/>
  <c r="CF50" i="216"/>
  <c r="CB50" i="216"/>
  <c r="CC55" i="216"/>
  <c r="CB55" i="216" s="1"/>
  <c r="AE58" i="216"/>
  <c r="AD58" i="216" s="1"/>
  <c r="AC61" i="216"/>
  <c r="AB61" i="216" s="1"/>
  <c r="DU62" i="216"/>
  <c r="DQ68" i="216"/>
  <c r="DU75" i="216"/>
  <c r="DZ79" i="216"/>
  <c r="EP79" i="216"/>
  <c r="DF96" i="216"/>
  <c r="DG111" i="216"/>
  <c r="DG98" i="216"/>
  <c r="DF98" i="216" s="1"/>
  <c r="EA107" i="216"/>
  <c r="CC123" i="216"/>
  <c r="DO123" i="216"/>
  <c r="AI131" i="216"/>
  <c r="AI132" i="216"/>
  <c r="DQ146" i="216"/>
  <c r="DP146" i="216" s="1"/>
  <c r="CG147" i="216"/>
  <c r="BS148" i="216"/>
  <c r="AO149" i="216"/>
  <c r="CW149" i="216"/>
  <c r="BW156" i="216"/>
  <c r="EB159" i="216"/>
  <c r="DM165" i="216"/>
  <c r="DO166" i="216"/>
  <c r="AC169" i="216"/>
  <c r="DK169" i="216"/>
  <c r="AU170" i="216"/>
  <c r="BG205" i="216"/>
  <c r="BF205" i="216" s="1"/>
  <c r="DY205" i="216"/>
  <c r="BC209" i="216"/>
  <c r="BM210" i="216"/>
  <c r="AS217" i="216"/>
  <c r="AV217" i="216" s="1"/>
  <c r="AW218" i="216"/>
  <c r="AV218" i="216" s="1"/>
  <c r="DE226" i="216"/>
  <c r="DD226" i="216" s="1"/>
  <c r="DL233" i="216"/>
  <c r="BG238" i="216"/>
  <c r="CC241" i="216"/>
  <c r="BQ252" i="216"/>
  <c r="BP252" i="216" s="1"/>
  <c r="DP258" i="216"/>
  <c r="AW259" i="216"/>
  <c r="AV259" i="216" s="1"/>
  <c r="AW278" i="216"/>
  <c r="AW280" i="216"/>
  <c r="AV280" i="216" s="1"/>
  <c r="DU300" i="216"/>
  <c r="DK301" i="216"/>
  <c r="BM304" i="216"/>
  <c r="DU308" i="216"/>
  <c r="BM311" i="216"/>
  <c r="EB157" i="216"/>
  <c r="EB176" i="216" s="1"/>
  <c r="DU201" i="216"/>
  <c r="AW204" i="216"/>
  <c r="AV204" i="216" s="1"/>
  <c r="BC229" i="216"/>
  <c r="BF229" i="216" s="1"/>
  <c r="AT233" i="216"/>
  <c r="DP234" i="216"/>
  <c r="BG247" i="216"/>
  <c r="BF247" i="216" s="1"/>
  <c r="CT276" i="216"/>
  <c r="CG287" i="216"/>
  <c r="EE287" i="216" s="1"/>
  <c r="BM317" i="216"/>
  <c r="BP317" i="216" s="1"/>
  <c r="BQ321" i="216"/>
  <c r="EI321" i="216" s="1"/>
  <c r="EN321" i="216" s="1"/>
  <c r="AM338" i="216"/>
  <c r="CG338" i="216"/>
  <c r="BP21" i="216"/>
  <c r="BV21" i="216"/>
  <c r="DU55" i="216"/>
  <c r="CW63" i="216"/>
  <c r="CV63" i="216" s="1"/>
  <c r="AK131" i="216"/>
  <c r="DX221" i="216"/>
  <c r="ED221" i="216"/>
  <c r="DO223" i="216"/>
  <c r="DN223" i="216" s="1"/>
  <c r="DY251" i="216"/>
  <c r="DX251" i="216" s="1"/>
  <c r="AS258" i="216"/>
  <c r="AB277" i="216"/>
  <c r="AH277" i="216"/>
  <c r="BQ278" i="216"/>
  <c r="CC333" i="216"/>
  <c r="CA362" i="216"/>
  <c r="BZ362" i="216" s="1"/>
  <c r="DN12" i="216"/>
  <c r="DO26" i="216"/>
  <c r="CF13" i="216"/>
  <c r="BZ13" i="216"/>
  <c r="DD13" i="216"/>
  <c r="DJ13" i="216"/>
  <c r="EI21" i="216"/>
  <c r="EN21" i="216" s="1"/>
  <c r="EM21" i="216" s="1"/>
  <c r="R21" i="216"/>
  <c r="X21" i="216"/>
  <c r="W21" i="216" s="1"/>
  <c r="CT32" i="216"/>
  <c r="CR32" i="216"/>
  <c r="CY32" i="216"/>
  <c r="CV32" i="216"/>
  <c r="BC33" i="216"/>
  <c r="CL44" i="216"/>
  <c r="CM82" i="216"/>
  <c r="CP44" i="216"/>
  <c r="DU47" i="216"/>
  <c r="CB49" i="216"/>
  <c r="CF49" i="216"/>
  <c r="DU50" i="216"/>
  <c r="EE50" i="216" s="1"/>
  <c r="EF50" i="216" s="1"/>
  <c r="AO58" i="216"/>
  <c r="DG58" i="216"/>
  <c r="DF58" i="216" s="1"/>
  <c r="CC59" i="216"/>
  <c r="CB59" i="216" s="1"/>
  <c r="DU59" i="216"/>
  <c r="CW62" i="216"/>
  <c r="CV62" i="216" s="1"/>
  <c r="DG72" i="216"/>
  <c r="DU74" i="216"/>
  <c r="BI77" i="216"/>
  <c r="BH77" i="216" s="1"/>
  <c r="CW78" i="216"/>
  <c r="CV78" i="216" s="1"/>
  <c r="AO86" i="216"/>
  <c r="AN86" i="216" s="1"/>
  <c r="DU86" i="216"/>
  <c r="DZ86" i="216" s="1"/>
  <c r="DU87" i="216"/>
  <c r="DO101" i="216"/>
  <c r="DN101" i="216" s="1"/>
  <c r="DQ103" i="216"/>
  <c r="DP103" i="216" s="1"/>
  <c r="AO108" i="216"/>
  <c r="AN108" i="216" s="1"/>
  <c r="DG132" i="216"/>
  <c r="DF132" i="216" s="1"/>
  <c r="CC141" i="216"/>
  <c r="CB139" i="216"/>
  <c r="DK139" i="216"/>
  <c r="DN139" i="216" s="1"/>
  <c r="CQ153" i="216"/>
  <c r="CY147" i="216"/>
  <c r="CV147" i="216"/>
  <c r="CR147" i="216"/>
  <c r="CU156" i="216"/>
  <c r="EI156" i="216" s="1"/>
  <c r="CQ157" i="216"/>
  <c r="BM164" i="216"/>
  <c r="EA166" i="216"/>
  <c r="O170" i="216"/>
  <c r="T170" i="216" s="1"/>
  <c r="EA170" i="216"/>
  <c r="DY193" i="216"/>
  <c r="DO196" i="216"/>
  <c r="AW197" i="216"/>
  <c r="DV200" i="216"/>
  <c r="DY204" i="216"/>
  <c r="DX204" i="216" s="1"/>
  <c r="BG224" i="216"/>
  <c r="BF224" i="216" s="1"/>
  <c r="CA225" i="216"/>
  <c r="BZ225" i="216" s="1"/>
  <c r="AT234" i="216"/>
  <c r="DK249" i="216"/>
  <c r="BG251" i="216"/>
  <c r="BF251" i="216" s="1"/>
  <c r="DU252" i="216"/>
  <c r="EE252" i="216" s="1"/>
  <c r="EJ252" i="216" s="1"/>
  <c r="CA257" i="216"/>
  <c r="BZ257" i="216" s="1"/>
  <c r="DE262" i="216"/>
  <c r="AK278" i="216"/>
  <c r="DK286" i="216"/>
  <c r="DK296" i="216"/>
  <c r="Y323" i="216"/>
  <c r="AB323" i="216" s="1"/>
  <c r="CC336" i="216"/>
  <c r="CU337" i="216"/>
  <c r="EI337" i="216" s="1"/>
  <c r="S357" i="216"/>
  <c r="AE369" i="216"/>
  <c r="AV44" i="216"/>
  <c r="BB44" i="216"/>
  <c r="AW82" i="216"/>
  <c r="BQ82" i="216"/>
  <c r="BP82" i="216" s="1"/>
  <c r="BP44" i="216"/>
  <c r="BV44" i="216"/>
  <c r="DO82" i="216"/>
  <c r="DN44" i="216"/>
  <c r="T45" i="216"/>
  <c r="X45" i="216"/>
  <c r="W45" i="216" s="1"/>
  <c r="AO82" i="216"/>
  <c r="AN82" i="216" s="1"/>
  <c r="AN45" i="216"/>
  <c r="AL46" i="216"/>
  <c r="AR46" i="216"/>
  <c r="AQ46" i="216" s="1"/>
  <c r="BL46" i="216"/>
  <c r="BF46" i="216"/>
  <c r="BZ46" i="216"/>
  <c r="CF46" i="216"/>
  <c r="CV46" i="216"/>
  <c r="CZ46" i="216"/>
  <c r="BF53" i="216"/>
  <c r="BL53" i="216"/>
  <c r="BK53" i="216" s="1"/>
  <c r="DZ53" i="216"/>
  <c r="EC56" i="216"/>
  <c r="DZ56" i="216"/>
  <c r="DX56" i="216"/>
  <c r="DV56" i="216"/>
  <c r="CF58" i="216"/>
  <c r="CB58" i="216"/>
  <c r="BR62" i="216"/>
  <c r="BV62" i="216"/>
  <c r="BI93" i="216"/>
  <c r="BH93" i="216" s="1"/>
  <c r="BH85" i="216"/>
  <c r="EP86" i="216"/>
  <c r="DN96" i="216"/>
  <c r="DO111" i="216"/>
  <c r="DN111" i="216" s="1"/>
  <c r="DN107" i="216"/>
  <c r="DG128" i="216"/>
  <c r="DF124" i="216"/>
  <c r="AN132" i="216"/>
  <c r="BR139" i="216"/>
  <c r="BS141" i="216"/>
  <c r="CG141" i="216"/>
  <c r="AO405" i="216"/>
  <c r="AN148" i="216"/>
  <c r="BS406" i="216"/>
  <c r="BR149" i="216"/>
  <c r="AY176" i="216"/>
  <c r="AX156" i="216"/>
  <c r="CM176" i="216"/>
  <c r="CL156" i="216"/>
  <c r="DA176" i="216"/>
  <c r="DB156" i="216"/>
  <c r="EP156" i="216"/>
  <c r="EA176" i="216"/>
  <c r="DZ156" i="216"/>
  <c r="CL158" i="216"/>
  <c r="CP158" i="216"/>
  <c r="T164" i="216"/>
  <c r="S407" i="216"/>
  <c r="EI166" i="216"/>
  <c r="R166" i="216"/>
  <c r="BR172" i="216"/>
  <c r="DV197" i="216"/>
  <c r="DZ198" i="216"/>
  <c r="DZ199" i="216"/>
  <c r="DZ203" i="216"/>
  <c r="DP206" i="216"/>
  <c r="EE208" i="216"/>
  <c r="BR209" i="216"/>
  <c r="BP210" i="216"/>
  <c r="EI210" i="216"/>
  <c r="DV213" i="216"/>
  <c r="DT216" i="216"/>
  <c r="EI217" i="216"/>
  <c r="BB217" i="216"/>
  <c r="DL220" i="216"/>
  <c r="AT221" i="216"/>
  <c r="DP222" i="216"/>
  <c r="DD227" i="216"/>
  <c r="DJ227" i="216"/>
  <c r="BF235" i="216"/>
  <c r="BL235" i="216"/>
  <c r="DP235" i="216"/>
  <c r="BH236" i="216"/>
  <c r="BH240" i="216"/>
  <c r="DP241" i="216"/>
  <c r="DZ242" i="216"/>
  <c r="AX243" i="216"/>
  <c r="DT243" i="216"/>
  <c r="BD246" i="216"/>
  <c r="BH248" i="216"/>
  <c r="DT248" i="216"/>
  <c r="DN248" i="216"/>
  <c r="DD252" i="216"/>
  <c r="DF252" i="216"/>
  <c r="EI254" i="216"/>
  <c r="DZ259" i="216"/>
  <c r="BX266" i="216"/>
  <c r="AT267" i="216"/>
  <c r="EE277" i="216"/>
  <c r="P277" i="216"/>
  <c r="AN277" i="216"/>
  <c r="Y278" i="216"/>
  <c r="Y283" i="216" s="1"/>
  <c r="DD278" i="216"/>
  <c r="AS328" i="216"/>
  <c r="AX291" i="216"/>
  <c r="AT291" i="216"/>
  <c r="CZ292" i="216"/>
  <c r="CY293" i="216"/>
  <c r="CV293" i="216"/>
  <c r="BR298" i="216"/>
  <c r="DN307" i="216"/>
  <c r="BN308" i="216"/>
  <c r="BP311" i="216"/>
  <c r="EI311" i="216"/>
  <c r="AH323" i="216"/>
  <c r="BQ411" i="216"/>
  <c r="BQ344" i="216"/>
  <c r="BP332" i="216"/>
  <c r="CQ413" i="216"/>
  <c r="DY413" i="216"/>
  <c r="DX334" i="216"/>
  <c r="AW415" i="216"/>
  <c r="BB337" i="216"/>
  <c r="BB415" i="216" s="1"/>
  <c r="CC415" i="216"/>
  <c r="CB337" i="216"/>
  <c r="EK337" i="216"/>
  <c r="BM416" i="216"/>
  <c r="BR338" i="216"/>
  <c r="BN338" i="216"/>
  <c r="CJ339" i="216"/>
  <c r="CP339" i="216"/>
  <c r="CQ366" i="216"/>
  <c r="EK358" i="216"/>
  <c r="T358" i="216"/>
  <c r="EC358" i="216"/>
  <c r="DV358" i="216"/>
  <c r="AD362" i="216"/>
  <c r="AH362" i="216"/>
  <c r="BI377" i="216"/>
  <c r="BH369" i="216"/>
  <c r="BL369" i="216"/>
  <c r="CL383" i="216"/>
  <c r="CP383" i="216"/>
  <c r="DZ390" i="216"/>
  <c r="EP390" i="216"/>
  <c r="ED197" i="216"/>
  <c r="EC197" i="216" s="1"/>
  <c r="DX197" i="216"/>
  <c r="AT201" i="216"/>
  <c r="CB201" i="216"/>
  <c r="AT209" i="216"/>
  <c r="DX213" i="216"/>
  <c r="ED213" i="216"/>
  <c r="EC213" i="216" s="1"/>
  <c r="BH216" i="216"/>
  <c r="DN220" i="216"/>
  <c r="DT220" i="216"/>
  <c r="DS220" i="216" s="1"/>
  <c r="AV221" i="216"/>
  <c r="BB221" i="216"/>
  <c r="BA221" i="216" s="1"/>
  <c r="EI221" i="216"/>
  <c r="BR225" i="216"/>
  <c r="DV229" i="216"/>
  <c r="EE232" i="216"/>
  <c r="DZ232" i="216"/>
  <c r="DV233" i="216"/>
  <c r="DV234" i="216"/>
  <c r="DZ236" i="216"/>
  <c r="DV237" i="216"/>
  <c r="BF246" i="216"/>
  <c r="BL246" i="216"/>
  <c r="BK246" i="216" s="1"/>
  <c r="DP254" i="216"/>
  <c r="CF256" i="216"/>
  <c r="BZ256" i="216"/>
  <c r="DX258" i="216"/>
  <c r="DZ258" i="216"/>
  <c r="EC258" i="216"/>
  <c r="AX262" i="216"/>
  <c r="DP263" i="216"/>
  <c r="AT265" i="216"/>
  <c r="BZ266" i="216"/>
  <c r="CF266" i="216"/>
  <c r="CE266" i="216" s="1"/>
  <c r="AV267" i="216"/>
  <c r="BB267" i="216"/>
  <c r="BA267" i="216" s="1"/>
  <c r="Z276" i="216"/>
  <c r="CJ276" i="216"/>
  <c r="CK283" i="216"/>
  <c r="EI277" i="216"/>
  <c r="X277" i="216"/>
  <c r="W277" i="216" s="1"/>
  <c r="R277" i="216"/>
  <c r="AH278" i="216"/>
  <c r="AN278" i="216"/>
  <c r="AO283" i="216"/>
  <c r="CZ278" i="216"/>
  <c r="CR278" i="216"/>
  <c r="DF278" i="216"/>
  <c r="DU288" i="216"/>
  <c r="DV286" i="216"/>
  <c r="DV287" i="216"/>
  <c r="AV291" i="216"/>
  <c r="AW328" i="216"/>
  <c r="AV328" i="216" s="1"/>
  <c r="BB291" i="216"/>
  <c r="BA291" i="216" s="1"/>
  <c r="DV293" i="216"/>
  <c r="BP298" i="216"/>
  <c r="EI298" i="216"/>
  <c r="EC310" i="216"/>
  <c r="DX310" i="216"/>
  <c r="EC312" i="216"/>
  <c r="DV312" i="216"/>
  <c r="DZ316" i="216"/>
  <c r="EC316" i="216"/>
  <c r="DL319" i="216"/>
  <c r="AL326" i="216"/>
  <c r="EI326" i="216"/>
  <c r="BN326" i="216"/>
  <c r="AS344" i="216"/>
  <c r="AS411" i="216"/>
  <c r="CU413" i="216"/>
  <c r="CT334" i="216"/>
  <c r="BQ416" i="216"/>
  <c r="BP338" i="216"/>
  <c r="BV338" i="216"/>
  <c r="BV416" i="216" s="1"/>
  <c r="DY416" i="216"/>
  <c r="DX338" i="216"/>
  <c r="ED338" i="216"/>
  <c r="ED416" i="216" s="1"/>
  <c r="BN339" i="216"/>
  <c r="AS366" i="216"/>
  <c r="AT357" i="216"/>
  <c r="DX357" i="216"/>
  <c r="DV357" i="216"/>
  <c r="CZ362" i="216"/>
  <c r="CT362" i="216"/>
  <c r="EP362" i="216"/>
  <c r="T364" i="216"/>
  <c r="CM377" i="216"/>
  <c r="CL369" i="216"/>
  <c r="EK372" i="216"/>
  <c r="T372" i="216"/>
  <c r="CB372" i="216"/>
  <c r="CF372" i="216"/>
  <c r="DV72" i="216"/>
  <c r="EC72" i="216"/>
  <c r="DZ72" i="216"/>
  <c r="DX72" i="216"/>
  <c r="EC76" i="216"/>
  <c r="DZ76" i="216"/>
  <c r="DV76" i="216"/>
  <c r="EE77" i="216"/>
  <c r="CV96" i="216"/>
  <c r="CW111" i="216"/>
  <c r="BH98" i="216"/>
  <c r="BI111" i="216"/>
  <c r="CJ102" i="216"/>
  <c r="EI102" i="216"/>
  <c r="DT105" i="216"/>
  <c r="DN105" i="216"/>
  <c r="CL123" i="216"/>
  <c r="CM128" i="216"/>
  <c r="CL128" i="216" s="1"/>
  <c r="DP123" i="216"/>
  <c r="DQ128" i="216"/>
  <c r="BH124" i="216"/>
  <c r="BL124" i="216"/>
  <c r="DQ136" i="216"/>
  <c r="DP136" i="216" s="1"/>
  <c r="DT131" i="216"/>
  <c r="DP131" i="216"/>
  <c r="T132" i="216"/>
  <c r="DO141" i="216"/>
  <c r="DL147" i="216"/>
  <c r="DP147" i="216"/>
  <c r="U405" i="216"/>
  <c r="T148" i="216"/>
  <c r="CU405" i="216"/>
  <c r="CT148" i="216"/>
  <c r="EA406" i="216"/>
  <c r="DZ149" i="216"/>
  <c r="EP149" i="216"/>
  <c r="ED149" i="216"/>
  <c r="ED406" i="216" s="1"/>
  <c r="BZ156" i="216"/>
  <c r="CA176" i="216"/>
  <c r="DF156" i="216"/>
  <c r="DG176" i="216"/>
  <c r="CZ157" i="216"/>
  <c r="CR157" i="216"/>
  <c r="BP158" i="216"/>
  <c r="BR158" i="216"/>
  <c r="DZ165" i="216"/>
  <c r="EP165" i="216"/>
  <c r="EK165" i="216"/>
  <c r="DQ407" i="216"/>
  <c r="DP166" i="216"/>
  <c r="DL168" i="216"/>
  <c r="DN168" i="216"/>
  <c r="DB169" i="216"/>
  <c r="DJ170" i="216"/>
  <c r="DF170" i="216"/>
  <c r="CK408" i="216"/>
  <c r="CJ171" i="216"/>
  <c r="AD172" i="216"/>
  <c r="AH172" i="216"/>
  <c r="EP172" i="216"/>
  <c r="DZ172" i="216"/>
  <c r="DP193" i="216"/>
  <c r="DZ195" i="216"/>
  <c r="DV196" i="216"/>
  <c r="BB201" i="216"/>
  <c r="BA201" i="216" s="1"/>
  <c r="AV201" i="216"/>
  <c r="BZ201" i="216"/>
  <c r="DL205" i="216"/>
  <c r="BF207" i="216"/>
  <c r="DN207" i="216"/>
  <c r="AV209" i="216"/>
  <c r="BB209" i="216"/>
  <c r="BA209" i="216" s="1"/>
  <c r="AX211" i="216"/>
  <c r="BF216" i="216"/>
  <c r="DV217" i="216"/>
  <c r="AX219" i="216"/>
  <c r="BD222" i="216"/>
  <c r="AT225" i="216"/>
  <c r="DP226" i="216"/>
  <c r="DX229" i="216"/>
  <c r="ED229" i="216"/>
  <c r="EC229" i="216" s="1"/>
  <c r="BP232" i="216"/>
  <c r="DX232" i="216"/>
  <c r="DX233" i="216"/>
  <c r="ED233" i="216"/>
  <c r="EC233" i="216" s="1"/>
  <c r="DX234" i="216"/>
  <c r="ED234" i="216"/>
  <c r="EC234" i="216" s="1"/>
  <c r="DX236" i="216"/>
  <c r="DB247" i="216"/>
  <c r="DZ247" i="216"/>
  <c r="DN254" i="216"/>
  <c r="DV257" i="216"/>
  <c r="EC257" i="216"/>
  <c r="DX257" i="216"/>
  <c r="BX260" i="216"/>
  <c r="DS262" i="216"/>
  <c r="DL262" i="216"/>
  <c r="DN263" i="216"/>
  <c r="BB265" i="216"/>
  <c r="BA265" i="216" s="1"/>
  <c r="AV265" i="216"/>
  <c r="DV267" i="216"/>
  <c r="AB276" i="216"/>
  <c r="AH276" i="216"/>
  <c r="AC283" i="216"/>
  <c r="DK283" i="216"/>
  <c r="CH278" i="216"/>
  <c r="BD280" i="216"/>
  <c r="DA288" i="216"/>
  <c r="DD286" i="216"/>
  <c r="DI286" i="216"/>
  <c r="DF286" i="216"/>
  <c r="DB286" i="216"/>
  <c r="DY288" i="216"/>
  <c r="DX286" i="216"/>
  <c r="ED286" i="216"/>
  <c r="EC286" i="216" s="1"/>
  <c r="DF287" i="216"/>
  <c r="DX287" i="216"/>
  <c r="ED287" i="216"/>
  <c r="EC287" i="216" s="1"/>
  <c r="DV299" i="216"/>
  <c r="EC299" i="216"/>
  <c r="DX301" i="216"/>
  <c r="EI301" i="216"/>
  <c r="BN303" i="216"/>
  <c r="DV304" i="216"/>
  <c r="DX304" i="216"/>
  <c r="BL307" i="216"/>
  <c r="BF307" i="216"/>
  <c r="R310" i="216"/>
  <c r="EI310" i="216"/>
  <c r="X310" i="216"/>
  <c r="W310" i="216" s="1"/>
  <c r="BP314" i="216"/>
  <c r="BP316" i="216"/>
  <c r="BV316" i="216"/>
  <c r="DN319" i="216"/>
  <c r="DT319" i="216"/>
  <c r="DS319" i="216" s="1"/>
  <c r="BP326" i="216"/>
  <c r="BV326" i="216"/>
  <c r="BU326" i="216" s="1"/>
  <c r="DN326" i="216"/>
  <c r="AW411" i="216"/>
  <c r="AW344" i="216"/>
  <c r="AV332" i="216"/>
  <c r="CG412" i="216"/>
  <c r="CL333" i="216"/>
  <c r="CJ333" i="216"/>
  <c r="CG414" i="216"/>
  <c r="CJ336" i="216"/>
  <c r="AS416" i="216"/>
  <c r="AT338" i="216"/>
  <c r="AX338" i="216"/>
  <c r="CQ416" i="216"/>
  <c r="CR338" i="216"/>
  <c r="BP339" i="216"/>
  <c r="BV339" i="216"/>
  <c r="BU339" i="216" s="1"/>
  <c r="AD357" i="216"/>
  <c r="Y366" i="216"/>
  <c r="BZ357" i="216"/>
  <c r="CE357" i="216"/>
  <c r="BW366" i="216"/>
  <c r="CB357" i="216"/>
  <c r="EB366" i="216"/>
  <c r="ED357" i="216"/>
  <c r="EC357" i="216" s="1"/>
  <c r="AV358" i="216"/>
  <c r="BP358" i="216"/>
  <c r="EA366" i="216"/>
  <c r="EP359" i="216"/>
  <c r="DZ359" i="216"/>
  <c r="BP362" i="216"/>
  <c r="BV362" i="216"/>
  <c r="DX364" i="216"/>
  <c r="DV364" i="216"/>
  <c r="AR369" i="216"/>
  <c r="AN369" i="216"/>
  <c r="AO377" i="216"/>
  <c r="DT369" i="216"/>
  <c r="DQ377" i="216"/>
  <c r="DP369" i="216"/>
  <c r="DF372" i="216"/>
  <c r="DJ372" i="216"/>
  <c r="CL380" i="216"/>
  <c r="CP380" i="216"/>
  <c r="CM387" i="216"/>
  <c r="DQ387" i="216"/>
  <c r="DP380" i="216"/>
  <c r="BV383" i="216"/>
  <c r="BR383" i="216"/>
  <c r="DZ383" i="216"/>
  <c r="EP383" i="216"/>
  <c r="ED383" i="216"/>
  <c r="AD62" i="216"/>
  <c r="AH62" i="216"/>
  <c r="CB62" i="216"/>
  <c r="CF62" i="216"/>
  <c r="DX70" i="216"/>
  <c r="EC70" i="216"/>
  <c r="DZ70" i="216"/>
  <c r="AS93" i="216"/>
  <c r="AX85" i="216"/>
  <c r="BS93" i="216"/>
  <c r="BR93" i="216" s="1"/>
  <c r="BR85" i="216"/>
  <c r="BV85" i="216"/>
  <c r="CL89" i="216"/>
  <c r="CP89" i="216"/>
  <c r="BR96" i="216"/>
  <c r="BS111" i="216"/>
  <c r="DU119" i="216"/>
  <c r="EC114" i="216"/>
  <c r="DX114" i="216"/>
  <c r="DV114" i="216"/>
  <c r="CL124" i="216"/>
  <c r="CP124" i="216"/>
  <c r="BF125" i="216"/>
  <c r="EI125" i="216"/>
  <c r="DN125" i="216"/>
  <c r="BH131" i="216"/>
  <c r="BI136" i="216"/>
  <c r="BL131" i="216"/>
  <c r="DD132" i="216"/>
  <c r="EI132" i="216"/>
  <c r="DZ132" i="216"/>
  <c r="EP132" i="216"/>
  <c r="BW141" i="216"/>
  <c r="DO153" i="216"/>
  <c r="DT147" i="216"/>
  <c r="DS147" i="216" s="1"/>
  <c r="DN147" i="216"/>
  <c r="AY405" i="216"/>
  <c r="AX148" i="216"/>
  <c r="CW405" i="216"/>
  <c r="CV148" i="216"/>
  <c r="CC406" i="216"/>
  <c r="CB149" i="216"/>
  <c r="CF149" i="216"/>
  <c r="CF406" i="216" s="1"/>
  <c r="EB406" i="216"/>
  <c r="EL149" i="216"/>
  <c r="EL406" i="216" s="1"/>
  <c r="BH156" i="216"/>
  <c r="BL156" i="216"/>
  <c r="BI176" i="216"/>
  <c r="CC176" i="216"/>
  <c r="CB156" i="216"/>
  <c r="CQ176" i="216"/>
  <c r="CR156" i="216"/>
  <c r="BV158" i="216"/>
  <c r="BU158" i="216" s="1"/>
  <c r="BN158" i="216"/>
  <c r="CV158" i="216"/>
  <c r="CZ158" i="216"/>
  <c r="AD164" i="216"/>
  <c r="AH164" i="216"/>
  <c r="CU407" i="216"/>
  <c r="CT166" i="216"/>
  <c r="CZ166" i="216"/>
  <c r="EG168" i="216"/>
  <c r="X168" i="216"/>
  <c r="W168" i="216" s="1"/>
  <c r="P168" i="216"/>
  <c r="DT168" i="216"/>
  <c r="DS168" i="216" s="1"/>
  <c r="DP168" i="216"/>
  <c r="AX169" i="216"/>
  <c r="DN193" i="216"/>
  <c r="AV194" i="216"/>
  <c r="BF195" i="216"/>
  <c r="DX195" i="216"/>
  <c r="DX196" i="216"/>
  <c r="ED196" i="216"/>
  <c r="EC196" i="216" s="1"/>
  <c r="DN205" i="216"/>
  <c r="AV211" i="216"/>
  <c r="DX212" i="216"/>
  <c r="DX217" i="216"/>
  <c r="ED217" i="216"/>
  <c r="EC217" i="216" s="1"/>
  <c r="AV219" i="216"/>
  <c r="BF222" i="216"/>
  <c r="BL222" i="216"/>
  <c r="BK222" i="216" s="1"/>
  <c r="AV225" i="216"/>
  <c r="BB225" i="216"/>
  <c r="BA225" i="216" s="1"/>
  <c r="DN226" i="216"/>
  <c r="AT229" i="216"/>
  <c r="BR229" i="216"/>
  <c r="BN235" i="216"/>
  <c r="DZ243" i="216"/>
  <c r="DD247" i="216"/>
  <c r="DJ247" i="216"/>
  <c r="DI247" i="216" s="1"/>
  <c r="DX247" i="216"/>
  <c r="DV248" i="216"/>
  <c r="DP250" i="216"/>
  <c r="DN251" i="216"/>
  <c r="DV253" i="216"/>
  <c r="BN255" i="216"/>
  <c r="BZ260" i="216"/>
  <c r="CF260" i="216"/>
  <c r="CE260" i="216" s="1"/>
  <c r="BH261" i="216"/>
  <c r="DZ261" i="216"/>
  <c r="DV265" i="216"/>
  <c r="DX267" i="216"/>
  <c r="ED267" i="216"/>
  <c r="EC267" i="216" s="1"/>
  <c r="P278" i="216"/>
  <c r="CF278" i="216"/>
  <c r="BX278" i="216"/>
  <c r="CJ278" i="216"/>
  <c r="CV278" i="216"/>
  <c r="DX278" i="216"/>
  <c r="DY283" i="216"/>
  <c r="DU409" i="216"/>
  <c r="EC282" i="216"/>
  <c r="EC409" i="216" s="1"/>
  <c r="DX282" i="216"/>
  <c r="DF292" i="216"/>
  <c r="DB292" i="216"/>
  <c r="DZ292" i="216"/>
  <c r="DF293" i="216"/>
  <c r="BZ294" i="216"/>
  <c r="CT299" i="216"/>
  <c r="BP303" i="216"/>
  <c r="BV303" i="216"/>
  <c r="BU303" i="216" s="1"/>
  <c r="DL306" i="216"/>
  <c r="BX311" i="216"/>
  <c r="CL315" i="216"/>
  <c r="BZ317" i="216"/>
  <c r="CB317" i="216"/>
  <c r="EC318" i="216"/>
  <c r="DX318" i="216"/>
  <c r="BN320" i="216"/>
  <c r="EE320" i="216"/>
  <c r="R321" i="216"/>
  <c r="BX323" i="216"/>
  <c r="CC411" i="216"/>
  <c r="CC344" i="216"/>
  <c r="CB332" i="216"/>
  <c r="CF332" i="216"/>
  <c r="DY412" i="216"/>
  <c r="DX333" i="216"/>
  <c r="CC413" i="216"/>
  <c r="CB334" i="216"/>
  <c r="BM414" i="216"/>
  <c r="DY414" i="216"/>
  <c r="DX336" i="216"/>
  <c r="AN337" i="216"/>
  <c r="AI415" i="216"/>
  <c r="CG415" i="216"/>
  <c r="CJ337" i="216"/>
  <c r="CH337" i="216"/>
  <c r="BB338" i="216"/>
  <c r="BB416" i="216" s="1"/>
  <c r="AW416" i="216"/>
  <c r="AV338" i="216"/>
  <c r="AC366" i="216"/>
  <c r="AB357" i="216"/>
  <c r="DF357" i="216"/>
  <c r="DA366" i="216"/>
  <c r="DB366" i="216" s="1"/>
  <c r="DD357" i="216"/>
  <c r="AB358" i="216"/>
  <c r="DZ364" i="216"/>
  <c r="EP364" i="216"/>
  <c r="ED364" i="216"/>
  <c r="EC364" i="216" s="1"/>
  <c r="BS377" i="216"/>
  <c r="BR369" i="216"/>
  <c r="AX158" i="216"/>
  <c r="BB158" i="216"/>
  <c r="DX158" i="216"/>
  <c r="DV158" i="216"/>
  <c r="BL164" i="216"/>
  <c r="BH164" i="216"/>
  <c r="BM407" i="216"/>
  <c r="BR166" i="216"/>
  <c r="BP166" i="216"/>
  <c r="EI168" i="216"/>
  <c r="R168" i="216"/>
  <c r="AN170" i="216"/>
  <c r="AR170" i="216"/>
  <c r="DF172" i="216"/>
  <c r="DJ172" i="216"/>
  <c r="DP198" i="216"/>
  <c r="EE203" i="216"/>
  <c r="AX203" i="216"/>
  <c r="BH208" i="216"/>
  <c r="CB208" i="216"/>
  <c r="CF208" i="216"/>
  <c r="CE209" i="216"/>
  <c r="BZ209" i="216"/>
  <c r="DZ211" i="216"/>
  <c r="DZ215" i="216"/>
  <c r="DV221" i="216"/>
  <c r="EC221" i="216"/>
  <c r="DL224" i="216"/>
  <c r="DS224" i="216"/>
  <c r="DF225" i="216"/>
  <c r="DV225" i="216"/>
  <c r="EC225" i="216"/>
  <c r="AV229" i="216"/>
  <c r="BB229" i="216"/>
  <c r="BA229" i="216" s="1"/>
  <c r="BP235" i="216"/>
  <c r="BV235" i="216"/>
  <c r="BU235" i="216" s="1"/>
  <c r="DP238" i="216"/>
  <c r="BD239" i="216"/>
  <c r="EE239" i="216"/>
  <c r="CE242" i="216"/>
  <c r="BX242" i="216"/>
  <c r="ED253" i="216"/>
  <c r="EC253" i="216" s="1"/>
  <c r="DX253" i="216"/>
  <c r="BV255" i="216"/>
  <c r="BU255" i="216" s="1"/>
  <c r="BP255" i="216"/>
  <c r="AX259" i="216"/>
  <c r="ED265" i="216"/>
  <c r="EC265" i="216" s="1"/>
  <c r="DX265" i="216"/>
  <c r="CQ283" i="216"/>
  <c r="AG277" i="216"/>
  <c r="Z277" i="216"/>
  <c r="R278" i="216"/>
  <c r="EI278" i="216"/>
  <c r="BV278" i="216"/>
  <c r="EA283" i="216"/>
  <c r="DZ278" i="216"/>
  <c r="EP278" i="216"/>
  <c r="CG288" i="216"/>
  <c r="CO286" i="216"/>
  <c r="CL286" i="216"/>
  <c r="CH286" i="216"/>
  <c r="DD292" i="216"/>
  <c r="DJ292" i="216"/>
  <c r="DI292" i="216" s="1"/>
  <c r="DX292" i="216"/>
  <c r="ED292" i="216"/>
  <c r="EC292" i="216" s="1"/>
  <c r="BN295" i="216"/>
  <c r="BP295" i="216"/>
  <c r="DN300" i="216"/>
  <c r="DT300" i="216"/>
  <c r="EC302" i="216"/>
  <c r="DX302" i="216"/>
  <c r="DZ302" i="216"/>
  <c r="DN306" i="216"/>
  <c r="DT306" i="216"/>
  <c r="DS306" i="216" s="1"/>
  <c r="CF311" i="216"/>
  <c r="CE311" i="216" s="1"/>
  <c r="BZ311" i="216"/>
  <c r="BU312" i="216"/>
  <c r="BR312" i="216"/>
  <c r="DZ313" i="216"/>
  <c r="BM412" i="216"/>
  <c r="BN333" i="216"/>
  <c r="EE333" i="216"/>
  <c r="BQ414" i="216"/>
  <c r="BP336" i="216"/>
  <c r="AM415" i="216"/>
  <c r="AL337" i="216"/>
  <c r="CC416" i="216"/>
  <c r="CB338" i="216"/>
  <c r="BC366" i="216"/>
  <c r="BK357" i="216"/>
  <c r="BH357" i="216"/>
  <c r="BB363" i="216"/>
  <c r="AX363" i="216"/>
  <c r="CL364" i="216"/>
  <c r="CP364" i="216"/>
  <c r="CW377" i="216"/>
  <c r="CV369" i="216"/>
  <c r="EI313" i="216"/>
  <c r="R313" i="216"/>
  <c r="BP325" i="216"/>
  <c r="BV325" i="216"/>
  <c r="EC326" i="216"/>
  <c r="DZ326" i="216"/>
  <c r="AS414" i="216"/>
  <c r="BM415" i="216"/>
  <c r="BU337" i="216"/>
  <c r="BU415" i="216" s="1"/>
  <c r="CG366" i="216"/>
  <c r="CH357" i="216"/>
  <c r="CJ357" i="216"/>
  <c r="BH358" i="216"/>
  <c r="DL358" i="216"/>
  <c r="DS358" i="216"/>
  <c r="DP358" i="216"/>
  <c r="DN358" i="216"/>
  <c r="DJ359" i="216"/>
  <c r="DF359" i="216"/>
  <c r="BL362" i="216"/>
  <c r="BF362" i="216"/>
  <c r="DV363" i="216"/>
  <c r="DX363" i="216"/>
  <c r="U377" i="216"/>
  <c r="T369" i="216"/>
  <c r="AY377" i="216"/>
  <c r="AX369" i="216"/>
  <c r="BB369" i="216"/>
  <c r="EA377" i="216"/>
  <c r="DZ369" i="216"/>
  <c r="EP369" i="216"/>
  <c r="ED369" i="216"/>
  <c r="CZ373" i="216"/>
  <c r="CV373" i="216"/>
  <c r="BS387" i="216"/>
  <c r="BR380" i="216"/>
  <c r="CW387" i="216"/>
  <c r="CV380" i="216"/>
  <c r="AX383" i="216"/>
  <c r="BB383" i="216"/>
  <c r="CB383" i="216"/>
  <c r="CF383" i="216"/>
  <c r="X58" i="216"/>
  <c r="W58" i="216" s="1"/>
  <c r="T58" i="216"/>
  <c r="CV58" i="216"/>
  <c r="CZ58" i="216"/>
  <c r="CY58" i="216" s="1"/>
  <c r="AL62" i="216"/>
  <c r="AR62" i="216"/>
  <c r="CP64" i="216"/>
  <c r="CJ64" i="216"/>
  <c r="DV65" i="216"/>
  <c r="AN68" i="216"/>
  <c r="AR68" i="216"/>
  <c r="DX71" i="216"/>
  <c r="DN88" i="216"/>
  <c r="DN104" i="216"/>
  <c r="DT104" i="216"/>
  <c r="DV124" i="216"/>
  <c r="DX124" i="216"/>
  <c r="AO136" i="216"/>
  <c r="AN131" i="216"/>
  <c r="BR131" i="216"/>
  <c r="BS136" i="216"/>
  <c r="BV131" i="216"/>
  <c r="BM141" i="216"/>
  <c r="EC147" i="216"/>
  <c r="DX147" i="216"/>
  <c r="DV147" i="216"/>
  <c r="BI405" i="216"/>
  <c r="BH148" i="216"/>
  <c r="DG405" i="216"/>
  <c r="DF148" i="216"/>
  <c r="BO406" i="216"/>
  <c r="BN149" i="216"/>
  <c r="CG406" i="216"/>
  <c r="CO149" i="216"/>
  <c r="CO406" i="216" s="1"/>
  <c r="CL149" i="216"/>
  <c r="CH149" i="216"/>
  <c r="BR156" i="216"/>
  <c r="BS176" i="216"/>
  <c r="BV156" i="216"/>
  <c r="CH156" i="216"/>
  <c r="CG176" i="216"/>
  <c r="BV161" i="216"/>
  <c r="BU161" i="216" s="1"/>
  <c r="BN161" i="216"/>
  <c r="CZ164" i="216"/>
  <c r="CV164" i="216"/>
  <c r="EP164" i="216"/>
  <c r="DZ164" i="216"/>
  <c r="DN165" i="216"/>
  <c r="DZ168" i="216"/>
  <c r="EP168" i="216"/>
  <c r="ED168" i="216"/>
  <c r="DP169" i="216"/>
  <c r="BN172" i="216"/>
  <c r="DF193" i="216"/>
  <c r="DV193" i="216"/>
  <c r="DL196" i="216"/>
  <c r="AT197" i="216"/>
  <c r="BH199" i="216"/>
  <c r="DX200" i="216"/>
  <c r="DZ204" i="216"/>
  <c r="DV205" i="216"/>
  <c r="BP207" i="216"/>
  <c r="BV207" i="216"/>
  <c r="BU207" i="216" s="1"/>
  <c r="DN209" i="216"/>
  <c r="AT213" i="216"/>
  <c r="BN215" i="216"/>
  <c r="BH224" i="216"/>
  <c r="EE224" i="216"/>
  <c r="DX226" i="216"/>
  <c r="AV230" i="216"/>
  <c r="BZ231" i="216"/>
  <c r="DD231" i="216"/>
  <c r="DJ231" i="216"/>
  <c r="DI231" i="216" s="1"/>
  <c r="BZ232" i="216"/>
  <c r="CF232" i="216"/>
  <c r="CE232" i="216" s="1"/>
  <c r="AV233" i="216"/>
  <c r="BB233" i="216"/>
  <c r="BA233" i="216" s="1"/>
  <c r="DN233" i="216"/>
  <c r="DT233" i="216"/>
  <c r="DS233" i="216" s="1"/>
  <c r="AV234" i="216"/>
  <c r="BB234" i="216"/>
  <c r="BA234" i="216" s="1"/>
  <c r="EI234" i="216"/>
  <c r="DN234" i="216"/>
  <c r="BZ237" i="216"/>
  <c r="CF237" i="216"/>
  <c r="BD238" i="216"/>
  <c r="BH247" i="216"/>
  <c r="DL247" i="216"/>
  <c r="AV249" i="216"/>
  <c r="BB249" i="216"/>
  <c r="DN249" i="216"/>
  <c r="DZ251" i="216"/>
  <c r="ED252" i="216"/>
  <c r="DD254" i="216"/>
  <c r="DJ254" i="216"/>
  <c r="DI254" i="216" s="1"/>
  <c r="CB257" i="216"/>
  <c r="AV258" i="216"/>
  <c r="EI258" i="216"/>
  <c r="DN258" i="216"/>
  <c r="DB262" i="216"/>
  <c r="EP262" i="216"/>
  <c r="DZ262" i="216"/>
  <c r="DD263" i="216"/>
  <c r="DX268" i="216"/>
  <c r="AL276" i="216"/>
  <c r="AM283" i="216"/>
  <c r="CR277" i="216"/>
  <c r="EC277" i="216"/>
  <c r="DZ277" i="216"/>
  <c r="DX277" i="216"/>
  <c r="BB278" i="216"/>
  <c r="BF278" i="216"/>
  <c r="DN278" i="216"/>
  <c r="DO288" i="216"/>
  <c r="DT286" i="216"/>
  <c r="DN286" i="216"/>
  <c r="DN287" i="216"/>
  <c r="BM328" i="216"/>
  <c r="BR291" i="216"/>
  <c r="CH298" i="216"/>
  <c r="BH300" i="216"/>
  <c r="BD300" i="216"/>
  <c r="BN315" i="216"/>
  <c r="BZ316" i="216"/>
  <c r="BN321" i="216"/>
  <c r="BK326" i="216"/>
  <c r="BF326" i="216"/>
  <c r="BZ326" i="216"/>
  <c r="DY411" i="216"/>
  <c r="DX332" i="216"/>
  <c r="DY344" i="216"/>
  <c r="DX344" i="216" s="1"/>
  <c r="BN335" i="216"/>
  <c r="AW414" i="216"/>
  <c r="AV336" i="216"/>
  <c r="EI336" i="216"/>
  <c r="CQ415" i="216"/>
  <c r="CR337" i="216"/>
  <c r="DY415" i="216"/>
  <c r="DX337" i="216"/>
  <c r="ED337" i="216"/>
  <c r="ED415" i="216" s="1"/>
  <c r="AI416" i="216"/>
  <c r="O366" i="216"/>
  <c r="EE357" i="216"/>
  <c r="P357" i="216"/>
  <c r="AI366" i="216"/>
  <c r="AL357" i="216"/>
  <c r="AJ357" i="216"/>
  <c r="DK366" i="216"/>
  <c r="DP357" i="216"/>
  <c r="DN357" i="216"/>
  <c r="EE358" i="216"/>
  <c r="P358" i="216"/>
  <c r="AJ358" i="216"/>
  <c r="BF358" i="216"/>
  <c r="BL358" i="216"/>
  <c r="BK358" i="216" s="1"/>
  <c r="DD362" i="216"/>
  <c r="T363" i="216"/>
  <c r="EK363" i="216"/>
  <c r="X363" i="216"/>
  <c r="W363" i="216" s="1"/>
  <c r="CF369" i="216"/>
  <c r="CC377" i="216"/>
  <c r="CB369" i="216"/>
  <c r="BR372" i="216"/>
  <c r="BV372" i="216"/>
  <c r="AN373" i="216"/>
  <c r="AR373" i="216"/>
  <c r="D152" i="213"/>
  <c r="D138" i="213"/>
  <c r="D23" i="213"/>
  <c r="D161" i="213"/>
  <c r="D119" i="213"/>
  <c r="D154" i="213"/>
  <c r="D62" i="213"/>
  <c r="D143" i="213"/>
  <c r="D90" i="213"/>
  <c r="D36" i="213"/>
  <c r="D156" i="213"/>
  <c r="D99" i="213"/>
  <c r="D149" i="213"/>
  <c r="D107" i="213"/>
  <c r="D151" i="213"/>
  <c r="D177" i="213"/>
  <c r="D124" i="213"/>
  <c r="D55" i="213"/>
  <c r="D164" i="213"/>
  <c r="D153" i="213"/>
  <c r="T35" i="216"/>
  <c r="EK35" i="216"/>
  <c r="CR35" i="216"/>
  <c r="M110" i="213"/>
  <c r="EF31" i="216"/>
  <c r="EM31" i="216"/>
  <c r="EJ31" i="216"/>
  <c r="EH31" i="216"/>
  <c r="EZ31" i="216"/>
  <c r="I36" i="213"/>
  <c r="BL20" i="216"/>
  <c r="BL16" i="216"/>
  <c r="BK16" i="216" s="1"/>
  <c r="G18" i="213"/>
  <c r="M36" i="213"/>
  <c r="G129" i="213"/>
  <c r="EF13" i="216"/>
  <c r="J16" i="213"/>
  <c r="L23" i="213"/>
  <c r="BP34" i="216"/>
  <c r="BV34" i="216"/>
  <c r="DV119" i="216"/>
  <c r="G19" i="213"/>
  <c r="G151" i="213"/>
  <c r="EZ15" i="216"/>
  <c r="EH15" i="216"/>
  <c r="BB18" i="216"/>
  <c r="BA18" i="216" s="1"/>
  <c r="BU21" i="216"/>
  <c r="CP23" i="216"/>
  <c r="CH23" i="216"/>
  <c r="DD30" i="216"/>
  <c r="DE40" i="216"/>
  <c r="DU40" i="216"/>
  <c r="EC30" i="216"/>
  <c r="DJ46" i="216"/>
  <c r="EP51" i="216"/>
  <c r="DZ51" i="216"/>
  <c r="G24" i="213"/>
  <c r="G25" i="213"/>
  <c r="G63" i="213"/>
  <c r="M80" i="213"/>
  <c r="BH30" i="216"/>
  <c r="BI40" i="216"/>
  <c r="EK30" i="216"/>
  <c r="CF30" i="216"/>
  <c r="BX30" i="216"/>
  <c r="BY40" i="216"/>
  <c r="AH60" i="216"/>
  <c r="AB60" i="216"/>
  <c r="CF60" i="216"/>
  <c r="L51" i="213"/>
  <c r="BZ65" i="216"/>
  <c r="DL146" i="216"/>
  <c r="G23" i="213"/>
  <c r="M28" i="213"/>
  <c r="G52" i="213"/>
  <c r="M78" i="213"/>
  <c r="BL14" i="216"/>
  <c r="BD14" i="216"/>
  <c r="AT26" i="216"/>
  <c r="EZ19" i="216"/>
  <c r="EH19" i="216"/>
  <c r="K22" i="213"/>
  <c r="J25" i="213"/>
  <c r="CF22" i="216"/>
  <c r="EE30" i="216"/>
  <c r="AG56" i="216"/>
  <c r="AD56" i="216"/>
  <c r="Z56" i="216"/>
  <c r="BB106" i="216"/>
  <c r="AT106" i="216"/>
  <c r="G16" i="213"/>
  <c r="G51" i="213"/>
  <c r="G73" i="213"/>
  <c r="G93" i="213"/>
  <c r="G108" i="213"/>
  <c r="DJ16" i="216"/>
  <c r="K66" i="213"/>
  <c r="EZ127" i="216"/>
  <c r="EH127" i="216"/>
  <c r="G15" i="213"/>
  <c r="M18" i="213"/>
  <c r="P33" i="213"/>
  <c r="G72" i="213"/>
  <c r="G102" i="213"/>
  <c r="G116" i="213"/>
  <c r="M129" i="213"/>
  <c r="G133" i="213"/>
  <c r="G147" i="213"/>
  <c r="G176" i="213"/>
  <c r="DS13" i="216"/>
  <c r="DO40" i="216"/>
  <c r="DX40" i="216"/>
  <c r="CV40" i="216"/>
  <c r="EK32" i="216"/>
  <c r="T32" i="216"/>
  <c r="AR32" i="216"/>
  <c r="AJ32" i="216"/>
  <c r="DA82" i="216"/>
  <c r="DB82" i="216" s="1"/>
  <c r="DI45" i="216"/>
  <c r="DT63" i="216"/>
  <c r="DL63" i="216"/>
  <c r="CP102" i="216"/>
  <c r="CO102" i="216" s="1"/>
  <c r="BK13" i="216"/>
  <c r="CZ18" i="216"/>
  <c r="AP40" i="216"/>
  <c r="AR29" i="216"/>
  <c r="CK40" i="216"/>
  <c r="CJ53" i="216"/>
  <c r="DX53" i="216"/>
  <c r="K61" i="213"/>
  <c r="BI26" i="216"/>
  <c r="CB12" i="216"/>
  <c r="DH26" i="216"/>
  <c r="BA13" i="216"/>
  <c r="AB14" i="216"/>
  <c r="BH16" i="216"/>
  <c r="CF16" i="216"/>
  <c r="CE16" i="216" s="1"/>
  <c r="ED16" i="216"/>
  <c r="EC16" i="216" s="1"/>
  <c r="DV16" i="216"/>
  <c r="AX18" i="216"/>
  <c r="BV18" i="216"/>
  <c r="BU18" i="216" s="1"/>
  <c r="DT18" i="216"/>
  <c r="DS18" i="216" s="1"/>
  <c r="DL18" i="216"/>
  <c r="DJ20" i="216"/>
  <c r="DI20" i="216" s="1"/>
  <c r="DB20" i="216"/>
  <c r="EC20" i="216"/>
  <c r="AH22" i="216"/>
  <c r="AG22" i="216" s="1"/>
  <c r="CZ22" i="216"/>
  <c r="CY22" i="216" s="1"/>
  <c r="CR22" i="216"/>
  <c r="AH23" i="216"/>
  <c r="EE23" i="216"/>
  <c r="EG30" i="216"/>
  <c r="AL33" i="216"/>
  <c r="BF33" i="216"/>
  <c r="Z36" i="216"/>
  <c r="AH36" i="216"/>
  <c r="CT36" i="216"/>
  <c r="Y82" i="216"/>
  <c r="CO47" i="216"/>
  <c r="DL49" i="216"/>
  <c r="DT49" i="216"/>
  <c r="DS49" i="216" s="1"/>
  <c r="EL50" i="216"/>
  <c r="X50" i="216"/>
  <c r="W50" i="216" s="1"/>
  <c r="CH57" i="216"/>
  <c r="BL62" i="216"/>
  <c r="EK68" i="216"/>
  <c r="EF77" i="216"/>
  <c r="EI96" i="216"/>
  <c r="X98" i="216"/>
  <c r="W98" i="216" s="1"/>
  <c r="P98" i="216"/>
  <c r="EG98" i="216"/>
  <c r="EG106" i="216"/>
  <c r="BV139" i="216"/>
  <c r="BU139" i="216" s="1"/>
  <c r="BN139" i="216"/>
  <c r="BO141" i="216"/>
  <c r="DI148" i="216"/>
  <c r="DI405" i="216" s="1"/>
  <c r="EZ150" i="216"/>
  <c r="EH150" i="216"/>
  <c r="M118" i="213"/>
  <c r="M127" i="213"/>
  <c r="M147" i="213"/>
  <c r="AH12" i="216"/>
  <c r="Z12" i="216"/>
  <c r="AA26" i="216"/>
  <c r="BJ26" i="216"/>
  <c r="CZ12" i="216"/>
  <c r="DZ12" i="216"/>
  <c r="EP12" i="216"/>
  <c r="EA26" i="216"/>
  <c r="EJ13" i="216"/>
  <c r="AQ13" i="216"/>
  <c r="DI13" i="216"/>
  <c r="EE14" i="216"/>
  <c r="AD14" i="216"/>
  <c r="EK18" i="216"/>
  <c r="BZ20" i="216"/>
  <c r="BK21" i="216"/>
  <c r="DS21" i="216"/>
  <c r="AD22" i="216"/>
  <c r="BB22" i="216"/>
  <c r="BA22" i="216" s="1"/>
  <c r="DT22" i="216"/>
  <c r="DS22" i="216" s="1"/>
  <c r="EL25" i="216"/>
  <c r="EN25" i="216" s="1"/>
  <c r="X25" i="216"/>
  <c r="W25" i="216" s="1"/>
  <c r="DG26" i="216"/>
  <c r="EI30" i="216"/>
  <c r="AX30" i="216"/>
  <c r="BU30" i="216"/>
  <c r="CZ30" i="216"/>
  <c r="CY30" i="216" s="1"/>
  <c r="DX30" i="216"/>
  <c r="AG32" i="216"/>
  <c r="BK32" i="216"/>
  <c r="AC82" i="216"/>
  <c r="AB44" i="216"/>
  <c r="AH44" i="216"/>
  <c r="BT82" i="216"/>
  <c r="CK82" i="216"/>
  <c r="T47" i="216"/>
  <c r="EK47" i="216"/>
  <c r="CE49" i="216"/>
  <c r="EI51" i="216"/>
  <c r="EL52" i="216"/>
  <c r="EK54" i="216"/>
  <c r="EE56" i="216"/>
  <c r="EI60" i="216"/>
  <c r="BV66" i="216"/>
  <c r="CZ71" i="216"/>
  <c r="CY71" i="216" s="1"/>
  <c r="T73" i="216"/>
  <c r="EK73" i="216"/>
  <c r="AR73" i="216"/>
  <c r="AQ73" i="216" s="1"/>
  <c r="AJ73" i="216"/>
  <c r="R75" i="216"/>
  <c r="EI75" i="216"/>
  <c r="T79" i="216"/>
  <c r="EK79" i="216"/>
  <c r="AM93" i="216"/>
  <c r="AL93" i="216" s="1"/>
  <c r="EZ118" i="216"/>
  <c r="EH118" i="216"/>
  <c r="X125" i="216"/>
  <c r="W125" i="216" s="1"/>
  <c r="P125" i="216"/>
  <c r="EG125" i="216"/>
  <c r="EL139" i="216"/>
  <c r="EL141" i="216" s="1"/>
  <c r="AX139" i="216"/>
  <c r="AY141" i="216"/>
  <c r="AX141" i="216" s="1"/>
  <c r="DP139" i="216"/>
  <c r="DQ141" i="216"/>
  <c r="X404" i="216"/>
  <c r="W145" i="216"/>
  <c r="W404" i="216" s="1"/>
  <c r="DC405" i="216"/>
  <c r="DJ148" i="216"/>
  <c r="DJ405" i="216" s="1"/>
  <c r="DB148" i="216"/>
  <c r="BB12" i="216"/>
  <c r="DL26" i="216"/>
  <c r="X14" i="216"/>
  <c r="W14" i="216" s="1"/>
  <c r="P14" i="216"/>
  <c r="AH16" i="216"/>
  <c r="AG16" i="216" s="1"/>
  <c r="CZ16" i="216"/>
  <c r="CY16" i="216" s="1"/>
  <c r="EN17" i="216"/>
  <c r="EF17" i="216"/>
  <c r="EG18" i="216"/>
  <c r="AQ18" i="216"/>
  <c r="CP18" i="216"/>
  <c r="CO18" i="216" s="1"/>
  <c r="EL19" i="216"/>
  <c r="AH20" i="216"/>
  <c r="AG20" i="216" s="1"/>
  <c r="Z20" i="216"/>
  <c r="CB20" i="216"/>
  <c r="CY20" i="216"/>
  <c r="BA21" i="216"/>
  <c r="BV22" i="216"/>
  <c r="BU22" i="216" s="1"/>
  <c r="EJ25" i="216"/>
  <c r="BM40" i="216"/>
  <c r="BR40" i="216" s="1"/>
  <c r="CD40" i="216"/>
  <c r="CF29" i="216"/>
  <c r="DR40" i="216"/>
  <c r="DT29" i="216"/>
  <c r="AR30" i="216"/>
  <c r="AQ30" i="216" s="1"/>
  <c r="AJ30" i="216"/>
  <c r="CT30" i="216"/>
  <c r="DS30" i="216"/>
  <c r="DZ30" i="216"/>
  <c r="AT37" i="216"/>
  <c r="BB37" i="216"/>
  <c r="CU82" i="216"/>
  <c r="DI49" i="216"/>
  <c r="AJ57" i="216"/>
  <c r="AR57" i="216"/>
  <c r="AQ57" i="216" s="1"/>
  <c r="BB58" i="216"/>
  <c r="CP58" i="216"/>
  <c r="EK60" i="216"/>
  <c r="EK62" i="216"/>
  <c r="DT87" i="216"/>
  <c r="AB146" i="216"/>
  <c r="EI146" i="216"/>
  <c r="AA405" i="216"/>
  <c r="Z148" i="216"/>
  <c r="AR158" i="216"/>
  <c r="M27" i="213"/>
  <c r="M29" i="213"/>
  <c r="M81" i="213"/>
  <c r="N132" i="213"/>
  <c r="EE12" i="216"/>
  <c r="AX12" i="216"/>
  <c r="AY26" i="216"/>
  <c r="BV12" i="216"/>
  <c r="BU12" i="216" s="1"/>
  <c r="BN12" i="216"/>
  <c r="BO26" i="216"/>
  <c r="CV26" i="216"/>
  <c r="DP12" i="216"/>
  <c r="AG13" i="216"/>
  <c r="CE13" i="216"/>
  <c r="CY13" i="216"/>
  <c r="EI14" i="216"/>
  <c r="DF14" i="216"/>
  <c r="BB16" i="216"/>
  <c r="BA16" i="216" s="1"/>
  <c r="AT16" i="216"/>
  <c r="BU16" i="216"/>
  <c r="CV16" i="216"/>
  <c r="DT16" i="216"/>
  <c r="DS16" i="216" s="1"/>
  <c r="AR18" i="216"/>
  <c r="AJ18" i="216"/>
  <c r="BK18" i="216"/>
  <c r="CL18" i="216"/>
  <c r="DJ18" i="216"/>
  <c r="DI18" i="216" s="1"/>
  <c r="BB20" i="216"/>
  <c r="BA20" i="216" s="1"/>
  <c r="CZ20" i="216"/>
  <c r="DZ20" i="216"/>
  <c r="EP20" i="216"/>
  <c r="EJ21" i="216"/>
  <c r="AQ21" i="216"/>
  <c r="DI21" i="216"/>
  <c r="EE22" i="216"/>
  <c r="EF22" i="216" s="1"/>
  <c r="BR22" i="216"/>
  <c r="CP22" i="216"/>
  <c r="CO22" i="216" s="1"/>
  <c r="X23" i="216"/>
  <c r="W23" i="216" s="1"/>
  <c r="AV23" i="216"/>
  <c r="EF24" i="216"/>
  <c r="DW26" i="216"/>
  <c r="CV30" i="216"/>
  <c r="DT30" i="216"/>
  <c r="DL30" i="216"/>
  <c r="BX34" i="216"/>
  <c r="AV35" i="216"/>
  <c r="EE37" i="216"/>
  <c r="U40" i="216"/>
  <c r="EI44" i="216"/>
  <c r="EE45" i="216"/>
  <c r="EF45" i="216" s="1"/>
  <c r="DS46" i="216"/>
  <c r="DK82" i="216"/>
  <c r="DL46" i="216"/>
  <c r="EI47" i="216"/>
  <c r="BL47" i="216"/>
  <c r="BK47" i="216" s="1"/>
  <c r="DJ49" i="216"/>
  <c r="DB49" i="216"/>
  <c r="BB51" i="216"/>
  <c r="AT51" i="216"/>
  <c r="BH52" i="216"/>
  <c r="EK52" i="216"/>
  <c r="EE53" i="216"/>
  <c r="EF53" i="216" s="1"/>
  <c r="DV55" i="216"/>
  <c r="BA56" i="216"/>
  <c r="Z59" i="216"/>
  <c r="AH59" i="216"/>
  <c r="AG59" i="216" s="1"/>
  <c r="CP59" i="216"/>
  <c r="CH59" i="216"/>
  <c r="EL60" i="216"/>
  <c r="CP63" i="216"/>
  <c r="CO63" i="216" s="1"/>
  <c r="CH63" i="216"/>
  <c r="AN96" i="216"/>
  <c r="AO111" i="216"/>
  <c r="AN111" i="216" s="1"/>
  <c r="EL103" i="216"/>
  <c r="X103" i="216"/>
  <c r="W103" i="216" s="1"/>
  <c r="DJ125" i="216"/>
  <c r="DI125" i="216" s="1"/>
  <c r="DB125" i="216"/>
  <c r="DA141" i="216"/>
  <c r="DD141" i="216" s="1"/>
  <c r="EI147" i="216"/>
  <c r="CK405" i="216"/>
  <c r="CJ148" i="216"/>
  <c r="BU156" i="216"/>
  <c r="M109" i="213"/>
  <c r="M111" i="213"/>
  <c r="L120" i="213"/>
  <c r="AI26" i="216"/>
  <c r="CX26" i="216"/>
  <c r="DR26" i="216"/>
  <c r="EK14" i="216"/>
  <c r="CZ14" i="216"/>
  <c r="CR14" i="216"/>
  <c r="ED14" i="216"/>
  <c r="ED26" i="216" s="1"/>
  <c r="EG16" i="216"/>
  <c r="BV16" i="216"/>
  <c r="BL18" i="216"/>
  <c r="EE20" i="216"/>
  <c r="EJ20" i="216" s="1"/>
  <c r="BV20" i="216"/>
  <c r="BU20" i="216" s="1"/>
  <c r="BN20" i="216"/>
  <c r="DT20" i="216"/>
  <c r="DS20" i="216" s="1"/>
  <c r="X22" i="216"/>
  <c r="W22" i="216" s="1"/>
  <c r="P22" i="216"/>
  <c r="DJ22" i="216"/>
  <c r="DI22" i="216" s="1"/>
  <c r="ED22" i="216"/>
  <c r="EC22" i="216" s="1"/>
  <c r="ED23" i="216"/>
  <c r="DV23" i="216"/>
  <c r="R24" i="216"/>
  <c r="EI24" i="216"/>
  <c r="EN24" i="216" s="1"/>
  <c r="EF25" i="216"/>
  <c r="BS26" i="216"/>
  <c r="CR40" i="216"/>
  <c r="AG30" i="216"/>
  <c r="CY31" i="216"/>
  <c r="CV31" i="216"/>
  <c r="CT31" i="216"/>
  <c r="CR31" i="216"/>
  <c r="EE32" i="216"/>
  <c r="CH32" i="216"/>
  <c r="CP32" i="216"/>
  <c r="AH33" i="216"/>
  <c r="AG33" i="216" s="1"/>
  <c r="DB33" i="216"/>
  <c r="DX33" i="216"/>
  <c r="EE35" i="216"/>
  <c r="EF35" i="216" s="1"/>
  <c r="P39" i="216"/>
  <c r="EE39" i="216"/>
  <c r="EJ39" i="216" s="1"/>
  <c r="W39" i="216"/>
  <c r="T39" i="216"/>
  <c r="R39" i="216"/>
  <c r="AK40" i="216"/>
  <c r="EK44" i="216"/>
  <c r="CZ45" i="216"/>
  <c r="DX48" i="216"/>
  <c r="AQ49" i="216"/>
  <c r="CY51" i="216"/>
  <c r="CT51" i="216"/>
  <c r="EH56" i="216"/>
  <c r="EL58" i="216"/>
  <c r="BB61" i="216"/>
  <c r="AT61" i="216"/>
  <c r="EG61" i="216"/>
  <c r="CP67" i="216"/>
  <c r="DZ69" i="216"/>
  <c r="DX75" i="216"/>
  <c r="DZ78" i="216"/>
  <c r="EP78" i="216"/>
  <c r="AH96" i="216"/>
  <c r="Z96" i="216"/>
  <c r="AA111" i="216"/>
  <c r="Z111" i="216" s="1"/>
  <c r="BB100" i="216"/>
  <c r="BA100" i="216" s="1"/>
  <c r="AT100" i="216"/>
  <c r="BR132" i="216"/>
  <c r="CH141" i="216"/>
  <c r="EE157" i="216"/>
  <c r="EL168" i="216"/>
  <c r="AJ26" i="216"/>
  <c r="BK12" i="216"/>
  <c r="EM13" i="216"/>
  <c r="BU13" i="216"/>
  <c r="AR14" i="216"/>
  <c r="EF15" i="216"/>
  <c r="EI16" i="216"/>
  <c r="CP16" i="216"/>
  <c r="CP26" i="216" s="1"/>
  <c r="CH16" i="216"/>
  <c r="CF18" i="216"/>
  <c r="CE18" i="216" s="1"/>
  <c r="BX18" i="216"/>
  <c r="EN20" i="216"/>
  <c r="AG21" i="216"/>
  <c r="CE21" i="216"/>
  <c r="CY21" i="216"/>
  <c r="EJ22" i="216"/>
  <c r="AR22" i="216"/>
  <c r="AQ22" i="216" s="1"/>
  <c r="DX22" i="216"/>
  <c r="T23" i="216"/>
  <c r="EK23" i="216"/>
  <c r="AR23" i="216"/>
  <c r="AJ23" i="216"/>
  <c r="BL30" i="216"/>
  <c r="BL40" i="216" s="1"/>
  <c r="X32" i="216"/>
  <c r="W32" i="216" s="1"/>
  <c r="EK49" i="216"/>
  <c r="AB57" i="216"/>
  <c r="CF57" i="216"/>
  <c r="CE57" i="216" s="1"/>
  <c r="EE69" i="216"/>
  <c r="EK89" i="216"/>
  <c r="CO89" i="216"/>
  <c r="EF100" i="216"/>
  <c r="EE114" i="216"/>
  <c r="EJ114" i="216" s="1"/>
  <c r="EG131" i="216"/>
  <c r="BW405" i="216"/>
  <c r="BX148" i="216"/>
  <c r="AE176" i="216"/>
  <c r="AO176" i="216"/>
  <c r="CX176" i="216"/>
  <c r="M26" i="213"/>
  <c r="U26" i="216"/>
  <c r="AN12" i="216"/>
  <c r="BL12" i="216"/>
  <c r="BW26" i="216"/>
  <c r="CL12" i="216"/>
  <c r="CM26" i="216"/>
  <c r="DJ12" i="216"/>
  <c r="DJ26" i="216" s="1"/>
  <c r="DB12" i="216"/>
  <c r="DC26" i="216"/>
  <c r="DU26" i="216"/>
  <c r="EK16" i="216"/>
  <c r="AR16" i="216"/>
  <c r="AQ16" i="216" s="1"/>
  <c r="DI16" i="216"/>
  <c r="AH18" i="216"/>
  <c r="AG18" i="216" s="1"/>
  <c r="CY18" i="216"/>
  <c r="DZ18" i="216"/>
  <c r="AR20" i="216"/>
  <c r="AQ20" i="216" s="1"/>
  <c r="BK20" i="216"/>
  <c r="BL22" i="216"/>
  <c r="BK22" i="216" s="1"/>
  <c r="BD22" i="216"/>
  <c r="CE22" i="216"/>
  <c r="DZ22" i="216"/>
  <c r="CV23" i="216"/>
  <c r="EZ25" i="216"/>
  <c r="EH25" i="216"/>
  <c r="CI26" i="216"/>
  <c r="O40" i="216"/>
  <c r="P40" i="216" s="1"/>
  <c r="AF40" i="216"/>
  <c r="AB30" i="216"/>
  <c r="AC40" i="216"/>
  <c r="AS40" i="216"/>
  <c r="CE30" i="216"/>
  <c r="CL30" i="216"/>
  <c r="DJ30" i="216"/>
  <c r="DI30" i="216" s="1"/>
  <c r="AQ32" i="216"/>
  <c r="AX32" i="216"/>
  <c r="EC32" i="216"/>
  <c r="EZ37" i="216"/>
  <c r="EH37" i="216"/>
  <c r="BQ40" i="216"/>
  <c r="EI45" i="216"/>
  <c r="BN46" i="216"/>
  <c r="BO82" i="216"/>
  <c r="BN82" i="216" s="1"/>
  <c r="BV46" i="216"/>
  <c r="BA47" i="216"/>
  <c r="DJ47" i="216"/>
  <c r="DB47" i="216"/>
  <c r="DX49" i="216"/>
  <c r="ED49" i="216"/>
  <c r="EE55" i="216"/>
  <c r="EL56" i="216"/>
  <c r="EG57" i="216"/>
  <c r="X59" i="216"/>
  <c r="W59" i="216" s="1"/>
  <c r="P59" i="216"/>
  <c r="EG59" i="216"/>
  <c r="X61" i="216"/>
  <c r="W61" i="216" s="1"/>
  <c r="CZ61" i="216"/>
  <c r="CR61" i="216"/>
  <c r="CO64" i="216"/>
  <c r="BL67" i="216"/>
  <c r="BD67" i="216"/>
  <c r="EE71" i="216"/>
  <c r="ED71" i="216"/>
  <c r="EC71" i="216" s="1"/>
  <c r="DV71" i="216"/>
  <c r="CY75" i="216"/>
  <c r="DT77" i="216"/>
  <c r="BV79" i="216"/>
  <c r="EG96" i="216"/>
  <c r="BA98" i="216"/>
  <c r="EI101" i="216"/>
  <c r="EI105" i="216"/>
  <c r="EL124" i="216"/>
  <c r="EL128" i="216" s="1"/>
  <c r="X124" i="216"/>
  <c r="W124" i="216" s="1"/>
  <c r="DH136" i="216"/>
  <c r="DJ131" i="216"/>
  <c r="AL132" i="216"/>
  <c r="EB153" i="216"/>
  <c r="BE405" i="216"/>
  <c r="BL148" i="216"/>
  <c r="BL405" i="216" s="1"/>
  <c r="BD148" i="216"/>
  <c r="T12" i="216"/>
  <c r="AJ12" i="216"/>
  <c r="AR12" i="216"/>
  <c r="AQ12" i="216" s="1"/>
  <c r="BH12" i="216"/>
  <c r="BX12" i="216"/>
  <c r="CF12" i="216"/>
  <c r="CV12" i="216"/>
  <c r="DL12" i="216"/>
  <c r="DT12" i="216"/>
  <c r="R14" i="216"/>
  <c r="Z14" i="216"/>
  <c r="BN14" i="216"/>
  <c r="DB14" i="216"/>
  <c r="P16" i="216"/>
  <c r="X16" i="216"/>
  <c r="W16" i="216" s="1"/>
  <c r="BD16" i="216"/>
  <c r="CR16" i="216"/>
  <c r="AT18" i="216"/>
  <c r="CH18" i="216"/>
  <c r="DV18" i="216"/>
  <c r="T20" i="216"/>
  <c r="AJ20" i="216"/>
  <c r="BX20" i="216"/>
  <c r="DL20" i="216"/>
  <c r="Z22" i="216"/>
  <c r="BN22" i="216"/>
  <c r="DB22" i="216"/>
  <c r="AT23" i="216"/>
  <c r="CR23" i="216"/>
  <c r="T24" i="216"/>
  <c r="S40" i="216"/>
  <c r="AA40" i="216"/>
  <c r="AI40" i="216"/>
  <c r="AQ29" i="216"/>
  <c r="AY40" i="216"/>
  <c r="BG40" i="216"/>
  <c r="BF40" i="216" s="1"/>
  <c r="BO40" i="216"/>
  <c r="BW40" i="216"/>
  <c r="CE29" i="216"/>
  <c r="CM40" i="216"/>
  <c r="CU40" i="216"/>
  <c r="CT40" i="216" s="1"/>
  <c r="DC40" i="216"/>
  <c r="DK40" i="216"/>
  <c r="DL40" i="216" s="1"/>
  <c r="DS29" i="216"/>
  <c r="EA40" i="216"/>
  <c r="EI29" i="216"/>
  <c r="AT30" i="216"/>
  <c r="CH30" i="216"/>
  <c r="DV30" i="216"/>
  <c r="AT32" i="216"/>
  <c r="DJ32" i="216"/>
  <c r="X33" i="216"/>
  <c r="W33" i="216" s="1"/>
  <c r="P33" i="216"/>
  <c r="AN33" i="216"/>
  <c r="BN33" i="216"/>
  <c r="CF33" i="216"/>
  <c r="CE33" i="216" s="1"/>
  <c r="DZ33" i="216"/>
  <c r="CB34" i="216"/>
  <c r="EL35" i="216"/>
  <c r="BB35" i="216"/>
  <c r="BA35" i="216" s="1"/>
  <c r="AT35" i="216"/>
  <c r="CZ35" i="216"/>
  <c r="CY35" i="216" s="1"/>
  <c r="DT35" i="216"/>
  <c r="DS35" i="216" s="1"/>
  <c r="DL35" i="216"/>
  <c r="AL36" i="216"/>
  <c r="CP36" i="216"/>
  <c r="CO36" i="216" s="1"/>
  <c r="ED36" i="216"/>
  <c r="EC36" i="216" s="1"/>
  <c r="EI36" i="216"/>
  <c r="BF37" i="216"/>
  <c r="DJ37" i="216"/>
  <c r="BC40" i="216"/>
  <c r="T44" i="216"/>
  <c r="AM82" i="216"/>
  <c r="AL82" i="216" s="1"/>
  <c r="AZ82" i="216"/>
  <c r="BJ82" i="216"/>
  <c r="CG82" i="216"/>
  <c r="CQ82" i="216"/>
  <c r="DX44" i="216"/>
  <c r="CR45" i="216"/>
  <c r="DJ45" i="216"/>
  <c r="EL46" i="216"/>
  <c r="EL82" i="216" s="1"/>
  <c r="BB46" i="216"/>
  <c r="BA46" i="216" s="1"/>
  <c r="CE46" i="216"/>
  <c r="CY46" i="216"/>
  <c r="DI46" i="216"/>
  <c r="EE48" i="216"/>
  <c r="BL48" i="216"/>
  <c r="BU48" i="216"/>
  <c r="AJ49" i="216"/>
  <c r="BB49" i="216"/>
  <c r="BA49" i="216" s="1"/>
  <c r="DN49" i="216"/>
  <c r="DZ49" i="216"/>
  <c r="CZ51" i="216"/>
  <c r="CR51" i="216"/>
  <c r="DN51" i="216"/>
  <c r="DT51" i="216"/>
  <c r="DS51" i="216" s="1"/>
  <c r="AR52" i="216"/>
  <c r="AQ52" i="216" s="1"/>
  <c r="BA52" i="216"/>
  <c r="CO52" i="216"/>
  <c r="X53" i="216"/>
  <c r="W53" i="216" s="1"/>
  <c r="AR53" i="216"/>
  <c r="AQ53" i="216" s="1"/>
  <c r="AJ53" i="216"/>
  <c r="CP53" i="216"/>
  <c r="CO53" i="216" s="1"/>
  <c r="CH53" i="216"/>
  <c r="EL54" i="216"/>
  <c r="AH55" i="216"/>
  <c r="AG55" i="216" s="1"/>
  <c r="Z55" i="216"/>
  <c r="AX55" i="216"/>
  <c r="CT55" i="216"/>
  <c r="ED55" i="216"/>
  <c r="P56" i="216"/>
  <c r="AQ56" i="216"/>
  <c r="BK56" i="216"/>
  <c r="CO56" i="216"/>
  <c r="CZ56" i="216"/>
  <c r="DI56" i="216"/>
  <c r="AH57" i="216"/>
  <c r="AG57" i="216" s="1"/>
  <c r="Z57" i="216"/>
  <c r="AL57" i="216"/>
  <c r="AX57" i="216"/>
  <c r="BX57" i="216"/>
  <c r="CP57" i="216"/>
  <c r="CO57" i="216" s="1"/>
  <c r="DT57" i="216"/>
  <c r="DS57" i="216" s="1"/>
  <c r="EI57" i="216"/>
  <c r="DV58" i="216"/>
  <c r="R59" i="216"/>
  <c r="AB59" i="216"/>
  <c r="AN59" i="216"/>
  <c r="T60" i="216"/>
  <c r="DI60" i="216"/>
  <c r="DS60" i="216"/>
  <c r="EL61" i="216"/>
  <c r="BH61" i="216"/>
  <c r="CP61" i="216"/>
  <c r="CH61" i="216"/>
  <c r="ED61" i="216"/>
  <c r="DV61" i="216"/>
  <c r="EL62" i="216"/>
  <c r="AQ62" i="216"/>
  <c r="CP62" i="216"/>
  <c r="CO62" i="216" s="1"/>
  <c r="AG63" i="216"/>
  <c r="BF63" i="216"/>
  <c r="CJ63" i="216"/>
  <c r="EE63" i="216"/>
  <c r="EK64" i="216"/>
  <c r="EE65" i="216"/>
  <c r="EF65" i="216" s="1"/>
  <c r="CF65" i="216"/>
  <c r="CE65" i="216" s="1"/>
  <c r="BX65" i="216"/>
  <c r="DJ65" i="216"/>
  <c r="DI65" i="216" s="1"/>
  <c r="DB65" i="216"/>
  <c r="CF66" i="216"/>
  <c r="EE67" i="216"/>
  <c r="AD67" i="216"/>
  <c r="DJ67" i="216"/>
  <c r="DI67" i="216" s="1"/>
  <c r="DB67" i="216"/>
  <c r="AQ68" i="216"/>
  <c r="AH69" i="216"/>
  <c r="AG69" i="216" s="1"/>
  <c r="BL69" i="216"/>
  <c r="BK69" i="216" s="1"/>
  <c r="BD69" i="216"/>
  <c r="BR69" i="216"/>
  <c r="DS69" i="216"/>
  <c r="AG71" i="216"/>
  <c r="CT71" i="216"/>
  <c r="EE72" i="216"/>
  <c r="EF72" i="216" s="1"/>
  <c r="AG72" i="216"/>
  <c r="AR72" i="216"/>
  <c r="AQ72" i="216" s="1"/>
  <c r="AL73" i="216"/>
  <c r="BV73" i="216"/>
  <c r="BU73" i="216" s="1"/>
  <c r="BN73" i="216"/>
  <c r="CZ73" i="216"/>
  <c r="CY73" i="216" s="1"/>
  <c r="ED73" i="216"/>
  <c r="EE74" i="216"/>
  <c r="EZ74" i="216" s="1"/>
  <c r="AH74" i="216"/>
  <c r="AG74" i="216" s="1"/>
  <c r="BV75" i="216"/>
  <c r="BU75" i="216" s="1"/>
  <c r="BN75" i="216"/>
  <c r="CZ75" i="216"/>
  <c r="CR75" i="216"/>
  <c r="DZ75" i="216"/>
  <c r="DI76" i="216"/>
  <c r="DS76" i="216"/>
  <c r="BD77" i="216"/>
  <c r="CP77" i="216"/>
  <c r="CO77" i="216" s="1"/>
  <c r="CH77" i="216"/>
  <c r="AN78" i="216"/>
  <c r="CO78" i="216"/>
  <c r="DT78" i="216"/>
  <c r="DS78" i="216" s="1"/>
  <c r="EL79" i="216"/>
  <c r="AR79" i="216"/>
  <c r="AJ79" i="216"/>
  <c r="CV79" i="216"/>
  <c r="EI85" i="216"/>
  <c r="AC93" i="216"/>
  <c r="AB93" i="216" s="1"/>
  <c r="AO93" i="216"/>
  <c r="AN93" i="216" s="1"/>
  <c r="CC93" i="216"/>
  <c r="CB93" i="216" s="1"/>
  <c r="CM93" i="216"/>
  <c r="CW93" i="216"/>
  <c r="DU93" i="216"/>
  <c r="AG86" i="216"/>
  <c r="CP86" i="216"/>
  <c r="CO86" i="216" s="1"/>
  <c r="CH86" i="216"/>
  <c r="DS86" i="216"/>
  <c r="CY87" i="216"/>
  <c r="DI87" i="216"/>
  <c r="EE88" i="216"/>
  <c r="EF88" i="216" s="1"/>
  <c r="CL88" i="216"/>
  <c r="DP88" i="216"/>
  <c r="EI88" i="216"/>
  <c r="BU89" i="216"/>
  <c r="AP111" i="216"/>
  <c r="BL96" i="216"/>
  <c r="BD96" i="216"/>
  <c r="BE111" i="216"/>
  <c r="CP96" i="216"/>
  <c r="DA111" i="216"/>
  <c r="DD96" i="216"/>
  <c r="DR111" i="216"/>
  <c r="EK97" i="216"/>
  <c r="BK97" i="216"/>
  <c r="EI98" i="216"/>
  <c r="BB98" i="216"/>
  <c r="AT98" i="216"/>
  <c r="CF98" i="216"/>
  <c r="CE98" i="216" s="1"/>
  <c r="EK99" i="216"/>
  <c r="BU99" i="216"/>
  <c r="CE99" i="216"/>
  <c r="CP99" i="216"/>
  <c r="CO99" i="216" s="1"/>
  <c r="EI100" i="216"/>
  <c r="CF100" i="216"/>
  <c r="CE100" i="216" s="1"/>
  <c r="BX100" i="216"/>
  <c r="DI100" i="216"/>
  <c r="EK100" i="216"/>
  <c r="EK101" i="216"/>
  <c r="CE101" i="216"/>
  <c r="EE102" i="216"/>
  <c r="EF102" i="216" s="1"/>
  <c r="EK102" i="216"/>
  <c r="BA103" i="216"/>
  <c r="BK103" i="216"/>
  <c r="BV103" i="216"/>
  <c r="BU103" i="216" s="1"/>
  <c r="DT103" i="216"/>
  <c r="X104" i="216"/>
  <c r="W104" i="216" s="1"/>
  <c r="P104" i="216"/>
  <c r="BA104" i="216"/>
  <c r="DP104" i="216"/>
  <c r="EG104" i="216"/>
  <c r="EK106" i="216"/>
  <c r="CF106" i="216"/>
  <c r="CE106" i="216" s="1"/>
  <c r="DJ106" i="216"/>
  <c r="DI106" i="216" s="1"/>
  <c r="EI107" i="216"/>
  <c r="DI107" i="216"/>
  <c r="DS107" i="216"/>
  <c r="AR108" i="216"/>
  <c r="DJ108" i="216"/>
  <c r="BF119" i="216"/>
  <c r="CL119" i="216"/>
  <c r="BV115" i="216"/>
  <c r="BU115" i="216" s="1"/>
  <c r="BN115" i="216"/>
  <c r="CB115" i="216"/>
  <c r="DF115" i="216"/>
  <c r="AH123" i="216"/>
  <c r="Z123" i="216"/>
  <c r="AA128" i="216"/>
  <c r="BL123" i="216"/>
  <c r="BK123" i="216" s="1"/>
  <c r="BB125" i="216"/>
  <c r="BZ125" i="216"/>
  <c r="DD125" i="216"/>
  <c r="CJ132" i="216"/>
  <c r="DI132" i="216"/>
  <c r="EZ135" i="216"/>
  <c r="AL139" i="216"/>
  <c r="DJ139" i="216"/>
  <c r="DJ141" i="216" s="1"/>
  <c r="DB139" i="216"/>
  <c r="AL141" i="216"/>
  <c r="EE146" i="216"/>
  <c r="CJ146" i="216"/>
  <c r="AE153" i="216"/>
  <c r="BU147" i="216"/>
  <c r="CT147" i="216"/>
  <c r="BG405" i="216"/>
  <c r="BF148" i="216"/>
  <c r="DH153" i="216"/>
  <c r="EK156" i="216"/>
  <c r="BK156" i="216"/>
  <c r="CI176" i="216"/>
  <c r="CH176" i="216" s="1"/>
  <c r="DO176" i="216"/>
  <c r="EG157" i="216"/>
  <c r="AI176" i="216"/>
  <c r="AL157" i="216"/>
  <c r="CT157" i="216"/>
  <c r="DK176" i="216"/>
  <c r="DN157" i="216"/>
  <c r="DX157" i="216"/>
  <c r="EG158" i="216"/>
  <c r="X159" i="216"/>
  <c r="W159" i="216" s="1"/>
  <c r="P159" i="216"/>
  <c r="DN159" i="216"/>
  <c r="EI159" i="216"/>
  <c r="BU160" i="216"/>
  <c r="CE160" i="216"/>
  <c r="CZ160" i="216"/>
  <c r="EE161" i="216"/>
  <c r="R161" i="216"/>
  <c r="AD161" i="216"/>
  <c r="BA161" i="216"/>
  <c r="CF161" i="216"/>
  <c r="DD161" i="216"/>
  <c r="EL162" i="216"/>
  <c r="BA162" i="216"/>
  <c r="EK163" i="216"/>
  <c r="AQ163" i="216"/>
  <c r="ED163" i="216"/>
  <c r="DV163" i="216"/>
  <c r="CO164" i="216"/>
  <c r="CY164" i="216"/>
  <c r="AR165" i="216"/>
  <c r="AJ165" i="216"/>
  <c r="BV165" i="216"/>
  <c r="BL167" i="216"/>
  <c r="EK168" i="216"/>
  <c r="EC168" i="216"/>
  <c r="X169" i="216"/>
  <c r="W169" i="216" s="1"/>
  <c r="P169" i="216"/>
  <c r="BP169" i="216"/>
  <c r="DN169" i="216"/>
  <c r="BL170" i="216"/>
  <c r="CE170" i="216"/>
  <c r="AE408" i="216"/>
  <c r="AD171" i="216"/>
  <c r="AU408" i="216"/>
  <c r="BB171" i="216"/>
  <c r="AT171" i="216"/>
  <c r="CQ408" i="216"/>
  <c r="CR171" i="216"/>
  <c r="DW408" i="216"/>
  <c r="ED171" i="216"/>
  <c r="DV171" i="216"/>
  <c r="EG172" i="216"/>
  <c r="AC176" i="216"/>
  <c r="AC183" i="216"/>
  <c r="BU181" i="216"/>
  <c r="DA183" i="216"/>
  <c r="DI183" i="216" s="1"/>
  <c r="DB181" i="216"/>
  <c r="AH182" i="216"/>
  <c r="BL182" i="216"/>
  <c r="CJ182" i="216"/>
  <c r="AD188" i="216"/>
  <c r="CF186" i="216"/>
  <c r="BX186" i="216"/>
  <c r="DJ186" i="216"/>
  <c r="DJ188" i="216" s="1"/>
  <c r="BV192" i="216"/>
  <c r="BN192" i="216"/>
  <c r="AX194" i="216"/>
  <c r="EE196" i="216"/>
  <c r="EF196" i="216" s="1"/>
  <c r="T196" i="216"/>
  <c r="EE200" i="216"/>
  <c r="AR200" i="216"/>
  <c r="CZ200" i="216"/>
  <c r="CR200" i="216"/>
  <c r="CT202" i="216"/>
  <c r="CZ202" i="216"/>
  <c r="EE204" i="216"/>
  <c r="EF204" i="216" s="1"/>
  <c r="EE211" i="216"/>
  <c r="BA12" i="216"/>
  <c r="CO12" i="216"/>
  <c r="EC12" i="216"/>
  <c r="EK12" i="216"/>
  <c r="EL15" i="216"/>
  <c r="EN15" i="216" s="1"/>
  <c r="EG23" i="216"/>
  <c r="EP23" i="216"/>
  <c r="Q26" i="216"/>
  <c r="Y26" i="216"/>
  <c r="AD26" i="216" s="1"/>
  <c r="AO26" i="216"/>
  <c r="BE26" i="216"/>
  <c r="BM26" i="216"/>
  <c r="CC26" i="216"/>
  <c r="CK26" i="216"/>
  <c r="CS26" i="216"/>
  <c r="DA26" i="216"/>
  <c r="DQ26" i="216"/>
  <c r="DY26" i="216"/>
  <c r="AD33" i="216"/>
  <c r="BL33" i="216"/>
  <c r="BD33" i="216"/>
  <c r="BZ33" i="216"/>
  <c r="DT33" i="216"/>
  <c r="DS33" i="216" s="1"/>
  <c r="AN36" i="216"/>
  <c r="EK37" i="216"/>
  <c r="BH37" i="216"/>
  <c r="EN38" i="216"/>
  <c r="U82" i="216"/>
  <c r="AE82" i="216"/>
  <c r="AD82" i="216" s="1"/>
  <c r="BU44" i="216"/>
  <c r="CZ44" i="216"/>
  <c r="DM82" i="216"/>
  <c r="BB45" i="216"/>
  <c r="BA45" i="216" s="1"/>
  <c r="AT45" i="216"/>
  <c r="DD45" i="216"/>
  <c r="AR47" i="216"/>
  <c r="AQ47" i="216" s="1"/>
  <c r="AJ47" i="216"/>
  <c r="BK48" i="216"/>
  <c r="CO48" i="216"/>
  <c r="CP48" i="216"/>
  <c r="ED48" i="216"/>
  <c r="AH49" i="216"/>
  <c r="AG49" i="216" s="1"/>
  <c r="Z49" i="216"/>
  <c r="AV49" i="216"/>
  <c r="CZ49" i="216"/>
  <c r="CY49" i="216" s="1"/>
  <c r="CR49" i="216"/>
  <c r="DP49" i="216"/>
  <c r="AR50" i="216"/>
  <c r="AQ50" i="216" s="1"/>
  <c r="EE51" i="216"/>
  <c r="EE52" i="216"/>
  <c r="BV52" i="216"/>
  <c r="BU52" i="216" s="1"/>
  <c r="DJ52" i="216"/>
  <c r="DI52" i="216" s="1"/>
  <c r="AX53" i="216"/>
  <c r="EE54" i="216"/>
  <c r="EH54" i="216" s="1"/>
  <c r="X54" i="216"/>
  <c r="W54" i="216" s="1"/>
  <c r="CE54" i="216"/>
  <c r="AN55" i="216"/>
  <c r="BX55" i="216"/>
  <c r="AR56" i="216"/>
  <c r="CY56" i="216"/>
  <c r="EE57" i="216"/>
  <c r="AN57" i="216"/>
  <c r="CJ57" i="216"/>
  <c r="AD59" i="216"/>
  <c r="CF59" i="216"/>
  <c r="CE59" i="216" s="1"/>
  <c r="AR61" i="216"/>
  <c r="AQ61" i="216" s="1"/>
  <c r="CV61" i="216"/>
  <c r="EE62" i="216"/>
  <c r="EF62" i="216" s="1"/>
  <c r="AG62" i="216"/>
  <c r="CE62" i="216"/>
  <c r="CZ62" i="216"/>
  <c r="ED62" i="216"/>
  <c r="EL64" i="216"/>
  <c r="EE66" i="216"/>
  <c r="DJ66" i="216"/>
  <c r="DI66" i="216" s="1"/>
  <c r="DZ66" i="216"/>
  <c r="X67" i="216"/>
  <c r="W67" i="216" s="1"/>
  <c r="P67" i="216"/>
  <c r="CF67" i="216"/>
  <c r="CE67" i="216" s="1"/>
  <c r="DD67" i="216"/>
  <c r="AB69" i="216"/>
  <c r="BF69" i="216"/>
  <c r="CP69" i="216"/>
  <c r="CO69" i="216" s="1"/>
  <c r="CH69" i="216"/>
  <c r="CP71" i="216"/>
  <c r="CO71" i="216" s="1"/>
  <c r="CH71" i="216"/>
  <c r="DZ71" i="216"/>
  <c r="DX73" i="216"/>
  <c r="BP75" i="216"/>
  <c r="DT75" i="216"/>
  <c r="DS75" i="216" s="1"/>
  <c r="AB77" i="216"/>
  <c r="BF77" i="216"/>
  <c r="DJ77" i="216"/>
  <c r="DI77" i="216" s="1"/>
  <c r="BL78" i="216"/>
  <c r="BK78" i="216" s="1"/>
  <c r="BD78" i="216"/>
  <c r="DN78" i="216"/>
  <c r="EG78" i="216"/>
  <c r="BL79" i="216"/>
  <c r="CP79" i="216"/>
  <c r="CH79" i="216"/>
  <c r="DT79" i="216"/>
  <c r="DL79" i="216"/>
  <c r="BD93" i="216"/>
  <c r="BQ93" i="216"/>
  <c r="BP93" i="216" s="1"/>
  <c r="DK93" i="216"/>
  <c r="DN93" i="216" s="1"/>
  <c r="DV93" i="216"/>
  <c r="BF86" i="216"/>
  <c r="CJ86" i="216"/>
  <c r="DT86" i="216"/>
  <c r="DT93" i="216" s="1"/>
  <c r="DL86" i="216"/>
  <c r="EK87" i="216"/>
  <c r="CF88" i="216"/>
  <c r="BX88" i="216"/>
  <c r="DJ88" i="216"/>
  <c r="DI88" i="216" s="1"/>
  <c r="DB88" i="216"/>
  <c r="EK88" i="216"/>
  <c r="BK89" i="216"/>
  <c r="CJ96" i="216"/>
  <c r="CK111" i="216"/>
  <c r="CJ111" i="216" s="1"/>
  <c r="DJ96" i="216"/>
  <c r="DB96" i="216"/>
  <c r="BA97" i="216"/>
  <c r="EK98" i="216"/>
  <c r="CZ98" i="216"/>
  <c r="CR98" i="216"/>
  <c r="ED98" i="216"/>
  <c r="EC98" i="216" s="1"/>
  <c r="DV98" i="216"/>
  <c r="EL99" i="216"/>
  <c r="BU101" i="216"/>
  <c r="CF102" i="216"/>
  <c r="CE102" i="216" s="1"/>
  <c r="BX102" i="216"/>
  <c r="DJ102" i="216"/>
  <c r="DI102" i="216" s="1"/>
  <c r="DB102" i="216"/>
  <c r="DJ104" i="216"/>
  <c r="DI104" i="216" s="1"/>
  <c r="DB104" i="216"/>
  <c r="EI104" i="216"/>
  <c r="EK105" i="216"/>
  <c r="CO105" i="216"/>
  <c r="CZ105" i="216"/>
  <c r="CY105" i="216" s="1"/>
  <c r="DD106" i="216"/>
  <c r="EZ108" i="216"/>
  <c r="EH108" i="216"/>
  <c r="BG111" i="216"/>
  <c r="CM111" i="216"/>
  <c r="CL111" i="216" s="1"/>
  <c r="AW119" i="216"/>
  <c r="AV119" i="216" s="1"/>
  <c r="AL115" i="216"/>
  <c r="BP115" i="216"/>
  <c r="CZ115" i="216"/>
  <c r="CZ119" i="216" s="1"/>
  <c r="CR115" i="216"/>
  <c r="AB123" i="216"/>
  <c r="AC128" i="216"/>
  <c r="BF123" i="216"/>
  <c r="BG128" i="216"/>
  <c r="BF128" i="216" s="1"/>
  <c r="CF123" i="216"/>
  <c r="BX123" i="216"/>
  <c r="BY128" i="216"/>
  <c r="BX128" i="216" s="1"/>
  <c r="DJ123" i="216"/>
  <c r="DJ128" i="216" s="1"/>
  <c r="DB123" i="216"/>
  <c r="DC128" i="216"/>
  <c r="DU128" i="216"/>
  <c r="DJ124" i="216"/>
  <c r="DI124" i="216" s="1"/>
  <c r="EK125" i="216"/>
  <c r="CY125" i="216"/>
  <c r="EI136" i="216"/>
  <c r="CC136" i="216"/>
  <c r="CB136" i="216" s="1"/>
  <c r="DS131" i="216"/>
  <c r="AA136" i="216"/>
  <c r="AH132" i="216"/>
  <c r="Z132" i="216"/>
  <c r="BL132" i="216"/>
  <c r="BK132" i="216" s="1"/>
  <c r="CM136" i="216"/>
  <c r="CL132" i="216"/>
  <c r="DC136" i="216"/>
  <c r="DB132" i="216"/>
  <c r="AH139" i="216"/>
  <c r="AH141" i="216" s="1"/>
  <c r="Z139" i="216"/>
  <c r="AA141" i="216"/>
  <c r="Z141" i="216" s="1"/>
  <c r="AN139" i="216"/>
  <c r="AO141" i="216"/>
  <c r="AN141" i="216" s="1"/>
  <c r="CL139" i="216"/>
  <c r="DD139" i="216"/>
  <c r="CM141" i="216"/>
  <c r="CL141" i="216" s="1"/>
  <c r="DR404" i="216"/>
  <c r="DR153" i="216"/>
  <c r="EG146" i="216"/>
  <c r="CF146" i="216"/>
  <c r="CE146" i="216" s="1"/>
  <c r="BX146" i="216"/>
  <c r="U153" i="216"/>
  <c r="T153" i="216" s="1"/>
  <c r="EL156" i="216"/>
  <c r="S176" i="216"/>
  <c r="R157" i="216"/>
  <c r="AR157" i="216"/>
  <c r="AQ157" i="216" s="1"/>
  <c r="AJ157" i="216"/>
  <c r="AZ176" i="216"/>
  <c r="BO176" i="216"/>
  <c r="BV157" i="216"/>
  <c r="BU157" i="216" s="1"/>
  <c r="BN157" i="216"/>
  <c r="CV157" i="216"/>
  <c r="DT157" i="216"/>
  <c r="DS157" i="216" s="1"/>
  <c r="DL157" i="216"/>
  <c r="DZ157" i="216"/>
  <c r="EP157" i="216"/>
  <c r="DJ158" i="216"/>
  <c r="DI158" i="216" s="1"/>
  <c r="BB159" i="216"/>
  <c r="BA159" i="216" s="1"/>
  <c r="DJ159" i="216"/>
  <c r="DI159" i="216" s="1"/>
  <c r="DB159" i="216"/>
  <c r="X161" i="216"/>
  <c r="W161" i="216" s="1"/>
  <c r="P161" i="216"/>
  <c r="AQ162" i="216"/>
  <c r="BV163" i="216"/>
  <c r="BU163" i="216" s="1"/>
  <c r="CT163" i="216"/>
  <c r="EL165" i="216"/>
  <c r="AH167" i="216"/>
  <c r="AG167" i="216" s="1"/>
  <c r="Z167" i="216"/>
  <c r="BZ167" i="216"/>
  <c r="ED167" i="216"/>
  <c r="EC167" i="216" s="1"/>
  <c r="EI169" i="216"/>
  <c r="CP169" i="216"/>
  <c r="CO169" i="216" s="1"/>
  <c r="CA408" i="216"/>
  <c r="BZ171" i="216"/>
  <c r="DG408" i="216"/>
  <c r="DF171" i="216"/>
  <c r="AK176" i="216"/>
  <c r="DP181" i="216"/>
  <c r="DQ183" i="216"/>
  <c r="DD186" i="216"/>
  <c r="DE188" i="216"/>
  <c r="DD188" i="216" s="1"/>
  <c r="DU188" i="216"/>
  <c r="EC188" i="216" s="1"/>
  <c r="DV186" i="216"/>
  <c r="AS188" i="216"/>
  <c r="BA188" i="216" s="1"/>
  <c r="EP191" i="216"/>
  <c r="EA272" i="216"/>
  <c r="DZ191" i="216"/>
  <c r="EI194" i="216"/>
  <c r="AX197" i="216"/>
  <c r="CO199" i="216"/>
  <c r="CL199" i="216"/>
  <c r="EE212" i="216"/>
  <c r="EE219" i="216"/>
  <c r="EE220" i="216"/>
  <c r="EI230" i="216"/>
  <c r="AT12" i="216"/>
  <c r="CH12" i="216"/>
  <c r="DV12" i="216"/>
  <c r="EL12" i="216"/>
  <c r="EL26" i="216" s="1"/>
  <c r="T14" i="216"/>
  <c r="AJ14" i="216"/>
  <c r="BX14" i="216"/>
  <c r="DL14" i="216"/>
  <c r="R16" i="216"/>
  <c r="Z16" i="216"/>
  <c r="BN16" i="216"/>
  <c r="DB16" i="216"/>
  <c r="P18" i="216"/>
  <c r="X18" i="216"/>
  <c r="W18" i="216" s="1"/>
  <c r="BD18" i="216"/>
  <c r="CR18" i="216"/>
  <c r="AT20" i="216"/>
  <c r="CH20" i="216"/>
  <c r="DV20" i="216"/>
  <c r="T22" i="216"/>
  <c r="AJ22" i="216"/>
  <c r="BX22" i="216"/>
  <c r="DL22" i="216"/>
  <c r="P23" i="216"/>
  <c r="DB23" i="216"/>
  <c r="P30" i="216"/>
  <c r="X30" i="216"/>
  <c r="W30" i="216" s="1"/>
  <c r="BD30" i="216"/>
  <c r="CR30" i="216"/>
  <c r="P32" i="216"/>
  <c r="BD32" i="216"/>
  <c r="BP33" i="216"/>
  <c r="CB33" i="216"/>
  <c r="AR34" i="216"/>
  <c r="BA34" i="216"/>
  <c r="CF34" i="216"/>
  <c r="CE34" i="216" s="1"/>
  <c r="CO34" i="216"/>
  <c r="DT34" i="216"/>
  <c r="EC34" i="216"/>
  <c r="X35" i="216"/>
  <c r="W35" i="216" s="1"/>
  <c r="AR35" i="216"/>
  <c r="AQ35" i="216" s="1"/>
  <c r="AJ35" i="216"/>
  <c r="DJ35" i="216"/>
  <c r="DI35" i="216" s="1"/>
  <c r="EK36" i="216"/>
  <c r="EZ38" i="216"/>
  <c r="EH38" i="216"/>
  <c r="Y40" i="216"/>
  <c r="DA40" i="216"/>
  <c r="DF40" i="216" s="1"/>
  <c r="AF82" i="216"/>
  <c r="AP82" i="216"/>
  <c r="BX44" i="216"/>
  <c r="CI82" i="216"/>
  <c r="DD44" i="216"/>
  <c r="CP45" i="216"/>
  <c r="CH45" i="216"/>
  <c r="CT45" i="216"/>
  <c r="EE46" i="216"/>
  <c r="AG46" i="216"/>
  <c r="CO46" i="216"/>
  <c r="DZ46" i="216"/>
  <c r="AL47" i="216"/>
  <c r="AX47" i="216"/>
  <c r="EE47" i="216"/>
  <c r="BD48" i="216"/>
  <c r="BN48" i="216"/>
  <c r="CY48" i="216"/>
  <c r="EE49" i="216"/>
  <c r="AL49" i="216"/>
  <c r="AX49" i="216"/>
  <c r="EC49" i="216"/>
  <c r="P50" i="216"/>
  <c r="BA50" i="216"/>
  <c r="CE50" i="216"/>
  <c r="CO50" i="216"/>
  <c r="X51" i="216"/>
  <c r="W51" i="216" s="1"/>
  <c r="P51" i="216"/>
  <c r="BV51" i="216"/>
  <c r="BU51" i="216" s="1"/>
  <c r="CP51" i="216"/>
  <c r="CO51" i="216" s="1"/>
  <c r="CH51" i="216"/>
  <c r="EG51" i="216"/>
  <c r="EG52" i="216"/>
  <c r="DS52" i="216"/>
  <c r="P53" i="216"/>
  <c r="AH53" i="216"/>
  <c r="AG53" i="216" s="1"/>
  <c r="CF53" i="216"/>
  <c r="CE53" i="216" s="1"/>
  <c r="BX53" i="216"/>
  <c r="AG54" i="216"/>
  <c r="BK54" i="216"/>
  <c r="BV54" i="216"/>
  <c r="DJ54" i="216"/>
  <c r="DS54" i="216"/>
  <c r="EG55" i="216"/>
  <c r="AD55" i="216"/>
  <c r="BU55" i="216"/>
  <c r="CL55" i="216"/>
  <c r="EI55" i="216"/>
  <c r="AB56" i="216"/>
  <c r="EG56" i="216"/>
  <c r="X57" i="216"/>
  <c r="W57" i="216" s="1"/>
  <c r="P57" i="216"/>
  <c r="BV57" i="216"/>
  <c r="BU57" i="216" s="1"/>
  <c r="BN57" i="216"/>
  <c r="BZ57" i="216"/>
  <c r="CE58" i="216"/>
  <c r="CO58" i="216"/>
  <c r="DJ58" i="216"/>
  <c r="DI58" i="216" s="1"/>
  <c r="EK59" i="216"/>
  <c r="BL59" i="216"/>
  <c r="BK59" i="216" s="1"/>
  <c r="BD59" i="216"/>
  <c r="DJ59" i="216"/>
  <c r="DI59" i="216" s="1"/>
  <c r="DX59" i="216"/>
  <c r="AR60" i="216"/>
  <c r="BU60" i="216"/>
  <c r="CE60" i="216"/>
  <c r="CH60" i="216"/>
  <c r="CZ60" i="216"/>
  <c r="CY60" i="216" s="1"/>
  <c r="CF61" i="216"/>
  <c r="BU62" i="216"/>
  <c r="BB63" i="216"/>
  <c r="BA63" i="216" s="1"/>
  <c r="AT63" i="216"/>
  <c r="CF63" i="216"/>
  <c r="CE63" i="216" s="1"/>
  <c r="BX63" i="216"/>
  <c r="DJ63" i="216"/>
  <c r="DI63" i="216" s="1"/>
  <c r="AR64" i="216"/>
  <c r="AQ64" i="216" s="1"/>
  <c r="AV65" i="216"/>
  <c r="DX65" i="216"/>
  <c r="DT66" i="216"/>
  <c r="BB67" i="216"/>
  <c r="BA67" i="216" s="1"/>
  <c r="BZ67" i="216"/>
  <c r="ED67" i="216"/>
  <c r="EC67" i="216" s="1"/>
  <c r="EE68" i="216"/>
  <c r="EF68" i="216" s="1"/>
  <c r="DX68" i="216"/>
  <c r="X69" i="216"/>
  <c r="W69" i="216" s="1"/>
  <c r="P69" i="216"/>
  <c r="AD69" i="216"/>
  <c r="BH69" i="216"/>
  <c r="EG69" i="216"/>
  <c r="CY70" i="216"/>
  <c r="DI70" i="216"/>
  <c r="DS70" i="216"/>
  <c r="BF71" i="216"/>
  <c r="DT71" i="216"/>
  <c r="DS71" i="216" s="1"/>
  <c r="DL71" i="216"/>
  <c r="AH73" i="216"/>
  <c r="AG73" i="216" s="1"/>
  <c r="Z73" i="216"/>
  <c r="BK73" i="216"/>
  <c r="CP73" i="216"/>
  <c r="CO73" i="216" s="1"/>
  <c r="DT73" i="216"/>
  <c r="DS73" i="216" s="1"/>
  <c r="DL73" i="216"/>
  <c r="DZ73" i="216"/>
  <c r="EP73" i="216"/>
  <c r="DS74" i="216"/>
  <c r="EL74" i="216"/>
  <c r="AL75" i="216"/>
  <c r="DN75" i="216"/>
  <c r="CE76" i="216"/>
  <c r="CO76" i="216"/>
  <c r="CZ76" i="216"/>
  <c r="CY76" i="216" s="1"/>
  <c r="DX76" i="216"/>
  <c r="X77" i="216"/>
  <c r="W77" i="216" s="1"/>
  <c r="P77" i="216"/>
  <c r="AD77" i="216"/>
  <c r="CE77" i="216"/>
  <c r="DD77" i="216"/>
  <c r="AH78" i="216"/>
  <c r="AG78" i="216" s="1"/>
  <c r="Z78" i="216"/>
  <c r="DJ78" i="216"/>
  <c r="DI78" i="216" s="1"/>
  <c r="DB78" i="216"/>
  <c r="EI78" i="216"/>
  <c r="BF79" i="216"/>
  <c r="CJ79" i="216"/>
  <c r="EZ81" i="216"/>
  <c r="U93" i="216"/>
  <c r="AF93" i="216"/>
  <c r="AR85" i="216"/>
  <c r="BT93" i="216"/>
  <c r="CF85" i="216"/>
  <c r="CQ93" i="216"/>
  <c r="CR93" i="216" s="1"/>
  <c r="O93" i="216"/>
  <c r="BB86" i="216"/>
  <c r="BA86" i="216" s="1"/>
  <c r="AT86" i="216"/>
  <c r="BH86" i="216"/>
  <c r="CL86" i="216"/>
  <c r="EE86" i="216"/>
  <c r="EL87" i="216"/>
  <c r="AV88" i="216"/>
  <c r="AG89" i="216"/>
  <c r="Q111" i="216"/>
  <c r="X96" i="216"/>
  <c r="P96" i="216"/>
  <c r="AF111" i="216"/>
  <c r="BA96" i="216"/>
  <c r="EC96" i="216"/>
  <c r="ED97" i="216"/>
  <c r="AQ98" i="216"/>
  <c r="BV98" i="216"/>
  <c r="BU98" i="216" s="1"/>
  <c r="AG99" i="216"/>
  <c r="AQ99" i="216"/>
  <c r="BB99" i="216"/>
  <c r="BA99" i="216" s="1"/>
  <c r="AR100" i="216"/>
  <c r="AQ100" i="216" s="1"/>
  <c r="AJ100" i="216"/>
  <c r="BU100" i="216"/>
  <c r="ED100" i="216"/>
  <c r="EC100" i="216" s="1"/>
  <c r="DV100" i="216"/>
  <c r="AQ101" i="216"/>
  <c r="EF101" i="216"/>
  <c r="AV102" i="216"/>
  <c r="BZ102" i="216"/>
  <c r="AH103" i="216"/>
  <c r="AG103" i="216" s="1"/>
  <c r="EK104" i="216"/>
  <c r="BZ104" i="216"/>
  <c r="DS104" i="216"/>
  <c r="EP104" i="216"/>
  <c r="BK105" i="216"/>
  <c r="DJ105" i="216"/>
  <c r="AR106" i="216"/>
  <c r="AQ106" i="216" s="1"/>
  <c r="BV106" i="216"/>
  <c r="BU106" i="216" s="1"/>
  <c r="CZ106" i="216"/>
  <c r="CY106" i="216" s="1"/>
  <c r="CR106" i="216"/>
  <c r="DF106" i="216"/>
  <c r="EK107" i="216"/>
  <c r="BK107" i="216"/>
  <c r="BU107" i="216"/>
  <c r="CE107" i="216"/>
  <c r="CP107" i="216"/>
  <c r="CO107" i="216" s="1"/>
  <c r="EK108" i="216"/>
  <c r="DT108" i="216"/>
  <c r="AC111" i="216"/>
  <c r="AB111" i="216" s="1"/>
  <c r="DU111" i="216"/>
  <c r="AX119" i="216"/>
  <c r="DA119" i="216"/>
  <c r="AH115" i="216"/>
  <c r="AG115" i="216" s="1"/>
  <c r="Z115" i="216"/>
  <c r="AN115" i="216"/>
  <c r="BR115" i="216"/>
  <c r="DX115" i="216"/>
  <c r="EE123" i="216"/>
  <c r="BB123" i="216"/>
  <c r="BB128" i="216" s="1"/>
  <c r="BA128" i="216" s="1"/>
  <c r="DD123" i="216"/>
  <c r="DE128" i="216"/>
  <c r="ED123" i="216"/>
  <c r="EE124" i="216"/>
  <c r="EH124" i="216" s="1"/>
  <c r="AH124" i="216"/>
  <c r="AG124" i="216" s="1"/>
  <c r="CO124" i="216"/>
  <c r="DT124" i="216"/>
  <c r="AR125" i="216"/>
  <c r="AQ125" i="216" s="1"/>
  <c r="BV125" i="216"/>
  <c r="BU125" i="216" s="1"/>
  <c r="BN125" i="216"/>
  <c r="CZ125" i="216"/>
  <c r="CR125" i="216"/>
  <c r="ED125" i="216"/>
  <c r="EC125" i="216" s="1"/>
  <c r="EL131" i="216"/>
  <c r="EL136" i="216" s="1"/>
  <c r="AH131" i="216"/>
  <c r="AH136" i="216" s="1"/>
  <c r="DI131" i="216"/>
  <c r="BG136" i="216"/>
  <c r="BF132" i="216"/>
  <c r="CF132" i="216"/>
  <c r="BX132" i="216"/>
  <c r="ED132" i="216"/>
  <c r="EC132" i="216" s="1"/>
  <c r="AB141" i="216"/>
  <c r="BL139" i="216"/>
  <c r="BD139" i="216"/>
  <c r="BE141" i="216"/>
  <c r="DF139" i="216"/>
  <c r="EC139" i="216"/>
  <c r="DV141" i="216"/>
  <c r="DJ145" i="216"/>
  <c r="R146" i="216"/>
  <c r="S153" i="216"/>
  <c r="R153" i="216" s="1"/>
  <c r="AV146" i="216"/>
  <c r="DJ146" i="216"/>
  <c r="DI146" i="216" s="1"/>
  <c r="DB146" i="216"/>
  <c r="DS146" i="216"/>
  <c r="AG148" i="216"/>
  <c r="AG405" i="216" s="1"/>
  <c r="BM405" i="216"/>
  <c r="BP148" i="216"/>
  <c r="EN151" i="216"/>
  <c r="EF151" i="216"/>
  <c r="W156" i="216"/>
  <c r="AQ156" i="216"/>
  <c r="DR176" i="216"/>
  <c r="EK158" i="216"/>
  <c r="BA158" i="216"/>
  <c r="CY158" i="216"/>
  <c r="DT158" i="216"/>
  <c r="EK159" i="216"/>
  <c r="BZ159" i="216"/>
  <c r="AG160" i="216"/>
  <c r="AQ160" i="216"/>
  <c r="BA160" i="216"/>
  <c r="BL160" i="216"/>
  <c r="BK160" i="216" s="1"/>
  <c r="EI161" i="216"/>
  <c r="CZ161" i="216"/>
  <c r="CY161" i="216" s="1"/>
  <c r="CR161" i="216"/>
  <c r="ED161" i="216"/>
  <c r="EC161" i="216" s="1"/>
  <c r="CV163" i="216"/>
  <c r="DS163" i="216"/>
  <c r="CF164" i="216"/>
  <c r="CE164" i="216" s="1"/>
  <c r="AG165" i="216"/>
  <c r="BK165" i="216"/>
  <c r="CZ167" i="216"/>
  <c r="CY167" i="216" s="1"/>
  <c r="DX167" i="216"/>
  <c r="AG168" i="216"/>
  <c r="BA168" i="216"/>
  <c r="BL168" i="216"/>
  <c r="BK168" i="216" s="1"/>
  <c r="EK169" i="216"/>
  <c r="AR169" i="216"/>
  <c r="BL169" i="216"/>
  <c r="BK169" i="216" s="1"/>
  <c r="BD169" i="216"/>
  <c r="EG170" i="216"/>
  <c r="CP170" i="216"/>
  <c r="CZ170" i="216"/>
  <c r="EI172" i="216"/>
  <c r="AS176" i="216"/>
  <c r="X181" i="216"/>
  <c r="P181" i="216"/>
  <c r="CF181" i="216"/>
  <c r="DD181" i="216"/>
  <c r="EE182" i="216"/>
  <c r="EM182" i="216" s="1"/>
  <c r="CF182" i="216"/>
  <c r="BX182" i="216"/>
  <c r="Q183" i="216"/>
  <c r="P183" i="216" s="1"/>
  <c r="R188" i="216"/>
  <c r="DF188" i="216"/>
  <c r="AQ194" i="216"/>
  <c r="AN194" i="216"/>
  <c r="AT196" i="216"/>
  <c r="BB196" i="216"/>
  <c r="BA196" i="216" s="1"/>
  <c r="BV198" i="216"/>
  <c r="ED200" i="216"/>
  <c r="EC200" i="216" s="1"/>
  <c r="DX201" i="216"/>
  <c r="EE215" i="216"/>
  <c r="EE216" i="216"/>
  <c r="EI222" i="216"/>
  <c r="EJ239" i="216"/>
  <c r="EP18" i="216"/>
  <c r="EI23" i="216"/>
  <c r="EL29" i="216"/>
  <c r="EP30" i="216"/>
  <c r="EG32" i="216"/>
  <c r="BU32" i="216"/>
  <c r="BV32" i="216"/>
  <c r="BV40" i="216" s="1"/>
  <c r="BB33" i="216"/>
  <c r="BA33" i="216" s="1"/>
  <c r="AT33" i="216"/>
  <c r="BR33" i="216"/>
  <c r="CZ33" i="216"/>
  <c r="CY33" i="216" s="1"/>
  <c r="CR33" i="216"/>
  <c r="DP33" i="216"/>
  <c r="EE34" i="216"/>
  <c r="AQ34" i="216"/>
  <c r="BU34" i="216"/>
  <c r="DS34" i="216"/>
  <c r="AX35" i="216"/>
  <c r="CP35" i="216"/>
  <c r="CO35" i="216" s="1"/>
  <c r="CH35" i="216"/>
  <c r="EL36" i="216"/>
  <c r="DZ37" i="216"/>
  <c r="EN39" i="216"/>
  <c r="BC82" i="216"/>
  <c r="BX82" i="216"/>
  <c r="DR82" i="216"/>
  <c r="EB82" i="216"/>
  <c r="AR45" i="216"/>
  <c r="AQ45" i="216" s="1"/>
  <c r="AJ45" i="216"/>
  <c r="CJ45" i="216"/>
  <c r="CP46" i="216"/>
  <c r="AH47" i="216"/>
  <c r="AG47" i="216" s="1"/>
  <c r="Z47" i="216"/>
  <c r="CF47" i="216"/>
  <c r="CE47" i="216" s="1"/>
  <c r="BX47" i="216"/>
  <c r="X49" i="216"/>
  <c r="W49" i="216" s="1"/>
  <c r="P49" i="216"/>
  <c r="AN49" i="216"/>
  <c r="CP49" i="216"/>
  <c r="CO49" i="216" s="1"/>
  <c r="EG49" i="216"/>
  <c r="AH50" i="216"/>
  <c r="AG50" i="216" s="1"/>
  <c r="BU50" i="216"/>
  <c r="CV51" i="216"/>
  <c r="BL52" i="216"/>
  <c r="BK52" i="216" s="1"/>
  <c r="CZ52" i="216"/>
  <c r="CY52" i="216" s="1"/>
  <c r="AB53" i="216"/>
  <c r="CL53" i="216"/>
  <c r="ED53" i="216"/>
  <c r="EC53" i="216" s="1"/>
  <c r="DV53" i="216"/>
  <c r="EG54" i="216"/>
  <c r="BU54" i="216"/>
  <c r="BV55" i="216"/>
  <c r="BN55" i="216"/>
  <c r="DT55" i="216"/>
  <c r="DS55" i="216" s="1"/>
  <c r="DL55" i="216"/>
  <c r="DT56" i="216"/>
  <c r="DS56" i="216" s="1"/>
  <c r="BP57" i="216"/>
  <c r="DX57" i="216"/>
  <c r="ED57" i="216"/>
  <c r="EL59" i="216"/>
  <c r="AG60" i="216"/>
  <c r="AQ60" i="216"/>
  <c r="CY61" i="216"/>
  <c r="DT61" i="216"/>
  <c r="BK62" i="216"/>
  <c r="DS62" i="216"/>
  <c r="EG63" i="216"/>
  <c r="AV63" i="216"/>
  <c r="ED63" i="216"/>
  <c r="DV63" i="216"/>
  <c r="AR65" i="216"/>
  <c r="AQ65" i="216" s="1"/>
  <c r="AJ65" i="216"/>
  <c r="CZ65" i="216"/>
  <c r="CY65" i="216" s="1"/>
  <c r="DZ65" i="216"/>
  <c r="EP65" i="216"/>
  <c r="DX67" i="216"/>
  <c r="EN68" i="216"/>
  <c r="EI69" i="216"/>
  <c r="BB69" i="216"/>
  <c r="BA69" i="216" s="1"/>
  <c r="AT69" i="216"/>
  <c r="DJ69" i="216"/>
  <c r="DI69" i="216" s="1"/>
  <c r="EG71" i="216"/>
  <c r="BB71" i="216"/>
  <c r="BA71" i="216" s="1"/>
  <c r="AT71" i="216"/>
  <c r="DT72" i="216"/>
  <c r="DS72" i="216" s="1"/>
  <c r="CJ73" i="216"/>
  <c r="DN73" i="216"/>
  <c r="EN74" i="216"/>
  <c r="AH75" i="216"/>
  <c r="Z75" i="216"/>
  <c r="CP75" i="216"/>
  <c r="CO75" i="216" s="1"/>
  <c r="EK76" i="216"/>
  <c r="EN76" i="216" s="1"/>
  <c r="EI77" i="216"/>
  <c r="BB77" i="216"/>
  <c r="BA77" i="216" s="1"/>
  <c r="AT77" i="216"/>
  <c r="CF77" i="216"/>
  <c r="ED77" i="216"/>
  <c r="EC77" i="216" s="1"/>
  <c r="DV77" i="216"/>
  <c r="CF78" i="216"/>
  <c r="CE78" i="216" s="1"/>
  <c r="DD78" i="216"/>
  <c r="AH79" i="216"/>
  <c r="EL85" i="216"/>
  <c r="AT93" i="216"/>
  <c r="CG93" i="216"/>
  <c r="CJ93" i="216" s="1"/>
  <c r="DM93" i="216"/>
  <c r="DX93" i="216"/>
  <c r="EG86" i="216"/>
  <c r="AV86" i="216"/>
  <c r="CF86" i="216"/>
  <c r="CE86" i="216" s="1"/>
  <c r="BX86" i="216"/>
  <c r="EK86" i="216"/>
  <c r="BB87" i="216"/>
  <c r="BA87" i="216" s="1"/>
  <c r="AR88" i="216"/>
  <c r="AQ88" i="216" s="1"/>
  <c r="AJ88" i="216"/>
  <c r="S111" i="216"/>
  <c r="R96" i="216"/>
  <c r="BZ96" i="216"/>
  <c r="BP98" i="216"/>
  <c r="DX100" i="216"/>
  <c r="AG101" i="216"/>
  <c r="AR102" i="216"/>
  <c r="AQ102" i="216" s="1"/>
  <c r="AJ102" i="216"/>
  <c r="DX102" i="216"/>
  <c r="BV104" i="216"/>
  <c r="BU104" i="216" s="1"/>
  <c r="BN104" i="216"/>
  <c r="AG105" i="216"/>
  <c r="BA105" i="216"/>
  <c r="EC105" i="216"/>
  <c r="BP106" i="216"/>
  <c r="CT106" i="216"/>
  <c r="ED106" i="216"/>
  <c r="EC106" i="216" s="1"/>
  <c r="DV106" i="216"/>
  <c r="EL107" i="216"/>
  <c r="CU111" i="216"/>
  <c r="EA111" i="216"/>
  <c r="EK119" i="216"/>
  <c r="DB119" i="216"/>
  <c r="DL119" i="216"/>
  <c r="AB115" i="216"/>
  <c r="BL115" i="216"/>
  <c r="BL119" i="216" s="1"/>
  <c r="BD115" i="216"/>
  <c r="DZ115" i="216"/>
  <c r="EG123" i="216"/>
  <c r="AV123" i="216"/>
  <c r="DX123" i="216"/>
  <c r="AL125" i="216"/>
  <c r="BR125" i="216"/>
  <c r="EE132" i="216"/>
  <c r="BZ132" i="216"/>
  <c r="DX132" i="216"/>
  <c r="EE139" i="216"/>
  <c r="BF139" i="216"/>
  <c r="BG141" i="216"/>
  <c r="BF141" i="216" s="1"/>
  <c r="BX141" i="216"/>
  <c r="ED139" i="216"/>
  <c r="ED141" i="216" s="1"/>
  <c r="EC141" i="216" s="1"/>
  <c r="CD404" i="216"/>
  <c r="CD153" i="216"/>
  <c r="AR146" i="216"/>
  <c r="AQ146" i="216" s="1"/>
  <c r="AJ146" i="216"/>
  <c r="CL147" i="216"/>
  <c r="DZ147" i="216"/>
  <c r="Q405" i="216"/>
  <c r="X148" i="216"/>
  <c r="P148" i="216"/>
  <c r="AI405" i="216"/>
  <c r="AJ148" i="216"/>
  <c r="AW405" i="216"/>
  <c r="AV148" i="216"/>
  <c r="BO405" i="216"/>
  <c r="BV148" i="216"/>
  <c r="BN148" i="216"/>
  <c r="CS405" i="216"/>
  <c r="CZ148" i="216"/>
  <c r="CZ405" i="216" s="1"/>
  <c r="CR148" i="216"/>
  <c r="DK405" i="216"/>
  <c r="DL148" i="216"/>
  <c r="DY405" i="216"/>
  <c r="DX148" i="216"/>
  <c r="EZ151" i="216"/>
  <c r="EH151" i="216"/>
  <c r="EN152" i="216"/>
  <c r="EF152" i="216"/>
  <c r="EE156" i="216"/>
  <c r="EF156" i="216" s="1"/>
  <c r="AU176" i="216"/>
  <c r="AT176" i="216" s="1"/>
  <c r="DH176" i="216"/>
  <c r="BK157" i="216"/>
  <c r="EZ157" i="216"/>
  <c r="EH157" i="216"/>
  <c r="BF158" i="216"/>
  <c r="CE158" i="216"/>
  <c r="CO158" i="216"/>
  <c r="EL159" i="216"/>
  <c r="BV159" i="216"/>
  <c r="BU159" i="216" s="1"/>
  <c r="BN159" i="216"/>
  <c r="CB159" i="216"/>
  <c r="EK161" i="216"/>
  <c r="CP163" i="216"/>
  <c r="CH163" i="216"/>
  <c r="EL164" i="216"/>
  <c r="AR164" i="216"/>
  <c r="AQ164" i="216" s="1"/>
  <c r="DP165" i="216"/>
  <c r="EE167" i="216"/>
  <c r="BB167" i="216"/>
  <c r="BA167" i="216" s="1"/>
  <c r="DZ167" i="216"/>
  <c r="EP167" i="216"/>
  <c r="DD169" i="216"/>
  <c r="EI170" i="216"/>
  <c r="ED170" i="216"/>
  <c r="EK172" i="216"/>
  <c r="DM176" i="216"/>
  <c r="DL176" i="216" s="1"/>
  <c r="AW183" i="216"/>
  <c r="AV181" i="216"/>
  <c r="EG182" i="216"/>
  <c r="DE183" i="216"/>
  <c r="DD182" i="216"/>
  <c r="DU183" i="216"/>
  <c r="EC183" i="216" s="1"/>
  <c r="DV182" i="216"/>
  <c r="T186" i="216"/>
  <c r="U188" i="216"/>
  <c r="T188" i="216" s="1"/>
  <c r="AR186" i="216"/>
  <c r="AR188" i="216" s="1"/>
  <c r="AJ186" i="216"/>
  <c r="EF187" i="216"/>
  <c r="W191" i="216"/>
  <c r="DQ272" i="216"/>
  <c r="AR192" i="216"/>
  <c r="AJ192" i="216"/>
  <c r="BV193" i="216"/>
  <c r="BN193" i="216"/>
  <c r="BN194" i="216"/>
  <c r="BV194" i="216"/>
  <c r="BL195" i="216"/>
  <c r="BK195" i="216" s="1"/>
  <c r="DD195" i="216"/>
  <c r="DJ195" i="216"/>
  <c r="DI197" i="216"/>
  <c r="DF197" i="216"/>
  <c r="EE199" i="216"/>
  <c r="EF199" i="216" s="1"/>
  <c r="DX199" i="216"/>
  <c r="EG201" i="216"/>
  <c r="CF202" i="216"/>
  <c r="BX202" i="216"/>
  <c r="P12" i="216"/>
  <c r="X12" i="216"/>
  <c r="BD12" i="216"/>
  <c r="CR12" i="216"/>
  <c r="AT14" i="216"/>
  <c r="CH14" i="216"/>
  <c r="DV14" i="216"/>
  <c r="T16" i="216"/>
  <c r="AJ16" i="216"/>
  <c r="BX16" i="216"/>
  <c r="DL16" i="216"/>
  <c r="Z18" i="216"/>
  <c r="BN18" i="216"/>
  <c r="DB18" i="216"/>
  <c r="P20" i="216"/>
  <c r="X20" i="216"/>
  <c r="W20" i="216" s="1"/>
  <c r="BD20" i="216"/>
  <c r="CR20" i="216"/>
  <c r="AT22" i="216"/>
  <c r="CH22" i="216"/>
  <c r="DV22" i="216"/>
  <c r="Z23" i="216"/>
  <c r="BX23" i="216"/>
  <c r="DL23" i="216"/>
  <c r="P24" i="216"/>
  <c r="X24" i="216"/>
  <c r="W24" i="216" s="1"/>
  <c r="EE29" i="216"/>
  <c r="R30" i="216"/>
  <c r="Z30" i="216"/>
  <c r="BN30" i="216"/>
  <c r="DB30" i="216"/>
  <c r="Z32" i="216"/>
  <c r="CE32" i="216"/>
  <c r="EL33" i="216"/>
  <c r="AV33" i="216"/>
  <c r="BH33" i="216"/>
  <c r="DF33" i="216"/>
  <c r="EG33" i="216"/>
  <c r="EG34" i="216"/>
  <c r="BK34" i="216"/>
  <c r="CZ34" i="216"/>
  <c r="CY34" i="216" s="1"/>
  <c r="P35" i="216"/>
  <c r="AH35" i="216"/>
  <c r="AG35" i="216" s="1"/>
  <c r="CT35" i="216"/>
  <c r="DF35" i="216"/>
  <c r="EE36" i="216"/>
  <c r="AQ36" i="216"/>
  <c r="BK37" i="216"/>
  <c r="O82" i="216"/>
  <c r="AQ44" i="216"/>
  <c r="AS82" i="216"/>
  <c r="BL44" i="216"/>
  <c r="DT44" i="216"/>
  <c r="CF45" i="216"/>
  <c r="BX45" i="216"/>
  <c r="ED45" i="216"/>
  <c r="ED82" i="216" s="1"/>
  <c r="DV45" i="216"/>
  <c r="EG46" i="216"/>
  <c r="AN47" i="216"/>
  <c r="CL47" i="216"/>
  <c r="EI48" i="216"/>
  <c r="AR48" i="216"/>
  <c r="DT48" i="216"/>
  <c r="AD49" i="216"/>
  <c r="BV49" i="216"/>
  <c r="BU49" i="216" s="1"/>
  <c r="BN49" i="216"/>
  <c r="CJ49" i="216"/>
  <c r="EI49" i="216"/>
  <c r="EI50" i="216"/>
  <c r="BV50" i="216"/>
  <c r="DJ50" i="216"/>
  <c r="DI50" i="216" s="1"/>
  <c r="AD51" i="216"/>
  <c r="CF51" i="216"/>
  <c r="CE51" i="216" s="1"/>
  <c r="DI51" i="216"/>
  <c r="ED51" i="216"/>
  <c r="EC51" i="216" s="1"/>
  <c r="DV51" i="216"/>
  <c r="EI52" i="216"/>
  <c r="AV52" i="216"/>
  <c r="CJ52" i="216"/>
  <c r="EI53" i="216"/>
  <c r="AD53" i="216"/>
  <c r="BV53" i="216"/>
  <c r="BU53" i="216" s="1"/>
  <c r="EK53" i="216"/>
  <c r="R54" i="216"/>
  <c r="BB54" i="216"/>
  <c r="BA54" i="216" s="1"/>
  <c r="CP54" i="216"/>
  <c r="ED54" i="216"/>
  <c r="T55" i="216"/>
  <c r="DD56" i="216"/>
  <c r="BL57" i="216"/>
  <c r="BK57" i="216" s="1"/>
  <c r="BD57" i="216"/>
  <c r="DB57" i="216"/>
  <c r="DZ57" i="216"/>
  <c r="BA58" i="216"/>
  <c r="BV58" i="216"/>
  <c r="BU58" i="216" s="1"/>
  <c r="CT58" i="216"/>
  <c r="DZ58" i="216"/>
  <c r="BB59" i="216"/>
  <c r="BA59" i="216" s="1"/>
  <c r="AT59" i="216"/>
  <c r="EE60" i="216"/>
  <c r="EF60" i="216" s="1"/>
  <c r="AT60" i="216"/>
  <c r="BL60" i="216"/>
  <c r="BK60" i="216" s="1"/>
  <c r="CJ60" i="216"/>
  <c r="AH61" i="216"/>
  <c r="AG61" i="216" s="1"/>
  <c r="EI63" i="216"/>
  <c r="DX63" i="216"/>
  <c r="EE64" i="216"/>
  <c r="CF64" i="216"/>
  <c r="CE64" i="216" s="1"/>
  <c r="BV65" i="216"/>
  <c r="BU65" i="216" s="1"/>
  <c r="BN65" i="216"/>
  <c r="DT65" i="216"/>
  <c r="DS65" i="216" s="1"/>
  <c r="DL65" i="216"/>
  <c r="EZ66" i="216"/>
  <c r="EH66" i="216"/>
  <c r="CE66" i="216"/>
  <c r="EF66" i="216"/>
  <c r="BV67" i="216"/>
  <c r="BU67" i="216" s="1"/>
  <c r="BN67" i="216"/>
  <c r="CZ67" i="216"/>
  <c r="CY67" i="216" s="1"/>
  <c r="CR67" i="216"/>
  <c r="DZ67" i="216"/>
  <c r="EK69" i="216"/>
  <c r="CF69" i="216"/>
  <c r="CE69" i="216" s="1"/>
  <c r="BU70" i="216"/>
  <c r="CE70" i="216"/>
  <c r="CP70" i="216"/>
  <c r="CO70" i="216" s="1"/>
  <c r="EI71" i="216"/>
  <c r="CF71" i="216"/>
  <c r="CE71" i="216" s="1"/>
  <c r="BX71" i="216"/>
  <c r="CO72" i="216"/>
  <c r="CY72" i="216"/>
  <c r="EE73" i="216"/>
  <c r="CL73" i="216"/>
  <c r="DP73" i="216"/>
  <c r="CO74" i="216"/>
  <c r="CY74" i="216"/>
  <c r="DJ74" i="216"/>
  <c r="DI74" i="216" s="1"/>
  <c r="BL75" i="216"/>
  <c r="BK75" i="216" s="1"/>
  <c r="BD75" i="216"/>
  <c r="DB75" i="216"/>
  <c r="EP75" i="216"/>
  <c r="CZ77" i="216"/>
  <c r="CY77" i="216" s="1"/>
  <c r="CR77" i="216"/>
  <c r="DX77" i="216"/>
  <c r="EE78" i="216"/>
  <c r="BB78" i="216"/>
  <c r="BA78" i="216" s="1"/>
  <c r="DF78" i="216"/>
  <c r="BB79" i="216"/>
  <c r="AT79" i="216"/>
  <c r="CF79" i="216"/>
  <c r="BX79" i="216"/>
  <c r="DJ79" i="216"/>
  <c r="CS82" i="216"/>
  <c r="CR82" i="216" s="1"/>
  <c r="EE85" i="216"/>
  <c r="CH93" i="216"/>
  <c r="DC93" i="216"/>
  <c r="DB93" i="216" s="1"/>
  <c r="EI86" i="216"/>
  <c r="AX86" i="216"/>
  <c r="DJ86" i="216"/>
  <c r="DI86" i="216" s="1"/>
  <c r="AG87" i="216"/>
  <c r="AR87" i="216"/>
  <c r="AQ87" i="216" s="1"/>
  <c r="CF87" i="216"/>
  <c r="CE87" i="216" s="1"/>
  <c r="EL88" i="216"/>
  <c r="BV88" i="216"/>
  <c r="BU88" i="216" s="1"/>
  <c r="BN88" i="216"/>
  <c r="CE88" i="216"/>
  <c r="CZ88" i="216"/>
  <c r="CY88" i="216" s="1"/>
  <c r="CZ89" i="216"/>
  <c r="EC89" i="216"/>
  <c r="P93" i="216"/>
  <c r="AV96" i="216"/>
  <c r="AW111" i="216"/>
  <c r="AV111" i="216" s="1"/>
  <c r="BM111" i="216"/>
  <c r="CB96" i="216"/>
  <c r="CC111" i="216"/>
  <c r="CY96" i="216"/>
  <c r="DI96" i="216"/>
  <c r="DX96" i="216"/>
  <c r="DY111" i="216"/>
  <c r="DX111" i="216" s="1"/>
  <c r="EF97" i="216"/>
  <c r="CN111" i="216"/>
  <c r="EC97" i="216"/>
  <c r="CO98" i="216"/>
  <c r="CY98" i="216"/>
  <c r="DT98" i="216"/>
  <c r="DS98" i="216" s="1"/>
  <c r="EF99" i="216"/>
  <c r="ED99" i="216"/>
  <c r="ED111" i="216" s="1"/>
  <c r="CT100" i="216"/>
  <c r="DZ100" i="216"/>
  <c r="AL102" i="216"/>
  <c r="BV102" i="216"/>
  <c r="BU102" i="216" s="1"/>
  <c r="BN102" i="216"/>
  <c r="CZ102" i="216"/>
  <c r="CY102" i="216" s="1"/>
  <c r="DZ102" i="216"/>
  <c r="EP102" i="216"/>
  <c r="CZ104" i="216"/>
  <c r="CY104" i="216" s="1"/>
  <c r="CR104" i="216"/>
  <c r="ED104" i="216"/>
  <c r="EC104" i="216" s="1"/>
  <c r="BL106" i="216"/>
  <c r="BK106" i="216" s="1"/>
  <c r="BD106" i="216"/>
  <c r="BR106" i="216"/>
  <c r="CV106" i="216"/>
  <c r="AG107" i="216"/>
  <c r="AQ107" i="216"/>
  <c r="BB107" i="216"/>
  <c r="BB111" i="216" s="1"/>
  <c r="BA111" i="216" s="1"/>
  <c r="X108" i="216"/>
  <c r="W108" i="216" s="1"/>
  <c r="AK111" i="216"/>
  <c r="AJ111" i="216" s="1"/>
  <c r="BQ111" i="216"/>
  <c r="BM119" i="216"/>
  <c r="EE115" i="216"/>
  <c r="EJ115" i="216" s="1"/>
  <c r="AD115" i="216"/>
  <c r="CP115" i="216"/>
  <c r="DT115" i="216"/>
  <c r="DS115" i="216" s="1"/>
  <c r="EN116" i="216"/>
  <c r="EF116" i="216"/>
  <c r="T119" i="216"/>
  <c r="R123" i="216"/>
  <c r="S128" i="216"/>
  <c r="R128" i="216" s="1"/>
  <c r="AI128" i="216"/>
  <c r="AL128" i="216" s="1"/>
  <c r="AX123" i="216"/>
  <c r="AY128" i="216"/>
  <c r="AX128" i="216" s="1"/>
  <c r="CZ123" i="216"/>
  <c r="CZ128" i="216" s="1"/>
  <c r="CY128" i="216" s="1"/>
  <c r="AH125" i="216"/>
  <c r="AG125" i="216" s="1"/>
  <c r="Z125" i="216"/>
  <c r="AN125" i="216"/>
  <c r="U128" i="216"/>
  <c r="T128" i="216" s="1"/>
  <c r="EG132" i="216"/>
  <c r="CZ132" i="216"/>
  <c r="CY132" i="216" s="1"/>
  <c r="X139" i="216"/>
  <c r="P139" i="216"/>
  <c r="Q141" i="216"/>
  <c r="P141" i="216" s="1"/>
  <c r="CS141" i="216"/>
  <c r="CZ139" i="216"/>
  <c r="CZ141" i="216" s="1"/>
  <c r="CR139" i="216"/>
  <c r="DX139" i="216"/>
  <c r="DY141" i="216"/>
  <c r="DX141" i="216" s="1"/>
  <c r="DC141" i="216"/>
  <c r="DB141" i="216" s="1"/>
  <c r="BV145" i="216"/>
  <c r="BV146" i="216"/>
  <c r="BU146" i="216" s="1"/>
  <c r="BN146" i="216"/>
  <c r="EE147" i="216"/>
  <c r="AH147" i="216"/>
  <c r="AG147" i="216" s="1"/>
  <c r="S405" i="216"/>
  <c r="R148" i="216"/>
  <c r="EZ152" i="216"/>
  <c r="EH152" i="216"/>
  <c r="AF153" i="216"/>
  <c r="AG157" i="216"/>
  <c r="BL157" i="216"/>
  <c r="DC176" i="216"/>
  <c r="DB176" i="216" s="1"/>
  <c r="DJ157" i="216"/>
  <c r="DI157" i="216" s="1"/>
  <c r="DB157" i="216"/>
  <c r="X158" i="216"/>
  <c r="W158" i="216" s="1"/>
  <c r="CZ159" i="216"/>
  <c r="CY159" i="216" s="1"/>
  <c r="CR159" i="216"/>
  <c r="ED159" i="216"/>
  <c r="EC159" i="216" s="1"/>
  <c r="EF160" i="216"/>
  <c r="AR161" i="216"/>
  <c r="AQ161" i="216" s="1"/>
  <c r="EC162" i="216"/>
  <c r="EE163" i="216"/>
  <c r="EZ163" i="216" s="1"/>
  <c r="AG164" i="216"/>
  <c r="DS164" i="216"/>
  <c r="CL165" i="216"/>
  <c r="DI165" i="216"/>
  <c r="EG167" i="216"/>
  <c r="BV167" i="216"/>
  <c r="BU167" i="216" s="1"/>
  <c r="BN167" i="216"/>
  <c r="CO167" i="216"/>
  <c r="EI167" i="216"/>
  <c r="DF169" i="216"/>
  <c r="DX169" i="216"/>
  <c r="AQ170" i="216"/>
  <c r="BK170" i="216"/>
  <c r="AM408" i="216"/>
  <c r="AL171" i="216"/>
  <c r="BC408" i="216"/>
  <c r="BD171" i="216"/>
  <c r="DO408" i="216"/>
  <c r="DN171" i="216"/>
  <c r="EL172" i="216"/>
  <c r="CF172" i="216"/>
  <c r="CE172" i="216" s="1"/>
  <c r="CP172" i="216"/>
  <c r="CO172" i="216" s="1"/>
  <c r="DT172" i="216"/>
  <c r="DS172" i="216" s="1"/>
  <c r="ED172" i="216"/>
  <c r="EC172" i="216" s="1"/>
  <c r="DU176" i="216"/>
  <c r="DV176" i="216" s="1"/>
  <c r="U183" i="216"/>
  <c r="T183" i="216" s="1"/>
  <c r="CZ181" i="216"/>
  <c r="CR181" i="216"/>
  <c r="CS183" i="216"/>
  <c r="ED181" i="216"/>
  <c r="EI182" i="216"/>
  <c r="AX182" i="216"/>
  <c r="BA186" i="216"/>
  <c r="DZ186" i="216"/>
  <c r="EZ187" i="216"/>
  <c r="EH187" i="216"/>
  <c r="BH195" i="216"/>
  <c r="Z198" i="216"/>
  <c r="AH198" i="216"/>
  <c r="EK200" i="216"/>
  <c r="EJ200" i="216" s="1"/>
  <c r="BU200" i="216"/>
  <c r="BR200" i="216"/>
  <c r="BP200" i="216"/>
  <c r="EE207" i="216"/>
  <c r="EI32" i="216"/>
  <c r="CO32" i="216"/>
  <c r="CP33" i="216"/>
  <c r="CP40" i="216" s="1"/>
  <c r="CF35" i="216"/>
  <c r="CE35" i="216" s="1"/>
  <c r="BX35" i="216"/>
  <c r="CV35" i="216"/>
  <c r="AG36" i="216"/>
  <c r="Q82" i="216"/>
  <c r="P82" i="216" s="1"/>
  <c r="CA82" i="216"/>
  <c r="BZ82" i="216" s="1"/>
  <c r="CN82" i="216"/>
  <c r="CN83" i="216" s="1"/>
  <c r="DH82" i="216"/>
  <c r="AH45" i="216"/>
  <c r="AG45" i="216" s="1"/>
  <c r="DS45" i="216"/>
  <c r="BK46" i="216"/>
  <c r="BU46" i="216"/>
  <c r="EG47" i="216"/>
  <c r="BV47" i="216"/>
  <c r="BU47" i="216" s="1"/>
  <c r="BN47" i="216"/>
  <c r="DT47" i="216"/>
  <c r="DS47" i="216" s="1"/>
  <c r="DL47" i="216"/>
  <c r="DX47" i="216"/>
  <c r="EK51" i="216"/>
  <c r="BL51" i="216"/>
  <c r="BK51" i="216" s="1"/>
  <c r="BD51" i="216"/>
  <c r="DX51" i="216"/>
  <c r="DX52" i="216"/>
  <c r="DT53" i="216"/>
  <c r="DS53" i="216" s="1"/>
  <c r="DL53" i="216"/>
  <c r="BL55" i="216"/>
  <c r="BK55" i="216" s="1"/>
  <c r="DJ55" i="216"/>
  <c r="DI55" i="216" s="1"/>
  <c r="DB55" i="216"/>
  <c r="DZ55" i="216"/>
  <c r="EP55" i="216"/>
  <c r="CZ59" i="216"/>
  <c r="CY59" i="216" s="1"/>
  <c r="CR59" i="216"/>
  <c r="DN59" i="216"/>
  <c r="DT59" i="216"/>
  <c r="DS59" i="216" s="1"/>
  <c r="BV61" i="216"/>
  <c r="BU61" i="216" s="1"/>
  <c r="EI62" i="216"/>
  <c r="CY62" i="216"/>
  <c r="BV63" i="216"/>
  <c r="BU63" i="216" s="1"/>
  <c r="DZ63" i="216"/>
  <c r="BU64" i="216"/>
  <c r="CP65" i="216"/>
  <c r="CO65" i="216" s="1"/>
  <c r="EK66" i="216"/>
  <c r="EZ68" i="216"/>
  <c r="EH68" i="216"/>
  <c r="AH68" i="216"/>
  <c r="AG68" i="216" s="1"/>
  <c r="BU68" i="216"/>
  <c r="CZ68" i="216"/>
  <c r="CY68" i="216" s="1"/>
  <c r="AQ69" i="216"/>
  <c r="ED69" i="216"/>
  <c r="DV69" i="216"/>
  <c r="EL70" i="216"/>
  <c r="EN70" i="216" s="1"/>
  <c r="DJ71" i="216"/>
  <c r="DI71" i="216" s="1"/>
  <c r="EK71" i="216"/>
  <c r="EK72" i="216"/>
  <c r="EG73" i="216"/>
  <c r="BB73" i="216"/>
  <c r="BA73" i="216" s="1"/>
  <c r="CF73" i="216"/>
  <c r="CE73" i="216" s="1"/>
  <c r="BX73" i="216"/>
  <c r="DJ73" i="216"/>
  <c r="DI73" i="216" s="1"/>
  <c r="DB73" i="216"/>
  <c r="EI73" i="216"/>
  <c r="EE75" i="216"/>
  <c r="CF75" i="216"/>
  <c r="CE75" i="216" s="1"/>
  <c r="DD75" i="216"/>
  <c r="AG76" i="216"/>
  <c r="BA76" i="216"/>
  <c r="BL76" i="216"/>
  <c r="BK76" i="216" s="1"/>
  <c r="BV77" i="216"/>
  <c r="BU77" i="216" s="1"/>
  <c r="CT77" i="216"/>
  <c r="DZ77" i="216"/>
  <c r="X78" i="216"/>
  <c r="W78" i="216" s="1"/>
  <c r="P78" i="216"/>
  <c r="BV78" i="216"/>
  <c r="BN78" i="216"/>
  <c r="ED78" i="216"/>
  <c r="EC78" i="216" s="1"/>
  <c r="EG79" i="216"/>
  <c r="AV79" i="216"/>
  <c r="ED79" i="216"/>
  <c r="DV79" i="216"/>
  <c r="EA82" i="216"/>
  <c r="AY93" i="216"/>
  <c r="AX93" i="216" s="1"/>
  <c r="DQ93" i="216"/>
  <c r="CP87" i="216"/>
  <c r="CO87" i="216" s="1"/>
  <c r="DX88" i="216"/>
  <c r="EL111" i="216"/>
  <c r="AR96" i="216"/>
  <c r="BV96" i="216"/>
  <c r="BN96" i="216"/>
  <c r="CD111" i="216"/>
  <c r="CZ96" i="216"/>
  <c r="CZ111" i="216" s="1"/>
  <c r="CR96" i="216"/>
  <c r="CS111" i="216"/>
  <c r="DI97" i="216"/>
  <c r="AH98" i="216"/>
  <c r="AG98" i="216" s="1"/>
  <c r="BL98" i="216"/>
  <c r="BK98" i="216" s="1"/>
  <c r="BD98" i="216"/>
  <c r="CP98" i="216"/>
  <c r="CH98" i="216"/>
  <c r="EE98" i="216"/>
  <c r="AH100" i="216"/>
  <c r="AG100" i="216" s="1"/>
  <c r="BL100" i="216"/>
  <c r="BK100" i="216" s="1"/>
  <c r="CP100" i="216"/>
  <c r="CO100" i="216" s="1"/>
  <c r="CH100" i="216"/>
  <c r="EZ103" i="216"/>
  <c r="EH103" i="216"/>
  <c r="AH104" i="216"/>
  <c r="AG104" i="216" s="1"/>
  <c r="Z104" i="216"/>
  <c r="EN105" i="216"/>
  <c r="EM105" i="216" s="1"/>
  <c r="EF105" i="216"/>
  <c r="DS105" i="216"/>
  <c r="AB106" i="216"/>
  <c r="BF106" i="216"/>
  <c r="CP106" i="216"/>
  <c r="CO106" i="216" s="1"/>
  <c r="CH106" i="216"/>
  <c r="BW111" i="216"/>
  <c r="DC111" i="216"/>
  <c r="AI119" i="216"/>
  <c r="BK119" i="216"/>
  <c r="BX119" i="216"/>
  <c r="CS119" i="216"/>
  <c r="DD119" i="216"/>
  <c r="EA119" i="216"/>
  <c r="X115" i="216"/>
  <c r="W115" i="216" s="1"/>
  <c r="P115" i="216"/>
  <c r="DN115" i="216"/>
  <c r="EG115" i="216"/>
  <c r="EZ116" i="216"/>
  <c r="EH116" i="216"/>
  <c r="EN117" i="216"/>
  <c r="EF117" i="216"/>
  <c r="AJ123" i="216"/>
  <c r="AK128" i="216"/>
  <c r="BV123" i="216"/>
  <c r="BU123" i="216" s="1"/>
  <c r="BN123" i="216"/>
  <c r="BO128" i="216"/>
  <c r="CT123" i="216"/>
  <c r="CU128" i="216"/>
  <c r="CT128" i="216" s="1"/>
  <c r="DK128" i="216"/>
  <c r="EB128" i="216"/>
  <c r="AB125" i="216"/>
  <c r="BL125" i="216"/>
  <c r="BK125" i="216" s="1"/>
  <c r="BD125" i="216"/>
  <c r="CP125" i="216"/>
  <c r="CO125" i="216" s="1"/>
  <c r="DT125" i="216"/>
  <c r="DS125" i="216" s="1"/>
  <c r="EN126" i="216"/>
  <c r="EF126" i="216"/>
  <c r="BU131" i="216"/>
  <c r="DE136" i="216"/>
  <c r="AY136" i="216"/>
  <c r="AX132" i="216"/>
  <c r="BO136" i="216"/>
  <c r="BV132" i="216"/>
  <c r="BU132" i="216" s="1"/>
  <c r="BN132" i="216"/>
  <c r="CE132" i="216"/>
  <c r="CU136" i="216"/>
  <c r="CT132" i="216"/>
  <c r="DT132" i="216"/>
  <c r="DS132" i="216" s="1"/>
  <c r="DL132" i="216"/>
  <c r="EN134" i="216"/>
  <c r="R139" i="216"/>
  <c r="S141" i="216"/>
  <c r="R141" i="216" s="1"/>
  <c r="BB139" i="216"/>
  <c r="BB141" i="216" s="1"/>
  <c r="CU141" i="216"/>
  <c r="CT139" i="216"/>
  <c r="EN140" i="216"/>
  <c r="EF140" i="216"/>
  <c r="AP404" i="216"/>
  <c r="AP153" i="216"/>
  <c r="CZ146" i="216"/>
  <c r="CY146" i="216" s="1"/>
  <c r="DX146" i="216"/>
  <c r="BS153" i="216"/>
  <c r="EG148" i="216"/>
  <c r="CX153" i="216"/>
  <c r="AM176" i="216"/>
  <c r="AW176" i="216"/>
  <c r="AV176" i="216" s="1"/>
  <c r="BJ176" i="216"/>
  <c r="CF156" i="216"/>
  <c r="CS176" i="216"/>
  <c r="CR176" i="216" s="1"/>
  <c r="AA176" i="216"/>
  <c r="AH157" i="216"/>
  <c r="Z157" i="216"/>
  <c r="BG176" i="216"/>
  <c r="BF157" i="216"/>
  <c r="CF157" i="216"/>
  <c r="CE157" i="216" s="1"/>
  <c r="BX157" i="216"/>
  <c r="AH159" i="216"/>
  <c r="AG159" i="216" s="1"/>
  <c r="Z159" i="216"/>
  <c r="DX159" i="216"/>
  <c r="EJ160" i="216"/>
  <c r="DT161" i="216"/>
  <c r="DS161" i="216" s="1"/>
  <c r="CY162" i="216"/>
  <c r="DS162" i="216"/>
  <c r="BA164" i="216"/>
  <c r="BK164" i="216"/>
  <c r="BP164" i="216"/>
  <c r="EE165" i="216"/>
  <c r="EZ165" i="216" s="1"/>
  <c r="CF165" i="216"/>
  <c r="CE165" i="216" s="1"/>
  <c r="BX165" i="216"/>
  <c r="CP167" i="216"/>
  <c r="DN167" i="216"/>
  <c r="BZ169" i="216"/>
  <c r="CZ169" i="216"/>
  <c r="CY169" i="216" s="1"/>
  <c r="CR169" i="216"/>
  <c r="EL170" i="216"/>
  <c r="DI170" i="216"/>
  <c r="BS408" i="216"/>
  <c r="BR171" i="216"/>
  <c r="CI408" i="216"/>
  <c r="CP171" i="216"/>
  <c r="CH171" i="216"/>
  <c r="BB172" i="216"/>
  <c r="BA172" i="216" s="1"/>
  <c r="DI172" i="216"/>
  <c r="BQ176" i="216"/>
  <c r="BP181" i="216"/>
  <c r="DX181" i="216"/>
  <c r="DY183" i="216"/>
  <c r="AR182" i="216"/>
  <c r="AJ182" i="216"/>
  <c r="CZ182" i="216"/>
  <c r="DX182" i="216"/>
  <c r="CV186" i="216"/>
  <c r="CW188" i="216"/>
  <c r="DT186" i="216"/>
  <c r="DT188" i="216" s="1"/>
  <c r="DL186" i="216"/>
  <c r="DM188" i="216"/>
  <c r="EJ187" i="216"/>
  <c r="CK272" i="216"/>
  <c r="BZ196" i="216"/>
  <c r="CF196" i="216"/>
  <c r="AX202" i="216"/>
  <c r="EK202" i="216"/>
  <c r="BU29" i="216"/>
  <c r="EG29" i="216"/>
  <c r="EP29" i="216"/>
  <c r="BP32" i="216"/>
  <c r="DI32" i="216"/>
  <c r="DS32" i="216"/>
  <c r="AR33" i="216"/>
  <c r="AQ33" i="216" s="1"/>
  <c r="CV33" i="216"/>
  <c r="ED33" i="216"/>
  <c r="EC33" i="216" s="1"/>
  <c r="DV33" i="216"/>
  <c r="EI34" i="216"/>
  <c r="AV34" i="216"/>
  <c r="CJ34" i="216"/>
  <c r="DX34" i="216"/>
  <c r="EI35" i="216"/>
  <c r="AD35" i="216"/>
  <c r="CL35" i="216"/>
  <c r="ED35" i="216"/>
  <c r="EC35" i="216" s="1"/>
  <c r="DV35" i="216"/>
  <c r="EG36" i="216"/>
  <c r="BA36" i="216"/>
  <c r="BU36" i="216"/>
  <c r="DI36" i="216"/>
  <c r="EG37" i="216"/>
  <c r="AH37" i="216"/>
  <c r="AK82" i="216"/>
  <c r="AJ82" i="216" s="1"/>
  <c r="AU82" i="216"/>
  <c r="AT82" i="216" s="1"/>
  <c r="CD82" i="216"/>
  <c r="CX82" i="216"/>
  <c r="DJ44" i="216"/>
  <c r="BV45" i="216"/>
  <c r="BU45" i="216" s="1"/>
  <c r="DT45" i="216"/>
  <c r="DL45" i="216"/>
  <c r="R47" i="216"/>
  <c r="DI47" i="216"/>
  <c r="DZ47" i="216"/>
  <c r="EP47" i="216"/>
  <c r="DF48" i="216"/>
  <c r="BL49" i="216"/>
  <c r="BK49" i="216" s="1"/>
  <c r="BD49" i="216"/>
  <c r="EK50" i="216"/>
  <c r="EL51" i="216"/>
  <c r="BA51" i="216"/>
  <c r="BP51" i="216"/>
  <c r="CB51" i="216"/>
  <c r="EL53" i="216"/>
  <c r="BB53" i="216"/>
  <c r="BA53" i="216" s="1"/>
  <c r="AT53" i="216"/>
  <c r="BR53" i="216"/>
  <c r="BZ54" i="216"/>
  <c r="DN54" i="216"/>
  <c r="AR55" i="216"/>
  <c r="AQ55" i="216" s="1"/>
  <c r="AJ55" i="216"/>
  <c r="BF55" i="216"/>
  <c r="EL57" i="216"/>
  <c r="BB57" i="216"/>
  <c r="BA57" i="216" s="1"/>
  <c r="CZ57" i="216"/>
  <c r="CY57" i="216" s="1"/>
  <c r="CR57" i="216"/>
  <c r="AH58" i="216"/>
  <c r="AG58" i="216" s="1"/>
  <c r="BF58" i="216"/>
  <c r="EE59" i="216"/>
  <c r="EZ59" i="216" s="1"/>
  <c r="AR59" i="216"/>
  <c r="AQ59" i="216" s="1"/>
  <c r="CO59" i="216"/>
  <c r="DP59" i="216"/>
  <c r="AV60" i="216"/>
  <c r="BA61" i="216"/>
  <c r="BR61" i="216"/>
  <c r="DD61" i="216"/>
  <c r="BB62" i="216"/>
  <c r="BA62" i="216" s="1"/>
  <c r="AR63" i="216"/>
  <c r="AQ63" i="216" s="1"/>
  <c r="AJ63" i="216"/>
  <c r="DS63" i="216"/>
  <c r="BA64" i="216"/>
  <c r="DT64" i="216"/>
  <c r="AH65" i="216"/>
  <c r="Z65" i="216"/>
  <c r="BK65" i="216"/>
  <c r="CJ65" i="216"/>
  <c r="EI65" i="216"/>
  <c r="BU66" i="216"/>
  <c r="DS66" i="216"/>
  <c r="AH67" i="216"/>
  <c r="Z67" i="216"/>
  <c r="AN67" i="216"/>
  <c r="BK67" i="216"/>
  <c r="CO67" i="216"/>
  <c r="DN67" i="216"/>
  <c r="EG67" i="216"/>
  <c r="BK68" i="216"/>
  <c r="DJ68" i="216"/>
  <c r="DI68" i="216" s="1"/>
  <c r="AR69" i="216"/>
  <c r="CZ69" i="216"/>
  <c r="CY69" i="216" s="1"/>
  <c r="CR69" i="216"/>
  <c r="DX69" i="216"/>
  <c r="EE70" i="216"/>
  <c r="AG70" i="216"/>
  <c r="AQ70" i="216"/>
  <c r="BB70" i="216"/>
  <c r="BA70" i="216" s="1"/>
  <c r="AR71" i="216"/>
  <c r="AQ71" i="216" s="1"/>
  <c r="AJ71" i="216"/>
  <c r="BU71" i="216"/>
  <c r="EL72" i="216"/>
  <c r="BK72" i="216"/>
  <c r="BU72" i="216"/>
  <c r="CF72" i="216"/>
  <c r="CE72" i="216" s="1"/>
  <c r="AV73" i="216"/>
  <c r="BZ73" i="216"/>
  <c r="BA74" i="216"/>
  <c r="BK74" i="216"/>
  <c r="BV74" i="216"/>
  <c r="BU74" i="216" s="1"/>
  <c r="DZ74" i="216"/>
  <c r="X75" i="216"/>
  <c r="W75" i="216" s="1"/>
  <c r="P75" i="216"/>
  <c r="BA75" i="216"/>
  <c r="BZ75" i="216"/>
  <c r="ED75" i="216"/>
  <c r="EE76" i="216"/>
  <c r="EF76" i="216" s="1"/>
  <c r="AR77" i="216"/>
  <c r="DS77" i="216"/>
  <c r="CZ78" i="216"/>
  <c r="CY78" i="216" s="1"/>
  <c r="CR78" i="216"/>
  <c r="DX78" i="216"/>
  <c r="EI79" i="216"/>
  <c r="EG93" i="216"/>
  <c r="EF85" i="216"/>
  <c r="AK93" i="216"/>
  <c r="AJ93" i="216" s="1"/>
  <c r="BY93" i="216"/>
  <c r="BX93" i="216" s="1"/>
  <c r="CU93" i="216"/>
  <c r="DE93" i="216"/>
  <c r="DD93" i="216" s="1"/>
  <c r="AR86" i="216"/>
  <c r="AQ86" i="216" s="1"/>
  <c r="AJ86" i="216"/>
  <c r="BV86" i="216"/>
  <c r="BU86" i="216" s="1"/>
  <c r="CZ86" i="216"/>
  <c r="CY86" i="216" s="1"/>
  <c r="ED86" i="216"/>
  <c r="DV86" i="216"/>
  <c r="DS87" i="216"/>
  <c r="AH88" i="216"/>
  <c r="AH93" i="216" s="1"/>
  <c r="AG93" i="216" s="1"/>
  <c r="Z88" i="216"/>
  <c r="BK88" i="216"/>
  <c r="DT88" i="216"/>
  <c r="DS88" i="216" s="1"/>
  <c r="DL88" i="216"/>
  <c r="DZ88" i="216"/>
  <c r="EP88" i="216"/>
  <c r="EZ89" i="216"/>
  <c r="EH89" i="216"/>
  <c r="CY89" i="216"/>
  <c r="DJ89" i="216"/>
  <c r="DI89" i="216" s="1"/>
  <c r="AL96" i="216"/>
  <c r="BP96" i="216"/>
  <c r="EI97" i="216"/>
  <c r="AH97" i="216"/>
  <c r="AG97" i="216" s="1"/>
  <c r="AZ111" i="216"/>
  <c r="CY97" i="216"/>
  <c r="AB98" i="216"/>
  <c r="BF98" i="216"/>
  <c r="EI99" i="216"/>
  <c r="CY99" i="216"/>
  <c r="DI99" i="216"/>
  <c r="BF100" i="216"/>
  <c r="DT100" i="216"/>
  <c r="DS100" i="216" s="1"/>
  <c r="DL100" i="216"/>
  <c r="DS101" i="216"/>
  <c r="AH102" i="216"/>
  <c r="AG102" i="216" s="1"/>
  <c r="Z102" i="216"/>
  <c r="BK102" i="216"/>
  <c r="DT102" i="216"/>
  <c r="DS102" i="216" s="1"/>
  <c r="DL102" i="216"/>
  <c r="EK103" i="216"/>
  <c r="DJ103" i="216"/>
  <c r="AB104" i="216"/>
  <c r="BL104" i="216"/>
  <c r="BK104" i="216" s="1"/>
  <c r="BD104" i="216"/>
  <c r="CO104" i="216"/>
  <c r="DI105" i="216"/>
  <c r="X106" i="216"/>
  <c r="W106" i="216" s="1"/>
  <c r="P106" i="216"/>
  <c r="AD106" i="216"/>
  <c r="BA106" i="216"/>
  <c r="BH106" i="216"/>
  <c r="ED107" i="216"/>
  <c r="EC107" i="216" s="1"/>
  <c r="AH108" i="216"/>
  <c r="BY111" i="216"/>
  <c r="DE111" i="216"/>
  <c r="DD111" i="216" s="1"/>
  <c r="Y119" i="216"/>
  <c r="CT119" i="216"/>
  <c r="R115" i="216"/>
  <c r="S119" i="216"/>
  <c r="R119" i="216" s="1"/>
  <c r="BB115" i="216"/>
  <c r="BA115" i="216" s="1"/>
  <c r="DJ115" i="216"/>
  <c r="DI115" i="216" s="1"/>
  <c r="DB115" i="216"/>
  <c r="DP115" i="216"/>
  <c r="EI115" i="216"/>
  <c r="EZ117" i="216"/>
  <c r="EH117" i="216"/>
  <c r="EN118" i="216"/>
  <c r="EF118" i="216"/>
  <c r="BA123" i="216"/>
  <c r="BP123" i="216"/>
  <c r="BQ128" i="216"/>
  <c r="CP123" i="216"/>
  <c r="CP128" i="216" s="1"/>
  <c r="CO128" i="216" s="1"/>
  <c r="CV123" i="216"/>
  <c r="CW128" i="216"/>
  <c r="CV128" i="216" s="1"/>
  <c r="DT123" i="216"/>
  <c r="DT128" i="216" s="1"/>
  <c r="DL123" i="216"/>
  <c r="DM128" i="216"/>
  <c r="EC123" i="216"/>
  <c r="EK124" i="216"/>
  <c r="BV124" i="216"/>
  <c r="BU124" i="216" s="1"/>
  <c r="DS124" i="216"/>
  <c r="EE125" i="216"/>
  <c r="AD125" i="216"/>
  <c r="DP125" i="216"/>
  <c r="EZ126" i="216"/>
  <c r="EH126" i="216"/>
  <c r="EN127" i="216"/>
  <c r="EF127" i="216"/>
  <c r="BK131" i="216"/>
  <c r="AR132" i="216"/>
  <c r="AJ132" i="216"/>
  <c r="BP132" i="216"/>
  <c r="CV132" i="216"/>
  <c r="DN132" i="216"/>
  <c r="EK139" i="216"/>
  <c r="AV139" i="216"/>
  <c r="AW141" i="216"/>
  <c r="AV141" i="216" s="1"/>
  <c r="DT139" i="216"/>
  <c r="DT141" i="216" s="1"/>
  <c r="EG139" i="216"/>
  <c r="EZ140" i="216"/>
  <c r="EH140" i="216"/>
  <c r="AH145" i="216"/>
  <c r="AH146" i="216"/>
  <c r="AG146" i="216" s="1"/>
  <c r="Z146" i="216"/>
  <c r="BK146" i="216"/>
  <c r="DZ146" i="216"/>
  <c r="EP146" i="216"/>
  <c r="DA405" i="216"/>
  <c r="DD148" i="216"/>
  <c r="EI148" i="216"/>
  <c r="EN150" i="216"/>
  <c r="BT153" i="216"/>
  <c r="EE158" i="216"/>
  <c r="AH158" i="216"/>
  <c r="DS158" i="216"/>
  <c r="BL159" i="216"/>
  <c r="BK159" i="216" s="1"/>
  <c r="BD159" i="216"/>
  <c r="DZ159" i="216"/>
  <c r="EH160" i="216"/>
  <c r="DS160" i="216"/>
  <c r="EC160" i="216"/>
  <c r="BL161" i="216"/>
  <c r="BK161" i="216" s="1"/>
  <c r="BD161" i="216"/>
  <c r="EG161" i="216"/>
  <c r="EG163" i="216"/>
  <c r="BB163" i="216"/>
  <c r="BA163" i="216" s="1"/>
  <c r="AT163" i="216"/>
  <c r="CF163" i="216"/>
  <c r="CE163" i="216" s="1"/>
  <c r="EG165" i="216"/>
  <c r="AV165" i="216"/>
  <c r="EK167" i="216"/>
  <c r="DI167" i="216"/>
  <c r="DP167" i="216"/>
  <c r="EE168" i="216"/>
  <c r="CO168" i="216"/>
  <c r="CZ168" i="216"/>
  <c r="CY168" i="216" s="1"/>
  <c r="AD169" i="216"/>
  <c r="BB169" i="216"/>
  <c r="BA169" i="216" s="1"/>
  <c r="CB169" i="216"/>
  <c r="CY170" i="216"/>
  <c r="EE172" i="216"/>
  <c r="AG172" i="216"/>
  <c r="BY176" i="216"/>
  <c r="Y183" i="216"/>
  <c r="AG183" i="216" s="1"/>
  <c r="Z181" i="216"/>
  <c r="BR181" i="216"/>
  <c r="BA182" i="216"/>
  <c r="Z188" i="216"/>
  <c r="CJ186" i="216"/>
  <c r="EC186" i="216"/>
  <c r="DZ192" i="216"/>
  <c r="EP192" i="216"/>
  <c r="ED192" i="216"/>
  <c r="CR193" i="216"/>
  <c r="CZ193" i="216"/>
  <c r="BA195" i="216"/>
  <c r="AX195" i="216"/>
  <c r="BX199" i="216"/>
  <c r="EE159" i="216"/>
  <c r="EF159" i="216" s="1"/>
  <c r="CY160" i="216"/>
  <c r="CE161" i="216"/>
  <c r="EC163" i="216"/>
  <c r="EE164" i="216"/>
  <c r="ED164" i="216"/>
  <c r="EC164" i="216" s="1"/>
  <c r="AQ165" i="216"/>
  <c r="BU165" i="216"/>
  <c r="EL167" i="216"/>
  <c r="BK167" i="216"/>
  <c r="DJ167" i="216"/>
  <c r="DB167" i="216"/>
  <c r="EE169" i="216"/>
  <c r="AV169" i="216"/>
  <c r="DT169" i="216"/>
  <c r="O408" i="216"/>
  <c r="P171" i="216"/>
  <c r="AR172" i="216"/>
  <c r="AO183" i="216"/>
  <c r="AN181" i="216"/>
  <c r="BL181" i="216"/>
  <c r="BD181" i="216"/>
  <c r="CW183" i="216"/>
  <c r="CV182" i="216"/>
  <c r="DM183" i="216"/>
  <c r="DT182" i="216"/>
  <c r="DL182" i="216"/>
  <c r="EK188" i="216"/>
  <c r="AC188" i="216"/>
  <c r="AB188" i="216" s="1"/>
  <c r="AQ193" i="216"/>
  <c r="AN193" i="216"/>
  <c r="AL193" i="216"/>
  <c r="BB194" i="216"/>
  <c r="BA194" i="216" s="1"/>
  <c r="CT194" i="216"/>
  <c r="CZ194" i="216"/>
  <c r="CZ272" i="216" s="1"/>
  <c r="BX195" i="216"/>
  <c r="CF195" i="216"/>
  <c r="EG197" i="216"/>
  <c r="P197" i="216"/>
  <c r="X197" i="216"/>
  <c r="W197" i="216" s="1"/>
  <c r="AX198" i="216"/>
  <c r="BV201" i="216"/>
  <c r="BN201" i="216"/>
  <c r="AT203" i="216"/>
  <c r="X205" i="216"/>
  <c r="W205" i="216" s="1"/>
  <c r="P205" i="216"/>
  <c r="DJ205" i="216"/>
  <c r="DB205" i="216"/>
  <c r="EE206" i="216"/>
  <c r="AH206" i="216"/>
  <c r="Z206" i="216"/>
  <c r="DX207" i="216"/>
  <c r="BB208" i="216"/>
  <c r="BA208" i="216" s="1"/>
  <c r="AT208" i="216"/>
  <c r="CP208" i="216"/>
  <c r="CH208" i="216"/>
  <c r="EI211" i="216"/>
  <c r="X212" i="216"/>
  <c r="W212" i="216" s="1"/>
  <c r="P212" i="216"/>
  <c r="BV213" i="216"/>
  <c r="BN213" i="216"/>
  <c r="AR214" i="216"/>
  <c r="AJ214" i="216"/>
  <c r="EI215" i="216"/>
  <c r="BV217" i="216"/>
  <c r="BN217" i="216"/>
  <c r="AR218" i="216"/>
  <c r="AJ218" i="216"/>
  <c r="DP219" i="216"/>
  <c r="X220" i="216"/>
  <c r="W220" i="216" s="1"/>
  <c r="P220" i="216"/>
  <c r="CZ221" i="216"/>
  <c r="CR221" i="216"/>
  <c r="EE222" i="216"/>
  <c r="DT222" i="216"/>
  <c r="DS222" i="216" s="1"/>
  <c r="DL222" i="216"/>
  <c r="EI223" i="216"/>
  <c r="BB223" i="216"/>
  <c r="AT223" i="216"/>
  <c r="EJ224" i="216"/>
  <c r="BB224" i="216"/>
  <c r="AT224" i="216"/>
  <c r="DP224" i="216"/>
  <c r="EG224" i="216"/>
  <c r="BP225" i="216"/>
  <c r="CZ225" i="216"/>
  <c r="CR225" i="216"/>
  <c r="DZ225" i="216"/>
  <c r="BF226" i="216"/>
  <c r="BL226" i="216"/>
  <c r="CF227" i="216"/>
  <c r="BX227" i="216"/>
  <c r="BZ228" i="216"/>
  <c r="CF228" i="216"/>
  <c r="CZ229" i="216"/>
  <c r="CR229" i="216"/>
  <c r="EE230" i="216"/>
  <c r="CT230" i="216"/>
  <c r="CZ230" i="216"/>
  <c r="DT230" i="216"/>
  <c r="DL230" i="216"/>
  <c r="CF231" i="216"/>
  <c r="CE231" i="216" s="1"/>
  <c r="BX231" i="216"/>
  <c r="EK231" i="216"/>
  <c r="ED232" i="216"/>
  <c r="EC232" i="216" s="1"/>
  <c r="DV232" i="216"/>
  <c r="CF234" i="216"/>
  <c r="BX234" i="216"/>
  <c r="T236" i="216"/>
  <c r="R236" i="216"/>
  <c r="BL236" i="216"/>
  <c r="BK236" i="216" s="1"/>
  <c r="BD236" i="216"/>
  <c r="EE237" i="216"/>
  <c r="BL237" i="216"/>
  <c r="BD237" i="216"/>
  <c r="BP240" i="216"/>
  <c r="BN240" i="216"/>
  <c r="EK241" i="216"/>
  <c r="X242" i="216"/>
  <c r="W242" i="216" s="1"/>
  <c r="P242" i="216"/>
  <c r="CP248" i="216"/>
  <c r="BU249" i="216"/>
  <c r="BR249" i="216"/>
  <c r="CF252" i="216"/>
  <c r="BZ252" i="216"/>
  <c r="BD253" i="216"/>
  <c r="DN257" i="216"/>
  <c r="DS257" i="216"/>
  <c r="DP257" i="216"/>
  <c r="BB258" i="216"/>
  <c r="CP259" i="216"/>
  <c r="CH259" i="216"/>
  <c r="X260" i="216"/>
  <c r="W260" i="216" s="1"/>
  <c r="P260" i="216"/>
  <c r="EG260" i="216"/>
  <c r="EE263" i="216"/>
  <c r="EF264" i="216"/>
  <c r="BZ267" i="216"/>
  <c r="CE267" i="216"/>
  <c r="DZ268" i="216"/>
  <c r="EP268" i="216"/>
  <c r="DM283" i="216"/>
  <c r="DT276" i="216"/>
  <c r="DL276" i="216"/>
  <c r="EI280" i="216"/>
  <c r="AV282" i="216"/>
  <c r="AS409" i="216"/>
  <c r="BL287" i="216"/>
  <c r="BK287" i="216" s="1"/>
  <c r="BD287" i="216"/>
  <c r="EK339" i="216"/>
  <c r="BR339" i="216"/>
  <c r="T33" i="216"/>
  <c r="AJ33" i="216"/>
  <c r="BX33" i="216"/>
  <c r="DL33" i="216"/>
  <c r="R35" i="216"/>
  <c r="Z35" i="216"/>
  <c r="BN35" i="216"/>
  <c r="DB35" i="216"/>
  <c r="EP37" i="216"/>
  <c r="EF38" i="216"/>
  <c r="BK44" i="216"/>
  <c r="CY44" i="216"/>
  <c r="EE44" i="216"/>
  <c r="R45" i="216"/>
  <c r="Z45" i="216"/>
  <c r="BN45" i="216"/>
  <c r="DB45" i="216"/>
  <c r="X47" i="216"/>
  <c r="W47" i="216" s="1"/>
  <c r="BD47" i="216"/>
  <c r="CR47" i="216"/>
  <c r="AQ48" i="216"/>
  <c r="CE48" i="216"/>
  <c r="DS48" i="216"/>
  <c r="AT49" i="216"/>
  <c r="CH49" i="216"/>
  <c r="EP50" i="216"/>
  <c r="T51" i="216"/>
  <c r="AJ51" i="216"/>
  <c r="BX51" i="216"/>
  <c r="R53" i="216"/>
  <c r="Z53" i="216"/>
  <c r="BN53" i="216"/>
  <c r="DB53" i="216"/>
  <c r="P55" i="216"/>
  <c r="X55" i="216"/>
  <c r="W55" i="216" s="1"/>
  <c r="BD55" i="216"/>
  <c r="CR55" i="216"/>
  <c r="AT57" i="216"/>
  <c r="EP58" i="216"/>
  <c r="T59" i="216"/>
  <c r="AJ59" i="216"/>
  <c r="BX59" i="216"/>
  <c r="Z61" i="216"/>
  <c r="BN61" i="216"/>
  <c r="CL61" i="216"/>
  <c r="DJ61" i="216"/>
  <c r="DZ61" i="216"/>
  <c r="X63" i="216"/>
  <c r="W63" i="216" s="1"/>
  <c r="BD63" i="216"/>
  <c r="ED65" i="216"/>
  <c r="EC65" i="216" s="1"/>
  <c r="EP66" i="216"/>
  <c r="T67" i="216"/>
  <c r="AJ67" i="216"/>
  <c r="BX67" i="216"/>
  <c r="DL67" i="216"/>
  <c r="R69" i="216"/>
  <c r="Z69" i="216"/>
  <c r="BN69" i="216"/>
  <c r="DB69" i="216"/>
  <c r="P71" i="216"/>
  <c r="X71" i="216"/>
  <c r="W71" i="216" s="1"/>
  <c r="BD71" i="216"/>
  <c r="CR71" i="216"/>
  <c r="AT73" i="216"/>
  <c r="CH73" i="216"/>
  <c r="DV73" i="216"/>
  <c r="EP74" i="216"/>
  <c r="T75" i="216"/>
  <c r="AJ75" i="216"/>
  <c r="BX75" i="216"/>
  <c r="DL75" i="216"/>
  <c r="R77" i="216"/>
  <c r="Z77" i="216"/>
  <c r="BN77" i="216"/>
  <c r="DB77" i="216"/>
  <c r="T78" i="216"/>
  <c r="AJ78" i="216"/>
  <c r="BX78" i="216"/>
  <c r="DL78" i="216"/>
  <c r="P79" i="216"/>
  <c r="X79" i="216"/>
  <c r="W79" i="216" s="1"/>
  <c r="BD79" i="216"/>
  <c r="CR79" i="216"/>
  <c r="EF80" i="216"/>
  <c r="EF81" i="216"/>
  <c r="S82" i="216"/>
  <c r="R82" i="216" s="1"/>
  <c r="EK85" i="216"/>
  <c r="P86" i="216"/>
  <c r="X86" i="216"/>
  <c r="W86" i="216" s="1"/>
  <c r="BD86" i="216"/>
  <c r="DP86" i="216"/>
  <c r="AT88" i="216"/>
  <c r="BR88" i="216"/>
  <c r="CP88" i="216"/>
  <c r="CO88" i="216" s="1"/>
  <c r="DF88" i="216"/>
  <c r="ED88" i="216"/>
  <c r="EC88" i="216" s="1"/>
  <c r="EP89" i="216"/>
  <c r="T96" i="216"/>
  <c r="AJ96" i="216"/>
  <c r="BX96" i="216"/>
  <c r="R98" i="216"/>
  <c r="Z98" i="216"/>
  <c r="BN98" i="216"/>
  <c r="DJ98" i="216"/>
  <c r="DI98" i="216" s="1"/>
  <c r="DZ98" i="216"/>
  <c r="P100" i="216"/>
  <c r="X100" i="216"/>
  <c r="W100" i="216" s="1"/>
  <c r="BD100" i="216"/>
  <c r="CR100" i="216"/>
  <c r="AT102" i="216"/>
  <c r="CH102" i="216"/>
  <c r="DF102" i="216"/>
  <c r="ED102" i="216"/>
  <c r="EC102" i="216" s="1"/>
  <c r="EP103" i="216"/>
  <c r="T104" i="216"/>
  <c r="BH104" i="216"/>
  <c r="CF104" i="216"/>
  <c r="CE104" i="216" s="1"/>
  <c r="CV104" i="216"/>
  <c r="R106" i="216"/>
  <c r="Z106" i="216"/>
  <c r="BN106" i="216"/>
  <c r="DB106" i="216"/>
  <c r="BA107" i="216"/>
  <c r="U111" i="216"/>
  <c r="EG114" i="216"/>
  <c r="EP114" i="216"/>
  <c r="T115" i="216"/>
  <c r="AJ115" i="216"/>
  <c r="BX115" i="216"/>
  <c r="DL115" i="216"/>
  <c r="AT123" i="216"/>
  <c r="CH123" i="216"/>
  <c r="DV123" i="216"/>
  <c r="T125" i="216"/>
  <c r="AJ125" i="216"/>
  <c r="BX125" i="216"/>
  <c r="DL125" i="216"/>
  <c r="Y128" i="216"/>
  <c r="AD128" i="216" s="1"/>
  <c r="AW128" i="216"/>
  <c r="AV128" i="216" s="1"/>
  <c r="BE128" i="216"/>
  <c r="BD128" i="216" s="1"/>
  <c r="BM128" i="216"/>
  <c r="CK128" i="216"/>
  <c r="CJ128" i="216" s="1"/>
  <c r="CS128" i="216"/>
  <c r="CR128" i="216" s="1"/>
  <c r="DA128" i="216"/>
  <c r="DI128" i="216" s="1"/>
  <c r="DY128" i="216"/>
  <c r="AT132" i="216"/>
  <c r="CH132" i="216"/>
  <c r="DV132" i="216"/>
  <c r="EF133" i="216"/>
  <c r="EF134" i="216"/>
  <c r="EF135" i="216"/>
  <c r="AS136" i="216"/>
  <c r="AT136" i="216" s="1"/>
  <c r="CG136" i="216"/>
  <c r="CJ136" i="216" s="1"/>
  <c r="DU136" i="216"/>
  <c r="T139" i="216"/>
  <c r="AB139" i="216"/>
  <c r="AJ139" i="216"/>
  <c r="AR139" i="216"/>
  <c r="AR141" i="216" s="1"/>
  <c r="BH139" i="216"/>
  <c r="BX139" i="216"/>
  <c r="CF139" i="216"/>
  <c r="CE139" i="216" s="1"/>
  <c r="DL139" i="216"/>
  <c r="DS145" i="216"/>
  <c r="DS404" i="216" s="1"/>
  <c r="EI145" i="216"/>
  <c r="BB146" i="216"/>
  <c r="BA146" i="216" s="1"/>
  <c r="BR146" i="216"/>
  <c r="CP146" i="216"/>
  <c r="CO146" i="216" s="1"/>
  <c r="ED146" i="216"/>
  <c r="EC146" i="216" s="1"/>
  <c r="EP147" i="216"/>
  <c r="AB148" i="216"/>
  <c r="AR148" i="216"/>
  <c r="AR405" i="216" s="1"/>
  <c r="CF148" i="216"/>
  <c r="CF405" i="216" s="1"/>
  <c r="DT148" i="216"/>
  <c r="DT405" i="216" s="1"/>
  <c r="EE149" i="216"/>
  <c r="EJ151" i="216"/>
  <c r="EJ152" i="216"/>
  <c r="Y153" i="216"/>
  <c r="AO153" i="216"/>
  <c r="AW153" i="216"/>
  <c r="BE153" i="216"/>
  <c r="BD153" i="216" s="1"/>
  <c r="BM153" i="216"/>
  <c r="CC153" i="216"/>
  <c r="CK153" i="216"/>
  <c r="CS153" i="216"/>
  <c r="CR153" i="216" s="1"/>
  <c r="DA153" i="216"/>
  <c r="DQ153" i="216"/>
  <c r="DY153" i="216"/>
  <c r="BB157" i="216"/>
  <c r="BA157" i="216" s="1"/>
  <c r="CP157" i="216"/>
  <c r="CO157" i="216" s="1"/>
  <c r="DF157" i="216"/>
  <c r="T159" i="216"/>
  <c r="AR159" i="216"/>
  <c r="AQ159" i="216" s="1"/>
  <c r="BH159" i="216"/>
  <c r="CF159" i="216"/>
  <c r="CV159" i="216"/>
  <c r="DT159" i="216"/>
  <c r="DS159" i="216" s="1"/>
  <c r="AH161" i="216"/>
  <c r="AG161" i="216" s="1"/>
  <c r="AX161" i="216"/>
  <c r="BF161" i="216"/>
  <c r="CL161" i="216"/>
  <c r="CT161" i="216"/>
  <c r="DJ161" i="216"/>
  <c r="DI161" i="216" s="1"/>
  <c r="DZ161" i="216"/>
  <c r="X163" i="216"/>
  <c r="W163" i="216" s="1"/>
  <c r="AN163" i="216"/>
  <c r="AV163" i="216"/>
  <c r="BL163" i="216"/>
  <c r="BK163" i="216" s="1"/>
  <c r="CB163" i="216"/>
  <c r="CJ163" i="216"/>
  <c r="CZ163" i="216"/>
  <c r="CY163" i="216" s="1"/>
  <c r="DP163" i="216"/>
  <c r="DX163" i="216"/>
  <c r="AD165" i="216"/>
  <c r="AL165" i="216"/>
  <c r="BB165" i="216"/>
  <c r="BA165" i="216" s="1"/>
  <c r="BR165" i="216"/>
  <c r="BZ165" i="216"/>
  <c r="CP165" i="216"/>
  <c r="CO165" i="216" s="1"/>
  <c r="DF165" i="216"/>
  <c r="ED165" i="216"/>
  <c r="EC165" i="216" s="1"/>
  <c r="T167" i="216"/>
  <c r="AB167" i="216"/>
  <c r="AR167" i="216"/>
  <c r="AQ167" i="216" s="1"/>
  <c r="BP167" i="216"/>
  <c r="CF167" i="216"/>
  <c r="CE167" i="216" s="1"/>
  <c r="CV167" i="216"/>
  <c r="DD167" i="216"/>
  <c r="DT167" i="216"/>
  <c r="DS167" i="216" s="1"/>
  <c r="R169" i="216"/>
  <c r="BF169" i="216"/>
  <c r="BV169" i="216"/>
  <c r="BU169" i="216" s="1"/>
  <c r="CT169" i="216"/>
  <c r="DJ169" i="216"/>
  <c r="DI169" i="216" s="1"/>
  <c r="CO170" i="216"/>
  <c r="EC170" i="216"/>
  <c r="X171" i="216"/>
  <c r="AN171" i="216"/>
  <c r="AV171" i="216"/>
  <c r="BL171" i="216"/>
  <c r="CB171" i="216"/>
  <c r="CZ171" i="216"/>
  <c r="DP171" i="216"/>
  <c r="DX171" i="216"/>
  <c r="AQ172" i="216"/>
  <c r="U176" i="216"/>
  <c r="BQ177" i="216"/>
  <c r="R181" i="216"/>
  <c r="AH181" i="216"/>
  <c r="AH183" i="216" s="1"/>
  <c r="AX181" i="216"/>
  <c r="BF181" i="216"/>
  <c r="BV181" i="216"/>
  <c r="CL181" i="216"/>
  <c r="CT181" i="216"/>
  <c r="DJ181" i="216"/>
  <c r="DZ181" i="216"/>
  <c r="AD182" i="216"/>
  <c r="AL182" i="216"/>
  <c r="BB182" i="216"/>
  <c r="BR182" i="216"/>
  <c r="BZ182" i="216"/>
  <c r="CP182" i="216"/>
  <c r="DF182" i="216"/>
  <c r="DN182" i="216"/>
  <c r="ED182" i="216"/>
  <c r="AA183" i="216"/>
  <c r="Z183" i="216" s="1"/>
  <c r="AI183" i="216"/>
  <c r="AQ183" i="216" s="1"/>
  <c r="AY183" i="216"/>
  <c r="CQ183" i="216"/>
  <c r="CY183" i="216" s="1"/>
  <c r="DG183" i="216"/>
  <c r="DF183" i="216" s="1"/>
  <c r="DO183" i="216"/>
  <c r="DW183" i="216"/>
  <c r="AD186" i="216"/>
  <c r="AL186" i="216"/>
  <c r="BB186" i="216"/>
  <c r="BB188" i="216" s="1"/>
  <c r="BR186" i="216"/>
  <c r="BZ186" i="216"/>
  <c r="CP186" i="216"/>
  <c r="DF186" i="216"/>
  <c r="DN186" i="216"/>
  <c r="ED186" i="216"/>
  <c r="ED188" i="216" s="1"/>
  <c r="Q272" i="216"/>
  <c r="EG191" i="216"/>
  <c r="AG191" i="216"/>
  <c r="AO272" i="216"/>
  <c r="AW272" i="216"/>
  <c r="BM272" i="216"/>
  <c r="BU191" i="216"/>
  <c r="CC272" i="216"/>
  <c r="CS272" i="216"/>
  <c r="DA272" i="216"/>
  <c r="AL192" i="216"/>
  <c r="AR193" i="216"/>
  <c r="AR272" i="216" s="1"/>
  <c r="BP193" i="216"/>
  <c r="EE194" i="216"/>
  <c r="AR194" i="216"/>
  <c r="AJ194" i="216"/>
  <c r="BB195" i="216"/>
  <c r="AT195" i="216"/>
  <c r="EE195" i="216"/>
  <c r="X196" i="216"/>
  <c r="W196" i="216" s="1"/>
  <c r="P196" i="216"/>
  <c r="DJ197" i="216"/>
  <c r="DB197" i="216"/>
  <c r="DT198" i="216"/>
  <c r="DS198" i="216" s="1"/>
  <c r="DL198" i="216"/>
  <c r="T199" i="216"/>
  <c r="BV199" i="216"/>
  <c r="CP199" i="216"/>
  <c r="CH199" i="216"/>
  <c r="BV200" i="216"/>
  <c r="CT200" i="216"/>
  <c r="DZ200" i="216"/>
  <c r="X201" i="216"/>
  <c r="W201" i="216" s="1"/>
  <c r="BP201" i="216"/>
  <c r="ED201" i="216"/>
  <c r="EE202" i="216"/>
  <c r="AH202" i="216"/>
  <c r="Z202" i="216"/>
  <c r="BL202" i="216"/>
  <c r="BZ202" i="216"/>
  <c r="ED202" i="216"/>
  <c r="EC202" i="216" s="1"/>
  <c r="EL203" i="216"/>
  <c r="AH203" i="216"/>
  <c r="BH203" i="216"/>
  <c r="CP203" i="216"/>
  <c r="CH203" i="216"/>
  <c r="CT203" i="216"/>
  <c r="EK203" i="216"/>
  <c r="EK204" i="216"/>
  <c r="AR204" i="216"/>
  <c r="BH204" i="216"/>
  <c r="BR204" i="216"/>
  <c r="CZ204" i="216"/>
  <c r="CR204" i="216"/>
  <c r="DD204" i="216"/>
  <c r="BL205" i="216"/>
  <c r="BK205" i="216" s="1"/>
  <c r="BD205" i="216"/>
  <c r="CP205" i="216"/>
  <c r="DD205" i="216"/>
  <c r="DP205" i="216"/>
  <c r="CB206" i="216"/>
  <c r="CL206" i="216"/>
  <c r="DT206" i="216"/>
  <c r="DS206" i="216" s="1"/>
  <c r="DL206" i="216"/>
  <c r="DZ206" i="216"/>
  <c r="EP206" i="216"/>
  <c r="AR207" i="216"/>
  <c r="AJ207" i="216"/>
  <c r="CF207" i="216"/>
  <c r="BX207" i="216"/>
  <c r="DJ207" i="216"/>
  <c r="AR209" i="216"/>
  <c r="EL210" i="216"/>
  <c r="AR210" i="216"/>
  <c r="AJ210" i="216"/>
  <c r="AV210" i="216"/>
  <c r="CP210" i="216"/>
  <c r="CO210" i="216" s="1"/>
  <c r="EK210" i="216"/>
  <c r="T211" i="216"/>
  <c r="BB211" i="216"/>
  <c r="BA211" i="216" s="1"/>
  <c r="AT211" i="216"/>
  <c r="CZ211" i="216"/>
  <c r="EI212" i="216"/>
  <c r="BL212" i="216"/>
  <c r="BD212" i="216"/>
  <c r="BP212" i="216"/>
  <c r="DZ212" i="216"/>
  <c r="EE213" i="216"/>
  <c r="EJ213" i="216" s="1"/>
  <c r="AD213" i="216"/>
  <c r="AN213" i="216"/>
  <c r="BP213" i="216"/>
  <c r="DT213" i="216"/>
  <c r="X214" i="216"/>
  <c r="W214" i="216" s="1"/>
  <c r="AL214" i="216"/>
  <c r="AX214" i="216"/>
  <c r="CF214" i="216"/>
  <c r="BX214" i="216"/>
  <c r="CJ214" i="216"/>
  <c r="EK214" i="216"/>
  <c r="T215" i="216"/>
  <c r="BB215" i="216"/>
  <c r="AT215" i="216"/>
  <c r="BF215" i="216"/>
  <c r="BR215" i="216"/>
  <c r="CZ215" i="216"/>
  <c r="X216" i="216"/>
  <c r="W216" i="216" s="1"/>
  <c r="P216" i="216"/>
  <c r="AB216" i="216"/>
  <c r="BV216" i="216"/>
  <c r="DZ216" i="216"/>
  <c r="AD217" i="216"/>
  <c r="AN217" i="216"/>
  <c r="BP217" i="216"/>
  <c r="DT217" i="216"/>
  <c r="X218" i="216"/>
  <c r="W218" i="216" s="1"/>
  <c r="AL218" i="216"/>
  <c r="AX218" i="216"/>
  <c r="CF218" i="216"/>
  <c r="BX218" i="216"/>
  <c r="CJ218" i="216"/>
  <c r="EI218" i="216"/>
  <c r="EI219" i="216"/>
  <c r="BF219" i="216"/>
  <c r="CZ219" i="216"/>
  <c r="EI220" i="216"/>
  <c r="BV220" i="216"/>
  <c r="DZ220" i="216"/>
  <c r="EE221" i="216"/>
  <c r="AD221" i="216"/>
  <c r="AN221" i="216"/>
  <c r="BL221" i="216"/>
  <c r="BD221" i="216"/>
  <c r="DI221" i="216"/>
  <c r="DZ221" i="216"/>
  <c r="BH222" i="216"/>
  <c r="CF222" i="216"/>
  <c r="BX222" i="216"/>
  <c r="CL222" i="216"/>
  <c r="T223" i="216"/>
  <c r="AV223" i="216"/>
  <c r="CF223" i="216"/>
  <c r="BX223" i="216"/>
  <c r="DP223" i="216"/>
  <c r="EE223" i="216"/>
  <c r="EG226" i="216"/>
  <c r="BB226" i="216"/>
  <c r="BA226" i="216" s="1"/>
  <c r="CF226" i="216"/>
  <c r="BX226" i="216"/>
  <c r="CL226" i="216"/>
  <c r="EI226" i="216"/>
  <c r="ED227" i="216"/>
  <c r="DV227" i="216"/>
  <c r="AL228" i="216"/>
  <c r="AR228" i="216"/>
  <c r="CZ228" i="216"/>
  <c r="CR228" i="216"/>
  <c r="DF228" i="216"/>
  <c r="BL229" i="216"/>
  <c r="BD229" i="216"/>
  <c r="DI229" i="216"/>
  <c r="DZ229" i="216"/>
  <c r="BF230" i="216"/>
  <c r="BL230" i="216"/>
  <c r="BK231" i="216"/>
  <c r="CO231" i="216"/>
  <c r="BV232" i="216"/>
  <c r="BU232" i="216" s="1"/>
  <c r="DI232" i="216"/>
  <c r="EE233" i="216"/>
  <c r="BZ233" i="216"/>
  <c r="BX233" i="216"/>
  <c r="R234" i="216"/>
  <c r="X234" i="216"/>
  <c r="W234" i="216" s="1"/>
  <c r="AN234" i="216"/>
  <c r="AL234" i="216"/>
  <c r="AX234" i="216"/>
  <c r="EK234" i="216"/>
  <c r="AR235" i="216"/>
  <c r="AJ235" i="216"/>
  <c r="CV235" i="216"/>
  <c r="X236" i="216"/>
  <c r="W236" i="216" s="1"/>
  <c r="P236" i="216"/>
  <c r="AD236" i="216"/>
  <c r="CP236" i="216"/>
  <c r="CO236" i="216" s="1"/>
  <c r="CH236" i="216"/>
  <c r="X237" i="216"/>
  <c r="W237" i="216" s="1"/>
  <c r="P237" i="216"/>
  <c r="CJ237" i="216"/>
  <c r="CP237" i="216"/>
  <c r="DF237" i="216"/>
  <c r="DD237" i="216"/>
  <c r="DT237" i="216"/>
  <c r="EG237" i="216"/>
  <c r="R238" i="216"/>
  <c r="X238" i="216"/>
  <c r="W238" i="216" s="1"/>
  <c r="AN238" i="216"/>
  <c r="AL238" i="216"/>
  <c r="DJ238" i="216"/>
  <c r="DB238" i="216"/>
  <c r="EK238" i="216"/>
  <c r="AR239" i="216"/>
  <c r="AJ239" i="216"/>
  <c r="CT239" i="216"/>
  <c r="CR239" i="216"/>
  <c r="BZ240" i="216"/>
  <c r="CF240" i="216"/>
  <c r="EL241" i="216"/>
  <c r="CF241" i="216"/>
  <c r="DI244" i="216"/>
  <c r="DD244" i="216"/>
  <c r="EG247" i="216"/>
  <c r="BP247" i="216"/>
  <c r="BV247" i="216"/>
  <c r="BH253" i="216"/>
  <c r="CE256" i="216"/>
  <c r="EE256" i="216"/>
  <c r="T258" i="216"/>
  <c r="EK258" i="216"/>
  <c r="R259" i="216"/>
  <c r="T259" i="216"/>
  <c r="EE259" i="216"/>
  <c r="CV268" i="216"/>
  <c r="EK268" i="216"/>
  <c r="DT268" i="216"/>
  <c r="DL268" i="216"/>
  <c r="BR269" i="216"/>
  <c r="EK269" i="216"/>
  <c r="CP269" i="216"/>
  <c r="CH269" i="216"/>
  <c r="AE283" i="216"/>
  <c r="CX283" i="216"/>
  <c r="T280" i="216"/>
  <c r="EK280" i="216"/>
  <c r="P34" i="216"/>
  <c r="X34" i="216"/>
  <c r="W34" i="216" s="1"/>
  <c r="BD34" i="216"/>
  <c r="CR34" i="216"/>
  <c r="AT36" i="216"/>
  <c r="CH36" i="216"/>
  <c r="DV36" i="216"/>
  <c r="R37" i="216"/>
  <c r="Z37" i="216"/>
  <c r="BN37" i="216"/>
  <c r="DB37" i="216"/>
  <c r="EF39" i="216"/>
  <c r="P44" i="216"/>
  <c r="X44" i="216"/>
  <c r="BD44" i="216"/>
  <c r="CR44" i="216"/>
  <c r="AT46" i="216"/>
  <c r="CH46" i="216"/>
  <c r="DV46" i="216"/>
  <c r="T48" i="216"/>
  <c r="BH48" i="216"/>
  <c r="CV48" i="216"/>
  <c r="R50" i="216"/>
  <c r="Z50" i="216"/>
  <c r="BN50" i="216"/>
  <c r="DB50" i="216"/>
  <c r="P52" i="216"/>
  <c r="X52" i="216"/>
  <c r="W52" i="216" s="1"/>
  <c r="BD52" i="216"/>
  <c r="CR52" i="216"/>
  <c r="AT54" i="216"/>
  <c r="CH54" i="216"/>
  <c r="DV54" i="216"/>
  <c r="T56" i="216"/>
  <c r="AJ56" i="216"/>
  <c r="BX56" i="216"/>
  <c r="DL56" i="216"/>
  <c r="R58" i="216"/>
  <c r="Z58" i="216"/>
  <c r="BN58" i="216"/>
  <c r="DB58" i="216"/>
  <c r="P60" i="216"/>
  <c r="X60" i="216"/>
  <c r="W60" i="216" s="1"/>
  <c r="BD60" i="216"/>
  <c r="CR60" i="216"/>
  <c r="AT62" i="216"/>
  <c r="CH62" i="216"/>
  <c r="DV62" i="216"/>
  <c r="EP63" i="216"/>
  <c r="T64" i="216"/>
  <c r="AJ64" i="216"/>
  <c r="BX64" i="216"/>
  <c r="DL64" i="216"/>
  <c r="R66" i="216"/>
  <c r="Z66" i="216"/>
  <c r="BN66" i="216"/>
  <c r="DB66" i="216"/>
  <c r="P68" i="216"/>
  <c r="X68" i="216"/>
  <c r="W68" i="216" s="1"/>
  <c r="BD68" i="216"/>
  <c r="CR68" i="216"/>
  <c r="AT70" i="216"/>
  <c r="CH70" i="216"/>
  <c r="DV70" i="216"/>
  <c r="EP71" i="216"/>
  <c r="T72" i="216"/>
  <c r="AJ72" i="216"/>
  <c r="BP72" i="216"/>
  <c r="BX72" i="216"/>
  <c r="DL72" i="216"/>
  <c r="R74" i="216"/>
  <c r="Z74" i="216"/>
  <c r="BN74" i="216"/>
  <c r="DB74" i="216"/>
  <c r="P76" i="216"/>
  <c r="X76" i="216"/>
  <c r="W76" i="216" s="1"/>
  <c r="BD76" i="216"/>
  <c r="CR76" i="216"/>
  <c r="AD85" i="216"/>
  <c r="AL85" i="216"/>
  <c r="AT85" i="216"/>
  <c r="BB85" i="216"/>
  <c r="BZ85" i="216"/>
  <c r="CH85" i="216"/>
  <c r="CP85" i="216"/>
  <c r="CP93" i="216" s="1"/>
  <c r="DN85" i="216"/>
  <c r="DV85" i="216"/>
  <c r="ED85" i="216"/>
  <c r="ED93" i="216" s="1"/>
  <c r="T87" i="216"/>
  <c r="AJ87" i="216"/>
  <c r="BX87" i="216"/>
  <c r="DL87" i="216"/>
  <c r="R89" i="216"/>
  <c r="Z89" i="216"/>
  <c r="BN89" i="216"/>
  <c r="DB89" i="216"/>
  <c r="EH90" i="216"/>
  <c r="EH91" i="216"/>
  <c r="EH92" i="216"/>
  <c r="P97" i="216"/>
  <c r="X97" i="216"/>
  <c r="W97" i="216" s="1"/>
  <c r="BD97" i="216"/>
  <c r="CR97" i="216"/>
  <c r="AT99" i="216"/>
  <c r="CH99" i="216"/>
  <c r="DV99" i="216"/>
  <c r="EP100" i="216"/>
  <c r="T101" i="216"/>
  <c r="AJ101" i="216"/>
  <c r="BX101" i="216"/>
  <c r="DL101" i="216"/>
  <c r="R103" i="216"/>
  <c r="Z103" i="216"/>
  <c r="BN103" i="216"/>
  <c r="DB103" i="216"/>
  <c r="P105" i="216"/>
  <c r="X105" i="216"/>
  <c r="W105" i="216" s="1"/>
  <c r="BD105" i="216"/>
  <c r="CR105" i="216"/>
  <c r="CH107" i="216"/>
  <c r="DV107" i="216"/>
  <c r="R108" i="216"/>
  <c r="Z108" i="216"/>
  <c r="BN108" i="216"/>
  <c r="DB108" i="216"/>
  <c r="EH109" i="216"/>
  <c r="EH110" i="216"/>
  <c r="AE111" i="216"/>
  <c r="AD111" i="216" s="1"/>
  <c r="AM111" i="216"/>
  <c r="AL111" i="216" s="1"/>
  <c r="AU111" i="216"/>
  <c r="AT111" i="216" s="1"/>
  <c r="BC111" i="216"/>
  <c r="CA111" i="216"/>
  <c r="CI111" i="216"/>
  <c r="CH111" i="216" s="1"/>
  <c r="CQ111" i="216"/>
  <c r="CY111" i="216" s="1"/>
  <c r="DW111" i="216"/>
  <c r="DV111" i="216" s="1"/>
  <c r="R114" i="216"/>
  <c r="Z114" i="216"/>
  <c r="AH114" i="216"/>
  <c r="AH119" i="216" s="1"/>
  <c r="AX114" i="216"/>
  <c r="BF114" i="216"/>
  <c r="BN114" i="216"/>
  <c r="BV114" i="216"/>
  <c r="BV119" i="216" s="1"/>
  <c r="CL114" i="216"/>
  <c r="CT114" i="216"/>
  <c r="DB114" i="216"/>
  <c r="DJ114" i="216"/>
  <c r="DJ119" i="216" s="1"/>
  <c r="DZ114" i="216"/>
  <c r="R124" i="216"/>
  <c r="Z124" i="216"/>
  <c r="BN124" i="216"/>
  <c r="DB124" i="216"/>
  <c r="Q128" i="216"/>
  <c r="P128" i="216" s="1"/>
  <c r="AB131" i="216"/>
  <c r="BP131" i="216"/>
  <c r="CF131" i="216"/>
  <c r="DD131" i="216"/>
  <c r="BA139" i="216"/>
  <c r="DG141" i="216"/>
  <c r="T145" i="216"/>
  <c r="AB145" i="216"/>
  <c r="AJ145" i="216"/>
  <c r="AR145" i="216"/>
  <c r="BH145" i="216"/>
  <c r="BP145" i="216"/>
  <c r="BX145" i="216"/>
  <c r="CF145" i="216"/>
  <c r="CE145" i="216" s="1"/>
  <c r="CE404" i="216" s="1"/>
  <c r="CV145" i="216"/>
  <c r="DD145" i="216"/>
  <c r="DL145" i="216"/>
  <c r="DT145" i="216"/>
  <c r="R147" i="216"/>
  <c r="Z147" i="216"/>
  <c r="BN147" i="216"/>
  <c r="DB147" i="216"/>
  <c r="P149" i="216"/>
  <c r="X149" i="216"/>
  <c r="AV149" i="216"/>
  <c r="BD149" i="216"/>
  <c r="BL149" i="216"/>
  <c r="BL406" i="216" s="1"/>
  <c r="CJ149" i="216"/>
  <c r="CR149" i="216"/>
  <c r="CZ149" i="216"/>
  <c r="CZ406" i="216" s="1"/>
  <c r="DX149" i="216"/>
  <c r="Q153" i="216"/>
  <c r="P153" i="216" s="1"/>
  <c r="T156" i="216"/>
  <c r="AJ156" i="216"/>
  <c r="BX156" i="216"/>
  <c r="DT156" i="216"/>
  <c r="R158" i="216"/>
  <c r="Z158" i="216"/>
  <c r="DB158" i="216"/>
  <c r="P160" i="216"/>
  <c r="X160" i="216"/>
  <c r="W160" i="216" s="1"/>
  <c r="BD160" i="216"/>
  <c r="CR160" i="216"/>
  <c r="AT162" i="216"/>
  <c r="CH162" i="216"/>
  <c r="DV162" i="216"/>
  <c r="EP163" i="216"/>
  <c r="AJ164" i="216"/>
  <c r="BX164" i="216"/>
  <c r="DL164" i="216"/>
  <c r="Z166" i="216"/>
  <c r="AH166" i="216"/>
  <c r="AG166" i="216" s="1"/>
  <c r="AX166" i="216"/>
  <c r="BF166" i="216"/>
  <c r="BN166" i="216"/>
  <c r="BV166" i="216"/>
  <c r="CL166" i="216"/>
  <c r="DB166" i="216"/>
  <c r="DJ166" i="216"/>
  <c r="DI166" i="216" s="1"/>
  <c r="BD168" i="216"/>
  <c r="CR168" i="216"/>
  <c r="AL170" i="216"/>
  <c r="BZ170" i="216"/>
  <c r="EG171" i="216"/>
  <c r="EP171" i="216"/>
  <c r="T172" i="216"/>
  <c r="AB172" i="216"/>
  <c r="BX172" i="216"/>
  <c r="DL172" i="216"/>
  <c r="EH173" i="216"/>
  <c r="EH174" i="216"/>
  <c r="EH175" i="216"/>
  <c r="BC176" i="216"/>
  <c r="EI181" i="216"/>
  <c r="EE186" i="216"/>
  <c r="R187" i="216"/>
  <c r="Z187" i="216"/>
  <c r="BN187" i="216"/>
  <c r="DB187" i="216"/>
  <c r="CU188" i="216"/>
  <c r="DC188" i="216"/>
  <c r="DB188" i="216" s="1"/>
  <c r="DK188" i="216"/>
  <c r="DS188" i="216" s="1"/>
  <c r="EA188" i="216"/>
  <c r="Z191" i="216"/>
  <c r="AP272" i="216"/>
  <c r="BN191" i="216"/>
  <c r="CD272" i="216"/>
  <c r="DB191" i="216"/>
  <c r="DK272" i="216"/>
  <c r="DU272" i="216"/>
  <c r="EC191" i="216"/>
  <c r="EE192" i="216"/>
  <c r="EM192" i="216" s="1"/>
  <c r="AH192" i="216"/>
  <c r="AH272" i="216" s="1"/>
  <c r="Z192" i="216"/>
  <c r="CL192" i="216"/>
  <c r="EE193" i="216"/>
  <c r="EJ193" i="216" s="1"/>
  <c r="AH193" i="216"/>
  <c r="Z193" i="216"/>
  <c r="BR193" i="216"/>
  <c r="EG193" i="216"/>
  <c r="AL194" i="216"/>
  <c r="DJ194" i="216"/>
  <c r="EG195" i="216"/>
  <c r="AV195" i="216"/>
  <c r="DT195" i="216"/>
  <c r="EI196" i="216"/>
  <c r="AX196" i="216"/>
  <c r="CP196" i="216"/>
  <c r="EK197" i="216"/>
  <c r="CF197" i="216"/>
  <c r="DD197" i="216"/>
  <c r="CP198" i="216"/>
  <c r="CJ199" i="216"/>
  <c r="CV200" i="216"/>
  <c r="DF200" i="216"/>
  <c r="AR201" i="216"/>
  <c r="BR201" i="216"/>
  <c r="CB202" i="216"/>
  <c r="CL202" i="216"/>
  <c r="DT202" i="216"/>
  <c r="DL202" i="216"/>
  <c r="BV203" i="216"/>
  <c r="CJ203" i="216"/>
  <c r="ED203" i="216"/>
  <c r="EC203" i="216" s="1"/>
  <c r="DV203" i="216"/>
  <c r="EL204" i="216"/>
  <c r="BB204" i="216"/>
  <c r="BA204" i="216" s="1"/>
  <c r="AT204" i="216"/>
  <c r="CF204" i="216"/>
  <c r="DJ204" i="216"/>
  <c r="EK205" i="216"/>
  <c r="AG205" i="216"/>
  <c r="DF205" i="216"/>
  <c r="EG205" i="216"/>
  <c r="EG206" i="216"/>
  <c r="BV206" i="216"/>
  <c r="BN206" i="216"/>
  <c r="CZ206" i="216"/>
  <c r="DT207" i="216"/>
  <c r="DS207" i="216" s="1"/>
  <c r="DL207" i="216"/>
  <c r="AX208" i="216"/>
  <c r="ED208" i="216"/>
  <c r="EC208" i="216" s="1"/>
  <c r="DV208" i="216"/>
  <c r="AH209" i="216"/>
  <c r="Z209" i="216"/>
  <c r="AL209" i="216"/>
  <c r="AX209" i="216"/>
  <c r="BV209" i="216"/>
  <c r="BU209" i="216" s="1"/>
  <c r="BN209" i="216"/>
  <c r="DT209" i="216"/>
  <c r="DS209" i="216" s="1"/>
  <c r="X210" i="216"/>
  <c r="W210" i="216" s="1"/>
  <c r="AL210" i="216"/>
  <c r="CF210" i="216"/>
  <c r="BX210" i="216"/>
  <c r="ED210" i="216"/>
  <c r="EC210" i="216" s="1"/>
  <c r="EN210" i="216"/>
  <c r="EL211" i="216"/>
  <c r="AH211" i="216"/>
  <c r="BH211" i="216"/>
  <c r="CP211" i="216"/>
  <c r="CH211" i="216"/>
  <c r="CT211" i="216"/>
  <c r="T212" i="216"/>
  <c r="AD212" i="216"/>
  <c r="BF212" i="216"/>
  <c r="DJ212" i="216"/>
  <c r="X213" i="216"/>
  <c r="W213" i="216" s="1"/>
  <c r="P213" i="216"/>
  <c r="BR213" i="216"/>
  <c r="CB213" i="216"/>
  <c r="DJ213" i="216"/>
  <c r="DB213" i="216"/>
  <c r="DN213" i="216"/>
  <c r="DZ213" i="216"/>
  <c r="AN214" i="216"/>
  <c r="BL214" i="216"/>
  <c r="BZ214" i="216"/>
  <c r="ED214" i="216"/>
  <c r="EC214" i="216" s="1"/>
  <c r="EL215" i="216"/>
  <c r="AH215" i="216"/>
  <c r="AV215" i="216"/>
  <c r="CP215" i="216"/>
  <c r="CH215" i="216"/>
  <c r="CT215" i="216"/>
  <c r="EI216" i="216"/>
  <c r="BP216" i="216"/>
  <c r="X217" i="216"/>
  <c r="W217" i="216" s="1"/>
  <c r="P217" i="216"/>
  <c r="CB217" i="216"/>
  <c r="DJ217" i="216"/>
  <c r="DB217" i="216"/>
  <c r="DN217" i="216"/>
  <c r="DZ217" i="216"/>
  <c r="AN218" i="216"/>
  <c r="BL218" i="216"/>
  <c r="BZ218" i="216"/>
  <c r="ED218" i="216"/>
  <c r="EC218" i="216" s="1"/>
  <c r="EK218" i="216"/>
  <c r="T219" i="216"/>
  <c r="BB219" i="216"/>
  <c r="BA219" i="216" s="1"/>
  <c r="AT219" i="216"/>
  <c r="CT219" i="216"/>
  <c r="T220" i="216"/>
  <c r="AD220" i="216"/>
  <c r="BL220" i="216"/>
  <c r="BD220" i="216"/>
  <c r="BP220" i="216"/>
  <c r="X221" i="216"/>
  <c r="W221" i="216" s="1"/>
  <c r="P221" i="216"/>
  <c r="BU221" i="216"/>
  <c r="EG222" i="216"/>
  <c r="BB222" i="216"/>
  <c r="BZ222" i="216"/>
  <c r="EK223" i="216"/>
  <c r="EJ223" i="216" s="1"/>
  <c r="BV224" i="216"/>
  <c r="BZ224" i="216"/>
  <c r="CF224" i="216"/>
  <c r="AH225" i="216"/>
  <c r="Z225" i="216"/>
  <c r="AN225" i="216"/>
  <c r="BL225" i="216"/>
  <c r="BK225" i="216" s="1"/>
  <c r="BD225" i="216"/>
  <c r="DT225" i="216"/>
  <c r="DS225" i="216" s="1"/>
  <c r="R226" i="216"/>
  <c r="X226" i="216"/>
  <c r="W226" i="216" s="1"/>
  <c r="AX226" i="216"/>
  <c r="BZ226" i="216"/>
  <c r="DJ226" i="216"/>
  <c r="DI226" i="216" s="1"/>
  <c r="DB226" i="216"/>
  <c r="EK226" i="216"/>
  <c r="AR227" i="216"/>
  <c r="AJ227" i="216"/>
  <c r="DF227" i="216"/>
  <c r="DX227" i="216"/>
  <c r="BL228" i="216"/>
  <c r="BD228" i="216"/>
  <c r="BR228" i="216"/>
  <c r="CT228" i="216"/>
  <c r="AH229" i="216"/>
  <c r="Z229" i="216"/>
  <c r="AN229" i="216"/>
  <c r="EG230" i="216"/>
  <c r="BB230" i="216"/>
  <c r="BA230" i="216" s="1"/>
  <c r="CF230" i="216"/>
  <c r="BX230" i="216"/>
  <c r="CL230" i="216"/>
  <c r="EK230" i="216"/>
  <c r="EJ230" i="216" s="1"/>
  <c r="AR231" i="216"/>
  <c r="AJ231" i="216"/>
  <c r="CB231" i="216"/>
  <c r="DF231" i="216"/>
  <c r="ED231" i="216"/>
  <c r="EC231" i="216" s="1"/>
  <c r="DV231" i="216"/>
  <c r="AH232" i="216"/>
  <c r="AL232" i="216"/>
  <c r="AR232" i="216"/>
  <c r="BR232" i="216"/>
  <c r="CP232" i="216"/>
  <c r="CH232" i="216"/>
  <c r="X233" i="216"/>
  <c r="W233" i="216" s="1"/>
  <c r="P233" i="216"/>
  <c r="CJ233" i="216"/>
  <c r="CP233" i="216"/>
  <c r="DF233" i="216"/>
  <c r="DD233" i="216"/>
  <c r="DP233" i="216"/>
  <c r="EI233" i="216"/>
  <c r="AR234" i="216"/>
  <c r="AJ234" i="216"/>
  <c r="DJ234" i="216"/>
  <c r="DB234" i="216"/>
  <c r="BR235" i="216"/>
  <c r="CP235" i="216"/>
  <c r="CO235" i="216" s="1"/>
  <c r="CH235" i="216"/>
  <c r="DT235" i="216"/>
  <c r="DS235" i="216" s="1"/>
  <c r="DL235" i="216"/>
  <c r="EI236" i="216"/>
  <c r="DJ237" i="216"/>
  <c r="DB237" i="216"/>
  <c r="DP237" i="216"/>
  <c r="EI237" i="216"/>
  <c r="AR238" i="216"/>
  <c r="AJ238" i="216"/>
  <c r="AX238" i="216"/>
  <c r="BV238" i="216"/>
  <c r="BN238" i="216"/>
  <c r="DX238" i="216"/>
  <c r="DV238" i="216"/>
  <c r="DD239" i="216"/>
  <c r="DJ239" i="216"/>
  <c r="DZ239" i="216"/>
  <c r="DX239" i="216"/>
  <c r="AB240" i="216"/>
  <c r="Z240" i="216"/>
  <c r="BV240" i="216"/>
  <c r="DL240" i="216"/>
  <c r="DT240" i="216"/>
  <c r="W241" i="216"/>
  <c r="DZ246" i="216"/>
  <c r="Z254" i="216"/>
  <c r="AH254" i="216"/>
  <c r="CZ254" i="216"/>
  <c r="CT254" i="216"/>
  <c r="BH266" i="216"/>
  <c r="BK266" i="216"/>
  <c r="EE276" i="216"/>
  <c r="EJ276" i="216" s="1"/>
  <c r="EF279" i="216"/>
  <c r="EG44" i="216"/>
  <c r="DV59" i="216"/>
  <c r="T61" i="216"/>
  <c r="AJ61" i="216"/>
  <c r="BX61" i="216"/>
  <c r="DL61" i="216"/>
  <c r="R63" i="216"/>
  <c r="Z63" i="216"/>
  <c r="BN63" i="216"/>
  <c r="DB63" i="216"/>
  <c r="P65" i="216"/>
  <c r="X65" i="216"/>
  <c r="W65" i="216" s="1"/>
  <c r="BD65" i="216"/>
  <c r="CR65" i="216"/>
  <c r="AT67" i="216"/>
  <c r="CH67" i="216"/>
  <c r="DV67" i="216"/>
  <c r="T69" i="216"/>
  <c r="AJ69" i="216"/>
  <c r="BX69" i="216"/>
  <c r="DL69" i="216"/>
  <c r="R71" i="216"/>
  <c r="Z71" i="216"/>
  <c r="BN71" i="216"/>
  <c r="DB71" i="216"/>
  <c r="P73" i="216"/>
  <c r="X73" i="216"/>
  <c r="W73" i="216" s="1"/>
  <c r="BD73" i="216"/>
  <c r="CR73" i="216"/>
  <c r="AT75" i="216"/>
  <c r="CH75" i="216"/>
  <c r="DV75" i="216"/>
  <c r="T77" i="216"/>
  <c r="AJ77" i="216"/>
  <c r="BX77" i="216"/>
  <c r="DL77" i="216"/>
  <c r="AT78" i="216"/>
  <c r="CH78" i="216"/>
  <c r="DV78" i="216"/>
  <c r="R79" i="216"/>
  <c r="Z79" i="216"/>
  <c r="BN79" i="216"/>
  <c r="DB79" i="216"/>
  <c r="EH80" i="216"/>
  <c r="EH81" i="216"/>
  <c r="R86" i="216"/>
  <c r="Z86" i="216"/>
  <c r="BN86" i="216"/>
  <c r="DB86" i="216"/>
  <c r="P88" i="216"/>
  <c r="X88" i="216"/>
  <c r="W88" i="216" s="1"/>
  <c r="BD88" i="216"/>
  <c r="CR88" i="216"/>
  <c r="AT96" i="216"/>
  <c r="CH96" i="216"/>
  <c r="DV96" i="216"/>
  <c r="T98" i="216"/>
  <c r="AJ98" i="216"/>
  <c r="BX98" i="216"/>
  <c r="DL98" i="216"/>
  <c r="R100" i="216"/>
  <c r="Z100" i="216"/>
  <c r="BN100" i="216"/>
  <c r="DB100" i="216"/>
  <c r="P102" i="216"/>
  <c r="X102" i="216"/>
  <c r="W102" i="216" s="1"/>
  <c r="BD102" i="216"/>
  <c r="CR102" i="216"/>
  <c r="AT104" i="216"/>
  <c r="CH104" i="216"/>
  <c r="DV104" i="216"/>
  <c r="T106" i="216"/>
  <c r="AJ106" i="216"/>
  <c r="BX106" i="216"/>
  <c r="DL106" i="216"/>
  <c r="O111" i="216"/>
  <c r="AT115" i="216"/>
  <c r="CH115" i="216"/>
  <c r="DV115" i="216"/>
  <c r="P123" i="216"/>
  <c r="X123" i="216"/>
  <c r="BD123" i="216"/>
  <c r="CR123" i="216"/>
  <c r="AT125" i="216"/>
  <c r="CH125" i="216"/>
  <c r="DV125" i="216"/>
  <c r="P132" i="216"/>
  <c r="X132" i="216"/>
  <c r="W132" i="216" s="1"/>
  <c r="BD132" i="216"/>
  <c r="CR132" i="216"/>
  <c r="EH133" i="216"/>
  <c r="EH134" i="216"/>
  <c r="EH135" i="216"/>
  <c r="BC136" i="216"/>
  <c r="AT139" i="216"/>
  <c r="CH139" i="216"/>
  <c r="CP139" i="216"/>
  <c r="CO139" i="216" s="1"/>
  <c r="DV139" i="216"/>
  <c r="CQ141" i="216"/>
  <c r="CY141" i="216" s="1"/>
  <c r="EC145" i="216"/>
  <c r="EC404" i="216" s="1"/>
  <c r="EK145" i="216"/>
  <c r="P146" i="216"/>
  <c r="X146" i="216"/>
  <c r="W146" i="216" s="1"/>
  <c r="BD146" i="216"/>
  <c r="CR146" i="216"/>
  <c r="AL148" i="216"/>
  <c r="AT148" i="216"/>
  <c r="BB148" i="216"/>
  <c r="BB405" i="216" s="1"/>
  <c r="BZ148" i="216"/>
  <c r="CH148" i="216"/>
  <c r="CP148" i="216"/>
  <c r="CP405" i="216" s="1"/>
  <c r="DN148" i="216"/>
  <c r="DV148" i="216"/>
  <c r="EL148" i="216"/>
  <c r="EL405" i="216" s="1"/>
  <c r="BU149" i="216"/>
  <c r="BU406" i="216" s="1"/>
  <c r="EG149" i="216"/>
  <c r="EF150" i="216"/>
  <c r="AA153" i="216"/>
  <c r="Z153" i="216" s="1"/>
  <c r="AI153" i="216"/>
  <c r="AY153" i="216"/>
  <c r="BG153" i="216"/>
  <c r="BF153" i="216" s="1"/>
  <c r="BO153" i="216"/>
  <c r="BW153" i="216"/>
  <c r="CM153" i="216"/>
  <c r="CU153" i="216"/>
  <c r="CT153" i="216" s="1"/>
  <c r="DC153" i="216"/>
  <c r="DB153" i="216" s="1"/>
  <c r="DK153" i="216"/>
  <c r="EA153" i="216"/>
  <c r="P157" i="216"/>
  <c r="X157" i="216"/>
  <c r="W157" i="216" s="1"/>
  <c r="BD157" i="216"/>
  <c r="AT159" i="216"/>
  <c r="CH159" i="216"/>
  <c r="DV159" i="216"/>
  <c r="T161" i="216"/>
  <c r="AJ161" i="216"/>
  <c r="BX161" i="216"/>
  <c r="DL161" i="216"/>
  <c r="R163" i="216"/>
  <c r="Z163" i="216"/>
  <c r="BN163" i="216"/>
  <c r="DB163" i="216"/>
  <c r="P165" i="216"/>
  <c r="X165" i="216"/>
  <c r="W165" i="216" s="1"/>
  <c r="BD165" i="216"/>
  <c r="CR165" i="216"/>
  <c r="AT167" i="216"/>
  <c r="CH167" i="216"/>
  <c r="DV167" i="216"/>
  <c r="T169" i="216"/>
  <c r="AJ169" i="216"/>
  <c r="BX169" i="216"/>
  <c r="DL169" i="216"/>
  <c r="R171" i="216"/>
  <c r="Z171" i="216"/>
  <c r="AH171" i="216"/>
  <c r="AG171" i="216" s="1"/>
  <c r="AX171" i="216"/>
  <c r="BF171" i="216"/>
  <c r="BN171" i="216"/>
  <c r="BV171" i="216"/>
  <c r="CL171" i="216"/>
  <c r="CT171" i="216"/>
  <c r="DB171" i="216"/>
  <c r="DJ171" i="216"/>
  <c r="DZ171" i="216"/>
  <c r="O176" i="216"/>
  <c r="T181" i="216"/>
  <c r="AB181" i="216"/>
  <c r="AJ181" i="216"/>
  <c r="AR181" i="216"/>
  <c r="AR183" i="216" s="1"/>
  <c r="BX181" i="216"/>
  <c r="DL181" i="216"/>
  <c r="P182" i="216"/>
  <c r="X182" i="216"/>
  <c r="W182" i="216" s="1"/>
  <c r="BD182" i="216"/>
  <c r="CR182" i="216"/>
  <c r="AS183" i="216"/>
  <c r="BA183" i="216" s="1"/>
  <c r="P186" i="216"/>
  <c r="X186" i="216"/>
  <c r="AN186" i="216"/>
  <c r="AV186" i="216"/>
  <c r="BD186" i="216"/>
  <c r="CR186" i="216"/>
  <c r="S272" i="216"/>
  <c r="AA272" i="216"/>
  <c r="AI272" i="216"/>
  <c r="AQ191" i="216"/>
  <c r="AY272" i="216"/>
  <c r="BG272" i="216"/>
  <c r="BO272" i="216"/>
  <c r="BW272" i="216"/>
  <c r="CE191" i="216"/>
  <c r="CM272" i="216"/>
  <c r="CU272" i="216"/>
  <c r="DC272" i="216"/>
  <c r="DM272" i="216"/>
  <c r="DL272" i="216" s="1"/>
  <c r="DT191" i="216"/>
  <c r="DL191" i="216"/>
  <c r="DV191" i="216"/>
  <c r="AB193" i="216"/>
  <c r="EG194" i="216"/>
  <c r="ED194" i="216"/>
  <c r="EC194" i="216" s="1"/>
  <c r="DJ196" i="216"/>
  <c r="BV197" i="216"/>
  <c r="BN197" i="216"/>
  <c r="DZ197" i="216"/>
  <c r="EP197" i="216"/>
  <c r="CF198" i="216"/>
  <c r="BX198" i="216"/>
  <c r="EL199" i="216"/>
  <c r="BL200" i="216"/>
  <c r="BD200" i="216"/>
  <c r="EE201" i="216"/>
  <c r="AH201" i="216"/>
  <c r="Z201" i="216"/>
  <c r="EG202" i="216"/>
  <c r="BV202" i="216"/>
  <c r="BN202" i="216"/>
  <c r="DN202" i="216"/>
  <c r="DZ202" i="216"/>
  <c r="EP202" i="216"/>
  <c r="AR203" i="216"/>
  <c r="AJ203" i="216"/>
  <c r="CL203" i="216"/>
  <c r="CV203" i="216"/>
  <c r="BU204" i="216"/>
  <c r="CV204" i="216"/>
  <c r="DF204" i="216"/>
  <c r="BH205" i="216"/>
  <c r="CZ205" i="216"/>
  <c r="CR205" i="216"/>
  <c r="EI205" i="216"/>
  <c r="EG207" i="216"/>
  <c r="BA207" i="216"/>
  <c r="AH208" i="216"/>
  <c r="BV208" i="216"/>
  <c r="BU208" i="216" s="1"/>
  <c r="AB209" i="216"/>
  <c r="CB209" i="216"/>
  <c r="DJ209" i="216"/>
  <c r="DB209" i="216"/>
  <c r="AN210" i="216"/>
  <c r="AX210" i="216"/>
  <c r="BZ210" i="216"/>
  <c r="CL210" i="216"/>
  <c r="DT210" i="216"/>
  <c r="DL210" i="216"/>
  <c r="BV211" i="216"/>
  <c r="CJ211" i="216"/>
  <c r="EK211" i="216"/>
  <c r="EJ211" i="216" s="1"/>
  <c r="EK212" i="216"/>
  <c r="AR212" i="216"/>
  <c r="BH212" i="216"/>
  <c r="BR212" i="216"/>
  <c r="CZ212" i="216"/>
  <c r="CR212" i="216"/>
  <c r="BL213" i="216"/>
  <c r="BD213" i="216"/>
  <c r="CP213" i="216"/>
  <c r="DD213" i="216"/>
  <c r="EE214" i="216"/>
  <c r="AH214" i="216"/>
  <c r="Z214" i="216"/>
  <c r="CB214" i="216"/>
  <c r="CL214" i="216"/>
  <c r="DT214" i="216"/>
  <c r="DL214" i="216"/>
  <c r="AX215" i="216"/>
  <c r="BH215" i="216"/>
  <c r="CJ215" i="216"/>
  <c r="T216" i="216"/>
  <c r="AD216" i="216"/>
  <c r="BL216" i="216"/>
  <c r="BK216" i="216" s="1"/>
  <c r="BD216" i="216"/>
  <c r="DJ216" i="216"/>
  <c r="BL217" i="216"/>
  <c r="BD217" i="216"/>
  <c r="CP217" i="216"/>
  <c r="DD217" i="216"/>
  <c r="EE218" i="216"/>
  <c r="AH218" i="216"/>
  <c r="Z218" i="216"/>
  <c r="CB218" i="216"/>
  <c r="CL218" i="216"/>
  <c r="DT218" i="216"/>
  <c r="DL218" i="216"/>
  <c r="EL219" i="216"/>
  <c r="AH219" i="216"/>
  <c r="BH219" i="216"/>
  <c r="CP219" i="216"/>
  <c r="CO219" i="216" s="1"/>
  <c r="CH219" i="216"/>
  <c r="ED219" i="216"/>
  <c r="EC219" i="216" s="1"/>
  <c r="DV219" i="216"/>
  <c r="EK219" i="216"/>
  <c r="EJ219" i="216" s="1"/>
  <c r="EK220" i="216"/>
  <c r="AR220" i="216"/>
  <c r="BF220" i="216"/>
  <c r="DJ220" i="216"/>
  <c r="DT221" i="216"/>
  <c r="DS221" i="216" s="1"/>
  <c r="EG221" i="216"/>
  <c r="R222" i="216"/>
  <c r="X222" i="216"/>
  <c r="W222" i="216" s="1"/>
  <c r="CO222" i="216"/>
  <c r="DJ222" i="216"/>
  <c r="DB222" i="216"/>
  <c r="EK222" i="216"/>
  <c r="AR223" i="216"/>
  <c r="AJ223" i="216"/>
  <c r="CZ224" i="216"/>
  <c r="CR224" i="216"/>
  <c r="DF224" i="216"/>
  <c r="ED224" i="216"/>
  <c r="EC224" i="216" s="1"/>
  <c r="DV224" i="216"/>
  <c r="AB225" i="216"/>
  <c r="DP225" i="216"/>
  <c r="EI225" i="216"/>
  <c r="AR226" i="216"/>
  <c r="AJ226" i="216"/>
  <c r="CO226" i="216"/>
  <c r="BA227" i="216"/>
  <c r="CZ227" i="216"/>
  <c r="X228" i="216"/>
  <c r="W228" i="216" s="1"/>
  <c r="P228" i="216"/>
  <c r="AD228" i="216"/>
  <c r="BF228" i="216"/>
  <c r="DI228" i="216"/>
  <c r="ED228" i="216"/>
  <c r="DV228" i="216"/>
  <c r="AB229" i="216"/>
  <c r="BH229" i="216"/>
  <c r="DT229" i="216"/>
  <c r="DS229" i="216" s="1"/>
  <c r="R230" i="216"/>
  <c r="X230" i="216"/>
  <c r="W230" i="216" s="1"/>
  <c r="AX230" i="216"/>
  <c r="BZ230" i="216"/>
  <c r="DJ230" i="216"/>
  <c r="DI230" i="216" s="1"/>
  <c r="DB230" i="216"/>
  <c r="BA231" i="216"/>
  <c r="CZ231" i="216"/>
  <c r="BL232" i="216"/>
  <c r="BD232" i="216"/>
  <c r="CY232" i="216"/>
  <c r="BR233" i="216"/>
  <c r="BP233" i="216"/>
  <c r="CF233" i="216"/>
  <c r="DJ233" i="216"/>
  <c r="DB233" i="216"/>
  <c r="BV234" i="216"/>
  <c r="BN234" i="216"/>
  <c r="EK236" i="216"/>
  <c r="BB236" i="216"/>
  <c r="AT236" i="216"/>
  <c r="DD236" i="216"/>
  <c r="DB236" i="216"/>
  <c r="EE236" i="216"/>
  <c r="EK237" i="216"/>
  <c r="EJ237" i="216" s="1"/>
  <c r="AL237" i="216"/>
  <c r="AJ237" i="216"/>
  <c r="CB237" i="216"/>
  <c r="BP239" i="216"/>
  <c r="BV239" i="216"/>
  <c r="CL239" i="216"/>
  <c r="CJ239" i="216"/>
  <c r="CZ239" i="216"/>
  <c r="ED239" i="216"/>
  <c r="EC239" i="216" s="1"/>
  <c r="DV239" i="216"/>
  <c r="AL240" i="216"/>
  <c r="AR240" i="216"/>
  <c r="BR240" i="216"/>
  <c r="EE244" i="216"/>
  <c r="CY248" i="216"/>
  <c r="CV248" i="216"/>
  <c r="EE251" i="216"/>
  <c r="CL251" i="216"/>
  <c r="BH252" i="216"/>
  <c r="CP257" i="216"/>
  <c r="CJ257" i="216"/>
  <c r="DZ263" i="216"/>
  <c r="EP263" i="216"/>
  <c r="EE267" i="216"/>
  <c r="BF268" i="216"/>
  <c r="BL268" i="216"/>
  <c r="CB268" i="216"/>
  <c r="CE268" i="216"/>
  <c r="AB269" i="216"/>
  <c r="AH269" i="216"/>
  <c r="AX269" i="216"/>
  <c r="BA269" i="216"/>
  <c r="EE269" i="216"/>
  <c r="BQ283" i="216"/>
  <c r="BP276" i="216"/>
  <c r="BV276" i="216"/>
  <c r="CG283" i="216"/>
  <c r="CL276" i="216"/>
  <c r="EF277" i="216"/>
  <c r="DN279" i="216"/>
  <c r="DT279" i="216"/>
  <c r="X62" i="216"/>
  <c r="W62" i="216" s="1"/>
  <c r="AD64" i="216"/>
  <c r="BR64" i="216"/>
  <c r="DF64" i="216"/>
  <c r="T66" i="216"/>
  <c r="BH66" i="216"/>
  <c r="AX68" i="216"/>
  <c r="CL68" i="216"/>
  <c r="X70" i="216"/>
  <c r="W70" i="216" s="1"/>
  <c r="AN70" i="216"/>
  <c r="CB70" i="216"/>
  <c r="DP70" i="216"/>
  <c r="AD72" i="216"/>
  <c r="BR72" i="216"/>
  <c r="T74" i="216"/>
  <c r="BH74" i="216"/>
  <c r="CV74" i="216"/>
  <c r="AX76" i="216"/>
  <c r="CL76" i="216"/>
  <c r="X85" i="216"/>
  <c r="AN85" i="216"/>
  <c r="CB85" i="216"/>
  <c r="CZ85" i="216"/>
  <c r="CZ93" i="216" s="1"/>
  <c r="DP85" i="216"/>
  <c r="AD87" i="216"/>
  <c r="T89" i="216"/>
  <c r="BH89" i="216"/>
  <c r="CV89" i="216"/>
  <c r="EJ90" i="216"/>
  <c r="EJ91" i="216"/>
  <c r="EJ92" i="216"/>
  <c r="AX97" i="216"/>
  <c r="CL97" i="216"/>
  <c r="DZ97" i="216"/>
  <c r="X99" i="216"/>
  <c r="W99" i="216" s="1"/>
  <c r="AN99" i="216"/>
  <c r="CB99" i="216"/>
  <c r="AD101" i="216"/>
  <c r="BR101" i="216"/>
  <c r="DF101" i="216"/>
  <c r="T103" i="216"/>
  <c r="BH103" i="216"/>
  <c r="CV103" i="216"/>
  <c r="AX105" i="216"/>
  <c r="CL105" i="216"/>
  <c r="DZ105" i="216"/>
  <c r="X107" i="216"/>
  <c r="W107" i="216" s="1"/>
  <c r="AN107" i="216"/>
  <c r="CB107" i="216"/>
  <c r="T108" i="216"/>
  <c r="BH108" i="216"/>
  <c r="CV108" i="216"/>
  <c r="EJ109" i="216"/>
  <c r="EJ110" i="216"/>
  <c r="T114" i="216"/>
  <c r="AR114" i="216"/>
  <c r="AR119" i="216" s="1"/>
  <c r="BH114" i="216"/>
  <c r="CF114" i="216"/>
  <c r="CF119" i="216" s="1"/>
  <c r="CE119" i="216" s="1"/>
  <c r="CV114" i="216"/>
  <c r="DT114" i="216"/>
  <c r="T124" i="216"/>
  <c r="AR124" i="216"/>
  <c r="AQ124" i="216" s="1"/>
  <c r="CF124" i="216"/>
  <c r="CE124" i="216" s="1"/>
  <c r="CV124" i="216"/>
  <c r="AD131" i="216"/>
  <c r="BB131" i="216"/>
  <c r="BB136" i="216" s="1"/>
  <c r="CP131" i="216"/>
  <c r="CP136" i="216" s="1"/>
  <c r="DF131" i="216"/>
  <c r="ED131" i="216"/>
  <c r="AD145" i="216"/>
  <c r="BB145" i="216"/>
  <c r="BR145" i="216"/>
  <c r="CP145" i="216"/>
  <c r="CO145" i="216" s="1"/>
  <c r="CO404" i="216" s="1"/>
  <c r="DF145" i="216"/>
  <c r="ED145" i="216"/>
  <c r="EL145" i="216"/>
  <c r="T147" i="216"/>
  <c r="AR147" i="216"/>
  <c r="AQ147" i="216" s="1"/>
  <c r="BH147" i="216"/>
  <c r="CF147" i="216"/>
  <c r="CE147" i="216" s="1"/>
  <c r="BK148" i="216"/>
  <c r="BK405" i="216" s="1"/>
  <c r="CY148" i="216"/>
  <c r="CY405" i="216" s="1"/>
  <c r="EE148" i="216"/>
  <c r="AH149" i="216"/>
  <c r="AH406" i="216" s="1"/>
  <c r="AX149" i="216"/>
  <c r="DJ149" i="216"/>
  <c r="DJ406" i="216" s="1"/>
  <c r="AD156" i="216"/>
  <c r="BB156" i="216"/>
  <c r="ED156" i="216"/>
  <c r="EC156" i="216" s="1"/>
  <c r="T158" i="216"/>
  <c r="AX160" i="216"/>
  <c r="CL160" i="216"/>
  <c r="DZ160" i="216"/>
  <c r="X162" i="216"/>
  <c r="W162" i="216" s="1"/>
  <c r="AN162" i="216"/>
  <c r="CB162" i="216"/>
  <c r="DP162" i="216"/>
  <c r="T166" i="216"/>
  <c r="AR166" i="216"/>
  <c r="AR407" i="216" s="1"/>
  <c r="BH166" i="216"/>
  <c r="CF166" i="216"/>
  <c r="CF407" i="216" s="1"/>
  <c r="CV166" i="216"/>
  <c r="AX168" i="216"/>
  <c r="CL168" i="216"/>
  <c r="X170" i="216"/>
  <c r="W170" i="216" s="1"/>
  <c r="CB170" i="216"/>
  <c r="EI171" i="216"/>
  <c r="EJ173" i="216"/>
  <c r="EJ174" i="216"/>
  <c r="EJ175" i="216"/>
  <c r="Y176" i="216"/>
  <c r="BM176" i="216"/>
  <c r="EK181" i="216"/>
  <c r="EP182" i="216"/>
  <c r="AG186" i="216"/>
  <c r="EG186" i="216"/>
  <c r="EP186" i="216"/>
  <c r="T187" i="216"/>
  <c r="BH187" i="216"/>
  <c r="CV187" i="216"/>
  <c r="AZ272" i="216"/>
  <c r="CN272" i="216"/>
  <c r="DE272" i="216"/>
  <c r="DD272" i="216" s="1"/>
  <c r="DD191" i="216"/>
  <c r="EG192" i="216"/>
  <c r="AX192" i="216"/>
  <c r="DT192" i="216"/>
  <c r="DL192" i="216"/>
  <c r="DT193" i="216"/>
  <c r="DS193" i="216" s="1"/>
  <c r="DT194" i="216"/>
  <c r="DL194" i="216"/>
  <c r="EK194" i="216"/>
  <c r="EI195" i="216"/>
  <c r="ED195" i="216"/>
  <c r="EC195" i="216" s="1"/>
  <c r="DV195" i="216"/>
  <c r="EK195" i="216"/>
  <c r="EJ195" i="216" s="1"/>
  <c r="EK196" i="216"/>
  <c r="CZ196" i="216"/>
  <c r="CR196" i="216"/>
  <c r="DZ196" i="216"/>
  <c r="EL198" i="216"/>
  <c r="AH200" i="216"/>
  <c r="DT201" i="216"/>
  <c r="EI201" i="216"/>
  <c r="CF203" i="216"/>
  <c r="BX203" i="216"/>
  <c r="AX204" i="216"/>
  <c r="BK204" i="216"/>
  <c r="CP204" i="216"/>
  <c r="CH204" i="216"/>
  <c r="AR205" i="216"/>
  <c r="BB206" i="216"/>
  <c r="BA206" i="216" s="1"/>
  <c r="DJ206" i="216"/>
  <c r="DB206" i="216"/>
  <c r="DP207" i="216"/>
  <c r="X208" i="216"/>
  <c r="W208" i="216" s="1"/>
  <c r="P208" i="216"/>
  <c r="DJ208" i="216"/>
  <c r="EE209" i="216"/>
  <c r="AN209" i="216"/>
  <c r="DP209" i="216"/>
  <c r="EE210" i="216"/>
  <c r="EF210" i="216" s="1"/>
  <c r="AH210" i="216"/>
  <c r="Z210" i="216"/>
  <c r="DZ210" i="216"/>
  <c r="EP210" i="216"/>
  <c r="AR211" i="216"/>
  <c r="AJ211" i="216"/>
  <c r="CV211" i="216"/>
  <c r="ED211" i="216"/>
  <c r="EC211" i="216" s="1"/>
  <c r="DV211" i="216"/>
  <c r="BB212" i="216"/>
  <c r="BA212" i="216" s="1"/>
  <c r="AT212" i="216"/>
  <c r="EG212" i="216"/>
  <c r="DP213" i="216"/>
  <c r="BV214" i="216"/>
  <c r="BN214" i="216"/>
  <c r="DZ214" i="216"/>
  <c r="EP214" i="216"/>
  <c r="AR215" i="216"/>
  <c r="AJ215" i="216"/>
  <c r="CV215" i="216"/>
  <c r="ED215" i="216"/>
  <c r="EC215" i="216" s="1"/>
  <c r="DV215" i="216"/>
  <c r="EK215" i="216"/>
  <c r="EJ215" i="216" s="1"/>
  <c r="EK216" i="216"/>
  <c r="BR216" i="216"/>
  <c r="CZ216" i="216"/>
  <c r="CR216" i="216"/>
  <c r="DP216" i="216"/>
  <c r="EK217" i="216"/>
  <c r="DP217" i="216"/>
  <c r="BV218" i="216"/>
  <c r="BN218" i="216"/>
  <c r="CV219" i="216"/>
  <c r="EL220" i="216"/>
  <c r="BR220" i="216"/>
  <c r="CZ220" i="216"/>
  <c r="CR220" i="216"/>
  <c r="DP220" i="216"/>
  <c r="EG220" i="216"/>
  <c r="EK221" i="216"/>
  <c r="EJ221" i="216" s="1"/>
  <c r="CF221" i="216"/>
  <c r="CJ221" i="216"/>
  <c r="CP221" i="216"/>
  <c r="DP221" i="216"/>
  <c r="AR222" i="216"/>
  <c r="AJ222" i="216"/>
  <c r="BV222" i="216"/>
  <c r="BN222" i="216"/>
  <c r="BA223" i="216"/>
  <c r="CZ223" i="216"/>
  <c r="DD223" i="216"/>
  <c r="DJ223" i="216"/>
  <c r="ED223" i="216"/>
  <c r="DV223" i="216"/>
  <c r="AH224" i="216"/>
  <c r="AL224" i="216"/>
  <c r="AR224" i="216"/>
  <c r="EE225" i="216"/>
  <c r="AQ225" i="216"/>
  <c r="CJ225" i="216"/>
  <c r="CP225" i="216"/>
  <c r="EP225" i="216"/>
  <c r="BV226" i="216"/>
  <c r="BN226" i="216"/>
  <c r="DF226" i="216"/>
  <c r="ED226" i="216"/>
  <c r="EC226" i="216" s="1"/>
  <c r="BP227" i="216"/>
  <c r="BV227" i="216"/>
  <c r="DT227" i="216"/>
  <c r="DS227" i="216" s="1"/>
  <c r="DL227" i="216"/>
  <c r="EI228" i="216"/>
  <c r="CP228" i="216"/>
  <c r="CH228" i="216"/>
  <c r="EE229" i="216"/>
  <c r="EF229" i="216" s="1"/>
  <c r="CF229" i="216"/>
  <c r="CJ229" i="216"/>
  <c r="CP229" i="216"/>
  <c r="EI229" i="216"/>
  <c r="AR230" i="216"/>
  <c r="AJ230" i="216"/>
  <c r="X232" i="216"/>
  <c r="W232" i="216" s="1"/>
  <c r="P232" i="216"/>
  <c r="EJ233" i="216"/>
  <c r="AL233" i="216"/>
  <c r="AJ233" i="216"/>
  <c r="AX233" i="216"/>
  <c r="BV233" i="216"/>
  <c r="BN233" i="216"/>
  <c r="R235" i="216"/>
  <c r="P235" i="216"/>
  <c r="EE235" i="216"/>
  <c r="BP236" i="216"/>
  <c r="BN236" i="216"/>
  <c r="DN236" i="216"/>
  <c r="DT236" i="216"/>
  <c r="EG236" i="216"/>
  <c r="AV237" i="216"/>
  <c r="BB237" i="216"/>
  <c r="CJ238" i="216"/>
  <c r="CH238" i="216"/>
  <c r="ED238" i="216"/>
  <c r="EC238" i="216" s="1"/>
  <c r="R239" i="216"/>
  <c r="P239" i="216"/>
  <c r="CP239" i="216"/>
  <c r="CH239" i="216"/>
  <c r="T240" i="216"/>
  <c r="EE240" i="216"/>
  <c r="R240" i="216"/>
  <c r="AH240" i="216"/>
  <c r="BL240" i="216"/>
  <c r="BK240" i="216" s="1"/>
  <c r="BD240" i="216"/>
  <c r="EG242" i="216"/>
  <c r="AJ243" i="216"/>
  <c r="AR243" i="216"/>
  <c r="BV243" i="216"/>
  <c r="ED243" i="216"/>
  <c r="EC243" i="216" s="1"/>
  <c r="DV243" i="216"/>
  <c r="AV245" i="216"/>
  <c r="BB245" i="216"/>
  <c r="DI245" i="216"/>
  <c r="DF245" i="216"/>
  <c r="EE248" i="216"/>
  <c r="EF248" i="216" s="1"/>
  <c r="DX248" i="216"/>
  <c r="ED248" i="216"/>
  <c r="EC248" i="216" s="1"/>
  <c r="BH251" i="216"/>
  <c r="DL251" i="216"/>
  <c r="AX254" i="216"/>
  <c r="CF254" i="216"/>
  <c r="BX254" i="216"/>
  <c r="AX255" i="216"/>
  <c r="BA255" i="216"/>
  <c r="EL264" i="216"/>
  <c r="EN264" i="216" s="1"/>
  <c r="AB266" i="216"/>
  <c r="AG266" i="216"/>
  <c r="EE266" i="216"/>
  <c r="EG269" i="216"/>
  <c r="BE283" i="216"/>
  <c r="CX288" i="216"/>
  <c r="DD303" i="216"/>
  <c r="DJ303" i="216"/>
  <c r="EK309" i="216"/>
  <c r="T309" i="216"/>
  <c r="X309" i="216"/>
  <c r="W309" i="216" s="1"/>
  <c r="CT325" i="216"/>
  <c r="CR325" i="216"/>
  <c r="EE325" i="216"/>
  <c r="AG85" i="216"/>
  <c r="BU85" i="216"/>
  <c r="BA114" i="216"/>
  <c r="CO114" i="216"/>
  <c r="Y136" i="216"/>
  <c r="AG136" i="216" s="1"/>
  <c r="BM136" i="216"/>
  <c r="DA136" i="216"/>
  <c r="BK145" i="216"/>
  <c r="BK404" i="216" s="1"/>
  <c r="CY145" i="216"/>
  <c r="CY404" i="216" s="1"/>
  <c r="EE145" i="216"/>
  <c r="CE149" i="216"/>
  <c r="CE406" i="216" s="1"/>
  <c r="AC153" i="216"/>
  <c r="AB153" i="216" s="1"/>
  <c r="AK153" i="216"/>
  <c r="AJ153" i="216" s="1"/>
  <c r="AS153" i="216"/>
  <c r="BI153" i="216"/>
  <c r="BH153" i="216" s="1"/>
  <c r="BQ153" i="216"/>
  <c r="BY153" i="216"/>
  <c r="CG153" i="216"/>
  <c r="CW153" i="216"/>
  <c r="CV153" i="216" s="1"/>
  <c r="DE153" i="216"/>
  <c r="DD153" i="216" s="1"/>
  <c r="DM153" i="216"/>
  <c r="DL153" i="216" s="1"/>
  <c r="DU153" i="216"/>
  <c r="AT161" i="216"/>
  <c r="CH161" i="216"/>
  <c r="DV161" i="216"/>
  <c r="T163" i="216"/>
  <c r="AJ163" i="216"/>
  <c r="BX163" i="216"/>
  <c r="DL163" i="216"/>
  <c r="R165" i="216"/>
  <c r="Z165" i="216"/>
  <c r="BN165" i="216"/>
  <c r="DB165" i="216"/>
  <c r="BA166" i="216"/>
  <c r="BA407" i="216" s="1"/>
  <c r="CO166" i="216"/>
  <c r="CO407" i="216" s="1"/>
  <c r="EK166" i="216"/>
  <c r="P167" i="216"/>
  <c r="X167" i="216"/>
  <c r="W167" i="216" s="1"/>
  <c r="BD167" i="216"/>
  <c r="CR167" i="216"/>
  <c r="AT169" i="216"/>
  <c r="CH169" i="216"/>
  <c r="DV169" i="216"/>
  <c r="T171" i="216"/>
  <c r="AB171" i="216"/>
  <c r="AJ171" i="216"/>
  <c r="AR171" i="216"/>
  <c r="BH171" i="216"/>
  <c r="BP171" i="216"/>
  <c r="BX171" i="216"/>
  <c r="CF171" i="216"/>
  <c r="CV171" i="216"/>
  <c r="DD171" i="216"/>
  <c r="DL171" i="216"/>
  <c r="DT171" i="216"/>
  <c r="DS171" i="216" s="1"/>
  <c r="DS408" i="216" s="1"/>
  <c r="Q176" i="216"/>
  <c r="AD181" i="216"/>
  <c r="AL181" i="216"/>
  <c r="AT181" i="216"/>
  <c r="BB181" i="216"/>
  <c r="BB183" i="216" s="1"/>
  <c r="CH181" i="216"/>
  <c r="DV181" i="216"/>
  <c r="R182" i="216"/>
  <c r="Z182" i="216"/>
  <c r="BN182" i="216"/>
  <c r="CT182" i="216"/>
  <c r="DB182" i="216"/>
  <c r="DJ182" i="216"/>
  <c r="DZ182" i="216"/>
  <c r="DK183" i="216"/>
  <c r="DS183" i="216" s="1"/>
  <c r="R186" i="216"/>
  <c r="Z186" i="216"/>
  <c r="AH186" i="216"/>
  <c r="AH188" i="216" s="1"/>
  <c r="AX186" i="216"/>
  <c r="BN186" i="216"/>
  <c r="DB186" i="216"/>
  <c r="U272" i="216"/>
  <c r="AC272" i="216"/>
  <c r="AK272" i="216"/>
  <c r="AS272" i="216"/>
  <c r="BA191" i="216"/>
  <c r="BI272" i="216"/>
  <c r="BQ272" i="216"/>
  <c r="BY272" i="216"/>
  <c r="BX272" i="216" s="1"/>
  <c r="CG272" i="216"/>
  <c r="CO191" i="216"/>
  <c r="CW272" i="216"/>
  <c r="DO272" i="216"/>
  <c r="DN272" i="216" s="1"/>
  <c r="EI191" i="216"/>
  <c r="EI192" i="216"/>
  <c r="DZ194" i="216"/>
  <c r="BB198" i="216"/>
  <c r="BA198" i="216" s="1"/>
  <c r="BB199" i="216"/>
  <c r="AT199" i="216"/>
  <c r="CB199" i="216"/>
  <c r="X200" i="216"/>
  <c r="W200" i="216" s="1"/>
  <c r="P200" i="216"/>
  <c r="EG200" i="216"/>
  <c r="AX201" i="216"/>
  <c r="DJ201" i="216"/>
  <c r="DB201" i="216"/>
  <c r="BB202" i="216"/>
  <c r="BA202" i="216" s="1"/>
  <c r="DJ202" i="216"/>
  <c r="DB202" i="216"/>
  <c r="EG203" i="216"/>
  <c r="DT203" i="216"/>
  <c r="DS203" i="216" s="1"/>
  <c r="DL203" i="216"/>
  <c r="AH204" i="216"/>
  <c r="DI204" i="216"/>
  <c r="ED204" i="216"/>
  <c r="EC204" i="216" s="1"/>
  <c r="DV204" i="216"/>
  <c r="AH205" i="216"/>
  <c r="Z205" i="216"/>
  <c r="CF205" i="216"/>
  <c r="EL206" i="216"/>
  <c r="AR206" i="216"/>
  <c r="AJ206" i="216"/>
  <c r="EI206" i="216"/>
  <c r="EI207" i="216"/>
  <c r="BL207" i="216"/>
  <c r="BK207" i="216" s="1"/>
  <c r="BR207" i="216"/>
  <c r="CZ207" i="216"/>
  <c r="EI208" i="216"/>
  <c r="BL208" i="216"/>
  <c r="BK208" i="216" s="1"/>
  <c r="BD208" i="216"/>
  <c r="BR208" i="216"/>
  <c r="CZ208" i="216"/>
  <c r="CR208" i="216"/>
  <c r="X209" i="216"/>
  <c r="W209" i="216" s="1"/>
  <c r="P209" i="216"/>
  <c r="BL209" i="216"/>
  <c r="BD209" i="216"/>
  <c r="BV210" i="216"/>
  <c r="BN210" i="216"/>
  <c r="CF211" i="216"/>
  <c r="BX211" i="216"/>
  <c r="CZ213" i="216"/>
  <c r="CR213" i="216"/>
  <c r="EG214" i="216"/>
  <c r="CF215" i="216"/>
  <c r="CE215" i="216" s="1"/>
  <c r="BX215" i="216"/>
  <c r="DX215" i="216"/>
  <c r="CZ217" i="216"/>
  <c r="CR217" i="216"/>
  <c r="EG218" i="216"/>
  <c r="DZ218" i="216"/>
  <c r="EP218" i="216"/>
  <c r="AR219" i="216"/>
  <c r="AJ219" i="216"/>
  <c r="BB220" i="216"/>
  <c r="BA220" i="216" s="1"/>
  <c r="AT220" i="216"/>
  <c r="DJ221" i="216"/>
  <c r="DB221" i="216"/>
  <c r="CE222" i="216"/>
  <c r="ED222" i="216"/>
  <c r="EC222" i="216" s="1"/>
  <c r="BP223" i="216"/>
  <c r="BV223" i="216"/>
  <c r="BL224" i="216"/>
  <c r="BK224" i="216" s="1"/>
  <c r="BD224" i="216"/>
  <c r="DI224" i="216"/>
  <c r="X225" i="216"/>
  <c r="W225" i="216" s="1"/>
  <c r="P225" i="216"/>
  <c r="CF225" i="216"/>
  <c r="CE225" i="216" s="1"/>
  <c r="DJ225" i="216"/>
  <c r="DI225" i="216" s="1"/>
  <c r="DB225" i="216"/>
  <c r="CE226" i="216"/>
  <c r="BL227" i="216"/>
  <c r="BK227" i="216" s="1"/>
  <c r="CP227" i="216"/>
  <c r="CO227" i="216" s="1"/>
  <c r="CH227" i="216"/>
  <c r="EC227" i="216"/>
  <c r="EK228" i="216"/>
  <c r="AG228" i="216"/>
  <c r="BB228" i="216"/>
  <c r="AT228" i="216"/>
  <c r="CY228" i="216"/>
  <c r="X229" i="216"/>
  <c r="W229" i="216" s="1"/>
  <c r="P229" i="216"/>
  <c r="DJ229" i="216"/>
  <c r="DB229" i="216"/>
  <c r="BV230" i="216"/>
  <c r="BN230" i="216"/>
  <c r="DF230" i="216"/>
  <c r="ED230" i="216"/>
  <c r="EC230" i="216" s="1"/>
  <c r="BL231" i="216"/>
  <c r="BP231" i="216"/>
  <c r="BV231" i="216"/>
  <c r="CP231" i="216"/>
  <c r="CH231" i="216"/>
  <c r="DT231" i="216"/>
  <c r="DL231" i="216"/>
  <c r="EI232" i="216"/>
  <c r="DN232" i="216"/>
  <c r="DT232" i="216"/>
  <c r="EG232" i="216"/>
  <c r="AH234" i="216"/>
  <c r="Z234" i="216"/>
  <c r="CJ234" i="216"/>
  <c r="CH234" i="216"/>
  <c r="DZ234" i="216"/>
  <c r="EP234" i="216"/>
  <c r="EG235" i="216"/>
  <c r="AB235" i="216"/>
  <c r="AH235" i="216"/>
  <c r="AX235" i="216"/>
  <c r="AV235" i="216"/>
  <c r="BH235" i="216"/>
  <c r="CF235" i="216"/>
  <c r="BX235" i="216"/>
  <c r="EK235" i="216"/>
  <c r="BZ236" i="216"/>
  <c r="CF236" i="216"/>
  <c r="CV236" i="216"/>
  <c r="CT236" i="216"/>
  <c r="DJ236" i="216"/>
  <c r="AD237" i="216"/>
  <c r="AB237" i="216"/>
  <c r="AR237" i="216"/>
  <c r="BV237" i="216"/>
  <c r="BU237" i="216" s="1"/>
  <c r="BN237" i="216"/>
  <c r="CZ237" i="216"/>
  <c r="CR237" i="216"/>
  <c r="AH238" i="216"/>
  <c r="Z238" i="216"/>
  <c r="CT238" i="216"/>
  <c r="CZ238" i="216"/>
  <c r="DZ238" i="216"/>
  <c r="EP238" i="216"/>
  <c r="EG239" i="216"/>
  <c r="AB239" i="216"/>
  <c r="AH239" i="216"/>
  <c r="AX239" i="216"/>
  <c r="AV239" i="216"/>
  <c r="BH239" i="216"/>
  <c r="EG240" i="216"/>
  <c r="X240" i="216"/>
  <c r="W240" i="216" s="1"/>
  <c r="P240" i="216"/>
  <c r="EK240" i="216"/>
  <c r="AD240" i="216"/>
  <c r="BU240" i="216"/>
  <c r="CP240" i="216"/>
  <c r="CH240" i="216"/>
  <c r="EE241" i="216"/>
  <c r="R241" i="216"/>
  <c r="P241" i="216"/>
  <c r="BD241" i="216"/>
  <c r="BK241" i="216"/>
  <c r="BF241" i="216"/>
  <c r="EI244" i="216"/>
  <c r="EE247" i="216"/>
  <c r="AL248" i="216"/>
  <c r="AR248" i="216"/>
  <c r="CE250" i="216"/>
  <c r="CB250" i="216"/>
  <c r="AB251" i="216"/>
  <c r="AH251" i="216"/>
  <c r="P257" i="216"/>
  <c r="EG257" i="216"/>
  <c r="X257" i="216"/>
  <c r="W257" i="216" s="1"/>
  <c r="AJ259" i="216"/>
  <c r="AR259" i="216"/>
  <c r="BP279" i="216"/>
  <c r="BU279" i="216"/>
  <c r="CT280" i="216"/>
  <c r="CZ280" i="216"/>
  <c r="DP280" i="216"/>
  <c r="DS280" i="216"/>
  <c r="BV317" i="216"/>
  <c r="EL166" i="216"/>
  <c r="BA171" i="216"/>
  <c r="BA408" i="216" s="1"/>
  <c r="CO171" i="216"/>
  <c r="CO408" i="216" s="1"/>
  <c r="EC171" i="216"/>
  <c r="EC408" i="216" s="1"/>
  <c r="EK171" i="216"/>
  <c r="EE181" i="216"/>
  <c r="AQ186" i="216"/>
  <c r="EI186" i="216"/>
  <c r="EL191" i="216"/>
  <c r="BJ272" i="216"/>
  <c r="CX272" i="216"/>
  <c r="DG272" i="216"/>
  <c r="DF272" i="216" s="1"/>
  <c r="DY272" i="216"/>
  <c r="ED191" i="216"/>
  <c r="EK191" i="216"/>
  <c r="CF192" i="216"/>
  <c r="BX192" i="216"/>
  <c r="DJ192" i="216"/>
  <c r="DB192" i="216"/>
  <c r="EK192" i="216"/>
  <c r="DB193" i="216"/>
  <c r="DZ193" i="216"/>
  <c r="EP193" i="216"/>
  <c r="CF194" i="216"/>
  <c r="BX194" i="216"/>
  <c r="CP195" i="216"/>
  <c r="CP272" i="216" s="1"/>
  <c r="CH195" i="216"/>
  <c r="BL196" i="216"/>
  <c r="BD196" i="216"/>
  <c r="DP196" i="216"/>
  <c r="EE197" i="216"/>
  <c r="AH197" i="216"/>
  <c r="Z197" i="216"/>
  <c r="EE198" i="216"/>
  <c r="AR198" i="216"/>
  <c r="AJ198" i="216"/>
  <c r="EI200" i="216"/>
  <c r="EL202" i="216"/>
  <c r="AR202" i="216"/>
  <c r="AJ202" i="216"/>
  <c r="X204" i="216"/>
  <c r="W204" i="216" s="1"/>
  <c r="P204" i="216"/>
  <c r="CY204" i="216"/>
  <c r="BV205" i="216"/>
  <c r="BN205" i="216"/>
  <c r="EK206" i="216"/>
  <c r="EJ206" i="216" s="1"/>
  <c r="BB207" i="216"/>
  <c r="AT207" i="216"/>
  <c r="CP207" i="216"/>
  <c r="CO207" i="216" s="1"/>
  <c r="CH207" i="216"/>
  <c r="BF209" i="216"/>
  <c r="CZ209" i="216"/>
  <c r="CR209" i="216"/>
  <c r="EG209" i="216"/>
  <c r="DJ210" i="216"/>
  <c r="DB210" i="216"/>
  <c r="EN211" i="216"/>
  <c r="EF211" i="216"/>
  <c r="AX212" i="216"/>
  <c r="CP212" i="216"/>
  <c r="CH212" i="216"/>
  <c r="DJ214" i="216"/>
  <c r="DB214" i="216"/>
  <c r="EF215" i="216"/>
  <c r="BB216" i="216"/>
  <c r="AT216" i="216"/>
  <c r="DJ218" i="216"/>
  <c r="DB218" i="216"/>
  <c r="CF219" i="216"/>
  <c r="BX219" i="216"/>
  <c r="DT219" i="216"/>
  <c r="DS219" i="216" s="1"/>
  <c r="DL219" i="216"/>
  <c r="AX221" i="216"/>
  <c r="BV221" i="216"/>
  <c r="BN221" i="216"/>
  <c r="BL223" i="216"/>
  <c r="BK223" i="216" s="1"/>
  <c r="CP223" i="216"/>
  <c r="CO223" i="216" s="1"/>
  <c r="CH223" i="216"/>
  <c r="X224" i="216"/>
  <c r="W224" i="216" s="1"/>
  <c r="P224" i="216"/>
  <c r="CP224" i="216"/>
  <c r="CO224" i="216" s="1"/>
  <c r="CH224" i="216"/>
  <c r="CB225" i="216"/>
  <c r="AH226" i="216"/>
  <c r="Z226" i="216"/>
  <c r="DZ226" i="216"/>
  <c r="EP226" i="216"/>
  <c r="EG227" i="216"/>
  <c r="AB227" i="216"/>
  <c r="AH227" i="216"/>
  <c r="BH227" i="216"/>
  <c r="DP227" i="216"/>
  <c r="EE227" i="216"/>
  <c r="BV229" i="216"/>
  <c r="BU229" i="216" s="1"/>
  <c r="BN229" i="216"/>
  <c r="DZ230" i="216"/>
  <c r="EP230" i="216"/>
  <c r="EG231" i="216"/>
  <c r="AB231" i="216"/>
  <c r="AH231" i="216"/>
  <c r="EJ232" i="216"/>
  <c r="BB232" i="216"/>
  <c r="AT232" i="216"/>
  <c r="AD233" i="216"/>
  <c r="AB233" i="216"/>
  <c r="CZ233" i="216"/>
  <c r="CR233" i="216"/>
  <c r="EE234" i="216"/>
  <c r="EF234" i="216" s="1"/>
  <c r="CT234" i="216"/>
  <c r="CZ234" i="216"/>
  <c r="EI235" i="216"/>
  <c r="BB235" i="216"/>
  <c r="AT235" i="216"/>
  <c r="CT235" i="216"/>
  <c r="CR235" i="216"/>
  <c r="DZ235" i="216"/>
  <c r="DX235" i="216"/>
  <c r="AB236" i="216"/>
  <c r="Z236" i="216"/>
  <c r="CZ236" i="216"/>
  <c r="CR236" i="216"/>
  <c r="AH237" i="216"/>
  <c r="Z237" i="216"/>
  <c r="DX237" i="216"/>
  <c r="ED237" i="216"/>
  <c r="EC237" i="216" s="1"/>
  <c r="EE238" i="216"/>
  <c r="CB238" i="216"/>
  <c r="BZ238" i="216"/>
  <c r="DT238" i="216"/>
  <c r="DS238" i="216" s="1"/>
  <c r="DL238" i="216"/>
  <c r="EI239" i="216"/>
  <c r="BB239" i="216"/>
  <c r="AT239" i="216"/>
  <c r="DT239" i="216"/>
  <c r="DS239" i="216" s="1"/>
  <c r="DL239" i="216"/>
  <c r="DD240" i="216"/>
  <c r="DJ240" i="216"/>
  <c r="ED241" i="216"/>
  <c r="EC241" i="216" s="1"/>
  <c r="DV241" i="216"/>
  <c r="BB242" i="216"/>
  <c r="AT242" i="216"/>
  <c r="P245" i="216"/>
  <c r="X245" i="216"/>
  <c r="W245" i="216" s="1"/>
  <c r="ED247" i="216"/>
  <c r="EC247" i="216" s="1"/>
  <c r="DV247" i="216"/>
  <c r="AX250" i="216"/>
  <c r="DN255" i="216"/>
  <c r="DT255" i="216"/>
  <c r="ED256" i="216"/>
  <c r="EC256" i="216" s="1"/>
  <c r="CJ263" i="216"/>
  <c r="CO263" i="216"/>
  <c r="CP281" i="216"/>
  <c r="CH281" i="216"/>
  <c r="CU409" i="216"/>
  <c r="CT282" i="216"/>
  <c r="CZ282" i="216"/>
  <c r="CZ409" i="216" s="1"/>
  <c r="DK409" i="216"/>
  <c r="DP282" i="216"/>
  <c r="DS282" i="216"/>
  <c r="DS409" i="216" s="1"/>
  <c r="AB308" i="216"/>
  <c r="AH308" i="216"/>
  <c r="AQ85" i="216"/>
  <c r="CE85" i="216"/>
  <c r="DS85" i="216"/>
  <c r="BK114" i="216"/>
  <c r="CY114" i="216"/>
  <c r="BK124" i="216"/>
  <c r="CY124" i="216"/>
  <c r="AG145" i="216"/>
  <c r="AG404" i="216" s="1"/>
  <c r="BU145" i="216"/>
  <c r="BU404" i="216" s="1"/>
  <c r="DI145" i="216"/>
  <c r="DI404" i="216" s="1"/>
  <c r="EG145" i="216"/>
  <c r="BK147" i="216"/>
  <c r="BA149" i="216"/>
  <c r="BA406" i="216" s="1"/>
  <c r="EC149" i="216"/>
  <c r="EC406" i="216" s="1"/>
  <c r="BK166" i="216"/>
  <c r="BK407" i="216" s="1"/>
  <c r="CY166" i="216"/>
  <c r="CY407" i="216" s="1"/>
  <c r="EE166" i="216"/>
  <c r="EL171" i="216"/>
  <c r="EL408" i="216" s="1"/>
  <c r="O272" i="216"/>
  <c r="EE191" i="216"/>
  <c r="AE272" i="216"/>
  <c r="AM272" i="216"/>
  <c r="AU272" i="216"/>
  <c r="AT272" i="216" s="1"/>
  <c r="BC272" i="216"/>
  <c r="BD272" i="216" s="1"/>
  <c r="BK191" i="216"/>
  <c r="BS272" i="216"/>
  <c r="CA272" i="216"/>
  <c r="BZ272" i="216" s="1"/>
  <c r="CI272" i="216"/>
  <c r="CQ272" i="216"/>
  <c r="CY191" i="216"/>
  <c r="DH272" i="216"/>
  <c r="EL194" i="216"/>
  <c r="EL195" i="216"/>
  <c r="ED198" i="216"/>
  <c r="EC198" i="216" s="1"/>
  <c r="ED199" i="216"/>
  <c r="EC199" i="216" s="1"/>
  <c r="DV199" i="216"/>
  <c r="EK201" i="216"/>
  <c r="CF201" i="216"/>
  <c r="CE201" i="216" s="1"/>
  <c r="DZ201" i="216"/>
  <c r="EI202" i="216"/>
  <c r="DP203" i="216"/>
  <c r="EI204" i="216"/>
  <c r="BL204" i="216"/>
  <c r="BD204" i="216"/>
  <c r="EE205" i="216"/>
  <c r="DT205" i="216"/>
  <c r="DS205" i="216" s="1"/>
  <c r="DZ205" i="216"/>
  <c r="CF206" i="216"/>
  <c r="BX206" i="216"/>
  <c r="ED206" i="216"/>
  <c r="EC206" i="216" s="1"/>
  <c r="BH207" i="216"/>
  <c r="ED207" i="216"/>
  <c r="DV207" i="216"/>
  <c r="EK207" i="216"/>
  <c r="EK208" i="216"/>
  <c r="EG208" i="216"/>
  <c r="EJ209" i="216"/>
  <c r="BH209" i="216"/>
  <c r="EI209" i="216"/>
  <c r="BR210" i="216"/>
  <c r="DT211" i="216"/>
  <c r="DL211" i="216"/>
  <c r="ED212" i="216"/>
  <c r="EC212" i="216" s="1"/>
  <c r="DV212" i="216"/>
  <c r="AH213" i="216"/>
  <c r="Z213" i="216"/>
  <c r="AX213" i="216"/>
  <c r="DT215" i="216"/>
  <c r="DL215" i="216"/>
  <c r="CP216" i="216"/>
  <c r="CH216" i="216"/>
  <c r="ED216" i="216"/>
  <c r="EC216" i="216" s="1"/>
  <c r="DV216" i="216"/>
  <c r="AH217" i="216"/>
  <c r="Z217" i="216"/>
  <c r="BB218" i="216"/>
  <c r="BA218" i="216" s="1"/>
  <c r="EG219" i="216"/>
  <c r="CP220" i="216"/>
  <c r="CO220" i="216" s="1"/>
  <c r="CH220" i="216"/>
  <c r="ED220" i="216"/>
  <c r="EC220" i="216" s="1"/>
  <c r="DV220" i="216"/>
  <c r="AH221" i="216"/>
  <c r="Z221" i="216"/>
  <c r="AH222" i="216"/>
  <c r="Z222" i="216"/>
  <c r="CT222" i="216"/>
  <c r="CZ222" i="216"/>
  <c r="DZ222" i="216"/>
  <c r="EP222" i="216"/>
  <c r="EG223" i="216"/>
  <c r="AB223" i="216"/>
  <c r="AH223" i="216"/>
  <c r="BH223" i="216"/>
  <c r="DT223" i="216"/>
  <c r="DS223" i="216" s="1"/>
  <c r="DL223" i="216"/>
  <c r="EI224" i="216"/>
  <c r="EK225" i="216"/>
  <c r="AX225" i="216"/>
  <c r="BV225" i="216"/>
  <c r="BU225" i="216" s="1"/>
  <c r="BN225" i="216"/>
  <c r="EE226" i="216"/>
  <c r="CT226" i="216"/>
  <c r="CZ226" i="216"/>
  <c r="DT226" i="216"/>
  <c r="DS226" i="216" s="1"/>
  <c r="DL226" i="216"/>
  <c r="EI227" i="216"/>
  <c r="BB227" i="216"/>
  <c r="AT227" i="216"/>
  <c r="EK227" i="216"/>
  <c r="DN228" i="216"/>
  <c r="DT228" i="216"/>
  <c r="EE228" i="216"/>
  <c r="EK229" i="216"/>
  <c r="AX229" i="216"/>
  <c r="BP229" i="216"/>
  <c r="AH230" i="216"/>
  <c r="Z230" i="216"/>
  <c r="EI231" i="216"/>
  <c r="BB231" i="216"/>
  <c r="AT231" i="216"/>
  <c r="BH231" i="216"/>
  <c r="EE231" i="216"/>
  <c r="CB232" i="216"/>
  <c r="CZ232" i="216"/>
  <c r="CR232" i="216"/>
  <c r="DF232" i="216"/>
  <c r="AH233" i="216"/>
  <c r="Z233" i="216"/>
  <c r="AN233" i="216"/>
  <c r="BL233" i="216"/>
  <c r="BD233" i="216"/>
  <c r="DZ233" i="216"/>
  <c r="BF234" i="216"/>
  <c r="BL234" i="216"/>
  <c r="BK234" i="216" s="1"/>
  <c r="CB234" i="216"/>
  <c r="BZ234" i="216"/>
  <c r="CP234" i="216"/>
  <c r="DT234" i="216"/>
  <c r="DS234" i="216" s="1"/>
  <c r="DL234" i="216"/>
  <c r="T235" i="216"/>
  <c r="DD235" i="216"/>
  <c r="DJ235" i="216"/>
  <c r="ED235" i="216"/>
  <c r="EC235" i="216" s="1"/>
  <c r="DV235" i="216"/>
  <c r="AL236" i="216"/>
  <c r="AR236" i="216"/>
  <c r="BR236" i="216"/>
  <c r="ED236" i="216"/>
  <c r="EC236" i="216" s="1"/>
  <c r="DV236" i="216"/>
  <c r="BK237" i="216"/>
  <c r="DN237" i="216"/>
  <c r="DL237" i="216"/>
  <c r="DZ237" i="216"/>
  <c r="AV238" i="216"/>
  <c r="AT238" i="216"/>
  <c r="BH238" i="216"/>
  <c r="CF238" i="216"/>
  <c r="BX238" i="216"/>
  <c r="CL238" i="216"/>
  <c r="T239" i="216"/>
  <c r="CF239" i="216"/>
  <c r="BX239" i="216"/>
  <c r="BB240" i="216"/>
  <c r="AT240" i="216"/>
  <c r="BA241" i="216"/>
  <c r="AX241" i="216"/>
  <c r="DD241" i="216"/>
  <c r="DJ241" i="216"/>
  <c r="EE242" i="216"/>
  <c r="EL244" i="216"/>
  <c r="AV244" i="216"/>
  <c r="BB244" i="216"/>
  <c r="BD245" i="216"/>
  <c r="DX249" i="216"/>
  <c r="ED249" i="216"/>
  <c r="R250" i="216"/>
  <c r="EI250" i="216"/>
  <c r="X250" i="216"/>
  <c r="W250" i="216" s="1"/>
  <c r="BR255" i="216"/>
  <c r="BR257" i="216"/>
  <c r="BU257" i="216"/>
  <c r="DS300" i="216"/>
  <c r="EE312" i="216"/>
  <c r="T193" i="216"/>
  <c r="AJ193" i="216"/>
  <c r="BX193" i="216"/>
  <c r="DL193" i="216"/>
  <c r="AT194" i="216"/>
  <c r="CH194" i="216"/>
  <c r="DV194" i="216"/>
  <c r="P195" i="216"/>
  <c r="X195" i="216"/>
  <c r="W195" i="216" s="1"/>
  <c r="BD195" i="216"/>
  <c r="CR195" i="216"/>
  <c r="R196" i="216"/>
  <c r="Z196" i="216"/>
  <c r="BN196" i="216"/>
  <c r="DB196" i="216"/>
  <c r="T197" i="216"/>
  <c r="AJ197" i="216"/>
  <c r="BX197" i="216"/>
  <c r="DL197" i="216"/>
  <c r="AT198" i="216"/>
  <c r="CH198" i="216"/>
  <c r="DV198" i="216"/>
  <c r="P199" i="216"/>
  <c r="X199" i="216"/>
  <c r="W199" i="216" s="1"/>
  <c r="BD199" i="216"/>
  <c r="CR199" i="216"/>
  <c r="R200" i="216"/>
  <c r="Z200" i="216"/>
  <c r="BN200" i="216"/>
  <c r="DB200" i="216"/>
  <c r="T201" i="216"/>
  <c r="AJ201" i="216"/>
  <c r="BX201" i="216"/>
  <c r="DL201" i="216"/>
  <c r="AT202" i="216"/>
  <c r="CH202" i="216"/>
  <c r="DV202" i="216"/>
  <c r="P203" i="216"/>
  <c r="X203" i="216"/>
  <c r="W203" i="216" s="1"/>
  <c r="BD203" i="216"/>
  <c r="CR203" i="216"/>
  <c r="R204" i="216"/>
  <c r="Z204" i="216"/>
  <c r="CL204" i="216"/>
  <c r="T205" i="216"/>
  <c r="BX205" i="216"/>
  <c r="AT206" i="216"/>
  <c r="CH206" i="216"/>
  <c r="DV206" i="216"/>
  <c r="P207" i="216"/>
  <c r="X207" i="216"/>
  <c r="W207" i="216" s="1"/>
  <c r="BD207" i="216"/>
  <c r="CR207" i="216"/>
  <c r="R208" i="216"/>
  <c r="Z208" i="216"/>
  <c r="BN208" i="216"/>
  <c r="DB208" i="216"/>
  <c r="T209" i="216"/>
  <c r="AJ209" i="216"/>
  <c r="BX209" i="216"/>
  <c r="DL209" i="216"/>
  <c r="AT210" i="216"/>
  <c r="CH210" i="216"/>
  <c r="DV210" i="216"/>
  <c r="P211" i="216"/>
  <c r="X211" i="216"/>
  <c r="W211" i="216" s="1"/>
  <c r="BD211" i="216"/>
  <c r="CR211" i="216"/>
  <c r="R212" i="216"/>
  <c r="Z212" i="216"/>
  <c r="BN212" i="216"/>
  <c r="DB212" i="216"/>
  <c r="T213" i="216"/>
  <c r="AJ213" i="216"/>
  <c r="BX213" i="216"/>
  <c r="DL213" i="216"/>
  <c r="AT214" i="216"/>
  <c r="CH214" i="216"/>
  <c r="DV214" i="216"/>
  <c r="P215" i="216"/>
  <c r="X215" i="216"/>
  <c r="W215" i="216" s="1"/>
  <c r="BD215" i="216"/>
  <c r="CR215" i="216"/>
  <c r="R216" i="216"/>
  <c r="Z216" i="216"/>
  <c r="BN216" i="216"/>
  <c r="DB216" i="216"/>
  <c r="T217" i="216"/>
  <c r="AJ217" i="216"/>
  <c r="BX217" i="216"/>
  <c r="DL217" i="216"/>
  <c r="AT218" i="216"/>
  <c r="CH218" i="216"/>
  <c r="DV218" i="216"/>
  <c r="P219" i="216"/>
  <c r="X219" i="216"/>
  <c r="W219" i="216" s="1"/>
  <c r="BD219" i="216"/>
  <c r="CR219" i="216"/>
  <c r="R220" i="216"/>
  <c r="Z220" i="216"/>
  <c r="BN220" i="216"/>
  <c r="DB220" i="216"/>
  <c r="T221" i="216"/>
  <c r="AJ221" i="216"/>
  <c r="BX221" i="216"/>
  <c r="DL221" i="216"/>
  <c r="AT222" i="216"/>
  <c r="CH222" i="216"/>
  <c r="DV222" i="216"/>
  <c r="P223" i="216"/>
  <c r="X223" i="216"/>
  <c r="W223" i="216" s="1"/>
  <c r="BD223" i="216"/>
  <c r="CR223" i="216"/>
  <c r="R224" i="216"/>
  <c r="Z224" i="216"/>
  <c r="BN224" i="216"/>
  <c r="DB224" i="216"/>
  <c r="T225" i="216"/>
  <c r="AJ225" i="216"/>
  <c r="BX225" i="216"/>
  <c r="DL225" i="216"/>
  <c r="AT226" i="216"/>
  <c r="CH226" i="216"/>
  <c r="DV226" i="216"/>
  <c r="P227" i="216"/>
  <c r="X227" i="216"/>
  <c r="W227" i="216" s="1"/>
  <c r="BD227" i="216"/>
  <c r="CR227" i="216"/>
  <c r="R228" i="216"/>
  <c r="Z228" i="216"/>
  <c r="BN228" i="216"/>
  <c r="DB228" i="216"/>
  <c r="T229" i="216"/>
  <c r="AJ229" i="216"/>
  <c r="BX229" i="216"/>
  <c r="DL229" i="216"/>
  <c r="AT230" i="216"/>
  <c r="CH230" i="216"/>
  <c r="DV230" i="216"/>
  <c r="P231" i="216"/>
  <c r="X231" i="216"/>
  <c r="W231" i="216" s="1"/>
  <c r="BD231" i="216"/>
  <c r="CR231" i="216"/>
  <c r="R232" i="216"/>
  <c r="Z232" i="216"/>
  <c r="BN232" i="216"/>
  <c r="DB232" i="216"/>
  <c r="T233" i="216"/>
  <c r="BH233" i="216"/>
  <c r="CV233" i="216"/>
  <c r="AD234" i="216"/>
  <c r="BR234" i="216"/>
  <c r="DF234" i="216"/>
  <c r="X235" i="216"/>
  <c r="W235" i="216" s="1"/>
  <c r="AN235" i="216"/>
  <c r="CB235" i="216"/>
  <c r="AX236" i="216"/>
  <c r="CL236" i="216"/>
  <c r="T237" i="216"/>
  <c r="BH237" i="216"/>
  <c r="CV237" i="216"/>
  <c r="AD238" i="216"/>
  <c r="BR238" i="216"/>
  <c r="DF238" i="216"/>
  <c r="X239" i="216"/>
  <c r="W239" i="216" s="1"/>
  <c r="AN239" i="216"/>
  <c r="CB239" i="216"/>
  <c r="DP239" i="216"/>
  <c r="AX240" i="216"/>
  <c r="AR241" i="216"/>
  <c r="AJ241" i="216"/>
  <c r="BH242" i="216"/>
  <c r="CB242" i="216"/>
  <c r="DT242" i="216"/>
  <c r="EI243" i="216"/>
  <c r="CF243" i="216"/>
  <c r="DX243" i="216"/>
  <c r="EK243" i="216"/>
  <c r="T244" i="216"/>
  <c r="AD244" i="216"/>
  <c r="CF244" i="216"/>
  <c r="DJ244" i="216"/>
  <c r="BL245" i="216"/>
  <c r="BK245" i="216" s="1"/>
  <c r="DJ245" i="216"/>
  <c r="DB245" i="216"/>
  <c r="EI245" i="216"/>
  <c r="EG246" i="216"/>
  <c r="AN246" i="216"/>
  <c r="AX246" i="216"/>
  <c r="BH246" i="216"/>
  <c r="CZ246" i="216"/>
  <c r="ED246" i="216"/>
  <c r="EC246" i="216" s="1"/>
  <c r="EI246" i="216"/>
  <c r="AX247" i="216"/>
  <c r="EK248" i="216"/>
  <c r="CO248" i="216"/>
  <c r="CZ248" i="216"/>
  <c r="CR248" i="216"/>
  <c r="DZ248" i="216"/>
  <c r="X249" i="216"/>
  <c r="W249" i="216" s="1"/>
  <c r="BA249" i="216"/>
  <c r="BV249" i="216"/>
  <c r="BN249" i="216"/>
  <c r="DF249" i="216"/>
  <c r="EP249" i="216"/>
  <c r="CF250" i="216"/>
  <c r="BX250" i="216"/>
  <c r="CE251" i="216"/>
  <c r="CP251" i="216"/>
  <c r="CO251" i="216" s="1"/>
  <c r="CH251" i="216"/>
  <c r="CV251" i="216"/>
  <c r="DT251" i="216"/>
  <c r="DS251" i="216" s="1"/>
  <c r="AG252" i="216"/>
  <c r="BA252" i="216"/>
  <c r="BL252" i="216"/>
  <c r="BK252" i="216" s="1"/>
  <c r="BD252" i="216"/>
  <c r="CP252" i="216"/>
  <c r="DJ252" i="216"/>
  <c r="DI252" i="216" s="1"/>
  <c r="EG254" i="216"/>
  <c r="BZ254" i="216"/>
  <c r="DZ254" i="216"/>
  <c r="BB255" i="216"/>
  <c r="AT255" i="216"/>
  <c r="X256" i="216"/>
  <c r="W256" i="216" s="1"/>
  <c r="P256" i="216"/>
  <c r="AD256" i="216"/>
  <c r="EG256" i="216"/>
  <c r="AQ257" i="216"/>
  <c r="BV257" i="216"/>
  <c r="BN257" i="216"/>
  <c r="CZ257" i="216"/>
  <c r="EL258" i="216"/>
  <c r="EG259" i="216"/>
  <c r="CJ259" i="216"/>
  <c r="DT259" i="216"/>
  <c r="DS259" i="216" s="1"/>
  <c r="DL259" i="216"/>
  <c r="EI260" i="216"/>
  <c r="BU260" i="216"/>
  <c r="EI261" i="216"/>
  <c r="EK262" i="216"/>
  <c r="CP263" i="216"/>
  <c r="CT263" i="216"/>
  <c r="CZ263" i="216"/>
  <c r="DT263" i="216"/>
  <c r="DS263" i="216" s="1"/>
  <c r="DL263" i="216"/>
  <c r="EZ264" i="216"/>
  <c r="EH264" i="216"/>
  <c r="EI265" i="216"/>
  <c r="EN265" i="216" s="1"/>
  <c r="AH266" i="216"/>
  <c r="AL266" i="216"/>
  <c r="AR266" i="216"/>
  <c r="BL266" i="216"/>
  <c r="BD266" i="216"/>
  <c r="BR266" i="216"/>
  <c r="CP266" i="216"/>
  <c r="CH266" i="216"/>
  <c r="DZ266" i="216"/>
  <c r="X267" i="216"/>
  <c r="W267" i="216" s="1"/>
  <c r="P267" i="216"/>
  <c r="CF267" i="216"/>
  <c r="CJ267" i="216"/>
  <c r="CP267" i="216"/>
  <c r="EG267" i="216"/>
  <c r="R268" i="216"/>
  <c r="X268" i="216"/>
  <c r="W268" i="216" s="1"/>
  <c r="CF268" i="216"/>
  <c r="BX268" i="216"/>
  <c r="CL268" i="216"/>
  <c r="DN268" i="216"/>
  <c r="EI269" i="216"/>
  <c r="BB269" i="216"/>
  <c r="AT269" i="216"/>
  <c r="BH269" i="216"/>
  <c r="CJ269" i="216"/>
  <c r="AX276" i="216"/>
  <c r="AS283" i="216"/>
  <c r="BS283" i="216"/>
  <c r="BR276" i="216"/>
  <c r="CP276" i="216"/>
  <c r="CH276" i="216"/>
  <c r="DO283" i="216"/>
  <c r="DN276" i="216"/>
  <c r="BV279" i="216"/>
  <c r="BZ279" i="216"/>
  <c r="CF279" i="216"/>
  <c r="DT280" i="216"/>
  <c r="DL280" i="216"/>
  <c r="DZ280" i="216"/>
  <c r="EP280" i="216"/>
  <c r="EK281" i="216"/>
  <c r="AG281" i="216"/>
  <c r="BB281" i="216"/>
  <c r="BA281" i="216" s="1"/>
  <c r="AT281" i="216"/>
  <c r="CY281" i="216"/>
  <c r="BG409" i="216"/>
  <c r="BF282" i="216"/>
  <c r="BL282" i="216"/>
  <c r="BL409" i="216" s="1"/>
  <c r="BW409" i="216"/>
  <c r="CB282" i="216"/>
  <c r="CW409" i="216"/>
  <c r="CV282" i="216"/>
  <c r="DM409" i="216"/>
  <c r="DT282" i="216"/>
  <c r="DT409" i="216" s="1"/>
  <c r="DL282" i="216"/>
  <c r="EA409" i="216"/>
  <c r="DZ282" i="216"/>
  <c r="EP282" i="216"/>
  <c r="BM288" i="216"/>
  <c r="BN288" i="216" s="1"/>
  <c r="BR286" i="216"/>
  <c r="BU286" i="216"/>
  <c r="DD288" i="216"/>
  <c r="DV288" i="216"/>
  <c r="DZ287" i="216"/>
  <c r="AC328" i="216"/>
  <c r="BR292" i="216"/>
  <c r="BV292" i="216"/>
  <c r="DB293" i="216"/>
  <c r="DJ293" i="216"/>
  <c r="DI293" i="216" s="1"/>
  <c r="BK297" i="216"/>
  <c r="EE297" i="216"/>
  <c r="EF297" i="216" s="1"/>
  <c r="BD297" i="216"/>
  <c r="CZ303" i="216"/>
  <c r="CR303" i="216"/>
  <c r="X308" i="216"/>
  <c r="W308" i="216" s="1"/>
  <c r="P308" i="216"/>
  <c r="EG308" i="216"/>
  <c r="EL311" i="216"/>
  <c r="CT318" i="216"/>
  <c r="CZ318" i="216"/>
  <c r="BB332" i="216"/>
  <c r="AX358" i="216"/>
  <c r="DW272" i="216"/>
  <c r="EI240" i="216"/>
  <c r="EG241" i="216"/>
  <c r="CZ241" i="216"/>
  <c r="DT241" i="216"/>
  <c r="DS241" i="216" s="1"/>
  <c r="DL241" i="216"/>
  <c r="EI242" i="216"/>
  <c r="BR242" i="216"/>
  <c r="DJ242" i="216"/>
  <c r="ED242" i="216"/>
  <c r="EC242" i="216" s="1"/>
  <c r="DV242" i="216"/>
  <c r="BK243" i="216"/>
  <c r="CZ243" i="216"/>
  <c r="EK244" i="216"/>
  <c r="CZ244" i="216"/>
  <c r="CR244" i="216"/>
  <c r="EK245" i="216"/>
  <c r="CF245" i="216"/>
  <c r="CE245" i="216" s="1"/>
  <c r="CR245" i="216"/>
  <c r="DD245" i="216"/>
  <c r="BV246" i="216"/>
  <c r="DT246" i="216"/>
  <c r="DL246" i="216"/>
  <c r="EK246" i="216"/>
  <c r="EI247" i="216"/>
  <c r="CF247" i="216"/>
  <c r="BB248" i="216"/>
  <c r="BV248" i="216"/>
  <c r="CH248" i="216"/>
  <c r="CT248" i="216"/>
  <c r="AR249" i="216"/>
  <c r="BD249" i="216"/>
  <c r="BP249" i="216"/>
  <c r="EL250" i="216"/>
  <c r="AH250" i="216"/>
  <c r="BN250" i="216"/>
  <c r="BZ250" i="216"/>
  <c r="EL251" i="216"/>
  <c r="AR251" i="216"/>
  <c r="BX251" i="216"/>
  <c r="CJ251" i="216"/>
  <c r="AQ252" i="216"/>
  <c r="AT252" i="216"/>
  <c r="BF252" i="216"/>
  <c r="DN252" i="216"/>
  <c r="EE253" i="216"/>
  <c r="EF253" i="216" s="1"/>
  <c r="AH253" i="216"/>
  <c r="Z253" i="216"/>
  <c r="BB253" i="216"/>
  <c r="BL253" i="216"/>
  <c r="BK253" i="216" s="1"/>
  <c r="CF253" i="216"/>
  <c r="DS253" i="216"/>
  <c r="EI253" i="216"/>
  <c r="R254" i="216"/>
  <c r="AQ254" i="216"/>
  <c r="DT254" i="216"/>
  <c r="DS254" i="216" s="1"/>
  <c r="DL254" i="216"/>
  <c r="AJ255" i="216"/>
  <c r="AV255" i="216"/>
  <c r="CP255" i="216"/>
  <c r="CH255" i="216"/>
  <c r="DJ255" i="216"/>
  <c r="EE255" i="216"/>
  <c r="EI256" i="216"/>
  <c r="BB256" i="216"/>
  <c r="BV256" i="216"/>
  <c r="DI256" i="216"/>
  <c r="DV256" i="216"/>
  <c r="EK257" i="216"/>
  <c r="AG257" i="216"/>
  <c r="BD257" i="216"/>
  <c r="BP257" i="216"/>
  <c r="DZ257" i="216"/>
  <c r="AR258" i="216"/>
  <c r="AJ258" i="216"/>
  <c r="BV258" i="216"/>
  <c r="CP258" i="216"/>
  <c r="AB259" i="216"/>
  <c r="CY259" i="216"/>
  <c r="EK260" i="216"/>
  <c r="AG260" i="216"/>
  <c r="BB260" i="216"/>
  <c r="AT260" i="216"/>
  <c r="DJ260" i="216"/>
  <c r="DN260" i="216"/>
  <c r="DT260" i="216"/>
  <c r="EE260" i="216"/>
  <c r="BL261" i="216"/>
  <c r="BK261" i="216" s="1"/>
  <c r="ED261" i="216"/>
  <c r="EC261" i="216" s="1"/>
  <c r="EL262" i="216"/>
  <c r="BB262" i="216"/>
  <c r="BA262" i="216" s="1"/>
  <c r="DN262" i="216"/>
  <c r="EG263" i="216"/>
  <c r="BB263" i="216"/>
  <c r="BA263" i="216" s="1"/>
  <c r="BF263" i="216"/>
  <c r="BL263" i="216"/>
  <c r="EC263" i="216"/>
  <c r="BF266" i="216"/>
  <c r="CY266" i="216"/>
  <c r="AG267" i="216"/>
  <c r="DJ267" i="216"/>
  <c r="DB267" i="216"/>
  <c r="DP267" i="216"/>
  <c r="EI267" i="216"/>
  <c r="AR268" i="216"/>
  <c r="AJ268" i="216"/>
  <c r="AX268" i="216"/>
  <c r="BZ268" i="216"/>
  <c r="T269" i="216"/>
  <c r="AV269" i="216"/>
  <c r="CY269" i="216"/>
  <c r="DT269" i="216"/>
  <c r="DL269" i="216"/>
  <c r="AU283" i="216"/>
  <c r="BB276" i="216"/>
  <c r="AT276" i="216"/>
  <c r="BI283" i="216"/>
  <c r="BH276" i="216"/>
  <c r="BT283" i="216"/>
  <c r="DA283" i="216"/>
  <c r="DQ283" i="216"/>
  <c r="EJ277" i="216"/>
  <c r="AR277" i="216"/>
  <c r="AQ277" i="216" s="1"/>
  <c r="CO277" i="216"/>
  <c r="EL278" i="216"/>
  <c r="DT278" i="216"/>
  <c r="DL278" i="216"/>
  <c r="AL279" i="216"/>
  <c r="AR279" i="216"/>
  <c r="CZ279" i="216"/>
  <c r="CR279" i="216"/>
  <c r="AH280" i="216"/>
  <c r="AG280" i="216" s="1"/>
  <c r="Z280" i="216"/>
  <c r="BF280" i="216"/>
  <c r="BL280" i="216"/>
  <c r="BK280" i="216" s="1"/>
  <c r="CF280" i="216"/>
  <c r="BX280" i="216"/>
  <c r="DN280" i="216"/>
  <c r="S409" i="216"/>
  <c r="EI282" i="216"/>
  <c r="R282" i="216"/>
  <c r="X282" i="216"/>
  <c r="AI409" i="216"/>
  <c r="AN282" i="216"/>
  <c r="BI409" i="216"/>
  <c r="BH282" i="216"/>
  <c r="BY409" i="216"/>
  <c r="CF282" i="216"/>
  <c r="CF409" i="216" s="1"/>
  <c r="BX282" i="216"/>
  <c r="CM409" i="216"/>
  <c r="CL282" i="216"/>
  <c r="CI283" i="216"/>
  <c r="AW288" i="216"/>
  <c r="AV286" i="216"/>
  <c r="BB286" i="216"/>
  <c r="BB288" i="216" s="1"/>
  <c r="BH287" i="216"/>
  <c r="BN298" i="216"/>
  <c r="BV298" i="216"/>
  <c r="BU298" i="216" s="1"/>
  <c r="CF308" i="216"/>
  <c r="BX308" i="216"/>
  <c r="DI308" i="216"/>
  <c r="CH309" i="216"/>
  <c r="CJ309" i="216"/>
  <c r="CB316" i="216"/>
  <c r="DP326" i="216"/>
  <c r="DD373" i="216"/>
  <c r="DJ373" i="216"/>
  <c r="BH241" i="216"/>
  <c r="CP241" i="216"/>
  <c r="CH241" i="216"/>
  <c r="CZ242" i="216"/>
  <c r="CR242" i="216"/>
  <c r="DX242" i="216"/>
  <c r="CP243" i="216"/>
  <c r="CH243" i="216"/>
  <c r="BV245" i="216"/>
  <c r="BN245" i="216"/>
  <c r="CP246" i="216"/>
  <c r="DP248" i="216"/>
  <c r="EE249" i="216"/>
  <c r="EF249" i="216" s="1"/>
  <c r="AH249" i="216"/>
  <c r="Z249" i="216"/>
  <c r="BB250" i="216"/>
  <c r="BA250" i="216" s="1"/>
  <c r="BL251" i="216"/>
  <c r="BK251" i="216" s="1"/>
  <c r="ED251" i="216"/>
  <c r="EC251" i="216" s="1"/>
  <c r="DV251" i="216"/>
  <c r="CZ252" i="216"/>
  <c r="CR252" i="216"/>
  <c r="DI253" i="216"/>
  <c r="EK256" i="216"/>
  <c r="EJ256" i="216" s="1"/>
  <c r="CY256" i="216"/>
  <c r="EL257" i="216"/>
  <c r="DJ257" i="216"/>
  <c r="DB257" i="216"/>
  <c r="EE258" i="216"/>
  <c r="BL259" i="216"/>
  <c r="DP259" i="216"/>
  <c r="EK259" i="216"/>
  <c r="BK260" i="216"/>
  <c r="AV262" i="216"/>
  <c r="DP262" i="216"/>
  <c r="R263" i="216"/>
  <c r="X263" i="216"/>
  <c r="W263" i="216" s="1"/>
  <c r="CF263" i="216"/>
  <c r="BX263" i="216"/>
  <c r="CL263" i="216"/>
  <c r="EI263" i="216"/>
  <c r="DZ265" i="216"/>
  <c r="X266" i="216"/>
  <c r="W266" i="216" s="1"/>
  <c r="P266" i="216"/>
  <c r="AD266" i="216"/>
  <c r="BU266" i="216"/>
  <c r="EK267" i="216"/>
  <c r="AX267" i="216"/>
  <c r="BV267" i="216"/>
  <c r="BN267" i="216"/>
  <c r="CB267" i="216"/>
  <c r="CO268" i="216"/>
  <c r="DJ268" i="216"/>
  <c r="DB268" i="216"/>
  <c r="EI268" i="216"/>
  <c r="BK269" i="216"/>
  <c r="CF269" i="216"/>
  <c r="BX269" i="216"/>
  <c r="O283" i="216"/>
  <c r="R276" i="216"/>
  <c r="AD276" i="216"/>
  <c r="CN283" i="216"/>
  <c r="EL277" i="216"/>
  <c r="EL283" i="216" s="1"/>
  <c r="BL279" i="216"/>
  <c r="BD279" i="216"/>
  <c r="BR279" i="216"/>
  <c r="AB280" i="216"/>
  <c r="BH280" i="216"/>
  <c r="DI280" i="216"/>
  <c r="EC280" i="216"/>
  <c r="DN281" i="216"/>
  <c r="DT281" i="216"/>
  <c r="EE281" i="216"/>
  <c r="U409" i="216"/>
  <c r="EK282" i="216"/>
  <c r="T282" i="216"/>
  <c r="AK409" i="216"/>
  <c r="AR282" i="216"/>
  <c r="AR409" i="216" s="1"/>
  <c r="AJ282" i="216"/>
  <c r="AY409" i="216"/>
  <c r="AX282" i="216"/>
  <c r="AY288" i="216"/>
  <c r="AX286" i="216"/>
  <c r="CS288" i="216"/>
  <c r="CR288" i="216" s="1"/>
  <c r="CZ286" i="216"/>
  <c r="CR286" i="216"/>
  <c r="EA288" i="216"/>
  <c r="EP286" i="216"/>
  <c r="DZ286" i="216"/>
  <c r="EK287" i="216"/>
  <c r="T287" i="216"/>
  <c r="U288" i="216"/>
  <c r="T288" i="216" s="1"/>
  <c r="CM328" i="216"/>
  <c r="CP291" i="216"/>
  <c r="CL291" i="216"/>
  <c r="EI293" i="216"/>
  <c r="EP293" i="216"/>
  <c r="DZ293" i="216"/>
  <c r="ED293" i="216"/>
  <c r="EC293" i="216" s="1"/>
  <c r="BV294" i="216"/>
  <c r="AD302" i="216"/>
  <c r="AH302" i="216"/>
  <c r="AG302" i="216" s="1"/>
  <c r="CL303" i="216"/>
  <c r="CE318" i="216"/>
  <c r="CB318" i="216"/>
  <c r="DZ319" i="216"/>
  <c r="EE324" i="216"/>
  <c r="EH324" i="216" s="1"/>
  <c r="ED240" i="216"/>
  <c r="EC240" i="216" s="1"/>
  <c r="DV240" i="216"/>
  <c r="EI241" i="216"/>
  <c r="BK242" i="216"/>
  <c r="EL243" i="216"/>
  <c r="BL243" i="216"/>
  <c r="AG244" i="216"/>
  <c r="CV244" i="216"/>
  <c r="EP245" i="216"/>
  <c r="BA246" i="216"/>
  <c r="CF246" i="216"/>
  <c r="BX246" i="216"/>
  <c r="BA247" i="216"/>
  <c r="CP247" i="216"/>
  <c r="CH247" i="216"/>
  <c r="DP247" i="216"/>
  <c r="BL248" i="216"/>
  <c r="BK248" i="216" s="1"/>
  <c r="BD248" i="216"/>
  <c r="P249" i="216"/>
  <c r="EE250" i="216"/>
  <c r="AR250" i="216"/>
  <c r="AJ250" i="216"/>
  <c r="BB251" i="216"/>
  <c r="BA251" i="216" s="1"/>
  <c r="AT251" i="216"/>
  <c r="CY251" i="216"/>
  <c r="BV253" i="216"/>
  <c r="BN253" i="216"/>
  <c r="CP253" i="216"/>
  <c r="BB254" i="216"/>
  <c r="CE254" i="216"/>
  <c r="EC254" i="216"/>
  <c r="EG255" i="216"/>
  <c r="BK255" i="216"/>
  <c r="AG256" i="216"/>
  <c r="BL256" i="216"/>
  <c r="BD256" i="216"/>
  <c r="AR257" i="216"/>
  <c r="DD257" i="216"/>
  <c r="CF258" i="216"/>
  <c r="BX258" i="216"/>
  <c r="CZ258" i="216"/>
  <c r="CO259" i="216"/>
  <c r="CB260" i="216"/>
  <c r="CZ260" i="216"/>
  <c r="CR260" i="216"/>
  <c r="EL261" i="216"/>
  <c r="EN261" i="216" s="1"/>
  <c r="EE262" i="216"/>
  <c r="AR263" i="216"/>
  <c r="AJ263" i="216"/>
  <c r="DJ263" i="216"/>
  <c r="DI263" i="216" s="1"/>
  <c r="DB263" i="216"/>
  <c r="EK263" i="216"/>
  <c r="BL264" i="216"/>
  <c r="X265" i="216"/>
  <c r="W265" i="216" s="1"/>
  <c r="DJ265" i="216"/>
  <c r="EI266" i="216"/>
  <c r="BB266" i="216"/>
  <c r="BA266" i="216" s="1"/>
  <c r="AT266" i="216"/>
  <c r="DJ266" i="216"/>
  <c r="DN266" i="216"/>
  <c r="DT266" i="216"/>
  <c r="EG266" i="216"/>
  <c r="AR267" i="216"/>
  <c r="BV268" i="216"/>
  <c r="BN268" i="216"/>
  <c r="AR269" i="216"/>
  <c r="AJ269" i="216"/>
  <c r="X276" i="216"/>
  <c r="AF283" i="216"/>
  <c r="BY283" i="216"/>
  <c r="CF276" i="216"/>
  <c r="CF283" i="216" s="1"/>
  <c r="BX276" i="216"/>
  <c r="CE277" i="216"/>
  <c r="CV277" i="216"/>
  <c r="DU283" i="216"/>
  <c r="X279" i="216"/>
  <c r="W279" i="216" s="1"/>
  <c r="P279" i="216"/>
  <c r="AD279" i="216"/>
  <c r="BF279" i="216"/>
  <c r="DI279" i="216"/>
  <c r="ED279" i="216"/>
  <c r="DV279" i="216"/>
  <c r="EE280" i="216"/>
  <c r="EF280" i="216" s="1"/>
  <c r="AD280" i="216"/>
  <c r="CO280" i="216"/>
  <c r="DJ280" i="216"/>
  <c r="DB280" i="216"/>
  <c r="BV281" i="216"/>
  <c r="BU281" i="216" s="1"/>
  <c r="BZ281" i="216"/>
  <c r="CF281" i="216"/>
  <c r="DC409" i="216"/>
  <c r="DJ282" i="216"/>
  <c r="DJ409" i="216" s="1"/>
  <c r="DB282" i="216"/>
  <c r="BZ288" i="216"/>
  <c r="S328" i="216"/>
  <c r="EI291" i="216"/>
  <c r="R291" i="216"/>
  <c r="BO328" i="216"/>
  <c r="BN328" i="216" s="1"/>
  <c r="BN291" i="216"/>
  <c r="BV291" i="216"/>
  <c r="DV292" i="216"/>
  <c r="DT294" i="216"/>
  <c r="DL294" i="216"/>
  <c r="AQ295" i="216"/>
  <c r="EE296" i="216"/>
  <c r="CL298" i="216"/>
  <c r="CP298" i="216"/>
  <c r="CO298" i="216" s="1"/>
  <c r="BA299" i="216"/>
  <c r="AT299" i="216"/>
  <c r="EE301" i="216"/>
  <c r="DZ305" i="216"/>
  <c r="EP305" i="216"/>
  <c r="CE309" i="216"/>
  <c r="DL309" i="216"/>
  <c r="DT309" i="216"/>
  <c r="BU316" i="216"/>
  <c r="BR326" i="216"/>
  <c r="BH336" i="216"/>
  <c r="BL336" i="216"/>
  <c r="BL414" i="216" s="1"/>
  <c r="BI414" i="216"/>
  <c r="BI344" i="216"/>
  <c r="DX361" i="216"/>
  <c r="EC361" i="216"/>
  <c r="DZ361" i="216"/>
  <c r="EL240" i="216"/>
  <c r="DX240" i="216"/>
  <c r="T241" i="216"/>
  <c r="BV241" i="216"/>
  <c r="EL242" i="216"/>
  <c r="CP242" i="216"/>
  <c r="CH242" i="216"/>
  <c r="AH243" i="216"/>
  <c r="BL244" i="216"/>
  <c r="BK244" i="216" s="1"/>
  <c r="BD244" i="216"/>
  <c r="EL246" i="216"/>
  <c r="BZ246" i="216"/>
  <c r="EL247" i="216"/>
  <c r="CJ247" i="216"/>
  <c r="AL250" i="216"/>
  <c r="EG251" i="216"/>
  <c r="AV251" i="216"/>
  <c r="AL252" i="216"/>
  <c r="BP253" i="216"/>
  <c r="DT253" i="216"/>
  <c r="EL254" i="216"/>
  <c r="BL254" i="216"/>
  <c r="EI255" i="216"/>
  <c r="AB255" i="216"/>
  <c r="ED255" i="216"/>
  <c r="EC255" i="216" s="1"/>
  <c r="DV255" i="216"/>
  <c r="BF256" i="216"/>
  <c r="DJ256" i="216"/>
  <c r="DZ256" i="216"/>
  <c r="AV257" i="216"/>
  <c r="EG258" i="216"/>
  <c r="BZ258" i="216"/>
  <c r="EL259" i="216"/>
  <c r="BV259" i="216"/>
  <c r="CT260" i="216"/>
  <c r="EF262" i="216"/>
  <c r="DF262" i="216"/>
  <c r="AL263" i="216"/>
  <c r="AX265" i="216"/>
  <c r="EK266" i="216"/>
  <c r="CZ267" i="216"/>
  <c r="CR267" i="216"/>
  <c r="AH268" i="216"/>
  <c r="Z268" i="216"/>
  <c r="EI276" i="216"/>
  <c r="AR276" i="216"/>
  <c r="AJ276" i="216"/>
  <c r="AK283" i="216"/>
  <c r="AZ283" i="216"/>
  <c r="BU276" i="216"/>
  <c r="CA283" i="216"/>
  <c r="BZ276" i="216"/>
  <c r="DE283" i="216"/>
  <c r="DD276" i="216"/>
  <c r="DJ276" i="216"/>
  <c r="ED276" i="216"/>
  <c r="DV276" i="216"/>
  <c r="BU277" i="216"/>
  <c r="ED278" i="216"/>
  <c r="EI279" i="216"/>
  <c r="CP279" i="216"/>
  <c r="CH279" i="216"/>
  <c r="BB280" i="216"/>
  <c r="BA280" i="216" s="1"/>
  <c r="BV280" i="216"/>
  <c r="BN280" i="216"/>
  <c r="AL281" i="216"/>
  <c r="AR281" i="216"/>
  <c r="AQ281" i="216" s="1"/>
  <c r="CZ281" i="216"/>
  <c r="CR281" i="216"/>
  <c r="BO409" i="216"/>
  <c r="BV282" i="216"/>
  <c r="BV409" i="216" s="1"/>
  <c r="BN282" i="216"/>
  <c r="DE409" i="216"/>
  <c r="DD282" i="216"/>
  <c r="AO288" i="216"/>
  <c r="AN288" i="216" s="1"/>
  <c r="AN286" i="216"/>
  <c r="EL288" i="216"/>
  <c r="AD287" i="216"/>
  <c r="AG287" i="216"/>
  <c r="BV287" i="216"/>
  <c r="BU287" i="216" s="1"/>
  <c r="DT287" i="216"/>
  <c r="DS287" i="216" s="1"/>
  <c r="DL287" i="216"/>
  <c r="AN294" i="216"/>
  <c r="EK294" i="216"/>
  <c r="EI299" i="216"/>
  <c r="DI299" i="216"/>
  <c r="EK302" i="216"/>
  <c r="CR302" i="216"/>
  <c r="CT302" i="216"/>
  <c r="AJ304" i="216"/>
  <c r="AR304" i="216"/>
  <c r="DS304" i="216"/>
  <c r="DI305" i="216"/>
  <c r="CL311" i="216"/>
  <c r="CP311" i="216"/>
  <c r="CB313" i="216"/>
  <c r="CF313" i="216"/>
  <c r="BL323" i="216"/>
  <c r="BK323" i="216" s="1"/>
  <c r="BD323" i="216"/>
  <c r="DG415" i="216"/>
  <c r="DF337" i="216"/>
  <c r="CR357" i="216"/>
  <c r="CS366" i="216"/>
  <c r="CR366" i="216" s="1"/>
  <c r="CZ357" i="216"/>
  <c r="BL242" i="216"/>
  <c r="BD242" i="216"/>
  <c r="BB243" i="216"/>
  <c r="BA243" i="216" s="1"/>
  <c r="AT243" i="216"/>
  <c r="EE245" i="216"/>
  <c r="AH245" i="216"/>
  <c r="Z245" i="216"/>
  <c r="BL247" i="216"/>
  <c r="BK247" i="216" s="1"/>
  <c r="DF247" i="216"/>
  <c r="X248" i="216"/>
  <c r="W248" i="216" s="1"/>
  <c r="P248" i="216"/>
  <c r="DT249" i="216"/>
  <c r="EI249" i="216"/>
  <c r="X252" i="216"/>
  <c r="W252" i="216" s="1"/>
  <c r="P252" i="216"/>
  <c r="EK253" i="216"/>
  <c r="EJ253" i="216" s="1"/>
  <c r="DZ253" i="216"/>
  <c r="AR254" i="216"/>
  <c r="AJ254" i="216"/>
  <c r="DF254" i="216"/>
  <c r="EE257" i="216"/>
  <c r="AH257" i="216"/>
  <c r="Z257" i="216"/>
  <c r="EI257" i="216"/>
  <c r="AT259" i="216"/>
  <c r="CZ259" i="216"/>
  <c r="DD259" i="216"/>
  <c r="DJ259" i="216"/>
  <c r="ED259" i="216"/>
  <c r="EC259" i="216" s="1"/>
  <c r="DV259" i="216"/>
  <c r="AH260" i="216"/>
  <c r="AL260" i="216"/>
  <c r="AR260" i="216"/>
  <c r="ED260" i="216"/>
  <c r="EC260" i="216" s="1"/>
  <c r="DV260" i="216"/>
  <c r="EE261" i="216"/>
  <c r="EJ261" i="216" s="1"/>
  <c r="ED262" i="216"/>
  <c r="EC262" i="216" s="1"/>
  <c r="BV263" i="216"/>
  <c r="BN263" i="216"/>
  <c r="DF263" i="216"/>
  <c r="ED263" i="216"/>
  <c r="EE265" i="216"/>
  <c r="EF265" i="216" s="1"/>
  <c r="AX266" i="216"/>
  <c r="CB266" i="216"/>
  <c r="CZ266" i="216"/>
  <c r="CR266" i="216"/>
  <c r="AH267" i="216"/>
  <c r="Z267" i="216"/>
  <c r="BL267" i="216"/>
  <c r="BD267" i="216"/>
  <c r="EE268" i="216"/>
  <c r="ED268" i="216"/>
  <c r="EC268" i="216" s="1"/>
  <c r="CZ269" i="216"/>
  <c r="DD269" i="216"/>
  <c r="DJ269" i="216"/>
  <c r="T276" i="216"/>
  <c r="CC283" i="216"/>
  <c r="CS283" i="216"/>
  <c r="DG283" i="216"/>
  <c r="DF283" i="216" s="1"/>
  <c r="DF276" i="216"/>
  <c r="EJ279" i="216"/>
  <c r="BB279" i="216"/>
  <c r="BA279" i="216" s="1"/>
  <c r="AT279" i="216"/>
  <c r="EN280" i="216"/>
  <c r="AX280" i="216"/>
  <c r="BL281" i="216"/>
  <c r="BK281" i="216" s="1"/>
  <c r="BD281" i="216"/>
  <c r="AA409" i="216"/>
  <c r="AH282" i="216"/>
  <c r="AH409" i="216" s="1"/>
  <c r="Z282" i="216"/>
  <c r="EG282" i="216"/>
  <c r="BQ409" i="216"/>
  <c r="BP282" i="216"/>
  <c r="X286" i="216"/>
  <c r="P286" i="216"/>
  <c r="EG286" i="216"/>
  <c r="BF286" i="216"/>
  <c r="BV288" i="216"/>
  <c r="CT293" i="216"/>
  <c r="EE294" i="216"/>
  <c r="DI294" i="216"/>
  <c r="DF294" i="216"/>
  <c r="DV302" i="216"/>
  <c r="BD307" i="216"/>
  <c r="BK307" i="216"/>
  <c r="AN308" i="216"/>
  <c r="EK308" i="216"/>
  <c r="BP312" i="216"/>
  <c r="BR314" i="216"/>
  <c r="AD323" i="216"/>
  <c r="AR326" i="216"/>
  <c r="AQ326" i="216" s="1"/>
  <c r="CV335" i="216"/>
  <c r="CZ335" i="216"/>
  <c r="EF357" i="216"/>
  <c r="AN357" i="216"/>
  <c r="AR357" i="216"/>
  <c r="AO366" i="216"/>
  <c r="AN366" i="216" s="1"/>
  <c r="BF370" i="216"/>
  <c r="EI370" i="216"/>
  <c r="EB272" i="216"/>
  <c r="CJ240" i="216"/>
  <c r="AH241" i="216"/>
  <c r="BB241" i="216"/>
  <c r="AT241" i="216"/>
  <c r="AH242" i="216"/>
  <c r="EG243" i="216"/>
  <c r="X244" i="216"/>
  <c r="W244" i="216" s="1"/>
  <c r="P244" i="216"/>
  <c r="AB245" i="216"/>
  <c r="BH245" i="216"/>
  <c r="EE246" i="216"/>
  <c r="AR246" i="216"/>
  <c r="AJ246" i="216"/>
  <c r="BB247" i="216"/>
  <c r="AT247" i="216"/>
  <c r="EI248" i="216"/>
  <c r="EK249" i="216"/>
  <c r="EJ249" i="216" s="1"/>
  <c r="DJ249" i="216"/>
  <c r="DB249" i="216"/>
  <c r="DT250" i="216"/>
  <c r="DS250" i="216" s="1"/>
  <c r="DL250" i="216"/>
  <c r="EK250" i="216"/>
  <c r="EJ250" i="216" s="1"/>
  <c r="EI251" i="216"/>
  <c r="CZ251" i="216"/>
  <c r="DP251" i="216"/>
  <c r="EI252" i="216"/>
  <c r="BV252" i="216"/>
  <c r="BU252" i="216" s="1"/>
  <c r="CY252" i="216"/>
  <c r="DS252" i="216"/>
  <c r="EL253" i="216"/>
  <c r="CE253" i="216"/>
  <c r="DJ253" i="216"/>
  <c r="DB253" i="216"/>
  <c r="EE254" i="216"/>
  <c r="AL254" i="216"/>
  <c r="EK254" i="216"/>
  <c r="BU256" i="216"/>
  <c r="CZ256" i="216"/>
  <c r="CR256" i="216"/>
  <c r="DT256" i="216"/>
  <c r="AB257" i="216"/>
  <c r="CF257" i="216"/>
  <c r="CE257" i="216" s="1"/>
  <c r="DI257" i="216"/>
  <c r="X258" i="216"/>
  <c r="W258" i="216" s="1"/>
  <c r="DT258" i="216"/>
  <c r="DS258" i="216" s="1"/>
  <c r="DL258" i="216"/>
  <c r="BL260" i="216"/>
  <c r="BD260" i="216"/>
  <c r="BR260" i="216"/>
  <c r="CP260" i="216"/>
  <c r="CH260" i="216"/>
  <c r="CP261" i="216"/>
  <c r="EI262" i="216"/>
  <c r="DX262" i="216"/>
  <c r="AH263" i="216"/>
  <c r="Z263" i="216"/>
  <c r="CE263" i="216"/>
  <c r="ER264" i="216"/>
  <c r="EM264" i="216"/>
  <c r="CT266" i="216"/>
  <c r="ED266" i="216"/>
  <c r="EC266" i="216" s="1"/>
  <c r="DV266" i="216"/>
  <c r="AB267" i="216"/>
  <c r="BU267" i="216"/>
  <c r="DZ267" i="216"/>
  <c r="CT268" i="216"/>
  <c r="CZ268" i="216"/>
  <c r="BP269" i="216"/>
  <c r="BV269" i="216"/>
  <c r="ED269" i="216"/>
  <c r="EC269" i="216" s="1"/>
  <c r="DV269" i="216"/>
  <c r="AN276" i="216"/>
  <c r="BF276" i="216"/>
  <c r="BC283" i="216"/>
  <c r="CW283" i="216"/>
  <c r="CV276" i="216"/>
  <c r="AD277" i="216"/>
  <c r="DI277" i="216"/>
  <c r="DT277" i="216"/>
  <c r="DS277" i="216" s="1"/>
  <c r="DJ278" i="216"/>
  <c r="DB278" i="216"/>
  <c r="AQ279" i="216"/>
  <c r="BK279" i="216"/>
  <c r="R280" i="216"/>
  <c r="X280" i="216"/>
  <c r="W280" i="216" s="1"/>
  <c r="AR280" i="216"/>
  <c r="AQ280" i="216" s="1"/>
  <c r="AJ280" i="216"/>
  <c r="BR280" i="216"/>
  <c r="X281" i="216"/>
  <c r="W281" i="216" s="1"/>
  <c r="P281" i="216"/>
  <c r="BF281" i="216"/>
  <c r="DI281" i="216"/>
  <c r="ED281" i="216"/>
  <c r="EC281" i="216" s="1"/>
  <c r="DV281" i="216"/>
  <c r="AC409" i="216"/>
  <c r="AB282" i="216"/>
  <c r="AQ282" i="216"/>
  <c r="AQ409" i="216" s="1"/>
  <c r="CG409" i="216"/>
  <c r="CJ282" i="216"/>
  <c r="S288" i="216"/>
  <c r="R288" i="216" s="1"/>
  <c r="EI286" i="216"/>
  <c r="R286" i="216"/>
  <c r="CL288" i="216"/>
  <c r="AB287" i="216"/>
  <c r="CU328" i="216"/>
  <c r="CT291" i="216"/>
  <c r="DL296" i="216"/>
  <c r="BB301" i="216"/>
  <c r="AT301" i="216"/>
  <c r="CE301" i="216"/>
  <c r="CO302" i="216"/>
  <c r="BP304" i="216"/>
  <c r="CY305" i="216"/>
  <c r="EE305" i="216"/>
  <c r="EJ305" i="216" s="1"/>
  <c r="CR305" i="216"/>
  <c r="DX308" i="216"/>
  <c r="BL313" i="216"/>
  <c r="BD313" i="216"/>
  <c r="EG313" i="216"/>
  <c r="EE323" i="216"/>
  <c r="CJ340" i="216"/>
  <c r="CP340" i="216"/>
  <c r="DT340" i="216"/>
  <c r="DL340" i="216"/>
  <c r="ED349" i="216"/>
  <c r="DV349" i="216"/>
  <c r="EI283" i="216"/>
  <c r="EL282" i="216"/>
  <c r="EL409" i="216" s="1"/>
  <c r="S283" i="216"/>
  <c r="DW283" i="216"/>
  <c r="DV283" i="216" s="1"/>
  <c r="DM288" i="216"/>
  <c r="AP328" i="216"/>
  <c r="BC328" i="216"/>
  <c r="BQ328" i="216"/>
  <c r="BP328" i="216" s="1"/>
  <c r="CA328" i="216"/>
  <c r="EI292" i="216"/>
  <c r="AD292" i="216"/>
  <c r="X294" i="216"/>
  <c r="W294" i="216" s="1"/>
  <c r="P294" i="216"/>
  <c r="CB294" i="216"/>
  <c r="DJ294" i="216"/>
  <c r="EE295" i="216"/>
  <c r="BV297" i="216"/>
  <c r="BU297" i="216" s="1"/>
  <c r="BN297" i="216"/>
  <c r="AG298" i="216"/>
  <c r="EC298" i="216"/>
  <c r="BL299" i="216"/>
  <c r="BK299" i="216" s="1"/>
  <c r="BD299" i="216"/>
  <c r="CY300" i="216"/>
  <c r="BU302" i="216"/>
  <c r="CE302" i="216"/>
  <c r="CH302" i="216"/>
  <c r="AQ303" i="216"/>
  <c r="CP303" i="216"/>
  <c r="CO303" i="216" s="1"/>
  <c r="EG304" i="216"/>
  <c r="BH304" i="216"/>
  <c r="CY304" i="216"/>
  <c r="DI304" i="216"/>
  <c r="DL304" i="216"/>
  <c r="EK304" i="216"/>
  <c r="EL305" i="216"/>
  <c r="BB305" i="216"/>
  <c r="BA305" i="216" s="1"/>
  <c r="AT305" i="216"/>
  <c r="DJ305" i="216"/>
  <c r="DB305" i="216"/>
  <c r="BV306" i="216"/>
  <c r="BN306" i="216"/>
  <c r="ED306" i="216"/>
  <c r="EC306" i="216" s="1"/>
  <c r="DV306" i="216"/>
  <c r="AG307" i="216"/>
  <c r="AQ307" i="216"/>
  <c r="AT307" i="216"/>
  <c r="EC307" i="216"/>
  <c r="EE307" i="216"/>
  <c r="BK309" i="216"/>
  <c r="BU309" i="216"/>
  <c r="BX309" i="216"/>
  <c r="AH311" i="216"/>
  <c r="AG311" i="216" s="1"/>
  <c r="Z311" i="216"/>
  <c r="CB311" i="216"/>
  <c r="X312" i="216"/>
  <c r="W312" i="216" s="1"/>
  <c r="P312" i="216"/>
  <c r="EK313" i="216"/>
  <c r="BA313" i="216"/>
  <c r="EK314" i="216"/>
  <c r="CF315" i="216"/>
  <c r="CE315" i="216" s="1"/>
  <c r="DT315" i="216"/>
  <c r="DS315" i="216" s="1"/>
  <c r="EE316" i="216"/>
  <c r="CY316" i="216"/>
  <c r="EI318" i="216"/>
  <c r="R318" i="216"/>
  <c r="DZ318" i="216"/>
  <c r="AR320" i="216"/>
  <c r="AQ320" i="216" s="1"/>
  <c r="AQ321" i="216"/>
  <c r="X323" i="216"/>
  <c r="W323" i="216" s="1"/>
  <c r="P323" i="216"/>
  <c r="BA323" i="216"/>
  <c r="R325" i="216"/>
  <c r="P325" i="216"/>
  <c r="BF325" i="216"/>
  <c r="BD325" i="216"/>
  <c r="AN326" i="216"/>
  <c r="EK332" i="216"/>
  <c r="O412" i="216"/>
  <c r="O417" i="216" s="1"/>
  <c r="R333" i="216"/>
  <c r="P333" i="216"/>
  <c r="BC412" i="216"/>
  <c r="BF333" i="216"/>
  <c r="BD333" i="216"/>
  <c r="BS412" i="216"/>
  <c r="BR333" i="216"/>
  <c r="BV333" i="216"/>
  <c r="DO412" i="216"/>
  <c r="DN333" i="216"/>
  <c r="T335" i="216"/>
  <c r="X335" i="216"/>
  <c r="W335" i="216" s="1"/>
  <c r="EK335" i="216"/>
  <c r="EE335" i="216"/>
  <c r="AK416" i="216"/>
  <c r="AR338" i="216"/>
  <c r="AJ338" i="216"/>
  <c r="DV339" i="216"/>
  <c r="ED339" i="216"/>
  <c r="EC339" i="216" s="1"/>
  <c r="EG340" i="216"/>
  <c r="ED341" i="216"/>
  <c r="EC341" i="216" s="1"/>
  <c r="T357" i="216"/>
  <c r="DM366" i="216"/>
  <c r="DL366" i="216" s="1"/>
  <c r="DT357" i="216"/>
  <c r="DL357" i="216"/>
  <c r="AD358" i="216"/>
  <c r="CK366" i="216"/>
  <c r="CJ366" i="216" s="1"/>
  <c r="EF359" i="216"/>
  <c r="X360" i="216"/>
  <c r="W360" i="216" s="1"/>
  <c r="P360" i="216"/>
  <c r="EG360" i="216"/>
  <c r="AT363" i="216"/>
  <c r="BA363" i="216"/>
  <c r="AV363" i="216"/>
  <c r="R369" i="216"/>
  <c r="EI369" i="216"/>
  <c r="BO377" i="216"/>
  <c r="BV369" i="216"/>
  <c r="BV377" i="216" s="1"/>
  <c r="BN369" i="216"/>
  <c r="CU377" i="216"/>
  <c r="CT369" i="216"/>
  <c r="BL371" i="216"/>
  <c r="BD371" i="216"/>
  <c r="EG371" i="216"/>
  <c r="CP372" i="216"/>
  <c r="CH372" i="216"/>
  <c r="BB373" i="216"/>
  <c r="AT373" i="216"/>
  <c r="EM380" i="216"/>
  <c r="AH380" i="216"/>
  <c r="Z380" i="216"/>
  <c r="AA387" i="216"/>
  <c r="AX380" i="216"/>
  <c r="BB380" i="216"/>
  <c r="AY387" i="216"/>
  <c r="DU328" i="216"/>
  <c r="EK292" i="216"/>
  <c r="EI294" i="216"/>
  <c r="DD294" i="216"/>
  <c r="EK297" i="216"/>
  <c r="DZ297" i="216"/>
  <c r="EP297" i="216"/>
  <c r="EE298" i="216"/>
  <c r="CZ299" i="216"/>
  <c r="CY299" i="216" s="1"/>
  <c r="CR299" i="216"/>
  <c r="EG299" i="216"/>
  <c r="EI300" i="216"/>
  <c r="AH301" i="216"/>
  <c r="AG301" i="216" s="1"/>
  <c r="Z301" i="216"/>
  <c r="CP301" i="216"/>
  <c r="CO301" i="216" s="1"/>
  <c r="CH301" i="216"/>
  <c r="AR303" i="216"/>
  <c r="AJ303" i="216"/>
  <c r="CJ303" i="216"/>
  <c r="EI308" i="216"/>
  <c r="BL308" i="216"/>
  <c r="BK308" i="216" s="1"/>
  <c r="BD308" i="216"/>
  <c r="BP308" i="216"/>
  <c r="DT308" i="216"/>
  <c r="DS308" i="216" s="1"/>
  <c r="DL308" i="216"/>
  <c r="EE310" i="216"/>
  <c r="EE311" i="216"/>
  <c r="BV311" i="216"/>
  <c r="BN311" i="216"/>
  <c r="DJ311" i="216"/>
  <c r="DI311" i="216" s="1"/>
  <c r="DB311" i="216"/>
  <c r="DZ311" i="216"/>
  <c r="EP311" i="216"/>
  <c r="EZ312" i="216"/>
  <c r="EH312" i="216"/>
  <c r="BA312" i="216"/>
  <c r="BL312" i="216"/>
  <c r="BK312" i="216" s="1"/>
  <c r="BD312" i="216"/>
  <c r="EG312" i="216"/>
  <c r="EL313" i="216"/>
  <c r="AQ313" i="216"/>
  <c r="CZ313" i="216"/>
  <c r="CY313" i="216" s="1"/>
  <c r="CR313" i="216"/>
  <c r="AQ314" i="216"/>
  <c r="BB314" i="216"/>
  <c r="BA314" i="216" s="1"/>
  <c r="AT314" i="216"/>
  <c r="CE314" i="216"/>
  <c r="CP314" i="216"/>
  <c r="CO314" i="216" s="1"/>
  <c r="CH314" i="216"/>
  <c r="ED314" i="216"/>
  <c r="EF316" i="216"/>
  <c r="EI317" i="216"/>
  <c r="BB318" i="216"/>
  <c r="BA318" i="216" s="1"/>
  <c r="BZ318" i="216"/>
  <c r="CT320" i="216"/>
  <c r="CR320" i="216"/>
  <c r="AG321" i="216"/>
  <c r="EI323" i="216"/>
  <c r="EZ324" i="216"/>
  <c r="EF325" i="216"/>
  <c r="DF325" i="216"/>
  <c r="DJ325" i="216"/>
  <c r="AZ411" i="216"/>
  <c r="AZ417" i="216" s="1"/>
  <c r="AZ344" i="216"/>
  <c r="EG335" i="216"/>
  <c r="AJ335" i="216"/>
  <c r="AR335" i="216"/>
  <c r="EA415" i="216"/>
  <c r="EP337" i="216"/>
  <c r="DZ337" i="216"/>
  <c r="EK338" i="216"/>
  <c r="EE339" i="216"/>
  <c r="EF339" i="216" s="1"/>
  <c r="BA339" i="216"/>
  <c r="AX339" i="216"/>
  <c r="AT339" i="216"/>
  <c r="AL341" i="216"/>
  <c r="AR341" i="216"/>
  <c r="EM342" i="216"/>
  <c r="EH342" i="216"/>
  <c r="EZ342" i="216"/>
  <c r="EL357" i="216"/>
  <c r="BJ366" i="216"/>
  <c r="CV357" i="216"/>
  <c r="BD358" i="216"/>
  <c r="DN360" i="216"/>
  <c r="DT360" i="216"/>
  <c r="DT362" i="216"/>
  <c r="DL362" i="216"/>
  <c r="BK372" i="216"/>
  <c r="BF372" i="216"/>
  <c r="EF375" i="216"/>
  <c r="EM375" i="216"/>
  <c r="EH375" i="216"/>
  <c r="EZ375" i="216"/>
  <c r="DZ381" i="216"/>
  <c r="EP381" i="216"/>
  <c r="ED381" i="216"/>
  <c r="BL390" i="216"/>
  <c r="BD390" i="216"/>
  <c r="CR240" i="216"/>
  <c r="P243" i="216"/>
  <c r="X243" i="216"/>
  <c r="W243" i="216" s="1"/>
  <c r="BD243" i="216"/>
  <c r="CR243" i="216"/>
  <c r="R244" i="216"/>
  <c r="Z244" i="216"/>
  <c r="BN244" i="216"/>
  <c r="DB244" i="216"/>
  <c r="T245" i="216"/>
  <c r="AJ245" i="216"/>
  <c r="BX245" i="216"/>
  <c r="DL245" i="216"/>
  <c r="AT246" i="216"/>
  <c r="CH246" i="216"/>
  <c r="DV246" i="216"/>
  <c r="P247" i="216"/>
  <c r="X247" i="216"/>
  <c r="W247" i="216" s="1"/>
  <c r="BD247" i="216"/>
  <c r="CR247" i="216"/>
  <c r="R248" i="216"/>
  <c r="Z248" i="216"/>
  <c r="BN248" i="216"/>
  <c r="DB248" i="216"/>
  <c r="T249" i="216"/>
  <c r="AJ249" i="216"/>
  <c r="BX249" i="216"/>
  <c r="DL249" i="216"/>
  <c r="AT250" i="216"/>
  <c r="CH250" i="216"/>
  <c r="DV250" i="216"/>
  <c r="P251" i="216"/>
  <c r="X251" i="216"/>
  <c r="W251" i="216" s="1"/>
  <c r="BD251" i="216"/>
  <c r="CR251" i="216"/>
  <c r="R252" i="216"/>
  <c r="Z252" i="216"/>
  <c r="BN252" i="216"/>
  <c r="DB252" i="216"/>
  <c r="T253" i="216"/>
  <c r="AJ253" i="216"/>
  <c r="BX253" i="216"/>
  <c r="DL253" i="216"/>
  <c r="AT254" i="216"/>
  <c r="CH254" i="216"/>
  <c r="DV254" i="216"/>
  <c r="P255" i="216"/>
  <c r="X255" i="216"/>
  <c r="W255" i="216" s="1"/>
  <c r="BD255" i="216"/>
  <c r="CR255" i="216"/>
  <c r="R256" i="216"/>
  <c r="Z256" i="216"/>
  <c r="BN256" i="216"/>
  <c r="DB256" i="216"/>
  <c r="T257" i="216"/>
  <c r="AJ257" i="216"/>
  <c r="BX257" i="216"/>
  <c r="DL257" i="216"/>
  <c r="AT258" i="216"/>
  <c r="CH258" i="216"/>
  <c r="DV258" i="216"/>
  <c r="P259" i="216"/>
  <c r="X259" i="216"/>
  <c r="W259" i="216" s="1"/>
  <c r="BD259" i="216"/>
  <c r="CR259" i="216"/>
  <c r="R260" i="216"/>
  <c r="Z260" i="216"/>
  <c r="BN260" i="216"/>
  <c r="DB260" i="216"/>
  <c r="AT263" i="216"/>
  <c r="CH263" i="216"/>
  <c r="DV263" i="216"/>
  <c r="EP265" i="216"/>
  <c r="R266" i="216"/>
  <c r="Z266" i="216"/>
  <c r="BN266" i="216"/>
  <c r="DB266" i="216"/>
  <c r="T267" i="216"/>
  <c r="AJ267" i="216"/>
  <c r="BX267" i="216"/>
  <c r="DL267" i="216"/>
  <c r="AT268" i="216"/>
  <c r="CH268" i="216"/>
  <c r="DV268" i="216"/>
  <c r="P269" i="216"/>
  <c r="X269" i="216"/>
  <c r="W269" i="216" s="1"/>
  <c r="BD269" i="216"/>
  <c r="CR269" i="216"/>
  <c r="P276" i="216"/>
  <c r="BD276" i="216"/>
  <c r="BL276" i="216"/>
  <c r="BK276" i="216" s="1"/>
  <c r="CB276" i="216"/>
  <c r="CR276" i="216"/>
  <c r="CZ276" i="216"/>
  <c r="DP276" i="216"/>
  <c r="DV278" i="216"/>
  <c r="R279" i="216"/>
  <c r="Z279" i="216"/>
  <c r="BN279" i="216"/>
  <c r="DB279" i="216"/>
  <c r="AT280" i="216"/>
  <c r="CH280" i="216"/>
  <c r="DV280" i="216"/>
  <c r="R281" i="216"/>
  <c r="Z281" i="216"/>
  <c r="BN281" i="216"/>
  <c r="DB281" i="216"/>
  <c r="AD282" i="216"/>
  <c r="AL282" i="216"/>
  <c r="AT282" i="216"/>
  <c r="BB282" i="216"/>
  <c r="BB409" i="216" s="1"/>
  <c r="BR282" i="216"/>
  <c r="BZ282" i="216"/>
  <c r="CH282" i="216"/>
  <c r="CP282" i="216"/>
  <c r="CP409" i="216" s="1"/>
  <c r="DF282" i="216"/>
  <c r="DN282" i="216"/>
  <c r="DV282" i="216"/>
  <c r="EE282" i="216"/>
  <c r="EK286" i="216"/>
  <c r="AZ288" i="216"/>
  <c r="DQ288" i="216"/>
  <c r="DP286" i="216"/>
  <c r="AH287" i="216"/>
  <c r="AH288" i="216" s="1"/>
  <c r="BF287" i="216"/>
  <c r="BR287" i="216"/>
  <c r="U328" i="216"/>
  <c r="BS328" i="216"/>
  <c r="BR328" i="216" s="1"/>
  <c r="CD328" i="216"/>
  <c r="CN328" i="216"/>
  <c r="DI291" i="216"/>
  <c r="DK328" i="216"/>
  <c r="DL291" i="216"/>
  <c r="EK293" i="216"/>
  <c r="AQ293" i="216"/>
  <c r="DS293" i="216"/>
  <c r="BL294" i="216"/>
  <c r="BK294" i="216" s="1"/>
  <c r="BD294" i="216"/>
  <c r="AB295" i="216"/>
  <c r="BR295" i="216"/>
  <c r="EI296" i="216"/>
  <c r="AX296" i="216"/>
  <c r="CO296" i="216"/>
  <c r="EK296" i="216"/>
  <c r="EJ296" i="216" s="1"/>
  <c r="EL297" i="216"/>
  <c r="BB297" i="216"/>
  <c r="BA297" i="216" s="1"/>
  <c r="AT297" i="216"/>
  <c r="BF297" i="216"/>
  <c r="DJ297" i="216"/>
  <c r="DI297" i="216" s="1"/>
  <c r="DB297" i="216"/>
  <c r="EG298" i="216"/>
  <c r="AL298" i="216"/>
  <c r="AR299" i="216"/>
  <c r="AQ299" i="216" s="1"/>
  <c r="AJ299" i="216"/>
  <c r="AV299" i="216"/>
  <c r="CV299" i="216"/>
  <c r="EK299" i="216"/>
  <c r="AD300" i="216"/>
  <c r="CP300" i="216"/>
  <c r="CO300" i="216" s="1"/>
  <c r="DD300" i="216"/>
  <c r="EG301" i="216"/>
  <c r="AN301" i="216"/>
  <c r="BU301" i="216"/>
  <c r="AQ302" i="216"/>
  <c r="DF302" i="216"/>
  <c r="EE303" i="216"/>
  <c r="DI303" i="216"/>
  <c r="ED303" i="216"/>
  <c r="EC303" i="216" s="1"/>
  <c r="EK303" i="216"/>
  <c r="EJ303" i="216" s="1"/>
  <c r="T304" i="216"/>
  <c r="AL305" i="216"/>
  <c r="CP305" i="216"/>
  <c r="CO305" i="216" s="1"/>
  <c r="CH305" i="216"/>
  <c r="CT305" i="216"/>
  <c r="EK306" i="216"/>
  <c r="BF306" i="216"/>
  <c r="DJ306" i="216"/>
  <c r="DI306" i="216" s="1"/>
  <c r="DB306" i="216"/>
  <c r="DZ306" i="216"/>
  <c r="EP306" i="216"/>
  <c r="EG307" i="216"/>
  <c r="BH307" i="216"/>
  <c r="AG308" i="216"/>
  <c r="BB308" i="216"/>
  <c r="BA308" i="216" s="1"/>
  <c r="BR308" i="216"/>
  <c r="CY308" i="216"/>
  <c r="EE309" i="216"/>
  <c r="CV309" i="216"/>
  <c r="P310" i="216"/>
  <c r="AH310" i="216"/>
  <c r="AG310" i="216" s="1"/>
  <c r="Z310" i="216"/>
  <c r="BZ310" i="216"/>
  <c r="EG311" i="216"/>
  <c r="BB311" i="216"/>
  <c r="DP311" i="216"/>
  <c r="EK312" i="216"/>
  <c r="EJ312" i="216" s="1"/>
  <c r="CO312" i="216"/>
  <c r="CZ312" i="216"/>
  <c r="CY312" i="216" s="1"/>
  <c r="CR312" i="216"/>
  <c r="BU313" i="216"/>
  <c r="DF313" i="216"/>
  <c r="DS314" i="216"/>
  <c r="R315" i="216"/>
  <c r="EK316" i="216"/>
  <c r="EJ316" i="216" s="1"/>
  <c r="CJ317" i="216"/>
  <c r="EK317" i="216"/>
  <c r="EL318" i="216"/>
  <c r="DP319" i="216"/>
  <c r="BP320" i="216"/>
  <c r="DD323" i="216"/>
  <c r="DB323" i="216"/>
  <c r="BA324" i="216"/>
  <c r="CO324" i="216"/>
  <c r="ED324" i="216"/>
  <c r="EI325" i="216"/>
  <c r="AD325" i="216"/>
  <c r="AH325" i="216"/>
  <c r="BA325" i="216"/>
  <c r="CP325" i="216"/>
  <c r="CO325" i="216" s="1"/>
  <c r="CH325" i="216"/>
  <c r="CV325" i="216"/>
  <c r="ED325" i="216"/>
  <c r="EC325" i="216" s="1"/>
  <c r="DV325" i="216"/>
  <c r="EE326" i="216"/>
  <c r="EJ326" i="216" s="1"/>
  <c r="BA326" i="216"/>
  <c r="CF326" i="216"/>
  <c r="CE326" i="216" s="1"/>
  <c r="DX326" i="216"/>
  <c r="BR332" i="216"/>
  <c r="AE412" i="216"/>
  <c r="AD333" i="216"/>
  <c r="AH333" i="216"/>
  <c r="AH412" i="216" s="1"/>
  <c r="BA333" i="216"/>
  <c r="BA412" i="216" s="1"/>
  <c r="CQ412" i="216"/>
  <c r="CT333" i="216"/>
  <c r="CR333" i="216"/>
  <c r="CY335" i="216"/>
  <c r="BR336" i="216"/>
  <c r="BS414" i="216"/>
  <c r="CM414" i="216"/>
  <c r="CL336" i="216"/>
  <c r="DO414" i="216"/>
  <c r="DN336" i="216"/>
  <c r="DL339" i="216"/>
  <c r="DT339" i="216"/>
  <c r="EI340" i="216"/>
  <c r="DB340" i="216"/>
  <c r="DJ340" i="216"/>
  <c r="DD341" i="216"/>
  <c r="DB341" i="216"/>
  <c r="Z366" i="216"/>
  <c r="AV357" i="216"/>
  <c r="AW366" i="216"/>
  <c r="AV366" i="216" s="1"/>
  <c r="BB357" i="216"/>
  <c r="CN366" i="216"/>
  <c r="ED359" i="216"/>
  <c r="BB360" i="216"/>
  <c r="AT360" i="216"/>
  <c r="EL361" i="216"/>
  <c r="CR361" i="216"/>
  <c r="EE361" i="216"/>
  <c r="EM361" i="216" s="1"/>
  <c r="CY361" i="216"/>
  <c r="CT361" i="216"/>
  <c r="AR362" i="216"/>
  <c r="AJ362" i="216"/>
  <c r="CH371" i="216"/>
  <c r="CP371" i="216"/>
  <c r="CI377" i="216"/>
  <c r="S377" i="216"/>
  <c r="AT261" i="216"/>
  <c r="CH261" i="216"/>
  <c r="DV261" i="216"/>
  <c r="AT262" i="216"/>
  <c r="CH262" i="216"/>
  <c r="DV262" i="216"/>
  <c r="P264" i="216"/>
  <c r="X264" i="216"/>
  <c r="W264" i="216" s="1"/>
  <c r="BD264" i="216"/>
  <c r="CR264" i="216"/>
  <c r="R265" i="216"/>
  <c r="Z265" i="216"/>
  <c r="BN265" i="216"/>
  <c r="DB265" i="216"/>
  <c r="EF270" i="216"/>
  <c r="EF271" i="216"/>
  <c r="Q283" i="216"/>
  <c r="P283" i="216" s="1"/>
  <c r="DI276" i="216"/>
  <c r="EG276" i="216"/>
  <c r="T277" i="216"/>
  <c r="AJ277" i="216"/>
  <c r="BX277" i="216"/>
  <c r="DL277" i="216"/>
  <c r="BK282" i="216"/>
  <c r="BK409" i="216" s="1"/>
  <c r="CY282" i="216"/>
  <c r="CY409" i="216" s="1"/>
  <c r="BY288" i="216"/>
  <c r="BX288" i="216" s="1"/>
  <c r="DJ287" i="216"/>
  <c r="DI287" i="216" s="1"/>
  <c r="DP287" i="216"/>
  <c r="DC288" i="216"/>
  <c r="DB288" i="216" s="1"/>
  <c r="AU328" i="216"/>
  <c r="AT328" i="216" s="1"/>
  <c r="BG328" i="216"/>
  <c r="BF328" i="216" s="1"/>
  <c r="DM328" i="216"/>
  <c r="DL328" i="216" s="1"/>
  <c r="DW328" i="216"/>
  <c r="CF292" i="216"/>
  <c r="CZ294" i="216"/>
  <c r="CY294" i="216" s="1"/>
  <c r="CR294" i="216"/>
  <c r="EG294" i="216"/>
  <c r="EI295" i="216"/>
  <c r="AN295" i="216"/>
  <c r="DS295" i="216"/>
  <c r="EG295" i="216"/>
  <c r="T296" i="216"/>
  <c r="DX296" i="216"/>
  <c r="AR297" i="216"/>
  <c r="AQ297" i="216" s="1"/>
  <c r="BH297" i="216"/>
  <c r="AX298" i="216"/>
  <c r="CZ298" i="216"/>
  <c r="CY298" i="216" s="1"/>
  <c r="DN298" i="216"/>
  <c r="AH299" i="216"/>
  <c r="AG299" i="216" s="1"/>
  <c r="AX299" i="216"/>
  <c r="R301" i="216"/>
  <c r="BV301" i="216"/>
  <c r="BN301" i="216"/>
  <c r="BZ301" i="216"/>
  <c r="ED301" i="216"/>
  <c r="EC301" i="216" s="1"/>
  <c r="DV301" i="216"/>
  <c r="AR302" i="216"/>
  <c r="BF302" i="216"/>
  <c r="CV302" i="216"/>
  <c r="X303" i="216"/>
  <c r="W303" i="216" s="1"/>
  <c r="P303" i="216"/>
  <c r="AB303" i="216"/>
  <c r="CF303" i="216"/>
  <c r="CE303" i="216" s="1"/>
  <c r="BX303" i="216"/>
  <c r="DX303" i="216"/>
  <c r="CJ304" i="216"/>
  <c r="DZ304" i="216"/>
  <c r="AN305" i="216"/>
  <c r="CF305" i="216"/>
  <c r="CE305" i="216" s="1"/>
  <c r="CV305" i="216"/>
  <c r="EC305" i="216"/>
  <c r="EI305" i="216"/>
  <c r="EL306" i="216"/>
  <c r="BH306" i="216"/>
  <c r="CZ306" i="216"/>
  <c r="CY306" i="216" s="1"/>
  <c r="DP306" i="216"/>
  <c r="R307" i="216"/>
  <c r="DI307" i="216"/>
  <c r="DT307" i="216"/>
  <c r="EL308" i="216"/>
  <c r="AV308" i="216"/>
  <c r="CZ308" i="216"/>
  <c r="CR308" i="216"/>
  <c r="DD308" i="216"/>
  <c r="AH309" i="216"/>
  <c r="AG309" i="216" s="1"/>
  <c r="AV309" i="216"/>
  <c r="CL309" i="216"/>
  <c r="EG310" i="216"/>
  <c r="CB310" i="216"/>
  <c r="CZ310" i="216"/>
  <c r="DN310" i="216"/>
  <c r="DZ310" i="216"/>
  <c r="EP310" i="216"/>
  <c r="BK311" i="216"/>
  <c r="CO311" i="216"/>
  <c r="CZ311" i="216"/>
  <c r="CY311" i="216" s="1"/>
  <c r="ED311" i="216"/>
  <c r="CE313" i="216"/>
  <c r="CP313" i="216"/>
  <c r="CO313" i="216" s="1"/>
  <c r="DT313" i="216"/>
  <c r="AG314" i="216"/>
  <c r="EI315" i="216"/>
  <c r="BP315" i="216"/>
  <c r="CT315" i="216"/>
  <c r="EE315" i="216"/>
  <c r="EI316" i="216"/>
  <c r="CJ316" i="216"/>
  <c r="AV317" i="216"/>
  <c r="CF317" i="216"/>
  <c r="CE317" i="216" s="1"/>
  <c r="BX317" i="216"/>
  <c r="X318" i="216"/>
  <c r="W318" i="216" s="1"/>
  <c r="AL318" i="216"/>
  <c r="BL318" i="216"/>
  <c r="R320" i="216"/>
  <c r="P320" i="216"/>
  <c r="BF320" i="216"/>
  <c r="BD320" i="216"/>
  <c r="BR320" i="216"/>
  <c r="BV320" i="216"/>
  <c r="BU320" i="216" s="1"/>
  <c r="CO320" i="216"/>
  <c r="DF320" i="216"/>
  <c r="DJ320" i="216"/>
  <c r="DI320" i="216" s="1"/>
  <c r="EC320" i="216"/>
  <c r="BK321" i="216"/>
  <c r="BR321" i="216"/>
  <c r="CO321" i="216"/>
  <c r="EC321" i="216"/>
  <c r="EK323" i="216"/>
  <c r="EJ323" i="216" s="1"/>
  <c r="BZ323" i="216"/>
  <c r="AQ324" i="216"/>
  <c r="CE324" i="216"/>
  <c r="DS324" i="216"/>
  <c r="DX324" i="216"/>
  <c r="EK325" i="216"/>
  <c r="EJ325" i="216" s="1"/>
  <c r="BB325" i="216"/>
  <c r="AT325" i="216"/>
  <c r="BH325" i="216"/>
  <c r="CE325" i="216"/>
  <c r="DS325" i="216"/>
  <c r="BH326" i="216"/>
  <c r="CB326" i="216"/>
  <c r="CZ326" i="216"/>
  <c r="CY326" i="216" s="1"/>
  <c r="O328" i="216"/>
  <c r="BT417" i="216"/>
  <c r="CP411" i="216"/>
  <c r="ED332" i="216"/>
  <c r="EC332" i="216" s="1"/>
  <c r="EC411" i="216" s="1"/>
  <c r="EK333" i="216"/>
  <c r="AU412" i="216"/>
  <c r="BB333" i="216"/>
  <c r="BB412" i="216" s="1"/>
  <c r="AT333" i="216"/>
  <c r="AH335" i="216"/>
  <c r="AG335" i="216" s="1"/>
  <c r="BK335" i="216"/>
  <c r="BP335" i="216"/>
  <c r="DQ416" i="216"/>
  <c r="DP338" i="216"/>
  <c r="EC340" i="216"/>
  <c r="AX344" i="216"/>
  <c r="BP357" i="216"/>
  <c r="AL358" i="216"/>
  <c r="CC366" i="216"/>
  <c r="CB366" i="216" s="1"/>
  <c r="EN374" i="216"/>
  <c r="EJ374" i="216"/>
  <c r="EA387" i="216"/>
  <c r="CP392" i="216"/>
  <c r="CH392" i="216"/>
  <c r="DT411" i="216"/>
  <c r="EP264" i="216"/>
  <c r="EM275" i="216"/>
  <c r="AP283" i="216"/>
  <c r="CD283" i="216"/>
  <c r="DR283" i="216"/>
  <c r="Y288" i="216"/>
  <c r="AG288" i="216" s="1"/>
  <c r="AS288" i="216"/>
  <c r="BE288" i="216"/>
  <c r="BL286" i="216"/>
  <c r="BL288" i="216" s="1"/>
  <c r="BD286" i="216"/>
  <c r="BQ288" i="216"/>
  <c r="CW288" i="216"/>
  <c r="CV288" i="216" s="1"/>
  <c r="X287" i="216"/>
  <c r="W287" i="216" s="1"/>
  <c r="P287" i="216"/>
  <c r="AV287" i="216"/>
  <c r="CP287" i="216"/>
  <c r="DD287" i="216"/>
  <c r="AI328" i="216"/>
  <c r="BI328" i="216"/>
  <c r="BH328" i="216" s="1"/>
  <c r="CG328" i="216"/>
  <c r="CQ328" i="216"/>
  <c r="DC328" i="216"/>
  <c r="BL293" i="216"/>
  <c r="AR294" i="216"/>
  <c r="AQ294" i="216" s="1"/>
  <c r="AJ294" i="216"/>
  <c r="AV294" i="216"/>
  <c r="AD295" i="216"/>
  <c r="ED295" i="216"/>
  <c r="ED328" i="216" s="1"/>
  <c r="DJ296" i="216"/>
  <c r="X297" i="216"/>
  <c r="W297" i="216" s="1"/>
  <c r="CP297" i="216"/>
  <c r="CO297" i="216" s="1"/>
  <c r="CH297" i="216"/>
  <c r="CT297" i="216"/>
  <c r="AN298" i="216"/>
  <c r="CF299" i="216"/>
  <c r="CE299" i="216" s="1"/>
  <c r="BX299" i="216"/>
  <c r="CJ299" i="216"/>
  <c r="DT299" i="216"/>
  <c r="DL299" i="216"/>
  <c r="DX299" i="216"/>
  <c r="EL300" i="216"/>
  <c r="DF300" i="216"/>
  <c r="EG300" i="216"/>
  <c r="T301" i="216"/>
  <c r="CB301" i="216"/>
  <c r="DZ301" i="216"/>
  <c r="EP301" i="216"/>
  <c r="EG302" i="216"/>
  <c r="EE302" i="216"/>
  <c r="AD303" i="216"/>
  <c r="BK303" i="216"/>
  <c r="EL304" i="216"/>
  <c r="BK304" i="216"/>
  <c r="BV304" i="216"/>
  <c r="AH305" i="216"/>
  <c r="AG305" i="216" s="1"/>
  <c r="Z305" i="216"/>
  <c r="BL305" i="216"/>
  <c r="BK305" i="216" s="1"/>
  <c r="ED305" i="216"/>
  <c r="DV305" i="216"/>
  <c r="BB306" i="216"/>
  <c r="AT306" i="216"/>
  <c r="CF306" i="216"/>
  <c r="EE306" i="216"/>
  <c r="EF306" i="216" s="1"/>
  <c r="EI307" i="216"/>
  <c r="DF308" i="216"/>
  <c r="EG309" i="216"/>
  <c r="BV310" i="216"/>
  <c r="BU310" i="216" s="1"/>
  <c r="BN310" i="216"/>
  <c r="BA311" i="216"/>
  <c r="BL311" i="216"/>
  <c r="AR312" i="216"/>
  <c r="AQ312" i="216" s="1"/>
  <c r="ED313" i="216"/>
  <c r="EC313" i="216" s="1"/>
  <c r="AH314" i="216"/>
  <c r="BV314" i="216"/>
  <c r="BU314" i="216" s="1"/>
  <c r="BR315" i="216"/>
  <c r="AH316" i="216"/>
  <c r="AG316" i="216" s="1"/>
  <c r="DJ316" i="216"/>
  <c r="DX316" i="216"/>
  <c r="AR317" i="216"/>
  <c r="AQ317" i="216" s="1"/>
  <c r="AJ317" i="216"/>
  <c r="CL317" i="216"/>
  <c r="BV318" i="216"/>
  <c r="BU318" i="216" s="1"/>
  <c r="BN318" i="216"/>
  <c r="CY318" i="216"/>
  <c r="DJ318" i="216"/>
  <c r="DI318" i="216" s="1"/>
  <c r="EE319" i="216"/>
  <c r="EF319" i="216" s="1"/>
  <c r="EF320" i="216"/>
  <c r="CP320" i="216"/>
  <c r="CH320" i="216"/>
  <c r="CV320" i="216"/>
  <c r="ED320" i="216"/>
  <c r="DV320" i="216"/>
  <c r="EE321" i="216"/>
  <c r="EJ321" i="216" s="1"/>
  <c r="BP323" i="216"/>
  <c r="BN323" i="216"/>
  <c r="CB323" i="216"/>
  <c r="CF323" i="216"/>
  <c r="CE323" i="216" s="1"/>
  <c r="DP323" i="216"/>
  <c r="DT323" i="216"/>
  <c r="DS323" i="216" s="1"/>
  <c r="EG323" i="216"/>
  <c r="DZ324" i="216"/>
  <c r="CA412" i="216"/>
  <c r="BZ333" i="216"/>
  <c r="DG412" i="216"/>
  <c r="DF333" i="216"/>
  <c r="DJ333" i="216"/>
  <c r="DJ412" i="216" s="1"/>
  <c r="DD335" i="216"/>
  <c r="DJ335" i="216"/>
  <c r="DI335" i="216" s="1"/>
  <c r="AA416" i="216"/>
  <c r="Z338" i="216"/>
  <c r="AH338" i="216"/>
  <c r="AH416" i="216" s="1"/>
  <c r="CR340" i="216"/>
  <c r="CZ340" i="216"/>
  <c r="EJ342" i="216"/>
  <c r="AR349" i="216"/>
  <c r="EM352" i="216"/>
  <c r="EE355" i="216"/>
  <c r="EM355" i="216" s="1"/>
  <c r="EH352" i="216"/>
  <c r="EZ352" i="216"/>
  <c r="DZ355" i="216"/>
  <c r="EP355" i="216"/>
  <c r="AF366" i="216"/>
  <c r="EL358" i="216"/>
  <c r="AN358" i="216"/>
  <c r="AR358" i="216"/>
  <c r="AQ358" i="216" s="1"/>
  <c r="BZ363" i="216"/>
  <c r="CE363" i="216"/>
  <c r="CB363" i="216"/>
  <c r="R364" i="216"/>
  <c r="EI364" i="216"/>
  <c r="X364" i="216"/>
  <c r="W364" i="216" s="1"/>
  <c r="CF364" i="216"/>
  <c r="BX364" i="216"/>
  <c r="BE377" i="216"/>
  <c r="CP369" i="216"/>
  <c r="EG372" i="216"/>
  <c r="P261" i="216"/>
  <c r="X261" i="216"/>
  <c r="W261" i="216" s="1"/>
  <c r="BD261" i="216"/>
  <c r="CR261" i="216"/>
  <c r="P262" i="216"/>
  <c r="X262" i="216"/>
  <c r="W262" i="216" s="1"/>
  <c r="BD262" i="216"/>
  <c r="CR262" i="216"/>
  <c r="R264" i="216"/>
  <c r="Z264" i="216"/>
  <c r="BN264" i="216"/>
  <c r="DB264" i="216"/>
  <c r="T265" i="216"/>
  <c r="AJ265" i="216"/>
  <c r="BX265" i="216"/>
  <c r="DL265" i="216"/>
  <c r="EH270" i="216"/>
  <c r="EH271" i="216"/>
  <c r="EF275" i="216"/>
  <c r="AA283" i="216"/>
  <c r="AY283" i="216"/>
  <c r="BG283" i="216"/>
  <c r="BO283" i="216"/>
  <c r="BW283" i="216"/>
  <c r="CE283" i="216" s="1"/>
  <c r="CE276" i="216"/>
  <c r="CM283" i="216"/>
  <c r="CL283" i="216" s="1"/>
  <c r="DC283" i="216"/>
  <c r="AT277" i="216"/>
  <c r="CH277" i="216"/>
  <c r="DV277" i="216"/>
  <c r="AG282" i="216"/>
  <c r="AG409" i="216" s="1"/>
  <c r="DI282" i="216"/>
  <c r="DI409" i="216" s="1"/>
  <c r="Z286" i="216"/>
  <c r="EI287" i="216"/>
  <c r="AX287" i="216"/>
  <c r="EG287" i="216"/>
  <c r="AK328" i="216"/>
  <c r="AJ328" i="216" s="1"/>
  <c r="AY328" i="216"/>
  <c r="AX328" i="216" s="1"/>
  <c r="BJ328" i="216"/>
  <c r="BW328" i="216"/>
  <c r="CZ291" i="216"/>
  <c r="DE328" i="216"/>
  <c r="DO328" i="216"/>
  <c r="AR292" i="216"/>
  <c r="BF292" i="216"/>
  <c r="DT292" i="216"/>
  <c r="EE293" i="216"/>
  <c r="DX293" i="216"/>
  <c r="AH294" i="216"/>
  <c r="AH328" i="216" s="1"/>
  <c r="AX294" i="216"/>
  <c r="CF294" i="216"/>
  <c r="CE294" i="216" s="1"/>
  <c r="BX294" i="216"/>
  <c r="EK295" i="216"/>
  <c r="CE295" i="216"/>
  <c r="EL296" i="216"/>
  <c r="DZ296" i="216"/>
  <c r="CF297" i="216"/>
  <c r="CE297" i="216" s="1"/>
  <c r="CV297" i="216"/>
  <c r="EC297" i="216"/>
  <c r="EI297" i="216"/>
  <c r="CJ298" i="216"/>
  <c r="DP298" i="216"/>
  <c r="EE299" i="216"/>
  <c r="BV299" i="216"/>
  <c r="BU299" i="216" s="1"/>
  <c r="CL299" i="216"/>
  <c r="DJ299" i="216"/>
  <c r="DZ299" i="216"/>
  <c r="AQ300" i="216"/>
  <c r="EK301" i="216"/>
  <c r="EJ301" i="216" s="1"/>
  <c r="AR301" i="216"/>
  <c r="AQ301" i="216" s="1"/>
  <c r="BF301" i="216"/>
  <c r="DJ301" i="216"/>
  <c r="DI301" i="216" s="1"/>
  <c r="DB301" i="216"/>
  <c r="DN301" i="216"/>
  <c r="R302" i="216"/>
  <c r="BH302" i="216"/>
  <c r="EI303" i="216"/>
  <c r="BL303" i="216"/>
  <c r="BD303" i="216"/>
  <c r="DT303" i="216"/>
  <c r="DS303" i="216" s="1"/>
  <c r="DL303" i="216"/>
  <c r="AQ304" i="216"/>
  <c r="CL304" i="216"/>
  <c r="EG305" i="216"/>
  <c r="BU305" i="216"/>
  <c r="DT305" i="216"/>
  <c r="DS305" i="216" s="1"/>
  <c r="EI306" i="216"/>
  <c r="EK307" i="216"/>
  <c r="BU307" i="216"/>
  <c r="AR308" i="216"/>
  <c r="AQ308" i="216" s="1"/>
  <c r="AJ308" i="216"/>
  <c r="BV308" i="216"/>
  <c r="BU308" i="216" s="1"/>
  <c r="CJ308" i="216"/>
  <c r="EI309" i="216"/>
  <c r="AX309" i="216"/>
  <c r="DS309" i="216"/>
  <c r="EK310" i="216"/>
  <c r="CY310" i="216"/>
  <c r="DJ310" i="216"/>
  <c r="DI310" i="216" s="1"/>
  <c r="DB310" i="216"/>
  <c r="EK311" i="216"/>
  <c r="EC311" i="216"/>
  <c r="CF312" i="216"/>
  <c r="CE312" i="216" s="1"/>
  <c r="DX312" i="216"/>
  <c r="EE313" i="216"/>
  <c r="DS313" i="216"/>
  <c r="DX313" i="216"/>
  <c r="EG314" i="216"/>
  <c r="DJ314" i="216"/>
  <c r="DI314" i="216" s="1"/>
  <c r="EL315" i="216"/>
  <c r="AH315" i="216"/>
  <c r="AG315" i="216" s="1"/>
  <c r="BB315" i="216"/>
  <c r="BA315" i="216" s="1"/>
  <c r="AT315" i="216"/>
  <c r="CP315" i="216"/>
  <c r="CO315" i="216" s="1"/>
  <c r="CH315" i="216"/>
  <c r="CV315" i="216"/>
  <c r="EL316" i="216"/>
  <c r="AG317" i="216"/>
  <c r="AX317" i="216"/>
  <c r="CZ317" i="216"/>
  <c r="CY317" i="216" s="1"/>
  <c r="DT317" i="216"/>
  <c r="DS317" i="216" s="1"/>
  <c r="DL317" i="216"/>
  <c r="EE318" i="216"/>
  <c r="AH318" i="216"/>
  <c r="AG318" i="216" s="1"/>
  <c r="Z318" i="216"/>
  <c r="BK318" i="216"/>
  <c r="BR318" i="216"/>
  <c r="ED319" i="216"/>
  <c r="EC319" i="216" s="1"/>
  <c r="EI320" i="216"/>
  <c r="AD320" i="216"/>
  <c r="AH320" i="216"/>
  <c r="AG320" i="216" s="1"/>
  <c r="BA320" i="216"/>
  <c r="BA321" i="216"/>
  <c r="EF322" i="216"/>
  <c r="BL322" i="216"/>
  <c r="CZ322" i="216"/>
  <c r="EC322" i="216"/>
  <c r="CZ323" i="216"/>
  <c r="CY323" i="216" s="1"/>
  <c r="CR323" i="216"/>
  <c r="AG324" i="216"/>
  <c r="BU324" i="216"/>
  <c r="DI324" i="216"/>
  <c r="AR325" i="216"/>
  <c r="AQ325" i="216" s="1"/>
  <c r="DI325" i="216"/>
  <c r="CV326" i="216"/>
  <c r="EN327" i="216"/>
  <c r="X411" i="216"/>
  <c r="W332" i="216"/>
  <c r="W411" i="216" s="1"/>
  <c r="EB411" i="216"/>
  <c r="EB417" i="216" s="1"/>
  <c r="EB344" i="216"/>
  <c r="DH344" i="216"/>
  <c r="DW412" i="216"/>
  <c r="ED333" i="216"/>
  <c r="ED412" i="216" s="1"/>
  <c r="DV333" i="216"/>
  <c r="BA335" i="216"/>
  <c r="O414" i="216"/>
  <c r="EE336" i="216"/>
  <c r="R336" i="216"/>
  <c r="P336" i="216"/>
  <c r="DD339" i="216"/>
  <c r="DJ339" i="216"/>
  <c r="DI339" i="216" s="1"/>
  <c r="AD341" i="216"/>
  <c r="AH341" i="216"/>
  <c r="CY341" i="216"/>
  <c r="CT341" i="216"/>
  <c r="DF341" i="216"/>
  <c r="EH349" i="216"/>
  <c r="BD357" i="216"/>
  <c r="CM366" i="216"/>
  <c r="CL366" i="216" s="1"/>
  <c r="BS366" i="216"/>
  <c r="BR358" i="216"/>
  <c r="CT358" i="216"/>
  <c r="CU366" i="216"/>
  <c r="CT366" i="216" s="1"/>
  <c r="AZ366" i="216"/>
  <c r="CF362" i="216"/>
  <c r="BX362" i="216"/>
  <c r="DZ363" i="216"/>
  <c r="DJ364" i="216"/>
  <c r="DB364" i="216"/>
  <c r="AD372" i="216"/>
  <c r="AH372" i="216"/>
  <c r="BV373" i="216"/>
  <c r="EK381" i="216"/>
  <c r="EJ381" i="216" s="1"/>
  <c r="EZ392" i="216"/>
  <c r="EH392" i="216"/>
  <c r="AK288" i="216"/>
  <c r="AJ288" i="216" s="1"/>
  <c r="CC288" i="216"/>
  <c r="CB288" i="216" s="1"/>
  <c r="CB286" i="216"/>
  <c r="CE287" i="216"/>
  <c r="CZ287" i="216"/>
  <c r="CY287" i="216" s="1"/>
  <c r="CR287" i="216"/>
  <c r="EE291" i="216"/>
  <c r="EF291" i="216" s="1"/>
  <c r="AA328" i="216"/>
  <c r="AZ328" i="216"/>
  <c r="BY328" i="216"/>
  <c r="CI328" i="216"/>
  <c r="EP291" i="216"/>
  <c r="EA328" i="216"/>
  <c r="EG292" i="216"/>
  <c r="EG328" i="216" s="1"/>
  <c r="EG293" i="216"/>
  <c r="AL293" i="216"/>
  <c r="DN293" i="216"/>
  <c r="AB294" i="216"/>
  <c r="DS294" i="216"/>
  <c r="DX294" i="216"/>
  <c r="EL295" i="216"/>
  <c r="EL328" i="216" s="1"/>
  <c r="BK295" i="216"/>
  <c r="CP295" i="216"/>
  <c r="CO295" i="216" s="1"/>
  <c r="DD295" i="216"/>
  <c r="BV296" i="216"/>
  <c r="CJ296" i="216"/>
  <c r="AH297" i="216"/>
  <c r="AG297" i="216" s="1"/>
  <c r="Z297" i="216"/>
  <c r="BZ297" i="216"/>
  <c r="ED297" i="216"/>
  <c r="DV297" i="216"/>
  <c r="EK298" i="216"/>
  <c r="EJ298" i="216" s="1"/>
  <c r="AQ298" i="216"/>
  <c r="BZ298" i="216"/>
  <c r="X299" i="216"/>
  <c r="W299" i="216" s="1"/>
  <c r="P299" i="216"/>
  <c r="BP299" i="216"/>
  <c r="DD299" i="216"/>
  <c r="EE300" i="216"/>
  <c r="BB300" i="216"/>
  <c r="BA300" i="216" s="1"/>
  <c r="DI300" i="216"/>
  <c r="ED300" i="216"/>
  <c r="EL301" i="216"/>
  <c r="BA301" i="216"/>
  <c r="CZ301" i="216"/>
  <c r="CY301" i="216" s="1"/>
  <c r="DP301" i="216"/>
  <c r="EI302" i="216"/>
  <c r="DI302" i="216"/>
  <c r="DS302" i="216"/>
  <c r="BB303" i="216"/>
  <c r="BA303" i="216" s="1"/>
  <c r="BR303" i="216"/>
  <c r="CY303" i="216"/>
  <c r="EE304" i="216"/>
  <c r="EZ304" i="216" s="1"/>
  <c r="AG304" i="216"/>
  <c r="R305" i="216"/>
  <c r="BV305" i="216"/>
  <c r="BN305" i="216"/>
  <c r="DN305" i="216"/>
  <c r="AH306" i="216"/>
  <c r="Z306" i="216"/>
  <c r="AL306" i="216"/>
  <c r="CP306" i="216"/>
  <c r="CO306" i="216" s="1"/>
  <c r="CH306" i="216"/>
  <c r="CF307" i="216"/>
  <c r="CE307" i="216" s="1"/>
  <c r="CT307" i="216"/>
  <c r="EE308" i="216"/>
  <c r="CE308" i="216"/>
  <c r="ED308" i="216"/>
  <c r="CY309" i="216"/>
  <c r="DI309" i="216"/>
  <c r="EL310" i="216"/>
  <c r="BB310" i="216"/>
  <c r="BA310" i="216" s="1"/>
  <c r="AT310" i="216"/>
  <c r="BF310" i="216"/>
  <c r="AB312" i="216"/>
  <c r="DT312" i="216"/>
  <c r="DS312" i="216" s="1"/>
  <c r="DZ312" i="216"/>
  <c r="X313" i="216"/>
  <c r="W313" i="216" s="1"/>
  <c r="P313" i="216"/>
  <c r="BK313" i="216"/>
  <c r="BP313" i="216"/>
  <c r="EI314" i="216"/>
  <c r="AQ315" i="216"/>
  <c r="BV315" i="216"/>
  <c r="BU315" i="216" s="1"/>
  <c r="DJ315" i="216"/>
  <c r="DI315" i="216" s="1"/>
  <c r="ED315" i="216"/>
  <c r="EC315" i="216" s="1"/>
  <c r="DV315" i="216"/>
  <c r="AR316" i="216"/>
  <c r="AQ316" i="216" s="1"/>
  <c r="AJ316" i="216"/>
  <c r="CF316" i="216"/>
  <c r="CE316" i="216" s="1"/>
  <c r="BX316" i="216"/>
  <c r="DI316" i="216"/>
  <c r="DT316" i="216"/>
  <c r="DS316" i="216" s="1"/>
  <c r="DL316" i="216"/>
  <c r="EE317" i="216"/>
  <c r="AH317" i="216"/>
  <c r="BL317" i="216"/>
  <c r="BK317" i="216" s="1"/>
  <c r="DI317" i="216"/>
  <c r="CO318" i="216"/>
  <c r="EI319" i="216"/>
  <c r="DX319" i="216"/>
  <c r="EK320" i="216"/>
  <c r="EJ320" i="216" s="1"/>
  <c r="BB320" i="216"/>
  <c r="AT320" i="216"/>
  <c r="BH320" i="216"/>
  <c r="CF320" i="216"/>
  <c r="CE320" i="216" s="1"/>
  <c r="DT320" i="216"/>
  <c r="DS320" i="216" s="1"/>
  <c r="CE321" i="216"/>
  <c r="DS321" i="216"/>
  <c r="EZ322" i="216"/>
  <c r="AN323" i="216"/>
  <c r="AR323" i="216"/>
  <c r="AQ323" i="216" s="1"/>
  <c r="CO323" i="216"/>
  <c r="EC323" i="216"/>
  <c r="AG325" i="216"/>
  <c r="BU325" i="216"/>
  <c r="DT326" i="216"/>
  <c r="DS326" i="216" s="1"/>
  <c r="EZ327" i="216"/>
  <c r="EH327" i="216"/>
  <c r="AR411" i="216"/>
  <c r="CN411" i="216"/>
  <c r="CN417" i="216" s="1"/>
  <c r="CN344" i="216"/>
  <c r="AM412" i="216"/>
  <c r="AL333" i="216"/>
  <c r="CI412" i="216"/>
  <c r="CP333" i="216"/>
  <c r="CH333" i="216"/>
  <c r="BB335" i="216"/>
  <c r="AT335" i="216"/>
  <c r="Q416" i="216"/>
  <c r="P338" i="216"/>
  <c r="EG338" i="216"/>
  <c r="X338" i="216"/>
  <c r="CO339" i="216"/>
  <c r="AG340" i="216"/>
  <c r="AD340" i="216"/>
  <c r="Z340" i="216"/>
  <c r="EN348" i="216"/>
  <c r="EN349" i="216" s="1"/>
  <c r="EF348" i="216"/>
  <c r="BL366" i="216"/>
  <c r="DY366" i="216"/>
  <c r="AT358" i="216"/>
  <c r="DT363" i="216"/>
  <c r="DL363" i="216"/>
  <c r="CJ370" i="216"/>
  <c r="CP370" i="216"/>
  <c r="R371" i="216"/>
  <c r="EE371" i="216"/>
  <c r="EM371" i="216" s="1"/>
  <c r="T371" i="216"/>
  <c r="EK380" i="216"/>
  <c r="R382" i="216"/>
  <c r="EI382" i="216"/>
  <c r="BZ382" i="216"/>
  <c r="BX382" i="216"/>
  <c r="CE382" i="216"/>
  <c r="T286" i="216"/>
  <c r="AB286" i="216"/>
  <c r="AJ286" i="216"/>
  <c r="AR286" i="216"/>
  <c r="BH286" i="216"/>
  <c r="BP286" i="216"/>
  <c r="BX286" i="216"/>
  <c r="CF286" i="216"/>
  <c r="CV286" i="216"/>
  <c r="T291" i="216"/>
  <c r="AB291" i="216"/>
  <c r="AJ291" i="216"/>
  <c r="AR291" i="216"/>
  <c r="BH291" i="216"/>
  <c r="BP291" i="216"/>
  <c r="BX291" i="216"/>
  <c r="CF291" i="216"/>
  <c r="CV291" i="216"/>
  <c r="DD291" i="216"/>
  <c r="DT291" i="216"/>
  <c r="X292" i="216"/>
  <c r="W292" i="216" s="1"/>
  <c r="AV292" i="216"/>
  <c r="BL292" i="216"/>
  <c r="CJ292" i="216"/>
  <c r="AB293" i="216"/>
  <c r="AR293" i="216"/>
  <c r="BP293" i="216"/>
  <c r="CF293" i="216"/>
  <c r="DT293" i="216"/>
  <c r="R295" i="216"/>
  <c r="AH295" i="216"/>
  <c r="AG295" i="216" s="1"/>
  <c r="BF295" i="216"/>
  <c r="BV295" i="216"/>
  <c r="BU295" i="216" s="1"/>
  <c r="CT295" i="216"/>
  <c r="DJ295" i="216"/>
  <c r="AL296" i="216"/>
  <c r="BB296" i="216"/>
  <c r="BZ296" i="216"/>
  <c r="CP296" i="216"/>
  <c r="ED296" i="216"/>
  <c r="EC296" i="216" s="1"/>
  <c r="AB298" i="216"/>
  <c r="AR298" i="216"/>
  <c r="CF298" i="216"/>
  <c r="CE298" i="216" s="1"/>
  <c r="DD298" i="216"/>
  <c r="DT298" i="216"/>
  <c r="DS298" i="216" s="1"/>
  <c r="R300" i="216"/>
  <c r="AH300" i="216"/>
  <c r="AG300" i="216" s="1"/>
  <c r="BV300" i="216"/>
  <c r="BU300" i="216" s="1"/>
  <c r="CT300" i="216"/>
  <c r="DJ300" i="216"/>
  <c r="X302" i="216"/>
  <c r="W302" i="216" s="1"/>
  <c r="AV302" i="216"/>
  <c r="BL302" i="216"/>
  <c r="BK302" i="216" s="1"/>
  <c r="CJ302" i="216"/>
  <c r="CZ302" i="216"/>
  <c r="CY302" i="216" s="1"/>
  <c r="AL304" i="216"/>
  <c r="BB304" i="216"/>
  <c r="BA304" i="216" s="1"/>
  <c r="BZ304" i="216"/>
  <c r="CP304" i="216"/>
  <c r="CO304" i="216" s="1"/>
  <c r="DN304" i="216"/>
  <c r="ED304" i="216"/>
  <c r="EC304" i="216" s="1"/>
  <c r="X307" i="216"/>
  <c r="W307" i="216" s="1"/>
  <c r="AV307" i="216"/>
  <c r="CJ307" i="216"/>
  <c r="CZ307" i="216"/>
  <c r="CY307" i="216" s="1"/>
  <c r="DX307" i="216"/>
  <c r="AL309" i="216"/>
  <c r="BB309" i="216"/>
  <c r="BA309" i="216" s="1"/>
  <c r="BZ309" i="216"/>
  <c r="CP309" i="216"/>
  <c r="CO309" i="216" s="1"/>
  <c r="DN309" i="216"/>
  <c r="ED309" i="216"/>
  <c r="EC309" i="216" s="1"/>
  <c r="AB311" i="216"/>
  <c r="AR311" i="216"/>
  <c r="AQ311" i="216" s="1"/>
  <c r="DD311" i="216"/>
  <c r="DT311" i="216"/>
  <c r="DS311" i="216" s="1"/>
  <c r="AH313" i="216"/>
  <c r="AG313" i="216" s="1"/>
  <c r="BF313" i="216"/>
  <c r="BV313" i="216"/>
  <c r="CT313" i="216"/>
  <c r="DJ313" i="216"/>
  <c r="DI313" i="216" s="1"/>
  <c r="X315" i="216"/>
  <c r="W315" i="216" s="1"/>
  <c r="AV315" i="216"/>
  <c r="BL315" i="216"/>
  <c r="BK315" i="216" s="1"/>
  <c r="CZ315" i="216"/>
  <c r="CY315" i="216" s="1"/>
  <c r="DX315" i="216"/>
  <c r="AL317" i="216"/>
  <c r="BB317" i="216"/>
  <c r="BA317" i="216" s="1"/>
  <c r="CP317" i="216"/>
  <c r="CO317" i="216" s="1"/>
  <c r="DN317" i="216"/>
  <c r="ED317" i="216"/>
  <c r="EC317" i="216" s="1"/>
  <c r="EP318" i="216"/>
  <c r="X320" i="216"/>
  <c r="W320" i="216" s="1"/>
  <c r="AV320" i="216"/>
  <c r="BL320" i="216"/>
  <c r="BK320" i="216" s="1"/>
  <c r="CJ320" i="216"/>
  <c r="CZ320" i="216"/>
  <c r="CY320" i="216" s="1"/>
  <c r="DX320" i="216"/>
  <c r="R323" i="216"/>
  <c r="BF323" i="216"/>
  <c r="BV323" i="216"/>
  <c r="BU323" i="216" s="1"/>
  <c r="CT323" i="216"/>
  <c r="DJ323" i="216"/>
  <c r="DI323" i="216" s="1"/>
  <c r="X325" i="216"/>
  <c r="W325" i="216" s="1"/>
  <c r="AV325" i="216"/>
  <c r="BL325" i="216"/>
  <c r="BK325" i="216" s="1"/>
  <c r="CJ325" i="216"/>
  <c r="CZ325" i="216"/>
  <c r="CY325" i="216" s="1"/>
  <c r="DX325" i="216"/>
  <c r="Y328" i="216"/>
  <c r="AD328" i="216" s="1"/>
  <c r="AO328" i="216"/>
  <c r="AN328" i="216" s="1"/>
  <c r="BE328" i="216"/>
  <c r="BD328" i="216" s="1"/>
  <c r="CC328" i="216"/>
  <c r="CK328" i="216"/>
  <c r="CJ328" i="216" s="1"/>
  <c r="CS328" i="216"/>
  <c r="DA328" i="216"/>
  <c r="DQ328" i="216"/>
  <c r="DP328" i="216" s="1"/>
  <c r="DY328" i="216"/>
  <c r="CO332" i="216"/>
  <c r="CO411" i="216" s="1"/>
  <c r="DM417" i="216"/>
  <c r="DU417" i="216"/>
  <c r="X333" i="216"/>
  <c r="X344" i="216" s="1"/>
  <c r="AV333" i="216"/>
  <c r="BL333" i="216"/>
  <c r="BL412" i="216" s="1"/>
  <c r="CZ333" i="216"/>
  <c r="CE334" i="216"/>
  <c r="CE413" i="216" s="1"/>
  <c r="EI334" i="216"/>
  <c r="EL335" i="216"/>
  <c r="AL335" i="216"/>
  <c r="AV335" i="216"/>
  <c r="BV335" i="216"/>
  <c r="BU335" i="216" s="1"/>
  <c r="CF335" i="216"/>
  <c r="DZ335" i="216"/>
  <c r="X336" i="216"/>
  <c r="AH336" i="216"/>
  <c r="AH414" i="216" s="1"/>
  <c r="DP336" i="216"/>
  <c r="DZ336" i="216"/>
  <c r="AR337" i="216"/>
  <c r="AJ337" i="216"/>
  <c r="AK415" i="216"/>
  <c r="AK417" i="216" s="1"/>
  <c r="BL337" i="216"/>
  <c r="CP337" i="216"/>
  <c r="AC416" i="216"/>
  <c r="AB338" i="216"/>
  <c r="CZ338" i="216"/>
  <c r="EI339" i="216"/>
  <c r="EN339" i="216" s="1"/>
  <c r="AB339" i="216"/>
  <c r="DX339" i="216"/>
  <c r="BA340" i="216"/>
  <c r="DD340" i="216"/>
  <c r="DN340" i="216"/>
  <c r="BH341" i="216"/>
  <c r="CZ341" i="216"/>
  <c r="CR341" i="216"/>
  <c r="DJ341" i="216"/>
  <c r="DT341" i="216"/>
  <c r="EN342" i="216"/>
  <c r="EF342" i="216"/>
  <c r="S344" i="216"/>
  <c r="AO344" i="216"/>
  <c r="BJ344" i="216"/>
  <c r="DA344" i="216"/>
  <c r="EH348" i="216"/>
  <c r="EZ348" i="216"/>
  <c r="AG349" i="216"/>
  <c r="DX349" i="216"/>
  <c r="EN352" i="216"/>
  <c r="EF352" i="216"/>
  <c r="EM354" i="216"/>
  <c r="AV355" i="216"/>
  <c r="AP366" i="216"/>
  <c r="AX357" i="216"/>
  <c r="BI366" i="216"/>
  <c r="CT357" i="216"/>
  <c r="DE366" i="216"/>
  <c r="DW366" i="216"/>
  <c r="AG359" i="216"/>
  <c r="R360" i="216"/>
  <c r="AV360" i="216"/>
  <c r="BP360" i="216"/>
  <c r="AH361" i="216"/>
  <c r="ED361" i="216"/>
  <c r="DV361" i="216"/>
  <c r="EG362" i="216"/>
  <c r="EE363" i="216"/>
  <c r="CF363" i="216"/>
  <c r="BX363" i="216"/>
  <c r="CJ363" i="216"/>
  <c r="BZ364" i="216"/>
  <c r="BE366" i="216"/>
  <c r="DQ366" i="216"/>
  <c r="DP366" i="216" s="1"/>
  <c r="AJ369" i="216"/>
  <c r="AI377" i="216"/>
  <c r="AQ377" i="216" s="1"/>
  <c r="CX377" i="216"/>
  <c r="DL369" i="216"/>
  <c r="DK377" i="216"/>
  <c r="DS377" i="216" s="1"/>
  <c r="X370" i="216"/>
  <c r="W370" i="216" s="1"/>
  <c r="P370" i="216"/>
  <c r="AL370" i="216"/>
  <c r="ED370" i="216"/>
  <c r="X371" i="216"/>
  <c r="W371" i="216" s="1"/>
  <c r="P371" i="216"/>
  <c r="AB371" i="216"/>
  <c r="CV371" i="216"/>
  <c r="EL372" i="216"/>
  <c r="BL372" i="216"/>
  <c r="BD372" i="216"/>
  <c r="DR377" i="216"/>
  <c r="EE372" i="216"/>
  <c r="EM372" i="216" s="1"/>
  <c r="DT373" i="216"/>
  <c r="EE373" i="216"/>
  <c r="BM377" i="216"/>
  <c r="BU377" i="216" s="1"/>
  <c r="DY377" i="216"/>
  <c r="AC387" i="216"/>
  <c r="AB380" i="216"/>
  <c r="BL380" i="216"/>
  <c r="BL387" i="216" s="1"/>
  <c r="CB380" i="216"/>
  <c r="EL381" i="216"/>
  <c r="AL382" i="216"/>
  <c r="AJ382" i="216"/>
  <c r="DZ382" i="216"/>
  <c r="EP382" i="216"/>
  <c r="EK383" i="216"/>
  <c r="CZ383" i="216"/>
  <c r="EN385" i="216"/>
  <c r="X390" i="216"/>
  <c r="W390" i="216" s="1"/>
  <c r="P390" i="216"/>
  <c r="DD390" i="216"/>
  <c r="DB390" i="216"/>
  <c r="EG390" i="216"/>
  <c r="T392" i="216"/>
  <c r="BB392" i="216"/>
  <c r="AT392" i="216"/>
  <c r="DH412" i="216"/>
  <c r="DH417" i="216" s="1"/>
  <c r="CG413" i="216"/>
  <c r="BA286" i="216"/>
  <c r="CO291" i="216"/>
  <c r="EC291" i="216"/>
  <c r="EK291" i="216"/>
  <c r="DB318" i="216"/>
  <c r="AT319" i="216"/>
  <c r="CH319" i="216"/>
  <c r="DV319" i="216"/>
  <c r="T321" i="216"/>
  <c r="AJ321" i="216"/>
  <c r="BX321" i="216"/>
  <c r="DL321" i="216"/>
  <c r="P322" i="216"/>
  <c r="X322" i="216"/>
  <c r="W322" i="216" s="1"/>
  <c r="BD322" i="216"/>
  <c r="CR322" i="216"/>
  <c r="AT324" i="216"/>
  <c r="CH324" i="216"/>
  <c r="DV324" i="216"/>
  <c r="T326" i="216"/>
  <c r="AJ326" i="216"/>
  <c r="BX326" i="216"/>
  <c r="DL326" i="216"/>
  <c r="Q328" i="216"/>
  <c r="P328" i="216" s="1"/>
  <c r="V417" i="216"/>
  <c r="AT332" i="216"/>
  <c r="BJ417" i="216"/>
  <c r="CH332" i="216"/>
  <c r="CX417" i="216"/>
  <c r="DV332" i="216"/>
  <c r="EL332" i="216"/>
  <c r="AG333" i="216"/>
  <c r="AG412" i="216" s="1"/>
  <c r="DI333" i="216"/>
  <c r="DI412" i="216" s="1"/>
  <c r="EG333" i="216"/>
  <c r="EP333" i="216"/>
  <c r="T334" i="216"/>
  <c r="AB334" i="216"/>
  <c r="AJ334" i="216"/>
  <c r="AR334" i="216"/>
  <c r="AR413" i="216" s="1"/>
  <c r="BH334" i="216"/>
  <c r="BP334" i="216"/>
  <c r="BX334" i="216"/>
  <c r="CF334" i="216"/>
  <c r="CF413" i="216" s="1"/>
  <c r="CV334" i="216"/>
  <c r="DD334" i="216"/>
  <c r="DL334" i="216"/>
  <c r="DT334" i="216"/>
  <c r="DT413" i="216" s="1"/>
  <c r="BF335" i="216"/>
  <c r="CE335" i="216"/>
  <c r="AR336" i="216"/>
  <c r="BK336" i="216"/>
  <c r="BK414" i="216" s="1"/>
  <c r="BV336" i="216"/>
  <c r="CF336" i="216"/>
  <c r="CF414" i="216" s="1"/>
  <c r="DF336" i="216"/>
  <c r="DG414" i="216"/>
  <c r="EA414" i="216"/>
  <c r="EP336" i="216"/>
  <c r="EK336" i="216"/>
  <c r="R337" i="216"/>
  <c r="BD337" i="216"/>
  <c r="BN337" i="216"/>
  <c r="BY415" i="216"/>
  <c r="BY417" i="216" s="1"/>
  <c r="CF337" i="216"/>
  <c r="BX337" i="216"/>
  <c r="DJ337" i="216"/>
  <c r="DJ415" i="216" s="1"/>
  <c r="DS337" i="216"/>
  <c r="DS415" i="216" s="1"/>
  <c r="EC337" i="216"/>
  <c r="EC415" i="216" s="1"/>
  <c r="AD338" i="216"/>
  <c r="AN338" i="216"/>
  <c r="BY416" i="216"/>
  <c r="CF338" i="216"/>
  <c r="BX338" i="216"/>
  <c r="CP338" i="216"/>
  <c r="CP416" i="216" s="1"/>
  <c r="DJ338" i="216"/>
  <c r="EL338" i="216"/>
  <c r="EL416" i="216" s="1"/>
  <c r="T339" i="216"/>
  <c r="BL339" i="216"/>
  <c r="BD339" i="216"/>
  <c r="CF339" i="216"/>
  <c r="CE339" i="216" s="1"/>
  <c r="DZ339" i="216"/>
  <c r="AR340" i="216"/>
  <c r="AJ340" i="216"/>
  <c r="BB340" i="216"/>
  <c r="BL340" i="216"/>
  <c r="DF340" i="216"/>
  <c r="BR341" i="216"/>
  <c r="BZ341" i="216"/>
  <c r="CJ341" i="216"/>
  <c r="AF344" i="216"/>
  <c r="BW344" i="216"/>
  <c r="CG344" i="216"/>
  <c r="DC344" i="216"/>
  <c r="DM344" i="216"/>
  <c r="DL344" i="216" s="1"/>
  <c r="EH347" i="216"/>
  <c r="EZ347" i="216"/>
  <c r="EF354" i="216"/>
  <c r="AX355" i="216"/>
  <c r="BT366" i="216"/>
  <c r="BB358" i="216"/>
  <c r="BA358" i="216" s="1"/>
  <c r="DO366" i="216"/>
  <c r="DN366" i="216" s="1"/>
  <c r="DX358" i="216"/>
  <c r="X359" i="216"/>
  <c r="W359" i="216" s="1"/>
  <c r="P359" i="216"/>
  <c r="Z359" i="216"/>
  <c r="AH359" i="216"/>
  <c r="AR359" i="216"/>
  <c r="BB359" i="216"/>
  <c r="BK359" i="216"/>
  <c r="DN359" i="216"/>
  <c r="EI360" i="216"/>
  <c r="AX360" i="216"/>
  <c r="EE360" i="216"/>
  <c r="EM360" i="216" s="1"/>
  <c r="CP361" i="216"/>
  <c r="CH361" i="216"/>
  <c r="EK361" i="216"/>
  <c r="AR363" i="216"/>
  <c r="AJ363" i="216"/>
  <c r="DP363" i="216"/>
  <c r="AR364" i="216"/>
  <c r="AJ364" i="216"/>
  <c r="AT364" i="216"/>
  <c r="BV364" i="216"/>
  <c r="BN364" i="216"/>
  <c r="CJ364" i="216"/>
  <c r="BG366" i="216"/>
  <c r="BF366" i="216" s="1"/>
  <c r="X369" i="216"/>
  <c r="AK377" i="216"/>
  <c r="AJ377" i="216" s="1"/>
  <c r="BD369" i="216"/>
  <c r="CZ369" i="216"/>
  <c r="CZ377" i="216" s="1"/>
  <c r="DM377" i="216"/>
  <c r="EG369" i="216"/>
  <c r="AD370" i="216"/>
  <c r="DT370" i="216"/>
  <c r="EG370" i="216"/>
  <c r="EI371" i="216"/>
  <c r="AL371" i="216"/>
  <c r="BH371" i="216"/>
  <c r="BR371" i="216"/>
  <c r="AG372" i="216"/>
  <c r="AR372" i="216"/>
  <c r="BP372" i="216"/>
  <c r="DI372" i="216"/>
  <c r="DT372" i="216"/>
  <c r="EG373" i="216"/>
  <c r="EM374" i="216"/>
  <c r="Y377" i="216"/>
  <c r="AG377" i="216" s="1"/>
  <c r="CK377" i="216"/>
  <c r="EG380" i="216"/>
  <c r="CZ380" i="216"/>
  <c r="DM387" i="216"/>
  <c r="DT380" i="216"/>
  <c r="DL380" i="216"/>
  <c r="X381" i="216"/>
  <c r="X387" i="216" s="1"/>
  <c r="W387" i="216" s="1"/>
  <c r="BV381" i="216"/>
  <c r="BN381" i="216"/>
  <c r="EK382" i="216"/>
  <c r="DP382" i="216"/>
  <c r="BW387" i="216"/>
  <c r="CE387" i="216" s="1"/>
  <c r="EN389" i="216"/>
  <c r="EI390" i="216"/>
  <c r="BB390" i="216"/>
  <c r="EL391" i="216"/>
  <c r="CF392" i="216"/>
  <c r="U412" i="216"/>
  <c r="AE344" i="216"/>
  <c r="AE411" i="216"/>
  <c r="AM411" i="216"/>
  <c r="AM344" i="216"/>
  <c r="AU411" i="216"/>
  <c r="AU417" i="216" s="1"/>
  <c r="AU344" i="216"/>
  <c r="AT344" i="216" s="1"/>
  <c r="BC344" i="216"/>
  <c r="BF344" i="216" s="1"/>
  <c r="BC411" i="216"/>
  <c r="BC417" i="216" s="1"/>
  <c r="BS411" i="216"/>
  <c r="BS344" i="216"/>
  <c r="CA411" i="216"/>
  <c r="CA344" i="216"/>
  <c r="CI411" i="216"/>
  <c r="CI344" i="216"/>
  <c r="CQ411" i="216"/>
  <c r="CQ417" i="216" s="1"/>
  <c r="CQ344" i="216"/>
  <c r="CY332" i="216"/>
  <c r="CY411" i="216" s="1"/>
  <c r="DG411" i="216"/>
  <c r="DG344" i="216"/>
  <c r="DO411" i="216"/>
  <c r="DO344" i="216"/>
  <c r="DN344" i="216" s="1"/>
  <c r="DW411" i="216"/>
  <c r="DW344" i="216"/>
  <c r="DV344" i="216" s="1"/>
  <c r="EE332" i="216"/>
  <c r="BA334" i="216"/>
  <c r="BA413" i="216" s="1"/>
  <c r="EC334" i="216"/>
  <c r="EC413" i="216" s="1"/>
  <c r="EK334" i="216"/>
  <c r="CP335" i="216"/>
  <c r="CO335" i="216" s="1"/>
  <c r="CH335" i="216"/>
  <c r="AC415" i="216"/>
  <c r="AC417" i="216" s="1"/>
  <c r="AB337" i="216"/>
  <c r="T338" i="216"/>
  <c r="U416" i="216"/>
  <c r="EC338" i="216"/>
  <c r="EC416" i="216" s="1"/>
  <c r="AV339" i="216"/>
  <c r="AB340" i="216"/>
  <c r="DP340" i="216"/>
  <c r="X341" i="216"/>
  <c r="W341" i="216" s="1"/>
  <c r="P341" i="216"/>
  <c r="CL341" i="216"/>
  <c r="EE341" i="216"/>
  <c r="EJ341" i="216" s="1"/>
  <c r="U344" i="216"/>
  <c r="CS344" i="216"/>
  <c r="DZ349" i="216"/>
  <c r="AH357" i="216"/>
  <c r="Z357" i="216"/>
  <c r="CD366" i="216"/>
  <c r="CL357" i="216"/>
  <c r="CW366" i="216"/>
  <c r="CV366" i="216" s="1"/>
  <c r="AH358" i="216"/>
  <c r="AG358" i="216" s="1"/>
  <c r="Z358" i="216"/>
  <c r="DG366" i="216"/>
  <c r="BU359" i="216"/>
  <c r="BB361" i="216"/>
  <c r="AT361" i="216"/>
  <c r="EI362" i="216"/>
  <c r="EG363" i="216"/>
  <c r="CL363" i="216"/>
  <c r="ED363" i="216"/>
  <c r="EC363" i="216" s="1"/>
  <c r="EP363" i="216"/>
  <c r="CB364" i="216"/>
  <c r="AN370" i="216"/>
  <c r="DJ370" i="216"/>
  <c r="DB370" i="216"/>
  <c r="AD371" i="216"/>
  <c r="ED373" i="216"/>
  <c r="DV373" i="216"/>
  <c r="AW377" i="216"/>
  <c r="R380" i="216"/>
  <c r="S387" i="216"/>
  <c r="R387" i="216" s="1"/>
  <c r="BV380" i="216"/>
  <c r="BN380" i="216"/>
  <c r="DZ380" i="216"/>
  <c r="EP380" i="216"/>
  <c r="ED380" i="216"/>
  <c r="EI381" i="216"/>
  <c r="CB382" i="216"/>
  <c r="DJ382" i="216"/>
  <c r="DB382" i="216"/>
  <c r="EK390" i="216"/>
  <c r="BP390" i="216"/>
  <c r="BN390" i="216"/>
  <c r="BG411" i="216"/>
  <c r="BG417" i="216" s="1"/>
  <c r="CY286" i="216"/>
  <c r="EE286" i="216"/>
  <c r="R287" i="216"/>
  <c r="Z287" i="216"/>
  <c r="BN287" i="216"/>
  <c r="DB287" i="216"/>
  <c r="BK291" i="216"/>
  <c r="CY291" i="216"/>
  <c r="R294" i="216"/>
  <c r="Z294" i="216"/>
  <c r="BN294" i="216"/>
  <c r="DB294" i="216"/>
  <c r="EP296" i="216"/>
  <c r="T297" i="216"/>
  <c r="AJ297" i="216"/>
  <c r="BX297" i="216"/>
  <c r="DL297" i="216"/>
  <c r="R299" i="216"/>
  <c r="Z299" i="216"/>
  <c r="BN299" i="216"/>
  <c r="DB299" i="216"/>
  <c r="P301" i="216"/>
  <c r="X301" i="216"/>
  <c r="W301" i="216" s="1"/>
  <c r="BD301" i="216"/>
  <c r="CR301" i="216"/>
  <c r="AT303" i="216"/>
  <c r="CH303" i="216"/>
  <c r="DV303" i="216"/>
  <c r="EP304" i="216"/>
  <c r="T305" i="216"/>
  <c r="AJ305" i="216"/>
  <c r="BX305" i="216"/>
  <c r="DL305" i="216"/>
  <c r="P306" i="216"/>
  <c r="X306" i="216"/>
  <c r="W306" i="216" s="1"/>
  <c r="BD306" i="216"/>
  <c r="CR306" i="216"/>
  <c r="AT308" i="216"/>
  <c r="CH308" i="216"/>
  <c r="DV308" i="216"/>
  <c r="EP309" i="216"/>
  <c r="T310" i="216"/>
  <c r="AJ310" i="216"/>
  <c r="BX310" i="216"/>
  <c r="DL310" i="216"/>
  <c r="R312" i="216"/>
  <c r="Z312" i="216"/>
  <c r="BN312" i="216"/>
  <c r="DB312" i="216"/>
  <c r="P314" i="216"/>
  <c r="X314" i="216"/>
  <c r="W314" i="216" s="1"/>
  <c r="BD314" i="216"/>
  <c r="CR314" i="216"/>
  <c r="AT316" i="216"/>
  <c r="CH316" i="216"/>
  <c r="DV316" i="216"/>
  <c r="EP317" i="216"/>
  <c r="T318" i="216"/>
  <c r="AJ318" i="216"/>
  <c r="BX318" i="216"/>
  <c r="DL318" i="216"/>
  <c r="P319" i="216"/>
  <c r="X319" i="216"/>
  <c r="W319" i="216" s="1"/>
  <c r="BD319" i="216"/>
  <c r="CR319" i="216"/>
  <c r="AT321" i="216"/>
  <c r="CH321" i="216"/>
  <c r="DV321" i="216"/>
  <c r="R322" i="216"/>
  <c r="Z322" i="216"/>
  <c r="BN322" i="216"/>
  <c r="DB322" i="216"/>
  <c r="P324" i="216"/>
  <c r="X324" i="216"/>
  <c r="W324" i="216" s="1"/>
  <c r="BD324" i="216"/>
  <c r="CR324" i="216"/>
  <c r="AT326" i="216"/>
  <c r="CH326" i="216"/>
  <c r="DV326" i="216"/>
  <c r="P332" i="216"/>
  <c r="AF417" i="216"/>
  <c r="AN332" i="216"/>
  <c r="BD332" i="216"/>
  <c r="BL332" i="216"/>
  <c r="BK332" i="216" s="1"/>
  <c r="BK411" i="216" s="1"/>
  <c r="CJ332" i="216"/>
  <c r="CR332" i="216"/>
  <c r="CZ332" i="216"/>
  <c r="DP332" i="216"/>
  <c r="CE333" i="216"/>
  <c r="CE412" i="216" s="1"/>
  <c r="DS333" i="216"/>
  <c r="DS412" i="216" s="1"/>
  <c r="EI333" i="216"/>
  <c r="AD334" i="216"/>
  <c r="AL334" i="216"/>
  <c r="AT334" i="216"/>
  <c r="BB334" i="216"/>
  <c r="BB413" i="216" s="1"/>
  <c r="BR334" i="216"/>
  <c r="BZ334" i="216"/>
  <c r="CH334" i="216"/>
  <c r="CP334" i="216"/>
  <c r="CP413" i="216" s="1"/>
  <c r="DF334" i="216"/>
  <c r="DN334" i="216"/>
  <c r="DV334" i="216"/>
  <c r="ED334" i="216"/>
  <c r="ED413" i="216" s="1"/>
  <c r="EL334" i="216"/>
  <c r="EL413" i="216" s="1"/>
  <c r="DT335" i="216"/>
  <c r="BB336" i="216"/>
  <c r="AT336" i="216"/>
  <c r="BN336" i="216"/>
  <c r="BX336" i="216"/>
  <c r="CP336" i="216"/>
  <c r="CH336" i="216"/>
  <c r="CR336" i="216"/>
  <c r="CZ336" i="216"/>
  <c r="CZ414" i="216" s="1"/>
  <c r="DJ336" i="216"/>
  <c r="DJ414" i="216" s="1"/>
  <c r="EC336" i="216"/>
  <c r="EC414" i="216" s="1"/>
  <c r="T337" i="216"/>
  <c r="U415" i="216"/>
  <c r="AD337" i="216"/>
  <c r="AX337" i="216"/>
  <c r="BF337" i="216"/>
  <c r="BQ415" i="216"/>
  <c r="BP337" i="216"/>
  <c r="DB337" i="216"/>
  <c r="DM415" i="216"/>
  <c r="DT337" i="216"/>
  <c r="DT415" i="216" s="1"/>
  <c r="DL337" i="216"/>
  <c r="EE337" i="216"/>
  <c r="CJ338" i="216"/>
  <c r="DM416" i="216"/>
  <c r="DT338" i="216"/>
  <c r="DT416" i="216" s="1"/>
  <c r="DL338" i="216"/>
  <c r="DV338" i="216"/>
  <c r="EP338" i="216"/>
  <c r="BB341" i="216"/>
  <c r="EG341" i="216"/>
  <c r="AI344" i="216"/>
  <c r="BO344" i="216"/>
  <c r="BY344" i="216"/>
  <c r="CU344" i="216"/>
  <c r="DE344" i="216"/>
  <c r="EA344" i="216"/>
  <c r="EJ347" i="216"/>
  <c r="X349" i="216"/>
  <c r="W349" i="216" s="1"/>
  <c r="EH354" i="216"/>
  <c r="Q366" i="216"/>
  <c r="P366" i="216" s="1"/>
  <c r="AK366" i="216"/>
  <c r="AJ366" i="216" s="1"/>
  <c r="DH366" i="216"/>
  <c r="CF358" i="216"/>
  <c r="CE358" i="216" s="1"/>
  <c r="CP358" i="216"/>
  <c r="DZ358" i="216"/>
  <c r="EI359" i="216"/>
  <c r="BL359" i="216"/>
  <c r="BD359" i="216"/>
  <c r="BN359" i="216"/>
  <c r="CP359" i="216"/>
  <c r="EK360" i="216"/>
  <c r="EJ360" i="216" s="1"/>
  <c r="AD360" i="216"/>
  <c r="DJ360" i="216"/>
  <c r="CL361" i="216"/>
  <c r="CV361" i="216"/>
  <c r="AN363" i="216"/>
  <c r="AA377" i="216"/>
  <c r="AH369" i="216"/>
  <c r="AH377" i="216" s="1"/>
  <c r="Z369" i="216"/>
  <c r="BG377" i="216"/>
  <c r="BF369" i="216"/>
  <c r="BU369" i="216"/>
  <c r="DC377" i="216"/>
  <c r="DB377" i="216" s="1"/>
  <c r="DJ369" i="216"/>
  <c r="DB369" i="216"/>
  <c r="EK370" i="216"/>
  <c r="EJ370" i="216" s="1"/>
  <c r="CF370" i="216"/>
  <c r="EK371" i="216"/>
  <c r="EJ371" i="216" s="1"/>
  <c r="CY371" i="216"/>
  <c r="DI371" i="216"/>
  <c r="DT371" i="216"/>
  <c r="ED371" i="216"/>
  <c r="BB372" i="216"/>
  <c r="AT372" i="216"/>
  <c r="ED372" i="216"/>
  <c r="DV372" i="216"/>
  <c r="EI373" i="216"/>
  <c r="BA373" i="216"/>
  <c r="BK373" i="216"/>
  <c r="EK373" i="216"/>
  <c r="EZ374" i="216"/>
  <c r="EJ375" i="216"/>
  <c r="EM376" i="216"/>
  <c r="CQ377" i="216"/>
  <c r="CY377" i="216" s="1"/>
  <c r="U387" i="216"/>
  <c r="T387" i="216" s="1"/>
  <c r="T380" i="216"/>
  <c r="AF387" i="216"/>
  <c r="AS387" i="216"/>
  <c r="BA387" i="216" s="1"/>
  <c r="AT380" i="216"/>
  <c r="BQ387" i="216"/>
  <c r="BP380" i="216"/>
  <c r="CE380" i="216"/>
  <c r="DJ380" i="216"/>
  <c r="DB380" i="216"/>
  <c r="AH381" i="216"/>
  <c r="Z381" i="216"/>
  <c r="CL381" i="216"/>
  <c r="CP381" i="216"/>
  <c r="CP407" i="216" s="1"/>
  <c r="DL381" i="216"/>
  <c r="DN381" i="216"/>
  <c r="AN382" i="216"/>
  <c r="BV382" i="216"/>
  <c r="BN382" i="216"/>
  <c r="EN386" i="216"/>
  <c r="DF390" i="216"/>
  <c r="BB391" i="216"/>
  <c r="CT392" i="216"/>
  <c r="CR392" i="216"/>
  <c r="AS412" i="216"/>
  <c r="P291" i="216"/>
  <c r="X291" i="216"/>
  <c r="BD291" i="216"/>
  <c r="CR291" i="216"/>
  <c r="T292" i="216"/>
  <c r="AJ292" i="216"/>
  <c r="BX292" i="216"/>
  <c r="DL292" i="216"/>
  <c r="P293" i="216"/>
  <c r="X293" i="216"/>
  <c r="W293" i="216" s="1"/>
  <c r="BD293" i="216"/>
  <c r="CR293" i="216"/>
  <c r="AT295" i="216"/>
  <c r="CH295" i="216"/>
  <c r="DV295" i="216"/>
  <c r="R296" i="216"/>
  <c r="Z296" i="216"/>
  <c r="BN296" i="216"/>
  <c r="DB296" i="216"/>
  <c r="P298" i="216"/>
  <c r="X298" i="216"/>
  <c r="W298" i="216" s="1"/>
  <c r="BD298" i="216"/>
  <c r="CR298" i="216"/>
  <c r="AT300" i="216"/>
  <c r="CH300" i="216"/>
  <c r="DV300" i="216"/>
  <c r="T302" i="216"/>
  <c r="AJ302" i="216"/>
  <c r="BX302" i="216"/>
  <c r="DL302" i="216"/>
  <c r="R304" i="216"/>
  <c r="Z304" i="216"/>
  <c r="BN304" i="216"/>
  <c r="DB304" i="216"/>
  <c r="T307" i="216"/>
  <c r="AJ307" i="216"/>
  <c r="BX307" i="216"/>
  <c r="DL307" i="216"/>
  <c r="R309" i="216"/>
  <c r="Z309" i="216"/>
  <c r="BN309" i="216"/>
  <c r="DB309" i="216"/>
  <c r="P311" i="216"/>
  <c r="X311" i="216"/>
  <c r="W311" i="216" s="1"/>
  <c r="BD311" i="216"/>
  <c r="CR311" i="216"/>
  <c r="AT313" i="216"/>
  <c r="CH313" i="216"/>
  <c r="DV313" i="216"/>
  <c r="EP314" i="216"/>
  <c r="T315" i="216"/>
  <c r="AJ315" i="216"/>
  <c r="BX315" i="216"/>
  <c r="DL315" i="216"/>
  <c r="R317" i="216"/>
  <c r="Z317" i="216"/>
  <c r="BN317" i="216"/>
  <c r="DB317" i="216"/>
  <c r="EP319" i="216"/>
  <c r="T320" i="216"/>
  <c r="AJ320" i="216"/>
  <c r="BX320" i="216"/>
  <c r="DL320" i="216"/>
  <c r="AT323" i="216"/>
  <c r="CH323" i="216"/>
  <c r="DV323" i="216"/>
  <c r="EP324" i="216"/>
  <c r="T325" i="216"/>
  <c r="AJ325" i="216"/>
  <c r="BX325" i="216"/>
  <c r="DL325" i="216"/>
  <c r="EF327" i="216"/>
  <c r="Q411" i="216"/>
  <c r="Q344" i="216"/>
  <c r="Y417" i="216"/>
  <c r="AG332" i="216"/>
  <c r="AG411" i="216" s="1"/>
  <c r="BE417" i="216"/>
  <c r="CK417" i="216"/>
  <c r="CS417" i="216"/>
  <c r="DA417" i="216"/>
  <c r="EG332" i="216"/>
  <c r="EP332" i="216"/>
  <c r="T333" i="216"/>
  <c r="AB333" i="216"/>
  <c r="AJ333" i="216"/>
  <c r="AR333" i="216"/>
  <c r="AR412" i="216" s="1"/>
  <c r="BH333" i="216"/>
  <c r="BP333" i="216"/>
  <c r="BX333" i="216"/>
  <c r="CF333" i="216"/>
  <c r="CF412" i="216" s="1"/>
  <c r="CV333" i="216"/>
  <c r="DD333" i="216"/>
  <c r="DL333" i="216"/>
  <c r="DT333" i="216"/>
  <c r="DT412" i="216" s="1"/>
  <c r="EE334" i="216"/>
  <c r="Z335" i="216"/>
  <c r="AQ335" i="216"/>
  <c r="DS335" i="216"/>
  <c r="T336" i="216"/>
  <c r="AB336" i="216"/>
  <c r="AM414" i="216"/>
  <c r="AL336" i="216"/>
  <c r="BF336" i="216"/>
  <c r="DT336" i="216"/>
  <c r="DT414" i="216" s="1"/>
  <c r="BR337" i="216"/>
  <c r="CL337" i="216"/>
  <c r="DN337" i="216"/>
  <c r="AG338" i="216"/>
  <c r="AG416" i="216" s="1"/>
  <c r="BI416" i="216"/>
  <c r="BH338" i="216"/>
  <c r="CT338" i="216"/>
  <c r="DE416" i="216"/>
  <c r="DD338" i="216"/>
  <c r="DN338" i="216"/>
  <c r="CZ339" i="216"/>
  <c r="CY339" i="216" s="1"/>
  <c r="CR339" i="216"/>
  <c r="CF340" i="216"/>
  <c r="BX340" i="216"/>
  <c r="EK340" i="216"/>
  <c r="EJ340" i="216" s="1"/>
  <c r="EI341" i="216"/>
  <c r="Y344" i="216"/>
  <c r="AB344" i="216" s="1"/>
  <c r="BE344" i="216"/>
  <c r="CK344" i="216"/>
  <c r="DQ344" i="216"/>
  <c r="DP344" i="216" s="1"/>
  <c r="EK355" i="216"/>
  <c r="EJ355" i="216" s="1"/>
  <c r="W353" i="216"/>
  <c r="EG355" i="216"/>
  <c r="EF355" i="216" s="1"/>
  <c r="BV357" i="216"/>
  <c r="BN357" i="216"/>
  <c r="BX357" i="216"/>
  <c r="DR366" i="216"/>
  <c r="DZ357" i="216"/>
  <c r="EK357" i="216"/>
  <c r="AU366" i="216"/>
  <c r="AT366" i="216" s="1"/>
  <c r="BV358" i="216"/>
  <c r="BU358" i="216" s="1"/>
  <c r="BN358" i="216"/>
  <c r="CO358" i="216"/>
  <c r="CZ358" i="216"/>
  <c r="CY358" i="216" s="1"/>
  <c r="BF359" i="216"/>
  <c r="EL360" i="216"/>
  <c r="CF360" i="216"/>
  <c r="CZ360" i="216"/>
  <c r="CR360" i="216"/>
  <c r="ED360" i="216"/>
  <c r="DV360" i="216"/>
  <c r="EI361" i="216"/>
  <c r="BH361" i="216"/>
  <c r="EL362" i="216"/>
  <c r="AT362" i="216"/>
  <c r="CP362" i="216"/>
  <c r="CH362" i="216"/>
  <c r="DS363" i="216"/>
  <c r="EE364" i="216"/>
  <c r="AH364" i="216"/>
  <c r="Z364" i="216"/>
  <c r="EZ365" i="216"/>
  <c r="EH365" i="216"/>
  <c r="O377" i="216"/>
  <c r="P377" i="216" s="1"/>
  <c r="BJ377" i="216"/>
  <c r="BX369" i="216"/>
  <c r="BW377" i="216"/>
  <c r="CE377" i="216" s="1"/>
  <c r="DE377" i="216"/>
  <c r="DD377" i="216" s="1"/>
  <c r="BB370" i="216"/>
  <c r="BV370" i="216"/>
  <c r="BN370" i="216"/>
  <c r="CZ370" i="216"/>
  <c r="CR370" i="216"/>
  <c r="BK371" i="216"/>
  <c r="BU371" i="216"/>
  <c r="CF371" i="216"/>
  <c r="X372" i="216"/>
  <c r="W372" i="216" s="1"/>
  <c r="P372" i="216"/>
  <c r="CD377" i="216"/>
  <c r="CZ372" i="216"/>
  <c r="CR372" i="216"/>
  <c r="T373" i="216"/>
  <c r="EH374" i="216"/>
  <c r="BC377" i="216"/>
  <c r="BK377" i="216" s="1"/>
  <c r="CS377" i="216"/>
  <c r="CR377" i="216" s="1"/>
  <c r="EL380" i="216"/>
  <c r="EL387" i="216" s="1"/>
  <c r="BT387" i="216"/>
  <c r="CG387" i="216"/>
  <c r="CO387" i="216" s="1"/>
  <c r="CH380" i="216"/>
  <c r="DE387" i="216"/>
  <c r="DD380" i="216"/>
  <c r="AN381" i="216"/>
  <c r="CZ381" i="216"/>
  <c r="AH382" i="216"/>
  <c r="Z382" i="216"/>
  <c r="CZ382" i="216"/>
  <c r="AI387" i="216"/>
  <c r="AQ387" i="216" s="1"/>
  <c r="CU387" i="216"/>
  <c r="AB390" i="216"/>
  <c r="Z390" i="216"/>
  <c r="BF392" i="216"/>
  <c r="BD392" i="216"/>
  <c r="CH310" i="216"/>
  <c r="DV310" i="216"/>
  <c r="T312" i="216"/>
  <c r="AJ312" i="216"/>
  <c r="BX312" i="216"/>
  <c r="DL312" i="216"/>
  <c r="R314" i="216"/>
  <c r="Z314" i="216"/>
  <c r="BN314" i="216"/>
  <c r="DB314" i="216"/>
  <c r="P316" i="216"/>
  <c r="X316" i="216"/>
  <c r="W316" i="216" s="1"/>
  <c r="BD316" i="216"/>
  <c r="CR316" i="216"/>
  <c r="AT318" i="216"/>
  <c r="CH318" i="216"/>
  <c r="DV318" i="216"/>
  <c r="R319" i="216"/>
  <c r="Z319" i="216"/>
  <c r="BN319" i="216"/>
  <c r="DB319" i="216"/>
  <c r="P321" i="216"/>
  <c r="X321" i="216"/>
  <c r="W321" i="216" s="1"/>
  <c r="BD321" i="216"/>
  <c r="CR321" i="216"/>
  <c r="T322" i="216"/>
  <c r="AJ322" i="216"/>
  <c r="BX322" i="216"/>
  <c r="DL322" i="216"/>
  <c r="R324" i="216"/>
  <c r="Z324" i="216"/>
  <c r="BN324" i="216"/>
  <c r="DB324" i="216"/>
  <c r="P326" i="216"/>
  <c r="BD326" i="216"/>
  <c r="CR326" i="216"/>
  <c r="R332" i="216"/>
  <c r="Z332" i="216"/>
  <c r="AH332" i="216"/>
  <c r="AP411" i="216"/>
  <c r="AP344" i="216"/>
  <c r="AX332" i="216"/>
  <c r="BF332" i="216"/>
  <c r="BN332" i="216"/>
  <c r="BV332" i="216"/>
  <c r="CD344" i="216"/>
  <c r="CD411" i="216"/>
  <c r="CD417" i="216" s="1"/>
  <c r="CL332" i="216"/>
  <c r="CT332" i="216"/>
  <c r="DB332" i="216"/>
  <c r="DJ332" i="216"/>
  <c r="DI332" i="216" s="1"/>
  <c r="DI411" i="216" s="1"/>
  <c r="DR344" i="216"/>
  <c r="DR411" i="216"/>
  <c r="DR417" i="216" s="1"/>
  <c r="DZ332" i="216"/>
  <c r="EC333" i="216"/>
  <c r="EC412" i="216" s="1"/>
  <c r="P334" i="216"/>
  <c r="X334" i="216"/>
  <c r="AN334" i="216"/>
  <c r="AV334" i="216"/>
  <c r="BD334" i="216"/>
  <c r="BL334" i="216"/>
  <c r="BL413" i="216" s="1"/>
  <c r="CJ334" i="216"/>
  <c r="CR334" i="216"/>
  <c r="CZ334" i="216"/>
  <c r="DP334" i="216"/>
  <c r="EI335" i="216"/>
  <c r="BR335" i="216"/>
  <c r="ED335" i="216"/>
  <c r="EC335" i="216" s="1"/>
  <c r="DV335" i="216"/>
  <c r="AX336" i="216"/>
  <c r="CA414" i="216"/>
  <c r="BZ336" i="216"/>
  <c r="CT336" i="216"/>
  <c r="DB336" i="216"/>
  <c r="DL336" i="216"/>
  <c r="W337" i="216"/>
  <c r="W415" i="216" s="1"/>
  <c r="BH337" i="216"/>
  <c r="BI415" i="216"/>
  <c r="BI417" i="216" s="1"/>
  <c r="DE415" i="216"/>
  <c r="DE417" i="216" s="1"/>
  <c r="DD337" i="216"/>
  <c r="CL338" i="216"/>
  <c r="DS339" i="216"/>
  <c r="BP340" i="216"/>
  <c r="T341" i="216"/>
  <c r="BL341" i="216"/>
  <c r="BD341" i="216"/>
  <c r="O344" i="216"/>
  <c r="AA344" i="216"/>
  <c r="AK344" i="216"/>
  <c r="AJ344" i="216" s="1"/>
  <c r="CM344" i="216"/>
  <c r="CW344" i="216"/>
  <c r="AV349" i="216"/>
  <c r="EZ355" i="216"/>
  <c r="EH355" i="216"/>
  <c r="BY366" i="216"/>
  <c r="BX366" i="216" s="1"/>
  <c r="CP357" i="216"/>
  <c r="AM366" i="216"/>
  <c r="AL366" i="216" s="1"/>
  <c r="CH358" i="216"/>
  <c r="EK359" i="216"/>
  <c r="CH359" i="216"/>
  <c r="CZ359" i="216"/>
  <c r="CR359" i="216"/>
  <c r="AR360" i="216"/>
  <c r="BV360" i="216"/>
  <c r="T361" i="216"/>
  <c r="CO363" i="216"/>
  <c r="DT364" i="216"/>
  <c r="DL364" i="216"/>
  <c r="EN365" i="216"/>
  <c r="EF365" i="216"/>
  <c r="BO366" i="216"/>
  <c r="P369" i="216"/>
  <c r="EP370" i="216"/>
  <c r="AG371" i="216"/>
  <c r="CP373" i="216"/>
  <c r="CH373" i="216"/>
  <c r="CA377" i="216"/>
  <c r="W380" i="216"/>
  <c r="AK387" i="216"/>
  <c r="AR380" i="216"/>
  <c r="AJ380" i="216"/>
  <c r="CZ390" i="216"/>
  <c r="CR390" i="216"/>
  <c r="ED390" i="216"/>
  <c r="R392" i="216"/>
  <c r="P392" i="216"/>
  <c r="S417" i="216"/>
  <c r="AA417" i="216"/>
  <c r="AI417" i="216"/>
  <c r="AQ332" i="216"/>
  <c r="AQ411" i="216" s="1"/>
  <c r="BO417" i="216"/>
  <c r="BW417" i="216"/>
  <c r="CE332" i="216"/>
  <c r="CE411" i="216" s="1"/>
  <c r="DK417" i="216"/>
  <c r="DS332" i="216"/>
  <c r="DS411" i="216" s="1"/>
  <c r="EI332" i="216"/>
  <c r="EL333" i="216"/>
  <c r="EL412" i="216" s="1"/>
  <c r="AG334" i="216"/>
  <c r="AG413" i="216" s="1"/>
  <c r="BU334" i="216"/>
  <c r="BU413" i="216" s="1"/>
  <c r="DI334" i="216"/>
  <c r="DI413" i="216" s="1"/>
  <c r="EG334" i="216"/>
  <c r="EL336" i="216"/>
  <c r="EL414" i="216" s="1"/>
  <c r="AE414" i="216"/>
  <c r="AD336" i="216"/>
  <c r="DW414" i="216"/>
  <c r="ED336" i="216"/>
  <c r="ED414" i="216" s="1"/>
  <c r="DV336" i="216"/>
  <c r="CV337" i="216"/>
  <c r="CW416" i="216"/>
  <c r="CV338" i="216"/>
  <c r="X339" i="216"/>
  <c r="W339" i="216" s="1"/>
  <c r="P339" i="216"/>
  <c r="EN343" i="216"/>
  <c r="EF343" i="216"/>
  <c r="CX344" i="216"/>
  <c r="EM347" i="216"/>
  <c r="EN353" i="216"/>
  <c r="EF353" i="216"/>
  <c r="BF357" i="216"/>
  <c r="BQ366" i="216"/>
  <c r="DJ357" i="216"/>
  <c r="DB357" i="216"/>
  <c r="AE366" i="216"/>
  <c r="AD366" i="216" s="1"/>
  <c r="CA366" i="216"/>
  <c r="BZ366" i="216" s="1"/>
  <c r="DJ358" i="216"/>
  <c r="DI358" i="216" s="1"/>
  <c r="DB358" i="216"/>
  <c r="BL360" i="216"/>
  <c r="BD360" i="216"/>
  <c r="CP360" i="216"/>
  <c r="CH360" i="216"/>
  <c r="EG364" i="216"/>
  <c r="AH370" i="216"/>
  <c r="Z370" i="216"/>
  <c r="BL370" i="216"/>
  <c r="BD370" i="216"/>
  <c r="CZ371" i="216"/>
  <c r="CR371" i="216"/>
  <c r="EL373" i="216"/>
  <c r="BF373" i="216"/>
  <c r="EH376" i="216"/>
  <c r="BI387" i="216"/>
  <c r="BH387" i="216" s="1"/>
  <c r="BH380" i="216"/>
  <c r="BY387" i="216"/>
  <c r="BX387" i="216" s="1"/>
  <c r="CF380" i="216"/>
  <c r="BX380" i="216"/>
  <c r="CJ380" i="216"/>
  <c r="DU387" i="216"/>
  <c r="EC387" i="216" s="1"/>
  <c r="DV380" i="216"/>
  <c r="EI380" i="216"/>
  <c r="DJ381" i="216"/>
  <c r="DB381" i="216"/>
  <c r="X382" i="216"/>
  <c r="DN382" i="216"/>
  <c r="DL382" i="216"/>
  <c r="DK387" i="216"/>
  <c r="DS387" i="216" s="1"/>
  <c r="EG392" i="216"/>
  <c r="ED392" i="216"/>
  <c r="DV392" i="216"/>
  <c r="AG382" i="216"/>
  <c r="BU382" i="216"/>
  <c r="DI382" i="216"/>
  <c r="EG382" i="216"/>
  <c r="Y387" i="216"/>
  <c r="AG387" i="216" s="1"/>
  <c r="AO387" i="216"/>
  <c r="AN387" i="216" s="1"/>
  <c r="BM387" i="216"/>
  <c r="BU387" i="216" s="1"/>
  <c r="CC387" i="216"/>
  <c r="CB387" i="216" s="1"/>
  <c r="DA387" i="216"/>
  <c r="DI387" i="216" s="1"/>
  <c r="BK390" i="216"/>
  <c r="CY390" i="216"/>
  <c r="EE390" i="216"/>
  <c r="EM390" i="216" s="1"/>
  <c r="BA392" i="216"/>
  <c r="CO392" i="216"/>
  <c r="EC392" i="216"/>
  <c r="EK392" i="216"/>
  <c r="EJ392" i="216" s="1"/>
  <c r="AG337" i="216"/>
  <c r="AG415" i="216" s="1"/>
  <c r="DI337" i="216"/>
  <c r="DI415" i="216" s="1"/>
  <c r="EG337" i="216"/>
  <c r="EE369" i="216"/>
  <c r="Q387" i="216"/>
  <c r="P387" i="216" s="1"/>
  <c r="AG381" i="216"/>
  <c r="BU381" i="216"/>
  <c r="DI381" i="216"/>
  <c r="AB382" i="216"/>
  <c r="AR382" i="216"/>
  <c r="BP382" i="216"/>
  <c r="CF382" i="216"/>
  <c r="DD382" i="216"/>
  <c r="DT382" i="216"/>
  <c r="BK383" i="216"/>
  <c r="CY383" i="216"/>
  <c r="EE383" i="216"/>
  <c r="EM383" i="216" s="1"/>
  <c r="EM384" i="216"/>
  <c r="EM385" i="216"/>
  <c r="EM386" i="216"/>
  <c r="R390" i="216"/>
  <c r="AH390" i="216"/>
  <c r="BV390" i="216"/>
  <c r="DJ390" i="216"/>
  <c r="BA391" i="216"/>
  <c r="CO391" i="216"/>
  <c r="EC391" i="216"/>
  <c r="EK391" i="216"/>
  <c r="X392" i="216"/>
  <c r="W392" i="216" s="1"/>
  <c r="AV392" i="216"/>
  <c r="BL392" i="216"/>
  <c r="CJ392" i="216"/>
  <c r="CZ392" i="216"/>
  <c r="DX392" i="216"/>
  <c r="AG336" i="216"/>
  <c r="AG414" i="216" s="1"/>
  <c r="DI336" i="216"/>
  <c r="DI414" i="216" s="1"/>
  <c r="EG336" i="216"/>
  <c r="BK338" i="216"/>
  <c r="BK416" i="216" s="1"/>
  <c r="EE338" i="216"/>
  <c r="P383" i="216"/>
  <c r="X383" i="216"/>
  <c r="BD383" i="216"/>
  <c r="CR383" i="216"/>
  <c r="AT391" i="216"/>
  <c r="CH391" i="216"/>
  <c r="DV391" i="216"/>
  <c r="BB382" i="216"/>
  <c r="CP382" i="216"/>
  <c r="ED382" i="216"/>
  <c r="AG383" i="216"/>
  <c r="BU383" i="216"/>
  <c r="DI383" i="216"/>
  <c r="AR390" i="216"/>
  <c r="CF390" i="216"/>
  <c r="DT390" i="216"/>
  <c r="BK391" i="216"/>
  <c r="CY391" i="216"/>
  <c r="EE391" i="216"/>
  <c r="EM391" i="216" s="1"/>
  <c r="AH392" i="216"/>
  <c r="BV392" i="216"/>
  <c r="DJ392" i="216"/>
  <c r="AS377" i="216"/>
  <c r="BA377" i="216" s="1"/>
  <c r="CG377" i="216"/>
  <c r="CO377" i="216" s="1"/>
  <c r="DU377" i="216"/>
  <c r="EC377" i="216" s="1"/>
  <c r="BK382" i="216"/>
  <c r="CY382" i="216"/>
  <c r="EE382" i="216"/>
  <c r="EM382" i="216" s="1"/>
  <c r="EH384" i="216"/>
  <c r="EH385" i="216"/>
  <c r="EH386" i="216"/>
  <c r="P382" i="216"/>
  <c r="BD382" i="216"/>
  <c r="CR382" i="216"/>
  <c r="AT390" i="216"/>
  <c r="CH390" i="216"/>
  <c r="DV390" i="216"/>
  <c r="AJ392" i="216"/>
  <c r="BX392" i="216"/>
  <c r="DL392" i="216"/>
  <c r="N37" i="208"/>
  <c r="J37" i="208"/>
  <c r="J35" i="208"/>
  <c r="E35" i="208"/>
  <c r="E33" i="208"/>
  <c r="J32" i="208"/>
  <c r="N31" i="208"/>
  <c r="N33" i="208" s="1"/>
  <c r="N34" i="208" s="1"/>
  <c r="E31" i="208"/>
  <c r="E30" i="208"/>
  <c r="N29" i="208"/>
  <c r="N36" i="208" s="1"/>
  <c r="E29" i="208"/>
  <c r="N28" i="208"/>
  <c r="N35" i="208" s="1"/>
  <c r="E28" i="208"/>
  <c r="L27" i="208"/>
  <c r="L28" i="208" s="1"/>
  <c r="L29" i="208" s="1"/>
  <c r="L30" i="208" s="1"/>
  <c r="L31" i="208" s="1"/>
  <c r="L32" i="208" s="1"/>
  <c r="L33" i="208" s="1"/>
  <c r="L34" i="208" s="1"/>
  <c r="L35" i="208" s="1"/>
  <c r="L36" i="208" s="1"/>
  <c r="L37" i="208" s="1"/>
  <c r="J27" i="208"/>
  <c r="J29" i="208" s="1"/>
  <c r="J30" i="208" s="1"/>
  <c r="J31" i="208" s="1"/>
  <c r="J33" i="208" s="1"/>
  <c r="J34" i="208" s="1"/>
  <c r="J36" i="208" s="1"/>
  <c r="I27" i="208"/>
  <c r="I28" i="208" s="1"/>
  <c r="I29" i="208" s="1"/>
  <c r="I30" i="208" s="1"/>
  <c r="G27" i="208"/>
  <c r="G28" i="208" s="1"/>
  <c r="E27" i="208"/>
  <c r="M27" i="208"/>
  <c r="M28" i="208" s="1"/>
  <c r="M29" i="208" s="1"/>
  <c r="M30" i="208" s="1"/>
  <c r="M31" i="208" s="1"/>
  <c r="M32" i="208" s="1"/>
  <c r="M33" i="208" s="1"/>
  <c r="M34" i="208" s="1"/>
  <c r="M35" i="208" s="1"/>
  <c r="M36" i="208" s="1"/>
  <c r="M37" i="208" s="1"/>
  <c r="J26" i="208"/>
  <c r="J28" i="208" s="1"/>
  <c r="I26" i="208"/>
  <c r="H27" i="208"/>
  <c r="H28" i="208" s="1"/>
  <c r="H29" i="208" s="1"/>
  <c r="H30" i="208" s="1"/>
  <c r="E26" i="208"/>
  <c r="E20" i="208"/>
  <c r="E19" i="208"/>
  <c r="E18" i="208"/>
  <c r="E16" i="208"/>
  <c r="E15" i="208"/>
  <c r="E14" i="208"/>
  <c r="AK237" i="257" l="1"/>
  <c r="AL173" i="257"/>
  <c r="AL194" i="257"/>
  <c r="AP194" i="257"/>
  <c r="AQ194" i="257" s="1"/>
  <c r="AF161" i="253"/>
  <c r="AG211" i="253"/>
  <c r="D224" i="253" s="1"/>
  <c r="D235" i="253" s="1"/>
  <c r="E236" i="253" s="1"/>
  <c r="EH123" i="253"/>
  <c r="EI161" i="253"/>
  <c r="W198" i="250"/>
  <c r="O198" i="250"/>
  <c r="AQ170" i="257"/>
  <c r="I6" i="263"/>
  <c r="D17" i="263"/>
  <c r="J12" i="263"/>
  <c r="AP123" i="253"/>
  <c r="AQ161" i="253"/>
  <c r="AQ211" i="253" s="1"/>
  <c r="D225" i="253" s="1"/>
  <c r="ES216" i="252"/>
  <c r="EO216" i="252"/>
  <c r="EM119" i="253"/>
  <c r="EP119" i="253"/>
  <c r="EO119" i="253"/>
  <c r="EN123" i="253"/>
  <c r="AI237" i="257"/>
  <c r="AJ173" i="257"/>
  <c r="W167" i="250"/>
  <c r="N219" i="250"/>
  <c r="O167" i="250"/>
  <c r="AP136" i="257"/>
  <c r="AQ136" i="257" s="1"/>
  <c r="AQ134" i="257"/>
  <c r="AQ90" i="257"/>
  <c r="AP95" i="257"/>
  <c r="AQ95" i="257" s="1"/>
  <c r="AM257" i="257"/>
  <c r="AM240" i="257"/>
  <c r="EF383" i="216"/>
  <c r="CL344" i="216"/>
  <c r="EN359" i="216"/>
  <c r="DD366" i="216"/>
  <c r="BF283" i="216"/>
  <c r="EF324" i="216"/>
  <c r="EJ324" i="216"/>
  <c r="EN252" i="216"/>
  <c r="DP243" i="216"/>
  <c r="DP283" i="216"/>
  <c r="EJ208" i="216"/>
  <c r="AJ272" i="216"/>
  <c r="BL199" i="216"/>
  <c r="BK199" i="216" s="1"/>
  <c r="DB272" i="216"/>
  <c r="BX241" i="216"/>
  <c r="DV136" i="216"/>
  <c r="BX111" i="216"/>
  <c r="DJ147" i="216"/>
  <c r="DI147" i="216" s="1"/>
  <c r="CR119" i="216"/>
  <c r="CF48" i="216"/>
  <c r="EN162" i="216"/>
  <c r="EM162" i="216" s="1"/>
  <c r="DD82" i="216"/>
  <c r="AJ176" i="216"/>
  <c r="EK123" i="216"/>
  <c r="EF12" i="216"/>
  <c r="DJ362" i="216"/>
  <c r="CV387" i="216"/>
  <c r="EK164" i="216"/>
  <c r="EJ217" i="216"/>
  <c r="X119" i="216"/>
  <c r="W119" i="216" s="1"/>
  <c r="BD366" i="216"/>
  <c r="EJ263" i="216"/>
  <c r="AB272" i="216"/>
  <c r="DF141" i="216"/>
  <c r="EJ203" i="216"/>
  <c r="DX188" i="216"/>
  <c r="CT93" i="216"/>
  <c r="EK48" i="216"/>
  <c r="EN160" i="216"/>
  <c r="EM160" i="216" s="1"/>
  <c r="BN119" i="216"/>
  <c r="EK96" i="216"/>
  <c r="EK77" i="216"/>
  <c r="EK146" i="216"/>
  <c r="DZ50" i="216"/>
  <c r="AP417" i="216"/>
  <c r="EL377" i="216"/>
  <c r="BH366" i="216"/>
  <c r="AX217" i="216"/>
  <c r="AL272" i="216"/>
  <c r="EJ216" i="216"/>
  <c r="DT119" i="216"/>
  <c r="DS119" i="216" s="1"/>
  <c r="EI193" i="216"/>
  <c r="EN193" i="216" s="1"/>
  <c r="Z272" i="216"/>
  <c r="AG272" i="216"/>
  <c r="EE217" i="216"/>
  <c r="DV183" i="216"/>
  <c r="BB203" i="216"/>
  <c r="BA203" i="216" s="1"/>
  <c r="EH165" i="216"/>
  <c r="AJ128" i="216"/>
  <c r="EK56" i="216"/>
  <c r="DJ132" i="216"/>
  <c r="EK63" i="216"/>
  <c r="CF55" i="216"/>
  <c r="CE55" i="216" s="1"/>
  <c r="BL63" i="216"/>
  <c r="BK63" i="216" s="1"/>
  <c r="EF19" i="216"/>
  <c r="DX252" i="216"/>
  <c r="BV149" i="216"/>
  <c r="BV406" i="216" s="1"/>
  <c r="EK58" i="216"/>
  <c r="EN58" i="216" s="1"/>
  <c r="X278" i="216"/>
  <c r="W278" i="216" s="1"/>
  <c r="EG278" i="216"/>
  <c r="EN268" i="216"/>
  <c r="DZ252" i="216"/>
  <c r="BV283" i="216"/>
  <c r="BZ111" i="216"/>
  <c r="ED157" i="216"/>
  <c r="EC157" i="216" s="1"/>
  <c r="EF107" i="216"/>
  <c r="EZ70" i="216"/>
  <c r="CV188" i="216"/>
  <c r="EF89" i="216"/>
  <c r="EN108" i="216"/>
  <c r="BL77" i="216"/>
  <c r="BK77" i="216" s="1"/>
  <c r="EK75" i="216"/>
  <c r="M152" i="213"/>
  <c r="I24" i="213"/>
  <c r="DT146" i="216"/>
  <c r="CV292" i="216"/>
  <c r="AD272" i="216"/>
  <c r="EH162" i="216"/>
  <c r="BD344" i="216"/>
  <c r="DF366" i="216"/>
  <c r="DJ328" i="216"/>
  <c r="EH322" i="216"/>
  <c r="DV314" i="216"/>
  <c r="CJ287" i="216"/>
  <c r="CR283" i="216"/>
  <c r="EF296" i="216"/>
  <c r="CL287" i="216"/>
  <c r="EI259" i="216"/>
  <c r="EJ244" i="216"/>
  <c r="DN283" i="216"/>
  <c r="EJ243" i="216"/>
  <c r="EE243" i="216"/>
  <c r="EI199" i="216"/>
  <c r="EN199" i="216" s="1"/>
  <c r="DV188" i="216"/>
  <c r="DG136" i="216"/>
  <c r="DT106" i="216"/>
  <c r="DS106" i="216" s="1"/>
  <c r="EZ162" i="216"/>
  <c r="DB111" i="216"/>
  <c r="CH33" i="216"/>
  <c r="EF108" i="216"/>
  <c r="DJ75" i="216"/>
  <c r="DI75" i="216" s="1"/>
  <c r="EL157" i="216"/>
  <c r="EK67" i="216"/>
  <c r="CF56" i="216"/>
  <c r="CE56" i="216" s="1"/>
  <c r="CY119" i="216"/>
  <c r="M74" i="213"/>
  <c r="EK78" i="216"/>
  <c r="EK132" i="216"/>
  <c r="EE33" i="216"/>
  <c r="EJ33" i="216" s="1"/>
  <c r="EJ264" i="216"/>
  <c r="CT387" i="216"/>
  <c r="CV283" i="216"/>
  <c r="EH163" i="216"/>
  <c r="EZ160" i="216"/>
  <c r="DT67" i="216"/>
  <c r="DS67" i="216" s="1"/>
  <c r="CP119" i="216"/>
  <c r="CO119" i="216" s="1"/>
  <c r="DJ57" i="216"/>
  <c r="DI57" i="216" s="1"/>
  <c r="EH114" i="216"/>
  <c r="AX278" i="216"/>
  <c r="EJ361" i="216"/>
  <c r="EN306" i="216"/>
  <c r="DZ314" i="216"/>
  <c r="BB259" i="216"/>
  <c r="BA259" i="216" s="1"/>
  <c r="EE314" i="216"/>
  <c r="EI203" i="216"/>
  <c r="DJ193" i="216"/>
  <c r="DI193" i="216" s="1"/>
  <c r="DX272" i="216"/>
  <c r="CT188" i="216"/>
  <c r="DL283" i="216"/>
  <c r="CZ63" i="216"/>
  <c r="CY63" i="216" s="1"/>
  <c r="EF162" i="216"/>
  <c r="EZ114" i="216"/>
  <c r="EN101" i="216"/>
  <c r="EM101" i="216" s="1"/>
  <c r="EK55" i="216"/>
  <c r="EN19" i="216"/>
  <c r="EF381" i="216"/>
  <c r="EJ310" i="216"/>
  <c r="EJ335" i="216"/>
  <c r="ED283" i="216"/>
  <c r="EJ227" i="216"/>
  <c r="EJ235" i="216"/>
  <c r="BX153" i="216"/>
  <c r="DB183" i="216"/>
  <c r="T93" i="216"/>
  <c r="EK45" i="216"/>
  <c r="CB241" i="216"/>
  <c r="DL377" i="216"/>
  <c r="EJ314" i="216"/>
  <c r="EF261" i="216"/>
  <c r="BP40" i="216"/>
  <c r="EF321" i="216"/>
  <c r="BP288" i="216"/>
  <c r="DD283" i="216"/>
  <c r="EJ267" i="216"/>
  <c r="EJ248" i="216"/>
  <c r="DZ183" i="216"/>
  <c r="DP93" i="216"/>
  <c r="DD183" i="216"/>
  <c r="EF20" i="216"/>
  <c r="DX288" i="216"/>
  <c r="AB278" i="216"/>
  <c r="EK148" i="216"/>
  <c r="CJ344" i="216"/>
  <c r="EF361" i="216"/>
  <c r="CH344" i="216"/>
  <c r="EN303" i="216"/>
  <c r="EJ295" i="216"/>
  <c r="AX283" i="216"/>
  <c r="T283" i="216"/>
  <c r="EN291" i="216"/>
  <c r="EJ229" i="216"/>
  <c r="EJ225" i="216"/>
  <c r="EJ240" i="216"/>
  <c r="AD283" i="216"/>
  <c r="DX183" i="216"/>
  <c r="DL93" i="216"/>
  <c r="BN40" i="216"/>
  <c r="AG407" i="216"/>
  <c r="AX188" i="216"/>
  <c r="EN88" i="216"/>
  <c r="EN159" i="216"/>
  <c r="EN60" i="216"/>
  <c r="AB366" i="216"/>
  <c r="AB283" i="216"/>
  <c r="Z283" i="216"/>
  <c r="CR328" i="216"/>
  <c r="DB283" i="216"/>
  <c r="EJ297" i="216"/>
  <c r="EN169" i="216"/>
  <c r="AD278" i="216"/>
  <c r="CR344" i="216"/>
  <c r="W344" i="216"/>
  <c r="BR288" i="216"/>
  <c r="AT283" i="216"/>
  <c r="EN215" i="216"/>
  <c r="EZ124" i="216"/>
  <c r="EN72" i="216"/>
  <c r="EN107" i="216"/>
  <c r="EM107" i="216" s="1"/>
  <c r="Z278" i="216"/>
  <c r="EK369" i="216"/>
  <c r="EK170" i="216"/>
  <c r="EJ259" i="216"/>
  <c r="EJ196" i="216"/>
  <c r="BN272" i="216"/>
  <c r="EN196" i="216"/>
  <c r="EJ74" i="216"/>
  <c r="EH74" i="216"/>
  <c r="AZ393" i="216"/>
  <c r="AF393" i="216"/>
  <c r="CD393" i="216"/>
  <c r="CD394" i="216" s="1"/>
  <c r="BD387" i="216"/>
  <c r="EJ162" i="216"/>
  <c r="L154" i="213"/>
  <c r="N117" i="213"/>
  <c r="P117" i="213"/>
  <c r="EJ201" i="216"/>
  <c r="EJ192" i="216"/>
  <c r="EJ199" i="216"/>
  <c r="DL128" i="216"/>
  <c r="EN62" i="216"/>
  <c r="AP393" i="216"/>
  <c r="BV172" i="216"/>
  <c r="BU172" i="216" s="1"/>
  <c r="DF176" i="216"/>
  <c r="DT107" i="216"/>
  <c r="EI33" i="216"/>
  <c r="CV176" i="216"/>
  <c r="CR387" i="216"/>
  <c r="EJ17" i="216"/>
  <c r="L20" i="213"/>
  <c r="EN391" i="216"/>
  <c r="Z344" i="216"/>
  <c r="DX328" i="216"/>
  <c r="CH328" i="216"/>
  <c r="EJ307" i="216"/>
  <c r="EN315" i="216"/>
  <c r="EJ317" i="216"/>
  <c r="T328" i="216"/>
  <c r="EN245" i="216"/>
  <c r="CH272" i="216"/>
  <c r="P176" i="216"/>
  <c r="BP153" i="216"/>
  <c r="EN225" i="216"/>
  <c r="AG408" i="216"/>
  <c r="EN53" i="216"/>
  <c r="EN77" i="216"/>
  <c r="EB393" i="216"/>
  <c r="EB394" i="216" s="1"/>
  <c r="EN187" i="216"/>
  <c r="EM108" i="216"/>
  <c r="I112" i="213"/>
  <c r="BZ136" i="216"/>
  <c r="EM19" i="216"/>
  <c r="I22" i="213"/>
  <c r="EJ212" i="216"/>
  <c r="EJ204" i="216"/>
  <c r="R40" i="216"/>
  <c r="AH283" i="216"/>
  <c r="EJ19" i="216"/>
  <c r="L22" i="213"/>
  <c r="DD344" i="216"/>
  <c r="DV387" i="216"/>
  <c r="EN361" i="216"/>
  <c r="BP387" i="216"/>
  <c r="CT344" i="216"/>
  <c r="AT377" i="216"/>
  <c r="EN262" i="216"/>
  <c r="DN377" i="216"/>
  <c r="CP283" i="216"/>
  <c r="BR272" i="216"/>
  <c r="ED136" i="216"/>
  <c r="EJ222" i="216"/>
  <c r="BN153" i="216"/>
  <c r="DX128" i="216"/>
  <c r="EN35" i="216"/>
  <c r="EF124" i="216"/>
  <c r="BT393" i="216"/>
  <c r="DT101" i="216"/>
  <c r="EI106" i="216"/>
  <c r="AB82" i="216"/>
  <c r="AV344" i="216"/>
  <c r="BF387" i="216"/>
  <c r="EM79" i="216"/>
  <c r="I85" i="213"/>
  <c r="EF103" i="216"/>
  <c r="J104" i="213"/>
  <c r="CR188" i="216"/>
  <c r="Z377" i="216"/>
  <c r="BX344" i="216"/>
  <c r="BZ344" i="216"/>
  <c r="EJ266" i="216"/>
  <c r="EJ194" i="216"/>
  <c r="EN48" i="216"/>
  <c r="DL82" i="216"/>
  <c r="AS393" i="216"/>
  <c r="EM359" i="216"/>
  <c r="I215" i="213"/>
  <c r="DN136" i="216"/>
  <c r="AD141" i="216"/>
  <c r="DL111" i="216"/>
  <c r="EM15" i="216"/>
  <c r="I18" i="213"/>
  <c r="AD387" i="216"/>
  <c r="CV344" i="216"/>
  <c r="T344" i="216"/>
  <c r="DN328" i="216"/>
  <c r="AB377" i="216"/>
  <c r="DV328" i="216"/>
  <c r="R283" i="216"/>
  <c r="EJ254" i="216"/>
  <c r="CH283" i="216"/>
  <c r="EJ260" i="216"/>
  <c r="DV272" i="216"/>
  <c r="EJ207" i="216"/>
  <c r="BP272" i="216"/>
  <c r="EJ220" i="216"/>
  <c r="DI407" i="216"/>
  <c r="CF136" i="216"/>
  <c r="CE136" i="216" s="1"/>
  <c r="AL176" i="216"/>
  <c r="AX40" i="216"/>
  <c r="ED119" i="216"/>
  <c r="EM17" i="216"/>
  <c r="I20" i="213"/>
  <c r="D176" i="213"/>
  <c r="CO26" i="216"/>
  <c r="AP394" i="216"/>
  <c r="J183" i="213"/>
  <c r="AZ394" i="216"/>
  <c r="AZ395" i="216"/>
  <c r="EF382" i="216"/>
  <c r="EN392" i="216"/>
  <c r="EF392" i="216"/>
  <c r="EF364" i="216"/>
  <c r="EN364" i="216"/>
  <c r="AR387" i="216"/>
  <c r="EZ335" i="216"/>
  <c r="EH335" i="216"/>
  <c r="BV366" i="216"/>
  <c r="EH341" i="216"/>
  <c r="EZ341" i="216"/>
  <c r="EN332" i="216"/>
  <c r="EF332" i="216"/>
  <c r="EG411" i="216"/>
  <c r="EG344" i="216"/>
  <c r="EJ373" i="216"/>
  <c r="L208" i="213"/>
  <c r="DJ377" i="216"/>
  <c r="BB414" i="216"/>
  <c r="BA336" i="216"/>
  <c r="BA414" i="216" s="1"/>
  <c r="CJ387" i="216"/>
  <c r="AV377" i="216"/>
  <c r="DT387" i="216"/>
  <c r="EZ371" i="216"/>
  <c r="EH371" i="216"/>
  <c r="EJ383" i="216"/>
  <c r="EZ339" i="216"/>
  <c r="EH339" i="216"/>
  <c r="AR415" i="216"/>
  <c r="AQ337" i="216"/>
  <c r="AQ415" i="216" s="1"/>
  <c r="CZ412" i="216"/>
  <c r="CY333" i="216"/>
  <c r="CY412" i="216" s="1"/>
  <c r="DI328" i="216"/>
  <c r="DT328" i="216"/>
  <c r="DS291" i="216"/>
  <c r="AR288" i="216"/>
  <c r="AQ288" i="216" s="1"/>
  <c r="AQ286" i="216"/>
  <c r="EZ314" i="216"/>
  <c r="EH314" i="216"/>
  <c r="CH387" i="216"/>
  <c r="EZ297" i="216"/>
  <c r="EH297" i="216"/>
  <c r="EN297" i="216"/>
  <c r="BU282" i="216"/>
  <c r="BU409" i="216" s="1"/>
  <c r="EF309" i="216"/>
  <c r="EN309" i="216"/>
  <c r="DB328" i="216"/>
  <c r="EC295" i="216"/>
  <c r="EK288" i="216"/>
  <c r="EJ286" i="216"/>
  <c r="EZ323" i="216"/>
  <c r="EH323" i="216"/>
  <c r="EZ317" i="216"/>
  <c r="EH317" i="216"/>
  <c r="EZ294" i="216"/>
  <c r="EH294" i="216"/>
  <c r="EN371" i="216"/>
  <c r="EF371" i="216"/>
  <c r="EI377" i="216"/>
  <c r="EZ369" i="216"/>
  <c r="EH369" i="216"/>
  <c r="K206" i="213"/>
  <c r="EZ318" i="216"/>
  <c r="EH318" i="216"/>
  <c r="X288" i="216"/>
  <c r="W288" i="216" s="1"/>
  <c r="W286" i="216"/>
  <c r="EN251" i="216"/>
  <c r="EF251" i="216"/>
  <c r="R328" i="216"/>
  <c r="EM280" i="216"/>
  <c r="EC283" i="216"/>
  <c r="ER250" i="216"/>
  <c r="CL328" i="216"/>
  <c r="EJ287" i="216"/>
  <c r="AX288" i="216"/>
  <c r="EK409" i="216"/>
  <c r="EJ282" i="216"/>
  <c r="ER258" i="216"/>
  <c r="BH283" i="216"/>
  <c r="ER260" i="216"/>
  <c r="EZ256" i="216"/>
  <c r="EH256" i="216"/>
  <c r="EJ246" i="216"/>
  <c r="EN267" i="216"/>
  <c r="EF267" i="216"/>
  <c r="EZ261" i="216"/>
  <c r="EH261" i="216"/>
  <c r="ER231" i="216"/>
  <c r="EZ227" i="216"/>
  <c r="EH227" i="216"/>
  <c r="EN223" i="216"/>
  <c r="EF223" i="216"/>
  <c r="CY272" i="216"/>
  <c r="ER238" i="216"/>
  <c r="ER198" i="216"/>
  <c r="EM181" i="216"/>
  <c r="EE183" i="216"/>
  <c r="EM183" i="216" s="1"/>
  <c r="EF181" i="216"/>
  <c r="ER247" i="216"/>
  <c r="ER241" i="216"/>
  <c r="EN240" i="216"/>
  <c r="EF240" i="216"/>
  <c r="EJ228" i="216"/>
  <c r="EK407" i="216"/>
  <c r="EJ166" i="216"/>
  <c r="L158" i="213"/>
  <c r="EZ228" i="216"/>
  <c r="EH228" i="216"/>
  <c r="EN220" i="216"/>
  <c r="EF220" i="216"/>
  <c r="EZ195" i="216"/>
  <c r="EH195" i="216"/>
  <c r="EF192" i="216"/>
  <c r="EN192" i="216"/>
  <c r="ER251" i="216"/>
  <c r="EM251" i="216"/>
  <c r="EJ236" i="216"/>
  <c r="ER201" i="216"/>
  <c r="AG149" i="216"/>
  <c r="AG406" i="216" s="1"/>
  <c r="EH233" i="216"/>
  <c r="EZ233" i="216"/>
  <c r="EJ197" i="216"/>
  <c r="BV407" i="216"/>
  <c r="BU166" i="216"/>
  <c r="BU407" i="216" s="1"/>
  <c r="X406" i="216"/>
  <c r="W149" i="216"/>
  <c r="W406" i="216" s="1"/>
  <c r="EN237" i="216"/>
  <c r="EF237" i="216"/>
  <c r="EJ234" i="216"/>
  <c r="ER233" i="216"/>
  <c r="EN226" i="216"/>
  <c r="EF226" i="216"/>
  <c r="AV272" i="216"/>
  <c r="T176" i="216"/>
  <c r="EG119" i="216"/>
  <c r="EN114" i="216"/>
  <c r="EF114" i="216"/>
  <c r="J116" i="213"/>
  <c r="EJ339" i="216"/>
  <c r="EZ280" i="216"/>
  <c r="EH280" i="216"/>
  <c r="ER237" i="216"/>
  <c r="EM237" i="216"/>
  <c r="AL183" i="216"/>
  <c r="EJ167" i="216"/>
  <c r="L159" i="213"/>
  <c r="EN163" i="216"/>
  <c r="EF163" i="216"/>
  <c r="J155" i="213"/>
  <c r="EJ139" i="216"/>
  <c r="EK141" i="216"/>
  <c r="L138" i="213"/>
  <c r="BA131" i="216"/>
  <c r="EZ97" i="216"/>
  <c r="EH97" i="216"/>
  <c r="K98" i="213"/>
  <c r="EZ79" i="216"/>
  <c r="EH79" i="216"/>
  <c r="K85" i="213"/>
  <c r="EH34" i="216"/>
  <c r="EZ34" i="216"/>
  <c r="K39" i="213"/>
  <c r="EJ202" i="216"/>
  <c r="AJ183" i="216"/>
  <c r="AQ119" i="216"/>
  <c r="AN119" i="216"/>
  <c r="I99" i="213"/>
  <c r="CR111" i="216"/>
  <c r="EJ71" i="216"/>
  <c r="L75" i="213"/>
  <c r="ER207" i="216"/>
  <c r="ED183" i="216"/>
  <c r="EM163" i="216"/>
  <c r="I155" i="213"/>
  <c r="BL153" i="216"/>
  <c r="BK153" i="216" s="1"/>
  <c r="EM147" i="216"/>
  <c r="I143" i="213"/>
  <c r="EN132" i="216"/>
  <c r="EF132" i="216"/>
  <c r="J134" i="213"/>
  <c r="BP111" i="216"/>
  <c r="CB111" i="216"/>
  <c r="I159" i="213"/>
  <c r="EC99" i="216"/>
  <c r="R111" i="216"/>
  <c r="EJ67" i="216"/>
  <c r="L71" i="213"/>
  <c r="EN32" i="216"/>
  <c r="EF32" i="216"/>
  <c r="J37" i="213"/>
  <c r="AT183" i="216"/>
  <c r="EN170" i="216"/>
  <c r="J162" i="213"/>
  <c r="CY93" i="216"/>
  <c r="EJ59" i="216"/>
  <c r="L66" i="213"/>
  <c r="EN51" i="216"/>
  <c r="EM51" i="216" s="1"/>
  <c r="EF51" i="216"/>
  <c r="J58" i="213"/>
  <c r="CH82" i="216"/>
  <c r="CI83" i="216"/>
  <c r="EJ36" i="216"/>
  <c r="L41" i="213"/>
  <c r="Z136" i="216"/>
  <c r="EJ125" i="216"/>
  <c r="L126" i="213"/>
  <c r="BF111" i="216"/>
  <c r="EJ105" i="216"/>
  <c r="L106" i="213"/>
  <c r="I58" i="213"/>
  <c r="T82" i="216"/>
  <c r="CJ26" i="216"/>
  <c r="EN23" i="216"/>
  <c r="EF23" i="216"/>
  <c r="J30" i="213"/>
  <c r="EN217" i="216"/>
  <c r="ER200" i="216"/>
  <c r="I146" i="213"/>
  <c r="EZ88" i="216"/>
  <c r="EH88" i="216"/>
  <c r="K92" i="213"/>
  <c r="EM72" i="216"/>
  <c r="I76" i="213"/>
  <c r="EH72" i="216"/>
  <c r="I71" i="213"/>
  <c r="EJ64" i="216"/>
  <c r="L52" i="213"/>
  <c r="DT26" i="216"/>
  <c r="DS12" i="216"/>
  <c r="EN96" i="216"/>
  <c r="EF96" i="216"/>
  <c r="EG111" i="216"/>
  <c r="J97" i="213"/>
  <c r="CM393" i="216"/>
  <c r="CL26" i="216"/>
  <c r="P26" i="213"/>
  <c r="N26" i="213"/>
  <c r="AJ119" i="216"/>
  <c r="EJ89" i="216"/>
  <c r="L93" i="213"/>
  <c r="O393" i="216"/>
  <c r="BK30" i="216"/>
  <c r="CX393" i="216"/>
  <c r="P109" i="213"/>
  <c r="N109" i="213"/>
  <c r="I49" i="213"/>
  <c r="EZ14" i="216"/>
  <c r="EH14" i="216"/>
  <c r="K17" i="213"/>
  <c r="CT82" i="216"/>
  <c r="DT40" i="216"/>
  <c r="EJ79" i="216"/>
  <c r="L85" i="213"/>
  <c r="EM14" i="216"/>
  <c r="I17" i="213"/>
  <c r="AH26" i="216"/>
  <c r="BN141" i="216"/>
  <c r="EN30" i="216"/>
  <c r="EF30" i="216"/>
  <c r="J35" i="213"/>
  <c r="DH393" i="216"/>
  <c r="D155" i="213"/>
  <c r="EG414" i="216"/>
  <c r="EF336" i="216"/>
  <c r="EN336" i="216"/>
  <c r="EH391" i="216"/>
  <c r="AJ387" i="216"/>
  <c r="X413" i="216"/>
  <c r="W334" i="216"/>
  <c r="W413" i="216" s="1"/>
  <c r="EF391" i="216"/>
  <c r="EE413" i="216"/>
  <c r="ED387" i="216"/>
  <c r="DL387" i="216"/>
  <c r="EN370" i="216"/>
  <c r="EF370" i="216"/>
  <c r="X377" i="216"/>
  <c r="W377" i="216" s="1"/>
  <c r="W369" i="216"/>
  <c r="EH360" i="216"/>
  <c r="EZ360" i="216"/>
  <c r="CF416" i="216"/>
  <c r="CE338" i="216"/>
  <c r="CE416" i="216" s="1"/>
  <c r="CF415" i="216"/>
  <c r="CE337" i="216"/>
  <c r="CE415" i="216" s="1"/>
  <c r="EL411" i="216"/>
  <c r="EL344" i="216"/>
  <c r="EN390" i="216"/>
  <c r="EF390" i="216"/>
  <c r="CZ416" i="216"/>
  <c r="CY338" i="216"/>
  <c r="CY416" i="216" s="1"/>
  <c r="EK387" i="216"/>
  <c r="EJ380" i="216"/>
  <c r="BX328" i="216"/>
  <c r="EZ320" i="216"/>
  <c r="EH320" i="216"/>
  <c r="EZ316" i="216"/>
  <c r="EH316" i="216"/>
  <c r="EN276" i="216"/>
  <c r="EF276" i="216"/>
  <c r="EG283" i="216"/>
  <c r="J219" i="213"/>
  <c r="BA357" i="216"/>
  <c r="EZ296" i="216"/>
  <c r="EH296" i="216"/>
  <c r="EL366" i="216"/>
  <c r="EN312" i="216"/>
  <c r="EM312" i="216" s="1"/>
  <c r="EF312" i="216"/>
  <c r="EH304" i="216"/>
  <c r="AH387" i="216"/>
  <c r="ER246" i="216"/>
  <c r="DF328" i="216"/>
  <c r="EJ294" i="216"/>
  <c r="EZ276" i="216"/>
  <c r="EH276" i="216"/>
  <c r="K219" i="213"/>
  <c r="EN258" i="216"/>
  <c r="EM258" i="216" s="1"/>
  <c r="EF258" i="216"/>
  <c r="EZ255" i="216"/>
  <c r="EH255" i="216"/>
  <c r="EN317" i="216"/>
  <c r="AG294" i="216"/>
  <c r="Z288" i="216"/>
  <c r="ER255" i="216"/>
  <c r="EZ242" i="216"/>
  <c r="EH242" i="216"/>
  <c r="BB411" i="216"/>
  <c r="BB344" i="216"/>
  <c r="BA332" i="216"/>
  <c r="BA411" i="216" s="1"/>
  <c r="BU288" i="216"/>
  <c r="EZ269" i="216"/>
  <c r="EH269" i="216"/>
  <c r="EZ243" i="216"/>
  <c r="EH243" i="216"/>
  <c r="EH250" i="216"/>
  <c r="EZ250" i="216"/>
  <c r="EN250" i="216"/>
  <c r="EM250" i="216" s="1"/>
  <c r="ER242" i="216"/>
  <c r="EH209" i="216"/>
  <c r="EZ209" i="216"/>
  <c r="EE272" i="216"/>
  <c r="EM191" i="216"/>
  <c r="ER227" i="216"/>
  <c r="EK408" i="216"/>
  <c r="EJ171" i="216"/>
  <c r="L163" i="213"/>
  <c r="EN232" i="216"/>
  <c r="EF232" i="216"/>
  <c r="EF214" i="216"/>
  <c r="EZ208" i="216"/>
  <c r="EH208" i="216"/>
  <c r="CF408" i="216"/>
  <c r="EH229" i="216"/>
  <c r="EZ229" i="216"/>
  <c r="EN186" i="216"/>
  <c r="EN188" i="216" s="1"/>
  <c r="EF186" i="216"/>
  <c r="EG188" i="216"/>
  <c r="BB404" i="216"/>
  <c r="BB153" i="216"/>
  <c r="ER214" i="216"/>
  <c r="BF272" i="216"/>
  <c r="DZ153" i="216"/>
  <c r="EP153" i="216"/>
  <c r="AX153" i="216"/>
  <c r="EN230" i="216"/>
  <c r="EF230" i="216"/>
  <c r="EF193" i="216"/>
  <c r="DT404" i="216"/>
  <c r="AR404" i="216"/>
  <c r="BB93" i="216"/>
  <c r="BA85" i="216"/>
  <c r="ER259" i="216"/>
  <c r="EJ238" i="216"/>
  <c r="EZ219" i="216"/>
  <c r="EH219" i="216"/>
  <c r="EJ214" i="216"/>
  <c r="EZ212" i="216"/>
  <c r="EH212" i="216"/>
  <c r="ER202" i="216"/>
  <c r="AN272" i="216"/>
  <c r="X408" i="216"/>
  <c r="W171" i="216"/>
  <c r="DI114" i="216"/>
  <c r="EK93" i="216"/>
  <c r="L89" i="213"/>
  <c r="EJ85" i="216"/>
  <c r="EJ241" i="216"/>
  <c r="EN234" i="216"/>
  <c r="EZ223" i="216"/>
  <c r="EH223" i="216"/>
  <c r="EF197" i="216"/>
  <c r="AN183" i="216"/>
  <c r="EN161" i="216"/>
  <c r="EF161" i="216"/>
  <c r="J153" i="213"/>
  <c r="EI405" i="216"/>
  <c r="EZ148" i="216"/>
  <c r="EH148" i="216"/>
  <c r="K144" i="213"/>
  <c r="AH404" i="216"/>
  <c r="AH153" i="216"/>
  <c r="AG153" i="216" s="1"/>
  <c r="EZ115" i="216"/>
  <c r="EH115" i="216"/>
  <c r="K119" i="213"/>
  <c r="AG119" i="216"/>
  <c r="DS96" i="216"/>
  <c r="EN29" i="216"/>
  <c r="EF29" i="216"/>
  <c r="EG40" i="216"/>
  <c r="J34" i="213"/>
  <c r="BP176" i="216"/>
  <c r="EE136" i="216"/>
  <c r="I133" i="213"/>
  <c r="EH131" i="216"/>
  <c r="BN128" i="216"/>
  <c r="DZ119" i="216"/>
  <c r="EP119" i="216"/>
  <c r="DN188" i="216"/>
  <c r="CR183" i="216"/>
  <c r="DX136" i="216"/>
  <c r="EJ77" i="216"/>
  <c r="L84" i="213"/>
  <c r="EH52" i="216"/>
  <c r="EZ52" i="216"/>
  <c r="K59" i="213"/>
  <c r="EZ50" i="216"/>
  <c r="EH50" i="216"/>
  <c r="EN50" i="216"/>
  <c r="K57" i="213"/>
  <c r="EH48" i="216"/>
  <c r="EZ48" i="216"/>
  <c r="K55" i="213"/>
  <c r="I41" i="213"/>
  <c r="EN34" i="216"/>
  <c r="EF34" i="216"/>
  <c r="J39" i="213"/>
  <c r="AV183" i="216"/>
  <c r="K162" i="213"/>
  <c r="X405" i="216"/>
  <c r="W148" i="216"/>
  <c r="W405" i="216" s="1"/>
  <c r="EE141" i="216"/>
  <c r="I138" i="213"/>
  <c r="EJ86" i="216"/>
  <c r="L90" i="213"/>
  <c r="CO93" i="216"/>
  <c r="EN49" i="216"/>
  <c r="EF49" i="216"/>
  <c r="J56" i="213"/>
  <c r="EE278" i="216"/>
  <c r="EH222" i="216"/>
  <c r="EZ222" i="216"/>
  <c r="BL141" i="216"/>
  <c r="BD141" i="216"/>
  <c r="BF136" i="216"/>
  <c r="I125" i="213"/>
  <c r="W96" i="216"/>
  <c r="X111" i="216"/>
  <c r="W111" i="216" s="1"/>
  <c r="CF93" i="216"/>
  <c r="EZ78" i="216"/>
  <c r="EH78" i="216"/>
  <c r="K79" i="213"/>
  <c r="EN56" i="216"/>
  <c r="EM56" i="216" s="1"/>
  <c r="EF56" i="216"/>
  <c r="J63" i="213"/>
  <c r="EN55" i="216"/>
  <c r="EF55" i="216"/>
  <c r="J62" i="213"/>
  <c r="I50" i="213"/>
  <c r="EP272" i="216"/>
  <c r="EO393" i="216" s="1"/>
  <c r="DZ272" i="216"/>
  <c r="AV188" i="216"/>
  <c r="DB136" i="216"/>
  <c r="EZ131" i="216"/>
  <c r="EZ104" i="216"/>
  <c r="EH104" i="216"/>
  <c r="K105" i="213"/>
  <c r="EE111" i="216"/>
  <c r="I70" i="213"/>
  <c r="X40" i="216"/>
  <c r="W40" i="216" s="1"/>
  <c r="CB26" i="216"/>
  <c r="ER211" i="216"/>
  <c r="EM211" i="216"/>
  <c r="AT188" i="216"/>
  <c r="AB183" i="216"/>
  <c r="EJ168" i="216"/>
  <c r="L160" i="213"/>
  <c r="EN158" i="216"/>
  <c r="EF158" i="216"/>
  <c r="J165" i="213"/>
  <c r="EF157" i="216"/>
  <c r="J150" i="213"/>
  <c r="AH128" i="216"/>
  <c r="EN104" i="216"/>
  <c r="EM104" i="216" s="1"/>
  <c r="EF104" i="216"/>
  <c r="J105" i="213"/>
  <c r="EH85" i="216"/>
  <c r="EZ85" i="216"/>
  <c r="K89" i="213"/>
  <c r="I68" i="213"/>
  <c r="Z40" i="216"/>
  <c r="AN40" i="216"/>
  <c r="P74" i="213"/>
  <c r="Z119" i="216"/>
  <c r="I150" i="213"/>
  <c r="EZ147" i="216"/>
  <c r="EH147" i="216"/>
  <c r="K143" i="213"/>
  <c r="EN89" i="216"/>
  <c r="EM89" i="216" s="1"/>
  <c r="EH44" i="216"/>
  <c r="EZ44" i="216"/>
  <c r="K48" i="213"/>
  <c r="BO393" i="216"/>
  <c r="BN26" i="216"/>
  <c r="DM393" i="216"/>
  <c r="I63" i="213"/>
  <c r="EZ56" i="216"/>
  <c r="EJ47" i="216"/>
  <c r="L54" i="213"/>
  <c r="CZ26" i="216"/>
  <c r="EN106" i="216"/>
  <c r="EM106" i="216" s="1"/>
  <c r="EF106" i="216"/>
  <c r="J107" i="213"/>
  <c r="EZ96" i="216"/>
  <c r="EH96" i="216"/>
  <c r="EI111" i="216"/>
  <c r="K97" i="213"/>
  <c r="CY12" i="216"/>
  <c r="EM369" i="216"/>
  <c r="EE377" i="216"/>
  <c r="EM377" i="216" s="1"/>
  <c r="I206" i="213"/>
  <c r="EZ391" i="216"/>
  <c r="EN382" i="216"/>
  <c r="W382" i="216"/>
  <c r="DJ366" i="216"/>
  <c r="DI357" i="216"/>
  <c r="CP366" i="216"/>
  <c r="CO357" i="216"/>
  <c r="CZ413" i="216"/>
  <c r="CY334" i="216"/>
  <c r="CY413" i="216" s="1"/>
  <c r="BK334" i="216"/>
  <c r="BK413" i="216" s="1"/>
  <c r="P344" i="216"/>
  <c r="W291" i="216"/>
  <c r="X328" i="216"/>
  <c r="W328" i="216" s="1"/>
  <c r="EZ359" i="216"/>
  <c r="EH359" i="216"/>
  <c r="K215" i="213"/>
  <c r="EN341" i="216"/>
  <c r="EF341" i="216"/>
  <c r="EE415" i="216"/>
  <c r="AQ333" i="216"/>
  <c r="AQ412" i="216" s="1"/>
  <c r="EJ390" i="216"/>
  <c r="L211" i="213"/>
  <c r="EE411" i="216"/>
  <c r="EE344" i="216"/>
  <c r="EM332" i="216"/>
  <c r="EM411" i="216" s="1"/>
  <c r="AD344" i="216"/>
  <c r="BZ387" i="216"/>
  <c r="CZ387" i="216"/>
  <c r="J205" i="213"/>
  <c r="AN344" i="216"/>
  <c r="EN380" i="216"/>
  <c r="EM317" i="216"/>
  <c r="EF317" i="216"/>
  <c r="EN287" i="216"/>
  <c r="EM287" i="216" s="1"/>
  <c r="EF287" i="216"/>
  <c r="EN372" i="216"/>
  <c r="EF372" i="216"/>
  <c r="EZ364" i="216"/>
  <c r="EH364" i="216"/>
  <c r="EN300" i="216"/>
  <c r="EF300" i="216"/>
  <c r="DZ387" i="216"/>
  <c r="EP387" i="216"/>
  <c r="EM315" i="216"/>
  <c r="R377" i="216"/>
  <c r="EH340" i="216"/>
  <c r="EZ340" i="216"/>
  <c r="EJ306" i="216"/>
  <c r="DI295" i="216"/>
  <c r="EJ293" i="216"/>
  <c r="EE409" i="216"/>
  <c r="EN316" i="216"/>
  <c r="EC328" i="216"/>
  <c r="EN340" i="216"/>
  <c r="EM340" i="216" s="1"/>
  <c r="EF340" i="216"/>
  <c r="ER254" i="216"/>
  <c r="EZ252" i="216"/>
  <c r="EH252" i="216"/>
  <c r="AR366" i="216"/>
  <c r="AQ357" i="216"/>
  <c r="EM261" i="216"/>
  <c r="ER261" i="216"/>
  <c r="ER257" i="216"/>
  <c r="EH249" i="216"/>
  <c r="EZ249" i="216"/>
  <c r="EM245" i="216"/>
  <c r="ER245" i="216"/>
  <c r="CF366" i="216"/>
  <c r="EZ279" i="216"/>
  <c r="EH279" i="216"/>
  <c r="ER252" i="216"/>
  <c r="EM252" i="216"/>
  <c r="EZ241" i="216"/>
  <c r="EH241" i="216"/>
  <c r="AV288" i="216"/>
  <c r="BB283" i="216"/>
  <c r="BA276" i="216"/>
  <c r="EN263" i="216"/>
  <c r="EF263" i="216"/>
  <c r="EZ259" i="216"/>
  <c r="EH259" i="216"/>
  <c r="ER253" i="216"/>
  <c r="BA283" i="216"/>
  <c r="EZ260" i="216"/>
  <c r="EH260" i="216"/>
  <c r="ER228" i="216"/>
  <c r="EM228" i="216"/>
  <c r="EZ224" i="216"/>
  <c r="EH224" i="216"/>
  <c r="EZ204" i="216"/>
  <c r="EH204" i="216"/>
  <c r="EG404" i="216"/>
  <c r="EG153" i="216"/>
  <c r="EN145" i="216"/>
  <c r="EF145" i="216"/>
  <c r="J142" i="213"/>
  <c r="EF250" i="216"/>
  <c r="ER234" i="216"/>
  <c r="EM234" i="216"/>
  <c r="EN209" i="216"/>
  <c r="EF209" i="216"/>
  <c r="EZ244" i="216"/>
  <c r="EH244" i="216"/>
  <c r="EN235" i="216"/>
  <c r="EF235" i="216"/>
  <c r="EN200" i="216"/>
  <c r="EM200" i="216" s="1"/>
  <c r="EF200" i="216"/>
  <c r="EZ192" i="216"/>
  <c r="EH192" i="216"/>
  <c r="BH272" i="216"/>
  <c r="EI406" i="216"/>
  <c r="EZ149" i="216"/>
  <c r="EH149" i="216"/>
  <c r="K145" i="213"/>
  <c r="BP136" i="216"/>
  <c r="ER210" i="216"/>
  <c r="EM210" i="216"/>
  <c r="EI408" i="216"/>
  <c r="EZ171" i="216"/>
  <c r="EH171" i="216"/>
  <c r="K163" i="213"/>
  <c r="EH225" i="216"/>
  <c r="EZ225" i="216"/>
  <c r="EN221" i="216"/>
  <c r="EF221" i="216"/>
  <c r="AX272" i="216"/>
  <c r="DJ408" i="216"/>
  <c r="AH408" i="216"/>
  <c r="BA145" i="216"/>
  <c r="BA404" i="216" s="1"/>
  <c r="DS114" i="216"/>
  <c r="EN44" i="216"/>
  <c r="EF44" i="216"/>
  <c r="EG82" i="216"/>
  <c r="J48" i="213"/>
  <c r="EH237" i="216"/>
  <c r="EZ237" i="216"/>
  <c r="EN222" i="216"/>
  <c r="EF222" i="216"/>
  <c r="EJ205" i="216"/>
  <c r="DZ188" i="216"/>
  <c r="EP188" i="216"/>
  <c r="EE188" i="216"/>
  <c r="EM188" i="216" s="1"/>
  <c r="EM186" i="216"/>
  <c r="EC148" i="216"/>
  <c r="EC405" i="216" s="1"/>
  <c r="EJ247" i="216"/>
  <c r="ER223" i="216"/>
  <c r="EM223" i="216"/>
  <c r="EH218" i="216"/>
  <c r="EZ218" i="216"/>
  <c r="ER195" i="216"/>
  <c r="AX183" i="216"/>
  <c r="CJ153" i="216"/>
  <c r="AQ145" i="216"/>
  <c r="AQ404" i="216" s="1"/>
  <c r="BU114" i="216"/>
  <c r="EC85" i="216"/>
  <c r="DT283" i="216"/>
  <c r="DS276" i="216"/>
  <c r="ER263" i="216"/>
  <c r="EM263" i="216"/>
  <c r="EN224" i="216"/>
  <c r="EF224" i="216"/>
  <c r="DL183" i="216"/>
  <c r="EM169" i="216"/>
  <c r="I161" i="213"/>
  <c r="EJ124" i="216"/>
  <c r="L125" i="213"/>
  <c r="BP128" i="216"/>
  <c r="EZ99" i="216"/>
  <c r="EH99" i="216"/>
  <c r="K100" i="213"/>
  <c r="EJ50" i="216"/>
  <c r="L57" i="213"/>
  <c r="DP188" i="216"/>
  <c r="Z176" i="216"/>
  <c r="AG88" i="216"/>
  <c r="EP82" i="216"/>
  <c r="EN167" i="216"/>
  <c r="EM167" i="216" s="1"/>
  <c r="EF167" i="216"/>
  <c r="J159" i="213"/>
  <c r="CR141" i="216"/>
  <c r="EJ53" i="216"/>
  <c r="L60" i="213"/>
  <c r="EZ49" i="216"/>
  <c r="EH49" i="216"/>
  <c r="K56" i="213"/>
  <c r="EN33" i="216"/>
  <c r="EF33" i="216"/>
  <c r="J38" i="213"/>
  <c r="EN201" i="216"/>
  <c r="EM201" i="216" s="1"/>
  <c r="EF201" i="216"/>
  <c r="DP272" i="216"/>
  <c r="EJ161" i="216"/>
  <c r="L153" i="213"/>
  <c r="BV405" i="216"/>
  <c r="BU148" i="216"/>
  <c r="BU405" i="216" s="1"/>
  <c r="DZ111" i="216"/>
  <c r="EP111" i="216"/>
  <c r="EL40" i="216"/>
  <c r="EN249" i="216"/>
  <c r="ER216" i="216"/>
  <c r="X183" i="216"/>
  <c r="W183" i="216" s="1"/>
  <c r="W181" i="216"/>
  <c r="BK115" i="216"/>
  <c r="EI119" i="216"/>
  <c r="P111" i="216"/>
  <c r="I54" i="213"/>
  <c r="EN204" i="216"/>
  <c r="DP183" i="216"/>
  <c r="CF128" i="216"/>
  <c r="CE128" i="216" s="1"/>
  <c r="CE123" i="216"/>
  <c r="DS93" i="216"/>
  <c r="EN78" i="216"/>
  <c r="EF78" i="216"/>
  <c r="J79" i="213"/>
  <c r="EH76" i="216"/>
  <c r="EK26" i="216"/>
  <c r="EJ12" i="216"/>
  <c r="L15" i="213"/>
  <c r="ER204" i="216"/>
  <c r="EM204" i="216"/>
  <c r="ER196" i="216"/>
  <c r="EM196" i="216"/>
  <c r="AB176" i="216"/>
  <c r="DN176" i="216"/>
  <c r="EC131" i="216"/>
  <c r="EJ102" i="216"/>
  <c r="L103" i="213"/>
  <c r="BK40" i="216"/>
  <c r="EF57" i="216"/>
  <c r="J64" i="213"/>
  <c r="AQ148" i="216"/>
  <c r="AQ405" i="216" s="1"/>
  <c r="EE119" i="216"/>
  <c r="EJ119" i="216" s="1"/>
  <c r="EM114" i="216"/>
  <c r="I116" i="213"/>
  <c r="DI12" i="216"/>
  <c r="DS148" i="216"/>
  <c r="DS405" i="216" s="1"/>
  <c r="AH111" i="216"/>
  <c r="AG111" i="216" s="1"/>
  <c r="AG96" i="216"/>
  <c r="BD82" i="216"/>
  <c r="EM39" i="216"/>
  <c r="EH39" i="216"/>
  <c r="EZ39" i="216"/>
  <c r="EH24" i="216"/>
  <c r="EZ24" i="216"/>
  <c r="EN16" i="216"/>
  <c r="EM16" i="216" s="1"/>
  <c r="EF16" i="216"/>
  <c r="J19" i="213"/>
  <c r="DI139" i="216"/>
  <c r="EM53" i="216"/>
  <c r="I60" i="213"/>
  <c r="T40" i="216"/>
  <c r="AD119" i="216"/>
  <c r="EJ73" i="216"/>
  <c r="L77" i="213"/>
  <c r="EJ54" i="216"/>
  <c r="L61" i="213"/>
  <c r="EZ30" i="216"/>
  <c r="EH30" i="216"/>
  <c r="K35" i="213"/>
  <c r="EJ68" i="216"/>
  <c r="L72" i="213"/>
  <c r="EJ32" i="216"/>
  <c r="L37" i="213"/>
  <c r="EH59" i="216"/>
  <c r="BX26" i="216"/>
  <c r="AU393" i="216"/>
  <c r="BX40" i="216"/>
  <c r="DD40" i="216"/>
  <c r="P36" i="213"/>
  <c r="N36" i="213"/>
  <c r="EG415" i="216"/>
  <c r="EF337" i="216"/>
  <c r="EN337" i="216"/>
  <c r="EM337" i="216" s="1"/>
  <c r="EM415" i="216" s="1"/>
  <c r="DX387" i="216"/>
  <c r="CF387" i="216"/>
  <c r="AH344" i="216"/>
  <c r="AH411" i="216"/>
  <c r="EJ357" i="216"/>
  <c r="L201" i="213"/>
  <c r="DJ387" i="216"/>
  <c r="EZ373" i="216"/>
  <c r="EH373" i="216"/>
  <c r="K208" i="213"/>
  <c r="EH372" i="216"/>
  <c r="AH366" i="216"/>
  <c r="AG357" i="216"/>
  <c r="EJ382" i="216"/>
  <c r="EG387" i="216"/>
  <c r="EF380" i="216"/>
  <c r="DB344" i="216"/>
  <c r="DN387" i="216"/>
  <c r="AB387" i="216"/>
  <c r="EN355" i="216"/>
  <c r="R344" i="216"/>
  <c r="CE336" i="216"/>
  <c r="CE414" i="216" s="1"/>
  <c r="X412" i="216"/>
  <c r="W333" i="216"/>
  <c r="W412" i="216" s="1"/>
  <c r="CB328" i="216"/>
  <c r="CF328" i="216"/>
  <c r="CE291" i="216"/>
  <c r="EZ372" i="216"/>
  <c r="AR344" i="216"/>
  <c r="AQ344" i="216" s="1"/>
  <c r="EH302" i="216"/>
  <c r="EZ302" i="216"/>
  <c r="EM300" i="216"/>
  <c r="Z328" i="216"/>
  <c r="EE414" i="216"/>
  <c r="EM336" i="216"/>
  <c r="EM414" i="216" s="1"/>
  <c r="EN314" i="216"/>
  <c r="EM314" i="216" s="1"/>
  <c r="EF314" i="216"/>
  <c r="EJ311" i="216"/>
  <c r="EZ309" i="216"/>
  <c r="EH309" i="216"/>
  <c r="EZ306" i="216"/>
  <c r="EH306" i="216"/>
  <c r="CP377" i="216"/>
  <c r="EZ307" i="216"/>
  <c r="EH307" i="216"/>
  <c r="EZ295" i="216"/>
  <c r="EH295" i="216"/>
  <c r="CH377" i="216"/>
  <c r="EF326" i="216"/>
  <c r="EN301" i="216"/>
  <c r="EM301" i="216" s="1"/>
  <c r="EF301" i="216"/>
  <c r="CY276" i="216"/>
  <c r="EF335" i="216"/>
  <c r="EN335" i="216"/>
  <c r="EM335" i="216" s="1"/>
  <c r="EF315" i="216"/>
  <c r="EZ300" i="216"/>
  <c r="EH300" i="216"/>
  <c r="EE387" i="216"/>
  <c r="EM316" i="216"/>
  <c r="EF318" i="216"/>
  <c r="EJ300" i="216"/>
  <c r="EG409" i="216"/>
  <c r="EF282" i="216"/>
  <c r="EN282" i="216"/>
  <c r="EM282" i="216" s="1"/>
  <c r="ER268" i="216"/>
  <c r="EM268" i="216"/>
  <c r="BZ283" i="216"/>
  <c r="BH344" i="216"/>
  <c r="BU291" i="216"/>
  <c r="EZ266" i="216"/>
  <c r="EH266" i="216"/>
  <c r="EN255" i="216"/>
  <c r="EM255" i="216" s="1"/>
  <c r="EF255" i="216"/>
  <c r="EP288" i="216"/>
  <c r="DZ288" i="216"/>
  <c r="EJ257" i="216"/>
  <c r="EH253" i="216"/>
  <c r="EZ253" i="216"/>
  <c r="AB328" i="216"/>
  <c r="EJ281" i="216"/>
  <c r="EC276" i="216"/>
  <c r="EZ239" i="216"/>
  <c r="EH239" i="216"/>
  <c r="EZ200" i="216"/>
  <c r="EH200" i="216"/>
  <c r="ER197" i="216"/>
  <c r="EN218" i="216"/>
  <c r="EF218" i="216"/>
  <c r="EN203" i="216"/>
  <c r="EF203" i="216"/>
  <c r="EH191" i="216"/>
  <c r="EZ191" i="216"/>
  <c r="CH153" i="216"/>
  <c r="DJ288" i="216"/>
  <c r="ER248" i="216"/>
  <c r="ER240" i="216"/>
  <c r="EM240" i="216"/>
  <c r="ER235" i="216"/>
  <c r="EM235" i="216"/>
  <c r="EN277" i="216"/>
  <c r="ER269" i="216"/>
  <c r="ER236" i="216"/>
  <c r="X188" i="216"/>
  <c r="W188" i="216" s="1"/>
  <c r="W186" i="216"/>
  <c r="CE114" i="216"/>
  <c r="EZ196" i="216"/>
  <c r="EH196" i="216"/>
  <c r="EI183" i="216"/>
  <c r="EZ181" i="216"/>
  <c r="EH181" i="216"/>
  <c r="EN181" i="216"/>
  <c r="CO148" i="216"/>
  <c r="CO405" i="216" s="1"/>
  <c r="EH281" i="216"/>
  <c r="EJ269" i="216"/>
  <c r="EH226" i="216"/>
  <c r="EZ226" i="216"/>
  <c r="ER221" i="216"/>
  <c r="EM221" i="216"/>
  <c r="EG272" i="216"/>
  <c r="EN191" i="216"/>
  <c r="EF191" i="216"/>
  <c r="CB153" i="216"/>
  <c r="EE406" i="216"/>
  <c r="I145" i="213"/>
  <c r="EC136" i="216"/>
  <c r="AG128" i="216"/>
  <c r="AG114" i="216"/>
  <c r="CO85" i="216"/>
  <c r="BA282" i="216"/>
  <c r="BA409" i="216" s="1"/>
  <c r="EN260" i="216"/>
  <c r="EM260" i="216" s="1"/>
  <c r="EF260" i="216"/>
  <c r="ER230" i="216"/>
  <c r="EM230" i="216"/>
  <c r="EN165" i="216"/>
  <c r="EF165" i="216"/>
  <c r="J157" i="213"/>
  <c r="EN67" i="216"/>
  <c r="EM67" i="216" s="1"/>
  <c r="EF67" i="216"/>
  <c r="J71" i="213"/>
  <c r="EN37" i="216"/>
  <c r="J42" i="213"/>
  <c r="EF37" i="216"/>
  <c r="EF198" i="216"/>
  <c r="EM165" i="216"/>
  <c r="I157" i="213"/>
  <c r="EG405" i="216"/>
  <c r="EN148" i="216"/>
  <c r="EF148" i="216"/>
  <c r="J144" i="213"/>
  <c r="BN136" i="216"/>
  <c r="BV128" i="216"/>
  <c r="BU128" i="216" s="1"/>
  <c r="EJ51" i="216"/>
  <c r="L58" i="213"/>
  <c r="CZ183" i="216"/>
  <c r="EN97" i="216"/>
  <c r="EM97" i="216" s="1"/>
  <c r="EJ69" i="216"/>
  <c r="L73" i="213"/>
  <c r="I52" i="213"/>
  <c r="EJ56" i="216"/>
  <c r="L63" i="213"/>
  <c r="BL82" i="216"/>
  <c r="BK82" i="216" s="1"/>
  <c r="CT111" i="216"/>
  <c r="EL93" i="216"/>
  <c r="EZ69" i="216"/>
  <c r="EH69" i="216"/>
  <c r="K73" i="213"/>
  <c r="ED40" i="216"/>
  <c r="ER215" i="216"/>
  <c r="EM215" i="216"/>
  <c r="EJ159" i="216"/>
  <c r="L151" i="213"/>
  <c r="DD128" i="216"/>
  <c r="EC111" i="216"/>
  <c r="EJ107" i="216"/>
  <c r="L108" i="213"/>
  <c r="AR93" i="216"/>
  <c r="AQ93" i="216" s="1"/>
  <c r="R176" i="216"/>
  <c r="CL136" i="216"/>
  <c r="CZ136" i="216"/>
  <c r="EJ98" i="216"/>
  <c r="L99" i="213"/>
  <c r="EZ76" i="216"/>
  <c r="BE393" i="216"/>
  <c r="BD26" i="216"/>
  <c r="EZ159" i="216"/>
  <c r="EH159" i="216"/>
  <c r="K151" i="213"/>
  <c r="BD136" i="216"/>
  <c r="EJ123" i="216"/>
  <c r="EK128" i="216"/>
  <c r="L124" i="213"/>
  <c r="EZ100" i="216"/>
  <c r="EH100" i="216"/>
  <c r="K101" i="213"/>
  <c r="BD111" i="216"/>
  <c r="EC93" i="216"/>
  <c r="EZ57" i="216"/>
  <c r="EH57" i="216"/>
  <c r="K64" i="213"/>
  <c r="EM48" i="216"/>
  <c r="I55" i="213"/>
  <c r="EI40" i="216"/>
  <c r="EZ29" i="216"/>
  <c r="EH29" i="216"/>
  <c r="K34" i="213"/>
  <c r="CF26" i="216"/>
  <c r="CE12" i="216"/>
  <c r="EZ45" i="216"/>
  <c r="EH45" i="216"/>
  <c r="K49" i="213"/>
  <c r="EJ16" i="216"/>
  <c r="L19" i="213"/>
  <c r="BL26" i="216"/>
  <c r="EG136" i="216"/>
  <c r="EF136" i="216" s="1"/>
  <c r="EF131" i="216"/>
  <c r="EN131" i="216"/>
  <c r="EN136" i="216" s="1"/>
  <c r="J133" i="213"/>
  <c r="EJ23" i="216"/>
  <c r="L30" i="213"/>
  <c r="EF61" i="216"/>
  <c r="J51" i="213"/>
  <c r="EM32" i="216"/>
  <c r="I37" i="213"/>
  <c r="AV40" i="216"/>
  <c r="DI141" i="216"/>
  <c r="EJ52" i="216"/>
  <c r="L59" i="213"/>
  <c r="EM37" i="216"/>
  <c r="I42" i="213"/>
  <c r="BD40" i="216"/>
  <c r="BV26" i="216"/>
  <c r="BU26" i="216" s="1"/>
  <c r="N81" i="213"/>
  <c r="P81" i="213"/>
  <c r="BB119" i="216"/>
  <c r="BA119" i="216" s="1"/>
  <c r="CF40" i="216"/>
  <c r="CE40" i="216" s="1"/>
  <c r="BB26" i="216"/>
  <c r="AL153" i="216"/>
  <c r="EZ106" i="216"/>
  <c r="EH106" i="216"/>
  <c r="K107" i="213"/>
  <c r="CJ82" i="216"/>
  <c r="CK83" i="216"/>
  <c r="DP40" i="216"/>
  <c r="BJ393" i="216"/>
  <c r="P147" i="213"/>
  <c r="N147" i="213"/>
  <c r="EN98" i="216"/>
  <c r="EM98" i="216" s="1"/>
  <c r="EF98" i="216"/>
  <c r="J99" i="213"/>
  <c r="EH67" i="216"/>
  <c r="BH26" i="216"/>
  <c r="BY393" i="216"/>
  <c r="EF14" i="216"/>
  <c r="EM33" i="216"/>
  <c r="I38" i="213"/>
  <c r="EH383" i="216"/>
  <c r="EI411" i="216"/>
  <c r="EZ332" i="216"/>
  <c r="EH332" i="216"/>
  <c r="BZ377" i="216"/>
  <c r="AV387" i="216"/>
  <c r="BF377" i="216"/>
  <c r="DZ344" i="216"/>
  <c r="EP344" i="216"/>
  <c r="CP414" i="216"/>
  <c r="CO336" i="216"/>
  <c r="CO414" i="216" s="1"/>
  <c r="CZ411" i="216"/>
  <c r="EF363" i="216"/>
  <c r="EN363" i="216"/>
  <c r="EM363" i="216" s="1"/>
  <c r="CY336" i="216"/>
  <c r="CY414" i="216" s="1"/>
  <c r="DW417" i="216"/>
  <c r="CJ377" i="216"/>
  <c r="EN369" i="216"/>
  <c r="EG377" i="216"/>
  <c r="EF377" i="216" s="1"/>
  <c r="EF369" i="216"/>
  <c r="J206" i="213"/>
  <c r="BV414" i="216"/>
  <c r="BU336" i="216"/>
  <c r="BU414" i="216" s="1"/>
  <c r="EK328" i="216"/>
  <c r="EJ291" i="216"/>
  <c r="AT387" i="216"/>
  <c r="DX377" i="216"/>
  <c r="CP415" i="216"/>
  <c r="CO337" i="216"/>
  <c r="CO415" i="216" s="1"/>
  <c r="EI413" i="216"/>
  <c r="EZ334" i="216"/>
  <c r="EH334" i="216"/>
  <c r="CF288" i="216"/>
  <c r="CE288" i="216" s="1"/>
  <c r="CE286" i="216"/>
  <c r="EZ319" i="216"/>
  <c r="EH319" i="216"/>
  <c r="EN293" i="216"/>
  <c r="EF293" i="216"/>
  <c r="EM291" i="216"/>
  <c r="BK333" i="216"/>
  <c r="BK412" i="216" s="1"/>
  <c r="EN319" i="216"/>
  <c r="DD328" i="216"/>
  <c r="BX377" i="216"/>
  <c r="EN323" i="216"/>
  <c r="EM323" i="216" s="1"/>
  <c r="EF323" i="216"/>
  <c r="EN320" i="216"/>
  <c r="EM306" i="216"/>
  <c r="EN302" i="216"/>
  <c r="EM302" i="216" s="1"/>
  <c r="EF302" i="216"/>
  <c r="EN294" i="216"/>
  <c r="EF294" i="216"/>
  <c r="EZ325" i="216"/>
  <c r="EH325" i="216"/>
  <c r="EN307" i="216"/>
  <c r="EM307" i="216" s="1"/>
  <c r="EF307" i="216"/>
  <c r="EM303" i="216"/>
  <c r="DS328" i="216"/>
  <c r="EM339" i="216"/>
  <c r="DT344" i="216"/>
  <c r="DS344" i="216" s="1"/>
  <c r="EN299" i="216"/>
  <c r="EF299" i="216"/>
  <c r="AX387" i="216"/>
  <c r="CT377" i="216"/>
  <c r="EJ313" i="216"/>
  <c r="EF304" i="216"/>
  <c r="EN304" i="216"/>
  <c r="CV328" i="216"/>
  <c r="EN318" i="216"/>
  <c r="EM318" i="216" s="1"/>
  <c r="EZ248" i="216"/>
  <c r="EH248" i="216"/>
  <c r="EN296" i="216"/>
  <c r="CB283" i="216"/>
  <c r="ER265" i="216"/>
  <c r="EM265" i="216"/>
  <c r="EM262" i="216"/>
  <c r="ER262" i="216"/>
  <c r="EF303" i="216"/>
  <c r="EH263" i="216"/>
  <c r="EZ263" i="216"/>
  <c r="EN256" i="216"/>
  <c r="EF256" i="216"/>
  <c r="EN254" i="216"/>
  <c r="EM254" i="216" s="1"/>
  <c r="EF254" i="216"/>
  <c r="EZ231" i="216"/>
  <c r="EH231" i="216"/>
  <c r="EN208" i="216"/>
  <c r="EF208" i="216"/>
  <c r="EZ203" i="216"/>
  <c r="EH203" i="216"/>
  <c r="EE407" i="216"/>
  <c r="I158" i="213"/>
  <c r="EN231" i="216"/>
  <c r="EM231" i="216" s="1"/>
  <c r="EF231" i="216"/>
  <c r="EZ232" i="216"/>
  <c r="EH232" i="216"/>
  <c r="BD283" i="216"/>
  <c r="EH201" i="216"/>
  <c r="EZ201" i="216"/>
  <c r="EK183" i="216"/>
  <c r="EJ183" i="216" s="1"/>
  <c r="EJ181" i="216"/>
  <c r="CE171" i="216"/>
  <c r="CE408" i="216" s="1"/>
  <c r="EL404" i="216"/>
  <c r="EL153" i="216"/>
  <c r="W85" i="216"/>
  <c r="CO276" i="216"/>
  <c r="EF268" i="216"/>
  <c r="ER244" i="216"/>
  <c r="EN207" i="216"/>
  <c r="EM207" i="216" s="1"/>
  <c r="EF207" i="216"/>
  <c r="EN194" i="216"/>
  <c r="EF194" i="216"/>
  <c r="CT272" i="216"/>
  <c r="AQ272" i="216"/>
  <c r="AQ114" i="216"/>
  <c r="CY85" i="216"/>
  <c r="EN279" i="216"/>
  <c r="EM279" i="216" s="1"/>
  <c r="EZ216" i="216"/>
  <c r="EH216" i="216"/>
  <c r="AH407" i="216"/>
  <c r="BA148" i="216"/>
  <c r="BA405" i="216" s="1"/>
  <c r="EZ281" i="216"/>
  <c r="EJ258" i="216"/>
  <c r="ER213" i="216"/>
  <c r="CR272" i="216"/>
  <c r="P272" i="216"/>
  <c r="CZ408" i="216"/>
  <c r="CY171" i="216"/>
  <c r="CY408" i="216" s="1"/>
  <c r="BU153" i="216"/>
  <c r="CY149" i="216"/>
  <c r="CY406" i="216" s="1"/>
  <c r="CO136" i="216"/>
  <c r="T111" i="216"/>
  <c r="EF238" i="216"/>
  <c r="EJ231" i="216"/>
  <c r="ER222" i="216"/>
  <c r="EM222" i="216"/>
  <c r="CV183" i="216"/>
  <c r="I156" i="213"/>
  <c r="EM159" i="216"/>
  <c r="I151" i="213"/>
  <c r="EF139" i="216"/>
  <c r="EG141" i="216"/>
  <c r="EF141" i="216" s="1"/>
  <c r="J138" i="213"/>
  <c r="EJ103" i="216"/>
  <c r="L104" i="213"/>
  <c r="EM70" i="216"/>
  <c r="EJ70" i="216"/>
  <c r="I74" i="213"/>
  <c r="N74" i="213" s="1"/>
  <c r="EZ65" i="216"/>
  <c r="EH65" i="216"/>
  <c r="K69" i="213"/>
  <c r="EZ35" i="216"/>
  <c r="EH35" i="216"/>
  <c r="K40" i="213"/>
  <c r="EN229" i="216"/>
  <c r="DL188" i="216"/>
  <c r="EN115" i="216"/>
  <c r="EF115" i="216"/>
  <c r="J119" i="213"/>
  <c r="EN47" i="216"/>
  <c r="EM47" i="216" s="1"/>
  <c r="EF47" i="216"/>
  <c r="J54" i="213"/>
  <c r="BV404" i="216"/>
  <c r="BV153" i="216"/>
  <c r="EN99" i="216"/>
  <c r="EM99" i="216" s="1"/>
  <c r="EZ86" i="216"/>
  <c r="EH86" i="216"/>
  <c r="K90" i="213"/>
  <c r="I89" i="213"/>
  <c r="ER199" i="216"/>
  <c r="EM199" i="216"/>
  <c r="AR176" i="216"/>
  <c r="AQ176" i="216" s="1"/>
  <c r="CY139" i="216"/>
  <c r="EM132" i="216"/>
  <c r="I134" i="213"/>
  <c r="CY123" i="216"/>
  <c r="EF213" i="216"/>
  <c r="EH172" i="216"/>
  <c r="EZ172" i="216"/>
  <c r="K164" i="213"/>
  <c r="EJ169" i="216"/>
  <c r="L161" i="213"/>
  <c r="BD176" i="216"/>
  <c r="AV136" i="216"/>
  <c r="EN69" i="216"/>
  <c r="EF69" i="216"/>
  <c r="J73" i="213"/>
  <c r="EM68" i="216"/>
  <c r="I72" i="213"/>
  <c r="EH230" i="216"/>
  <c r="EZ230" i="216"/>
  <c r="AD183" i="216"/>
  <c r="BA156" i="216"/>
  <c r="EN146" i="216"/>
  <c r="EM146" i="216" s="1"/>
  <c r="EF146" i="216"/>
  <c r="J146" i="213"/>
  <c r="EJ88" i="216"/>
  <c r="L92" i="213"/>
  <c r="L91" i="213"/>
  <c r="EJ37" i="216"/>
  <c r="L42" i="213"/>
  <c r="DY393" i="216"/>
  <c r="DX26" i="216"/>
  <c r="AN26" i="216"/>
  <c r="BB408" i="216"/>
  <c r="AD153" i="216"/>
  <c r="DI123" i="216"/>
  <c r="EZ107" i="216"/>
  <c r="EH107" i="216"/>
  <c r="K108" i="213"/>
  <c r="EM102" i="216"/>
  <c r="I103" i="213"/>
  <c r="EZ98" i="216"/>
  <c r="EH98" i="216"/>
  <c r="K99" i="213"/>
  <c r="EM88" i="216"/>
  <c r="I92" i="213"/>
  <c r="CV93" i="216"/>
  <c r="EF70" i="216"/>
  <c r="DZ40" i="216"/>
  <c r="EP40" i="216"/>
  <c r="EZ105" i="216"/>
  <c r="EH105" i="216"/>
  <c r="K106" i="213"/>
  <c r="CI393" i="216"/>
  <c r="CH26" i="216"/>
  <c r="EC26" i="216"/>
  <c r="AN176" i="216"/>
  <c r="EZ16" i="216"/>
  <c r="EH16" i="216"/>
  <c r="K19" i="213"/>
  <c r="AL40" i="216"/>
  <c r="EG26" i="216"/>
  <c r="EE408" i="216"/>
  <c r="EJ78" i="216"/>
  <c r="L79" i="213"/>
  <c r="EZ47" i="216"/>
  <c r="EH47" i="216"/>
  <c r="K54" i="213"/>
  <c r="DW393" i="216"/>
  <c r="DV26" i="216"/>
  <c r="EM22" i="216"/>
  <c r="I25" i="213"/>
  <c r="AX26" i="216"/>
  <c r="N29" i="213"/>
  <c r="P29" i="213"/>
  <c r="L67" i="213"/>
  <c r="EJ62" i="216"/>
  <c r="X153" i="216"/>
  <c r="W153" i="216" s="1"/>
  <c r="EN125" i="216"/>
  <c r="EF125" i="216"/>
  <c r="J126" i="213"/>
  <c r="DS44" i="216"/>
  <c r="CZ40" i="216"/>
  <c r="EJ18" i="216"/>
  <c r="L21" i="213"/>
  <c r="DZ26" i="216"/>
  <c r="EP26" i="216"/>
  <c r="DS123" i="216"/>
  <c r="EZ67" i="216"/>
  <c r="I30" i="213"/>
  <c r="EM23" i="216"/>
  <c r="AG12" i="216"/>
  <c r="BZ40" i="216"/>
  <c r="Z82" i="216"/>
  <c r="P28" i="213"/>
  <c r="N28" i="213"/>
  <c r="BR119" i="216"/>
  <c r="EN14" i="216"/>
  <c r="P110" i="213"/>
  <c r="N110" i="213"/>
  <c r="EN383" i="216"/>
  <c r="W383" i="216"/>
  <c r="EZ383" i="216"/>
  <c r="DB387" i="216"/>
  <c r="BV411" i="216"/>
  <c r="BV344" i="216"/>
  <c r="BV387" i="216"/>
  <c r="K205" i="213"/>
  <c r="CI417" i="216"/>
  <c r="DS338" i="216"/>
  <c r="DS416" i="216" s="1"/>
  <c r="BL415" i="216"/>
  <c r="BK337" i="216"/>
  <c r="BK415" i="216" s="1"/>
  <c r="X414" i="216"/>
  <c r="W336" i="216"/>
  <c r="W414" i="216" s="1"/>
  <c r="DS334" i="216"/>
  <c r="DS413" i="216" s="1"/>
  <c r="CP412" i="216"/>
  <c r="CO333" i="216"/>
  <c r="CO412" i="216" s="1"/>
  <c r="EM304" i="216"/>
  <c r="EN292" i="216"/>
  <c r="EN328" i="216" s="1"/>
  <c r="EM299" i="216"/>
  <c r="CZ328" i="216"/>
  <c r="CY328" i="216" s="1"/>
  <c r="EZ287" i="216"/>
  <c r="EH287" i="216"/>
  <c r="BD377" i="216"/>
  <c r="EM321" i="216"/>
  <c r="EM319" i="216"/>
  <c r="EJ319" i="216"/>
  <c r="AL377" i="216"/>
  <c r="EK412" i="216"/>
  <c r="EJ333" i="216"/>
  <c r="EZ315" i="216"/>
  <c r="EH315" i="216"/>
  <c r="EF310" i="216"/>
  <c r="EN310" i="216"/>
  <c r="EM310" i="216" s="1"/>
  <c r="EZ305" i="216"/>
  <c r="EH305" i="216"/>
  <c r="EM309" i="216"/>
  <c r="EJ338" i="216"/>
  <c r="EK416" i="216"/>
  <c r="EN325" i="216"/>
  <c r="EM325" i="216" s="1"/>
  <c r="BB387" i="216"/>
  <c r="EN360" i="216"/>
  <c r="EF360" i="216"/>
  <c r="DT366" i="216"/>
  <c r="DS357" i="216"/>
  <c r="BZ328" i="216"/>
  <c r="EN313" i="216"/>
  <c r="EF313" i="216"/>
  <c r="EH286" i="216"/>
  <c r="EZ286" i="216"/>
  <c r="EI288" i="216"/>
  <c r="EZ262" i="216"/>
  <c r="EH262" i="216"/>
  <c r="EZ251" i="216"/>
  <c r="EH251" i="216"/>
  <c r="DV377" i="216"/>
  <c r="EG366" i="216"/>
  <c r="EJ308" i="216"/>
  <c r="AD288" i="216"/>
  <c r="EJ302" i="216"/>
  <c r="AB288" i="216"/>
  <c r="BX283" i="216"/>
  <c r="EN266" i="216"/>
  <c r="EF266" i="216"/>
  <c r="EM324" i="216"/>
  <c r="EZ293" i="216"/>
  <c r="EH293" i="216"/>
  <c r="CZ288" i="216"/>
  <c r="CY288" i="216" s="1"/>
  <c r="X409" i="216"/>
  <c r="W282" i="216"/>
  <c r="W409" i="216" s="1"/>
  <c r="EJ265" i="216"/>
  <c r="EN241" i="216"/>
  <c r="EM241" i="216" s="1"/>
  <c r="EF241" i="216"/>
  <c r="EM297" i="216"/>
  <c r="EF246" i="216"/>
  <c r="EN246" i="216"/>
  <c r="EM246" i="216" s="1"/>
  <c r="ER226" i="216"/>
  <c r="EM226" i="216"/>
  <c r="EN219" i="216"/>
  <c r="EF219" i="216"/>
  <c r="EH202" i="216"/>
  <c r="EZ202" i="216"/>
  <c r="EZ363" i="216"/>
  <c r="EK272" i="216"/>
  <c r="EJ191" i="216"/>
  <c r="EL272" i="216"/>
  <c r="EL407" i="216"/>
  <c r="EN257" i="216"/>
  <c r="EM257" i="216" s="1"/>
  <c r="EF257" i="216"/>
  <c r="EZ207" i="216"/>
  <c r="EH207" i="216"/>
  <c r="CV272" i="216"/>
  <c r="DT408" i="216"/>
  <c r="AR408" i="216"/>
  <c r="EN269" i="216"/>
  <c r="EM269" i="216" s="1"/>
  <c r="EF269" i="216"/>
  <c r="EN242" i="216"/>
  <c r="EM242" i="216" s="1"/>
  <c r="EF242" i="216"/>
  <c r="ER229" i="216"/>
  <c r="EM229" i="216"/>
  <c r="ER225" i="216"/>
  <c r="EM225" i="216"/>
  <c r="ER209" i="216"/>
  <c r="EM209" i="216"/>
  <c r="AQ171" i="216"/>
  <c r="AQ408" i="216" s="1"/>
  <c r="EE405" i="216"/>
  <c r="EM148" i="216"/>
  <c r="EM405" i="216" s="1"/>
  <c r="I144" i="213"/>
  <c r="ED404" i="216"/>
  <c r="ED153" i="216"/>
  <c r="EH205" i="216"/>
  <c r="EZ205" i="216"/>
  <c r="EF202" i="216"/>
  <c r="EN202" i="216"/>
  <c r="EM202" i="216" s="1"/>
  <c r="EH193" i="216"/>
  <c r="EZ193" i="216"/>
  <c r="CL272" i="216"/>
  <c r="CE166" i="216"/>
  <c r="CE407" i="216" s="1"/>
  <c r="CL153" i="216"/>
  <c r="EG406" i="216"/>
  <c r="EF149" i="216"/>
  <c r="J145" i="213"/>
  <c r="W123" i="216"/>
  <c r="X128" i="216"/>
  <c r="W128" i="216" s="1"/>
  <c r="EM276" i="216"/>
  <c r="I219" i="213"/>
  <c r="EJ226" i="216"/>
  <c r="ER193" i="216"/>
  <c r="EM193" i="216"/>
  <c r="EG408" i="216"/>
  <c r="EN408" i="216" s="1"/>
  <c r="EN171" i="216"/>
  <c r="EM171" i="216" s="1"/>
  <c r="EM408" i="216" s="1"/>
  <c r="EF171" i="216"/>
  <c r="J163" i="213"/>
  <c r="DJ407" i="216"/>
  <c r="CF404" i="216"/>
  <c r="CF153" i="216"/>
  <c r="W44" i="216"/>
  <c r="EJ280" i="216"/>
  <c r="EN247" i="216"/>
  <c r="EM247" i="216" s="1"/>
  <c r="EF247" i="216"/>
  <c r="ER217" i="216"/>
  <c r="EM217" i="216"/>
  <c r="CB272" i="216"/>
  <c r="DS156" i="216"/>
  <c r="BK149" i="216"/>
  <c r="BK406" i="216" s="1"/>
  <c r="BA136" i="216"/>
  <c r="EM44" i="216"/>
  <c r="I48" i="213"/>
  <c r="EN253" i="216"/>
  <c r="EM253" i="216" s="1"/>
  <c r="EZ211" i="216"/>
  <c r="EH211" i="216"/>
  <c r="ER206" i="216"/>
  <c r="CT183" i="216"/>
  <c r="I164" i="213"/>
  <c r="I160" i="213"/>
  <c r="EM158" i="216"/>
  <c r="I165" i="213"/>
  <c r="CP408" i="216"/>
  <c r="CF176" i="216"/>
  <c r="BR153" i="216"/>
  <c r="AX136" i="216"/>
  <c r="DS128" i="216"/>
  <c r="BV111" i="216"/>
  <c r="BU111" i="216" s="1"/>
  <c r="BU96" i="216"/>
  <c r="I82" i="213"/>
  <c r="EN73" i="216"/>
  <c r="EF73" i="216"/>
  <c r="J77" i="213"/>
  <c r="EZ32" i="216"/>
  <c r="EH32" i="216"/>
  <c r="K37" i="213"/>
  <c r="W139" i="216"/>
  <c r="X141" i="216"/>
  <c r="W141" i="216" s="1"/>
  <c r="AQ128" i="216"/>
  <c r="EJ96" i="216"/>
  <c r="EK111" i="216"/>
  <c r="EJ111" i="216" s="1"/>
  <c r="L97" i="213"/>
  <c r="EM78" i="216"/>
  <c r="I79" i="213"/>
  <c r="EM60" i="216"/>
  <c r="I53" i="213"/>
  <c r="EF46" i="216"/>
  <c r="J50" i="213"/>
  <c r="EM29" i="216"/>
  <c r="EE40" i="216"/>
  <c r="I34" i="213"/>
  <c r="X272" i="216"/>
  <c r="W272" i="216" s="1"/>
  <c r="EJ172" i="216"/>
  <c r="L164" i="213"/>
  <c r="I149" i="213"/>
  <c r="CO131" i="216"/>
  <c r="EZ77" i="216"/>
  <c r="EH77" i="216"/>
  <c r="K84" i="213"/>
  <c r="EN71" i="216"/>
  <c r="EF71" i="216"/>
  <c r="J75" i="213"/>
  <c r="EN63" i="216"/>
  <c r="EM63" i="216" s="1"/>
  <c r="EF63" i="216"/>
  <c r="J68" i="213"/>
  <c r="BB40" i="216"/>
  <c r="EF233" i="216"/>
  <c r="EZ161" i="216"/>
  <c r="EH161" i="216"/>
  <c r="K153" i="213"/>
  <c r="DJ404" i="216"/>
  <c r="DJ153" i="216"/>
  <c r="DI153" i="216" s="1"/>
  <c r="CO123" i="216"/>
  <c r="CF111" i="216"/>
  <c r="CE111" i="216" s="1"/>
  <c r="EF64" i="216"/>
  <c r="EZ55" i="216"/>
  <c r="EH55" i="216"/>
  <c r="K62" i="213"/>
  <c r="ER220" i="216"/>
  <c r="EM220" i="216"/>
  <c r="EZ169" i="216"/>
  <c r="EH169" i="216"/>
  <c r="K161" i="213"/>
  <c r="EH158" i="216"/>
  <c r="EZ136" i="216"/>
  <c r="EH136" i="216"/>
  <c r="DB128" i="216"/>
  <c r="EM62" i="216"/>
  <c r="I67" i="213"/>
  <c r="DP26" i="216"/>
  <c r="Y393" i="216"/>
  <c r="AG26" i="216"/>
  <c r="EN172" i="216"/>
  <c r="EM172" i="216" s="1"/>
  <c r="EM409" i="216" s="1"/>
  <c r="EF172" i="216"/>
  <c r="J164" i="213"/>
  <c r="EJ156" i="216"/>
  <c r="L149" i="213"/>
  <c r="EJ147" i="216"/>
  <c r="L143" i="213"/>
  <c r="AD136" i="216"/>
  <c r="BL111" i="216"/>
  <c r="BK111" i="216" s="1"/>
  <c r="CL93" i="216"/>
  <c r="EJ75" i="216"/>
  <c r="L82" i="213"/>
  <c r="CG83" i="216"/>
  <c r="EZ36" i="216"/>
  <c r="K41" i="213"/>
  <c r="EH36" i="216"/>
  <c r="EJ55" i="216"/>
  <c r="L62" i="213"/>
  <c r="DC393" i="216"/>
  <c r="DB26" i="216"/>
  <c r="T26" i="216"/>
  <c r="P152" i="213"/>
  <c r="N152" i="213"/>
  <c r="AD176" i="216"/>
  <c r="L48" i="213"/>
  <c r="EJ44" i="216"/>
  <c r="EM35" i="216"/>
  <c r="I40" i="213"/>
  <c r="EJ29" i="216"/>
  <c r="P111" i="213"/>
  <c r="N111" i="213"/>
  <c r="EJ60" i="216"/>
  <c r="L53" i="213"/>
  <c r="EH51" i="216"/>
  <c r="K58" i="213"/>
  <c r="EZ51" i="216"/>
  <c r="CB40" i="216"/>
  <c r="P127" i="213"/>
  <c r="N127" i="213"/>
  <c r="AG123" i="216"/>
  <c r="EF75" i="216"/>
  <c r="EZ54" i="216"/>
  <c r="AR40" i="216"/>
  <c r="AQ40" i="216" s="1"/>
  <c r="P129" i="213"/>
  <c r="N129" i="213"/>
  <c r="EM30" i="216"/>
  <c r="I35" i="213"/>
  <c r="M22" i="213"/>
  <c r="CN393" i="216"/>
  <c r="EJ30" i="216"/>
  <c r="L35" i="213"/>
  <c r="P80" i="213"/>
  <c r="N80" i="213"/>
  <c r="AL119" i="216"/>
  <c r="EZ380" i="216"/>
  <c r="EH380" i="216"/>
  <c r="EI387" i="216"/>
  <c r="EM364" i="216"/>
  <c r="EZ361" i="216"/>
  <c r="EH361" i="216"/>
  <c r="AL387" i="216"/>
  <c r="EZ390" i="216"/>
  <c r="EH390" i="216"/>
  <c r="W381" i="216"/>
  <c r="EN381" i="216"/>
  <c r="DJ416" i="216"/>
  <c r="DI338" i="216"/>
  <c r="DI416" i="216" s="1"/>
  <c r="EK414" i="216"/>
  <c r="EJ336" i="216"/>
  <c r="AR414" i="216"/>
  <c r="AQ336" i="216"/>
  <c r="AQ414" i="216" s="1"/>
  <c r="EG412" i="216"/>
  <c r="EN333" i="216"/>
  <c r="EF333" i="216"/>
  <c r="EM373" i="216"/>
  <c r="I208" i="213"/>
  <c r="AG328" i="216"/>
  <c r="W338" i="216"/>
  <c r="W416" i="216" s="1"/>
  <c r="X416" i="216"/>
  <c r="DZ328" i="216"/>
  <c r="EP328" i="216"/>
  <c r="EM313" i="216"/>
  <c r="EZ303" i="216"/>
  <c r="EH303" i="216"/>
  <c r="CE328" i="216"/>
  <c r="ED411" i="216"/>
  <c r="ED344" i="216"/>
  <c r="EC344" i="216" s="1"/>
  <c r="EN311" i="216"/>
  <c r="EF311" i="216"/>
  <c r="EM311" i="216"/>
  <c r="EH308" i="216"/>
  <c r="EZ308" i="216"/>
  <c r="AR416" i="216"/>
  <c r="AQ338" i="216"/>
  <c r="AQ416" i="216" s="1"/>
  <c r="BV412" i="216"/>
  <c r="BU333" i="216"/>
  <c r="BU412" i="216" s="1"/>
  <c r="EN243" i="216"/>
  <c r="EF243" i="216"/>
  <c r="EG288" i="216"/>
  <c r="EN286" i="216"/>
  <c r="EM286" i="216" s="1"/>
  <c r="EF286" i="216"/>
  <c r="EM296" i="216"/>
  <c r="EH268" i="216"/>
  <c r="EZ268" i="216"/>
  <c r="EH267" i="216"/>
  <c r="EZ267" i="216"/>
  <c r="EZ240" i="216"/>
  <c r="EH240" i="216"/>
  <c r="EN259" i="216"/>
  <c r="EM259" i="216" s="1"/>
  <c r="EF259" i="216"/>
  <c r="EH245" i="216"/>
  <c r="EZ245" i="216"/>
  <c r="EH363" i="216"/>
  <c r="EN227" i="216"/>
  <c r="EM227" i="216" s="1"/>
  <c r="EF227" i="216"/>
  <c r="EZ186" i="216"/>
  <c r="EH186" i="216"/>
  <c r="EI188" i="216"/>
  <c r="EH206" i="216"/>
  <c r="EZ206" i="216"/>
  <c r="EE404" i="216"/>
  <c r="EE153" i="216"/>
  <c r="EM145" i="216"/>
  <c r="EM404" i="216" s="1"/>
  <c r="I142" i="213"/>
  <c r="ER266" i="216"/>
  <c r="EM266" i="216"/>
  <c r="EJ242" i="216"/>
  <c r="EN236" i="216"/>
  <c r="EM236" i="216" s="1"/>
  <c r="EF236" i="216"/>
  <c r="EN212" i="216"/>
  <c r="EF212" i="216"/>
  <c r="CO283" i="216"/>
  <c r="EM267" i="216"/>
  <c r="ER267" i="216"/>
  <c r="ER218" i="216"/>
  <c r="EM218" i="216"/>
  <c r="R272" i="216"/>
  <c r="BV408" i="216"/>
  <c r="AQ166" i="216"/>
  <c r="AQ407" i="216" s="1"/>
  <c r="CE153" i="216"/>
  <c r="BZ153" i="216"/>
  <c r="DI149" i="216"/>
  <c r="DI406" i="216" s="1"/>
  <c r="EF244" i="216"/>
  <c r="EZ236" i="216"/>
  <c r="EH236" i="216"/>
  <c r="EN206" i="216"/>
  <c r="EM206" i="216" s="1"/>
  <c r="EF206" i="216"/>
  <c r="EN195" i="216"/>
  <c r="EM195" i="216" s="1"/>
  <c r="EF195" i="216"/>
  <c r="DI171" i="216"/>
  <c r="DI408" i="216" s="1"/>
  <c r="ER256" i="216"/>
  <c r="EM256" i="216"/>
  <c r="EZ220" i="216"/>
  <c r="EH220" i="216"/>
  <c r="EJ210" i="216"/>
  <c r="BL408" i="216"/>
  <c r="BK171" i="216"/>
  <c r="BK408" i="216" s="1"/>
  <c r="DX153" i="216"/>
  <c r="AV153" i="216"/>
  <c r="EF281" i="216"/>
  <c r="EF245" i="216"/>
  <c r="EF228" i="216"/>
  <c r="EZ215" i="216"/>
  <c r="EH215" i="216"/>
  <c r="EJ188" i="216"/>
  <c r="EF169" i="216"/>
  <c r="CZ153" i="216"/>
  <c r="DF136" i="216"/>
  <c r="EN85" i="216"/>
  <c r="EM76" i="216"/>
  <c r="I83" i="213"/>
  <c r="I66" i="213"/>
  <c r="CJ272" i="216"/>
  <c r="DD136" i="216"/>
  <c r="AR128" i="216"/>
  <c r="AR111" i="216"/>
  <c r="AQ111" i="216" s="1"/>
  <c r="AQ96" i="216"/>
  <c r="EN79" i="216"/>
  <c r="EF79" i="216"/>
  <c r="J85" i="213"/>
  <c r="EJ66" i="216"/>
  <c r="L70" i="213"/>
  <c r="EH62" i="216"/>
  <c r="EZ62" i="216"/>
  <c r="K67" i="213"/>
  <c r="EJ48" i="216"/>
  <c r="L55" i="213"/>
  <c r="EZ167" i="216"/>
  <c r="EH167" i="216"/>
  <c r="K159" i="213"/>
  <c r="EM115" i="216"/>
  <c r="I119" i="213"/>
  <c r="EZ71" i="216"/>
  <c r="EH71" i="216"/>
  <c r="K75" i="213"/>
  <c r="EZ53" i="216"/>
  <c r="EH53" i="216"/>
  <c r="K60" i="213"/>
  <c r="W12" i="216"/>
  <c r="X26" i="216"/>
  <c r="CE131" i="216"/>
  <c r="EF123" i="216"/>
  <c r="EG128" i="216"/>
  <c r="J124" i="213"/>
  <c r="EN86" i="216"/>
  <c r="EF86" i="216"/>
  <c r="J90" i="213"/>
  <c r="EJ76" i="216"/>
  <c r="L83" i="213"/>
  <c r="EN54" i="216"/>
  <c r="EF54" i="216"/>
  <c r="J61" i="213"/>
  <c r="EM34" i="216"/>
  <c r="I39" i="213"/>
  <c r="EZ23" i="216"/>
  <c r="EH23" i="216"/>
  <c r="K30" i="213"/>
  <c r="EN233" i="216"/>
  <c r="EM233" i="216" s="1"/>
  <c r="EJ146" i="216"/>
  <c r="L146" i="213"/>
  <c r="DI119" i="216"/>
  <c r="EJ108" i="216"/>
  <c r="L112" i="213"/>
  <c r="EM49" i="216"/>
  <c r="I56" i="213"/>
  <c r="ER219" i="216"/>
  <c r="EM219" i="216"/>
  <c r="EF164" i="216"/>
  <c r="EZ158" i="216"/>
  <c r="BN176" i="216"/>
  <c r="EL176" i="216"/>
  <c r="AB128" i="216"/>
  <c r="AB119" i="216"/>
  <c r="DJ111" i="216"/>
  <c r="DI111" i="216" s="1"/>
  <c r="EJ63" i="216"/>
  <c r="L68" i="213"/>
  <c r="I64" i="213"/>
  <c r="DA393" i="216"/>
  <c r="DI26" i="216"/>
  <c r="Q393" i="216"/>
  <c r="P26" i="216"/>
  <c r="EJ251" i="216"/>
  <c r="BL128" i="216"/>
  <c r="BK128" i="216" s="1"/>
  <c r="EJ101" i="216"/>
  <c r="L102" i="213"/>
  <c r="EJ97" i="216"/>
  <c r="L98" i="213"/>
  <c r="DS40" i="216"/>
  <c r="AR26" i="216"/>
  <c r="DJ136" i="216"/>
  <c r="DI136" i="216" s="1"/>
  <c r="EZ101" i="216"/>
  <c r="EH101" i="216"/>
  <c r="K102" i="213"/>
  <c r="EM55" i="216"/>
  <c r="I62" i="213"/>
  <c r="BA40" i="216"/>
  <c r="EZ156" i="216"/>
  <c r="EH156" i="216"/>
  <c r="K149" i="213"/>
  <c r="DF119" i="216"/>
  <c r="EN100" i="216"/>
  <c r="EM100" i="216" s="1"/>
  <c r="EM69" i="216"/>
  <c r="I73" i="213"/>
  <c r="EJ49" i="216"/>
  <c r="L56" i="213"/>
  <c r="AB136" i="216"/>
  <c r="AJ40" i="216"/>
  <c r="EK40" i="216"/>
  <c r="EM20" i="216"/>
  <c r="I23" i="213"/>
  <c r="EJ14" i="216"/>
  <c r="L17" i="213"/>
  <c r="EN12" i="216"/>
  <c r="EN26" i="216" s="1"/>
  <c r="EN156" i="216"/>
  <c r="EM156" i="216" s="1"/>
  <c r="EN124" i="216"/>
  <c r="EM124" i="216" s="1"/>
  <c r="EF147" i="216"/>
  <c r="BU40" i="216"/>
  <c r="EN18" i="216"/>
  <c r="EM18" i="216" s="1"/>
  <c r="EF18" i="216"/>
  <c r="J21" i="213"/>
  <c r="EJ182" i="216"/>
  <c r="EZ75" i="216"/>
  <c r="EH75" i="216"/>
  <c r="K82" i="213"/>
  <c r="AA393" i="216"/>
  <c r="Z26" i="216"/>
  <c r="P118" i="213"/>
  <c r="N118" i="213"/>
  <c r="CO96" i="216"/>
  <c r="EN75" i="216"/>
  <c r="EM75" i="216" s="1"/>
  <c r="EN45" i="216"/>
  <c r="EM45" i="216" s="1"/>
  <c r="DN40" i="216"/>
  <c r="P18" i="213"/>
  <c r="N18" i="213"/>
  <c r="BH40" i="216"/>
  <c r="EE416" i="216"/>
  <c r="EJ391" i="216"/>
  <c r="EI415" i="216"/>
  <c r="EH337" i="216"/>
  <c r="EZ337" i="216"/>
  <c r="EG413" i="216"/>
  <c r="EN413" i="216" s="1"/>
  <c r="EN334" i="216"/>
  <c r="EM334" i="216" s="1"/>
  <c r="EM413" i="216" s="1"/>
  <c r="EF334" i="216"/>
  <c r="EJ359" i="216"/>
  <c r="L215" i="213"/>
  <c r="DJ411" i="216"/>
  <c r="DJ417" i="216" s="1"/>
  <c r="DJ344" i="216"/>
  <c r="DI344" i="216" s="1"/>
  <c r="DF387" i="216"/>
  <c r="DD387" i="216"/>
  <c r="AG344" i="216"/>
  <c r="DS336" i="216"/>
  <c r="DS414" i="216" s="1"/>
  <c r="EI412" i="216"/>
  <c r="EZ333" i="216"/>
  <c r="EH333" i="216"/>
  <c r="BL411" i="216"/>
  <c r="BL417" i="216" s="1"/>
  <c r="BL344" i="216"/>
  <c r="BK344" i="216" s="1"/>
  <c r="EZ381" i="216"/>
  <c r="EH381" i="216"/>
  <c r="EM341" i="216"/>
  <c r="EK413" i="216"/>
  <c r="EJ334" i="216"/>
  <c r="DF344" i="216"/>
  <c r="CA417" i="216"/>
  <c r="AL344" i="216"/>
  <c r="EN373" i="216"/>
  <c r="EF373" i="216"/>
  <c r="J208" i="213"/>
  <c r="AQ334" i="216"/>
  <c r="AQ413" i="216" s="1"/>
  <c r="AR328" i="216"/>
  <c r="AQ328" i="216" s="1"/>
  <c r="AQ291" i="216"/>
  <c r="EZ382" i="216"/>
  <c r="EH382" i="216"/>
  <c r="EG416" i="216"/>
  <c r="EF338" i="216"/>
  <c r="CO334" i="216"/>
  <c r="CO413" i="216" s="1"/>
  <c r="EN305" i="216"/>
  <c r="EM305" i="216" s="1"/>
  <c r="EF305" i="216"/>
  <c r="EM293" i="216"/>
  <c r="BA288" i="216"/>
  <c r="AT288" i="216"/>
  <c r="CP344" i="216"/>
  <c r="CO344" i="216" s="1"/>
  <c r="EN295" i="216"/>
  <c r="EM295" i="216" s="1"/>
  <c r="EF295" i="216"/>
  <c r="EJ299" i="216"/>
  <c r="EN298" i="216"/>
  <c r="EM298" i="216" s="1"/>
  <c r="EF298" i="216"/>
  <c r="BN387" i="216"/>
  <c r="BP377" i="216"/>
  <c r="EJ318" i="216"/>
  <c r="Z387" i="216"/>
  <c r="BN377" i="216"/>
  <c r="EK411" i="216"/>
  <c r="EK344" i="216"/>
  <c r="EJ332" i="216"/>
  <c r="EJ304" i="216"/>
  <c r="CT328" i="216"/>
  <c r="EZ370" i="216"/>
  <c r="EH370" i="216"/>
  <c r="EM294" i="216"/>
  <c r="EH257" i="216"/>
  <c r="EZ257" i="216"/>
  <c r="CZ366" i="216"/>
  <c r="CY357" i="216"/>
  <c r="EZ299" i="216"/>
  <c r="EH299" i="216"/>
  <c r="DJ283" i="216"/>
  <c r="DI283" i="216" s="1"/>
  <c r="EI328" i="216"/>
  <c r="EZ291" i="216"/>
  <c r="EH291" i="216"/>
  <c r="X283" i="216"/>
  <c r="W283" i="216" s="1"/>
  <c r="W276" i="216"/>
  <c r="CP328" i="216"/>
  <c r="CO328" i="216" s="1"/>
  <c r="EM249" i="216"/>
  <c r="ER249" i="216"/>
  <c r="EI409" i="216"/>
  <c r="EH282" i="216"/>
  <c r="EZ282" i="216"/>
  <c r="EZ247" i="216"/>
  <c r="EH247" i="216"/>
  <c r="EJ245" i="216"/>
  <c r="EN308" i="216"/>
  <c r="EM308" i="216" s="1"/>
  <c r="EF308" i="216"/>
  <c r="EZ265" i="216"/>
  <c r="EH265" i="216"/>
  <c r="EJ262" i="216"/>
  <c r="EZ246" i="216"/>
  <c r="EH246" i="216"/>
  <c r="EJ255" i="216"/>
  <c r="ER205" i="216"/>
  <c r="EF252" i="216"/>
  <c r="ER243" i="216"/>
  <c r="EM243" i="216"/>
  <c r="EZ235" i="216"/>
  <c r="EH235" i="216"/>
  <c r="EN248" i="216"/>
  <c r="EM248" i="216" s="1"/>
  <c r="EN239" i="216"/>
  <c r="EF239" i="216"/>
  <c r="CO272" i="216"/>
  <c r="T272" i="216"/>
  <c r="EC153" i="216"/>
  <c r="DV153" i="216"/>
  <c r="BA153" i="216"/>
  <c r="AT153" i="216"/>
  <c r="EJ309" i="216"/>
  <c r="CP404" i="216"/>
  <c r="CP153" i="216"/>
  <c r="CO153" i="216" s="1"/>
  <c r="EK404" i="216"/>
  <c r="EJ145" i="216"/>
  <c r="L142" i="213"/>
  <c r="EN244" i="216"/>
  <c r="EM244" i="216" s="1"/>
  <c r="EJ218" i="216"/>
  <c r="EN205" i="216"/>
  <c r="EM205" i="216" s="1"/>
  <c r="EF205" i="216"/>
  <c r="BU171" i="216"/>
  <c r="BU408" i="216" s="1"/>
  <c r="EJ268" i="216"/>
  <c r="EM194" i="216"/>
  <c r="ER194" i="216"/>
  <c r="DN183" i="216"/>
  <c r="DJ183" i="216"/>
  <c r="BV177" i="216"/>
  <c r="BP177" i="216"/>
  <c r="DP153" i="216"/>
  <c r="AN153" i="216"/>
  <c r="EI404" i="216"/>
  <c r="EI153" i="216"/>
  <c r="EZ145" i="216"/>
  <c r="EH145" i="216"/>
  <c r="K142" i="213"/>
  <c r="EN281" i="216"/>
  <c r="EM281" i="216" s="1"/>
  <c r="EN228" i="216"/>
  <c r="EJ186" i="216"/>
  <c r="EZ199" i="216"/>
  <c r="EH199" i="216"/>
  <c r="EM125" i="216"/>
  <c r="I126" i="213"/>
  <c r="EF36" i="216"/>
  <c r="EN36" i="216"/>
  <c r="EM36" i="216" s="1"/>
  <c r="J41" i="213"/>
  <c r="BF176" i="216"/>
  <c r="CT141" i="216"/>
  <c r="CH136" i="216"/>
  <c r="EN103" i="216"/>
  <c r="EM103" i="216" s="1"/>
  <c r="EZ73" i="216"/>
  <c r="EH73" i="216"/>
  <c r="K77" i="213"/>
  <c r="EJ72" i="216"/>
  <c r="L76" i="213"/>
  <c r="EN216" i="216"/>
  <c r="EM216" i="216" s="1"/>
  <c r="EZ182" i="216"/>
  <c r="EH182" i="216"/>
  <c r="BU119" i="216"/>
  <c r="EM73" i="216"/>
  <c r="I77" i="213"/>
  <c r="EZ63" i="216"/>
  <c r="EH63" i="216"/>
  <c r="K68" i="213"/>
  <c r="EN182" i="216"/>
  <c r="EF182" i="216"/>
  <c r="EG183" i="216"/>
  <c r="EF183" i="216" s="1"/>
  <c r="EF225" i="216"/>
  <c r="EJ158" i="216"/>
  <c r="L165" i="213"/>
  <c r="EE128" i="216"/>
  <c r="I124" i="213"/>
  <c r="EJ104" i="216"/>
  <c r="L105" i="213"/>
  <c r="EM86" i="216"/>
  <c r="I90" i="213"/>
  <c r="EN52" i="216"/>
  <c r="EM52" i="216" s="1"/>
  <c r="EF52" i="216"/>
  <c r="J59" i="213"/>
  <c r="ER212" i="216"/>
  <c r="EM212" i="216"/>
  <c r="EZ194" i="216"/>
  <c r="EH194" i="216"/>
  <c r="EM54" i="216"/>
  <c r="I61" i="213"/>
  <c r="I59" i="213"/>
  <c r="CS393" i="216"/>
  <c r="CR26" i="216"/>
  <c r="EF217" i="216"/>
  <c r="ED408" i="216"/>
  <c r="EJ163" i="216"/>
  <c r="L155" i="213"/>
  <c r="EM161" i="216"/>
  <c r="I153" i="213"/>
  <c r="Z128" i="216"/>
  <c r="EJ106" i="216"/>
  <c r="L107" i="213"/>
  <c r="EJ100" i="216"/>
  <c r="L101" i="213"/>
  <c r="EJ99" i="216"/>
  <c r="L100" i="213"/>
  <c r="EM74" i="216"/>
  <c r="EF74" i="216"/>
  <c r="I78" i="213"/>
  <c r="N78" i="213" s="1"/>
  <c r="I69" i="213"/>
  <c r="DB40" i="216"/>
  <c r="EM71" i="216"/>
  <c r="I75" i="213"/>
  <c r="EN59" i="216"/>
  <c r="EM59" i="216" s="1"/>
  <c r="EF59" i="216"/>
  <c r="J66" i="213"/>
  <c r="EJ34" i="216"/>
  <c r="AB40" i="216"/>
  <c r="CE148" i="216"/>
  <c r="CE405" i="216" s="1"/>
  <c r="BP119" i="216"/>
  <c r="EN66" i="216"/>
  <c r="EM66" i="216" s="1"/>
  <c r="AD40" i="216"/>
  <c r="EJ198" i="216"/>
  <c r="DV128" i="216"/>
  <c r="EH70" i="216"/>
  <c r="BR26" i="216"/>
  <c r="DR393" i="216"/>
  <c r="EM50" i="216"/>
  <c r="I57" i="213"/>
  <c r="EM12" i="216"/>
  <c r="EE26" i="216"/>
  <c r="I15" i="213"/>
  <c r="N27" i="213"/>
  <c r="P27" i="213"/>
  <c r="EZ146" i="216"/>
  <c r="EH146" i="216"/>
  <c r="K146" i="213"/>
  <c r="BK96" i="216"/>
  <c r="AT40" i="216"/>
  <c r="DX176" i="216"/>
  <c r="EZ60" i="216"/>
  <c r="EH60" i="216"/>
  <c r="K53" i="213"/>
  <c r="DF26" i="216"/>
  <c r="BN111" i="216"/>
  <c r="AH40" i="216"/>
  <c r="AG40" i="216" s="1"/>
  <c r="EZ72" i="216"/>
  <c r="P78" i="213"/>
  <c r="EF48" i="216"/>
  <c r="DT288" i="216"/>
  <c r="ED377" i="216"/>
  <c r="EK377" i="216"/>
  <c r="EJ377" i="216" s="1"/>
  <c r="EJ369" i="216"/>
  <c r="L206" i="213"/>
  <c r="EZ313" i="216"/>
  <c r="EH313" i="216"/>
  <c r="BR377" i="216"/>
  <c r="CZ407" i="216"/>
  <c r="DT377" i="216"/>
  <c r="EZ301" i="216"/>
  <c r="EH301" i="216"/>
  <c r="EM77" i="216"/>
  <c r="I84" i="213"/>
  <c r="EJ372" i="216"/>
  <c r="L207" i="213"/>
  <c r="EZ326" i="216"/>
  <c r="EH326" i="216"/>
  <c r="EN326" i="216"/>
  <c r="EM326" i="216" s="1"/>
  <c r="AG276" i="216"/>
  <c r="EJ337" i="216"/>
  <c r="EK415" i="216"/>
  <c r="AX176" i="216"/>
  <c r="DL286" i="216"/>
  <c r="DK288" i="216"/>
  <c r="DS288" i="216" s="1"/>
  <c r="DS286" i="216"/>
  <c r="EA407" i="216"/>
  <c r="ED166" i="216"/>
  <c r="DZ166" i="216"/>
  <c r="EP166" i="216"/>
  <c r="DV47" i="216"/>
  <c r="EC47" i="216"/>
  <c r="BA258" i="216"/>
  <c r="AX258" i="216"/>
  <c r="BU317" i="216"/>
  <c r="BR317" i="216"/>
  <c r="DS169" i="216"/>
  <c r="BS405" i="216"/>
  <c r="BS417" i="216" s="1"/>
  <c r="BR148" i="216"/>
  <c r="DO128" i="216"/>
  <c r="DN128" i="216" s="1"/>
  <c r="DN123" i="216"/>
  <c r="EI123" i="216"/>
  <c r="EN123" i="216" s="1"/>
  <c r="BF26" i="216"/>
  <c r="DN170" i="216"/>
  <c r="DT170" i="216"/>
  <c r="DS170" i="216" s="1"/>
  <c r="BQ406" i="216"/>
  <c r="BQ417" i="216" s="1"/>
  <c r="BP149" i="216"/>
  <c r="CL108" i="216"/>
  <c r="CP108" i="216"/>
  <c r="CP111" i="216" s="1"/>
  <c r="CO111" i="216" s="1"/>
  <c r="EH46" i="216"/>
  <c r="EZ46" i="216"/>
  <c r="K50" i="213"/>
  <c r="CC405" i="216"/>
  <c r="CB148" i="216"/>
  <c r="CY131" i="216"/>
  <c r="CQ136" i="216"/>
  <c r="CQ393" i="216" s="1"/>
  <c r="CV131" i="216"/>
  <c r="CT131" i="216"/>
  <c r="CR131" i="216"/>
  <c r="EI61" i="216"/>
  <c r="EN61" i="216" s="1"/>
  <c r="EM61" i="216" s="1"/>
  <c r="R61" i="216"/>
  <c r="ED362" i="216"/>
  <c r="EC314" i="216"/>
  <c r="CP288" i="216"/>
  <c r="U406" i="216"/>
  <c r="U417" i="216" s="1"/>
  <c r="EK149" i="216"/>
  <c r="EN149" i="216" s="1"/>
  <c r="EM149" i="216" s="1"/>
  <c r="EM406" i="216" s="1"/>
  <c r="T149" i="216"/>
  <c r="BQ141" i="216"/>
  <c r="BP141" i="216" s="1"/>
  <c r="BP139" i="216"/>
  <c r="EI139" i="216"/>
  <c r="EN139" i="216" s="1"/>
  <c r="EZ12" i="216"/>
  <c r="EH12" i="216"/>
  <c r="EI26" i="216"/>
  <c r="K15" i="213"/>
  <c r="DS292" i="216"/>
  <c r="DP292" i="216"/>
  <c r="BL278" i="216"/>
  <c r="BK278" i="216" s="1"/>
  <c r="BD278" i="216"/>
  <c r="BK200" i="216"/>
  <c r="BH200" i="216"/>
  <c r="DP58" i="216"/>
  <c r="DT58" i="216"/>
  <c r="DS58" i="216" s="1"/>
  <c r="BP26" i="216"/>
  <c r="DP44" i="216"/>
  <c r="DQ82" i="216"/>
  <c r="DP82" i="216" s="1"/>
  <c r="EC207" i="216"/>
  <c r="DZ207" i="216"/>
  <c r="Q407" i="216"/>
  <c r="Q417" i="216" s="1"/>
  <c r="EG166" i="216"/>
  <c r="EG176" i="216" s="1"/>
  <c r="X166" i="216"/>
  <c r="P166" i="216"/>
  <c r="DQ405" i="216"/>
  <c r="DQ417" i="216" s="1"/>
  <c r="DP148" i="216"/>
  <c r="EE87" i="216"/>
  <c r="P87" i="216"/>
  <c r="DN288" i="216"/>
  <c r="L162" i="213"/>
  <c r="T377" i="216"/>
  <c r="BH176" i="216"/>
  <c r="BA93" i="216"/>
  <c r="EP366" i="216"/>
  <c r="BA338" i="216"/>
  <c r="BA416" i="216" s="1"/>
  <c r="DI288" i="216"/>
  <c r="DF288" i="216"/>
  <c r="DS283" i="216"/>
  <c r="BH111" i="216"/>
  <c r="BB328" i="216"/>
  <c r="BA328" i="216"/>
  <c r="EH254" i="216"/>
  <c r="EZ254" i="216"/>
  <c r="ER208" i="216"/>
  <c r="EM208" i="216"/>
  <c r="EI407" i="216"/>
  <c r="EZ166" i="216"/>
  <c r="EH166" i="216"/>
  <c r="K158" i="213"/>
  <c r="DN82" i="216"/>
  <c r="DS249" i="216"/>
  <c r="DP249" i="216"/>
  <c r="DZ170" i="216"/>
  <c r="EP170" i="216"/>
  <c r="CY157" i="216"/>
  <c r="DV87" i="216"/>
  <c r="EC87" i="216"/>
  <c r="DX87" i="216"/>
  <c r="DZ87" i="216"/>
  <c r="EC59" i="216"/>
  <c r="DZ59" i="216"/>
  <c r="DX55" i="216"/>
  <c r="EC55" i="216"/>
  <c r="AM416" i="216"/>
  <c r="AM417" i="216" s="1"/>
  <c r="AL338" i="216"/>
  <c r="EI338" i="216"/>
  <c r="BK229" i="216"/>
  <c r="DL301" i="216"/>
  <c r="DS301" i="216"/>
  <c r="DO407" i="216"/>
  <c r="DO417" i="216" s="1"/>
  <c r="DN166" i="216"/>
  <c r="DT166" i="216"/>
  <c r="CW406" i="216"/>
  <c r="CW417" i="216" s="1"/>
  <c r="CV149" i="216"/>
  <c r="EC75" i="216"/>
  <c r="EZ20" i="216"/>
  <c r="EH20" i="216"/>
  <c r="K23" i="213"/>
  <c r="DP230" i="216"/>
  <c r="DS230" i="216"/>
  <c r="AW93" i="216"/>
  <c r="AV93" i="216" s="1"/>
  <c r="AV85" i="216"/>
  <c r="BR65" i="216"/>
  <c r="EK65" i="216"/>
  <c r="EC63" i="216"/>
  <c r="DG82" i="216"/>
  <c r="DF82" i="216" s="1"/>
  <c r="DD26" i="216"/>
  <c r="DF369" i="216"/>
  <c r="DG377" i="216"/>
  <c r="DF377" i="216" s="1"/>
  <c r="DI278" i="216"/>
  <c r="DD156" i="216"/>
  <c r="DJ156" i="216"/>
  <c r="DE176" i="216"/>
  <c r="DD176" i="216" s="1"/>
  <c r="BR87" i="216"/>
  <c r="BV87" i="216"/>
  <c r="BU87" i="216" s="1"/>
  <c r="AX82" i="216"/>
  <c r="BP215" i="216"/>
  <c r="BV215" i="216"/>
  <c r="BU215" i="216" s="1"/>
  <c r="AH170" i="216"/>
  <c r="AG170" i="216" s="1"/>
  <c r="AD170" i="216"/>
  <c r="BH123" i="216"/>
  <c r="BI128" i="216"/>
  <c r="BH128" i="216" s="1"/>
  <c r="R26" i="216"/>
  <c r="W131" i="216"/>
  <c r="X136" i="216"/>
  <c r="W136" i="216" s="1"/>
  <c r="BI82" i="216"/>
  <c r="BH82" i="216" s="1"/>
  <c r="EJ35" i="216"/>
  <c r="L40" i="213"/>
  <c r="CB377" i="216"/>
  <c r="U362" i="216"/>
  <c r="EF358" i="216"/>
  <c r="I202" i="213"/>
  <c r="CO366" i="216"/>
  <c r="CH366" i="216"/>
  <c r="EE412" i="216"/>
  <c r="EM333" i="216"/>
  <c r="EM412" i="216" s="1"/>
  <c r="DZ283" i="216"/>
  <c r="EP283" i="216"/>
  <c r="ER203" i="216"/>
  <c r="EM203" i="216"/>
  <c r="BL176" i="216"/>
  <c r="BK176" i="216" s="1"/>
  <c r="EZ132" i="216"/>
  <c r="EH132" i="216"/>
  <c r="K134" i="213"/>
  <c r="EZ125" i="216"/>
  <c r="EH125" i="216"/>
  <c r="K126" i="213"/>
  <c r="EC119" i="216"/>
  <c r="DX119" i="216"/>
  <c r="AN377" i="216"/>
  <c r="ED288" i="216"/>
  <c r="EC288" i="216" s="1"/>
  <c r="CL377" i="216"/>
  <c r="AG283" i="216"/>
  <c r="BL377" i="216"/>
  <c r="AG278" i="216"/>
  <c r="EH210" i="216"/>
  <c r="EZ210" i="216"/>
  <c r="BV82" i="216"/>
  <c r="BU82" i="216" s="1"/>
  <c r="Z323" i="216"/>
  <c r="AG323" i="216"/>
  <c r="DX193" i="216"/>
  <c r="ED193" i="216"/>
  <c r="EC193" i="216" s="1"/>
  <c r="EC74" i="216"/>
  <c r="DX74" i="216"/>
  <c r="DV74" i="216"/>
  <c r="EC50" i="216"/>
  <c r="DX50" i="216"/>
  <c r="DV50" i="216"/>
  <c r="AR131" i="216"/>
  <c r="AR136" i="216" s="1"/>
  <c r="AJ131" i="216"/>
  <c r="AK136" i="216"/>
  <c r="CH287" i="216"/>
  <c r="CO287" i="216"/>
  <c r="BU210" i="216"/>
  <c r="AQ132" i="216"/>
  <c r="CB123" i="216"/>
  <c r="CC128" i="216"/>
  <c r="CB128" i="216" s="1"/>
  <c r="DX62" i="216"/>
  <c r="EC62" i="216"/>
  <c r="DZ62" i="216"/>
  <c r="BX159" i="216"/>
  <c r="CE159" i="216"/>
  <c r="EC48" i="216"/>
  <c r="DZ48" i="216"/>
  <c r="DV48" i="216"/>
  <c r="CA393" i="216"/>
  <c r="BZ26" i="216"/>
  <c r="CA141" i="216"/>
  <c r="BZ139" i="216"/>
  <c r="AS415" i="216"/>
  <c r="BA337" i="216"/>
  <c r="BA415" i="216" s="1"/>
  <c r="AT337" i="216"/>
  <c r="BX237" i="216"/>
  <c r="CE237" i="216"/>
  <c r="DB227" i="216"/>
  <c r="DI227" i="216"/>
  <c r="CW141" i="216"/>
  <c r="CV141" i="216" s="1"/>
  <c r="CV139" i="216"/>
  <c r="T57" i="216"/>
  <c r="EK57" i="216"/>
  <c r="DS307" i="216"/>
  <c r="DP307" i="216"/>
  <c r="CJ288" i="216"/>
  <c r="DZ139" i="216"/>
  <c r="EA141" i="216"/>
  <c r="EP139" i="216"/>
  <c r="CB52" i="216"/>
  <c r="CF52" i="216"/>
  <c r="CE52" i="216" s="1"/>
  <c r="DU82" i="216"/>
  <c r="DV44" i="216"/>
  <c r="EC44" i="216"/>
  <c r="DZ44" i="216"/>
  <c r="EH33" i="216"/>
  <c r="EZ33" i="216"/>
  <c r="K38" i="213"/>
  <c r="EZ22" i="216"/>
  <c r="EH22" i="216"/>
  <c r="K25" i="213"/>
  <c r="EZ18" i="216"/>
  <c r="EH18" i="216"/>
  <c r="K21" i="213"/>
  <c r="EI214" i="216"/>
  <c r="EN214" i="216" s="1"/>
  <c r="EM214" i="216" s="1"/>
  <c r="AV214" i="216"/>
  <c r="EC66" i="216"/>
  <c r="DV66" i="216"/>
  <c r="DX66" i="216"/>
  <c r="CO33" i="216"/>
  <c r="CL33" i="216"/>
  <c r="CG40" i="216"/>
  <c r="CJ40" i="216" s="1"/>
  <c r="AN123" i="216"/>
  <c r="AO128" i="216"/>
  <c r="AN128" i="216" s="1"/>
  <c r="EC169" i="216"/>
  <c r="DZ169" i="216"/>
  <c r="EA136" i="216"/>
  <c r="EP131" i="216"/>
  <c r="DZ131" i="216"/>
  <c r="DG93" i="216"/>
  <c r="DF93" i="216" s="1"/>
  <c r="DF85" i="216"/>
  <c r="DJ85" i="216"/>
  <c r="CF377" i="216"/>
  <c r="AQ366" i="216"/>
  <c r="DZ377" i="216"/>
  <c r="EP377" i="216"/>
  <c r="CV111" i="216"/>
  <c r="ER232" i="216"/>
  <c r="EM232" i="216"/>
  <c r="EH221" i="216"/>
  <c r="EZ221" i="216"/>
  <c r="BU338" i="216"/>
  <c r="BU416" i="216" s="1"/>
  <c r="R357" i="216"/>
  <c r="S366" i="216"/>
  <c r="R366" i="216" s="1"/>
  <c r="EI357" i="216"/>
  <c r="X357" i="216"/>
  <c r="DS296" i="216"/>
  <c r="DN296" i="216"/>
  <c r="DP296" i="216"/>
  <c r="BU164" i="216"/>
  <c r="BR164" i="216"/>
  <c r="BN164" i="216"/>
  <c r="DX86" i="216"/>
  <c r="EC86" i="216"/>
  <c r="CC412" i="216"/>
  <c r="CC417" i="216" s="1"/>
  <c r="CB333" i="216"/>
  <c r="BU311" i="216"/>
  <c r="BR311" i="216"/>
  <c r="AB169" i="216"/>
  <c r="AH169" i="216"/>
  <c r="AG169" i="216" s="1"/>
  <c r="AO406" i="216"/>
  <c r="AN149" i="216"/>
  <c r="AR149" i="216"/>
  <c r="CO147" i="216"/>
  <c r="CJ147" i="216"/>
  <c r="CH147" i="216"/>
  <c r="DF111" i="216"/>
  <c r="BF44" i="216"/>
  <c r="BG82" i="216"/>
  <c r="BF82" i="216" s="1"/>
  <c r="CB44" i="216"/>
  <c r="CC82" i="216"/>
  <c r="CB82" i="216" s="1"/>
  <c r="CF44" i="216"/>
  <c r="BU294" i="216"/>
  <c r="BR294" i="216"/>
  <c r="X164" i="216"/>
  <c r="W164" i="216" s="1"/>
  <c r="EI164" i="216"/>
  <c r="EI176" i="216" s="1"/>
  <c r="R164" i="216"/>
  <c r="CK176" i="216"/>
  <c r="CJ176" i="216" s="1"/>
  <c r="CP156" i="216"/>
  <c r="CJ156" i="216"/>
  <c r="AE405" i="216"/>
  <c r="AE417" i="216" s="1"/>
  <c r="AD148" i="216"/>
  <c r="DN99" i="216"/>
  <c r="DT99" i="216"/>
  <c r="DS99" i="216" s="1"/>
  <c r="DZ60" i="216"/>
  <c r="EC60" i="216"/>
  <c r="DV60" i="216"/>
  <c r="AY362" i="216"/>
  <c r="AI283" i="216"/>
  <c r="AL283" i="216" s="1"/>
  <c r="AQ276" i="216"/>
  <c r="BD235" i="216"/>
  <c r="BK235" i="216"/>
  <c r="EA405" i="216"/>
  <c r="EA417" i="216" s="1"/>
  <c r="DZ148" i="216"/>
  <c r="EP148" i="216"/>
  <c r="T278" i="216"/>
  <c r="EK278" i="216"/>
  <c r="EN278" i="216" s="1"/>
  <c r="DX250" i="216"/>
  <c r="EC250" i="216"/>
  <c r="DZ250" i="216"/>
  <c r="CM405" i="216"/>
  <c r="CM417" i="216" s="1"/>
  <c r="CL148" i="216"/>
  <c r="DP96" i="216"/>
  <c r="DQ111" i="216"/>
  <c r="DP111" i="216" s="1"/>
  <c r="EJ363" i="216"/>
  <c r="BR176" i="216"/>
  <c r="BV136" i="216"/>
  <c r="BU136" i="216" s="1"/>
  <c r="BR387" i="216"/>
  <c r="BB377" i="216"/>
  <c r="CV377" i="216"/>
  <c r="DI366" i="216"/>
  <c r="EZ321" i="216"/>
  <c r="EH321" i="216"/>
  <c r="DX283" i="216"/>
  <c r="DN153" i="216"/>
  <c r="BL136" i="216"/>
  <c r="BK136" i="216" s="1"/>
  <c r="BV93" i="216"/>
  <c r="BU93" i="216" s="1"/>
  <c r="AR377" i="216"/>
  <c r="ED366" i="216"/>
  <c r="AG366" i="216"/>
  <c r="EK405" i="216"/>
  <c r="EJ148" i="216"/>
  <c r="L144" i="213"/>
  <c r="EJ132" i="216"/>
  <c r="L134" i="213"/>
  <c r="DP128" i="216"/>
  <c r="EJ364" i="216"/>
  <c r="EZ298" i="216"/>
  <c r="EH298" i="216"/>
  <c r="EZ277" i="216"/>
  <c r="EH277" i="216"/>
  <c r="K218" i="213"/>
  <c r="BH377" i="216"/>
  <c r="BR141" i="216"/>
  <c r="CU415" i="216"/>
  <c r="CU417" i="216" s="1"/>
  <c r="CT337" i="216"/>
  <c r="CZ337" i="216"/>
  <c r="EC252" i="216"/>
  <c r="DV252" i="216"/>
  <c r="AV197" i="216"/>
  <c r="BB197" i="216"/>
  <c r="EI197" i="216"/>
  <c r="EI272" i="216" s="1"/>
  <c r="R170" i="216"/>
  <c r="P170" i="216"/>
  <c r="EE170" i="216"/>
  <c r="EF170" i="216" s="1"/>
  <c r="DK141" i="216"/>
  <c r="DP141" i="216" s="1"/>
  <c r="DS139" i="216"/>
  <c r="EC300" i="216"/>
  <c r="DZ300" i="216"/>
  <c r="DX300" i="216"/>
  <c r="BK209" i="216"/>
  <c r="EP107" i="216"/>
  <c r="DZ107" i="216"/>
  <c r="BC288" i="216"/>
  <c r="BK286" i="216"/>
  <c r="EA93" i="216"/>
  <c r="EP85" i="216"/>
  <c r="DZ85" i="216"/>
  <c r="EC73" i="216"/>
  <c r="DV64" i="216"/>
  <c r="EC64" i="216"/>
  <c r="DX64" i="216"/>
  <c r="DZ64" i="216"/>
  <c r="DX244" i="216"/>
  <c r="ED244" i="216"/>
  <c r="EC244" i="216" s="1"/>
  <c r="AX364" i="216"/>
  <c r="BB364" i="216"/>
  <c r="R358" i="216"/>
  <c r="EI358" i="216"/>
  <c r="X358" i="216"/>
  <c r="W358" i="216" s="1"/>
  <c r="CJ139" i="216"/>
  <c r="CK141" i="216"/>
  <c r="CW82" i="216"/>
  <c r="CV44" i="216"/>
  <c r="DF164" i="216"/>
  <c r="DJ164" i="216"/>
  <c r="DI164" i="216" s="1"/>
  <c r="CZ277" i="216"/>
  <c r="CY277" i="216" s="1"/>
  <c r="CT277" i="216"/>
  <c r="EJ131" i="216"/>
  <c r="EK136" i="216"/>
  <c r="EJ136" i="216" s="1"/>
  <c r="L133" i="213"/>
  <c r="CY40" i="216"/>
  <c r="I201" i="213"/>
  <c r="EH234" i="216"/>
  <c r="EZ234" i="216"/>
  <c r="BR136" i="216"/>
  <c r="ER239" i="216"/>
  <c r="EM239" i="216"/>
  <c r="CF411" i="216"/>
  <c r="CF417" i="216" s="1"/>
  <c r="CF344" i="216"/>
  <c r="CE344" i="216" s="1"/>
  <c r="EM320" i="216"/>
  <c r="BH136" i="216"/>
  <c r="DP387" i="216"/>
  <c r="EJ358" i="216"/>
  <c r="L202" i="213"/>
  <c r="EH217" i="216"/>
  <c r="EZ217" i="216"/>
  <c r="CL176" i="216"/>
  <c r="AV82" i="216"/>
  <c r="AD369" i="216"/>
  <c r="AE377" i="216"/>
  <c r="AD377" i="216" s="1"/>
  <c r="CU176" i="216"/>
  <c r="CT176" i="216" s="1"/>
  <c r="CT156" i="216"/>
  <c r="CZ156" i="216"/>
  <c r="DF72" i="216"/>
  <c r="DJ72" i="216"/>
  <c r="DI72" i="216" s="1"/>
  <c r="CL82" i="216"/>
  <c r="CM83" i="216"/>
  <c r="CL83" i="216" s="1"/>
  <c r="EZ21" i="216"/>
  <c r="EH21" i="216"/>
  <c r="K24" i="213"/>
  <c r="CG416" i="216"/>
  <c r="CG417" i="216" s="1"/>
  <c r="CH338" i="216"/>
  <c r="CO338" i="216"/>
  <c r="CO416" i="216" s="1"/>
  <c r="BP321" i="216"/>
  <c r="BV321" i="216"/>
  <c r="BU321" i="216" s="1"/>
  <c r="EC308" i="216"/>
  <c r="DZ308" i="216"/>
  <c r="DT165" i="216"/>
  <c r="DS165" i="216" s="1"/>
  <c r="DL165" i="216"/>
  <c r="BW176" i="216"/>
  <c r="CE176" i="216" s="1"/>
  <c r="CE156" i="216"/>
  <c r="DP68" i="216"/>
  <c r="DT68" i="216"/>
  <c r="DS68" i="216" s="1"/>
  <c r="EZ13" i="216"/>
  <c r="EH13" i="216"/>
  <c r="K16" i="213"/>
  <c r="BA254" i="216"/>
  <c r="AO407" i="216"/>
  <c r="AN166" i="216"/>
  <c r="BS128" i="216"/>
  <c r="BR128" i="216" s="1"/>
  <c r="BR123" i="216"/>
  <c r="EC69" i="216"/>
  <c r="CV66" i="216"/>
  <c r="CZ66" i="216"/>
  <c r="CY66" i="216" s="1"/>
  <c r="EC58" i="216"/>
  <c r="DX58" i="216"/>
  <c r="EE58" i="216"/>
  <c r="EJ58" i="216" s="1"/>
  <c r="CL66" i="216"/>
  <c r="CP66" i="216"/>
  <c r="CO66" i="216" s="1"/>
  <c r="DV57" i="216"/>
  <c r="EC57" i="216"/>
  <c r="DT97" i="216"/>
  <c r="DS97" i="216" s="1"/>
  <c r="DN97" i="216"/>
  <c r="DD33" i="216"/>
  <c r="DJ33" i="216"/>
  <c r="DI33" i="216" s="1"/>
  <c r="CU393" i="216"/>
  <c r="CT26" i="216"/>
  <c r="DZ45" i="216"/>
  <c r="DX45" i="216"/>
  <c r="EC45" i="216"/>
  <c r="AL26" i="216"/>
  <c r="BG93" i="216"/>
  <c r="BF93" i="216" s="1"/>
  <c r="BL85" i="216"/>
  <c r="BF85" i="216"/>
  <c r="BM278" i="216"/>
  <c r="BP278" i="216" s="1"/>
  <c r="DQ406" i="216"/>
  <c r="DP149" i="216"/>
  <c r="DT149" i="216"/>
  <c r="DT153" i="216" s="1"/>
  <c r="DS153" i="216" s="1"/>
  <c r="DZ124" i="216"/>
  <c r="EP124" i="216"/>
  <c r="ED124" i="216"/>
  <c r="EC124" i="216" s="1"/>
  <c r="CF54" i="216"/>
  <c r="CB54" i="216"/>
  <c r="DU362" i="216"/>
  <c r="DV362" i="216" s="1"/>
  <c r="DS366" i="216"/>
  <c r="EI414" i="216"/>
  <c r="EH336" i="216"/>
  <c r="EZ336" i="216"/>
  <c r="EZ258" i="216"/>
  <c r="EH258" i="216"/>
  <c r="AX377" i="216"/>
  <c r="BK366" i="216"/>
  <c r="CO288" i="216"/>
  <c r="CH288" i="216"/>
  <c r="EZ278" i="216"/>
  <c r="EH278" i="216"/>
  <c r="K216" i="213"/>
  <c r="EF278" i="216"/>
  <c r="J216" i="213"/>
  <c r="BR111" i="216"/>
  <c r="CL387" i="216"/>
  <c r="AW417" i="216"/>
  <c r="EZ310" i="216"/>
  <c r="EH310" i="216"/>
  <c r="EZ102" i="216"/>
  <c r="EH102" i="216"/>
  <c r="K103" i="213"/>
  <c r="AS417" i="216"/>
  <c r="CJ283" i="216"/>
  <c r="EZ311" i="216"/>
  <c r="EH311" i="216"/>
  <c r="EJ45" i="216"/>
  <c r="L49" i="213"/>
  <c r="BB82" i="216"/>
  <c r="BA82" i="216" s="1"/>
  <c r="BA44" i="216"/>
  <c r="DJ262" i="216"/>
  <c r="DI262" i="216" s="1"/>
  <c r="DD262" i="216"/>
  <c r="CY153" i="216"/>
  <c r="CB141" i="216"/>
  <c r="DO393" i="216"/>
  <c r="DN26" i="216"/>
  <c r="CT283" i="216"/>
  <c r="BF238" i="216"/>
  <c r="BL238" i="216"/>
  <c r="BK238" i="216" s="1"/>
  <c r="EI238" i="216"/>
  <c r="BA217" i="216"/>
  <c r="AT217" i="216"/>
  <c r="DX205" i="216"/>
  <c r="ED205" i="216"/>
  <c r="EC205" i="216" s="1"/>
  <c r="BB170" i="216"/>
  <c r="BA170" i="216" s="1"/>
  <c r="AT170" i="216"/>
  <c r="AI136" i="216"/>
  <c r="AN136" i="216" s="1"/>
  <c r="AL131" i="216"/>
  <c r="AQ131" i="216"/>
  <c r="EI198" i="216"/>
  <c r="AV198" i="216"/>
  <c r="EI64" i="216"/>
  <c r="X64" i="216"/>
  <c r="W64" i="216" s="1"/>
  <c r="R64" i="216"/>
  <c r="DG406" i="216"/>
  <c r="DG417" i="216" s="1"/>
  <c r="DF149" i="216"/>
  <c r="BM366" i="216"/>
  <c r="BU366" i="216" s="1"/>
  <c r="BU357" i="216"/>
  <c r="BR357" i="216"/>
  <c r="BF300" i="216"/>
  <c r="BL300" i="216"/>
  <c r="BK300" i="216" s="1"/>
  <c r="CR292" i="216"/>
  <c r="CY292" i="216"/>
  <c r="EE292" i="216"/>
  <c r="EM292" i="216" s="1"/>
  <c r="DN247" i="216"/>
  <c r="DT247" i="216"/>
  <c r="DS247" i="216" s="1"/>
  <c r="DZ158" i="216"/>
  <c r="EP158" i="216"/>
  <c r="ED158" i="216"/>
  <c r="EC158" i="216" s="1"/>
  <c r="AS394" i="216"/>
  <c r="EC324" i="216"/>
  <c r="AM328" i="216"/>
  <c r="AL328" i="216" s="1"/>
  <c r="AL291" i="216"/>
  <c r="DS243" i="216"/>
  <c r="DL243" i="216"/>
  <c r="BU217" i="216"/>
  <c r="BR217" i="216"/>
  <c r="DG153" i="216"/>
  <c r="DF153" i="216" s="1"/>
  <c r="DF147" i="216"/>
  <c r="BH87" i="216"/>
  <c r="BL87" i="216"/>
  <c r="BK87" i="216" s="1"/>
  <c r="BS82" i="216"/>
  <c r="BR82" i="216" s="1"/>
  <c r="BR44" i="216"/>
  <c r="EI87" i="216"/>
  <c r="S93" i="216"/>
  <c r="R93" i="216" s="1"/>
  <c r="X87" i="216"/>
  <c r="W87" i="216" s="1"/>
  <c r="R87" i="216"/>
  <c r="DF62" i="216"/>
  <c r="DJ62" i="216"/>
  <c r="DI62" i="216" s="1"/>
  <c r="DQ176" i="216"/>
  <c r="DP176" i="216" s="1"/>
  <c r="DP156" i="216"/>
  <c r="BU280" i="216"/>
  <c r="BZ199" i="216"/>
  <c r="CF199" i="216"/>
  <c r="CE199" i="216" s="1"/>
  <c r="CZ172" i="216"/>
  <c r="CY172" i="216" s="1"/>
  <c r="CV172" i="216"/>
  <c r="DZ128" i="216"/>
  <c r="EP128" i="216"/>
  <c r="DY417" i="216"/>
  <c r="ER224" i="216"/>
  <c r="EM224" i="216"/>
  <c r="L65" i="213"/>
  <c r="EZ168" i="216"/>
  <c r="EH168" i="216"/>
  <c r="K160" i="213"/>
  <c r="CB344" i="216"/>
  <c r="EN168" i="216"/>
  <c r="EM168" i="216" s="1"/>
  <c r="EF168" i="216"/>
  <c r="J160" i="213"/>
  <c r="CP387" i="216"/>
  <c r="DP377" i="216"/>
  <c r="CE366" i="216"/>
  <c r="EJ165" i="216"/>
  <c r="L157" i="213"/>
  <c r="DT136" i="216"/>
  <c r="DS136" i="216" s="1"/>
  <c r="BA344" i="216"/>
  <c r="CY366" i="216"/>
  <c r="EM277" i="216"/>
  <c r="I218" i="213"/>
  <c r="EJ164" i="216"/>
  <c r="L156" i="213"/>
  <c r="DZ176" i="216"/>
  <c r="EP176" i="216"/>
  <c r="DF128" i="216"/>
  <c r="CC414" i="216"/>
  <c r="CB336" i="216"/>
  <c r="AR278" i="216"/>
  <c r="AQ278" i="216" s="1"/>
  <c r="AJ278" i="216"/>
  <c r="DN196" i="216"/>
  <c r="DT196" i="216"/>
  <c r="DS196" i="216" s="1"/>
  <c r="AR58" i="216"/>
  <c r="AQ58" i="216" s="1"/>
  <c r="AN58" i="216"/>
  <c r="BK33" i="216"/>
  <c r="EC201" i="216"/>
  <c r="DV201" i="216"/>
  <c r="BU304" i="216"/>
  <c r="BR304" i="216"/>
  <c r="AV278" i="216"/>
  <c r="AW283" i="216"/>
  <c r="AV283" i="216" s="1"/>
  <c r="AC393" i="216"/>
  <c r="AB26" i="216"/>
  <c r="AV213" i="216"/>
  <c r="EI213" i="216"/>
  <c r="BB213" i="216"/>
  <c r="BA213" i="216" s="1"/>
  <c r="BK158" i="216"/>
  <c r="BH158" i="216"/>
  <c r="BD158" i="216"/>
  <c r="BM411" i="216"/>
  <c r="BM417" i="216" s="1"/>
  <c r="BU332" i="216"/>
  <c r="BU411" i="216" s="1"/>
  <c r="BM344" i="216"/>
  <c r="BU344" i="216" s="1"/>
  <c r="BA278" i="216"/>
  <c r="CE241" i="216"/>
  <c r="DS216" i="216"/>
  <c r="DL216" i="216"/>
  <c r="AE406" i="216"/>
  <c r="AD149" i="216"/>
  <c r="AV26" i="216"/>
  <c r="BV170" i="216"/>
  <c r="BU170" i="216" s="1"/>
  <c r="BP170" i="216"/>
  <c r="EC54" i="216"/>
  <c r="DX54" i="216"/>
  <c r="DZ54" i="216"/>
  <c r="EK46" i="216"/>
  <c r="X46" i="216"/>
  <c r="W46" i="216" s="1"/>
  <c r="T46" i="216"/>
  <c r="DS248" i="216"/>
  <c r="DL248" i="216"/>
  <c r="AB64" i="216"/>
  <c r="AH64" i="216"/>
  <c r="AG64" i="216" s="1"/>
  <c r="BF239" i="216"/>
  <c r="BL239" i="216"/>
  <c r="BK239" i="216" s="1"/>
  <c r="T157" i="216"/>
  <c r="EK157" i="216"/>
  <c r="EK176" i="216" s="1"/>
  <c r="E36" i="208"/>
  <c r="E34" i="208"/>
  <c r="E32" i="208"/>
  <c r="H31" i="208"/>
  <c r="H32" i="208"/>
  <c r="H33" i="208" s="1"/>
  <c r="I31" i="208"/>
  <c r="I32" i="208"/>
  <c r="I33" i="208" s="1"/>
  <c r="P26" i="208"/>
  <c r="Q26" i="208" s="1"/>
  <c r="P27" i="208"/>
  <c r="Q27" i="208" s="1"/>
  <c r="G29" i="208"/>
  <c r="K28" i="208"/>
  <c r="P28" i="208" s="1"/>
  <c r="Q28" i="208" s="1"/>
  <c r="K26" i="208"/>
  <c r="K27" i="208"/>
  <c r="AI257" i="257" l="1"/>
  <c r="AI252" i="257"/>
  <c r="AI240" i="257"/>
  <c r="AJ237" i="257"/>
  <c r="EH161" i="253"/>
  <c r="EI211" i="253"/>
  <c r="EH211" i="253" s="1"/>
  <c r="EN161" i="253"/>
  <c r="EO123" i="253"/>
  <c r="EM123" i="253"/>
  <c r="EP123" i="253"/>
  <c r="I20" i="263"/>
  <c r="H20" i="263"/>
  <c r="G20" i="263"/>
  <c r="F20" i="263"/>
  <c r="E20" i="263"/>
  <c r="D20" i="263"/>
  <c r="I8" i="262"/>
  <c r="W219" i="250"/>
  <c r="N227" i="250"/>
  <c r="O219" i="250"/>
  <c r="AP173" i="257"/>
  <c r="AK257" i="257"/>
  <c r="AK240" i="257"/>
  <c r="AL237" i="257"/>
  <c r="AN283" i="216"/>
  <c r="EJ40" i="216"/>
  <c r="DE393" i="216"/>
  <c r="AW393" i="216"/>
  <c r="EL393" i="216"/>
  <c r="M20" i="213"/>
  <c r="CP417" i="216"/>
  <c r="M154" i="213"/>
  <c r="D98" i="213"/>
  <c r="EH272" i="216"/>
  <c r="EZ272" i="216"/>
  <c r="K176" i="213"/>
  <c r="EN141" i="216"/>
  <c r="EM139" i="216"/>
  <c r="CQ394" i="216"/>
  <c r="EL394" i="216"/>
  <c r="M226" i="213"/>
  <c r="EN128" i="216"/>
  <c r="EM123" i="216"/>
  <c r="AC394" i="216"/>
  <c r="AC395" i="216"/>
  <c r="AB395" i="216" s="1"/>
  <c r="AB393" i="216"/>
  <c r="EJ46" i="216"/>
  <c r="L50" i="213"/>
  <c r="BP344" i="216"/>
  <c r="D25" i="213"/>
  <c r="D65" i="213"/>
  <c r="D73" i="213"/>
  <c r="EZ87" i="216"/>
  <c r="EH87" i="216"/>
  <c r="K91" i="213"/>
  <c r="K94" i="213" s="1"/>
  <c r="EN87" i="216"/>
  <c r="EH238" i="216"/>
  <c r="EZ238" i="216"/>
  <c r="EN238" i="216"/>
  <c r="EM238" i="216" s="1"/>
  <c r="AM393" i="216"/>
  <c r="D91" i="213"/>
  <c r="D24" i="213"/>
  <c r="EP93" i="216"/>
  <c r="DZ93" i="216"/>
  <c r="D34" i="213"/>
  <c r="D116" i="213"/>
  <c r="CP176" i="216"/>
  <c r="CO176" i="216" s="1"/>
  <c r="CO156" i="216"/>
  <c r="AR406" i="216"/>
  <c r="AR417" i="216" s="1"/>
  <c r="AQ149" i="216"/>
  <c r="AQ406" i="216" s="1"/>
  <c r="D64" i="213"/>
  <c r="D72" i="213"/>
  <c r="DJ93" i="216"/>
  <c r="DI93" i="216" s="1"/>
  <c r="DI85" i="216"/>
  <c r="BZ141" i="216"/>
  <c r="CF141" i="216"/>
  <c r="CE141" i="216" s="1"/>
  <c r="K135" i="213"/>
  <c r="D38" i="213"/>
  <c r="EJ65" i="216"/>
  <c r="L69" i="213"/>
  <c r="DT407" i="216"/>
  <c r="DS166" i="216"/>
  <c r="DS407" i="216" s="1"/>
  <c r="EJ170" i="216"/>
  <c r="D100" i="213"/>
  <c r="EM87" i="216"/>
  <c r="I91" i="213"/>
  <c r="EF87" i="216"/>
  <c r="D97" i="213"/>
  <c r="DR394" i="216"/>
  <c r="EM128" i="216"/>
  <c r="M76" i="213"/>
  <c r="EZ153" i="216"/>
  <c r="EH153" i="216"/>
  <c r="ED176" i="216"/>
  <c r="EC176" i="216" s="1"/>
  <c r="EJ344" i="216"/>
  <c r="L193" i="213"/>
  <c r="X176" i="216"/>
  <c r="W176" i="216" s="1"/>
  <c r="EF128" i="216"/>
  <c r="M85" i="213"/>
  <c r="Y394" i="216"/>
  <c r="EN46" i="216"/>
  <c r="EM46" i="216" s="1"/>
  <c r="M77" i="213"/>
  <c r="X82" i="216"/>
  <c r="W82" i="216" s="1"/>
  <c r="M126" i="213"/>
  <c r="DW394" i="216"/>
  <c r="M146" i="213"/>
  <c r="EE328" i="216"/>
  <c r="BA26" i="216"/>
  <c r="L130" i="213"/>
  <c r="BE394" i="216"/>
  <c r="M71" i="213"/>
  <c r="EN409" i="216"/>
  <c r="DT82" i="216"/>
  <c r="DS82" i="216" s="1"/>
  <c r="M159" i="213"/>
  <c r="J86" i="213"/>
  <c r="M48" i="213"/>
  <c r="EZ292" i="216"/>
  <c r="K113" i="213"/>
  <c r="EZ170" i="216"/>
  <c r="EF40" i="216"/>
  <c r="DT272" i="216"/>
  <c r="DS272" i="216" s="1"/>
  <c r="M92" i="213"/>
  <c r="I113" i="213"/>
  <c r="EJ141" i="216"/>
  <c r="EF119" i="216"/>
  <c r="BV272" i="216"/>
  <c r="BU272" i="216" s="1"/>
  <c r="CZ176" i="216"/>
  <c r="CY176" i="216" s="1"/>
  <c r="CY156" i="216"/>
  <c r="D52" i="213"/>
  <c r="CZ415" i="216"/>
  <c r="CY337" i="216"/>
  <c r="CY415" i="216" s="1"/>
  <c r="W357" i="216"/>
  <c r="BV176" i="216"/>
  <c r="BU176" i="216" s="1"/>
  <c r="D109" i="213"/>
  <c r="DG393" i="216"/>
  <c r="I31" i="213"/>
  <c r="P393" i="216"/>
  <c r="Q395" i="216"/>
  <c r="Q394" i="216"/>
  <c r="EZ188" i="216"/>
  <c r="EH188" i="216"/>
  <c r="BL283" i="216"/>
  <c r="BK283" i="216" s="1"/>
  <c r="M16" i="213"/>
  <c r="M161" i="213"/>
  <c r="M119" i="213"/>
  <c r="M69" i="213"/>
  <c r="EN377" i="216"/>
  <c r="CJ83" i="216"/>
  <c r="BK26" i="216"/>
  <c r="EJ128" i="216"/>
  <c r="EN405" i="216"/>
  <c r="BV328" i="216"/>
  <c r="BU328" i="216" s="1"/>
  <c r="M72" i="213"/>
  <c r="DJ40" i="216"/>
  <c r="CE26" i="216"/>
  <c r="L31" i="213"/>
  <c r="M142" i="213"/>
  <c r="I193" i="213"/>
  <c r="EC40" i="216"/>
  <c r="AE393" i="216"/>
  <c r="EZ111" i="216"/>
  <c r="EH111" i="216"/>
  <c r="DM394" i="216"/>
  <c r="M89" i="213"/>
  <c r="M63" i="213"/>
  <c r="EM278" i="216"/>
  <c r="I216" i="213"/>
  <c r="EE283" i="216"/>
  <c r="EJ292" i="216"/>
  <c r="EJ387" i="216"/>
  <c r="L210" i="213"/>
  <c r="EN414" i="216"/>
  <c r="O394" i="216"/>
  <c r="V395" i="216"/>
  <c r="CM394" i="216"/>
  <c r="M30" i="213"/>
  <c r="M134" i="213"/>
  <c r="BR344" i="216"/>
  <c r="BN344" i="216"/>
  <c r="AH176" i="216"/>
  <c r="AG176" i="216" s="1"/>
  <c r="M160" i="213"/>
  <c r="D106" i="213"/>
  <c r="D108" i="213"/>
  <c r="D67" i="213"/>
  <c r="D75" i="213"/>
  <c r="EH198" i="216"/>
  <c r="EZ198" i="216"/>
  <c r="EN198" i="216"/>
  <c r="EM198" i="216" s="1"/>
  <c r="D182" i="213"/>
  <c r="EH197" i="216"/>
  <c r="EZ197" i="216"/>
  <c r="D22" i="213"/>
  <c r="AO417" i="216"/>
  <c r="EZ357" i="216"/>
  <c r="EH357" i="216"/>
  <c r="EI366" i="216"/>
  <c r="K201" i="213"/>
  <c r="EN357" i="216"/>
  <c r="D92" i="213"/>
  <c r="D102" i="213"/>
  <c r="D66" i="213"/>
  <c r="D74" i="213"/>
  <c r="EC82" i="216"/>
  <c r="DV82" i="216"/>
  <c r="DX82" i="216"/>
  <c r="CA394" i="216"/>
  <c r="D49" i="213"/>
  <c r="EK406" i="216"/>
  <c r="EK417" i="216" s="1"/>
  <c r="EJ149" i="216"/>
  <c r="L145" i="213"/>
  <c r="CY136" i="216"/>
  <c r="CR136" i="216"/>
  <c r="CV136" i="216"/>
  <c r="D41" i="213"/>
  <c r="D134" i="213"/>
  <c r="M53" i="213"/>
  <c r="EM26" i="216"/>
  <c r="BS393" i="216"/>
  <c r="M41" i="213"/>
  <c r="M21" i="213"/>
  <c r="M83" i="213"/>
  <c r="DP288" i="216"/>
  <c r="DC394" i="216"/>
  <c r="DB393" i="216"/>
  <c r="DC395" i="216"/>
  <c r="DB395" i="216" s="1"/>
  <c r="DQ393" i="216"/>
  <c r="M84" i="213"/>
  <c r="EN406" i="216"/>
  <c r="K214" i="213"/>
  <c r="CZ82" i="216"/>
  <c r="CY82" i="216" s="1"/>
  <c r="M73" i="213"/>
  <c r="EJ328" i="216"/>
  <c r="L183" i="213"/>
  <c r="L182" i="213" s="1"/>
  <c r="CZ344" i="216"/>
  <c r="CY344" i="216" s="1"/>
  <c r="K43" i="213"/>
  <c r="EZ183" i="216"/>
  <c r="EH183" i="216"/>
  <c r="BW393" i="216"/>
  <c r="EZ119" i="216"/>
  <c r="EH119" i="216"/>
  <c r="EE417" i="216"/>
  <c r="EE419" i="216" s="1"/>
  <c r="CY26" i="216"/>
  <c r="M56" i="213"/>
  <c r="EM141" i="216"/>
  <c r="M39" i="213"/>
  <c r="M57" i="213"/>
  <c r="I135" i="213"/>
  <c r="EN40" i="216"/>
  <c r="L94" i="213"/>
  <c r="I176" i="213"/>
  <c r="BB417" i="216"/>
  <c r="M219" i="213"/>
  <c r="M93" i="213"/>
  <c r="M97" i="213"/>
  <c r="J113" i="213"/>
  <c r="CH83" i="216"/>
  <c r="M162" i="213"/>
  <c r="M155" i="213"/>
  <c r="EZ377" i="216"/>
  <c r="EH377" i="216"/>
  <c r="EJ157" i="216"/>
  <c r="L150" i="213"/>
  <c r="D133" i="213"/>
  <c r="D89" i="213"/>
  <c r="D59" i="213"/>
  <c r="EZ358" i="216"/>
  <c r="EH358" i="216"/>
  <c r="K202" i="213"/>
  <c r="EN358" i="216"/>
  <c r="EM358" i="216" s="1"/>
  <c r="BA197" i="216"/>
  <c r="BB272" i="216"/>
  <c r="BA272" i="216" s="1"/>
  <c r="D60" i="213"/>
  <c r="EZ164" i="216"/>
  <c r="EH164" i="216"/>
  <c r="K156" i="213"/>
  <c r="EN164" i="216"/>
  <c r="EM164" i="216" s="1"/>
  <c r="EH214" i="216"/>
  <c r="EZ214" i="216"/>
  <c r="EJ57" i="216"/>
  <c r="L64" i="213"/>
  <c r="D103" i="213"/>
  <c r="D54" i="213"/>
  <c r="ED407" i="216"/>
  <c r="EC166" i="216"/>
  <c r="EC407" i="216" s="1"/>
  <c r="EK153" i="216"/>
  <c r="EJ153" i="216" s="1"/>
  <c r="AA395" i="216"/>
  <c r="Z395" i="216" s="1"/>
  <c r="Z393" i="216"/>
  <c r="AA394" i="216"/>
  <c r="Z394" i="216" s="1"/>
  <c r="DA394" i="216"/>
  <c r="M112" i="213"/>
  <c r="M67" i="213"/>
  <c r="AJ283" i="216"/>
  <c r="EZ387" i="216"/>
  <c r="EH387" i="216"/>
  <c r="K224" i="213"/>
  <c r="EK82" i="216"/>
  <c r="EF292" i="216"/>
  <c r="EA393" i="216"/>
  <c r="DT176" i="216"/>
  <c r="DS176" i="216" s="1"/>
  <c r="CZ417" i="216"/>
  <c r="BI393" i="216"/>
  <c r="AR82" i="216"/>
  <c r="AQ82" i="216" s="1"/>
  <c r="M157" i="213"/>
  <c r="I120" i="213"/>
  <c r="EJ26" i="216"/>
  <c r="M100" i="213"/>
  <c r="EN153" i="216"/>
  <c r="EN387" i="216"/>
  <c r="M211" i="213"/>
  <c r="M215" i="213"/>
  <c r="N215" i="213" s="1"/>
  <c r="M143" i="213"/>
  <c r="EM136" i="216"/>
  <c r="EN197" i="216"/>
  <c r="EM197" i="216" s="1"/>
  <c r="EF283" i="216"/>
  <c r="DH395" i="216"/>
  <c r="DH394" i="216"/>
  <c r="EF111" i="216"/>
  <c r="M98" i="213"/>
  <c r="D146" i="213"/>
  <c r="D69" i="213"/>
  <c r="D77" i="213"/>
  <c r="EZ64" i="216"/>
  <c r="EH64" i="216"/>
  <c r="K52" i="213"/>
  <c r="EN64" i="216"/>
  <c r="EM64" i="216" s="1"/>
  <c r="BU278" i="216"/>
  <c r="BR278" i="216"/>
  <c r="BN278" i="216"/>
  <c r="BM283" i="216"/>
  <c r="EM58" i="216"/>
  <c r="I65" i="213"/>
  <c r="I86" i="213" s="1"/>
  <c r="EZ58" i="216"/>
  <c r="EF58" i="216"/>
  <c r="EH58" i="216"/>
  <c r="CV82" i="216"/>
  <c r="CW393" i="216"/>
  <c r="BK288" i="216"/>
  <c r="BF288" i="216"/>
  <c r="BH288" i="216"/>
  <c r="EE288" i="216"/>
  <c r="CP82" i="216"/>
  <c r="D68" i="213"/>
  <c r="D76" i="213"/>
  <c r="D53" i="213"/>
  <c r="D163" i="213"/>
  <c r="S393" i="216"/>
  <c r="DN141" i="216"/>
  <c r="BQ393" i="216"/>
  <c r="EZ123" i="216"/>
  <c r="EH123" i="216"/>
  <c r="EI128" i="216"/>
  <c r="K124" i="213"/>
  <c r="AH82" i="216"/>
  <c r="AG82" i="216" s="1"/>
  <c r="M102" i="213"/>
  <c r="M90" i="213"/>
  <c r="J94" i="213"/>
  <c r="W26" i="216"/>
  <c r="EN93" i="216"/>
  <c r="ED272" i="216"/>
  <c r="EC272" i="216" s="1"/>
  <c r="BR366" i="216"/>
  <c r="M164" i="213"/>
  <c r="N164" i="213" s="1"/>
  <c r="M68" i="213"/>
  <c r="I43" i="213"/>
  <c r="DJ82" i="216"/>
  <c r="DI82" i="216" s="1"/>
  <c r="M163" i="213"/>
  <c r="EJ87" i="216"/>
  <c r="BY395" i="216"/>
  <c r="BY394" i="216"/>
  <c r="M49" i="213"/>
  <c r="M151" i="213"/>
  <c r="EM387" i="216"/>
  <c r="I224" i="213"/>
  <c r="CZ283" i="216"/>
  <c r="CY283" i="216" s="1"/>
  <c r="EF387" i="216"/>
  <c r="J224" i="213"/>
  <c r="AH417" i="216"/>
  <c r="M17" i="213"/>
  <c r="ED128" i="216"/>
  <c r="EC128" i="216" s="1"/>
  <c r="DZ82" i="216"/>
  <c r="EF153" i="216"/>
  <c r="M107" i="213"/>
  <c r="EI93" i="216"/>
  <c r="EN157" i="216"/>
  <c r="EM157" i="216" s="1"/>
  <c r="EM131" i="216"/>
  <c r="DT111" i="216"/>
  <c r="DS111" i="216" s="1"/>
  <c r="AR153" i="216"/>
  <c r="AQ153" i="216" s="1"/>
  <c r="M35" i="213"/>
  <c r="M58" i="213"/>
  <c r="BB176" i="216"/>
  <c r="BA176" i="216" s="1"/>
  <c r="CF272" i="216"/>
  <c r="CE272" i="216" s="1"/>
  <c r="M65" i="213"/>
  <c r="D197" i="213"/>
  <c r="D51" i="213"/>
  <c r="M103" i="213"/>
  <c r="D195" i="213"/>
  <c r="D50" i="213"/>
  <c r="BL93" i="216"/>
  <c r="BK93" i="216" s="1"/>
  <c r="BK85" i="216"/>
  <c r="D39" i="213"/>
  <c r="L135" i="213"/>
  <c r="D37" i="213"/>
  <c r="D27" i="213"/>
  <c r="D40" i="213"/>
  <c r="T362" i="216"/>
  <c r="X362" i="216"/>
  <c r="W362" i="216" s="1"/>
  <c r="EK362" i="216"/>
  <c r="U366" i="216"/>
  <c r="DD393" i="216"/>
  <c r="DE395" i="216"/>
  <c r="DD395" i="216" s="1"/>
  <c r="DE394" i="216"/>
  <c r="DD394" i="216" s="1"/>
  <c r="BZ176" i="216"/>
  <c r="EZ139" i="216"/>
  <c r="EH139" i="216"/>
  <c r="EI141" i="216"/>
  <c r="K138" i="213"/>
  <c r="BG393" i="216"/>
  <c r="D145" i="213"/>
  <c r="D162" i="213"/>
  <c r="D160" i="213"/>
  <c r="M66" i="213"/>
  <c r="M82" i="213"/>
  <c r="M149" i="213"/>
  <c r="EM153" i="216"/>
  <c r="CN394" i="216"/>
  <c r="EM40" i="216"/>
  <c r="EE82" i="216"/>
  <c r="EF82" i="216" s="1"/>
  <c r="CI394" i="216"/>
  <c r="M108" i="213"/>
  <c r="AO393" i="216"/>
  <c r="I94" i="213"/>
  <c r="M99" i="213"/>
  <c r="J135" i="213"/>
  <c r="M133" i="213"/>
  <c r="EZ40" i="216"/>
  <c r="EH40" i="216"/>
  <c r="M101" i="213"/>
  <c r="AU395" i="216"/>
  <c r="AT395" i="216" s="1"/>
  <c r="AT393" i="216"/>
  <c r="AU394" i="216"/>
  <c r="AT394" i="216" s="1"/>
  <c r="EN57" i="216"/>
  <c r="EM57" i="216" s="1"/>
  <c r="M38" i="213"/>
  <c r="EN404" i="216"/>
  <c r="BO394" i="216"/>
  <c r="M165" i="213"/>
  <c r="W408" i="216"/>
  <c r="EN283" i="216"/>
  <c r="M25" i="213"/>
  <c r="DK393" i="216"/>
  <c r="DO395" i="216" s="1"/>
  <c r="DN395" i="216" s="1"/>
  <c r="EN111" i="216"/>
  <c r="EM111" i="216" s="1"/>
  <c r="EM96" i="216"/>
  <c r="CK393" i="216"/>
  <c r="J120" i="213"/>
  <c r="M116" i="213"/>
  <c r="AF395" i="216"/>
  <c r="BC393" i="216"/>
  <c r="BE395" i="216" s="1"/>
  <c r="BD395" i="216" s="1"/>
  <c r="AW394" i="216"/>
  <c r="AV394" i="216" s="1"/>
  <c r="AV393" i="216"/>
  <c r="AW395" i="216"/>
  <c r="AV395" i="216" s="1"/>
  <c r="D63" i="213"/>
  <c r="D71" i="213"/>
  <c r="AQ136" i="216"/>
  <c r="AL136" i="216"/>
  <c r="DO394" i="216"/>
  <c r="D125" i="213"/>
  <c r="D144" i="213"/>
  <c r="CJ141" i="216"/>
  <c r="CP141" i="216"/>
  <c r="CO141" i="216" s="1"/>
  <c r="DS141" i="216"/>
  <c r="DL141" i="216"/>
  <c r="D150" i="213"/>
  <c r="D70" i="213"/>
  <c r="D78" i="213"/>
  <c r="D61" i="213"/>
  <c r="CO40" i="216"/>
  <c r="CH40" i="216"/>
  <c r="CG393" i="216"/>
  <c r="CM395" i="216" s="1"/>
  <c r="CL395" i="216" s="1"/>
  <c r="AJ136" i="216"/>
  <c r="EI416" i="216"/>
  <c r="EN416" i="216" s="1"/>
  <c r="EH338" i="216"/>
  <c r="EZ338" i="216"/>
  <c r="D16" i="213"/>
  <c r="D196" i="213"/>
  <c r="X407" i="216"/>
  <c r="X417" i="216" s="1"/>
  <c r="W166" i="216"/>
  <c r="W407" i="216" s="1"/>
  <c r="M15" i="213"/>
  <c r="K31" i="213"/>
  <c r="EZ61" i="216"/>
  <c r="EH61" i="216"/>
  <c r="K51" i="213"/>
  <c r="CB176" i="216"/>
  <c r="CS394" i="216"/>
  <c r="CR394" i="216" s="1"/>
  <c r="CR393" i="216"/>
  <c r="CS395" i="216"/>
  <c r="CR395" i="216" s="1"/>
  <c r="I130" i="213"/>
  <c r="EN338" i="216"/>
  <c r="EM338" i="216" s="1"/>
  <c r="EM416" i="216" s="1"/>
  <c r="EM417" i="216" s="1"/>
  <c r="M208" i="213"/>
  <c r="N208" i="213" s="1"/>
  <c r="AK393" i="216"/>
  <c r="M60" i="213"/>
  <c r="M70" i="213"/>
  <c r="EN288" i="216"/>
  <c r="EF288" i="216"/>
  <c r="J214" i="213"/>
  <c r="J220" i="213" s="1"/>
  <c r="ED417" i="216"/>
  <c r="P22" i="213"/>
  <c r="N22" i="213"/>
  <c r="L113" i="213"/>
  <c r="BV417" i="216"/>
  <c r="M106" i="213"/>
  <c r="EM85" i="216"/>
  <c r="M54" i="213"/>
  <c r="M40" i="213"/>
  <c r="M206" i="213"/>
  <c r="N206" i="213" s="1"/>
  <c r="EI344" i="216"/>
  <c r="AQ26" i="216"/>
  <c r="M144" i="213"/>
  <c r="M42" i="213"/>
  <c r="N42" i="213" s="1"/>
  <c r="BX176" i="216"/>
  <c r="EF272" i="216"/>
  <c r="J176" i="213"/>
  <c r="BP366" i="216"/>
  <c r="EN415" i="216"/>
  <c r="M19" i="213"/>
  <c r="J31" i="213"/>
  <c r="DL288" i="216"/>
  <c r="BN366" i="216"/>
  <c r="CL40" i="216"/>
  <c r="M105" i="213"/>
  <c r="M62" i="213"/>
  <c r="K120" i="213"/>
  <c r="EF188" i="216"/>
  <c r="K220" i="213"/>
  <c r="CX395" i="216"/>
  <c r="CX394" i="216"/>
  <c r="M37" i="213"/>
  <c r="EJ288" i="216"/>
  <c r="L214" i="213"/>
  <c r="EF344" i="216"/>
  <c r="J193" i="213"/>
  <c r="DJ272" i="216"/>
  <c r="DI272" i="216" s="1"/>
  <c r="BL328" i="216"/>
  <c r="BK328" i="216" s="1"/>
  <c r="EH213" i="216"/>
  <c r="EZ213" i="216"/>
  <c r="EN213" i="216"/>
  <c r="EM213" i="216" s="1"/>
  <c r="D15" i="213"/>
  <c r="D105" i="213"/>
  <c r="EC362" i="216"/>
  <c r="DZ362" i="216"/>
  <c r="DX362" i="216"/>
  <c r="DU366" i="216"/>
  <c r="EE362" i="216"/>
  <c r="DT406" i="216"/>
  <c r="DT417" i="216" s="1"/>
  <c r="DS149" i="216"/>
  <c r="DS406" i="216" s="1"/>
  <c r="CU394" i="216"/>
  <c r="CT394" i="216" s="1"/>
  <c r="CT393" i="216"/>
  <c r="CU395" i="216"/>
  <c r="CT395" i="216" s="1"/>
  <c r="M24" i="213"/>
  <c r="D104" i="213"/>
  <c r="D21" i="213"/>
  <c r="EM170" i="216"/>
  <c r="I162" i="213"/>
  <c r="I166" i="213" s="1"/>
  <c r="M218" i="213"/>
  <c r="D158" i="213"/>
  <c r="EJ278" i="216"/>
  <c r="L216" i="213"/>
  <c r="EK283" i="216"/>
  <c r="EJ283" i="216" s="1"/>
  <c r="AX362" i="216"/>
  <c r="BB362" i="216"/>
  <c r="BB366" i="216" s="1"/>
  <c r="BA366" i="216" s="1"/>
  <c r="AY366" i="216"/>
  <c r="CF82" i="216"/>
  <c r="CE82" i="216" s="1"/>
  <c r="CE44" i="216"/>
  <c r="D101" i="213"/>
  <c r="EP136" i="216"/>
  <c r="DZ136" i="216"/>
  <c r="DZ141" i="216"/>
  <c r="EP141" i="216"/>
  <c r="D93" i="213"/>
  <c r="D159" i="213"/>
  <c r="DJ176" i="216"/>
  <c r="DI176" i="216" s="1"/>
  <c r="DI156" i="216"/>
  <c r="M23" i="213"/>
  <c r="D35" i="213"/>
  <c r="EG407" i="216"/>
  <c r="EN407" i="216" s="1"/>
  <c r="EN166" i="216"/>
  <c r="EM166" i="216" s="1"/>
  <c r="EM407" i="216" s="1"/>
  <c r="EF166" i="216"/>
  <c r="J158" i="213"/>
  <c r="EZ26" i="216"/>
  <c r="EH26" i="216"/>
  <c r="M207" i="213"/>
  <c r="N207" i="213" s="1"/>
  <c r="M59" i="213"/>
  <c r="CT136" i="216"/>
  <c r="EZ328" i="216"/>
  <c r="EH328" i="216"/>
  <c r="K183" i="213"/>
  <c r="K182" i="213" s="1"/>
  <c r="M61" i="213"/>
  <c r="J130" i="213"/>
  <c r="M124" i="213"/>
  <c r="BD288" i="216"/>
  <c r="EN412" i="216"/>
  <c r="L43" i="213"/>
  <c r="M75" i="213"/>
  <c r="EE176" i="216"/>
  <c r="M50" i="213"/>
  <c r="M145" i="213"/>
  <c r="EJ272" i="216"/>
  <c r="L176" i="213"/>
  <c r="EG393" i="216"/>
  <c r="EF26" i="216"/>
  <c r="DY394" i="216"/>
  <c r="EE93" i="216"/>
  <c r="EJ93" i="216" s="1"/>
  <c r="M104" i="213"/>
  <c r="X93" i="216"/>
  <c r="W93" i="216" s="1"/>
  <c r="BJ394" i="216"/>
  <c r="AI393" i="216"/>
  <c r="BL272" i="216"/>
  <c r="BK272" i="216" s="1"/>
  <c r="EN183" i="216"/>
  <c r="M79" i="213"/>
  <c r="M125" i="213"/>
  <c r="EH292" i="216"/>
  <c r="EI82" i="216"/>
  <c r="CC393" i="216"/>
  <c r="CD2" i="216"/>
  <c r="CE93" i="216"/>
  <c r="EH170" i="216"/>
  <c r="M55" i="213"/>
  <c r="J43" i="213"/>
  <c r="M34" i="213"/>
  <c r="M153" i="213"/>
  <c r="EL417" i="216"/>
  <c r="BV141" i="216"/>
  <c r="BU141" i="216" s="1"/>
  <c r="DS26" i="216"/>
  <c r="EN119" i="216"/>
  <c r="EM119" i="216" s="1"/>
  <c r="AR283" i="216"/>
  <c r="AQ283" i="216" s="1"/>
  <c r="EN411" i="216"/>
  <c r="EN65" i="216"/>
  <c r="EM65" i="216" s="1"/>
  <c r="G30" i="208"/>
  <c r="K29" i="208"/>
  <c r="P29" i="208" s="1"/>
  <c r="Q29" i="208" s="1"/>
  <c r="H35" i="208"/>
  <c r="H36" i="208" s="1"/>
  <c r="H37" i="208" s="1"/>
  <c r="H34" i="208"/>
  <c r="I35" i="208"/>
  <c r="I36" i="208" s="1"/>
  <c r="I37" i="208" s="1"/>
  <c r="I34" i="208"/>
  <c r="F18" i="112"/>
  <c r="I41" i="176"/>
  <c r="I46" i="175"/>
  <c r="I42" i="175"/>
  <c r="I40" i="175"/>
  <c r="I39" i="175"/>
  <c r="I38" i="175"/>
  <c r="I36" i="175"/>
  <c r="I34" i="175"/>
  <c r="I26" i="175"/>
  <c r="I24" i="175"/>
  <c r="I20" i="175"/>
  <c r="I18" i="175"/>
  <c r="I16" i="175"/>
  <c r="I15" i="175"/>
  <c r="I12" i="175"/>
  <c r="I11" i="175"/>
  <c r="D167" i="172"/>
  <c r="D165" i="172"/>
  <c r="D166" i="172" s="1"/>
  <c r="D158" i="172"/>
  <c r="D149" i="172"/>
  <c r="D147" i="172"/>
  <c r="D148" i="172" s="1"/>
  <c r="D129" i="172"/>
  <c r="D130" i="172" s="1"/>
  <c r="D122" i="172"/>
  <c r="D95" i="172"/>
  <c r="D86" i="172"/>
  <c r="D50" i="172"/>
  <c r="E19" i="176"/>
  <c r="L9" i="34"/>
  <c r="F124" i="180"/>
  <c r="D124" i="180"/>
  <c r="C124" i="180"/>
  <c r="B124" i="180"/>
  <c r="F123" i="180"/>
  <c r="D123" i="180"/>
  <c r="C123" i="180"/>
  <c r="B123" i="180"/>
  <c r="F122" i="180"/>
  <c r="D122" i="180"/>
  <c r="C122" i="180"/>
  <c r="B122" i="180"/>
  <c r="F121" i="180"/>
  <c r="D121" i="180"/>
  <c r="C121" i="180"/>
  <c r="F120" i="180"/>
  <c r="D120" i="180"/>
  <c r="C120" i="180"/>
  <c r="B120" i="180"/>
  <c r="F119" i="180"/>
  <c r="D119" i="180"/>
  <c r="C119" i="180"/>
  <c r="B119" i="180"/>
  <c r="F118" i="180"/>
  <c r="D118" i="180"/>
  <c r="C118" i="180"/>
  <c r="B118" i="180"/>
  <c r="F117" i="180"/>
  <c r="D117" i="180"/>
  <c r="C117" i="180"/>
  <c r="B117" i="180"/>
  <c r="F116" i="180"/>
  <c r="D116" i="180"/>
  <c r="C116" i="180"/>
  <c r="B116" i="180"/>
  <c r="F115" i="180"/>
  <c r="D115" i="180"/>
  <c r="C115" i="180"/>
  <c r="F114" i="180"/>
  <c r="D114" i="180"/>
  <c r="C114" i="180"/>
  <c r="B114" i="180"/>
  <c r="F113" i="180"/>
  <c r="D113" i="180"/>
  <c r="C113" i="180"/>
  <c r="B113" i="180"/>
  <c r="F112" i="180"/>
  <c r="D112" i="180"/>
  <c r="C112" i="180"/>
  <c r="B112" i="180"/>
  <c r="F111" i="180"/>
  <c r="D111" i="180"/>
  <c r="C111" i="180"/>
  <c r="B111" i="180"/>
  <c r="F110" i="180"/>
  <c r="D110" i="180"/>
  <c r="C110" i="180"/>
  <c r="B110" i="180"/>
  <c r="F109" i="180"/>
  <c r="D109" i="180"/>
  <c r="C109" i="180"/>
  <c r="F108" i="180"/>
  <c r="D108" i="180"/>
  <c r="C108" i="180"/>
  <c r="B108" i="180"/>
  <c r="F107" i="180"/>
  <c r="D107" i="180"/>
  <c r="C107" i="180"/>
  <c r="B107" i="180"/>
  <c r="F106" i="180"/>
  <c r="D106" i="180"/>
  <c r="C106" i="180"/>
  <c r="B106" i="180"/>
  <c r="F105" i="180"/>
  <c r="D105" i="180"/>
  <c r="C105" i="180"/>
  <c r="B105" i="180"/>
  <c r="F104" i="180"/>
  <c r="D104" i="180"/>
  <c r="C104" i="180"/>
  <c r="B104" i="180"/>
  <c r="F103" i="180"/>
  <c r="D103" i="180"/>
  <c r="C103" i="180"/>
  <c r="B103" i="180"/>
  <c r="F102" i="180"/>
  <c r="D102" i="180"/>
  <c r="C102" i="180"/>
  <c r="B102" i="180"/>
  <c r="F101" i="180"/>
  <c r="D101" i="180"/>
  <c r="C101" i="180"/>
  <c r="F100" i="180"/>
  <c r="D100" i="180"/>
  <c r="C100" i="180"/>
  <c r="B100" i="180"/>
  <c r="F99" i="180"/>
  <c r="D99" i="180"/>
  <c r="C99" i="180"/>
  <c r="B99" i="180"/>
  <c r="F98" i="180"/>
  <c r="D98" i="180"/>
  <c r="C98" i="180"/>
  <c r="B98" i="180"/>
  <c r="F97" i="180"/>
  <c r="D97" i="180"/>
  <c r="C97" i="180"/>
  <c r="B97" i="180"/>
  <c r="F96" i="180"/>
  <c r="D96" i="180"/>
  <c r="C96" i="180"/>
  <c r="B96" i="180"/>
  <c r="F95" i="180"/>
  <c r="D95" i="180"/>
  <c r="C95" i="180"/>
  <c r="B95" i="180"/>
  <c r="F94" i="180"/>
  <c r="D94" i="180"/>
  <c r="C94" i="180"/>
  <c r="B94" i="180"/>
  <c r="F93" i="180"/>
  <c r="D93" i="180"/>
  <c r="C93" i="180"/>
  <c r="B93" i="180"/>
  <c r="F92" i="180"/>
  <c r="D92" i="180"/>
  <c r="C92" i="180"/>
  <c r="F91" i="180"/>
  <c r="D91" i="180"/>
  <c r="C91" i="180"/>
  <c r="B91" i="180"/>
  <c r="F90" i="180"/>
  <c r="D90" i="180"/>
  <c r="C90" i="180"/>
  <c r="B90" i="180"/>
  <c r="F89" i="180"/>
  <c r="D89" i="180"/>
  <c r="C89" i="180"/>
  <c r="B89" i="180"/>
  <c r="F88" i="180"/>
  <c r="D88" i="180"/>
  <c r="C88" i="180"/>
  <c r="B88" i="180"/>
  <c r="F87" i="180"/>
  <c r="D87" i="180"/>
  <c r="C87" i="180"/>
  <c r="B87" i="180"/>
  <c r="F86" i="180"/>
  <c r="D86" i="180"/>
  <c r="C86" i="180"/>
  <c r="B86" i="180"/>
  <c r="F85" i="180"/>
  <c r="D85" i="180"/>
  <c r="C85" i="180"/>
  <c r="B85" i="180"/>
  <c r="F84" i="180"/>
  <c r="D84" i="180"/>
  <c r="C84" i="180"/>
  <c r="B84" i="180"/>
  <c r="F83" i="180"/>
  <c r="D83" i="180"/>
  <c r="C83" i="180"/>
  <c r="F82" i="180"/>
  <c r="D82" i="180"/>
  <c r="C82" i="180"/>
  <c r="B82" i="180"/>
  <c r="F81" i="180"/>
  <c r="D81" i="180"/>
  <c r="C81" i="180"/>
  <c r="B81" i="180"/>
  <c r="F80" i="180"/>
  <c r="D80" i="180"/>
  <c r="C80" i="180"/>
  <c r="F79" i="180"/>
  <c r="D79" i="180"/>
  <c r="C79" i="180"/>
  <c r="B79" i="180"/>
  <c r="F78" i="180"/>
  <c r="D78" i="180"/>
  <c r="C78" i="180"/>
  <c r="B78" i="180"/>
  <c r="F77" i="180"/>
  <c r="D77" i="180"/>
  <c r="C77" i="180"/>
  <c r="B77" i="180"/>
  <c r="F76" i="180"/>
  <c r="D76" i="180"/>
  <c r="C76" i="180"/>
  <c r="B76" i="180"/>
  <c r="F75" i="180"/>
  <c r="D75" i="180"/>
  <c r="C75" i="180"/>
  <c r="B75" i="180"/>
  <c r="F74" i="180"/>
  <c r="D74" i="180"/>
  <c r="C74" i="180"/>
  <c r="B74" i="180"/>
  <c r="F73" i="180"/>
  <c r="D73" i="180"/>
  <c r="C73" i="180"/>
  <c r="B73" i="180"/>
  <c r="F72" i="180"/>
  <c r="D72" i="180"/>
  <c r="C72" i="180"/>
  <c r="B72" i="180"/>
  <c r="F71" i="180"/>
  <c r="D71" i="180"/>
  <c r="C71" i="180"/>
  <c r="F70" i="180"/>
  <c r="D70" i="180"/>
  <c r="C70" i="180"/>
  <c r="B70" i="180"/>
  <c r="F69" i="180"/>
  <c r="D69" i="180"/>
  <c r="C69" i="180"/>
  <c r="B69" i="180"/>
  <c r="F68" i="180"/>
  <c r="D68" i="180"/>
  <c r="C68" i="180"/>
  <c r="B68" i="180"/>
  <c r="F67" i="180"/>
  <c r="D67" i="180"/>
  <c r="C67" i="180"/>
  <c r="B67" i="180"/>
  <c r="F66" i="180"/>
  <c r="D66" i="180"/>
  <c r="C66" i="180"/>
  <c r="B66" i="180"/>
  <c r="F65" i="180"/>
  <c r="D65" i="180"/>
  <c r="C65" i="180"/>
  <c r="B65" i="180"/>
  <c r="F64" i="180"/>
  <c r="D64" i="180"/>
  <c r="C64" i="180"/>
  <c r="B64" i="180"/>
  <c r="F63" i="180"/>
  <c r="D63" i="180"/>
  <c r="C63" i="180"/>
  <c r="F62" i="180"/>
  <c r="D62" i="180"/>
  <c r="C62" i="180"/>
  <c r="B62" i="180"/>
  <c r="F61" i="180"/>
  <c r="D61" i="180"/>
  <c r="C61" i="180"/>
  <c r="B61" i="180"/>
  <c r="F60" i="180"/>
  <c r="D60" i="180"/>
  <c r="C60" i="180"/>
  <c r="B60" i="180"/>
  <c r="F59" i="180"/>
  <c r="D59" i="180"/>
  <c r="C59" i="180"/>
  <c r="B59" i="180"/>
  <c r="F58" i="180"/>
  <c r="D58" i="180"/>
  <c r="C58" i="180"/>
  <c r="B58" i="180"/>
  <c r="F57" i="180"/>
  <c r="D57" i="180"/>
  <c r="C57" i="180"/>
  <c r="B57" i="180"/>
  <c r="F56" i="180"/>
  <c r="D56" i="180"/>
  <c r="C56" i="180"/>
  <c r="B56" i="180"/>
  <c r="F55" i="180"/>
  <c r="D55" i="180"/>
  <c r="C55" i="180"/>
  <c r="B55" i="180"/>
  <c r="F54" i="180"/>
  <c r="D54" i="180"/>
  <c r="C54" i="180"/>
  <c r="B54" i="180"/>
  <c r="F53" i="180"/>
  <c r="D53" i="180"/>
  <c r="C53" i="180"/>
  <c r="B53" i="180"/>
  <c r="F52" i="180"/>
  <c r="D52" i="180"/>
  <c r="C52" i="180"/>
  <c r="F51" i="180"/>
  <c r="D51" i="180"/>
  <c r="C51" i="180"/>
  <c r="B51" i="180"/>
  <c r="F50" i="180"/>
  <c r="D50" i="180"/>
  <c r="C50" i="180"/>
  <c r="B50" i="180"/>
  <c r="F49" i="180"/>
  <c r="D49" i="180"/>
  <c r="C49" i="180"/>
  <c r="B49" i="180"/>
  <c r="F48" i="180"/>
  <c r="D48" i="180"/>
  <c r="C48" i="180"/>
  <c r="B48" i="180"/>
  <c r="F47" i="180"/>
  <c r="D47" i="180"/>
  <c r="C47" i="180"/>
  <c r="F46" i="180"/>
  <c r="D46" i="180"/>
  <c r="C46" i="180"/>
  <c r="B46" i="180"/>
  <c r="F45" i="180"/>
  <c r="D45" i="180"/>
  <c r="C45" i="180"/>
  <c r="B45" i="180"/>
  <c r="F44" i="180"/>
  <c r="D44" i="180"/>
  <c r="C44" i="180"/>
  <c r="B44" i="180"/>
  <c r="F43" i="180"/>
  <c r="D43" i="180"/>
  <c r="C43" i="180"/>
  <c r="B43" i="180"/>
  <c r="F42" i="180"/>
  <c r="D42" i="180"/>
  <c r="C42" i="180"/>
  <c r="B42" i="180"/>
  <c r="F41" i="180"/>
  <c r="D41" i="180"/>
  <c r="C41" i="180"/>
  <c r="B41" i="180"/>
  <c r="F40" i="180"/>
  <c r="D40" i="180"/>
  <c r="C40" i="180"/>
  <c r="B40" i="180"/>
  <c r="F39" i="180"/>
  <c r="D39" i="180"/>
  <c r="C39" i="180"/>
  <c r="F38" i="180"/>
  <c r="D38" i="180"/>
  <c r="C38" i="180"/>
  <c r="B38" i="180"/>
  <c r="F37" i="180"/>
  <c r="D37" i="180"/>
  <c r="C37" i="180"/>
  <c r="B37" i="180"/>
  <c r="F36" i="180"/>
  <c r="D36" i="180"/>
  <c r="C36" i="180"/>
  <c r="B36" i="180"/>
  <c r="F35" i="180"/>
  <c r="D35" i="180"/>
  <c r="C35" i="180"/>
  <c r="B35" i="180"/>
  <c r="F34" i="180"/>
  <c r="D34" i="180"/>
  <c r="C34" i="180"/>
  <c r="F33" i="180"/>
  <c r="D33" i="180"/>
  <c r="C33" i="180"/>
  <c r="B33" i="180"/>
  <c r="F32" i="180"/>
  <c r="D32" i="180"/>
  <c r="C32" i="180"/>
  <c r="B32" i="180"/>
  <c r="F31" i="180"/>
  <c r="D31" i="180"/>
  <c r="C31" i="180"/>
  <c r="B31" i="180"/>
  <c r="F30" i="180"/>
  <c r="D30" i="180"/>
  <c r="C30" i="180"/>
  <c r="B30" i="180"/>
  <c r="F29" i="180"/>
  <c r="D29" i="180"/>
  <c r="C29" i="180"/>
  <c r="B29" i="180"/>
  <c r="F28" i="180"/>
  <c r="D28" i="180"/>
  <c r="C28" i="180"/>
  <c r="B28" i="180"/>
  <c r="F27" i="180"/>
  <c r="D27" i="180"/>
  <c r="C27" i="180"/>
  <c r="B27" i="180"/>
  <c r="F26" i="180"/>
  <c r="D26" i="180"/>
  <c r="C26" i="180"/>
  <c r="B26" i="180"/>
  <c r="F25" i="180"/>
  <c r="D25" i="180"/>
  <c r="C25" i="180"/>
  <c r="B25" i="180"/>
  <c r="F24" i="180"/>
  <c r="D24" i="180"/>
  <c r="C24" i="180"/>
  <c r="B24" i="180"/>
  <c r="F23" i="180"/>
  <c r="D23" i="180"/>
  <c r="C23" i="180"/>
  <c r="F22" i="180"/>
  <c r="D22" i="180"/>
  <c r="C22" i="180"/>
  <c r="B22" i="180"/>
  <c r="F21" i="180"/>
  <c r="D21" i="180"/>
  <c r="C21" i="180"/>
  <c r="B21" i="180"/>
  <c r="F20" i="180"/>
  <c r="D20" i="180"/>
  <c r="C20" i="180"/>
  <c r="B20" i="180"/>
  <c r="F19" i="180"/>
  <c r="D19" i="180"/>
  <c r="C19" i="180"/>
  <c r="B19" i="180"/>
  <c r="F18" i="180"/>
  <c r="D18" i="180"/>
  <c r="C18" i="180"/>
  <c r="B18" i="180"/>
  <c r="F17" i="180"/>
  <c r="D17" i="180"/>
  <c r="C17" i="180"/>
  <c r="B17" i="180"/>
  <c r="F16" i="180"/>
  <c r="D16" i="180"/>
  <c r="C16" i="180"/>
  <c r="F15" i="180"/>
  <c r="D15" i="180"/>
  <c r="C15" i="180"/>
  <c r="B15" i="180"/>
  <c r="F14" i="180"/>
  <c r="D14" i="180"/>
  <c r="C14" i="180"/>
  <c r="B14" i="180"/>
  <c r="F13" i="180"/>
  <c r="D13" i="180"/>
  <c r="C13" i="180"/>
  <c r="B13" i="180"/>
  <c r="F12" i="180"/>
  <c r="D12" i="180"/>
  <c r="C12" i="180"/>
  <c r="B12" i="180"/>
  <c r="F11" i="180"/>
  <c r="D11" i="180"/>
  <c r="C11" i="180"/>
  <c r="B11" i="180"/>
  <c r="F10" i="180"/>
  <c r="D10" i="180"/>
  <c r="C10" i="180"/>
  <c r="B10" i="180"/>
  <c r="H9" i="2"/>
  <c r="P124" i="180"/>
  <c r="R124" i="180"/>
  <c r="R123" i="180"/>
  <c r="P123" i="180"/>
  <c r="R122" i="180"/>
  <c r="P122" i="180"/>
  <c r="R121" i="180"/>
  <c r="R120" i="180"/>
  <c r="P120" i="180"/>
  <c r="R119" i="180"/>
  <c r="P119" i="180"/>
  <c r="R118" i="180"/>
  <c r="P118" i="180"/>
  <c r="R117" i="180"/>
  <c r="P117" i="180"/>
  <c r="R116" i="180"/>
  <c r="P116" i="180"/>
  <c r="R115" i="180"/>
  <c r="R114" i="180"/>
  <c r="P114" i="180"/>
  <c r="R113" i="180"/>
  <c r="P113" i="180"/>
  <c r="R112" i="180"/>
  <c r="P112" i="180"/>
  <c r="R111" i="180"/>
  <c r="P111" i="180"/>
  <c r="R110" i="180"/>
  <c r="P110" i="180"/>
  <c r="R109" i="180"/>
  <c r="R108" i="180"/>
  <c r="P108" i="180"/>
  <c r="R107" i="180"/>
  <c r="P107" i="180"/>
  <c r="R106" i="180"/>
  <c r="P106" i="180"/>
  <c r="R105" i="180"/>
  <c r="P105" i="180"/>
  <c r="R104" i="180"/>
  <c r="P104" i="180"/>
  <c r="R103" i="180"/>
  <c r="P103" i="180"/>
  <c r="R102" i="180"/>
  <c r="P102" i="180"/>
  <c r="R101" i="180"/>
  <c r="R100" i="180"/>
  <c r="P100" i="180"/>
  <c r="R99" i="180"/>
  <c r="P99" i="180"/>
  <c r="R98" i="180"/>
  <c r="P98" i="180"/>
  <c r="R97" i="180"/>
  <c r="P97" i="180"/>
  <c r="R96" i="180"/>
  <c r="P96" i="180"/>
  <c r="R95" i="180"/>
  <c r="P95" i="180"/>
  <c r="R94" i="180"/>
  <c r="P94" i="180"/>
  <c r="R93" i="180"/>
  <c r="P93" i="180"/>
  <c r="R92" i="180"/>
  <c r="R91" i="180"/>
  <c r="P91" i="180"/>
  <c r="R90" i="180"/>
  <c r="P90" i="180"/>
  <c r="R89" i="180"/>
  <c r="P89" i="180"/>
  <c r="R88" i="180"/>
  <c r="P88" i="180"/>
  <c r="R87" i="180"/>
  <c r="P87" i="180"/>
  <c r="R86" i="180"/>
  <c r="P86" i="180"/>
  <c r="R85" i="180"/>
  <c r="P85" i="180"/>
  <c r="R84" i="180"/>
  <c r="P84" i="180"/>
  <c r="R83" i="180"/>
  <c r="R82" i="180"/>
  <c r="P82" i="180"/>
  <c r="R81" i="180"/>
  <c r="P81" i="180"/>
  <c r="R80" i="180"/>
  <c r="R79" i="180"/>
  <c r="P79" i="180"/>
  <c r="R78" i="180"/>
  <c r="P78" i="180"/>
  <c r="R77" i="180"/>
  <c r="P77" i="180"/>
  <c r="R76" i="180"/>
  <c r="P76" i="180"/>
  <c r="R75" i="180"/>
  <c r="P75" i="180"/>
  <c r="R74" i="180"/>
  <c r="P74" i="180"/>
  <c r="R73" i="180"/>
  <c r="P73" i="180"/>
  <c r="R72" i="180"/>
  <c r="P72" i="180"/>
  <c r="R71" i="180"/>
  <c r="R70" i="180"/>
  <c r="P70" i="180"/>
  <c r="R69" i="180"/>
  <c r="P69" i="180"/>
  <c r="R68" i="180"/>
  <c r="P68" i="180"/>
  <c r="R67" i="180"/>
  <c r="P67" i="180"/>
  <c r="R66" i="180"/>
  <c r="P66" i="180"/>
  <c r="R65" i="180"/>
  <c r="P65" i="180"/>
  <c r="R64" i="180"/>
  <c r="P64" i="180"/>
  <c r="R63" i="180"/>
  <c r="R62" i="180"/>
  <c r="P62" i="180"/>
  <c r="R61" i="180"/>
  <c r="P61" i="180"/>
  <c r="R60" i="180"/>
  <c r="P60" i="180"/>
  <c r="R59" i="180"/>
  <c r="P59" i="180"/>
  <c r="R58" i="180"/>
  <c r="P58" i="180"/>
  <c r="R57" i="180"/>
  <c r="P57" i="180"/>
  <c r="R56" i="180"/>
  <c r="P56" i="180"/>
  <c r="R55" i="180"/>
  <c r="P55" i="180"/>
  <c r="R54" i="180"/>
  <c r="P54" i="180"/>
  <c r="R53" i="180"/>
  <c r="P53" i="180"/>
  <c r="R52" i="180"/>
  <c r="R51" i="180"/>
  <c r="P51" i="180"/>
  <c r="R50" i="180"/>
  <c r="P50" i="180"/>
  <c r="R49" i="180"/>
  <c r="P49" i="180"/>
  <c r="R48" i="180"/>
  <c r="P48" i="180"/>
  <c r="R47" i="180"/>
  <c r="R46" i="180"/>
  <c r="P46" i="180"/>
  <c r="R45" i="180"/>
  <c r="P45" i="180"/>
  <c r="R44" i="180"/>
  <c r="P44" i="180"/>
  <c r="R43" i="180"/>
  <c r="P43" i="180"/>
  <c r="R42" i="180"/>
  <c r="P42" i="180"/>
  <c r="R41" i="180"/>
  <c r="P41" i="180"/>
  <c r="R40" i="180"/>
  <c r="P40" i="180"/>
  <c r="R39" i="180"/>
  <c r="R38" i="180"/>
  <c r="P38" i="180"/>
  <c r="R37" i="180"/>
  <c r="P37" i="180"/>
  <c r="R36" i="180"/>
  <c r="P36" i="180"/>
  <c r="R35" i="180"/>
  <c r="P35" i="180"/>
  <c r="R34" i="180"/>
  <c r="R33" i="180"/>
  <c r="P33" i="180"/>
  <c r="R32" i="180"/>
  <c r="P32" i="180"/>
  <c r="R31" i="180"/>
  <c r="P31" i="180"/>
  <c r="R30" i="180"/>
  <c r="P30" i="180"/>
  <c r="R29" i="180"/>
  <c r="P29" i="180"/>
  <c r="R28" i="180"/>
  <c r="P28" i="180"/>
  <c r="R27" i="180"/>
  <c r="P27" i="180"/>
  <c r="R26" i="180"/>
  <c r="P26" i="180"/>
  <c r="R25" i="180"/>
  <c r="P25" i="180"/>
  <c r="R24" i="180"/>
  <c r="P24" i="180"/>
  <c r="R23" i="180"/>
  <c r="R22" i="180"/>
  <c r="P22" i="180"/>
  <c r="R21" i="180"/>
  <c r="P21" i="180"/>
  <c r="R20" i="180"/>
  <c r="P20" i="180"/>
  <c r="R19" i="180"/>
  <c r="P19" i="180"/>
  <c r="R18" i="180"/>
  <c r="P18" i="180"/>
  <c r="R17" i="180"/>
  <c r="P17" i="180"/>
  <c r="R16" i="180"/>
  <c r="R15" i="180"/>
  <c r="P15" i="180"/>
  <c r="R14" i="180"/>
  <c r="P14" i="180"/>
  <c r="R13" i="180"/>
  <c r="P13" i="180"/>
  <c r="R12" i="180"/>
  <c r="P12" i="180"/>
  <c r="R11" i="180"/>
  <c r="P11" i="180"/>
  <c r="R10" i="180"/>
  <c r="P10" i="180"/>
  <c r="E29" i="176"/>
  <c r="E12" i="177"/>
  <c r="K19" i="173"/>
  <c r="L10" i="34"/>
  <c r="H16" i="172"/>
  <c r="I16" i="172" s="1"/>
  <c r="G15" i="127"/>
  <c r="F15" i="127"/>
  <c r="G11" i="127"/>
  <c r="F11" i="127"/>
  <c r="I6" i="262" l="1"/>
  <c r="D17" i="262"/>
  <c r="J12" i="262"/>
  <c r="D25" i="263"/>
  <c r="D21" i="263"/>
  <c r="D22" i="263" s="1"/>
  <c r="D26" i="263" s="1"/>
  <c r="E25" i="263"/>
  <c r="E21" i="263"/>
  <c r="E22" i="263" s="1"/>
  <c r="E26" i="263" s="1"/>
  <c r="EM161" i="253"/>
  <c r="EP161" i="253"/>
  <c r="EO161" i="253"/>
  <c r="EN211" i="253"/>
  <c r="F25" i="263"/>
  <c r="F21" i="263"/>
  <c r="F22" i="263" s="1"/>
  <c r="F26" i="263" s="1"/>
  <c r="AP237" i="257"/>
  <c r="AQ173" i="257"/>
  <c r="G25" i="263"/>
  <c r="G21" i="263"/>
  <c r="G22" i="263" s="1"/>
  <c r="G26" i="263" s="1"/>
  <c r="H25" i="263"/>
  <c r="H21" i="263"/>
  <c r="H22" i="263" s="1"/>
  <c r="H26" i="263" s="1"/>
  <c r="I25" i="263"/>
  <c r="I21" i="263"/>
  <c r="I22" i="263" s="1"/>
  <c r="I26" i="263" s="1"/>
  <c r="DB394" i="216"/>
  <c r="BJ395" i="216"/>
  <c r="DN393" i="216"/>
  <c r="M64" i="213"/>
  <c r="CI395" i="216"/>
  <c r="CH395" i="216" s="1"/>
  <c r="L86" i="213"/>
  <c r="N20" i="213"/>
  <c r="P20" i="213"/>
  <c r="W417" i="216"/>
  <c r="P154" i="213"/>
  <c r="N154" i="213"/>
  <c r="EI393" i="216"/>
  <c r="EI394" i="216" s="1"/>
  <c r="BV393" i="216"/>
  <c r="P50" i="213"/>
  <c r="N50" i="213"/>
  <c r="BG395" i="216"/>
  <c r="BF395" i="216" s="1"/>
  <c r="BG394" i="216"/>
  <c r="BF393" i="216"/>
  <c r="P107" i="213"/>
  <c r="N107" i="213"/>
  <c r="N68" i="213"/>
  <c r="P68" i="213"/>
  <c r="M51" i="213"/>
  <c r="EJ82" i="216"/>
  <c r="M202" i="213"/>
  <c r="N202" i="213" s="1"/>
  <c r="BW394" i="216"/>
  <c r="CD395" i="216"/>
  <c r="EM357" i="216"/>
  <c r="P134" i="213"/>
  <c r="N134" i="213"/>
  <c r="P63" i="213"/>
  <c r="N63" i="213"/>
  <c r="P119" i="213"/>
  <c r="N119" i="213"/>
  <c r="P92" i="213"/>
  <c r="N92" i="213"/>
  <c r="BB393" i="216"/>
  <c r="EM328" i="216"/>
  <c r="I183" i="213"/>
  <c r="I182" i="213" s="1"/>
  <c r="EF328" i="216"/>
  <c r="N77" i="213"/>
  <c r="P77" i="213"/>
  <c r="DR395" i="216"/>
  <c r="AI394" i="216"/>
  <c r="AP395" i="216"/>
  <c r="P149" i="213"/>
  <c r="N149" i="213"/>
  <c r="M52" i="213"/>
  <c r="EJ362" i="216"/>
  <c r="L205" i="213"/>
  <c r="EN362" i="216"/>
  <c r="EN366" i="216" s="1"/>
  <c r="EK366" i="216"/>
  <c r="EK393" i="216" s="1"/>
  <c r="M201" i="213"/>
  <c r="N201" i="213" s="1"/>
  <c r="DM395" i="216"/>
  <c r="DL395" i="216" s="1"/>
  <c r="DI40" i="216"/>
  <c r="DJ393" i="216"/>
  <c r="EI417" i="216"/>
  <c r="X366" i="216"/>
  <c r="P159" i="213"/>
  <c r="N159" i="213"/>
  <c r="BD393" i="216"/>
  <c r="P66" i="213"/>
  <c r="N66" i="213"/>
  <c r="P49" i="213"/>
  <c r="N49" i="213"/>
  <c r="BU283" i="216"/>
  <c r="BR283" i="216"/>
  <c r="BM393" i="216"/>
  <c r="BP283" i="216"/>
  <c r="BN283" i="216"/>
  <c r="P24" i="213"/>
  <c r="N24" i="213"/>
  <c r="I178" i="213"/>
  <c r="P125" i="213"/>
  <c r="N125" i="213"/>
  <c r="EM362" i="216"/>
  <c r="I205" i="213"/>
  <c r="EF362" i="216"/>
  <c r="EZ362" i="216"/>
  <c r="EH362" i="216"/>
  <c r="EE366" i="216"/>
  <c r="J178" i="213"/>
  <c r="M176" i="213"/>
  <c r="N54" i="213"/>
  <c r="P54" i="213"/>
  <c r="P116" i="213"/>
  <c r="N116" i="213"/>
  <c r="M120" i="213"/>
  <c r="CJ393" i="216"/>
  <c r="CK395" i="216"/>
  <c r="CJ395" i="216" s="1"/>
  <c r="CK394" i="216"/>
  <c r="M135" i="213"/>
  <c r="P133" i="213"/>
  <c r="N133" i="213"/>
  <c r="AN393" i="216"/>
  <c r="AO394" i="216"/>
  <c r="AO395" i="216"/>
  <c r="AN395" i="216" s="1"/>
  <c r="AH393" i="216"/>
  <c r="EM288" i="216"/>
  <c r="I214" i="213"/>
  <c r="N98" i="213"/>
  <c r="P98" i="213"/>
  <c r="M150" i="213"/>
  <c r="N84" i="213"/>
  <c r="P84" i="213"/>
  <c r="EZ366" i="216"/>
  <c r="EH366" i="216"/>
  <c r="P72" i="213"/>
  <c r="N72" i="213"/>
  <c r="P161" i="213"/>
  <c r="N161" i="213"/>
  <c r="I168" i="213"/>
  <c r="AR393" i="216"/>
  <c r="EJ176" i="216"/>
  <c r="BV394" i="216"/>
  <c r="BU395" i="216"/>
  <c r="P64" i="213"/>
  <c r="N64" i="213"/>
  <c r="P93" i="213"/>
  <c r="N93" i="213"/>
  <c r="P145" i="213"/>
  <c r="N145" i="213"/>
  <c r="N75" i="213"/>
  <c r="P75" i="213"/>
  <c r="M130" i="213"/>
  <c r="N124" i="213"/>
  <c r="P124" i="213"/>
  <c r="EC366" i="216"/>
  <c r="DV366" i="216"/>
  <c r="DZ366" i="216"/>
  <c r="DX366" i="216"/>
  <c r="L220" i="213"/>
  <c r="AK395" i="216"/>
  <c r="AJ393" i="216"/>
  <c r="AK394" i="216"/>
  <c r="CG394" i="216"/>
  <c r="CH394" i="216" s="1"/>
  <c r="BC394" i="216"/>
  <c r="BD394" i="216" s="1"/>
  <c r="P108" i="213"/>
  <c r="N108" i="213"/>
  <c r="P82" i="213"/>
  <c r="N82" i="213"/>
  <c r="EZ141" i="216"/>
  <c r="EH141" i="216"/>
  <c r="P35" i="213"/>
  <c r="N35" i="213"/>
  <c r="P90" i="213"/>
  <c r="N90" i="213"/>
  <c r="CP83" i="216"/>
  <c r="CO83" i="216" s="1"/>
  <c r="CP393" i="216"/>
  <c r="CO82" i="216"/>
  <c r="BI394" i="216"/>
  <c r="BH393" i="216"/>
  <c r="BI395" i="216"/>
  <c r="BH395" i="216" s="1"/>
  <c r="EN176" i="216"/>
  <c r="EM176" i="216" s="1"/>
  <c r="P162" i="213"/>
  <c r="N162" i="213"/>
  <c r="N39" i="213"/>
  <c r="P39" i="213"/>
  <c r="N21" i="213"/>
  <c r="P21" i="213"/>
  <c r="BS394" i="216"/>
  <c r="BR393" i="216"/>
  <c r="BS395" i="216"/>
  <c r="BR395" i="216" s="1"/>
  <c r="BZ394" i="216"/>
  <c r="P30" i="213"/>
  <c r="N30" i="213"/>
  <c r="N126" i="213"/>
  <c r="P126" i="213"/>
  <c r="N76" i="213"/>
  <c r="P76" i="213"/>
  <c r="AL393" i="216"/>
  <c r="AM394" i="216"/>
  <c r="AL394" i="216" s="1"/>
  <c r="AM395" i="216"/>
  <c r="AL395" i="216" s="1"/>
  <c r="AB394" i="216"/>
  <c r="ED393" i="216"/>
  <c r="EM93" i="216"/>
  <c r="EF93" i="216"/>
  <c r="M156" i="213"/>
  <c r="P57" i="213"/>
  <c r="N57" i="213"/>
  <c r="P153" i="213"/>
  <c r="N153" i="213"/>
  <c r="P23" i="213"/>
  <c r="N23" i="213"/>
  <c r="EZ344" i="216"/>
  <c r="EH344" i="216"/>
  <c r="K193" i="213"/>
  <c r="P70" i="213"/>
  <c r="N70" i="213"/>
  <c r="P15" i="213"/>
  <c r="M31" i="213"/>
  <c r="N15" i="213"/>
  <c r="EN272" i="216"/>
  <c r="EM272" i="216" s="1"/>
  <c r="K166" i="213"/>
  <c r="BX393" i="216"/>
  <c r="EN82" i="216"/>
  <c r="EM82" i="216" s="1"/>
  <c r="P157" i="213"/>
  <c r="N157" i="213"/>
  <c r="DU393" i="216"/>
  <c r="DZ393" i="216" s="1"/>
  <c r="DP393" i="216"/>
  <c r="DQ395" i="216"/>
  <c r="DP395" i="216" s="1"/>
  <c r="DQ394" i="216"/>
  <c r="N41" i="213"/>
  <c r="P41" i="213"/>
  <c r="CA395" i="216"/>
  <c r="BZ395" i="216" s="1"/>
  <c r="N89" i="213"/>
  <c r="P89" i="213"/>
  <c r="AE394" i="216"/>
  <c r="AD394" i="216" s="1"/>
  <c r="AE395" i="216"/>
  <c r="AD395" i="216" s="1"/>
  <c r="AD393" i="216"/>
  <c r="I199" i="213"/>
  <c r="BL393" i="216"/>
  <c r="BK393" i="216" s="1"/>
  <c r="M138" i="213"/>
  <c r="N138" i="213" s="1"/>
  <c r="D142" i="213"/>
  <c r="P146" i="213"/>
  <c r="N146" i="213"/>
  <c r="M216" i="213"/>
  <c r="N216" i="213" s="1"/>
  <c r="EN417" i="216"/>
  <c r="EN419" i="216" s="1"/>
  <c r="T366" i="216"/>
  <c r="U393" i="216"/>
  <c r="EZ82" i="216"/>
  <c r="EH82" i="216"/>
  <c r="N106" i="213"/>
  <c r="P106" i="213"/>
  <c r="S395" i="216"/>
  <c r="S394" i="216"/>
  <c r="R393" i="216"/>
  <c r="N155" i="213"/>
  <c r="P155" i="213"/>
  <c r="DT393" i="216"/>
  <c r="DS393" i="216" s="1"/>
  <c r="P37" i="213"/>
  <c r="N37" i="213"/>
  <c r="K86" i="213"/>
  <c r="DK394" i="216"/>
  <c r="DL394" i="216" s="1"/>
  <c r="P65" i="213"/>
  <c r="N65" i="213"/>
  <c r="BQ395" i="216"/>
  <c r="BP395" i="216" s="1"/>
  <c r="BQ394" i="216"/>
  <c r="BP393" i="216"/>
  <c r="N143" i="213"/>
  <c r="P143" i="213"/>
  <c r="P100" i="213"/>
  <c r="N100" i="213"/>
  <c r="EP393" i="216"/>
  <c r="EA394" i="216"/>
  <c r="N67" i="213"/>
  <c r="P67" i="213"/>
  <c r="CZ393" i="216"/>
  <c r="EZ288" i="216"/>
  <c r="EE393" i="216"/>
  <c r="EI395" i="216" s="1"/>
  <c r="EH395" i="216" s="1"/>
  <c r="BZ393" i="216"/>
  <c r="P160" i="213"/>
  <c r="N160" i="213"/>
  <c r="EN344" i="216"/>
  <c r="EM344" i="216" s="1"/>
  <c r="EM283" i="216"/>
  <c r="EZ283" i="216"/>
  <c r="EH283" i="216"/>
  <c r="L166" i="213"/>
  <c r="L168" i="213" s="1"/>
  <c r="DF393" i="216"/>
  <c r="DG394" i="216"/>
  <c r="DG395" i="216"/>
  <c r="AX366" i="216"/>
  <c r="AY393" i="216"/>
  <c r="N40" i="213"/>
  <c r="P40" i="213"/>
  <c r="EG417" i="216"/>
  <c r="N55" i="213"/>
  <c r="P55" i="213"/>
  <c r="L178" i="213"/>
  <c r="J199" i="213"/>
  <c r="M214" i="213"/>
  <c r="N214" i="213" s="1"/>
  <c r="P165" i="213"/>
  <c r="N165" i="213"/>
  <c r="M158" i="213"/>
  <c r="M166" i="213" s="1"/>
  <c r="N166" i="213" s="1"/>
  <c r="P62" i="213"/>
  <c r="N62" i="213"/>
  <c r="P19" i="213"/>
  <c r="N19" i="213"/>
  <c r="P34" i="213"/>
  <c r="N34" i="213"/>
  <c r="M43" i="213"/>
  <c r="CB393" i="216"/>
  <c r="CC395" i="216"/>
  <c r="CB395" i="216" s="1"/>
  <c r="CC394" i="216"/>
  <c r="CB394" i="216" s="1"/>
  <c r="N79" i="213"/>
  <c r="P79" i="213"/>
  <c r="N104" i="213"/>
  <c r="P104" i="213"/>
  <c r="EF393" i="216"/>
  <c r="EG394" i="216"/>
  <c r="EG395" i="216"/>
  <c r="N61" i="213"/>
  <c r="P61" i="213"/>
  <c r="N59" i="213"/>
  <c r="P59" i="213"/>
  <c r="P218" i="213"/>
  <c r="N218" i="213"/>
  <c r="P101" i="213"/>
  <c r="N101" i="213"/>
  <c r="P99" i="213"/>
  <c r="N99" i="213"/>
  <c r="CH393" i="216"/>
  <c r="CN395" i="216"/>
  <c r="P103" i="213"/>
  <c r="N103" i="213"/>
  <c r="M224" i="213"/>
  <c r="N224" i="213" s="1"/>
  <c r="P151" i="213"/>
  <c r="N151" i="213"/>
  <c r="K130" i="213"/>
  <c r="M220" i="213"/>
  <c r="N219" i="213"/>
  <c r="N56" i="213"/>
  <c r="P56" i="213"/>
  <c r="EH288" i="216"/>
  <c r="CL393" i="216"/>
  <c r="P142" i="213"/>
  <c r="N142" i="213"/>
  <c r="N69" i="213"/>
  <c r="P69" i="213"/>
  <c r="M86" i="213"/>
  <c r="N48" i="213"/>
  <c r="P48" i="213"/>
  <c r="P71" i="213"/>
  <c r="N71" i="213"/>
  <c r="CF393" i="216"/>
  <c r="CE393" i="216" s="1"/>
  <c r="P85" i="213"/>
  <c r="N85" i="213"/>
  <c r="L199" i="213"/>
  <c r="EF176" i="216"/>
  <c r="EH176" i="216"/>
  <c r="N163" i="213"/>
  <c r="P163" i="213"/>
  <c r="P105" i="213"/>
  <c r="N105" i="213"/>
  <c r="P144" i="213"/>
  <c r="N144" i="213"/>
  <c r="N60" i="213"/>
  <c r="P60" i="213"/>
  <c r="P25" i="213"/>
  <c r="N25" i="213"/>
  <c r="P38" i="213"/>
  <c r="N38" i="213"/>
  <c r="D194" i="213"/>
  <c r="P58" i="213"/>
  <c r="N58" i="213"/>
  <c r="EZ93" i="216"/>
  <c r="EH93" i="216"/>
  <c r="P17" i="213"/>
  <c r="N17" i="213"/>
  <c r="P102" i="213"/>
  <c r="N102" i="213"/>
  <c r="EZ128" i="216"/>
  <c r="EH128" i="216"/>
  <c r="CW395" i="216"/>
  <c r="CV395" i="216" s="1"/>
  <c r="CW394" i="216"/>
  <c r="CV394" i="216" s="1"/>
  <c r="CV393" i="216"/>
  <c r="M183" i="213"/>
  <c r="N112" i="213"/>
  <c r="P112" i="213"/>
  <c r="M113" i="213"/>
  <c r="P97" i="213"/>
  <c r="N97" i="213"/>
  <c r="P73" i="213"/>
  <c r="N73" i="213"/>
  <c r="N83" i="213"/>
  <c r="P83" i="213"/>
  <c r="P53" i="213"/>
  <c r="N53" i="213"/>
  <c r="M210" i="213"/>
  <c r="N210" i="213" s="1"/>
  <c r="DL393" i="216"/>
  <c r="J166" i="213"/>
  <c r="J168" i="213" s="1"/>
  <c r="J227" i="213" s="1"/>
  <c r="J232" i="213" s="1"/>
  <c r="P16" i="213"/>
  <c r="N16" i="213"/>
  <c r="M91" i="213"/>
  <c r="EZ176" i="216"/>
  <c r="L226" i="213"/>
  <c r="K178" i="213"/>
  <c r="D176" i="172"/>
  <c r="D59" i="172"/>
  <c r="D120" i="172"/>
  <c r="D121" i="172" s="1"/>
  <c r="D131" i="172"/>
  <c r="D30" i="172"/>
  <c r="D31" i="172" s="1"/>
  <c r="D41" i="172"/>
  <c r="D102" i="172"/>
  <c r="D103" i="172" s="1"/>
  <c r="D113" i="172"/>
  <c r="D138" i="172"/>
  <c r="D139" i="172" s="1"/>
  <c r="D68" i="172"/>
  <c r="D140" i="172"/>
  <c r="D111" i="172"/>
  <c r="D112" i="172" s="1"/>
  <c r="G31" i="208"/>
  <c r="K30" i="208"/>
  <c r="P30" i="208" s="1"/>
  <c r="Q30" i="208" s="1"/>
  <c r="H21" i="2"/>
  <c r="L11" i="167"/>
  <c r="D57" i="172"/>
  <c r="D58" i="172" s="1"/>
  <c r="D77" i="172"/>
  <c r="D104" i="172"/>
  <c r="D32" i="172"/>
  <c r="D84" i="172"/>
  <c r="D85" i="172" s="1"/>
  <c r="D39" i="172"/>
  <c r="D40" i="172" s="1"/>
  <c r="D174" i="172"/>
  <c r="D175" i="172" s="1"/>
  <c r="D66" i="172"/>
  <c r="D67" i="172" s="1"/>
  <c r="D93" i="172"/>
  <c r="D94" i="172" s="1"/>
  <c r="D156" i="172"/>
  <c r="D157" i="172" s="1"/>
  <c r="D48" i="172"/>
  <c r="D49" i="172" s="1"/>
  <c r="D75" i="172"/>
  <c r="D76" i="172" s="1"/>
  <c r="AP240" i="257" l="1"/>
  <c r="AP257" i="257"/>
  <c r="AQ237" i="257"/>
  <c r="EP211" i="253"/>
  <c r="EP214" i="253" s="1"/>
  <c r="EO211" i="253"/>
  <c r="EO214" i="253" s="1"/>
  <c r="EM211" i="253"/>
  <c r="AY241" i="257"/>
  <c r="G20" i="262"/>
  <c r="F20" i="262"/>
  <c r="E20" i="262"/>
  <c r="D20" i="262"/>
  <c r="H20" i="262"/>
  <c r="I20" i="262"/>
  <c r="DN394" i="216"/>
  <c r="K168" i="213"/>
  <c r="AN394" i="216"/>
  <c r="CL394" i="216"/>
  <c r="EA395" i="216"/>
  <c r="DZ395" i="216" s="1"/>
  <c r="DP394" i="216"/>
  <c r="EK395" i="216"/>
  <c r="EJ395" i="216" s="1"/>
  <c r="EJ393" i="216"/>
  <c r="EK394" i="216"/>
  <c r="P43" i="213"/>
  <c r="N43" i="213"/>
  <c r="P86" i="213"/>
  <c r="N86" i="213"/>
  <c r="P31" i="213"/>
  <c r="N31" i="213"/>
  <c r="CO395" i="216"/>
  <c r="CP394" i="216"/>
  <c r="CO393" i="216"/>
  <c r="M182" i="213"/>
  <c r="N183" i="213"/>
  <c r="K199" i="213"/>
  <c r="K227" i="213" s="1"/>
  <c r="K232" i="213" s="1"/>
  <c r="P135" i="213"/>
  <c r="N135" i="213"/>
  <c r="DI395" i="216"/>
  <c r="DJ394" i="216"/>
  <c r="DI393" i="216"/>
  <c r="M205" i="213"/>
  <c r="L227" i="213"/>
  <c r="P113" i="213"/>
  <c r="N113" i="213"/>
  <c r="CF394" i="216"/>
  <c r="CE395" i="216"/>
  <c r="EM393" i="216"/>
  <c r="EE394" i="216"/>
  <c r="EH394" i="216" s="1"/>
  <c r="EE397" i="216"/>
  <c r="EL395" i="216"/>
  <c r="BL394" i="216"/>
  <c r="BK395" i="216"/>
  <c r="W366" i="216"/>
  <c r="X393" i="216"/>
  <c r="CY395" i="216"/>
  <c r="CZ394" i="216"/>
  <c r="CY393" i="216"/>
  <c r="BM394" i="216"/>
  <c r="BN394" i="216" s="1"/>
  <c r="BU393" i="216"/>
  <c r="BT395" i="216"/>
  <c r="BO395" i="216"/>
  <c r="BN395" i="216" s="1"/>
  <c r="BN393" i="216"/>
  <c r="P91" i="213"/>
  <c r="N91" i="213"/>
  <c r="P158" i="213"/>
  <c r="N158" i="213"/>
  <c r="BP394" i="216"/>
  <c r="P156" i="213"/>
  <c r="N156" i="213"/>
  <c r="ED394" i="216"/>
  <c r="EC395" i="216"/>
  <c r="BH394" i="216"/>
  <c r="AR394" i="216"/>
  <c r="AQ395" i="216"/>
  <c r="CJ394" i="216"/>
  <c r="BF394" i="216"/>
  <c r="M178" i="213"/>
  <c r="N178" i="213" s="1"/>
  <c r="N176" i="213"/>
  <c r="P52" i="213"/>
  <c r="N52" i="213"/>
  <c r="AQ393" i="216"/>
  <c r="P51" i="213"/>
  <c r="N51" i="213"/>
  <c r="M193" i="213"/>
  <c r="U395" i="216"/>
  <c r="U394" i="216"/>
  <c r="T393" i="216"/>
  <c r="P94" i="213"/>
  <c r="EN393" i="216"/>
  <c r="P130" i="213"/>
  <c r="N130" i="213"/>
  <c r="I227" i="213"/>
  <c r="I232" i="213" s="1"/>
  <c r="P150" i="213"/>
  <c r="N150" i="213"/>
  <c r="I220" i="213"/>
  <c r="N220" i="213" s="1"/>
  <c r="AG395" i="216"/>
  <c r="AH394" i="216"/>
  <c r="AG393" i="216"/>
  <c r="EM366" i="216"/>
  <c r="EF366" i="216"/>
  <c r="EZ393" i="216"/>
  <c r="DT394" i="216"/>
  <c r="DS395" i="216"/>
  <c r="AY394" i="216"/>
  <c r="AX394" i="216" s="1"/>
  <c r="AX393" i="216"/>
  <c r="AY395" i="216"/>
  <c r="AX395" i="216" s="1"/>
  <c r="M94" i="213"/>
  <c r="N94" i="213" s="1"/>
  <c r="DU394" i="216"/>
  <c r="EC393" i="216"/>
  <c r="EB395" i="216"/>
  <c r="DV393" i="216"/>
  <c r="DY395" i="216"/>
  <c r="DX395" i="216" s="1"/>
  <c r="DX393" i="216"/>
  <c r="DW395" i="216"/>
  <c r="DV395" i="216" s="1"/>
  <c r="N120" i="213"/>
  <c r="P120" i="213"/>
  <c r="EJ366" i="216"/>
  <c r="BB394" i="216"/>
  <c r="BA395" i="216"/>
  <c r="BA393" i="216"/>
  <c r="EH393" i="216"/>
  <c r="D177" i="172"/>
  <c r="K31" i="208"/>
  <c r="P31" i="208" s="1"/>
  <c r="Q31" i="208" s="1"/>
  <c r="G32" i="208"/>
  <c r="E16" i="172"/>
  <c r="F25" i="262" l="1"/>
  <c r="F21" i="262"/>
  <c r="F22" i="262" s="1"/>
  <c r="F26" i="262" s="1"/>
  <c r="G25" i="262"/>
  <c r="G21" i="262"/>
  <c r="G22" i="262" s="1"/>
  <c r="G26" i="262" s="1"/>
  <c r="I25" i="262"/>
  <c r="I21" i="262"/>
  <c r="I22" i="262" s="1"/>
  <c r="I26" i="262" s="1"/>
  <c r="H25" i="262"/>
  <c r="H21" i="262"/>
  <c r="H22" i="262" s="1"/>
  <c r="H26" i="262" s="1"/>
  <c r="D25" i="262"/>
  <c r="D21" i="262"/>
  <c r="D22" i="262" s="1"/>
  <c r="E25" i="262"/>
  <c r="E21" i="262"/>
  <c r="E22" i="262" s="1"/>
  <c r="E26" i="262" s="1"/>
  <c r="DV394" i="216"/>
  <c r="DX394" i="216"/>
  <c r="L232" i="213"/>
  <c r="L233" i="213" s="1"/>
  <c r="X394" i="216"/>
  <c r="W393" i="216"/>
  <c r="W395" i="216"/>
  <c r="EM395" i="216"/>
  <c r="EN394" i="216"/>
  <c r="M168" i="213"/>
  <c r="EJ394" i="216"/>
  <c r="DZ394" i="216"/>
  <c r="M199" i="213"/>
  <c r="N199" i="213" s="1"/>
  <c r="N193" i="213"/>
  <c r="EZ394" i="216"/>
  <c r="BR394" i="216"/>
  <c r="K32" i="208"/>
  <c r="P32" i="208" s="1"/>
  <c r="G33" i="208"/>
  <c r="N168" i="213" l="1"/>
  <c r="M227" i="213"/>
  <c r="K33" i="208"/>
  <c r="P33" i="208" s="1"/>
  <c r="Q33" i="208" s="1"/>
  <c r="G34" i="208"/>
  <c r="N227" i="213" l="1"/>
  <c r="M232" i="213"/>
  <c r="G35" i="208"/>
  <c r="K34" i="208"/>
  <c r="P34" i="208" s="1"/>
  <c r="Q34" i="208" s="1"/>
  <c r="G36" i="208" l="1"/>
  <c r="K35" i="208"/>
  <c r="P35" i="208" s="1"/>
  <c r="Q35" i="208" s="1"/>
  <c r="G37" i="208" l="1"/>
  <c r="K37" i="208" s="1"/>
  <c r="P37" i="208" s="1"/>
  <c r="Q37" i="208" s="1"/>
  <c r="K36" i="208"/>
  <c r="P36" i="208" s="1"/>
  <c r="Q36" i="208" s="1"/>
  <c r="B2" i="91" l="1"/>
  <c r="B2" i="95" s="1"/>
  <c r="D19" i="213" l="1"/>
  <c r="D56" i="213"/>
  <c r="D84" i="213"/>
  <c r="D157" i="213"/>
  <c r="D57" i="213"/>
  <c r="B2" i="92"/>
  <c r="B2" i="93"/>
  <c r="H33" i="78"/>
  <c r="H31" i="78"/>
  <c r="H28" i="78"/>
  <c r="H27" i="78"/>
  <c r="H26" i="78"/>
  <c r="H25" i="78"/>
  <c r="H24" i="78"/>
  <c r="H22" i="78"/>
  <c r="H21" i="78"/>
  <c r="H20" i="78"/>
  <c r="H16" i="78"/>
  <c r="H15" i="78"/>
  <c r="H14" i="78"/>
  <c r="H12" i="78"/>
  <c r="H10" i="78"/>
  <c r="G13" i="114"/>
  <c r="G8" i="114"/>
  <c r="H29" i="78" l="1"/>
  <c r="J11" i="45" l="1"/>
  <c r="J10" i="45"/>
  <c r="J9" i="45"/>
  <c r="G10" i="2" l="1"/>
  <c r="F10" i="2"/>
  <c r="E10" i="2"/>
  <c r="F32" i="2"/>
  <c r="F29" i="2" l="1"/>
  <c r="L75" i="204" l="1"/>
  <c r="G50" i="2" l="1"/>
  <c r="F50" i="2"/>
  <c r="F12" i="105" l="1"/>
  <c r="F18" i="105" s="1"/>
  <c r="J22" i="45" l="1"/>
  <c r="E16" i="157" l="1"/>
  <c r="E15" i="157"/>
  <c r="E14" i="157"/>
  <c r="E13" i="157"/>
  <c r="P13" i="88" l="1"/>
  <c r="C55" i="88"/>
  <c r="C50" i="88"/>
  <c r="I17" i="77" l="1"/>
  <c r="G31" i="2"/>
  <c r="E50" i="2"/>
  <c r="D10" i="68"/>
  <c r="D50" i="2" l="1"/>
  <c r="C50" i="2"/>
  <c r="K25" i="45" l="1"/>
  <c r="J15" i="45"/>
  <c r="G15" i="68"/>
  <c r="J113" i="67"/>
  <c r="E12" i="44" l="1"/>
  <c r="M47" i="62" l="1"/>
  <c r="L47" i="62"/>
  <c r="K47" i="62"/>
  <c r="J47" i="62"/>
  <c r="I47" i="62"/>
  <c r="H47" i="62"/>
  <c r="G47" i="62"/>
  <c r="F47" i="62"/>
  <c r="E47" i="62"/>
  <c r="J8" i="61"/>
  <c r="G8" i="61"/>
  <c r="J8" i="65"/>
  <c r="G8" i="65"/>
  <c r="K10" i="61" l="1"/>
  <c r="L10" i="61"/>
  <c r="Q12" i="90"/>
  <c r="E12" i="90"/>
  <c r="P12" i="90"/>
  <c r="M12" i="90"/>
  <c r="G12" i="90"/>
  <c r="D12" i="90"/>
  <c r="R12" i="90"/>
  <c r="L12" i="90"/>
  <c r="I12" i="90"/>
  <c r="T12" i="90"/>
  <c r="S12" i="90"/>
  <c r="O12" i="90"/>
  <c r="N12" i="90"/>
  <c r="K12" i="90"/>
  <c r="J12" i="90"/>
  <c r="H12" i="90"/>
  <c r="F12" i="90"/>
  <c r="C12" i="90"/>
  <c r="F84" i="88" l="1"/>
  <c r="D122" i="157"/>
  <c r="D116" i="157"/>
  <c r="D110" i="157"/>
  <c r="D102" i="157"/>
  <c r="D81" i="157"/>
  <c r="D72" i="157"/>
  <c r="D64" i="157"/>
  <c r="D53" i="157"/>
  <c r="D40" i="157"/>
  <c r="E84" i="157"/>
  <c r="E125" i="157"/>
  <c r="E124" i="157"/>
  <c r="E121" i="157"/>
  <c r="E120" i="157"/>
  <c r="E119" i="157"/>
  <c r="E115" i="157"/>
  <c r="E114" i="157"/>
  <c r="E113" i="157"/>
  <c r="E109" i="157"/>
  <c r="E108" i="157"/>
  <c r="E107" i="157"/>
  <c r="E106" i="157"/>
  <c r="E105" i="157"/>
  <c r="E101" i="157"/>
  <c r="E100" i="157"/>
  <c r="E98" i="157"/>
  <c r="E97" i="157"/>
  <c r="E92" i="157"/>
  <c r="E91" i="157"/>
  <c r="E89" i="157"/>
  <c r="E88" i="157"/>
  <c r="E80" i="157"/>
  <c r="E79" i="157"/>
  <c r="E77" i="157"/>
  <c r="E76" i="157"/>
  <c r="E71" i="157"/>
  <c r="E70" i="157"/>
  <c r="E68" i="157"/>
  <c r="E63" i="157"/>
  <c r="E62" i="157"/>
  <c r="E61" i="157"/>
  <c r="E59" i="157"/>
  <c r="E58" i="157"/>
  <c r="E57" i="157"/>
  <c r="E52" i="157"/>
  <c r="E51" i="157"/>
  <c r="E47" i="157"/>
  <c r="E46" i="157"/>
  <c r="E44" i="157"/>
  <c r="E45" i="157"/>
  <c r="E38" i="157"/>
  <c r="E34" i="157"/>
  <c r="C35" i="157"/>
  <c r="E30" i="157"/>
  <c r="E29" i="157"/>
  <c r="E33" i="157"/>
  <c r="E32" i="157"/>
  <c r="E28" i="157"/>
  <c r="E23" i="157"/>
  <c r="E22" i="157"/>
  <c r="E21" i="157"/>
  <c r="E20" i="157"/>
  <c r="D17" i="157"/>
  <c r="E12" i="157"/>
  <c r="E17" i="157" s="1"/>
  <c r="E12" i="94"/>
  <c r="E35" i="157" l="1"/>
  <c r="C17" i="157"/>
  <c r="E24" i="157"/>
  <c r="D35" i="157"/>
  <c r="C81" i="157"/>
  <c r="E81" i="157" s="1"/>
  <c r="C102" i="157"/>
  <c r="E102" i="157" s="1"/>
  <c r="C40" i="157"/>
  <c r="E40" i="157" s="1"/>
  <c r="C64" i="157"/>
  <c r="E64" i="157" s="1"/>
  <c r="C110" i="157"/>
  <c r="E110" i="157" s="1"/>
  <c r="C24" i="157"/>
  <c r="C48" i="157"/>
  <c r="C72" i="157"/>
  <c r="E72" i="157" s="1"/>
  <c r="C116" i="157"/>
  <c r="E116" i="157" s="1"/>
  <c r="D24" i="157"/>
  <c r="D48" i="157"/>
  <c r="C96" i="88"/>
  <c r="C122" i="157"/>
  <c r="E122" i="157" s="1"/>
  <c r="C53" i="157"/>
  <c r="E53" i="157" s="1"/>
  <c r="E39" i="157"/>
  <c r="D126" i="157" l="1"/>
  <c r="C126" i="157"/>
  <c r="E48" i="157"/>
  <c r="E126" i="157" l="1"/>
  <c r="A90" i="204"/>
  <c r="A91" i="204" s="1"/>
  <c r="A92" i="204" s="1"/>
  <c r="A93" i="204" s="1"/>
  <c r="A94" i="204" s="1"/>
  <c r="A95" i="204" s="1"/>
  <c r="A96" i="204" s="1"/>
  <c r="A97" i="204" s="1"/>
  <c r="A98" i="204" s="1"/>
  <c r="A99" i="204" s="1"/>
  <c r="A100" i="204" s="1"/>
  <c r="A74" i="204"/>
  <c r="A75" i="204" s="1"/>
  <c r="A76" i="204" s="1"/>
  <c r="A77" i="204" s="1"/>
  <c r="A78" i="204" s="1"/>
  <c r="A79" i="204" s="1"/>
  <c r="A80" i="204" s="1"/>
  <c r="A81" i="204" s="1"/>
  <c r="A82" i="204" s="1"/>
  <c r="A83" i="204" s="1"/>
  <c r="A84" i="204" s="1"/>
  <c r="A59" i="204"/>
  <c r="A60" i="204" s="1"/>
  <c r="A61" i="204" s="1"/>
  <c r="A62" i="204" s="1"/>
  <c r="A63" i="204" s="1"/>
  <c r="A64" i="204" s="1"/>
  <c r="A65" i="204" s="1"/>
  <c r="A66" i="204" s="1"/>
  <c r="A67" i="204" s="1"/>
  <c r="A68" i="204" s="1"/>
  <c r="A42" i="204"/>
  <c r="A43" i="204" s="1"/>
  <c r="A44" i="204" s="1"/>
  <c r="A45" i="204" s="1"/>
  <c r="A46" i="204" s="1"/>
  <c r="A47" i="204" s="1"/>
  <c r="A48" i="204" s="1"/>
  <c r="A49" i="204" s="1"/>
  <c r="A50" i="204" s="1"/>
  <c r="A51" i="204" s="1"/>
  <c r="A52" i="204" s="1"/>
  <c r="A27" i="204"/>
  <c r="A28" i="204" s="1"/>
  <c r="A29" i="204" s="1"/>
  <c r="A30" i="204" s="1"/>
  <c r="A31" i="204" s="1"/>
  <c r="A32" i="204" s="1"/>
  <c r="A33" i="204" s="1"/>
  <c r="A34" i="204" s="1"/>
  <c r="A35" i="204" s="1"/>
  <c r="A36" i="204" s="1"/>
  <c r="L25" i="204"/>
  <c r="A10" i="204"/>
  <c r="A11" i="204" s="1"/>
  <c r="A12" i="204" s="1"/>
  <c r="A13" i="204" s="1"/>
  <c r="A14" i="204" s="1"/>
  <c r="A15" i="204" s="1"/>
  <c r="A16" i="204" s="1"/>
  <c r="A17" i="204" s="1"/>
  <c r="A18" i="204" s="1"/>
  <c r="A19" i="204" s="1"/>
  <c r="A20" i="204" s="1"/>
  <c r="I32" i="32" l="1"/>
  <c r="E15" i="127"/>
  <c r="E8" i="104"/>
  <c r="G8" i="38"/>
  <c r="L17" i="77" l="1"/>
  <c r="F18" i="203" l="1"/>
  <c r="G18" i="203" s="1"/>
  <c r="F17" i="203"/>
  <c r="G17" i="203" s="1"/>
  <c r="J14" i="45"/>
  <c r="F33" i="2"/>
  <c r="F28" i="2"/>
  <c r="F23" i="2"/>
  <c r="F22" i="2"/>
  <c r="F21" i="2"/>
  <c r="F13" i="2"/>
  <c r="G273" i="91" s="1"/>
  <c r="G13" i="2" s="1"/>
  <c r="J9" i="44" s="1"/>
  <c r="F15" i="203" l="1"/>
  <c r="G15" i="203" s="1"/>
  <c r="E17" i="127" s="1"/>
  <c r="F14" i="203"/>
  <c r="F24" i="2"/>
  <c r="E271" i="183"/>
  <c r="E270" i="183"/>
  <c r="E269" i="183"/>
  <c r="E268" i="183"/>
  <c r="E267" i="183"/>
  <c r="E266" i="183"/>
  <c r="E265" i="183"/>
  <c r="E264" i="183"/>
  <c r="E263" i="183"/>
  <c r="E262" i="183"/>
  <c r="E261" i="183"/>
  <c r="E260" i="183"/>
  <c r="E259" i="183"/>
  <c r="E258" i="183"/>
  <c r="E257" i="183"/>
  <c r="E256" i="183"/>
  <c r="E255" i="183"/>
  <c r="E254" i="183"/>
  <c r="E253" i="183"/>
  <c r="E252" i="183"/>
  <c r="E251" i="183"/>
  <c r="E250" i="183"/>
  <c r="E249" i="183"/>
  <c r="E248" i="183"/>
  <c r="E247" i="183"/>
  <c r="E246" i="183"/>
  <c r="E245" i="183"/>
  <c r="E244" i="183"/>
  <c r="E243" i="183"/>
  <c r="E242" i="183"/>
  <c r="E241" i="183"/>
  <c r="E240" i="183"/>
  <c r="E239" i="183"/>
  <c r="E238" i="183"/>
  <c r="E237" i="183"/>
  <c r="E236" i="183"/>
  <c r="E235" i="183"/>
  <c r="E234" i="183"/>
  <c r="E233" i="183"/>
  <c r="E232" i="183"/>
  <c r="E231" i="183"/>
  <c r="E230" i="183"/>
  <c r="E229" i="183"/>
  <c r="E228" i="183"/>
  <c r="E227" i="183"/>
  <c r="E226" i="183"/>
  <c r="E225" i="183"/>
  <c r="E224" i="183"/>
  <c r="E223" i="183"/>
  <c r="E222" i="183"/>
  <c r="E221" i="183"/>
  <c r="E220" i="183"/>
  <c r="E219" i="183"/>
  <c r="E218" i="183"/>
  <c r="E217" i="183"/>
  <c r="E216" i="183"/>
  <c r="E215" i="183"/>
  <c r="E214" i="183"/>
  <c r="E213" i="183"/>
  <c r="E212" i="183"/>
  <c r="E211" i="183"/>
  <c r="E210" i="183"/>
  <c r="E209" i="183"/>
  <c r="E208" i="183"/>
  <c r="E207" i="183"/>
  <c r="E206" i="183"/>
  <c r="E205" i="183"/>
  <c r="E204" i="183"/>
  <c r="E203" i="183"/>
  <c r="E202" i="183"/>
  <c r="E201" i="183"/>
  <c r="E200" i="183"/>
  <c r="E199" i="183"/>
  <c r="E198" i="183"/>
  <c r="E197" i="183"/>
  <c r="E196" i="183"/>
  <c r="E195" i="183"/>
  <c r="E194" i="183"/>
  <c r="E193" i="183"/>
  <c r="E192" i="183"/>
  <c r="E191" i="183"/>
  <c r="E190" i="183"/>
  <c r="E189" i="183"/>
  <c r="E188" i="183"/>
  <c r="E187" i="183"/>
  <c r="E186" i="183"/>
  <c r="E185" i="183"/>
  <c r="E184" i="183"/>
  <c r="E183" i="183"/>
  <c r="E182" i="183"/>
  <c r="E181" i="183"/>
  <c r="E180" i="183"/>
  <c r="E179" i="183"/>
  <c r="E178" i="183"/>
  <c r="E177" i="183"/>
  <c r="E176" i="183"/>
  <c r="E175" i="183"/>
  <c r="E174" i="183"/>
  <c r="E173" i="183"/>
  <c r="E172" i="183"/>
  <c r="E171" i="183"/>
  <c r="E170" i="183"/>
  <c r="E169" i="183"/>
  <c r="E168" i="183"/>
  <c r="E167" i="183"/>
  <c r="E166" i="183"/>
  <c r="E165" i="183"/>
  <c r="E164" i="183"/>
  <c r="E163" i="183"/>
  <c r="E162" i="183"/>
  <c r="E161" i="183"/>
  <c r="E160" i="183"/>
  <c r="E159" i="183"/>
  <c r="E158" i="183"/>
  <c r="E157" i="183"/>
  <c r="E156" i="183"/>
  <c r="E155" i="183"/>
  <c r="E154" i="183"/>
  <c r="E153" i="183"/>
  <c r="E152" i="183"/>
  <c r="E151" i="183"/>
  <c r="E150" i="183"/>
  <c r="E149" i="183"/>
  <c r="E148" i="183"/>
  <c r="E147" i="183"/>
  <c r="E146" i="183"/>
  <c r="E145" i="183"/>
  <c r="E144"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E17" i="183"/>
  <c r="E16" i="183"/>
  <c r="E15" i="183"/>
  <c r="E14" i="183"/>
  <c r="E13" i="183"/>
  <c r="E11" i="183"/>
  <c r="E10" i="183"/>
  <c r="E9" i="183"/>
  <c r="E8" i="183"/>
  <c r="E7" i="183"/>
  <c r="E6" i="183"/>
  <c r="E29" i="177"/>
  <c r="E28" i="177"/>
  <c r="E19" i="177"/>
  <c r="E18" i="177"/>
  <c r="E22" i="177"/>
  <c r="E21" i="177"/>
  <c r="E20" i="177"/>
  <c r="E11" i="177"/>
  <c r="S247" i="189"/>
  <c r="R247" i="189"/>
  <c r="S246" i="189"/>
  <c r="R246" i="189"/>
  <c r="S243" i="189"/>
  <c r="R243" i="189"/>
  <c r="O243" i="189"/>
  <c r="M243" i="189"/>
  <c r="K243" i="189"/>
  <c r="S242" i="189"/>
  <c r="R242" i="189"/>
  <c r="O242" i="189"/>
  <c r="M242" i="189"/>
  <c r="K242" i="189"/>
  <c r="S241" i="189"/>
  <c r="R241" i="189"/>
  <c r="O241" i="189"/>
  <c r="M241" i="189"/>
  <c r="K241" i="189"/>
  <c r="S237" i="189"/>
  <c r="R237" i="189"/>
  <c r="O237" i="189"/>
  <c r="M237" i="189"/>
  <c r="K237" i="189"/>
  <c r="S236" i="189"/>
  <c r="O236" i="189"/>
  <c r="M236" i="189"/>
  <c r="K236" i="189"/>
  <c r="E236" i="189"/>
  <c r="R236" i="189" s="1"/>
  <c r="S235" i="189"/>
  <c r="R235" i="189"/>
  <c r="O235" i="189"/>
  <c r="M235" i="189"/>
  <c r="K235" i="189"/>
  <c r="O231" i="189"/>
  <c r="K231" i="189"/>
  <c r="E231" i="189"/>
  <c r="R231" i="189" s="1"/>
  <c r="C231" i="189"/>
  <c r="I231" i="189" s="1"/>
  <c r="S231" i="189" s="1"/>
  <c r="C230" i="189"/>
  <c r="C229" i="189"/>
  <c r="C228" i="189"/>
  <c r="C227" i="189"/>
  <c r="C225" i="189"/>
  <c r="I225" i="189" s="1"/>
  <c r="S225" i="189" s="1"/>
  <c r="C224" i="189"/>
  <c r="I224" i="189" s="1"/>
  <c r="S224" i="189" s="1"/>
  <c r="C223" i="189"/>
  <c r="I223" i="189" s="1"/>
  <c r="S223" i="189" s="1"/>
  <c r="C222" i="189"/>
  <c r="I222" i="189" s="1"/>
  <c r="S222" i="189" s="1"/>
  <c r="C220" i="189"/>
  <c r="I220" i="189" s="1"/>
  <c r="S220" i="189" s="1"/>
  <c r="C219" i="189"/>
  <c r="I219" i="189" s="1"/>
  <c r="S219" i="189" s="1"/>
  <c r="C218" i="189"/>
  <c r="I218" i="189" s="1"/>
  <c r="S218" i="189" s="1"/>
  <c r="C217" i="189"/>
  <c r="I217" i="189" s="1"/>
  <c r="S217" i="189" s="1"/>
  <c r="C215" i="189"/>
  <c r="I215" i="189" s="1"/>
  <c r="S215" i="189" s="1"/>
  <c r="C214" i="189"/>
  <c r="I214" i="189" s="1"/>
  <c r="S214" i="189" s="1"/>
  <c r="C213" i="189"/>
  <c r="I213" i="189" s="1"/>
  <c r="S213" i="189" s="1"/>
  <c r="C212" i="189"/>
  <c r="I212" i="189" s="1"/>
  <c r="S212" i="189" s="1"/>
  <c r="E209" i="189"/>
  <c r="E230" i="189" s="1"/>
  <c r="R230" i="189" s="1"/>
  <c r="C209" i="189"/>
  <c r="E208" i="189"/>
  <c r="E229" i="189" s="1"/>
  <c r="R229" i="189" s="1"/>
  <c r="C208" i="189"/>
  <c r="E207" i="189"/>
  <c r="E228" i="189" s="1"/>
  <c r="R228" i="189" s="1"/>
  <c r="C207" i="189"/>
  <c r="E206" i="189"/>
  <c r="E227" i="189" s="1"/>
  <c r="R227" i="189" s="1"/>
  <c r="C206" i="189"/>
  <c r="E204" i="189"/>
  <c r="E225" i="189" s="1"/>
  <c r="R225" i="189" s="1"/>
  <c r="C204" i="189"/>
  <c r="I204" i="189" s="1"/>
  <c r="S204" i="189" s="1"/>
  <c r="E203" i="189"/>
  <c r="E224" i="189" s="1"/>
  <c r="R224" i="189" s="1"/>
  <c r="C203" i="189"/>
  <c r="I203" i="189" s="1"/>
  <c r="S203" i="189" s="1"/>
  <c r="E202" i="189"/>
  <c r="E223" i="189" s="1"/>
  <c r="R223" i="189" s="1"/>
  <c r="C202" i="189"/>
  <c r="I202" i="189" s="1"/>
  <c r="S202" i="189" s="1"/>
  <c r="E201" i="189"/>
  <c r="R201" i="189" s="1"/>
  <c r="C201" i="189"/>
  <c r="I201" i="189" s="1"/>
  <c r="S201" i="189" s="1"/>
  <c r="E199" i="189"/>
  <c r="E220" i="189" s="1"/>
  <c r="R220" i="189" s="1"/>
  <c r="C199" i="189"/>
  <c r="I199" i="189" s="1"/>
  <c r="S199" i="189" s="1"/>
  <c r="E198" i="189"/>
  <c r="E219" i="189" s="1"/>
  <c r="R219" i="189" s="1"/>
  <c r="C198" i="189"/>
  <c r="I198" i="189" s="1"/>
  <c r="S198" i="189" s="1"/>
  <c r="E197" i="189"/>
  <c r="E218" i="189" s="1"/>
  <c r="R218" i="189" s="1"/>
  <c r="C197" i="189"/>
  <c r="I197" i="189" s="1"/>
  <c r="S197" i="189" s="1"/>
  <c r="E196" i="189"/>
  <c r="E217" i="189" s="1"/>
  <c r="R217" i="189" s="1"/>
  <c r="C196" i="189"/>
  <c r="I196" i="189" s="1"/>
  <c r="S196" i="189" s="1"/>
  <c r="E194" i="189"/>
  <c r="E215" i="189" s="1"/>
  <c r="R215" i="189" s="1"/>
  <c r="C194" i="189"/>
  <c r="I194" i="189" s="1"/>
  <c r="S194" i="189" s="1"/>
  <c r="E193" i="189"/>
  <c r="E214" i="189" s="1"/>
  <c r="R214" i="189" s="1"/>
  <c r="C193" i="189"/>
  <c r="I193" i="189" s="1"/>
  <c r="S193" i="189" s="1"/>
  <c r="E192" i="189"/>
  <c r="E213" i="189" s="1"/>
  <c r="R213" i="189" s="1"/>
  <c r="C192" i="189"/>
  <c r="I192" i="189" s="1"/>
  <c r="H191" i="189"/>
  <c r="O191" i="189" s="1"/>
  <c r="E191" i="189"/>
  <c r="R191" i="189" s="1"/>
  <c r="D191" i="189"/>
  <c r="D196" i="189" s="1"/>
  <c r="C191" i="189"/>
  <c r="I191" i="189" s="1"/>
  <c r="S191" i="189" s="1"/>
  <c r="S188" i="189"/>
  <c r="R188" i="189"/>
  <c r="S187" i="189"/>
  <c r="R187" i="189"/>
  <c r="S186" i="189"/>
  <c r="R186" i="189"/>
  <c r="H186" i="189"/>
  <c r="O186" i="189" s="1"/>
  <c r="D186" i="189"/>
  <c r="D187" i="189" s="1"/>
  <c r="S185" i="189"/>
  <c r="R185" i="189"/>
  <c r="O185" i="189"/>
  <c r="K185" i="189"/>
  <c r="S181" i="189"/>
  <c r="O181" i="189"/>
  <c r="K181" i="189"/>
  <c r="E181" i="189"/>
  <c r="R181" i="189" s="1"/>
  <c r="S180" i="189"/>
  <c r="R180" i="189"/>
  <c r="O180" i="189"/>
  <c r="K180" i="189"/>
  <c r="S178" i="189"/>
  <c r="O178" i="189"/>
  <c r="K178" i="189"/>
  <c r="E178" i="189"/>
  <c r="R178" i="189" s="1"/>
  <c r="S177" i="189"/>
  <c r="R177" i="189"/>
  <c r="O177" i="189"/>
  <c r="K177" i="189"/>
  <c r="S174" i="189"/>
  <c r="O174" i="189"/>
  <c r="K174" i="189"/>
  <c r="E174" i="189"/>
  <c r="R174" i="189" s="1"/>
  <c r="S173" i="189"/>
  <c r="R173" i="189"/>
  <c r="O173" i="189"/>
  <c r="K173" i="189"/>
  <c r="S171" i="189"/>
  <c r="O171" i="189"/>
  <c r="K171" i="189"/>
  <c r="E171" i="189"/>
  <c r="R171" i="189" s="1"/>
  <c r="S170" i="189"/>
  <c r="R170" i="189"/>
  <c r="O170" i="189"/>
  <c r="K170" i="189"/>
  <c r="S164" i="189"/>
  <c r="R164" i="189"/>
  <c r="O164" i="189"/>
  <c r="K164" i="189"/>
  <c r="S163" i="189"/>
  <c r="R163" i="189"/>
  <c r="O163" i="189"/>
  <c r="K163" i="189"/>
  <c r="S162" i="189"/>
  <c r="R162" i="189"/>
  <c r="S161" i="189"/>
  <c r="R161" i="189"/>
  <c r="O161" i="189"/>
  <c r="K161" i="189"/>
  <c r="S160" i="189"/>
  <c r="R160" i="189"/>
  <c r="O160" i="189"/>
  <c r="K160" i="189"/>
  <c r="I156" i="189"/>
  <c r="S156" i="189" s="1"/>
  <c r="H156" i="189"/>
  <c r="O156" i="189" s="1"/>
  <c r="E156" i="189"/>
  <c r="R156" i="189" s="1"/>
  <c r="D156" i="189"/>
  <c r="K156" i="189" s="1"/>
  <c r="S152" i="189"/>
  <c r="R152" i="189"/>
  <c r="O152" i="189"/>
  <c r="K152" i="189"/>
  <c r="S151" i="189"/>
  <c r="R151" i="189"/>
  <c r="O151" i="189"/>
  <c r="K151" i="189"/>
  <c r="S149" i="189"/>
  <c r="R149" i="189"/>
  <c r="O149" i="189"/>
  <c r="M149" i="189"/>
  <c r="K149" i="189"/>
  <c r="S148" i="189"/>
  <c r="R148" i="189"/>
  <c r="O148" i="189"/>
  <c r="K148" i="189"/>
  <c r="O143" i="189"/>
  <c r="K143" i="189"/>
  <c r="I143" i="189"/>
  <c r="S143" i="189" s="1"/>
  <c r="E143" i="189"/>
  <c r="R143" i="189" s="1"/>
  <c r="S142" i="189"/>
  <c r="R142" i="189"/>
  <c r="O142" i="189"/>
  <c r="K142" i="189"/>
  <c r="S140" i="189"/>
  <c r="R140" i="189"/>
  <c r="O140" i="189"/>
  <c r="K140" i="189"/>
  <c r="O135" i="189"/>
  <c r="K135" i="189"/>
  <c r="O134" i="189"/>
  <c r="K134" i="189"/>
  <c r="I134" i="189"/>
  <c r="I135" i="189" s="1"/>
  <c r="E134" i="189"/>
  <c r="R134" i="189" s="1"/>
  <c r="S133" i="189"/>
  <c r="R133" i="189"/>
  <c r="O133" i="189"/>
  <c r="K133" i="189"/>
  <c r="O131" i="189"/>
  <c r="K131" i="189"/>
  <c r="O130" i="189"/>
  <c r="K130" i="189"/>
  <c r="O129" i="189"/>
  <c r="K129" i="189"/>
  <c r="I129" i="189"/>
  <c r="S129" i="189" s="1"/>
  <c r="E129" i="189"/>
  <c r="R129" i="189" s="1"/>
  <c r="C128" i="189"/>
  <c r="C117" i="189"/>
  <c r="C122" i="189" s="1"/>
  <c r="I122" i="189" s="1"/>
  <c r="S122" i="189" s="1"/>
  <c r="C116" i="189"/>
  <c r="C121" i="189" s="1"/>
  <c r="I121" i="189" s="1"/>
  <c r="S121" i="189" s="1"/>
  <c r="C114" i="189"/>
  <c r="C119" i="189" s="1"/>
  <c r="C113" i="189"/>
  <c r="C118" i="189" s="1"/>
  <c r="C98" i="189"/>
  <c r="C103" i="189" s="1"/>
  <c r="C97" i="189"/>
  <c r="C102" i="189" s="1"/>
  <c r="C107" i="189" s="1"/>
  <c r="I107" i="189" s="1"/>
  <c r="S107" i="189" s="1"/>
  <c r="C96" i="189"/>
  <c r="C101" i="189" s="1"/>
  <c r="C106" i="189" s="1"/>
  <c r="I106" i="189" s="1"/>
  <c r="S106" i="189" s="1"/>
  <c r="H95" i="189"/>
  <c r="H96" i="189" s="1"/>
  <c r="D95" i="189"/>
  <c r="D96" i="189" s="1"/>
  <c r="C95" i="189"/>
  <c r="C100" i="189" s="1"/>
  <c r="C105" i="189" s="1"/>
  <c r="I105" i="189" s="1"/>
  <c r="S105" i="189" s="1"/>
  <c r="S91" i="189"/>
  <c r="O91" i="189"/>
  <c r="K91" i="189"/>
  <c r="S90" i="189"/>
  <c r="O90" i="189"/>
  <c r="K90" i="189"/>
  <c r="E90" i="189"/>
  <c r="E91" i="189" s="1"/>
  <c r="S89" i="189"/>
  <c r="R89" i="189"/>
  <c r="O89" i="189"/>
  <c r="K89" i="189"/>
  <c r="O87" i="189"/>
  <c r="K87" i="189"/>
  <c r="I87" i="189"/>
  <c r="O86" i="189"/>
  <c r="K86" i="189"/>
  <c r="I86" i="189"/>
  <c r="S86" i="189" s="1"/>
  <c r="O85" i="189"/>
  <c r="K85" i="189"/>
  <c r="I85" i="189"/>
  <c r="S85" i="189" s="1"/>
  <c r="E85" i="189"/>
  <c r="R85" i="189" s="1"/>
  <c r="C84" i="189"/>
  <c r="S80" i="189"/>
  <c r="R80" i="189"/>
  <c r="O80" i="189"/>
  <c r="M80" i="189"/>
  <c r="K80" i="189"/>
  <c r="S79" i="189"/>
  <c r="R79" i="189"/>
  <c r="O79" i="189"/>
  <c r="M79" i="189"/>
  <c r="K79" i="189"/>
  <c r="S77" i="189"/>
  <c r="R77" i="189"/>
  <c r="O77" i="189"/>
  <c r="K77" i="189"/>
  <c r="O72" i="189"/>
  <c r="K72" i="189"/>
  <c r="I72" i="189"/>
  <c r="S72" i="189" s="1"/>
  <c r="E72" i="189"/>
  <c r="R72" i="189" s="1"/>
  <c r="R71" i="189"/>
  <c r="O71" i="189"/>
  <c r="K71" i="189"/>
  <c r="I71" i="189"/>
  <c r="S71" i="189" s="1"/>
  <c r="S69" i="189"/>
  <c r="O69" i="189"/>
  <c r="K69" i="189"/>
  <c r="E69" i="189"/>
  <c r="R69" i="189" s="1"/>
  <c r="S68" i="189"/>
  <c r="R68" i="189"/>
  <c r="O68" i="189"/>
  <c r="K68" i="189"/>
  <c r="S65" i="189"/>
  <c r="O65" i="189"/>
  <c r="K65" i="189"/>
  <c r="S64" i="189"/>
  <c r="O64" i="189"/>
  <c r="K64" i="189"/>
  <c r="E64" i="189"/>
  <c r="E65" i="189" s="1"/>
  <c r="R65" i="189" s="1"/>
  <c r="S63" i="189"/>
  <c r="R63" i="189"/>
  <c r="O63" i="189"/>
  <c r="K63" i="189"/>
  <c r="O58" i="189"/>
  <c r="K58" i="189"/>
  <c r="C58" i="189"/>
  <c r="I58" i="189" s="1"/>
  <c r="S58" i="189" s="1"/>
  <c r="S57" i="189"/>
  <c r="O57" i="189"/>
  <c r="K57" i="189"/>
  <c r="E57" i="189"/>
  <c r="E58" i="189" s="1"/>
  <c r="R58" i="189" s="1"/>
  <c r="C57" i="189"/>
  <c r="R55" i="189"/>
  <c r="O55" i="189"/>
  <c r="K55" i="189"/>
  <c r="C55" i="189"/>
  <c r="I55" i="189" s="1"/>
  <c r="S55" i="189" s="1"/>
  <c r="S54" i="189"/>
  <c r="R54" i="189"/>
  <c r="O54" i="189"/>
  <c r="K54" i="189"/>
  <c r="C54" i="189"/>
  <c r="R52" i="189"/>
  <c r="O52" i="189"/>
  <c r="K52" i="189"/>
  <c r="C52" i="189"/>
  <c r="I52" i="189" s="1"/>
  <c r="S52" i="189" s="1"/>
  <c r="S51" i="189"/>
  <c r="R51" i="189"/>
  <c r="O51" i="189"/>
  <c r="K51" i="189"/>
  <c r="C51" i="189"/>
  <c r="R48" i="189"/>
  <c r="O48" i="189"/>
  <c r="K48" i="189"/>
  <c r="I48" i="189"/>
  <c r="S48" i="189" s="1"/>
  <c r="R47" i="189"/>
  <c r="O47" i="189"/>
  <c r="K47" i="189"/>
  <c r="I47" i="189"/>
  <c r="S47" i="189" s="1"/>
  <c r="R46" i="189"/>
  <c r="O46" i="189"/>
  <c r="K46" i="189"/>
  <c r="I46" i="189"/>
  <c r="S46" i="189" s="1"/>
  <c r="O41" i="189"/>
  <c r="K41" i="189"/>
  <c r="O40" i="189"/>
  <c r="K40" i="189"/>
  <c r="E40" i="189"/>
  <c r="E41" i="189" s="1"/>
  <c r="R41" i="189" s="1"/>
  <c r="R39" i="189"/>
  <c r="O39" i="189"/>
  <c r="K39" i="189"/>
  <c r="O37" i="189"/>
  <c r="K37" i="189"/>
  <c r="I37" i="189"/>
  <c r="I41" i="189" s="1"/>
  <c r="S41" i="189" s="1"/>
  <c r="O36" i="189"/>
  <c r="K36" i="189"/>
  <c r="I36" i="189"/>
  <c r="I40" i="189" s="1"/>
  <c r="S40" i="189" s="1"/>
  <c r="E36" i="189"/>
  <c r="R36" i="189" s="1"/>
  <c r="R35" i="189"/>
  <c r="O35" i="189"/>
  <c r="K35" i="189"/>
  <c r="I35" i="189"/>
  <c r="I39" i="189" s="1"/>
  <c r="S39" i="189" s="1"/>
  <c r="S33" i="189"/>
  <c r="O33" i="189"/>
  <c r="K33" i="189"/>
  <c r="S32" i="189"/>
  <c r="O32" i="189"/>
  <c r="K32" i="189"/>
  <c r="E32" i="189"/>
  <c r="E33" i="189" s="1"/>
  <c r="R33" i="189" s="1"/>
  <c r="S31" i="189"/>
  <c r="R31" i="189"/>
  <c r="O31" i="189"/>
  <c r="K31" i="189"/>
  <c r="S28" i="189"/>
  <c r="R28" i="189"/>
  <c r="O28" i="189"/>
  <c r="K28" i="189"/>
  <c r="S27" i="189"/>
  <c r="R27" i="189"/>
  <c r="O27" i="189"/>
  <c r="K27" i="189"/>
  <c r="S26" i="189"/>
  <c r="R26" i="189"/>
  <c r="O26" i="189"/>
  <c r="K26" i="189"/>
  <c r="S22" i="189"/>
  <c r="O22" i="189"/>
  <c r="M22" i="189"/>
  <c r="K22" i="189"/>
  <c r="S21" i="189"/>
  <c r="O21" i="189"/>
  <c r="M21" i="189"/>
  <c r="K21" i="189"/>
  <c r="S20" i="189"/>
  <c r="O20" i="189"/>
  <c r="K20" i="189"/>
  <c r="E20" i="189"/>
  <c r="E21" i="189" s="1"/>
  <c r="S19" i="189"/>
  <c r="R19" i="189"/>
  <c r="O19" i="189"/>
  <c r="K19" i="189"/>
  <c r="S17" i="189"/>
  <c r="R17" i="189"/>
  <c r="O17" i="189"/>
  <c r="K17" i="189"/>
  <c r="S16" i="189"/>
  <c r="O16" i="189"/>
  <c r="K16" i="189"/>
  <c r="S15" i="189"/>
  <c r="O15" i="189"/>
  <c r="K15" i="189"/>
  <c r="S14" i="189"/>
  <c r="O14" i="189"/>
  <c r="K14" i="189"/>
  <c r="S13" i="189"/>
  <c r="O13" i="189"/>
  <c r="K13" i="189"/>
  <c r="E13" i="189"/>
  <c r="E14" i="189" s="1"/>
  <c r="S12" i="189"/>
  <c r="R12" i="189"/>
  <c r="O12" i="189"/>
  <c r="K12" i="189"/>
  <c r="S10" i="189"/>
  <c r="R10" i="189"/>
  <c r="O10" i="189"/>
  <c r="K10" i="189"/>
  <c r="S9" i="189"/>
  <c r="R9" i="189"/>
  <c r="O9" i="189"/>
  <c r="K9" i="189"/>
  <c r="R247" i="178"/>
  <c r="Q247" i="178"/>
  <c r="R246" i="178"/>
  <c r="Q246" i="178"/>
  <c r="R243" i="178"/>
  <c r="Q243" i="178"/>
  <c r="N243" i="178"/>
  <c r="L243" i="178"/>
  <c r="J243" i="178"/>
  <c r="R242" i="178"/>
  <c r="Q242" i="178"/>
  <c r="N242" i="178"/>
  <c r="L242" i="178"/>
  <c r="J242" i="178"/>
  <c r="R241" i="178"/>
  <c r="Q241" i="178"/>
  <c r="N241" i="178"/>
  <c r="L241" i="178"/>
  <c r="J241" i="178"/>
  <c r="R237" i="178"/>
  <c r="Q237" i="178"/>
  <c r="N237" i="178"/>
  <c r="L237" i="178"/>
  <c r="J237" i="178"/>
  <c r="R236" i="178"/>
  <c r="N236" i="178"/>
  <c r="L236" i="178"/>
  <c r="J236" i="178"/>
  <c r="D236" i="178"/>
  <c r="Q236" i="178" s="1"/>
  <c r="R235" i="178"/>
  <c r="Q235" i="178"/>
  <c r="N235" i="178"/>
  <c r="L235" i="178"/>
  <c r="J235" i="178"/>
  <c r="N231" i="178"/>
  <c r="J231" i="178"/>
  <c r="D231" i="178"/>
  <c r="Q231" i="178" s="1"/>
  <c r="B231" i="178"/>
  <c r="H231" i="178" s="1"/>
  <c r="R231" i="178" s="1"/>
  <c r="B230" i="178"/>
  <c r="H230" i="178" s="1"/>
  <c r="R230" i="178" s="1"/>
  <c r="B229" i="178"/>
  <c r="H229" i="178" s="1"/>
  <c r="R229" i="178" s="1"/>
  <c r="B228" i="178"/>
  <c r="H228" i="178" s="1"/>
  <c r="R228" i="178" s="1"/>
  <c r="B227" i="178"/>
  <c r="H227" i="178" s="1"/>
  <c r="R227" i="178" s="1"/>
  <c r="B225" i="178"/>
  <c r="H225" i="178" s="1"/>
  <c r="R225" i="178" s="1"/>
  <c r="B224" i="178"/>
  <c r="H224" i="178" s="1"/>
  <c r="R224" i="178" s="1"/>
  <c r="B223" i="178"/>
  <c r="H223" i="178" s="1"/>
  <c r="R223" i="178" s="1"/>
  <c r="B222" i="178"/>
  <c r="H222" i="178" s="1"/>
  <c r="R222" i="178" s="1"/>
  <c r="B220" i="178"/>
  <c r="H220" i="178" s="1"/>
  <c r="R220" i="178" s="1"/>
  <c r="B219" i="178"/>
  <c r="H219" i="178" s="1"/>
  <c r="R219" i="178" s="1"/>
  <c r="B218" i="178"/>
  <c r="H218" i="178" s="1"/>
  <c r="R218" i="178" s="1"/>
  <c r="B217" i="178"/>
  <c r="H217" i="178" s="1"/>
  <c r="R217" i="178" s="1"/>
  <c r="B215" i="178"/>
  <c r="H215" i="178" s="1"/>
  <c r="R215" i="178" s="1"/>
  <c r="B214" i="178"/>
  <c r="H214" i="178" s="1"/>
  <c r="R214" i="178" s="1"/>
  <c r="B213" i="178"/>
  <c r="H213" i="178" s="1"/>
  <c r="R213" i="178" s="1"/>
  <c r="B212" i="178"/>
  <c r="H212" i="178" s="1"/>
  <c r="R212" i="178" s="1"/>
  <c r="D209" i="178"/>
  <c r="Q209" i="178" s="1"/>
  <c r="B209" i="178"/>
  <c r="H209" i="178" s="1"/>
  <c r="R209" i="178" s="1"/>
  <c r="D208" i="178"/>
  <c r="D229" i="178" s="1"/>
  <c r="Q229" i="178" s="1"/>
  <c r="B208" i="178"/>
  <c r="H208" i="178" s="1"/>
  <c r="R208" i="178" s="1"/>
  <c r="D207" i="178"/>
  <c r="D228" i="178" s="1"/>
  <c r="Q228" i="178" s="1"/>
  <c r="B207" i="178"/>
  <c r="H207" i="178" s="1"/>
  <c r="R207" i="178" s="1"/>
  <c r="D206" i="178"/>
  <c r="D227" i="178" s="1"/>
  <c r="Q227" i="178" s="1"/>
  <c r="B206" i="178"/>
  <c r="H206" i="178" s="1"/>
  <c r="R206" i="178" s="1"/>
  <c r="D204" i="178"/>
  <c r="D225" i="178" s="1"/>
  <c r="Q225" i="178" s="1"/>
  <c r="B204" i="178"/>
  <c r="H204" i="178" s="1"/>
  <c r="R204" i="178" s="1"/>
  <c r="D203" i="178"/>
  <c r="D224" i="178" s="1"/>
  <c r="Q224" i="178" s="1"/>
  <c r="B203" i="178"/>
  <c r="H203" i="178" s="1"/>
  <c r="R203" i="178" s="1"/>
  <c r="D202" i="178"/>
  <c r="D223" i="178" s="1"/>
  <c r="Q223" i="178" s="1"/>
  <c r="B202" i="178"/>
  <c r="H202" i="178" s="1"/>
  <c r="R202" i="178" s="1"/>
  <c r="D201" i="178"/>
  <c r="D222" i="178" s="1"/>
  <c r="Q222" i="178" s="1"/>
  <c r="B201" i="178"/>
  <c r="H201" i="178" s="1"/>
  <c r="R201" i="178" s="1"/>
  <c r="D199" i="178"/>
  <c r="Q199" i="178" s="1"/>
  <c r="B199" i="178"/>
  <c r="H199" i="178" s="1"/>
  <c r="R199" i="178" s="1"/>
  <c r="D198" i="178"/>
  <c r="D219" i="178" s="1"/>
  <c r="Q219" i="178" s="1"/>
  <c r="B198" i="178"/>
  <c r="H198" i="178" s="1"/>
  <c r="R198" i="178" s="1"/>
  <c r="D197" i="178"/>
  <c r="D218" i="178" s="1"/>
  <c r="Q218" i="178" s="1"/>
  <c r="B197" i="178"/>
  <c r="H197" i="178" s="1"/>
  <c r="R197" i="178" s="1"/>
  <c r="D196" i="178"/>
  <c r="D217" i="178" s="1"/>
  <c r="Q217" i="178" s="1"/>
  <c r="B196" i="178"/>
  <c r="H196" i="178" s="1"/>
  <c r="R196" i="178" s="1"/>
  <c r="D194" i="178"/>
  <c r="D215" i="178" s="1"/>
  <c r="Q215" i="178" s="1"/>
  <c r="B194" i="178"/>
  <c r="H194" i="178" s="1"/>
  <c r="R194" i="178" s="1"/>
  <c r="D193" i="178"/>
  <c r="D214" i="178" s="1"/>
  <c r="Q214" i="178" s="1"/>
  <c r="B193" i="178"/>
  <c r="H193" i="178" s="1"/>
  <c r="R193" i="178" s="1"/>
  <c r="D192" i="178"/>
  <c r="D213" i="178" s="1"/>
  <c r="Q213" i="178" s="1"/>
  <c r="B192" i="178"/>
  <c r="H192" i="178" s="1"/>
  <c r="R192" i="178" s="1"/>
  <c r="G191" i="178"/>
  <c r="N191" i="178" s="1"/>
  <c r="D191" i="178"/>
  <c r="D212" i="178" s="1"/>
  <c r="Q212" i="178" s="1"/>
  <c r="C191" i="178"/>
  <c r="C196" i="178" s="1"/>
  <c r="B191" i="178"/>
  <c r="H191" i="178" s="1"/>
  <c r="R191" i="178" s="1"/>
  <c r="R188" i="178"/>
  <c r="Q188" i="178"/>
  <c r="R187" i="178"/>
  <c r="Q187" i="178"/>
  <c r="R186" i="178"/>
  <c r="Q186" i="178"/>
  <c r="G186" i="178"/>
  <c r="G187" i="178" s="1"/>
  <c r="C186" i="178"/>
  <c r="C192" i="178" s="1"/>
  <c r="R185" i="178"/>
  <c r="Q185" i="178"/>
  <c r="N185" i="178"/>
  <c r="J185" i="178"/>
  <c r="R181" i="178"/>
  <c r="N181" i="178"/>
  <c r="J181" i="178"/>
  <c r="D181" i="178"/>
  <c r="Q181" i="178" s="1"/>
  <c r="R180" i="178"/>
  <c r="Q180" i="178"/>
  <c r="N180" i="178"/>
  <c r="J180" i="178"/>
  <c r="R178" i="178"/>
  <c r="N178" i="178"/>
  <c r="J178" i="178"/>
  <c r="D178" i="178"/>
  <c r="Q178" i="178" s="1"/>
  <c r="R177" i="178"/>
  <c r="Q177" i="178"/>
  <c r="N177" i="178"/>
  <c r="J177" i="178"/>
  <c r="R174" i="178"/>
  <c r="N174" i="178"/>
  <c r="J174" i="178"/>
  <c r="D174" i="178"/>
  <c r="Q174" i="178" s="1"/>
  <c r="R173" i="178"/>
  <c r="Q173" i="178"/>
  <c r="N173" i="178"/>
  <c r="J173" i="178"/>
  <c r="R171" i="178"/>
  <c r="N171" i="178"/>
  <c r="J171" i="178"/>
  <c r="D171" i="178"/>
  <c r="Q171" i="178" s="1"/>
  <c r="R170" i="178"/>
  <c r="Q170" i="178"/>
  <c r="N170" i="178"/>
  <c r="J170" i="178"/>
  <c r="R164" i="178"/>
  <c r="Q164" i="178"/>
  <c r="N164" i="178"/>
  <c r="J164" i="178"/>
  <c r="R163" i="178"/>
  <c r="Q163" i="178"/>
  <c r="N163" i="178"/>
  <c r="J163" i="178"/>
  <c r="R162" i="178"/>
  <c r="Q162" i="178"/>
  <c r="R161" i="178"/>
  <c r="Q161" i="178"/>
  <c r="N161" i="178"/>
  <c r="J161" i="178"/>
  <c r="R160" i="178"/>
  <c r="Q160" i="178"/>
  <c r="N160" i="178"/>
  <c r="J160" i="178"/>
  <c r="H156" i="178"/>
  <c r="R156" i="178" s="1"/>
  <c r="G156" i="178"/>
  <c r="N156" i="178" s="1"/>
  <c r="D156" i="178"/>
  <c r="Q156" i="178" s="1"/>
  <c r="C156" i="178"/>
  <c r="J156" i="178" s="1"/>
  <c r="R152" i="178"/>
  <c r="Q152" i="178"/>
  <c r="N152" i="178"/>
  <c r="J152" i="178"/>
  <c r="R151" i="178"/>
  <c r="Q151" i="178"/>
  <c r="N151" i="178"/>
  <c r="J151" i="178"/>
  <c r="R149" i="178"/>
  <c r="Q149" i="178"/>
  <c r="N149" i="178"/>
  <c r="L149" i="178"/>
  <c r="J149" i="178"/>
  <c r="R148" i="178"/>
  <c r="Q148" i="178"/>
  <c r="N148" i="178"/>
  <c r="J148" i="178"/>
  <c r="N143" i="178"/>
  <c r="J143" i="178"/>
  <c r="H143" i="178"/>
  <c r="R143" i="178" s="1"/>
  <c r="D143" i="178"/>
  <c r="Q143" i="178" s="1"/>
  <c r="R142" i="178"/>
  <c r="Q142" i="178"/>
  <c r="N142" i="178"/>
  <c r="J142" i="178"/>
  <c r="R140" i="178"/>
  <c r="Q140" i="178"/>
  <c r="N140" i="178"/>
  <c r="J140" i="178"/>
  <c r="N135" i="178"/>
  <c r="J135" i="178"/>
  <c r="N134" i="178"/>
  <c r="J134" i="178"/>
  <c r="H134" i="178"/>
  <c r="R134" i="178" s="1"/>
  <c r="D134" i="178"/>
  <c r="D135" i="178" s="1"/>
  <c r="Q135" i="178" s="1"/>
  <c r="R133" i="178"/>
  <c r="Q133" i="178"/>
  <c r="N133" i="178"/>
  <c r="J133" i="178"/>
  <c r="N131" i="178"/>
  <c r="J131" i="178"/>
  <c r="N130" i="178"/>
  <c r="J130" i="178"/>
  <c r="N129" i="178"/>
  <c r="J129" i="178"/>
  <c r="H129" i="178"/>
  <c r="R129" i="178" s="1"/>
  <c r="D129" i="178"/>
  <c r="D130" i="178" s="1"/>
  <c r="D131" i="178" s="1"/>
  <c r="Q131" i="178" s="1"/>
  <c r="B128" i="178"/>
  <c r="B117" i="178"/>
  <c r="B122" i="178" s="1"/>
  <c r="H122" i="178" s="1"/>
  <c r="R122" i="178" s="1"/>
  <c r="B116" i="178"/>
  <c r="H116" i="178" s="1"/>
  <c r="R116" i="178" s="1"/>
  <c r="B114" i="178"/>
  <c r="B119" i="178" s="1"/>
  <c r="B113" i="178"/>
  <c r="B118" i="178" s="1"/>
  <c r="H112" i="178"/>
  <c r="R112" i="178" s="1"/>
  <c r="H111" i="178"/>
  <c r="R111" i="178" s="1"/>
  <c r="B98" i="178"/>
  <c r="B103" i="178" s="1"/>
  <c r="B97" i="178"/>
  <c r="B102" i="178" s="1"/>
  <c r="B96" i="178"/>
  <c r="H96" i="178" s="1"/>
  <c r="R96" i="178" s="1"/>
  <c r="G95" i="178"/>
  <c r="G96" i="178" s="1"/>
  <c r="C95" i="178"/>
  <c r="C96" i="178" s="1"/>
  <c r="B95" i="178"/>
  <c r="B100" i="178" s="1"/>
  <c r="R91" i="178"/>
  <c r="N91" i="178"/>
  <c r="J91" i="178"/>
  <c r="R90" i="178"/>
  <c r="N90" i="178"/>
  <c r="J90" i="178"/>
  <c r="D90" i="178"/>
  <c r="Q90" i="178" s="1"/>
  <c r="R89" i="178"/>
  <c r="Q89" i="178"/>
  <c r="N89" i="178"/>
  <c r="J89" i="178"/>
  <c r="N87" i="178"/>
  <c r="J87" i="178"/>
  <c r="H87" i="178"/>
  <c r="R87" i="178" s="1"/>
  <c r="N86" i="178"/>
  <c r="J86" i="178"/>
  <c r="H86" i="178"/>
  <c r="R86" i="178" s="1"/>
  <c r="N85" i="178"/>
  <c r="J85" i="178"/>
  <c r="H85" i="178"/>
  <c r="R85" i="178" s="1"/>
  <c r="D85" i="178"/>
  <c r="Q85" i="178" s="1"/>
  <c r="B84" i="178"/>
  <c r="R80" i="178"/>
  <c r="Q80" i="178"/>
  <c r="N80" i="178"/>
  <c r="L80" i="178"/>
  <c r="J80" i="178"/>
  <c r="R79" i="178"/>
  <c r="Q79" i="178"/>
  <c r="N79" i="178"/>
  <c r="L79" i="178"/>
  <c r="J79" i="178"/>
  <c r="R77" i="178"/>
  <c r="Q77" i="178"/>
  <c r="N77" i="178"/>
  <c r="J77" i="178"/>
  <c r="N72" i="178"/>
  <c r="J72" i="178"/>
  <c r="H72" i="178"/>
  <c r="R72" i="178" s="1"/>
  <c r="D72" i="178"/>
  <c r="Q72" i="178" s="1"/>
  <c r="Q71" i="178"/>
  <c r="N71" i="178"/>
  <c r="J71" i="178"/>
  <c r="H71" i="178"/>
  <c r="R71" i="178" s="1"/>
  <c r="R69" i="178"/>
  <c r="N69" i="178"/>
  <c r="J69" i="178"/>
  <c r="D69" i="178"/>
  <c r="Q69" i="178" s="1"/>
  <c r="R68" i="178"/>
  <c r="Q68" i="178"/>
  <c r="N68" i="178"/>
  <c r="J68" i="178"/>
  <c r="R65" i="178"/>
  <c r="N65" i="178"/>
  <c r="J65" i="178"/>
  <c r="R64" i="178"/>
  <c r="N64" i="178"/>
  <c r="J64" i="178"/>
  <c r="D64" i="178"/>
  <c r="D65" i="178" s="1"/>
  <c r="Q65" i="178" s="1"/>
  <c r="R63" i="178"/>
  <c r="Q63" i="178"/>
  <c r="N63" i="178"/>
  <c r="J63" i="178"/>
  <c r="N58" i="178"/>
  <c r="J58" i="178"/>
  <c r="B58" i="178"/>
  <c r="H58" i="178" s="1"/>
  <c r="R58" i="178" s="1"/>
  <c r="R57" i="178"/>
  <c r="N57" i="178"/>
  <c r="J57" i="178"/>
  <c r="D57" i="178"/>
  <c r="D58" i="178" s="1"/>
  <c r="Q58" i="178" s="1"/>
  <c r="B57" i="178"/>
  <c r="Q55" i="178"/>
  <c r="N55" i="178"/>
  <c r="J55" i="178"/>
  <c r="B55" i="178"/>
  <c r="H55" i="178" s="1"/>
  <c r="R55" i="178" s="1"/>
  <c r="R54" i="178"/>
  <c r="Q54" i="178"/>
  <c r="N54" i="178"/>
  <c r="J54" i="178"/>
  <c r="B54" i="178"/>
  <c r="Q52" i="178"/>
  <c r="N52" i="178"/>
  <c r="J52" i="178"/>
  <c r="B52" i="178"/>
  <c r="H52" i="178" s="1"/>
  <c r="R52" i="178" s="1"/>
  <c r="R51" i="178"/>
  <c r="Q51" i="178"/>
  <c r="N51" i="178"/>
  <c r="J51" i="178"/>
  <c r="B51" i="178"/>
  <c r="Q48" i="178"/>
  <c r="N48" i="178"/>
  <c r="J48" i="178"/>
  <c r="H48" i="178"/>
  <c r="R48" i="178" s="1"/>
  <c r="Q47" i="178"/>
  <c r="N47" i="178"/>
  <c r="J47" i="178"/>
  <c r="H47" i="178"/>
  <c r="R47" i="178" s="1"/>
  <c r="Q46" i="178"/>
  <c r="N46" i="178"/>
  <c r="J46" i="178"/>
  <c r="H46" i="178"/>
  <c r="R46" i="178" s="1"/>
  <c r="N41" i="178"/>
  <c r="J41" i="178"/>
  <c r="N40" i="178"/>
  <c r="J40" i="178"/>
  <c r="D40" i="178"/>
  <c r="Q40" i="178" s="1"/>
  <c r="Q39" i="178"/>
  <c r="N39" i="178"/>
  <c r="J39" i="178"/>
  <c r="N37" i="178"/>
  <c r="J37" i="178"/>
  <c r="H37" i="178"/>
  <c r="H41" i="178" s="1"/>
  <c r="R41" i="178" s="1"/>
  <c r="N36" i="178"/>
  <c r="J36" i="178"/>
  <c r="H36" i="178"/>
  <c r="H40" i="178" s="1"/>
  <c r="R40" i="178" s="1"/>
  <c r="D36" i="178"/>
  <c r="D37" i="178" s="1"/>
  <c r="Q37" i="178" s="1"/>
  <c r="Q35" i="178"/>
  <c r="N35" i="178"/>
  <c r="J35" i="178"/>
  <c r="H35" i="178"/>
  <c r="H39" i="178" s="1"/>
  <c r="R39" i="178" s="1"/>
  <c r="R33" i="178"/>
  <c r="N33" i="178"/>
  <c r="J33" i="178"/>
  <c r="R32" i="178"/>
  <c r="N32" i="178"/>
  <c r="J32" i="178"/>
  <c r="D32" i="178"/>
  <c r="D33" i="178" s="1"/>
  <c r="Q33" i="178" s="1"/>
  <c r="R31" i="178"/>
  <c r="Q31" i="178"/>
  <c r="N31" i="178"/>
  <c r="J31" i="178"/>
  <c r="R28" i="178"/>
  <c r="Q28" i="178"/>
  <c r="N28" i="178"/>
  <c r="J28" i="178"/>
  <c r="R27" i="178"/>
  <c r="Q27" i="178"/>
  <c r="N27" i="178"/>
  <c r="J27" i="178"/>
  <c r="R26" i="178"/>
  <c r="Q26" i="178"/>
  <c r="N26" i="178"/>
  <c r="J26" i="178"/>
  <c r="R22" i="178"/>
  <c r="N22" i="178"/>
  <c r="L22" i="178"/>
  <c r="J22" i="178"/>
  <c r="R21" i="178"/>
  <c r="N21" i="178"/>
  <c r="L21" i="178"/>
  <c r="J21" i="178"/>
  <c r="R20" i="178"/>
  <c r="N20" i="178"/>
  <c r="J20" i="178"/>
  <c r="D20" i="178"/>
  <c r="D21" i="178" s="1"/>
  <c r="D22" i="178" s="1"/>
  <c r="Q22" i="178" s="1"/>
  <c r="R19" i="178"/>
  <c r="Q19" i="178"/>
  <c r="N19" i="178"/>
  <c r="J19" i="178"/>
  <c r="R17" i="178"/>
  <c r="Q17" i="178"/>
  <c r="N17" i="178"/>
  <c r="J17" i="178"/>
  <c r="R16" i="178"/>
  <c r="N16" i="178"/>
  <c r="J16" i="178"/>
  <c r="R15" i="178"/>
  <c r="N15" i="178"/>
  <c r="J15" i="178"/>
  <c r="R14" i="178"/>
  <c r="N14" i="178"/>
  <c r="J14" i="178"/>
  <c r="R13" i="178"/>
  <c r="N13" i="178"/>
  <c r="J13" i="178"/>
  <c r="D13" i="178"/>
  <c r="D14" i="178" s="1"/>
  <c r="R12" i="178"/>
  <c r="Q12" i="178"/>
  <c r="N12" i="178"/>
  <c r="J12" i="178"/>
  <c r="R10" i="178"/>
  <c r="Q10" i="178"/>
  <c r="N10" i="178"/>
  <c r="J10" i="178"/>
  <c r="R9" i="178"/>
  <c r="Q9" i="178"/>
  <c r="N9" i="178"/>
  <c r="J9" i="178"/>
  <c r="H43" i="176"/>
  <c r="H41" i="176"/>
  <c r="H37" i="176"/>
  <c r="I37" i="176" s="1"/>
  <c r="H36" i="176"/>
  <c r="H35" i="176"/>
  <c r="I35" i="176" s="1"/>
  <c r="H31" i="176"/>
  <c r="I31" i="176" s="1"/>
  <c r="H30" i="176"/>
  <c r="H29" i="176"/>
  <c r="I29" i="176" s="1"/>
  <c r="H28" i="176"/>
  <c r="H27" i="176"/>
  <c r="H26" i="176"/>
  <c r="H25" i="176"/>
  <c r="H24" i="176"/>
  <c r="H22" i="176"/>
  <c r="H20" i="176"/>
  <c r="H18" i="176"/>
  <c r="H17" i="176"/>
  <c r="H13" i="176"/>
  <c r="H12" i="176"/>
  <c r="H11" i="176"/>
  <c r="H9" i="176"/>
  <c r="H8" i="176"/>
  <c r="E37" i="176"/>
  <c r="E35" i="176"/>
  <c r="E31" i="176"/>
  <c r="E10" i="176"/>
  <c r="H39" i="175"/>
  <c r="H38" i="175"/>
  <c r="H24" i="175"/>
  <c r="H20" i="175"/>
  <c r="H16" i="175"/>
  <c r="H15" i="175"/>
  <c r="H12" i="175"/>
  <c r="H11" i="175"/>
  <c r="F39" i="175"/>
  <c r="F38" i="175"/>
  <c r="F24" i="175"/>
  <c r="F20" i="175"/>
  <c r="F18" i="175"/>
  <c r="F16" i="175"/>
  <c r="F15" i="175"/>
  <c r="F12" i="175"/>
  <c r="F11" i="175"/>
  <c r="H10" i="176"/>
  <c r="D14" i="175"/>
  <c r="H14" i="176" s="1"/>
  <c r="D43" i="175"/>
  <c r="E46" i="175"/>
  <c r="F46" i="175" s="1"/>
  <c r="E42" i="175"/>
  <c r="F42" i="175" s="1"/>
  <c r="E40" i="175"/>
  <c r="F40" i="175" s="1"/>
  <c r="E36" i="175"/>
  <c r="F36" i="175" s="1"/>
  <c r="E34" i="175"/>
  <c r="F34" i="175" s="1"/>
  <c r="E26" i="175"/>
  <c r="F26" i="175" s="1"/>
  <c r="H21" i="176"/>
  <c r="E10" i="175"/>
  <c r="J24" i="174"/>
  <c r="I48" i="174"/>
  <c r="I46" i="174"/>
  <c r="I42" i="174"/>
  <c r="I40" i="174"/>
  <c r="I39" i="174"/>
  <c r="J39" i="174" s="1"/>
  <c r="I38" i="174"/>
  <c r="J38" i="174" s="1"/>
  <c r="I37" i="174"/>
  <c r="I36" i="174"/>
  <c r="I35" i="174"/>
  <c r="I34" i="174"/>
  <c r="I33" i="174"/>
  <c r="I32" i="174"/>
  <c r="I31" i="174"/>
  <c r="I30" i="174"/>
  <c r="I29" i="174"/>
  <c r="I28" i="174"/>
  <c r="I26" i="174"/>
  <c r="I25" i="174"/>
  <c r="I23" i="174"/>
  <c r="I22" i="174"/>
  <c r="I21" i="174"/>
  <c r="I20" i="174"/>
  <c r="J20" i="174" s="1"/>
  <c r="I19" i="174"/>
  <c r="I18" i="174"/>
  <c r="I17" i="174"/>
  <c r="I16" i="174"/>
  <c r="J16" i="174" s="1"/>
  <c r="I15" i="174"/>
  <c r="J15" i="174" s="1"/>
  <c r="I12" i="174"/>
  <c r="J12" i="174" s="1"/>
  <c r="I11" i="174"/>
  <c r="J11" i="174" s="1"/>
  <c r="I9" i="174"/>
  <c r="I8" i="174"/>
  <c r="G39" i="174"/>
  <c r="G38" i="174"/>
  <c r="G24" i="174"/>
  <c r="G20" i="174"/>
  <c r="G16" i="174"/>
  <c r="G15" i="174"/>
  <c r="G12" i="174"/>
  <c r="G11" i="174"/>
  <c r="E48" i="174"/>
  <c r="D48" i="174"/>
  <c r="F46" i="174"/>
  <c r="H46" i="175" s="1"/>
  <c r="E46" i="174"/>
  <c r="D46" i="174"/>
  <c r="F42" i="174"/>
  <c r="H42" i="175" s="1"/>
  <c r="E42" i="174"/>
  <c r="D42" i="174"/>
  <c r="F40" i="174"/>
  <c r="H40" i="175" s="1"/>
  <c r="E40" i="174"/>
  <c r="D40" i="174"/>
  <c r="F26" i="174"/>
  <c r="H26" i="175" s="1"/>
  <c r="E26" i="174"/>
  <c r="D26" i="174"/>
  <c r="E25" i="174"/>
  <c r="D25" i="174"/>
  <c r="F36" i="174"/>
  <c r="H36" i="175" s="1"/>
  <c r="E36" i="174"/>
  <c r="D36" i="174"/>
  <c r="E35" i="174"/>
  <c r="D35" i="174"/>
  <c r="F34" i="174"/>
  <c r="H34" i="175" s="1"/>
  <c r="E34" i="174"/>
  <c r="D34" i="174"/>
  <c r="E33" i="174"/>
  <c r="D33" i="174"/>
  <c r="D32" i="174"/>
  <c r="F31" i="174"/>
  <c r="H31" i="175" s="1"/>
  <c r="E31" i="174"/>
  <c r="D31" i="174"/>
  <c r="D30" i="174"/>
  <c r="D29" i="174"/>
  <c r="E28" i="174"/>
  <c r="D28" i="174"/>
  <c r="E23" i="174"/>
  <c r="D23" i="174"/>
  <c r="E22" i="174"/>
  <c r="D22" i="174"/>
  <c r="E21" i="174"/>
  <c r="D21" i="174"/>
  <c r="E19" i="174"/>
  <c r="D19" i="174"/>
  <c r="F18" i="174"/>
  <c r="H18" i="175" s="1"/>
  <c r="E18" i="174"/>
  <c r="D18" i="174"/>
  <c r="E17" i="174"/>
  <c r="D17" i="174"/>
  <c r="F13" i="174"/>
  <c r="E13" i="174"/>
  <c r="D13" i="174"/>
  <c r="F10" i="174"/>
  <c r="E10" i="174"/>
  <c r="D10" i="174"/>
  <c r="D9" i="174"/>
  <c r="D8" i="174"/>
  <c r="E21" i="173"/>
  <c r="E19" i="173"/>
  <c r="K24" i="173"/>
  <c r="E24" i="173" s="1"/>
  <c r="K8" i="173"/>
  <c r="E8" i="173" s="1"/>
  <c r="D27" i="173"/>
  <c r="D26" i="173"/>
  <c r="D24" i="173"/>
  <c r="D23" i="173"/>
  <c r="D21" i="173"/>
  <c r="F21" i="173" s="1"/>
  <c r="D20" i="173"/>
  <c r="D19" i="173"/>
  <c r="F19" i="173" s="1"/>
  <c r="D16" i="173"/>
  <c r="D15" i="173"/>
  <c r="D14" i="173"/>
  <c r="D13" i="173"/>
  <c r="D12" i="173"/>
  <c r="D11" i="173"/>
  <c r="D9" i="173"/>
  <c r="D8" i="173"/>
  <c r="D7" i="173"/>
  <c r="M20" i="48"/>
  <c r="L20" i="48"/>
  <c r="K20" i="48"/>
  <c r="H20" i="48"/>
  <c r="G20" i="48"/>
  <c r="F20" i="48"/>
  <c r="D19" i="48"/>
  <c r="C19" i="48"/>
  <c r="K13" i="44"/>
  <c r="M13" i="44"/>
  <c r="L13" i="44"/>
  <c r="F31" i="44"/>
  <c r="E30" i="44"/>
  <c r="F30" i="44" s="1"/>
  <c r="I10" i="176" l="1"/>
  <c r="F8" i="173"/>
  <c r="B121" i="178"/>
  <c r="H121" i="178" s="1"/>
  <c r="R121" i="178" s="1"/>
  <c r="F24" i="173"/>
  <c r="G24" i="173" s="1"/>
  <c r="G42" i="174"/>
  <c r="R32" i="189"/>
  <c r="K95" i="189"/>
  <c r="R37" i="178"/>
  <c r="G26" i="174"/>
  <c r="R204" i="189"/>
  <c r="G21" i="173"/>
  <c r="G18" i="174"/>
  <c r="Q20" i="178"/>
  <c r="D29" i="44"/>
  <c r="E29" i="44" s="1"/>
  <c r="F29" i="44" s="1"/>
  <c r="F10" i="175"/>
  <c r="R36" i="178"/>
  <c r="N186" i="178"/>
  <c r="D91" i="178"/>
  <c r="D87" i="178" s="1"/>
  <c r="Q87" i="178" s="1"/>
  <c r="H23" i="176"/>
  <c r="I117" i="189"/>
  <c r="S117" i="189" s="1"/>
  <c r="I96" i="189"/>
  <c r="S96" i="189" s="1"/>
  <c r="I130" i="189"/>
  <c r="S130" i="189" s="1"/>
  <c r="Q192" i="178"/>
  <c r="J186" i="178"/>
  <c r="E135" i="189"/>
  <c r="R135" i="189" s="1"/>
  <c r="K186" i="189"/>
  <c r="H135" i="178"/>
  <c r="R135" i="178" s="1"/>
  <c r="S36" i="189"/>
  <c r="R203" i="189"/>
  <c r="J34" i="174"/>
  <c r="J42" i="174"/>
  <c r="D27" i="175"/>
  <c r="Q32" i="178"/>
  <c r="D41" i="178"/>
  <c r="Q41" i="178" s="1"/>
  <c r="G34" i="174"/>
  <c r="H130" i="178"/>
  <c r="R130" i="178" s="1"/>
  <c r="C187" i="178"/>
  <c r="J187" i="178" s="1"/>
  <c r="Q203" i="178"/>
  <c r="H38" i="176"/>
  <c r="R192" i="189"/>
  <c r="C101" i="178"/>
  <c r="C106" i="178" s="1"/>
  <c r="J106" i="178" s="1"/>
  <c r="C97" i="178"/>
  <c r="C98" i="178" s="1"/>
  <c r="C103" i="178" s="1"/>
  <c r="R21" i="189"/>
  <c r="E22" i="189"/>
  <c r="R22" i="189" s="1"/>
  <c r="J40" i="174"/>
  <c r="D86" i="178"/>
  <c r="Q86" i="178" s="1"/>
  <c r="C100" i="178"/>
  <c r="C105" i="178" s="1"/>
  <c r="J105" i="178" s="1"/>
  <c r="E37" i="189"/>
  <c r="R37" i="189" s="1"/>
  <c r="R64" i="189"/>
  <c r="I95" i="189"/>
  <c r="S95" i="189" s="1"/>
  <c r="D100" i="189"/>
  <c r="D105" i="189" s="1"/>
  <c r="K105" i="189" s="1"/>
  <c r="E130" i="189"/>
  <c r="D192" i="189"/>
  <c r="D197" i="189" s="1"/>
  <c r="K197" i="189" s="1"/>
  <c r="G19" i="173"/>
  <c r="Q36" i="178"/>
  <c r="J95" i="178"/>
  <c r="B101" i="178"/>
  <c r="B106" i="178" s="1"/>
  <c r="H106" i="178" s="1"/>
  <c r="R106" i="178" s="1"/>
  <c r="G196" i="178"/>
  <c r="G201" i="178" s="1"/>
  <c r="G206" i="178" s="1"/>
  <c r="R20" i="189"/>
  <c r="R194" i="189"/>
  <c r="R57" i="189"/>
  <c r="O95" i="189"/>
  <c r="G36" i="174"/>
  <c r="G46" i="174"/>
  <c r="J26" i="174"/>
  <c r="H117" i="178"/>
  <c r="R117" i="178" s="1"/>
  <c r="Q129" i="178"/>
  <c r="Q193" i="178"/>
  <c r="Q201" i="178"/>
  <c r="R40" i="189"/>
  <c r="R202" i="189"/>
  <c r="J18" i="174"/>
  <c r="J36" i="174"/>
  <c r="Q191" i="178"/>
  <c r="S37" i="189"/>
  <c r="H196" i="189"/>
  <c r="G40" i="174"/>
  <c r="J46" i="174"/>
  <c r="I97" i="189"/>
  <c r="S97" i="189" s="1"/>
  <c r="R193" i="189"/>
  <c r="Q202" i="178"/>
  <c r="I27" i="174"/>
  <c r="D27" i="174"/>
  <c r="J31" i="174"/>
  <c r="G31" i="174"/>
  <c r="G14" i="203"/>
  <c r="G10" i="174"/>
  <c r="H10" i="175"/>
  <c r="I10" i="175" s="1"/>
  <c r="H13" i="175"/>
  <c r="G13" i="174"/>
  <c r="E27" i="174"/>
  <c r="R14" i="189"/>
  <c r="E15" i="189"/>
  <c r="K187" i="189"/>
  <c r="D188" i="189"/>
  <c r="D193" i="189"/>
  <c r="C123" i="189"/>
  <c r="I123" i="189" s="1"/>
  <c r="S123" i="189" s="1"/>
  <c r="I118" i="189"/>
  <c r="S118" i="189" s="1"/>
  <c r="D201" i="189"/>
  <c r="K196" i="189"/>
  <c r="C124" i="189"/>
  <c r="I124" i="189" s="1"/>
  <c r="S124" i="189" s="1"/>
  <c r="I119" i="189"/>
  <c r="S119" i="189" s="1"/>
  <c r="I131" i="189"/>
  <c r="S131" i="189" s="1"/>
  <c r="S135" i="189"/>
  <c r="E87" i="189"/>
  <c r="R87" i="189" s="1"/>
  <c r="E95" i="189"/>
  <c r="R91" i="189"/>
  <c r="D97" i="189"/>
  <c r="D101" i="189"/>
  <c r="K96" i="189"/>
  <c r="C108" i="189"/>
  <c r="I108" i="189" s="1"/>
  <c r="S108" i="189" s="1"/>
  <c r="I103" i="189"/>
  <c r="S103" i="189" s="1"/>
  <c r="H97" i="189"/>
  <c r="H101" i="189"/>
  <c r="O96" i="189"/>
  <c r="I228" i="189"/>
  <c r="S228" i="189" s="1"/>
  <c r="I207" i="189"/>
  <c r="S207" i="189" s="1"/>
  <c r="S192" i="189"/>
  <c r="I227" i="189"/>
  <c r="S227" i="189" s="1"/>
  <c r="I206" i="189"/>
  <c r="S206" i="189" s="1"/>
  <c r="I208" i="189"/>
  <c r="S208" i="189" s="1"/>
  <c r="I230" i="189"/>
  <c r="S230" i="189" s="1"/>
  <c r="I209" i="189"/>
  <c r="S209" i="189" s="1"/>
  <c r="I229" i="189"/>
  <c r="S229" i="189" s="1"/>
  <c r="E86" i="189"/>
  <c r="R86" i="189" s="1"/>
  <c r="E222" i="189"/>
  <c r="R222" i="189" s="1"/>
  <c r="R13" i="189"/>
  <c r="S35" i="189"/>
  <c r="I98" i="189"/>
  <c r="S98" i="189" s="1"/>
  <c r="H100" i="189"/>
  <c r="I111" i="189"/>
  <c r="S111" i="189" s="1"/>
  <c r="I112" i="189"/>
  <c r="S112" i="189" s="1"/>
  <c r="R196" i="189"/>
  <c r="R206" i="189"/>
  <c r="E212" i="189"/>
  <c r="R212" i="189" s="1"/>
  <c r="I100" i="189"/>
  <c r="S100" i="189" s="1"/>
  <c r="I113" i="189"/>
  <c r="S113" i="189" s="1"/>
  <c r="H192" i="189"/>
  <c r="R197" i="189"/>
  <c r="R207" i="189"/>
  <c r="S87" i="189"/>
  <c r="R90" i="189"/>
  <c r="I101" i="189"/>
  <c r="S101" i="189" s="1"/>
  <c r="I114" i="189"/>
  <c r="S114" i="189" s="1"/>
  <c r="H187" i="189"/>
  <c r="K191" i="189"/>
  <c r="R198" i="189"/>
  <c r="R208" i="189"/>
  <c r="I102" i="189"/>
  <c r="S102" i="189" s="1"/>
  <c r="I116" i="189"/>
  <c r="S116" i="189" s="1"/>
  <c r="S134" i="189"/>
  <c r="R199" i="189"/>
  <c r="R209" i="189"/>
  <c r="B107" i="178"/>
  <c r="H107" i="178" s="1"/>
  <c r="R107" i="178" s="1"/>
  <c r="H102" i="178"/>
  <c r="R102" i="178" s="1"/>
  <c r="N187" i="178"/>
  <c r="G193" i="178"/>
  <c r="G188" i="178"/>
  <c r="Q14" i="178"/>
  <c r="D15" i="178"/>
  <c r="B105" i="178"/>
  <c r="H105" i="178" s="1"/>
  <c r="R105" i="178" s="1"/>
  <c r="H100" i="178"/>
  <c r="R100" i="178" s="1"/>
  <c r="B123" i="178"/>
  <c r="H123" i="178" s="1"/>
  <c r="R123" i="178" s="1"/>
  <c r="H118" i="178"/>
  <c r="R118" i="178" s="1"/>
  <c r="B108" i="178"/>
  <c r="H108" i="178" s="1"/>
  <c r="R108" i="178" s="1"/>
  <c r="H103" i="178"/>
  <c r="R103" i="178" s="1"/>
  <c r="B124" i="178"/>
  <c r="H124" i="178" s="1"/>
  <c r="R124" i="178" s="1"/>
  <c r="H119" i="178"/>
  <c r="R119" i="178" s="1"/>
  <c r="G97" i="178"/>
  <c r="G101" i="178"/>
  <c r="N96" i="178"/>
  <c r="J196" i="178"/>
  <c r="C201" i="178"/>
  <c r="C197" i="178"/>
  <c r="J192" i="178"/>
  <c r="D230" i="178"/>
  <c r="Q230" i="178" s="1"/>
  <c r="Q57" i="178"/>
  <c r="Q64" i="178"/>
  <c r="N95" i="178"/>
  <c r="J96" i="178"/>
  <c r="H97" i="178"/>
  <c r="R97" i="178" s="1"/>
  <c r="Q194" i="178"/>
  <c r="Q204" i="178"/>
  <c r="Q13" i="178"/>
  <c r="R35" i="178"/>
  <c r="H98" i="178"/>
  <c r="R98" i="178" s="1"/>
  <c r="G100" i="178"/>
  <c r="Q196" i="178"/>
  <c r="Q206" i="178"/>
  <c r="D220" i="178"/>
  <c r="Q220" i="178" s="1"/>
  <c r="H113" i="178"/>
  <c r="R113" i="178" s="1"/>
  <c r="G192" i="178"/>
  <c r="Q197" i="178"/>
  <c r="Q207" i="178"/>
  <c r="Q21" i="178"/>
  <c r="H114" i="178"/>
  <c r="R114" i="178" s="1"/>
  <c r="Q130" i="178"/>
  <c r="Q134" i="178"/>
  <c r="J191" i="178"/>
  <c r="Q198" i="178"/>
  <c r="Q208" i="178"/>
  <c r="H95" i="178"/>
  <c r="R95" i="178" s="1"/>
  <c r="G8" i="173"/>
  <c r="D37" i="175" l="1"/>
  <c r="H32" i="176" s="1"/>
  <c r="C102" i="178"/>
  <c r="D95" i="178"/>
  <c r="Q95" i="178" s="1"/>
  <c r="Q91" i="178"/>
  <c r="N201" i="178"/>
  <c r="J97" i="178"/>
  <c r="J100" i="178"/>
  <c r="D28" i="44"/>
  <c r="E28" i="44" s="1"/>
  <c r="F28" i="44" s="1"/>
  <c r="C193" i="178"/>
  <c r="C198" i="178" s="1"/>
  <c r="C188" i="178"/>
  <c r="J188" i="178" s="1"/>
  <c r="H131" i="178"/>
  <c r="R131" i="178" s="1"/>
  <c r="K100" i="189"/>
  <c r="N196" i="178"/>
  <c r="J98" i="178"/>
  <c r="D202" i="189"/>
  <c r="D207" i="189" s="1"/>
  <c r="J101" i="178"/>
  <c r="H101" i="178"/>
  <c r="R101" i="178" s="1"/>
  <c r="K192" i="189"/>
  <c r="H201" i="189"/>
  <c r="O196" i="189"/>
  <c r="R130" i="189"/>
  <c r="E131" i="189"/>
  <c r="R131" i="189" s="1"/>
  <c r="E16" i="127"/>
  <c r="D198" i="189"/>
  <c r="K193" i="189"/>
  <c r="D194" i="189"/>
  <c r="K188" i="189"/>
  <c r="D98" i="189"/>
  <c r="D102" i="189"/>
  <c r="K97" i="189"/>
  <c r="E16" i="189"/>
  <c r="R16" i="189" s="1"/>
  <c r="R15" i="189"/>
  <c r="D106" i="189"/>
  <c r="K106" i="189" s="1"/>
  <c r="K101" i="189"/>
  <c r="H197" i="189"/>
  <c r="O192" i="189"/>
  <c r="H105" i="189"/>
  <c r="O105" i="189" s="1"/>
  <c r="O100" i="189"/>
  <c r="H106" i="189"/>
  <c r="O106" i="189" s="1"/>
  <c r="O101" i="189"/>
  <c r="E96" i="189"/>
  <c r="R95" i="189"/>
  <c r="O187" i="189"/>
  <c r="H193" i="189"/>
  <c r="H188" i="189"/>
  <c r="H102" i="189"/>
  <c r="H98" i="189"/>
  <c r="O97" i="189"/>
  <c r="D206" i="189"/>
  <c r="K201" i="189"/>
  <c r="C206" i="178"/>
  <c r="J201" i="178"/>
  <c r="C108" i="178"/>
  <c r="J103" i="178"/>
  <c r="G106" i="178"/>
  <c r="N106" i="178" s="1"/>
  <c r="N101" i="178"/>
  <c r="D16" i="178"/>
  <c r="Q16" i="178" s="1"/>
  <c r="Q15" i="178"/>
  <c r="G212" i="178"/>
  <c r="N206" i="178"/>
  <c r="G102" i="178"/>
  <c r="N97" i="178"/>
  <c r="G98" i="178"/>
  <c r="C107" i="178"/>
  <c r="J107" i="178" s="1"/>
  <c r="J102" i="178"/>
  <c r="G194" i="178"/>
  <c r="N188" i="178"/>
  <c r="G105" i="178"/>
  <c r="N105" i="178" s="1"/>
  <c r="N100" i="178"/>
  <c r="N193" i="178"/>
  <c r="G198" i="178"/>
  <c r="G197" i="178"/>
  <c r="N192" i="178"/>
  <c r="C202" i="178"/>
  <c r="J197" i="178"/>
  <c r="D44" i="175" l="1"/>
  <c r="D96" i="178"/>
  <c r="D27" i="44"/>
  <c r="E27" i="44" s="1"/>
  <c r="F27" i="44" s="1"/>
  <c r="C194" i="178"/>
  <c r="C199" i="178" s="1"/>
  <c r="J193" i="178"/>
  <c r="K202" i="189"/>
  <c r="H39" i="176"/>
  <c r="D45" i="175"/>
  <c r="D49" i="175" s="1"/>
  <c r="H206" i="189"/>
  <c r="O201" i="189"/>
  <c r="D103" i="189"/>
  <c r="K98" i="189"/>
  <c r="H202" i="189"/>
  <c r="O197" i="189"/>
  <c r="D199" i="189"/>
  <c r="K194" i="189"/>
  <c r="E97" i="189"/>
  <c r="R96" i="189"/>
  <c r="D212" i="189"/>
  <c r="K206" i="189"/>
  <c r="H103" i="189"/>
  <c r="O98" i="189"/>
  <c r="D107" i="189"/>
  <c r="K107" i="189" s="1"/>
  <c r="K102" i="189"/>
  <c r="D213" i="189"/>
  <c r="K207" i="189"/>
  <c r="H107" i="189"/>
  <c r="O107" i="189" s="1"/>
  <c r="O102" i="189"/>
  <c r="H194" i="189"/>
  <c r="O188" i="189"/>
  <c r="H198" i="189"/>
  <c r="O193" i="189"/>
  <c r="D203" i="189"/>
  <c r="K198" i="189"/>
  <c r="C212" i="178"/>
  <c r="J206" i="178"/>
  <c r="N102" i="178"/>
  <c r="G107" i="178"/>
  <c r="N107" i="178" s="1"/>
  <c r="C207" i="178"/>
  <c r="J202" i="178"/>
  <c r="G202" i="178"/>
  <c r="N197" i="178"/>
  <c r="G103" i="178"/>
  <c r="N98" i="178"/>
  <c r="C203" i="178"/>
  <c r="J198" i="178"/>
  <c r="D97" i="178"/>
  <c r="Q96" i="178"/>
  <c r="G199" i="178"/>
  <c r="N194" i="178"/>
  <c r="G203" i="178"/>
  <c r="N198" i="178"/>
  <c r="G217" i="178"/>
  <c r="N212" i="178"/>
  <c r="C111" i="178"/>
  <c r="J108" i="178"/>
  <c r="D26" i="44" l="1"/>
  <c r="E26" i="44" s="1"/>
  <c r="J194" i="178"/>
  <c r="H40" i="176"/>
  <c r="D47" i="175"/>
  <c r="H212" i="189"/>
  <c r="O206" i="189"/>
  <c r="E98" i="189"/>
  <c r="R97" i="189"/>
  <c r="D204" i="189"/>
  <c r="K199" i="189"/>
  <c r="H203" i="189"/>
  <c r="O198" i="189"/>
  <c r="O103" i="189"/>
  <c r="H108" i="189"/>
  <c r="D217" i="189"/>
  <c r="K212" i="189"/>
  <c r="H207" i="189"/>
  <c r="O202" i="189"/>
  <c r="O194" i="189"/>
  <c r="H199" i="189"/>
  <c r="D208" i="189"/>
  <c r="K203" i="189"/>
  <c r="D218" i="189"/>
  <c r="K213" i="189"/>
  <c r="D108" i="189"/>
  <c r="K103" i="189"/>
  <c r="C217" i="178"/>
  <c r="J212" i="178"/>
  <c r="C112" i="178"/>
  <c r="J111" i="178"/>
  <c r="Q97" i="178"/>
  <c r="D98" i="178"/>
  <c r="G207" i="178"/>
  <c r="N202" i="178"/>
  <c r="N103" i="178"/>
  <c r="G108" i="178"/>
  <c r="C208" i="178"/>
  <c r="J203" i="178"/>
  <c r="G204" i="178"/>
  <c r="N199" i="178"/>
  <c r="G222" i="178"/>
  <c r="N217" i="178"/>
  <c r="C213" i="178"/>
  <c r="J207" i="178"/>
  <c r="N203" i="178"/>
  <c r="G208" i="178"/>
  <c r="C204" i="178"/>
  <c r="J199" i="178"/>
  <c r="F26" i="44"/>
  <c r="D25" i="44"/>
  <c r="E25" i="44" s="1"/>
  <c r="H44" i="176" l="1"/>
  <c r="H42" i="176"/>
  <c r="H217" i="189"/>
  <c r="O212" i="189"/>
  <c r="D111" i="189"/>
  <c r="K108" i="189"/>
  <c r="O108" i="189"/>
  <c r="H111" i="189"/>
  <c r="H204" i="189"/>
  <c r="O199" i="189"/>
  <c r="H208" i="189"/>
  <c r="O203" i="189"/>
  <c r="H213" i="189"/>
  <c r="O207" i="189"/>
  <c r="D209" i="189"/>
  <c r="K204" i="189"/>
  <c r="D214" i="189"/>
  <c r="K208" i="189"/>
  <c r="D223" i="189"/>
  <c r="K218" i="189"/>
  <c r="D222" i="189"/>
  <c r="K217" i="189"/>
  <c r="R98" i="189"/>
  <c r="E100" i="189"/>
  <c r="C222" i="178"/>
  <c r="J217" i="178"/>
  <c r="G227" i="178"/>
  <c r="N227" i="178" s="1"/>
  <c r="N222" i="178"/>
  <c r="G213" i="178"/>
  <c r="N207" i="178"/>
  <c r="N108" i="178"/>
  <c r="G111" i="178"/>
  <c r="Q98" i="178"/>
  <c r="D100" i="178"/>
  <c r="N204" i="178"/>
  <c r="G209" i="178"/>
  <c r="C218" i="178"/>
  <c r="J213" i="178"/>
  <c r="C209" i="178"/>
  <c r="J204" i="178"/>
  <c r="G214" i="178"/>
  <c r="N208" i="178"/>
  <c r="C214" i="178"/>
  <c r="J208" i="178"/>
  <c r="C113" i="178"/>
  <c r="J112" i="178"/>
  <c r="D24" i="44"/>
  <c r="E24" i="44" s="1"/>
  <c r="F25" i="44"/>
  <c r="H222" i="189" l="1"/>
  <c r="O217" i="189"/>
  <c r="H214" i="189"/>
  <c r="O208" i="189"/>
  <c r="R100" i="189"/>
  <c r="E105" i="189"/>
  <c r="E101" i="189"/>
  <c r="D215" i="189"/>
  <c r="K209" i="189"/>
  <c r="O204" i="189"/>
  <c r="H209" i="189"/>
  <c r="O111" i="189"/>
  <c r="H112" i="189"/>
  <c r="D219" i="189"/>
  <c r="K214" i="189"/>
  <c r="D227" i="189"/>
  <c r="K227" i="189" s="1"/>
  <c r="K222" i="189"/>
  <c r="H218" i="189"/>
  <c r="O213" i="189"/>
  <c r="D228" i="189"/>
  <c r="K228" i="189" s="1"/>
  <c r="K223" i="189"/>
  <c r="D112" i="189"/>
  <c r="K111" i="189"/>
  <c r="C227" i="178"/>
  <c r="J227" i="178" s="1"/>
  <c r="J222" i="178"/>
  <c r="N111" i="178"/>
  <c r="G112" i="178"/>
  <c r="C215" i="178"/>
  <c r="J209" i="178"/>
  <c r="N214" i="178"/>
  <c r="G219" i="178"/>
  <c r="J113" i="178"/>
  <c r="C114" i="178"/>
  <c r="G215" i="178"/>
  <c r="N209" i="178"/>
  <c r="Q100" i="178"/>
  <c r="D105" i="178"/>
  <c r="D101" i="178"/>
  <c r="C223" i="178"/>
  <c r="J218" i="178"/>
  <c r="G218" i="178"/>
  <c r="N213" i="178"/>
  <c r="C219" i="178"/>
  <c r="J214" i="178"/>
  <c r="F24" i="44"/>
  <c r="D23" i="44"/>
  <c r="E23" i="44" s="1"/>
  <c r="H227" i="189" l="1"/>
  <c r="O227" i="189" s="1"/>
  <c r="O222" i="189"/>
  <c r="H223" i="189"/>
  <c r="O218" i="189"/>
  <c r="R101" i="189"/>
  <c r="E106" i="189"/>
  <c r="E102" i="189"/>
  <c r="D113" i="189"/>
  <c r="K112" i="189"/>
  <c r="D224" i="189"/>
  <c r="K219" i="189"/>
  <c r="E111" i="189"/>
  <c r="R105" i="189"/>
  <c r="O112" i="189"/>
  <c r="H113" i="189"/>
  <c r="D220" i="189"/>
  <c r="K215" i="189"/>
  <c r="H215" i="189"/>
  <c r="O209" i="189"/>
  <c r="H219" i="189"/>
  <c r="O214" i="189"/>
  <c r="Q101" i="178"/>
  <c r="D106" i="178"/>
  <c r="D102" i="178"/>
  <c r="C228" i="178"/>
  <c r="J228" i="178" s="1"/>
  <c r="J223" i="178"/>
  <c r="D111" i="178"/>
  <c r="Q105" i="178"/>
  <c r="N112" i="178"/>
  <c r="G113" i="178"/>
  <c r="G224" i="178"/>
  <c r="N219" i="178"/>
  <c r="C220" i="178"/>
  <c r="J215" i="178"/>
  <c r="C224" i="178"/>
  <c r="J219" i="178"/>
  <c r="G220" i="178"/>
  <c r="N215" i="178"/>
  <c r="G223" i="178"/>
  <c r="N218" i="178"/>
  <c r="J114" i="178"/>
  <c r="C116" i="178"/>
  <c r="D22" i="44"/>
  <c r="E22" i="44" s="1"/>
  <c r="F23" i="44"/>
  <c r="D229" i="189" l="1"/>
  <c r="K229" i="189" s="1"/>
  <c r="K224" i="189"/>
  <c r="O113" i="189"/>
  <c r="H114" i="189"/>
  <c r="R102" i="189"/>
  <c r="E107" i="189"/>
  <c r="E103" i="189"/>
  <c r="D225" i="189"/>
  <c r="K220" i="189"/>
  <c r="H224" i="189"/>
  <c r="O219" i="189"/>
  <c r="R111" i="189"/>
  <c r="E116" i="189"/>
  <c r="O215" i="189"/>
  <c r="H220" i="189"/>
  <c r="K113" i="189"/>
  <c r="D114" i="189"/>
  <c r="E112" i="189"/>
  <c r="R106" i="189"/>
  <c r="H228" i="189"/>
  <c r="O228" i="189" s="1"/>
  <c r="O223" i="189"/>
  <c r="G228" i="178"/>
  <c r="N228" i="178" s="1"/>
  <c r="N223" i="178"/>
  <c r="Q106" i="178"/>
  <c r="D112" i="178"/>
  <c r="Q111" i="178"/>
  <c r="D116" i="178"/>
  <c r="G225" i="178"/>
  <c r="N220" i="178"/>
  <c r="C229" i="178"/>
  <c r="J229" i="178" s="1"/>
  <c r="J224" i="178"/>
  <c r="J116" i="178"/>
  <c r="C117" i="178"/>
  <c r="C225" i="178"/>
  <c r="J220" i="178"/>
  <c r="D107" i="178"/>
  <c r="D103" i="178"/>
  <c r="Q102" i="178"/>
  <c r="N224" i="178"/>
  <c r="G229" i="178"/>
  <c r="N229" i="178" s="1"/>
  <c r="N113" i="178"/>
  <c r="G114" i="178"/>
  <c r="D21" i="44"/>
  <c r="E21" i="44" s="1"/>
  <c r="F22" i="44"/>
  <c r="H225" i="189" l="1"/>
  <c r="O220" i="189"/>
  <c r="R107" i="189"/>
  <c r="E113" i="189"/>
  <c r="R112" i="189"/>
  <c r="E117" i="189"/>
  <c r="H229" i="189"/>
  <c r="O229" i="189" s="1"/>
  <c r="O224" i="189"/>
  <c r="D230" i="189"/>
  <c r="K230" i="189" s="1"/>
  <c r="K225" i="189"/>
  <c r="E108" i="189"/>
  <c r="R103" i="189"/>
  <c r="R116" i="189"/>
  <c r="E121" i="189"/>
  <c r="R121" i="189" s="1"/>
  <c r="O114" i="189"/>
  <c r="H116" i="189"/>
  <c r="K114" i="189"/>
  <c r="D116" i="189"/>
  <c r="Q107" i="178"/>
  <c r="D113" i="178"/>
  <c r="G230" i="178"/>
  <c r="N230" i="178" s="1"/>
  <c r="N225" i="178"/>
  <c r="D121" i="178"/>
  <c r="Q121" i="178" s="1"/>
  <c r="Q116" i="178"/>
  <c r="N114" i="178"/>
  <c r="G116" i="178"/>
  <c r="J117" i="178"/>
  <c r="C118" i="178"/>
  <c r="Q112" i="178"/>
  <c r="D117" i="178"/>
  <c r="D108" i="178"/>
  <c r="Q103" i="178"/>
  <c r="C230" i="178"/>
  <c r="J230" i="178" s="1"/>
  <c r="J225" i="178"/>
  <c r="F21" i="44"/>
  <c r="D20" i="44"/>
  <c r="E20" i="44" s="1"/>
  <c r="E122" i="189" l="1"/>
  <c r="R122" i="189" s="1"/>
  <c r="R117" i="189"/>
  <c r="R113" i="189"/>
  <c r="E118" i="189"/>
  <c r="R108" i="189"/>
  <c r="E114" i="189"/>
  <c r="O116" i="189"/>
  <c r="H117" i="189"/>
  <c r="K116" i="189"/>
  <c r="D117" i="189"/>
  <c r="O225" i="189"/>
  <c r="H230" i="189"/>
  <c r="O230" i="189" s="1"/>
  <c r="N116" i="178"/>
  <c r="G117" i="178"/>
  <c r="D122" i="178"/>
  <c r="Q122" i="178" s="1"/>
  <c r="Q117" i="178"/>
  <c r="Q108" i="178"/>
  <c r="D114" i="178"/>
  <c r="C119" i="178"/>
  <c r="J118" i="178"/>
  <c r="Q113" i="178"/>
  <c r="D118" i="178"/>
  <c r="D19" i="44"/>
  <c r="F19" i="44" s="1"/>
  <c r="F20" i="44"/>
  <c r="R114" i="189" l="1"/>
  <c r="E119" i="189"/>
  <c r="E123" i="189"/>
  <c r="R123" i="189" s="1"/>
  <c r="R118" i="189"/>
  <c r="K117" i="189"/>
  <c r="D118" i="189"/>
  <c r="O117" i="189"/>
  <c r="H118" i="189"/>
  <c r="C121" i="178"/>
  <c r="J119" i="178"/>
  <c r="Q114" i="178"/>
  <c r="D119" i="178"/>
  <c r="Q118" i="178"/>
  <c r="D123" i="178"/>
  <c r="Q123" i="178" s="1"/>
  <c r="G118" i="178"/>
  <c r="N117" i="178"/>
  <c r="F32" i="44"/>
  <c r="J13" i="44" s="1"/>
  <c r="H119" i="189" l="1"/>
  <c r="O118" i="189"/>
  <c r="K118" i="189"/>
  <c r="D119" i="189"/>
  <c r="R119" i="189"/>
  <c r="E124" i="189"/>
  <c r="R124" i="189" s="1"/>
  <c r="Q119" i="178"/>
  <c r="D124" i="178"/>
  <c r="Q124" i="178" s="1"/>
  <c r="G119" i="178"/>
  <c r="N118" i="178"/>
  <c r="C122" i="178"/>
  <c r="J121" i="178"/>
  <c r="D121" i="189" l="1"/>
  <c r="K119" i="189"/>
  <c r="H121" i="189"/>
  <c r="O119" i="189"/>
  <c r="N119" i="178"/>
  <c r="G121" i="178"/>
  <c r="J122" i="178"/>
  <c r="C123" i="178"/>
  <c r="O121" i="189" l="1"/>
  <c r="H122" i="189"/>
  <c r="D122" i="189"/>
  <c r="K121" i="189"/>
  <c r="N121" i="178"/>
  <c r="G122" i="178"/>
  <c r="J123" i="178"/>
  <c r="C124" i="178"/>
  <c r="J124" i="178" s="1"/>
  <c r="O122" i="189" l="1"/>
  <c r="H123" i="189"/>
  <c r="D123" i="189"/>
  <c r="K122" i="189"/>
  <c r="N122" i="178"/>
  <c r="G123" i="178"/>
  <c r="K123" i="189" l="1"/>
  <c r="D124" i="189"/>
  <c r="K124" i="189" s="1"/>
  <c r="O123" i="189"/>
  <c r="H124" i="189"/>
  <c r="O124" i="189" s="1"/>
  <c r="N123" i="178"/>
  <c r="G124" i="178"/>
  <c r="N124" i="178" s="1"/>
  <c r="C8" i="112" l="1"/>
  <c r="B8" i="112"/>
  <c r="G13" i="111" l="1"/>
  <c r="J9" i="106"/>
  <c r="I9" i="106"/>
  <c r="H9" i="106"/>
  <c r="G9" i="106"/>
  <c r="F9" i="106"/>
  <c r="F275" i="95"/>
  <c r="G275" i="95" s="1"/>
  <c r="F274" i="95"/>
  <c r="F273" i="95"/>
  <c r="F271" i="95"/>
  <c r="G271" i="95" s="1"/>
  <c r="F265" i="95"/>
  <c r="G265" i="95" s="1"/>
  <c r="F259" i="95"/>
  <c r="G259" i="95" s="1"/>
  <c r="F256" i="95"/>
  <c r="F255" i="95"/>
  <c r="F254" i="95"/>
  <c r="F253" i="95"/>
  <c r="F252" i="95"/>
  <c r="F251" i="95"/>
  <c r="F250" i="95"/>
  <c r="F249" i="95"/>
  <c r="F248" i="95"/>
  <c r="F247" i="95"/>
  <c r="F245" i="95"/>
  <c r="F244" i="95"/>
  <c r="F243" i="95"/>
  <c r="F242" i="95"/>
  <c r="F241" i="95"/>
  <c r="F240" i="95"/>
  <c r="F239" i="95"/>
  <c r="F238" i="95"/>
  <c r="F237" i="95"/>
  <c r="F236" i="95"/>
  <c r="F234" i="95"/>
  <c r="F233" i="95"/>
  <c r="F232" i="95"/>
  <c r="F231" i="95"/>
  <c r="F230" i="95"/>
  <c r="F229" i="95"/>
  <c r="F228" i="95"/>
  <c r="F227" i="95"/>
  <c r="F226" i="95"/>
  <c r="F225" i="95"/>
  <c r="F223" i="95"/>
  <c r="F222" i="95"/>
  <c r="F221" i="95"/>
  <c r="F220" i="95"/>
  <c r="F219" i="95"/>
  <c r="F218" i="95"/>
  <c r="F217" i="95"/>
  <c r="F216" i="95"/>
  <c r="F215" i="95"/>
  <c r="F214" i="95"/>
  <c r="F211" i="95"/>
  <c r="F209" i="95"/>
  <c r="F208" i="95"/>
  <c r="F207" i="95"/>
  <c r="F206" i="95"/>
  <c r="F205" i="95"/>
  <c r="F204" i="95"/>
  <c r="F202" i="95"/>
  <c r="F201" i="95"/>
  <c r="F200" i="95"/>
  <c r="F199" i="95"/>
  <c r="F198" i="95"/>
  <c r="F197" i="95"/>
  <c r="F196" i="95"/>
  <c r="F194" i="95"/>
  <c r="F191" i="95"/>
  <c r="F187" i="95"/>
  <c r="F185" i="95"/>
  <c r="F184" i="95"/>
  <c r="F183" i="95"/>
  <c r="F182" i="95"/>
  <c r="F181" i="95"/>
  <c r="F180" i="95"/>
  <c r="F179" i="95"/>
  <c r="F178" i="95"/>
  <c r="F177" i="95"/>
  <c r="F176" i="95"/>
  <c r="F174" i="95"/>
  <c r="F173" i="95"/>
  <c r="F172" i="95"/>
  <c r="F171" i="95"/>
  <c r="F170" i="95"/>
  <c r="F169" i="95"/>
  <c r="F168" i="95"/>
  <c r="F167" i="95"/>
  <c r="F166" i="95"/>
  <c r="F165" i="95"/>
  <c r="F163" i="95"/>
  <c r="F158" i="95"/>
  <c r="F156" i="95"/>
  <c r="F147" i="95"/>
  <c r="F139" i="95"/>
  <c r="F128" i="95"/>
  <c r="F126" i="95"/>
  <c r="F125" i="95"/>
  <c r="F124" i="95"/>
  <c r="F123" i="95"/>
  <c r="F122" i="95"/>
  <c r="F121" i="95"/>
  <c r="F120" i="95"/>
  <c r="F119" i="95"/>
  <c r="F118" i="95"/>
  <c r="F117" i="95"/>
  <c r="F116" i="95"/>
  <c r="F115" i="95"/>
  <c r="F114" i="95"/>
  <c r="F113" i="95"/>
  <c r="F112" i="95"/>
  <c r="F111" i="95"/>
  <c r="F110" i="95"/>
  <c r="F109" i="95"/>
  <c r="F108" i="95"/>
  <c r="F107" i="95"/>
  <c r="F106" i="95"/>
  <c r="F105" i="95"/>
  <c r="F104" i="95"/>
  <c r="F103" i="95"/>
  <c r="F102" i="95"/>
  <c r="F101" i="95"/>
  <c r="F100" i="95"/>
  <c r="F99" i="95"/>
  <c r="F98" i="95"/>
  <c r="F97" i="95"/>
  <c r="F96" i="95"/>
  <c r="F95" i="95"/>
  <c r="F93" i="95"/>
  <c r="F92" i="95"/>
  <c r="F91" i="95"/>
  <c r="F88" i="95"/>
  <c r="F85" i="95"/>
  <c r="F84" i="95"/>
  <c r="F82" i="95"/>
  <c r="F81" i="95"/>
  <c r="F79" i="95"/>
  <c r="F76" i="95"/>
  <c r="F74" i="95"/>
  <c r="F73" i="95"/>
  <c r="F72" i="95"/>
  <c r="F71" i="95"/>
  <c r="F70" i="95"/>
  <c r="F69" i="95"/>
  <c r="F67" i="95"/>
  <c r="F66" i="95"/>
  <c r="F65" i="95"/>
  <c r="F62" i="95"/>
  <c r="F60" i="95"/>
  <c r="F59" i="95"/>
  <c r="F57" i="95"/>
  <c r="F56" i="95"/>
  <c r="F54" i="95"/>
  <c r="F53" i="95"/>
  <c r="F45" i="95"/>
  <c r="F43" i="95"/>
  <c r="F42" i="95"/>
  <c r="F41" i="95"/>
  <c r="F40" i="95"/>
  <c r="F39" i="95"/>
  <c r="F38" i="95"/>
  <c r="F37" i="95"/>
  <c r="F36" i="95"/>
  <c r="F35" i="95"/>
  <c r="F34" i="95"/>
  <c r="F33" i="95"/>
  <c r="F32" i="95"/>
  <c r="F26" i="95"/>
  <c r="F24" i="95"/>
  <c r="F23" i="95"/>
  <c r="F22" i="95"/>
  <c r="F21" i="95"/>
  <c r="F18" i="95"/>
  <c r="F17" i="95"/>
  <c r="F16" i="95"/>
  <c r="F15" i="95"/>
  <c r="F14" i="95"/>
  <c r="V275" i="93"/>
  <c r="W275" i="93" s="1"/>
  <c r="P275" i="93"/>
  <c r="V274" i="93"/>
  <c r="W274" i="93" s="1"/>
  <c r="P274" i="93"/>
  <c r="V273" i="93"/>
  <c r="W273" i="93" s="1"/>
  <c r="P273" i="93"/>
  <c r="V271" i="93"/>
  <c r="W271" i="93" s="1"/>
  <c r="P271" i="93"/>
  <c r="V265" i="93"/>
  <c r="W265" i="93" s="1"/>
  <c r="P265" i="93"/>
  <c r="V259" i="93"/>
  <c r="W259" i="93" s="1"/>
  <c r="P259" i="93"/>
  <c r="V256" i="93"/>
  <c r="W256" i="93" s="1"/>
  <c r="P256" i="93"/>
  <c r="V255" i="93"/>
  <c r="W255" i="93" s="1"/>
  <c r="P255" i="93"/>
  <c r="V254" i="93"/>
  <c r="W254" i="93" s="1"/>
  <c r="P254" i="93"/>
  <c r="V253" i="93"/>
  <c r="W253" i="93" s="1"/>
  <c r="P253" i="93"/>
  <c r="V252" i="93"/>
  <c r="W252" i="93" s="1"/>
  <c r="P252" i="93"/>
  <c r="V251" i="93"/>
  <c r="W251" i="93" s="1"/>
  <c r="P251" i="93"/>
  <c r="V250" i="93"/>
  <c r="W250" i="93" s="1"/>
  <c r="P250" i="93"/>
  <c r="V249" i="93"/>
  <c r="W249" i="93" s="1"/>
  <c r="P249" i="93"/>
  <c r="V248" i="93"/>
  <c r="W248" i="93" s="1"/>
  <c r="P248" i="93"/>
  <c r="V247" i="93"/>
  <c r="W247" i="93" s="1"/>
  <c r="P247" i="93"/>
  <c r="V245" i="93"/>
  <c r="W245" i="93" s="1"/>
  <c r="P245" i="93"/>
  <c r="V244" i="93"/>
  <c r="W244" i="93" s="1"/>
  <c r="P244" i="93"/>
  <c r="V243" i="93"/>
  <c r="W243" i="93" s="1"/>
  <c r="P243" i="93"/>
  <c r="V242" i="93"/>
  <c r="W242" i="93" s="1"/>
  <c r="P242" i="93"/>
  <c r="V241" i="93"/>
  <c r="W241" i="93" s="1"/>
  <c r="P241" i="93"/>
  <c r="V240" i="93"/>
  <c r="W240" i="93" s="1"/>
  <c r="P240" i="93"/>
  <c r="V239" i="93"/>
  <c r="W239" i="93" s="1"/>
  <c r="P239" i="93"/>
  <c r="V238" i="93"/>
  <c r="W238" i="93" s="1"/>
  <c r="P238" i="93"/>
  <c r="V237" i="93"/>
  <c r="W237" i="93" s="1"/>
  <c r="P237" i="93"/>
  <c r="V236" i="93"/>
  <c r="W236" i="93" s="1"/>
  <c r="P236" i="93"/>
  <c r="V234" i="93"/>
  <c r="W234" i="93" s="1"/>
  <c r="P234" i="93"/>
  <c r="V233" i="93"/>
  <c r="W233" i="93" s="1"/>
  <c r="P233" i="93"/>
  <c r="V232" i="93"/>
  <c r="W232" i="93" s="1"/>
  <c r="P232" i="93"/>
  <c r="V231" i="93"/>
  <c r="W231" i="93" s="1"/>
  <c r="P231" i="93"/>
  <c r="V230" i="93"/>
  <c r="W230" i="93" s="1"/>
  <c r="P230" i="93"/>
  <c r="V229" i="93"/>
  <c r="W229" i="93" s="1"/>
  <c r="P229" i="93"/>
  <c r="V228" i="93"/>
  <c r="W228" i="93" s="1"/>
  <c r="P228" i="93"/>
  <c r="V227" i="93"/>
  <c r="W227" i="93" s="1"/>
  <c r="P227" i="93"/>
  <c r="V226" i="93"/>
  <c r="W226" i="93" s="1"/>
  <c r="P226" i="93"/>
  <c r="V225" i="93"/>
  <c r="W225" i="93" s="1"/>
  <c r="P225" i="93"/>
  <c r="V223" i="93"/>
  <c r="W223" i="93" s="1"/>
  <c r="P223" i="93"/>
  <c r="V222" i="93"/>
  <c r="W222" i="93" s="1"/>
  <c r="P222" i="93"/>
  <c r="V221" i="93"/>
  <c r="W221" i="93" s="1"/>
  <c r="P221" i="93"/>
  <c r="V220" i="93"/>
  <c r="W220" i="93" s="1"/>
  <c r="P220" i="93"/>
  <c r="V219" i="93"/>
  <c r="W219" i="93" s="1"/>
  <c r="P219" i="93"/>
  <c r="V218" i="93"/>
  <c r="W218" i="93" s="1"/>
  <c r="P218" i="93"/>
  <c r="V217" i="93"/>
  <c r="W217" i="93" s="1"/>
  <c r="P217" i="93"/>
  <c r="V216" i="93"/>
  <c r="W216" i="93" s="1"/>
  <c r="P216" i="93"/>
  <c r="V215" i="93"/>
  <c r="W215" i="93" s="1"/>
  <c r="P215" i="93"/>
  <c r="V214" i="93"/>
  <c r="W214" i="93" s="1"/>
  <c r="P214" i="93"/>
  <c r="V211" i="93"/>
  <c r="W211" i="93" s="1"/>
  <c r="P211" i="93"/>
  <c r="V209" i="93"/>
  <c r="W209" i="93" s="1"/>
  <c r="P209" i="93"/>
  <c r="V208" i="93"/>
  <c r="W208" i="93" s="1"/>
  <c r="P208" i="93"/>
  <c r="V207" i="93"/>
  <c r="W207" i="93" s="1"/>
  <c r="P207" i="93"/>
  <c r="V206" i="93"/>
  <c r="W206" i="93" s="1"/>
  <c r="P206" i="93"/>
  <c r="V205" i="93"/>
  <c r="W205" i="93" s="1"/>
  <c r="P205" i="93"/>
  <c r="V204" i="93"/>
  <c r="W204" i="93" s="1"/>
  <c r="P204" i="93"/>
  <c r="V203" i="93"/>
  <c r="W203" i="93" s="1"/>
  <c r="P203" i="93"/>
  <c r="V202" i="93"/>
  <c r="W202" i="93" s="1"/>
  <c r="P202" i="93"/>
  <c r="V201" i="93"/>
  <c r="W201" i="93" s="1"/>
  <c r="P201" i="93"/>
  <c r="V200" i="93"/>
  <c r="W200" i="93" s="1"/>
  <c r="P200" i="93"/>
  <c r="V199" i="93"/>
  <c r="W199" i="93" s="1"/>
  <c r="P199" i="93"/>
  <c r="V198" i="93"/>
  <c r="W198" i="93" s="1"/>
  <c r="P198" i="93"/>
  <c r="V197" i="93"/>
  <c r="W197" i="93" s="1"/>
  <c r="P197" i="93"/>
  <c r="V196" i="93"/>
  <c r="W196" i="93" s="1"/>
  <c r="P196" i="93"/>
  <c r="V194" i="93"/>
  <c r="W194" i="93" s="1"/>
  <c r="P194" i="93"/>
  <c r="V191" i="93"/>
  <c r="W191" i="93" s="1"/>
  <c r="P191" i="93"/>
  <c r="V187" i="93"/>
  <c r="W187" i="93" s="1"/>
  <c r="P187" i="93"/>
  <c r="V185" i="93"/>
  <c r="W185" i="93" s="1"/>
  <c r="P185" i="93"/>
  <c r="V184" i="93"/>
  <c r="W184" i="93" s="1"/>
  <c r="P184" i="93"/>
  <c r="V183" i="93"/>
  <c r="W183" i="93" s="1"/>
  <c r="P183" i="93"/>
  <c r="V182" i="93"/>
  <c r="W182" i="93" s="1"/>
  <c r="P182" i="93"/>
  <c r="V181" i="93"/>
  <c r="W181" i="93" s="1"/>
  <c r="P181" i="93"/>
  <c r="V180" i="93"/>
  <c r="W180" i="93" s="1"/>
  <c r="P180" i="93"/>
  <c r="V179" i="93"/>
  <c r="W179" i="93" s="1"/>
  <c r="P179" i="93"/>
  <c r="V178" i="93"/>
  <c r="W178" i="93" s="1"/>
  <c r="P178" i="93"/>
  <c r="V177" i="93"/>
  <c r="W177" i="93" s="1"/>
  <c r="P177" i="93"/>
  <c r="V176" i="93"/>
  <c r="W176" i="93" s="1"/>
  <c r="P176" i="93"/>
  <c r="V174" i="93"/>
  <c r="W174" i="93" s="1"/>
  <c r="P174" i="93"/>
  <c r="V173" i="93"/>
  <c r="W173" i="93" s="1"/>
  <c r="P173" i="93"/>
  <c r="V172" i="93"/>
  <c r="W172" i="93" s="1"/>
  <c r="P172" i="93"/>
  <c r="V171" i="93"/>
  <c r="W171" i="93" s="1"/>
  <c r="P171" i="93"/>
  <c r="V170" i="93"/>
  <c r="W170" i="93" s="1"/>
  <c r="P170" i="93"/>
  <c r="V169" i="93"/>
  <c r="W169" i="93" s="1"/>
  <c r="P169" i="93"/>
  <c r="V168" i="93"/>
  <c r="W168" i="93" s="1"/>
  <c r="P168" i="93"/>
  <c r="V167" i="93"/>
  <c r="W167" i="93" s="1"/>
  <c r="P167" i="93"/>
  <c r="V166" i="93"/>
  <c r="W166" i="93" s="1"/>
  <c r="P166" i="93"/>
  <c r="V165" i="93"/>
  <c r="W165" i="93" s="1"/>
  <c r="P165" i="93"/>
  <c r="V163" i="93"/>
  <c r="W163" i="93" s="1"/>
  <c r="P163" i="93"/>
  <c r="V158" i="93"/>
  <c r="W158" i="93" s="1"/>
  <c r="P158" i="93"/>
  <c r="V156" i="93"/>
  <c r="W156" i="93" s="1"/>
  <c r="P156" i="93"/>
  <c r="V147" i="93"/>
  <c r="W147" i="93" s="1"/>
  <c r="P147" i="93"/>
  <c r="V139" i="93"/>
  <c r="W139" i="93" s="1"/>
  <c r="P139" i="93"/>
  <c r="V128" i="93"/>
  <c r="W128" i="93" s="1"/>
  <c r="P128" i="93"/>
  <c r="V126" i="93"/>
  <c r="W126" i="93" s="1"/>
  <c r="P126" i="93"/>
  <c r="V125" i="93"/>
  <c r="W125" i="93" s="1"/>
  <c r="P125" i="93"/>
  <c r="V124" i="93"/>
  <c r="W124" i="93" s="1"/>
  <c r="P124" i="93"/>
  <c r="V123" i="93"/>
  <c r="W123" i="93" s="1"/>
  <c r="P123" i="93"/>
  <c r="V122" i="93"/>
  <c r="W122" i="93" s="1"/>
  <c r="P122" i="93"/>
  <c r="V121" i="93"/>
  <c r="W121" i="93" s="1"/>
  <c r="P121" i="93"/>
  <c r="V120" i="93"/>
  <c r="W120" i="93" s="1"/>
  <c r="P120" i="93"/>
  <c r="V119" i="93"/>
  <c r="W119" i="93" s="1"/>
  <c r="P119" i="93"/>
  <c r="V118" i="93"/>
  <c r="W118" i="93" s="1"/>
  <c r="P118" i="93"/>
  <c r="V117" i="93"/>
  <c r="W117" i="93" s="1"/>
  <c r="P117" i="93"/>
  <c r="V116" i="93"/>
  <c r="W116" i="93" s="1"/>
  <c r="P116" i="93"/>
  <c r="V115" i="93"/>
  <c r="W115" i="93" s="1"/>
  <c r="P115" i="93"/>
  <c r="V114" i="93"/>
  <c r="W114" i="93" s="1"/>
  <c r="P114" i="93"/>
  <c r="V113" i="93"/>
  <c r="W113" i="93" s="1"/>
  <c r="P113" i="93"/>
  <c r="V112" i="93"/>
  <c r="W112" i="93" s="1"/>
  <c r="P112" i="93"/>
  <c r="V111" i="93"/>
  <c r="W111" i="93" s="1"/>
  <c r="P111" i="93"/>
  <c r="V110" i="93"/>
  <c r="W110" i="93" s="1"/>
  <c r="P110" i="93"/>
  <c r="V109" i="93"/>
  <c r="W109" i="93" s="1"/>
  <c r="P109" i="93"/>
  <c r="V108" i="93"/>
  <c r="W108" i="93" s="1"/>
  <c r="P108" i="93"/>
  <c r="V107" i="93"/>
  <c r="W107" i="93" s="1"/>
  <c r="P107" i="93"/>
  <c r="V106" i="93"/>
  <c r="W106" i="93" s="1"/>
  <c r="P106" i="93"/>
  <c r="V105" i="93"/>
  <c r="W105" i="93" s="1"/>
  <c r="P105" i="93"/>
  <c r="V104" i="93"/>
  <c r="W104" i="93" s="1"/>
  <c r="P104" i="93"/>
  <c r="V103" i="93"/>
  <c r="W103" i="93" s="1"/>
  <c r="P103" i="93"/>
  <c r="V102" i="93"/>
  <c r="W102" i="93" s="1"/>
  <c r="P102" i="93"/>
  <c r="V101" i="93"/>
  <c r="W101" i="93" s="1"/>
  <c r="P101" i="93"/>
  <c r="V100" i="93"/>
  <c r="W100" i="93" s="1"/>
  <c r="P100" i="93"/>
  <c r="V99" i="93"/>
  <c r="W99" i="93" s="1"/>
  <c r="P99" i="93"/>
  <c r="V98" i="93"/>
  <c r="W98" i="93" s="1"/>
  <c r="P98" i="93"/>
  <c r="V97" i="93"/>
  <c r="W97" i="93" s="1"/>
  <c r="P97" i="93"/>
  <c r="V96" i="93"/>
  <c r="W96" i="93" s="1"/>
  <c r="P96" i="93"/>
  <c r="V95" i="93"/>
  <c r="W95" i="93" s="1"/>
  <c r="P95" i="93"/>
  <c r="V93" i="93"/>
  <c r="W93" i="93" s="1"/>
  <c r="P93" i="93"/>
  <c r="V92" i="93"/>
  <c r="W92" i="93" s="1"/>
  <c r="P92" i="93"/>
  <c r="V91" i="93"/>
  <c r="W91" i="93" s="1"/>
  <c r="P91" i="93"/>
  <c r="V88" i="93"/>
  <c r="W88" i="93" s="1"/>
  <c r="P88" i="93"/>
  <c r="V85" i="93"/>
  <c r="W85" i="93" s="1"/>
  <c r="P85" i="93"/>
  <c r="V84" i="93"/>
  <c r="W84" i="93" s="1"/>
  <c r="P84" i="93"/>
  <c r="V82" i="93"/>
  <c r="W82" i="93" s="1"/>
  <c r="P82" i="93"/>
  <c r="V81" i="93"/>
  <c r="W81" i="93" s="1"/>
  <c r="P81" i="93"/>
  <c r="V79" i="93"/>
  <c r="W79" i="93" s="1"/>
  <c r="P79" i="93"/>
  <c r="V76" i="93"/>
  <c r="W76" i="93" s="1"/>
  <c r="P76" i="93"/>
  <c r="V74" i="93"/>
  <c r="W74" i="93" s="1"/>
  <c r="P74" i="93"/>
  <c r="V73" i="93"/>
  <c r="W73" i="93" s="1"/>
  <c r="P73" i="93"/>
  <c r="V72" i="93"/>
  <c r="W72" i="93" s="1"/>
  <c r="P72" i="93"/>
  <c r="V71" i="93"/>
  <c r="W71" i="93" s="1"/>
  <c r="P71" i="93"/>
  <c r="V70" i="93"/>
  <c r="W70" i="93" s="1"/>
  <c r="P70" i="93"/>
  <c r="V69" i="93"/>
  <c r="W69" i="93" s="1"/>
  <c r="P69" i="93"/>
  <c r="V67" i="93"/>
  <c r="W67" i="93" s="1"/>
  <c r="P67" i="93"/>
  <c r="V66" i="93"/>
  <c r="W66" i="93" s="1"/>
  <c r="P66" i="93"/>
  <c r="V65" i="93"/>
  <c r="W65" i="93" s="1"/>
  <c r="P65" i="93"/>
  <c r="V62" i="93"/>
  <c r="W62" i="93" s="1"/>
  <c r="P62" i="93"/>
  <c r="V60" i="93"/>
  <c r="W60" i="93" s="1"/>
  <c r="P60" i="93"/>
  <c r="V59" i="93"/>
  <c r="W59" i="93" s="1"/>
  <c r="P59" i="93"/>
  <c r="V57" i="93"/>
  <c r="W57" i="93" s="1"/>
  <c r="P57" i="93"/>
  <c r="V56" i="93"/>
  <c r="W56" i="93" s="1"/>
  <c r="P56" i="93"/>
  <c r="V54" i="93"/>
  <c r="W54" i="93" s="1"/>
  <c r="P54" i="93"/>
  <c r="V53" i="93"/>
  <c r="W53" i="93" s="1"/>
  <c r="P53" i="93"/>
  <c r="V45" i="93"/>
  <c r="W45" i="93" s="1"/>
  <c r="P45" i="93"/>
  <c r="V43" i="93"/>
  <c r="W43" i="93" s="1"/>
  <c r="P43" i="93"/>
  <c r="V42" i="93"/>
  <c r="W42" i="93" s="1"/>
  <c r="P42" i="93"/>
  <c r="V41" i="93"/>
  <c r="W41" i="93" s="1"/>
  <c r="P41" i="93"/>
  <c r="V40" i="93"/>
  <c r="W40" i="93" s="1"/>
  <c r="P40" i="93"/>
  <c r="V39" i="93"/>
  <c r="W39" i="93" s="1"/>
  <c r="P39" i="93"/>
  <c r="V38" i="93"/>
  <c r="W38" i="93" s="1"/>
  <c r="P38" i="93"/>
  <c r="V37" i="93"/>
  <c r="W37" i="93" s="1"/>
  <c r="P37" i="93"/>
  <c r="V36" i="93"/>
  <c r="W36" i="93" s="1"/>
  <c r="P36" i="93"/>
  <c r="V35" i="93"/>
  <c r="W35" i="93" s="1"/>
  <c r="P35" i="93"/>
  <c r="V34" i="93"/>
  <c r="W34" i="93" s="1"/>
  <c r="P34" i="93"/>
  <c r="V33" i="93"/>
  <c r="W33" i="93" s="1"/>
  <c r="P33" i="93"/>
  <c r="V32" i="93"/>
  <c r="W32" i="93" s="1"/>
  <c r="P32" i="93"/>
  <c r="V26" i="93"/>
  <c r="W26" i="93" s="1"/>
  <c r="P26" i="93"/>
  <c r="V24" i="93"/>
  <c r="W24" i="93" s="1"/>
  <c r="P24" i="93"/>
  <c r="V23" i="93"/>
  <c r="W23" i="93" s="1"/>
  <c r="P23" i="93"/>
  <c r="V22" i="93"/>
  <c r="W22" i="93" s="1"/>
  <c r="P22" i="93"/>
  <c r="V21" i="93"/>
  <c r="W21" i="93" s="1"/>
  <c r="P21" i="93"/>
  <c r="V18" i="93"/>
  <c r="W18" i="93" s="1"/>
  <c r="P18" i="93"/>
  <c r="V17" i="93"/>
  <c r="W17" i="93" s="1"/>
  <c r="P17" i="93"/>
  <c r="V16" i="93"/>
  <c r="W16" i="93" s="1"/>
  <c r="P16" i="93"/>
  <c r="V15" i="93"/>
  <c r="W15" i="93" s="1"/>
  <c r="P15" i="93"/>
  <c r="V14" i="93"/>
  <c r="W14" i="93" s="1"/>
  <c r="P14" i="93"/>
  <c r="F270" i="183"/>
  <c r="F268" i="183"/>
  <c r="F266" i="183"/>
  <c r="F261" i="183"/>
  <c r="F260" i="183"/>
  <c r="F255" i="183"/>
  <c r="F254" i="183"/>
  <c r="F207" i="183"/>
  <c r="F206" i="183"/>
  <c r="F190" i="183"/>
  <c r="F189" i="183"/>
  <c r="F188" i="183"/>
  <c r="F187" i="183"/>
  <c r="F186" i="183"/>
  <c r="F185" i="183"/>
  <c r="F184" i="183"/>
  <c r="F183" i="183"/>
  <c r="F182" i="183"/>
  <c r="F158" i="183"/>
  <c r="F154" i="183"/>
  <c r="F153" i="183"/>
  <c r="F151" i="183"/>
  <c r="F143" i="183"/>
  <c r="F142" i="183"/>
  <c r="F135" i="183"/>
  <c r="F134" i="183"/>
  <c r="F124" i="183"/>
  <c r="F123" i="183"/>
  <c r="F84" i="183"/>
  <c r="F83" i="183"/>
  <c r="F72" i="183"/>
  <c r="F71" i="183"/>
  <c r="F58" i="183"/>
  <c r="F57" i="183"/>
  <c r="F41" i="183"/>
  <c r="F40" i="183"/>
  <c r="F22" i="183"/>
  <c r="F21" i="183"/>
  <c r="G270" i="183"/>
  <c r="G268" i="183"/>
  <c r="G266" i="183"/>
  <c r="G261" i="183"/>
  <c r="G260" i="183"/>
  <c r="G255" i="183"/>
  <c r="G254" i="183"/>
  <c r="G207" i="183"/>
  <c r="G206" i="183"/>
  <c r="G190" i="183"/>
  <c r="G189" i="183"/>
  <c r="G188" i="183"/>
  <c r="G187" i="183"/>
  <c r="G186" i="183"/>
  <c r="G185" i="183"/>
  <c r="G184" i="183"/>
  <c r="G183" i="183"/>
  <c r="G182" i="183"/>
  <c r="G158" i="183"/>
  <c r="G154" i="183"/>
  <c r="G153" i="183"/>
  <c r="G152" i="183"/>
  <c r="G151" i="183"/>
  <c r="G143" i="183"/>
  <c r="G142" i="183"/>
  <c r="G135" i="183"/>
  <c r="G134" i="183"/>
  <c r="G124" i="183"/>
  <c r="G123" i="183"/>
  <c r="G84" i="183"/>
  <c r="G83" i="183"/>
  <c r="G72" i="183"/>
  <c r="G71" i="183"/>
  <c r="G58" i="183"/>
  <c r="G57" i="183"/>
  <c r="G41" i="183"/>
  <c r="G40" i="183"/>
  <c r="G22" i="183"/>
  <c r="G21" i="183"/>
  <c r="I125" i="86"/>
  <c r="I124" i="86"/>
  <c r="I123" i="86"/>
  <c r="I122" i="86"/>
  <c r="I121" i="86"/>
  <c r="I120" i="86"/>
  <c r="I119" i="86"/>
  <c r="I118" i="86"/>
  <c r="I117" i="86"/>
  <c r="I116" i="86"/>
  <c r="I115" i="86"/>
  <c r="I114" i="86"/>
  <c r="I113" i="86"/>
  <c r="I112" i="86"/>
  <c r="I111" i="86"/>
  <c r="I110" i="86"/>
  <c r="I109" i="86"/>
  <c r="I108" i="86"/>
  <c r="I107" i="86"/>
  <c r="I106" i="86"/>
  <c r="I105" i="86"/>
  <c r="I104" i="86"/>
  <c r="I103" i="86"/>
  <c r="I102" i="86"/>
  <c r="I101" i="86"/>
  <c r="I100" i="86"/>
  <c r="I99" i="86"/>
  <c r="I98" i="86"/>
  <c r="I97" i="86"/>
  <c r="I96" i="86"/>
  <c r="I95" i="86"/>
  <c r="I94" i="86"/>
  <c r="I93" i="86"/>
  <c r="I92" i="86"/>
  <c r="I91" i="86"/>
  <c r="I90" i="86"/>
  <c r="I89" i="86"/>
  <c r="I88" i="86"/>
  <c r="I87" i="86"/>
  <c r="I86" i="86"/>
  <c r="I85" i="86"/>
  <c r="I84" i="86"/>
  <c r="I83" i="86"/>
  <c r="I82" i="86"/>
  <c r="I81" i="86"/>
  <c r="I80" i="86"/>
  <c r="I79" i="86"/>
  <c r="I78" i="86"/>
  <c r="I77" i="86"/>
  <c r="I76" i="86"/>
  <c r="I75" i="86"/>
  <c r="I74" i="86"/>
  <c r="I73" i="86"/>
  <c r="I72" i="86"/>
  <c r="I71" i="86"/>
  <c r="I70" i="86"/>
  <c r="I69" i="86"/>
  <c r="I68" i="86"/>
  <c r="I67" i="86"/>
  <c r="I66" i="86"/>
  <c r="I65" i="86"/>
  <c r="I64" i="86"/>
  <c r="I63" i="86"/>
  <c r="I62" i="86"/>
  <c r="I61" i="86"/>
  <c r="I60" i="86"/>
  <c r="I59" i="86"/>
  <c r="I58" i="86"/>
  <c r="I57" i="86"/>
  <c r="I56" i="86"/>
  <c r="I55" i="86"/>
  <c r="I54" i="86"/>
  <c r="I53" i="86"/>
  <c r="I52" i="86"/>
  <c r="I51" i="86"/>
  <c r="I50" i="86"/>
  <c r="I49" i="86"/>
  <c r="I48" i="86"/>
  <c r="I47" i="86"/>
  <c r="I46" i="86"/>
  <c r="I45" i="86"/>
  <c r="I44" i="86"/>
  <c r="I43" i="86"/>
  <c r="I42" i="86"/>
  <c r="I41" i="86"/>
  <c r="I40" i="86"/>
  <c r="I39" i="86"/>
  <c r="I38" i="86"/>
  <c r="I37" i="86"/>
  <c r="I36" i="86"/>
  <c r="I35" i="86"/>
  <c r="I34" i="86"/>
  <c r="I33" i="86"/>
  <c r="I32" i="86"/>
  <c r="I31" i="86"/>
  <c r="I30" i="86"/>
  <c r="I29" i="86"/>
  <c r="I28" i="86"/>
  <c r="I27" i="86"/>
  <c r="I26" i="86"/>
  <c r="I25" i="86"/>
  <c r="I24" i="86"/>
  <c r="I23" i="86"/>
  <c r="I22" i="86"/>
  <c r="I21" i="86"/>
  <c r="I20" i="86"/>
  <c r="I19" i="86"/>
  <c r="I18" i="86"/>
  <c r="I17" i="86"/>
  <c r="I16" i="86"/>
  <c r="I15" i="86"/>
  <c r="I14" i="86"/>
  <c r="I13" i="86"/>
  <c r="Q126" i="85"/>
  <c r="Q125" i="85"/>
  <c r="Q124" i="85"/>
  <c r="Q123" i="85"/>
  <c r="M123" i="85"/>
  <c r="I123" i="85"/>
  <c r="Q122" i="85"/>
  <c r="Q121" i="85"/>
  <c r="Q120" i="85"/>
  <c r="Q119" i="85"/>
  <c r="Q118" i="85"/>
  <c r="Q117" i="85"/>
  <c r="M117" i="85"/>
  <c r="I117" i="85"/>
  <c r="Q116" i="85"/>
  <c r="Q115" i="85"/>
  <c r="Q114" i="85"/>
  <c r="Q113" i="85"/>
  <c r="Q112" i="85"/>
  <c r="M112" i="85"/>
  <c r="I112" i="85"/>
  <c r="Q111" i="85"/>
  <c r="Q110" i="85"/>
  <c r="Q109" i="85"/>
  <c r="Q108" i="85"/>
  <c r="Q107" i="85"/>
  <c r="Q106" i="85"/>
  <c r="Q105" i="85"/>
  <c r="Q104" i="85"/>
  <c r="Q103" i="85"/>
  <c r="M103" i="85"/>
  <c r="I103" i="85"/>
  <c r="Q102" i="85"/>
  <c r="Q101" i="85"/>
  <c r="Q100" i="85"/>
  <c r="Q99" i="85"/>
  <c r="Q98" i="85"/>
  <c r="Q97" i="85"/>
  <c r="Q96" i="85"/>
  <c r="Q95" i="85"/>
  <c r="Q94" i="85"/>
  <c r="M94" i="85"/>
  <c r="I94" i="85"/>
  <c r="Q93" i="85"/>
  <c r="Q92" i="85"/>
  <c r="Q91" i="85"/>
  <c r="Q90" i="85"/>
  <c r="Q89" i="85"/>
  <c r="Q88" i="85"/>
  <c r="Q87" i="85"/>
  <c r="Q86" i="85"/>
  <c r="Q85" i="85"/>
  <c r="M85" i="85"/>
  <c r="I85" i="85"/>
  <c r="Q84" i="85"/>
  <c r="Q83" i="85"/>
  <c r="Q82" i="85"/>
  <c r="M82" i="85"/>
  <c r="I82" i="85"/>
  <c r="Q81" i="85"/>
  <c r="Q80" i="85"/>
  <c r="Q79" i="85"/>
  <c r="Q78" i="85"/>
  <c r="Q77" i="85"/>
  <c r="Q76" i="85"/>
  <c r="Q75" i="85"/>
  <c r="Q74" i="85"/>
  <c r="Q73" i="85"/>
  <c r="M73" i="85"/>
  <c r="I73" i="85"/>
  <c r="Q72" i="85"/>
  <c r="Q71" i="85"/>
  <c r="Q70" i="85"/>
  <c r="Q69" i="85"/>
  <c r="Q68" i="85"/>
  <c r="Q67" i="85"/>
  <c r="Q66" i="85"/>
  <c r="Q65" i="85"/>
  <c r="M65" i="85"/>
  <c r="I65" i="85"/>
  <c r="Q64" i="85"/>
  <c r="Q63" i="85"/>
  <c r="Q62" i="85"/>
  <c r="Q61" i="85"/>
  <c r="Q60" i="85"/>
  <c r="Q59" i="85"/>
  <c r="Q58" i="85"/>
  <c r="Q57" i="85"/>
  <c r="Q56" i="85"/>
  <c r="Q55" i="85"/>
  <c r="Q54" i="85"/>
  <c r="M54" i="85"/>
  <c r="I54" i="85"/>
  <c r="Q53" i="85"/>
  <c r="Q52" i="85"/>
  <c r="Q51" i="85"/>
  <c r="Q50" i="85"/>
  <c r="Q49" i="85"/>
  <c r="M49" i="85"/>
  <c r="I49" i="85"/>
  <c r="Q48" i="85"/>
  <c r="Q47" i="85"/>
  <c r="Q46" i="85"/>
  <c r="Q45" i="85"/>
  <c r="Q44" i="85"/>
  <c r="Q43" i="85"/>
  <c r="Q42" i="85"/>
  <c r="Q41" i="85"/>
  <c r="M41" i="85"/>
  <c r="I41" i="85"/>
  <c r="Q40" i="85"/>
  <c r="Q39" i="85"/>
  <c r="Q38" i="85"/>
  <c r="Q37" i="85"/>
  <c r="Q36" i="85"/>
  <c r="M36" i="85"/>
  <c r="I36" i="85"/>
  <c r="Q35" i="85"/>
  <c r="Q34" i="85"/>
  <c r="Q33" i="85"/>
  <c r="Q32" i="85"/>
  <c r="Q31" i="85"/>
  <c r="Q30" i="85"/>
  <c r="Q29" i="85"/>
  <c r="Q28" i="85"/>
  <c r="Q27" i="85"/>
  <c r="Q26" i="85"/>
  <c r="Q25" i="85"/>
  <c r="M25" i="85"/>
  <c r="I25" i="85"/>
  <c r="Q24" i="85"/>
  <c r="Q23" i="85"/>
  <c r="Q22" i="85"/>
  <c r="Q21" i="85"/>
  <c r="Q20" i="85"/>
  <c r="Q19" i="85"/>
  <c r="Q18" i="85"/>
  <c r="M18" i="85"/>
  <c r="I18" i="85"/>
  <c r="Q17" i="85"/>
  <c r="Q16" i="85"/>
  <c r="Q15" i="85"/>
  <c r="Q14" i="85"/>
  <c r="Q13" i="85"/>
  <c r="E123" i="85"/>
  <c r="E117" i="85"/>
  <c r="E112" i="85"/>
  <c r="E103" i="85"/>
  <c r="E94" i="85"/>
  <c r="E85" i="85"/>
  <c r="E82" i="85"/>
  <c r="E73" i="85"/>
  <c r="E65" i="85"/>
  <c r="E54" i="85"/>
  <c r="E49" i="85"/>
  <c r="E41" i="85"/>
  <c r="E36" i="85"/>
  <c r="E25" i="85"/>
  <c r="E18" i="85"/>
  <c r="D37" i="85"/>
  <c r="D36" i="85"/>
  <c r="D26" i="85"/>
  <c r="C125" i="79"/>
  <c r="C124" i="79"/>
  <c r="C121" i="79"/>
  <c r="C120" i="79"/>
  <c r="C119" i="79"/>
  <c r="C118" i="79"/>
  <c r="C115" i="79"/>
  <c r="C114" i="79"/>
  <c r="C113" i="79"/>
  <c r="C112" i="79"/>
  <c r="C109" i="79"/>
  <c r="C108" i="79"/>
  <c r="C107" i="79"/>
  <c r="C106" i="79"/>
  <c r="C105" i="79"/>
  <c r="C104" i="79"/>
  <c r="C101" i="79"/>
  <c r="C100" i="79"/>
  <c r="C98" i="79"/>
  <c r="C97" i="79"/>
  <c r="C96" i="79"/>
  <c r="C95" i="79"/>
  <c r="C92" i="79"/>
  <c r="C91" i="79"/>
  <c r="C89" i="79"/>
  <c r="C88" i="79"/>
  <c r="C87" i="79"/>
  <c r="C86" i="79"/>
  <c r="C84" i="79"/>
  <c r="C83" i="79"/>
  <c r="C80" i="79"/>
  <c r="C79" i="79"/>
  <c r="C77" i="79"/>
  <c r="C76" i="79"/>
  <c r="C74" i="79"/>
  <c r="C71" i="79"/>
  <c r="C70" i="79"/>
  <c r="C68" i="79"/>
  <c r="C66" i="79"/>
  <c r="C63" i="79"/>
  <c r="C62" i="79"/>
  <c r="C61" i="79"/>
  <c r="C59" i="79"/>
  <c r="C58" i="79"/>
  <c r="C57" i="79"/>
  <c r="C52" i="79"/>
  <c r="C51" i="79"/>
  <c r="C47" i="79"/>
  <c r="C46" i="79"/>
  <c r="C44" i="79"/>
  <c r="C42" i="79"/>
  <c r="C39" i="79"/>
  <c r="C38" i="79"/>
  <c r="C37" i="79"/>
  <c r="C34" i="79"/>
  <c r="C33" i="79"/>
  <c r="C32" i="79"/>
  <c r="C30" i="79"/>
  <c r="C29" i="79"/>
  <c r="C28" i="79"/>
  <c r="C26" i="79"/>
  <c r="C23" i="79"/>
  <c r="C22" i="79"/>
  <c r="C21" i="79"/>
  <c r="C20" i="79"/>
  <c r="C19" i="79"/>
  <c r="C16" i="79"/>
  <c r="C15" i="79"/>
  <c r="C14" i="79"/>
  <c r="C13" i="79"/>
  <c r="C12" i="79"/>
  <c r="C113" i="84"/>
  <c r="D25" i="85"/>
  <c r="C126" i="82"/>
  <c r="C125" i="82"/>
  <c r="C124" i="82"/>
  <c r="C123" i="82"/>
  <c r="C122" i="82"/>
  <c r="C121" i="82"/>
  <c r="C120" i="82"/>
  <c r="C119" i="82"/>
  <c r="C118" i="82"/>
  <c r="C117" i="82"/>
  <c r="C116" i="82"/>
  <c r="C115" i="82"/>
  <c r="C114" i="82"/>
  <c r="C113" i="82"/>
  <c r="C112" i="82"/>
  <c r="C111" i="82"/>
  <c r="C110" i="82"/>
  <c r="C109" i="82"/>
  <c r="C108" i="82"/>
  <c r="C107" i="82"/>
  <c r="C106" i="82"/>
  <c r="C105" i="82"/>
  <c r="C104" i="82"/>
  <c r="C103" i="82"/>
  <c r="C102" i="82"/>
  <c r="C101" i="82"/>
  <c r="C100" i="82"/>
  <c r="C99" i="82"/>
  <c r="C98" i="82"/>
  <c r="C97" i="82"/>
  <c r="C96" i="82"/>
  <c r="C95" i="82"/>
  <c r="C94" i="82"/>
  <c r="C93" i="82"/>
  <c r="C92" i="82"/>
  <c r="C91" i="82"/>
  <c r="C89" i="82"/>
  <c r="C88" i="82"/>
  <c r="C87" i="82"/>
  <c r="C86" i="82"/>
  <c r="C85" i="82"/>
  <c r="C84" i="82"/>
  <c r="C83" i="82"/>
  <c r="C82" i="82"/>
  <c r="C81" i="82"/>
  <c r="C80" i="82"/>
  <c r="C79" i="82"/>
  <c r="C78" i="82"/>
  <c r="C77" i="82"/>
  <c r="C76" i="82"/>
  <c r="C75" i="82"/>
  <c r="C74" i="82"/>
  <c r="C73" i="82"/>
  <c r="C72" i="82"/>
  <c r="C71" i="82"/>
  <c r="C70" i="82"/>
  <c r="C69" i="82"/>
  <c r="C68" i="82"/>
  <c r="C67" i="82"/>
  <c r="C66" i="82"/>
  <c r="C65" i="82"/>
  <c r="C64" i="82"/>
  <c r="C63" i="82"/>
  <c r="C62" i="82"/>
  <c r="C61" i="82"/>
  <c r="C60" i="82"/>
  <c r="C59" i="82"/>
  <c r="C58" i="82"/>
  <c r="C57" i="82"/>
  <c r="C56" i="82"/>
  <c r="C55" i="82"/>
  <c r="C54" i="82"/>
  <c r="C53" i="82"/>
  <c r="C52" i="82"/>
  <c r="C51" i="82"/>
  <c r="C50" i="82"/>
  <c r="C49" i="82"/>
  <c r="C48" i="82"/>
  <c r="C47" i="82"/>
  <c r="C46" i="82"/>
  <c r="C45" i="82"/>
  <c r="C44" i="82"/>
  <c r="C43" i="82"/>
  <c r="C42" i="82"/>
  <c r="C41" i="82"/>
  <c r="C40" i="82"/>
  <c r="C39" i="82"/>
  <c r="C38" i="82"/>
  <c r="C37" i="82"/>
  <c r="C36" i="82"/>
  <c r="C35" i="82"/>
  <c r="C34" i="82"/>
  <c r="C33" i="82"/>
  <c r="C32" i="82"/>
  <c r="C31" i="82"/>
  <c r="C30" i="82"/>
  <c r="C29" i="82"/>
  <c r="C28" i="82"/>
  <c r="C27" i="82"/>
  <c r="C26" i="82"/>
  <c r="C25" i="82"/>
  <c r="C24" i="82"/>
  <c r="C23" i="82"/>
  <c r="C22" i="82"/>
  <c r="C21" i="82"/>
  <c r="C20" i="82"/>
  <c r="C19" i="82"/>
  <c r="C18" i="82"/>
  <c r="C17" i="82"/>
  <c r="C16" i="82"/>
  <c r="C15" i="82"/>
  <c r="C14" i="82"/>
  <c r="C13" i="82"/>
  <c r="C12" i="82"/>
  <c r="I123" i="82"/>
  <c r="I118" i="82"/>
  <c r="I117" i="82"/>
  <c r="I112" i="82"/>
  <c r="I111" i="82"/>
  <c r="I104" i="82"/>
  <c r="I103" i="82"/>
  <c r="I99" i="82"/>
  <c r="I96" i="82"/>
  <c r="I95" i="82"/>
  <c r="I94" i="82"/>
  <c r="I87" i="82"/>
  <c r="I86" i="82"/>
  <c r="I85" i="82"/>
  <c r="I83" i="82"/>
  <c r="I82" i="82"/>
  <c r="I75" i="82"/>
  <c r="I74" i="82"/>
  <c r="I73" i="82"/>
  <c r="I67" i="82"/>
  <c r="I66" i="82"/>
  <c r="I65" i="82"/>
  <c r="I60" i="82"/>
  <c r="I56" i="82"/>
  <c r="I55" i="82"/>
  <c r="I54" i="82"/>
  <c r="I50" i="82"/>
  <c r="I49" i="82"/>
  <c r="I43" i="82"/>
  <c r="I42" i="82"/>
  <c r="I41" i="82"/>
  <c r="I37" i="82"/>
  <c r="I36" i="82"/>
  <c r="I31" i="82"/>
  <c r="I27" i="82"/>
  <c r="I26" i="82"/>
  <c r="I25" i="82"/>
  <c r="I19" i="82"/>
  <c r="I18" i="82"/>
  <c r="G123" i="82"/>
  <c r="G118" i="82"/>
  <c r="G117" i="82"/>
  <c r="G112" i="82"/>
  <c r="G111" i="82"/>
  <c r="G104" i="82"/>
  <c r="G103" i="82"/>
  <c r="G99" i="82"/>
  <c r="G96" i="82"/>
  <c r="G95" i="82"/>
  <c r="G94" i="82"/>
  <c r="G87" i="82"/>
  <c r="G86" i="82"/>
  <c r="G85" i="82"/>
  <c r="G83" i="82"/>
  <c r="G82" i="82"/>
  <c r="G75" i="82"/>
  <c r="G74" i="82"/>
  <c r="G73" i="82"/>
  <c r="G67" i="82"/>
  <c r="G66" i="82"/>
  <c r="G65" i="82"/>
  <c r="G60" i="82"/>
  <c r="G56" i="82"/>
  <c r="G55" i="82"/>
  <c r="G54" i="82"/>
  <c r="G50" i="82"/>
  <c r="G49" i="82"/>
  <c r="G43" i="82"/>
  <c r="G42" i="82"/>
  <c r="G41" i="82"/>
  <c r="G37" i="82"/>
  <c r="G36" i="82"/>
  <c r="G31" i="82"/>
  <c r="G27" i="82"/>
  <c r="G26" i="82"/>
  <c r="G25" i="82"/>
  <c r="G19" i="82"/>
  <c r="G18" i="82"/>
  <c r="E123" i="82"/>
  <c r="E118" i="82"/>
  <c r="E117" i="82"/>
  <c r="E112" i="82"/>
  <c r="E111" i="82"/>
  <c r="E104" i="82"/>
  <c r="E103" i="82"/>
  <c r="E99" i="82"/>
  <c r="E96" i="82"/>
  <c r="E95" i="82"/>
  <c r="E94" i="82"/>
  <c r="E87" i="82"/>
  <c r="E86" i="82"/>
  <c r="E85" i="82"/>
  <c r="E83" i="82"/>
  <c r="E82" i="82"/>
  <c r="E78" i="82"/>
  <c r="E75" i="82"/>
  <c r="E74" i="82"/>
  <c r="E73" i="82"/>
  <c r="E67" i="82"/>
  <c r="E66" i="82"/>
  <c r="E65" i="82"/>
  <c r="E60" i="82"/>
  <c r="E56" i="82"/>
  <c r="E55" i="82"/>
  <c r="E54" i="82"/>
  <c r="E50" i="82"/>
  <c r="E49" i="82"/>
  <c r="E43" i="82"/>
  <c r="E42" i="82"/>
  <c r="E41" i="82"/>
  <c r="E37" i="82"/>
  <c r="E36" i="82"/>
  <c r="E31" i="82"/>
  <c r="E27" i="82"/>
  <c r="E26" i="82"/>
  <c r="E25" i="82"/>
  <c r="E19" i="82"/>
  <c r="E18" i="82"/>
  <c r="D273" i="91"/>
  <c r="S98" i="86"/>
  <c r="S97" i="86"/>
  <c r="N98" i="86"/>
  <c r="N97" i="86"/>
  <c r="I12" i="86"/>
  <c r="D110" i="82" l="1"/>
  <c r="C112" i="83" s="1"/>
  <c r="D22" i="82"/>
  <c r="D24" i="80" s="1"/>
  <c r="D30" i="82"/>
  <c r="C32" i="83" s="1"/>
  <c r="D38" i="82"/>
  <c r="C40" i="83" s="1"/>
  <c r="D46" i="82"/>
  <c r="D62" i="82"/>
  <c r="C64" i="83" s="1"/>
  <c r="D70" i="82"/>
  <c r="D72" i="80" s="1"/>
  <c r="D78" i="82"/>
  <c r="C80" i="83" s="1"/>
  <c r="D123" i="82"/>
  <c r="C125" i="83" s="1"/>
  <c r="I185" i="183"/>
  <c r="L185" i="183" s="1"/>
  <c r="D12" i="82"/>
  <c r="C14" i="83" s="1"/>
  <c r="D20" i="82"/>
  <c r="C22" i="83" s="1"/>
  <c r="D28" i="82"/>
  <c r="D30" i="80" s="1"/>
  <c r="E266" i="95"/>
  <c r="D21" i="82"/>
  <c r="C23" i="83" s="1"/>
  <c r="D29" i="82"/>
  <c r="D31" i="80" s="1"/>
  <c r="I153" i="183"/>
  <c r="L153" i="183" s="1"/>
  <c r="D23" i="82"/>
  <c r="C25" i="83" s="1"/>
  <c r="D31" i="82"/>
  <c r="C33" i="83" s="1"/>
  <c r="G156" i="95"/>
  <c r="G163" i="95"/>
  <c r="D17" i="82"/>
  <c r="C19" i="83" s="1"/>
  <c r="I135" i="183"/>
  <c r="L135" i="183" s="1"/>
  <c r="I143" i="183"/>
  <c r="L143" i="183" s="1"/>
  <c r="I151" i="183"/>
  <c r="L151" i="183" s="1"/>
  <c r="I183" i="183"/>
  <c r="L183" i="183" s="1"/>
  <c r="I207" i="183"/>
  <c r="L207" i="183" s="1"/>
  <c r="I255" i="183"/>
  <c r="L255" i="183" s="1"/>
  <c r="O77" i="93"/>
  <c r="D44" i="82"/>
  <c r="D46" i="80" s="1"/>
  <c r="D24" i="82"/>
  <c r="D26" i="80" s="1"/>
  <c r="D33" i="82"/>
  <c r="C35" i="83" s="1"/>
  <c r="D35" i="82"/>
  <c r="D37" i="80" s="1"/>
  <c r="D52" i="82"/>
  <c r="D54" i="80" s="1"/>
  <c r="D45" i="82"/>
  <c r="C47" i="83" s="1"/>
  <c r="D39" i="82"/>
  <c r="C41" i="83" s="1"/>
  <c r="D32" i="82"/>
  <c r="D34" i="80" s="1"/>
  <c r="D51" i="82"/>
  <c r="C53" i="83" s="1"/>
  <c r="D53" i="82"/>
  <c r="C55" i="83" s="1"/>
  <c r="D47" i="82"/>
  <c r="C49" i="83" s="1"/>
  <c r="D40" i="82"/>
  <c r="C42" i="83" s="1"/>
  <c r="D58" i="82"/>
  <c r="C60" i="83" s="1"/>
  <c r="D98" i="82"/>
  <c r="D100" i="80" s="1"/>
  <c r="D106" i="82"/>
  <c r="C108" i="83" s="1"/>
  <c r="D114" i="82"/>
  <c r="C116" i="83" s="1"/>
  <c r="D16" i="82"/>
  <c r="D37" i="82"/>
  <c r="D39" i="80" s="1"/>
  <c r="D55" i="82"/>
  <c r="D74" i="82"/>
  <c r="D87" i="82"/>
  <c r="D104" i="82"/>
  <c r="D126" i="82"/>
  <c r="D59" i="82"/>
  <c r="C61" i="83" s="1"/>
  <c r="D91" i="82"/>
  <c r="C93" i="83" s="1"/>
  <c r="D99" i="82"/>
  <c r="D101" i="80" s="1"/>
  <c r="D107" i="82"/>
  <c r="C109" i="83" s="1"/>
  <c r="D115" i="82"/>
  <c r="C117" i="83" s="1"/>
  <c r="D18" i="82"/>
  <c r="D41" i="82"/>
  <c r="D56" i="82"/>
  <c r="D75" i="82"/>
  <c r="D88" i="82"/>
  <c r="C90" i="83" s="1"/>
  <c r="D111" i="82"/>
  <c r="D60" i="82"/>
  <c r="D62" i="80" s="1"/>
  <c r="D68" i="82"/>
  <c r="C70" i="83" s="1"/>
  <c r="D76" i="82"/>
  <c r="C78" i="83" s="1"/>
  <c r="D92" i="82"/>
  <c r="C94" i="83" s="1"/>
  <c r="D100" i="82"/>
  <c r="C102" i="83" s="1"/>
  <c r="D108" i="82"/>
  <c r="D110" i="80" s="1"/>
  <c r="D124" i="82"/>
  <c r="D126" i="80" s="1"/>
  <c r="D19" i="82"/>
  <c r="D42" i="82"/>
  <c r="D64" i="82"/>
  <c r="D81" i="82"/>
  <c r="D93" i="82"/>
  <c r="D112" i="82"/>
  <c r="D61" i="82"/>
  <c r="C63" i="83" s="1"/>
  <c r="D69" i="82"/>
  <c r="C71" i="83" s="1"/>
  <c r="D77" i="82"/>
  <c r="D79" i="80" s="1"/>
  <c r="D101" i="82"/>
  <c r="D103" i="80" s="1"/>
  <c r="D109" i="82"/>
  <c r="C111" i="83" s="1"/>
  <c r="D125" i="82"/>
  <c r="D127" i="80" s="1"/>
  <c r="D25" i="82"/>
  <c r="D27" i="80" s="1"/>
  <c r="D43" i="82"/>
  <c r="D65" i="82"/>
  <c r="D82" i="82"/>
  <c r="D94" i="82"/>
  <c r="D116" i="82"/>
  <c r="D26" i="82"/>
  <c r="D28" i="80" s="1"/>
  <c r="D48" i="82"/>
  <c r="D66" i="82"/>
  <c r="D83" i="82"/>
  <c r="D95" i="82"/>
  <c r="D117" i="82"/>
  <c r="D63" i="82"/>
  <c r="D65" i="80" s="1"/>
  <c r="D71" i="82"/>
  <c r="D73" i="80" s="1"/>
  <c r="D79" i="82"/>
  <c r="C81" i="83" s="1"/>
  <c r="D119" i="82"/>
  <c r="C121" i="83" s="1"/>
  <c r="D13" i="82"/>
  <c r="D27" i="82"/>
  <c r="D49" i="82"/>
  <c r="D67" i="82"/>
  <c r="D84" i="82"/>
  <c r="D96" i="82"/>
  <c r="D118" i="82"/>
  <c r="D80" i="82"/>
  <c r="C82" i="83" s="1"/>
  <c r="D120" i="82"/>
  <c r="C122" i="83" s="1"/>
  <c r="D14" i="82"/>
  <c r="D34" i="82"/>
  <c r="D36" i="80" s="1"/>
  <c r="D50" i="82"/>
  <c r="D72" i="82"/>
  <c r="D85" i="82"/>
  <c r="D102" i="82"/>
  <c r="D122" i="82"/>
  <c r="D57" i="82"/>
  <c r="D59" i="80" s="1"/>
  <c r="D89" i="82"/>
  <c r="C91" i="83" s="1"/>
  <c r="D97" i="82"/>
  <c r="D99" i="80" s="1"/>
  <c r="D105" i="82"/>
  <c r="D107" i="80" s="1"/>
  <c r="D113" i="82"/>
  <c r="C115" i="83" s="1"/>
  <c r="D121" i="82"/>
  <c r="D123" i="80" s="1"/>
  <c r="D15" i="82"/>
  <c r="D36" i="82"/>
  <c r="D38" i="80" s="1"/>
  <c r="D54" i="82"/>
  <c r="D73" i="82"/>
  <c r="D86" i="82"/>
  <c r="D103" i="82"/>
  <c r="D48" i="80"/>
  <c r="C48" i="83"/>
  <c r="O88" i="93"/>
  <c r="O148" i="93"/>
  <c r="U62" i="93"/>
  <c r="F61" i="182" s="1"/>
  <c r="O147" i="93"/>
  <c r="U275" i="93"/>
  <c r="F274" i="182" s="1"/>
  <c r="E158" i="95"/>
  <c r="I124" i="183"/>
  <c r="L124" i="183" s="1"/>
  <c r="Q26" i="93"/>
  <c r="O260" i="93"/>
  <c r="I123" i="183"/>
  <c r="L123" i="183" s="1"/>
  <c r="I187" i="183"/>
  <c r="L187" i="183" s="1"/>
  <c r="O46" i="93"/>
  <c r="G26" i="95"/>
  <c r="G211" i="95"/>
  <c r="O76" i="93"/>
  <c r="O128" i="93"/>
  <c r="O159" i="93"/>
  <c r="O163" i="93"/>
  <c r="U265" i="93"/>
  <c r="F264" i="182" s="1"/>
  <c r="E275" i="95"/>
  <c r="H275" i="95" s="1"/>
  <c r="U76" i="93"/>
  <c r="F75" i="182" s="1"/>
  <c r="O187" i="93"/>
  <c r="U271" i="93"/>
  <c r="F270" i="182" s="1"/>
  <c r="U273" i="93"/>
  <c r="F272" i="182" s="1"/>
  <c r="E187" i="95"/>
  <c r="I189" i="183"/>
  <c r="L189" i="183" s="1"/>
  <c r="O45" i="93"/>
  <c r="O212" i="93"/>
  <c r="E77" i="95"/>
  <c r="G187" i="95"/>
  <c r="Q45" i="93"/>
  <c r="O63" i="93"/>
  <c r="O89" i="93"/>
  <c r="U45" i="93"/>
  <c r="F44" i="182" s="1"/>
  <c r="O139" i="93"/>
  <c r="E89" i="95"/>
  <c r="E159" i="95"/>
  <c r="E139" i="95"/>
  <c r="U211" i="93"/>
  <c r="F210" i="182" s="1"/>
  <c r="E27" i="95"/>
  <c r="G128" i="95"/>
  <c r="G139" i="95"/>
  <c r="B162" i="182"/>
  <c r="Q163" i="93"/>
  <c r="E188" i="95"/>
  <c r="B210" i="182"/>
  <c r="O62" i="93"/>
  <c r="U128" i="93"/>
  <c r="F127" i="182" s="1"/>
  <c r="O140" i="93"/>
  <c r="U159" i="93"/>
  <c r="F158" i="182" s="1"/>
  <c r="U260" i="93"/>
  <c r="F259" i="182" s="1"/>
  <c r="U77" i="93"/>
  <c r="F76" i="182" s="1"/>
  <c r="Q158" i="93"/>
  <c r="Q259" i="93"/>
  <c r="O275" i="93"/>
  <c r="E212" i="95"/>
  <c r="E259" i="95"/>
  <c r="H259" i="95" s="1"/>
  <c r="O27" i="93"/>
  <c r="U88" i="93"/>
  <c r="F87" i="182" s="1"/>
  <c r="Q139" i="93"/>
  <c r="U187" i="93"/>
  <c r="F186" i="182" s="1"/>
  <c r="U259" i="93"/>
  <c r="F258" i="182" s="1"/>
  <c r="E62" i="95"/>
  <c r="E163" i="95"/>
  <c r="B71" i="183"/>
  <c r="C74" i="94"/>
  <c r="B135" i="183"/>
  <c r="C138" i="94"/>
  <c r="B143" i="183"/>
  <c r="C146" i="94"/>
  <c r="B151" i="183"/>
  <c r="C154" i="94"/>
  <c r="B159" i="183"/>
  <c r="C162" i="94"/>
  <c r="B183" i="183"/>
  <c r="C186" i="94"/>
  <c r="B207" i="183"/>
  <c r="C210" i="94"/>
  <c r="B255" i="183"/>
  <c r="C258" i="94"/>
  <c r="F87" i="92"/>
  <c r="C84" i="183"/>
  <c r="D87" i="94"/>
  <c r="F127" i="92"/>
  <c r="C124" i="183"/>
  <c r="D127" i="94"/>
  <c r="F137" i="92"/>
  <c r="C134" i="183"/>
  <c r="D137" i="94"/>
  <c r="F145" i="92"/>
  <c r="C142" i="183"/>
  <c r="D145" i="94"/>
  <c r="F157" i="92"/>
  <c r="C154" i="183"/>
  <c r="D157" i="94"/>
  <c r="F159" i="92"/>
  <c r="C156" i="183"/>
  <c r="D159" i="94"/>
  <c r="F161" i="92"/>
  <c r="C158" i="183"/>
  <c r="D161" i="94"/>
  <c r="F173" i="92"/>
  <c r="C170" i="183"/>
  <c r="D173" i="94"/>
  <c r="F185" i="92"/>
  <c r="C182" i="183"/>
  <c r="D185" i="94"/>
  <c r="F209" i="92"/>
  <c r="C206" i="183"/>
  <c r="D209" i="94"/>
  <c r="F257" i="92"/>
  <c r="C254" i="183"/>
  <c r="D257" i="94"/>
  <c r="B40" i="183"/>
  <c r="C43" i="94"/>
  <c r="B72" i="183"/>
  <c r="C75" i="94"/>
  <c r="D84" i="183"/>
  <c r="E87" i="94"/>
  <c r="D124" i="183"/>
  <c r="E127" i="94"/>
  <c r="D134" i="183"/>
  <c r="E137" i="94"/>
  <c r="D142" i="183"/>
  <c r="E145" i="94"/>
  <c r="D154" i="183"/>
  <c r="E157" i="94"/>
  <c r="D156" i="183"/>
  <c r="E159" i="94"/>
  <c r="D158" i="183"/>
  <c r="E161" i="94"/>
  <c r="D170" i="183"/>
  <c r="E173" i="94"/>
  <c r="D182" i="183"/>
  <c r="E185" i="94"/>
  <c r="D206" i="183"/>
  <c r="E209" i="94"/>
  <c r="D254" i="183"/>
  <c r="E257" i="94"/>
  <c r="B41" i="183"/>
  <c r="C44" i="94"/>
  <c r="B57" i="183"/>
  <c r="C60" i="94"/>
  <c r="B153" i="183"/>
  <c r="C156" i="94"/>
  <c r="C22" i="183"/>
  <c r="D25" i="94"/>
  <c r="F43" i="92"/>
  <c r="C40" i="183"/>
  <c r="D43" i="94"/>
  <c r="F61" i="92"/>
  <c r="C58" i="183"/>
  <c r="D61" i="94"/>
  <c r="F75" i="92"/>
  <c r="C72" i="183"/>
  <c r="D75" i="94"/>
  <c r="F264" i="92"/>
  <c r="C261" i="183"/>
  <c r="D264" i="94"/>
  <c r="B58" i="183"/>
  <c r="C61" i="94"/>
  <c r="B154" i="183"/>
  <c r="C157" i="94"/>
  <c r="B170" i="183"/>
  <c r="C173" i="94"/>
  <c r="B266" i="183"/>
  <c r="C269" i="94"/>
  <c r="D22" i="183"/>
  <c r="E25" i="94"/>
  <c r="D40" i="183"/>
  <c r="E43" i="94"/>
  <c r="D58" i="183"/>
  <c r="E61" i="94"/>
  <c r="D72" i="183"/>
  <c r="E75" i="94"/>
  <c r="D261" i="183"/>
  <c r="E264" i="94"/>
  <c r="B83" i="183"/>
  <c r="C86" i="94"/>
  <c r="B123" i="183"/>
  <c r="C126" i="94"/>
  <c r="F86" i="92"/>
  <c r="C83" i="183"/>
  <c r="D86" i="94"/>
  <c r="F126" i="92"/>
  <c r="C123" i="183"/>
  <c r="D126" i="94"/>
  <c r="F138" i="92"/>
  <c r="C135" i="183"/>
  <c r="D138" i="94"/>
  <c r="F146" i="92"/>
  <c r="C143" i="183"/>
  <c r="D146" i="94"/>
  <c r="F154" i="92"/>
  <c r="C151" i="183"/>
  <c r="D154" i="94"/>
  <c r="F156" i="92"/>
  <c r="C153" i="183"/>
  <c r="D156" i="94"/>
  <c r="F160" i="92"/>
  <c r="C157" i="183"/>
  <c r="D160" i="94"/>
  <c r="F162" i="92"/>
  <c r="C159" i="183"/>
  <c r="D162" i="94"/>
  <c r="F186" i="92"/>
  <c r="C183" i="183"/>
  <c r="D186" i="94"/>
  <c r="F210" i="92"/>
  <c r="C207" i="183"/>
  <c r="D210" i="94"/>
  <c r="F258" i="92"/>
  <c r="C255" i="183"/>
  <c r="D258" i="94"/>
  <c r="B84" i="183"/>
  <c r="C87" i="94"/>
  <c r="B124" i="183"/>
  <c r="C127" i="94"/>
  <c r="B156" i="183"/>
  <c r="C159" i="94"/>
  <c r="B260" i="183"/>
  <c r="C263" i="94"/>
  <c r="B268" i="183"/>
  <c r="C271" i="94"/>
  <c r="D83" i="183"/>
  <c r="E86" i="94"/>
  <c r="D123" i="183"/>
  <c r="E126" i="94"/>
  <c r="D135" i="183"/>
  <c r="E138" i="94"/>
  <c r="D143" i="183"/>
  <c r="E146" i="94"/>
  <c r="D151" i="183"/>
  <c r="E154" i="94"/>
  <c r="D153" i="183"/>
  <c r="E156" i="94"/>
  <c r="D157" i="183"/>
  <c r="E160" i="94"/>
  <c r="D159" i="183"/>
  <c r="E162" i="94"/>
  <c r="D183" i="183"/>
  <c r="E186" i="94"/>
  <c r="D207" i="183"/>
  <c r="E210" i="94"/>
  <c r="D255" i="183"/>
  <c r="E258" i="94"/>
  <c r="B21" i="183"/>
  <c r="C24" i="94"/>
  <c r="B157" i="183"/>
  <c r="C160" i="94"/>
  <c r="B261" i="183"/>
  <c r="C264" i="94"/>
  <c r="F24" i="92"/>
  <c r="C21" i="183"/>
  <c r="D24" i="94"/>
  <c r="C41" i="183"/>
  <c r="D44" i="94"/>
  <c r="F60" i="92"/>
  <c r="C57" i="183"/>
  <c r="D60" i="94"/>
  <c r="F74" i="92"/>
  <c r="C71" i="183"/>
  <c r="D74" i="94"/>
  <c r="F263" i="92"/>
  <c r="C260" i="183"/>
  <c r="D263" i="94"/>
  <c r="F269" i="92"/>
  <c r="C266" i="183"/>
  <c r="D269" i="94"/>
  <c r="F271" i="92"/>
  <c r="C268" i="183"/>
  <c r="D271" i="94"/>
  <c r="F273" i="92"/>
  <c r="C270" i="183"/>
  <c r="D273" i="94"/>
  <c r="B22" i="183"/>
  <c r="C25" i="94"/>
  <c r="B134" i="183"/>
  <c r="C137" i="94"/>
  <c r="B142" i="183"/>
  <c r="C145" i="94"/>
  <c r="B158" i="183"/>
  <c r="C161" i="94"/>
  <c r="B182" i="183"/>
  <c r="C185" i="94"/>
  <c r="B206" i="183"/>
  <c r="C209" i="94"/>
  <c r="B254" i="183"/>
  <c r="C257" i="94"/>
  <c r="B270" i="183"/>
  <c r="C273" i="94"/>
  <c r="D9" i="183"/>
  <c r="D21" i="183"/>
  <c r="E24" i="94"/>
  <c r="D41" i="183"/>
  <c r="E44" i="94"/>
  <c r="D57" i="183"/>
  <c r="E60" i="94"/>
  <c r="D71" i="183"/>
  <c r="E74" i="94"/>
  <c r="D260" i="183"/>
  <c r="E263" i="94"/>
  <c r="D266" i="183"/>
  <c r="E269" i="94"/>
  <c r="D268" i="183"/>
  <c r="E271" i="94"/>
  <c r="D270" i="183"/>
  <c r="E273" i="94"/>
  <c r="I40" i="183"/>
  <c r="L40" i="183" s="1"/>
  <c r="I72" i="183"/>
  <c r="L72" i="183" s="1"/>
  <c r="I83" i="183"/>
  <c r="L83" i="183" s="1"/>
  <c r="I261" i="183"/>
  <c r="L261" i="183" s="1"/>
  <c r="M138" i="92"/>
  <c r="M146" i="92"/>
  <c r="M154" i="92"/>
  <c r="M186" i="92"/>
  <c r="M210" i="92"/>
  <c r="M258" i="92"/>
  <c r="B264" i="182"/>
  <c r="I41" i="183"/>
  <c r="L41" i="183" s="1"/>
  <c r="I57" i="183"/>
  <c r="L57" i="183" s="1"/>
  <c r="I84" i="183"/>
  <c r="L84" i="183" s="1"/>
  <c r="I188" i="183"/>
  <c r="L188" i="183" s="1"/>
  <c r="I270" i="183"/>
  <c r="L270" i="183" s="1"/>
  <c r="M24" i="92"/>
  <c r="M187" i="92"/>
  <c r="M269" i="92"/>
  <c r="I58" i="183"/>
  <c r="L58" i="183" s="1"/>
  <c r="M25" i="92"/>
  <c r="M156" i="92"/>
  <c r="M188" i="92"/>
  <c r="I134" i="183"/>
  <c r="L134" i="183" s="1"/>
  <c r="I142" i="183"/>
  <c r="L142" i="183" s="1"/>
  <c r="I158" i="183"/>
  <c r="L158" i="183" s="1"/>
  <c r="I182" i="183"/>
  <c r="L182" i="183" s="1"/>
  <c r="I190" i="183"/>
  <c r="L190" i="183" s="1"/>
  <c r="I206" i="183"/>
  <c r="L206" i="183" s="1"/>
  <c r="I254" i="183"/>
  <c r="L254" i="183" s="1"/>
  <c r="M74" i="92"/>
  <c r="M157" i="92"/>
  <c r="M189" i="92"/>
  <c r="M263" i="92"/>
  <c r="M271" i="92"/>
  <c r="M43" i="92"/>
  <c r="M75" i="92"/>
  <c r="M86" i="92"/>
  <c r="M126" i="92"/>
  <c r="M190" i="92"/>
  <c r="M264" i="92"/>
  <c r="B146" i="182"/>
  <c r="O26" i="93"/>
  <c r="U27" i="93"/>
  <c r="F26" i="182" s="1"/>
  <c r="I21" i="183"/>
  <c r="L21" i="183" s="1"/>
  <c r="I184" i="183"/>
  <c r="L184" i="183" s="1"/>
  <c r="I266" i="183"/>
  <c r="L266" i="183" s="1"/>
  <c r="M44" i="92"/>
  <c r="M60" i="92"/>
  <c r="M87" i="92"/>
  <c r="M127" i="92"/>
  <c r="M191" i="92"/>
  <c r="M273" i="92"/>
  <c r="B274" i="182"/>
  <c r="I22" i="183"/>
  <c r="L22" i="183" s="1"/>
  <c r="M61" i="92"/>
  <c r="M192" i="92"/>
  <c r="I71" i="183"/>
  <c r="L71" i="183" s="1"/>
  <c r="I154" i="183"/>
  <c r="L154" i="183" s="1"/>
  <c r="I186" i="183"/>
  <c r="L186" i="183" s="1"/>
  <c r="I260" i="183"/>
  <c r="L260" i="183" s="1"/>
  <c r="I268" i="183"/>
  <c r="L268" i="183" s="1"/>
  <c r="M137" i="92"/>
  <c r="M145" i="92"/>
  <c r="M161" i="92"/>
  <c r="M185" i="92"/>
  <c r="M193" i="92"/>
  <c r="M209" i="92"/>
  <c r="M257" i="92"/>
  <c r="U26" i="93"/>
  <c r="F25" i="182" s="1"/>
  <c r="U156" i="93"/>
  <c r="F155" i="182" s="1"/>
  <c r="O188" i="93"/>
  <c r="U63" i="93"/>
  <c r="F62" i="182" s="1"/>
  <c r="Q128" i="93"/>
  <c r="O266" i="93"/>
  <c r="Q187" i="93"/>
  <c r="U46" i="93"/>
  <c r="F45" i="182" s="1"/>
  <c r="Q147" i="93"/>
  <c r="U148" i="93"/>
  <c r="F147" i="182" s="1"/>
  <c r="U163" i="93"/>
  <c r="F162" i="182" s="1"/>
  <c r="U266" i="93"/>
  <c r="F265" i="182" s="1"/>
  <c r="Q156" i="93"/>
  <c r="O129" i="93"/>
  <c r="U140" i="93"/>
  <c r="F139" i="182" s="1"/>
  <c r="U147" i="93"/>
  <c r="F146" i="182" s="1"/>
  <c r="U212" i="93"/>
  <c r="F211" i="182" s="1"/>
  <c r="O259" i="93"/>
  <c r="O273" i="93"/>
  <c r="E45" i="95"/>
  <c r="G88" i="95"/>
  <c r="E128" i="95"/>
  <c r="E156" i="95"/>
  <c r="E211" i="95"/>
  <c r="E26" i="95"/>
  <c r="E46" i="95"/>
  <c r="E260" i="95"/>
  <c r="E271" i="95"/>
  <c r="H271" i="95" s="1"/>
  <c r="E140" i="95"/>
  <c r="E147" i="95"/>
  <c r="G62" i="95"/>
  <c r="G147" i="95"/>
  <c r="E63" i="95"/>
  <c r="E148" i="95"/>
  <c r="E273" i="95"/>
  <c r="Q88" i="93"/>
  <c r="Q62" i="93"/>
  <c r="Q76" i="93"/>
  <c r="G45" i="95"/>
  <c r="E76" i="95"/>
  <c r="G76" i="95"/>
  <c r="E88" i="95"/>
  <c r="E129" i="95"/>
  <c r="G158" i="95"/>
  <c r="G273" i="95"/>
  <c r="E265" i="95"/>
  <c r="H265" i="95" s="1"/>
  <c r="O158" i="93"/>
  <c r="U139" i="93"/>
  <c r="F138" i="182" s="1"/>
  <c r="U158" i="93"/>
  <c r="F157" i="182" s="1"/>
  <c r="U89" i="93"/>
  <c r="F88" i="182" s="1"/>
  <c r="U129" i="93"/>
  <c r="F128" i="182" s="1"/>
  <c r="U188" i="93"/>
  <c r="F187" i="182" s="1"/>
  <c r="O156" i="93"/>
  <c r="Q275" i="93"/>
  <c r="O211" i="93"/>
  <c r="O265" i="93"/>
  <c r="O271" i="93"/>
  <c r="Q273" i="93"/>
  <c r="Q211" i="93"/>
  <c r="Q265" i="93"/>
  <c r="Q271" i="93"/>
  <c r="B157" i="182"/>
  <c r="B75" i="182"/>
  <c r="B44" i="182"/>
  <c r="B62" i="182"/>
  <c r="B139" i="182"/>
  <c r="B270" i="182"/>
  <c r="B186" i="182"/>
  <c r="B25" i="182"/>
  <c r="B127" i="182"/>
  <c r="B258" i="182"/>
  <c r="B61" i="182"/>
  <c r="B128" i="182"/>
  <c r="B147" i="182"/>
  <c r="B211" i="182"/>
  <c r="B45" i="182"/>
  <c r="B87" i="182"/>
  <c r="B155" i="182"/>
  <c r="B158" i="182"/>
  <c r="B88" i="182"/>
  <c r="B187" i="182"/>
  <c r="B259" i="182"/>
  <c r="B272" i="182"/>
  <c r="B26" i="182"/>
  <c r="B76" i="182"/>
  <c r="B265" i="182"/>
  <c r="F25" i="92"/>
  <c r="F44" i="92"/>
  <c r="D258" i="182" l="1"/>
  <c r="D265" i="182"/>
  <c r="D26" i="182"/>
  <c r="D186" i="182"/>
  <c r="D75" i="182"/>
  <c r="D138" i="182"/>
  <c r="D211" i="182"/>
  <c r="D272" i="182"/>
  <c r="D139" i="182"/>
  <c r="D44" i="182"/>
  <c r="D76" i="182"/>
  <c r="D270" i="182"/>
  <c r="D187" i="182"/>
  <c r="D25" i="182"/>
  <c r="D274" i="182"/>
  <c r="D45" i="182"/>
  <c r="D146" i="182"/>
  <c r="D61" i="182"/>
  <c r="D88" i="182"/>
  <c r="D162" i="182"/>
  <c r="D264" i="182"/>
  <c r="D128" i="182"/>
  <c r="D210" i="182"/>
  <c r="D62" i="182"/>
  <c r="D158" i="182"/>
  <c r="D147" i="182"/>
  <c r="D127" i="182"/>
  <c r="D259" i="182"/>
  <c r="D87" i="182"/>
  <c r="D112" i="80"/>
  <c r="H163" i="95"/>
  <c r="H158" i="95"/>
  <c r="D80" i="80"/>
  <c r="D33" i="80"/>
  <c r="C72" i="83"/>
  <c r="C24" i="83"/>
  <c r="D64" i="80"/>
  <c r="D40" i="80"/>
  <c r="X128" i="93"/>
  <c r="R147" i="93"/>
  <c r="D102" i="80"/>
  <c r="D32" i="80"/>
  <c r="C59" i="83"/>
  <c r="H45" i="95"/>
  <c r="R139" i="93"/>
  <c r="H156" i="95"/>
  <c r="X62" i="93"/>
  <c r="X163" i="93"/>
  <c r="D23" i="80"/>
  <c r="D93" i="80"/>
  <c r="X259" i="93"/>
  <c r="C26" i="83"/>
  <c r="D125" i="80"/>
  <c r="R187" i="93"/>
  <c r="H187" i="95"/>
  <c r="D25" i="80"/>
  <c r="D117" i="80"/>
  <c r="C37" i="83"/>
  <c r="D61" i="80"/>
  <c r="X273" i="93"/>
  <c r="C110" i="83"/>
  <c r="R88" i="93"/>
  <c r="D14" i="80"/>
  <c r="R76" i="93"/>
  <c r="D35" i="80"/>
  <c r="D49" i="80"/>
  <c r="D122" i="80"/>
  <c r="X88" i="93"/>
  <c r="R128" i="93"/>
  <c r="R273" i="93"/>
  <c r="X76" i="93"/>
  <c r="R62" i="93"/>
  <c r="D19" i="80"/>
  <c r="C31" i="83"/>
  <c r="C36" i="83"/>
  <c r="R26" i="93"/>
  <c r="X211" i="93"/>
  <c r="D42" i="80"/>
  <c r="D53" i="80"/>
  <c r="D71" i="80"/>
  <c r="C100" i="83"/>
  <c r="C30" i="83"/>
  <c r="H139" i="95"/>
  <c r="D22" i="80"/>
  <c r="X45" i="93"/>
  <c r="C46" i="83"/>
  <c r="C79" i="83"/>
  <c r="D90" i="80"/>
  <c r="D47" i="80"/>
  <c r="X271" i="93"/>
  <c r="H211" i="95"/>
  <c r="D60" i="80"/>
  <c r="D70" i="80"/>
  <c r="D111" i="80"/>
  <c r="D41" i="80"/>
  <c r="C73" i="83"/>
  <c r="D94" i="80"/>
  <c r="C62" i="83"/>
  <c r="C65" i="83"/>
  <c r="C101" i="83"/>
  <c r="D78" i="80"/>
  <c r="C34" i="83"/>
  <c r="C54" i="83"/>
  <c r="D63" i="80"/>
  <c r="D55" i="80"/>
  <c r="D108" i="80"/>
  <c r="D82" i="80"/>
  <c r="D81" i="80"/>
  <c r="C127" i="83"/>
  <c r="C103" i="83"/>
  <c r="D109" i="80"/>
  <c r="D115" i="80"/>
  <c r="C123" i="83"/>
  <c r="C99" i="83"/>
  <c r="D91" i="80"/>
  <c r="D116" i="80"/>
  <c r="C126" i="83"/>
  <c r="D121" i="80"/>
  <c r="C105" i="83"/>
  <c r="D105" i="80"/>
  <c r="C52" i="83"/>
  <c r="D52" i="80"/>
  <c r="C98" i="83"/>
  <c r="D98" i="80"/>
  <c r="C95" i="83"/>
  <c r="D95" i="80"/>
  <c r="C58" i="83"/>
  <c r="D58" i="80"/>
  <c r="D18" i="80"/>
  <c r="C18" i="83"/>
  <c r="C88" i="83"/>
  <c r="D88" i="80"/>
  <c r="C86" i="83"/>
  <c r="D86" i="80"/>
  <c r="C118" i="83"/>
  <c r="D118" i="80"/>
  <c r="C83" i="83"/>
  <c r="D83" i="80"/>
  <c r="C43" i="83"/>
  <c r="D43" i="80"/>
  <c r="C75" i="83"/>
  <c r="D75" i="80"/>
  <c r="C16" i="83"/>
  <c r="D16" i="80"/>
  <c r="C69" i="83"/>
  <c r="D69" i="80"/>
  <c r="C119" i="83"/>
  <c r="D119" i="80"/>
  <c r="C96" i="83"/>
  <c r="D96" i="80"/>
  <c r="C66" i="83"/>
  <c r="D66" i="80"/>
  <c r="D20" i="80"/>
  <c r="C20" i="83"/>
  <c r="C128" i="83"/>
  <c r="D128" i="80"/>
  <c r="C107" i="83"/>
  <c r="C56" i="83"/>
  <c r="D56" i="80"/>
  <c r="C51" i="83"/>
  <c r="D51" i="80"/>
  <c r="C97" i="83"/>
  <c r="D97" i="80"/>
  <c r="C84" i="83"/>
  <c r="D84" i="80"/>
  <c r="C44" i="83"/>
  <c r="D44" i="80"/>
  <c r="C106" i="83"/>
  <c r="D106" i="80"/>
  <c r="C124" i="83"/>
  <c r="D124" i="80"/>
  <c r="C29" i="83"/>
  <c r="D29" i="80"/>
  <c r="C85" i="83"/>
  <c r="D85" i="80"/>
  <c r="C67" i="83"/>
  <c r="D67" i="80"/>
  <c r="D21" i="80"/>
  <c r="C21" i="83"/>
  <c r="C89" i="83"/>
  <c r="D89" i="80"/>
  <c r="C17" i="83"/>
  <c r="D17" i="80"/>
  <c r="C104" i="83"/>
  <c r="D104" i="80"/>
  <c r="C15" i="83"/>
  <c r="D15" i="80"/>
  <c r="C68" i="83"/>
  <c r="D68" i="80"/>
  <c r="C45" i="83"/>
  <c r="D45" i="80"/>
  <c r="C113" i="83"/>
  <c r="D113" i="80"/>
  <c r="C76" i="83"/>
  <c r="D76" i="80"/>
  <c r="C87" i="83"/>
  <c r="D87" i="80"/>
  <c r="C50" i="83"/>
  <c r="D50" i="80"/>
  <c r="C57" i="83"/>
  <c r="D57" i="80"/>
  <c r="C74" i="83"/>
  <c r="D74" i="80"/>
  <c r="C120" i="83"/>
  <c r="D120" i="80"/>
  <c r="C114" i="83"/>
  <c r="D114" i="80"/>
  <c r="C77" i="83"/>
  <c r="D77" i="80"/>
  <c r="X187" i="93"/>
  <c r="R45" i="93"/>
  <c r="X275" i="93"/>
  <c r="H26" i="95"/>
  <c r="H62" i="95"/>
  <c r="H273" i="95"/>
  <c r="R275" i="93"/>
  <c r="R163" i="93"/>
  <c r="X265" i="93"/>
  <c r="H128" i="95"/>
  <c r="X156" i="93"/>
  <c r="X26" i="93"/>
  <c r="X147" i="93"/>
  <c r="R259" i="93"/>
  <c r="F74" i="94"/>
  <c r="F263" i="94"/>
  <c r="F160" i="94"/>
  <c r="F271" i="94"/>
  <c r="H147" i="95"/>
  <c r="H88" i="95"/>
  <c r="F269" i="94"/>
  <c r="F86" i="94"/>
  <c r="F87" i="94"/>
  <c r="F61" i="94"/>
  <c r="F161" i="94"/>
  <c r="F145" i="94"/>
  <c r="F273" i="94"/>
  <c r="F186" i="94"/>
  <c r="F154" i="94"/>
  <c r="F138" i="94"/>
  <c r="F257" i="94"/>
  <c r="F209" i="94"/>
  <c r="F43" i="94"/>
  <c r="R156" i="93"/>
  <c r="D155" i="182"/>
  <c r="F44" i="94"/>
  <c r="F126" i="94"/>
  <c r="F75" i="94"/>
  <c r="F25" i="94"/>
  <c r="F159" i="94"/>
  <c r="F127" i="94"/>
  <c r="R158" i="93"/>
  <c r="D157" i="182"/>
  <c r="F60" i="94"/>
  <c r="F24" i="94"/>
  <c r="F185" i="94"/>
  <c r="F137" i="94"/>
  <c r="B138" i="182"/>
  <c r="F258" i="94"/>
  <c r="F210" i="94"/>
  <c r="F162" i="94"/>
  <c r="F146" i="94"/>
  <c r="F264" i="94"/>
  <c r="F156" i="94"/>
  <c r="F173" i="94"/>
  <c r="F157" i="94"/>
  <c r="R265" i="93"/>
  <c r="X139" i="93"/>
  <c r="R211" i="93"/>
  <c r="H76" i="95"/>
  <c r="R271" i="93"/>
  <c r="X158" i="93"/>
  <c r="Z116" i="180" l="1"/>
  <c r="Z110" i="180"/>
  <c r="Z102" i="180"/>
  <c r="Z93" i="180"/>
  <c r="Z84" i="180"/>
  <c r="Z81" i="180"/>
  <c r="Z53" i="180"/>
  <c r="Z35" i="180"/>
  <c r="Z17" i="180"/>
  <c r="X116" i="180"/>
  <c r="X110" i="180"/>
  <c r="X102" i="180"/>
  <c r="X93" i="180"/>
  <c r="X90" i="180"/>
  <c r="X89" i="180"/>
  <c r="X88" i="180"/>
  <c r="X87" i="180"/>
  <c r="X86" i="180"/>
  <c r="X84" i="180"/>
  <c r="X81" i="180"/>
  <c r="X72" i="180"/>
  <c r="X64" i="180"/>
  <c r="X53" i="180"/>
  <c r="X48" i="180"/>
  <c r="X40" i="180"/>
  <c r="X35" i="180"/>
  <c r="X28" i="180"/>
  <c r="X27" i="180"/>
  <c r="X26" i="180"/>
  <c r="X24" i="180"/>
  <c r="X17" i="180"/>
  <c r="V110" i="180"/>
  <c r="V102" i="180"/>
  <c r="V93" i="180"/>
  <c r="V84" i="180"/>
  <c r="V81" i="180"/>
  <c r="V72" i="180"/>
  <c r="V69" i="180"/>
  <c r="V64" i="180"/>
  <c r="V53" i="180"/>
  <c r="V48" i="180"/>
  <c r="V40" i="180"/>
  <c r="V35" i="180"/>
  <c r="V28" i="180"/>
  <c r="V27" i="180"/>
  <c r="V26" i="180"/>
  <c r="V24" i="180"/>
  <c r="V17" i="180"/>
  <c r="N110" i="180"/>
  <c r="N102" i="180"/>
  <c r="N93" i="180"/>
  <c r="N90" i="180"/>
  <c r="N89" i="180"/>
  <c r="N87" i="180"/>
  <c r="N86" i="180"/>
  <c r="N84" i="180"/>
  <c r="N81" i="180"/>
  <c r="N72" i="180"/>
  <c r="N64" i="180"/>
  <c r="N53" i="180"/>
  <c r="N48" i="180"/>
  <c r="N40" i="180"/>
  <c r="N35" i="180"/>
  <c r="N28" i="180"/>
  <c r="N27" i="180"/>
  <c r="N26" i="180"/>
  <c r="N24" i="180"/>
  <c r="N17" i="180"/>
  <c r="X18" i="180" l="1"/>
  <c r="V68" i="180"/>
  <c r="X85" i="180"/>
  <c r="X68" i="180"/>
  <c r="W24" i="180"/>
  <c r="W40" i="180"/>
  <c r="W48" i="180"/>
  <c r="W64" i="180"/>
  <c r="W72" i="180"/>
  <c r="W17" i="180"/>
  <c r="W81" i="180"/>
  <c r="W26" i="180"/>
  <c r="W27" i="180"/>
  <c r="W35" i="180"/>
  <c r="W28" i="180"/>
  <c r="W84" i="180"/>
  <c r="W53" i="180"/>
  <c r="W93" i="180"/>
  <c r="W102" i="180"/>
  <c r="W110" i="180"/>
  <c r="Y28" i="180"/>
  <c r="Y84" i="180"/>
  <c r="Y27" i="180"/>
  <c r="Y53" i="180"/>
  <c r="Y93" i="180"/>
  <c r="AA102" i="180"/>
  <c r="AA110" i="180"/>
  <c r="U118" i="88"/>
  <c r="AA116" i="180"/>
  <c r="Y86" i="180"/>
  <c r="Y102" i="180"/>
  <c r="Y110" i="180"/>
  <c r="U55" i="88"/>
  <c r="U95" i="88"/>
  <c r="Y87" i="180"/>
  <c r="Z26" i="88"/>
  <c r="Z24" i="180"/>
  <c r="AA24" i="180" s="1"/>
  <c r="Z42" i="88"/>
  <c r="Z40" i="180"/>
  <c r="AA40" i="180" s="1"/>
  <c r="Z50" i="88"/>
  <c r="Z48" i="180"/>
  <c r="AA48" i="180" s="1"/>
  <c r="Z66" i="88"/>
  <c r="Z64" i="180"/>
  <c r="AA64" i="180" s="1"/>
  <c r="Z74" i="88"/>
  <c r="Z72" i="180"/>
  <c r="AA72" i="180" s="1"/>
  <c r="Y24" i="180"/>
  <c r="Y40" i="180"/>
  <c r="Y48" i="180"/>
  <c r="Y64" i="180"/>
  <c r="Y72" i="180"/>
  <c r="AA17" i="180"/>
  <c r="AA81" i="180"/>
  <c r="K118" i="79"/>
  <c r="V116" i="180"/>
  <c r="Y116" i="180"/>
  <c r="Y26" i="180"/>
  <c r="Y90" i="180"/>
  <c r="AA35" i="180"/>
  <c r="I118" i="79"/>
  <c r="N116" i="180"/>
  <c r="Z19" i="88"/>
  <c r="Z83" i="88"/>
  <c r="Z118" i="88"/>
  <c r="U88" i="88"/>
  <c r="U104" i="88"/>
  <c r="U112" i="88"/>
  <c r="U89" i="88"/>
  <c r="U26" i="88"/>
  <c r="U42" i="88"/>
  <c r="U50" i="88"/>
  <c r="U66" i="88"/>
  <c r="U74" i="88"/>
  <c r="U19" i="88"/>
  <c r="U83" i="88"/>
  <c r="U91" i="88"/>
  <c r="Z55" i="88"/>
  <c r="Z95" i="88"/>
  <c r="Z104" i="88"/>
  <c r="Z112" i="88"/>
  <c r="U12" i="90"/>
  <c r="W122" i="90"/>
  <c r="W121" i="90"/>
  <c r="W113" i="90"/>
  <c r="W105" i="90"/>
  <c r="W96" i="90"/>
  <c r="W90" i="90"/>
  <c r="W89" i="90"/>
  <c r="W81" i="90"/>
  <c r="W72" i="90"/>
  <c r="W64" i="90"/>
  <c r="W56" i="90"/>
  <c r="W48" i="90"/>
  <c r="W40" i="90"/>
  <c r="W34" i="90"/>
  <c r="W33" i="90"/>
  <c r="W24" i="90"/>
  <c r="W17" i="90"/>
  <c r="W16" i="90"/>
  <c r="V125" i="90"/>
  <c r="H122" i="180" s="1"/>
  <c r="I122" i="180" s="1"/>
  <c r="V122" i="90"/>
  <c r="H119" i="180" s="1"/>
  <c r="I119" i="180" s="1"/>
  <c r="V121" i="90"/>
  <c r="H118" i="180" s="1"/>
  <c r="I118" i="180" s="1"/>
  <c r="V119" i="90"/>
  <c r="H116" i="180" s="1"/>
  <c r="I116" i="180" s="1"/>
  <c r="V116" i="90"/>
  <c r="H113" i="180" s="1"/>
  <c r="I113" i="180" s="1"/>
  <c r="V115" i="90"/>
  <c r="H112" i="180" s="1"/>
  <c r="I112" i="180" s="1"/>
  <c r="V113" i="90"/>
  <c r="H110" i="180" s="1"/>
  <c r="I110" i="180" s="1"/>
  <c r="V110" i="90"/>
  <c r="H107" i="180" s="1"/>
  <c r="I107" i="180" s="1"/>
  <c r="V109" i="90"/>
  <c r="H106" i="180" s="1"/>
  <c r="I106" i="180" s="1"/>
  <c r="V108" i="90"/>
  <c r="H105" i="180" s="1"/>
  <c r="I105" i="180" s="1"/>
  <c r="V107" i="90"/>
  <c r="H104" i="180" s="1"/>
  <c r="I104" i="180" s="1"/>
  <c r="V105" i="90"/>
  <c r="H102" i="180" s="1"/>
  <c r="I102" i="180" s="1"/>
  <c r="V102" i="90"/>
  <c r="H99" i="180" s="1"/>
  <c r="I99" i="180" s="1"/>
  <c r="V99" i="90"/>
  <c r="H96" i="180" s="1"/>
  <c r="I96" i="180" s="1"/>
  <c r="V93" i="90"/>
  <c r="H90" i="180" s="1"/>
  <c r="I90" i="180" s="1"/>
  <c r="V92" i="90"/>
  <c r="H89" i="180" s="1"/>
  <c r="I89" i="180" s="1"/>
  <c r="V90" i="90"/>
  <c r="H87" i="180" s="1"/>
  <c r="I87" i="180" s="1"/>
  <c r="V89" i="90"/>
  <c r="H86" i="180" s="1"/>
  <c r="I86" i="180" s="1"/>
  <c r="V87" i="90"/>
  <c r="H84" i="180" s="1"/>
  <c r="I84" i="180" s="1"/>
  <c r="V85" i="90"/>
  <c r="H82" i="180" s="1"/>
  <c r="I82" i="180" s="1"/>
  <c r="V84" i="90"/>
  <c r="H81" i="180" s="1"/>
  <c r="I81" i="180" s="1"/>
  <c r="V81" i="90"/>
  <c r="H78" i="180" s="1"/>
  <c r="I78" i="180" s="1"/>
  <c r="V78" i="90"/>
  <c r="H75" i="180" s="1"/>
  <c r="I75" i="180" s="1"/>
  <c r="V75" i="90"/>
  <c r="H72" i="180" s="1"/>
  <c r="I72" i="180" s="1"/>
  <c r="V67" i="90"/>
  <c r="H64" i="180" s="1"/>
  <c r="I64" i="180" s="1"/>
  <c r="V63" i="90"/>
  <c r="H60" i="180" s="1"/>
  <c r="I60" i="180" s="1"/>
  <c r="V60" i="90"/>
  <c r="H57" i="180" s="1"/>
  <c r="I57" i="180" s="1"/>
  <c r="V59" i="90"/>
  <c r="H56" i="180" s="1"/>
  <c r="I56" i="180" s="1"/>
  <c r="V53" i="90"/>
  <c r="H50" i="180" s="1"/>
  <c r="I50" i="180" s="1"/>
  <c r="V51" i="90"/>
  <c r="H48" i="180" s="1"/>
  <c r="I48" i="180" s="1"/>
  <c r="V47" i="90"/>
  <c r="H44" i="180" s="1"/>
  <c r="I44" i="180" s="1"/>
  <c r="V45" i="90"/>
  <c r="H42" i="180" s="1"/>
  <c r="I42" i="180" s="1"/>
  <c r="V43" i="90"/>
  <c r="H40" i="180" s="1"/>
  <c r="I40" i="180" s="1"/>
  <c r="V38" i="90"/>
  <c r="H35" i="180" s="1"/>
  <c r="I35" i="180" s="1"/>
  <c r="V35" i="90"/>
  <c r="H32" i="180" s="1"/>
  <c r="I32" i="180" s="1"/>
  <c r="V34" i="90"/>
  <c r="H31" i="180" s="1"/>
  <c r="I31" i="180" s="1"/>
  <c r="V33" i="90"/>
  <c r="H30" i="180" s="1"/>
  <c r="I30" i="180" s="1"/>
  <c r="V31" i="90"/>
  <c r="H28" i="180" s="1"/>
  <c r="I28" i="180" s="1"/>
  <c r="V30" i="90"/>
  <c r="H27" i="180" s="1"/>
  <c r="I27" i="180" s="1"/>
  <c r="V29" i="90"/>
  <c r="H26" i="180" s="1"/>
  <c r="I26" i="180" s="1"/>
  <c r="V27" i="90"/>
  <c r="H24" i="180" s="1"/>
  <c r="I24" i="180" s="1"/>
  <c r="V23" i="90"/>
  <c r="H20" i="180" s="1"/>
  <c r="I20" i="180" s="1"/>
  <c r="V22" i="90"/>
  <c r="H19" i="180" s="1"/>
  <c r="I19" i="180" s="1"/>
  <c r="V20" i="90"/>
  <c r="H17" i="180" s="1"/>
  <c r="I17" i="180" s="1"/>
  <c r="V17" i="90"/>
  <c r="H14" i="180" s="1"/>
  <c r="I14" i="180" s="1"/>
  <c r="V15" i="90"/>
  <c r="H12" i="180" s="1"/>
  <c r="I12" i="180" s="1"/>
  <c r="V14" i="90"/>
  <c r="H11" i="180" s="1"/>
  <c r="I11" i="180" s="1"/>
  <c r="G124" i="79"/>
  <c r="G121" i="79"/>
  <c r="G120" i="79"/>
  <c r="G118" i="79"/>
  <c r="G115" i="79"/>
  <c r="G114" i="79"/>
  <c r="G112" i="79"/>
  <c r="G109" i="79"/>
  <c r="G108" i="79"/>
  <c r="G107" i="79"/>
  <c r="G106" i="79"/>
  <c r="G104" i="79"/>
  <c r="G101" i="79"/>
  <c r="G98" i="79"/>
  <c r="G95" i="79"/>
  <c r="G92" i="79"/>
  <c r="G91" i="79"/>
  <c r="G89" i="79"/>
  <c r="G88" i="79"/>
  <c r="G86" i="79"/>
  <c r="G84" i="79"/>
  <c r="G83" i="79"/>
  <c r="G80" i="79"/>
  <c r="G77" i="79"/>
  <c r="G74" i="79"/>
  <c r="G71" i="79"/>
  <c r="G66" i="79"/>
  <c r="G63" i="79"/>
  <c r="G62" i="79"/>
  <c r="G59" i="79"/>
  <c r="G58" i="79"/>
  <c r="G55" i="79"/>
  <c r="G52" i="79"/>
  <c r="G47" i="79"/>
  <c r="G46" i="79"/>
  <c r="G44" i="79"/>
  <c r="G42" i="79"/>
  <c r="G39" i="79"/>
  <c r="G37" i="79"/>
  <c r="G34" i="79"/>
  <c r="G33" i="79"/>
  <c r="G32" i="79"/>
  <c r="G30" i="79"/>
  <c r="G29" i="79"/>
  <c r="G28" i="79"/>
  <c r="G26" i="79"/>
  <c r="G23" i="79"/>
  <c r="G22" i="79"/>
  <c r="G21" i="79"/>
  <c r="G19" i="79"/>
  <c r="P122" i="157"/>
  <c r="P116" i="157"/>
  <c r="P110" i="157"/>
  <c r="P102" i="157"/>
  <c r="P93" i="157"/>
  <c r="Q78" i="157"/>
  <c r="I78" i="82" s="1"/>
  <c r="P81" i="157"/>
  <c r="Q69" i="157"/>
  <c r="I69" i="82" s="1"/>
  <c r="P72" i="157"/>
  <c r="P64" i="157"/>
  <c r="P53" i="157"/>
  <c r="Q45" i="157"/>
  <c r="I45" i="82" s="1"/>
  <c r="P40" i="157"/>
  <c r="P35" i="157"/>
  <c r="P24" i="157"/>
  <c r="P17" i="157"/>
  <c r="M122" i="157"/>
  <c r="M116" i="157"/>
  <c r="M110" i="157"/>
  <c r="M102" i="157"/>
  <c r="M93" i="157"/>
  <c r="N78" i="157"/>
  <c r="G78" i="82" s="1"/>
  <c r="N69" i="157"/>
  <c r="G69" i="82" s="1"/>
  <c r="M64" i="157"/>
  <c r="M53" i="157"/>
  <c r="N45" i="157"/>
  <c r="G45" i="82" s="1"/>
  <c r="M40" i="157"/>
  <c r="N92" i="157"/>
  <c r="G92" i="82" s="1"/>
  <c r="N91" i="157"/>
  <c r="G91" i="82" s="1"/>
  <c r="N89" i="157"/>
  <c r="G89" i="82" s="1"/>
  <c r="N88" i="157"/>
  <c r="G88" i="82" s="1"/>
  <c r="K84" i="157"/>
  <c r="E84" i="82" s="1"/>
  <c r="J40" i="157"/>
  <c r="K125" i="157"/>
  <c r="E125" i="82" s="1"/>
  <c r="K124" i="157"/>
  <c r="E124" i="82" s="1"/>
  <c r="J122" i="157"/>
  <c r="K121" i="157"/>
  <c r="E121" i="82" s="1"/>
  <c r="K120" i="157"/>
  <c r="E120" i="82" s="1"/>
  <c r="K119" i="157"/>
  <c r="E119" i="82" s="1"/>
  <c r="K115" i="157"/>
  <c r="E115" i="82" s="1"/>
  <c r="K114" i="157"/>
  <c r="E114" i="82" s="1"/>
  <c r="K113" i="157"/>
  <c r="E113" i="82" s="1"/>
  <c r="J116" i="157"/>
  <c r="J110" i="157"/>
  <c r="K106" i="157"/>
  <c r="E106" i="82" s="1"/>
  <c r="K109" i="157"/>
  <c r="E109" i="82" s="1"/>
  <c r="K108" i="157"/>
  <c r="E108" i="82" s="1"/>
  <c r="K107" i="157"/>
  <c r="E107" i="82" s="1"/>
  <c r="K105" i="157"/>
  <c r="E105" i="82" s="1"/>
  <c r="J102" i="157"/>
  <c r="K101" i="157"/>
  <c r="E101" i="82" s="1"/>
  <c r="K100" i="157"/>
  <c r="E100" i="82" s="1"/>
  <c r="K98" i="157"/>
  <c r="E98" i="82" s="1"/>
  <c r="K97" i="157"/>
  <c r="E97" i="82" s="1"/>
  <c r="J93" i="157"/>
  <c r="K92" i="157"/>
  <c r="E92" i="82" s="1"/>
  <c r="K91" i="157"/>
  <c r="E91" i="82" s="1"/>
  <c r="K89" i="157"/>
  <c r="E89" i="82" s="1"/>
  <c r="K88" i="157"/>
  <c r="E88" i="82" s="1"/>
  <c r="K80" i="157"/>
  <c r="E80" i="82" s="1"/>
  <c r="K76" i="157"/>
  <c r="E76" i="82" s="1"/>
  <c r="K69" i="157"/>
  <c r="E69" i="82" s="1"/>
  <c r="K71" i="157"/>
  <c r="E71" i="82" s="1"/>
  <c r="I72" i="157"/>
  <c r="J64" i="157"/>
  <c r="K63" i="157"/>
  <c r="E63" i="82" s="1"/>
  <c r="K62" i="157"/>
  <c r="E62" i="82" s="1"/>
  <c r="K61" i="157"/>
  <c r="E61" i="82" s="1"/>
  <c r="K59" i="157"/>
  <c r="E59" i="82" s="1"/>
  <c r="K58" i="157"/>
  <c r="E58" i="82" s="1"/>
  <c r="K57" i="157"/>
  <c r="E57" i="82" s="1"/>
  <c r="J53" i="157"/>
  <c r="K51" i="157"/>
  <c r="E51" i="82" s="1"/>
  <c r="K47" i="157"/>
  <c r="E47" i="82" s="1"/>
  <c r="K46" i="157"/>
  <c r="E46" i="82" s="1"/>
  <c r="K45" i="157"/>
  <c r="E45" i="82" s="1"/>
  <c r="J48" i="157"/>
  <c r="K39" i="157"/>
  <c r="E39" i="82" s="1"/>
  <c r="K32" i="157"/>
  <c r="E32" i="82" s="1"/>
  <c r="K34" i="157"/>
  <c r="E34" i="82" s="1"/>
  <c r="K33" i="157"/>
  <c r="E33" i="82" s="1"/>
  <c r="K30" i="157"/>
  <c r="E30" i="82" s="1"/>
  <c r="K29" i="157"/>
  <c r="E29" i="82" s="1"/>
  <c r="K28" i="157"/>
  <c r="E28" i="82" s="1"/>
  <c r="K23" i="157"/>
  <c r="E23" i="82" s="1"/>
  <c r="K22" i="157"/>
  <c r="E22" i="82" s="1"/>
  <c r="K21" i="157"/>
  <c r="E21" i="82" s="1"/>
  <c r="K20" i="157"/>
  <c r="E20" i="82" s="1"/>
  <c r="K16" i="157"/>
  <c r="E16" i="82" s="1"/>
  <c r="K15" i="157"/>
  <c r="E15" i="82" s="1"/>
  <c r="K14" i="157"/>
  <c r="E14" i="82" s="1"/>
  <c r="K13" i="157"/>
  <c r="E13" i="82" s="1"/>
  <c r="K12" i="157"/>
  <c r="Y18" i="180" l="1"/>
  <c r="G20" i="79"/>
  <c r="G38" i="79"/>
  <c r="G57" i="79"/>
  <c r="V39" i="90"/>
  <c r="H36" i="180" s="1"/>
  <c r="I36" i="180" s="1"/>
  <c r="V71" i="90"/>
  <c r="H68" i="180" s="1"/>
  <c r="I68" i="180" s="1"/>
  <c r="W80" i="90"/>
  <c r="Z80" i="90" s="1"/>
  <c r="G76" i="79"/>
  <c r="V114" i="90"/>
  <c r="H111" i="180" s="1"/>
  <c r="I111" i="180" s="1"/>
  <c r="G68" i="79"/>
  <c r="G113" i="79"/>
  <c r="V106" i="90"/>
  <c r="H103" i="180" s="1"/>
  <c r="I103" i="180" s="1"/>
  <c r="G51" i="79"/>
  <c r="G105" i="79"/>
  <c r="V58" i="90"/>
  <c r="H55" i="180" s="1"/>
  <c r="I55" i="180" s="1"/>
  <c r="V98" i="90"/>
  <c r="H95" i="180" s="1"/>
  <c r="I95" i="180" s="1"/>
  <c r="W114" i="90"/>
  <c r="Z114" i="90" s="1"/>
  <c r="G61" i="79"/>
  <c r="G70" i="79"/>
  <c r="G79" i="79"/>
  <c r="G97" i="79"/>
  <c r="G125" i="79"/>
  <c r="W106" i="90"/>
  <c r="Z106" i="90" s="1"/>
  <c r="V52" i="90"/>
  <c r="H49" i="180" s="1"/>
  <c r="I49" i="180" s="1"/>
  <c r="V126" i="90"/>
  <c r="H123" i="180" s="1"/>
  <c r="I123" i="180" s="1"/>
  <c r="V13" i="90"/>
  <c r="Y13" i="90" s="1"/>
  <c r="V21" i="90"/>
  <c r="H18" i="180" s="1"/>
  <c r="I18" i="180" s="1"/>
  <c r="V69" i="90"/>
  <c r="H66" i="180" s="1"/>
  <c r="I66" i="180" s="1"/>
  <c r="V77" i="90"/>
  <c r="H74" i="180" s="1"/>
  <c r="I74" i="180" s="1"/>
  <c r="V101" i="90"/>
  <c r="H98" i="180" s="1"/>
  <c r="I98" i="180" s="1"/>
  <c r="W98" i="90"/>
  <c r="Z98" i="90" s="1"/>
  <c r="G100" i="79"/>
  <c r="G119" i="79"/>
  <c r="V62" i="90"/>
  <c r="H59" i="180" s="1"/>
  <c r="I59" i="180" s="1"/>
  <c r="W58" i="90"/>
  <c r="Z58" i="90" s="1"/>
  <c r="W120" i="90"/>
  <c r="J117" i="180" s="1"/>
  <c r="K117" i="180" s="1"/>
  <c r="W116" i="180"/>
  <c r="AA93" i="180"/>
  <c r="Q110" i="180"/>
  <c r="Q90" i="180"/>
  <c r="Q26" i="180"/>
  <c r="Q64" i="180"/>
  <c r="AA84" i="180"/>
  <c r="Q11" i="180"/>
  <c r="Q102" i="180"/>
  <c r="AA53" i="180"/>
  <c r="Q72" i="180"/>
  <c r="Q48" i="180"/>
  <c r="Y35" i="180"/>
  <c r="Q35" i="180"/>
  <c r="Q24" i="180"/>
  <c r="Q40" i="180"/>
  <c r="Q86" i="180"/>
  <c r="Y89" i="180"/>
  <c r="Q89" i="180"/>
  <c r="Q27" i="180"/>
  <c r="Q28" i="180"/>
  <c r="Q116" i="180"/>
  <c r="Y81" i="180"/>
  <c r="Q81" i="180"/>
  <c r="Y17" i="180"/>
  <c r="Q17" i="180"/>
  <c r="Q84" i="180"/>
  <c r="Q87" i="180"/>
  <c r="P80" i="88"/>
  <c r="Y17" i="90"/>
  <c r="Y33" i="90"/>
  <c r="Y81" i="90"/>
  <c r="Y89" i="90"/>
  <c r="Y105" i="90"/>
  <c r="Y113" i="90"/>
  <c r="Y121" i="90"/>
  <c r="P113" i="88"/>
  <c r="X20" i="90"/>
  <c r="X52" i="90"/>
  <c r="X60" i="90"/>
  <c r="X84" i="90"/>
  <c r="X92" i="90"/>
  <c r="X108" i="90"/>
  <c r="X116" i="90"/>
  <c r="G113" i="180"/>
  <c r="Y34" i="90"/>
  <c r="Y90" i="90"/>
  <c r="Y122" i="90"/>
  <c r="X13" i="90"/>
  <c r="X21" i="90"/>
  <c r="X29" i="90"/>
  <c r="X45" i="90"/>
  <c r="X53" i="90"/>
  <c r="X69" i="90"/>
  <c r="X77" i="90"/>
  <c r="X85" i="90"/>
  <c r="X93" i="90"/>
  <c r="X101" i="90"/>
  <c r="X109" i="90"/>
  <c r="X125" i="90"/>
  <c r="G122" i="180"/>
  <c r="Y27" i="90"/>
  <c r="Y35" i="90"/>
  <c r="Y43" i="90"/>
  <c r="Y51" i="90"/>
  <c r="Y59" i="90"/>
  <c r="Y67" i="90"/>
  <c r="Y75" i="90"/>
  <c r="Y99" i="90"/>
  <c r="Y107" i="90"/>
  <c r="Y115" i="90"/>
  <c r="Z16" i="90"/>
  <c r="J13" i="180"/>
  <c r="K13" i="180" s="1"/>
  <c r="Z24" i="90"/>
  <c r="J21" i="180"/>
  <c r="K21" i="180" s="1"/>
  <c r="Z40" i="90"/>
  <c r="J37" i="180"/>
  <c r="K37" i="180" s="1"/>
  <c r="Z48" i="90"/>
  <c r="J45" i="180"/>
  <c r="K45" i="180" s="1"/>
  <c r="Z56" i="90"/>
  <c r="J53" i="180"/>
  <c r="K53" i="180" s="1"/>
  <c r="Z64" i="90"/>
  <c r="J61" i="180"/>
  <c r="K61" i="180" s="1"/>
  <c r="Z72" i="90"/>
  <c r="J69" i="180"/>
  <c r="K69" i="180" s="1"/>
  <c r="Z96" i="90"/>
  <c r="J93" i="180"/>
  <c r="K93" i="180" s="1"/>
  <c r="X14" i="90"/>
  <c r="X22" i="90"/>
  <c r="X30" i="90"/>
  <c r="X38" i="90"/>
  <c r="X62" i="90"/>
  <c r="X78" i="90"/>
  <c r="X102" i="90"/>
  <c r="X110" i="90"/>
  <c r="X126" i="90"/>
  <c r="G123" i="180"/>
  <c r="Y20" i="90"/>
  <c r="Y60" i="90"/>
  <c r="Y84" i="90"/>
  <c r="Y92" i="90"/>
  <c r="Y108" i="90"/>
  <c r="Y116" i="90"/>
  <c r="Z17" i="90"/>
  <c r="J14" i="180"/>
  <c r="Z33" i="90"/>
  <c r="J30" i="180"/>
  <c r="Z81" i="90"/>
  <c r="J78" i="180"/>
  <c r="Z89" i="90"/>
  <c r="J86" i="180"/>
  <c r="Z105" i="90"/>
  <c r="J102" i="180"/>
  <c r="Z113" i="90"/>
  <c r="J110" i="180"/>
  <c r="Z121" i="90"/>
  <c r="J118" i="180"/>
  <c r="X15" i="90"/>
  <c r="X23" i="90"/>
  <c r="X31" i="90"/>
  <c r="X39" i="90"/>
  <c r="X47" i="90"/>
  <c r="X63" i="90"/>
  <c r="X71" i="90"/>
  <c r="X87" i="90"/>
  <c r="X119" i="90"/>
  <c r="G116" i="180"/>
  <c r="Y29" i="90"/>
  <c r="Y45" i="90"/>
  <c r="Y53" i="90"/>
  <c r="Y85" i="90"/>
  <c r="Y93" i="90"/>
  <c r="Y109" i="90"/>
  <c r="Y125" i="90"/>
  <c r="Z34" i="90"/>
  <c r="J31" i="180"/>
  <c r="Z90" i="90"/>
  <c r="J87" i="180"/>
  <c r="Z122" i="90"/>
  <c r="J119" i="180"/>
  <c r="X16" i="90"/>
  <c r="X24" i="90"/>
  <c r="X40" i="90"/>
  <c r="X48" i="90"/>
  <c r="X56" i="90"/>
  <c r="X64" i="90"/>
  <c r="X72" i="90"/>
  <c r="X80" i="90"/>
  <c r="X96" i="90"/>
  <c r="X120" i="90"/>
  <c r="G117" i="180"/>
  <c r="Y14" i="90"/>
  <c r="Y22" i="90"/>
  <c r="Y30" i="90"/>
  <c r="Y38" i="90"/>
  <c r="Y78" i="90"/>
  <c r="Y102" i="90"/>
  <c r="Y110" i="90"/>
  <c r="X17" i="90"/>
  <c r="X33" i="90"/>
  <c r="X81" i="90"/>
  <c r="X89" i="90"/>
  <c r="X105" i="90"/>
  <c r="X113" i="90"/>
  <c r="X121" i="90"/>
  <c r="G118" i="180"/>
  <c r="Y15" i="90"/>
  <c r="Y23" i="90"/>
  <c r="Y31" i="90"/>
  <c r="Y47" i="90"/>
  <c r="Y63" i="90"/>
  <c r="Y87" i="90"/>
  <c r="Y119" i="90"/>
  <c r="X34" i="90"/>
  <c r="X58" i="90"/>
  <c r="X90" i="90"/>
  <c r="X98" i="90"/>
  <c r="X106" i="90"/>
  <c r="X114" i="90"/>
  <c r="G111" i="180"/>
  <c r="X122" i="90"/>
  <c r="G119" i="180"/>
  <c r="P112" i="88"/>
  <c r="X27" i="90"/>
  <c r="X35" i="90"/>
  <c r="X43" i="90"/>
  <c r="X51" i="90"/>
  <c r="X59" i="90"/>
  <c r="X67" i="90"/>
  <c r="X75" i="90"/>
  <c r="X99" i="90"/>
  <c r="X107" i="90"/>
  <c r="X115" i="90"/>
  <c r="G112" i="180"/>
  <c r="P19" i="88"/>
  <c r="W20" i="90"/>
  <c r="P51" i="88"/>
  <c r="W52" i="90"/>
  <c r="P59" i="88"/>
  <c r="W60" i="90"/>
  <c r="P83" i="88"/>
  <c r="W84" i="90"/>
  <c r="P91" i="88"/>
  <c r="W92" i="90"/>
  <c r="P107" i="88"/>
  <c r="W108" i="90"/>
  <c r="P115" i="88"/>
  <c r="W116" i="90"/>
  <c r="P32" i="88"/>
  <c r="P15" i="88"/>
  <c r="V16" i="90"/>
  <c r="H13" i="180" s="1"/>
  <c r="P23" i="88"/>
  <c r="V24" i="90"/>
  <c r="H21" i="180" s="1"/>
  <c r="P39" i="88"/>
  <c r="V40" i="90"/>
  <c r="H37" i="180" s="1"/>
  <c r="P47" i="88"/>
  <c r="V48" i="90"/>
  <c r="H45" i="180" s="1"/>
  <c r="P55" i="88"/>
  <c r="V56" i="90"/>
  <c r="H53" i="180" s="1"/>
  <c r="P63" i="88"/>
  <c r="V64" i="90"/>
  <c r="H61" i="180" s="1"/>
  <c r="P71" i="88"/>
  <c r="V72" i="90"/>
  <c r="H69" i="180" s="1"/>
  <c r="P79" i="88"/>
  <c r="V80" i="90"/>
  <c r="H77" i="180" s="1"/>
  <c r="P95" i="88"/>
  <c r="V96" i="90"/>
  <c r="H93" i="180" s="1"/>
  <c r="P119" i="88"/>
  <c r="V120" i="90"/>
  <c r="H117" i="180" s="1"/>
  <c r="P12" i="88"/>
  <c r="W13" i="90"/>
  <c r="P20" i="88"/>
  <c r="W21" i="90"/>
  <c r="P28" i="88"/>
  <c r="W29" i="90"/>
  <c r="P44" i="88"/>
  <c r="W45" i="90"/>
  <c r="P52" i="88"/>
  <c r="W53" i="90"/>
  <c r="P68" i="88"/>
  <c r="W69" i="90"/>
  <c r="P76" i="88"/>
  <c r="W77" i="90"/>
  <c r="P84" i="88"/>
  <c r="W85" i="90"/>
  <c r="W93" i="90"/>
  <c r="P100" i="88"/>
  <c r="W101" i="90"/>
  <c r="P108" i="88"/>
  <c r="W109" i="90"/>
  <c r="P124" i="88"/>
  <c r="W125" i="90"/>
  <c r="P33" i="88"/>
  <c r="P97" i="88"/>
  <c r="I81" i="157"/>
  <c r="W14" i="90"/>
  <c r="P21" i="88"/>
  <c r="W22" i="90"/>
  <c r="P29" i="88"/>
  <c r="W30" i="90"/>
  <c r="W38" i="90"/>
  <c r="P61" i="88"/>
  <c r="W62" i="90"/>
  <c r="P77" i="88"/>
  <c r="W78" i="90"/>
  <c r="P101" i="88"/>
  <c r="W102" i="90"/>
  <c r="P109" i="88"/>
  <c r="W110" i="90"/>
  <c r="P125" i="88"/>
  <c r="W126" i="90"/>
  <c r="P104" i="88"/>
  <c r="P14" i="88"/>
  <c r="W15" i="90"/>
  <c r="P22" i="88"/>
  <c r="W23" i="90"/>
  <c r="P30" i="88"/>
  <c r="W31" i="90"/>
  <c r="P38" i="88"/>
  <c r="W39" i="90"/>
  <c r="P46" i="88"/>
  <c r="W47" i="90"/>
  <c r="P62" i="88"/>
  <c r="W63" i="90"/>
  <c r="P70" i="88"/>
  <c r="W71" i="90"/>
  <c r="W87" i="90"/>
  <c r="P118" i="88"/>
  <c r="W119" i="90"/>
  <c r="P105" i="88"/>
  <c r="P16" i="88"/>
  <c r="P88" i="88"/>
  <c r="P120" i="88"/>
  <c r="P26" i="88"/>
  <c r="W27" i="90"/>
  <c r="P34" i="88"/>
  <c r="W35" i="90"/>
  <c r="P42" i="88"/>
  <c r="W43" i="90"/>
  <c r="P50" i="88"/>
  <c r="W51" i="90"/>
  <c r="P58" i="88"/>
  <c r="W59" i="90"/>
  <c r="P66" i="88"/>
  <c r="W67" i="90"/>
  <c r="P74" i="88"/>
  <c r="W75" i="90"/>
  <c r="P98" i="88"/>
  <c r="W99" i="90"/>
  <c r="P106" i="88"/>
  <c r="W107" i="90"/>
  <c r="P114" i="88"/>
  <c r="W115" i="90"/>
  <c r="P57" i="88"/>
  <c r="P89" i="88"/>
  <c r="P121" i="88"/>
  <c r="K68" i="157"/>
  <c r="E68" i="82" s="1"/>
  <c r="J72" i="157"/>
  <c r="K72" i="157" s="1"/>
  <c r="E72" i="82" s="1"/>
  <c r="I102" i="157"/>
  <c r="K102" i="157" s="1"/>
  <c r="E102" i="82" s="1"/>
  <c r="K77" i="157"/>
  <c r="E77" i="82" s="1"/>
  <c r="I122" i="157"/>
  <c r="K122" i="157" s="1"/>
  <c r="E122" i="82" s="1"/>
  <c r="I17" i="157"/>
  <c r="J35" i="157"/>
  <c r="K70" i="157"/>
  <c r="E70" i="82" s="1"/>
  <c r="I48" i="157"/>
  <c r="K48" i="157" s="1"/>
  <c r="E48" i="82" s="1"/>
  <c r="I35" i="157"/>
  <c r="J17" i="157"/>
  <c r="I53" i="157"/>
  <c r="K53" i="157" s="1"/>
  <c r="E53" i="82" s="1"/>
  <c r="I40" i="157"/>
  <c r="K40" i="157" s="1"/>
  <c r="E40" i="82" s="1"/>
  <c r="J81" i="157"/>
  <c r="K24" i="157"/>
  <c r="E24" i="82" s="1"/>
  <c r="K17" i="157"/>
  <c r="E17" i="82" s="1"/>
  <c r="K44" i="157"/>
  <c r="E44" i="82" s="1"/>
  <c r="I64" i="157"/>
  <c r="K64" i="157" s="1"/>
  <c r="E64" i="82" s="1"/>
  <c r="K38" i="157"/>
  <c r="E38" i="82" s="1"/>
  <c r="I24" i="157"/>
  <c r="K52" i="157"/>
  <c r="E52" i="82" s="1"/>
  <c r="K79" i="157"/>
  <c r="E79" i="82" s="1"/>
  <c r="I110" i="157"/>
  <c r="K110" i="157" s="1"/>
  <c r="E110" i="82" s="1"/>
  <c r="J24" i="157"/>
  <c r="I116" i="157"/>
  <c r="K116" i="157" s="1"/>
  <c r="E116" i="82" s="1"/>
  <c r="K35" i="157"/>
  <c r="E35" i="82" s="1"/>
  <c r="Y106" i="90" l="1"/>
  <c r="J103" i="180"/>
  <c r="K103" i="180" s="1"/>
  <c r="Y62" i="90"/>
  <c r="Y52" i="90"/>
  <c r="Y98" i="90"/>
  <c r="Y21" i="90"/>
  <c r="J95" i="180"/>
  <c r="K95" i="180" s="1"/>
  <c r="Y39" i="90"/>
  <c r="Z120" i="90"/>
  <c r="Y114" i="90"/>
  <c r="J77" i="180"/>
  <c r="K77" i="180" s="1"/>
  <c r="Y69" i="90"/>
  <c r="J111" i="180"/>
  <c r="K111" i="180" s="1"/>
  <c r="Q18" i="180"/>
  <c r="Y126" i="90"/>
  <c r="J55" i="180"/>
  <c r="K55" i="180" s="1"/>
  <c r="Y71" i="90"/>
  <c r="Y101" i="90"/>
  <c r="Y58" i="90"/>
  <c r="Y77" i="90"/>
  <c r="J10" i="180"/>
  <c r="K10" i="180" s="1"/>
  <c r="W12" i="90"/>
  <c r="H10" i="180"/>
  <c r="V12" i="90"/>
  <c r="Y12" i="90" s="1"/>
  <c r="I77" i="180"/>
  <c r="I45" i="180"/>
  <c r="I13" i="180"/>
  <c r="G102" i="180"/>
  <c r="O102" i="180"/>
  <c r="G69" i="180"/>
  <c r="G37" i="180"/>
  <c r="G60" i="180"/>
  <c r="G28" i="180"/>
  <c r="O28" i="180"/>
  <c r="G98" i="180"/>
  <c r="G66" i="180"/>
  <c r="S93" i="180"/>
  <c r="G56" i="180"/>
  <c r="G24" i="180"/>
  <c r="O24" i="180"/>
  <c r="K119" i="180"/>
  <c r="K87" i="180"/>
  <c r="S87" i="180"/>
  <c r="K110" i="180"/>
  <c r="S110" i="180"/>
  <c r="K78" i="180"/>
  <c r="K14" i="180"/>
  <c r="G59" i="180"/>
  <c r="G27" i="180"/>
  <c r="O27" i="180"/>
  <c r="S53" i="180"/>
  <c r="I69" i="180"/>
  <c r="I37" i="180"/>
  <c r="G30" i="180"/>
  <c r="G93" i="180"/>
  <c r="O93" i="180"/>
  <c r="G61" i="180"/>
  <c r="G84" i="180"/>
  <c r="O84" i="180"/>
  <c r="G20" i="180"/>
  <c r="G90" i="180"/>
  <c r="O90" i="180"/>
  <c r="G26" i="180"/>
  <c r="O26" i="180"/>
  <c r="G89" i="180"/>
  <c r="O89" i="180"/>
  <c r="G57" i="180"/>
  <c r="G48" i="180"/>
  <c r="O48" i="180"/>
  <c r="G103" i="180"/>
  <c r="K102" i="180"/>
  <c r="S102" i="180"/>
  <c r="G19" i="180"/>
  <c r="I93" i="180"/>
  <c r="Q93" i="180"/>
  <c r="I61" i="180"/>
  <c r="G86" i="180"/>
  <c r="O86" i="180"/>
  <c r="G53" i="180"/>
  <c r="O53" i="180"/>
  <c r="G21" i="180"/>
  <c r="G44" i="180"/>
  <c r="G12" i="180"/>
  <c r="G82" i="180"/>
  <c r="G50" i="180"/>
  <c r="G18" i="180"/>
  <c r="G81" i="180"/>
  <c r="O81" i="180"/>
  <c r="G49" i="180"/>
  <c r="G17" i="180"/>
  <c r="O17" i="180"/>
  <c r="G104" i="180"/>
  <c r="G72" i="180"/>
  <c r="O72" i="180"/>
  <c r="G40" i="180"/>
  <c r="O40" i="180"/>
  <c r="G95" i="180"/>
  <c r="G31" i="180"/>
  <c r="K30" i="180"/>
  <c r="G107" i="180"/>
  <c r="G75" i="180"/>
  <c r="G11" i="180"/>
  <c r="K81" i="157"/>
  <c r="E81" i="82" s="1"/>
  <c r="I117" i="180"/>
  <c r="I53" i="180"/>
  <c r="Q53" i="180"/>
  <c r="I21" i="180"/>
  <c r="G110" i="180"/>
  <c r="O110" i="180"/>
  <c r="G78" i="180"/>
  <c r="G14" i="180"/>
  <c r="G77" i="180"/>
  <c r="G45" i="180"/>
  <c r="G13" i="180"/>
  <c r="G68" i="180"/>
  <c r="G36" i="180"/>
  <c r="G106" i="180"/>
  <c r="G74" i="180"/>
  <c r="G42" i="180"/>
  <c r="G10" i="180"/>
  <c r="G105" i="180"/>
  <c r="G96" i="180"/>
  <c r="G64" i="180"/>
  <c r="O64" i="180"/>
  <c r="G32" i="180"/>
  <c r="G87" i="180"/>
  <c r="O87" i="180"/>
  <c r="G55" i="180"/>
  <c r="K31" i="180"/>
  <c r="K118" i="180"/>
  <c r="K86" i="180"/>
  <c r="S86" i="180"/>
  <c r="G99" i="180"/>
  <c r="G35" i="180"/>
  <c r="O35" i="180"/>
  <c r="O116" i="180"/>
  <c r="Z75" i="90"/>
  <c r="J72" i="180"/>
  <c r="Z99" i="90"/>
  <c r="J96" i="180"/>
  <c r="Z67" i="90"/>
  <c r="J64" i="180"/>
  <c r="Z35" i="90"/>
  <c r="J32" i="180"/>
  <c r="Z109" i="90"/>
  <c r="J106" i="180"/>
  <c r="Z77" i="90"/>
  <c r="J74" i="180"/>
  <c r="Z45" i="90"/>
  <c r="J42" i="180"/>
  <c r="Y96" i="90"/>
  <c r="Y64" i="90"/>
  <c r="Z71" i="90"/>
  <c r="J68" i="180"/>
  <c r="Z39" i="90"/>
  <c r="J36" i="180"/>
  <c r="Z110" i="90"/>
  <c r="J107" i="180"/>
  <c r="Z78" i="90"/>
  <c r="J75" i="180"/>
  <c r="Z14" i="90"/>
  <c r="J11" i="180"/>
  <c r="Z108" i="90"/>
  <c r="J105" i="180"/>
  <c r="Z27" i="90"/>
  <c r="J24" i="180"/>
  <c r="Z101" i="90"/>
  <c r="J98" i="180"/>
  <c r="Z69" i="90"/>
  <c r="J66" i="180"/>
  <c r="Y120" i="90"/>
  <c r="Y56" i="90"/>
  <c r="Y24" i="90"/>
  <c r="Z63" i="90"/>
  <c r="J60" i="180"/>
  <c r="Z31" i="90"/>
  <c r="J28" i="180"/>
  <c r="Z102" i="90"/>
  <c r="J99" i="180"/>
  <c r="Z38" i="90"/>
  <c r="J35" i="180"/>
  <c r="Z59" i="90"/>
  <c r="J56" i="180"/>
  <c r="Z115" i="90"/>
  <c r="J112" i="180"/>
  <c r="Z51" i="90"/>
  <c r="J48" i="180"/>
  <c r="Z125" i="90"/>
  <c r="J122" i="180"/>
  <c r="Z93" i="90"/>
  <c r="J90" i="180"/>
  <c r="Z29" i="90"/>
  <c r="J26" i="180"/>
  <c r="Y80" i="90"/>
  <c r="Y48" i="90"/>
  <c r="Y16" i="90"/>
  <c r="Z119" i="90"/>
  <c r="J116" i="180"/>
  <c r="Z87" i="90"/>
  <c r="J84" i="180"/>
  <c r="Z23" i="90"/>
  <c r="J20" i="180"/>
  <c r="Z126" i="90"/>
  <c r="J123" i="180"/>
  <c r="Z62" i="90"/>
  <c r="J59" i="180"/>
  <c r="Z30" i="90"/>
  <c r="J27" i="180"/>
  <c r="Z92" i="90"/>
  <c r="J89" i="180"/>
  <c r="Z60" i="90"/>
  <c r="J57" i="180"/>
  <c r="Z43" i="90"/>
  <c r="J40" i="180"/>
  <c r="Z85" i="90"/>
  <c r="J82" i="180"/>
  <c r="Z53" i="90"/>
  <c r="J50" i="180"/>
  <c r="Z21" i="90"/>
  <c r="J18" i="180"/>
  <c r="Y72" i="90"/>
  <c r="Y40" i="90"/>
  <c r="Z107" i="90"/>
  <c r="J104" i="180"/>
  <c r="X12" i="90"/>
  <c r="Z47" i="90"/>
  <c r="J44" i="180"/>
  <c r="Z15" i="90"/>
  <c r="J12" i="180"/>
  <c r="Z22" i="90"/>
  <c r="J19" i="180"/>
  <c r="Z116" i="90"/>
  <c r="J113" i="180"/>
  <c r="Z84" i="90"/>
  <c r="J81" i="180"/>
  <c r="Z52" i="90"/>
  <c r="J49" i="180"/>
  <c r="Z20" i="90"/>
  <c r="J17" i="180"/>
  <c r="Z13" i="90"/>
  <c r="J126" i="157"/>
  <c r="I10" i="180" l="1"/>
  <c r="K19" i="180"/>
  <c r="K89" i="180"/>
  <c r="S89" i="180"/>
  <c r="K106" i="180"/>
  <c r="K113" i="180"/>
  <c r="K18" i="180"/>
  <c r="K40" i="180"/>
  <c r="S40" i="180"/>
  <c r="K123" i="180"/>
  <c r="K48" i="180"/>
  <c r="S48" i="180"/>
  <c r="K32" i="180"/>
  <c r="K12" i="180"/>
  <c r="K24" i="180"/>
  <c r="S24" i="180"/>
  <c r="K11" i="180"/>
  <c r="K36" i="180"/>
  <c r="K104" i="180"/>
  <c r="K17" i="180"/>
  <c r="S17" i="180"/>
  <c r="K50" i="180"/>
  <c r="K20" i="180"/>
  <c r="K42" i="180"/>
  <c r="K59" i="180"/>
  <c r="K112" i="180"/>
  <c r="K99" i="180"/>
  <c r="K68" i="180"/>
  <c r="K27" i="180"/>
  <c r="K90" i="180"/>
  <c r="S90" i="180"/>
  <c r="K64" i="180"/>
  <c r="S64" i="180"/>
  <c r="K49" i="180"/>
  <c r="K44" i="180"/>
  <c r="K82" i="180"/>
  <c r="K57" i="180"/>
  <c r="K122" i="180"/>
  <c r="K74" i="180"/>
  <c r="K96" i="180"/>
  <c r="K84" i="180"/>
  <c r="S84" i="180"/>
  <c r="K26" i="180"/>
  <c r="K56" i="180"/>
  <c r="K28" i="180"/>
  <c r="K66" i="180"/>
  <c r="K75" i="180"/>
  <c r="K81" i="180"/>
  <c r="S81" i="180"/>
  <c r="K116" i="180"/>
  <c r="S116" i="180"/>
  <c r="K35" i="180"/>
  <c r="S35" i="180"/>
  <c r="K60" i="180"/>
  <c r="K98" i="180"/>
  <c r="K105" i="180"/>
  <c r="K107" i="180"/>
  <c r="K72" i="180"/>
  <c r="S72" i="180"/>
  <c r="Z12" i="90"/>
  <c r="I46" i="62"/>
  <c r="C33" i="32"/>
  <c r="D33" i="32"/>
  <c r="E33" i="32"/>
  <c r="F33" i="32"/>
  <c r="J10" i="61"/>
  <c r="G10" i="61"/>
  <c r="F10" i="61"/>
  <c r="E10" i="61"/>
  <c r="D10" i="61"/>
  <c r="K33" i="32"/>
  <c r="H33" i="32"/>
  <c r="K112" i="79" l="1"/>
  <c r="K104" i="79"/>
  <c r="K95" i="79"/>
  <c r="K86" i="79"/>
  <c r="K83" i="79"/>
  <c r="K74" i="79"/>
  <c r="K71" i="79"/>
  <c r="K70" i="79"/>
  <c r="K66" i="79"/>
  <c r="K55" i="79"/>
  <c r="K42" i="79"/>
  <c r="K37" i="79"/>
  <c r="K30" i="79"/>
  <c r="K29" i="79"/>
  <c r="K28" i="79"/>
  <c r="K26" i="79"/>
  <c r="K19" i="79"/>
  <c r="I112" i="79"/>
  <c r="I104" i="79"/>
  <c r="I95" i="79"/>
  <c r="I92" i="79"/>
  <c r="I91" i="79"/>
  <c r="I89" i="79"/>
  <c r="I88" i="79"/>
  <c r="I86" i="79"/>
  <c r="I83" i="79"/>
  <c r="I74" i="79"/>
  <c r="I66" i="79"/>
  <c r="I55" i="79"/>
  <c r="I42" i="79"/>
  <c r="I37" i="79"/>
  <c r="I30" i="79"/>
  <c r="I29" i="79"/>
  <c r="I28" i="79"/>
  <c r="I26" i="79"/>
  <c r="I19" i="79"/>
  <c r="G12" i="79"/>
  <c r="G16" i="79"/>
  <c r="G15" i="79"/>
  <c r="G14" i="79"/>
  <c r="G13" i="79"/>
  <c r="Q12" i="85"/>
  <c r="G113" i="84" l="1"/>
  <c r="G52" i="84"/>
  <c r="I52" i="84"/>
  <c r="I113" i="84"/>
  <c r="E52" i="84"/>
  <c r="E113" i="84"/>
  <c r="E96" i="88"/>
  <c r="D96" i="88"/>
  <c r="F125" i="88"/>
  <c r="F124" i="88"/>
  <c r="F121" i="88"/>
  <c r="F120" i="88"/>
  <c r="F119" i="88"/>
  <c r="F115" i="88"/>
  <c r="F114" i="88"/>
  <c r="F113" i="88"/>
  <c r="F109" i="88"/>
  <c r="F108" i="88"/>
  <c r="F107" i="88"/>
  <c r="F106" i="88"/>
  <c r="F105" i="88"/>
  <c r="F101" i="88"/>
  <c r="F100" i="88"/>
  <c r="F98" i="88"/>
  <c r="F97" i="88"/>
  <c r="F91" i="88"/>
  <c r="F89" i="88"/>
  <c r="F88" i="88"/>
  <c r="F87" i="88"/>
  <c r="F80" i="88"/>
  <c r="F79" i="88"/>
  <c r="F77" i="88"/>
  <c r="F76" i="88"/>
  <c r="F70" i="88"/>
  <c r="F68" i="88"/>
  <c r="F63" i="88"/>
  <c r="F62" i="88"/>
  <c r="F61" i="88"/>
  <c r="F59" i="88"/>
  <c r="F58" i="88"/>
  <c r="F57" i="88"/>
  <c r="F52" i="88"/>
  <c r="F51" i="88"/>
  <c r="F47" i="88"/>
  <c r="F46" i="88"/>
  <c r="F44" i="88"/>
  <c r="F39" i="88"/>
  <c r="F38" i="88"/>
  <c r="F34" i="88"/>
  <c r="F33" i="88"/>
  <c r="F32" i="88"/>
  <c r="F30" i="88"/>
  <c r="F29" i="88"/>
  <c r="F28" i="88"/>
  <c r="F23" i="88"/>
  <c r="F22" i="88"/>
  <c r="F21" i="88"/>
  <c r="F20" i="88"/>
  <c r="F16" i="88"/>
  <c r="F15" i="88"/>
  <c r="F14" i="88"/>
  <c r="F13" i="88"/>
  <c r="F12" i="88"/>
  <c r="F96" i="88" l="1"/>
  <c r="U92" i="88"/>
  <c r="P92" i="88"/>
  <c r="F92" i="88"/>
  <c r="E25" i="78" l="1"/>
  <c r="E26" i="78" s="1"/>
  <c r="D25" i="78"/>
  <c r="D26" i="78" s="1"/>
  <c r="C25" i="78"/>
  <c r="C26" i="78" s="1"/>
  <c r="E24" i="78"/>
  <c r="D24" i="78"/>
  <c r="C24" i="78"/>
  <c r="G14" i="172"/>
  <c r="G15" i="172" s="1"/>
  <c r="G17" i="172" s="1"/>
  <c r="C57" i="84" l="1"/>
  <c r="C52" i="84"/>
  <c r="D10" i="2"/>
  <c r="I10" i="174" s="1"/>
  <c r="J10" i="174" s="1"/>
  <c r="E11" i="115" l="1"/>
  <c r="E16" i="203" l="1"/>
  <c r="E19" i="203" s="1"/>
  <c r="E21" i="203" s="1"/>
  <c r="D16" i="203"/>
  <c r="D19" i="203" s="1"/>
  <c r="D21" i="203" s="1"/>
  <c r="C16" i="203"/>
  <c r="C19" i="203" s="1"/>
  <c r="C21" i="203" s="1"/>
  <c r="B16" i="203"/>
  <c r="B19" i="203" s="1"/>
  <c r="B21" i="203" s="1"/>
  <c r="I10" i="122" l="1"/>
  <c r="I11" i="122" s="1"/>
  <c r="H10" i="61"/>
  <c r="L13" i="111"/>
  <c r="K13" i="111"/>
  <c r="J13" i="111"/>
  <c r="H13" i="111"/>
  <c r="C19" i="112" s="1"/>
  <c r="D13" i="193"/>
  <c r="D14" i="193" s="1"/>
  <c r="C13" i="193"/>
  <c r="C14" i="193" s="1"/>
  <c r="I48" i="62" l="1"/>
  <c r="K48" i="62"/>
  <c r="H8" i="61"/>
  <c r="H48" i="62"/>
  <c r="K34" i="32"/>
  <c r="H34" i="32"/>
  <c r="N10" i="46"/>
  <c r="N16" i="46" s="1"/>
  <c r="M10" i="46"/>
  <c r="M16" i="46" s="1"/>
  <c r="L10" i="46"/>
  <c r="L16" i="46" s="1"/>
  <c r="K10" i="46"/>
  <c r="K16" i="46" s="1"/>
  <c r="J10" i="46"/>
  <c r="J16" i="46" s="1"/>
  <c r="I10" i="46"/>
  <c r="I16" i="46" s="1"/>
  <c r="H10" i="46"/>
  <c r="H16" i="46" s="1"/>
  <c r="G10" i="46"/>
  <c r="G16" i="46" s="1"/>
  <c r="F10" i="46"/>
  <c r="F16" i="46" s="1"/>
  <c r="E10" i="46"/>
  <c r="E16" i="46" s="1"/>
  <c r="D10" i="46"/>
  <c r="D16" i="46" s="1"/>
  <c r="K11" i="123"/>
  <c r="H11" i="123"/>
  <c r="D11" i="123"/>
  <c r="G19" i="2" l="1"/>
  <c r="F19" i="174" s="1"/>
  <c r="J19" i="174" l="1"/>
  <c r="G19" i="174"/>
  <c r="H19" i="175"/>
  <c r="E18" i="112" l="1"/>
  <c r="T33" i="78"/>
  <c r="S33" i="78"/>
  <c r="R33" i="78"/>
  <c r="T31" i="78"/>
  <c r="S31" i="78"/>
  <c r="R31" i="78"/>
  <c r="T28" i="78"/>
  <c r="S28" i="78"/>
  <c r="R28" i="78"/>
  <c r="T26" i="78"/>
  <c r="S26" i="78"/>
  <c r="R26" i="78"/>
  <c r="T13" i="78"/>
  <c r="S13" i="78"/>
  <c r="R13" i="78"/>
  <c r="P33" i="78"/>
  <c r="O33" i="78"/>
  <c r="N33" i="78"/>
  <c r="P31" i="78"/>
  <c r="O31" i="78"/>
  <c r="N31" i="78"/>
  <c r="P28" i="78"/>
  <c r="O28" i="78"/>
  <c r="N28" i="78"/>
  <c r="P26" i="78"/>
  <c r="O26" i="78"/>
  <c r="N26" i="78"/>
  <c r="L28" i="78"/>
  <c r="K28" i="78"/>
  <c r="J28" i="78"/>
  <c r="L26" i="78"/>
  <c r="K26" i="78"/>
  <c r="J26" i="78"/>
  <c r="P13" i="78"/>
  <c r="O13" i="78"/>
  <c r="N13" i="78"/>
  <c r="L33" i="78"/>
  <c r="K33" i="78"/>
  <c r="J33" i="78"/>
  <c r="L31" i="78"/>
  <c r="K31" i="78"/>
  <c r="J31" i="78"/>
  <c r="G33" i="78"/>
  <c r="F33" i="78"/>
  <c r="G31" i="78"/>
  <c r="F31" i="78"/>
  <c r="G27" i="78"/>
  <c r="F27" i="78"/>
  <c r="G26" i="78"/>
  <c r="F26" i="78"/>
  <c r="G25" i="78"/>
  <c r="F25" i="78"/>
  <c r="G24" i="78"/>
  <c r="F24" i="78"/>
  <c r="G22" i="78"/>
  <c r="F22" i="78"/>
  <c r="G21" i="78"/>
  <c r="F21" i="78"/>
  <c r="G20" i="78"/>
  <c r="F20" i="78"/>
  <c r="G16" i="78"/>
  <c r="F16" i="78"/>
  <c r="G15" i="78"/>
  <c r="F15" i="78"/>
  <c r="G14" i="78"/>
  <c r="F14" i="78"/>
  <c r="L12" i="78"/>
  <c r="K12" i="78"/>
  <c r="J12" i="78"/>
  <c r="G12" i="78"/>
  <c r="F12" i="78"/>
  <c r="G10" i="78"/>
  <c r="F10" i="78"/>
  <c r="U30" i="78"/>
  <c r="Q30" i="78"/>
  <c r="M30" i="78"/>
  <c r="M13" i="78"/>
  <c r="I30" i="78"/>
  <c r="I13" i="78"/>
  <c r="U13" i="78" l="1"/>
  <c r="M31" i="78"/>
  <c r="I21" i="78"/>
  <c r="I27" i="78"/>
  <c r="I31" i="78"/>
  <c r="M26" i="78"/>
  <c r="Q33" i="78"/>
  <c r="Q13" i="78"/>
  <c r="I10" i="78"/>
  <c r="I33" i="78"/>
  <c r="M28" i="78"/>
  <c r="U26" i="78"/>
  <c r="Q31" i="78"/>
  <c r="U33" i="78"/>
  <c r="M33" i="78"/>
  <c r="U31" i="78"/>
  <c r="I22" i="78"/>
  <c r="I26" i="78"/>
  <c r="Q26" i="78"/>
  <c r="Q28" i="78"/>
  <c r="U28" i="78"/>
  <c r="I20" i="78"/>
  <c r="I24" i="78"/>
  <c r="I25" i="78"/>
  <c r="I12" i="78"/>
  <c r="M12" i="78"/>
  <c r="I14" i="78"/>
  <c r="I15" i="78"/>
  <c r="I16" i="78"/>
  <c r="F48" i="174" l="1"/>
  <c r="F14" i="2"/>
  <c r="E14" i="174" s="1"/>
  <c r="H48" i="175" l="1"/>
  <c r="J48" i="174"/>
  <c r="G48" i="174"/>
  <c r="G14" i="2"/>
  <c r="E13" i="193"/>
  <c r="F14" i="174" l="1"/>
  <c r="I126" i="86"/>
  <c r="H273" i="91"/>
  <c r="I13" i="38"/>
  <c r="H11" i="104"/>
  <c r="E11" i="104"/>
  <c r="E13" i="111"/>
  <c r="D13" i="111"/>
  <c r="C13" i="111"/>
  <c r="F12" i="111"/>
  <c r="I12" i="111" s="1"/>
  <c r="F11" i="111"/>
  <c r="I11" i="111" s="1"/>
  <c r="F10" i="111"/>
  <c r="I10" i="111" s="1"/>
  <c r="F9" i="111"/>
  <c r="C11" i="115"/>
  <c r="D8" i="115" s="1"/>
  <c r="D18" i="112"/>
  <c r="C13" i="112" l="1"/>
  <c r="B19" i="112"/>
  <c r="B13" i="112" s="1"/>
  <c r="B15" i="112" s="1"/>
  <c r="B20" i="112" s="1"/>
  <c r="H14" i="175"/>
  <c r="I9" i="111"/>
  <c r="F13" i="111"/>
  <c r="I13" i="111" l="1"/>
  <c r="G18" i="112"/>
  <c r="G11" i="167" l="1"/>
  <c r="J11" i="167" s="1"/>
  <c r="F11" i="167"/>
  <c r="E11" i="167"/>
  <c r="D11" i="167"/>
  <c r="C11" i="167"/>
  <c r="G10" i="167"/>
  <c r="J10" i="167" s="1"/>
  <c r="F10" i="167"/>
  <c r="E10" i="167"/>
  <c r="D10" i="167"/>
  <c r="C10" i="167"/>
  <c r="G9" i="167"/>
  <c r="J9" i="167" s="1"/>
  <c r="F9" i="167"/>
  <c r="E9" i="167"/>
  <c r="D9" i="167"/>
  <c r="C9" i="167"/>
  <c r="E12" i="167" l="1"/>
  <c r="C12" i="167"/>
  <c r="G12" i="167"/>
  <c r="D12" i="167"/>
  <c r="H10" i="167"/>
  <c r="H11" i="167"/>
  <c r="F12" i="167"/>
  <c r="H9" i="167"/>
  <c r="H12" i="167" l="1"/>
  <c r="J12" i="167" l="1"/>
  <c r="J10" i="65" l="1"/>
  <c r="J11" i="65" s="1"/>
  <c r="G10" i="65"/>
  <c r="E10" i="65"/>
  <c r="F13" i="167" s="1"/>
  <c r="F14" i="167" s="1"/>
  <c r="D10" i="65"/>
  <c r="C10" i="65"/>
  <c r="B10" i="65"/>
  <c r="E11" i="65" l="1"/>
  <c r="C11" i="65"/>
  <c r="D11" i="65"/>
  <c r="E13" i="167"/>
  <c r="E14" i="167" s="1"/>
  <c r="B11" i="65"/>
  <c r="G11" i="65"/>
  <c r="H8" i="65"/>
  <c r="H11" i="61"/>
  <c r="J11" i="61"/>
  <c r="G11" i="61"/>
  <c r="F11" i="61"/>
  <c r="E11" i="61"/>
  <c r="D11" i="61"/>
  <c r="C10" i="61"/>
  <c r="D13" i="167" s="1"/>
  <c r="D14" i="167" s="1"/>
  <c r="B10" i="61"/>
  <c r="B11" i="61" s="1"/>
  <c r="D47" i="62"/>
  <c r="C47" i="62"/>
  <c r="C11" i="61" l="1"/>
  <c r="C13" i="167"/>
  <c r="C14" i="167" l="1"/>
  <c r="J10" i="38"/>
  <c r="G10" i="38"/>
  <c r="G11" i="38" s="1"/>
  <c r="G12" i="38" s="1"/>
  <c r="J11" i="38" l="1"/>
  <c r="J12" i="38" s="1"/>
  <c r="J14" i="38" s="1"/>
  <c r="J16" i="38" s="1"/>
  <c r="D11" i="115" l="1"/>
  <c r="G8" i="115" s="1"/>
  <c r="I13" i="122" l="1"/>
  <c r="I19" i="48" s="1"/>
  <c r="I21" i="48" s="1"/>
  <c r="C11" i="123"/>
  <c r="K12" i="44"/>
  <c r="K14" i="44" s="1"/>
  <c r="H12" i="44" l="1"/>
  <c r="H14" i="44" s="1"/>
  <c r="G12" i="44"/>
  <c r="G14" i="44" s="1"/>
  <c r="F12" i="44"/>
  <c r="F14" i="44" s="1"/>
  <c r="E14" i="44"/>
  <c r="D12" i="44"/>
  <c r="D14" i="44" s="1"/>
  <c r="C12" i="44"/>
  <c r="C14" i="44" s="1"/>
  <c r="K15" i="47"/>
  <c r="H15" i="47"/>
  <c r="H17" i="47" s="1"/>
  <c r="F15" i="47"/>
  <c r="E15" i="47"/>
  <c r="D15" i="47"/>
  <c r="C15" i="47"/>
  <c r="E10" i="68"/>
  <c r="F17" i="68"/>
  <c r="H8" i="68" s="1"/>
  <c r="F8" i="68"/>
  <c r="E14" i="193"/>
  <c r="G33" i="2" s="1"/>
  <c r="F33" i="174" s="1"/>
  <c r="J27" i="77"/>
  <c r="J29" i="77" s="1"/>
  <c r="G27" i="77"/>
  <c r="G29" i="77" s="1"/>
  <c r="J12" i="77"/>
  <c r="J14" i="77" s="1"/>
  <c r="E10" i="177"/>
  <c r="F11" i="77"/>
  <c r="E9" i="177" s="1"/>
  <c r="E11" i="77"/>
  <c r="E8" i="177" s="1"/>
  <c r="G8" i="77"/>
  <c r="F8" i="77"/>
  <c r="E8" i="77"/>
  <c r="J33" i="174" l="1"/>
  <c r="H33" i="175"/>
  <c r="G33" i="174"/>
  <c r="F10" i="68"/>
  <c r="E15" i="68"/>
  <c r="F15" i="68" s="1"/>
  <c r="F17" i="47"/>
  <c r="I13" i="167"/>
  <c r="J25" i="78"/>
  <c r="L25" i="78"/>
  <c r="K25" i="78"/>
  <c r="E14" i="77"/>
  <c r="E18" i="77" s="1"/>
  <c r="E20" i="77" s="1"/>
  <c r="F12" i="77"/>
  <c r="F14" i="77" s="1"/>
  <c r="F18" i="77" s="1"/>
  <c r="F20" i="77" s="1"/>
  <c r="F27" i="77" s="1"/>
  <c r="J8" i="47"/>
  <c r="G12" i="77"/>
  <c r="G14" i="77" s="1"/>
  <c r="I15" i="47"/>
  <c r="I17" i="47" s="1"/>
  <c r="H10" i="65"/>
  <c r="H11" i="65" s="1"/>
  <c r="I33" i="32"/>
  <c r="I34" i="32" s="1"/>
  <c r="J18" i="77"/>
  <c r="J20" i="77" s="1"/>
  <c r="M25" i="78" l="1"/>
  <c r="G18" i="77"/>
  <c r="G20" i="77" s="1"/>
  <c r="A13" i="193" l="1"/>
  <c r="A10" i="193"/>
  <c r="A11" i="193" s="1"/>
  <c r="A10" i="167" l="1"/>
  <c r="A11" i="167" s="1"/>
  <c r="A12" i="167" s="1"/>
  <c r="A17" i="45" l="1"/>
  <c r="A18" i="45" s="1"/>
  <c r="A19" i="45" s="1"/>
  <c r="A20" i="45" s="1"/>
  <c r="A21" i="45" s="1"/>
  <c r="A22" i="45" s="1"/>
  <c r="A23" i="45" s="1"/>
  <c r="A9" i="122" l="1"/>
  <c r="A10" i="122" s="1"/>
  <c r="A11" i="122" s="1"/>
  <c r="A12" i="122" s="1"/>
  <c r="A10" i="106" l="1"/>
  <c r="A11" i="106" s="1"/>
  <c r="A2" i="91" l="1"/>
  <c r="A2" i="95" s="1"/>
  <c r="A2" i="92" l="1"/>
  <c r="A2" i="93"/>
  <c r="E17" i="79" l="1"/>
  <c r="C13" i="84" l="1"/>
  <c r="C13" i="83"/>
  <c r="F17" i="79" l="1"/>
  <c r="A9" i="62" l="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9" i="32" l="1"/>
  <c r="A10" i="32" s="1"/>
  <c r="A11" i="32" s="1"/>
  <c r="A12" i="32" s="1"/>
  <c r="A13" i="32" s="1"/>
  <c r="A14" i="32" s="1"/>
  <c r="A15" i="32" s="1"/>
  <c r="A16" i="32" s="1"/>
  <c r="A17" i="32" s="1"/>
  <c r="A18" i="32" s="1"/>
  <c r="A19" i="32" s="1"/>
  <c r="A20" i="32" s="1"/>
  <c r="A21" i="32" s="1"/>
  <c r="A22" i="32" s="1"/>
  <c r="A23" i="32" s="1"/>
  <c r="A24" i="32" s="1"/>
  <c r="A25" i="32" s="1"/>
  <c r="A27" i="32" s="1"/>
  <c r="A28" i="32" s="1"/>
  <c r="A29" i="32" s="1"/>
  <c r="A33" i="32" s="1"/>
  <c r="A2" i="74" l="1"/>
  <c r="A2" i="105" l="1"/>
  <c r="A2" i="111" l="1"/>
  <c r="A2" i="127" l="1"/>
  <c r="P26" i="85" l="1"/>
  <c r="P25" i="85"/>
  <c r="H25" i="85"/>
  <c r="H37" i="85"/>
  <c r="H36" i="85"/>
  <c r="H26" i="85"/>
  <c r="F28" i="78" l="1"/>
  <c r="G28" i="78"/>
  <c r="G29" i="78" s="1"/>
  <c r="I28" i="78" l="1"/>
  <c r="F29" i="78"/>
  <c r="I29" i="78" l="1"/>
  <c r="E24" i="77"/>
  <c r="E27" i="77" s="1"/>
  <c r="L26" i="85" l="1"/>
  <c r="L25" i="85"/>
  <c r="P37" i="85" l="1"/>
  <c r="P36" i="85"/>
  <c r="L37" i="85" l="1"/>
  <c r="F29" i="77" l="1"/>
  <c r="L36" i="85" l="1"/>
  <c r="E31" i="175" l="1"/>
  <c r="F31" i="175" l="1"/>
  <c r="I31" i="175"/>
  <c r="K8" i="47"/>
  <c r="K17" i="47" s="1"/>
  <c r="E17" i="47" l="1"/>
  <c r="D17" i="47"/>
  <c r="C17" i="47"/>
  <c r="E32" i="174" l="1"/>
  <c r="E29" i="174" l="1"/>
  <c r="D14" i="174" l="1"/>
  <c r="G14" i="174" s="1"/>
  <c r="I14" i="174" l="1"/>
  <c r="J14" i="174" s="1"/>
  <c r="D126" i="86"/>
  <c r="E273" i="91"/>
  <c r="D37" i="174"/>
  <c r="I13" i="174"/>
  <c r="J13" i="174" s="1"/>
  <c r="C10" i="68"/>
  <c r="I9" i="123" l="1"/>
  <c r="I10" i="123" l="1"/>
  <c r="I11" i="123" s="1"/>
  <c r="M33" i="32" l="1"/>
  <c r="M15" i="47"/>
  <c r="L10" i="65"/>
  <c r="J15" i="47"/>
  <c r="J33" i="32"/>
  <c r="I10" i="65"/>
  <c r="K10" i="65"/>
  <c r="L33" i="32"/>
  <c r="L15" i="47"/>
  <c r="J17" i="47" l="1"/>
  <c r="K13" i="167"/>
  <c r="L13" i="167"/>
  <c r="M13" i="167"/>
  <c r="H8" i="201" l="1"/>
  <c r="D46" i="62" l="1"/>
  <c r="D48" i="62" s="1"/>
  <c r="G46" i="62"/>
  <c r="G48" i="62" s="1"/>
  <c r="E46" i="62"/>
  <c r="E48" i="62" s="1"/>
  <c r="F46" i="62"/>
  <c r="F48" i="62" s="1"/>
  <c r="C46" i="62"/>
  <c r="C48" i="62" s="1"/>
  <c r="G32" i="32" l="1"/>
  <c r="E32" i="32"/>
  <c r="E34" i="32" s="1"/>
  <c r="G33" i="32"/>
  <c r="F10" i="65"/>
  <c r="G15" i="47"/>
  <c r="D32" i="32"/>
  <c r="D34" i="32" s="1"/>
  <c r="C32" i="32"/>
  <c r="C34" i="32" s="1"/>
  <c r="F32" i="32"/>
  <c r="F34" i="32" s="1"/>
  <c r="J13" i="167" l="1"/>
  <c r="J14" i="167" s="1"/>
  <c r="G17" i="47"/>
  <c r="F11" i="65"/>
  <c r="G13" i="167"/>
  <c r="G34" i="32"/>
  <c r="G14" i="167" l="1"/>
  <c r="H14" i="167" s="1"/>
  <c r="H13" i="167"/>
  <c r="H8" i="202" l="1"/>
  <c r="I8" i="202"/>
  <c r="J29" i="202" l="1"/>
  <c r="I8" i="201"/>
  <c r="J29" i="201"/>
  <c r="J8" i="202"/>
  <c r="I9" i="202"/>
  <c r="J9" i="202" s="1"/>
  <c r="J8" i="201" l="1"/>
  <c r="I9" i="201"/>
  <c r="J9" i="201" s="1"/>
  <c r="C29" i="201" l="1"/>
  <c r="F8" i="202"/>
  <c r="E8" i="202" l="1"/>
  <c r="F9" i="202" s="1"/>
  <c r="G29" i="202"/>
  <c r="C8" i="202"/>
  <c r="E29" i="202"/>
  <c r="D8" i="201"/>
  <c r="F29" i="201"/>
  <c r="C29" i="202"/>
  <c r="C8" i="201"/>
  <c r="E29" i="201"/>
  <c r="F8" i="201"/>
  <c r="H29" i="201"/>
  <c r="I29" i="201"/>
  <c r="H9" i="202"/>
  <c r="E8" i="201"/>
  <c r="G29" i="201"/>
  <c r="D8" i="202"/>
  <c r="F29" i="202"/>
  <c r="B8" i="202"/>
  <c r="D29" i="202"/>
  <c r="B8" i="201"/>
  <c r="D29" i="201"/>
  <c r="D9" i="201" l="1"/>
  <c r="D9" i="202"/>
  <c r="F9" i="201"/>
  <c r="G9" i="201"/>
  <c r="H9" i="201" s="1"/>
  <c r="C9" i="201"/>
  <c r="C9" i="202"/>
  <c r="E9" i="201"/>
  <c r="E9" i="202"/>
  <c r="I10" i="167" l="1"/>
  <c r="I9" i="167"/>
  <c r="I11" i="167"/>
  <c r="J32" i="32" l="1"/>
  <c r="J34" i="32" s="1"/>
  <c r="K9" i="167"/>
  <c r="I11" i="65"/>
  <c r="G22" i="2" s="1"/>
  <c r="I12" i="167"/>
  <c r="I14" i="167" s="1"/>
  <c r="K11" i="167"/>
  <c r="G21" i="2"/>
  <c r="J10" i="44" s="1"/>
  <c r="J46" i="62"/>
  <c r="J48" i="62" s="1"/>
  <c r="K10" i="167"/>
  <c r="I11" i="61"/>
  <c r="G23" i="2" s="1"/>
  <c r="F23" i="174" l="1"/>
  <c r="K16" i="78"/>
  <c r="J16" i="78"/>
  <c r="L16" i="78"/>
  <c r="F22" i="174"/>
  <c r="L15" i="78"/>
  <c r="K15" i="78"/>
  <c r="J15" i="78"/>
  <c r="F21" i="174"/>
  <c r="K14" i="78"/>
  <c r="L14" i="78"/>
  <c r="J14" i="78"/>
  <c r="G24" i="2"/>
  <c r="J8" i="44" s="1"/>
  <c r="L32" i="32"/>
  <c r="L34" i="32" s="1"/>
  <c r="L9" i="167"/>
  <c r="K11" i="65"/>
  <c r="H22" i="2" s="1"/>
  <c r="K12" i="167"/>
  <c r="K14" i="167" s="1"/>
  <c r="L46" i="62"/>
  <c r="L48" i="62" s="1"/>
  <c r="L10" i="167"/>
  <c r="K11" i="61"/>
  <c r="H23" i="2" s="1"/>
  <c r="M14" i="78" l="1"/>
  <c r="E21" i="175"/>
  <c r="L10" i="44"/>
  <c r="P14" i="78"/>
  <c r="H24" i="2"/>
  <c r="L8" i="44" s="1"/>
  <c r="O14" i="78"/>
  <c r="N14" i="78"/>
  <c r="J22" i="174"/>
  <c r="G22" i="174"/>
  <c r="H22" i="175"/>
  <c r="E23" i="175"/>
  <c r="O16" i="78"/>
  <c r="N16" i="78"/>
  <c r="P16" i="78"/>
  <c r="M16" i="78"/>
  <c r="E22" i="175"/>
  <c r="N15" i="78"/>
  <c r="P15" i="78"/>
  <c r="O15" i="78"/>
  <c r="M10" i="167"/>
  <c r="M46" i="62"/>
  <c r="M48" i="62" s="1"/>
  <c r="L11" i="61"/>
  <c r="I23" i="2" s="1"/>
  <c r="L12" i="167"/>
  <c r="L14" i="167" s="1"/>
  <c r="G21" i="174"/>
  <c r="H21" i="175"/>
  <c r="J21" i="174"/>
  <c r="F27" i="174"/>
  <c r="G23" i="174"/>
  <c r="H23" i="175"/>
  <c r="J23" i="174"/>
  <c r="M11" i="167"/>
  <c r="I21" i="2"/>
  <c r="M15" i="78"/>
  <c r="M32" i="32"/>
  <c r="M34" i="32" s="1"/>
  <c r="M9" i="167"/>
  <c r="L11" i="65"/>
  <c r="I22" i="2" s="1"/>
  <c r="F22" i="175" l="1"/>
  <c r="I22" i="175"/>
  <c r="F23" i="175"/>
  <c r="I23" i="175"/>
  <c r="I21" i="175"/>
  <c r="Q14" i="78"/>
  <c r="M10" i="44"/>
  <c r="K13" i="173"/>
  <c r="T14" i="78"/>
  <c r="E20" i="176"/>
  <c r="R14" i="78"/>
  <c r="S14" i="78"/>
  <c r="I24" i="2"/>
  <c r="M8" i="44" s="1"/>
  <c r="E22" i="176"/>
  <c r="I22" i="176" s="1"/>
  <c r="R16" i="78"/>
  <c r="K12" i="173"/>
  <c r="T16" i="78"/>
  <c r="S16" i="78"/>
  <c r="K11" i="173"/>
  <c r="E21" i="176"/>
  <c r="I21" i="176" s="1"/>
  <c r="T15" i="78"/>
  <c r="S15" i="78"/>
  <c r="R15" i="78"/>
  <c r="M12" i="167"/>
  <c r="M14" i="167" s="1"/>
  <c r="G27" i="174"/>
  <c r="H27" i="175"/>
  <c r="J27" i="174"/>
  <c r="Q15" i="78"/>
  <c r="Q16" i="78"/>
  <c r="F21" i="175"/>
  <c r="F12" i="173" l="1"/>
  <c r="E12" i="173"/>
  <c r="I20" i="176"/>
  <c r="E23" i="176"/>
  <c r="I23" i="176" s="1"/>
  <c r="U15" i="78"/>
  <c r="E11" i="173"/>
  <c r="F11" i="173"/>
  <c r="U14" i="78"/>
  <c r="U16" i="78"/>
  <c r="E13" i="173"/>
  <c r="F13" i="173"/>
  <c r="G12" i="173" l="1"/>
  <c r="G13" i="173"/>
  <c r="G11" i="173"/>
  <c r="N13" i="180" l="1"/>
  <c r="O13" i="180" s="1"/>
  <c r="I15" i="79"/>
  <c r="Q112" i="180"/>
  <c r="Q78" i="180"/>
  <c r="Q77" i="180"/>
  <c r="Q30" i="180"/>
  <c r="Y68" i="180" l="1"/>
  <c r="Q68" i="180"/>
  <c r="Q69" i="180"/>
  <c r="Q111" i="180"/>
  <c r="Q176" i="93" l="1"/>
  <c r="F157" i="183"/>
  <c r="F156" i="183"/>
  <c r="V124" i="90"/>
  <c r="V123" i="90"/>
  <c r="Q117" i="180"/>
  <c r="W118" i="90"/>
  <c r="V118" i="90"/>
  <c r="V117" i="90"/>
  <c r="V112" i="90"/>
  <c r="V111" i="90"/>
  <c r="Q99" i="180"/>
  <c r="Q98" i="180"/>
  <c r="V100" i="90"/>
  <c r="Q96" i="180"/>
  <c r="Q95" i="180"/>
  <c r="V97" i="90"/>
  <c r="X91" i="180"/>
  <c r="V91" i="90"/>
  <c r="V88" i="90"/>
  <c r="W86" i="90"/>
  <c r="V86" i="90"/>
  <c r="V79" i="90"/>
  <c r="V76" i="90"/>
  <c r="V70" i="90"/>
  <c r="V68" i="90"/>
  <c r="V61" i="90"/>
  <c r="V55" i="90"/>
  <c r="V54" i="90"/>
  <c r="V46" i="90"/>
  <c r="V44" i="90"/>
  <c r="W42" i="90"/>
  <c r="V42" i="90"/>
  <c r="V41" i="90"/>
  <c r="V32" i="90"/>
  <c r="X25" i="180"/>
  <c r="V28" i="90"/>
  <c r="V26" i="90"/>
  <c r="V25" i="90"/>
  <c r="Q20" i="180"/>
  <c r="Q12" i="180"/>
  <c r="W19" i="90"/>
  <c r="V18" i="90"/>
  <c r="Y124" i="90" l="1"/>
  <c r="Z118" i="90"/>
  <c r="Y112" i="90"/>
  <c r="I96" i="79"/>
  <c r="D164" i="183"/>
  <c r="B174" i="183"/>
  <c r="Y25" i="180"/>
  <c r="C178" i="94"/>
  <c r="E164" i="94"/>
  <c r="E177" i="94"/>
  <c r="C167" i="94"/>
  <c r="Q178" i="93"/>
  <c r="B167" i="183"/>
  <c r="C170" i="94"/>
  <c r="V98" i="180"/>
  <c r="K100" i="79"/>
  <c r="G180" i="95"/>
  <c r="Q165" i="93"/>
  <c r="Q177" i="93"/>
  <c r="D177" i="183"/>
  <c r="E180" i="94"/>
  <c r="B161" i="183"/>
  <c r="C164" i="94"/>
  <c r="C182" i="94"/>
  <c r="B179" i="183"/>
  <c r="Q13" i="180"/>
  <c r="N15" i="157"/>
  <c r="G15" i="82" s="1"/>
  <c r="Y26" i="90"/>
  <c r="H29" i="180"/>
  <c r="Y32" i="90"/>
  <c r="Q31" i="180"/>
  <c r="H38" i="180"/>
  <c r="Y41" i="90"/>
  <c r="X42" i="90"/>
  <c r="N43" i="180"/>
  <c r="I45" i="79"/>
  <c r="Q44" i="180"/>
  <c r="G53" i="79"/>
  <c r="P53" i="88"/>
  <c r="Q56" i="180"/>
  <c r="H58" i="180"/>
  <c r="Y61" i="90"/>
  <c r="H65" i="180"/>
  <c r="Y68" i="90"/>
  <c r="H73" i="180"/>
  <c r="H88" i="180"/>
  <c r="Q88" i="180" s="1"/>
  <c r="Y91" i="90"/>
  <c r="G96" i="79"/>
  <c r="W97" i="90"/>
  <c r="P96" i="88"/>
  <c r="G99" i="79"/>
  <c r="P99" i="88"/>
  <c r="N108" i="157"/>
  <c r="G108" i="82" s="1"/>
  <c r="W111" i="90"/>
  <c r="X112" i="90"/>
  <c r="D43" i="183"/>
  <c r="E46" i="94"/>
  <c r="D45" i="183"/>
  <c r="E48" i="94"/>
  <c r="X10" i="180"/>
  <c r="Q19" i="180"/>
  <c r="Q21" i="180"/>
  <c r="W32" i="90"/>
  <c r="Q36" i="180"/>
  <c r="Y44" i="90"/>
  <c r="H43" i="180"/>
  <c r="Q43" i="180" s="1"/>
  <c r="Y46" i="90"/>
  <c r="Q49" i="180"/>
  <c r="H51" i="180"/>
  <c r="Y54" i="90"/>
  <c r="X55" i="90"/>
  <c r="N58" i="157"/>
  <c r="G58" i="82" s="1"/>
  <c r="Q60" i="180"/>
  <c r="H67" i="180"/>
  <c r="Y70" i="90"/>
  <c r="W76" i="90"/>
  <c r="H85" i="180"/>
  <c r="Y88" i="180"/>
  <c r="E90" i="157"/>
  <c r="C90" i="82" s="1"/>
  <c r="D90" i="82" s="1"/>
  <c r="V90" i="180"/>
  <c r="W90" i="180" s="1"/>
  <c r="K92" i="79"/>
  <c r="H97" i="180"/>
  <c r="Y100" i="90"/>
  <c r="Q103" i="180"/>
  <c r="Q105" i="180"/>
  <c r="I115" i="79"/>
  <c r="N113" i="180"/>
  <c r="O113" i="180" s="1"/>
  <c r="X118" i="180"/>
  <c r="H15" i="180"/>
  <c r="U27" i="88"/>
  <c r="F45" i="88"/>
  <c r="W54" i="90"/>
  <c r="W61" i="90"/>
  <c r="N62" i="157"/>
  <c r="G62" i="82" s="1"/>
  <c r="Q66" i="180"/>
  <c r="C69" i="79"/>
  <c r="Y76" i="90"/>
  <c r="Z86" i="90"/>
  <c r="Y91" i="180"/>
  <c r="N94" i="180"/>
  <c r="N100" i="157"/>
  <c r="G100" i="82" s="1"/>
  <c r="Q113" i="180"/>
  <c r="Y118" i="90"/>
  <c r="N120" i="157"/>
  <c r="G120" i="82" s="1"/>
  <c r="I124" i="79"/>
  <c r="N122" i="180"/>
  <c r="O122" i="180" s="1"/>
  <c r="D179" i="183"/>
  <c r="E182" i="94"/>
  <c r="Q14" i="180"/>
  <c r="N23" i="157"/>
  <c r="G23" i="82" s="1"/>
  <c r="C24" i="79"/>
  <c r="H25" i="180"/>
  <c r="Q25" i="180" s="1"/>
  <c r="Q32" i="180"/>
  <c r="P45" i="88"/>
  <c r="W46" i="90"/>
  <c r="G69" i="79"/>
  <c r="N77" i="157"/>
  <c r="G77" i="82" s="1"/>
  <c r="C78" i="79"/>
  <c r="Y88" i="90"/>
  <c r="W88" i="90"/>
  <c r="P87" i="88"/>
  <c r="H94" i="180"/>
  <c r="N107" i="180"/>
  <c r="O107" i="180" s="1"/>
  <c r="I109" i="79"/>
  <c r="N115" i="157"/>
  <c r="G115" i="82" s="1"/>
  <c r="C116" i="79"/>
  <c r="Q122" i="180"/>
  <c r="Q274" i="93"/>
  <c r="N124" i="157"/>
  <c r="G124" i="82" s="1"/>
  <c r="G165" i="95"/>
  <c r="Z19" i="90"/>
  <c r="N12" i="180"/>
  <c r="O12" i="180" s="1"/>
  <c r="I14" i="79"/>
  <c r="N16" i="157"/>
  <c r="G16" i="82" s="1"/>
  <c r="G24" i="79"/>
  <c r="C27" i="79"/>
  <c r="Y42" i="90"/>
  <c r="C43" i="79"/>
  <c r="Y55" i="90"/>
  <c r="C56" i="79"/>
  <c r="X59" i="180"/>
  <c r="Q59" i="180"/>
  <c r="C67" i="79"/>
  <c r="G78" i="79"/>
  <c r="P78" i="88"/>
  <c r="N80" i="157"/>
  <c r="G80" i="82" s="1"/>
  <c r="X86" i="90"/>
  <c r="V87" i="180"/>
  <c r="W87" i="180" s="1"/>
  <c r="K89" i="79"/>
  <c r="V104" i="180"/>
  <c r="K106" i="79"/>
  <c r="N107" i="157"/>
  <c r="G107" i="82" s="1"/>
  <c r="G116" i="79"/>
  <c r="P116" i="88"/>
  <c r="Q119" i="180"/>
  <c r="N121" i="157"/>
  <c r="G121" i="82" s="1"/>
  <c r="C122" i="79"/>
  <c r="W124" i="90"/>
  <c r="Z124" i="90" s="1"/>
  <c r="N123" i="180"/>
  <c r="O123" i="180" s="1"/>
  <c r="I125" i="79"/>
  <c r="B192" i="182"/>
  <c r="N10" i="180"/>
  <c r="O10" i="180" s="1"/>
  <c r="I12" i="79"/>
  <c r="Y18" i="90"/>
  <c r="N22" i="157"/>
  <c r="G22" i="82" s="1"/>
  <c r="H22" i="180"/>
  <c r="Y25" i="90"/>
  <c r="X26" i="90"/>
  <c r="G27" i="79"/>
  <c r="Y28" i="90"/>
  <c r="N29" i="157"/>
  <c r="G29" i="82" s="1"/>
  <c r="Q37" i="180"/>
  <c r="G43" i="79"/>
  <c r="Q42" i="180"/>
  <c r="Q45" i="180"/>
  <c r="G56" i="79"/>
  <c r="Q57" i="180"/>
  <c r="Q61" i="180"/>
  <c r="G67" i="79"/>
  <c r="C75" i="79"/>
  <c r="H76" i="180"/>
  <c r="Y79" i="90"/>
  <c r="C90" i="79"/>
  <c r="Y97" i="90"/>
  <c r="Q104" i="180"/>
  <c r="N109" i="157"/>
  <c r="G109" i="82" s="1"/>
  <c r="C110" i="79"/>
  <c r="I113" i="79"/>
  <c r="N111" i="180"/>
  <c r="O111" i="180" s="1"/>
  <c r="H114" i="180"/>
  <c r="Y117" i="90"/>
  <c r="G122" i="79"/>
  <c r="Q123" i="180"/>
  <c r="N125" i="157"/>
  <c r="G125" i="82" s="1"/>
  <c r="G176" i="95"/>
  <c r="B172" i="183"/>
  <c r="C175" i="94"/>
  <c r="N25" i="180"/>
  <c r="I27" i="79"/>
  <c r="N30" i="157"/>
  <c r="G30" i="82" s="1"/>
  <c r="C31" i="79"/>
  <c r="N39" i="157"/>
  <c r="G39" i="82" s="1"/>
  <c r="C40" i="79"/>
  <c r="C45" i="79"/>
  <c r="N47" i="157"/>
  <c r="G47" i="82" s="1"/>
  <c r="V65" i="90"/>
  <c r="V57" i="90"/>
  <c r="C60" i="79"/>
  <c r="N63" i="157"/>
  <c r="G63" i="82" s="1"/>
  <c r="G75" i="79"/>
  <c r="G90" i="79"/>
  <c r="W100" i="90"/>
  <c r="N106" i="157"/>
  <c r="G106" i="82" s="1"/>
  <c r="G110" i="79"/>
  <c r="P110" i="88"/>
  <c r="I114" i="79"/>
  <c r="N112" i="180"/>
  <c r="O112" i="180" s="1"/>
  <c r="N114" i="157"/>
  <c r="G114" i="82" s="1"/>
  <c r="W117" i="90"/>
  <c r="X118" i="90"/>
  <c r="H120" i="180"/>
  <c r="Y123" i="90"/>
  <c r="X124" i="90"/>
  <c r="B43" i="183"/>
  <c r="C46" i="94"/>
  <c r="B44" i="183"/>
  <c r="C47" i="94"/>
  <c r="B45" i="183"/>
  <c r="C48" i="94"/>
  <c r="X19" i="90"/>
  <c r="N18" i="180"/>
  <c r="O18" i="180" s="1"/>
  <c r="I20" i="79"/>
  <c r="W25" i="90"/>
  <c r="P24" i="88"/>
  <c r="W26" i="90"/>
  <c r="Z26" i="90" s="1"/>
  <c r="V25" i="180"/>
  <c r="K27" i="79"/>
  <c r="G31" i="79"/>
  <c r="P31" i="88"/>
  <c r="G40" i="79"/>
  <c r="Z42" i="90"/>
  <c r="H41" i="180"/>
  <c r="G45" i="79"/>
  <c r="N52" i="157"/>
  <c r="G52" i="82" s="1"/>
  <c r="C53" i="79"/>
  <c r="W55" i="90"/>
  <c r="Z55" i="90" s="1"/>
  <c r="G60" i="79"/>
  <c r="P60" i="88"/>
  <c r="P75" i="88"/>
  <c r="Q74" i="180"/>
  <c r="W79" i="90"/>
  <c r="Y86" i="90"/>
  <c r="G87" i="79"/>
  <c r="N88" i="180"/>
  <c r="I90" i="79"/>
  <c r="N98" i="157"/>
  <c r="G98" i="82" s="1"/>
  <c r="C99" i="79"/>
  <c r="N101" i="157"/>
  <c r="G101" i="82" s="1"/>
  <c r="Q106" i="180"/>
  <c r="H108" i="180"/>
  <c r="Y111" i="90"/>
  <c r="W112" i="90"/>
  <c r="Z112" i="90" s="1"/>
  <c r="Q118" i="180"/>
  <c r="G156" i="183"/>
  <c r="I156" i="183" s="1"/>
  <c r="L156" i="183" s="1"/>
  <c r="M159" i="92"/>
  <c r="B173" i="183"/>
  <c r="C176" i="94"/>
  <c r="D165" i="183"/>
  <c r="E168" i="94"/>
  <c r="B171" i="183"/>
  <c r="C174" i="94"/>
  <c r="B189" i="182"/>
  <c r="X99" i="180"/>
  <c r="Y99" i="180" s="1"/>
  <c r="W104" i="90"/>
  <c r="X104" i="180"/>
  <c r="X21" i="180"/>
  <c r="X105" i="180"/>
  <c r="Y105" i="180" s="1"/>
  <c r="X111" i="180"/>
  <c r="Y111" i="180" s="1"/>
  <c r="X12" i="180"/>
  <c r="Y12" i="180" s="1"/>
  <c r="Q82" i="93"/>
  <c r="X20" i="180"/>
  <c r="Y20" i="180" s="1"/>
  <c r="V19" i="90"/>
  <c r="Y19" i="90" s="1"/>
  <c r="X32" i="180"/>
  <c r="V36" i="90"/>
  <c r="V50" i="90"/>
  <c r="Y50" i="90" s="1"/>
  <c r="X49" i="180"/>
  <c r="X45" i="180"/>
  <c r="X42" i="180"/>
  <c r="W50" i="90"/>
  <c r="X30" i="180"/>
  <c r="Y30" i="180" s="1"/>
  <c r="V37" i="90"/>
  <c r="W37" i="90"/>
  <c r="V49" i="90"/>
  <c r="V73" i="90"/>
  <c r="W66" i="90"/>
  <c r="V66" i="90"/>
  <c r="V103" i="90"/>
  <c r="W83" i="90"/>
  <c r="O193" i="93"/>
  <c r="W74" i="90"/>
  <c r="V74" i="90"/>
  <c r="X74" i="180"/>
  <c r="V94" i="90"/>
  <c r="V83" i="90"/>
  <c r="V104" i="90"/>
  <c r="V82" i="90"/>
  <c r="V95" i="90"/>
  <c r="O190" i="93"/>
  <c r="X106" i="180"/>
  <c r="B188" i="182"/>
  <c r="F43" i="183"/>
  <c r="F44" i="183"/>
  <c r="F45" i="183"/>
  <c r="Q72" i="93"/>
  <c r="Q69" i="93"/>
  <c r="Q36" i="93"/>
  <c r="Q67" i="93"/>
  <c r="Q65" i="93"/>
  <c r="Q66" i="93"/>
  <c r="B191" i="182"/>
  <c r="Q241" i="93"/>
  <c r="Q82" i="180"/>
  <c r="X113" i="180"/>
  <c r="X96" i="180"/>
  <c r="Y96" i="180" s="1"/>
  <c r="Q50" i="180"/>
  <c r="X29" i="180"/>
  <c r="X43" i="180"/>
  <c r="Y43" i="180" s="1"/>
  <c r="D192" i="182" l="1"/>
  <c r="D189" i="182"/>
  <c r="Q58" i="180"/>
  <c r="Y45" i="180"/>
  <c r="Y49" i="180"/>
  <c r="I97" i="180"/>
  <c r="I67" i="180"/>
  <c r="I114" i="180"/>
  <c r="I94" i="180"/>
  <c r="I85" i="180"/>
  <c r="Y21" i="180"/>
  <c r="Y32" i="180"/>
  <c r="D174" i="183"/>
  <c r="C177" i="94"/>
  <c r="D161" i="183"/>
  <c r="F69" i="88"/>
  <c r="Y42" i="180"/>
  <c r="F43" i="88"/>
  <c r="F110" i="88"/>
  <c r="F116" i="88"/>
  <c r="I76" i="180"/>
  <c r="Y106" i="180"/>
  <c r="I22" i="180"/>
  <c r="I108" i="180"/>
  <c r="B164" i="183"/>
  <c r="F53" i="88"/>
  <c r="I43" i="180"/>
  <c r="Y113" i="180"/>
  <c r="F56" i="88"/>
  <c r="I51" i="180"/>
  <c r="F122" i="88"/>
  <c r="F78" i="88"/>
  <c r="Y104" i="180"/>
  <c r="Y74" i="90"/>
  <c r="Z50" i="90"/>
  <c r="Z37" i="90"/>
  <c r="Y83" i="90"/>
  <c r="Q76" i="180"/>
  <c r="Z83" i="90"/>
  <c r="I120" i="180"/>
  <c r="F24" i="88"/>
  <c r="Q94" i="180"/>
  <c r="Y74" i="180"/>
  <c r="I25" i="180"/>
  <c r="Q97" i="180"/>
  <c r="I41" i="180"/>
  <c r="W25" i="180"/>
  <c r="B175" i="183"/>
  <c r="E167" i="94"/>
  <c r="Y37" i="90"/>
  <c r="Y95" i="90"/>
  <c r="F99" i="88"/>
  <c r="Z74" i="90"/>
  <c r="Q114" i="157"/>
  <c r="I114" i="82" s="1"/>
  <c r="O162" i="93"/>
  <c r="B161" i="182"/>
  <c r="N89" i="86"/>
  <c r="Q184" i="93"/>
  <c r="Q121" i="157"/>
  <c r="I121" i="82" s="1"/>
  <c r="Q15" i="157"/>
  <c r="I15" i="82" s="1"/>
  <c r="G184" i="95"/>
  <c r="Q30" i="157"/>
  <c r="I30" i="82" s="1"/>
  <c r="Q29" i="157"/>
  <c r="I29" i="82" s="1"/>
  <c r="Q125" i="157"/>
  <c r="I125" i="82" s="1"/>
  <c r="Q32" i="93"/>
  <c r="X108" i="180"/>
  <c r="Q120" i="180"/>
  <c r="G201" i="95"/>
  <c r="G252" i="95"/>
  <c r="W103" i="90"/>
  <c r="H91" i="180"/>
  <c r="Q91" i="180" s="1"/>
  <c r="Y94" i="90"/>
  <c r="Q73" i="180"/>
  <c r="U193" i="93"/>
  <c r="F192" i="182" s="1"/>
  <c r="E193" i="95"/>
  <c r="V66" i="180"/>
  <c r="K68" i="79"/>
  <c r="Z66" i="90"/>
  <c r="B86" i="183"/>
  <c r="C89" i="94"/>
  <c r="W49" i="90"/>
  <c r="V21" i="180"/>
  <c r="K23" i="79"/>
  <c r="N61" i="157"/>
  <c r="G61" i="82" s="1"/>
  <c r="W123" i="90"/>
  <c r="P122" i="88"/>
  <c r="S99" i="180"/>
  <c r="U101" i="88"/>
  <c r="Q98" i="157"/>
  <c r="I98" i="82" s="1"/>
  <c r="N73" i="180"/>
  <c r="I75" i="79"/>
  <c r="N49" i="180"/>
  <c r="O49" i="180" s="1"/>
  <c r="I51" i="79"/>
  <c r="S112" i="180"/>
  <c r="U114" i="88"/>
  <c r="Q39" i="157"/>
  <c r="I39" i="82" s="1"/>
  <c r="B162" i="183"/>
  <c r="C165" i="94"/>
  <c r="S27" i="180"/>
  <c r="U29" i="88"/>
  <c r="B181" i="183"/>
  <c r="C184" i="94"/>
  <c r="U87" i="88"/>
  <c r="C35" i="79"/>
  <c r="Q115" i="157"/>
  <c r="I115" i="82" s="1"/>
  <c r="N90" i="157"/>
  <c r="G90" i="82" s="1"/>
  <c r="L93" i="157"/>
  <c r="N93" i="157" s="1"/>
  <c r="G93" i="82" s="1"/>
  <c r="U23" i="88"/>
  <c r="S21" i="180"/>
  <c r="S77" i="180"/>
  <c r="U79" i="88"/>
  <c r="S60" i="180"/>
  <c r="U62" i="88"/>
  <c r="P35" i="88"/>
  <c r="F263" i="183"/>
  <c r="F90" i="88"/>
  <c r="S106" i="180"/>
  <c r="U108" i="88"/>
  <c r="G94" i="180"/>
  <c r="X97" i="90"/>
  <c r="U93" i="88"/>
  <c r="V49" i="180"/>
  <c r="K51" i="79"/>
  <c r="P43" i="88"/>
  <c r="W44" i="90"/>
  <c r="F31" i="88"/>
  <c r="Q170" i="93"/>
  <c r="F252" i="183"/>
  <c r="G234" i="95"/>
  <c r="K115" i="79"/>
  <c r="V113" i="180"/>
  <c r="W113" i="180" s="1"/>
  <c r="O268" i="93"/>
  <c r="B267" i="182"/>
  <c r="N120" i="86"/>
  <c r="X114" i="180"/>
  <c r="F131" i="183"/>
  <c r="G233" i="95"/>
  <c r="G65" i="95"/>
  <c r="B42" i="183"/>
  <c r="C45" i="94"/>
  <c r="Q33" i="93"/>
  <c r="G200" i="95"/>
  <c r="I121" i="79"/>
  <c r="N119" i="180"/>
  <c r="O119" i="180" s="1"/>
  <c r="V106" i="180"/>
  <c r="K108" i="79"/>
  <c r="D219" i="183"/>
  <c r="E222" i="94"/>
  <c r="U94" i="88"/>
  <c r="G72" i="79"/>
  <c r="W73" i="90"/>
  <c r="G35" i="79"/>
  <c r="B87" i="183"/>
  <c r="C90" i="94"/>
  <c r="G17" i="79"/>
  <c r="W95" i="90"/>
  <c r="P94" i="88"/>
  <c r="V14" i="180"/>
  <c r="K16" i="79"/>
  <c r="X112" i="180"/>
  <c r="Y112" i="180" s="1"/>
  <c r="B193" i="182"/>
  <c r="S96" i="180"/>
  <c r="U98" i="88"/>
  <c r="P72" i="88"/>
  <c r="X32" i="90"/>
  <c r="G29" i="180"/>
  <c r="N118" i="180"/>
  <c r="O118" i="180" s="1"/>
  <c r="I120" i="79"/>
  <c r="X111" i="90"/>
  <c r="G108" i="180"/>
  <c r="Z100" i="90"/>
  <c r="J97" i="180"/>
  <c r="K97" i="180" s="1"/>
  <c r="X91" i="90"/>
  <c r="G88" i="180"/>
  <c r="U39" i="88"/>
  <c r="S37" i="180"/>
  <c r="F174" i="92"/>
  <c r="C171" i="183"/>
  <c r="D174" i="94"/>
  <c r="Y103" i="90"/>
  <c r="X57" i="90"/>
  <c r="G54" i="180"/>
  <c r="N30" i="180"/>
  <c r="O30" i="180" s="1"/>
  <c r="I32" i="79"/>
  <c r="Q107" i="157"/>
  <c r="I107" i="82" s="1"/>
  <c r="S78" i="180"/>
  <c r="U80" i="88"/>
  <c r="Y59" i="180"/>
  <c r="N42" i="180"/>
  <c r="O42" i="180" s="1"/>
  <c r="I44" i="79"/>
  <c r="N37" i="180"/>
  <c r="O37" i="180" s="1"/>
  <c r="I39" i="79"/>
  <c r="F163" i="92"/>
  <c r="C160" i="183"/>
  <c r="D163" i="94"/>
  <c r="S113" i="180"/>
  <c r="U115" i="88"/>
  <c r="N45" i="180"/>
  <c r="O45" i="180" s="1"/>
  <c r="I47" i="79"/>
  <c r="N14" i="180"/>
  <c r="O14" i="180" s="1"/>
  <c r="I16" i="79"/>
  <c r="P102" i="88"/>
  <c r="N79" i="157"/>
  <c r="G79" i="82" s="1"/>
  <c r="M81" i="157"/>
  <c r="U38" i="88"/>
  <c r="S36" i="180"/>
  <c r="F158" i="92"/>
  <c r="C155" i="183"/>
  <c r="D158" i="94"/>
  <c r="N55" i="180"/>
  <c r="O55" i="180" s="1"/>
  <c r="I57" i="79"/>
  <c r="U46" i="88"/>
  <c r="W41" i="90"/>
  <c r="P40" i="88"/>
  <c r="X100" i="90"/>
  <c r="G97" i="180"/>
  <c r="G102" i="79"/>
  <c r="N85" i="180"/>
  <c r="I87" i="79"/>
  <c r="I73" i="180"/>
  <c r="B85" i="183"/>
  <c r="C88" i="94"/>
  <c r="S13" i="180"/>
  <c r="U15" i="88"/>
  <c r="Q168" i="93"/>
  <c r="G170" i="95"/>
  <c r="N50" i="180"/>
  <c r="O50" i="180" s="1"/>
  <c r="I52" i="79"/>
  <c r="Q207" i="93"/>
  <c r="Q200" i="93"/>
  <c r="D256" i="183"/>
  <c r="E259" i="94"/>
  <c r="E66" i="94"/>
  <c r="D63" i="183"/>
  <c r="D59" i="183"/>
  <c r="E62" i="94"/>
  <c r="F132" i="183"/>
  <c r="D220" i="183"/>
  <c r="E223" i="94"/>
  <c r="V77" i="180"/>
  <c r="K79" i="79"/>
  <c r="Q92" i="157"/>
  <c r="I92" i="82" s="1"/>
  <c r="V89" i="180"/>
  <c r="W89" i="180" s="1"/>
  <c r="K91" i="79"/>
  <c r="X119" i="180"/>
  <c r="Y119" i="180" s="1"/>
  <c r="Q65" i="180"/>
  <c r="Q225" i="93"/>
  <c r="O136" i="93"/>
  <c r="B135" i="182"/>
  <c r="N62" i="86"/>
  <c r="O154" i="93"/>
  <c r="B153" i="182"/>
  <c r="N80" i="86"/>
  <c r="X103" i="180"/>
  <c r="Y103" i="180" s="1"/>
  <c r="V103" i="180"/>
  <c r="K105" i="79"/>
  <c r="O269" i="93"/>
  <c r="B268" i="182"/>
  <c r="N121" i="86"/>
  <c r="X107" i="180"/>
  <c r="Y107" i="180" s="1"/>
  <c r="Y104" i="90"/>
  <c r="X104" i="90"/>
  <c r="X56" i="180"/>
  <c r="Y56" i="180" s="1"/>
  <c r="X60" i="180"/>
  <c r="Y60" i="180" s="1"/>
  <c r="Y66" i="90"/>
  <c r="N54" i="180"/>
  <c r="I56" i="79"/>
  <c r="G48" i="79"/>
  <c r="X37" i="180"/>
  <c r="Y37" i="180" s="1"/>
  <c r="Q29" i="180"/>
  <c r="V30" i="180"/>
  <c r="K32" i="79"/>
  <c r="E29" i="94"/>
  <c r="D26" i="183"/>
  <c r="C126" i="79"/>
  <c r="D27" i="79" s="1"/>
  <c r="C29" i="84" s="1"/>
  <c r="Z43" i="180"/>
  <c r="Z45" i="88"/>
  <c r="Q108" i="180"/>
  <c r="O194" i="93"/>
  <c r="Q194" i="93"/>
  <c r="X88" i="90"/>
  <c r="G85" i="180"/>
  <c r="N65" i="180"/>
  <c r="I67" i="79"/>
  <c r="N44" i="180"/>
  <c r="O44" i="180" s="1"/>
  <c r="I46" i="79"/>
  <c r="N96" i="180"/>
  <c r="O96" i="180" s="1"/>
  <c r="I98" i="79"/>
  <c r="Q63" i="157"/>
  <c r="I63" i="82" s="1"/>
  <c r="B160" i="183"/>
  <c r="C163" i="94"/>
  <c r="S105" i="180"/>
  <c r="U107" i="88"/>
  <c r="N57" i="180"/>
  <c r="O57" i="180" s="1"/>
  <c r="I59" i="79"/>
  <c r="B155" i="183"/>
  <c r="C158" i="94"/>
  <c r="N78" i="180"/>
  <c r="O78" i="180" s="1"/>
  <c r="I80" i="79"/>
  <c r="N20" i="180"/>
  <c r="O20" i="180" s="1"/>
  <c r="I22" i="79"/>
  <c r="G157" i="183"/>
  <c r="I157" i="183" s="1"/>
  <c r="L157" i="183" s="1"/>
  <c r="M160" i="92"/>
  <c r="Q120" i="157"/>
  <c r="I120" i="82" s="1"/>
  <c r="Q114" i="180"/>
  <c r="Y85" i="180"/>
  <c r="Q85" i="180"/>
  <c r="Q75" i="180"/>
  <c r="N38" i="157"/>
  <c r="G38" i="82" s="1"/>
  <c r="L40" i="157"/>
  <c r="N40" i="157" s="1"/>
  <c r="G40" i="82" s="1"/>
  <c r="F162" i="183"/>
  <c r="C92" i="83"/>
  <c r="D92" i="80"/>
  <c r="N46" i="157"/>
  <c r="G46" i="82" s="1"/>
  <c r="L48" i="157"/>
  <c r="Y10" i="180"/>
  <c r="Q10" i="180"/>
  <c r="B190" i="182"/>
  <c r="E163" i="94"/>
  <c r="D160" i="183"/>
  <c r="N105" i="180"/>
  <c r="O105" i="180" s="1"/>
  <c r="I107" i="79"/>
  <c r="N91" i="180"/>
  <c r="I93" i="79"/>
  <c r="I58" i="180"/>
  <c r="I38" i="180"/>
  <c r="B168" i="183"/>
  <c r="C171" i="94"/>
  <c r="F145" i="183"/>
  <c r="X94" i="180"/>
  <c r="Y94" i="180" s="1"/>
  <c r="X95" i="180"/>
  <c r="Y95" i="180" s="1"/>
  <c r="D225" i="183"/>
  <c r="E228" i="94"/>
  <c r="Q91" i="157"/>
  <c r="I91" i="82" s="1"/>
  <c r="G225" i="95"/>
  <c r="G254" i="95"/>
  <c r="Q230" i="93"/>
  <c r="G23" i="95"/>
  <c r="B220" i="183"/>
  <c r="C223" i="94"/>
  <c r="G85" i="95"/>
  <c r="X83" i="90"/>
  <c r="W65" i="90"/>
  <c r="H46" i="180"/>
  <c r="Y49" i="90"/>
  <c r="V20" i="180"/>
  <c r="K22" i="79"/>
  <c r="Z97" i="180"/>
  <c r="N59" i="157"/>
  <c r="G59" i="82" s="1"/>
  <c r="C17" i="79"/>
  <c r="O191" i="93"/>
  <c r="Q191" i="93"/>
  <c r="G93" i="79"/>
  <c r="X41" i="90"/>
  <c r="G38" i="180"/>
  <c r="G183" i="95"/>
  <c r="Q181" i="93"/>
  <c r="F167" i="183"/>
  <c r="N106" i="180"/>
  <c r="O106" i="180" s="1"/>
  <c r="I108" i="79"/>
  <c r="X76" i="90"/>
  <c r="G73" i="180"/>
  <c r="U63" i="88"/>
  <c r="S61" i="180"/>
  <c r="H54" i="180"/>
  <c r="I54" i="180" s="1"/>
  <c r="Y57" i="90"/>
  <c r="P48" i="88"/>
  <c r="C179" i="94"/>
  <c r="B176" i="183"/>
  <c r="D171" i="183"/>
  <c r="E174" i="94"/>
  <c r="J43" i="180"/>
  <c r="K43" i="180" s="1"/>
  <c r="Z46" i="90"/>
  <c r="S118" i="180"/>
  <c r="U120" i="88"/>
  <c r="Z61" i="90"/>
  <c r="J58" i="180"/>
  <c r="K58" i="180" s="1"/>
  <c r="N75" i="180"/>
  <c r="O75" i="180" s="1"/>
  <c r="I77" i="79"/>
  <c r="N66" i="180"/>
  <c r="O66" i="180" s="1"/>
  <c r="I68" i="79"/>
  <c r="G171" i="95"/>
  <c r="U161" i="93"/>
  <c r="F160" i="182" s="1"/>
  <c r="S88" i="86"/>
  <c r="Z97" i="90"/>
  <c r="J94" i="180"/>
  <c r="K94" i="180" s="1"/>
  <c r="I65" i="180"/>
  <c r="N36" i="180"/>
  <c r="O36" i="180" s="1"/>
  <c r="I38" i="79"/>
  <c r="I29" i="180"/>
  <c r="V59" i="180"/>
  <c r="K61" i="79"/>
  <c r="Q38" i="180"/>
  <c r="V37" i="180"/>
  <c r="K39" i="79"/>
  <c r="X50" i="90"/>
  <c r="E9" i="94"/>
  <c r="D6" i="183"/>
  <c r="W18" i="90"/>
  <c r="X57" i="180"/>
  <c r="Y57" i="180" s="1"/>
  <c r="V105" i="180"/>
  <c r="K107" i="79"/>
  <c r="U96" i="88"/>
  <c r="N98" i="180"/>
  <c r="O98" i="180" s="1"/>
  <c r="I100" i="79"/>
  <c r="Q52" i="157"/>
  <c r="I52" i="82" s="1"/>
  <c r="N31" i="180"/>
  <c r="O31" i="180" s="1"/>
  <c r="I33" i="79"/>
  <c r="G181" i="95"/>
  <c r="N74" i="180"/>
  <c r="O74" i="180" s="1"/>
  <c r="I76" i="79"/>
  <c r="N68" i="180"/>
  <c r="I70" i="79"/>
  <c r="Y65" i="90"/>
  <c r="H62" i="180"/>
  <c r="N41" i="180"/>
  <c r="I43" i="79"/>
  <c r="Q179" i="93"/>
  <c r="G168" i="95"/>
  <c r="D67" i="79"/>
  <c r="C69" i="84" s="1"/>
  <c r="X25" i="90"/>
  <c r="G22" i="180"/>
  <c r="F178" i="92"/>
  <c r="U162" i="93"/>
  <c r="F161" i="182" s="1"/>
  <c r="S89" i="86"/>
  <c r="I119" i="79"/>
  <c r="N117" i="180"/>
  <c r="O117" i="180" s="1"/>
  <c r="J85" i="180"/>
  <c r="K85" i="180" s="1"/>
  <c r="Z88" i="90"/>
  <c r="X70" i="90"/>
  <c r="G67" i="180"/>
  <c r="Q55" i="180"/>
  <c r="N32" i="180"/>
  <c r="O32" i="180" s="1"/>
  <c r="I34" i="79"/>
  <c r="E171" i="94"/>
  <c r="D168" i="183"/>
  <c r="F60" i="88"/>
  <c r="N103" i="180"/>
  <c r="O103" i="180" s="1"/>
  <c r="I105" i="79"/>
  <c r="I88" i="180"/>
  <c r="N21" i="180"/>
  <c r="O21" i="180" s="1"/>
  <c r="I23" i="79"/>
  <c r="Q171" i="93"/>
  <c r="B169" i="183"/>
  <c r="C172" i="94"/>
  <c r="C181" i="94"/>
  <c r="B178" i="183"/>
  <c r="Q167" i="93"/>
  <c r="G24" i="95"/>
  <c r="V95" i="180"/>
  <c r="K97" i="79"/>
  <c r="G64" i="79"/>
  <c r="H70" i="180"/>
  <c r="X38" i="180"/>
  <c r="F146" i="183"/>
  <c r="G256" i="95"/>
  <c r="G207" i="95"/>
  <c r="G66" i="95"/>
  <c r="F42" i="183"/>
  <c r="E34" i="94"/>
  <c r="D31" i="183"/>
  <c r="G230" i="95"/>
  <c r="G67" i="95"/>
  <c r="X117" i="180"/>
  <c r="Y117" i="180" s="1"/>
  <c r="V107" i="180"/>
  <c r="W107" i="180" s="1"/>
  <c r="K109" i="79"/>
  <c r="K114" i="79"/>
  <c r="V112" i="180"/>
  <c r="W112" i="180" s="1"/>
  <c r="X98" i="180"/>
  <c r="Y98" i="180" s="1"/>
  <c r="V96" i="180"/>
  <c r="K98" i="79"/>
  <c r="N84" i="157"/>
  <c r="G84" i="82" s="1"/>
  <c r="V97" i="180"/>
  <c r="K99" i="79"/>
  <c r="Y73" i="90"/>
  <c r="V60" i="180"/>
  <c r="K62" i="79"/>
  <c r="V57" i="180"/>
  <c r="K59" i="79"/>
  <c r="V36" i="180"/>
  <c r="K38" i="79"/>
  <c r="X14" i="180"/>
  <c r="Y14" i="180" s="1"/>
  <c r="V44" i="180"/>
  <c r="K46" i="79"/>
  <c r="X66" i="90"/>
  <c r="V99" i="180"/>
  <c r="K101" i="79"/>
  <c r="N69" i="180"/>
  <c r="I71" i="79"/>
  <c r="S50" i="180"/>
  <c r="U52" i="88"/>
  <c r="Z25" i="90"/>
  <c r="J22" i="180"/>
  <c r="K22" i="180" s="1"/>
  <c r="Q180" i="93"/>
  <c r="D181" i="183"/>
  <c r="E184" i="94"/>
  <c r="Q106" i="157"/>
  <c r="I106" i="82" s="1"/>
  <c r="Q47" i="157"/>
  <c r="I47" i="82" s="1"/>
  <c r="U125" i="88"/>
  <c r="S123" i="180"/>
  <c r="X123" i="90"/>
  <c r="G120" i="180"/>
  <c r="C81" i="79"/>
  <c r="D81" i="79" s="1"/>
  <c r="C83" i="84" s="1"/>
  <c r="X44" i="90"/>
  <c r="G41" i="180"/>
  <c r="Q22" i="157"/>
  <c r="I22" i="82" s="1"/>
  <c r="X79" i="90"/>
  <c r="G76" i="180"/>
  <c r="P69" i="88"/>
  <c r="W70" i="90"/>
  <c r="C72" i="79"/>
  <c r="U57" i="88"/>
  <c r="S55" i="180"/>
  <c r="C64" i="79"/>
  <c r="Q16" i="157"/>
  <c r="I16" i="82" s="1"/>
  <c r="G167" i="95"/>
  <c r="N104" i="180"/>
  <c r="O104" i="180" s="1"/>
  <c r="I106" i="79"/>
  <c r="Q169" i="93"/>
  <c r="Q100" i="157"/>
  <c r="I100" i="82" s="1"/>
  <c r="P67" i="88"/>
  <c r="W68" i="90"/>
  <c r="E179" i="94"/>
  <c r="D176" i="183"/>
  <c r="C168" i="94"/>
  <c r="B165" i="183"/>
  <c r="D44" i="183"/>
  <c r="E47" i="94"/>
  <c r="F75" i="88"/>
  <c r="W57" i="90"/>
  <c r="P56" i="88"/>
  <c r="F27" i="88"/>
  <c r="F166" i="183"/>
  <c r="D178" i="183"/>
  <c r="E181" i="94"/>
  <c r="F184" i="92"/>
  <c r="C181" i="183"/>
  <c r="D184" i="94"/>
  <c r="Q166" i="93"/>
  <c r="E170" i="94"/>
  <c r="D167" i="183"/>
  <c r="F130" i="183"/>
  <c r="G253" i="95"/>
  <c r="E45" i="94"/>
  <c r="D42" i="183"/>
  <c r="Q89" i="157"/>
  <c r="I89" i="82" s="1"/>
  <c r="N82" i="180"/>
  <c r="O82" i="180" s="1"/>
  <c r="I84" i="79"/>
  <c r="B194" i="182"/>
  <c r="Q85" i="93"/>
  <c r="D27" i="183"/>
  <c r="E30" i="94"/>
  <c r="G69" i="95"/>
  <c r="B150" i="182"/>
  <c r="O151" i="93"/>
  <c r="N77" i="86"/>
  <c r="Y82" i="90"/>
  <c r="H79" i="180"/>
  <c r="G81" i="79"/>
  <c r="V74" i="180"/>
  <c r="K76" i="79"/>
  <c r="B188" i="183"/>
  <c r="C191" i="94"/>
  <c r="U78" i="88"/>
  <c r="X61" i="180"/>
  <c r="Y61" i="180" s="1"/>
  <c r="X31" i="180"/>
  <c r="Y31" i="180" s="1"/>
  <c r="G82" i="95"/>
  <c r="X95" i="90"/>
  <c r="E162" i="95"/>
  <c r="Q173" i="93"/>
  <c r="J114" i="180"/>
  <c r="K114" i="180" s="1"/>
  <c r="Z117" i="90"/>
  <c r="S104" i="180"/>
  <c r="U106" i="88"/>
  <c r="S45" i="180"/>
  <c r="U47" i="88"/>
  <c r="D173" i="183"/>
  <c r="E176" i="94"/>
  <c r="Q109" i="157"/>
  <c r="I109" i="82" s="1"/>
  <c r="X68" i="90"/>
  <c r="G65" i="180"/>
  <c r="X28" i="90"/>
  <c r="G25" i="180"/>
  <c r="U22" i="88"/>
  <c r="S119" i="180"/>
  <c r="U121" i="88"/>
  <c r="X117" i="90"/>
  <c r="G114" i="180"/>
  <c r="U97" i="88"/>
  <c r="N61" i="180"/>
  <c r="O61" i="180" s="1"/>
  <c r="I63" i="79"/>
  <c r="N57" i="157"/>
  <c r="G57" i="82" s="1"/>
  <c r="S14" i="180"/>
  <c r="U16" i="88"/>
  <c r="Q77" i="157"/>
  <c r="I77" i="82" s="1"/>
  <c r="F164" i="183"/>
  <c r="S98" i="180"/>
  <c r="U100" i="88"/>
  <c r="W91" i="90"/>
  <c r="P90" i="88"/>
  <c r="Z76" i="90"/>
  <c r="J73" i="180"/>
  <c r="K73" i="180" s="1"/>
  <c r="Q58" i="157"/>
  <c r="I58" i="82" s="1"/>
  <c r="Z32" i="90"/>
  <c r="J29" i="180"/>
  <c r="K29" i="180" s="1"/>
  <c r="G179" i="95"/>
  <c r="Z111" i="90"/>
  <c r="J108" i="180"/>
  <c r="K108" i="180" s="1"/>
  <c r="N19" i="180"/>
  <c r="O19" i="180" s="1"/>
  <c r="I21" i="79"/>
  <c r="D166" i="183"/>
  <c r="E169" i="94"/>
  <c r="D163" i="183"/>
  <c r="E166" i="94"/>
  <c r="E53" i="94"/>
  <c r="D50" i="183"/>
  <c r="D53" i="183"/>
  <c r="E56" i="94"/>
  <c r="D126" i="183"/>
  <c r="E129" i="94"/>
  <c r="V86" i="180"/>
  <c r="W86" i="180" s="1"/>
  <c r="K88" i="79"/>
  <c r="G255" i="95"/>
  <c r="G202" i="95"/>
  <c r="B88" i="183"/>
  <c r="C91" i="94"/>
  <c r="O50" i="93"/>
  <c r="B49" i="182"/>
  <c r="N30" i="86"/>
  <c r="D35" i="183"/>
  <c r="E38" i="94"/>
  <c r="O49" i="93"/>
  <c r="B48" i="182"/>
  <c r="N29" i="86"/>
  <c r="Z104" i="90"/>
  <c r="X75" i="180"/>
  <c r="Y75" i="180" s="1"/>
  <c r="K113" i="79"/>
  <c r="V111" i="180"/>
  <c r="W111" i="180" s="1"/>
  <c r="H100" i="180"/>
  <c r="W82" i="90"/>
  <c r="W36" i="90"/>
  <c r="H33" i="180"/>
  <c r="Y36" i="90"/>
  <c r="Z41" i="88"/>
  <c r="I15" i="180"/>
  <c r="F17" i="88"/>
  <c r="G22" i="95"/>
  <c r="U45" i="88"/>
  <c r="X37" i="90"/>
  <c r="X55" i="180"/>
  <c r="Y55" i="180" s="1"/>
  <c r="X44" i="180"/>
  <c r="Y44" i="180" s="1"/>
  <c r="X36" i="180"/>
  <c r="Y36" i="180" s="1"/>
  <c r="G21" i="95"/>
  <c r="Q101" i="157"/>
  <c r="I101" i="82" s="1"/>
  <c r="C102" i="79"/>
  <c r="Z79" i="90"/>
  <c r="J76" i="180"/>
  <c r="K76" i="180" s="1"/>
  <c r="P81" i="88"/>
  <c r="X61" i="90"/>
  <c r="G58" i="180"/>
  <c r="G43" i="180"/>
  <c r="X46" i="90"/>
  <c r="D155" i="183"/>
  <c r="E158" i="94"/>
  <c r="C93" i="79"/>
  <c r="N56" i="180"/>
  <c r="O56" i="180" s="1"/>
  <c r="I58" i="79"/>
  <c r="U30" i="88"/>
  <c r="S28" i="180"/>
  <c r="S107" i="180"/>
  <c r="U109" i="88"/>
  <c r="P64" i="88"/>
  <c r="Q41" i="180"/>
  <c r="Q107" i="180"/>
  <c r="N99" i="180"/>
  <c r="O99" i="180" s="1"/>
  <c r="I101" i="79"/>
  <c r="N97" i="157"/>
  <c r="G97" i="82" s="1"/>
  <c r="L102" i="157"/>
  <c r="N102" i="157" s="1"/>
  <c r="G102" i="82" s="1"/>
  <c r="V45" i="180"/>
  <c r="K47" i="79"/>
  <c r="C48" i="79"/>
  <c r="F155" i="183"/>
  <c r="S122" i="180"/>
  <c r="U124" i="88"/>
  <c r="N95" i="180"/>
  <c r="O95" i="180" s="1"/>
  <c r="I97" i="79"/>
  <c r="U90" i="88"/>
  <c r="S75" i="180"/>
  <c r="U77" i="88"/>
  <c r="N59" i="180"/>
  <c r="O59" i="180" s="1"/>
  <c r="I61" i="79"/>
  <c r="Q23" i="157"/>
  <c r="I23" i="82" s="1"/>
  <c r="K90" i="157"/>
  <c r="E90" i="82" s="1"/>
  <c r="I93" i="157"/>
  <c r="Q62" i="157"/>
  <c r="I62" i="82" s="1"/>
  <c r="Z54" i="90"/>
  <c r="J51" i="180"/>
  <c r="K51" i="180" s="1"/>
  <c r="Y118" i="180"/>
  <c r="S56" i="180"/>
  <c r="U58" i="88"/>
  <c r="P27" i="88"/>
  <c r="W28" i="90"/>
  <c r="D162" i="183"/>
  <c r="E165" i="94"/>
  <c r="Q108" i="157"/>
  <c r="I108" i="82" s="1"/>
  <c r="F67" i="88"/>
  <c r="N60" i="180"/>
  <c r="O60" i="180" s="1"/>
  <c r="I62" i="79"/>
  <c r="X54" i="90"/>
  <c r="G51" i="180"/>
  <c r="F40" i="88"/>
  <c r="B177" i="183"/>
  <c r="C180" i="94"/>
  <c r="C175" i="183"/>
  <c r="D178" i="94"/>
  <c r="Q111" i="93"/>
  <c r="Q23" i="93"/>
  <c r="Q21" i="93"/>
  <c r="Q93" i="93"/>
  <c r="Q91" i="93"/>
  <c r="Q92" i="93"/>
  <c r="Q84" i="93"/>
  <c r="Q95" i="93"/>
  <c r="Q35" i="93"/>
  <c r="Q197" i="93"/>
  <c r="X73" i="180"/>
  <c r="V127" i="90"/>
  <c r="G126" i="79"/>
  <c r="H31" i="79" s="1"/>
  <c r="E33" i="84" s="1"/>
  <c r="X33" i="180"/>
  <c r="Y33" i="180" s="1"/>
  <c r="X54" i="180"/>
  <c r="Y54" i="180" s="1"/>
  <c r="X41" i="180"/>
  <c r="Q209" i="93"/>
  <c r="Q208" i="93"/>
  <c r="Q38" i="93"/>
  <c r="Q37" i="93"/>
  <c r="Q39" i="93"/>
  <c r="Q71" i="93"/>
  <c r="Q70" i="93"/>
  <c r="Q226" i="93"/>
  <c r="Q227" i="93"/>
  <c r="Q228" i="93"/>
  <c r="Q229" i="93"/>
  <c r="Q73" i="93"/>
  <c r="Q74" i="93"/>
  <c r="Q231" i="93"/>
  <c r="Q232" i="93"/>
  <c r="Q233" i="93"/>
  <c r="Q234" i="93"/>
  <c r="Q122" i="93"/>
  <c r="Q117" i="93"/>
  <c r="Q112" i="93"/>
  <c r="Q243" i="93"/>
  <c r="Q244" i="93"/>
  <c r="Q242" i="93"/>
  <c r="Q245" i="93"/>
  <c r="Q201" i="93"/>
  <c r="Q202" i="93"/>
  <c r="Q96" i="93"/>
  <c r="Q101" i="93"/>
  <c r="Q106" i="93"/>
  <c r="F264" i="183"/>
  <c r="X120" i="180"/>
  <c r="X122" i="180"/>
  <c r="Y122" i="180" s="1"/>
  <c r="X78" i="180"/>
  <c r="Y78" i="180" s="1"/>
  <c r="X77" i="180"/>
  <c r="Y77" i="180" s="1"/>
  <c r="X50" i="180"/>
  <c r="Y50" i="180" s="1"/>
  <c r="F144" i="183"/>
  <c r="F129" i="183"/>
  <c r="F126" i="183"/>
  <c r="X46" i="180"/>
  <c r="F256" i="183"/>
  <c r="D48" i="182" l="1"/>
  <c r="D150" i="182"/>
  <c r="D190" i="182"/>
  <c r="D153" i="182"/>
  <c r="D268" i="182"/>
  <c r="D49" i="182"/>
  <c r="D135" i="182"/>
  <c r="D267" i="182"/>
  <c r="D161" i="182"/>
  <c r="D48" i="79"/>
  <c r="C50" i="84" s="1"/>
  <c r="D110" i="79"/>
  <c r="C112" i="84" s="1"/>
  <c r="D53" i="79"/>
  <c r="C55" i="84" s="1"/>
  <c r="D93" i="79"/>
  <c r="C95" i="84" s="1"/>
  <c r="D60" i="79"/>
  <c r="C62" i="84" s="1"/>
  <c r="D102" i="79"/>
  <c r="C104" i="84" s="1"/>
  <c r="D40" i="79"/>
  <c r="C42" i="84" s="1"/>
  <c r="W44" i="180"/>
  <c r="Y73" i="180"/>
  <c r="W96" i="180"/>
  <c r="D24" i="79"/>
  <c r="C26" i="84" s="1"/>
  <c r="D99" i="79"/>
  <c r="C101" i="84" s="1"/>
  <c r="D43" i="79"/>
  <c r="C45" i="84" s="1"/>
  <c r="D78" i="79"/>
  <c r="C80" i="84" s="1"/>
  <c r="D75" i="79"/>
  <c r="C77" i="84" s="1"/>
  <c r="D90" i="79"/>
  <c r="C92" i="84" s="1"/>
  <c r="D31" i="79"/>
  <c r="C33" i="84" s="1"/>
  <c r="D116" i="79"/>
  <c r="C118" i="84" s="1"/>
  <c r="D64" i="79"/>
  <c r="C66" i="84" s="1"/>
  <c r="D56" i="79"/>
  <c r="C58" i="84" s="1"/>
  <c r="D69" i="79"/>
  <c r="C71" i="84" s="1"/>
  <c r="D122" i="79"/>
  <c r="C124" i="84" s="1"/>
  <c r="D72" i="79"/>
  <c r="C74" i="84" s="1"/>
  <c r="W37" i="180"/>
  <c r="Z95" i="90"/>
  <c r="I70" i="180"/>
  <c r="I33" i="180"/>
  <c r="S43" i="180"/>
  <c r="X74" i="90"/>
  <c r="Y46" i="180"/>
  <c r="O88" i="180"/>
  <c r="O54" i="180"/>
  <c r="Y120" i="180"/>
  <c r="L64" i="157"/>
  <c r="N64" i="157" s="1"/>
  <c r="G64" i="82" s="1"/>
  <c r="O43" i="180"/>
  <c r="F35" i="88"/>
  <c r="D17" i="79"/>
  <c r="C19" i="84" s="1"/>
  <c r="I100" i="180"/>
  <c r="O94" i="180"/>
  <c r="W98" i="180"/>
  <c r="Y38" i="180"/>
  <c r="S94" i="180"/>
  <c r="F81" i="88"/>
  <c r="W57" i="180"/>
  <c r="W105" i="180"/>
  <c r="W45" i="180"/>
  <c r="W74" i="180"/>
  <c r="F93" i="88"/>
  <c r="Q54" i="180"/>
  <c r="O25" i="180"/>
  <c r="W49" i="180"/>
  <c r="F72" i="88"/>
  <c r="W30" i="180"/>
  <c r="X82" i="180"/>
  <c r="Y82" i="180" s="1"/>
  <c r="W20" i="180"/>
  <c r="F184" i="94"/>
  <c r="Y41" i="180"/>
  <c r="G236" i="95"/>
  <c r="D234" i="94"/>
  <c r="G166" i="95"/>
  <c r="G177" i="95"/>
  <c r="F175" i="92"/>
  <c r="G178" i="95"/>
  <c r="H27" i="79"/>
  <c r="E29" i="84" s="1"/>
  <c r="W14" i="180"/>
  <c r="G169" i="95"/>
  <c r="H45" i="79"/>
  <c r="E47" i="84" s="1"/>
  <c r="F180" i="183"/>
  <c r="I79" i="180"/>
  <c r="Q33" i="180"/>
  <c r="O167" i="93"/>
  <c r="Q84" i="157"/>
  <c r="I84" i="82" s="1"/>
  <c r="O186" i="93"/>
  <c r="B185" i="182"/>
  <c r="D67" i="183"/>
  <c r="E70" i="94"/>
  <c r="D54" i="183"/>
  <c r="E57" i="94"/>
  <c r="D129" i="183"/>
  <c r="E132" i="94"/>
  <c r="Q90" i="157"/>
  <c r="I90" i="82" s="1"/>
  <c r="D186" i="183"/>
  <c r="E189" i="94"/>
  <c r="D28" i="183"/>
  <c r="E31" i="94"/>
  <c r="G227" i="95"/>
  <c r="D33" i="183"/>
  <c r="E36" i="94"/>
  <c r="G62" i="183"/>
  <c r="B221" i="183"/>
  <c r="C224" i="94"/>
  <c r="Z27" i="88"/>
  <c r="Z25" i="180"/>
  <c r="AA25" i="180" s="1"/>
  <c r="B130" i="183"/>
  <c r="C133" i="94"/>
  <c r="E50" i="94"/>
  <c r="D47" i="183"/>
  <c r="V43" i="180"/>
  <c r="W43" i="180" s="1"/>
  <c r="K45" i="79"/>
  <c r="C233" i="94"/>
  <c r="B230" i="183"/>
  <c r="G72" i="95"/>
  <c r="Z28" i="90"/>
  <c r="J25" i="180"/>
  <c r="B14" i="183"/>
  <c r="C17" i="94"/>
  <c r="B263" i="183"/>
  <c r="C266" i="94"/>
  <c r="C197" i="183"/>
  <c r="D200" i="94"/>
  <c r="G172" i="95"/>
  <c r="W104" i="180"/>
  <c r="O168" i="93"/>
  <c r="C18" i="94"/>
  <c r="B15" i="183"/>
  <c r="B219" i="183"/>
  <c r="C222" i="94"/>
  <c r="X82" i="90"/>
  <c r="G79" i="180"/>
  <c r="G70" i="95"/>
  <c r="Z14" i="180"/>
  <c r="AA14" i="180" s="1"/>
  <c r="Z16" i="88"/>
  <c r="G181" i="183"/>
  <c r="V19" i="180"/>
  <c r="W19" i="180" s="1"/>
  <c r="K21" i="79"/>
  <c r="X13" i="180"/>
  <c r="Y13" i="180" s="1"/>
  <c r="H64" i="79"/>
  <c r="E66" i="84" s="1"/>
  <c r="I62" i="180"/>
  <c r="F179" i="92"/>
  <c r="C176" i="183"/>
  <c r="D179" i="94"/>
  <c r="F179" i="94" s="1"/>
  <c r="H93" i="79"/>
  <c r="E95" i="84" s="1"/>
  <c r="B163" i="183"/>
  <c r="C166" i="94"/>
  <c r="U105" i="88"/>
  <c r="S103" i="180"/>
  <c r="B17" i="183"/>
  <c r="C20" i="94"/>
  <c r="G173" i="95"/>
  <c r="V42" i="180"/>
  <c r="W42" i="180" s="1"/>
  <c r="K44" i="79"/>
  <c r="D193" i="182"/>
  <c r="R194" i="93"/>
  <c r="U40" i="88"/>
  <c r="E191" i="95"/>
  <c r="G191" i="95"/>
  <c r="N119" i="157"/>
  <c r="G119" i="82" s="1"/>
  <c r="L122" i="157"/>
  <c r="N122" i="157" s="1"/>
  <c r="G122" i="82" s="1"/>
  <c r="D132" i="183"/>
  <c r="E135" i="94"/>
  <c r="O184" i="93"/>
  <c r="H102" i="79"/>
  <c r="E104" i="84" s="1"/>
  <c r="N29" i="180"/>
  <c r="O29" i="180" s="1"/>
  <c r="I31" i="79"/>
  <c r="D198" i="94"/>
  <c r="C195" i="183"/>
  <c r="C229" i="183"/>
  <c r="D232" i="94"/>
  <c r="F163" i="183"/>
  <c r="B81" i="183"/>
  <c r="C84" i="94"/>
  <c r="H56" i="79"/>
  <c r="E58" i="84" s="1"/>
  <c r="Z98" i="88"/>
  <c r="Z96" i="180"/>
  <c r="AA96" i="180" s="1"/>
  <c r="F62" i="92"/>
  <c r="C59" i="183"/>
  <c r="D62" i="94"/>
  <c r="F62" i="94" s="1"/>
  <c r="W66" i="180"/>
  <c r="C188" i="183"/>
  <c r="D191" i="94"/>
  <c r="D189" i="183"/>
  <c r="E192" i="94"/>
  <c r="Q34" i="93"/>
  <c r="E190" i="95"/>
  <c r="U190" i="93"/>
  <c r="F189" i="182" s="1"/>
  <c r="Z13" i="180"/>
  <c r="AA13" i="180" s="1"/>
  <c r="B59" i="183"/>
  <c r="C62" i="94"/>
  <c r="C188" i="94"/>
  <c r="B185" i="183"/>
  <c r="Y127" i="90"/>
  <c r="P126" i="88"/>
  <c r="B63" i="183"/>
  <c r="C66" i="94"/>
  <c r="B77" i="183"/>
  <c r="C80" i="94"/>
  <c r="N100" i="180"/>
  <c r="I102" i="79"/>
  <c r="Q22" i="93"/>
  <c r="V61" i="180"/>
  <c r="W61" i="180" s="1"/>
  <c r="K63" i="79"/>
  <c r="Z58" i="88"/>
  <c r="Z56" i="180"/>
  <c r="AA56" i="180" s="1"/>
  <c r="Z91" i="90"/>
  <c r="J88" i="180"/>
  <c r="K88" i="180" s="1"/>
  <c r="D134" i="94"/>
  <c r="C131" i="183"/>
  <c r="F134" i="92"/>
  <c r="F255" i="92"/>
  <c r="C252" i="183"/>
  <c r="D255" i="94"/>
  <c r="Q172" i="93"/>
  <c r="Z98" i="180"/>
  <c r="AA98" i="180" s="1"/>
  <c r="Z100" i="88"/>
  <c r="Z70" i="90"/>
  <c r="J67" i="180"/>
  <c r="K67" i="180" s="1"/>
  <c r="G155" i="183"/>
  <c r="I155" i="183" s="1"/>
  <c r="L155" i="183" s="1"/>
  <c r="M158" i="92"/>
  <c r="U113" i="88"/>
  <c r="S111" i="180"/>
  <c r="C202" i="183"/>
  <c r="D205" i="94"/>
  <c r="G62" i="180"/>
  <c r="X65" i="90"/>
  <c r="H122" i="79"/>
  <c r="E124" i="84" s="1"/>
  <c r="F178" i="183"/>
  <c r="P17" i="88"/>
  <c r="X94" i="90"/>
  <c r="G91" i="180"/>
  <c r="N108" i="180"/>
  <c r="I110" i="79"/>
  <c r="F135" i="92"/>
  <c r="C132" i="183"/>
  <c r="D135" i="94"/>
  <c r="N105" i="157"/>
  <c r="G105" i="82" s="1"/>
  <c r="L110" i="157"/>
  <c r="N110" i="157" s="1"/>
  <c r="G110" i="82" s="1"/>
  <c r="AA43" i="180"/>
  <c r="F244" i="92"/>
  <c r="C241" i="183"/>
  <c r="D244" i="94"/>
  <c r="W103" i="180"/>
  <c r="Z90" i="180"/>
  <c r="AA90" i="180" s="1"/>
  <c r="Z92" i="88"/>
  <c r="F179" i="183"/>
  <c r="X18" i="90"/>
  <c r="G15" i="180"/>
  <c r="C258" i="183"/>
  <c r="D261" i="94"/>
  <c r="F63" i="92"/>
  <c r="C60" i="183"/>
  <c r="D63" i="94"/>
  <c r="D131" i="183"/>
  <c r="E134" i="94"/>
  <c r="C83" i="94"/>
  <c r="B80" i="183"/>
  <c r="H90" i="79"/>
  <c r="E92" i="84" s="1"/>
  <c r="V55" i="180"/>
  <c r="W55" i="180" s="1"/>
  <c r="K57" i="79"/>
  <c r="D149" i="94"/>
  <c r="F149" i="92"/>
  <c r="C146" i="183"/>
  <c r="Y108" i="180"/>
  <c r="Z97" i="88"/>
  <c r="Z95" i="180"/>
  <c r="AA95" i="180" s="1"/>
  <c r="G25" i="183"/>
  <c r="E130" i="94"/>
  <c r="D127" i="183"/>
  <c r="D70" i="183"/>
  <c r="E73" i="94"/>
  <c r="V50" i="180"/>
  <c r="W50" i="180" s="1"/>
  <c r="K52" i="79"/>
  <c r="V76" i="180"/>
  <c r="K78" i="79"/>
  <c r="O66" i="93"/>
  <c r="O67" i="93"/>
  <c r="U137" i="93"/>
  <c r="F136" i="182" s="1"/>
  <c r="S63" i="86"/>
  <c r="E265" i="94"/>
  <c r="D262" i="183"/>
  <c r="V73" i="180"/>
  <c r="W73" i="180" s="1"/>
  <c r="K75" i="79"/>
  <c r="H126" i="79"/>
  <c r="E128" i="84" s="1"/>
  <c r="H33" i="79"/>
  <c r="E35" i="84" s="1"/>
  <c r="H34" i="79"/>
  <c r="E36" i="84" s="1"/>
  <c r="H114" i="79"/>
  <c r="E116" i="84" s="1"/>
  <c r="H19" i="79"/>
  <c r="E21" i="84" s="1"/>
  <c r="H28" i="79"/>
  <c r="E30" i="84" s="1"/>
  <c r="H47" i="79"/>
  <c r="E49" i="84" s="1"/>
  <c r="H55" i="79"/>
  <c r="E57" i="84" s="1"/>
  <c r="H118" i="79"/>
  <c r="E120" i="84" s="1"/>
  <c r="H124" i="79"/>
  <c r="E126" i="84" s="1"/>
  <c r="H57" i="79"/>
  <c r="E59" i="84" s="1"/>
  <c r="H42" i="79"/>
  <c r="E44" i="84" s="1"/>
  <c r="H59" i="79"/>
  <c r="E61" i="84" s="1"/>
  <c r="H44" i="79"/>
  <c r="E46" i="84" s="1"/>
  <c r="H106" i="79"/>
  <c r="E108" i="84" s="1"/>
  <c r="H62" i="79"/>
  <c r="E64" i="84" s="1"/>
  <c r="H46" i="79"/>
  <c r="E48" i="84" s="1"/>
  <c r="H21" i="79"/>
  <c r="E23" i="84" s="1"/>
  <c r="H101" i="79"/>
  <c r="E103" i="84" s="1"/>
  <c r="H89" i="79"/>
  <c r="E91" i="84" s="1"/>
  <c r="H58" i="79"/>
  <c r="E60" i="84" s="1"/>
  <c r="H84" i="79"/>
  <c r="E86" i="84" s="1"/>
  <c r="H63" i="79"/>
  <c r="E65" i="84" s="1"/>
  <c r="H80" i="79"/>
  <c r="E82" i="84" s="1"/>
  <c r="H32" i="79"/>
  <c r="E34" i="84" s="1"/>
  <c r="H22" i="79"/>
  <c r="E24" i="84" s="1"/>
  <c r="H29" i="79"/>
  <c r="E31" i="84" s="1"/>
  <c r="H52" i="79"/>
  <c r="E54" i="84" s="1"/>
  <c r="H109" i="79"/>
  <c r="E111" i="84" s="1"/>
  <c r="H23" i="79"/>
  <c r="E25" i="84" s="1"/>
  <c r="H97" i="79"/>
  <c r="E99" i="84" s="1"/>
  <c r="H66" i="79"/>
  <c r="E68" i="84" s="1"/>
  <c r="H83" i="79"/>
  <c r="E85" i="84" s="1"/>
  <c r="H92" i="79"/>
  <c r="E94" i="84" s="1"/>
  <c r="H88" i="79"/>
  <c r="E90" i="84" s="1"/>
  <c r="H26" i="79"/>
  <c r="E28" i="84" s="1"/>
  <c r="H39" i="79"/>
  <c r="E41" i="84" s="1"/>
  <c r="H37" i="79"/>
  <c r="E39" i="84" s="1"/>
  <c r="H113" i="79"/>
  <c r="E115" i="84" s="1"/>
  <c r="H74" i="79"/>
  <c r="E76" i="84" s="1"/>
  <c r="H91" i="79"/>
  <c r="E93" i="84" s="1"/>
  <c r="H108" i="79"/>
  <c r="E110" i="84" s="1"/>
  <c r="H95" i="79"/>
  <c r="E97" i="84" s="1"/>
  <c r="H104" i="79"/>
  <c r="E106" i="84" s="1"/>
  <c r="H30" i="79"/>
  <c r="E32" i="84" s="1"/>
  <c r="H71" i="79"/>
  <c r="E73" i="84" s="1"/>
  <c r="H121" i="79"/>
  <c r="E123" i="84" s="1"/>
  <c r="H112" i="79"/>
  <c r="H115" i="79"/>
  <c r="E117" i="84" s="1"/>
  <c r="H86" i="79"/>
  <c r="E88" i="84" s="1"/>
  <c r="H98" i="79"/>
  <c r="E100" i="84" s="1"/>
  <c r="H107" i="79"/>
  <c r="E109" i="84" s="1"/>
  <c r="H120" i="79"/>
  <c r="E122" i="84" s="1"/>
  <c r="H77" i="79"/>
  <c r="E79" i="84" s="1"/>
  <c r="H70" i="79"/>
  <c r="E72" i="84" s="1"/>
  <c r="H51" i="79"/>
  <c r="E53" i="84" s="1"/>
  <c r="H105" i="79"/>
  <c r="E107" i="84" s="1"/>
  <c r="H76" i="79"/>
  <c r="E78" i="84" s="1"/>
  <c r="H125" i="79"/>
  <c r="E127" i="84" s="1"/>
  <c r="H100" i="79"/>
  <c r="E102" i="84" s="1"/>
  <c r="H119" i="79"/>
  <c r="E121" i="84" s="1"/>
  <c r="H61" i="79"/>
  <c r="E63" i="84" s="1"/>
  <c r="H79" i="79"/>
  <c r="E81" i="84" s="1"/>
  <c r="H68" i="79"/>
  <c r="E70" i="84" s="1"/>
  <c r="H38" i="79"/>
  <c r="E40" i="84" s="1"/>
  <c r="H20" i="79"/>
  <c r="E22" i="84" s="1"/>
  <c r="H12" i="79"/>
  <c r="E14" i="84" s="1"/>
  <c r="H13" i="79"/>
  <c r="E15" i="84" s="1"/>
  <c r="H14" i="79"/>
  <c r="E16" i="84" s="1"/>
  <c r="H16" i="79"/>
  <c r="E18" i="84" s="1"/>
  <c r="H15" i="79"/>
  <c r="E17" i="84" s="1"/>
  <c r="O274" i="93"/>
  <c r="N124" i="86"/>
  <c r="B18" i="182"/>
  <c r="O19" i="93"/>
  <c r="N15" i="86"/>
  <c r="O137" i="93"/>
  <c r="B136" i="182"/>
  <c r="N63" i="86"/>
  <c r="U136" i="93"/>
  <c r="F135" i="182" s="1"/>
  <c r="S62" i="86"/>
  <c r="G241" i="95"/>
  <c r="H96" i="79"/>
  <c r="E98" i="84" s="1"/>
  <c r="S49" i="180"/>
  <c r="U51" i="88"/>
  <c r="B132" i="183"/>
  <c r="C135" i="94"/>
  <c r="G175" i="183"/>
  <c r="Z75" i="180"/>
  <c r="AA75" i="180" s="1"/>
  <c r="Z77" i="88"/>
  <c r="Z38" i="180"/>
  <c r="Z40" i="88"/>
  <c r="Z87" i="180"/>
  <c r="AA87" i="180" s="1"/>
  <c r="Z89" i="88"/>
  <c r="D130" i="183"/>
  <c r="E133" i="94"/>
  <c r="O180" i="93"/>
  <c r="V32" i="180"/>
  <c r="W32" i="180" s="1"/>
  <c r="K34" i="79"/>
  <c r="W60" i="180"/>
  <c r="L116" i="157"/>
  <c r="N116" i="157" s="1"/>
  <c r="G116" i="82" s="1"/>
  <c r="N113" i="157"/>
  <c r="G113" i="82" s="1"/>
  <c r="D65" i="94"/>
  <c r="F65" i="92"/>
  <c r="C62" i="183"/>
  <c r="F233" i="92"/>
  <c r="C230" i="183"/>
  <c r="D233" i="94"/>
  <c r="Q100" i="180"/>
  <c r="Z18" i="90"/>
  <c r="J15" i="180"/>
  <c r="K15" i="180" s="1"/>
  <c r="G174" i="95"/>
  <c r="H24" i="79"/>
  <c r="E26" i="84" s="1"/>
  <c r="S26" i="180"/>
  <c r="U28" i="88"/>
  <c r="C18" i="183"/>
  <c r="D21" i="94"/>
  <c r="Z89" i="180"/>
  <c r="AA89" i="180" s="1"/>
  <c r="Z91" i="88"/>
  <c r="Z61" i="180"/>
  <c r="AA61" i="180" s="1"/>
  <c r="Z63" i="88"/>
  <c r="O65" i="180"/>
  <c r="H17" i="79"/>
  <c r="E19" i="84" s="1"/>
  <c r="N114" i="180"/>
  <c r="O114" i="180" s="1"/>
  <c r="I116" i="79"/>
  <c r="F222" i="92"/>
  <c r="C219" i="183"/>
  <c r="D222" i="94"/>
  <c r="F222" i="94" s="1"/>
  <c r="D263" i="183"/>
  <c r="E266" i="94"/>
  <c r="S85" i="180"/>
  <c r="B126" i="183"/>
  <c r="C129" i="94"/>
  <c r="Z49" i="90"/>
  <c r="J46" i="180"/>
  <c r="K46" i="180" s="1"/>
  <c r="Q97" i="157"/>
  <c r="I97" i="82" s="1"/>
  <c r="O102" i="157"/>
  <c r="Q102" i="157" s="1"/>
  <c r="I102" i="82" s="1"/>
  <c r="D182" i="94"/>
  <c r="F182" i="94" s="1"/>
  <c r="C179" i="183"/>
  <c r="F182" i="92"/>
  <c r="D29" i="183"/>
  <c r="E32" i="94"/>
  <c r="D61" i="183"/>
  <c r="E64" i="94"/>
  <c r="X100" i="180"/>
  <c r="Y100" i="180" s="1"/>
  <c r="N51" i="180"/>
  <c r="O51" i="180" s="1"/>
  <c r="I53" i="79"/>
  <c r="Q124" i="157"/>
  <c r="I124" i="82" s="1"/>
  <c r="G209" i="95"/>
  <c r="D38" i="183"/>
  <c r="E41" i="94"/>
  <c r="G231" i="95"/>
  <c r="B145" i="183"/>
  <c r="C148" i="94"/>
  <c r="H124" i="180"/>
  <c r="B189" i="183"/>
  <c r="C192" i="94"/>
  <c r="Z106" i="180"/>
  <c r="AA106" i="180" s="1"/>
  <c r="Z108" i="88"/>
  <c r="Z60" i="180"/>
  <c r="AA60" i="180" s="1"/>
  <c r="Z62" i="88"/>
  <c r="F181" i="183"/>
  <c r="N51" i="157"/>
  <c r="G51" i="82" s="1"/>
  <c r="L53" i="157"/>
  <c r="N53" i="157" s="1"/>
  <c r="G53" i="82" s="1"/>
  <c r="C17" i="183"/>
  <c r="D20" i="94"/>
  <c r="Z36" i="90"/>
  <c r="J33" i="180"/>
  <c r="K33" i="180" s="1"/>
  <c r="H60" i="79"/>
  <c r="E62" i="84" s="1"/>
  <c r="N97" i="180"/>
  <c r="O97" i="180" s="1"/>
  <c r="I99" i="79"/>
  <c r="G131" i="183"/>
  <c r="I131" i="183" s="1"/>
  <c r="L131" i="183" s="1"/>
  <c r="M134" i="92"/>
  <c r="E161" i="95"/>
  <c r="F175" i="183"/>
  <c r="Z106" i="88"/>
  <c r="Z104" i="180"/>
  <c r="AA104" i="180" s="1"/>
  <c r="G185" i="95"/>
  <c r="F169" i="92"/>
  <c r="C166" i="183"/>
  <c r="D169" i="94"/>
  <c r="F169" i="94" s="1"/>
  <c r="R191" i="93"/>
  <c r="N28" i="157"/>
  <c r="M35" i="157"/>
  <c r="F66" i="92"/>
  <c r="C63" i="183"/>
  <c r="D66" i="94"/>
  <c r="F66" i="94" s="1"/>
  <c r="Z65" i="90"/>
  <c r="J62" i="180"/>
  <c r="K62" i="180" s="1"/>
  <c r="C80" i="183"/>
  <c r="D83" i="94"/>
  <c r="F223" i="92"/>
  <c r="C220" i="183"/>
  <c r="D223" i="94"/>
  <c r="F223" i="94" s="1"/>
  <c r="Q174" i="93"/>
  <c r="D172" i="183"/>
  <c r="E175" i="94"/>
  <c r="D108" i="79"/>
  <c r="C110" i="84" s="1"/>
  <c r="D34" i="79"/>
  <c r="C36" i="84" s="1"/>
  <c r="D61" i="79"/>
  <c r="C63" i="84" s="1"/>
  <c r="D28" i="79"/>
  <c r="C30" i="84" s="1"/>
  <c r="D124" i="79"/>
  <c r="C126" i="84" s="1"/>
  <c r="D104" i="79"/>
  <c r="C106" i="84" s="1"/>
  <c r="D30" i="79"/>
  <c r="C32" i="84" s="1"/>
  <c r="D112" i="79"/>
  <c r="D38" i="79"/>
  <c r="C40" i="84" s="1"/>
  <c r="D12" i="79"/>
  <c r="C14" i="84" s="1"/>
  <c r="D105" i="79"/>
  <c r="C107" i="84" s="1"/>
  <c r="D86" i="79"/>
  <c r="C88" i="84" s="1"/>
  <c r="D71" i="79"/>
  <c r="C73" i="84" s="1"/>
  <c r="D98" i="79"/>
  <c r="C100" i="84" s="1"/>
  <c r="D115" i="79"/>
  <c r="C117" i="84" s="1"/>
  <c r="D87" i="79"/>
  <c r="C89" i="84" s="1"/>
  <c r="D119" i="79"/>
  <c r="C121" i="84" s="1"/>
  <c r="D62" i="79"/>
  <c r="C64" i="84" s="1"/>
  <c r="D89" i="79"/>
  <c r="C91" i="84" s="1"/>
  <c r="D32" i="79"/>
  <c r="C34" i="84" s="1"/>
  <c r="D46" i="79"/>
  <c r="C48" i="84" s="1"/>
  <c r="D66" i="79"/>
  <c r="C68" i="84" s="1"/>
  <c r="D23" i="79"/>
  <c r="C25" i="84" s="1"/>
  <c r="D91" i="79"/>
  <c r="C93" i="84" s="1"/>
  <c r="D70" i="79"/>
  <c r="C72" i="84" s="1"/>
  <c r="D14" i="79"/>
  <c r="C16" i="84" s="1"/>
  <c r="D39" i="79"/>
  <c r="C41" i="84" s="1"/>
  <c r="D26" i="79"/>
  <c r="C28" i="84" s="1"/>
  <c r="D126" i="79"/>
  <c r="C128" i="84" s="1"/>
  <c r="D52" i="79"/>
  <c r="C54" i="84" s="1"/>
  <c r="D100" i="79"/>
  <c r="C102" i="84" s="1"/>
  <c r="D114" i="79"/>
  <c r="C116" i="84" s="1"/>
  <c r="D95" i="79"/>
  <c r="C97" i="84" s="1"/>
  <c r="D21" i="79"/>
  <c r="C23" i="84" s="1"/>
  <c r="D29" i="79"/>
  <c r="C31" i="84" s="1"/>
  <c r="D16" i="79"/>
  <c r="C18" i="84" s="1"/>
  <c r="D20" i="79"/>
  <c r="C22" i="84" s="1"/>
  <c r="D42" i="79"/>
  <c r="C44" i="84" s="1"/>
  <c r="D83" i="79"/>
  <c r="C85" i="84" s="1"/>
  <c r="D19" i="79"/>
  <c r="C21" i="84" s="1"/>
  <c r="D15" i="79"/>
  <c r="C17" i="84" s="1"/>
  <c r="D77" i="79"/>
  <c r="C79" i="84" s="1"/>
  <c r="D120" i="79"/>
  <c r="C122" i="84" s="1"/>
  <c r="D68" i="79"/>
  <c r="C70" i="84" s="1"/>
  <c r="D118" i="79"/>
  <c r="C120" i="84" s="1"/>
  <c r="D74" i="79"/>
  <c r="C76" i="84" s="1"/>
  <c r="D113" i="79"/>
  <c r="C115" i="84" s="1"/>
  <c r="D47" i="79"/>
  <c r="C49" i="84" s="1"/>
  <c r="D80" i="79"/>
  <c r="C82" i="84" s="1"/>
  <c r="D92" i="79"/>
  <c r="C94" i="84" s="1"/>
  <c r="D107" i="79"/>
  <c r="C109" i="84" s="1"/>
  <c r="D33" i="79"/>
  <c r="C35" i="84" s="1"/>
  <c r="D125" i="79"/>
  <c r="C127" i="84" s="1"/>
  <c r="D51" i="79"/>
  <c r="C53" i="84" s="1"/>
  <c r="D96" i="79"/>
  <c r="C98" i="84" s="1"/>
  <c r="D22" i="79"/>
  <c r="C24" i="84" s="1"/>
  <c r="D76" i="79"/>
  <c r="C78" i="84" s="1"/>
  <c r="D84" i="79"/>
  <c r="C86" i="84" s="1"/>
  <c r="D101" i="79"/>
  <c r="C103" i="84" s="1"/>
  <c r="D13" i="79"/>
  <c r="C15" i="84" s="1"/>
  <c r="D106" i="79"/>
  <c r="C108" i="84" s="1"/>
  <c r="D58" i="79"/>
  <c r="C60" i="84" s="1"/>
  <c r="D37" i="79"/>
  <c r="C39" i="84" s="1"/>
  <c r="D109" i="79"/>
  <c r="C111" i="84" s="1"/>
  <c r="D79" i="79"/>
  <c r="C81" i="84" s="1"/>
  <c r="D97" i="79"/>
  <c r="C99" i="84" s="1"/>
  <c r="D57" i="79"/>
  <c r="C59" i="84" s="1"/>
  <c r="D44" i="79"/>
  <c r="C46" i="84" s="1"/>
  <c r="D88" i="79"/>
  <c r="C90" i="84" s="1"/>
  <c r="D59" i="79"/>
  <c r="C61" i="84" s="1"/>
  <c r="D121" i="79"/>
  <c r="C123" i="84" s="1"/>
  <c r="D63" i="79"/>
  <c r="C65" i="84" s="1"/>
  <c r="H87" i="79"/>
  <c r="E89" i="84" s="1"/>
  <c r="F257" i="183"/>
  <c r="H35" i="79"/>
  <c r="E37" i="84" s="1"/>
  <c r="Y114" i="180"/>
  <c r="D252" i="183"/>
  <c r="E255" i="94"/>
  <c r="F168" i="183"/>
  <c r="C15" i="183"/>
  <c r="D18" i="94"/>
  <c r="F18" i="92"/>
  <c r="D28" i="94"/>
  <c r="F28" i="92"/>
  <c r="C25" i="183"/>
  <c r="C9" i="94"/>
  <c r="B6" i="183"/>
  <c r="U76" i="88"/>
  <c r="S74" i="180"/>
  <c r="I91" i="180"/>
  <c r="Z123" i="180"/>
  <c r="AA123" i="180" s="1"/>
  <c r="Z119" i="180"/>
  <c r="AA119" i="180" s="1"/>
  <c r="Z121" i="88"/>
  <c r="D64" i="183"/>
  <c r="E67" i="94"/>
  <c r="V82" i="180"/>
  <c r="W82" i="180" s="1"/>
  <c r="K84" i="79"/>
  <c r="D51" i="183"/>
  <c r="E54" i="94"/>
  <c r="D62" i="183"/>
  <c r="E65" i="94"/>
  <c r="E147" i="94"/>
  <c r="D144" i="183"/>
  <c r="F221" i="183"/>
  <c r="V88" i="180"/>
  <c r="W88" i="180" s="1"/>
  <c r="K90" i="79"/>
  <c r="O93" i="93"/>
  <c r="G208" i="95"/>
  <c r="D36" i="183"/>
  <c r="E39" i="94"/>
  <c r="G232" i="95"/>
  <c r="G95" i="95"/>
  <c r="V54" i="180"/>
  <c r="W54" i="180" s="1"/>
  <c r="K56" i="79"/>
  <c r="B256" i="183"/>
  <c r="C259" i="94"/>
  <c r="D241" i="183"/>
  <c r="E244" i="94"/>
  <c r="X123" i="180"/>
  <c r="Y123" i="180" s="1"/>
  <c r="V29" i="180"/>
  <c r="K31" i="79"/>
  <c r="V65" i="180"/>
  <c r="W65" i="180" s="1"/>
  <c r="K67" i="79"/>
  <c r="E18" i="94"/>
  <c r="D15" i="183"/>
  <c r="Q40" i="93"/>
  <c r="Z99" i="180"/>
  <c r="AA99" i="180" s="1"/>
  <c r="Z101" i="88"/>
  <c r="C174" i="183"/>
  <c r="D177" i="94"/>
  <c r="F177" i="94" s="1"/>
  <c r="F177" i="92"/>
  <c r="H78" i="79"/>
  <c r="E80" i="84" s="1"/>
  <c r="C81" i="183"/>
  <c r="D84" i="94"/>
  <c r="F84" i="92"/>
  <c r="S97" i="180"/>
  <c r="U99" i="88"/>
  <c r="D192" i="94"/>
  <c r="F192" i="92"/>
  <c r="C189" i="183"/>
  <c r="C21" i="94"/>
  <c r="B18" i="183"/>
  <c r="F172" i="183"/>
  <c r="H67" i="79"/>
  <c r="E69" i="84" s="1"/>
  <c r="W36" i="180"/>
  <c r="S82" i="180"/>
  <c r="U84" i="88"/>
  <c r="D166" i="94"/>
  <c r="F166" i="94" s="1"/>
  <c r="C163" i="183"/>
  <c r="F166" i="92"/>
  <c r="W68" i="180"/>
  <c r="O68" i="180"/>
  <c r="Z42" i="180"/>
  <c r="Z44" i="88"/>
  <c r="Z86" i="180"/>
  <c r="AA86" i="180" s="1"/>
  <c r="Z88" i="88"/>
  <c r="D145" i="183"/>
  <c r="E148" i="94"/>
  <c r="F173" i="183"/>
  <c r="H75" i="79"/>
  <c r="E77" i="84" s="1"/>
  <c r="Q183" i="93"/>
  <c r="V75" i="180"/>
  <c r="W75" i="180" s="1"/>
  <c r="K77" i="79"/>
  <c r="V78" i="180"/>
  <c r="W78" i="180" s="1"/>
  <c r="K80" i="79"/>
  <c r="F174" i="94"/>
  <c r="K119" i="79"/>
  <c r="V117" i="180"/>
  <c r="W117" i="180" s="1"/>
  <c r="X36" i="90"/>
  <c r="G33" i="180"/>
  <c r="C228" i="183"/>
  <c r="D231" i="94"/>
  <c r="C183" i="94"/>
  <c r="B180" i="183"/>
  <c r="Z113" i="180"/>
  <c r="AA113" i="180" s="1"/>
  <c r="Z115" i="88"/>
  <c r="V10" i="180"/>
  <c r="W10" i="180" s="1"/>
  <c r="K12" i="79"/>
  <c r="V56" i="180"/>
  <c r="W56" i="180" s="1"/>
  <c r="K58" i="79"/>
  <c r="N76" i="157"/>
  <c r="G76" i="82" s="1"/>
  <c r="L81" i="157"/>
  <c r="N81" i="157" s="1"/>
  <c r="G81" i="82" s="1"/>
  <c r="Q79" i="180"/>
  <c r="Q62" i="180"/>
  <c r="Z27" i="180"/>
  <c r="AA27" i="180" s="1"/>
  <c r="Z29" i="88"/>
  <c r="Q51" i="180"/>
  <c r="E268" i="94"/>
  <c r="D265" i="183"/>
  <c r="G226" i="95"/>
  <c r="D60" i="183"/>
  <c r="E63" i="94"/>
  <c r="E227" i="94"/>
  <c r="D224" i="183"/>
  <c r="G240" i="95"/>
  <c r="D37" i="183"/>
  <c r="E40" i="94"/>
  <c r="G132" i="183"/>
  <c r="I132" i="183" s="1"/>
  <c r="L132" i="183" s="1"/>
  <c r="M135" i="92"/>
  <c r="B222" i="183"/>
  <c r="C225" i="94"/>
  <c r="G111" i="95"/>
  <c r="B26" i="183"/>
  <c r="C29" i="94"/>
  <c r="O192" i="93"/>
  <c r="C50" i="94"/>
  <c r="B47" i="183"/>
  <c r="X58" i="180"/>
  <c r="Y58" i="180" s="1"/>
  <c r="E192" i="95"/>
  <c r="U192" i="93"/>
  <c r="F191" i="182" s="1"/>
  <c r="O262" i="93"/>
  <c r="B261" i="182"/>
  <c r="N114" i="86"/>
  <c r="G84" i="95"/>
  <c r="K93" i="157"/>
  <c r="E93" i="82" s="1"/>
  <c r="I126" i="157"/>
  <c r="K126" i="157" s="1"/>
  <c r="E126" i="82" s="1"/>
  <c r="F90" i="82" s="1"/>
  <c r="O169" i="93"/>
  <c r="H53" i="79"/>
  <c r="E55" i="84" s="1"/>
  <c r="Z107" i="180"/>
  <c r="AA107" i="180" s="1"/>
  <c r="Z109" i="88"/>
  <c r="U102" i="88"/>
  <c r="U194" i="93"/>
  <c r="F193" i="182" s="1"/>
  <c r="F67" i="92"/>
  <c r="C64" i="183"/>
  <c r="D67" i="94"/>
  <c r="C169" i="94"/>
  <c r="B166" i="183"/>
  <c r="W99" i="180"/>
  <c r="N46" i="180"/>
  <c r="I48" i="79"/>
  <c r="D266" i="94"/>
  <c r="F266" i="92"/>
  <c r="C263" i="183"/>
  <c r="C61" i="183"/>
  <c r="F64" i="92"/>
  <c r="D64" i="94"/>
  <c r="D146" i="183"/>
  <c r="E149" i="94"/>
  <c r="E178" i="94"/>
  <c r="F178" i="94" s="1"/>
  <c r="D175" i="183"/>
  <c r="Z55" i="180"/>
  <c r="AA55" i="180" s="1"/>
  <c r="Z57" i="88"/>
  <c r="O41" i="180"/>
  <c r="Z50" i="180"/>
  <c r="AA50" i="180" s="1"/>
  <c r="Z52" i="88"/>
  <c r="Q44" i="157"/>
  <c r="I44" i="82" s="1"/>
  <c r="P48" i="157"/>
  <c r="F64" i="88"/>
  <c r="Q59" i="157"/>
  <c r="I59" i="82" s="1"/>
  <c r="Q88" i="157"/>
  <c r="I88" i="82" s="1"/>
  <c r="O178" i="93"/>
  <c r="H40" i="79"/>
  <c r="E42" i="84" s="1"/>
  <c r="C149" i="94"/>
  <c r="B146" i="183"/>
  <c r="H48" i="79"/>
  <c r="E50" i="84" s="1"/>
  <c r="B149" i="183"/>
  <c r="C152" i="94"/>
  <c r="C22" i="94"/>
  <c r="B19" i="183"/>
  <c r="F163" i="94"/>
  <c r="D45" i="79"/>
  <c r="C47" i="84" s="1"/>
  <c r="C265" i="94"/>
  <c r="B262" i="183"/>
  <c r="C89" i="183"/>
  <c r="D92" i="94"/>
  <c r="H72" i="79"/>
  <c r="E74" i="84" s="1"/>
  <c r="W106" i="180"/>
  <c r="K124" i="79"/>
  <c r="V122" i="180"/>
  <c r="W122" i="180" s="1"/>
  <c r="Q182" i="93"/>
  <c r="Z44" i="90"/>
  <c r="J41" i="180"/>
  <c r="K41" i="180" s="1"/>
  <c r="H99" i="79"/>
  <c r="E101" i="84" s="1"/>
  <c r="Z123" i="90"/>
  <c r="J120" i="180"/>
  <c r="K120" i="180" s="1"/>
  <c r="Q61" i="157"/>
  <c r="I61" i="82" s="1"/>
  <c r="W21" i="180"/>
  <c r="F102" i="88"/>
  <c r="Z103" i="90"/>
  <c r="J100" i="180"/>
  <c r="K100" i="180" s="1"/>
  <c r="C247" i="183"/>
  <c r="D250" i="94"/>
  <c r="C196" i="183"/>
  <c r="D199" i="94"/>
  <c r="Z28" i="180"/>
  <c r="AA28" i="180" s="1"/>
  <c r="Z30" i="88"/>
  <c r="E58" i="94"/>
  <c r="D55" i="183"/>
  <c r="D222" i="183"/>
  <c r="E225" i="94"/>
  <c r="K125" i="79"/>
  <c r="V123" i="180"/>
  <c r="W123" i="180" s="1"/>
  <c r="G239" i="95"/>
  <c r="G258" i="183"/>
  <c r="G229" i="95"/>
  <c r="E37" i="94"/>
  <c r="D34" i="183"/>
  <c r="B223" i="183"/>
  <c r="C226" i="94"/>
  <c r="B128" i="183"/>
  <c r="C131" i="94"/>
  <c r="V58" i="180"/>
  <c r="K60" i="79"/>
  <c r="S108" i="180"/>
  <c r="U110" i="88"/>
  <c r="G126" i="183"/>
  <c r="I126" i="183" s="1"/>
  <c r="L126" i="183" s="1"/>
  <c r="M129" i="92"/>
  <c r="G9" i="2"/>
  <c r="W127" i="90"/>
  <c r="D25" i="183"/>
  <c r="E28" i="94"/>
  <c r="C211" i="94"/>
  <c r="B208" i="183"/>
  <c r="B257" i="183"/>
  <c r="C260" i="94"/>
  <c r="D19" i="94"/>
  <c r="C16" i="183"/>
  <c r="J79" i="180"/>
  <c r="K79" i="180" s="1"/>
  <c r="Z82" i="90"/>
  <c r="C250" i="183"/>
  <c r="D253" i="94"/>
  <c r="O161" i="93"/>
  <c r="B160" i="182"/>
  <c r="N88" i="86"/>
  <c r="S95" i="180"/>
  <c r="W94" i="90"/>
  <c r="P93" i="88"/>
  <c r="E194" i="95"/>
  <c r="G194" i="95"/>
  <c r="F73" i="92"/>
  <c r="C70" i="183"/>
  <c r="D73" i="94"/>
  <c r="H116" i="79"/>
  <c r="E118" i="84" s="1"/>
  <c r="Z45" i="180"/>
  <c r="AA45" i="180" s="1"/>
  <c r="Z47" i="88"/>
  <c r="F228" i="92"/>
  <c r="C225" i="183"/>
  <c r="D228" i="94"/>
  <c r="F228" i="94" s="1"/>
  <c r="C251" i="183"/>
  <c r="D254" i="94"/>
  <c r="W95" i="180"/>
  <c r="Q57" i="157"/>
  <c r="I57" i="82" s="1"/>
  <c r="W59" i="180"/>
  <c r="D169" i="183"/>
  <c r="E172" i="94"/>
  <c r="U160" i="93"/>
  <c r="F159" i="182" s="1"/>
  <c r="H69" i="79"/>
  <c r="E71" i="84" s="1"/>
  <c r="S57" i="180"/>
  <c r="U59" i="88"/>
  <c r="O189" i="93"/>
  <c r="Z118" i="180"/>
  <c r="AA118" i="180" s="1"/>
  <c r="Z120" i="88"/>
  <c r="F48" i="88"/>
  <c r="X49" i="90"/>
  <c r="G46" i="180"/>
  <c r="F189" i="92"/>
  <c r="C186" i="183"/>
  <c r="D189" i="94"/>
  <c r="F168" i="92"/>
  <c r="C165" i="183"/>
  <c r="D168" i="94"/>
  <c r="F168" i="94" s="1"/>
  <c r="O85" i="180"/>
  <c r="Z41" i="90"/>
  <c r="J38" i="180"/>
  <c r="K38" i="180" s="1"/>
  <c r="V31" i="180"/>
  <c r="W31" i="180" s="1"/>
  <c r="K33" i="79"/>
  <c r="Z73" i="90"/>
  <c r="J70" i="180"/>
  <c r="K70" i="180" s="1"/>
  <c r="X73" i="90"/>
  <c r="G70" i="180"/>
  <c r="B269" i="183"/>
  <c r="C272" i="94"/>
  <c r="Z44" i="180"/>
  <c r="AA44" i="180" s="1"/>
  <c r="Z46" i="88"/>
  <c r="Z38" i="88"/>
  <c r="Z36" i="180"/>
  <c r="AA36" i="180" s="1"/>
  <c r="D35" i="79"/>
  <c r="C37" i="84" s="1"/>
  <c r="S59" i="180"/>
  <c r="U61" i="88"/>
  <c r="C126" i="183"/>
  <c r="D129" i="94"/>
  <c r="F129" i="94" s="1"/>
  <c r="F129" i="92"/>
  <c r="Y29" i="180"/>
  <c r="Z114" i="88"/>
  <c r="Z112" i="180"/>
  <c r="AA112" i="180" s="1"/>
  <c r="D259" i="183"/>
  <c r="E262" i="94"/>
  <c r="F228" i="183"/>
  <c r="F231" i="92"/>
  <c r="Q79" i="157"/>
  <c r="I79" i="82" s="1"/>
  <c r="Q80" i="157"/>
  <c r="I80" i="82" s="1"/>
  <c r="V85" i="180"/>
  <c r="W85" i="180" s="1"/>
  <c r="K87" i="79"/>
  <c r="Z85" i="180"/>
  <c r="AA85" i="180" s="1"/>
  <c r="Z87" i="88"/>
  <c r="G238" i="95"/>
  <c r="D30" i="183"/>
  <c r="E33" i="94"/>
  <c r="G228" i="95"/>
  <c r="D32" i="183"/>
  <c r="E35" i="94"/>
  <c r="O30" i="93"/>
  <c r="B29" i="182"/>
  <c r="N22" i="86"/>
  <c r="B224" i="183"/>
  <c r="C227" i="94"/>
  <c r="B241" i="183"/>
  <c r="C244" i="94"/>
  <c r="D85" i="183"/>
  <c r="E88" i="94"/>
  <c r="D81" i="183"/>
  <c r="E84" i="94"/>
  <c r="D230" i="183"/>
  <c r="E233" i="94"/>
  <c r="Q24" i="93"/>
  <c r="G71" i="95"/>
  <c r="Z21" i="180"/>
  <c r="AA21" i="180" s="1"/>
  <c r="Z23" i="88"/>
  <c r="V13" i="180"/>
  <c r="W13" i="180" s="1"/>
  <c r="K15" i="79"/>
  <c r="K120" i="79"/>
  <c r="V118" i="180"/>
  <c r="W118" i="180" s="1"/>
  <c r="F130" i="92"/>
  <c r="C127" i="183"/>
  <c r="D130" i="94"/>
  <c r="S20" i="180"/>
  <c r="C77" i="183"/>
  <c r="D80" i="94"/>
  <c r="F80" i="92"/>
  <c r="S76" i="180"/>
  <c r="H81" i="79"/>
  <c r="E83" i="84" s="1"/>
  <c r="D251" i="94"/>
  <c r="C248" i="183"/>
  <c r="Z57" i="90"/>
  <c r="J54" i="180"/>
  <c r="K54" i="180" s="1"/>
  <c r="Z68" i="90"/>
  <c r="J65" i="180"/>
  <c r="K65" i="180" s="1"/>
  <c r="D165" i="94"/>
  <c r="F165" i="94" s="1"/>
  <c r="F165" i="92"/>
  <c r="C162" i="183"/>
  <c r="Z20" i="180"/>
  <c r="AA20" i="180" s="1"/>
  <c r="Z22" i="88"/>
  <c r="W69" i="180"/>
  <c r="O69" i="180"/>
  <c r="D22" i="94"/>
  <c r="C19" i="183"/>
  <c r="D180" i="183"/>
  <c r="E183" i="94"/>
  <c r="H43" i="79"/>
  <c r="E45" i="84" s="1"/>
  <c r="F161" i="183"/>
  <c r="N38" i="180"/>
  <c r="O38" i="180" s="1"/>
  <c r="I40" i="79"/>
  <c r="D181" i="94"/>
  <c r="F181" i="94" s="1"/>
  <c r="F181" i="92"/>
  <c r="C178" i="183"/>
  <c r="N77" i="180"/>
  <c r="O77" i="180" s="1"/>
  <c r="I79" i="79"/>
  <c r="I46" i="180"/>
  <c r="C249" i="183"/>
  <c r="D252" i="94"/>
  <c r="Q185" i="93"/>
  <c r="H110" i="79"/>
  <c r="E112" i="84" s="1"/>
  <c r="U191" i="93"/>
  <c r="F190" i="182" s="1"/>
  <c r="U119" i="88"/>
  <c r="S117" i="180"/>
  <c r="G182" i="95"/>
  <c r="X103" i="90"/>
  <c r="G100" i="180"/>
  <c r="S44" i="180"/>
  <c r="F158" i="94"/>
  <c r="Z105" i="180"/>
  <c r="AA105" i="180" s="1"/>
  <c r="Z107" i="88"/>
  <c r="N58" i="180"/>
  <c r="O58" i="180" s="1"/>
  <c r="I60" i="79"/>
  <c r="Q46" i="157"/>
  <c r="I46" i="82" s="1"/>
  <c r="O48" i="157"/>
  <c r="Q38" i="157"/>
  <c r="I38" i="82" s="1"/>
  <c r="O40" i="157"/>
  <c r="Q40" i="157" s="1"/>
  <c r="I40" i="82" s="1"/>
  <c r="Z37" i="180"/>
  <c r="AA37" i="180" s="1"/>
  <c r="Z39" i="88"/>
  <c r="O73" i="180"/>
  <c r="Q252" i="93"/>
  <c r="Q46" i="180"/>
  <c r="Q214" i="93"/>
  <c r="Q219" i="93"/>
  <c r="Q43" i="93"/>
  <c r="Q42" i="93"/>
  <c r="F20" i="92"/>
  <c r="F83" i="92"/>
  <c r="F267" i="183"/>
  <c r="F6" i="183"/>
  <c r="F226" i="183"/>
  <c r="F227" i="183"/>
  <c r="F30" i="183"/>
  <c r="F34" i="183"/>
  <c r="F29" i="183"/>
  <c r="F38" i="183"/>
  <c r="F32" i="183"/>
  <c r="F28" i="183"/>
  <c r="F52" i="183"/>
  <c r="F36" i="183"/>
  <c r="F33" i="183"/>
  <c r="F229" i="183"/>
  <c r="F37" i="183"/>
  <c r="X76" i="180"/>
  <c r="Y76" i="180" s="1"/>
  <c r="F224" i="183"/>
  <c r="F222" i="183"/>
  <c r="F223" i="183"/>
  <c r="F61" i="183"/>
  <c r="F60" i="183"/>
  <c r="F54" i="183"/>
  <c r="F55" i="183"/>
  <c r="F51" i="183"/>
  <c r="F259" i="183"/>
  <c r="R167" i="93" l="1"/>
  <c r="D188" i="182"/>
  <c r="D261" i="182"/>
  <c r="D166" i="182"/>
  <c r="D29" i="182"/>
  <c r="D160" i="182"/>
  <c r="D191" i="182"/>
  <c r="D136" i="182"/>
  <c r="D185" i="182"/>
  <c r="D18" i="182"/>
  <c r="S88" i="180"/>
  <c r="F73" i="94"/>
  <c r="W29" i="180"/>
  <c r="F189" i="94"/>
  <c r="Q48" i="157"/>
  <c r="I48" i="82" s="1"/>
  <c r="Z15" i="88"/>
  <c r="I175" i="183"/>
  <c r="L175" i="183" s="1"/>
  <c r="O91" i="180"/>
  <c r="F130" i="94"/>
  <c r="F126" i="88"/>
  <c r="F192" i="94"/>
  <c r="P126" i="157"/>
  <c r="I124" i="180"/>
  <c r="F135" i="94"/>
  <c r="C231" i="183"/>
  <c r="O93" i="157"/>
  <c r="Q93" i="157" s="1"/>
  <c r="I93" i="82" s="1"/>
  <c r="I181" i="183"/>
  <c r="L181" i="183" s="1"/>
  <c r="F266" i="94"/>
  <c r="F64" i="94"/>
  <c r="F67" i="94"/>
  <c r="H191" i="95"/>
  <c r="D235" i="94"/>
  <c r="G237" i="95"/>
  <c r="F93" i="82"/>
  <c r="E95" i="83" s="1"/>
  <c r="Q247" i="93"/>
  <c r="D175" i="94"/>
  <c r="F175" i="94" s="1"/>
  <c r="C172" i="183"/>
  <c r="H194" i="95"/>
  <c r="Q236" i="93"/>
  <c r="F164" i="92"/>
  <c r="C161" i="183"/>
  <c r="D164" i="94"/>
  <c r="F164" i="94" s="1"/>
  <c r="S38" i="180"/>
  <c r="G247" i="95"/>
  <c r="F245" i="92"/>
  <c r="D167" i="94"/>
  <c r="F167" i="94" s="1"/>
  <c r="F167" i="92"/>
  <c r="C164" i="183"/>
  <c r="F18" i="94"/>
  <c r="M184" i="92"/>
  <c r="D176" i="94"/>
  <c r="F176" i="94" s="1"/>
  <c r="F176" i="92"/>
  <c r="C173" i="183"/>
  <c r="O183" i="93"/>
  <c r="O166" i="93"/>
  <c r="O185" i="93"/>
  <c r="O74" i="93"/>
  <c r="D149" i="183"/>
  <c r="E152" i="94"/>
  <c r="Q107" i="93"/>
  <c r="Z105" i="88"/>
  <c r="Z103" i="180"/>
  <c r="AA103" i="180" s="1"/>
  <c r="F226" i="92"/>
  <c r="C223" i="183"/>
  <c r="D226" i="94"/>
  <c r="D258" i="183"/>
  <c r="E261" i="94"/>
  <c r="F261" i="94" s="1"/>
  <c r="Z119" i="88"/>
  <c r="Z117" i="180"/>
  <c r="AA117" i="180" s="1"/>
  <c r="J124" i="180"/>
  <c r="K124" i="180" s="1"/>
  <c r="Z127" i="90"/>
  <c r="F227" i="92"/>
  <c r="C224" i="183"/>
  <c r="D227" i="94"/>
  <c r="F227" i="94" s="1"/>
  <c r="F260" i="92"/>
  <c r="D260" i="94"/>
  <c r="C257" i="183"/>
  <c r="F174" i="183"/>
  <c r="D229" i="183"/>
  <c r="E232" i="94"/>
  <c r="F232" i="94" s="1"/>
  <c r="V108" i="180"/>
  <c r="W108" i="180" s="1"/>
  <c r="K110" i="79"/>
  <c r="E160" i="95"/>
  <c r="F229" i="92"/>
  <c r="C226" i="183"/>
  <c r="D229" i="94"/>
  <c r="C204" i="183"/>
  <c r="D207" i="94"/>
  <c r="E136" i="95"/>
  <c r="F233" i="94"/>
  <c r="W97" i="180"/>
  <c r="B273" i="182"/>
  <c r="Q51" i="157"/>
  <c r="I51" i="82" s="1"/>
  <c r="O53" i="157"/>
  <c r="Q53" i="157" s="1"/>
  <c r="I53" i="82" s="1"/>
  <c r="F177" i="183"/>
  <c r="F176" i="183"/>
  <c r="N76" i="180"/>
  <c r="O76" i="180" s="1"/>
  <c r="I78" i="79"/>
  <c r="F133" i="183"/>
  <c r="F125" i="183"/>
  <c r="B184" i="183"/>
  <c r="C187" i="94"/>
  <c r="U131" i="93"/>
  <c r="F130" i="182" s="1"/>
  <c r="S57" i="86"/>
  <c r="V51" i="180"/>
  <c r="W51" i="180" s="1"/>
  <c r="K53" i="79"/>
  <c r="G274" i="95"/>
  <c r="Q110" i="93"/>
  <c r="O232" i="93"/>
  <c r="Q114" i="93"/>
  <c r="Q105" i="93"/>
  <c r="D242" i="183"/>
  <c r="E245" i="94"/>
  <c r="B27" i="183"/>
  <c r="C30" i="94"/>
  <c r="N11" i="180"/>
  <c r="O11" i="180" s="1"/>
  <c r="I13" i="79"/>
  <c r="D86" i="183"/>
  <c r="E89" i="94"/>
  <c r="C82" i="94"/>
  <c r="B79" i="183"/>
  <c r="B236" i="183"/>
  <c r="C239" i="94"/>
  <c r="Q254" i="93"/>
  <c r="X191" i="93"/>
  <c r="Q105" i="157"/>
  <c r="I105" i="82" s="1"/>
  <c r="O110" i="157"/>
  <c r="Q110" i="157" s="1"/>
  <c r="I110" i="82" s="1"/>
  <c r="F128" i="183"/>
  <c r="Z78" i="180"/>
  <c r="AA78" i="180" s="1"/>
  <c r="Z80" i="88"/>
  <c r="D264" i="183"/>
  <c r="E267" i="94"/>
  <c r="O122" i="157"/>
  <c r="Q122" i="157" s="1"/>
  <c r="I122" i="82" s="1"/>
  <c r="Q119" i="157"/>
  <c r="I119" i="82" s="1"/>
  <c r="G32" i="95"/>
  <c r="B131" i="183"/>
  <c r="C134" i="94"/>
  <c r="F9" i="174"/>
  <c r="F9" i="2"/>
  <c r="I8" i="77"/>
  <c r="I12" i="77" s="1"/>
  <c r="I14" i="77" s="1"/>
  <c r="S100" i="180"/>
  <c r="F42" i="82"/>
  <c r="F117" i="82"/>
  <c r="F108" i="82"/>
  <c r="F83" i="82"/>
  <c r="F21" i="82"/>
  <c r="F126" i="82"/>
  <c r="F14" i="82"/>
  <c r="F116" i="82"/>
  <c r="F33" i="82"/>
  <c r="F18" i="82"/>
  <c r="F115" i="82"/>
  <c r="F81" i="82"/>
  <c r="F73" i="82"/>
  <c r="F56" i="82"/>
  <c r="F118" i="82"/>
  <c r="F45" i="82"/>
  <c r="F67" i="82"/>
  <c r="F34" i="82"/>
  <c r="F51" i="82"/>
  <c r="F63" i="82"/>
  <c r="F46" i="82"/>
  <c r="F32" i="82"/>
  <c r="F58" i="82"/>
  <c r="F79" i="82"/>
  <c r="F38" i="82"/>
  <c r="F77" i="82"/>
  <c r="F74" i="82"/>
  <c r="F86" i="82"/>
  <c r="F27" i="82"/>
  <c r="F101" i="82"/>
  <c r="F23" i="82"/>
  <c r="F91" i="82"/>
  <c r="F68" i="82"/>
  <c r="F55" i="82"/>
  <c r="F114" i="82"/>
  <c r="F20" i="82"/>
  <c r="F31" i="82"/>
  <c r="F100" i="82"/>
  <c r="F53" i="82"/>
  <c r="F96" i="82"/>
  <c r="F22" i="82"/>
  <c r="F82" i="82"/>
  <c r="F65" i="82"/>
  <c r="F111" i="82"/>
  <c r="F94" i="82"/>
  <c r="F37" i="82"/>
  <c r="G39" i="80" s="1"/>
  <c r="F43" i="82"/>
  <c r="F121" i="82"/>
  <c r="F120" i="82"/>
  <c r="F39" i="82"/>
  <c r="F62" i="82"/>
  <c r="F28" i="82"/>
  <c r="F52" i="82"/>
  <c r="F48" i="82"/>
  <c r="F70" i="82"/>
  <c r="F49" i="82"/>
  <c r="F60" i="82"/>
  <c r="F89" i="82"/>
  <c r="F124" i="82"/>
  <c r="F59" i="82"/>
  <c r="F17" i="82"/>
  <c r="F110" i="82"/>
  <c r="F99" i="82"/>
  <c r="F29" i="82"/>
  <c r="F85" i="82"/>
  <c r="F61" i="82"/>
  <c r="F75" i="82"/>
  <c r="F16" i="82"/>
  <c r="F103" i="82"/>
  <c r="F80" i="82"/>
  <c r="F26" i="82"/>
  <c r="G28" i="80" s="1"/>
  <c r="F105" i="82"/>
  <c r="F71" i="82"/>
  <c r="F84" i="82"/>
  <c r="F122" i="82"/>
  <c r="F66" i="82"/>
  <c r="F41" i="82"/>
  <c r="F95" i="82"/>
  <c r="F78" i="82"/>
  <c r="F36" i="82"/>
  <c r="G38" i="80" s="1"/>
  <c r="F19" i="82"/>
  <c r="F98" i="82"/>
  <c r="F12" i="82"/>
  <c r="F15" i="82"/>
  <c r="F119" i="82"/>
  <c r="F97" i="82"/>
  <c r="F88" i="82"/>
  <c r="F64" i="82"/>
  <c r="F35" i="82"/>
  <c r="F72" i="82"/>
  <c r="F50" i="82"/>
  <c r="F25" i="82"/>
  <c r="G27" i="80" s="1"/>
  <c r="F87" i="82"/>
  <c r="F54" i="82"/>
  <c r="F123" i="82"/>
  <c r="F109" i="82"/>
  <c r="F125" i="82"/>
  <c r="F57" i="82"/>
  <c r="F47" i="82"/>
  <c r="F13" i="82"/>
  <c r="F76" i="82"/>
  <c r="F107" i="82"/>
  <c r="F44" i="82"/>
  <c r="F102" i="82"/>
  <c r="F112" i="82"/>
  <c r="F113" i="82"/>
  <c r="F92" i="82"/>
  <c r="F40" i="82"/>
  <c r="F104" i="82"/>
  <c r="F30" i="82"/>
  <c r="F24" i="82"/>
  <c r="F69" i="82"/>
  <c r="F106" i="82"/>
  <c r="C106" i="183"/>
  <c r="D109" i="94"/>
  <c r="W77" i="180"/>
  <c r="S73" i="180"/>
  <c r="U75" i="88"/>
  <c r="B92" i="182"/>
  <c r="Z125" i="88"/>
  <c r="G28" i="82"/>
  <c r="F183" i="92"/>
  <c r="C180" i="183"/>
  <c r="D183" i="94"/>
  <c r="F183" i="94" s="1"/>
  <c r="G163" i="183"/>
  <c r="I163" i="183" s="1"/>
  <c r="L163" i="183" s="1"/>
  <c r="M166" i="92"/>
  <c r="N33" i="180"/>
  <c r="O33" i="180" s="1"/>
  <c r="I35" i="79"/>
  <c r="D273" i="182"/>
  <c r="R274" i="93"/>
  <c r="O108" i="180"/>
  <c r="B225" i="183"/>
  <c r="C228" i="94"/>
  <c r="G179" i="183"/>
  <c r="I179" i="183" s="1"/>
  <c r="L179" i="183" s="1"/>
  <c r="M182" i="92"/>
  <c r="C65" i="183"/>
  <c r="D68" i="94"/>
  <c r="Z88" i="180"/>
  <c r="AA88" i="180" s="1"/>
  <c r="Z90" i="88"/>
  <c r="D69" i="183"/>
  <c r="E72" i="94"/>
  <c r="Q116" i="93"/>
  <c r="O153" i="93"/>
  <c r="B152" i="182"/>
  <c r="N79" i="86"/>
  <c r="E250" i="94"/>
  <c r="F250" i="94" s="1"/>
  <c r="D247" i="183"/>
  <c r="B152" i="183"/>
  <c r="C155" i="94"/>
  <c r="E155" i="94"/>
  <c r="D152" i="183"/>
  <c r="Q124" i="93"/>
  <c r="Q113" i="93"/>
  <c r="Q104" i="93"/>
  <c r="Q97" i="93"/>
  <c r="E21" i="94"/>
  <c r="F21" i="94" s="1"/>
  <c r="D18" i="183"/>
  <c r="F127" i="183"/>
  <c r="B67" i="183"/>
  <c r="C70" i="94"/>
  <c r="G14" i="183"/>
  <c r="D87" i="183"/>
  <c r="E90" i="94"/>
  <c r="G127" i="183"/>
  <c r="G242" i="95"/>
  <c r="Q253" i="93"/>
  <c r="E131" i="94"/>
  <c r="D128" i="183"/>
  <c r="C28" i="94"/>
  <c r="B25" i="183"/>
  <c r="F270" i="92"/>
  <c r="C267" i="183"/>
  <c r="D270" i="94"/>
  <c r="E180" i="95"/>
  <c r="H180" i="95" s="1"/>
  <c r="O64" i="157"/>
  <c r="Q64" i="157" s="1"/>
  <c r="I64" i="82" s="1"/>
  <c r="O160" i="93"/>
  <c r="B159" i="182"/>
  <c r="G40" i="95"/>
  <c r="B137" i="183"/>
  <c r="C140" i="94"/>
  <c r="S114" i="180"/>
  <c r="U116" i="88"/>
  <c r="Z96" i="88"/>
  <c r="Z94" i="180"/>
  <c r="AA94" i="180" s="1"/>
  <c r="F250" i="92"/>
  <c r="B127" i="183"/>
  <c r="C130" i="94"/>
  <c r="G178" i="183"/>
  <c r="I178" i="183" s="1"/>
  <c r="L178" i="183" s="1"/>
  <c r="M181" i="92"/>
  <c r="O46" i="180"/>
  <c r="F190" i="92"/>
  <c r="C187" i="183"/>
  <c r="D190" i="94"/>
  <c r="O195" i="93"/>
  <c r="X127" i="90"/>
  <c r="G124" i="180"/>
  <c r="N62" i="180"/>
  <c r="O62" i="180" s="1"/>
  <c r="I64" i="79"/>
  <c r="C203" i="183"/>
  <c r="D206" i="94"/>
  <c r="D92" i="182"/>
  <c r="R93" i="93"/>
  <c r="D125" i="183"/>
  <c r="E128" i="94"/>
  <c r="O92" i="93"/>
  <c r="D227" i="183"/>
  <c r="E230" i="94"/>
  <c r="F149" i="94"/>
  <c r="Z26" i="180"/>
  <c r="AA26" i="180" s="1"/>
  <c r="Z28" i="88"/>
  <c r="S54" i="180"/>
  <c r="U56" i="88"/>
  <c r="Z111" i="180"/>
  <c r="AA111" i="180" s="1"/>
  <c r="Z113" i="88"/>
  <c r="K25" i="180"/>
  <c r="S25" i="180"/>
  <c r="B166" i="182"/>
  <c r="D148" i="183"/>
  <c r="E151" i="94"/>
  <c r="D269" i="183"/>
  <c r="E272" i="94"/>
  <c r="B262" i="182"/>
  <c r="O263" i="93"/>
  <c r="N115" i="86"/>
  <c r="O244" i="93"/>
  <c r="O86" i="93"/>
  <c r="B85" i="182"/>
  <c r="N47" i="86"/>
  <c r="O22" i="93"/>
  <c r="O233" i="93"/>
  <c r="Q123" i="93"/>
  <c r="Q103" i="93"/>
  <c r="Q119" i="93"/>
  <c r="Q100" i="93"/>
  <c r="B31" i="183"/>
  <c r="C34" i="94"/>
  <c r="D17" i="183"/>
  <c r="E20" i="94"/>
  <c r="F20" i="94" s="1"/>
  <c r="D49" i="183"/>
  <c r="E52" i="94"/>
  <c r="B209" i="183"/>
  <c r="C212" i="94"/>
  <c r="G101" i="95"/>
  <c r="B60" i="183"/>
  <c r="C63" i="94"/>
  <c r="E91" i="94"/>
  <c r="D88" i="183"/>
  <c r="Q204" i="93"/>
  <c r="O132" i="93"/>
  <c r="B131" i="182"/>
  <c r="N58" i="86"/>
  <c r="G245" i="95"/>
  <c r="C55" i="94"/>
  <c r="B52" i="183"/>
  <c r="F180" i="92"/>
  <c r="C177" i="183"/>
  <c r="D180" i="94"/>
  <c r="F180" i="94" s="1"/>
  <c r="F47" i="92"/>
  <c r="C44" i="183"/>
  <c r="D47" i="94"/>
  <c r="F47" i="94" s="1"/>
  <c r="Z77" i="180"/>
  <c r="AA77" i="180" s="1"/>
  <c r="Z79" i="88"/>
  <c r="G36" i="95"/>
  <c r="Z75" i="88"/>
  <c r="Z73" i="180"/>
  <c r="D230" i="94"/>
  <c r="C227" i="183"/>
  <c r="F230" i="92"/>
  <c r="D221" i="183"/>
  <c r="E224" i="94"/>
  <c r="B55" i="183"/>
  <c r="C58" i="94"/>
  <c r="B258" i="183"/>
  <c r="C261" i="94"/>
  <c r="E226" i="94"/>
  <c r="D223" i="183"/>
  <c r="D52" i="183"/>
  <c r="E55" i="94"/>
  <c r="D133" i="183"/>
  <c r="E136" i="94"/>
  <c r="B179" i="182"/>
  <c r="B187" i="183"/>
  <c r="C190" i="94"/>
  <c r="C43" i="183"/>
  <c r="F46" i="92"/>
  <c r="D46" i="94"/>
  <c r="F46" i="94" s="1"/>
  <c r="F244" i="94"/>
  <c r="V41" i="180"/>
  <c r="W41" i="180" s="1"/>
  <c r="K43" i="79"/>
  <c r="Q28" i="157"/>
  <c r="U189" i="93"/>
  <c r="F188" i="182" s="1"/>
  <c r="E189" i="95"/>
  <c r="B183" i="182"/>
  <c r="Q113" i="157"/>
  <c r="I113" i="82" s="1"/>
  <c r="O116" i="157"/>
  <c r="Q116" i="157" s="1"/>
  <c r="I116" i="82" s="1"/>
  <c r="C151" i="94"/>
  <c r="B148" i="183"/>
  <c r="F69" i="92"/>
  <c r="B130" i="182"/>
  <c r="O131" i="93"/>
  <c r="N57" i="86"/>
  <c r="G60" i="183"/>
  <c r="I60" i="183" s="1"/>
  <c r="L60" i="183" s="1"/>
  <c r="M63" i="92"/>
  <c r="Q126" i="93"/>
  <c r="Q102" i="93"/>
  <c r="Q118" i="93"/>
  <c r="Q99" i="93"/>
  <c r="B35" i="183"/>
  <c r="C38" i="94"/>
  <c r="D16" i="183"/>
  <c r="E19" i="94"/>
  <c r="F19" i="94" s="1"/>
  <c r="O257" i="93"/>
  <c r="B256" i="182"/>
  <c r="N109" i="86"/>
  <c r="Q41" i="93"/>
  <c r="D48" i="183"/>
  <c r="E51" i="94"/>
  <c r="G106" i="95"/>
  <c r="Q199" i="93"/>
  <c r="E137" i="95"/>
  <c r="G244" i="95"/>
  <c r="C14" i="183"/>
  <c r="D17" i="94"/>
  <c r="C53" i="94"/>
  <c r="B50" i="183"/>
  <c r="F160" i="183"/>
  <c r="C66" i="183"/>
  <c r="D69" i="94"/>
  <c r="F29" i="92"/>
  <c r="C26" i="183"/>
  <c r="D29" i="94"/>
  <c r="F29" i="94" s="1"/>
  <c r="Z100" i="180"/>
  <c r="AA100" i="180" s="1"/>
  <c r="Z102" i="88"/>
  <c r="Z61" i="88"/>
  <c r="Z59" i="180"/>
  <c r="AA59" i="180" s="1"/>
  <c r="B177" i="182"/>
  <c r="O177" i="93"/>
  <c r="I122" i="79"/>
  <c r="N120" i="180"/>
  <c r="F84" i="94"/>
  <c r="D188" i="183"/>
  <c r="E191" i="94"/>
  <c r="F191" i="94" s="1"/>
  <c r="B54" i="183"/>
  <c r="C57" i="94"/>
  <c r="V114" i="180"/>
  <c r="W114" i="180" s="1"/>
  <c r="K116" i="79"/>
  <c r="Z120" i="180"/>
  <c r="Z122" i="88"/>
  <c r="D179" i="182"/>
  <c r="R180" i="93"/>
  <c r="G174" i="183"/>
  <c r="V94" i="180"/>
  <c r="W94" i="180" s="1"/>
  <c r="K96" i="79"/>
  <c r="F261" i="92"/>
  <c r="B226" i="183"/>
  <c r="C229" i="94"/>
  <c r="F134" i="94"/>
  <c r="G197" i="95"/>
  <c r="F232" i="92"/>
  <c r="D183" i="182"/>
  <c r="R184" i="93"/>
  <c r="D171" i="94"/>
  <c r="F171" i="94" s="1"/>
  <c r="C168" i="183"/>
  <c r="F171" i="92"/>
  <c r="O133" i="93"/>
  <c r="B132" i="182"/>
  <c r="N59" i="86"/>
  <c r="C150" i="94"/>
  <c r="B147" i="183"/>
  <c r="E131" i="95"/>
  <c r="D89" i="183"/>
  <c r="E92" i="94"/>
  <c r="F92" i="94" s="1"/>
  <c r="Z76" i="180"/>
  <c r="AA76" i="180" s="1"/>
  <c r="Z78" i="88"/>
  <c r="Z94" i="88"/>
  <c r="B267" i="183"/>
  <c r="C270" i="94"/>
  <c r="O229" i="93"/>
  <c r="G61" i="183"/>
  <c r="I61" i="183" s="1"/>
  <c r="L61" i="183" s="1"/>
  <c r="M64" i="92"/>
  <c r="E263" i="95"/>
  <c r="Q125" i="93"/>
  <c r="Q121" i="93"/>
  <c r="Q98" i="93"/>
  <c r="E86" i="95"/>
  <c r="D19" i="183"/>
  <c r="E22" i="94"/>
  <c r="F22" i="94" s="1"/>
  <c r="C245" i="94"/>
  <c r="B242" i="183"/>
  <c r="E30" i="95"/>
  <c r="B214" i="183"/>
  <c r="C217" i="94"/>
  <c r="G117" i="95"/>
  <c r="G96" i="95"/>
  <c r="B62" i="183"/>
  <c r="C65" i="94"/>
  <c r="Q198" i="93"/>
  <c r="G74" i="95"/>
  <c r="G243" i="95"/>
  <c r="B51" i="183"/>
  <c r="C54" i="94"/>
  <c r="D228" i="183"/>
  <c r="E231" i="94"/>
  <c r="F231" i="94" s="1"/>
  <c r="Z94" i="90"/>
  <c r="J91" i="180"/>
  <c r="S51" i="180"/>
  <c r="U53" i="88"/>
  <c r="C234" i="183"/>
  <c r="D237" i="94"/>
  <c r="F92" i="92"/>
  <c r="E184" i="95"/>
  <c r="H184" i="95" s="1"/>
  <c r="D177" i="182"/>
  <c r="R178" i="93"/>
  <c r="F169" i="183"/>
  <c r="F165" i="183"/>
  <c r="B168" i="182"/>
  <c r="C79" i="183"/>
  <c r="D82" i="94"/>
  <c r="C235" i="183"/>
  <c r="D238" i="94"/>
  <c r="D187" i="183"/>
  <c r="E190" i="94"/>
  <c r="F267" i="92"/>
  <c r="C264" i="183"/>
  <c r="D267" i="94"/>
  <c r="F28" i="94"/>
  <c r="B53" i="183"/>
  <c r="C56" i="94"/>
  <c r="U186" i="93"/>
  <c r="F185" i="182" s="1"/>
  <c r="F65" i="94"/>
  <c r="F239" i="92"/>
  <c r="C236" i="183"/>
  <c r="D239" i="94"/>
  <c r="D66" i="182"/>
  <c r="R67" i="93"/>
  <c r="B65" i="182"/>
  <c r="U184" i="93"/>
  <c r="F183" i="182" s="1"/>
  <c r="O172" i="93"/>
  <c r="C185" i="183"/>
  <c r="D188" i="94"/>
  <c r="F188" i="92"/>
  <c r="F70" i="92"/>
  <c r="C67" i="183"/>
  <c r="D70" i="94"/>
  <c r="F70" i="94" s="1"/>
  <c r="D226" i="183"/>
  <c r="E229" i="94"/>
  <c r="Z82" i="180"/>
  <c r="AA82" i="180" s="1"/>
  <c r="Z84" i="88"/>
  <c r="F68" i="92"/>
  <c r="Q109" i="93"/>
  <c r="G229" i="183"/>
  <c r="I229" i="183" s="1"/>
  <c r="L229" i="183" s="1"/>
  <c r="M232" i="92"/>
  <c r="O23" i="93"/>
  <c r="Q120" i="93"/>
  <c r="O24" i="93"/>
  <c r="E77" i="94"/>
  <c r="D74" i="183"/>
  <c r="F80" i="183"/>
  <c r="F81" i="183"/>
  <c r="X62" i="180"/>
  <c r="Y62" i="180" s="1"/>
  <c r="G112" i="95"/>
  <c r="E234" i="94"/>
  <c r="F234" i="94" s="1"/>
  <c r="D231" i="183"/>
  <c r="N34" i="157"/>
  <c r="G34" i="82" s="1"/>
  <c r="Q196" i="93"/>
  <c r="G73" i="95"/>
  <c r="Q255" i="93"/>
  <c r="F19" i="92"/>
  <c r="W58" i="180"/>
  <c r="E186" i="95"/>
  <c r="X194" i="93"/>
  <c r="D168" i="182"/>
  <c r="R169" i="93"/>
  <c r="O174" i="93"/>
  <c r="S120" i="180"/>
  <c r="U122" i="88"/>
  <c r="C90" i="183"/>
  <c r="D93" i="94"/>
  <c r="F234" i="92"/>
  <c r="D257" i="183"/>
  <c r="E260" i="94"/>
  <c r="U180" i="93"/>
  <c r="F179" i="182" s="1"/>
  <c r="Z76" i="88"/>
  <c r="Z74" i="180"/>
  <c r="AA74" i="180" s="1"/>
  <c r="F21" i="92"/>
  <c r="AA38" i="180"/>
  <c r="M178" i="92"/>
  <c r="C45" i="183"/>
  <c r="D48" i="94"/>
  <c r="F48" i="94" s="1"/>
  <c r="F48" i="92"/>
  <c r="G81" i="183"/>
  <c r="B66" i="182"/>
  <c r="D65" i="182"/>
  <c r="R66" i="93"/>
  <c r="B227" i="183"/>
  <c r="C230" i="94"/>
  <c r="C19" i="94"/>
  <c r="B16" i="183"/>
  <c r="F191" i="92"/>
  <c r="B167" i="182"/>
  <c r="F170" i="92"/>
  <c r="C167" i="183"/>
  <c r="D170" i="94"/>
  <c r="F170" i="94" s="1"/>
  <c r="F82" i="92"/>
  <c r="F79" i="183"/>
  <c r="S62" i="180"/>
  <c r="U64" i="88"/>
  <c r="D68" i="183"/>
  <c r="E71" i="94"/>
  <c r="C92" i="94"/>
  <c r="B89" i="183"/>
  <c r="X51" i="180"/>
  <c r="Y51" i="180" s="1"/>
  <c r="Q108" i="93"/>
  <c r="O84" i="93"/>
  <c r="O245" i="93"/>
  <c r="Q115" i="93"/>
  <c r="O227" i="93"/>
  <c r="O234" i="93"/>
  <c r="G17" i="183"/>
  <c r="E83" i="94"/>
  <c r="F83" i="94" s="1"/>
  <c r="D80" i="183"/>
  <c r="D253" i="183"/>
  <c r="E256" i="94"/>
  <c r="F262" i="183"/>
  <c r="B247" i="183"/>
  <c r="C250" i="94"/>
  <c r="B64" i="183"/>
  <c r="C67" i="94"/>
  <c r="G122" i="95"/>
  <c r="B61" i="183"/>
  <c r="C64" i="94"/>
  <c r="B125" i="183"/>
  <c r="C128" i="94"/>
  <c r="D236" i="183"/>
  <c r="E239" i="94"/>
  <c r="B231" i="183"/>
  <c r="C234" i="94"/>
  <c r="Q256" i="93"/>
  <c r="F22" i="92"/>
  <c r="O272" i="93"/>
  <c r="B271" i="182"/>
  <c r="N125" i="86"/>
  <c r="C233" i="183"/>
  <c r="D236" i="94"/>
  <c r="G92" i="80"/>
  <c r="E92" i="83"/>
  <c r="Z57" i="180"/>
  <c r="AA57" i="180" s="1"/>
  <c r="Z59" i="88"/>
  <c r="O179" i="93"/>
  <c r="V119" i="180"/>
  <c r="W119" i="180" s="1"/>
  <c r="K121" i="79"/>
  <c r="B252" i="183"/>
  <c r="C255" i="94"/>
  <c r="D224" i="94"/>
  <c r="F224" i="92"/>
  <c r="C221" i="183"/>
  <c r="S58" i="180"/>
  <c r="U60" i="88"/>
  <c r="D267" i="183"/>
  <c r="E270" i="94"/>
  <c r="E211" i="94"/>
  <c r="D208" i="183"/>
  <c r="X97" i="180"/>
  <c r="Y97" i="180" s="1"/>
  <c r="Z99" i="88"/>
  <c r="Z122" i="180"/>
  <c r="AA122" i="180" s="1"/>
  <c r="Z124" i="88"/>
  <c r="Q76" i="157"/>
  <c r="I76" i="82" s="1"/>
  <c r="O81" i="157"/>
  <c r="Q81" i="157" s="1"/>
  <c r="I81" i="82" s="1"/>
  <c r="O173" i="93"/>
  <c r="AA97" i="180"/>
  <c r="C169" i="183"/>
  <c r="D172" i="94"/>
  <c r="F172" i="94" s="1"/>
  <c r="F172" i="92"/>
  <c r="B186" i="183"/>
  <c r="C189" i="94"/>
  <c r="G80" i="183"/>
  <c r="F63" i="94"/>
  <c r="F255" i="94"/>
  <c r="Z51" i="88"/>
  <c r="Z49" i="180"/>
  <c r="AA49" i="180" s="1"/>
  <c r="O100" i="180"/>
  <c r="D185" i="183"/>
  <c r="E188" i="94"/>
  <c r="D167" i="182"/>
  <c r="R168" i="93"/>
  <c r="D77" i="183"/>
  <c r="E80" i="94"/>
  <c r="F80" i="94" s="1"/>
  <c r="V38" i="180"/>
  <c r="W38" i="180" s="1"/>
  <c r="K40" i="79"/>
  <c r="D225" i="94"/>
  <c r="F225" i="94" s="1"/>
  <c r="C222" i="183"/>
  <c r="F225" i="92"/>
  <c r="Q203" i="93"/>
  <c r="Q206" i="93"/>
  <c r="F238" i="92"/>
  <c r="F48" i="183"/>
  <c r="Q216" i="93"/>
  <c r="Q217" i="93"/>
  <c r="Q218" i="93"/>
  <c r="Q215" i="93"/>
  <c r="F27" i="183"/>
  <c r="F86" i="183"/>
  <c r="F17" i="183"/>
  <c r="F16" i="183"/>
  <c r="F265" i="183"/>
  <c r="Q222" i="93"/>
  <c r="Q223" i="93"/>
  <c r="Q220" i="93"/>
  <c r="Q221" i="93"/>
  <c r="F49" i="183"/>
  <c r="F65" i="183"/>
  <c r="F31" i="183"/>
  <c r="F35" i="183"/>
  <c r="F225" i="183"/>
  <c r="F269" i="183"/>
  <c r="F149" i="183"/>
  <c r="X79" i="180"/>
  <c r="Y79" i="180" s="1"/>
  <c r="F148" i="183"/>
  <c r="F109" i="92"/>
  <c r="F93" i="92"/>
  <c r="F59" i="183"/>
  <c r="F53" i="183"/>
  <c r="F50" i="183"/>
  <c r="F66" i="183"/>
  <c r="F68" i="183"/>
  <c r="F69" i="183"/>
  <c r="D173" i="182" l="1"/>
  <c r="D152" i="182"/>
  <c r="D132" i="182"/>
  <c r="D256" i="182"/>
  <c r="D131" i="182"/>
  <c r="D85" i="182"/>
  <c r="D194" i="182"/>
  <c r="D271" i="182"/>
  <c r="D130" i="182"/>
  <c r="D262" i="182"/>
  <c r="D159" i="182"/>
  <c r="F224" i="94"/>
  <c r="F267" i="94"/>
  <c r="C232" i="183"/>
  <c r="M177" i="92"/>
  <c r="G95" i="80"/>
  <c r="F230" i="94"/>
  <c r="W76" i="180"/>
  <c r="M84" i="92"/>
  <c r="AA73" i="180"/>
  <c r="U168" i="93"/>
  <c r="F167" i="182" s="1"/>
  <c r="M130" i="92"/>
  <c r="G250" i="95"/>
  <c r="F248" i="92"/>
  <c r="Q249" i="93"/>
  <c r="G248" i="95"/>
  <c r="Q237" i="93"/>
  <c r="Q250" i="93"/>
  <c r="I80" i="183"/>
  <c r="L80" i="183" s="1"/>
  <c r="C242" i="183"/>
  <c r="D245" i="94"/>
  <c r="F245" i="94" s="1"/>
  <c r="Q240" i="93"/>
  <c r="AA120" i="180"/>
  <c r="G171" i="183"/>
  <c r="Q239" i="93"/>
  <c r="F188" i="94"/>
  <c r="G251" i="95"/>
  <c r="F249" i="92"/>
  <c r="Q251" i="93"/>
  <c r="G249" i="95"/>
  <c r="F247" i="92"/>
  <c r="Q238" i="93"/>
  <c r="Q248" i="93"/>
  <c r="B30" i="183"/>
  <c r="C33" i="94"/>
  <c r="D234" i="183"/>
  <c r="E237" i="94"/>
  <c r="F237" i="94" s="1"/>
  <c r="E151" i="95"/>
  <c r="G204" i="95"/>
  <c r="G108" i="80"/>
  <c r="E108" i="83"/>
  <c r="G37" i="80"/>
  <c r="E37" i="83"/>
  <c r="G62" i="80"/>
  <c r="E62" i="83"/>
  <c r="G69" i="80"/>
  <c r="E69" i="83"/>
  <c r="O38" i="93"/>
  <c r="G235" i="183"/>
  <c r="O130" i="93"/>
  <c r="B129" i="182"/>
  <c r="U85" i="93"/>
  <c r="F84" i="182" s="1"/>
  <c r="G99" i="95"/>
  <c r="B36" i="183"/>
  <c r="C39" i="94"/>
  <c r="G110" i="95"/>
  <c r="G126" i="95"/>
  <c r="C72" i="94"/>
  <c r="B69" i="183"/>
  <c r="G120" i="95"/>
  <c r="D243" i="183"/>
  <c r="E246" i="94"/>
  <c r="U30" i="93"/>
  <c r="F29" i="182" s="1"/>
  <c r="S22" i="86"/>
  <c r="B190" i="183"/>
  <c r="C193" i="94"/>
  <c r="E243" i="94"/>
  <c r="D240" i="183"/>
  <c r="D233" i="183"/>
  <c r="E236" i="94"/>
  <c r="F236" i="94" s="1"/>
  <c r="U66" i="93"/>
  <c r="F65" i="182" s="1"/>
  <c r="Z60" i="88"/>
  <c r="Z58" i="180"/>
  <c r="AA58" i="180" s="1"/>
  <c r="F211" i="92"/>
  <c r="C208" i="183"/>
  <c r="D211" i="94"/>
  <c r="F211" i="94" s="1"/>
  <c r="U183" i="93"/>
  <c r="F182" i="182" s="1"/>
  <c r="D209" i="183"/>
  <c r="E212" i="94"/>
  <c r="G146" i="183"/>
  <c r="I146" i="183" s="1"/>
  <c r="L146" i="183" s="1"/>
  <c r="M149" i="92"/>
  <c r="V33" i="180"/>
  <c r="W33" i="180" s="1"/>
  <c r="K35" i="79"/>
  <c r="I81" i="183"/>
  <c r="L81" i="183" s="1"/>
  <c r="B23" i="182"/>
  <c r="B228" i="183"/>
  <c r="C231" i="94"/>
  <c r="C78" i="183"/>
  <c r="D81" i="94"/>
  <c r="C112" i="183"/>
  <c r="D115" i="94"/>
  <c r="V79" i="180"/>
  <c r="K81" i="79"/>
  <c r="F62" i="183"/>
  <c r="I62" i="183" s="1"/>
  <c r="L62" i="183" s="1"/>
  <c r="M65" i="92"/>
  <c r="G196" i="95"/>
  <c r="F242" i="92"/>
  <c r="C239" i="183"/>
  <c r="D242" i="94"/>
  <c r="G228" i="183"/>
  <c r="I228" i="183" s="1"/>
  <c r="L228" i="183" s="1"/>
  <c r="M231" i="92"/>
  <c r="G39" i="95"/>
  <c r="V46" i="180"/>
  <c r="W46" i="180" s="1"/>
  <c r="K48" i="79"/>
  <c r="F25" i="183"/>
  <c r="I25" i="183" s="1"/>
  <c r="L25" i="183" s="1"/>
  <c r="M28" i="92"/>
  <c r="V120" i="180"/>
  <c r="W120" i="180" s="1"/>
  <c r="K122" i="79"/>
  <c r="G42" i="95"/>
  <c r="B56" i="183"/>
  <c r="C59" i="94"/>
  <c r="G71" i="80"/>
  <c r="E71" i="83"/>
  <c r="E104" i="83"/>
  <c r="G104" i="80"/>
  <c r="E111" i="83"/>
  <c r="G111" i="80"/>
  <c r="G66" i="80"/>
  <c r="E66" i="83"/>
  <c r="G107" i="80"/>
  <c r="E107" i="83"/>
  <c r="E31" i="83"/>
  <c r="G31" i="80"/>
  <c r="E51" i="83"/>
  <c r="G51" i="80"/>
  <c r="G123" i="80"/>
  <c r="E123" i="83"/>
  <c r="G98" i="80"/>
  <c r="E98" i="83"/>
  <c r="E93" i="83"/>
  <c r="G93" i="80"/>
  <c r="E81" i="83"/>
  <c r="G81" i="80"/>
  <c r="E47" i="83"/>
  <c r="G47" i="80"/>
  <c r="E118" i="83"/>
  <c r="G118" i="80"/>
  <c r="E187" i="94"/>
  <c r="D184" i="183"/>
  <c r="F226" i="94"/>
  <c r="E40" i="83"/>
  <c r="G40" i="80"/>
  <c r="D122" i="183"/>
  <c r="E125" i="94"/>
  <c r="O34" i="93"/>
  <c r="G234" i="183"/>
  <c r="O35" i="93"/>
  <c r="C40" i="94"/>
  <c r="B37" i="183"/>
  <c r="F19" i="183"/>
  <c r="G119" i="95"/>
  <c r="D246" i="183"/>
  <c r="E249" i="94"/>
  <c r="B66" i="183"/>
  <c r="C69" i="94"/>
  <c r="E66" i="95"/>
  <c r="H66" i="95" s="1"/>
  <c r="E242" i="94"/>
  <c r="D239" i="183"/>
  <c r="E235" i="94"/>
  <c r="F235" i="94" s="1"/>
  <c r="D232" i="183"/>
  <c r="Q205" i="93"/>
  <c r="Z114" i="180"/>
  <c r="AA114" i="180" s="1"/>
  <c r="Z116" i="88"/>
  <c r="B233" i="182"/>
  <c r="N79" i="180"/>
  <c r="O79" i="180" s="1"/>
  <c r="I81" i="79"/>
  <c r="U151" i="93"/>
  <c r="F150" i="182" s="1"/>
  <c r="S77" i="86"/>
  <c r="D23" i="182"/>
  <c r="R24" i="93"/>
  <c r="X184" i="93"/>
  <c r="Z56" i="88"/>
  <c r="Z54" i="180"/>
  <c r="AA54" i="180" s="1"/>
  <c r="U67" i="93"/>
  <c r="F66" i="182" s="1"/>
  <c r="G198" i="95"/>
  <c r="O176" i="93"/>
  <c r="B49" i="183"/>
  <c r="C52" i="94"/>
  <c r="U233" i="93"/>
  <c r="F232" i="182" s="1"/>
  <c r="G37" i="95"/>
  <c r="Z108" i="180"/>
  <c r="AA108" i="180" s="1"/>
  <c r="Z110" i="88"/>
  <c r="G252" i="183"/>
  <c r="I252" i="183" s="1"/>
  <c r="L252" i="183" s="1"/>
  <c r="M255" i="92"/>
  <c r="B243" i="182"/>
  <c r="F190" i="94"/>
  <c r="G43" i="95"/>
  <c r="F268" i="92"/>
  <c r="C265" i="183"/>
  <c r="D268" i="94"/>
  <c r="F268" i="94" s="1"/>
  <c r="C256" i="183"/>
  <c r="D259" i="94"/>
  <c r="F259" i="94" s="1"/>
  <c r="F259" i="92"/>
  <c r="E26" i="83"/>
  <c r="G26" i="80"/>
  <c r="G46" i="80"/>
  <c r="E46" i="83"/>
  <c r="G125" i="80"/>
  <c r="E125" i="83"/>
  <c r="G90" i="80"/>
  <c r="E90" i="83"/>
  <c r="E80" i="83"/>
  <c r="G80" i="80"/>
  <c r="G101" i="80"/>
  <c r="E101" i="83"/>
  <c r="E72" i="83"/>
  <c r="G72" i="80"/>
  <c r="G45" i="80"/>
  <c r="E45" i="83"/>
  <c r="E55" i="83"/>
  <c r="G55" i="80"/>
  <c r="E25" i="83"/>
  <c r="G25" i="80"/>
  <c r="G60" i="80"/>
  <c r="E60" i="83"/>
  <c r="E120" i="83"/>
  <c r="G120" i="80"/>
  <c r="E16" i="83"/>
  <c r="G16" i="80"/>
  <c r="U167" i="93"/>
  <c r="F166" i="182" s="1"/>
  <c r="F229" i="94"/>
  <c r="F88" i="183"/>
  <c r="F213" i="183"/>
  <c r="B22" i="182"/>
  <c r="V100" i="180"/>
  <c r="W100" i="180" s="1"/>
  <c r="K102" i="79"/>
  <c r="D214" i="183"/>
  <c r="E217" i="94"/>
  <c r="O120" i="180"/>
  <c r="E21" i="83"/>
  <c r="G21" i="80"/>
  <c r="G122" i="80"/>
  <c r="E122" i="83"/>
  <c r="E35" i="83"/>
  <c r="G35" i="80"/>
  <c r="U65" i="93"/>
  <c r="F64" i="182" s="1"/>
  <c r="B90" i="183"/>
  <c r="C93" i="94"/>
  <c r="G233" i="183"/>
  <c r="O39" i="93"/>
  <c r="E85" i="95"/>
  <c r="H85" i="95" s="1"/>
  <c r="C41" i="94"/>
  <c r="B38" i="183"/>
  <c r="B68" i="183"/>
  <c r="C71" i="94"/>
  <c r="G113" i="95"/>
  <c r="G118" i="95"/>
  <c r="D245" i="183"/>
  <c r="E248" i="94"/>
  <c r="F87" i="183"/>
  <c r="B65" i="183"/>
  <c r="C68" i="94"/>
  <c r="D250" i="183"/>
  <c r="E253" i="94"/>
  <c r="F253" i="94" s="1"/>
  <c r="F253" i="92"/>
  <c r="B134" i="182"/>
  <c r="O135" i="93"/>
  <c r="N61" i="86"/>
  <c r="N64" i="86" s="1"/>
  <c r="M83" i="92"/>
  <c r="D178" i="182"/>
  <c r="R179" i="93"/>
  <c r="D233" i="182"/>
  <c r="R234" i="93"/>
  <c r="E234" i="95"/>
  <c r="H234" i="95" s="1"/>
  <c r="G92" i="95"/>
  <c r="D71" i="94"/>
  <c r="F71" i="94" s="1"/>
  <c r="C68" i="183"/>
  <c r="F71" i="92"/>
  <c r="Q34" i="157"/>
  <c r="I34" i="82" s="1"/>
  <c r="C107" i="183"/>
  <c r="D110" i="94"/>
  <c r="D65" i="183"/>
  <c r="E68" i="94"/>
  <c r="F68" i="94" s="1"/>
  <c r="F239" i="94"/>
  <c r="F148" i="92"/>
  <c r="C145" i="183"/>
  <c r="D148" i="94"/>
  <c r="F148" i="94" s="1"/>
  <c r="K91" i="180"/>
  <c r="S91" i="180"/>
  <c r="C192" i="183"/>
  <c r="D195" i="94"/>
  <c r="B253" i="183"/>
  <c r="C256" i="94"/>
  <c r="E69" i="94"/>
  <c r="F69" i="94" s="1"/>
  <c r="D66" i="183"/>
  <c r="Z53" i="88"/>
  <c r="Z51" i="180"/>
  <c r="AA51" i="180" s="1"/>
  <c r="G38" i="95"/>
  <c r="U257" i="93"/>
  <c r="F256" i="182" s="1"/>
  <c r="S109" i="86"/>
  <c r="C96" i="183"/>
  <c r="D99" i="94"/>
  <c r="B21" i="182"/>
  <c r="D243" i="182"/>
  <c r="R244" i="93"/>
  <c r="Z91" i="180"/>
  <c r="AA91" i="180" s="1"/>
  <c r="Z93" i="88"/>
  <c r="B74" i="183"/>
  <c r="C77" i="94"/>
  <c r="G41" i="95"/>
  <c r="G32" i="80"/>
  <c r="E32" i="83"/>
  <c r="G109" i="80"/>
  <c r="E109" i="83"/>
  <c r="E56" i="83"/>
  <c r="G56" i="80"/>
  <c r="G99" i="80"/>
  <c r="E99" i="83"/>
  <c r="E97" i="83"/>
  <c r="G97" i="80"/>
  <c r="G82" i="80"/>
  <c r="E82" i="83"/>
  <c r="E112" i="83"/>
  <c r="G112" i="80"/>
  <c r="G50" i="80"/>
  <c r="E50" i="83"/>
  <c r="G102" i="80"/>
  <c r="E102" i="83"/>
  <c r="E103" i="83"/>
  <c r="G103" i="80"/>
  <c r="E34" i="83"/>
  <c r="G34" i="80"/>
  <c r="E58" i="83"/>
  <c r="G58" i="80"/>
  <c r="G128" i="80"/>
  <c r="E128" i="83"/>
  <c r="I18" i="77"/>
  <c r="I20" i="77" s="1"/>
  <c r="G8" i="2"/>
  <c r="G33" i="95"/>
  <c r="G162" i="183"/>
  <c r="I162" i="183" s="1"/>
  <c r="L162" i="183" s="1"/>
  <c r="M165" i="92"/>
  <c r="G100" i="95"/>
  <c r="G107" i="95"/>
  <c r="E67" i="95"/>
  <c r="H67" i="95" s="1"/>
  <c r="E167" i="95"/>
  <c r="H167" i="95" s="1"/>
  <c r="G166" i="183"/>
  <c r="I166" i="183" s="1"/>
  <c r="L166" i="183" s="1"/>
  <c r="M169" i="92"/>
  <c r="D91" i="182"/>
  <c r="R92" i="93"/>
  <c r="G114" i="80"/>
  <c r="E114" i="83"/>
  <c r="Z79" i="180"/>
  <c r="Z81" i="88"/>
  <c r="O228" i="93"/>
  <c r="G232" i="183"/>
  <c r="G105" i="95"/>
  <c r="G116" i="95"/>
  <c r="G121" i="95"/>
  <c r="D244" i="183"/>
  <c r="E247" i="94"/>
  <c r="E251" i="94"/>
  <c r="F251" i="94" s="1"/>
  <c r="D248" i="183"/>
  <c r="F251" i="92"/>
  <c r="N33" i="157"/>
  <c r="G33" i="82" s="1"/>
  <c r="B178" i="182"/>
  <c r="F236" i="92"/>
  <c r="B173" i="182"/>
  <c r="S32" i="180"/>
  <c r="U34" i="88"/>
  <c r="B171" i="182"/>
  <c r="D241" i="94"/>
  <c r="C238" i="183"/>
  <c r="F241" i="92"/>
  <c r="F72" i="92"/>
  <c r="C69" i="183"/>
  <c r="D72" i="94"/>
  <c r="F72" i="94" s="1"/>
  <c r="C91" i="183"/>
  <c r="D94" i="94"/>
  <c r="B264" i="183"/>
  <c r="C267" i="94"/>
  <c r="E272" i="95"/>
  <c r="F235" i="92"/>
  <c r="C73" i="94"/>
  <c r="B70" i="183"/>
  <c r="D34" i="94"/>
  <c r="F34" i="94" s="1"/>
  <c r="C31" i="183"/>
  <c r="F34" i="92"/>
  <c r="F243" i="92"/>
  <c r="C240" i="183"/>
  <c r="D243" i="94"/>
  <c r="D21" i="182"/>
  <c r="R22" i="93"/>
  <c r="C35" i="183"/>
  <c r="D38" i="94"/>
  <c r="F38" i="94" s="1"/>
  <c r="F38" i="92"/>
  <c r="E268" i="95"/>
  <c r="G106" i="80"/>
  <c r="E106" i="83"/>
  <c r="E78" i="83"/>
  <c r="G78" i="80"/>
  <c r="G89" i="80"/>
  <c r="E89" i="83"/>
  <c r="E121" i="83"/>
  <c r="G121" i="80"/>
  <c r="G43" i="80"/>
  <c r="E43" i="83"/>
  <c r="E105" i="83"/>
  <c r="G105" i="80"/>
  <c r="E19" i="83"/>
  <c r="G19" i="80"/>
  <c r="G54" i="80"/>
  <c r="E54" i="83"/>
  <c r="E96" i="83"/>
  <c r="G96" i="80"/>
  <c r="G33" i="80"/>
  <c r="E33" i="83"/>
  <c r="E29" i="83"/>
  <c r="G29" i="80"/>
  <c r="E48" i="83"/>
  <c r="G48" i="80"/>
  <c r="E75" i="83"/>
  <c r="G75" i="80"/>
  <c r="E23" i="83"/>
  <c r="G23" i="80"/>
  <c r="E9" i="174"/>
  <c r="H8" i="77"/>
  <c r="H12" i="77" s="1"/>
  <c r="H14" i="77" s="1"/>
  <c r="G34" i="95"/>
  <c r="G263" i="183"/>
  <c r="I263" i="183" s="1"/>
  <c r="L263" i="183" s="1"/>
  <c r="M266" i="92"/>
  <c r="B231" i="182"/>
  <c r="R174" i="93"/>
  <c r="U179" i="93"/>
  <c r="F178" i="182" s="1"/>
  <c r="O85" i="93"/>
  <c r="G123" i="95"/>
  <c r="B32" i="183"/>
  <c r="C35" i="94"/>
  <c r="F88" i="92"/>
  <c r="C85" i="183"/>
  <c r="D88" i="94"/>
  <c r="F88" i="94" s="1"/>
  <c r="R233" i="93"/>
  <c r="D232" i="182"/>
  <c r="E127" i="83"/>
  <c r="G127" i="80"/>
  <c r="G87" i="80"/>
  <c r="E87" i="83"/>
  <c r="E70" i="83"/>
  <c r="G70" i="80"/>
  <c r="E65" i="95"/>
  <c r="H65" i="95" s="1"/>
  <c r="F219" i="183"/>
  <c r="F220" i="183"/>
  <c r="B122" i="183"/>
  <c r="C125" i="94"/>
  <c r="G269" i="183"/>
  <c r="I269" i="183" s="1"/>
  <c r="L269" i="183" s="1"/>
  <c r="M272" i="92"/>
  <c r="B150" i="183"/>
  <c r="C153" i="94"/>
  <c r="G104" i="95"/>
  <c r="G115" i="95"/>
  <c r="G45" i="183"/>
  <c r="I45" i="183" s="1"/>
  <c r="L45" i="183" s="1"/>
  <c r="M48" i="92"/>
  <c r="F18" i="183"/>
  <c r="D251" i="183"/>
  <c r="E254" i="94"/>
  <c r="F254" i="94" s="1"/>
  <c r="F254" i="92"/>
  <c r="O43" i="93"/>
  <c r="B78" i="183"/>
  <c r="C81" i="94"/>
  <c r="B83" i="182"/>
  <c r="F151" i="92"/>
  <c r="C148" i="183"/>
  <c r="D151" i="94"/>
  <c r="F151" i="94" s="1"/>
  <c r="F81" i="92"/>
  <c r="O255" i="93"/>
  <c r="D171" i="182"/>
  <c r="R172" i="93"/>
  <c r="G169" i="183"/>
  <c r="I169" i="183" s="1"/>
  <c r="L169" i="183" s="1"/>
  <c r="M172" i="92"/>
  <c r="F218" i="183"/>
  <c r="B265" i="183"/>
  <c r="C268" i="94"/>
  <c r="B228" i="182"/>
  <c r="B176" i="182"/>
  <c r="F45" i="92"/>
  <c r="C42" i="183"/>
  <c r="D45" i="94"/>
  <c r="F45" i="94" s="1"/>
  <c r="B136" i="183"/>
  <c r="C139" i="94"/>
  <c r="B129" i="183"/>
  <c r="C132" i="94"/>
  <c r="D155" i="94"/>
  <c r="F155" i="94" s="1"/>
  <c r="C152" i="183"/>
  <c r="F155" i="92"/>
  <c r="D46" i="183"/>
  <c r="E49" i="94"/>
  <c r="F240" i="92"/>
  <c r="C237" i="183"/>
  <c r="D240" i="94"/>
  <c r="F152" i="92"/>
  <c r="C149" i="183"/>
  <c r="D152" i="94"/>
  <c r="F152" i="94" s="1"/>
  <c r="O182" i="93"/>
  <c r="G42" i="80"/>
  <c r="E42" i="83"/>
  <c r="E15" i="83"/>
  <c r="G15" i="80"/>
  <c r="G17" i="80"/>
  <c r="E17" i="83"/>
  <c r="G68" i="80"/>
  <c r="E68" i="83"/>
  <c r="G18" i="80"/>
  <c r="E18" i="83"/>
  <c r="G61" i="80"/>
  <c r="E61" i="83"/>
  <c r="G30" i="80"/>
  <c r="E30" i="83"/>
  <c r="G113" i="80"/>
  <c r="E113" i="83"/>
  <c r="G22" i="80"/>
  <c r="E22" i="83"/>
  <c r="E88" i="83"/>
  <c r="G88" i="80"/>
  <c r="E65" i="83"/>
  <c r="G65" i="80"/>
  <c r="G83" i="80"/>
  <c r="E83" i="83"/>
  <c r="G85" i="80"/>
  <c r="E85" i="83"/>
  <c r="D133" i="94"/>
  <c r="F133" i="94" s="1"/>
  <c r="F133" i="92"/>
  <c r="C130" i="183"/>
  <c r="J9" i="174"/>
  <c r="H9" i="175"/>
  <c r="G9" i="174"/>
  <c r="G35" i="95"/>
  <c r="U268" i="93"/>
  <c r="F267" i="182" s="1"/>
  <c r="S120" i="86"/>
  <c r="D231" i="182"/>
  <c r="R232" i="93"/>
  <c r="C232" i="94"/>
  <c r="B229" i="183"/>
  <c r="I174" i="183"/>
  <c r="L174" i="183" s="1"/>
  <c r="B73" i="182"/>
  <c r="B165" i="182"/>
  <c r="D182" i="182"/>
  <c r="R183" i="93"/>
  <c r="G16" i="183"/>
  <c r="I16" i="183" s="1"/>
  <c r="L16" i="183" s="1"/>
  <c r="M19" i="92"/>
  <c r="D237" i="183"/>
  <c r="E240" i="94"/>
  <c r="E183" i="95"/>
  <c r="H183" i="95" s="1"/>
  <c r="E257" i="95"/>
  <c r="D187" i="94"/>
  <c r="C184" i="183"/>
  <c r="F187" i="92"/>
  <c r="C51" i="94"/>
  <c r="B48" i="183"/>
  <c r="B46" i="183"/>
  <c r="C49" i="94"/>
  <c r="E73" i="83"/>
  <c r="G73" i="80"/>
  <c r="G24" i="80"/>
  <c r="E24" i="83"/>
  <c r="E44" i="83"/>
  <c r="G44" i="80"/>
  <c r="C147" i="94"/>
  <c r="B144" i="183"/>
  <c r="D90" i="183"/>
  <c r="E93" i="94"/>
  <c r="F93" i="94" s="1"/>
  <c r="B106" i="183"/>
  <c r="C109" i="94"/>
  <c r="E233" i="95"/>
  <c r="H233" i="95" s="1"/>
  <c r="O71" i="93"/>
  <c r="O243" i="93"/>
  <c r="U234" i="93"/>
  <c r="F233" i="182" s="1"/>
  <c r="G98" i="95"/>
  <c r="G109" i="95"/>
  <c r="G125" i="95"/>
  <c r="B33" i="183"/>
  <c r="C36" i="94"/>
  <c r="G103" i="95"/>
  <c r="G114" i="95"/>
  <c r="B29" i="183"/>
  <c r="C32" i="94"/>
  <c r="D249" i="183"/>
  <c r="E252" i="94"/>
  <c r="F252" i="94" s="1"/>
  <c r="F252" i="92"/>
  <c r="O65" i="93"/>
  <c r="E185" i="95"/>
  <c r="H185" i="95" s="1"/>
  <c r="B172" i="182"/>
  <c r="F171" i="183"/>
  <c r="F170" i="183"/>
  <c r="G214" i="95"/>
  <c r="U86" i="93"/>
  <c r="F85" i="182" s="1"/>
  <c r="S47" i="86"/>
  <c r="R227" i="93"/>
  <c r="D226" i="182"/>
  <c r="B244" i="182"/>
  <c r="R84" i="93"/>
  <c r="D83" i="182"/>
  <c r="E82" i="94"/>
  <c r="F82" i="94" s="1"/>
  <c r="D79" i="183"/>
  <c r="G93" i="95"/>
  <c r="E168" i="95"/>
  <c r="H168" i="95" s="1"/>
  <c r="O171" i="93"/>
  <c r="X180" i="93"/>
  <c r="F211" i="183"/>
  <c r="F216" i="183"/>
  <c r="R229" i="93"/>
  <c r="D228" i="182"/>
  <c r="D14" i="183"/>
  <c r="E17" i="94"/>
  <c r="F17" i="94" s="1"/>
  <c r="E171" i="95"/>
  <c r="H171" i="95" s="1"/>
  <c r="D176" i="182"/>
  <c r="R177" i="93"/>
  <c r="F246" i="92"/>
  <c r="F17" i="92"/>
  <c r="C101" i="183"/>
  <c r="D104" i="94"/>
  <c r="G267" i="183"/>
  <c r="I267" i="183" s="1"/>
  <c r="L267" i="183" s="1"/>
  <c r="M270" i="92"/>
  <c r="I28" i="82"/>
  <c r="U171" i="93"/>
  <c r="F170" i="182" s="1"/>
  <c r="D56" i="183"/>
  <c r="E59" i="94"/>
  <c r="F270" i="94"/>
  <c r="F258" i="183"/>
  <c r="I258" i="183" s="1"/>
  <c r="L258" i="183" s="1"/>
  <c r="M261" i="92"/>
  <c r="I127" i="183"/>
  <c r="L127" i="183" s="1"/>
  <c r="G94" i="80"/>
  <c r="E94" i="83"/>
  <c r="E49" i="83"/>
  <c r="G49" i="80"/>
  <c r="G52" i="80"/>
  <c r="E52" i="83"/>
  <c r="E14" i="83"/>
  <c r="G14" i="80"/>
  <c r="G124" i="80"/>
  <c r="E124" i="83"/>
  <c r="G77" i="80"/>
  <c r="E77" i="83"/>
  <c r="G126" i="80"/>
  <c r="E126" i="83"/>
  <c r="E64" i="83"/>
  <c r="G64" i="80"/>
  <c r="G67" i="80"/>
  <c r="E67" i="83"/>
  <c r="G116" i="80"/>
  <c r="E116" i="83"/>
  <c r="G76" i="80"/>
  <c r="E76" i="83"/>
  <c r="G53" i="80"/>
  <c r="E53" i="83"/>
  <c r="G117" i="80"/>
  <c r="E117" i="83"/>
  <c r="E110" i="83"/>
  <c r="G110" i="80"/>
  <c r="F30" i="92"/>
  <c r="C27" i="183"/>
  <c r="D30" i="94"/>
  <c r="F30" i="94" s="1"/>
  <c r="E132" i="95"/>
  <c r="D272" i="94"/>
  <c r="F272" i="94" s="1"/>
  <c r="C269" i="183"/>
  <c r="F272" i="92"/>
  <c r="S79" i="180"/>
  <c r="U81" i="88"/>
  <c r="F260" i="94"/>
  <c r="R74" i="93"/>
  <c r="D73" i="182"/>
  <c r="B184" i="182"/>
  <c r="D165" i="182"/>
  <c r="R166" i="93"/>
  <c r="B182" i="182"/>
  <c r="O64" i="93"/>
  <c r="B63" i="182"/>
  <c r="N38" i="86"/>
  <c r="D106" i="183"/>
  <c r="E109" i="94"/>
  <c r="F109" i="94" s="1"/>
  <c r="G264" i="183"/>
  <c r="I264" i="183" s="1"/>
  <c r="L264" i="183" s="1"/>
  <c r="M267" i="92"/>
  <c r="G221" i="183"/>
  <c r="I221" i="183" s="1"/>
  <c r="L221" i="183" s="1"/>
  <c r="M224" i="92"/>
  <c r="G18" i="183"/>
  <c r="O91" i="93"/>
  <c r="G59" i="183"/>
  <c r="I59" i="183" s="1"/>
  <c r="L59" i="183" s="1"/>
  <c r="M62" i="92"/>
  <c r="G97" i="95"/>
  <c r="G108" i="95"/>
  <c r="G124" i="95"/>
  <c r="B34" i="183"/>
  <c r="C37" i="94"/>
  <c r="D76" i="183"/>
  <c r="E79" i="94"/>
  <c r="G102" i="95"/>
  <c r="I17" i="183"/>
  <c r="L17" i="183" s="1"/>
  <c r="B28" i="183"/>
  <c r="C31" i="94"/>
  <c r="D238" i="183"/>
  <c r="E241" i="94"/>
  <c r="D235" i="183"/>
  <c r="E238" i="94"/>
  <c r="F238" i="94" s="1"/>
  <c r="D172" i="182"/>
  <c r="R173" i="93"/>
  <c r="G219" i="95"/>
  <c r="C117" i="183"/>
  <c r="D120" i="94"/>
  <c r="M20" i="92"/>
  <c r="B226" i="182"/>
  <c r="R245" i="93"/>
  <c r="D244" i="182"/>
  <c r="G91" i="95"/>
  <c r="F212" i="183"/>
  <c r="F131" i="92"/>
  <c r="C128" i="183"/>
  <c r="D131" i="94"/>
  <c r="F131" i="94" s="1"/>
  <c r="V62" i="180"/>
  <c r="W62" i="180" s="1"/>
  <c r="K64" i="79"/>
  <c r="D22" i="182"/>
  <c r="R23" i="93"/>
  <c r="F217" i="183"/>
  <c r="F237" i="92"/>
  <c r="F265" i="92"/>
  <c r="C262" i="183"/>
  <c r="D265" i="94"/>
  <c r="F265" i="94" s="1"/>
  <c r="B259" i="183"/>
  <c r="C262" i="94"/>
  <c r="G199" i="95"/>
  <c r="F159" i="183"/>
  <c r="U272" i="93"/>
  <c r="F271" i="182" s="1"/>
  <c r="S125" i="86"/>
  <c r="E195" i="95"/>
  <c r="U195" i="93"/>
  <c r="F194" i="182" s="1"/>
  <c r="B232" i="182"/>
  <c r="B91" i="182"/>
  <c r="U263" i="93"/>
  <c r="F262" i="182" s="1"/>
  <c r="S115" i="86"/>
  <c r="U132" i="93"/>
  <c r="F131" i="182" s="1"/>
  <c r="S58" i="86"/>
  <c r="O152" i="93"/>
  <c r="B151" i="182"/>
  <c r="G115" i="80"/>
  <c r="E115" i="83"/>
  <c r="G59" i="80"/>
  <c r="E59" i="83"/>
  <c r="G74" i="80"/>
  <c r="E74" i="83"/>
  <c r="G100" i="80"/>
  <c r="E100" i="83"/>
  <c r="G86" i="80"/>
  <c r="E86" i="83"/>
  <c r="E63" i="83"/>
  <c r="G63" i="80"/>
  <c r="G91" i="80"/>
  <c r="E91" i="83"/>
  <c r="G41" i="80"/>
  <c r="E41" i="83"/>
  <c r="G84" i="80"/>
  <c r="E84" i="83"/>
  <c r="E57" i="83"/>
  <c r="G57" i="80"/>
  <c r="G79" i="80"/>
  <c r="E79" i="83"/>
  <c r="G36" i="80"/>
  <c r="E36" i="83"/>
  <c r="E20" i="83"/>
  <c r="G20" i="80"/>
  <c r="E119" i="83"/>
  <c r="G119" i="80"/>
  <c r="V91" i="180"/>
  <c r="W91" i="180" s="1"/>
  <c r="K93" i="79"/>
  <c r="D184" i="182"/>
  <c r="R185" i="93"/>
  <c r="Q60" i="93"/>
  <c r="Q59" i="93"/>
  <c r="F237" i="183"/>
  <c r="F233" i="183"/>
  <c r="F232" i="183"/>
  <c r="F26" i="183"/>
  <c r="F85" i="183"/>
  <c r="F76" i="183"/>
  <c r="F243" i="183"/>
  <c r="F248" i="183"/>
  <c r="F99" i="92"/>
  <c r="F104" i="92"/>
  <c r="F94" i="92"/>
  <c r="F115" i="92"/>
  <c r="F64" i="183"/>
  <c r="F67" i="183"/>
  <c r="D151" i="182" l="1"/>
  <c r="D134" i="182"/>
  <c r="D129" i="182"/>
  <c r="D63" i="182"/>
  <c r="I232" i="183"/>
  <c r="L232" i="183" s="1"/>
  <c r="M21" i="92"/>
  <c r="I233" i="183"/>
  <c r="L233" i="183" s="1"/>
  <c r="F187" i="94"/>
  <c r="I171" i="183"/>
  <c r="L171" i="183" s="1"/>
  <c r="X168" i="93"/>
  <c r="O249" i="93"/>
  <c r="O240" i="93"/>
  <c r="F243" i="94"/>
  <c r="U170" i="93"/>
  <c r="F169" i="182" s="1"/>
  <c r="B250" i="182"/>
  <c r="O251" i="93"/>
  <c r="G173" i="183"/>
  <c r="I173" i="183" s="1"/>
  <c r="L173" i="183" s="1"/>
  <c r="M176" i="92"/>
  <c r="O250" i="93"/>
  <c r="C243" i="183"/>
  <c r="D246" i="94"/>
  <c r="F246" i="94" s="1"/>
  <c r="U169" i="93"/>
  <c r="F168" i="182" s="1"/>
  <c r="O238" i="93"/>
  <c r="C246" i="183"/>
  <c r="D249" i="94"/>
  <c r="F249" i="94" s="1"/>
  <c r="G164" i="183"/>
  <c r="I164" i="183" s="1"/>
  <c r="L164" i="183" s="1"/>
  <c r="M167" i="92"/>
  <c r="G245" i="183"/>
  <c r="AA79" i="180"/>
  <c r="U166" i="93"/>
  <c r="F165" i="182" s="1"/>
  <c r="M164" i="92"/>
  <c r="G161" i="183"/>
  <c r="I161" i="183" s="1"/>
  <c r="L161" i="183" s="1"/>
  <c r="G172" i="183"/>
  <c r="I172" i="183" s="1"/>
  <c r="L172" i="183" s="1"/>
  <c r="M175" i="92"/>
  <c r="I18" i="183"/>
  <c r="L18" i="183" s="1"/>
  <c r="C244" i="183"/>
  <c r="D247" i="94"/>
  <c r="F247" i="94" s="1"/>
  <c r="E177" i="95"/>
  <c r="H177" i="95" s="1"/>
  <c r="O239" i="93"/>
  <c r="U177" i="93"/>
  <c r="F176" i="182" s="1"/>
  <c r="E166" i="95"/>
  <c r="H166" i="95" s="1"/>
  <c r="E178" i="95"/>
  <c r="H178" i="95" s="1"/>
  <c r="C245" i="183"/>
  <c r="D248" i="94"/>
  <c r="F248" i="94" s="1"/>
  <c r="G244" i="183"/>
  <c r="U178" i="93"/>
  <c r="F177" i="182" s="1"/>
  <c r="G243" i="183"/>
  <c r="I243" i="183" s="1"/>
  <c r="L243" i="183" s="1"/>
  <c r="E169" i="95"/>
  <c r="H169" i="95" s="1"/>
  <c r="G120" i="183"/>
  <c r="B174" i="182"/>
  <c r="O175" i="93"/>
  <c r="G94" i="183"/>
  <c r="E219" i="94"/>
  <c r="D216" i="183"/>
  <c r="B248" i="183"/>
  <c r="C251" i="94"/>
  <c r="O254" i="93"/>
  <c r="D118" i="94"/>
  <c r="C115" i="183"/>
  <c r="D117" i="183"/>
  <c r="E120" i="94"/>
  <c r="F120" i="94" s="1"/>
  <c r="B117" i="183"/>
  <c r="C120" i="94"/>
  <c r="C104" i="94"/>
  <c r="B101" i="183"/>
  <c r="O242" i="93"/>
  <c r="U232" i="93"/>
  <c r="F231" i="182" s="1"/>
  <c r="C194" i="183"/>
  <c r="D197" i="94"/>
  <c r="G222" i="95"/>
  <c r="B170" i="182"/>
  <c r="G217" i="95"/>
  <c r="G43" i="183"/>
  <c r="I43" i="183" s="1"/>
  <c r="L43" i="183" s="1"/>
  <c r="M46" i="92"/>
  <c r="X234" i="93"/>
  <c r="B70" i="182"/>
  <c r="U229" i="93"/>
  <c r="F228" i="182" s="1"/>
  <c r="B181" i="182"/>
  <c r="F132" i="92"/>
  <c r="C129" i="183"/>
  <c r="D132" i="94"/>
  <c r="F132" i="94" s="1"/>
  <c r="G79" i="183"/>
  <c r="I79" i="183" s="1"/>
  <c r="L79" i="183" s="1"/>
  <c r="M82" i="92"/>
  <c r="B213" i="183"/>
  <c r="C216" i="94"/>
  <c r="C193" i="183"/>
  <c r="D196" i="94"/>
  <c r="F14" i="183"/>
  <c r="I14" i="183" s="1"/>
  <c r="L14" i="183" s="1"/>
  <c r="M17" i="92"/>
  <c r="C191" i="183"/>
  <c r="D194" i="94"/>
  <c r="C214" i="94"/>
  <c r="B211" i="183"/>
  <c r="D107" i="183"/>
  <c r="E110" i="94"/>
  <c r="F110" i="94" s="1"/>
  <c r="O90" i="93"/>
  <c r="B89" i="182"/>
  <c r="N51" i="86"/>
  <c r="G105" i="183"/>
  <c r="D170" i="182"/>
  <c r="R171" i="93"/>
  <c r="G224" i="183"/>
  <c r="I224" i="183" s="1"/>
  <c r="L224" i="183" s="1"/>
  <c r="M227" i="92"/>
  <c r="F125" i="92"/>
  <c r="C122" i="183"/>
  <c r="D125" i="94"/>
  <c r="F125" i="94" s="1"/>
  <c r="C247" i="94"/>
  <c r="B244" i="183"/>
  <c r="X179" i="93"/>
  <c r="C111" i="183"/>
  <c r="D114" i="94"/>
  <c r="C102" i="183"/>
  <c r="D105" i="94"/>
  <c r="F90" i="92"/>
  <c r="C87" i="183"/>
  <c r="D90" i="94"/>
  <c r="F90" i="94" s="1"/>
  <c r="X233" i="93"/>
  <c r="B34" i="182"/>
  <c r="E179" i="95"/>
  <c r="H179" i="95" s="1"/>
  <c r="D91" i="183"/>
  <c r="E94" i="94"/>
  <c r="B91" i="183"/>
  <c r="C94" i="94"/>
  <c r="U269" i="93"/>
  <c r="F268" i="182" s="1"/>
  <c r="S121" i="86"/>
  <c r="E21" i="95"/>
  <c r="H21" i="95" s="1"/>
  <c r="U21" i="93"/>
  <c r="F20" i="182" s="1"/>
  <c r="O42" i="93"/>
  <c r="F47" i="183"/>
  <c r="F250" i="183"/>
  <c r="B191" i="183"/>
  <c r="C194" i="94"/>
  <c r="F246" i="183"/>
  <c r="G109" i="183"/>
  <c r="G97" i="183"/>
  <c r="G238" i="183"/>
  <c r="D193" i="94"/>
  <c r="C190" i="183"/>
  <c r="F193" i="92"/>
  <c r="G221" i="95"/>
  <c r="E232" i="95"/>
  <c r="H232" i="95" s="1"/>
  <c r="G216" i="95"/>
  <c r="U48" i="93"/>
  <c r="F47" i="182" s="1"/>
  <c r="S28" i="86"/>
  <c r="D112" i="94"/>
  <c r="C109" i="183"/>
  <c r="D123" i="94"/>
  <c r="C120" i="183"/>
  <c r="D181" i="182"/>
  <c r="R182" i="93"/>
  <c r="D218" i="183"/>
  <c r="E221" i="94"/>
  <c r="F210" i="183"/>
  <c r="F77" i="183"/>
  <c r="F78" i="183"/>
  <c r="D102" i="94"/>
  <c r="C99" i="183"/>
  <c r="B215" i="183"/>
  <c r="C218" i="94"/>
  <c r="B76" i="183"/>
  <c r="C79" i="94"/>
  <c r="U84" i="93"/>
  <c r="F83" i="182" s="1"/>
  <c r="G222" i="183"/>
  <c r="I222" i="183" s="1"/>
  <c r="L222" i="183" s="1"/>
  <c r="M225" i="92"/>
  <c r="F8" i="174"/>
  <c r="C36" i="183"/>
  <c r="D39" i="94"/>
  <c r="F39" i="94" s="1"/>
  <c r="F39" i="92"/>
  <c r="C113" i="183"/>
  <c r="D116" i="94"/>
  <c r="M236" i="92"/>
  <c r="Z62" i="180"/>
  <c r="AA62" i="180" s="1"/>
  <c r="Z64" i="88"/>
  <c r="D256" i="94"/>
  <c r="F256" i="94" s="1"/>
  <c r="F256" i="92"/>
  <c r="C253" i="183"/>
  <c r="B232" i="183"/>
  <c r="C235" i="94"/>
  <c r="F242" i="94"/>
  <c r="W79" i="180"/>
  <c r="F147" i="92"/>
  <c r="C144" i="183"/>
  <c r="D147" i="94"/>
  <c r="F147" i="94" s="1"/>
  <c r="C121" i="183"/>
  <c r="D124" i="94"/>
  <c r="C94" i="183"/>
  <c r="D97" i="94"/>
  <c r="B37" i="182"/>
  <c r="D150" i="94"/>
  <c r="C147" i="183"/>
  <c r="F150" i="92"/>
  <c r="E226" i="95"/>
  <c r="H226" i="95" s="1"/>
  <c r="B243" i="183"/>
  <c r="C246" i="94"/>
  <c r="D70" i="182"/>
  <c r="R71" i="93"/>
  <c r="R228" i="93"/>
  <c r="D227" i="182"/>
  <c r="F35" i="92"/>
  <c r="C32" i="183"/>
  <c r="D35" i="94"/>
  <c r="F35" i="94" s="1"/>
  <c r="X85" i="93"/>
  <c r="E228" i="95"/>
  <c r="H228" i="95" s="1"/>
  <c r="D101" i="183"/>
  <c r="E104" i="94"/>
  <c r="F104" i="94" s="1"/>
  <c r="G265" i="183"/>
  <c r="I265" i="183" s="1"/>
  <c r="L265" i="183" s="1"/>
  <c r="M268" i="92"/>
  <c r="U226" i="93"/>
  <c r="F225" i="182" s="1"/>
  <c r="E274" i="95"/>
  <c r="H274" i="95" s="1"/>
  <c r="G15" i="183"/>
  <c r="O231" i="93"/>
  <c r="D75" i="183"/>
  <c r="E78" i="94"/>
  <c r="G118" i="183"/>
  <c r="C201" i="94"/>
  <c r="B198" i="183"/>
  <c r="F249" i="183"/>
  <c r="U50" i="93"/>
  <c r="F49" i="182" s="1"/>
  <c r="S30" i="86"/>
  <c r="F251" i="183"/>
  <c r="G116" i="183"/>
  <c r="E230" i="95"/>
  <c r="H230" i="95" s="1"/>
  <c r="E19" i="95"/>
  <c r="U172" i="93"/>
  <c r="F171" i="182" s="1"/>
  <c r="F217" i="92"/>
  <c r="C214" i="183"/>
  <c r="D217" i="94"/>
  <c r="F217" i="94" s="1"/>
  <c r="E48" i="95"/>
  <c r="C220" i="94"/>
  <c r="B217" i="183"/>
  <c r="G223" i="183"/>
  <c r="I223" i="183" s="1"/>
  <c r="L223" i="183" s="1"/>
  <c r="M226" i="92"/>
  <c r="E229" i="95"/>
  <c r="H229" i="95" s="1"/>
  <c r="E173" i="95"/>
  <c r="H173" i="95" s="1"/>
  <c r="U174" i="93"/>
  <c r="F173" i="182" s="1"/>
  <c r="G215" i="95"/>
  <c r="B64" i="182"/>
  <c r="C215" i="94"/>
  <c r="B212" i="183"/>
  <c r="D96" i="94"/>
  <c r="C93" i="183"/>
  <c r="D242" i="182"/>
  <c r="R243" i="93"/>
  <c r="F240" i="94"/>
  <c r="R255" i="93"/>
  <c r="D254" i="182"/>
  <c r="D210" i="183"/>
  <c r="E213" i="94"/>
  <c r="D78" i="183"/>
  <c r="E81" i="94"/>
  <c r="F81" i="94" s="1"/>
  <c r="B84" i="182"/>
  <c r="Q33" i="157"/>
  <c r="I33" i="82" s="1"/>
  <c r="C116" i="183"/>
  <c r="D119" i="94"/>
  <c r="C100" i="183"/>
  <c r="D103" i="94"/>
  <c r="U227" i="93"/>
  <c r="F226" i="182" s="1"/>
  <c r="C95" i="183"/>
  <c r="D98" i="94"/>
  <c r="U185" i="93"/>
  <c r="F184" i="182" s="1"/>
  <c r="B245" i="183"/>
  <c r="C248" i="94"/>
  <c r="D117" i="94"/>
  <c r="C114" i="183"/>
  <c r="E24" i="95"/>
  <c r="H24" i="95" s="1"/>
  <c r="D37" i="182"/>
  <c r="R38" i="93"/>
  <c r="G203" i="95"/>
  <c r="B96" i="183"/>
  <c r="C99" i="94"/>
  <c r="E269" i="95"/>
  <c r="O261" i="93"/>
  <c r="B260" i="182"/>
  <c r="N113" i="86"/>
  <c r="N116" i="86" s="1"/>
  <c r="G95" i="183"/>
  <c r="D217" i="183"/>
  <c r="E220" i="94"/>
  <c r="G223" i="95"/>
  <c r="B238" i="183"/>
  <c r="C241" i="94"/>
  <c r="E64" i="95"/>
  <c r="E99" i="94"/>
  <c r="F99" i="94" s="1"/>
  <c r="D96" i="183"/>
  <c r="E154" i="95"/>
  <c r="G114" i="183"/>
  <c r="G98" i="183"/>
  <c r="B266" i="182"/>
  <c r="O267" i="93"/>
  <c r="N119" i="86"/>
  <c r="N122" i="86" s="1"/>
  <c r="G78" i="183"/>
  <c r="G113" i="183"/>
  <c r="G239" i="183"/>
  <c r="G167" i="183"/>
  <c r="I167" i="183" s="1"/>
  <c r="L167" i="183" s="1"/>
  <c r="M170" i="92"/>
  <c r="D212" i="183"/>
  <c r="E215" i="94"/>
  <c r="F120" i="92"/>
  <c r="C213" i="94"/>
  <c r="B210" i="183"/>
  <c r="C119" i="183"/>
  <c r="D122" i="94"/>
  <c r="C92" i="183"/>
  <c r="D95" i="94"/>
  <c r="U228" i="93"/>
  <c r="F227" i="182" s="1"/>
  <c r="D128" i="94"/>
  <c r="F128" i="94" s="1"/>
  <c r="F128" i="92"/>
  <c r="C125" i="183"/>
  <c r="D91" i="94"/>
  <c r="F91" i="94" s="1"/>
  <c r="C88" i="183"/>
  <c r="F91" i="92"/>
  <c r="G218" i="95"/>
  <c r="E182" i="95"/>
  <c r="H182" i="95" s="1"/>
  <c r="D64" i="182"/>
  <c r="R65" i="93"/>
  <c r="B242" i="182"/>
  <c r="C30" i="183"/>
  <c r="D33" i="94"/>
  <c r="F33" i="94" s="1"/>
  <c r="F33" i="92"/>
  <c r="G250" i="183"/>
  <c r="M253" i="92"/>
  <c r="B254" i="182"/>
  <c r="E227" i="95"/>
  <c r="H227" i="95" s="1"/>
  <c r="R85" i="93"/>
  <c r="D84" i="182"/>
  <c r="F32" i="92"/>
  <c r="C29" i="183"/>
  <c r="D32" i="94"/>
  <c r="F32" i="94" s="1"/>
  <c r="E218" i="94"/>
  <c r="D215" i="183"/>
  <c r="S31" i="180"/>
  <c r="U33" i="88"/>
  <c r="M235" i="92"/>
  <c r="Z34" i="88"/>
  <c r="Z32" i="180"/>
  <c r="AA32" i="180" s="1"/>
  <c r="G180" i="183"/>
  <c r="I180" i="183" s="1"/>
  <c r="L180" i="183" s="1"/>
  <c r="M183" i="92"/>
  <c r="E23" i="95"/>
  <c r="H23" i="95" s="1"/>
  <c r="G177" i="183"/>
  <c r="I177" i="183" s="1"/>
  <c r="L177" i="183" s="1"/>
  <c r="M180" i="92"/>
  <c r="G206" i="95"/>
  <c r="E50" i="95"/>
  <c r="G93" i="183"/>
  <c r="F239" i="183"/>
  <c r="F238" i="183"/>
  <c r="O48" i="93"/>
  <c r="B47" i="182"/>
  <c r="N28" i="86"/>
  <c r="G110" i="183"/>
  <c r="U173" i="93"/>
  <c r="F172" i="182" s="1"/>
  <c r="C97" i="183"/>
  <c r="D100" i="94"/>
  <c r="F212" i="92"/>
  <c r="C209" i="183"/>
  <c r="D212" i="94"/>
  <c r="F212" i="94" s="1"/>
  <c r="B235" i="183"/>
  <c r="C238" i="94"/>
  <c r="E22" i="95"/>
  <c r="H22" i="95" s="1"/>
  <c r="D101" i="94"/>
  <c r="C98" i="183"/>
  <c r="D107" i="94"/>
  <c r="C104" i="183"/>
  <c r="E84" i="95"/>
  <c r="H84" i="95" s="1"/>
  <c r="B233" i="183"/>
  <c r="C236" i="94"/>
  <c r="D42" i="182"/>
  <c r="R43" i="93"/>
  <c r="C252" i="94"/>
  <c r="B249" i="183"/>
  <c r="F215" i="183"/>
  <c r="F214" i="183"/>
  <c r="G257" i="183"/>
  <c r="I257" i="183" s="1"/>
  <c r="L257" i="183" s="1"/>
  <c r="M260" i="92"/>
  <c r="G249" i="183"/>
  <c r="B251" i="183"/>
  <c r="C254" i="94"/>
  <c r="G19" i="183"/>
  <c r="I19" i="183" s="1"/>
  <c r="L19" i="183" s="1"/>
  <c r="M22" i="92"/>
  <c r="D213" i="183"/>
  <c r="E216" i="94"/>
  <c r="X167" i="93"/>
  <c r="F41" i="92"/>
  <c r="C38" i="183"/>
  <c r="D41" i="94"/>
  <c r="F41" i="94" s="1"/>
  <c r="X67" i="93"/>
  <c r="E231" i="95"/>
  <c r="H231" i="95" s="1"/>
  <c r="X183" i="93"/>
  <c r="C243" i="94"/>
  <c r="B240" i="183"/>
  <c r="C105" i="183"/>
  <c r="D108" i="94"/>
  <c r="G226" i="183"/>
  <c r="I226" i="183" s="1"/>
  <c r="L226" i="183" s="1"/>
  <c r="M229" i="92"/>
  <c r="D147" i="183"/>
  <c r="E150" i="94"/>
  <c r="G205" i="95"/>
  <c r="U153" i="93"/>
  <c r="F152" i="182" s="1"/>
  <c r="S79" i="86"/>
  <c r="U64" i="93"/>
  <c r="F63" i="182" s="1"/>
  <c r="S38" i="86"/>
  <c r="C115" i="94"/>
  <c r="B112" i="183"/>
  <c r="F150" i="183"/>
  <c r="F147" i="183"/>
  <c r="O226" i="93"/>
  <c r="F15" i="183"/>
  <c r="I15" i="183" s="1"/>
  <c r="L15" i="183" s="1"/>
  <c r="F240" i="183"/>
  <c r="O134" i="93"/>
  <c r="B133" i="182"/>
  <c r="U182" i="93"/>
  <c r="F181" i="182" s="1"/>
  <c r="G168" i="183"/>
  <c r="I168" i="183" s="1"/>
  <c r="L168" i="183" s="1"/>
  <c r="M171" i="92"/>
  <c r="B234" i="183"/>
  <c r="C237" i="94"/>
  <c r="B246" i="183"/>
  <c r="C249" i="94"/>
  <c r="D90" i="182"/>
  <c r="R91" i="93"/>
  <c r="X171" i="93"/>
  <c r="O170" i="93"/>
  <c r="B218" i="183"/>
  <c r="C221" i="94"/>
  <c r="G227" i="183"/>
  <c r="I227" i="183" s="1"/>
  <c r="L227" i="183" s="1"/>
  <c r="M230" i="92"/>
  <c r="B237" i="183"/>
  <c r="C240" i="94"/>
  <c r="B42" i="182"/>
  <c r="C118" i="183"/>
  <c r="D121" i="94"/>
  <c r="M174" i="92"/>
  <c r="U262" i="93"/>
  <c r="F261" i="182" s="1"/>
  <c r="S114" i="86"/>
  <c r="C136" i="94"/>
  <c r="B133" i="183"/>
  <c r="B250" i="183"/>
  <c r="C253" i="94"/>
  <c r="D38" i="182"/>
  <c r="R39" i="93"/>
  <c r="U24" i="93"/>
  <c r="F23" i="182" s="1"/>
  <c r="X65" i="93"/>
  <c r="G251" i="183"/>
  <c r="M254" i="92"/>
  <c r="B175" i="182"/>
  <c r="B33" i="182"/>
  <c r="C259" i="183"/>
  <c r="D262" i="94"/>
  <c r="F262" i="94" s="1"/>
  <c r="F262" i="92"/>
  <c r="D37" i="94"/>
  <c r="F37" i="94" s="1"/>
  <c r="F37" i="92"/>
  <c r="C34" i="183"/>
  <c r="B216" i="183"/>
  <c r="C219" i="94"/>
  <c r="G44" i="183"/>
  <c r="I44" i="183" s="1"/>
  <c r="L44" i="183" s="1"/>
  <c r="M47" i="92"/>
  <c r="U231" i="93"/>
  <c r="F230" i="182" s="1"/>
  <c r="D150" i="183"/>
  <c r="E153" i="94"/>
  <c r="C199" i="183"/>
  <c r="D202" i="94"/>
  <c r="E49" i="95"/>
  <c r="G100" i="183"/>
  <c r="G148" i="183"/>
  <c r="I148" i="183" s="1"/>
  <c r="L148" i="183" s="1"/>
  <c r="M151" i="92"/>
  <c r="U22" i="93"/>
  <c r="F21" i="182" s="1"/>
  <c r="E115" i="94"/>
  <c r="F115" i="94" s="1"/>
  <c r="D112" i="183"/>
  <c r="B107" i="183"/>
  <c r="C110" i="94"/>
  <c r="U274" i="93"/>
  <c r="F273" i="182" s="1"/>
  <c r="S124" i="86"/>
  <c r="G119" i="183"/>
  <c r="G115" i="183"/>
  <c r="G111" i="183"/>
  <c r="G121" i="183"/>
  <c r="O150" i="93"/>
  <c r="B149" i="182"/>
  <c r="N76" i="86"/>
  <c r="N81" i="86" s="1"/>
  <c r="U23" i="93"/>
  <c r="F22" i="182" s="1"/>
  <c r="G240" i="183"/>
  <c r="E262" i="95"/>
  <c r="F89" i="92"/>
  <c r="C86" i="183"/>
  <c r="D89" i="94"/>
  <c r="F89" i="94" s="1"/>
  <c r="G220" i="95"/>
  <c r="C103" i="183"/>
  <c r="D106" i="94"/>
  <c r="B90" i="182"/>
  <c r="E172" i="95"/>
  <c r="H172" i="95" s="1"/>
  <c r="E174" i="95"/>
  <c r="H174" i="95" s="1"/>
  <c r="D211" i="183"/>
  <c r="E214" i="94"/>
  <c r="C242" i="94"/>
  <c r="B239" i="183"/>
  <c r="G225" i="183"/>
  <c r="I225" i="183" s="1"/>
  <c r="L225" i="183" s="1"/>
  <c r="M228" i="92"/>
  <c r="O181" i="93"/>
  <c r="O256" i="93"/>
  <c r="C110" i="183"/>
  <c r="D113" i="94"/>
  <c r="F8" i="2"/>
  <c r="E8" i="174" s="1"/>
  <c r="H18" i="77"/>
  <c r="H20" i="77" s="1"/>
  <c r="F94" i="94"/>
  <c r="F241" i="94"/>
  <c r="B227" i="182"/>
  <c r="F31" i="92"/>
  <c r="C28" i="183"/>
  <c r="D31" i="94"/>
  <c r="F31" i="94" s="1"/>
  <c r="F36" i="92"/>
  <c r="C33" i="183"/>
  <c r="D36" i="94"/>
  <c r="F36" i="94" s="1"/>
  <c r="F110" i="92"/>
  <c r="C108" i="183"/>
  <c r="D111" i="94"/>
  <c r="B38" i="182"/>
  <c r="D190" i="183"/>
  <c r="E193" i="94"/>
  <c r="D175" i="182"/>
  <c r="R176" i="93"/>
  <c r="U19" i="93"/>
  <c r="F18" i="182" s="1"/>
  <c r="S15" i="86"/>
  <c r="D34" i="182"/>
  <c r="R35" i="93"/>
  <c r="D33" i="182"/>
  <c r="R34" i="93"/>
  <c r="O165" i="93"/>
  <c r="N92" i="86"/>
  <c r="F40" i="92"/>
  <c r="C37" i="183"/>
  <c r="D40" i="94"/>
  <c r="F40" i="94" s="1"/>
  <c r="X66" i="93"/>
  <c r="U49" i="93"/>
  <c r="F48" i="182" s="1"/>
  <c r="S29" i="86"/>
  <c r="Q56" i="93"/>
  <c r="Q57" i="93"/>
  <c r="F236" i="183"/>
  <c r="F231" i="183"/>
  <c r="F247" i="183"/>
  <c r="F75" i="183"/>
  <c r="F97" i="92"/>
  <c r="F105" i="92"/>
  <c r="F107" i="92"/>
  <c r="F119" i="92"/>
  <c r="F118" i="92"/>
  <c r="F116" i="92"/>
  <c r="F101" i="92"/>
  <c r="F122" i="92"/>
  <c r="R251" i="93" l="1"/>
  <c r="D250" i="182"/>
  <c r="D133" i="182"/>
  <c r="D174" i="182"/>
  <c r="R249" i="93"/>
  <c r="D47" i="182"/>
  <c r="D89" i="182"/>
  <c r="D266" i="182"/>
  <c r="D149" i="182"/>
  <c r="D260" i="182"/>
  <c r="D248" i="182"/>
  <c r="B248" i="182"/>
  <c r="M252" i="92"/>
  <c r="M81" i="92"/>
  <c r="B239" i="182"/>
  <c r="M243" i="92"/>
  <c r="D239" i="182"/>
  <c r="R240" i="93"/>
  <c r="S91" i="86"/>
  <c r="M246" i="92"/>
  <c r="B238" i="182"/>
  <c r="I240" i="183"/>
  <c r="L240" i="183" s="1"/>
  <c r="F193" i="94"/>
  <c r="X166" i="93"/>
  <c r="B237" i="182"/>
  <c r="B249" i="182"/>
  <c r="X178" i="93"/>
  <c r="R239" i="93"/>
  <c r="D238" i="182"/>
  <c r="D237" i="182"/>
  <c r="R238" i="93"/>
  <c r="X169" i="93"/>
  <c r="R250" i="93"/>
  <c r="D249" i="182"/>
  <c r="G160" i="183"/>
  <c r="I160" i="183" s="1"/>
  <c r="L160" i="183" s="1"/>
  <c r="M163" i="92"/>
  <c r="X177" i="93"/>
  <c r="U165" i="93"/>
  <c r="F164" i="182" s="1"/>
  <c r="S92" i="86"/>
  <c r="E165" i="95"/>
  <c r="H165" i="95" s="1"/>
  <c r="U176" i="93"/>
  <c r="F175" i="182" s="1"/>
  <c r="F70" i="183"/>
  <c r="F63" i="183"/>
  <c r="D93" i="183"/>
  <c r="E96" i="94"/>
  <c r="E270" i="95"/>
  <c r="S30" i="180"/>
  <c r="U32" i="88"/>
  <c r="G130" i="183"/>
  <c r="I130" i="183" s="1"/>
  <c r="L130" i="183" s="1"/>
  <c r="M133" i="92"/>
  <c r="E170" i="95"/>
  <c r="H170" i="95" s="1"/>
  <c r="B230" i="182"/>
  <c r="E250" i="95"/>
  <c r="H250" i="95" s="1"/>
  <c r="O120" i="93"/>
  <c r="O116" i="93"/>
  <c r="E98" i="94"/>
  <c r="F98" i="94" s="1"/>
  <c r="D95" i="183"/>
  <c r="O121" i="93"/>
  <c r="U152" i="93"/>
  <c r="F151" i="182" s="1"/>
  <c r="O230" i="93"/>
  <c r="O216" i="93"/>
  <c r="O138" i="93"/>
  <c r="B137" i="182"/>
  <c r="U83" i="93"/>
  <c r="F82" i="182" s="1"/>
  <c r="D255" i="182"/>
  <c r="R256" i="93"/>
  <c r="G231" i="183"/>
  <c r="I231" i="183" s="1"/>
  <c r="L231" i="183" s="1"/>
  <c r="M234" i="92"/>
  <c r="X274" i="93"/>
  <c r="D205" i="183"/>
  <c r="E208" i="94"/>
  <c r="B169" i="182"/>
  <c r="N32" i="157"/>
  <c r="L35" i="157"/>
  <c r="U135" i="93"/>
  <c r="F134" i="182" s="1"/>
  <c r="S61" i="86"/>
  <c r="U239" i="93"/>
  <c r="F238" i="182" s="1"/>
  <c r="G104" i="183"/>
  <c r="G220" i="183"/>
  <c r="I220" i="183" s="1"/>
  <c r="L220" i="183" s="1"/>
  <c r="M223" i="92"/>
  <c r="F98" i="92"/>
  <c r="M18" i="92"/>
  <c r="I78" i="183"/>
  <c r="L78" i="183" s="1"/>
  <c r="F56" i="183"/>
  <c r="F46" i="183"/>
  <c r="E176" i="95"/>
  <c r="H176" i="95" s="1"/>
  <c r="B73" i="183"/>
  <c r="C76" i="94"/>
  <c r="E255" i="95"/>
  <c r="H255" i="95" s="1"/>
  <c r="R242" i="93"/>
  <c r="D241" i="182"/>
  <c r="D100" i="183"/>
  <c r="E103" i="94"/>
  <c r="F103" i="94" s="1"/>
  <c r="F241" i="183"/>
  <c r="F242" i="183"/>
  <c r="B255" i="182"/>
  <c r="F103" i="92"/>
  <c r="E249" i="95"/>
  <c r="H249" i="95" s="1"/>
  <c r="D198" i="183"/>
  <c r="E201" i="94"/>
  <c r="E254" i="95"/>
  <c r="H254" i="95" s="1"/>
  <c r="U225" i="93"/>
  <c r="F224" i="182" s="1"/>
  <c r="G107" i="183"/>
  <c r="O223" i="93"/>
  <c r="U253" i="93"/>
  <c r="F252" i="182" s="1"/>
  <c r="U237" i="93"/>
  <c r="F236" i="182" s="1"/>
  <c r="G77" i="183"/>
  <c r="I77" i="183" s="1"/>
  <c r="L77" i="183" s="1"/>
  <c r="M80" i="92"/>
  <c r="B164" i="182"/>
  <c r="F218" i="92"/>
  <c r="C215" i="183"/>
  <c r="D218" i="94"/>
  <c r="F218" i="94" s="1"/>
  <c r="G230" i="183"/>
  <c r="F153" i="92"/>
  <c r="C150" i="183"/>
  <c r="D153" i="94"/>
  <c r="F153" i="94" s="1"/>
  <c r="X22" i="93"/>
  <c r="D169" i="182"/>
  <c r="R170" i="93"/>
  <c r="E240" i="95"/>
  <c r="H240" i="95" s="1"/>
  <c r="I238" i="183"/>
  <c r="L238" i="183" s="1"/>
  <c r="G42" i="183"/>
  <c r="I42" i="183" s="1"/>
  <c r="L42" i="183" s="1"/>
  <c r="M45" i="92"/>
  <c r="G219" i="183"/>
  <c r="I219" i="183" s="1"/>
  <c r="L219" i="183" s="1"/>
  <c r="M222" i="92"/>
  <c r="X185" i="93"/>
  <c r="F96" i="92"/>
  <c r="F136" i="92"/>
  <c r="C133" i="183"/>
  <c r="D136" i="94"/>
  <c r="F136" i="94" s="1"/>
  <c r="E238" i="95"/>
  <c r="H238" i="95" s="1"/>
  <c r="G259" i="183"/>
  <c r="I259" i="183" s="1"/>
  <c r="L259" i="183" s="1"/>
  <c r="M262" i="92"/>
  <c r="F150" i="94"/>
  <c r="D214" i="94"/>
  <c r="F214" i="94" s="1"/>
  <c r="C211" i="183"/>
  <c r="F214" i="92"/>
  <c r="X21" i="93"/>
  <c r="C85" i="94"/>
  <c r="B82" i="183"/>
  <c r="G144" i="183"/>
  <c r="I144" i="183" s="1"/>
  <c r="L144" i="183" s="1"/>
  <c r="M147" i="92"/>
  <c r="C217" i="183"/>
  <c r="D220" i="94"/>
  <c r="F220" i="94" s="1"/>
  <c r="F220" i="92"/>
  <c r="E251" i="95"/>
  <c r="H251" i="95" s="1"/>
  <c r="B253" i="182"/>
  <c r="O33" i="93"/>
  <c r="G246" i="183"/>
  <c r="I246" i="183" s="1"/>
  <c r="L246" i="183" s="1"/>
  <c r="M249" i="92"/>
  <c r="F234" i="183"/>
  <c r="I234" i="183" s="1"/>
  <c r="L234" i="183" s="1"/>
  <c r="M237" i="92"/>
  <c r="X226" i="93"/>
  <c r="U238" i="93"/>
  <c r="F237" i="182" s="1"/>
  <c r="U164" i="93"/>
  <c r="F163" i="182" s="1"/>
  <c r="D108" i="183"/>
  <c r="E111" i="94"/>
  <c r="F111" i="94" s="1"/>
  <c r="O221" i="93"/>
  <c r="G96" i="183"/>
  <c r="E253" i="95"/>
  <c r="H253" i="95" s="1"/>
  <c r="D164" i="182"/>
  <c r="R165" i="93"/>
  <c r="U133" i="93"/>
  <c r="F132" i="182" s="1"/>
  <c r="S59" i="86"/>
  <c r="U243" i="93"/>
  <c r="F242" i="182" s="1"/>
  <c r="F221" i="92"/>
  <c r="C218" i="183"/>
  <c r="D221" i="94"/>
  <c r="F221" i="94" s="1"/>
  <c r="F201" i="92"/>
  <c r="C198" i="183"/>
  <c r="D201" i="94"/>
  <c r="F96" i="94"/>
  <c r="F213" i="92"/>
  <c r="C210" i="183"/>
  <c r="D213" i="94"/>
  <c r="F213" i="94" s="1"/>
  <c r="G159" i="183"/>
  <c r="I159" i="183" s="1"/>
  <c r="L159" i="183" s="1"/>
  <c r="M162" i="92"/>
  <c r="I249" i="183"/>
  <c r="L249" i="183" s="1"/>
  <c r="U261" i="93"/>
  <c r="F260" i="182" s="1"/>
  <c r="S113" i="86"/>
  <c r="S116" i="86" s="1"/>
  <c r="H8" i="175"/>
  <c r="G8" i="174"/>
  <c r="J8" i="174"/>
  <c r="X84" i="93"/>
  <c r="D219" i="94"/>
  <c r="F219" i="94" s="1"/>
  <c r="F219" i="92"/>
  <c r="C216" i="183"/>
  <c r="U251" i="93"/>
  <c r="F250" i="182" s="1"/>
  <c r="F244" i="183"/>
  <c r="I244" i="183" s="1"/>
  <c r="L244" i="183" s="1"/>
  <c r="M247" i="92"/>
  <c r="E267" i="95"/>
  <c r="U150" i="93"/>
  <c r="F149" i="182" s="1"/>
  <c r="S76" i="86"/>
  <c r="F245" i="183"/>
  <c r="I245" i="183" s="1"/>
  <c r="L245" i="183" s="1"/>
  <c r="M248" i="92"/>
  <c r="D253" i="182"/>
  <c r="R254" i="93"/>
  <c r="X170" i="93"/>
  <c r="O218" i="93"/>
  <c r="O149" i="93"/>
  <c r="B148" i="182"/>
  <c r="Z31" i="180"/>
  <c r="AA31" i="180" s="1"/>
  <c r="Z33" i="88"/>
  <c r="G92" i="183"/>
  <c r="B241" i="182"/>
  <c r="O109" i="93"/>
  <c r="E107" i="94"/>
  <c r="F107" i="94" s="1"/>
  <c r="D104" i="183"/>
  <c r="O104" i="93"/>
  <c r="O100" i="93"/>
  <c r="O124" i="93"/>
  <c r="E153" i="95"/>
  <c r="U270" i="93"/>
  <c r="F269" i="182" s="1"/>
  <c r="U20" i="93"/>
  <c r="F19" i="182" s="1"/>
  <c r="S16" i="86"/>
  <c r="E20" i="95"/>
  <c r="B192" i="183"/>
  <c r="C195" i="94"/>
  <c r="U47" i="93"/>
  <c r="F46" i="182" s="1"/>
  <c r="X24" i="93"/>
  <c r="G125" i="183"/>
  <c r="I125" i="183" s="1"/>
  <c r="L125" i="183" s="1"/>
  <c r="M128" i="92"/>
  <c r="U181" i="93"/>
  <c r="F180" i="182" s="1"/>
  <c r="U245" i="93"/>
  <c r="F244" i="182" s="1"/>
  <c r="F235" i="183"/>
  <c r="I235" i="183" s="1"/>
  <c r="L235" i="183" s="1"/>
  <c r="M238" i="92"/>
  <c r="M242" i="92"/>
  <c r="G108" i="183"/>
  <c r="G170" i="183"/>
  <c r="I170" i="183" s="1"/>
  <c r="L170" i="183" s="1"/>
  <c r="M173" i="92"/>
  <c r="G59" i="95"/>
  <c r="G165" i="183"/>
  <c r="I165" i="183" s="1"/>
  <c r="L165" i="183" s="1"/>
  <c r="M168" i="92"/>
  <c r="U254" i="93"/>
  <c r="F253" i="182" s="1"/>
  <c r="G149" i="183"/>
  <c r="I149" i="183" s="1"/>
  <c r="L149" i="183" s="1"/>
  <c r="M152" i="92"/>
  <c r="G256" i="183"/>
  <c r="I256" i="183" s="1"/>
  <c r="L256" i="183" s="1"/>
  <c r="M259" i="92"/>
  <c r="F208" i="183"/>
  <c r="F209" i="183"/>
  <c r="U249" i="93"/>
  <c r="F248" i="182" s="1"/>
  <c r="F208" i="92"/>
  <c r="C205" i="183"/>
  <c r="D208" i="94"/>
  <c r="G145" i="183"/>
  <c r="I145" i="183" s="1"/>
  <c r="L145" i="183" s="1"/>
  <c r="M148" i="92"/>
  <c r="E261" i="95"/>
  <c r="U250" i="93"/>
  <c r="F249" i="182" s="1"/>
  <c r="O99" i="93"/>
  <c r="O98" i="93"/>
  <c r="O110" i="93"/>
  <c r="D113" i="183"/>
  <c r="E116" i="94"/>
  <c r="F116" i="94" s="1"/>
  <c r="O108" i="93"/>
  <c r="D105" i="183"/>
  <c r="E108" i="94"/>
  <c r="F108" i="94" s="1"/>
  <c r="O114" i="93"/>
  <c r="O125" i="93"/>
  <c r="B195" i="183"/>
  <c r="C198" i="94"/>
  <c r="O222" i="93"/>
  <c r="O217" i="93"/>
  <c r="U242" i="93"/>
  <c r="F241" i="182" s="1"/>
  <c r="G112" i="183"/>
  <c r="U31" i="88"/>
  <c r="S29" i="180"/>
  <c r="E83" i="95"/>
  <c r="U267" i="93"/>
  <c r="F266" i="182" s="1"/>
  <c r="S119" i="86"/>
  <c r="S122" i="86" s="1"/>
  <c r="B180" i="182"/>
  <c r="X23" i="93"/>
  <c r="G128" i="183"/>
  <c r="I128" i="183" s="1"/>
  <c r="L128" i="183" s="1"/>
  <c r="M131" i="92"/>
  <c r="G247" i="183"/>
  <c r="I247" i="183" s="1"/>
  <c r="L247" i="183" s="1"/>
  <c r="M250" i="92"/>
  <c r="E239" i="95"/>
  <c r="H239" i="95" s="1"/>
  <c r="C200" i="183"/>
  <c r="D203" i="94"/>
  <c r="E133" i="95"/>
  <c r="X173" i="93"/>
  <c r="G237" i="183"/>
  <c r="I237" i="183" s="1"/>
  <c r="L237" i="183" s="1"/>
  <c r="M240" i="92"/>
  <c r="U240" i="93"/>
  <c r="F239" i="182" s="1"/>
  <c r="C201" i="183"/>
  <c r="D204" i="94"/>
  <c r="X228" i="93"/>
  <c r="O206" i="93"/>
  <c r="G176" i="183"/>
  <c r="I176" i="183" s="1"/>
  <c r="L176" i="183" s="1"/>
  <c r="M179" i="92"/>
  <c r="X227" i="93"/>
  <c r="B75" i="183"/>
  <c r="C78" i="94"/>
  <c r="I251" i="183"/>
  <c r="L251" i="183" s="1"/>
  <c r="U154" i="93"/>
  <c r="F153" i="182" s="1"/>
  <c r="S80" i="86"/>
  <c r="E256" i="95"/>
  <c r="H256" i="95" s="1"/>
  <c r="X229" i="93"/>
  <c r="C212" i="183"/>
  <c r="F215" i="92"/>
  <c r="D215" i="94"/>
  <c r="F215" i="94" s="1"/>
  <c r="G99" i="183"/>
  <c r="E245" i="95"/>
  <c r="H245" i="95" s="1"/>
  <c r="E194" i="94"/>
  <c r="F194" i="94" s="1"/>
  <c r="D191" i="183"/>
  <c r="O115" i="93"/>
  <c r="E122" i="94"/>
  <c r="F122" i="94" s="1"/>
  <c r="D119" i="183"/>
  <c r="O105" i="93"/>
  <c r="E225" i="95"/>
  <c r="H225" i="95" s="1"/>
  <c r="O21" i="93"/>
  <c r="O270" i="93"/>
  <c r="B269" i="182"/>
  <c r="B199" i="183"/>
  <c r="C202" i="94"/>
  <c r="E242" i="95"/>
  <c r="H242" i="95" s="1"/>
  <c r="B46" i="182"/>
  <c r="O47" i="93"/>
  <c r="G262" i="183"/>
  <c r="I262" i="183" s="1"/>
  <c r="L262" i="183" s="1"/>
  <c r="M265" i="92"/>
  <c r="D180" i="182"/>
  <c r="R181" i="93"/>
  <c r="X231" i="93"/>
  <c r="G248" i="183"/>
  <c r="I248" i="183" s="1"/>
  <c r="L248" i="183" s="1"/>
  <c r="M251" i="92"/>
  <c r="E244" i="95"/>
  <c r="H244" i="95" s="1"/>
  <c r="B225" i="182"/>
  <c r="F108" i="92"/>
  <c r="E135" i="95"/>
  <c r="G236" i="183"/>
  <c r="I236" i="183" s="1"/>
  <c r="L236" i="183" s="1"/>
  <c r="M239" i="92"/>
  <c r="I239" i="183"/>
  <c r="L239" i="183" s="1"/>
  <c r="F216" i="92"/>
  <c r="C213" i="183"/>
  <c r="D216" i="94"/>
  <c r="F216" i="94" s="1"/>
  <c r="G60" i="95"/>
  <c r="U256" i="93"/>
  <c r="F255" i="182" s="1"/>
  <c r="G102" i="183"/>
  <c r="I250" i="183"/>
  <c r="L250" i="183" s="1"/>
  <c r="B41" i="182"/>
  <c r="F194" i="92"/>
  <c r="D116" i="183"/>
  <c r="E119" i="94"/>
  <c r="F119" i="94" s="1"/>
  <c r="O225" i="93"/>
  <c r="O126" i="93"/>
  <c r="D98" i="183"/>
  <c r="E101" i="94"/>
  <c r="F101" i="94" s="1"/>
  <c r="D115" i="183"/>
  <c r="E118" i="94"/>
  <c r="F118" i="94" s="1"/>
  <c r="D102" i="183"/>
  <c r="E105" i="94"/>
  <c r="F105" i="94" s="1"/>
  <c r="D94" i="183"/>
  <c r="E97" i="94"/>
  <c r="F97" i="94" s="1"/>
  <c r="O119" i="93"/>
  <c r="O103" i="93"/>
  <c r="O241" i="93"/>
  <c r="E47" i="95"/>
  <c r="E248" i="95"/>
  <c r="H248" i="95" s="1"/>
  <c r="U248" i="93"/>
  <c r="F247" i="182" s="1"/>
  <c r="O264" i="93"/>
  <c r="B263" i="182"/>
  <c r="B202" i="183"/>
  <c r="C205" i="94"/>
  <c r="U230" i="93"/>
  <c r="F229" i="182" s="1"/>
  <c r="E237" i="95"/>
  <c r="H237" i="95" s="1"/>
  <c r="B82" i="182"/>
  <c r="O83" i="93"/>
  <c r="G117" i="183"/>
  <c r="O164" i="93"/>
  <c r="B163" i="182"/>
  <c r="N91" i="86"/>
  <c r="F111" i="92"/>
  <c r="X182" i="93"/>
  <c r="R226" i="93"/>
  <c r="D225" i="182"/>
  <c r="U244" i="93"/>
  <c r="F243" i="182" s="1"/>
  <c r="E181" i="95"/>
  <c r="H181" i="95" s="1"/>
  <c r="E243" i="95"/>
  <c r="H243" i="95" s="1"/>
  <c r="F56" i="92"/>
  <c r="C53" i="183"/>
  <c r="D56" i="94"/>
  <c r="F56" i="94" s="1"/>
  <c r="X174" i="93"/>
  <c r="X172" i="93"/>
  <c r="D230" i="182"/>
  <c r="R231" i="93"/>
  <c r="O253" i="93"/>
  <c r="M241" i="92"/>
  <c r="U255" i="93"/>
  <c r="F254" i="182" s="1"/>
  <c r="D41" i="182"/>
  <c r="R42" i="93"/>
  <c r="X232" i="93"/>
  <c r="G103" i="183"/>
  <c r="E150" i="95"/>
  <c r="Q54" i="93"/>
  <c r="Q53" i="93"/>
  <c r="F74" i="183"/>
  <c r="F102" i="183"/>
  <c r="F108" i="183"/>
  <c r="D263" i="182" l="1"/>
  <c r="D82" i="182"/>
  <c r="D269" i="182"/>
  <c r="D148" i="182"/>
  <c r="D46" i="182"/>
  <c r="D137" i="182"/>
  <c r="D163" i="182"/>
  <c r="I108" i="183"/>
  <c r="L108" i="183" s="1"/>
  <c r="F208" i="94"/>
  <c r="I102" i="183"/>
  <c r="L102" i="183" s="1"/>
  <c r="F201" i="94"/>
  <c r="X165" i="93"/>
  <c r="O248" i="93"/>
  <c r="M105" i="92"/>
  <c r="X176" i="93"/>
  <c r="O237" i="93"/>
  <c r="S81" i="86"/>
  <c r="X181" i="93"/>
  <c r="G150" i="183"/>
  <c r="I150" i="183" s="1"/>
  <c r="L150" i="183" s="1"/>
  <c r="M153" i="92"/>
  <c r="D118" i="182"/>
  <c r="R119" i="93"/>
  <c r="B125" i="182"/>
  <c r="B205" i="182"/>
  <c r="B221" i="182"/>
  <c r="D98" i="182"/>
  <c r="R99" i="93"/>
  <c r="X245" i="93"/>
  <c r="B108" i="182"/>
  <c r="D217" i="182"/>
  <c r="R218" i="93"/>
  <c r="R221" i="93"/>
  <c r="D220" i="182"/>
  <c r="X238" i="93"/>
  <c r="B215" i="182"/>
  <c r="B92" i="183"/>
  <c r="C95" i="94"/>
  <c r="D99" i="183"/>
  <c r="E102" i="94"/>
  <c r="F102" i="94" s="1"/>
  <c r="F102" i="92"/>
  <c r="G147" i="183"/>
  <c r="I147" i="183" s="1"/>
  <c r="L147" i="183" s="1"/>
  <c r="M150" i="92"/>
  <c r="X225" i="93"/>
  <c r="E175" i="95"/>
  <c r="U247" i="93"/>
  <c r="F246" i="182" s="1"/>
  <c r="O118" i="93"/>
  <c r="O123" i="93"/>
  <c r="O32" i="93"/>
  <c r="B201" i="183"/>
  <c r="C204" i="94"/>
  <c r="B193" i="183"/>
  <c r="C196" i="94"/>
  <c r="E236" i="95"/>
  <c r="H236" i="95" s="1"/>
  <c r="O60" i="93"/>
  <c r="G106" i="183"/>
  <c r="E149" i="95"/>
  <c r="G241" i="183"/>
  <c r="I241" i="183" s="1"/>
  <c r="L241" i="183" s="1"/>
  <c r="M244" i="92"/>
  <c r="B118" i="182"/>
  <c r="D125" i="182"/>
  <c r="R126" i="93"/>
  <c r="D224" i="182"/>
  <c r="R225" i="93"/>
  <c r="D202" i="183"/>
  <c r="E205" i="94"/>
  <c r="F205" i="94" s="1"/>
  <c r="F205" i="92"/>
  <c r="C124" i="94"/>
  <c r="B121" i="183"/>
  <c r="E106" i="94"/>
  <c r="F106" i="94" s="1"/>
  <c r="D103" i="183"/>
  <c r="F106" i="92"/>
  <c r="C114" i="94"/>
  <c r="B111" i="183"/>
  <c r="R206" i="93"/>
  <c r="D205" i="182"/>
  <c r="E91" i="95"/>
  <c r="H91" i="95" s="1"/>
  <c r="R222" i="93"/>
  <c r="D221" i="182"/>
  <c r="B98" i="182"/>
  <c r="X254" i="93"/>
  <c r="B123" i="182"/>
  <c r="B99" i="182"/>
  <c r="R109" i="93"/>
  <c r="D108" i="182"/>
  <c r="U149" i="93"/>
  <c r="F148" i="182" s="1"/>
  <c r="B94" i="183"/>
  <c r="C97" i="94"/>
  <c r="X237" i="93"/>
  <c r="B93" i="183"/>
  <c r="C96" i="94"/>
  <c r="G32" i="82"/>
  <c r="N35" i="157"/>
  <c r="G35" i="82" s="1"/>
  <c r="E92" i="95"/>
  <c r="H92" i="95" s="1"/>
  <c r="D215" i="182"/>
  <c r="R216" i="93"/>
  <c r="E104" i="95"/>
  <c r="H104" i="95" s="1"/>
  <c r="X239" i="93"/>
  <c r="D229" i="182"/>
  <c r="R230" i="93"/>
  <c r="B200" i="183"/>
  <c r="C203" i="94"/>
  <c r="C200" i="94"/>
  <c r="B197" i="183"/>
  <c r="U82" i="93"/>
  <c r="F81" i="182" s="1"/>
  <c r="S46" i="86"/>
  <c r="D199" i="183"/>
  <c r="E202" i="94"/>
  <c r="F202" i="94" s="1"/>
  <c r="F202" i="92"/>
  <c r="B224" i="182"/>
  <c r="O113" i="93"/>
  <c r="U224" i="93"/>
  <c r="F223" i="182" s="1"/>
  <c r="S106" i="86"/>
  <c r="B203" i="183"/>
  <c r="C206" i="94"/>
  <c r="B196" i="183"/>
  <c r="C199" i="94"/>
  <c r="E82" i="95"/>
  <c r="H82" i="95" s="1"/>
  <c r="O252" i="93"/>
  <c r="G57" i="95"/>
  <c r="G242" i="183"/>
  <c r="I242" i="183" s="1"/>
  <c r="L242" i="183" s="1"/>
  <c r="M245" i="92"/>
  <c r="F194" i="183"/>
  <c r="B240" i="182"/>
  <c r="D102" i="182"/>
  <c r="R103" i="93"/>
  <c r="F197" i="183"/>
  <c r="D73" i="183"/>
  <c r="E76" i="94"/>
  <c r="B20" i="182"/>
  <c r="U93" i="93"/>
  <c r="F92" i="182" s="1"/>
  <c r="B216" i="182"/>
  <c r="B124" i="182"/>
  <c r="B109" i="182"/>
  <c r="B97" i="182"/>
  <c r="X250" i="93"/>
  <c r="R124" i="93"/>
  <c r="D123" i="182"/>
  <c r="R100" i="93"/>
  <c r="D99" i="182"/>
  <c r="D110" i="183"/>
  <c r="E113" i="94"/>
  <c r="F113" i="94" s="1"/>
  <c r="F113" i="92"/>
  <c r="B32" i="182"/>
  <c r="O199" i="93"/>
  <c r="B110" i="183"/>
  <c r="C113" i="94"/>
  <c r="F113" i="183"/>
  <c r="I113" i="183" s="1"/>
  <c r="L113" i="183" s="1"/>
  <c r="M116" i="92"/>
  <c r="B154" i="182"/>
  <c r="O155" i="93"/>
  <c r="F204" i="183"/>
  <c r="B114" i="182"/>
  <c r="B118" i="183"/>
  <c r="C121" i="94"/>
  <c r="F98" i="183"/>
  <c r="I98" i="183" s="1"/>
  <c r="L98" i="183" s="1"/>
  <c r="M101" i="92"/>
  <c r="B204" i="183"/>
  <c r="C207" i="94"/>
  <c r="O220" i="93"/>
  <c r="O215" i="93"/>
  <c r="F82" i="183"/>
  <c r="F73" i="183"/>
  <c r="O82" i="93"/>
  <c r="N46" i="86"/>
  <c r="E93" i="95"/>
  <c r="H93" i="95" s="1"/>
  <c r="G129" i="183"/>
  <c r="I129" i="183" s="1"/>
  <c r="L129" i="183" s="1"/>
  <c r="M132" i="92"/>
  <c r="Z30" i="180"/>
  <c r="AA30" i="180" s="1"/>
  <c r="Z32" i="88"/>
  <c r="R241" i="93"/>
  <c r="D240" i="182"/>
  <c r="B102" i="182"/>
  <c r="E123" i="94"/>
  <c r="F123" i="94" s="1"/>
  <c r="D120" i="183"/>
  <c r="F123" i="92"/>
  <c r="B109" i="183"/>
  <c r="C112" i="94"/>
  <c r="D20" i="182"/>
  <c r="R21" i="93"/>
  <c r="D114" i="183"/>
  <c r="E117" i="94"/>
  <c r="F117" i="94" s="1"/>
  <c r="F117" i="92"/>
  <c r="B97" i="183"/>
  <c r="C100" i="94"/>
  <c r="G88" i="183"/>
  <c r="I88" i="183" s="1"/>
  <c r="L88" i="183" s="1"/>
  <c r="M91" i="92"/>
  <c r="X240" i="93"/>
  <c r="D216" i="182"/>
  <c r="R217" i="93"/>
  <c r="D124" i="182"/>
  <c r="R125" i="93"/>
  <c r="D109" i="182"/>
  <c r="R110" i="93"/>
  <c r="D97" i="182"/>
  <c r="R98" i="93"/>
  <c r="F57" i="92"/>
  <c r="C54" i="183"/>
  <c r="D57" i="94"/>
  <c r="F57" i="94" s="1"/>
  <c r="B100" i="183"/>
  <c r="C103" i="94"/>
  <c r="U264" i="93"/>
  <c r="F263" i="182" s="1"/>
  <c r="D32" i="182"/>
  <c r="R33" i="93"/>
  <c r="U92" i="93"/>
  <c r="F91" i="182" s="1"/>
  <c r="S66" i="180"/>
  <c r="U68" i="88"/>
  <c r="X253" i="93"/>
  <c r="D97" i="183"/>
  <c r="E100" i="94"/>
  <c r="F100" i="94" s="1"/>
  <c r="F100" i="92"/>
  <c r="B119" i="182"/>
  <c r="E164" i="95"/>
  <c r="O73" i="93"/>
  <c r="G86" i="183"/>
  <c r="I86" i="183" s="1"/>
  <c r="L86" i="183" s="1"/>
  <c r="M89" i="92"/>
  <c r="B205" i="183"/>
  <c r="C208" i="94"/>
  <c r="M111" i="92"/>
  <c r="B119" i="183"/>
  <c r="C122" i="94"/>
  <c r="B194" i="183"/>
  <c r="C197" i="94"/>
  <c r="F93" i="183"/>
  <c r="I93" i="183" s="1"/>
  <c r="L93" i="183" s="1"/>
  <c r="M96" i="92"/>
  <c r="E123" i="95"/>
  <c r="H123" i="95" s="1"/>
  <c r="O41" i="93"/>
  <c r="O224" i="93"/>
  <c r="B223" i="182"/>
  <c r="N106" i="86"/>
  <c r="O20" i="93"/>
  <c r="B19" i="182"/>
  <c r="N16" i="86"/>
  <c r="G90" i="183"/>
  <c r="U236" i="93"/>
  <c r="F235" i="182" s="1"/>
  <c r="X255" i="93"/>
  <c r="B252" i="182"/>
  <c r="G56" i="95"/>
  <c r="G133" i="183"/>
  <c r="I133" i="183" s="1"/>
  <c r="L133" i="183" s="1"/>
  <c r="M136" i="92"/>
  <c r="X244" i="93"/>
  <c r="Q32" i="157"/>
  <c r="O35" i="157"/>
  <c r="E195" i="94"/>
  <c r="F195" i="94" s="1"/>
  <c r="D192" i="183"/>
  <c r="F195" i="92"/>
  <c r="E134" i="95"/>
  <c r="D195" i="183"/>
  <c r="E198" i="94"/>
  <c r="F198" i="94" s="1"/>
  <c r="F198" i="92"/>
  <c r="B104" i="182"/>
  <c r="B107" i="182"/>
  <c r="E264" i="95"/>
  <c r="U175" i="93"/>
  <c r="F174" i="182" s="1"/>
  <c r="B120" i="183"/>
  <c r="C123" i="94"/>
  <c r="D121" i="183"/>
  <c r="E124" i="94"/>
  <c r="F124" i="94" s="1"/>
  <c r="F124" i="92"/>
  <c r="U130" i="93"/>
  <c r="F129" i="182" s="1"/>
  <c r="B99" i="183"/>
  <c r="C102" i="94"/>
  <c r="G87" i="183"/>
  <c r="I87" i="183" s="1"/>
  <c r="L87" i="183" s="1"/>
  <c r="M90" i="92"/>
  <c r="N68" i="157"/>
  <c r="G68" i="82" s="1"/>
  <c r="L72" i="157"/>
  <c r="D119" i="182"/>
  <c r="R120" i="93"/>
  <c r="E252" i="95"/>
  <c r="H252" i="95" s="1"/>
  <c r="X230" i="93"/>
  <c r="D92" i="183"/>
  <c r="E95" i="94"/>
  <c r="F95" i="94" s="1"/>
  <c r="F95" i="92"/>
  <c r="D113" i="182"/>
  <c r="R114" i="93"/>
  <c r="O202" i="93"/>
  <c r="B217" i="182"/>
  <c r="B222" i="182"/>
  <c r="F118" i="183"/>
  <c r="I118" i="183" s="1"/>
  <c r="L118" i="183" s="1"/>
  <c r="M121" i="92"/>
  <c r="O107" i="93"/>
  <c r="O97" i="93"/>
  <c r="O37" i="93"/>
  <c r="O70" i="93"/>
  <c r="U252" i="93"/>
  <c r="F251" i="182" s="1"/>
  <c r="E241" i="95"/>
  <c r="H241" i="95" s="1"/>
  <c r="S65" i="180"/>
  <c r="U67" i="88"/>
  <c r="D252" i="182"/>
  <c r="R253" i="93"/>
  <c r="F53" i="92"/>
  <c r="C50" i="183"/>
  <c r="D53" i="94"/>
  <c r="F53" i="94" s="1"/>
  <c r="B104" i="183"/>
  <c r="C107" i="94"/>
  <c r="C118" i="94"/>
  <c r="B115" i="183"/>
  <c r="B98" i="183"/>
  <c r="C101" i="94"/>
  <c r="U91" i="93"/>
  <c r="F90" i="182" s="1"/>
  <c r="D104" i="182"/>
  <c r="R105" i="93"/>
  <c r="D109" i="183"/>
  <c r="E112" i="94"/>
  <c r="F112" i="94" s="1"/>
  <c r="F112" i="92"/>
  <c r="E130" i="95"/>
  <c r="X242" i="93"/>
  <c r="D107" i="182"/>
  <c r="R108" i="93"/>
  <c r="E114" i="94"/>
  <c r="F114" i="94" s="1"/>
  <c r="D111" i="183"/>
  <c r="F114" i="92"/>
  <c r="B108" i="183"/>
  <c r="C111" i="94"/>
  <c r="X249" i="93"/>
  <c r="B103" i="182"/>
  <c r="X251" i="93"/>
  <c r="X243" i="93"/>
  <c r="B103" i="183"/>
  <c r="C106" i="94"/>
  <c r="C117" i="94"/>
  <c r="B114" i="183"/>
  <c r="C105" i="94"/>
  <c r="B102" i="183"/>
  <c r="B113" i="183"/>
  <c r="C116" i="94"/>
  <c r="B120" i="182"/>
  <c r="B115" i="182"/>
  <c r="E224" i="95"/>
  <c r="X248" i="93"/>
  <c r="D118" i="183"/>
  <c r="E121" i="94"/>
  <c r="F121" i="94" s="1"/>
  <c r="F121" i="92"/>
  <c r="B220" i="182"/>
  <c r="O102" i="93"/>
  <c r="E152" i="95"/>
  <c r="U155" i="93"/>
  <c r="F154" i="182" s="1"/>
  <c r="E247" i="95"/>
  <c r="H247" i="95" s="1"/>
  <c r="F253" i="183"/>
  <c r="U241" i="93"/>
  <c r="F240" i="182" s="1"/>
  <c r="S33" i="180"/>
  <c r="U35" i="88"/>
  <c r="G101" i="183"/>
  <c r="F201" i="183"/>
  <c r="X256" i="93"/>
  <c r="D58" i="94"/>
  <c r="F58" i="94" s="1"/>
  <c r="C55" i="183"/>
  <c r="F58" i="92"/>
  <c r="G85" i="183"/>
  <c r="I85" i="183" s="1"/>
  <c r="L85" i="183" s="1"/>
  <c r="M88" i="92"/>
  <c r="D114" i="182"/>
  <c r="R115" i="93"/>
  <c r="B105" i="183"/>
  <c r="C108" i="94"/>
  <c r="B113" i="182"/>
  <c r="G91" i="183"/>
  <c r="B95" i="183"/>
  <c r="C98" i="94"/>
  <c r="R104" i="93"/>
  <c r="D103" i="182"/>
  <c r="O209" i="93"/>
  <c r="S64" i="86"/>
  <c r="D222" i="182"/>
  <c r="R223" i="93"/>
  <c r="U134" i="93"/>
  <c r="F133" i="182" s="1"/>
  <c r="B229" i="182"/>
  <c r="D120" i="182"/>
  <c r="R121" i="93"/>
  <c r="D115" i="182"/>
  <c r="R116" i="93"/>
  <c r="C119" i="94"/>
  <c r="B116" i="183"/>
  <c r="F101" i="183"/>
  <c r="F91" i="183"/>
  <c r="D154" i="182" l="1"/>
  <c r="D223" i="182"/>
  <c r="D19" i="182"/>
  <c r="I91" i="183"/>
  <c r="L91" i="183" s="1"/>
  <c r="I101" i="183"/>
  <c r="L101" i="183" s="1"/>
  <c r="O247" i="93"/>
  <c r="B236" i="182"/>
  <c r="B247" i="182"/>
  <c r="D236" i="182"/>
  <c r="R237" i="93"/>
  <c r="R248" i="93"/>
  <c r="D247" i="182"/>
  <c r="O236" i="93"/>
  <c r="B245" i="182"/>
  <c r="O122" i="93"/>
  <c r="D208" i="182"/>
  <c r="R209" i="93"/>
  <c r="U116" i="93"/>
  <c r="F115" i="182" s="1"/>
  <c r="U114" i="93"/>
  <c r="F113" i="182" s="1"/>
  <c r="X241" i="93"/>
  <c r="U105" i="93"/>
  <c r="F104" i="182" s="1"/>
  <c r="E110" i="95"/>
  <c r="H110" i="95" s="1"/>
  <c r="X252" i="93"/>
  <c r="U42" i="93"/>
  <c r="F41" i="182" s="1"/>
  <c r="F120" i="183"/>
  <c r="I120" i="183" s="1"/>
  <c r="L120" i="183" s="1"/>
  <c r="M123" i="92"/>
  <c r="F54" i="92"/>
  <c r="C51" i="183"/>
  <c r="D54" i="94"/>
  <c r="F54" i="94" s="1"/>
  <c r="D40" i="182"/>
  <c r="R41" i="93"/>
  <c r="B72" i="182"/>
  <c r="G214" i="183"/>
  <c r="I214" i="183" s="1"/>
  <c r="L214" i="183" s="1"/>
  <c r="M217" i="92"/>
  <c r="F193" i="183"/>
  <c r="F192" i="183"/>
  <c r="G29" i="183"/>
  <c r="I29" i="183" s="1"/>
  <c r="L29" i="183" s="1"/>
  <c r="M32" i="92"/>
  <c r="F95" i="183"/>
  <c r="I95" i="183" s="1"/>
  <c r="L95" i="183" s="1"/>
  <c r="M98" i="92"/>
  <c r="U124" i="93"/>
  <c r="F123" i="182" s="1"/>
  <c r="X93" i="93"/>
  <c r="D194" i="183"/>
  <c r="E197" i="94"/>
  <c r="F197" i="94" s="1"/>
  <c r="F197" i="92"/>
  <c r="D55" i="94"/>
  <c r="F55" i="94" s="1"/>
  <c r="F55" i="92"/>
  <c r="C52" i="183"/>
  <c r="F103" i="183"/>
  <c r="I103" i="183" s="1"/>
  <c r="L103" i="183" s="1"/>
  <c r="M106" i="92"/>
  <c r="G54" i="95"/>
  <c r="U120" i="93"/>
  <c r="F119" i="182" s="1"/>
  <c r="U223" i="93"/>
  <c r="F222" i="182" s="1"/>
  <c r="E122" i="95"/>
  <c r="H122" i="95" s="1"/>
  <c r="U246" i="93"/>
  <c r="F245" i="182" s="1"/>
  <c r="S108" i="86"/>
  <c r="E102" i="95"/>
  <c r="H102" i="95" s="1"/>
  <c r="U107" i="93"/>
  <c r="F106" i="182" s="1"/>
  <c r="O106" i="93"/>
  <c r="E107" i="95"/>
  <c r="H107" i="95" s="1"/>
  <c r="O112" i="93"/>
  <c r="U235" i="93"/>
  <c r="F234" i="182" s="1"/>
  <c r="S107" i="86"/>
  <c r="O59" i="93"/>
  <c r="G210" i="183"/>
  <c r="I210" i="183" s="1"/>
  <c r="L210" i="183" s="1"/>
  <c r="M213" i="92"/>
  <c r="G216" i="183"/>
  <c r="I216" i="183" s="1"/>
  <c r="L216" i="183" s="1"/>
  <c r="M219" i="92"/>
  <c r="F230" i="183"/>
  <c r="I230" i="183" s="1"/>
  <c r="L230" i="183" s="1"/>
  <c r="M233" i="92"/>
  <c r="E217" i="95"/>
  <c r="H217" i="95" s="1"/>
  <c r="E105" i="95"/>
  <c r="H105" i="95" s="1"/>
  <c r="U125" i="93"/>
  <c r="F124" i="182" s="1"/>
  <c r="F110" i="183"/>
  <c r="I110" i="183" s="1"/>
  <c r="L110" i="183" s="1"/>
  <c r="M113" i="92"/>
  <c r="U138" i="93"/>
  <c r="F137" i="182" s="1"/>
  <c r="G213" i="183"/>
  <c r="I213" i="183" s="1"/>
  <c r="L213" i="183" s="1"/>
  <c r="M216" i="92"/>
  <c r="E100" i="95"/>
  <c r="H100" i="95" s="1"/>
  <c r="E99" i="95"/>
  <c r="H99" i="95" s="1"/>
  <c r="D72" i="182"/>
  <c r="R73" i="93"/>
  <c r="U220" i="93"/>
  <c r="F219" i="182" s="1"/>
  <c r="U34" i="93"/>
  <c r="F33" i="182" s="1"/>
  <c r="U100" i="93"/>
  <c r="F99" i="182" s="1"/>
  <c r="Z29" i="180"/>
  <c r="AA29" i="180" s="1"/>
  <c r="Z31" i="88"/>
  <c r="U108" i="93"/>
  <c r="F107" i="182" s="1"/>
  <c r="F50" i="92"/>
  <c r="C47" i="183"/>
  <c r="D50" i="94"/>
  <c r="F50" i="94" s="1"/>
  <c r="B117" i="182"/>
  <c r="E97" i="95"/>
  <c r="H97" i="95" s="1"/>
  <c r="E98" i="95"/>
  <c r="H98" i="95" s="1"/>
  <c r="U113" i="93"/>
  <c r="F112" i="182" s="1"/>
  <c r="O40" i="93"/>
  <c r="O72" i="93"/>
  <c r="O219" i="93"/>
  <c r="E246" i="95"/>
  <c r="U221" i="93"/>
  <c r="F220" i="182" s="1"/>
  <c r="B101" i="182"/>
  <c r="B69" i="182"/>
  <c r="U115" i="93"/>
  <c r="F114" i="182" s="1"/>
  <c r="B201" i="182"/>
  <c r="U218" i="93"/>
  <c r="F217" i="182" s="1"/>
  <c r="G215" i="183"/>
  <c r="I215" i="183" s="1"/>
  <c r="L215" i="183" s="1"/>
  <c r="M218" i="92"/>
  <c r="F196" i="183"/>
  <c r="D193" i="183"/>
  <c r="E196" i="94"/>
  <c r="F196" i="94" s="1"/>
  <c r="F196" i="92"/>
  <c r="R215" i="93"/>
  <c r="D214" i="182"/>
  <c r="E108" i="95"/>
  <c r="H108" i="95" s="1"/>
  <c r="F99" i="183"/>
  <c r="I99" i="183" s="1"/>
  <c r="L99" i="183" s="1"/>
  <c r="M102" i="92"/>
  <c r="B31" i="182"/>
  <c r="E120" i="95"/>
  <c r="H120" i="95" s="1"/>
  <c r="R118" i="93"/>
  <c r="D117" i="182"/>
  <c r="F203" i="183"/>
  <c r="F92" i="183"/>
  <c r="I92" i="183" s="1"/>
  <c r="L92" i="183" s="1"/>
  <c r="M95" i="92"/>
  <c r="E42" i="95"/>
  <c r="H42" i="95" s="1"/>
  <c r="D101" i="182"/>
  <c r="R102" i="93"/>
  <c r="U90" i="93"/>
  <c r="F89" i="182" s="1"/>
  <c r="S51" i="86"/>
  <c r="G33" i="183"/>
  <c r="I33" i="183" s="1"/>
  <c r="L33" i="183" s="1"/>
  <c r="M36" i="92"/>
  <c r="D69" i="182"/>
  <c r="R70" i="93"/>
  <c r="B96" i="182"/>
  <c r="F116" i="183"/>
  <c r="I116" i="183" s="1"/>
  <c r="L116" i="183" s="1"/>
  <c r="M119" i="92"/>
  <c r="R202" i="93"/>
  <c r="D201" i="182"/>
  <c r="F97" i="183"/>
  <c r="I97" i="183" s="1"/>
  <c r="L97" i="183" s="1"/>
  <c r="M100" i="92"/>
  <c r="E215" i="95"/>
  <c r="H215" i="95" s="1"/>
  <c r="X236" i="93"/>
  <c r="E116" i="95"/>
  <c r="H116" i="95" s="1"/>
  <c r="E109" i="95"/>
  <c r="H109" i="95" s="1"/>
  <c r="E115" i="95"/>
  <c r="H115" i="95" s="1"/>
  <c r="B81" i="182"/>
  <c r="B214" i="182"/>
  <c r="F105" i="183"/>
  <c r="I105" i="183" s="1"/>
  <c r="L105" i="183" s="1"/>
  <c r="M108" i="92"/>
  <c r="D198" i="182"/>
  <c r="R199" i="93"/>
  <c r="E74" i="95"/>
  <c r="H74" i="95" s="1"/>
  <c r="U104" i="93"/>
  <c r="F103" i="182" s="1"/>
  <c r="D31" i="182"/>
  <c r="R32" i="93"/>
  <c r="F94" i="183"/>
  <c r="I94" i="183" s="1"/>
  <c r="L94" i="183" s="1"/>
  <c r="M97" i="92"/>
  <c r="F200" i="183"/>
  <c r="D203" i="183"/>
  <c r="E206" i="94"/>
  <c r="F206" i="94" s="1"/>
  <c r="F206" i="92"/>
  <c r="E39" i="95"/>
  <c r="H39" i="95" s="1"/>
  <c r="F112" i="183"/>
  <c r="I112" i="183" s="1"/>
  <c r="L112" i="183" s="1"/>
  <c r="M115" i="92"/>
  <c r="E118" i="95"/>
  <c r="H118" i="95" s="1"/>
  <c r="U103" i="93"/>
  <c r="F102" i="182" s="1"/>
  <c r="E155" i="95"/>
  <c r="O69" i="93"/>
  <c r="G36" i="183"/>
  <c r="I36" i="183" s="1"/>
  <c r="L36" i="183" s="1"/>
  <c r="M39" i="92"/>
  <c r="G28" i="183"/>
  <c r="I28" i="183" s="1"/>
  <c r="L28" i="183" s="1"/>
  <c r="M31" i="92"/>
  <c r="E235" i="95"/>
  <c r="U97" i="93"/>
  <c r="F96" i="182" s="1"/>
  <c r="E114" i="95"/>
  <c r="H114" i="95" s="1"/>
  <c r="E221" i="95"/>
  <c r="H221" i="95" s="1"/>
  <c r="U38" i="93"/>
  <c r="F37" i="182" s="1"/>
  <c r="D96" i="182"/>
  <c r="R97" i="93"/>
  <c r="U121" i="93"/>
  <c r="F120" i="182" s="1"/>
  <c r="G217" i="183"/>
  <c r="I217" i="183" s="1"/>
  <c r="L217" i="183" s="1"/>
  <c r="M220" i="92"/>
  <c r="U102" i="93"/>
  <c r="F101" i="182" s="1"/>
  <c r="F114" i="183"/>
  <c r="I114" i="183" s="1"/>
  <c r="L114" i="183" s="1"/>
  <c r="M117" i="92"/>
  <c r="E218" i="95"/>
  <c r="H218" i="95" s="1"/>
  <c r="D196" i="183"/>
  <c r="E199" i="94"/>
  <c r="F199" i="94" s="1"/>
  <c r="F199" i="92"/>
  <c r="D81" i="182"/>
  <c r="R82" i="93"/>
  <c r="G66" i="183"/>
  <c r="I66" i="183" s="1"/>
  <c r="L66" i="183" s="1"/>
  <c r="M69" i="92"/>
  <c r="U110" i="93"/>
  <c r="F109" i="182" s="1"/>
  <c r="B198" i="182"/>
  <c r="O246" i="93"/>
  <c r="X82" i="93"/>
  <c r="G211" i="183"/>
  <c r="I211" i="183" s="1"/>
  <c r="L211" i="183" s="1"/>
  <c r="M214" i="92"/>
  <c r="G69" i="183"/>
  <c r="I69" i="183" s="1"/>
  <c r="L69" i="183" s="1"/>
  <c r="M72" i="92"/>
  <c r="U99" i="93"/>
  <c r="F98" i="182" s="1"/>
  <c r="X247" i="93"/>
  <c r="F107" i="183"/>
  <c r="I107" i="183" s="1"/>
  <c r="L107" i="183" s="1"/>
  <c r="M110" i="92"/>
  <c r="U98" i="93"/>
  <c r="F97" i="182" s="1"/>
  <c r="F96" i="183"/>
  <c r="I96" i="183" s="1"/>
  <c r="L96" i="183" s="1"/>
  <c r="M99" i="92"/>
  <c r="U118" i="93"/>
  <c r="F117" i="182" s="1"/>
  <c r="O101" i="93"/>
  <c r="O96" i="93"/>
  <c r="O36" i="93"/>
  <c r="O214" i="93"/>
  <c r="M94" i="92"/>
  <c r="G212" i="183"/>
  <c r="I212" i="183" s="1"/>
  <c r="L212" i="183" s="1"/>
  <c r="M215" i="92"/>
  <c r="E121" i="95"/>
  <c r="H121" i="95" s="1"/>
  <c r="F121" i="183"/>
  <c r="I121" i="183" s="1"/>
  <c r="L121" i="183" s="1"/>
  <c r="M124" i="92"/>
  <c r="X91" i="93"/>
  <c r="B36" i="182"/>
  <c r="U222" i="93"/>
  <c r="F221" i="182" s="1"/>
  <c r="U119" i="93"/>
  <c r="F118" i="182" s="1"/>
  <c r="E125" i="95"/>
  <c r="H125" i="95" s="1"/>
  <c r="E38" i="95"/>
  <c r="H38" i="95" s="1"/>
  <c r="E103" i="95"/>
  <c r="H103" i="95" s="1"/>
  <c r="U71" i="93"/>
  <c r="F70" i="182" s="1"/>
  <c r="B219" i="182"/>
  <c r="D204" i="183"/>
  <c r="E207" i="94"/>
  <c r="F207" i="94" s="1"/>
  <c r="F207" i="92"/>
  <c r="E34" i="95"/>
  <c r="H34" i="95" s="1"/>
  <c r="B112" i="182"/>
  <c r="E220" i="95"/>
  <c r="H220" i="95" s="1"/>
  <c r="U216" i="93"/>
  <c r="F215" i="182" s="1"/>
  <c r="E223" i="95"/>
  <c r="H223" i="95" s="1"/>
  <c r="U74" i="93"/>
  <c r="F73" i="182" s="1"/>
  <c r="E203" i="94"/>
  <c r="F203" i="94" s="1"/>
  <c r="D200" i="183"/>
  <c r="F203" i="92"/>
  <c r="U123" i="93"/>
  <c r="F122" i="182" s="1"/>
  <c r="O57" i="93"/>
  <c r="U217" i="93"/>
  <c r="F216" i="182" s="1"/>
  <c r="D201" i="183"/>
  <c r="E204" i="94"/>
  <c r="F204" i="94" s="1"/>
  <c r="F204" i="92"/>
  <c r="U126" i="93"/>
  <c r="F125" i="182" s="1"/>
  <c r="D36" i="182"/>
  <c r="R37" i="93"/>
  <c r="D106" i="182"/>
  <c r="R107" i="93"/>
  <c r="D82" i="183"/>
  <c r="E85" i="94"/>
  <c r="R220" i="93"/>
  <c r="D219" i="182"/>
  <c r="E216" i="95"/>
  <c r="H216" i="95" s="1"/>
  <c r="D197" i="183"/>
  <c r="E200" i="94"/>
  <c r="F200" i="94" s="1"/>
  <c r="F200" i="92"/>
  <c r="B251" i="182"/>
  <c r="D112" i="182"/>
  <c r="R113" i="93"/>
  <c r="G53" i="95"/>
  <c r="E90" i="95"/>
  <c r="B59" i="182"/>
  <c r="G38" i="183"/>
  <c r="I38" i="183" s="1"/>
  <c r="L38" i="183" s="1"/>
  <c r="M41" i="92"/>
  <c r="D122" i="182"/>
  <c r="R123" i="93"/>
  <c r="E126" i="95"/>
  <c r="H126" i="95" s="1"/>
  <c r="F104" i="183"/>
  <c r="I104" i="183" s="1"/>
  <c r="L104" i="183" s="1"/>
  <c r="M107" i="92"/>
  <c r="O117" i="93"/>
  <c r="F117" i="183"/>
  <c r="I117" i="183" s="1"/>
  <c r="L117" i="183" s="1"/>
  <c r="M120" i="92"/>
  <c r="E113" i="95"/>
  <c r="H113" i="95" s="1"/>
  <c r="G68" i="183"/>
  <c r="I68" i="183" s="1"/>
  <c r="L68" i="183" s="1"/>
  <c r="M71" i="92"/>
  <c r="G65" i="183"/>
  <c r="I65" i="183" s="1"/>
  <c r="L65" i="183" s="1"/>
  <c r="M68" i="92"/>
  <c r="U215" i="93"/>
  <c r="F214" i="182" s="1"/>
  <c r="B208" i="182"/>
  <c r="F111" i="183"/>
  <c r="I111" i="183" s="1"/>
  <c r="L111" i="183" s="1"/>
  <c r="M114" i="92"/>
  <c r="F109" i="183"/>
  <c r="I109" i="183" s="1"/>
  <c r="L109" i="183" s="1"/>
  <c r="M112" i="92"/>
  <c r="M104" i="92"/>
  <c r="F100" i="183"/>
  <c r="I100" i="183" s="1"/>
  <c r="L100" i="183" s="1"/>
  <c r="M103" i="92"/>
  <c r="E222" i="95"/>
  <c r="H222" i="95" s="1"/>
  <c r="E138" i="95"/>
  <c r="G37" i="183"/>
  <c r="I37" i="183" s="1"/>
  <c r="L37" i="183" s="1"/>
  <c r="M40" i="92"/>
  <c r="B106" i="182"/>
  <c r="I32" i="82"/>
  <c r="Q35" i="157"/>
  <c r="I35" i="82" s="1"/>
  <c r="E71" i="95"/>
  <c r="H71" i="95" s="1"/>
  <c r="B40" i="182"/>
  <c r="X92" i="93"/>
  <c r="F119" i="183"/>
  <c r="I119" i="183" s="1"/>
  <c r="L119" i="183" s="1"/>
  <c r="M122" i="92"/>
  <c r="R252" i="93"/>
  <c r="D251" i="182"/>
  <c r="E43" i="95"/>
  <c r="H43" i="95" s="1"/>
  <c r="E119" i="95"/>
  <c r="H119" i="95" s="1"/>
  <c r="D59" i="182"/>
  <c r="R60" i="93"/>
  <c r="U43" i="93"/>
  <c r="F42" i="182" s="1"/>
  <c r="B122" i="182"/>
  <c r="E124" i="95"/>
  <c r="H124" i="95" s="1"/>
  <c r="F115" i="183"/>
  <c r="I115" i="183" s="1"/>
  <c r="L115" i="183" s="1"/>
  <c r="M118" i="92"/>
  <c r="U109" i="93"/>
  <c r="F108" i="182" s="1"/>
  <c r="G218" i="183"/>
  <c r="I218" i="183" s="1"/>
  <c r="L218" i="183" s="1"/>
  <c r="M221" i="92"/>
  <c r="D245" i="182" l="1"/>
  <c r="N108" i="86"/>
  <c r="D246" i="182"/>
  <c r="R247" i="93"/>
  <c r="B235" i="182"/>
  <c r="B246" i="182"/>
  <c r="D235" i="182"/>
  <c r="R236" i="93"/>
  <c r="B234" i="182"/>
  <c r="O235" i="93"/>
  <c r="N107" i="86"/>
  <c r="E70" i="95"/>
  <c r="H70" i="95" s="1"/>
  <c r="B116" i="182"/>
  <c r="U117" i="93"/>
  <c r="F116" i="182" s="1"/>
  <c r="U112" i="93"/>
  <c r="F111" i="182" s="1"/>
  <c r="U106" i="93"/>
  <c r="F105" i="182" s="1"/>
  <c r="F106" i="183"/>
  <c r="I106" i="183" s="1"/>
  <c r="L106" i="183" s="1"/>
  <c r="M109" i="92"/>
  <c r="E41" i="95"/>
  <c r="H41" i="95" s="1"/>
  <c r="D49" i="94"/>
  <c r="F49" i="94" s="1"/>
  <c r="F49" i="92"/>
  <c r="C46" i="183"/>
  <c r="B56" i="182"/>
  <c r="U35" i="93"/>
  <c r="F34" i="182" s="1"/>
  <c r="E219" i="95"/>
  <c r="H219" i="95" s="1"/>
  <c r="X222" i="93"/>
  <c r="B213" i="182"/>
  <c r="D35" i="182"/>
  <c r="R36" i="93"/>
  <c r="X99" i="93"/>
  <c r="X110" i="93"/>
  <c r="G55" i="183"/>
  <c r="I55" i="183" s="1"/>
  <c r="L55" i="183" s="1"/>
  <c r="M58" i="92"/>
  <c r="E35" i="95"/>
  <c r="H35" i="95" s="1"/>
  <c r="U59" i="93"/>
  <c r="F58" i="182" s="1"/>
  <c r="X34" i="93"/>
  <c r="B58" i="182"/>
  <c r="B121" i="182"/>
  <c r="X118" i="93"/>
  <c r="U96" i="93"/>
  <c r="F95" i="182" s="1"/>
  <c r="E101" i="95"/>
  <c r="H101" i="95" s="1"/>
  <c r="E112" i="95"/>
  <c r="H112" i="95" s="1"/>
  <c r="O68" i="93"/>
  <c r="B67" i="182"/>
  <c r="N39" i="86"/>
  <c r="N40" i="86" s="1"/>
  <c r="O58" i="93"/>
  <c r="B57" i="182"/>
  <c r="N34" i="86"/>
  <c r="D56" i="182"/>
  <c r="R57" i="93"/>
  <c r="D213" i="182"/>
  <c r="R214" i="93"/>
  <c r="X38" i="93"/>
  <c r="U60" i="93"/>
  <c r="F59" i="182" s="1"/>
  <c r="X108" i="93"/>
  <c r="G53" i="183"/>
  <c r="I53" i="183" s="1"/>
  <c r="L53" i="183" s="1"/>
  <c r="M56" i="92"/>
  <c r="D121" i="182"/>
  <c r="R122" i="93"/>
  <c r="U70" i="93"/>
  <c r="F69" i="182" s="1"/>
  <c r="X223" i="93"/>
  <c r="U101" i="93"/>
  <c r="F100" i="182" s="1"/>
  <c r="E106" i="95"/>
  <c r="H106" i="95" s="1"/>
  <c r="E117" i="95"/>
  <c r="H117" i="95" s="1"/>
  <c r="G64" i="183"/>
  <c r="I64" i="183" s="1"/>
  <c r="L64" i="183" s="1"/>
  <c r="M67" i="92"/>
  <c r="Z33" i="180"/>
  <c r="AA33" i="180" s="1"/>
  <c r="Z35" i="88"/>
  <c r="D116" i="182"/>
  <c r="R117" i="93"/>
  <c r="F51" i="92"/>
  <c r="C48" i="183"/>
  <c r="D51" i="94"/>
  <c r="F51" i="94" s="1"/>
  <c r="X126" i="93"/>
  <c r="B95" i="182"/>
  <c r="X97" i="93"/>
  <c r="B68" i="182"/>
  <c r="X103" i="93"/>
  <c r="X115" i="93"/>
  <c r="B218" i="182"/>
  <c r="D39" i="182"/>
  <c r="R40" i="93"/>
  <c r="B105" i="182"/>
  <c r="X42" i="93"/>
  <c r="X114" i="93"/>
  <c r="G209" i="183"/>
  <c r="I209" i="183" s="1"/>
  <c r="L209" i="183" s="1"/>
  <c r="M212" i="92"/>
  <c r="G34" i="183"/>
  <c r="I34" i="183" s="1"/>
  <c r="L34" i="183" s="1"/>
  <c r="M37" i="92"/>
  <c r="G32" i="183"/>
  <c r="I32" i="183" s="1"/>
  <c r="L32" i="183" s="1"/>
  <c r="M35" i="92"/>
  <c r="B39" i="182"/>
  <c r="U122" i="93"/>
  <c r="F121" i="182" s="1"/>
  <c r="O111" i="93"/>
  <c r="G35" i="183"/>
  <c r="I35" i="183" s="1"/>
  <c r="L35" i="183" s="1"/>
  <c r="M38" i="92"/>
  <c r="O205" i="93"/>
  <c r="X123" i="93"/>
  <c r="D95" i="182"/>
  <c r="R96" i="93"/>
  <c r="R69" i="93"/>
  <c r="D68" i="182"/>
  <c r="E59" i="95"/>
  <c r="H59" i="95" s="1"/>
  <c r="X125" i="93"/>
  <c r="R106" i="93"/>
  <c r="D105" i="182"/>
  <c r="X105" i="93"/>
  <c r="U39" i="93"/>
  <c r="F38" i="182" s="1"/>
  <c r="O56" i="93"/>
  <c r="X71" i="93"/>
  <c r="D218" i="182"/>
  <c r="R219" i="93"/>
  <c r="G54" i="183"/>
  <c r="I54" i="183" s="1"/>
  <c r="L54" i="183" s="1"/>
  <c r="M57" i="92"/>
  <c r="O95" i="93"/>
  <c r="B30" i="182"/>
  <c r="O31" i="93"/>
  <c r="N23" i="86"/>
  <c r="U41" i="93"/>
  <c r="F40" i="182" s="1"/>
  <c r="E33" i="95"/>
  <c r="H33" i="95" s="1"/>
  <c r="G27" i="183"/>
  <c r="I27" i="183" s="1"/>
  <c r="L27" i="183" s="1"/>
  <c r="M30" i="92"/>
  <c r="U214" i="93"/>
  <c r="F213" i="182" s="1"/>
  <c r="G89" i="183"/>
  <c r="X121" i="93"/>
  <c r="U219" i="93"/>
  <c r="F218" i="182" s="1"/>
  <c r="B111" i="182"/>
  <c r="O213" i="93"/>
  <c r="B212" i="182"/>
  <c r="N105" i="86"/>
  <c r="U73" i="93"/>
  <c r="F72" i="182" s="1"/>
  <c r="U33" i="93"/>
  <c r="F32" i="182" s="1"/>
  <c r="X109" i="93"/>
  <c r="G122" i="183"/>
  <c r="X216" i="93"/>
  <c r="X119" i="93"/>
  <c r="B100" i="182"/>
  <c r="X98" i="93"/>
  <c r="X102" i="93"/>
  <c r="E214" i="95"/>
  <c r="H214" i="95" s="1"/>
  <c r="B71" i="182"/>
  <c r="X100" i="93"/>
  <c r="R112" i="93"/>
  <c r="D111" i="182"/>
  <c r="X120" i="93"/>
  <c r="X124" i="93"/>
  <c r="X116" i="93"/>
  <c r="X218" i="93"/>
  <c r="F90" i="183"/>
  <c r="I90" i="183" s="1"/>
  <c r="L90" i="183" s="1"/>
  <c r="M93" i="92"/>
  <c r="E96" i="95"/>
  <c r="H96" i="95" s="1"/>
  <c r="G67" i="183"/>
  <c r="I67" i="183" s="1"/>
  <c r="L67" i="183" s="1"/>
  <c r="M70" i="92"/>
  <c r="E73" i="95"/>
  <c r="H73" i="95" s="1"/>
  <c r="O54" i="93"/>
  <c r="X43" i="93"/>
  <c r="X215" i="93"/>
  <c r="X217" i="93"/>
  <c r="G30" i="183"/>
  <c r="I30" i="183" s="1"/>
  <c r="L30" i="183" s="1"/>
  <c r="M33" i="92"/>
  <c r="X74" i="93"/>
  <c r="B35" i="182"/>
  <c r="D100" i="182"/>
  <c r="R101" i="93"/>
  <c r="F199" i="183"/>
  <c r="X104" i="93"/>
  <c r="F195" i="183"/>
  <c r="X221" i="93"/>
  <c r="D71" i="182"/>
  <c r="R72" i="93"/>
  <c r="X113" i="93"/>
  <c r="X220" i="93"/>
  <c r="E60" i="95"/>
  <c r="H60" i="95" s="1"/>
  <c r="D58" i="182"/>
  <c r="R59" i="93"/>
  <c r="X107" i="93"/>
  <c r="D52" i="94"/>
  <c r="F52" i="94" s="1"/>
  <c r="F52" i="92"/>
  <c r="C49" i="183"/>
  <c r="D234" i="182" l="1"/>
  <c r="D212" i="182"/>
  <c r="D30" i="182"/>
  <c r="D57" i="182"/>
  <c r="D67" i="182"/>
  <c r="N110" i="86"/>
  <c r="G50" i="183"/>
  <c r="I50" i="183" s="1"/>
  <c r="L50" i="183" s="1"/>
  <c r="M53" i="92"/>
  <c r="E58" i="95"/>
  <c r="D204" i="182"/>
  <c r="R205" i="93"/>
  <c r="O142" i="93"/>
  <c r="B141" i="182"/>
  <c r="N68" i="86"/>
  <c r="B94" i="182"/>
  <c r="X59" i="93"/>
  <c r="X41" i="93"/>
  <c r="X60" i="93"/>
  <c r="B74" i="182"/>
  <c r="O75" i="93"/>
  <c r="U32" i="93"/>
  <c r="F31" i="182" s="1"/>
  <c r="U72" i="93"/>
  <c r="F71" i="182" s="1"/>
  <c r="U37" i="93"/>
  <c r="F36" i="182" s="1"/>
  <c r="F191" i="183"/>
  <c r="O208" i="93"/>
  <c r="E213" i="95"/>
  <c r="F59" i="92"/>
  <c r="C56" i="183"/>
  <c r="D59" i="94"/>
  <c r="F59" i="94" s="1"/>
  <c r="X73" i="93"/>
  <c r="E57" i="95"/>
  <c r="H57" i="95" s="1"/>
  <c r="X39" i="93"/>
  <c r="R111" i="93"/>
  <c r="D110" i="182"/>
  <c r="X117" i="93"/>
  <c r="X33" i="93"/>
  <c r="D94" i="182"/>
  <c r="R95" i="93"/>
  <c r="D55" i="182"/>
  <c r="R56" i="93"/>
  <c r="X96" i="93"/>
  <c r="O53" i="93"/>
  <c r="B53" i="182"/>
  <c r="U57" i="93"/>
  <c r="F56" i="182" s="1"/>
  <c r="G253" i="183"/>
  <c r="I253" i="183" s="1"/>
  <c r="L253" i="183" s="1"/>
  <c r="M256" i="92"/>
  <c r="B110" i="182"/>
  <c r="O198" i="93"/>
  <c r="O201" i="93"/>
  <c r="D53" i="182"/>
  <c r="R54" i="93"/>
  <c r="G52" i="183"/>
  <c r="I52" i="183" s="1"/>
  <c r="L52" i="183" s="1"/>
  <c r="M55" i="92"/>
  <c r="G208" i="183"/>
  <c r="I208" i="183" s="1"/>
  <c r="L208" i="183" s="1"/>
  <c r="M211" i="92"/>
  <c r="X101" i="93"/>
  <c r="X70" i="93"/>
  <c r="U111" i="93"/>
  <c r="F110" i="182" s="1"/>
  <c r="E95" i="95"/>
  <c r="H95" i="95" s="1"/>
  <c r="E40" i="95"/>
  <c r="H40" i="95" s="1"/>
  <c r="E72" i="95"/>
  <c r="H72" i="95" s="1"/>
  <c r="O204" i="93"/>
  <c r="U213" i="93"/>
  <c r="F212" i="182" s="1"/>
  <c r="S105" i="86"/>
  <c r="S110" i="86" s="1"/>
  <c r="B54" i="182"/>
  <c r="O55" i="93"/>
  <c r="N33" i="86"/>
  <c r="X112" i="93"/>
  <c r="E32" i="95"/>
  <c r="H32" i="95" s="1"/>
  <c r="O258" i="93"/>
  <c r="B257" i="182"/>
  <c r="U69" i="93"/>
  <c r="F68" i="182" s="1"/>
  <c r="E56" i="95"/>
  <c r="H56" i="95" s="1"/>
  <c r="U56" i="93"/>
  <c r="F55" i="182" s="1"/>
  <c r="X122" i="93"/>
  <c r="U58" i="93"/>
  <c r="F57" i="182" s="1"/>
  <c r="S34" i="86"/>
  <c r="X106" i="93"/>
  <c r="X219" i="93"/>
  <c r="X214" i="93"/>
  <c r="U95" i="93"/>
  <c r="F94" i="182" s="1"/>
  <c r="O94" i="93"/>
  <c r="B93" i="182"/>
  <c r="N52" i="86"/>
  <c r="N53" i="86" s="1"/>
  <c r="E111" i="95"/>
  <c r="H111" i="95" s="1"/>
  <c r="E37" i="95"/>
  <c r="H37" i="95" s="1"/>
  <c r="U40" i="93"/>
  <c r="F39" i="182" s="1"/>
  <c r="E69" i="95"/>
  <c r="H69" i="95" s="1"/>
  <c r="G51" i="183"/>
  <c r="I51" i="183" s="1"/>
  <c r="L51" i="183" s="1"/>
  <c r="M54" i="92"/>
  <c r="B55" i="182"/>
  <c r="B204" i="182"/>
  <c r="X35" i="93"/>
  <c r="D54" i="182" l="1"/>
  <c r="D74" i="182"/>
  <c r="D141" i="182"/>
  <c r="D93" i="182"/>
  <c r="D257" i="182"/>
  <c r="X40" i="93"/>
  <c r="R201" i="93"/>
  <c r="D200" i="182"/>
  <c r="B52" i="182"/>
  <c r="E258" i="95"/>
  <c r="X37" i="93"/>
  <c r="G48" i="183"/>
  <c r="I48" i="183" s="1"/>
  <c r="L48" i="183" s="1"/>
  <c r="M51" i="92"/>
  <c r="G204" i="183"/>
  <c r="I204" i="183" s="1"/>
  <c r="L204" i="183" s="1"/>
  <c r="M207" i="92"/>
  <c r="G70" i="183"/>
  <c r="I70" i="183" s="1"/>
  <c r="L70" i="183" s="1"/>
  <c r="M73" i="92"/>
  <c r="R53" i="93"/>
  <c r="D52" i="182"/>
  <c r="O207" i="93"/>
  <c r="G31" i="183"/>
  <c r="I31" i="183" s="1"/>
  <c r="L31" i="183" s="1"/>
  <c r="M34" i="92"/>
  <c r="U36" i="93"/>
  <c r="F35" i="182" s="1"/>
  <c r="E36" i="95"/>
  <c r="H36" i="95" s="1"/>
  <c r="E68" i="95"/>
  <c r="B203" i="182"/>
  <c r="E54" i="95"/>
  <c r="H54" i="95" s="1"/>
  <c r="G26" i="183"/>
  <c r="I26" i="183" s="1"/>
  <c r="L26" i="183" s="1"/>
  <c r="M29" i="92"/>
  <c r="O141" i="93"/>
  <c r="B140" i="182"/>
  <c r="U55" i="93"/>
  <c r="F54" i="182" s="1"/>
  <c r="S33" i="86"/>
  <c r="G63" i="183"/>
  <c r="I63" i="183" s="1"/>
  <c r="L63" i="183" s="1"/>
  <c r="M66" i="92"/>
  <c r="U94" i="93"/>
  <c r="F93" i="182" s="1"/>
  <c r="S52" i="86"/>
  <c r="S53" i="86" s="1"/>
  <c r="O203" i="93"/>
  <c r="N101" i="86"/>
  <c r="X56" i="93"/>
  <c r="X69" i="93"/>
  <c r="D203" i="182"/>
  <c r="R204" i="93"/>
  <c r="X111" i="93"/>
  <c r="O197" i="93"/>
  <c r="E53" i="95"/>
  <c r="H53" i="95" s="1"/>
  <c r="B207" i="182"/>
  <c r="G194" i="183"/>
  <c r="I194" i="183" s="1"/>
  <c r="L194" i="183" s="1"/>
  <c r="M197" i="92"/>
  <c r="E202" i="95"/>
  <c r="H202" i="95" s="1"/>
  <c r="U258" i="93"/>
  <c r="F257" i="182" s="1"/>
  <c r="G197" i="183"/>
  <c r="I197" i="183" s="1"/>
  <c r="L197" i="183" s="1"/>
  <c r="M200" i="92"/>
  <c r="E209" i="95"/>
  <c r="H209" i="95" s="1"/>
  <c r="O200" i="93"/>
  <c r="D207" i="182"/>
  <c r="R208" i="93"/>
  <c r="X72" i="93"/>
  <c r="E199" i="95"/>
  <c r="H199" i="95" s="1"/>
  <c r="B126" i="182"/>
  <c r="O127" i="93"/>
  <c r="G196" i="183"/>
  <c r="I196" i="183" s="1"/>
  <c r="L196" i="183" s="1"/>
  <c r="M199" i="92"/>
  <c r="G203" i="183"/>
  <c r="I203" i="183" s="1"/>
  <c r="L203" i="183" s="1"/>
  <c r="M206" i="92"/>
  <c r="G201" i="183"/>
  <c r="I201" i="183" s="1"/>
  <c r="L201" i="183" s="1"/>
  <c r="M204" i="92"/>
  <c r="U199" i="93"/>
  <c r="F198" i="182" s="1"/>
  <c r="E206" i="95"/>
  <c r="H206" i="95" s="1"/>
  <c r="U202" i="93"/>
  <c r="F201" i="182" s="1"/>
  <c r="B197" i="182"/>
  <c r="U54" i="93"/>
  <c r="F53" i="182" s="1"/>
  <c r="X95" i="93"/>
  <c r="E94" i="95"/>
  <c r="G200" i="183"/>
  <c r="I200" i="183" s="1"/>
  <c r="L200" i="183" s="1"/>
  <c r="M203" i="92"/>
  <c r="O52" i="93"/>
  <c r="N32" i="86"/>
  <c r="N35" i="86" s="1"/>
  <c r="U206" i="93"/>
  <c r="F205" i="182" s="1"/>
  <c r="F89" i="183"/>
  <c r="I89" i="183" s="1"/>
  <c r="L89" i="183" s="1"/>
  <c r="M92" i="92"/>
  <c r="E55" i="95"/>
  <c r="D197" i="182"/>
  <c r="R198" i="93"/>
  <c r="G49" i="183"/>
  <c r="I49" i="183" s="1"/>
  <c r="L49" i="183" s="1"/>
  <c r="M52" i="92"/>
  <c r="X32" i="93"/>
  <c r="U53" i="93"/>
  <c r="F52" i="182" s="1"/>
  <c r="U68" i="93"/>
  <c r="F67" i="182" s="1"/>
  <c r="S39" i="86"/>
  <c r="S40" i="86" s="1"/>
  <c r="G193" i="183"/>
  <c r="I193" i="183" s="1"/>
  <c r="L193" i="183" s="1"/>
  <c r="M196" i="92"/>
  <c r="F122" i="183"/>
  <c r="I122" i="183" s="1"/>
  <c r="L122" i="183" s="1"/>
  <c r="M125" i="92"/>
  <c r="B200" i="182"/>
  <c r="X57" i="93"/>
  <c r="D126" i="182" l="1"/>
  <c r="D140" i="182"/>
  <c r="D51" i="182"/>
  <c r="O210" i="93"/>
  <c r="U198" i="93"/>
  <c r="F197" i="182" s="1"/>
  <c r="X36" i="93"/>
  <c r="D206" i="182"/>
  <c r="R207" i="93"/>
  <c r="G199" i="183"/>
  <c r="I199" i="183" s="1"/>
  <c r="L199" i="183" s="1"/>
  <c r="M202" i="92"/>
  <c r="U31" i="93"/>
  <c r="F30" i="182" s="1"/>
  <c r="S23" i="86"/>
  <c r="G192" i="183"/>
  <c r="I192" i="183" s="1"/>
  <c r="L192" i="183" s="1"/>
  <c r="M195" i="92"/>
  <c r="X199" i="93"/>
  <c r="D202" i="182"/>
  <c r="R203" i="93"/>
  <c r="B206" i="182"/>
  <c r="E208" i="95"/>
  <c r="H208" i="95" s="1"/>
  <c r="G47" i="183"/>
  <c r="I47" i="183" s="1"/>
  <c r="L47" i="183" s="1"/>
  <c r="M50" i="92"/>
  <c r="B196" i="182"/>
  <c r="B202" i="182"/>
  <c r="U75" i="93"/>
  <c r="F74" i="182" s="1"/>
  <c r="E75" i="95"/>
  <c r="U201" i="93"/>
  <c r="F200" i="182" s="1"/>
  <c r="B51" i="182"/>
  <c r="D196" i="182"/>
  <c r="R197" i="93"/>
  <c r="E127" i="95"/>
  <c r="U127" i="93"/>
  <c r="F126" i="182" s="1"/>
  <c r="E205" i="95"/>
  <c r="H205" i="95" s="1"/>
  <c r="E198" i="95"/>
  <c r="H198" i="95" s="1"/>
  <c r="G195" i="183"/>
  <c r="I195" i="183" s="1"/>
  <c r="L195" i="183" s="1"/>
  <c r="M198" i="92"/>
  <c r="X202" i="93"/>
  <c r="B199" i="182"/>
  <c r="G202" i="183"/>
  <c r="O196" i="93"/>
  <c r="N100" i="86"/>
  <c r="N102" i="86" s="1"/>
  <c r="O51" i="93"/>
  <c r="U52" i="93"/>
  <c r="F51" i="182" s="1"/>
  <c r="S32" i="86"/>
  <c r="S35" i="86" s="1"/>
  <c r="X206" i="93"/>
  <c r="R200" i="93"/>
  <c r="D199" i="182"/>
  <c r="E31" i="95"/>
  <c r="E201" i="95"/>
  <c r="H201" i="95" s="1"/>
  <c r="E52" i="95"/>
  <c r="U205" i="93"/>
  <c r="F204" i="182" s="1"/>
  <c r="U208" i="93"/>
  <c r="F207" i="182" s="1"/>
  <c r="X53" i="93"/>
  <c r="X54" i="93"/>
  <c r="D209" i="182" l="1"/>
  <c r="D50" i="182"/>
  <c r="O61" i="93"/>
  <c r="U200" i="93"/>
  <c r="F199" i="182" s="1"/>
  <c r="G198" i="183"/>
  <c r="U51" i="93"/>
  <c r="F50" i="182" s="1"/>
  <c r="B195" i="182"/>
  <c r="U204" i="93"/>
  <c r="F203" i="182" s="1"/>
  <c r="B50" i="182"/>
  <c r="D195" i="182"/>
  <c r="R196" i="93"/>
  <c r="G56" i="183"/>
  <c r="I56" i="183" s="1"/>
  <c r="L56" i="183" s="1"/>
  <c r="M59" i="92"/>
  <c r="E204" i="95"/>
  <c r="H204" i="95" s="1"/>
  <c r="X205" i="93"/>
  <c r="G46" i="183"/>
  <c r="I46" i="183" s="1"/>
  <c r="L46" i="183" s="1"/>
  <c r="M49" i="92"/>
  <c r="X198" i="93"/>
  <c r="E207" i="95"/>
  <c r="H207" i="95" s="1"/>
  <c r="E200" i="95"/>
  <c r="H200" i="95" s="1"/>
  <c r="U197" i="93"/>
  <c r="F196" i="182" s="1"/>
  <c r="E197" i="95"/>
  <c r="H197" i="95" s="1"/>
  <c r="X208" i="93"/>
  <c r="X201" i="93"/>
  <c r="B209" i="182"/>
  <c r="G191" i="183"/>
  <c r="I191" i="183" s="1"/>
  <c r="L191" i="183" s="1"/>
  <c r="M194" i="92"/>
  <c r="E51" i="95"/>
  <c r="D60" i="182" l="1"/>
  <c r="U61" i="93"/>
  <c r="F60" i="182" s="1"/>
  <c r="E61" i="95"/>
  <c r="X204" i="93"/>
  <c r="E196" i="95"/>
  <c r="H196" i="95" s="1"/>
  <c r="B60" i="182"/>
  <c r="E203" i="95"/>
  <c r="H203" i="95" s="1"/>
  <c r="U196" i="93"/>
  <c r="F195" i="182" s="1"/>
  <c r="S100" i="86"/>
  <c r="X197" i="93"/>
  <c r="X200" i="93"/>
  <c r="E210" i="95" l="1"/>
  <c r="G205" i="183"/>
  <c r="X196" i="93"/>
  <c r="N12" i="157" l="1"/>
  <c r="S10" i="180"/>
  <c r="U12" i="88"/>
  <c r="Q12" i="157" l="1"/>
  <c r="Z10" i="180"/>
  <c r="AA10" i="180" s="1"/>
  <c r="Z12" i="88"/>
  <c r="G12" i="82"/>
  <c r="I12" i="82" l="1"/>
  <c r="F9" i="92" l="1"/>
  <c r="C6" i="183"/>
  <c r="D9" i="94"/>
  <c r="F9" i="94" s="1"/>
  <c r="O11" i="93"/>
  <c r="N12" i="86"/>
  <c r="D10" i="182" l="1"/>
  <c r="B10" i="182"/>
  <c r="G6" i="183" l="1"/>
  <c r="I6" i="183" s="1"/>
  <c r="L6" i="183" s="1"/>
  <c r="M9" i="92"/>
  <c r="U11" i="93"/>
  <c r="F10" i="182" s="1"/>
  <c r="S12" i="86"/>
  <c r="E11" i="95"/>
  <c r="U14" i="88" l="1"/>
  <c r="S12" i="180"/>
  <c r="L17" i="157"/>
  <c r="N14" i="157"/>
  <c r="Q18" i="93"/>
  <c r="Q16" i="93"/>
  <c r="Q17" i="93"/>
  <c r="S19" i="180" l="1"/>
  <c r="U21" i="88"/>
  <c r="L24" i="157"/>
  <c r="L126" i="157" s="1"/>
  <c r="N21" i="157"/>
  <c r="Q15" i="93"/>
  <c r="G14" i="82"/>
  <c r="Q14" i="93"/>
  <c r="G21" i="82" l="1"/>
  <c r="O29" i="93" l="1"/>
  <c r="N21" i="86"/>
  <c r="D28" i="182" l="1"/>
  <c r="B28" i="182"/>
  <c r="G19" i="172" l="1"/>
  <c r="J115" i="67" l="1"/>
  <c r="G30" i="2" s="1"/>
  <c r="F30" i="2"/>
  <c r="L22" i="78" l="1"/>
  <c r="K22" i="78"/>
  <c r="F30" i="174"/>
  <c r="J22" i="78"/>
  <c r="E18" i="172"/>
  <c r="E30" i="174" l="1"/>
  <c r="F37" i="2"/>
  <c r="M22" i="78"/>
  <c r="J30" i="174"/>
  <c r="G30" i="174"/>
  <c r="H30" i="175"/>
  <c r="E37" i="174" l="1"/>
  <c r="J16" i="45" l="1"/>
  <c r="J28" i="45" s="1"/>
  <c r="J30" i="45" s="1"/>
  <c r="J21" i="45"/>
  <c r="J24" i="45"/>
  <c r="J23" i="45"/>
  <c r="J13" i="45" l="1"/>
  <c r="I25" i="45" l="1"/>
  <c r="J12" i="45"/>
  <c r="J25" i="45" s="1"/>
  <c r="J11" i="44"/>
  <c r="J12" i="44" s="1"/>
  <c r="J14" i="44" s="1"/>
  <c r="G32" i="2" s="1"/>
  <c r="F41" i="2" l="1"/>
  <c r="G41" i="2"/>
  <c r="F32" i="174"/>
  <c r="J24" i="78"/>
  <c r="L24" i="78"/>
  <c r="K24" i="78"/>
  <c r="F43" i="2" l="1"/>
  <c r="E41" i="174"/>
  <c r="J32" i="78"/>
  <c r="F41" i="174"/>
  <c r="G43" i="2"/>
  <c r="K32" i="78"/>
  <c r="L32" i="78"/>
  <c r="M24" i="78"/>
  <c r="H32" i="175"/>
  <c r="J32" i="174"/>
  <c r="G32" i="174"/>
  <c r="M32" i="78" l="1"/>
  <c r="E43" i="174"/>
  <c r="F44" i="2"/>
  <c r="J34" i="78"/>
  <c r="F43" i="174"/>
  <c r="K34" i="78"/>
  <c r="L34" i="78"/>
  <c r="G9" i="115"/>
  <c r="G21" i="203"/>
  <c r="G16" i="203"/>
  <c r="H41" i="175"/>
  <c r="F10" i="115" l="1"/>
  <c r="D22" i="127" s="1"/>
  <c r="E22" i="127" s="1"/>
  <c r="E8" i="112" s="1"/>
  <c r="E13" i="127"/>
  <c r="H43" i="175"/>
  <c r="E11" i="127"/>
  <c r="M34" i="78"/>
  <c r="E14" i="127"/>
  <c r="E9" i="127"/>
  <c r="F45" i="2"/>
  <c r="E44" i="174"/>
  <c r="E8" i="127"/>
  <c r="E10" i="127"/>
  <c r="D8" i="112" l="1"/>
  <c r="F11" i="115"/>
  <c r="G10" i="115"/>
  <c r="G11" i="115" s="1"/>
  <c r="I8" i="115" s="1"/>
  <c r="E45" i="174"/>
  <c r="F47" i="2"/>
  <c r="D10" i="127"/>
  <c r="D9" i="127"/>
  <c r="D12" i="127"/>
  <c r="D8" i="127"/>
  <c r="D15" i="127"/>
  <c r="D13" i="127"/>
  <c r="D16" i="127"/>
  <c r="D14" i="127"/>
  <c r="D17" i="127"/>
  <c r="D11" i="127"/>
  <c r="F51" i="2" l="1"/>
  <c r="E47" i="174"/>
  <c r="F16" i="203" l="1"/>
  <c r="F21" i="203"/>
  <c r="K10" i="122" l="1"/>
  <c r="K11" i="122" s="1"/>
  <c r="K13" i="122" s="1"/>
  <c r="K19" i="48" s="1"/>
  <c r="K21" i="48" s="1"/>
  <c r="H10" i="122"/>
  <c r="H11" i="122" s="1"/>
  <c r="H13" i="122" s="1"/>
  <c r="H19" i="48" s="1"/>
  <c r="H21" i="48" s="1"/>
  <c r="H11" i="115" l="1"/>
  <c r="I34" i="204" l="1"/>
  <c r="E10" i="122"/>
  <c r="E11" i="122" l="1"/>
  <c r="E13" i="122" s="1"/>
  <c r="E19" i="48" s="1"/>
  <c r="E9" i="123"/>
  <c r="E11" i="123" s="1"/>
  <c r="J41" i="204"/>
  <c r="J51" i="204" l="1"/>
  <c r="J73" i="204" l="1"/>
  <c r="J83" i="204" l="1"/>
  <c r="C15" i="112" l="1"/>
  <c r="C20" i="112" s="1"/>
  <c r="F10" i="122" l="1"/>
  <c r="F11" i="122" l="1"/>
  <c r="F13" i="122" s="1"/>
  <c r="F19" i="48" s="1"/>
  <c r="F21" i="48" s="1"/>
  <c r="F9" i="123"/>
  <c r="F11" i="123" s="1"/>
  <c r="G10" i="122"/>
  <c r="J8" i="122" s="1"/>
  <c r="G11" i="122" l="1"/>
  <c r="G13" i="122" s="1"/>
  <c r="G19" i="48" s="1"/>
  <c r="G21" i="48" s="1"/>
  <c r="G9" i="123"/>
  <c r="G11" i="123" s="1"/>
  <c r="J44" i="204" l="1"/>
  <c r="J47" i="204" l="1"/>
  <c r="J46" i="204"/>
  <c r="J45" i="204"/>
  <c r="J43" i="204"/>
  <c r="J48" i="204"/>
  <c r="J42" i="204"/>
  <c r="J50" i="204" l="1"/>
  <c r="J52" i="204" s="1"/>
  <c r="J78" i="204" l="1"/>
  <c r="J77" i="204"/>
  <c r="J79" i="204"/>
  <c r="J80" i="204"/>
  <c r="J76" i="204"/>
  <c r="J75" i="204"/>
  <c r="J74" i="204"/>
  <c r="J82" i="204" l="1"/>
  <c r="J84" i="204" s="1"/>
  <c r="S41" i="180" l="1"/>
  <c r="U43" i="88"/>
  <c r="U44" i="88"/>
  <c r="M48" i="157"/>
  <c r="N44" i="157"/>
  <c r="G44" i="82" s="1"/>
  <c r="Z41" i="180"/>
  <c r="Z43" i="88"/>
  <c r="AA41" i="180" l="1"/>
  <c r="Q79" i="93"/>
  <c r="N48" i="157"/>
  <c r="G48" i="82" s="1"/>
  <c r="S46" i="180"/>
  <c r="U48" i="88"/>
  <c r="S42" i="180"/>
  <c r="AA42" i="180"/>
  <c r="Q81" i="93"/>
  <c r="Z48" i="88"/>
  <c r="Z46" i="180"/>
  <c r="G79" i="95"/>
  <c r="AA46" i="180" l="1"/>
  <c r="G81" i="95"/>
  <c r="C74" i="183"/>
  <c r="D77" i="94"/>
  <c r="F77" i="94" s="1"/>
  <c r="F77" i="92"/>
  <c r="O81" i="93" l="1"/>
  <c r="D79" i="94"/>
  <c r="F79" i="94" s="1"/>
  <c r="F79" i="92"/>
  <c r="C76" i="183"/>
  <c r="O80" i="93" l="1"/>
  <c r="B80" i="182"/>
  <c r="D80" i="182"/>
  <c r="R81" i="93"/>
  <c r="D78" i="94"/>
  <c r="F78" i="94" s="1"/>
  <c r="C75" i="183"/>
  <c r="F78" i="92"/>
  <c r="G76" i="183"/>
  <c r="I76" i="183" s="1"/>
  <c r="L76" i="183" s="1"/>
  <c r="M79" i="92"/>
  <c r="D79" i="182" l="1"/>
  <c r="O78" i="93"/>
  <c r="O79" i="93"/>
  <c r="N44" i="86"/>
  <c r="N48" i="86" s="1"/>
  <c r="B79" i="182"/>
  <c r="E81" i="95"/>
  <c r="H81" i="95" s="1"/>
  <c r="M78" i="92"/>
  <c r="G75" i="183"/>
  <c r="I75" i="183" s="1"/>
  <c r="L75" i="183" s="1"/>
  <c r="D76" i="94"/>
  <c r="F76" i="94" s="1"/>
  <c r="C73" i="183"/>
  <c r="F76" i="92"/>
  <c r="U81" i="93"/>
  <c r="F80" i="182" s="1"/>
  <c r="D77" i="182" l="1"/>
  <c r="R79" i="93"/>
  <c r="D78" i="182"/>
  <c r="O87" i="93"/>
  <c r="B77" i="182"/>
  <c r="B78" i="182"/>
  <c r="X81" i="93"/>
  <c r="U80" i="93"/>
  <c r="F79" i="182" s="1"/>
  <c r="G73" i="183"/>
  <c r="I73" i="183" s="1"/>
  <c r="L73" i="183" s="1"/>
  <c r="M76" i="92"/>
  <c r="G74" i="183"/>
  <c r="I74" i="183" s="1"/>
  <c r="L74" i="183" s="1"/>
  <c r="M77" i="92"/>
  <c r="D85" i="94"/>
  <c r="F85" i="94" s="1"/>
  <c r="C82" i="183"/>
  <c r="F85" i="92"/>
  <c r="E80" i="95"/>
  <c r="D86" i="182" l="1"/>
  <c r="B86" i="182"/>
  <c r="E78" i="95"/>
  <c r="E79" i="95"/>
  <c r="H79" i="95" s="1"/>
  <c r="U78" i="93"/>
  <c r="F77" i="182" s="1"/>
  <c r="G82" i="183"/>
  <c r="I82" i="183" s="1"/>
  <c r="L82" i="183" s="1"/>
  <c r="M85" i="92"/>
  <c r="U79" i="93"/>
  <c r="F78" i="182" s="1"/>
  <c r="S44" i="86"/>
  <c r="S48" i="86" s="1"/>
  <c r="E87" i="95" l="1"/>
  <c r="U87" i="93"/>
  <c r="F86" i="182" s="1"/>
  <c r="X79" i="93"/>
  <c r="Q70" i="157" l="1"/>
  <c r="I70" i="82" s="1"/>
  <c r="Q71" i="157"/>
  <c r="I71" i="82" s="1"/>
  <c r="Z69" i="180"/>
  <c r="Q20" i="157"/>
  <c r="I20" i="82" s="1"/>
  <c r="Z70" i="88" l="1"/>
  <c r="Z68" i="180"/>
  <c r="Z18" i="180"/>
  <c r="Z20" i="88"/>
  <c r="X69" i="180" l="1"/>
  <c r="Y69" i="180" s="1"/>
  <c r="Z71" i="88"/>
  <c r="X67" i="180" l="1"/>
  <c r="D139" i="183" l="1"/>
  <c r="E142" i="94"/>
  <c r="C143" i="94"/>
  <c r="B140" i="183"/>
  <c r="C142" i="94"/>
  <c r="B139" i="183"/>
  <c r="V67" i="180"/>
  <c r="K69" i="79"/>
  <c r="E26" i="94"/>
  <c r="D23" i="183"/>
  <c r="D140" i="183"/>
  <c r="E143" i="94"/>
  <c r="N71" i="157"/>
  <c r="G71" i="82" s="1"/>
  <c r="F23" i="183"/>
  <c r="Q22" i="180"/>
  <c r="X19" i="180"/>
  <c r="Y19" i="180" s="1"/>
  <c r="F7" i="183"/>
  <c r="X66" i="180"/>
  <c r="Y66" i="180" s="1"/>
  <c r="B138" i="183" l="1"/>
  <c r="C141" i="94"/>
  <c r="K14" i="79"/>
  <c r="V12" i="180"/>
  <c r="W12" i="180" s="1"/>
  <c r="U20" i="88"/>
  <c r="M24" i="157"/>
  <c r="N20" i="157"/>
  <c r="D7" i="183"/>
  <c r="E10" i="94"/>
  <c r="X11" i="180"/>
  <c r="Y11" i="180" s="1"/>
  <c r="S11" i="180"/>
  <c r="U13" i="88"/>
  <c r="M17" i="157"/>
  <c r="N13" i="157"/>
  <c r="D138" i="183"/>
  <c r="E141" i="94"/>
  <c r="F140" i="183"/>
  <c r="F139" i="183"/>
  <c r="Y67" i="180"/>
  <c r="Q67" i="180"/>
  <c r="U71" i="88"/>
  <c r="N67" i="180"/>
  <c r="I69" i="79"/>
  <c r="B23" i="183"/>
  <c r="C26" i="94"/>
  <c r="I24" i="79"/>
  <c r="N22" i="180"/>
  <c r="O22" i="180" s="1"/>
  <c r="K24" i="79"/>
  <c r="V22" i="180"/>
  <c r="V18" i="180"/>
  <c r="W18" i="180" s="1"/>
  <c r="K20" i="79"/>
  <c r="X65" i="180"/>
  <c r="Y65" i="180" s="1"/>
  <c r="F137" i="183"/>
  <c r="Q15" i="180"/>
  <c r="X22" i="180"/>
  <c r="Y22" i="180" s="1"/>
  <c r="Q70" i="180"/>
  <c r="F136" i="183"/>
  <c r="W22" i="180" l="1"/>
  <c r="B24" i="183"/>
  <c r="C27" i="94"/>
  <c r="E11" i="94"/>
  <c r="D8" i="183"/>
  <c r="B8" i="183"/>
  <c r="C11" i="94"/>
  <c r="G20" i="82"/>
  <c r="N24" i="157"/>
  <c r="G24" i="82" s="1"/>
  <c r="O28" i="93"/>
  <c r="N20" i="86"/>
  <c r="N24" i="86" s="1"/>
  <c r="S18" i="180"/>
  <c r="AA18" i="180"/>
  <c r="G13" i="82"/>
  <c r="N17" i="157"/>
  <c r="G17" i="82" s="1"/>
  <c r="F138" i="183"/>
  <c r="D137" i="183"/>
  <c r="E140" i="94"/>
  <c r="S69" i="180"/>
  <c r="AA69" i="180"/>
  <c r="U69" i="88"/>
  <c r="W67" i="180"/>
  <c r="O67" i="180"/>
  <c r="N70" i="180"/>
  <c r="I72" i="79"/>
  <c r="U70" i="88"/>
  <c r="N70" i="157"/>
  <c r="G70" i="82" s="1"/>
  <c r="M72" i="157"/>
  <c r="Q124" i="180"/>
  <c r="X70" i="180"/>
  <c r="Y70" i="180" s="1"/>
  <c r="X15" i="180"/>
  <c r="Y15" i="180" s="1"/>
  <c r="F24" i="183"/>
  <c r="F141" i="183"/>
  <c r="D27" i="182" l="1"/>
  <c r="V70" i="180"/>
  <c r="W70" i="180" s="1"/>
  <c r="K72" i="79"/>
  <c r="Z67" i="180"/>
  <c r="AA67" i="180" s="1"/>
  <c r="Z69" i="88"/>
  <c r="D13" i="183"/>
  <c r="E16" i="94"/>
  <c r="E15" i="94"/>
  <c r="D12" i="183"/>
  <c r="D11" i="183"/>
  <c r="E14" i="94"/>
  <c r="B10" i="183"/>
  <c r="C13" i="94"/>
  <c r="B13" i="183"/>
  <c r="C16" i="94"/>
  <c r="C12" i="94"/>
  <c r="B9" i="183"/>
  <c r="B27" i="182"/>
  <c r="D24" i="183"/>
  <c r="E27" i="94"/>
  <c r="O12" i="93"/>
  <c r="N13" i="86"/>
  <c r="Z13" i="88"/>
  <c r="Z11" i="180"/>
  <c r="AA11" i="180" s="1"/>
  <c r="Q13" i="157"/>
  <c r="E139" i="94"/>
  <c r="D136" i="183"/>
  <c r="N71" i="86"/>
  <c r="O145" i="93"/>
  <c r="AA68" i="180"/>
  <c r="S68" i="180"/>
  <c r="O70" i="180"/>
  <c r="N72" i="157"/>
  <c r="G72" i="82" s="1"/>
  <c r="M126" i="157"/>
  <c r="N126" i="157" s="1"/>
  <c r="G126" i="82" s="1"/>
  <c r="H70" i="82" s="1"/>
  <c r="S67" i="180"/>
  <c r="F13" i="183"/>
  <c r="F10" i="183"/>
  <c r="F9" i="183"/>
  <c r="F11" i="183"/>
  <c r="F12" i="183"/>
  <c r="D11" i="182" l="1"/>
  <c r="D144" i="182"/>
  <c r="D142" i="94"/>
  <c r="F142" i="94" s="1"/>
  <c r="F142" i="92"/>
  <c r="C139" i="183"/>
  <c r="C140" i="183"/>
  <c r="D143" i="94"/>
  <c r="F143" i="94" s="1"/>
  <c r="F143" i="92"/>
  <c r="F26" i="92"/>
  <c r="C23" i="183"/>
  <c r="D26" i="94"/>
  <c r="F26" i="94" s="1"/>
  <c r="D10" i="183"/>
  <c r="E13" i="94"/>
  <c r="C15" i="94"/>
  <c r="B12" i="183"/>
  <c r="C14" i="94"/>
  <c r="B11" i="183"/>
  <c r="E42" i="94"/>
  <c r="D39" i="183"/>
  <c r="C7" i="183"/>
  <c r="D10" i="94"/>
  <c r="F10" i="94" s="1"/>
  <c r="F10" i="92"/>
  <c r="I13" i="82"/>
  <c r="B11" i="182"/>
  <c r="B144" i="182"/>
  <c r="J72" i="80"/>
  <c r="G72" i="83"/>
  <c r="H60" i="82"/>
  <c r="H35" i="82"/>
  <c r="H111" i="82"/>
  <c r="H94" i="82"/>
  <c r="H32" i="82"/>
  <c r="H52" i="82"/>
  <c r="H75" i="82"/>
  <c r="H99" i="82"/>
  <c r="H92" i="82"/>
  <c r="H59" i="82"/>
  <c r="H93" i="82"/>
  <c r="H125" i="82"/>
  <c r="H20" i="82"/>
  <c r="H24" i="82"/>
  <c r="H119" i="82"/>
  <c r="H34" i="82"/>
  <c r="H76" i="82"/>
  <c r="H57" i="82"/>
  <c r="H16" i="82"/>
  <c r="H117" i="82"/>
  <c r="H15" i="82"/>
  <c r="H113" i="82"/>
  <c r="H121" i="82"/>
  <c r="H46" i="82"/>
  <c r="H38" i="82"/>
  <c r="H106" i="82"/>
  <c r="H91" i="82"/>
  <c r="H12" i="82"/>
  <c r="H58" i="82"/>
  <c r="H122" i="82"/>
  <c r="H53" i="82"/>
  <c r="H88" i="82"/>
  <c r="H108" i="82"/>
  <c r="H21" i="82"/>
  <c r="H48" i="82"/>
  <c r="H124" i="82"/>
  <c r="H36" i="82"/>
  <c r="J38" i="80" s="1"/>
  <c r="H49" i="82"/>
  <c r="H95" i="82"/>
  <c r="H90" i="82"/>
  <c r="H40" i="82"/>
  <c r="H84" i="82"/>
  <c r="H87" i="82"/>
  <c r="H69" i="82"/>
  <c r="H42" i="82"/>
  <c r="H39" i="82"/>
  <c r="H67" i="82"/>
  <c r="H80" i="82"/>
  <c r="H114" i="82"/>
  <c r="H14" i="82"/>
  <c r="H71" i="82"/>
  <c r="H56" i="82"/>
  <c r="H63" i="82"/>
  <c r="H51" i="82"/>
  <c r="H101" i="82"/>
  <c r="H100" i="82"/>
  <c r="H65" i="82"/>
  <c r="H41" i="82"/>
  <c r="H89" i="82"/>
  <c r="H126" i="82"/>
  <c r="H79" i="82"/>
  <c r="H18" i="82"/>
  <c r="H74" i="82"/>
  <c r="H13" i="82"/>
  <c r="H105" i="82"/>
  <c r="H120" i="82"/>
  <c r="H30" i="82"/>
  <c r="H112" i="82"/>
  <c r="H116" i="82"/>
  <c r="H104" i="82"/>
  <c r="H77" i="82"/>
  <c r="H55" i="82"/>
  <c r="H83" i="82"/>
  <c r="H64" i="82"/>
  <c r="H78" i="82"/>
  <c r="H50" i="82"/>
  <c r="H28" i="82"/>
  <c r="H43" i="82"/>
  <c r="H110" i="82"/>
  <c r="H66" i="82"/>
  <c r="H85" i="82"/>
  <c r="H44" i="82"/>
  <c r="H81" i="82"/>
  <c r="H47" i="82"/>
  <c r="H86" i="82"/>
  <c r="H115" i="82"/>
  <c r="H61" i="82"/>
  <c r="H82" i="82"/>
  <c r="H97" i="82"/>
  <c r="H103" i="82"/>
  <c r="H29" i="82"/>
  <c r="H62" i="82"/>
  <c r="H31" i="82"/>
  <c r="H109" i="82"/>
  <c r="H25" i="82"/>
  <c r="J27" i="80" s="1"/>
  <c r="H73" i="82"/>
  <c r="H23" i="82"/>
  <c r="H107" i="82"/>
  <c r="H26" i="82"/>
  <c r="J28" i="80" s="1"/>
  <c r="H19" i="82"/>
  <c r="H37" i="82"/>
  <c r="J39" i="80" s="1"/>
  <c r="H27" i="82"/>
  <c r="H45" i="82"/>
  <c r="H102" i="82"/>
  <c r="H22" i="82"/>
  <c r="H54" i="82"/>
  <c r="H17" i="82"/>
  <c r="H68" i="82"/>
  <c r="H123" i="82"/>
  <c r="H96" i="82"/>
  <c r="H33" i="82"/>
  <c r="H98" i="82"/>
  <c r="H118" i="82"/>
  <c r="H72" i="82"/>
  <c r="N15" i="180"/>
  <c r="O15" i="180" s="1"/>
  <c r="I17" i="79"/>
  <c r="V11" i="180"/>
  <c r="W11" i="180" s="1"/>
  <c r="K13" i="79"/>
  <c r="X124" i="180"/>
  <c r="Y124" i="180" s="1"/>
  <c r="F8" i="183"/>
  <c r="F39" i="183"/>
  <c r="B141" i="183" l="1"/>
  <c r="C144" i="94"/>
  <c r="G139" i="183"/>
  <c r="I139" i="183" s="1"/>
  <c r="L139" i="183" s="1"/>
  <c r="M142" i="92"/>
  <c r="C138" i="183"/>
  <c r="D141" i="94"/>
  <c r="F141" i="94" s="1"/>
  <c r="F141" i="92"/>
  <c r="G140" i="183"/>
  <c r="I140" i="183" s="1"/>
  <c r="L140" i="183" s="1"/>
  <c r="M143" i="92"/>
  <c r="G23" i="183"/>
  <c r="I23" i="183" s="1"/>
  <c r="L23" i="183" s="1"/>
  <c r="M26" i="92"/>
  <c r="D20" i="183"/>
  <c r="E23" i="94"/>
  <c r="E144" i="94"/>
  <c r="D141" i="183"/>
  <c r="O144" i="93"/>
  <c r="N70" i="86"/>
  <c r="N72" i="86" s="1"/>
  <c r="J98" i="80"/>
  <c r="G98" i="83"/>
  <c r="J29" i="80"/>
  <c r="G29" i="83"/>
  <c r="G111" i="83"/>
  <c r="J111" i="80"/>
  <c r="G117" i="83"/>
  <c r="J117" i="80"/>
  <c r="J45" i="80"/>
  <c r="G45" i="83"/>
  <c r="G106" i="83"/>
  <c r="J106" i="80"/>
  <c r="G20" i="83"/>
  <c r="J20" i="80"/>
  <c r="J53" i="80"/>
  <c r="G53" i="83"/>
  <c r="G41" i="83"/>
  <c r="J41" i="80"/>
  <c r="J51" i="80"/>
  <c r="G51" i="83"/>
  <c r="G124" i="83"/>
  <c r="J124" i="80"/>
  <c r="J115" i="80"/>
  <c r="G115" i="83"/>
  <c r="J26" i="80"/>
  <c r="G26" i="83"/>
  <c r="J54" i="80"/>
  <c r="G54" i="83"/>
  <c r="G125" i="83"/>
  <c r="J125" i="80"/>
  <c r="G33" i="83"/>
  <c r="J33" i="80"/>
  <c r="J88" i="80"/>
  <c r="G88" i="83"/>
  <c r="G30" i="83"/>
  <c r="J30" i="80"/>
  <c r="J118" i="80"/>
  <c r="G118" i="83"/>
  <c r="J81" i="80"/>
  <c r="G81" i="83"/>
  <c r="G65" i="83"/>
  <c r="J65" i="80"/>
  <c r="J44" i="80"/>
  <c r="G44" i="83"/>
  <c r="G60" i="83"/>
  <c r="J60" i="80"/>
  <c r="G17" i="83"/>
  <c r="J17" i="80"/>
  <c r="J22" i="80"/>
  <c r="G22" i="83"/>
  <c r="J34" i="80"/>
  <c r="G34" i="83"/>
  <c r="G70" i="83"/>
  <c r="J70" i="80"/>
  <c r="G21" i="83"/>
  <c r="J21" i="80"/>
  <c r="G64" i="83"/>
  <c r="J64" i="80"/>
  <c r="G49" i="83"/>
  <c r="J49" i="80"/>
  <c r="J52" i="80"/>
  <c r="G52" i="83"/>
  <c r="J114" i="80"/>
  <c r="G114" i="83"/>
  <c r="J128" i="80"/>
  <c r="G128" i="83"/>
  <c r="G58" i="83"/>
  <c r="J58" i="80"/>
  <c r="J71" i="80"/>
  <c r="G71" i="83"/>
  <c r="G126" i="83"/>
  <c r="J126" i="80"/>
  <c r="J14" i="80"/>
  <c r="G14" i="83"/>
  <c r="J119" i="80"/>
  <c r="G119" i="83"/>
  <c r="J127" i="80"/>
  <c r="G127" i="83"/>
  <c r="G96" i="83"/>
  <c r="J96" i="80"/>
  <c r="G19" i="83"/>
  <c r="J19" i="80"/>
  <c r="J31" i="80"/>
  <c r="G31" i="83"/>
  <c r="J83" i="80"/>
  <c r="G83" i="83"/>
  <c r="J80" i="80"/>
  <c r="G80" i="83"/>
  <c r="G32" i="83"/>
  <c r="J32" i="80"/>
  <c r="G91" i="83"/>
  <c r="J91" i="80"/>
  <c r="G73" i="83"/>
  <c r="J73" i="80"/>
  <c r="J89" i="80"/>
  <c r="G89" i="83"/>
  <c r="J50" i="80"/>
  <c r="G50" i="83"/>
  <c r="J93" i="80"/>
  <c r="G93" i="83"/>
  <c r="G18" i="83"/>
  <c r="J18" i="80"/>
  <c r="G95" i="83"/>
  <c r="J95" i="80"/>
  <c r="G113" i="83"/>
  <c r="J113" i="80"/>
  <c r="J74" i="80"/>
  <c r="G74" i="83"/>
  <c r="J56" i="80"/>
  <c r="G56" i="83"/>
  <c r="G109" i="83"/>
  <c r="J109" i="80"/>
  <c r="J105" i="80"/>
  <c r="G105" i="83"/>
  <c r="J46" i="80"/>
  <c r="G46" i="83"/>
  <c r="J66" i="80"/>
  <c r="G66" i="83"/>
  <c r="J122" i="80"/>
  <c r="G122" i="83"/>
  <c r="G43" i="83"/>
  <c r="J43" i="80"/>
  <c r="G16" i="83"/>
  <c r="J16" i="80"/>
  <c r="J86" i="80"/>
  <c r="G86" i="83"/>
  <c r="G23" i="83"/>
  <c r="J23" i="80"/>
  <c r="G108" i="83"/>
  <c r="J108" i="80"/>
  <c r="G59" i="83"/>
  <c r="J59" i="80"/>
  <c r="J61" i="80"/>
  <c r="G61" i="83"/>
  <c r="G37" i="83"/>
  <c r="J37" i="80"/>
  <c r="J120" i="80"/>
  <c r="G120" i="83"/>
  <c r="J24" i="80"/>
  <c r="G24" i="83"/>
  <c r="G25" i="83"/>
  <c r="J25" i="80"/>
  <c r="G99" i="83"/>
  <c r="J99" i="80"/>
  <c r="G87" i="83"/>
  <c r="J87" i="80"/>
  <c r="J85" i="80"/>
  <c r="G85" i="83"/>
  <c r="J107" i="80"/>
  <c r="G107" i="83"/>
  <c r="J67" i="80"/>
  <c r="G67" i="83"/>
  <c r="G116" i="83"/>
  <c r="J116" i="80"/>
  <c r="J42" i="80"/>
  <c r="G42" i="83"/>
  <c r="J110" i="80"/>
  <c r="G110" i="83"/>
  <c r="J40" i="80"/>
  <c r="G40" i="83"/>
  <c r="J78" i="80"/>
  <c r="G78" i="83"/>
  <c r="G94" i="83"/>
  <c r="J94" i="80"/>
  <c r="J62" i="80"/>
  <c r="G62" i="83"/>
  <c r="J100" i="80"/>
  <c r="G100" i="83"/>
  <c r="J104" i="80"/>
  <c r="G104" i="83"/>
  <c r="J75" i="80"/>
  <c r="G75" i="83"/>
  <c r="J84" i="80"/>
  <c r="G84" i="83"/>
  <c r="G68" i="83"/>
  <c r="J68" i="80"/>
  <c r="J57" i="80"/>
  <c r="G57" i="83"/>
  <c r="G15" i="83"/>
  <c r="J15" i="80"/>
  <c r="J102" i="80"/>
  <c r="G102" i="83"/>
  <c r="G82" i="83"/>
  <c r="J82" i="80"/>
  <c r="J92" i="80"/>
  <c r="G92" i="83"/>
  <c r="J90" i="80"/>
  <c r="G90" i="83"/>
  <c r="G48" i="83"/>
  <c r="J48" i="80"/>
  <c r="G36" i="83"/>
  <c r="J36" i="80"/>
  <c r="J101" i="80"/>
  <c r="G101" i="83"/>
  <c r="J35" i="80"/>
  <c r="G35" i="83"/>
  <c r="J47" i="80"/>
  <c r="G47" i="83"/>
  <c r="G63" i="83"/>
  <c r="J63" i="80"/>
  <c r="G112" i="83"/>
  <c r="J112" i="80"/>
  <c r="G79" i="83"/>
  <c r="J79" i="80"/>
  <c r="J76" i="80"/>
  <c r="G76" i="83"/>
  <c r="G103" i="83"/>
  <c r="J103" i="80"/>
  <c r="G69" i="83"/>
  <c r="J69" i="80"/>
  <c r="G97" i="83"/>
  <c r="J97" i="80"/>
  <c r="G55" i="83"/>
  <c r="J55" i="80"/>
  <c r="G123" i="83"/>
  <c r="J123" i="80"/>
  <c r="J121" i="80"/>
  <c r="G121" i="83"/>
  <c r="J77" i="80"/>
  <c r="G77" i="83"/>
  <c r="B39" i="183"/>
  <c r="C42" i="94"/>
  <c r="V15" i="180"/>
  <c r="W15" i="180" s="1"/>
  <c r="K17" i="79"/>
  <c r="C10" i="94"/>
  <c r="B7" i="183"/>
  <c r="I126" i="79"/>
  <c r="N124" i="180"/>
  <c r="O124" i="180" s="1"/>
  <c r="F20" i="183"/>
  <c r="D143" i="182" l="1"/>
  <c r="G138" i="183"/>
  <c r="I138" i="183" s="1"/>
  <c r="L138" i="183" s="1"/>
  <c r="M141" i="92"/>
  <c r="S20" i="86"/>
  <c r="U28" i="93"/>
  <c r="F27" i="182" s="1"/>
  <c r="E28" i="95"/>
  <c r="S22" i="180"/>
  <c r="U24" i="88"/>
  <c r="U12" i="93"/>
  <c r="F11" i="182" s="1"/>
  <c r="S13" i="86"/>
  <c r="G7" i="183"/>
  <c r="I7" i="183" s="1"/>
  <c r="L7" i="183" s="1"/>
  <c r="M10" i="92"/>
  <c r="Z14" i="88"/>
  <c r="Z12" i="180"/>
  <c r="AA12" i="180" s="1"/>
  <c r="Q14" i="157"/>
  <c r="O17" i="157"/>
  <c r="U145" i="93"/>
  <c r="F144" i="182" s="1"/>
  <c r="S71" i="86"/>
  <c r="E145" i="95"/>
  <c r="E144" i="95"/>
  <c r="U144" i="93"/>
  <c r="F143" i="182" s="1"/>
  <c r="S70" i="86"/>
  <c r="O143" i="93"/>
  <c r="B143" i="182"/>
  <c r="J32" i="79"/>
  <c r="G34" i="84" s="1"/>
  <c r="J93" i="79"/>
  <c r="G95" i="84" s="1"/>
  <c r="J16" i="79"/>
  <c r="G18" i="84" s="1"/>
  <c r="J74" i="79"/>
  <c r="G76" i="84" s="1"/>
  <c r="J96" i="79"/>
  <c r="G98" i="84" s="1"/>
  <c r="J67" i="79"/>
  <c r="G69" i="84" s="1"/>
  <c r="J33" i="79"/>
  <c r="G35" i="84" s="1"/>
  <c r="J112" i="79"/>
  <c r="J12" i="79"/>
  <c r="G14" i="84" s="1"/>
  <c r="J116" i="79"/>
  <c r="G118" i="84" s="1"/>
  <c r="J95" i="79"/>
  <c r="G97" i="84" s="1"/>
  <c r="J31" i="79"/>
  <c r="G33" i="84" s="1"/>
  <c r="J42" i="79"/>
  <c r="G44" i="84" s="1"/>
  <c r="J83" i="79"/>
  <c r="G85" i="84" s="1"/>
  <c r="J22" i="79"/>
  <c r="G24" i="84" s="1"/>
  <c r="J14" i="79"/>
  <c r="G16" i="84" s="1"/>
  <c r="J118" i="79"/>
  <c r="G120" i="84" s="1"/>
  <c r="J68" i="79"/>
  <c r="G70" i="84" s="1"/>
  <c r="J57" i="79"/>
  <c r="G59" i="84" s="1"/>
  <c r="J34" i="79"/>
  <c r="G36" i="84" s="1"/>
  <c r="J27" i="79"/>
  <c r="G29" i="84" s="1"/>
  <c r="J121" i="79"/>
  <c r="G123" i="84" s="1"/>
  <c r="J79" i="79"/>
  <c r="G81" i="84" s="1"/>
  <c r="J98" i="79"/>
  <c r="G100" i="84" s="1"/>
  <c r="J125" i="79"/>
  <c r="G127" i="84" s="1"/>
  <c r="J124" i="79"/>
  <c r="G126" i="84" s="1"/>
  <c r="J20" i="79"/>
  <c r="G22" i="84" s="1"/>
  <c r="J69" i="79"/>
  <c r="G71" i="84" s="1"/>
  <c r="J110" i="79"/>
  <c r="G112" i="84" s="1"/>
  <c r="J43" i="79"/>
  <c r="G45" i="84" s="1"/>
  <c r="J78" i="79"/>
  <c r="G80" i="84" s="1"/>
  <c r="J29" i="79"/>
  <c r="G31" i="84" s="1"/>
  <c r="J76" i="79"/>
  <c r="G78" i="84" s="1"/>
  <c r="J107" i="79"/>
  <c r="G109" i="84" s="1"/>
  <c r="J39" i="79"/>
  <c r="G41" i="84" s="1"/>
  <c r="J105" i="79"/>
  <c r="G107" i="84" s="1"/>
  <c r="J21" i="79"/>
  <c r="G23" i="84" s="1"/>
  <c r="J126" i="79"/>
  <c r="G128" i="84" s="1"/>
  <c r="J75" i="79"/>
  <c r="G77" i="84" s="1"/>
  <c r="J108" i="79"/>
  <c r="G110" i="84" s="1"/>
  <c r="J51" i="79"/>
  <c r="G53" i="84" s="1"/>
  <c r="J15" i="79"/>
  <c r="G17" i="84" s="1"/>
  <c r="J47" i="79"/>
  <c r="G49" i="84" s="1"/>
  <c r="J66" i="79"/>
  <c r="G68" i="84" s="1"/>
  <c r="J44" i="79"/>
  <c r="G46" i="84" s="1"/>
  <c r="J86" i="79"/>
  <c r="G88" i="84" s="1"/>
  <c r="J91" i="79"/>
  <c r="G93" i="84" s="1"/>
  <c r="J80" i="79"/>
  <c r="G82" i="84" s="1"/>
  <c r="J64" i="79"/>
  <c r="G66" i="84" s="1"/>
  <c r="J87" i="79"/>
  <c r="G89" i="84" s="1"/>
  <c r="J84" i="79"/>
  <c r="G86" i="84" s="1"/>
  <c r="J77" i="79"/>
  <c r="G79" i="84" s="1"/>
  <c r="J89" i="79"/>
  <c r="G91" i="84" s="1"/>
  <c r="J59" i="79"/>
  <c r="G61" i="84" s="1"/>
  <c r="J56" i="79"/>
  <c r="G58" i="84" s="1"/>
  <c r="J23" i="79"/>
  <c r="G25" i="84" s="1"/>
  <c r="J97" i="79"/>
  <c r="G99" i="84" s="1"/>
  <c r="J70" i="79"/>
  <c r="G72" i="84" s="1"/>
  <c r="J62" i="79"/>
  <c r="G64" i="84" s="1"/>
  <c r="J13" i="79"/>
  <c r="G15" i="84" s="1"/>
  <c r="J122" i="79"/>
  <c r="G124" i="84" s="1"/>
  <c r="J119" i="79"/>
  <c r="G121" i="84" s="1"/>
  <c r="J26" i="79"/>
  <c r="G28" i="84" s="1"/>
  <c r="J40" i="79"/>
  <c r="G42" i="84" s="1"/>
  <c r="J55" i="79"/>
  <c r="G57" i="84" s="1"/>
  <c r="J46" i="79"/>
  <c r="G48" i="84" s="1"/>
  <c r="J81" i="79"/>
  <c r="G83" i="84" s="1"/>
  <c r="J120" i="79"/>
  <c r="G122" i="84" s="1"/>
  <c r="J28" i="79"/>
  <c r="G30" i="84" s="1"/>
  <c r="J60" i="79"/>
  <c r="G62" i="84" s="1"/>
  <c r="J48" i="79"/>
  <c r="G50" i="84" s="1"/>
  <c r="J38" i="79"/>
  <c r="G40" i="84" s="1"/>
  <c r="J58" i="79"/>
  <c r="G60" i="84" s="1"/>
  <c r="J71" i="79"/>
  <c r="G73" i="84" s="1"/>
  <c r="J24" i="79"/>
  <c r="G26" i="84" s="1"/>
  <c r="J53" i="79"/>
  <c r="G55" i="84" s="1"/>
  <c r="J63" i="79"/>
  <c r="G65" i="84" s="1"/>
  <c r="J113" i="79"/>
  <c r="G115" i="84" s="1"/>
  <c r="J115" i="79"/>
  <c r="G117" i="84" s="1"/>
  <c r="J92" i="79"/>
  <c r="G94" i="84" s="1"/>
  <c r="J45" i="79"/>
  <c r="G47" i="84" s="1"/>
  <c r="J106" i="79"/>
  <c r="G108" i="84" s="1"/>
  <c r="J37" i="79"/>
  <c r="G39" i="84" s="1"/>
  <c r="J90" i="79"/>
  <c r="G92" i="84" s="1"/>
  <c r="J35" i="79"/>
  <c r="G37" i="84" s="1"/>
  <c r="J19" i="79"/>
  <c r="G21" i="84" s="1"/>
  <c r="J52" i="79"/>
  <c r="G54" i="84" s="1"/>
  <c r="J104" i="79"/>
  <c r="G106" i="84" s="1"/>
  <c r="J101" i="79"/>
  <c r="G103" i="84" s="1"/>
  <c r="J114" i="79"/>
  <c r="G116" i="84" s="1"/>
  <c r="J102" i="79"/>
  <c r="G104" i="84" s="1"/>
  <c r="J88" i="79"/>
  <c r="G90" i="84" s="1"/>
  <c r="J100" i="79"/>
  <c r="G102" i="84" s="1"/>
  <c r="J61" i="79"/>
  <c r="G63" i="84" s="1"/>
  <c r="J72" i="79"/>
  <c r="G74" i="84" s="1"/>
  <c r="J30" i="79"/>
  <c r="G32" i="84" s="1"/>
  <c r="J109" i="79"/>
  <c r="G111" i="84" s="1"/>
  <c r="J99" i="79"/>
  <c r="G101" i="84" s="1"/>
  <c r="K126" i="79"/>
  <c r="L17" i="79" s="1"/>
  <c r="I19" i="84" s="1"/>
  <c r="V124" i="180"/>
  <c r="W124" i="180" s="1"/>
  <c r="J17" i="79"/>
  <c r="G19" i="84" s="1"/>
  <c r="Z25" i="88"/>
  <c r="D142" i="182" l="1"/>
  <c r="Z22" i="180"/>
  <c r="AA22" i="180" s="1"/>
  <c r="Z24" i="88"/>
  <c r="Z21" i="88"/>
  <c r="Z19" i="180"/>
  <c r="AA19" i="180" s="1"/>
  <c r="O24" i="157"/>
  <c r="Q21" i="157"/>
  <c r="G17" i="95"/>
  <c r="G15" i="95"/>
  <c r="G16" i="95"/>
  <c r="I14" i="82"/>
  <c r="Q17" i="157"/>
  <c r="I17" i="82" s="1"/>
  <c r="G14" i="95"/>
  <c r="F11" i="92"/>
  <c r="D11" i="94"/>
  <c r="F11" i="94" s="1"/>
  <c r="C8" i="183"/>
  <c r="G18" i="95"/>
  <c r="E143" i="95"/>
  <c r="U143" i="93"/>
  <c r="F142" i="182" s="1"/>
  <c r="B142" i="182"/>
  <c r="L108" i="79"/>
  <c r="I110" i="84" s="1"/>
  <c r="L93" i="79"/>
  <c r="I95" i="84" s="1"/>
  <c r="L56" i="79"/>
  <c r="I58" i="84" s="1"/>
  <c r="L32" i="79"/>
  <c r="I34" i="84" s="1"/>
  <c r="L66" i="79"/>
  <c r="I68" i="84" s="1"/>
  <c r="L125" i="79"/>
  <c r="L68" i="79"/>
  <c r="I70" i="84" s="1"/>
  <c r="L126" i="79"/>
  <c r="I128" i="84" s="1"/>
  <c r="L34" i="79"/>
  <c r="I36" i="84" s="1"/>
  <c r="L91" i="79"/>
  <c r="I93" i="84" s="1"/>
  <c r="L35" i="79"/>
  <c r="I37" i="84" s="1"/>
  <c r="L67" i="79"/>
  <c r="I69" i="84" s="1"/>
  <c r="L92" i="79"/>
  <c r="I94" i="84" s="1"/>
  <c r="L31" i="79"/>
  <c r="I33" i="84" s="1"/>
  <c r="L40" i="79"/>
  <c r="I42" i="84" s="1"/>
  <c r="L30" i="79"/>
  <c r="I32" i="84" s="1"/>
  <c r="L27" i="79"/>
  <c r="I29" i="84" s="1"/>
  <c r="L28" i="79"/>
  <c r="I30" i="84" s="1"/>
  <c r="L15" i="79"/>
  <c r="I17" i="84" s="1"/>
  <c r="L61" i="79"/>
  <c r="I63" i="84" s="1"/>
  <c r="L78" i="79"/>
  <c r="I80" i="84" s="1"/>
  <c r="L121" i="79"/>
  <c r="L100" i="79"/>
  <c r="I102" i="84" s="1"/>
  <c r="L47" i="79"/>
  <c r="I49" i="84" s="1"/>
  <c r="L51" i="79"/>
  <c r="I53" i="84" s="1"/>
  <c r="L42" i="79"/>
  <c r="I44" i="84" s="1"/>
  <c r="L80" i="79"/>
  <c r="I82" i="84" s="1"/>
  <c r="L46" i="79"/>
  <c r="I48" i="84" s="1"/>
  <c r="L55" i="79"/>
  <c r="I57" i="84" s="1"/>
  <c r="L119" i="79"/>
  <c r="L101" i="79"/>
  <c r="I103" i="84" s="1"/>
  <c r="L112" i="79"/>
  <c r="L44" i="79"/>
  <c r="I46" i="84" s="1"/>
  <c r="L99" i="79"/>
  <c r="I101" i="84" s="1"/>
  <c r="L83" i="79"/>
  <c r="I85" i="84" s="1"/>
  <c r="L63" i="79"/>
  <c r="I65" i="84" s="1"/>
  <c r="L22" i="79"/>
  <c r="I24" i="84" s="1"/>
  <c r="L95" i="79"/>
  <c r="I97" i="84" s="1"/>
  <c r="L14" i="79"/>
  <c r="I16" i="84" s="1"/>
  <c r="L84" i="79"/>
  <c r="I86" i="84" s="1"/>
  <c r="L12" i="79"/>
  <c r="I14" i="84" s="1"/>
  <c r="L120" i="79"/>
  <c r="I122" i="84" s="1"/>
  <c r="L53" i="79"/>
  <c r="I55" i="84" s="1"/>
  <c r="L70" i="79"/>
  <c r="I72" i="84" s="1"/>
  <c r="L118" i="79"/>
  <c r="I120" i="84" s="1"/>
  <c r="L115" i="79"/>
  <c r="L104" i="79"/>
  <c r="I106" i="84" s="1"/>
  <c r="L52" i="79"/>
  <c r="I54" i="84" s="1"/>
  <c r="L24" i="79"/>
  <c r="I26" i="84" s="1"/>
  <c r="L79" i="79"/>
  <c r="I81" i="84" s="1"/>
  <c r="L26" i="79"/>
  <c r="I28" i="84" s="1"/>
  <c r="L96" i="79"/>
  <c r="I98" i="84" s="1"/>
  <c r="L43" i="79"/>
  <c r="I45" i="84" s="1"/>
  <c r="L77" i="79"/>
  <c r="I79" i="84" s="1"/>
  <c r="L107" i="79"/>
  <c r="I109" i="84" s="1"/>
  <c r="L69" i="79"/>
  <c r="I71" i="84" s="1"/>
  <c r="L20" i="79"/>
  <c r="I22" i="84" s="1"/>
  <c r="L59" i="79"/>
  <c r="I61" i="84" s="1"/>
  <c r="L39" i="79"/>
  <c r="I41" i="84" s="1"/>
  <c r="L106" i="79"/>
  <c r="I108" i="84" s="1"/>
  <c r="L64" i="79"/>
  <c r="I66" i="84" s="1"/>
  <c r="L90" i="79"/>
  <c r="I92" i="84" s="1"/>
  <c r="L88" i="79"/>
  <c r="I90" i="84" s="1"/>
  <c r="L48" i="79"/>
  <c r="I50" i="84" s="1"/>
  <c r="L102" i="79"/>
  <c r="I104" i="84" s="1"/>
  <c r="L122" i="79"/>
  <c r="I124" i="84" s="1"/>
  <c r="L116" i="79"/>
  <c r="I118" i="84" s="1"/>
  <c r="L21" i="79"/>
  <c r="I23" i="84" s="1"/>
  <c r="L76" i="79"/>
  <c r="I78" i="84" s="1"/>
  <c r="L60" i="79"/>
  <c r="I62" i="84" s="1"/>
  <c r="L57" i="79"/>
  <c r="I59" i="84" s="1"/>
  <c r="L114" i="79"/>
  <c r="I116" i="84" s="1"/>
  <c r="L19" i="79"/>
  <c r="I21" i="84" s="1"/>
  <c r="L23" i="79"/>
  <c r="I25" i="84" s="1"/>
  <c r="L109" i="79"/>
  <c r="I111" i="84" s="1"/>
  <c r="L72" i="79"/>
  <c r="I74" i="84" s="1"/>
  <c r="L37" i="79"/>
  <c r="I39" i="84" s="1"/>
  <c r="L33" i="79"/>
  <c r="I35" i="84" s="1"/>
  <c r="L62" i="79"/>
  <c r="I64" i="84" s="1"/>
  <c r="L86" i="79"/>
  <c r="I88" i="84" s="1"/>
  <c r="L45" i="79"/>
  <c r="I47" i="84" s="1"/>
  <c r="L38" i="79"/>
  <c r="I40" i="84" s="1"/>
  <c r="L74" i="79"/>
  <c r="I76" i="84" s="1"/>
  <c r="L58" i="79"/>
  <c r="I60" i="84" s="1"/>
  <c r="L16" i="79"/>
  <c r="I18" i="84" s="1"/>
  <c r="L29" i="79"/>
  <c r="I31" i="84" s="1"/>
  <c r="L87" i="79"/>
  <c r="I89" i="84" s="1"/>
  <c r="L75" i="79"/>
  <c r="I77" i="84" s="1"/>
  <c r="L110" i="79"/>
  <c r="I112" i="84" s="1"/>
  <c r="L81" i="79"/>
  <c r="I83" i="84" s="1"/>
  <c r="L71" i="79"/>
  <c r="I73" i="84" s="1"/>
  <c r="L124" i="79"/>
  <c r="I126" i="84" s="1"/>
  <c r="L105" i="79"/>
  <c r="I107" i="84" s="1"/>
  <c r="L89" i="79"/>
  <c r="I91" i="84" s="1"/>
  <c r="L98" i="79"/>
  <c r="I100" i="84" s="1"/>
  <c r="L113" i="79"/>
  <c r="L97" i="79"/>
  <c r="I99" i="84" s="1"/>
  <c r="L13" i="79"/>
  <c r="I15" i="84" s="1"/>
  <c r="C23" i="94"/>
  <c r="B20" i="183"/>
  <c r="C274" i="94"/>
  <c r="B271" i="183"/>
  <c r="O17" i="93" l="1"/>
  <c r="O15" i="93"/>
  <c r="O16" i="93"/>
  <c r="O18" i="93"/>
  <c r="I21" i="82"/>
  <c r="Q24" i="157"/>
  <c r="I24" i="82" s="1"/>
  <c r="C24" i="183"/>
  <c r="D27" i="94"/>
  <c r="F27" i="94" s="1"/>
  <c r="F27" i="92"/>
  <c r="F12" i="92"/>
  <c r="C9" i="183"/>
  <c r="D12" i="94"/>
  <c r="F12" i="94" s="1"/>
  <c r="C10" i="183"/>
  <c r="D13" i="94"/>
  <c r="F13" i="94" s="1"/>
  <c r="F13" i="92"/>
  <c r="C13" i="183"/>
  <c r="D16" i="94"/>
  <c r="F16" i="94" s="1"/>
  <c r="F16" i="92"/>
  <c r="D15" i="94"/>
  <c r="F15" i="94" s="1"/>
  <c r="C12" i="183"/>
  <c r="F15" i="92"/>
  <c r="F14" i="92"/>
  <c r="D14" i="94"/>
  <c r="F14" i="94" s="1"/>
  <c r="C11" i="183"/>
  <c r="Z65" i="180"/>
  <c r="AA65" i="180" s="1"/>
  <c r="Z67" i="88"/>
  <c r="Z66" i="180"/>
  <c r="AA66" i="180" s="1"/>
  <c r="Z68" i="88"/>
  <c r="S70" i="180"/>
  <c r="U72" i="88"/>
  <c r="Q68" i="157"/>
  <c r="I68" i="82" s="1"/>
  <c r="O72" i="157"/>
  <c r="D15" i="182" l="1"/>
  <c r="R16" i="93"/>
  <c r="B14" i="182"/>
  <c r="R15" i="93"/>
  <c r="D14" i="182"/>
  <c r="B17" i="182"/>
  <c r="D17" i="182"/>
  <c r="R18" i="93"/>
  <c r="B16" i="182"/>
  <c r="R17" i="93"/>
  <c r="D16" i="182"/>
  <c r="B15" i="182"/>
  <c r="M27" i="92"/>
  <c r="G24" i="183"/>
  <c r="I24" i="183" s="1"/>
  <c r="L24" i="183" s="1"/>
  <c r="O44" i="93"/>
  <c r="C39" i="183"/>
  <c r="D42" i="94"/>
  <c r="F42" i="94" s="1"/>
  <c r="F42" i="92"/>
  <c r="G13" i="183"/>
  <c r="I13" i="183" s="1"/>
  <c r="L13" i="183" s="1"/>
  <c r="M16" i="92"/>
  <c r="G10" i="183"/>
  <c r="I10" i="183" s="1"/>
  <c r="L10" i="183" s="1"/>
  <c r="M13" i="92"/>
  <c r="G12" i="183"/>
  <c r="I12" i="183" s="1"/>
  <c r="L12" i="183" s="1"/>
  <c r="M15" i="92"/>
  <c r="M14" i="92"/>
  <c r="G11" i="183"/>
  <c r="I11" i="183" s="1"/>
  <c r="L11" i="183" s="1"/>
  <c r="D271" i="183"/>
  <c r="E274" i="94"/>
  <c r="F140" i="92"/>
  <c r="C137" i="183"/>
  <c r="D140" i="94"/>
  <c r="F140" i="94" s="1"/>
  <c r="Z70" i="180"/>
  <c r="AA70" i="180" s="1"/>
  <c r="Z72" i="88"/>
  <c r="Q72" i="157"/>
  <c r="I72" i="82" s="1"/>
  <c r="O126" i="157"/>
  <c r="Q126" i="157" s="1"/>
  <c r="I126" i="82" s="1"/>
  <c r="J68" i="82" s="1"/>
  <c r="D43" i="182" l="1"/>
  <c r="U29" i="93"/>
  <c r="F28" i="182" s="1"/>
  <c r="S21" i="86"/>
  <c r="S24" i="86" s="1"/>
  <c r="E29" i="95"/>
  <c r="B43" i="182"/>
  <c r="U15" i="93"/>
  <c r="F14" i="182" s="1"/>
  <c r="E18" i="95"/>
  <c r="H18" i="95" s="1"/>
  <c r="E15" i="95"/>
  <c r="H15" i="95" s="1"/>
  <c r="E17" i="95"/>
  <c r="H17" i="95" s="1"/>
  <c r="U16" i="93"/>
  <c r="F15" i="182" s="1"/>
  <c r="U18" i="93"/>
  <c r="F17" i="182" s="1"/>
  <c r="E16" i="95"/>
  <c r="H16" i="95" s="1"/>
  <c r="U17" i="93"/>
  <c r="F16" i="182" s="1"/>
  <c r="M70" i="80"/>
  <c r="I70" i="83"/>
  <c r="J115" i="82"/>
  <c r="J123" i="82"/>
  <c r="J71" i="82"/>
  <c r="J82" i="82"/>
  <c r="J106" i="82"/>
  <c r="J31" i="82"/>
  <c r="J101" i="82"/>
  <c r="J102" i="82"/>
  <c r="J13" i="82"/>
  <c r="J27" i="82"/>
  <c r="J47" i="82"/>
  <c r="J126" i="82"/>
  <c r="J23" i="82"/>
  <c r="J14" i="82"/>
  <c r="J25" i="82"/>
  <c r="M27" i="80" s="1"/>
  <c r="J60" i="82"/>
  <c r="J84" i="82"/>
  <c r="J49" i="82"/>
  <c r="J93" i="82"/>
  <c r="J87" i="82"/>
  <c r="J38" i="82"/>
  <c r="J117" i="82"/>
  <c r="J22" i="82"/>
  <c r="J108" i="82"/>
  <c r="J112" i="82"/>
  <c r="J114" i="82"/>
  <c r="J105" i="82"/>
  <c r="J45" i="82"/>
  <c r="J116" i="82"/>
  <c r="J75" i="82"/>
  <c r="J73" i="82"/>
  <c r="J107" i="82"/>
  <c r="J50" i="82"/>
  <c r="J15" i="82"/>
  <c r="J62" i="82"/>
  <c r="J125" i="82"/>
  <c r="J118" i="82"/>
  <c r="J56" i="82"/>
  <c r="J90" i="82"/>
  <c r="J65" i="82"/>
  <c r="J54" i="82"/>
  <c r="J33" i="82"/>
  <c r="J17" i="82"/>
  <c r="J19" i="82"/>
  <c r="J59" i="82"/>
  <c r="J97" i="82"/>
  <c r="J104" i="82"/>
  <c r="J91" i="82"/>
  <c r="J40" i="82"/>
  <c r="J55" i="82"/>
  <c r="J78" i="82"/>
  <c r="J98" i="82"/>
  <c r="J12" i="82"/>
  <c r="J99" i="82"/>
  <c r="J61" i="82"/>
  <c r="J86" i="82"/>
  <c r="J124" i="82"/>
  <c r="J100" i="82"/>
  <c r="J89" i="82"/>
  <c r="J92" i="82"/>
  <c r="J77" i="82"/>
  <c r="J95" i="82"/>
  <c r="J96" i="82"/>
  <c r="J69" i="82"/>
  <c r="J70" i="82"/>
  <c r="J111" i="82"/>
  <c r="J36" i="82"/>
  <c r="M38" i="80" s="1"/>
  <c r="J81" i="82"/>
  <c r="J43" i="82"/>
  <c r="J57" i="82"/>
  <c r="J26" i="82"/>
  <c r="M28" i="80" s="1"/>
  <c r="J35" i="82"/>
  <c r="J39" i="82"/>
  <c r="J74" i="82"/>
  <c r="J20" i="82"/>
  <c r="J94" i="82"/>
  <c r="J28" i="82"/>
  <c r="J34" i="82"/>
  <c r="J44" i="82"/>
  <c r="J88" i="82"/>
  <c r="J67" i="82"/>
  <c r="J58" i="82"/>
  <c r="J80" i="82"/>
  <c r="J29" i="82"/>
  <c r="J66" i="82"/>
  <c r="J41" i="82"/>
  <c r="J42" i="82"/>
  <c r="J110" i="82"/>
  <c r="J18" i="82"/>
  <c r="J120" i="82"/>
  <c r="J83" i="82"/>
  <c r="J37" i="82"/>
  <c r="M39" i="80" s="1"/>
  <c r="J76" i="82"/>
  <c r="J113" i="82"/>
  <c r="J121" i="82"/>
  <c r="J32" i="82"/>
  <c r="J103" i="82"/>
  <c r="J79" i="82"/>
  <c r="J122" i="82"/>
  <c r="J85" i="82"/>
  <c r="J51" i="82"/>
  <c r="J119" i="82"/>
  <c r="J53" i="82"/>
  <c r="J48" i="82"/>
  <c r="J46" i="82"/>
  <c r="J16" i="82"/>
  <c r="J63" i="82"/>
  <c r="J109" i="82"/>
  <c r="J30" i="82"/>
  <c r="J52" i="82"/>
  <c r="J64" i="82"/>
  <c r="J24" i="82"/>
  <c r="J21" i="82"/>
  <c r="J72" i="82"/>
  <c r="F139" i="92"/>
  <c r="D139" i="94"/>
  <c r="F139" i="94" s="1"/>
  <c r="C136" i="183"/>
  <c r="G137" i="183"/>
  <c r="I137" i="183" s="1"/>
  <c r="L137" i="183" s="1"/>
  <c r="M140" i="92"/>
  <c r="O14" i="93" l="1"/>
  <c r="G39" i="183"/>
  <c r="I39" i="183" s="1"/>
  <c r="L39" i="183" s="1"/>
  <c r="M42" i="92"/>
  <c r="X18" i="93"/>
  <c r="X16" i="93"/>
  <c r="G9" i="183"/>
  <c r="I9" i="183" s="1"/>
  <c r="L9" i="183" s="1"/>
  <c r="M12" i="92"/>
  <c r="X17" i="93"/>
  <c r="X15" i="93"/>
  <c r="M122" i="80"/>
  <c r="I122" i="83"/>
  <c r="I102" i="83"/>
  <c r="M102" i="80"/>
  <c r="M29" i="80"/>
  <c r="I29" i="83"/>
  <c r="M69" i="80"/>
  <c r="I69" i="83"/>
  <c r="M52" i="80"/>
  <c r="I52" i="83"/>
  <c r="M54" i="80"/>
  <c r="I54" i="83"/>
  <c r="M121" i="80"/>
  <c r="I121" i="83"/>
  <c r="I115" i="83"/>
  <c r="M115" i="80"/>
  <c r="I43" i="83"/>
  <c r="M43" i="80"/>
  <c r="M36" i="80"/>
  <c r="I36" i="83"/>
  <c r="M59" i="80"/>
  <c r="I59" i="83"/>
  <c r="I97" i="83"/>
  <c r="M97" i="80"/>
  <c r="I101" i="83"/>
  <c r="M101" i="80"/>
  <c r="I99" i="83"/>
  <c r="M99" i="80"/>
  <c r="I58" i="83"/>
  <c r="M58" i="80"/>
  <c r="M77" i="80"/>
  <c r="I77" i="83"/>
  <c r="M119" i="80"/>
  <c r="I119" i="83"/>
  <c r="I16" i="83"/>
  <c r="M16" i="80"/>
  <c r="I33" i="83"/>
  <c r="M33" i="80"/>
  <c r="I17" i="83"/>
  <c r="M17" i="80"/>
  <c r="F144" i="92"/>
  <c r="C141" i="183"/>
  <c r="D144" i="94"/>
  <c r="F144" i="94" s="1"/>
  <c r="M41" i="80"/>
  <c r="I41" i="83"/>
  <c r="M42" i="80"/>
  <c r="I42" i="83"/>
  <c r="M86" i="80"/>
  <c r="I86" i="83"/>
  <c r="M32" i="80"/>
  <c r="I32" i="83"/>
  <c r="I53" i="83"/>
  <c r="M53" i="80"/>
  <c r="M78" i="80"/>
  <c r="I78" i="83"/>
  <c r="M68" i="80"/>
  <c r="I68" i="83"/>
  <c r="I30" i="83"/>
  <c r="M30" i="80"/>
  <c r="M45" i="80"/>
  <c r="I45" i="83"/>
  <c r="I79" i="83"/>
  <c r="M79" i="80"/>
  <c r="I14" i="83"/>
  <c r="M14" i="80"/>
  <c r="I61" i="83"/>
  <c r="M61" i="80"/>
  <c r="I120" i="83"/>
  <c r="M120" i="80"/>
  <c r="I118" i="83"/>
  <c r="M118" i="80"/>
  <c r="M40" i="80"/>
  <c r="I40" i="83"/>
  <c r="I25" i="83"/>
  <c r="M25" i="80"/>
  <c r="M108" i="80"/>
  <c r="I108" i="83"/>
  <c r="I74" i="83"/>
  <c r="M74" i="80"/>
  <c r="I60" i="83"/>
  <c r="M60" i="80"/>
  <c r="M51" i="80"/>
  <c r="I51" i="83"/>
  <c r="M105" i="80"/>
  <c r="I105" i="83"/>
  <c r="I114" i="83"/>
  <c r="M114" i="80"/>
  <c r="E142" i="95"/>
  <c r="M111" i="80"/>
  <c r="I111" i="83"/>
  <c r="M87" i="80"/>
  <c r="I87" i="83"/>
  <c r="I31" i="83"/>
  <c r="M31" i="80"/>
  <c r="I96" i="83"/>
  <c r="M96" i="80"/>
  <c r="M83" i="80"/>
  <c r="I83" i="83"/>
  <c r="I94" i="83"/>
  <c r="M94" i="80"/>
  <c r="M100" i="80"/>
  <c r="I100" i="83"/>
  <c r="I21" i="83"/>
  <c r="M21" i="80"/>
  <c r="I127" i="83"/>
  <c r="M127" i="80"/>
  <c r="I47" i="83"/>
  <c r="M47" i="80"/>
  <c r="M89" i="80"/>
  <c r="I89" i="83"/>
  <c r="I128" i="83"/>
  <c r="M128" i="80"/>
  <c r="M84" i="80"/>
  <c r="I84" i="83"/>
  <c r="M18" i="80"/>
  <c r="I18" i="83"/>
  <c r="M113" i="80"/>
  <c r="I113" i="83"/>
  <c r="I125" i="83"/>
  <c r="M125" i="80"/>
  <c r="M23" i="80"/>
  <c r="I23" i="83"/>
  <c r="I72" i="83"/>
  <c r="M72" i="80"/>
  <c r="M56" i="80"/>
  <c r="I56" i="83"/>
  <c r="M65" i="80"/>
  <c r="I65" i="83"/>
  <c r="M124" i="80"/>
  <c r="I124" i="83"/>
  <c r="M85" i="80"/>
  <c r="I85" i="83"/>
  <c r="I82" i="83"/>
  <c r="M82" i="80"/>
  <c r="M22" i="80"/>
  <c r="I22" i="83"/>
  <c r="M91" i="80"/>
  <c r="I91" i="83"/>
  <c r="M80" i="80"/>
  <c r="I80" i="83"/>
  <c r="M19" i="80"/>
  <c r="I19" i="83"/>
  <c r="I64" i="83"/>
  <c r="M64" i="80"/>
  <c r="M107" i="80"/>
  <c r="I107" i="83"/>
  <c r="M95" i="80"/>
  <c r="I95" i="83"/>
  <c r="I49" i="83"/>
  <c r="M49" i="80"/>
  <c r="M73" i="80"/>
  <c r="I73" i="83"/>
  <c r="M57" i="80"/>
  <c r="I57" i="83"/>
  <c r="I35" i="83"/>
  <c r="M35" i="80"/>
  <c r="I20" i="83"/>
  <c r="M20" i="80"/>
  <c r="I126" i="83"/>
  <c r="M126" i="80"/>
  <c r="M117" i="80"/>
  <c r="I117" i="83"/>
  <c r="U142" i="93"/>
  <c r="F141" i="182" s="1"/>
  <c r="S68" i="86"/>
  <c r="S72" i="86" s="1"/>
  <c r="I26" i="83"/>
  <c r="M26" i="80"/>
  <c r="I50" i="83"/>
  <c r="M50" i="80"/>
  <c r="M34" i="80"/>
  <c r="I34" i="83"/>
  <c r="M112" i="80"/>
  <c r="I112" i="83"/>
  <c r="M90" i="80"/>
  <c r="I90" i="83"/>
  <c r="M37" i="80"/>
  <c r="I37" i="83"/>
  <c r="I71" i="83"/>
  <c r="M71" i="80"/>
  <c r="M88" i="80"/>
  <c r="I88" i="83"/>
  <c r="I93" i="83"/>
  <c r="M93" i="80"/>
  <c r="I67" i="83"/>
  <c r="M67" i="80"/>
  <c r="I109" i="83"/>
  <c r="M109" i="80"/>
  <c r="M110" i="80"/>
  <c r="I110" i="83"/>
  <c r="I62" i="83"/>
  <c r="M62" i="80"/>
  <c r="M104" i="80"/>
  <c r="I104" i="83"/>
  <c r="M81" i="80"/>
  <c r="I81" i="83"/>
  <c r="M76" i="80"/>
  <c r="I76" i="83"/>
  <c r="I116" i="83"/>
  <c r="M116" i="80"/>
  <c r="I48" i="83"/>
  <c r="M48" i="80"/>
  <c r="M15" i="80"/>
  <c r="I15" i="83"/>
  <c r="M139" i="92"/>
  <c r="G136" i="183"/>
  <c r="I136" i="183" s="1"/>
  <c r="L136" i="183" s="1"/>
  <c r="I66" i="83"/>
  <c r="M66" i="80"/>
  <c r="I55" i="83"/>
  <c r="M55" i="80"/>
  <c r="I123" i="83"/>
  <c r="M123" i="80"/>
  <c r="M44" i="80"/>
  <c r="I44" i="83"/>
  <c r="I46" i="83"/>
  <c r="M46" i="80"/>
  <c r="M98" i="80"/>
  <c r="I98" i="83"/>
  <c r="I63" i="83"/>
  <c r="M63" i="80"/>
  <c r="I106" i="83"/>
  <c r="M106" i="80"/>
  <c r="I92" i="83"/>
  <c r="M92" i="80"/>
  <c r="M75" i="80"/>
  <c r="I75" i="83"/>
  <c r="M24" i="80"/>
  <c r="I24" i="83"/>
  <c r="I103" i="83"/>
  <c r="M103" i="80"/>
  <c r="O13" i="93" l="1"/>
  <c r="N14" i="86"/>
  <c r="N17" i="86" s="1"/>
  <c r="B13" i="182"/>
  <c r="R14" i="93"/>
  <c r="D13" i="182"/>
  <c r="U44" i="93"/>
  <c r="F43" i="182" s="1"/>
  <c r="E44" i="95"/>
  <c r="U14" i="93"/>
  <c r="F13" i="182" s="1"/>
  <c r="E14" i="95"/>
  <c r="H14" i="95" s="1"/>
  <c r="M11" i="92"/>
  <c r="G8" i="183"/>
  <c r="I8" i="183" s="1"/>
  <c r="L8" i="183" s="1"/>
  <c r="M144" i="92"/>
  <c r="G141" i="183"/>
  <c r="I141" i="183" s="1"/>
  <c r="L141" i="183" s="1"/>
  <c r="U141" i="93"/>
  <c r="F140" i="182" s="1"/>
  <c r="E141" i="95"/>
  <c r="O146" i="93"/>
  <c r="D145" i="182" l="1"/>
  <c r="D12" i="182"/>
  <c r="B12" i="182"/>
  <c r="S14" i="86"/>
  <c r="S17" i="86" s="1"/>
  <c r="U13" i="93"/>
  <c r="F12" i="182" s="1"/>
  <c r="E13" i="95"/>
  <c r="X14" i="93"/>
  <c r="U146" i="93"/>
  <c r="F145" i="182" s="1"/>
  <c r="E146" i="95"/>
  <c r="B145" i="182"/>
  <c r="S15" i="180" l="1"/>
  <c r="U17" i="88"/>
  <c r="Z17" i="88" l="1"/>
  <c r="Z15" i="180"/>
  <c r="AA15" i="180" s="1"/>
  <c r="U126" i="88"/>
  <c r="S124" i="180"/>
  <c r="K8" i="77" l="1"/>
  <c r="K12" i="77" s="1"/>
  <c r="K14" i="77" s="1"/>
  <c r="E9" i="175"/>
  <c r="I9" i="2"/>
  <c r="Z126" i="88"/>
  <c r="Z124" i="180"/>
  <c r="AA124" i="180" s="1"/>
  <c r="F9" i="175" l="1"/>
  <c r="I9" i="175"/>
  <c r="F23" i="92"/>
  <c r="D23" i="94"/>
  <c r="F23" i="94" s="1"/>
  <c r="C20" i="183"/>
  <c r="O25" i="93"/>
  <c r="L8" i="77"/>
  <c r="L12" i="77" s="1"/>
  <c r="L14" i="77" s="1"/>
  <c r="E9" i="176"/>
  <c r="I9" i="176" s="1"/>
  <c r="H8" i="2"/>
  <c r="K18" i="77"/>
  <c r="K20" i="77" s="1"/>
  <c r="D24" i="182" l="1"/>
  <c r="B24" i="182"/>
  <c r="M23" i="92"/>
  <c r="G20" i="183"/>
  <c r="I20" i="183" s="1"/>
  <c r="L20" i="183" s="1"/>
  <c r="E8" i="175"/>
  <c r="F274" i="92"/>
  <c r="C271" i="183"/>
  <c r="D274" i="94"/>
  <c r="F274" i="94" s="1"/>
  <c r="I8" i="2"/>
  <c r="L18" i="77"/>
  <c r="L20" i="77" s="1"/>
  <c r="F8" i="175" l="1"/>
  <c r="I8" i="175"/>
  <c r="U25" i="93"/>
  <c r="F24" i="182" s="1"/>
  <c r="O157" i="93"/>
  <c r="N84" i="86"/>
  <c r="E25" i="95"/>
  <c r="G271" i="183"/>
  <c r="E8" i="176"/>
  <c r="I8" i="176" s="1"/>
  <c r="D156" i="182" l="1"/>
  <c r="B156" i="182"/>
  <c r="O276" i="93"/>
  <c r="D275" i="182" l="1"/>
  <c r="F152" i="183"/>
  <c r="I152" i="183" s="1"/>
  <c r="L152" i="183" s="1"/>
  <c r="M155" i="92"/>
  <c r="E157" i="95"/>
  <c r="B275" i="182"/>
  <c r="H13" i="2"/>
  <c r="F13" i="193" s="1"/>
  <c r="N126" i="86"/>
  <c r="U157" i="93" l="1"/>
  <c r="F156" i="182" s="1"/>
  <c r="S84" i="86"/>
  <c r="E276" i="95"/>
  <c r="F14" i="193"/>
  <c r="H33" i="2" s="1"/>
  <c r="H10" i="68"/>
  <c r="H17" i="68" s="1"/>
  <c r="E13" i="175"/>
  <c r="H14" i="2"/>
  <c r="F13" i="175" l="1"/>
  <c r="I13" i="175"/>
  <c r="E14" i="175"/>
  <c r="P25" i="78"/>
  <c r="N25" i="78"/>
  <c r="E33" i="175"/>
  <c r="O25" i="78"/>
  <c r="F14" i="175" l="1"/>
  <c r="I14" i="175"/>
  <c r="F33" i="175"/>
  <c r="I33" i="175"/>
  <c r="Q25" i="78"/>
  <c r="Q9" i="111" l="1"/>
  <c r="Q13" i="111" s="1"/>
  <c r="N13" i="111"/>
  <c r="C104" i="204" s="1"/>
  <c r="T13" i="111" l="1"/>
  <c r="D104" i="204" s="1"/>
  <c r="W9" i="111"/>
  <c r="W13" i="111" s="1"/>
  <c r="E104" i="204" s="1"/>
  <c r="P9" i="111"/>
  <c r="O9" i="111"/>
  <c r="O13" i="111" s="1"/>
  <c r="M13" i="111"/>
  <c r="S13" i="111" l="1"/>
  <c r="V9" i="111"/>
  <c r="E17" i="112"/>
  <c r="D17" i="112"/>
  <c r="P13" i="111"/>
  <c r="E12" i="172" s="1"/>
  <c r="R9" i="111"/>
  <c r="F17" i="112" s="1"/>
  <c r="V13" i="111" l="1"/>
  <c r="G17" i="112"/>
  <c r="R13" i="111"/>
  <c r="U9" i="111"/>
  <c r="X9" i="111" l="1"/>
  <c r="X13" i="111" s="1"/>
  <c r="U13" i="111"/>
  <c r="G12" i="105" l="1"/>
  <c r="H8" i="38"/>
  <c r="F8" i="104"/>
  <c r="F11" i="104" s="1"/>
  <c r="K9" i="204"/>
  <c r="M9" i="204" s="1"/>
  <c r="K15" i="204"/>
  <c r="M15" i="204" s="1"/>
  <c r="K8" i="204"/>
  <c r="M8" i="204" s="1"/>
  <c r="K10" i="204"/>
  <c r="M10" i="204" s="1"/>
  <c r="K11" i="204"/>
  <c r="K13" i="204"/>
  <c r="M13" i="204" s="1"/>
  <c r="K12" i="204"/>
  <c r="M12" i="204" s="1"/>
  <c r="M11" i="204" l="1"/>
  <c r="K14" i="204"/>
  <c r="M14" i="204" s="1"/>
  <c r="M17" i="204" l="1"/>
  <c r="K17" i="204"/>
  <c r="M48" i="204"/>
  <c r="M20" i="204" l="1"/>
  <c r="M43" i="204"/>
  <c r="M41" i="204"/>
  <c r="M44" i="204"/>
  <c r="M42" i="204"/>
  <c r="M46" i="204"/>
  <c r="M47" i="204"/>
  <c r="K79" i="204" l="1"/>
  <c r="M79" i="204" s="1"/>
  <c r="M45" i="204"/>
  <c r="M50" i="204" s="1"/>
  <c r="K73" i="204"/>
  <c r="M73" i="204" s="1"/>
  <c r="K77" i="204" l="1"/>
  <c r="M77" i="204" s="1"/>
  <c r="K74" i="204"/>
  <c r="M74" i="204" s="1"/>
  <c r="K76" i="204"/>
  <c r="M76" i="204" s="1"/>
  <c r="K75" i="204"/>
  <c r="M75" i="204" s="1"/>
  <c r="L50" i="204"/>
  <c r="K80" i="204"/>
  <c r="M80" i="204" s="1"/>
  <c r="K78" i="204"/>
  <c r="M78" i="204" s="1"/>
  <c r="K82" i="204"/>
  <c r="K84" i="204" s="1"/>
  <c r="M82" i="204" l="1"/>
  <c r="L82" i="204" s="1"/>
  <c r="L84" i="204" s="1"/>
  <c r="M84" i="204" l="1"/>
  <c r="D12" i="105" l="1"/>
  <c r="D18" i="105" s="1"/>
  <c r="E8" i="38"/>
  <c r="E10" i="38" s="1"/>
  <c r="E11" i="38" s="1"/>
  <c r="C8" i="104"/>
  <c r="E12" i="105" l="1"/>
  <c r="E18" i="105" s="1"/>
  <c r="F8" i="38"/>
  <c r="F10" i="38" s="1"/>
  <c r="F11" i="38" s="1"/>
  <c r="F12" i="38" s="1"/>
  <c r="D8" i="104"/>
  <c r="D11" i="104" s="1"/>
  <c r="G8" i="104" l="1"/>
  <c r="G11" i="104" s="1"/>
  <c r="I8" i="38"/>
  <c r="I10" i="38" s="1"/>
  <c r="I11" i="38" s="1"/>
  <c r="I12" i="38" s="1"/>
  <c r="I33" i="204" l="1"/>
  <c r="I25" i="204"/>
  <c r="I32" i="204"/>
  <c r="J32" i="204" s="1"/>
  <c r="L32" i="204" s="1"/>
  <c r="I31" i="204"/>
  <c r="J31" i="204" s="1"/>
  <c r="L31" i="204" s="1"/>
  <c r="I26" i="204"/>
  <c r="J26" i="204" s="1"/>
  <c r="I28" i="204"/>
  <c r="J28" i="204" s="1"/>
  <c r="L28" i="204" s="1"/>
  <c r="I30" i="204"/>
  <c r="J30" i="204" s="1"/>
  <c r="L30" i="204" s="1"/>
  <c r="I29" i="204"/>
  <c r="J29" i="204" s="1"/>
  <c r="L29" i="204" s="1"/>
  <c r="I27" i="204"/>
  <c r="J27" i="204" s="1"/>
  <c r="L27" i="204" s="1"/>
  <c r="L26" i="204" l="1"/>
  <c r="L36" i="204" s="1"/>
  <c r="J36" i="204"/>
  <c r="I35" i="204"/>
  <c r="K36" i="204" l="1"/>
  <c r="C103" i="204"/>
  <c r="C105" i="204" s="1"/>
  <c r="G28" i="2" s="1"/>
  <c r="I36" i="204"/>
  <c r="L20" i="78" l="1"/>
  <c r="E13" i="172"/>
  <c r="E14" i="172" s="1"/>
  <c r="K20" i="78"/>
  <c r="I15" i="38"/>
  <c r="K13" i="38" s="1"/>
  <c r="J20" i="78"/>
  <c r="F28" i="174"/>
  <c r="M20" i="78" l="1"/>
  <c r="H28" i="175"/>
  <c r="G28" i="174"/>
  <c r="J28" i="174"/>
  <c r="E15" i="172"/>
  <c r="E17" i="172" s="1"/>
  <c r="H10" i="172"/>
  <c r="E19" i="172" l="1"/>
  <c r="G29" i="2"/>
  <c r="K21" i="78" l="1"/>
  <c r="J21" i="78"/>
  <c r="L21" i="78"/>
  <c r="F29" i="174"/>
  <c r="J29" i="174" l="1"/>
  <c r="H29" i="175"/>
  <c r="G29" i="174"/>
  <c r="M21" i="78"/>
  <c r="J10" i="78" l="1"/>
  <c r="F17" i="174"/>
  <c r="K10" i="78"/>
  <c r="L10" i="78"/>
  <c r="H17" i="175" l="1"/>
  <c r="J17" i="174"/>
  <c r="G17" i="174"/>
  <c r="M10" i="78"/>
  <c r="I41" i="2" l="1"/>
  <c r="H41" i="2"/>
  <c r="O32" i="78" l="1"/>
  <c r="N32" i="78"/>
  <c r="P32" i="78"/>
  <c r="E41" i="175"/>
  <c r="H43" i="2"/>
  <c r="K27" i="173"/>
  <c r="I43" i="2"/>
  <c r="E36" i="176"/>
  <c r="T32" i="78"/>
  <c r="S32" i="78"/>
  <c r="R32" i="78"/>
  <c r="F41" i="175" l="1"/>
  <c r="I41" i="175"/>
  <c r="E38" i="176"/>
  <c r="I38" i="176" s="1"/>
  <c r="I36" i="176"/>
  <c r="U32" i="78"/>
  <c r="R34" i="78"/>
  <c r="T34" i="78"/>
  <c r="S34" i="78"/>
  <c r="F27" i="173"/>
  <c r="E27" i="173"/>
  <c r="P34" i="78"/>
  <c r="N34" i="78"/>
  <c r="E43" i="175"/>
  <c r="O34" i="78"/>
  <c r="Q32" i="78"/>
  <c r="F43" i="175" l="1"/>
  <c r="I43" i="175"/>
  <c r="G27" i="173"/>
  <c r="Q34" i="78"/>
  <c r="U34" i="78"/>
  <c r="D41" i="174" l="1"/>
  <c r="G41" i="174" s="1"/>
  <c r="H32" i="78" l="1"/>
  <c r="H34" i="78" s="1"/>
  <c r="H35" i="78" s="1"/>
  <c r="D10" i="84" s="1"/>
  <c r="I41" i="174"/>
  <c r="J41" i="174" s="1"/>
  <c r="F32" i="78"/>
  <c r="G32" i="78"/>
  <c r="G34" i="78" s="1"/>
  <c r="G35" i="78" s="1"/>
  <c r="D10" i="83" s="1"/>
  <c r="D109" i="83" l="1"/>
  <c r="D107" i="85" s="1"/>
  <c r="D54" i="83"/>
  <c r="D52" i="85" s="1"/>
  <c r="D103" i="83"/>
  <c r="D101" i="85" s="1"/>
  <c r="D122" i="83"/>
  <c r="D120" i="85" s="1"/>
  <c r="D83" i="83"/>
  <c r="D81" i="85" s="1"/>
  <c r="D48" i="83"/>
  <c r="D46" i="85" s="1"/>
  <c r="D21" i="83"/>
  <c r="D19" i="85" s="1"/>
  <c r="D41" i="83"/>
  <c r="D39" i="85" s="1"/>
  <c r="D44" i="83"/>
  <c r="D42" i="85" s="1"/>
  <c r="D60" i="83"/>
  <c r="D58" i="85" s="1"/>
  <c r="D33" i="83"/>
  <c r="D31" i="85" s="1"/>
  <c r="D95" i="83"/>
  <c r="D93" i="85" s="1"/>
  <c r="D59" i="83"/>
  <c r="D57" i="85" s="1"/>
  <c r="D20" i="83"/>
  <c r="D18" i="85" s="1"/>
  <c r="D124" i="83"/>
  <c r="D122" i="85" s="1"/>
  <c r="D77" i="83"/>
  <c r="D75" i="85" s="1"/>
  <c r="D102" i="83"/>
  <c r="D100" i="85" s="1"/>
  <c r="D105" i="83"/>
  <c r="D103" i="85" s="1"/>
  <c r="D68" i="83"/>
  <c r="D66" i="85" s="1"/>
  <c r="D37" i="83"/>
  <c r="D35" i="85" s="1"/>
  <c r="D51" i="83"/>
  <c r="D49" i="85" s="1"/>
  <c r="D26" i="83"/>
  <c r="D24" i="85" s="1"/>
  <c r="D113" i="83"/>
  <c r="D111" i="85" s="1"/>
  <c r="D42" i="83"/>
  <c r="D40" i="85" s="1"/>
  <c r="D73" i="83"/>
  <c r="D71" i="85" s="1"/>
  <c r="D30" i="83"/>
  <c r="D28" i="85" s="1"/>
  <c r="D115" i="83"/>
  <c r="D113" i="85" s="1"/>
  <c r="D57" i="83"/>
  <c r="D55" i="85" s="1"/>
  <c r="D32" i="83"/>
  <c r="D30" i="85" s="1"/>
  <c r="D111" i="83"/>
  <c r="D109" i="85" s="1"/>
  <c r="D34" i="83"/>
  <c r="D32" i="85" s="1"/>
  <c r="D70" i="83"/>
  <c r="D68" i="85" s="1"/>
  <c r="D108" i="83"/>
  <c r="D106" i="85" s="1"/>
  <c r="D126" i="83"/>
  <c r="D124" i="85" s="1"/>
  <c r="D107" i="83"/>
  <c r="D105" i="85" s="1"/>
  <c r="D93" i="83"/>
  <c r="D91" i="85" s="1"/>
  <c r="D118" i="83"/>
  <c r="D116" i="85" s="1"/>
  <c r="D79" i="83"/>
  <c r="D77" i="85" s="1"/>
  <c r="D106" i="83"/>
  <c r="D104" i="85" s="1"/>
  <c r="D71" i="83"/>
  <c r="D69" i="85" s="1"/>
  <c r="D87" i="83"/>
  <c r="D85" i="85" s="1"/>
  <c r="D61" i="83"/>
  <c r="D59" i="85" s="1"/>
  <c r="D24" i="83"/>
  <c r="D22" i="85" s="1"/>
  <c r="D120" i="83"/>
  <c r="D118" i="85" s="1"/>
  <c r="D23" i="83"/>
  <c r="D21" i="85" s="1"/>
  <c r="D90" i="83"/>
  <c r="D88" i="85" s="1"/>
  <c r="D110" i="83"/>
  <c r="D108" i="85" s="1"/>
  <c r="D55" i="83"/>
  <c r="D53" i="85" s="1"/>
  <c r="D101" i="83"/>
  <c r="D99" i="85" s="1"/>
  <c r="D50" i="83"/>
  <c r="D48" i="85" s="1"/>
  <c r="D74" i="83"/>
  <c r="D72" i="85" s="1"/>
  <c r="D85" i="83"/>
  <c r="D83" i="85" s="1"/>
  <c r="D72" i="83"/>
  <c r="D70" i="85" s="1"/>
  <c r="D29" i="83"/>
  <c r="D27" i="85" s="1"/>
  <c r="D62" i="83"/>
  <c r="D60" i="85" s="1"/>
  <c r="D65" i="83"/>
  <c r="D63" i="85" s="1"/>
  <c r="D80" i="83"/>
  <c r="D78" i="85" s="1"/>
  <c r="D46" i="83"/>
  <c r="D44" i="85" s="1"/>
  <c r="D86" i="83"/>
  <c r="D84" i="85" s="1"/>
  <c r="D78" i="83"/>
  <c r="D76" i="85" s="1"/>
  <c r="D19" i="83"/>
  <c r="D17" i="85" s="1"/>
  <c r="D96" i="83"/>
  <c r="D94" i="85" s="1"/>
  <c r="D67" i="83"/>
  <c r="D65" i="85" s="1"/>
  <c r="D14" i="83"/>
  <c r="D12" i="85" s="1"/>
  <c r="D25" i="83"/>
  <c r="D23" i="85" s="1"/>
  <c r="D66" i="83"/>
  <c r="D64" i="85" s="1"/>
  <c r="D125" i="83"/>
  <c r="D123" i="85" s="1"/>
  <c r="D88" i="83"/>
  <c r="D86" i="85" s="1"/>
  <c r="D75" i="83"/>
  <c r="D73" i="85" s="1"/>
  <c r="D116" i="83"/>
  <c r="D114" i="85" s="1"/>
  <c r="D40" i="83"/>
  <c r="D38" i="85" s="1"/>
  <c r="D18" i="83"/>
  <c r="D16" i="85" s="1"/>
  <c r="D104" i="83"/>
  <c r="D102" i="85" s="1"/>
  <c r="D15" i="83"/>
  <c r="D13" i="85" s="1"/>
  <c r="D94" i="83"/>
  <c r="D92" i="85" s="1"/>
  <c r="D119" i="83"/>
  <c r="D117" i="85" s="1"/>
  <c r="D82" i="83"/>
  <c r="D80" i="85" s="1"/>
  <c r="D63" i="83"/>
  <c r="D61" i="85" s="1"/>
  <c r="D121" i="83"/>
  <c r="D119" i="85" s="1"/>
  <c r="D36" i="83"/>
  <c r="D34" i="85" s="1"/>
  <c r="D69" i="83"/>
  <c r="D67" i="85" s="1"/>
  <c r="D100" i="83"/>
  <c r="D98" i="85" s="1"/>
  <c r="D84" i="83"/>
  <c r="D82" i="85" s="1"/>
  <c r="D89" i="83"/>
  <c r="D87" i="85" s="1"/>
  <c r="D123" i="83"/>
  <c r="D121" i="85" s="1"/>
  <c r="D91" i="83"/>
  <c r="D89" i="85" s="1"/>
  <c r="D98" i="83"/>
  <c r="D96" i="85" s="1"/>
  <c r="D53" i="83"/>
  <c r="D51" i="85" s="1"/>
  <c r="D112" i="83"/>
  <c r="D110" i="85" s="1"/>
  <c r="D52" i="83"/>
  <c r="D50" i="85" s="1"/>
  <c r="D128" i="83"/>
  <c r="D126" i="85" s="1"/>
  <c r="D16" i="83"/>
  <c r="D14" i="85" s="1"/>
  <c r="D81" i="83"/>
  <c r="D79" i="85" s="1"/>
  <c r="D35" i="83"/>
  <c r="D33" i="85" s="1"/>
  <c r="D31" i="83"/>
  <c r="D29" i="85" s="1"/>
  <c r="D43" i="83"/>
  <c r="D41" i="85" s="1"/>
  <c r="D56" i="83"/>
  <c r="D54" i="85" s="1"/>
  <c r="D22" i="83"/>
  <c r="D20" i="85" s="1"/>
  <c r="D45" i="83"/>
  <c r="D43" i="85" s="1"/>
  <c r="D49" i="83"/>
  <c r="D47" i="85" s="1"/>
  <c r="D76" i="83"/>
  <c r="D74" i="85" s="1"/>
  <c r="D117" i="83"/>
  <c r="D115" i="85" s="1"/>
  <c r="D99" i="83"/>
  <c r="D97" i="85" s="1"/>
  <c r="D64" i="83"/>
  <c r="D62" i="85" s="1"/>
  <c r="D97" i="83"/>
  <c r="D95" i="85" s="1"/>
  <c r="D114" i="83"/>
  <c r="D112" i="85" s="1"/>
  <c r="D17" i="83"/>
  <c r="D15" i="85" s="1"/>
  <c r="D58" i="83"/>
  <c r="D56" i="85" s="1"/>
  <c r="D92" i="83"/>
  <c r="D90" i="85" s="1"/>
  <c r="D127" i="83"/>
  <c r="D125" i="85" s="1"/>
  <c r="D47" i="83"/>
  <c r="D45" i="85" s="1"/>
  <c r="F34" i="78"/>
  <c r="I32" i="78"/>
  <c r="D55" i="84"/>
  <c r="E53" i="85" s="1"/>
  <c r="D66" i="84"/>
  <c r="E64" i="85" s="1"/>
  <c r="D36" i="84"/>
  <c r="E34" i="85" s="1"/>
  <c r="D88" i="84"/>
  <c r="E86" i="85" s="1"/>
  <c r="D54" i="84"/>
  <c r="E52" i="85" s="1"/>
  <c r="D49" i="84"/>
  <c r="E47" i="85" s="1"/>
  <c r="D79" i="84"/>
  <c r="E77" i="85" s="1"/>
  <c r="D35" i="84"/>
  <c r="E33" i="85" s="1"/>
  <c r="D61" i="84"/>
  <c r="E59" i="85" s="1"/>
  <c r="D58" i="84"/>
  <c r="E56" i="85" s="1"/>
  <c r="D124" i="84"/>
  <c r="E122" i="85" s="1"/>
  <c r="D73" i="84"/>
  <c r="E71" i="85" s="1"/>
  <c r="D92" i="84"/>
  <c r="E90" i="85" s="1"/>
  <c r="D103" i="84"/>
  <c r="E101" i="85" s="1"/>
  <c r="D57" i="84"/>
  <c r="E55" i="85" s="1"/>
  <c r="D104" i="84"/>
  <c r="E102" i="85" s="1"/>
  <c r="D25" i="84"/>
  <c r="E23" i="85" s="1"/>
  <c r="D97" i="84"/>
  <c r="E95" i="85" s="1"/>
  <c r="D31" i="84"/>
  <c r="E29" i="85" s="1"/>
  <c r="D127" i="84"/>
  <c r="E125" i="85" s="1"/>
  <c r="D39" i="84"/>
  <c r="E37" i="85" s="1"/>
  <c r="D45" i="84"/>
  <c r="E43" i="85" s="1"/>
  <c r="D77" i="84"/>
  <c r="E75" i="85" s="1"/>
  <c r="D106" i="84"/>
  <c r="E104" i="85" s="1"/>
  <c r="D93" i="84"/>
  <c r="E91" i="85" s="1"/>
  <c r="D64" i="84"/>
  <c r="E62" i="85" s="1"/>
  <c r="D28" i="84"/>
  <c r="E26" i="85" s="1"/>
  <c r="D99" i="84"/>
  <c r="E97" i="85" s="1"/>
  <c r="D78" i="84"/>
  <c r="E76" i="85" s="1"/>
  <c r="D52" i="84"/>
  <c r="E50" i="85" s="1"/>
  <c r="D95" i="84"/>
  <c r="E93" i="85" s="1"/>
  <c r="D76" i="84"/>
  <c r="E74" i="85" s="1"/>
  <c r="D111" i="84"/>
  <c r="E109" i="85" s="1"/>
  <c r="D86" i="84"/>
  <c r="E84" i="85" s="1"/>
  <c r="D46" i="84"/>
  <c r="E44" i="85" s="1"/>
  <c r="D118" i="84"/>
  <c r="E116" i="85" s="1"/>
  <c r="D40" i="84"/>
  <c r="E38" i="85" s="1"/>
  <c r="D107" i="84"/>
  <c r="E105" i="85" s="1"/>
  <c r="D128" i="84"/>
  <c r="E126" i="85" s="1"/>
  <c r="D85" i="84"/>
  <c r="E83" i="85" s="1"/>
  <c r="D82" i="84"/>
  <c r="E80" i="85" s="1"/>
  <c r="D109" i="84"/>
  <c r="E107" i="85" s="1"/>
  <c r="D47" i="84"/>
  <c r="E45" i="85" s="1"/>
  <c r="D13" i="84"/>
  <c r="D42" i="84"/>
  <c r="E40" i="85" s="1"/>
  <c r="D90" i="84"/>
  <c r="E88" i="85" s="1"/>
  <c r="D26" i="84"/>
  <c r="E24" i="85" s="1"/>
  <c r="D19" i="84"/>
  <c r="E17" i="85" s="1"/>
  <c r="D30" i="84"/>
  <c r="E28" i="85" s="1"/>
  <c r="D68" i="84"/>
  <c r="E66" i="85" s="1"/>
  <c r="D21" i="84"/>
  <c r="E19" i="85" s="1"/>
  <c r="D23" i="84"/>
  <c r="E21" i="85" s="1"/>
  <c r="D70" i="84"/>
  <c r="E68" i="85" s="1"/>
  <c r="D60" i="84"/>
  <c r="E58" i="85" s="1"/>
  <c r="D101" i="84"/>
  <c r="E99" i="85" s="1"/>
  <c r="D80" i="84"/>
  <c r="E78" i="85" s="1"/>
  <c r="D121" i="84"/>
  <c r="E119" i="85" s="1"/>
  <c r="D113" i="84"/>
  <c r="E111" i="85" s="1"/>
  <c r="D62" i="84"/>
  <c r="E60" i="85" s="1"/>
  <c r="D126" i="84"/>
  <c r="E124" i="85" s="1"/>
  <c r="D117" i="84"/>
  <c r="E115" i="85" s="1"/>
  <c r="D72" i="84"/>
  <c r="E70" i="85" s="1"/>
  <c r="D41" i="84"/>
  <c r="E39" i="85" s="1"/>
  <c r="D120" i="84"/>
  <c r="E118" i="85" s="1"/>
  <c r="D98" i="84"/>
  <c r="E96" i="85" s="1"/>
  <c r="D81" i="84"/>
  <c r="E79" i="85" s="1"/>
  <c r="D59" i="84"/>
  <c r="E57" i="85" s="1"/>
  <c r="D33" i="84"/>
  <c r="E31" i="85" s="1"/>
  <c r="D89" i="84"/>
  <c r="E87" i="85" s="1"/>
  <c r="D14" i="84"/>
  <c r="D115" i="84"/>
  <c r="E113" i="85" s="1"/>
  <c r="D50" i="84"/>
  <c r="E48" i="85" s="1"/>
  <c r="D83" i="84"/>
  <c r="E81" i="85" s="1"/>
  <c r="D34" i="84"/>
  <c r="E32" i="85" s="1"/>
  <c r="D44" i="84"/>
  <c r="E42" i="85" s="1"/>
  <c r="D24" i="84"/>
  <c r="E22" i="85" s="1"/>
  <c r="D94" i="84"/>
  <c r="E92" i="85" s="1"/>
  <c r="D15" i="84"/>
  <c r="E13" i="85" s="1"/>
  <c r="D37" i="84"/>
  <c r="E35" i="85" s="1"/>
  <c r="D110" i="84"/>
  <c r="E108" i="85" s="1"/>
  <c r="D63" i="84"/>
  <c r="E61" i="85" s="1"/>
  <c r="D48" i="84"/>
  <c r="E46" i="85" s="1"/>
  <c r="D102" i="84"/>
  <c r="E100" i="85" s="1"/>
  <c r="D17" i="84"/>
  <c r="E15" i="85" s="1"/>
  <c r="D65" i="84"/>
  <c r="E63" i="85" s="1"/>
  <c r="D91" i="84"/>
  <c r="E89" i="85" s="1"/>
  <c r="D112" i="84"/>
  <c r="E110" i="85" s="1"/>
  <c r="D69" i="84"/>
  <c r="E67" i="85" s="1"/>
  <c r="D122" i="84"/>
  <c r="E120" i="85" s="1"/>
  <c r="D108" i="84"/>
  <c r="E106" i="85" s="1"/>
  <c r="D123" i="84"/>
  <c r="E121" i="85" s="1"/>
  <c r="D71" i="84"/>
  <c r="E69" i="85" s="1"/>
  <c r="D74" i="84"/>
  <c r="E72" i="85" s="1"/>
  <c r="D100" i="84"/>
  <c r="E98" i="85" s="1"/>
  <c r="D116" i="84"/>
  <c r="E114" i="85" s="1"/>
  <c r="D16" i="84"/>
  <c r="E14" i="85" s="1"/>
  <c r="D18" i="84"/>
  <c r="E16" i="85" s="1"/>
  <c r="D53" i="84"/>
  <c r="E51" i="85" s="1"/>
  <c r="D29" i="84"/>
  <c r="E27" i="85" s="1"/>
  <c r="D32" i="84"/>
  <c r="E30" i="85" s="1"/>
  <c r="D22" i="84"/>
  <c r="E20" i="85" s="1"/>
  <c r="L11" i="44" l="1"/>
  <c r="L115" i="67"/>
  <c r="I34" i="78"/>
  <c r="I35" i="78" s="1"/>
  <c r="F35" i="78"/>
  <c r="E10" i="80" s="1"/>
  <c r="H30" i="2" l="1"/>
  <c r="P22" i="78" s="1"/>
  <c r="H18" i="172"/>
  <c r="E107" i="80"/>
  <c r="C105" i="85" s="1"/>
  <c r="F105" i="85" s="1"/>
  <c r="C105" i="86" s="1"/>
  <c r="E45" i="80"/>
  <c r="C43" i="85" s="1"/>
  <c r="F43" i="85" s="1"/>
  <c r="C43" i="86" s="1"/>
  <c r="E41" i="80"/>
  <c r="C39" i="85" s="1"/>
  <c r="F39" i="85" s="1"/>
  <c r="C39" i="86" s="1"/>
  <c r="E38" i="80"/>
  <c r="C36" i="85" s="1"/>
  <c r="F36" i="85" s="1"/>
  <c r="C36" i="86" s="1"/>
  <c r="E111" i="80"/>
  <c r="C109" i="85" s="1"/>
  <c r="F109" i="85" s="1"/>
  <c r="C109" i="86" s="1"/>
  <c r="E74" i="80"/>
  <c r="C72" i="85" s="1"/>
  <c r="F72" i="85" s="1"/>
  <c r="C72" i="86" s="1"/>
  <c r="E114" i="80"/>
  <c r="C112" i="85" s="1"/>
  <c r="F112" i="85" s="1"/>
  <c r="C112" i="86" s="1"/>
  <c r="E121" i="80"/>
  <c r="C119" i="85" s="1"/>
  <c r="F119" i="85" s="1"/>
  <c r="C119" i="86" s="1"/>
  <c r="E105" i="80"/>
  <c r="C103" i="85" s="1"/>
  <c r="F103" i="85" s="1"/>
  <c r="C103" i="86" s="1"/>
  <c r="E48" i="80"/>
  <c r="C46" i="85" s="1"/>
  <c r="F46" i="85" s="1"/>
  <c r="C46" i="86" s="1"/>
  <c r="E118" i="80"/>
  <c r="C116" i="85" s="1"/>
  <c r="F116" i="85" s="1"/>
  <c r="C116" i="86" s="1"/>
  <c r="E87" i="80"/>
  <c r="C85" i="85" s="1"/>
  <c r="F85" i="85" s="1"/>
  <c r="C85" i="86" s="1"/>
  <c r="E108" i="80"/>
  <c r="C106" i="85" s="1"/>
  <c r="F106" i="85" s="1"/>
  <c r="C106" i="86" s="1"/>
  <c r="E116" i="80"/>
  <c r="C114" i="85" s="1"/>
  <c r="F114" i="85" s="1"/>
  <c r="C114" i="86" s="1"/>
  <c r="E49" i="80"/>
  <c r="C47" i="85" s="1"/>
  <c r="F47" i="85" s="1"/>
  <c r="C47" i="86" s="1"/>
  <c r="E84" i="80"/>
  <c r="C82" i="85" s="1"/>
  <c r="F82" i="85" s="1"/>
  <c r="C82" i="86" s="1"/>
  <c r="E46" i="80"/>
  <c r="C44" i="85" s="1"/>
  <c r="F44" i="85" s="1"/>
  <c r="C44" i="86" s="1"/>
  <c r="E128" i="80"/>
  <c r="C126" i="85" s="1"/>
  <c r="F126" i="85" s="1"/>
  <c r="C126" i="86" s="1"/>
  <c r="E70" i="80"/>
  <c r="C68" i="85" s="1"/>
  <c r="F68" i="85" s="1"/>
  <c r="C68" i="86" s="1"/>
  <c r="E123" i="80"/>
  <c r="C121" i="85" s="1"/>
  <c r="F121" i="85" s="1"/>
  <c r="C121" i="86" s="1"/>
  <c r="E68" i="80"/>
  <c r="C66" i="85" s="1"/>
  <c r="F66" i="85" s="1"/>
  <c r="C66" i="86" s="1"/>
  <c r="E31" i="80"/>
  <c r="C29" i="85" s="1"/>
  <c r="F29" i="85" s="1"/>
  <c r="C29" i="86" s="1"/>
  <c r="E67" i="80"/>
  <c r="C65" i="85" s="1"/>
  <c r="F65" i="85" s="1"/>
  <c r="C65" i="86" s="1"/>
  <c r="E25" i="80"/>
  <c r="C23" i="85" s="1"/>
  <c r="F23" i="85" s="1"/>
  <c r="C23" i="86" s="1"/>
  <c r="E50" i="80"/>
  <c r="C48" i="85" s="1"/>
  <c r="F48" i="85" s="1"/>
  <c r="C48" i="86" s="1"/>
  <c r="E19" i="80"/>
  <c r="C17" i="85" s="1"/>
  <c r="F17" i="85" s="1"/>
  <c r="C17" i="86" s="1"/>
  <c r="E37" i="80"/>
  <c r="C35" i="85" s="1"/>
  <c r="F35" i="85" s="1"/>
  <c r="C35" i="86" s="1"/>
  <c r="E76" i="80"/>
  <c r="C74" i="85" s="1"/>
  <c r="F74" i="85" s="1"/>
  <c r="C74" i="86" s="1"/>
  <c r="E62" i="80"/>
  <c r="C60" i="85" s="1"/>
  <c r="F60" i="85" s="1"/>
  <c r="C60" i="86" s="1"/>
  <c r="E16" i="80"/>
  <c r="C14" i="85" s="1"/>
  <c r="F14" i="85" s="1"/>
  <c r="C14" i="86" s="1"/>
  <c r="E89" i="80"/>
  <c r="C87" i="85" s="1"/>
  <c r="F87" i="85" s="1"/>
  <c r="C87" i="86" s="1"/>
  <c r="E125" i="80"/>
  <c r="C123" i="85" s="1"/>
  <c r="F123" i="85" s="1"/>
  <c r="C123" i="86" s="1"/>
  <c r="E23" i="80"/>
  <c r="C21" i="85" s="1"/>
  <c r="F21" i="85" s="1"/>
  <c r="C21" i="86" s="1"/>
  <c r="E119" i="80"/>
  <c r="C117" i="85" s="1"/>
  <c r="F117" i="85" s="1"/>
  <c r="C117" i="86" s="1"/>
  <c r="E75" i="80"/>
  <c r="C73" i="85" s="1"/>
  <c r="F73" i="85" s="1"/>
  <c r="C73" i="86" s="1"/>
  <c r="E32" i="80"/>
  <c r="C30" i="85" s="1"/>
  <c r="F30" i="85" s="1"/>
  <c r="C30" i="86" s="1"/>
  <c r="E109" i="80"/>
  <c r="C107" i="85" s="1"/>
  <c r="F107" i="85" s="1"/>
  <c r="C107" i="86" s="1"/>
  <c r="E102" i="80"/>
  <c r="C100" i="85" s="1"/>
  <c r="F100" i="85" s="1"/>
  <c r="C100" i="86" s="1"/>
  <c r="E15" i="80"/>
  <c r="C13" i="85" s="1"/>
  <c r="F13" i="85" s="1"/>
  <c r="C13" i="86" s="1"/>
  <c r="E112" i="80"/>
  <c r="C110" i="85" s="1"/>
  <c r="F110" i="85" s="1"/>
  <c r="C110" i="86" s="1"/>
  <c r="E52" i="80"/>
  <c r="C50" i="85" s="1"/>
  <c r="F50" i="85" s="1"/>
  <c r="C50" i="86" s="1"/>
  <c r="E65" i="80"/>
  <c r="C63" i="85" s="1"/>
  <c r="F63" i="85" s="1"/>
  <c r="C63" i="86" s="1"/>
  <c r="E93" i="80"/>
  <c r="C91" i="85" s="1"/>
  <c r="F91" i="85" s="1"/>
  <c r="C91" i="86" s="1"/>
  <c r="E17" i="80"/>
  <c r="C15" i="85" s="1"/>
  <c r="F15" i="85" s="1"/>
  <c r="C15" i="86" s="1"/>
  <c r="E54" i="80"/>
  <c r="C52" i="85" s="1"/>
  <c r="F52" i="85" s="1"/>
  <c r="C52" i="86" s="1"/>
  <c r="E44" i="80"/>
  <c r="C42" i="85" s="1"/>
  <c r="F42" i="85" s="1"/>
  <c r="C42" i="86" s="1"/>
  <c r="E92" i="80"/>
  <c r="C90" i="85" s="1"/>
  <c r="F90" i="85" s="1"/>
  <c r="C90" i="86" s="1"/>
  <c r="E95" i="80"/>
  <c r="C93" i="85" s="1"/>
  <c r="F93" i="85" s="1"/>
  <c r="C93" i="86" s="1"/>
  <c r="E127" i="80"/>
  <c r="C125" i="85" s="1"/>
  <c r="F125" i="85" s="1"/>
  <c r="C125" i="86" s="1"/>
  <c r="E94" i="80"/>
  <c r="C92" i="85" s="1"/>
  <c r="F92" i="85" s="1"/>
  <c r="C92" i="86" s="1"/>
  <c r="E60" i="80"/>
  <c r="C58" i="85" s="1"/>
  <c r="F58" i="85" s="1"/>
  <c r="C58" i="86" s="1"/>
  <c r="E101" i="80"/>
  <c r="C99" i="85" s="1"/>
  <c r="F99" i="85" s="1"/>
  <c r="C99" i="86" s="1"/>
  <c r="E63" i="80"/>
  <c r="C61" i="85" s="1"/>
  <c r="F61" i="85" s="1"/>
  <c r="C61" i="86" s="1"/>
  <c r="E24" i="80"/>
  <c r="C22" i="85" s="1"/>
  <c r="F22" i="85" s="1"/>
  <c r="C22" i="86" s="1"/>
  <c r="E91" i="80"/>
  <c r="C89" i="85" s="1"/>
  <c r="F89" i="85" s="1"/>
  <c r="C89" i="86" s="1"/>
  <c r="E99" i="80"/>
  <c r="C97" i="85" s="1"/>
  <c r="F97" i="85" s="1"/>
  <c r="C97" i="86" s="1"/>
  <c r="E21" i="80"/>
  <c r="C19" i="85" s="1"/>
  <c r="F19" i="85" s="1"/>
  <c r="C19" i="86" s="1"/>
  <c r="E110" i="80"/>
  <c r="C108" i="85" s="1"/>
  <c r="F108" i="85" s="1"/>
  <c r="C108" i="86" s="1"/>
  <c r="E80" i="80"/>
  <c r="C78" i="85" s="1"/>
  <c r="F78" i="85" s="1"/>
  <c r="C78" i="86" s="1"/>
  <c r="E85" i="80"/>
  <c r="C83" i="85" s="1"/>
  <c r="F83" i="85" s="1"/>
  <c r="C83" i="86" s="1"/>
  <c r="E90" i="80"/>
  <c r="C88" i="85" s="1"/>
  <c r="F88" i="85" s="1"/>
  <c r="C88" i="86" s="1"/>
  <c r="E72" i="80"/>
  <c r="C70" i="85" s="1"/>
  <c r="F70" i="85" s="1"/>
  <c r="C70" i="86" s="1"/>
  <c r="E28" i="80"/>
  <c r="C26" i="85" s="1"/>
  <c r="F26" i="85" s="1"/>
  <c r="C26" i="86" s="1"/>
  <c r="E73" i="80"/>
  <c r="C71" i="85" s="1"/>
  <c r="F71" i="85" s="1"/>
  <c r="C71" i="86" s="1"/>
  <c r="E56" i="80"/>
  <c r="C54" i="85" s="1"/>
  <c r="F54" i="85" s="1"/>
  <c r="C54" i="86" s="1"/>
  <c r="E115" i="80"/>
  <c r="C113" i="85" s="1"/>
  <c r="F113" i="85" s="1"/>
  <c r="C113" i="86" s="1"/>
  <c r="E53" i="80"/>
  <c r="C51" i="85" s="1"/>
  <c r="F51" i="85" s="1"/>
  <c r="C51" i="86" s="1"/>
  <c r="E43" i="80"/>
  <c r="C41" i="85" s="1"/>
  <c r="F41" i="85" s="1"/>
  <c r="C41" i="86" s="1"/>
  <c r="E59" i="80"/>
  <c r="C57" i="85" s="1"/>
  <c r="F57" i="85" s="1"/>
  <c r="C57" i="86" s="1"/>
  <c r="E88" i="80"/>
  <c r="C86" i="85" s="1"/>
  <c r="F86" i="85" s="1"/>
  <c r="C86" i="86" s="1"/>
  <c r="E117" i="80"/>
  <c r="C115" i="85" s="1"/>
  <c r="F115" i="85" s="1"/>
  <c r="C115" i="86" s="1"/>
  <c r="E81" i="80"/>
  <c r="C79" i="85" s="1"/>
  <c r="F79" i="85" s="1"/>
  <c r="C79" i="86" s="1"/>
  <c r="E61" i="80"/>
  <c r="C59" i="85" s="1"/>
  <c r="F59" i="85" s="1"/>
  <c r="C59" i="86" s="1"/>
  <c r="E42" i="80"/>
  <c r="C40" i="85" s="1"/>
  <c r="F40" i="85" s="1"/>
  <c r="C40" i="86" s="1"/>
  <c r="E77" i="80"/>
  <c r="C75" i="85" s="1"/>
  <c r="F75" i="85" s="1"/>
  <c r="C75" i="86" s="1"/>
  <c r="E30" i="80"/>
  <c r="C28" i="85" s="1"/>
  <c r="F28" i="85" s="1"/>
  <c r="C28" i="86" s="1"/>
  <c r="E126" i="80"/>
  <c r="C124" i="85" s="1"/>
  <c r="F124" i="85" s="1"/>
  <c r="C124" i="86" s="1"/>
  <c r="E51" i="80"/>
  <c r="C49" i="85" s="1"/>
  <c r="F49" i="85" s="1"/>
  <c r="C49" i="86" s="1"/>
  <c r="E27" i="80"/>
  <c r="C25" i="85" s="1"/>
  <c r="F25" i="85" s="1"/>
  <c r="C25" i="86" s="1"/>
  <c r="E39" i="80"/>
  <c r="C37" i="85" s="1"/>
  <c r="F37" i="85" s="1"/>
  <c r="C37" i="86" s="1"/>
  <c r="E55" i="80"/>
  <c r="C53" i="85" s="1"/>
  <c r="F53" i="85" s="1"/>
  <c r="C53" i="86" s="1"/>
  <c r="E69" i="80"/>
  <c r="C67" i="85" s="1"/>
  <c r="F67" i="85" s="1"/>
  <c r="C67" i="86" s="1"/>
  <c r="E104" i="80"/>
  <c r="C102" i="85" s="1"/>
  <c r="F102" i="85" s="1"/>
  <c r="C102" i="86" s="1"/>
  <c r="E14" i="80"/>
  <c r="C12" i="85" s="1"/>
  <c r="F12" i="85" s="1"/>
  <c r="C12" i="86" s="1"/>
  <c r="E79" i="80"/>
  <c r="C77" i="85" s="1"/>
  <c r="F77" i="85" s="1"/>
  <c r="C77" i="86" s="1"/>
  <c r="E82" i="80"/>
  <c r="C80" i="85" s="1"/>
  <c r="F80" i="85" s="1"/>
  <c r="C80" i="86" s="1"/>
  <c r="E47" i="80"/>
  <c r="C45" i="85" s="1"/>
  <c r="F45" i="85" s="1"/>
  <c r="C45" i="86" s="1"/>
  <c r="E97" i="80"/>
  <c r="C95" i="85" s="1"/>
  <c r="F95" i="85" s="1"/>
  <c r="C95" i="86" s="1"/>
  <c r="E34" i="80"/>
  <c r="C32" i="85" s="1"/>
  <c r="F32" i="85" s="1"/>
  <c r="C32" i="86" s="1"/>
  <c r="E40" i="80"/>
  <c r="C38" i="85" s="1"/>
  <c r="F38" i="85" s="1"/>
  <c r="C38" i="86" s="1"/>
  <c r="E57" i="80"/>
  <c r="C55" i="85" s="1"/>
  <c r="F55" i="85" s="1"/>
  <c r="C55" i="86" s="1"/>
  <c r="E22" i="80"/>
  <c r="C20" i="85" s="1"/>
  <c r="F20" i="85" s="1"/>
  <c r="C20" i="86" s="1"/>
  <c r="E36" i="80"/>
  <c r="C34" i="85" s="1"/>
  <c r="F34" i="85" s="1"/>
  <c r="C34" i="86" s="1"/>
  <c r="E33" i="80"/>
  <c r="C31" i="85" s="1"/>
  <c r="F31" i="85" s="1"/>
  <c r="C31" i="86" s="1"/>
  <c r="E120" i="80"/>
  <c r="C118" i="85" s="1"/>
  <c r="F118" i="85" s="1"/>
  <c r="C118" i="86" s="1"/>
  <c r="E98" i="80"/>
  <c r="C96" i="85" s="1"/>
  <c r="F96" i="85" s="1"/>
  <c r="C96" i="86" s="1"/>
  <c r="E58" i="80"/>
  <c r="C56" i="85" s="1"/>
  <c r="F56" i="85" s="1"/>
  <c r="C56" i="86" s="1"/>
  <c r="E29" i="80"/>
  <c r="C27" i="85" s="1"/>
  <c r="F27" i="85" s="1"/>
  <c r="C27" i="86" s="1"/>
  <c r="E78" i="80"/>
  <c r="C76" i="85" s="1"/>
  <c r="F76" i="85" s="1"/>
  <c r="C76" i="86" s="1"/>
  <c r="E64" i="80"/>
  <c r="C62" i="85" s="1"/>
  <c r="F62" i="85" s="1"/>
  <c r="C62" i="86" s="1"/>
  <c r="E106" i="80"/>
  <c r="C104" i="85" s="1"/>
  <c r="F104" i="85" s="1"/>
  <c r="C104" i="86" s="1"/>
  <c r="E26" i="80"/>
  <c r="C24" i="85" s="1"/>
  <c r="F24" i="85" s="1"/>
  <c r="C24" i="86" s="1"/>
  <c r="E20" i="80"/>
  <c r="C18" i="85" s="1"/>
  <c r="F18" i="85" s="1"/>
  <c r="C18" i="86" s="1"/>
  <c r="E96" i="80"/>
  <c r="C94" i="85" s="1"/>
  <c r="F94" i="85" s="1"/>
  <c r="C94" i="86" s="1"/>
  <c r="E122" i="80"/>
  <c r="C120" i="85" s="1"/>
  <c r="F120" i="85" s="1"/>
  <c r="C120" i="86" s="1"/>
  <c r="E113" i="80"/>
  <c r="C111" i="85" s="1"/>
  <c r="F111" i="85" s="1"/>
  <c r="C111" i="86" s="1"/>
  <c r="E103" i="80"/>
  <c r="C101" i="85" s="1"/>
  <c r="F101" i="85" s="1"/>
  <c r="C101" i="86" s="1"/>
  <c r="E83" i="80"/>
  <c r="C81" i="85" s="1"/>
  <c r="F81" i="85" s="1"/>
  <c r="C81" i="86" s="1"/>
  <c r="E124" i="80"/>
  <c r="C122" i="85" s="1"/>
  <c r="F122" i="85" s="1"/>
  <c r="C122" i="86" s="1"/>
  <c r="E71" i="80"/>
  <c r="C69" i="85" s="1"/>
  <c r="F69" i="85" s="1"/>
  <c r="C69" i="86" s="1"/>
  <c r="E86" i="80"/>
  <c r="C84" i="85" s="1"/>
  <c r="F84" i="85" s="1"/>
  <c r="C84" i="86" s="1"/>
  <c r="E66" i="80"/>
  <c r="C64" i="85" s="1"/>
  <c r="F64" i="85" s="1"/>
  <c r="C64" i="86" s="1"/>
  <c r="E35" i="80"/>
  <c r="C33" i="85" s="1"/>
  <c r="F33" i="85" s="1"/>
  <c r="C33" i="86" s="1"/>
  <c r="E18" i="80"/>
  <c r="C16" i="85" s="1"/>
  <c r="F16" i="85" s="1"/>
  <c r="C16" i="86" s="1"/>
  <c r="E100" i="80"/>
  <c r="C98" i="85" s="1"/>
  <c r="F98" i="85" s="1"/>
  <c r="C98" i="86" s="1"/>
  <c r="N22" i="78" l="1"/>
  <c r="E30" i="175"/>
  <c r="I30" i="175" s="1"/>
  <c r="O22" i="78"/>
  <c r="Q22" i="78" l="1"/>
  <c r="F30" i="175"/>
  <c r="D43" i="174"/>
  <c r="G43" i="174" s="1"/>
  <c r="I43" i="174"/>
  <c r="J43" i="174" s="1"/>
  <c r="I44" i="174" l="1"/>
  <c r="D44" i="174" l="1"/>
  <c r="I45" i="174"/>
  <c r="D45" i="174" l="1"/>
  <c r="I47" i="174"/>
  <c r="I49" i="174" s="1"/>
  <c r="D47" i="174" l="1"/>
  <c r="H50" i="2" l="1"/>
  <c r="P126" i="86"/>
  <c r="E48" i="175"/>
  <c r="L9" i="44"/>
  <c r="L12" i="44" s="1"/>
  <c r="L14" i="44" s="1"/>
  <c r="H32" i="2" s="1"/>
  <c r="F48" i="175" l="1"/>
  <c r="I48" i="175"/>
  <c r="N24" i="78"/>
  <c r="E32" i="175"/>
  <c r="O24" i="78"/>
  <c r="P24" i="78"/>
  <c r="F32" i="175" l="1"/>
  <c r="I32" i="175"/>
  <c r="Q24" i="78"/>
  <c r="U126" i="86" l="1"/>
  <c r="I50" i="2"/>
  <c r="E43" i="176" s="1"/>
  <c r="I43" i="176" s="1"/>
  <c r="E19" i="175" l="1"/>
  <c r="O12" i="78"/>
  <c r="N12" i="78"/>
  <c r="P12" i="78"/>
  <c r="K9" i="173"/>
  <c r="R12" i="78"/>
  <c r="S12" i="78"/>
  <c r="E18" i="176"/>
  <c r="I18" i="176" s="1"/>
  <c r="T12" i="78"/>
  <c r="F19" i="175" l="1"/>
  <c r="I19" i="175"/>
  <c r="Q12" i="78"/>
  <c r="U12" i="78"/>
  <c r="F9" i="173"/>
  <c r="E9" i="173"/>
  <c r="G9" i="173" l="1"/>
  <c r="H16" i="203" l="1"/>
  <c r="K14" i="173" l="1"/>
  <c r="E25" i="175"/>
  <c r="I6" i="203"/>
  <c r="I16" i="203" l="1"/>
  <c r="F8" i="127"/>
  <c r="F14" i="173"/>
  <c r="E14" i="173"/>
  <c r="F25" i="174"/>
  <c r="F25" i="175"/>
  <c r="E27" i="175"/>
  <c r="F27" i="175" l="1"/>
  <c r="I27" i="175"/>
  <c r="G14" i="173"/>
  <c r="H25" i="175"/>
  <c r="I25" i="175" s="1"/>
  <c r="G25" i="174"/>
  <c r="J25" i="174"/>
  <c r="J16" i="203" l="1"/>
  <c r="H12" i="105" l="1"/>
  <c r="H18" i="105" s="1"/>
  <c r="G11" i="114" l="1"/>
  <c r="G14" i="114" s="1"/>
  <c r="G18" i="105"/>
  <c r="I8" i="104" l="1"/>
  <c r="I11" i="104" s="1"/>
  <c r="I12" i="105"/>
  <c r="K8" i="38"/>
  <c r="K10" i="38" s="1"/>
  <c r="K11" i="38" s="1"/>
  <c r="K12" i="38" s="1"/>
  <c r="K14" i="38" s="1"/>
  <c r="F202" i="183" l="1"/>
  <c r="I202" i="183" s="1"/>
  <c r="L202" i="183" s="1"/>
  <c r="M205" i="92"/>
  <c r="F198" i="183"/>
  <c r="I198" i="183" s="1"/>
  <c r="L198" i="183" s="1"/>
  <c r="M201" i="92"/>
  <c r="U209" i="93" l="1"/>
  <c r="F205" i="183"/>
  <c r="I205" i="183" s="1"/>
  <c r="L205" i="183" s="1"/>
  <c r="M208" i="92"/>
  <c r="F208" i="182" l="1"/>
  <c r="X209" i="93"/>
  <c r="U207" i="93" l="1"/>
  <c r="U203" i="93" l="1"/>
  <c r="S101" i="86"/>
  <c r="S102" i="86" s="1"/>
  <c r="F206" i="182"/>
  <c r="X207" i="93"/>
  <c r="U210" i="93" l="1"/>
  <c r="F209" i="182" s="1"/>
  <c r="F202" i="182"/>
  <c r="X203" i="93"/>
  <c r="F271" i="183" l="1"/>
  <c r="I271" i="183" s="1"/>
  <c r="L271" i="183" s="1"/>
  <c r="M274" i="92"/>
  <c r="U276" i="93" l="1"/>
  <c r="F275" i="182" s="1"/>
  <c r="I13" i="2" l="1"/>
  <c r="S126" i="86"/>
  <c r="G13" i="193" l="1"/>
  <c r="G14" i="193" s="1"/>
  <c r="I33" i="2" s="1"/>
  <c r="I14" i="2"/>
  <c r="E14" i="176" s="1"/>
  <c r="I14" i="176" s="1"/>
  <c r="I10" i="68"/>
  <c r="I17" i="68" s="1"/>
  <c r="E13" i="176"/>
  <c r="I13" i="176" s="1"/>
  <c r="M9" i="44"/>
  <c r="M11" i="44" l="1"/>
  <c r="M12" i="44" s="1"/>
  <c r="M14" i="44" s="1"/>
  <c r="I32" i="2" s="1"/>
  <c r="M115" i="67"/>
  <c r="K23" i="173"/>
  <c r="T25" i="78"/>
  <c r="S25" i="78"/>
  <c r="R25" i="78"/>
  <c r="E28" i="176"/>
  <c r="I28" i="176" s="1"/>
  <c r="S24" i="78" l="1"/>
  <c r="E27" i="176"/>
  <c r="I27" i="176" s="1"/>
  <c r="T24" i="78"/>
  <c r="R24" i="78"/>
  <c r="F23" i="173"/>
  <c r="E23" i="173"/>
  <c r="U25" i="78"/>
  <c r="I30" i="2"/>
  <c r="I18" i="172"/>
  <c r="G23" i="173" l="1"/>
  <c r="U24" i="78"/>
  <c r="R22" i="78"/>
  <c r="E26" i="176"/>
  <c r="I26" i="176" s="1"/>
  <c r="T22" i="78"/>
  <c r="S22" i="78"/>
  <c r="U22" i="78" l="1"/>
  <c r="I26" i="77" l="1"/>
  <c r="H27" i="77"/>
  <c r="H30" i="77"/>
  <c r="H29" i="77" s="1"/>
  <c r="E30" i="177" l="1"/>
  <c r="I30" i="77"/>
  <c r="I29" i="77" s="1"/>
  <c r="I27" i="77"/>
  <c r="L27" i="77" l="1"/>
  <c r="L29" i="77" s="1"/>
  <c r="E32" i="177"/>
  <c r="L30" i="77"/>
  <c r="E31" i="177" l="1"/>
  <c r="K30" i="77"/>
  <c r="K27" i="77"/>
  <c r="K29" i="77" s="1"/>
  <c r="K17" i="203" l="1"/>
  <c r="G16" i="127" s="1"/>
  <c r="I17" i="203"/>
  <c r="F16" i="127" l="1"/>
  <c r="J12" i="105" l="1"/>
  <c r="I18" i="105"/>
  <c r="J18" i="105"/>
  <c r="J8" i="104"/>
  <c r="J11" i="104" s="1"/>
  <c r="F17" i="127"/>
  <c r="F22" i="127" s="1"/>
  <c r="F8" i="112" s="1"/>
  <c r="N10" i="78"/>
  <c r="O10" i="78"/>
  <c r="P10" i="78"/>
  <c r="Q10" i="78"/>
  <c r="R10" i="78"/>
  <c r="U10" i="78" s="1"/>
  <c r="S10" i="78"/>
  <c r="T10" i="78"/>
  <c r="I18" i="203"/>
  <c r="K18" i="203"/>
  <c r="G17" i="127" s="1"/>
  <c r="H19" i="203"/>
  <c r="H21" i="203" s="1"/>
  <c r="I9" i="115" s="1"/>
  <c r="I19" i="203"/>
  <c r="J19" i="203"/>
  <c r="J21" i="203" s="1"/>
  <c r="J9" i="115" s="1"/>
  <c r="I21" i="203"/>
  <c r="I10" i="115" s="1"/>
  <c r="I57" i="204"/>
  <c r="J57" i="204" s="1"/>
  <c r="L57" i="204" s="1"/>
  <c r="I58" i="204"/>
  <c r="J58" i="204"/>
  <c r="L58" i="204" s="1"/>
  <c r="I59" i="204"/>
  <c r="J59" i="204"/>
  <c r="L59" i="204" s="1"/>
  <c r="I60" i="204"/>
  <c r="J60" i="204"/>
  <c r="L60" i="204" s="1"/>
  <c r="I61" i="204"/>
  <c r="J61" i="204" s="1"/>
  <c r="L61" i="204" s="1"/>
  <c r="I62" i="204"/>
  <c r="J62" i="204" s="1"/>
  <c r="L62" i="204" s="1"/>
  <c r="I63" i="204"/>
  <c r="J63" i="204" s="1"/>
  <c r="L63" i="204" s="1"/>
  <c r="I64" i="204"/>
  <c r="J64" i="204" s="1"/>
  <c r="L64" i="204" s="1"/>
  <c r="I66" i="204"/>
  <c r="J66" i="204" s="1"/>
  <c r="I67" i="204"/>
  <c r="J67" i="204" s="1"/>
  <c r="I68" i="204"/>
  <c r="J68" i="204" s="1"/>
  <c r="I89" i="204"/>
  <c r="J89" i="204" s="1"/>
  <c r="L89" i="204" s="1"/>
  <c r="I90" i="204"/>
  <c r="J90" i="204" s="1"/>
  <c r="L90" i="204" s="1"/>
  <c r="I91" i="204"/>
  <c r="J91" i="204"/>
  <c r="L91" i="204" s="1"/>
  <c r="I92" i="204"/>
  <c r="J92" i="204"/>
  <c r="L92" i="204" s="1"/>
  <c r="I93" i="204"/>
  <c r="J93" i="204"/>
  <c r="L93" i="204" s="1"/>
  <c r="I94" i="204"/>
  <c r="J94" i="204"/>
  <c r="L94" i="204" s="1"/>
  <c r="I95" i="204"/>
  <c r="J95" i="204" s="1"/>
  <c r="L95" i="204" s="1"/>
  <c r="I96" i="204"/>
  <c r="J96" i="204" s="1"/>
  <c r="L96" i="204" s="1"/>
  <c r="I97" i="204"/>
  <c r="I98" i="204"/>
  <c r="J98" i="204"/>
  <c r="I99" i="204"/>
  <c r="J99" i="204"/>
  <c r="I100" i="204"/>
  <c r="J100" i="204" s="1"/>
  <c r="L8" i="38"/>
  <c r="L10" i="38"/>
  <c r="L11" i="38" s="1"/>
  <c r="H12" i="172"/>
  <c r="L17" i="47"/>
  <c r="M17" i="47"/>
  <c r="E7" i="173"/>
  <c r="G7" i="173" s="1"/>
  <c r="F7" i="173"/>
  <c r="K7" i="173"/>
  <c r="K20" i="173"/>
  <c r="E20" i="173" s="1"/>
  <c r="E17" i="175"/>
  <c r="F17" i="175"/>
  <c r="I17" i="175"/>
  <c r="E17" i="176"/>
  <c r="I17" i="176" s="1"/>
  <c r="F20" i="173" l="1"/>
  <c r="G20" i="173" s="1"/>
  <c r="L66" i="204"/>
  <c r="L68" i="204" s="1"/>
  <c r="D103" i="204" s="1"/>
  <c r="D105" i="204" s="1"/>
  <c r="H28" i="2" s="1"/>
  <c r="L98" i="204"/>
  <c r="L100" i="204" s="1"/>
  <c r="E103" i="204" s="1"/>
  <c r="E105" i="204" s="1"/>
  <c r="I28" i="2" s="1"/>
  <c r="L12" i="38"/>
  <c r="I11" i="115"/>
  <c r="J8" i="115" s="1"/>
  <c r="K6" i="203" l="1"/>
  <c r="S20" i="78"/>
  <c r="T20" i="78"/>
  <c r="R20" i="78"/>
  <c r="I13" i="172"/>
  <c r="K16" i="173"/>
  <c r="L15" i="38"/>
  <c r="E24" i="176"/>
  <c r="N20" i="78"/>
  <c r="O20" i="78"/>
  <c r="P20" i="78"/>
  <c r="K15" i="38"/>
  <c r="H13" i="172"/>
  <c r="H14" i="172" s="1"/>
  <c r="E28" i="175"/>
  <c r="H15" i="172" l="1"/>
  <c r="H17" i="172" s="1"/>
  <c r="I10" i="172"/>
  <c r="K16" i="38"/>
  <c r="L13" i="38"/>
  <c r="L14" i="38" s="1"/>
  <c r="L16" i="38" s="1"/>
  <c r="E16" i="173"/>
  <c r="F16" i="173"/>
  <c r="I24" i="176"/>
  <c r="U20" i="78"/>
  <c r="Q20" i="78"/>
  <c r="F28" i="175"/>
  <c r="I28" i="175"/>
  <c r="G8" i="127"/>
  <c r="G22" i="127" s="1"/>
  <c r="G8" i="112" s="1"/>
  <c r="K16" i="203"/>
  <c r="K19" i="203" s="1"/>
  <c r="K21" i="203" s="1"/>
  <c r="J10" i="115" l="1"/>
  <c r="J11" i="115" s="1"/>
  <c r="I12" i="172"/>
  <c r="G16" i="173"/>
  <c r="I14" i="172"/>
  <c r="I15" i="172"/>
  <c r="I17" i="172" s="1"/>
  <c r="H29" i="2"/>
  <c r="H19" i="172"/>
  <c r="I29" i="2" l="1"/>
  <c r="I19" i="172"/>
  <c r="N21" i="78"/>
  <c r="O21" i="78"/>
  <c r="P21" i="78"/>
  <c r="E29" i="175"/>
  <c r="F29" i="175" l="1"/>
  <c r="I29" i="175"/>
  <c r="Q21" i="78"/>
  <c r="S21" i="78"/>
  <c r="T21" i="78"/>
  <c r="R21" i="78"/>
  <c r="K15" i="173"/>
  <c r="E25" i="176"/>
  <c r="I25" i="176" l="1"/>
  <c r="E15" i="173"/>
  <c r="G15" i="173" s="1"/>
  <c r="F15" i="173"/>
  <c r="K17" i="173"/>
  <c r="K22" i="173" s="1"/>
  <c r="K25" i="173" s="1"/>
  <c r="U21" i="78"/>
  <c r="X44" i="93"/>
  <c r="X61" i="93"/>
  <c r="X75" i="93"/>
  <c r="X87" i="93"/>
  <c r="X127" i="93"/>
  <c r="X130" i="93"/>
  <c r="X138" i="93"/>
  <c r="X146" i="93"/>
  <c r="X155" i="93"/>
  <c r="X186" i="93"/>
  <c r="X210" i="93"/>
  <c r="X258" i="93"/>
  <c r="X264" i="93"/>
  <c r="X270" i="93"/>
  <c r="G35" i="2"/>
  <c r="H35" i="2"/>
  <c r="I35" i="2"/>
  <c r="G37" i="2"/>
  <c r="H37" i="2"/>
  <c r="I37" i="2"/>
  <c r="G44" i="2"/>
  <c r="H44" i="2"/>
  <c r="I44" i="2"/>
  <c r="G45" i="2"/>
  <c r="H45" i="2"/>
  <c r="I45" i="2"/>
  <c r="G47" i="2"/>
  <c r="H47" i="2"/>
  <c r="I47" i="2"/>
  <c r="G51" i="2"/>
  <c r="H51" i="2"/>
  <c r="I51" i="2"/>
  <c r="P11" i="93"/>
  <c r="Q11" i="93"/>
  <c r="R11" i="93"/>
  <c r="V11" i="93"/>
  <c r="W11" i="93"/>
  <c r="X11" i="93"/>
  <c r="P12" i="93"/>
  <c r="Q12" i="93"/>
  <c r="R12" i="93"/>
  <c r="V12" i="93"/>
  <c r="W12" i="93"/>
  <c r="X12" i="93"/>
  <c r="P13" i="93"/>
  <c r="Q13" i="93"/>
  <c r="R13" i="93"/>
  <c r="V13" i="93"/>
  <c r="W13" i="93"/>
  <c r="X13" i="93"/>
  <c r="P19" i="93"/>
  <c r="Q19" i="93"/>
  <c r="R19" i="93"/>
  <c r="V19" i="93"/>
  <c r="W19" i="93"/>
  <c r="X19" i="93"/>
  <c r="P20" i="93"/>
  <c r="Q20" i="93"/>
  <c r="R20" i="93"/>
  <c r="V20" i="93"/>
  <c r="W20" i="93"/>
  <c r="X20" i="93"/>
  <c r="P25" i="93"/>
  <c r="Q25" i="93"/>
  <c r="R25" i="93"/>
  <c r="V25" i="93"/>
  <c r="W25" i="93"/>
  <c r="X25" i="93"/>
  <c r="P27" i="93"/>
  <c r="Q27" i="93"/>
  <c r="R27" i="93"/>
  <c r="V27" i="93"/>
  <c r="W27" i="93"/>
  <c r="X27" i="93"/>
  <c r="P28" i="93"/>
  <c r="Q28" i="93"/>
  <c r="R28" i="93"/>
  <c r="V28" i="93"/>
  <c r="W28" i="93"/>
  <c r="X28" i="93"/>
  <c r="P29" i="93"/>
  <c r="Q29" i="93"/>
  <c r="R29" i="93"/>
  <c r="V29" i="93"/>
  <c r="W29" i="93"/>
  <c r="X29" i="93"/>
  <c r="P30" i="93"/>
  <c r="Q30" i="93"/>
  <c r="R30" i="93"/>
  <c r="V30" i="93"/>
  <c r="W30" i="93"/>
  <c r="X30" i="93"/>
  <c r="P31" i="93"/>
  <c r="Q31" i="93"/>
  <c r="R31" i="93"/>
  <c r="V31" i="93"/>
  <c r="W31" i="93"/>
  <c r="X31" i="93"/>
  <c r="P44" i="93"/>
  <c r="Q44" i="93"/>
  <c r="R44" i="93"/>
  <c r="V44" i="93"/>
  <c r="P46" i="93"/>
  <c r="Q46" i="93"/>
  <c r="R46" i="93"/>
  <c r="V46" i="93"/>
  <c r="W46" i="93"/>
  <c r="X46" i="93"/>
  <c r="P47" i="93"/>
  <c r="Q47" i="93"/>
  <c r="R47" i="93"/>
  <c r="V47" i="93"/>
  <c r="W47" i="93"/>
  <c r="X47" i="93"/>
  <c r="P48" i="93"/>
  <c r="Q48" i="93"/>
  <c r="R48" i="93"/>
  <c r="V48" i="93"/>
  <c r="W48" i="93"/>
  <c r="X48" i="93"/>
  <c r="P49" i="93"/>
  <c r="Q49" i="93"/>
  <c r="R49" i="93"/>
  <c r="V49" i="93"/>
  <c r="W49" i="93"/>
  <c r="X49" i="93"/>
  <c r="P50" i="93"/>
  <c r="Q50" i="93"/>
  <c r="R50" i="93"/>
  <c r="V50" i="93"/>
  <c r="W50" i="93"/>
  <c r="X50" i="93"/>
  <c r="P51" i="93"/>
  <c r="Q51" i="93"/>
  <c r="R51" i="93"/>
  <c r="V51" i="93"/>
  <c r="W51" i="93"/>
  <c r="X51" i="93"/>
  <c r="P52" i="93"/>
  <c r="Q52" i="93"/>
  <c r="R52" i="93"/>
  <c r="V52" i="93"/>
  <c r="W52" i="93"/>
  <c r="X52" i="93"/>
  <c r="P55" i="93"/>
  <c r="Q55" i="93"/>
  <c r="R55" i="93"/>
  <c r="V55" i="93"/>
  <c r="W55" i="93"/>
  <c r="X55" i="93"/>
  <c r="P58" i="93"/>
  <c r="Q58" i="93"/>
  <c r="R58" i="93"/>
  <c r="V58" i="93"/>
  <c r="W58" i="93"/>
  <c r="X58" i="93"/>
  <c r="P61" i="93"/>
  <c r="Q61" i="93"/>
  <c r="R61" i="93"/>
  <c r="V61" i="93"/>
  <c r="P63" i="93"/>
  <c r="Q63" i="93"/>
  <c r="R63" i="93"/>
  <c r="V63" i="93"/>
  <c r="W63" i="93"/>
  <c r="X63" i="93"/>
  <c r="P64" i="93"/>
  <c r="Q64" i="93"/>
  <c r="R64" i="93"/>
  <c r="V64" i="93"/>
  <c r="W64" i="93"/>
  <c r="X64" i="93"/>
  <c r="P68" i="93"/>
  <c r="Q68" i="93"/>
  <c r="R68" i="93"/>
  <c r="V68" i="93"/>
  <c r="W68" i="93"/>
  <c r="X68" i="93"/>
  <c r="P75" i="93"/>
  <c r="Q75" i="93"/>
  <c r="R75" i="93"/>
  <c r="V75" i="93"/>
  <c r="P77" i="93"/>
  <c r="Q77" i="93"/>
  <c r="R77" i="93"/>
  <c r="V77" i="93"/>
  <c r="W77" i="93"/>
  <c r="X77" i="93"/>
  <c r="P78" i="93"/>
  <c r="Q78" i="93"/>
  <c r="R78" i="93"/>
  <c r="V78" i="93"/>
  <c r="W78" i="93"/>
  <c r="X78" i="93"/>
  <c r="P80" i="93"/>
  <c r="Q80" i="93"/>
  <c r="R80" i="93"/>
  <c r="V80" i="93"/>
  <c r="W80" i="93"/>
  <c r="X80" i="93"/>
  <c r="P83" i="93"/>
  <c r="Q83" i="93"/>
  <c r="R83" i="93"/>
  <c r="V83" i="93"/>
  <c r="W83" i="93"/>
  <c r="X83" i="93"/>
  <c r="P86" i="93"/>
  <c r="Q86" i="93"/>
  <c r="R86" i="93"/>
  <c r="V86" i="93"/>
  <c r="W86" i="93"/>
  <c r="X86" i="93"/>
  <c r="P87" i="93"/>
  <c r="Q87" i="93"/>
  <c r="R87" i="93"/>
  <c r="V87" i="93"/>
  <c r="P89" i="93"/>
  <c r="Q89" i="93"/>
  <c r="R89" i="93"/>
  <c r="V89" i="93"/>
  <c r="W89" i="93"/>
  <c r="X89" i="93"/>
  <c r="P90" i="93"/>
  <c r="Q90" i="93"/>
  <c r="R90" i="93"/>
  <c r="V90" i="93"/>
  <c r="W90" i="93"/>
  <c r="X90" i="93"/>
  <c r="P94" i="93"/>
  <c r="Q94" i="93"/>
  <c r="R94" i="93"/>
  <c r="V94" i="93"/>
  <c r="W94" i="93"/>
  <c r="X94" i="93"/>
  <c r="P127" i="93"/>
  <c r="Q127" i="93"/>
  <c r="R127" i="93"/>
  <c r="V127" i="93"/>
  <c r="P129" i="93"/>
  <c r="Q129" i="93"/>
  <c r="R129" i="93"/>
  <c r="V129" i="93"/>
  <c r="W129" i="93"/>
  <c r="X129" i="93"/>
  <c r="P130" i="93"/>
  <c r="Q130" i="93"/>
  <c r="R130" i="93"/>
  <c r="V130" i="93"/>
  <c r="P131" i="93"/>
  <c r="Q131" i="93"/>
  <c r="R131" i="93"/>
  <c r="V131" i="93"/>
  <c r="W131" i="93"/>
  <c r="X131" i="93"/>
  <c r="P132" i="93"/>
  <c r="Q132" i="93"/>
  <c r="R132" i="93"/>
  <c r="V132" i="93"/>
  <c r="W132" i="93"/>
  <c r="X132" i="93"/>
  <c r="P133" i="93"/>
  <c r="Q133" i="93"/>
  <c r="R133" i="93"/>
  <c r="V133" i="93"/>
  <c r="W133" i="93"/>
  <c r="X133" i="93"/>
  <c r="P134" i="93"/>
  <c r="Q134" i="93"/>
  <c r="R134" i="93"/>
  <c r="V134" i="93"/>
  <c r="W134" i="93"/>
  <c r="X134" i="93"/>
  <c r="P135" i="93"/>
  <c r="Q135" i="93"/>
  <c r="R135" i="93"/>
  <c r="V135" i="93"/>
  <c r="W135" i="93"/>
  <c r="X135" i="93"/>
  <c r="P136" i="93"/>
  <c r="Q136" i="93"/>
  <c r="R136" i="93"/>
  <c r="V136" i="93"/>
  <c r="W136" i="93"/>
  <c r="X136" i="93"/>
  <c r="P137" i="93"/>
  <c r="Q137" i="93"/>
  <c r="R137" i="93"/>
  <c r="V137" i="93"/>
  <c r="W137" i="93"/>
  <c r="X137" i="93"/>
  <c r="P138" i="93"/>
  <c r="Q138" i="93"/>
  <c r="R138" i="93"/>
  <c r="V138" i="93"/>
  <c r="P140" i="93"/>
  <c r="Q140" i="93"/>
  <c r="R140" i="93"/>
  <c r="V140" i="93"/>
  <c r="W140" i="93"/>
  <c r="X140" i="93"/>
  <c r="P141" i="93"/>
  <c r="Q141" i="93"/>
  <c r="R141" i="93"/>
  <c r="V141" i="93"/>
  <c r="W141" i="93"/>
  <c r="X141" i="93"/>
  <c r="P142" i="93"/>
  <c r="Q142" i="93"/>
  <c r="R142" i="93"/>
  <c r="V142" i="93"/>
  <c r="W142" i="93"/>
  <c r="X142" i="93"/>
  <c r="P143" i="93"/>
  <c r="Q143" i="93"/>
  <c r="R143" i="93"/>
  <c r="V143" i="93"/>
  <c r="W143" i="93"/>
  <c r="X143" i="93"/>
  <c r="P144" i="93"/>
  <c r="Q144" i="93"/>
  <c r="R144" i="93"/>
  <c r="V144" i="93"/>
  <c r="W144" i="93"/>
  <c r="X144" i="93"/>
  <c r="P145" i="93"/>
  <c r="Q145" i="93"/>
  <c r="R145" i="93"/>
  <c r="V145" i="93"/>
  <c r="W145" i="93"/>
  <c r="X145" i="93"/>
  <c r="P146" i="93"/>
  <c r="Q146" i="93"/>
  <c r="R146" i="93"/>
  <c r="V146" i="93"/>
  <c r="P148" i="93"/>
  <c r="Q148" i="93"/>
  <c r="R148" i="93"/>
  <c r="V148" i="93"/>
  <c r="W148" i="93"/>
  <c r="X148" i="93"/>
  <c r="P149" i="93"/>
  <c r="Q149" i="93"/>
  <c r="R149" i="93"/>
  <c r="V149" i="93"/>
  <c r="W149" i="93"/>
  <c r="X149" i="93"/>
  <c r="P150" i="93"/>
  <c r="Q150" i="93"/>
  <c r="R150" i="93"/>
  <c r="V150" i="93"/>
  <c r="W150" i="93"/>
  <c r="X150" i="93"/>
  <c r="P151" i="93"/>
  <c r="Q151" i="93"/>
  <c r="R151" i="93"/>
  <c r="V151" i="93"/>
  <c r="W151" i="93"/>
  <c r="X151" i="93"/>
  <c r="P152" i="93"/>
  <c r="Q152" i="93"/>
  <c r="R152" i="93"/>
  <c r="V152" i="93"/>
  <c r="W152" i="93"/>
  <c r="X152" i="93"/>
  <c r="P153" i="93"/>
  <c r="Q153" i="93"/>
  <c r="R153" i="93"/>
  <c r="V153" i="93"/>
  <c r="W153" i="93"/>
  <c r="X153" i="93"/>
  <c r="P154" i="93"/>
  <c r="Q154" i="93"/>
  <c r="R154" i="93"/>
  <c r="V154" i="93"/>
  <c r="W154" i="93"/>
  <c r="X154" i="93"/>
  <c r="P155" i="93"/>
  <c r="Q155" i="93"/>
  <c r="R155" i="93"/>
  <c r="V155" i="93"/>
  <c r="P157" i="93"/>
  <c r="Q157" i="93"/>
  <c r="R157" i="93"/>
  <c r="V157" i="93"/>
  <c r="W157" i="93"/>
  <c r="X157" i="93"/>
  <c r="P159" i="93"/>
  <c r="Q159" i="93"/>
  <c r="R159" i="93"/>
  <c r="V159" i="93"/>
  <c r="W159" i="93"/>
  <c r="X159" i="93"/>
  <c r="P160" i="93"/>
  <c r="Q160" i="93"/>
  <c r="R160" i="93"/>
  <c r="V160" i="93"/>
  <c r="W160" i="93"/>
  <c r="X160" i="93"/>
  <c r="P161" i="93"/>
  <c r="Q161" i="93"/>
  <c r="R161" i="93"/>
  <c r="V161" i="93"/>
  <c r="W161" i="93"/>
  <c r="X161" i="93"/>
  <c r="P162" i="93"/>
  <c r="Q162" i="93"/>
  <c r="R162" i="93"/>
  <c r="V162" i="93"/>
  <c r="W162" i="93"/>
  <c r="X162" i="93"/>
  <c r="P164" i="93"/>
  <c r="Q164" i="93"/>
  <c r="R164" i="93"/>
  <c r="V164" i="93"/>
  <c r="W164" i="93"/>
  <c r="X164" i="93"/>
  <c r="P175" i="93"/>
  <c r="Q175" i="93"/>
  <c r="R175" i="93"/>
  <c r="V175" i="93"/>
  <c r="W175" i="93"/>
  <c r="X175" i="93"/>
  <c r="P186" i="93"/>
  <c r="Q186" i="93"/>
  <c r="R186" i="93"/>
  <c r="V186" i="93"/>
  <c r="P188" i="93"/>
  <c r="Q188" i="93"/>
  <c r="R188" i="93"/>
  <c r="V188" i="93"/>
  <c r="W188" i="93"/>
  <c r="X188" i="93"/>
  <c r="P189" i="93"/>
  <c r="Q189" i="93"/>
  <c r="R189" i="93"/>
  <c r="V189" i="93"/>
  <c r="W189" i="93"/>
  <c r="X189" i="93"/>
  <c r="P190" i="93"/>
  <c r="Q190" i="93"/>
  <c r="R190" i="93"/>
  <c r="V190" i="93"/>
  <c r="W190" i="93"/>
  <c r="X190" i="93"/>
  <c r="P192" i="93"/>
  <c r="Q192" i="93"/>
  <c r="R192" i="93"/>
  <c r="V192" i="93"/>
  <c r="W192" i="93"/>
  <c r="X192" i="93"/>
  <c r="P193" i="93"/>
  <c r="Q193" i="93"/>
  <c r="R193" i="93"/>
  <c r="V193" i="93"/>
  <c r="W193" i="93"/>
  <c r="X193" i="93"/>
  <c r="P195" i="93"/>
  <c r="Q195" i="93"/>
  <c r="R195" i="93"/>
  <c r="V195" i="93"/>
  <c r="W195" i="93"/>
  <c r="X195" i="93"/>
  <c r="P210" i="93"/>
  <c r="Q210" i="93"/>
  <c r="R210" i="93"/>
  <c r="V210" i="93"/>
  <c r="P212" i="93"/>
  <c r="Q212" i="93"/>
  <c r="R212" i="93"/>
  <c r="V212" i="93"/>
  <c r="W212" i="93"/>
  <c r="X212" i="93"/>
  <c r="P213" i="93"/>
  <c r="Q213" i="93"/>
  <c r="R213" i="93"/>
  <c r="V213" i="93"/>
  <c r="W213" i="93"/>
  <c r="X213" i="93"/>
  <c r="P224" i="93"/>
  <c r="Q224" i="93"/>
  <c r="R224" i="93"/>
  <c r="V224" i="93"/>
  <c r="W224" i="93"/>
  <c r="X224" i="93"/>
  <c r="P235" i="93"/>
  <c r="Q235" i="93"/>
  <c r="R235" i="93"/>
  <c r="V235" i="93"/>
  <c r="W235" i="93"/>
  <c r="X235" i="93"/>
  <c r="P246" i="93"/>
  <c r="Q246" i="93"/>
  <c r="R246" i="93"/>
  <c r="V246" i="93"/>
  <c r="W246" i="93"/>
  <c r="X246" i="93"/>
  <c r="P257" i="93"/>
  <c r="Q257" i="93"/>
  <c r="R257" i="93"/>
  <c r="V257" i="93"/>
  <c r="W257" i="93"/>
  <c r="X257" i="93"/>
  <c r="P258" i="93"/>
  <c r="Q258" i="93"/>
  <c r="R258" i="93"/>
  <c r="V258" i="93"/>
  <c r="P260" i="93"/>
  <c r="Q260" i="93"/>
  <c r="R260" i="93"/>
  <c r="V260" i="93"/>
  <c r="W260" i="93"/>
  <c r="X260" i="93"/>
  <c r="P261" i="93"/>
  <c r="Q261" i="93"/>
  <c r="R261" i="93"/>
  <c r="V261" i="93"/>
  <c r="W261" i="93"/>
  <c r="X261" i="93"/>
  <c r="P262" i="93"/>
  <c r="Q262" i="93"/>
  <c r="R262" i="93"/>
  <c r="V262" i="93"/>
  <c r="W262" i="93"/>
  <c r="X262" i="93"/>
  <c r="P263" i="93"/>
  <c r="Q263" i="93"/>
  <c r="R263" i="93"/>
  <c r="V263" i="93"/>
  <c r="W263" i="93"/>
  <c r="X263" i="93"/>
  <c r="P264" i="93"/>
  <c r="Q264" i="93"/>
  <c r="R264" i="93"/>
  <c r="V264" i="93"/>
  <c r="P266" i="93"/>
  <c r="Q266" i="93"/>
  <c r="R266" i="93"/>
  <c r="V266" i="93"/>
  <c r="W266" i="93"/>
  <c r="X266" i="93"/>
  <c r="P267" i="93"/>
  <c r="Q267" i="93"/>
  <c r="R267" i="93"/>
  <c r="V267" i="93"/>
  <c r="W267" i="93"/>
  <c r="X267" i="93"/>
  <c r="P268" i="93"/>
  <c r="Q268" i="93"/>
  <c r="R268" i="93"/>
  <c r="V268" i="93"/>
  <c r="W268" i="93"/>
  <c r="X268" i="93"/>
  <c r="P269" i="93"/>
  <c r="Q269" i="93"/>
  <c r="R269" i="93"/>
  <c r="V269" i="93"/>
  <c r="W269" i="93"/>
  <c r="X269" i="93"/>
  <c r="P270" i="93"/>
  <c r="Q270" i="93"/>
  <c r="R270" i="93"/>
  <c r="V270" i="93"/>
  <c r="P272" i="93"/>
  <c r="Q272" i="93"/>
  <c r="R272" i="93"/>
  <c r="V272" i="93"/>
  <c r="W272" i="93"/>
  <c r="X272" i="93"/>
  <c r="P276" i="93"/>
  <c r="Q276" i="93"/>
  <c r="R276" i="93"/>
  <c r="V276" i="93"/>
  <c r="W276" i="93"/>
  <c r="X276" i="93"/>
  <c r="F11" i="95"/>
  <c r="G11" i="95"/>
  <c r="H11" i="95"/>
  <c r="F12" i="95"/>
  <c r="G12" i="95"/>
  <c r="H12" i="95"/>
  <c r="F13" i="95"/>
  <c r="G13" i="95"/>
  <c r="H13" i="95"/>
  <c r="F19" i="95"/>
  <c r="G19" i="95"/>
  <c r="H19" i="95"/>
  <c r="F20" i="95"/>
  <c r="G20" i="95"/>
  <c r="H20" i="95"/>
  <c r="F25" i="95"/>
  <c r="G25" i="95"/>
  <c r="H25" i="95"/>
  <c r="F27" i="95"/>
  <c r="G27" i="95"/>
  <c r="H27" i="95"/>
  <c r="F28" i="95"/>
  <c r="G28" i="95"/>
  <c r="H28" i="95"/>
  <c r="F29" i="95"/>
  <c r="G29" i="95"/>
  <c r="H29" i="95"/>
  <c r="F30" i="95"/>
  <c r="G30" i="95"/>
  <c r="H30" i="95"/>
  <c r="F31" i="95"/>
  <c r="G31" i="95"/>
  <c r="H31" i="95"/>
  <c r="F44" i="95"/>
  <c r="G44" i="95"/>
  <c r="H44" i="95"/>
  <c r="F46" i="95"/>
  <c r="G46" i="95"/>
  <c r="H46" i="95"/>
  <c r="F47" i="95"/>
  <c r="G47" i="95"/>
  <c r="H47" i="95"/>
  <c r="F48" i="95"/>
  <c r="G48" i="95"/>
  <c r="H48" i="95"/>
  <c r="F49" i="95"/>
  <c r="G49" i="95"/>
  <c r="H49" i="95"/>
  <c r="F50" i="95"/>
  <c r="G50" i="95"/>
  <c r="H50" i="95"/>
  <c r="F51" i="95"/>
  <c r="G51" i="95"/>
  <c r="H51" i="95"/>
  <c r="F52" i="95"/>
  <c r="G52" i="95"/>
  <c r="H52" i="95"/>
  <c r="F55" i="95"/>
  <c r="G55" i="95"/>
  <c r="H55" i="95"/>
  <c r="F58" i="95"/>
  <c r="G58" i="95"/>
  <c r="H58" i="95"/>
  <c r="F61" i="95"/>
  <c r="G61" i="95"/>
  <c r="H61" i="95"/>
  <c r="F63" i="95"/>
  <c r="G63" i="95"/>
  <c r="H63" i="95"/>
  <c r="F64" i="95"/>
  <c r="G64" i="95"/>
  <c r="H64" i="95"/>
  <c r="F68" i="95"/>
  <c r="G68" i="95"/>
  <c r="H68" i="95"/>
  <c r="F75" i="95"/>
  <c r="G75" i="95"/>
  <c r="H75" i="95"/>
  <c r="F77" i="95"/>
  <c r="G77" i="95"/>
  <c r="H77" i="95"/>
  <c r="F78" i="95"/>
  <c r="G78" i="95"/>
  <c r="H78" i="95"/>
  <c r="F80" i="95"/>
  <c r="G80" i="95"/>
  <c r="H80" i="95"/>
  <c r="F83" i="95"/>
  <c r="G83" i="95"/>
  <c r="H83" i="95"/>
  <c r="F86" i="95"/>
  <c r="G86" i="95"/>
  <c r="H86" i="95"/>
  <c r="F87" i="95"/>
  <c r="G87" i="95"/>
  <c r="H87" i="95"/>
  <c r="F89" i="95"/>
  <c r="G89" i="95"/>
  <c r="H89" i="95"/>
  <c r="F90" i="95"/>
  <c r="G90" i="95"/>
  <c r="H90" i="95"/>
  <c r="F94" i="95"/>
  <c r="G94" i="95"/>
  <c r="H94" i="95"/>
  <c r="F127" i="95"/>
  <c r="G127" i="95"/>
  <c r="H127"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40" i="95"/>
  <c r="G140" i="95"/>
  <c r="H140" i="95"/>
  <c r="F141" i="95"/>
  <c r="G141" i="95"/>
  <c r="H141" i="95"/>
  <c r="F142" i="95"/>
  <c r="G142" i="95"/>
  <c r="H142" i="95"/>
  <c r="F143" i="95"/>
  <c r="G143" i="95"/>
  <c r="H143" i="95"/>
  <c r="F144" i="95"/>
  <c r="G144" i="95"/>
  <c r="H144" i="95"/>
  <c r="F145" i="95"/>
  <c r="G145" i="95"/>
  <c r="H145" i="95"/>
  <c r="F146" i="95"/>
  <c r="G146" i="95"/>
  <c r="H146"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7" i="95"/>
  <c r="G157" i="95"/>
  <c r="H157" i="95"/>
  <c r="F159" i="95"/>
  <c r="G159" i="95"/>
  <c r="H159" i="95"/>
  <c r="F160" i="95"/>
  <c r="G160" i="95"/>
  <c r="H160" i="95"/>
  <c r="F161" i="95"/>
  <c r="G161" i="95"/>
  <c r="H161" i="95"/>
  <c r="F162" i="95"/>
  <c r="G162" i="95"/>
  <c r="H162" i="95"/>
  <c r="F164" i="95"/>
  <c r="G164" i="95"/>
  <c r="H164" i="95"/>
  <c r="F175" i="95"/>
  <c r="G175" i="95"/>
  <c r="H175" i="95"/>
  <c r="F186" i="95"/>
  <c r="G186" i="95"/>
  <c r="H186" i="95"/>
  <c r="F188" i="95"/>
  <c r="G188" i="95"/>
  <c r="H188" i="95"/>
  <c r="F189" i="95"/>
  <c r="G189" i="95"/>
  <c r="H189" i="95"/>
  <c r="F190" i="95"/>
  <c r="G190" i="95"/>
  <c r="H190" i="95"/>
  <c r="F192" i="95"/>
  <c r="G192" i="95"/>
  <c r="H192" i="95"/>
  <c r="F193" i="95"/>
  <c r="G193" i="95"/>
  <c r="H193" i="95"/>
  <c r="F195" i="95"/>
  <c r="G195" i="95"/>
  <c r="H195" i="95"/>
  <c r="F210" i="95"/>
  <c r="G210" i="95"/>
  <c r="H210" i="95"/>
  <c r="F212" i="95"/>
  <c r="G212" i="95"/>
  <c r="H212" i="95"/>
  <c r="F213" i="95"/>
  <c r="G213" i="95"/>
  <c r="H213" i="95"/>
  <c r="F224" i="95"/>
  <c r="G224" i="95"/>
  <c r="H224" i="95"/>
  <c r="F235" i="95"/>
  <c r="G235" i="95"/>
  <c r="H235" i="95"/>
  <c r="F246" i="95"/>
  <c r="G246" i="95"/>
  <c r="H246" i="95"/>
  <c r="F257" i="95"/>
  <c r="G257" i="95"/>
  <c r="H257" i="95"/>
  <c r="F258" i="95"/>
  <c r="G258" i="95"/>
  <c r="H258" i="95"/>
  <c r="F260" i="95"/>
  <c r="G260" i="95"/>
  <c r="H260" i="95"/>
  <c r="F261" i="95"/>
  <c r="G261" i="95"/>
  <c r="H261" i="95"/>
  <c r="F262" i="95"/>
  <c r="G262" i="95"/>
  <c r="H262" i="95"/>
  <c r="F263" i="95"/>
  <c r="G263" i="95"/>
  <c r="H263" i="95"/>
  <c r="F264" i="95"/>
  <c r="G264" i="95"/>
  <c r="H264" i="95"/>
  <c r="F266" i="95"/>
  <c r="G266" i="95"/>
  <c r="H266" i="95"/>
  <c r="F267" i="95"/>
  <c r="G267" i="95"/>
  <c r="H267" i="95"/>
  <c r="F268" i="95"/>
  <c r="G268" i="95"/>
  <c r="H268" i="95"/>
  <c r="F269" i="95"/>
  <c r="G269" i="95"/>
  <c r="H269" i="95"/>
  <c r="F270" i="95"/>
  <c r="G270" i="95"/>
  <c r="H270" i="95"/>
  <c r="F272" i="95"/>
  <c r="G272" i="95"/>
  <c r="H272" i="95"/>
  <c r="F276" i="95"/>
  <c r="G276" i="95"/>
  <c r="H276" i="95"/>
  <c r="C193" i="253"/>
  <c r="C211" i="253"/>
  <c r="AO205" i="257"/>
  <c r="AO237" i="257"/>
  <c r="J27" i="78"/>
  <c r="K27" i="78"/>
  <c r="L27" i="78"/>
  <c r="M27" i="78"/>
  <c r="N27" i="78"/>
  <c r="O27" i="78"/>
  <c r="P27" i="78"/>
  <c r="Q27" i="78"/>
  <c r="R27" i="78"/>
  <c r="S27" i="78"/>
  <c r="T27" i="78"/>
  <c r="U27" i="78"/>
  <c r="J29" i="78"/>
  <c r="K29" i="78"/>
  <c r="L29" i="78"/>
  <c r="M29" i="78"/>
  <c r="N29" i="78"/>
  <c r="O29" i="78"/>
  <c r="P29" i="78"/>
  <c r="Q29" i="78"/>
  <c r="R29" i="78"/>
  <c r="S29" i="78"/>
  <c r="T29" i="78"/>
  <c r="U29" i="78"/>
  <c r="J35" i="78"/>
  <c r="K35" i="78"/>
  <c r="L35" i="78"/>
  <c r="M35" i="78"/>
  <c r="N35" i="78"/>
  <c r="O35" i="78"/>
  <c r="P35" i="78"/>
  <c r="Q35" i="78"/>
  <c r="R35" i="78"/>
  <c r="S35" i="78"/>
  <c r="T35" i="78"/>
  <c r="U35" i="78"/>
  <c r="D13" i="112"/>
  <c r="E13" i="112"/>
  <c r="F13" i="112"/>
  <c r="G13" i="112"/>
  <c r="D15" i="112"/>
  <c r="E15" i="112"/>
  <c r="F15" i="112"/>
  <c r="G15" i="112"/>
  <c r="D19" i="112"/>
  <c r="E19" i="112"/>
  <c r="F19" i="112"/>
  <c r="G19" i="112"/>
  <c r="H10" i="80"/>
  <c r="K10" i="80"/>
  <c r="N10" i="80"/>
  <c r="H14" i="80"/>
  <c r="K14" i="80"/>
  <c r="N14" i="80"/>
  <c r="H15" i="80"/>
  <c r="K15" i="80"/>
  <c r="N15" i="80"/>
  <c r="H16" i="80"/>
  <c r="K16" i="80"/>
  <c r="N16" i="80"/>
  <c r="H17" i="80"/>
  <c r="K17" i="80"/>
  <c r="N17" i="80"/>
  <c r="H18" i="80"/>
  <c r="K18" i="80"/>
  <c r="N18" i="80"/>
  <c r="H19" i="80"/>
  <c r="K19" i="80"/>
  <c r="N19" i="80"/>
  <c r="H20" i="80"/>
  <c r="K20" i="80"/>
  <c r="N20" i="80"/>
  <c r="H21" i="80"/>
  <c r="K21" i="80"/>
  <c r="N21" i="80"/>
  <c r="H22" i="80"/>
  <c r="K22" i="80"/>
  <c r="N22" i="80"/>
  <c r="H23" i="80"/>
  <c r="K23" i="80"/>
  <c r="N23" i="80"/>
  <c r="H24" i="80"/>
  <c r="K24" i="80"/>
  <c r="N24" i="80"/>
  <c r="H25" i="80"/>
  <c r="K25" i="80"/>
  <c r="N25" i="80"/>
  <c r="H26" i="80"/>
  <c r="K26" i="80"/>
  <c r="N26" i="80"/>
  <c r="H27" i="80"/>
  <c r="K27" i="80"/>
  <c r="N27" i="80"/>
  <c r="H28" i="80"/>
  <c r="K28" i="80"/>
  <c r="N28" i="80"/>
  <c r="H29" i="80"/>
  <c r="K29" i="80"/>
  <c r="N29" i="80"/>
  <c r="H30" i="80"/>
  <c r="K30" i="80"/>
  <c r="N30" i="80"/>
  <c r="H31" i="80"/>
  <c r="K31" i="80"/>
  <c r="N31" i="80"/>
  <c r="H32" i="80"/>
  <c r="K32" i="80"/>
  <c r="N32" i="80"/>
  <c r="H33" i="80"/>
  <c r="K33" i="80"/>
  <c r="N33" i="80"/>
  <c r="H34" i="80"/>
  <c r="K34" i="80"/>
  <c r="N34" i="80"/>
  <c r="H35" i="80"/>
  <c r="K35" i="80"/>
  <c r="N35" i="80"/>
  <c r="H36" i="80"/>
  <c r="K36" i="80"/>
  <c r="N36" i="80"/>
  <c r="H37" i="80"/>
  <c r="K37" i="80"/>
  <c r="N37" i="80"/>
  <c r="H38" i="80"/>
  <c r="K38" i="80"/>
  <c r="N38" i="80"/>
  <c r="H39" i="80"/>
  <c r="K39" i="80"/>
  <c r="N39" i="80"/>
  <c r="H40" i="80"/>
  <c r="K40" i="80"/>
  <c r="N40" i="80"/>
  <c r="H41" i="80"/>
  <c r="K41" i="80"/>
  <c r="N41" i="80"/>
  <c r="H42" i="80"/>
  <c r="K42" i="80"/>
  <c r="N42" i="80"/>
  <c r="H43" i="80"/>
  <c r="K43" i="80"/>
  <c r="N43" i="80"/>
  <c r="H44" i="80"/>
  <c r="K44" i="80"/>
  <c r="N44" i="80"/>
  <c r="H45" i="80"/>
  <c r="K45" i="80"/>
  <c r="N45" i="80"/>
  <c r="H46" i="80"/>
  <c r="K46" i="80"/>
  <c r="N46" i="80"/>
  <c r="H47" i="80"/>
  <c r="K47" i="80"/>
  <c r="N47" i="80"/>
  <c r="H48" i="80"/>
  <c r="K48" i="80"/>
  <c r="N48" i="80"/>
  <c r="H49" i="80"/>
  <c r="K49" i="80"/>
  <c r="N49" i="80"/>
  <c r="H50" i="80"/>
  <c r="K50" i="80"/>
  <c r="N50" i="80"/>
  <c r="H51" i="80"/>
  <c r="K51" i="80"/>
  <c r="N51" i="80"/>
  <c r="H52" i="80"/>
  <c r="K52" i="80"/>
  <c r="N52" i="80"/>
  <c r="H53" i="80"/>
  <c r="K53" i="80"/>
  <c r="N53" i="80"/>
  <c r="H54" i="80"/>
  <c r="K54" i="80"/>
  <c r="N54" i="80"/>
  <c r="H55" i="80"/>
  <c r="K55" i="80"/>
  <c r="N55" i="80"/>
  <c r="H56" i="80"/>
  <c r="K56" i="80"/>
  <c r="N56" i="80"/>
  <c r="H57" i="80"/>
  <c r="K57" i="80"/>
  <c r="N57" i="80"/>
  <c r="H58" i="80"/>
  <c r="K58" i="80"/>
  <c r="N58" i="80"/>
  <c r="H59" i="80"/>
  <c r="K59" i="80"/>
  <c r="N59" i="80"/>
  <c r="H60" i="80"/>
  <c r="K60" i="80"/>
  <c r="N60" i="80"/>
  <c r="H61" i="80"/>
  <c r="K61" i="80"/>
  <c r="N61" i="80"/>
  <c r="H62" i="80"/>
  <c r="K62" i="80"/>
  <c r="N62" i="80"/>
  <c r="H63" i="80"/>
  <c r="K63" i="80"/>
  <c r="N63" i="80"/>
  <c r="H64" i="80"/>
  <c r="K64" i="80"/>
  <c r="N64" i="80"/>
  <c r="H65" i="80"/>
  <c r="K65" i="80"/>
  <c r="N65" i="80"/>
  <c r="H66" i="80"/>
  <c r="K66" i="80"/>
  <c r="N66" i="80"/>
  <c r="H67" i="80"/>
  <c r="K67" i="80"/>
  <c r="N67" i="80"/>
  <c r="H68" i="80"/>
  <c r="K68" i="80"/>
  <c r="N68" i="80"/>
  <c r="H69" i="80"/>
  <c r="K69" i="80"/>
  <c r="N69" i="80"/>
  <c r="H70" i="80"/>
  <c r="K70" i="80"/>
  <c r="N70" i="80"/>
  <c r="H71" i="80"/>
  <c r="K71" i="80"/>
  <c r="N71" i="80"/>
  <c r="H72" i="80"/>
  <c r="K72" i="80"/>
  <c r="N72" i="80"/>
  <c r="H73" i="80"/>
  <c r="K73" i="80"/>
  <c r="N73" i="80"/>
  <c r="H74" i="80"/>
  <c r="K74" i="80"/>
  <c r="N74" i="80"/>
  <c r="H75" i="80"/>
  <c r="K75" i="80"/>
  <c r="N75" i="80"/>
  <c r="H76" i="80"/>
  <c r="K76" i="80"/>
  <c r="N76" i="80"/>
  <c r="H77" i="80"/>
  <c r="K77" i="80"/>
  <c r="N77" i="80"/>
  <c r="H78" i="80"/>
  <c r="K78" i="80"/>
  <c r="N78" i="80"/>
  <c r="H79" i="80"/>
  <c r="K79" i="80"/>
  <c r="N79" i="80"/>
  <c r="H80" i="80"/>
  <c r="K80" i="80"/>
  <c r="N80" i="80"/>
  <c r="H81" i="80"/>
  <c r="K81" i="80"/>
  <c r="N81" i="80"/>
  <c r="H82" i="80"/>
  <c r="K82" i="80"/>
  <c r="N82" i="80"/>
  <c r="H83" i="80"/>
  <c r="K83" i="80"/>
  <c r="N83" i="80"/>
  <c r="H84" i="80"/>
  <c r="K84" i="80"/>
  <c r="N84" i="80"/>
  <c r="H85" i="80"/>
  <c r="K85" i="80"/>
  <c r="N85" i="80"/>
  <c r="H86" i="80"/>
  <c r="K86" i="80"/>
  <c r="N86" i="80"/>
  <c r="H87" i="80"/>
  <c r="K87" i="80"/>
  <c r="N87" i="80"/>
  <c r="H88" i="80"/>
  <c r="K88" i="80"/>
  <c r="N88" i="80"/>
  <c r="H89" i="80"/>
  <c r="K89" i="80"/>
  <c r="N89" i="80"/>
  <c r="H90" i="80"/>
  <c r="K90" i="80"/>
  <c r="N90" i="80"/>
  <c r="H91" i="80"/>
  <c r="K91" i="80"/>
  <c r="N91" i="80"/>
  <c r="H92" i="80"/>
  <c r="K92" i="80"/>
  <c r="N92" i="80"/>
  <c r="H93" i="80"/>
  <c r="K93" i="80"/>
  <c r="N93" i="80"/>
  <c r="H94" i="80"/>
  <c r="K94" i="80"/>
  <c r="N94" i="80"/>
  <c r="H95" i="80"/>
  <c r="K95" i="80"/>
  <c r="N95" i="80"/>
  <c r="H96" i="80"/>
  <c r="K96" i="80"/>
  <c r="N96" i="80"/>
  <c r="H97" i="80"/>
  <c r="K97" i="80"/>
  <c r="N97" i="80"/>
  <c r="H98" i="80"/>
  <c r="K98" i="80"/>
  <c r="N98" i="80"/>
  <c r="H99" i="80"/>
  <c r="K99" i="80"/>
  <c r="N99" i="80"/>
  <c r="H100" i="80"/>
  <c r="K100" i="80"/>
  <c r="N100" i="80"/>
  <c r="H101" i="80"/>
  <c r="K101" i="80"/>
  <c r="N101" i="80"/>
  <c r="H102" i="80"/>
  <c r="K102" i="80"/>
  <c r="N102" i="80"/>
  <c r="H103" i="80"/>
  <c r="K103" i="80"/>
  <c r="N103" i="80"/>
  <c r="H104" i="80"/>
  <c r="K104" i="80"/>
  <c r="N104" i="80"/>
  <c r="H105" i="80"/>
  <c r="K105" i="80"/>
  <c r="N105" i="80"/>
  <c r="H106" i="80"/>
  <c r="K106" i="80"/>
  <c r="N106" i="80"/>
  <c r="H107" i="80"/>
  <c r="K107" i="80"/>
  <c r="N107" i="80"/>
  <c r="H108" i="80"/>
  <c r="K108" i="80"/>
  <c r="N108" i="80"/>
  <c r="H109" i="80"/>
  <c r="K109" i="80"/>
  <c r="N109" i="80"/>
  <c r="H110" i="80"/>
  <c r="K110" i="80"/>
  <c r="N110" i="80"/>
  <c r="H111" i="80"/>
  <c r="K111" i="80"/>
  <c r="N111" i="80"/>
  <c r="H112" i="80"/>
  <c r="K112" i="80"/>
  <c r="N112" i="80"/>
  <c r="H113" i="80"/>
  <c r="K113" i="80"/>
  <c r="N113" i="80"/>
  <c r="H114" i="80"/>
  <c r="K114" i="80"/>
  <c r="N114" i="80"/>
  <c r="H115" i="80"/>
  <c r="K115" i="80"/>
  <c r="N115" i="80"/>
  <c r="H116" i="80"/>
  <c r="K116" i="80"/>
  <c r="N116" i="80"/>
  <c r="H117" i="80"/>
  <c r="K117" i="80"/>
  <c r="N117" i="80"/>
  <c r="H118" i="80"/>
  <c r="K118" i="80"/>
  <c r="N118" i="80"/>
  <c r="H119" i="80"/>
  <c r="K119" i="80"/>
  <c r="N119" i="80"/>
  <c r="H120" i="80"/>
  <c r="K120" i="80"/>
  <c r="N120" i="80"/>
  <c r="H121" i="80"/>
  <c r="K121" i="80"/>
  <c r="N121" i="80"/>
  <c r="H122" i="80"/>
  <c r="K122" i="80"/>
  <c r="N122" i="80"/>
  <c r="H123" i="80"/>
  <c r="K123" i="80"/>
  <c r="N123" i="80"/>
  <c r="H124" i="80"/>
  <c r="K124" i="80"/>
  <c r="N124" i="80"/>
  <c r="H125" i="80"/>
  <c r="K125" i="80"/>
  <c r="N125" i="80"/>
  <c r="H126" i="80"/>
  <c r="K126" i="80"/>
  <c r="N126" i="80"/>
  <c r="H127" i="80"/>
  <c r="K127" i="80"/>
  <c r="N127" i="80"/>
  <c r="H128" i="80"/>
  <c r="K128" i="80"/>
  <c r="N128" i="80"/>
  <c r="L8" i="122"/>
  <c r="M8" i="122"/>
  <c r="J9" i="122"/>
  <c r="L9" i="122"/>
  <c r="M9" i="122"/>
  <c r="J10" i="122"/>
  <c r="L10" i="122"/>
  <c r="M10" i="122"/>
  <c r="J11" i="122"/>
  <c r="L11" i="122"/>
  <c r="M11" i="122"/>
  <c r="J13" i="122"/>
  <c r="L13" i="122"/>
  <c r="M13" i="122"/>
  <c r="J9" i="123"/>
  <c r="L9" i="123"/>
  <c r="M9" i="123"/>
  <c r="J11" i="123"/>
  <c r="L11" i="123"/>
  <c r="M11" i="123"/>
  <c r="J19" i="48"/>
  <c r="L19" i="48"/>
  <c r="M19" i="48"/>
  <c r="J21" i="48"/>
  <c r="L21" i="48"/>
  <c r="M21" i="48"/>
  <c r="F10" i="83"/>
  <c r="H10" i="83"/>
  <c r="J10" i="83"/>
  <c r="F14" i="83"/>
  <c r="H14" i="83"/>
  <c r="J14" i="83"/>
  <c r="F15" i="83"/>
  <c r="H15" i="83"/>
  <c r="J15" i="83"/>
  <c r="F16" i="83"/>
  <c r="H16" i="83"/>
  <c r="J16" i="83"/>
  <c r="F17" i="83"/>
  <c r="H17" i="83"/>
  <c r="J17" i="83"/>
  <c r="F18" i="83"/>
  <c r="H18" i="83"/>
  <c r="J18" i="83"/>
  <c r="F19" i="83"/>
  <c r="H19" i="83"/>
  <c r="J19" i="83"/>
  <c r="F20" i="83"/>
  <c r="H20" i="83"/>
  <c r="J20" i="83"/>
  <c r="F21" i="83"/>
  <c r="H21" i="83"/>
  <c r="J21" i="83"/>
  <c r="F22" i="83"/>
  <c r="H22" i="83"/>
  <c r="J22" i="83"/>
  <c r="F23" i="83"/>
  <c r="H23" i="83"/>
  <c r="J23" i="83"/>
  <c r="F24" i="83"/>
  <c r="H24" i="83"/>
  <c r="J24" i="83"/>
  <c r="F25" i="83"/>
  <c r="H25" i="83"/>
  <c r="J25" i="83"/>
  <c r="F26" i="83"/>
  <c r="H26" i="83"/>
  <c r="J26" i="83"/>
  <c r="F29" i="83"/>
  <c r="H29" i="83"/>
  <c r="J29" i="83"/>
  <c r="F30" i="83"/>
  <c r="H30" i="83"/>
  <c r="J30" i="83"/>
  <c r="F31" i="83"/>
  <c r="H31" i="83"/>
  <c r="J31" i="83"/>
  <c r="F32" i="83"/>
  <c r="H32" i="83"/>
  <c r="J32" i="83"/>
  <c r="F33" i="83"/>
  <c r="H33" i="83"/>
  <c r="J33" i="83"/>
  <c r="F34" i="83"/>
  <c r="H34" i="83"/>
  <c r="J34" i="83"/>
  <c r="F35" i="83"/>
  <c r="H35" i="83"/>
  <c r="J35" i="83"/>
  <c r="F36" i="83"/>
  <c r="H36" i="83"/>
  <c r="J36" i="83"/>
  <c r="F37" i="83"/>
  <c r="H37" i="83"/>
  <c r="J37" i="83"/>
  <c r="F40" i="83"/>
  <c r="H40" i="83"/>
  <c r="J40" i="83"/>
  <c r="F41" i="83"/>
  <c r="H41" i="83"/>
  <c r="J41" i="83"/>
  <c r="F42" i="83"/>
  <c r="H42" i="83"/>
  <c r="J42" i="83"/>
  <c r="F43" i="83"/>
  <c r="H43" i="83"/>
  <c r="J43" i="83"/>
  <c r="F44" i="83"/>
  <c r="H44" i="83"/>
  <c r="J44" i="83"/>
  <c r="F45" i="83"/>
  <c r="H45" i="83"/>
  <c r="J45" i="83"/>
  <c r="F46" i="83"/>
  <c r="H46" i="83"/>
  <c r="J46" i="83"/>
  <c r="F47" i="83"/>
  <c r="H47" i="83"/>
  <c r="J47" i="83"/>
  <c r="F48" i="83"/>
  <c r="H48" i="83"/>
  <c r="J48" i="83"/>
  <c r="F49" i="83"/>
  <c r="H49" i="83"/>
  <c r="J49" i="83"/>
  <c r="F50" i="83"/>
  <c r="H50" i="83"/>
  <c r="J50" i="83"/>
  <c r="F51" i="83"/>
  <c r="H51" i="83"/>
  <c r="J51" i="83"/>
  <c r="F52" i="83"/>
  <c r="H52" i="83"/>
  <c r="J52" i="83"/>
  <c r="F53" i="83"/>
  <c r="H53" i="83"/>
  <c r="J53" i="83"/>
  <c r="F54" i="83"/>
  <c r="H54" i="83"/>
  <c r="J54" i="83"/>
  <c r="F55" i="83"/>
  <c r="H55" i="83"/>
  <c r="J55" i="83"/>
  <c r="F56" i="83"/>
  <c r="H56" i="83"/>
  <c r="J56" i="83"/>
  <c r="F57" i="83"/>
  <c r="H57" i="83"/>
  <c r="J57" i="83"/>
  <c r="F58" i="83"/>
  <c r="H58" i="83"/>
  <c r="J58" i="83"/>
  <c r="F59" i="83"/>
  <c r="H59" i="83"/>
  <c r="J59" i="83"/>
  <c r="F60" i="83"/>
  <c r="H60" i="83"/>
  <c r="J60" i="83"/>
  <c r="F61" i="83"/>
  <c r="H61" i="83"/>
  <c r="J61" i="83"/>
  <c r="F62" i="83"/>
  <c r="H62" i="83"/>
  <c r="J62" i="83"/>
  <c r="F63" i="83"/>
  <c r="H63" i="83"/>
  <c r="J63" i="83"/>
  <c r="F64" i="83"/>
  <c r="H64" i="83"/>
  <c r="J64" i="83"/>
  <c r="F65" i="83"/>
  <c r="H65" i="83"/>
  <c r="J65" i="83"/>
  <c r="F66" i="83"/>
  <c r="H66" i="83"/>
  <c r="J66" i="83"/>
  <c r="F67" i="83"/>
  <c r="H67" i="83"/>
  <c r="J67" i="83"/>
  <c r="F68" i="83"/>
  <c r="H68" i="83"/>
  <c r="J68" i="83"/>
  <c r="F69" i="83"/>
  <c r="H69" i="83"/>
  <c r="J69" i="83"/>
  <c r="F70" i="83"/>
  <c r="H70" i="83"/>
  <c r="J70" i="83"/>
  <c r="F71" i="83"/>
  <c r="H71" i="83"/>
  <c r="J71" i="83"/>
  <c r="F72" i="83"/>
  <c r="H72" i="83"/>
  <c r="J72" i="83"/>
  <c r="F73" i="83"/>
  <c r="H73" i="83"/>
  <c r="J73" i="83"/>
  <c r="F74" i="83"/>
  <c r="H74" i="83"/>
  <c r="J74" i="83"/>
  <c r="F75" i="83"/>
  <c r="H75" i="83"/>
  <c r="J75" i="83"/>
  <c r="F76" i="83"/>
  <c r="H76" i="83"/>
  <c r="J76" i="83"/>
  <c r="F77" i="83"/>
  <c r="H77" i="83"/>
  <c r="J77" i="83"/>
  <c r="F78" i="83"/>
  <c r="H78" i="83"/>
  <c r="J78" i="83"/>
  <c r="F79" i="83"/>
  <c r="H79" i="83"/>
  <c r="J79" i="83"/>
  <c r="F80" i="83"/>
  <c r="H80" i="83"/>
  <c r="J80" i="83"/>
  <c r="F81" i="83"/>
  <c r="H81" i="83"/>
  <c r="J81" i="83"/>
  <c r="F82" i="83"/>
  <c r="H82" i="83"/>
  <c r="J82" i="83"/>
  <c r="F83" i="83"/>
  <c r="H83" i="83"/>
  <c r="J83" i="83"/>
  <c r="F84" i="83"/>
  <c r="H84" i="83"/>
  <c r="J84" i="83"/>
  <c r="F85" i="83"/>
  <c r="H85" i="83"/>
  <c r="J85" i="83"/>
  <c r="F86" i="83"/>
  <c r="H86" i="83"/>
  <c r="J86" i="83"/>
  <c r="F87" i="83"/>
  <c r="H87" i="83"/>
  <c r="J87" i="83"/>
  <c r="F88" i="83"/>
  <c r="H88" i="83"/>
  <c r="J88" i="83"/>
  <c r="F89" i="83"/>
  <c r="H89" i="83"/>
  <c r="J89" i="83"/>
  <c r="F90" i="83"/>
  <c r="H90" i="83"/>
  <c r="J90" i="83"/>
  <c r="F91" i="83"/>
  <c r="H91" i="83"/>
  <c r="J91" i="83"/>
  <c r="F92" i="83"/>
  <c r="H92" i="83"/>
  <c r="J92" i="83"/>
  <c r="F93" i="83"/>
  <c r="H93" i="83"/>
  <c r="J93" i="83"/>
  <c r="F94" i="83"/>
  <c r="H94" i="83"/>
  <c r="J94" i="83"/>
  <c r="F95" i="83"/>
  <c r="H95" i="83"/>
  <c r="J95" i="83"/>
  <c r="F96" i="83"/>
  <c r="H96" i="83"/>
  <c r="J96" i="83"/>
  <c r="F97" i="83"/>
  <c r="H97" i="83"/>
  <c r="J97" i="83"/>
  <c r="F98" i="83"/>
  <c r="H98" i="83"/>
  <c r="J98" i="83"/>
  <c r="F99" i="83"/>
  <c r="H99" i="83"/>
  <c r="J99" i="83"/>
  <c r="F100" i="83"/>
  <c r="H100" i="83"/>
  <c r="J100" i="83"/>
  <c r="F101" i="83"/>
  <c r="H101" i="83"/>
  <c r="J101" i="83"/>
  <c r="F102" i="83"/>
  <c r="H102" i="83"/>
  <c r="J102" i="83"/>
  <c r="F103" i="83"/>
  <c r="H103" i="83"/>
  <c r="J103" i="83"/>
  <c r="F104" i="83"/>
  <c r="H104" i="83"/>
  <c r="J104" i="83"/>
  <c r="F105" i="83"/>
  <c r="H105" i="83"/>
  <c r="J105" i="83"/>
  <c r="F106" i="83"/>
  <c r="H106" i="83"/>
  <c r="J106" i="83"/>
  <c r="F107" i="83"/>
  <c r="H107" i="83"/>
  <c r="J107" i="83"/>
  <c r="F108" i="83"/>
  <c r="H108" i="83"/>
  <c r="J108" i="83"/>
  <c r="F109" i="83"/>
  <c r="H109" i="83"/>
  <c r="J109" i="83"/>
  <c r="F110" i="83"/>
  <c r="H110" i="83"/>
  <c r="J110" i="83"/>
  <c r="F111" i="83"/>
  <c r="H111" i="83"/>
  <c r="J111" i="83"/>
  <c r="F112" i="83"/>
  <c r="H112" i="83"/>
  <c r="J112" i="83"/>
  <c r="F113" i="83"/>
  <c r="H113" i="83"/>
  <c r="J113" i="83"/>
  <c r="F114" i="83"/>
  <c r="H114" i="83"/>
  <c r="J114" i="83"/>
  <c r="F115" i="83"/>
  <c r="H115" i="83"/>
  <c r="J115" i="83"/>
  <c r="F116" i="83"/>
  <c r="H116" i="83"/>
  <c r="J116" i="83"/>
  <c r="F117" i="83"/>
  <c r="H117" i="83"/>
  <c r="J117" i="83"/>
  <c r="F118" i="83"/>
  <c r="H118" i="83"/>
  <c r="J118" i="83"/>
  <c r="F119" i="83"/>
  <c r="H119" i="83"/>
  <c r="J119" i="83"/>
  <c r="F120" i="83"/>
  <c r="H120" i="83"/>
  <c r="J120" i="83"/>
  <c r="F121" i="83"/>
  <c r="H121" i="83"/>
  <c r="J121" i="83"/>
  <c r="F122" i="83"/>
  <c r="H122" i="83"/>
  <c r="J122" i="83"/>
  <c r="F123" i="83"/>
  <c r="H123" i="83"/>
  <c r="J123" i="83"/>
  <c r="F124" i="83"/>
  <c r="H124" i="83"/>
  <c r="J124" i="83"/>
  <c r="F125" i="83"/>
  <c r="H125" i="83"/>
  <c r="J125" i="83"/>
  <c r="F126" i="83"/>
  <c r="H126" i="83"/>
  <c r="J126" i="83"/>
  <c r="F127" i="83"/>
  <c r="H127" i="83"/>
  <c r="J127" i="83"/>
  <c r="F128" i="83"/>
  <c r="H128" i="83"/>
  <c r="J128" i="83"/>
  <c r="E26" i="173"/>
  <c r="F26" i="173"/>
  <c r="G26" i="173"/>
  <c r="K26" i="173"/>
  <c r="K28" i="173"/>
  <c r="F35" i="174"/>
  <c r="G35" i="174"/>
  <c r="J35" i="174"/>
  <c r="F37" i="174"/>
  <c r="G37" i="174"/>
  <c r="J37" i="174"/>
  <c r="F44" i="174"/>
  <c r="G44" i="174"/>
  <c r="J44" i="174"/>
  <c r="F45" i="174"/>
  <c r="G45" i="174"/>
  <c r="J45" i="174"/>
  <c r="F47" i="174"/>
  <c r="G47" i="174"/>
  <c r="J47" i="174"/>
  <c r="E35" i="175"/>
  <c r="F35" i="175"/>
  <c r="H35" i="175"/>
  <c r="I35" i="175"/>
  <c r="E37" i="175"/>
  <c r="F37" i="175"/>
  <c r="H37" i="175"/>
  <c r="I37" i="175"/>
  <c r="E44" i="175"/>
  <c r="F44" i="175"/>
  <c r="H44" i="175"/>
  <c r="I44" i="175"/>
  <c r="E45" i="175"/>
  <c r="F45" i="175"/>
  <c r="H45" i="175"/>
  <c r="I45" i="175"/>
  <c r="E47" i="175"/>
  <c r="F47" i="175"/>
  <c r="H47" i="175"/>
  <c r="I47" i="175"/>
  <c r="E49" i="175"/>
  <c r="H49" i="175"/>
  <c r="E30" i="176"/>
  <c r="I30" i="176"/>
  <c r="E32" i="176"/>
  <c r="I32" i="176"/>
  <c r="E39" i="176"/>
  <c r="I39" i="176"/>
  <c r="E40" i="176"/>
  <c r="I40" i="176"/>
  <c r="E42" i="176"/>
  <c r="I42" i="176"/>
  <c r="E44" i="176"/>
  <c r="I44" i="176"/>
  <c r="E10" i="182"/>
  <c r="G10" i="182"/>
  <c r="E11" i="182"/>
  <c r="G11" i="182"/>
  <c r="E12" i="182"/>
  <c r="G12" i="182"/>
  <c r="E13" i="182"/>
  <c r="G13" i="182"/>
  <c r="E14" i="182"/>
  <c r="G14" i="182"/>
  <c r="E15" i="182"/>
  <c r="G15" i="182"/>
  <c r="E16" i="182"/>
  <c r="G16" i="182"/>
  <c r="E17" i="182"/>
  <c r="G17" i="182"/>
  <c r="E18" i="182"/>
  <c r="G18" i="182"/>
  <c r="E19" i="182"/>
  <c r="G19" i="182"/>
  <c r="E20" i="182"/>
  <c r="G20" i="182"/>
  <c r="E21" i="182"/>
  <c r="G21" i="182"/>
  <c r="E22" i="182"/>
  <c r="G22" i="182"/>
  <c r="E23" i="182"/>
  <c r="G23" i="182"/>
  <c r="E24" i="182"/>
  <c r="G24" i="182"/>
  <c r="E25" i="182"/>
  <c r="G25" i="182"/>
  <c r="E26" i="182"/>
  <c r="G26" i="182"/>
  <c r="E27" i="182"/>
  <c r="G27" i="182"/>
  <c r="E28" i="182"/>
  <c r="G28" i="182"/>
  <c r="E29" i="182"/>
  <c r="G29" i="182"/>
  <c r="E30" i="182"/>
  <c r="G30" i="182"/>
  <c r="E31" i="182"/>
  <c r="G31" i="182"/>
  <c r="E32" i="182"/>
  <c r="G32" i="182"/>
  <c r="E33" i="182"/>
  <c r="G33" i="182"/>
  <c r="E34" i="182"/>
  <c r="G34" i="182"/>
  <c r="E35" i="182"/>
  <c r="G35" i="182"/>
  <c r="E36" i="182"/>
  <c r="G36" i="182"/>
  <c r="E37" i="182"/>
  <c r="G37" i="182"/>
  <c r="E38" i="182"/>
  <c r="G38" i="182"/>
  <c r="E39" i="182"/>
  <c r="G39" i="182"/>
  <c r="E40" i="182"/>
  <c r="G40" i="182"/>
  <c r="E41" i="182"/>
  <c r="G41" i="182"/>
  <c r="E42" i="182"/>
  <c r="G42" i="182"/>
  <c r="E43" i="182"/>
  <c r="G43" i="182"/>
  <c r="E44" i="182"/>
  <c r="G44" i="182"/>
  <c r="E45" i="182"/>
  <c r="G45" i="182"/>
  <c r="E46" i="182"/>
  <c r="G46" i="182"/>
  <c r="E47" i="182"/>
  <c r="G47" i="182"/>
  <c r="E48" i="182"/>
  <c r="G48" i="182"/>
  <c r="E49" i="182"/>
  <c r="G49" i="182"/>
  <c r="E50" i="182"/>
  <c r="G50" i="182"/>
  <c r="E51" i="182"/>
  <c r="G51" i="182"/>
  <c r="E52" i="182"/>
  <c r="G52" i="182"/>
  <c r="E53" i="182"/>
  <c r="G53" i="182"/>
  <c r="E54" i="182"/>
  <c r="G54" i="182"/>
  <c r="E55" i="182"/>
  <c r="G55" i="182"/>
  <c r="E56" i="182"/>
  <c r="G56" i="182"/>
  <c r="E57" i="182"/>
  <c r="G57" i="182"/>
  <c r="E58" i="182"/>
  <c r="G58" i="182"/>
  <c r="E59" i="182"/>
  <c r="G59" i="182"/>
  <c r="E60" i="182"/>
  <c r="G60" i="182"/>
  <c r="E61" i="182"/>
  <c r="G61" i="182"/>
  <c r="E62" i="182"/>
  <c r="G62" i="182"/>
  <c r="E63" i="182"/>
  <c r="G63" i="182"/>
  <c r="E64" i="182"/>
  <c r="G64" i="182"/>
  <c r="E65" i="182"/>
  <c r="G65" i="182"/>
  <c r="E66" i="182"/>
  <c r="G66" i="182"/>
  <c r="E67" i="182"/>
  <c r="G67" i="182"/>
  <c r="E68" i="182"/>
  <c r="G68" i="182"/>
  <c r="E69" i="182"/>
  <c r="G69" i="182"/>
  <c r="E70" i="182"/>
  <c r="G70" i="182"/>
  <c r="E71" i="182"/>
  <c r="G71" i="182"/>
  <c r="E72" i="182"/>
  <c r="G72" i="182"/>
  <c r="E73" i="182"/>
  <c r="G73" i="182"/>
  <c r="E74" i="182"/>
  <c r="G74" i="182"/>
  <c r="E75" i="182"/>
  <c r="G75" i="182"/>
  <c r="E76" i="182"/>
  <c r="G76" i="182"/>
  <c r="E77" i="182"/>
  <c r="G77" i="182"/>
  <c r="E78" i="182"/>
  <c r="G78" i="182"/>
  <c r="E79" i="182"/>
  <c r="G79" i="182"/>
  <c r="E80" i="182"/>
  <c r="G80" i="182"/>
  <c r="E81" i="182"/>
  <c r="G81" i="182"/>
  <c r="E82" i="182"/>
  <c r="G82" i="182"/>
  <c r="E83" i="182"/>
  <c r="G83" i="182"/>
  <c r="E84" i="182"/>
  <c r="G84" i="182"/>
  <c r="E85" i="182"/>
  <c r="G85" i="182"/>
  <c r="E86" i="182"/>
  <c r="G86" i="182"/>
  <c r="E87" i="182"/>
  <c r="G87" i="182"/>
  <c r="E88" i="182"/>
  <c r="G88" i="182"/>
  <c r="E89" i="182"/>
  <c r="G89" i="182"/>
  <c r="E90" i="182"/>
  <c r="G90" i="182"/>
  <c r="E91" i="182"/>
  <c r="G91" i="182"/>
  <c r="E92" i="182"/>
  <c r="G92" i="182"/>
  <c r="E93" i="182"/>
  <c r="G93" i="182"/>
  <c r="E94" i="182"/>
  <c r="G94" i="182"/>
  <c r="E95" i="182"/>
  <c r="G95" i="182"/>
  <c r="E96" i="182"/>
  <c r="G96" i="182"/>
  <c r="E97" i="182"/>
  <c r="G97" i="182"/>
  <c r="E98" i="182"/>
  <c r="G98" i="182"/>
  <c r="E99" i="182"/>
  <c r="G99" i="182"/>
  <c r="E100" i="182"/>
  <c r="G100" i="182"/>
  <c r="E101" i="182"/>
  <c r="G101" i="182"/>
  <c r="E102" i="182"/>
  <c r="G102" i="182"/>
  <c r="E103" i="182"/>
  <c r="G103" i="182"/>
  <c r="E104" i="182"/>
  <c r="G104" i="182"/>
  <c r="E105" i="182"/>
  <c r="G105" i="182"/>
  <c r="E106" i="182"/>
  <c r="G106" i="182"/>
  <c r="E107" i="182"/>
  <c r="G107" i="182"/>
  <c r="E108" i="182"/>
  <c r="G108" i="182"/>
  <c r="E109" i="182"/>
  <c r="G109" i="182"/>
  <c r="E110" i="182"/>
  <c r="G110" i="182"/>
  <c r="E111" i="182"/>
  <c r="G111" i="182"/>
  <c r="E112" i="182"/>
  <c r="G112" i="182"/>
  <c r="E113" i="182"/>
  <c r="G113" i="182"/>
  <c r="E114" i="182"/>
  <c r="G114" i="182"/>
  <c r="E115" i="182"/>
  <c r="G115" i="182"/>
  <c r="E116" i="182"/>
  <c r="G116" i="182"/>
  <c r="E117" i="182"/>
  <c r="G117" i="182"/>
  <c r="E118" i="182"/>
  <c r="G118" i="182"/>
  <c r="E119" i="182"/>
  <c r="G119" i="182"/>
  <c r="E120" i="182"/>
  <c r="G120" i="182"/>
  <c r="E121" i="182"/>
  <c r="G121" i="182"/>
  <c r="E122" i="182"/>
  <c r="G122" i="182"/>
  <c r="E123" i="182"/>
  <c r="G123" i="182"/>
  <c r="E124" i="182"/>
  <c r="G124" i="182"/>
  <c r="E125" i="182"/>
  <c r="G125" i="182"/>
  <c r="E126" i="182"/>
  <c r="G126" i="182"/>
  <c r="E127" i="182"/>
  <c r="G127" i="182"/>
  <c r="E128" i="182"/>
  <c r="G128" i="182"/>
  <c r="E129" i="182"/>
  <c r="G129" i="182"/>
  <c r="E130" i="182"/>
  <c r="G130" i="182"/>
  <c r="E131" i="182"/>
  <c r="G131" i="182"/>
  <c r="E132" i="182"/>
  <c r="G132" i="182"/>
  <c r="E133" i="182"/>
  <c r="G133" i="182"/>
  <c r="E134" i="182"/>
  <c r="G134" i="182"/>
  <c r="E135" i="182"/>
  <c r="G135" i="182"/>
  <c r="E136" i="182"/>
  <c r="G136" i="182"/>
  <c r="E137" i="182"/>
  <c r="G137" i="182"/>
  <c r="E138" i="182"/>
  <c r="G138" i="182"/>
  <c r="E139" i="182"/>
  <c r="G139" i="182"/>
  <c r="E140" i="182"/>
  <c r="G140" i="182"/>
  <c r="E141" i="182"/>
  <c r="G141" i="182"/>
  <c r="E142" i="182"/>
  <c r="G142" i="182"/>
  <c r="E143" i="182"/>
  <c r="G143" i="182"/>
  <c r="E144" i="182"/>
  <c r="G144" i="182"/>
  <c r="E145" i="182"/>
  <c r="G145" i="182"/>
  <c r="E146" i="182"/>
  <c r="G146" i="182"/>
  <c r="E147" i="182"/>
  <c r="G147" i="182"/>
  <c r="E148" i="182"/>
  <c r="G148" i="182"/>
  <c r="E149" i="182"/>
  <c r="G149" i="182"/>
  <c r="E150" i="182"/>
  <c r="G150" i="182"/>
  <c r="E151" i="182"/>
  <c r="G151" i="182"/>
  <c r="E152" i="182"/>
  <c r="G152" i="182"/>
  <c r="E153" i="182"/>
  <c r="G153" i="182"/>
  <c r="E154" i="182"/>
  <c r="G154" i="182"/>
  <c r="E155" i="182"/>
  <c r="G155" i="182"/>
  <c r="E156" i="182"/>
  <c r="G156" i="182"/>
  <c r="E157" i="182"/>
  <c r="G157" i="182"/>
  <c r="E158" i="182"/>
  <c r="G158" i="182"/>
  <c r="E159" i="182"/>
  <c r="G159" i="182"/>
  <c r="E160" i="182"/>
  <c r="G160" i="182"/>
  <c r="E161" i="182"/>
  <c r="G161" i="182"/>
  <c r="E162" i="182"/>
  <c r="G162" i="182"/>
  <c r="E163" i="182"/>
  <c r="G163" i="182"/>
  <c r="E164" i="182"/>
  <c r="G164" i="182"/>
  <c r="E165" i="182"/>
  <c r="G165" i="182"/>
  <c r="E166" i="182"/>
  <c r="G166" i="182"/>
  <c r="E167" i="182"/>
  <c r="G167" i="182"/>
  <c r="E168" i="182"/>
  <c r="G168" i="182"/>
  <c r="E169" i="182"/>
  <c r="G169" i="182"/>
  <c r="E170" i="182"/>
  <c r="G170" i="182"/>
  <c r="E171" i="182"/>
  <c r="G171" i="182"/>
  <c r="E172" i="182"/>
  <c r="G172" i="182"/>
  <c r="E173" i="182"/>
  <c r="G173" i="182"/>
  <c r="E174" i="182"/>
  <c r="G174" i="182"/>
  <c r="E175" i="182"/>
  <c r="G175" i="182"/>
  <c r="E176" i="182"/>
  <c r="G176" i="182"/>
  <c r="E177" i="182"/>
  <c r="G177" i="182"/>
  <c r="E178" i="182"/>
  <c r="G178" i="182"/>
  <c r="E179" i="182"/>
  <c r="G179" i="182"/>
  <c r="E180" i="182"/>
  <c r="G180" i="182"/>
  <c r="E181" i="182"/>
  <c r="G181" i="182"/>
  <c r="E182" i="182"/>
  <c r="G182" i="182"/>
  <c r="E183" i="182"/>
  <c r="G183" i="182"/>
  <c r="E184" i="182"/>
  <c r="G184" i="182"/>
  <c r="E185" i="182"/>
  <c r="G185" i="182"/>
  <c r="E186" i="182"/>
  <c r="G186" i="182"/>
  <c r="E187" i="182"/>
  <c r="G187" i="182"/>
  <c r="E188" i="182"/>
  <c r="G188" i="182"/>
  <c r="E189" i="182"/>
  <c r="G189" i="182"/>
  <c r="E190" i="182"/>
  <c r="G190" i="182"/>
  <c r="E191" i="182"/>
  <c r="G191" i="182"/>
  <c r="E192" i="182"/>
  <c r="G192" i="182"/>
  <c r="E193" i="182"/>
  <c r="G193" i="182"/>
  <c r="E194" i="182"/>
  <c r="G194" i="182"/>
  <c r="E195" i="182"/>
  <c r="G195" i="182"/>
  <c r="E196" i="182"/>
  <c r="G196" i="182"/>
  <c r="E197" i="182"/>
  <c r="G197" i="182"/>
  <c r="E198" i="182"/>
  <c r="G198" i="182"/>
  <c r="E199" i="182"/>
  <c r="G199" i="182"/>
  <c r="E200" i="182"/>
  <c r="G200" i="182"/>
  <c r="E201" i="182"/>
  <c r="G201" i="182"/>
  <c r="E202" i="182"/>
  <c r="G202" i="182"/>
  <c r="E203" i="182"/>
  <c r="G203" i="182"/>
  <c r="E204" i="182"/>
  <c r="G204" i="182"/>
  <c r="E205" i="182"/>
  <c r="G205" i="182"/>
  <c r="E206" i="182"/>
  <c r="G206" i="182"/>
  <c r="E207" i="182"/>
  <c r="G207" i="182"/>
  <c r="E208" i="182"/>
  <c r="G208" i="182"/>
  <c r="E209" i="182"/>
  <c r="G209" i="182"/>
  <c r="E210" i="182"/>
  <c r="G210" i="182"/>
  <c r="E211" i="182"/>
  <c r="G211" i="182"/>
  <c r="E212" i="182"/>
  <c r="G212" i="182"/>
  <c r="E213" i="182"/>
  <c r="G213" i="182"/>
  <c r="E214" i="182"/>
  <c r="G214" i="182"/>
  <c r="E215" i="182"/>
  <c r="G215" i="182"/>
  <c r="E216" i="182"/>
  <c r="G216" i="182"/>
  <c r="E217" i="182"/>
  <c r="G217" i="182"/>
  <c r="E218" i="182"/>
  <c r="G218" i="182"/>
  <c r="E219" i="182"/>
  <c r="G219" i="182"/>
  <c r="E220" i="182"/>
  <c r="G220" i="182"/>
  <c r="E221" i="182"/>
  <c r="G221" i="182"/>
  <c r="E222" i="182"/>
  <c r="G222" i="182"/>
  <c r="E223" i="182"/>
  <c r="G223" i="182"/>
  <c r="E224" i="182"/>
  <c r="G224" i="182"/>
  <c r="E225" i="182"/>
  <c r="G225" i="182"/>
  <c r="E226" i="182"/>
  <c r="G226" i="182"/>
  <c r="E227" i="182"/>
  <c r="G227" i="182"/>
  <c r="E228" i="182"/>
  <c r="G228" i="182"/>
  <c r="E229" i="182"/>
  <c r="G229" i="182"/>
  <c r="E230" i="182"/>
  <c r="G230" i="182"/>
  <c r="E231" i="182"/>
  <c r="G231" i="182"/>
  <c r="E232" i="182"/>
  <c r="G232" i="182"/>
  <c r="E233" i="182"/>
  <c r="G233" i="182"/>
  <c r="E234" i="182"/>
  <c r="G234" i="182"/>
  <c r="E235" i="182"/>
  <c r="G235" i="182"/>
  <c r="E236" i="182"/>
  <c r="G236" i="182"/>
  <c r="E237" i="182"/>
  <c r="G237" i="182"/>
  <c r="E238" i="182"/>
  <c r="G238" i="182"/>
  <c r="E239" i="182"/>
  <c r="G239" i="182"/>
  <c r="E240" i="182"/>
  <c r="G240" i="182"/>
  <c r="E241" i="182"/>
  <c r="G241" i="182"/>
  <c r="E242" i="182"/>
  <c r="G242" i="182"/>
  <c r="E243" i="182"/>
  <c r="G243" i="182"/>
  <c r="E244" i="182"/>
  <c r="G244" i="182"/>
  <c r="E245" i="182"/>
  <c r="G245" i="182"/>
  <c r="E246" i="182"/>
  <c r="G246" i="182"/>
  <c r="E247" i="182"/>
  <c r="G247" i="182"/>
  <c r="E248" i="182"/>
  <c r="G248" i="182"/>
  <c r="E249" i="182"/>
  <c r="G249" i="182"/>
  <c r="E250" i="182"/>
  <c r="G250" i="182"/>
  <c r="E251" i="182"/>
  <c r="G251" i="182"/>
  <c r="E252" i="182"/>
  <c r="G252" i="182"/>
  <c r="E253" i="182"/>
  <c r="G253" i="182"/>
  <c r="E254" i="182"/>
  <c r="G254" i="182"/>
  <c r="E255" i="182"/>
  <c r="G255" i="182"/>
  <c r="E256" i="182"/>
  <c r="G256" i="182"/>
  <c r="E257" i="182"/>
  <c r="G257" i="182"/>
  <c r="E258" i="182"/>
  <c r="G258" i="182"/>
  <c r="E259" i="182"/>
  <c r="G259" i="182"/>
  <c r="E260" i="182"/>
  <c r="G260" i="182"/>
  <c r="E261" i="182"/>
  <c r="G261" i="182"/>
  <c r="E262" i="182"/>
  <c r="G262" i="182"/>
  <c r="E263" i="182"/>
  <c r="G263" i="182"/>
  <c r="E264" i="182"/>
  <c r="G264" i="182"/>
  <c r="E265" i="182"/>
  <c r="G265" i="182"/>
  <c r="E266" i="182"/>
  <c r="G266" i="182"/>
  <c r="E267" i="182"/>
  <c r="G267" i="182"/>
  <c r="E268" i="182"/>
  <c r="G268" i="182"/>
  <c r="E269" i="182"/>
  <c r="G269" i="182"/>
  <c r="E270" i="182"/>
  <c r="G270" i="182"/>
  <c r="E271" i="182"/>
  <c r="G271" i="182"/>
  <c r="G272" i="182"/>
  <c r="G273" i="182"/>
  <c r="G274" i="182"/>
  <c r="E275" i="182"/>
  <c r="G275" i="182"/>
  <c r="B276" i="182"/>
  <c r="D276" i="182"/>
  <c r="F276" i="182"/>
  <c r="G276" i="182"/>
  <c r="F10" i="84"/>
  <c r="H10" i="84"/>
  <c r="J10" i="84"/>
  <c r="F14" i="84"/>
  <c r="H14" i="84"/>
  <c r="J14" i="84"/>
  <c r="F15" i="84"/>
  <c r="H15" i="84"/>
  <c r="J15" i="84"/>
  <c r="F16" i="84"/>
  <c r="H16" i="84"/>
  <c r="J16" i="84"/>
  <c r="F17" i="84"/>
  <c r="H17" i="84"/>
  <c r="J17" i="84"/>
  <c r="F18" i="84"/>
  <c r="H18" i="84"/>
  <c r="J18" i="84"/>
  <c r="F19" i="84"/>
  <c r="H19" i="84"/>
  <c r="J19" i="84"/>
  <c r="F21" i="84"/>
  <c r="H21" i="84"/>
  <c r="J21" i="84"/>
  <c r="F22" i="84"/>
  <c r="H22" i="84"/>
  <c r="J22" i="84"/>
  <c r="F23" i="84"/>
  <c r="H23" i="84"/>
  <c r="J23" i="84"/>
  <c r="F24" i="84"/>
  <c r="H24" i="84"/>
  <c r="J24" i="84"/>
  <c r="F25" i="84"/>
  <c r="H25" i="84"/>
  <c r="J25" i="84"/>
  <c r="F26" i="84"/>
  <c r="H26" i="84"/>
  <c r="J26" i="84"/>
  <c r="F28" i="84"/>
  <c r="H28" i="84"/>
  <c r="J28" i="84"/>
  <c r="F29" i="84"/>
  <c r="H29" i="84"/>
  <c r="J29" i="84"/>
  <c r="F30" i="84"/>
  <c r="H30" i="84"/>
  <c r="J30" i="84"/>
  <c r="F31" i="84"/>
  <c r="H31" i="84"/>
  <c r="J31" i="84"/>
  <c r="F32" i="84"/>
  <c r="H32" i="84"/>
  <c r="J32" i="84"/>
  <c r="F33" i="84"/>
  <c r="H33" i="84"/>
  <c r="J33" i="84"/>
  <c r="F34" i="84"/>
  <c r="H34" i="84"/>
  <c r="J34" i="84"/>
  <c r="F35" i="84"/>
  <c r="H35" i="84"/>
  <c r="J35" i="84"/>
  <c r="F36" i="84"/>
  <c r="H36" i="84"/>
  <c r="J36" i="84"/>
  <c r="F37" i="84"/>
  <c r="H37" i="84"/>
  <c r="J37" i="84"/>
  <c r="F39" i="84"/>
  <c r="H39" i="84"/>
  <c r="J39" i="84"/>
  <c r="F40" i="84"/>
  <c r="H40" i="84"/>
  <c r="J40" i="84"/>
  <c r="F41" i="84"/>
  <c r="H41" i="84"/>
  <c r="J41" i="84"/>
  <c r="F42" i="84"/>
  <c r="H42" i="84"/>
  <c r="J42" i="84"/>
  <c r="F44" i="84"/>
  <c r="H44" i="84"/>
  <c r="J44" i="84"/>
  <c r="F45" i="84"/>
  <c r="H45" i="84"/>
  <c r="J45" i="84"/>
  <c r="F46" i="84"/>
  <c r="H46" i="84"/>
  <c r="J46" i="84"/>
  <c r="F47" i="84"/>
  <c r="H47" i="84"/>
  <c r="J47" i="84"/>
  <c r="F48" i="84"/>
  <c r="H48" i="84"/>
  <c r="J48" i="84"/>
  <c r="F49" i="84"/>
  <c r="H49" i="84"/>
  <c r="J49" i="84"/>
  <c r="F50" i="84"/>
  <c r="H50" i="84"/>
  <c r="J50" i="84"/>
  <c r="F52" i="84"/>
  <c r="H52" i="84"/>
  <c r="J52" i="84"/>
  <c r="F53" i="84"/>
  <c r="H53" i="84"/>
  <c r="J53" i="84"/>
  <c r="F54" i="84"/>
  <c r="H54" i="84"/>
  <c r="J54" i="84"/>
  <c r="F55" i="84"/>
  <c r="H55" i="84"/>
  <c r="J55" i="84"/>
  <c r="F57" i="84"/>
  <c r="H57" i="84"/>
  <c r="J57" i="84"/>
  <c r="F58" i="84"/>
  <c r="H58" i="84"/>
  <c r="J58" i="84"/>
  <c r="F59" i="84"/>
  <c r="H59" i="84"/>
  <c r="J59" i="84"/>
  <c r="F60" i="84"/>
  <c r="H60" i="84"/>
  <c r="J60" i="84"/>
  <c r="F61" i="84"/>
  <c r="H61" i="84"/>
  <c r="J61" i="84"/>
  <c r="F62" i="84"/>
  <c r="H62" i="84"/>
  <c r="J62" i="84"/>
  <c r="F63" i="84"/>
  <c r="H63" i="84"/>
  <c r="J63" i="84"/>
  <c r="F64" i="84"/>
  <c r="H64" i="84"/>
  <c r="J64" i="84"/>
  <c r="F65" i="84"/>
  <c r="H65" i="84"/>
  <c r="J65" i="84"/>
  <c r="F66" i="84"/>
  <c r="H66" i="84"/>
  <c r="J66" i="84"/>
  <c r="F68" i="84"/>
  <c r="H68" i="84"/>
  <c r="J68" i="84"/>
  <c r="F69" i="84"/>
  <c r="H69" i="84"/>
  <c r="J69" i="84"/>
  <c r="F70" i="84"/>
  <c r="H70" i="84"/>
  <c r="J70" i="84"/>
  <c r="F71" i="84"/>
  <c r="H71" i="84"/>
  <c r="J71" i="84"/>
  <c r="F72" i="84"/>
  <c r="H72" i="84"/>
  <c r="J72" i="84"/>
  <c r="F73" i="84"/>
  <c r="H73" i="84"/>
  <c r="J73" i="84"/>
  <c r="F74" i="84"/>
  <c r="H74" i="84"/>
  <c r="J74" i="84"/>
  <c r="F76" i="84"/>
  <c r="H76" i="84"/>
  <c r="J76" i="84"/>
  <c r="F77" i="84"/>
  <c r="H77" i="84"/>
  <c r="J77" i="84"/>
  <c r="F78" i="84"/>
  <c r="H78" i="84"/>
  <c r="J78" i="84"/>
  <c r="F79" i="84"/>
  <c r="H79" i="84"/>
  <c r="J79" i="84"/>
  <c r="F80" i="84"/>
  <c r="H80" i="84"/>
  <c r="J80" i="84"/>
  <c r="F81" i="84"/>
  <c r="H81" i="84"/>
  <c r="J81" i="84"/>
  <c r="F82" i="84"/>
  <c r="H82" i="84"/>
  <c r="J82" i="84"/>
  <c r="F83" i="84"/>
  <c r="H83" i="84"/>
  <c r="J83" i="84"/>
  <c r="F85" i="84"/>
  <c r="H85" i="84"/>
  <c r="J85" i="84"/>
  <c r="F86" i="84"/>
  <c r="H86" i="84"/>
  <c r="J86" i="84"/>
  <c r="F88" i="84"/>
  <c r="H88" i="84"/>
  <c r="J88" i="84"/>
  <c r="F89" i="84"/>
  <c r="H89" i="84"/>
  <c r="J89" i="84"/>
  <c r="F90" i="84"/>
  <c r="H90" i="84"/>
  <c r="J90" i="84"/>
  <c r="F91" i="84"/>
  <c r="H91" i="84"/>
  <c r="J91" i="84"/>
  <c r="F92" i="84"/>
  <c r="H92" i="84"/>
  <c r="J92" i="84"/>
  <c r="F93" i="84"/>
  <c r="H93" i="84"/>
  <c r="J93" i="84"/>
  <c r="F94" i="84"/>
  <c r="H94" i="84"/>
  <c r="J94" i="84"/>
  <c r="F95" i="84"/>
  <c r="H95" i="84"/>
  <c r="J95" i="84"/>
  <c r="F97" i="84"/>
  <c r="H97" i="84"/>
  <c r="J97" i="84"/>
  <c r="F98" i="84"/>
  <c r="H98" i="84"/>
  <c r="J98" i="84"/>
  <c r="F99" i="84"/>
  <c r="H99" i="84"/>
  <c r="J99" i="84"/>
  <c r="F100" i="84"/>
  <c r="H100" i="84"/>
  <c r="J100" i="84"/>
  <c r="F101" i="84"/>
  <c r="H101" i="84"/>
  <c r="J101" i="84"/>
  <c r="F102" i="84"/>
  <c r="H102" i="84"/>
  <c r="J102" i="84"/>
  <c r="F103" i="84"/>
  <c r="H103" i="84"/>
  <c r="J103" i="84"/>
  <c r="F104" i="84"/>
  <c r="H104" i="84"/>
  <c r="J104" i="84"/>
  <c r="F106" i="84"/>
  <c r="H106" i="84"/>
  <c r="J106" i="84"/>
  <c r="F107" i="84"/>
  <c r="H107" i="84"/>
  <c r="J107" i="84"/>
  <c r="F108" i="84"/>
  <c r="H108" i="84"/>
  <c r="J108" i="84"/>
  <c r="F109" i="84"/>
  <c r="H109" i="84"/>
  <c r="J109" i="84"/>
  <c r="F110" i="84"/>
  <c r="H110" i="84"/>
  <c r="J110" i="84"/>
  <c r="F111" i="84"/>
  <c r="H111" i="84"/>
  <c r="J111" i="84"/>
  <c r="F112" i="84"/>
  <c r="H112" i="84"/>
  <c r="J112" i="84"/>
  <c r="F113" i="84"/>
  <c r="H113" i="84"/>
  <c r="J113" i="84"/>
  <c r="F115" i="84"/>
  <c r="H115" i="84"/>
  <c r="F116" i="84"/>
  <c r="H116" i="84"/>
  <c r="J116" i="84"/>
  <c r="F117" i="84"/>
  <c r="H117" i="84"/>
  <c r="F118" i="84"/>
  <c r="H118" i="84"/>
  <c r="J118" i="84"/>
  <c r="F120" i="84"/>
  <c r="H120" i="84"/>
  <c r="J120" i="84"/>
  <c r="F121" i="84"/>
  <c r="H121" i="84"/>
  <c r="F122" i="84"/>
  <c r="H122" i="84"/>
  <c r="J122" i="84"/>
  <c r="F123" i="84"/>
  <c r="H123" i="84"/>
  <c r="F124" i="84"/>
  <c r="H124" i="84"/>
  <c r="J124" i="84"/>
  <c r="F126" i="84"/>
  <c r="H126" i="84"/>
  <c r="J126" i="84"/>
  <c r="F127" i="84"/>
  <c r="H127" i="84"/>
  <c r="F128" i="84"/>
  <c r="H128" i="84"/>
  <c r="J128" i="84"/>
  <c r="G12" i="85"/>
  <c r="H12" i="85"/>
  <c r="I12" i="85"/>
  <c r="J12" i="85"/>
  <c r="K12" i="85"/>
  <c r="L12" i="85"/>
  <c r="M12" i="85"/>
  <c r="N12" i="85"/>
  <c r="O12" i="85"/>
  <c r="P12" i="85"/>
  <c r="R12" i="85"/>
  <c r="G13" i="85"/>
  <c r="H13" i="85"/>
  <c r="I13" i="85"/>
  <c r="J13" i="85"/>
  <c r="K13" i="85"/>
  <c r="L13" i="85"/>
  <c r="M13" i="85"/>
  <c r="N13" i="85"/>
  <c r="O13" i="85"/>
  <c r="P13" i="85"/>
  <c r="R13" i="85"/>
  <c r="G14" i="85"/>
  <c r="H14" i="85"/>
  <c r="I14" i="85"/>
  <c r="J14" i="85"/>
  <c r="K14" i="85"/>
  <c r="L14" i="85"/>
  <c r="M14" i="85"/>
  <c r="N14" i="85"/>
  <c r="O14" i="85"/>
  <c r="P14" i="85"/>
  <c r="R14" i="85"/>
  <c r="G15" i="85"/>
  <c r="H15" i="85"/>
  <c r="I15" i="85"/>
  <c r="J15" i="85"/>
  <c r="K15" i="85"/>
  <c r="L15" i="85"/>
  <c r="M15" i="85"/>
  <c r="N15" i="85"/>
  <c r="O15" i="85"/>
  <c r="P15" i="85"/>
  <c r="R15" i="85"/>
  <c r="G16" i="85"/>
  <c r="H16" i="85"/>
  <c r="I16" i="85"/>
  <c r="J16" i="85"/>
  <c r="K16" i="85"/>
  <c r="L16" i="85"/>
  <c r="M16" i="85"/>
  <c r="N16" i="85"/>
  <c r="O16" i="85"/>
  <c r="P16" i="85"/>
  <c r="R16" i="85"/>
  <c r="G17" i="85"/>
  <c r="H17" i="85"/>
  <c r="I17" i="85"/>
  <c r="J17" i="85"/>
  <c r="K17" i="85"/>
  <c r="L17" i="85"/>
  <c r="M17" i="85"/>
  <c r="N17" i="85"/>
  <c r="O17" i="85"/>
  <c r="P17" i="85"/>
  <c r="R17" i="85"/>
  <c r="G18" i="85"/>
  <c r="H18" i="85"/>
  <c r="J18" i="85"/>
  <c r="K18" i="85"/>
  <c r="L18" i="85"/>
  <c r="N18" i="85"/>
  <c r="O18" i="85"/>
  <c r="P18" i="85"/>
  <c r="R18" i="85"/>
  <c r="G19" i="85"/>
  <c r="H19" i="85"/>
  <c r="I19" i="85"/>
  <c r="J19" i="85"/>
  <c r="K19" i="85"/>
  <c r="L19" i="85"/>
  <c r="M19" i="85"/>
  <c r="N19" i="85"/>
  <c r="O19" i="85"/>
  <c r="P19" i="85"/>
  <c r="R19" i="85"/>
  <c r="G20" i="85"/>
  <c r="H20" i="85"/>
  <c r="I20" i="85"/>
  <c r="J20" i="85"/>
  <c r="K20" i="85"/>
  <c r="L20" i="85"/>
  <c r="M20" i="85"/>
  <c r="N20" i="85"/>
  <c r="O20" i="85"/>
  <c r="P20" i="85"/>
  <c r="R20" i="85"/>
  <c r="G21" i="85"/>
  <c r="H21" i="85"/>
  <c r="I21" i="85"/>
  <c r="J21" i="85"/>
  <c r="K21" i="85"/>
  <c r="L21" i="85"/>
  <c r="M21" i="85"/>
  <c r="N21" i="85"/>
  <c r="O21" i="85"/>
  <c r="P21" i="85"/>
  <c r="R21" i="85"/>
  <c r="G22" i="85"/>
  <c r="H22" i="85"/>
  <c r="I22" i="85"/>
  <c r="J22" i="85"/>
  <c r="K22" i="85"/>
  <c r="L22" i="85"/>
  <c r="M22" i="85"/>
  <c r="N22" i="85"/>
  <c r="O22" i="85"/>
  <c r="P22" i="85"/>
  <c r="R22" i="85"/>
  <c r="G23" i="85"/>
  <c r="H23" i="85"/>
  <c r="I23" i="85"/>
  <c r="J23" i="85"/>
  <c r="K23" i="85"/>
  <c r="L23" i="85"/>
  <c r="M23" i="85"/>
  <c r="N23" i="85"/>
  <c r="O23" i="85"/>
  <c r="P23" i="85"/>
  <c r="R23" i="85"/>
  <c r="G24" i="85"/>
  <c r="H24" i="85"/>
  <c r="I24" i="85"/>
  <c r="J24" i="85"/>
  <c r="K24" i="85"/>
  <c r="L24" i="85"/>
  <c r="M24" i="85"/>
  <c r="N24" i="85"/>
  <c r="O24" i="85"/>
  <c r="P24" i="85"/>
  <c r="R24" i="85"/>
  <c r="G25" i="85"/>
  <c r="J25" i="85"/>
  <c r="K25" i="85"/>
  <c r="N25" i="85"/>
  <c r="O25" i="85"/>
  <c r="R25" i="85"/>
  <c r="G26" i="85"/>
  <c r="I26" i="85"/>
  <c r="J26" i="85"/>
  <c r="K26" i="85"/>
  <c r="M26" i="85"/>
  <c r="N26" i="85"/>
  <c r="O26" i="85"/>
  <c r="R26" i="85"/>
  <c r="G27" i="85"/>
  <c r="H27" i="85"/>
  <c r="I27" i="85"/>
  <c r="J27" i="85"/>
  <c r="K27" i="85"/>
  <c r="L27" i="85"/>
  <c r="M27" i="85"/>
  <c r="N27" i="85"/>
  <c r="O27" i="85"/>
  <c r="P27" i="85"/>
  <c r="R27" i="85"/>
  <c r="G28" i="85"/>
  <c r="H28" i="85"/>
  <c r="I28" i="85"/>
  <c r="J28" i="85"/>
  <c r="K28" i="85"/>
  <c r="L28" i="85"/>
  <c r="M28" i="85"/>
  <c r="N28" i="85"/>
  <c r="O28" i="85"/>
  <c r="P28" i="85"/>
  <c r="R28" i="85"/>
  <c r="G29" i="85"/>
  <c r="H29" i="85"/>
  <c r="I29" i="85"/>
  <c r="J29" i="85"/>
  <c r="K29" i="85"/>
  <c r="L29" i="85"/>
  <c r="M29" i="85"/>
  <c r="N29" i="85"/>
  <c r="O29" i="85"/>
  <c r="P29" i="85"/>
  <c r="R29" i="85"/>
  <c r="G30" i="85"/>
  <c r="H30" i="85"/>
  <c r="I30" i="85"/>
  <c r="J30" i="85"/>
  <c r="K30" i="85"/>
  <c r="L30" i="85"/>
  <c r="M30" i="85"/>
  <c r="N30" i="85"/>
  <c r="O30" i="85"/>
  <c r="P30" i="85"/>
  <c r="R30" i="85"/>
  <c r="G31" i="85"/>
  <c r="H31" i="85"/>
  <c r="I31" i="85"/>
  <c r="J31" i="85"/>
  <c r="K31" i="85"/>
  <c r="L31" i="85"/>
  <c r="M31" i="85"/>
  <c r="N31" i="85"/>
  <c r="O31" i="85"/>
  <c r="P31" i="85"/>
  <c r="R31" i="85"/>
  <c r="G32" i="85"/>
  <c r="H32" i="85"/>
  <c r="I32" i="85"/>
  <c r="J32" i="85"/>
  <c r="K32" i="85"/>
  <c r="L32" i="85"/>
  <c r="M32" i="85"/>
  <c r="N32" i="85"/>
  <c r="O32" i="85"/>
  <c r="P32" i="85"/>
  <c r="R32" i="85"/>
  <c r="G33" i="85"/>
  <c r="H33" i="85"/>
  <c r="I33" i="85"/>
  <c r="J33" i="85"/>
  <c r="K33" i="85"/>
  <c r="L33" i="85"/>
  <c r="M33" i="85"/>
  <c r="N33" i="85"/>
  <c r="O33" i="85"/>
  <c r="P33" i="85"/>
  <c r="R33" i="85"/>
  <c r="G34" i="85"/>
  <c r="H34" i="85"/>
  <c r="I34" i="85"/>
  <c r="J34" i="85"/>
  <c r="K34" i="85"/>
  <c r="L34" i="85"/>
  <c r="M34" i="85"/>
  <c r="N34" i="85"/>
  <c r="O34" i="85"/>
  <c r="P34" i="85"/>
  <c r="R34" i="85"/>
  <c r="G35" i="85"/>
  <c r="H35" i="85"/>
  <c r="I35" i="85"/>
  <c r="J35" i="85"/>
  <c r="K35" i="85"/>
  <c r="L35" i="85"/>
  <c r="M35" i="85"/>
  <c r="N35" i="85"/>
  <c r="O35" i="85"/>
  <c r="P35" i="85"/>
  <c r="R35" i="85"/>
  <c r="G36" i="85"/>
  <c r="J36" i="85"/>
  <c r="K36" i="85"/>
  <c r="N36" i="85"/>
  <c r="O36" i="85"/>
  <c r="R36" i="85"/>
  <c r="G37" i="85"/>
  <c r="I37" i="85"/>
  <c r="J37" i="85"/>
  <c r="K37" i="85"/>
  <c r="M37" i="85"/>
  <c r="N37" i="85"/>
  <c r="O37" i="85"/>
  <c r="R37" i="85"/>
  <c r="G38" i="85"/>
  <c r="H38" i="85"/>
  <c r="I38" i="85"/>
  <c r="J38" i="85"/>
  <c r="K38" i="85"/>
  <c r="L38" i="85"/>
  <c r="M38" i="85"/>
  <c r="N38" i="85"/>
  <c r="O38" i="85"/>
  <c r="P38" i="85"/>
  <c r="R38" i="85"/>
  <c r="G39" i="85"/>
  <c r="H39" i="85"/>
  <c r="I39" i="85"/>
  <c r="J39" i="85"/>
  <c r="K39" i="85"/>
  <c r="L39" i="85"/>
  <c r="M39" i="85"/>
  <c r="N39" i="85"/>
  <c r="O39" i="85"/>
  <c r="P39" i="85"/>
  <c r="R39" i="85"/>
  <c r="G40" i="85"/>
  <c r="H40" i="85"/>
  <c r="I40" i="85"/>
  <c r="J40" i="85"/>
  <c r="K40" i="85"/>
  <c r="L40" i="85"/>
  <c r="M40" i="85"/>
  <c r="N40" i="85"/>
  <c r="O40" i="85"/>
  <c r="P40" i="85"/>
  <c r="R40" i="85"/>
  <c r="G41" i="85"/>
  <c r="H41" i="85"/>
  <c r="J41" i="85"/>
  <c r="K41" i="85"/>
  <c r="L41" i="85"/>
  <c r="N41" i="85"/>
  <c r="O41" i="85"/>
  <c r="P41" i="85"/>
  <c r="R41" i="85"/>
  <c r="G42" i="85"/>
  <c r="H42" i="85"/>
  <c r="I42" i="85"/>
  <c r="J42" i="85"/>
  <c r="K42" i="85"/>
  <c r="L42" i="85"/>
  <c r="M42" i="85"/>
  <c r="N42" i="85"/>
  <c r="O42" i="85"/>
  <c r="P42" i="85"/>
  <c r="R42" i="85"/>
  <c r="G43" i="85"/>
  <c r="H43" i="85"/>
  <c r="I43" i="85"/>
  <c r="J43" i="85"/>
  <c r="K43" i="85"/>
  <c r="L43" i="85"/>
  <c r="M43" i="85"/>
  <c r="N43" i="85"/>
  <c r="O43" i="85"/>
  <c r="P43" i="85"/>
  <c r="R43" i="85"/>
  <c r="G44" i="85"/>
  <c r="H44" i="85"/>
  <c r="I44" i="85"/>
  <c r="J44" i="85"/>
  <c r="K44" i="85"/>
  <c r="L44" i="85"/>
  <c r="M44" i="85"/>
  <c r="N44" i="85"/>
  <c r="O44" i="85"/>
  <c r="P44" i="85"/>
  <c r="R44" i="85"/>
  <c r="G45" i="85"/>
  <c r="H45" i="85"/>
  <c r="I45" i="85"/>
  <c r="J45" i="85"/>
  <c r="K45" i="85"/>
  <c r="L45" i="85"/>
  <c r="M45" i="85"/>
  <c r="N45" i="85"/>
  <c r="O45" i="85"/>
  <c r="P45" i="85"/>
  <c r="R45" i="85"/>
  <c r="G46" i="85"/>
  <c r="H46" i="85"/>
  <c r="I46" i="85"/>
  <c r="J46" i="85"/>
  <c r="K46" i="85"/>
  <c r="L46" i="85"/>
  <c r="M46" i="85"/>
  <c r="N46" i="85"/>
  <c r="O46" i="85"/>
  <c r="P46" i="85"/>
  <c r="R46" i="85"/>
  <c r="G47" i="85"/>
  <c r="H47" i="85"/>
  <c r="I47" i="85"/>
  <c r="J47" i="85"/>
  <c r="K47" i="85"/>
  <c r="L47" i="85"/>
  <c r="M47" i="85"/>
  <c r="N47" i="85"/>
  <c r="O47" i="85"/>
  <c r="P47" i="85"/>
  <c r="R47" i="85"/>
  <c r="G48" i="85"/>
  <c r="H48" i="85"/>
  <c r="I48" i="85"/>
  <c r="J48" i="85"/>
  <c r="K48" i="85"/>
  <c r="L48" i="85"/>
  <c r="M48" i="85"/>
  <c r="N48" i="85"/>
  <c r="O48" i="85"/>
  <c r="P48" i="85"/>
  <c r="R48" i="85"/>
  <c r="G49" i="85"/>
  <c r="H49" i="85"/>
  <c r="J49" i="85"/>
  <c r="K49" i="85"/>
  <c r="L49" i="85"/>
  <c r="N49" i="85"/>
  <c r="O49" i="85"/>
  <c r="P49" i="85"/>
  <c r="R49" i="85"/>
  <c r="G50" i="85"/>
  <c r="H50" i="85"/>
  <c r="I50" i="85"/>
  <c r="J50" i="85"/>
  <c r="K50" i="85"/>
  <c r="L50" i="85"/>
  <c r="M50" i="85"/>
  <c r="N50" i="85"/>
  <c r="O50" i="85"/>
  <c r="P50" i="85"/>
  <c r="R50" i="85"/>
  <c r="G51" i="85"/>
  <c r="H51" i="85"/>
  <c r="I51" i="85"/>
  <c r="J51" i="85"/>
  <c r="K51" i="85"/>
  <c r="L51" i="85"/>
  <c r="M51" i="85"/>
  <c r="N51" i="85"/>
  <c r="O51" i="85"/>
  <c r="P51" i="85"/>
  <c r="R51" i="85"/>
  <c r="G52" i="85"/>
  <c r="H52" i="85"/>
  <c r="I52" i="85"/>
  <c r="J52" i="85"/>
  <c r="K52" i="85"/>
  <c r="L52" i="85"/>
  <c r="M52" i="85"/>
  <c r="N52" i="85"/>
  <c r="O52" i="85"/>
  <c r="P52" i="85"/>
  <c r="R52" i="85"/>
  <c r="G53" i="85"/>
  <c r="H53" i="85"/>
  <c r="I53" i="85"/>
  <c r="J53" i="85"/>
  <c r="K53" i="85"/>
  <c r="L53" i="85"/>
  <c r="M53" i="85"/>
  <c r="N53" i="85"/>
  <c r="O53" i="85"/>
  <c r="P53" i="85"/>
  <c r="R53" i="85"/>
  <c r="G54" i="85"/>
  <c r="H54" i="85"/>
  <c r="J54" i="85"/>
  <c r="K54" i="85"/>
  <c r="L54" i="85"/>
  <c r="N54" i="85"/>
  <c r="O54" i="85"/>
  <c r="P54" i="85"/>
  <c r="R54" i="85"/>
  <c r="G55" i="85"/>
  <c r="H55" i="85"/>
  <c r="I55" i="85"/>
  <c r="J55" i="85"/>
  <c r="K55" i="85"/>
  <c r="L55" i="85"/>
  <c r="M55" i="85"/>
  <c r="N55" i="85"/>
  <c r="O55" i="85"/>
  <c r="P55" i="85"/>
  <c r="R55" i="85"/>
  <c r="G56" i="85"/>
  <c r="H56" i="85"/>
  <c r="I56" i="85"/>
  <c r="J56" i="85"/>
  <c r="K56" i="85"/>
  <c r="L56" i="85"/>
  <c r="M56" i="85"/>
  <c r="N56" i="85"/>
  <c r="O56" i="85"/>
  <c r="P56" i="85"/>
  <c r="R56" i="85"/>
  <c r="G57" i="85"/>
  <c r="H57" i="85"/>
  <c r="I57" i="85"/>
  <c r="J57" i="85"/>
  <c r="K57" i="85"/>
  <c r="L57" i="85"/>
  <c r="M57" i="85"/>
  <c r="N57" i="85"/>
  <c r="O57" i="85"/>
  <c r="P57" i="85"/>
  <c r="R57" i="85"/>
  <c r="G58" i="85"/>
  <c r="H58" i="85"/>
  <c r="I58" i="85"/>
  <c r="J58" i="85"/>
  <c r="K58" i="85"/>
  <c r="L58" i="85"/>
  <c r="M58" i="85"/>
  <c r="N58" i="85"/>
  <c r="O58" i="85"/>
  <c r="P58" i="85"/>
  <c r="R58" i="85"/>
  <c r="G59" i="85"/>
  <c r="H59" i="85"/>
  <c r="I59" i="85"/>
  <c r="J59" i="85"/>
  <c r="K59" i="85"/>
  <c r="L59" i="85"/>
  <c r="M59" i="85"/>
  <c r="N59" i="85"/>
  <c r="O59" i="85"/>
  <c r="P59" i="85"/>
  <c r="R59" i="85"/>
  <c r="G60" i="85"/>
  <c r="H60" i="85"/>
  <c r="I60" i="85"/>
  <c r="J60" i="85"/>
  <c r="K60" i="85"/>
  <c r="L60" i="85"/>
  <c r="M60" i="85"/>
  <c r="N60" i="85"/>
  <c r="O60" i="85"/>
  <c r="P60" i="85"/>
  <c r="R60" i="85"/>
  <c r="G61" i="85"/>
  <c r="H61" i="85"/>
  <c r="I61" i="85"/>
  <c r="J61" i="85"/>
  <c r="K61" i="85"/>
  <c r="L61" i="85"/>
  <c r="M61" i="85"/>
  <c r="N61" i="85"/>
  <c r="O61" i="85"/>
  <c r="P61" i="85"/>
  <c r="R61" i="85"/>
  <c r="G62" i="85"/>
  <c r="H62" i="85"/>
  <c r="I62" i="85"/>
  <c r="J62" i="85"/>
  <c r="K62" i="85"/>
  <c r="L62" i="85"/>
  <c r="M62" i="85"/>
  <c r="N62" i="85"/>
  <c r="O62" i="85"/>
  <c r="P62" i="85"/>
  <c r="R62" i="85"/>
  <c r="G63" i="85"/>
  <c r="H63" i="85"/>
  <c r="I63" i="85"/>
  <c r="J63" i="85"/>
  <c r="K63" i="85"/>
  <c r="L63" i="85"/>
  <c r="M63" i="85"/>
  <c r="N63" i="85"/>
  <c r="O63" i="85"/>
  <c r="P63" i="85"/>
  <c r="R63" i="85"/>
  <c r="G64" i="85"/>
  <c r="H64" i="85"/>
  <c r="I64" i="85"/>
  <c r="J64" i="85"/>
  <c r="K64" i="85"/>
  <c r="L64" i="85"/>
  <c r="M64" i="85"/>
  <c r="N64" i="85"/>
  <c r="O64" i="85"/>
  <c r="P64" i="85"/>
  <c r="R64" i="85"/>
  <c r="G65" i="85"/>
  <c r="H65" i="85"/>
  <c r="J65" i="85"/>
  <c r="K65" i="85"/>
  <c r="L65" i="85"/>
  <c r="N65" i="85"/>
  <c r="O65" i="85"/>
  <c r="P65" i="85"/>
  <c r="R65" i="85"/>
  <c r="G66" i="85"/>
  <c r="H66" i="85"/>
  <c r="I66" i="85"/>
  <c r="J66" i="85"/>
  <c r="K66" i="85"/>
  <c r="L66" i="85"/>
  <c r="M66" i="85"/>
  <c r="N66" i="85"/>
  <c r="O66" i="85"/>
  <c r="P66" i="85"/>
  <c r="R66" i="85"/>
  <c r="G67" i="85"/>
  <c r="H67" i="85"/>
  <c r="I67" i="85"/>
  <c r="J67" i="85"/>
  <c r="K67" i="85"/>
  <c r="L67" i="85"/>
  <c r="M67" i="85"/>
  <c r="N67" i="85"/>
  <c r="O67" i="85"/>
  <c r="P67" i="85"/>
  <c r="R67" i="85"/>
  <c r="G68" i="85"/>
  <c r="H68" i="85"/>
  <c r="I68" i="85"/>
  <c r="J68" i="85"/>
  <c r="K68" i="85"/>
  <c r="L68" i="85"/>
  <c r="M68" i="85"/>
  <c r="N68" i="85"/>
  <c r="O68" i="85"/>
  <c r="P68" i="85"/>
  <c r="R68" i="85"/>
  <c r="G69" i="85"/>
  <c r="H69" i="85"/>
  <c r="I69" i="85"/>
  <c r="J69" i="85"/>
  <c r="K69" i="85"/>
  <c r="L69" i="85"/>
  <c r="M69" i="85"/>
  <c r="N69" i="85"/>
  <c r="O69" i="85"/>
  <c r="P69" i="85"/>
  <c r="R69" i="85"/>
  <c r="G70" i="85"/>
  <c r="H70" i="85"/>
  <c r="I70" i="85"/>
  <c r="J70" i="85"/>
  <c r="K70" i="85"/>
  <c r="L70" i="85"/>
  <c r="M70" i="85"/>
  <c r="N70" i="85"/>
  <c r="O70" i="85"/>
  <c r="P70" i="85"/>
  <c r="R70" i="85"/>
  <c r="G71" i="85"/>
  <c r="H71" i="85"/>
  <c r="I71" i="85"/>
  <c r="J71" i="85"/>
  <c r="K71" i="85"/>
  <c r="L71" i="85"/>
  <c r="M71" i="85"/>
  <c r="N71" i="85"/>
  <c r="O71" i="85"/>
  <c r="P71" i="85"/>
  <c r="R71" i="85"/>
  <c r="G72" i="85"/>
  <c r="H72" i="85"/>
  <c r="I72" i="85"/>
  <c r="J72" i="85"/>
  <c r="K72" i="85"/>
  <c r="L72" i="85"/>
  <c r="M72" i="85"/>
  <c r="N72" i="85"/>
  <c r="O72" i="85"/>
  <c r="P72" i="85"/>
  <c r="R72" i="85"/>
  <c r="G73" i="85"/>
  <c r="H73" i="85"/>
  <c r="J73" i="85"/>
  <c r="K73" i="85"/>
  <c r="L73" i="85"/>
  <c r="N73" i="85"/>
  <c r="O73" i="85"/>
  <c r="P73" i="85"/>
  <c r="R73" i="85"/>
  <c r="G74" i="85"/>
  <c r="H74" i="85"/>
  <c r="I74" i="85"/>
  <c r="J74" i="85"/>
  <c r="K74" i="85"/>
  <c r="L74" i="85"/>
  <c r="M74" i="85"/>
  <c r="N74" i="85"/>
  <c r="O74" i="85"/>
  <c r="P74" i="85"/>
  <c r="R74" i="85"/>
  <c r="G75" i="85"/>
  <c r="H75" i="85"/>
  <c r="I75" i="85"/>
  <c r="J75" i="85"/>
  <c r="K75" i="85"/>
  <c r="L75" i="85"/>
  <c r="M75" i="85"/>
  <c r="N75" i="85"/>
  <c r="O75" i="85"/>
  <c r="P75" i="85"/>
  <c r="R75" i="85"/>
  <c r="G76" i="85"/>
  <c r="H76" i="85"/>
  <c r="I76" i="85"/>
  <c r="J76" i="85"/>
  <c r="K76" i="85"/>
  <c r="L76" i="85"/>
  <c r="M76" i="85"/>
  <c r="N76" i="85"/>
  <c r="O76" i="85"/>
  <c r="P76" i="85"/>
  <c r="R76" i="85"/>
  <c r="G77" i="85"/>
  <c r="H77" i="85"/>
  <c r="I77" i="85"/>
  <c r="J77" i="85"/>
  <c r="K77" i="85"/>
  <c r="L77" i="85"/>
  <c r="M77" i="85"/>
  <c r="N77" i="85"/>
  <c r="O77" i="85"/>
  <c r="P77" i="85"/>
  <c r="R77" i="85"/>
  <c r="G78" i="85"/>
  <c r="H78" i="85"/>
  <c r="I78" i="85"/>
  <c r="J78" i="85"/>
  <c r="K78" i="85"/>
  <c r="L78" i="85"/>
  <c r="M78" i="85"/>
  <c r="N78" i="85"/>
  <c r="O78" i="85"/>
  <c r="P78" i="85"/>
  <c r="R78" i="85"/>
  <c r="G79" i="85"/>
  <c r="H79" i="85"/>
  <c r="I79" i="85"/>
  <c r="J79" i="85"/>
  <c r="K79" i="85"/>
  <c r="L79" i="85"/>
  <c r="M79" i="85"/>
  <c r="N79" i="85"/>
  <c r="O79" i="85"/>
  <c r="P79" i="85"/>
  <c r="R79" i="85"/>
  <c r="G80" i="85"/>
  <c r="H80" i="85"/>
  <c r="I80" i="85"/>
  <c r="J80" i="85"/>
  <c r="K80" i="85"/>
  <c r="L80" i="85"/>
  <c r="M80" i="85"/>
  <c r="N80" i="85"/>
  <c r="O80" i="85"/>
  <c r="P80" i="85"/>
  <c r="R80" i="85"/>
  <c r="G81" i="85"/>
  <c r="H81" i="85"/>
  <c r="I81" i="85"/>
  <c r="J81" i="85"/>
  <c r="K81" i="85"/>
  <c r="L81" i="85"/>
  <c r="M81" i="85"/>
  <c r="N81" i="85"/>
  <c r="O81" i="85"/>
  <c r="P81" i="85"/>
  <c r="R81" i="85"/>
  <c r="G82" i="85"/>
  <c r="H82" i="85"/>
  <c r="J82" i="85"/>
  <c r="K82" i="85"/>
  <c r="L82" i="85"/>
  <c r="N82" i="85"/>
  <c r="O82" i="85"/>
  <c r="P82" i="85"/>
  <c r="R82" i="85"/>
  <c r="G83" i="85"/>
  <c r="H83" i="85"/>
  <c r="I83" i="85"/>
  <c r="J83" i="85"/>
  <c r="K83" i="85"/>
  <c r="L83" i="85"/>
  <c r="M83" i="85"/>
  <c r="N83" i="85"/>
  <c r="O83" i="85"/>
  <c r="P83" i="85"/>
  <c r="R83" i="85"/>
  <c r="G84" i="85"/>
  <c r="H84" i="85"/>
  <c r="I84" i="85"/>
  <c r="J84" i="85"/>
  <c r="K84" i="85"/>
  <c r="L84" i="85"/>
  <c r="M84" i="85"/>
  <c r="N84" i="85"/>
  <c r="O84" i="85"/>
  <c r="P84" i="85"/>
  <c r="R84" i="85"/>
  <c r="G85" i="85"/>
  <c r="H85" i="85"/>
  <c r="J85" i="85"/>
  <c r="K85" i="85"/>
  <c r="L85" i="85"/>
  <c r="N85" i="85"/>
  <c r="O85" i="85"/>
  <c r="P85" i="85"/>
  <c r="R85" i="85"/>
  <c r="G86" i="85"/>
  <c r="H86" i="85"/>
  <c r="I86" i="85"/>
  <c r="J86" i="85"/>
  <c r="K86" i="85"/>
  <c r="L86" i="85"/>
  <c r="M86" i="85"/>
  <c r="N86" i="85"/>
  <c r="O86" i="85"/>
  <c r="P86" i="85"/>
  <c r="R86" i="85"/>
  <c r="G87" i="85"/>
  <c r="H87" i="85"/>
  <c r="I87" i="85"/>
  <c r="J87" i="85"/>
  <c r="K87" i="85"/>
  <c r="L87" i="85"/>
  <c r="M87" i="85"/>
  <c r="N87" i="85"/>
  <c r="O87" i="85"/>
  <c r="P87" i="85"/>
  <c r="R87" i="85"/>
  <c r="G88" i="85"/>
  <c r="H88" i="85"/>
  <c r="I88" i="85"/>
  <c r="J88" i="85"/>
  <c r="K88" i="85"/>
  <c r="L88" i="85"/>
  <c r="M88" i="85"/>
  <c r="N88" i="85"/>
  <c r="O88" i="85"/>
  <c r="P88" i="85"/>
  <c r="R88" i="85"/>
  <c r="G89" i="85"/>
  <c r="H89" i="85"/>
  <c r="I89" i="85"/>
  <c r="J89" i="85"/>
  <c r="K89" i="85"/>
  <c r="L89" i="85"/>
  <c r="M89" i="85"/>
  <c r="N89" i="85"/>
  <c r="O89" i="85"/>
  <c r="P89" i="85"/>
  <c r="R89" i="85"/>
  <c r="G90" i="85"/>
  <c r="H90" i="85"/>
  <c r="I90" i="85"/>
  <c r="J90" i="85"/>
  <c r="K90" i="85"/>
  <c r="L90" i="85"/>
  <c r="M90" i="85"/>
  <c r="N90" i="85"/>
  <c r="O90" i="85"/>
  <c r="P90" i="85"/>
  <c r="R90" i="85"/>
  <c r="G91" i="85"/>
  <c r="H91" i="85"/>
  <c r="I91" i="85"/>
  <c r="J91" i="85"/>
  <c r="K91" i="85"/>
  <c r="L91" i="85"/>
  <c r="M91" i="85"/>
  <c r="N91" i="85"/>
  <c r="O91" i="85"/>
  <c r="P91" i="85"/>
  <c r="R91" i="85"/>
  <c r="G92" i="85"/>
  <c r="H92" i="85"/>
  <c r="I92" i="85"/>
  <c r="J92" i="85"/>
  <c r="K92" i="85"/>
  <c r="L92" i="85"/>
  <c r="M92" i="85"/>
  <c r="N92" i="85"/>
  <c r="O92" i="85"/>
  <c r="P92" i="85"/>
  <c r="R92" i="85"/>
  <c r="G93" i="85"/>
  <c r="H93" i="85"/>
  <c r="I93" i="85"/>
  <c r="J93" i="85"/>
  <c r="K93" i="85"/>
  <c r="L93" i="85"/>
  <c r="M93" i="85"/>
  <c r="N93" i="85"/>
  <c r="O93" i="85"/>
  <c r="P93" i="85"/>
  <c r="R93" i="85"/>
  <c r="G94" i="85"/>
  <c r="H94" i="85"/>
  <c r="J94" i="85"/>
  <c r="K94" i="85"/>
  <c r="L94" i="85"/>
  <c r="N94" i="85"/>
  <c r="O94" i="85"/>
  <c r="P94" i="85"/>
  <c r="R94" i="85"/>
  <c r="G95" i="85"/>
  <c r="H95" i="85"/>
  <c r="I95" i="85"/>
  <c r="J95" i="85"/>
  <c r="K95" i="85"/>
  <c r="L95" i="85"/>
  <c r="M95" i="85"/>
  <c r="N95" i="85"/>
  <c r="O95" i="85"/>
  <c r="P95" i="85"/>
  <c r="R95" i="85"/>
  <c r="G96" i="85"/>
  <c r="H96" i="85"/>
  <c r="I96" i="85"/>
  <c r="J96" i="85"/>
  <c r="K96" i="85"/>
  <c r="L96" i="85"/>
  <c r="M96" i="85"/>
  <c r="N96" i="85"/>
  <c r="O96" i="85"/>
  <c r="P96" i="85"/>
  <c r="R96" i="85"/>
  <c r="G97" i="85"/>
  <c r="H97" i="85"/>
  <c r="I97" i="85"/>
  <c r="J97" i="85"/>
  <c r="K97" i="85"/>
  <c r="L97" i="85"/>
  <c r="M97" i="85"/>
  <c r="N97" i="85"/>
  <c r="O97" i="85"/>
  <c r="P97" i="85"/>
  <c r="R97" i="85"/>
  <c r="G98" i="85"/>
  <c r="H98" i="85"/>
  <c r="I98" i="85"/>
  <c r="J98" i="85"/>
  <c r="K98" i="85"/>
  <c r="L98" i="85"/>
  <c r="M98" i="85"/>
  <c r="N98" i="85"/>
  <c r="O98" i="85"/>
  <c r="P98" i="85"/>
  <c r="R98" i="85"/>
  <c r="G99" i="85"/>
  <c r="H99" i="85"/>
  <c r="I99" i="85"/>
  <c r="J99" i="85"/>
  <c r="K99" i="85"/>
  <c r="L99" i="85"/>
  <c r="M99" i="85"/>
  <c r="N99" i="85"/>
  <c r="O99" i="85"/>
  <c r="P99" i="85"/>
  <c r="R99" i="85"/>
  <c r="G100" i="85"/>
  <c r="H100" i="85"/>
  <c r="I100" i="85"/>
  <c r="J100" i="85"/>
  <c r="K100" i="85"/>
  <c r="L100" i="85"/>
  <c r="M100" i="85"/>
  <c r="N100" i="85"/>
  <c r="O100" i="85"/>
  <c r="P100" i="85"/>
  <c r="R100" i="85"/>
  <c r="G101" i="85"/>
  <c r="H101" i="85"/>
  <c r="I101" i="85"/>
  <c r="J101" i="85"/>
  <c r="K101" i="85"/>
  <c r="L101" i="85"/>
  <c r="M101" i="85"/>
  <c r="N101" i="85"/>
  <c r="O101" i="85"/>
  <c r="P101" i="85"/>
  <c r="R101" i="85"/>
  <c r="G102" i="85"/>
  <c r="H102" i="85"/>
  <c r="I102" i="85"/>
  <c r="J102" i="85"/>
  <c r="K102" i="85"/>
  <c r="L102" i="85"/>
  <c r="M102" i="85"/>
  <c r="N102" i="85"/>
  <c r="O102" i="85"/>
  <c r="P102" i="85"/>
  <c r="R102" i="85"/>
  <c r="G103" i="85"/>
  <c r="H103" i="85"/>
  <c r="J103" i="85"/>
  <c r="K103" i="85"/>
  <c r="L103" i="85"/>
  <c r="N103" i="85"/>
  <c r="O103" i="85"/>
  <c r="P103" i="85"/>
  <c r="R103" i="85"/>
  <c r="G104" i="85"/>
  <c r="H104" i="85"/>
  <c r="I104" i="85"/>
  <c r="J104" i="85"/>
  <c r="K104" i="85"/>
  <c r="L104" i="85"/>
  <c r="M104" i="85"/>
  <c r="N104" i="85"/>
  <c r="O104" i="85"/>
  <c r="P104" i="85"/>
  <c r="R104" i="85"/>
  <c r="G105" i="85"/>
  <c r="H105" i="85"/>
  <c r="I105" i="85"/>
  <c r="J105" i="85"/>
  <c r="K105" i="85"/>
  <c r="L105" i="85"/>
  <c r="M105" i="85"/>
  <c r="N105" i="85"/>
  <c r="O105" i="85"/>
  <c r="P105" i="85"/>
  <c r="R105" i="85"/>
  <c r="G106" i="85"/>
  <c r="H106" i="85"/>
  <c r="I106" i="85"/>
  <c r="J106" i="85"/>
  <c r="K106" i="85"/>
  <c r="L106" i="85"/>
  <c r="M106" i="85"/>
  <c r="N106" i="85"/>
  <c r="O106" i="85"/>
  <c r="P106" i="85"/>
  <c r="R106" i="85"/>
  <c r="G107" i="85"/>
  <c r="H107" i="85"/>
  <c r="I107" i="85"/>
  <c r="J107" i="85"/>
  <c r="K107" i="85"/>
  <c r="L107" i="85"/>
  <c r="M107" i="85"/>
  <c r="N107" i="85"/>
  <c r="O107" i="85"/>
  <c r="P107" i="85"/>
  <c r="R107" i="85"/>
  <c r="G108" i="85"/>
  <c r="H108" i="85"/>
  <c r="I108" i="85"/>
  <c r="J108" i="85"/>
  <c r="K108" i="85"/>
  <c r="L108" i="85"/>
  <c r="M108" i="85"/>
  <c r="N108" i="85"/>
  <c r="O108" i="85"/>
  <c r="P108" i="85"/>
  <c r="R108" i="85"/>
  <c r="G109" i="85"/>
  <c r="H109" i="85"/>
  <c r="I109" i="85"/>
  <c r="J109" i="85"/>
  <c r="K109" i="85"/>
  <c r="L109" i="85"/>
  <c r="M109" i="85"/>
  <c r="N109" i="85"/>
  <c r="O109" i="85"/>
  <c r="P109" i="85"/>
  <c r="R109" i="85"/>
  <c r="G110" i="85"/>
  <c r="H110" i="85"/>
  <c r="I110" i="85"/>
  <c r="J110" i="85"/>
  <c r="K110" i="85"/>
  <c r="L110" i="85"/>
  <c r="M110" i="85"/>
  <c r="N110" i="85"/>
  <c r="O110" i="85"/>
  <c r="P110" i="85"/>
  <c r="R110" i="85"/>
  <c r="G111" i="85"/>
  <c r="H111" i="85"/>
  <c r="I111" i="85"/>
  <c r="J111" i="85"/>
  <c r="K111" i="85"/>
  <c r="L111" i="85"/>
  <c r="M111" i="85"/>
  <c r="N111" i="85"/>
  <c r="O111" i="85"/>
  <c r="P111" i="85"/>
  <c r="R111" i="85"/>
  <c r="G112" i="85"/>
  <c r="H112" i="85"/>
  <c r="J112" i="85"/>
  <c r="K112" i="85"/>
  <c r="L112" i="85"/>
  <c r="N112" i="85"/>
  <c r="O112" i="85"/>
  <c r="P112" i="85"/>
  <c r="R112" i="85"/>
  <c r="G113" i="85"/>
  <c r="H113" i="85"/>
  <c r="I113" i="85"/>
  <c r="J113" i="85"/>
  <c r="K113" i="85"/>
  <c r="L113" i="85"/>
  <c r="M113" i="85"/>
  <c r="N113" i="85"/>
  <c r="O113" i="85"/>
  <c r="P113" i="85"/>
  <c r="R113" i="85"/>
  <c r="G114" i="85"/>
  <c r="H114" i="85"/>
  <c r="I114" i="85"/>
  <c r="J114" i="85"/>
  <c r="K114" i="85"/>
  <c r="L114" i="85"/>
  <c r="M114" i="85"/>
  <c r="N114" i="85"/>
  <c r="O114" i="85"/>
  <c r="P114" i="85"/>
  <c r="R114" i="85"/>
  <c r="G115" i="85"/>
  <c r="H115" i="85"/>
  <c r="I115" i="85"/>
  <c r="J115" i="85"/>
  <c r="K115" i="85"/>
  <c r="L115" i="85"/>
  <c r="M115" i="85"/>
  <c r="N115" i="85"/>
  <c r="O115" i="85"/>
  <c r="P115" i="85"/>
  <c r="R115" i="85"/>
  <c r="G116" i="85"/>
  <c r="H116" i="85"/>
  <c r="I116" i="85"/>
  <c r="J116" i="85"/>
  <c r="K116" i="85"/>
  <c r="L116" i="85"/>
  <c r="M116" i="85"/>
  <c r="N116" i="85"/>
  <c r="O116" i="85"/>
  <c r="P116" i="85"/>
  <c r="R116" i="85"/>
  <c r="G117" i="85"/>
  <c r="H117" i="85"/>
  <c r="J117" i="85"/>
  <c r="K117" i="85"/>
  <c r="L117" i="85"/>
  <c r="N117" i="85"/>
  <c r="O117" i="85"/>
  <c r="P117" i="85"/>
  <c r="R117" i="85"/>
  <c r="G118" i="85"/>
  <c r="H118" i="85"/>
  <c r="I118" i="85"/>
  <c r="J118" i="85"/>
  <c r="K118" i="85"/>
  <c r="L118" i="85"/>
  <c r="M118" i="85"/>
  <c r="N118" i="85"/>
  <c r="O118" i="85"/>
  <c r="P118" i="85"/>
  <c r="R118" i="85"/>
  <c r="G119" i="85"/>
  <c r="H119" i="85"/>
  <c r="I119" i="85"/>
  <c r="J119" i="85"/>
  <c r="K119" i="85"/>
  <c r="L119" i="85"/>
  <c r="M119" i="85"/>
  <c r="N119" i="85"/>
  <c r="O119" i="85"/>
  <c r="P119" i="85"/>
  <c r="R119" i="85"/>
  <c r="G120" i="85"/>
  <c r="H120" i="85"/>
  <c r="I120" i="85"/>
  <c r="J120" i="85"/>
  <c r="K120" i="85"/>
  <c r="L120" i="85"/>
  <c r="M120" i="85"/>
  <c r="N120" i="85"/>
  <c r="O120" i="85"/>
  <c r="P120" i="85"/>
  <c r="R120" i="85"/>
  <c r="G121" i="85"/>
  <c r="H121" i="85"/>
  <c r="I121" i="85"/>
  <c r="J121" i="85"/>
  <c r="K121" i="85"/>
  <c r="L121" i="85"/>
  <c r="M121" i="85"/>
  <c r="N121" i="85"/>
  <c r="O121" i="85"/>
  <c r="P121" i="85"/>
  <c r="R121" i="85"/>
  <c r="G122" i="85"/>
  <c r="H122" i="85"/>
  <c r="I122" i="85"/>
  <c r="J122" i="85"/>
  <c r="K122" i="85"/>
  <c r="L122" i="85"/>
  <c r="M122" i="85"/>
  <c r="N122" i="85"/>
  <c r="O122" i="85"/>
  <c r="P122" i="85"/>
  <c r="R122" i="85"/>
  <c r="G123" i="85"/>
  <c r="H123" i="85"/>
  <c r="J123" i="85"/>
  <c r="K123" i="85"/>
  <c r="L123" i="85"/>
  <c r="N123" i="85"/>
  <c r="O123" i="85"/>
  <c r="P123" i="85"/>
  <c r="R123" i="85"/>
  <c r="G124" i="85"/>
  <c r="H124" i="85"/>
  <c r="I124" i="85"/>
  <c r="J124" i="85"/>
  <c r="K124" i="85"/>
  <c r="L124" i="85"/>
  <c r="M124" i="85"/>
  <c r="N124" i="85"/>
  <c r="O124" i="85"/>
  <c r="P124" i="85"/>
  <c r="R124" i="85"/>
  <c r="G125" i="85"/>
  <c r="H125" i="85"/>
  <c r="I125" i="85"/>
  <c r="J125" i="85"/>
  <c r="K125" i="85"/>
  <c r="L125" i="85"/>
  <c r="M125" i="85"/>
  <c r="N125" i="85"/>
  <c r="O125" i="85"/>
  <c r="P125" i="85"/>
  <c r="R125" i="85"/>
  <c r="G126" i="85"/>
  <c r="H126" i="85"/>
  <c r="I126" i="85"/>
  <c r="J126" i="85"/>
  <c r="K126" i="85"/>
  <c r="L126" i="85"/>
  <c r="M126" i="85"/>
  <c r="N126" i="85"/>
  <c r="O126" i="85"/>
  <c r="P126" i="85"/>
  <c r="R126" i="85"/>
  <c r="H12" i="86"/>
  <c r="M12" i="86"/>
  <c r="R12" i="86"/>
  <c r="H13" i="86"/>
  <c r="M13" i="86"/>
  <c r="R13" i="86"/>
  <c r="H14" i="86"/>
  <c r="M14" i="86"/>
  <c r="R14" i="86"/>
  <c r="H15" i="86"/>
  <c r="M15" i="86"/>
  <c r="R15" i="86"/>
  <c r="H16" i="86"/>
  <c r="M16" i="86"/>
  <c r="R16" i="86"/>
  <c r="H17" i="86"/>
  <c r="M17" i="86"/>
  <c r="R17" i="86"/>
  <c r="H18" i="86"/>
  <c r="M18" i="86"/>
  <c r="R18" i="86"/>
  <c r="H19" i="86"/>
  <c r="M19" i="86"/>
  <c r="R19" i="86"/>
  <c r="H20" i="86"/>
  <c r="M20" i="86"/>
  <c r="R20" i="86"/>
  <c r="H21" i="86"/>
  <c r="M21" i="86"/>
  <c r="R21" i="86"/>
  <c r="H22" i="86"/>
  <c r="M22" i="86"/>
  <c r="R22" i="86"/>
  <c r="H23" i="86"/>
  <c r="M23" i="86"/>
  <c r="R23" i="86"/>
  <c r="H24" i="86"/>
  <c r="M24" i="86"/>
  <c r="R24" i="86"/>
  <c r="H25" i="86"/>
  <c r="M25" i="86"/>
  <c r="R25" i="86"/>
  <c r="H26" i="86"/>
  <c r="M26" i="86"/>
  <c r="R26" i="86"/>
  <c r="H27" i="86"/>
  <c r="M27" i="86"/>
  <c r="R27" i="86"/>
  <c r="H28" i="86"/>
  <c r="M28" i="86"/>
  <c r="R28" i="86"/>
  <c r="H29" i="86"/>
  <c r="M29" i="86"/>
  <c r="R29" i="86"/>
  <c r="H30" i="86"/>
  <c r="M30" i="86"/>
  <c r="R30" i="86"/>
  <c r="H31" i="86"/>
  <c r="M31" i="86"/>
  <c r="R31" i="86"/>
  <c r="H32" i="86"/>
  <c r="M32" i="86"/>
  <c r="R32" i="86"/>
  <c r="H33" i="86"/>
  <c r="M33" i="86"/>
  <c r="R33" i="86"/>
  <c r="H34" i="86"/>
  <c r="M34" i="86"/>
  <c r="R34" i="86"/>
  <c r="H35" i="86"/>
  <c r="M35" i="86"/>
  <c r="R35" i="86"/>
  <c r="H36" i="86"/>
  <c r="M36" i="86"/>
  <c r="R36" i="86"/>
  <c r="H37" i="86"/>
  <c r="M37" i="86"/>
  <c r="R37" i="86"/>
  <c r="H38" i="86"/>
  <c r="M38" i="86"/>
  <c r="R38" i="86"/>
  <c r="H39" i="86"/>
  <c r="M39" i="86"/>
  <c r="R39" i="86"/>
  <c r="H40" i="86"/>
  <c r="M40" i="86"/>
  <c r="R40" i="86"/>
  <c r="H41" i="86"/>
  <c r="M41" i="86"/>
  <c r="R41" i="86"/>
  <c r="H42" i="86"/>
  <c r="M42" i="86"/>
  <c r="R42" i="86"/>
  <c r="H43" i="86"/>
  <c r="M43" i="86"/>
  <c r="R43" i="86"/>
  <c r="H44" i="86"/>
  <c r="M44" i="86"/>
  <c r="R44" i="86"/>
  <c r="H45" i="86"/>
  <c r="M45" i="86"/>
  <c r="R45" i="86"/>
  <c r="H46" i="86"/>
  <c r="M46" i="86"/>
  <c r="R46" i="86"/>
  <c r="H47" i="86"/>
  <c r="M47" i="86"/>
  <c r="R47" i="86"/>
  <c r="H48" i="86"/>
  <c r="M48" i="86"/>
  <c r="R48" i="86"/>
  <c r="H49" i="86"/>
  <c r="M49" i="86"/>
  <c r="R49" i="86"/>
  <c r="H50" i="86"/>
  <c r="M50" i="86"/>
  <c r="R50" i="86"/>
  <c r="H51" i="86"/>
  <c r="M51" i="86"/>
  <c r="R51" i="86"/>
  <c r="H52" i="86"/>
  <c r="M52" i="86"/>
  <c r="R52" i="86"/>
  <c r="H53" i="86"/>
  <c r="M53" i="86"/>
  <c r="R53" i="86"/>
  <c r="H54" i="86"/>
  <c r="M54" i="86"/>
  <c r="R54" i="86"/>
  <c r="H55" i="86"/>
  <c r="M55" i="86"/>
  <c r="R55" i="86"/>
  <c r="H56" i="86"/>
  <c r="M56" i="86"/>
  <c r="R56" i="86"/>
  <c r="H57" i="86"/>
  <c r="M57" i="86"/>
  <c r="R57" i="86"/>
  <c r="H58" i="86"/>
  <c r="M58" i="86"/>
  <c r="R58" i="86"/>
  <c r="H59" i="86"/>
  <c r="M59" i="86"/>
  <c r="R59" i="86"/>
  <c r="H60" i="86"/>
  <c r="M60" i="86"/>
  <c r="R60" i="86"/>
  <c r="H61" i="86"/>
  <c r="M61" i="86"/>
  <c r="R61" i="86"/>
  <c r="H62" i="86"/>
  <c r="M62" i="86"/>
  <c r="R62" i="86"/>
  <c r="H63" i="86"/>
  <c r="M63" i="86"/>
  <c r="R63" i="86"/>
  <c r="H64" i="86"/>
  <c r="M64" i="86"/>
  <c r="R64" i="86"/>
  <c r="H65" i="86"/>
  <c r="M65" i="86"/>
  <c r="R65" i="86"/>
  <c r="H66" i="86"/>
  <c r="M66" i="86"/>
  <c r="R66" i="86"/>
  <c r="H67" i="86"/>
  <c r="M67" i="86"/>
  <c r="R67" i="86"/>
  <c r="H68" i="86"/>
  <c r="M68" i="86"/>
  <c r="R68" i="86"/>
  <c r="H69" i="86"/>
  <c r="M69" i="86"/>
  <c r="R69" i="86"/>
  <c r="H70" i="86"/>
  <c r="M70" i="86"/>
  <c r="R70" i="86"/>
  <c r="H71" i="86"/>
  <c r="M71" i="86"/>
  <c r="R71" i="86"/>
  <c r="H72" i="86"/>
  <c r="M72" i="86"/>
  <c r="R72" i="86"/>
  <c r="H73" i="86"/>
  <c r="M73" i="86"/>
  <c r="R73" i="86"/>
  <c r="H74" i="86"/>
  <c r="M74" i="86"/>
  <c r="R74" i="86"/>
  <c r="H75" i="86"/>
  <c r="M75" i="86"/>
  <c r="R75" i="86"/>
  <c r="H76" i="86"/>
  <c r="M76" i="86"/>
  <c r="R76" i="86"/>
  <c r="H77" i="86"/>
  <c r="M77" i="86"/>
  <c r="R77" i="86"/>
  <c r="H78" i="86"/>
  <c r="M78" i="86"/>
  <c r="R78" i="86"/>
  <c r="H79" i="86"/>
  <c r="M79" i="86"/>
  <c r="R79" i="86"/>
  <c r="H80" i="86"/>
  <c r="M80" i="86"/>
  <c r="R80" i="86"/>
  <c r="H81" i="86"/>
  <c r="M81" i="86"/>
  <c r="R81" i="86"/>
  <c r="H82" i="86"/>
  <c r="M82" i="86"/>
  <c r="R82" i="86"/>
  <c r="H83" i="86"/>
  <c r="M83" i="86"/>
  <c r="R83" i="86"/>
  <c r="H84" i="86"/>
  <c r="M84" i="86"/>
  <c r="R84" i="86"/>
  <c r="H85" i="86"/>
  <c r="M85" i="86"/>
  <c r="R85" i="86"/>
  <c r="H86" i="86"/>
  <c r="M86" i="86"/>
  <c r="R86" i="86"/>
  <c r="H87" i="86"/>
  <c r="M87" i="86"/>
  <c r="R87" i="86"/>
  <c r="H88" i="86"/>
  <c r="M88" i="86"/>
  <c r="R88" i="86"/>
  <c r="H89" i="86"/>
  <c r="M89" i="86"/>
  <c r="R89" i="86"/>
  <c r="H90" i="86"/>
  <c r="M90" i="86"/>
  <c r="R90" i="86"/>
  <c r="H91" i="86"/>
  <c r="M91" i="86"/>
  <c r="R91" i="86"/>
  <c r="H92" i="86"/>
  <c r="M92" i="86"/>
  <c r="R92" i="86"/>
  <c r="H93" i="86"/>
  <c r="M93" i="86"/>
  <c r="R93" i="86"/>
  <c r="H94" i="86"/>
  <c r="M94" i="86"/>
  <c r="R94" i="86"/>
  <c r="H95" i="86"/>
  <c r="M95" i="86"/>
  <c r="R95" i="86"/>
  <c r="H96" i="86"/>
  <c r="M96" i="86"/>
  <c r="R96" i="86"/>
  <c r="H97" i="86"/>
  <c r="M97" i="86"/>
  <c r="R97" i="86"/>
  <c r="H98" i="86"/>
  <c r="M98" i="86"/>
  <c r="R98" i="86"/>
  <c r="H99" i="86"/>
  <c r="M99" i="86"/>
  <c r="R99" i="86"/>
  <c r="H100" i="86"/>
  <c r="M100" i="86"/>
  <c r="R100" i="86"/>
  <c r="H101" i="86"/>
  <c r="M101" i="86"/>
  <c r="R101" i="86"/>
  <c r="H102" i="86"/>
  <c r="M102" i="86"/>
  <c r="R102" i="86"/>
  <c r="H103" i="86"/>
  <c r="M103" i="86"/>
  <c r="R103" i="86"/>
  <c r="H104" i="86"/>
  <c r="M104" i="86"/>
  <c r="R104" i="86"/>
  <c r="H105" i="86"/>
  <c r="M105" i="86"/>
  <c r="R105" i="86"/>
  <c r="H106" i="86"/>
  <c r="M106" i="86"/>
  <c r="R106" i="86"/>
  <c r="H107" i="86"/>
  <c r="M107" i="86"/>
  <c r="R107" i="86"/>
  <c r="H108" i="86"/>
  <c r="M108" i="86"/>
  <c r="R108" i="86"/>
  <c r="H109" i="86"/>
  <c r="M109" i="86"/>
  <c r="R109" i="86"/>
  <c r="H110" i="86"/>
  <c r="M110" i="86"/>
  <c r="R110" i="86"/>
  <c r="H111" i="86"/>
  <c r="M111" i="86"/>
  <c r="R111" i="86"/>
  <c r="H112" i="86"/>
  <c r="M112" i="86"/>
  <c r="R112" i="86"/>
  <c r="H113" i="86"/>
  <c r="M113" i="86"/>
  <c r="R113" i="86"/>
  <c r="H114" i="86"/>
  <c r="M114" i="86"/>
  <c r="R114" i="86"/>
  <c r="H115" i="86"/>
  <c r="M115" i="86"/>
  <c r="R115" i="86"/>
  <c r="H116" i="86"/>
  <c r="M116" i="86"/>
  <c r="R116" i="86"/>
  <c r="H117" i="86"/>
  <c r="M117" i="86"/>
  <c r="R117" i="86"/>
  <c r="H118" i="86"/>
  <c r="M118" i="86"/>
  <c r="R118" i="86"/>
  <c r="H119" i="86"/>
  <c r="M119" i="86"/>
  <c r="R119" i="86"/>
  <c r="H120" i="86"/>
  <c r="M120" i="86"/>
  <c r="R120" i="86"/>
  <c r="H121" i="86"/>
  <c r="M121" i="86"/>
  <c r="R121" i="86"/>
  <c r="H122" i="86"/>
  <c r="M122" i="86"/>
  <c r="R122" i="86"/>
  <c r="H123" i="86"/>
  <c r="M123" i="86"/>
  <c r="R123" i="86"/>
  <c r="H124" i="86"/>
  <c r="M124" i="86"/>
  <c r="R124" i="86"/>
  <c r="H125" i="86"/>
  <c r="M125" i="86"/>
  <c r="R125" i="86"/>
  <c r="H126" i="86"/>
  <c r="M126" i="86"/>
  <c r="O126" i="86"/>
  <c r="Q126" i="86"/>
  <c r="R126" i="86"/>
  <c r="T126" i="86"/>
  <c r="V126" i="86"/>
</calcChain>
</file>

<file path=xl/comments1.xml><?xml version="1.0" encoding="utf-8"?>
<comments xmlns="http://schemas.openxmlformats.org/spreadsheetml/2006/main">
  <authors>
    <author>Author</author>
  </authors>
  <commentList>
    <comment ref="B180" authorId="0" shapeId="0">
      <text>
        <r>
          <rPr>
            <b/>
            <sz val="9"/>
            <color indexed="81"/>
            <rFont val="Tahoma"/>
            <family val="2"/>
          </rPr>
          <t>Author:</t>
        </r>
        <r>
          <rPr>
            <sz val="9"/>
            <color indexed="81"/>
            <rFont val="Tahoma"/>
            <family val="2"/>
          </rPr>
          <t xml:space="preserve">
Includes UI </t>
        </r>
      </text>
    </comment>
  </commentList>
</comments>
</file>

<file path=xl/comments10.xml><?xml version="1.0" encoding="utf-8"?>
<comments xmlns="http://schemas.openxmlformats.org/spreadsheetml/2006/main">
  <authors>
    <author>Author</author>
  </authors>
  <commentList>
    <comment ref="H18" authorId="0" shapeId="0">
      <text>
        <r>
          <rPr>
            <b/>
            <sz val="9"/>
            <color indexed="81"/>
            <rFont val="Tahoma"/>
            <family val="2"/>
          </rPr>
          <t>Author:</t>
        </r>
        <r>
          <rPr>
            <sz val="9"/>
            <color indexed="81"/>
            <rFont val="Tahoma"/>
            <family val="2"/>
          </rPr>
          <t xml:space="preserve">
financial year availability
however Contract year availability is 90.48%</t>
        </r>
      </text>
    </comment>
  </commentList>
</comments>
</file>

<file path=xl/comments2.xml><?xml version="1.0" encoding="utf-8"?>
<comments xmlns="http://schemas.openxmlformats.org/spreadsheetml/2006/main">
  <authors>
    <author>Author</author>
  </authors>
  <commentList>
    <comment ref="B180" authorId="0" shapeId="0">
      <text>
        <r>
          <rPr>
            <b/>
            <sz val="9"/>
            <color indexed="81"/>
            <rFont val="Tahoma"/>
            <family val="2"/>
          </rPr>
          <t>Author:</t>
        </r>
        <r>
          <rPr>
            <sz val="9"/>
            <color indexed="81"/>
            <rFont val="Tahoma"/>
            <family val="2"/>
          </rPr>
          <t xml:space="preserve">
Includes UI </t>
        </r>
      </text>
    </comment>
  </commentList>
</comments>
</file>

<file path=xl/comments3.xml><?xml version="1.0" encoding="utf-8"?>
<comments xmlns="http://schemas.openxmlformats.org/spreadsheetml/2006/main">
  <authors>
    <author>Author</author>
  </authors>
  <commentList>
    <comment ref="B56" authorId="0" shapeId="0">
      <text>
        <r>
          <rPr>
            <b/>
            <sz val="9"/>
            <color indexed="81"/>
            <rFont val="Tahoma"/>
            <family val="2"/>
          </rPr>
          <t>Author:</t>
        </r>
        <r>
          <rPr>
            <sz val="9"/>
            <color indexed="81"/>
            <rFont val="Tahoma"/>
            <family val="2"/>
          </rPr>
          <t xml:space="preserve">
Allocation required
</t>
        </r>
      </text>
    </comment>
  </commentList>
</comments>
</file>

<file path=xl/comments4.xml><?xml version="1.0" encoding="utf-8"?>
<comments xmlns="http://schemas.openxmlformats.org/spreadsheetml/2006/main">
  <authors>
    <author>Author</author>
  </authors>
  <commentList>
    <comment ref="DQ23" authorId="0" shapeId="0">
      <text>
        <r>
          <rPr>
            <b/>
            <sz val="9"/>
            <color indexed="81"/>
            <rFont val="Tahoma"/>
            <family val="2"/>
          </rPr>
          <t>Author:</t>
        </r>
        <r>
          <rPr>
            <sz val="9"/>
            <color indexed="81"/>
            <rFont val="Tahoma"/>
            <family val="2"/>
          </rPr>
          <t xml:space="preserve">
Statutory Charges Bill FY 2019-20. Ver. No. 1168 dt 27.03.2021</t>
        </r>
      </text>
    </comment>
    <comment ref="H47" authorId="0" shapeId="0">
      <text>
        <r>
          <rPr>
            <b/>
            <sz val="9"/>
            <color indexed="81"/>
            <rFont val="Tahoma"/>
            <family val="2"/>
          </rPr>
          <t>Author:</t>
        </r>
        <r>
          <rPr>
            <sz val="9"/>
            <color indexed="81"/>
            <rFont val="Tahoma"/>
            <family val="2"/>
          </rPr>
          <t xml:space="preserve">
250 in TO</t>
        </r>
      </text>
    </comment>
    <comment ref="H62" authorId="0" shapeId="0">
      <text>
        <r>
          <rPr>
            <b/>
            <sz val="9"/>
            <color indexed="81"/>
            <rFont val="Tahoma"/>
            <family val="2"/>
          </rPr>
          <t>Author:</t>
        </r>
        <r>
          <rPr>
            <sz val="9"/>
            <color indexed="81"/>
            <rFont val="Tahoma"/>
            <family val="2"/>
          </rPr>
          <t xml:space="preserve">
mention 0 in tariff order
</t>
        </r>
      </text>
    </comment>
    <comment ref="H105" authorId="0" shapeId="0">
      <text>
        <r>
          <rPr>
            <b/>
            <sz val="9"/>
            <color indexed="81"/>
            <rFont val="Tahoma"/>
            <family val="2"/>
          </rPr>
          <t>Author:</t>
        </r>
        <r>
          <rPr>
            <sz val="9"/>
            <color indexed="81"/>
            <rFont val="Tahoma"/>
            <family val="2"/>
          </rPr>
          <t xml:space="preserve">
51 in TO</t>
        </r>
      </text>
    </comment>
  </commentList>
</comments>
</file>

<file path=xl/comments5.xml><?xml version="1.0" encoding="utf-8"?>
<comments xmlns="http://schemas.openxmlformats.org/spreadsheetml/2006/main">
  <authors>
    <author>Author</author>
  </authors>
  <commentList>
    <comment ref="CJ23" authorId="0" shapeId="0">
      <text>
        <r>
          <rPr>
            <b/>
            <sz val="9"/>
            <color indexed="81"/>
            <rFont val="Tahoma"/>
            <family val="2"/>
          </rPr>
          <t>Author:</t>
        </r>
        <r>
          <rPr>
            <sz val="9"/>
            <color indexed="81"/>
            <rFont val="Tahoma"/>
            <family val="2"/>
          </rPr>
          <t xml:space="preserve">
Statutory Charges Bill FY 2019-20. Ver. No. 1168 dt 27.03.2021</t>
        </r>
      </text>
    </comment>
    <comment ref="H47" authorId="0" shapeId="0">
      <text>
        <r>
          <rPr>
            <b/>
            <sz val="9"/>
            <color indexed="81"/>
            <rFont val="Tahoma"/>
            <family val="2"/>
          </rPr>
          <t>Author:</t>
        </r>
        <r>
          <rPr>
            <sz val="9"/>
            <color indexed="81"/>
            <rFont val="Tahoma"/>
            <family val="2"/>
          </rPr>
          <t xml:space="preserve">
250 in TO</t>
        </r>
      </text>
    </comment>
    <comment ref="H62" authorId="0" shapeId="0">
      <text>
        <r>
          <rPr>
            <b/>
            <sz val="9"/>
            <color indexed="81"/>
            <rFont val="Tahoma"/>
            <family val="2"/>
          </rPr>
          <t>Author:</t>
        </r>
        <r>
          <rPr>
            <sz val="9"/>
            <color indexed="81"/>
            <rFont val="Tahoma"/>
            <family val="2"/>
          </rPr>
          <t xml:space="preserve">
mention 0 in tariff order
</t>
        </r>
      </text>
    </comment>
    <comment ref="CC85" authorId="0" shapeId="0">
      <text>
        <r>
          <rPr>
            <b/>
            <sz val="9"/>
            <color indexed="81"/>
            <rFont val="Tahoma"/>
            <family val="2"/>
          </rPr>
          <t>Author:</t>
        </r>
        <r>
          <rPr>
            <sz val="9"/>
            <color indexed="81"/>
            <rFont val="Tahoma"/>
            <family val="2"/>
          </rPr>
          <t xml:space="preserve">
1.  HEAVY WTR RATE REV. NO. 616/01.03.21</t>
        </r>
      </text>
    </comment>
    <comment ref="CC86" authorId="0" shapeId="0">
      <text>
        <r>
          <rPr>
            <b/>
            <sz val="9"/>
            <color indexed="81"/>
            <rFont val="Tahoma"/>
            <family val="2"/>
          </rPr>
          <t>Author:</t>
        </r>
        <r>
          <rPr>
            <sz val="9"/>
            <color indexed="81"/>
            <rFont val="Tahoma"/>
            <family val="2"/>
          </rPr>
          <t xml:space="preserve">
1. HEAVY WTR RATE REV.
</t>
        </r>
      </text>
    </comment>
    <comment ref="CC87" authorId="0" shapeId="0">
      <text>
        <r>
          <rPr>
            <b/>
            <sz val="9"/>
            <color indexed="81"/>
            <rFont val="Tahoma"/>
            <family val="2"/>
          </rPr>
          <t>Author:</t>
        </r>
        <r>
          <rPr>
            <sz val="9"/>
            <color indexed="81"/>
            <rFont val="Tahoma"/>
            <family val="2"/>
          </rPr>
          <t xml:space="preserve">
1. WRLDC FEE
2. HEAVY WTR RATE REV.
</t>
        </r>
      </text>
    </comment>
    <comment ref="BV88" authorId="0" shapeId="0">
      <text>
        <r>
          <rPr>
            <b/>
            <sz val="9"/>
            <color indexed="81"/>
            <rFont val="Tahoma"/>
            <family val="2"/>
          </rPr>
          <t>Author:</t>
        </r>
        <r>
          <rPr>
            <sz val="9"/>
            <color indexed="81"/>
            <rFont val="Tahoma"/>
            <family val="2"/>
          </rPr>
          <t xml:space="preserve">
1. NRLDC FEE &amp; CHARGES NO. 252/ 27.01.21
</t>
        </r>
      </text>
    </comment>
    <comment ref="CC88" authorId="0" shapeId="0">
      <text>
        <r>
          <rPr>
            <b/>
            <sz val="9"/>
            <color indexed="81"/>
            <rFont val="Tahoma"/>
            <family val="2"/>
          </rPr>
          <t>Author:</t>
        </r>
        <r>
          <rPr>
            <sz val="9"/>
            <color indexed="81"/>
            <rFont val="Tahoma"/>
            <family val="2"/>
          </rPr>
          <t xml:space="preserve">
1. heavy wtr rate rev.
</t>
        </r>
      </text>
    </comment>
    <comment ref="CJ100" authorId="0" shapeId="0">
      <text>
        <r>
          <rPr>
            <b/>
            <sz val="9"/>
            <color indexed="81"/>
            <rFont val="Tahoma"/>
            <family val="2"/>
          </rPr>
          <t>Author:</t>
        </r>
        <r>
          <rPr>
            <sz val="9"/>
            <color indexed="81"/>
            <rFont val="Tahoma"/>
            <family val="2"/>
          </rPr>
          <t xml:space="preserve">
2. Recovery of Shortfall. Ver No. 852 dt 09.03.2021</t>
        </r>
      </text>
    </comment>
    <comment ref="CJ103" authorId="0" shapeId="0">
      <text>
        <r>
          <rPr>
            <b/>
            <sz val="9"/>
            <color indexed="81"/>
            <rFont val="Tahoma"/>
            <family val="2"/>
          </rPr>
          <t>Author:</t>
        </r>
        <r>
          <rPr>
            <sz val="9"/>
            <color indexed="81"/>
            <rFont val="Tahoma"/>
            <family val="2"/>
          </rPr>
          <t xml:space="preserve">
2. Recovery of Shortfall. Ver No. 852 dt 09.03.2021</t>
        </r>
      </text>
    </comment>
    <comment ref="H105" authorId="0" shapeId="0">
      <text>
        <r>
          <rPr>
            <b/>
            <sz val="9"/>
            <color indexed="81"/>
            <rFont val="Tahoma"/>
            <family val="2"/>
          </rPr>
          <t>Author:</t>
        </r>
        <r>
          <rPr>
            <sz val="9"/>
            <color indexed="81"/>
            <rFont val="Tahoma"/>
            <family val="2"/>
          </rPr>
          <t xml:space="preserve">
51 in TO</t>
        </r>
      </text>
    </comment>
    <comment ref="CJ108" authorId="0" shapeId="0">
      <text>
        <r>
          <rPr>
            <b/>
            <sz val="9"/>
            <color indexed="81"/>
            <rFont val="Tahoma"/>
            <family val="2"/>
          </rPr>
          <t xml:space="preserve">
MEMI_HP:</t>
        </r>
        <r>
          <rPr>
            <sz val="9"/>
            <color indexed="81"/>
            <rFont val="Tahoma"/>
            <family val="2"/>
          </rPr>
          <t xml:space="preserve">
1. Supplementary Energy Bill of Final REA for FY 2019-20
2.Suppl. Bill water usses charges no. 1345/07.04.21
</t>
        </r>
      </text>
    </comment>
    <comment ref="CQ108" authorId="0" shapeId="0">
      <text>
        <r>
          <rPr>
            <b/>
            <sz val="10"/>
            <color indexed="81"/>
            <rFont val="Tahoma"/>
            <family val="2"/>
          </rPr>
          <t>Author:
Recovery of Shortfall for FY 2018-19. Ver No. 2162 dt 09.06.2021</t>
        </r>
      </text>
    </comment>
    <comment ref="CJ123" authorId="0" shapeId="0">
      <text>
        <r>
          <rPr>
            <b/>
            <sz val="9"/>
            <color indexed="81"/>
            <rFont val="Tahoma"/>
            <family val="2"/>
          </rPr>
          <t>Author:</t>
        </r>
        <r>
          <rPr>
            <sz val="9"/>
            <color indexed="81"/>
            <rFont val="Tahoma"/>
            <family val="2"/>
          </rPr>
          <t xml:space="preserve">
2. Non tarrif income pertaining No. 1047/22.03.21
3 
</t>
        </r>
      </text>
    </comment>
    <comment ref="CJ124" authorId="0" shapeId="0">
      <text>
        <r>
          <rPr>
            <b/>
            <sz val="9"/>
            <color indexed="81"/>
            <rFont val="Tahoma"/>
            <family val="2"/>
          </rPr>
          <t>Author:</t>
        </r>
        <r>
          <rPr>
            <sz val="9"/>
            <color indexed="81"/>
            <rFont val="Tahoma"/>
            <family val="2"/>
          </rPr>
          <t xml:space="preserve">
2.Non tarrif income pertaining no. 1047/22.03.21
</t>
        </r>
      </text>
    </comment>
    <comment ref="CQ131" authorId="0" shapeId="0">
      <text>
        <r>
          <rPr>
            <b/>
            <sz val="9"/>
            <color indexed="81"/>
            <rFont val="Tahoma"/>
            <family val="2"/>
          </rPr>
          <t>Author:</t>
        </r>
        <r>
          <rPr>
            <sz val="9"/>
            <color indexed="81"/>
            <rFont val="Tahoma"/>
            <family val="2"/>
          </rPr>
          <t xml:space="preserve">
4. FERV no. 1411/12.04.21
</t>
        </r>
      </text>
    </comment>
    <comment ref="CC132" authorId="0" shapeId="0">
      <text>
        <r>
          <rPr>
            <b/>
            <sz val="9"/>
            <color indexed="81"/>
            <rFont val="Tahoma"/>
            <family val="2"/>
          </rPr>
          <t>Author:</t>
        </r>
        <r>
          <rPr>
            <sz val="9"/>
            <color indexed="81"/>
            <rFont val="Tahoma"/>
            <family val="2"/>
          </rPr>
          <t xml:space="preserve">
2. Credit not
3. Credit not</t>
        </r>
      </text>
    </comment>
    <comment ref="CJ132" authorId="0" shapeId="0">
      <text>
        <r>
          <rPr>
            <b/>
            <sz val="9"/>
            <color indexed="81"/>
            <rFont val="Tahoma"/>
            <family val="2"/>
          </rPr>
          <t>Author:</t>
        </r>
        <r>
          <rPr>
            <sz val="9"/>
            <color indexed="81"/>
            <rFont val="Tahoma"/>
            <family val="2"/>
          </rPr>
          <t xml:space="preserve">
2. credit note no. 1125/25.03.20
3. credit note no. 1137/26.03.21</t>
        </r>
      </text>
    </comment>
    <comment ref="BV139" authorId="0" shapeId="0">
      <text>
        <r>
          <rPr>
            <b/>
            <sz val="9"/>
            <color indexed="81"/>
            <rFont val="Tahoma"/>
            <family val="2"/>
          </rPr>
          <t>Author:</t>
        </r>
        <r>
          <rPr>
            <sz val="9"/>
            <color indexed="81"/>
            <rFont val="Tahoma"/>
            <family val="2"/>
          </rPr>
          <t xml:space="preserve">
1. NERLDC CHARGES NO. 116/12.01.21
</t>
        </r>
      </text>
    </comment>
    <comment ref="CC139" authorId="0" shapeId="0">
      <text>
        <r>
          <rPr>
            <b/>
            <sz val="9"/>
            <color indexed="81"/>
            <rFont val="Tahoma"/>
            <family val="2"/>
          </rPr>
          <t>Author:</t>
        </r>
        <r>
          <rPr>
            <sz val="9"/>
            <color indexed="81"/>
            <rFont val="Tahoma"/>
            <family val="2"/>
          </rPr>
          <t xml:space="preserve">
1. NERLDC CHARGES NO. 428
</t>
        </r>
      </text>
    </comment>
    <comment ref="CJ146" authorId="0" shapeId="0">
      <text>
        <r>
          <rPr>
            <b/>
            <sz val="9"/>
            <color indexed="81"/>
            <rFont val="Tahoma"/>
            <family val="2"/>
          </rPr>
          <t>Author:</t>
        </r>
        <r>
          <rPr>
            <sz val="9"/>
            <color indexed="81"/>
            <rFont val="Tahoma"/>
            <family val="2"/>
          </rPr>
          <t xml:space="preserve">
Supplementary Bill for the period FY 2015-16, 2016-17, 2017-18 &amp; 2018-19 AS PER UPERC Order dt 08.02.2021</t>
        </r>
      </text>
    </comment>
    <comment ref="BV147" authorId="0" shapeId="0">
      <text>
        <r>
          <rPr>
            <b/>
            <sz val="9"/>
            <color indexed="81"/>
            <rFont val="Tahoma"/>
            <family val="2"/>
          </rPr>
          <t>Author:</t>
        </r>
        <r>
          <rPr>
            <sz val="9"/>
            <color indexed="81"/>
            <rFont val="Tahoma"/>
            <family val="2"/>
          </rPr>
          <t xml:space="preserve">
Deduction 85/08.01.2021</t>
        </r>
      </text>
    </comment>
    <comment ref="BV148" authorId="0" shapeId="0">
      <text>
        <r>
          <rPr>
            <b/>
            <sz val="9"/>
            <color indexed="81"/>
            <rFont val="Tahoma"/>
            <family val="2"/>
          </rPr>
          <t>Author:</t>
        </r>
        <r>
          <rPr>
            <sz val="9"/>
            <color indexed="81"/>
            <rFont val="Tahoma"/>
            <family val="2"/>
          </rPr>
          <t xml:space="preserve">
2. POC NO. 295/29.01.2021
3. SOC MOC NO. 364/04.02.21
4. SOC MOC NO. 367/04.02.21
</t>
        </r>
      </text>
    </comment>
    <comment ref="CC148" authorId="0" shapeId="0">
      <text>
        <r>
          <rPr>
            <b/>
            <sz val="9"/>
            <color indexed="81"/>
            <rFont val="Tahoma"/>
            <family val="2"/>
          </rPr>
          <t>Author:</t>
        </r>
        <r>
          <rPr>
            <sz val="9"/>
            <color indexed="81"/>
            <rFont val="Tahoma"/>
            <family val="2"/>
          </rPr>
          <t xml:space="preserve">
1. SOC MOC NO. 514
</t>
        </r>
      </text>
    </comment>
    <comment ref="CJ148" authorId="0" shapeId="0">
      <text>
        <r>
          <rPr>
            <b/>
            <sz val="9"/>
            <color indexed="81"/>
            <rFont val="Tahoma"/>
            <family val="2"/>
          </rPr>
          <t>Author:</t>
        </r>
        <r>
          <rPr>
            <sz val="9"/>
            <color indexed="81"/>
            <rFont val="Tahoma"/>
            <family val="2"/>
          </rPr>
          <t xml:space="preserve">
1. SOC MOC NO. 882/15.03.21
2. SOC MOC NO. 881/15.03.21
</t>
        </r>
      </text>
    </comment>
    <comment ref="CQ148" authorId="0" shapeId="0">
      <text>
        <r>
          <rPr>
            <b/>
            <sz val="9"/>
            <color indexed="81"/>
            <rFont val="Tahoma"/>
            <family val="2"/>
          </rPr>
          <t>Author:</t>
        </r>
        <r>
          <rPr>
            <sz val="9"/>
            <color indexed="81"/>
            <rFont val="Tahoma"/>
            <family val="2"/>
          </rPr>
          <t xml:space="preserve">
2. SOC MOC NO. 1446/13.04.21
3. STOA NO. 1081/24.03.21
4. STOA NO. 1045/22.03.21</t>
        </r>
      </text>
    </comment>
    <comment ref="CJ149" authorId="0" shapeId="0">
      <text>
        <r>
          <rPr>
            <b/>
            <sz val="9"/>
            <color indexed="81"/>
            <rFont val="Tahoma"/>
            <family val="2"/>
          </rPr>
          <t>Author:</t>
        </r>
        <r>
          <rPr>
            <sz val="9"/>
            <color indexed="81"/>
            <rFont val="Tahoma"/>
            <family val="2"/>
          </rPr>
          <t xml:space="preserve">
2. Surcharge 01.10.20 toi 22.02.21 no. 1234/01.04.21</t>
        </r>
      </text>
    </comment>
    <comment ref="CJ159" authorId="0" shapeId="0">
      <text>
        <r>
          <rPr>
            <b/>
            <sz val="9"/>
            <color indexed="81"/>
            <rFont val="Tahoma"/>
            <family val="2"/>
          </rPr>
          <t>Author:</t>
        </r>
        <r>
          <rPr>
            <sz val="9"/>
            <color indexed="81"/>
            <rFont val="Tahoma"/>
            <family val="2"/>
          </rPr>
          <t xml:space="preserve">
1. INCOME TAX REIMBURSEMENT F.Y. 2019-20 NO. 904/15.03.21</t>
        </r>
      </text>
    </comment>
    <comment ref="CQ165" authorId="0" shapeId="0">
      <text>
        <r>
          <rPr>
            <b/>
            <sz val="11"/>
            <color indexed="81"/>
            <rFont val="Tahoma"/>
            <family val="2"/>
          </rPr>
          <t>Author:
Excess posted in the m/o 02/2021 now withdrawn. Ver No. 1224 dt. 01.04.2021</t>
        </r>
      </text>
    </comment>
    <comment ref="BV166" authorId="0" shapeId="0">
      <text>
        <r>
          <rPr>
            <b/>
            <sz val="9"/>
            <color indexed="81"/>
            <rFont val="Tahoma"/>
            <family val="2"/>
          </rPr>
          <t>Author:</t>
        </r>
        <r>
          <rPr>
            <sz val="9"/>
            <color indexed="81"/>
            <rFont val="Tahoma"/>
            <family val="2"/>
          </rPr>
          <t xml:space="preserve">
1. CHANGE IN LAW NO. 191/18.01.21
2. POC BILL-3 NO. 363/04.02.21</t>
        </r>
      </text>
    </comment>
    <comment ref="CC166" authorId="0" shapeId="0">
      <text>
        <r>
          <rPr>
            <b/>
            <sz val="9"/>
            <color indexed="81"/>
            <rFont val="Tahoma"/>
            <family val="2"/>
          </rPr>
          <t>Author:</t>
        </r>
        <r>
          <rPr>
            <sz val="9"/>
            <color indexed="81"/>
            <rFont val="Tahoma"/>
            <family val="2"/>
          </rPr>
          <t xml:space="preserve">
1. CHNGE IN LAW NO. 526
2. POC CHARGES NO. 560/23.02.21
</t>
        </r>
      </text>
    </comment>
    <comment ref="CJ166" authorId="0" shapeId="0">
      <text>
        <r>
          <rPr>
            <b/>
            <sz val="9"/>
            <color indexed="81"/>
            <rFont val="Tahoma"/>
            <family val="2"/>
          </rPr>
          <t>Author:</t>
        </r>
        <r>
          <rPr>
            <sz val="9"/>
            <color indexed="81"/>
            <rFont val="Tahoma"/>
            <family val="2"/>
          </rPr>
          <t xml:space="preserve">
1 &amp; 2 change in law
</t>
        </r>
      </text>
    </comment>
    <comment ref="CP166" authorId="0" shapeId="0">
      <text>
        <r>
          <rPr>
            <b/>
            <sz val="9"/>
            <color indexed="81"/>
            <rFont val="Tahoma"/>
            <family val="2"/>
          </rPr>
          <t>Author:</t>
        </r>
        <r>
          <rPr>
            <sz val="9"/>
            <color indexed="81"/>
            <rFont val="Tahoma"/>
            <family val="2"/>
          </rPr>
          <t xml:space="preserve">
 Amnt. 2 &amp; 3 (Change in Law).</t>
        </r>
      </text>
    </comment>
    <comment ref="CJ168" authorId="0" shapeId="0">
      <text>
        <r>
          <rPr>
            <b/>
            <sz val="9"/>
            <color indexed="81"/>
            <rFont val="Tahoma"/>
            <family val="2"/>
          </rPr>
          <t>Author:</t>
        </r>
        <r>
          <rPr>
            <sz val="9"/>
            <color indexed="81"/>
            <rFont val="Tahoma"/>
            <family val="2"/>
          </rPr>
          <t xml:space="preserve">
1. POC BILL-3 NO. 1012/19.03.21</t>
        </r>
      </text>
    </comment>
    <comment ref="BV170" authorId="0" shapeId="0">
      <text>
        <r>
          <rPr>
            <b/>
            <sz val="9"/>
            <color indexed="81"/>
            <rFont val="Tahoma"/>
            <family val="2"/>
          </rPr>
          <t>Author:</t>
        </r>
        <r>
          <rPr>
            <sz val="9"/>
            <color indexed="81"/>
            <rFont val="Tahoma"/>
            <family val="2"/>
          </rPr>
          <t xml:space="preserve">
1. SUPPL. BILL NO. 198/19.01.21
2. WRLDC FEE &amp; CHARGES NO. 47/ 07.01.21
</t>
        </r>
      </text>
    </comment>
    <comment ref="CC170" authorId="0" shapeId="0">
      <text>
        <r>
          <rPr>
            <b/>
            <sz val="9"/>
            <color indexed="81"/>
            <rFont val="Tahoma"/>
            <family val="2"/>
          </rPr>
          <t>Author:</t>
        </r>
        <r>
          <rPr>
            <sz val="9"/>
            <color indexed="81"/>
            <rFont val="Tahoma"/>
            <family val="2"/>
          </rPr>
          <t xml:space="preserve">
1. SUPPL. BILL NO. 535
2. WRLDC FEES &amp; CHARGES NO. 387/05.02.21
3. GST ON ROYALTY ON COAL NO. 580/25.02.2021
4. SUPPL. BILL NO. 575/24.02.21
</t>
        </r>
      </text>
    </comment>
    <comment ref="CQ170" authorId="0" shapeId="0">
      <text>
        <r>
          <rPr>
            <b/>
            <sz val="10"/>
            <color indexed="81"/>
            <rFont val="Tahoma"/>
            <family val="2"/>
          </rPr>
          <t xml:space="preserve">Author:
1. suppl. Bill 1624/26.04.21
2. suppl. Bill no. 1616/23.04.21
3. suppl. Bill no. 1615/2304.21
4. suppl. Bill no. 1614/2304.21
5. suppl. Bill no. 1612/2304.21
6. suppl bill. No. 1613/23.04.21
7. WRLDC NO. 1316/06.04.21
8. Ver No. 1995 to 1998 dt. 04.06.21
</t>
        </r>
      </text>
    </comment>
    <comment ref="BV171" authorId="0" shapeId="0">
      <text>
        <r>
          <rPr>
            <b/>
            <sz val="9"/>
            <color indexed="81"/>
            <rFont val="Tahoma"/>
            <family val="2"/>
          </rPr>
          <t>Author:</t>
        </r>
        <r>
          <rPr>
            <sz val="9"/>
            <color indexed="81"/>
            <rFont val="Tahoma"/>
            <family val="2"/>
          </rPr>
          <t xml:space="preserve">
2. POC BILL - 3 NO. 365/04.02.21
</t>
        </r>
      </text>
    </comment>
    <comment ref="CJ171" authorId="0" shapeId="0">
      <text>
        <r>
          <rPr>
            <b/>
            <sz val="9"/>
            <color indexed="81"/>
            <rFont val="Tahoma"/>
            <family val="2"/>
          </rPr>
          <t>Author:</t>
        </r>
        <r>
          <rPr>
            <sz val="9"/>
            <color indexed="81"/>
            <rFont val="Tahoma"/>
            <family val="2"/>
          </rPr>
          <t xml:space="preserve">
2. poc charges no. 1333/07.04.21
3. poc charges no. 1332/07.04.21
4. POC charges no. 1329/07.04.21
5. poc charges no. 1293/05.04.21
</t>
        </r>
      </text>
    </comment>
    <comment ref="BV280" authorId="0" shapeId="0">
      <text>
        <r>
          <rPr>
            <b/>
            <sz val="9"/>
            <color indexed="81"/>
            <rFont val="Tahoma"/>
            <family val="2"/>
          </rPr>
          <t>Author:</t>
        </r>
        <r>
          <rPr>
            <sz val="9"/>
            <color indexed="81"/>
            <rFont val="Tahoma"/>
            <family val="2"/>
          </rPr>
          <t xml:space="preserve">
PSPCL</t>
        </r>
      </text>
    </comment>
    <comment ref="CC280" authorId="0" shapeId="0">
      <text>
        <r>
          <rPr>
            <b/>
            <sz val="9"/>
            <color indexed="81"/>
            <rFont val="Tahoma"/>
            <family val="2"/>
          </rPr>
          <t>Author:</t>
        </r>
        <r>
          <rPr>
            <sz val="9"/>
            <color indexed="81"/>
            <rFont val="Tahoma"/>
            <family val="2"/>
          </rPr>
          <t xml:space="preserve">
1. PSPCL NO. 5181/26.11.20
</t>
        </r>
      </text>
    </comment>
    <comment ref="BV339" authorId="0" shapeId="0">
      <text>
        <r>
          <rPr>
            <b/>
            <sz val="9"/>
            <color indexed="81"/>
            <rFont val="Tahoma"/>
            <family val="2"/>
          </rPr>
          <t>Author:</t>
        </r>
        <r>
          <rPr>
            <sz val="9"/>
            <color indexed="81"/>
            <rFont val="Tahoma"/>
            <family val="2"/>
          </rPr>
          <t xml:space="preserve">
1. Verf, no 137/13.01.21
</t>
        </r>
      </text>
    </comment>
    <comment ref="CC357" authorId="0" shapeId="0">
      <text>
        <r>
          <rPr>
            <b/>
            <sz val="9"/>
            <color indexed="81"/>
            <rFont val="Tahoma"/>
            <family val="2"/>
          </rPr>
          <t>Author:</t>
        </r>
        <r>
          <rPr>
            <sz val="9"/>
            <color indexed="81"/>
            <rFont val="Tahoma"/>
            <family val="2"/>
          </rPr>
          <t xml:space="preserve">
1. transm. Charges no. 582/25.02.2021
</t>
        </r>
      </text>
    </comment>
    <comment ref="CJ357" authorId="0" shapeId="0">
      <text>
        <r>
          <rPr>
            <b/>
            <sz val="9"/>
            <color indexed="81"/>
            <rFont val="Tahoma"/>
            <family val="2"/>
          </rPr>
          <t>Author:</t>
        </r>
        <r>
          <rPr>
            <sz val="9"/>
            <color indexed="81"/>
            <rFont val="Tahoma"/>
            <family val="2"/>
          </rPr>
          <t xml:space="preserve">
1. TRANS. CHRGES NO. 824/08.03.21
2. TRANS. CHRGES NO. 838/09.03.21
</t>
        </r>
      </text>
    </comment>
    <comment ref="CQ357" authorId="0" shapeId="0">
      <text>
        <r>
          <rPr>
            <b/>
            <sz val="9"/>
            <color indexed="81"/>
            <rFont val="Tahoma"/>
            <family val="2"/>
          </rPr>
          <t>Author:</t>
        </r>
        <r>
          <rPr>
            <sz val="9"/>
            <color indexed="81"/>
            <rFont val="Tahoma"/>
            <family val="2"/>
          </rPr>
          <t xml:space="preserve">
1. trans. Charge. No. 1745/10.05.21
</t>
        </r>
      </text>
    </comment>
    <comment ref="BV369" authorId="0" shapeId="0">
      <text>
        <r>
          <rPr>
            <b/>
            <sz val="9"/>
            <color indexed="81"/>
            <rFont val="Tahoma"/>
            <family val="2"/>
          </rPr>
          <t>Author:</t>
        </r>
        <r>
          <rPr>
            <sz val="9"/>
            <color indexed="81"/>
            <rFont val="Tahoma"/>
            <family val="2"/>
          </rPr>
          <t xml:space="preserve">
1. POSOCO NO. 46/ 07.01.21
2. PGCIL NO. 07/02.01.21
3. PGCIL NO. 231/23.01.21
4. PGCIL 406/08.02.21
5. PGCIL 402/08.02.21
6.455/10.02.21
</t>
        </r>
      </text>
    </comment>
    <comment ref="CC369" authorId="0" shapeId="0">
      <text>
        <r>
          <rPr>
            <b/>
            <sz val="9"/>
            <color indexed="81"/>
            <rFont val="Tahoma"/>
            <family val="2"/>
          </rPr>
          <t>Author:</t>
        </r>
        <r>
          <rPr>
            <sz val="9"/>
            <color indexed="81"/>
            <rFont val="Tahoma"/>
            <family val="2"/>
          </rPr>
          <t xml:space="preserve">
2. FERV FOR ULDC NO. 555/23.02.21
3. PGCIL NO. 333/02.02.21
4. POSOCO NO. 349/03.02.21
</t>
        </r>
      </text>
    </comment>
    <comment ref="CJ369" authorId="0" shapeId="0">
      <text>
        <r>
          <rPr>
            <b/>
            <sz val="9"/>
            <color indexed="81"/>
            <rFont val="Tahoma"/>
            <family val="2"/>
          </rPr>
          <t>Author:</t>
        </r>
        <r>
          <rPr>
            <sz val="9"/>
            <color indexed="81"/>
            <rFont val="Tahoma"/>
            <family val="2"/>
          </rPr>
          <t xml:space="preserve">
1. PGCIL NO. 640/02.03.21
2. PGCIL NO. 674/05.03.21
3. POSOCO NO. 690/05.03.21
4. pgcil(ULDC Arrear) no. 1289/05.04.21
5. PGCIL 
</t>
        </r>
      </text>
    </comment>
    <comment ref="CQ369" authorId="0" shapeId="0">
      <text>
        <r>
          <rPr>
            <b/>
            <sz val="9"/>
            <color indexed="81"/>
            <rFont val="Tahoma"/>
            <family val="2"/>
          </rPr>
          <t>Author:</t>
        </r>
        <r>
          <rPr>
            <sz val="9"/>
            <color indexed="81"/>
            <rFont val="Tahoma"/>
            <family val="2"/>
          </rPr>
          <t xml:space="preserve">
1. PGCIL NO. 1318/06.04.21
2. PGCIL NO. 1374/08.04.21
3. POSOCO NO. 1266/03.04.21
</t>
        </r>
      </text>
    </comment>
    <comment ref="CQ372" authorId="0" shapeId="0">
      <text>
        <r>
          <rPr>
            <b/>
            <sz val="9"/>
            <color indexed="81"/>
            <rFont val="Tahoma"/>
            <family val="2"/>
          </rPr>
          <t>Author:</t>
        </r>
        <r>
          <rPr>
            <sz val="9"/>
            <color indexed="81"/>
            <rFont val="Tahoma"/>
            <family val="2"/>
          </rPr>
          <t xml:space="preserve">
4,5 &amp; 6 Incentive Calculation</t>
        </r>
      </text>
    </comment>
    <comment ref="BV380" authorId="0" shapeId="0">
      <text>
        <r>
          <rPr>
            <b/>
            <sz val="9"/>
            <color indexed="81"/>
            <rFont val="Tahoma"/>
            <family val="2"/>
          </rPr>
          <t>Author:</t>
        </r>
        <r>
          <rPr>
            <sz val="9"/>
            <color indexed="81"/>
            <rFont val="Tahoma"/>
            <family val="2"/>
          </rPr>
          <t xml:space="preserve">
1. NO. 309/30.01.21
</t>
        </r>
      </text>
    </comment>
    <comment ref="BV383" authorId="0" shapeId="0">
      <text>
        <r>
          <rPr>
            <b/>
            <sz val="9"/>
            <color indexed="81"/>
            <rFont val="Tahoma"/>
            <family val="2"/>
          </rPr>
          <t>Author:</t>
        </r>
        <r>
          <rPr>
            <sz val="9"/>
            <color indexed="81"/>
            <rFont val="Tahoma"/>
            <family val="2"/>
          </rPr>
          <t xml:space="preserve">
1. NO. 310/30.01.21
</t>
        </r>
      </text>
    </comment>
  </commentList>
</comments>
</file>

<file path=xl/comments6.xml><?xml version="1.0" encoding="utf-8"?>
<comments xmlns="http://schemas.openxmlformats.org/spreadsheetml/2006/main">
  <authors>
    <author>Author</author>
  </authors>
  <commentList>
    <comment ref="B182" authorId="0" shapeId="0">
      <text>
        <r>
          <rPr>
            <b/>
            <sz val="9"/>
            <color indexed="81"/>
            <rFont val="Tahoma"/>
            <family val="2"/>
          </rPr>
          <t>Author:</t>
        </r>
        <r>
          <rPr>
            <sz val="9"/>
            <color indexed="81"/>
            <rFont val="Tahoma"/>
            <family val="2"/>
          </rPr>
          <t xml:space="preserve">
Includes UI </t>
        </r>
      </text>
    </comment>
    <comment ref="CB2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Difference due to NTPC Consolidated has not been added in sub total of NTPC in MIS</t>
        </r>
      </text>
    </comment>
    <comment ref="CL218" authorId="0" shapeId="0">
      <text>
        <r>
          <rPr>
            <b/>
            <sz val="9"/>
            <color indexed="81"/>
            <rFont val="Tahoma"/>
            <family val="2"/>
          </rPr>
          <t>Author:</t>
        </r>
        <r>
          <rPr>
            <sz val="9"/>
            <color indexed="81"/>
            <rFont val="Tahoma"/>
            <family val="2"/>
          </rPr>
          <t xml:space="preserve">
Difference due to NTPC Consolidated has not been added in sub total of NTPC in MIS</t>
        </r>
      </text>
    </comment>
    <comment ref="DF218" authorId="0" shapeId="0">
      <text>
        <r>
          <rPr>
            <b/>
            <sz val="9"/>
            <color indexed="81"/>
            <rFont val="Tahoma"/>
            <family val="2"/>
          </rPr>
          <t>Author:</t>
        </r>
        <r>
          <rPr>
            <sz val="9"/>
            <color indexed="81"/>
            <rFont val="Tahoma"/>
            <family val="2"/>
          </rPr>
          <t xml:space="preserve">
Difference due to NTPC Consolidated has not been added in sub total of NTPC in MIS</t>
        </r>
      </text>
    </comment>
  </commentList>
</comments>
</file>

<file path=xl/comments7.xml><?xml version="1.0" encoding="utf-8"?>
<comments xmlns="http://schemas.openxmlformats.org/spreadsheetml/2006/main">
  <authors>
    <author>Author</author>
  </authors>
  <commentList>
    <comment ref="K175" authorId="0" shapeId="0">
      <text>
        <r>
          <rPr>
            <b/>
            <sz val="9"/>
            <color indexed="81"/>
            <rFont val="Tahoma"/>
            <family val="2"/>
          </rPr>
          <t>Author:</t>
        </r>
        <r>
          <rPr>
            <sz val="9"/>
            <color indexed="81"/>
            <rFont val="Tahoma"/>
            <family val="2"/>
          </rPr>
          <t xml:space="preserve">
Inter state losses have not been considered for Solar and RE projects </t>
        </r>
      </text>
    </comment>
    <comment ref="C222" authorId="0" shapeId="0">
      <text>
        <r>
          <rPr>
            <b/>
            <sz val="9"/>
            <color indexed="81"/>
            <rFont val="Tahoma"/>
            <family val="2"/>
          </rPr>
          <t>Author:</t>
        </r>
        <r>
          <rPr>
            <sz val="9"/>
            <color indexed="81"/>
            <rFont val="Tahoma"/>
            <family val="2"/>
          </rPr>
          <t xml:space="preserve">
Approved No. is not available for FY 20-21, hence considered claimed nos.</t>
        </r>
      </text>
    </comment>
  </commentList>
</comments>
</file>

<file path=xl/comments8.xml><?xml version="1.0" encoding="utf-8"?>
<comments xmlns="http://schemas.openxmlformats.org/spreadsheetml/2006/main">
  <authors>
    <author>Author</author>
  </authors>
  <commentList>
    <comment ref="H173" authorId="0" shapeId="0">
      <text>
        <r>
          <rPr>
            <b/>
            <sz val="9"/>
            <color indexed="81"/>
            <rFont val="Tahoma"/>
            <family val="2"/>
          </rPr>
          <t>Author:</t>
        </r>
        <r>
          <rPr>
            <sz val="9"/>
            <color indexed="81"/>
            <rFont val="Tahoma"/>
            <family val="2"/>
          </rPr>
          <t xml:space="preserve">
for Bhola, Chittora, Nirgajni &amp; Salava</t>
        </r>
      </text>
    </comment>
    <comment ref="E192" authorId="0" shapeId="0">
      <text>
        <r>
          <rPr>
            <b/>
            <sz val="9"/>
            <color indexed="81"/>
            <rFont val="Tahoma"/>
            <family val="2"/>
          </rPr>
          <t>Author:</t>
        </r>
        <r>
          <rPr>
            <sz val="9"/>
            <color indexed="81"/>
            <rFont val="Tahoma"/>
            <family val="2"/>
          </rPr>
          <t xml:space="preserve">
as per discussion with PPA team
</t>
        </r>
      </text>
    </comment>
  </commentList>
</comments>
</file>

<file path=xl/comments9.xml><?xml version="1.0" encoding="utf-8"?>
<comments xmlns="http://schemas.openxmlformats.org/spreadsheetml/2006/main">
  <authors>
    <author>Author</author>
  </authors>
  <commentList>
    <comment ref="F7" authorId="0" shapeId="0">
      <text>
        <r>
          <rPr>
            <b/>
            <sz val="9"/>
            <color indexed="81"/>
            <rFont val="Tahoma"/>
            <family val="2"/>
          </rPr>
          <t>Author:</t>
        </r>
        <r>
          <rPr>
            <sz val="9"/>
            <color indexed="81"/>
            <rFont val="Tahoma"/>
            <family val="2"/>
          </rPr>
          <t xml:space="preserve">
Actual figures as provided by PPA 1
</t>
        </r>
      </text>
    </comment>
    <comment ref="F23" authorId="0" shapeId="0">
      <text>
        <r>
          <rPr>
            <b/>
            <sz val="9"/>
            <color indexed="81"/>
            <rFont val="Tahoma"/>
            <family val="2"/>
          </rPr>
          <t>Author:</t>
        </r>
        <r>
          <rPr>
            <sz val="9"/>
            <color indexed="81"/>
            <rFont val="Tahoma"/>
            <family val="2"/>
          </rPr>
          <t xml:space="preserve">
Actual Data as per PPA 1</t>
        </r>
      </text>
    </comment>
  </commentList>
</comments>
</file>

<file path=xl/sharedStrings.xml><?xml version="1.0" encoding="utf-8"?>
<sst xmlns="http://schemas.openxmlformats.org/spreadsheetml/2006/main" count="16312" uniqueCount="3050">
  <si>
    <t>Financing of Additional Capitalisation</t>
  </si>
  <si>
    <t>Statement of Capital Cost</t>
  </si>
  <si>
    <t>Statement of Capital Works in Progress</t>
  </si>
  <si>
    <t>R&amp;M Expenses</t>
  </si>
  <si>
    <t>Employee Expenses</t>
  </si>
  <si>
    <t>Consumer contributions and grants towards cost of capital assets</t>
  </si>
  <si>
    <t>Statement of Equity</t>
  </si>
  <si>
    <t>Working Capital Requirements</t>
  </si>
  <si>
    <t>Details of Non-tariff Income</t>
  </si>
  <si>
    <t>Details of Income from Other Business</t>
  </si>
  <si>
    <t>Details of Expenses Capitalised</t>
  </si>
  <si>
    <t>Income Tax Provisions</t>
  </si>
  <si>
    <t>S.No</t>
  </si>
  <si>
    <t xml:space="preserve">Annual Revenue Requirement </t>
  </si>
  <si>
    <t>Particulars</t>
  </si>
  <si>
    <t>I.</t>
  </si>
  <si>
    <t>II.</t>
  </si>
  <si>
    <t>III.</t>
  </si>
  <si>
    <t>Receipts</t>
  </si>
  <si>
    <t>a</t>
  </si>
  <si>
    <t>b</t>
  </si>
  <si>
    <t>c</t>
  </si>
  <si>
    <t>Total</t>
  </si>
  <si>
    <t>Expenditure</t>
  </si>
  <si>
    <t>d</t>
  </si>
  <si>
    <t>Depreciation</t>
  </si>
  <si>
    <t>e</t>
  </si>
  <si>
    <t>f</t>
  </si>
  <si>
    <t>g</t>
  </si>
  <si>
    <t>Contribution towards Contingency Fund</t>
  </si>
  <si>
    <t>h</t>
  </si>
  <si>
    <t>Reconciliation of Capital Cost with Gross Block</t>
  </si>
  <si>
    <t>Calculation of Depreciation Rate</t>
  </si>
  <si>
    <t>Statement of Depreciation</t>
  </si>
  <si>
    <t>Return on Equity</t>
  </si>
  <si>
    <t>F1</t>
  </si>
  <si>
    <t>S4</t>
  </si>
  <si>
    <t>F2</t>
  </si>
  <si>
    <t>F3</t>
  </si>
  <si>
    <t>F5</t>
  </si>
  <si>
    <t>F4</t>
  </si>
  <si>
    <t>F16</t>
  </si>
  <si>
    <t>F14</t>
  </si>
  <si>
    <t>F13</t>
  </si>
  <si>
    <t>F7</t>
  </si>
  <si>
    <t>F8</t>
  </si>
  <si>
    <t>F9</t>
  </si>
  <si>
    <t>F15</t>
  </si>
  <si>
    <t>F17</t>
  </si>
  <si>
    <t>F4A</t>
  </si>
  <si>
    <t>F6</t>
  </si>
  <si>
    <t>F10</t>
  </si>
  <si>
    <t>F11</t>
  </si>
  <si>
    <t>F12</t>
  </si>
  <si>
    <t>F19</t>
  </si>
  <si>
    <t>F18</t>
  </si>
  <si>
    <t>F20</t>
  </si>
  <si>
    <t>A</t>
  </si>
  <si>
    <t>B</t>
  </si>
  <si>
    <t>Form No: F1</t>
  </si>
  <si>
    <t>Others</t>
  </si>
  <si>
    <t>Unit</t>
  </si>
  <si>
    <t>%</t>
  </si>
  <si>
    <t>Tax Rate</t>
  </si>
  <si>
    <t>Rs Crores</t>
  </si>
  <si>
    <t>Financial Year*</t>
  </si>
  <si>
    <t>Sl. No.</t>
  </si>
  <si>
    <t>C</t>
  </si>
  <si>
    <t>D</t>
  </si>
  <si>
    <t>E</t>
  </si>
  <si>
    <t>F</t>
  </si>
  <si>
    <t>Equity</t>
  </si>
  <si>
    <t>Total Loan</t>
  </si>
  <si>
    <t>Total Equity</t>
  </si>
  <si>
    <t>Amount of Loan sanctioned</t>
  </si>
  <si>
    <t>Moratorium effective from</t>
  </si>
  <si>
    <t>Repayment effective from</t>
  </si>
  <si>
    <t>Financial Year (Starting from COD)</t>
  </si>
  <si>
    <t xml:space="preserve">Amount capitalised in Work/ Equipment </t>
  </si>
  <si>
    <t>Financing Details</t>
  </si>
  <si>
    <t>Loan-1</t>
  </si>
  <si>
    <t>Loan-2</t>
  </si>
  <si>
    <t>Loan-3 and so on</t>
  </si>
  <si>
    <t>Internal Resources</t>
  </si>
  <si>
    <t>Domestic loans, bonds and financial leasing</t>
  </si>
  <si>
    <t>Opening Balance at the beginning of the year</t>
  </si>
  <si>
    <t>Amount received during the year</t>
  </si>
  <si>
    <t>Principal repayment</t>
  </si>
  <si>
    <t>Interest</t>
  </si>
  <si>
    <t>Closing Balance</t>
  </si>
  <si>
    <t>Principal not overdue</t>
  </si>
  <si>
    <t>Principal overdue</t>
  </si>
  <si>
    <t>Interest overdue</t>
  </si>
  <si>
    <t>Due</t>
  </si>
  <si>
    <t>Paid</t>
  </si>
  <si>
    <t>Principal</t>
  </si>
  <si>
    <t>Interest Overdue</t>
  </si>
  <si>
    <t>LONG-TERM</t>
  </si>
  <si>
    <t>LIC</t>
  </si>
  <si>
    <t>REC</t>
  </si>
  <si>
    <t>PFC</t>
  </si>
  <si>
    <t>Bonds</t>
  </si>
  <si>
    <t>Bank</t>
  </si>
  <si>
    <t>APDRP</t>
  </si>
  <si>
    <t>Any Other</t>
  </si>
  <si>
    <t>SHORT-TERM</t>
  </si>
  <si>
    <t>Sl.No.</t>
  </si>
  <si>
    <t xml:space="preserve">Employee Expenses </t>
  </si>
  <si>
    <t>Total Employee Costs</t>
  </si>
  <si>
    <t>Less: Employee expenses capitalised</t>
  </si>
  <si>
    <t>TOTAL</t>
  </si>
  <si>
    <t>Loan Details</t>
  </si>
  <si>
    <t>Equity (Opening Balance)</t>
  </si>
  <si>
    <t>Net additions during the year</t>
  </si>
  <si>
    <t>Equity (Closing Balance)</t>
  </si>
  <si>
    <t xml:space="preserve">Average Equity </t>
  </si>
  <si>
    <t>Rate of Return on Equity</t>
  </si>
  <si>
    <t>S.No.</t>
  </si>
  <si>
    <t>Shareholders’ Funds</t>
  </si>
  <si>
    <t>Share Capital</t>
  </si>
  <si>
    <t>*</t>
  </si>
  <si>
    <t>O&amp;M expenses for 1 month</t>
  </si>
  <si>
    <t>Total Working Capital</t>
  </si>
  <si>
    <t xml:space="preserve">Interest on Working Capital </t>
  </si>
  <si>
    <t>Other expenses capitalised:</t>
  </si>
  <si>
    <t>Total of 2</t>
  </si>
  <si>
    <t>Grand Total</t>
  </si>
  <si>
    <t>Remarks</t>
  </si>
  <si>
    <t>O&amp;M Expenses</t>
  </si>
  <si>
    <t>i</t>
  </si>
  <si>
    <t>ii</t>
  </si>
  <si>
    <t>Income from other Business</t>
  </si>
  <si>
    <t>A.</t>
  </si>
  <si>
    <t>iii</t>
  </si>
  <si>
    <t>Income Tax</t>
  </si>
  <si>
    <t>Non tariff income</t>
  </si>
  <si>
    <t>j</t>
  </si>
  <si>
    <t>Less:</t>
  </si>
  <si>
    <t>G</t>
  </si>
  <si>
    <t>H</t>
  </si>
  <si>
    <t>I</t>
  </si>
  <si>
    <t>Rs. Crores</t>
  </si>
  <si>
    <t xml:space="preserve">Less: </t>
  </si>
  <si>
    <t>Income exempt from taxation</t>
  </si>
  <si>
    <t>Income from Incentives</t>
  </si>
  <si>
    <t>Credits for  carry forward of losses</t>
  </si>
  <si>
    <t>Net Taxable Income</t>
  </si>
  <si>
    <t>Tax Amount</t>
  </si>
  <si>
    <t>Tax Recoverable from  Consumers (Lower of A or B)</t>
  </si>
  <si>
    <t>Income of FY</t>
  </si>
  <si>
    <t>Receipts from other Business</t>
  </si>
  <si>
    <t>Less: Expenses from other business</t>
  </si>
  <si>
    <t>II</t>
  </si>
  <si>
    <t>III</t>
  </si>
  <si>
    <t xml:space="preserve">Assets of Licensed business utilized in other business </t>
  </si>
  <si>
    <t xml:space="preserve">Allocation of Revenue to Licensed Business decided by the Commission </t>
  </si>
  <si>
    <t>X</t>
  </si>
  <si>
    <t>X*(R*A/C)</t>
  </si>
  <si>
    <t>Due to Licensed Business (to be deducted from ARR)</t>
  </si>
  <si>
    <t xml:space="preserve">Total assets of other business (including the assets utilized of the Licensed Business) </t>
  </si>
  <si>
    <t>Less:    Security deposits from consumers, if any</t>
  </si>
  <si>
    <t>Capital Cost</t>
  </si>
  <si>
    <t>Less: Value of Non Depreciable Asset</t>
  </si>
  <si>
    <t>Depeciable Value</t>
  </si>
  <si>
    <t>Remaining Depreciable Value</t>
  </si>
  <si>
    <t>Balance Depreciable Value</t>
  </si>
  <si>
    <t>Depreciation recovered upto Previous Year</t>
  </si>
  <si>
    <t>Repair &amp; Maintenance Expenses</t>
  </si>
  <si>
    <t>`</t>
  </si>
  <si>
    <t>Less: Residual Value ( 10%)</t>
  </si>
  <si>
    <t>Administration and General Expenses</t>
  </si>
  <si>
    <t>Total A&amp;G Expenes</t>
  </si>
  <si>
    <t>Less: A&amp;G Expenses Capitalised</t>
  </si>
  <si>
    <t>Consumer Price Inflation</t>
  </si>
  <si>
    <t>Name of Distribution Licensee</t>
  </si>
  <si>
    <t>Statement of Receivables</t>
  </si>
  <si>
    <t>Other Current Assets</t>
  </si>
  <si>
    <t>Other Income</t>
  </si>
  <si>
    <t>Consumer Security Deposit</t>
  </si>
  <si>
    <t>Category</t>
  </si>
  <si>
    <t>Receivable from customers as at the beginning of the year</t>
  </si>
  <si>
    <t>Revenue billed for the year</t>
  </si>
  <si>
    <t>Collection for the year</t>
  </si>
  <si>
    <t>Gross receivable from customers as at the end of the year</t>
  </si>
  <si>
    <t>Source of Loan</t>
  </si>
  <si>
    <t>Notes:</t>
  </si>
  <si>
    <t>Rs.Crores</t>
  </si>
  <si>
    <t xml:space="preserve"> Value of Depreciable Asset</t>
  </si>
  <si>
    <t>S1</t>
  </si>
  <si>
    <t>Profit &amp; Loss Account</t>
  </si>
  <si>
    <t>S2</t>
  </si>
  <si>
    <t>Balance Sheet</t>
  </si>
  <si>
    <t>S3</t>
  </si>
  <si>
    <t>F21</t>
  </si>
  <si>
    <t>F26</t>
  </si>
  <si>
    <t>F27</t>
  </si>
  <si>
    <t>F28</t>
  </si>
  <si>
    <t>F29</t>
  </si>
  <si>
    <t>F30</t>
  </si>
  <si>
    <t>F31</t>
  </si>
  <si>
    <t>F32</t>
  </si>
  <si>
    <t>F33</t>
  </si>
  <si>
    <t>F34</t>
  </si>
  <si>
    <t>F35</t>
  </si>
  <si>
    <t>F36</t>
  </si>
  <si>
    <t>F37</t>
  </si>
  <si>
    <t>F38</t>
  </si>
  <si>
    <t>F39</t>
  </si>
  <si>
    <t>Energy Balance</t>
  </si>
  <si>
    <t>Transmission &amp; Load Dispatch charges</t>
  </si>
  <si>
    <t xml:space="preserve">Depreciation </t>
  </si>
  <si>
    <t>Sub-Total</t>
  </si>
  <si>
    <t>Total Expenditure</t>
  </si>
  <si>
    <t xml:space="preserve">Expenditure Allocation into Demand, Energy &amp; Customer Costs </t>
  </si>
  <si>
    <t>Demand</t>
  </si>
  <si>
    <t>Energy</t>
  </si>
  <si>
    <t>Customer</t>
  </si>
  <si>
    <t>Cash Flow Statement</t>
  </si>
  <si>
    <t>Form No: S3</t>
  </si>
  <si>
    <t>Form No: S1</t>
  </si>
  <si>
    <t>J</t>
  </si>
  <si>
    <t>Form No: S2</t>
  </si>
  <si>
    <t>Type of installation</t>
  </si>
  <si>
    <t>P1</t>
  </si>
  <si>
    <t>P3</t>
  </si>
  <si>
    <t>P4</t>
  </si>
  <si>
    <t>P6</t>
  </si>
  <si>
    <t>P7</t>
  </si>
  <si>
    <t>P8</t>
  </si>
  <si>
    <t>P9</t>
  </si>
  <si>
    <t>P10</t>
  </si>
  <si>
    <t>P12</t>
  </si>
  <si>
    <t>P13</t>
  </si>
  <si>
    <t>P14</t>
  </si>
  <si>
    <t>Sale of Power (MU)</t>
  </si>
  <si>
    <t>Distribution Loss (%)</t>
  </si>
  <si>
    <t>Net Annual Revenue Requirement of Licensee(B-C)</t>
  </si>
  <si>
    <t>Shortfall/Excess before tariff revision impact (A-D)</t>
  </si>
  <si>
    <t>Shortfall/Excess after tariff revision impact (E+F)</t>
  </si>
  <si>
    <t>Cost of Power Procurement</t>
  </si>
  <si>
    <t>Transmission and Load Dispatch Charges</t>
  </si>
  <si>
    <t>Revenue from Tariff and Misc. Charges at current tariff rates</t>
  </si>
  <si>
    <t>Form No: F2</t>
  </si>
  <si>
    <t xml:space="preserve">Allocation of Demand Costs </t>
  </si>
  <si>
    <t>Allocation ( Rs.)</t>
  </si>
  <si>
    <t>April</t>
  </si>
  <si>
    <t>May</t>
  </si>
  <si>
    <t>June</t>
  </si>
  <si>
    <t>July</t>
  </si>
  <si>
    <t>August</t>
  </si>
  <si>
    <t>September</t>
  </si>
  <si>
    <t>November</t>
  </si>
  <si>
    <t>December</t>
  </si>
  <si>
    <t>February</t>
  </si>
  <si>
    <t>January</t>
  </si>
  <si>
    <t>October</t>
  </si>
  <si>
    <t>March</t>
  </si>
  <si>
    <t xml:space="preserve">Allocation of Energy Costs </t>
  </si>
  <si>
    <t>Total Energy Cost as per Form F2</t>
  </si>
  <si>
    <t xml:space="preserve">Allocation of Customer Costs </t>
  </si>
  <si>
    <t xml:space="preserve">Ratio % </t>
  </si>
  <si>
    <t>Determination of Categorywise Consumers</t>
  </si>
  <si>
    <t>Ratio of Categorywise Consumers ( %)</t>
  </si>
  <si>
    <t xml:space="preserve">Allocation of Amount </t>
  </si>
  <si>
    <t>Total Customer Costs as per Form F2</t>
  </si>
  <si>
    <t xml:space="preserve">Determination of Categorywise Energy Consumption </t>
  </si>
  <si>
    <t>Energy Consumption ( MU)</t>
  </si>
  <si>
    <t>Ratio of Categorywise Electricty Consumed(%)</t>
  </si>
  <si>
    <t>Ratio%</t>
  </si>
  <si>
    <t>Allocation of Amount</t>
  </si>
  <si>
    <t>Determination of Categorywise Cost to Serve</t>
  </si>
  <si>
    <t>Total Cost to Serve</t>
  </si>
  <si>
    <t>Demand Costs</t>
  </si>
  <si>
    <t>Energy Costs</t>
  </si>
  <si>
    <t>Customer Costs</t>
  </si>
  <si>
    <t>Form No: F7</t>
  </si>
  <si>
    <t>F5A</t>
  </si>
  <si>
    <t xml:space="preserve">No. of consumers </t>
  </si>
  <si>
    <t xml:space="preserve">Connected load/ contracted demand </t>
  </si>
  <si>
    <t xml:space="preserve">(in KW) </t>
  </si>
  <si>
    <t>(in MU)</t>
  </si>
  <si>
    <t>Audited</t>
  </si>
  <si>
    <t>Adjustments</t>
  </si>
  <si>
    <t>Projected</t>
  </si>
  <si>
    <t>Revenue from Current Tariffs in Ensuing Year</t>
  </si>
  <si>
    <t xml:space="preserve">No.  of consumers </t>
  </si>
  <si>
    <t>Consumption- Slabwise (MU)</t>
  </si>
  <si>
    <t>Contract Demand/ Connected Load (KW /KVA /HP)</t>
  </si>
  <si>
    <t>Energy Charge  (Rs/KWh or Rs./KVAh )</t>
  </si>
  <si>
    <t>Total Energy Charge Rs. Crs.</t>
  </si>
  <si>
    <t>Unit of measurement</t>
  </si>
  <si>
    <t>Average revenue realisation (Rs./unit)</t>
  </si>
  <si>
    <t>Average cost to Serve (Rs./unit)</t>
  </si>
  <si>
    <t>(Gap) / Surplus (Rs / unit)</t>
  </si>
  <si>
    <t>Total Revenue Realization from sale of power at current tariffs (Rs. Crs.)</t>
  </si>
  <si>
    <t>B-C</t>
  </si>
  <si>
    <t>GRAND TOTAL</t>
  </si>
  <si>
    <t>F9A</t>
  </si>
  <si>
    <t>F10A</t>
  </si>
  <si>
    <t>F10B</t>
  </si>
  <si>
    <t>Summary of revenues and gap/surplus across major categories at proposed tariff</t>
  </si>
  <si>
    <t>Contracted Capacity (MW)</t>
  </si>
  <si>
    <t>F11A</t>
  </si>
  <si>
    <t xml:space="preserve">CAGR </t>
  </si>
  <si>
    <t>Summary of Power Purchase from Own Stations and Other Sources</t>
  </si>
  <si>
    <t>MU</t>
  </si>
  <si>
    <t>Percentage</t>
  </si>
  <si>
    <t>Base Rate of Return on Equity</t>
  </si>
  <si>
    <t>Target Availability</t>
  </si>
  <si>
    <t xml:space="preserve">Normative R&amp;M expenses </t>
  </si>
  <si>
    <t>% of GFA</t>
  </si>
  <si>
    <t>Maintenance Spares for Working Capital</t>
  </si>
  <si>
    <t>% of O&amp;M</t>
  </si>
  <si>
    <t>Receivebles for Working Capital</t>
  </si>
  <si>
    <t>in Months</t>
  </si>
  <si>
    <t>Base Rate of Reserve Bank  as on ________________</t>
  </si>
  <si>
    <t>Wheeling Network Availability Index</t>
  </si>
  <si>
    <t>Supply Availability Index</t>
  </si>
  <si>
    <t>Normative A&amp;G expenses per '000 Customers</t>
  </si>
  <si>
    <t>Normative Employees Expenses per '000 customers.</t>
  </si>
  <si>
    <t>Normative Employee Expenses per Sub Station</t>
  </si>
  <si>
    <t>F13A</t>
  </si>
  <si>
    <t xml:space="preserve">Abstract of Capital Cost </t>
  </si>
  <si>
    <t>Capital Cost as admitted by UPERC</t>
  </si>
  <si>
    <t>Less : Gross Block of Assets not in use</t>
  </si>
  <si>
    <t xml:space="preserve">Less:Capital liabilities </t>
  </si>
  <si>
    <t>Total Capital Cost admitted</t>
  </si>
  <si>
    <t>Increase /Decrease due to ACE</t>
  </si>
  <si>
    <t>Increase /Decrease due to FERV</t>
  </si>
  <si>
    <t xml:space="preserve">Less:Capital liabilities on account of ACE </t>
  </si>
  <si>
    <t>Add: Capital Liabilities Paid during the year</t>
  </si>
  <si>
    <t>Capital Cost for Purposes of ARR</t>
  </si>
  <si>
    <t>Gross Block ( Opening )</t>
  </si>
  <si>
    <t>Less :Expenditure Capitalized but not allowed</t>
  </si>
  <si>
    <t xml:space="preserve">Statement of Assets Not in Use </t>
  </si>
  <si>
    <t>Date of Acquisition/Installation</t>
  </si>
  <si>
    <t>Historical Cost/Cost of Acquisition</t>
  </si>
  <si>
    <t xml:space="preserve">Date of withdrawal operations </t>
  </si>
  <si>
    <t>Accumulated Depreciation on date of withdrawal</t>
  </si>
  <si>
    <t>Written down value on date of withdrawal</t>
  </si>
  <si>
    <t>Balance at the start of the year</t>
  </si>
  <si>
    <t>Additions during the Year</t>
  </si>
  <si>
    <t>Balance at the end of the Year</t>
  </si>
  <si>
    <t xml:space="preserve"> Total</t>
  </si>
  <si>
    <t>Form No: F18</t>
  </si>
  <si>
    <t>Form No: F19</t>
  </si>
  <si>
    <t>Opening Gross Block Amount as per books</t>
  </si>
  <si>
    <t>Amount of IDC, FC, FERV &amp; Hedging cost included in A(a) above</t>
  </si>
  <si>
    <t>Additions in Gross Block Amount as per books</t>
  </si>
  <si>
    <t>Amount of IDC, FC, FERV &amp; Hedging cost included in B(a) above</t>
  </si>
  <si>
    <t>Closing Gross Block Amount as per books</t>
  </si>
  <si>
    <t>Amount of IDC, FC, FERV &amp; Hedging cost included in C(a) above</t>
  </si>
  <si>
    <t>Opening CWIP Amount as per books</t>
  </si>
  <si>
    <t>Addition/Adjustment in CWIP Amount during the period</t>
  </si>
  <si>
    <t>Capitalization/Transfer to Fixed asset of CWIP Amount during the period</t>
  </si>
  <si>
    <t>Closing CWIP Amount as per books</t>
  </si>
  <si>
    <t>Reconcilation of Capital Liabilties with Financial Accounts</t>
  </si>
  <si>
    <t>Capital Liability for Capital Cost Admitted ( opening )</t>
  </si>
  <si>
    <t>Capital Liabilities as per Books      ( Opening )</t>
  </si>
  <si>
    <t>Capital Liabilities for CWIP</t>
  </si>
  <si>
    <t>Capital Liabilities for expenditure not allowed</t>
  </si>
  <si>
    <t>iv</t>
  </si>
  <si>
    <t>Capital Liability for Capital Cost allowed by the Commission vide Tariff Order ( i-(ii+iii))</t>
  </si>
  <si>
    <t>v</t>
  </si>
  <si>
    <t>Liability paid during current year</t>
  </si>
  <si>
    <t>Capital Liability of Opening Capital Cost admitted (at year end)( iv-v)</t>
  </si>
  <si>
    <t>Capital Liability for ACE during the year</t>
  </si>
  <si>
    <t>Total Capital Liability</t>
  </si>
  <si>
    <t>Package 1</t>
  </si>
  <si>
    <t>Package 2</t>
  </si>
  <si>
    <t>Package 3</t>
  </si>
  <si>
    <t>Package 4</t>
  </si>
  <si>
    <t>Package 5</t>
  </si>
  <si>
    <t>Package 6</t>
  </si>
  <si>
    <r>
      <t>Source of Loan</t>
    </r>
    <r>
      <rPr>
        <vertAlign val="superscript"/>
        <sz val="11"/>
        <rFont val="Calibri"/>
        <family val="2"/>
        <scheme val="minor"/>
      </rPr>
      <t>1</t>
    </r>
  </si>
  <si>
    <r>
      <t>Currency</t>
    </r>
    <r>
      <rPr>
        <vertAlign val="superscript"/>
        <sz val="11"/>
        <rFont val="Calibri"/>
        <family val="2"/>
        <scheme val="minor"/>
      </rPr>
      <t>2</t>
    </r>
  </si>
  <si>
    <r>
      <t>Interest Type</t>
    </r>
    <r>
      <rPr>
        <vertAlign val="superscript"/>
        <sz val="11"/>
        <rFont val="Calibri"/>
        <family val="2"/>
        <scheme val="minor"/>
      </rPr>
      <t>6</t>
    </r>
  </si>
  <si>
    <t>Fixed Interest Rate, if applicable</t>
  </si>
  <si>
    <r>
      <t>Base Rate, if Floating Interest</t>
    </r>
    <r>
      <rPr>
        <vertAlign val="superscript"/>
        <sz val="11"/>
        <rFont val="Calibri"/>
        <family val="2"/>
        <scheme val="minor"/>
      </rPr>
      <t>7</t>
    </r>
  </si>
  <si>
    <r>
      <t>Margin, if Floating Interest</t>
    </r>
    <r>
      <rPr>
        <vertAlign val="superscript"/>
        <sz val="11"/>
        <rFont val="Calibri"/>
        <family val="2"/>
        <scheme val="minor"/>
      </rPr>
      <t>8</t>
    </r>
  </si>
  <si>
    <r>
      <t>Are there any Caps/Floor</t>
    </r>
    <r>
      <rPr>
        <vertAlign val="superscript"/>
        <sz val="11"/>
        <rFont val="Calibri"/>
        <family val="2"/>
        <scheme val="minor"/>
      </rPr>
      <t>9</t>
    </r>
  </si>
  <si>
    <t>If above is yes,specify caps/floor</t>
  </si>
  <si>
    <r>
      <t>Moratorium Period</t>
    </r>
    <r>
      <rPr>
        <vertAlign val="superscript"/>
        <sz val="11"/>
        <rFont val="Calibri"/>
        <family val="2"/>
        <scheme val="minor"/>
      </rPr>
      <t>10</t>
    </r>
  </si>
  <si>
    <r>
      <t>Repayment Period</t>
    </r>
    <r>
      <rPr>
        <vertAlign val="superscript"/>
        <sz val="11"/>
        <rFont val="Calibri"/>
        <family val="2"/>
        <scheme val="minor"/>
      </rPr>
      <t>11</t>
    </r>
  </si>
  <si>
    <r>
      <t>Repayment Frequency</t>
    </r>
    <r>
      <rPr>
        <vertAlign val="superscript"/>
        <sz val="11"/>
        <rFont val="Calibri"/>
        <family val="2"/>
        <scheme val="minor"/>
      </rPr>
      <t>12</t>
    </r>
  </si>
  <si>
    <r>
      <t>Repayment Instalment</t>
    </r>
    <r>
      <rPr>
        <vertAlign val="superscript"/>
        <sz val="11"/>
        <rFont val="Calibri"/>
        <family val="2"/>
        <scheme val="minor"/>
      </rPr>
      <t>13,14</t>
    </r>
  </si>
  <si>
    <r>
      <t>Base Exchange Rate</t>
    </r>
    <r>
      <rPr>
        <vertAlign val="superscript"/>
        <sz val="11"/>
        <rFont val="Calibri"/>
        <family val="2"/>
        <scheme val="minor"/>
      </rPr>
      <t>16</t>
    </r>
  </si>
  <si>
    <t xml:space="preserve">Are foreign currency loan hedged? </t>
  </si>
  <si>
    <r>
      <t>If above is yes,specify details</t>
    </r>
    <r>
      <rPr>
        <vertAlign val="superscript"/>
        <sz val="11"/>
        <rFont val="Calibri"/>
        <family val="2"/>
        <scheme val="minor"/>
      </rPr>
      <t>17, 18, 19</t>
    </r>
  </si>
  <si>
    <r>
      <t>1</t>
    </r>
    <r>
      <rPr>
        <sz val="11"/>
        <rFont val="Calibri"/>
        <family val="2"/>
        <scheme val="minor"/>
      </rPr>
      <t xml:space="preserve"> Source of loan means the agency from whom the loan has been taken such as WB, ADB, WMB, PNB, SBI, ICICI, IFC, PFC etc.</t>
    </r>
  </si>
  <si>
    <r>
      <t>2</t>
    </r>
    <r>
      <rPr>
        <sz val="11"/>
        <rFont val="Calibri"/>
        <family val="2"/>
        <scheme val="minor"/>
      </rPr>
      <t xml:space="preserve"> Currency refers to currency of loan such as US$, DM, Yen,Indian Rupee etc.</t>
    </r>
  </si>
  <si>
    <r>
      <t>4</t>
    </r>
    <r>
      <rPr>
        <sz val="11"/>
        <rFont val="Calibri"/>
        <family val="2"/>
        <scheme val="minor"/>
      </rPr>
      <t xml:space="preserve"> Where the loan has been refinanced, details in the Form is to be given for the loan refinaced. However, the details of the original loan is to be given seperately in the same form.</t>
    </r>
  </si>
  <si>
    <r>
      <t>5</t>
    </r>
    <r>
      <rPr>
        <sz val="11"/>
        <rFont val="Calibri"/>
        <family val="2"/>
        <scheme val="minor"/>
      </rPr>
      <t xml:space="preserve"> If the Tariff in the petition is claimed seperately for various units, details in the Form is to be given seperately for all the units in the same form.</t>
    </r>
  </si>
  <si>
    <r>
      <t>6</t>
    </r>
    <r>
      <rPr>
        <sz val="11"/>
        <rFont val="Calibri"/>
        <family val="2"/>
        <scheme val="minor"/>
      </rPr>
      <t xml:space="preserve"> Interest type means whether the interest is fixed or floating.</t>
    </r>
  </si>
  <si>
    <r>
      <t>7</t>
    </r>
    <r>
      <rPr>
        <sz val="11"/>
        <rFont val="Calibri"/>
        <family val="2"/>
        <scheme val="minor"/>
      </rPr>
      <t xml:space="preserve"> Base rate means the base as PLR, LIBOR etc. over which the margin is to be added. Applicable base rate on different dates from the date of drawl may also be enclosed.</t>
    </r>
  </si>
  <si>
    <r>
      <t xml:space="preserve">8 </t>
    </r>
    <r>
      <rPr>
        <sz val="11"/>
        <rFont val="Calibri"/>
        <family val="2"/>
        <scheme val="minor"/>
      </rPr>
      <t>Margin means the points over and above the floating rate.</t>
    </r>
  </si>
  <si>
    <r>
      <t>9</t>
    </r>
    <r>
      <rPr>
        <sz val="11"/>
        <rFont val="Calibri"/>
        <family val="2"/>
        <scheme val="minor"/>
      </rPr>
      <t xml:space="preserve"> At times caps/ floor are put at which the floating rates are frozen. If such a condition exists, specify the limits.</t>
    </r>
  </si>
  <si>
    <r>
      <t>10</t>
    </r>
    <r>
      <rPr>
        <sz val="11"/>
        <rFont val="Calibri"/>
        <family val="2"/>
        <scheme val="minor"/>
      </rPr>
      <t xml:space="preserve"> Moratorium period refers to the period during which loan servicing liability is not required.</t>
    </r>
  </si>
  <si>
    <r>
      <t>11</t>
    </r>
    <r>
      <rPr>
        <sz val="11"/>
        <rFont val="Calibri"/>
        <family val="2"/>
        <scheme val="minor"/>
      </rPr>
      <t xml:space="preserve"> Repayment period means the repayment of loan such as 7 years, 10 years, 25 years etc.</t>
    </r>
  </si>
  <si>
    <r>
      <t>12</t>
    </r>
    <r>
      <rPr>
        <sz val="11"/>
        <rFont val="Calibri"/>
        <family val="2"/>
        <scheme val="minor"/>
      </rPr>
      <t xml:space="preserve"> Repayment frequency means the interval at which the debt servicing is to be done such as monthly, quarterly, half yearly, annual, etc.</t>
    </r>
  </si>
  <si>
    <r>
      <t>13</t>
    </r>
    <r>
      <rPr>
        <sz val="11"/>
        <rFont val="Calibri"/>
        <family val="2"/>
        <scheme val="minor"/>
      </rPr>
      <t xml:space="preserve"> Where there is more than one drawal/repayment for a loan, the date &amp; amount of each drawal/repayement may also be given seperately</t>
    </r>
  </si>
  <si>
    <r>
      <t>14</t>
    </r>
    <r>
      <rPr>
        <sz val="11"/>
        <rFont val="Calibri"/>
        <family val="2"/>
        <scheme val="minor"/>
      </rPr>
      <t xml:space="preserve"> If the repayment  instalment amount and repayment date  can not be worked out from the data furnished above, the repayment schedule to be  furnished seperately.</t>
    </r>
  </si>
  <si>
    <r>
      <t>15</t>
    </r>
    <r>
      <rPr>
        <sz val="11"/>
        <rFont val="Calibri"/>
        <family val="2"/>
        <scheme val="minor"/>
      </rPr>
      <t xml:space="preserve"> In case of Foreign loan,date of each  drawal &amp; repayment alongwith exchange rate at that date may be given.</t>
    </r>
  </si>
  <si>
    <r>
      <t>17</t>
    </r>
    <r>
      <rPr>
        <sz val="11"/>
        <rFont val="Calibri"/>
        <family val="2"/>
        <scheme val="minor"/>
      </rPr>
      <t xml:space="preserve"> In case of hedging, specify details like type of hedging, period of hedging, cost of heging, etc.</t>
    </r>
  </si>
  <si>
    <r>
      <t>18</t>
    </r>
    <r>
      <rPr>
        <sz val="11"/>
        <rFont val="Calibri"/>
        <family val="2"/>
        <scheme val="minor"/>
      </rPr>
      <t xml:space="preserve"> At the time of truing up rate of interest with relevant reset date (if any) to be furnished separately.</t>
    </r>
  </si>
  <si>
    <t>Name of the Projects</t>
  </si>
  <si>
    <r>
      <t>19</t>
    </r>
    <r>
      <rPr>
        <sz val="11"/>
        <rFont val="Calibri"/>
        <family val="2"/>
        <scheme val="minor"/>
      </rPr>
      <t xml:space="preserve"> At the time of truing up provide details of refinancing of loans considered earlier. </t>
    </r>
  </si>
  <si>
    <t>Details such as date on which refinancing done, amount of refinanced loan, terms and conditions of refinanced loan, financing and other charges incurred for refinancing etc.</t>
  </si>
  <si>
    <t>Form No: F34</t>
  </si>
  <si>
    <t>Form No: F35</t>
  </si>
  <si>
    <t>Additions</t>
  </si>
  <si>
    <t>Form No: F38</t>
  </si>
  <si>
    <t>Annual Average CPI Index</t>
  </si>
  <si>
    <t xml:space="preserve">Note </t>
  </si>
  <si>
    <t>Componentwise Details of Administration &amp; General Expenses</t>
  </si>
  <si>
    <t>R=I-E</t>
  </si>
  <si>
    <t>a. Employee expenses</t>
  </si>
  <si>
    <t>b. R&amp;M Expenses</t>
  </si>
  <si>
    <t>c. A&amp;G Expenses</t>
  </si>
  <si>
    <t>d. Depreciation</t>
  </si>
  <si>
    <t>Form No: S4</t>
  </si>
  <si>
    <t>Form No: F3</t>
  </si>
  <si>
    <t>3a</t>
  </si>
  <si>
    <t>3.b</t>
  </si>
  <si>
    <t>Investment Plan - Master</t>
  </si>
  <si>
    <t>Project Details</t>
  </si>
  <si>
    <t>SOURCE OF FINANCING FOR SCHEME</t>
  </si>
  <si>
    <t>Name of scheme</t>
  </si>
  <si>
    <t>Nature of Project (Select appropriate code from below)</t>
  </si>
  <si>
    <t>Project Start Date (DD-MM-YY)</t>
  </si>
  <si>
    <t>Project Completion date  (DD-MM-YY)</t>
  </si>
  <si>
    <t>Equity component</t>
  </si>
  <si>
    <t>Debt Component</t>
  </si>
  <si>
    <t>Loan amount (Rs. Crs.)</t>
  </si>
  <si>
    <t>Loan source</t>
  </si>
  <si>
    <t>Year  of Start</t>
  </si>
  <si>
    <t>Loan -2</t>
  </si>
  <si>
    <t>Loan -3</t>
  </si>
  <si>
    <t>Loan -1</t>
  </si>
  <si>
    <t>Codes for selecting Nature of work</t>
  </si>
  <si>
    <t>Year of Start</t>
  </si>
  <si>
    <t>Loan Source</t>
  </si>
  <si>
    <t>Loan Amount (Rs Cr)</t>
  </si>
  <si>
    <t>Commissioning / Capitalisation Plan - Master</t>
  </si>
  <si>
    <t>All schemes should necessarily be in the same serial order</t>
  </si>
  <si>
    <t>Debt Component of capex in year</t>
  </si>
  <si>
    <t>(i)System augmentation</t>
  </si>
  <si>
    <t>(ii)System improvement</t>
  </si>
  <si>
    <t>(iii)Schemes for loss reduction</t>
  </si>
  <si>
    <t>a.EHV Schemes</t>
  </si>
  <si>
    <t>b.Distribution schemes</t>
  </si>
  <si>
    <t>c.Metering schemes</t>
  </si>
  <si>
    <t>d.Capacitor</t>
  </si>
  <si>
    <t>e.SCADA / DMS etc</t>
  </si>
  <si>
    <t>f.Miscellaneous</t>
  </si>
  <si>
    <t>Name of Project</t>
  </si>
  <si>
    <t>Codes for selecting Nature of Project</t>
  </si>
  <si>
    <t>Whether the Project is part of approved Business Plan* (YES/NO)</t>
  </si>
  <si>
    <t>Total capital expenditure approved by UPERC (Rs. Crs.)</t>
  </si>
  <si>
    <t>Amount Capitalised in Work/Equipment</t>
  </si>
  <si>
    <t>Financing Details:-</t>
  </si>
  <si>
    <t xml:space="preserve">Loan-1 </t>
  </si>
  <si>
    <t xml:space="preserve">Loan-2 </t>
  </si>
  <si>
    <t>Loan-3</t>
  </si>
  <si>
    <t>Total Loan Amount</t>
  </si>
  <si>
    <t>Consumer Contribution</t>
  </si>
  <si>
    <t>Capital Subsidies / Grants</t>
  </si>
  <si>
    <t>Loan - 1, Loan - 2 etc. should be the names of loaning / funding agency</t>
  </si>
  <si>
    <t>Equity ( Foreign +Domesttic)</t>
  </si>
  <si>
    <t>LT</t>
  </si>
  <si>
    <t>HT</t>
  </si>
  <si>
    <t>IV</t>
  </si>
  <si>
    <t>V</t>
  </si>
  <si>
    <t>VI</t>
  </si>
  <si>
    <t>S. No</t>
  </si>
  <si>
    <t>Rural Schedule</t>
  </si>
  <si>
    <t>Metered</t>
  </si>
  <si>
    <t>VII</t>
  </si>
  <si>
    <t>VIII</t>
  </si>
  <si>
    <t>K</t>
  </si>
  <si>
    <t>L</t>
  </si>
  <si>
    <t>Form No: F4</t>
  </si>
  <si>
    <t>Form No: F5</t>
  </si>
  <si>
    <t>Form No: F6</t>
  </si>
  <si>
    <t>Form No:F16</t>
  </si>
  <si>
    <t>Form No: F19C</t>
  </si>
  <si>
    <t>Year-wise Capital Expenditure- Loan Details</t>
  </si>
  <si>
    <t>Form No:F20</t>
  </si>
  <si>
    <t>Form No: F21</t>
  </si>
  <si>
    <t>Form No: F22</t>
  </si>
  <si>
    <t>Distribution of loan packages to various distribution projects</t>
  </si>
  <si>
    <t>Distribution Project 1</t>
  </si>
  <si>
    <t>Distribution Project 2</t>
  </si>
  <si>
    <t>Distribution Project 3 and so on</t>
  </si>
  <si>
    <t>Form No: F28</t>
  </si>
  <si>
    <t>Form: F39</t>
  </si>
  <si>
    <t xml:space="preserve"> Against arrears upto previous year</t>
  </si>
  <si>
    <t xml:space="preserve"> Against current dues</t>
  </si>
  <si>
    <t>F19A</t>
  </si>
  <si>
    <t>F19B</t>
  </si>
  <si>
    <t>F19C</t>
  </si>
  <si>
    <t>F22</t>
  </si>
  <si>
    <t>Form No:F10</t>
  </si>
  <si>
    <t xml:space="preserve">Tariff Revision Impact </t>
  </si>
  <si>
    <t>Govt. Subsidy Received/Declared</t>
  </si>
  <si>
    <t>Determination of Categorywise Cross Subsidy</t>
  </si>
  <si>
    <t>Revenue from Open Access Customers</t>
  </si>
  <si>
    <t>Cross Subsidy Surcharge</t>
  </si>
  <si>
    <t>Additional Surcharge</t>
  </si>
  <si>
    <t>F7A</t>
  </si>
  <si>
    <t xml:space="preserve"> Deductions</t>
  </si>
  <si>
    <t>Deductions</t>
  </si>
  <si>
    <t xml:space="preserve">Metered Energy Sales </t>
  </si>
  <si>
    <t xml:space="preserve">Unmetered Energy Sales </t>
  </si>
  <si>
    <t>Energy Sales Forecast</t>
  </si>
  <si>
    <t xml:space="preserve">Total Energy Sales </t>
  </si>
  <si>
    <t>Total Revenue Realization from sale of power at proposed tariffs (Rs. Crs.)</t>
  </si>
  <si>
    <t xml:space="preserve">Long Term </t>
  </si>
  <si>
    <t xml:space="preserve">Short Term </t>
  </si>
  <si>
    <t xml:space="preserve">Power Procurement Planning  (in MWs) </t>
  </si>
  <si>
    <t>Form No: F7A</t>
  </si>
  <si>
    <t>Summary of Actual / Estimated Revenue from Sale of Power at Current Tariff</t>
  </si>
  <si>
    <t>Total Demand Cost as Per Form F2</t>
  </si>
  <si>
    <t>Interest on Working Capital</t>
  </si>
  <si>
    <t>Revenue from Proposed Tariff and Charges</t>
  </si>
  <si>
    <t xml:space="preserve">Net Employee expenses </t>
  </si>
  <si>
    <t>Add:Expenditure allowed but not capitalized</t>
  </si>
  <si>
    <t>Form No.:  F29</t>
  </si>
  <si>
    <t>Form No: F5A</t>
  </si>
  <si>
    <t>Form No: F4A</t>
  </si>
  <si>
    <t>Form No: F8</t>
  </si>
  <si>
    <t>Form No: F9</t>
  </si>
  <si>
    <t>Form No: F10A</t>
  </si>
  <si>
    <t>Form No: F10B</t>
  </si>
  <si>
    <t>Form No: F11</t>
  </si>
  <si>
    <t>Form No : F11A</t>
  </si>
  <si>
    <t>Form No: F12</t>
  </si>
  <si>
    <t>Form No: F14</t>
  </si>
  <si>
    <t>Form No: F15</t>
  </si>
  <si>
    <t xml:space="preserve">Form No: F19A </t>
  </si>
  <si>
    <t>Form No: F19B</t>
  </si>
  <si>
    <t xml:space="preserve"> </t>
  </si>
  <si>
    <t xml:space="preserve">True- Up </t>
  </si>
  <si>
    <t>Approved (in TO)</t>
  </si>
  <si>
    <t>Claimed</t>
  </si>
  <si>
    <t>FY 2020-21</t>
  </si>
  <si>
    <t>FY 2021-22</t>
  </si>
  <si>
    <t>FY 2022-23</t>
  </si>
  <si>
    <t>FY 2023-24</t>
  </si>
  <si>
    <t>FY 2024-25</t>
  </si>
  <si>
    <t>APR</t>
  </si>
  <si>
    <t>FY 2019-20</t>
  </si>
  <si>
    <t>Revised Estimates</t>
  </si>
  <si>
    <t>FY 2018-19</t>
  </si>
  <si>
    <t>Trued- Up</t>
  </si>
  <si>
    <t>FY 2017-18</t>
  </si>
  <si>
    <t>FY 2016-17</t>
  </si>
  <si>
    <t>FY 2015-16</t>
  </si>
  <si>
    <t>Past years Data</t>
  </si>
  <si>
    <t>Past Years Data</t>
  </si>
  <si>
    <t>Trued-Up</t>
  </si>
  <si>
    <t>Past Year data</t>
  </si>
  <si>
    <t>Past Year Data</t>
  </si>
  <si>
    <t xml:space="preserve">Past Years Data </t>
  </si>
  <si>
    <t>FY _____</t>
  </si>
  <si>
    <t>Formulae</t>
  </si>
  <si>
    <t>Units</t>
  </si>
  <si>
    <t>Filing date</t>
  </si>
  <si>
    <t>True- Up</t>
  </si>
  <si>
    <t>30.11.2019</t>
  </si>
  <si>
    <t>30.11.2020</t>
  </si>
  <si>
    <t>30.11.2021</t>
  </si>
  <si>
    <t>30.11.2022</t>
  </si>
  <si>
    <t>30.11.2023</t>
  </si>
  <si>
    <t>Past year Data</t>
  </si>
  <si>
    <t>True-Up</t>
  </si>
  <si>
    <t>ASSETS</t>
  </si>
  <si>
    <t>(1)</t>
  </si>
  <si>
    <t>Non-current assets</t>
  </si>
  <si>
    <t>(a) Property, Plant and Enquipment</t>
  </si>
  <si>
    <t>(b) Capital work-in-progress</t>
  </si>
  <si>
    <t>(c) Investment Property</t>
  </si>
  <si>
    <t>(d) Goodwill</t>
  </si>
  <si>
    <t>(f) Intangible assets under development</t>
  </si>
  <si>
    <t>(g) Biological Assets other than bearer plants</t>
  </si>
  <si>
    <t>(h) Financial Assets</t>
  </si>
  <si>
    <t xml:space="preserve">   (i) Investments</t>
  </si>
  <si>
    <t xml:space="preserve">   (ii) Trade receivables</t>
  </si>
  <si>
    <t xml:space="preserve">   (iii) Loans</t>
  </si>
  <si>
    <t xml:space="preserve">   (iv) Others (to be specified)</t>
  </si>
  <si>
    <t>(i) Deferred tax assets (net)</t>
  </si>
  <si>
    <t>(2)</t>
  </si>
  <si>
    <t>Current assets</t>
  </si>
  <si>
    <t>(a) Inventories</t>
  </si>
  <si>
    <t>(b) Financial Assets</t>
  </si>
  <si>
    <t xml:space="preserve">   (i)     Trade receivables</t>
  </si>
  <si>
    <t xml:space="preserve">   (ii)   Cash and cash equivalents</t>
  </si>
  <si>
    <t xml:space="preserve">   (iii)  Bank balances other than Cash 
            and Cash equivalent</t>
  </si>
  <si>
    <t xml:space="preserve">   (v) Loans</t>
  </si>
  <si>
    <t xml:space="preserve">   (iv)  Others </t>
  </si>
  <si>
    <t>(c) Current Tax Assets (Net)</t>
  </si>
  <si>
    <t>EQUITY AND LIABILITIES</t>
  </si>
  <si>
    <t>EQUITY</t>
  </si>
  <si>
    <t>(a) Equity Share Capital</t>
  </si>
  <si>
    <t>(b) Other Equity</t>
  </si>
  <si>
    <t>LIABILITIES</t>
  </si>
  <si>
    <t>Non-current liabilities</t>
  </si>
  <si>
    <t>(a) Financial liabilities</t>
  </si>
  <si>
    <t xml:space="preserve">   (i) Borrowings</t>
  </si>
  <si>
    <t xml:space="preserve">   (ii) Trade payables</t>
  </si>
  <si>
    <t>(b) Provisions</t>
  </si>
  <si>
    <t>(c) Deferred tax liabilities (Net)</t>
  </si>
  <si>
    <t>Current liabilities</t>
  </si>
  <si>
    <t xml:space="preserve">   (iii) Other financial liabilities</t>
  </si>
  <si>
    <t>(b) Other current liabilities</t>
  </si>
  <si>
    <t>(c) Provisions</t>
  </si>
  <si>
    <t>(d) Current 'Tax Liabilities (Net)</t>
  </si>
  <si>
    <t>(j) Other non-current assets</t>
  </si>
  <si>
    <t>(e) Intangible assets</t>
  </si>
  <si>
    <t>(d) Other current assets</t>
  </si>
  <si>
    <t>(d) Other non-current liabilities</t>
  </si>
  <si>
    <t xml:space="preserve">   (iii) Other financial liabilities </t>
  </si>
  <si>
    <t>Regulatory deferral account balances</t>
  </si>
  <si>
    <t>Total assets and Regulatory deferral account balances</t>
  </si>
  <si>
    <t>Less: Adjustable in future Tariff</t>
  </si>
  <si>
    <t>Total Equity and Liabilities</t>
  </si>
  <si>
    <t>Total Assets</t>
  </si>
  <si>
    <t>Revenue From Operations</t>
  </si>
  <si>
    <t>Total Income (I+II)</t>
  </si>
  <si>
    <t>EXPENSES</t>
  </si>
  <si>
    <t>Changes in inventories of finished goods, Stock-in-Trade and work-in-progress</t>
  </si>
  <si>
    <t>Employee benefits expense</t>
  </si>
  <si>
    <t>Finance costs</t>
  </si>
  <si>
    <t>Depreciation and amortization expenses</t>
  </si>
  <si>
    <t>Other expenses</t>
  </si>
  <si>
    <t>Total expenses (IV)</t>
  </si>
  <si>
    <t>Profit/(Loss) before tax (V-VI)</t>
  </si>
  <si>
    <t>Tax expense:</t>
  </si>
  <si>
    <t>(1) Current tax</t>
  </si>
  <si>
    <t>(2) Deferred tax</t>
  </si>
  <si>
    <t>Profit (Loss) for the period from continuing operations (VI-VII)</t>
  </si>
  <si>
    <t>Profit/(Loss) from discontinued operations</t>
  </si>
  <si>
    <t>Tax expense of discontinued operations</t>
  </si>
  <si>
    <t>Profit/(Loss) from discontinued operations (after tax) (IX-X)</t>
  </si>
  <si>
    <t>Profit/(Loss) for the period (VIII+XI)</t>
  </si>
  <si>
    <t>Other Comprehensive Income</t>
  </si>
  <si>
    <t>A (i) Items that will not be reclassified to profit or loss</t>
  </si>
  <si>
    <t>B (i) Items that will be reclassified to profit or loss</t>
  </si>
  <si>
    <t>Total Comprehensive Income for the period (XII+XIII) (Comprising Profit/(Loss) and Other Comprehensive Income for the period)</t>
  </si>
  <si>
    <t>Earnings per equity share (continuing operation) :</t>
  </si>
  <si>
    <t>Earnings per equity share (for discontinued operation) :</t>
  </si>
  <si>
    <t>Earnings per equity share (for discontinued &amp; continuing operations)</t>
  </si>
  <si>
    <t>IX</t>
  </si>
  <si>
    <t>XI</t>
  </si>
  <si>
    <t>XII</t>
  </si>
  <si>
    <t>XIII</t>
  </si>
  <si>
    <t>XIV</t>
  </si>
  <si>
    <t>XV</t>
  </si>
  <si>
    <t>XVI</t>
  </si>
  <si>
    <t>XVII</t>
  </si>
  <si>
    <t>XVIII</t>
  </si>
  <si>
    <t>a) Administrative, General &amp; Other Expenses</t>
  </si>
  <si>
    <t>c) Bad Debts &amp; Provisions</t>
  </si>
  <si>
    <t xml:space="preserve">   (ii) Income tax relating to items that will not be reclassified to profit or loss</t>
  </si>
  <si>
    <t xml:space="preserve">   (ii) Income tax relating to items that will be reclassified to profit or loss</t>
  </si>
  <si>
    <t>Profit/(Loss) before rate regulated activites/ exceptional items and tax (III-IV)</t>
  </si>
  <si>
    <t>Movement in Regulatory deferral account Balance/ Exceptional Items</t>
  </si>
  <si>
    <t>(i) Provision for the year</t>
  </si>
  <si>
    <t>(ii) Adjustable in future year</t>
  </si>
  <si>
    <t>Total other comprehensive income for the year</t>
  </si>
  <si>
    <t>XIX</t>
  </si>
  <si>
    <t>CASH FLOW FROM OPERATING ACTIVITIES</t>
  </si>
  <si>
    <t>Adjustment for :</t>
  </si>
  <si>
    <t>Interest &amp; Financial charges</t>
  </si>
  <si>
    <t>Prior period Expenditure (Net)</t>
  </si>
  <si>
    <t>Fringe Benefit Tax</t>
  </si>
  <si>
    <t>SUB TOTAL</t>
  </si>
  <si>
    <t>Operating profit before working capital change</t>
  </si>
  <si>
    <t>Stores &amp; Spares</t>
  </si>
  <si>
    <t>Trade Receivables</t>
  </si>
  <si>
    <t>Other Advances</t>
  </si>
  <si>
    <t>Inter Unit Transfer</t>
  </si>
  <si>
    <t>Short Term Borrowings</t>
  </si>
  <si>
    <t>Trade Payables</t>
  </si>
  <si>
    <t>CASH FLOW FROM FINANCING ACTIVITIES</t>
  </si>
  <si>
    <t>Proceeds from borrowings</t>
  </si>
  <si>
    <t xml:space="preserve">       Increase from Borrowing</t>
  </si>
  <si>
    <t xml:space="preserve">       Repayment of Borrowing</t>
  </si>
  <si>
    <t>Proceeds from Share Capital</t>
  </si>
  <si>
    <t>Proceed from Share Application Money</t>
  </si>
  <si>
    <t>Proceeds from consumers contribution &amp; GoUP capital subsidy(Reserve &amp; Surplus)</t>
  </si>
  <si>
    <t>Other long term liabilities</t>
  </si>
  <si>
    <t>Accumulated losses as per transfer scheme transferred to PTCL</t>
  </si>
  <si>
    <t>NET INCREASE (DECREASE) IN CASH &amp; CASH EQUIVALENTS (A+B+C)</t>
  </si>
  <si>
    <t>Other Current Liabilities</t>
  </si>
  <si>
    <t>Other Financial Liabilities</t>
  </si>
  <si>
    <t>Net Profit/ (Loss) before Taxation &amp; Extraordinary items</t>
  </si>
  <si>
    <t>Loss on retirement of property. Plant and equipments/ intangible assets (net)</t>
  </si>
  <si>
    <t>Gain on sale of current investments</t>
  </si>
  <si>
    <t>Interest income</t>
  </si>
  <si>
    <t>Dividend income</t>
  </si>
  <si>
    <t>Bad Debts written off</t>
  </si>
  <si>
    <t>Provision for doubtful debts</t>
  </si>
  <si>
    <t>Other non- current assets</t>
  </si>
  <si>
    <t>Employee benefit Obligations</t>
  </si>
  <si>
    <t>Regulatory deferral accounts</t>
  </si>
  <si>
    <t>k</t>
  </si>
  <si>
    <t>l</t>
  </si>
  <si>
    <t>CASH FROM OPERATING ACTIVITIES (A)</t>
  </si>
  <si>
    <t>Income tax paid</t>
  </si>
  <si>
    <t>Decrease/ (Increase) in Fixed Assets</t>
  </si>
  <si>
    <t>Decrease/ (Increase) in Capital Work in Progress</t>
  </si>
  <si>
    <t>(Increase)/ Decrease in Investments</t>
  </si>
  <si>
    <t>Decrease/ (Increase) in Other Non-Current Assets</t>
  </si>
  <si>
    <t>Decrease/ (Increase) in Long Term Loans &amp; Advances</t>
  </si>
  <si>
    <t>Interest and Dividend Income</t>
  </si>
  <si>
    <t>Loans to employees</t>
  </si>
  <si>
    <t>NET CASH INFLOW FROM OPERATING ACTIVITIES (A)</t>
  </si>
  <si>
    <t>CASH FLOWS FROM INVESTING ACTIVITIES</t>
  </si>
  <si>
    <t>NET CASH OUTFLOW FROM INVESTING ACTIVITIES (B)</t>
  </si>
  <si>
    <t>Dividend paid</t>
  </si>
  <si>
    <t>Dividend distribution tax paid</t>
  </si>
  <si>
    <t>NET CASH OUTFLOW FROM FINANCING ACTIVITIES (C)</t>
  </si>
  <si>
    <t>CASH &amp; CASH EQUIVALENTS AT THE BEGINNING OF THE FINANCIAL YEAR</t>
  </si>
  <si>
    <t>CASH &amp; CASH EQUIVALENTS AT THE END OF THE FINANCIAL YEAR</t>
  </si>
  <si>
    <t>Allocation Ratio (%)</t>
  </si>
  <si>
    <t>UoM</t>
  </si>
  <si>
    <t>FY*________</t>
  </si>
  <si>
    <t>Current Year**</t>
  </si>
  <si>
    <t>Previous Year*</t>
  </si>
  <si>
    <t>Year being Trued- Up</t>
  </si>
  <si>
    <t>**</t>
  </si>
  <si>
    <t>Previous year of the Trued- Up year</t>
  </si>
  <si>
    <t>Overall Distribution Losses</t>
  </si>
  <si>
    <t> C</t>
  </si>
  <si>
    <t>Quantum</t>
  </si>
  <si>
    <t> D</t>
  </si>
  <si>
    <t>Energy requirement at Discom Periphery</t>
  </si>
  <si>
    <t>Intra State Transmission Losses</t>
  </si>
  <si>
    <t> G</t>
  </si>
  <si>
    <t>Total Energy requirement at UPPTCL Periphery</t>
  </si>
  <si>
    <t> H</t>
  </si>
  <si>
    <t>Energy Purchase from Stations connected to Inter State Transmission network</t>
  </si>
  <si>
    <t>Inter State Transmission Losses</t>
  </si>
  <si>
    <t>Net Energy Received from Stations connected to Inter State Transmission network at UPPTCL Periphery</t>
  </si>
  <si>
    <t>D=A+C</t>
  </si>
  <si>
    <t>G=D+F</t>
  </si>
  <si>
    <t>K=I(1-J)</t>
  </si>
  <si>
    <t>L=I+K</t>
  </si>
  <si>
    <t>Form No: F9A</t>
  </si>
  <si>
    <t>Total Billed Amount (Rs Crs)</t>
  </si>
  <si>
    <t>Total Energy Charge (Rs Crs)</t>
  </si>
  <si>
    <t>Form No: F17</t>
  </si>
  <si>
    <t>Grant Towards Cost of Capital Assets</t>
  </si>
  <si>
    <t>Subsidies Towards Cost of Capital Asset</t>
  </si>
  <si>
    <t>Any Other Subsidy / Grant (Pls specify the source)</t>
  </si>
  <si>
    <t>Determination of CAGR of Energy Sales Forecast</t>
  </si>
  <si>
    <t>Note: However, in True- Up the formulae column may not be applicable , because of lower actual data.</t>
  </si>
  <si>
    <t>Depreciation recoverd/ to be recoverd during the year (upto maximum of remaining depreciable  value)</t>
  </si>
  <si>
    <t xml:space="preserve">Income of other Business </t>
  </si>
  <si>
    <r>
      <t>3</t>
    </r>
    <r>
      <rPr>
        <sz val="11"/>
        <rFont val="Calibri"/>
        <family val="2"/>
        <scheme val="minor"/>
      </rPr>
      <t xml:space="preserve"> Details are to be submitted as on 31.03.2020 for existing assets and as on COD for the remaining assets.</t>
    </r>
  </si>
  <si>
    <r>
      <t>16</t>
    </r>
    <r>
      <rPr>
        <sz val="11"/>
        <rFont val="Calibri"/>
        <family val="2"/>
        <scheme val="minor"/>
      </rPr>
      <t xml:space="preserve"> Base exchange rate means the exchange rate prevailing as on 31.03.2020 for existing assets and as on COD for the remaining assets.</t>
    </r>
  </si>
  <si>
    <t>PPA-wise renewable energy procured</t>
  </si>
  <si>
    <t>Rs. Cr</t>
  </si>
  <si>
    <t>Details for power procured via competitive bidding</t>
  </si>
  <si>
    <t xml:space="preserve">Particulars </t>
  </si>
  <si>
    <t>Information on short-term power procurement</t>
  </si>
  <si>
    <t>Rs./kWh</t>
  </si>
  <si>
    <t>C=(A/(1-B)-A)</t>
  </si>
  <si>
    <t>F=(D/(1-E)-D)</t>
  </si>
  <si>
    <t>Energy Purchase from Stations connected to Intra State Transmission network (UPPTCL)</t>
  </si>
  <si>
    <t>Total Energy Purchased at UPPCL Periphery</t>
  </si>
  <si>
    <t>ARR / Tariff</t>
  </si>
  <si>
    <t>15.10.2019</t>
  </si>
  <si>
    <t>Business Plan for FY 2020-21 to FY 2024-25</t>
  </si>
  <si>
    <t>FY 2018-19 (as per MYT Regulations, 2014)*</t>
  </si>
  <si>
    <t>FY 2019-20 (as per MYT Regulations, 2014)*</t>
  </si>
  <si>
    <r>
      <t>*The filings shall be as per Multi-Year Distribution Tariff Regulations, 2014 and Multi-Year Transmission Tariff Regulations, 2014, however, filings have to be made on 30</t>
    </r>
    <r>
      <rPr>
        <i/>
        <vertAlign val="superscript"/>
        <sz val="11"/>
        <color theme="1"/>
        <rFont val="Calibri"/>
        <family val="2"/>
      </rPr>
      <t>th</t>
    </r>
    <r>
      <rPr>
        <i/>
        <sz val="11"/>
        <color theme="1"/>
        <rFont val="Calibri"/>
        <family val="2"/>
      </rPr>
      <t xml:space="preserve"> November of the respective year as per these Regulations.</t>
    </r>
  </si>
  <si>
    <t>Load factor</t>
  </si>
  <si>
    <t>Billing Determinants with Load Factor</t>
  </si>
  <si>
    <t>Load Factor</t>
  </si>
  <si>
    <t>Fixed Charges</t>
  </si>
  <si>
    <t>No of Consumers</t>
  </si>
  <si>
    <t>Any Other Charges</t>
  </si>
  <si>
    <t>Shortfall/Excess (G-H)</t>
  </si>
  <si>
    <t>Total Other Deductions (C)</t>
  </si>
  <si>
    <t>Total Expenditure (B)</t>
  </si>
  <si>
    <t>Total Receipts (A)</t>
  </si>
  <si>
    <t>Type of Category</t>
  </si>
  <si>
    <t>Summary of revenues and Gap/(surplus) across  categories at Current Tariff</t>
  </si>
  <si>
    <t>#To be filed for each year of the control period</t>
  </si>
  <si>
    <t>Medium Term</t>
  </si>
  <si>
    <t xml:space="preserve">*Note:- Information to be provided for Past year,True-Up year, APR year &amp; for each year of the Control Period </t>
  </si>
  <si>
    <t>Normative Parameters Computed</t>
  </si>
  <si>
    <t>Details of Commission Approval</t>
  </si>
  <si>
    <t>**Supported with appropriate paper work i.e. Detailed Project Reports and other documents, as necessary</t>
  </si>
  <si>
    <t>Loan Amount (Rs Cr)**</t>
  </si>
  <si>
    <t>Equity infused (Rs. Cr.)**</t>
  </si>
  <si>
    <t>Capital Subsidies / grants component (Rs. Cr.)</t>
  </si>
  <si>
    <t>Consumer Contribution component (Rs. Cr.)</t>
  </si>
  <si>
    <t>Internal Accrual (from free reserves and surplus) (Rs. Cr.)</t>
  </si>
  <si>
    <t>All loan provided for the schemes should necessarily be in the same serial order</t>
  </si>
  <si>
    <t>Past years</t>
  </si>
  <si>
    <t xml:space="preserve">Past years </t>
  </si>
  <si>
    <t>Financing of Capitalised Works</t>
  </si>
  <si>
    <t>*Note:- Loanwise information to be provided for Previoue year, True- Up year, APR year &amp; also for each year of the Control Period.</t>
  </si>
  <si>
    <t>R &amp; M Expenses</t>
  </si>
  <si>
    <t>A&amp;G Expenses</t>
  </si>
  <si>
    <t>Normative$</t>
  </si>
  <si>
    <t xml:space="preserve">(c) </t>
  </si>
  <si>
    <t>(b)</t>
  </si>
  <si>
    <t>(a)</t>
  </si>
  <si>
    <t>FY 2014-15</t>
  </si>
  <si>
    <t>Normative*</t>
  </si>
  <si>
    <t>Sr. No.</t>
  </si>
  <si>
    <t>(d)</t>
  </si>
  <si>
    <t xml:space="preserve">(e) </t>
  </si>
  <si>
    <t>Expenses Capitalised</t>
  </si>
  <si>
    <t>Net O&amp;M Expenses</t>
  </si>
  <si>
    <t>Trued-Up O&amp;M Expenses (Without Efficiency Gains/Loss)</t>
  </si>
  <si>
    <t>Y</t>
  </si>
  <si>
    <t>Gross O&amp;M Expenses</t>
  </si>
  <si>
    <t>g= f*(1+escalation factor for FY 2017-18)</t>
  </si>
  <si>
    <t>h= g*(1+escalation factor for FY 2018-19)</t>
  </si>
  <si>
    <t>i= h*(1+escalation factor for FY 2019-20)</t>
  </si>
  <si>
    <t>(f) = [(a)+(b)+(c)+ (d)+(e)]/5 
(Average of Gross O&amp;M expenses)</t>
  </si>
  <si>
    <t>Note: Escalation Factor shall be computed considering CPI: WPI: 60: 40</t>
  </si>
  <si>
    <t>Employee Expenses Capitalised</t>
  </si>
  <si>
    <t>Gross Employee Expenses</t>
  </si>
  <si>
    <t>Net Employee Expenses</t>
  </si>
  <si>
    <t>Gross A&amp;G Expenses</t>
  </si>
  <si>
    <t>A&amp;G Expenses Capitalised</t>
  </si>
  <si>
    <t>Net A&amp;G Expenses</t>
  </si>
  <si>
    <t xml:space="preserve">1. CPI Index shall be considered from the Website of Ministry of Labour Bureau, Government of India. </t>
  </si>
  <si>
    <t>Annual Average WPI Index</t>
  </si>
  <si>
    <t xml:space="preserve">1. WPI Index shall be considered from the Website of Office of Economic Advisor of Government of India. </t>
  </si>
  <si>
    <t>(Rs. Crore)</t>
  </si>
  <si>
    <t>Buildings</t>
  </si>
  <si>
    <t>Other Civil Works</t>
  </si>
  <si>
    <t>Vehicles</t>
  </si>
  <si>
    <t>Furniture &amp; Fixtures</t>
  </si>
  <si>
    <t>Office Equipments</t>
  </si>
  <si>
    <t>Fixed Assets and Depreciation For past year, True Up year, APR year and for each Year of MYT Control Period</t>
  </si>
  <si>
    <t>F13G</t>
  </si>
  <si>
    <t>F13H</t>
  </si>
  <si>
    <t>F13I</t>
  </si>
  <si>
    <t>A. Normative Loan</t>
  </si>
  <si>
    <t xml:space="preserve">Sr. No. </t>
  </si>
  <si>
    <t>Tariff Order</t>
  </si>
  <si>
    <t>April-March (Audited)</t>
  </si>
  <si>
    <t>Deviation</t>
  </si>
  <si>
    <t>Opening Balance of Normative Loan</t>
  </si>
  <si>
    <t>Less: Reduction of Normative Loan due to retirement or replacement of assets</t>
  </si>
  <si>
    <t>Addition of Normative Loan due to capitalisation during the year</t>
  </si>
  <si>
    <t>Repayment of Normative loan during the year</t>
  </si>
  <si>
    <t>Closing Balance of Normative Loan</t>
  </si>
  <si>
    <t>Average Balance of Normative Loan</t>
  </si>
  <si>
    <t>Weighted average Rate of Interest on actual Loans (%)</t>
  </si>
  <si>
    <t>Interest on Security Deposit from Consumers and Distribution system Users</t>
  </si>
  <si>
    <t>B. Existing Actual Long-term Loans</t>
  </si>
  <si>
    <t>Legend</t>
  </si>
  <si>
    <t>…</t>
  </si>
  <si>
    <t>Approved in Tariff Order</t>
  </si>
  <si>
    <t>Total Interest Expenses</t>
  </si>
  <si>
    <t>Interest Rate (%)</t>
  </si>
  <si>
    <t>Income from rent of land or buildings;</t>
  </si>
  <si>
    <t xml:space="preserve">Income from sale of scrap; </t>
  </si>
  <si>
    <t>Income from investments;</t>
  </si>
  <si>
    <t xml:space="preserve">Interest income on advances to suppliers/contractors; </t>
  </si>
  <si>
    <t xml:space="preserve">Income from rental from staff quarters; </t>
  </si>
  <si>
    <t xml:space="preserve">Income from rental from contractors; </t>
  </si>
  <si>
    <t>Any other Non-Tariff Income:</t>
  </si>
  <si>
    <t>Supervision charges for capital works;</t>
  </si>
  <si>
    <t>Income from recovery against theft and/or pilferage of electricity;</t>
  </si>
  <si>
    <t>Income from sale of tender documents;</t>
  </si>
  <si>
    <t>Excess found on physical verification;</t>
  </si>
  <si>
    <t>Prior Period Income;</t>
  </si>
  <si>
    <t>Miscellaneous receipts; and</t>
  </si>
  <si>
    <r>
      <rPr>
        <sz val="11"/>
        <color theme="1"/>
        <rFont val="Times New Roman"/>
        <family val="1"/>
      </rPr>
      <t xml:space="preserve"> </t>
    </r>
    <r>
      <rPr>
        <sz val="11"/>
        <color theme="1"/>
        <rFont val="Calibri"/>
        <family val="2"/>
        <scheme val="minor"/>
      </rPr>
      <t>Interest income on loans / advances to employees;</t>
    </r>
  </si>
  <si>
    <r>
      <rPr>
        <sz val="11"/>
        <color theme="1"/>
        <rFont val="Times New Roman"/>
        <family val="1"/>
      </rPr>
      <t xml:space="preserve"> </t>
    </r>
    <r>
      <rPr>
        <sz val="11"/>
        <color theme="1"/>
        <rFont val="Calibri"/>
        <family val="2"/>
        <scheme val="minor"/>
      </rPr>
      <t>Income from hire charges from contactors and others;</t>
    </r>
  </si>
  <si>
    <r>
      <rPr>
        <sz val="11"/>
        <color theme="1"/>
        <rFont val="Times New Roman"/>
        <family val="1"/>
      </rPr>
      <t xml:space="preserve"> </t>
    </r>
    <r>
      <rPr>
        <sz val="11"/>
        <color theme="1"/>
        <rFont val="Calibri"/>
        <family val="2"/>
        <scheme val="minor"/>
      </rPr>
      <t>Income from delayed payment surcharge, supervision charges, etc.;</t>
    </r>
  </si>
  <si>
    <r>
      <rPr>
        <sz val="11"/>
        <color theme="1"/>
        <rFont val="Times New Roman"/>
        <family val="1"/>
      </rPr>
      <t xml:space="preserve"> </t>
    </r>
    <r>
      <rPr>
        <sz val="11"/>
        <color theme="1"/>
        <rFont val="Calibri"/>
        <family val="2"/>
        <scheme val="minor"/>
      </rPr>
      <t xml:space="preserve">Income from advertisements; </t>
    </r>
  </si>
  <si>
    <t>Interest Expenses Capitalised</t>
  </si>
  <si>
    <t>Sub-total</t>
  </si>
  <si>
    <t>Past year</t>
  </si>
  <si>
    <t xml:space="preserve">Past year </t>
  </si>
  <si>
    <t>F13B</t>
  </si>
  <si>
    <t>F13C</t>
  </si>
  <si>
    <t>F13D</t>
  </si>
  <si>
    <t>F13E</t>
  </si>
  <si>
    <t>F13F</t>
  </si>
  <si>
    <t>F23</t>
  </si>
  <si>
    <t>Form: F23</t>
  </si>
  <si>
    <t>F24</t>
  </si>
  <si>
    <t>F25</t>
  </si>
  <si>
    <t>Form No: F25</t>
  </si>
  <si>
    <t>Form No.:  F26</t>
  </si>
  <si>
    <t>Form No: F27</t>
  </si>
  <si>
    <t>Wholesale Price Inflation</t>
  </si>
  <si>
    <t>Form No: F29A</t>
  </si>
  <si>
    <t>F29A</t>
  </si>
  <si>
    <t>Form No: F29B</t>
  </si>
  <si>
    <t>F29B</t>
  </si>
  <si>
    <t>Form No: F29C</t>
  </si>
  <si>
    <t>Form No: F29D</t>
  </si>
  <si>
    <t>Form No: F30</t>
  </si>
  <si>
    <t>Form No. F30A</t>
  </si>
  <si>
    <t>Form F: 31</t>
  </si>
  <si>
    <t>Form No: F32</t>
  </si>
  <si>
    <t>Form No.: F32A</t>
  </si>
  <si>
    <t>Form No.: F33</t>
  </si>
  <si>
    <t>Form No:  F36</t>
  </si>
  <si>
    <t>Form No: F37</t>
  </si>
  <si>
    <t>F29C</t>
  </si>
  <si>
    <t>F29D</t>
  </si>
  <si>
    <t>F29E</t>
  </si>
  <si>
    <t>Form No: F29E</t>
  </si>
  <si>
    <t>F30A</t>
  </si>
  <si>
    <t>Interest on Normative Loan</t>
  </si>
  <si>
    <t>F32A</t>
  </si>
  <si>
    <t>P2</t>
  </si>
  <si>
    <t>P5</t>
  </si>
  <si>
    <t>P11</t>
  </si>
  <si>
    <t>Petitions to be filed in the Control Period under Regulation 4.1 of the UPREC (MYT for Distribution, Transmission) Regulations, 2019</t>
  </si>
  <si>
    <t>Allocation %</t>
  </si>
  <si>
    <t>Wheeling</t>
  </si>
  <si>
    <t>Supply</t>
  </si>
  <si>
    <t>Allocation</t>
  </si>
  <si>
    <t>Form: F40</t>
  </si>
  <si>
    <t>True-Up Snapshot</t>
  </si>
  <si>
    <t xml:space="preserve">Approved in Tariff Order </t>
  </si>
  <si>
    <t xml:space="preserve">Actual as per Audited Accounts </t>
  </si>
  <si>
    <t xml:space="preserve">% Change of (C) as compared to (A) </t>
  </si>
  <si>
    <t xml:space="preserve">Trued-Up of Previous Year            </t>
  </si>
  <si>
    <t xml:space="preserve">% Change of (C) as compared to (E) </t>
  </si>
  <si>
    <t>(A)</t>
  </si>
  <si>
    <t>(B)</t>
  </si>
  <si>
    <t>(C)</t>
  </si>
  <si>
    <t>D=(C-A)/A</t>
  </si>
  <si>
    <t>(E)</t>
  </si>
  <si>
    <t>F=(C-E)/E</t>
  </si>
  <si>
    <t xml:space="preserve">Trued-Up of Last Year            </t>
  </si>
  <si>
    <t>Investments</t>
  </si>
  <si>
    <t>Transferred to GFA (total capitalisation)</t>
  </si>
  <si>
    <t>APR Snapshot</t>
  </si>
  <si>
    <t>APR Claimed</t>
  </si>
  <si>
    <t xml:space="preserve">% Change of (B) as compared to (A) </t>
  </si>
  <si>
    <t xml:space="preserve">Trued up of Previous Year             </t>
  </si>
  <si>
    <t xml:space="preserve">% Change of (B) as compared to (D) </t>
  </si>
  <si>
    <t>C=(B-A)/A</t>
  </si>
  <si>
    <t>(D)</t>
  </si>
  <si>
    <t>E=(B-D)/D</t>
  </si>
  <si>
    <t>ARR</t>
  </si>
  <si>
    <t>ARR Snapshot</t>
  </si>
  <si>
    <t>ARR Claimed</t>
  </si>
  <si>
    <t>ARR of Previous Year</t>
  </si>
  <si>
    <t>G=(B-D)/D</t>
  </si>
  <si>
    <t>Rs. Crore</t>
  </si>
  <si>
    <t xml:space="preserve">                       (ARR)</t>
  </si>
  <si>
    <t xml:space="preserve"> (APR)</t>
  </si>
  <si>
    <t>The Licensees are required to provide the data in the given formats only within the specified timelines. Not applicable Formats, Cells /Columns should be left blank but not deleted.</t>
  </si>
  <si>
    <t>Wherever applicable, the Licensees are required to provide audited/ provisional data along with past years'.</t>
  </si>
  <si>
    <t xml:space="preserve">All forms are also to be submitted in hard copy, signed and stamped by an authorized person on behalf of Licensee as per Regulations. </t>
  </si>
  <si>
    <t xml:space="preserve">Note: Licenees are required to provide the above format Discom wise and consolidated both. </t>
  </si>
  <si>
    <t>* However, as per the MYT 2019 Regulations, the same will be part of A&amp;G.</t>
  </si>
  <si>
    <t>It is noted that as per the MYT Regulations, 2019 there is no provision for sharing of gains.</t>
  </si>
  <si>
    <t>Opening GFA</t>
  </si>
  <si>
    <t>Add: Additions</t>
  </si>
  <si>
    <t>Less: Deductions</t>
  </si>
  <si>
    <t>Closing GFA</t>
  </si>
  <si>
    <t xml:space="preserve">Net O&amp;M Expenses </t>
  </si>
  <si>
    <t>a) Net Employee costs</t>
  </si>
  <si>
    <t>b) Net A&amp;G expenses</t>
  </si>
  <si>
    <t>c) Net R&amp;M expenses</t>
  </si>
  <si>
    <t>Retail Sales (Audited) (MU)</t>
  </si>
  <si>
    <t>Distribution Losses (%)</t>
  </si>
  <si>
    <t>Energy at Discom Periphery for Retail Sales (Audited) (MU)</t>
  </si>
  <si>
    <t>(C=A/(1-B))</t>
  </si>
  <si>
    <t>Energy from State Generating Stations (MU)</t>
  </si>
  <si>
    <t>Energy from Central Generating Stations (MU)</t>
  </si>
  <si>
    <t>Intra-State Transmission Loss (%)</t>
  </si>
  <si>
    <t>Energy Available after intra-state losses (MU)</t>
  </si>
  <si>
    <t>(G= (D+H)/(1-F))</t>
  </si>
  <si>
    <t>Energy Available after inter-state losses (MU)</t>
  </si>
  <si>
    <t>Interstate Transmission Loss (%)</t>
  </si>
  <si>
    <t>(J=(E-H)/E)</t>
  </si>
  <si>
    <t>ABR (Excluding Subsidy) (Rs. /kWhr)(Rs. /kWhr)</t>
  </si>
  <si>
    <t>(Rs. /kWh)</t>
  </si>
  <si>
    <t>ABR (including Subsidy) (Rs. /kWhr)</t>
  </si>
  <si>
    <t>ACOS (Rs. /kWhr)</t>
  </si>
  <si>
    <t xml:space="preserve">Trued-Up of Previous Year   </t>
  </si>
  <si>
    <t>True-Up Claimed</t>
  </si>
  <si>
    <t xml:space="preserve"> Movement in Capex details:</t>
  </si>
  <si>
    <t>  Details of O&amp;M components:</t>
  </si>
  <si>
    <t xml:space="preserve"> Energy Balance Information as shown below :</t>
  </si>
  <si>
    <t>% Change of True-Up Claime wrt to approved in Tariff Order</t>
  </si>
  <si>
    <t>% Change of APR Claime wrt to approved in Tariff Order</t>
  </si>
  <si>
    <t>CWIP &amp; GFA Details</t>
  </si>
  <si>
    <t>Parameters</t>
  </si>
  <si>
    <t xml:space="preserve">Trued-Up (Previous Year) </t>
  </si>
  <si>
    <t>Audited Accounts</t>
  </si>
  <si>
    <t>Approved in True-Up</t>
  </si>
  <si>
    <t>Opening WIP as on 1st April</t>
  </si>
  <si>
    <t>A&amp;G Expense Capitalisation</t>
  </si>
  <si>
    <t>Interest Capitalisation</t>
  </si>
  <si>
    <t>Closing WIP as on 31st March</t>
  </si>
  <si>
    <t>Opening GFA  as on 1st April</t>
  </si>
  <si>
    <t>Closing GFA as on 31st March</t>
  </si>
  <si>
    <t>Gross allowable Depreciation</t>
  </si>
  <si>
    <t>Net allowable Deprecaition</t>
  </si>
  <si>
    <t>Existing Tariff</t>
  </si>
  <si>
    <t>Consumers getting supply other than "Rural Schedule"</t>
  </si>
  <si>
    <t>Consumers getting supply as per "Rural Schedule"</t>
  </si>
  <si>
    <t>Summer Months (April to September)</t>
  </si>
  <si>
    <t>Winter Months (October to March)</t>
  </si>
  <si>
    <t>Multi Story Buildings (Covered under LMV-1b)</t>
  </si>
  <si>
    <t>Multi Story Buildings (Covered under HV-1b)</t>
  </si>
  <si>
    <t>Public Charging Stations</t>
  </si>
  <si>
    <t>Public Charging Station (LT)</t>
  </si>
  <si>
    <t>Public Charging Station (HT)</t>
  </si>
  <si>
    <t>Form No: F44</t>
  </si>
  <si>
    <t>Proposed Tariff</t>
  </si>
  <si>
    <t>Past Years</t>
  </si>
  <si>
    <t>Distribution Loss (%) of State Discoms (Actual/ Projection)</t>
  </si>
  <si>
    <t>Financial Year</t>
  </si>
  <si>
    <t>Distribution Loss, Intrastate &amp; Interstate Transmission Loss</t>
  </si>
  <si>
    <t>Category / Sub-Category</t>
  </si>
  <si>
    <t>No. of Consumers (Nos.)</t>
  </si>
  <si>
    <t>Connected Load (kW)</t>
  </si>
  <si>
    <t>Sales (MU)</t>
  </si>
  <si>
    <t>Revenue (Rs. Crore)</t>
  </si>
  <si>
    <t>L=(K-D)/D</t>
  </si>
  <si>
    <t>M</t>
  </si>
  <si>
    <t>O</t>
  </si>
  <si>
    <t>Q</t>
  </si>
  <si>
    <t>S</t>
  </si>
  <si>
    <t>T=(S-K)/K</t>
  </si>
  <si>
    <t>U</t>
  </si>
  <si>
    <t>V=(U-M)/M</t>
  </si>
  <si>
    <t>W</t>
  </si>
  <si>
    <t>X=(W-O)/O</t>
  </si>
  <si>
    <t>Z=(Y-Q)/Q</t>
  </si>
  <si>
    <t>AA</t>
  </si>
  <si>
    <t>LMV-1: Domestic Light, Fan &amp; Power</t>
  </si>
  <si>
    <t>Dom: Rural Schedule (unmetered)</t>
  </si>
  <si>
    <t>Dom: Rural Schedule (metered) other than BPL</t>
  </si>
  <si>
    <t>Dom: Supply at Single Point for Bulk Load</t>
  </si>
  <si>
    <t>Other Metered Domestic Consumers other than BPL</t>
  </si>
  <si>
    <t>BPL (both Rural and Urban)</t>
  </si>
  <si>
    <t>SUBTOTAL (LMV-1)</t>
  </si>
  <si>
    <t>LMV-2:Non Domestic Light,Fan &amp; Power</t>
  </si>
  <si>
    <t>Non Dom: Rural Schedule (unmetered)</t>
  </si>
  <si>
    <t>Non Dom: Rural Schedule (metered)</t>
  </si>
  <si>
    <t>Non Dom: Private Advertising/SignPost/SignBoard/GlowSign</t>
  </si>
  <si>
    <t>Non Dom: Other Metered Non-Domestic Supply</t>
  </si>
  <si>
    <t>Upto 300 kWh / month</t>
  </si>
  <si>
    <t>301 – 1000 kWh / month</t>
  </si>
  <si>
    <t>Above 1000 kWh/Month</t>
  </si>
  <si>
    <t>SUBTOTAL (LMV-2)</t>
  </si>
  <si>
    <t xml:space="preserve">LMV-3: Public Lamps </t>
  </si>
  <si>
    <t>Unmetered - Gram Panchayat</t>
  </si>
  <si>
    <t>Unmetered - Nagar Palika &amp; Nagar Panchayat</t>
  </si>
  <si>
    <t>Unmetered - Nagar Nigam</t>
  </si>
  <si>
    <t>Metered - Gram Panchayat</t>
  </si>
  <si>
    <t>Metered - Nagar Palika &amp; Nagar Panchayat</t>
  </si>
  <si>
    <t>Metered - Nagar Nigam</t>
  </si>
  <si>
    <t>SUBTOTAL (LMV-3)</t>
  </si>
  <si>
    <t>LMV-4: Light, fan &amp; Power for Institutions</t>
  </si>
  <si>
    <t>Inst: Public</t>
  </si>
  <si>
    <t xml:space="preserve">Inst: Public : 0 – 1000 kWh / month </t>
  </si>
  <si>
    <t xml:space="preserve">Inst: Public : 1001 – 2000 kWh / month </t>
  </si>
  <si>
    <t xml:space="preserve">Inst: Public : Above 2000 kWh / month </t>
  </si>
  <si>
    <t>Inst: Private</t>
  </si>
  <si>
    <t xml:space="preserve">Inst: Private : 0 – 1000 kWh / month </t>
  </si>
  <si>
    <t xml:space="preserve">Inst: Private : Above 1000 kWh / month </t>
  </si>
  <si>
    <t>SUBTOTAL (LMV-4)</t>
  </si>
  <si>
    <t>LMV-5: Private Tube Wells/ Pumping Sets</t>
  </si>
  <si>
    <t>PTW: Rural Schedule (unmetered)</t>
  </si>
  <si>
    <t>PTW: Rural Schedule (metered)</t>
  </si>
  <si>
    <t>PTW: Urban Schedule (metered)</t>
  </si>
  <si>
    <t>SUBTOTAL (LMV-5)</t>
  </si>
  <si>
    <t>LMV 6: Small and Medium Power upto 100 HP (75 kW)</t>
  </si>
  <si>
    <t>Power Loom: Rural schedule</t>
  </si>
  <si>
    <t>Power Loom: Urban schedule</t>
  </si>
  <si>
    <t>Other than power loom: Rural schedule</t>
  </si>
  <si>
    <t>Other than power loom: Urban schedule</t>
  </si>
  <si>
    <t>Other Urban : 0 – 1000 kWh / month</t>
  </si>
  <si>
    <t>Other Urban: 1001 – 2000 kWh / month</t>
  </si>
  <si>
    <t>Other Urban : Above 2000 kWh / month</t>
  </si>
  <si>
    <t>SUBTOTAL (LMV-6)</t>
  </si>
  <si>
    <t xml:space="preserve">LMV-7: Public Water Works </t>
  </si>
  <si>
    <t>Rural Schedule: Jal Nigam</t>
  </si>
  <si>
    <t>Rural Schedule: Jal Sansthan</t>
  </si>
  <si>
    <t>Rural Schedule: Other PWWs</t>
  </si>
  <si>
    <t>Urban Schedule: Jal Nigam</t>
  </si>
  <si>
    <t>Urban Schedule: Jal Sansthan</t>
  </si>
  <si>
    <t>Urban Schedule: Other PWWs</t>
  </si>
  <si>
    <t>SUBTOTAL (LMV-7)</t>
  </si>
  <si>
    <t>LMV-8: State Tube Wells &amp; Pump Canals upto 100 HP</t>
  </si>
  <si>
    <t>Metered STW</t>
  </si>
  <si>
    <t>Unmetered: STW/Panch.Raj/WB/ID/P.Canals/LI upto 100 BHP</t>
  </si>
  <si>
    <t>Unmetered: Laghu Dal Nahar above 100 BHP</t>
  </si>
  <si>
    <t>SUBTOTAL (LMV-8)</t>
  </si>
  <si>
    <t xml:space="preserve">LMV-9: Temporary Supply </t>
  </si>
  <si>
    <t>Metered TS: Individual residential consumers</t>
  </si>
  <si>
    <t>Metered TS: Others</t>
  </si>
  <si>
    <t>Unmetered TS: Ceremonies</t>
  </si>
  <si>
    <t>Unmetered TS: Temp shops</t>
  </si>
  <si>
    <t>SUBTOTAL (LMV-9)</t>
  </si>
  <si>
    <t>LMV-10: Departmental Employees</t>
  </si>
  <si>
    <t>Serving: Class IV Employees</t>
  </si>
  <si>
    <t>Serving: Class III Employees</t>
  </si>
  <si>
    <t>Serving: Junior Engineers &amp; Equivalent</t>
  </si>
  <si>
    <t>Serving: Assistant Engineers &amp; Equivalent</t>
  </si>
  <si>
    <t>Serving: Executive Engineers &amp; Equivalent</t>
  </si>
  <si>
    <t>Serving: Deputy General Manager &amp; Equivalent</t>
  </si>
  <si>
    <t>Serving: CGM/GM &amp; Equivalent posts and above</t>
  </si>
  <si>
    <t>Pensioners</t>
  </si>
  <si>
    <t>SUBTOTAL (LMV-10)</t>
  </si>
  <si>
    <t>HV-1: Non-Industrial Bulk Loads</t>
  </si>
  <si>
    <t>HV1 Urban Schedule: Supply at 11 kV</t>
  </si>
  <si>
    <t>HV1 Urban Schedule: Supply above 11 kV &amp; above</t>
  </si>
  <si>
    <t>HV1 Rural Schedule: Supply at 11 kV</t>
  </si>
  <si>
    <t>HV1 Rural Schedule: Supply above 11 kV &amp; above</t>
  </si>
  <si>
    <t>SUBTOTAL (HV-1)</t>
  </si>
  <si>
    <t>HV-2: Large and Heavy Power above 100 BHP (75 kW)</t>
  </si>
  <si>
    <t>HV2 Urban Schedule: Supply at 11 kV</t>
  </si>
  <si>
    <t>HV2 Urban Schedule: Supply above 11 kV &amp; upto 66 kV</t>
  </si>
  <si>
    <t>HV2 Urban Schedule: Supply above 66 kV &amp; upto 132 kV</t>
  </si>
  <si>
    <t>HV2 Urban Schedule: Supply above 132 kV</t>
  </si>
  <si>
    <t>HV2 Rural Schedule: Supply at 11 kV</t>
  </si>
  <si>
    <t>HV2 Rural Schedule: Supply above 11 kV &amp; upto 66 kV</t>
  </si>
  <si>
    <t>SUBTOTAL (HV-2)</t>
  </si>
  <si>
    <t>HV-3: Railway Traction</t>
  </si>
  <si>
    <t>HV3 Supply below 132 kV</t>
  </si>
  <si>
    <t>HV3 For Metro traction</t>
  </si>
  <si>
    <t>SUBTOTAL (HV-3)</t>
  </si>
  <si>
    <t>HV-4: Lift Irrigation &amp; P. Canals above 100 BHP (75 kW)</t>
  </si>
  <si>
    <t>HV4 Supply at 11kV</t>
  </si>
  <si>
    <t>HV4 Supply above 11kV &amp; upto 66kV</t>
  </si>
  <si>
    <t>HV4 Supply above 66 kV &amp; upto 132kV</t>
  </si>
  <si>
    <t>SUBTOTAL (HV-4)</t>
  </si>
  <si>
    <t>BULK SUPPLY</t>
  </si>
  <si>
    <t>Bulk Supply</t>
  </si>
  <si>
    <t>EXTRA STATE CONSUMER</t>
  </si>
  <si>
    <t>LMV-11: EV Charging</t>
  </si>
  <si>
    <t>Multi Story Buildings</t>
  </si>
  <si>
    <t>Form No: F45</t>
  </si>
  <si>
    <t xml:space="preserve"> Billing Determinants with Revenue </t>
  </si>
  <si>
    <t>Revenue         (Rs. Crore)</t>
  </si>
  <si>
    <t>% Change of True-Up Claimed wrt Previous Year</t>
  </si>
  <si>
    <t>F=(E-A)/A</t>
  </si>
  <si>
    <t>H=(G-B)/B</t>
  </si>
  <si>
    <t>J=(I-C)/C</t>
  </si>
  <si>
    <t>N=(M-E)/E</t>
  </si>
  <si>
    <t>% Change of APR Claimed wrt True-Up Claimed</t>
  </si>
  <si>
    <t>P=(O-G)/G</t>
  </si>
  <si>
    <t>R=(Q-I)/I</t>
  </si>
  <si>
    <t>% Change of ARR Claimed wrt APR Claimed</t>
  </si>
  <si>
    <t>AB=(AA-S)/S</t>
  </si>
  <si>
    <t>Previous Year</t>
  </si>
  <si>
    <t xml:space="preserve"> Trued-Up</t>
  </si>
  <si>
    <t>(Rs. / kWh)</t>
  </si>
  <si>
    <t>Consumer Categories</t>
  </si>
  <si>
    <t>ACoS</t>
  </si>
  <si>
    <t>Ture-Up Claimed</t>
  </si>
  <si>
    <t>ABR</t>
  </si>
  <si>
    <t>Form No: F47</t>
  </si>
  <si>
    <t>ABR % of ACoS</t>
  </si>
  <si>
    <t xml:space="preserve">ABR / unit % of ACoS </t>
  </si>
  <si>
    <t>Consumer No., Connected Load, Sales &amp; Revenue Details</t>
  </si>
  <si>
    <t>Form No: F46</t>
  </si>
  <si>
    <t>Form No: F48</t>
  </si>
  <si>
    <t>Employee Expense Capitalisation</t>
  </si>
  <si>
    <t>Intra-State Transmission Loss (%) (Actual/ Projection)</t>
  </si>
  <si>
    <t>Inter-State Transmission Loss (%) (Actual/ Projection)</t>
  </si>
  <si>
    <t>Rate Schedule for Proposed Tariff</t>
  </si>
  <si>
    <t>No. of consumers</t>
  </si>
  <si>
    <t>Revenue from Fixed/Demand Charges (Rs. Crore)</t>
  </si>
  <si>
    <t>Revenue from Energy Charges (Rs. Crore)</t>
  </si>
  <si>
    <t>Total Revenue (including Subsidy) (Rs. Crore)</t>
  </si>
  <si>
    <t>APR Year</t>
  </si>
  <si>
    <t>Month</t>
  </si>
  <si>
    <t>Form No: F49</t>
  </si>
  <si>
    <t>Revenue from Tariff</t>
  </si>
  <si>
    <t xml:space="preserve">Note: 1. Licenees are required to provide the above format Discom wise and consolidated both. </t>
  </si>
  <si>
    <t>Avg. No. of Hours Supply Per day</t>
  </si>
  <si>
    <t>Avg. No. of Hour Supply Per day</t>
  </si>
  <si>
    <t>Revenue from Miniumum Charge (Rs. Crore)</t>
  </si>
  <si>
    <t>Revenue from any Other Charges (Rs. Crore)</t>
  </si>
  <si>
    <t>Government Subsidy (Rs. Crore)</t>
  </si>
  <si>
    <t>Government Additional Subsidy (Rs. Crore)</t>
  </si>
  <si>
    <t>Total Revenue             (Rs. Crore)</t>
  </si>
  <si>
    <t>* If Possible provide separate data for Rural &amp; Urban consumers</t>
  </si>
  <si>
    <t>2. Columns for rest of the years for Control Period shall be replicated.</t>
  </si>
  <si>
    <t>Form No: F41</t>
  </si>
  <si>
    <t>Form No: F42</t>
  </si>
  <si>
    <t>Form No: F43</t>
  </si>
  <si>
    <t>F40</t>
  </si>
  <si>
    <t>F41</t>
  </si>
  <si>
    <t>F42</t>
  </si>
  <si>
    <t>F43</t>
  </si>
  <si>
    <t>F44</t>
  </si>
  <si>
    <t>F45</t>
  </si>
  <si>
    <t>F46</t>
  </si>
  <si>
    <t>F47</t>
  </si>
  <si>
    <t>F48</t>
  </si>
  <si>
    <t>F49</t>
  </si>
  <si>
    <t>F50</t>
  </si>
  <si>
    <t>F51</t>
  </si>
  <si>
    <t>F13J</t>
  </si>
  <si>
    <t>F13K</t>
  </si>
  <si>
    <t>Form No: F44A</t>
  </si>
  <si>
    <t>Rate Schedule for Proposed Tariff (Existing and Proposed)</t>
  </si>
  <si>
    <t>Public Hearing Attendence List</t>
  </si>
  <si>
    <t>Form No: F50</t>
  </si>
  <si>
    <t>Name</t>
  </si>
  <si>
    <t>S. No.</t>
  </si>
  <si>
    <t>Organization/ Address</t>
  </si>
  <si>
    <t xml:space="preserve">Contact No. </t>
  </si>
  <si>
    <t>Signature</t>
  </si>
  <si>
    <t>E-mail Id</t>
  </si>
  <si>
    <t>List of Persons who attended Public Hearing at _______________  dated:________________</t>
  </si>
  <si>
    <t>Form No: F51</t>
  </si>
  <si>
    <t xml:space="preserve">Name of News Paper </t>
  </si>
  <si>
    <t xml:space="preserve">Edition </t>
  </si>
  <si>
    <t xml:space="preserve">Language </t>
  </si>
  <si>
    <t>Date of Publication</t>
  </si>
  <si>
    <t>Publication Details</t>
  </si>
  <si>
    <t>Details of Publication (Public Hearing, True-Up, ARR  etc.)</t>
  </si>
  <si>
    <t>Remarks:</t>
  </si>
  <si>
    <t>Notes (Important):</t>
  </si>
  <si>
    <t xml:space="preserve">A few formats may seem to contain similar information, but the same has been done purposely for a reason, hence must be filled / linked. </t>
  </si>
  <si>
    <t>Formats must be provided with links, information entered once must be linked in other formats to avoid errors.</t>
  </si>
  <si>
    <t>Note: Attendence list for all Public Hearings must be provided by the Licensees.</t>
  </si>
  <si>
    <t>F44A</t>
  </si>
  <si>
    <t>Power Purchase &amp; Monthly Appropriation of Power Purchase</t>
  </si>
  <si>
    <t>Allocation of Wheeling &amp; Retail Supply and Cross Subsidy Surcharge</t>
  </si>
  <si>
    <t>Form: F40A</t>
  </si>
  <si>
    <t>Wheeling ARR</t>
  </si>
  <si>
    <t>Average Wheeling charge</t>
  </si>
  <si>
    <t>Connected at 11 kV</t>
  </si>
  <si>
    <t>Connected above 11 kV</t>
  </si>
  <si>
    <t>Categories</t>
  </si>
  <si>
    <t>HV-1 (Supply at 11 kV)</t>
  </si>
  <si>
    <t>HV-1 (Supply above 11 kV)</t>
  </si>
  <si>
    <t>HV-4 (Supply at 11 kV)</t>
  </si>
  <si>
    <t>F40A</t>
  </si>
  <si>
    <t>Equity Capital</t>
  </si>
  <si>
    <t>Component wise Details of Employee Expenses</t>
  </si>
  <si>
    <t xml:space="preserve">The Licensees will collate all informations required in Public Hearing Process Chapter, topic wise (as given in Tariff Order) with the Comments/ Suggestions/ Objections required, then their reply to the Commission &amp; then leave space for Commission's view. This file will be in word document &amp; needs to be submitted with in 7 days from the last Public Hearing held. </t>
  </si>
  <si>
    <t>% of Avg. wheeling charge</t>
  </si>
  <si>
    <t>HV-2 (Supply upto 11 kV)</t>
  </si>
  <si>
    <t>HV-2 (Supply above 11 kV &amp; upto 66 kV)</t>
  </si>
  <si>
    <t>HV-2 (Supply above 66 kV &amp; above 132 kV)</t>
  </si>
  <si>
    <t>HV-3 (Supply below 132 kV )</t>
  </si>
  <si>
    <t>HV-3 (Supply at &amp; above 132 kV )</t>
  </si>
  <si>
    <t>HV-4 (Supply above 11 kV upto 66kV )</t>
  </si>
  <si>
    <t>System Loss (% to the relevant voltage level)</t>
  </si>
  <si>
    <t>Distribution Charge</t>
  </si>
  <si>
    <t>Wheeling Charge</t>
  </si>
  <si>
    <t xml:space="preserve">Transmission Charge </t>
  </si>
  <si>
    <t>S*** (Rs./kWh)</t>
  </si>
  <si>
    <t>Average Billing Rate (T)* (Rs./kWh)</t>
  </si>
  <si>
    <t>S=T-[C/(1-L/100)+D+R]</t>
  </si>
  <si>
    <t>*Including reflecting the Renewable Purchase Obligation.</t>
  </si>
  <si>
    <t>**Including meeting the Renewable Purchase Obligation.</t>
  </si>
  <si>
    <t>***CSS shall not exceed 20% of the Tariff Applicable to the category of the consumer seeking Open Access.</t>
  </si>
  <si>
    <t>Wt. Avg. Pur. Cost (C)** (Rs./kWh)</t>
  </si>
  <si>
    <t>Carrying Cost of Regulatory Assets             (Rs./kWh) (R)</t>
  </si>
  <si>
    <t>Aggregate of Trasn., Dist. &amp; Wh. Charges applicable to the relevant voltage level (Rs./kWh)</t>
  </si>
  <si>
    <t>b) RepaiRs. and Maintenance Expenses</t>
  </si>
  <si>
    <t>(3) Tax relating to earlier yeaRs.</t>
  </si>
  <si>
    <t>(1) Basic (Amount in Rs..)</t>
  </si>
  <si>
    <t>(2) Diluted (Amount in Rs..)</t>
  </si>
  <si>
    <t>FORMATS FOR TRUE-UP, APR and ARR/ TARIFF FILING BY DISTRIBUTION LICENSEES</t>
  </si>
  <si>
    <t>S.
No.</t>
  </si>
  <si>
    <t>Power Purchase or Energy Available at Discom Periphery (MU)</t>
  </si>
  <si>
    <t xml:space="preserve">Net Employee Expenses </t>
  </si>
  <si>
    <t>Net A&amp;G Expense</t>
  </si>
  <si>
    <t>Total Net O&amp;M expenses (i+ii+iii)</t>
  </si>
  <si>
    <t>Interest on Long-Term Loan</t>
  </si>
  <si>
    <t>Debits, Write-offs and any other items</t>
  </si>
  <si>
    <t>Form No: F52</t>
  </si>
  <si>
    <t>F52</t>
  </si>
  <si>
    <t>Bad and Doubtful debts</t>
  </si>
  <si>
    <t xml:space="preserve">b) Net Employee Expenses </t>
  </si>
  <si>
    <t>c) Net A&amp;G Expense</t>
  </si>
  <si>
    <t>Bad and Dobtful Debts</t>
  </si>
  <si>
    <t>*All categories/subcategories/ToD Slabs etc will be strictly as per Rate schedule.</t>
  </si>
  <si>
    <t>Trued- Up/Audited</t>
  </si>
  <si>
    <t>Trued-Up/Audited</t>
  </si>
  <si>
    <t>Amortisation</t>
  </si>
  <si>
    <t>Deposit by Challan1</t>
  </si>
  <si>
    <t>Deposit by Challan2</t>
  </si>
  <si>
    <t>Avg Coincident Peak Demand ( MW)</t>
  </si>
  <si>
    <t>Total Cost to Serve
(A)</t>
  </si>
  <si>
    <t>Revenue
(B)</t>
  </si>
  <si>
    <t>Govt Subsidy
(D)</t>
  </si>
  <si>
    <t>Total Subsidy
C=(A)-(B)
=(D) + (E )</t>
  </si>
  <si>
    <t>Cross Subsidy
(E )</t>
  </si>
  <si>
    <t xml:space="preserve">Total  Energy Sales </t>
  </si>
  <si>
    <t xml:space="preserve">Forecasted Total Energy Sales </t>
  </si>
  <si>
    <t>Total Fixed Charges or  Demand Charge  (Rs Crs)</t>
  </si>
  <si>
    <t xml:space="preserve">Minimum Charges (Rs./Month or Rs/KVA or Rs./KW or Rs./BHP) </t>
  </si>
  <si>
    <t xml:space="preserve"> Fixed Charges or  Demand Charge (Rs/KVA or Rs./KW or Rs./BHP)         </t>
  </si>
  <si>
    <t>Total Minimum Charges (Rs Crs)</t>
  </si>
  <si>
    <t>Details of Allocation of  loans to various distribution projects</t>
  </si>
  <si>
    <t>S.
NO</t>
  </si>
  <si>
    <t xml:space="preserve"> R&amp;M Expense</t>
  </si>
  <si>
    <t>Opening Balance of Provision for bad and doubtful debts</t>
  </si>
  <si>
    <t>Provision for bad &amp; doubtful debts during the year</t>
  </si>
  <si>
    <t>Actual bad and doubtful debts written off</t>
  </si>
  <si>
    <t>Closing Balance of Provision for bad and doubtful debts</t>
  </si>
  <si>
    <t>Receivables for the year</t>
  </si>
  <si>
    <t>Bad and doubtful debts as per Regulations</t>
  </si>
  <si>
    <t>Bad and doubtful debt as  % of Receivables (%)</t>
  </si>
  <si>
    <t>a)   R&amp;M Expense</t>
  </si>
  <si>
    <t xml:space="preserve">Consumer Contribution Towards Cost of Capital Assets </t>
  </si>
  <si>
    <t>Total Fixed Charges or  Demand Charge (Rs Crs)</t>
  </si>
  <si>
    <t>Total  Minimum Charges (Rs Crs)</t>
  </si>
  <si>
    <t>Form No.: F24</t>
  </si>
  <si>
    <r>
      <t>Amount of Gross Loan drawn upto 31.03._______/ COD</t>
    </r>
    <r>
      <rPr>
        <vertAlign val="superscript"/>
        <sz val="11"/>
        <rFont val="Calibri"/>
        <family val="2"/>
        <scheme val="minor"/>
      </rPr>
      <t xml:space="preserve"> 3,4,5,13,15</t>
    </r>
  </si>
  <si>
    <t>One and a half month equivalent of expected revenue from Distribution tariff</t>
  </si>
  <si>
    <t>e. Others, if any (Please Specify)</t>
  </si>
  <si>
    <t>Capital cost Admitted by the Commisson( A+B-C)</t>
  </si>
  <si>
    <t>Summary of Estimated Revenue from Sale of power at Proposed Tariff</t>
  </si>
  <si>
    <t>Wheeling Charges</t>
  </si>
  <si>
    <t>Quantum 
(MU)</t>
  </si>
  <si>
    <t>Approved 
(in TO)</t>
  </si>
  <si>
    <t>F13L</t>
  </si>
  <si>
    <t>Note: Wherever required, rows may be inserted to accommodate extra data.</t>
  </si>
  <si>
    <t>Wherever required, rows may be inserted to accommodate extra data.</t>
  </si>
  <si>
    <t xml:space="preserve"> Wherever required, rows may be inserted to accommodate extra data.</t>
  </si>
  <si>
    <t>Maintenance spares @ 40% of the of the R&amp;M expenses for two months</t>
  </si>
  <si>
    <t>Revised 
Estimates</t>
  </si>
  <si>
    <t xml:space="preserve">Interest on Long-Term Loan  </t>
  </si>
  <si>
    <t>Land on lease</t>
  </si>
  <si>
    <t>Plants &amp; Machinery</t>
  </si>
  <si>
    <t>Lines, Cables, Networks etc.</t>
  </si>
  <si>
    <t>Approved</t>
  </si>
  <si>
    <t>% increase (%)</t>
  </si>
  <si>
    <t>g= f*(1+escalation factor for FY 2016-17)</t>
  </si>
  <si>
    <t>Less: Deductions during the year</t>
  </si>
  <si>
    <t>Approved
 (in TO)</t>
  </si>
  <si>
    <t>Less : Consumer Contribution and Grants</t>
  </si>
  <si>
    <t xml:space="preserve">*Information to be provided for current year (FY 2018-19 &amp; FY 2019-20) and each year of the Control Period for all Projects either spilling into the Control Period (FY 2020-21 to FY 2024-25) or starting during Control Period </t>
  </si>
  <si>
    <t>To be filled after public hearing</t>
  </si>
  <si>
    <t>To be filled after publication of notice</t>
  </si>
  <si>
    <t>Cost of Power Procurement Expenses Profit/(Loss) Sharing</t>
  </si>
  <si>
    <t>O&amp;M Expenses Profit/(Loss) Sharing</t>
  </si>
  <si>
    <t>Smart Metering OPEX</t>
  </si>
  <si>
    <t>UPPCL O&amp;M expenses</t>
  </si>
  <si>
    <t>Finance/Bank Charges</t>
  </si>
  <si>
    <t>Additional Subsidy computed by UPERC</t>
  </si>
  <si>
    <t>RBI Interest rate as on 1st April</t>
  </si>
  <si>
    <t>Overall Collection %</t>
  </si>
  <si>
    <t>Bad debt claimed</t>
  </si>
  <si>
    <t>Interest on consumer security deposit</t>
  </si>
  <si>
    <t>Scheme wise</t>
  </si>
  <si>
    <t>Investment</t>
  </si>
  <si>
    <t>Capitalisation</t>
  </si>
  <si>
    <t>Employee Cost Capitalised (B)</t>
  </si>
  <si>
    <t>Interest Expenses Capitalised (C)</t>
  </si>
  <si>
    <t>Asset not belonging to Discoms (E)</t>
  </si>
  <si>
    <t>Capex and Capitalisation Details</t>
  </si>
  <si>
    <t>F21A</t>
  </si>
  <si>
    <t>Form No:F21A</t>
  </si>
  <si>
    <t>Total (F= D-E)</t>
  </si>
  <si>
    <t xml:space="preserve">Other Schemes </t>
  </si>
  <si>
    <t xml:space="preserve">RGGVY 11th Plan </t>
  </si>
  <si>
    <t>DDUGJY</t>
  </si>
  <si>
    <t>RAPDRP</t>
  </si>
  <si>
    <t>IPDS</t>
  </si>
  <si>
    <t>SAUBHAGYA YOJNA</t>
  </si>
  <si>
    <t>True-Up Year (FY 2020-21)</t>
  </si>
  <si>
    <t>APR FY (2021-22)</t>
  </si>
  <si>
    <t>Addition to GFA</t>
  </si>
  <si>
    <t>Deduction to GFA</t>
  </si>
  <si>
    <t>Average GFA</t>
  </si>
  <si>
    <t>Depreciation Rate</t>
  </si>
  <si>
    <t>Allowable Gross Depreciation</t>
  </si>
  <si>
    <t>Capital Expenditure on Assets not belonging to utility</t>
  </si>
  <si>
    <t>Less: Consumer Contribution amortised</t>
  </si>
  <si>
    <t>Net Allowable Depreciation</t>
  </si>
  <si>
    <t>Land &amp; Land Rights</t>
  </si>
  <si>
    <t>Plant &amp; Machinery</t>
  </si>
  <si>
    <t>Lines, Cables, Network etc.</t>
  </si>
  <si>
    <t>Total Fixed Assets</t>
  </si>
  <si>
    <t>Non depreciable assets (Land &amp; Land Rights)</t>
  </si>
  <si>
    <t>Depreciable assets</t>
  </si>
  <si>
    <t>NA</t>
  </si>
  <si>
    <t/>
  </si>
  <si>
    <t>Total subsidy</t>
  </si>
  <si>
    <t>Audited (April to March)-FY 2020-21</t>
  </si>
  <si>
    <t xml:space="preserve">Life Line Consumers (both Rural and Urban) </t>
  </si>
  <si>
    <t>(up to 100 kWh/month)</t>
  </si>
  <si>
    <t>Sub total</t>
  </si>
  <si>
    <t>LMV-2:Non Domestic Light, Fan &amp; Power</t>
  </si>
  <si>
    <t>Non Dom: Private Advertising /Sign Post/Sign Board/GlowSign</t>
  </si>
  <si>
    <t>LMV-3: Public Lamps</t>
  </si>
  <si>
    <t>Unmtered</t>
  </si>
  <si>
    <t>LMV-7: Public Water Works</t>
  </si>
  <si>
    <t>Urban Schedule</t>
  </si>
  <si>
    <t>Unmetered</t>
  </si>
  <si>
    <t>Unmetered:STW/Panch.Raj/WB/ID/P. Canals/LI upto 100 BHP</t>
  </si>
  <si>
    <t>LMV-9: Temporary Supply</t>
  </si>
  <si>
    <t>LMV-11: Electrical Vehicles</t>
  </si>
  <si>
    <t>LMV-1b</t>
  </si>
  <si>
    <t>HV-1b</t>
  </si>
  <si>
    <t xml:space="preserve">Public Charging Station </t>
  </si>
  <si>
    <t>Rural Schedule - Supply at 11 kV</t>
  </si>
  <si>
    <t xml:space="preserve">Rural Schedule - Supply above 11 kV </t>
  </si>
  <si>
    <t>Urban Schedule - Supply at 11 kV</t>
  </si>
  <si>
    <t xml:space="preserve">Urban Schedule - Supply above 11 kV </t>
  </si>
  <si>
    <t>HV3 Supply at and above 132 kV</t>
  </si>
  <si>
    <t>Bulk supply</t>
  </si>
  <si>
    <t>Extra state consumers</t>
  </si>
  <si>
    <t>Revised Estimate</t>
  </si>
  <si>
    <t>0-100 kWh/month</t>
  </si>
  <si>
    <t>101-150 kWh/month</t>
  </si>
  <si>
    <t>151-300 kWh/month</t>
  </si>
  <si>
    <t>301-500 kWh/month</t>
  </si>
  <si>
    <t>Above 500 kWh/Month (starting from 501 unit)</t>
  </si>
  <si>
    <t>0-150 kWh/month</t>
  </si>
  <si>
    <t>Sub Total</t>
  </si>
  <si>
    <t>Up to 1000 kWh / month</t>
  </si>
  <si>
    <t>Up to 2000 kWh / month</t>
  </si>
  <si>
    <t xml:space="preserve">For above 2000 kWh / month </t>
  </si>
  <si>
    <t>LMV-10: Sub Total</t>
  </si>
  <si>
    <t>05:00 hrs to 11:00 hrs</t>
  </si>
  <si>
    <t>11:00 hrs to 17:00 hrs</t>
  </si>
  <si>
    <t>17:00 hrs to 23:00 hrs</t>
  </si>
  <si>
    <t>23:00 hrs to 05:00 hrs</t>
  </si>
  <si>
    <t>Extra State Consumer</t>
  </si>
  <si>
    <t>ARR SUMMARY FOR FY 2022-23 (Rs. Crore)</t>
  </si>
  <si>
    <t>FY 2022-23
(ARR Claimed)</t>
  </si>
  <si>
    <t>Wheeling Charges For FY 2022-23</t>
  </si>
  <si>
    <t>Voltage-Wise Wheeling Charges For FY 2022-23</t>
  </si>
  <si>
    <t xml:space="preserve"> Cross Subsidy Surcharge For FY 2022-23</t>
  </si>
  <si>
    <t>(True-Up)</t>
  </si>
  <si>
    <t>FY 2020-10</t>
  </si>
  <si>
    <t>Consumer Price Index</t>
  </si>
  <si>
    <t>FY 2013-14</t>
  </si>
  <si>
    <t>Average</t>
  </si>
  <si>
    <t>Wholesale Price Index</t>
  </si>
  <si>
    <t xml:space="preserve">Check </t>
  </si>
  <si>
    <t>No of years</t>
  </si>
  <si>
    <t>Life Line Consumers (both Rural and Urban) (up to 100 kWh/month)</t>
  </si>
  <si>
    <t>Load upto 2 kW</t>
  </si>
  <si>
    <t>Above 2 kW to 4 kW</t>
  </si>
  <si>
    <t>Above 4 kW</t>
  </si>
  <si>
    <t>18:00 hrs - 06:00 hrs</t>
  </si>
  <si>
    <t>06:00 hrs - 18:00 hrs</t>
  </si>
  <si>
    <t>Up to 3 kW</t>
  </si>
  <si>
    <t>Above 3 kW</t>
  </si>
  <si>
    <t>PTW: Rural Schedule (unmetered) (Total)</t>
  </si>
  <si>
    <t>PTW: Rural Schedule (Energy Efficient Pumps) (Unmetered)</t>
  </si>
  <si>
    <t>PTW: Rural Schedule (metered) (Total)</t>
  </si>
  <si>
    <t>PTW: Rural Schedule (Energy Efficient Pumps) (metered)</t>
  </si>
  <si>
    <t>Consumers getting supply as per "Urban Schedule (Metered Supply)"</t>
  </si>
  <si>
    <t>Public Charging Station</t>
  </si>
  <si>
    <t>Rural Schedule - Supply above 11 kV</t>
  </si>
  <si>
    <t>Urban Schedule - Supply above 11 kV</t>
  </si>
  <si>
    <t>Commercial Loads / Private Institutions / Non-Domestic Bulk Power with contracted Load 75 kW &amp; above and getting supply at single point on 11 kV &amp;
above voltage level.</t>
  </si>
  <si>
    <t>Supply at 11 kV</t>
  </si>
  <si>
    <t>0-2500 kVAh/month</t>
  </si>
  <si>
    <t>Above 2500 kVAh/month</t>
  </si>
  <si>
    <t>Supply above 11 kV</t>
  </si>
  <si>
    <t>Public Institutions, Registered Societies, Residential Colonies / Townships,
Residential Multi-Storied Buildings including Residential Multi-Storied
Buildings with contracted load 75 kW &amp; above and getting supply at Single Point on 11 kV &amp; above voltage levels</t>
  </si>
  <si>
    <t>Bulk Supply Consumer</t>
  </si>
  <si>
    <t>Total Sales (Mus)</t>
  </si>
  <si>
    <t>Total Sales (MUs)</t>
  </si>
  <si>
    <t>Average cost to Serve (Rs Cr.)</t>
  </si>
  <si>
    <t>Average cost to Serve (Rs/unit)</t>
  </si>
  <si>
    <t>Average cost to Serve (Rs. Crore)</t>
  </si>
  <si>
    <t>Life Line Consumers (both Rural and Urban)</t>
  </si>
  <si>
    <t>40 % of two months R&amp;M</t>
  </si>
  <si>
    <t>8.15/9.40%</t>
  </si>
  <si>
    <t>dedcutions</t>
  </si>
  <si>
    <t>Total consumer contribution and grants</t>
  </si>
  <si>
    <t>Date of MCLR revision</t>
  </si>
  <si>
    <t>SBI MCLR Rates</t>
  </si>
  <si>
    <t>Date from</t>
  </si>
  <si>
    <t>Date to</t>
  </si>
  <si>
    <t>Applicable no of days</t>
  </si>
  <si>
    <t>10.03.2021</t>
  </si>
  <si>
    <t>10.02.2021</t>
  </si>
  <si>
    <t>10.01.2021</t>
  </si>
  <si>
    <t>10.12.2020</t>
  </si>
  <si>
    <t>10.11.2020</t>
  </si>
  <si>
    <t>10.10.2020</t>
  </si>
  <si>
    <t>10.09.2020</t>
  </si>
  <si>
    <t>10.08.2020</t>
  </si>
  <si>
    <t>10.07.2020</t>
  </si>
  <si>
    <t>10.06.2020</t>
  </si>
  <si>
    <t>10.05.2020</t>
  </si>
  <si>
    <t>10.04.2020</t>
  </si>
  <si>
    <t>10.03.2020</t>
  </si>
  <si>
    <t>Weighted Average MCLR</t>
  </si>
  <si>
    <t>https://www.sbi.co.in/web/interest-rates/interest-rates/mclr-historical-data</t>
  </si>
  <si>
    <t>Power Purchase Expenses (incl PGCIL charges)</t>
  </si>
  <si>
    <t>Apportionment of O&amp;M Expenses &amp; Interest &amp; Finance Charges of UPPCL</t>
  </si>
  <si>
    <t>Transmission Charges - Intra state (incl SLDC Charges)</t>
  </si>
  <si>
    <t>Gross Employee cost</t>
  </si>
  <si>
    <t>Gross A&amp;G expenses</t>
  </si>
  <si>
    <t>Gross R&amp;M expenses</t>
  </si>
  <si>
    <t>Gross Interest &amp; Finance charges</t>
  </si>
  <si>
    <t>Gross Expenditure</t>
  </si>
  <si>
    <t>Expense capitalization</t>
  </si>
  <si>
    <t>Employee cost capitalized</t>
  </si>
  <si>
    <t>Interest capitalized</t>
  </si>
  <si>
    <t>A&amp;G expenses capitalized</t>
  </si>
  <si>
    <t>Net Expenditure</t>
  </si>
  <si>
    <t>Provision for Bad &amp; Doubtful debts</t>
  </si>
  <si>
    <t>Provision for Contingency Reserve</t>
  </si>
  <si>
    <t>Total net expenditure with provisions</t>
  </si>
  <si>
    <t>Add: Return on Equity</t>
  </si>
  <si>
    <t>Less: Non-Tariff Income</t>
  </si>
  <si>
    <t>Aggregate Revenue Requirement (ARR)</t>
  </si>
  <si>
    <t xml:space="preserve">Transmission Charges </t>
  </si>
  <si>
    <t>Employee Expenses net of Capitalisation</t>
  </si>
  <si>
    <t>A&amp;G Expense (net of Capitalisation)</t>
  </si>
  <si>
    <t>R&amp;M expenses</t>
  </si>
  <si>
    <t>Interest &amp; Finance charges net of Capitalisation</t>
  </si>
  <si>
    <t>Less: Non Tariff Income including Open Access income</t>
  </si>
  <si>
    <t>Annual Revenue Requirement (ARR)</t>
  </si>
  <si>
    <t>F19 and F19A</t>
  </si>
  <si>
    <t>Variation</t>
  </si>
  <si>
    <t>Consumer Sub-Category</t>
  </si>
  <si>
    <t>Minimum Charges</t>
  </si>
  <si>
    <t>Energy Charges</t>
  </si>
  <si>
    <t>Rs./kW/month</t>
  </si>
  <si>
    <t>Rs/kWh</t>
  </si>
  <si>
    <t>Apr to Sept</t>
  </si>
  <si>
    <t>Oct to Mar</t>
  </si>
  <si>
    <t>Load upto 2kW</t>
  </si>
  <si>
    <t>Above 2kW to 4 kW</t>
  </si>
  <si>
    <t>TOD : 18:00 - 06:00</t>
  </si>
  <si>
    <t>TOD : 06:00 - 18:00</t>
  </si>
  <si>
    <t>Load upto 3 kW</t>
  </si>
  <si>
    <t>Rs./BHP/month</t>
  </si>
  <si>
    <t>Rs/BHP/month</t>
  </si>
  <si>
    <t>Rs/kW/week</t>
  </si>
  <si>
    <t>Rs/day</t>
  </si>
  <si>
    <t>Commercial Loads / Private Institutions/Non-domestic bulk power consumer</t>
  </si>
  <si>
    <t>Supply at 11 kV: 0 to 2500 kVAh/month</t>
  </si>
  <si>
    <t>Rs./kVA/month</t>
  </si>
  <si>
    <t>Rs/kVAh</t>
  </si>
  <si>
    <t>Supply at 11 kV: Above 2500 kVAh/month</t>
  </si>
  <si>
    <t>Supply above 11 kV &amp; above</t>
  </si>
  <si>
    <t>Supply above 11 kV &amp; above: 0 to 2500 kVAh/month</t>
  </si>
  <si>
    <t>Supply above 11 kV &amp; above: Above 2500 kVAh/month</t>
  </si>
  <si>
    <t>Public Institutions/Registered Societies/Residential Colonies/ Townships/Residential Multi-Storied Buildings including Residential Multi-Storied Buildings</t>
  </si>
  <si>
    <t>Purchase of electricity/ Stock-in-Trade (including UPPTCL Charges)</t>
  </si>
  <si>
    <t>Less: Employee Capitalisation (B)</t>
  </si>
  <si>
    <t>Less: Interest Capitalization (C)</t>
  </si>
  <si>
    <t>Total excluding Interest and Employee Cost capitalised (A)</t>
  </si>
  <si>
    <t>Revamp Scheme</t>
  </si>
  <si>
    <t>Sr. No</t>
  </si>
  <si>
    <t>Gross Allowable Depreciation</t>
  </si>
  <si>
    <t>Consumer Contribution Amortization</t>
  </si>
  <si>
    <t>Reserves and Surplus</t>
  </si>
  <si>
    <t>Total (D= A + B + C)</t>
  </si>
  <si>
    <t>(Shortfall)/Excess(G+H)</t>
  </si>
  <si>
    <t>Opening GFA (as on 31.3.2020)</t>
  </si>
  <si>
    <t xml:space="preserve"> Cumulative Depreciation</t>
  </si>
  <si>
    <t>Opening GFA  as on 01.04.2021</t>
  </si>
  <si>
    <t>DPS grossed-up at 2% per month</t>
  </si>
  <si>
    <t>Amount after grossing-up of DPS</t>
  </si>
  <si>
    <t>Applicable interest rate for working capital finance</t>
  </si>
  <si>
    <t>Financing costs of DPS</t>
  </si>
  <si>
    <t>Assumptions for Power Purchase</t>
  </si>
  <si>
    <t>Merit Order Despatch</t>
  </si>
  <si>
    <t>Summary of Power Purchase Cost</t>
  </si>
  <si>
    <t>Renewabe Purchase Obligation</t>
  </si>
  <si>
    <t>Energy Transmitted / wheeled through a particular transmission system, charges payable and other details</t>
  </si>
  <si>
    <t>Inter State Transmission Charges</t>
  </si>
  <si>
    <t>Bulk Supply Tariff Details</t>
  </si>
  <si>
    <t>MVVNL</t>
  </si>
  <si>
    <t xml:space="preserve">Note: Licensees are required to provide above format Discom wise and consolidated both. </t>
  </si>
  <si>
    <t>From</t>
  </si>
  <si>
    <t>FY 2021-22 (upto Oct'21)</t>
  </si>
  <si>
    <t>Past years data</t>
  </si>
  <si>
    <t>(FY 2019-20 Trued-Up)</t>
  </si>
  <si>
    <t>ADB</t>
  </si>
  <si>
    <t>Distribution Charges For FY 2022-23</t>
  </si>
  <si>
    <t xml:space="preserve">FY 2022-23
</t>
  </si>
  <si>
    <t>Retail ARR</t>
  </si>
  <si>
    <t>Average Retail/Distribution charge</t>
  </si>
  <si>
    <t>Aggregate of Trasn., Dist. &amp; Wh. Charges applicable to the relevant voltage level (D)</t>
  </si>
  <si>
    <t>Inter-State Trns. Charges</t>
  </si>
  <si>
    <t>Intra-State Trns. Charges</t>
  </si>
  <si>
    <t>HV-2 (above 132 kV)</t>
  </si>
  <si>
    <t>-</t>
  </si>
  <si>
    <t>HV-3 (For Metro Traction)</t>
  </si>
  <si>
    <t>HV-4 (Supply above 66 kV upto 132kV )</t>
  </si>
  <si>
    <t>Total R&amp;M Expenses</t>
  </si>
  <si>
    <t>Special R&amp;M Expenses</t>
  </si>
  <si>
    <t>Details provided in F31</t>
  </si>
  <si>
    <t>Smart Meter Opex</t>
  </si>
  <si>
    <t>PGCIL</t>
  </si>
  <si>
    <t>UPPTCL</t>
  </si>
  <si>
    <t>Dist. Loss</t>
  </si>
  <si>
    <t>Name of Distribution Licensee: PUVVNL</t>
  </si>
  <si>
    <t>PUVVNL</t>
  </si>
  <si>
    <t>: PUVVNL</t>
  </si>
  <si>
    <t>Name of Distribution Licensee : PUVVNL</t>
  </si>
  <si>
    <t>GROSS ALLOWABLE DEPRECIATION FOR ASSETS BEFORE 01.04.2020 OF PUVVNL FOR FY 2020-21 (RS. CRORE) PART A</t>
  </si>
  <si>
    <t>GROSS ALLOWABLE DEPRECIATION FOR ASSETS AS ON 01.04.2020 OF PUVVNL FOR FY 2020-21 (RS. CRORE) PART B</t>
  </si>
  <si>
    <t>GROSS ALLOWABLE DEPRECIATION FOR ASSETS BEFORE 01.04.2020 OF PUVVNL FOR FY 2021-22 (RS. CRORE) PART A</t>
  </si>
  <si>
    <t>GROSS ALLOWABLE DEPRECIATION FOR ASSETS AS ON 01.04.2020 OF PUVVNL FOR FY 2021-22 (RS. CRORE) PART B</t>
  </si>
  <si>
    <t>GROSS ALLOWABLE DEPRECIATION FOR ASSETS BEFORE 01.04.2020 OF PUVVNL FOR FY 2022-23 (Rs. CRORE) PART A</t>
  </si>
  <si>
    <t>GROSS ALLOWABLE DEPRECIATION FOR ASSETS AS ON 01.04.2020 OF PUVVNL FOR FY 2022-23 (RS. CRORE) PART B</t>
  </si>
  <si>
    <t>Retail sales (PVVNL, DVVNL, PUVVNL, PuVVNL, KESCO)</t>
  </si>
  <si>
    <t>Form No: F13B</t>
  </si>
  <si>
    <t>Source of Power (Station wise)</t>
  </si>
  <si>
    <t>Installed Capacity (MW)</t>
  </si>
  <si>
    <t>Utility share (%)</t>
  </si>
  <si>
    <t>Availability of Genarating Station (%)</t>
  </si>
  <si>
    <t>PLF (%)</t>
  </si>
  <si>
    <t>Utility share (MW)</t>
  </si>
  <si>
    <t>Must Run/ Merit</t>
  </si>
  <si>
    <t>Plant Type*</t>
  </si>
  <si>
    <t>Energy Sent Out (Ex-bus) by Generator (after deducting auxilliary consumption) (MU)</t>
  </si>
  <si>
    <t>Total Inter state Transmission Losses (%)</t>
  </si>
  <si>
    <t>Total Intra state Transmission Losses (%)</t>
  </si>
  <si>
    <t>Energy Units received by utility at its periphery (MU)</t>
  </si>
  <si>
    <t>Units (MU)</t>
  </si>
  <si>
    <t>Energy/ Variable Charges</t>
  </si>
  <si>
    <t>Other Cost</t>
  </si>
  <si>
    <t>Late payment Surcharge</t>
  </si>
  <si>
    <t>Total Cost</t>
  </si>
  <si>
    <t>Energy/Variable Charges</t>
  </si>
  <si>
    <t>Fixed charge</t>
  </si>
  <si>
    <t>Other cost</t>
  </si>
  <si>
    <t>Total cost</t>
  </si>
  <si>
    <t>Units  (Approved) (MU)</t>
  </si>
  <si>
    <t>Annual Fixed Charges</t>
  </si>
  <si>
    <t>Annual Energy/ Variable charge</t>
  </si>
  <si>
    <t>Annual Other Cost</t>
  </si>
  <si>
    <t>Avg. Cost of Energy at Generator Bus</t>
  </si>
  <si>
    <t xml:space="preserve">Avg. Cost of Energy at interfacepoint of Utility </t>
  </si>
  <si>
    <t>(Rs. Cr.)</t>
  </si>
  <si>
    <t>(Rs / kWh)</t>
  </si>
  <si>
    <t>Long term Sources</t>
  </si>
  <si>
    <t>Power procured from own Generating Stations (if any)</t>
  </si>
  <si>
    <t xml:space="preserve">From State Generating Stations Thermal </t>
  </si>
  <si>
    <t>ANPARA-A</t>
  </si>
  <si>
    <t>Merit</t>
  </si>
  <si>
    <t>ANPARA-B</t>
  </si>
  <si>
    <t>PANKI</t>
  </si>
  <si>
    <t>PARICHHA</t>
  </si>
  <si>
    <t>PARICHHA EXT.</t>
  </si>
  <si>
    <t>OBRA-A</t>
  </si>
  <si>
    <t>OBRA-B</t>
  </si>
  <si>
    <t>HARDUAGANJ</t>
  </si>
  <si>
    <t>HARDUAGANJ EXT.</t>
  </si>
  <si>
    <t>PARICHHA EXT. STAGE-II</t>
  </si>
  <si>
    <t>ANPARA-D</t>
  </si>
  <si>
    <t>Panki Extension</t>
  </si>
  <si>
    <t>HARDUAGANJ EXT. Stage II</t>
  </si>
  <si>
    <t>OBRA-C</t>
  </si>
  <si>
    <t>Jawaharpur</t>
  </si>
  <si>
    <t>UPRVUNL Consolidated</t>
  </si>
  <si>
    <t xml:space="preserve">From State Generating Stations Hydro </t>
  </si>
  <si>
    <t>RIHAND</t>
  </si>
  <si>
    <t xml:space="preserve">Must Run </t>
  </si>
  <si>
    <t>OBRA ( H )</t>
  </si>
  <si>
    <t>MATATILA</t>
  </si>
  <si>
    <t>KHARA</t>
  </si>
  <si>
    <t>UGC</t>
  </si>
  <si>
    <t>SHEETLA</t>
  </si>
  <si>
    <t>BELKA</t>
  </si>
  <si>
    <t>BABAIL</t>
  </si>
  <si>
    <t>From Central Sector Generating Stations</t>
  </si>
  <si>
    <t>Thermal (NTPC)</t>
  </si>
  <si>
    <t>ANTA GPS</t>
  </si>
  <si>
    <t>AURAIYA GPS</t>
  </si>
  <si>
    <t>DADRI GPS</t>
  </si>
  <si>
    <t>JHANOR GPS</t>
  </si>
  <si>
    <t>KAWAS GPS</t>
  </si>
  <si>
    <t>TANDA TPS</t>
  </si>
  <si>
    <t>FGUTPS-1</t>
  </si>
  <si>
    <t>FGUTPS-2</t>
  </si>
  <si>
    <t>FGUTPS-3</t>
  </si>
  <si>
    <t>FGUTPS-4</t>
  </si>
  <si>
    <t>FSTPS</t>
  </si>
  <si>
    <t>KHTPS-1</t>
  </si>
  <si>
    <t>KHTPS-2</t>
  </si>
  <si>
    <t>NCTPS-1</t>
  </si>
  <si>
    <t>NCTPS-2</t>
  </si>
  <si>
    <t>RIHAND-1</t>
  </si>
  <si>
    <t>RIHAND-2</t>
  </si>
  <si>
    <t>RIHAND-3</t>
  </si>
  <si>
    <t>SINGRAULI</t>
  </si>
  <si>
    <t>KORBA-I STPS</t>
  </si>
  <si>
    <t>KORBA-III STPS</t>
  </si>
  <si>
    <t>MAUDA-I STPS</t>
  </si>
  <si>
    <t>MAUDA-II STPS</t>
  </si>
  <si>
    <t>SOLAPUR TPS</t>
  </si>
  <si>
    <t>SIPAT-I</t>
  </si>
  <si>
    <t>SIPAT-II STPS</t>
  </si>
  <si>
    <t>VINDHYACHAL-I STPS</t>
  </si>
  <si>
    <t>VINDHYACHAL-II STPS</t>
  </si>
  <si>
    <t>VINDHYACHAL-III STPS</t>
  </si>
  <si>
    <t>VINDHYACHAL-IV STPS</t>
  </si>
  <si>
    <t>VINDHYACHAL-V STPS</t>
  </si>
  <si>
    <t>Tanda II</t>
  </si>
  <si>
    <t>SINGRAULI STAGE III</t>
  </si>
  <si>
    <t>Indira Gandhi STPS, Jhajjar</t>
  </si>
  <si>
    <t>GADARWARA STPS-I</t>
  </si>
  <si>
    <t>LARA STPS-I</t>
  </si>
  <si>
    <t>KHARGONE STPS</t>
  </si>
  <si>
    <t>NTPC CONSOLIDATED</t>
  </si>
  <si>
    <t>NPCIL</t>
  </si>
  <si>
    <t>KAPS</t>
  </si>
  <si>
    <t>Must Run</t>
  </si>
  <si>
    <t>NAPP</t>
  </si>
  <si>
    <t>TAPP-3 &amp; 4</t>
  </si>
  <si>
    <t>RAPP-3 &amp; 4</t>
  </si>
  <si>
    <t>RAPP-5 &amp; 6</t>
  </si>
  <si>
    <t>Hydro (NHPC)</t>
  </si>
  <si>
    <t>SALAL</t>
  </si>
  <si>
    <t>TANAKPUR</t>
  </si>
  <si>
    <t>CHAMERA-I</t>
  </si>
  <si>
    <t>URI</t>
  </si>
  <si>
    <t>CHAMERA-II</t>
  </si>
  <si>
    <t>DHAULIGANGA</t>
  </si>
  <si>
    <t>DULHASTI</t>
  </si>
  <si>
    <t>SEWA-II</t>
  </si>
  <si>
    <t>CHAMERA-III</t>
  </si>
  <si>
    <t>URI-II</t>
  </si>
  <si>
    <t>PARBATI-III</t>
  </si>
  <si>
    <t>KISHANGANGA</t>
  </si>
  <si>
    <t>PARBATI-II</t>
  </si>
  <si>
    <t>SUBANSIRI LOWER</t>
  </si>
  <si>
    <t>PAKALDUL</t>
  </si>
  <si>
    <t>NHPC CONSOLIDATED</t>
  </si>
  <si>
    <t>HYDRO (NTPC)</t>
  </si>
  <si>
    <t>KOLDAM HPS</t>
  </si>
  <si>
    <t>TAPOVAN VISHNUGARH</t>
  </si>
  <si>
    <t>LATA TAPOVAN HEP</t>
  </si>
  <si>
    <t>SINGRAULI SHPS</t>
  </si>
  <si>
    <t>THDC</t>
  </si>
  <si>
    <t>HYDRO</t>
  </si>
  <si>
    <t>TEHRI</t>
  </si>
  <si>
    <t>KOTESHWAR</t>
  </si>
  <si>
    <t>Dhukwan SHP- THDC</t>
  </si>
  <si>
    <t>VISHNUGARH PIPAL KOTHI</t>
  </si>
  <si>
    <t xml:space="preserve">Thermal </t>
  </si>
  <si>
    <t>KHURJA STPP</t>
  </si>
  <si>
    <t>SJVN</t>
  </si>
  <si>
    <t>RAMPUR</t>
  </si>
  <si>
    <t>NATHPA JHAKRI</t>
  </si>
  <si>
    <t>NEEPCO</t>
  </si>
  <si>
    <t>Kameng HEP</t>
  </si>
  <si>
    <t>IPP/JV</t>
  </si>
  <si>
    <t>TALA</t>
  </si>
  <si>
    <t>VISHNU PRAYAG</t>
  </si>
  <si>
    <t>KARCHAM</t>
  </si>
  <si>
    <t>TEESTA-III</t>
  </si>
  <si>
    <t>SRI NAGAR HEP</t>
  </si>
  <si>
    <t>Rajghat Hydro</t>
  </si>
  <si>
    <t xml:space="preserve">Meja Thermal Power Plant </t>
  </si>
  <si>
    <t>LANCO</t>
  </si>
  <si>
    <t>BEPL BARKHERA</t>
  </si>
  <si>
    <t xml:space="preserve">BEPL KHAMBHAKHERA </t>
  </si>
  <si>
    <t>BEPL KUNDRAKHI</t>
  </si>
  <si>
    <t>BEPL MAQSOODAPUR</t>
  </si>
  <si>
    <t>BEPL UTRAULA</t>
  </si>
  <si>
    <t>KSK MAHANADI</t>
  </si>
  <si>
    <t>LALITPUR</t>
  </si>
  <si>
    <t>M.B.POWER</t>
  </si>
  <si>
    <t>PRAYAGRAJ POWER</t>
  </si>
  <si>
    <t>R.K.M.POWER</t>
  </si>
  <si>
    <t>ROSA-1&amp;2</t>
  </si>
  <si>
    <t>SASAN</t>
  </si>
  <si>
    <t>TRN ENERGY</t>
  </si>
  <si>
    <t>NABINAGAR POWER PROJECT</t>
  </si>
  <si>
    <t>APCPL</t>
  </si>
  <si>
    <t xml:space="preserve">Total </t>
  </si>
  <si>
    <t>Medium term Sources</t>
  </si>
  <si>
    <t>Short term Sources</t>
  </si>
  <si>
    <t>Other Sources Sub-total</t>
  </si>
  <si>
    <t xml:space="preserve">Cogen/ Captive </t>
  </si>
  <si>
    <t>Baggasse/Cogen/ CPP 1</t>
  </si>
  <si>
    <t>Baggasse/Cogen/ CPP 2</t>
  </si>
  <si>
    <t>Sub-Total Cogen/ Captive</t>
  </si>
  <si>
    <t>Bilateral &amp; Others (Power purchased trough Trading)</t>
  </si>
  <si>
    <t>Solar (Existing )</t>
  </si>
  <si>
    <t>Sub-Total Solar</t>
  </si>
  <si>
    <t>Solar (FY 21)</t>
  </si>
  <si>
    <t>Solar (FY 22)</t>
  </si>
  <si>
    <t>Solar (FY 23)</t>
  </si>
  <si>
    <t>SOLAR FY 24</t>
  </si>
  <si>
    <t>SOLAR FY 25</t>
  </si>
  <si>
    <t>Non-Solar (Renewable)</t>
  </si>
  <si>
    <t>WIND (Existing)</t>
  </si>
  <si>
    <t>WIND</t>
  </si>
  <si>
    <t>WIND (FY 21)</t>
  </si>
  <si>
    <t>WIND (FY 22)</t>
  </si>
  <si>
    <t>Biomass Existing</t>
  </si>
  <si>
    <t>Biomass FY 20</t>
  </si>
  <si>
    <t>MSW</t>
  </si>
  <si>
    <t>Sub-total RE other than solar</t>
  </si>
  <si>
    <t>NVVN Thermal</t>
  </si>
  <si>
    <t>NVVN Solar</t>
  </si>
  <si>
    <t>Short Term Sources</t>
  </si>
  <si>
    <t xml:space="preserve">REC </t>
  </si>
  <si>
    <t>Banking</t>
  </si>
  <si>
    <t>Transmission Charges</t>
  </si>
  <si>
    <t>RRAS</t>
  </si>
  <si>
    <t>OTHER SOURCES</t>
  </si>
  <si>
    <t>UI Charges</t>
  </si>
  <si>
    <t>Reactive Energy Charges</t>
  </si>
  <si>
    <t>OA</t>
  </si>
  <si>
    <t>Fwd/Rev Banking</t>
  </si>
  <si>
    <t>IEX Purchase</t>
  </si>
  <si>
    <t>IEX sale</t>
  </si>
  <si>
    <t xml:space="preserve">Sub Total </t>
  </si>
  <si>
    <t>PTC Unverified Power Purchase</t>
  </si>
  <si>
    <t>Less</t>
  </si>
  <si>
    <t>Late Payment Surcharge</t>
  </si>
  <si>
    <t>Note: 1.Quantum and Power Purchase Cost to be filled with the month wise bills.</t>
  </si>
  <si>
    <t>2.  Monthly Bills have to be duly submitted to the Commission.</t>
  </si>
  <si>
    <t>3. Power Purchase details to be submitted should be linked in excel sheet.</t>
  </si>
  <si>
    <t>4. Information to be provided for Past Year, True-Up Year, APR Year and each year of the Control Period.</t>
  </si>
  <si>
    <t>5. Sub-total of State thermal, State Hydro, NTPC Plants, NHPC Plants, NPCIL Plants, SJVNL Plants, THDC, IPPs, State Co-Gen, Solar and Other sources should be provided.</t>
  </si>
  <si>
    <t xml:space="preserve">Monthly Apprpriation of Power Purchase </t>
  </si>
  <si>
    <t>Distribution Licensee</t>
  </si>
  <si>
    <t>Allocation of Approval Power Purchase (MU)</t>
  </si>
  <si>
    <t>Allocated Approved Power Purchase Cost (Rs. Crore)</t>
  </si>
  <si>
    <t>Apr</t>
  </si>
  <si>
    <t>Aug</t>
  </si>
  <si>
    <t>Sept</t>
  </si>
  <si>
    <t>Oct</t>
  </si>
  <si>
    <t>Nov</t>
  </si>
  <si>
    <t>Dec</t>
  </si>
  <si>
    <t>Jan</t>
  </si>
  <si>
    <t>Feb</t>
  </si>
  <si>
    <t>Mar</t>
  </si>
  <si>
    <t>Average Power Purchase Cost (Rs./kWh)</t>
  </si>
  <si>
    <t>Note: Information to be provided for Past Year, True-Up Year, APR Year and each year of the Control Period.</t>
  </si>
  <si>
    <t>Availability Mar-20</t>
  </si>
  <si>
    <t>Auxiliary Consumption (%)    (Normative )</t>
  </si>
  <si>
    <t>Plant Type (Interstate/ Intrastate)</t>
  </si>
  <si>
    <t>PROGRESSIVE UPTO MARCH 2021</t>
  </si>
  <si>
    <t xml:space="preserve"> Fixed Charges</t>
  </si>
  <si>
    <t xml:space="preserve"> Variable charge</t>
  </si>
  <si>
    <t xml:space="preserve"> Other Cost</t>
  </si>
  <si>
    <t>Per Unit Variable Charges for FY 2020-21</t>
  </si>
  <si>
    <t>UPRVUNL CONSOLIDATED</t>
  </si>
  <si>
    <t>UPJVNL CONSOLIDATED</t>
  </si>
  <si>
    <t>Tanda  Stage II</t>
  </si>
  <si>
    <t xml:space="preserve">Sub-total </t>
  </si>
  <si>
    <t>DHUKWAN</t>
  </si>
  <si>
    <t>Station/Source 1</t>
  </si>
  <si>
    <t>Station/Source 2</t>
  </si>
  <si>
    <t>Abhinav  Steel (CPP)</t>
  </si>
  <si>
    <t>Aditya birla camicals (Grasim Industries)</t>
  </si>
  <si>
    <t xml:space="preserve">Akbarpur Chini Mills Ltd.,                            </t>
  </si>
  <si>
    <t>Avadh sugar Energy Limited, Hargaon, Sitapur</t>
  </si>
  <si>
    <t>Avadh sugar energy ltd. Sehora Bijnor</t>
  </si>
  <si>
    <t>Bajaj Hindustan Ltd., Barkhera</t>
  </si>
  <si>
    <t>Bajaj Hindustan Ltd., Bilai</t>
  </si>
  <si>
    <t>Bajaj Hindustan Ltd., Budhana</t>
  </si>
  <si>
    <t>Bajaj Hindustan Ltd., Gangnaquli</t>
  </si>
  <si>
    <t>Bajaj Hindustan Ltd., Khambakhera</t>
  </si>
  <si>
    <t>Bajaj Hindustan Ltd., Kinauni</t>
  </si>
  <si>
    <t>Bajaj Hindustan Ltd., Kundrakhi</t>
  </si>
  <si>
    <t>Bajaj Hindustan Ltd., Maqsoodapur</t>
  </si>
  <si>
    <t>Bajaj Hindustan Ltd., Paliaklan</t>
  </si>
  <si>
    <t>Bajaj Hindustan Ltd., Thanabhawn</t>
  </si>
  <si>
    <t>Bajaj Hindustan Ltd., Utraula</t>
  </si>
  <si>
    <t>Balrampur Chini Mills Ltd., Balrmpur</t>
  </si>
  <si>
    <t>Balrampur Chini Mills Ltd., Gonda (Babhnan)</t>
  </si>
  <si>
    <t>Continental Carbon India Ltd.</t>
  </si>
  <si>
    <t>Dalmia Chini Mills Ltd., Jawaharpur</t>
  </si>
  <si>
    <t>Dalmia Chini Mills Ltd., Nigohi</t>
  </si>
  <si>
    <t>Dalmia Chini Mills Ltd., Ramgarh</t>
  </si>
  <si>
    <t>Daurala Sugar Works(DCM)</t>
  </si>
  <si>
    <t>DCM Sriram Consdalidated Ltd, Loni,Hardoi</t>
  </si>
  <si>
    <t>DCM Sriram Consolidated Ltd, Hariawan,Hardoi</t>
  </si>
  <si>
    <t>DCM Sriram Consolidated Ltd., Lakhimpur Ajbapur</t>
  </si>
  <si>
    <t>Dhampur Sugar Mills Ltd., Bareilly,Meerganj</t>
  </si>
  <si>
    <t>Dhampur Sugar Mills Ltd., Bijnor</t>
  </si>
  <si>
    <t>Dhampur Sugar Mills Ltd., Muzaffarnagar,Mansoorpur</t>
  </si>
  <si>
    <t>Dhampur Sugar Mills Ltd., Rajpura,Sambhal</t>
  </si>
  <si>
    <t>Dhampur Sugar Mills Ltd., Sambhal,Asmoli,Dhampur</t>
  </si>
  <si>
    <t>Dwarikesh Sugar Ind. Ltd., Dhampur Bijnor</t>
  </si>
  <si>
    <t>Dwarikesh Sugar Ind. Ltd., Faridpur Bareilly</t>
  </si>
  <si>
    <t>Dwarikesh Sugar Ind. Ltd., Nagina Bijnor</t>
  </si>
  <si>
    <t>Govind Sugar</t>
  </si>
  <si>
    <t xml:space="preserve">Gularia Chini Mills Ltd., </t>
  </si>
  <si>
    <t xml:space="preserve">Haidergarh Chini Mills Ltd., </t>
  </si>
  <si>
    <t>Hindalco Industries Ltd. Renukoot</t>
  </si>
  <si>
    <t>India Glycols</t>
  </si>
  <si>
    <t xml:space="preserve">K.M. Sugar Ltd., </t>
  </si>
  <si>
    <t>Kesar Enterprises Ltd.</t>
  </si>
  <si>
    <t>Kisan Sahkari Chini Mill Azamgarh</t>
  </si>
  <si>
    <t xml:space="preserve">Kumbhi Sugar Mills Ltd., </t>
  </si>
  <si>
    <t xml:space="preserve">L.H. Suagar Factories Ltd., </t>
  </si>
  <si>
    <t xml:space="preserve">Mankapur Chini Mills Ltd., </t>
  </si>
  <si>
    <t>Mawana Sugar Ltd., Meerut</t>
  </si>
  <si>
    <t>Mawana Sugar Ltd., Naglamal</t>
  </si>
  <si>
    <t>Mawana Sugar Ltd., Titawi</t>
  </si>
  <si>
    <t>New India Sugar Mills., Now, Avadh Sugar Kushinagar</t>
  </si>
  <si>
    <t xml:space="preserve">Novel Sugar </t>
  </si>
  <si>
    <t>Oswal Overseas</t>
  </si>
  <si>
    <t>Parle Biscuits Pvt. Ltd. (Sugar Dn.),</t>
  </si>
  <si>
    <t>Ramala Sahkari Chini Mills (Baghpat) UP</t>
  </si>
  <si>
    <t>Rana Sugar Miis Ltd.  Karimganj Rampur</t>
  </si>
  <si>
    <t>Rana Sugar Miis Ltd. Belwara, Moradbad</t>
  </si>
  <si>
    <t>Rana Sugar Miis Ltd. Bilari, Moradabd</t>
  </si>
  <si>
    <t xml:space="preserve">Rauzagaon  Chini Mills Ltd., </t>
  </si>
  <si>
    <t>SBEC Bioenergy Ltd.</t>
  </si>
  <si>
    <t>Simbholi  Sugar Ltd., Bahraich</t>
  </si>
  <si>
    <t>Simbholi  Sugar Ltd., Hapur</t>
  </si>
  <si>
    <t>SKI Hi Tech Carbon (Now Birla Carbon India Pvt. Ltd.)</t>
  </si>
  <si>
    <t>Sukhbir Agro Energy Ltd.</t>
  </si>
  <si>
    <t>Superior Food Grain ,Shamli</t>
  </si>
  <si>
    <t>The Seksaria Biswan sugar</t>
  </si>
  <si>
    <t>Tikaula Sugar Ltd.,</t>
  </si>
  <si>
    <t>Triveni Engg. &amp; Industries Ltd.,  Milak Narayanpur</t>
  </si>
  <si>
    <t>Triveni Engg. &amp; Industries Ltd., Chandpur</t>
  </si>
  <si>
    <t>Triveni Engg. &amp; Industries Ltd., Deoband Saharanpur</t>
  </si>
  <si>
    <t>Triveni Engg. &amp; Industries Ltd., Khatuali  Muzaffarnagar</t>
  </si>
  <si>
    <t>Triveni Engg. &amp; Industries Ltd., Sabitgarh</t>
  </si>
  <si>
    <t>U.P State Sugar &amp; Cane Development Corp. Ltd., Moinuddinpur, Meerut</t>
  </si>
  <si>
    <t>U.P State Sugar &amp; Cane Development Corp. Ltd., Munderva, Basti</t>
  </si>
  <si>
    <t>U.P State Sugar &amp; Cane Development Corp. Ltd., Pipraich, Gorakhpur</t>
  </si>
  <si>
    <t>Usher Eco Power</t>
  </si>
  <si>
    <t>Uttam Sugar Mills, Ltd. Barkatpur, Bijnor</t>
  </si>
  <si>
    <t>Uttam Sugar Mills, Ltd. Khaikheri Muzaffarnagar</t>
  </si>
  <si>
    <t>Uttam Sugar Mills, Ltd. Shermau Saharanpur</t>
  </si>
  <si>
    <t>Wave Ind. &amp; Engg. Ltd.,</t>
  </si>
  <si>
    <t>Yedu Sugars Ltd.,</t>
  </si>
  <si>
    <t>Bilateral &amp; Others (Power purchased through Trading)</t>
  </si>
  <si>
    <t>Power Purchase From Exchange</t>
  </si>
  <si>
    <t>IEX (Sale)/PXIL (Sale)</t>
  </si>
  <si>
    <t>IEX (Purchase)/PXIL (Purchase)</t>
  </si>
  <si>
    <t>Purchase From Open Access (OA)</t>
  </si>
  <si>
    <t>NHPC</t>
  </si>
  <si>
    <t>TATA / MPL / PSPCL</t>
  </si>
  <si>
    <t>NVVN</t>
  </si>
  <si>
    <t>PTC</t>
  </si>
  <si>
    <t>E 1</t>
  </si>
  <si>
    <t>Unscheduled Interchange</t>
  </si>
  <si>
    <t>UI (Underdrawl)</t>
  </si>
  <si>
    <t>UI (Overdrawl)</t>
  </si>
  <si>
    <t xml:space="preserve">Adani Green Energy </t>
  </si>
  <si>
    <t>Adani Solar Energy Four Pvt. Ltd.,</t>
  </si>
  <si>
    <t>Adani Solar Energy,  Chitrakoot (50 Mw)</t>
  </si>
  <si>
    <t>Agrawal Solar Power Pvt. Ltd.</t>
  </si>
  <si>
    <t>Aryavaan Renewable Energy Pvt. Ltd.</t>
  </si>
  <si>
    <t>Avaada Non-Conventional UP Project. Pvt. Ltd. Noida</t>
  </si>
  <si>
    <t xml:space="preserve">Azure Surya Private Limited. </t>
  </si>
  <si>
    <t xml:space="preserve">Dante Energy Private Limited. </t>
  </si>
  <si>
    <t xml:space="preserve">Dhruv Milkose Private Limited. </t>
  </si>
  <si>
    <t>Essel Urja Private Limited</t>
  </si>
  <si>
    <t xml:space="preserve">Green Urja Pvt. Ltd </t>
  </si>
  <si>
    <t>Jakson Power Private Limited</t>
  </si>
  <si>
    <t xml:space="preserve">K.M. Energy Pvt. Ltd </t>
  </si>
  <si>
    <t>Lohia Developers (India) Pvt. Ltd.</t>
  </si>
  <si>
    <t xml:space="preserve">Nirosha Power Pvt. Ltd </t>
  </si>
  <si>
    <t>NTPC Auraiya Solar</t>
  </si>
  <si>
    <t>PINNACLE RENEWABLE ENERGY (SITAPUR)</t>
  </si>
  <si>
    <t>Priapus Infrastructure Limited.</t>
  </si>
  <si>
    <t>PSPN Synergy Pvt. Ltd.</t>
  </si>
  <si>
    <t xml:space="preserve">Refex Energy (Rajasthan) Pvt. Ltd </t>
  </si>
  <si>
    <t>Sahshradhara Energy Pvt. Ltd. Kisni Mainpuri</t>
  </si>
  <si>
    <t>Salasar Green Energy Pvt. Ltd.</t>
  </si>
  <si>
    <t xml:space="preserve">Samavist Energy Solutions Pvt. Ltd </t>
  </si>
  <si>
    <t>Solar Energy Corporation of India Ltd. (SECI)</t>
  </si>
  <si>
    <t>Spinel Energy Infrastructure Limited.</t>
  </si>
  <si>
    <t>Sukhbir Agro (1) Lalitpur UP. (10 MW)</t>
  </si>
  <si>
    <t>Sukhbir Agro (2) Lalitpur UP. (20 MW)</t>
  </si>
  <si>
    <t>Sukhbir Agro (3) Mahoba UP. (20 MW)</t>
  </si>
  <si>
    <t>Sukhbir Agro Energy Ltd. (50MW) Chitrakoot (U.P)</t>
  </si>
  <si>
    <t>SUN N Wind Infra Energy Pvt. Ltd.</t>
  </si>
  <si>
    <t>TA GREENTECH PVT. LTD.</t>
  </si>
  <si>
    <t>Talettutayi Solar Projects Five Pvt. Ltd. Distt. Budaun, U.P</t>
  </si>
  <si>
    <t xml:space="preserve">Technical Associate Limited. </t>
  </si>
  <si>
    <t>TN Urja Pvt. Ltd</t>
  </si>
  <si>
    <t xml:space="preserve">Universal Saur Urja Private Limited. </t>
  </si>
  <si>
    <t>UP NEW &amp; RENEWABLE ENERGY GOMTI NGAR LUCKNOW</t>
  </si>
  <si>
    <t xml:space="preserve">WIND </t>
  </si>
  <si>
    <t>OSTRO KUTCH POWER (PTC)</t>
  </si>
  <si>
    <t>GREEN INFRA WIND POWER (PTC)</t>
  </si>
  <si>
    <t>MYTRAH VAYU (PTC)</t>
  </si>
  <si>
    <t>RENEW POWER (SECI)</t>
  </si>
  <si>
    <t>ADANI GREEN ENERGY LTD., MP</t>
  </si>
  <si>
    <t>WIND ONE RENERGY Pvt. Ltd.</t>
  </si>
  <si>
    <t>WIND TWO RENERGY Pvt. Ltd.</t>
  </si>
  <si>
    <t>VIVID SOLAIRE ENERGY PVT. LTD. (SECI)</t>
  </si>
  <si>
    <t>Spring Renewable Energy Pvt. Ltd. (SREPL)</t>
  </si>
  <si>
    <t>Adani Wind Energy Three, Kutchh</t>
  </si>
  <si>
    <t xml:space="preserve">Sub-Total </t>
  </si>
  <si>
    <t xml:space="preserve">MSW </t>
  </si>
  <si>
    <t>H1</t>
  </si>
  <si>
    <t>H2</t>
  </si>
  <si>
    <t>NVVNL Solar</t>
  </si>
  <si>
    <t xml:space="preserve">Reactive Energy Charges </t>
  </si>
  <si>
    <t xml:space="preserve">UI Charges </t>
  </si>
  <si>
    <t>RVUNL</t>
  </si>
  <si>
    <t>MPPMCL</t>
  </si>
  <si>
    <t>PGCIL Charges</t>
  </si>
  <si>
    <t>N</t>
  </si>
  <si>
    <t>STU Charges</t>
  </si>
  <si>
    <t>UPPTCL Charges</t>
  </si>
  <si>
    <t xml:space="preserve">WUPPTCL Charges </t>
  </si>
  <si>
    <t>SEUPPTCL Charges</t>
  </si>
  <si>
    <t>Transmission Charges for Competitive Bidding Stations</t>
  </si>
  <si>
    <t>a.</t>
  </si>
  <si>
    <t>KSK Mahanadi</t>
  </si>
  <si>
    <t>MB Power</t>
  </si>
  <si>
    <t>TRN</t>
  </si>
  <si>
    <t>RKM Power</t>
  </si>
  <si>
    <t>P</t>
  </si>
  <si>
    <t>COST PER UNIT (Rs. / kWh)</t>
  </si>
  <si>
    <t>PTC - IPP</t>
  </si>
  <si>
    <t>KARCHAN</t>
  </si>
  <si>
    <t>TEESTA III</t>
  </si>
  <si>
    <t>M B  POWER</t>
  </si>
  <si>
    <t>PTC - OA</t>
  </si>
  <si>
    <t>PTC - WIND</t>
  </si>
  <si>
    <t>ADANI GREEN ENERGY  MP LTD.</t>
  </si>
  <si>
    <t>PTC - GRAND TOTAL</t>
  </si>
  <si>
    <t>STOA</t>
  </si>
  <si>
    <t>WUPPTCL Charges</t>
  </si>
  <si>
    <t>Case-I Transmission Charges</t>
  </si>
  <si>
    <t>Intrastate</t>
  </si>
  <si>
    <t>Sl No</t>
  </si>
  <si>
    <t>Slop Based Power Project</t>
  </si>
  <si>
    <t>Solar</t>
  </si>
  <si>
    <t>Slop</t>
  </si>
  <si>
    <t>FY 22-23</t>
  </si>
  <si>
    <t>Form No: F13</t>
  </si>
  <si>
    <t>u.r.s.</t>
  </si>
  <si>
    <t>Source</t>
  </si>
  <si>
    <t>Plant Capacity (MW)</t>
  </si>
  <si>
    <t>PLF(%)</t>
  </si>
  <si>
    <t>Status (Must Run)</t>
  </si>
  <si>
    <t>Auxiliary Consumption (%)</t>
  </si>
  <si>
    <t>UP's Share in %</t>
  </si>
  <si>
    <t>UP's Share in MW</t>
  </si>
  <si>
    <t>Total Units (MU)</t>
  </si>
  <si>
    <t>Fixed Charges (Rs. Crs)</t>
  </si>
  <si>
    <t>Energy Charges (Rs. Crs)</t>
  </si>
  <si>
    <t>Other Cost (Rs. Crs)</t>
  </si>
  <si>
    <t>Total cost (Rs Crs.)</t>
  </si>
  <si>
    <t>Average Energy Cost at Interface Point (Rs./kWh)</t>
  </si>
  <si>
    <t>Note: 1. Power Purchase details to be submitted should be linked in excel sheet.</t>
  </si>
  <si>
    <t>2. Information to be provided for Past Year, True-Up Year, APR Year and each year of the Control Period.</t>
  </si>
  <si>
    <t>3. Sub-total of State thermal, State Hydro, NTPC Plants, NHPC Plants, NPCIL Plants, SJVNL Plants, THDC, IPPs, State Co-Gen, Solar and Other sources should be provided.</t>
  </si>
  <si>
    <t>Total Available Units (MU)</t>
  </si>
  <si>
    <t>Despatched Units after MoD (MU)</t>
  </si>
  <si>
    <t>NHPC Consolidated</t>
  </si>
  <si>
    <t>Hydro (Competitive Bidding)</t>
  </si>
  <si>
    <t xml:space="preserve">Ghatampur </t>
  </si>
  <si>
    <t>Solar (FY 20)</t>
  </si>
  <si>
    <t>WIND (FY 23)</t>
  </si>
  <si>
    <t>MSW FY 21</t>
  </si>
  <si>
    <t>Other</t>
  </si>
  <si>
    <t>Units Desatched after MOD (MU)</t>
  </si>
  <si>
    <t xml:space="preserve">Normative </t>
  </si>
  <si>
    <t>Per unit FC</t>
  </si>
  <si>
    <t xml:space="preserve">Panki </t>
  </si>
  <si>
    <t>Paricha</t>
  </si>
  <si>
    <t>New Nabinagar Power Project</t>
  </si>
  <si>
    <t>corrected</t>
  </si>
  <si>
    <t>No fixed cost</t>
  </si>
  <si>
    <t>No Fixed Cost</t>
  </si>
  <si>
    <t>NVVNL Coal</t>
  </si>
  <si>
    <t>Late payment 
Surcharge</t>
  </si>
  <si>
    <t>Late payment
 Surcharge</t>
  </si>
  <si>
    <t>(Rs/kWh)</t>
  </si>
  <si>
    <t>(Rs. Cr)</t>
  </si>
  <si>
    <t>(Rs./kWh)</t>
  </si>
  <si>
    <t>Jhajjar</t>
  </si>
  <si>
    <t>Based on Actual till Dec 2020</t>
  </si>
  <si>
    <t>Energy Charge (Rs. Crore)</t>
  </si>
  <si>
    <t>Energy Charge Rate (Rs./kWh)</t>
  </si>
  <si>
    <t>THDC Consolidated</t>
  </si>
  <si>
    <t>300 (MW)</t>
  </si>
  <si>
    <t>Units (Approved) (MU)</t>
  </si>
  <si>
    <t>Units despatched after MOD (MU)</t>
  </si>
  <si>
    <t xml:space="preserve">Avg. Cost of Energy at interface point of Utility </t>
  </si>
  <si>
    <t>Availability corrected</t>
  </si>
  <si>
    <t>done</t>
  </si>
  <si>
    <t>Corrected -20-21 FC taken</t>
  </si>
  <si>
    <t>Thermal</t>
  </si>
  <si>
    <t>SOLAR FY (24)</t>
  </si>
  <si>
    <t>WIND (FY 20)</t>
  </si>
  <si>
    <t xml:space="preserve">*Plant Type </t>
  </si>
  <si>
    <t xml:space="preserve">Interstate </t>
  </si>
  <si>
    <t>Form No: F13F</t>
  </si>
  <si>
    <t>Renewable Purchase Obligation</t>
  </si>
  <si>
    <t>Type</t>
  </si>
  <si>
    <t>Parameter</t>
  </si>
  <si>
    <t>Nomenclature</t>
  </si>
  <si>
    <t>Gross energy consumption</t>
  </si>
  <si>
    <t>Hydro Consumption after FY 2016-17</t>
  </si>
  <si>
    <t>Net Energy Consumption</t>
  </si>
  <si>
    <t>C=A-B</t>
  </si>
  <si>
    <t>RPO Target (Solar)</t>
  </si>
  <si>
    <t>E=C*D</t>
  </si>
  <si>
    <t>Solar Energy Purchased</t>
  </si>
  <si>
    <t>Total RPO achieved</t>
  </si>
  <si>
    <t>G=F/E</t>
  </si>
  <si>
    <t>Excess RPO Met Carried Forward</t>
  </si>
  <si>
    <t>Shortfall RPO Carried forward</t>
  </si>
  <si>
    <t>REC Purchased</t>
  </si>
  <si>
    <t>Net Status</t>
  </si>
  <si>
    <t>K=F+H-I+J</t>
  </si>
  <si>
    <t>Penalties, if any</t>
  </si>
  <si>
    <t>Non-Solar</t>
  </si>
  <si>
    <t>Other Non-Solar</t>
  </si>
  <si>
    <t>RPO Target (Non Solar)</t>
  </si>
  <si>
    <t>Non Solar Energy Purchased</t>
  </si>
  <si>
    <t>k=F+H-I+J</t>
  </si>
  <si>
    <t>Hydro Purchase Obligation</t>
  </si>
  <si>
    <r>
      <rPr>
        <strike/>
        <sz val="11"/>
        <color theme="1"/>
        <rFont val="Calibri"/>
        <family val="2"/>
        <scheme val="minor"/>
      </rPr>
      <t>Gross</t>
    </r>
    <r>
      <rPr>
        <sz val="11"/>
        <color theme="1"/>
        <rFont val="Calibri"/>
        <family val="2"/>
        <scheme val="minor"/>
      </rPr>
      <t xml:space="preserve"> Net energy consumption</t>
    </r>
  </si>
  <si>
    <t>HPO Target (Hydro)</t>
  </si>
  <si>
    <t>C=A*B</t>
  </si>
  <si>
    <t>Hydro Energy Purchased</t>
  </si>
  <si>
    <t>Total HPO achieved</t>
  </si>
  <si>
    <t>E=D/C</t>
  </si>
  <si>
    <t>Excess HPO Met Carried Forward</t>
  </si>
  <si>
    <t>Shortfall HPO Carried forward</t>
  </si>
  <si>
    <t>I=D+F-G+H</t>
  </si>
  <si>
    <t>Note: The Target RPO Share will be determined by the concerned Regulations of the Commission</t>
  </si>
  <si>
    <t>The above solar projection is without considering rooftop solar generation - 224.6 MW as provided by UPNEDA</t>
  </si>
  <si>
    <t>URS Power</t>
  </si>
  <si>
    <t>Form No: F13A</t>
  </si>
  <si>
    <t>Assumptions For Power Purchase</t>
  </si>
  <si>
    <t>State Thermal Generating Stations (UPRVUNL)</t>
  </si>
  <si>
    <t xml:space="preserve">Sl. No. </t>
  </si>
  <si>
    <t>Assumptions</t>
  </si>
  <si>
    <t>Power Purchase Quantum</t>
  </si>
  <si>
    <t>Month wise power purchase quantum for FY 22-23 &amp; remaining months of FY 2021-22 has been projected based on the monthly average PLF of generating stations from April 2016 to March 2021. For upcoming generating thermal generating  stations of UPRVUNL,  85% PLF is considered.</t>
  </si>
  <si>
    <t>Fixed &amp; Energy Charges</t>
  </si>
  <si>
    <t>The fixed charges have been computed based on the fixed charges approved by UPERC vide order dated 29 July 2021 for FY 2021-22 with escalation factor of 5%. The energy charges have been computed based on actual average energy charge  for FY 2020-21 with escalation factor of 2%. For upcoming generating stations, rate for similar units have been considered.</t>
  </si>
  <si>
    <t>State Hydro Generating Stations (UPJVNL)</t>
  </si>
  <si>
    <t xml:space="preserve">S. No. </t>
  </si>
  <si>
    <t>In case of existing generating stations, the net power purchase quantum for FY 2022-23 is projected based on the monthly average PLF of past years from April, 2016 (or month of COD, whichever is later) to March 2021.</t>
  </si>
  <si>
    <t>The fixed charges have been computed based on the fixed charges approved by UPERC vide order dated 29 July 2021 for FY 2021-22 with escalation factor of 5%. The energy charges have been computed based on actual avergae energy charge  for FY 2021-22 (April to December) with escalation factor of 2%. For upcoming generating stations, rate for similar units have been considered.</t>
  </si>
  <si>
    <t>3 (A)</t>
  </si>
  <si>
    <t>Central Generating Stations (NTPC)</t>
  </si>
  <si>
    <t>The fixed charges have been computed based on the fixed charges approved by UPERC vide order dated 29 July 2021 for FY 2020-21 with escalation factor of 5%. The energy charges have been computed based on actual average energy charge  for FY 2020-21 with escalation factor of 2%.</t>
  </si>
  <si>
    <t>3 (B)</t>
  </si>
  <si>
    <t>Central Generating Stations (NHPC)</t>
  </si>
  <si>
    <t>The fixed charges have been computed based on the fixed charges approved by UPERC vide order dated 29 July 2021 for FY 2021-22 with escalation factor of 5%. The energy charges have been computed based on actual avergae energy charge  for FY 2020-21 with escalation factor of 2%. For upcoming generating stations, rate for similar units have been considered.</t>
  </si>
  <si>
    <t>3 (C)</t>
  </si>
  <si>
    <t>Central Generating Stations (NPCIL)</t>
  </si>
  <si>
    <t xml:space="preserve">Generation for FY 21-22 for the months from Aug 21 to Mar 22 &amp; for FY 2022-23 has been projected based on the monthly average PLF of past year from April, 2016 (or month of COD, whichever is later) to March 2021. </t>
  </si>
  <si>
    <t>3 (D)</t>
  </si>
  <si>
    <t>Central Generating Stations (SJVN)</t>
  </si>
  <si>
    <t>3 (E)</t>
  </si>
  <si>
    <t>Central Generating Stations (THDC- HYDRO)</t>
  </si>
  <si>
    <t>3 (F)</t>
  </si>
  <si>
    <t>Central Generating Stations (NTPC- HYDRO)</t>
  </si>
  <si>
    <t>In case of existing generating stations, the net power purchase quantum for FY 2022-23 is projected based on the monthly average PLF of past years from April, 2016 (or month of COD, whichever is later) to March 2021. For upcoming generating station average monthly PLF of 50% have been considered.</t>
  </si>
  <si>
    <t>4 (A)</t>
  </si>
  <si>
    <t xml:space="preserve">IPPs / JVs </t>
  </si>
  <si>
    <t>For existing generating stations, the net power purchase quantum for FY 2022-23 is projected based on the monthly average PLF of past years from April, 2016 (or month of COD, whichever is later) to March 2021. 
For new generating stations, net generation is projected based on 85% PLF.</t>
  </si>
  <si>
    <t>4 (B)</t>
  </si>
  <si>
    <t>Other Sources (SOLAR)</t>
  </si>
  <si>
    <t>The net power purchase quantum for FY 2022-23 is projected based on the capacity allocation available (MW) submitted before Commission (provided by PPA) and CUF is considered at 19%. Further, in the absence of specific COD available for upcoming generating capacities, the generation has been computed at 50% of the capacity addition during the FY.</t>
  </si>
  <si>
    <t>The energy charges have been computed based on the weighted average energy charge rate of solar generating stations</t>
  </si>
  <si>
    <t>Other Sources (WIND)</t>
  </si>
  <si>
    <t>The net power purchase quantum for FY 2022-23 is projected based on the capacity allocation available (MW) submitted before Commission (provided by PPA) and CUF is considered at 25%. Further, in the absence of specific COD available for upcoming generating capacities, the generation has been computed at 50% of the capacity addition during the FY.</t>
  </si>
  <si>
    <t>The energy charges has been computed based on the weighted average energy charge rate of wind generating stations.</t>
  </si>
  <si>
    <t>Other Sources (BIOMASS)</t>
  </si>
  <si>
    <t>The net power purchase quantum for FY 2022-23 is projected based on the capacity allocation available (MW) submitted before Commission (provided by PPA) and CUF is considered as 50% in line with UPERC (Captive and Renewable Energy Generating Plants) Regulations, 2019).</t>
  </si>
  <si>
    <t>The energy charges have been comuted based on the weighted average energy charge rate of Biomass generating stations</t>
  </si>
  <si>
    <t>Other Sources (BAGASSE)</t>
  </si>
  <si>
    <t>The energy charges have been computed based on the weighted average energy charge rate of Bagasse based generating stations</t>
  </si>
  <si>
    <t>Other Sources (MSW)</t>
  </si>
  <si>
    <t>The net power purchase quantum for FY 2022-23 is projected based on the capacity allocation available (MW) submitted before Commission (provided by PPA) and CUF is considered as 75% in line with UPERC (Captive and Renewable Energy Generating Plants) Regulations, 2019).</t>
  </si>
  <si>
    <t>The energy charges have been considered in line with UPERC (Captive and Renewable Energy Generating Plants) Regulations, 2019).</t>
  </si>
  <si>
    <t>Form No: F13C</t>
  </si>
  <si>
    <t>No. of Mus for which MOD is to be Run</t>
  </si>
  <si>
    <t>Generating Stations</t>
  </si>
  <si>
    <t>Must Run 
/ Merit</t>
  </si>
  <si>
    <t>Plant Type</t>
  </si>
  <si>
    <t>Fixed Charges (Rs.Crore)</t>
  </si>
  <si>
    <t>Per Unit FC (Rs. /kWh)</t>
  </si>
  <si>
    <t>Energy/ Variable Charges (Rs.Crore)</t>
  </si>
  <si>
    <t>Per Unit EC/VC (Rs. kWh)</t>
  </si>
  <si>
    <t>Other Cost (Rs.Crore)</t>
  </si>
  <si>
    <t>Per Unit Other Cost (Rs. /kWh)</t>
  </si>
  <si>
    <t>Total Cost (Rs. Crore)</t>
  </si>
  <si>
    <t>Per Unit Total Cost (Rs. /kWh)</t>
  </si>
  <si>
    <t xml:space="preserve">* 1- Interstate ;  2- intrastate </t>
  </si>
  <si>
    <t>Note:- 1. Information to be projected for for each year of the Control Period</t>
  </si>
  <si>
    <t>2. The above model should be able to give the MOD table based on F13B &amp; value filled in C4 cell.</t>
  </si>
  <si>
    <t>3. Revenue details to be submitted should be linked in excel sheet.</t>
  </si>
  <si>
    <t>Form No: F13D</t>
  </si>
  <si>
    <t>Approved in the Tariff Order (2017-18)</t>
  </si>
  <si>
    <t>True-up FY 2020-21</t>
  </si>
  <si>
    <t>Late payment Surcharge (Rs. Crore)</t>
  </si>
  <si>
    <t>Per Unit Fixed (Rs. kWh)</t>
  </si>
  <si>
    <t>Energy/ Variable Charges* (Rs.Crore)</t>
  </si>
  <si>
    <t>Per Unit Other Cost (Rs./kWh)</t>
  </si>
  <si>
    <t>Per Unit Fixed Charges (Rs. kWh)</t>
  </si>
  <si>
    <t>NTPC Consolidated</t>
  </si>
  <si>
    <t>Slop based power project</t>
  </si>
  <si>
    <t>Open Access Charges</t>
  </si>
  <si>
    <t>Any other charges</t>
  </si>
  <si>
    <t>Prior Period Cr.</t>
  </si>
  <si>
    <t>UI Receivable (Pool a/c)</t>
  </si>
  <si>
    <t>Reactive Receivable (pool a/c)</t>
  </si>
  <si>
    <t>Rebate</t>
  </si>
  <si>
    <t>NEDA Subsidy</t>
  </si>
  <si>
    <t>IREDA Subsidy</t>
  </si>
  <si>
    <t>Prior transfer</t>
  </si>
  <si>
    <t>NTPC Cr.</t>
  </si>
  <si>
    <t xml:space="preserve">* - includes Arrears in variable Charges </t>
  </si>
  <si>
    <t>Note:- 1. Information to be provided for True-Up year, APR year &amp; for each year of the Control Period</t>
  </si>
  <si>
    <t>Form No: F13I</t>
  </si>
  <si>
    <t xml:space="preserve">Energy Transmited/wheeled through a particular transmission system,  charges payable and other details </t>
  </si>
  <si>
    <t>Name of the transmission system</t>
  </si>
  <si>
    <t xml:space="preserve">Capacity of the transmission system </t>
  </si>
  <si>
    <t xml:space="preserve">Energy Wheeled through the transmission system  </t>
  </si>
  <si>
    <t xml:space="preserve">Maximum Demand imposed by the distribution licensee on the transmission system  </t>
  </si>
  <si>
    <t xml:space="preserve">Transmission capacity alloted to the distribution licensee </t>
  </si>
  <si>
    <t xml:space="preserve">Transmission charges </t>
  </si>
  <si>
    <t xml:space="preserve">Other charges </t>
  </si>
  <si>
    <t xml:space="preserve">Total Charges </t>
  </si>
  <si>
    <t>Transmission charges/unit</t>
  </si>
  <si>
    <t>MVA</t>
  </si>
  <si>
    <t>(MU)</t>
  </si>
  <si>
    <t>MW</t>
  </si>
  <si>
    <t xml:space="preserve">Rs. In Cr. </t>
  </si>
  <si>
    <t>Rs. per MW</t>
  </si>
  <si>
    <t xml:space="preserve">FY 2017-18 </t>
  </si>
  <si>
    <t xml:space="preserve">FY 2018-19 </t>
  </si>
  <si>
    <t xml:space="preserve">Case-1 Tranmission Charges </t>
  </si>
  <si>
    <t>*Note:- Information to be provided for Past year, True-Up year, APR year &amp; for each year of the Control Period</t>
  </si>
  <si>
    <t>Form No 13J</t>
  </si>
  <si>
    <t>Lines/ Links/ Region</t>
  </si>
  <si>
    <t>Transmission Service Charges (Rs. Crs.)</t>
  </si>
  <si>
    <t>OTHERS</t>
  </si>
  <si>
    <t xml:space="preserve">Case-I Transmission Charges </t>
  </si>
  <si>
    <t>….</t>
  </si>
  <si>
    <t>Grand Total ( A+B)</t>
  </si>
  <si>
    <t>For justification of the claims, the relevant CERC Order and the bills raised by PGCIL must be enclosed</t>
  </si>
  <si>
    <t>Form No: F13K</t>
  </si>
  <si>
    <t xml:space="preserve">Months </t>
  </si>
  <si>
    <t>FY 23-24</t>
  </si>
  <si>
    <t>FY 24-25</t>
  </si>
  <si>
    <t>DBST FY 2020-21</t>
  </si>
  <si>
    <t>DVVNL</t>
  </si>
  <si>
    <t>PVVNL</t>
  </si>
  <si>
    <t>PuVVNL</t>
  </si>
  <si>
    <t>KESCO</t>
  </si>
  <si>
    <t>Revenue from Tariff including subsidy (Rs Cr)</t>
  </si>
  <si>
    <t>Energy Sales (MU)</t>
  </si>
  <si>
    <t>Power Procurement Cost</t>
  </si>
  <si>
    <t>A1</t>
  </si>
  <si>
    <t>Power Procurement Cost – Allocated and Unallocated PPAs (Rs Cr)</t>
  </si>
  <si>
    <t>A2</t>
  </si>
  <si>
    <t>Inter State Transmission Charges (Rs Cr)</t>
  </si>
  <si>
    <t>A1+A2</t>
  </si>
  <si>
    <t>Total Power Procurement Cost excluding intra state Transmission Charges (In Rs Cr)</t>
  </si>
  <si>
    <t>Power Procurement cost of  Allocated PPAs (Rs Cr)</t>
  </si>
  <si>
    <t>Total Power Required at Discom Periphery (MU)</t>
  </si>
  <si>
    <t>Power at Discom Periphery from allocated PPAs (MU)</t>
  </si>
  <si>
    <t>Other Cost (Intra State Transmission, O&amp;M, Interest, Dep etc.) ( Rs. Cr.)</t>
  </si>
  <si>
    <t>F1 format</t>
  </si>
  <si>
    <t>ABR  (Rs/ Unit)</t>
  </si>
  <si>
    <t>H=(A/B)*10</t>
  </si>
  <si>
    <t>Other Cost (Rs/Unit of Sale)</t>
  </si>
  <si>
    <t>I=G*10/B</t>
  </si>
  <si>
    <t>Power Purchase Rate</t>
  </si>
  <si>
    <t>Allocated PPAs per unit of sale (Rs/unit)</t>
  </si>
  <si>
    <t>J=D*10/B</t>
  </si>
  <si>
    <t>Unallocated PPAs per unit of sale</t>
  </si>
  <si>
    <t>K=(C-Total PP at "D")*10/Total Sale at"B"</t>
  </si>
  <si>
    <t>Revenue available for unallocated PPAs (Rs./unit of sale)</t>
  </si>
  <si>
    <t>L=H-I-J</t>
  </si>
  <si>
    <t>Power Purchase Allocation (per unit of sale)  "K"  in the ratio of available Revenue "L"</t>
  </si>
  <si>
    <t>Total Power Purchase cost per unit of sale including allocated PPAs</t>
  </si>
  <si>
    <t>N=J+M</t>
  </si>
  <si>
    <t>Total Power Purchase Cost (Rs Crs)</t>
  </si>
  <si>
    <t>O=N*B/10</t>
  </si>
  <si>
    <t>DBST (Rs/Unit)</t>
  </si>
  <si>
    <t>DBST Computation of Allocated PPAs</t>
  </si>
  <si>
    <t>DBST Computation of Unallocated PPAs</t>
  </si>
  <si>
    <t>Q=M*B/(E-F)</t>
  </si>
  <si>
    <t>DBST of total PPAs</t>
  </si>
  <si>
    <t>R=O*10/E</t>
  </si>
  <si>
    <t>DBST FY 2021-22</t>
  </si>
  <si>
    <t>DBST FY 2022-23</t>
  </si>
  <si>
    <t>Form No: F13E</t>
  </si>
  <si>
    <t>Name of Generator</t>
  </si>
  <si>
    <t>Location of Plant</t>
  </si>
  <si>
    <t>Technology</t>
  </si>
  <si>
    <t>Year of Ppa (DD/MM/YY)</t>
  </si>
  <si>
    <t>Capacity (MW)*</t>
  </si>
  <si>
    <t>Contract Duration (Years)</t>
  </si>
  <si>
    <t>Target CUF as Per PPA#</t>
  </si>
  <si>
    <t>Applicable e tariff (Rs/Kwh)</t>
  </si>
  <si>
    <t>Generations (MU)</t>
  </si>
  <si>
    <t>Akbarpur Chini Mills Ltd.,</t>
  </si>
  <si>
    <t>Akbarpur</t>
  </si>
  <si>
    <t>Bagasse</t>
  </si>
  <si>
    <t>30.05.2005</t>
  </si>
  <si>
    <t>Balrampur Chini Mills Ltd.</t>
  </si>
  <si>
    <t>Balrmpur</t>
  </si>
  <si>
    <t>10.12.2004</t>
  </si>
  <si>
    <t>Balrampur Chini Mills Ltd.,</t>
  </si>
  <si>
    <t xml:space="preserve"> Gonda (Babhnan)</t>
  </si>
  <si>
    <t>20.09.2008</t>
  </si>
  <si>
    <t xml:space="preserve">DCM Sriram Consolidated Ltd., </t>
  </si>
  <si>
    <t xml:space="preserve">Ajbapur, Lakhimpur </t>
  </si>
  <si>
    <t>05.10.2002</t>
  </si>
  <si>
    <t>Haidergarh</t>
  </si>
  <si>
    <t>17.05.2003</t>
  </si>
  <si>
    <t>Haidergarh Chini Mills Ltd., (SPPA)</t>
  </si>
  <si>
    <t>05.07.2007</t>
  </si>
  <si>
    <t>L.H. Suagar Factories Ltd.</t>
  </si>
  <si>
    <t>PILLIBHIT</t>
  </si>
  <si>
    <t>03.07.2005</t>
  </si>
  <si>
    <t>L.H. Suagar Factories Ltd.,(SPPA)</t>
  </si>
  <si>
    <t>09.02.2007</t>
  </si>
  <si>
    <t>Mankapur</t>
  </si>
  <si>
    <t>10.11.2005</t>
  </si>
  <si>
    <t>Rauzagaon</t>
  </si>
  <si>
    <t>06.02.2007</t>
  </si>
  <si>
    <t xml:space="preserve">Triveni Engg. &amp; Industries Ltd., </t>
  </si>
  <si>
    <t>Saharanpur, Deoband</t>
  </si>
  <si>
    <t>10.29.2003</t>
  </si>
  <si>
    <t>Triveni Engg. &amp; Industries Ltd.,</t>
  </si>
  <si>
    <t xml:space="preserve"> Khatauli, Muzaffarnagar</t>
  </si>
  <si>
    <t>Khatauli, Muzaffarnagar(SPPA)</t>
  </si>
  <si>
    <t>07.05.2006</t>
  </si>
  <si>
    <t>Lakhimpur Kheri</t>
  </si>
  <si>
    <t>26.08.2006</t>
  </si>
  <si>
    <t>Kumbhi Sugar Mills Ltd., (SPPA)</t>
  </si>
  <si>
    <t>06.01.2014</t>
  </si>
  <si>
    <t>17.08.2006</t>
  </si>
  <si>
    <t>Noida</t>
  </si>
  <si>
    <t>Meerut</t>
  </si>
  <si>
    <t>30.05.2006</t>
  </si>
  <si>
    <t>Naglamal</t>
  </si>
  <si>
    <t>10.02.2006</t>
  </si>
  <si>
    <t>Titawi</t>
  </si>
  <si>
    <t>Hapur</t>
  </si>
  <si>
    <t>26.04.2007</t>
  </si>
  <si>
    <t>Simbholi  Sugar Ltd., Bahraich (Chilwaria)</t>
  </si>
  <si>
    <t>Bahraich</t>
  </si>
  <si>
    <t>21.03.2006</t>
  </si>
  <si>
    <t>Simbholi  Sugar Ltd., Bahraich (Chilwaria)(SPPA)</t>
  </si>
  <si>
    <t xml:space="preserve">Bahraich </t>
  </si>
  <si>
    <t>13.08.2013</t>
  </si>
  <si>
    <t>Muzaffarnagar</t>
  </si>
  <si>
    <t>Avadh Sugar Ltd.,(Oudh) Sitapur Hargoan</t>
  </si>
  <si>
    <t>Sitapur</t>
  </si>
  <si>
    <t>30.01.2006</t>
  </si>
  <si>
    <t>Rana Sugar Miis Ltd. Rampur Karimganj</t>
  </si>
  <si>
    <t>Rampur</t>
  </si>
  <si>
    <t>03.08.2006</t>
  </si>
  <si>
    <t>Rana Sugar Miis Ltd. Belwara Moradbad</t>
  </si>
  <si>
    <t>Moradbad</t>
  </si>
  <si>
    <t>Rana Sugar Miis Ltd. Bilari</t>
  </si>
  <si>
    <t>Bilari</t>
  </si>
  <si>
    <t>22.06.2015</t>
  </si>
  <si>
    <t xml:space="preserve"> Bijnor</t>
  </si>
  <si>
    <t>22.08.2007</t>
  </si>
  <si>
    <t>Uttam Sugar Mills, Ltd.Shermau,  Saharanpur</t>
  </si>
  <si>
    <t>Saharanpur</t>
  </si>
  <si>
    <t>Uttam Sugar Mills, Ltd. Khaikheri, Muzaffarnagar</t>
  </si>
  <si>
    <t xml:space="preserve"> Muzaffarnagar</t>
  </si>
  <si>
    <t>DCM Sriram Consolidated Ltd, Hariawan, Hardoi</t>
  </si>
  <si>
    <t xml:space="preserve"> Hardoi</t>
  </si>
  <si>
    <t>01.03.2006</t>
  </si>
  <si>
    <t>DCM Sriram Consdalidated Ltd, Loni,  Hardoi</t>
  </si>
  <si>
    <t>Hardoi</t>
  </si>
  <si>
    <t>Ghaziabad</t>
  </si>
  <si>
    <t>08.09.2006</t>
  </si>
  <si>
    <t>Baghpat</t>
  </si>
  <si>
    <t>Gangnaquli</t>
  </si>
  <si>
    <t>14.06.2006</t>
  </si>
  <si>
    <t>Barkhera</t>
  </si>
  <si>
    <t>Khambakhera</t>
  </si>
  <si>
    <t>Maqsoodapur</t>
  </si>
  <si>
    <t>Thanabhawn</t>
  </si>
  <si>
    <t>Bilai</t>
  </si>
  <si>
    <t>Paliaklan</t>
  </si>
  <si>
    <t>Kinauni</t>
  </si>
  <si>
    <t>Utraula</t>
  </si>
  <si>
    <t>06.07.2011</t>
  </si>
  <si>
    <t>Budhana</t>
  </si>
  <si>
    <t>Kundrakhi</t>
  </si>
  <si>
    <t>27.09.2012</t>
  </si>
  <si>
    <t>Sambhal</t>
  </si>
  <si>
    <t>07.04.2006</t>
  </si>
  <si>
    <t>23.05.2012</t>
  </si>
  <si>
    <t>Bijnor</t>
  </si>
  <si>
    <t>07.08.2006</t>
  </si>
  <si>
    <t>Dhampur Sugar Mills Ltd., Bijnor(SPPA)</t>
  </si>
  <si>
    <t>,Sambhal</t>
  </si>
  <si>
    <t xml:space="preserve"> Bahraich</t>
  </si>
  <si>
    <t>06.02.2006</t>
  </si>
  <si>
    <t>Parle Biscuits Pvt. Ltd. (Sugar Dn.),(SPPA)</t>
  </si>
  <si>
    <t>15.02.2008</t>
  </si>
  <si>
    <t>M/s DCM Sriram Industries Ltd.</t>
  </si>
  <si>
    <t>AJABPUR</t>
  </si>
  <si>
    <t>Budaun</t>
  </si>
  <si>
    <t>09.05.2011</t>
  </si>
  <si>
    <t>Bareilly</t>
  </si>
  <si>
    <t>29.08.2002</t>
  </si>
  <si>
    <t>Bareily</t>
  </si>
  <si>
    <t>14.02.2011</t>
  </si>
  <si>
    <t>New India Sugar Mills., (AWADH SUGAR)</t>
  </si>
  <si>
    <t>AWADH SUGAR</t>
  </si>
  <si>
    <t>11.05.2007</t>
  </si>
  <si>
    <t>Upper Ganges Sugar &amp; Industries Ltd.(awadh sugar)</t>
  </si>
  <si>
    <t>Chandpur</t>
  </si>
  <si>
    <t>25.06.2012</t>
  </si>
  <si>
    <t xml:space="preserve"> Milak Narayanpur</t>
  </si>
  <si>
    <t>Sabitgarh</t>
  </si>
  <si>
    <t>04.08.2013</t>
  </si>
  <si>
    <t>SKIBIPL (Unit-Hi-Tech)</t>
  </si>
  <si>
    <t>02.11.2007</t>
  </si>
  <si>
    <t>K.M. Sugar</t>
  </si>
  <si>
    <t>Faizabad</t>
  </si>
  <si>
    <t>04.01.2006</t>
  </si>
  <si>
    <t xml:space="preserve">Dalmia Chini Mills Ltd., </t>
  </si>
  <si>
    <t>17.12.2005</t>
  </si>
  <si>
    <t>Ramgarh</t>
  </si>
  <si>
    <t>22.11.2005</t>
  </si>
  <si>
    <t xml:space="preserve">Dwarikesh Sugar Ind. Ltd., </t>
  </si>
  <si>
    <t>Nagina, Bijnor</t>
  </si>
  <si>
    <t>28.04.2006</t>
  </si>
  <si>
    <t>Dhampur, Bijnor</t>
  </si>
  <si>
    <t>15.03.2007</t>
  </si>
  <si>
    <t>Faridpur, Bareilly</t>
  </si>
  <si>
    <t>17.05.2006</t>
  </si>
  <si>
    <t>Gobind Sugar Mills Ltd.</t>
  </si>
  <si>
    <t>14.03.2014</t>
  </si>
  <si>
    <t xml:space="preserve">Superior Food Grain </t>
  </si>
  <si>
    <t>Shamli</t>
  </si>
  <si>
    <t>25.07.2015</t>
  </si>
  <si>
    <t xml:space="preserve">Kisan Sahkari Chini Mill </t>
  </si>
  <si>
    <t>Azamgarh</t>
  </si>
  <si>
    <t>01.03.2016</t>
  </si>
  <si>
    <t>M/s The Seksaria Biswan sugar</t>
  </si>
  <si>
    <t>Biswan</t>
  </si>
  <si>
    <t>24.12.2016</t>
  </si>
  <si>
    <t xml:space="preserve">UP state sugar mill </t>
  </si>
  <si>
    <t>Mohiuddinpur Meerut</t>
  </si>
  <si>
    <t>11.12.2017</t>
  </si>
  <si>
    <t xml:space="preserve">M/s Tikaula Sugar Mills </t>
  </si>
  <si>
    <t>28.02.2019</t>
  </si>
  <si>
    <t>M/s DSCL Sugar mills Ltd</t>
  </si>
  <si>
    <t>Dhampur</t>
  </si>
  <si>
    <t>M/s Oswal Sugar mills Ltd*</t>
  </si>
  <si>
    <t>bareilly</t>
  </si>
  <si>
    <t>01.02.2019</t>
  </si>
  <si>
    <t>M/s Ramala Sahakari Chinni Mills*</t>
  </si>
  <si>
    <t>24.06.2019</t>
  </si>
  <si>
    <t>M/s Pipraich Sahakari Chinni Mills*</t>
  </si>
  <si>
    <t>Gorakhpur</t>
  </si>
  <si>
    <t>M/s Munderwa Sahakari Chinni Mills*</t>
  </si>
  <si>
    <t>Basti</t>
  </si>
  <si>
    <t xml:space="preserve">Dalmia Chini Mills Ltd. </t>
  </si>
  <si>
    <t>Nigohi</t>
  </si>
  <si>
    <t>05.04.2007</t>
  </si>
  <si>
    <t>M/s Oswal Sugar mills Ltd</t>
  </si>
  <si>
    <t>25.11.2020</t>
  </si>
  <si>
    <t>M/s Balram Pur Chinni Mills Ltd,Mejapur</t>
  </si>
  <si>
    <t>Gonda</t>
  </si>
  <si>
    <t>18.11.2020</t>
  </si>
  <si>
    <t>M/s Govind Sugar Pvt Ltd</t>
  </si>
  <si>
    <t>28.11.2020</t>
  </si>
  <si>
    <t>M/s Daya Sugar Pvt Ltd</t>
  </si>
  <si>
    <t>23.11.2020</t>
  </si>
  <si>
    <t>M/s Balram Pur Chinni Mills Ltd,Tulsipur</t>
  </si>
  <si>
    <t>Ms Spaak bression Pvt Ltd</t>
  </si>
  <si>
    <t>, Agra</t>
  </si>
  <si>
    <t>24.01.2018</t>
  </si>
  <si>
    <t>Ms Eco Green Energy Pvt Ltd</t>
  </si>
  <si>
    <t xml:space="preserve"> Lucknow</t>
  </si>
  <si>
    <t>27.09.2017</t>
  </si>
  <si>
    <t xml:space="preserve">Ms Accord Hydro (SWM) </t>
  </si>
  <si>
    <t>Barabanki</t>
  </si>
  <si>
    <t>14.06.2017</t>
  </si>
  <si>
    <t>Ghazipur</t>
  </si>
  <si>
    <t>Biomass</t>
  </si>
  <si>
    <t>29.07.2006</t>
  </si>
  <si>
    <t>India Glycols Ltd.</t>
  </si>
  <si>
    <t>23.07.2012</t>
  </si>
  <si>
    <t>Gallant Ispat Limited</t>
  </si>
  <si>
    <t>06.03.2018</t>
  </si>
  <si>
    <t>Dwarikesh Sugar Industries Limited</t>
  </si>
  <si>
    <t>28.12.2020</t>
  </si>
  <si>
    <t>Gobind Sugar Mills Ltd</t>
  </si>
  <si>
    <t>24.12.2020</t>
  </si>
  <si>
    <t>Avadh Sugar and Energy Ltd (Hargaon)</t>
  </si>
  <si>
    <t>14.12.2020</t>
  </si>
  <si>
    <t>Avadh Sugar and Energy Ltd (Seohara)</t>
  </si>
  <si>
    <t>The Seksariya Biswan Sugar Factory Ltd., Biswan (Sitapur)</t>
  </si>
  <si>
    <t>31.12.2020</t>
  </si>
  <si>
    <t>Dalmia Bharat Sugar And Industries Limited</t>
  </si>
  <si>
    <t>30.12.2020</t>
  </si>
  <si>
    <t>Balrampur Chini Mills Limited (Gularia)</t>
  </si>
  <si>
    <t>23.12.2020</t>
  </si>
  <si>
    <t>DCM Shriram Limited, Distillery Unit: Ajbapur</t>
  </si>
  <si>
    <t>Mytrah Energy India Pvt. Ltd.</t>
  </si>
  <si>
    <t>wind</t>
  </si>
  <si>
    <t>13.07.2017</t>
  </si>
  <si>
    <t>Green infra Wind Energy Ltd.</t>
  </si>
  <si>
    <t>Inox Wind Infrastructure Services Ltd.</t>
  </si>
  <si>
    <t>Ostro Kutch Wind Pvt. Ltd.</t>
  </si>
  <si>
    <t>Adani Green Energy (MP) Ltd.</t>
  </si>
  <si>
    <t>Renew Power Ventures Pvt. Ltd.</t>
  </si>
  <si>
    <t>24.11.2017</t>
  </si>
  <si>
    <t>Inox Wind Infrastructure Services Ltd</t>
  </si>
  <si>
    <t>SECI *</t>
  </si>
  <si>
    <t>23.08.2018</t>
  </si>
  <si>
    <t>18.06.2019</t>
  </si>
  <si>
    <t>01.10.2019</t>
  </si>
  <si>
    <t>Technical Associates Ltd</t>
  </si>
  <si>
    <t>14.08.2010</t>
  </si>
  <si>
    <t>Dante Energy Pvt Ltd</t>
  </si>
  <si>
    <t>Jhansi</t>
  </si>
  <si>
    <t>Dhruv Milkose</t>
  </si>
  <si>
    <t xml:space="preserve">Jhansi </t>
  </si>
  <si>
    <t>Priapus Infrastructure Ltd</t>
  </si>
  <si>
    <t xml:space="preserve"> Bareilly</t>
  </si>
  <si>
    <t>EMC ltd</t>
  </si>
  <si>
    <t xml:space="preserve">Naini Distt Allahabad </t>
  </si>
  <si>
    <t>07.02.2011</t>
  </si>
  <si>
    <t>Refex Energy(Rajasthan) Pvt.Ltd.</t>
  </si>
  <si>
    <t>Village Amarpur District Lalitpur</t>
  </si>
  <si>
    <t>27.12.2013</t>
  </si>
  <si>
    <t>Azure Surya Pvt. Ltd</t>
  </si>
  <si>
    <t>M/s mozer bear clean energy</t>
  </si>
  <si>
    <t>New Delhi</t>
  </si>
  <si>
    <t>DK infracon pvt ltd</t>
  </si>
  <si>
    <t>Jakson Power Pvt.Ltd</t>
  </si>
  <si>
    <t xml:space="preserve"> Lalitpur</t>
  </si>
  <si>
    <t>Essel Infra Projects Ltd</t>
  </si>
  <si>
    <t>MUMBAI</t>
  </si>
  <si>
    <t>Jakson Engineers Ltd</t>
  </si>
  <si>
    <t>Mahoba</t>
  </si>
  <si>
    <t>06.04.2015</t>
  </si>
  <si>
    <t>Nirosha Power Ltd</t>
  </si>
  <si>
    <t>Universal Saur Urja Ltd</t>
  </si>
  <si>
    <t xml:space="preserve"> Mahoba</t>
  </si>
  <si>
    <t>K.M.Energy Ltd Lucknow</t>
  </si>
  <si>
    <t>M/s Sun N Wind Infra Energy Pvt. Ltd.</t>
  </si>
  <si>
    <t>BARILLY</t>
  </si>
  <si>
    <t>02.12.2015</t>
  </si>
  <si>
    <t>M/s Sukhbir Agro Energy Ltd New Delhi</t>
  </si>
  <si>
    <t xml:space="preserve">M/s Aryavaan Renewable Energy Pvt Ltd Secundrabad </t>
  </si>
  <si>
    <t>M/s Salsaar</t>
  </si>
  <si>
    <t>M/s PSPN Energy</t>
  </si>
  <si>
    <t>M/s Lohia Developers</t>
  </si>
  <si>
    <t xml:space="preserve">M/s Agarwal Solar Pvt Ltd </t>
  </si>
  <si>
    <t xml:space="preserve">M/s Sukhbir Agro Energy Ltd </t>
  </si>
  <si>
    <t xml:space="preserve">M/s Sahasdhara Pvt Ltd </t>
  </si>
  <si>
    <t>Technical Associates, Lucknow (TA Greentech Pvt. Ltd.)</t>
  </si>
  <si>
    <t xml:space="preserve">Adani Green Energy Ltd. </t>
  </si>
  <si>
    <t>Pinnacle Air Pvt. Ltd. , New Delhi (Pinnacle Renewable Energy Pvt. Ltd.)</t>
  </si>
  <si>
    <t>NTPC Bundled Power</t>
  </si>
  <si>
    <t>24.09.2016</t>
  </si>
  <si>
    <t>UPNEDA</t>
  </si>
  <si>
    <t>M/s Rattan India 2 Pvt Ltd</t>
  </si>
  <si>
    <t>10.05.2016</t>
  </si>
  <si>
    <t>M/s Enviro Solaire Pvt Ltd</t>
  </si>
  <si>
    <t>M/s Azure Venus Pvt Ltd</t>
  </si>
  <si>
    <t>04.01.2017</t>
  </si>
  <si>
    <t>M/s Mehrauni I Urja Pvt Ltd</t>
  </si>
  <si>
    <t>M/s UP Sarila Urja Pvt Ltd</t>
  </si>
  <si>
    <t>M/s Mehrauni II Urja Pvt Ltd</t>
  </si>
  <si>
    <t>M/s Karaon Urja Pvt Ltd</t>
  </si>
  <si>
    <t>Maheswari Mining &amp; Energy Pvt. Ltd.,</t>
  </si>
  <si>
    <t>21.12.2018</t>
  </si>
  <si>
    <t>M/s NTPC</t>
  </si>
  <si>
    <t>M/sNTPC</t>
  </si>
  <si>
    <t>M/s Sukhbir Agro Energy Ltd., Punjab</t>
  </si>
  <si>
    <t>Punjab</t>
  </si>
  <si>
    <t>M/s Talettutayi Solar Projects</t>
  </si>
  <si>
    <t>GURUGRAM</t>
  </si>
  <si>
    <t>M/s Kilaz Solar Pvt. Ltd.</t>
  </si>
  <si>
    <t>24.12.2018</t>
  </si>
  <si>
    <t>M/s Avada Non Conventional UP Project Pvt. Ltd.,</t>
  </si>
  <si>
    <t>04.01.2019</t>
  </si>
  <si>
    <t>NTPC Limited,</t>
  </si>
  <si>
    <t xml:space="preserve"> Noida</t>
  </si>
  <si>
    <t>11.02.2019</t>
  </si>
  <si>
    <t>M/s Mahoba Solar UP Pvt. Ltd., Ahmedabad</t>
  </si>
  <si>
    <t>12.02.2019</t>
  </si>
  <si>
    <t>Tata Power Renewable Energy Ltd.</t>
  </si>
  <si>
    <t>Mumbai</t>
  </si>
  <si>
    <t xml:space="preserve">Jackson Power Pvt. Ltd. </t>
  </si>
  <si>
    <t>Rihand Floating (SECI)</t>
  </si>
  <si>
    <t>Rihand</t>
  </si>
  <si>
    <t>04.09.2019</t>
  </si>
  <si>
    <t>NVVN Bundled Power</t>
  </si>
  <si>
    <t>SECI*</t>
  </si>
  <si>
    <t>28.03.2018</t>
  </si>
  <si>
    <t>SECI, Pavagada, Karnataka</t>
  </si>
  <si>
    <t>15.11.2018</t>
  </si>
  <si>
    <t>NTPC*</t>
  </si>
  <si>
    <t>27.02.2020</t>
  </si>
  <si>
    <t>Sukhbir Agro Energy Pvt. Ltd.*</t>
  </si>
  <si>
    <t>M/s SJVN Ltd</t>
  </si>
  <si>
    <t>16.06.2021</t>
  </si>
  <si>
    <t>KUSUM Part-I*</t>
  </si>
  <si>
    <t>Proposed</t>
  </si>
  <si>
    <t>KUSUM Part-II*</t>
  </si>
  <si>
    <t>M/s THDC</t>
  </si>
  <si>
    <t>Small Hydro</t>
  </si>
  <si>
    <t>05.12.2016</t>
  </si>
  <si>
    <t>Salava (M/s B&amp;G Renewable Energy Pvt. Ltd.)</t>
  </si>
  <si>
    <t>01.02.2017</t>
  </si>
  <si>
    <t>Nirgajni (M/s B&amp;G Renewable Energy Pvt. Ltd.)</t>
  </si>
  <si>
    <t>Belka Jal Vidyut Grah</t>
  </si>
  <si>
    <t>01.04.2009</t>
  </si>
  <si>
    <t>Babail  Jal Vidyut Grah</t>
  </si>
  <si>
    <t xml:space="preserve">Sitala Jal Vidyut Grah </t>
  </si>
  <si>
    <t>Jhanshi</t>
  </si>
  <si>
    <t>Bhola Jal Vidyut Grah</t>
  </si>
  <si>
    <t>Chitaur Jal Vidyut Grah</t>
  </si>
  <si>
    <t>Nirganji Jal Vidyut Grah</t>
  </si>
  <si>
    <t>Salava Jal Vidyut Grah</t>
  </si>
  <si>
    <t>Singroli</t>
  </si>
  <si>
    <t>18.07.2011</t>
  </si>
  <si>
    <t>Form No: F13G</t>
  </si>
  <si>
    <t>Name of Distribution Licensee - PuVVNL</t>
  </si>
  <si>
    <t>Developer 1</t>
  </si>
  <si>
    <t>Developer 2</t>
  </si>
  <si>
    <t>Developer 3</t>
  </si>
  <si>
    <t>Developer 4</t>
  </si>
  <si>
    <t>Developer 5</t>
  </si>
  <si>
    <t>Developer 6</t>
  </si>
  <si>
    <t>Developer 7</t>
  </si>
  <si>
    <t>Developer 8</t>
  </si>
  <si>
    <t>Developer 9</t>
  </si>
  <si>
    <t>Developer10</t>
  </si>
  <si>
    <t>Name of Developer</t>
  </si>
  <si>
    <t>M/s RKM Powergen Ltd</t>
  </si>
  <si>
    <t>M/s KSK Mahanadi Power Co. Ltd</t>
  </si>
  <si>
    <t>M/s TRN Energy Ltd( Through Trader PTC India Ltd)</t>
  </si>
  <si>
    <t>M/s MB Power{Madhya Pradesh) Ltd                 ( Through Trader PTC India Ltd)</t>
  </si>
  <si>
    <t>M/s Prayagraj Power Generation Co. Ltd.</t>
  </si>
  <si>
    <t>Sasan Power Ltd</t>
  </si>
  <si>
    <t>Lanco Anpara Power Limited</t>
  </si>
  <si>
    <t xml:space="preserve">M/s Teesta Urja Ltd. </t>
  </si>
  <si>
    <t>M/s GMR Bajoliholi 
Hydro Power Pvt. Ltd.</t>
  </si>
  <si>
    <t>M/s Tidong Power 
Generation Pvt. Ltd.</t>
  </si>
  <si>
    <t>PPA Capacity (MW)</t>
  </si>
  <si>
    <t>PVVNL-49.5 MW</t>
  </si>
  <si>
    <t>1100 MW</t>
  </si>
  <si>
    <t>57.42 MW</t>
  </si>
  <si>
    <t xml:space="preserve">13 MW </t>
  </si>
  <si>
    <t>16.25 MW</t>
  </si>
  <si>
    <t>Plant Location</t>
  </si>
  <si>
    <t>Janjgir-Champa Distt., Chhattisgarh</t>
  </si>
  <si>
    <t>Akaltara Tehsil, Janjgir-Champa district, Chhattisgarh</t>
  </si>
  <si>
    <t>Raigarh Dist, Chhattisgarh</t>
  </si>
  <si>
    <t>Annupur, Madhya Pradesh</t>
  </si>
  <si>
    <t>Bara, Dist. Allahabad, UP</t>
  </si>
  <si>
    <t xml:space="preserve">Sasan Dist-SIDHI, Madhya Pradesh </t>
  </si>
  <si>
    <t>Anpara C , Anpara, Sonebhadra Uttar Pradesh</t>
  </si>
  <si>
    <t>Distt North Sikkim, 
Sikkim</t>
  </si>
  <si>
    <t xml:space="preserve">Distt. Chamba, 
Himachal Pradesh </t>
  </si>
  <si>
    <t>Distt Kinnaur, 
Himachal Pradesh</t>
  </si>
  <si>
    <t>Date of PPA (DD/MM/YY)</t>
  </si>
  <si>
    <t>25.07.2013</t>
  </si>
  <si>
    <t>12.11.2006 &amp; 31.12.2009</t>
  </si>
  <si>
    <t>Duration of PPA (Years)</t>
  </si>
  <si>
    <t>25 years</t>
  </si>
  <si>
    <t>25 years from COD</t>
  </si>
  <si>
    <t>Scheduled delivery date (DD/MM/YY)</t>
  </si>
  <si>
    <t>Unit-1 22-08-2014, Unit 2- 22-01-2015, Unit 3-22-06-2015</t>
  </si>
  <si>
    <t>Unit-1(07-05-2013), unit-2 (07-12-2013),Unit-3(07-07-2014),unit-4(07-02-2015),unit-5(07-09-2015),unit-6(07-04-2016)</t>
  </si>
  <si>
    <t>10.12.2011</t>
  </si>
  <si>
    <t>No such date as schedule delivery date. The Supply from M/s Teesta Urja Ltd. started from 20-10-2021.</t>
  </si>
  <si>
    <t>No such date as schedule delivery date. The Supply is not started yet.</t>
  </si>
  <si>
    <t>Actual COD (DD/MM/YY)</t>
  </si>
  <si>
    <t>Unit-1 29-02-2016, Unit 2- 10-09-2016, Unit 3-26-05-2017</t>
  </si>
  <si>
    <t>Unit-1(27-05-2014), unit-2 (28-01-2014),Unit-3(16-08-2013),unit-4(12-04-2014),unit-5(26-12-2014),unit-6(27-03-2015)</t>
  </si>
  <si>
    <t>Yet to achieved COD</t>
  </si>
  <si>
    <t>Type of bid (Case 1/Case 2/UMPP)</t>
  </si>
  <si>
    <t>Case 1</t>
  </si>
  <si>
    <t>Case 2</t>
  </si>
  <si>
    <t>UMPP</t>
  </si>
  <si>
    <t>Case-2</t>
  </si>
  <si>
    <t xml:space="preserve">Hydro Power Procurement through competitive bidding </t>
  </si>
  <si>
    <t>Type of fuel (Imported/ Domestic)</t>
  </si>
  <si>
    <t>Domestic</t>
  </si>
  <si>
    <t xml:space="preserve">Water </t>
  </si>
  <si>
    <t>Tariff adoption order (ERC, Case No.,  and Date)</t>
  </si>
  <si>
    <t>Order dated 01-02-2017 in petition no 1106/2016</t>
  </si>
  <si>
    <r>
      <t>UPERC order dated 24</t>
    </r>
    <r>
      <rPr>
        <vertAlign val="superscript"/>
        <sz val="11"/>
        <color theme="1"/>
        <rFont val="Calibri"/>
        <family val="2"/>
        <scheme val="minor"/>
      </rPr>
      <t>th</t>
    </r>
    <r>
      <rPr>
        <sz val="11"/>
        <color theme="1"/>
        <rFont val="Calibri"/>
        <family val="2"/>
        <scheme val="minor"/>
      </rPr>
      <t xml:space="preserve"> June, 2014 in petition no 911/2013</t>
    </r>
  </si>
  <si>
    <t>order dated 27-10-2010 in petition no 645/2010</t>
  </si>
  <si>
    <t>CERC,109/2007,17-10-2007</t>
  </si>
  <si>
    <t>509/07, 31.12.2007</t>
  </si>
  <si>
    <t>UPERC Order dated 27-08-2021 in petition no. 1744/2021</t>
  </si>
  <si>
    <t>Net Generation (MU)</t>
  </si>
  <si>
    <t>From April 21 to Sept-21</t>
  </si>
  <si>
    <t>Normative availability as per PPA (%)</t>
  </si>
  <si>
    <t>80% for all Discoms</t>
  </si>
  <si>
    <r>
      <t>The monthly supply  of the Contracted Capacity of the Power Station in terms of million units is at least [</t>
    </r>
    <r>
      <rPr>
        <b/>
        <i/>
        <sz val="11"/>
        <color theme="1"/>
        <rFont val="Calibri"/>
        <family val="2"/>
        <scheme val="minor"/>
      </rPr>
      <t>Run off the River - /Pondage – 90% (Ninety percent) without silt &amp; 85% (Eight Five Percent) with silt/ Pumped Storage/ any other to be specified]</t>
    </r>
    <r>
      <rPr>
        <sz val="11"/>
        <color theme="1"/>
        <rFont val="Calibri"/>
        <family val="2"/>
        <scheme val="minor"/>
      </rPr>
      <t xml:space="preserve">  thereof during the peak hours pertaining to Procurers specified 6 hours during the Contract Period (the “</t>
    </r>
    <r>
      <rPr>
        <b/>
        <sz val="11"/>
        <color theme="1"/>
        <rFont val="Calibri"/>
        <family val="2"/>
        <scheme val="minor"/>
      </rPr>
      <t>Contracted Supply</t>
    </r>
    <r>
      <rPr>
        <sz val="11"/>
        <color theme="1"/>
        <rFont val="Calibri"/>
        <family val="2"/>
        <scheme val="minor"/>
      </rPr>
      <t>”).</t>
    </r>
  </si>
  <si>
    <t>Actual availability (%)</t>
  </si>
  <si>
    <t>UPTO the month of Sept-21</t>
  </si>
  <si>
    <t>Levelised Tariff payable as per PPA (Rs./kWh)</t>
  </si>
  <si>
    <t xml:space="preserve">         1.19/KWh for all Discoms</t>
  </si>
  <si>
    <t>Total Capacity charges (Rs./kWh)</t>
  </si>
  <si>
    <t>Capacity and Energy Charge are first year quoted Charge</t>
  </si>
  <si>
    <t>Escalable capacity charge component (in Rs/kWh)</t>
  </si>
  <si>
    <t>Non-Escalable capacity charge component (in Rs./kWh)</t>
  </si>
  <si>
    <t>0.763 from 10.12.2019</t>
  </si>
  <si>
    <t xml:space="preserve">Total Energy charges </t>
  </si>
  <si>
    <t>SHR based bidding, Quoted Net SHR value 2350Kcal/Kwh</t>
  </si>
  <si>
    <t>Actual based on 2511 Kcal/kWh Net SHR</t>
  </si>
  <si>
    <t>*SHR based bidding, Quoted Net SHR value 2350Kcal/Kwh</t>
  </si>
  <si>
    <t>Escalable fuel charge component  (in Rs./kWh)</t>
  </si>
  <si>
    <t>Escalable fuel charge component (in $/kWh)</t>
  </si>
  <si>
    <t>Non-escalable fuel charge component (in Rs./kWh)</t>
  </si>
  <si>
    <t>Non-escalable fuel charge component (in $/kWh)</t>
  </si>
  <si>
    <t>Escalable fuel handling  charge component (in Rs./kWh)</t>
  </si>
  <si>
    <t>Escalable fuel handling  charge component (in $/kWh)</t>
  </si>
  <si>
    <t>Non- escalable fuel handling  charge component (in Rs./kWh)</t>
  </si>
  <si>
    <t>Non- escalable fuel handling  charge component (in $/kWh)</t>
  </si>
  <si>
    <t>Escalable transportation charge component (in Rs./kWh)</t>
  </si>
  <si>
    <t>Escalable transportation charge component (in $/kWh)</t>
  </si>
  <si>
    <t>Non-escalable transportation charge component (in Rs./kWh)</t>
  </si>
  <si>
    <t>Non-escalable transportation charge component(in $/kWh)</t>
  </si>
  <si>
    <t>Total transmission charges (Rs/kWh)</t>
  </si>
  <si>
    <t>Nil</t>
  </si>
  <si>
    <t>Escalable component (in Rs./kWh)</t>
  </si>
  <si>
    <t>Non escalable component (in Rs./kWh)</t>
  </si>
  <si>
    <t>Total tariff as per PPA (Rs/kWh)</t>
  </si>
  <si>
    <t>based on Billing &amp; SG from April-21 to Oct 21</t>
  </si>
  <si>
    <t>Incentives or Disincentives as per PPA (Rs. Cr)</t>
  </si>
  <si>
    <t>0.25 Rs/kWh from 80% availability up to 92% therafter PLF based incentive</t>
  </si>
  <si>
    <t>Compensatory tariff, if any (Rs. Cr)</t>
  </si>
  <si>
    <t>levelized  0.162 Rs/kWh as per UPERC order</t>
  </si>
  <si>
    <t>Additional charge, if any (Rs. Cr)</t>
  </si>
  <si>
    <t>Total payment made to generator (Rs. Cr)</t>
  </si>
  <si>
    <t>866.5 Cr</t>
  </si>
  <si>
    <t>UPTO the month of sept-21</t>
  </si>
  <si>
    <t>REC( Transitional)</t>
  </si>
  <si>
    <t>Opening Balance of Loan</t>
  </si>
  <si>
    <t>Addition of Loan during the year</t>
  </si>
  <si>
    <t>B1</t>
  </si>
  <si>
    <t>Loan Repayment during the year</t>
  </si>
  <si>
    <t>C1</t>
  </si>
  <si>
    <t>Closing Balance of Loan</t>
  </si>
  <si>
    <t>D1=A1+B1-C1</t>
  </si>
  <si>
    <t>Average Loan Balance</t>
  </si>
  <si>
    <t>E1=(A1+D1)/2</t>
  </si>
  <si>
    <t>Applicable Rate of Interest as on 1st April of the Financial Year</t>
  </si>
  <si>
    <t>Interest Amount Paid in Rs. Crore</t>
  </si>
  <si>
    <t>G1</t>
  </si>
  <si>
    <t>PFC( Transitional)</t>
  </si>
  <si>
    <t>9.7% Bonds 04.07.16</t>
  </si>
  <si>
    <t>9.7% Bonds 28.09.16 &amp; 30.03.17</t>
  </si>
  <si>
    <t>8.97% Rated Bonds</t>
  </si>
  <si>
    <t>8.48% Rated Bonds</t>
  </si>
  <si>
    <t>9.75% Bonds 05.12.17</t>
  </si>
  <si>
    <t>10.15% Bonds 27.03.18</t>
  </si>
  <si>
    <t>PFC (IPDS)</t>
  </si>
  <si>
    <t>PFC (DDUGJY)</t>
  </si>
  <si>
    <t>REC (Saubhagya)</t>
  </si>
  <si>
    <t>PFC ( R - APDRP)</t>
  </si>
  <si>
    <t>REC (R-APDRP)</t>
  </si>
  <si>
    <t>Opening Balance of Loan = A1+A2+…..</t>
  </si>
  <si>
    <t>Addition of Loan during the year = B1+B2+….</t>
  </si>
  <si>
    <t>Loan Repayment during the year = C1+C2+…..</t>
  </si>
  <si>
    <t>D=A+B-C</t>
  </si>
  <si>
    <t>E=(A+D)/2</t>
  </si>
  <si>
    <t>Total Interest Amount Paid in Rs. Crore (for all the sources) = G1+G2+….</t>
  </si>
  <si>
    <t>Effective Wt. Avg. Rate of Interest</t>
  </si>
  <si>
    <t>H=G/E * 100</t>
  </si>
  <si>
    <t>H=∑(An*Fn)/∑An*100</t>
  </si>
  <si>
    <t>Salaries</t>
  </si>
  <si>
    <t>Additional Pay</t>
  </si>
  <si>
    <t>Dearness Allowance (DA)</t>
  </si>
  <si>
    <t>Other Allowances &amp; Relief</t>
  </si>
  <si>
    <t>Addl. Pay &amp;  C.Off Encashment/ Compensation</t>
  </si>
  <si>
    <t>Interim Relief / Wage Revision</t>
  </si>
  <si>
    <t>Honorarium/Overtime</t>
  </si>
  <si>
    <t>Bonus/ Exgratia To Employees</t>
  </si>
  <si>
    <t>Medical Expenses Reimbursement</t>
  </si>
  <si>
    <t>Travelling Allowance(Conveyance Allowance)</t>
  </si>
  <si>
    <t>Leave Travel Assistance</t>
  </si>
  <si>
    <t>Earned Leave Encashment</t>
  </si>
  <si>
    <t>Payment Under Workman's Compensation And Gratuity</t>
  </si>
  <si>
    <t>Subsidised Electricity To Employees</t>
  </si>
  <si>
    <t>Any Other Item</t>
  </si>
  <si>
    <t>Staff Welfare Expenses</t>
  </si>
  <si>
    <t>Apprentice And Other Training Expenses</t>
  </si>
  <si>
    <t>Contribution To Terminal Benefits</t>
  </si>
  <si>
    <t>Provident Fund Contribution</t>
  </si>
  <si>
    <t>Provision for PF Fund/interest to GPF</t>
  </si>
  <si>
    <t>Any Other Items / compensation</t>
  </si>
  <si>
    <t>Lease/ Rent</t>
  </si>
  <si>
    <t>Insurance</t>
  </si>
  <si>
    <t>Telephone, Postage, Telegram &amp; Telex Charges</t>
  </si>
  <si>
    <t>Consultancy Charges</t>
  </si>
  <si>
    <t>Technical Fees</t>
  </si>
  <si>
    <t>Conveyance And Travelling</t>
  </si>
  <si>
    <t>License and Registration Fees</t>
  </si>
  <si>
    <t>Vehicle Expenses</t>
  </si>
  <si>
    <t>Printing And Stationery</t>
  </si>
  <si>
    <t>Advertisement Expenses</t>
  </si>
  <si>
    <t>Electricity Charges To Offices</t>
  </si>
  <si>
    <t>Water Charges</t>
  </si>
  <si>
    <t>Entertainment Charges</t>
  </si>
  <si>
    <t>Miscellaneous Expenses</t>
  </si>
  <si>
    <t>Legal Charges</t>
  </si>
  <si>
    <t>Auditor's Fee</t>
  </si>
  <si>
    <t>Freight On Capital Equipments</t>
  </si>
  <si>
    <t>Purchase Related Advertisement Expenses</t>
  </si>
  <si>
    <t>Vehicle Running Expenses Truck / Delivery Van</t>
  </si>
  <si>
    <t>Vehicle Hiring Expenses Truck / Delivery Van</t>
  </si>
  <si>
    <t>Other Freight</t>
  </si>
  <si>
    <t>Transit Insurance</t>
  </si>
  <si>
    <t>Octroi (Expenditure on Trust)</t>
  </si>
  <si>
    <t>Incidental Stores Expenses (Expes. Incurred on revenue realization)</t>
  </si>
  <si>
    <t>Fabrication Charges (Compensation other than staff)</t>
  </si>
  <si>
    <t xml:space="preserve"> Interest and Finance charges such as Credit Rating charges, collection facilitation charges, financing cost of Delayed Payment Surcharge and other finance charges </t>
  </si>
  <si>
    <t>Form No: P1</t>
  </si>
  <si>
    <t>T&amp;D Losses in LT and HT system</t>
  </si>
  <si>
    <t xml:space="preserve"> System Losses At 33 KV</t>
  </si>
  <si>
    <t>Energy received into the system</t>
  </si>
  <si>
    <t>Energy sold at this voltage level</t>
  </si>
  <si>
    <t>Energy transmitted to the next (lower) voltage level</t>
  </si>
  <si>
    <t>Energy Lost</t>
  </si>
  <si>
    <t>Total Loss in the system (4/1)*100%</t>
  </si>
  <si>
    <t>11kV and 'LT System Losses</t>
  </si>
  <si>
    <t>LT System Losses</t>
  </si>
  <si>
    <t>Total Loss in the system (3/1)*100%</t>
  </si>
  <si>
    <t xml:space="preserve"> Overall Losses</t>
  </si>
  <si>
    <t>Energy In (A1)</t>
  </si>
  <si>
    <t>Energy Out (A2+B2+C2+D2))</t>
  </si>
  <si>
    <t>Total T&amp;D Loss ((1-2)/1)*100%</t>
  </si>
  <si>
    <t>Note:</t>
  </si>
  <si>
    <t xml:space="preserve">For 220  KV and  132 KV  Consumers  calculation for losses for individual consumers  shall be indicated seperately  </t>
  </si>
  <si>
    <t xml:space="preserve"> The Cirlce/Division wise losses have also to be provided</t>
  </si>
  <si>
    <t>Form No: P3</t>
  </si>
  <si>
    <t>Details of Physical statistics of the network</t>
  </si>
  <si>
    <t>Sl.No</t>
  </si>
  <si>
    <t>Past Year</t>
  </si>
  <si>
    <t>Additions during the year</t>
  </si>
  <si>
    <t>Withdrawal from service</t>
  </si>
  <si>
    <t>At the end of year</t>
  </si>
  <si>
    <t>Length of lines (ckt-km)</t>
  </si>
  <si>
    <t>- 33kV</t>
  </si>
  <si>
    <t>- 11kV</t>
  </si>
  <si>
    <t>- LT</t>
  </si>
  <si>
    <t>Number of 33/11kV substations</t>
  </si>
  <si>
    <t>No. of Power Transformers</t>
  </si>
  <si>
    <t>Total MVA capacity of power transformers</t>
  </si>
  <si>
    <t>Number of Distribution Transformers</t>
  </si>
  <si>
    <t>Total MVA capacity of Distribution Trfs.</t>
  </si>
  <si>
    <t>Number of consumer meters</t>
  </si>
  <si>
    <t>- LT (less than 0.5 accuracy class)</t>
  </si>
  <si>
    <t>- LT (better than 0.5 accuracy class)</t>
  </si>
  <si>
    <t>- HT (less than 0.5 accuracy class)</t>
  </si>
  <si>
    <t>- HT (0.2 accuracy class)</t>
  </si>
  <si>
    <t>- HT (better than 0.2 accuracy class)</t>
  </si>
  <si>
    <t>Number of Interface meters</t>
  </si>
  <si>
    <t>- 0.5 accuracy class</t>
  </si>
  <si>
    <t>- 0.2 accuracy class</t>
  </si>
  <si>
    <t>Metered sales</t>
  </si>
  <si>
    <t>EHT</t>
  </si>
  <si>
    <t>Metered Consumers</t>
  </si>
  <si>
    <t>Form No: P5</t>
  </si>
  <si>
    <t>Consumer Complaint</t>
  </si>
  <si>
    <t>Type of Complaint</t>
  </si>
  <si>
    <t>NO. OF COMPLAINTS RECEIVED DURING</t>
  </si>
  <si>
    <t>SL.NO.</t>
  </si>
  <si>
    <t>Past year data</t>
  </si>
  <si>
    <t>First six months</t>
  </si>
  <si>
    <t>Second six months</t>
  </si>
  <si>
    <t>Interruption due to problem in LT supply</t>
  </si>
  <si>
    <t>No data available as
AppSavy has been initiated in April 2017</t>
  </si>
  <si>
    <t>(Fuse off call at aerial cutouts/Sealable cutouts,snapping of wires,falling of trees on overhead lines,fire due to short circuit of LT lines consequent to loose spans and touching of tree branches)</t>
  </si>
  <si>
    <t>Problems in metering and meter reading</t>
  </si>
  <si>
    <t>(Delay in replacement of non-recording meters, replacement of burnt out meter, replacement of meters recording excess consumption due to creeping, breakage of seals provided to the meter, mistakes in totaling by the MR while issuing the bills, wrong noting )</t>
  </si>
  <si>
    <t>Errors in billing</t>
  </si>
  <si>
    <t>(Excessive billing, amount already paid by consumer shown as arrears, wrong application of tariff, posting of wrong initial reading, showing the short claims in the monthly bill without furnishing the details to the consumer, wrong postings, i.e. postings</t>
  </si>
  <si>
    <t>Any other</t>
  </si>
  <si>
    <t>Form No: P6</t>
  </si>
  <si>
    <t>Voltage Profile</t>
  </si>
  <si>
    <t>First six months of the PY2</t>
  </si>
  <si>
    <t>Last six months of the PY2</t>
  </si>
  <si>
    <t>First six months of the PY1</t>
  </si>
  <si>
    <t>Last six months of the PY1</t>
  </si>
  <si>
    <t>First six months of the CY</t>
  </si>
  <si>
    <t>Last six months of the CY</t>
  </si>
  <si>
    <t>Corrective measures proposed</t>
  </si>
  <si>
    <t>Substation wise</t>
  </si>
  <si>
    <t>Percentage of time  when voltage was</t>
  </si>
  <si>
    <t>At 33 kv side of transformer</t>
  </si>
  <si>
    <t>(incoming point of 33 kv bus)</t>
  </si>
  <si>
    <t xml:space="preserve">below </t>
  </si>
  <si>
    <t xml:space="preserve">above </t>
  </si>
  <si>
    <t>Include all feeders</t>
  </si>
  <si>
    <t>(9%)</t>
  </si>
  <si>
    <t>(6%)</t>
  </si>
  <si>
    <t>Basti Zone</t>
  </si>
  <si>
    <t>Mirzapur Zone</t>
  </si>
  <si>
    <t>Azamgarh Zone</t>
  </si>
  <si>
    <t>Varanasi Zone</t>
  </si>
  <si>
    <t>Gorakhpur Zone</t>
  </si>
  <si>
    <t>Prayagraj Zone</t>
  </si>
  <si>
    <t>Form No: P7</t>
  </si>
  <si>
    <t xml:space="preserve">Transformer and line length details </t>
  </si>
  <si>
    <t>Sl. No</t>
  </si>
  <si>
    <t>Details</t>
  </si>
  <si>
    <t xml:space="preserve">Number of Sub- Stations 33/11 KV </t>
  </si>
  <si>
    <t>Number of Sub- Stations 11/0.4 KV</t>
  </si>
  <si>
    <t xml:space="preserve">Transformation Capacity </t>
  </si>
  <si>
    <t>33/11 KV Transformers</t>
  </si>
  <si>
    <t>11/0.4 KV Tranformers</t>
  </si>
  <si>
    <t xml:space="preserve">No of  Transformers </t>
  </si>
  <si>
    <t xml:space="preserve">33/11 KV </t>
  </si>
  <si>
    <t>11/0-4 KV</t>
  </si>
  <si>
    <t xml:space="preserve">Number of Feeders </t>
  </si>
  <si>
    <t xml:space="preserve">33 KV </t>
  </si>
  <si>
    <t>11 KV</t>
  </si>
  <si>
    <t>0.4 KV</t>
  </si>
  <si>
    <t>Line Length</t>
  </si>
  <si>
    <t>Capcitor Banks installed  (Capacity in MVA)</t>
  </si>
  <si>
    <t>Form No: P8</t>
  </si>
  <si>
    <t>Abstract of outages due to tripping in HT Feeders/ Transformers</t>
  </si>
  <si>
    <t>Corrective Measures Proposed In the Ensuing Year to Avoid Trippings</t>
  </si>
  <si>
    <t>Feeder &amp; S/S details</t>
  </si>
  <si>
    <t xml:space="preserve">Outage Detail </t>
  </si>
  <si>
    <t>Outage Detail</t>
  </si>
  <si>
    <t xml:space="preserve">Number of trippings </t>
  </si>
  <si>
    <t xml:space="preserve">Total Time </t>
  </si>
  <si>
    <t>33 KV Feeders</t>
  </si>
  <si>
    <t>11 KV Feeders</t>
  </si>
  <si>
    <t>Distribution Transformer</t>
  </si>
  <si>
    <t>Form No: P9</t>
  </si>
  <si>
    <t>Failure of Transformers</t>
  </si>
  <si>
    <t xml:space="preserve">Reasons For Failure &amp; Corrective Actions proposed to minimise </t>
  </si>
  <si>
    <t xml:space="preserve">Total  numbers of Transformers </t>
  </si>
  <si>
    <t xml:space="preserve">Transformers damaged </t>
  </si>
  <si>
    <t>Power Transformer (HT)</t>
  </si>
  <si>
    <t xml:space="preserve">Rating </t>
  </si>
  <si>
    <t>I 3 MVA</t>
  </si>
  <si>
    <t>ii 5 MVA</t>
  </si>
  <si>
    <t>iv 8 MVA</t>
  </si>
  <si>
    <t>v 10 MVA</t>
  </si>
  <si>
    <t>Distribution Transformers</t>
  </si>
  <si>
    <t>I 10 KVA</t>
  </si>
  <si>
    <t>ii 16 KVA</t>
  </si>
  <si>
    <t>iii 25 KVA</t>
  </si>
  <si>
    <t>iv 63 KVA</t>
  </si>
  <si>
    <t>v 100 KVA</t>
  </si>
  <si>
    <t>vi 160 KVA</t>
  </si>
  <si>
    <t>vii  250 KVA</t>
  </si>
  <si>
    <t>viii 400  KVA</t>
  </si>
  <si>
    <t>ix 500/630 KVA</t>
  </si>
  <si>
    <t>x 1000  KVA</t>
  </si>
  <si>
    <t>Form No: P10</t>
  </si>
  <si>
    <t>Electrical Accidents</t>
  </si>
  <si>
    <t>Corrective Measures Proposed In The Ensuing Year to Avoid Accidents</t>
  </si>
  <si>
    <t>Fatal</t>
  </si>
  <si>
    <t>Non-Fatal</t>
  </si>
  <si>
    <t>Human</t>
  </si>
  <si>
    <t>Animal</t>
  </si>
  <si>
    <t>HV</t>
  </si>
  <si>
    <t>LV</t>
  </si>
  <si>
    <t xml:space="preserve">*EA-2021-22 Total 78 cases have been reported till date though FIR/ Complaint/ report awaited in remaining 55 cases </t>
  </si>
  <si>
    <t>Form No: P11</t>
  </si>
  <si>
    <t>Peak Demand in MW</t>
  </si>
  <si>
    <t>True-UP</t>
  </si>
  <si>
    <t>FY</t>
  </si>
  <si>
    <t>Peak Period</t>
  </si>
  <si>
    <t>a) Winter</t>
  </si>
  <si>
    <t>Oct.-Nov.</t>
  </si>
  <si>
    <t>b) Summer</t>
  </si>
  <si>
    <t>April-May</t>
  </si>
  <si>
    <t>c) Other</t>
  </si>
  <si>
    <t>Maximum Peak Demand</t>
  </si>
  <si>
    <t>a) Restricted</t>
  </si>
  <si>
    <t>b) Unrestricted</t>
  </si>
  <si>
    <t xml:space="preserve">Peak Availability Assessed </t>
  </si>
  <si>
    <t>Shortfall in meeting Peak Demand</t>
  </si>
  <si>
    <t xml:space="preserve">Notes:- Details of Load Rostering may be provided along with this format ie. in terms of MW, MU and number of hours per day. </t>
  </si>
  <si>
    <t>Form No: P13</t>
  </si>
  <si>
    <t>Release of New service Connections</t>
  </si>
  <si>
    <t>Period</t>
  </si>
  <si>
    <t>Action Proposed to be taken for providing service connections in time</t>
  </si>
  <si>
    <t>No of service Connections provided with in 30 days of valid requisition for power supply</t>
  </si>
  <si>
    <t>No of service Connections provided after 30 days of valid requisition for power supply</t>
  </si>
  <si>
    <t>*To be filed for the past 2 years, True- Up and APR.</t>
  </si>
  <si>
    <t>Form No: P14</t>
  </si>
  <si>
    <t>Status of Metering</t>
  </si>
  <si>
    <t xml:space="preserve">FY 2019-20 </t>
  </si>
  <si>
    <t>Total number of Conumers</t>
  </si>
  <si>
    <t>Number of unmetered consumers</t>
  </si>
  <si>
    <t>Number of consumers with defective meters</t>
  </si>
  <si>
    <t>Number of consumers whose meters are not readable</t>
  </si>
  <si>
    <t>Domestic (LMV-1)</t>
  </si>
  <si>
    <t>Un Metered</t>
  </si>
  <si>
    <t>B.</t>
  </si>
  <si>
    <t>Other Metered</t>
  </si>
  <si>
    <t>C.</t>
  </si>
  <si>
    <t>Registered Societies</t>
  </si>
  <si>
    <t>Non Domestic Light Fan and Power (LMV-2)</t>
  </si>
  <si>
    <t>Public Lamps (LMV-3)</t>
  </si>
  <si>
    <t>Un Metered Supply</t>
  </si>
  <si>
    <t xml:space="preserve"> Metered Supply</t>
  </si>
  <si>
    <t>Light Fan and Power for Public Institutions and Private institutions.(LMV-4)</t>
  </si>
  <si>
    <t>Public Institution</t>
  </si>
  <si>
    <t>Private Institution</t>
  </si>
  <si>
    <t xml:space="preserve">SMALL POWER FOR PRIVATE TUBE WELL/ PUMPING SETS FOR IRRIGATION PURPOSES: </t>
  </si>
  <si>
    <t xml:space="preserve">Consumers getting supply as per "Rural Schedule" </t>
  </si>
  <si>
    <t xml:space="preserve">Un-Metered Supply </t>
  </si>
  <si>
    <t xml:space="preserve">   </t>
  </si>
  <si>
    <t>Metered Supply</t>
  </si>
  <si>
    <t>Energy Efficient Pumps</t>
  </si>
  <si>
    <t xml:space="preserve">Consumers getting supply as per "Urban Schedule (Metered Supply)" </t>
  </si>
  <si>
    <t xml:space="preserve">SMALL AND MEDIUM POWER: </t>
  </si>
  <si>
    <t xml:space="preserve">Consumers getting supply other than "Rural Schedule" </t>
  </si>
  <si>
    <t>Public Water Works  (LMV-7)</t>
  </si>
  <si>
    <t>Other than Rural Schedule</t>
  </si>
  <si>
    <t xml:space="preserve">STW, PANCHAYTI RAJ TUBE WELL &amp; PUMPED CANALS: </t>
  </si>
  <si>
    <t>Temporary Supply (LMV-9)</t>
  </si>
  <si>
    <t>Departmental Emloyees (LMV-10)</t>
  </si>
  <si>
    <t>Non-Industrial Bulk Loads (HV-1)</t>
  </si>
  <si>
    <t>Large and Heavy Power  (HV-2)</t>
  </si>
  <si>
    <t>RAILWAY TRACTION &amp; METRO RAIL:</t>
  </si>
  <si>
    <t>Lift Irrigation (HV-4)</t>
  </si>
  <si>
    <t>To be filed for the past 2 years, True- Up and APR.</t>
  </si>
  <si>
    <t>For 220/132/33 kV Consumers above informations will have to be submitted seperately</t>
  </si>
  <si>
    <t>Category specifications would be as per Rate Schedule approved by Commission.</t>
  </si>
  <si>
    <t>Rows may be inserted to accommodate extra data</t>
  </si>
  <si>
    <t>Analysis of Revenue Arrears</t>
  </si>
  <si>
    <t>Management and Operation related Ratio</t>
  </si>
  <si>
    <t>(Rs.)</t>
  </si>
  <si>
    <t>Subsidy - NEDA</t>
  </si>
  <si>
    <t>Subsidy - IREDA</t>
  </si>
  <si>
    <t>Net Power Purchase</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</si>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</sst>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_-* #,##0_-;\-* #,##0_-;_-* &quot;-&quot;??_-;_-@_-"/>
    <numFmt numFmtId="169" formatCode="0_)"/>
    <numFmt numFmtId="170" formatCode="0.0%"/>
    <numFmt numFmtId="171" formatCode="[$-409]d\-mmm\-yy;@"/>
    <numFmt numFmtId="172" formatCode="[$-409]dd\-mmm\-yy;@"/>
    <numFmt numFmtId="173" formatCode="&quot;\&quot;#,##0;[Red]&quot;\&quot;\-#,##0"/>
    <numFmt numFmtId="174" formatCode="&quot;\&quot;#,##0.00;[Red]&quot;\&quot;\-#,##0.00"/>
    <numFmt numFmtId="175" formatCode="\$#,##0\ ;\(\$#,##0\)"/>
    <numFmt numFmtId="176" formatCode="&quot;\&quot;#,##0;[Red]&quot;\&quot;&quot;\&quot;\-#,##0"/>
    <numFmt numFmtId="177" formatCode="&quot;\&quot;#,##0.00;[Red]&quot;\&quot;&quot;\&quot;&quot;\&quot;&quot;\&quot;&quot;\&quot;&quot;\&quot;\-#,##0.00"/>
    <numFmt numFmtId="178" formatCode="&quot;VND&quot;#,##0_);[Red]\(&quot;VND&quot;#,##0\)"/>
    <numFmt numFmtId="179" formatCode="0.000"/>
    <numFmt numFmtId="180" formatCode="_(* #,##0_);_(* \(#,##0\);_(* &quot;-&quot;??_);_(@_)"/>
    <numFmt numFmtId="181" formatCode="0.000%"/>
    <numFmt numFmtId="182" formatCode="_(* #,##0_);_(* \(#,##0\);_(* &quot;-&quot;_);@_)"/>
    <numFmt numFmtId="183" formatCode="_(* #,##0.0000_);_(* \(#,##0.0000\);_(* &quot;-&quot;??_);_(@_)"/>
    <numFmt numFmtId="184" formatCode="_ * #,##0_ ;_ * \-#,##0_ ;_ * &quot;-&quot;??_ ;_ @_ "/>
    <numFmt numFmtId="185" formatCode="_ * #,##0.0000_ ;_ * \-#,##0.0000_ ;_ * &quot;-&quot;??_ ;_ @_ "/>
    <numFmt numFmtId="186" formatCode="_ * #,##0.00000_ ;_ * \-#,##0.00000_ ;_ * &quot;-&quot;??_ ;_ @_ "/>
    <numFmt numFmtId="187" formatCode="_ * #,##0.00000000_ ;_ * \-#,##0.00000000_ ;_ * &quot;-&quot;??_ ;_ @_ "/>
    <numFmt numFmtId="188" formatCode="_ * #,##0.000000_ ;_ * \-#,##0.000000_ ;_ * &quot;-&quot;??_ ;_ @_ "/>
    <numFmt numFmtId="189" formatCode="_ * #,##0.0000000_ ;_ * \-#,##0.0000000_ ;_ * &quot;-&quot;??_ ;_ @_ "/>
    <numFmt numFmtId="190" formatCode="_ * #,##0.000_ ;_ * \-#,##0.000_ ;_ * &quot;-&quot;??_ ;_ @_ "/>
    <numFmt numFmtId="191" formatCode="_(* #,##0.0000000_);_(* \(#,##0.0000000\);_(* &quot;-&quot;??_);_(@_)"/>
    <numFmt numFmtId="192" formatCode="_(* #,##0.00000000_);_(* \(#,##0.00000000\);_(* &quot;-&quot;??_);_(@_)"/>
    <numFmt numFmtId="193" formatCode="0.0"/>
    <numFmt numFmtId="194" formatCode="0.000000000000000000000%"/>
    <numFmt numFmtId="195" formatCode="0.000000%"/>
    <numFmt numFmtId="196" formatCode="0.00000"/>
    <numFmt numFmtId="197" formatCode="_(* #,##0.000_);_(* \(#,##0.000\);_(* &quot;-&quot;??_);_(@_)"/>
    <numFmt numFmtId="198" formatCode="_ * #,##0.000000000_ ;_ * \-#,##0.000000000_ ;_ * &quot;-&quot;??_ ;_ @_ "/>
    <numFmt numFmtId="199" formatCode="#,##0.000"/>
  </numFmts>
  <fonts count="145">
    <font>
      <sz val="11"/>
      <color theme="1"/>
      <name val="Calibri"/>
      <family val="2"/>
      <scheme val="minor"/>
    </font>
    <font>
      <sz val="10"/>
      <name val="Arial"/>
      <family val="2"/>
    </font>
    <font>
      <b/>
      <sz val="12"/>
      <name val="Arial"/>
      <family val="2"/>
    </font>
    <font>
      <sz val="12"/>
      <name val="Tms Rmn"/>
    </font>
    <font>
      <sz val="10"/>
      <name val="Helv"/>
    </font>
    <font>
      <sz val="8"/>
      <name val="Arial"/>
      <family val="2"/>
    </font>
    <font>
      <sz val="7"/>
      <name val="Small Fonts"/>
      <family val="2"/>
    </font>
    <font>
      <b/>
      <i/>
      <sz val="16"/>
      <name val="Helv"/>
    </font>
    <font>
      <sz val="10"/>
      <name val="Arial"/>
      <family val="2"/>
    </font>
    <font>
      <sz val="10"/>
      <name val="Times New Roman"/>
      <family val="1"/>
    </font>
    <font>
      <sz val="11"/>
      <name val="Calibri"/>
      <family val="2"/>
      <scheme val="minor"/>
    </font>
    <font>
      <b/>
      <sz val="11"/>
      <color theme="1"/>
      <name val="Calibri"/>
      <family val="2"/>
      <scheme val="minor"/>
    </font>
    <font>
      <sz val="11"/>
      <color theme="1"/>
      <name val="Calibri"/>
      <family val="2"/>
      <scheme val="minor"/>
    </font>
    <font>
      <b/>
      <u/>
      <sz val="11"/>
      <name val="Calibri"/>
      <family val="2"/>
      <scheme val="minor"/>
    </font>
    <font>
      <b/>
      <sz val="11"/>
      <name val="Calibri"/>
      <family val="2"/>
      <scheme val="minor"/>
    </font>
    <font>
      <b/>
      <sz val="11"/>
      <color indexed="61"/>
      <name val="Calibri"/>
      <family val="2"/>
      <scheme val="minor"/>
    </font>
    <font>
      <sz val="11"/>
      <color indexed="8"/>
      <name val="Calibri"/>
      <family val="2"/>
      <scheme val="minor"/>
    </font>
    <font>
      <b/>
      <sz val="11"/>
      <color indexed="8"/>
      <name val="Calibri"/>
      <family val="2"/>
      <scheme val="minor"/>
    </font>
    <font>
      <vertAlign val="superscript"/>
      <sz val="11"/>
      <name val="Calibri"/>
      <family val="2"/>
      <scheme val="minor"/>
    </font>
    <font>
      <i/>
      <sz val="11"/>
      <name val="Calibri"/>
      <family val="2"/>
      <scheme val="minor"/>
    </font>
    <font>
      <sz val="11"/>
      <color indexed="12"/>
      <name val="Calibri"/>
      <family val="2"/>
      <scheme val="minor"/>
    </font>
    <font>
      <sz val="11"/>
      <color indexed="9"/>
      <name val="Calibri"/>
      <family val="2"/>
      <scheme val="minor"/>
    </font>
    <font>
      <b/>
      <u/>
      <sz val="11"/>
      <color indexed="8"/>
      <name val="Calibri"/>
      <family val="2"/>
      <scheme val="minor"/>
    </font>
    <font>
      <sz val="11"/>
      <color theme="1"/>
      <name val="Arial"/>
      <family val="2"/>
    </font>
    <font>
      <u/>
      <sz val="11"/>
      <color theme="1"/>
      <name val="Calibri"/>
      <family val="2"/>
      <scheme val="minor"/>
    </font>
    <font>
      <vertAlign val="superscript"/>
      <sz val="10"/>
      <name val="Arial"/>
      <family val="2"/>
    </font>
    <font>
      <b/>
      <u/>
      <sz val="11"/>
      <color theme="1"/>
      <name val="Calibri"/>
      <family val="2"/>
      <scheme val="minor"/>
    </font>
    <font>
      <u/>
      <sz val="11"/>
      <name val="Calibri"/>
      <family val="2"/>
      <scheme val="minor"/>
    </font>
    <font>
      <b/>
      <sz val="11"/>
      <color theme="0"/>
      <name val="Calibri"/>
      <family val="2"/>
      <scheme val="minor"/>
    </font>
    <font>
      <sz val="11"/>
      <color theme="0"/>
      <name val="Calibri"/>
      <family val="2"/>
      <scheme val="minor"/>
    </font>
    <font>
      <b/>
      <sz val="12"/>
      <color theme="1"/>
      <name val="Calibri"/>
      <family val="2"/>
    </font>
    <font>
      <sz val="12"/>
      <color theme="1"/>
      <name val="Calibri"/>
      <family val="2"/>
    </font>
    <font>
      <b/>
      <sz val="12"/>
      <color theme="1"/>
      <name val="Calibri"/>
      <family val="2"/>
      <scheme val="minor"/>
    </font>
    <font>
      <sz val="12"/>
      <name val="¹UAAA¼"/>
      <family val="3"/>
    </font>
    <font>
      <sz val="10"/>
      <name val="VNtimes new roman"/>
      <family val="1"/>
    </font>
    <font>
      <sz val="14"/>
      <name val="뼻뮝"/>
      <family val="3"/>
    </font>
    <font>
      <sz val="12"/>
      <name val="뼻뮝"/>
      <family val="1"/>
    </font>
    <font>
      <sz val="12"/>
      <name val="바탕체"/>
      <family val="3"/>
    </font>
    <font>
      <sz val="10"/>
      <name val="굴림체"/>
      <family val="3"/>
    </font>
    <font>
      <sz val="12"/>
      <name val="新細明體"/>
      <family val="1"/>
      <charset val="136"/>
    </font>
    <font>
      <b/>
      <u/>
      <sz val="14"/>
      <color theme="1"/>
      <name val="Calibri"/>
      <family val="2"/>
      <scheme val="minor"/>
    </font>
    <font>
      <b/>
      <sz val="12"/>
      <color rgb="FF000000"/>
      <name val="Calibri"/>
      <family val="2"/>
    </font>
    <font>
      <i/>
      <sz val="11"/>
      <color theme="1"/>
      <name val="Calibri"/>
      <family val="2"/>
    </font>
    <font>
      <i/>
      <vertAlign val="superscript"/>
      <sz val="11"/>
      <color theme="1"/>
      <name val="Calibri"/>
      <family val="2"/>
    </font>
    <font>
      <b/>
      <sz val="11"/>
      <name val="Times New Roman"/>
      <family val="1"/>
    </font>
    <font>
      <sz val="11"/>
      <name val="Times New Roman"/>
      <family val="1"/>
    </font>
    <font>
      <sz val="11"/>
      <color theme="1"/>
      <name val="Times New Roman"/>
      <family val="1"/>
    </font>
    <font>
      <sz val="11"/>
      <color theme="1"/>
      <name val="Calibri"/>
      <family val="1"/>
      <scheme val="minor"/>
    </font>
    <font>
      <sz val="8"/>
      <name val="Calibri"/>
      <family val="2"/>
      <scheme val="minor"/>
    </font>
    <font>
      <sz val="10"/>
      <color theme="1"/>
      <name val="Times New Roman"/>
      <family val="1"/>
    </font>
    <font>
      <b/>
      <sz val="11"/>
      <color theme="1"/>
      <name val="Calibri"/>
      <family val="2"/>
    </font>
    <font>
      <b/>
      <sz val="11"/>
      <color rgb="FF000000"/>
      <name val="Calibri"/>
      <family val="2"/>
    </font>
    <font>
      <sz val="11"/>
      <color theme="1"/>
      <name val="Calibri"/>
      <family val="2"/>
    </font>
    <font>
      <sz val="11"/>
      <color rgb="FF000000"/>
      <name val="Calibri"/>
      <family val="2"/>
    </font>
    <font>
      <sz val="10"/>
      <color rgb="FF000000"/>
      <name val="Calibri"/>
      <family val="2"/>
    </font>
    <font>
      <b/>
      <sz val="10"/>
      <color rgb="FF000000"/>
      <name val="Calibri"/>
      <family val="2"/>
    </font>
    <font>
      <sz val="11"/>
      <color theme="1"/>
      <name val="Book Antiqua"/>
      <family val="2"/>
    </font>
    <font>
      <sz val="11"/>
      <color rgb="FF000000"/>
      <name val="Calibri"/>
      <family val="2"/>
      <scheme val="minor"/>
    </font>
    <font>
      <b/>
      <sz val="11"/>
      <color rgb="FF000000"/>
      <name val="Calibri"/>
      <family val="2"/>
      <scheme val="minor"/>
    </font>
    <font>
      <i/>
      <sz val="11"/>
      <color theme="1"/>
      <name val="Calibri"/>
      <family val="2"/>
      <scheme val="minor"/>
    </font>
    <font>
      <b/>
      <sz val="16"/>
      <name val="Calibri"/>
      <family val="2"/>
      <scheme val="minor"/>
    </font>
    <font>
      <sz val="11"/>
      <name val="Calibri"/>
      <family val="2"/>
    </font>
    <font>
      <sz val="10"/>
      <color theme="1"/>
      <name val="Calibri"/>
      <family val="2"/>
      <scheme val="minor"/>
    </font>
    <font>
      <b/>
      <sz val="10"/>
      <color theme="1"/>
      <name val="Calibri"/>
      <family val="2"/>
      <scheme val="minor"/>
    </font>
    <font>
      <b/>
      <sz val="10"/>
      <color rgb="FF000000"/>
      <name val="Calibri"/>
      <family val="2"/>
      <scheme val="minor"/>
    </font>
    <font>
      <sz val="10"/>
      <color rgb="FF000000"/>
      <name val="Calibri"/>
      <family val="2"/>
      <scheme val="minor"/>
    </font>
    <font>
      <sz val="11"/>
      <color indexed="61"/>
      <name val="Calibri"/>
      <family val="2"/>
      <scheme val="minor"/>
    </font>
    <font>
      <b/>
      <sz val="10"/>
      <name val="Calibri"/>
      <family val="2"/>
      <scheme val="minor"/>
    </font>
    <font>
      <sz val="10"/>
      <name val="Calibri"/>
      <family val="2"/>
      <scheme val="minor"/>
    </font>
    <font>
      <sz val="10"/>
      <color theme="1"/>
      <name val="Georgia"/>
      <family val="1"/>
    </font>
    <font>
      <b/>
      <u/>
      <sz val="10"/>
      <name val="Calibri"/>
      <family val="2"/>
      <scheme val="minor"/>
    </font>
    <font>
      <b/>
      <i/>
      <sz val="11"/>
      <name val="Calibri"/>
      <family val="2"/>
      <scheme val="minor"/>
    </font>
    <font>
      <b/>
      <sz val="67"/>
      <color theme="1"/>
      <name val="Calibri"/>
      <family val="2"/>
      <scheme val="minor"/>
    </font>
    <font>
      <b/>
      <sz val="67"/>
      <name val="Calibri"/>
      <family val="2"/>
      <scheme val="minor"/>
    </font>
    <font>
      <sz val="10"/>
      <color indexed="8"/>
      <name val="Calibri"/>
      <family val="2"/>
      <scheme val="minor"/>
    </font>
    <font>
      <b/>
      <sz val="11"/>
      <name val="Georgia"/>
      <family val="1"/>
    </font>
    <font>
      <i/>
      <sz val="11"/>
      <name val="Georgia"/>
      <family val="1"/>
    </font>
    <font>
      <sz val="11"/>
      <name val="Georgia"/>
      <family val="1"/>
    </font>
    <font>
      <b/>
      <i/>
      <sz val="11"/>
      <name val="Georgia"/>
      <family val="1"/>
    </font>
    <font>
      <sz val="10"/>
      <color indexed="8"/>
      <name val="Cambria"/>
      <family val="1"/>
      <scheme val="major"/>
    </font>
    <font>
      <sz val="10"/>
      <color theme="1"/>
      <name val="Cambria"/>
      <family val="1"/>
      <scheme val="major"/>
    </font>
    <font>
      <sz val="10"/>
      <name val="Cambria"/>
      <family val="1"/>
      <scheme val="major"/>
    </font>
    <font>
      <sz val="10"/>
      <color theme="1"/>
      <name val="Calibri"/>
      <family val="2"/>
    </font>
    <font>
      <b/>
      <sz val="10"/>
      <color theme="1"/>
      <name val="Calibri"/>
      <family val="2"/>
    </font>
    <font>
      <b/>
      <sz val="11"/>
      <color theme="1"/>
      <name val="Times New Roman"/>
      <family val="1"/>
    </font>
    <font>
      <sz val="9"/>
      <color theme="1"/>
      <name val="Calibri"/>
      <family val="2"/>
      <scheme val="minor"/>
    </font>
    <font>
      <sz val="11"/>
      <color indexed="8"/>
      <name val="Times New Roman"/>
      <family val="1"/>
    </font>
    <font>
      <b/>
      <sz val="14"/>
      <color theme="1"/>
      <name val="Calibri"/>
      <family val="2"/>
      <scheme val="minor"/>
    </font>
    <font>
      <b/>
      <sz val="8"/>
      <color theme="1"/>
      <name val="Georgia"/>
      <family val="1"/>
    </font>
    <font>
      <b/>
      <sz val="8"/>
      <color rgb="FF000000"/>
      <name val="Georgia"/>
      <family val="1"/>
    </font>
    <font>
      <sz val="8"/>
      <color rgb="FF000000"/>
      <name val="Georgia"/>
      <family val="1"/>
    </font>
    <font>
      <sz val="8"/>
      <color theme="1"/>
      <name val="Georgia"/>
      <family val="1"/>
    </font>
    <font>
      <b/>
      <sz val="26"/>
      <name val="Calibri"/>
      <family val="2"/>
      <scheme val="minor"/>
    </font>
    <font>
      <b/>
      <sz val="11"/>
      <name val="Calibri"/>
      <family val="2"/>
    </font>
    <font>
      <b/>
      <u/>
      <sz val="11"/>
      <name val="Calibri"/>
      <family val="2"/>
    </font>
    <font>
      <u/>
      <sz val="11"/>
      <name val="Calibri"/>
      <family val="2"/>
    </font>
    <font>
      <sz val="11"/>
      <color theme="0"/>
      <name val="Calibri"/>
      <family val="2"/>
    </font>
    <font>
      <b/>
      <sz val="11"/>
      <color theme="0"/>
      <name val="Calibri"/>
      <family val="2"/>
    </font>
    <font>
      <sz val="11"/>
      <color rgb="FFFF0000"/>
      <name val="Calibri"/>
      <family val="2"/>
    </font>
    <font>
      <sz val="10"/>
      <name val="Cambria"/>
      <family val="1"/>
    </font>
    <font>
      <b/>
      <sz val="11"/>
      <color rgb="FFFF0000"/>
      <name val="Calibri"/>
      <family val="2"/>
    </font>
    <font>
      <b/>
      <sz val="12"/>
      <name val="Times New Roman"/>
      <family val="1"/>
    </font>
    <font>
      <sz val="12"/>
      <name val="Times New Roman"/>
      <family val="1"/>
    </font>
    <font>
      <b/>
      <sz val="9"/>
      <color indexed="81"/>
      <name val="Tahoma"/>
      <family val="2"/>
    </font>
    <font>
      <sz val="9"/>
      <color indexed="81"/>
      <name val="Tahoma"/>
      <family val="2"/>
    </font>
    <font>
      <b/>
      <sz val="10"/>
      <name val="Book Antiqua"/>
      <family val="1"/>
    </font>
    <font>
      <b/>
      <sz val="10"/>
      <color rgb="FFFF0000"/>
      <name val="Book Antiqua"/>
      <family val="1"/>
    </font>
    <font>
      <sz val="10"/>
      <name val="Book Antiqua"/>
      <family val="1"/>
    </font>
    <font>
      <u/>
      <sz val="10"/>
      <name val="Book Antiqua"/>
      <family val="1"/>
    </font>
    <font>
      <sz val="10"/>
      <color rgb="FFFF0000"/>
      <name val="Book Antiqua"/>
      <family val="1"/>
    </font>
    <font>
      <b/>
      <u/>
      <sz val="10"/>
      <name val="Book Antiqua"/>
      <family val="1"/>
    </font>
    <font>
      <sz val="12"/>
      <name val="Calibri"/>
      <family val="2"/>
      <scheme val="minor"/>
    </font>
    <font>
      <b/>
      <sz val="12"/>
      <name val="Calibri"/>
      <family val="2"/>
      <scheme val="minor"/>
    </font>
    <font>
      <sz val="10"/>
      <color theme="1"/>
      <name val="Book Antiqua"/>
      <family val="1"/>
    </font>
    <font>
      <sz val="12"/>
      <color theme="1"/>
      <name val="Calibri"/>
      <family val="2"/>
      <scheme val="minor"/>
    </font>
    <font>
      <b/>
      <sz val="10"/>
      <color theme="0"/>
      <name val="Book Antiqua"/>
      <family val="1"/>
    </font>
    <font>
      <b/>
      <sz val="10"/>
      <name val="Cambria"/>
      <family val="1"/>
    </font>
    <font>
      <b/>
      <sz val="10"/>
      <color theme="9"/>
      <name val="Book Antiqua"/>
      <family val="1"/>
    </font>
    <font>
      <b/>
      <sz val="11"/>
      <name val="Arial "/>
    </font>
    <font>
      <strike/>
      <sz val="11"/>
      <color theme="1"/>
      <name val="Calibri"/>
      <family val="2"/>
      <scheme val="minor"/>
    </font>
    <font>
      <b/>
      <sz val="11"/>
      <color rgb="FFFF0000"/>
      <name val="Calibri"/>
      <family val="2"/>
      <scheme val="minor"/>
    </font>
    <font>
      <b/>
      <sz val="10"/>
      <color rgb="FFFFFFFF"/>
      <name val="Book Antiqua"/>
      <family val="1"/>
    </font>
    <font>
      <sz val="10"/>
      <color rgb="FF000000"/>
      <name val="Book Antiqua"/>
      <family val="1"/>
    </font>
    <font>
      <b/>
      <sz val="10"/>
      <color rgb="FF000000"/>
      <name val="Book Antiqua"/>
      <family val="1"/>
    </font>
    <font>
      <sz val="12"/>
      <color indexed="8"/>
      <name val="Calibri"/>
      <family val="2"/>
      <scheme val="minor"/>
    </font>
    <font>
      <sz val="12"/>
      <color rgb="FF000000"/>
      <name val="Calibri"/>
      <family val="2"/>
      <scheme val="minor"/>
    </font>
    <font>
      <sz val="12"/>
      <color rgb="FF000000"/>
      <name val="Calibri"/>
      <family val="2"/>
    </font>
    <font>
      <sz val="10"/>
      <color rgb="FF222222"/>
      <name val="Tahoma"/>
      <family val="2"/>
    </font>
    <font>
      <vertAlign val="superscript"/>
      <sz val="11"/>
      <color theme="1"/>
      <name val="Calibri"/>
      <family val="2"/>
      <scheme val="minor"/>
    </font>
    <font>
      <b/>
      <i/>
      <sz val="11"/>
      <color theme="1"/>
      <name val="Calibri"/>
      <family val="2"/>
      <scheme val="minor"/>
    </font>
    <font>
      <sz val="11.5"/>
      <color theme="1"/>
      <name val="Calibri"/>
      <family val="2"/>
      <scheme val="minor"/>
    </font>
    <font>
      <sz val="12"/>
      <name val="Arial"/>
      <family val="2"/>
    </font>
    <font>
      <b/>
      <sz val="20"/>
      <name val="Calibri"/>
      <family val="2"/>
      <scheme val="minor"/>
    </font>
    <font>
      <sz val="10"/>
      <name val="Georgia"/>
      <family val="1"/>
    </font>
    <font>
      <b/>
      <sz val="22"/>
      <name val="Calibri"/>
      <family val="2"/>
      <scheme val="minor"/>
    </font>
    <font>
      <sz val="12"/>
      <color rgb="FFFF0000"/>
      <name val="Calibri"/>
      <family val="2"/>
      <scheme val="minor"/>
    </font>
    <font>
      <b/>
      <sz val="12"/>
      <color theme="9"/>
      <name val="Calibri"/>
      <family val="2"/>
      <scheme val="minor"/>
    </font>
    <font>
      <sz val="12"/>
      <color theme="0"/>
      <name val="Calibri"/>
      <family val="2"/>
      <scheme val="minor"/>
    </font>
    <font>
      <b/>
      <sz val="12"/>
      <color theme="0"/>
      <name val="Calibri"/>
      <family val="2"/>
      <scheme val="minor"/>
    </font>
    <font>
      <b/>
      <i/>
      <sz val="12"/>
      <name val="Calibri"/>
      <family val="2"/>
      <scheme val="minor"/>
    </font>
    <font>
      <b/>
      <i/>
      <sz val="12"/>
      <color theme="0"/>
      <name val="Calibri"/>
      <family val="2"/>
      <scheme val="minor"/>
    </font>
    <font>
      <i/>
      <sz val="12"/>
      <name val="Calibri"/>
      <family val="2"/>
      <scheme val="minor"/>
    </font>
    <font>
      <b/>
      <i/>
      <sz val="14"/>
      <name val="Calibri"/>
      <family val="2"/>
      <scheme val="minor"/>
    </font>
    <font>
      <b/>
      <sz val="10"/>
      <color indexed="81"/>
      <name val="Tahoma"/>
      <family val="2"/>
    </font>
    <font>
      <b/>
      <sz val="11"/>
      <color indexed="81"/>
      <name val="Tahoma"/>
      <family val="2"/>
    </font>
  </fonts>
  <fills count="3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theme="3" tint="0.59999389629810485"/>
        <bgColor indexed="64"/>
      </patternFill>
    </fill>
    <fill>
      <patternFill patternType="solid">
        <fgColor indexed="13"/>
        <bgColor indexed="64"/>
      </patternFill>
    </fill>
    <fill>
      <patternFill patternType="solid">
        <fgColor theme="4" tint="0.59999389629810485"/>
        <bgColor indexed="64"/>
      </patternFill>
    </fill>
    <fill>
      <patternFill patternType="solid">
        <fgColor rgb="FFB8CCE4"/>
        <bgColor indexed="64"/>
      </patternFill>
    </fill>
    <fill>
      <patternFill patternType="solid">
        <fgColor indexed="9"/>
        <bgColor indexed="64"/>
      </patternFill>
    </fill>
    <fill>
      <patternFill patternType="solid">
        <fgColor theme="4" tint="0.59999389629810485"/>
        <bgColor rgb="FF000000"/>
      </patternFill>
    </fill>
    <fill>
      <patternFill patternType="solid">
        <fgColor theme="0"/>
        <bgColor rgb="FF000000"/>
      </patternFill>
    </fill>
    <fill>
      <patternFill patternType="solid">
        <fgColor rgb="FFC5D9F1"/>
        <bgColor indexed="64"/>
      </patternFill>
    </fill>
    <fill>
      <patternFill patternType="solid">
        <fgColor rgb="FFB4C6E7"/>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1"/>
        <bgColor indexed="64"/>
      </patternFill>
    </fill>
    <fill>
      <patternFill patternType="solid">
        <fgColor rgb="FFC6D9F1"/>
        <bgColor indexed="64"/>
      </patternFill>
    </fill>
    <fill>
      <patternFill patternType="solid">
        <fgColor rgb="FFFFFF00"/>
        <bgColor indexed="64"/>
      </patternFill>
    </fill>
    <fill>
      <patternFill patternType="solid">
        <fgColor rgb="FF00206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39997558519241921"/>
        <bgColor indexed="64"/>
      </patternFill>
    </fill>
    <fill>
      <patternFill patternType="solid">
        <fgColor rgb="FFFF9900"/>
        <bgColor indexed="64"/>
      </patternFill>
    </fill>
    <fill>
      <patternFill patternType="solid">
        <fgColor theme="3" tint="0.39997558519241921"/>
        <bgColor indexed="64"/>
      </patternFill>
    </fill>
    <fill>
      <patternFill patternType="solid">
        <fgColor rgb="FFFF9933"/>
        <bgColor indexed="64"/>
      </patternFill>
    </fill>
    <fill>
      <patternFill patternType="solid">
        <fgColor theme="3" tint="-0.499984740745262"/>
        <bgColor indexed="64"/>
      </patternFill>
    </fill>
    <fill>
      <patternFill patternType="solid">
        <fgColor indexed="9"/>
      </patternFill>
    </fill>
  </fills>
  <borders count="75">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theme="1"/>
      </left>
      <right style="thin">
        <color theme="1"/>
      </right>
      <top style="thin">
        <color indexed="64"/>
      </top>
      <bottom style="thin">
        <color theme="1"/>
      </bottom>
      <diagonal/>
    </border>
    <border>
      <left style="thin">
        <color theme="1"/>
      </left>
      <right style="thin">
        <color theme="1"/>
      </right>
      <top/>
      <bottom style="thin">
        <color theme="1"/>
      </bottom>
      <diagonal/>
    </border>
    <border>
      <left style="thin">
        <color indexed="64"/>
      </left>
      <right style="thin">
        <color indexed="64"/>
      </right>
      <top style="thin">
        <color theme="7" tint="0.39997558519241921"/>
      </top>
      <bottom style="thin">
        <color theme="7" tint="0.39997558519241921"/>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style="thin">
        <color indexed="8"/>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theme="1"/>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29">
    <xf numFmtId="0" fontId="0" fillId="0" borderId="0"/>
    <xf numFmtId="0" fontId="1" fillId="0" borderId="0"/>
    <xf numFmtId="0" fontId="3" fillId="0" borderId="0" applyNumberFormat="0" applyFill="0" applyBorder="0" applyAlignment="0" applyProtection="0"/>
    <xf numFmtId="165" fontId="1" fillId="0" borderId="0" applyFont="0" applyFill="0" applyBorder="0" applyAlignment="0" applyProtection="0"/>
    <xf numFmtId="0" fontId="4" fillId="0" borderId="1"/>
    <xf numFmtId="165" fontId="8" fillId="0" borderId="0" applyFont="0" applyFill="0" applyBorder="0" applyAlignment="0" applyProtection="0"/>
    <xf numFmtId="0" fontId="4" fillId="0" borderId="1"/>
    <xf numFmtId="38" fontId="5" fillId="2" borderId="0" applyNumberFormat="0" applyBorder="0" applyAlignment="0" applyProtection="0"/>
    <xf numFmtId="0" fontId="2" fillId="0" borderId="2" applyNumberFormat="0" applyAlignment="0" applyProtection="0">
      <alignment horizontal="left" vertical="center"/>
    </xf>
    <xf numFmtId="0" fontId="2" fillId="0" borderId="3">
      <alignment horizontal="left" vertical="center"/>
    </xf>
    <xf numFmtId="10" fontId="5" fillId="3" borderId="4" applyNumberFormat="0" applyBorder="0" applyAlignment="0" applyProtection="0"/>
    <xf numFmtId="37" fontId="6" fillId="0" borderId="0"/>
    <xf numFmtId="166" fontId="7" fillId="0" borderId="0"/>
    <xf numFmtId="0" fontId="8" fillId="0" borderId="0"/>
    <xf numFmtId="9" fontId="1" fillId="0" borderId="0" applyFont="0" applyFill="0" applyBorder="0" applyAlignment="0" applyProtection="0"/>
    <xf numFmtId="167" fontId="1" fillId="0" borderId="0" applyFont="0" applyFill="0" applyBorder="0" applyAlignment="0" applyProtection="0"/>
    <xf numFmtId="10" fontId="1" fillId="0" borderId="0" applyFont="0" applyFill="0" applyBorder="0" applyAlignment="0" applyProtection="0"/>
    <xf numFmtId="0" fontId="8"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12"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164" fontId="12" fillId="0" borderId="0" applyFont="0" applyFill="0" applyBorder="0" applyAlignment="0" applyProtection="0"/>
    <xf numFmtId="0" fontId="1" fillId="0" borderId="0"/>
    <xf numFmtId="0" fontId="1" fillId="0" borderId="0"/>
    <xf numFmtId="0" fontId="1" fillId="0" borderId="0"/>
    <xf numFmtId="0" fontId="1" fillId="0" borderId="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xf numFmtId="0" fontId="33" fillId="0" borderId="0"/>
    <xf numFmtId="3" fontId="1" fillId="0" borderId="0" applyFont="0" applyFill="0" applyBorder="0" applyAlignment="0" applyProtection="0"/>
    <xf numFmtId="175" fontId="1" fillId="0" borderId="0" applyFont="0" applyFill="0" applyBorder="0" applyAlignment="0" applyProtection="0"/>
    <xf numFmtId="0" fontId="1" fillId="0" borderId="0" applyFont="0" applyFill="0" applyBorder="0" applyAlignment="0" applyProtection="0"/>
    <xf numFmtId="2" fontId="1" fillId="0" borderId="0" applyFont="0" applyFill="0" applyBorder="0" applyAlignment="0" applyProtection="0"/>
    <xf numFmtId="178" fontId="34" fillId="0" borderId="0"/>
    <xf numFmtId="0" fontId="12" fillId="0" borderId="0"/>
    <xf numFmtId="0" fontId="1" fillId="0" borderId="0"/>
    <xf numFmtId="0" fontId="1" fillId="0" borderId="0" applyNumberFormat="0" applyFill="0" applyBorder="0" applyAlignment="0" applyProtection="0"/>
    <xf numFmtId="40" fontId="35" fillId="0" borderId="0" applyFont="0" applyFill="0" applyBorder="0" applyAlignment="0" applyProtection="0"/>
    <xf numFmtId="38"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0" fontId="1" fillId="0" borderId="0" applyFont="0" applyFill="0" applyBorder="0" applyAlignment="0" applyProtection="0"/>
    <xf numFmtId="0" fontId="36" fillId="0" borderId="0"/>
    <xf numFmtId="176" fontId="1" fillId="0" borderId="0" applyFont="0" applyFill="0" applyBorder="0" applyAlignment="0" applyProtection="0"/>
    <xf numFmtId="177" fontId="1" fillId="0" borderId="0" applyFont="0" applyFill="0" applyBorder="0" applyAlignment="0" applyProtection="0"/>
    <xf numFmtId="174" fontId="37" fillId="0" borderId="0" applyFont="0" applyFill="0" applyBorder="0" applyAlignment="0" applyProtection="0"/>
    <xf numFmtId="173" fontId="37" fillId="0" borderId="0" applyFont="0" applyFill="0" applyBorder="0" applyAlignment="0" applyProtection="0"/>
    <xf numFmtId="0" fontId="38" fillId="0" borderId="0"/>
    <xf numFmtId="0" fontId="39" fillId="0" borderId="0"/>
    <xf numFmtId="165" fontId="39" fillId="0" borderId="0" applyFont="0" applyFill="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9" fillId="0" borderId="0"/>
    <xf numFmtId="0" fontId="56" fillId="0" borderId="0"/>
    <xf numFmtId="9" fontId="56" fillId="0" borderId="0" applyFont="0" applyFill="0" applyBorder="0" applyAlignment="0" applyProtection="0"/>
    <xf numFmtId="43" fontId="1" fillId="0" borderId="0" applyFont="0" applyFill="0" applyBorder="0" applyAlignment="0" applyProtection="0"/>
    <xf numFmtId="164" fontId="12" fillId="0" borderId="0" applyFont="0" applyFill="0" applyBorder="0" applyAlignment="0" applyProtection="0"/>
    <xf numFmtId="0" fontId="12" fillId="0" borderId="0"/>
    <xf numFmtId="0" fontId="1" fillId="0" borderId="0"/>
    <xf numFmtId="0" fontId="1"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182" fontId="85" fillId="0" borderId="0"/>
    <xf numFmtId="164" fontId="12" fillId="0" borderId="0" applyFont="0" applyFill="0" applyBorder="0" applyAlignment="0" applyProtection="0"/>
    <xf numFmtId="9" fontId="85"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0" fontId="12" fillId="0" borderId="0"/>
    <xf numFmtId="9" fontId="12" fillId="0" borderId="0" applyFont="0" applyFill="0" applyBorder="0" applyAlignment="0" applyProtection="0"/>
    <xf numFmtId="0" fontId="131" fillId="37" borderId="0"/>
  </cellStyleXfs>
  <cellXfs count="3568">
    <xf numFmtId="0" fontId="0" fillId="0" borderId="0" xfId="0"/>
    <xf numFmtId="0" fontId="0" fillId="0" borderId="4" xfId="0" applyBorder="1"/>
    <xf numFmtId="0" fontId="11" fillId="0" borderId="0" xfId="0" applyFont="1"/>
    <xf numFmtId="0" fontId="0" fillId="0" borderId="4" xfId="0" applyBorder="1" applyAlignment="1">
      <alignment horizontal="center"/>
    </xf>
    <xf numFmtId="0" fontId="10" fillId="0" borderId="0" xfId="0" applyFont="1"/>
    <xf numFmtId="0" fontId="14" fillId="0" borderId="4" xfId="18" applyFont="1" applyBorder="1" applyAlignment="1">
      <alignment horizontal="center"/>
    </xf>
    <xf numFmtId="0" fontId="14" fillId="0" borderId="4" xfId="0" applyFont="1" applyBorder="1" applyAlignment="1">
      <alignment horizontal="center" vertical="center"/>
    </xf>
    <xf numFmtId="0" fontId="10" fillId="0" borderId="4" xfId="0" applyFont="1" applyBorder="1" applyAlignment="1">
      <alignment horizontal="center"/>
    </xf>
    <xf numFmtId="0" fontId="10" fillId="0" borderId="4" xfId="0" applyFont="1" applyBorder="1" applyAlignment="1">
      <alignment horizontal="center" vertical="center"/>
    </xf>
    <xf numFmtId="0" fontId="10" fillId="0" borderId="4" xfId="0" applyFont="1" applyBorder="1"/>
    <xf numFmtId="0" fontId="10" fillId="0" borderId="4" xfId="0" applyFont="1" applyBorder="1" applyAlignment="1">
      <alignment vertical="center"/>
    </xf>
    <xf numFmtId="0" fontId="12" fillId="0" borderId="0" xfId="0" applyFont="1"/>
    <xf numFmtId="0" fontId="10" fillId="0" borderId="0" xfId="0" applyFont="1" applyAlignment="1">
      <alignment vertical="top"/>
    </xf>
    <xf numFmtId="0" fontId="10" fillId="0" borderId="4" xfId="0" applyFont="1" applyBorder="1" applyAlignment="1">
      <alignment vertical="top"/>
    </xf>
    <xf numFmtId="0" fontId="10" fillId="0" borderId="4" xfId="0" applyFont="1" applyBorder="1" applyAlignment="1">
      <alignment horizontal="left" wrapText="1"/>
    </xf>
    <xf numFmtId="0" fontId="14" fillId="0" borderId="0" xfId="0" applyFont="1" applyAlignment="1">
      <alignment horizontal="center"/>
    </xf>
    <xf numFmtId="0" fontId="14" fillId="0" borderId="4" xfId="0" applyFont="1" applyBorder="1" applyAlignment="1">
      <alignment horizontal="left" vertical="center" wrapText="1"/>
    </xf>
    <xf numFmtId="0" fontId="14" fillId="0" borderId="4" xfId="0" applyFont="1" applyBorder="1" applyAlignment="1">
      <alignment vertical="center" wrapText="1"/>
    </xf>
    <xf numFmtId="0" fontId="14" fillId="0" borderId="4" xfId="0" applyFont="1" applyBorder="1" applyAlignment="1">
      <alignment horizontal="center"/>
    </xf>
    <xf numFmtId="0" fontId="10" fillId="0" borderId="4" xfId="0" applyFont="1" applyBorder="1" applyAlignment="1">
      <alignment wrapText="1"/>
    </xf>
    <xf numFmtId="2" fontId="10" fillId="0" borderId="4" xfId="0" applyNumberFormat="1" applyFont="1" applyBorder="1"/>
    <xf numFmtId="0" fontId="10" fillId="0" borderId="7" xfId="0" applyFont="1" applyBorder="1"/>
    <xf numFmtId="0" fontId="10" fillId="0" borderId="0" xfId="13" applyFont="1"/>
    <xf numFmtId="0" fontId="10" fillId="0" borderId="0" xfId="13" applyFont="1" applyAlignment="1">
      <alignment horizontal="left" vertical="center"/>
    </xf>
    <xf numFmtId="0" fontId="14" fillId="0" borderId="0" xfId="0" applyFont="1"/>
    <xf numFmtId="0" fontId="10" fillId="0" borderId="0" xfId="0" applyFont="1" applyAlignment="1">
      <alignment wrapText="1"/>
    </xf>
    <xf numFmtId="0" fontId="10" fillId="0" borderId="0" xfId="57" applyFont="1" applyAlignment="1">
      <alignment vertical="center"/>
    </xf>
    <xf numFmtId="0" fontId="10" fillId="0" borderId="0" xfId="57" applyFont="1" applyAlignment="1">
      <alignment vertical="center" wrapText="1"/>
    </xf>
    <xf numFmtId="0" fontId="10" fillId="0" borderId="0" xfId="57" applyFont="1" applyAlignment="1">
      <alignment horizontal="center" vertical="center" wrapText="1"/>
    </xf>
    <xf numFmtId="0" fontId="10" fillId="0" borderId="4" xfId="0" applyFont="1" applyBorder="1" applyAlignment="1">
      <alignment horizontal="center" vertical="center" wrapText="1"/>
    </xf>
    <xf numFmtId="0" fontId="10" fillId="0" borderId="4" xfId="57" applyFont="1" applyBorder="1" applyAlignment="1">
      <alignment vertical="center" wrapText="1"/>
    </xf>
    <xf numFmtId="0" fontId="14" fillId="0" borderId="4" xfId="0" applyFont="1" applyBorder="1" applyAlignment="1">
      <alignment vertical="center"/>
    </xf>
    <xf numFmtId="0" fontId="10" fillId="0" borderId="0" xfId="0" applyFont="1" applyAlignment="1">
      <alignment horizontal="left"/>
    </xf>
    <xf numFmtId="0" fontId="10" fillId="0" borderId="0" xfId="0" applyFont="1" applyAlignment="1">
      <alignment horizontal="right"/>
    </xf>
    <xf numFmtId="0" fontId="14" fillId="0" borderId="0" xfId="0" applyFont="1" applyAlignment="1">
      <alignment horizontal="right"/>
    </xf>
    <xf numFmtId="0" fontId="14" fillId="0" borderId="4" xfId="0" applyFont="1" applyBorder="1"/>
    <xf numFmtId="0" fontId="14" fillId="0" borderId="7" xfId="0" applyFont="1" applyBorder="1"/>
    <xf numFmtId="2" fontId="10" fillId="0" borderId="4" xfId="0" applyNumberFormat="1" applyFont="1" applyBorder="1" applyAlignment="1">
      <alignment horizontal="center" vertical="center"/>
    </xf>
    <xf numFmtId="9" fontId="16" fillId="0" borderId="4" xfId="0" applyNumberFormat="1" applyFont="1" applyBorder="1" applyAlignment="1">
      <alignment horizontal="center" vertical="center"/>
    </xf>
    <xf numFmtId="0" fontId="10" fillId="0" borderId="0" xfId="0" applyFont="1" applyAlignment="1">
      <alignment horizontal="center"/>
    </xf>
    <xf numFmtId="0" fontId="14" fillId="0" borderId="4" xfId="0" applyFont="1" applyBorder="1" applyAlignment="1">
      <alignment horizontal="left"/>
    </xf>
    <xf numFmtId="0" fontId="11" fillId="0" borderId="0" xfId="0" applyFont="1" applyAlignment="1">
      <alignment horizontal="center"/>
    </xf>
    <xf numFmtId="0" fontId="14" fillId="0" borderId="4" xfId="0" applyFont="1" applyBorder="1" applyAlignment="1">
      <alignment horizontal="center" vertical="center" wrapText="1"/>
    </xf>
    <xf numFmtId="0" fontId="13" fillId="0" borderId="0" xfId="0" applyFont="1" applyAlignment="1">
      <alignment horizontal="left"/>
    </xf>
    <xf numFmtId="0" fontId="10" fillId="0" borderId="4" xfId="0" applyFont="1" applyBorder="1" applyAlignment="1">
      <alignment horizontal="center" wrapText="1"/>
    </xf>
    <xf numFmtId="0" fontId="18" fillId="0" borderId="0" xfId="13" applyFont="1" applyAlignment="1">
      <alignment horizontal="left" vertical="center"/>
    </xf>
    <xf numFmtId="0" fontId="14" fillId="0" borderId="0" xfId="13" applyFont="1" applyAlignment="1">
      <alignment horizontal="left" vertical="center"/>
    </xf>
    <xf numFmtId="0" fontId="10" fillId="0" borderId="0" xfId="58" applyFont="1" applyAlignment="1">
      <alignment wrapText="1"/>
    </xf>
    <xf numFmtId="0" fontId="14" fillId="4" borderId="0" xfId="0" applyFont="1" applyFill="1" applyAlignment="1">
      <alignment horizontal="right"/>
    </xf>
    <xf numFmtId="0" fontId="13" fillId="0" borderId="0" xfId="0" applyFont="1"/>
    <xf numFmtId="0" fontId="10" fillId="0" borderId="7" xfId="0" applyFont="1" applyBorder="1" applyAlignment="1">
      <alignment horizontal="left"/>
    </xf>
    <xf numFmtId="0" fontId="10" fillId="0" borderId="10" xfId="0" applyFont="1" applyBorder="1"/>
    <xf numFmtId="0" fontId="14" fillId="0" borderId="7" xfId="0" applyFont="1" applyBorder="1" applyAlignment="1">
      <alignment horizontal="left"/>
    </xf>
    <xf numFmtId="0" fontId="10" fillId="0" borderId="5" xfId="0" applyFont="1" applyBorder="1"/>
    <xf numFmtId="0" fontId="19" fillId="0" borderId="4" xfId="0" applyFont="1" applyBorder="1" applyAlignment="1">
      <alignment horizontal="left"/>
    </xf>
    <xf numFmtId="0" fontId="20" fillId="0" borderId="4" xfId="0" applyFont="1" applyBorder="1" applyAlignment="1">
      <alignment horizontal="left"/>
    </xf>
    <xf numFmtId="0" fontId="14" fillId="0" borderId="0" xfId="0" applyFont="1" applyAlignment="1">
      <alignment horizontal="justify" wrapText="1"/>
    </xf>
    <xf numFmtId="0" fontId="10" fillId="0" borderId="0" xfId="0" applyFont="1" applyAlignment="1">
      <alignment horizontal="justify" vertical="top" wrapText="1"/>
    </xf>
    <xf numFmtId="0" fontId="10" fillId="0" borderId="4" xfId="0" applyFont="1" applyBorder="1" applyAlignment="1">
      <alignment horizontal="justify" vertical="top" wrapText="1"/>
    </xf>
    <xf numFmtId="10" fontId="10" fillId="0" borderId="4" xfId="59" applyNumberFormat="1" applyFont="1" applyBorder="1" applyAlignment="1">
      <alignment horizontal="center"/>
    </xf>
    <xf numFmtId="0" fontId="14" fillId="0" borderId="0" xfId="0" applyFont="1" applyAlignment="1">
      <alignment horizontal="left"/>
    </xf>
    <xf numFmtId="0" fontId="14" fillId="0" borderId="0" xfId="0" applyFont="1" applyAlignment="1">
      <alignment vertical="center"/>
    </xf>
    <xf numFmtId="0" fontId="10" fillId="0" borderId="4" xfId="18" applyFont="1" applyBorder="1" applyAlignment="1">
      <alignment horizontal="center"/>
    </xf>
    <xf numFmtId="0" fontId="14" fillId="4" borderId="0" xfId="0" applyFont="1" applyFill="1" applyAlignment="1">
      <alignment horizontal="right" vertical="top"/>
    </xf>
    <xf numFmtId="0" fontId="10" fillId="0" borderId="0" xfId="0" applyFont="1" applyAlignment="1">
      <alignment horizontal="center" vertical="center" wrapText="1"/>
    </xf>
    <xf numFmtId="0" fontId="22" fillId="0" borderId="4" xfId="0" applyFont="1" applyBorder="1" applyAlignment="1">
      <alignment horizontal="center"/>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vertical="center" wrapText="1"/>
    </xf>
    <xf numFmtId="0" fontId="12" fillId="0" borderId="0" xfId="0" applyFont="1" applyAlignment="1">
      <alignment horizontal="center"/>
    </xf>
    <xf numFmtId="0" fontId="10" fillId="0" borderId="4" xfId="0" applyFont="1" applyBorder="1" applyAlignment="1">
      <alignment vertical="center" wrapText="1"/>
    </xf>
    <xf numFmtId="0" fontId="0" fillId="0" borderId="0" xfId="0" applyAlignment="1">
      <alignment horizontal="center"/>
    </xf>
    <xf numFmtId="0" fontId="0" fillId="0" borderId="0" xfId="0" applyAlignment="1">
      <alignment wrapText="1"/>
    </xf>
    <xf numFmtId="0" fontId="10" fillId="0" borderId="4" xfId="0" applyFont="1" applyBorder="1" applyAlignment="1">
      <alignment horizontal="center" vertical="top"/>
    </xf>
    <xf numFmtId="0" fontId="10" fillId="0" borderId="0" xfId="18" applyFont="1"/>
    <xf numFmtId="0" fontId="12" fillId="0" borderId="4" xfId="0" applyFont="1" applyBorder="1"/>
    <xf numFmtId="0" fontId="23" fillId="0" borderId="0" xfId="0" applyFont="1"/>
    <xf numFmtId="0" fontId="10" fillId="0" borderId="0" xfId="13" applyFont="1" applyAlignment="1">
      <alignment horizontal="justify"/>
    </xf>
    <xf numFmtId="0" fontId="12" fillId="0" borderId="0" xfId="0" applyFont="1" applyAlignment="1">
      <alignment horizontal="justify"/>
    </xf>
    <xf numFmtId="0" fontId="0" fillId="0" borderId="0" xfId="0" applyAlignment="1">
      <alignment horizontal="justify"/>
    </xf>
    <xf numFmtId="0" fontId="10" fillId="0" borderId="4" xfId="0" applyFont="1" applyBorder="1" applyAlignment="1">
      <alignment horizontal="justify" vertical="center"/>
    </xf>
    <xf numFmtId="0" fontId="10" fillId="0" borderId="0" xfId="13" applyFont="1" applyAlignment="1">
      <alignment horizontal="left"/>
    </xf>
    <xf numFmtId="0" fontId="10" fillId="0" borderId="0" xfId="13" applyFont="1" applyAlignment="1">
      <alignment horizontal="justify" vertical="center" wrapText="1"/>
    </xf>
    <xf numFmtId="0" fontId="25" fillId="0" borderId="0" xfId="13" applyFont="1" applyAlignment="1">
      <alignment horizontal="left" vertical="center"/>
    </xf>
    <xf numFmtId="0" fontId="0" fillId="0" borderId="0" xfId="0" applyAlignment="1">
      <alignment horizontal="left" vertical="center"/>
    </xf>
    <xf numFmtId="0" fontId="10" fillId="0" borderId="4" xfId="13" applyFont="1" applyBorder="1" applyAlignment="1">
      <alignment horizontal="center"/>
    </xf>
    <xf numFmtId="0" fontId="10" fillId="0" borderId="4" xfId="0" applyFont="1" applyBorder="1" applyAlignment="1">
      <alignment vertical="justify"/>
    </xf>
    <xf numFmtId="0" fontId="10" fillId="0" borderId="4" xfId="0" applyFont="1" applyBorder="1" applyAlignment="1">
      <alignment vertical="justify" wrapText="1"/>
    </xf>
    <xf numFmtId="0" fontId="14" fillId="0" borderId="4" xfId="0" applyFont="1" applyBorder="1" applyAlignment="1">
      <alignment horizontal="center" wrapText="1"/>
    </xf>
    <xf numFmtId="0" fontId="14" fillId="0" borderId="0" xfId="13" applyFont="1" applyAlignment="1">
      <alignment horizontal="justify" vertical="center" wrapText="1"/>
    </xf>
    <xf numFmtId="1" fontId="14" fillId="0" borderId="4" xfId="0" applyNumberFormat="1" applyFont="1" applyBorder="1"/>
    <xf numFmtId="0" fontId="14" fillId="0" borderId="4" xfId="0" applyFont="1" applyBorder="1" applyAlignment="1">
      <alignment vertical="justify" wrapText="1"/>
    </xf>
    <xf numFmtId="0" fontId="10" fillId="0" borderId="4" xfId="0" applyFont="1" applyBorder="1" applyAlignment="1">
      <alignment horizontal="center" vertical="justify"/>
    </xf>
    <xf numFmtId="0" fontId="10" fillId="0" borderId="0" xfId="0" applyFont="1" applyAlignment="1">
      <alignment vertical="justify" wrapText="1"/>
    </xf>
    <xf numFmtId="0" fontId="10" fillId="0" borderId="7" xfId="0" applyFont="1" applyBorder="1" applyAlignment="1">
      <alignment vertical="justify"/>
    </xf>
    <xf numFmtId="0" fontId="10" fillId="0" borderId="4" xfId="0" applyFont="1" applyBorder="1" applyAlignment="1">
      <alignment horizontal="left" vertical="justify" wrapText="1"/>
    </xf>
    <xf numFmtId="0" fontId="0" fillId="0" borderId="4" xfId="0" applyBorder="1" applyAlignment="1">
      <alignment vertical="justify" wrapText="1"/>
    </xf>
    <xf numFmtId="0" fontId="14" fillId="0" borderId="4" xfId="13" applyFont="1" applyBorder="1" applyAlignment="1">
      <alignment horizontal="justify" vertical="center" wrapText="1"/>
    </xf>
    <xf numFmtId="0" fontId="0" fillId="0" borderId="4" xfId="0" applyBorder="1" applyAlignment="1">
      <alignment horizontal="center" vertical="center"/>
    </xf>
    <xf numFmtId="168" fontId="15" fillId="0" borderId="4" xfId="73" applyNumberFormat="1" applyFont="1" applyBorder="1"/>
    <xf numFmtId="0" fontId="14" fillId="0" borderId="0" xfId="0" applyFont="1" applyAlignment="1">
      <alignment vertical="justify"/>
    </xf>
    <xf numFmtId="0" fontId="14" fillId="0" borderId="0" xfId="0" applyFont="1" applyAlignment="1">
      <alignment vertical="justify" wrapText="1"/>
    </xf>
    <xf numFmtId="0" fontId="10" fillId="0" borderId="0" xfId="18" applyFont="1" applyAlignment="1">
      <alignment vertical="justify"/>
    </xf>
    <xf numFmtId="0" fontId="0" fillId="0" borderId="0" xfId="0" applyAlignment="1">
      <alignment vertical="justify"/>
    </xf>
    <xf numFmtId="0" fontId="10" fillId="0" borderId="4" xfId="57" applyFont="1" applyBorder="1" applyAlignment="1">
      <alignment horizontal="left" vertical="justify" wrapText="1"/>
    </xf>
    <xf numFmtId="0" fontId="10" fillId="0" borderId="0" xfId="57" applyFont="1" applyAlignment="1">
      <alignment vertical="justify"/>
    </xf>
    <xf numFmtId="0" fontId="10" fillId="0" borderId="0" xfId="57" applyFont="1" applyAlignment="1">
      <alignment horizontal="left" vertical="justify" wrapText="1"/>
    </xf>
    <xf numFmtId="0" fontId="10" fillId="7" borderId="0" xfId="0" applyFont="1" applyFill="1"/>
    <xf numFmtId="0" fontId="14" fillId="4" borderId="0" xfId="0" applyFont="1" applyFill="1"/>
    <xf numFmtId="172" fontId="10" fillId="0" borderId="0" xfId="0" applyNumberFormat="1" applyFont="1"/>
    <xf numFmtId="172" fontId="14" fillId="0" borderId="4" xfId="0" applyNumberFormat="1" applyFont="1" applyBorder="1" applyAlignment="1">
      <alignment horizontal="center" vertical="center" wrapText="1"/>
    </xf>
    <xf numFmtId="171" fontId="14" fillId="0" borderId="4" xfId="0" applyNumberFormat="1" applyFont="1" applyBorder="1" applyAlignment="1">
      <alignment horizontal="center" vertical="center" wrapText="1"/>
    </xf>
    <xf numFmtId="0" fontId="12" fillId="0" borderId="4" xfId="0" applyFont="1" applyBorder="1" applyAlignment="1">
      <alignment vertical="center"/>
    </xf>
    <xf numFmtId="0" fontId="12" fillId="0" borderId="4" xfId="0" applyFont="1" applyBorder="1" applyAlignment="1">
      <alignment vertical="justify" wrapText="1"/>
    </xf>
    <xf numFmtId="2" fontId="14" fillId="0" borderId="0" xfId="13" applyNumberFormat="1" applyFont="1" applyAlignment="1">
      <alignment horizontal="center" vertical="center"/>
    </xf>
    <xf numFmtId="0" fontId="10" fillId="0" borderId="4" xfId="13" applyFont="1" applyBorder="1" applyAlignment="1">
      <alignment horizontal="center" vertical="justify"/>
    </xf>
    <xf numFmtId="0" fontId="10" fillId="0" borderId="0" xfId="13" applyFont="1" applyAlignment="1">
      <alignment horizontal="left" vertical="justify"/>
    </xf>
    <xf numFmtId="0" fontId="10" fillId="0" borderId="0" xfId="13" applyFont="1" applyAlignment="1">
      <alignment horizontal="justify" vertical="justify" wrapText="1"/>
    </xf>
    <xf numFmtId="0" fontId="10" fillId="0" borderId="4" xfId="13" applyFont="1" applyBorder="1" applyAlignment="1">
      <alignment horizontal="left" vertical="justify" wrapText="1"/>
    </xf>
    <xf numFmtId="0" fontId="11" fillId="0" borderId="4" xfId="0" applyFont="1" applyBorder="1" applyAlignment="1">
      <alignment horizontal="justify" vertical="justify" wrapText="1"/>
    </xf>
    <xf numFmtId="0" fontId="0" fillId="0" borderId="4" xfId="0" applyBorder="1" applyAlignment="1">
      <alignment horizontal="justify" vertical="justify" wrapText="1"/>
    </xf>
    <xf numFmtId="0" fontId="0" fillId="0" borderId="7" xfId="0" applyBorder="1" applyAlignment="1">
      <alignment horizontal="justify" vertical="justify" wrapText="1"/>
    </xf>
    <xf numFmtId="0" fontId="14" fillId="0" borderId="4" xfId="0" applyFont="1" applyBorder="1" applyAlignment="1">
      <alignment vertical="justify"/>
    </xf>
    <xf numFmtId="0" fontId="10" fillId="0" borderId="4" xfId="13" applyFont="1" applyBorder="1" applyAlignment="1">
      <alignment vertical="justify" wrapText="1"/>
    </xf>
    <xf numFmtId="0" fontId="10" fillId="0" borderId="4" xfId="13" applyFont="1" applyBorder="1" applyAlignment="1">
      <alignment vertical="justify"/>
    </xf>
    <xf numFmtId="0" fontId="10" fillId="0" borderId="0" xfId="13" applyFont="1" applyAlignment="1">
      <alignment vertical="justify" wrapText="1"/>
    </xf>
    <xf numFmtId="0" fontId="10" fillId="0" borderId="0" xfId="13" applyFont="1" applyAlignment="1">
      <alignment vertical="justify"/>
    </xf>
    <xf numFmtId="0" fontId="14" fillId="0" borderId="4" xfId="13" applyFont="1" applyBorder="1" applyAlignment="1">
      <alignment vertical="justify"/>
    </xf>
    <xf numFmtId="0" fontId="14" fillId="0" borderId="4" xfId="13" applyFont="1" applyBorder="1" applyAlignment="1">
      <alignment horizontal="center" vertical="justify"/>
    </xf>
    <xf numFmtId="0" fontId="0" fillId="0" borderId="4" xfId="13" applyFont="1" applyBorder="1" applyAlignment="1">
      <alignment vertical="justify"/>
    </xf>
    <xf numFmtId="0" fontId="14" fillId="0" borderId="4" xfId="13" applyFont="1" applyBorder="1" applyAlignment="1">
      <alignment horizontal="left" vertical="justify" wrapText="1"/>
    </xf>
    <xf numFmtId="169" fontId="16" fillId="0" borderId="4" xfId="0" applyNumberFormat="1" applyFont="1" applyBorder="1" applyAlignment="1" applyProtection="1">
      <alignment horizontal="center" vertical="center" wrapText="1"/>
      <protection locked="0"/>
    </xf>
    <xf numFmtId="169" fontId="14" fillId="0" borderId="4" xfId="0" applyNumberFormat="1" applyFont="1" applyBorder="1" applyAlignment="1">
      <alignment horizontal="center" vertical="center"/>
    </xf>
    <xf numFmtId="169" fontId="10" fillId="0" borderId="4" xfId="0" applyNumberFormat="1" applyFont="1" applyBorder="1" applyAlignment="1">
      <alignment horizontal="left" vertical="justify" wrapText="1"/>
    </xf>
    <xf numFmtId="169" fontId="14" fillId="0" borderId="4" xfId="0" applyNumberFormat="1" applyFont="1" applyBorder="1" applyAlignment="1">
      <alignment horizontal="left" vertical="justify" wrapText="1"/>
    </xf>
    <xf numFmtId="0" fontId="16" fillId="0" borderId="4" xfId="0" applyFont="1" applyBorder="1" applyAlignment="1">
      <alignment horizontal="left" vertical="justify" wrapText="1"/>
    </xf>
    <xf numFmtId="0" fontId="10" fillId="0" borderId="0" xfId="58" applyFont="1" applyAlignment="1">
      <alignment horizontal="center" wrapText="1"/>
    </xf>
    <xf numFmtId="2" fontId="10" fillId="0" borderId="0" xfId="58" applyNumberFormat="1" applyFont="1" applyAlignment="1">
      <alignment horizontal="center"/>
    </xf>
    <xf numFmtId="0" fontId="16" fillId="0" borderId="4" xfId="0" applyFont="1" applyBorder="1" applyAlignment="1">
      <alignment horizontal="center"/>
    </xf>
    <xf numFmtId="0" fontId="14" fillId="0" borderId="0" xfId="74" applyFont="1" applyAlignment="1">
      <alignment horizontal="left"/>
    </xf>
    <xf numFmtId="0" fontId="10" fillId="0" borderId="0" xfId="74" applyFont="1" applyAlignment="1">
      <alignment horizontal="left"/>
    </xf>
    <xf numFmtId="0" fontId="0" fillId="0" borderId="4" xfId="0" applyBorder="1" applyAlignment="1">
      <alignment horizontal="justify" vertical="justify"/>
    </xf>
    <xf numFmtId="0" fontId="10" fillId="0" borderId="4" xfId="0" quotePrefix="1" applyFont="1" applyBorder="1" applyAlignment="1">
      <alignment horizontal="center" vertical="top"/>
    </xf>
    <xf numFmtId="1" fontId="10" fillId="0" borderId="0" xfId="0" applyNumberFormat="1" applyFont="1"/>
    <xf numFmtId="0" fontId="10" fillId="0" borderId="4" xfId="18" applyFont="1" applyBorder="1" applyAlignment="1">
      <alignment wrapText="1"/>
    </xf>
    <xf numFmtId="164" fontId="14" fillId="0" borderId="4" xfId="73" applyFont="1" applyBorder="1"/>
    <xf numFmtId="164" fontId="14" fillId="0" borderId="4" xfId="0" applyNumberFormat="1" applyFont="1" applyBorder="1" applyAlignment="1">
      <alignment horizontal="center" wrapText="1"/>
    </xf>
    <xf numFmtId="164" fontId="14" fillId="0" borderId="4" xfId="73" applyFont="1" applyBorder="1" applyAlignment="1">
      <alignment horizontal="left" wrapText="1"/>
    </xf>
    <xf numFmtId="0" fontId="17" fillId="0" borderId="4" xfId="0" applyFont="1" applyBorder="1" applyAlignment="1">
      <alignment horizontal="left"/>
    </xf>
    <xf numFmtId="0" fontId="17" fillId="0" borderId="4" xfId="18" applyFont="1" applyBorder="1" applyAlignment="1">
      <alignment horizontal="left" wrapText="1"/>
    </xf>
    <xf numFmtId="0" fontId="14" fillId="0" borderId="4" xfId="18" applyFont="1" applyBorder="1" applyAlignment="1">
      <alignment wrapText="1"/>
    </xf>
    <xf numFmtId="0" fontId="14" fillId="0" borderId="7" xfId="18" applyFont="1" applyBorder="1" applyAlignment="1">
      <alignment wrapText="1"/>
    </xf>
    <xf numFmtId="0" fontId="10" fillId="0" borderId="7" xfId="18" applyFont="1" applyBorder="1" applyAlignment="1">
      <alignment wrapText="1"/>
    </xf>
    <xf numFmtId="0" fontId="10" fillId="0" borderId="5" xfId="0" applyFont="1" applyBorder="1" applyAlignment="1">
      <alignment horizontal="center"/>
    </xf>
    <xf numFmtId="0" fontId="10" fillId="0" borderId="15" xfId="0" applyFont="1" applyBorder="1"/>
    <xf numFmtId="0" fontId="14" fillId="0" borderId="15" xfId="0" applyFont="1" applyBorder="1" applyAlignment="1">
      <alignment horizontal="left"/>
    </xf>
    <xf numFmtId="0" fontId="14" fillId="0" borderId="4" xfId="0" applyFont="1" applyBorder="1" applyAlignment="1">
      <alignment horizontal="left" wrapText="1"/>
    </xf>
    <xf numFmtId="1" fontId="10" fillId="0" borderId="4" xfId="0" applyNumberFormat="1" applyFont="1" applyBorder="1"/>
    <xf numFmtId="0" fontId="10" fillId="0" borderId="4" xfId="74" applyFont="1" applyBorder="1" applyAlignment="1">
      <alignment horizontal="center" wrapText="1"/>
    </xf>
    <xf numFmtId="0" fontId="10" fillId="0" borderId="4" xfId="74" applyFont="1" applyBorder="1" applyAlignment="1">
      <alignment horizontal="left" wrapText="1"/>
    </xf>
    <xf numFmtId="0" fontId="10" fillId="0" borderId="4" xfId="74" applyFont="1" applyBorder="1" applyAlignment="1">
      <alignment horizontal="right" wrapText="1"/>
    </xf>
    <xf numFmtId="0" fontId="10" fillId="0" borderId="4" xfId="74" applyFont="1" applyBorder="1" applyAlignment="1">
      <alignment horizontal="right"/>
    </xf>
    <xf numFmtId="0" fontId="14" fillId="0" borderId="0" xfId="0" applyFont="1" applyAlignment="1">
      <alignment wrapText="1"/>
    </xf>
    <xf numFmtId="0" fontId="12" fillId="0" borderId="0" xfId="0" applyFont="1" applyAlignment="1">
      <alignment horizontal="left"/>
    </xf>
    <xf numFmtId="0" fontId="14" fillId="0" borderId="0" xfId="13" applyFont="1" applyAlignment="1">
      <alignment horizontal="left"/>
    </xf>
    <xf numFmtId="0" fontId="10" fillId="0" borderId="0" xfId="17" applyFont="1" applyAlignment="1">
      <alignment horizontal="left"/>
    </xf>
    <xf numFmtId="0" fontId="14" fillId="0" borderId="4" xfId="13" applyFont="1" applyBorder="1" applyAlignment="1">
      <alignment horizontal="left" wrapText="1"/>
    </xf>
    <xf numFmtId="0" fontId="10" fillId="0" borderId="4" xfId="13" applyFont="1" applyBorder="1" applyAlignment="1">
      <alignment horizontal="left"/>
    </xf>
    <xf numFmtId="0" fontId="10" fillId="0" borderId="4" xfId="13" applyFont="1" applyBorder="1" applyAlignment="1">
      <alignment horizontal="left" wrapText="1"/>
    </xf>
    <xf numFmtId="0" fontId="10" fillId="0" borderId="20" xfId="13" applyFont="1" applyBorder="1" applyAlignment="1">
      <alignment horizontal="left"/>
    </xf>
    <xf numFmtId="0" fontId="14" fillId="0" borderId="4" xfId="57" applyFont="1" applyBorder="1"/>
    <xf numFmtId="0" fontId="10" fillId="0" borderId="4" xfId="57" applyFont="1" applyBorder="1"/>
    <xf numFmtId="0" fontId="10" fillId="0" borderId="0" xfId="57" applyFont="1"/>
    <xf numFmtId="0" fontId="10" fillId="0" borderId="0" xfId="57" applyFont="1" applyAlignment="1">
      <alignment wrapText="1"/>
    </xf>
    <xf numFmtId="0" fontId="11" fillId="0" borderId="4" xfId="0" applyFont="1" applyBorder="1"/>
    <xf numFmtId="0" fontId="14" fillId="0" borderId="4" xfId="58" applyFont="1" applyBorder="1" applyAlignment="1">
      <alignment wrapText="1"/>
    </xf>
    <xf numFmtId="0" fontId="10" fillId="0" borderId="4" xfId="58" applyFont="1" applyBorder="1" applyAlignment="1">
      <alignment horizontal="center"/>
    </xf>
    <xf numFmtId="0" fontId="10" fillId="0" borderId="7" xfId="58" applyFont="1" applyBorder="1" applyAlignment="1">
      <alignment wrapText="1"/>
    </xf>
    <xf numFmtId="0" fontId="10" fillId="0" borderId="0" xfId="58" applyFont="1"/>
    <xf numFmtId="0" fontId="10" fillId="0" borderId="0" xfId="58" applyFont="1" applyAlignment="1">
      <alignment horizontal="center"/>
    </xf>
    <xf numFmtId="2" fontId="10" fillId="0" borderId="0" xfId="58" applyNumberFormat="1" applyFont="1"/>
    <xf numFmtId="169" fontId="14" fillId="0" borderId="4" xfId="0" applyNumberFormat="1" applyFont="1" applyBorder="1" applyAlignment="1">
      <alignment vertical="justify"/>
    </xf>
    <xf numFmtId="9" fontId="29" fillId="0" borderId="4" xfId="59" applyFont="1" applyBorder="1" applyAlignment="1">
      <alignment horizontal="center"/>
    </xf>
    <xf numFmtId="0" fontId="29" fillId="0" borderId="4" xfId="0" applyFont="1" applyBorder="1" applyAlignment="1">
      <alignment horizontal="center"/>
    </xf>
    <xf numFmtId="1" fontId="29" fillId="0" borderId="4" xfId="0" applyNumberFormat="1" applyFont="1" applyBorder="1"/>
    <xf numFmtId="0" fontId="14" fillId="0" borderId="5" xfId="13" applyFont="1" applyBorder="1" applyAlignment="1">
      <alignment horizontal="center"/>
    </xf>
    <xf numFmtId="0" fontId="10" fillId="0" borderId="5" xfId="13" applyFont="1" applyBorder="1" applyAlignment="1">
      <alignment horizontal="center"/>
    </xf>
    <xf numFmtId="0" fontId="10" fillId="0" borderId="20" xfId="13" applyFont="1" applyBorder="1" applyAlignment="1">
      <alignment horizontal="center"/>
    </xf>
    <xf numFmtId="0" fontId="14" fillId="0" borderId="20" xfId="13" applyFont="1" applyBorder="1" applyAlignment="1">
      <alignment horizontal="center"/>
    </xf>
    <xf numFmtId="0" fontId="17" fillId="0" borderId="4" xfId="0" applyFont="1" applyBorder="1" applyAlignment="1">
      <alignment horizontal="left" vertical="justify"/>
    </xf>
    <xf numFmtId="164" fontId="14" fillId="0" borderId="4" xfId="73" applyFont="1" applyBorder="1" applyAlignment="1">
      <alignment wrapText="1"/>
    </xf>
    <xf numFmtId="0" fontId="14" fillId="0" borderId="7" xfId="0" applyFont="1" applyBorder="1" applyAlignment="1">
      <alignment horizontal="left" wrapText="1"/>
    </xf>
    <xf numFmtId="0" fontId="14" fillId="0" borderId="0" xfId="0" applyFont="1" applyAlignment="1">
      <alignment vertical="center" wrapText="1"/>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12" fillId="0" borderId="4" xfId="0" applyFont="1" applyBorder="1" applyAlignment="1">
      <alignment horizontal="center"/>
    </xf>
    <xf numFmtId="0" fontId="14" fillId="8" borderId="4" xfId="18" applyFont="1" applyFill="1" applyBorder="1" applyAlignment="1">
      <alignment horizontal="center" wrapText="1"/>
    </xf>
    <xf numFmtId="0" fontId="14" fillId="0" borderId="0" xfId="13" applyFont="1" applyAlignment="1">
      <alignment vertical="center"/>
    </xf>
    <xf numFmtId="0" fontId="10" fillId="0" borderId="11" xfId="0" applyFont="1" applyBorder="1"/>
    <xf numFmtId="0" fontId="14" fillId="4" borderId="0" xfId="18" applyFont="1" applyFill="1"/>
    <xf numFmtId="0" fontId="14" fillId="8" borderId="4" xfId="18" applyFont="1" applyFill="1" applyBorder="1" applyAlignment="1">
      <alignment horizontal="center" vertical="center" wrapText="1"/>
    </xf>
    <xf numFmtId="0" fontId="14" fillId="8" borderId="4" xfId="18" applyFont="1" applyFill="1" applyBorder="1" applyAlignment="1">
      <alignment horizontal="center" vertical="center"/>
    </xf>
    <xf numFmtId="0" fontId="11" fillId="0" borderId="0" xfId="0" applyFont="1" applyAlignment="1">
      <alignment vertical="center"/>
    </xf>
    <xf numFmtId="0" fontId="14" fillId="8" borderId="12"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4" xfId="0" applyFont="1" applyFill="1" applyBorder="1" applyAlignment="1">
      <alignment horizontal="center" vertical="top" wrapText="1"/>
    </xf>
    <xf numFmtId="0" fontId="13" fillId="0" borderId="0" xfId="18" applyFont="1"/>
    <xf numFmtId="0" fontId="10" fillId="0" borderId="6" xfId="18" applyFont="1" applyBorder="1" applyAlignment="1">
      <alignment horizontal="center"/>
    </xf>
    <xf numFmtId="164" fontId="10" fillId="0" borderId="4" xfId="73" applyFont="1" applyBorder="1" applyAlignment="1">
      <alignment wrapText="1"/>
    </xf>
    <xf numFmtId="164" fontId="14" fillId="0" borderId="4" xfId="73" applyFont="1" applyBorder="1" applyAlignment="1">
      <alignment horizontal="center"/>
    </xf>
    <xf numFmtId="0" fontId="10" fillId="8" borderId="4" xfId="0" applyFont="1" applyFill="1" applyBorder="1" applyAlignment="1">
      <alignment horizontal="center" vertical="center" wrapText="1"/>
    </xf>
    <xf numFmtId="0" fontId="0" fillId="0" borderId="0" xfId="0" applyAlignment="1">
      <alignment vertical="center" wrapText="1"/>
    </xf>
    <xf numFmtId="0" fontId="14" fillId="8" borderId="4" xfId="13" applyFont="1" applyFill="1" applyBorder="1" applyAlignment="1">
      <alignment horizontal="center" vertical="center" wrapText="1"/>
    </xf>
    <xf numFmtId="0" fontId="14" fillId="8" borderId="4" xfId="13" applyFont="1" applyFill="1" applyBorder="1" applyAlignment="1">
      <alignment horizontal="center" vertical="center"/>
    </xf>
    <xf numFmtId="0" fontId="14" fillId="8" borderId="7" xfId="0" applyFont="1" applyFill="1" applyBorder="1" applyAlignment="1">
      <alignment vertical="center" wrapText="1"/>
    </xf>
    <xf numFmtId="0" fontId="30" fillId="0" borderId="0" xfId="0" applyFont="1" applyAlignment="1">
      <alignment vertical="center" wrapText="1"/>
    </xf>
    <xf numFmtId="0" fontId="13" fillId="0" borderId="0" xfId="0" applyFont="1" applyAlignment="1">
      <alignment horizontal="left"/>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13" fillId="0" borderId="0" xfId="0" applyFont="1"/>
    <xf numFmtId="0" fontId="0" fillId="0" borderId="0" xfId="0"/>
    <xf numFmtId="0" fontId="14" fillId="4" borderId="0" xfId="0" applyFont="1" applyFill="1" applyAlignment="1">
      <alignment horizontal="center"/>
    </xf>
    <xf numFmtId="0" fontId="14" fillId="8" borderId="15" xfId="0" applyFont="1" applyFill="1" applyBorder="1" applyAlignment="1">
      <alignment horizontal="center" vertical="center" wrapText="1"/>
    </xf>
    <xf numFmtId="0" fontId="10" fillId="0" borderId="0" xfId="0" applyFont="1" applyAlignment="1">
      <alignment horizontal="center"/>
    </xf>
    <xf numFmtId="0" fontId="14" fillId="0" borderId="0" xfId="0" applyFont="1" applyAlignment="1">
      <alignment horizontal="left" wrapText="1"/>
    </xf>
    <xf numFmtId="0" fontId="14" fillId="0" borderId="0" xfId="0" applyFont="1" applyAlignment="1">
      <alignment horizontal="center"/>
    </xf>
    <xf numFmtId="0" fontId="14" fillId="8" borderId="4" xfId="18" applyFont="1" applyFill="1" applyBorder="1" applyAlignment="1">
      <alignment horizontal="center" vertical="center"/>
    </xf>
    <xf numFmtId="0" fontId="10" fillId="0" borderId="11" xfId="0" applyFont="1" applyBorder="1" applyAlignment="1">
      <alignment horizontal="center"/>
    </xf>
    <xf numFmtId="0" fontId="10" fillId="0" borderId="4" xfId="0" applyFont="1" applyBorder="1" applyAlignment="1">
      <alignment horizontal="center"/>
    </xf>
    <xf numFmtId="0" fontId="10" fillId="0" borderId="0" xfId="0" applyFont="1"/>
    <xf numFmtId="0" fontId="27" fillId="0" borderId="0" xfId="0" applyFont="1"/>
    <xf numFmtId="0" fontId="0" fillId="0" borderId="11" xfId="0" applyBorder="1" applyAlignment="1">
      <alignment horizontal="center"/>
    </xf>
    <xf numFmtId="0" fontId="14" fillId="4" borderId="0" xfId="18" applyFont="1" applyFill="1" applyAlignment="1">
      <alignment horizontal="center"/>
    </xf>
    <xf numFmtId="0" fontId="12" fillId="0" borderId="0" xfId="0" applyFont="1"/>
    <xf numFmtId="0" fontId="13" fillId="4" borderId="0" xfId="0" applyFont="1" applyFill="1"/>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0" fontId="14" fillId="0" borderId="4" xfId="0" applyFont="1" applyBorder="1" applyAlignment="1">
      <alignment horizontal="center"/>
    </xf>
    <xf numFmtId="0" fontId="14" fillId="0" borderId="4" xfId="0" applyFont="1" applyBorder="1" applyAlignment="1">
      <alignment horizontal="center" wrapText="1"/>
    </xf>
    <xf numFmtId="0" fontId="26" fillId="0" borderId="0" xfId="0" applyFont="1"/>
    <xf numFmtId="0" fontId="10" fillId="0" borderId="0" xfId="0" applyFont="1" applyAlignment="1">
      <alignment wrapText="1"/>
    </xf>
    <xf numFmtId="0" fontId="14" fillId="0" borderId="7" xfId="0" applyFont="1" applyBorder="1" applyAlignment="1">
      <alignment horizontal="center"/>
    </xf>
    <xf numFmtId="0" fontId="13" fillId="4" borderId="0" xfId="0" applyFont="1" applyFill="1" applyAlignment="1">
      <alignment vertical="top"/>
    </xf>
    <xf numFmtId="0" fontId="10" fillId="0" borderId="4" xfId="0" applyFont="1" applyBorder="1"/>
    <xf numFmtId="0" fontId="10" fillId="0" borderId="4" xfId="0" applyFont="1" applyBorder="1" applyAlignment="1">
      <alignment horizontal="center" vertical="top" wrapText="1"/>
    </xf>
    <xf numFmtId="0" fontId="0" fillId="0" borderId="4" xfId="0" applyFill="1" applyBorder="1"/>
    <xf numFmtId="0" fontId="10" fillId="0" borderId="0" xfId="0" applyFont="1" applyAlignment="1"/>
    <xf numFmtId="164" fontId="14" fillId="0" borderId="4" xfId="73" applyFont="1" applyFill="1" applyBorder="1" applyAlignment="1">
      <alignment horizontal="center"/>
    </xf>
    <xf numFmtId="0" fontId="13" fillId="0" borderId="0" xfId="0" applyFont="1" applyAlignment="1">
      <alignment horizontal="left"/>
    </xf>
    <xf numFmtId="0" fontId="14" fillId="8" borderId="4" xfId="0" applyFont="1" applyFill="1" applyBorder="1" applyAlignment="1">
      <alignment horizontal="center" vertical="center" wrapText="1"/>
    </xf>
    <xf numFmtId="0" fontId="11" fillId="0" borderId="0" xfId="0" applyFont="1" applyAlignment="1">
      <alignment horizontal="center"/>
    </xf>
    <xf numFmtId="0" fontId="0" fillId="0" borderId="0" xfId="0"/>
    <xf numFmtId="0" fontId="10" fillId="0" borderId="11" xfId="0" applyFont="1" applyBorder="1" applyAlignment="1">
      <alignment horizontal="center"/>
    </xf>
    <xf numFmtId="0" fontId="10" fillId="0" borderId="4" xfId="0" applyFont="1" applyBorder="1" applyAlignment="1">
      <alignment horizontal="center"/>
    </xf>
    <xf numFmtId="0" fontId="10" fillId="0" borderId="0" xfId="0" applyFont="1"/>
    <xf numFmtId="0" fontId="0" fillId="0" borderId="11" xfId="0" applyBorder="1" applyAlignment="1">
      <alignment horizontal="center"/>
    </xf>
    <xf numFmtId="0" fontId="14" fillId="4" borderId="0" xfId="18" applyFont="1" applyFill="1" applyAlignment="1">
      <alignment horizontal="center"/>
    </xf>
    <xf numFmtId="0" fontId="13" fillId="0" borderId="0" xfId="0" applyFont="1" applyAlignment="1">
      <alignment horizontal="left" vertical="center"/>
    </xf>
    <xf numFmtId="0" fontId="10" fillId="0" borderId="11" xfId="13" applyFont="1" applyBorder="1" applyAlignment="1">
      <alignment horizontal="center"/>
    </xf>
    <xf numFmtId="0" fontId="14" fillId="0" borderId="4" xfId="0" applyFont="1" applyBorder="1" applyAlignment="1">
      <alignment horizontal="center"/>
    </xf>
    <xf numFmtId="0" fontId="26" fillId="0" borderId="0" xfId="0" applyFont="1" applyAlignment="1">
      <alignment horizontal="left"/>
    </xf>
    <xf numFmtId="0" fontId="14" fillId="4" borderId="0" xfId="74" applyFont="1" applyFill="1" applyAlignment="1">
      <alignment horizontal="center"/>
    </xf>
    <xf numFmtId="0" fontId="10" fillId="0" borderId="0" xfId="0" applyFont="1" applyAlignment="1">
      <alignment horizontal="center" vertical="center" wrapText="1"/>
    </xf>
    <xf numFmtId="0" fontId="10" fillId="0" borderId="4" xfId="0" applyFont="1" applyBorder="1"/>
    <xf numFmtId="0" fontId="14" fillId="0" borderId="0" xfId="0" applyFont="1" applyFill="1" applyAlignment="1">
      <alignment horizontal="center"/>
    </xf>
    <xf numFmtId="0" fontId="0" fillId="0" borderId="0" xfId="0" applyFont="1" applyAlignment="1">
      <alignment horizontal="justify" vertical="top" wrapText="1"/>
    </xf>
    <xf numFmtId="0" fontId="0" fillId="0" borderId="0" xfId="0" applyFont="1" applyAlignment="1">
      <alignment vertical="top"/>
    </xf>
    <xf numFmtId="49" fontId="10" fillId="0" borderId="4" xfId="0" applyNumberFormat="1" applyFont="1" applyBorder="1" applyAlignment="1">
      <alignment horizontal="center" vertical="top" wrapText="1"/>
    </xf>
    <xf numFmtId="1" fontId="10" fillId="0" borderId="4" xfId="0" applyNumberFormat="1" applyFont="1" applyBorder="1" applyAlignment="1">
      <alignment horizontal="justify" vertical="top" wrapText="1"/>
    </xf>
    <xf numFmtId="49" fontId="14" fillId="0" borderId="4" xfId="0" applyNumberFormat="1" applyFont="1" applyBorder="1" applyAlignment="1">
      <alignment horizontal="center" vertical="top" wrapText="1"/>
    </xf>
    <xf numFmtId="1" fontId="14" fillId="0" borderId="4" xfId="0" applyNumberFormat="1" applyFont="1" applyBorder="1" applyAlignment="1">
      <alignment horizontal="left" vertical="top" wrapText="1"/>
    </xf>
    <xf numFmtId="1" fontId="14" fillId="0" borderId="4" xfId="0" applyNumberFormat="1" applyFont="1" applyBorder="1" applyAlignment="1">
      <alignment horizontal="justify" vertical="top" wrapText="1"/>
    </xf>
    <xf numFmtId="1" fontId="13" fillId="0" borderId="4" xfId="0" applyNumberFormat="1" applyFont="1" applyBorder="1" applyAlignment="1">
      <alignment horizontal="justify" vertical="top" wrapText="1"/>
    </xf>
    <xf numFmtId="49" fontId="10" fillId="0" borderId="4" xfId="0" quotePrefix="1" applyNumberFormat="1" applyFont="1" applyBorder="1" applyAlignment="1">
      <alignment horizontal="center" vertical="top" wrapText="1"/>
    </xf>
    <xf numFmtId="1" fontId="10" fillId="0" borderId="4" xfId="0" quotePrefix="1" applyNumberFormat="1" applyFont="1" applyBorder="1" applyAlignment="1">
      <alignment horizontal="justify" vertical="top" wrapText="1"/>
    </xf>
    <xf numFmtId="49" fontId="10" fillId="0" borderId="4" xfId="0" applyNumberFormat="1" applyFont="1" applyBorder="1" applyAlignment="1">
      <alignment horizontal="justify" vertical="top" wrapText="1"/>
    </xf>
    <xf numFmtId="49" fontId="10" fillId="0" borderId="4" xfId="0" quotePrefix="1" applyNumberFormat="1" applyFont="1" applyBorder="1" applyAlignment="1">
      <alignment horizontal="justify" vertical="top" wrapText="1"/>
    </xf>
    <xf numFmtId="0" fontId="0" fillId="0" borderId="0" xfId="0" applyFont="1" applyAlignment="1">
      <alignment horizontal="justify" wrapText="1"/>
    </xf>
    <xf numFmtId="0" fontId="0" fillId="0" borderId="0" xfId="0" applyFont="1"/>
    <xf numFmtId="49" fontId="14" fillId="0" borderId="4" xfId="0" applyNumberFormat="1" applyFont="1" applyBorder="1" applyAlignment="1">
      <alignment horizontal="center"/>
    </xf>
    <xf numFmtId="49" fontId="10" fillId="0" borderId="4" xfId="0" applyNumberFormat="1" applyFont="1" applyBorder="1" applyAlignment="1">
      <alignment horizontal="center"/>
    </xf>
    <xf numFmtId="1" fontId="10" fillId="0" borderId="4" xfId="0" applyNumberFormat="1" applyFont="1" applyBorder="1" applyAlignment="1">
      <alignment wrapText="1"/>
    </xf>
    <xf numFmtId="49" fontId="10" fillId="0" borderId="0" xfId="0" applyNumberFormat="1" applyFont="1" applyAlignment="1">
      <alignment horizontal="center"/>
    </xf>
    <xf numFmtId="49" fontId="10" fillId="0" borderId="4" xfId="0" quotePrefix="1" applyNumberFormat="1" applyFont="1" applyBorder="1" applyAlignment="1">
      <alignment horizontal="center"/>
    </xf>
    <xf numFmtId="1" fontId="10" fillId="0" borderId="4" xfId="0" quotePrefix="1" applyNumberFormat="1" applyFont="1" applyBorder="1" applyAlignment="1">
      <alignment horizontal="left"/>
    </xf>
    <xf numFmtId="1" fontId="14" fillId="0" borderId="4" xfId="0" quotePrefix="1" applyNumberFormat="1" applyFont="1" applyBorder="1" applyAlignment="1">
      <alignment horizontal="left"/>
    </xf>
    <xf numFmtId="1" fontId="10" fillId="0" borderId="4" xfId="0" applyNumberFormat="1" applyFont="1" applyBorder="1" applyAlignment="1">
      <alignment vertical="top" wrapText="1"/>
    </xf>
    <xf numFmtId="1" fontId="10" fillId="0" borderId="4" xfId="0" applyNumberFormat="1" applyFont="1" applyBorder="1" applyAlignment="1">
      <alignment horizontal="left"/>
    </xf>
    <xf numFmtId="0" fontId="14" fillId="0" borderId="4" xfId="0" applyFont="1" applyFill="1" applyBorder="1" applyAlignment="1">
      <alignment horizontal="justify" wrapText="1"/>
    </xf>
    <xf numFmtId="0" fontId="0" fillId="0" borderId="4" xfId="0" applyFont="1" applyFill="1" applyBorder="1" applyAlignment="1">
      <alignment vertical="top"/>
    </xf>
    <xf numFmtId="0" fontId="14" fillId="4" borderId="0" xfId="0" applyFont="1" applyFill="1" applyAlignment="1"/>
    <xf numFmtId="0" fontId="14" fillId="8" borderId="15" xfId="18" applyFont="1" applyFill="1" applyBorder="1" applyAlignment="1">
      <alignment horizontal="center"/>
    </xf>
    <xf numFmtId="0" fontId="0" fillId="0" borderId="4" xfId="0" applyFont="1" applyBorder="1" applyAlignment="1">
      <alignment horizontal="center" vertical="center"/>
    </xf>
    <xf numFmtId="0" fontId="0" fillId="0" borderId="4" xfId="0" applyFont="1" applyBorder="1" applyAlignment="1">
      <alignment vertical="center"/>
    </xf>
    <xf numFmtId="0" fontId="0" fillId="0" borderId="4" xfId="0" applyFont="1" applyBorder="1" applyAlignment="1">
      <alignment vertical="center" wrapText="1"/>
    </xf>
    <xf numFmtId="0" fontId="0" fillId="0" borderId="4" xfId="0" applyFont="1" applyBorder="1"/>
    <xf numFmtId="0" fontId="10" fillId="0" borderId="4" xfId="67" applyFont="1" applyBorder="1" applyAlignment="1">
      <alignment horizontal="center" vertical="center" wrapText="1"/>
    </xf>
    <xf numFmtId="0" fontId="10" fillId="0" borderId="4" xfId="67" applyFont="1" applyBorder="1" applyAlignment="1">
      <alignment vertical="center" wrapText="1"/>
    </xf>
    <xf numFmtId="0" fontId="10" fillId="0" borderId="4" xfId="67" applyFont="1" applyBorder="1" applyAlignment="1">
      <alignment vertical="top" wrapText="1"/>
    </xf>
    <xf numFmtId="0" fontId="10" fillId="0" borderId="4" xfId="67" applyFont="1" applyBorder="1" applyAlignment="1">
      <alignment horizontal="left" vertical="center" wrapText="1"/>
    </xf>
    <xf numFmtId="0" fontId="10" fillId="0" borderId="6" xfId="67" applyFont="1" applyBorder="1" applyAlignment="1">
      <alignment horizontal="center" vertical="center" wrapText="1"/>
    </xf>
    <xf numFmtId="0" fontId="10" fillId="0" borderId="12" xfId="67" applyFont="1" applyBorder="1" applyAlignment="1">
      <alignment vertical="center" wrapText="1"/>
    </xf>
    <xf numFmtId="0" fontId="10" fillId="0" borderId="4" xfId="67" applyFont="1" applyBorder="1" applyAlignment="1">
      <alignment horizontal="center" vertical="top" wrapText="1"/>
    </xf>
    <xf numFmtId="0" fontId="14" fillId="0" borderId="0" xfId="0" applyFont="1" applyFill="1"/>
    <xf numFmtId="0" fontId="13" fillId="4" borderId="0" xfId="0" applyFont="1" applyFill="1" applyAlignment="1"/>
    <xf numFmtId="0" fontId="14" fillId="0" borderId="0" xfId="18" applyFont="1" applyFill="1" applyAlignment="1"/>
    <xf numFmtId="0" fontId="10" fillId="0" borderId="4" xfId="13" applyFont="1" applyBorder="1" applyAlignment="1">
      <alignment horizontal="justify" wrapText="1"/>
    </xf>
    <xf numFmtId="0" fontId="14" fillId="0" borderId="0" xfId="0" applyFont="1" applyFill="1" applyAlignment="1"/>
    <xf numFmtId="0" fontId="10" fillId="0" borderId="0" xfId="0" applyFont="1" applyBorder="1"/>
    <xf numFmtId="0" fontId="0" fillId="0" borderId="7" xfId="0" applyBorder="1"/>
    <xf numFmtId="49" fontId="10" fillId="0" borderId="0" xfId="17" applyNumberFormat="1" applyFont="1" applyAlignment="1">
      <alignment wrapText="1"/>
    </xf>
    <xf numFmtId="0" fontId="10" fillId="0" borderId="4" xfId="0" applyFont="1" applyBorder="1" applyAlignment="1"/>
    <xf numFmtId="0" fontId="10" fillId="0" borderId="0" xfId="13" applyFont="1" applyBorder="1" applyAlignment="1">
      <alignment horizontal="center"/>
    </xf>
    <xf numFmtId="0" fontId="0" fillId="0" borderId="0" xfId="0" applyFont="1" applyFill="1"/>
    <xf numFmtId="0" fontId="11" fillId="8" borderId="4" xfId="0" applyFont="1" applyFill="1" applyBorder="1" applyAlignment="1">
      <alignment horizontal="center" vertical="center"/>
    </xf>
    <xf numFmtId="0" fontId="0" fillId="0" borderId="4" xfId="0" applyFont="1" applyFill="1" applyBorder="1"/>
    <xf numFmtId="0" fontId="11" fillId="0" borderId="4" xfId="0" applyFont="1" applyBorder="1" applyAlignment="1">
      <alignment vertical="center" wrapText="1"/>
    </xf>
    <xf numFmtId="0" fontId="0" fillId="0" borderId="4" xfId="0" applyFont="1" applyBorder="1" applyAlignment="1">
      <alignment horizontal="center" vertical="center" wrapText="1"/>
    </xf>
    <xf numFmtId="0" fontId="0" fillId="0" borderId="0" xfId="0" applyAlignment="1">
      <alignment horizontal="center" vertical="center"/>
    </xf>
    <xf numFmtId="0" fontId="32" fillId="0" borderId="0" xfId="0" applyFont="1" applyAlignment="1">
      <alignment wrapText="1"/>
    </xf>
    <xf numFmtId="0" fontId="40" fillId="0" borderId="0" xfId="0" applyFont="1"/>
    <xf numFmtId="0" fontId="14" fillId="0" borderId="4" xfId="0" applyFont="1" applyBorder="1" applyAlignment="1">
      <alignment horizontal="center" vertical="center" wrapText="1"/>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13" fillId="0" borderId="0" xfId="0" applyFont="1"/>
    <xf numFmtId="0" fontId="14" fillId="4" borderId="0" xfId="0" applyFont="1" applyFill="1" applyAlignment="1">
      <alignment horizontal="center"/>
    </xf>
    <xf numFmtId="0" fontId="14" fillId="8" borderId="15" xfId="0" applyFont="1" applyFill="1" applyBorder="1" applyAlignment="1">
      <alignment horizontal="center" vertical="center" wrapText="1"/>
    </xf>
    <xf numFmtId="0" fontId="11" fillId="0" borderId="0" xfId="0" applyFont="1" applyAlignment="1">
      <alignment horizontal="center"/>
    </xf>
    <xf numFmtId="0" fontId="14" fillId="0" borderId="0" xfId="0" applyFont="1" applyAlignment="1">
      <alignment horizontal="center"/>
    </xf>
    <xf numFmtId="0" fontId="14" fillId="8" borderId="4" xfId="18" applyFont="1" applyFill="1" applyBorder="1" applyAlignment="1">
      <alignment horizontal="center" vertical="center"/>
    </xf>
    <xf numFmtId="0" fontId="10" fillId="0" borderId="11" xfId="0" applyFont="1" applyBorder="1" applyAlignment="1">
      <alignment horizontal="center"/>
    </xf>
    <xf numFmtId="0" fontId="0" fillId="0" borderId="0" xfId="0"/>
    <xf numFmtId="0" fontId="0" fillId="0" borderId="0" xfId="0" applyAlignment="1">
      <alignment horizontal="center"/>
    </xf>
    <xf numFmtId="0" fontId="10" fillId="0" borderId="0" xfId="0" applyFont="1"/>
    <xf numFmtId="0" fontId="14" fillId="8" borderId="4" xfId="13" applyFont="1" applyFill="1" applyBorder="1" applyAlignment="1">
      <alignment horizontal="center" vertical="center"/>
    </xf>
    <xf numFmtId="0" fontId="10" fillId="0" borderId="0" xfId="18" applyFont="1" applyAlignment="1">
      <alignment horizontal="center"/>
    </xf>
    <xf numFmtId="0" fontId="12" fillId="0" borderId="0" xfId="0" applyFont="1"/>
    <xf numFmtId="0" fontId="12" fillId="0" borderId="0" xfId="0" applyFont="1" applyAlignment="1">
      <alignment horizontal="center"/>
    </xf>
    <xf numFmtId="0" fontId="14" fillId="0" borderId="0" xfId="0" applyFont="1" applyAlignment="1">
      <alignment horizontal="center"/>
    </xf>
    <xf numFmtId="0" fontId="0" fillId="0" borderId="0" xfId="0"/>
    <xf numFmtId="0" fontId="14" fillId="0" borderId="0" xfId="18" applyFont="1" applyFill="1" applyAlignment="1">
      <alignment horizontal="left"/>
    </xf>
    <xf numFmtId="0" fontId="30" fillId="9" borderId="4"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31" fillId="0" borderId="4" xfId="0" applyFont="1" applyBorder="1" applyAlignment="1">
      <alignment horizontal="center" vertical="center" wrapText="1"/>
    </xf>
    <xf numFmtId="0" fontId="13" fillId="0" borderId="0" xfId="18" applyFont="1" applyAlignment="1"/>
    <xf numFmtId="0" fontId="10" fillId="8" borderId="4" xfId="0" applyFont="1" applyFill="1" applyBorder="1"/>
    <xf numFmtId="0" fontId="14" fillId="10" borderId="0" xfId="75" applyFont="1" applyFill="1" applyAlignment="1">
      <alignment horizontal="left" vertical="center"/>
    </xf>
    <xf numFmtId="0" fontId="10" fillId="0" borderId="0" xfId="105" applyFont="1">
      <alignment vertical="center"/>
    </xf>
    <xf numFmtId="0" fontId="10" fillId="0" borderId="0" xfId="75" applyFont="1" applyAlignment="1">
      <alignment vertical="center"/>
    </xf>
    <xf numFmtId="0" fontId="14" fillId="0" borderId="0" xfId="106" applyFont="1">
      <alignment vertical="center"/>
    </xf>
    <xf numFmtId="0" fontId="14" fillId="0" borderId="0" xfId="90" applyFont="1" applyAlignment="1">
      <alignment horizontal="center" vertical="center"/>
    </xf>
    <xf numFmtId="0" fontId="10" fillId="0" borderId="0" xfId="90" applyFont="1" applyAlignment="1">
      <alignment vertical="center"/>
    </xf>
    <xf numFmtId="0" fontId="14" fillId="11" borderId="4" xfId="90" applyFont="1" applyFill="1" applyBorder="1" applyAlignment="1">
      <alignment horizontal="center" vertical="center"/>
    </xf>
    <xf numFmtId="0" fontId="14" fillId="11" borderId="4" xfId="90" applyFont="1" applyFill="1" applyBorder="1" applyAlignment="1">
      <alignment horizontal="center" vertical="center" wrapText="1"/>
    </xf>
    <xf numFmtId="0" fontId="14" fillId="11" borderId="4" xfId="106" applyFont="1" applyFill="1" applyBorder="1" applyAlignment="1">
      <alignment horizontal="center" vertical="center" wrapText="1"/>
    </xf>
    <xf numFmtId="0" fontId="10" fillId="0" borderId="4" xfId="90" applyFont="1" applyBorder="1" applyAlignment="1">
      <alignment horizontal="center" vertical="center"/>
    </xf>
    <xf numFmtId="0" fontId="10" fillId="0" borderId="4" xfId="90" applyFont="1" applyBorder="1" applyAlignment="1">
      <alignment horizontal="left" vertical="center"/>
    </xf>
    <xf numFmtId="0" fontId="10" fillId="0" borderId="4" xfId="90" applyFont="1" applyBorder="1" applyAlignment="1">
      <alignment vertical="center"/>
    </xf>
    <xf numFmtId="0" fontId="10" fillId="0" borderId="4" xfId="90" applyFont="1" applyBorder="1" applyAlignment="1">
      <alignment horizontal="left" vertical="center" wrapText="1"/>
    </xf>
    <xf numFmtId="0" fontId="14" fillId="0" borderId="0" xfId="90" applyFont="1" applyAlignment="1">
      <alignment vertical="center"/>
    </xf>
    <xf numFmtId="0" fontId="10" fillId="0" borderId="0" xfId="90" applyFont="1" applyBorder="1" applyAlignment="1">
      <alignment vertical="center"/>
    </xf>
    <xf numFmtId="0" fontId="10" fillId="0" borderId="4" xfId="75" applyFont="1" applyBorder="1" applyAlignment="1">
      <alignment horizontal="center" vertical="center"/>
    </xf>
    <xf numFmtId="0" fontId="14" fillId="8" borderId="4" xfId="0" applyFont="1" applyFill="1" applyBorder="1" applyAlignment="1">
      <alignment horizontal="center" vertical="center" wrapText="1"/>
    </xf>
    <xf numFmtId="0" fontId="11" fillId="0" borderId="0" xfId="0" applyFont="1" applyAlignment="1">
      <alignment horizontal="center"/>
    </xf>
    <xf numFmtId="0" fontId="14" fillId="0" borderId="0" xfId="0" applyFont="1" applyAlignment="1">
      <alignment horizontal="center"/>
    </xf>
    <xf numFmtId="0" fontId="0" fillId="0" borderId="0" xfId="0"/>
    <xf numFmtId="0" fontId="14" fillId="0" borderId="0" xfId="18" applyFont="1" applyFill="1" applyAlignment="1">
      <alignment horizontal="left"/>
    </xf>
    <xf numFmtId="0" fontId="14" fillId="4" borderId="0" xfId="18" applyFont="1" applyFill="1" applyAlignment="1">
      <alignment horizontal="center"/>
    </xf>
    <xf numFmtId="0" fontId="13" fillId="4" borderId="0" xfId="18" applyFont="1" applyFill="1" applyAlignment="1">
      <alignment horizontal="left"/>
    </xf>
    <xf numFmtId="0" fontId="13" fillId="0" borderId="0" xfId="0" applyFont="1" applyAlignment="1">
      <alignment horizontal="left" vertical="center"/>
    </xf>
    <xf numFmtId="0" fontId="10" fillId="0" borderId="11" xfId="18" applyFont="1" applyBorder="1" applyAlignment="1">
      <alignment horizontal="center"/>
    </xf>
    <xf numFmtId="0" fontId="10" fillId="0" borderId="11" xfId="13" applyFont="1" applyBorder="1" applyAlignment="1">
      <alignment horizontal="center"/>
    </xf>
    <xf numFmtId="0" fontId="14" fillId="12" borderId="0" xfId="106" applyFont="1" applyFill="1" applyBorder="1" applyAlignment="1">
      <alignment horizontal="center" vertical="center" wrapText="1"/>
    </xf>
    <xf numFmtId="0" fontId="10" fillId="5" borderId="0" xfId="90" applyFont="1" applyFill="1" applyBorder="1" applyAlignment="1">
      <alignment vertical="center"/>
    </xf>
    <xf numFmtId="0" fontId="14" fillId="12" borderId="0" xfId="90" applyFont="1" applyFill="1" applyBorder="1" applyAlignment="1">
      <alignment horizontal="center" vertical="center" wrapText="1"/>
    </xf>
    <xf numFmtId="0" fontId="14" fillId="12" borderId="0" xfId="90" applyFont="1" applyFill="1" applyBorder="1" applyAlignment="1">
      <alignment horizontal="center" vertical="center"/>
    </xf>
    <xf numFmtId="0" fontId="10" fillId="5" borderId="0" xfId="90" applyFont="1" applyFill="1" applyBorder="1" applyAlignment="1">
      <alignment horizontal="center" vertical="center"/>
    </xf>
    <xf numFmtId="0" fontId="10" fillId="5" borderId="0" xfId="90" applyFont="1" applyFill="1" applyBorder="1" applyAlignment="1">
      <alignment horizontal="left" vertical="center"/>
    </xf>
    <xf numFmtId="0" fontId="10" fillId="5" borderId="0" xfId="90" applyFont="1" applyFill="1" applyBorder="1" applyAlignment="1">
      <alignment horizontal="left" vertical="center" wrapText="1"/>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vertical="center"/>
    </xf>
    <xf numFmtId="0" fontId="0" fillId="0" borderId="0" xfId="0"/>
    <xf numFmtId="0" fontId="14" fillId="8" borderId="4" xfId="0" applyFont="1" applyFill="1" applyBorder="1" applyAlignment="1">
      <alignment horizontal="center" vertical="center" wrapText="1"/>
    </xf>
    <xf numFmtId="0" fontId="13" fillId="0" borderId="0" xfId="0" applyFont="1"/>
    <xf numFmtId="0" fontId="11" fillId="0" borderId="0" xfId="0" applyFont="1" applyAlignment="1">
      <alignment horizontal="center"/>
    </xf>
    <xf numFmtId="0" fontId="14" fillId="0" borderId="0" xfId="0" applyFont="1" applyAlignment="1">
      <alignment horizontal="center"/>
    </xf>
    <xf numFmtId="0" fontId="0" fillId="0" borderId="0" xfId="0"/>
    <xf numFmtId="0" fontId="10" fillId="0" borderId="0" xfId="0" applyFont="1"/>
    <xf numFmtId="0" fontId="14" fillId="0" borderId="0" xfId="18" applyFont="1" applyFill="1" applyAlignment="1">
      <alignment horizontal="left"/>
    </xf>
    <xf numFmtId="0" fontId="14" fillId="4" borderId="0" xfId="18" applyFont="1" applyFill="1" applyAlignment="1">
      <alignment horizontal="center"/>
    </xf>
    <xf numFmtId="0" fontId="13" fillId="0" borderId="0" xfId="0" applyFont="1" applyAlignment="1">
      <alignment horizontal="left" vertical="center"/>
    </xf>
    <xf numFmtId="0" fontId="10" fillId="0" borderId="11" xfId="18" applyFont="1" applyBorder="1" applyAlignment="1">
      <alignment horizontal="center"/>
    </xf>
    <xf numFmtId="0" fontId="13" fillId="0" borderId="0" xfId="0" applyFont="1" applyAlignment="1">
      <alignment vertical="center"/>
    </xf>
    <xf numFmtId="0" fontId="0" fillId="0" borderId="0" xfId="0" applyAlignment="1">
      <alignment wrapText="1"/>
    </xf>
    <xf numFmtId="0" fontId="14" fillId="0" borderId="11" xfId="0" applyFont="1" applyBorder="1" applyAlignment="1">
      <alignment horizontal="center" vertical="center"/>
    </xf>
    <xf numFmtId="0" fontId="10" fillId="0" borderId="0" xfId="0" applyFont="1" applyAlignment="1">
      <alignment horizontal="center" wrapText="1"/>
    </xf>
    <xf numFmtId="0" fontId="14" fillId="0" borderId="0" xfId="74" applyFont="1" applyFill="1" applyAlignment="1">
      <alignment horizontal="left"/>
    </xf>
    <xf numFmtId="0" fontId="10" fillId="0" borderId="0" xfId="108" applyFont="1" applyAlignment="1">
      <alignment horizontal="centerContinuous" vertical="center"/>
    </xf>
    <xf numFmtId="0" fontId="10" fillId="0" borderId="0" xfId="108" applyFont="1">
      <alignment vertical="center"/>
    </xf>
    <xf numFmtId="0" fontId="10" fillId="0" borderId="0" xfId="107" applyFont="1" applyAlignment="1">
      <alignment horizontal="centerContinuous" vertical="center"/>
    </xf>
    <xf numFmtId="0" fontId="10" fillId="0" borderId="0" xfId="107" applyFont="1" applyAlignment="1">
      <alignment vertical="center"/>
    </xf>
    <xf numFmtId="0" fontId="14" fillId="0" borderId="0" xfId="108" applyFont="1" applyAlignment="1">
      <alignment horizontal="left" vertical="center"/>
    </xf>
    <xf numFmtId="0" fontId="10" fillId="5" borderId="0" xfId="107" applyFont="1" applyFill="1" applyAlignment="1">
      <alignment horizontal="centerContinuous" vertical="center"/>
    </xf>
    <xf numFmtId="0" fontId="10" fillId="0" borderId="0" xfId="107" applyFont="1" applyAlignment="1">
      <alignment horizontal="center" vertical="center"/>
    </xf>
    <xf numFmtId="0" fontId="14" fillId="0" borderId="0" xfId="107" applyFont="1" applyAlignment="1">
      <alignment horizontal="centerContinuous" vertical="center"/>
    </xf>
    <xf numFmtId="0" fontId="14" fillId="0" borderId="0" xfId="108" applyFont="1" applyAlignment="1">
      <alignment horizontal="right" vertical="center"/>
    </xf>
    <xf numFmtId="0" fontId="14" fillId="5" borderId="0" xfId="108" applyFont="1" applyFill="1" applyAlignment="1">
      <alignment horizontal="center" vertical="center" wrapText="1"/>
    </xf>
    <xf numFmtId="0" fontId="10" fillId="5" borderId="0" xfId="108" applyFont="1" applyFill="1">
      <alignment vertical="center"/>
    </xf>
    <xf numFmtId="0" fontId="10" fillId="0" borderId="4" xfId="108" applyFont="1" applyBorder="1" applyAlignment="1">
      <alignment horizontal="center" vertical="center"/>
    </xf>
    <xf numFmtId="0" fontId="10" fillId="10" borderId="4" xfId="107" applyFont="1" applyFill="1" applyBorder="1" applyAlignment="1">
      <alignment horizontal="left" vertical="center"/>
    </xf>
    <xf numFmtId="0" fontId="10" fillId="0" borderId="4" xfId="108" applyFont="1" applyBorder="1">
      <alignment vertical="center"/>
    </xf>
    <xf numFmtId="0" fontId="12" fillId="5" borderId="4" xfId="109" applyFont="1" applyFill="1" applyBorder="1" applyAlignment="1">
      <alignment vertical="center"/>
    </xf>
    <xf numFmtId="0" fontId="14" fillId="10" borderId="4" xfId="107" applyFont="1" applyFill="1" applyBorder="1" applyAlignment="1">
      <alignment horizontal="left" vertical="center"/>
    </xf>
    <xf numFmtId="0" fontId="10" fillId="0" borderId="0" xfId="108" applyFont="1" applyAlignment="1">
      <alignment horizontal="center" vertical="center"/>
    </xf>
    <xf numFmtId="0" fontId="14" fillId="0" borderId="4" xfId="108" applyFont="1" applyBorder="1" applyAlignment="1">
      <alignment horizontal="center" vertical="center"/>
    </xf>
    <xf numFmtId="0" fontId="14" fillId="8" borderId="4" xfId="108" applyFont="1" applyFill="1" applyBorder="1" applyAlignment="1">
      <alignment horizontal="center" vertical="center"/>
    </xf>
    <xf numFmtId="0" fontId="14" fillId="8" borderId="4" xfId="108" applyFont="1" applyFill="1" applyBorder="1" applyAlignment="1">
      <alignment horizontal="center" vertical="center" wrapText="1"/>
    </xf>
    <xf numFmtId="0" fontId="14" fillId="0" borderId="0" xfId="106" applyFont="1" applyAlignment="1">
      <alignment vertical="center"/>
    </xf>
    <xf numFmtId="0" fontId="10" fillId="0" borderId="0" xfId="108" applyFont="1" applyBorder="1">
      <alignment vertical="center"/>
    </xf>
    <xf numFmtId="0" fontId="14" fillId="5" borderId="0" xfId="108" applyFont="1" applyFill="1" applyBorder="1" applyAlignment="1">
      <alignment vertical="center" wrapText="1"/>
    </xf>
    <xf numFmtId="0" fontId="10" fillId="5" borderId="0" xfId="108" applyFont="1" applyFill="1" applyBorder="1" applyAlignment="1">
      <alignment vertical="center"/>
    </xf>
    <xf numFmtId="0" fontId="0" fillId="0" borderId="4" xfId="0" applyFont="1" applyBorder="1" applyAlignment="1">
      <alignment horizontal="justify" vertical="center"/>
    </xf>
    <xf numFmtId="0" fontId="47" fillId="0" borderId="4" xfId="0" applyFont="1" applyBorder="1" applyAlignment="1">
      <alignment horizontal="justify" vertical="center"/>
    </xf>
    <xf numFmtId="0" fontId="10" fillId="0" borderId="4" xfId="74" applyFont="1" applyFill="1" applyBorder="1" applyAlignment="1">
      <alignment horizontal="left" wrapText="1"/>
    </xf>
    <xf numFmtId="0" fontId="0" fillId="0" borderId="4" xfId="0" applyBorder="1" applyAlignment="1">
      <alignment horizontal="left" vertical="center"/>
    </xf>
    <xf numFmtId="0" fontId="10" fillId="0" borderId="4" xfId="0" applyFont="1" applyBorder="1" applyAlignment="1">
      <alignment horizontal="left" vertical="center" wrapText="1"/>
    </xf>
    <xf numFmtId="0" fontId="0" fillId="0" borderId="0" xfId="0"/>
    <xf numFmtId="0" fontId="14" fillId="0" borderId="0" xfId="0" applyFont="1" applyAlignment="1"/>
    <xf numFmtId="0" fontId="13" fillId="0" borderId="0" xfId="0" applyFont="1" applyAlignment="1">
      <alignment horizontal="left"/>
    </xf>
    <xf numFmtId="0" fontId="14" fillId="8" borderId="4" xfId="0" applyFont="1" applyFill="1" applyBorder="1" applyAlignment="1">
      <alignment horizontal="center" vertical="center" wrapText="1"/>
    </xf>
    <xf numFmtId="0" fontId="0" fillId="0" borderId="0" xfId="0" applyFont="1"/>
    <xf numFmtId="0" fontId="14" fillId="8" borderId="6" xfId="0" applyFont="1" applyFill="1" applyBorder="1" applyAlignment="1">
      <alignment horizontal="center" vertical="center" wrapText="1"/>
    </xf>
    <xf numFmtId="0" fontId="0" fillId="0" borderId="0" xfId="0" applyFont="1" applyAlignment="1">
      <alignment horizontal="left"/>
    </xf>
    <xf numFmtId="0" fontId="14" fillId="8" borderId="4" xfId="18" applyFont="1" applyFill="1" applyBorder="1" applyAlignment="1">
      <alignment horizontal="center" vertical="center"/>
    </xf>
    <xf numFmtId="0" fontId="0" fillId="0" borderId="0" xfId="0"/>
    <xf numFmtId="0" fontId="12" fillId="0" borderId="0" xfId="0" applyFont="1"/>
    <xf numFmtId="0" fontId="11" fillId="0" borderId="0" xfId="0" applyFont="1"/>
    <xf numFmtId="0" fontId="10" fillId="0" borderId="0" xfId="0" applyFont="1" applyAlignment="1">
      <alignment horizontal="left"/>
    </xf>
    <xf numFmtId="0" fontId="11" fillId="8" borderId="4" xfId="0" applyFont="1" applyFill="1" applyBorder="1" applyAlignment="1">
      <alignment horizontal="center" vertical="center" wrapText="1"/>
    </xf>
    <xf numFmtId="0" fontId="51" fillId="9" borderId="4" xfId="0" applyFont="1" applyFill="1" applyBorder="1" applyAlignment="1">
      <alignment horizontal="center" vertical="center"/>
    </xf>
    <xf numFmtId="0" fontId="13" fillId="4" borderId="0" xfId="18" applyFont="1" applyFill="1"/>
    <xf numFmtId="0" fontId="13" fillId="0" borderId="0" xfId="0" applyFont="1" applyFill="1" applyAlignment="1">
      <alignment horizontal="left"/>
    </xf>
    <xf numFmtId="0" fontId="0" fillId="0" borderId="0" xfId="0" applyFill="1"/>
    <xf numFmtId="0" fontId="14" fillId="0" borderId="0" xfId="18" applyFont="1" applyFill="1" applyAlignment="1">
      <alignment horizontal="right"/>
    </xf>
    <xf numFmtId="0" fontId="10" fillId="0" borderId="0" xfId="0" applyFont="1" applyAlignment="1">
      <alignment horizontal="right" vertical="center" wrapText="1"/>
    </xf>
    <xf numFmtId="0" fontId="11" fillId="0" borderId="0" xfId="0" applyFont="1" applyAlignment="1">
      <alignment horizontal="left" vertical="top"/>
    </xf>
    <xf numFmtId="0" fontId="11" fillId="0" borderId="0" xfId="0" applyFont="1" applyAlignment="1">
      <alignment vertical="top"/>
    </xf>
    <xf numFmtId="0" fontId="11" fillId="14" borderId="4" xfId="0" applyFont="1" applyFill="1" applyBorder="1" applyAlignment="1">
      <alignment horizontal="center" vertical="center" wrapText="1"/>
    </xf>
    <xf numFmtId="2" fontId="10" fillId="0" borderId="4" xfId="0" applyNumberFormat="1" applyFont="1" applyBorder="1" applyAlignment="1">
      <alignment horizontal="right" vertical="center" wrapText="1"/>
    </xf>
    <xf numFmtId="10" fontId="10" fillId="0" borderId="4" xfId="59" applyNumberFormat="1" applyFont="1" applyBorder="1" applyAlignment="1">
      <alignment horizontal="right" vertical="center" wrapText="1"/>
    </xf>
    <xf numFmtId="10" fontId="10" fillId="0" borderId="4" xfId="0" applyNumberFormat="1" applyFont="1" applyBorder="1" applyAlignment="1">
      <alignment horizontal="right" vertical="center" wrapText="1"/>
    </xf>
    <xf numFmtId="0" fontId="10" fillId="0" borderId="4" xfId="0" applyFont="1" applyBorder="1" applyAlignment="1">
      <alignment horizontal="right" vertical="center" wrapText="1"/>
    </xf>
    <xf numFmtId="0" fontId="10" fillId="0" borderId="4" xfId="0" applyFont="1" applyBorder="1" applyAlignment="1">
      <alignment horizontal="justify" vertical="center" wrapText="1"/>
    </xf>
    <xf numFmtId="0" fontId="57" fillId="0" borderId="4" xfId="0" applyFont="1" applyBorder="1" applyAlignment="1">
      <alignment horizontal="center" vertical="center" wrapText="1"/>
    </xf>
    <xf numFmtId="2" fontId="10" fillId="5" borderId="4" xfId="0" applyNumberFormat="1" applyFont="1" applyFill="1" applyBorder="1" applyAlignment="1">
      <alignment horizontal="right" vertical="center" wrapText="1"/>
    </xf>
    <xf numFmtId="0" fontId="11" fillId="0" borderId="4" xfId="0" applyFont="1" applyBorder="1" applyAlignment="1">
      <alignment horizontal="justify" vertical="center" wrapText="1"/>
    </xf>
    <xf numFmtId="2" fontId="10" fillId="0" borderId="4" xfId="0" applyNumberFormat="1" applyFont="1" applyFill="1" applyBorder="1" applyAlignment="1">
      <alignment horizontal="right" vertical="center" wrapText="1"/>
    </xf>
    <xf numFmtId="10" fontId="10" fillId="0" borderId="4" xfId="59" applyNumberFormat="1" applyFont="1" applyFill="1" applyBorder="1" applyAlignment="1">
      <alignment horizontal="right" vertical="center" wrapText="1"/>
    </xf>
    <xf numFmtId="10" fontId="10" fillId="0" borderId="4" xfId="0" applyNumberFormat="1" applyFont="1" applyFill="1" applyBorder="1" applyAlignment="1">
      <alignment horizontal="right" vertical="center" wrapText="1"/>
    </xf>
    <xf numFmtId="0" fontId="10" fillId="0" borderId="4" xfId="0" applyFont="1" applyFill="1" applyBorder="1" applyAlignment="1">
      <alignment horizontal="right" vertical="center" wrapText="1"/>
    </xf>
    <xf numFmtId="0" fontId="11" fillId="0" borderId="4" xfId="0" applyFont="1" applyBorder="1" applyAlignment="1">
      <alignment horizontal="center" vertical="center"/>
    </xf>
    <xf numFmtId="10" fontId="0" fillId="0" borderId="4" xfId="59" applyNumberFormat="1" applyFont="1" applyBorder="1" applyAlignment="1">
      <alignment horizontal="right" vertical="center"/>
    </xf>
    <xf numFmtId="0" fontId="58" fillId="8" borderId="4" xfId="0" applyFont="1" applyFill="1" applyBorder="1" applyAlignment="1">
      <alignment horizontal="center" vertical="center" wrapText="1"/>
    </xf>
    <xf numFmtId="0" fontId="11" fillId="0" borderId="4" xfId="0" applyFont="1" applyBorder="1" applyAlignment="1">
      <alignment horizontal="justify" vertical="center"/>
    </xf>
    <xf numFmtId="2" fontId="11" fillId="0" borderId="4" xfId="0" applyNumberFormat="1" applyFont="1" applyBorder="1" applyAlignment="1">
      <alignment horizontal="right" vertical="center"/>
    </xf>
    <xf numFmtId="2" fontId="0" fillId="0" borderId="4" xfId="0" applyNumberFormat="1" applyFont="1" applyBorder="1" applyAlignment="1">
      <alignment horizontal="right" vertical="center"/>
    </xf>
    <xf numFmtId="10" fontId="11" fillId="0" borderId="4" xfId="59" applyNumberFormat="1" applyFont="1" applyBorder="1" applyAlignment="1">
      <alignment horizontal="center" vertical="center" wrapText="1"/>
    </xf>
    <xf numFmtId="0" fontId="11" fillId="0" borderId="4" xfId="0" applyFont="1" applyBorder="1" applyAlignment="1">
      <alignment horizontal="center" vertical="center" wrapText="1"/>
    </xf>
    <xf numFmtId="2" fontId="11" fillId="0" borderId="4" xfId="0" applyNumberFormat="1" applyFont="1" applyBorder="1" applyAlignment="1">
      <alignment horizontal="right" vertical="center" wrapText="1"/>
    </xf>
    <xf numFmtId="2" fontId="0" fillId="0" borderId="4" xfId="0" applyNumberFormat="1" applyFont="1" applyBorder="1" applyAlignment="1">
      <alignment horizontal="right" vertical="center" wrapText="1"/>
    </xf>
    <xf numFmtId="0" fontId="0" fillId="0" borderId="4" xfId="0" applyFont="1" applyBorder="1" applyAlignment="1">
      <alignment horizontal="right" vertical="center"/>
    </xf>
    <xf numFmtId="9" fontId="11" fillId="0" borderId="4" xfId="0" applyNumberFormat="1" applyFont="1" applyBorder="1" applyAlignment="1">
      <alignment horizontal="right" vertical="center" wrapText="1"/>
    </xf>
    <xf numFmtId="9" fontId="11" fillId="0" borderId="4" xfId="0" applyNumberFormat="1" applyFont="1" applyBorder="1" applyAlignment="1">
      <alignment horizontal="right" vertical="center"/>
    </xf>
    <xf numFmtId="10" fontId="0" fillId="0" borderId="4" xfId="59" applyNumberFormat="1" applyFont="1" applyBorder="1" applyAlignment="1">
      <alignment horizontal="right" vertical="center" wrapText="1"/>
    </xf>
    <xf numFmtId="2" fontId="0" fillId="5" borderId="4" xfId="0" applyNumberFormat="1" applyFont="1" applyFill="1" applyBorder="1" applyAlignment="1">
      <alignment horizontal="right" vertical="center"/>
    </xf>
    <xf numFmtId="2" fontId="0" fillId="0" borderId="4" xfId="0" applyNumberFormat="1" applyFont="1" applyFill="1" applyBorder="1" applyAlignment="1">
      <alignment horizontal="right" vertical="center"/>
    </xf>
    <xf numFmtId="4" fontId="11" fillId="0" borderId="4" xfId="0" applyNumberFormat="1" applyFont="1" applyBorder="1" applyAlignment="1">
      <alignment horizontal="right" vertical="center"/>
    </xf>
    <xf numFmtId="9" fontId="11" fillId="0" borderId="4" xfId="59" applyFont="1" applyBorder="1" applyAlignment="1">
      <alignment horizontal="center" vertical="center" wrapText="1"/>
    </xf>
    <xf numFmtId="9" fontId="0" fillId="0" borderId="4" xfId="59" applyFont="1" applyBorder="1" applyAlignment="1">
      <alignment horizontal="center" vertical="center" wrapText="1"/>
    </xf>
    <xf numFmtId="4" fontId="59" fillId="0" borderId="4" xfId="0" applyNumberFormat="1" applyFont="1" applyBorder="1" applyAlignment="1">
      <alignment horizontal="right" vertical="center"/>
    </xf>
    <xf numFmtId="4" fontId="11" fillId="0" borderId="15" xfId="0" applyNumberFormat="1" applyFont="1" applyBorder="1" applyAlignment="1">
      <alignment horizontal="right" vertical="center"/>
    </xf>
    <xf numFmtId="0" fontId="0" fillId="0" borderId="0" xfId="0" applyFont="1" applyAlignment="1">
      <alignment horizontal="center" vertical="center"/>
    </xf>
    <xf numFmtId="0" fontId="11" fillId="8" borderId="3" xfId="0" applyFont="1" applyFill="1" applyBorder="1" applyAlignment="1">
      <alignment horizontal="center" vertical="center" wrapText="1"/>
    </xf>
    <xf numFmtId="2" fontId="12" fillId="0" borderId="4" xfId="0" applyNumberFormat="1" applyFont="1" applyBorder="1" applyAlignment="1">
      <alignment horizontal="right" vertical="center"/>
    </xf>
    <xf numFmtId="0" fontId="12" fillId="0" borderId="4" xfId="0" applyFont="1" applyBorder="1" applyAlignment="1">
      <alignment horizontal="center" vertical="center" wrapText="1"/>
    </xf>
    <xf numFmtId="2" fontId="12" fillId="0" borderId="4" xfId="0" applyNumberFormat="1" applyFont="1" applyBorder="1" applyAlignment="1">
      <alignment horizontal="right" vertical="center" wrapText="1"/>
    </xf>
    <xf numFmtId="0" fontId="12" fillId="0" borderId="4" xfId="0" applyFont="1" applyBorder="1" applyAlignment="1">
      <alignment horizontal="right" vertical="center"/>
    </xf>
    <xf numFmtId="0" fontId="12" fillId="0" borderId="0" xfId="0" applyFont="1" applyAlignment="1">
      <alignment horizontal="center" vertical="center"/>
    </xf>
    <xf numFmtId="0" fontId="12" fillId="0" borderId="4" xfId="0" applyFont="1" applyBorder="1" applyAlignment="1">
      <alignment vertical="center" wrapText="1"/>
    </xf>
    <xf numFmtId="10" fontId="12" fillId="0" borderId="4" xfId="59" applyNumberFormat="1" applyFont="1" applyBorder="1" applyAlignment="1">
      <alignment horizontal="right" vertical="center" wrapText="1"/>
    </xf>
    <xf numFmtId="2" fontId="12" fillId="5" borderId="4" xfId="0" applyNumberFormat="1" applyFont="1" applyFill="1" applyBorder="1" applyAlignment="1">
      <alignment horizontal="right" vertical="center"/>
    </xf>
    <xf numFmtId="10" fontId="12" fillId="0" borderId="4" xfId="59" applyNumberFormat="1" applyFont="1" applyBorder="1" applyAlignment="1">
      <alignment horizontal="right" vertical="center"/>
    </xf>
    <xf numFmtId="0" fontId="12" fillId="0" borderId="4" xfId="0" applyFont="1" applyBorder="1" applyAlignment="1">
      <alignment horizontal="justify" vertical="center"/>
    </xf>
    <xf numFmtId="2" fontId="12" fillId="0" borderId="4" xfId="0" applyNumberFormat="1" applyFont="1" applyFill="1" applyBorder="1" applyAlignment="1">
      <alignment horizontal="right" vertical="center"/>
    </xf>
    <xf numFmtId="2" fontId="12" fillId="0" borderId="4" xfId="0" applyNumberFormat="1" applyFont="1" applyBorder="1"/>
    <xf numFmtId="0" fontId="11" fillId="13" borderId="4" xfId="0" applyFont="1" applyFill="1" applyBorder="1" applyAlignment="1">
      <alignment horizontal="center" vertical="center" wrapText="1"/>
    </xf>
    <xf numFmtId="9" fontId="12" fillId="0" borderId="4" xfId="59" applyFont="1" applyBorder="1" applyAlignment="1">
      <alignment horizontal="center" vertical="center" wrapText="1"/>
    </xf>
    <xf numFmtId="4" fontId="12" fillId="0" borderId="4" xfId="0" applyNumberFormat="1" applyFont="1" applyBorder="1" applyAlignment="1">
      <alignment horizontal="right" vertical="center"/>
    </xf>
    <xf numFmtId="9" fontId="12" fillId="0" borderId="0" xfId="59" applyFont="1"/>
    <xf numFmtId="0" fontId="12" fillId="0" borderId="0" xfId="0" applyFont="1" applyBorder="1"/>
    <xf numFmtId="0" fontId="12" fillId="0" borderId="0" xfId="0" applyFont="1" applyBorder="1" applyAlignment="1"/>
    <xf numFmtId="0" fontId="12" fillId="0" borderId="4" xfId="0" applyFont="1" applyBorder="1" applyAlignment="1">
      <alignment horizontal="center" vertical="center"/>
    </xf>
    <xf numFmtId="0" fontId="0" fillId="0" borderId="4" xfId="110" applyFont="1" applyBorder="1" applyAlignment="1">
      <alignment vertical="center" wrapText="1"/>
    </xf>
    <xf numFmtId="0" fontId="12" fillId="0" borderId="4" xfId="110" applyFont="1" applyBorder="1" applyAlignment="1">
      <alignment vertical="center" wrapText="1"/>
    </xf>
    <xf numFmtId="0" fontId="60" fillId="0" borderId="0" xfId="90" applyFont="1" applyAlignment="1">
      <alignment vertical="center" wrapText="1"/>
    </xf>
    <xf numFmtId="0" fontId="10" fillId="0" borderId="4" xfId="90" applyFont="1" applyBorder="1" applyAlignment="1">
      <alignment vertical="center" wrapText="1"/>
    </xf>
    <xf numFmtId="0" fontId="14" fillId="0" borderId="0" xfId="90" applyFont="1" applyAlignment="1">
      <alignment vertical="center" wrapText="1"/>
    </xf>
    <xf numFmtId="0" fontId="10" fillId="0" borderId="0" xfId="90" applyFont="1" applyAlignment="1">
      <alignment vertical="center" wrapText="1"/>
    </xf>
    <xf numFmtId="0" fontId="10" fillId="0" borderId="0" xfId="90" applyFont="1" applyFill="1" applyAlignment="1">
      <alignment vertical="center"/>
    </xf>
    <xf numFmtId="0" fontId="12" fillId="0" borderId="0" xfId="0" applyFont="1" applyFill="1"/>
    <xf numFmtId="0" fontId="10" fillId="0" borderId="0" xfId="90" applyFont="1" applyFill="1" applyAlignment="1">
      <alignment vertical="center" wrapText="1"/>
    </xf>
    <xf numFmtId="0" fontId="11" fillId="0" borderId="0" xfId="0" applyFont="1" applyFill="1"/>
    <xf numFmtId="0" fontId="14" fillId="8" borderId="4" xfId="0" applyFont="1" applyFill="1" applyBorder="1" applyAlignment="1">
      <alignment horizontal="left" vertical="center" wrapText="1"/>
    </xf>
    <xf numFmtId="0" fontId="14" fillId="0" borderId="4" xfId="0" applyFont="1" applyFill="1" applyBorder="1" applyAlignment="1">
      <alignment horizontal="left" vertical="center" wrapText="1"/>
    </xf>
    <xf numFmtId="43" fontId="57" fillId="0" borderId="4" xfId="0" applyNumberFormat="1" applyFont="1" applyFill="1" applyBorder="1" applyAlignment="1">
      <alignment horizontal="left" vertical="center"/>
    </xf>
    <xf numFmtId="2" fontId="0" fillId="0" borderId="4" xfId="0" applyNumberFormat="1" applyFont="1" applyFill="1" applyBorder="1"/>
    <xf numFmtId="10" fontId="0" fillId="0" borderId="4" xfId="59" applyNumberFormat="1" applyFont="1" applyFill="1" applyBorder="1"/>
    <xf numFmtId="2" fontId="0" fillId="0" borderId="4" xfId="59" applyNumberFormat="1" applyFont="1" applyFill="1" applyBorder="1"/>
    <xf numFmtId="0" fontId="10" fillId="0" borderId="4" xfId="0" applyFont="1" applyFill="1" applyBorder="1" applyAlignment="1">
      <alignment horizontal="left" vertical="center" wrapText="1"/>
    </xf>
    <xf numFmtId="0" fontId="14" fillId="0" borderId="4" xfId="0" applyFont="1" applyFill="1" applyBorder="1" applyAlignment="1">
      <alignment horizontal="left" vertical="center"/>
    </xf>
    <xf numFmtId="0" fontId="10" fillId="0" borderId="4" xfId="0" applyFont="1" applyFill="1" applyBorder="1" applyAlignment="1">
      <alignment horizontal="left" vertical="center"/>
    </xf>
    <xf numFmtId="0" fontId="19" fillId="0" borderId="4" xfId="0" applyFont="1" applyFill="1" applyBorder="1" applyAlignment="1">
      <alignment horizontal="left" vertical="center"/>
    </xf>
    <xf numFmtId="2" fontId="10" fillId="0" borderId="4" xfId="0" applyNumberFormat="1" applyFont="1" applyFill="1" applyBorder="1"/>
    <xf numFmtId="2" fontId="14" fillId="0" borderId="4" xfId="0" applyNumberFormat="1" applyFont="1" applyFill="1" applyBorder="1"/>
    <xf numFmtId="0" fontId="10" fillId="0" borderId="4" xfId="0" applyFont="1" applyFill="1" applyBorder="1" applyAlignment="1">
      <alignment vertical="center" wrapText="1"/>
    </xf>
    <xf numFmtId="0" fontId="11" fillId="0" borderId="4" xfId="0" applyFont="1" applyFill="1" applyBorder="1"/>
    <xf numFmtId="0" fontId="11" fillId="0" borderId="0" xfId="0" applyFont="1" applyFill="1" applyBorder="1"/>
    <xf numFmtId="0" fontId="12" fillId="0" borderId="4" xfId="0" applyFont="1" applyFill="1" applyBorder="1"/>
    <xf numFmtId="2" fontId="12" fillId="0" borderId="4" xfId="0" applyNumberFormat="1" applyFont="1" applyFill="1" applyBorder="1"/>
    <xf numFmtId="10" fontId="12" fillId="0" borderId="4" xfId="59" applyNumberFormat="1" applyFont="1" applyFill="1" applyBorder="1"/>
    <xf numFmtId="0" fontId="13" fillId="0" borderId="0" xfId="0" applyFont="1" applyAlignment="1">
      <alignment horizontal="left"/>
    </xf>
    <xf numFmtId="0" fontId="14" fillId="0" borderId="4" xfId="0" applyFont="1" applyBorder="1" applyAlignment="1">
      <alignment horizontal="center" vertical="center" wrapText="1"/>
    </xf>
    <xf numFmtId="0" fontId="14" fillId="8" borderId="4" xfId="0" applyFont="1" applyFill="1" applyBorder="1" applyAlignment="1">
      <alignment horizontal="center" vertical="center" wrapText="1"/>
    </xf>
    <xf numFmtId="0" fontId="0" fillId="0" borderId="0" xfId="0" applyFont="1"/>
    <xf numFmtId="0" fontId="14" fillId="8" borderId="4" xfId="18" applyFont="1" applyFill="1" applyBorder="1" applyAlignment="1">
      <alignment horizontal="center" vertical="center"/>
    </xf>
    <xf numFmtId="0" fontId="14" fillId="0" borderId="0" xfId="18" applyFont="1" applyFill="1" applyAlignment="1">
      <alignment horizontal="left"/>
    </xf>
    <xf numFmtId="0" fontId="12" fillId="0" borderId="0" xfId="0" applyFont="1"/>
    <xf numFmtId="0" fontId="14" fillId="4" borderId="0" xfId="18" applyFont="1" applyFill="1" applyAlignment="1">
      <alignment horizontal="left"/>
    </xf>
    <xf numFmtId="0" fontId="45" fillId="0" borderId="0" xfId="90" applyFont="1" applyAlignment="1">
      <alignment vertical="center"/>
    </xf>
    <xf numFmtId="0" fontId="14" fillId="0" borderId="0" xfId="106" applyFont="1" applyAlignment="1">
      <alignment horizontal="left" vertical="center"/>
    </xf>
    <xf numFmtId="0" fontId="10" fillId="0" borderId="0" xfId="106" applyFont="1">
      <alignment vertical="center"/>
    </xf>
    <xf numFmtId="0" fontId="45" fillId="0" borderId="0" xfId="106" applyFont="1">
      <alignment vertical="center"/>
    </xf>
    <xf numFmtId="0" fontId="11" fillId="15" borderId="4" xfId="106" applyFont="1" applyFill="1" applyBorder="1" applyAlignment="1">
      <alignment horizontal="center" vertical="center"/>
    </xf>
    <xf numFmtId="0" fontId="11" fillId="15" borderId="4" xfId="90" applyFont="1" applyFill="1" applyBorder="1" applyAlignment="1">
      <alignment horizontal="center" vertical="center" wrapText="1"/>
    </xf>
    <xf numFmtId="9" fontId="0" fillId="0" borderId="0" xfId="59" applyFont="1" applyAlignment="1">
      <alignment vertical="center"/>
    </xf>
    <xf numFmtId="0" fontId="0" fillId="0" borderId="0" xfId="0" applyFont="1"/>
    <xf numFmtId="0" fontId="14" fillId="0" borderId="0" xfId="18" applyFont="1" applyFill="1" applyAlignment="1">
      <alignment horizontal="left"/>
    </xf>
    <xf numFmtId="0" fontId="14" fillId="4" borderId="0" xfId="18" applyFont="1" applyFill="1" applyAlignment="1">
      <alignment horizontal="center"/>
    </xf>
    <xf numFmtId="0" fontId="12" fillId="0" borderId="0" xfId="0" applyFont="1"/>
    <xf numFmtId="0" fontId="13" fillId="4" borderId="0" xfId="0" applyFont="1" applyFill="1"/>
    <xf numFmtId="0" fontId="58" fillId="8" borderId="7" xfId="0" applyFont="1" applyFill="1" applyBorder="1" applyAlignment="1">
      <alignment horizontal="center" vertical="center" wrapText="1"/>
    </xf>
    <xf numFmtId="0" fontId="58" fillId="14" borderId="4" xfId="0" applyFont="1" applyFill="1" applyBorder="1" applyAlignment="1">
      <alignment horizontal="center" vertical="center"/>
    </xf>
    <xf numFmtId="0" fontId="58" fillId="14" borderId="4"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0" borderId="4" xfId="0" applyFont="1" applyBorder="1" applyAlignment="1">
      <alignment horizontal="center" vertical="center"/>
    </xf>
    <xf numFmtId="0" fontId="58" fillId="8" borderId="4" xfId="0" applyFont="1" applyFill="1" applyBorder="1" applyAlignment="1">
      <alignment horizontal="center" vertical="center" wrapText="1"/>
    </xf>
    <xf numFmtId="0" fontId="13" fillId="4" borderId="0" xfId="0" applyFont="1" applyFill="1" applyAlignment="1">
      <alignment vertical="top"/>
    </xf>
    <xf numFmtId="0" fontId="45" fillId="0" borderId="0" xfId="106" applyFont="1" applyFill="1">
      <alignment vertical="center"/>
    </xf>
    <xf numFmtId="0" fontId="45" fillId="0" borderId="0" xfId="90" applyFont="1" applyFill="1" applyAlignment="1">
      <alignment vertical="center"/>
    </xf>
    <xf numFmtId="0" fontId="0" fillId="0" borderId="0" xfId="0" applyFont="1" applyAlignment="1">
      <alignment vertical="center"/>
    </xf>
    <xf numFmtId="0" fontId="0" fillId="0" borderId="0" xfId="0" applyFont="1" applyBorder="1" applyAlignment="1">
      <alignment vertical="center"/>
    </xf>
    <xf numFmtId="0" fontId="10" fillId="0" borderId="4" xfId="0" applyFont="1" applyBorder="1" applyAlignment="1">
      <alignment horizontal="left"/>
    </xf>
    <xf numFmtId="2" fontId="10" fillId="0" borderId="4" xfId="0" applyNumberFormat="1" applyFont="1" applyFill="1" applyBorder="1" applyAlignment="1">
      <alignment wrapText="1"/>
    </xf>
    <xf numFmtId="2" fontId="10" fillId="0" borderId="0" xfId="90" applyNumberFormat="1" applyFont="1" applyFill="1" applyBorder="1" applyAlignment="1">
      <alignment vertical="center"/>
    </xf>
    <xf numFmtId="0" fontId="58" fillId="0" borderId="0" xfId="0" applyFont="1" applyFill="1" applyBorder="1" applyAlignment="1">
      <alignment horizontal="center" vertical="center"/>
    </xf>
    <xf numFmtId="2" fontId="11" fillId="0" borderId="0" xfId="0" applyNumberFormat="1" applyFont="1" applyFill="1" applyBorder="1" applyAlignment="1">
      <alignment horizontal="right" vertical="center"/>
    </xf>
    <xf numFmtId="9" fontId="11" fillId="0" borderId="0" xfId="0" applyNumberFormat="1" applyFont="1" applyFill="1" applyBorder="1" applyAlignment="1">
      <alignment horizontal="right" vertical="center"/>
    </xf>
    <xf numFmtId="2" fontId="12" fillId="0" borderId="0" xfId="0" applyNumberFormat="1" applyFont="1" applyFill="1" applyBorder="1" applyAlignment="1">
      <alignment horizontal="right" vertical="center"/>
    </xf>
    <xf numFmtId="10" fontId="12" fillId="0" borderId="0" xfId="59" applyNumberFormat="1" applyFont="1" applyFill="1" applyBorder="1" applyAlignment="1">
      <alignment horizontal="right" vertical="center"/>
    </xf>
    <xf numFmtId="0" fontId="57" fillId="0" borderId="4" xfId="0" applyFont="1" applyFill="1" applyBorder="1" applyAlignment="1">
      <alignment horizontal="center" vertical="center" wrapText="1"/>
    </xf>
    <xf numFmtId="0" fontId="57" fillId="0" borderId="4" xfId="0" applyFont="1" applyFill="1" applyBorder="1" applyAlignment="1">
      <alignment horizontal="justify" vertical="center"/>
    </xf>
    <xf numFmtId="0" fontId="26" fillId="4" borderId="0" xfId="0" applyFont="1" applyFill="1" applyAlignment="1"/>
    <xf numFmtId="0" fontId="13" fillId="6" borderId="0" xfId="0" applyFont="1" applyFill="1" applyAlignment="1"/>
    <xf numFmtId="0" fontId="13" fillId="4" borderId="0" xfId="18" applyFont="1" applyFill="1" applyAlignment="1"/>
    <xf numFmtId="0" fontId="14" fillId="4" borderId="0" xfId="18" applyFont="1" applyFill="1" applyAlignment="1"/>
    <xf numFmtId="0" fontId="13" fillId="4" borderId="0" xfId="74" applyFont="1" applyFill="1" applyAlignment="1"/>
    <xf numFmtId="0" fontId="0" fillId="0" borderId="4" xfId="0" applyBorder="1" applyAlignment="1">
      <alignment vertical="center"/>
    </xf>
    <xf numFmtId="0" fontId="14" fillId="0" borderId="0" xfId="0" applyFont="1" applyAlignment="1">
      <alignment horizontal="center" vertical="center"/>
    </xf>
    <xf numFmtId="0" fontId="0" fillId="0" borderId="0" xfId="0"/>
    <xf numFmtId="0" fontId="11" fillId="8" borderId="4" xfId="0" applyFont="1" applyFill="1" applyBorder="1" applyAlignment="1">
      <alignment horizontal="center" vertical="center" wrapText="1"/>
    </xf>
    <xf numFmtId="0" fontId="14" fillId="0" borderId="0" xfId="18" applyFont="1" applyFill="1" applyAlignment="1">
      <alignment horizontal="left"/>
    </xf>
    <xf numFmtId="0" fontId="13" fillId="0" borderId="0" xfId="18" applyFont="1" applyFill="1"/>
    <xf numFmtId="0" fontId="51" fillId="0" borderId="0" xfId="0" applyFont="1" applyFill="1" applyBorder="1" applyAlignment="1">
      <alignment vertical="center" wrapText="1"/>
    </xf>
    <xf numFmtId="0" fontId="51" fillId="9" borderId="4" xfId="0" applyFont="1" applyFill="1" applyBorder="1" applyAlignment="1">
      <alignment horizontal="center" vertical="center" wrapText="1"/>
    </xf>
    <xf numFmtId="0" fontId="30" fillId="0" borderId="0" xfId="0" applyFont="1" applyBorder="1" applyAlignment="1">
      <alignment vertical="center" wrapText="1"/>
    </xf>
    <xf numFmtId="0" fontId="0" fillId="0" borderId="0" xfId="0" applyBorder="1"/>
    <xf numFmtId="0" fontId="10" fillId="0" borderId="0" xfId="90" applyFont="1" applyBorder="1" applyAlignment="1">
      <alignment vertical="center" wrapText="1"/>
    </xf>
    <xf numFmtId="0" fontId="14" fillId="8" borderId="4" xfId="114" applyFont="1" applyFill="1" applyBorder="1" applyAlignment="1">
      <alignment horizontal="center" vertical="center" wrapText="1"/>
    </xf>
    <xf numFmtId="0" fontId="11" fillId="8" borderId="4" xfId="0" applyFont="1" applyFill="1" applyBorder="1" applyAlignment="1">
      <alignment vertical="center"/>
    </xf>
    <xf numFmtId="0" fontId="52" fillId="0" borderId="0" xfId="0" applyFont="1" applyBorder="1" applyAlignment="1">
      <alignment horizontal="justify" vertical="center"/>
    </xf>
    <xf numFmtId="0" fontId="62" fillId="0" borderId="4" xfId="0" applyFont="1" applyBorder="1" applyAlignment="1">
      <alignment horizontal="center" vertical="center" wrapText="1"/>
    </xf>
    <xf numFmtId="2" fontId="62" fillId="0" borderId="4" xfId="0" applyNumberFormat="1" applyFont="1" applyBorder="1" applyAlignment="1">
      <alignment horizontal="right" vertical="center"/>
    </xf>
    <xf numFmtId="0" fontId="62" fillId="0" borderId="4" xfId="0" applyFont="1" applyBorder="1" applyAlignment="1">
      <alignment horizontal="justify" vertical="center" wrapText="1"/>
    </xf>
    <xf numFmtId="0" fontId="63" fillId="8" borderId="4" xfId="0" applyFont="1" applyFill="1" applyBorder="1" applyAlignment="1">
      <alignment horizontal="center" vertical="center" wrapText="1"/>
    </xf>
    <xf numFmtId="0" fontId="62" fillId="0" borderId="4" xfId="0" applyFont="1" applyBorder="1" applyAlignment="1">
      <alignment horizontal="center" vertical="center"/>
    </xf>
    <xf numFmtId="0" fontId="62" fillId="0" borderId="4" xfId="0" applyFont="1" applyBorder="1" applyAlignment="1">
      <alignment horizontal="left" vertical="center" wrapText="1"/>
    </xf>
    <xf numFmtId="179" fontId="65" fillId="0" borderId="4" xfId="0" applyNumberFormat="1" applyFont="1" applyBorder="1" applyAlignment="1">
      <alignment horizontal="center" vertical="center"/>
    </xf>
    <xf numFmtId="0" fontId="64" fillId="8" borderId="4" xfId="0" applyFont="1" applyFill="1" applyBorder="1" applyAlignment="1">
      <alignment horizontal="center" vertical="center"/>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vertical="center"/>
    </xf>
    <xf numFmtId="0" fontId="14" fillId="8" borderId="4" xfId="0" applyFont="1" applyFill="1" applyBorder="1" applyAlignment="1">
      <alignment horizontal="center" vertical="center" wrapText="1"/>
    </xf>
    <xf numFmtId="0" fontId="10" fillId="0" borderId="0" xfId="0" applyFont="1" applyAlignment="1">
      <alignment horizontal="center"/>
    </xf>
    <xf numFmtId="0" fontId="14" fillId="0" borderId="0" xfId="0" applyFont="1" applyAlignment="1">
      <alignment horizontal="center"/>
    </xf>
    <xf numFmtId="0" fontId="0" fillId="0" borderId="0" xfId="0"/>
    <xf numFmtId="0" fontId="0" fillId="0" borderId="0" xfId="0" applyFont="1"/>
    <xf numFmtId="0" fontId="13" fillId="0" borderId="0" xfId="0" applyFont="1" applyAlignment="1">
      <alignment horizontal="left"/>
    </xf>
    <xf numFmtId="0" fontId="14" fillId="8" borderId="4" xfId="0" applyFont="1" applyFill="1" applyBorder="1" applyAlignment="1">
      <alignment horizontal="center" vertical="center" wrapText="1"/>
    </xf>
    <xf numFmtId="0" fontId="14" fillId="4" borderId="0" xfId="0" applyFont="1" applyFill="1" applyAlignment="1">
      <alignment horizontal="center"/>
    </xf>
    <xf numFmtId="0" fontId="14" fillId="0" borderId="0" xfId="0" applyFont="1" applyAlignment="1">
      <alignment horizontal="center"/>
    </xf>
    <xf numFmtId="0" fontId="14" fillId="8" borderId="4" xfId="18" applyFont="1" applyFill="1" applyBorder="1" applyAlignment="1">
      <alignment horizontal="center" vertical="center"/>
    </xf>
    <xf numFmtId="0" fontId="0" fillId="0" borderId="0" xfId="0"/>
    <xf numFmtId="0" fontId="10" fillId="0" borderId="0" xfId="0" applyFont="1"/>
    <xf numFmtId="0" fontId="14" fillId="0" borderId="0" xfId="18" applyFont="1" applyFill="1" applyAlignment="1">
      <alignment horizontal="left"/>
    </xf>
    <xf numFmtId="0" fontId="14" fillId="4" borderId="0" xfId="18" applyFont="1" applyFill="1" applyAlignment="1">
      <alignment horizontal="center"/>
    </xf>
    <xf numFmtId="0" fontId="0" fillId="0" borderId="0" xfId="0" applyAlignment="1">
      <alignment horizontal="center"/>
    </xf>
    <xf numFmtId="0" fontId="14" fillId="8" borderId="4" xfId="13" applyFont="1" applyFill="1" applyBorder="1" applyAlignment="1">
      <alignment horizontal="center" vertical="center" wrapText="1"/>
    </xf>
    <xf numFmtId="0" fontId="12" fillId="0" borderId="0" xfId="0" applyFont="1"/>
    <xf numFmtId="0" fontId="14" fillId="0" borderId="6" xfId="18" applyFont="1" applyBorder="1" applyAlignment="1">
      <alignment horizontal="center"/>
    </xf>
    <xf numFmtId="0" fontId="11" fillId="0" borderId="0" xfId="0" applyFont="1"/>
    <xf numFmtId="0" fontId="10" fillId="0" borderId="4" xfId="0" applyFont="1" applyBorder="1" applyAlignment="1">
      <alignment horizontal="left" vertical="center"/>
    </xf>
    <xf numFmtId="0" fontId="11" fillId="0" borderId="4" xfId="0" applyFont="1" applyBorder="1" applyAlignment="1">
      <alignment horizontal="center" vertical="center"/>
    </xf>
    <xf numFmtId="0" fontId="0" fillId="0" borderId="0" xfId="0" applyFont="1"/>
    <xf numFmtId="0" fontId="17" fillId="0" borderId="4" xfId="0" applyFont="1" applyBorder="1" applyAlignment="1">
      <alignment horizontal="left" wrapText="1"/>
    </xf>
    <xf numFmtId="0" fontId="0" fillId="5" borderId="4" xfId="109" applyFont="1" applyFill="1" applyBorder="1" applyAlignment="1">
      <alignment vertical="center"/>
    </xf>
    <xf numFmtId="0" fontId="12" fillId="5" borderId="4" xfId="109" applyFont="1" applyFill="1" applyBorder="1" applyAlignment="1">
      <alignment vertical="center" wrapText="1"/>
    </xf>
    <xf numFmtId="164" fontId="11" fillId="0" borderId="0" xfId="73" applyFont="1" applyAlignment="1"/>
    <xf numFmtId="0" fontId="14" fillId="0" borderId="4" xfId="18" applyFont="1" applyBorder="1" applyAlignment="1">
      <alignment horizontal="center" vertical="center"/>
    </xf>
    <xf numFmtId="0" fontId="10" fillId="0" borderId="0" xfId="0" applyFont="1" applyBorder="1" applyAlignment="1">
      <alignment horizontal="center"/>
    </xf>
    <xf numFmtId="0" fontId="13" fillId="4" borderId="0" xfId="18" applyFont="1" applyFill="1" applyAlignment="1">
      <alignment vertical="center"/>
    </xf>
    <xf numFmtId="0" fontId="10" fillId="0" borderId="4" xfId="18" applyFont="1" applyBorder="1" applyAlignment="1">
      <alignment vertical="center" wrapText="1"/>
    </xf>
    <xf numFmtId="0" fontId="14" fillId="0" borderId="0" xfId="0" applyFont="1" applyBorder="1" applyAlignment="1">
      <alignment horizontal="center"/>
    </xf>
    <xf numFmtId="0" fontId="14" fillId="0" borderId="0" xfId="0" applyFont="1" applyBorder="1" applyAlignment="1">
      <alignment horizontal="left" wrapText="1"/>
    </xf>
    <xf numFmtId="164" fontId="11" fillId="0" borderId="0" xfId="73" applyFont="1" applyBorder="1" applyAlignment="1"/>
    <xf numFmtId="0" fontId="10" fillId="0" borderId="4" xfId="90" applyFont="1" applyBorder="1" applyAlignment="1">
      <alignment vertical="top" wrapText="1"/>
    </xf>
    <xf numFmtId="0" fontId="10" fillId="0" borderId="4" xfId="106" applyFont="1" applyBorder="1" applyAlignment="1">
      <alignment horizontal="center" vertical="center"/>
    </xf>
    <xf numFmtId="0" fontId="10" fillId="0" borderId="4" xfId="106" applyFont="1" applyBorder="1" applyAlignment="1">
      <alignment vertical="center" wrapText="1"/>
    </xf>
    <xf numFmtId="0" fontId="10" fillId="0" borderId="0" xfId="0" applyFont="1" applyBorder="1" applyAlignment="1">
      <alignment horizontal="left" vertical="center"/>
    </xf>
    <xf numFmtId="0" fontId="12" fillId="0" borderId="0" xfId="0" applyFont="1" applyBorder="1" applyAlignment="1">
      <alignment horizontal="center" vertical="center"/>
    </xf>
    <xf numFmtId="0" fontId="10" fillId="0" borderId="0" xfId="0" applyFont="1" applyBorder="1" applyAlignment="1">
      <alignment horizontal="justify" vertical="center"/>
    </xf>
    <xf numFmtId="0" fontId="10" fillId="0" borderId="0" xfId="18" applyFont="1" applyBorder="1" applyAlignment="1">
      <alignment vertical="center" wrapText="1"/>
    </xf>
    <xf numFmtId="0" fontId="12" fillId="5" borderId="0" xfId="109" applyFont="1" applyFill="1" applyBorder="1" applyAlignment="1">
      <alignment vertical="center" wrapText="1"/>
    </xf>
    <xf numFmtId="0" fontId="50" fillId="0" borderId="0" xfId="0" applyFont="1" applyBorder="1" applyAlignment="1">
      <alignment horizontal="justify" vertical="center"/>
    </xf>
    <xf numFmtId="0" fontId="0" fillId="0" borderId="4" xfId="0" applyFont="1" applyBorder="1" applyAlignment="1">
      <alignment vertical="justify" wrapText="1"/>
    </xf>
    <xf numFmtId="0" fontId="11" fillId="8" borderId="4" xfId="0" applyFont="1" applyFill="1" applyBorder="1" applyAlignment="1">
      <alignment horizontal="center" vertical="center" wrapText="1"/>
    </xf>
    <xf numFmtId="0" fontId="11" fillId="8" borderId="4" xfId="0" applyFont="1" applyFill="1" applyBorder="1" applyAlignment="1">
      <alignment horizontal="center" vertical="center"/>
    </xf>
    <xf numFmtId="0" fontId="0" fillId="0" borderId="7" xfId="0" applyBorder="1" applyAlignment="1">
      <alignment horizontal="center" vertical="center"/>
    </xf>
    <xf numFmtId="0" fontId="14" fillId="8" borderId="4"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0" fillId="0" borderId="0" xfId="0"/>
    <xf numFmtId="0" fontId="11" fillId="0" borderId="0" xfId="0" applyFont="1"/>
    <xf numFmtId="0" fontId="14" fillId="8" borderId="4" xfId="0" applyFont="1" applyFill="1" applyBorder="1" applyAlignment="1">
      <alignment horizontal="center" vertical="center" wrapText="1"/>
    </xf>
    <xf numFmtId="0" fontId="14" fillId="8" borderId="4" xfId="18" applyFont="1" applyFill="1" applyBorder="1" applyAlignment="1">
      <alignment horizontal="center" vertical="center"/>
    </xf>
    <xf numFmtId="0" fontId="0" fillId="0" borderId="0" xfId="0"/>
    <xf numFmtId="0" fontId="12" fillId="0" borderId="0" xfId="0" applyFont="1"/>
    <xf numFmtId="0" fontId="14" fillId="12" borderId="0" xfId="90" applyFont="1" applyFill="1" applyBorder="1" applyAlignment="1">
      <alignment horizontal="center" vertical="center" wrapText="1"/>
    </xf>
    <xf numFmtId="0" fontId="14" fillId="11" borderId="4" xfId="90" applyFont="1" applyFill="1" applyBorder="1" applyAlignment="1">
      <alignment horizontal="center" vertical="center" wrapText="1"/>
    </xf>
    <xf numFmtId="0" fontId="14" fillId="11" borderId="4" xfId="90" applyFont="1" applyFill="1" applyBorder="1" applyAlignment="1">
      <alignment horizontal="center" vertical="center"/>
    </xf>
    <xf numFmtId="0" fontId="11" fillId="0" borderId="0" xfId="0" applyFont="1"/>
    <xf numFmtId="0" fontId="0" fillId="0" borderId="0" xfId="0" applyFont="1"/>
    <xf numFmtId="0" fontId="67" fillId="8" borderId="4" xfId="0" applyFont="1" applyFill="1" applyBorder="1" applyAlignment="1">
      <alignment horizontal="center" vertical="center" wrapText="1"/>
    </xf>
    <xf numFmtId="0" fontId="67" fillId="6" borderId="4" xfId="0" applyFont="1" applyFill="1" applyBorder="1" applyAlignment="1">
      <alignment horizontal="center" vertical="center" wrapText="1"/>
    </xf>
    <xf numFmtId="0" fontId="14" fillId="0" borderId="4" xfId="0" applyFont="1" applyBorder="1" applyAlignment="1">
      <alignment horizontal="right" vertical="center" wrapText="1"/>
    </xf>
    <xf numFmtId="0" fontId="14" fillId="0" borderId="4" xfId="18" applyFont="1" applyBorder="1" applyAlignment="1">
      <alignment horizontal="right" vertical="center"/>
    </xf>
    <xf numFmtId="0" fontId="67" fillId="8" borderId="4" xfId="18" applyFont="1" applyFill="1" applyBorder="1" applyAlignment="1">
      <alignment horizontal="center" vertical="center"/>
    </xf>
    <xf numFmtId="0" fontId="10" fillId="5" borderId="4" xfId="74" applyFont="1" applyFill="1" applyBorder="1" applyAlignment="1">
      <alignment horizontal="center" wrapText="1"/>
    </xf>
    <xf numFmtId="0" fontId="0" fillId="5" borderId="4" xfId="0" applyFont="1" applyFill="1" applyBorder="1"/>
    <xf numFmtId="0" fontId="10" fillId="0" borderId="4" xfId="0" applyFont="1" applyBorder="1" applyAlignment="1">
      <alignment horizontal="right"/>
    </xf>
    <xf numFmtId="10" fontId="10" fillId="0" borderId="4" xfId="59" applyNumberFormat="1" applyFont="1" applyBorder="1" applyAlignment="1">
      <alignment vertical="center"/>
    </xf>
    <xf numFmtId="0" fontId="11" fillId="0" borderId="4" xfId="0" applyNumberFormat="1" applyFont="1" applyBorder="1" applyAlignment="1">
      <alignment horizontal="justify" wrapText="1"/>
    </xf>
    <xf numFmtId="0" fontId="0" fillId="0" borderId="4" xfId="0" applyNumberFormat="1" applyBorder="1" applyAlignment="1">
      <alignment horizontal="justify" wrapText="1"/>
    </xf>
    <xf numFmtId="0" fontId="62" fillId="0" borderId="0" xfId="0" applyFont="1"/>
    <xf numFmtId="0" fontId="0" fillId="5" borderId="0" xfId="0" applyFont="1" applyFill="1"/>
    <xf numFmtId="0" fontId="68" fillId="0" borderId="4" xfId="0" applyFont="1" applyBorder="1" applyAlignment="1">
      <alignment horizontal="center" vertical="center"/>
    </xf>
    <xf numFmtId="0" fontId="68" fillId="0" borderId="7" xfId="0" applyFont="1" applyBorder="1" applyAlignment="1">
      <alignment vertical="center" wrapText="1"/>
    </xf>
    <xf numFmtId="0" fontId="62" fillId="0" borderId="0" xfId="0" applyFont="1" applyAlignment="1">
      <alignment vertical="center"/>
    </xf>
    <xf numFmtId="0" fontId="67" fillId="0" borderId="0" xfId="18" applyFont="1" applyFill="1" applyAlignment="1">
      <alignment horizontal="left"/>
    </xf>
    <xf numFmtId="0" fontId="70" fillId="4" borderId="0" xfId="18" applyFont="1" applyFill="1" applyAlignment="1"/>
    <xf numFmtId="0" fontId="67" fillId="0" borderId="0" xfId="0" applyFont="1" applyAlignment="1">
      <alignment horizontal="center"/>
    </xf>
    <xf numFmtId="0" fontId="67" fillId="8" borderId="4" xfId="18" applyFont="1" applyFill="1" applyBorder="1" applyAlignment="1">
      <alignment horizontal="center"/>
    </xf>
    <xf numFmtId="0" fontId="67" fillId="8" borderId="4" xfId="18" applyFont="1" applyFill="1" applyBorder="1" applyAlignment="1">
      <alignment horizontal="center" wrapText="1"/>
    </xf>
    <xf numFmtId="0" fontId="68" fillId="0" borderId="4" xfId="0" applyFont="1" applyBorder="1" applyAlignment="1">
      <alignment wrapText="1"/>
    </xf>
    <xf numFmtId="0" fontId="68" fillId="0" borderId="4" xfId="0" applyFont="1" applyBorder="1"/>
    <xf numFmtId="0" fontId="67" fillId="0" borderId="4" xfId="0" applyFont="1" applyBorder="1"/>
    <xf numFmtId="0" fontId="67" fillId="0" borderId="4" xfId="0" applyFont="1" applyBorder="1" applyAlignment="1">
      <alignment wrapText="1"/>
    </xf>
    <xf numFmtId="0" fontId="19" fillId="0" borderId="0" xfId="13" applyFont="1" applyAlignment="1">
      <alignment horizontal="left" vertical="center"/>
    </xf>
    <xf numFmtId="164" fontId="10" fillId="0" borderId="4" xfId="73" applyFont="1" applyBorder="1" applyAlignment="1">
      <alignment vertical="center"/>
    </xf>
    <xf numFmtId="0" fontId="10" fillId="0" borderId="12" xfId="0" applyFont="1" applyBorder="1" applyAlignment="1">
      <alignment horizontal="left" vertical="center" wrapText="1"/>
    </xf>
    <xf numFmtId="4" fontId="10" fillId="0" borderId="12" xfId="0" applyNumberFormat="1" applyFont="1" applyBorder="1" applyAlignment="1">
      <alignment horizontal="right" vertical="center" wrapText="1"/>
    </xf>
    <xf numFmtId="0" fontId="10" fillId="0" borderId="12" xfId="0" applyFont="1" applyBorder="1" applyAlignment="1">
      <alignment horizontal="right" vertical="center" wrapText="1"/>
    </xf>
    <xf numFmtId="2" fontId="10" fillId="0" borderId="12" xfId="0" applyNumberFormat="1" applyFont="1" applyBorder="1" applyAlignment="1">
      <alignment horizontal="right" vertical="center" wrapText="1"/>
    </xf>
    <xf numFmtId="0" fontId="13" fillId="0" borderId="4" xfId="0" applyFont="1" applyBorder="1"/>
    <xf numFmtId="0" fontId="0" fillId="0" borderId="7" xfId="0" applyFont="1" applyBorder="1" applyAlignment="1">
      <alignment vertical="center"/>
    </xf>
    <xf numFmtId="0" fontId="0" fillId="0" borderId="7" xfId="0" applyFont="1" applyBorder="1" applyAlignment="1">
      <alignment vertical="justify" wrapText="1"/>
    </xf>
    <xf numFmtId="164" fontId="10" fillId="0" borderId="4" xfId="73" applyFont="1" applyBorder="1" applyAlignment="1">
      <alignment vertical="justify"/>
    </xf>
    <xf numFmtId="164" fontId="10" fillId="0" borderId="4" xfId="73" applyFont="1" applyBorder="1" applyAlignment="1">
      <alignment vertical="justify" wrapText="1"/>
    </xf>
    <xf numFmtId="164" fontId="10" fillId="0" borderId="4" xfId="73" applyFont="1" applyBorder="1" applyAlignment="1">
      <alignment horizontal="left" vertical="justify" wrapText="1"/>
    </xf>
    <xf numFmtId="0" fontId="10" fillId="5" borderId="0" xfId="0" applyFont="1" applyFill="1"/>
    <xf numFmtId="0" fontId="14" fillId="5" borderId="4" xfId="0" applyFont="1" applyFill="1" applyBorder="1"/>
    <xf numFmtId="164" fontId="10" fillId="5" borderId="4" xfId="73" applyFont="1" applyFill="1" applyBorder="1" applyAlignment="1">
      <alignment vertical="center"/>
    </xf>
    <xf numFmtId="0" fontId="10" fillId="5" borderId="4" xfId="0" applyFont="1" applyFill="1" applyBorder="1"/>
    <xf numFmtId="164" fontId="10" fillId="5" borderId="4" xfId="73" applyFont="1" applyFill="1" applyBorder="1"/>
    <xf numFmtId="164" fontId="14" fillId="5" borderId="4" xfId="73" applyFont="1" applyFill="1" applyBorder="1"/>
    <xf numFmtId="0" fontId="67" fillId="0" borderId="0" xfId="75" applyFont="1"/>
    <xf numFmtId="0" fontId="67" fillId="0" borderId="0" xfId="90" applyFont="1" applyAlignment="1">
      <alignment horizontal="left" vertical="center"/>
    </xf>
    <xf numFmtId="164" fontId="10" fillId="5" borderId="4" xfId="73" applyFont="1" applyFill="1" applyBorder="1" applyAlignment="1">
      <alignment horizontal="center" vertical="center"/>
    </xf>
    <xf numFmtId="164" fontId="10" fillId="5" borderId="4" xfId="73" applyFont="1" applyFill="1" applyBorder="1" applyAlignment="1">
      <alignment horizontal="justify" wrapText="1"/>
    </xf>
    <xf numFmtId="0" fontId="10" fillId="5" borderId="4" xfId="57" applyFont="1" applyFill="1" applyBorder="1" applyAlignment="1">
      <alignment horizontal="justify" wrapText="1"/>
    </xf>
    <xf numFmtId="0" fontId="0" fillId="5" borderId="4" xfId="0" applyFill="1" applyBorder="1" applyAlignment="1">
      <alignment horizontal="justify" wrapText="1"/>
    </xf>
    <xf numFmtId="0" fontId="14" fillId="5" borderId="4" xfId="57" applyFont="1" applyFill="1" applyBorder="1" applyAlignment="1">
      <alignment wrapText="1"/>
    </xf>
    <xf numFmtId="0" fontId="0" fillId="5" borderId="4" xfId="0" applyFill="1" applyBorder="1" applyAlignment="1">
      <alignment horizontal="left" vertical="center" wrapText="1"/>
    </xf>
    <xf numFmtId="0" fontId="14" fillId="5" borderId="4" xfId="57" applyFont="1" applyFill="1" applyBorder="1" applyAlignment="1">
      <alignment vertical="center" wrapText="1"/>
    </xf>
    <xf numFmtId="0" fontId="0" fillId="0" borderId="0" xfId="0" applyAlignment="1"/>
    <xf numFmtId="0" fontId="10" fillId="5" borderId="4" xfId="0" applyFont="1" applyFill="1" applyBorder="1" applyAlignment="1">
      <alignment horizontal="center" vertical="top" wrapText="1"/>
    </xf>
    <xf numFmtId="0" fontId="10" fillId="5" borderId="4" xfId="0" applyFont="1" applyFill="1" applyBorder="1" applyAlignment="1">
      <alignment horizontal="center" vertical="top"/>
    </xf>
    <xf numFmtId="0" fontId="11" fillId="0" borderId="0" xfId="0" applyFont="1" applyAlignment="1"/>
    <xf numFmtId="0" fontId="13" fillId="0" borderId="0" xfId="0" applyFont="1" applyAlignment="1"/>
    <xf numFmtId="0" fontId="10" fillId="5" borderId="4" xfId="0" applyFont="1" applyFill="1" applyBorder="1" applyAlignment="1">
      <alignment horizontal="center"/>
    </xf>
    <xf numFmtId="164" fontId="10" fillId="5" borderId="4" xfId="73" applyFont="1" applyFill="1" applyBorder="1" applyAlignment="1">
      <alignment horizontal="left" vertical="center"/>
    </xf>
    <xf numFmtId="0" fontId="10" fillId="5" borderId="4" xfId="18" applyFont="1" applyFill="1" applyBorder="1" applyAlignment="1">
      <alignment horizontal="center"/>
    </xf>
    <xf numFmtId="0" fontId="17" fillId="5" borderId="4" xfId="0" applyFont="1" applyFill="1" applyBorder="1" applyAlignment="1">
      <alignment horizontal="left"/>
    </xf>
    <xf numFmtId="0" fontId="17" fillId="5" borderId="4" xfId="18" applyFont="1" applyFill="1" applyBorder="1" applyAlignment="1">
      <alignment horizontal="left" wrapText="1"/>
    </xf>
    <xf numFmtId="0" fontId="14" fillId="5" borderId="4" xfId="18" applyFont="1" applyFill="1" applyBorder="1" applyAlignment="1">
      <alignment wrapText="1"/>
    </xf>
    <xf numFmtId="0" fontId="14" fillId="5" borderId="4" xfId="18" applyFont="1" applyFill="1" applyBorder="1" applyAlignment="1">
      <alignment horizontal="center"/>
    </xf>
    <xf numFmtId="0" fontId="10" fillId="5" borderId="4" xfId="18" applyFont="1" applyFill="1" applyBorder="1" applyAlignment="1">
      <alignment wrapText="1"/>
    </xf>
    <xf numFmtId="164" fontId="0" fillId="5" borderId="4" xfId="73" applyFont="1" applyFill="1" applyBorder="1" applyAlignment="1">
      <alignment vertical="center"/>
    </xf>
    <xf numFmtId="0" fontId="14" fillId="5" borderId="6" xfId="18" applyFont="1" applyFill="1" applyBorder="1" applyAlignment="1">
      <alignment horizontal="center"/>
    </xf>
    <xf numFmtId="0" fontId="11" fillId="5" borderId="4" xfId="0" applyFont="1" applyFill="1" applyBorder="1"/>
    <xf numFmtId="164" fontId="0" fillId="5" borderId="4" xfId="73" applyFont="1" applyFill="1" applyBorder="1"/>
    <xf numFmtId="4" fontId="0" fillId="5" borderId="4" xfId="0" applyNumberFormat="1" applyFont="1" applyFill="1" applyBorder="1"/>
    <xf numFmtId="0" fontId="10" fillId="5" borderId="7" xfId="18" applyFont="1" applyFill="1" applyBorder="1" applyAlignment="1">
      <alignment wrapText="1"/>
    </xf>
    <xf numFmtId="164" fontId="14" fillId="5" borderId="4" xfId="73" applyFont="1" applyFill="1" applyBorder="1" applyAlignment="1">
      <alignment wrapText="1"/>
    </xf>
    <xf numFmtId="0" fontId="10" fillId="5" borderId="6" xfId="18" applyFont="1" applyFill="1" applyBorder="1" applyAlignment="1">
      <alignment horizontal="center"/>
    </xf>
    <xf numFmtId="164" fontId="10" fillId="5" borderId="4" xfId="73" applyFont="1" applyFill="1" applyBorder="1" applyAlignment="1">
      <alignment wrapText="1"/>
    </xf>
    <xf numFmtId="0" fontId="0" fillId="5" borderId="4" xfId="0" applyFont="1" applyFill="1" applyBorder="1" applyAlignment="1">
      <alignment horizontal="center" vertical="center"/>
    </xf>
    <xf numFmtId="0" fontId="0" fillId="5" borderId="4" xfId="0" applyFont="1" applyFill="1" applyBorder="1" applyAlignment="1">
      <alignment vertical="center"/>
    </xf>
    <xf numFmtId="164" fontId="14" fillId="5" borderId="4" xfId="73" applyFont="1" applyFill="1" applyBorder="1" applyAlignment="1">
      <alignment horizontal="center" vertical="center"/>
    </xf>
    <xf numFmtId="164" fontId="11" fillId="5" borderId="4" xfId="73" applyFont="1" applyFill="1" applyBorder="1" applyAlignment="1">
      <alignment vertical="center"/>
    </xf>
    <xf numFmtId="2" fontId="10" fillId="5" borderId="4" xfId="0" applyNumberFormat="1" applyFont="1" applyFill="1" applyBorder="1" applyAlignment="1">
      <alignment horizontal="right" wrapText="1"/>
    </xf>
    <xf numFmtId="2" fontId="0" fillId="5" borderId="4" xfId="0" applyNumberFormat="1" applyFont="1" applyFill="1" applyBorder="1" applyAlignment="1">
      <alignment horizontal="right" vertical="top"/>
    </xf>
    <xf numFmtId="2" fontId="0" fillId="5" borderId="4" xfId="0" applyNumberFormat="1" applyFont="1" applyFill="1" applyBorder="1" applyAlignment="1">
      <alignment vertical="top"/>
    </xf>
    <xf numFmtId="0" fontId="0" fillId="5" borderId="4" xfId="0" applyFont="1" applyFill="1" applyBorder="1" applyAlignment="1">
      <alignment vertical="top"/>
    </xf>
    <xf numFmtId="164" fontId="0" fillId="5" borderId="4" xfId="73" applyFont="1" applyFill="1" applyBorder="1" applyAlignment="1">
      <alignment horizontal="right" vertical="center"/>
    </xf>
    <xf numFmtId="0" fontId="0" fillId="5" borderId="0" xfId="0" applyFont="1" applyFill="1" applyAlignment="1">
      <alignment horizontal="justify" vertical="top" wrapText="1"/>
    </xf>
    <xf numFmtId="0" fontId="0" fillId="5" borderId="0" xfId="0" applyFont="1" applyFill="1" applyAlignment="1">
      <alignment vertical="top"/>
    </xf>
    <xf numFmtId="164" fontId="0" fillId="5" borderId="4" xfId="73" applyFont="1" applyFill="1" applyBorder="1" applyAlignment="1">
      <alignment vertical="top"/>
    </xf>
    <xf numFmtId="0" fontId="14" fillId="8" borderId="4" xfId="0" applyFont="1" applyFill="1" applyBorder="1" applyAlignment="1">
      <alignment horizontal="center" vertical="center"/>
    </xf>
    <xf numFmtId="0" fontId="14" fillId="8" borderId="4" xfId="0" applyFont="1" applyFill="1" applyBorder="1" applyAlignment="1">
      <alignment horizontal="center" vertical="center" wrapText="1"/>
    </xf>
    <xf numFmtId="0" fontId="11" fillId="0" borderId="0" xfId="0" applyFont="1"/>
    <xf numFmtId="0" fontId="14" fillId="0" borderId="0" xfId="0" applyFont="1" applyAlignment="1">
      <alignment vertical="center"/>
    </xf>
    <xf numFmtId="0" fontId="10" fillId="0" borderId="5" xfId="0" applyFont="1" applyBorder="1" applyAlignment="1">
      <alignment horizontal="center" vertical="center"/>
    </xf>
    <xf numFmtId="0" fontId="10" fillId="0" borderId="0" xfId="0" applyFont="1" applyAlignment="1">
      <alignment horizontal="justify" vertical="center"/>
    </xf>
    <xf numFmtId="0" fontId="13" fillId="4" borderId="0" xfId="0" applyFont="1" applyFill="1" applyAlignment="1">
      <alignment vertical="center"/>
    </xf>
    <xf numFmtId="0" fontId="13" fillId="4" borderId="0" xfId="0" applyFont="1" applyFill="1" applyAlignment="1">
      <alignment horizontal="left" vertical="center"/>
    </xf>
    <xf numFmtId="0" fontId="14" fillId="4" borderId="0" xfId="0" applyFont="1" applyFill="1" applyAlignment="1">
      <alignment horizontal="right" vertical="center"/>
    </xf>
    <xf numFmtId="0" fontId="14" fillId="0" borderId="0" xfId="0" applyFont="1" applyAlignment="1">
      <alignment horizontal="justify" vertical="center"/>
    </xf>
    <xf numFmtId="0" fontId="10" fillId="0" borderId="10" xfId="0" applyFont="1" applyBorder="1" applyAlignment="1">
      <alignment vertical="center"/>
    </xf>
    <xf numFmtId="0" fontId="14" fillId="0" borderId="7" xfId="0" applyFont="1" applyBorder="1" applyAlignment="1">
      <alignment horizontal="justify" vertical="center"/>
    </xf>
    <xf numFmtId="0" fontId="10" fillId="0" borderId="4" xfId="18" applyFont="1" applyBorder="1" applyAlignment="1">
      <alignment horizontal="justify" vertical="center" wrapText="1"/>
    </xf>
    <xf numFmtId="0" fontId="19" fillId="0" borderId="4" xfId="0" applyFont="1" applyBorder="1" applyAlignment="1">
      <alignment horizontal="justify" vertical="center" wrapText="1"/>
    </xf>
    <xf numFmtId="0" fontId="10" fillId="0" borderId="4" xfId="18" applyFont="1" applyBorder="1" applyAlignment="1">
      <alignment vertical="center"/>
    </xf>
    <xf numFmtId="0" fontId="14" fillId="0" borderId="25" xfId="0" applyFont="1" applyBorder="1" applyAlignment="1">
      <alignment vertical="center" wrapText="1"/>
    </xf>
    <xf numFmtId="0" fontId="10" fillId="0" borderId="0" xfId="0" applyFont="1" applyAlignment="1">
      <alignment horizontal="justify" vertical="center" wrapText="1"/>
    </xf>
    <xf numFmtId="4" fontId="71" fillId="0" borderId="4" xfId="0" applyNumberFormat="1" applyFont="1" applyBorder="1" applyAlignment="1">
      <alignment horizontal="justify" vertical="center" wrapText="1"/>
    </xf>
    <xf numFmtId="4" fontId="14" fillId="0" borderId="0" xfId="0" applyNumberFormat="1" applyFont="1" applyAlignment="1">
      <alignment vertical="center"/>
    </xf>
    <xf numFmtId="0" fontId="14" fillId="5" borderId="4" xfId="0" applyFont="1" applyFill="1" applyBorder="1" applyAlignment="1">
      <alignment vertical="justify" wrapText="1"/>
    </xf>
    <xf numFmtId="0" fontId="0" fillId="5" borderId="0" xfId="0" applyFill="1"/>
    <xf numFmtId="0" fontId="0" fillId="0" borderId="0" xfId="0"/>
    <xf numFmtId="0" fontId="67" fillId="8" borderId="4" xfId="18" applyFont="1" applyFill="1" applyBorder="1" applyAlignment="1">
      <alignment horizontal="center" vertical="center"/>
    </xf>
    <xf numFmtId="164" fontId="14" fillId="0" borderId="4" xfId="0" applyNumberFormat="1" applyFont="1" applyBorder="1" applyAlignment="1">
      <alignment horizontal="left"/>
    </xf>
    <xf numFmtId="0" fontId="73" fillId="0" borderId="4" xfId="0" applyFont="1" applyBorder="1" applyAlignment="1">
      <alignment vertical="center"/>
    </xf>
    <xf numFmtId="0" fontId="73" fillId="0" borderId="4" xfId="13" applyFont="1" applyBorder="1" applyAlignment="1">
      <alignment vertical="center" wrapText="1"/>
    </xf>
    <xf numFmtId="164" fontId="67" fillId="5" borderId="4" xfId="73" applyFont="1" applyFill="1" applyBorder="1" applyAlignment="1">
      <alignment horizontal="right" wrapText="1"/>
    </xf>
    <xf numFmtId="0" fontId="0" fillId="5" borderId="4" xfId="0" applyFill="1" applyBorder="1"/>
    <xf numFmtId="4" fontId="62" fillId="5" borderId="4" xfId="0" applyNumberFormat="1" applyFont="1" applyFill="1" applyBorder="1"/>
    <xf numFmtId="164" fontId="68" fillId="5" borderId="4" xfId="73" applyFont="1" applyFill="1" applyBorder="1" applyAlignment="1">
      <alignment horizontal="right" vertical="center"/>
    </xf>
    <xf numFmtId="164" fontId="14" fillId="5" borderId="4" xfId="73" applyFont="1" applyFill="1" applyBorder="1" applyAlignment="1">
      <alignment horizontal="center"/>
    </xf>
    <xf numFmtId="0" fontId="0" fillId="0" borderId="0" xfId="0"/>
    <xf numFmtId="0" fontId="14" fillId="0" borderId="4" xfId="0" applyFont="1" applyBorder="1" applyAlignment="1">
      <alignment horizontal="center" vertical="center" wrapText="1"/>
    </xf>
    <xf numFmtId="0" fontId="11" fillId="8" borderId="4" xfId="0" applyFont="1" applyFill="1" applyBorder="1" applyAlignment="1">
      <alignment horizontal="center" vertical="center" wrapText="1"/>
    </xf>
    <xf numFmtId="0" fontId="13" fillId="0" borderId="0" xfId="0" applyFont="1" applyAlignment="1">
      <alignment horizontal="left" vertical="center"/>
    </xf>
    <xf numFmtId="0" fontId="24" fillId="0" borderId="0" xfId="0" applyFont="1" applyAlignment="1">
      <alignment vertical="center"/>
    </xf>
    <xf numFmtId="0" fontId="14" fillId="0" borderId="0" xfId="0" applyFont="1" applyAlignment="1">
      <alignment vertical="center"/>
    </xf>
    <xf numFmtId="0" fontId="58" fillId="8" borderId="7" xfId="0" applyFont="1" applyFill="1" applyBorder="1" applyAlignment="1">
      <alignment horizontal="center" vertical="center" wrapText="1"/>
    </xf>
    <xf numFmtId="0" fontId="58" fillId="14" borderId="4" xfId="0" applyFont="1" applyFill="1" applyBorder="1" applyAlignment="1">
      <alignment horizontal="center" vertical="center"/>
    </xf>
    <xf numFmtId="0" fontId="58" fillId="14" borderId="4" xfId="0" applyFont="1" applyFill="1" applyBorder="1" applyAlignment="1">
      <alignment horizontal="center" vertical="center" wrapText="1"/>
    </xf>
    <xf numFmtId="0" fontId="58" fillId="8" borderId="4" xfId="0" applyFont="1" applyFill="1" applyBorder="1" applyAlignment="1">
      <alignment horizontal="center" vertical="center" wrapText="1"/>
    </xf>
    <xf numFmtId="3"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0" fontId="10" fillId="0" borderId="4" xfId="18" applyFont="1" applyBorder="1" applyAlignment="1">
      <alignment horizontal="center" vertical="center"/>
    </xf>
    <xf numFmtId="0" fontId="17" fillId="0" borderId="4" xfId="0" applyFont="1" applyBorder="1" applyAlignment="1">
      <alignment horizontal="left" vertical="center" wrapText="1"/>
    </xf>
    <xf numFmtId="0" fontId="12" fillId="0" borderId="0" xfId="0" applyFont="1" applyAlignment="1">
      <alignment vertical="center"/>
    </xf>
    <xf numFmtId="0" fontId="17" fillId="0" borderId="4" xfId="0" applyFont="1" applyBorder="1" applyAlignment="1">
      <alignment horizontal="left" vertical="center"/>
    </xf>
    <xf numFmtId="0" fontId="17" fillId="0" borderId="4" xfId="18" applyFont="1" applyBorder="1" applyAlignment="1">
      <alignment horizontal="left" vertical="center" wrapText="1"/>
    </xf>
    <xf numFmtId="0" fontId="14" fillId="0" borderId="4" xfId="18" applyFont="1" applyBorder="1" applyAlignment="1">
      <alignment vertical="center" wrapText="1"/>
    </xf>
    <xf numFmtId="0" fontId="14" fillId="0" borderId="6" xfId="18" applyFont="1" applyBorder="1" applyAlignment="1">
      <alignment horizontal="center" vertical="center"/>
    </xf>
    <xf numFmtId="0" fontId="11" fillId="0" borderId="4" xfId="0" applyFont="1" applyBorder="1" applyAlignment="1">
      <alignment vertical="center"/>
    </xf>
    <xf numFmtId="9" fontId="12" fillId="0" borderId="0" xfId="59" applyFont="1" applyAlignment="1">
      <alignment vertical="center"/>
    </xf>
    <xf numFmtId="0" fontId="14" fillId="0" borderId="7" xfId="18" applyFont="1" applyBorder="1" applyAlignment="1">
      <alignment vertical="center" wrapText="1"/>
    </xf>
    <xf numFmtId="10" fontId="12" fillId="0" borderId="0" xfId="59" applyNumberFormat="1" applyFont="1" applyAlignment="1">
      <alignment vertical="center"/>
    </xf>
    <xf numFmtId="0" fontId="12" fillId="0" borderId="0" xfId="0" applyFont="1" applyBorder="1" applyAlignment="1">
      <alignment vertical="center"/>
    </xf>
    <xf numFmtId="0" fontId="10" fillId="0" borderId="7" xfId="18" applyFont="1" applyBorder="1" applyAlignment="1">
      <alignment vertical="center" wrapText="1"/>
    </xf>
    <xf numFmtId="164" fontId="14" fillId="0" borderId="4" xfId="73" applyFont="1" applyBorder="1" applyAlignment="1">
      <alignment vertical="center" wrapText="1"/>
    </xf>
    <xf numFmtId="0" fontId="10" fillId="0" borderId="6" xfId="18" applyFont="1" applyBorder="1" applyAlignment="1">
      <alignment horizontal="center" vertical="center"/>
    </xf>
    <xf numFmtId="164" fontId="10" fillId="0" borderId="4" xfId="73" applyFont="1" applyBorder="1" applyAlignment="1">
      <alignment vertical="center" wrapText="1"/>
    </xf>
    <xf numFmtId="164" fontId="14" fillId="0" borderId="4" xfId="73" applyFont="1" applyBorder="1" applyAlignment="1">
      <alignment vertical="center"/>
    </xf>
    <xf numFmtId="0" fontId="0" fillId="0" borderId="4" xfId="0" applyFont="1" applyBorder="1" applyAlignment="1">
      <alignment horizontal="left" vertical="center"/>
    </xf>
    <xf numFmtId="0" fontId="12" fillId="0" borderId="4" xfId="0" applyFont="1" applyBorder="1" applyAlignment="1">
      <alignment horizontal="left" vertical="center"/>
    </xf>
    <xf numFmtId="0" fontId="11" fillId="0" borderId="0" xfId="0" applyFont="1" applyAlignment="1">
      <alignment horizontal="left" vertical="center"/>
    </xf>
    <xf numFmtId="0" fontId="12" fillId="0" borderId="0" xfId="0" applyFont="1" applyBorder="1" applyAlignment="1">
      <alignment horizontal="left" vertical="center"/>
    </xf>
    <xf numFmtId="2" fontId="12" fillId="0" borderId="4" xfId="0" applyNumberFormat="1" applyFont="1" applyBorder="1" applyAlignment="1">
      <alignment vertical="center"/>
    </xf>
    <xf numFmtId="0" fontId="14" fillId="0" borderId="0" xfId="18" applyFont="1" applyFill="1" applyAlignment="1">
      <alignment horizontal="left" vertical="center"/>
    </xf>
    <xf numFmtId="0" fontId="13" fillId="4" borderId="0" xfId="18" applyFont="1" applyFill="1" applyAlignment="1">
      <alignment horizontal="left" vertical="center"/>
    </xf>
    <xf numFmtId="2" fontId="0" fillId="0" borderId="4" xfId="0" applyNumberFormat="1" applyFont="1" applyBorder="1" applyAlignment="1">
      <alignment vertical="center"/>
    </xf>
    <xf numFmtId="0" fontId="51" fillId="9" borderId="4" xfId="0" applyFont="1" applyFill="1" applyBorder="1" applyAlignment="1">
      <alignment horizontal="center" vertical="center"/>
    </xf>
    <xf numFmtId="0" fontId="51" fillId="9" borderId="4" xfId="0" applyFont="1" applyFill="1" applyBorder="1" applyAlignment="1">
      <alignment horizontal="center" vertical="center" wrapText="1"/>
    </xf>
    <xf numFmtId="0" fontId="0" fillId="0" borderId="0" xfId="0" applyAlignment="1">
      <alignment vertical="center"/>
    </xf>
    <xf numFmtId="4" fontId="51" fillId="9" borderId="4" xfId="0" applyNumberFormat="1" applyFont="1" applyFill="1" applyBorder="1" applyAlignment="1">
      <alignment horizontal="center" vertical="center"/>
    </xf>
    <xf numFmtId="0" fontId="53" fillId="0" borderId="4" xfId="0" applyFont="1" applyBorder="1" applyAlignment="1">
      <alignment horizontal="left" vertical="center" wrapText="1"/>
    </xf>
    <xf numFmtId="0" fontId="51" fillId="0" borderId="4" xfId="0" applyFont="1" applyBorder="1" applyAlignment="1">
      <alignment horizontal="left" vertical="center" wrapText="1"/>
    </xf>
    <xf numFmtId="4" fontId="0" fillId="0" borderId="0" xfId="0" applyNumberFormat="1" applyAlignment="1">
      <alignment vertical="center"/>
    </xf>
    <xf numFmtId="0" fontId="10" fillId="5" borderId="4" xfId="18" applyFont="1" applyFill="1" applyBorder="1" applyAlignment="1">
      <alignment horizontal="right" vertical="center"/>
    </xf>
    <xf numFmtId="0" fontId="0" fillId="5" borderId="4" xfId="0" applyFont="1" applyFill="1" applyBorder="1" applyAlignment="1">
      <alignment horizontal="right" vertical="center"/>
    </xf>
    <xf numFmtId="10" fontId="11" fillId="5" borderId="4" xfId="59" applyNumberFormat="1" applyFont="1" applyFill="1" applyBorder="1"/>
    <xf numFmtId="0" fontId="10" fillId="5" borderId="4" xfId="18" applyFont="1" applyFill="1" applyBorder="1"/>
    <xf numFmtId="164" fontId="10" fillId="5" borderId="7" xfId="73" applyFont="1" applyFill="1" applyBorder="1"/>
    <xf numFmtId="164" fontId="0" fillId="5" borderId="7" xfId="73" applyFont="1" applyFill="1" applyBorder="1"/>
    <xf numFmtId="164" fontId="0" fillId="5" borderId="15" xfId="73" applyFont="1" applyFill="1" applyBorder="1"/>
    <xf numFmtId="4" fontId="0" fillId="5" borderId="7" xfId="0" applyNumberFormat="1" applyFont="1" applyFill="1" applyBorder="1"/>
    <xf numFmtId="0" fontId="12" fillId="5" borderId="4" xfId="18" applyFont="1" applyFill="1" applyBorder="1" applyAlignment="1">
      <alignment wrapText="1"/>
    </xf>
    <xf numFmtId="164" fontId="0" fillId="5" borderId="4" xfId="73" applyFont="1" applyFill="1" applyBorder="1" applyAlignment="1">
      <alignment horizontal="left"/>
    </xf>
    <xf numFmtId="164" fontId="11" fillId="5" borderId="4" xfId="73" applyFont="1" applyFill="1" applyBorder="1"/>
    <xf numFmtId="164" fontId="12" fillId="5" borderId="4" xfId="73" applyFont="1" applyFill="1" applyBorder="1" applyAlignment="1">
      <alignment horizontal="center"/>
    </xf>
    <xf numFmtId="164" fontId="14" fillId="5" borderId="7" xfId="73" applyFont="1" applyFill="1" applyBorder="1" applyAlignment="1">
      <alignment horizontal="justify" vertical="center"/>
    </xf>
    <xf numFmtId="164" fontId="14" fillId="5" borderId="4" xfId="73" applyFont="1" applyFill="1" applyBorder="1" applyAlignment="1">
      <alignment horizontal="left" vertical="center"/>
    </xf>
    <xf numFmtId="164" fontId="0" fillId="5" borderId="4" xfId="73" applyFont="1" applyFill="1" applyBorder="1" applyAlignment="1">
      <alignment horizontal="center" vertical="center" wrapText="1"/>
    </xf>
    <xf numFmtId="164" fontId="14" fillId="5" borderId="4" xfId="73" applyFont="1" applyFill="1" applyBorder="1" applyAlignment="1">
      <alignment vertical="center"/>
    </xf>
    <xf numFmtId="164" fontId="19" fillId="5" borderId="4" xfId="73" applyFont="1" applyFill="1" applyBorder="1" applyAlignment="1">
      <alignment horizontal="left" vertical="center"/>
    </xf>
    <xf numFmtId="164" fontId="14" fillId="5" borderId="4" xfId="73" applyFont="1" applyFill="1" applyBorder="1" applyAlignment="1">
      <alignment horizontal="justify" vertical="center" wrapText="1"/>
    </xf>
    <xf numFmtId="164" fontId="12" fillId="5" borderId="4" xfId="73" applyFont="1" applyFill="1" applyBorder="1" applyAlignment="1">
      <alignment vertical="center"/>
    </xf>
    <xf numFmtId="0" fontId="11" fillId="8" borderId="4" xfId="108" applyFont="1" applyFill="1" applyBorder="1" applyAlignment="1">
      <alignment horizontal="center" vertical="center"/>
    </xf>
    <xf numFmtId="0" fontId="11" fillId="8" borderId="4" xfId="108" applyFont="1" applyFill="1" applyBorder="1" applyAlignment="1">
      <alignment horizontal="center" vertical="center" wrapText="1"/>
    </xf>
    <xf numFmtId="0" fontId="10" fillId="5" borderId="4" xfId="108" applyFont="1" applyFill="1" applyBorder="1">
      <alignment vertical="center"/>
    </xf>
    <xf numFmtId="164" fontId="10" fillId="5" borderId="4" xfId="108" applyNumberFormat="1" applyFont="1" applyFill="1" applyBorder="1">
      <alignment vertical="center"/>
    </xf>
    <xf numFmtId="0" fontId="62" fillId="0" borderId="4" xfId="74" applyFont="1" applyFill="1" applyBorder="1" applyAlignment="1">
      <alignment horizontal="left" wrapText="1"/>
    </xf>
    <xf numFmtId="0" fontId="63" fillId="5" borderId="4" xfId="74" applyFont="1" applyFill="1" applyBorder="1" applyAlignment="1">
      <alignment horizontal="left" wrapText="1"/>
    </xf>
    <xf numFmtId="9" fontId="12" fillId="5" borderId="4" xfId="59" applyFont="1" applyFill="1" applyBorder="1" applyAlignment="1">
      <alignment horizontal="center" vertical="center" wrapText="1"/>
    </xf>
    <xf numFmtId="0" fontId="12" fillId="5" borderId="4" xfId="0" applyFont="1" applyFill="1" applyBorder="1" applyAlignment="1">
      <alignment vertical="center"/>
    </xf>
    <xf numFmtId="0" fontId="12" fillId="5" borderId="4" xfId="0" applyFont="1" applyFill="1" applyBorder="1" applyAlignment="1">
      <alignment horizontal="center" vertical="center"/>
    </xf>
    <xf numFmtId="0" fontId="11" fillId="5" borderId="4" xfId="18" applyFont="1" applyFill="1" applyBorder="1" applyAlignment="1">
      <alignment horizontal="center" vertical="center"/>
    </xf>
    <xf numFmtId="0" fontId="12" fillId="5" borderId="4" xfId="18" applyFont="1" applyFill="1" applyBorder="1" applyAlignment="1">
      <alignment vertical="center" wrapText="1"/>
    </xf>
    <xf numFmtId="0" fontId="12" fillId="5" borderId="4" xfId="18" applyFont="1" applyFill="1" applyBorder="1" applyAlignment="1">
      <alignment horizontal="center" vertical="center" wrapText="1"/>
    </xf>
    <xf numFmtId="0" fontId="12" fillId="5" borderId="15" xfId="0" applyFont="1" applyFill="1" applyBorder="1" applyAlignment="1">
      <alignment vertical="center"/>
    </xf>
    <xf numFmtId="0" fontId="12" fillId="5" borderId="12" xfId="0" applyFont="1" applyFill="1" applyBorder="1" applyAlignment="1">
      <alignment vertical="center"/>
    </xf>
    <xf numFmtId="0" fontId="11" fillId="5" borderId="6" xfId="18" applyFont="1" applyFill="1" applyBorder="1" applyAlignment="1">
      <alignment horizontal="center" vertical="center"/>
    </xf>
    <xf numFmtId="0" fontId="12" fillId="5" borderId="7" xfId="18" applyFont="1" applyFill="1" applyBorder="1" applyAlignment="1">
      <alignment vertical="center" wrapText="1"/>
    </xf>
    <xf numFmtId="0" fontId="11" fillId="5" borderId="4" xfId="18" applyFont="1" applyFill="1" applyBorder="1" applyAlignment="1">
      <alignment vertical="center" wrapText="1"/>
    </xf>
    <xf numFmtId="164" fontId="11" fillId="5" borderId="4" xfId="73" applyFont="1" applyFill="1" applyBorder="1" applyAlignment="1">
      <alignment vertical="center" wrapText="1"/>
    </xf>
    <xf numFmtId="0" fontId="12" fillId="5" borderId="6" xfId="18" applyFont="1" applyFill="1" applyBorder="1" applyAlignment="1">
      <alignment horizontal="center" vertical="center"/>
    </xf>
    <xf numFmtId="164" fontId="12" fillId="5" borderId="4" xfId="73" applyFont="1" applyFill="1" applyBorder="1" applyAlignment="1">
      <alignment vertical="center" wrapText="1"/>
    </xf>
    <xf numFmtId="0" fontId="12" fillId="5" borderId="4" xfId="0" applyFont="1" applyFill="1" applyBorder="1" applyAlignment="1">
      <alignment vertical="center" wrapText="1"/>
    </xf>
    <xf numFmtId="2" fontId="12" fillId="5" borderId="4" xfId="0" applyNumberFormat="1" applyFont="1" applyFill="1" applyBorder="1" applyAlignment="1">
      <alignment horizontal="right" vertical="center" wrapText="1"/>
    </xf>
    <xf numFmtId="10" fontId="12" fillId="5" borderId="4" xfId="59" applyNumberFormat="1" applyFont="1" applyFill="1" applyBorder="1" applyAlignment="1">
      <alignment horizontal="right" vertical="center" wrapText="1"/>
    </xf>
    <xf numFmtId="10" fontId="12" fillId="5" borderId="4" xfId="59" applyNumberFormat="1" applyFont="1" applyFill="1" applyBorder="1" applyAlignment="1">
      <alignment horizontal="right" vertical="center"/>
    </xf>
    <xf numFmtId="0" fontId="10" fillId="5" borderId="4" xfId="0" applyFont="1" applyFill="1" applyBorder="1" applyAlignment="1">
      <alignment horizontal="right" vertical="center" wrapText="1"/>
    </xf>
    <xf numFmtId="2" fontId="66" fillId="5" borderId="4" xfId="0" applyNumberFormat="1" applyFont="1" applyFill="1" applyBorder="1" applyAlignment="1">
      <alignment horizontal="right" vertical="center"/>
    </xf>
    <xf numFmtId="0" fontId="11" fillId="0" borderId="4" xfId="0" applyFont="1" applyFill="1" applyBorder="1" applyAlignment="1">
      <alignment horizontal="left" wrapText="1"/>
    </xf>
    <xf numFmtId="0" fontId="53" fillId="5" borderId="4" xfId="0" applyFont="1" applyFill="1" applyBorder="1" applyAlignment="1">
      <alignment horizontal="left" vertical="center" wrapText="1"/>
    </xf>
    <xf numFmtId="4" fontId="52" fillId="5" borderId="4" xfId="0" applyNumberFormat="1" applyFont="1" applyFill="1" applyBorder="1" applyAlignment="1">
      <alignment horizontal="right" vertical="center"/>
    </xf>
    <xf numFmtId="164" fontId="50" fillId="5" borderId="4" xfId="73" applyFont="1" applyFill="1" applyBorder="1" applyAlignment="1">
      <alignment horizontal="right" vertical="center"/>
    </xf>
    <xf numFmtId="4" fontId="50" fillId="5" borderId="4" xfId="0" applyNumberFormat="1" applyFont="1" applyFill="1" applyBorder="1" applyAlignment="1">
      <alignment horizontal="right" vertical="center"/>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67" fillId="4" borderId="0" xfId="18" applyFont="1" applyFill="1" applyAlignment="1">
      <alignment horizontal="center"/>
    </xf>
    <xf numFmtId="0" fontId="68" fillId="0" borderId="11" xfId="90" applyFont="1" applyBorder="1" applyAlignment="1">
      <alignment horizontal="center"/>
    </xf>
    <xf numFmtId="0" fontId="67" fillId="8" borderId="4" xfId="18" applyFont="1" applyFill="1" applyBorder="1" applyAlignment="1">
      <alignment horizontal="center"/>
    </xf>
    <xf numFmtId="0" fontId="10" fillId="5" borderId="0" xfId="18" applyFont="1" applyFill="1" applyAlignment="1"/>
    <xf numFmtId="0" fontId="67" fillId="8" borderId="6" xfId="0" applyFont="1" applyFill="1" applyBorder="1" applyAlignment="1">
      <alignment vertical="center" wrapText="1"/>
    </xf>
    <xf numFmtId="0" fontId="67" fillId="0" borderId="0" xfId="18" applyFont="1" applyFill="1" applyAlignment="1"/>
    <xf numFmtId="0" fontId="63" fillId="0" borderId="0" xfId="0" applyFont="1" applyAlignment="1"/>
    <xf numFmtId="4" fontId="10" fillId="5" borderId="4" xfId="108" applyNumberFormat="1" applyFont="1" applyFill="1" applyBorder="1">
      <alignment vertical="center"/>
    </xf>
    <xf numFmtId="43" fontId="10" fillId="5" borderId="4" xfId="108" applyNumberFormat="1" applyFont="1" applyFill="1" applyBorder="1">
      <alignment vertical="center"/>
    </xf>
    <xf numFmtId="0" fontId="58" fillId="13" borderId="4" xfId="0" applyFont="1" applyFill="1" applyBorder="1" applyAlignment="1">
      <alignment horizontal="center" vertical="center" wrapText="1"/>
    </xf>
    <xf numFmtId="10" fontId="0" fillId="5" borderId="4" xfId="59" applyNumberFormat="1" applyFont="1" applyFill="1" applyBorder="1"/>
    <xf numFmtId="2" fontId="0" fillId="5" borderId="4" xfId="59" applyNumberFormat="1" applyFont="1" applyFill="1" applyBorder="1"/>
    <xf numFmtId="0" fontId="67" fillId="6" borderId="0" xfId="18" applyFont="1" applyFill="1" applyAlignment="1"/>
    <xf numFmtId="0" fontId="0" fillId="6" borderId="0" xfId="0" applyFill="1"/>
    <xf numFmtId="0" fontId="14" fillId="8" borderId="4" xfId="107" applyFont="1" applyFill="1" applyBorder="1" applyAlignment="1">
      <alignment vertical="center" wrapText="1"/>
    </xf>
    <xf numFmtId="0" fontId="0" fillId="0" borderId="4" xfId="0" applyFont="1" applyBorder="1" applyAlignment="1">
      <alignment horizontal="left"/>
    </xf>
    <xf numFmtId="0" fontId="10" fillId="0" borderId="4" xfId="75" applyFont="1" applyBorder="1" applyAlignment="1">
      <alignment vertical="center" wrapText="1"/>
    </xf>
    <xf numFmtId="0" fontId="14" fillId="5" borderId="4" xfId="75" applyFont="1" applyFill="1" applyBorder="1" applyAlignment="1">
      <alignment vertical="center"/>
    </xf>
    <xf numFmtId="0" fontId="10" fillId="0" borderId="4" xfId="75" applyFont="1" applyBorder="1" applyAlignment="1">
      <alignment vertical="center"/>
    </xf>
    <xf numFmtId="0" fontId="10" fillId="5" borderId="4" xfId="75" applyFont="1" applyFill="1" applyBorder="1" applyAlignment="1">
      <alignment vertical="center"/>
    </xf>
    <xf numFmtId="0" fontId="14" fillId="0" borderId="4" xfId="75" applyFont="1" applyBorder="1" applyAlignment="1">
      <alignment vertical="center"/>
    </xf>
    <xf numFmtId="0" fontId="58" fillId="13" borderId="4" xfId="0" applyFont="1" applyFill="1" applyBorder="1" applyAlignment="1">
      <alignment horizontal="center" vertical="center"/>
    </xf>
    <xf numFmtId="0" fontId="14" fillId="0" borderId="4" xfId="75" applyFont="1" applyBorder="1" applyAlignment="1">
      <alignment horizontal="center"/>
    </xf>
    <xf numFmtId="0" fontId="57" fillId="0" borderId="4" xfId="0" applyFont="1" applyBorder="1" applyAlignment="1">
      <alignment horizontal="left" vertical="center" wrapText="1"/>
    </xf>
    <xf numFmtId="164" fontId="0" fillId="0" borderId="4" xfId="73" applyFont="1" applyFill="1" applyBorder="1" applyAlignment="1">
      <alignment horizontal="right" vertical="center"/>
    </xf>
    <xf numFmtId="10" fontId="0" fillId="0" borderId="4" xfId="0" applyNumberFormat="1" applyFont="1" applyBorder="1" applyAlignment="1">
      <alignment horizontal="right" vertical="center"/>
    </xf>
    <xf numFmtId="4" fontId="14" fillId="0" borderId="4" xfId="75" applyNumberFormat="1" applyFont="1" applyBorder="1" applyAlignment="1">
      <alignment horizontal="center"/>
    </xf>
    <xf numFmtId="0" fontId="57" fillId="0" borderId="4" xfId="0" applyFont="1" applyBorder="1" applyAlignment="1">
      <alignment horizontal="left" vertical="center"/>
    </xf>
    <xf numFmtId="0" fontId="58" fillId="0" borderId="4" xfId="0" applyFont="1" applyBorder="1" applyAlignment="1">
      <alignment horizontal="left" vertical="center" wrapText="1"/>
    </xf>
    <xf numFmtId="10" fontId="14" fillId="5" borderId="4" xfId="59" applyNumberFormat="1" applyFont="1" applyFill="1" applyBorder="1" applyAlignment="1">
      <alignment vertical="center"/>
    </xf>
    <xf numFmtId="43" fontId="57" fillId="0" borderId="4" xfId="0" applyNumberFormat="1" applyFont="1" applyBorder="1" applyAlignment="1">
      <alignment horizontal="right" vertical="center" wrapText="1"/>
    </xf>
    <xf numFmtId="43" fontId="0" fillId="0" borderId="4" xfId="0" applyNumberFormat="1" applyFont="1" applyBorder="1" applyAlignment="1">
      <alignment horizontal="right" vertical="center"/>
    </xf>
    <xf numFmtId="43" fontId="57" fillId="0" borderId="4" xfId="0" applyNumberFormat="1" applyFont="1" applyBorder="1" applyAlignment="1">
      <alignment horizontal="right" vertical="center"/>
    </xf>
    <xf numFmtId="0" fontId="58" fillId="0" borderId="4" xfId="0" applyFont="1" applyBorder="1" applyAlignment="1">
      <alignment horizontal="left" vertical="center"/>
    </xf>
    <xf numFmtId="43" fontId="58" fillId="0" borderId="4" xfId="0" applyNumberFormat="1" applyFont="1" applyBorder="1" applyAlignment="1">
      <alignment horizontal="right" vertical="center" wrapText="1"/>
    </xf>
    <xf numFmtId="43" fontId="11" fillId="0" borderId="4" xfId="0" applyNumberFormat="1" applyFont="1" applyBorder="1" applyAlignment="1">
      <alignment horizontal="right" vertical="center"/>
    </xf>
    <xf numFmtId="4" fontId="58" fillId="0" borderId="4" xfId="0" applyNumberFormat="1" applyFont="1" applyBorder="1" applyAlignment="1">
      <alignment horizontal="right" vertical="center"/>
    </xf>
    <xf numFmtId="4" fontId="14" fillId="0" borderId="4" xfId="75" applyNumberFormat="1" applyFont="1" applyBorder="1" applyAlignment="1">
      <alignment horizontal="right"/>
    </xf>
    <xf numFmtId="0" fontId="14" fillId="0" borderId="4" xfId="75" applyFont="1" applyBorder="1" applyAlignment="1">
      <alignment horizontal="right"/>
    </xf>
    <xf numFmtId="43" fontId="10" fillId="0" borderId="4" xfId="108" applyNumberFormat="1" applyFont="1" applyFill="1" applyBorder="1">
      <alignment vertical="center"/>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vertical="center"/>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14" fillId="4" borderId="0" xfId="0" applyFont="1" applyFill="1" applyAlignment="1">
      <alignment horizontal="center"/>
    </xf>
    <xf numFmtId="0" fontId="10" fillId="0" borderId="11" xfId="0" applyFont="1" applyBorder="1" applyAlignment="1">
      <alignment horizontal="right"/>
    </xf>
    <xf numFmtId="0" fontId="0" fillId="0" borderId="0" xfId="0"/>
    <xf numFmtId="0" fontId="11" fillId="0" borderId="4" xfId="0" applyFont="1" applyBorder="1" applyAlignment="1">
      <alignment horizontal="center"/>
    </xf>
    <xf numFmtId="0" fontId="14" fillId="8" borderId="4" xfId="18" applyFont="1" applyFill="1" applyBorder="1" applyAlignment="1"/>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14" fillId="8" borderId="4" xfId="18" applyFont="1" applyFill="1" applyBorder="1" applyAlignment="1">
      <alignment horizontal="center" vertical="center"/>
    </xf>
    <xf numFmtId="0" fontId="10" fillId="0" borderId="11" xfId="0" applyFont="1" applyBorder="1" applyAlignment="1">
      <alignment horizontal="center"/>
    </xf>
    <xf numFmtId="0" fontId="14" fillId="4" borderId="0" xfId="18" applyFont="1" applyFill="1" applyAlignment="1">
      <alignment horizontal="center"/>
    </xf>
    <xf numFmtId="0" fontId="67" fillId="4" borderId="0" xfId="18" applyFont="1" applyFill="1" applyAlignment="1">
      <alignment horizontal="center"/>
    </xf>
    <xf numFmtId="0" fontId="14" fillId="12" borderId="0" xfId="90" applyFont="1" applyFill="1" applyBorder="1" applyAlignment="1">
      <alignment horizontal="center" vertical="center"/>
    </xf>
    <xf numFmtId="0" fontId="14" fillId="11" borderId="4" xfId="90" applyFont="1" applyFill="1" applyBorder="1" applyAlignment="1">
      <alignment horizontal="center" vertical="center" wrapText="1"/>
    </xf>
    <xf numFmtId="0" fontId="14" fillId="11" borderId="4" xfId="90" applyFont="1" applyFill="1" applyBorder="1" applyAlignment="1">
      <alignment horizontal="center" vertical="center"/>
    </xf>
    <xf numFmtId="0" fontId="14" fillId="11" borderId="6" xfId="90" applyFont="1" applyFill="1" applyBorder="1" applyAlignment="1">
      <alignment horizontal="center" vertical="center"/>
    </xf>
    <xf numFmtId="0" fontId="0" fillId="0" borderId="7" xfId="0" applyBorder="1" applyAlignment="1">
      <alignment horizontal="center" vertical="center"/>
    </xf>
    <xf numFmtId="0" fontId="14" fillId="6" borderId="4" xfId="18" applyFont="1" applyFill="1" applyBorder="1" applyAlignment="1">
      <alignment horizontal="center" vertical="center"/>
    </xf>
    <xf numFmtId="164" fontId="0" fillId="0" borderId="4" xfId="73" applyFont="1" applyFill="1" applyBorder="1" applyAlignment="1">
      <alignment vertical="top"/>
    </xf>
    <xf numFmtId="164" fontId="10" fillId="0" borderId="4" xfId="73" applyFont="1" applyFill="1" applyBorder="1"/>
    <xf numFmtId="164" fontId="0" fillId="0" borderId="4" xfId="73" applyFont="1" applyFill="1" applyBorder="1" applyAlignment="1">
      <alignment vertical="center"/>
    </xf>
    <xf numFmtId="164" fontId="10" fillId="0" borderId="4" xfId="73" applyFont="1" applyFill="1" applyBorder="1" applyAlignment="1">
      <alignment horizontal="right"/>
    </xf>
    <xf numFmtId="164" fontId="0" fillId="0" borderId="4" xfId="73" applyFont="1" applyFill="1" applyBorder="1" applyAlignment="1">
      <alignment horizontal="right" vertical="top"/>
    </xf>
    <xf numFmtId="164" fontId="10" fillId="0" borderId="4" xfId="73" applyFont="1" applyFill="1" applyBorder="1" applyAlignment="1">
      <alignment horizontal="right" wrapText="1"/>
    </xf>
    <xf numFmtId="4" fontId="0" fillId="0" borderId="4" xfId="0" applyNumberFormat="1" applyFont="1" applyFill="1" applyBorder="1" applyAlignment="1">
      <alignment vertical="center"/>
    </xf>
    <xf numFmtId="164" fontId="11" fillId="0" borderId="4" xfId="73" applyFont="1" applyFill="1" applyBorder="1" applyAlignment="1">
      <alignment vertical="center"/>
    </xf>
    <xf numFmtId="164" fontId="17" fillId="5" borderId="4" xfId="0" applyNumberFormat="1" applyFont="1" applyFill="1" applyBorder="1" applyAlignment="1">
      <alignment horizontal="left" wrapText="1"/>
    </xf>
    <xf numFmtId="164" fontId="0" fillId="0" borderId="0" xfId="0" applyNumberFormat="1" applyFont="1"/>
    <xf numFmtId="164" fontId="13" fillId="0" borderId="0" xfId="0" applyNumberFormat="1" applyFont="1" applyAlignment="1"/>
    <xf numFmtId="164" fontId="13" fillId="4" borderId="0" xfId="0" applyNumberFormat="1" applyFont="1" applyFill="1" applyAlignment="1"/>
    <xf numFmtId="164" fontId="14" fillId="8" borderId="6" xfId="0" applyNumberFormat="1" applyFont="1" applyFill="1" applyBorder="1" applyAlignment="1">
      <alignment horizontal="center" vertical="center" wrapText="1"/>
    </xf>
    <xf numFmtId="164" fontId="14" fillId="8" borderId="4" xfId="0" applyNumberFormat="1" applyFont="1" applyFill="1" applyBorder="1" applyAlignment="1">
      <alignment horizontal="center" vertical="center" wrapText="1"/>
    </xf>
    <xf numFmtId="164" fontId="16" fillId="5" borderId="4" xfId="18" applyNumberFormat="1" applyFont="1" applyFill="1" applyBorder="1" applyAlignment="1">
      <alignment horizontal="right" vertical="center"/>
    </xf>
    <xf numFmtId="164" fontId="10" fillId="5" borderId="4" xfId="73" applyNumberFormat="1" applyFont="1" applyFill="1" applyBorder="1"/>
    <xf numFmtId="9" fontId="10" fillId="5" borderId="4" xfId="18" applyNumberFormat="1" applyFont="1" applyFill="1" applyBorder="1" applyAlignment="1">
      <alignment horizontal="center" wrapText="1"/>
    </xf>
    <xf numFmtId="9" fontId="10" fillId="5" borderId="4" xfId="0" applyNumberFormat="1" applyFont="1" applyFill="1" applyBorder="1" applyAlignment="1">
      <alignment horizontal="center" wrapText="1"/>
    </xf>
    <xf numFmtId="0" fontId="19" fillId="5" borderId="4" xfId="0" applyFont="1" applyFill="1" applyBorder="1" applyAlignment="1">
      <alignment horizontal="center" wrapText="1"/>
    </xf>
    <xf numFmtId="0" fontId="10" fillId="5" borderId="4" xfId="0" applyFont="1" applyFill="1" applyBorder="1" applyAlignment="1">
      <alignment horizontal="center" wrapText="1"/>
    </xf>
    <xf numFmtId="0" fontId="14" fillId="5" borderId="4" xfId="0" applyFont="1" applyFill="1" applyBorder="1" applyAlignment="1">
      <alignment horizontal="left"/>
    </xf>
    <xf numFmtId="2" fontId="14" fillId="5" borderId="4" xfId="90" applyNumberFormat="1" applyFont="1" applyFill="1" applyBorder="1" applyAlignment="1">
      <alignment vertical="center" wrapText="1"/>
    </xf>
    <xf numFmtId="0" fontId="14" fillId="0" borderId="4" xfId="0" applyFont="1" applyBorder="1" applyAlignment="1"/>
    <xf numFmtId="164" fontId="11" fillId="0" borderId="4" xfId="73" applyFont="1" applyBorder="1"/>
    <xf numFmtId="10" fontId="68" fillId="5" borderId="4" xfId="59" applyNumberFormat="1" applyFont="1" applyFill="1" applyBorder="1" applyAlignment="1">
      <alignment horizontal="center" vertical="center"/>
    </xf>
    <xf numFmtId="10" fontId="10" fillId="5" borderId="7" xfId="0" applyNumberFormat="1" applyFont="1" applyFill="1" applyBorder="1" applyAlignment="1">
      <alignment horizontal="right"/>
    </xf>
    <xf numFmtId="0" fontId="11" fillId="0" borderId="4" xfId="0" applyFont="1" applyBorder="1" applyAlignment="1">
      <alignment horizontal="left"/>
    </xf>
    <xf numFmtId="0" fontId="11" fillId="0" borderId="7" xfId="0" applyFont="1" applyBorder="1" applyAlignment="1">
      <alignment horizontal="left"/>
    </xf>
    <xf numFmtId="0" fontId="10" fillId="0" borderId="11" xfId="0" applyFont="1" applyBorder="1" applyAlignment="1"/>
    <xf numFmtId="180" fontId="68" fillId="5" borderId="4" xfId="73" applyNumberFormat="1" applyFont="1" applyFill="1" applyBorder="1" applyAlignment="1">
      <alignment horizontal="center" vertical="center"/>
    </xf>
    <xf numFmtId="0" fontId="0" fillId="0" borderId="4" xfId="0" applyFont="1" applyBorder="1" applyAlignment="1">
      <alignment horizontal="center"/>
    </xf>
    <xf numFmtId="10" fontId="0" fillId="0" borderId="4" xfId="59" applyNumberFormat="1" applyFont="1" applyBorder="1" applyAlignment="1">
      <alignment horizontal="center"/>
    </xf>
    <xf numFmtId="0" fontId="0" fillId="0" borderId="4" xfId="0" applyFont="1" applyBorder="1" applyAlignment="1">
      <alignment horizontal="center" wrapText="1"/>
    </xf>
    <xf numFmtId="0" fontId="0" fillId="0" borderId="4" xfId="18" applyFont="1" applyBorder="1" applyAlignment="1">
      <alignment horizontal="center" wrapText="1"/>
    </xf>
    <xf numFmtId="0" fontId="0" fillId="0" borderId="15" xfId="18" applyFont="1" applyBorder="1" applyAlignment="1">
      <alignment horizontal="center" wrapText="1"/>
    </xf>
    <xf numFmtId="0" fontId="0" fillId="0" borderId="15" xfId="0" applyFont="1" applyBorder="1" applyAlignment="1">
      <alignment horizontal="center"/>
    </xf>
    <xf numFmtId="1" fontId="0" fillId="0" borderId="4" xfId="0" applyNumberFormat="1" applyFont="1" applyBorder="1"/>
    <xf numFmtId="2" fontId="0" fillId="0" borderId="4" xfId="0" applyNumberFormat="1" applyFont="1" applyBorder="1"/>
    <xf numFmtId="164" fontId="11" fillId="0" borderId="4" xfId="73" applyFont="1" applyBorder="1" applyAlignment="1">
      <alignment horizontal="center"/>
    </xf>
    <xf numFmtId="0" fontId="14" fillId="0" borderId="4"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0" fillId="0" borderId="0" xfId="0"/>
    <xf numFmtId="0" fontId="14" fillId="8" borderId="6" xfId="18" applyFont="1" applyFill="1" applyBorder="1" applyAlignment="1"/>
    <xf numFmtId="164" fontId="12" fillId="0" borderId="4" xfId="73" applyFont="1" applyFill="1" applyBorder="1" applyAlignment="1">
      <alignment horizontal="left"/>
    </xf>
    <xf numFmtId="0" fontId="12" fillId="0" borderId="4" xfId="0" applyFont="1" applyFill="1" applyBorder="1" applyAlignment="1">
      <alignment horizontal="left"/>
    </xf>
    <xf numFmtId="10" fontId="12" fillId="0" borderId="4" xfId="59" applyNumberFormat="1" applyFont="1" applyFill="1" applyBorder="1" applyAlignment="1">
      <alignment horizontal="right"/>
    </xf>
    <xf numFmtId="164" fontId="12" fillId="0" borderId="4" xfId="73" applyFont="1" applyFill="1" applyBorder="1" applyAlignment="1">
      <alignment horizontal="right" vertical="center"/>
    </xf>
    <xf numFmtId="164" fontId="12" fillId="0" borderId="4" xfId="0" applyNumberFormat="1" applyFont="1" applyFill="1" applyBorder="1" applyAlignment="1">
      <alignment horizontal="left"/>
    </xf>
    <xf numFmtId="164" fontId="12" fillId="0" borderId="4" xfId="73" applyFont="1" applyFill="1" applyBorder="1"/>
    <xf numFmtId="10" fontId="11" fillId="0" borderId="4" xfId="59" applyNumberFormat="1" applyFont="1" applyFill="1" applyBorder="1" applyAlignment="1"/>
    <xf numFmtId="43" fontId="11" fillId="0" borderId="4" xfId="0" applyNumberFormat="1" applyFont="1" applyBorder="1" applyAlignment="1">
      <alignment horizontal="center"/>
    </xf>
    <xf numFmtId="43" fontId="0" fillId="0" borderId="4" xfId="0" applyNumberFormat="1" applyFont="1" applyBorder="1" applyAlignment="1">
      <alignment horizontal="center"/>
    </xf>
    <xf numFmtId="43" fontId="0" fillId="0" borderId="4" xfId="0" applyNumberFormat="1" applyFont="1" applyBorder="1"/>
    <xf numFmtId="10" fontId="11" fillId="0" borderId="4" xfId="0" applyNumberFormat="1" applyFont="1" applyBorder="1" applyAlignment="1">
      <alignment horizontal="center"/>
    </xf>
    <xf numFmtId="10" fontId="11" fillId="0" borderId="4" xfId="0" applyNumberFormat="1" applyFont="1" applyBorder="1"/>
    <xf numFmtId="43" fontId="14" fillId="0" borderId="4" xfId="0" applyNumberFormat="1" applyFont="1" applyBorder="1"/>
    <xf numFmtId="43" fontId="14" fillId="0" borderId="4" xfId="0" applyNumberFormat="1" applyFont="1" applyBorder="1" applyAlignment="1">
      <alignment horizontal="center"/>
    </xf>
    <xf numFmtId="0" fontId="10" fillId="0" borderId="0" xfId="18" applyFont="1" applyAlignment="1"/>
    <xf numFmtId="0" fontId="10" fillId="0" borderId="11" xfId="18" applyFont="1" applyBorder="1" applyAlignment="1"/>
    <xf numFmtId="0" fontId="10" fillId="0" borderId="11" xfId="13" applyFont="1" applyBorder="1" applyAlignment="1"/>
    <xf numFmtId="0" fontId="14" fillId="8" borderId="4" xfId="18" applyFont="1" applyFill="1" applyBorder="1" applyAlignment="1">
      <alignment vertical="center"/>
    </xf>
    <xf numFmtId="0" fontId="68" fillId="0" borderId="11" xfId="90" applyFont="1" applyBorder="1" applyAlignment="1"/>
    <xf numFmtId="0" fontId="14" fillId="11" borderId="4" xfId="90" applyFont="1" applyFill="1" applyBorder="1" applyAlignment="1">
      <alignment vertical="center"/>
    </xf>
    <xf numFmtId="0" fontId="0" fillId="0" borderId="11" xfId="0" applyBorder="1" applyAlignment="1"/>
    <xf numFmtId="0" fontId="11" fillId="8" borderId="3" xfId="0" applyFont="1" applyFill="1" applyBorder="1" applyAlignment="1">
      <alignment vertical="center"/>
    </xf>
    <xf numFmtId="0" fontId="51" fillId="18" borderId="4" xfId="0" applyFont="1" applyFill="1" applyBorder="1" applyAlignment="1">
      <alignment horizontal="center" vertical="center" wrapText="1"/>
    </xf>
    <xf numFmtId="0" fontId="53" fillId="0" borderId="4" xfId="0" applyFont="1" applyFill="1" applyBorder="1" applyAlignment="1">
      <alignment horizontal="left" vertical="center"/>
    </xf>
    <xf numFmtId="0" fontId="52" fillId="0" borderId="4" xfId="0" applyFont="1" applyFill="1" applyBorder="1" applyAlignment="1">
      <alignment horizontal="right" vertical="center" wrapText="1"/>
    </xf>
    <xf numFmtId="0" fontId="62" fillId="0" borderId="4" xfId="0" applyFont="1" applyFill="1" applyBorder="1"/>
    <xf numFmtId="0" fontId="68" fillId="0" borderId="4" xfId="0" applyFont="1" applyFill="1" applyBorder="1"/>
    <xf numFmtId="0" fontId="51" fillId="0" borderId="4" xfId="0" applyFont="1" applyFill="1" applyBorder="1" applyAlignment="1">
      <alignment horizontal="left" vertical="center" wrapText="1"/>
    </xf>
    <xf numFmtId="2" fontId="62" fillId="0" borderId="4" xfId="0" applyNumberFormat="1" applyFont="1" applyFill="1" applyBorder="1"/>
    <xf numFmtId="10" fontId="52" fillId="0" borderId="4" xfId="0" applyNumberFormat="1" applyFont="1" applyFill="1" applyBorder="1" applyAlignment="1">
      <alignment horizontal="right" vertical="center" wrapText="1"/>
    </xf>
    <xf numFmtId="0" fontId="53" fillId="0" borderId="12" xfId="0" applyFont="1" applyFill="1" applyBorder="1" applyAlignment="1">
      <alignment horizontal="left" vertical="center"/>
    </xf>
    <xf numFmtId="0" fontId="51" fillId="0" borderId="12" xfId="0" applyFont="1" applyFill="1" applyBorder="1" applyAlignment="1">
      <alignment horizontal="left" vertical="center" wrapText="1"/>
    </xf>
    <xf numFmtId="2" fontId="68" fillId="0" borderId="4" xfId="0" applyNumberFormat="1" applyFont="1" applyFill="1" applyBorder="1"/>
    <xf numFmtId="164" fontId="67" fillId="0" borderId="4" xfId="73" applyFont="1" applyFill="1" applyBorder="1" applyAlignment="1">
      <alignment vertical="justify" wrapText="1"/>
    </xf>
    <xf numFmtId="2" fontId="68" fillId="0" borderId="4" xfId="0" applyNumberFormat="1" applyFont="1" applyFill="1" applyBorder="1" applyAlignment="1">
      <alignment vertical="center"/>
    </xf>
    <xf numFmtId="164" fontId="68" fillId="0" borderId="4" xfId="73" applyFont="1" applyFill="1" applyBorder="1" applyAlignment="1">
      <alignment vertical="justify" wrapText="1"/>
    </xf>
    <xf numFmtId="0" fontId="10" fillId="0" borderId="4" xfId="0" applyFont="1" applyFill="1" applyBorder="1" applyAlignment="1">
      <alignment horizontal="left" vertical="justify" wrapText="1"/>
    </xf>
    <xf numFmtId="4" fontId="10" fillId="5" borderId="4" xfId="0" applyNumberFormat="1" applyFont="1" applyFill="1" applyBorder="1" applyAlignment="1">
      <alignment wrapText="1"/>
    </xf>
    <xf numFmtId="164" fontId="67" fillId="0" borderId="4" xfId="73" applyFont="1" applyFill="1" applyBorder="1" applyAlignment="1">
      <alignment vertical="center" wrapText="1"/>
    </xf>
    <xf numFmtId="43" fontId="10" fillId="0" borderId="4" xfId="0" applyNumberFormat="1" applyFont="1" applyBorder="1"/>
    <xf numFmtId="0" fontId="0" fillId="0" borderId="12" xfId="0" applyFill="1" applyBorder="1"/>
    <xf numFmtId="0" fontId="13" fillId="0" borderId="0" xfId="0" applyFont="1" applyAlignment="1">
      <alignment horizontal="left"/>
    </xf>
    <xf numFmtId="0" fontId="14" fillId="8" borderId="15" xfId="0" applyFont="1" applyFill="1" applyBorder="1" applyAlignment="1">
      <alignment horizontal="center" vertical="center" wrapText="1"/>
    </xf>
    <xf numFmtId="0" fontId="10" fillId="0" borderId="0" xfId="0" applyFont="1" applyAlignment="1">
      <alignment horizontal="center"/>
    </xf>
    <xf numFmtId="0" fontId="13" fillId="0" borderId="0" xfId="18" applyFont="1"/>
    <xf numFmtId="0" fontId="0" fillId="0" borderId="0" xfId="0"/>
    <xf numFmtId="0" fontId="14" fillId="0" borderId="0" xfId="18" applyFont="1" applyFill="1" applyAlignment="1">
      <alignment horizontal="left"/>
    </xf>
    <xf numFmtId="0" fontId="14" fillId="8" borderId="4" xfId="18" applyFont="1" applyFill="1" applyBorder="1" applyAlignment="1">
      <alignment horizontal="center" vertical="center" wrapText="1"/>
    </xf>
    <xf numFmtId="0" fontId="11" fillId="13" borderId="4" xfId="0" applyFont="1" applyFill="1" applyBorder="1" applyAlignment="1">
      <alignment vertical="center" wrapText="1"/>
    </xf>
    <xf numFmtId="0" fontId="10" fillId="0" borderId="0" xfId="0" applyFont="1"/>
    <xf numFmtId="1" fontId="0" fillId="0" borderId="4" xfId="0" applyNumberFormat="1" applyFill="1" applyBorder="1"/>
    <xf numFmtId="0" fontId="14" fillId="8" borderId="4" xfId="0" applyFont="1" applyFill="1" applyBorder="1" applyAlignment="1">
      <alignment horizontal="center" vertical="center" wrapText="1"/>
    </xf>
    <xf numFmtId="0" fontId="75" fillId="0" borderId="0" xfId="0" applyFont="1"/>
    <xf numFmtId="0" fontId="14" fillId="0" borderId="4" xfId="0" applyFont="1" applyFill="1" applyBorder="1" applyAlignment="1"/>
    <xf numFmtId="164" fontId="10" fillId="0" borderId="0" xfId="118" applyFont="1" applyFill="1" applyBorder="1" applyAlignment="1">
      <alignment vertical="top" wrapText="1"/>
    </xf>
    <xf numFmtId="10" fontId="14" fillId="0" borderId="4" xfId="59" applyNumberFormat="1" applyFont="1" applyBorder="1" applyAlignment="1">
      <alignment horizontal="center" wrapText="1"/>
    </xf>
    <xf numFmtId="9" fontId="74" fillId="0" borderId="4" xfId="0" applyNumberFormat="1" applyFont="1" applyFill="1" applyBorder="1" applyAlignment="1">
      <alignment horizontal="right" vertical="center"/>
    </xf>
    <xf numFmtId="9" fontId="62" fillId="0" borderId="4" xfId="0" applyNumberFormat="1" applyFont="1" applyFill="1" applyBorder="1" applyAlignment="1">
      <alignment horizontal="right" vertical="center"/>
    </xf>
    <xf numFmtId="0" fontId="62" fillId="0" borderId="4" xfId="0" applyFont="1" applyFill="1" applyBorder="1" applyAlignment="1">
      <alignment horizontal="right"/>
    </xf>
    <xf numFmtId="0" fontId="68" fillId="0" borderId="4" xfId="0" applyFont="1" applyFill="1" applyBorder="1" applyAlignment="1">
      <alignment horizontal="right" vertical="center"/>
    </xf>
    <xf numFmtId="0" fontId="68" fillId="0" borderId="4" xfId="115" applyFont="1" applyFill="1" applyBorder="1" applyAlignment="1">
      <alignment horizontal="right" vertical="center" wrapText="1"/>
    </xf>
    <xf numFmtId="0" fontId="68" fillId="0" borderId="4" xfId="115" applyFont="1" applyFill="1" applyBorder="1" applyAlignment="1">
      <alignment horizontal="right" vertical="center"/>
    </xf>
    <xf numFmtId="0" fontId="68" fillId="0" borderId="4" xfId="0" applyFont="1" applyFill="1" applyBorder="1" applyAlignment="1">
      <alignment horizontal="right"/>
    </xf>
    <xf numFmtId="10" fontId="62" fillId="0" borderId="4" xfId="0" applyNumberFormat="1" applyFont="1" applyFill="1" applyBorder="1" applyAlignment="1">
      <alignment horizontal="right" vertical="center"/>
    </xf>
    <xf numFmtId="0" fontId="68" fillId="0" borderId="4" xfId="0" applyNumberFormat="1" applyFont="1" applyFill="1" applyBorder="1" applyAlignment="1">
      <alignment horizontal="right" vertical="center"/>
    </xf>
    <xf numFmtId="4" fontId="68" fillId="0" borderId="4" xfId="0" applyNumberFormat="1" applyFont="1" applyFill="1" applyBorder="1" applyAlignment="1">
      <alignment horizontal="right" vertical="center"/>
    </xf>
    <xf numFmtId="0" fontId="62" fillId="0" borderId="4" xfId="0" applyFont="1" applyFill="1" applyBorder="1" applyAlignment="1">
      <alignment horizontal="right" vertical="center"/>
    </xf>
    <xf numFmtId="170" fontId="68" fillId="0" borderId="4" xfId="0" applyNumberFormat="1" applyFont="1" applyFill="1" applyBorder="1" applyAlignment="1">
      <alignment horizontal="right" vertical="center"/>
    </xf>
    <xf numFmtId="0" fontId="10" fillId="0" borderId="4" xfId="0" applyFont="1" applyFill="1" applyBorder="1" applyAlignment="1">
      <alignment horizontal="center" vertical="center"/>
    </xf>
    <xf numFmtId="10" fontId="68" fillId="0" borderId="4" xfId="0" applyNumberFormat="1" applyFont="1" applyFill="1" applyBorder="1" applyAlignment="1">
      <alignment horizontal="right" vertical="center"/>
    </xf>
    <xf numFmtId="9" fontId="79" fillId="0" borderId="4" xfId="0" applyNumberFormat="1" applyFont="1" applyFill="1" applyBorder="1" applyAlignment="1">
      <alignment horizontal="right" vertical="center"/>
    </xf>
    <xf numFmtId="10" fontId="79" fillId="0" borderId="4" xfId="0" applyNumberFormat="1" applyFont="1" applyFill="1" applyBorder="1" applyAlignment="1">
      <alignment horizontal="right" vertical="center"/>
    </xf>
    <xf numFmtId="9" fontId="80" fillId="0" borderId="4" xfId="0" applyNumberFormat="1" applyFont="1" applyFill="1" applyBorder="1" applyAlignment="1">
      <alignment horizontal="right" vertical="center"/>
    </xf>
    <xf numFmtId="10" fontId="80" fillId="0" borderId="4" xfId="0" applyNumberFormat="1" applyFont="1" applyFill="1" applyBorder="1" applyAlignment="1">
      <alignment horizontal="right" vertical="center"/>
    </xf>
    <xf numFmtId="4" fontId="81" fillId="0" borderId="4" xfId="0" applyNumberFormat="1" applyFont="1" applyFill="1" applyBorder="1" applyAlignment="1">
      <alignment horizontal="right" vertical="center"/>
    </xf>
    <xf numFmtId="170" fontId="81" fillId="0" borderId="4" xfId="0" applyNumberFormat="1" applyFont="1" applyFill="1" applyBorder="1" applyAlignment="1">
      <alignment horizontal="right" vertical="center"/>
    </xf>
    <xf numFmtId="181" fontId="68" fillId="0" borderId="4" xfId="0" applyNumberFormat="1" applyFont="1" applyFill="1" applyBorder="1" applyAlignment="1">
      <alignment horizontal="right" vertical="center"/>
    </xf>
    <xf numFmtId="164" fontId="10" fillId="0" borderId="4" xfId="73" applyFont="1" applyFill="1" applyBorder="1" applyAlignment="1">
      <alignment horizontal="right" vertical="center"/>
    </xf>
    <xf numFmtId="164" fontId="10" fillId="0" borderId="4" xfId="73" applyFont="1" applyFill="1" applyBorder="1" applyAlignment="1">
      <alignment horizontal="center" vertical="center" wrapText="1"/>
    </xf>
    <xf numFmtId="164" fontId="10" fillId="0" borderId="4" xfId="73" applyFont="1" applyFill="1" applyBorder="1" applyAlignment="1">
      <alignment horizontal="center"/>
    </xf>
    <xf numFmtId="0" fontId="12" fillId="0" borderId="4" xfId="0" applyFont="1" applyFill="1" applyBorder="1" applyAlignment="1">
      <alignment horizontal="center"/>
    </xf>
    <xf numFmtId="164" fontId="10" fillId="0" borderId="4" xfId="73" applyFont="1" applyFill="1" applyBorder="1" applyAlignment="1">
      <alignment horizontal="center" vertical="center"/>
    </xf>
    <xf numFmtId="164" fontId="10" fillId="0" borderId="4" xfId="73" applyFont="1" applyFill="1" applyBorder="1" applyAlignment="1">
      <alignment horizontal="justify" vertical="center" wrapText="1"/>
    </xf>
    <xf numFmtId="164" fontId="10" fillId="0" borderId="4" xfId="73" applyFont="1" applyFill="1" applyBorder="1" applyAlignment="1">
      <alignment horizontal="left" vertical="center"/>
    </xf>
    <xf numFmtId="164" fontId="68" fillId="0" borderId="4" xfId="73" applyFont="1" applyFill="1" applyBorder="1" applyAlignment="1">
      <alignment horizontal="right" vertical="center"/>
    </xf>
    <xf numFmtId="164" fontId="0" fillId="0" borderId="4" xfId="73" applyFont="1" applyFill="1" applyBorder="1"/>
    <xf numFmtId="2" fontId="10" fillId="0" borderId="4" xfId="13" applyNumberFormat="1" applyFont="1" applyFill="1" applyBorder="1" applyAlignment="1">
      <alignment horizontal="right" vertical="center"/>
    </xf>
    <xf numFmtId="164" fontId="10" fillId="0" borderId="4" xfId="73" applyFont="1" applyFill="1" applyBorder="1" applyAlignment="1">
      <alignment vertical="center"/>
    </xf>
    <xf numFmtId="0" fontId="14" fillId="0" borderId="4" xfId="0" applyFont="1" applyFill="1" applyBorder="1" applyAlignment="1">
      <alignment vertical="justify"/>
    </xf>
    <xf numFmtId="0" fontId="10" fillId="0" borderId="4" xfId="0" applyFont="1" applyFill="1" applyBorder="1"/>
    <xf numFmtId="0" fontId="10" fillId="0" borderId="4" xfId="0" applyFont="1" applyFill="1" applyBorder="1" applyAlignment="1">
      <alignment horizontal="center"/>
    </xf>
    <xf numFmtId="164" fontId="10" fillId="0" borderId="4" xfId="0" applyNumberFormat="1" applyFont="1" applyFill="1" applyBorder="1" applyAlignment="1">
      <alignment horizontal="center"/>
    </xf>
    <xf numFmtId="164" fontId="68" fillId="5" borderId="4" xfId="119" applyFont="1" applyFill="1" applyBorder="1" applyAlignment="1">
      <alignment horizontal="right" vertical="center"/>
    </xf>
    <xf numFmtId="164" fontId="10" fillId="5" borderId="4" xfId="73" applyFont="1" applyFill="1" applyBorder="1" applyAlignment="1">
      <alignment horizontal="center"/>
    </xf>
    <xf numFmtId="164" fontId="10" fillId="5" borderId="4" xfId="0" applyNumberFormat="1" applyFont="1" applyFill="1" applyBorder="1"/>
    <xf numFmtId="43" fontId="14" fillId="5" borderId="4" xfId="0" applyNumberFormat="1" applyFont="1" applyFill="1" applyBorder="1" applyAlignment="1">
      <alignment horizontal="center"/>
    </xf>
    <xf numFmtId="164" fontId="10" fillId="0" borderId="4" xfId="73" applyFont="1" applyFill="1" applyBorder="1" applyAlignment="1">
      <alignment horizontal="right" vertical="center" wrapText="1"/>
    </xf>
    <xf numFmtId="0" fontId="10" fillId="0" borderId="4" xfId="0" applyFont="1" applyFill="1" applyBorder="1" applyAlignment="1">
      <alignment vertical="justify" wrapText="1"/>
    </xf>
    <xf numFmtId="164" fontId="10" fillId="0" borderId="6" xfId="73" applyFont="1" applyFill="1" applyBorder="1" applyAlignment="1">
      <alignment horizontal="right"/>
    </xf>
    <xf numFmtId="10" fontId="10" fillId="0" borderId="4" xfId="0" applyNumberFormat="1" applyFont="1" applyFill="1" applyBorder="1" applyAlignment="1">
      <alignment vertical="justify" wrapText="1"/>
    </xf>
    <xf numFmtId="10" fontId="10" fillId="0" borderId="4" xfId="0" applyNumberFormat="1" applyFont="1" applyFill="1" applyBorder="1" applyAlignment="1">
      <alignment horizontal="center"/>
    </xf>
    <xf numFmtId="164" fontId="14" fillId="0" borderId="4" xfId="73" applyFont="1" applyFill="1" applyBorder="1" applyAlignment="1">
      <alignment horizontal="right"/>
    </xf>
    <xf numFmtId="164" fontId="68" fillId="0" borderId="4" xfId="73" applyFont="1" applyFill="1" applyBorder="1" applyAlignment="1">
      <alignment vertical="center"/>
    </xf>
    <xf numFmtId="164" fontId="67" fillId="0" borderId="4" xfId="73" applyFont="1" applyFill="1" applyBorder="1" applyAlignment="1">
      <alignment horizontal="center" vertical="center"/>
    </xf>
    <xf numFmtId="164" fontId="10" fillId="0" borderId="4" xfId="73" applyFont="1" applyFill="1" applyBorder="1" applyAlignment="1">
      <alignment wrapText="1"/>
    </xf>
    <xf numFmtId="164" fontId="10" fillId="0" borderId="4" xfId="73" applyFont="1" applyBorder="1"/>
    <xf numFmtId="164" fontId="10" fillId="0" borderId="4" xfId="73" applyFont="1" applyFill="1" applyBorder="1" applyAlignment="1">
      <alignment vertical="top" wrapText="1"/>
    </xf>
    <xf numFmtId="0" fontId="0" fillId="21" borderId="4" xfId="0" applyFont="1" applyFill="1" applyBorder="1" applyAlignment="1">
      <alignment horizontal="left" vertical="center"/>
    </xf>
    <xf numFmtId="10" fontId="0" fillId="21" borderId="4" xfId="59" applyNumberFormat="1" applyFont="1" applyFill="1" applyBorder="1" applyAlignment="1">
      <alignment horizontal="left" vertical="center"/>
    </xf>
    <xf numFmtId="14" fontId="0" fillId="0" borderId="4" xfId="0" applyNumberFormat="1" applyBorder="1"/>
    <xf numFmtId="0" fontId="11" fillId="21" borderId="4" xfId="0" applyFont="1" applyFill="1" applyBorder="1" applyAlignment="1">
      <alignment horizontal="left" vertical="center"/>
    </xf>
    <xf numFmtId="181" fontId="11" fillId="0" borderId="4" xfId="59" applyNumberFormat="1" applyFont="1" applyBorder="1"/>
    <xf numFmtId="0" fontId="0" fillId="0" borderId="4" xfId="0" applyFont="1" applyFill="1" applyBorder="1" applyAlignment="1">
      <alignment horizontal="justify" vertical="center"/>
    </xf>
    <xf numFmtId="2" fontId="62" fillId="0" borderId="4" xfId="0" applyNumberFormat="1" applyFont="1" applyFill="1" applyBorder="1" applyAlignment="1">
      <alignment horizontal="center"/>
    </xf>
    <xf numFmtId="2" fontId="62" fillId="0" borderId="4" xfId="0" applyNumberFormat="1" applyFont="1" applyFill="1" applyBorder="1" applyAlignment="1">
      <alignment horizontal="right" vertical="center"/>
    </xf>
    <xf numFmtId="2" fontId="62" fillId="0" borderId="4" xfId="0" applyNumberFormat="1" applyFont="1" applyFill="1" applyBorder="1" applyAlignment="1">
      <alignment horizontal="center" vertical="center"/>
    </xf>
    <xf numFmtId="2" fontId="62" fillId="0" borderId="4" xfId="0" applyNumberFormat="1" applyFont="1" applyFill="1" applyBorder="1" applyAlignment="1">
      <alignment vertical="center"/>
    </xf>
    <xf numFmtId="0" fontId="47" fillId="0" borderId="4" xfId="0" applyFont="1" applyFill="1" applyBorder="1" applyAlignment="1">
      <alignment horizontal="justify" vertical="center"/>
    </xf>
    <xf numFmtId="0" fontId="62" fillId="0" borderId="4" xfId="0" applyFont="1" applyFill="1" applyBorder="1" applyAlignment="1">
      <alignment horizontal="center"/>
    </xf>
    <xf numFmtId="4" fontId="62" fillId="0" borderId="4" xfId="0" applyNumberFormat="1" applyFont="1" applyFill="1" applyBorder="1" applyAlignment="1">
      <alignment horizontal="right" vertical="center"/>
    </xf>
    <xf numFmtId="4" fontId="62" fillId="0" borderId="4" xfId="0" applyNumberFormat="1" applyFont="1" applyFill="1" applyBorder="1"/>
    <xf numFmtId="2" fontId="62" fillId="0" borderId="4" xfId="0" applyNumberFormat="1" applyFont="1" applyFill="1" applyBorder="1" applyAlignment="1"/>
    <xf numFmtId="2" fontId="69" fillId="0" borderId="4" xfId="0" applyNumberFormat="1" applyFont="1" applyFill="1" applyBorder="1" applyAlignment="1">
      <alignment horizontal="right" vertical="center"/>
    </xf>
    <xf numFmtId="4" fontId="62" fillId="0" borderId="4" xfId="0" applyNumberFormat="1" applyFont="1" applyFill="1" applyBorder="1" applyAlignment="1">
      <alignment vertical="center"/>
    </xf>
    <xf numFmtId="179" fontId="62" fillId="0" borderId="4" xfId="0" applyNumberFormat="1" applyFont="1" applyFill="1" applyBorder="1" applyAlignment="1">
      <alignment horizontal="center" vertical="center"/>
    </xf>
    <xf numFmtId="179" fontId="68" fillId="0" borderId="4" xfId="0" applyNumberFormat="1" applyFont="1" applyFill="1" applyBorder="1" applyAlignment="1">
      <alignment horizontal="center" vertical="center"/>
    </xf>
    <xf numFmtId="0" fontId="68" fillId="0" borderId="4" xfId="0" applyFont="1" applyFill="1" applyBorder="1" applyAlignment="1">
      <alignment horizontal="center"/>
    </xf>
    <xf numFmtId="4" fontId="68" fillId="0" borderId="4" xfId="0" applyNumberFormat="1" applyFont="1" applyFill="1" applyBorder="1" applyAlignment="1">
      <alignment horizontal="center"/>
    </xf>
    <xf numFmtId="2" fontId="68" fillId="0" borderId="4" xfId="0" applyNumberFormat="1" applyFont="1" applyFill="1" applyBorder="1" applyAlignment="1">
      <alignment horizontal="center"/>
    </xf>
    <xf numFmtId="2" fontId="68" fillId="0" borderId="4" xfId="0" applyNumberFormat="1" applyFont="1" applyFill="1" applyBorder="1" applyAlignment="1">
      <alignment horizontal="center" vertical="center"/>
    </xf>
    <xf numFmtId="179" fontId="62" fillId="0" borderId="4" xfId="0" applyNumberFormat="1" applyFont="1" applyFill="1" applyBorder="1" applyAlignment="1">
      <alignment horizontal="right" vertical="center"/>
    </xf>
    <xf numFmtId="179" fontId="62" fillId="0" borderId="4" xfId="0" applyNumberFormat="1" applyFont="1" applyFill="1" applyBorder="1" applyAlignment="1">
      <alignment vertical="center"/>
    </xf>
    <xf numFmtId="179" fontId="68" fillId="0" borderId="4" xfId="0" applyNumberFormat="1" applyFont="1" applyFill="1" applyBorder="1" applyAlignment="1">
      <alignment vertical="center"/>
    </xf>
    <xf numFmtId="0" fontId="68" fillId="0" borderId="4" xfId="0" applyFont="1" applyFill="1" applyBorder="1" applyAlignment="1">
      <alignment horizontal="center" vertical="center"/>
    </xf>
    <xf numFmtId="0" fontId="68" fillId="0" borderId="4" xfId="0" applyFont="1" applyFill="1" applyBorder="1" applyAlignment="1">
      <alignment vertical="center"/>
    </xf>
    <xf numFmtId="4" fontId="68" fillId="0" borderId="4" xfId="0" applyNumberFormat="1" applyFont="1" applyFill="1" applyBorder="1" applyAlignment="1">
      <alignment horizontal="center" vertical="center"/>
    </xf>
    <xf numFmtId="164" fontId="67" fillId="5" borderId="4" xfId="73" applyFont="1" applyFill="1" applyBorder="1" applyAlignment="1">
      <alignment horizontal="center"/>
    </xf>
    <xf numFmtId="164" fontId="68" fillId="0" borderId="4" xfId="73" applyFont="1" applyFill="1" applyBorder="1" applyAlignment="1">
      <alignment wrapText="1"/>
    </xf>
    <xf numFmtId="164" fontId="68" fillId="0" borderId="4" xfId="73" applyFont="1" applyFill="1" applyBorder="1" applyAlignment="1">
      <alignment horizontal="right"/>
    </xf>
    <xf numFmtId="164" fontId="10" fillId="0" borderId="4" xfId="73" applyFont="1" applyFill="1" applyBorder="1" applyAlignment="1">
      <alignment horizontal="left" wrapText="1"/>
    </xf>
    <xf numFmtId="164" fontId="29" fillId="0" borderId="4" xfId="73" applyFont="1" applyFill="1" applyBorder="1" applyAlignment="1">
      <alignment horizontal="right"/>
    </xf>
    <xf numFmtId="164" fontId="10" fillId="0" borderId="15" xfId="73" applyFont="1" applyFill="1" applyBorder="1" applyAlignment="1">
      <alignment horizontal="left" wrapText="1"/>
    </xf>
    <xf numFmtId="164" fontId="29" fillId="0" borderId="15" xfId="73" applyFont="1" applyFill="1" applyBorder="1" applyAlignment="1">
      <alignment horizontal="right"/>
    </xf>
    <xf numFmtId="164" fontId="10" fillId="0" borderId="4" xfId="73" applyFont="1" applyFill="1" applyBorder="1" applyAlignment="1">
      <alignment horizontal="center" wrapText="1"/>
    </xf>
    <xf numFmtId="9" fontId="54" fillId="5" borderId="4" xfId="0" applyNumberFormat="1" applyFont="1" applyFill="1" applyBorder="1" applyAlignment="1">
      <alignment horizontal="right" vertical="center"/>
    </xf>
    <xf numFmtId="0" fontId="49" fillId="5" borderId="15" xfId="0" applyFont="1" applyFill="1" applyBorder="1" applyAlignment="1">
      <alignment vertical="center"/>
    </xf>
    <xf numFmtId="9" fontId="53" fillId="5" borderId="4" xfId="0" applyNumberFormat="1" applyFont="1" applyFill="1" applyBorder="1" applyAlignment="1">
      <alignment horizontal="right" vertical="center"/>
    </xf>
    <xf numFmtId="0" fontId="49" fillId="5" borderId="4" xfId="0" applyFont="1" applyFill="1" applyBorder="1" applyAlignment="1">
      <alignment vertical="center"/>
    </xf>
    <xf numFmtId="0" fontId="82" fillId="0" borderId="4" xfId="0" applyFont="1" applyBorder="1" applyAlignment="1">
      <alignment horizontal="justify" vertical="center"/>
    </xf>
    <xf numFmtId="0" fontId="62" fillId="5" borderId="4" xfId="0" applyFont="1" applyFill="1" applyBorder="1" applyAlignment="1">
      <alignment vertical="center" wrapText="1"/>
    </xf>
    <xf numFmtId="0" fontId="83" fillId="0" borderId="4" xfId="0" applyFont="1" applyBorder="1" applyAlignment="1">
      <alignment horizontal="justify" vertical="center"/>
    </xf>
    <xf numFmtId="0" fontId="82" fillId="0" borderId="6" xfId="0" applyFont="1" applyBorder="1" applyAlignment="1">
      <alignment horizontal="justify" vertical="center"/>
    </xf>
    <xf numFmtId="0" fontId="10" fillId="5" borderId="6" xfId="18" applyFont="1" applyFill="1" applyBorder="1" applyAlignment="1">
      <alignment wrapText="1"/>
    </xf>
    <xf numFmtId="0" fontId="83" fillId="0" borderId="6" xfId="0" applyFont="1" applyBorder="1" applyAlignment="1">
      <alignment horizontal="justify" vertical="center"/>
    </xf>
    <xf numFmtId="0" fontId="10" fillId="0" borderId="0" xfId="18" applyFont="1" applyBorder="1" applyAlignment="1">
      <alignment wrapText="1"/>
    </xf>
    <xf numFmtId="164" fontId="14" fillId="0" borderId="0" xfId="73" applyFont="1" applyBorder="1" applyAlignment="1">
      <alignment wrapText="1"/>
    </xf>
    <xf numFmtId="164" fontId="10" fillId="0" borderId="0" xfId="73" applyFont="1" applyBorder="1" applyAlignment="1">
      <alignment wrapText="1"/>
    </xf>
    <xf numFmtId="0" fontId="0" fillId="0" borderId="0" xfId="0" applyFont="1" applyBorder="1"/>
    <xf numFmtId="164" fontId="14" fillId="0" borderId="0" xfId="73" applyFont="1" applyBorder="1"/>
    <xf numFmtId="43" fontId="0" fillId="5" borderId="4" xfId="0" applyNumberFormat="1" applyFill="1" applyBorder="1"/>
    <xf numFmtId="43" fontId="0" fillId="5" borderId="4" xfId="0" applyNumberFormat="1" applyFill="1" applyBorder="1" applyAlignment="1">
      <alignment vertical="center"/>
    </xf>
    <xf numFmtId="0" fontId="63" fillId="5" borderId="4" xfId="0" applyFont="1" applyFill="1" applyBorder="1" applyAlignment="1">
      <alignment vertical="center"/>
    </xf>
    <xf numFmtId="0" fontId="62" fillId="5" borderId="4" xfId="0" applyFont="1" applyFill="1" applyBorder="1" applyAlignment="1">
      <alignment vertical="center"/>
    </xf>
    <xf numFmtId="43" fontId="63" fillId="5" borderId="4" xfId="0" applyNumberFormat="1" applyFont="1" applyFill="1" applyBorder="1" applyAlignment="1">
      <alignment vertical="center"/>
    </xf>
    <xf numFmtId="4" fontId="63" fillId="5" borderId="4" xfId="0" applyNumberFormat="1" applyFont="1" applyFill="1" applyBorder="1" applyAlignment="1">
      <alignment vertical="center"/>
    </xf>
    <xf numFmtId="4" fontId="63" fillId="5" borderId="4" xfId="0" applyNumberFormat="1" applyFont="1" applyFill="1" applyBorder="1"/>
    <xf numFmtId="43" fontId="54" fillId="0" borderId="4" xfId="0" applyNumberFormat="1" applyFont="1" applyBorder="1" applyAlignment="1">
      <alignment horizontal="right" vertical="center"/>
    </xf>
    <xf numFmtId="43" fontId="54" fillId="0" borderId="4" xfId="0" applyNumberFormat="1" applyFont="1" applyBorder="1" applyAlignment="1">
      <alignment horizontal="center" vertical="center"/>
    </xf>
    <xf numFmtId="164" fontId="11" fillId="0" borderId="4" xfId="73" applyFont="1" applyBorder="1" applyAlignment="1">
      <alignment horizontal="right" vertical="center"/>
    </xf>
    <xf numFmtId="164" fontId="12" fillId="0" borderId="4" xfId="73" applyFont="1" applyBorder="1" applyAlignment="1">
      <alignment horizontal="right" vertical="center"/>
    </xf>
    <xf numFmtId="164" fontId="0" fillId="0" borderId="0" xfId="0" applyNumberFormat="1" applyFont="1" applyAlignment="1">
      <alignment vertical="center"/>
    </xf>
    <xf numFmtId="0" fontId="84" fillId="16" borderId="4" xfId="0" applyFont="1" applyFill="1" applyBorder="1"/>
    <xf numFmtId="0" fontId="46" fillId="16" borderId="0" xfId="0" applyFont="1" applyFill="1"/>
    <xf numFmtId="0" fontId="84" fillId="16" borderId="4" xfId="0" applyFont="1" applyFill="1" applyBorder="1" applyAlignment="1">
      <alignment wrapText="1"/>
    </xf>
    <xf numFmtId="0" fontId="46" fillId="16" borderId="0" xfId="0" applyFont="1" applyFill="1" applyAlignment="1">
      <alignment wrapText="1"/>
    </xf>
    <xf numFmtId="0" fontId="84" fillId="5" borderId="4" xfId="117" applyFont="1" applyFill="1" applyBorder="1" applyAlignment="1">
      <alignment vertical="center" wrapText="1"/>
    </xf>
    <xf numFmtId="0" fontId="46" fillId="5" borderId="4" xfId="0" applyFont="1" applyFill="1" applyBorder="1"/>
    <xf numFmtId="0" fontId="46" fillId="5" borderId="0" xfId="0" applyFont="1" applyFill="1"/>
    <xf numFmtId="0" fontId="84" fillId="5" borderId="4" xfId="117" applyFont="1" applyFill="1" applyBorder="1" applyAlignment="1">
      <alignment horizontal="left" vertical="center" wrapText="1"/>
    </xf>
    <xf numFmtId="0" fontId="84" fillId="5" borderId="4" xfId="0" applyFont="1" applyFill="1" applyBorder="1"/>
    <xf numFmtId="0" fontId="46" fillId="5" borderId="4" xfId="117" applyFont="1" applyFill="1" applyBorder="1" applyAlignment="1">
      <alignment horizontal="left" vertical="center" wrapText="1"/>
    </xf>
    <xf numFmtId="2" fontId="46" fillId="5" borderId="4" xfId="0" applyNumberFormat="1" applyFont="1" applyFill="1" applyBorder="1"/>
    <xf numFmtId="2" fontId="46" fillId="5" borderId="4" xfId="117" applyNumberFormat="1" applyFont="1" applyFill="1" applyBorder="1" applyAlignment="1">
      <alignment horizontal="left" vertical="center" wrapText="1"/>
    </xf>
    <xf numFmtId="2" fontId="84" fillId="5" borderId="4" xfId="0" applyNumberFormat="1" applyFont="1" applyFill="1" applyBorder="1"/>
    <xf numFmtId="0" fontId="46" fillId="5" borderId="26" xfId="117" applyFont="1" applyFill="1" applyBorder="1" applyAlignment="1">
      <alignment horizontal="left" vertical="center" wrapText="1"/>
    </xf>
    <xf numFmtId="0" fontId="84" fillId="5" borderId="0" xfId="0" applyFont="1" applyFill="1"/>
    <xf numFmtId="9" fontId="46" fillId="5" borderId="4" xfId="59" applyFont="1" applyFill="1" applyBorder="1" applyAlignment="1">
      <alignment horizontal="left"/>
    </xf>
    <xf numFmtId="0" fontId="12" fillId="0" borderId="0" xfId="0" applyFont="1" applyFill="1" applyAlignment="1">
      <alignment horizontal="left"/>
    </xf>
    <xf numFmtId="0" fontId="84" fillId="16" borderId="4" xfId="0" applyFont="1" applyFill="1" applyBorder="1" applyAlignment="1">
      <alignment horizontal="left"/>
    </xf>
    <xf numFmtId="0" fontId="84" fillId="16" borderId="4" xfId="0" applyFont="1" applyFill="1" applyBorder="1" applyAlignment="1">
      <alignment horizontal="left" wrapText="1"/>
    </xf>
    <xf numFmtId="0" fontId="84" fillId="5" borderId="4" xfId="0" applyFont="1" applyFill="1" applyBorder="1" applyAlignment="1">
      <alignment horizontal="left"/>
    </xf>
    <xf numFmtId="0" fontId="46" fillId="5" borderId="4" xfId="0" applyFont="1" applyFill="1" applyBorder="1" applyAlignment="1">
      <alignment horizontal="left"/>
    </xf>
    <xf numFmtId="9" fontId="84" fillId="5" borderId="4" xfId="59" applyFont="1" applyFill="1" applyBorder="1" applyAlignment="1">
      <alignment horizontal="left"/>
    </xf>
    <xf numFmtId="170" fontId="84" fillId="5" borderId="4" xfId="59" applyNumberFormat="1" applyFont="1" applyFill="1" applyBorder="1" applyAlignment="1">
      <alignment horizontal="left"/>
    </xf>
    <xf numFmtId="9" fontId="46" fillId="5" borderId="4" xfId="0" applyNumberFormat="1" applyFont="1" applyFill="1" applyBorder="1" applyAlignment="1">
      <alignment horizontal="left"/>
    </xf>
    <xf numFmtId="10" fontId="46" fillId="5" borderId="4" xfId="0" applyNumberFormat="1" applyFont="1" applyFill="1" applyBorder="1" applyAlignment="1">
      <alignment horizontal="left"/>
    </xf>
    <xf numFmtId="0" fontId="84" fillId="5" borderId="4" xfId="0" applyFont="1" applyFill="1" applyBorder="1" applyAlignment="1">
      <alignment wrapText="1"/>
    </xf>
    <xf numFmtId="0" fontId="46" fillId="5" borderId="4" xfId="0" applyFont="1" applyFill="1" applyBorder="1" applyAlignment="1">
      <alignment wrapText="1"/>
    </xf>
    <xf numFmtId="10" fontId="0" fillId="5" borderId="4" xfId="0" applyNumberFormat="1" applyFill="1" applyBorder="1"/>
    <xf numFmtId="164" fontId="57" fillId="0" borderId="4" xfId="73" applyFont="1" applyFill="1" applyBorder="1" applyAlignment="1">
      <alignment horizontal="right" vertical="center" wrapText="1"/>
    </xf>
    <xf numFmtId="164" fontId="0" fillId="0" borderId="0" xfId="73" applyFont="1"/>
    <xf numFmtId="9" fontId="57" fillId="0" borderId="4" xfId="59" applyFont="1" applyFill="1" applyBorder="1" applyAlignment="1">
      <alignment horizontal="right" vertical="center" wrapText="1"/>
    </xf>
    <xf numFmtId="43" fontId="0" fillId="0" borderId="0" xfId="0" applyNumberFormat="1" applyFont="1"/>
    <xf numFmtId="164" fontId="14" fillId="0" borderId="4" xfId="73" applyFont="1" applyBorder="1" applyAlignment="1">
      <alignment horizontal="center" vertical="center" wrapText="1"/>
    </xf>
    <xf numFmtId="0" fontId="10" fillId="19" borderId="0" xfId="0" applyFont="1" applyFill="1"/>
    <xf numFmtId="0" fontId="29" fillId="17" borderId="0" xfId="0" applyFont="1" applyFill="1"/>
    <xf numFmtId="164" fontId="10" fillId="5" borderId="4" xfId="73" applyFont="1" applyFill="1" applyBorder="1" applyAlignment="1">
      <alignment horizontal="right" vertical="center"/>
    </xf>
    <xf numFmtId="0" fontId="14" fillId="5" borderId="4" xfId="13" applyFont="1" applyFill="1" applyBorder="1" applyAlignment="1">
      <alignment horizontal="left" vertical="justify" wrapText="1"/>
    </xf>
    <xf numFmtId="0" fontId="10" fillId="5" borderId="4" xfId="13" applyFont="1" applyFill="1" applyBorder="1" applyAlignment="1">
      <alignment horizontal="left" vertical="center"/>
    </xf>
    <xf numFmtId="0" fontId="10" fillId="5" borderId="4" xfId="13" applyFont="1" applyFill="1" applyBorder="1" applyAlignment="1">
      <alignment horizontal="left" vertical="justify" wrapText="1"/>
    </xf>
    <xf numFmtId="0" fontId="10" fillId="5" borderId="4" xfId="13" applyFont="1" applyFill="1" applyBorder="1" applyAlignment="1">
      <alignment horizontal="center" vertical="center"/>
    </xf>
    <xf numFmtId="164" fontId="53" fillId="5" borderId="4" xfId="73" applyFont="1" applyFill="1" applyBorder="1" applyAlignment="1">
      <alignment horizontal="left" vertical="center" wrapText="1"/>
    </xf>
    <xf numFmtId="179" fontId="53" fillId="5" borderId="4" xfId="0" applyNumberFormat="1" applyFont="1" applyFill="1" applyBorder="1" applyAlignment="1">
      <alignment horizontal="left" vertical="center" wrapText="1"/>
    </xf>
    <xf numFmtId="43" fontId="53" fillId="5" borderId="4" xfId="0" applyNumberFormat="1" applyFont="1" applyFill="1" applyBorder="1" applyAlignment="1">
      <alignment horizontal="left" vertical="center" wrapText="1"/>
    </xf>
    <xf numFmtId="10" fontId="10" fillId="0" borderId="4" xfId="59" applyNumberFormat="1" applyFont="1" applyBorder="1" applyAlignment="1">
      <alignment horizontal="right"/>
    </xf>
    <xf numFmtId="164" fontId="14" fillId="0" borderId="4" xfId="73" applyFont="1" applyFill="1" applyBorder="1" applyAlignment="1">
      <alignment horizontal="justify" vertical="center" wrapText="1"/>
    </xf>
    <xf numFmtId="164" fontId="68" fillId="0" borderId="15" xfId="73" applyFont="1" applyFill="1" applyBorder="1" applyAlignment="1">
      <alignment horizontal="center"/>
    </xf>
    <xf numFmtId="164" fontId="10" fillId="0" borderId="15" xfId="73" applyFont="1" applyFill="1" applyBorder="1" applyAlignment="1">
      <alignment horizontal="center"/>
    </xf>
    <xf numFmtId="164" fontId="68" fillId="0" borderId="4" xfId="73" applyFont="1" applyFill="1" applyBorder="1" applyAlignment="1">
      <alignment horizontal="center" vertical="center"/>
    </xf>
    <xf numFmtId="164" fontId="0" fillId="0" borderId="4" xfId="73" applyFont="1" applyFill="1" applyBorder="1" applyAlignment="1">
      <alignment horizontal="justify" wrapText="1"/>
    </xf>
    <xf numFmtId="164" fontId="29" fillId="0" borderId="4" xfId="73" applyFont="1" applyFill="1" applyBorder="1"/>
    <xf numFmtId="43" fontId="12" fillId="0" borderId="4" xfId="0" applyNumberFormat="1" applyFont="1" applyFill="1" applyBorder="1"/>
    <xf numFmtId="0" fontId="28" fillId="20" borderId="4" xfId="0" applyFont="1" applyFill="1" applyBorder="1" applyAlignment="1">
      <alignment horizontal="center" vertical="center"/>
    </xf>
    <xf numFmtId="0" fontId="14" fillId="0" borderId="4" xfId="90" applyFont="1" applyBorder="1" applyAlignment="1">
      <alignment horizontal="left" vertical="center"/>
    </xf>
    <xf numFmtId="0" fontId="14" fillId="0" borderId="0" xfId="90" applyFont="1" applyBorder="1" applyAlignment="1">
      <alignment horizontal="left" vertical="center"/>
    </xf>
    <xf numFmtId="0" fontId="10" fillId="0" borderId="0" xfId="75" applyFont="1" applyAlignment="1">
      <alignment horizontal="centerContinuous"/>
    </xf>
    <xf numFmtId="0" fontId="10" fillId="0" borderId="0" xfId="75" applyFont="1"/>
    <xf numFmtId="0" fontId="14" fillId="0" borderId="0" xfId="75" applyFont="1" applyAlignment="1">
      <alignment horizontal="centerContinuous"/>
    </xf>
    <xf numFmtId="0" fontId="14" fillId="0" borderId="0" xfId="75" applyFont="1" applyAlignment="1">
      <alignment horizontal="left"/>
    </xf>
    <xf numFmtId="0" fontId="11" fillId="0" borderId="0" xfId="0" applyFont="1" applyBorder="1" applyAlignment="1">
      <alignment vertical="center"/>
    </xf>
    <xf numFmtId="0" fontId="57" fillId="0" borderId="4" xfId="0" applyFont="1" applyBorder="1" applyAlignment="1">
      <alignment horizontal="center" vertical="center"/>
    </xf>
    <xf numFmtId="0" fontId="57" fillId="0" borderId="0" xfId="0" applyFont="1" applyBorder="1" applyAlignment="1">
      <alignment horizontal="center" vertical="center"/>
    </xf>
    <xf numFmtId="0" fontId="10" fillId="0" borderId="0" xfId="75" applyFont="1" applyBorder="1" applyAlignment="1">
      <alignment horizontal="centerContinuous"/>
    </xf>
    <xf numFmtId="0" fontId="10" fillId="0" borderId="0" xfId="75" applyFont="1" applyFill="1" applyBorder="1"/>
    <xf numFmtId="0" fontId="10" fillId="0" borderId="0" xfId="75" applyFont="1" applyFill="1" applyBorder="1" applyAlignment="1">
      <alignment horizontal="centerContinuous"/>
    </xf>
    <xf numFmtId="0" fontId="14" fillId="0" borderId="0" xfId="75" applyFont="1" applyBorder="1" applyAlignment="1">
      <alignment horizontal="centerContinuous"/>
    </xf>
    <xf numFmtId="0" fontId="14" fillId="0" borderId="0" xfId="75" applyFont="1" applyBorder="1" applyAlignment="1">
      <alignment horizontal="left"/>
    </xf>
    <xf numFmtId="10" fontId="0" fillId="0" borderId="0" xfId="0" applyNumberFormat="1" applyFont="1" applyBorder="1" applyAlignment="1">
      <alignment horizontal="right" vertical="center"/>
    </xf>
    <xf numFmtId="0" fontId="14" fillId="5" borderId="0" xfId="75" applyFont="1" applyFill="1" applyBorder="1" applyAlignment="1">
      <alignment horizontal="centerContinuous"/>
    </xf>
    <xf numFmtId="0" fontId="58" fillId="0" borderId="0" xfId="0" applyFont="1" applyBorder="1" applyAlignment="1">
      <alignment horizontal="left" vertical="center"/>
    </xf>
    <xf numFmtId="0" fontId="58" fillId="0" borderId="0" xfId="0" applyFont="1" applyBorder="1" applyAlignment="1">
      <alignment horizontal="right" vertical="center" wrapText="1"/>
    </xf>
    <xf numFmtId="0" fontId="11" fillId="0" borderId="0" xfId="0" applyFont="1" applyBorder="1" applyAlignment="1">
      <alignment horizontal="right" vertical="center"/>
    </xf>
    <xf numFmtId="4" fontId="11" fillId="0" borderId="0" xfId="0" applyNumberFormat="1" applyFont="1" applyBorder="1" applyAlignment="1">
      <alignment horizontal="right" vertical="center" wrapText="1"/>
    </xf>
    <xf numFmtId="10" fontId="11" fillId="0" borderId="0" xfId="0" applyNumberFormat="1" applyFont="1" applyBorder="1" applyAlignment="1">
      <alignment horizontal="right" vertical="center"/>
    </xf>
    <xf numFmtId="4" fontId="58" fillId="0" borderId="0" xfId="0" applyNumberFormat="1" applyFont="1" applyBorder="1" applyAlignment="1">
      <alignment horizontal="right" vertical="center"/>
    </xf>
    <xf numFmtId="43" fontId="11" fillId="0" borderId="4" xfId="0" applyNumberFormat="1" applyFont="1" applyBorder="1" applyAlignment="1">
      <alignment horizontal="left"/>
    </xf>
    <xf numFmtId="43" fontId="10" fillId="0" borderId="4" xfId="75" applyNumberFormat="1" applyFont="1" applyBorder="1" applyAlignment="1">
      <alignment horizontal="center"/>
    </xf>
    <xf numFmtId="43" fontId="0" fillId="0" borderId="4" xfId="0" applyNumberFormat="1" applyBorder="1"/>
    <xf numFmtId="43" fontId="14" fillId="0" borderId="4" xfId="75" applyNumberFormat="1" applyFont="1" applyBorder="1" applyAlignment="1">
      <alignment horizontal="centerContinuous"/>
    </xf>
    <xf numFmtId="0" fontId="11" fillId="0" borderId="4"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0" fillId="0" borderId="0" xfId="0"/>
    <xf numFmtId="0" fontId="14" fillId="0" borderId="4" xfId="0" applyFont="1" applyBorder="1" applyAlignment="1">
      <alignment horizontal="center" vertical="center" wrapText="1"/>
    </xf>
    <xf numFmtId="0" fontId="14" fillId="8" borderId="4" xfId="0" applyFont="1" applyFill="1" applyBorder="1" applyAlignment="1">
      <alignment horizontal="center" vertical="center" wrapText="1"/>
    </xf>
    <xf numFmtId="0" fontId="14" fillId="0" borderId="0" xfId="0" applyFont="1" applyAlignment="1">
      <alignment horizontal="left"/>
    </xf>
    <xf numFmtId="0" fontId="14" fillId="0" borderId="0" xfId="0" applyFont="1"/>
    <xf numFmtId="0" fontId="10" fillId="0" borderId="0" xfId="0" applyFont="1"/>
    <xf numFmtId="164" fontId="13" fillId="0" borderId="0" xfId="73" applyFont="1"/>
    <xf numFmtId="164" fontId="13" fillId="4" borderId="0" xfId="73" applyFont="1" applyFill="1" applyAlignment="1">
      <alignment vertical="top"/>
    </xf>
    <xf numFmtId="164" fontId="14" fillId="4" borderId="0" xfId="73" applyFont="1" applyFill="1" applyAlignment="1">
      <alignment horizontal="center"/>
    </xf>
    <xf numFmtId="164" fontId="14" fillId="4" borderId="0" xfId="73" applyFont="1" applyFill="1" applyAlignment="1">
      <alignment horizontal="right" vertical="top"/>
    </xf>
    <xf numFmtId="164" fontId="14" fillId="8" borderId="4" xfId="73" applyFont="1" applyFill="1" applyBorder="1" applyAlignment="1">
      <alignment horizontal="center" vertical="center" wrapText="1"/>
    </xf>
    <xf numFmtId="164" fontId="14" fillId="8" borderId="4" xfId="73" quotePrefix="1" applyFont="1" applyFill="1" applyBorder="1" applyAlignment="1">
      <alignment horizontal="center" vertical="center"/>
    </xf>
    <xf numFmtId="164" fontId="0" fillId="0" borderId="4" xfId="73" applyFont="1" applyBorder="1"/>
    <xf numFmtId="164" fontId="14" fillId="0" borderId="4" xfId="73" applyFont="1" applyBorder="1" applyAlignment="1"/>
    <xf numFmtId="164" fontId="11" fillId="0" borderId="4" xfId="73" applyFont="1" applyBorder="1" applyAlignment="1"/>
    <xf numFmtId="180" fontId="0" fillId="0" borderId="0" xfId="73" applyNumberFormat="1" applyFont="1"/>
    <xf numFmtId="180" fontId="13" fillId="0" borderId="0" xfId="73" applyNumberFormat="1" applyFont="1"/>
    <xf numFmtId="180" fontId="14" fillId="4" borderId="0" xfId="73" applyNumberFormat="1" applyFont="1" applyFill="1" applyAlignment="1">
      <alignment horizontal="center"/>
    </xf>
    <xf numFmtId="180" fontId="14" fillId="8" borderId="4" xfId="73" applyNumberFormat="1" applyFont="1" applyFill="1" applyBorder="1" applyAlignment="1">
      <alignment horizontal="center" vertical="center" wrapText="1"/>
    </xf>
    <xf numFmtId="180" fontId="14" fillId="8" borderId="4" xfId="73" quotePrefix="1" applyNumberFormat="1" applyFont="1" applyFill="1" applyBorder="1" applyAlignment="1">
      <alignment horizontal="center" vertical="center"/>
    </xf>
    <xf numFmtId="180" fontId="0" fillId="0" borderId="4" xfId="73" applyNumberFormat="1" applyFont="1" applyBorder="1"/>
    <xf numFmtId="180" fontId="13" fillId="4" borderId="0" xfId="73" applyNumberFormat="1" applyFont="1" applyFill="1" applyAlignment="1">
      <alignment vertical="top"/>
    </xf>
    <xf numFmtId="10" fontId="0" fillId="0" borderId="0" xfId="59" applyNumberFormat="1" applyFont="1"/>
    <xf numFmtId="10" fontId="13" fillId="0" borderId="0" xfId="59" applyNumberFormat="1" applyFont="1"/>
    <xf numFmtId="10" fontId="13" fillId="4" borderId="0" xfId="59" applyNumberFormat="1" applyFont="1" applyFill="1" applyAlignment="1">
      <alignment vertical="top"/>
    </xf>
    <xf numFmtId="10" fontId="11" fillId="8" borderId="4" xfId="59" applyNumberFormat="1" applyFont="1" applyFill="1" applyBorder="1" applyAlignment="1">
      <alignment horizontal="center" vertical="center" wrapText="1"/>
    </xf>
    <xf numFmtId="10" fontId="0" fillId="0" borderId="4" xfId="59" applyNumberFormat="1" applyFont="1" applyBorder="1"/>
    <xf numFmtId="10" fontId="14" fillId="4" borderId="0" xfId="59" applyNumberFormat="1" applyFont="1" applyFill="1" applyAlignment="1">
      <alignment horizontal="right" vertical="top"/>
    </xf>
    <xf numFmtId="10" fontId="14" fillId="8" borderId="4" xfId="59" applyNumberFormat="1" applyFont="1" applyFill="1" applyBorder="1" applyAlignment="1">
      <alignment horizontal="center" vertical="center" wrapText="1"/>
    </xf>
    <xf numFmtId="180" fontId="14" fillId="4" borderId="0" xfId="73" applyNumberFormat="1" applyFont="1" applyFill="1" applyAlignment="1">
      <alignment horizontal="right" vertical="top"/>
    </xf>
    <xf numFmtId="0" fontId="10" fillId="0" borderId="4" xfId="0" quotePrefix="1" applyFont="1" applyFill="1" applyBorder="1" applyAlignment="1">
      <alignment horizontal="center" vertical="top"/>
    </xf>
    <xf numFmtId="168" fontId="12" fillId="0" borderId="4" xfId="73" applyNumberFormat="1" applyFont="1" applyFill="1" applyBorder="1"/>
    <xf numFmtId="164" fontId="10" fillId="0" borderId="4" xfId="73" applyFont="1" applyFill="1" applyBorder="1" applyAlignment="1"/>
    <xf numFmtId="164" fontId="10" fillId="0" borderId="4" xfId="73" applyFont="1" applyFill="1" applyBorder="1" applyAlignment="1">
      <alignment vertical="justify"/>
    </xf>
    <xf numFmtId="164" fontId="10" fillId="0" borderId="4" xfId="73" applyFont="1" applyFill="1" applyBorder="1" applyAlignment="1">
      <alignment vertical="justify" wrapText="1"/>
    </xf>
    <xf numFmtId="164" fontId="68" fillId="0" borderId="7" xfId="73" applyFont="1" applyFill="1" applyBorder="1" applyAlignment="1">
      <alignment vertical="center" wrapText="1"/>
    </xf>
    <xf numFmtId="164" fontId="68" fillId="0" borderId="7" xfId="73" applyFont="1" applyFill="1" applyBorder="1" applyAlignment="1">
      <alignment vertical="center"/>
    </xf>
    <xf numFmtId="164" fontId="61" fillId="0" borderId="4" xfId="73" applyFont="1" applyFill="1" applyBorder="1" applyAlignment="1">
      <alignment wrapText="1"/>
    </xf>
    <xf numFmtId="164" fontId="68" fillId="0" borderId="4" xfId="73" applyFont="1" applyFill="1" applyBorder="1" applyAlignment="1">
      <alignment horizontal="center"/>
    </xf>
    <xf numFmtId="0" fontId="10" fillId="0" borderId="4" xfId="58" applyFont="1" applyFill="1" applyBorder="1"/>
    <xf numFmtId="0" fontId="14" fillId="0" borderId="4" xfId="58" applyFont="1" applyFill="1" applyBorder="1" applyAlignment="1">
      <alignment wrapText="1"/>
    </xf>
    <xf numFmtId="0" fontId="10" fillId="0" borderId="4" xfId="58" applyFont="1" applyFill="1" applyBorder="1" applyAlignment="1">
      <alignment wrapText="1"/>
    </xf>
    <xf numFmtId="0" fontId="10" fillId="0" borderId="4" xfId="58" applyFont="1" applyFill="1" applyBorder="1" applyAlignment="1">
      <alignment horizontal="left"/>
    </xf>
    <xf numFmtId="164" fontId="10" fillId="0" borderId="7" xfId="73" applyFont="1" applyFill="1" applyBorder="1" applyAlignment="1">
      <alignment wrapText="1"/>
    </xf>
    <xf numFmtId="0" fontId="10" fillId="0" borderId="14" xfId="57" applyFont="1" applyBorder="1" applyAlignment="1">
      <alignment vertical="center" wrapText="1"/>
    </xf>
    <xf numFmtId="10" fontId="68" fillId="0" borderId="4" xfId="0" applyNumberFormat="1" applyFont="1" applyFill="1" applyBorder="1"/>
    <xf numFmtId="164" fontId="0" fillId="0" borderId="0" xfId="73" applyFont="1" applyAlignment="1">
      <alignment horizontal="justify" vertical="top" wrapText="1"/>
    </xf>
    <xf numFmtId="164" fontId="0" fillId="0" borderId="0" xfId="73" applyFont="1" applyAlignment="1">
      <alignment vertical="top"/>
    </xf>
    <xf numFmtId="164" fontId="13" fillId="0" borderId="0" xfId="73" applyFont="1" applyAlignment="1"/>
    <xf numFmtId="164" fontId="13" fillId="4" borderId="0" xfId="73" applyFont="1" applyFill="1" applyAlignment="1"/>
    <xf numFmtId="164" fontId="10" fillId="0" borderId="0" xfId="73" applyFont="1" applyAlignment="1">
      <alignment horizontal="justify" vertical="top" wrapText="1"/>
    </xf>
    <xf numFmtId="164" fontId="10" fillId="0" borderId="0" xfId="73" applyFont="1" applyAlignment="1">
      <alignment horizontal="center"/>
    </xf>
    <xf numFmtId="164" fontId="14" fillId="8" borderId="4" xfId="73" applyFont="1" applyFill="1" applyBorder="1" applyAlignment="1">
      <alignment horizontal="center" vertical="center"/>
    </xf>
    <xf numFmtId="164" fontId="14" fillId="0" borderId="4" xfId="73" applyFont="1" applyBorder="1" applyAlignment="1">
      <alignment horizontal="center" wrapText="1"/>
    </xf>
    <xf numFmtId="164" fontId="14" fillId="0" borderId="15" xfId="73" applyFont="1" applyBorder="1" applyAlignment="1">
      <alignment horizontal="left"/>
    </xf>
    <xf numFmtId="164" fontId="14" fillId="0" borderId="15" xfId="73" applyFont="1" applyBorder="1" applyAlignment="1">
      <alignment horizontal="center"/>
    </xf>
    <xf numFmtId="10" fontId="67" fillId="5" borderId="4" xfId="59" applyNumberFormat="1" applyFont="1" applyFill="1" applyBorder="1" applyAlignment="1">
      <alignment horizontal="right" wrapText="1"/>
    </xf>
    <xf numFmtId="164" fontId="67" fillId="0" borderId="4" xfId="118" applyFont="1" applyFill="1" applyBorder="1" applyAlignment="1">
      <alignment horizontal="center"/>
    </xf>
    <xf numFmtId="164" fontId="10" fillId="0" borderId="7" xfId="73" applyFont="1" applyFill="1" applyBorder="1"/>
    <xf numFmtId="164" fontId="52" fillId="0" borderId="4" xfId="73" applyFont="1" applyFill="1" applyBorder="1" applyAlignment="1">
      <alignment horizontal="right" vertical="center" wrapText="1"/>
    </xf>
    <xf numFmtId="10" fontId="12" fillId="5" borderId="4" xfId="59" applyNumberFormat="1" applyFont="1" applyFill="1" applyBorder="1" applyAlignment="1">
      <alignment vertical="center"/>
    </xf>
    <xf numFmtId="10" fontId="0" fillId="0" borderId="4" xfId="59" applyNumberFormat="1" applyFont="1" applyFill="1" applyBorder="1" applyAlignment="1">
      <alignment horizontal="right" vertical="center"/>
    </xf>
    <xf numFmtId="164" fontId="57" fillId="0" borderId="4" xfId="73" applyFont="1" applyBorder="1" applyAlignment="1">
      <alignment horizontal="right" vertical="center" wrapText="1"/>
    </xf>
    <xf numFmtId="10" fontId="58" fillId="0" borderId="4" xfId="59" applyNumberFormat="1" applyFont="1" applyBorder="1" applyAlignment="1">
      <alignment horizontal="right" vertical="center" wrapText="1"/>
    </xf>
    <xf numFmtId="10" fontId="58" fillId="0" borderId="4" xfId="59" applyNumberFormat="1" applyFont="1" applyBorder="1" applyAlignment="1">
      <alignment horizontal="right" vertical="center"/>
    </xf>
    <xf numFmtId="0" fontId="57" fillId="0" borderId="4" xfId="0" applyFont="1" applyBorder="1" applyAlignment="1">
      <alignment vertical="center" wrapText="1"/>
    </xf>
    <xf numFmtId="9" fontId="57" fillId="0" borderId="4" xfId="124" applyNumberFormat="1" applyFont="1" applyBorder="1" applyAlignment="1">
      <alignment horizontal="right" vertical="center"/>
    </xf>
    <xf numFmtId="43" fontId="57" fillId="0" borderId="4" xfId="124" applyFont="1" applyBorder="1" applyAlignment="1">
      <alignment horizontal="right" vertical="center"/>
    </xf>
    <xf numFmtId="10" fontId="57" fillId="0" borderId="4" xfId="124" applyNumberFormat="1" applyFont="1" applyBorder="1" applyAlignment="1">
      <alignment horizontal="right" vertical="center"/>
    </xf>
    <xf numFmtId="43" fontId="0" fillId="0" borderId="0" xfId="0" applyNumberFormat="1" applyAlignment="1"/>
    <xf numFmtId="10" fontId="10" fillId="5" borderId="4" xfId="59" applyNumberFormat="1" applyFont="1" applyFill="1" applyBorder="1" applyAlignment="1">
      <alignment vertical="center"/>
    </xf>
    <xf numFmtId="43" fontId="0" fillId="0" borderId="0" xfId="0" applyNumberFormat="1" applyAlignment="1">
      <alignment vertical="center"/>
    </xf>
    <xf numFmtId="43" fontId="62" fillId="0" borderId="4" xfId="0" applyNumberFormat="1" applyFont="1" applyFill="1" applyBorder="1"/>
    <xf numFmtId="2" fontId="53" fillId="5" borderId="4" xfId="0" applyNumberFormat="1" applyFont="1" applyFill="1" applyBorder="1" applyAlignment="1">
      <alignment horizontal="left" vertical="center" wrapText="1"/>
    </xf>
    <xf numFmtId="0" fontId="13" fillId="4" borderId="0" xfId="0" applyFont="1" applyFill="1" applyAlignment="1">
      <alignment horizontal="left"/>
    </xf>
    <xf numFmtId="0" fontId="30"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0" xfId="0" applyFont="1" applyAlignment="1">
      <alignment horizontal="left"/>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xf>
    <xf numFmtId="0" fontId="14" fillId="8" borderId="8" xfId="0" applyFont="1" applyFill="1" applyBorder="1" applyAlignment="1">
      <alignment horizontal="center" vertical="center" wrapText="1"/>
    </xf>
    <xf numFmtId="0" fontId="14" fillId="8" borderId="4" xfId="18" applyFont="1" applyFill="1" applyBorder="1" applyAlignment="1">
      <alignment horizontal="center" vertical="center"/>
    </xf>
    <xf numFmtId="0" fontId="13" fillId="0" borderId="0" xfId="18" applyFont="1"/>
    <xf numFmtId="0" fontId="0" fillId="0" borderId="0" xfId="0"/>
    <xf numFmtId="0" fontId="14" fillId="0" borderId="0" xfId="0" applyFont="1" applyFill="1" applyAlignment="1">
      <alignment horizontal="center"/>
    </xf>
    <xf numFmtId="0" fontId="12" fillId="0" borderId="0" xfId="0" applyFont="1"/>
    <xf numFmtId="0" fontId="14" fillId="0" borderId="6" xfId="0" applyFont="1" applyBorder="1" applyAlignment="1">
      <alignment horizontal="center"/>
    </xf>
    <xf numFmtId="0" fontId="14" fillId="4" borderId="0" xfId="18" applyFont="1" applyFill="1" applyAlignment="1">
      <alignment horizontal="center"/>
    </xf>
    <xf numFmtId="0" fontId="14" fillId="11" borderId="4" xfId="90" applyFont="1" applyFill="1" applyBorder="1" applyAlignment="1">
      <alignment horizontal="center" vertical="center" wrapText="1"/>
    </xf>
    <xf numFmtId="0" fontId="14" fillId="8" borderId="4" xfId="18" applyFont="1" applyFill="1" applyBorder="1" applyAlignment="1">
      <alignment horizontal="center" vertical="center" wrapText="1"/>
    </xf>
    <xf numFmtId="0" fontId="11" fillId="0" borderId="0" xfId="0" applyFont="1"/>
    <xf numFmtId="0" fontId="14" fillId="0" borderId="0" xfId="0" applyFont="1" applyAlignment="1">
      <alignment vertical="center"/>
    </xf>
    <xf numFmtId="0" fontId="14" fillId="0" borderId="0" xfId="74" applyFont="1" applyFill="1" applyAlignment="1">
      <alignment horizontal="left"/>
    </xf>
    <xf numFmtId="0" fontId="0" fillId="0" borderId="4" xfId="0" applyBorder="1" applyAlignment="1">
      <alignment horizontal="center" vertical="center"/>
    </xf>
    <xf numFmtId="0" fontId="10" fillId="0" borderId="0" xfId="0" applyFont="1"/>
    <xf numFmtId="0" fontId="14" fillId="0" borderId="4" xfId="0" applyFont="1" applyBorder="1" applyAlignment="1">
      <alignment horizontal="center"/>
    </xf>
    <xf numFmtId="0" fontId="10" fillId="0" borderId="0" xfId="0" applyFont="1" applyAlignment="1">
      <alignment wrapText="1"/>
    </xf>
    <xf numFmtId="43" fontId="0" fillId="0" borderId="12" xfId="0" applyNumberFormat="1" applyFill="1" applyBorder="1"/>
    <xf numFmtId="0" fontId="14" fillId="8" borderId="4" xfId="0" applyFont="1" applyFill="1" applyBorder="1" applyAlignment="1">
      <alignment horizontal="center" vertical="center"/>
    </xf>
    <xf numFmtId="0" fontId="14" fillId="8" borderId="4" xfId="0" applyFont="1" applyFill="1" applyBorder="1" applyAlignment="1">
      <alignment horizontal="center" vertical="center" wrapText="1"/>
    </xf>
    <xf numFmtId="0" fontId="14" fillId="8" borderId="4" xfId="18" applyFont="1" applyFill="1" applyBorder="1" applyAlignment="1">
      <alignment horizontal="center" vertical="center"/>
    </xf>
    <xf numFmtId="164" fontId="14" fillId="8" borderId="4" xfId="73" applyFont="1" applyFill="1" applyBorder="1" applyAlignment="1">
      <alignment horizontal="center" vertical="center"/>
    </xf>
    <xf numFmtId="0" fontId="0" fillId="0" borderId="0" xfId="0" applyAlignment="1">
      <alignment horizontal="center"/>
    </xf>
    <xf numFmtId="0" fontId="14" fillId="8" borderId="4" xfId="18" applyFont="1" applyFill="1" applyBorder="1" applyAlignment="1">
      <alignment horizontal="center" vertical="center" wrapText="1"/>
    </xf>
    <xf numFmtId="0" fontId="11" fillId="8" borderId="4" xfId="0" applyFont="1" applyFill="1" applyBorder="1" applyAlignment="1">
      <alignment horizontal="center" vertical="center"/>
    </xf>
    <xf numFmtId="0" fontId="11" fillId="13" borderId="4" xfId="0" applyFont="1" applyFill="1" applyBorder="1" applyAlignment="1">
      <alignment horizontal="center" vertical="center" wrapText="1"/>
    </xf>
    <xf numFmtId="0" fontId="0" fillId="0" borderId="4" xfId="0" applyFont="1" applyBorder="1" applyAlignment="1">
      <alignment vertical="top"/>
    </xf>
    <xf numFmtId="0" fontId="0" fillId="0" borderId="4" xfId="0" applyFont="1" applyFill="1" applyBorder="1" applyAlignment="1">
      <alignment vertical="center" wrapText="1"/>
    </xf>
    <xf numFmtId="0" fontId="0" fillId="0" borderId="4" xfId="0" applyFont="1" applyFill="1" applyBorder="1" applyAlignment="1">
      <alignment horizontal="right" vertical="center" wrapText="1"/>
    </xf>
    <xf numFmtId="170" fontId="0" fillId="0" borderId="4" xfId="59" applyNumberFormat="1" applyFont="1" applyFill="1" applyBorder="1" applyAlignment="1">
      <alignment vertical="center" wrapText="1"/>
    </xf>
    <xf numFmtId="170" fontId="0" fillId="0" borderId="4" xfId="59" applyNumberFormat="1" applyFont="1" applyFill="1" applyBorder="1"/>
    <xf numFmtId="170" fontId="12" fillId="0" borderId="4" xfId="59" applyNumberFormat="1" applyFont="1" applyFill="1" applyBorder="1"/>
    <xf numFmtId="10" fontId="11" fillId="0" borderId="4" xfId="0" applyNumberFormat="1" applyFont="1" applyFill="1" applyBorder="1" applyAlignment="1"/>
    <xf numFmtId="10" fontId="12" fillId="0" borderId="4" xfId="0" applyNumberFormat="1" applyFont="1" applyFill="1" applyBorder="1"/>
    <xf numFmtId="164" fontId="14" fillId="0" borderId="4" xfId="73" applyFont="1" applyFill="1" applyBorder="1" applyAlignment="1">
      <alignment horizontal="justify" wrapText="1"/>
    </xf>
    <xf numFmtId="164" fontId="14" fillId="0" borderId="4" xfId="73" applyFont="1" applyFill="1" applyBorder="1" applyAlignment="1">
      <alignment horizontal="center" wrapText="1"/>
    </xf>
    <xf numFmtId="164" fontId="10" fillId="0" borderId="4" xfId="0" applyNumberFormat="1" applyFont="1" applyFill="1" applyBorder="1" applyAlignment="1">
      <alignment horizontal="center" wrapText="1"/>
    </xf>
    <xf numFmtId="0" fontId="10" fillId="0" borderId="4" xfId="18" applyFont="1" applyFill="1" applyBorder="1" applyAlignment="1">
      <alignment horizontal="right" vertical="center"/>
    </xf>
    <xf numFmtId="4" fontId="0" fillId="0" borderId="4" xfId="0" applyNumberFormat="1" applyFont="1" applyFill="1" applyBorder="1" applyAlignment="1">
      <alignment horizontal="right" vertical="center"/>
    </xf>
    <xf numFmtId="1" fontId="0" fillId="0" borderId="4" xfId="0" applyNumberFormat="1" applyFont="1" applyFill="1" applyBorder="1" applyAlignment="1">
      <alignment horizontal="right" vertical="center"/>
    </xf>
    <xf numFmtId="10" fontId="11" fillId="0" borderId="4" xfId="59" applyNumberFormat="1" applyFont="1" applyFill="1" applyBorder="1"/>
    <xf numFmtId="10" fontId="11" fillId="0" borderId="4" xfId="59" applyNumberFormat="1" applyFont="1" applyFill="1" applyBorder="1" applyAlignment="1">
      <alignment horizontal="right"/>
    </xf>
    <xf numFmtId="10" fontId="17" fillId="5" borderId="4" xfId="59" applyNumberFormat="1" applyFont="1" applyFill="1" applyBorder="1" applyAlignment="1">
      <alignment horizontal="right" vertical="center"/>
    </xf>
    <xf numFmtId="164" fontId="17" fillId="5" borderId="4" xfId="18" applyNumberFormat="1" applyFont="1" applyFill="1" applyBorder="1" applyAlignment="1">
      <alignment horizontal="right" vertical="center"/>
    </xf>
    <xf numFmtId="0" fontId="10" fillId="0" borderId="17" xfId="0" applyFont="1" applyBorder="1"/>
    <xf numFmtId="0" fontId="10" fillId="0" borderId="8" xfId="0" applyFont="1" applyBorder="1"/>
    <xf numFmtId="0" fontId="10" fillId="0" borderId="19" xfId="0" applyFont="1" applyBorder="1"/>
    <xf numFmtId="0" fontId="13" fillId="4" borderId="0" xfId="0" applyFont="1" applyFill="1" applyAlignment="1">
      <alignment wrapText="1"/>
    </xf>
    <xf numFmtId="0" fontId="14" fillId="0" borderId="0" xfId="0" applyFont="1" applyAlignment="1">
      <alignment horizontal="center" wrapText="1"/>
    </xf>
    <xf numFmtId="0" fontId="10" fillId="0" borderId="0" xfId="0" applyFont="1" applyFill="1"/>
    <xf numFmtId="0" fontId="13" fillId="0" borderId="0" xfId="0" applyFont="1" applyFill="1" applyAlignment="1"/>
    <xf numFmtId="0" fontId="10" fillId="0" borderId="0" xfId="0" applyFont="1" applyFill="1" applyAlignment="1"/>
    <xf numFmtId="0" fontId="10" fillId="0" borderId="10" xfId="0" applyFont="1" applyFill="1" applyBorder="1"/>
    <xf numFmtId="0" fontId="14" fillId="0" borderId="7" xfId="0" applyFont="1" applyFill="1" applyBorder="1" applyAlignment="1">
      <alignment horizontal="left"/>
    </xf>
    <xf numFmtId="0" fontId="11" fillId="0" borderId="7" xfId="0" applyFont="1" applyFill="1" applyBorder="1" applyAlignment="1">
      <alignment horizontal="left"/>
    </xf>
    <xf numFmtId="0" fontId="11" fillId="0" borderId="7" xfId="0" applyFont="1" applyFill="1" applyBorder="1"/>
    <xf numFmtId="0" fontId="11" fillId="0" borderId="7" xfId="0" applyFont="1" applyFill="1" applyBorder="1" applyAlignment="1">
      <alignment horizontal="center"/>
    </xf>
    <xf numFmtId="0" fontId="14" fillId="0" borderId="4" xfId="0" applyFont="1" applyFill="1" applyBorder="1" applyAlignment="1">
      <alignment horizontal="left"/>
    </xf>
    <xf numFmtId="0" fontId="11" fillId="0" borderId="4" xfId="0" applyFont="1" applyFill="1" applyBorder="1" applyAlignment="1">
      <alignment horizontal="left"/>
    </xf>
    <xf numFmtId="0" fontId="11" fillId="0" borderId="4" xfId="0" applyFont="1" applyFill="1" applyBorder="1" applyAlignment="1">
      <alignment horizontal="center"/>
    </xf>
    <xf numFmtId="0" fontId="44" fillId="0" borderId="4" xfId="117" applyFont="1" applyFill="1" applyBorder="1" applyAlignment="1">
      <alignment vertical="center" wrapText="1"/>
    </xf>
    <xf numFmtId="0" fontId="10" fillId="0" borderId="5" xfId="0" applyFont="1" applyFill="1" applyBorder="1"/>
    <xf numFmtId="0" fontId="44" fillId="0" borderId="4" xfId="117" applyFont="1" applyFill="1" applyBorder="1" applyAlignment="1">
      <alignment horizontal="left" vertical="center" wrapText="1"/>
    </xf>
    <xf numFmtId="9" fontId="29" fillId="0" borderId="4" xfId="59" applyFont="1" applyFill="1" applyBorder="1" applyAlignment="1">
      <alignment horizontal="center"/>
    </xf>
    <xf numFmtId="9" fontId="0" fillId="0" borderId="4" xfId="59" applyFont="1" applyFill="1" applyBorder="1" applyAlignment="1">
      <alignment horizontal="center"/>
    </xf>
    <xf numFmtId="0" fontId="45" fillId="0" borderId="4" xfId="117" applyFont="1" applyFill="1" applyBorder="1" applyAlignment="1">
      <alignment horizontal="left" vertical="center" wrapText="1"/>
    </xf>
    <xf numFmtId="10" fontId="10" fillId="0" borderId="7" xfId="0" applyNumberFormat="1" applyFont="1" applyFill="1" applyBorder="1" applyAlignment="1">
      <alignment horizontal="right"/>
    </xf>
    <xf numFmtId="2" fontId="0" fillId="0" borderId="4" xfId="59" applyNumberFormat="1" applyFont="1" applyFill="1" applyBorder="1" applyAlignment="1">
      <alignment horizontal="center"/>
    </xf>
    <xf numFmtId="10" fontId="11" fillId="0" borderId="4" xfId="0" applyNumberFormat="1" applyFont="1" applyFill="1" applyBorder="1"/>
    <xf numFmtId="43" fontId="11" fillId="0" borderId="4" xfId="0" applyNumberFormat="1" applyFont="1" applyFill="1" applyBorder="1"/>
    <xf numFmtId="0" fontId="44" fillId="0" borderId="4" xfId="0" applyFont="1" applyFill="1" applyBorder="1"/>
    <xf numFmtId="0" fontId="45" fillId="0" borderId="4" xfId="0" applyFont="1" applyFill="1" applyBorder="1"/>
    <xf numFmtId="0" fontId="14" fillId="0" borderId="7" xfId="0" applyFont="1" applyFill="1" applyBorder="1" applyAlignment="1">
      <alignment horizontal="left" wrapText="1"/>
    </xf>
    <xf numFmtId="0" fontId="44" fillId="0" borderId="4" xfId="0" applyFont="1" applyFill="1" applyBorder="1" applyAlignment="1">
      <alignment wrapText="1"/>
    </xf>
    <xf numFmtId="0" fontId="45" fillId="0" borderId="4" xfId="0" applyFont="1" applyFill="1" applyBorder="1" applyAlignment="1">
      <alignment wrapText="1"/>
    </xf>
    <xf numFmtId="0" fontId="14" fillId="0" borderId="0" xfId="0" applyFont="1" applyFill="1" applyAlignment="1">
      <alignment wrapText="1"/>
    </xf>
    <xf numFmtId="0" fontId="13" fillId="0" borderId="0" xfId="0" applyFont="1" applyAlignment="1">
      <alignment wrapText="1"/>
    </xf>
    <xf numFmtId="0" fontId="13" fillId="4" borderId="0" xfId="0" applyFont="1" applyFill="1" applyAlignment="1">
      <alignment horizontal="center"/>
    </xf>
    <xf numFmtId="0" fontId="14" fillId="0" borderId="0" xfId="0" applyFont="1" applyFill="1" applyAlignment="1">
      <alignment horizontal="left" wrapText="1"/>
    </xf>
    <xf numFmtId="43" fontId="10" fillId="0" borderId="0" xfId="0" applyNumberFormat="1" applyFont="1" applyBorder="1"/>
    <xf numFmtId="0" fontId="44" fillId="0" borderId="7" xfId="117" applyFont="1" applyFill="1" applyBorder="1" applyAlignment="1">
      <alignment horizontal="left" vertical="center" wrapText="1"/>
    </xf>
    <xf numFmtId="164" fontId="12" fillId="0" borderId="4" xfId="73" applyFont="1" applyBorder="1" applyAlignment="1">
      <alignment horizontal="left"/>
    </xf>
    <xf numFmtId="164" fontId="12" fillId="0" borderId="4" xfId="73" applyFont="1" applyBorder="1" applyAlignment="1">
      <alignment horizontal="center"/>
    </xf>
    <xf numFmtId="164" fontId="12" fillId="0" borderId="4" xfId="73" applyFont="1" applyBorder="1"/>
    <xf numFmtId="164" fontId="12" fillId="0" borderId="4" xfId="73" applyFont="1" applyBorder="1" applyAlignment="1"/>
    <xf numFmtId="164" fontId="14" fillId="0" borderId="4" xfId="73" applyFont="1" applyFill="1" applyBorder="1" applyAlignment="1">
      <alignment horizontal="center" vertical="top"/>
    </xf>
    <xf numFmtId="168" fontId="11" fillId="0" borderId="4" xfId="73" applyNumberFormat="1" applyFont="1" applyFill="1" applyBorder="1"/>
    <xf numFmtId="0" fontId="29" fillId="0" borderId="4" xfId="0" applyFont="1" applyFill="1" applyBorder="1"/>
    <xf numFmtId="10" fontId="10" fillId="0" borderId="4" xfId="59" applyNumberFormat="1" applyFont="1" applyFill="1" applyBorder="1"/>
    <xf numFmtId="10" fontId="29" fillId="0" borderId="4" xfId="59" applyNumberFormat="1" applyFont="1" applyFill="1" applyBorder="1"/>
    <xf numFmtId="10" fontId="0" fillId="0" borderId="4" xfId="59" applyNumberFormat="1" applyFont="1" applyFill="1" applyBorder="1" applyAlignment="1"/>
    <xf numFmtId="0" fontId="75" fillId="0" borderId="4" xfId="0" applyFont="1" applyBorder="1"/>
    <xf numFmtId="0" fontId="76" fillId="0" borderId="4" xfId="0" applyFont="1" applyBorder="1"/>
    <xf numFmtId="0" fontId="77" fillId="0" borderId="4" xfId="0" applyFont="1" applyBorder="1"/>
    <xf numFmtId="0" fontId="0" fillId="0" borderId="4" xfId="0" applyFill="1" applyBorder="1" applyAlignment="1">
      <alignment horizontal="center"/>
    </xf>
    <xf numFmtId="0" fontId="75" fillId="0" borderId="4" xfId="0" applyFont="1" applyFill="1" applyBorder="1"/>
    <xf numFmtId="0" fontId="10" fillId="0" borderId="4" xfId="0" applyFont="1" applyFill="1" applyBorder="1" applyAlignment="1">
      <alignment horizontal="left"/>
    </xf>
    <xf numFmtId="1" fontId="14" fillId="0" borderId="4" xfId="0" applyNumberFormat="1" applyFont="1" applyFill="1" applyBorder="1" applyAlignment="1">
      <alignment horizontal="right"/>
    </xf>
    <xf numFmtId="0" fontId="21" fillId="0" borderId="4" xfId="0" applyFont="1" applyFill="1" applyBorder="1" applyAlignment="1">
      <alignment horizontal="center"/>
    </xf>
    <xf numFmtId="0" fontId="76" fillId="0" borderId="4" xfId="0" applyFont="1" applyFill="1" applyBorder="1"/>
    <xf numFmtId="0" fontId="21" fillId="0" borderId="4" xfId="0" applyFont="1" applyFill="1" applyBorder="1"/>
    <xf numFmtId="1" fontId="14" fillId="0" borderId="4" xfId="0" applyNumberFormat="1" applyFont="1" applyFill="1" applyBorder="1"/>
    <xf numFmtId="0" fontId="77" fillId="0" borderId="4" xfId="0" applyFont="1" applyFill="1" applyBorder="1"/>
    <xf numFmtId="0" fontId="78" fillId="0" borderId="4" xfId="0" applyFont="1" applyFill="1" applyBorder="1"/>
    <xf numFmtId="0" fontId="78" fillId="0" borderId="4" xfId="0" applyFont="1" applyFill="1" applyBorder="1" applyAlignment="1">
      <alignment horizontal="left" vertical="center" wrapText="1"/>
    </xf>
    <xf numFmtId="0" fontId="76" fillId="0" borderId="4" xfId="0" applyFont="1" applyFill="1" applyBorder="1" applyAlignment="1">
      <alignment horizontal="left" vertical="center" wrapText="1"/>
    </xf>
    <xf numFmtId="0" fontId="75" fillId="0" borderId="4" xfId="0" applyFont="1" applyFill="1" applyBorder="1" applyAlignment="1">
      <alignment wrapText="1"/>
    </xf>
    <xf numFmtId="0" fontId="75" fillId="0" borderId="0" xfId="0" applyFont="1" applyFill="1"/>
    <xf numFmtId="180" fontId="14" fillId="0" borderId="4" xfId="73" applyNumberFormat="1" applyFont="1" applyFill="1" applyBorder="1" applyAlignment="1">
      <alignment horizontal="center" vertical="top" wrapText="1"/>
    </xf>
    <xf numFmtId="164" fontId="14" fillId="0" borderId="4" xfId="73" applyFont="1" applyFill="1" applyBorder="1" applyAlignment="1">
      <alignment horizontal="center" vertical="top" wrapText="1"/>
    </xf>
    <xf numFmtId="0" fontId="76" fillId="0" borderId="0" xfId="0" applyFont="1" applyFill="1"/>
    <xf numFmtId="0" fontId="77" fillId="0" borderId="0" xfId="0" applyFont="1" applyFill="1"/>
    <xf numFmtId="0" fontId="78" fillId="0" borderId="0" xfId="0" applyFont="1" applyFill="1"/>
    <xf numFmtId="0" fontId="78" fillId="0" borderId="0" xfId="0" applyFont="1" applyFill="1" applyAlignment="1">
      <alignment horizontal="left" vertical="center" wrapText="1"/>
    </xf>
    <xf numFmtId="0" fontId="76" fillId="0" borderId="0" xfId="0" applyFont="1" applyFill="1" applyAlignment="1">
      <alignment horizontal="left" vertical="center" wrapText="1"/>
    </xf>
    <xf numFmtId="0" fontId="75" fillId="0" borderId="0" xfId="0" applyFont="1" applyFill="1" applyAlignment="1">
      <alignment wrapText="1"/>
    </xf>
    <xf numFmtId="0" fontId="10" fillId="0" borderId="6" xfId="0" applyFont="1" applyBorder="1" applyAlignment="1">
      <alignment horizontal="center" vertical="top" wrapText="1"/>
    </xf>
    <xf numFmtId="0" fontId="10" fillId="0" borderId="6" xfId="0" applyFont="1" applyBorder="1" applyAlignment="1">
      <alignment horizontal="center"/>
    </xf>
    <xf numFmtId="0" fontId="14" fillId="0" borderId="6" xfId="0" applyFont="1" applyBorder="1" applyAlignment="1">
      <alignment horizontal="left"/>
    </xf>
    <xf numFmtId="0" fontId="10" fillId="0" borderId="6" xfId="0" applyFont="1" applyBorder="1" applyAlignment="1">
      <alignment horizontal="left"/>
    </xf>
    <xf numFmtId="0" fontId="10" fillId="0" borderId="6" xfId="0" applyFont="1" applyBorder="1"/>
    <xf numFmtId="0" fontId="10" fillId="0" borderId="0" xfId="0" applyFont="1" applyBorder="1" applyAlignment="1"/>
    <xf numFmtId="0" fontId="14" fillId="0" borderId="28" xfId="0" applyFont="1" applyBorder="1" applyAlignment="1">
      <alignment vertical="top" wrapText="1"/>
    </xf>
    <xf numFmtId="164" fontId="10" fillId="5" borderId="7" xfId="73" applyFont="1" applyFill="1" applyBorder="1" applyAlignment="1">
      <alignment vertical="top" wrapText="1"/>
    </xf>
    <xf numFmtId="164" fontId="10" fillId="0" borderId="7" xfId="118" applyFont="1" applyFill="1" applyBorder="1" applyAlignment="1">
      <alignment vertical="top" wrapText="1"/>
    </xf>
    <xf numFmtId="43" fontId="14" fillId="0" borderId="28" xfId="0" applyNumberFormat="1" applyFont="1" applyBorder="1" applyAlignment="1">
      <alignment vertical="top" wrapText="1"/>
    </xf>
    <xf numFmtId="0" fontId="22" fillId="0" borderId="4" xfId="0" applyFont="1" applyFill="1" applyBorder="1" applyAlignment="1">
      <alignment horizontal="center"/>
    </xf>
    <xf numFmtId="0" fontId="14" fillId="0" borderId="4" xfId="0" applyFont="1" applyFill="1" applyBorder="1" applyAlignment="1">
      <alignment horizontal="center" vertical="center"/>
    </xf>
    <xf numFmtId="0" fontId="14" fillId="0" borderId="4" xfId="0" applyFont="1" applyFill="1" applyBorder="1" applyAlignment="1">
      <alignment vertical="top" wrapText="1"/>
    </xf>
    <xf numFmtId="0" fontId="10" fillId="0" borderId="6" xfId="0" applyFont="1" applyBorder="1" applyAlignment="1">
      <alignment horizontal="center" vertical="top"/>
    </xf>
    <xf numFmtId="0" fontId="10" fillId="0" borderId="6" xfId="0" applyFont="1" applyBorder="1" applyAlignment="1">
      <alignment horizontal="left" vertical="top"/>
    </xf>
    <xf numFmtId="0" fontId="21" fillId="0" borderId="6" xfId="0" applyFont="1" applyBorder="1"/>
    <xf numFmtId="0" fontId="10" fillId="5" borderId="6" xfId="0" applyFont="1" applyFill="1" applyBorder="1" applyAlignment="1">
      <alignment horizontal="center" vertical="top" wrapText="1"/>
    </xf>
    <xf numFmtId="0" fontId="11" fillId="5" borderId="6" xfId="0" applyFont="1" applyFill="1" applyBorder="1"/>
    <xf numFmtId="0" fontId="0" fillId="5" borderId="6" xfId="0" applyFill="1" applyBorder="1"/>
    <xf numFmtId="0" fontId="0" fillId="5" borderId="6" xfId="0" applyFont="1" applyFill="1" applyBorder="1"/>
    <xf numFmtId="0" fontId="10" fillId="0" borderId="4" xfId="0" applyFont="1" applyFill="1" applyBorder="1" applyAlignment="1">
      <alignment vertical="center"/>
    </xf>
    <xf numFmtId="0" fontId="0" fillId="0" borderId="0" xfId="0" applyFill="1" applyAlignment="1">
      <alignment vertical="center" wrapText="1"/>
    </xf>
    <xf numFmtId="0" fontId="0" fillId="0" borderId="4" xfId="0" applyFill="1" applyBorder="1" applyAlignment="1">
      <alignment vertical="center" wrapText="1"/>
    </xf>
    <xf numFmtId="164" fontId="10" fillId="0" borderId="4" xfId="73" applyFont="1" applyFill="1" applyBorder="1" applyAlignment="1">
      <alignment horizontal="center" vertical="center" wrapText="1"/>
    </xf>
    <xf numFmtId="0" fontId="10" fillId="0" borderId="4" xfId="0" applyFont="1" applyFill="1" applyBorder="1" applyAlignment="1">
      <alignment horizontal="center" vertical="center" wrapText="1"/>
    </xf>
    <xf numFmtId="172" fontId="14" fillId="0" borderId="4" xfId="0" applyNumberFormat="1" applyFont="1" applyFill="1" applyBorder="1" applyAlignment="1">
      <alignment horizontal="center" vertical="center" wrapText="1"/>
    </xf>
    <xf numFmtId="171" fontId="14" fillId="0" borderId="4"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0" fillId="0" borderId="0" xfId="0" applyFont="1" applyFill="1" applyAlignment="1">
      <alignment horizontal="center" vertical="center" wrapText="1"/>
    </xf>
    <xf numFmtId="172" fontId="14" fillId="0" borderId="0" xfId="0" applyNumberFormat="1" applyFont="1" applyFill="1" applyAlignment="1">
      <alignment horizontal="center" vertical="center" wrapText="1"/>
    </xf>
    <xf numFmtId="171" fontId="14" fillId="0" borderId="0" xfId="0" applyNumberFormat="1" applyFont="1" applyFill="1" applyAlignment="1">
      <alignment horizontal="center" vertical="center" wrapText="1"/>
    </xf>
    <xf numFmtId="0" fontId="13" fillId="0" borderId="0" xfId="0" applyFont="1" applyFill="1"/>
    <xf numFmtId="172" fontId="10" fillId="0" borderId="0" xfId="0" applyNumberFormat="1" applyFont="1" applyFill="1"/>
    <xf numFmtId="171" fontId="10" fillId="0" borderId="0" xfId="0" applyNumberFormat="1" applyFont="1" applyFill="1"/>
    <xf numFmtId="164" fontId="53" fillId="0" borderId="4" xfId="73" applyFont="1" applyFill="1" applyBorder="1" applyAlignment="1">
      <alignment horizontal="left" vertical="center" wrapText="1"/>
    </xf>
    <xf numFmtId="164" fontId="14" fillId="0" borderId="4" xfId="73" applyFont="1" applyFill="1" applyBorder="1" applyAlignment="1">
      <alignment horizontal="center" vertical="center" wrapText="1"/>
    </xf>
    <xf numFmtId="10" fontId="0" fillId="0" borderId="4" xfId="0" applyNumberFormat="1" applyFont="1" applyFill="1" applyBorder="1" applyAlignment="1">
      <alignment horizontal="right" vertical="center"/>
    </xf>
    <xf numFmtId="43" fontId="57" fillId="0" borderId="4" xfId="0" applyNumberFormat="1" applyFont="1" applyFill="1" applyBorder="1" applyAlignment="1">
      <alignment horizontal="right" vertical="center"/>
    </xf>
    <xf numFmtId="10" fontId="10" fillId="0" borderId="4" xfId="108" applyNumberFormat="1" applyFont="1" applyFill="1" applyBorder="1">
      <alignment vertical="center"/>
    </xf>
    <xf numFmtId="0" fontId="29" fillId="0" borderId="4" xfId="13" applyFont="1" applyFill="1" applyBorder="1" applyAlignment="1">
      <alignment horizontal="center"/>
    </xf>
    <xf numFmtId="2" fontId="10" fillId="0" borderId="4" xfId="13" applyNumberFormat="1" applyFont="1" applyFill="1" applyBorder="1" applyAlignment="1">
      <alignment horizontal="center"/>
    </xf>
    <xf numFmtId="0" fontId="10" fillId="0" borderId="4" xfId="13" applyFont="1" applyFill="1" applyBorder="1" applyAlignment="1">
      <alignment horizontal="center" wrapText="1"/>
    </xf>
    <xf numFmtId="164" fontId="28" fillId="0" borderId="4" xfId="73" applyFont="1" applyFill="1" applyBorder="1" applyAlignment="1">
      <alignment horizontal="center"/>
    </xf>
    <xf numFmtId="10" fontId="10" fillId="0" borderId="4" xfId="13" applyNumberFormat="1" applyFont="1" applyFill="1" applyBorder="1" applyAlignment="1">
      <alignment horizontal="center" wrapText="1"/>
    </xf>
    <xf numFmtId="0" fontId="13" fillId="4" borderId="0" xfId="74" applyFont="1" applyFill="1" applyAlignment="1">
      <alignment horizontal="left"/>
    </xf>
    <xf numFmtId="0" fontId="0" fillId="0" borderId="4" xfId="0" applyBorder="1" applyAlignment="1">
      <alignment horizontal="left" vertical="center" wrapText="1"/>
    </xf>
    <xf numFmtId="0" fontId="0" fillId="0" borderId="4" xfId="0" applyFill="1" applyBorder="1" applyAlignment="1">
      <alignment horizontal="center" vertical="center"/>
    </xf>
    <xf numFmtId="164" fontId="14" fillId="0" borderId="4" xfId="73" applyFont="1" applyFill="1" applyBorder="1"/>
    <xf numFmtId="180" fontId="0" fillId="0" borderId="4" xfId="73" applyNumberFormat="1" applyFont="1" applyBorder="1" applyAlignment="1">
      <alignment horizontal="center"/>
    </xf>
    <xf numFmtId="9" fontId="80" fillId="0" borderId="4" xfId="0" applyNumberFormat="1" applyFont="1" applyFill="1" applyBorder="1" applyAlignment="1">
      <alignment horizontal="center" vertical="center" wrapText="1"/>
    </xf>
    <xf numFmtId="9" fontId="62" fillId="0" borderId="4" xfId="0" applyNumberFormat="1" applyFont="1" applyFill="1" applyBorder="1" applyAlignment="1">
      <alignment horizontal="center" vertical="center" wrapText="1"/>
    </xf>
    <xf numFmtId="164" fontId="10" fillId="0" borderId="0" xfId="73" applyFont="1" applyAlignment="1">
      <alignment vertical="center"/>
    </xf>
    <xf numFmtId="0" fontId="14" fillId="0" borderId="4" xfId="57" applyFont="1" applyBorder="1" applyAlignment="1">
      <alignment vertical="center"/>
    </xf>
    <xf numFmtId="164" fontId="11" fillId="0" borderId="4" xfId="73" applyFont="1" applyFill="1" applyBorder="1" applyAlignment="1">
      <alignment horizontal="center" vertical="center" wrapText="1"/>
    </xf>
    <xf numFmtId="180" fontId="11" fillId="0" borderId="4" xfId="73" applyNumberFormat="1" applyFont="1" applyFill="1" applyBorder="1" applyAlignment="1">
      <alignment horizontal="center" vertical="center" wrapText="1"/>
    </xf>
    <xf numFmtId="180" fontId="14" fillId="0" borderId="4" xfId="73" applyNumberFormat="1" applyFont="1" applyFill="1" applyBorder="1" applyAlignment="1">
      <alignment horizontal="left" vertical="center" wrapText="1"/>
    </xf>
    <xf numFmtId="164" fontId="11" fillId="0" borderId="4" xfId="73" applyNumberFormat="1" applyFont="1" applyFill="1" applyBorder="1" applyAlignment="1">
      <alignment horizontal="center" vertical="center" wrapText="1"/>
    </xf>
    <xf numFmtId="164" fontId="14" fillId="0" borderId="4" xfId="73" applyNumberFormat="1" applyFont="1" applyFill="1" applyBorder="1" applyAlignment="1">
      <alignment horizontal="left" vertical="center" wrapText="1"/>
    </xf>
    <xf numFmtId="180" fontId="12" fillId="0" borderId="4" xfId="73" applyNumberFormat="1" applyFont="1" applyFill="1" applyBorder="1"/>
    <xf numFmtId="180" fontId="10" fillId="0" borderId="4" xfId="73" applyNumberFormat="1" applyFont="1" applyBorder="1" applyAlignment="1">
      <alignment vertical="center"/>
    </xf>
    <xf numFmtId="164" fontId="59" fillId="0" borderId="4" xfId="73" applyFont="1" applyBorder="1" applyAlignment="1">
      <alignment horizontal="right" vertical="center"/>
    </xf>
    <xf numFmtId="164" fontId="0" fillId="0" borderId="15" xfId="73" applyFont="1" applyFill="1" applyBorder="1"/>
    <xf numFmtId="164" fontId="11" fillId="0" borderId="4" xfId="73" applyFont="1" applyFill="1" applyBorder="1"/>
    <xf numFmtId="164" fontId="14" fillId="0" borderId="4" xfId="73" applyFont="1" applyFill="1" applyBorder="1" applyAlignment="1"/>
    <xf numFmtId="164" fontId="11" fillId="0" borderId="4" xfId="73" applyFont="1" applyFill="1" applyBorder="1" applyAlignment="1"/>
    <xf numFmtId="10" fontId="0" fillId="8" borderId="4" xfId="59" applyNumberFormat="1" applyFont="1" applyFill="1" applyBorder="1" applyAlignment="1">
      <alignment horizontal="center"/>
    </xf>
    <xf numFmtId="10" fontId="14" fillId="8" borderId="4" xfId="59" applyNumberFormat="1" applyFont="1" applyFill="1" applyBorder="1" applyAlignment="1">
      <alignment horizontal="center" vertical="center"/>
    </xf>
    <xf numFmtId="164" fontId="0" fillId="0" borderId="0" xfId="73" applyFont="1" applyAlignment="1">
      <alignment horizontal="center"/>
    </xf>
    <xf numFmtId="164" fontId="15" fillId="0" borderId="4" xfId="73" applyFont="1" applyBorder="1"/>
    <xf numFmtId="164" fontId="12" fillId="0" borderId="4" xfId="73" applyNumberFormat="1" applyFont="1" applyFill="1" applyBorder="1"/>
    <xf numFmtId="180" fontId="15" fillId="0" borderId="4" xfId="73" applyNumberFormat="1" applyFont="1" applyBorder="1"/>
    <xf numFmtId="180" fontId="11" fillId="0" borderId="4" xfId="73" applyNumberFormat="1" applyFont="1" applyFill="1" applyBorder="1"/>
    <xf numFmtId="180" fontId="0" fillId="0" borderId="4" xfId="73" applyNumberFormat="1" applyFont="1" applyFill="1" applyBorder="1"/>
    <xf numFmtId="180" fontId="15" fillId="5" borderId="4" xfId="73" applyNumberFormat="1" applyFont="1" applyFill="1" applyBorder="1"/>
    <xf numFmtId="180" fontId="29" fillId="0" borderId="4" xfId="73" applyNumberFormat="1" applyFont="1" applyFill="1" applyBorder="1"/>
    <xf numFmtId="164" fontId="15" fillId="0" borderId="4" xfId="73" applyFont="1" applyFill="1" applyBorder="1" applyAlignment="1">
      <alignment horizontal="center"/>
    </xf>
    <xf numFmtId="164" fontId="14" fillId="0" borderId="4" xfId="73" applyFont="1" applyFill="1" applyBorder="1" applyAlignment="1">
      <alignment vertical="top" wrapText="1"/>
    </xf>
    <xf numFmtId="164" fontId="14" fillId="0" borderId="4" xfId="73" applyNumberFormat="1" applyFont="1" applyFill="1" applyBorder="1" applyAlignment="1">
      <alignment vertical="top" wrapText="1"/>
    </xf>
    <xf numFmtId="164" fontId="14" fillId="0" borderId="4" xfId="73" applyNumberFormat="1" applyFont="1" applyFill="1" applyBorder="1"/>
    <xf numFmtId="164" fontId="0" fillId="0" borderId="4" xfId="73" applyFont="1" applyFill="1" applyBorder="1" applyAlignment="1">
      <alignment horizontal="center"/>
    </xf>
    <xf numFmtId="180" fontId="14" fillId="0" borderId="4" xfId="73" applyNumberFormat="1" applyFont="1" applyBorder="1" applyAlignment="1">
      <alignment horizontal="center" wrapText="1"/>
    </xf>
    <xf numFmtId="183" fontId="81" fillId="0" borderId="4" xfId="73" applyNumberFormat="1" applyFont="1" applyFill="1" applyBorder="1" applyAlignment="1">
      <alignment vertical="center"/>
    </xf>
    <xf numFmtId="183" fontId="81" fillId="0" borderId="4" xfId="73" applyNumberFormat="1" applyFont="1" applyFill="1" applyBorder="1" applyAlignment="1">
      <alignment vertical="center" wrapText="1"/>
    </xf>
    <xf numFmtId="183" fontId="81" fillId="0" borderId="4" xfId="73" applyNumberFormat="1" applyFont="1" applyFill="1" applyBorder="1" applyAlignment="1"/>
    <xf numFmtId="164" fontId="16" fillId="0" borderId="4" xfId="73" applyNumberFormat="1" applyFont="1" applyFill="1" applyBorder="1" applyAlignment="1">
      <alignment horizontal="right" vertical="justify"/>
    </xf>
    <xf numFmtId="164" fontId="10" fillId="0" borderId="4" xfId="73" applyNumberFormat="1" applyFont="1" applyFill="1" applyBorder="1" applyAlignment="1">
      <alignment horizontal="right"/>
    </xf>
    <xf numFmtId="164" fontId="0" fillId="0" borderId="4" xfId="73" applyNumberFormat="1" applyFont="1" applyFill="1" applyBorder="1" applyAlignment="1">
      <alignment horizontal="right"/>
    </xf>
    <xf numFmtId="0" fontId="86" fillId="5" borderId="4" xfId="90" applyFont="1" applyFill="1" applyBorder="1" applyAlignment="1">
      <alignment vertical="center" wrapText="1"/>
    </xf>
    <xf numFmtId="164" fontId="10" fillId="0" borderId="4" xfId="73" applyNumberFormat="1" applyFont="1" applyFill="1" applyBorder="1" applyAlignment="1">
      <alignment vertical="center"/>
    </xf>
    <xf numFmtId="164" fontId="10" fillId="0" borderId="4" xfId="73" applyNumberFormat="1" applyFont="1" applyFill="1" applyBorder="1" applyAlignment="1">
      <alignment vertical="center" wrapText="1"/>
    </xf>
    <xf numFmtId="164" fontId="14" fillId="0" borderId="4" xfId="73" applyFont="1" applyFill="1" applyBorder="1" applyAlignment="1">
      <alignment vertical="justify" wrapText="1"/>
    </xf>
    <xf numFmtId="2" fontId="10" fillId="5" borderId="4" xfId="0" applyNumberFormat="1" applyFont="1" applyFill="1" applyBorder="1" applyAlignment="1">
      <alignment vertical="center"/>
    </xf>
    <xf numFmtId="164" fontId="14" fillId="0" borderId="4" xfId="73" applyFont="1" applyFill="1" applyBorder="1" applyAlignment="1">
      <alignment horizontal="right" vertical="center"/>
    </xf>
    <xf numFmtId="164" fontId="14" fillId="0" borderId="4" xfId="73" applyFont="1" applyFill="1" applyBorder="1" applyAlignment="1">
      <alignment vertical="center"/>
    </xf>
    <xf numFmtId="164" fontId="14" fillId="0" borderId="4" xfId="73" applyFont="1" applyFill="1" applyBorder="1" applyAlignment="1">
      <alignment horizontal="center" vertical="center"/>
    </xf>
    <xf numFmtId="10" fontId="10" fillId="5" borderId="4" xfId="57" applyNumberFormat="1" applyFont="1" applyFill="1" applyBorder="1" applyAlignment="1">
      <alignment vertical="center" wrapText="1"/>
    </xf>
    <xf numFmtId="10" fontId="10" fillId="0" borderId="4" xfId="59" applyNumberFormat="1" applyFont="1" applyFill="1" applyBorder="1" applyAlignment="1">
      <alignment vertical="center" wrapText="1"/>
    </xf>
    <xf numFmtId="164" fontId="12" fillId="0" borderId="4" xfId="73" applyFont="1" applyFill="1" applyBorder="1" applyAlignment="1">
      <alignment horizontal="right"/>
    </xf>
    <xf numFmtId="164" fontId="12" fillId="0" borderId="15" xfId="73" applyFont="1" applyFill="1" applyBorder="1" applyAlignment="1">
      <alignment horizontal="right"/>
    </xf>
    <xf numFmtId="164" fontId="29" fillId="0" borderId="4" xfId="73" applyFont="1" applyFill="1" applyBorder="1" applyAlignment="1">
      <alignment horizontal="center"/>
    </xf>
    <xf numFmtId="164" fontId="14" fillId="0" borderId="4" xfId="73" applyFont="1" applyFill="1" applyBorder="1" applyAlignment="1">
      <alignment horizontal="right" wrapText="1"/>
    </xf>
    <xf numFmtId="0" fontId="68" fillId="5" borderId="4" xfId="18" applyFont="1" applyFill="1" applyBorder="1" applyAlignment="1">
      <alignment wrapText="1"/>
    </xf>
    <xf numFmtId="164" fontId="12" fillId="0" borderId="4" xfId="73" applyFont="1" applyBorder="1" applyAlignment="1">
      <alignment horizontal="center" vertical="center" wrapText="1"/>
    </xf>
    <xf numFmtId="164" fontId="12" fillId="5" borderId="4" xfId="73" applyFont="1" applyFill="1" applyBorder="1" applyAlignment="1">
      <alignment horizontal="center" vertical="center" wrapText="1"/>
    </xf>
    <xf numFmtId="10" fontId="12" fillId="5" borderId="4" xfId="59" applyNumberFormat="1" applyFont="1" applyFill="1" applyBorder="1" applyAlignment="1">
      <alignment horizontal="center" vertical="center" wrapText="1"/>
    </xf>
    <xf numFmtId="2" fontId="0" fillId="0" borderId="4" xfId="0" applyNumberFormat="1" applyFont="1" applyBorder="1" applyAlignment="1">
      <alignment vertical="center" wrapText="1"/>
    </xf>
    <xf numFmtId="2" fontId="11" fillId="0" borderId="4"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2" fontId="11" fillId="0" borderId="4" xfId="0" applyNumberFormat="1" applyFont="1" applyBorder="1" applyAlignment="1">
      <alignment horizontal="center" vertical="center"/>
    </xf>
    <xf numFmtId="9" fontId="11" fillId="0" borderId="4" xfId="0" applyNumberFormat="1" applyFont="1" applyBorder="1" applyAlignment="1">
      <alignment horizontal="center" vertical="center"/>
    </xf>
    <xf numFmtId="164" fontId="0" fillId="0" borderId="4" xfId="73" applyFont="1" applyBorder="1" applyAlignment="1">
      <alignment horizontal="right" vertical="center"/>
    </xf>
    <xf numFmtId="164" fontId="11" fillId="0" borderId="4" xfId="73" applyFont="1" applyBorder="1" applyAlignment="1">
      <alignment vertical="center"/>
    </xf>
    <xf numFmtId="0" fontId="13" fillId="0" borderId="0" xfId="0" applyFont="1" applyAlignment="1">
      <alignment horizontal="left"/>
    </xf>
    <xf numFmtId="0" fontId="0" fillId="0" borderId="0" xfId="0"/>
    <xf numFmtId="0" fontId="14" fillId="4" borderId="0" xfId="18" applyFont="1" applyFill="1" applyAlignment="1">
      <alignment horizontal="center"/>
    </xf>
    <xf numFmtId="0" fontId="11" fillId="0" borderId="0" xfId="0" applyFont="1"/>
    <xf numFmtId="0" fontId="64" fillId="8" borderId="4" xfId="0" applyFont="1" applyFill="1" applyBorder="1" applyAlignment="1">
      <alignment horizontal="center" vertical="center" wrapText="1"/>
    </xf>
    <xf numFmtId="0" fontId="14" fillId="0" borderId="0" xfId="18" applyFont="1" applyAlignment="1">
      <alignment horizontal="right"/>
    </xf>
    <xf numFmtId="0" fontId="14" fillId="0" borderId="0" xfId="18" applyFont="1" applyAlignment="1">
      <alignment horizontal="center"/>
    </xf>
    <xf numFmtId="0" fontId="54" fillId="0" borderId="0" xfId="0" applyFont="1" applyAlignment="1">
      <alignment horizontal="right" vertical="center"/>
    </xf>
    <xf numFmtId="0" fontId="54" fillId="0" borderId="0" xfId="0" applyFont="1" applyAlignment="1">
      <alignment horizontal="center" vertical="center"/>
    </xf>
    <xf numFmtId="0" fontId="52" fillId="0" borderId="0" xfId="0" applyFont="1" applyAlignment="1">
      <alignment horizontal="justify" vertical="center"/>
    </xf>
    <xf numFmtId="9" fontId="53" fillId="0" borderId="0" xfId="0" applyNumberFormat="1" applyFont="1" applyAlignment="1">
      <alignment horizontal="right" vertical="center"/>
    </xf>
    <xf numFmtId="0" fontId="63" fillId="0" borderId="4" xfId="0" applyFont="1" applyBorder="1" applyAlignment="1">
      <alignment horizontal="center" vertical="center"/>
    </xf>
    <xf numFmtId="0" fontId="63" fillId="0" borderId="4" xfId="0" applyFont="1" applyBorder="1" applyAlignment="1">
      <alignment horizontal="left" vertical="center" wrapText="1"/>
    </xf>
    <xf numFmtId="0" fontId="63" fillId="0" borderId="4" xfId="0" applyFont="1" applyBorder="1" applyAlignment="1">
      <alignment vertical="center" wrapText="1"/>
    </xf>
    <xf numFmtId="0" fontId="63" fillId="0" borderId="4" xfId="0" applyFont="1" applyBorder="1" applyAlignment="1">
      <alignment vertical="center"/>
    </xf>
    <xf numFmtId="0" fontId="55" fillId="0" borderId="0" xfId="0" applyFont="1" applyAlignment="1">
      <alignment horizontal="right" vertical="center"/>
    </xf>
    <xf numFmtId="9" fontId="62" fillId="0" borderId="4" xfId="0" applyNumberFormat="1" applyFont="1" applyBorder="1" applyAlignment="1">
      <alignment horizontal="center" vertical="center" wrapText="1"/>
    </xf>
    <xf numFmtId="179" fontId="63" fillId="0" borderId="4" xfId="0" applyNumberFormat="1" applyFont="1" applyBorder="1" applyAlignment="1">
      <alignment vertical="center"/>
    </xf>
    <xf numFmtId="0" fontId="90" fillId="0" borderId="4" xfId="0" applyFont="1" applyBorder="1" applyAlignment="1">
      <alignment horizontal="center" vertical="center" wrapText="1"/>
    </xf>
    <xf numFmtId="0" fontId="90" fillId="0" borderId="4" xfId="0" applyFont="1" applyBorder="1" applyAlignment="1">
      <alignment horizontal="left" vertical="top" wrapText="1"/>
    </xf>
    <xf numFmtId="2" fontId="90" fillId="0" borderId="4" xfId="0" applyNumberFormat="1" applyFont="1" applyBorder="1" applyAlignment="1">
      <alignment vertical="center" wrapText="1"/>
    </xf>
    <xf numFmtId="4" fontId="90" fillId="0" borderId="4" xfId="0" applyNumberFormat="1" applyFont="1" applyBorder="1" applyAlignment="1">
      <alignment vertical="center" wrapText="1"/>
    </xf>
    <xf numFmtId="2" fontId="90" fillId="0" borderId="4" xfId="0" applyNumberFormat="1" applyFont="1" applyFill="1" applyBorder="1" applyAlignment="1">
      <alignment vertical="center" wrapText="1"/>
    </xf>
    <xf numFmtId="179" fontId="90" fillId="0" borderId="4" xfId="0" applyNumberFormat="1" applyFont="1" applyBorder="1" applyAlignment="1">
      <alignment vertical="center" wrapText="1"/>
    </xf>
    <xf numFmtId="4" fontId="91" fillId="0" borderId="4" xfId="0" applyNumberFormat="1" applyFont="1" applyBorder="1" applyAlignment="1">
      <alignment vertical="center"/>
    </xf>
    <xf numFmtId="4" fontId="91" fillId="0" borderId="4" xfId="0" applyNumberFormat="1" applyFont="1" applyBorder="1" applyAlignment="1">
      <alignment horizontal="right" vertical="center"/>
    </xf>
    <xf numFmtId="0" fontId="89" fillId="8" borderId="4" xfId="0" applyFont="1" applyFill="1" applyBorder="1" applyAlignment="1">
      <alignment horizontal="center" vertical="center" wrapText="1"/>
    </xf>
    <xf numFmtId="164" fontId="0" fillId="0" borderId="7" xfId="73" applyFont="1" applyFill="1" applyBorder="1"/>
    <xf numFmtId="164" fontId="10" fillId="10" borderId="4" xfId="73" applyFont="1" applyFill="1" applyBorder="1" applyAlignment="1">
      <alignment horizontal="center" vertical="center"/>
    </xf>
    <xf numFmtId="164" fontId="10" fillId="0" borderId="4" xfId="0" applyNumberFormat="1" applyFont="1" applyFill="1" applyBorder="1" applyAlignment="1">
      <alignment vertical="center" wrapText="1"/>
    </xf>
    <xf numFmtId="164" fontId="62" fillId="0" borderId="4" xfId="73" applyFont="1" applyFill="1" applyBorder="1"/>
    <xf numFmtId="164" fontId="62" fillId="0" borderId="4" xfId="73" applyFont="1" applyFill="1" applyBorder="1" applyAlignment="1">
      <alignment vertical="center"/>
    </xf>
    <xf numFmtId="164" fontId="68" fillId="0" borderId="4" xfId="73" applyFont="1" applyFill="1" applyBorder="1"/>
    <xf numFmtId="180" fontId="11" fillId="0" borderId="4" xfId="73" applyNumberFormat="1" applyFont="1" applyBorder="1" applyAlignment="1">
      <alignment horizontal="right" vertical="center"/>
    </xf>
    <xf numFmtId="164" fontId="14" fillId="5" borderId="4" xfId="113" applyFont="1" applyFill="1" applyBorder="1"/>
    <xf numFmtId="10" fontId="11" fillId="0" borderId="4" xfId="59" applyNumberFormat="1" applyFont="1" applyBorder="1" applyAlignment="1">
      <alignment horizontal="right" vertical="center"/>
    </xf>
    <xf numFmtId="43" fontId="10" fillId="0" borderId="0" xfId="0" applyNumberFormat="1" applyFont="1"/>
    <xf numFmtId="43" fontId="55" fillId="0" borderId="4" xfId="0" applyNumberFormat="1" applyFont="1" applyBorder="1" applyAlignment="1">
      <alignment horizontal="right" vertical="center"/>
    </xf>
    <xf numFmtId="164" fontId="62" fillId="5" borderId="4" xfId="73" applyFont="1" applyFill="1" applyBorder="1" applyAlignment="1">
      <alignment vertical="center"/>
    </xf>
    <xf numFmtId="43" fontId="0" fillId="0" borderId="0" xfId="0" applyNumberFormat="1" applyBorder="1"/>
    <xf numFmtId="10" fontId="90" fillId="0" borderId="4" xfId="59" applyNumberFormat="1" applyFont="1" applyBorder="1" applyAlignment="1">
      <alignment vertical="center" wrapText="1"/>
    </xf>
    <xf numFmtId="10" fontId="90" fillId="0" borderId="4" xfId="0" applyNumberFormat="1" applyFont="1" applyBorder="1" applyAlignment="1">
      <alignment vertical="center" wrapText="1"/>
    </xf>
    <xf numFmtId="0" fontId="89" fillId="8" borderId="4" xfId="0" applyFont="1" applyFill="1" applyBorder="1" applyAlignment="1">
      <alignment vertical="center" wrapText="1"/>
    </xf>
    <xf numFmtId="0" fontId="10" fillId="0" borderId="0" xfId="18" applyFont="1" applyFill="1" applyAlignment="1"/>
    <xf numFmtId="0" fontId="0" fillId="0" borderId="4" xfId="0" applyFont="1" applyFill="1" applyBorder="1" applyAlignment="1">
      <alignment horizontal="center" vertical="center"/>
    </xf>
    <xf numFmtId="0" fontId="0" fillId="0" borderId="4" xfId="0" applyFont="1" applyFill="1" applyBorder="1" applyAlignment="1">
      <alignment horizontal="left"/>
    </xf>
    <xf numFmtId="0" fontId="0" fillId="0" borderId="7" xfId="0" applyFont="1" applyFill="1" applyBorder="1"/>
    <xf numFmtId="0" fontId="0" fillId="0" borderId="7" xfId="0" applyFont="1" applyFill="1" applyBorder="1" applyAlignment="1">
      <alignment vertical="top"/>
    </xf>
    <xf numFmtId="0" fontId="0" fillId="0" borderId="7" xfId="0" applyFont="1" applyFill="1" applyBorder="1" applyAlignment="1">
      <alignment wrapText="1"/>
    </xf>
    <xf numFmtId="0" fontId="0" fillId="0" borderId="0" xfId="18" applyFont="1" applyFill="1" applyAlignment="1"/>
    <xf numFmtId="0" fontId="0" fillId="0" borderId="4" xfId="0" applyFont="1" applyFill="1" applyBorder="1" applyAlignment="1">
      <alignment wrapText="1"/>
    </xf>
    <xf numFmtId="0" fontId="0" fillId="0" borderId="4" xfId="0" applyFont="1" applyFill="1" applyBorder="1" applyAlignment="1">
      <alignment horizontal="left" wrapText="1"/>
    </xf>
    <xf numFmtId="0" fontId="0" fillId="0" borderId="4" xfId="0" applyFont="1" applyFill="1" applyBorder="1" applyAlignment="1">
      <alignment horizontal="left" vertical="top"/>
    </xf>
    <xf numFmtId="10" fontId="14" fillId="10" borderId="4" xfId="107" applyNumberFormat="1" applyFont="1" applyFill="1" applyBorder="1" applyAlignment="1">
      <alignment horizontal="left" vertical="center"/>
    </xf>
    <xf numFmtId="43" fontId="61" fillId="5" borderId="0" xfId="120" applyFont="1" applyFill="1" applyAlignment="1">
      <alignment horizontal="left" vertical="center"/>
    </xf>
    <xf numFmtId="43" fontId="50" fillId="5" borderId="6" xfId="120" applyFont="1" applyFill="1" applyBorder="1" applyAlignment="1">
      <alignment horizontal="center" vertical="center" wrapText="1"/>
    </xf>
    <xf numFmtId="43" fontId="14" fillId="5" borderId="6" xfId="120" applyFont="1" applyFill="1" applyBorder="1" applyAlignment="1">
      <alignment horizontal="center" vertical="center" wrapText="1"/>
    </xf>
    <xf numFmtId="43" fontId="61" fillId="5" borderId="4" xfId="120" applyFont="1" applyFill="1" applyBorder="1" applyAlignment="1">
      <alignment horizontal="left" vertical="center"/>
    </xf>
    <xf numFmtId="43" fontId="52" fillId="5" borderId="4" xfId="120" applyFont="1" applyFill="1" applyBorder="1" applyAlignment="1">
      <alignment vertical="center"/>
    </xf>
    <xf numFmtId="43" fontId="50" fillId="5" borderId="4" xfId="120" applyFont="1" applyFill="1" applyBorder="1" applyAlignment="1">
      <alignment vertical="center"/>
    </xf>
    <xf numFmtId="43" fontId="93" fillId="5" borderId="4" xfId="120" applyFont="1" applyFill="1" applyBorder="1" applyAlignment="1">
      <alignment horizontal="left" vertical="center"/>
    </xf>
    <xf numFmtId="184" fontId="61" fillId="5" borderId="4" xfId="120" applyNumberFormat="1" applyFont="1" applyFill="1" applyBorder="1" applyAlignment="1">
      <alignment horizontal="left" vertical="center"/>
    </xf>
    <xf numFmtId="9" fontId="61" fillId="5" borderId="4" xfId="59" applyFont="1" applyFill="1" applyBorder="1" applyAlignment="1">
      <alignment horizontal="left" vertical="center"/>
    </xf>
    <xf numFmtId="43" fontId="1" fillId="5" borderId="4" xfId="120" applyFont="1" applyFill="1" applyBorder="1" applyAlignment="1">
      <alignment horizontal="left" vertical="center"/>
    </xf>
    <xf numFmtId="43" fontId="52" fillId="5" borderId="4" xfId="120" applyFont="1" applyFill="1" applyBorder="1" applyAlignment="1">
      <alignment horizontal="left" vertical="center"/>
    </xf>
    <xf numFmtId="43" fontId="99" fillId="5" borderId="4" xfId="120" applyFont="1" applyFill="1" applyBorder="1" applyAlignment="1">
      <alignment vertical="center"/>
    </xf>
    <xf numFmtId="0" fontId="101" fillId="5" borderId="4" xfId="0" applyFont="1" applyFill="1" applyBorder="1" applyAlignment="1">
      <alignment vertical="center"/>
    </xf>
    <xf numFmtId="184" fontId="93" fillId="5" borderId="4" xfId="120" applyNumberFormat="1" applyFont="1" applyFill="1" applyBorder="1" applyAlignment="1">
      <alignment horizontal="left" vertical="center"/>
    </xf>
    <xf numFmtId="9" fontId="93" fillId="5" borderId="4" xfId="59" applyFont="1" applyFill="1" applyBorder="1" applyAlignment="1">
      <alignment horizontal="left" vertical="center"/>
    </xf>
    <xf numFmtId="0" fontId="101" fillId="5" borderId="29" xfId="0" applyFont="1" applyFill="1" applyBorder="1" applyAlignment="1">
      <alignment horizontal="left" vertical="center" wrapText="1"/>
    </xf>
    <xf numFmtId="0" fontId="105" fillId="0" borderId="0" xfId="18" applyFont="1" applyFill="1" applyAlignment="1">
      <alignment horizontal="left" vertical="center"/>
    </xf>
    <xf numFmtId="0" fontId="105" fillId="0" borderId="0" xfId="18" applyNumberFormat="1" applyFont="1" applyFill="1" applyAlignment="1">
      <alignment horizontal="left" vertical="center" wrapText="1"/>
    </xf>
    <xf numFmtId="0" fontId="105" fillId="0" borderId="0" xfId="18" applyFont="1" applyFill="1" applyAlignment="1">
      <alignment horizontal="center" vertical="center"/>
    </xf>
    <xf numFmtId="185" fontId="105" fillId="0" borderId="0" xfId="120" applyNumberFormat="1" applyFont="1" applyFill="1" applyAlignment="1">
      <alignment horizontal="center" vertical="center"/>
    </xf>
    <xf numFmtId="43" fontId="105" fillId="0" borderId="0" xfId="120" applyFont="1" applyFill="1" applyAlignment="1">
      <alignment horizontal="center" vertical="center"/>
    </xf>
    <xf numFmtId="43" fontId="106" fillId="0" borderId="0" xfId="120" applyFont="1" applyFill="1" applyAlignment="1">
      <alignment horizontal="center" vertical="center"/>
    </xf>
    <xf numFmtId="43" fontId="107" fillId="0" borderId="0" xfId="120" applyFont="1" applyFill="1" applyAlignment="1">
      <alignment horizontal="center" vertical="center"/>
    </xf>
    <xf numFmtId="0" fontId="107" fillId="0" borderId="0" xfId="0" applyFont="1" applyFill="1" applyAlignment="1">
      <alignment horizontal="center" vertical="center"/>
    </xf>
    <xf numFmtId="186" fontId="107" fillId="0" borderId="0" xfId="120" applyNumberFormat="1" applyFont="1" applyFill="1" applyAlignment="1">
      <alignment horizontal="center" vertical="center"/>
    </xf>
    <xf numFmtId="0" fontId="108" fillId="0" borderId="0" xfId="0" applyFont="1" applyFill="1" applyAlignment="1">
      <alignment horizontal="left" vertical="center"/>
    </xf>
    <xf numFmtId="0" fontId="108" fillId="0" borderId="0" xfId="0" applyNumberFormat="1" applyFont="1" applyFill="1" applyAlignment="1">
      <alignment horizontal="left" vertical="center" wrapText="1"/>
    </xf>
    <xf numFmtId="0" fontId="108" fillId="0" borderId="0" xfId="0" applyFont="1" applyFill="1" applyAlignment="1">
      <alignment horizontal="center" vertical="center"/>
    </xf>
    <xf numFmtId="164" fontId="105" fillId="0" borderId="0" xfId="119" applyFont="1" applyFill="1" applyBorder="1" applyAlignment="1">
      <alignment horizontal="center" vertical="center"/>
    </xf>
    <xf numFmtId="185" fontId="108" fillId="0" borderId="0" xfId="120" applyNumberFormat="1" applyFont="1" applyFill="1" applyAlignment="1">
      <alignment horizontal="center" vertical="center"/>
    </xf>
    <xf numFmtId="43" fontId="108" fillId="0" borderId="0" xfId="120" applyFont="1" applyFill="1" applyAlignment="1">
      <alignment horizontal="center" vertical="center"/>
    </xf>
    <xf numFmtId="185" fontId="107" fillId="0" borderId="0" xfId="120" applyNumberFormat="1" applyFont="1" applyFill="1" applyAlignment="1">
      <alignment horizontal="center" vertical="center"/>
    </xf>
    <xf numFmtId="43" fontId="109" fillId="0" borderId="0" xfId="120" applyFont="1" applyFill="1" applyAlignment="1">
      <alignment horizontal="center" vertical="center"/>
    </xf>
    <xf numFmtId="187" fontId="107" fillId="0" borderId="0" xfId="120" applyNumberFormat="1" applyFont="1" applyFill="1" applyAlignment="1">
      <alignment horizontal="center" vertical="center"/>
    </xf>
    <xf numFmtId="43" fontId="107" fillId="0" borderId="0" xfId="0" applyNumberFormat="1" applyFont="1" applyFill="1" applyAlignment="1">
      <alignment horizontal="center" vertical="center"/>
    </xf>
    <xf numFmtId="0" fontId="105" fillId="0" borderId="0" xfId="0" applyNumberFormat="1" applyFont="1" applyFill="1" applyAlignment="1">
      <alignment horizontal="center" vertical="center"/>
    </xf>
    <xf numFmtId="186" fontId="105" fillId="0" borderId="0" xfId="120" applyNumberFormat="1" applyFont="1" applyFill="1" applyAlignment="1">
      <alignment horizontal="center" vertical="center"/>
    </xf>
    <xf numFmtId="0" fontId="105" fillId="22" borderId="7" xfId="120" applyNumberFormat="1" applyFont="1" applyFill="1" applyBorder="1" applyAlignment="1">
      <alignment horizontal="center" vertical="center" wrapText="1"/>
    </xf>
    <xf numFmtId="0" fontId="105" fillId="22" borderId="4" xfId="120" applyNumberFormat="1" applyFont="1" applyFill="1" applyBorder="1" applyAlignment="1">
      <alignment horizontal="center" vertical="center" wrapText="1"/>
    </xf>
    <xf numFmtId="0" fontId="105" fillId="22" borderId="32" xfId="120" applyNumberFormat="1" applyFont="1" applyFill="1" applyBorder="1" applyAlignment="1">
      <alignment horizontal="center" vertical="center" wrapText="1"/>
    </xf>
    <xf numFmtId="0" fontId="105" fillId="22" borderId="49" xfId="120" applyNumberFormat="1" applyFont="1" applyFill="1" applyBorder="1" applyAlignment="1">
      <alignment horizontal="center" vertical="center" wrapText="1"/>
    </xf>
    <xf numFmtId="0" fontId="105" fillId="22" borderId="51" xfId="120" applyNumberFormat="1" applyFont="1" applyFill="1" applyBorder="1" applyAlignment="1">
      <alignment horizontal="center" vertical="center" wrapText="1"/>
    </xf>
    <xf numFmtId="0" fontId="105" fillId="22" borderId="53" xfId="120" applyNumberFormat="1" applyFont="1" applyFill="1" applyBorder="1" applyAlignment="1">
      <alignment horizontal="center" vertical="center" wrapText="1"/>
    </xf>
    <xf numFmtId="0" fontId="105" fillId="0" borderId="55" xfId="90" applyFont="1" applyFill="1" applyBorder="1" applyAlignment="1">
      <alignment horizontal="center" vertical="center"/>
    </xf>
    <xf numFmtId="0" fontId="105" fillId="0" borderId="56" xfId="90" applyNumberFormat="1" applyFont="1" applyFill="1" applyBorder="1" applyAlignment="1">
      <alignment horizontal="left" vertical="center" wrapText="1"/>
    </xf>
    <xf numFmtId="0" fontId="105" fillId="0" borderId="19" xfId="90" applyFont="1" applyFill="1" applyBorder="1" applyAlignment="1">
      <alignment horizontal="center" vertical="center"/>
    </xf>
    <xf numFmtId="0" fontId="105" fillId="0" borderId="7" xfId="90" applyFont="1" applyFill="1" applyBorder="1" applyAlignment="1">
      <alignment horizontal="center" vertical="center"/>
    </xf>
    <xf numFmtId="0" fontId="107" fillId="0" borderId="8" xfId="0" applyFont="1" applyFill="1" applyBorder="1" applyAlignment="1">
      <alignment horizontal="center" vertical="center"/>
    </xf>
    <xf numFmtId="0" fontId="105" fillId="0" borderId="25" xfId="90" applyFont="1" applyFill="1" applyBorder="1" applyAlignment="1">
      <alignment horizontal="center" vertical="center"/>
    </xf>
    <xf numFmtId="0" fontId="105" fillId="0" borderId="26" xfId="119" applyNumberFormat="1" applyFont="1" applyFill="1" applyBorder="1" applyAlignment="1">
      <alignment horizontal="left" vertical="center" wrapText="1"/>
    </xf>
    <xf numFmtId="0" fontId="105" fillId="0" borderId="12" xfId="90" applyFont="1" applyFill="1" applyBorder="1" applyAlignment="1">
      <alignment horizontal="center" vertical="center"/>
    </xf>
    <xf numFmtId="0" fontId="105" fillId="0" borderId="4" xfId="90" applyFont="1" applyFill="1" applyBorder="1" applyAlignment="1">
      <alignment horizontal="center" vertical="center"/>
    </xf>
    <xf numFmtId="164" fontId="105" fillId="0" borderId="4" xfId="119" applyFont="1" applyFill="1" applyBorder="1" applyAlignment="1">
      <alignment horizontal="center" vertical="center"/>
    </xf>
    <xf numFmtId="164" fontId="107" fillId="0" borderId="6" xfId="119" applyFont="1" applyFill="1" applyBorder="1" applyAlignment="1">
      <alignment horizontal="center" vertical="center"/>
    </xf>
    <xf numFmtId="164" fontId="105" fillId="0" borderId="12" xfId="119" applyFont="1" applyFill="1" applyBorder="1" applyAlignment="1">
      <alignment horizontal="center" vertical="center"/>
    </xf>
    <xf numFmtId="0" fontId="107" fillId="0" borderId="26" xfId="119" applyNumberFormat="1" applyFont="1" applyFill="1" applyBorder="1" applyAlignment="1">
      <alignment horizontal="left" vertical="center" wrapText="1"/>
    </xf>
    <xf numFmtId="0" fontId="107" fillId="0" borderId="12" xfId="0" applyFont="1" applyFill="1" applyBorder="1" applyAlignment="1">
      <alignment horizontal="center" vertical="center"/>
    </xf>
    <xf numFmtId="2" fontId="105" fillId="0" borderId="4" xfId="90" applyNumberFormat="1" applyFont="1" applyFill="1" applyBorder="1" applyAlignment="1">
      <alignment horizontal="center" vertical="center"/>
    </xf>
    <xf numFmtId="2" fontId="105" fillId="0" borderId="4" xfId="90" applyNumberFormat="1" applyFont="1" applyFill="1" applyBorder="1" applyAlignment="1">
      <alignment vertical="center"/>
    </xf>
    <xf numFmtId="164" fontId="107" fillId="0" borderId="4" xfId="119" applyFont="1" applyFill="1" applyBorder="1" applyAlignment="1">
      <alignment horizontal="center" vertical="center"/>
    </xf>
    <xf numFmtId="180" fontId="105" fillId="0" borderId="4" xfId="119" applyNumberFormat="1" applyFont="1" applyFill="1" applyBorder="1" applyAlignment="1">
      <alignment horizontal="center" vertical="center"/>
    </xf>
    <xf numFmtId="164" fontId="107" fillId="0" borderId="0" xfId="0" applyNumberFormat="1" applyFont="1" applyFill="1" applyAlignment="1">
      <alignment horizontal="center" vertical="center"/>
    </xf>
    <xf numFmtId="164" fontId="105" fillId="0" borderId="4" xfId="119" applyFont="1" applyFill="1" applyBorder="1" applyAlignment="1">
      <alignment vertical="center"/>
    </xf>
    <xf numFmtId="0" fontId="107" fillId="0" borderId="25" xfId="90" applyFont="1" applyFill="1" applyBorder="1" applyAlignment="1">
      <alignment horizontal="center" vertical="center"/>
    </xf>
    <xf numFmtId="164" fontId="107" fillId="0" borderId="0" xfId="119" applyFont="1" applyFill="1" applyAlignment="1">
      <alignment horizontal="center" vertical="center"/>
    </xf>
    <xf numFmtId="0" fontId="105" fillId="23" borderId="26" xfId="119" applyNumberFormat="1" applyFont="1" applyFill="1" applyBorder="1" applyAlignment="1">
      <alignment horizontal="left" vertical="center" wrapText="1"/>
    </xf>
    <xf numFmtId="164" fontId="105" fillId="23" borderId="12" xfId="119" applyFont="1" applyFill="1" applyBorder="1" applyAlignment="1">
      <alignment horizontal="center" vertical="center"/>
    </xf>
    <xf numFmtId="164" fontId="105" fillId="23" borderId="4" xfId="119" applyFont="1" applyFill="1" applyBorder="1" applyAlignment="1">
      <alignment horizontal="center" vertical="center"/>
    </xf>
    <xf numFmtId="180" fontId="105" fillId="23" borderId="4" xfId="119" applyNumberFormat="1" applyFont="1" applyFill="1" applyBorder="1" applyAlignment="1">
      <alignment horizontal="center" vertical="center"/>
    </xf>
    <xf numFmtId="164" fontId="105" fillId="23" borderId="6" xfId="119" applyFont="1" applyFill="1" applyBorder="1" applyAlignment="1">
      <alignment horizontal="center" vertical="center"/>
    </xf>
    <xf numFmtId="43" fontId="105" fillId="23" borderId="0" xfId="120" applyFont="1" applyFill="1" applyAlignment="1">
      <alignment horizontal="center" vertical="center"/>
    </xf>
    <xf numFmtId="0" fontId="105" fillId="23" borderId="0" xfId="0" applyFont="1" applyFill="1" applyAlignment="1">
      <alignment horizontal="center" vertical="center"/>
    </xf>
    <xf numFmtId="186" fontId="105" fillId="23" borderId="0" xfId="120" applyNumberFormat="1" applyFont="1" applyFill="1" applyAlignment="1">
      <alignment horizontal="center" vertical="center"/>
    </xf>
    <xf numFmtId="164" fontId="107" fillId="0" borderId="12" xfId="119" applyFont="1" applyFill="1" applyBorder="1" applyAlignment="1">
      <alignment horizontal="center" vertical="center"/>
    </xf>
    <xf numFmtId="180" fontId="107" fillId="0" borderId="4" xfId="119" applyNumberFormat="1" applyFont="1" applyFill="1" applyBorder="1" applyAlignment="1">
      <alignment horizontal="center" vertical="center"/>
    </xf>
    <xf numFmtId="0" fontId="107" fillId="0" borderId="57" xfId="0" applyFont="1" applyFill="1" applyBorder="1" applyAlignment="1">
      <alignment horizontal="center" vertical="center"/>
    </xf>
    <xf numFmtId="2" fontId="105" fillId="0" borderId="4" xfId="90" applyNumberFormat="1" applyFont="1" applyFill="1" applyBorder="1" applyAlignment="1">
      <alignment horizontal="right" vertical="center"/>
    </xf>
    <xf numFmtId="0" fontId="107" fillId="0" borderId="58" xfId="0" applyFont="1" applyFill="1" applyBorder="1" applyAlignment="1">
      <alignment horizontal="center" vertical="center"/>
    </xf>
    <xf numFmtId="0" fontId="107" fillId="0" borderId="59" xfId="0" applyFont="1" applyFill="1" applyBorder="1" applyAlignment="1">
      <alignment horizontal="center" vertical="center"/>
    </xf>
    <xf numFmtId="0" fontId="107" fillId="0" borderId="26" xfId="0" applyNumberFormat="1" applyFont="1" applyFill="1" applyBorder="1" applyAlignment="1">
      <alignment horizontal="left" vertical="center"/>
    </xf>
    <xf numFmtId="0" fontId="105" fillId="19" borderId="4" xfId="90" applyFont="1" applyFill="1" applyBorder="1" applyAlignment="1">
      <alignment horizontal="center" vertical="center"/>
    </xf>
    <xf numFmtId="0" fontId="105" fillId="0" borderId="4" xfId="90" applyFont="1" applyFill="1" applyBorder="1" applyAlignment="1">
      <alignment horizontal="right" vertical="center"/>
    </xf>
    <xf numFmtId="164" fontId="105" fillId="0" borderId="6" xfId="119" applyFont="1" applyFill="1" applyBorder="1" applyAlignment="1">
      <alignment horizontal="center" vertical="center"/>
    </xf>
    <xf numFmtId="0" fontId="107" fillId="0" borderId="60" xfId="119" applyNumberFormat="1" applyFont="1" applyFill="1" applyBorder="1" applyAlignment="1">
      <alignment horizontal="left" vertical="center" wrapText="1"/>
    </xf>
    <xf numFmtId="0" fontId="105" fillId="23" borderId="26" xfId="0" applyNumberFormat="1" applyFont="1" applyFill="1" applyBorder="1" applyAlignment="1">
      <alignment horizontal="left" vertical="center"/>
    </xf>
    <xf numFmtId="0" fontId="105" fillId="23" borderId="12" xfId="0" applyFont="1" applyFill="1" applyBorder="1" applyAlignment="1">
      <alignment horizontal="center" vertical="center"/>
    </xf>
    <xf numFmtId="0" fontId="105" fillId="0" borderId="26" xfId="0" applyNumberFormat="1" applyFont="1" applyFill="1" applyBorder="1" applyAlignment="1">
      <alignment horizontal="left" vertical="center"/>
    </xf>
    <xf numFmtId="43" fontId="113" fillId="0" borderId="0" xfId="120" applyFont="1" applyFill="1" applyAlignment="1">
      <alignment horizontal="center" vertical="center"/>
    </xf>
    <xf numFmtId="0" fontId="113" fillId="0" borderId="0" xfId="0" applyFont="1" applyFill="1" applyAlignment="1">
      <alignment horizontal="center" vertical="center"/>
    </xf>
    <xf numFmtId="186" fontId="113" fillId="0" borderId="0" xfId="120" applyNumberFormat="1" applyFont="1" applyFill="1" applyAlignment="1">
      <alignment horizontal="center" vertical="center"/>
    </xf>
    <xf numFmtId="0" fontId="107" fillId="0" borderId="4" xfId="0" applyFont="1" applyFill="1" applyBorder="1" applyAlignment="1">
      <alignment horizontal="center" vertical="center"/>
    </xf>
    <xf numFmtId="0" fontId="107" fillId="0" borderId="60" xfId="0" applyNumberFormat="1" applyFont="1" applyFill="1" applyBorder="1" applyAlignment="1">
      <alignment horizontal="left" vertical="center"/>
    </xf>
    <xf numFmtId="2" fontId="105" fillId="19" borderId="4" xfId="90" applyNumberFormat="1" applyFont="1" applyFill="1" applyBorder="1" applyAlignment="1">
      <alignment horizontal="center" vertical="center"/>
    </xf>
    <xf numFmtId="0" fontId="107" fillId="0" borderId="12" xfId="90" applyFont="1" applyFill="1" applyBorder="1" applyAlignment="1">
      <alignment horizontal="center" vertical="center"/>
    </xf>
    <xf numFmtId="164" fontId="107" fillId="0" borderId="4" xfId="119" applyFont="1" applyFill="1" applyBorder="1" applyAlignment="1">
      <alignment vertical="center"/>
    </xf>
    <xf numFmtId="180" fontId="107" fillId="0" borderId="12" xfId="119" applyNumberFormat="1" applyFont="1" applyFill="1" applyBorder="1" applyAlignment="1">
      <alignment horizontal="center" vertical="center"/>
    </xf>
    <xf numFmtId="164" fontId="107" fillId="19" borderId="4" xfId="119" applyFont="1" applyFill="1" applyBorder="1" applyAlignment="1">
      <alignment horizontal="center" vertical="center"/>
    </xf>
    <xf numFmtId="0" fontId="109" fillId="0" borderId="0" xfId="0" applyFont="1" applyFill="1" applyAlignment="1">
      <alignment horizontal="center" vertical="center"/>
    </xf>
    <xf numFmtId="186" fontId="109" fillId="0" borderId="0" xfId="120" applyNumberFormat="1" applyFont="1" applyFill="1" applyAlignment="1">
      <alignment horizontal="center" vertical="center"/>
    </xf>
    <xf numFmtId="0" fontId="107" fillId="0" borderId="12" xfId="0" quotePrefix="1" applyFont="1" applyFill="1" applyBorder="1" applyAlignment="1">
      <alignment horizontal="center" vertical="center"/>
    </xf>
    <xf numFmtId="164" fontId="105" fillId="0" borderId="4" xfId="119" applyFont="1" applyFill="1" applyBorder="1" applyAlignment="1">
      <alignment horizontal="right" vertical="center"/>
    </xf>
    <xf numFmtId="0" fontId="107" fillId="25" borderId="12" xfId="0" applyFont="1" applyFill="1" applyBorder="1" applyAlignment="1">
      <alignment horizontal="center" vertical="center"/>
    </xf>
    <xf numFmtId="2" fontId="105" fillId="25" borderId="4" xfId="90" applyNumberFormat="1" applyFont="1" applyFill="1" applyBorder="1" applyAlignment="1">
      <alignment horizontal="center" vertical="center"/>
    </xf>
    <xf numFmtId="164" fontId="105" fillId="25" borderId="4" xfId="119" applyFont="1" applyFill="1" applyBorder="1" applyAlignment="1">
      <alignment horizontal="right" vertical="center"/>
    </xf>
    <xf numFmtId="164" fontId="107" fillId="25" borderId="4" xfId="119" applyFont="1" applyFill="1" applyBorder="1" applyAlignment="1">
      <alignment horizontal="center" vertical="center"/>
    </xf>
    <xf numFmtId="164" fontId="107" fillId="25" borderId="6" xfId="119" applyFont="1" applyFill="1" applyBorder="1" applyAlignment="1">
      <alignment horizontal="center" vertical="center"/>
    </xf>
    <xf numFmtId="43" fontId="109" fillId="25" borderId="0" xfId="120" applyFont="1" applyFill="1" applyAlignment="1">
      <alignment horizontal="center" vertical="center"/>
    </xf>
    <xf numFmtId="0" fontId="109" fillId="25" borderId="0" xfId="0" applyFont="1" applyFill="1" applyAlignment="1">
      <alignment horizontal="center" vertical="center"/>
    </xf>
    <xf numFmtId="186" fontId="109" fillId="25" borderId="0" xfId="120" applyNumberFormat="1" applyFont="1" applyFill="1" applyAlignment="1">
      <alignment horizontal="center" vertical="center"/>
    </xf>
    <xf numFmtId="0" fontId="107" fillId="24" borderId="12" xfId="0" applyFont="1" applyFill="1" applyBorder="1" applyAlignment="1">
      <alignment horizontal="center" vertical="center"/>
    </xf>
    <xf numFmtId="164" fontId="107" fillId="0" borderId="4" xfId="119" applyFont="1" applyFill="1" applyBorder="1" applyAlignment="1">
      <alignment horizontal="right" vertical="center"/>
    </xf>
    <xf numFmtId="0" fontId="107" fillId="0" borderId="56" xfId="119" applyNumberFormat="1" applyFont="1" applyFill="1" applyBorder="1" applyAlignment="1">
      <alignment horizontal="left" vertical="center" wrapText="1"/>
    </xf>
    <xf numFmtId="0" fontId="107" fillId="0" borderId="26" xfId="0" applyNumberFormat="1" applyFont="1" applyFill="1" applyBorder="1" applyAlignment="1">
      <alignment horizontal="left" vertical="center" wrapText="1"/>
    </xf>
    <xf numFmtId="186" fontId="105" fillId="23" borderId="42" xfId="120" applyNumberFormat="1" applyFont="1" applyFill="1" applyBorder="1" applyAlignment="1">
      <alignment horizontal="center" vertical="center"/>
    </xf>
    <xf numFmtId="0" fontId="105" fillId="0" borderId="60" xfId="119" applyNumberFormat="1" applyFont="1" applyFill="1" applyBorder="1" applyAlignment="1">
      <alignment horizontal="left" vertical="center" wrapText="1"/>
    </xf>
    <xf numFmtId="0" fontId="107" fillId="0" borderId="26" xfId="112" applyNumberFormat="1" applyFont="1" applyFill="1" applyBorder="1" applyAlignment="1">
      <alignment horizontal="left" vertical="center" wrapText="1"/>
    </xf>
    <xf numFmtId="184" fontId="105" fillId="5" borderId="6" xfId="120" applyNumberFormat="1" applyFont="1" applyFill="1" applyBorder="1" applyAlignment="1">
      <alignment vertical="center"/>
    </xf>
    <xf numFmtId="0" fontId="105" fillId="0" borderId="26" xfId="112" applyNumberFormat="1" applyFont="1" applyFill="1" applyBorder="1" applyAlignment="1">
      <alignment horizontal="left" vertical="center" wrapText="1"/>
    </xf>
    <xf numFmtId="0" fontId="107" fillId="0" borderId="25" xfId="0" applyFont="1" applyFill="1" applyBorder="1" applyAlignment="1">
      <alignment horizontal="center" vertical="center"/>
    </xf>
    <xf numFmtId="0" fontId="107" fillId="0" borderId="62" xfId="112" applyNumberFormat="1" applyFont="1" applyFill="1" applyBorder="1" applyAlignment="1">
      <alignment horizontal="left" vertical="center" wrapText="1"/>
    </xf>
    <xf numFmtId="2" fontId="107" fillId="0" borderId="4" xfId="90" applyNumberFormat="1" applyFont="1" applyFill="1" applyBorder="1" applyAlignment="1">
      <alignment horizontal="center" vertical="center"/>
    </xf>
    <xf numFmtId="0" fontId="107" fillId="0" borderId="63" xfId="90" applyFont="1" applyFill="1" applyBorder="1" applyAlignment="1">
      <alignment horizontal="center" vertical="center"/>
    </xf>
    <xf numFmtId="0" fontId="107" fillId="0" borderId="62" xfId="119" applyNumberFormat="1" applyFont="1" applyFill="1" applyBorder="1" applyAlignment="1">
      <alignment horizontal="left" vertical="center" wrapText="1"/>
    </xf>
    <xf numFmtId="164" fontId="107" fillId="0" borderId="13" xfId="119" applyFont="1" applyFill="1" applyBorder="1" applyAlignment="1">
      <alignment horizontal="center" vertical="center"/>
    </xf>
    <xf numFmtId="2" fontId="105" fillId="0" borderId="15" xfId="90" applyNumberFormat="1" applyFont="1" applyFill="1" applyBorder="1" applyAlignment="1">
      <alignment horizontal="center" vertical="center"/>
    </xf>
    <xf numFmtId="164" fontId="107" fillId="0" borderId="15" xfId="119" applyFont="1" applyFill="1" applyBorder="1" applyAlignment="1">
      <alignment horizontal="center" vertical="center"/>
    </xf>
    <xf numFmtId="180" fontId="107" fillId="0" borderId="15" xfId="119" applyNumberFormat="1" applyFont="1" applyFill="1" applyBorder="1" applyAlignment="1">
      <alignment horizontal="center" vertical="center"/>
    </xf>
    <xf numFmtId="164" fontId="105" fillId="0" borderId="16" xfId="119" applyFont="1" applyFill="1" applyBorder="1" applyAlignment="1">
      <alignment horizontal="center" vertical="center"/>
    </xf>
    <xf numFmtId="43" fontId="105" fillId="26" borderId="65" xfId="120" applyFont="1" applyFill="1" applyBorder="1" applyAlignment="1">
      <alignment horizontal="center" vertical="center"/>
    </xf>
    <xf numFmtId="43" fontId="105" fillId="26" borderId="36" xfId="120" applyFont="1" applyFill="1" applyBorder="1" applyAlignment="1">
      <alignment horizontal="center" vertical="center"/>
    </xf>
    <xf numFmtId="43" fontId="105" fillId="26" borderId="37" xfId="120" applyFont="1" applyFill="1" applyBorder="1" applyAlignment="1">
      <alignment horizontal="center" vertical="center"/>
    </xf>
    <xf numFmtId="164" fontId="107" fillId="0" borderId="0" xfId="119" applyFont="1" applyFill="1" applyAlignment="1">
      <alignment horizontal="center" vertical="center" wrapText="1"/>
    </xf>
    <xf numFmtId="0" fontId="107" fillId="0" borderId="0" xfId="119" applyNumberFormat="1" applyFont="1" applyFill="1" applyAlignment="1">
      <alignment horizontal="left" vertical="center" wrapText="1"/>
    </xf>
    <xf numFmtId="0" fontId="105" fillId="0" borderId="0" xfId="90" applyFont="1" applyFill="1" applyAlignment="1">
      <alignment horizontal="center" vertical="center"/>
    </xf>
    <xf numFmtId="0" fontId="115" fillId="27" borderId="0" xfId="119" applyNumberFormat="1" applyFont="1" applyFill="1" applyAlignment="1">
      <alignment horizontal="left" vertical="center" wrapText="1"/>
    </xf>
    <xf numFmtId="164" fontId="115" fillId="27" borderId="0" xfId="119" applyFont="1" applyFill="1" applyBorder="1" applyAlignment="1">
      <alignment horizontal="center" vertical="center"/>
    </xf>
    <xf numFmtId="164" fontId="115" fillId="27" borderId="0" xfId="119" applyFont="1" applyFill="1" applyAlignment="1">
      <alignment horizontal="center" vertical="center"/>
    </xf>
    <xf numFmtId="2" fontId="115" fillId="27" borderId="0" xfId="119" applyNumberFormat="1" applyFont="1" applyFill="1" applyAlignment="1">
      <alignment horizontal="center" vertical="center"/>
    </xf>
    <xf numFmtId="0" fontId="105" fillId="0" borderId="0" xfId="0" applyFont="1" applyFill="1" applyAlignment="1">
      <alignment horizontal="center" vertical="center"/>
    </xf>
    <xf numFmtId="0" fontId="107" fillId="0" borderId="0" xfId="119" applyNumberFormat="1" applyFont="1" applyFill="1" applyBorder="1" applyAlignment="1">
      <alignment horizontal="left" vertical="center"/>
    </xf>
    <xf numFmtId="164" fontId="107" fillId="0" borderId="0" xfId="119" applyFont="1" applyFill="1" applyBorder="1" applyAlignment="1">
      <alignment horizontal="center" vertical="center"/>
    </xf>
    <xf numFmtId="180" fontId="107" fillId="0" borderId="0" xfId="119" applyNumberFormat="1" applyFont="1" applyFill="1" applyAlignment="1">
      <alignment horizontal="center" vertical="center"/>
    </xf>
    <xf numFmtId="0" fontId="105" fillId="25" borderId="30" xfId="119" applyNumberFormat="1" applyFont="1" applyFill="1" applyBorder="1" applyAlignment="1">
      <alignment horizontal="left" vertical="center"/>
    </xf>
    <xf numFmtId="0" fontId="107" fillId="25" borderId="26" xfId="119" applyNumberFormat="1" applyFont="1" applyFill="1" applyBorder="1" applyAlignment="1">
      <alignment horizontal="left" vertical="center"/>
    </xf>
    <xf numFmtId="0" fontId="105" fillId="25" borderId="26" xfId="119" applyNumberFormat="1" applyFont="1" applyFill="1" applyBorder="1" applyAlignment="1">
      <alignment horizontal="left" vertical="center"/>
    </xf>
    <xf numFmtId="0" fontId="107" fillId="25" borderId="26" xfId="0" applyNumberFormat="1" applyFont="1" applyFill="1" applyBorder="1" applyAlignment="1">
      <alignment horizontal="left" vertical="center" wrapText="1"/>
    </xf>
    <xf numFmtId="0" fontId="105" fillId="25" borderId="47" xfId="119" applyNumberFormat="1" applyFont="1" applyFill="1" applyBorder="1" applyAlignment="1">
      <alignment horizontal="left" vertical="center" wrapText="1"/>
    </xf>
    <xf numFmtId="43" fontId="11" fillId="0" borderId="0" xfId="120" applyFont="1" applyFill="1" applyBorder="1" applyAlignment="1">
      <alignment horizontal="center" vertical="center" wrapText="1"/>
    </xf>
    <xf numFmtId="0" fontId="99" fillId="0" borderId="4" xfId="90" applyFont="1" applyFill="1" applyBorder="1"/>
    <xf numFmtId="0" fontId="0" fillId="19" borderId="0" xfId="0" applyFill="1"/>
    <xf numFmtId="0" fontId="53" fillId="0" borderId="4" xfId="0" applyFont="1" applyBorder="1" applyAlignment="1">
      <alignment horizontal="justify" vertical="center" wrapText="1"/>
    </xf>
    <xf numFmtId="0" fontId="11" fillId="0" borderId="4" xfId="0" applyFont="1" applyFill="1" applyBorder="1" applyAlignment="1">
      <alignment horizontal="center" vertical="center"/>
    </xf>
    <xf numFmtId="0" fontId="0" fillId="0" borderId="0" xfId="0" applyFill="1" applyAlignment="1">
      <alignment horizontal="center" vertical="center"/>
    </xf>
    <xf numFmtId="43" fontId="11" fillId="0" borderId="4" xfId="120" applyFont="1" applyFill="1" applyBorder="1" applyAlignment="1">
      <alignment horizontal="center" vertical="center"/>
    </xf>
    <xf numFmtId="2" fontId="0" fillId="0" borderId="4" xfId="0" applyNumberFormat="1" applyBorder="1"/>
    <xf numFmtId="1" fontId="0" fillId="0" borderId="4" xfId="0" applyNumberFormat="1" applyBorder="1" applyAlignment="1">
      <alignment horizontal="center" vertical="center"/>
    </xf>
    <xf numFmtId="1" fontId="0" fillId="0" borderId="0" xfId="0" applyNumberFormat="1" applyFont="1" applyFill="1" applyBorder="1" applyAlignment="1">
      <alignment horizontal="center" vertical="center"/>
    </xf>
    <xf numFmtId="43" fontId="11" fillId="0" borderId="4" xfId="120" applyFont="1" applyFill="1" applyBorder="1" applyAlignment="1">
      <alignment horizontal="center" vertical="center" wrapText="1"/>
    </xf>
    <xf numFmtId="9" fontId="10" fillId="5" borderId="0" xfId="59" applyFont="1" applyFill="1"/>
    <xf numFmtId="0" fontId="10" fillId="5" borderId="0" xfId="0" applyFont="1" applyFill="1" applyAlignment="1">
      <alignment horizontal="center"/>
    </xf>
    <xf numFmtId="0" fontId="13" fillId="5" borderId="0" xfId="0" applyFont="1" applyFill="1"/>
    <xf numFmtId="9" fontId="13" fillId="5" borderId="0" xfId="59" applyFont="1" applyFill="1"/>
    <xf numFmtId="0" fontId="13" fillId="5" borderId="0" xfId="0" applyFont="1" applyFill="1" applyAlignment="1">
      <alignment horizontal="center"/>
    </xf>
    <xf numFmtId="0" fontId="17" fillId="5" borderId="8" xfId="0" applyFont="1" applyFill="1" applyBorder="1" applyAlignment="1">
      <alignment vertical="center" wrapText="1"/>
    </xf>
    <xf numFmtId="0" fontId="17" fillId="5" borderId="11" xfId="0" applyFont="1" applyFill="1" applyBorder="1" applyAlignment="1">
      <alignment vertical="center" wrapText="1"/>
    </xf>
    <xf numFmtId="0" fontId="17" fillId="5" borderId="4" xfId="0" applyFont="1" applyFill="1" applyBorder="1" applyAlignment="1">
      <alignment horizontal="center" vertical="center" wrapText="1"/>
    </xf>
    <xf numFmtId="9" fontId="17" fillId="5" borderId="4" xfId="59" applyFont="1" applyFill="1" applyBorder="1" applyAlignment="1">
      <alignment horizontal="center" vertical="center" wrapText="1"/>
    </xf>
    <xf numFmtId="0" fontId="17" fillId="5" borderId="4" xfId="0" applyFont="1" applyFill="1" applyBorder="1" applyAlignment="1">
      <alignment vertical="center" wrapText="1"/>
    </xf>
    <xf numFmtId="9" fontId="17" fillId="5" borderId="4" xfId="59" applyFont="1" applyFill="1" applyBorder="1" applyAlignment="1">
      <alignment vertical="center" wrapText="1"/>
    </xf>
    <xf numFmtId="184" fontId="93" fillId="0" borderId="7" xfId="120" applyNumberFormat="1" applyFont="1" applyBorder="1" applyAlignment="1">
      <alignment horizontal="center" vertical="center" wrapText="1"/>
    </xf>
    <xf numFmtId="43" fontId="93" fillId="0" borderId="4" xfId="120" applyFont="1" applyBorder="1" applyAlignment="1">
      <alignment horizontal="center" vertical="center" wrapText="1"/>
    </xf>
    <xf numFmtId="184" fontId="61" fillId="0" borderId="4" xfId="120" applyNumberFormat="1" applyFont="1" applyBorder="1" applyAlignment="1">
      <alignment horizontal="center" vertical="center"/>
    </xf>
    <xf numFmtId="43" fontId="61" fillId="0" borderId="4" xfId="120" applyFont="1" applyBorder="1" applyAlignment="1">
      <alignment horizontal="left" vertical="center"/>
    </xf>
    <xf numFmtId="10" fontId="17" fillId="5" borderId="4" xfId="59" applyNumberFormat="1" applyFont="1" applyFill="1" applyBorder="1" applyAlignment="1">
      <alignment horizontal="center" vertical="center" wrapText="1"/>
    </xf>
    <xf numFmtId="164" fontId="17" fillId="5" borderId="4" xfId="119" applyFont="1" applyFill="1" applyBorder="1" applyAlignment="1">
      <alignment vertical="center" wrapText="1"/>
    </xf>
    <xf numFmtId="180" fontId="16" fillId="5" borderId="4" xfId="119" applyNumberFormat="1" applyFont="1" applyFill="1" applyBorder="1" applyAlignment="1">
      <alignment vertical="center" wrapText="1"/>
    </xf>
    <xf numFmtId="10" fontId="16" fillId="5" borderId="4" xfId="59" applyNumberFormat="1" applyFont="1" applyFill="1" applyBorder="1" applyAlignment="1">
      <alignment horizontal="center" vertical="center" wrapText="1"/>
    </xf>
    <xf numFmtId="9" fontId="16" fillId="5" borderId="4" xfId="59" applyFont="1" applyFill="1" applyBorder="1" applyAlignment="1">
      <alignment horizontal="center" vertical="center" wrapText="1"/>
    </xf>
    <xf numFmtId="10" fontId="16" fillId="5" borderId="4" xfId="59" applyNumberFormat="1" applyFont="1" applyFill="1" applyBorder="1" applyAlignment="1">
      <alignment vertical="center" wrapText="1"/>
    </xf>
    <xf numFmtId="164" fontId="16" fillId="5" borderId="4" xfId="119" applyFont="1" applyFill="1" applyBorder="1" applyAlignment="1">
      <alignment vertical="center" wrapText="1"/>
    </xf>
    <xf numFmtId="43" fontId="16" fillId="5" borderId="4" xfId="120" applyFont="1" applyFill="1" applyBorder="1" applyAlignment="1">
      <alignment vertical="center" wrapText="1"/>
    </xf>
    <xf numFmtId="2" fontId="10" fillId="5" borderId="0" xfId="0" applyNumberFormat="1" applyFont="1" applyFill="1"/>
    <xf numFmtId="164" fontId="10" fillId="5" borderId="0" xfId="0" applyNumberFormat="1" applyFont="1" applyFill="1"/>
    <xf numFmtId="9" fontId="16" fillId="5" borderId="4" xfId="59" applyFont="1" applyFill="1" applyBorder="1" applyAlignment="1">
      <alignment vertical="center" wrapText="1"/>
    </xf>
    <xf numFmtId="184" fontId="61" fillId="0" borderId="4" xfId="120" applyNumberFormat="1" applyFont="1" applyFill="1" applyBorder="1" applyAlignment="1">
      <alignment horizontal="center" vertical="center"/>
    </xf>
    <xf numFmtId="43" fontId="61" fillId="0" borderId="4" xfId="120" applyFont="1" applyFill="1" applyBorder="1" applyAlignment="1">
      <alignment horizontal="left" vertical="center"/>
    </xf>
    <xf numFmtId="180" fontId="16" fillId="0" borderId="4" xfId="119" applyNumberFormat="1" applyFont="1" applyFill="1" applyBorder="1" applyAlignment="1">
      <alignment vertical="center" wrapText="1"/>
    </xf>
    <xf numFmtId="10" fontId="16" fillId="0" borderId="4" xfId="59" applyNumberFormat="1" applyFont="1" applyFill="1" applyBorder="1" applyAlignment="1">
      <alignment vertical="center" wrapText="1"/>
    </xf>
    <xf numFmtId="9" fontId="16" fillId="0" borderId="4" xfId="59" applyFont="1" applyFill="1" applyBorder="1" applyAlignment="1">
      <alignment vertical="center" wrapText="1"/>
    </xf>
    <xf numFmtId="43" fontId="52" fillId="0" borderId="4" xfId="120" applyFont="1" applyFill="1" applyBorder="1" applyAlignment="1">
      <alignment vertical="center"/>
    </xf>
    <xf numFmtId="43" fontId="50" fillId="0" borderId="4" xfId="120" applyFont="1" applyFill="1" applyBorder="1" applyAlignment="1">
      <alignment vertical="center"/>
    </xf>
    <xf numFmtId="164" fontId="17" fillId="0" borderId="4" xfId="119" applyFont="1" applyFill="1" applyBorder="1" applyAlignment="1">
      <alignment vertical="center" wrapText="1"/>
    </xf>
    <xf numFmtId="2" fontId="10" fillId="0" borderId="0" xfId="0" applyNumberFormat="1" applyFont="1" applyFill="1"/>
    <xf numFmtId="164" fontId="10" fillId="0" borderId="0" xfId="0" applyNumberFormat="1" applyFont="1" applyFill="1"/>
    <xf numFmtId="184" fontId="93" fillId="0" borderId="4" xfId="120" applyNumberFormat="1" applyFont="1" applyBorder="1" applyAlignment="1">
      <alignment horizontal="center" vertical="center"/>
    </xf>
    <xf numFmtId="43" fontId="93" fillId="0" borderId="4" xfId="120" applyFont="1" applyBorder="1" applyAlignment="1">
      <alignment horizontal="left" vertical="center"/>
    </xf>
    <xf numFmtId="43" fontId="50" fillId="30" borderId="4" xfId="120" applyFont="1" applyFill="1" applyBorder="1" applyAlignment="1">
      <alignment vertical="center"/>
    </xf>
    <xf numFmtId="43" fontId="52" fillId="5" borderId="4" xfId="120" applyNumberFormat="1" applyFont="1" applyFill="1" applyBorder="1" applyAlignment="1">
      <alignment vertical="center"/>
    </xf>
    <xf numFmtId="10" fontId="17" fillId="5" borderId="4" xfId="59" applyNumberFormat="1" applyFont="1" applyFill="1" applyBorder="1" applyAlignment="1">
      <alignment horizontal="center" wrapText="1"/>
    </xf>
    <xf numFmtId="164" fontId="17" fillId="5" borderId="4" xfId="119" applyFont="1" applyFill="1" applyBorder="1" applyAlignment="1">
      <alignment wrapText="1"/>
    </xf>
    <xf numFmtId="0" fontId="17" fillId="5" borderId="4" xfId="0" applyFont="1" applyFill="1" applyBorder="1" applyAlignment="1">
      <alignment wrapText="1"/>
    </xf>
    <xf numFmtId="180" fontId="17" fillId="5" borderId="4" xfId="119" applyNumberFormat="1" applyFont="1" applyFill="1" applyBorder="1" applyAlignment="1">
      <alignment vertical="center" wrapText="1"/>
    </xf>
    <xf numFmtId="43" fontId="52" fillId="30" borderId="4" xfId="120" applyFont="1" applyFill="1" applyBorder="1" applyAlignment="1">
      <alignment vertical="center"/>
    </xf>
    <xf numFmtId="43" fontId="17" fillId="5" borderId="4" xfId="0" applyNumberFormat="1" applyFont="1" applyFill="1" applyBorder="1" applyAlignment="1">
      <alignment vertical="center" wrapText="1"/>
    </xf>
    <xf numFmtId="10" fontId="10" fillId="5" borderId="4" xfId="59" applyNumberFormat="1" applyFont="1" applyFill="1" applyBorder="1" applyAlignment="1">
      <alignment horizontal="center"/>
    </xf>
    <xf numFmtId="164" fontId="10" fillId="5" borderId="4" xfId="119" applyFont="1" applyFill="1" applyBorder="1"/>
    <xf numFmtId="2" fontId="16" fillId="5" borderId="4" xfId="59" applyNumberFormat="1" applyFont="1" applyFill="1" applyBorder="1" applyAlignment="1">
      <alignment vertical="center" wrapText="1"/>
    </xf>
    <xf numFmtId="179" fontId="10" fillId="5" borderId="4" xfId="0" applyNumberFormat="1" applyFont="1" applyFill="1" applyBorder="1"/>
    <xf numFmtId="0" fontId="61" fillId="0" borderId="4" xfId="90" applyFont="1" applyFill="1" applyBorder="1" applyAlignment="1">
      <alignment horizontal="center" vertical="center"/>
    </xf>
    <xf numFmtId="1" fontId="16" fillId="0" borderId="4" xfId="0" applyNumberFormat="1" applyFont="1" applyFill="1" applyBorder="1" applyAlignment="1">
      <alignment vertical="center" wrapText="1"/>
    </xf>
    <xf numFmtId="43" fontId="10" fillId="5" borderId="4" xfId="0" applyNumberFormat="1" applyFont="1" applyFill="1" applyBorder="1"/>
    <xf numFmtId="184" fontId="61" fillId="0" borderId="0" xfId="120" applyNumberFormat="1" applyFont="1" applyBorder="1" applyAlignment="1">
      <alignment horizontal="center" vertical="center"/>
    </xf>
    <xf numFmtId="0" fontId="10" fillId="5" borderId="7" xfId="0" applyFont="1" applyFill="1" applyBorder="1"/>
    <xf numFmtId="10" fontId="10" fillId="5" borderId="7" xfId="59" applyNumberFormat="1" applyFont="1" applyFill="1" applyBorder="1" applyAlignment="1">
      <alignment horizontal="center"/>
    </xf>
    <xf numFmtId="164" fontId="10" fillId="5" borderId="7" xfId="119" applyFont="1" applyFill="1" applyBorder="1"/>
    <xf numFmtId="0" fontId="101" fillId="0" borderId="5" xfId="0" applyFont="1" applyBorder="1" applyAlignment="1">
      <alignment horizontal="center" vertical="center"/>
    </xf>
    <xf numFmtId="0" fontId="101" fillId="0" borderId="4" xfId="0" applyFont="1" applyBorder="1" applyAlignment="1">
      <alignment vertical="center"/>
    </xf>
    <xf numFmtId="180" fontId="14" fillId="5" borderId="7" xfId="119" applyNumberFormat="1" applyFont="1" applyFill="1" applyBorder="1"/>
    <xf numFmtId="1" fontId="14" fillId="5" borderId="7" xfId="0" applyNumberFormat="1" applyFont="1" applyFill="1" applyBorder="1"/>
    <xf numFmtId="10" fontId="14" fillId="5" borderId="4" xfId="59" applyNumberFormat="1" applyFont="1" applyFill="1" applyBorder="1" applyAlignment="1">
      <alignment horizontal="center"/>
    </xf>
    <xf numFmtId="180" fontId="14" fillId="5" borderId="0" xfId="119" applyNumberFormat="1" applyFont="1" applyFill="1" applyBorder="1"/>
    <xf numFmtId="10" fontId="16" fillId="5" borderId="0" xfId="59" applyNumberFormat="1" applyFont="1" applyFill="1" applyBorder="1" applyAlignment="1">
      <alignment horizontal="center" vertical="center" wrapText="1"/>
    </xf>
    <xf numFmtId="9" fontId="16" fillId="5" borderId="0" xfId="59" applyFont="1" applyFill="1" applyBorder="1" applyAlignment="1">
      <alignment horizontal="center" vertical="center" wrapText="1"/>
    </xf>
    <xf numFmtId="1" fontId="14" fillId="5" borderId="0" xfId="0" applyNumberFormat="1" applyFont="1" applyFill="1" applyBorder="1"/>
    <xf numFmtId="10" fontId="14" fillId="5" borderId="0" xfId="59" applyNumberFormat="1" applyFont="1" applyFill="1" applyBorder="1" applyAlignment="1">
      <alignment horizontal="center"/>
    </xf>
    <xf numFmtId="164" fontId="14" fillId="5" borderId="0" xfId="119" applyFont="1" applyFill="1" applyBorder="1"/>
    <xf numFmtId="0" fontId="101" fillId="0" borderId="0" xfId="0" applyFont="1" applyBorder="1" applyAlignment="1">
      <alignment horizontal="center" vertical="center"/>
    </xf>
    <xf numFmtId="164" fontId="17" fillId="5" borderId="0" xfId="119" applyFont="1" applyFill="1" applyBorder="1" applyAlignment="1">
      <alignment vertical="center" wrapText="1"/>
    </xf>
    <xf numFmtId="0" fontId="101" fillId="0" borderId="29" xfId="0" applyFont="1" applyBorder="1" applyAlignment="1">
      <alignment horizontal="left" vertical="center" wrapText="1"/>
    </xf>
    <xf numFmtId="0" fontId="102" fillId="0" borderId="9" xfId="0" applyFont="1" applyBorder="1" applyAlignment="1">
      <alignment horizontal="left" vertical="center" wrapText="1"/>
    </xf>
    <xf numFmtId="164" fontId="14" fillId="5" borderId="4" xfId="119" applyFont="1" applyFill="1" applyBorder="1"/>
    <xf numFmtId="184" fontId="52" fillId="0" borderId="0" xfId="120" applyNumberFormat="1" applyFont="1" applyAlignment="1">
      <alignment vertical="center"/>
    </xf>
    <xf numFmtId="190" fontId="50" fillId="0" borderId="4" xfId="120" applyNumberFormat="1" applyFont="1" applyFill="1" applyBorder="1" applyAlignment="1">
      <alignment vertical="center"/>
    </xf>
    <xf numFmtId="0" fontId="50" fillId="5" borderId="6" xfId="0" applyFont="1" applyFill="1" applyBorder="1" applyAlignment="1"/>
    <xf numFmtId="0" fontId="50" fillId="5" borderId="3" xfId="0" applyFont="1" applyFill="1" applyBorder="1" applyAlignment="1"/>
    <xf numFmtId="0" fontId="52" fillId="5" borderId="0" xfId="0" applyFont="1" applyFill="1"/>
    <xf numFmtId="164" fontId="52" fillId="5" borderId="0" xfId="0" applyNumberFormat="1" applyFont="1" applyFill="1"/>
    <xf numFmtId="43" fontId="105" fillId="23" borderId="4" xfId="120" applyFont="1" applyFill="1" applyBorder="1" applyAlignment="1">
      <alignment horizontal="center" vertical="center"/>
    </xf>
    <xf numFmtId="0" fontId="52" fillId="5" borderId="3" xfId="0" applyFont="1" applyFill="1" applyBorder="1"/>
    <xf numFmtId="0" fontId="52" fillId="5" borderId="12" xfId="0" applyFont="1" applyFill="1" applyBorder="1"/>
    <xf numFmtId="0" fontId="52" fillId="5" borderId="6" xfId="0" applyFont="1" applyFill="1" applyBorder="1" applyAlignment="1"/>
    <xf numFmtId="0" fontId="52" fillId="5" borderId="3" xfId="0" applyFont="1" applyFill="1" applyBorder="1" applyAlignment="1"/>
    <xf numFmtId="0" fontId="52" fillId="5" borderId="4" xfId="0" applyFont="1" applyFill="1" applyBorder="1"/>
    <xf numFmtId="186" fontId="10" fillId="5" borderId="0" xfId="0" applyNumberFormat="1" applyFont="1" applyFill="1"/>
    <xf numFmtId="43" fontId="10" fillId="5" borderId="0" xfId="0" applyNumberFormat="1" applyFont="1" applyFill="1"/>
    <xf numFmtId="185" fontId="10" fillId="5" borderId="0" xfId="0" applyNumberFormat="1" applyFont="1" applyFill="1"/>
    <xf numFmtId="9" fontId="10" fillId="0" borderId="0" xfId="59" applyFont="1" applyFill="1"/>
    <xf numFmtId="0" fontId="13" fillId="8" borderId="0" xfId="0" applyFont="1" applyFill="1" applyAlignment="1"/>
    <xf numFmtId="9" fontId="13" fillId="8" borderId="0" xfId="59" applyFont="1" applyFill="1" applyAlignment="1"/>
    <xf numFmtId="0" fontId="13" fillId="8" borderId="0" xfId="0" applyFont="1" applyFill="1" applyAlignment="1">
      <alignment horizontal="center"/>
    </xf>
    <xf numFmtId="0" fontId="10" fillId="8" borderId="0" xfId="0" applyFont="1" applyFill="1"/>
    <xf numFmtId="0" fontId="17" fillId="8" borderId="4" xfId="0" applyFont="1" applyFill="1" applyBorder="1" applyAlignment="1">
      <alignment vertical="center" wrapText="1"/>
    </xf>
    <xf numFmtId="0" fontId="17" fillId="6" borderId="4" xfId="0" applyFont="1" applyFill="1" applyBorder="1" applyAlignment="1">
      <alignment horizontal="center" vertical="center" wrapText="1"/>
    </xf>
    <xf numFmtId="0" fontId="61" fillId="5" borderId="4" xfId="90" applyFont="1" applyFill="1" applyBorder="1" applyAlignment="1">
      <alignment horizontal="center" vertical="center"/>
    </xf>
    <xf numFmtId="0" fontId="93" fillId="5" borderId="4" xfId="0" applyFont="1" applyFill="1" applyBorder="1" applyAlignment="1">
      <alignment horizontal="left" vertical="center" wrapText="1"/>
    </xf>
    <xf numFmtId="0" fontId="14" fillId="5" borderId="4" xfId="0" applyFont="1" applyFill="1" applyBorder="1" applyAlignment="1">
      <alignment vertical="center" wrapText="1"/>
    </xf>
    <xf numFmtId="0" fontId="16" fillId="5" borderId="4" xfId="0" applyFont="1" applyFill="1" applyBorder="1" applyAlignment="1">
      <alignment vertical="center" wrapText="1"/>
    </xf>
    <xf numFmtId="164" fontId="16" fillId="5" borderId="4" xfId="119" applyNumberFormat="1" applyFont="1" applyFill="1" applyBorder="1" applyAlignment="1">
      <alignment vertical="center" wrapText="1"/>
    </xf>
    <xf numFmtId="193" fontId="10" fillId="0" borderId="0" xfId="0" applyNumberFormat="1" applyFont="1" applyFill="1"/>
    <xf numFmtId="43" fontId="10" fillId="0" borderId="0" xfId="120" applyFont="1" applyFill="1"/>
    <xf numFmtId="43" fontId="10" fillId="0" borderId="0" xfId="0" applyNumberFormat="1" applyFont="1" applyFill="1"/>
    <xf numFmtId="10" fontId="10" fillId="0" borderId="0" xfId="59" applyNumberFormat="1" applyFont="1" applyFill="1"/>
    <xf numFmtId="0" fontId="14" fillId="5" borderId="4" xfId="0" applyFont="1" applyFill="1" applyBorder="1" applyAlignment="1">
      <alignment wrapText="1"/>
    </xf>
    <xf numFmtId="0" fontId="14" fillId="0" borderId="7" xfId="0" applyFont="1" applyFill="1" applyBorder="1" applyAlignment="1">
      <alignment vertical="center" wrapText="1"/>
    </xf>
    <xf numFmtId="164" fontId="16" fillId="0" borderId="4" xfId="119" applyFont="1" applyFill="1" applyBorder="1" applyAlignment="1">
      <alignment vertical="center" wrapText="1"/>
    </xf>
    <xf numFmtId="10" fontId="16" fillId="0" borderId="4" xfId="59" applyNumberFormat="1" applyFont="1" applyFill="1" applyBorder="1" applyAlignment="1">
      <alignment horizontal="center" vertical="center" wrapText="1"/>
    </xf>
    <xf numFmtId="10" fontId="17" fillId="0" borderId="4" xfId="59" applyNumberFormat="1" applyFont="1" applyFill="1" applyBorder="1" applyAlignment="1">
      <alignment horizontal="center" wrapText="1"/>
    </xf>
    <xf numFmtId="10" fontId="17" fillId="0" borderId="4" xfId="59" applyNumberFormat="1" applyFont="1" applyFill="1" applyBorder="1" applyAlignment="1">
      <alignment horizontal="center" vertical="center" wrapText="1"/>
    </xf>
    <xf numFmtId="164" fontId="17" fillId="0" borderId="4" xfId="119" applyFont="1" applyFill="1" applyBorder="1" applyAlignment="1">
      <alignment wrapText="1"/>
    </xf>
    <xf numFmtId="164" fontId="10" fillId="0" borderId="4" xfId="119" applyFont="1" applyFill="1" applyBorder="1" applyAlignment="1"/>
    <xf numFmtId="0" fontId="93" fillId="0" borderId="4" xfId="90" applyFont="1" applyFill="1" applyBorder="1" applyAlignment="1">
      <alignment horizontal="center" vertical="center"/>
    </xf>
    <xf numFmtId="0" fontId="14" fillId="0" borderId="4" xfId="0" applyFont="1" applyFill="1" applyBorder="1" applyAlignment="1">
      <alignment wrapText="1"/>
    </xf>
    <xf numFmtId="164" fontId="10" fillId="0" borderId="4" xfId="119" applyFont="1" applyFill="1" applyBorder="1"/>
    <xf numFmtId="0" fontId="16" fillId="0" borderId="4" xfId="0" applyFont="1" applyFill="1" applyBorder="1" applyAlignment="1">
      <alignment vertical="center" wrapText="1"/>
    </xf>
    <xf numFmtId="164" fontId="16" fillId="0" borderId="4" xfId="119" applyNumberFormat="1" applyFont="1" applyFill="1" applyBorder="1" applyAlignment="1">
      <alignment vertical="center" wrapText="1"/>
    </xf>
    <xf numFmtId="43" fontId="10" fillId="19" borderId="0" xfId="120" applyFont="1" applyFill="1"/>
    <xf numFmtId="0" fontId="10" fillId="31" borderId="0" xfId="0" applyFont="1" applyFill="1"/>
    <xf numFmtId="43" fontId="1" fillId="0" borderId="4" xfId="120" applyFont="1" applyFill="1" applyBorder="1" applyAlignment="1">
      <alignment horizontal="left"/>
    </xf>
    <xf numFmtId="0" fontId="17" fillId="0" borderId="4" xfId="0" applyFont="1" applyFill="1" applyBorder="1" applyAlignment="1">
      <alignment vertical="center" wrapText="1"/>
    </xf>
    <xf numFmtId="2" fontId="16" fillId="0" borderId="4" xfId="0" applyNumberFormat="1" applyFont="1" applyFill="1" applyBorder="1" applyAlignment="1">
      <alignment vertical="center" wrapText="1"/>
    </xf>
    <xf numFmtId="0" fontId="14" fillId="0" borderId="4" xfId="0" applyFont="1" applyFill="1" applyBorder="1"/>
    <xf numFmtId="2" fontId="14" fillId="0" borderId="0" xfId="0" applyNumberFormat="1" applyFont="1" applyFill="1"/>
    <xf numFmtId="0" fontId="116" fillId="0" borderId="4" xfId="90" applyFont="1" applyFill="1" applyBorder="1"/>
    <xf numFmtId="0" fontId="10" fillId="0" borderId="4" xfId="75" applyFont="1" applyFill="1" applyBorder="1"/>
    <xf numFmtId="0" fontId="17" fillId="0" borderId="7" xfId="0" applyFont="1" applyFill="1" applyBorder="1" applyAlignment="1">
      <alignment vertical="center" wrapText="1"/>
    </xf>
    <xf numFmtId="164" fontId="17" fillId="0" borderId="4" xfId="119" applyNumberFormat="1" applyFont="1" applyFill="1" applyBorder="1" applyAlignment="1">
      <alignment vertical="center" wrapText="1"/>
    </xf>
    <xf numFmtId="0" fontId="14" fillId="0" borderId="4" xfId="75" applyFont="1" applyFill="1" applyBorder="1"/>
    <xf numFmtId="0" fontId="61" fillId="0" borderId="4" xfId="0" applyFont="1" applyFill="1" applyBorder="1" applyAlignment="1">
      <alignment horizontal="left" vertical="center"/>
    </xf>
    <xf numFmtId="0" fontId="93" fillId="0" borderId="4" xfId="0" applyFont="1" applyFill="1" applyBorder="1" applyAlignment="1">
      <alignment horizontal="left" vertical="center" wrapText="1"/>
    </xf>
    <xf numFmtId="0" fontId="61" fillId="0" borderId="4" xfId="0" applyFont="1" applyFill="1" applyBorder="1" applyAlignment="1">
      <alignment horizontal="left" vertical="center" wrapText="1"/>
    </xf>
    <xf numFmtId="43" fontId="93" fillId="0" borderId="4" xfId="120" applyFont="1" applyFill="1" applyBorder="1" applyAlignment="1">
      <alignment horizontal="left" vertical="center"/>
    </xf>
    <xf numFmtId="0" fontId="93" fillId="0" borderId="4" xfId="90" applyFont="1" applyFill="1" applyBorder="1"/>
    <xf numFmtId="10" fontId="10" fillId="0" borderId="4" xfId="59" applyNumberFormat="1" applyFont="1" applyFill="1" applyBorder="1" applyAlignment="1">
      <alignment horizontal="center"/>
    </xf>
    <xf numFmtId="0" fontId="61" fillId="0" borderId="4" xfId="90" applyFont="1" applyFill="1" applyBorder="1"/>
    <xf numFmtId="43" fontId="93" fillId="0" borderId="4" xfId="112" applyFont="1" applyFill="1" applyBorder="1" applyAlignment="1">
      <alignment horizontal="left" vertical="center" wrapText="1"/>
    </xf>
    <xf numFmtId="164" fontId="14" fillId="0" borderId="4" xfId="119" applyFont="1" applyFill="1" applyBorder="1" applyAlignment="1">
      <alignment horizontal="center" vertical="center"/>
    </xf>
    <xf numFmtId="164" fontId="17" fillId="0" borderId="4" xfId="119" applyFont="1" applyFill="1" applyBorder="1" applyAlignment="1">
      <alignment horizontal="center" vertical="center" wrapText="1"/>
    </xf>
    <xf numFmtId="0" fontId="10" fillId="0" borderId="0" xfId="0" applyFont="1" applyFill="1" applyAlignment="1">
      <alignment horizontal="center" vertical="center"/>
    </xf>
    <xf numFmtId="43" fontId="61" fillId="0" borderId="4" xfId="112" applyFont="1" applyFill="1" applyBorder="1" applyAlignment="1">
      <alignment horizontal="left" vertical="center"/>
    </xf>
    <xf numFmtId="10" fontId="14" fillId="0" borderId="4" xfId="59" applyNumberFormat="1" applyFont="1" applyFill="1" applyBorder="1" applyAlignment="1">
      <alignment horizontal="center"/>
    </xf>
    <xf numFmtId="43" fontId="93" fillId="0" borderId="4" xfId="112" applyFont="1" applyFill="1" applyBorder="1" applyAlignment="1">
      <alignment horizontal="left" vertical="center"/>
    </xf>
    <xf numFmtId="194" fontId="16" fillId="0" borderId="4" xfId="59" applyNumberFormat="1" applyFont="1" applyFill="1" applyBorder="1" applyAlignment="1">
      <alignment vertical="center" wrapText="1"/>
    </xf>
    <xf numFmtId="195" fontId="16" fillId="0" borderId="4" xfId="59" applyNumberFormat="1" applyFont="1" applyFill="1" applyBorder="1" applyAlignment="1">
      <alignment vertical="center" wrapText="1"/>
    </xf>
    <xf numFmtId="10" fontId="10" fillId="0" borderId="7" xfId="59" applyNumberFormat="1" applyFont="1" applyFill="1" applyBorder="1" applyAlignment="1">
      <alignment horizontal="center"/>
    </xf>
    <xf numFmtId="164" fontId="10" fillId="0" borderId="7" xfId="119" applyFont="1" applyFill="1" applyBorder="1"/>
    <xf numFmtId="164" fontId="14" fillId="0" borderId="4" xfId="119" applyFont="1" applyFill="1" applyBorder="1" applyAlignment="1">
      <alignment horizontal="center"/>
    </xf>
    <xf numFmtId="164" fontId="10" fillId="19" borderId="0" xfId="0" applyNumberFormat="1" applyFont="1" applyFill="1"/>
    <xf numFmtId="43" fontId="61" fillId="0" borderId="4" xfId="112" applyFont="1" applyFill="1" applyBorder="1" applyAlignment="1">
      <alignment horizontal="left" vertical="center" wrapText="1"/>
    </xf>
    <xf numFmtId="164" fontId="16" fillId="0" borderId="7" xfId="119" applyFont="1" applyFill="1" applyBorder="1" applyAlignment="1">
      <alignment vertical="center" wrapText="1"/>
    </xf>
    <xf numFmtId="164" fontId="14" fillId="0" borderId="7" xfId="119" applyFont="1" applyFill="1" applyBorder="1" applyAlignment="1">
      <alignment horizontal="center"/>
    </xf>
    <xf numFmtId="43" fontId="61" fillId="0" borderId="15" xfId="112" applyFont="1" applyFill="1" applyBorder="1" applyAlignment="1">
      <alignment horizontal="left" vertical="center" wrapText="1"/>
    </xf>
    <xf numFmtId="0" fontId="17" fillId="0" borderId="15" xfId="0" applyFont="1" applyFill="1" applyBorder="1" applyAlignment="1">
      <alignment vertical="center" wrapText="1"/>
    </xf>
    <xf numFmtId="164" fontId="14" fillId="0" borderId="7" xfId="119" applyFont="1" applyFill="1" applyBorder="1"/>
    <xf numFmtId="10" fontId="14" fillId="0" borderId="7" xfId="59" applyNumberFormat="1" applyFont="1" applyFill="1" applyBorder="1" applyAlignment="1">
      <alignment horizontal="center"/>
    </xf>
    <xf numFmtId="0" fontId="61" fillId="0" borderId="6" xfId="90" applyFont="1" applyFill="1" applyBorder="1" applyAlignment="1">
      <alignment horizontal="center" vertical="center"/>
    </xf>
    <xf numFmtId="0" fontId="17" fillId="0" borderId="3" xfId="0" applyFont="1" applyFill="1" applyBorder="1" applyAlignment="1">
      <alignment vertical="center" wrapText="1"/>
    </xf>
    <xf numFmtId="164" fontId="10" fillId="0" borderId="0" xfId="0" applyNumberFormat="1" applyFont="1" applyFill="1" applyBorder="1"/>
    <xf numFmtId="9" fontId="10" fillId="0" borderId="0" xfId="59" applyFont="1" applyFill="1" applyBorder="1"/>
    <xf numFmtId="0" fontId="10" fillId="0" borderId="0" xfId="0" applyFont="1" applyFill="1" applyBorder="1" applyAlignment="1">
      <alignment horizontal="center"/>
    </xf>
    <xf numFmtId="0" fontId="10" fillId="0" borderId="0" xfId="0" applyFont="1" applyFill="1" applyBorder="1"/>
    <xf numFmtId="164" fontId="14" fillId="0" borderId="14" xfId="119" applyFont="1" applyFill="1" applyBorder="1" applyAlignment="1">
      <alignment horizontal="center"/>
    </xf>
    <xf numFmtId="9" fontId="14" fillId="0" borderId="14" xfId="59" applyFont="1" applyFill="1" applyBorder="1" applyAlignment="1">
      <alignment horizontal="center"/>
    </xf>
    <xf numFmtId="10" fontId="14" fillId="0" borderId="14" xfId="59" applyNumberFormat="1" applyFont="1" applyFill="1" applyBorder="1" applyAlignment="1">
      <alignment horizontal="center"/>
    </xf>
    <xf numFmtId="0" fontId="52" fillId="0" borderId="0" xfId="0" applyFont="1" applyFill="1" applyBorder="1" applyAlignment="1"/>
    <xf numFmtId="0" fontId="52" fillId="0" borderId="3" xfId="0" applyFont="1" applyFill="1" applyBorder="1" applyAlignment="1"/>
    <xf numFmtId="0" fontId="52" fillId="0" borderId="12" xfId="0" applyFont="1" applyFill="1" applyBorder="1" applyAlignment="1"/>
    <xf numFmtId="0" fontId="52" fillId="0" borderId="4" xfId="0" applyFont="1" applyFill="1" applyBorder="1"/>
    <xf numFmtId="9" fontId="10" fillId="0" borderId="0" xfId="59" applyNumberFormat="1" applyFont="1"/>
    <xf numFmtId="9" fontId="13" fillId="4" borderId="0" xfId="59" applyNumberFormat="1" applyFont="1" applyFill="1" applyAlignment="1"/>
    <xf numFmtId="43" fontId="13" fillId="0" borderId="0" xfId="120" applyFont="1" applyFill="1" applyAlignment="1"/>
    <xf numFmtId="0" fontId="17" fillId="8" borderId="16" xfId="0" applyFont="1" applyFill="1" applyBorder="1" applyAlignment="1">
      <alignment vertical="center" wrapText="1"/>
    </xf>
    <xf numFmtId="9" fontId="17" fillId="8" borderId="14" xfId="59" applyNumberFormat="1" applyFont="1" applyFill="1" applyBorder="1" applyAlignment="1">
      <alignment vertical="center" wrapText="1"/>
    </xf>
    <xf numFmtId="0" fontId="17" fillId="8" borderId="14" xfId="0" applyFont="1" applyFill="1" applyBorder="1" applyAlignment="1">
      <alignment vertical="center" wrapText="1"/>
    </xf>
    <xf numFmtId="0" fontId="17" fillId="8" borderId="17" xfId="0" applyFont="1" applyFill="1" applyBorder="1" applyAlignment="1">
      <alignment vertical="center" wrapText="1"/>
    </xf>
    <xf numFmtId="9" fontId="17" fillId="8" borderId="0" xfId="59" applyNumberFormat="1" applyFont="1" applyFill="1" applyBorder="1" applyAlignment="1">
      <alignment vertical="center" wrapText="1"/>
    </xf>
    <xf numFmtId="0" fontId="17" fillId="8" borderId="0" xfId="0" applyFont="1" applyFill="1" applyBorder="1" applyAlignment="1">
      <alignment vertical="center" wrapText="1"/>
    </xf>
    <xf numFmtId="0" fontId="17" fillId="8" borderId="8" xfId="0" applyFont="1" applyFill="1" applyBorder="1" applyAlignment="1">
      <alignment vertical="center" wrapText="1"/>
    </xf>
    <xf numFmtId="9" fontId="17" fillId="8" borderId="11" xfId="59" applyNumberFormat="1" applyFont="1" applyFill="1" applyBorder="1" applyAlignment="1">
      <alignment vertical="center" wrapText="1"/>
    </xf>
    <xf numFmtId="0" fontId="17" fillId="8" borderId="11" xfId="0" applyFont="1" applyFill="1" applyBorder="1" applyAlignment="1">
      <alignment vertical="center" wrapText="1"/>
    </xf>
    <xf numFmtId="43" fontId="17" fillId="0" borderId="11" xfId="120" applyFont="1" applyFill="1" applyBorder="1" applyAlignment="1">
      <alignment vertical="center" wrapText="1"/>
    </xf>
    <xf numFmtId="0" fontId="17" fillId="0" borderId="11" xfId="0" applyFont="1" applyFill="1" applyBorder="1" applyAlignment="1">
      <alignment vertical="center" wrapText="1"/>
    </xf>
    <xf numFmtId="0" fontId="17" fillId="15" borderId="4" xfId="0" applyFont="1" applyFill="1" applyBorder="1" applyAlignment="1">
      <alignment horizontal="center" vertical="center" wrapText="1"/>
    </xf>
    <xf numFmtId="9" fontId="17" fillId="15" borderId="4" xfId="59" applyNumberFormat="1" applyFont="1" applyFill="1" applyBorder="1" applyAlignment="1">
      <alignment horizontal="center" vertical="center" wrapText="1"/>
    </xf>
    <xf numFmtId="43" fontId="17" fillId="8" borderId="4" xfId="120" applyFont="1" applyFill="1" applyBorder="1" applyAlignment="1">
      <alignment horizontal="center" vertical="center" wrapText="1"/>
    </xf>
    <xf numFmtId="43" fontId="17" fillId="6" borderId="4" xfId="120" applyFont="1" applyFill="1" applyBorder="1" applyAlignment="1">
      <alignment horizontal="center" vertical="center" wrapText="1"/>
    </xf>
    <xf numFmtId="0" fontId="17" fillId="6" borderId="6" xfId="0" applyFont="1" applyFill="1" applyBorder="1" applyAlignment="1">
      <alignment horizontal="center" vertical="center" wrapText="1"/>
    </xf>
    <xf numFmtId="9" fontId="17" fillId="0" borderId="4" xfId="59" applyNumberFormat="1" applyFont="1" applyFill="1" applyBorder="1" applyAlignment="1">
      <alignment vertical="center" wrapText="1"/>
    </xf>
    <xf numFmtId="0" fontId="17" fillId="0" borderId="4" xfId="0" applyFont="1" applyFill="1" applyBorder="1" applyAlignment="1">
      <alignment horizontal="center" vertical="center" wrapText="1"/>
    </xf>
    <xf numFmtId="43" fontId="17" fillId="0" borderId="4" xfId="120" applyFont="1" applyFill="1" applyBorder="1" applyAlignment="1">
      <alignment vertical="center" wrapText="1"/>
    </xf>
    <xf numFmtId="0" fontId="17" fillId="0" borderId="6" xfId="0" applyFont="1" applyFill="1" applyBorder="1" applyAlignment="1">
      <alignment vertical="center" wrapText="1"/>
    </xf>
    <xf numFmtId="0" fontId="61" fillId="0" borderId="15" xfId="90" applyFont="1" applyFill="1" applyBorder="1" applyAlignment="1">
      <alignment horizontal="center" vertical="center"/>
    </xf>
    <xf numFmtId="0" fontId="14" fillId="0" borderId="15" xfId="0" applyFont="1" applyFill="1" applyBorder="1" applyAlignment="1">
      <alignment vertical="center" wrapText="1"/>
    </xf>
    <xf numFmtId="9" fontId="17" fillId="0" borderId="15" xfId="59" applyNumberFormat="1" applyFont="1" applyFill="1" applyBorder="1" applyAlignment="1">
      <alignment vertical="center" wrapText="1"/>
    </xf>
    <xf numFmtId="0" fontId="17" fillId="0" borderId="15" xfId="0" applyFont="1" applyFill="1" applyBorder="1" applyAlignment="1">
      <alignment horizontal="center" vertical="center" wrapText="1"/>
    </xf>
    <xf numFmtId="43" fontId="17" fillId="0" borderId="15" xfId="120" applyFont="1" applyFill="1" applyBorder="1" applyAlignment="1">
      <alignment vertical="center" wrapText="1"/>
    </xf>
    <xf numFmtId="0" fontId="17" fillId="0" borderId="16" xfId="0" applyFont="1" applyFill="1" applyBorder="1" applyAlignment="1">
      <alignment vertical="center" wrapText="1"/>
    </xf>
    <xf numFmtId="43" fontId="16" fillId="0" borderId="4" xfId="120" applyFont="1" applyFill="1" applyBorder="1" applyAlignment="1">
      <alignment vertical="center" wrapText="1"/>
    </xf>
    <xf numFmtId="9" fontId="16" fillId="0" borderId="4" xfId="59" applyNumberFormat="1" applyFont="1" applyFill="1" applyBorder="1" applyAlignment="1">
      <alignment vertical="center" wrapText="1"/>
    </xf>
    <xf numFmtId="164" fontId="16" fillId="0" borderId="6" xfId="59" applyNumberFormat="1" applyFont="1" applyFill="1" applyBorder="1" applyAlignment="1">
      <alignment vertical="center" wrapText="1"/>
    </xf>
    <xf numFmtId="164" fontId="10" fillId="0" borderId="0" xfId="73" applyFont="1" applyFill="1" applyBorder="1"/>
    <xf numFmtId="9" fontId="10" fillId="0" borderId="4" xfId="59" applyNumberFormat="1" applyFont="1" applyFill="1" applyBorder="1"/>
    <xf numFmtId="9" fontId="14" fillId="0" borderId="4" xfId="59" applyNumberFormat="1" applyFont="1" applyFill="1" applyBorder="1"/>
    <xf numFmtId="9" fontId="17" fillId="0" borderId="4" xfId="59" applyFont="1" applyFill="1" applyBorder="1" applyAlignment="1">
      <alignment vertical="center" wrapText="1"/>
    </xf>
    <xf numFmtId="9" fontId="10" fillId="0" borderId="0" xfId="0" applyNumberFormat="1" applyFont="1" applyFill="1"/>
    <xf numFmtId="43" fontId="16" fillId="25" borderId="4" xfId="120" applyFont="1" applyFill="1" applyBorder="1" applyAlignment="1">
      <alignment vertical="center" wrapText="1"/>
    </xf>
    <xf numFmtId="164" fontId="16" fillId="25" borderId="6" xfId="59" applyNumberFormat="1" applyFont="1" applyFill="1" applyBorder="1" applyAlignment="1">
      <alignment vertical="center" wrapText="1"/>
    </xf>
    <xf numFmtId="164" fontId="10" fillId="25" borderId="0" xfId="73" applyFont="1" applyFill="1" applyBorder="1"/>
    <xf numFmtId="164" fontId="10" fillId="25" borderId="0" xfId="0" applyNumberFormat="1" applyFont="1" applyFill="1"/>
    <xf numFmtId="43" fontId="17" fillId="0" borderId="4" xfId="120" applyFont="1" applyFill="1" applyBorder="1" applyAlignment="1">
      <alignment wrapText="1"/>
    </xf>
    <xf numFmtId="164" fontId="10" fillId="19" borderId="0" xfId="73" applyFont="1" applyFill="1" applyBorder="1"/>
    <xf numFmtId="184" fontId="17" fillId="0" borderId="4" xfId="120" applyNumberFormat="1" applyFont="1" applyFill="1" applyBorder="1" applyAlignment="1">
      <alignment vertical="center" wrapText="1"/>
    </xf>
    <xf numFmtId="1" fontId="17" fillId="0" borderId="4" xfId="0" applyNumberFormat="1" applyFont="1" applyFill="1" applyBorder="1" applyAlignment="1">
      <alignment vertical="center" wrapText="1"/>
    </xf>
    <xf numFmtId="164" fontId="10" fillId="32" borderId="0" xfId="73" applyFont="1" applyFill="1" applyBorder="1"/>
    <xf numFmtId="164" fontId="10" fillId="32" borderId="0" xfId="0" applyNumberFormat="1" applyFont="1" applyFill="1"/>
    <xf numFmtId="184" fontId="16" fillId="0" borderId="4" xfId="0" applyNumberFormat="1" applyFont="1" applyFill="1" applyBorder="1" applyAlignment="1">
      <alignment vertical="center" wrapText="1"/>
    </xf>
    <xf numFmtId="184" fontId="16" fillId="0" borderId="4" xfId="59" applyNumberFormat="1" applyFont="1" applyFill="1" applyBorder="1" applyAlignment="1">
      <alignment vertical="center" wrapText="1"/>
    </xf>
    <xf numFmtId="43" fontId="16" fillId="0" borderId="4" xfId="120" applyNumberFormat="1" applyFont="1" applyFill="1" applyBorder="1" applyAlignment="1">
      <alignment vertical="center" wrapText="1"/>
    </xf>
    <xf numFmtId="43" fontId="10" fillId="0" borderId="4" xfId="120" applyFont="1" applyFill="1" applyBorder="1"/>
    <xf numFmtId="196" fontId="16" fillId="0" borderId="4" xfId="0" applyNumberFormat="1" applyFont="1" applyFill="1" applyBorder="1" applyAlignment="1">
      <alignment vertical="center" wrapText="1"/>
    </xf>
    <xf numFmtId="43" fontId="14" fillId="0" borderId="4" xfId="120" applyFont="1" applyFill="1" applyBorder="1"/>
    <xf numFmtId="164" fontId="17" fillId="0" borderId="6" xfId="59" applyNumberFormat="1" applyFont="1" applyFill="1" applyBorder="1" applyAlignment="1">
      <alignment vertical="center" wrapText="1"/>
    </xf>
    <xf numFmtId="0" fontId="10" fillId="0" borderId="6" xfId="0" applyFont="1" applyFill="1" applyBorder="1"/>
    <xf numFmtId="10" fontId="52" fillId="0" borderId="0" xfId="59" applyNumberFormat="1" applyFont="1" applyFill="1" applyBorder="1" applyAlignment="1"/>
    <xf numFmtId="43" fontId="16" fillId="0" borderId="0" xfId="120" applyFont="1" applyFill="1" applyBorder="1" applyAlignment="1">
      <alignment horizontal="left" vertical="center" wrapText="1"/>
    </xf>
    <xf numFmtId="0" fontId="50" fillId="0" borderId="6" xfId="0" applyFont="1" applyFill="1" applyBorder="1" applyAlignment="1"/>
    <xf numFmtId="0" fontId="50" fillId="0" borderId="3" xfId="0" applyFont="1" applyFill="1" applyBorder="1" applyAlignment="1"/>
    <xf numFmtId="9" fontId="50" fillId="0" borderId="3" xfId="59" applyNumberFormat="1" applyFont="1" applyFill="1" applyBorder="1" applyAlignment="1"/>
    <xf numFmtId="0" fontId="52" fillId="0" borderId="6" xfId="0" applyFont="1" applyFill="1" applyBorder="1" applyAlignment="1"/>
    <xf numFmtId="9" fontId="52" fillId="0" borderId="3" xfId="59" applyNumberFormat="1" applyFont="1" applyFill="1" applyBorder="1" applyAlignment="1"/>
    <xf numFmtId="9" fontId="10" fillId="0" borderId="0" xfId="59" applyNumberFormat="1" applyFont="1" applyFill="1"/>
    <xf numFmtId="184" fontId="105" fillId="0" borderId="0" xfId="120" applyNumberFormat="1" applyFont="1" applyFill="1" applyAlignment="1">
      <alignment horizontal="center" vertical="center"/>
    </xf>
    <xf numFmtId="0" fontId="110" fillId="0" borderId="0" xfId="0" applyFont="1" applyFill="1" applyBorder="1" applyAlignment="1">
      <alignment horizontal="center" vertical="center"/>
    </xf>
    <xf numFmtId="0" fontId="105" fillId="22" borderId="48" xfId="120" applyNumberFormat="1" applyFont="1" applyFill="1" applyBorder="1" applyAlignment="1">
      <alignment horizontal="center" vertical="center" wrapText="1"/>
    </xf>
    <xf numFmtId="0" fontId="105" fillId="22" borderId="15" xfId="120" applyNumberFormat="1" applyFont="1" applyFill="1" applyBorder="1" applyAlignment="1">
      <alignment horizontal="center" vertical="center" wrapText="1"/>
    </xf>
    <xf numFmtId="185" fontId="107" fillId="0" borderId="10" xfId="120" applyNumberFormat="1" applyFont="1" applyFill="1" applyBorder="1" applyAlignment="1">
      <alignment horizontal="center" vertical="center"/>
    </xf>
    <xf numFmtId="185" fontId="107" fillId="0" borderId="19" xfId="120" applyNumberFormat="1" applyFont="1" applyFill="1" applyBorder="1" applyAlignment="1">
      <alignment horizontal="center" vertical="center"/>
    </xf>
    <xf numFmtId="43" fontId="107" fillId="0" borderId="7" xfId="120" applyFont="1" applyFill="1" applyBorder="1" applyAlignment="1">
      <alignment horizontal="center" vertical="center"/>
    </xf>
    <xf numFmtId="43" fontId="107" fillId="0" borderId="41" xfId="120" applyFont="1" applyFill="1" applyBorder="1" applyAlignment="1">
      <alignment horizontal="center" vertical="center"/>
    </xf>
    <xf numFmtId="43" fontId="107" fillId="0" borderId="8" xfId="120" applyFont="1" applyFill="1" applyBorder="1" applyAlignment="1">
      <alignment horizontal="center" vertical="center"/>
    </xf>
    <xf numFmtId="185" fontId="107" fillId="0" borderId="4" xfId="120" applyNumberFormat="1" applyFont="1" applyFill="1" applyBorder="1" applyAlignment="1">
      <alignment horizontal="center" vertical="center"/>
    </xf>
    <xf numFmtId="43" fontId="107" fillId="0" borderId="4" xfId="120" applyFont="1" applyFill="1" applyBorder="1" applyAlignment="1">
      <alignment horizontal="center" vertical="center"/>
    </xf>
    <xf numFmtId="188" fontId="107" fillId="0" borderId="19" xfId="120" applyNumberFormat="1" applyFont="1" applyFill="1" applyBorder="1" applyAlignment="1">
      <alignment horizontal="center" vertical="center"/>
    </xf>
    <xf numFmtId="43" fontId="105" fillId="0" borderId="7" xfId="120" applyFont="1" applyFill="1" applyBorder="1" applyAlignment="1">
      <alignment horizontal="center" vertical="center"/>
    </xf>
    <xf numFmtId="43" fontId="105" fillId="0" borderId="41" xfId="120" applyFont="1" applyFill="1" applyBorder="1" applyAlignment="1">
      <alignment horizontal="center" vertical="center"/>
    </xf>
    <xf numFmtId="185" fontId="107" fillId="0" borderId="5" xfId="120" applyNumberFormat="1" applyFont="1" applyFill="1" applyBorder="1" applyAlignment="1">
      <alignment horizontal="center" vertical="center"/>
    </xf>
    <xf numFmtId="185" fontId="107" fillId="0" borderId="12" xfId="120" applyNumberFormat="1" applyFont="1" applyFill="1" applyBorder="1" applyAlignment="1">
      <alignment horizontal="center" vertical="center"/>
    </xf>
    <xf numFmtId="43" fontId="107" fillId="0" borderId="42" xfId="120" applyFont="1" applyFill="1" applyBorder="1" applyAlignment="1">
      <alignment horizontal="center" vertical="center"/>
    </xf>
    <xf numFmtId="43" fontId="107" fillId="0" borderId="6" xfId="120" applyFont="1" applyFill="1" applyBorder="1" applyAlignment="1">
      <alignment horizontal="center" vertical="center"/>
    </xf>
    <xf numFmtId="188" fontId="105" fillId="0" borderId="12" xfId="120" applyNumberFormat="1" applyFont="1" applyFill="1" applyBorder="1" applyAlignment="1">
      <alignment horizontal="center" vertical="center"/>
    </xf>
    <xf numFmtId="43" fontId="105" fillId="0" borderId="4" xfId="120" applyFont="1" applyFill="1" applyBorder="1" applyAlignment="1">
      <alignment horizontal="center" vertical="center"/>
    </xf>
    <xf numFmtId="43" fontId="105" fillId="0" borderId="42" xfId="120" applyFont="1" applyFill="1" applyBorder="1" applyAlignment="1">
      <alignment horizontal="center" vertical="center"/>
    </xf>
    <xf numFmtId="185" fontId="105" fillId="0" borderId="5" xfId="120" applyNumberFormat="1" applyFont="1" applyFill="1" applyBorder="1" applyAlignment="1">
      <alignment horizontal="center" vertical="center"/>
    </xf>
    <xf numFmtId="185" fontId="105" fillId="0" borderId="12" xfId="120" applyNumberFormat="1" applyFont="1" applyFill="1" applyBorder="1" applyAlignment="1">
      <alignment horizontal="center" vertical="center"/>
    </xf>
    <xf numFmtId="43" fontId="107" fillId="0" borderId="4" xfId="120" applyFont="1" applyFill="1" applyBorder="1" applyAlignment="1">
      <alignment horizontal="right" vertical="center"/>
    </xf>
    <xf numFmtId="43" fontId="105" fillId="0" borderId="12" xfId="120" applyNumberFormat="1" applyFont="1" applyFill="1" applyBorder="1" applyAlignment="1">
      <alignment vertical="center"/>
    </xf>
    <xf numFmtId="43" fontId="105" fillId="0" borderId="6" xfId="120" applyFont="1" applyFill="1" applyBorder="1" applyAlignment="1">
      <alignment horizontal="center" vertical="center"/>
    </xf>
    <xf numFmtId="188" fontId="107" fillId="0" borderId="12" xfId="120" applyNumberFormat="1" applyFont="1" applyFill="1" applyBorder="1" applyAlignment="1">
      <alignment horizontal="center" vertical="center"/>
    </xf>
    <xf numFmtId="43" fontId="105" fillId="0" borderId="4" xfId="120" applyFont="1" applyFill="1" applyBorder="1" applyAlignment="1">
      <alignment horizontal="right" vertical="center"/>
    </xf>
    <xf numFmtId="185" fontId="105" fillId="23" borderId="5" xfId="120" applyNumberFormat="1" applyFont="1" applyFill="1" applyBorder="1" applyAlignment="1">
      <alignment horizontal="center" vertical="center"/>
    </xf>
    <xf numFmtId="43" fontId="105" fillId="23" borderId="42" xfId="120" applyFont="1" applyFill="1" applyBorder="1" applyAlignment="1">
      <alignment horizontal="center" vertical="center"/>
    </xf>
    <xf numFmtId="43" fontId="105" fillId="23" borderId="6" xfId="120" applyFont="1" applyFill="1" applyBorder="1" applyAlignment="1">
      <alignment horizontal="center" vertical="center"/>
    </xf>
    <xf numFmtId="185" fontId="105" fillId="23" borderId="4" xfId="120" applyNumberFormat="1" applyFont="1" applyFill="1" applyBorder="1" applyAlignment="1">
      <alignment horizontal="center" vertical="center"/>
    </xf>
    <xf numFmtId="188" fontId="105" fillId="23" borderId="12" xfId="120" applyNumberFormat="1" applyFont="1" applyFill="1" applyBorder="1" applyAlignment="1">
      <alignment horizontal="center" vertical="center"/>
    </xf>
    <xf numFmtId="43" fontId="117" fillId="0" borderId="42" xfId="120" applyFont="1" applyFill="1" applyBorder="1" applyAlignment="1">
      <alignment horizontal="center" vertical="center"/>
    </xf>
    <xf numFmtId="43" fontId="105" fillId="0" borderId="5" xfId="120" applyFont="1" applyFill="1" applyBorder="1" applyAlignment="1">
      <alignment horizontal="center" vertical="center"/>
    </xf>
    <xf numFmtId="185" fontId="117" fillId="0" borderId="5" xfId="120" applyNumberFormat="1" applyFont="1" applyFill="1" applyBorder="1" applyAlignment="1">
      <alignment horizontal="center" vertical="center"/>
    </xf>
    <xf numFmtId="43" fontId="117" fillId="0" borderId="4" xfId="120" applyFont="1" applyFill="1" applyBorder="1" applyAlignment="1">
      <alignment horizontal="center" vertical="center"/>
    </xf>
    <xf numFmtId="43" fontId="117" fillId="0" borderId="5" xfId="120" applyFont="1" applyFill="1" applyBorder="1" applyAlignment="1">
      <alignment horizontal="center" vertical="center"/>
    </xf>
    <xf numFmtId="43" fontId="117" fillId="0" borderId="25" xfId="120" applyFont="1" applyFill="1" applyBorder="1" applyAlignment="1">
      <alignment horizontal="center" vertical="center"/>
    </xf>
    <xf numFmtId="185" fontId="117" fillId="0" borderId="4" xfId="120" applyNumberFormat="1" applyFont="1" applyFill="1" applyBorder="1" applyAlignment="1">
      <alignment horizontal="center" vertical="center"/>
    </xf>
    <xf numFmtId="188" fontId="105" fillId="30" borderId="12" xfId="120" applyNumberFormat="1" applyFont="1" applyFill="1" applyBorder="1" applyAlignment="1">
      <alignment horizontal="center" vertical="center"/>
    </xf>
    <xf numFmtId="185" fontId="105" fillId="0" borderId="4" xfId="120" applyNumberFormat="1" applyFont="1" applyFill="1" applyBorder="1" applyAlignment="1">
      <alignment horizontal="center" vertical="center"/>
    </xf>
    <xf numFmtId="0" fontId="105" fillId="0" borderId="25" xfId="0" applyFont="1" applyFill="1" applyBorder="1" applyAlignment="1">
      <alignment horizontal="center" vertical="center"/>
    </xf>
    <xf numFmtId="188" fontId="107" fillId="25" borderId="12" xfId="120" applyNumberFormat="1" applyFont="1" applyFill="1" applyBorder="1" applyAlignment="1">
      <alignment horizontal="center" vertical="center"/>
    </xf>
    <xf numFmtId="43" fontId="107" fillId="25" borderId="4" xfId="120" applyFont="1" applyFill="1" applyBorder="1" applyAlignment="1">
      <alignment horizontal="center" vertical="center"/>
    </xf>
    <xf numFmtId="43" fontId="105" fillId="25" borderId="42" xfId="120" applyFont="1" applyFill="1" applyBorder="1" applyAlignment="1">
      <alignment horizontal="center" vertical="center"/>
    </xf>
    <xf numFmtId="0" fontId="105" fillId="0" borderId="61" xfId="0" applyFont="1" applyFill="1" applyBorder="1" applyAlignment="1">
      <alignment horizontal="center" vertical="center"/>
    </xf>
    <xf numFmtId="189" fontId="105" fillId="23" borderId="4" xfId="120" applyNumberFormat="1" applyFont="1" applyFill="1" applyBorder="1" applyAlignment="1">
      <alignment horizontal="center" vertical="center"/>
    </xf>
    <xf numFmtId="188" fontId="107" fillId="23" borderId="12" xfId="120" applyNumberFormat="1" applyFont="1" applyFill="1" applyBorder="1" applyAlignment="1">
      <alignment horizontal="center" vertical="center"/>
    </xf>
    <xf numFmtId="189" fontId="107" fillId="0" borderId="4" xfId="120" applyNumberFormat="1" applyFont="1" applyFill="1" applyBorder="1" applyAlignment="1">
      <alignment horizontal="center" vertical="center"/>
    </xf>
    <xf numFmtId="43" fontId="107" fillId="0" borderId="25" xfId="120" applyFont="1" applyFill="1" applyBorder="1" applyAlignment="1">
      <alignment horizontal="center" vertical="center"/>
    </xf>
    <xf numFmtId="188" fontId="107" fillId="30" borderId="12" xfId="120" applyNumberFormat="1" applyFont="1" applyFill="1" applyBorder="1" applyAlignment="1">
      <alignment horizontal="center" vertical="center"/>
    </xf>
    <xf numFmtId="185" fontId="107" fillId="0" borderId="25" xfId="120" applyNumberFormat="1" applyFont="1" applyFill="1" applyBorder="1" applyAlignment="1">
      <alignment horizontal="center" vertical="center"/>
    </xf>
    <xf numFmtId="188" fontId="107" fillId="0" borderId="5" xfId="120" applyNumberFormat="1" applyFont="1" applyFill="1" applyBorder="1" applyAlignment="1">
      <alignment horizontal="center" vertical="center"/>
    </xf>
    <xf numFmtId="185" fontId="105" fillId="23" borderId="25" xfId="120" applyNumberFormat="1" applyFont="1" applyFill="1" applyBorder="1" applyAlignment="1">
      <alignment horizontal="center" vertical="center"/>
    </xf>
    <xf numFmtId="188" fontId="105" fillId="23" borderId="5" xfId="120" applyNumberFormat="1" applyFont="1" applyFill="1" applyBorder="1" applyAlignment="1">
      <alignment horizontal="center" vertical="center"/>
    </xf>
    <xf numFmtId="43" fontId="105" fillId="26" borderId="35" xfId="120" applyFont="1" applyFill="1" applyBorder="1" applyAlignment="1">
      <alignment vertical="center"/>
    </xf>
    <xf numFmtId="43" fontId="105" fillId="26" borderId="36" xfId="120" applyNumberFormat="1" applyFont="1" applyFill="1" applyBorder="1" applyAlignment="1">
      <alignment vertical="center"/>
    </xf>
    <xf numFmtId="186" fontId="105" fillId="26" borderId="35" xfId="120" applyNumberFormat="1" applyFont="1" applyFill="1" applyBorder="1" applyAlignment="1">
      <alignment vertical="center"/>
    </xf>
    <xf numFmtId="190" fontId="105" fillId="26" borderId="35" xfId="120" applyNumberFormat="1" applyFont="1" applyFill="1" applyBorder="1" applyAlignment="1">
      <alignment vertical="center"/>
    </xf>
    <xf numFmtId="185" fontId="107" fillId="0" borderId="0" xfId="120" applyNumberFormat="1" applyFont="1" applyFill="1" applyAlignment="1">
      <alignment vertical="center" wrapText="1"/>
    </xf>
    <xf numFmtId="43" fontId="107" fillId="0" borderId="0" xfId="120" applyFont="1" applyFill="1" applyAlignment="1">
      <alignment horizontal="center" vertical="center" wrapText="1"/>
    </xf>
    <xf numFmtId="43" fontId="107" fillId="0" borderId="0" xfId="120" applyFont="1" applyFill="1" applyAlignment="1">
      <alignment vertical="center" wrapText="1"/>
    </xf>
    <xf numFmtId="43" fontId="107" fillId="0" borderId="0" xfId="120" applyFont="1" applyFill="1" applyAlignment="1">
      <alignment vertical="center"/>
    </xf>
    <xf numFmtId="43" fontId="107" fillId="0" borderId="0" xfId="120" applyNumberFormat="1" applyFont="1" applyFill="1" applyAlignment="1">
      <alignment horizontal="center" vertical="center" wrapText="1"/>
    </xf>
    <xf numFmtId="43" fontId="105" fillId="0" borderId="0" xfId="120" applyFont="1" applyFill="1" applyBorder="1" applyAlignment="1">
      <alignment vertical="center"/>
    </xf>
    <xf numFmtId="190" fontId="105" fillId="0" borderId="0" xfId="120" applyNumberFormat="1" applyFont="1" applyFill="1" applyBorder="1" applyAlignment="1">
      <alignment vertical="center"/>
    </xf>
    <xf numFmtId="185" fontId="107" fillId="0" borderId="0" xfId="120" applyNumberFormat="1" applyFont="1" applyFill="1" applyBorder="1" applyAlignment="1">
      <alignment vertical="center" wrapText="1"/>
    </xf>
    <xf numFmtId="43" fontId="107" fillId="0" borderId="0" xfId="120" applyFont="1" applyFill="1" applyBorder="1" applyAlignment="1">
      <alignment vertical="center"/>
    </xf>
    <xf numFmtId="43" fontId="107" fillId="0" borderId="0" xfId="120" applyFont="1" applyFill="1" applyBorder="1" applyAlignment="1">
      <alignment horizontal="center" vertical="center" wrapText="1"/>
    </xf>
    <xf numFmtId="43" fontId="105" fillId="0" borderId="0" xfId="120" applyFont="1" applyFill="1" applyAlignment="1">
      <alignment horizontal="center" vertical="center" wrapText="1"/>
    </xf>
    <xf numFmtId="2" fontId="115" fillId="27" borderId="0" xfId="120" applyNumberFormat="1" applyFont="1" applyFill="1" applyBorder="1" applyAlignment="1">
      <alignment horizontal="center" vertical="center"/>
    </xf>
    <xf numFmtId="2" fontId="115" fillId="27" borderId="0" xfId="120" applyNumberFormat="1" applyFont="1" applyFill="1" applyAlignment="1">
      <alignment horizontal="center" vertical="center"/>
    </xf>
    <xf numFmtId="43" fontId="115" fillId="27" borderId="0" xfId="120" applyFont="1" applyFill="1" applyAlignment="1">
      <alignment horizontal="center" vertical="center"/>
    </xf>
    <xf numFmtId="185" fontId="107" fillId="0" borderId="0" xfId="120" applyNumberFormat="1" applyFont="1" applyFill="1" applyBorder="1" applyAlignment="1">
      <alignment horizontal="center" vertical="center"/>
    </xf>
    <xf numFmtId="43" fontId="107" fillId="0" borderId="0" xfId="120" applyFont="1" applyFill="1" applyBorder="1" applyAlignment="1">
      <alignment horizontal="center" vertical="center"/>
    </xf>
    <xf numFmtId="187" fontId="105" fillId="0" borderId="0" xfId="120" applyNumberFormat="1" applyFont="1" applyFill="1" applyBorder="1" applyAlignment="1">
      <alignment horizontal="center" vertical="center"/>
    </xf>
    <xf numFmtId="191" fontId="105" fillId="0" borderId="0" xfId="119" applyNumberFormat="1" applyFont="1" applyFill="1" applyBorder="1" applyAlignment="1">
      <alignment horizontal="center" vertical="center"/>
    </xf>
    <xf numFmtId="192" fontId="105" fillId="0" borderId="0" xfId="119" applyNumberFormat="1" applyFont="1" applyFill="1" applyBorder="1" applyAlignment="1">
      <alignment horizontal="center" vertical="center"/>
    </xf>
    <xf numFmtId="185" fontId="107" fillId="25" borderId="5" xfId="120" applyNumberFormat="1" applyFont="1" applyFill="1" applyBorder="1" applyAlignment="1">
      <alignment horizontal="center" vertical="center"/>
    </xf>
    <xf numFmtId="185" fontId="107" fillId="25" borderId="12" xfId="120" applyNumberFormat="1" applyFont="1" applyFill="1" applyBorder="1" applyAlignment="1">
      <alignment horizontal="center" vertical="center"/>
    </xf>
    <xf numFmtId="43" fontId="107" fillId="25" borderId="42" xfId="120" applyFont="1" applyFill="1" applyBorder="1" applyAlignment="1">
      <alignment horizontal="center" vertical="center"/>
    </xf>
    <xf numFmtId="164" fontId="107" fillId="25" borderId="5" xfId="119" applyFont="1" applyFill="1" applyBorder="1" applyAlignment="1">
      <alignment horizontal="center" vertical="center"/>
    </xf>
    <xf numFmtId="164" fontId="107" fillId="25" borderId="12" xfId="119" applyFont="1" applyFill="1" applyBorder="1" applyAlignment="1">
      <alignment horizontal="center" vertical="center"/>
    </xf>
    <xf numFmtId="43" fontId="105" fillId="25" borderId="4" xfId="120" applyFont="1" applyFill="1" applyBorder="1" applyAlignment="1">
      <alignment horizontal="center" vertical="center"/>
    </xf>
    <xf numFmtId="185" fontId="107" fillId="25" borderId="20" xfId="120" applyNumberFormat="1" applyFont="1" applyFill="1" applyBorder="1" applyAlignment="1">
      <alignment horizontal="center" vertical="center"/>
    </xf>
    <xf numFmtId="185" fontId="107" fillId="25" borderId="13" xfId="120" applyNumberFormat="1" applyFont="1" applyFill="1" applyBorder="1" applyAlignment="1">
      <alignment horizontal="center" vertical="center"/>
    </xf>
    <xf numFmtId="43" fontId="107" fillId="25" borderId="15" xfId="120" applyFont="1" applyFill="1" applyBorder="1" applyAlignment="1">
      <alignment horizontal="center" vertical="center"/>
    </xf>
    <xf numFmtId="43" fontId="107" fillId="25" borderId="64" xfId="120" applyFont="1" applyFill="1" applyBorder="1" applyAlignment="1">
      <alignment horizontal="center" vertical="center"/>
    </xf>
    <xf numFmtId="164" fontId="107" fillId="25" borderId="20" xfId="119" applyFont="1" applyFill="1" applyBorder="1" applyAlignment="1">
      <alignment horizontal="center" vertical="center"/>
    </xf>
    <xf numFmtId="164" fontId="107" fillId="25" borderId="13" xfId="119" applyFont="1" applyFill="1" applyBorder="1" applyAlignment="1">
      <alignment horizontal="center" vertical="center"/>
    </xf>
    <xf numFmtId="43" fontId="105" fillId="25" borderId="15" xfId="120" applyFont="1" applyFill="1" applyBorder="1" applyAlignment="1">
      <alignment horizontal="center" vertical="center"/>
    </xf>
    <xf numFmtId="185" fontId="105" fillId="25" borderId="35" xfId="120" applyNumberFormat="1" applyFont="1" applyFill="1" applyBorder="1" applyAlignment="1">
      <alignment horizontal="center" vertical="center"/>
    </xf>
    <xf numFmtId="185" fontId="105" fillId="25" borderId="65" xfId="120" applyNumberFormat="1" applyFont="1" applyFill="1" applyBorder="1" applyAlignment="1">
      <alignment horizontal="center" vertical="center"/>
    </xf>
    <xf numFmtId="43" fontId="105" fillId="25" borderId="36" xfId="120" applyFont="1" applyFill="1" applyBorder="1" applyAlignment="1">
      <alignment horizontal="center" vertical="center"/>
    </xf>
    <xf numFmtId="43" fontId="105" fillId="25" borderId="38" xfId="120" applyFont="1" applyFill="1" applyBorder="1" applyAlignment="1">
      <alignment horizontal="center" vertical="center"/>
    </xf>
    <xf numFmtId="43" fontId="105" fillId="25" borderId="35" xfId="119" applyNumberFormat="1" applyFont="1" applyFill="1" applyBorder="1" applyAlignment="1">
      <alignment horizontal="center" vertical="center"/>
    </xf>
    <xf numFmtId="43" fontId="105" fillId="19" borderId="35" xfId="119" applyNumberFormat="1" applyFont="1" applyFill="1" applyBorder="1" applyAlignment="1">
      <alignment horizontal="center" vertical="center"/>
    </xf>
    <xf numFmtId="184" fontId="93" fillId="0" borderId="0" xfId="120" applyNumberFormat="1" applyFont="1" applyAlignment="1">
      <alignment horizontal="left"/>
    </xf>
    <xf numFmtId="43" fontId="93" fillId="0" borderId="0" xfId="120" applyFont="1" applyAlignment="1">
      <alignment horizontal="left"/>
    </xf>
    <xf numFmtId="184" fontId="61" fillId="0" borderId="0" xfId="120" applyNumberFormat="1" applyFont="1" applyAlignment="1">
      <alignment horizontal="left"/>
    </xf>
    <xf numFmtId="9" fontId="61" fillId="0" borderId="0" xfId="59" applyFont="1" applyAlignment="1">
      <alignment horizontal="left"/>
    </xf>
    <xf numFmtId="43" fontId="61" fillId="0" borderId="0" xfId="120" applyFont="1" applyAlignment="1">
      <alignment horizontal="left"/>
    </xf>
    <xf numFmtId="43" fontId="93" fillId="0" borderId="0" xfId="120" applyFont="1" applyFill="1" applyAlignment="1">
      <alignment horizontal="left"/>
    </xf>
    <xf numFmtId="43" fontId="93" fillId="0" borderId="0" xfId="120" applyFont="1" applyFill="1" applyAlignment="1">
      <alignment horizontal="center"/>
    </xf>
    <xf numFmtId="43" fontId="52" fillId="0" borderId="0" xfId="120" applyFont="1"/>
    <xf numFmtId="184" fontId="94" fillId="0" borderId="0" xfId="120" applyNumberFormat="1" applyFont="1"/>
    <xf numFmtId="43" fontId="94" fillId="0" borderId="0" xfId="120" applyFont="1"/>
    <xf numFmtId="184" fontId="95" fillId="0" borderId="0" xfId="120" applyNumberFormat="1" applyFont="1"/>
    <xf numFmtId="9" fontId="95" fillId="0" borderId="0" xfId="59" applyFont="1"/>
    <xf numFmtId="43" fontId="95" fillId="0" borderId="0" xfId="120" applyFont="1"/>
    <xf numFmtId="9" fontId="61" fillId="0" borderId="0" xfId="59" applyFont="1"/>
    <xf numFmtId="43" fontId="94" fillId="0" borderId="0" xfId="120" applyFont="1" applyFill="1"/>
    <xf numFmtId="180" fontId="94" fillId="0" borderId="0" xfId="73" applyNumberFormat="1" applyFont="1" applyFill="1"/>
    <xf numFmtId="43" fontId="52" fillId="0" borderId="0" xfId="120" applyFont="1" applyFill="1"/>
    <xf numFmtId="43" fontId="96" fillId="0" borderId="0" xfId="120" applyFont="1" applyFill="1"/>
    <xf numFmtId="184" fontId="61" fillId="0" borderId="0" xfId="120" applyNumberFormat="1" applyFont="1" applyAlignment="1">
      <alignment horizontal="center"/>
    </xf>
    <xf numFmtId="43" fontId="50" fillId="0" borderId="0" xfId="120" applyFont="1"/>
    <xf numFmtId="43" fontId="50" fillId="0" borderId="0" xfId="120" applyFont="1" applyAlignment="1">
      <alignment horizontal="center"/>
    </xf>
    <xf numFmtId="184" fontId="61" fillId="33" borderId="4" xfId="120" applyNumberFormat="1" applyFont="1" applyFill="1" applyBorder="1"/>
    <xf numFmtId="9" fontId="61" fillId="33" borderId="4" xfId="59" applyFont="1" applyFill="1" applyBorder="1"/>
    <xf numFmtId="43" fontId="61" fillId="33" borderId="4" xfId="120" applyFont="1" applyFill="1" applyBorder="1"/>
    <xf numFmtId="43" fontId="93" fillId="0" borderId="4" xfId="120" applyFont="1" applyFill="1" applyBorder="1"/>
    <xf numFmtId="43" fontId="61" fillId="0" borderId="4" xfId="120" applyFont="1" applyFill="1" applyBorder="1" applyAlignment="1">
      <alignment horizontal="center"/>
    </xf>
    <xf numFmtId="43" fontId="93" fillId="0" borderId="6" xfId="120" applyFont="1" applyFill="1" applyBorder="1"/>
    <xf numFmtId="43" fontId="61" fillId="0" borderId="4" xfId="120" applyFont="1" applyFill="1" applyBorder="1"/>
    <xf numFmtId="43" fontId="52" fillId="0" borderId="6" xfId="120" applyFont="1" applyFill="1" applyBorder="1"/>
    <xf numFmtId="43" fontId="52" fillId="0" borderId="4" xfId="120" applyFont="1" applyFill="1" applyBorder="1"/>
    <xf numFmtId="43" fontId="50" fillId="0" borderId="4" xfId="120" applyFont="1" applyFill="1" applyBorder="1"/>
    <xf numFmtId="43" fontId="52" fillId="0" borderId="0" xfId="120" applyFont="1" applyAlignment="1">
      <alignment vertical="center"/>
    </xf>
    <xf numFmtId="164" fontId="52" fillId="5" borderId="4" xfId="119" applyFont="1" applyFill="1" applyBorder="1"/>
    <xf numFmtId="43" fontId="98" fillId="0" borderId="4" xfId="120" applyFont="1" applyFill="1" applyBorder="1"/>
    <xf numFmtId="43" fontId="61" fillId="19" borderId="4" xfId="120" applyFont="1" applyFill="1" applyBorder="1" applyAlignment="1">
      <alignment horizontal="left" vertical="center"/>
    </xf>
    <xf numFmtId="184" fontId="52" fillId="33" borderId="4" xfId="120" applyNumberFormat="1" applyFont="1" applyFill="1" applyBorder="1"/>
    <xf numFmtId="9" fontId="52" fillId="33" borderId="4" xfId="59" applyFont="1" applyFill="1" applyBorder="1"/>
    <xf numFmtId="43" fontId="52" fillId="33" borderId="4" xfId="120" applyFont="1" applyFill="1" applyBorder="1"/>
    <xf numFmtId="43" fontId="93" fillId="0" borderId="4" xfId="120" applyFont="1" applyFill="1" applyBorder="1" applyAlignment="1">
      <alignment horizontal="center"/>
    </xf>
    <xf numFmtId="184" fontId="61" fillId="33" borderId="4" xfId="120" applyNumberFormat="1" applyFont="1" applyFill="1" applyBorder="1" applyAlignment="1">
      <alignment horizontal="left" vertical="center"/>
    </xf>
    <xf numFmtId="9" fontId="61" fillId="33" borderId="4" xfId="59" applyFont="1" applyFill="1" applyBorder="1" applyAlignment="1">
      <alignment horizontal="left" vertical="center"/>
    </xf>
    <xf numFmtId="43" fontId="61" fillId="33" borderId="4" xfId="120" applyFont="1" applyFill="1" applyBorder="1" applyAlignment="1">
      <alignment horizontal="left" vertical="center"/>
    </xf>
    <xf numFmtId="43" fontId="61" fillId="0" borderId="6" xfId="120" applyFont="1" applyFill="1" applyBorder="1"/>
    <xf numFmtId="43" fontId="96" fillId="0" borderId="4" xfId="120" applyFont="1" applyFill="1" applyBorder="1"/>
    <xf numFmtId="43" fontId="52" fillId="0" borderId="4" xfId="120" applyNumberFormat="1" applyFont="1" applyFill="1" applyBorder="1"/>
    <xf numFmtId="184" fontId="93" fillId="33" borderId="4" xfId="120" applyNumberFormat="1" applyFont="1" applyFill="1" applyBorder="1" applyAlignment="1">
      <alignment horizontal="left" vertical="center"/>
    </xf>
    <xf numFmtId="9" fontId="93" fillId="33" borderId="4" xfId="59" applyFont="1" applyFill="1" applyBorder="1" applyAlignment="1">
      <alignment horizontal="left" vertical="center"/>
    </xf>
    <xf numFmtId="43" fontId="93" fillId="33" borderId="4" xfId="120" applyFont="1" applyFill="1" applyBorder="1" applyAlignment="1">
      <alignment horizontal="left" vertical="center"/>
    </xf>
    <xf numFmtId="43" fontId="50" fillId="0" borderId="6" xfId="120" applyFont="1" applyFill="1" applyBorder="1"/>
    <xf numFmtId="43" fontId="100" fillId="0" borderId="4" xfId="120" applyFont="1" applyFill="1" applyBorder="1"/>
    <xf numFmtId="43" fontId="50" fillId="0" borderId="0" xfId="120" applyFont="1" applyAlignment="1">
      <alignment vertical="center"/>
    </xf>
    <xf numFmtId="43" fontId="61" fillId="0" borderId="0" xfId="120" applyFont="1" applyFill="1" applyAlignment="1">
      <alignment horizontal="center"/>
    </xf>
    <xf numFmtId="43" fontId="61" fillId="0" borderId="0" xfId="120" applyFont="1" applyFill="1"/>
    <xf numFmtId="43" fontId="52" fillId="0" borderId="3" xfId="120" applyFont="1" applyFill="1" applyBorder="1" applyAlignment="1">
      <alignment horizontal="center"/>
    </xf>
    <xf numFmtId="43" fontId="52" fillId="0" borderId="3" xfId="120" applyFont="1" applyFill="1" applyBorder="1"/>
    <xf numFmtId="0" fontId="107" fillId="0" borderId="4" xfId="119" applyNumberFormat="1" applyFont="1" applyFill="1" applyBorder="1" applyAlignment="1">
      <alignment horizontal="left" vertical="center" wrapText="1"/>
    </xf>
    <xf numFmtId="184" fontId="61" fillId="0" borderId="4" xfId="120" applyNumberFormat="1" applyFont="1" applyFill="1" applyBorder="1"/>
    <xf numFmtId="9" fontId="61" fillId="0" borderId="4" xfId="59" applyFont="1" applyFill="1" applyBorder="1"/>
    <xf numFmtId="164" fontId="52" fillId="0" borderId="4" xfId="119" applyFont="1" applyFill="1" applyBorder="1"/>
    <xf numFmtId="43" fontId="61" fillId="0" borderId="0" xfId="120" applyFont="1" applyFill="1" applyBorder="1" applyAlignment="1">
      <alignment horizontal="center"/>
    </xf>
    <xf numFmtId="43" fontId="93" fillId="0" borderId="0" xfId="120" applyFont="1" applyFill="1" applyBorder="1"/>
    <xf numFmtId="43" fontId="52" fillId="0" borderId="0" xfId="120" applyFont="1" applyFill="1" applyAlignment="1">
      <alignment horizontal="center"/>
    </xf>
    <xf numFmtId="43" fontId="52" fillId="0" borderId="0" xfId="120" applyFont="1" applyFill="1" applyAlignment="1">
      <alignment horizontal="left"/>
    </xf>
    <xf numFmtId="43" fontId="52" fillId="0" borderId="4" xfId="120" applyFont="1" applyFill="1" applyBorder="1" applyAlignment="1">
      <alignment horizontal="left"/>
    </xf>
    <xf numFmtId="43" fontId="96" fillId="0" borderId="4" xfId="120" applyFont="1" applyFill="1" applyBorder="1" applyAlignment="1">
      <alignment horizontal="left"/>
    </xf>
    <xf numFmtId="43" fontId="50" fillId="0" borderId="4" xfId="120" applyNumberFormat="1" applyFont="1" applyFill="1" applyBorder="1"/>
    <xf numFmtId="43" fontId="50" fillId="0" borderId="0" xfId="120" applyFont="1" applyFill="1" applyAlignment="1">
      <alignment horizontal="center"/>
    </xf>
    <xf numFmtId="43" fontId="50" fillId="0" borderId="0" xfId="120" applyFont="1" applyFill="1"/>
    <xf numFmtId="164" fontId="61" fillId="5" borderId="4" xfId="119" applyFont="1" applyFill="1" applyBorder="1" applyAlignment="1">
      <alignment horizontal="left" vertical="center"/>
    </xf>
    <xf numFmtId="0" fontId="61" fillId="5" borderId="4" xfId="90" applyFont="1" applyFill="1" applyBorder="1"/>
    <xf numFmtId="9" fontId="61" fillId="5" borderId="4" xfId="59" applyFont="1" applyFill="1" applyBorder="1"/>
    <xf numFmtId="10" fontId="61" fillId="5" borderId="4" xfId="59" applyNumberFormat="1" applyFont="1" applyFill="1" applyBorder="1"/>
    <xf numFmtId="164" fontId="61" fillId="5" borderId="4" xfId="119" applyFont="1" applyFill="1" applyBorder="1"/>
    <xf numFmtId="164" fontId="93" fillId="5" borderId="4" xfId="119" applyNumberFormat="1" applyFont="1" applyFill="1" applyBorder="1"/>
    <xf numFmtId="10" fontId="61" fillId="5" borderId="4" xfId="90" applyNumberFormat="1" applyFont="1" applyFill="1" applyBorder="1"/>
    <xf numFmtId="43" fontId="52" fillId="5" borderId="4" xfId="120" applyFont="1" applyFill="1" applyBorder="1"/>
    <xf numFmtId="0" fontId="52" fillId="5" borderId="0" xfId="0" applyFont="1" applyFill="1" applyBorder="1"/>
    <xf numFmtId="164" fontId="52" fillId="5" borderId="0" xfId="0" applyNumberFormat="1" applyFont="1" applyFill="1" applyBorder="1"/>
    <xf numFmtId="2" fontId="52" fillId="5" borderId="0" xfId="0" applyNumberFormat="1" applyFont="1" applyFill="1"/>
    <xf numFmtId="184" fontId="61" fillId="5" borderId="4" xfId="120" applyNumberFormat="1" applyFont="1" applyFill="1" applyBorder="1"/>
    <xf numFmtId="43" fontId="61" fillId="5" borderId="4" xfId="120" applyFont="1" applyFill="1" applyBorder="1"/>
    <xf numFmtId="43" fontId="61" fillId="5" borderId="4" xfId="120" applyFont="1" applyFill="1" applyBorder="1" applyAlignment="1">
      <alignment horizontal="center"/>
    </xf>
    <xf numFmtId="43" fontId="93" fillId="5" borderId="6" xfId="120" applyFont="1" applyFill="1" applyBorder="1"/>
    <xf numFmtId="43" fontId="93" fillId="5" borderId="4" xfId="120" applyFont="1" applyFill="1" applyBorder="1"/>
    <xf numFmtId="43" fontId="52" fillId="5" borderId="6" xfId="120" applyFont="1" applyFill="1" applyBorder="1"/>
    <xf numFmtId="43" fontId="50" fillId="5" borderId="4" xfId="120" applyFont="1" applyFill="1" applyBorder="1"/>
    <xf numFmtId="43" fontId="98" fillId="5" borderId="4" xfId="120" applyFont="1" applyFill="1" applyBorder="1"/>
    <xf numFmtId="43" fontId="50" fillId="5" borderId="0" xfId="120" applyFont="1" applyFill="1" applyAlignment="1">
      <alignment horizontal="center"/>
    </xf>
    <xf numFmtId="43" fontId="50" fillId="5" borderId="0" xfId="120" applyFont="1" applyFill="1"/>
    <xf numFmtId="184" fontId="52" fillId="5" borderId="4" xfId="120" applyNumberFormat="1" applyFont="1" applyFill="1" applyBorder="1"/>
    <xf numFmtId="9" fontId="52" fillId="5" borderId="4" xfId="59" applyFont="1" applyFill="1" applyBorder="1"/>
    <xf numFmtId="43" fontId="52" fillId="5" borderId="0" xfId="120" applyFont="1" applyFill="1" applyAlignment="1">
      <alignment horizontal="center"/>
    </xf>
    <xf numFmtId="43" fontId="52" fillId="5" borderId="0" xfId="120" applyFont="1" applyFill="1"/>
    <xf numFmtId="43" fontId="96" fillId="5" borderId="4" xfId="120" applyFont="1" applyFill="1" applyBorder="1"/>
    <xf numFmtId="43" fontId="93" fillId="5" borderId="4" xfId="120" applyFont="1" applyFill="1" applyBorder="1" applyAlignment="1">
      <alignment horizontal="center"/>
    </xf>
    <xf numFmtId="43" fontId="50" fillId="5" borderId="6" xfId="120" applyFont="1" applyFill="1" applyBorder="1"/>
    <xf numFmtId="43" fontId="100" fillId="5" borderId="4" xfId="120" applyFont="1" applyFill="1" applyBorder="1"/>
    <xf numFmtId="43" fontId="52" fillId="5" borderId="4" xfId="120" applyFont="1" applyFill="1" applyBorder="1" applyAlignment="1">
      <alignment horizontal="center"/>
    </xf>
    <xf numFmtId="43" fontId="50" fillId="5" borderId="4" xfId="120" applyFont="1" applyFill="1" applyBorder="1" applyAlignment="1">
      <alignment horizontal="center"/>
    </xf>
    <xf numFmtId="0" fontId="107" fillId="0" borderId="4" xfId="112" applyNumberFormat="1" applyFont="1" applyFill="1" applyBorder="1" applyAlignment="1">
      <alignment horizontal="left" vertical="center" wrapText="1"/>
    </xf>
    <xf numFmtId="184" fontId="52" fillId="0" borderId="0" xfId="120" applyNumberFormat="1" applyFont="1"/>
    <xf numFmtId="43" fontId="50" fillId="5" borderId="4" xfId="120" applyNumberFormat="1" applyFont="1" applyFill="1" applyBorder="1"/>
    <xf numFmtId="184" fontId="61" fillId="0" borderId="0" xfId="120" applyNumberFormat="1" applyFont="1" applyAlignment="1">
      <alignment horizontal="center" vertical="center"/>
    </xf>
    <xf numFmtId="43" fontId="61" fillId="5" borderId="7" xfId="120" applyFont="1" applyFill="1" applyBorder="1" applyAlignment="1">
      <alignment horizontal="center"/>
    </xf>
    <xf numFmtId="43" fontId="61" fillId="5" borderId="0" xfId="120" applyFont="1" applyFill="1"/>
    <xf numFmtId="43" fontId="96" fillId="5" borderId="0" xfId="120" applyFont="1" applyFill="1"/>
    <xf numFmtId="43" fontId="50" fillId="5" borderId="0" xfId="120" applyFont="1" applyFill="1" applyBorder="1"/>
    <xf numFmtId="184" fontId="52" fillId="0" borderId="0" xfId="120" applyNumberFormat="1" applyFont="1" applyAlignment="1">
      <alignment horizontal="center" vertical="center"/>
    </xf>
    <xf numFmtId="43" fontId="52" fillId="5" borderId="0" xfId="120" applyNumberFormat="1" applyFont="1" applyFill="1"/>
    <xf numFmtId="43" fontId="50" fillId="5" borderId="6" xfId="120" applyFont="1" applyFill="1" applyBorder="1" applyAlignment="1">
      <alignment horizontal="left"/>
    </xf>
    <xf numFmtId="184" fontId="52" fillId="5" borderId="3" xfId="120" applyNumberFormat="1" applyFont="1" applyFill="1" applyBorder="1"/>
    <xf numFmtId="9" fontId="52" fillId="5" borderId="3" xfId="59" applyFont="1" applyFill="1" applyBorder="1"/>
    <xf numFmtId="9" fontId="52" fillId="5" borderId="0" xfId="59" applyFont="1" applyFill="1"/>
    <xf numFmtId="43" fontId="52" fillId="0" borderId="6" xfId="120" applyFont="1" applyBorder="1"/>
    <xf numFmtId="184" fontId="52" fillId="0" borderId="3" xfId="120" applyNumberFormat="1" applyFont="1" applyBorder="1"/>
    <xf numFmtId="9" fontId="52" fillId="0" borderId="3" xfId="59" applyFont="1" applyBorder="1"/>
    <xf numFmtId="9" fontId="52" fillId="0" borderId="0" xfId="59" applyFont="1"/>
    <xf numFmtId="43" fontId="50" fillId="0" borderId="0" xfId="120" applyFont="1" applyFill="1" applyBorder="1"/>
    <xf numFmtId="43" fontId="52" fillId="0" borderId="0" xfId="120" applyFont="1" applyAlignment="1">
      <alignment horizontal="left"/>
    </xf>
    <xf numFmtId="184" fontId="52" fillId="0" borderId="0" xfId="120" applyNumberFormat="1" applyFont="1" applyAlignment="1">
      <alignment horizontal="left"/>
    </xf>
    <xf numFmtId="9" fontId="52" fillId="0" borderId="0" xfId="59" applyFont="1" applyAlignment="1">
      <alignment horizontal="left"/>
    </xf>
    <xf numFmtId="43" fontId="50" fillId="0" borderId="4" xfId="120" applyFont="1" applyBorder="1" applyAlignment="1">
      <alignment horizontal="center" vertical="center" wrapText="1"/>
    </xf>
    <xf numFmtId="184" fontId="53" fillId="0" borderId="4" xfId="120" applyNumberFormat="1" applyFont="1" applyBorder="1" applyAlignment="1">
      <alignment horizontal="center" vertical="center" wrapText="1"/>
    </xf>
    <xf numFmtId="9" fontId="53" fillId="0" borderId="4" xfId="59" applyFont="1" applyBorder="1" applyAlignment="1">
      <alignment horizontal="center" vertical="center" wrapText="1"/>
    </xf>
    <xf numFmtId="184" fontId="53" fillId="0" borderId="4" xfId="120" applyNumberFormat="1" applyFont="1" applyBorder="1" applyAlignment="1">
      <alignment horizontal="right" vertical="center" wrapText="1"/>
    </xf>
    <xf numFmtId="9" fontId="53" fillId="0" borderId="4" xfId="59" applyFont="1" applyBorder="1" applyAlignment="1">
      <alignment horizontal="right" vertical="center" wrapText="1"/>
    </xf>
    <xf numFmtId="43" fontId="52" fillId="0" borderId="0" xfId="120" applyFont="1" applyFill="1" applyBorder="1"/>
    <xf numFmtId="43" fontId="50" fillId="0" borderId="4" xfId="120" applyFont="1" applyBorder="1"/>
    <xf numFmtId="184" fontId="52" fillId="0" borderId="4" xfId="120" applyNumberFormat="1" applyFont="1" applyBorder="1"/>
    <xf numFmtId="9" fontId="52" fillId="0" borderId="4" xfId="59" applyFont="1" applyBorder="1"/>
    <xf numFmtId="0" fontId="93" fillId="4" borderId="0" xfId="18" applyFont="1" applyFill="1" applyAlignment="1">
      <alignment horizontal="left"/>
    </xf>
    <xf numFmtId="0" fontId="93" fillId="0" borderId="0" xfId="18" applyFont="1" applyFill="1" applyAlignment="1">
      <alignment horizontal="left"/>
    </xf>
    <xf numFmtId="0" fontId="52" fillId="0" borderId="0" xfId="0" applyFont="1" applyFill="1"/>
    <xf numFmtId="0" fontId="52" fillId="0" borderId="0" xfId="0" applyFont="1"/>
    <xf numFmtId="2" fontId="52" fillId="0" borderId="0" xfId="0" applyNumberFormat="1" applyFont="1"/>
    <xf numFmtId="0" fontId="95" fillId="0" borderId="0" xfId="0" applyFont="1" applyAlignment="1"/>
    <xf numFmtId="0" fontId="95" fillId="0" borderId="0" xfId="0" applyFont="1" applyFill="1" applyAlignment="1"/>
    <xf numFmtId="43" fontId="95" fillId="0" borderId="0" xfId="120" applyFont="1" applyFill="1" applyAlignment="1"/>
    <xf numFmtId="164" fontId="93" fillId="0" borderId="0" xfId="119" applyFont="1" applyFill="1" applyBorder="1"/>
    <xf numFmtId="0" fontId="96" fillId="0" borderId="0" xfId="0" applyFont="1" applyFill="1"/>
    <xf numFmtId="0" fontId="93" fillId="0" borderId="0" xfId="18" applyFont="1" applyFill="1" applyAlignment="1">
      <alignment horizontal="center"/>
    </xf>
    <xf numFmtId="17" fontId="50" fillId="8" borderId="4" xfId="89" applyNumberFormat="1" applyFont="1" applyFill="1" applyBorder="1" applyAlignment="1">
      <alignment vertical="center" wrapText="1"/>
    </xf>
    <xf numFmtId="0" fontId="50" fillId="8" borderId="0" xfId="0" applyFont="1" applyFill="1"/>
    <xf numFmtId="0" fontId="61" fillId="0" borderId="4" xfId="90" applyFont="1" applyBorder="1" applyAlignment="1">
      <alignment horizontal="center" vertical="center"/>
    </xf>
    <xf numFmtId="0" fontId="61" fillId="5" borderId="4" xfId="90" applyFont="1" applyFill="1" applyBorder="1" applyAlignment="1">
      <alignment horizontal="left" vertical="center"/>
    </xf>
    <xf numFmtId="0" fontId="93" fillId="5" borderId="4" xfId="90" applyFont="1" applyFill="1" applyBorder="1"/>
    <xf numFmtId="0" fontId="52" fillId="33" borderId="4" xfId="0" applyFont="1" applyFill="1" applyBorder="1"/>
    <xf numFmtId="0" fontId="52" fillId="0" borderId="0" xfId="0" applyFont="1" applyFill="1" applyBorder="1"/>
    <xf numFmtId="0" fontId="52" fillId="0" borderId="0" xfId="0" applyFont="1" applyFill="1" applyAlignment="1">
      <alignment vertical="center"/>
    </xf>
    <xf numFmtId="164" fontId="93" fillId="5" borderId="4" xfId="119" applyFont="1" applyFill="1" applyBorder="1"/>
    <xf numFmtId="164" fontId="61" fillId="0" borderId="4" xfId="119" applyFont="1" applyFill="1" applyBorder="1" applyAlignment="1">
      <alignment horizontal="left" vertical="center"/>
    </xf>
    <xf numFmtId="9" fontId="61" fillId="5" borderId="4" xfId="90" applyNumberFormat="1" applyFont="1" applyFill="1" applyBorder="1"/>
    <xf numFmtId="180" fontId="93" fillId="5" borderId="4" xfId="119" applyNumberFormat="1" applyFont="1" applyFill="1" applyBorder="1"/>
    <xf numFmtId="43" fontId="52" fillId="0" borderId="0" xfId="0" applyNumberFormat="1" applyFont="1" applyFill="1" applyBorder="1"/>
    <xf numFmtId="164" fontId="52" fillId="5" borderId="0" xfId="119" applyFont="1" applyFill="1"/>
    <xf numFmtId="0" fontId="93" fillId="0" borderId="4" xfId="90" applyFont="1" applyBorder="1" applyAlignment="1">
      <alignment horizontal="center" vertical="center"/>
    </xf>
    <xf numFmtId="164" fontId="93" fillId="5" borderId="4" xfId="119" applyFont="1" applyFill="1" applyBorder="1" applyAlignment="1">
      <alignment horizontal="left" vertical="center"/>
    </xf>
    <xf numFmtId="164" fontId="50" fillId="5" borderId="4" xfId="119" applyFont="1" applyFill="1" applyBorder="1"/>
    <xf numFmtId="10" fontId="50" fillId="5" borderId="4" xfId="119" applyNumberFormat="1" applyFont="1" applyFill="1" applyBorder="1"/>
    <xf numFmtId="164" fontId="50" fillId="0" borderId="4" xfId="119" applyFont="1" applyFill="1" applyBorder="1"/>
    <xf numFmtId="180" fontId="61" fillId="5" borderId="4" xfId="119" applyNumberFormat="1" applyFont="1" applyFill="1" applyBorder="1"/>
    <xf numFmtId="164" fontId="96" fillId="0" borderId="4" xfId="119" applyFont="1" applyFill="1" applyBorder="1"/>
    <xf numFmtId="10" fontId="52" fillId="0" borderId="4" xfId="59" applyNumberFormat="1" applyFont="1" applyFill="1" applyBorder="1"/>
    <xf numFmtId="2" fontId="52" fillId="33" borderId="4" xfId="0" applyNumberFormat="1" applyFont="1" applyFill="1" applyBorder="1"/>
    <xf numFmtId="10" fontId="52" fillId="0" borderId="0" xfId="59" applyNumberFormat="1" applyFont="1" applyFill="1" applyBorder="1"/>
    <xf numFmtId="2" fontId="52" fillId="0" borderId="0" xfId="0" applyNumberFormat="1" applyFont="1" applyFill="1"/>
    <xf numFmtId="2" fontId="52" fillId="0" borderId="0" xfId="0" applyNumberFormat="1" applyFont="1" applyFill="1" applyAlignment="1">
      <alignment vertical="center"/>
    </xf>
    <xf numFmtId="2" fontId="52" fillId="0" borderId="0" xfId="0" applyNumberFormat="1" applyFont="1" applyFill="1" applyBorder="1"/>
    <xf numFmtId="164" fontId="61" fillId="5" borderId="4" xfId="119" applyNumberFormat="1" applyFont="1" applyFill="1" applyBorder="1"/>
    <xf numFmtId="197" fontId="52" fillId="5" borderId="4" xfId="119" applyNumberFormat="1" applyFont="1" applyFill="1" applyBorder="1"/>
    <xf numFmtId="10" fontId="61" fillId="0" borderId="4" xfId="59" applyNumberFormat="1" applyFont="1" applyFill="1" applyBorder="1"/>
    <xf numFmtId="164" fontId="61" fillId="0" borderId="4" xfId="119" applyFont="1" applyFill="1" applyBorder="1"/>
    <xf numFmtId="180" fontId="93" fillId="0" borderId="4" xfId="119" applyNumberFormat="1" applyFont="1" applyFill="1" applyBorder="1"/>
    <xf numFmtId="10" fontId="61" fillId="0" borderId="4" xfId="90" applyNumberFormat="1" applyFont="1" applyFill="1" applyBorder="1"/>
    <xf numFmtId="43" fontId="52" fillId="31" borderId="4" xfId="120" applyFont="1" applyFill="1" applyBorder="1"/>
    <xf numFmtId="10" fontId="52" fillId="31" borderId="0" xfId="59" applyNumberFormat="1" applyFont="1" applyFill="1" applyBorder="1"/>
    <xf numFmtId="2" fontId="52" fillId="31" borderId="0" xfId="0" applyNumberFormat="1" applyFont="1" applyFill="1" applyBorder="1"/>
    <xf numFmtId="2" fontId="52" fillId="31" borderId="0" xfId="0" applyNumberFormat="1" applyFont="1" applyFill="1"/>
    <xf numFmtId="2" fontId="52" fillId="31" borderId="0" xfId="0" applyNumberFormat="1" applyFont="1" applyFill="1" applyAlignment="1">
      <alignment vertical="center"/>
    </xf>
    <xf numFmtId="0" fontId="52" fillId="31" borderId="0" xfId="0" applyFont="1" applyFill="1"/>
    <xf numFmtId="43" fontId="52" fillId="19" borderId="4" xfId="120" applyFont="1" applyFill="1" applyBorder="1"/>
    <xf numFmtId="10" fontId="52" fillId="0" borderId="4" xfId="0" applyNumberFormat="1" applyFont="1" applyFill="1" applyBorder="1"/>
    <xf numFmtId="164" fontId="52" fillId="5" borderId="4" xfId="119" applyFont="1" applyFill="1" applyBorder="1" applyAlignment="1"/>
    <xf numFmtId="180" fontId="52" fillId="5" borderId="4" xfId="119" applyNumberFormat="1" applyFont="1" applyFill="1" applyBorder="1" applyAlignment="1"/>
    <xf numFmtId="43" fontId="52" fillId="5" borderId="4" xfId="120" applyFont="1" applyFill="1" applyBorder="1" applyAlignment="1"/>
    <xf numFmtId="164" fontId="52" fillId="0" borderId="4" xfId="119" applyFont="1" applyFill="1" applyBorder="1" applyAlignment="1"/>
    <xf numFmtId="43" fontId="52" fillId="0" borderId="4" xfId="120" applyFont="1" applyFill="1" applyBorder="1" applyAlignment="1"/>
    <xf numFmtId="164" fontId="52" fillId="5" borderId="4" xfId="119" applyFont="1" applyFill="1" applyBorder="1" applyAlignment="1">
      <alignment horizontal="left"/>
    </xf>
    <xf numFmtId="180" fontId="52" fillId="5" borderId="4" xfId="119" applyNumberFormat="1" applyFont="1" applyFill="1" applyBorder="1" applyAlignment="1">
      <alignment horizontal="left"/>
    </xf>
    <xf numFmtId="43" fontId="52" fillId="5" borderId="4" xfId="120" applyFont="1" applyFill="1" applyBorder="1" applyAlignment="1">
      <alignment horizontal="left"/>
    </xf>
    <xf numFmtId="164" fontId="52" fillId="0" borderId="4" xfId="119" applyFont="1" applyFill="1" applyBorder="1" applyAlignment="1">
      <alignment horizontal="left"/>
    </xf>
    <xf numFmtId="164" fontId="96" fillId="0" borderId="4" xfId="119" applyFont="1" applyFill="1" applyBorder="1" applyAlignment="1">
      <alignment horizontal="left"/>
    </xf>
    <xf numFmtId="180" fontId="50" fillId="5" borderId="4" xfId="119" applyNumberFormat="1" applyFont="1" applyFill="1" applyBorder="1"/>
    <xf numFmtId="164" fontId="97" fillId="0" borderId="4" xfId="119" applyFont="1" applyFill="1" applyBorder="1"/>
    <xf numFmtId="43" fontId="50" fillId="33" borderId="4" xfId="120" applyFont="1" applyFill="1" applyBorder="1"/>
    <xf numFmtId="0" fontId="50" fillId="0" borderId="0" xfId="0" applyFont="1" applyFill="1" applyBorder="1"/>
    <xf numFmtId="0" fontId="50" fillId="0" borderId="0" xfId="0" applyFont="1"/>
    <xf numFmtId="0" fontId="50" fillId="0" borderId="0" xfId="0" applyFont="1" applyFill="1"/>
    <xf numFmtId="2" fontId="50" fillId="0" borderId="0" xfId="0" applyNumberFormat="1" applyFont="1" applyFill="1"/>
    <xf numFmtId="180" fontId="52" fillId="5" borderId="4" xfId="119" applyNumberFormat="1" applyFont="1" applyFill="1" applyBorder="1"/>
    <xf numFmtId="164" fontId="52" fillId="0" borderId="0" xfId="0" applyNumberFormat="1" applyFont="1" applyFill="1" applyBorder="1"/>
    <xf numFmtId="180" fontId="50" fillId="0" borderId="4" xfId="119" applyNumberFormat="1" applyFont="1" applyFill="1" applyBorder="1"/>
    <xf numFmtId="10" fontId="50" fillId="0" borderId="4" xfId="119" applyNumberFormat="1" applyFont="1" applyFill="1" applyBorder="1"/>
    <xf numFmtId="180" fontId="52" fillId="0" borderId="4" xfId="119" applyNumberFormat="1" applyFont="1" applyFill="1" applyBorder="1"/>
    <xf numFmtId="164" fontId="93" fillId="0" borderId="4" xfId="119" applyFont="1" applyFill="1" applyBorder="1" applyAlignment="1">
      <alignment horizontal="left" vertical="center"/>
    </xf>
    <xf numFmtId="164" fontId="52" fillId="0" borderId="4" xfId="119" applyNumberFormat="1" applyFont="1" applyFill="1" applyBorder="1"/>
    <xf numFmtId="0" fontId="61" fillId="0" borderId="0" xfId="90" applyFont="1" applyBorder="1" applyAlignment="1">
      <alignment horizontal="center" vertical="center"/>
    </xf>
    <xf numFmtId="164" fontId="52" fillId="0" borderId="0" xfId="0" applyNumberFormat="1" applyFont="1" applyFill="1"/>
    <xf numFmtId="164" fontId="61" fillId="0" borderId="0" xfId="119" applyFont="1" applyFill="1" applyBorder="1" applyAlignment="1">
      <alignment horizontal="left" vertical="center"/>
    </xf>
    <xf numFmtId="164" fontId="52" fillId="0" borderId="0" xfId="119" applyFont="1" applyFill="1"/>
    <xf numFmtId="180" fontId="61" fillId="0" borderId="7" xfId="119" applyNumberFormat="1" applyFont="1" applyFill="1" applyBorder="1"/>
    <xf numFmtId="43" fontId="93" fillId="0" borderId="7" xfId="120" applyFont="1" applyFill="1" applyBorder="1"/>
    <xf numFmtId="164" fontId="61" fillId="0" borderId="7" xfId="119" applyFont="1" applyFill="1" applyBorder="1"/>
    <xf numFmtId="180" fontId="52" fillId="0" borderId="0" xfId="119" applyNumberFormat="1" applyFont="1" applyFill="1"/>
    <xf numFmtId="164" fontId="96" fillId="0" borderId="0" xfId="119" applyFont="1" applyFill="1"/>
    <xf numFmtId="10" fontId="52" fillId="0" borderId="0" xfId="59" applyNumberFormat="1" applyFont="1" applyFill="1"/>
    <xf numFmtId="164" fontId="50" fillId="0" borderId="0" xfId="0" applyNumberFormat="1" applyFont="1" applyFill="1"/>
    <xf numFmtId="0" fontId="52" fillId="0" borderId="0" xfId="0" applyFont="1" applyAlignment="1">
      <alignment horizontal="center" vertical="center"/>
    </xf>
    <xf numFmtId="180" fontId="61" fillId="0" borderId="4" xfId="119" applyNumberFormat="1" applyFont="1" applyFill="1" applyBorder="1"/>
    <xf numFmtId="164" fontId="50" fillId="0" borderId="0" xfId="119" applyFont="1" applyFill="1"/>
    <xf numFmtId="164" fontId="52" fillId="0" borderId="6" xfId="119" applyFont="1" applyFill="1" applyBorder="1" applyAlignment="1"/>
    <xf numFmtId="164" fontId="52" fillId="0" borderId="3" xfId="119" applyFont="1" applyFill="1" applyBorder="1" applyAlignment="1"/>
    <xf numFmtId="164" fontId="50" fillId="0" borderId="6" xfId="119" applyFont="1" applyFill="1" applyBorder="1" applyAlignment="1">
      <alignment horizontal="left"/>
    </xf>
    <xf numFmtId="164" fontId="50" fillId="0" borderId="3" xfId="119" applyFont="1" applyFill="1" applyBorder="1" applyAlignment="1">
      <alignment horizontal="left"/>
    </xf>
    <xf numFmtId="164" fontId="52" fillId="0" borderId="0" xfId="119" applyFont="1" applyFill="1" applyAlignment="1">
      <alignment horizontal="left"/>
    </xf>
    <xf numFmtId="164" fontId="50" fillId="0" borderId="4" xfId="119" applyFont="1" applyFill="1" applyBorder="1" applyAlignment="1">
      <alignment horizontal="center" vertical="center" wrapText="1"/>
    </xf>
    <xf numFmtId="164" fontId="51" fillId="0" borderId="4" xfId="119" applyFont="1" applyFill="1" applyBorder="1" applyAlignment="1">
      <alignment horizontal="center" vertical="center" wrapText="1"/>
    </xf>
    <xf numFmtId="164" fontId="53" fillId="0" borderId="4" xfId="119" applyFont="1" applyFill="1" applyBorder="1" applyAlignment="1">
      <alignment horizontal="right" vertical="center" wrapText="1"/>
    </xf>
    <xf numFmtId="164" fontId="51" fillId="0" borderId="4" xfId="119" applyFont="1" applyFill="1" applyBorder="1" applyAlignment="1">
      <alignment horizontal="right" vertical="center" wrapText="1"/>
    </xf>
    <xf numFmtId="182" fontId="85" fillId="0" borderId="0" xfId="121" applyAlignment="1">
      <alignment vertical="center"/>
    </xf>
    <xf numFmtId="182" fontId="24" fillId="0" borderId="0" xfId="121" applyFont="1" applyAlignment="1">
      <alignment vertical="center"/>
    </xf>
    <xf numFmtId="182" fontId="26" fillId="8" borderId="0" xfId="121" applyFont="1" applyFill="1" applyAlignment="1">
      <alignment vertical="center"/>
    </xf>
    <xf numFmtId="182" fontId="26" fillId="0" borderId="0" xfId="121" applyFont="1" applyAlignment="1">
      <alignment vertical="center"/>
    </xf>
    <xf numFmtId="182" fontId="11" fillId="0" borderId="0" xfId="121" applyFont="1" applyAlignment="1">
      <alignment vertical="center"/>
    </xf>
    <xf numFmtId="182" fontId="11" fillId="8" borderId="32" xfId="121" applyFont="1" applyFill="1" applyBorder="1" applyAlignment="1">
      <alignment horizontal="center" vertical="center" wrapText="1"/>
    </xf>
    <xf numFmtId="182" fontId="11" fillId="8" borderId="32" xfId="121" applyFont="1" applyFill="1" applyBorder="1" applyAlignment="1">
      <alignment horizontal="center" vertical="center"/>
    </xf>
    <xf numFmtId="182" fontId="85" fillId="0" borderId="0" xfId="121" applyAlignment="1">
      <alignment horizontal="justify" vertical="center" wrapText="1"/>
    </xf>
    <xf numFmtId="182" fontId="85" fillId="0" borderId="4" xfId="121" applyFill="1" applyBorder="1" applyAlignment="1">
      <alignment vertical="center" wrapText="1"/>
    </xf>
    <xf numFmtId="182" fontId="85" fillId="0" borderId="4" xfId="121" applyFill="1" applyBorder="1" applyAlignment="1">
      <alignment horizontal="center" vertical="center" wrapText="1"/>
    </xf>
    <xf numFmtId="182" fontId="85" fillId="0" borderId="4" xfId="121" applyFill="1" applyBorder="1" applyAlignment="1">
      <alignment horizontal="center" vertical="center"/>
    </xf>
    <xf numFmtId="180" fontId="0" fillId="0" borderId="4" xfId="122" applyNumberFormat="1" applyFont="1" applyFill="1" applyBorder="1" applyAlignment="1" applyProtection="1">
      <alignment vertical="center"/>
      <protection locked="0"/>
    </xf>
    <xf numFmtId="180" fontId="0" fillId="0" borderId="4" xfId="122" applyNumberFormat="1" applyFont="1" applyFill="1" applyBorder="1" applyAlignment="1" applyProtection="1">
      <alignment horizontal="center" vertical="center"/>
      <protection locked="0"/>
    </xf>
    <xf numFmtId="164" fontId="85" fillId="0" borderId="0" xfId="121" applyNumberFormat="1" applyAlignment="1">
      <alignment horizontal="justify" vertical="center" wrapText="1"/>
    </xf>
    <xf numFmtId="182" fontId="85" fillId="0" borderId="4" xfId="121" applyBorder="1" applyAlignment="1">
      <alignment vertical="center" wrapText="1"/>
    </xf>
    <xf numFmtId="182" fontId="85" fillId="0" borderId="4" xfId="121" applyBorder="1" applyAlignment="1">
      <alignment horizontal="center" vertical="center" wrapText="1"/>
    </xf>
    <xf numFmtId="182" fontId="85" fillId="0" borderId="4" xfId="121" applyBorder="1" applyAlignment="1">
      <alignment horizontal="center" vertical="center"/>
    </xf>
    <xf numFmtId="10" fontId="0" fillId="0" borderId="4" xfId="123" applyNumberFormat="1" applyFont="1" applyFill="1" applyBorder="1" applyAlignment="1" applyProtection="1">
      <alignment vertical="center"/>
      <protection locked="0"/>
    </xf>
    <xf numFmtId="180" fontId="0" fillId="0" borderId="4" xfId="122" applyNumberFormat="1" applyFont="1" applyFill="1" applyBorder="1" applyAlignment="1">
      <alignment horizontal="center" vertical="center"/>
    </xf>
    <xf numFmtId="10" fontId="0" fillId="0" borderId="0" xfId="123" applyNumberFormat="1" applyFont="1" applyAlignment="1">
      <alignment horizontal="justify" vertical="center" wrapText="1"/>
    </xf>
    <xf numFmtId="10" fontId="0" fillId="0" borderId="4" xfId="123" applyNumberFormat="1" applyFont="1" applyFill="1" applyBorder="1" applyAlignment="1">
      <alignment horizontal="right" vertical="center"/>
    </xf>
    <xf numFmtId="180" fontId="0" fillId="0" borderId="4" xfId="122" applyNumberFormat="1" applyFont="1" applyFill="1" applyBorder="1" applyAlignment="1">
      <alignment vertical="center"/>
    </xf>
    <xf numFmtId="164" fontId="0" fillId="0" borderId="0" xfId="122" applyFont="1" applyAlignment="1">
      <alignment vertical="center"/>
    </xf>
    <xf numFmtId="10" fontId="0" fillId="0" borderId="4" xfId="123" applyNumberFormat="1" applyFont="1" applyFill="1" applyBorder="1" applyAlignment="1" applyProtection="1">
      <alignment horizontal="right" vertical="center"/>
      <protection locked="0"/>
    </xf>
    <xf numFmtId="184" fontId="0" fillId="0" borderId="4" xfId="124" applyNumberFormat="1" applyFont="1" applyFill="1" applyBorder="1" applyAlignment="1" applyProtection="1">
      <alignment vertical="center"/>
      <protection locked="0"/>
    </xf>
    <xf numFmtId="164" fontId="85" fillId="0" borderId="0" xfId="121" applyNumberFormat="1" applyAlignment="1">
      <alignment vertical="center"/>
    </xf>
    <xf numFmtId="164" fontId="0" fillId="0" borderId="4" xfId="122" applyFont="1" applyFill="1" applyBorder="1" applyAlignment="1">
      <alignment vertical="center"/>
    </xf>
    <xf numFmtId="183" fontId="85" fillId="0" borderId="0" xfId="121" applyNumberFormat="1" applyAlignment="1">
      <alignment vertical="center"/>
    </xf>
    <xf numFmtId="0" fontId="10" fillId="5" borderId="4" xfId="0" applyFont="1" applyFill="1" applyBorder="1" applyAlignment="1">
      <alignment horizontal="center" vertical="center"/>
    </xf>
    <xf numFmtId="0" fontId="27" fillId="0" borderId="0" xfId="0" applyFont="1" applyAlignment="1"/>
    <xf numFmtId="0" fontId="27" fillId="0" borderId="0" xfId="0" applyFont="1" applyAlignment="1">
      <alignment vertical="center"/>
    </xf>
    <xf numFmtId="0" fontId="13" fillId="0" borderId="0" xfId="0" applyFont="1" applyFill="1" applyAlignment="1">
      <alignment vertical="center"/>
    </xf>
    <xf numFmtId="0" fontId="13" fillId="8" borderId="4" xfId="0" applyFont="1" applyFill="1" applyBorder="1" applyAlignment="1">
      <alignment vertical="center"/>
    </xf>
    <xf numFmtId="0" fontId="13" fillId="8" borderId="4" xfId="0" applyFont="1" applyFill="1" applyBorder="1" applyAlignment="1">
      <alignment horizontal="center" vertical="center"/>
    </xf>
    <xf numFmtId="0" fontId="0" fillId="0" borderId="0" xfId="0" applyFont="1" applyAlignment="1">
      <alignment horizontal="left" vertical="center" wrapText="1"/>
    </xf>
    <xf numFmtId="0" fontId="0" fillId="0" borderId="0" xfId="0" applyFont="1" applyAlignment="1">
      <alignment horizontal="justify" vertical="center"/>
    </xf>
    <xf numFmtId="0" fontId="14" fillId="0" borderId="0" xfId="0" applyFont="1" applyFill="1" applyBorder="1" applyAlignment="1">
      <alignment horizontal="center" vertical="center"/>
    </xf>
    <xf numFmtId="0" fontId="0" fillId="0" borderId="0" xfId="0" applyFont="1" applyBorder="1" applyAlignment="1">
      <alignment vertical="center" wrapText="1"/>
    </xf>
    <xf numFmtId="0" fontId="13" fillId="0" borderId="0" xfId="0" applyFont="1" applyFill="1" applyBorder="1" applyAlignment="1">
      <alignment vertical="center"/>
    </xf>
    <xf numFmtId="0" fontId="0" fillId="0" borderId="0" xfId="0" applyFont="1" applyAlignment="1">
      <alignment vertical="center" wrapText="1"/>
    </xf>
    <xf numFmtId="0" fontId="0" fillId="0" borderId="0" xfId="0" applyFont="1" applyBorder="1" applyAlignment="1"/>
    <xf numFmtId="0" fontId="0" fillId="0" borderId="3" xfId="0" applyFont="1" applyBorder="1" applyAlignment="1"/>
    <xf numFmtId="0" fontId="10" fillId="8" borderId="0" xfId="0" applyFont="1" applyFill="1" applyBorder="1"/>
    <xf numFmtId="43" fontId="14" fillId="0" borderId="0" xfId="120" applyFont="1" applyFill="1" applyAlignment="1">
      <alignment horizontal="left"/>
    </xf>
    <xf numFmtId="0" fontId="0" fillId="0" borderId="0" xfId="0" applyFont="1" applyFill="1" applyAlignment="1">
      <alignment vertical="center"/>
    </xf>
    <xf numFmtId="43" fontId="0" fillId="0" borderId="0" xfId="120" applyFont="1" applyAlignment="1">
      <alignment vertical="center"/>
    </xf>
    <xf numFmtId="43" fontId="11" fillId="0" borderId="0" xfId="120" applyFont="1" applyAlignment="1">
      <alignment vertical="center"/>
    </xf>
    <xf numFmtId="0" fontId="10" fillId="4" borderId="0" xfId="18" applyFont="1" applyFill="1" applyAlignment="1"/>
    <xf numFmtId="43" fontId="14" fillId="4" borderId="0" xfId="120" applyFont="1" applyFill="1" applyAlignment="1">
      <alignment horizontal="left"/>
    </xf>
    <xf numFmtId="0" fontId="14" fillId="0" borderId="69" xfId="18" applyFont="1" applyFill="1" applyBorder="1" applyAlignment="1">
      <alignment horizontal="left"/>
    </xf>
    <xf numFmtId="0" fontId="11" fillId="5" borderId="0" xfId="0" applyFont="1" applyFill="1" applyAlignment="1">
      <alignment vertical="center"/>
    </xf>
    <xf numFmtId="0" fontId="0" fillId="5" borderId="0" xfId="0" applyFont="1" applyFill="1" applyAlignment="1">
      <alignment vertical="center"/>
    </xf>
    <xf numFmtId="43" fontId="11" fillId="8" borderId="4" xfId="120" applyFont="1" applyFill="1" applyBorder="1" applyAlignment="1">
      <alignment horizontal="center" vertical="center" wrapText="1"/>
    </xf>
    <xf numFmtId="43" fontId="11" fillId="8" borderId="4" xfId="120" applyFont="1" applyFill="1" applyBorder="1" applyAlignment="1">
      <alignment vertical="center" wrapText="1"/>
    </xf>
    <xf numFmtId="0" fontId="28" fillId="0" borderId="0" xfId="0" applyFont="1" applyBorder="1" applyAlignment="1">
      <alignment horizontal="center" vertical="center"/>
    </xf>
    <xf numFmtId="0" fontId="11" fillId="5" borderId="0" xfId="0" applyFont="1" applyFill="1" applyBorder="1" applyAlignment="1">
      <alignment vertical="center"/>
    </xf>
    <xf numFmtId="0" fontId="11" fillId="5" borderId="0" xfId="0" applyFont="1" applyFill="1" applyAlignment="1">
      <alignment horizontal="center" vertical="center" wrapText="1"/>
    </xf>
    <xf numFmtId="2" fontId="0" fillId="5" borderId="0" xfId="0" applyNumberFormat="1" applyFont="1" applyFill="1" applyAlignment="1">
      <alignment vertical="center"/>
    </xf>
    <xf numFmtId="2" fontId="0" fillId="0" borderId="0" xfId="0" applyNumberFormat="1" applyFont="1" applyAlignment="1">
      <alignment vertical="center"/>
    </xf>
    <xf numFmtId="0" fontId="0" fillId="0" borderId="4" xfId="0" applyFont="1" applyFill="1" applyBorder="1" applyAlignment="1">
      <alignment vertical="center"/>
    </xf>
    <xf numFmtId="43" fontId="11" fillId="0" borderId="4" xfId="120" applyFont="1" applyFill="1" applyBorder="1" applyAlignment="1">
      <alignment vertical="center" wrapText="1"/>
    </xf>
    <xf numFmtId="0" fontId="28" fillId="0" borderId="0" xfId="0" applyFont="1" applyFill="1" applyBorder="1" applyAlignment="1">
      <alignment horizontal="center" vertical="center"/>
    </xf>
    <xf numFmtId="0" fontId="11" fillId="0" borderId="0" xfId="0" applyFont="1" applyFill="1" applyBorder="1" applyAlignment="1">
      <alignment vertical="center"/>
    </xf>
    <xf numFmtId="2" fontId="0" fillId="0" borderId="0" xfId="0" applyNumberFormat="1" applyFont="1" applyFill="1" applyAlignment="1">
      <alignment vertical="center"/>
    </xf>
    <xf numFmtId="43" fontId="0" fillId="0" borderId="4" xfId="120" applyFont="1" applyFill="1" applyBorder="1" applyAlignment="1">
      <alignment vertical="center" wrapText="1"/>
    </xf>
    <xf numFmtId="43" fontId="12" fillId="0" borderId="4" xfId="120" applyFont="1" applyFill="1" applyBorder="1" applyAlignment="1">
      <alignment horizontal="center" vertical="center"/>
    </xf>
    <xf numFmtId="43" fontId="12" fillId="0" borderId="4" xfId="120" applyFont="1" applyFill="1" applyBorder="1" applyAlignment="1">
      <alignment vertical="center" wrapText="1"/>
    </xf>
    <xf numFmtId="164" fontId="11" fillId="0" borderId="0" xfId="0" applyNumberFormat="1" applyFont="1" applyFill="1" applyBorder="1" applyAlignment="1">
      <alignment vertical="center"/>
    </xf>
    <xf numFmtId="0" fontId="120" fillId="0" borderId="0" xfId="0" applyFont="1" applyFill="1" applyBorder="1" applyAlignment="1">
      <alignment horizontal="center" vertical="center"/>
    </xf>
    <xf numFmtId="1" fontId="0" fillId="0" borderId="4" xfId="0" applyNumberFormat="1" applyFont="1" applyFill="1" applyBorder="1" applyAlignment="1">
      <alignment horizontal="center" vertical="center"/>
    </xf>
    <xf numFmtId="0" fontId="0" fillId="0" borderId="3" xfId="0" applyFont="1" applyFill="1" applyBorder="1" applyAlignment="1">
      <alignment vertical="center"/>
    </xf>
    <xf numFmtId="0" fontId="11" fillId="0" borderId="3" xfId="0" applyFont="1" applyFill="1" applyBorder="1" applyAlignment="1">
      <alignment horizontal="center" vertical="center" wrapText="1"/>
    </xf>
    <xf numFmtId="43" fontId="11" fillId="0" borderId="3" xfId="120" applyFont="1" applyFill="1" applyBorder="1" applyAlignment="1">
      <alignment vertical="center" wrapText="1"/>
    </xf>
    <xf numFmtId="0" fontId="11" fillId="0" borderId="6" xfId="0" applyFont="1" applyBorder="1"/>
    <xf numFmtId="43" fontId="11" fillId="0" borderId="12" xfId="120" applyFont="1" applyFill="1" applyBorder="1" applyAlignment="1">
      <alignment vertical="center" wrapText="1"/>
    </xf>
    <xf numFmtId="0" fontId="0" fillId="5" borderId="0" xfId="0" applyFont="1" applyFill="1" applyBorder="1" applyAlignment="1">
      <alignment vertical="center"/>
    </xf>
    <xf numFmtId="43" fontId="10" fillId="0" borderId="4" xfId="120" applyFont="1" applyBorder="1" applyAlignment="1">
      <alignment horizontal="left"/>
    </xf>
    <xf numFmtId="43" fontId="14" fillId="0" borderId="4" xfId="120" applyFont="1" applyBorder="1" applyAlignment="1">
      <alignment horizontal="left"/>
    </xf>
    <xf numFmtId="0" fontId="14" fillId="0" borderId="0" xfId="18" applyFont="1" applyFill="1" applyAlignment="1">
      <alignment horizontal="left" vertical="center" wrapText="1"/>
    </xf>
    <xf numFmtId="43" fontId="14" fillId="0" borderId="0" xfId="120" applyFont="1" applyFill="1" applyAlignment="1">
      <alignment horizontal="right" vertical="center"/>
    </xf>
    <xf numFmtId="43" fontId="14" fillId="0" borderId="0" xfId="120" applyFont="1" applyFill="1" applyAlignment="1">
      <alignment horizontal="left" vertical="center"/>
    </xf>
    <xf numFmtId="43" fontId="10" fillId="0" borderId="0" xfId="120" applyFont="1" applyFill="1" applyAlignment="1">
      <alignment horizontal="left" vertical="center"/>
    </xf>
    <xf numFmtId="43" fontId="0" fillId="0" borderId="0" xfId="120" applyFont="1" applyAlignment="1">
      <alignment horizontal="right" vertical="center"/>
    </xf>
    <xf numFmtId="43" fontId="12" fillId="0" borderId="0" xfId="120" applyFont="1" applyAlignment="1">
      <alignment vertical="center"/>
    </xf>
    <xf numFmtId="0" fontId="14" fillId="4" borderId="0" xfId="18" applyFont="1" applyFill="1" applyAlignment="1">
      <alignment horizontal="left" vertical="center" wrapText="1"/>
    </xf>
    <xf numFmtId="0" fontId="14" fillId="4" borderId="0" xfId="18" applyFont="1" applyFill="1" applyAlignment="1">
      <alignment horizontal="left" vertical="center"/>
    </xf>
    <xf numFmtId="43" fontId="14" fillId="4" borderId="0" xfId="120" applyFont="1" applyFill="1" applyAlignment="1">
      <alignment horizontal="right" vertical="center"/>
    </xf>
    <xf numFmtId="43" fontId="14" fillId="4" borderId="0" xfId="120" applyFont="1" applyFill="1" applyAlignment="1">
      <alignment horizontal="left" vertical="center"/>
    </xf>
    <xf numFmtId="43" fontId="10" fillId="4" borderId="0" xfId="120" applyFont="1" applyFill="1" applyAlignment="1">
      <alignment horizontal="left" vertical="center"/>
    </xf>
    <xf numFmtId="0" fontId="14" fillId="0" borderId="0" xfId="18" applyFont="1" applyFill="1" applyAlignment="1">
      <alignment horizontal="center" vertical="center" wrapText="1"/>
    </xf>
    <xf numFmtId="0" fontId="14" fillId="0" borderId="0" xfId="18" applyFont="1" applyFill="1" applyAlignment="1">
      <alignment horizontal="center" vertical="center"/>
    </xf>
    <xf numFmtId="0" fontId="14" fillId="0" borderId="0" xfId="18" applyFont="1" applyFill="1" applyAlignment="1">
      <alignment vertical="center"/>
    </xf>
    <xf numFmtId="43" fontId="14" fillId="16" borderId="4" xfId="120" applyFont="1" applyFill="1" applyBorder="1" applyAlignment="1">
      <alignment horizontal="center" vertical="center" wrapText="1"/>
    </xf>
    <xf numFmtId="0" fontId="11" fillId="5" borderId="4" xfId="0" applyFont="1" applyFill="1" applyBorder="1" applyAlignment="1">
      <alignment vertical="center" wrapText="1"/>
    </xf>
    <xf numFmtId="43" fontId="11" fillId="5" borderId="4" xfId="120" applyFont="1" applyFill="1" applyBorder="1" applyAlignment="1">
      <alignment horizontal="right" vertical="center" wrapText="1"/>
    </xf>
    <xf numFmtId="43" fontId="11" fillId="5" borderId="4" xfId="120" applyFont="1" applyFill="1" applyBorder="1" applyAlignment="1">
      <alignment horizontal="center" vertical="center" wrapText="1"/>
    </xf>
    <xf numFmtId="43" fontId="10" fillId="5" borderId="4" xfId="120" applyFont="1" applyFill="1" applyBorder="1" applyAlignment="1">
      <alignment vertical="center" wrapText="1"/>
    </xf>
    <xf numFmtId="43" fontId="14" fillId="5" borderId="4" xfId="120" applyFont="1" applyFill="1" applyBorder="1" applyAlignment="1">
      <alignment vertical="center" wrapText="1"/>
    </xf>
    <xf numFmtId="0" fontId="0" fillId="5" borderId="4" xfId="0" applyFont="1" applyFill="1" applyBorder="1" applyAlignment="1">
      <alignment horizontal="left" vertical="center" wrapText="1"/>
    </xf>
    <xf numFmtId="0" fontId="0" fillId="5" borderId="4" xfId="0" applyFont="1" applyFill="1" applyBorder="1" applyAlignment="1">
      <alignment horizontal="center" vertical="center" wrapText="1"/>
    </xf>
    <xf numFmtId="43" fontId="12" fillId="5" borderId="4" xfId="120" applyFont="1" applyFill="1" applyBorder="1" applyAlignment="1">
      <alignment vertical="center" wrapText="1"/>
    </xf>
    <xf numFmtId="43" fontId="11" fillId="5" borderId="4" xfId="120" applyFont="1" applyFill="1" applyBorder="1" applyAlignment="1">
      <alignment vertical="center" wrapText="1"/>
    </xf>
    <xf numFmtId="43" fontId="12" fillId="5" borderId="4" xfId="120" applyFont="1" applyFill="1" applyBorder="1" applyAlignment="1">
      <alignment horizontal="left" vertical="center" wrapText="1"/>
    </xf>
    <xf numFmtId="43" fontId="12" fillId="5" borderId="4" xfId="120" applyFont="1" applyFill="1" applyBorder="1" applyAlignment="1">
      <alignment horizontal="right" vertical="center" wrapText="1"/>
    </xf>
    <xf numFmtId="43" fontId="0" fillId="5" borderId="4" xfId="120" applyFont="1" applyFill="1" applyBorder="1" applyAlignment="1">
      <alignment horizontal="right" vertical="center" wrapText="1"/>
    </xf>
    <xf numFmtId="43" fontId="0" fillId="5" borderId="4" xfId="120" applyFont="1" applyFill="1" applyBorder="1" applyAlignment="1">
      <alignment horizontal="center" vertical="center" wrapText="1"/>
    </xf>
    <xf numFmtId="43" fontId="12" fillId="5" borderId="4" xfId="120" applyFont="1" applyFill="1" applyBorder="1" applyAlignment="1">
      <alignment horizontal="center" vertical="center" wrapText="1"/>
    </xf>
    <xf numFmtId="43" fontId="0" fillId="5" borderId="4" xfId="120" applyFont="1" applyFill="1" applyBorder="1" applyAlignment="1">
      <alignment horizontal="left" vertical="center" wrapText="1"/>
    </xf>
    <xf numFmtId="43" fontId="11" fillId="5" borderId="4" xfId="120" applyFont="1" applyFill="1" applyBorder="1" applyAlignment="1">
      <alignment horizontal="left" vertical="center" wrapText="1"/>
    </xf>
    <xf numFmtId="0" fontId="11" fillId="0" borderId="0" xfId="0" applyFont="1" applyFill="1" applyAlignment="1">
      <alignment vertical="center"/>
    </xf>
    <xf numFmtId="43" fontId="0" fillId="5" borderId="4" xfId="120" applyFont="1" applyFill="1" applyBorder="1" applyAlignment="1">
      <alignment vertical="center"/>
    </xf>
    <xf numFmtId="0" fontId="11" fillId="5" borderId="4" xfId="0" applyFont="1" applyFill="1" applyBorder="1" applyAlignment="1">
      <alignment horizontal="left" vertical="center" wrapText="1"/>
    </xf>
    <xf numFmtId="0" fontId="0" fillId="31" borderId="0" xfId="0" applyFont="1" applyFill="1" applyAlignment="1">
      <alignment vertical="center"/>
    </xf>
    <xf numFmtId="0" fontId="0" fillId="0" borderId="4" xfId="0" applyFont="1" applyFill="1" applyBorder="1" applyAlignment="1">
      <alignment horizontal="left" vertical="center" wrapText="1"/>
    </xf>
    <xf numFmtId="164" fontId="11" fillId="5" borderId="4" xfId="0" applyNumberFormat="1" applyFont="1" applyFill="1" applyBorder="1" applyAlignment="1">
      <alignment horizontal="left" vertical="center" wrapText="1"/>
    </xf>
    <xf numFmtId="164" fontId="0" fillId="5" borderId="4" xfId="0" applyNumberFormat="1" applyFont="1" applyFill="1" applyBorder="1" applyAlignment="1">
      <alignment horizontal="left" vertical="center" wrapText="1"/>
    </xf>
    <xf numFmtId="43" fontId="12" fillId="5" borderId="0" xfId="120" applyFont="1" applyFill="1" applyAlignment="1">
      <alignment vertical="center"/>
    </xf>
    <xf numFmtId="43" fontId="0" fillId="5" borderId="0" xfId="120" applyFont="1" applyFill="1" applyAlignment="1">
      <alignment vertical="center"/>
    </xf>
    <xf numFmtId="0" fontId="0" fillId="19" borderId="0" xfId="0" applyFont="1" applyFill="1" applyAlignment="1">
      <alignment vertical="center"/>
    </xf>
    <xf numFmtId="0" fontId="102" fillId="5" borderId="4" xfId="0" applyFont="1" applyFill="1" applyBorder="1" applyAlignment="1">
      <alignment vertical="center"/>
    </xf>
    <xf numFmtId="0" fontId="10" fillId="5" borderId="4" xfId="90" applyFont="1" applyFill="1" applyBorder="1" applyAlignment="1">
      <alignment horizontal="center" vertical="center"/>
    </xf>
    <xf numFmtId="43" fontId="10" fillId="5" borderId="4" xfId="120" applyFont="1" applyFill="1" applyBorder="1" applyAlignment="1">
      <alignment horizontal="right" vertical="center"/>
    </xf>
    <xf numFmtId="0" fontId="10" fillId="5" borderId="4" xfId="90" applyFont="1" applyFill="1" applyBorder="1" applyAlignment="1">
      <alignment vertical="center"/>
    </xf>
    <xf numFmtId="0" fontId="10" fillId="5" borderId="4" xfId="90" applyFont="1" applyFill="1" applyBorder="1" applyAlignment="1">
      <alignment horizontal="left" vertical="center"/>
    </xf>
    <xf numFmtId="0" fontId="0" fillId="5" borderId="12" xfId="0" applyFont="1" applyFill="1" applyBorder="1" applyAlignment="1">
      <alignment vertical="center"/>
    </xf>
    <xf numFmtId="43" fontId="0" fillId="5" borderId="0" xfId="120" applyFont="1" applyFill="1" applyAlignment="1">
      <alignment horizontal="right" vertical="center"/>
    </xf>
    <xf numFmtId="0" fontId="0" fillId="5" borderId="11" xfId="0" applyFont="1" applyFill="1" applyBorder="1" applyAlignment="1">
      <alignment vertical="center"/>
    </xf>
    <xf numFmtId="0" fontId="0" fillId="5" borderId="11" xfId="0" applyFont="1" applyFill="1" applyBorder="1" applyAlignment="1">
      <alignment horizontal="center" vertical="center"/>
    </xf>
    <xf numFmtId="43" fontId="0" fillId="5" borderId="11" xfId="120" applyFont="1" applyFill="1" applyBorder="1" applyAlignment="1">
      <alignment horizontal="right" vertical="center"/>
    </xf>
    <xf numFmtId="43" fontId="12" fillId="5" borderId="11" xfId="120" applyFont="1" applyFill="1" applyBorder="1" applyAlignment="1">
      <alignment horizontal="right" vertical="center"/>
    </xf>
    <xf numFmtId="0" fontId="11" fillId="5" borderId="11" xfId="0" applyFont="1" applyFill="1" applyBorder="1" applyAlignment="1">
      <alignment vertical="center"/>
    </xf>
    <xf numFmtId="43" fontId="11" fillId="5" borderId="11" xfId="120" applyFont="1" applyFill="1" applyBorder="1" applyAlignment="1">
      <alignment horizontal="center" vertical="center"/>
    </xf>
    <xf numFmtId="0" fontId="11" fillId="5" borderId="11" xfId="0" applyFont="1" applyFill="1" applyBorder="1" applyAlignment="1">
      <alignment horizontal="center" vertical="center"/>
    </xf>
    <xf numFmtId="43" fontId="11" fillId="5" borderId="11" xfId="120" applyFont="1" applyFill="1" applyBorder="1" applyAlignment="1">
      <alignment horizontal="right" vertical="center" wrapText="1"/>
    </xf>
    <xf numFmtId="43" fontId="11" fillId="5" borderId="4" xfId="120" applyFont="1" applyFill="1" applyBorder="1" applyAlignment="1">
      <alignment horizontal="right" vertical="center"/>
    </xf>
    <xf numFmtId="43" fontId="11" fillId="5" borderId="4" xfId="120" applyFont="1" applyFill="1" applyBorder="1" applyAlignment="1">
      <alignment horizontal="center" vertical="center"/>
    </xf>
    <xf numFmtId="43" fontId="12" fillId="5" borderId="11" xfId="120" applyFont="1" applyFill="1" applyBorder="1" applyAlignment="1">
      <alignment horizontal="center" vertical="center" wrapText="1"/>
    </xf>
    <xf numFmtId="43" fontId="11" fillId="5" borderId="11" xfId="120" applyFont="1" applyFill="1" applyBorder="1" applyAlignment="1">
      <alignment horizontal="center" vertical="center" wrapText="1"/>
    </xf>
    <xf numFmtId="164" fontId="0" fillId="0" borderId="4" xfId="0" applyNumberFormat="1" applyFont="1" applyFill="1" applyBorder="1" applyAlignment="1">
      <alignment horizontal="left" vertical="center" wrapText="1"/>
    </xf>
    <xf numFmtId="0" fontId="0" fillId="0" borderId="4" xfId="0" applyFont="1" applyFill="1" applyBorder="1" applyAlignment="1">
      <alignment horizontal="center" vertical="center" wrapText="1"/>
    </xf>
    <xf numFmtId="43" fontId="11" fillId="0" borderId="4" xfId="120" applyFont="1" applyFill="1" applyBorder="1" applyAlignment="1">
      <alignment horizontal="right" vertical="center" wrapText="1"/>
    </xf>
    <xf numFmtId="43" fontId="11" fillId="0" borderId="4" xfId="120" applyFont="1" applyFill="1" applyBorder="1" applyAlignment="1">
      <alignment horizontal="right" vertical="center"/>
    </xf>
    <xf numFmtId="43" fontId="12" fillId="0" borderId="4" xfId="120" applyFont="1" applyFill="1" applyBorder="1" applyAlignment="1">
      <alignment horizontal="center" vertical="center" wrapText="1"/>
    </xf>
    <xf numFmtId="9" fontId="11" fillId="0" borderId="4" xfId="59" applyFont="1" applyFill="1" applyBorder="1" applyAlignment="1">
      <alignment horizontal="center" vertical="center" wrapText="1"/>
    </xf>
    <xf numFmtId="9" fontId="12" fillId="0" borderId="4" xfId="59" applyFont="1" applyFill="1" applyBorder="1" applyAlignment="1">
      <alignment horizontal="center" vertical="center" wrapText="1"/>
    </xf>
    <xf numFmtId="43" fontId="12" fillId="0" borderId="11" xfId="120" applyFont="1" applyFill="1" applyBorder="1" applyAlignment="1">
      <alignment horizontal="center" vertical="center" wrapText="1"/>
    </xf>
    <xf numFmtId="43" fontId="11" fillId="0" borderId="11" xfId="120" applyFont="1" applyFill="1" applyBorder="1" applyAlignment="1">
      <alignment horizontal="center" vertical="center" wrapText="1"/>
    </xf>
    <xf numFmtId="43" fontId="12" fillId="0" borderId="4" xfId="120" applyFont="1" applyFill="1" applyBorder="1" applyAlignment="1">
      <alignment horizontal="right" vertical="center" wrapText="1"/>
    </xf>
    <xf numFmtId="43" fontId="12" fillId="0" borderId="4" xfId="120" applyFont="1" applyFill="1" applyBorder="1" applyAlignment="1">
      <alignment horizontal="right" vertical="center"/>
    </xf>
    <xf numFmtId="164" fontId="0" fillId="0" borderId="15" xfId="0" applyNumberFormat="1" applyFont="1" applyFill="1" applyBorder="1" applyAlignment="1">
      <alignment horizontal="left" vertical="center" wrapText="1"/>
    </xf>
    <xf numFmtId="0" fontId="0" fillId="0" borderId="15" xfId="0" applyFont="1" applyFill="1" applyBorder="1" applyAlignment="1">
      <alignment horizontal="center" vertical="center" wrapText="1"/>
    </xf>
    <xf numFmtId="0" fontId="0" fillId="0" borderId="15" xfId="0" applyFont="1" applyFill="1" applyBorder="1" applyAlignment="1">
      <alignment vertical="center"/>
    </xf>
    <xf numFmtId="43" fontId="11" fillId="0" borderId="15" xfId="120" applyFont="1" applyFill="1" applyBorder="1" applyAlignment="1">
      <alignment horizontal="center" vertical="center"/>
    </xf>
    <xf numFmtId="0" fontId="0" fillId="0" borderId="15" xfId="0" applyFont="1" applyFill="1" applyBorder="1" applyAlignment="1">
      <alignment horizontal="center" vertical="center"/>
    </xf>
    <xf numFmtId="43" fontId="11" fillId="0" borderId="15" xfId="120" applyFont="1" applyFill="1" applyBorder="1" applyAlignment="1">
      <alignment horizontal="right" vertical="center"/>
    </xf>
    <xf numFmtId="43" fontId="11" fillId="33" borderId="15" xfId="120" applyFont="1" applyFill="1" applyBorder="1" applyAlignment="1">
      <alignment horizontal="right" vertical="center"/>
    </xf>
    <xf numFmtId="43" fontId="11" fillId="0" borderId="15" xfId="120" applyFont="1" applyFill="1" applyBorder="1" applyAlignment="1">
      <alignment horizontal="center" vertical="center" wrapText="1"/>
    </xf>
    <xf numFmtId="43" fontId="12" fillId="0" borderId="15" xfId="120" applyFont="1" applyFill="1" applyBorder="1" applyAlignment="1">
      <alignment horizontal="center" vertical="center" wrapText="1"/>
    </xf>
    <xf numFmtId="43" fontId="12" fillId="0" borderId="0" xfId="120" applyFont="1" applyFill="1" applyBorder="1" applyAlignment="1">
      <alignment horizontal="center" vertical="center" wrapText="1"/>
    </xf>
    <xf numFmtId="164" fontId="0" fillId="0" borderId="0" xfId="0" applyNumberFormat="1" applyFont="1" applyFill="1" applyBorder="1" applyAlignment="1">
      <alignment horizontal="left" vertical="center" wrapText="1"/>
    </xf>
    <xf numFmtId="0" fontId="0" fillId="5" borderId="0" xfId="0" applyFont="1" applyFill="1" applyBorder="1" applyAlignment="1">
      <alignment horizontal="center" vertical="center" wrapText="1"/>
    </xf>
    <xf numFmtId="0" fontId="0" fillId="5" borderId="0" xfId="0" applyFont="1" applyFill="1" applyBorder="1" applyAlignment="1">
      <alignment horizontal="center" vertical="center"/>
    </xf>
    <xf numFmtId="43" fontId="0" fillId="5" borderId="0" xfId="120" applyFont="1" applyFill="1" applyBorder="1" applyAlignment="1">
      <alignment horizontal="right" vertical="center"/>
    </xf>
    <xf numFmtId="43" fontId="0" fillId="5" borderId="0" xfId="120" applyFont="1" applyFill="1" applyBorder="1" applyAlignment="1">
      <alignment horizontal="center" vertical="center"/>
    </xf>
    <xf numFmtId="43" fontId="12" fillId="5" borderId="0" xfId="120" applyFont="1" applyFill="1" applyBorder="1" applyAlignment="1">
      <alignment horizontal="center" vertical="center" wrapText="1"/>
    </xf>
    <xf numFmtId="43" fontId="11" fillId="5" borderId="0" xfId="120" applyFont="1" applyFill="1" applyBorder="1" applyAlignment="1">
      <alignment horizontal="center" vertical="center" wrapText="1"/>
    </xf>
    <xf numFmtId="43" fontId="0" fillId="5" borderId="0" xfId="120" applyFont="1" applyFill="1" applyBorder="1" applyAlignment="1">
      <alignment vertical="center"/>
    </xf>
    <xf numFmtId="43" fontId="0" fillId="5" borderId="0" xfId="120" applyFont="1" applyFill="1" applyBorder="1" applyAlignment="1">
      <alignment horizontal="center" vertical="center" wrapText="1"/>
    </xf>
    <xf numFmtId="43" fontId="12" fillId="5" borderId="0" xfId="120" applyFont="1" applyFill="1" applyBorder="1" applyAlignment="1">
      <alignment vertical="center" wrapText="1"/>
    </xf>
    <xf numFmtId="164" fontId="0" fillId="0" borderId="0" xfId="0" applyNumberFormat="1" applyFont="1" applyFill="1" applyBorder="1" applyAlignment="1">
      <alignment horizontal="left" vertical="center"/>
    </xf>
    <xf numFmtId="164" fontId="0" fillId="0" borderId="0" xfId="0" applyNumberFormat="1" applyFont="1" applyBorder="1" applyAlignment="1">
      <alignment vertical="center"/>
    </xf>
    <xf numFmtId="0" fontId="10" fillId="0" borderId="0" xfId="0" applyFont="1" applyBorder="1" applyAlignment="1">
      <alignment vertical="center"/>
    </xf>
    <xf numFmtId="43" fontId="10" fillId="0" borderId="0" xfId="120" applyFont="1" applyBorder="1" applyAlignment="1">
      <alignment horizontal="right" vertical="center"/>
    </xf>
    <xf numFmtId="43" fontId="10" fillId="0" borderId="0" xfId="120" applyFont="1" applyBorder="1" applyAlignment="1">
      <alignment vertical="center"/>
    </xf>
    <xf numFmtId="43" fontId="10" fillId="0" borderId="0" xfId="120" applyFont="1" applyBorder="1" applyAlignment="1">
      <alignment horizontal="left" vertical="center"/>
    </xf>
    <xf numFmtId="43" fontId="0" fillId="5" borderId="11" xfId="120" applyFont="1" applyFill="1" applyBorder="1" applyAlignment="1">
      <alignment horizontal="center" vertical="center"/>
    </xf>
    <xf numFmtId="164" fontId="10" fillId="0" borderId="4" xfId="122" applyFont="1" applyFill="1" applyBorder="1"/>
    <xf numFmtId="43" fontId="14" fillId="8" borderId="4" xfId="124" applyFont="1" applyFill="1" applyBorder="1" applyAlignment="1">
      <alignment horizontal="center" vertical="center" wrapText="1"/>
    </xf>
    <xf numFmtId="0" fontId="22" fillId="8" borderId="4" xfId="0" applyFont="1" applyFill="1" applyBorder="1" applyAlignment="1">
      <alignment horizontal="center"/>
    </xf>
    <xf numFmtId="0" fontId="16" fillId="8" borderId="4" xfId="0" applyFont="1" applyFill="1" applyBorder="1" applyAlignment="1">
      <alignment horizontal="center"/>
    </xf>
    <xf numFmtId="0" fontId="10" fillId="8" borderId="4" xfId="0" applyFont="1" applyFill="1" applyBorder="1" applyAlignment="1">
      <alignment horizontal="center" wrapText="1"/>
    </xf>
    <xf numFmtId="43" fontId="16" fillId="8" borderId="4" xfId="124" applyFont="1" applyFill="1" applyBorder="1" applyAlignment="1">
      <alignment horizontal="right"/>
    </xf>
    <xf numFmtId="0" fontId="14" fillId="34" borderId="4" xfId="0" applyFont="1" applyFill="1" applyBorder="1" applyAlignment="1">
      <alignment horizontal="center" wrapText="1"/>
    </xf>
    <xf numFmtId="164" fontId="14" fillId="34" borderId="4" xfId="122" applyFont="1" applyFill="1" applyBorder="1" applyAlignment="1">
      <alignment horizontal="center" wrapText="1"/>
    </xf>
    <xf numFmtId="164" fontId="10" fillId="34" borderId="4" xfId="122" applyFont="1" applyFill="1" applyBorder="1"/>
    <xf numFmtId="164" fontId="10" fillId="26" borderId="4" xfId="122" applyFont="1" applyFill="1" applyBorder="1"/>
    <xf numFmtId="43" fontId="10" fillId="35" borderId="12" xfId="124" applyFont="1" applyFill="1" applyBorder="1" applyAlignment="1">
      <alignment horizontal="right"/>
    </xf>
    <xf numFmtId="164" fontId="10" fillId="35" borderId="4" xfId="122" applyFont="1" applyFill="1" applyBorder="1"/>
    <xf numFmtId="0" fontId="10" fillId="34" borderId="4" xfId="0" applyFont="1" applyFill="1" applyBorder="1" applyAlignment="1">
      <alignment horizontal="left"/>
    </xf>
    <xf numFmtId="164" fontId="10" fillId="34" borderId="4" xfId="122" applyFont="1" applyFill="1" applyBorder="1" applyAlignment="1">
      <alignment horizontal="left"/>
    </xf>
    <xf numFmtId="164" fontId="10" fillId="0" borderId="4" xfId="122" applyFont="1" applyBorder="1" applyAlignment="1">
      <alignment horizontal="left"/>
    </xf>
    <xf numFmtId="164" fontId="10" fillId="0" borderId="4" xfId="122" applyFont="1" applyBorder="1"/>
    <xf numFmtId="164" fontId="10" fillId="35" borderId="12" xfId="122" applyFont="1" applyFill="1" applyBorder="1"/>
    <xf numFmtId="0" fontId="14" fillId="35" borderId="4" xfId="0" applyFont="1" applyFill="1" applyBorder="1" applyAlignment="1">
      <alignment horizontal="left"/>
    </xf>
    <xf numFmtId="164" fontId="10" fillId="35" borderId="4" xfId="122" applyFont="1" applyFill="1" applyBorder="1" applyAlignment="1">
      <alignment horizontal="left"/>
    </xf>
    <xf numFmtId="43" fontId="10" fillId="35" borderId="4" xfId="124" applyFont="1" applyFill="1" applyBorder="1" applyAlignment="1">
      <alignment horizontal="right"/>
    </xf>
    <xf numFmtId="43" fontId="10" fillId="0" borderId="4" xfId="124" applyFont="1" applyBorder="1" applyAlignment="1">
      <alignment horizontal="right"/>
    </xf>
    <xf numFmtId="0" fontId="14" fillId="34" borderId="4" xfId="0" applyFont="1" applyFill="1" applyBorder="1" applyAlignment="1">
      <alignment horizontal="left"/>
    </xf>
    <xf numFmtId="0" fontId="14" fillId="0" borderId="4" xfId="0" applyFont="1" applyFill="1" applyBorder="1" applyAlignment="1">
      <alignment horizontal="center" wrapText="1"/>
    </xf>
    <xf numFmtId="164" fontId="14" fillId="0" borderId="4" xfId="122" applyFont="1" applyFill="1" applyBorder="1" applyAlignment="1">
      <alignment horizontal="center" wrapText="1"/>
    </xf>
    <xf numFmtId="43" fontId="10" fillId="0" borderId="4" xfId="124" applyFont="1" applyFill="1" applyBorder="1" applyAlignment="1">
      <alignment horizontal="right" wrapText="1"/>
    </xf>
    <xf numFmtId="164" fontId="10" fillId="0" borderId="4" xfId="122" applyFont="1" applyFill="1" applyBorder="1" applyAlignment="1">
      <alignment horizontal="left"/>
    </xf>
    <xf numFmtId="164" fontId="10" fillId="0" borderId="12" xfId="122" applyFont="1" applyFill="1" applyBorder="1"/>
    <xf numFmtId="43" fontId="14" fillId="0" borderId="4" xfId="124" applyFont="1" applyFill="1" applyBorder="1" applyAlignment="1">
      <alignment horizontal="right"/>
    </xf>
    <xf numFmtId="43" fontId="10" fillId="0" borderId="4" xfId="124" applyFont="1" applyFill="1" applyBorder="1" applyAlignment="1">
      <alignment horizontal="right"/>
    </xf>
    <xf numFmtId="0" fontId="14" fillId="5" borderId="4" xfId="0" applyFont="1" applyFill="1" applyBorder="1" applyAlignment="1">
      <alignment horizontal="center" wrapText="1"/>
    </xf>
    <xf numFmtId="164" fontId="14" fillId="5" borderId="4" xfId="122" applyFont="1" applyFill="1" applyBorder="1" applyAlignment="1">
      <alignment horizontal="center" wrapText="1"/>
    </xf>
    <xf numFmtId="164" fontId="10" fillId="5" borderId="4" xfId="122" applyFont="1" applyFill="1" applyBorder="1"/>
    <xf numFmtId="43" fontId="10" fillId="5" borderId="4" xfId="124" applyFont="1" applyFill="1" applyBorder="1" applyAlignment="1">
      <alignment vertical="center" wrapText="1"/>
    </xf>
    <xf numFmtId="164" fontId="10" fillId="5" borderId="4" xfId="122" applyFont="1" applyFill="1" applyBorder="1" applyAlignment="1">
      <alignment horizontal="left"/>
    </xf>
    <xf numFmtId="43" fontId="14" fillId="5" borderId="4" xfId="124" applyFont="1" applyFill="1" applyBorder="1" applyAlignment="1">
      <alignment horizontal="right"/>
    </xf>
    <xf numFmtId="43" fontId="10" fillId="5" borderId="4" xfId="124" applyFont="1" applyFill="1" applyBorder="1" applyAlignment="1">
      <alignment horizontal="right"/>
    </xf>
    <xf numFmtId="43" fontId="10" fillId="5" borderId="4" xfId="124" applyFont="1" applyFill="1" applyBorder="1" applyAlignment="1">
      <alignment horizontal="right" wrapText="1"/>
    </xf>
    <xf numFmtId="164" fontId="14" fillId="33" borderId="4" xfId="122" applyFont="1" applyFill="1" applyBorder="1" applyAlignment="1">
      <alignment horizontal="center" wrapText="1"/>
    </xf>
    <xf numFmtId="164" fontId="10" fillId="33" borderId="4" xfId="122" applyFont="1" applyFill="1" applyBorder="1"/>
    <xf numFmtId="43" fontId="10" fillId="33" borderId="4" xfId="124" applyFont="1" applyFill="1" applyBorder="1" applyAlignment="1">
      <alignment horizontal="right" wrapText="1"/>
    </xf>
    <xf numFmtId="164" fontId="10" fillId="33" borderId="4" xfId="122" applyFont="1" applyFill="1" applyBorder="1" applyAlignment="1">
      <alignment horizontal="left"/>
    </xf>
    <xf numFmtId="43" fontId="10" fillId="33" borderId="12" xfId="124" applyFont="1" applyFill="1" applyBorder="1" applyAlignment="1">
      <alignment horizontal="right"/>
    </xf>
    <xf numFmtId="43" fontId="14" fillId="33" borderId="4" xfId="124" applyFont="1" applyFill="1" applyBorder="1" applyAlignment="1">
      <alignment horizontal="right"/>
    </xf>
    <xf numFmtId="43" fontId="10" fillId="0" borderId="0" xfId="124" applyFont="1" applyFill="1" applyBorder="1" applyAlignment="1">
      <alignment horizontal="right"/>
    </xf>
    <xf numFmtId="164" fontId="14" fillId="33" borderId="4" xfId="122" applyFont="1" applyFill="1" applyBorder="1"/>
    <xf numFmtId="43" fontId="10" fillId="0" borderId="0" xfId="124" applyFont="1" applyFill="1" applyAlignment="1">
      <alignment horizontal="right"/>
    </xf>
    <xf numFmtId="43" fontId="14" fillId="0" borderId="0" xfId="124" applyFont="1" applyAlignment="1">
      <alignment horizontal="right"/>
    </xf>
    <xf numFmtId="43" fontId="10" fillId="0" borderId="0" xfId="124" applyFont="1" applyAlignment="1">
      <alignment horizontal="right"/>
    </xf>
    <xf numFmtId="0" fontId="13" fillId="8" borderId="0" xfId="0" applyFont="1" applyFill="1" applyAlignment="1">
      <alignment wrapText="1"/>
    </xf>
    <xf numFmtId="0" fontId="14" fillId="8" borderId="0" xfId="0" applyFont="1" applyFill="1" applyAlignment="1">
      <alignment horizontal="center"/>
    </xf>
    <xf numFmtId="0" fontId="14" fillId="8" borderId="3" xfId="0" applyFont="1" applyFill="1" applyBorder="1" applyAlignment="1">
      <alignment vertical="center"/>
    </xf>
    <xf numFmtId="0" fontId="16" fillId="5" borderId="4" xfId="0" applyFont="1" applyFill="1" applyBorder="1" applyAlignment="1">
      <alignment horizontal="center"/>
    </xf>
    <xf numFmtId="0" fontId="16" fillId="5" borderId="4" xfId="0" applyFont="1" applyFill="1" applyBorder="1" applyAlignment="1">
      <alignment horizontal="center" wrapText="1"/>
    </xf>
    <xf numFmtId="0" fontId="10" fillId="33" borderId="4" xfId="0" applyFont="1" applyFill="1" applyBorder="1"/>
    <xf numFmtId="0" fontId="10" fillId="33" borderId="4" xfId="0" applyFont="1" applyFill="1" applyBorder="1" applyAlignment="1">
      <alignment wrapText="1"/>
    </xf>
    <xf numFmtId="43" fontId="10" fillId="33" borderId="4" xfId="124" applyFont="1" applyFill="1" applyBorder="1"/>
    <xf numFmtId="164" fontId="10" fillId="5" borderId="24" xfId="119" applyFont="1" applyFill="1" applyBorder="1" applyAlignment="1">
      <alignment horizontal="center"/>
    </xf>
    <xf numFmtId="164" fontId="10" fillId="33" borderId="24" xfId="119" applyFont="1" applyFill="1" applyBorder="1" applyAlignment="1">
      <alignment horizontal="center"/>
    </xf>
    <xf numFmtId="164" fontId="14" fillId="33" borderId="24" xfId="119" applyFont="1" applyFill="1" applyBorder="1" applyAlignment="1">
      <alignment horizontal="center"/>
    </xf>
    <xf numFmtId="164" fontId="14" fillId="33" borderId="24" xfId="119" applyFont="1" applyFill="1" applyBorder="1" applyAlignment="1">
      <alignment horizontal="center" wrapText="1"/>
    </xf>
    <xf numFmtId="43" fontId="14" fillId="33" borderId="24" xfId="124" applyFont="1" applyFill="1" applyBorder="1" applyAlignment="1">
      <alignment horizontal="center"/>
    </xf>
    <xf numFmtId="164" fontId="14" fillId="5" borderId="24" xfId="119" applyFont="1" applyFill="1" applyBorder="1" applyAlignment="1">
      <alignment horizontal="center"/>
    </xf>
    <xf numFmtId="0" fontId="10" fillId="33" borderId="24" xfId="0" applyFont="1" applyFill="1" applyBorder="1"/>
    <xf numFmtId="0" fontId="10" fillId="33" borderId="24" xfId="0" applyFont="1" applyFill="1" applyBorder="1" applyAlignment="1">
      <alignment wrapText="1"/>
    </xf>
    <xf numFmtId="43" fontId="10" fillId="33" borderId="24" xfId="124" applyFont="1" applyFill="1" applyBorder="1"/>
    <xf numFmtId="0" fontId="10" fillId="5" borderId="24" xfId="0" applyFont="1" applyFill="1" applyBorder="1"/>
    <xf numFmtId="0" fontId="14" fillId="0" borderId="6" xfId="0" applyFont="1" applyBorder="1" applyAlignment="1">
      <alignment horizontal="left" wrapText="1"/>
    </xf>
    <xf numFmtId="164" fontId="14" fillId="33" borderId="24" xfId="0" applyNumberFormat="1" applyFont="1" applyFill="1" applyBorder="1"/>
    <xf numFmtId="164" fontId="14" fillId="33" borderId="24" xfId="0" applyNumberFormat="1" applyFont="1" applyFill="1" applyBorder="1" applyAlignment="1">
      <alignment wrapText="1"/>
    </xf>
    <xf numFmtId="164" fontId="14" fillId="5" borderId="24" xfId="0" applyNumberFormat="1" applyFont="1" applyFill="1" applyBorder="1"/>
    <xf numFmtId="0" fontId="14" fillId="28" borderId="4" xfId="18" applyFont="1" applyFill="1" applyBorder="1" applyAlignment="1">
      <alignment vertical="center"/>
    </xf>
    <xf numFmtId="0" fontId="14" fillId="28" borderId="4" xfId="0" applyFont="1" applyFill="1" applyBorder="1" applyAlignment="1">
      <alignment horizontal="center" vertical="center" wrapText="1"/>
    </xf>
    <xf numFmtId="0" fontId="10" fillId="0" borderId="10" xfId="0" applyFont="1" applyBorder="1" applyAlignment="1">
      <alignment horizontal="left" vertical="center"/>
    </xf>
    <xf numFmtId="180" fontId="10" fillId="0" borderId="4" xfId="122" applyNumberFormat="1" applyFont="1" applyBorder="1" applyAlignment="1">
      <alignment vertical="center"/>
    </xf>
    <xf numFmtId="180" fontId="10" fillId="29" borderId="4" xfId="122" applyNumberFormat="1" applyFont="1" applyFill="1" applyBorder="1" applyAlignment="1">
      <alignment vertical="center"/>
    </xf>
    <xf numFmtId="180" fontId="10" fillId="29" borderId="0" xfId="122" applyNumberFormat="1" applyFont="1" applyFill="1" applyAlignment="1">
      <alignment vertical="center"/>
    </xf>
    <xf numFmtId="0" fontId="10" fillId="0" borderId="5" xfId="0" applyFont="1" applyBorder="1" applyAlignment="1">
      <alignment horizontal="left" vertical="center"/>
    </xf>
    <xf numFmtId="180" fontId="10" fillId="5" borderId="4" xfId="122" applyNumberFormat="1" applyFont="1" applyFill="1" applyBorder="1" applyAlignment="1">
      <alignment vertical="center"/>
    </xf>
    <xf numFmtId="180" fontId="14" fillId="5" borderId="4" xfId="122" applyNumberFormat="1" applyFont="1" applyFill="1" applyBorder="1" applyAlignment="1">
      <alignment vertical="center"/>
    </xf>
    <xf numFmtId="180" fontId="14" fillId="29" borderId="4" xfId="122" applyNumberFormat="1" applyFont="1" applyFill="1" applyBorder="1" applyAlignment="1">
      <alignment vertical="center"/>
    </xf>
    <xf numFmtId="180" fontId="14" fillId="0" borderId="4" xfId="122" applyNumberFormat="1" applyFont="1" applyBorder="1" applyAlignment="1">
      <alignment vertical="center"/>
    </xf>
    <xf numFmtId="10" fontId="10" fillId="0" borderId="0" xfId="59" applyNumberFormat="1" applyFont="1"/>
    <xf numFmtId="0" fontId="121" fillId="36" borderId="4" xfId="0" applyFont="1" applyFill="1" applyBorder="1" applyAlignment="1">
      <alignment horizontal="center" vertical="center"/>
    </xf>
    <xf numFmtId="0" fontId="121" fillId="36" borderId="4" xfId="0" applyFont="1" applyFill="1" applyBorder="1" applyAlignment="1">
      <alignment horizontal="center" vertical="center" wrapText="1"/>
    </xf>
    <xf numFmtId="0" fontId="113" fillId="0" borderId="4" xfId="0" applyFont="1" applyBorder="1"/>
    <xf numFmtId="4" fontId="122" fillId="0" borderId="4" xfId="0" applyNumberFormat="1" applyFont="1" applyFill="1" applyBorder="1" applyAlignment="1">
      <alignment horizontal="right" vertical="center"/>
    </xf>
    <xf numFmtId="0" fontId="113" fillId="19" borderId="4" xfId="0" applyFont="1" applyFill="1" applyBorder="1"/>
    <xf numFmtId="4" fontId="0" fillId="19" borderId="0" xfId="0" applyNumberFormat="1" applyFill="1"/>
    <xf numFmtId="0" fontId="123" fillId="0" borderId="4" xfId="0" applyFont="1" applyFill="1" applyBorder="1" applyAlignment="1">
      <alignment horizontal="center" vertical="center"/>
    </xf>
    <xf numFmtId="2" fontId="122" fillId="0" borderId="4" xfId="0" applyNumberFormat="1" applyFont="1" applyFill="1" applyBorder="1" applyAlignment="1">
      <alignment horizontal="right" vertical="center"/>
    </xf>
    <xf numFmtId="43" fontId="107" fillId="0" borderId="4" xfId="120" applyFont="1" applyFill="1" applyBorder="1" applyAlignment="1">
      <alignment vertical="center"/>
    </xf>
    <xf numFmtId="0" fontId="122" fillId="0" borderId="4" xfId="0" applyFont="1" applyBorder="1" applyAlignment="1">
      <alignment vertical="center" wrapText="1"/>
    </xf>
    <xf numFmtId="2" fontId="122" fillId="0" borderId="4" xfId="0" applyNumberFormat="1" applyFont="1" applyBorder="1" applyAlignment="1">
      <alignment horizontal="right" vertical="center"/>
    </xf>
    <xf numFmtId="0" fontId="113" fillId="0" borderId="4" xfId="0" applyFont="1" applyFill="1" applyBorder="1"/>
    <xf numFmtId="4" fontId="113" fillId="0" borderId="4" xfId="0" applyNumberFormat="1" applyFont="1" applyFill="1" applyBorder="1"/>
    <xf numFmtId="0" fontId="123" fillId="0" borderId="4" xfId="0" applyFont="1" applyFill="1" applyBorder="1" applyAlignment="1">
      <alignment vertical="center" wrapText="1"/>
    </xf>
    <xf numFmtId="0" fontId="13" fillId="4" borderId="0" xfId="0" applyFont="1" applyFill="1" applyAlignment="1">
      <alignment horizontal="center" vertical="center"/>
    </xf>
    <xf numFmtId="0" fontId="0" fillId="0" borderId="4" xfId="0" applyFill="1" applyBorder="1" applyAlignment="1">
      <alignment vertical="center"/>
    </xf>
    <xf numFmtId="43" fontId="0" fillId="0" borderId="0" xfId="124" applyFont="1" applyFill="1" applyAlignment="1">
      <alignment horizontal="center" vertical="center"/>
    </xf>
    <xf numFmtId="0" fontId="26" fillId="0" borderId="0" xfId="0" applyFont="1" applyFill="1" applyAlignment="1">
      <alignment horizontal="left"/>
    </xf>
    <xf numFmtId="0" fontId="26" fillId="0" borderId="0" xfId="0" applyFont="1" applyFill="1" applyAlignment="1">
      <alignment horizontal="center" vertical="center"/>
    </xf>
    <xf numFmtId="43" fontId="26" fillId="0" borderId="0" xfId="124" applyFont="1" applyFill="1" applyAlignment="1">
      <alignment horizontal="center" vertical="center"/>
    </xf>
    <xf numFmtId="0" fontId="26" fillId="0" borderId="0" xfId="0" applyFont="1" applyFill="1"/>
    <xf numFmtId="0" fontId="0" fillId="0" borderId="0" xfId="0" applyFill="1" applyAlignment="1">
      <alignment horizontal="left"/>
    </xf>
    <xf numFmtId="0" fontId="87" fillId="0" borderId="4" xfId="0" applyFont="1" applyFill="1" applyBorder="1" applyAlignment="1">
      <alignment horizontal="center" vertical="center" wrapText="1"/>
    </xf>
    <xf numFmtId="43" fontId="11" fillId="0" borderId="4" xfId="124" applyFont="1" applyFill="1" applyBorder="1" applyAlignment="1">
      <alignment horizontal="center" vertical="center" wrapText="1"/>
    </xf>
    <xf numFmtId="0" fontId="114" fillId="0" borderId="4" xfId="0" applyFont="1" applyFill="1" applyBorder="1" applyAlignment="1" applyProtection="1">
      <alignment horizontal="left" vertical="center" wrapText="1"/>
      <protection locked="0"/>
    </xf>
    <xf numFmtId="0" fontId="0" fillId="0" borderId="4" xfId="0" applyFill="1" applyBorder="1" applyAlignment="1" applyProtection="1">
      <alignment horizontal="center" vertical="center"/>
      <protection locked="0"/>
    </xf>
    <xf numFmtId="0" fontId="0" fillId="0" borderId="4" xfId="0" applyFill="1" applyBorder="1" applyAlignment="1" applyProtection="1">
      <alignment horizontal="center" vertical="center" wrapText="1"/>
      <protection locked="0"/>
    </xf>
    <xf numFmtId="0" fontId="114" fillId="0" borderId="4" xfId="0" applyFont="1" applyFill="1" applyBorder="1" applyAlignment="1" applyProtection="1">
      <alignment horizontal="center" vertical="center" wrapText="1"/>
      <protection locked="0"/>
    </xf>
    <xf numFmtId="0" fontId="124" fillId="0" borderId="4" xfId="0" applyFont="1" applyFill="1" applyBorder="1" applyAlignment="1" applyProtection="1">
      <alignment horizontal="center" vertical="center" wrapText="1"/>
      <protection locked="0"/>
    </xf>
    <xf numFmtId="0" fontId="124" fillId="0" borderId="4" xfId="0" applyFont="1" applyFill="1" applyBorder="1" applyAlignment="1" applyProtection="1">
      <alignment horizontal="left" vertical="center" wrapText="1"/>
      <protection locked="0"/>
    </xf>
    <xf numFmtId="0" fontId="111" fillId="0" borderId="4" xfId="0" applyFont="1" applyFill="1" applyBorder="1" applyAlignment="1" applyProtection="1">
      <alignment horizontal="center" vertical="center" wrapText="1"/>
      <protection locked="0"/>
    </xf>
    <xf numFmtId="14" fontId="114" fillId="0" borderId="4" xfId="0" applyNumberFormat="1" applyFont="1" applyFill="1" applyBorder="1" applyAlignment="1" applyProtection="1">
      <alignment horizontal="center" vertical="center" wrapText="1"/>
      <protection locked="0"/>
    </xf>
    <xf numFmtId="0" fontId="111" fillId="0" borderId="4" xfId="0" applyFont="1" applyFill="1" applyBorder="1" applyAlignment="1" applyProtection="1">
      <alignment horizontal="left" vertical="center" wrapText="1"/>
      <protection locked="0"/>
    </xf>
    <xf numFmtId="0" fontId="0" fillId="0" borderId="0" xfId="0" applyFill="1" applyAlignment="1" applyProtection="1">
      <alignment horizontal="center" vertical="center"/>
      <protection locked="0"/>
    </xf>
    <xf numFmtId="0" fontId="0" fillId="0" borderId="6" xfId="0" applyFill="1" applyBorder="1" applyAlignment="1" applyProtection="1">
      <alignment horizontal="center" vertical="center"/>
      <protection locked="0"/>
    </xf>
    <xf numFmtId="43" fontId="0" fillId="0" borderId="4" xfId="124" applyFont="1" applyFill="1" applyBorder="1" applyAlignment="1" applyProtection="1">
      <alignment horizontal="center" vertical="center" wrapText="1"/>
      <protection locked="0"/>
    </xf>
    <xf numFmtId="43" fontId="0" fillId="0" borderId="4" xfId="124" applyFont="1" applyFill="1" applyBorder="1" applyAlignment="1" applyProtection="1">
      <alignment horizontal="center" vertical="center"/>
      <protection locked="0"/>
    </xf>
    <xf numFmtId="0" fontId="0" fillId="0" borderId="4" xfId="0" applyFill="1" applyBorder="1" applyAlignment="1" applyProtection="1">
      <alignment horizontal="left" vertical="center"/>
      <protection locked="0"/>
    </xf>
    <xf numFmtId="0" fontId="0" fillId="0" borderId="4" xfId="0" applyFill="1" applyBorder="1" applyAlignment="1">
      <alignment wrapText="1"/>
    </xf>
    <xf numFmtId="0" fontId="125" fillId="0" borderId="4" xfId="0" applyFont="1" applyFill="1" applyBorder="1" applyAlignment="1" applyProtection="1">
      <alignment horizontal="center" vertical="center" wrapText="1"/>
      <protection locked="0"/>
    </xf>
    <xf numFmtId="2" fontId="114" fillId="0" borderId="4" xfId="0" applyNumberFormat="1" applyFont="1" applyFill="1" applyBorder="1" applyAlignment="1" applyProtection="1">
      <alignment horizontal="center" vertical="center" wrapText="1"/>
      <protection locked="0"/>
    </xf>
    <xf numFmtId="0" fontId="114" fillId="0" borderId="4" xfId="0" applyFont="1" applyFill="1" applyBorder="1" applyAlignment="1" applyProtection="1">
      <alignment horizontal="left"/>
      <protection locked="0"/>
    </xf>
    <xf numFmtId="0" fontId="114" fillId="0" borderId="4" xfId="0" applyFont="1" applyFill="1" applyBorder="1" applyAlignment="1" applyProtection="1">
      <alignment horizontal="center" vertical="center"/>
      <protection locked="0"/>
    </xf>
    <xf numFmtId="0" fontId="114" fillId="0" borderId="4" xfId="0" applyFont="1" applyFill="1" applyBorder="1" applyAlignment="1" applyProtection="1">
      <alignment vertical="center" wrapText="1"/>
      <protection locked="0"/>
    </xf>
    <xf numFmtId="0" fontId="0" fillId="0" borderId="4" xfId="0" applyFill="1" applyBorder="1" applyAlignment="1" applyProtection="1">
      <alignment vertical="center"/>
      <protection locked="0"/>
    </xf>
    <xf numFmtId="0" fontId="125" fillId="0" borderId="4" xfId="0" applyFont="1" applyFill="1" applyBorder="1" applyAlignment="1" applyProtection="1">
      <alignment horizontal="left" vertical="center" wrapText="1"/>
      <protection locked="0"/>
    </xf>
    <xf numFmtId="0" fontId="126" fillId="0" borderId="4" xfId="0" applyFont="1" applyFill="1" applyBorder="1" applyAlignment="1" applyProtection="1">
      <alignment horizontal="left" vertical="center" wrapText="1"/>
      <protection locked="0"/>
    </xf>
    <xf numFmtId="0" fontId="126" fillId="0" borderId="4" xfId="0" applyFont="1" applyFill="1" applyBorder="1" applyAlignment="1" applyProtection="1">
      <alignment horizontal="center" vertical="center" wrapText="1"/>
      <protection locked="0"/>
    </xf>
    <xf numFmtId="0" fontId="114" fillId="0" borderId="4" xfId="0" applyFont="1" applyFill="1" applyBorder="1" applyAlignment="1" applyProtection="1">
      <alignment horizontal="left" vertical="center"/>
      <protection locked="0"/>
    </xf>
    <xf numFmtId="0" fontId="0" fillId="0" borderId="7" xfId="0" applyFill="1" applyBorder="1" applyAlignment="1" applyProtection="1">
      <alignment horizontal="center" vertical="center" wrapText="1"/>
      <protection locked="0"/>
    </xf>
    <xf numFmtId="0" fontId="0" fillId="0" borderId="7" xfId="0" applyFill="1" applyBorder="1" applyAlignment="1" applyProtection="1">
      <alignment horizontal="center" vertical="center"/>
      <protection locked="0"/>
    </xf>
    <xf numFmtId="0" fontId="125" fillId="0" borderId="7" xfId="0" applyFont="1" applyFill="1" applyBorder="1" applyAlignment="1" applyProtection="1">
      <alignment horizontal="center" vertical="center" wrapText="1"/>
      <protection locked="0"/>
    </xf>
    <xf numFmtId="0" fontId="114" fillId="0" borderId="7" xfId="0" applyFont="1" applyFill="1" applyBorder="1" applyAlignment="1" applyProtection="1">
      <alignment horizontal="center" vertical="center" wrapText="1"/>
      <protection locked="0"/>
    </xf>
    <xf numFmtId="43" fontId="0" fillId="0" borderId="0" xfId="124" applyFont="1" applyFill="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vertical="top" wrapText="1"/>
    </xf>
    <xf numFmtId="0" fontId="24" fillId="0" borderId="0" xfId="0" applyFont="1"/>
    <xf numFmtId="0" fontId="26" fillId="8" borderId="0" xfId="0" applyFont="1" applyFill="1"/>
    <xf numFmtId="0" fontId="26" fillId="8" borderId="0" xfId="0" applyFont="1" applyFill="1" applyAlignment="1">
      <alignment horizontal="center" vertical="center" wrapText="1"/>
    </xf>
    <xf numFmtId="0" fontId="26" fillId="8" borderId="0" xfId="0" applyFont="1" applyFill="1" applyAlignment="1">
      <alignment vertical="top" wrapText="1"/>
    </xf>
    <xf numFmtId="0" fontId="11" fillId="8" borderId="4" xfId="0" applyFont="1" applyFill="1" applyBorder="1" applyAlignment="1">
      <alignment vertical="top" wrapText="1"/>
    </xf>
    <xf numFmtId="0" fontId="0" fillId="0" borderId="4" xfId="0" applyBorder="1" applyAlignment="1">
      <alignment vertical="top" wrapText="1"/>
    </xf>
    <xf numFmtId="0" fontId="127" fillId="0" borderId="4" xfId="0" applyFont="1" applyBorder="1" applyAlignment="1" applyProtection="1">
      <alignment vertical="top" wrapText="1"/>
      <protection locked="0"/>
    </xf>
    <xf numFmtId="0" fontId="0" fillId="0" borderId="4" xfId="0" applyBorder="1" applyAlignment="1" applyProtection="1">
      <alignment vertical="top" wrapText="1"/>
      <protection locked="0"/>
    </xf>
    <xf numFmtId="0" fontId="0" fillId="5" borderId="4" xfId="0" applyFill="1" applyBorder="1" applyAlignment="1" applyProtection="1">
      <alignment horizontal="center" vertical="top" wrapText="1"/>
      <protection locked="0"/>
    </xf>
    <xf numFmtId="0" fontId="0" fillId="0" borderId="4" xfId="0" applyFill="1" applyBorder="1" applyAlignment="1" applyProtection="1">
      <alignment vertical="top" wrapText="1"/>
      <protection locked="0"/>
    </xf>
    <xf numFmtId="0" fontId="0" fillId="0" borderId="4" xfId="0" applyBorder="1" applyAlignment="1">
      <alignment vertical="top"/>
    </xf>
    <xf numFmtId="0" fontId="0" fillId="5" borderId="4" xfId="0" applyFill="1" applyBorder="1" applyAlignment="1" applyProtection="1">
      <alignment horizontal="center" vertical="center" wrapText="1"/>
      <protection locked="0"/>
    </xf>
    <xf numFmtId="14" fontId="0" fillId="0" borderId="4" xfId="0" applyNumberFormat="1" applyBorder="1" applyAlignment="1" applyProtection="1">
      <alignment vertical="top" wrapText="1"/>
      <protection locked="0"/>
    </xf>
    <xf numFmtId="14" fontId="0" fillId="5" borderId="4" xfId="0" applyNumberFormat="1" applyFill="1" applyBorder="1" applyAlignment="1" applyProtection="1">
      <alignment horizontal="center" vertical="center" wrapText="1"/>
      <protection locked="0"/>
    </xf>
    <xf numFmtId="14" fontId="0" fillId="0" borderId="4" xfId="0" applyNumberFormat="1" applyBorder="1" applyAlignment="1">
      <alignment vertical="top"/>
    </xf>
    <xf numFmtId="0" fontId="0" fillId="5" borderId="4" xfId="0" applyFill="1" applyBorder="1" applyAlignment="1" applyProtection="1">
      <alignment vertical="top" wrapText="1"/>
      <protection locked="0"/>
    </xf>
    <xf numFmtId="14" fontId="0" fillId="0" borderId="4" xfId="0" applyNumberFormat="1" applyBorder="1" applyAlignment="1">
      <alignment horizontal="center" vertical="top"/>
    </xf>
    <xf numFmtId="0" fontId="0" fillId="0" borderId="4" xfId="0" applyBorder="1" applyAlignment="1">
      <alignment horizontal="center" vertical="top" wrapText="1"/>
    </xf>
    <xf numFmtId="164" fontId="0" fillId="0" borderId="4" xfId="122" applyFont="1" applyBorder="1" applyAlignment="1" applyProtection="1">
      <alignment vertical="top" wrapText="1"/>
      <protection locked="0"/>
    </xf>
    <xf numFmtId="164" fontId="0" fillId="0" borderId="4" xfId="122" applyFont="1" applyBorder="1" applyAlignment="1" applyProtection="1">
      <alignment vertical="top"/>
      <protection locked="0"/>
    </xf>
    <xf numFmtId="164" fontId="0" fillId="5" borderId="4" xfId="122" applyFont="1" applyFill="1" applyBorder="1" applyAlignment="1" applyProtection="1">
      <alignment horizontal="center" vertical="center"/>
      <protection locked="0"/>
    </xf>
    <xf numFmtId="164" fontId="0" fillId="0" borderId="4" xfId="122" applyFont="1" applyFill="1" applyBorder="1" applyAlignment="1" applyProtection="1">
      <alignment wrapText="1"/>
      <protection locked="0"/>
    </xf>
    <xf numFmtId="0" fontId="0" fillId="0" borderId="4" xfId="0" applyFill="1" applyBorder="1" applyAlignment="1" applyProtection="1">
      <alignment wrapText="1"/>
      <protection locked="0"/>
    </xf>
    <xf numFmtId="9" fontId="0" fillId="0" borderId="4" xfId="0" applyNumberFormat="1" applyFill="1" applyBorder="1" applyAlignment="1" applyProtection="1">
      <alignment vertical="top" wrapText="1"/>
      <protection locked="0"/>
    </xf>
    <xf numFmtId="0" fontId="0" fillId="0" borderId="4" xfId="0" applyBorder="1" applyAlignment="1" applyProtection="1">
      <alignment vertical="top"/>
      <protection locked="0"/>
    </xf>
    <xf numFmtId="0" fontId="0" fillId="5" borderId="4" xfId="0" applyFill="1" applyBorder="1" applyAlignment="1" applyProtection="1">
      <alignment horizontal="center" vertical="center"/>
      <protection locked="0"/>
    </xf>
    <xf numFmtId="0" fontId="11" fillId="0" borderId="4" xfId="0" applyFont="1" applyBorder="1" applyAlignment="1">
      <alignment vertical="top" wrapText="1"/>
    </xf>
    <xf numFmtId="0" fontId="130" fillId="0" borderId="4" xfId="0" applyFont="1" applyBorder="1" applyAlignment="1" applyProtection="1">
      <alignment vertical="top"/>
      <protection locked="0"/>
    </xf>
    <xf numFmtId="0" fontId="13" fillId="4" borderId="0" xfId="0" applyFont="1" applyFill="1" applyAlignment="1">
      <alignment horizontal="left"/>
    </xf>
    <xf numFmtId="0" fontId="14" fillId="8" borderId="4" xfId="0" applyFont="1" applyFill="1" applyBorder="1" applyAlignment="1">
      <alignment horizontal="center" vertical="center"/>
    </xf>
    <xf numFmtId="0" fontId="14" fillId="0" borderId="0" xfId="0" applyFont="1" applyFill="1" applyAlignment="1">
      <alignment horizontal="left"/>
    </xf>
    <xf numFmtId="0" fontId="14" fillId="0" borderId="4" xfId="0" applyFont="1" applyBorder="1" applyAlignment="1">
      <alignment horizontal="center" vertical="center" wrapText="1"/>
    </xf>
    <xf numFmtId="0" fontId="13" fillId="0" borderId="0" xfId="0" applyFont="1" applyAlignment="1">
      <alignment horizontal="left"/>
    </xf>
    <xf numFmtId="0" fontId="14" fillId="8" borderId="4" xfId="0" applyFont="1" applyFill="1" applyBorder="1" applyAlignment="1">
      <alignment horizontal="center" vertical="center" wrapText="1"/>
    </xf>
    <xf numFmtId="0" fontId="14" fillId="8" borderId="6" xfId="18" applyFont="1" applyFill="1" applyBorder="1" applyAlignment="1">
      <alignment horizontal="center"/>
    </xf>
    <xf numFmtId="0" fontId="14" fillId="8" borderId="12" xfId="18" applyFont="1" applyFill="1" applyBorder="1" applyAlignment="1">
      <alignment horizontal="center"/>
    </xf>
    <xf numFmtId="0" fontId="14" fillId="8" borderId="12" xfId="0" applyFont="1" applyFill="1" applyBorder="1" applyAlignment="1">
      <alignment horizontal="center" vertical="center" wrapText="1"/>
    </xf>
    <xf numFmtId="0" fontId="14" fillId="0" borderId="0" xfId="0" applyFont="1" applyAlignment="1">
      <alignment horizontal="center" vertical="center"/>
    </xf>
    <xf numFmtId="0" fontId="14" fillId="4"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14" fillId="4" borderId="0" xfId="0" applyFont="1" applyFill="1" applyAlignment="1">
      <alignment horizontal="center"/>
    </xf>
    <xf numFmtId="0" fontId="14" fillId="0" borderId="4" xfId="0" applyFont="1" applyFill="1" applyBorder="1" applyAlignment="1">
      <alignment horizontal="center" vertical="center"/>
    </xf>
    <xf numFmtId="0" fontId="14" fillId="8" borderId="3" xfId="18" applyFont="1" applyFill="1" applyBorder="1" applyAlignment="1">
      <alignment horizontal="center"/>
    </xf>
    <xf numFmtId="0" fontId="14" fillId="8" borderId="4" xfId="18" applyFont="1" applyFill="1" applyBorder="1" applyAlignment="1">
      <alignment horizontal="center" vertical="center"/>
    </xf>
    <xf numFmtId="0" fontId="0" fillId="0" borderId="0" xfId="0"/>
    <xf numFmtId="0" fontId="14" fillId="8" borderId="4" xfId="0" applyFont="1" applyFill="1" applyBorder="1" applyAlignment="1">
      <alignment horizontal="center" vertical="top" wrapText="1"/>
    </xf>
    <xf numFmtId="0" fontId="11" fillId="8" borderId="4" xfId="0" applyFont="1" applyFill="1" applyBorder="1" applyAlignment="1">
      <alignment horizontal="center" vertical="center"/>
    </xf>
    <xf numFmtId="0" fontId="14" fillId="8" borderId="4" xfId="18"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Border="1" applyAlignment="1">
      <alignment wrapText="1"/>
    </xf>
    <xf numFmtId="0" fontId="14" fillId="0" borderId="4" xfId="0" quotePrefix="1" applyFont="1" applyBorder="1" applyAlignment="1">
      <alignment vertical="justify"/>
    </xf>
    <xf numFmtId="0" fontId="10" fillId="0" borderId="4" xfId="0" quotePrefix="1" applyFont="1" applyBorder="1" applyAlignment="1">
      <alignment horizontal="left" vertical="justify" wrapText="1"/>
    </xf>
    <xf numFmtId="4" fontId="10" fillId="0" borderId="4" xfId="0" applyNumberFormat="1" applyFont="1" applyFill="1" applyBorder="1"/>
    <xf numFmtId="0" fontId="14" fillId="0" borderId="4" xfId="0" applyFont="1" applyFill="1" applyBorder="1" applyAlignment="1">
      <alignment vertical="center" wrapText="1"/>
    </xf>
    <xf numFmtId="2" fontId="0" fillId="0" borderId="4" xfId="0" applyNumberFormat="1" applyBorder="1" applyAlignment="1"/>
    <xf numFmtId="0" fontId="10" fillId="0" borderId="4" xfId="0" applyFont="1" applyFill="1" applyBorder="1" applyAlignment="1"/>
    <xf numFmtId="0" fontId="14" fillId="25" borderId="4" xfId="0" applyFont="1" applyFill="1" applyBorder="1" applyAlignment="1">
      <alignment horizontal="center" vertical="center" wrapText="1"/>
    </xf>
    <xf numFmtId="0" fontId="14" fillId="25" borderId="4" xfId="0" quotePrefix="1" applyFont="1" applyFill="1" applyBorder="1" applyAlignment="1">
      <alignment horizontal="left" vertical="justify" wrapText="1"/>
    </xf>
    <xf numFmtId="10" fontId="14" fillId="0" borderId="4" xfId="0" applyNumberFormat="1" applyFont="1" applyFill="1" applyBorder="1"/>
    <xf numFmtId="0" fontId="14" fillId="0" borderId="7" xfId="0" quotePrefix="1" applyFont="1" applyBorder="1" applyAlignment="1">
      <alignment horizontal="left" vertical="justify" wrapText="1"/>
    </xf>
    <xf numFmtId="0" fontId="14" fillId="0" borderId="7" xfId="0" applyFont="1" applyFill="1" applyBorder="1"/>
    <xf numFmtId="1" fontId="14" fillId="0" borderId="7" xfId="0" applyNumberFormat="1" applyFont="1" applyFill="1" applyBorder="1"/>
    <xf numFmtId="0" fontId="10" fillId="0" borderId="7" xfId="0" applyFont="1" applyFill="1" applyBorder="1"/>
    <xf numFmtId="0" fontId="13" fillId="0" borderId="4" xfId="0" applyFont="1" applyFill="1" applyBorder="1" applyAlignment="1">
      <alignment horizontal="center"/>
    </xf>
    <xf numFmtId="0" fontId="14" fillId="25" borderId="4" xfId="0" applyFont="1" applyFill="1" applyBorder="1" applyAlignment="1">
      <alignment vertical="justify"/>
    </xf>
    <xf numFmtId="0" fontId="10" fillId="25" borderId="4" xfId="0" applyFont="1" applyFill="1" applyBorder="1" applyAlignment="1">
      <alignment horizontal="center" vertical="center" wrapText="1"/>
    </xf>
    <xf numFmtId="0" fontId="10" fillId="25" borderId="4" xfId="0" quotePrefix="1" applyFont="1" applyFill="1" applyBorder="1" applyAlignment="1">
      <alignment vertical="justify" wrapText="1"/>
    </xf>
    <xf numFmtId="10" fontId="10" fillId="0" borderId="4" xfId="0" applyNumberFormat="1" applyFont="1" applyFill="1" applyBorder="1"/>
    <xf numFmtId="0" fontId="10" fillId="0" borderId="0" xfId="0" applyFont="1" applyAlignment="1">
      <alignment vertical="justify"/>
    </xf>
    <xf numFmtId="0" fontId="10" fillId="0" borderId="0" xfId="128" applyFont="1" applyFill="1"/>
    <xf numFmtId="0" fontId="10" fillId="0" borderId="0" xfId="0" applyFont="1" applyAlignment="1">
      <alignment horizontal="justify"/>
    </xf>
    <xf numFmtId="0" fontId="10" fillId="0" borderId="4" xfId="128" applyFont="1" applyFill="1" applyBorder="1" applyAlignment="1">
      <alignment horizontal="center"/>
    </xf>
    <xf numFmtId="0" fontId="14" fillId="0" borderId="4" xfId="128" applyFont="1" applyFill="1" applyBorder="1" applyAlignment="1">
      <alignment horizontal="justify" vertical="justify" wrapText="1"/>
    </xf>
    <xf numFmtId="0" fontId="10" fillId="0" borderId="4" xfId="0" applyFont="1" applyFill="1" applyBorder="1" applyAlignment="1">
      <alignment vertical="top" wrapText="1"/>
    </xf>
    <xf numFmtId="0" fontId="10" fillId="0" borderId="4" xfId="0" applyFont="1" applyBorder="1" applyAlignment="1">
      <alignment vertical="top" wrapText="1"/>
    </xf>
    <xf numFmtId="0" fontId="10" fillId="0" borderId="4" xfId="128" applyFont="1" applyFill="1" applyBorder="1"/>
    <xf numFmtId="0" fontId="10" fillId="0" borderId="4" xfId="128" applyFont="1" applyFill="1" applyBorder="1" applyAlignment="1">
      <alignment horizontal="justify" vertical="justify" wrapText="1"/>
    </xf>
    <xf numFmtId="0" fontId="10" fillId="0" borderId="4" xfId="128" applyFont="1" applyFill="1" applyBorder="1" applyAlignment="1">
      <alignment horizontal="center" vertical="center"/>
    </xf>
    <xf numFmtId="0" fontId="10" fillId="0" borderId="4" xfId="0" applyFont="1" applyFill="1" applyBorder="1" applyAlignment="1">
      <alignment vertical="top"/>
    </xf>
    <xf numFmtId="0" fontId="10" fillId="0" borderId="71" xfId="0" applyFont="1" applyBorder="1"/>
    <xf numFmtId="0" fontId="14" fillId="8" borderId="4" xfId="128" applyFont="1" applyFill="1" applyBorder="1" applyAlignment="1">
      <alignment horizontal="center"/>
    </xf>
    <xf numFmtId="0" fontId="10" fillId="8" borderId="4" xfId="128" applyFont="1" applyFill="1" applyBorder="1"/>
    <xf numFmtId="0" fontId="10" fillId="8" borderId="4" xfId="128" applyFont="1" applyFill="1" applyBorder="1" applyAlignment="1">
      <alignment horizontal="center"/>
    </xf>
    <xf numFmtId="0" fontId="19" fillId="8" borderId="4" xfId="128" applyFont="1" applyFill="1" applyBorder="1" applyAlignment="1">
      <alignment horizontal="center"/>
    </xf>
    <xf numFmtId="10" fontId="10" fillId="0" borderId="4" xfId="0" applyNumberFormat="1" applyFont="1" applyBorder="1" applyAlignment="1">
      <alignment horizontal="right"/>
    </xf>
    <xf numFmtId="10" fontId="12" fillId="0" borderId="4" xfId="59" applyNumberFormat="1" applyFont="1" applyBorder="1" applyAlignment="1">
      <alignment horizontal="right"/>
    </xf>
    <xf numFmtId="0" fontId="24" fillId="0" borderId="0" xfId="0" applyFont="1" applyAlignment="1"/>
    <xf numFmtId="0" fontId="14" fillId="0" borderId="9" xfId="0" applyFont="1" applyBorder="1" applyAlignment="1">
      <alignment horizontal="center"/>
    </xf>
    <xf numFmtId="1" fontId="0" fillId="0" borderId="4" xfId="0" applyNumberFormat="1" applyFill="1" applyBorder="1" applyAlignment="1">
      <alignment horizontal="center" vertical="center"/>
    </xf>
    <xf numFmtId="0" fontId="10" fillId="0" borderId="9" xfId="0" applyFont="1" applyBorder="1"/>
    <xf numFmtId="0" fontId="0" fillId="0" borderId="9" xfId="0" applyBorder="1" applyAlignment="1">
      <alignment horizontal="center"/>
    </xf>
    <xf numFmtId="0" fontId="14" fillId="0" borderId="0" xfId="0" applyFont="1" applyAlignment="1">
      <alignment vertical="top"/>
    </xf>
    <xf numFmtId="0" fontId="27" fillId="0" borderId="0" xfId="0" applyFont="1" applyAlignment="1">
      <alignment vertical="top"/>
    </xf>
    <xf numFmtId="0" fontId="27" fillId="0" borderId="0" xfId="0" applyFont="1" applyAlignment="1">
      <alignment horizontal="center" vertical="center"/>
    </xf>
    <xf numFmtId="0" fontId="14" fillId="8" borderId="4" xfId="0" applyFont="1" applyFill="1" applyBorder="1" applyAlignment="1">
      <alignment horizontal="center" vertical="top"/>
    </xf>
    <xf numFmtId="0" fontId="133" fillId="0" borderId="4" xfId="0" applyFont="1" applyBorder="1" applyAlignment="1">
      <alignment horizontal="center" vertical="center"/>
    </xf>
    <xf numFmtId="2" fontId="133" fillId="0" borderId="4" xfId="0" applyNumberFormat="1" applyFont="1" applyBorder="1" applyAlignment="1">
      <alignment horizontal="center" vertical="center"/>
    </xf>
    <xf numFmtId="1" fontId="10" fillId="0" borderId="4" xfId="0" applyNumberFormat="1" applyFont="1" applyBorder="1" applyAlignment="1">
      <alignment horizontal="center" vertical="center"/>
    </xf>
    <xf numFmtId="10" fontId="10" fillId="0" borderId="4" xfId="59" applyNumberFormat="1" applyFont="1" applyBorder="1" applyAlignment="1">
      <alignment horizontal="center" vertical="center"/>
    </xf>
    <xf numFmtId="1" fontId="10" fillId="0" borderId="4" xfId="59" applyNumberFormat="1" applyFont="1" applyBorder="1" applyAlignment="1">
      <alignment horizontal="center" vertical="center"/>
    </xf>
    <xf numFmtId="0" fontId="45" fillId="0" borderId="4" xfId="0" applyFont="1" applyFill="1" applyBorder="1" applyAlignment="1">
      <alignment horizontal="center" vertical="center"/>
    </xf>
    <xf numFmtId="10" fontId="45" fillId="0" borderId="4" xfId="59" applyNumberFormat="1" applyFont="1" applyFill="1" applyBorder="1" applyAlignment="1">
      <alignment horizontal="center" vertical="center"/>
    </xf>
    <xf numFmtId="0" fontId="44" fillId="0" borderId="4" xfId="0" applyFont="1" applyFill="1" applyBorder="1" applyAlignment="1">
      <alignment horizontal="center" vertical="center"/>
    </xf>
    <xf numFmtId="2" fontId="44" fillId="0" borderId="4" xfId="0" applyNumberFormat="1" applyFont="1" applyFill="1" applyBorder="1" applyAlignment="1">
      <alignment horizontal="center" vertical="center"/>
    </xf>
    <xf numFmtId="0" fontId="112" fillId="0" borderId="4" xfId="0" applyFont="1" applyFill="1" applyBorder="1" applyAlignment="1">
      <alignment horizontal="center" vertical="center"/>
    </xf>
    <xf numFmtId="10" fontId="112" fillId="0" borderId="4" xfId="59" applyNumberFormat="1" applyFont="1" applyFill="1" applyBorder="1" applyAlignment="1">
      <alignment horizontal="center" vertical="center"/>
    </xf>
    <xf numFmtId="0" fontId="112" fillId="0" borderId="4" xfId="0" applyFont="1" applyBorder="1" applyAlignment="1">
      <alignment horizontal="center" vertical="center"/>
    </xf>
    <xf numFmtId="10" fontId="112" fillId="0" borderId="4" xfId="59" applyNumberFormat="1" applyFont="1" applyBorder="1" applyAlignment="1">
      <alignment horizontal="center" vertical="center"/>
    </xf>
    <xf numFmtId="1" fontId="112" fillId="0" borderId="4" xfId="0" applyNumberFormat="1" applyFont="1" applyBorder="1" applyAlignment="1">
      <alignment horizontal="center" vertical="center"/>
    </xf>
    <xf numFmtId="0" fontId="14" fillId="5" borderId="4" xfId="0" applyFont="1" applyFill="1" applyBorder="1" applyAlignment="1">
      <alignment horizontal="center" vertical="center"/>
    </xf>
    <xf numFmtId="0" fontId="53" fillId="0" borderId="0" xfId="0" applyFont="1" applyAlignment="1">
      <alignment horizontal="center" vertical="center"/>
    </xf>
    <xf numFmtId="0" fontId="67" fillId="8" borderId="4" xfId="18" applyFont="1" applyFill="1" applyBorder="1" applyAlignment="1">
      <alignment horizontal="center" vertical="center" wrapText="1"/>
    </xf>
    <xf numFmtId="10" fontId="10" fillId="0" borderId="4" xfId="14" applyNumberFormat="1" applyFont="1" applyBorder="1" applyAlignment="1">
      <alignment vertical="justify"/>
    </xf>
    <xf numFmtId="10" fontId="10" fillId="0" borderId="4" xfId="14" applyNumberFormat="1" applyFont="1" applyFill="1" applyBorder="1" applyAlignment="1">
      <alignment vertical="center"/>
    </xf>
    <xf numFmtId="10" fontId="0" fillId="0" borderId="4" xfId="14" applyNumberFormat="1" applyFont="1" applyFill="1" applyBorder="1" applyAlignment="1">
      <alignment horizontal="center"/>
    </xf>
    <xf numFmtId="10" fontId="0" fillId="0" borderId="4" xfId="14" applyNumberFormat="1" applyFont="1" applyBorder="1" applyAlignment="1">
      <alignment horizontal="center"/>
    </xf>
    <xf numFmtId="10" fontId="10" fillId="0" borderId="4" xfId="0" applyNumberFormat="1" applyFont="1" applyBorder="1"/>
    <xf numFmtId="0" fontId="10" fillId="0" borderId="4" xfId="0" applyFont="1" applyBorder="1" applyAlignment="1">
      <alignment horizontal="right" vertical="center"/>
    </xf>
    <xf numFmtId="0" fontId="0" fillId="0" borderId="0" xfId="0" applyAlignment="1">
      <alignment vertical="top"/>
    </xf>
    <xf numFmtId="0" fontId="14" fillId="4" borderId="0" xfId="0" applyFont="1" applyFill="1" applyAlignment="1">
      <alignment vertical="top"/>
    </xf>
    <xf numFmtId="0" fontId="13" fillId="0" borderId="0" xfId="0" applyFont="1" applyAlignment="1">
      <alignment horizontal="left" vertical="top"/>
    </xf>
    <xf numFmtId="0" fontId="0" fillId="0" borderId="4" xfId="0" applyFont="1" applyFill="1" applyBorder="1" applyAlignment="1">
      <alignment horizontal="center" vertical="top"/>
    </xf>
    <xf numFmtId="0" fontId="0" fillId="0" borderId="4" xfId="0" applyFill="1" applyBorder="1" applyAlignment="1">
      <alignment horizontal="center" vertical="top"/>
    </xf>
    <xf numFmtId="0" fontId="0" fillId="0" borderId="4" xfId="0" applyBorder="1" applyAlignment="1">
      <alignment horizontal="center" vertical="top"/>
    </xf>
    <xf numFmtId="0" fontId="14" fillId="0" borderId="4" xfId="0" applyFont="1" applyBorder="1" applyAlignment="1">
      <alignment vertical="top"/>
    </xf>
    <xf numFmtId="0" fontId="11" fillId="0" borderId="4" xfId="0" applyFont="1" applyFill="1" applyBorder="1" applyAlignment="1">
      <alignment horizontal="center" vertical="top"/>
    </xf>
    <xf numFmtId="0" fontId="11" fillId="0" borderId="4" xfId="0" applyFont="1" applyBorder="1" applyAlignment="1">
      <alignment horizontal="center" vertical="top"/>
    </xf>
    <xf numFmtId="0" fontId="27" fillId="0" borderId="0" xfId="0" applyFont="1" applyAlignment="1">
      <alignment horizontal="center" vertical="center" wrapText="1"/>
    </xf>
    <xf numFmtId="0" fontId="13" fillId="0" borderId="0" xfId="0" applyFont="1" applyAlignment="1">
      <alignment horizontal="center" vertical="center"/>
    </xf>
    <xf numFmtId="1" fontId="10" fillId="0" borderId="4" xfId="0" applyNumberFormat="1" applyFont="1" applyBorder="1" applyAlignment="1">
      <alignment horizontal="center" vertical="center" wrapText="1"/>
    </xf>
    <xf numFmtId="0" fontId="134" fillId="0" borderId="4" xfId="0" applyFont="1" applyBorder="1" applyAlignment="1">
      <alignment horizontal="center" vertical="center" wrapText="1"/>
    </xf>
    <xf numFmtId="1" fontId="10" fillId="0" borderId="4" xfId="0" applyNumberFormat="1" applyFont="1" applyFill="1" applyBorder="1" applyAlignment="1">
      <alignment horizontal="center" vertical="center" wrapText="1"/>
    </xf>
    <xf numFmtId="0" fontId="134" fillId="0" borderId="4" xfId="0" applyFont="1" applyFill="1" applyBorder="1" applyAlignment="1">
      <alignment horizontal="center" vertical="center" wrapText="1"/>
    </xf>
    <xf numFmtId="0" fontId="10" fillId="0" borderId="4" xfId="9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4" fillId="0" borderId="4" xfId="90" applyFont="1" applyFill="1" applyBorder="1" applyAlignment="1">
      <alignment horizontal="center" vertical="center" wrapText="1"/>
    </xf>
    <xf numFmtId="0" fontId="14" fillId="0" borderId="6" xfId="90" applyFont="1" applyFill="1" applyBorder="1" applyAlignment="1">
      <alignment horizontal="center" vertical="center" wrapText="1"/>
    </xf>
    <xf numFmtId="1" fontId="14" fillId="0" borderId="4" xfId="90" applyNumberFormat="1" applyFont="1" applyFill="1" applyBorder="1" applyAlignment="1">
      <alignment horizontal="center" vertical="center" wrapText="1"/>
    </xf>
    <xf numFmtId="0" fontId="10" fillId="0" borderId="6" xfId="90" applyFont="1" applyFill="1" applyBorder="1" applyAlignment="1">
      <alignment horizontal="center" vertical="center" wrapText="1"/>
    </xf>
    <xf numFmtId="0" fontId="10" fillId="0" borderId="3" xfId="90" applyFont="1" applyFill="1" applyBorder="1" applyAlignment="1">
      <alignment horizontal="center" vertical="center" wrapText="1"/>
    </xf>
    <xf numFmtId="0" fontId="10" fillId="0" borderId="12" xfId="90" applyFont="1" applyFill="1" applyBorder="1" applyAlignment="1">
      <alignment horizontal="center" vertical="center" wrapText="1"/>
    </xf>
    <xf numFmtId="0" fontId="14" fillId="0" borderId="3" xfId="90" applyFont="1" applyFill="1" applyBorder="1" applyAlignment="1">
      <alignment horizontal="center" vertical="center" wrapText="1"/>
    </xf>
    <xf numFmtId="0" fontId="14" fillId="0" borderId="12" xfId="9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0" fillId="0" borderId="0" xfId="0"/>
    <xf numFmtId="0" fontId="14" fillId="0" borderId="0" xfId="0" applyFont="1" applyAlignment="1">
      <alignment vertical="center"/>
    </xf>
    <xf numFmtId="0" fontId="10" fillId="0" borderId="0" xfId="0" applyFont="1" applyAlignment="1">
      <alignment horizontal="centerContinuous"/>
    </xf>
    <xf numFmtId="0" fontId="14" fillId="8" borderId="4" xfId="0" applyFont="1" applyFill="1" applyBorder="1" applyAlignment="1">
      <alignment horizontal="center" vertical="center"/>
    </xf>
    <xf numFmtId="0" fontId="14" fillId="0" borderId="0" xfId="0" applyFont="1" applyFill="1" applyAlignment="1">
      <alignment horizontal="left"/>
    </xf>
    <xf numFmtId="0" fontId="13" fillId="0" borderId="0" xfId="0" applyFont="1" applyAlignment="1">
      <alignment horizontal="left"/>
    </xf>
    <xf numFmtId="0" fontId="14" fillId="8" borderId="4"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3" xfId="0" applyFont="1" applyFill="1" applyBorder="1" applyAlignment="1">
      <alignment horizontal="center" vertical="center"/>
    </xf>
    <xf numFmtId="0" fontId="14" fillId="8" borderId="6" xfId="0" applyFont="1" applyFill="1" applyBorder="1" applyAlignment="1">
      <alignment horizontal="center" vertical="center"/>
    </xf>
    <xf numFmtId="0" fontId="10" fillId="0" borderId="0" xfId="0" applyFont="1" applyAlignment="1">
      <alignment horizontal="center"/>
    </xf>
    <xf numFmtId="0" fontId="14" fillId="8" borderId="4" xfId="0" applyFont="1" applyFill="1" applyBorder="1" applyAlignment="1">
      <alignment horizontal="center"/>
    </xf>
    <xf numFmtId="0" fontId="14" fillId="0" borderId="4" xfId="0" applyFont="1" applyFill="1" applyBorder="1" applyAlignment="1">
      <alignment horizontal="center" vertical="center"/>
    </xf>
    <xf numFmtId="0" fontId="0" fillId="0" borderId="0" xfId="0"/>
    <xf numFmtId="0" fontId="17" fillId="5" borderId="4" xfId="0" applyFont="1" applyFill="1" applyBorder="1" applyAlignment="1">
      <alignment horizontal="center" vertical="center" wrapText="1"/>
    </xf>
    <xf numFmtId="0" fontId="27" fillId="0" borderId="0" xfId="0" applyFont="1"/>
    <xf numFmtId="0" fontId="107" fillId="0" borderId="0" xfId="0" applyFont="1" applyFill="1" applyAlignment="1">
      <alignment horizontal="center" vertical="center"/>
    </xf>
    <xf numFmtId="184" fontId="93" fillId="0" borderId="7" xfId="120" applyNumberFormat="1" applyFont="1" applyBorder="1" applyAlignment="1">
      <alignment horizontal="center" vertical="center" wrapText="1"/>
    </xf>
    <xf numFmtId="43" fontId="93" fillId="5" borderId="4" xfId="120" applyFont="1" applyFill="1" applyBorder="1" applyAlignment="1">
      <alignment horizontal="center" vertical="center" wrapText="1"/>
    </xf>
    <xf numFmtId="184" fontId="50" fillId="5" borderId="4" xfId="120" applyNumberFormat="1" applyFont="1" applyFill="1" applyBorder="1" applyAlignment="1">
      <alignment horizontal="center" vertical="center" wrapText="1"/>
    </xf>
    <xf numFmtId="9" fontId="50" fillId="5" borderId="4" xfId="59" applyFont="1" applyFill="1" applyBorder="1" applyAlignment="1">
      <alignment horizontal="center" vertical="center" wrapText="1"/>
    </xf>
    <xf numFmtId="43" fontId="50" fillId="5" borderId="4" xfId="120" applyFont="1" applyFill="1" applyBorder="1" applyAlignment="1">
      <alignment horizontal="center" vertical="center" wrapText="1"/>
    </xf>
    <xf numFmtId="43" fontId="50" fillId="0" borderId="4" xfId="120" applyFont="1" applyFill="1" applyBorder="1" applyAlignment="1">
      <alignment horizontal="center"/>
    </xf>
    <xf numFmtId="43" fontId="14" fillId="5" borderId="4" xfId="120" applyFont="1" applyFill="1" applyBorder="1" applyAlignment="1">
      <alignment horizontal="center" vertical="center" wrapText="1"/>
    </xf>
    <xf numFmtId="43" fontId="50" fillId="0" borderId="4" xfId="120" applyFont="1" applyFill="1" applyBorder="1" applyAlignment="1">
      <alignment horizontal="center" vertical="center" wrapText="1"/>
    </xf>
    <xf numFmtId="43" fontId="97" fillId="0" borderId="0" xfId="120" applyFont="1" applyAlignment="1">
      <alignment horizontal="center" vertical="center" wrapText="1"/>
    </xf>
    <xf numFmtId="0" fontId="118" fillId="0" borderId="0" xfId="0" applyFont="1" applyAlignment="1">
      <alignment horizontal="center" vertical="center" wrapText="1"/>
    </xf>
    <xf numFmtId="0" fontId="10" fillId="0" borderId="0" xfId="0" applyFont="1" applyFill="1" applyAlignment="1">
      <alignment horizontal="center"/>
    </xf>
    <xf numFmtId="43" fontId="50" fillId="8" borderId="4" xfId="120" applyFont="1" applyFill="1" applyBorder="1" applyAlignment="1">
      <alignment horizontal="center" vertical="center" wrapText="1"/>
    </xf>
    <xf numFmtId="0" fontId="50" fillId="8" borderId="4" xfId="89" applyFont="1" applyFill="1" applyBorder="1" applyAlignment="1">
      <alignment horizontal="center" vertical="center" wrapText="1"/>
    </xf>
    <xf numFmtId="182" fontId="11" fillId="0" borderId="0" xfId="121" applyFont="1" applyAlignment="1">
      <alignment horizontal="left" vertical="center"/>
    </xf>
    <xf numFmtId="0" fontId="13" fillId="8" borderId="6" xfId="0" applyFont="1" applyFill="1" applyBorder="1" applyAlignment="1">
      <alignment horizontal="left" vertical="center"/>
    </xf>
    <xf numFmtId="0" fontId="13" fillId="8" borderId="3" xfId="0" applyFont="1" applyFill="1" applyBorder="1" applyAlignment="1">
      <alignment horizontal="left" vertical="center"/>
    </xf>
    <xf numFmtId="0" fontId="13" fillId="8" borderId="12" xfId="0" applyFont="1" applyFill="1" applyBorder="1" applyAlignment="1">
      <alignment horizontal="left" vertical="center"/>
    </xf>
    <xf numFmtId="0" fontId="10" fillId="0" borderId="6" xfId="0" applyFont="1" applyBorder="1" applyAlignment="1">
      <alignment horizontal="left"/>
    </xf>
    <xf numFmtId="0" fontId="11" fillId="8" borderId="4" xfId="0" applyFont="1" applyFill="1" applyBorder="1" applyAlignment="1">
      <alignment horizontal="center" vertical="center" wrapText="1"/>
    </xf>
    <xf numFmtId="0" fontId="10" fillId="0" borderId="0" xfId="0" applyFont="1" applyBorder="1" applyAlignment="1">
      <alignment horizontal="left" vertical="center"/>
    </xf>
    <xf numFmtId="0" fontId="14" fillId="28" borderId="12" xfId="0" applyFont="1" applyFill="1" applyBorder="1" applyAlignment="1">
      <alignment horizontal="center" vertical="center" wrapText="1"/>
    </xf>
    <xf numFmtId="0" fontId="122" fillId="0" borderId="4" xfId="0" applyFont="1" applyFill="1" applyBorder="1" applyAlignment="1">
      <alignment horizontal="center" vertical="center"/>
    </xf>
    <xf numFmtId="0" fontId="122" fillId="0" borderId="4" xfId="0" applyFont="1" applyFill="1" applyBorder="1" applyAlignment="1">
      <alignment vertical="center" wrapText="1"/>
    </xf>
    <xf numFmtId="0" fontId="14" fillId="0" borderId="0" xfId="18" applyFont="1" applyFill="1" applyAlignment="1">
      <alignment horizontal="left"/>
    </xf>
    <xf numFmtId="0" fontId="26" fillId="0" borderId="0" xfId="0" applyFont="1"/>
    <xf numFmtId="0" fontId="11" fillId="0" borderId="0" xfId="0" applyFont="1"/>
    <xf numFmtId="0" fontId="11" fillId="5" borderId="4" xfId="0" applyFont="1" applyFill="1" applyBorder="1" applyAlignment="1">
      <alignment horizontal="center" vertical="center" wrapText="1"/>
    </xf>
    <xf numFmtId="0" fontId="10" fillId="0" borderId="0" xfId="0" applyFont="1"/>
    <xf numFmtId="0" fontId="14" fillId="0" borderId="4" xfId="0" applyFont="1" applyBorder="1" applyAlignment="1">
      <alignment horizontal="center"/>
    </xf>
    <xf numFmtId="0" fontId="14" fillId="0" borderId="0" xfId="0" applyFont="1" applyFill="1" applyAlignment="1">
      <alignment horizontal="center" vertical="center"/>
    </xf>
    <xf numFmtId="0" fontId="10" fillId="0" borderId="0" xfId="0" applyFont="1" applyAlignment="1">
      <alignment wrapText="1"/>
    </xf>
    <xf numFmtId="9" fontId="13" fillId="0" borderId="0" xfId="59" applyFont="1" applyFill="1"/>
    <xf numFmtId="0" fontId="13" fillId="0" borderId="0" xfId="0" applyFont="1" applyFill="1" applyAlignment="1">
      <alignment horizontal="center"/>
    </xf>
    <xf numFmtId="0" fontId="17" fillId="0" borderId="8" xfId="0" applyFont="1" applyFill="1" applyBorder="1" applyAlignment="1">
      <alignment vertical="center" wrapText="1"/>
    </xf>
    <xf numFmtId="9" fontId="17" fillId="0" borderId="4" xfId="59" applyFont="1" applyFill="1" applyBorder="1" applyAlignment="1">
      <alignment horizontal="center" vertical="center" wrapText="1"/>
    </xf>
    <xf numFmtId="184" fontId="93" fillId="0" borderId="7" xfId="120" applyNumberFormat="1" applyFont="1" applyFill="1" applyBorder="1" applyAlignment="1">
      <alignment horizontal="center" vertical="center" wrapText="1"/>
    </xf>
    <xf numFmtId="43" fontId="93" fillId="0" borderId="4" xfId="120" applyFont="1" applyFill="1" applyBorder="1" applyAlignment="1">
      <alignment horizontal="center" vertical="center" wrapText="1"/>
    </xf>
    <xf numFmtId="9" fontId="16" fillId="0" borderId="4" xfId="59" applyFont="1" applyFill="1" applyBorder="1" applyAlignment="1">
      <alignment horizontal="center" vertical="center" wrapText="1"/>
    </xf>
    <xf numFmtId="184" fontId="93" fillId="0" borderId="4" xfId="120" applyNumberFormat="1" applyFont="1" applyFill="1" applyBorder="1" applyAlignment="1">
      <alignment horizontal="center" vertical="center"/>
    </xf>
    <xf numFmtId="43" fontId="52" fillId="0" borderId="4" xfId="120" applyNumberFormat="1" applyFont="1" applyFill="1" applyBorder="1" applyAlignment="1">
      <alignment vertical="center"/>
    </xf>
    <xf numFmtId="0" fontId="17" fillId="0" borderId="4" xfId="0" applyFont="1" applyFill="1" applyBorder="1" applyAlignment="1">
      <alignment wrapText="1"/>
    </xf>
    <xf numFmtId="43" fontId="1" fillId="0" borderId="4" xfId="120" applyFont="1" applyFill="1" applyBorder="1" applyAlignment="1">
      <alignment horizontal="left" vertical="center"/>
    </xf>
    <xf numFmtId="180" fontId="17" fillId="0" borderId="4" xfId="119" applyNumberFormat="1" applyFont="1" applyFill="1" applyBorder="1" applyAlignment="1">
      <alignment vertical="center" wrapText="1"/>
    </xf>
    <xf numFmtId="43" fontId="52" fillId="0" borderId="4" xfId="120" applyFont="1" applyFill="1" applyBorder="1" applyAlignment="1">
      <alignment horizontal="left" vertical="center"/>
    </xf>
    <xf numFmtId="43" fontId="17" fillId="0" borderId="4" xfId="0" applyNumberFormat="1" applyFont="1" applyFill="1" applyBorder="1" applyAlignment="1">
      <alignment vertical="center" wrapText="1"/>
    </xf>
    <xf numFmtId="2" fontId="16" fillId="0" borderId="4" xfId="59" applyNumberFormat="1" applyFont="1" applyFill="1" applyBorder="1" applyAlignment="1">
      <alignment vertical="center" wrapText="1"/>
    </xf>
    <xf numFmtId="43" fontId="99" fillId="0" borderId="4" xfId="120" applyFont="1" applyFill="1" applyBorder="1" applyAlignment="1">
      <alignment vertical="center"/>
    </xf>
    <xf numFmtId="179" fontId="10" fillId="0" borderId="4" xfId="0" applyNumberFormat="1" applyFont="1" applyFill="1" applyBorder="1"/>
    <xf numFmtId="43" fontId="10" fillId="0" borderId="4" xfId="0" applyNumberFormat="1" applyFont="1" applyFill="1" applyBorder="1"/>
    <xf numFmtId="184" fontId="61" fillId="0" borderId="0" xfId="120" applyNumberFormat="1" applyFont="1" applyFill="1" applyBorder="1" applyAlignment="1">
      <alignment horizontal="center" vertical="center"/>
    </xf>
    <xf numFmtId="0" fontId="101" fillId="0" borderId="5" xfId="0" applyFont="1" applyFill="1" applyBorder="1" applyAlignment="1">
      <alignment horizontal="center" vertical="center"/>
    </xf>
    <xf numFmtId="0" fontId="101" fillId="0" borderId="4" xfId="0" applyFont="1" applyFill="1" applyBorder="1" applyAlignment="1">
      <alignment vertical="center"/>
    </xf>
    <xf numFmtId="180" fontId="14" fillId="0" borderId="7" xfId="119" applyNumberFormat="1" applyFont="1" applyFill="1" applyBorder="1"/>
    <xf numFmtId="180" fontId="14" fillId="0" borderId="0" xfId="119" applyNumberFormat="1" applyFont="1" applyFill="1" applyBorder="1"/>
    <xf numFmtId="10" fontId="16" fillId="0" borderId="0" xfId="59" applyNumberFormat="1" applyFont="1" applyFill="1" applyBorder="1" applyAlignment="1">
      <alignment horizontal="center" vertical="center" wrapText="1"/>
    </xf>
    <xf numFmtId="9" fontId="16" fillId="0" borderId="0" xfId="59" applyFont="1" applyFill="1" applyBorder="1" applyAlignment="1">
      <alignment horizontal="center" vertical="center" wrapText="1"/>
    </xf>
    <xf numFmtId="1" fontId="14" fillId="0" borderId="0" xfId="0" applyNumberFormat="1" applyFont="1" applyFill="1" applyBorder="1"/>
    <xf numFmtId="10" fontId="14" fillId="0" borderId="0" xfId="59" applyNumberFormat="1" applyFont="1" applyFill="1" applyBorder="1" applyAlignment="1">
      <alignment horizontal="center"/>
    </xf>
    <xf numFmtId="164" fontId="14" fillId="0" borderId="0" xfId="119" applyFont="1" applyFill="1" applyBorder="1"/>
    <xf numFmtId="0" fontId="101" fillId="0" borderId="0" xfId="0" applyFont="1" applyFill="1" applyBorder="1" applyAlignment="1">
      <alignment horizontal="center" vertical="center"/>
    </xf>
    <xf numFmtId="164" fontId="17" fillId="0" borderId="0" xfId="119" applyFont="1" applyFill="1" applyBorder="1" applyAlignment="1">
      <alignment vertical="center" wrapText="1"/>
    </xf>
    <xf numFmtId="0" fontId="101" fillId="0" borderId="29" xfId="0" applyFont="1" applyFill="1" applyBorder="1" applyAlignment="1">
      <alignment horizontal="left" vertical="center" wrapText="1"/>
    </xf>
    <xf numFmtId="0" fontId="102" fillId="0" borderId="9" xfId="0" applyFont="1" applyFill="1" applyBorder="1" applyAlignment="1">
      <alignment horizontal="left" vertical="center" wrapText="1"/>
    </xf>
    <xf numFmtId="164" fontId="14" fillId="0" borderId="4" xfId="119" applyFont="1" applyFill="1" applyBorder="1"/>
    <xf numFmtId="184" fontId="52" fillId="0" borderId="0" xfId="120" applyNumberFormat="1" applyFont="1" applyFill="1" applyAlignment="1">
      <alignment vertical="center"/>
    </xf>
    <xf numFmtId="0" fontId="52" fillId="0" borderId="3" xfId="0" applyFont="1" applyFill="1" applyBorder="1"/>
    <xf numFmtId="0" fontId="52" fillId="0" borderId="12" xfId="0" applyFont="1" applyFill="1" applyBorder="1"/>
    <xf numFmtId="186" fontId="10" fillId="0" borderId="0" xfId="0" applyNumberFormat="1" applyFont="1" applyFill="1"/>
    <xf numFmtId="185" fontId="10" fillId="0" borderId="0" xfId="0" applyNumberFormat="1" applyFont="1" applyFill="1"/>
    <xf numFmtId="0" fontId="105" fillId="0" borderId="7" xfId="120" applyNumberFormat="1" applyFont="1" applyFill="1" applyBorder="1" applyAlignment="1">
      <alignment horizontal="center" vertical="center" wrapText="1"/>
    </xf>
    <xf numFmtId="0" fontId="105" fillId="0" borderId="19" xfId="120" applyNumberFormat="1" applyFont="1" applyFill="1" applyBorder="1" applyAlignment="1">
      <alignment horizontal="center" vertical="center" wrapText="1"/>
    </xf>
    <xf numFmtId="0" fontId="105" fillId="0" borderId="6" xfId="120" applyNumberFormat="1" applyFont="1" applyFill="1" applyBorder="1" applyAlignment="1">
      <alignment horizontal="center" vertical="center" wrapText="1"/>
    </xf>
    <xf numFmtId="0" fontId="105" fillId="0" borderId="4" xfId="120" applyNumberFormat="1" applyFont="1" applyFill="1" applyBorder="1" applyAlignment="1">
      <alignment horizontal="center" vertical="center" wrapText="1"/>
    </xf>
    <xf numFmtId="0" fontId="105" fillId="0" borderId="8" xfId="120" applyNumberFormat="1" applyFont="1" applyFill="1" applyBorder="1" applyAlignment="1">
      <alignment horizontal="center" vertical="center" wrapText="1"/>
    </xf>
    <xf numFmtId="0" fontId="105" fillId="0" borderId="34" xfId="120" applyNumberFormat="1" applyFont="1" applyFill="1" applyBorder="1" applyAlignment="1">
      <alignment horizontal="center" vertical="center" wrapText="1"/>
    </xf>
    <xf numFmtId="0" fontId="105" fillId="0" borderId="32" xfId="120" applyNumberFormat="1" applyFont="1" applyFill="1" applyBorder="1" applyAlignment="1">
      <alignment horizontal="center" vertical="center" wrapText="1"/>
    </xf>
    <xf numFmtId="0" fontId="105" fillId="0" borderId="49" xfId="120" applyNumberFormat="1" applyFont="1" applyFill="1" applyBorder="1" applyAlignment="1">
      <alignment horizontal="center" vertical="center" wrapText="1"/>
    </xf>
    <xf numFmtId="0" fontId="105" fillId="0" borderId="51" xfId="120" applyNumberFormat="1" applyFont="1" applyFill="1" applyBorder="1" applyAlignment="1">
      <alignment horizontal="center" vertical="center" wrapText="1"/>
    </xf>
    <xf numFmtId="0" fontId="105" fillId="0" borderId="53" xfId="120" applyNumberFormat="1" applyFont="1" applyFill="1" applyBorder="1" applyAlignment="1">
      <alignment horizontal="center" vertical="center" wrapText="1"/>
    </xf>
    <xf numFmtId="185" fontId="111" fillId="0" borderId="10" xfId="124" applyNumberFormat="1" applyFont="1" applyFill="1" applyBorder="1" applyAlignment="1">
      <alignment horizontal="center" vertical="center"/>
    </xf>
    <xf numFmtId="43" fontId="111" fillId="0" borderId="7" xfId="124" applyFont="1" applyFill="1" applyBorder="1" applyAlignment="1">
      <alignment horizontal="center" vertical="center"/>
    </xf>
    <xf numFmtId="43" fontId="111" fillId="0" borderId="41" xfId="124" applyFont="1" applyFill="1" applyBorder="1" applyAlignment="1">
      <alignment horizontal="center" vertical="center"/>
    </xf>
    <xf numFmtId="185" fontId="111" fillId="0" borderId="55" xfId="124" applyNumberFormat="1" applyFont="1" applyFill="1" applyBorder="1" applyAlignment="1">
      <alignment horizontal="center" vertical="center"/>
    </xf>
    <xf numFmtId="188" fontId="111" fillId="0" borderId="10" xfId="124" applyNumberFormat="1" applyFont="1" applyFill="1" applyBorder="1" applyAlignment="1">
      <alignment horizontal="center" vertical="center"/>
    </xf>
    <xf numFmtId="43" fontId="112" fillId="0" borderId="7" xfId="124" applyFont="1" applyFill="1" applyBorder="1" applyAlignment="1">
      <alignment horizontal="center" vertical="center"/>
    </xf>
    <xf numFmtId="43" fontId="112" fillId="0" borderId="41" xfId="124" applyFont="1" applyFill="1" applyBorder="1" applyAlignment="1">
      <alignment horizontal="center" vertical="center"/>
    </xf>
    <xf numFmtId="185" fontId="111" fillId="0" borderId="5" xfId="124" applyNumberFormat="1" applyFont="1" applyFill="1" applyBorder="1" applyAlignment="1">
      <alignment horizontal="center" vertical="center"/>
    </xf>
    <xf numFmtId="43" fontId="111" fillId="0" borderId="4" xfId="124" applyFont="1" applyFill="1" applyBorder="1" applyAlignment="1">
      <alignment horizontal="center" vertical="center"/>
    </xf>
    <xf numFmtId="43" fontId="111" fillId="0" borderId="42" xfId="124" applyFont="1" applyFill="1" applyBorder="1" applyAlignment="1">
      <alignment horizontal="center" vertical="center"/>
    </xf>
    <xf numFmtId="185" fontId="111" fillId="0" borderId="25" xfId="124" applyNumberFormat="1" applyFont="1" applyFill="1" applyBorder="1" applyAlignment="1">
      <alignment horizontal="center" vertical="center"/>
    </xf>
    <xf numFmtId="188" fontId="112" fillId="0" borderId="5" xfId="124" applyNumberFormat="1" applyFont="1" applyFill="1" applyBorder="1" applyAlignment="1">
      <alignment horizontal="center" vertical="center"/>
    </xf>
    <xf numFmtId="43" fontId="112" fillId="0" borderId="4" xfId="124" applyFont="1" applyFill="1" applyBorder="1" applyAlignment="1">
      <alignment horizontal="center" vertical="center"/>
    </xf>
    <xf numFmtId="43" fontId="112" fillId="0" borderId="42" xfId="124" applyFont="1" applyFill="1" applyBorder="1" applyAlignment="1">
      <alignment horizontal="center" vertical="center"/>
    </xf>
    <xf numFmtId="185" fontId="112" fillId="0" borderId="5" xfId="124" applyNumberFormat="1" applyFont="1" applyFill="1" applyBorder="1" applyAlignment="1">
      <alignment horizontal="center" vertical="center"/>
    </xf>
    <xf numFmtId="43" fontId="111" fillId="0" borderId="4" xfId="124" applyFont="1" applyFill="1" applyBorder="1" applyAlignment="1">
      <alignment horizontal="right" vertical="center"/>
    </xf>
    <xf numFmtId="186" fontId="111" fillId="0" borderId="5" xfId="124" applyNumberFormat="1" applyFont="1" applyFill="1" applyBorder="1" applyAlignment="1">
      <alignment horizontal="center" vertical="center"/>
    </xf>
    <xf numFmtId="43" fontId="112" fillId="0" borderId="4" xfId="124" applyFont="1" applyFill="1" applyBorder="1" applyAlignment="1">
      <alignment horizontal="right" vertical="center"/>
    </xf>
    <xf numFmtId="185" fontId="112" fillId="0" borderId="25" xfId="124" applyNumberFormat="1" applyFont="1" applyFill="1" applyBorder="1" applyAlignment="1">
      <alignment horizontal="center" vertical="center"/>
    </xf>
    <xf numFmtId="186" fontId="112" fillId="0" borderId="5" xfId="124" applyNumberFormat="1" applyFont="1" applyFill="1" applyBorder="1" applyAlignment="1">
      <alignment horizontal="center" vertical="center"/>
    </xf>
    <xf numFmtId="185" fontId="135" fillId="0" borderId="5" xfId="124" applyNumberFormat="1" applyFont="1" applyFill="1" applyBorder="1" applyAlignment="1">
      <alignment horizontal="center" vertical="center"/>
    </xf>
    <xf numFmtId="43" fontId="135" fillId="0" borderId="4" xfId="124" applyFont="1" applyFill="1" applyBorder="1" applyAlignment="1">
      <alignment horizontal="center" vertical="center"/>
    </xf>
    <xf numFmtId="43" fontId="135" fillId="0" borderId="4" xfId="124" applyFont="1" applyFill="1" applyBorder="1" applyAlignment="1">
      <alignment horizontal="right" vertical="center"/>
    </xf>
    <xf numFmtId="183" fontId="107" fillId="0" borderId="0" xfId="0" applyNumberFormat="1" applyFont="1" applyFill="1" applyAlignment="1">
      <alignment horizontal="center" vertical="center"/>
    </xf>
    <xf numFmtId="0" fontId="105" fillId="0" borderId="12" xfId="0" applyFont="1" applyFill="1" applyBorder="1" applyAlignment="1">
      <alignment horizontal="center" vertical="center"/>
    </xf>
    <xf numFmtId="43" fontId="136" fillId="0" borderId="42" xfId="124" applyFont="1" applyFill="1" applyBorder="1" applyAlignment="1">
      <alignment horizontal="center" vertical="center"/>
    </xf>
    <xf numFmtId="43" fontId="112" fillId="0" borderId="5" xfId="124" applyFont="1" applyFill="1" applyBorder="1" applyAlignment="1">
      <alignment horizontal="center" vertical="center"/>
    </xf>
    <xf numFmtId="185" fontId="136" fillId="0" borderId="5" xfId="124" applyNumberFormat="1" applyFont="1" applyFill="1" applyBorder="1" applyAlignment="1">
      <alignment horizontal="center" vertical="center"/>
    </xf>
    <xf numFmtId="43" fontId="136" fillId="0" borderId="4" xfId="124" applyFont="1" applyFill="1" applyBorder="1" applyAlignment="1">
      <alignment horizontal="center" vertical="center"/>
    </xf>
    <xf numFmtId="43" fontId="136" fillId="0" borderId="5" xfId="124" applyFont="1" applyFill="1" applyBorder="1" applyAlignment="1">
      <alignment horizontal="center" vertical="center"/>
    </xf>
    <xf numFmtId="185" fontId="136" fillId="0" borderId="25" xfId="124" applyNumberFormat="1" applyFont="1" applyFill="1" applyBorder="1" applyAlignment="1">
      <alignment horizontal="center" vertical="center"/>
    </xf>
    <xf numFmtId="43" fontId="111" fillId="0" borderId="12" xfId="124" applyFont="1" applyFill="1" applyBorder="1" applyAlignment="1">
      <alignment horizontal="center" vertical="center"/>
    </xf>
    <xf numFmtId="43" fontId="114" fillId="0" borderId="0" xfId="124" applyFont="1" applyFill="1" applyBorder="1" applyAlignment="1">
      <alignment vertical="center"/>
    </xf>
    <xf numFmtId="43" fontId="111" fillId="0" borderId="4" xfId="124" applyFont="1" applyFill="1" applyBorder="1" applyAlignment="1">
      <alignment vertical="center"/>
    </xf>
    <xf numFmtId="43" fontId="111" fillId="0" borderId="0" xfId="124" applyFont="1" applyFill="1" applyBorder="1" applyAlignment="1">
      <alignment horizontal="center" vertical="center"/>
    </xf>
    <xf numFmtId="43" fontId="112" fillId="0" borderId="42" xfId="124" applyFont="1" applyFill="1" applyBorder="1" applyAlignment="1">
      <alignment horizontal="right" vertical="center"/>
    </xf>
    <xf numFmtId="43" fontId="12" fillId="0" borderId="0" xfId="124" applyFont="1" applyFill="1" applyBorder="1" applyAlignment="1">
      <alignment vertical="center"/>
    </xf>
    <xf numFmtId="187" fontId="107" fillId="0" borderId="0" xfId="0" applyNumberFormat="1" applyFont="1" applyFill="1" applyAlignment="1">
      <alignment horizontal="center" vertical="center"/>
    </xf>
    <xf numFmtId="185" fontId="111" fillId="0" borderId="25" xfId="124" applyNumberFormat="1" applyFont="1" applyFill="1" applyBorder="1" applyAlignment="1">
      <alignment vertical="center"/>
    </xf>
    <xf numFmtId="43" fontId="112" fillId="0" borderId="4" xfId="124" applyFont="1" applyFill="1" applyBorder="1" applyAlignment="1">
      <alignment vertical="center"/>
    </xf>
    <xf numFmtId="186" fontId="111" fillId="0" borderId="0" xfId="124" applyNumberFormat="1" applyFont="1" applyFill="1" applyBorder="1" applyAlignment="1">
      <alignment horizontal="center" vertical="center"/>
    </xf>
    <xf numFmtId="186" fontId="111" fillId="0" borderId="10" xfId="124" applyNumberFormat="1" applyFont="1" applyFill="1" applyBorder="1" applyAlignment="1">
      <alignment horizontal="center" vertical="center"/>
    </xf>
    <xf numFmtId="43" fontId="111" fillId="0" borderId="55" xfId="124" applyFont="1" applyFill="1" applyBorder="1" applyAlignment="1">
      <alignment horizontal="center" vertical="center"/>
    </xf>
    <xf numFmtId="43" fontId="112" fillId="0" borderId="6" xfId="124" applyFont="1" applyFill="1" applyBorder="1" applyAlignment="1">
      <alignment horizontal="center" vertical="center"/>
    </xf>
    <xf numFmtId="186" fontId="111" fillId="0" borderId="4" xfId="124" applyNumberFormat="1" applyFont="1" applyFill="1" applyBorder="1" applyAlignment="1">
      <alignment horizontal="center" vertical="center"/>
    </xf>
    <xf numFmtId="186" fontId="105" fillId="0" borderId="42" xfId="120" applyNumberFormat="1" applyFont="1" applyFill="1" applyBorder="1" applyAlignment="1">
      <alignment horizontal="center" vertical="center"/>
    </xf>
    <xf numFmtId="186" fontId="107" fillId="0" borderId="0" xfId="0" applyNumberFormat="1" applyFont="1" applyFill="1" applyAlignment="1">
      <alignment horizontal="center" vertical="center"/>
    </xf>
    <xf numFmtId="189" fontId="112" fillId="0" borderId="25" xfId="124" applyNumberFormat="1" applyFont="1" applyFill="1" applyBorder="1" applyAlignment="1">
      <alignment horizontal="center" vertical="center"/>
    </xf>
    <xf numFmtId="43" fontId="112" fillId="0" borderId="25" xfId="124" applyFont="1" applyFill="1" applyBorder="1" applyAlignment="1">
      <alignment horizontal="center" vertical="center"/>
    </xf>
    <xf numFmtId="189" fontId="111" fillId="0" borderId="25" xfId="124" applyNumberFormat="1" applyFont="1" applyFill="1" applyBorder="1" applyAlignment="1">
      <alignment horizontal="center" vertical="center"/>
    </xf>
    <xf numFmtId="43" fontId="111" fillId="0" borderId="0" xfId="124" applyFont="1" applyFill="1" applyAlignment="1">
      <alignment horizontal="center" vertical="center"/>
    </xf>
    <xf numFmtId="43" fontId="111" fillId="0" borderId="5" xfId="124" applyFont="1" applyFill="1" applyBorder="1" applyAlignment="1">
      <alignment horizontal="center" vertical="center"/>
    </xf>
    <xf numFmtId="184" fontId="105" fillId="0" borderId="6" xfId="120" applyNumberFormat="1" applyFont="1" applyFill="1" applyBorder="1" applyAlignment="1">
      <alignment vertical="center"/>
    </xf>
    <xf numFmtId="198" fontId="111" fillId="0" borderId="4" xfId="124" applyNumberFormat="1" applyFont="1" applyFill="1" applyBorder="1" applyAlignment="1">
      <alignment horizontal="center" vertical="center"/>
    </xf>
    <xf numFmtId="185" fontId="112" fillId="0" borderId="20" xfId="124" applyNumberFormat="1" applyFont="1" applyFill="1" applyBorder="1" applyAlignment="1">
      <alignment horizontal="center" vertical="center"/>
    </xf>
    <xf numFmtId="43" fontId="112" fillId="0" borderId="15" xfId="124" applyFont="1" applyFill="1" applyBorder="1" applyAlignment="1">
      <alignment horizontal="center" vertical="center"/>
    </xf>
    <xf numFmtId="43" fontId="111" fillId="0" borderId="15" xfId="124" applyFont="1" applyFill="1" applyBorder="1" applyAlignment="1">
      <alignment horizontal="center" vertical="center"/>
    </xf>
    <xf numFmtId="43" fontId="111" fillId="0" borderId="15" xfId="124" applyFont="1" applyFill="1" applyBorder="1" applyAlignment="1">
      <alignment horizontal="right" vertical="center"/>
    </xf>
    <xf numFmtId="43" fontId="112" fillId="0" borderId="64" xfId="124" applyFont="1" applyFill="1" applyBorder="1" applyAlignment="1">
      <alignment horizontal="center" vertical="center"/>
    </xf>
    <xf numFmtId="185" fontId="112" fillId="0" borderId="63" xfId="124" applyNumberFormat="1" applyFont="1" applyFill="1" applyBorder="1" applyAlignment="1">
      <alignment horizontal="center" vertical="center"/>
    </xf>
    <xf numFmtId="43" fontId="105" fillId="0" borderId="65" xfId="120" applyFont="1" applyFill="1" applyBorder="1" applyAlignment="1">
      <alignment horizontal="center" vertical="center"/>
    </xf>
    <xf numFmtId="43" fontId="105" fillId="0" borderId="36" xfId="120" applyFont="1" applyFill="1" applyBorder="1" applyAlignment="1">
      <alignment horizontal="center" vertical="center"/>
    </xf>
    <xf numFmtId="43" fontId="105" fillId="0" borderId="37" xfId="120" applyFont="1" applyFill="1" applyBorder="1" applyAlignment="1">
      <alignment horizontal="center" vertical="center"/>
    </xf>
    <xf numFmtId="43" fontId="112" fillId="0" borderId="35" xfId="124" applyFont="1" applyFill="1" applyBorder="1" applyAlignment="1">
      <alignment vertical="center"/>
    </xf>
    <xf numFmtId="186" fontId="112" fillId="0" borderId="35" xfId="124" applyNumberFormat="1" applyFont="1" applyFill="1" applyBorder="1" applyAlignment="1">
      <alignment vertical="center"/>
    </xf>
    <xf numFmtId="43" fontId="112" fillId="0" borderId="72" xfId="124" applyFont="1" applyFill="1" applyBorder="1" applyAlignment="1">
      <alignment vertical="center"/>
    </xf>
    <xf numFmtId="188" fontId="105" fillId="0" borderId="0" xfId="120" applyNumberFormat="1" applyFont="1" applyFill="1" applyAlignment="1">
      <alignment horizontal="center" vertical="center"/>
    </xf>
    <xf numFmtId="185" fontId="111" fillId="0" borderId="0" xfId="124" applyNumberFormat="1" applyFont="1" applyFill="1" applyAlignment="1">
      <alignment vertical="center" wrapText="1"/>
    </xf>
    <xf numFmtId="43" fontId="111" fillId="0" borderId="0" xfId="124" applyFont="1" applyFill="1" applyAlignment="1">
      <alignment horizontal="center" vertical="center" wrapText="1"/>
    </xf>
    <xf numFmtId="43" fontId="111" fillId="0" borderId="0" xfId="124" applyFont="1" applyFill="1" applyAlignment="1">
      <alignment vertical="center" wrapText="1"/>
    </xf>
    <xf numFmtId="43" fontId="111" fillId="0" borderId="0" xfId="124" applyFont="1" applyFill="1" applyAlignment="1">
      <alignment vertical="center"/>
    </xf>
    <xf numFmtId="43" fontId="112" fillId="0" borderId="0" xfId="124" applyFont="1" applyFill="1" applyBorder="1" applyAlignment="1">
      <alignment vertical="center"/>
    </xf>
    <xf numFmtId="185" fontId="111" fillId="0" borderId="0" xfId="124" applyNumberFormat="1" applyFont="1" applyFill="1" applyBorder="1" applyAlignment="1">
      <alignment vertical="center" wrapText="1"/>
    </xf>
    <xf numFmtId="43" fontId="111" fillId="0" borderId="0" xfId="124" applyFont="1" applyFill="1" applyBorder="1" applyAlignment="1">
      <alignment vertical="center"/>
    </xf>
    <xf numFmtId="43" fontId="111" fillId="0" borderId="0" xfId="124" applyFont="1" applyFill="1" applyBorder="1" applyAlignment="1">
      <alignment horizontal="center" vertical="center" wrapText="1"/>
    </xf>
    <xf numFmtId="43" fontId="137" fillId="0" borderId="0" xfId="124" applyFont="1" applyFill="1" applyAlignment="1">
      <alignment vertical="center" wrapText="1"/>
    </xf>
    <xf numFmtId="43" fontId="112" fillId="0" borderId="0" xfId="124" applyFont="1" applyFill="1" applyAlignment="1">
      <alignment horizontal="center" vertical="center"/>
    </xf>
    <xf numFmtId="43" fontId="112" fillId="0" borderId="0" xfId="124" applyFont="1" applyFill="1" applyAlignment="1">
      <alignment horizontal="center" vertical="center" wrapText="1"/>
    </xf>
    <xf numFmtId="0" fontId="115" fillId="0" borderId="0" xfId="119" applyNumberFormat="1" applyFont="1" applyFill="1" applyAlignment="1">
      <alignment horizontal="left" vertical="center" wrapText="1"/>
    </xf>
    <xf numFmtId="164" fontId="115" fillId="0" borderId="0" xfId="119" applyFont="1" applyFill="1" applyBorder="1" applyAlignment="1">
      <alignment horizontal="center" vertical="center"/>
    </xf>
    <xf numFmtId="164" fontId="115" fillId="0" borderId="0" xfId="119" applyFont="1" applyFill="1" applyAlignment="1">
      <alignment horizontal="center" vertical="center"/>
    </xf>
    <xf numFmtId="2" fontId="115" fillId="0" borderId="0" xfId="119" applyNumberFormat="1" applyFont="1" applyFill="1" applyAlignment="1">
      <alignment horizontal="center" vertical="center"/>
    </xf>
    <xf numFmtId="2" fontId="138" fillId="0" borderId="0" xfId="124" applyNumberFormat="1" applyFont="1" applyFill="1" applyBorder="1" applyAlignment="1">
      <alignment horizontal="center" vertical="center"/>
    </xf>
    <xf numFmtId="2" fontId="138" fillId="0" borderId="0" xfId="124" applyNumberFormat="1" applyFont="1" applyFill="1" applyAlignment="1">
      <alignment horizontal="center" vertical="center"/>
    </xf>
    <xf numFmtId="43" fontId="138" fillId="0" borderId="0" xfId="124" applyFont="1" applyFill="1" applyAlignment="1">
      <alignment horizontal="center" vertical="center"/>
    </xf>
    <xf numFmtId="2" fontId="139" fillId="0" borderId="73" xfId="124" applyNumberFormat="1" applyFont="1" applyFill="1" applyBorder="1" applyAlignment="1">
      <alignment horizontal="left" vertical="center"/>
    </xf>
    <xf numFmtId="2" fontId="140" fillId="0" borderId="32" xfId="124" applyNumberFormat="1" applyFont="1" applyFill="1" applyBorder="1" applyAlignment="1">
      <alignment horizontal="center" vertical="center"/>
    </xf>
    <xf numFmtId="43" fontId="139" fillId="0" borderId="74" xfId="124" applyFont="1" applyFill="1" applyBorder="1" applyAlignment="1">
      <alignment horizontal="center" vertical="center"/>
    </xf>
    <xf numFmtId="185" fontId="111" fillId="0" borderId="0" xfId="124" applyNumberFormat="1" applyFont="1" applyFill="1" applyAlignment="1">
      <alignment horizontal="center" vertical="center"/>
    </xf>
    <xf numFmtId="186" fontId="111" fillId="0" borderId="0" xfId="124" applyNumberFormat="1" applyFont="1" applyFill="1" applyAlignment="1">
      <alignment horizontal="center" vertical="center"/>
    </xf>
    <xf numFmtId="2" fontId="139" fillId="0" borderId="52" xfId="124" applyNumberFormat="1" applyFont="1" applyFill="1" applyBorder="1" applyAlignment="1">
      <alignment horizontal="left" vertical="center"/>
    </xf>
    <xf numFmtId="43" fontId="141" fillId="0" borderId="49" xfId="124" applyFont="1" applyFill="1" applyBorder="1" applyAlignment="1">
      <alignment horizontal="center" vertical="center"/>
    </xf>
    <xf numFmtId="43" fontId="139" fillId="0" borderId="53" xfId="124" applyNumberFormat="1" applyFont="1" applyFill="1" applyBorder="1" applyAlignment="1">
      <alignment horizontal="center" vertical="center"/>
    </xf>
    <xf numFmtId="43" fontId="135" fillId="0" borderId="0" xfId="124" applyFont="1" applyFill="1" applyAlignment="1">
      <alignment horizontal="center" vertical="center"/>
    </xf>
    <xf numFmtId="185" fontId="111" fillId="0" borderId="0" xfId="124" applyNumberFormat="1" applyFont="1" applyFill="1" applyBorder="1" applyAlignment="1">
      <alignment horizontal="center" vertical="center"/>
    </xf>
    <xf numFmtId="185" fontId="112" fillId="0" borderId="0" xfId="124" applyNumberFormat="1" applyFont="1" applyFill="1" applyAlignment="1">
      <alignment horizontal="center" vertical="center"/>
    </xf>
    <xf numFmtId="187" fontId="112" fillId="0" borderId="0" xfId="124" applyNumberFormat="1" applyFont="1" applyFill="1" applyBorder="1" applyAlignment="1">
      <alignment horizontal="center" vertical="center"/>
    </xf>
    <xf numFmtId="43" fontId="142" fillId="0" borderId="35" xfId="124" applyFont="1" applyFill="1" applyBorder="1" applyAlignment="1">
      <alignment horizontal="left" vertical="center"/>
    </xf>
    <xf numFmtId="190" fontId="112" fillId="0" borderId="36" xfId="124" applyNumberFormat="1" applyFont="1" applyFill="1" applyBorder="1" applyAlignment="1">
      <alignment horizontal="right" vertical="center"/>
    </xf>
    <xf numFmtId="43" fontId="142" fillId="0" borderId="38" xfId="124" applyFont="1" applyFill="1" applyBorder="1" applyAlignment="1">
      <alignment horizontal="center" vertical="center"/>
    </xf>
    <xf numFmtId="191" fontId="112" fillId="0" borderId="0" xfId="119" applyNumberFormat="1" applyFont="1" applyFill="1" applyBorder="1" applyAlignment="1">
      <alignment horizontal="center" vertical="center"/>
    </xf>
    <xf numFmtId="43" fontId="112" fillId="0" borderId="0" xfId="124" applyFont="1" applyFill="1" applyAlignment="1">
      <alignment horizontal="left" vertical="center"/>
    </xf>
    <xf numFmtId="192" fontId="112" fillId="0" borderId="0" xfId="119" applyNumberFormat="1" applyFont="1" applyFill="1" applyBorder="1" applyAlignment="1">
      <alignment horizontal="center" vertical="center"/>
    </xf>
    <xf numFmtId="43" fontId="111" fillId="0" borderId="0" xfId="124" applyFont="1" applyFill="1" applyAlignment="1">
      <alignment horizontal="left" vertical="center"/>
    </xf>
    <xf numFmtId="164" fontId="111" fillId="0" borderId="0" xfId="119" applyFont="1" applyFill="1" applyAlignment="1">
      <alignment horizontal="center" vertical="center"/>
    </xf>
    <xf numFmtId="0" fontId="105" fillId="0" borderId="30" xfId="119" applyNumberFormat="1" applyFont="1" applyFill="1" applyBorder="1" applyAlignment="1">
      <alignment horizontal="left" vertical="center"/>
    </xf>
    <xf numFmtId="0" fontId="107" fillId="0" borderId="26" xfId="119" applyNumberFormat="1" applyFont="1" applyFill="1" applyBorder="1" applyAlignment="1">
      <alignment horizontal="left" vertical="center"/>
    </xf>
    <xf numFmtId="185" fontId="111" fillId="0" borderId="4" xfId="124" applyNumberFormat="1" applyFont="1" applyFill="1" applyBorder="1" applyAlignment="1">
      <alignment horizontal="center" vertical="center"/>
    </xf>
    <xf numFmtId="164" fontId="111" fillId="0" borderId="4" xfId="119" applyFont="1" applyFill="1" applyBorder="1" applyAlignment="1">
      <alignment horizontal="center" vertical="center"/>
    </xf>
    <xf numFmtId="0" fontId="105" fillId="0" borderId="26" xfId="119" applyNumberFormat="1" applyFont="1" applyFill="1" applyBorder="1" applyAlignment="1">
      <alignment horizontal="left" vertical="center"/>
    </xf>
    <xf numFmtId="185" fontId="111" fillId="0" borderId="15" xfId="124" applyNumberFormat="1" applyFont="1" applyFill="1" applyBorder="1" applyAlignment="1">
      <alignment horizontal="center" vertical="center"/>
    </xf>
    <xf numFmtId="164" fontId="111" fillId="0" borderId="15" xfId="119" applyFont="1" applyFill="1" applyBorder="1" applyAlignment="1">
      <alignment horizontal="center" vertical="center"/>
    </xf>
    <xf numFmtId="0" fontId="105" fillId="0" borderId="47" xfId="119" applyNumberFormat="1" applyFont="1" applyFill="1" applyBorder="1" applyAlignment="1">
      <alignment horizontal="left" vertical="center" wrapText="1"/>
    </xf>
    <xf numFmtId="185" fontId="112" fillId="0" borderId="36" xfId="124" applyNumberFormat="1" applyFont="1" applyFill="1" applyBorder="1" applyAlignment="1">
      <alignment horizontal="center" vertical="center"/>
    </xf>
    <xf numFmtId="43" fontId="112" fillId="0" borderId="36" xfId="124" applyFont="1" applyFill="1" applyBorder="1" applyAlignment="1">
      <alignment horizontal="center" vertical="center"/>
    </xf>
    <xf numFmtId="43" fontId="111" fillId="0" borderId="36" xfId="124" applyFont="1" applyFill="1" applyBorder="1" applyAlignment="1">
      <alignment horizontal="center" vertical="center"/>
    </xf>
    <xf numFmtId="43" fontId="112" fillId="0" borderId="36" xfId="119" applyNumberFormat="1" applyFont="1" applyFill="1" applyBorder="1" applyAlignment="1">
      <alignment horizontal="center" vertical="center"/>
    </xf>
    <xf numFmtId="43" fontId="112" fillId="0" borderId="38" xfId="119" applyNumberFormat="1" applyFont="1" applyFill="1" applyBorder="1" applyAlignment="1">
      <alignment horizontal="center" vertical="center"/>
    </xf>
    <xf numFmtId="199" fontId="122" fillId="0" borderId="4" xfId="0" applyNumberFormat="1" applyFont="1" applyFill="1" applyBorder="1" applyAlignment="1">
      <alignment horizontal="right" vertical="center"/>
    </xf>
    <xf numFmtId="0" fontId="13" fillId="4" borderId="0" xfId="0" applyFont="1" applyFill="1" applyAlignment="1">
      <alignment horizontal="left"/>
    </xf>
    <xf numFmtId="0" fontId="11" fillId="0" borderId="23" xfId="0" applyFont="1" applyFill="1" applyBorder="1"/>
    <xf numFmtId="0" fontId="11" fillId="0" borderId="21" xfId="0" applyFont="1" applyFill="1" applyBorder="1"/>
    <xf numFmtId="0" fontId="11" fillId="0" borderId="22" xfId="0" applyFont="1" applyFill="1" applyBorder="1"/>
    <xf numFmtId="0" fontId="32" fillId="0" borderId="4" xfId="0" applyFont="1" applyBorder="1" applyAlignment="1">
      <alignment vertical="top" wrapText="1"/>
    </xf>
    <xf numFmtId="0" fontId="32" fillId="0" borderId="4" xfId="0" applyFont="1" applyBorder="1" applyAlignment="1">
      <alignment horizontal="center" wrapText="1"/>
    </xf>
    <xf numFmtId="0" fontId="30" fillId="0" borderId="4" xfId="0" applyFont="1" applyBorder="1" applyAlignment="1">
      <alignment horizontal="center" vertical="center" wrapText="1"/>
    </xf>
    <xf numFmtId="0" fontId="42" fillId="0" borderId="4" xfId="0" applyFont="1" applyBorder="1" applyAlignment="1">
      <alignment horizontal="center" vertical="center" wrapText="1"/>
    </xf>
    <xf numFmtId="0" fontId="30" fillId="0" borderId="4" xfId="0" applyFont="1" applyBorder="1" applyAlignment="1">
      <alignment vertical="top" wrapText="1"/>
    </xf>
    <xf numFmtId="0" fontId="14" fillId="8" borderId="4" xfId="0" applyFont="1" applyFill="1" applyBorder="1" applyAlignment="1">
      <alignment horizontal="center" vertical="center"/>
    </xf>
    <xf numFmtId="0" fontId="14" fillId="0" borderId="0" xfId="0" applyFont="1" applyFill="1" applyAlignment="1">
      <alignment horizontal="left"/>
    </xf>
    <xf numFmtId="0" fontId="14" fillId="0" borderId="4" xfId="0" applyFont="1" applyBorder="1" applyAlignment="1">
      <alignment horizontal="center" vertical="center" wrapText="1"/>
    </xf>
    <xf numFmtId="0" fontId="13" fillId="0" borderId="0" xfId="0" applyFont="1" applyAlignment="1">
      <alignment horizontal="left"/>
    </xf>
    <xf numFmtId="0" fontId="14" fillId="8" borderId="4" xfId="0" applyFont="1" applyFill="1" applyBorder="1" applyAlignment="1">
      <alignment horizontal="center" vertical="center" wrapText="1"/>
    </xf>
    <xf numFmtId="49" fontId="14" fillId="0" borderId="4" xfId="0" applyNumberFormat="1" applyFont="1" applyBorder="1" applyAlignment="1">
      <alignment horizontal="center" vertical="center" wrapText="1"/>
    </xf>
    <xf numFmtId="0" fontId="14" fillId="0" borderId="6" xfId="0" applyFont="1" applyFill="1" applyBorder="1" applyAlignment="1">
      <alignment horizontal="left" vertical="center" wrapText="1"/>
    </xf>
    <xf numFmtId="0" fontId="14" fillId="0" borderId="12" xfId="0" applyFont="1" applyFill="1" applyBorder="1" applyAlignment="1">
      <alignment horizontal="left" vertical="center" wrapText="1"/>
    </xf>
    <xf numFmtId="1" fontId="14" fillId="0" borderId="6" xfId="0" applyNumberFormat="1" applyFont="1" applyFill="1" applyBorder="1" applyAlignment="1">
      <alignment horizontal="left"/>
    </xf>
    <xf numFmtId="1" fontId="14" fillId="0" borderId="12" xfId="0" applyNumberFormat="1" applyFont="1" applyFill="1" applyBorder="1" applyAlignment="1">
      <alignment horizontal="left"/>
    </xf>
    <xf numFmtId="0" fontId="14" fillId="0" borderId="6" xfId="67" applyFont="1" applyBorder="1" applyAlignment="1">
      <alignment horizontal="left" vertical="center" wrapText="1"/>
    </xf>
    <xf numFmtId="0" fontId="14" fillId="0" borderId="3" xfId="67" applyFont="1" applyBorder="1" applyAlignment="1">
      <alignment horizontal="left" vertical="center" wrapText="1"/>
    </xf>
    <xf numFmtId="0" fontId="14" fillId="0" borderId="12" xfId="67" applyFont="1" applyBorder="1" applyAlignment="1">
      <alignment horizontal="left" vertical="center" wrapText="1"/>
    </xf>
    <xf numFmtId="0" fontId="14" fillId="0" borderId="15" xfId="67" applyFont="1" applyBorder="1" applyAlignment="1">
      <alignment horizontal="center" vertical="top"/>
    </xf>
    <xf numFmtId="0" fontId="14" fillId="0" borderId="9" xfId="67" applyFont="1" applyBorder="1" applyAlignment="1">
      <alignment horizontal="center" vertical="top"/>
    </xf>
    <xf numFmtId="0" fontId="14" fillId="0" borderId="7" xfId="67" applyFont="1" applyBorder="1" applyAlignment="1">
      <alignment horizontal="center" vertical="top"/>
    </xf>
    <xf numFmtId="0" fontId="10" fillId="0" borderId="15" xfId="67" applyFont="1" applyBorder="1" applyAlignment="1">
      <alignment horizontal="center" vertical="top" wrapText="1"/>
    </xf>
    <xf numFmtId="0" fontId="10" fillId="0" borderId="9" xfId="67" applyFont="1" applyBorder="1" applyAlignment="1">
      <alignment horizontal="center" vertical="top" wrapText="1"/>
    </xf>
    <xf numFmtId="0" fontId="10" fillId="0" borderId="7" xfId="67" applyFont="1" applyBorder="1" applyAlignment="1">
      <alignment horizontal="center" vertical="top" wrapText="1"/>
    </xf>
    <xf numFmtId="0" fontId="14" fillId="0" borderId="6" xfId="67" applyFont="1" applyBorder="1" applyAlignment="1">
      <alignment horizontal="left" vertical="center"/>
    </xf>
    <xf numFmtId="0" fontId="14" fillId="0" borderId="12" xfId="67" applyFont="1" applyBorder="1" applyAlignment="1">
      <alignment horizontal="left" vertical="center"/>
    </xf>
    <xf numFmtId="0" fontId="14" fillId="8" borderId="16" xfId="0" applyFont="1" applyFill="1" applyBorder="1" applyAlignment="1">
      <alignment horizontal="center" vertical="center"/>
    </xf>
    <xf numFmtId="0" fontId="14" fillId="8" borderId="13" xfId="0" applyFont="1" applyFill="1" applyBorder="1" applyAlignment="1">
      <alignment horizontal="center" vertical="center"/>
    </xf>
    <xf numFmtId="0" fontId="14" fillId="8" borderId="17" xfId="0" applyFont="1" applyFill="1" applyBorder="1" applyAlignment="1">
      <alignment horizontal="center" vertical="center"/>
    </xf>
    <xf numFmtId="0" fontId="14" fillId="8" borderId="18" xfId="0" applyFont="1" applyFill="1" applyBorder="1" applyAlignment="1">
      <alignment horizontal="center" vertical="center"/>
    </xf>
    <xf numFmtId="0" fontId="10" fillId="0" borderId="6" xfId="67" applyFont="1" applyBorder="1" applyAlignment="1">
      <alignment horizontal="left" vertical="center" wrapText="1"/>
    </xf>
    <xf numFmtId="0" fontId="10" fillId="0" borderId="12" xfId="67" applyFont="1" applyBorder="1" applyAlignment="1">
      <alignment horizontal="left" vertical="center" wrapText="1"/>
    </xf>
    <xf numFmtId="0" fontId="13" fillId="0" borderId="0" xfId="0" applyFont="1"/>
    <xf numFmtId="0" fontId="14" fillId="8" borderId="6"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7" fillId="8" borderId="15" xfId="0" applyFont="1" applyFill="1" applyBorder="1" applyAlignment="1">
      <alignment horizontal="center" vertical="center"/>
    </xf>
    <xf numFmtId="0" fontId="17" fillId="8" borderId="9" xfId="0" applyFont="1" applyFill="1" applyBorder="1" applyAlignment="1">
      <alignment horizontal="center" vertical="center"/>
    </xf>
    <xf numFmtId="0" fontId="14" fillId="8" borderId="12" xfId="0" applyFont="1" applyFill="1" applyBorder="1" applyAlignment="1">
      <alignment horizontal="center" vertical="center" wrapText="1"/>
    </xf>
    <xf numFmtId="0" fontId="0" fillId="0" borderId="4" xfId="0" applyFont="1" applyBorder="1" applyAlignment="1">
      <alignment horizontal="left" vertical="center" wrapText="1"/>
    </xf>
    <xf numFmtId="0" fontId="14" fillId="8" borderId="6" xfId="18" applyFont="1" applyFill="1" applyBorder="1" applyAlignment="1">
      <alignment horizontal="center"/>
    </xf>
    <xf numFmtId="0" fontId="14" fillId="8" borderId="12" xfId="18" applyFont="1" applyFill="1" applyBorder="1" applyAlignment="1">
      <alignment horizontal="center"/>
    </xf>
    <xf numFmtId="0" fontId="14" fillId="8" borderId="4" xfId="18" applyFont="1" applyFill="1" applyBorder="1" applyAlignment="1">
      <alignment horizontal="center"/>
    </xf>
    <xf numFmtId="0" fontId="0" fillId="0" borderId="15" xfId="0" applyFont="1" applyBorder="1" applyAlignment="1">
      <alignment horizontal="left" vertical="center" wrapText="1"/>
    </xf>
    <xf numFmtId="0" fontId="0" fillId="0" borderId="7" xfId="0" applyFont="1" applyBorder="1" applyAlignment="1">
      <alignment horizontal="left" vertical="center" wrapText="1"/>
    </xf>
    <xf numFmtId="0" fontId="14" fillId="8" borderId="15"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0" fillId="0" borderId="11" xfId="0" applyFont="1" applyBorder="1" applyAlignment="1">
      <alignment horizontal="center"/>
    </xf>
    <xf numFmtId="0" fontId="14" fillId="8" borderId="15" xfId="18" applyFont="1" applyFill="1" applyBorder="1" applyAlignment="1">
      <alignment horizontal="center" vertical="center"/>
    </xf>
    <xf numFmtId="0" fontId="14" fillId="8" borderId="9" xfId="18" applyFont="1" applyFill="1" applyBorder="1" applyAlignment="1">
      <alignment horizontal="center" vertical="center"/>
    </xf>
    <xf numFmtId="0" fontId="14" fillId="8" borderId="7" xfId="18" applyFont="1" applyFill="1" applyBorder="1" applyAlignment="1">
      <alignment horizontal="center" vertical="center"/>
    </xf>
    <xf numFmtId="164" fontId="14" fillId="8" borderId="6" xfId="0" applyNumberFormat="1" applyFont="1" applyFill="1" applyBorder="1" applyAlignment="1">
      <alignment horizontal="center" vertical="center" wrapText="1"/>
    </xf>
    <xf numFmtId="164" fontId="14" fillId="8" borderId="12" xfId="0" applyNumberFormat="1" applyFont="1" applyFill="1" applyBorder="1" applyAlignment="1">
      <alignment horizontal="center" vertical="center" wrapText="1"/>
    </xf>
    <xf numFmtId="0" fontId="14" fillId="0" borderId="0" xfId="0" applyFont="1" applyFill="1" applyAlignment="1">
      <alignment horizontal="left" vertical="center"/>
    </xf>
    <xf numFmtId="0" fontId="14" fillId="4" borderId="0" xfId="0" applyFont="1" applyFill="1" applyAlignment="1">
      <alignment horizontal="center" vertical="center"/>
    </xf>
    <xf numFmtId="0" fontId="14" fillId="8" borderId="6"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12" xfId="0" applyFont="1" applyFill="1" applyBorder="1" applyAlignment="1">
      <alignment horizontal="center" vertical="center"/>
    </xf>
    <xf numFmtId="0" fontId="10" fillId="0" borderId="0" xfId="0" applyFont="1" applyAlignment="1">
      <alignment horizontal="center" vertical="center"/>
    </xf>
    <xf numFmtId="0" fontId="14" fillId="8" borderId="4" xfId="0" applyFont="1" applyFill="1" applyBorder="1" applyAlignment="1">
      <alignment horizontal="justify" vertical="center" wrapText="1"/>
    </xf>
    <xf numFmtId="0" fontId="14" fillId="8" borderId="16"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8" borderId="0" xfId="0" applyFont="1" applyFill="1" applyAlignment="1">
      <alignment horizontal="center" vertical="center" wrapText="1"/>
    </xf>
    <xf numFmtId="0" fontId="14" fillId="8" borderId="1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0" borderId="0" xfId="0" applyFont="1" applyAlignment="1">
      <alignment horizontal="center" vertical="center"/>
    </xf>
    <xf numFmtId="0" fontId="14" fillId="8" borderId="24" xfId="0" applyFont="1" applyFill="1" applyBorder="1" applyAlignment="1">
      <alignment horizontal="center" vertical="center"/>
    </xf>
    <xf numFmtId="0" fontId="14" fillId="8" borderId="8" xfId="0" applyFont="1" applyFill="1" applyBorder="1" applyAlignment="1">
      <alignment horizontal="center" vertical="center"/>
    </xf>
    <xf numFmtId="0" fontId="14" fillId="8" borderId="11"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6" xfId="18" applyFont="1" applyFill="1" applyBorder="1" applyAlignment="1">
      <alignment horizontal="center" vertical="center"/>
    </xf>
    <xf numFmtId="0" fontId="14" fillId="8" borderId="3" xfId="18" applyFont="1" applyFill="1" applyBorder="1" applyAlignment="1">
      <alignment horizontal="center" vertical="center"/>
    </xf>
    <xf numFmtId="0" fontId="14" fillId="8" borderId="12" xfId="18" applyFont="1" applyFill="1" applyBorder="1" applyAlignment="1">
      <alignment horizontal="center" vertical="center"/>
    </xf>
    <xf numFmtId="0" fontId="14" fillId="4" borderId="0" xfId="0" applyFont="1" applyFill="1" applyAlignment="1">
      <alignment horizontal="center"/>
    </xf>
    <xf numFmtId="0" fontId="10" fillId="0" borderId="0" xfId="0" applyFont="1" applyAlignment="1">
      <alignment horizontal="center"/>
    </xf>
    <xf numFmtId="0" fontId="14" fillId="8" borderId="6" xfId="0" applyFont="1" applyFill="1" applyBorder="1" applyAlignment="1">
      <alignment horizontal="center"/>
    </xf>
    <xf numFmtId="0" fontId="14" fillId="8" borderId="3" xfId="0" applyFont="1" applyFill="1" applyBorder="1" applyAlignment="1">
      <alignment horizontal="center"/>
    </xf>
    <xf numFmtId="0" fontId="14" fillId="8" borderId="12" xfId="0" applyFont="1" applyFill="1" applyBorder="1" applyAlignment="1">
      <alignment horizontal="center"/>
    </xf>
    <xf numFmtId="0" fontId="14" fillId="8" borderId="8" xfId="0" applyFont="1" applyFill="1" applyBorder="1" applyAlignment="1">
      <alignment horizontal="center"/>
    </xf>
    <xf numFmtId="0" fontId="14" fillId="8" borderId="11" xfId="0" applyFont="1" applyFill="1" applyBorder="1" applyAlignment="1">
      <alignment horizontal="center"/>
    </xf>
    <xf numFmtId="0" fontId="14" fillId="8" borderId="19" xfId="0" applyFont="1" applyFill="1" applyBorder="1" applyAlignment="1">
      <alignment horizontal="center"/>
    </xf>
    <xf numFmtId="0" fontId="14" fillId="8" borderId="24" xfId="0" applyFont="1" applyFill="1" applyBorder="1" applyAlignment="1">
      <alignment horizontal="center"/>
    </xf>
    <xf numFmtId="0" fontId="14" fillId="8" borderId="27" xfId="0" applyFont="1" applyFill="1" applyBorder="1" applyAlignment="1">
      <alignment horizontal="center"/>
    </xf>
    <xf numFmtId="0" fontId="14" fillId="8" borderId="4" xfId="0" applyFont="1" applyFill="1" applyBorder="1" applyAlignment="1">
      <alignment horizontal="center"/>
    </xf>
    <xf numFmtId="0" fontId="14" fillId="0" borderId="4" xfId="0" applyFont="1" applyFill="1" applyBorder="1" applyAlignment="1">
      <alignment horizontal="center" vertical="center"/>
    </xf>
    <xf numFmtId="0" fontId="14" fillId="8" borderId="24" xfId="0" applyFont="1" applyFill="1" applyBorder="1" applyAlignment="1">
      <alignment horizontal="center" vertical="center" wrapText="1"/>
    </xf>
    <xf numFmtId="0" fontId="14" fillId="8" borderId="3" xfId="18" applyFont="1" applyFill="1" applyBorder="1" applyAlignment="1">
      <alignment horizontal="center"/>
    </xf>
    <xf numFmtId="0" fontId="14" fillId="8" borderId="4" xfId="18" applyFont="1" applyFill="1" applyBorder="1" applyAlignment="1">
      <alignment horizontal="center" vertical="center"/>
    </xf>
    <xf numFmtId="0" fontId="10" fillId="0" borderId="11" xfId="0" applyFont="1" applyBorder="1" applyAlignment="1">
      <alignment horizontal="center"/>
    </xf>
    <xf numFmtId="0" fontId="14" fillId="8" borderId="24" xfId="18" applyFont="1" applyFill="1" applyBorder="1" applyAlignment="1">
      <alignment horizontal="center" vertical="center"/>
    </xf>
    <xf numFmtId="0" fontId="14" fillId="8" borderId="15" xfId="18" applyFont="1" applyFill="1" applyBorder="1" applyAlignment="1">
      <alignment horizontal="center" vertical="center" wrapText="1"/>
    </xf>
    <xf numFmtId="0" fontId="0" fillId="0" borderId="0" xfId="0"/>
    <xf numFmtId="0" fontId="14" fillId="8" borderId="9" xfId="0" applyFont="1" applyFill="1" applyBorder="1" applyAlignment="1">
      <alignment horizontal="center" vertical="center"/>
    </xf>
    <xf numFmtId="0" fontId="14" fillId="8" borderId="7" xfId="0" applyFont="1" applyFill="1" applyBorder="1" applyAlignment="1">
      <alignment horizontal="center" vertical="center"/>
    </xf>
    <xf numFmtId="0" fontId="14" fillId="8" borderId="15" xfId="0" applyFont="1" applyFill="1" applyBorder="1" applyAlignment="1">
      <alignment horizontal="center" vertical="center"/>
    </xf>
    <xf numFmtId="164" fontId="13" fillId="0" borderId="0" xfId="73" applyFont="1"/>
    <xf numFmtId="164" fontId="14" fillId="8" borderId="6" xfId="73" applyFont="1" applyFill="1" applyBorder="1" applyAlignment="1">
      <alignment horizontal="center" vertical="center"/>
    </xf>
    <xf numFmtId="164" fontId="14" fillId="8" borderId="3" xfId="73" applyFont="1" applyFill="1" applyBorder="1" applyAlignment="1">
      <alignment horizontal="center" vertical="center"/>
    </xf>
    <xf numFmtId="164" fontId="14" fillId="8" borderId="12" xfId="73" applyFont="1" applyFill="1" applyBorder="1" applyAlignment="1">
      <alignment horizontal="center" vertical="center"/>
    </xf>
    <xf numFmtId="164" fontId="14" fillId="8" borderId="4" xfId="73" applyFont="1" applyFill="1" applyBorder="1" applyAlignment="1">
      <alignment horizontal="center" vertical="center"/>
    </xf>
    <xf numFmtId="0" fontId="14" fillId="0" borderId="0" xfId="0" applyFont="1" applyAlignment="1">
      <alignment horizontal="center"/>
    </xf>
    <xf numFmtId="0" fontId="14" fillId="8" borderId="14" xfId="0" applyFont="1" applyFill="1" applyBorder="1" applyAlignment="1">
      <alignment horizontal="center" vertical="center"/>
    </xf>
    <xf numFmtId="0" fontId="14" fillId="8" borderId="7" xfId="0" applyFont="1" applyFill="1" applyBorder="1" applyAlignment="1">
      <alignment horizontal="center" vertical="center" wrapText="1"/>
    </xf>
    <xf numFmtId="0" fontId="14" fillId="8" borderId="4" xfId="0" applyFont="1" applyFill="1" applyBorder="1" applyAlignment="1">
      <alignment horizontal="center" vertical="top" wrapText="1"/>
    </xf>
    <xf numFmtId="0" fontId="13" fillId="0" borderId="0" xfId="18" applyFont="1"/>
    <xf numFmtId="0" fontId="14" fillId="8" borderId="4" xfId="0" applyFont="1" applyFill="1" applyBorder="1" applyAlignment="1">
      <alignment horizontal="center" wrapText="1"/>
    </xf>
    <xf numFmtId="0" fontId="27" fillId="0" borderId="0" xfId="0" applyFont="1" applyFill="1"/>
    <xf numFmtId="0" fontId="17" fillId="0" borderId="4"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0" xfId="0" applyFont="1" applyFill="1" applyAlignment="1">
      <alignment horizontal="center" vertical="center" wrapText="1"/>
    </xf>
    <xf numFmtId="0" fontId="14" fillId="5" borderId="0" xfId="0" applyFont="1" applyFill="1" applyAlignment="1">
      <alignment horizontal="left"/>
    </xf>
    <xf numFmtId="0" fontId="27" fillId="5" borderId="0" xfId="0" applyFont="1" applyFill="1"/>
    <xf numFmtId="0" fontId="17" fillId="5" borderId="4"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4"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0" xfId="0" applyFont="1" applyFill="1" applyAlignment="1">
      <alignment horizontal="center" vertical="center" wrapText="1"/>
    </xf>
    <xf numFmtId="0" fontId="50" fillId="0" borderId="6" xfId="0" applyFont="1" applyFill="1" applyBorder="1" applyAlignment="1">
      <alignment horizontal="left"/>
    </xf>
    <xf numFmtId="0" fontId="50" fillId="0" borderId="3" xfId="0" applyFont="1" applyFill="1" applyBorder="1" applyAlignment="1">
      <alignment horizontal="left"/>
    </xf>
    <xf numFmtId="0" fontId="52" fillId="0" borderId="6" xfId="0" applyFont="1" applyFill="1" applyBorder="1" applyAlignment="1">
      <alignment horizontal="left"/>
    </xf>
    <xf numFmtId="0" fontId="52" fillId="0" borderId="3" xfId="0" applyFont="1" applyFill="1" applyBorder="1" applyAlignment="1">
      <alignment horizontal="left"/>
    </xf>
    <xf numFmtId="0" fontId="17" fillId="8" borderId="4" xfId="0" applyFont="1" applyFill="1" applyBorder="1" applyAlignment="1">
      <alignment horizontal="center" vertical="center" wrapText="1"/>
    </xf>
    <xf numFmtId="164" fontId="105" fillId="25" borderId="25" xfId="119" applyFont="1" applyFill="1" applyBorder="1" applyAlignment="1">
      <alignment horizontal="center" vertical="center"/>
    </xf>
    <xf numFmtId="164" fontId="105" fillId="25" borderId="3" xfId="119" applyFont="1" applyFill="1" applyBorder="1" applyAlignment="1">
      <alignment horizontal="center" vertical="center"/>
    </xf>
    <xf numFmtId="164" fontId="105" fillId="25" borderId="68" xfId="119" applyFont="1" applyFill="1" applyBorder="1" applyAlignment="1">
      <alignment horizontal="center" vertical="center"/>
    </xf>
    <xf numFmtId="164" fontId="105" fillId="25" borderId="23" xfId="119" applyFont="1" applyFill="1" applyBorder="1" applyAlignment="1">
      <alignment horizontal="center" vertical="center"/>
    </xf>
    <xf numFmtId="164" fontId="105" fillId="25" borderId="21" xfId="119" applyFont="1" applyFill="1" applyBorder="1" applyAlignment="1">
      <alignment horizontal="center" vertical="center"/>
    </xf>
    <xf numFmtId="164" fontId="105" fillId="25" borderId="22" xfId="119" applyFont="1" applyFill="1" applyBorder="1" applyAlignment="1">
      <alignment horizontal="center" vertical="center"/>
    </xf>
    <xf numFmtId="0" fontId="105" fillId="22" borderId="34" xfId="120" applyNumberFormat="1" applyFont="1" applyFill="1" applyBorder="1" applyAlignment="1">
      <alignment horizontal="center" vertical="center" wrapText="1"/>
    </xf>
    <xf numFmtId="0" fontId="105" fillId="22" borderId="31" xfId="120" applyNumberFormat="1" applyFont="1" applyFill="1" applyBorder="1" applyAlignment="1">
      <alignment horizontal="center" vertical="center" wrapText="1"/>
    </xf>
    <xf numFmtId="0" fontId="105" fillId="22" borderId="7" xfId="120" applyNumberFormat="1" applyFont="1" applyFill="1" applyBorder="1" applyAlignment="1">
      <alignment horizontal="center" vertical="center" wrapText="1"/>
    </xf>
    <xf numFmtId="0" fontId="105" fillId="22" borderId="41" xfId="120" applyNumberFormat="1" applyFont="1" applyFill="1" applyBorder="1" applyAlignment="1">
      <alignment horizontal="center" vertical="center" wrapText="1"/>
    </xf>
    <xf numFmtId="0" fontId="105" fillId="0" borderId="0" xfId="0" applyNumberFormat="1" applyFont="1" applyFill="1" applyAlignment="1">
      <alignment horizontal="center" vertical="center" wrapText="1"/>
    </xf>
    <xf numFmtId="186" fontId="107" fillId="0" borderId="61" xfId="120" applyNumberFormat="1" applyFont="1" applyFill="1" applyBorder="1" applyAlignment="1">
      <alignment horizontal="center" vertical="center"/>
    </xf>
    <xf numFmtId="189" fontId="107" fillId="0" borderId="0" xfId="120" applyNumberFormat="1" applyFont="1" applyFill="1" applyAlignment="1">
      <alignment horizontal="center" vertical="center"/>
    </xf>
    <xf numFmtId="43" fontId="105" fillId="26" borderId="39" xfId="120" applyFont="1" applyFill="1" applyBorder="1" applyAlignment="1">
      <alignment horizontal="center" vertical="center" wrapText="1"/>
    </xf>
    <xf numFmtId="43" fontId="105" fillId="26" borderId="40" xfId="120" applyFont="1" applyFill="1" applyBorder="1" applyAlignment="1">
      <alignment horizontal="center" vertical="center" wrapText="1"/>
    </xf>
    <xf numFmtId="0" fontId="105" fillId="22" borderId="22" xfId="120" applyNumberFormat="1" applyFont="1" applyFill="1" applyBorder="1" applyAlignment="1">
      <alignment horizontal="center" vertical="center" wrapText="1"/>
    </xf>
    <xf numFmtId="0" fontId="105" fillId="22" borderId="10" xfId="89" applyNumberFormat="1" applyFont="1" applyFill="1" applyBorder="1" applyAlignment="1">
      <alignment horizontal="center" vertical="center" wrapText="1"/>
    </xf>
    <xf numFmtId="0" fontId="105" fillId="22" borderId="52" xfId="89" applyNumberFormat="1" applyFont="1" applyFill="1" applyBorder="1" applyAlignment="1">
      <alignment horizontal="center" vertical="center" wrapText="1"/>
    </xf>
    <xf numFmtId="0" fontId="105" fillId="22" borderId="66" xfId="120" applyNumberFormat="1" applyFont="1" applyFill="1" applyBorder="1" applyAlignment="1">
      <alignment horizontal="center" vertical="center" wrapText="1"/>
    </xf>
    <xf numFmtId="0" fontId="105" fillId="22" borderId="67" xfId="120" applyNumberFormat="1" applyFont="1" applyFill="1" applyBorder="1" applyAlignment="1">
      <alignment horizontal="center" vertical="center" wrapText="1"/>
    </xf>
    <xf numFmtId="0" fontId="105" fillId="22" borderId="8" xfId="120" applyNumberFormat="1" applyFont="1" applyFill="1" applyBorder="1" applyAlignment="1">
      <alignment horizontal="center" vertical="center" wrapText="1"/>
    </xf>
    <xf numFmtId="0" fontId="105" fillId="22" borderId="43" xfId="120" applyNumberFormat="1" applyFont="1" applyFill="1" applyBorder="1" applyAlignment="1">
      <alignment horizontal="center" vertical="center" wrapText="1"/>
    </xf>
    <xf numFmtId="0" fontId="105" fillId="22" borderId="45" xfId="120" applyNumberFormat="1" applyFont="1" applyFill="1" applyBorder="1" applyAlignment="1">
      <alignment horizontal="center" vertical="center" wrapText="1"/>
    </xf>
    <xf numFmtId="0" fontId="105" fillId="22" borderId="44" xfId="120" applyNumberFormat="1" applyFont="1" applyFill="1" applyBorder="1" applyAlignment="1">
      <alignment horizontal="center" vertical="center" wrapText="1"/>
    </xf>
    <xf numFmtId="0" fontId="105" fillId="22" borderId="10" xfId="120" applyNumberFormat="1" applyFont="1" applyFill="1" applyBorder="1" applyAlignment="1">
      <alignment horizontal="center" vertical="center" wrapText="1"/>
    </xf>
    <xf numFmtId="0" fontId="105" fillId="22" borderId="52" xfId="120" applyNumberFormat="1" applyFont="1" applyFill="1" applyBorder="1" applyAlignment="1">
      <alignment horizontal="center" vertical="center" wrapText="1"/>
    </xf>
    <xf numFmtId="0" fontId="105" fillId="22" borderId="54" xfId="120" applyNumberFormat="1" applyFont="1" applyFill="1" applyBorder="1" applyAlignment="1">
      <alignment horizontal="center" vertical="center" wrapText="1"/>
    </xf>
    <xf numFmtId="0" fontId="105" fillId="22" borderId="4" xfId="120" applyNumberFormat="1" applyFont="1" applyFill="1" applyBorder="1" applyAlignment="1">
      <alignment horizontal="center" vertical="center" wrapText="1"/>
    </xf>
    <xf numFmtId="0" fontId="105" fillId="22" borderId="42" xfId="120" applyNumberFormat="1" applyFont="1" applyFill="1" applyBorder="1" applyAlignment="1">
      <alignment horizontal="center" vertical="center" wrapText="1"/>
    </xf>
    <xf numFmtId="0" fontId="105" fillId="16" borderId="39" xfId="89" applyNumberFormat="1" applyFont="1" applyFill="1" applyBorder="1" applyAlignment="1">
      <alignment horizontal="center" vertical="center" wrapText="1"/>
    </xf>
    <xf numFmtId="0" fontId="105" fillId="16" borderId="2" xfId="89" applyNumberFormat="1" applyFont="1" applyFill="1" applyBorder="1" applyAlignment="1">
      <alignment horizontal="center" vertical="center" wrapText="1"/>
    </xf>
    <xf numFmtId="0" fontId="105" fillId="16" borderId="40" xfId="89" applyNumberFormat="1" applyFont="1" applyFill="1" applyBorder="1" applyAlignment="1">
      <alignment horizontal="center" vertical="center" wrapText="1"/>
    </xf>
    <xf numFmtId="17" fontId="105" fillId="16" borderId="35" xfId="89" applyNumberFormat="1" applyFont="1" applyFill="1" applyBorder="1" applyAlignment="1">
      <alignment horizontal="center" vertical="center" wrapText="1"/>
    </xf>
    <xf numFmtId="17" fontId="105" fillId="16" borderId="65" xfId="89" applyNumberFormat="1" applyFont="1" applyFill="1" applyBorder="1" applyAlignment="1">
      <alignment horizontal="center" vertical="center" wrapText="1"/>
    </xf>
    <xf numFmtId="0" fontId="105" fillId="16" borderId="36" xfId="89" applyNumberFormat="1" applyFont="1" applyFill="1" applyBorder="1" applyAlignment="1">
      <alignment horizontal="center" vertical="center" wrapText="1"/>
    </xf>
    <xf numFmtId="0" fontId="105" fillId="16" borderId="38" xfId="89" applyNumberFormat="1" applyFont="1" applyFill="1" applyBorder="1" applyAlignment="1">
      <alignment horizontal="center" vertical="center" wrapText="1"/>
    </xf>
    <xf numFmtId="0" fontId="105" fillId="16" borderId="37" xfId="89" applyNumberFormat="1" applyFont="1" applyFill="1" applyBorder="1" applyAlignment="1">
      <alignment horizontal="center" vertical="center" wrapText="1"/>
    </xf>
    <xf numFmtId="0" fontId="105" fillId="22" borderId="5" xfId="120" applyNumberFormat="1" applyFont="1" applyFill="1" applyBorder="1" applyAlignment="1">
      <alignment horizontal="center" vertical="center" wrapText="1"/>
    </xf>
    <xf numFmtId="0" fontId="105" fillId="0" borderId="32" xfId="0" applyNumberFormat="1" applyFont="1" applyFill="1" applyBorder="1" applyAlignment="1">
      <alignment horizontal="center" vertical="center" wrapText="1"/>
    </xf>
    <xf numFmtId="0" fontId="105" fillId="0" borderId="4" xfId="0" applyNumberFormat="1" applyFont="1" applyFill="1" applyBorder="1" applyAlignment="1">
      <alignment horizontal="center" vertical="center" wrapText="1"/>
    </xf>
    <xf numFmtId="0" fontId="105" fillId="0" borderId="49" xfId="0" applyNumberFormat="1" applyFont="1" applyFill="1" applyBorder="1" applyAlignment="1">
      <alignment horizontal="center" vertical="center" wrapText="1"/>
    </xf>
    <xf numFmtId="0" fontId="105" fillId="0" borderId="34" xfId="0" applyNumberFormat="1" applyFont="1" applyFill="1" applyBorder="1" applyAlignment="1">
      <alignment horizontal="center" vertical="center" wrapText="1"/>
    </xf>
    <xf numFmtId="0" fontId="105" fillId="0" borderId="6" xfId="0" applyNumberFormat="1" applyFont="1" applyFill="1" applyBorder="1" applyAlignment="1">
      <alignment horizontal="center" vertical="center" wrapText="1"/>
    </xf>
    <xf numFmtId="0" fontId="105" fillId="0" borderId="51" xfId="0" applyNumberFormat="1" applyFont="1" applyFill="1" applyBorder="1" applyAlignment="1">
      <alignment horizontal="center" vertical="center" wrapText="1"/>
    </xf>
    <xf numFmtId="0" fontId="107" fillId="0" borderId="0" xfId="0" applyFont="1" applyFill="1" applyAlignment="1">
      <alignment horizontal="center" vertical="center"/>
    </xf>
    <xf numFmtId="0" fontId="110" fillId="0" borderId="0" xfId="0" applyFont="1" applyFill="1" applyBorder="1" applyAlignment="1">
      <alignment horizontal="center" vertical="center"/>
    </xf>
    <xf numFmtId="0" fontId="105" fillId="22" borderId="23" xfId="0" applyNumberFormat="1" applyFont="1" applyFill="1" applyBorder="1" applyAlignment="1">
      <alignment horizontal="center" vertical="center" wrapText="1"/>
    </xf>
    <xf numFmtId="0" fontId="105" fillId="22" borderId="25" xfId="0" applyNumberFormat="1" applyFont="1" applyFill="1" applyBorder="1" applyAlignment="1">
      <alignment horizontal="center" vertical="center" wrapText="1"/>
    </xf>
    <xf numFmtId="0" fontId="105" fillId="22" borderId="46" xfId="0" applyNumberFormat="1" applyFont="1" applyFill="1" applyBorder="1" applyAlignment="1">
      <alignment horizontal="center" vertical="center" wrapText="1"/>
    </xf>
    <xf numFmtId="0" fontId="105" fillId="22" borderId="30" xfId="0" applyNumberFormat="1" applyFont="1" applyFill="1" applyBorder="1" applyAlignment="1">
      <alignment horizontal="center" vertical="center" wrapText="1"/>
    </xf>
    <xf numFmtId="0" fontId="105" fillId="22" borderId="26" xfId="0" applyNumberFormat="1" applyFont="1" applyFill="1" applyBorder="1" applyAlignment="1">
      <alignment horizontal="center" vertical="center" wrapText="1"/>
    </xf>
    <xf numFmtId="0" fontId="105" fillId="22" borderId="47" xfId="0" applyNumberFormat="1" applyFont="1" applyFill="1" applyBorder="1" applyAlignment="1">
      <alignment horizontal="center" vertical="center" wrapText="1"/>
    </xf>
    <xf numFmtId="0" fontId="105" fillId="0" borderId="31" xfId="0" applyNumberFormat="1" applyFont="1" applyFill="1" applyBorder="1" applyAlignment="1">
      <alignment horizontal="center" vertical="center" wrapText="1"/>
    </xf>
    <xf numFmtId="0" fontId="105" fillId="0" borderId="12" xfId="0" applyNumberFormat="1" applyFont="1" applyFill="1" applyBorder="1" applyAlignment="1">
      <alignment horizontal="center" vertical="center" wrapText="1"/>
    </xf>
    <xf numFmtId="0" fontId="105" fillId="0" borderId="48" xfId="0" applyNumberFormat="1" applyFont="1" applyFill="1" applyBorder="1" applyAlignment="1">
      <alignment horizontal="center" vertical="center" wrapText="1"/>
    </xf>
    <xf numFmtId="0" fontId="105" fillId="0" borderId="33" xfId="0" applyNumberFormat="1" applyFont="1" applyFill="1" applyBorder="1" applyAlignment="1">
      <alignment horizontal="center" vertical="center" wrapText="1"/>
    </xf>
    <xf numFmtId="0" fontId="105" fillId="0" borderId="9" xfId="0" applyNumberFormat="1" applyFont="1" applyFill="1" applyBorder="1" applyAlignment="1">
      <alignment horizontal="center" vertical="center" wrapText="1"/>
    </xf>
    <xf numFmtId="0" fontId="105" fillId="0" borderId="50" xfId="0" applyNumberFormat="1" applyFont="1" applyFill="1" applyBorder="1" applyAlignment="1">
      <alignment horizontal="center" vertical="center" wrapText="1"/>
    </xf>
    <xf numFmtId="1" fontId="16" fillId="0" borderId="17" xfId="0" applyNumberFormat="1" applyFont="1" applyFill="1" applyBorder="1" applyAlignment="1">
      <alignment horizontal="left" vertical="center" wrapText="1"/>
    </xf>
    <xf numFmtId="1" fontId="16" fillId="0" borderId="0" xfId="0" applyNumberFormat="1" applyFont="1" applyFill="1" applyBorder="1" applyAlignment="1">
      <alignment horizontal="left" vertical="center" wrapText="1"/>
    </xf>
    <xf numFmtId="1" fontId="16" fillId="0" borderId="18" xfId="0" applyNumberFormat="1" applyFont="1" applyFill="1" applyBorder="1" applyAlignment="1">
      <alignment horizontal="left" vertical="center" wrapText="1"/>
    </xf>
    <xf numFmtId="1" fontId="16" fillId="0" borderId="8" xfId="0" applyNumberFormat="1" applyFont="1" applyFill="1" applyBorder="1" applyAlignment="1">
      <alignment horizontal="left" vertical="center" wrapText="1"/>
    </xf>
    <xf numFmtId="1" fontId="16" fillId="0" borderId="11" xfId="0" applyNumberFormat="1" applyFont="1" applyFill="1" applyBorder="1" applyAlignment="1">
      <alignment horizontal="left" vertical="center" wrapText="1"/>
    </xf>
    <xf numFmtId="1" fontId="16" fillId="0" borderId="19" xfId="0" applyNumberFormat="1" applyFont="1" applyFill="1" applyBorder="1" applyAlignment="1">
      <alignment horizontal="left" vertical="center" wrapText="1"/>
    </xf>
    <xf numFmtId="0" fontId="27" fillId="0" borderId="0" xfId="0" applyFont="1"/>
    <xf numFmtId="0" fontId="17" fillId="8" borderId="14" xfId="0" applyFont="1" applyFill="1" applyBorder="1" applyAlignment="1">
      <alignment horizontal="center" vertical="center" wrapText="1"/>
    </xf>
    <xf numFmtId="0" fontId="17" fillId="8" borderId="0" xfId="0" applyFont="1" applyFill="1" applyBorder="1" applyAlignment="1">
      <alignment horizontal="center" vertical="center" wrapText="1"/>
    </xf>
    <xf numFmtId="0" fontId="13" fillId="8" borderId="6" xfId="0" applyFont="1" applyFill="1" applyBorder="1" applyAlignment="1">
      <alignment horizontal="left" vertical="center"/>
    </xf>
    <xf numFmtId="0" fontId="13" fillId="8" borderId="3" xfId="0" applyFont="1" applyFill="1" applyBorder="1" applyAlignment="1">
      <alignment horizontal="left" vertical="center"/>
    </xf>
    <xf numFmtId="0" fontId="13" fillId="8" borderId="12" xfId="0" applyFont="1" applyFill="1" applyBorder="1" applyAlignment="1">
      <alignment horizontal="left" vertical="center"/>
    </xf>
    <xf numFmtId="0" fontId="0" fillId="0" borderId="6" xfId="0" applyFont="1" applyBorder="1" applyAlignment="1">
      <alignment horizontal="left" wrapText="1"/>
    </xf>
    <xf numFmtId="0" fontId="0" fillId="0" borderId="3" xfId="0" applyFont="1" applyBorder="1" applyAlignment="1">
      <alignment horizontal="left" wrapText="1"/>
    </xf>
    <xf numFmtId="0" fontId="0" fillId="0" borderId="12" xfId="0" applyFont="1" applyBorder="1" applyAlignment="1">
      <alignment horizontal="left" wrapText="1"/>
    </xf>
    <xf numFmtId="0" fontId="105" fillId="0" borderId="23" xfId="0" applyNumberFormat="1" applyFont="1" applyFill="1" applyBorder="1" applyAlignment="1">
      <alignment horizontal="center" vertical="center" wrapText="1"/>
    </xf>
    <xf numFmtId="0" fontId="105" fillId="0" borderId="25" xfId="0" applyNumberFormat="1" applyFont="1" applyFill="1" applyBorder="1" applyAlignment="1">
      <alignment horizontal="center" vertical="center" wrapText="1"/>
    </xf>
    <xf numFmtId="0" fontId="105" fillId="0" borderId="46" xfId="0" applyNumberFormat="1" applyFont="1" applyFill="1" applyBorder="1" applyAlignment="1">
      <alignment horizontal="center" vertical="center" wrapText="1"/>
    </xf>
    <xf numFmtId="0" fontId="105" fillId="0" borderId="30" xfId="0" applyNumberFormat="1" applyFont="1" applyFill="1" applyBorder="1" applyAlignment="1">
      <alignment horizontal="center" vertical="center" wrapText="1"/>
    </xf>
    <xf numFmtId="0" fontId="105" fillId="0" borderId="26" xfId="0" applyNumberFormat="1" applyFont="1" applyFill="1" applyBorder="1" applyAlignment="1">
      <alignment horizontal="center" vertical="center" wrapText="1"/>
    </xf>
    <xf numFmtId="0" fontId="105" fillId="0" borderId="47" xfId="0" applyNumberFormat="1" applyFont="1" applyFill="1" applyBorder="1" applyAlignment="1">
      <alignment horizontal="center" vertical="center" wrapText="1"/>
    </xf>
    <xf numFmtId="17" fontId="105" fillId="0" borderId="35" xfId="89" applyNumberFormat="1" applyFont="1" applyFill="1" applyBorder="1" applyAlignment="1">
      <alignment horizontal="center" vertical="center" wrapText="1"/>
    </xf>
    <xf numFmtId="0" fontId="105" fillId="0" borderId="36" xfId="89" applyNumberFormat="1" applyFont="1" applyFill="1" applyBorder="1" applyAlignment="1">
      <alignment horizontal="center" vertical="center" wrapText="1"/>
    </xf>
    <xf numFmtId="0" fontId="105" fillId="0" borderId="38" xfId="89" applyNumberFormat="1" applyFont="1" applyFill="1" applyBorder="1" applyAlignment="1">
      <alignment horizontal="center" vertical="center" wrapText="1"/>
    </xf>
    <xf numFmtId="0" fontId="105" fillId="0" borderId="37" xfId="89" applyNumberFormat="1" applyFont="1" applyFill="1" applyBorder="1" applyAlignment="1">
      <alignment horizontal="center" vertical="center" wrapText="1"/>
    </xf>
    <xf numFmtId="0" fontId="105" fillId="0" borderId="10" xfId="120" applyNumberFormat="1" applyFont="1" applyFill="1" applyBorder="1" applyAlignment="1">
      <alignment horizontal="center" vertical="center" wrapText="1"/>
    </xf>
    <xf numFmtId="0" fontId="105" fillId="0" borderId="52" xfId="120" applyNumberFormat="1" applyFont="1" applyFill="1" applyBorder="1" applyAlignment="1">
      <alignment horizontal="center" vertical="center" wrapText="1"/>
    </xf>
    <xf numFmtId="0" fontId="105" fillId="0" borderId="39" xfId="89" applyNumberFormat="1" applyFont="1" applyFill="1" applyBorder="1" applyAlignment="1">
      <alignment horizontal="center" vertical="center" wrapText="1"/>
    </xf>
    <xf numFmtId="0" fontId="105" fillId="0" borderId="2" xfId="89" applyNumberFormat="1" applyFont="1" applyFill="1" applyBorder="1" applyAlignment="1">
      <alignment horizontal="center" vertical="center" wrapText="1"/>
    </xf>
    <xf numFmtId="0" fontId="105" fillId="0" borderId="40" xfId="89" applyNumberFormat="1" applyFont="1" applyFill="1" applyBorder="1" applyAlignment="1">
      <alignment horizontal="center" vertical="center" wrapText="1"/>
    </xf>
    <xf numFmtId="0" fontId="105" fillId="0" borderId="7" xfId="120" applyNumberFormat="1" applyFont="1" applyFill="1" applyBorder="1" applyAlignment="1">
      <alignment horizontal="center" vertical="center" wrapText="1"/>
    </xf>
    <xf numFmtId="0" fontId="105" fillId="0" borderId="8" xfId="120" applyNumberFormat="1" applyFont="1" applyFill="1" applyBorder="1" applyAlignment="1">
      <alignment horizontal="center" vertical="center" wrapText="1"/>
    </xf>
    <xf numFmtId="0" fontId="105" fillId="0" borderId="41" xfId="120" applyNumberFormat="1" applyFont="1" applyFill="1" applyBorder="1" applyAlignment="1">
      <alignment horizontal="center" vertical="center" wrapText="1"/>
    </xf>
    <xf numFmtId="0" fontId="105" fillId="0" borderId="5" xfId="120" applyNumberFormat="1" applyFont="1" applyFill="1" applyBorder="1" applyAlignment="1">
      <alignment horizontal="center" vertical="center" wrapText="1"/>
    </xf>
    <xf numFmtId="0" fontId="105" fillId="0" borderId="4" xfId="120" applyNumberFormat="1" applyFont="1" applyFill="1" applyBorder="1" applyAlignment="1">
      <alignment horizontal="center" vertical="center" wrapText="1"/>
    </xf>
    <xf numFmtId="0" fontId="105" fillId="0" borderId="42" xfId="120" applyNumberFormat="1" applyFont="1" applyFill="1" applyBorder="1" applyAlignment="1">
      <alignment horizontal="center" vertical="center" wrapText="1"/>
    </xf>
    <xf numFmtId="0" fontId="105" fillId="0" borderId="43" xfId="120" applyNumberFormat="1" applyFont="1" applyFill="1" applyBorder="1" applyAlignment="1">
      <alignment horizontal="center" vertical="center" wrapText="1"/>
    </xf>
    <xf numFmtId="0" fontId="105" fillId="0" borderId="44" xfId="120" applyNumberFormat="1" applyFont="1" applyFill="1" applyBorder="1" applyAlignment="1">
      <alignment horizontal="center" vertical="center" wrapText="1"/>
    </xf>
    <xf numFmtId="0" fontId="105" fillId="0" borderId="54" xfId="120" applyNumberFormat="1" applyFont="1" applyFill="1" applyBorder="1" applyAlignment="1">
      <alignment horizontal="center" vertical="center" wrapText="1"/>
    </xf>
    <xf numFmtId="0" fontId="105" fillId="0" borderId="45" xfId="120" applyNumberFormat="1" applyFont="1" applyFill="1" applyBorder="1" applyAlignment="1">
      <alignment horizontal="center" vertical="center" wrapText="1"/>
    </xf>
    <xf numFmtId="0" fontId="105" fillId="0" borderId="34" xfId="120" applyNumberFormat="1" applyFont="1" applyFill="1" applyBorder="1" applyAlignment="1">
      <alignment horizontal="center" vertical="center" wrapText="1"/>
    </xf>
    <xf numFmtId="0" fontId="105" fillId="0" borderId="22" xfId="120" applyNumberFormat="1" applyFont="1" applyFill="1" applyBorder="1" applyAlignment="1">
      <alignment horizontal="center" vertical="center" wrapText="1"/>
    </xf>
    <xf numFmtId="0" fontId="105" fillId="0" borderId="10" xfId="89" applyNumberFormat="1" applyFont="1" applyFill="1" applyBorder="1" applyAlignment="1">
      <alignment horizontal="center" vertical="center" wrapText="1"/>
    </xf>
    <xf numFmtId="0" fontId="105" fillId="0" borderId="52" xfId="89" applyNumberFormat="1" applyFont="1" applyFill="1" applyBorder="1" applyAlignment="1">
      <alignment horizontal="center" vertical="center" wrapText="1"/>
    </xf>
    <xf numFmtId="187" fontId="107" fillId="0" borderId="0" xfId="0" applyNumberFormat="1" applyFont="1" applyFill="1" applyAlignment="1">
      <alignment horizontal="center" vertical="center"/>
    </xf>
    <xf numFmtId="43" fontId="105" fillId="0" borderId="39" xfId="120" applyFont="1" applyFill="1" applyBorder="1" applyAlignment="1">
      <alignment horizontal="center" vertical="center" wrapText="1"/>
    </xf>
    <xf numFmtId="43" fontId="105" fillId="0" borderId="40" xfId="120" applyFont="1" applyFill="1" applyBorder="1" applyAlignment="1">
      <alignment horizontal="center" vertical="center" wrapText="1"/>
    </xf>
    <xf numFmtId="164" fontId="112" fillId="0" borderId="32" xfId="119" applyFont="1" applyFill="1" applyBorder="1" applyAlignment="1">
      <alignment horizontal="center" vertical="center"/>
    </xf>
    <xf numFmtId="164" fontId="112" fillId="0" borderId="4" xfId="119" applyFont="1" applyFill="1" applyBorder="1" applyAlignment="1">
      <alignment horizontal="center" vertical="center"/>
    </xf>
    <xf numFmtId="164" fontId="112" fillId="0" borderId="42" xfId="119" applyFont="1" applyFill="1" applyBorder="1" applyAlignment="1">
      <alignment horizontal="center" vertical="center"/>
    </xf>
    <xf numFmtId="164" fontId="112" fillId="0" borderId="74" xfId="119" applyFont="1" applyFill="1" applyBorder="1" applyAlignment="1">
      <alignment horizontal="center" vertical="center"/>
    </xf>
    <xf numFmtId="43" fontId="10" fillId="0" borderId="0" xfId="120" applyFont="1" applyFill="1" applyAlignment="1">
      <alignment horizontal="center"/>
    </xf>
    <xf numFmtId="184" fontId="93" fillId="0" borderId="15" xfId="120" applyNumberFormat="1" applyFont="1" applyBorder="1" applyAlignment="1">
      <alignment horizontal="center" vertical="center" wrapText="1"/>
    </xf>
    <xf numFmtId="184" fontId="93" fillId="0" borderId="9" xfId="120" applyNumberFormat="1" applyFont="1" applyBorder="1" applyAlignment="1">
      <alignment horizontal="center" vertical="center" wrapText="1"/>
    </xf>
    <xf numFmtId="184" fontId="93" fillId="0" borderId="7" xfId="120" applyNumberFormat="1" applyFont="1" applyBorder="1" applyAlignment="1">
      <alignment horizontal="center" vertical="center" wrapText="1"/>
    </xf>
    <xf numFmtId="43" fontId="93" fillId="5" borderId="4" xfId="120" applyFont="1" applyFill="1" applyBorder="1" applyAlignment="1">
      <alignment horizontal="center" vertical="center" wrapText="1"/>
    </xf>
    <xf numFmtId="184" fontId="50" fillId="5" borderId="4" xfId="120" applyNumberFormat="1" applyFont="1" applyFill="1" applyBorder="1" applyAlignment="1">
      <alignment horizontal="center" vertical="center" wrapText="1"/>
    </xf>
    <xf numFmtId="9" fontId="50" fillId="5" borderId="4" xfId="59" applyFont="1" applyFill="1" applyBorder="1" applyAlignment="1">
      <alignment horizontal="center" vertical="center" wrapText="1"/>
    </xf>
    <xf numFmtId="43" fontId="50" fillId="5" borderId="4" xfId="120" applyFont="1" applyFill="1" applyBorder="1" applyAlignment="1">
      <alignment horizontal="center" vertical="center" wrapText="1"/>
    </xf>
    <xf numFmtId="43" fontId="50" fillId="0" borderId="4" xfId="120" applyFont="1" applyFill="1" applyBorder="1" applyAlignment="1">
      <alignment horizontal="center"/>
    </xf>
    <xf numFmtId="43" fontId="14" fillId="5" borderId="4" xfId="120" applyFont="1" applyFill="1" applyBorder="1" applyAlignment="1">
      <alignment horizontal="center" vertical="center" wrapText="1"/>
    </xf>
    <xf numFmtId="43" fontId="50" fillId="0" borderId="4" xfId="120" applyFont="1" applyFill="1" applyBorder="1" applyAlignment="1">
      <alignment horizontal="center" vertical="center" wrapText="1"/>
    </xf>
    <xf numFmtId="43" fontId="97" fillId="0" borderId="0" xfId="120" applyFont="1" applyAlignment="1">
      <alignment horizontal="center" vertical="center" wrapText="1"/>
    </xf>
    <xf numFmtId="43" fontId="50" fillId="19" borderId="4" xfId="120" applyFont="1" applyFill="1" applyBorder="1" applyAlignment="1">
      <alignment horizontal="center" vertical="center" wrapText="1"/>
    </xf>
    <xf numFmtId="43" fontId="97" fillId="0" borderId="0" xfId="120" applyFont="1" applyAlignment="1">
      <alignment horizontal="center" vertical="center"/>
    </xf>
    <xf numFmtId="0" fontId="118" fillId="0" borderId="0" xfId="0" applyFont="1" applyAlignment="1">
      <alignment horizontal="center" vertical="center" wrapText="1"/>
    </xf>
    <xf numFmtId="43" fontId="51" fillId="0" borderId="6" xfId="120" applyFont="1" applyBorder="1" applyAlignment="1">
      <alignment horizontal="center" vertical="center" wrapText="1"/>
    </xf>
    <xf numFmtId="43" fontId="51" fillId="0" borderId="3" xfId="120" applyFont="1" applyBorder="1" applyAlignment="1">
      <alignment horizontal="center" vertical="center" wrapText="1"/>
    </xf>
    <xf numFmtId="43" fontId="51" fillId="0" borderId="12" xfId="120" applyFont="1" applyBorder="1" applyAlignment="1">
      <alignment horizontal="center" vertical="center" wrapText="1"/>
    </xf>
    <xf numFmtId="43" fontId="52" fillId="0" borderId="4" xfId="120" applyFont="1" applyBorder="1" applyAlignment="1">
      <alignment horizontal="left" vertical="top" wrapText="1"/>
    </xf>
    <xf numFmtId="0" fontId="10" fillId="0" borderId="0" xfId="0" applyFont="1" applyFill="1" applyAlignment="1">
      <alignment horizontal="center"/>
    </xf>
    <xf numFmtId="0" fontId="94" fillId="5" borderId="0" xfId="0" applyFont="1" applyFill="1" applyAlignment="1">
      <alignment horizontal="left"/>
    </xf>
    <xf numFmtId="0" fontId="93" fillId="0" borderId="0" xfId="0" applyFont="1" applyFill="1" applyAlignment="1">
      <alignment horizontal="center"/>
    </xf>
    <xf numFmtId="0" fontId="93" fillId="8" borderId="4" xfId="0" applyFont="1" applyFill="1" applyBorder="1" applyAlignment="1">
      <alignment horizontal="center" vertical="center" wrapText="1"/>
    </xf>
    <xf numFmtId="0" fontId="50" fillId="8" borderId="4" xfId="0" applyFont="1" applyFill="1" applyBorder="1" applyAlignment="1">
      <alignment horizontal="center" vertical="center" wrapText="1"/>
    </xf>
    <xf numFmtId="43" fontId="50" fillId="8" borderId="4" xfId="120" applyFont="1" applyFill="1" applyBorder="1" applyAlignment="1">
      <alignment horizontal="center" vertical="center" wrapText="1"/>
    </xf>
    <xf numFmtId="17" fontId="50" fillId="8" borderId="4" xfId="0" applyNumberFormat="1" applyFont="1" applyFill="1" applyBorder="1" applyAlignment="1">
      <alignment horizontal="center"/>
    </xf>
    <xf numFmtId="0" fontId="50" fillId="8" borderId="4" xfId="0" applyFont="1" applyFill="1" applyBorder="1" applyAlignment="1">
      <alignment horizontal="center"/>
    </xf>
    <xf numFmtId="43" fontId="14" fillId="8" borderId="4" xfId="120" applyFont="1" applyFill="1" applyBorder="1" applyAlignment="1">
      <alignment horizontal="center" vertical="center" wrapText="1"/>
    </xf>
    <xf numFmtId="17" fontId="50" fillId="8" borderId="4" xfId="89" applyNumberFormat="1" applyFont="1" applyFill="1" applyBorder="1" applyAlignment="1">
      <alignment horizontal="center" vertical="center" wrapText="1"/>
    </xf>
    <xf numFmtId="0" fontId="50" fillId="8" borderId="4" xfId="89" applyFont="1" applyFill="1" applyBorder="1" applyAlignment="1">
      <alignment horizontal="center" vertical="center" wrapText="1"/>
    </xf>
    <xf numFmtId="17" fontId="50" fillId="8" borderId="6" xfId="89" applyNumberFormat="1" applyFont="1" applyFill="1" applyBorder="1" applyAlignment="1">
      <alignment horizontal="center" vertical="center" wrapText="1"/>
    </xf>
    <xf numFmtId="17" fontId="50" fillId="8" borderId="3" xfId="89" applyNumberFormat="1" applyFont="1" applyFill="1" applyBorder="1" applyAlignment="1">
      <alignment horizontal="center" vertical="center" wrapText="1"/>
    </xf>
    <xf numFmtId="17" fontId="50" fillId="8" borderId="12" xfId="89" applyNumberFormat="1" applyFont="1" applyFill="1" applyBorder="1" applyAlignment="1">
      <alignment horizontal="center" vertical="center" wrapText="1"/>
    </xf>
    <xf numFmtId="164" fontId="51" fillId="8" borderId="6" xfId="119" applyFont="1" applyFill="1" applyBorder="1" applyAlignment="1">
      <alignment horizontal="center" vertical="center" wrapText="1"/>
    </xf>
    <xf numFmtId="164" fontId="51" fillId="8" borderId="3" xfId="119" applyFont="1" applyFill="1" applyBorder="1" applyAlignment="1">
      <alignment horizontal="center" vertical="center" wrapText="1"/>
    </xf>
    <xf numFmtId="164" fontId="51" fillId="8" borderId="12" xfId="119" applyFont="1" applyFill="1" applyBorder="1" applyAlignment="1">
      <alignment horizontal="center" vertical="center" wrapText="1"/>
    </xf>
    <xf numFmtId="164" fontId="52" fillId="0" borderId="4" xfId="119" applyFont="1" applyFill="1" applyBorder="1" applyAlignment="1">
      <alignment horizontal="left" vertical="top" wrapText="1"/>
    </xf>
    <xf numFmtId="0" fontId="10" fillId="0" borderId="6" xfId="0" applyFont="1" applyBorder="1" applyAlignment="1">
      <alignment horizontal="left"/>
    </xf>
    <xf numFmtId="0" fontId="10" fillId="0" borderId="3" xfId="0" applyFont="1" applyBorder="1" applyAlignment="1">
      <alignment horizontal="left"/>
    </xf>
    <xf numFmtId="0" fontId="10" fillId="0" borderId="12" xfId="0" applyFont="1" applyBorder="1" applyAlignment="1">
      <alignment horizontal="left"/>
    </xf>
    <xf numFmtId="0" fontId="11" fillId="8" borderId="4" xfId="0" applyFont="1" applyFill="1" applyBorder="1" applyAlignment="1">
      <alignment horizontal="center" vertical="center"/>
    </xf>
    <xf numFmtId="0" fontId="11" fillId="8" borderId="4" xfId="0" applyFont="1" applyFill="1" applyBorder="1" applyAlignment="1">
      <alignment horizontal="center" vertical="center" wrapText="1"/>
    </xf>
    <xf numFmtId="0" fontId="10" fillId="0" borderId="0" xfId="0" applyFont="1" applyBorder="1" applyAlignment="1">
      <alignment horizontal="left" vertical="center"/>
    </xf>
    <xf numFmtId="0" fontId="13" fillId="0" borderId="0" xfId="0" applyFont="1" applyAlignment="1">
      <alignment horizontal="left" vertical="center"/>
    </xf>
    <xf numFmtId="0" fontId="11" fillId="6" borderId="4" xfId="0" applyFont="1" applyFill="1" applyBorder="1" applyAlignment="1">
      <alignment horizontal="center" vertical="center" wrapText="1"/>
    </xf>
    <xf numFmtId="43" fontId="11" fillId="6" borderId="4" xfId="120" applyFont="1" applyFill="1" applyBorder="1" applyAlignment="1">
      <alignment horizontal="right" vertical="center"/>
    </xf>
    <xf numFmtId="43" fontId="14" fillId="16" borderId="6" xfId="120" applyFont="1" applyFill="1" applyBorder="1" applyAlignment="1">
      <alignment horizontal="center" vertical="center"/>
    </xf>
    <xf numFmtId="43" fontId="14" fillId="16" borderId="3" xfId="120" applyFont="1" applyFill="1" applyBorder="1" applyAlignment="1">
      <alignment horizontal="center" vertical="center"/>
    </xf>
    <xf numFmtId="43" fontId="14" fillId="16" borderId="12" xfId="120" applyFont="1" applyFill="1" applyBorder="1" applyAlignment="1">
      <alignment horizontal="center" vertical="center"/>
    </xf>
    <xf numFmtId="43" fontId="14" fillId="16" borderId="4" xfId="120" applyFont="1" applyFill="1" applyBorder="1" applyAlignment="1">
      <alignment horizontal="center" vertical="center"/>
    </xf>
    <xf numFmtId="43" fontId="0" fillId="0" borderId="4" xfId="124" applyFont="1" applyFill="1" applyBorder="1" applyAlignment="1" applyProtection="1">
      <alignment horizontal="center" vertical="center"/>
      <protection locked="0"/>
    </xf>
    <xf numFmtId="0" fontId="11" fillId="0" borderId="0" xfId="0" applyFont="1" applyFill="1" applyAlignment="1">
      <alignment horizontal="left"/>
    </xf>
    <xf numFmtId="0" fontId="24" fillId="0" borderId="0" xfId="0" applyFont="1" applyFill="1"/>
    <xf numFmtId="0" fontId="24" fillId="0" borderId="0" xfId="0" applyFont="1" applyFill="1" applyAlignment="1">
      <alignment horizontal="center"/>
    </xf>
    <xf numFmtId="43" fontId="24" fillId="0" borderId="0" xfId="124" applyFont="1" applyFill="1"/>
    <xf numFmtId="0" fontId="11" fillId="0" borderId="4" xfId="0" applyFont="1" applyFill="1" applyBorder="1" applyAlignment="1">
      <alignment horizontal="center" vertical="center"/>
    </xf>
    <xf numFmtId="0" fontId="0" fillId="0" borderId="15"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0" borderId="14" xfId="0" applyFill="1" applyBorder="1" applyAlignment="1" applyProtection="1">
      <alignment horizontal="center" vertical="center"/>
      <protection locked="0"/>
    </xf>
    <xf numFmtId="0" fontId="0" fillId="0" borderId="11" xfId="0" applyFill="1" applyBorder="1" applyAlignment="1" applyProtection="1">
      <alignment horizontal="center" vertical="center"/>
      <protection locked="0"/>
    </xf>
    <xf numFmtId="182" fontId="11" fillId="0" borderId="0" xfId="121" applyFont="1" applyAlignment="1">
      <alignment horizontal="left" vertical="center"/>
    </xf>
    <xf numFmtId="182" fontId="24" fillId="0" borderId="0" xfId="121" applyFont="1" applyAlignment="1">
      <alignment horizontal="left" vertical="center"/>
    </xf>
    <xf numFmtId="182" fontId="11" fillId="8" borderId="23" xfId="121" applyFont="1" applyFill="1" applyBorder="1" applyAlignment="1">
      <alignment horizontal="center" vertical="center"/>
    </xf>
    <xf numFmtId="182" fontId="11" fillId="8" borderId="31" xfId="121" applyFont="1" applyFill="1" applyBorder="1" applyAlignment="1">
      <alignment horizontal="center" vertical="center"/>
    </xf>
    <xf numFmtId="182" fontId="11" fillId="5" borderId="4" xfId="121" applyFont="1" applyFill="1" applyBorder="1" applyAlignment="1">
      <alignment horizontal="center" vertical="center" wrapText="1"/>
    </xf>
    <xf numFmtId="0" fontId="11" fillId="0" borderId="0" xfId="0" applyFont="1" applyAlignment="1">
      <alignment horizontal="left"/>
    </xf>
    <xf numFmtId="0" fontId="24" fillId="0" borderId="0" xfId="0" applyFont="1" applyAlignment="1">
      <alignment horizontal="left"/>
    </xf>
    <xf numFmtId="0" fontId="14" fillId="0" borderId="6" xfId="0" applyFont="1" applyBorder="1" applyAlignment="1">
      <alignment horizontal="center"/>
    </xf>
    <xf numFmtId="0" fontId="14" fillId="0" borderId="3" xfId="0" applyFont="1" applyBorder="1" applyAlignment="1">
      <alignment horizontal="center"/>
    </xf>
    <xf numFmtId="0" fontId="14" fillId="0" borderId="12" xfId="0" applyFont="1" applyBorder="1" applyAlignment="1">
      <alignment horizontal="center"/>
    </xf>
    <xf numFmtId="0" fontId="14" fillId="0" borderId="6" xfId="0" applyFont="1" applyFill="1" applyBorder="1" applyAlignment="1">
      <alignment horizontal="center"/>
    </xf>
    <xf numFmtId="0" fontId="14" fillId="0" borderId="3" xfId="0" applyFont="1" applyFill="1" applyBorder="1" applyAlignment="1">
      <alignment horizontal="center"/>
    </xf>
    <xf numFmtId="0" fontId="14" fillId="0" borderId="12" xfId="0" applyFont="1" applyFill="1" applyBorder="1" applyAlignment="1">
      <alignment horizontal="center"/>
    </xf>
    <xf numFmtId="0" fontId="14" fillId="5" borderId="6" xfId="0" applyFont="1" applyFill="1" applyBorder="1" applyAlignment="1">
      <alignment horizontal="center"/>
    </xf>
    <xf numFmtId="0" fontId="14" fillId="5" borderId="3" xfId="0" applyFont="1" applyFill="1" applyBorder="1" applyAlignment="1">
      <alignment horizontal="center"/>
    </xf>
    <xf numFmtId="0" fontId="14" fillId="5" borderId="12" xfId="0" applyFont="1" applyFill="1" applyBorder="1" applyAlignment="1">
      <alignment horizontal="center"/>
    </xf>
    <xf numFmtId="0" fontId="0" fillId="8" borderId="9" xfId="0" applyFill="1" applyBorder="1" applyAlignment="1">
      <alignment horizontal="center" vertical="center" wrapText="1"/>
    </xf>
    <xf numFmtId="0" fontId="0" fillId="8" borderId="7" xfId="0" applyFill="1" applyBorder="1" applyAlignment="1">
      <alignment horizontal="center" vertical="center" wrapText="1"/>
    </xf>
    <xf numFmtId="0" fontId="14" fillId="0" borderId="0" xfId="0" applyFont="1" applyAlignment="1">
      <alignment horizontal="left" wrapText="1"/>
    </xf>
    <xf numFmtId="0" fontId="14" fillId="28" borderId="24" xfId="0" applyFont="1" applyFill="1" applyBorder="1" applyAlignment="1">
      <alignment horizontal="center" vertical="center"/>
    </xf>
    <xf numFmtId="0" fontId="14" fillId="28" borderId="70"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2" xfId="0" applyFont="1" applyFill="1" applyBorder="1" applyAlignment="1">
      <alignment horizontal="center" vertical="center" wrapText="1"/>
    </xf>
    <xf numFmtId="0" fontId="14" fillId="28" borderId="6" xfId="18" applyFont="1" applyFill="1" applyBorder="1" applyAlignment="1">
      <alignment horizontal="center" vertical="center"/>
    </xf>
    <xf numFmtId="0" fontId="14" fillId="28" borderId="3" xfId="18" applyFont="1" applyFill="1" applyBorder="1" applyAlignment="1">
      <alignment horizontal="center" vertical="center"/>
    </xf>
    <xf numFmtId="0" fontId="14" fillId="28" borderId="12" xfId="18" applyFont="1" applyFill="1" applyBorder="1" applyAlignment="1">
      <alignment horizontal="center" vertical="center"/>
    </xf>
    <xf numFmtId="0" fontId="14" fillId="28" borderId="6" xfId="0" applyFont="1" applyFill="1" applyBorder="1" applyAlignment="1">
      <alignment horizontal="center" vertical="center" wrapText="1"/>
    </xf>
    <xf numFmtId="0" fontId="14" fillId="28" borderId="4" xfId="18" applyFont="1" applyFill="1" applyBorder="1" applyAlignment="1">
      <alignment horizontal="center" vertical="center"/>
    </xf>
    <xf numFmtId="0" fontId="123" fillId="0" borderId="4" xfId="0" applyFont="1" applyFill="1" applyBorder="1" applyAlignment="1">
      <alignment horizontal="left" vertical="center" wrapText="1"/>
    </xf>
    <xf numFmtId="0" fontId="122" fillId="0" borderId="4" xfId="0" applyFont="1" applyFill="1" applyBorder="1" applyAlignment="1">
      <alignment horizontal="center" vertical="center"/>
    </xf>
    <xf numFmtId="0" fontId="122" fillId="0" borderId="4" xfId="0" applyFont="1" applyFill="1" applyBorder="1" applyAlignment="1">
      <alignment vertical="center" wrapText="1"/>
    </xf>
    <xf numFmtId="0" fontId="122" fillId="0" borderId="4" xfId="0" applyFont="1" applyFill="1" applyBorder="1" applyAlignment="1">
      <alignment horizontal="center" vertical="center" wrapText="1"/>
    </xf>
    <xf numFmtId="4" fontId="122" fillId="0" borderId="4" xfId="0" applyNumberFormat="1" applyFont="1" applyFill="1" applyBorder="1" applyAlignment="1">
      <alignment horizontal="center" vertical="center"/>
    </xf>
    <xf numFmtId="0" fontId="14" fillId="0" borderId="0" xfId="18" applyFont="1" applyFill="1" applyAlignment="1">
      <alignment horizontal="left"/>
    </xf>
    <xf numFmtId="0" fontId="0" fillId="0" borderId="0" xfId="0" applyAlignment="1">
      <alignment horizontal="center"/>
    </xf>
    <xf numFmtId="0" fontId="14" fillId="8" borderId="4" xfId="13" applyFont="1" applyFill="1" applyBorder="1" applyAlignment="1">
      <alignment horizontal="center" vertical="center" wrapText="1"/>
    </xf>
    <xf numFmtId="0" fontId="14" fillId="8" borderId="4" xfId="13" applyFont="1" applyFill="1" applyBorder="1" applyAlignment="1">
      <alignment horizontal="center" vertical="center"/>
    </xf>
    <xf numFmtId="0" fontId="0" fillId="0" borderId="11" xfId="0" applyBorder="1" applyAlignment="1">
      <alignment horizontal="center"/>
    </xf>
    <xf numFmtId="0" fontId="14" fillId="8" borderId="15" xfId="0" applyFont="1" applyFill="1" applyBorder="1" applyAlignment="1">
      <alignment horizontal="center" vertical="justify"/>
    </xf>
    <xf numFmtId="0" fontId="14" fillId="8" borderId="9" xfId="0" applyFont="1" applyFill="1" applyBorder="1" applyAlignment="1">
      <alignment horizontal="center" vertical="justify"/>
    </xf>
    <xf numFmtId="0" fontId="14" fillId="8" borderId="7" xfId="0" applyFont="1" applyFill="1" applyBorder="1" applyAlignment="1">
      <alignment horizontal="center" vertical="justify"/>
    </xf>
    <xf numFmtId="0" fontId="14" fillId="8" borderId="24" xfId="13" applyFont="1" applyFill="1" applyBorder="1" applyAlignment="1">
      <alignment horizontal="center" vertical="center"/>
    </xf>
    <xf numFmtId="0" fontId="12" fillId="0" borderId="0" xfId="0" applyFont="1"/>
    <xf numFmtId="0" fontId="10" fillId="0" borderId="0" xfId="18" applyFont="1" applyAlignment="1">
      <alignment horizontal="center"/>
    </xf>
    <xf numFmtId="0" fontId="11" fillId="8" borderId="24" xfId="0" applyFont="1" applyFill="1" applyBorder="1" applyAlignment="1">
      <alignment horizontal="center" vertical="center"/>
    </xf>
    <xf numFmtId="0" fontId="14" fillId="0" borderId="0" xfId="18" applyFont="1" applyFill="1" applyAlignment="1">
      <alignment horizontal="left" vertical="top"/>
    </xf>
    <xf numFmtId="0" fontId="11" fillId="0" borderId="0" xfId="0" applyFont="1" applyAlignment="1">
      <alignment horizontal="center"/>
    </xf>
    <xf numFmtId="0" fontId="14" fillId="0" borderId="0" xfId="0" applyFont="1" applyAlignment="1">
      <alignment wrapText="1"/>
    </xf>
    <xf numFmtId="0" fontId="12" fillId="0" borderId="0" xfId="0" applyFont="1" applyAlignment="1">
      <alignment wrapText="1"/>
    </xf>
    <xf numFmtId="0" fontId="14" fillId="4" borderId="0" xfId="18" applyFont="1" applyFill="1" applyAlignment="1">
      <alignment horizontal="center"/>
    </xf>
    <xf numFmtId="0" fontId="10" fillId="0" borderId="11" xfId="18" applyFont="1" applyBorder="1" applyAlignment="1">
      <alignment horizontal="center"/>
    </xf>
    <xf numFmtId="164" fontId="10" fillId="0" borderId="4" xfId="73" applyFont="1" applyFill="1" applyBorder="1" applyAlignment="1">
      <alignment horizontal="center" vertical="center" wrapText="1"/>
    </xf>
    <xf numFmtId="0" fontId="13" fillId="0" borderId="0" xfId="18" applyFont="1" applyAlignment="1">
      <alignment horizontal="justify" wrapText="1"/>
    </xf>
    <xf numFmtId="0" fontId="12" fillId="0" borderId="0" xfId="0" applyFont="1" applyAlignment="1">
      <alignment horizontal="justify" wrapText="1"/>
    </xf>
    <xf numFmtId="0" fontId="12" fillId="0" borderId="11" xfId="0" applyFont="1" applyBorder="1" applyAlignment="1">
      <alignment horizontal="center"/>
    </xf>
    <xf numFmtId="171" fontId="14" fillId="0" borderId="0" xfId="0" applyNumberFormat="1" applyFont="1" applyFill="1" applyAlignment="1">
      <alignment horizontal="left"/>
    </xf>
    <xf numFmtId="171" fontId="14" fillId="0" borderId="0" xfId="0" applyNumberFormat="1" applyFont="1" applyAlignment="1">
      <alignment horizontal="left"/>
    </xf>
    <xf numFmtId="0" fontId="11" fillId="0" borderId="0" xfId="0" applyFont="1" applyFill="1" applyAlignment="1">
      <alignment horizontal="center"/>
    </xf>
    <xf numFmtId="172" fontId="14" fillId="8" borderId="4" xfId="0" applyNumberFormat="1" applyFont="1" applyFill="1" applyBorder="1" applyAlignment="1">
      <alignment horizontal="center" vertical="center" wrapText="1"/>
    </xf>
    <xf numFmtId="171" fontId="14" fillId="8" borderId="15" xfId="0" applyNumberFormat="1" applyFont="1" applyFill="1" applyBorder="1" applyAlignment="1">
      <alignment horizontal="center" vertical="center" wrapText="1"/>
    </xf>
    <xf numFmtId="171" fontId="14" fillId="8" borderId="9" xfId="0" applyNumberFormat="1" applyFont="1" applyFill="1" applyBorder="1" applyAlignment="1">
      <alignment horizontal="center" vertical="center" wrapText="1"/>
    </xf>
    <xf numFmtId="171" fontId="14" fillId="8" borderId="7" xfId="0" applyNumberFormat="1"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2" xfId="0" applyFont="1" applyBorder="1" applyAlignment="1">
      <alignment horizontal="center" vertical="center" wrapText="1"/>
    </xf>
    <xf numFmtId="0" fontId="18" fillId="0" borderId="0" xfId="13" applyFont="1" applyAlignment="1">
      <alignment horizontal="left" vertical="justify"/>
    </xf>
    <xf numFmtId="0" fontId="14" fillId="8" borderId="15" xfId="13" applyFont="1" applyFill="1" applyBorder="1" applyAlignment="1">
      <alignment horizontal="center" vertical="center" wrapText="1"/>
    </xf>
    <xf numFmtId="0" fontId="14" fillId="8" borderId="9" xfId="13" applyFont="1" applyFill="1" applyBorder="1" applyAlignment="1">
      <alignment horizontal="center" vertical="center" wrapText="1"/>
    </xf>
    <xf numFmtId="0" fontId="14" fillId="8" borderId="7" xfId="13" applyFont="1" applyFill="1" applyBorder="1" applyAlignment="1">
      <alignment horizontal="center" vertical="center" wrapText="1"/>
    </xf>
    <xf numFmtId="0" fontId="14" fillId="8" borderId="16" xfId="13" applyFont="1" applyFill="1" applyBorder="1" applyAlignment="1">
      <alignment horizontal="center" vertical="center" wrapText="1"/>
    </xf>
    <xf numFmtId="0" fontId="14" fillId="8" borderId="13" xfId="13" applyFont="1" applyFill="1" applyBorder="1" applyAlignment="1">
      <alignment horizontal="center" vertical="center" wrapText="1"/>
    </xf>
    <xf numFmtId="0" fontId="14" fillId="8" borderId="17" xfId="13" applyFont="1" applyFill="1" applyBorder="1" applyAlignment="1">
      <alignment horizontal="center" vertical="center" wrapText="1"/>
    </xf>
    <xf numFmtId="0" fontId="14" fillId="8" borderId="18" xfId="13" applyFont="1" applyFill="1" applyBorder="1" applyAlignment="1">
      <alignment horizontal="center" vertical="center" wrapText="1"/>
    </xf>
    <xf numFmtId="0" fontId="14" fillId="8" borderId="8" xfId="13" applyFont="1" applyFill="1" applyBorder="1" applyAlignment="1">
      <alignment horizontal="center" vertical="center" wrapText="1"/>
    </xf>
    <xf numFmtId="0" fontId="14" fillId="8" borderId="19" xfId="13" applyFont="1" applyFill="1" applyBorder="1" applyAlignment="1">
      <alignment horizontal="center" vertical="center" wrapText="1"/>
    </xf>
    <xf numFmtId="0" fontId="10" fillId="0" borderId="11" xfId="13" applyFont="1" applyBorder="1" applyAlignment="1">
      <alignment horizontal="center"/>
    </xf>
    <xf numFmtId="0" fontId="51" fillId="9" borderId="4" xfId="0" applyFont="1" applyFill="1" applyBorder="1" applyAlignment="1">
      <alignment horizontal="center" vertical="center"/>
    </xf>
    <xf numFmtId="0" fontId="72" fillId="0" borderId="16" xfId="0" applyFont="1" applyFill="1" applyBorder="1" applyAlignment="1">
      <alignment horizontal="center" vertical="center"/>
    </xf>
    <xf numFmtId="0" fontId="72" fillId="0" borderId="14" xfId="0" applyFont="1" applyFill="1" applyBorder="1" applyAlignment="1">
      <alignment horizontal="center" vertical="center"/>
    </xf>
    <xf numFmtId="0" fontId="72" fillId="0" borderId="13" xfId="0" applyFont="1" applyFill="1" applyBorder="1" applyAlignment="1">
      <alignment horizontal="center" vertical="center"/>
    </xf>
    <xf numFmtId="0" fontId="72" fillId="0" borderId="17"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18" xfId="0" applyFont="1" applyFill="1" applyBorder="1" applyAlignment="1">
      <alignment horizontal="center" vertical="center"/>
    </xf>
    <xf numFmtId="0" fontId="72" fillId="0" borderId="8" xfId="0" applyFont="1" applyFill="1" applyBorder="1" applyAlignment="1">
      <alignment horizontal="center" vertical="center"/>
    </xf>
    <xf numFmtId="0" fontId="72" fillId="0" borderId="11" xfId="0" applyFont="1" applyFill="1" applyBorder="1" applyAlignment="1">
      <alignment horizontal="center" vertical="center"/>
    </xf>
    <xf numFmtId="0" fontId="72" fillId="0" borderId="19" xfId="0" applyFont="1" applyFill="1" applyBorder="1" applyAlignment="1">
      <alignment horizontal="center" vertical="center"/>
    </xf>
    <xf numFmtId="0" fontId="26" fillId="0" borderId="0" xfId="0" applyFont="1"/>
    <xf numFmtId="0" fontId="18" fillId="0" borderId="6" xfId="13" applyFont="1" applyBorder="1" applyAlignment="1">
      <alignment horizontal="left" wrapText="1"/>
    </xf>
    <xf numFmtId="0" fontId="18" fillId="0" borderId="3" xfId="13" applyFont="1" applyBorder="1" applyAlignment="1">
      <alignment horizontal="left" wrapText="1"/>
    </xf>
    <xf numFmtId="0" fontId="18" fillId="0" borderId="12" xfId="13" applyFont="1" applyBorder="1" applyAlignment="1">
      <alignment horizontal="left" wrapText="1"/>
    </xf>
    <xf numFmtId="0" fontId="18" fillId="0" borderId="6" xfId="13" applyFont="1" applyBorder="1" applyAlignment="1">
      <alignment horizontal="left" vertical="justify" wrapText="1"/>
    </xf>
    <xf numFmtId="0" fontId="18" fillId="0" borderId="3" xfId="13" applyFont="1" applyBorder="1" applyAlignment="1">
      <alignment horizontal="left" vertical="justify" wrapText="1"/>
    </xf>
    <xf numFmtId="0" fontId="18" fillId="0" borderId="12" xfId="13" applyFont="1" applyBorder="1" applyAlignment="1">
      <alignment horizontal="left" vertical="justify" wrapText="1"/>
    </xf>
    <xf numFmtId="0" fontId="14" fillId="0" borderId="0" xfId="13" applyFont="1" applyAlignment="1">
      <alignment horizontal="center" vertical="top"/>
    </xf>
    <xf numFmtId="0" fontId="14" fillId="0" borderId="6" xfId="13" applyFont="1" applyBorder="1" applyAlignment="1">
      <alignment horizontal="center" vertical="justify" wrapText="1"/>
    </xf>
    <xf numFmtId="0" fontId="14" fillId="0" borderId="3" xfId="13" applyFont="1" applyBorder="1" applyAlignment="1">
      <alignment horizontal="center" vertical="justify" wrapText="1"/>
    </xf>
    <xf numFmtId="0" fontId="14" fillId="0" borderId="12" xfId="13" applyFont="1" applyBorder="1" applyAlignment="1">
      <alignment horizontal="center" vertical="justify" wrapText="1"/>
    </xf>
    <xf numFmtId="0" fontId="10" fillId="0" borderId="4" xfId="13" applyFont="1" applyBorder="1" applyAlignment="1">
      <alignment wrapText="1"/>
    </xf>
    <xf numFmtId="0" fontId="0" fillId="0" borderId="4" xfId="0" applyBorder="1" applyAlignment="1">
      <alignment wrapText="1"/>
    </xf>
    <xf numFmtId="164" fontId="92" fillId="0" borderId="16" xfId="73" applyFont="1" applyFill="1" applyBorder="1" applyAlignment="1">
      <alignment horizontal="center" vertical="center" wrapText="1"/>
    </xf>
    <xf numFmtId="164" fontId="92" fillId="0" borderId="14" xfId="73" applyFont="1" applyFill="1" applyBorder="1" applyAlignment="1">
      <alignment horizontal="center" vertical="center" wrapText="1"/>
    </xf>
    <xf numFmtId="164" fontId="92" fillId="0" borderId="13" xfId="73" applyFont="1" applyFill="1" applyBorder="1" applyAlignment="1">
      <alignment horizontal="center" vertical="center" wrapText="1"/>
    </xf>
    <xf numFmtId="164" fontId="92" fillId="0" borderId="17" xfId="73" applyFont="1" applyFill="1" applyBorder="1" applyAlignment="1">
      <alignment horizontal="center" vertical="center" wrapText="1"/>
    </xf>
    <xf numFmtId="164" fontId="92" fillId="0" borderId="0" xfId="73" applyFont="1" applyFill="1" applyBorder="1" applyAlignment="1">
      <alignment horizontal="center" vertical="center" wrapText="1"/>
    </xf>
    <xf numFmtId="164" fontId="92" fillId="0" borderId="18" xfId="73" applyFont="1" applyFill="1" applyBorder="1" applyAlignment="1">
      <alignment horizontal="center" vertical="center" wrapText="1"/>
    </xf>
    <xf numFmtId="164" fontId="92" fillId="0" borderId="8" xfId="73" applyFont="1" applyFill="1" applyBorder="1" applyAlignment="1">
      <alignment horizontal="center" vertical="center" wrapText="1"/>
    </xf>
    <xf numFmtId="164" fontId="92" fillId="0" borderId="11" xfId="73" applyFont="1" applyFill="1" applyBorder="1" applyAlignment="1">
      <alignment horizontal="center" vertical="center" wrapText="1"/>
    </xf>
    <xf numFmtId="164" fontId="92" fillId="0" borderId="19" xfId="73" applyFont="1" applyFill="1" applyBorder="1" applyAlignment="1">
      <alignment horizontal="center" vertical="center" wrapText="1"/>
    </xf>
    <xf numFmtId="0" fontId="51" fillId="18" borderId="15" xfId="0" applyFont="1" applyFill="1" applyBorder="1" applyAlignment="1">
      <alignment horizontal="center" vertical="center"/>
    </xf>
    <xf numFmtId="0" fontId="51" fillId="18" borderId="7" xfId="0" applyFont="1" applyFill="1" applyBorder="1" applyAlignment="1">
      <alignment horizontal="center" vertical="center"/>
    </xf>
    <xf numFmtId="0" fontId="51" fillId="18" borderId="4" xfId="0" applyFont="1" applyFill="1" applyBorder="1" applyAlignment="1">
      <alignment horizontal="center" vertical="center" wrapText="1"/>
    </xf>
    <xf numFmtId="0" fontId="63" fillId="0" borderId="0" xfId="0" applyFont="1" applyAlignment="1">
      <alignment horizontal="center"/>
    </xf>
    <xf numFmtId="0" fontId="70" fillId="0" borderId="0" xfId="0" applyFont="1" applyAlignment="1">
      <alignment horizontal="left" vertical="center"/>
    </xf>
    <xf numFmtId="0" fontId="67" fillId="8" borderId="15" xfId="0" applyFont="1" applyFill="1" applyBorder="1" applyAlignment="1">
      <alignment horizontal="center" vertical="center" wrapText="1"/>
    </xf>
    <xf numFmtId="0" fontId="67" fillId="8" borderId="9" xfId="0" applyFont="1" applyFill="1" applyBorder="1" applyAlignment="1">
      <alignment horizontal="center" vertical="center" wrapText="1"/>
    </xf>
    <xf numFmtId="0" fontId="67" fillId="8" borderId="7" xfId="0" applyFont="1" applyFill="1" applyBorder="1" applyAlignment="1">
      <alignment horizontal="center" vertical="center" wrapText="1"/>
    </xf>
    <xf numFmtId="0" fontId="67" fillId="8" borderId="6" xfId="0" applyFont="1" applyFill="1" applyBorder="1" applyAlignment="1">
      <alignment horizontal="center" vertical="center" wrapText="1"/>
    </xf>
    <xf numFmtId="0" fontId="67" fillId="8" borderId="3" xfId="0" applyFont="1" applyFill="1" applyBorder="1" applyAlignment="1">
      <alignment horizontal="center" vertical="center" wrapText="1"/>
    </xf>
    <xf numFmtId="0" fontId="67" fillId="8" borderId="12" xfId="0" applyFont="1" applyFill="1" applyBorder="1" applyAlignment="1">
      <alignment horizontal="center" vertical="center" wrapText="1"/>
    </xf>
    <xf numFmtId="0" fontId="67" fillId="8" borderId="6" xfId="18" applyFont="1" applyFill="1" applyBorder="1" applyAlignment="1">
      <alignment horizontal="center"/>
    </xf>
    <xf numFmtId="0" fontId="67" fillId="8" borderId="12" xfId="18" applyFont="1" applyFill="1" applyBorder="1" applyAlignment="1">
      <alignment horizontal="center"/>
    </xf>
    <xf numFmtId="0" fontId="67" fillId="8" borderId="16" xfId="0" applyFont="1" applyFill="1" applyBorder="1" applyAlignment="1">
      <alignment horizontal="center" vertical="center" wrapText="1"/>
    </xf>
    <xf numFmtId="0" fontId="67" fillId="8" borderId="14" xfId="0" applyFont="1" applyFill="1" applyBorder="1" applyAlignment="1">
      <alignment horizontal="center" vertical="center" wrapText="1"/>
    </xf>
    <xf numFmtId="0" fontId="67" fillId="8" borderId="13" xfId="0" applyFont="1" applyFill="1" applyBorder="1" applyAlignment="1">
      <alignment horizontal="center" vertical="center" wrapText="1"/>
    </xf>
    <xf numFmtId="0" fontId="67" fillId="8" borderId="4" xfId="18" applyFont="1" applyFill="1" applyBorder="1" applyAlignment="1">
      <alignment horizontal="center"/>
    </xf>
    <xf numFmtId="0" fontId="14" fillId="12" borderId="0" xfId="90" applyFont="1" applyFill="1" applyBorder="1" applyAlignment="1">
      <alignment horizontal="center" vertical="center" wrapText="1"/>
    </xf>
    <xf numFmtId="0" fontId="14" fillId="12" borderId="0" xfId="90" applyFont="1" applyFill="1" applyBorder="1" applyAlignment="1">
      <alignment horizontal="center" vertical="center"/>
    </xf>
    <xf numFmtId="0" fontId="14" fillId="11" borderId="4" xfId="90" applyFont="1" applyFill="1" applyBorder="1" applyAlignment="1">
      <alignment horizontal="center" vertical="center" wrapText="1"/>
    </xf>
    <xf numFmtId="0" fontId="14" fillId="11" borderId="6" xfId="90" applyFont="1" applyFill="1" applyBorder="1" applyAlignment="1">
      <alignment horizontal="center" vertical="center"/>
    </xf>
    <xf numFmtId="0" fontId="14" fillId="11" borderId="3" xfId="90" applyFont="1" applyFill="1" applyBorder="1" applyAlignment="1">
      <alignment horizontal="center" vertical="center"/>
    </xf>
    <xf numFmtId="0" fontId="14" fillId="11" borderId="12" xfId="90" applyFont="1" applyFill="1" applyBorder="1" applyAlignment="1">
      <alignment horizontal="center" vertical="center"/>
    </xf>
    <xf numFmtId="0" fontId="14" fillId="8" borderId="4" xfId="18" applyFont="1" applyFill="1" applyBorder="1" applyAlignment="1">
      <alignment horizontal="center" vertical="center" wrapText="1"/>
    </xf>
    <xf numFmtId="0" fontId="14" fillId="0" borderId="0" xfId="0" applyFont="1" applyAlignment="1">
      <alignment horizontal="left" vertical="center"/>
    </xf>
    <xf numFmtId="0" fontId="14" fillId="8" borderId="13" xfId="0" applyFont="1" applyFill="1" applyBorder="1" applyAlignment="1">
      <alignment horizontal="center" vertical="center" wrapText="1"/>
    </xf>
    <xf numFmtId="0" fontId="14" fillId="8" borderId="6" xfId="18" applyFont="1" applyFill="1" applyBorder="1" applyAlignment="1">
      <alignment horizontal="center" vertical="center" wrapText="1"/>
    </xf>
    <xf numFmtId="0" fontId="14" fillId="8" borderId="3" xfId="18" applyFont="1" applyFill="1" applyBorder="1" applyAlignment="1">
      <alignment horizontal="center" vertical="center" wrapText="1"/>
    </xf>
    <xf numFmtId="0" fontId="14" fillId="8" borderId="12" xfId="18" applyFont="1" applyFill="1" applyBorder="1" applyAlignment="1">
      <alignment horizontal="center" vertical="center" wrapText="1"/>
    </xf>
    <xf numFmtId="0" fontId="10" fillId="0" borderId="0" xfId="18" applyFont="1" applyBorder="1" applyAlignment="1">
      <alignment horizontal="center"/>
    </xf>
    <xf numFmtId="0" fontId="10" fillId="0" borderId="14" xfId="57" applyFont="1" applyBorder="1" applyAlignment="1">
      <alignment horizontal="left" vertical="center" wrapText="1"/>
    </xf>
    <xf numFmtId="0" fontId="14" fillId="0" borderId="0" xfId="0" applyFont="1" applyAlignment="1">
      <alignment horizontal="left"/>
    </xf>
    <xf numFmtId="0" fontId="11" fillId="0" borderId="0" xfId="0" applyFont="1"/>
    <xf numFmtId="0" fontId="11" fillId="8" borderId="15" xfId="0" applyFont="1" applyFill="1" applyBorder="1" applyAlignment="1">
      <alignment horizontal="center" vertical="center"/>
    </xf>
    <xf numFmtId="0" fontId="11" fillId="8" borderId="9" xfId="0" applyFont="1" applyFill="1" applyBorder="1" applyAlignment="1">
      <alignment horizontal="center" vertical="center"/>
    </xf>
    <xf numFmtId="0" fontId="11" fillId="8" borderId="7" xfId="0" applyFont="1" applyFill="1" applyBorder="1" applyAlignment="1">
      <alignment horizontal="center" vertical="center"/>
    </xf>
    <xf numFmtId="0" fontId="14" fillId="8" borderId="6" xfId="108" applyFont="1" applyFill="1" applyBorder="1" applyAlignment="1">
      <alignment horizontal="center" vertical="center" wrapText="1"/>
    </xf>
    <xf numFmtId="0" fontId="14" fillId="8" borderId="12" xfId="108" applyFont="1" applyFill="1" applyBorder="1" applyAlignment="1">
      <alignment horizontal="center" vertical="center" wrapText="1"/>
    </xf>
    <xf numFmtId="0" fontId="14" fillId="8" borderId="15" xfId="108" applyFont="1" applyFill="1" applyBorder="1" applyAlignment="1">
      <alignment horizontal="center" vertical="center" wrapText="1"/>
    </xf>
    <xf numFmtId="0" fontId="14" fillId="8" borderId="9" xfId="108" applyFont="1" applyFill="1" applyBorder="1" applyAlignment="1">
      <alignment horizontal="center" vertical="center" wrapText="1"/>
    </xf>
    <xf numFmtId="0" fontId="14" fillId="8" borderId="7" xfId="108" applyFont="1" applyFill="1" applyBorder="1" applyAlignment="1">
      <alignment horizontal="center" vertical="center" wrapText="1"/>
    </xf>
    <xf numFmtId="0" fontId="14" fillId="8" borderId="15" xfId="108" applyFont="1" applyFill="1" applyBorder="1" applyAlignment="1">
      <alignment horizontal="center" vertical="center"/>
    </xf>
    <xf numFmtId="0" fontId="14" fillId="8" borderId="9" xfId="108" applyFont="1" applyFill="1" applyBorder="1" applyAlignment="1">
      <alignment horizontal="center" vertical="center"/>
    </xf>
    <xf numFmtId="0" fontId="14" fillId="8" borderId="7" xfId="108" applyFont="1" applyFill="1" applyBorder="1" applyAlignment="1">
      <alignment horizontal="center" vertical="center"/>
    </xf>
    <xf numFmtId="0" fontId="14" fillId="8" borderId="3" xfId="108" applyFont="1" applyFill="1" applyBorder="1" applyAlignment="1">
      <alignment horizontal="center" vertical="center" wrapText="1"/>
    </xf>
    <xf numFmtId="164" fontId="68" fillId="0" borderId="15" xfId="73" applyFont="1" applyFill="1" applyBorder="1" applyAlignment="1">
      <alignment horizontal="center" vertical="center"/>
    </xf>
    <xf numFmtId="164" fontId="68" fillId="0" borderId="7" xfId="73" applyFont="1" applyFill="1" applyBorder="1" applyAlignment="1">
      <alignment horizontal="center" vertical="center"/>
    </xf>
    <xf numFmtId="0" fontId="14" fillId="0" borderId="11" xfId="0" applyFont="1" applyBorder="1" applyAlignment="1">
      <alignment horizontal="center" vertical="center"/>
    </xf>
    <xf numFmtId="0" fontId="14" fillId="0" borderId="0" xfId="0" applyFont="1" applyAlignment="1">
      <alignment vertical="center"/>
    </xf>
    <xf numFmtId="0" fontId="10" fillId="0" borderId="0" xfId="0" applyFont="1" applyAlignment="1">
      <alignment horizontal="center" wrapText="1"/>
    </xf>
    <xf numFmtId="0" fontId="0" fillId="8" borderId="4" xfId="0" applyFill="1" applyBorder="1" applyAlignment="1">
      <alignment horizontal="center" vertical="center" wrapText="1"/>
    </xf>
    <xf numFmtId="0" fontId="14" fillId="8" borderId="5" xfId="13" applyFont="1" applyFill="1" applyBorder="1" applyAlignment="1">
      <alignment horizontal="center" vertical="center"/>
    </xf>
    <xf numFmtId="0" fontId="14" fillId="0" borderId="0" xfId="0" applyFont="1" applyBorder="1" applyAlignment="1">
      <alignment horizontal="left"/>
    </xf>
    <xf numFmtId="0" fontId="14" fillId="4" borderId="0" xfId="74" applyFont="1" applyFill="1" applyAlignment="1">
      <alignment horizontal="center"/>
    </xf>
    <xf numFmtId="0" fontId="14" fillId="8" borderId="4" xfId="74" applyFont="1" applyFill="1" applyBorder="1" applyAlignment="1">
      <alignment horizontal="center" vertical="center" wrapText="1"/>
    </xf>
    <xf numFmtId="0" fontId="14" fillId="8" borderId="4" xfId="74" applyFont="1" applyFill="1" applyBorder="1" applyAlignment="1">
      <alignment horizontal="center" vertical="center"/>
    </xf>
    <xf numFmtId="0" fontId="14" fillId="8" borderId="4" xfId="0" applyFont="1" applyFill="1" applyBorder="1" applyAlignment="1">
      <alignment vertical="center" wrapText="1"/>
    </xf>
    <xf numFmtId="0" fontId="10" fillId="0" borderId="0" xfId="0" applyFont="1" applyAlignment="1">
      <alignment horizontal="center" vertical="center" wrapText="1"/>
    </xf>
    <xf numFmtId="0" fontId="52" fillId="0" borderId="0" xfId="0" applyFont="1" applyFill="1" applyBorder="1" applyAlignment="1">
      <alignment horizontal="left" vertical="center"/>
    </xf>
    <xf numFmtId="0" fontId="50" fillId="9" borderId="4" xfId="0" applyFont="1" applyFill="1" applyBorder="1" applyAlignment="1">
      <alignment horizontal="center" vertical="center" wrapText="1"/>
    </xf>
    <xf numFmtId="0" fontId="0" fillId="0" borderId="0" xfId="0" applyFont="1" applyBorder="1" applyAlignment="1">
      <alignment horizontal="left"/>
    </xf>
    <xf numFmtId="0" fontId="14" fillId="0" borderId="0" xfId="18" applyFont="1" applyAlignment="1">
      <alignment horizontal="left"/>
    </xf>
    <xf numFmtId="0" fontId="14" fillId="0" borderId="0" xfId="18" applyFont="1" applyAlignment="1">
      <alignment horizontal="center"/>
    </xf>
    <xf numFmtId="0" fontId="63" fillId="8" borderId="6" xfId="0" applyFont="1" applyFill="1" applyBorder="1" applyAlignment="1">
      <alignment horizontal="left"/>
    </xf>
    <xf numFmtId="0" fontId="63" fillId="8" borderId="3" xfId="0" applyFont="1" applyFill="1" applyBorder="1" applyAlignment="1">
      <alignment horizontal="left"/>
    </xf>
    <xf numFmtId="0" fontId="63" fillId="8" borderId="12" xfId="0" applyFont="1" applyFill="1" applyBorder="1" applyAlignment="1">
      <alignment horizontal="left"/>
    </xf>
    <xf numFmtId="0" fontId="63" fillId="8" borderId="4" xfId="0" applyFont="1" applyFill="1" applyBorder="1" applyAlignment="1">
      <alignment horizontal="left"/>
    </xf>
    <xf numFmtId="0" fontId="89" fillId="8" borderId="15" xfId="0" applyFont="1" applyFill="1" applyBorder="1" applyAlignment="1">
      <alignment horizontal="center" vertical="center" wrapText="1"/>
    </xf>
    <xf numFmtId="0" fontId="89" fillId="8" borderId="9" xfId="0" applyFont="1" applyFill="1" applyBorder="1" applyAlignment="1">
      <alignment horizontal="center" vertical="center" wrapText="1"/>
    </xf>
    <xf numFmtId="0" fontId="89" fillId="8" borderId="7" xfId="0" applyFont="1" applyFill="1" applyBorder="1" applyAlignment="1">
      <alignment horizontal="center" vertical="center" wrapText="1"/>
    </xf>
    <xf numFmtId="0" fontId="89" fillId="8" borderId="4" xfId="0" applyFont="1" applyFill="1" applyBorder="1" applyAlignment="1">
      <alignment horizontal="center" vertical="center" wrapText="1"/>
    </xf>
    <xf numFmtId="0" fontId="88" fillId="8" borderId="4" xfId="0" applyFont="1" applyFill="1" applyBorder="1" applyAlignment="1">
      <alignment horizontal="left"/>
    </xf>
    <xf numFmtId="0" fontId="91" fillId="0" borderId="4" xfId="0" applyFont="1" applyBorder="1" applyAlignment="1">
      <alignment horizontal="left" vertical="center"/>
    </xf>
    <xf numFmtId="0" fontId="89" fillId="8" borderId="16" xfId="0" applyFont="1" applyFill="1" applyBorder="1" applyAlignment="1">
      <alignment horizontal="center" vertical="center" wrapText="1"/>
    </xf>
    <xf numFmtId="0" fontId="89" fillId="8" borderId="14" xfId="0" applyFont="1" applyFill="1" applyBorder="1" applyAlignment="1">
      <alignment horizontal="center" vertical="center" wrapText="1"/>
    </xf>
    <xf numFmtId="0" fontId="89" fillId="8" borderId="17" xfId="0" applyFont="1" applyFill="1" applyBorder="1" applyAlignment="1">
      <alignment horizontal="center" vertical="center" wrapText="1"/>
    </xf>
    <xf numFmtId="0" fontId="89" fillId="8" borderId="0" xfId="0" applyFont="1" applyFill="1" applyBorder="1" applyAlignment="1">
      <alignment horizontal="center" vertical="center" wrapText="1"/>
    </xf>
    <xf numFmtId="0" fontId="11" fillId="15" borderId="4" xfId="0" applyFont="1" applyFill="1" applyBorder="1" applyAlignment="1">
      <alignment horizontal="center" vertical="center"/>
    </xf>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12" xfId="0" applyFont="1" applyFill="1" applyBorder="1" applyAlignment="1">
      <alignment horizontal="left" vertical="center"/>
    </xf>
    <xf numFmtId="0" fontId="0" fillId="0" borderId="4" xfId="0" applyFont="1" applyBorder="1" applyAlignment="1">
      <alignment horizontal="left" vertical="center"/>
    </xf>
    <xf numFmtId="0" fontId="0" fillId="0" borderId="6" xfId="0" applyFont="1" applyBorder="1" applyAlignment="1">
      <alignment horizontal="left" vertical="center"/>
    </xf>
    <xf numFmtId="0" fontId="0" fillId="0" borderId="3" xfId="0" applyFont="1" applyBorder="1" applyAlignment="1">
      <alignment horizontal="left" vertical="center"/>
    </xf>
    <xf numFmtId="0" fontId="0" fillId="0" borderId="12" xfId="0" applyFont="1" applyBorder="1" applyAlignment="1">
      <alignment horizontal="left" vertical="center"/>
    </xf>
    <xf numFmtId="0" fontId="58" fillId="8" borderId="15" xfId="0" applyFont="1" applyFill="1" applyBorder="1" applyAlignment="1">
      <alignment horizontal="center" vertical="center" wrapText="1"/>
    </xf>
    <xf numFmtId="0" fontId="58" fillId="8" borderId="9" xfId="0" applyFont="1" applyFill="1" applyBorder="1" applyAlignment="1">
      <alignment horizontal="center" vertical="center" wrapText="1"/>
    </xf>
    <xf numFmtId="0" fontId="58" fillId="8" borderId="7" xfId="0" applyFont="1" applyFill="1" applyBorder="1" applyAlignment="1">
      <alignment horizontal="center" vertical="center" wrapText="1"/>
    </xf>
    <xf numFmtId="0" fontId="12" fillId="0" borderId="3" xfId="0" applyFont="1" applyBorder="1" applyAlignment="1">
      <alignment horizontal="left" vertical="center"/>
    </xf>
    <xf numFmtId="0" fontId="12" fillId="0" borderId="12" xfId="0" applyFont="1" applyBorder="1" applyAlignment="1">
      <alignment horizontal="left" vertical="center"/>
    </xf>
    <xf numFmtId="0" fontId="11" fillId="8" borderId="6"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2" xfId="0" applyFont="1" applyFill="1" applyBorder="1" applyAlignment="1">
      <alignment horizontal="center" vertical="center"/>
    </xf>
    <xf numFmtId="0" fontId="58" fillId="14" borderId="4" xfId="0" applyFont="1" applyFill="1" applyBorder="1" applyAlignment="1">
      <alignment horizontal="center" vertical="center"/>
    </xf>
    <xf numFmtId="0" fontId="58" fillId="14" borderId="4" xfId="0" applyFont="1" applyFill="1" applyBorder="1" applyAlignment="1">
      <alignment horizontal="center" vertical="center" wrapText="1"/>
    </xf>
    <xf numFmtId="0" fontId="58" fillId="14" borderId="6" xfId="0" applyFont="1" applyFill="1" applyBorder="1" applyAlignment="1">
      <alignment horizontal="center" vertical="center" wrapText="1"/>
    </xf>
    <xf numFmtId="0" fontId="58" fillId="14" borderId="12" xfId="0" applyFont="1" applyFill="1" applyBorder="1" applyAlignment="1">
      <alignment horizontal="center" vertical="center" wrapText="1"/>
    </xf>
    <xf numFmtId="0" fontId="12" fillId="0" borderId="4" xfId="0" applyFont="1" applyBorder="1" applyAlignment="1">
      <alignment horizontal="left" vertical="center"/>
    </xf>
    <xf numFmtId="0" fontId="11" fillId="8" borderId="6"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1" fillId="15" borderId="18" xfId="0" applyFont="1" applyFill="1" applyBorder="1" applyAlignment="1">
      <alignment horizontal="center" vertical="center"/>
    </xf>
    <xf numFmtId="0" fontId="11" fillId="15" borderId="19" xfId="0" applyFont="1" applyFill="1" applyBorder="1" applyAlignment="1">
      <alignment horizontal="center" vertical="center"/>
    </xf>
    <xf numFmtId="0" fontId="11" fillId="13" borderId="4" xfId="0" applyFont="1" applyFill="1" applyBorder="1" applyAlignment="1">
      <alignment horizontal="center" vertical="center" wrapText="1"/>
    </xf>
    <xf numFmtId="0" fontId="0" fillId="0" borderId="4" xfId="110" applyFont="1" applyFill="1" applyBorder="1" applyAlignment="1">
      <alignment horizontal="left" vertical="center" wrapText="1"/>
    </xf>
    <xf numFmtId="0" fontId="12" fillId="0" borderId="4" xfId="0" applyFont="1" applyBorder="1" applyAlignment="1">
      <alignment horizontal="left" vertical="center" wrapText="1"/>
    </xf>
    <xf numFmtId="0" fontId="12" fillId="0" borderId="6" xfId="0" applyFont="1" applyBorder="1" applyAlignment="1">
      <alignment horizontal="left"/>
    </xf>
    <xf numFmtId="0" fontId="12" fillId="0" borderId="3" xfId="0" applyFont="1" applyBorder="1" applyAlignment="1">
      <alignment horizontal="left"/>
    </xf>
    <xf numFmtId="0" fontId="12" fillId="0" borderId="12" xfId="0" applyFont="1" applyBorder="1" applyAlignment="1">
      <alignment horizontal="left"/>
    </xf>
    <xf numFmtId="0" fontId="10" fillId="0" borderId="6" xfId="0" applyFont="1" applyBorder="1" applyAlignment="1">
      <alignment horizontal="left" vertical="center"/>
    </xf>
    <xf numFmtId="0" fontId="10" fillId="0" borderId="3" xfId="0" applyFont="1" applyBorder="1" applyAlignment="1">
      <alignment horizontal="left" vertical="center"/>
    </xf>
    <xf numFmtId="0" fontId="10" fillId="0" borderId="12" xfId="0" applyFont="1" applyBorder="1" applyAlignment="1">
      <alignment horizontal="left" vertical="center"/>
    </xf>
    <xf numFmtId="0" fontId="0" fillId="0" borderId="6" xfId="0" applyFont="1" applyBorder="1" applyAlignment="1">
      <alignment horizontal="left"/>
    </xf>
    <xf numFmtId="0" fontId="0" fillId="0" borderId="3" xfId="0" applyFont="1" applyBorder="1" applyAlignment="1">
      <alignment horizontal="left"/>
    </xf>
    <xf numFmtId="0" fontId="0" fillId="0" borderId="12" xfId="0" applyFont="1" applyBorder="1" applyAlignment="1">
      <alignment horizontal="left"/>
    </xf>
    <xf numFmtId="0" fontId="11" fillId="13" borderId="4" xfId="0" applyFont="1" applyFill="1" applyBorder="1" applyAlignment="1">
      <alignment vertical="center" wrapText="1"/>
    </xf>
    <xf numFmtId="0" fontId="11" fillId="15" borderId="18" xfId="0" applyFont="1" applyFill="1" applyBorder="1" applyAlignment="1">
      <alignment horizontal="center" vertical="center" wrapText="1"/>
    </xf>
    <xf numFmtId="0" fontId="11" fillId="15" borderId="19" xfId="0" applyFont="1" applyFill="1" applyBorder="1" applyAlignment="1">
      <alignment horizontal="center" vertical="center" wrapText="1"/>
    </xf>
    <xf numFmtId="0" fontId="0" fillId="0" borderId="4" xfId="0" applyFont="1" applyBorder="1" applyAlignment="1">
      <alignment horizontal="left" wrapText="1"/>
    </xf>
    <xf numFmtId="2" fontId="10" fillId="0" borderId="6" xfId="90" applyNumberFormat="1" applyFont="1" applyFill="1" applyBorder="1" applyAlignment="1">
      <alignment horizontal="left" vertical="center"/>
    </xf>
    <xf numFmtId="2" fontId="10" fillId="0" borderId="3" xfId="90" applyNumberFormat="1" applyFont="1" applyFill="1" applyBorder="1" applyAlignment="1">
      <alignment horizontal="left" vertical="center"/>
    </xf>
    <xf numFmtId="2" fontId="10" fillId="0" borderId="12" xfId="90" applyNumberFormat="1" applyFont="1" applyFill="1" applyBorder="1" applyAlignment="1">
      <alignment horizontal="left" vertical="center"/>
    </xf>
    <xf numFmtId="0" fontId="12" fillId="0" borderId="4" xfId="0" applyFont="1" applyBorder="1" applyAlignment="1">
      <alignment horizontal="left" wrapText="1"/>
    </xf>
    <xf numFmtId="0" fontId="12" fillId="0" borderId="4" xfId="0" applyFont="1" applyBorder="1" applyAlignment="1">
      <alignment horizontal="left" vertical="top" wrapText="1"/>
    </xf>
    <xf numFmtId="0" fontId="12" fillId="0" borderId="4" xfId="110" applyFont="1" applyFill="1" applyBorder="1" applyAlignment="1">
      <alignment horizontal="left" vertical="center" wrapText="1"/>
    </xf>
    <xf numFmtId="0" fontId="58" fillId="0" borderId="0" xfId="0" applyFont="1" applyFill="1" applyBorder="1" applyAlignment="1">
      <alignment horizontal="center" vertical="center"/>
    </xf>
    <xf numFmtId="0" fontId="84" fillId="16" borderId="6" xfId="0" applyFont="1" applyFill="1" applyBorder="1" applyAlignment="1">
      <alignment horizontal="center"/>
    </xf>
    <xf numFmtId="0" fontId="84" fillId="16" borderId="3" xfId="0" applyFont="1" applyFill="1" applyBorder="1" applyAlignment="1">
      <alignment horizontal="center"/>
    </xf>
    <xf numFmtId="0" fontId="84" fillId="16" borderId="12" xfId="0" applyFont="1" applyFill="1" applyBorder="1" applyAlignment="1">
      <alignment horizontal="center"/>
    </xf>
    <xf numFmtId="0" fontId="0" fillId="0" borderId="7" xfId="0" applyBorder="1" applyAlignment="1">
      <alignment horizontal="left" vertical="center"/>
    </xf>
    <xf numFmtId="0" fontId="0" fillId="0" borderId="4" xfId="0" applyBorder="1" applyAlignment="1">
      <alignment horizontal="left" vertical="center"/>
    </xf>
    <xf numFmtId="0" fontId="11" fillId="8" borderId="4" xfId="0" applyFont="1" applyFill="1" applyBorder="1" applyAlignment="1">
      <alignment horizontal="center"/>
    </xf>
    <xf numFmtId="0" fontId="11" fillId="5" borderId="4"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2" fillId="0" borderId="6" xfId="0" applyFont="1" applyFill="1" applyBorder="1" applyAlignment="1">
      <alignment horizontal="left"/>
    </xf>
    <xf numFmtId="0" fontId="12" fillId="0" borderId="3" xfId="0" applyFont="1" applyFill="1" applyBorder="1" applyAlignment="1">
      <alignment horizontal="left"/>
    </xf>
    <xf numFmtId="0" fontId="11" fillId="8" borderId="6" xfId="0" applyFont="1" applyFill="1" applyBorder="1" applyAlignment="1">
      <alignment horizontal="center"/>
    </xf>
    <xf numFmtId="0" fontId="11" fillId="8" borderId="3" xfId="0" applyFont="1" applyFill="1" applyBorder="1" applyAlignment="1">
      <alignment horizontal="center"/>
    </xf>
    <xf numFmtId="0" fontId="58" fillId="8" borderId="4"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51" fillId="9" borderId="4" xfId="0" applyFont="1" applyFill="1" applyBorder="1" applyAlignment="1">
      <alignment horizontal="center" vertical="center" wrapText="1"/>
    </xf>
    <xf numFmtId="0" fontId="0" fillId="0" borderId="4" xfId="0" applyFill="1" applyBorder="1" applyAlignment="1">
      <alignment horizontal="left" vertical="center"/>
    </xf>
    <xf numFmtId="0" fontId="10" fillId="0" borderId="0" xfId="0" applyFont="1"/>
    <xf numFmtId="0" fontId="14" fillId="8" borderId="15" xfId="0" applyFont="1" applyFill="1" applyBorder="1" applyAlignment="1">
      <alignment horizontal="justify" vertical="center" wrapText="1"/>
    </xf>
    <xf numFmtId="0" fontId="14" fillId="8" borderId="9" xfId="0" applyFont="1" applyFill="1" applyBorder="1" applyAlignment="1">
      <alignment horizontal="justify" vertical="center" wrapText="1"/>
    </xf>
    <xf numFmtId="0" fontId="14" fillId="8" borderId="7" xfId="0" applyFont="1" applyFill="1" applyBorder="1" applyAlignment="1">
      <alignment horizontal="justify" vertical="center" wrapText="1"/>
    </xf>
    <xf numFmtId="0" fontId="14" fillId="8" borderId="8" xfId="128" applyFont="1" applyFill="1" applyBorder="1" applyAlignment="1">
      <alignment horizontal="center"/>
    </xf>
    <xf numFmtId="0" fontId="14" fillId="8" borderId="11" xfId="128" applyFont="1" applyFill="1" applyBorder="1" applyAlignment="1">
      <alignment horizontal="center"/>
    </xf>
    <xf numFmtId="0" fontId="14" fillId="8" borderId="4" xfId="0" applyFont="1" applyFill="1" applyBorder="1" applyAlignment="1">
      <alignment horizontal="center" vertical="top"/>
    </xf>
    <xf numFmtId="0" fontId="132" fillId="0" borderId="16" xfId="0" applyFont="1" applyFill="1" applyBorder="1" applyAlignment="1">
      <alignment horizontal="center" vertical="center" wrapText="1"/>
    </xf>
    <xf numFmtId="0" fontId="132" fillId="0" borderId="13" xfId="0" applyFont="1" applyFill="1" applyBorder="1" applyAlignment="1">
      <alignment horizontal="center" vertical="center" wrapText="1"/>
    </xf>
    <xf numFmtId="0" fontId="132" fillId="0" borderId="17" xfId="0" applyFont="1" applyFill="1" applyBorder="1" applyAlignment="1">
      <alignment horizontal="center" vertical="center" wrapText="1"/>
    </xf>
    <xf numFmtId="0" fontId="132" fillId="0" borderId="18" xfId="0" applyFont="1" applyFill="1" applyBorder="1" applyAlignment="1">
      <alignment horizontal="center" vertical="center" wrapText="1"/>
    </xf>
    <xf numFmtId="0" fontId="132" fillId="0" borderId="8" xfId="0" applyFont="1" applyFill="1" applyBorder="1" applyAlignment="1">
      <alignment horizontal="center" vertical="center" wrapText="1"/>
    </xf>
    <xf numFmtId="0" fontId="132" fillId="0" borderId="19" xfId="0" applyFont="1" applyFill="1" applyBorder="1" applyAlignment="1">
      <alignment horizontal="center" vertical="center" wrapText="1"/>
    </xf>
    <xf numFmtId="0" fontId="17" fillId="8" borderId="6" xfId="128" applyFont="1" applyFill="1" applyBorder="1" applyAlignment="1">
      <alignment horizontal="center" vertical="top" wrapText="1"/>
    </xf>
    <xf numFmtId="0" fontId="17" fillId="8" borderId="12" xfId="128" applyFont="1" applyFill="1" applyBorder="1" applyAlignment="1">
      <alignment horizontal="center" vertical="top" wrapText="1"/>
    </xf>
    <xf numFmtId="0" fontId="14" fillId="0" borderId="4" xfId="0" applyFont="1" applyBorder="1" applyAlignment="1">
      <alignment horizontal="center"/>
    </xf>
    <xf numFmtId="0" fontId="10" fillId="8" borderId="16" xfId="128" applyFont="1" applyFill="1" applyBorder="1" applyAlignment="1">
      <alignment horizontal="center" wrapText="1"/>
    </xf>
    <xf numFmtId="0" fontId="10" fillId="8" borderId="13" xfId="128" applyFont="1" applyFill="1" applyBorder="1" applyAlignment="1">
      <alignment horizontal="center" wrapText="1"/>
    </xf>
    <xf numFmtId="0" fontId="10" fillId="8" borderId="8" xfId="128" applyFont="1" applyFill="1" applyBorder="1" applyAlignment="1">
      <alignment horizontal="center" wrapText="1"/>
    </xf>
    <xf numFmtId="0" fontId="10" fillId="8" borderId="19" xfId="128" applyFont="1" applyFill="1" applyBorder="1" applyAlignment="1">
      <alignment horizontal="center" wrapText="1"/>
    </xf>
    <xf numFmtId="0" fontId="14" fillId="0" borderId="0" xfId="0" applyFont="1" applyFill="1" applyAlignment="1">
      <alignment horizontal="left" vertical="top"/>
    </xf>
    <xf numFmtId="0" fontId="14" fillId="4" borderId="0" xfId="0" applyFont="1" applyFill="1" applyAlignment="1">
      <alignment horizontal="center" vertical="top"/>
    </xf>
    <xf numFmtId="0" fontId="0" fillId="8" borderId="4" xfId="0" applyFill="1" applyBorder="1" applyAlignment="1">
      <alignment horizontal="center" vertical="center"/>
    </xf>
    <xf numFmtId="0" fontId="14" fillId="0" borderId="0" xfId="0" applyFont="1" applyFill="1" applyAlignment="1">
      <alignment horizontal="center" vertical="center"/>
    </xf>
    <xf numFmtId="0" fontId="10" fillId="8" borderId="4"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7" xfId="0" applyFont="1" applyFill="1" applyBorder="1" applyAlignment="1">
      <alignment horizontal="center" vertical="center"/>
    </xf>
    <xf numFmtId="0" fontId="67" fillId="8" borderId="6" xfId="18" applyFont="1" applyFill="1" applyBorder="1" applyAlignment="1">
      <alignment horizontal="center" vertical="center"/>
    </xf>
    <xf numFmtId="0" fontId="67" fillId="8" borderId="12" xfId="18" applyFont="1" applyFill="1" applyBorder="1" applyAlignment="1">
      <alignment horizontal="center" vertical="center"/>
    </xf>
    <xf numFmtId="0" fontId="10" fillId="0" borderId="0" xfId="0" applyFont="1" applyAlignment="1">
      <alignment wrapText="1"/>
    </xf>
    <xf numFmtId="0" fontId="10" fillId="0" borderId="0" xfId="0" applyFont="1" applyAlignment="1">
      <alignment horizontal="left" vertical="top" wrapText="1"/>
    </xf>
    <xf numFmtId="0" fontId="0" fillId="0" borderId="0" xfId="0" applyFont="1" applyAlignment="1">
      <alignment vertical="top"/>
    </xf>
    <xf numFmtId="0" fontId="10" fillId="0" borderId="0" xfId="0" applyFont="1" applyAlignment="1">
      <alignment horizontal="left"/>
    </xf>
  </cellXfs>
  <cellStyles count="129">
    <cellStyle name="??                          " xfId="76"/>
    <cellStyle name="??_kc-elec system check list" xfId="77"/>
    <cellStyle name="AeE­ [0]_INQUIRY ¿μ¾÷AßAø " xfId="78"/>
    <cellStyle name="AeE­_INQUIRY ¿μ¾÷AßAø " xfId="79"/>
    <cellStyle name="AÞ¸¶ [0]_INQUIRY ¿?¾÷AßAø " xfId="80"/>
    <cellStyle name="AÞ¸¶_INQUIRY ¿?¾÷AßAø " xfId="81"/>
    <cellStyle name="Body" xfId="2"/>
    <cellStyle name="C?AØ_¿?¾÷CoE² " xfId="82"/>
    <cellStyle name="C￥AØ_¿μ¾÷CoE² " xfId="83"/>
    <cellStyle name="Comma" xfId="73" builtinId="3"/>
    <cellStyle name="Comma  - Style1" xfId="4"/>
    <cellStyle name="Comma 10" xfId="36"/>
    <cellStyle name="Comma 10 12 2" xfId="124"/>
    <cellStyle name="Comma 10 2 2" xfId="118"/>
    <cellStyle name="Comma 11" xfId="39"/>
    <cellStyle name="Comma 12" xfId="32"/>
    <cellStyle name="Comma 12 2 2 2" xfId="112"/>
    <cellStyle name="Comma 13" xfId="44"/>
    <cellStyle name="Comma 14" xfId="47"/>
    <cellStyle name="Comma 15" xfId="50"/>
    <cellStyle name="Comma 16" xfId="53"/>
    <cellStyle name="Comma 2" xfId="5"/>
    <cellStyle name="Comma 2 2" xfId="113"/>
    <cellStyle name="Comma 2 2 15" xfId="122"/>
    <cellStyle name="Comma 2 2 2" xfId="119"/>
    <cellStyle name="Comma 2 3" xfId="120"/>
    <cellStyle name="Comma 3" xfId="3"/>
    <cellStyle name="Comma 3 2" xfId="61"/>
    <cellStyle name="Comma 4" xfId="19"/>
    <cellStyle name="Comma 4 2" xfId="65"/>
    <cellStyle name="Comma 4 3" xfId="125"/>
    <cellStyle name="Comma 5" xfId="22"/>
    <cellStyle name="Comma 5 2" xfId="68"/>
    <cellStyle name="Comma 6" xfId="23"/>
    <cellStyle name="Comma 6 2" xfId="69"/>
    <cellStyle name="Comma 7" xfId="28"/>
    <cellStyle name="Comma 8" xfId="31"/>
    <cellStyle name="Comma 9" xfId="33"/>
    <cellStyle name="Comma0" xfId="84"/>
    <cellStyle name="Curren - Style2" xfId="6"/>
    <cellStyle name="Currency0" xfId="85"/>
    <cellStyle name="Date" xfId="86"/>
    <cellStyle name="Fixed" xfId="87"/>
    <cellStyle name="Grey" xfId="7"/>
    <cellStyle name="Header1" xfId="8"/>
    <cellStyle name="Header2" xfId="9"/>
    <cellStyle name="Input [yellow]" xfId="10"/>
    <cellStyle name="no dec" xfId="11"/>
    <cellStyle name="Normal" xfId="0" builtinId="0"/>
    <cellStyle name="Normal - Style1" xfId="12"/>
    <cellStyle name="Normal - Style1 2" xfId="88"/>
    <cellStyle name="Normal 10" xfId="37"/>
    <cellStyle name="Normal 11" xfId="40"/>
    <cellStyle name="Normal 12" xfId="42"/>
    <cellStyle name="Normal 13" xfId="45"/>
    <cellStyle name="Normal 14" xfId="48"/>
    <cellStyle name="Normal 15" xfId="51"/>
    <cellStyle name="Normal 16" xfId="54"/>
    <cellStyle name="Normal 17" xfId="75"/>
    <cellStyle name="Normal 17 2" xfId="117"/>
    <cellStyle name="Normal 18" xfId="89"/>
    <cellStyle name="Normal 19" xfId="116"/>
    <cellStyle name="Normal 2" xfId="13"/>
    <cellStyle name="Normal 2 2" xfId="90"/>
    <cellStyle name="Normal 2 20" xfId="110"/>
    <cellStyle name="Normal 2 3" xfId="121"/>
    <cellStyle name="Normal 2 5" xfId="107"/>
    <cellStyle name="Normal 20 2" xfId="114"/>
    <cellStyle name="Normal 3" xfId="1"/>
    <cellStyle name="Normal 3 2" xfId="60"/>
    <cellStyle name="Normal 3 3" xfId="109"/>
    <cellStyle name="Normal 4" xfId="18"/>
    <cellStyle name="Normal 4 2" xfId="64"/>
    <cellStyle name="Normal 5" xfId="21"/>
    <cellStyle name="Normal 5 2" xfId="67"/>
    <cellStyle name="Normal 6" xfId="24"/>
    <cellStyle name="Normal 6 2" xfId="70"/>
    <cellStyle name="Normal 6 3" xfId="126"/>
    <cellStyle name="Normal 7" xfId="27"/>
    <cellStyle name="Normal 8" xfId="30"/>
    <cellStyle name="Normal 9" xfId="34"/>
    <cellStyle name="Normal_01- ARR Forms 04-05 Final " xfId="57"/>
    <cellStyle name="Normal_annex ARR " xfId="58"/>
    <cellStyle name="Normal_annex ARR  2" xfId="115"/>
    <cellStyle name="Normal_FORMATS 5 YEAR ALOKE" xfId="105"/>
    <cellStyle name="Normal_FORMATS 5 YEAR ALOKE 2" xfId="106"/>
    <cellStyle name="Normal_FORMATS 5 YEAR ALOKE 2 2" xfId="108"/>
    <cellStyle name="Normal_performance" xfId="128"/>
    <cellStyle name="Normal_Transco-MYT_Formats-0207" xfId="74"/>
    <cellStyle name="Percent" xfId="59" builtinId="5"/>
    <cellStyle name="Percent [0]_#6 Temps &amp; Contractors" xfId="15"/>
    <cellStyle name="Percent [2]" xfId="16"/>
    <cellStyle name="Percent [2] 2" xfId="63"/>
    <cellStyle name="Percent 10" xfId="43"/>
    <cellStyle name="Percent 11" xfId="46"/>
    <cellStyle name="Percent 114" xfId="111"/>
    <cellStyle name="Percent 12" xfId="49"/>
    <cellStyle name="Percent 13" xfId="52"/>
    <cellStyle name="Percent 14" xfId="55"/>
    <cellStyle name="Percent 15" xfId="56"/>
    <cellStyle name="Percent 2" xfId="14"/>
    <cellStyle name="Percent 2 2" xfId="62"/>
    <cellStyle name="Percent 2 3" xfId="123"/>
    <cellStyle name="Percent 3" xfId="20"/>
    <cellStyle name="Percent 3 2" xfId="66"/>
    <cellStyle name="Percent 4" xfId="25"/>
    <cellStyle name="Percent 4 2" xfId="71"/>
    <cellStyle name="Percent 4 3" xfId="127"/>
    <cellStyle name="Percent 5" xfId="26"/>
    <cellStyle name="Percent 5 2" xfId="72"/>
    <cellStyle name="Percent 6" xfId="29"/>
    <cellStyle name="Percent 7" xfId="35"/>
    <cellStyle name="Percent 8" xfId="38"/>
    <cellStyle name="Percent 9" xfId="41"/>
    <cellStyle name="Style 1" xfId="17"/>
    <cellStyle name="Style 1 2" xfId="91"/>
    <cellStyle name="똿뗦먛귟 [0.00]_PRODUCT DETAIL Q1" xfId="92"/>
    <cellStyle name="똿뗦먛귟_PRODUCT DETAIL Q1" xfId="93"/>
    <cellStyle name="믅됞 [0.00]_PRODUCT DETAIL Q1" xfId="94"/>
    <cellStyle name="믅됞_PRODUCT DETAIL Q1" xfId="95"/>
    <cellStyle name="백분율_HOBONG" xfId="96"/>
    <cellStyle name="뷭?_BOOKSHIP" xfId="97"/>
    <cellStyle name="콤마 [0]_1202" xfId="98"/>
    <cellStyle name="콤마_1202" xfId="99"/>
    <cellStyle name="통화 [0]_1202" xfId="100"/>
    <cellStyle name="통화_1202" xfId="101"/>
    <cellStyle name="표준_(정보부문)월별인원계획" xfId="102"/>
    <cellStyle name="一般_07069.74ID10.0925" xfId="103"/>
    <cellStyle name="千分位_07069.74ID10.0925" xfId="104"/>
  </cellStyles>
  <dxfs count="0"/>
  <tableStyles count="0" defaultTableStyle="TableStyleMedium2" defaultPivotStyle="PivotStyleLight16"/>
  <colors>
    <mruColors>
      <color rgb="FF00FFFF"/>
      <color rgb="FF00CCFF"/>
      <color rgb="FF66FFCC"/>
      <color rgb="FF00FF99"/>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0.xml"/><Relationship Id="rId159" Type="http://schemas.openxmlformats.org/officeDocument/2006/relationships/externalLink" Target="externalLinks/externalLink51.xml"/><Relationship Id="rId170" Type="http://schemas.openxmlformats.org/officeDocument/2006/relationships/externalLink" Target="externalLinks/externalLink62.xml"/><Relationship Id="rId191" Type="http://schemas.openxmlformats.org/officeDocument/2006/relationships/externalLink" Target="externalLinks/externalLink8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0.xml"/><Relationship Id="rId149" Type="http://schemas.openxmlformats.org/officeDocument/2006/relationships/externalLink" Target="externalLinks/externalLink41.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52.xml"/><Relationship Id="rId181" Type="http://schemas.openxmlformats.org/officeDocument/2006/relationships/externalLink" Target="externalLinks/externalLink7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10.xml"/><Relationship Id="rId139" Type="http://schemas.openxmlformats.org/officeDocument/2006/relationships/externalLink" Target="externalLinks/externalLink31.xml"/><Relationship Id="rId85" Type="http://schemas.openxmlformats.org/officeDocument/2006/relationships/worksheet" Target="worksheets/sheet85.xml"/><Relationship Id="rId150" Type="http://schemas.openxmlformats.org/officeDocument/2006/relationships/externalLink" Target="externalLinks/externalLink42.xml"/><Relationship Id="rId171" Type="http://schemas.openxmlformats.org/officeDocument/2006/relationships/externalLink" Target="externalLinks/externalLink63.xml"/><Relationship Id="rId192" Type="http://schemas.openxmlformats.org/officeDocument/2006/relationships/externalLink" Target="externalLinks/externalLink8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2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32.xml"/><Relationship Id="rId161" Type="http://schemas.openxmlformats.org/officeDocument/2006/relationships/externalLink" Target="externalLinks/externalLink53.xml"/><Relationship Id="rId182" Type="http://schemas.openxmlformats.org/officeDocument/2006/relationships/externalLink" Target="externalLinks/externalLink7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1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22.xml"/><Relationship Id="rId151" Type="http://schemas.openxmlformats.org/officeDocument/2006/relationships/externalLink" Target="externalLinks/externalLink43.xml"/><Relationship Id="rId172" Type="http://schemas.openxmlformats.org/officeDocument/2006/relationships/externalLink" Target="externalLinks/externalLink64.xml"/><Relationship Id="rId193" Type="http://schemas.openxmlformats.org/officeDocument/2006/relationships/externalLink" Target="externalLinks/externalLink85.xml"/><Relationship Id="rId13" Type="http://schemas.openxmlformats.org/officeDocument/2006/relationships/worksheet" Target="worksheets/sheet13.xml"/><Relationship Id="rId109" Type="http://schemas.openxmlformats.org/officeDocument/2006/relationships/externalLink" Target="externalLinks/externalLink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12.xml"/><Relationship Id="rId141" Type="http://schemas.openxmlformats.org/officeDocument/2006/relationships/externalLink" Target="externalLinks/externalLink33.xml"/><Relationship Id="rId7" Type="http://schemas.openxmlformats.org/officeDocument/2006/relationships/worksheet" Target="worksheets/sheet7.xml"/><Relationship Id="rId162" Type="http://schemas.openxmlformats.org/officeDocument/2006/relationships/externalLink" Target="externalLinks/externalLink54.xml"/><Relationship Id="rId183"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131" Type="http://schemas.openxmlformats.org/officeDocument/2006/relationships/externalLink" Target="externalLinks/externalLink23.xml"/><Relationship Id="rId136" Type="http://schemas.openxmlformats.org/officeDocument/2006/relationships/externalLink" Target="externalLinks/externalLink28.xml"/><Relationship Id="rId157" Type="http://schemas.openxmlformats.org/officeDocument/2006/relationships/externalLink" Target="externalLinks/externalLink49.xml"/><Relationship Id="rId178" Type="http://schemas.openxmlformats.org/officeDocument/2006/relationships/externalLink" Target="externalLinks/externalLink7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4.xml"/><Relationship Id="rId173" Type="http://schemas.openxmlformats.org/officeDocument/2006/relationships/externalLink" Target="externalLinks/externalLink65.xml"/><Relationship Id="rId194" Type="http://schemas.openxmlformats.org/officeDocument/2006/relationships/externalLink" Target="externalLinks/externalLink86.xml"/><Relationship Id="rId199" Type="http://schemas.openxmlformats.org/officeDocument/2006/relationships/externalLink" Target="externalLinks/externalLink91.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8.xml"/><Relationship Id="rId147" Type="http://schemas.openxmlformats.org/officeDocument/2006/relationships/externalLink" Target="externalLinks/externalLink39.xml"/><Relationship Id="rId168"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142" Type="http://schemas.openxmlformats.org/officeDocument/2006/relationships/externalLink" Target="externalLinks/externalLink34.xml"/><Relationship Id="rId163" Type="http://schemas.openxmlformats.org/officeDocument/2006/relationships/externalLink" Target="externalLinks/externalLink55.xml"/><Relationship Id="rId184" Type="http://schemas.openxmlformats.org/officeDocument/2006/relationships/externalLink" Target="externalLinks/externalLink76.xml"/><Relationship Id="rId189" Type="http://schemas.openxmlformats.org/officeDocument/2006/relationships/externalLink" Target="externalLinks/externalLink8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137" Type="http://schemas.openxmlformats.org/officeDocument/2006/relationships/externalLink" Target="externalLinks/externalLink29.xml"/><Relationship Id="rId158" Type="http://schemas.openxmlformats.org/officeDocument/2006/relationships/externalLink" Target="externalLinks/externalLink5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32" Type="http://schemas.openxmlformats.org/officeDocument/2006/relationships/externalLink" Target="externalLinks/externalLink24.xml"/><Relationship Id="rId153" Type="http://schemas.openxmlformats.org/officeDocument/2006/relationships/externalLink" Target="externalLinks/externalLink45.xml"/><Relationship Id="rId174" Type="http://schemas.openxmlformats.org/officeDocument/2006/relationships/externalLink" Target="externalLinks/externalLink66.xml"/><Relationship Id="rId179" Type="http://schemas.openxmlformats.org/officeDocument/2006/relationships/externalLink" Target="externalLinks/externalLink71.xml"/><Relationship Id="rId195" Type="http://schemas.openxmlformats.org/officeDocument/2006/relationships/externalLink" Target="externalLinks/externalLink87.xml"/><Relationship Id="rId190" Type="http://schemas.openxmlformats.org/officeDocument/2006/relationships/externalLink" Target="externalLinks/externalLink82.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143" Type="http://schemas.openxmlformats.org/officeDocument/2006/relationships/externalLink" Target="externalLinks/externalLink35.xml"/><Relationship Id="rId148" Type="http://schemas.openxmlformats.org/officeDocument/2006/relationships/externalLink" Target="externalLinks/externalLink40.xml"/><Relationship Id="rId164" Type="http://schemas.openxmlformats.org/officeDocument/2006/relationships/externalLink" Target="externalLinks/externalLink56.xml"/><Relationship Id="rId169" Type="http://schemas.openxmlformats.org/officeDocument/2006/relationships/externalLink" Target="externalLinks/externalLink61.xml"/><Relationship Id="rId185"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7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4.xml"/><Relationship Id="rId133" Type="http://schemas.openxmlformats.org/officeDocument/2006/relationships/externalLink" Target="externalLinks/externalLink25.xml"/><Relationship Id="rId154" Type="http://schemas.openxmlformats.org/officeDocument/2006/relationships/externalLink" Target="externalLinks/externalLink46.xml"/><Relationship Id="rId175" Type="http://schemas.openxmlformats.org/officeDocument/2006/relationships/externalLink" Target="externalLinks/externalLink67.xml"/><Relationship Id="rId196" Type="http://schemas.openxmlformats.org/officeDocument/2006/relationships/externalLink" Target="externalLinks/externalLink88.xml"/><Relationship Id="rId200" Type="http://schemas.openxmlformats.org/officeDocument/2006/relationships/externalLink" Target="externalLinks/externalLink9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5.xml"/><Relationship Id="rId144" Type="http://schemas.openxmlformats.org/officeDocument/2006/relationships/externalLink" Target="externalLinks/externalLink36.xml"/><Relationship Id="rId90" Type="http://schemas.openxmlformats.org/officeDocument/2006/relationships/worksheet" Target="worksheets/sheet90.xml"/><Relationship Id="rId165" Type="http://schemas.openxmlformats.org/officeDocument/2006/relationships/externalLink" Target="externalLinks/externalLink57.xml"/><Relationship Id="rId186" Type="http://schemas.openxmlformats.org/officeDocument/2006/relationships/externalLink" Target="externalLinks/externalLink7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5.xml"/><Relationship Id="rId134" Type="http://schemas.openxmlformats.org/officeDocument/2006/relationships/externalLink" Target="externalLinks/externalLink26.xml"/><Relationship Id="rId80" Type="http://schemas.openxmlformats.org/officeDocument/2006/relationships/worksheet" Target="worksheets/sheet80.xml"/><Relationship Id="rId155" Type="http://schemas.openxmlformats.org/officeDocument/2006/relationships/externalLink" Target="externalLinks/externalLink47.xml"/><Relationship Id="rId176" Type="http://schemas.openxmlformats.org/officeDocument/2006/relationships/externalLink" Target="externalLinks/externalLink68.xml"/><Relationship Id="rId197" Type="http://schemas.openxmlformats.org/officeDocument/2006/relationships/externalLink" Target="externalLinks/externalLink89.xml"/><Relationship Id="rId201"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6.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7.xml"/><Relationship Id="rId166" Type="http://schemas.openxmlformats.org/officeDocument/2006/relationships/externalLink" Target="externalLinks/externalLink58.xml"/><Relationship Id="rId187" Type="http://schemas.openxmlformats.org/officeDocument/2006/relationships/externalLink" Target="externalLinks/externalLink79.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7.xml"/><Relationship Id="rId156" Type="http://schemas.openxmlformats.org/officeDocument/2006/relationships/externalLink" Target="externalLinks/externalLink48.xml"/><Relationship Id="rId177" Type="http://schemas.openxmlformats.org/officeDocument/2006/relationships/externalLink" Target="externalLinks/externalLink69.xml"/><Relationship Id="rId198" Type="http://schemas.openxmlformats.org/officeDocument/2006/relationships/externalLink" Target="externalLinks/externalLink90.xml"/><Relationship Id="rId202"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7.xml"/><Relationship Id="rId146" Type="http://schemas.openxmlformats.org/officeDocument/2006/relationships/externalLink" Target="externalLinks/externalLink38.xml"/><Relationship Id="rId167" Type="http://schemas.openxmlformats.org/officeDocument/2006/relationships/externalLink" Target="externalLinks/externalLink59.xml"/><Relationship Id="rId188" Type="http://schemas.openxmlformats.org/officeDocument/2006/relationships/externalLink" Target="externalLinks/externalLink80.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mc\c\My%20Documents\SpecialREPORT-MAY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58.1.107\c$\Documents%20and%20Settings\shashankandey\My%20Documents\ARR-FY08\DEMFIXL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25.7.87\vsj\VSJ\EXCEL\I.Tax%20A.Y.2005-06\IT%20Return\REL\80IA%20working%20&amp;%20Computation%20TOR-AY%2005-06-Revised%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shashankandey\My%20Documents\ARR-FY08\DEMFIXL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Administrator\Application%20Data\Microsoft\Excel\My%20Documents%202007-08,%202008-09%20&amp;%202009-10\02%20Job%20Excel\09%20Commercial%20Diary%202010\Commercial%20Diary%20April%201%202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ommercial%20Diary%20April%201%2020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shashankandey\My%20Documents\ARR-FY08\DEMFIXL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nts%20and%20Settings\shashankandey\My%20Documents\ARR-FY08\DEMFIXL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atel\d\BAS\ON%20THE%20JOB\Cost%20Accounting%20Formats\Poorv%20Discom\CAR%20Model\BS\Raw%20TB%20Data%20&amp;%20Cap-CAU%20as%20G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ja\e\DATA\DATA4\DATA\ANNUAL\0203\DATA4\DATA\MONTHLY\0102\JAN\Sep\GRAPH.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mmercial%20Diary%20April%201%20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Administrator\Application%20Data\Microsoft\Excel\My%20Documents%202007-08,%202008-09%20&amp;%202009-10\02%20Job%20Excel\09%20Commercial%20Diary%202010\Commercial%20Diary%20April%201%2020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BAS\ON%20THE%20JOB\Cost%20Accounting%20Formats\Poorv%20Discom\CAR%20Model\BS\Raw%20TB%20Data%20&amp;%20Cap-CAU%20as%20G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pennt\ksm\My%20Documents\AC\2002\fatax01-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eja\e\DATA\DATA4\DATA\ANNUAL\0203\data\DATA4\DATA\ANNUAL\0001\GEN%20LO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iepc7\Performance\PERFORMANCE\ocm\Yearly_perf\OCMJAN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erformance/PERFORMANCE/ocm/Yearly_perf/OCMJAN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iepc7\RRK%20PEN%20DATA_28.01.2008\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ata\ICEA\EMR%20YEARLY\EMR20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RK%20PEN%20DATA_28.01.2008/Performance/PERFORMANCE/ocm/Yearly_perf/OCMJAN20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ISPMPC\DataBase\WINDOWS\Profiles\rk\Desktop\220-03%20Latest\Global%20model%2028th%20Fe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52.65.45\c\NSS\MOB\MOBPLAN\PPG_MOB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atel\d\Documents%20and%20Settings\sakmoc981\Desktop\Draft%20East%20Discom%20Sales%20ModelNov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c/Model%20FY%2006-07/Copy%20of%20LFore-20-oct-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c\Model%20FY%2006-07\Copy%20of%20LFore-20-oct-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RISAdvisory/UPERC/Assistance%20to%20UPERC%20on%20ARR%20Tariff%20Petitions/Workings/Post%20audited%20accounts/ARR/Revenue%20Model%20-%20Rev%201%20-%20Final%20for%20Chairman%20Si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CRISAdvisory\UPERC\Assistance%20to%20UPERC%20on%20ARR%20Tariff%20Petitions\Workings\Post%20audited%20accounts\ARR\Revenue%20Model%20-%20Rev%201%20-%20Final%20for%20Chairman%20Si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52.65.45\c\NSS\MOB\MOBPLAN\STR_PLAN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eja\e\DATA\DATA4\DATA\ANNUAL\0203\DATA\DATA4\DATA\ANNUAL\0102\ANNU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atel\d\WEST%20DISCOM%20SJ\SHAILENDRA\WEST%20DISCOM\Business%20Plan\Final%20Model%20BP%202010-11%20to%202017\West%20Final%20Business%20Plan%20Model%20June%202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eja\e\DATA\DATA4\DATA\ANNUAL\0203\DATA4\DATA\ANNUAL\9900\YRDATA\CSD.XLW"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Power_Purchase\1.1_Power%20Purchase_v4_as%20per%20MPERC%20regulat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rasanta\epco\WINDOWS\TEMP\PostOrdSt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dineshy863/Downloads/UPERC/FY%202016-17/Draft%20Orders/DVVNL/Petition/PuVVNL%20-%20Revenue%20Dat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Users\dineshy863\Downloads\UPERC\FY%202016-17\Draft%20Orders\DVVNL\Petition\PuVVNL%20-%20Revenue%20Dat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dineshy863/Downloads/UPERC/FY%202016-17/Draft%20Orders/DVVNL/Petition/FY%202014-15(P)/MVVNL%20-%20Revenue%20Data%2015-16(P).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dineshy863\Downloads\UPERC\FY%202016-17\Draft%20Orders\DVVNL\Petition\FY%202014-15(P)\MVVNL%20-%20Revenue%20Data%2015-16(P).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Assignments%20in%20FY%202009-10/UERC%20R1/Santosh%20Workings/UPCL%20Power%20Purchase/Latest%20Models/New%20Folder/New%20Folder/Chairman%20workings/Bhadra/Power/APSEB/Tariff%20Filing/TARIFF%20MODEL/TARIFF_I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92.168.1.200\Common%20Server\Bhadra\Power\APSEB\Tariff%20Filing\TARIFF%20MODEL\TARIFF_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iepc7\201-04REL-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ssignments%20in%20FY%202009-10\UERC%20R1\Santosh%20Workings\UPCL%20Power%20Purchase\Latest%20Models\New%20Folder\New%20Folder\Chairman%20workings\Bhadra\Power\APSEB\Tariff%20Filing\TARIFF%20MODEL\TARIFF_I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RIMS\CD%20Recd%20from%20DERC%20for%20Verification%20on%2021st%20Mar%2006\BYPL_RIMS_DISCOM_template-27th%20M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Naveen/My%20Documents/Naveen/Tariff%202006-07/CPG/Op%20BS%20Final%2016052005/Asset%20Disaggregation%2017.04.05%20With%20Residual%20MPSEB/Raw%20TB%20Data%20&amp;%20Cap-CAU%20as%20Ge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al-work/116475%20(Uttar%20Pradesh)/Trip_2003_10/Load%20forecasting/LFore_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Cal-work\116475%20(Uttar%20Pradesh)\Trip_2003_10\Load%20forecasting\LFore_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Cal-work\116475%20(Uttar%20Pradesh)\Trip_2003_10\Load%20forecasting\LFore_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Assignments%20in%20FY%202009-10/UERC%20R1/Santosh%20Workings/UPCL%20Power%20Purchase/Latest%20Models/New%20Folder/New%20Folder/Chairman%20workings/UP/FINANCE/Model-PwC/Model%201901/upse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92.168.1.200\Common%20Server\UP\FINANCE\Model-PwC\Model%201901\upse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Assignments%20in%20FY%202009-10\UERC%20R1\Santosh%20Workings\UPCL%20Power%20Purchase\Latest%20Models\New%20Folder\New%20Folder\Chairman%20workings\UP\FINANCE\Model-PwC\Model%201901\up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3\d\payroll\pf%20yearly%20return%2026.04.07%20final\main%20files%20gvn%20to%20pf%20dept\pf%20yearly%20return%2026.04.07.xls%20-%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04REL-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IT\MSD%20India%20IS%20Invento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92.168.1.200\Common%20Server\Documents%20and%20Settings\Project\HPERC\Work%20in%20HP\Final\Data\9th%20Jan%202006\suresh\Power\MSEB\MSEB%2001-02\Data\Dispatch%202.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saikrishna\Desktop\ARR-06-07%20Annexures\New%20Folder\Model%20FY%202006-07%20181105%20BRP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cada_server\scada\PROGRESS-REPORT\Nov%20'04\30Nov-04\Chirag\TEMP\weekly-rpt-lates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satyasuranjeetb333/Documents/PwC/Support%20to%20MPPMCL%20and%20MP%20Discoms/West%20Discom/ARR%20FINAL_Satya/MP%20West-ARR%20filing/West%20Dicom%20ARR_Umesh/Central%20Discom/MPERC%20formats_Central_FY15_16.11.13.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hashankandey/My%20Documents/ARR-FY08/DEMFIXL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201-04REL-F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Documents%20and%20Settings\gpgupta\Local%20Settings\Temporary%20Internet%20Files\OLKEE\Databank\1-Projects%20In%20Hand\DFID\ARR%202003-04\Arr%20Petition%202003-04\For%20Submission\ARR%20Forms%20For%20Submiss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92.168.1.200\Common%20Server\Databank\1-Projects%20In%20Hand\DFID\ARR%202003-04\Arr%20Petition%202003-04\For%20Submission\ARR%20Forms%20For%20Submis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Users\aa\AppData\Roaming\Microsoft\Excel\201-04REL-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Databank\1-Projects%20In%20Hand\DFID\ARR%202003-04\Arr%20Petition%202003-04\For%20Submission\ARR%20Forms%20For%20Submiss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ccounts\c\WINDOWS\TEMP\TB-7-00to3-01&amp;9-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Users\himankp742\Desktop\GUVNL\Old\Draft%20PP%20&amp;%20Revenue%20Model_v4.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gangira\Desktop\KPMG\Financial%20Mo\Final%20Model\PF_Modelling_KPMG%20v3.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BSES%20Stat%20Audit%202010%20-%2011\WINDOWS\TEMP\User%20Authorisation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izard\c$\NSS\MOB\MOBPLAN\PPG_MOB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H\overhds\Nov01\north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Documents%20and%20Settings\tsahoo.DLFLOR\Desktop\BUDGET%20Jul%2006\Working\BUDGET%20Jul%2006\Trading%20Summary%20Revised%20Budget%2006-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Documents%20and%20Settings\admin\Desktop\FOBS\Final%20Notified%20Balance%20sheet%20MPPKVVCL\Fixed%20Asset%20and%20depn%20details\Depreciation%20working\Distribution%20WZ%20&amp;%20Transco%202005-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himankp742\Desktop\UPCL\Sales%20Com%20data\destop%20doc\Commercial%20Diary%20April%201%20200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nts%20and%20Settings\anurag\My%20Documents\petitions\Petition%20for%20trans%20ARR.doc\Databank\1-Projects%20In%20Hand\DFID\ARR%202003-04\Arr%20Petition%202003-04\For%20Submission\ARR%20Forms%20For%20Submis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714148A\ARR%20Forms%20For%20Submissio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Documents%20and%20Settings\gpgupta\Local%20Settings\Temporary%20Internet%20Files\OLKEE\Sameer's%20folder\MSEB\Tariff%20Filing%202003-04\Outputs\Models\Working%20Models\old\Dispatch%20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92.168.1.200\Common%20Server\Sameer's%20folder\MSEB\Tariff%20Filing%202003-04\Outputs\Models\Working%20Models\old\Dispatch%20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Sameer's%20folder\MSEB\Tariff%20Filing%202003-04\Outputs\Models\Working%20Models\old\Dispatch%20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ABPS%2020.1.2017/MPERC/Discoms%20Order/Tariff%20for%20FY%202018-19/22.1.2018/Submission%20of%20ARR%20petition%20to%20MPERC_FY19/Final_Model/Consolidated%20Summary.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52.65.45\c\mss\Fortnightly%20progress%20reports\NLDO%20Ph%201A\13_GIS%20INTEGRATION08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ICEA/EMR%20YEARLY/EMR2005-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52.65.45\c\Planning\INSTRUMENTATION\Instprof082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Databank\1-Projects%20In%20Hand\DFID\ARR%202003-04\Arr%20Petition%202003-04\For%20Submission\ARR%20Forms%20For%20Submis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201-04REL-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201-04REL-F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ca3\d\payroll\pf%20yearly%20return%2026.04.07%20final\working%20files%20for%20pf%20yearly%20return\PF%20Return%20Yearly\Forms\Challans%20Detai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DAILY"/>
      <sheetName val="MPCSSD"/>
      <sheetName val="DTHG"/>
      <sheetName val="Chart1"/>
      <sheetName val="DLC"/>
      <sheetName val="A 3.7"/>
      <sheetName val="Stationwise Thermal &amp; Hydel Gen"/>
      <sheetName val="Executive Summary -Thermal"/>
      <sheetName val="TWELVE"/>
      <sheetName val="STN WISE EMR"/>
      <sheetName val="Input_Print"/>
      <sheetName val="EA_II"/>
      <sheetName val="EA_III_stnwise"/>
      <sheetName val="Tr Loss WR,MP,Tot "/>
      <sheetName val="THERMAL"/>
      <sheetName val="CSD0506"/>
      <sheetName val="Monthwise_MPLOSS"/>
      <sheetName val="HYDEL"/>
      <sheetName val="MPPGCL-injection"/>
      <sheetName val="Monthwise Inj_Losses"/>
      <sheetName val="Sheet1"/>
      <sheetName val="EA_IV"/>
      <sheetName val="EA_III"/>
      <sheetName val="EA_Summary"/>
      <sheetName val="EA_I"/>
      <sheetName val="Sheet6"/>
      <sheetName val="Sheet3"/>
      <sheetName val="Tr Loss WR,MP,Tot"/>
      <sheetName val="CHECK SHEET NEW"/>
      <sheetName val="BUS LOSSES"/>
      <sheetName val="Amount"/>
      <sheetName val="PRF"/>
      <sheetName val="EX.SUMM PS"/>
      <sheetName val="EX. SUMM GEN"/>
      <sheetName val="Maintenance "/>
      <sheetName val="CENTRAL SECTOR"/>
      <sheetName val="SCH,ACT"/>
      <sheetName val="GP Ther"/>
      <sheetName val="GP Hyd"/>
      <sheetName val="Fuel Cons."/>
      <sheetName val="Unitwise TPI"/>
      <sheetName val="Stnwise TPI"/>
      <sheetName val="Monthwise TPI"/>
      <sheetName val="PLF aprsep"/>
      <sheetName val="PLF OctMar"/>
      <sheetName val="Monthwise Sp.oil Cons."/>
      <sheetName val="Oil Cons. Account"/>
      <sheetName val="CA"/>
      <sheetName val="TIME DURATION CAUSE ANALYSIS"/>
      <sheetName val="Ploss"/>
      <sheetName val="MCRH"/>
      <sheetName val="R.Hrs. Since Comm"/>
      <sheetName val="LEVEL"/>
      <sheetName val="EB"/>
      <sheetName val="MORNING,EVENING PEAK"/>
      <sheetName val="COMP,UNRESTRICTED DEMAND"/>
      <sheetName val="CSG 01-02"/>
      <sheetName val="CSD"/>
      <sheetName val="SUPPLY HRS"/>
      <sheetName val="MiniMicro"/>
      <sheetName val="MPSEB90-01MONTHLY GENPLF"/>
      <sheetName val="400KV LOD"/>
      <sheetName val="220KV"/>
      <sheetName val="Energy Audit At PS"/>
      <sheetName val="All India PLF 1991-92 onwards"/>
      <sheetName val="R_Hrs_ Since Comm"/>
      <sheetName val="BREAKUP OF OIL"/>
      <sheetName val="03-04|71"/>
      <sheetName val="03-04|72"/>
      <sheetName val="03-04|74"/>
      <sheetName val="03-04|75"/>
      <sheetName val="03-04|76"/>
      <sheetName val="03-04|77"/>
      <sheetName val="03-04|79"/>
      <sheetName val="03-04|83"/>
      <sheetName val="03-04|Master"/>
      <sheetName val="04REL"/>
      <sheetName val="CE"/>
      <sheetName val="Metro consind updation sheet"/>
      <sheetName val="Dom"/>
      <sheetName val="201-04REL-Final"/>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0000000000000"/>
      <sheetName val="BKDNS-11KV"/>
      <sheetName val="BKDNS-33KV"/>
      <sheetName val="BKDNS-EHT"/>
      <sheetName val="Newabstract"/>
      <sheetName val="SHORTFALL"/>
      <sheetName val="ehtbds"/>
      <sheetName val="EHT"/>
      <sheetName val="BKDNS"/>
      <sheetName val="ehtbd"/>
      <sheetName val="PTR-FAILURES"/>
      <sheetName val="DTR-FAILURES"/>
      <sheetName val="disomwiseDTRs"/>
      <sheetName val="EHT-ABSTRACT"/>
      <sheetName val="BKDNS (2)"/>
      <sheetName val="24-07-04 "/>
      <sheetName val="ABST(SOUTH)"/>
      <sheetName val="Profit &amp; Loss"/>
      <sheetName val="Profit &amp; Loss july"/>
      <sheetName val="27-08-04  (2)"/>
      <sheetName val="ABST(SOUTH) rev 08-04"/>
      <sheetName val="DEMFIXLD"/>
      <sheetName val="FC"/>
      <sheetName val="Load"/>
      <sheetName val="Index"/>
      <sheetName val="Schedule-MU"/>
      <sheetName val="Schedule-1"/>
      <sheetName val="Schedule-2"/>
      <sheetName val="Schedule-3(i)"/>
      <sheetName val="Schedule-3(ii)"/>
      <sheetName val="Schedule-4(i)"/>
      <sheetName val="Schedule-4(ii)"/>
      <sheetName val="Schedule-5(i)"/>
      <sheetName val="Schedule-5(ii)"/>
      <sheetName val="Schedule-6"/>
      <sheetName val="SG-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NCS-3"/>
      <sheetName val="NCS-4I"/>
      <sheetName val="Number of Consumer"/>
      <sheetName val="Energy Sold"/>
      <sheetName val="Cont Load"/>
      <sheetName val="MPEB Performance"/>
      <sheetName val="Fuel Oil &amp; Aux. Cons."/>
      <sheetName val="UGEN"/>
      <sheetName val="Yearly Thermal"/>
      <sheetName val="Yearly Hydel"/>
      <sheetName val="GPUF9196"/>
      <sheetName val="UNITWISE GEN &amp; FACTORS (S)"/>
      <sheetName val="GENPLF"/>
      <sheetName val="TPI"/>
      <sheetName val="TPI98-99"/>
      <sheetName val="TPI99-00"/>
      <sheetName val="TPI00-01"/>
      <sheetName val="TARGET9197"/>
      <sheetName val="TARGET 97-98"/>
      <sheetName val="TARGET 98-99"/>
      <sheetName val="TARGET 99-00"/>
      <sheetName val="TARGET 00-01"/>
      <sheetName val="Executive Summary _Thermal"/>
      <sheetName val="Stationwise Thermal _ Hydel Gen"/>
      <sheetName val="C.S.GENERATION"/>
      <sheetName val="Coalmine"/>
      <sheetName val="data"/>
      <sheetName val="Cap 03-04"/>
      <sheetName val="CAPI_01-02"/>
      <sheetName val="ADDITION"/>
      <sheetName val="ANNEX-III"/>
      <sheetName val="Sheet3 (2)"/>
      <sheetName val="Sheet3_(2)"/>
      <sheetName val="Daily input"/>
      <sheetName val="Daily report"/>
      <sheetName val="OCM2"/>
      <sheetName val="OCM4"/>
      <sheetName val="OCM1"/>
      <sheetName val="OCM3"/>
      <sheetName val="OCM5"/>
      <sheetName val="OCM7"/>
      <sheetName val="OCM6"/>
      <sheetName val="highlight"/>
      <sheetName val="water"/>
      <sheetName val="AWARD"/>
      <sheetName val="hrawd"/>
      <sheetName val="2000-01"/>
      <sheetName val="Daily_input"/>
      <sheetName val="Daily_report"/>
      <sheetName val="Inputs &amp; Assumptions"/>
      <sheetName val="Loss of Generation"/>
      <sheetName val="No.of Tube Leakage"/>
      <sheetName val="EB PS"/>
      <sheetName val="400 KV"/>
      <sheetName val="LONG DURATION OUTAGE"/>
      <sheetName val="CAUSE ANALYSIS"/>
      <sheetName val="PARTIAL LOSS"/>
      <sheetName val="Schema"/>
      <sheetName val="DBForeC"/>
      <sheetName val="Short-Term"/>
      <sheetName val="R15 00-01"/>
      <sheetName val="DBHis"/>
      <sheetName val="Agri"/>
      <sheetName val="Agri-support"/>
      <sheetName val="Base Year"/>
      <sheetName val="Dom-sup."/>
      <sheetName val="Dom-Free"/>
      <sheetName val="LT_Ind"/>
      <sheetName val="NonDom"/>
      <sheetName val="LT_WW"/>
      <sheetName val="LT_Street"/>
      <sheetName val="HT Ind"/>
      <sheetName val="Coal"/>
      <sheetName val="Steel"/>
      <sheetName val="Traction"/>
      <sheetName val="Licensees"/>
      <sheetName val="HT_WW"/>
      <sheetName val="HT_Agr"/>
      <sheetName val="Villages"/>
      <sheetName val="Captive"/>
      <sheetName val="Market"/>
      <sheetName val="Growth Rates"/>
      <sheetName val="Services"/>
      <sheetName val="Serv-Worksheet"/>
      <sheetName val="High Sens."/>
      <sheetName val="Low Sens."/>
      <sheetName val="Graphs"/>
      <sheetName val="MODI MPSEB ASSESS"/>
      <sheetName val="Assump-Sens."/>
      <sheetName val="Code"/>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132kv DCDS"/>
      <sheetName val=""/>
      <sheetName val="A 3_7"/>
      <sheetName val="Salient1"/>
      <sheetName val="Cat_Ser_load"/>
      <sheetName val="Data base Feb 09"/>
      <sheetName val="grid"/>
      <sheetName val="PACK (B)"/>
      <sheetName val="Unit_Rate1"/>
      <sheetName val="160MVA_Addl1"/>
      <sheetName val="220KV_FB1"/>
      <sheetName val="315MVA_Addl1"/>
      <sheetName val="Addl_402"/>
      <sheetName val="Addl_201"/>
      <sheetName val="Addl_63_(2)1"/>
      <sheetName val="Data_base_Feb_09"/>
      <sheetName val="132kv_DCDS"/>
      <sheetName val="PACK_(B)"/>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puts"/>
      <sheetName val="ATP"/>
      <sheetName val="UK"/>
      <sheetName val="Scheme Area Details_Block__ C2"/>
      <sheetName val="New33KVSS_E3"/>
      <sheetName val="Prop aug of Ex 33KVSS_E3a"/>
      <sheetName val="A"/>
      <sheetName val="Basis"/>
      <sheetName val="Scheme_Area_Details_Block___C2"/>
      <sheetName val="Prop_aug_of_Ex_33KVSS_E3a"/>
      <sheetName val="Report"/>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Latest revised Cost Estimates f"/>
      <sheetName val="Form 6"/>
      <sheetName val="220Kv (2)"/>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Forecast Sheet"/>
      <sheetName val="Front Cover with Image"/>
      <sheetName val="Sales Forecast"/>
      <sheetName val="Forecast-Consumer Base"/>
      <sheetName val="Forecast-Connected Load"/>
      <sheetName val="Forecast-Units Sold "/>
      <sheetName val="Discom Level Data"/>
      <sheetName val="summarize"/>
      <sheetName val="LV-1 Data"/>
      <sheetName val="LV-1 Calc"/>
      <sheetName val="PotentialCust - LV1"/>
      <sheetName val="RGGVY Data"/>
      <sheetName val="LV-1 Summary"/>
      <sheetName val="LV-2 Data"/>
      <sheetName val="LV-2 Calc"/>
      <sheetName val="LV-2 Summary"/>
      <sheetName val="PotentialCust - LV2"/>
      <sheetName val="LV-3 Data"/>
      <sheetName val="Split for PWW-STL"/>
      <sheetName val="LV-3 Calc"/>
      <sheetName val="LV-3 Summary"/>
      <sheetName val="LV-4 Data"/>
      <sheetName val="LV-4 Calc"/>
      <sheetName val="LV-4 Summary"/>
      <sheetName val="LV-5.1 Data Alternate"/>
      <sheetName val="LV-5.1 Data"/>
      <sheetName val="LV-5.1 Calc alt"/>
      <sheetName val="LV-5.1 alt Summary"/>
      <sheetName val="LV-5.1 Calc"/>
      <sheetName val="LV-5.1 Summary"/>
      <sheetName val="LV-5.2 Data"/>
      <sheetName val="LV-5.2 Calc"/>
      <sheetName val="LV-5.2 Summary"/>
      <sheetName val="HV-1 Data"/>
      <sheetName val="HV-1 Calc"/>
      <sheetName val="HV-1 Summary"/>
      <sheetName val="HV-2 Data"/>
      <sheetName val="HV-2 Calc"/>
      <sheetName val="HV-2 Summary"/>
      <sheetName val="HV-3 Data"/>
      <sheetName val="HV-3 Calc"/>
      <sheetName val="HV-3 Summary"/>
      <sheetName val="HV-4 Data"/>
      <sheetName val="HV-4 Calc"/>
      <sheetName val="HV-4 Summary"/>
      <sheetName val="HV-5.1 Data"/>
      <sheetName val="HV-5.1 Calc"/>
      <sheetName val="HV-5.1 Summary"/>
      <sheetName val="HV-5.2 Calc"/>
      <sheetName val="HV-5.2 Data"/>
      <sheetName val="HV-5.2 Summary"/>
      <sheetName val="HV-6 Data"/>
      <sheetName val="HV-6 Calc"/>
      <sheetName val="HV-6 Summary"/>
      <sheetName val="HV-7 Data"/>
      <sheetName val="HV-7 Calc"/>
      <sheetName val="HV-7 Summary"/>
      <sheetName val="Annexure"/>
      <sheetName val="Census"/>
      <sheetName val="Census Data"/>
      <sheetName val="Select"/>
      <sheetName val="Division"/>
      <sheetName val="Div_Pk"/>
      <sheetName val="Grp"/>
      <sheetName val="Grp_Pk"/>
      <sheetName val="F_Sum"/>
      <sheetName val="Indiv"/>
      <sheetName val="B_Sum"/>
      <sheetName val="B_Adj"/>
      <sheetName val="B_Dat"/>
      <sheetName val="Utility"/>
      <sheetName val="Admin"/>
      <sheetName val="Sens"/>
      <sheetName val="Peaks"/>
      <sheetName val="Trf"/>
      <sheetName val="T4"/>
      <sheetName val="T5"/>
      <sheetName val="T5b"/>
      <sheetName val="Sales FY 05"/>
      <sheetName val="Sales FY 06"/>
      <sheetName val="Sales FY 07"/>
      <sheetName val="LMV 9 &amp; 10"/>
      <sheetName val="Sales FY 05 N"/>
      <sheetName val="Sales FY 06 N"/>
      <sheetName val="Sales FY 07 N"/>
      <sheetName val="Sales FY 08 N"/>
      <sheetName val="Sales FY 08"/>
      <sheetName val="Sales FY 09 N"/>
      <sheetName val="Sales FY 10"/>
      <sheetName val="Sales FY 09"/>
      <sheetName val="Sales Summ N"/>
      <sheetName val="Sales Summ"/>
      <sheetName val="RevN"/>
      <sheetName val="Sales FY 10 A"/>
      <sheetName val="Sales FY 11"/>
      <sheetName val="Sales FY 12"/>
      <sheetName val="Advt &amp; HV1"/>
      <sheetName val="Sales Summary"/>
      <sheetName val="Rev Summary"/>
      <sheetName val="Tariff - LT"/>
      <sheetName val="Rev Summ N"/>
      <sheetName val="Energy Balance"/>
      <sheetName val="Cross subsidy"/>
      <sheetName val="Crosschecks"/>
      <sheetName val="Final"/>
      <sheetName val="Tariff - HT"/>
      <sheetName val="Rev"/>
      <sheetName val="Rev Summ"/>
      <sheetName val="Energy Balance (2)"/>
      <sheetName val="Tariff - HT VD"/>
      <sheetName val="Tariff - HT (Op)"/>
      <sheetName val="Tariff - LT (op)"/>
      <sheetName val="Tariff - LT (2)"/>
      <sheetName val="Tariff - LT VD"/>
      <sheetName val="LMV 1"/>
      <sheetName val="LMV 2"/>
      <sheetName val="LMV 3"/>
      <sheetName val="LMV 4"/>
      <sheetName val="LMV 5"/>
      <sheetName val="LMV 6"/>
      <sheetName val="LMV 7"/>
      <sheetName val="LMV 8"/>
      <sheetName val="LMV 9"/>
      <sheetName val="LMV 10"/>
      <sheetName val="HV 2"/>
      <sheetName val="HV 3"/>
      <sheetName val="HV 4"/>
      <sheetName val="Revenue 1"/>
      <sheetName val="Capital Servicing Model"/>
      <sheetName val="Balance Sheet"/>
      <sheetName val="P&amp;L Account"/>
      <sheetName val="Cash Flow Statement"/>
      <sheetName val="Share Cap&amp;Reser."/>
      <sheetName val="GFA"/>
      <sheetName val="Current Asset"/>
      <sheetName val="Current Liability"/>
      <sheetName val="Capitalization"/>
      <sheetName val="Dep2"/>
      <sheetName val="CWIP"/>
      <sheetName val="Investments"/>
      <sheetName val="Interest &amp; Finance Charges"/>
      <sheetName val="Revenue"/>
      <sheetName val="Other Income"/>
      <sheetName val="Loans&amp;Adv"/>
      <sheetName val="Other Invest"/>
      <sheetName val="Adm Exp"/>
      <sheetName val="PP"/>
      <sheetName val="R&amp;M Expense"/>
      <sheetName val="Emp Cost"/>
      <sheetName val="Rough"/>
      <sheetName val="Working Cap1"/>
      <sheetName val="Depreciation Sch"/>
      <sheetName val="Du-Pont"/>
      <sheetName val="Economic Value Added"/>
      <sheetName val="Depreciation_IT"/>
      <sheetName val="Financial Analysis"/>
      <sheetName val="Tax Comp"/>
      <sheetName val="Avg CS"/>
      <sheetName val="Actuary Data"/>
      <sheetName val="DR"/>
      <sheetName val="DRAWAL"/>
      <sheetName val="INTER-REGIONAL ENERGY EXHANGE"/>
      <sheetName val="GOA"/>
      <sheetName val="POP9900"/>
      <sheetName val="Sheet2"/>
      <sheetName val="C_S_GENERATION"/>
      <sheetName val="Discom Details"/>
      <sheetName val="220 11  BS "/>
      <sheetName val="BTB"/>
      <sheetName val="cf"/>
      <sheetName val="orders"/>
      <sheetName val="Cover"/>
      <sheetName val="Input_Gen"/>
      <sheetName val="Input_Cap Allo"/>
      <sheetName val="Input_New Cap"/>
      <sheetName val="Input_New"/>
      <sheetName val="Input_St Details"/>
      <sheetName val="F1_12_C"/>
      <sheetName val="F1 12-13"/>
      <sheetName val="Input_Extn Loss"/>
      <sheetName val="Losses"/>
      <sheetName val="PP Output"/>
      <sheetName val="MPTransco"/>
      <sheetName val="ISP"/>
      <sheetName val="Line Losses"/>
      <sheetName val="Avail_Ex Bus"/>
      <sheetName val="F1a 11-12"/>
      <sheetName val="F1a 12-13"/>
      <sheetName val="State Peri Rank"/>
      <sheetName val="MPTradeco"/>
      <sheetName val="Ctrl_cost"/>
      <sheetName val="F1e"/>
      <sheetName val="F1 05-06"/>
      <sheetName val="F1 06-07"/>
      <sheetName val="F1 07-08"/>
      <sheetName val="F1 08-09"/>
      <sheetName val="F1 09-10"/>
      <sheetName val="F1a 05-06"/>
      <sheetName val="F1a 06-07"/>
      <sheetName val="F1a 07-08"/>
      <sheetName val="F1a 08-09"/>
      <sheetName val="F1a 09-10"/>
      <sheetName val="F1a 10-11"/>
      <sheetName val="East"/>
      <sheetName val="F1a 10-11-E"/>
      <sheetName val="F1_11_E"/>
      <sheetName val="F1a 10-11-C"/>
      <sheetName val="F1_11_C"/>
      <sheetName val="F1a 10-11-W"/>
      <sheetName val="F1_11_W"/>
      <sheetName val="F1a 11-12-E"/>
      <sheetName val="F1_12_E"/>
      <sheetName val="F1a 12-13-E"/>
      <sheetName val="West"/>
      <sheetName val="Central"/>
      <sheetName val="F1a 12-13-C"/>
      <sheetName val="F1a 11-12-C"/>
      <sheetName val="F1a 11-12-W"/>
      <sheetName val="F1_12_W"/>
      <sheetName val="F1_13_E"/>
      <sheetName val="F1_13_C"/>
      <sheetName val="F1a 12-13-W"/>
      <sheetName val="F1_13_W"/>
      <sheetName val="EBal"/>
      <sheetName val="PGCIL"/>
      <sheetName val="F1b_E"/>
      <sheetName val="F1c_E"/>
      <sheetName val="F1c_C"/>
      <sheetName val="F1c_W"/>
      <sheetName val="F1d"/>
      <sheetName val="R1(i)_E"/>
      <sheetName val="R1(i)_C"/>
      <sheetName val="R1(i)_W"/>
      <sheetName val="Physical Data"/>
      <sheetName val="Assumptions"/>
      <sheetName val="Tariff Structure"/>
      <sheetName val="Tables"/>
      <sheetName val="Readme"/>
      <sheetName val="Sales_Summary"/>
      <sheetName val="Rev_Summary"/>
      <sheetName val="Tariff - LT_b4 tweak"/>
      <sheetName val="Tariff - HT_b4 tweak"/>
      <sheetName val="Wrtup"/>
      <sheetName val="Rev Summary_FB"/>
      <sheetName val="Sales Summary_FB"/>
      <sheetName val="Rev-Ex"/>
      <sheetName val="Rev-Pro"/>
      <sheetName val="En Bal"/>
      <sheetName val="PPT"/>
      <sheetName val="Sales FY 13 9M"/>
      <sheetName val="Sales FY 13"/>
      <sheetName val="Sales FY 14"/>
      <sheetName val="Sales FY 10A_FB"/>
      <sheetName val="Sales FY 11_FB"/>
      <sheetName val="Sales FY 12_FB"/>
      <sheetName val="Rev Summary (2)"/>
      <sheetName val="Rev Summ N (2)"/>
      <sheetName val="Asumptions"/>
      <sheetName val="Cross Subsidy (2)"/>
      <sheetName val="Previous years-ARR  Discoms"/>
      <sheetName val="Title"/>
      <sheetName val="One Sheeter FY 2019-20"/>
      <sheetName val="One Sheeter-FY 2018-19"/>
      <sheetName val="One sheeter-FY 2017-18"/>
      <sheetName val="ARR Summary APR_MYT"/>
      <sheetName val="BST(1)"/>
      <sheetName val="PP_Allowable 2017-18(1)"/>
      <sheetName val=" Summary O&amp;M"/>
      <sheetName val="Escalation"/>
      <sheetName val="Emp and A&amp;G Exp"/>
      <sheetName val="R&amp;M Exp"/>
      <sheetName val="Audited Figures"/>
      <sheetName val="BS"/>
      <sheetName val="other info"/>
      <sheetName val="CPI WPI Inc"/>
      <sheetName val="Gross Assets"/>
      <sheetName val="Grant Details"/>
      <sheetName val="Others"/>
      <sheetName val="Depreciation (2)"/>
      <sheetName val="Investment &amp; GFA"/>
      <sheetName val="IoWC"/>
      <sheetName val="Tariff Structure "/>
      <sheetName val="Assumption"/>
      <sheetName val="SBI PLR"/>
      <sheetName val="Tariff"/>
      <sheetName val="PRSN"/>
      <sheetName val="Impact"/>
      <sheetName val="ARR"/>
      <sheetName val="Billing-PY"/>
      <sheetName val="Billing-C&amp;E Y"/>
      <sheetName val="Customers-All"/>
      <sheetName val="Customers-CP"/>
      <sheetName val="Customers-EP"/>
      <sheetName val="Customers-NP"/>
      <sheetName val="Customers-SP"/>
      <sheetName val="ERC-CY"/>
      <sheetName val="ERC-EY"/>
      <sheetName val="ERP-EY"/>
      <sheetName val="Forecast-CY"/>
      <sheetName val="Forecast-EY"/>
      <sheetName val="MC-CP"/>
      <sheetName val="MC-EP"/>
      <sheetName val="MC-NP"/>
      <sheetName val="MC-SP"/>
      <sheetName val="RevenueIncrease"/>
      <sheetName val="CostRecovery"/>
      <sheetName val="Subsidy"/>
      <sheetName val="General"/>
      <sheetName val="RESCOs"/>
      <sheetName val="Table-I"/>
      <sheetName val="Tables-II"/>
      <sheetName val="Group"/>
      <sheetName val="Fore_Sum"/>
      <sheetName val="Individ"/>
      <sheetName val="2003_Sum"/>
      <sheetName val="Adjustments"/>
      <sheetName val="E_Div"/>
      <sheetName val="Region"/>
      <sheetName val="upseb"/>
      <sheetName val="Notes_on_changes"/>
      <sheetName val="CHALLAN DETAILS"/>
      <sheetName val="XLR_NoRangeSheet"/>
      <sheetName val="CHALLAN_DETAILS"/>
      <sheetName val="Database"/>
      <sheetName val="E-Core version"/>
      <sheetName val="list"/>
      <sheetName val="Laptop Loan Req Form"/>
      <sheetName val="Laptop Release Form"/>
      <sheetName val="E-Core_version1"/>
      <sheetName val="Laptop_Loan_Req_Form1"/>
      <sheetName val="Laptop_Release_Form1"/>
      <sheetName val="E-Core_version"/>
      <sheetName val="Laptop_Loan_Req_Form"/>
      <sheetName val="Laptop_Release_Form"/>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Bombaybazar(Remark)"/>
      <sheetName val="HLY_-99-00"/>
      <sheetName val="Hydro_Data"/>
      <sheetName val="dpc_cost"/>
      <sheetName val="Plant_Availability"/>
      <sheetName val="Cash Flow"/>
      <sheetName val="all"/>
      <sheetName val="Sch-3"/>
      <sheetName val="RAJ"/>
      <sheetName val="HLY_-99-002"/>
      <sheetName val="Hydro_Data2"/>
      <sheetName val="dpc_cost2"/>
      <sheetName val="Plant_Availability2"/>
      <sheetName val="HLY_-99-001"/>
      <sheetName val="Hydro_Data1"/>
      <sheetName val="dpc_cost1"/>
      <sheetName val="Plant_Availability1"/>
      <sheetName val="strain"/>
      <sheetName val="Discom_Details"/>
      <sheetName val="7.11 p1"/>
      <sheetName val="Form-B"/>
      <sheetName val="HLY_-99-003"/>
      <sheetName val="Hydro_Data3"/>
      <sheetName val="dpc_cost3"/>
      <sheetName val="Plant_Availability3"/>
      <sheetName val="Cash_Flow"/>
      <sheetName val="DCL AUG 12"/>
      <sheetName val="7_11_p1"/>
      <sheetName val="Discom_Details1"/>
      <sheetName val="C_S_GENERATION1"/>
      <sheetName val="7_11_p11"/>
      <sheetName val="Discom_Details2"/>
      <sheetName val="A_3_72"/>
      <sheetName val="C_S_GENERATION2"/>
      <sheetName val="7_11_p12"/>
      <sheetName val="4 Annex 1 Basic rate"/>
      <sheetName val="Index Feb 09"/>
      <sheetName val="SCF"/>
      <sheetName val="DETAILED  BOQ"/>
      <sheetName val="Dispatch 2.0"/>
      <sheetName val="Conductor Size"/>
      <sheetName val="DETAILED__BOQ"/>
      <sheetName val="DCL_AUG_12"/>
      <sheetName val="Index_Feb_09"/>
      <sheetName val="Dispatch_2_0"/>
      <sheetName val="FT-05-02IsoBOM"/>
      <sheetName val="1"/>
      <sheetName val="Design"/>
      <sheetName val="Staff Acco."/>
      <sheetName val="S1"/>
      <sheetName val="S2"/>
      <sheetName val="S3"/>
      <sheetName val="S4"/>
      <sheetName val="S5"/>
      <sheetName val="S6"/>
      <sheetName val="S7"/>
      <sheetName val="S8"/>
      <sheetName val="A1"/>
      <sheetName val="F1-14-C"/>
      <sheetName val="F1-15-C"/>
      <sheetName val="F1-16-C"/>
      <sheetName val="F1a-14-C"/>
      <sheetName val="F1a-15-C"/>
      <sheetName val="F1a-16-C"/>
      <sheetName val="F1b"/>
      <sheetName val="F1c-C"/>
      <sheetName val="F1d-C"/>
      <sheetName val="F1e-C"/>
      <sheetName val="F1f-C"/>
      <sheetName val="F2"/>
      <sheetName val="F2a"/>
      <sheetName val="F2a(i)"/>
      <sheetName val="F2b"/>
      <sheetName val="F2b(i)"/>
      <sheetName val="F2b(ii)"/>
      <sheetName val="F2b(iii)"/>
      <sheetName val="F2c"/>
      <sheetName val="F2d"/>
      <sheetName val="F2e"/>
      <sheetName val="F3"/>
      <sheetName val="F3b"/>
      <sheetName val="F4"/>
      <sheetName val="F5"/>
      <sheetName val="F6"/>
      <sheetName val="F7"/>
      <sheetName val="F8"/>
      <sheetName val="F9"/>
      <sheetName val="F10"/>
      <sheetName val="F11"/>
      <sheetName val="F12"/>
      <sheetName val="F13"/>
      <sheetName val="F14"/>
      <sheetName val="F14a"/>
      <sheetName val="F14b"/>
      <sheetName val="F15"/>
      <sheetName val="F16"/>
      <sheetName val="P1"/>
      <sheetName val="P2"/>
      <sheetName val="P3"/>
      <sheetName val="R1"/>
      <sheetName val="R2"/>
      <sheetName val="R3"/>
      <sheetName val="R4"/>
      <sheetName val="R5"/>
      <sheetName val="R6"/>
      <sheetName val="R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 "/>
      <sheetName val="  "/>
      <sheetName val="L"/>
      <sheetName val="Timing"/>
      <sheetName val="Copy"/>
      <sheetName val="CapEx &amp; Ops"/>
      <sheetName val="Debt"/>
      <sheetName val="Tax &amp; Dep"/>
      <sheetName val="FS"/>
      <sheetName val="Equity &amp; Returns"/>
      <sheetName val="Summary"/>
      <sheetName val="Contents"/>
      <sheetName val="5.0.0"/>
      <sheetName val="5.1.0"/>
      <sheetName val="5.2.1"/>
      <sheetName val="5.2.2"/>
      <sheetName val="5.2.3"/>
      <sheetName val="5.2.4"/>
      <sheetName val="5.3.0"/>
      <sheetName val="5.4.0"/>
      <sheetName val="5.5.0"/>
      <sheetName val="Variables"/>
      <sheetName val="5_0_01"/>
      <sheetName val="5_1_01"/>
      <sheetName val="5_2_11"/>
      <sheetName val="5_2_21"/>
      <sheetName val="5_2_31"/>
      <sheetName val="5_2_41"/>
      <sheetName val="5_3_01"/>
      <sheetName val="5_4_01"/>
      <sheetName val="5_5_01"/>
      <sheetName val="5_0_0"/>
      <sheetName val="5_1_0"/>
      <sheetName val="5_2_1"/>
      <sheetName val="5_2_2"/>
      <sheetName val="5_2_3"/>
      <sheetName val="5_2_4"/>
      <sheetName val="5_3_0"/>
      <sheetName val="5_4_0"/>
      <sheetName val="5_5_0"/>
      <sheetName val="India"/>
      <sheetName val="Variables_x"/>
      <sheetName val="water_bal"/>
      <sheetName val="Ready Reckoner"/>
      <sheetName val="RAO Wise TB1"/>
      <sheetName val="Total Assets as per JBR cd"/>
      <sheetName val="% allocation Transco"/>
      <sheetName val="% allocation WZ"/>
      <sheetName val="WZ (R)"/>
      <sheetName val="Dewas"/>
      <sheetName val="Indore"/>
      <sheetName val="Khandwa"/>
      <sheetName val="Mandsaur"/>
      <sheetName val="Ratlam"/>
      <sheetName val="Ujjain"/>
      <sheetName val="Dhar"/>
      <sheetName val="Khargone"/>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Summary_MP"/>
      <sheetName val="Tariff Sheet"/>
      <sheetName val="Summary_EZ"/>
      <sheetName val="Summary_WZ"/>
      <sheetName val="Summary_CZ"/>
      <sheetName val="Sale Summary_MP"/>
      <sheetName val="Sale Summary_EZ"/>
      <sheetName val="Sale Summary_WZ"/>
      <sheetName val="Sale Summary_CZ"/>
      <sheetName val="Saubhagya"/>
      <sheetName val="Existing vs Proposed Revenue"/>
      <sheetName val="form_x0000__x0000__x0000__x0000__x0000__x0000__x0000__x0000__x0000__x0000__x0000__x0000__x0000_"/>
      <sheetName val="form"/>
      <sheetName val="form?????????????"/>
      <sheetName val="UP DISCOM"/>
      <sheetName val="Subsidy allocation"/>
      <sheetName val="DISCOM WISE_Comm"/>
      <sheetName val="Migrated Consumers"/>
      <sheetName val="MVVNL Assumptions for Sales"/>
      <sheetName val="DVVNL Sales-Revenue"/>
      <sheetName val="MVVNL Sales-Revenue"/>
      <sheetName val="PVVNL Sales-Revenue"/>
      <sheetName val="PuVVNL Sales-Revenue"/>
      <sheetName val="KESCO Sales-Revenue"/>
      <sheetName val="MVVNL Bucket Filling FY 2022-23"/>
      <sheetName val="DVVNL Assumptions for Sales"/>
      <sheetName val="MVVNL Bucket Filling FY 2021-22"/>
      <sheetName val="DVVNL Bucket Filling FY 2021-22"/>
      <sheetName val="DVVNL Bucket Filling FY 2022-23"/>
      <sheetName val="PVVNL Growth rate"/>
      <sheetName val="PVVNL Assumptions for Sales"/>
      <sheetName val="PVVNL Bucket Filling FY 2021-22"/>
      <sheetName val="PVVNL Bucket Filling FY 2022-23"/>
      <sheetName val="PuVVNL Assumptions for Sales"/>
      <sheetName val="PuVVNL BucketFilling FY 2021-22"/>
      <sheetName val="PuVVNL BucketFilling FY 2022-23"/>
      <sheetName val="KESCO Assumptions for Sales"/>
      <sheetName val="ABR Table"/>
      <sheetName val="KESCO Bucket Filling FY 2021-22"/>
      <sheetName val="KESCO Bucket Filling FY 2022-23"/>
      <sheetName val="Consolidated Sales-Revenue"/>
      <sheetName val="Input_O&amp;M"/>
      <sheetName val="Index_O&amp;M"/>
      <sheetName val="MVVNL_O&amp;M"/>
      <sheetName val="DVVNL_O&amp;M"/>
      <sheetName val="PVVNL_O&amp;M"/>
      <sheetName val="PUVVNL_O&amp;M"/>
      <sheetName val="KESCO_O&amp;M"/>
      <sheetName val="DVVNL Dec-21"/>
      <sheetName val="PVVNL Dec-21"/>
      <sheetName val="PUVNL Dec-21"/>
      <sheetName val="MVVNL Dec-21"/>
      <sheetName val="KESCO Dec-21"/>
      <sheetName val="S Series Formats_04.03.2022"/>
    </sheetNames>
    <sheetDataSet>
      <sheetData sheetId="0" refreshError="1"/>
      <sheetData sheetId="1" refreshError="1"/>
      <sheetData sheetId="2" refreshError="1"/>
      <sheetData sheetId="3" refreshError="1"/>
      <sheetData sheetId="4" refreshError="1"/>
      <sheetData sheetId="5" refreshError="1">
        <row r="35">
          <cell r="G35">
            <v>64254.226096970044</v>
          </cell>
          <cell r="H35">
            <v>59093.238057586968</v>
          </cell>
          <cell r="I35">
            <v>63490.540060935658</v>
          </cell>
        </row>
        <row r="44">
          <cell r="G44">
            <v>24259.407938726315</v>
          </cell>
          <cell r="H44">
            <v>16526.511773419461</v>
          </cell>
          <cell r="I44">
            <v>17654.636270525258</v>
          </cell>
        </row>
      </sheetData>
      <sheetData sheetId="6" refreshError="1"/>
      <sheetData sheetId="7" refreshError="1">
        <row r="4">
          <cell r="A4" t="str">
            <v xml:space="preserve"> </v>
          </cell>
          <cell r="B4" t="str">
            <v>P A R T I C U L A R S</v>
          </cell>
          <cell r="C4" t="str">
            <v>MW</v>
          </cell>
          <cell r="D4" t="str">
            <v>91-92</v>
          </cell>
          <cell r="E4" t="str">
            <v>92-93</v>
          </cell>
          <cell r="F4" t="str">
            <v>93-94</v>
          </cell>
          <cell r="G4" t="str">
            <v>94-95</v>
          </cell>
          <cell r="H4" t="str">
            <v xml:space="preserve">95-96 </v>
          </cell>
          <cell r="I4" t="str">
            <v>MKwh</v>
          </cell>
          <cell r="J4" t="str">
            <v>%</v>
          </cell>
          <cell r="K4" t="str">
            <v>MW</v>
          </cell>
          <cell r="L4" t="str">
            <v>OP.STOCK</v>
          </cell>
          <cell r="M4" t="str">
            <v>RECIEPT</v>
          </cell>
          <cell r="N4" t="str">
            <v>MT</v>
          </cell>
          <cell r="O4" t="str">
            <v>Kg/kWH</v>
          </cell>
          <cell r="P4" t="str">
            <v>KL</v>
          </cell>
          <cell r="Q4" t="str">
            <v>ml/KWH</v>
          </cell>
        </row>
        <row r="5">
          <cell r="A5">
            <v>1</v>
          </cell>
          <cell r="B5" t="str">
            <v>Thermal  Generation (Including 100 % Satpura )</v>
          </cell>
          <cell r="C5" t="str">
            <v>MU</v>
          </cell>
          <cell r="D5">
            <v>11579.92</v>
          </cell>
          <cell r="E5">
            <v>12363.2</v>
          </cell>
          <cell r="F5">
            <v>13331.49</v>
          </cell>
          <cell r="G5">
            <v>14781.19868</v>
          </cell>
          <cell r="H5">
            <v>16071.35</v>
          </cell>
          <cell r="I5" t="str">
            <v/>
          </cell>
          <cell r="J5">
            <v>0</v>
          </cell>
          <cell r="K5">
            <v>57</v>
          </cell>
          <cell r="N5">
            <v>277748</v>
          </cell>
          <cell r="O5">
            <v>1.1912334877337452</v>
          </cell>
          <cell r="P5">
            <v>0</v>
          </cell>
          <cell r="Q5">
            <v>0</v>
          </cell>
        </row>
        <row r="6">
          <cell r="A6">
            <v>2</v>
          </cell>
          <cell r="B6" t="str">
            <v xml:space="preserve">Plan Target    </v>
          </cell>
          <cell r="C6" t="str">
            <v>MU</v>
          </cell>
          <cell r="D6">
            <v>13440</v>
          </cell>
          <cell r="E6">
            <v>13240</v>
          </cell>
          <cell r="F6">
            <v>14935</v>
          </cell>
          <cell r="G6">
            <v>14850</v>
          </cell>
          <cell r="H6">
            <v>16620</v>
          </cell>
          <cell r="I6" t="str">
            <v/>
          </cell>
          <cell r="J6">
            <v>0</v>
          </cell>
          <cell r="K6">
            <v>60</v>
          </cell>
          <cell r="N6">
            <v>71743</v>
          </cell>
          <cell r="O6">
            <v>1.1081711461229535</v>
          </cell>
          <cell r="P6">
            <v>0</v>
          </cell>
          <cell r="Q6">
            <v>0</v>
          </cell>
        </row>
        <row r="7">
          <cell r="A7">
            <v>3</v>
          </cell>
          <cell r="B7" t="str">
            <v>ACHIEVEMENT Percentage of ( 2 )</v>
          </cell>
          <cell r="C7" t="str">
            <v>%</v>
          </cell>
          <cell r="D7">
            <v>86.160119047619048</v>
          </cell>
          <cell r="E7">
            <v>93.377643504531719</v>
          </cell>
          <cell r="F7">
            <v>89.26340810177436</v>
          </cell>
          <cell r="G7">
            <v>99.53669144781145</v>
          </cell>
          <cell r="H7">
            <v>96.698856799037301</v>
          </cell>
          <cell r="I7" t="str">
            <v/>
          </cell>
          <cell r="J7">
            <v>0</v>
          </cell>
          <cell r="K7">
            <v>160</v>
          </cell>
          <cell r="N7">
            <v>588701</v>
          </cell>
          <cell r="O7">
            <v>0.93894701585377527</v>
          </cell>
          <cell r="P7">
            <v>7154</v>
          </cell>
          <cell r="Q7">
            <v>11.410252320648187</v>
          </cell>
        </row>
        <row r="8">
          <cell r="A8">
            <v>4</v>
          </cell>
          <cell r="B8" t="str">
            <v>Plant    Utilisation    Factor            **</v>
          </cell>
          <cell r="C8" t="str">
            <v>%</v>
          </cell>
          <cell r="D8">
            <v>49.14</v>
          </cell>
          <cell r="E8">
            <v>52.6</v>
          </cell>
          <cell r="F8">
            <v>56.03</v>
          </cell>
          <cell r="G8">
            <v>58.1673864745838</v>
          </cell>
          <cell r="H8">
            <v>59.2</v>
          </cell>
          <cell r="I8">
            <v>119</v>
          </cell>
          <cell r="J8">
            <v>11.529331976941336</v>
          </cell>
          <cell r="K8">
            <v>200</v>
          </cell>
          <cell r="N8">
            <v>983703</v>
          </cell>
          <cell r="O8">
            <v>0.95306205493387575</v>
          </cell>
          <cell r="P8">
            <v>4674</v>
          </cell>
          <cell r="Q8">
            <v>4.5284115680860335</v>
          </cell>
        </row>
        <row r="9">
          <cell r="A9">
            <v>5</v>
          </cell>
          <cell r="B9" t="str">
            <v>Plant    Availibility   Factor              **</v>
          </cell>
          <cell r="C9" t="str">
            <v>%</v>
          </cell>
          <cell r="D9">
            <v>66.92</v>
          </cell>
          <cell r="E9">
            <v>71.400000000000006</v>
          </cell>
          <cell r="F9">
            <v>72.040000000000006</v>
          </cell>
          <cell r="G9">
            <v>75.44</v>
          </cell>
          <cell r="H9">
            <v>75.3</v>
          </cell>
          <cell r="I9">
            <v>126</v>
          </cell>
          <cell r="J9">
            <v>12.357181385769627</v>
          </cell>
          <cell r="K9">
            <v>176</v>
          </cell>
          <cell r="N9">
            <v>985516</v>
          </cell>
          <cell r="O9">
            <v>0.9665238071887412</v>
          </cell>
          <cell r="P9">
            <v>4737</v>
          </cell>
          <cell r="Q9">
            <v>4.6457117638405334</v>
          </cell>
        </row>
        <row r="10">
          <cell r="A10">
            <v>6</v>
          </cell>
          <cell r="B10" t="str">
            <v>Partial  Unavailability Factor         **</v>
          </cell>
          <cell r="C10" t="str">
            <v>%</v>
          </cell>
          <cell r="D10">
            <v>17.78</v>
          </cell>
          <cell r="E10">
            <v>18.8</v>
          </cell>
          <cell r="F10">
            <v>16</v>
          </cell>
          <cell r="G10">
            <v>17.272613525416201</v>
          </cell>
          <cell r="H10">
            <v>16.16</v>
          </cell>
          <cell r="I10">
            <v>91.84</v>
          </cell>
          <cell r="J10">
            <v>14.733059548254619</v>
          </cell>
          <cell r="K10">
            <v>146</v>
          </cell>
          <cell r="N10">
            <v>626484</v>
          </cell>
          <cell r="O10">
            <v>1.0050115503080082</v>
          </cell>
          <cell r="P10">
            <v>6372</v>
          </cell>
          <cell r="Q10">
            <v>10.222022587268993</v>
          </cell>
        </row>
        <row r="11">
          <cell r="A11" t="str">
            <v>a</v>
          </cell>
          <cell r="B11" t="str">
            <v>Main Boiler</v>
          </cell>
          <cell r="C11" t="str">
            <v>%</v>
          </cell>
          <cell r="D11">
            <v>0</v>
          </cell>
          <cell r="E11">
            <v>0.38</v>
          </cell>
          <cell r="F11">
            <v>0.24</v>
          </cell>
          <cell r="G11">
            <v>0.25</v>
          </cell>
          <cell r="H11">
            <v>2.4</v>
          </cell>
          <cell r="I11">
            <v>104.13</v>
          </cell>
          <cell r="J11">
            <v>14.347718253968255</v>
          </cell>
          <cell r="K11">
            <v>192</v>
          </cell>
          <cell r="N11">
            <v>745282</v>
          </cell>
          <cell r="O11">
            <v>1.0268986992945326</v>
          </cell>
          <cell r="P11">
            <v>7889</v>
          </cell>
          <cell r="Q11">
            <v>10.869984567901234</v>
          </cell>
        </row>
        <row r="12">
          <cell r="A12" t="str">
            <v>b</v>
          </cell>
          <cell r="B12" t="str">
            <v>Boiler Auxiliaries(Mainly Mills)</v>
          </cell>
          <cell r="C12" t="str">
            <v>%</v>
          </cell>
          <cell r="D12">
            <v>2.1352047355439101</v>
          </cell>
          <cell r="E12">
            <v>0.82</v>
          </cell>
          <cell r="F12">
            <v>1.03</v>
          </cell>
          <cell r="G12">
            <v>0.57999999999999996</v>
          </cell>
          <cell r="H12">
            <v>5.0999999999999996</v>
          </cell>
          <cell r="I12">
            <v>102.85735</v>
          </cell>
          <cell r="J12">
            <v>14.163777196364638</v>
          </cell>
          <cell r="K12">
            <v>164</v>
          </cell>
          <cell r="N12">
            <v>747152</v>
          </cell>
          <cell r="O12">
            <v>1.0288515560451665</v>
          </cell>
          <cell r="P12">
            <v>6596.07</v>
          </cell>
          <cell r="Q12">
            <v>9.0829936656568435</v>
          </cell>
        </row>
        <row r="13">
          <cell r="A13" t="str">
            <v>c</v>
          </cell>
          <cell r="B13" t="str">
            <v>Turbine</v>
          </cell>
          <cell r="C13" t="str">
            <v>%</v>
          </cell>
          <cell r="D13">
            <v>0.30946718340726254</v>
          </cell>
          <cell r="E13">
            <v>1.1200000000000001</v>
          </cell>
          <cell r="F13">
            <v>1.37</v>
          </cell>
          <cell r="G13">
            <v>0.28000000000000003</v>
          </cell>
          <cell r="H13">
            <v>0.8</v>
          </cell>
          <cell r="I13">
            <v>111.1</v>
          </cell>
          <cell r="J13">
            <v>13.938025341864257</v>
          </cell>
          <cell r="K13">
            <v>182</v>
          </cell>
          <cell r="N13">
            <v>830584</v>
          </cell>
          <cell r="O13">
            <v>1.0420072763768662</v>
          </cell>
          <cell r="P13">
            <v>10237</v>
          </cell>
          <cell r="Q13">
            <v>12.842805168736669</v>
          </cell>
        </row>
        <row r="14">
          <cell r="A14" t="str">
            <v>d</v>
          </cell>
          <cell r="B14" t="str">
            <v>Turbine Auxiliaries</v>
          </cell>
          <cell r="C14" t="str">
            <v>%</v>
          </cell>
          <cell r="D14">
            <v>1.1834191455446403</v>
          </cell>
          <cell r="E14">
            <v>0.81</v>
          </cell>
          <cell r="F14">
            <v>0.54</v>
          </cell>
          <cell r="G14">
            <v>0.21</v>
          </cell>
          <cell r="H14">
            <v>0.6</v>
          </cell>
          <cell r="I14">
            <v>127</v>
          </cell>
          <cell r="J14">
            <v>12.480345911949685</v>
          </cell>
          <cell r="K14">
            <v>192</v>
          </cell>
          <cell r="N14">
            <v>1055897</v>
          </cell>
          <cell r="O14">
            <v>1.0376346305031448</v>
          </cell>
          <cell r="P14">
            <v>6774</v>
          </cell>
          <cell r="Q14">
            <v>6.6568396226415096</v>
          </cell>
        </row>
        <row r="15">
          <cell r="A15" t="str">
            <v>e</v>
          </cell>
          <cell r="B15" t="str">
            <v>Generator</v>
          </cell>
          <cell r="C15" t="str">
            <v>%</v>
          </cell>
          <cell r="D15">
            <v>0.23316136939653051</v>
          </cell>
          <cell r="E15">
            <v>0.36</v>
          </cell>
          <cell r="F15">
            <v>0.69</v>
          </cell>
          <cell r="G15">
            <v>0.93</v>
          </cell>
          <cell r="H15">
            <v>0.3</v>
          </cell>
          <cell r="I15">
            <v>128.80000000000001</v>
          </cell>
          <cell r="J15">
            <v>11.592115921159214</v>
          </cell>
          <cell r="K15">
            <v>196</v>
          </cell>
          <cell r="N15">
            <v>1098156</v>
          </cell>
          <cell r="O15">
            <v>0.98835028350283505</v>
          </cell>
          <cell r="P15">
            <v>6387</v>
          </cell>
          <cell r="Q15">
            <v>5.7483574835748366</v>
          </cell>
        </row>
        <row r="16">
          <cell r="A16" t="str">
            <v>f</v>
          </cell>
          <cell r="B16" t="str">
            <v>Electrical</v>
          </cell>
          <cell r="C16" t="str">
            <v>%</v>
          </cell>
          <cell r="D16">
            <v>0.46916617012716505</v>
          </cell>
          <cell r="E16">
            <v>0.28000000000000003</v>
          </cell>
          <cell r="F16">
            <v>0.28999999999999998</v>
          </cell>
          <cell r="G16">
            <v>1.78</v>
          </cell>
          <cell r="H16">
            <v>0.8</v>
          </cell>
          <cell r="I16">
            <v>132.66300000000001</v>
          </cell>
          <cell r="J16">
            <v>11.803283064193247</v>
          </cell>
          <cell r="K16">
            <v>190</v>
          </cell>
          <cell r="N16">
            <v>1049273</v>
          </cell>
          <cell r="O16">
            <v>0.93355843231460478</v>
          </cell>
          <cell r="P16">
            <v>5874</v>
          </cell>
          <cell r="Q16">
            <v>5.2262111303883625</v>
          </cell>
        </row>
        <row r="17">
          <cell r="A17" t="str">
            <v>g</v>
          </cell>
          <cell r="B17" t="str">
            <v>Coal related (Quality ,Quantity ,Handling ,wet coal)</v>
          </cell>
          <cell r="C17" t="str">
            <v>%</v>
          </cell>
          <cell r="D17">
            <v>3.0365300291812445</v>
          </cell>
          <cell r="E17">
            <v>0.33</v>
          </cell>
          <cell r="F17">
            <v>0.12</v>
          </cell>
          <cell r="G17">
            <v>0.47</v>
          </cell>
          <cell r="H17">
            <v>5.8</v>
          </cell>
          <cell r="I17">
            <v>98.7</v>
          </cell>
          <cell r="J17">
            <v>11.927636587753327</v>
          </cell>
          <cell r="K17">
            <v>188</v>
          </cell>
          <cell r="N17">
            <v>770211</v>
          </cell>
          <cell r="O17">
            <v>0.93077982815502303</v>
          </cell>
          <cell r="P17">
            <v>3594</v>
          </cell>
          <cell r="Q17">
            <v>4.3432549033825181</v>
          </cell>
        </row>
        <row r="18">
          <cell r="A18" t="str">
            <v>h</v>
          </cell>
          <cell r="B18" t="str">
            <v>Others</v>
          </cell>
          <cell r="C18" t="str">
            <v>%</v>
          </cell>
          <cell r="D18">
            <v>2.2070544258220908</v>
          </cell>
          <cell r="E18">
            <v>3.85</v>
          </cell>
          <cell r="F18">
            <v>1.23</v>
          </cell>
          <cell r="G18">
            <v>1</v>
          </cell>
          <cell r="H18">
            <v>0.5</v>
          </cell>
          <cell r="I18">
            <v>123.9</v>
          </cell>
          <cell r="J18">
            <v>12.5</v>
          </cell>
          <cell r="K18">
            <v>172</v>
          </cell>
          <cell r="N18">
            <v>945093</v>
          </cell>
          <cell r="O18">
            <v>0.95</v>
          </cell>
          <cell r="P18">
            <v>4874</v>
          </cell>
          <cell r="Q18">
            <v>4.9162800080693971</v>
          </cell>
        </row>
        <row r="19">
          <cell r="A19">
            <v>7</v>
          </cell>
          <cell r="B19" t="str">
            <v xml:space="preserve">Planned  Outage         Rate          </v>
          </cell>
          <cell r="C19" t="str">
            <v>MU</v>
          </cell>
          <cell r="D19">
            <v>3672.14</v>
          </cell>
          <cell r="E19">
            <v>3192.88</v>
          </cell>
          <cell r="F19">
            <v>3765.67</v>
          </cell>
          <cell r="G19">
            <v>2144.02</v>
          </cell>
          <cell r="H19">
            <v>3421.66</v>
          </cell>
          <cell r="I19">
            <v>107.73</v>
          </cell>
          <cell r="J19">
            <v>12.12</v>
          </cell>
          <cell r="K19">
            <v>180</v>
          </cell>
          <cell r="N19">
            <v>852784</v>
          </cell>
          <cell r="O19">
            <v>0.95899999999999996</v>
          </cell>
          <cell r="P19">
            <v>3494</v>
          </cell>
          <cell r="Q19">
            <v>3.93</v>
          </cell>
        </row>
        <row r="20">
          <cell r="A20" t="str">
            <v>a</v>
          </cell>
          <cell r="C20" t="str">
            <v>No</v>
          </cell>
          <cell r="D20">
            <v>18</v>
          </cell>
          <cell r="E20">
            <v>23</v>
          </cell>
          <cell r="F20">
            <v>20</v>
          </cell>
          <cell r="G20">
            <v>24</v>
          </cell>
          <cell r="H20">
            <v>23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b</v>
          </cell>
          <cell r="B21" t="str">
            <v xml:space="preserve">                                                       **</v>
          </cell>
          <cell r="C21" t="str">
            <v>%</v>
          </cell>
          <cell r="D21">
            <v>16</v>
          </cell>
          <cell r="E21">
            <v>13.59</v>
          </cell>
          <cell r="F21">
            <v>16.079999999999998</v>
          </cell>
          <cell r="G21">
            <v>12.209376208374712</v>
          </cell>
          <cell r="H21">
            <v>12.6</v>
          </cell>
          <cell r="I21" t="str">
            <v/>
          </cell>
          <cell r="J21">
            <v>0</v>
          </cell>
          <cell r="K21">
            <v>212</v>
          </cell>
          <cell r="N21">
            <v>978858</v>
          </cell>
          <cell r="O21">
            <v>0.9104724167759578</v>
          </cell>
          <cell r="P21">
            <v>19275</v>
          </cell>
          <cell r="Q21">
            <v>17.928398024388205</v>
          </cell>
        </row>
        <row r="22">
          <cell r="A22">
            <v>8</v>
          </cell>
          <cell r="B22" t="str">
            <v xml:space="preserve">Forced   Outage   </v>
          </cell>
          <cell r="C22" t="str">
            <v>MU</v>
          </cell>
          <cell r="D22">
            <v>4054.2</v>
          </cell>
          <cell r="E22">
            <v>3528.19</v>
          </cell>
          <cell r="F22">
            <v>2780.85</v>
          </cell>
          <cell r="G22">
            <v>3161.67</v>
          </cell>
          <cell r="H22">
            <v>3281.99</v>
          </cell>
          <cell r="I22">
            <v>114</v>
          </cell>
          <cell r="J22">
            <v>9.5494182393888369</v>
          </cell>
          <cell r="K22">
            <v>224</v>
          </cell>
          <cell r="N22">
            <v>1094158</v>
          </cell>
          <cell r="O22">
            <v>0.916541435260808</v>
          </cell>
          <cell r="P22">
            <v>18208</v>
          </cell>
          <cell r="Q22">
            <v>15.252263798490523</v>
          </cell>
        </row>
        <row r="23">
          <cell r="A23" t="str">
            <v>a</v>
          </cell>
          <cell r="B23" t="str">
            <v>90-91</v>
          </cell>
          <cell r="C23" t="str">
            <v>No</v>
          </cell>
          <cell r="D23">
            <v>838</v>
          </cell>
          <cell r="E23">
            <v>793</v>
          </cell>
          <cell r="F23">
            <v>756</v>
          </cell>
          <cell r="G23">
            <v>935</v>
          </cell>
          <cell r="H23">
            <v>1031</v>
          </cell>
          <cell r="I23">
            <v>113</v>
          </cell>
          <cell r="J23">
            <v>9.9372108975148166</v>
          </cell>
          <cell r="K23">
            <v>215</v>
          </cell>
          <cell r="N23">
            <v>1065421</v>
          </cell>
          <cell r="O23">
            <v>0.93693036917178185</v>
          </cell>
          <cell r="P23">
            <v>14929</v>
          </cell>
          <cell r="Q23">
            <v>13.128550574247672</v>
          </cell>
        </row>
        <row r="24">
          <cell r="A24" t="str">
            <v>b</v>
          </cell>
          <cell r="B24" t="str">
            <v xml:space="preserve">                                                      **</v>
          </cell>
          <cell r="C24" t="str">
            <v>%</v>
          </cell>
          <cell r="D24">
            <v>17.079999999999998</v>
          </cell>
          <cell r="E24">
            <v>15.01</v>
          </cell>
          <cell r="F24">
            <v>11.88</v>
          </cell>
          <cell r="G24">
            <v>12.35</v>
          </cell>
          <cell r="H24">
            <v>12.08</v>
          </cell>
          <cell r="I24">
            <v>93.49</v>
          </cell>
          <cell r="J24">
            <v>10.99106513049612</v>
          </cell>
          <cell r="K24">
            <v>218</v>
          </cell>
          <cell r="N24">
            <v>821535</v>
          </cell>
          <cell r="O24">
            <v>0.96583000235128147</v>
          </cell>
          <cell r="P24">
            <v>13865</v>
          </cell>
          <cell r="Q24">
            <v>16.300258640959321</v>
          </cell>
        </row>
        <row r="25">
          <cell r="A25" t="str">
            <v>c</v>
          </cell>
          <cell r="B25" t="str">
            <v>Boiler Tube Leakages</v>
          </cell>
          <cell r="C25" t="str">
            <v>MU</v>
          </cell>
          <cell r="D25">
            <v>1507</v>
          </cell>
          <cell r="E25">
            <v>1373.19</v>
          </cell>
          <cell r="F25">
            <v>1286</v>
          </cell>
          <cell r="G25">
            <v>1722</v>
          </cell>
          <cell r="H25">
            <v>2009.66</v>
          </cell>
          <cell r="I25">
            <v>93.94</v>
          </cell>
          <cell r="J25">
            <v>10.841941254544405</v>
          </cell>
          <cell r="K25">
            <v>220</v>
          </cell>
          <cell r="N25">
            <v>837244</v>
          </cell>
          <cell r="O25">
            <v>0.96629234231634831</v>
          </cell>
          <cell r="P25">
            <v>13463</v>
          </cell>
          <cell r="Q25">
            <v>15.538115298055283</v>
          </cell>
        </row>
        <row r="26">
          <cell r="A26" t="str">
            <v>d</v>
          </cell>
          <cell r="B26" t="str">
            <v>93-94</v>
          </cell>
          <cell r="C26" t="str">
            <v>No</v>
          </cell>
          <cell r="D26">
            <v>167</v>
          </cell>
          <cell r="E26">
            <v>188</v>
          </cell>
          <cell r="F26">
            <v>192</v>
          </cell>
          <cell r="G26">
            <v>240</v>
          </cell>
          <cell r="H26">
            <v>273</v>
          </cell>
          <cell r="I26">
            <v>106.832292</v>
          </cell>
          <cell r="J26">
            <v>10.580209698168929</v>
          </cell>
          <cell r="K26">
            <v>216</v>
          </cell>
          <cell r="N26">
            <v>1033657</v>
          </cell>
          <cell r="O26">
            <v>1.0236893369263482</v>
          </cell>
          <cell r="P26">
            <v>9864.48</v>
          </cell>
          <cell r="Q26">
            <v>9.7693557827434265</v>
          </cell>
        </row>
        <row r="27">
          <cell r="A27" t="str">
            <v>e</v>
          </cell>
          <cell r="B27" t="str">
            <v>94-95</v>
          </cell>
          <cell r="C27" t="str">
            <v>%</v>
          </cell>
          <cell r="D27">
            <v>6.3955985380519014</v>
          </cell>
          <cell r="E27">
            <v>5.829559290259148</v>
          </cell>
          <cell r="F27">
            <v>5.4781122578512509</v>
          </cell>
          <cell r="G27">
            <v>6.4055165111673595</v>
          </cell>
          <cell r="H27">
            <v>7.398106058932755</v>
          </cell>
          <cell r="I27">
            <v>121.3</v>
          </cell>
          <cell r="J27">
            <v>10.99728014505893</v>
          </cell>
          <cell r="K27">
            <v>217</v>
          </cell>
          <cell r="N27">
            <v>1127339</v>
          </cell>
          <cell r="O27">
            <v>1.0220661831368993</v>
          </cell>
          <cell r="P27">
            <v>19357</v>
          </cell>
          <cell r="Q27">
            <v>17.5494106980961</v>
          </cell>
        </row>
        <row r="28">
          <cell r="A28">
            <v>9</v>
          </cell>
          <cell r="B28" t="str">
            <v>Total          Coal           Consumption</v>
          </cell>
          <cell r="C28" t="str">
            <v>1000MT</v>
          </cell>
          <cell r="D28">
            <v>9628</v>
          </cell>
          <cell r="E28">
            <v>10365</v>
          </cell>
          <cell r="F28">
            <v>10889.111999999999</v>
          </cell>
          <cell r="G28">
            <v>12127.994971999999</v>
          </cell>
          <cell r="H28">
            <v>13030.226000000001</v>
          </cell>
          <cell r="I28">
            <v>119.5</v>
          </cell>
          <cell r="J28">
            <v>10.722296994167788</v>
          </cell>
          <cell r="K28">
            <v>214</v>
          </cell>
          <cell r="N28">
            <v>1148422</v>
          </cell>
          <cell r="O28">
            <v>1.0304369672498879</v>
          </cell>
          <cell r="P28">
            <v>9390</v>
          </cell>
          <cell r="Q28">
            <v>8.4253028263795429</v>
          </cell>
        </row>
        <row r="29">
          <cell r="A29">
            <v>10</v>
          </cell>
          <cell r="B29" t="str">
            <v xml:space="preserve">COST OF  Coal consumed @ Rs 800 /MT </v>
          </cell>
          <cell r="C29" t="str">
            <v>Cr Rs.</v>
          </cell>
          <cell r="D29">
            <v>770.24</v>
          </cell>
          <cell r="E29">
            <v>829.2</v>
          </cell>
          <cell r="F29">
            <v>871.12896000000001</v>
          </cell>
          <cell r="G29">
            <v>970.23959775999992</v>
          </cell>
          <cell r="H29">
            <v>1042.4180799999999</v>
          </cell>
          <cell r="I29">
            <v>130.69999999999999</v>
          </cell>
          <cell r="J29">
            <v>10.363967964475457</v>
          </cell>
          <cell r="K29">
            <v>217</v>
          </cell>
          <cell r="N29">
            <v>1215835</v>
          </cell>
          <cell r="O29">
            <v>0.96410673221790499</v>
          </cell>
          <cell r="P29">
            <v>7474</v>
          </cell>
          <cell r="Q29">
            <v>5.9265720402822932</v>
          </cell>
        </row>
        <row r="30">
          <cell r="A30">
            <v>11</v>
          </cell>
          <cell r="B30" t="str">
            <v>Specific    Coal           Consumption</v>
          </cell>
          <cell r="C30" t="str">
            <v>Kg/Kwh</v>
          </cell>
          <cell r="D30">
            <v>0.83</v>
          </cell>
          <cell r="E30">
            <v>0.8</v>
          </cell>
          <cell r="F30">
            <v>0.81679632209152919</v>
          </cell>
          <cell r="G30">
            <v>0.82050145151015585</v>
          </cell>
          <cell r="H30">
            <v>0.81</v>
          </cell>
          <cell r="I30">
            <v>139.19800000000001</v>
          </cell>
          <cell r="J30">
            <v>10.294415643003468</v>
          </cell>
          <cell r="K30">
            <v>213</v>
          </cell>
          <cell r="N30">
            <v>1152800</v>
          </cell>
          <cell r="O30">
            <v>0.85255552186485428</v>
          </cell>
          <cell r="P30">
            <v>6231</v>
          </cell>
          <cell r="Q30">
            <v>4.6081483837091488</v>
          </cell>
        </row>
        <row r="31">
          <cell r="A31">
            <v>12</v>
          </cell>
          <cell r="B31" t="str">
            <v>Total          Fuel Oil     Consumption</v>
          </cell>
          <cell r="C31" t="str">
            <v>1000KL</v>
          </cell>
          <cell r="D31">
            <v>147</v>
          </cell>
          <cell r="E31">
            <v>178</v>
          </cell>
          <cell r="F31">
            <v>144.66900000000001</v>
          </cell>
          <cell r="G31">
            <v>185.24459685843499</v>
          </cell>
          <cell r="H31">
            <v>124.101</v>
          </cell>
          <cell r="I31">
            <v>104.9</v>
          </cell>
          <cell r="J31">
            <v>10.818224944826023</v>
          </cell>
          <cell r="K31">
            <v>205</v>
          </cell>
          <cell r="N31">
            <v>842753</v>
          </cell>
          <cell r="O31">
            <v>0.86912216653259911</v>
          </cell>
          <cell r="P31">
            <v>4062</v>
          </cell>
          <cell r="Q31">
            <v>4.1890972093311056</v>
          </cell>
        </row>
        <row r="32">
          <cell r="A32">
            <v>13</v>
          </cell>
          <cell r="B32" t="str">
            <v>COST OF  Fuel oil consumed  @ Rs 7500 per MT</v>
          </cell>
          <cell r="C32" t="str">
            <v>Cr Rs.</v>
          </cell>
          <cell r="D32">
            <v>110.25</v>
          </cell>
          <cell r="E32">
            <v>133.5</v>
          </cell>
          <cell r="F32">
            <v>108.50174999999999</v>
          </cell>
          <cell r="G32">
            <v>138.93344764382627</v>
          </cell>
          <cell r="H32">
            <v>93.075749999999999</v>
          </cell>
          <cell r="I32">
            <v>136.1</v>
          </cell>
          <cell r="J32">
            <v>10.1</v>
          </cell>
          <cell r="K32">
            <v>208</v>
          </cell>
          <cell r="N32">
            <v>1212963</v>
          </cell>
          <cell r="O32">
            <v>0.9</v>
          </cell>
          <cell r="P32">
            <v>5019</v>
          </cell>
          <cell r="Q32">
            <v>3.72</v>
          </cell>
        </row>
        <row r="33">
          <cell r="A33">
            <v>14</v>
          </cell>
          <cell r="B33" t="str">
            <v xml:space="preserve">Specific    Fuel Oil      Consumption </v>
          </cell>
          <cell r="C33" t="str">
            <v>ml/Kwh</v>
          </cell>
          <cell r="D33">
            <v>12.72</v>
          </cell>
          <cell r="E33">
            <v>14.43</v>
          </cell>
          <cell r="F33">
            <v>10.851675244102497</v>
          </cell>
          <cell r="G33">
            <v>12.532447528026529</v>
          </cell>
          <cell r="H33">
            <v>7.72</v>
          </cell>
          <cell r="I33">
            <v>128.52000000000001</v>
          </cell>
          <cell r="J33">
            <v>9.93</v>
          </cell>
          <cell r="K33">
            <v>206</v>
          </cell>
          <cell r="N33">
            <v>1151942</v>
          </cell>
          <cell r="O33">
            <v>0.89</v>
          </cell>
          <cell r="P33">
            <v>5085</v>
          </cell>
          <cell r="Q33">
            <v>3.93</v>
          </cell>
        </row>
        <row r="34">
          <cell r="A34">
            <v>15</v>
          </cell>
          <cell r="B34" t="str">
            <v>Cost of  Fuels  per  Kwh  Generated</v>
          </cell>
          <cell r="C34" t="str">
            <v>Paise</v>
          </cell>
          <cell r="D34">
            <v>76.035931163600438</v>
          </cell>
          <cell r="E34">
            <v>77.868189465510554</v>
          </cell>
          <cell r="F34">
            <v>73.482462200399212</v>
          </cell>
          <cell r="G34">
            <v>75.039451766832357</v>
          </cell>
          <cell r="H34">
            <v>70.653294838330311</v>
          </cell>
          <cell r="I34">
            <v>127.8836</v>
          </cell>
          <cell r="J34">
            <v>10.301321710460989</v>
          </cell>
          <cell r="K34">
            <v>209.8</v>
          </cell>
          <cell r="L34">
            <v>0</v>
          </cell>
          <cell r="M34">
            <v>0</v>
          </cell>
          <cell r="N34">
            <v>1115258.6000000001</v>
          </cell>
          <cell r="O34">
            <v>0.89515688412307171</v>
          </cell>
          <cell r="P34">
            <v>5574.2</v>
          </cell>
          <cell r="Q34">
            <v>4.4747635266645087</v>
          </cell>
        </row>
        <row r="35">
          <cell r="A35">
            <v>16</v>
          </cell>
          <cell r="B35" t="str">
            <v>Thermal  Auxiliary Consumption   Total</v>
          </cell>
          <cell r="C35" t="str">
            <v>MU</v>
          </cell>
          <cell r="D35">
            <v>1235.3499999999999</v>
          </cell>
          <cell r="E35">
            <v>1288.0999999999999</v>
          </cell>
          <cell r="F35">
            <v>1394.5</v>
          </cell>
          <cell r="G35">
            <v>1558.7317929999999</v>
          </cell>
          <cell r="H35">
            <v>1648.2</v>
          </cell>
          <cell r="I35">
            <v>0</v>
          </cell>
          <cell r="J35">
            <v>0</v>
          </cell>
          <cell r="K35" t="str">
            <v/>
          </cell>
          <cell r="L35" t="str">
            <v/>
          </cell>
          <cell r="M35" t="str">
            <v/>
          </cell>
          <cell r="N35">
            <v>1845307</v>
          </cell>
          <cell r="O35">
            <v>0.95352383412995734</v>
          </cell>
          <cell r="P35">
            <v>26429</v>
          </cell>
          <cell r="Q35">
            <v>13.656633509882445</v>
          </cell>
        </row>
        <row r="36">
          <cell r="A36">
            <v>17</v>
          </cell>
          <cell r="B36" t="str">
            <v>Thermal  Auxiliary Consumption   Percentage</v>
          </cell>
          <cell r="C36" t="str">
            <v>%</v>
          </cell>
          <cell r="D36">
            <v>10.67</v>
          </cell>
          <cell r="E36">
            <v>10.4</v>
          </cell>
          <cell r="F36">
            <v>10.449094587326698</v>
          </cell>
          <cell r="G36">
            <v>10.545367982294113</v>
          </cell>
          <cell r="H36">
            <v>10.255516804748822</v>
          </cell>
          <cell r="I36">
            <v>233</v>
          </cell>
          <cell r="J36">
            <v>10.171652085843506</v>
          </cell>
          <cell r="K36" t="str">
            <v/>
          </cell>
          <cell r="L36">
            <v>126109</v>
          </cell>
          <cell r="M36">
            <v>2052076</v>
          </cell>
          <cell r="N36">
            <v>2149604</v>
          </cell>
          <cell r="O36">
            <v>0.93841304765397171</v>
          </cell>
          <cell r="P36">
            <v>22882</v>
          </cell>
          <cell r="Q36">
            <v>9.9891735205266574</v>
          </cell>
        </row>
        <row r="37">
          <cell r="A37">
            <v>18</v>
          </cell>
          <cell r="B37" t="str">
            <v>Cost of  Fuels  per  Kwh  sent out</v>
          </cell>
          <cell r="C37" t="str">
            <v>Paise</v>
          </cell>
          <cell r="D37">
            <v>85.116152725536196</v>
          </cell>
          <cell r="E37">
            <v>86.924723027331581</v>
          </cell>
          <cell r="F37">
            <v>82.066811650173122</v>
          </cell>
          <cell r="G37">
            <v>83.885484825402543</v>
          </cell>
          <cell r="H37">
            <v>78.727173328988457</v>
          </cell>
          <cell r="I37">
            <v>239</v>
          </cell>
          <cell r="J37">
            <v>11.081282832357346</v>
          </cell>
          <cell r="K37">
            <v>0</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v>0</v>
          </cell>
          <cell r="L38">
            <v>106295</v>
          </cell>
          <cell r="M38">
            <v>1485028</v>
          </cell>
          <cell r="N38">
            <v>1448019</v>
          </cell>
          <cell r="O38">
            <v>0.98240047219734594</v>
          </cell>
          <cell r="P38">
            <v>20237</v>
          </cell>
          <cell r="Q38">
            <v>13.729680588347037</v>
          </cell>
        </row>
        <row r="39">
          <cell r="A39">
            <v>1</v>
          </cell>
          <cell r="B39" t="str">
            <v>In 1994-95 &amp;1999-2000specific oil consumption is more due to stablisation of both units of Sanjay Gandhi thermal Power Station.</v>
          </cell>
          <cell r="C39">
            <v>400</v>
          </cell>
          <cell r="D39">
            <v>1940</v>
          </cell>
          <cell r="E39">
            <v>1592.21</v>
          </cell>
          <cell r="F39">
            <v>82.072680412371128</v>
          </cell>
          <cell r="G39">
            <v>60.6</v>
          </cell>
          <cell r="H39">
            <v>45.439783105022833</v>
          </cell>
          <cell r="I39">
            <v>198.07</v>
          </cell>
          <cell r="J39">
            <v>12.439941967454041</v>
          </cell>
          <cell r="K39">
            <v>0</v>
          </cell>
          <cell r="L39">
            <v>138478</v>
          </cell>
          <cell r="M39">
            <v>1460489</v>
          </cell>
          <cell r="N39">
            <v>1582526</v>
          </cell>
          <cell r="O39">
            <v>0.99391788771581635</v>
          </cell>
          <cell r="P39">
            <v>21352</v>
          </cell>
          <cell r="Q39">
            <v>13.410291356039718</v>
          </cell>
        </row>
        <row r="40">
          <cell r="A40">
            <v>2</v>
          </cell>
          <cell r="B40" t="str">
            <v xml:space="preserve"> Heavy and unprcedented rains all over resulting in wet coal problems in thermal stations.</v>
          </cell>
          <cell r="C40">
            <v>400</v>
          </cell>
          <cell r="D40">
            <v>2050</v>
          </cell>
          <cell r="E40">
            <v>1735.9369999999999</v>
          </cell>
          <cell r="F40">
            <v>84.679853658536572</v>
          </cell>
          <cell r="G40">
            <v>64.925298630136979</v>
          </cell>
          <cell r="H40">
            <v>49.541581050228309</v>
          </cell>
          <cell r="I40">
            <v>209.68964199999999</v>
          </cell>
          <cell r="J40">
            <v>12.079334791527572</v>
          </cell>
          <cell r="K40">
            <v>0</v>
          </cell>
          <cell r="L40">
            <v>55118</v>
          </cell>
          <cell r="M40">
            <v>1778517</v>
          </cell>
          <cell r="N40">
            <v>1780809</v>
          </cell>
          <cell r="O40">
            <v>1.0258488643309061</v>
          </cell>
          <cell r="P40">
            <v>16460.55</v>
          </cell>
          <cell r="Q40">
            <v>9.482227753656959</v>
          </cell>
        </row>
        <row r="41">
          <cell r="A41">
            <v>3</v>
          </cell>
          <cell r="B41" t="str">
            <v>Considering SGTPS # 1 wef :  01.01.95  , # 2 wef : 01.04.95 ,.# 3 w.e.f : 01.09.99&amp; # 4 w.e.f : 01.04.2000.</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Considering  Cost of Coal &amp; Fuel oil same for all the  years for comparision purpose .                                         .</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Totals  may  not  tally  due  to  rounding  off.</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 xml:space="preserve"> </v>
          </cell>
          <cell r="B48" t="str">
            <v>P A R T I C U L A R S</v>
          </cell>
          <cell r="D48" t="str">
            <v>96-97</v>
          </cell>
          <cell r="E48" t="str">
            <v>97-98</v>
          </cell>
          <cell r="F48" t="str">
            <v>98-99</v>
          </cell>
          <cell r="G48" t="str">
            <v>99-00</v>
          </cell>
          <cell r="H48" t="str">
            <v>00-01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v>1</v>
          </cell>
          <cell r="B49" t="str">
            <v>Thermal  Generation (Including 100 % Satpura )</v>
          </cell>
          <cell r="C49" t="str">
            <v>MU</v>
          </cell>
          <cell r="D49">
            <v>16866.97</v>
          </cell>
          <cell r="E49">
            <v>17966.7</v>
          </cell>
          <cell r="F49">
            <v>18471.39</v>
          </cell>
          <cell r="G49">
            <v>20146.419999999998</v>
          </cell>
          <cell r="H49">
            <v>20415.89</v>
          </cell>
        </row>
        <row r="50">
          <cell r="A50">
            <v>2</v>
          </cell>
          <cell r="B50" t="str">
            <v xml:space="preserve">Plan Target    </v>
          </cell>
          <cell r="C50" t="str">
            <v>MU</v>
          </cell>
          <cell r="D50">
            <v>16950</v>
          </cell>
          <cell r="E50">
            <v>17200</v>
          </cell>
          <cell r="F50">
            <v>17500</v>
          </cell>
          <cell r="G50">
            <v>19010</v>
          </cell>
          <cell r="H50">
            <v>21860</v>
          </cell>
        </row>
        <row r="51">
          <cell r="A51">
            <v>3</v>
          </cell>
          <cell r="B51" t="str">
            <v>ACHIEVEMENT Percentage of ( 2 )</v>
          </cell>
          <cell r="C51" t="str">
            <v>%</v>
          </cell>
          <cell r="D51">
            <v>99.510147492625364</v>
          </cell>
          <cell r="E51">
            <v>104.45755813953488</v>
          </cell>
          <cell r="F51">
            <v>105.5508</v>
          </cell>
          <cell r="G51">
            <v>105.97801157285637</v>
          </cell>
          <cell r="H51">
            <v>93.393824336688013</v>
          </cell>
          <cell r="I51" t="str">
            <v>AUXILIARY CONSUMPTION</v>
          </cell>
          <cell r="K51" t="str">
            <v>MAXIMUM DEMAND</v>
          </cell>
          <cell r="L51" t="str">
            <v>COAL IN MT</v>
          </cell>
          <cell r="N51" t="str">
            <v>COAL CONSUMED</v>
          </cell>
          <cell r="P51" t="str">
            <v>FUEL OIL CONSUMPTION</v>
          </cell>
        </row>
        <row r="52">
          <cell r="A52">
            <v>4</v>
          </cell>
          <cell r="B52" t="str">
            <v>Plant    Utilisation    Factor            **</v>
          </cell>
          <cell r="C52" t="str">
            <v>%</v>
          </cell>
          <cell r="D52">
            <v>62.26</v>
          </cell>
          <cell r="E52">
            <v>66.319999999999993</v>
          </cell>
          <cell r="F52">
            <v>68.180000000000007</v>
          </cell>
          <cell r="G52">
            <v>69.42</v>
          </cell>
          <cell r="H52">
            <v>66.349999999999994</v>
          </cell>
          <cell r="I52" t="str">
            <v>MKwh</v>
          </cell>
          <cell r="J52" t="str">
            <v>%</v>
          </cell>
          <cell r="K52" t="str">
            <v>MW</v>
          </cell>
          <cell r="L52" t="str">
            <v>OP.STOCK</v>
          </cell>
          <cell r="M52" t="str">
            <v>RECIEPT</v>
          </cell>
          <cell r="N52" t="str">
            <v>MT</v>
          </cell>
          <cell r="O52" t="str">
            <v>Kg/kWH</v>
          </cell>
          <cell r="P52" t="str">
            <v>KL</v>
          </cell>
          <cell r="Q52" t="str">
            <v>ml/KWH</v>
          </cell>
        </row>
        <row r="53">
          <cell r="A53">
            <v>5</v>
          </cell>
          <cell r="B53" t="str">
            <v>Plant    Availibility   Factor              **</v>
          </cell>
          <cell r="C53" t="str">
            <v>%</v>
          </cell>
          <cell r="D53">
            <v>74.900000000000006</v>
          </cell>
          <cell r="E53">
            <v>76.290000000000006</v>
          </cell>
          <cell r="F53">
            <v>77.22</v>
          </cell>
          <cell r="G53">
            <v>79.09</v>
          </cell>
          <cell r="H53">
            <v>77.67</v>
          </cell>
          <cell r="I53">
            <v>0</v>
          </cell>
          <cell r="J53">
            <v>0</v>
          </cell>
          <cell r="K53">
            <v>420</v>
          </cell>
          <cell r="N53">
            <v>1641352</v>
          </cell>
          <cell r="O53">
            <v>0.79512466876910481</v>
          </cell>
          <cell r="P53">
            <v>8572</v>
          </cell>
          <cell r="Q53">
            <v>4.1525575627219311</v>
          </cell>
        </row>
        <row r="54">
          <cell r="A54">
            <v>6</v>
          </cell>
          <cell r="B54" t="str">
            <v>Partial  Unavailability Factor         **</v>
          </cell>
          <cell r="C54" t="str">
            <v>%</v>
          </cell>
          <cell r="D54">
            <v>12.64</v>
          </cell>
          <cell r="E54">
            <v>9.9700000000000006</v>
          </cell>
          <cell r="F54">
            <v>9.0399999999999991</v>
          </cell>
          <cell r="G54">
            <v>9.67</v>
          </cell>
          <cell r="H54">
            <v>11.32</v>
          </cell>
          <cell r="I54">
            <v>205</v>
          </cell>
          <cell r="J54">
            <v>8.6503730209634409</v>
          </cell>
          <cell r="K54">
            <v>430</v>
          </cell>
          <cell r="N54">
            <v>1805424</v>
          </cell>
          <cell r="O54">
            <v>0.76183371029267799</v>
          </cell>
          <cell r="P54">
            <v>10037</v>
          </cell>
          <cell r="Q54">
            <v>4.2353070249468319</v>
          </cell>
        </row>
        <row r="55">
          <cell r="A55" t="str">
            <v>a</v>
          </cell>
          <cell r="B55" t="str">
            <v>Main Boiler</v>
          </cell>
          <cell r="C55" t="str">
            <v>%</v>
          </cell>
          <cell r="D55">
            <v>1.4</v>
          </cell>
          <cell r="E55">
            <v>1.17</v>
          </cell>
          <cell r="F55">
            <v>1.91</v>
          </cell>
          <cell r="G55">
            <v>2.62</v>
          </cell>
          <cell r="H55">
            <v>4061.5740000000001</v>
          </cell>
          <cell r="I55">
            <v>212.26</v>
          </cell>
          <cell r="J55">
            <v>9.2593723553686562</v>
          </cell>
          <cell r="K55">
            <v>435</v>
          </cell>
          <cell r="N55">
            <v>1619831</v>
          </cell>
          <cell r="O55">
            <v>0.70661539535330098</v>
          </cell>
          <cell r="P55">
            <v>11371</v>
          </cell>
          <cell r="Q55">
            <v>4.9603468883867423</v>
          </cell>
        </row>
        <row r="56">
          <cell r="A56" t="str">
            <v>b</v>
          </cell>
          <cell r="B56" t="str">
            <v>Boiler Auxiliaries(Mainly Mills)</v>
          </cell>
          <cell r="C56" t="str">
            <v>%</v>
          </cell>
          <cell r="D56">
            <v>4.9000000000000004</v>
          </cell>
          <cell r="E56">
            <v>3.07</v>
          </cell>
          <cell r="F56">
            <v>1.57</v>
          </cell>
          <cell r="G56">
            <v>1.89</v>
          </cell>
          <cell r="H56">
            <v>25</v>
          </cell>
          <cell r="I56">
            <v>255</v>
          </cell>
          <cell r="J56">
            <v>9.7792197333149247</v>
          </cell>
          <cell r="K56">
            <v>415</v>
          </cell>
          <cell r="N56">
            <v>1954298</v>
          </cell>
          <cell r="O56">
            <v>0.74947096338736829</v>
          </cell>
          <cell r="P56">
            <v>14148</v>
          </cell>
          <cell r="Q56">
            <v>5.4257412073309625</v>
          </cell>
        </row>
        <row r="57">
          <cell r="A57" t="str">
            <v>c</v>
          </cell>
          <cell r="B57" t="str">
            <v>Turbine</v>
          </cell>
          <cell r="C57" t="str">
            <v>%</v>
          </cell>
          <cell r="D57">
            <v>1.1000000000000001</v>
          </cell>
          <cell r="E57">
            <v>0.98</v>
          </cell>
          <cell r="F57">
            <v>1.42</v>
          </cell>
          <cell r="G57">
            <v>1.06</v>
          </cell>
          <cell r="H57">
            <v>13.2</v>
          </cell>
          <cell r="I57">
            <v>224.43</v>
          </cell>
          <cell r="J57">
            <v>9.3276587962943722</v>
          </cell>
          <cell r="K57">
            <v>425</v>
          </cell>
          <cell r="N57">
            <v>1700511</v>
          </cell>
          <cell r="O57">
            <v>0.70675873935504785</v>
          </cell>
          <cell r="P57">
            <v>12383</v>
          </cell>
          <cell r="Q57">
            <v>5.1465668081144766</v>
          </cell>
        </row>
        <row r="58">
          <cell r="A58" t="str">
            <v>d</v>
          </cell>
          <cell r="B58" t="str">
            <v>Turbine Auxiliaries</v>
          </cell>
          <cell r="C58" t="str">
            <v>%</v>
          </cell>
          <cell r="D58">
            <v>0.9</v>
          </cell>
          <cell r="E58">
            <v>0.49</v>
          </cell>
          <cell r="F58">
            <v>0.42</v>
          </cell>
          <cell r="G58">
            <v>0.63</v>
          </cell>
          <cell r="H58">
            <v>2808.83</v>
          </cell>
          <cell r="I58">
            <v>254.25299999999999</v>
          </cell>
          <cell r="J58">
            <v>10.150225557906502</v>
          </cell>
          <cell r="K58">
            <v>440</v>
          </cell>
          <cell r="N58">
            <v>1734277</v>
          </cell>
          <cell r="O58">
            <v>0.69235378657830648</v>
          </cell>
          <cell r="P58">
            <v>10457.49</v>
          </cell>
          <cell r="Q58">
            <v>4.1748133658030255</v>
          </cell>
        </row>
        <row r="59">
          <cell r="A59" t="str">
            <v>e</v>
          </cell>
          <cell r="B59" t="str">
            <v>Generator</v>
          </cell>
          <cell r="C59" t="str">
            <v>%</v>
          </cell>
          <cell r="D59">
            <v>0.3</v>
          </cell>
          <cell r="E59">
            <v>0.27</v>
          </cell>
          <cell r="F59">
            <v>0.2</v>
          </cell>
          <cell r="G59">
            <v>0.48</v>
          </cell>
          <cell r="H59">
            <v>669</v>
          </cell>
          <cell r="I59">
            <v>253</v>
          </cell>
          <cell r="J59">
            <v>10.616869492236676</v>
          </cell>
          <cell r="K59">
            <v>420</v>
          </cell>
          <cell r="N59">
            <v>1601918</v>
          </cell>
          <cell r="O59">
            <v>0.6722274443978179</v>
          </cell>
          <cell r="P59">
            <v>12273</v>
          </cell>
          <cell r="Q59">
            <v>5.150230801510701</v>
          </cell>
        </row>
        <row r="60">
          <cell r="A60" t="str">
            <v>f</v>
          </cell>
          <cell r="B60" t="str">
            <v>Electrical</v>
          </cell>
          <cell r="C60" t="str">
            <v>%</v>
          </cell>
          <cell r="D60">
            <v>0.8</v>
          </cell>
          <cell r="E60">
            <v>1.96</v>
          </cell>
          <cell r="F60">
            <v>2.1</v>
          </cell>
          <cell r="G60">
            <v>0.81</v>
          </cell>
          <cell r="H60">
            <v>9.1300000000000008</v>
          </cell>
          <cell r="I60">
            <v>267.8</v>
          </cell>
          <cell r="J60">
            <v>10.159332321699544</v>
          </cell>
          <cell r="K60">
            <v>420</v>
          </cell>
          <cell r="N60">
            <v>1807464</v>
          </cell>
          <cell r="O60">
            <v>0.68568437025796658</v>
          </cell>
          <cell r="P60">
            <v>8827</v>
          </cell>
          <cell r="Q60">
            <v>3.3486342943854326</v>
          </cell>
        </row>
        <row r="61">
          <cell r="A61" t="str">
            <v>g</v>
          </cell>
          <cell r="B61" t="str">
            <v>Coal related (Quality ,Quantity ,Handling ,wet coal)</v>
          </cell>
          <cell r="C61" t="str">
            <v>%</v>
          </cell>
          <cell r="D61">
            <v>3.3</v>
          </cell>
          <cell r="E61">
            <v>2.4900000000000002</v>
          </cell>
          <cell r="F61">
            <v>1.19</v>
          </cell>
          <cell r="G61">
            <v>1.6</v>
          </cell>
          <cell r="H61">
            <v>1426.91</v>
          </cell>
          <cell r="I61">
            <v>250.7</v>
          </cell>
          <cell r="J61">
            <v>9.2423963133640559</v>
          </cell>
          <cell r="K61">
            <v>440</v>
          </cell>
          <cell r="N61">
            <v>1843079</v>
          </cell>
          <cell r="O61">
            <v>0.67947612903225807</v>
          </cell>
          <cell r="P61">
            <v>9072</v>
          </cell>
          <cell r="Q61">
            <v>3.3445161290322583</v>
          </cell>
        </row>
        <row r="62">
          <cell r="A62" t="str">
            <v>h</v>
          </cell>
          <cell r="B62" t="str">
            <v>Others</v>
          </cell>
          <cell r="C62" t="str">
            <v>%</v>
          </cell>
          <cell r="D62">
            <v>0.1</v>
          </cell>
          <cell r="E62">
            <v>0</v>
          </cell>
          <cell r="F62">
            <v>0</v>
          </cell>
          <cell r="G62">
            <v>0.2</v>
          </cell>
          <cell r="H62">
            <v>157</v>
          </cell>
          <cell r="I62">
            <v>268.755</v>
          </cell>
          <cell r="J62">
            <v>9.7471765448307366</v>
          </cell>
          <cell r="K62">
            <v>435</v>
          </cell>
          <cell r="N62">
            <v>1910941</v>
          </cell>
          <cell r="O62">
            <v>0.69305796334041769</v>
          </cell>
          <cell r="P62">
            <v>6239</v>
          </cell>
          <cell r="Q62">
            <v>2.2627536032147857</v>
          </cell>
        </row>
        <row r="63">
          <cell r="A63">
            <v>7</v>
          </cell>
          <cell r="B63" t="str">
            <v xml:space="preserve">Planned  Outage         Rate          </v>
          </cell>
          <cell r="C63" t="str">
            <v>MU</v>
          </cell>
          <cell r="D63">
            <v>4231.29</v>
          </cell>
          <cell r="E63">
            <v>3432.3410099999996</v>
          </cell>
          <cell r="F63">
            <v>3544</v>
          </cell>
          <cell r="G63">
            <v>3784.7</v>
          </cell>
          <cell r="H63">
            <v>4061.5740000000001</v>
          </cell>
          <cell r="I63">
            <v>266.60000000000002</v>
          </cell>
          <cell r="J63">
            <v>9.7890543244781458</v>
          </cell>
          <cell r="K63">
            <v>430</v>
          </cell>
          <cell r="N63">
            <v>2064016</v>
          </cell>
          <cell r="O63">
            <v>0.75786814518349888</v>
          </cell>
          <cell r="P63">
            <v>5152</v>
          </cell>
          <cell r="Q63">
            <v>1.8917182250454387</v>
          </cell>
        </row>
        <row r="64">
          <cell r="A64" t="str">
            <v>a</v>
          </cell>
          <cell r="B64" t="str">
            <v>99-00</v>
          </cell>
          <cell r="C64" t="str">
            <v>No</v>
          </cell>
          <cell r="D64">
            <v>24</v>
          </cell>
          <cell r="E64">
            <v>24</v>
          </cell>
          <cell r="F64">
            <v>20</v>
          </cell>
          <cell r="G64">
            <v>24</v>
          </cell>
          <cell r="H64">
            <v>24</v>
          </cell>
          <cell r="I64">
            <v>260.7</v>
          </cell>
          <cell r="J64">
            <v>10</v>
          </cell>
          <cell r="K64">
            <v>420</v>
          </cell>
          <cell r="N64">
            <v>2054539</v>
          </cell>
          <cell r="O64">
            <v>0.79</v>
          </cell>
          <cell r="P64">
            <v>3915</v>
          </cell>
          <cell r="Q64">
            <v>1.5</v>
          </cell>
        </row>
        <row r="65">
          <cell r="A65" t="str">
            <v>b</v>
          </cell>
          <cell r="B65" t="str">
            <v xml:space="preserve">                                                       **</v>
          </cell>
          <cell r="C65" t="str">
            <v>%</v>
          </cell>
          <cell r="D65">
            <v>15.62</v>
          </cell>
          <cell r="E65">
            <v>12.67</v>
          </cell>
          <cell r="F65">
            <v>13.08</v>
          </cell>
          <cell r="G65">
            <v>13.05</v>
          </cell>
          <cell r="H65">
            <v>13.2</v>
          </cell>
          <cell r="I65">
            <v>267.75</v>
          </cell>
          <cell r="J65">
            <v>9.59</v>
          </cell>
          <cell r="K65">
            <v>420</v>
          </cell>
          <cell r="N65">
            <v>2056216</v>
          </cell>
          <cell r="O65">
            <v>0.73599999999999999</v>
          </cell>
          <cell r="P65">
            <v>3523</v>
          </cell>
          <cell r="Q65">
            <v>1.26</v>
          </cell>
        </row>
        <row r="66">
          <cell r="A66">
            <v>8</v>
          </cell>
          <cell r="B66" t="str">
            <v xml:space="preserve">Forced   Outage   </v>
          </cell>
          <cell r="C66" t="str">
            <v>MU</v>
          </cell>
          <cell r="D66">
            <v>2568.61</v>
          </cell>
          <cell r="E66">
            <v>2988.0600899999995</v>
          </cell>
          <cell r="F66">
            <v>2626.63</v>
          </cell>
          <cell r="G66">
            <v>2200.5</v>
          </cell>
          <cell r="H66">
            <v>4061.5740000000001</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a</v>
          </cell>
          <cell r="B67" t="str">
            <v>88-89</v>
          </cell>
          <cell r="C67" t="str">
            <v>No</v>
          </cell>
          <cell r="D67">
            <v>679</v>
          </cell>
          <cell r="E67">
            <v>662</v>
          </cell>
          <cell r="F67">
            <v>618</v>
          </cell>
          <cell r="G67">
            <v>570</v>
          </cell>
          <cell r="H67">
            <v>669</v>
          </cell>
          <cell r="I67">
            <v>0</v>
          </cell>
          <cell r="J67">
            <v>0</v>
          </cell>
          <cell r="K67">
            <v>405</v>
          </cell>
          <cell r="N67">
            <v>1243803</v>
          </cell>
          <cell r="O67">
            <v>0.79908707188425532</v>
          </cell>
          <cell r="P67">
            <v>10940</v>
          </cell>
          <cell r="Q67">
            <v>7.0284543182592047</v>
          </cell>
        </row>
        <row r="68">
          <cell r="A68" t="str">
            <v>b</v>
          </cell>
          <cell r="B68" t="str">
            <v xml:space="preserve">                                                      **</v>
          </cell>
          <cell r="C68" t="str">
            <v>%</v>
          </cell>
          <cell r="D68">
            <v>9.48</v>
          </cell>
          <cell r="E68">
            <v>11.03</v>
          </cell>
          <cell r="F68">
            <v>9.69</v>
          </cell>
          <cell r="G68">
            <v>7.84</v>
          </cell>
          <cell r="H68">
            <v>9.1300000000000008</v>
          </cell>
          <cell r="I68">
            <v>149</v>
          </cell>
          <cell r="J68">
            <v>8.8501882892407853</v>
          </cell>
          <cell r="K68">
            <v>420</v>
          </cell>
          <cell r="N68">
            <v>1297045</v>
          </cell>
          <cell r="O68">
            <v>0.77040889057841033</v>
          </cell>
          <cell r="P68">
            <v>6352</v>
          </cell>
          <cell r="Q68">
            <v>3.7729124841112394</v>
          </cell>
        </row>
        <row r="69">
          <cell r="A69" t="str">
            <v>c</v>
          </cell>
          <cell r="B69" t="str">
            <v>Boiler Tube Leakages</v>
          </cell>
          <cell r="C69" t="str">
            <v>MU</v>
          </cell>
          <cell r="D69">
            <v>1719</v>
          </cell>
          <cell r="E69">
            <v>1560.40128</v>
          </cell>
          <cell r="F69">
            <v>1408.83</v>
          </cell>
          <cell r="G69">
            <v>1466.97</v>
          </cell>
          <cell r="H69">
            <v>1426.91</v>
          </cell>
          <cell r="I69">
            <v>260.75</v>
          </cell>
          <cell r="J69">
            <v>9.4181854958137379</v>
          </cell>
          <cell r="K69">
            <v>420</v>
          </cell>
          <cell r="N69">
            <v>1963008</v>
          </cell>
          <cell r="O69">
            <v>0.70903062219621615</v>
          </cell>
          <cell r="P69">
            <v>7928</v>
          </cell>
          <cell r="Q69">
            <v>2.8635618259179796</v>
          </cell>
        </row>
        <row r="70">
          <cell r="A70" t="str">
            <v>d</v>
          </cell>
          <cell r="B70" t="str">
            <v>91-92</v>
          </cell>
          <cell r="C70" t="str">
            <v>No</v>
          </cell>
          <cell r="D70">
            <v>185</v>
          </cell>
          <cell r="E70">
            <v>197</v>
          </cell>
          <cell r="F70">
            <v>191</v>
          </cell>
          <cell r="G70">
            <v>184</v>
          </cell>
          <cell r="H70">
            <v>157</v>
          </cell>
          <cell r="I70">
            <v>189.16</v>
          </cell>
          <cell r="J70">
            <v>9.2642384527605142</v>
          </cell>
          <cell r="K70">
            <v>420</v>
          </cell>
          <cell r="N70">
            <v>1514144</v>
          </cell>
          <cell r="O70">
            <v>0.7415622260423248</v>
          </cell>
          <cell r="P70">
            <v>10879</v>
          </cell>
          <cell r="Q70">
            <v>5.3280635508343011</v>
          </cell>
        </row>
        <row r="71">
          <cell r="A71" t="str">
            <v>e</v>
          </cell>
          <cell r="B71" t="str">
            <v>92-93</v>
          </cell>
          <cell r="C71" t="str">
            <v>%</v>
          </cell>
          <cell r="D71">
            <v>6.34</v>
          </cell>
          <cell r="E71">
            <v>5.76</v>
          </cell>
          <cell r="F71">
            <v>5.2</v>
          </cell>
          <cell r="G71">
            <v>5.4</v>
          </cell>
          <cell r="H71">
            <v>4.6399999999999997</v>
          </cell>
          <cell r="I71">
            <v>229.96</v>
          </cell>
          <cell r="J71">
            <v>9.3963241723667323</v>
          </cell>
          <cell r="K71">
            <v>420</v>
          </cell>
          <cell r="N71">
            <v>1717518</v>
          </cell>
          <cell r="O71">
            <v>0.7017896982029469</v>
          </cell>
          <cell r="P71">
            <v>12666</v>
          </cell>
          <cell r="Q71">
            <v>5.1754149403025318</v>
          </cell>
        </row>
        <row r="72">
          <cell r="A72">
            <v>9</v>
          </cell>
          <cell r="B72" t="str">
            <v>Total          Coal           Consumption</v>
          </cell>
          <cell r="C72" t="str">
            <v>1000MT</v>
          </cell>
          <cell r="D72">
            <v>13482.3</v>
          </cell>
          <cell r="E72">
            <v>14265.226000000001</v>
          </cell>
          <cell r="F72">
            <v>14547.769</v>
          </cell>
          <cell r="G72">
            <v>15648.859</v>
          </cell>
          <cell r="H72">
            <v>16020.288</v>
          </cell>
          <cell r="I72">
            <v>241.17</v>
          </cell>
          <cell r="J72">
            <v>9.9037833709083287</v>
          </cell>
          <cell r="K72">
            <v>425</v>
          </cell>
          <cell r="N72">
            <v>1694854</v>
          </cell>
          <cell r="O72">
            <v>0.69600144550804266</v>
          </cell>
          <cell r="P72">
            <v>12366.135</v>
          </cell>
          <cell r="Q72">
            <v>5.0782237498614036</v>
          </cell>
        </row>
        <row r="73">
          <cell r="A73">
            <v>10</v>
          </cell>
          <cell r="B73" t="str">
            <v xml:space="preserve">COST OF  Coal consumed @ Rs 800 /MT </v>
          </cell>
          <cell r="C73" t="str">
            <v>Cr Rs.</v>
          </cell>
          <cell r="D73">
            <v>1078.5840000000001</v>
          </cell>
          <cell r="E73">
            <v>1141.2180800000001</v>
          </cell>
          <cell r="F73">
            <v>1163.82152</v>
          </cell>
          <cell r="G73">
            <v>1251.9087200000001</v>
          </cell>
          <cell r="H73">
            <v>1281.6230399999999</v>
          </cell>
          <cell r="I73">
            <v>207</v>
          </cell>
          <cell r="J73">
            <v>9.9903474903474905</v>
          </cell>
          <cell r="K73">
            <v>420</v>
          </cell>
          <cell r="N73">
            <v>1388587</v>
          </cell>
          <cell r="O73">
            <v>0.6701674710424711</v>
          </cell>
          <cell r="P73">
            <v>9236</v>
          </cell>
          <cell r="Q73">
            <v>4.4575289575289574</v>
          </cell>
        </row>
        <row r="74">
          <cell r="A74">
            <v>11</v>
          </cell>
          <cell r="B74" t="str">
            <v>Specific    Coal           Consumption</v>
          </cell>
          <cell r="C74" t="str">
            <v>Kg/Kwh</v>
          </cell>
          <cell r="D74">
            <v>0.8</v>
          </cell>
          <cell r="E74">
            <v>0.79</v>
          </cell>
          <cell r="F74">
            <v>0.79</v>
          </cell>
          <cell r="G74">
            <v>0.78</v>
          </cell>
          <cell r="H74">
            <v>0.78</v>
          </cell>
          <cell r="I74">
            <v>200</v>
          </cell>
          <cell r="J74">
            <v>9.8775187672856575</v>
          </cell>
          <cell r="K74">
            <v>420</v>
          </cell>
          <cell r="N74">
            <v>1377039</v>
          </cell>
          <cell r="O74">
            <v>0.68008642828921373</v>
          </cell>
          <cell r="P74">
            <v>6316</v>
          </cell>
          <cell r="Q74">
            <v>3.1193204267088106</v>
          </cell>
        </row>
        <row r="75">
          <cell r="A75">
            <v>12</v>
          </cell>
          <cell r="B75" t="str">
            <v>Total          Fuel Oil     Consumption</v>
          </cell>
          <cell r="C75" t="str">
            <v>1000KL</v>
          </cell>
          <cell r="D75">
            <v>86.83</v>
          </cell>
          <cell r="E75">
            <v>66.355000000000004</v>
          </cell>
          <cell r="F75">
            <v>51.347000000000001</v>
          </cell>
          <cell r="G75">
            <v>58.731999999999999</v>
          </cell>
          <cell r="H75">
            <v>65.579260000000005</v>
          </cell>
          <cell r="I75">
            <v>221.2</v>
          </cell>
          <cell r="J75">
            <v>10.051804053439971</v>
          </cell>
          <cell r="K75">
            <v>415</v>
          </cell>
          <cell r="N75">
            <v>1498328</v>
          </cell>
          <cell r="O75">
            <v>0.68087248932109423</v>
          </cell>
          <cell r="P75">
            <v>8360</v>
          </cell>
          <cell r="Q75">
            <v>3.7989639189312006</v>
          </cell>
        </row>
        <row r="76">
          <cell r="A76">
            <v>13</v>
          </cell>
          <cell r="B76" t="str">
            <v>COST OF  Fuel oil consumed  @ Rs 7500 per MT</v>
          </cell>
          <cell r="C76" t="str">
            <v>Cr Rs.</v>
          </cell>
          <cell r="D76">
            <v>65.122500000000002</v>
          </cell>
          <cell r="E76">
            <v>49.766250000000007</v>
          </cell>
          <cell r="F76">
            <v>38.510250000000006</v>
          </cell>
          <cell r="G76">
            <v>44.048999999999999</v>
          </cell>
          <cell r="H76">
            <v>49.184445000000004</v>
          </cell>
          <cell r="I76">
            <v>227.755</v>
          </cell>
          <cell r="J76">
            <v>10.015787436894229</v>
          </cell>
          <cell r="K76">
            <v>440</v>
          </cell>
          <cell r="N76">
            <v>1574060</v>
          </cell>
          <cell r="O76">
            <v>0.69221094478354939</v>
          </cell>
          <cell r="P76">
            <v>5914</v>
          </cell>
          <cell r="Q76">
            <v>2.6007493535506341</v>
          </cell>
        </row>
        <row r="77">
          <cell r="A77">
            <v>14</v>
          </cell>
          <cell r="B77" t="str">
            <v xml:space="preserve">Specific    Fuel Oil      Consumption </v>
          </cell>
          <cell r="C77" t="str">
            <v>ml/Kwh</v>
          </cell>
          <cell r="D77">
            <v>5.15</v>
          </cell>
          <cell r="E77">
            <v>3.69</v>
          </cell>
          <cell r="F77">
            <v>2.78</v>
          </cell>
          <cell r="G77">
            <v>2.29</v>
          </cell>
          <cell r="H77">
            <v>3.22</v>
          </cell>
          <cell r="I77">
            <v>265</v>
          </cell>
          <cell r="J77">
            <v>10.213048036011594</v>
          </cell>
          <cell r="K77">
            <v>420</v>
          </cell>
          <cell r="N77">
            <v>1991333</v>
          </cell>
          <cell r="O77">
            <v>0.76745583338471979</v>
          </cell>
          <cell r="P77">
            <v>3723</v>
          </cell>
          <cell r="Q77">
            <v>1.4348368995498553</v>
          </cell>
        </row>
        <row r="78">
          <cell r="A78">
            <v>15</v>
          </cell>
          <cell r="B78" t="str">
            <v>Cost of  Fuels  per  Kwh  Generated</v>
          </cell>
          <cell r="C78" t="str">
            <v>Paise</v>
          </cell>
          <cell r="D78">
            <v>67.807466308412231</v>
          </cell>
          <cell r="E78">
            <v>66.288429706067333</v>
          </cell>
          <cell r="F78">
            <v>65.091569719441793</v>
          </cell>
          <cell r="G78">
            <v>64.326948410685389</v>
          </cell>
          <cell r="H78">
            <v>65.184887114889449</v>
          </cell>
          <cell r="I78">
            <v>228</v>
          </cell>
          <cell r="J78">
            <v>9.5</v>
          </cell>
          <cell r="K78">
            <v>415</v>
          </cell>
          <cell r="N78">
            <v>1887370</v>
          </cell>
          <cell r="O78">
            <v>0.79</v>
          </cell>
          <cell r="P78">
            <v>3313</v>
          </cell>
          <cell r="Q78">
            <v>1.38</v>
          </cell>
        </row>
        <row r="79">
          <cell r="A79">
            <v>16</v>
          </cell>
          <cell r="B79" t="str">
            <v>Thermal  Auxiliary Consumption   Total</v>
          </cell>
          <cell r="C79" t="str">
            <v>MU</v>
          </cell>
          <cell r="D79">
            <v>1650.79</v>
          </cell>
          <cell r="E79">
            <v>1766.22</v>
          </cell>
          <cell r="F79">
            <v>1783.99</v>
          </cell>
          <cell r="G79">
            <v>1952.78</v>
          </cell>
          <cell r="H79">
            <v>1982.05</v>
          </cell>
          <cell r="I79">
            <v>216.61</v>
          </cell>
          <cell r="J79">
            <v>10.01</v>
          </cell>
          <cell r="K79">
            <v>410</v>
          </cell>
          <cell r="N79">
            <v>1588622</v>
          </cell>
          <cell r="O79">
            <v>0.73399999999999999</v>
          </cell>
          <cell r="P79">
            <v>3183</v>
          </cell>
          <cell r="Q79">
            <v>1.47</v>
          </cell>
        </row>
        <row r="80">
          <cell r="A80">
            <v>17</v>
          </cell>
          <cell r="B80" t="str">
            <v>Thermal  Auxiliary Consumption   Percentage</v>
          </cell>
          <cell r="C80" t="str">
            <v>%</v>
          </cell>
          <cell r="D80">
            <v>9.7871164767590138</v>
          </cell>
          <cell r="E80">
            <v>9.8305197949539984</v>
          </cell>
          <cell r="F80">
            <v>9.66</v>
          </cell>
          <cell r="G80">
            <v>9.69</v>
          </cell>
          <cell r="H80">
            <v>9.7100000000000009</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v>18</v>
          </cell>
          <cell r="B81" t="str">
            <v>Cost of  Fuels  per  Kwh  sent out</v>
          </cell>
          <cell r="C81" t="str">
            <v>Paise</v>
          </cell>
          <cell r="D81">
            <v>75.163838755850691</v>
          </cell>
          <cell r="E81">
            <v>73.515373001293781</v>
          </cell>
          <cell r="F81">
            <v>72.050275657082594</v>
          </cell>
          <cell r="G81">
            <v>71.231359969747686</v>
          </cell>
          <cell r="H81">
            <v>72.193720082196648</v>
          </cell>
          <cell r="I81">
            <v>0</v>
          </cell>
          <cell r="J81">
            <v>0</v>
          </cell>
          <cell r="K81">
            <v>0</v>
          </cell>
          <cell r="L81">
            <v>0</v>
          </cell>
          <cell r="M81">
            <v>0</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v>0</v>
          </cell>
          <cell r="L82">
            <v>159088</v>
          </cell>
          <cell r="M82">
            <v>3250742</v>
          </cell>
          <cell r="N82">
            <v>3102469</v>
          </cell>
          <cell r="O82">
            <v>0.76539539450636751</v>
          </cell>
          <cell r="P82">
            <v>16389</v>
          </cell>
          <cell r="Q82">
            <v>4.0432523646698346</v>
          </cell>
        </row>
        <row r="83">
          <cell r="A83">
            <v>1</v>
          </cell>
          <cell r="B83" t="str">
            <v>In 1994-95 &amp;1999-2000specific oil consumption is more due to stablisation of both units of Sanjay Gandhi thermal Power Station.</v>
          </cell>
          <cell r="C83">
            <v>840</v>
          </cell>
          <cell r="D83">
            <v>4400</v>
          </cell>
          <cell r="E83">
            <v>5060.96</v>
          </cell>
          <cell r="F83">
            <v>115.02181818181818</v>
          </cell>
          <cell r="G83">
            <v>81.45</v>
          </cell>
          <cell r="H83">
            <v>68.777995216351385</v>
          </cell>
          <cell r="I83">
            <v>473.01</v>
          </cell>
          <cell r="J83">
            <v>9.3462505137365248</v>
          </cell>
          <cell r="K83">
            <v>0</v>
          </cell>
          <cell r="L83">
            <v>313023</v>
          </cell>
          <cell r="M83">
            <v>3289767</v>
          </cell>
          <cell r="N83">
            <v>3582839</v>
          </cell>
          <cell r="O83">
            <v>0.7079366365274572</v>
          </cell>
          <cell r="P83">
            <v>19299</v>
          </cell>
          <cell r="Q83">
            <v>3.8133081470709116</v>
          </cell>
        </row>
        <row r="84">
          <cell r="A84">
            <v>2</v>
          </cell>
          <cell r="B84" t="str">
            <v xml:space="preserve"> Heavy and unprcedented rains all over resulting in wet coal problems in thermal stations.</v>
          </cell>
          <cell r="C84">
            <v>840</v>
          </cell>
          <cell r="D84">
            <v>4400</v>
          </cell>
          <cell r="E84">
            <v>4649.3999999999996</v>
          </cell>
          <cell r="F84" t="str">
            <v xml:space="preserve"> </v>
          </cell>
          <cell r="G84">
            <v>78.054999999999993</v>
          </cell>
          <cell r="H84">
            <v>63.012295081967203</v>
          </cell>
          <cell r="I84">
            <v>444.15999999999997</v>
          </cell>
          <cell r="J84">
            <v>9.5530606099711797</v>
          </cell>
          <cell r="K84">
            <v>0</v>
          </cell>
          <cell r="L84">
            <v>123702</v>
          </cell>
          <cell r="M84">
            <v>3358189</v>
          </cell>
          <cell r="N84">
            <v>3468442</v>
          </cell>
          <cell r="O84">
            <v>0.74599776315223465</v>
          </cell>
          <cell r="P84">
            <v>25027</v>
          </cell>
          <cell r="Q84">
            <v>5.3828450982922531</v>
          </cell>
        </row>
        <row r="85">
          <cell r="A85">
            <v>3</v>
          </cell>
          <cell r="B85" t="str">
            <v>Considering SGTPS # 1 wef :  01.01.95  , # 2 wef : 01.04.95 ,.# 3 w.e.f : 01.09.99&amp; # 4 w.e.f : 01.04.2000.</v>
          </cell>
          <cell r="C85">
            <v>840</v>
          </cell>
          <cell r="D85">
            <v>4800</v>
          </cell>
          <cell r="E85">
            <v>4853.41</v>
          </cell>
          <cell r="F85">
            <v>101.11270833333333</v>
          </cell>
          <cell r="G85">
            <v>79.78</v>
          </cell>
          <cell r="H85">
            <v>65.957409219395515</v>
          </cell>
          <cell r="I85">
            <v>454.39</v>
          </cell>
          <cell r="J85">
            <v>9.3622834254678668</v>
          </cell>
          <cell r="K85">
            <v>0</v>
          </cell>
          <cell r="L85">
            <v>99032</v>
          </cell>
          <cell r="M85">
            <v>3326019</v>
          </cell>
          <cell r="N85">
            <v>3418029</v>
          </cell>
          <cell r="O85">
            <v>0.70425309215582443</v>
          </cell>
          <cell r="P85">
            <v>25049</v>
          </cell>
          <cell r="Q85">
            <v>5.1611135263659982</v>
          </cell>
        </row>
        <row r="86">
          <cell r="A86">
            <v>4</v>
          </cell>
          <cell r="B86" t="str">
            <v>Considering  Cost of Coal &amp; Fuel oil same for all the  years for comparision purpose .                                         .</v>
          </cell>
          <cell r="C86">
            <v>840</v>
          </cell>
          <cell r="D86">
            <v>5000</v>
          </cell>
          <cell r="E86" t="str">
            <v xml:space="preserve"> </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Totals  may  not  tally  due  to  rounding  off.</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t="str">
            <v xml:space="preserve"> </v>
          </cell>
          <cell r="B92" t="str">
            <v>P A R T I C U L A R S</v>
          </cell>
          <cell r="C92">
            <v>840</v>
          </cell>
          <cell r="D92" t="str">
            <v>91-92</v>
          </cell>
          <cell r="E92" t="str">
            <v>92-93</v>
          </cell>
          <cell r="F92" t="str">
            <v>93-94</v>
          </cell>
          <cell r="G92" t="str">
            <v>94-95</v>
          </cell>
          <cell r="H92" t="str">
            <v xml:space="preserve">95-96 </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Hydel Generation(G'sagar+Pench+Bargi+Tons+ B'pur+HB))</v>
          </cell>
          <cell r="C93" t="str">
            <v>MU</v>
          </cell>
          <cell r="D93">
            <v>1324.15</v>
          </cell>
          <cell r="E93">
            <v>1295.48</v>
          </cell>
          <cell r="F93">
            <v>1589.68</v>
          </cell>
          <cell r="G93">
            <v>2280.4742339999998</v>
          </cell>
          <cell r="H93">
            <v>2141.34</v>
          </cell>
          <cell r="I93">
            <v>484.36</v>
          </cell>
          <cell r="J93">
            <v>9.773578890231871</v>
          </cell>
          <cell r="K93">
            <v>820</v>
          </cell>
          <cell r="L93">
            <v>259409</v>
          </cell>
          <cell r="M93">
            <v>3227819</v>
          </cell>
          <cell r="N93">
            <v>3644838</v>
          </cell>
          <cell r="O93">
            <v>0.73499999999999999</v>
          </cell>
          <cell r="P93">
            <v>6706</v>
          </cell>
          <cell r="Q93">
            <v>1.35</v>
          </cell>
        </row>
        <row r="94">
          <cell r="A94">
            <v>2</v>
          </cell>
          <cell r="B94" t="str">
            <v xml:space="preserve">Target (PLAN )   </v>
          </cell>
          <cell r="C94" t="str">
            <v>MU</v>
          </cell>
          <cell r="D94">
            <v>1771</v>
          </cell>
          <cell r="E94">
            <v>1870</v>
          </cell>
          <cell r="F94">
            <v>1870</v>
          </cell>
          <cell r="G94">
            <v>1965</v>
          </cell>
          <cell r="H94">
            <v>2035</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v>3</v>
          </cell>
          <cell r="B95" t="str">
            <v>ACHIEVEMENT Percentage of ( 2 )</v>
          </cell>
          <cell r="C95" t="str">
            <v>%</v>
          </cell>
          <cell r="D95">
            <v>74.768492377188025</v>
          </cell>
          <cell r="E95">
            <v>69.277005347593587</v>
          </cell>
          <cell r="F95">
            <v>85.009625668449203</v>
          </cell>
          <cell r="G95">
            <v>116.05466839694657</v>
          </cell>
          <cell r="H95">
            <v>105.23</v>
          </cell>
        </row>
        <row r="96">
          <cell r="A96">
            <v>4</v>
          </cell>
          <cell r="B96" t="str">
            <v>Hydel Generation M.P.Share</v>
          </cell>
          <cell r="C96" t="str">
            <v>MU</v>
          </cell>
          <cell r="D96">
            <v>1498.64</v>
          </cell>
          <cell r="E96">
            <v>1511.19</v>
          </cell>
          <cell r="F96">
            <v>1658.26</v>
          </cell>
          <cell r="G96">
            <v>2415.3094620000002</v>
          </cell>
          <cell r="H96">
            <v>2253.15</v>
          </cell>
        </row>
        <row r="97">
          <cell r="A97">
            <v>5</v>
          </cell>
          <cell r="B97" t="str">
            <v xml:space="preserve">Target (PLAN )   </v>
          </cell>
          <cell r="C97" t="str">
            <v>MU</v>
          </cell>
          <cell r="D97">
            <v>1846</v>
          </cell>
          <cell r="E97">
            <v>1938</v>
          </cell>
          <cell r="F97">
            <v>1990</v>
          </cell>
          <cell r="G97">
            <v>1999.9666666666667</v>
          </cell>
          <cell r="H97">
            <v>2059.33</v>
          </cell>
          <cell r="I97" t="str">
            <v>AUXILIARY CONSUMPTION</v>
          </cell>
          <cell r="K97" t="str">
            <v>MAXIMUM DEMAND</v>
          </cell>
          <cell r="L97" t="str">
            <v>COAL IN MT</v>
          </cell>
          <cell r="N97" t="str">
            <v>COAL CONSUMED</v>
          </cell>
          <cell r="P97" t="str">
            <v>FUEL OIL CONSUMPTION</v>
          </cell>
        </row>
        <row r="98">
          <cell r="A98">
            <v>6</v>
          </cell>
          <cell r="B98" t="str">
            <v>ACHIEVEMENT Percentage of ( 5 )</v>
          </cell>
          <cell r="C98" t="str">
            <v>%</v>
          </cell>
          <cell r="D98">
            <v>81.183098591549296</v>
          </cell>
          <cell r="E98">
            <v>77.976780185758514</v>
          </cell>
          <cell r="F98">
            <v>83.32964824120603</v>
          </cell>
          <cell r="G98">
            <v>120.76748589143152</v>
          </cell>
          <cell r="H98">
            <v>109.41</v>
          </cell>
          <cell r="I98" t="str">
            <v>MKwh</v>
          </cell>
          <cell r="J98" t="str">
            <v>%</v>
          </cell>
          <cell r="K98" t="str">
            <v>MW</v>
          </cell>
          <cell r="L98" t="str">
            <v>OP.STOCK</v>
          </cell>
          <cell r="M98" t="str">
            <v>RECIEPT</v>
          </cell>
          <cell r="N98" t="str">
            <v>MT</v>
          </cell>
          <cell r="O98" t="str">
            <v>Kg/kWH</v>
          </cell>
          <cell r="P98" t="str">
            <v>KL</v>
          </cell>
          <cell r="Q98" t="str">
            <v>ml/KWH</v>
          </cell>
        </row>
        <row r="99">
          <cell r="A99">
            <v>7</v>
          </cell>
          <cell r="B99" t="str">
            <v xml:space="preserve">Reservoir Level at the end </v>
          </cell>
          <cell r="C99">
            <v>60</v>
          </cell>
          <cell r="D99">
            <v>300</v>
          </cell>
          <cell r="E99">
            <v>375.32</v>
          </cell>
          <cell r="F99">
            <v>125.10666666666667</v>
          </cell>
          <cell r="G99">
            <v>87.49</v>
          </cell>
          <cell r="H99">
            <v>71.407914764079152</v>
          </cell>
          <cell r="I99">
            <v>0</v>
          </cell>
          <cell r="J99">
            <v>0</v>
          </cell>
          <cell r="K99">
            <v>61</v>
          </cell>
          <cell r="N99">
            <v>252980</v>
          </cell>
          <cell r="O99">
            <v>0.6740381541084941</v>
          </cell>
          <cell r="P99">
            <v>2143</v>
          </cell>
          <cell r="Q99">
            <v>5.7097943088564422</v>
          </cell>
        </row>
        <row r="100">
          <cell r="A100" t="str">
            <v>a</v>
          </cell>
          <cell r="B100" t="str">
            <v>GANDHISAGAR     MDDL   1250.00 Ft</v>
          </cell>
          <cell r="C100" t="str">
            <v>FT</v>
          </cell>
          <cell r="D100">
            <v>1284.51</v>
          </cell>
          <cell r="E100">
            <v>1253.47</v>
          </cell>
          <cell r="F100">
            <v>1250.8900000000001</v>
          </cell>
          <cell r="G100">
            <v>1295.67</v>
          </cell>
          <cell r="H100">
            <v>1288.95</v>
          </cell>
          <cell r="I100">
            <v>0</v>
          </cell>
          <cell r="J100">
            <v>0</v>
          </cell>
          <cell r="K100">
            <v>60</v>
          </cell>
          <cell r="N100">
            <v>241459</v>
          </cell>
          <cell r="O100">
            <v>0.69326997616928421</v>
          </cell>
          <cell r="P100">
            <v>3121</v>
          </cell>
          <cell r="Q100">
            <v>8.9609233684573191</v>
          </cell>
        </row>
        <row r="101">
          <cell r="A101" t="str">
            <v xml:space="preserve"> </v>
          </cell>
          <cell r="B101" t="str">
            <v>Energy   Contents   in   MKwh</v>
          </cell>
          <cell r="C101" t="str">
            <v>MU</v>
          </cell>
          <cell r="D101">
            <v>245</v>
          </cell>
          <cell r="E101">
            <v>14.5</v>
          </cell>
          <cell r="F101">
            <v>3.56</v>
          </cell>
          <cell r="G101">
            <v>408.4</v>
          </cell>
          <cell r="H101">
            <v>310</v>
          </cell>
          <cell r="I101">
            <v>21.16</v>
          </cell>
          <cell r="J101">
            <v>9.9557730309588788</v>
          </cell>
          <cell r="K101">
            <v>58</v>
          </cell>
          <cell r="N101">
            <v>159372</v>
          </cell>
          <cell r="O101">
            <v>0.74984473510868543</v>
          </cell>
          <cell r="P101">
            <v>5292</v>
          </cell>
          <cell r="Q101">
            <v>24.898842570810203</v>
          </cell>
        </row>
        <row r="102">
          <cell r="A102" t="str">
            <v>b</v>
          </cell>
          <cell r="B102" t="str">
            <v>PENCH           MDDL    464.50 M</v>
          </cell>
          <cell r="C102" t="str">
            <v>M</v>
          </cell>
          <cell r="D102">
            <v>464.42</v>
          </cell>
          <cell r="E102">
            <v>474.87</v>
          </cell>
          <cell r="F102">
            <v>483.64</v>
          </cell>
          <cell r="G102">
            <v>482.5</v>
          </cell>
          <cell r="H102">
            <v>472.9</v>
          </cell>
          <cell r="I102">
            <v>17.46</v>
          </cell>
          <cell r="J102">
            <v>10.477676428228518</v>
          </cell>
          <cell r="K102">
            <v>30</v>
          </cell>
          <cell r="N102">
            <v>126486</v>
          </cell>
          <cell r="O102">
            <v>0.75903744599135858</v>
          </cell>
          <cell r="P102">
            <v>1923</v>
          </cell>
          <cell r="Q102">
            <v>11.539846375420067</v>
          </cell>
        </row>
        <row r="103">
          <cell r="A103" t="str">
            <v xml:space="preserve"> </v>
          </cell>
          <cell r="B103" t="str">
            <v>Energy   Contents   in   MKwh</v>
          </cell>
          <cell r="C103" t="str">
            <v>MU</v>
          </cell>
          <cell r="D103">
            <v>2.5</v>
          </cell>
          <cell r="E103">
            <v>83</v>
          </cell>
          <cell r="F103">
            <v>222.16</v>
          </cell>
          <cell r="G103">
            <v>202</v>
          </cell>
          <cell r="H103">
            <v>63</v>
          </cell>
          <cell r="I103">
            <v>29.54</v>
          </cell>
          <cell r="J103">
            <v>10.371826831923036</v>
          </cell>
          <cell r="K103">
            <v>50</v>
          </cell>
          <cell r="N103">
            <v>205036</v>
          </cell>
          <cell r="O103">
            <v>0.71990449773533227</v>
          </cell>
          <cell r="P103">
            <v>3864</v>
          </cell>
          <cell r="Q103">
            <v>13.566939363084161</v>
          </cell>
        </row>
        <row r="104">
          <cell r="A104" t="str">
            <v>c</v>
          </cell>
          <cell r="B104" t="str">
            <v>BARGI           MDDL    403.50 M</v>
          </cell>
          <cell r="C104" t="str">
            <v>M</v>
          </cell>
          <cell r="D104">
            <v>409</v>
          </cell>
          <cell r="E104">
            <v>414.4</v>
          </cell>
          <cell r="F104">
            <v>413.55</v>
          </cell>
          <cell r="G104">
            <v>418.15</v>
          </cell>
          <cell r="H104">
            <v>411.8</v>
          </cell>
          <cell r="I104">
            <v>32.345314999999999</v>
          </cell>
          <cell r="J104">
            <v>10.614452513544823</v>
          </cell>
          <cell r="K104">
            <v>50</v>
          </cell>
          <cell r="N104">
            <v>211815.05</v>
          </cell>
          <cell r="O104">
            <v>0.69509318115440277</v>
          </cell>
          <cell r="P104">
            <v>3308.25</v>
          </cell>
          <cell r="Q104">
            <v>10.856367460924297</v>
          </cell>
        </row>
        <row r="105">
          <cell r="A105" t="str">
            <v xml:space="preserve"> </v>
          </cell>
          <cell r="B105" t="str">
            <v>Energy   Contents   in   MKwh</v>
          </cell>
          <cell r="C105" t="str">
            <v>MU</v>
          </cell>
          <cell r="D105">
            <v>44</v>
          </cell>
          <cell r="E105">
            <v>113</v>
          </cell>
          <cell r="F105">
            <v>100.15</v>
          </cell>
          <cell r="G105">
            <v>192.75</v>
          </cell>
          <cell r="H105">
            <v>77</v>
          </cell>
          <cell r="I105">
            <v>31.2</v>
          </cell>
          <cell r="J105">
            <v>10.249671484888305</v>
          </cell>
          <cell r="K105">
            <v>50</v>
          </cell>
          <cell r="N105">
            <v>214826</v>
          </cell>
          <cell r="O105">
            <v>0.70573587385019709</v>
          </cell>
          <cell r="P105">
            <v>5006</v>
          </cell>
          <cell r="Q105">
            <v>16.445466491458607</v>
          </cell>
        </row>
        <row r="106">
          <cell r="A106" t="str">
            <v>d</v>
          </cell>
          <cell r="B106" t="str">
            <v>TONS            MDDL    275.00 M</v>
          </cell>
          <cell r="C106" t="str">
            <v>M</v>
          </cell>
          <cell r="D106">
            <v>300</v>
          </cell>
          <cell r="E106">
            <v>294.39999999999998</v>
          </cell>
          <cell r="F106">
            <v>277.10000000000002</v>
          </cell>
          <cell r="G106">
            <v>277.3</v>
          </cell>
          <cell r="H106">
            <v>277.3</v>
          </cell>
          <cell r="I106">
            <v>32.299999999999997</v>
          </cell>
          <cell r="J106">
            <v>10.971467391304348</v>
          </cell>
          <cell r="K106">
            <v>50</v>
          </cell>
          <cell r="N106">
            <v>204359</v>
          </cell>
          <cell r="O106">
            <v>0.69415421195652172</v>
          </cell>
          <cell r="P106">
            <v>2743</v>
          </cell>
          <cell r="Q106">
            <v>9.3172554347826093</v>
          </cell>
        </row>
        <row r="107">
          <cell r="A107" t="str">
            <v xml:space="preserve"> </v>
          </cell>
          <cell r="B107" t="str">
            <v>Energy   Contents   in   MKwh</v>
          </cell>
          <cell r="C107" t="str">
            <v>MU</v>
          </cell>
          <cell r="D107">
            <v>300</v>
          </cell>
          <cell r="E107">
            <v>258.89999999999998</v>
          </cell>
          <cell r="F107">
            <v>1.1279999999999999</v>
          </cell>
          <cell r="G107">
            <v>0</v>
          </cell>
          <cell r="H107">
            <v>0</v>
          </cell>
          <cell r="I107">
            <v>29</v>
          </cell>
          <cell r="J107">
            <v>11.201235998455003</v>
          </cell>
          <cell r="K107">
            <v>49</v>
          </cell>
          <cell r="N107">
            <v>177922</v>
          </cell>
          <cell r="O107">
            <v>0.68722286597141757</v>
          </cell>
          <cell r="P107">
            <v>2063</v>
          </cell>
          <cell r="Q107">
            <v>7.9683275395905762</v>
          </cell>
        </row>
        <row r="108">
          <cell r="A108" t="str">
            <v>e</v>
          </cell>
          <cell r="B108" t="str">
            <v>BIRSINGHPUR     MDDL    471.00 M</v>
          </cell>
          <cell r="C108" t="str">
            <v>M</v>
          </cell>
          <cell r="D108">
            <v>300</v>
          </cell>
          <cell r="E108">
            <v>251.97</v>
          </cell>
          <cell r="F108">
            <v>475.97</v>
          </cell>
          <cell r="G108">
            <v>475.1</v>
          </cell>
          <cell r="H108">
            <v>475.34</v>
          </cell>
          <cell r="I108">
            <v>30.628</v>
          </cell>
          <cell r="J108">
            <v>12.155415327221496</v>
          </cell>
          <cell r="K108">
            <v>50</v>
          </cell>
          <cell r="N108">
            <v>174156</v>
          </cell>
          <cell r="O108">
            <v>0.69117752113346831</v>
          </cell>
          <cell r="P108">
            <v>2350</v>
          </cell>
          <cell r="Q108">
            <v>9.3265071238639514</v>
          </cell>
        </row>
        <row r="109">
          <cell r="A109" t="str">
            <v xml:space="preserve"> </v>
          </cell>
          <cell r="B109" t="str">
            <v>Energy   Contents   in   MKwh</v>
          </cell>
          <cell r="C109" t="str">
            <v>MU</v>
          </cell>
          <cell r="D109">
            <v>300</v>
          </cell>
          <cell r="E109">
            <v>202.17</v>
          </cell>
          <cell r="F109">
            <v>4.7477</v>
          </cell>
          <cell r="G109">
            <v>4.5209999999999999</v>
          </cell>
          <cell r="H109">
            <v>4.5</v>
          </cell>
          <cell r="I109">
            <v>25.5</v>
          </cell>
          <cell r="J109">
            <v>12.613147351239057</v>
          </cell>
          <cell r="K109">
            <v>49</v>
          </cell>
          <cell r="N109">
            <v>135455</v>
          </cell>
          <cell r="O109">
            <v>0.67000544096552406</v>
          </cell>
          <cell r="P109">
            <v>2779</v>
          </cell>
          <cell r="Q109">
            <v>13.745857446703271</v>
          </cell>
        </row>
        <row r="110">
          <cell r="A110" t="str">
            <v>f</v>
          </cell>
          <cell r="B110" t="str">
            <v>HASDEO-BANGO    MDDL    329.79 M</v>
          </cell>
          <cell r="C110" t="str">
            <v>M</v>
          </cell>
          <cell r="D110">
            <v>250</v>
          </cell>
          <cell r="E110">
            <v>248.2</v>
          </cell>
          <cell r="F110" t="str">
            <v>N.A.</v>
          </cell>
          <cell r="G110">
            <v>353.12</v>
          </cell>
          <cell r="H110">
            <v>347.98</v>
          </cell>
          <cell r="I110">
            <v>29.3</v>
          </cell>
          <cell r="J110">
            <v>11.804995970991136</v>
          </cell>
          <cell r="K110">
            <v>50</v>
          </cell>
          <cell r="N110">
            <v>170257</v>
          </cell>
          <cell r="O110">
            <v>0.68596696212731667</v>
          </cell>
          <cell r="P110">
            <v>1599</v>
          </cell>
          <cell r="Q110">
            <v>6.4423851732473816</v>
          </cell>
        </row>
        <row r="111">
          <cell r="A111" t="str">
            <v xml:space="preserve"> </v>
          </cell>
          <cell r="B111" t="str">
            <v>Energy   Contents   in   MKwh</v>
          </cell>
          <cell r="C111" t="str">
            <v>MU</v>
          </cell>
          <cell r="D111">
            <v>250</v>
          </cell>
          <cell r="E111">
            <v>180.96</v>
          </cell>
          <cell r="F111" t="str">
            <v>-</v>
          </cell>
          <cell r="G111">
            <v>152.76295999999999</v>
          </cell>
          <cell r="H111">
            <v>94</v>
          </cell>
          <cell r="I111">
            <v>23.72</v>
          </cell>
          <cell r="J111">
            <v>13.1078691423519</v>
          </cell>
          <cell r="K111">
            <v>49</v>
          </cell>
          <cell r="N111">
            <v>131657</v>
          </cell>
          <cell r="O111">
            <v>0.72754752431476566</v>
          </cell>
          <cell r="P111">
            <v>2944</v>
          </cell>
          <cell r="Q111">
            <v>16.268788682581786</v>
          </cell>
        </row>
        <row r="112">
          <cell r="A112" t="str">
            <v>g</v>
          </cell>
          <cell r="B112" t="str">
            <v xml:space="preserve">RAJGHAT     MDDL    </v>
          </cell>
          <cell r="C112" t="str">
            <v>M</v>
          </cell>
          <cell r="D112">
            <v>280</v>
          </cell>
          <cell r="E112">
            <v>228.44</v>
          </cell>
          <cell r="F112" t="str">
            <v>N.A.</v>
          </cell>
          <cell r="G112">
            <v>353.12</v>
          </cell>
          <cell r="H112" t="str">
            <v xml:space="preserve"> </v>
          </cell>
          <cell r="I112">
            <v>27.6296</v>
          </cell>
          <cell r="J112">
            <v>12.176532758051719</v>
          </cell>
          <cell r="K112">
            <v>49.4</v>
          </cell>
          <cell r="N112">
            <v>157889.4</v>
          </cell>
          <cell r="O112">
            <v>0.69238406290249854</v>
          </cell>
          <cell r="P112">
            <v>2347</v>
          </cell>
          <cell r="Q112">
            <v>10.750373193197394</v>
          </cell>
        </row>
        <row r="113">
          <cell r="A113" t="str">
            <v xml:space="preserve"> </v>
          </cell>
          <cell r="B113" t="str">
            <v>Energy   Contents   in   MKwh</v>
          </cell>
          <cell r="C113" t="str">
            <v>MU</v>
          </cell>
          <cell r="D113">
            <v>1250</v>
          </cell>
          <cell r="E113">
            <v>1209.6600000000001</v>
          </cell>
          <cell r="F113" t="str">
            <v>-</v>
          </cell>
          <cell r="G113">
            <v>152.76295999999999</v>
          </cell>
          <cell r="H113" t="str">
            <v xml:space="preserve"> </v>
          </cell>
          <cell r="I113">
            <v>0</v>
          </cell>
          <cell r="J113">
            <v>0</v>
          </cell>
          <cell r="K113">
            <v>230</v>
          </cell>
          <cell r="N113">
            <v>908200</v>
          </cell>
          <cell r="O113">
            <v>0.75078947803515039</v>
          </cell>
          <cell r="P113">
            <v>9857</v>
          </cell>
          <cell r="Q113">
            <v>8.1485706727510205</v>
          </cell>
        </row>
        <row r="114">
          <cell r="A114" t="str">
            <v xml:space="preserve"> </v>
          </cell>
          <cell r="B114" t="str">
            <v>M.P.E.B. GENERATION  AS PER SHARE</v>
          </cell>
          <cell r="C114">
            <v>240</v>
          </cell>
          <cell r="D114">
            <v>1310</v>
          </cell>
          <cell r="E114">
            <v>988.66</v>
          </cell>
          <cell r="F114">
            <v>75.470229007633591</v>
          </cell>
          <cell r="G114">
            <v>69.31</v>
          </cell>
          <cell r="H114">
            <v>47.025304414003045</v>
          </cell>
          <cell r="I114">
            <v>103</v>
          </cell>
          <cell r="J114">
            <v>10.418141727186294</v>
          </cell>
          <cell r="K114">
            <v>200</v>
          </cell>
          <cell r="N114">
            <v>755851</v>
          </cell>
          <cell r="O114">
            <v>0.76452066433354238</v>
          </cell>
          <cell r="P114">
            <v>11664</v>
          </cell>
          <cell r="Q114">
            <v>11.797786903485527</v>
          </cell>
        </row>
        <row r="115">
          <cell r="A115">
            <v>1</v>
          </cell>
          <cell r="B115" t="str">
            <v>THERMAL  ( Excl. 40% Satpura I)</v>
          </cell>
          <cell r="C115" t="str">
            <v>MU</v>
          </cell>
          <cell r="D115">
            <v>11025.74</v>
          </cell>
          <cell r="E115">
            <v>11747.67</v>
          </cell>
          <cell r="F115">
            <v>12723.74</v>
          </cell>
          <cell r="G115">
            <v>14182.079879999999</v>
          </cell>
          <cell r="H115">
            <v>15345.74</v>
          </cell>
          <cell r="I115">
            <v>87.17</v>
          </cell>
          <cell r="J115">
            <v>11.014796750022112</v>
          </cell>
          <cell r="K115">
            <v>190</v>
          </cell>
          <cell r="N115">
            <v>643580</v>
          </cell>
          <cell r="O115">
            <v>0.81322735945614677</v>
          </cell>
          <cell r="P115">
            <v>10599</v>
          </cell>
          <cell r="Q115">
            <v>13.39289098927204</v>
          </cell>
        </row>
        <row r="116">
          <cell r="A116">
            <v>2</v>
          </cell>
          <cell r="B116" t="str">
            <v>HYDEL    ( Excl. 50 % Chambal &amp; 1/3 Pench )</v>
          </cell>
          <cell r="C116" t="str">
            <v>MU</v>
          </cell>
          <cell r="D116">
            <v>1498.64</v>
          </cell>
          <cell r="E116">
            <v>1511.49</v>
          </cell>
          <cell r="F116">
            <v>1658.26</v>
          </cell>
          <cell r="G116">
            <v>2415.3094620000002</v>
          </cell>
          <cell r="H116">
            <v>2253.15</v>
          </cell>
          <cell r="I116">
            <v>96.78</v>
          </cell>
          <cell r="J116">
            <v>10.727824949564368</v>
          </cell>
          <cell r="K116">
            <v>195</v>
          </cell>
          <cell r="N116">
            <v>744899</v>
          </cell>
          <cell r="O116">
            <v>0.82570221916775666</v>
          </cell>
          <cell r="P116">
            <v>13223</v>
          </cell>
          <cell r="Q116">
            <v>14.657370252954086</v>
          </cell>
        </row>
        <row r="117">
          <cell r="A117">
            <v>3</v>
          </cell>
          <cell r="B117" t="str">
            <v>TOTAL</v>
          </cell>
          <cell r="C117" t="str">
            <v>MU</v>
          </cell>
          <cell r="D117">
            <v>12524.38</v>
          </cell>
          <cell r="E117">
            <v>13259.16</v>
          </cell>
          <cell r="F117">
            <v>14382</v>
          </cell>
          <cell r="G117">
            <v>16597.389341999999</v>
          </cell>
          <cell r="H117">
            <v>17598.88</v>
          </cell>
          <cell r="I117">
            <v>106.47</v>
          </cell>
          <cell r="J117">
            <v>10.741091965618821</v>
          </cell>
          <cell r="K117">
            <v>211</v>
          </cell>
          <cell r="N117">
            <v>797288</v>
          </cell>
          <cell r="O117">
            <v>0.80433396553811387</v>
          </cell>
          <cell r="P117">
            <v>13294</v>
          </cell>
          <cell r="Q117">
            <v>13.411484605141036</v>
          </cell>
        </row>
        <row r="118">
          <cell r="A118" t="str">
            <v>Note :-</v>
          </cell>
          <cell r="B118" t="str">
            <v>1.Heavy and good rains resulted in more secondary generation in Hydel Stations in Year 1994-95</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N118">
            <v>783385.61</v>
          </cell>
          <cell r="O118">
            <v>0.73178318679963683</v>
          </cell>
          <cell r="P118">
            <v>10814.63</v>
          </cell>
          <cell r="Q118">
            <v>10.10225909748196</v>
          </cell>
        </row>
        <row r="119">
          <cell r="A119" t="str">
            <v>Note :-</v>
          </cell>
          <cell r="B119" t="str">
            <v>2.Intermittent rains practically every month resulted in building up level and non utilisation of water due to lack of demand in 1997-98.</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N122">
            <v>385051</v>
          </cell>
          <cell r="O122">
            <v>0.73167445749249416</v>
          </cell>
          <cell r="P122">
            <v>3240</v>
          </cell>
          <cell r="Q122">
            <v>6.1566526051761485</v>
          </cell>
        </row>
        <row r="123">
          <cell r="A123" t="str">
            <v xml:space="preserve"> </v>
          </cell>
          <cell r="B123" t="str">
            <v>P A R T I C U L A R S</v>
          </cell>
          <cell r="C123">
            <v>240</v>
          </cell>
          <cell r="D123" t="str">
            <v>96-97</v>
          </cell>
          <cell r="E123" t="str">
            <v>97-98</v>
          </cell>
          <cell r="F123" t="str">
            <v>98-99</v>
          </cell>
          <cell r="G123" t="str">
            <v>99-00</v>
          </cell>
          <cell r="H123" t="str">
            <v>00-01</v>
          </cell>
          <cell r="I123">
            <v>97.4</v>
          </cell>
          <cell r="J123">
            <v>9.7624536433797733</v>
          </cell>
          <cell r="K123">
            <v>220</v>
          </cell>
          <cell r="N123">
            <v>652165</v>
          </cell>
          <cell r="O123">
            <v>0.65366843740603386</v>
          </cell>
          <cell r="P123">
            <v>3605</v>
          </cell>
          <cell r="Q123">
            <v>3.6133106144131499</v>
          </cell>
        </row>
        <row r="124">
          <cell r="A124">
            <v>1</v>
          </cell>
          <cell r="B124" t="str">
            <v>Hydel Generation(G'sagar+Pench+Bargi+Tons+ B'pur+HB))</v>
          </cell>
          <cell r="C124" t="str">
            <v>MU</v>
          </cell>
          <cell r="D124">
            <v>2067.65</v>
          </cell>
          <cell r="E124">
            <v>2232.69</v>
          </cell>
          <cell r="F124">
            <v>2833.73</v>
          </cell>
          <cell r="G124">
            <v>2459.5</v>
          </cell>
          <cell r="H124">
            <v>1824.28</v>
          </cell>
          <cell r="I124">
            <v>105.9</v>
          </cell>
          <cell r="J124">
            <v>10.09725400457666</v>
          </cell>
          <cell r="K124">
            <v>200</v>
          </cell>
          <cell r="N124">
            <v>674871</v>
          </cell>
          <cell r="O124">
            <v>0.64346967963386725</v>
          </cell>
          <cell r="P124">
            <v>3020</v>
          </cell>
          <cell r="Q124">
            <v>2.8794813119755913</v>
          </cell>
        </row>
        <row r="125">
          <cell r="A125">
            <v>2</v>
          </cell>
          <cell r="B125" t="str">
            <v xml:space="preserve">Target (PLAN )   </v>
          </cell>
          <cell r="C125" t="str">
            <v>MU</v>
          </cell>
          <cell r="D125">
            <v>2195</v>
          </cell>
          <cell r="E125">
            <v>2195</v>
          </cell>
          <cell r="F125">
            <v>2275</v>
          </cell>
          <cell r="G125">
            <v>2440</v>
          </cell>
          <cell r="H125">
            <v>2480</v>
          </cell>
          <cell r="I125">
            <v>95.83</v>
          </cell>
          <cell r="J125">
            <v>9.8898830717153263</v>
          </cell>
          <cell r="K125">
            <v>200</v>
          </cell>
          <cell r="N125">
            <v>723885</v>
          </cell>
          <cell r="O125">
            <v>0.74706647264621195</v>
          </cell>
          <cell r="P125">
            <v>5474</v>
          </cell>
          <cell r="Q125">
            <v>5.6492977078753723</v>
          </cell>
        </row>
        <row r="126">
          <cell r="A126">
            <v>3</v>
          </cell>
          <cell r="B126" t="str">
            <v>ACHIEVEMENT Percentage of ( 2 )</v>
          </cell>
          <cell r="C126" t="str">
            <v>%</v>
          </cell>
          <cell r="D126">
            <v>94.198177676537583</v>
          </cell>
          <cell r="E126">
            <v>101.71708428246014</v>
          </cell>
          <cell r="F126">
            <v>124.56</v>
          </cell>
          <cell r="G126">
            <v>124.56</v>
          </cell>
          <cell r="H126">
            <v>73.559677419354841</v>
          </cell>
          <cell r="I126">
            <v>78.753599999999992</v>
          </cell>
          <cell r="J126">
            <v>9.9780718101059911</v>
          </cell>
          <cell r="K126">
            <v>189</v>
          </cell>
          <cell r="N126">
            <v>551504.19999999995</v>
          </cell>
          <cell r="O126">
            <v>0.70807595208907392</v>
          </cell>
          <cell r="P126">
            <v>3856.2</v>
          </cell>
          <cell r="Q126">
            <v>5.5342134978167259</v>
          </cell>
        </row>
        <row r="127">
          <cell r="A127">
            <v>4</v>
          </cell>
          <cell r="B127" t="str">
            <v>Hydel Generation M.P.Share</v>
          </cell>
          <cell r="C127" t="str">
            <v>MU</v>
          </cell>
          <cell r="D127">
            <v>2274.37</v>
          </cell>
          <cell r="E127">
            <v>2324.88</v>
          </cell>
          <cell r="F127">
            <v>2850.57</v>
          </cell>
          <cell r="G127">
            <v>2507.1999999999998</v>
          </cell>
          <cell r="H127">
            <v>1809.98</v>
          </cell>
          <cell r="I127">
            <v>0</v>
          </cell>
          <cell r="J127">
            <v>0</v>
          </cell>
          <cell r="K127">
            <v>0</v>
          </cell>
          <cell r="L127">
            <v>0</v>
          </cell>
          <cell r="M127">
            <v>0</v>
          </cell>
          <cell r="N127">
            <v>1161180</v>
          </cell>
          <cell r="O127">
            <v>0.73261492258577399</v>
          </cell>
          <cell r="P127">
            <v>12000</v>
          </cell>
          <cell r="Q127">
            <v>7.57107345203094</v>
          </cell>
        </row>
        <row r="128">
          <cell r="A128">
            <v>5</v>
          </cell>
          <cell r="B128" t="str">
            <v xml:space="preserve">Target (PLAN )   </v>
          </cell>
          <cell r="C128" t="str">
            <v>MU</v>
          </cell>
          <cell r="D128">
            <v>2200</v>
          </cell>
          <cell r="E128">
            <v>2200</v>
          </cell>
          <cell r="F128">
            <v>2300</v>
          </cell>
          <cell r="G128">
            <v>2385</v>
          </cell>
          <cell r="H128">
            <v>2424.17</v>
          </cell>
          <cell r="I128">
            <v>103</v>
          </cell>
          <cell r="J128">
            <v>7.7041026216388042</v>
          </cell>
          <cell r="K128">
            <v>0</v>
          </cell>
          <cell r="L128">
            <v>31115</v>
          </cell>
          <cell r="M128">
            <v>1015605</v>
          </cell>
          <cell r="N128">
            <v>997310</v>
          </cell>
          <cell r="O128">
            <v>0.74595908597928118</v>
          </cell>
          <cell r="P128">
            <v>14785</v>
          </cell>
          <cell r="Q128">
            <v>11.0587531321291</v>
          </cell>
        </row>
        <row r="129">
          <cell r="A129">
            <v>6</v>
          </cell>
          <cell r="B129" t="str">
            <v>ACHIEVEMENT Percentage of ( 5 )</v>
          </cell>
          <cell r="C129" t="str">
            <v>%</v>
          </cell>
          <cell r="D129">
            <v>103.38045454545454</v>
          </cell>
          <cell r="E129">
            <v>105.67636363636363</v>
          </cell>
          <cell r="F129">
            <v>123.94</v>
          </cell>
          <cell r="G129">
            <v>123.94</v>
          </cell>
          <cell r="H129">
            <v>74.663905584179332</v>
          </cell>
          <cell r="I129">
            <v>108.33</v>
          </cell>
          <cell r="J129">
            <v>10.790592969629357</v>
          </cell>
          <cell r="K129">
            <v>0</v>
          </cell>
          <cell r="L129">
            <v>47723</v>
          </cell>
          <cell r="M129">
            <v>791141</v>
          </cell>
          <cell r="N129">
            <v>802952</v>
          </cell>
          <cell r="O129">
            <v>0.7998087516061877</v>
          </cell>
          <cell r="P129">
            <v>15891</v>
          </cell>
          <cell r="Q129">
            <v>15.828792844122599</v>
          </cell>
        </row>
        <row r="130">
          <cell r="A130">
            <v>7</v>
          </cell>
          <cell r="B130" t="str">
            <v xml:space="preserve">Reservoir Level at the end </v>
          </cell>
          <cell r="C130">
            <v>300</v>
          </cell>
          <cell r="D130">
            <v>1550</v>
          </cell>
          <cell r="E130">
            <v>1068.78</v>
          </cell>
          <cell r="F130">
            <v>68.953548387096774</v>
          </cell>
          <cell r="G130">
            <v>59.14</v>
          </cell>
          <cell r="H130">
            <v>40.557832422586522</v>
          </cell>
          <cell r="I130">
            <v>114.24000000000001</v>
          </cell>
          <cell r="J130">
            <v>10.688822769887162</v>
          </cell>
          <cell r="K130">
            <v>0</v>
          </cell>
          <cell r="L130">
            <v>51627</v>
          </cell>
          <cell r="M130">
            <v>828867</v>
          </cell>
          <cell r="N130">
            <v>871385</v>
          </cell>
          <cell r="O130">
            <v>0.81530810831041001</v>
          </cell>
          <cell r="P130">
            <v>15146</v>
          </cell>
          <cell r="Q130">
            <v>14.171298115608451</v>
          </cell>
        </row>
        <row r="131">
          <cell r="A131" t="str">
            <v>a</v>
          </cell>
          <cell r="B131" t="str">
            <v>GANDHISAGAR     MDDL   1250.00 Ft</v>
          </cell>
          <cell r="C131" t="str">
            <v>FT</v>
          </cell>
          <cell r="D131">
            <v>1291.08</v>
          </cell>
          <cell r="E131">
            <v>1295.8</v>
          </cell>
          <cell r="F131">
            <v>1272.98</v>
          </cell>
          <cell r="G131">
            <v>1265.2</v>
          </cell>
          <cell r="H131">
            <v>1248.69</v>
          </cell>
          <cell r="I131">
            <v>136.01</v>
          </cell>
          <cell r="J131">
            <v>10.65867324948082</v>
          </cell>
          <cell r="K131">
            <v>0</v>
          </cell>
          <cell r="L131">
            <v>3954</v>
          </cell>
          <cell r="M131">
            <v>1008841</v>
          </cell>
          <cell r="N131">
            <v>1002324</v>
          </cell>
          <cell r="O131">
            <v>0.78548959680263308</v>
          </cell>
          <cell r="P131">
            <v>17158</v>
          </cell>
          <cell r="Q131">
            <v>13.446181575957056</v>
          </cell>
        </row>
        <row r="132">
          <cell r="A132" t="str">
            <v xml:space="preserve"> </v>
          </cell>
          <cell r="B132" t="str">
            <v>Energy   Contents   in   MKwh</v>
          </cell>
          <cell r="C132" t="str">
            <v>MU</v>
          </cell>
          <cell r="D132">
            <v>336.2</v>
          </cell>
          <cell r="E132">
            <v>411</v>
          </cell>
          <cell r="F132">
            <v>130.84</v>
          </cell>
          <cell r="G132">
            <v>75.400000000000006</v>
          </cell>
          <cell r="H132">
            <v>0</v>
          </cell>
          <cell r="I132">
            <v>136.81231500000001</v>
          </cell>
          <cell r="J132">
            <v>9.9482139546044532</v>
          </cell>
          <cell r="K132">
            <v>0</v>
          </cell>
          <cell r="L132">
            <v>10262</v>
          </cell>
          <cell r="M132">
            <v>1014037</v>
          </cell>
          <cell r="N132">
            <v>995200.65999999992</v>
          </cell>
          <cell r="O132">
            <v>0.72365335631105709</v>
          </cell>
          <cell r="P132">
            <v>14122.88</v>
          </cell>
          <cell r="Q132">
            <v>10.269355642085591</v>
          </cell>
        </row>
        <row r="133">
          <cell r="A133" t="str">
            <v>b</v>
          </cell>
          <cell r="B133" t="str">
            <v>PENCH           MDDL    464.50 M</v>
          </cell>
          <cell r="C133" t="str">
            <v>M</v>
          </cell>
          <cell r="D133">
            <v>467.3</v>
          </cell>
          <cell r="E133">
            <v>486.66</v>
          </cell>
          <cell r="F133">
            <v>481.29</v>
          </cell>
          <cell r="G133">
            <v>478.86</v>
          </cell>
          <cell r="H133">
            <v>463.46</v>
          </cell>
          <cell r="I133">
            <v>138.1</v>
          </cell>
          <cell r="J133">
            <v>9.6756112940517056</v>
          </cell>
          <cell r="K133">
            <v>0</v>
          </cell>
          <cell r="L133">
            <v>41415</v>
          </cell>
          <cell r="M133">
            <v>1102016</v>
          </cell>
          <cell r="N133">
            <v>1086065</v>
          </cell>
          <cell r="O133">
            <v>0.76092272122188731</v>
          </cell>
          <cell r="P133">
            <v>17781</v>
          </cell>
          <cell r="Q133">
            <v>12.457787430813422</v>
          </cell>
        </row>
        <row r="134">
          <cell r="A134" t="str">
            <v xml:space="preserve"> </v>
          </cell>
          <cell r="B134" t="str">
            <v>Energy   Contents   in   MKwh</v>
          </cell>
          <cell r="C134" t="str">
            <v>MU</v>
          </cell>
          <cell r="D134">
            <v>18.8</v>
          </cell>
          <cell r="E134">
            <v>289.5</v>
          </cell>
          <cell r="F134">
            <v>177.93</v>
          </cell>
          <cell r="G134">
            <v>137.9</v>
          </cell>
          <cell r="H134">
            <v>0</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BARGI           MDDL    403.50 M</v>
          </cell>
          <cell r="C135" t="str">
            <v>M</v>
          </cell>
          <cell r="D135">
            <v>411.35</v>
          </cell>
          <cell r="E135">
            <v>416.75</v>
          </cell>
          <cell r="F135">
            <v>410.45</v>
          </cell>
          <cell r="G135">
            <v>411.05</v>
          </cell>
          <cell r="H135">
            <v>410</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t="str">
            <v xml:space="preserve"> </v>
          </cell>
          <cell r="B136" t="str">
            <v>Energy   Contents   in   MKwh</v>
          </cell>
          <cell r="C136" t="str">
            <v>MU</v>
          </cell>
          <cell r="D136">
            <v>71.55</v>
          </cell>
          <cell r="E136">
            <v>160.75</v>
          </cell>
          <cell r="F136">
            <v>60.4</v>
          </cell>
          <cell r="G136">
            <v>67.650000000000006</v>
          </cell>
          <cell r="H136">
            <v>55</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TONS            MDDL    275.00 M</v>
          </cell>
          <cell r="C137" t="str">
            <v>M</v>
          </cell>
          <cell r="D137">
            <v>277.3</v>
          </cell>
          <cell r="E137">
            <v>277.2</v>
          </cell>
          <cell r="F137">
            <v>277</v>
          </cell>
          <cell r="G137">
            <v>275</v>
          </cell>
          <cell r="H137">
            <v>276.3</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t="str">
            <v xml:space="preserve"> </v>
          </cell>
          <cell r="B138" t="str">
            <v>Energy   Contents   in   MKwh</v>
          </cell>
          <cell r="C138" t="str">
            <v>MU</v>
          </cell>
          <cell r="D138">
            <v>0</v>
          </cell>
          <cell r="E138">
            <v>0</v>
          </cell>
          <cell r="F138">
            <v>0</v>
          </cell>
          <cell r="G138">
            <v>0</v>
          </cell>
          <cell r="H138">
            <v>0.87</v>
          </cell>
          <cell r="I138">
            <v>135.19999999999999</v>
          </cell>
          <cell r="J138">
            <v>10.424055512721663</v>
          </cell>
          <cell r="K138">
            <v>235</v>
          </cell>
          <cell r="M138">
            <v>875677</v>
          </cell>
          <cell r="N138">
            <v>845128</v>
          </cell>
          <cell r="O138">
            <v>0.65160215882806471</v>
          </cell>
          <cell r="P138">
            <v>4619</v>
          </cell>
          <cell r="Q138">
            <v>3.5612952968388587</v>
          </cell>
        </row>
        <row r="139">
          <cell r="A139" t="str">
            <v>e</v>
          </cell>
          <cell r="B139" t="str">
            <v>BIRSINGHPUR     MDDL    471.00 M</v>
          </cell>
          <cell r="C139" t="str">
            <v>M</v>
          </cell>
          <cell r="D139">
            <v>475.01</v>
          </cell>
          <cell r="E139">
            <v>475.65</v>
          </cell>
          <cell r="F139">
            <v>474.63</v>
          </cell>
          <cell r="G139">
            <v>475.73</v>
          </cell>
          <cell r="H139">
            <v>474.48</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 xml:space="preserve"> </v>
          </cell>
          <cell r="B140" t="str">
            <v>Energy   Contents   in   MKwh</v>
          </cell>
          <cell r="C140" t="str">
            <v>MU</v>
          </cell>
          <cell r="D140">
            <v>4.41</v>
          </cell>
          <cell r="E140">
            <v>5.95</v>
          </cell>
          <cell r="F140">
            <v>3.95</v>
          </cell>
          <cell r="G140">
            <v>5.27</v>
          </cell>
          <cell r="H140">
            <v>3.78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f</v>
          </cell>
          <cell r="B141" t="str">
            <v>HASDEO-BANGO    MDDL    329.79 M</v>
          </cell>
          <cell r="C141" t="str">
            <v>M</v>
          </cell>
          <cell r="D141">
            <v>345</v>
          </cell>
          <cell r="E141">
            <v>355.56</v>
          </cell>
          <cell r="F141">
            <v>334.51</v>
          </cell>
          <cell r="G141">
            <v>344.57</v>
          </cell>
          <cell r="H141">
            <v>345.48</v>
          </cell>
        </row>
        <row r="142">
          <cell r="A142" t="str">
            <v xml:space="preserve"> </v>
          </cell>
          <cell r="B142" t="str">
            <v>Energy   Contents   in   MKwh</v>
          </cell>
          <cell r="C142" t="str">
            <v>MU</v>
          </cell>
          <cell r="D142">
            <v>68</v>
          </cell>
          <cell r="E142">
            <v>187.4</v>
          </cell>
          <cell r="F142">
            <v>13.18</v>
          </cell>
          <cell r="G142">
            <v>64.849999999999994</v>
          </cell>
          <cell r="H142">
            <v>71.36</v>
          </cell>
        </row>
        <row r="143">
          <cell r="A143" t="str">
            <v>g</v>
          </cell>
          <cell r="B143" t="str">
            <v xml:space="preserve">RAJGHAT     MDDL    </v>
          </cell>
          <cell r="C143" t="str">
            <v>M</v>
          </cell>
          <cell r="D143" t="str">
            <v xml:space="preserve"> </v>
          </cell>
          <cell r="E143" t="str">
            <v xml:space="preserve"> </v>
          </cell>
          <cell r="F143" t="str">
            <v xml:space="preserve"> </v>
          </cell>
          <cell r="G143" t="str">
            <v xml:space="preserve"> </v>
          </cell>
          <cell r="H143" t="str">
            <v xml:space="preserve"> </v>
          </cell>
          <cell r="I143" t="str">
            <v>AUXILIARY CONSUMPTION</v>
          </cell>
          <cell r="K143" t="str">
            <v>MAXIMUM DEMAND</v>
          </cell>
          <cell r="L143" t="str">
            <v>COAL IN MT</v>
          </cell>
          <cell r="N143" t="str">
            <v>COAL CONSUMED</v>
          </cell>
          <cell r="P143" t="str">
            <v>FUEL OIL CONSUMPTION</v>
          </cell>
        </row>
        <row r="144">
          <cell r="A144" t="str">
            <v xml:space="preserve"> </v>
          </cell>
          <cell r="B144" t="str">
            <v>Energy   Contents   in   MKwh</v>
          </cell>
          <cell r="C144" t="str">
            <v>MU</v>
          </cell>
          <cell r="D144" t="str">
            <v xml:space="preserve"> </v>
          </cell>
          <cell r="E144" t="str">
            <v xml:space="preserve"> </v>
          </cell>
          <cell r="F144" t="str">
            <v xml:space="preserve"> </v>
          </cell>
          <cell r="G144" t="str">
            <v xml:space="preserve"> </v>
          </cell>
          <cell r="H144">
            <v>0</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 xml:space="preserve"> </v>
          </cell>
          <cell r="B145" t="str">
            <v>M.P.E.B. GENERATION  AS PER SHARE</v>
          </cell>
          <cell r="C145">
            <v>312.5</v>
          </cell>
          <cell r="D145">
            <v>1650</v>
          </cell>
          <cell r="E145">
            <v>1832.28</v>
          </cell>
          <cell r="F145">
            <v>111.04727272727273</v>
          </cell>
          <cell r="G145">
            <v>78.5</v>
          </cell>
          <cell r="H145">
            <v>66.932602739726022</v>
          </cell>
        </row>
        <row r="146">
          <cell r="A146">
            <v>1</v>
          </cell>
          <cell r="B146" t="str">
            <v>THERMAL  ( Excl. 40% Satpura I)</v>
          </cell>
          <cell r="C146" t="str">
            <v>MU</v>
          </cell>
          <cell r="D146">
            <v>16139.38</v>
          </cell>
          <cell r="E146">
            <v>17117.55</v>
          </cell>
          <cell r="F146">
            <v>17701.060000000001</v>
          </cell>
          <cell r="G146">
            <v>19305.5</v>
          </cell>
          <cell r="H146">
            <v>19626.939999999999</v>
          </cell>
        </row>
        <row r="147">
          <cell r="A147">
            <v>2</v>
          </cell>
          <cell r="B147" t="str">
            <v>HYDEL    ( Excl. 50 % Chambal &amp; 1/3 Pench )</v>
          </cell>
          <cell r="C147" t="str">
            <v>MU</v>
          </cell>
          <cell r="D147">
            <v>2274.37</v>
          </cell>
          <cell r="E147">
            <v>2324.88</v>
          </cell>
          <cell r="F147">
            <v>2850.57</v>
          </cell>
          <cell r="G147">
            <v>2507.1999999999998</v>
          </cell>
          <cell r="H147">
            <v>1809.98</v>
          </cell>
        </row>
        <row r="148">
          <cell r="A148">
            <v>3</v>
          </cell>
          <cell r="B148" t="str">
            <v>TOTAL</v>
          </cell>
          <cell r="C148" t="str">
            <v>MU</v>
          </cell>
          <cell r="D148">
            <v>18413.75</v>
          </cell>
          <cell r="E148">
            <v>19442.43</v>
          </cell>
          <cell r="F148">
            <v>20551.63</v>
          </cell>
          <cell r="G148">
            <v>21812.7</v>
          </cell>
          <cell r="H148">
            <v>21436.92</v>
          </cell>
        </row>
        <row r="149">
          <cell r="A149" t="str">
            <v>Note :-</v>
          </cell>
          <cell r="B149" t="str">
            <v>1.Heavy and good rains resulted in more secondary generation in Hydel Stations in Year 1994-95</v>
          </cell>
          <cell r="C149">
            <v>312.5</v>
          </cell>
          <cell r="D149">
            <v>1600</v>
          </cell>
          <cell r="E149">
            <v>1538.84</v>
          </cell>
          <cell r="F149">
            <v>96.177499999999995</v>
          </cell>
          <cell r="G149">
            <v>72.41</v>
          </cell>
          <cell r="H149">
            <v>56.213333333333331</v>
          </cell>
        </row>
        <row r="150">
          <cell r="A150" t="str">
            <v>Note :-</v>
          </cell>
          <cell r="B150" t="str">
            <v>2.Intermittent rains practically every month resulted in building up level and non utilisation of water due to lack of demand in 1997-98.</v>
          </cell>
          <cell r="C150">
            <v>312.5</v>
          </cell>
          <cell r="D150">
            <v>1500</v>
          </cell>
          <cell r="E150">
            <v>1519.37</v>
          </cell>
          <cell r="F150">
            <v>101.29133333333333</v>
          </cell>
          <cell r="G150">
            <v>72.699726027397261</v>
          </cell>
          <cell r="H150">
            <v>55.502100456621008</v>
          </cell>
        </row>
        <row r="151">
          <cell r="B151" t="str">
            <v>94-95</v>
          </cell>
          <cell r="C151">
            <v>312.5</v>
          </cell>
          <cell r="D151">
            <v>1550</v>
          </cell>
          <cell r="E151">
            <v>1497.8</v>
          </cell>
          <cell r="F151">
            <v>96.632258064516122</v>
          </cell>
          <cell r="G151">
            <v>70</v>
          </cell>
          <cell r="H151">
            <v>54.714155251141555</v>
          </cell>
        </row>
        <row r="152">
          <cell r="B152" t="str">
            <v>95-96</v>
          </cell>
          <cell r="C152">
            <v>312.5</v>
          </cell>
          <cell r="D152">
            <v>1550</v>
          </cell>
          <cell r="E152">
            <v>1814</v>
          </cell>
          <cell r="F152">
            <v>117.03225806451613</v>
          </cell>
          <cell r="G152">
            <v>78.900000000000006</v>
          </cell>
          <cell r="H152">
            <v>66.083788706739526</v>
          </cell>
        </row>
        <row r="153">
          <cell r="B153" t="str">
            <v>96-97</v>
          </cell>
          <cell r="C153">
            <v>312.5</v>
          </cell>
          <cell r="D153">
            <v>1650</v>
          </cell>
          <cell r="E153">
            <v>1819</v>
          </cell>
          <cell r="F153">
            <v>110.24242424242425</v>
          </cell>
          <cell r="G153">
            <v>78</v>
          </cell>
          <cell r="H153">
            <v>66.447488584474883</v>
          </cell>
        </row>
        <row r="154">
          <cell r="B154" t="str">
            <v>97-98</v>
          </cell>
          <cell r="C154">
            <v>312.5</v>
          </cell>
          <cell r="D154">
            <v>1800</v>
          </cell>
          <cell r="E154">
            <v>2122.88</v>
          </cell>
          <cell r="F154">
            <v>117.93777777777778</v>
          </cell>
          <cell r="G154">
            <v>85.2</v>
          </cell>
          <cell r="H154">
            <v>77.548127853881283</v>
          </cell>
        </row>
        <row r="155">
          <cell r="B155" t="str">
            <v>98-99</v>
          </cell>
          <cell r="C155">
            <v>312.5</v>
          </cell>
          <cell r="D155">
            <v>1700</v>
          </cell>
          <cell r="E155">
            <v>1925.81</v>
          </cell>
          <cell r="F155">
            <v>113.28294117647059</v>
          </cell>
          <cell r="G155">
            <v>78.900000000000006</v>
          </cell>
          <cell r="H155">
            <v>70.349223744292232</v>
          </cell>
        </row>
        <row r="156">
          <cell r="B156" t="str">
            <v>99-00</v>
          </cell>
          <cell r="C156">
            <v>312.5</v>
          </cell>
          <cell r="D156">
            <v>2050</v>
          </cell>
          <cell r="E156">
            <v>2102.1999999999998</v>
          </cell>
          <cell r="F156">
            <v>102.5</v>
          </cell>
          <cell r="G156">
            <v>80.8</v>
          </cell>
          <cell r="H156">
            <v>76.599999999999994</v>
          </cell>
        </row>
        <row r="157">
          <cell r="B157" t="str">
            <v>00-01</v>
          </cell>
          <cell r="C157">
            <v>312.5</v>
          </cell>
          <cell r="D157">
            <v>1950</v>
          </cell>
          <cell r="E157">
            <v>1972.36</v>
          </cell>
          <cell r="F157">
            <v>101.15</v>
          </cell>
          <cell r="G157">
            <v>78.77</v>
          </cell>
          <cell r="H157">
            <v>72.05</v>
          </cell>
        </row>
        <row r="158">
          <cell r="A158" t="str">
            <v>Average last 5 years</v>
          </cell>
          <cell r="D158">
            <v>1830</v>
          </cell>
          <cell r="E158">
            <v>1988.45</v>
          </cell>
          <cell r="F158">
            <v>109.02262863933451</v>
          </cell>
          <cell r="G158">
            <v>80.333999999999989</v>
          </cell>
          <cell r="H158">
            <v>72.598968036529669</v>
          </cell>
        </row>
        <row r="159">
          <cell r="A159" t="str">
            <v>SATPURA II</v>
          </cell>
          <cell r="B159" t="str">
            <v>88-89</v>
          </cell>
          <cell r="C159">
            <v>410</v>
          </cell>
          <cell r="D159">
            <v>1800</v>
          </cell>
          <cell r="E159">
            <v>1359.91</v>
          </cell>
          <cell r="F159">
            <v>75.550555555555562</v>
          </cell>
          <cell r="G159">
            <v>64.67</v>
          </cell>
          <cell r="H159">
            <v>37.863626239002116</v>
          </cell>
        </row>
        <row r="160">
          <cell r="B160" t="str">
            <v>89-90</v>
          </cell>
          <cell r="C160">
            <v>410</v>
          </cell>
          <cell r="D160">
            <v>1800</v>
          </cell>
          <cell r="E160">
            <v>1247.99</v>
          </cell>
          <cell r="F160">
            <v>69.332777777777778</v>
          </cell>
          <cell r="G160">
            <v>64.5</v>
          </cell>
          <cell r="H160">
            <v>34.747466310279542</v>
          </cell>
        </row>
        <row r="161">
          <cell r="B161" t="str">
            <v>90-91</v>
          </cell>
          <cell r="C161">
            <v>410</v>
          </cell>
          <cell r="D161">
            <v>1800</v>
          </cell>
          <cell r="E161">
            <v>1143.08</v>
          </cell>
          <cell r="F161">
            <v>63.504444444444445</v>
          </cell>
          <cell r="G161">
            <v>59.01</v>
          </cell>
          <cell r="H161">
            <v>31.826484018264839</v>
          </cell>
        </row>
        <row r="162">
          <cell r="B162" t="str">
            <v>91-92</v>
          </cell>
          <cell r="C162">
            <v>410</v>
          </cell>
          <cell r="D162">
            <v>1800</v>
          </cell>
          <cell r="E162">
            <v>1261.23</v>
          </cell>
          <cell r="F162">
            <v>70.068333333333328</v>
          </cell>
          <cell r="G162">
            <v>57.19</v>
          </cell>
          <cell r="H162">
            <v>35.116104243234211</v>
          </cell>
        </row>
        <row r="163">
          <cell r="B163" t="str">
            <v>92-93</v>
          </cell>
          <cell r="C163">
            <v>410</v>
          </cell>
          <cell r="D163">
            <v>1600</v>
          </cell>
          <cell r="E163">
            <v>1091.3900000000001</v>
          </cell>
          <cell r="F163">
            <v>68.211875000000006</v>
          </cell>
          <cell r="G163">
            <v>52.11</v>
          </cell>
          <cell r="H163">
            <v>30.387292571555857</v>
          </cell>
        </row>
        <row r="164">
          <cell r="B164" t="str">
            <v>93-94</v>
          </cell>
          <cell r="C164">
            <v>410</v>
          </cell>
          <cell r="D164">
            <v>1400</v>
          </cell>
          <cell r="E164">
            <v>1268.5727999999999</v>
          </cell>
          <cell r="F164">
            <v>90.612342857142863</v>
          </cell>
          <cell r="G164">
            <v>50.802958904109587</v>
          </cell>
          <cell r="H164">
            <v>35.320547945205476</v>
          </cell>
        </row>
        <row r="165">
          <cell r="B165" t="str">
            <v>94-95</v>
          </cell>
          <cell r="C165">
            <v>410</v>
          </cell>
          <cell r="D165">
            <v>1400</v>
          </cell>
          <cell r="E165">
            <v>2021.1</v>
          </cell>
          <cell r="F165">
            <v>144.36428571428573</v>
          </cell>
          <cell r="G165">
            <v>74.5</v>
          </cell>
          <cell r="H165">
            <v>56.272970263949212</v>
          </cell>
        </row>
        <row r="166">
          <cell r="B166" t="str">
            <v>95-96</v>
          </cell>
          <cell r="C166">
            <v>410</v>
          </cell>
          <cell r="D166">
            <v>2000</v>
          </cell>
          <cell r="E166">
            <v>2079.3000000000002</v>
          </cell>
          <cell r="F166">
            <v>103.96500000000002</v>
          </cell>
          <cell r="G166">
            <v>77.3</v>
          </cell>
          <cell r="H166">
            <v>57.735239237638289</v>
          </cell>
        </row>
        <row r="167">
          <cell r="B167" t="str">
            <v>96-97</v>
          </cell>
          <cell r="C167">
            <v>410</v>
          </cell>
          <cell r="D167">
            <v>2000</v>
          </cell>
          <cell r="E167">
            <v>2273.1</v>
          </cell>
          <cell r="F167">
            <v>113.655</v>
          </cell>
          <cell r="G167">
            <v>77.599999999999994</v>
          </cell>
          <cell r="H167">
            <v>63.289341797527563</v>
          </cell>
        </row>
        <row r="168">
          <cell r="B168" t="str">
            <v>97-98</v>
          </cell>
          <cell r="C168">
            <v>410</v>
          </cell>
          <cell r="D168">
            <v>2200</v>
          </cell>
          <cell r="E168">
            <v>2601.9899999999998</v>
          </cell>
          <cell r="F168">
            <v>118.27227272727271</v>
          </cell>
          <cell r="G168">
            <v>84.5</v>
          </cell>
          <cell r="H168">
            <v>72.446541931172732</v>
          </cell>
        </row>
        <row r="169">
          <cell r="B169" t="str">
            <v>98-99</v>
          </cell>
          <cell r="C169">
            <v>410</v>
          </cell>
          <cell r="D169">
            <v>2150</v>
          </cell>
          <cell r="E169">
            <v>2881.87</v>
          </cell>
          <cell r="F169">
            <v>134.04046511627908</v>
          </cell>
          <cell r="G169">
            <v>87.5</v>
          </cell>
          <cell r="H169">
            <v>80.239169172513641</v>
          </cell>
        </row>
        <row r="170">
          <cell r="B170" t="str">
            <v>99-00</v>
          </cell>
          <cell r="C170">
            <v>410</v>
          </cell>
          <cell r="D170">
            <v>2700</v>
          </cell>
          <cell r="E170">
            <v>2520.9</v>
          </cell>
          <cell r="F170">
            <v>93.3</v>
          </cell>
          <cell r="G170">
            <v>75.2</v>
          </cell>
          <cell r="H170">
            <v>70</v>
          </cell>
        </row>
        <row r="171">
          <cell r="B171" t="str">
            <v>00-01</v>
          </cell>
          <cell r="C171">
            <v>410</v>
          </cell>
          <cell r="D171">
            <v>2850</v>
          </cell>
          <cell r="E171">
            <v>2450.13</v>
          </cell>
          <cell r="F171">
            <v>85.97</v>
          </cell>
          <cell r="G171">
            <v>77.64</v>
          </cell>
          <cell r="H171">
            <v>68.22</v>
          </cell>
        </row>
        <row r="172">
          <cell r="A172" t="str">
            <v>Average last 5 years</v>
          </cell>
          <cell r="D172">
            <v>2380</v>
          </cell>
          <cell r="E172">
            <v>2545.5980000000004</v>
          </cell>
          <cell r="F172">
            <v>109.04754756871037</v>
          </cell>
          <cell r="G172">
            <v>80.488</v>
          </cell>
          <cell r="H172">
            <v>70.839010580242785</v>
          </cell>
        </row>
        <row r="173">
          <cell r="A173" t="str">
            <v>SATPURA III</v>
          </cell>
          <cell r="B173" t="str">
            <v>88-89</v>
          </cell>
          <cell r="C173">
            <v>420</v>
          </cell>
          <cell r="D173">
            <v>2050</v>
          </cell>
          <cell r="E173">
            <v>1857.99</v>
          </cell>
          <cell r="F173">
            <v>90.633658536585372</v>
          </cell>
          <cell r="G173">
            <v>75.62</v>
          </cell>
          <cell r="H173">
            <v>50.4998369210698</v>
          </cell>
        </row>
        <row r="174">
          <cell r="B174" t="str">
            <v>89-90</v>
          </cell>
          <cell r="C174">
            <v>420</v>
          </cell>
          <cell r="D174">
            <v>2100</v>
          </cell>
          <cell r="E174">
            <v>1805.67</v>
          </cell>
          <cell r="F174">
            <v>85.984285714285718</v>
          </cell>
          <cell r="G174">
            <v>88.7</v>
          </cell>
          <cell r="H174">
            <v>49.077788649706456</v>
          </cell>
        </row>
        <row r="175">
          <cell r="B175" t="str">
            <v>90-91</v>
          </cell>
          <cell r="C175">
            <v>420</v>
          </cell>
          <cell r="D175">
            <v>1950</v>
          </cell>
          <cell r="E175">
            <v>1496.73</v>
          </cell>
          <cell r="F175">
            <v>76.755384615384614</v>
          </cell>
          <cell r="G175">
            <v>67.97</v>
          </cell>
          <cell r="H175">
            <v>40.680854533594257</v>
          </cell>
        </row>
        <row r="176">
          <cell r="B176" t="str">
            <v>91-92</v>
          </cell>
          <cell r="C176">
            <v>420</v>
          </cell>
          <cell r="D176">
            <v>1950</v>
          </cell>
          <cell r="E176">
            <v>1741.07</v>
          </cell>
          <cell r="F176">
            <v>89.285641025641027</v>
          </cell>
          <cell r="G176">
            <v>69.19</v>
          </cell>
          <cell r="H176">
            <v>47.321972167862576</v>
          </cell>
        </row>
        <row r="177">
          <cell r="B177" t="str">
            <v>92-93</v>
          </cell>
          <cell r="C177">
            <v>420</v>
          </cell>
          <cell r="D177">
            <v>1800</v>
          </cell>
          <cell r="E177">
            <v>2011.32</v>
          </cell>
          <cell r="F177">
            <v>111.74</v>
          </cell>
          <cell r="G177">
            <v>81.23</v>
          </cell>
          <cell r="H177">
            <v>54.667318982387478</v>
          </cell>
        </row>
        <row r="178">
          <cell r="B178" t="str">
            <v>93-94</v>
          </cell>
          <cell r="C178">
            <v>420</v>
          </cell>
          <cell r="D178">
            <v>2015</v>
          </cell>
          <cell r="E178">
            <v>2278.799</v>
          </cell>
          <cell r="F178">
            <v>113.0917617866005</v>
          </cell>
          <cell r="G178">
            <v>81.576273972602735</v>
          </cell>
          <cell r="H178">
            <v>61.93735051098065</v>
          </cell>
        </row>
        <row r="179">
          <cell r="B179" t="str">
            <v>94-95</v>
          </cell>
          <cell r="C179">
            <v>420</v>
          </cell>
          <cell r="D179">
            <v>2000</v>
          </cell>
          <cell r="E179">
            <v>2280.8000000000002</v>
          </cell>
          <cell r="F179">
            <v>114.04000000000002</v>
          </cell>
          <cell r="G179">
            <v>85.1</v>
          </cell>
          <cell r="H179">
            <v>61.991737334203094</v>
          </cell>
        </row>
        <row r="180">
          <cell r="B180" t="str">
            <v>95-96</v>
          </cell>
          <cell r="C180">
            <v>420</v>
          </cell>
          <cell r="D180">
            <v>2100</v>
          </cell>
          <cell r="E180">
            <v>2141.3000000000002</v>
          </cell>
          <cell r="F180">
            <v>101.96666666666668</v>
          </cell>
          <cell r="G180">
            <v>77.400000000000006</v>
          </cell>
          <cell r="H180">
            <v>58.041135397692784</v>
          </cell>
        </row>
        <row r="181">
          <cell r="B181" t="str">
            <v>96-97</v>
          </cell>
          <cell r="C181">
            <v>420</v>
          </cell>
          <cell r="D181">
            <v>2100</v>
          </cell>
          <cell r="E181">
            <v>2447.1999999999998</v>
          </cell>
          <cell r="F181">
            <v>116.53333333333332</v>
          </cell>
          <cell r="G181">
            <v>82.1</v>
          </cell>
          <cell r="H181">
            <v>66.514459665144585</v>
          </cell>
        </row>
        <row r="182">
          <cell r="B182" t="str">
            <v>97-98</v>
          </cell>
          <cell r="C182">
            <v>420</v>
          </cell>
          <cell r="D182">
            <v>2300</v>
          </cell>
          <cell r="E182">
            <v>2706.67</v>
          </cell>
          <cell r="F182">
            <v>117.68130434782609</v>
          </cell>
          <cell r="G182">
            <v>82.6</v>
          </cell>
          <cell r="H182">
            <v>73.566808001739503</v>
          </cell>
        </row>
        <row r="183">
          <cell r="B183" t="str">
            <v>98-99</v>
          </cell>
          <cell r="C183">
            <v>420</v>
          </cell>
          <cell r="D183">
            <v>2250</v>
          </cell>
          <cell r="E183">
            <v>2830.37</v>
          </cell>
          <cell r="F183">
            <v>125.79422222222222</v>
          </cell>
          <cell r="G183">
            <v>82.9</v>
          </cell>
          <cell r="H183">
            <v>76.92895194607523</v>
          </cell>
        </row>
        <row r="184">
          <cell r="B184" t="str">
            <v>99-00</v>
          </cell>
          <cell r="C184">
            <v>420</v>
          </cell>
          <cell r="D184">
            <v>2750</v>
          </cell>
          <cell r="E184">
            <v>3093.5</v>
          </cell>
          <cell r="F184">
            <v>112.5</v>
          </cell>
          <cell r="G184">
            <v>87.3</v>
          </cell>
          <cell r="H184">
            <v>83.9</v>
          </cell>
        </row>
        <row r="185">
          <cell r="B185" t="str">
            <v>00-01</v>
          </cell>
          <cell r="C185">
            <v>420</v>
          </cell>
          <cell r="D185">
            <v>2800</v>
          </cell>
          <cell r="E185">
            <v>2780.62</v>
          </cell>
          <cell r="F185">
            <v>97.46</v>
          </cell>
          <cell r="G185">
            <v>79.290000000000006</v>
          </cell>
          <cell r="H185">
            <v>75.58</v>
          </cell>
        </row>
        <row r="186">
          <cell r="A186" t="str">
            <v>Average last 5 years</v>
          </cell>
          <cell r="D186">
            <v>2440</v>
          </cell>
          <cell r="E186">
            <v>2771.672</v>
          </cell>
          <cell r="F186">
            <v>113.99377198067631</v>
          </cell>
          <cell r="G186">
            <v>82.837999999999994</v>
          </cell>
          <cell r="H186">
            <v>75.298043922591859</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row>
        <row r="190">
          <cell r="C190" t="str">
            <v>MW</v>
          </cell>
          <cell r="D190" t="str">
            <v>MKwh</v>
          </cell>
          <cell r="E190" t="str">
            <v>MKwh</v>
          </cell>
          <cell r="F190" t="str">
            <v>%</v>
          </cell>
          <cell r="G190" t="str">
            <v>%</v>
          </cell>
          <cell r="H190" t="str">
            <v>%</v>
          </cell>
        </row>
        <row r="191">
          <cell r="A191" t="str">
            <v>SATPURA</v>
          </cell>
          <cell r="B191" t="str">
            <v>88-89</v>
          </cell>
          <cell r="C191">
            <v>1142.5</v>
          </cell>
          <cell r="D191">
            <v>5500</v>
          </cell>
          <cell r="E191">
            <v>5050.18</v>
          </cell>
          <cell r="F191">
            <v>91.821454545454543</v>
          </cell>
          <cell r="G191">
            <v>72.4782056892779</v>
          </cell>
          <cell r="H191">
            <v>50.459918267837693</v>
          </cell>
        </row>
        <row r="192">
          <cell r="B192" t="str">
            <v>89-90</v>
          </cell>
          <cell r="C192">
            <v>1142.5</v>
          </cell>
          <cell r="D192">
            <v>5475</v>
          </cell>
          <cell r="E192">
            <v>4783.66</v>
          </cell>
          <cell r="F192">
            <v>87.372785388127852</v>
          </cell>
          <cell r="G192">
            <v>76.818052516411385</v>
          </cell>
          <cell r="H192">
            <v>47.796928549304077</v>
          </cell>
        </row>
        <row r="193">
          <cell r="B193" t="str">
            <v>90-91</v>
          </cell>
          <cell r="C193">
            <v>1142.5</v>
          </cell>
          <cell r="D193">
            <v>5450</v>
          </cell>
          <cell r="E193">
            <v>4155.2000000000007</v>
          </cell>
          <cell r="F193">
            <v>76.242201834862399</v>
          </cell>
          <cell r="G193">
            <v>66.023741794310723</v>
          </cell>
          <cell r="H193">
            <v>41.517540441433617</v>
          </cell>
        </row>
        <row r="194">
          <cell r="B194" t="str">
            <v>91-92</v>
          </cell>
          <cell r="C194">
            <v>1142.5</v>
          </cell>
          <cell r="D194">
            <v>5450</v>
          </cell>
          <cell r="E194">
            <v>4387.7699999999995</v>
          </cell>
          <cell r="F194">
            <v>80.509541284403653</v>
          </cell>
          <cell r="G194">
            <v>63.680153172866518</v>
          </cell>
          <cell r="H194">
            <v>43.721526706604003</v>
          </cell>
        </row>
        <row r="195">
          <cell r="B195" t="str">
            <v>92-93</v>
          </cell>
          <cell r="C195">
            <v>1142.5</v>
          </cell>
          <cell r="D195">
            <v>5000</v>
          </cell>
          <cell r="E195">
            <v>4641.55</v>
          </cell>
          <cell r="F195">
            <v>92.831000000000003</v>
          </cell>
          <cell r="G195">
            <v>68.367461706783374</v>
          </cell>
          <cell r="H195">
            <v>46.37700708412018</v>
          </cell>
        </row>
        <row r="196">
          <cell r="B196" t="str">
            <v>93-94</v>
          </cell>
          <cell r="C196">
            <v>1142.5</v>
          </cell>
          <cell r="D196">
            <v>4915</v>
          </cell>
          <cell r="E196">
            <v>5066.7417999999998</v>
          </cell>
          <cell r="F196">
            <v>103.08732044760936</v>
          </cell>
          <cell r="G196">
            <v>68.104956326249209</v>
          </cell>
          <cell r="H196">
            <v>50.625398918897318</v>
          </cell>
        </row>
        <row r="197">
          <cell r="B197" t="str">
            <v>94-95</v>
          </cell>
          <cell r="C197">
            <v>1142.5</v>
          </cell>
          <cell r="D197">
            <v>4950</v>
          </cell>
          <cell r="E197">
            <v>5799.7</v>
          </cell>
          <cell r="F197">
            <v>117.16565656565656</v>
          </cell>
          <cell r="G197">
            <v>77.165864332603945</v>
          </cell>
          <cell r="H197">
            <v>57.948902410998869</v>
          </cell>
        </row>
        <row r="198">
          <cell r="B198" t="str">
            <v>95-96</v>
          </cell>
          <cell r="C198">
            <v>1142.5</v>
          </cell>
          <cell r="D198">
            <v>5650</v>
          </cell>
          <cell r="E198">
            <v>6034.6</v>
          </cell>
          <cell r="F198">
            <v>106.8070796460177</v>
          </cell>
          <cell r="G198">
            <v>77.774398249452958</v>
          </cell>
          <cell r="H198">
            <v>60.13121131318929</v>
          </cell>
        </row>
        <row r="199">
          <cell r="B199" t="str">
            <v>96-97</v>
          </cell>
          <cell r="C199">
            <v>1142.5</v>
          </cell>
          <cell r="D199">
            <v>5750</v>
          </cell>
          <cell r="E199">
            <v>6539.2999999999993</v>
          </cell>
          <cell r="F199">
            <v>113.72695652173911</v>
          </cell>
          <cell r="G199">
            <v>79.3636761487965</v>
          </cell>
          <cell r="H199">
            <v>65.338768821877835</v>
          </cell>
        </row>
        <row r="200">
          <cell r="B200" t="str">
            <v>97-98</v>
          </cell>
          <cell r="C200">
            <v>1142.5</v>
          </cell>
          <cell r="D200">
            <v>6300</v>
          </cell>
          <cell r="E200">
            <v>7431.54</v>
          </cell>
          <cell r="F200">
            <v>117.96095238095238</v>
          </cell>
          <cell r="G200">
            <v>83.992997811816196</v>
          </cell>
          <cell r="H200">
            <v>74.253769371421726</v>
          </cell>
        </row>
        <row r="201">
          <cell r="B201" t="str">
            <v>98-99</v>
          </cell>
          <cell r="C201">
            <v>1142.5</v>
          </cell>
          <cell r="D201">
            <v>6100</v>
          </cell>
          <cell r="E201">
            <v>7638.05</v>
          </cell>
          <cell r="F201">
            <v>125.21393442622951</v>
          </cell>
          <cell r="G201">
            <v>83.45667396061269</v>
          </cell>
          <cell r="H201">
            <v>76.317156759889286</v>
          </cell>
        </row>
        <row r="202">
          <cell r="B202" t="str">
            <v>99-00</v>
          </cell>
          <cell r="C202">
            <v>1142.5</v>
          </cell>
          <cell r="D202">
            <v>7500</v>
          </cell>
          <cell r="E202">
            <v>7716.6</v>
          </cell>
          <cell r="F202">
            <v>102.9</v>
          </cell>
          <cell r="G202">
            <v>81.2</v>
          </cell>
          <cell r="H202">
            <v>76.900000000000006</v>
          </cell>
        </row>
        <row r="203">
          <cell r="B203" t="str">
            <v>00-01</v>
          </cell>
          <cell r="C203">
            <v>1142.5</v>
          </cell>
          <cell r="D203">
            <v>7650</v>
          </cell>
          <cell r="E203">
            <v>7203.11</v>
          </cell>
          <cell r="F203">
            <v>94.16</v>
          </cell>
          <cell r="G203">
            <v>78.55</v>
          </cell>
          <cell r="H203">
            <v>71.97</v>
          </cell>
        </row>
        <row r="204">
          <cell r="A204" t="str">
            <v>Average last 5 years</v>
          </cell>
          <cell r="D204">
            <v>6660</v>
          </cell>
          <cell r="E204">
            <v>7305.7199999999993</v>
          </cell>
          <cell r="F204">
            <v>110.7923686657842</v>
          </cell>
          <cell r="G204">
            <v>81.312669584245072</v>
          </cell>
          <cell r="H204">
            <v>72.955938990637762</v>
          </cell>
        </row>
        <row r="205">
          <cell r="A205" t="str">
            <v>SANJAY GANDHI I</v>
          </cell>
          <cell r="B205" t="str">
            <v>93-94</v>
          </cell>
          <cell r="C205">
            <v>210</v>
          </cell>
          <cell r="D205">
            <v>1500</v>
          </cell>
          <cell r="E205">
            <v>213.536</v>
          </cell>
          <cell r="F205">
            <v>14.235733333333332</v>
          </cell>
          <cell r="G205">
            <v>51.811609848484849</v>
          </cell>
          <cell r="H205">
            <v>11.607740813220266</v>
          </cell>
        </row>
        <row r="206">
          <cell r="B206" t="str">
            <v>94-95</v>
          </cell>
          <cell r="C206">
            <v>420</v>
          </cell>
          <cell r="D206">
            <v>1500</v>
          </cell>
          <cell r="E206">
            <v>1199</v>
          </cell>
          <cell r="F206">
            <v>79.933333333333337</v>
          </cell>
          <cell r="G206">
            <v>72.66</v>
          </cell>
          <cell r="H206">
            <v>35.287909758778738</v>
          </cell>
        </row>
        <row r="207">
          <cell r="B207" t="str">
            <v>95-96</v>
          </cell>
          <cell r="C207">
            <v>420</v>
          </cell>
          <cell r="D207">
            <v>2420</v>
          </cell>
          <cell r="E207">
            <v>1991.4</v>
          </cell>
          <cell r="F207">
            <v>82.289256198347104</v>
          </cell>
          <cell r="G207">
            <v>74</v>
          </cell>
          <cell r="H207">
            <v>53.978011969815249</v>
          </cell>
        </row>
        <row r="208">
          <cell r="B208" t="str">
            <v>96-97</v>
          </cell>
          <cell r="C208">
            <v>420</v>
          </cell>
          <cell r="D208">
            <v>2500</v>
          </cell>
          <cell r="E208">
            <v>2363</v>
          </cell>
          <cell r="F208">
            <v>94.52</v>
          </cell>
          <cell r="G208">
            <v>79.2</v>
          </cell>
          <cell r="H208">
            <v>64.225918677973468</v>
          </cell>
        </row>
        <row r="209">
          <cell r="B209" t="str">
            <v>97-98</v>
          </cell>
          <cell r="C209">
            <v>420</v>
          </cell>
          <cell r="D209">
            <v>2450</v>
          </cell>
          <cell r="E209">
            <v>2249.6</v>
          </cell>
          <cell r="F209">
            <v>91.820408163265313</v>
          </cell>
          <cell r="G209">
            <v>71.7</v>
          </cell>
          <cell r="H209">
            <v>61.143726897151552</v>
          </cell>
        </row>
        <row r="210">
          <cell r="B210" t="str">
            <v>98-99</v>
          </cell>
          <cell r="C210">
            <v>420</v>
          </cell>
          <cell r="D210">
            <v>2600</v>
          </cell>
          <cell r="E210">
            <v>2518.15</v>
          </cell>
          <cell r="F210">
            <v>96.851923076923072</v>
          </cell>
          <cell r="G210">
            <v>80</v>
          </cell>
          <cell r="H210">
            <v>68.442868014785816</v>
          </cell>
        </row>
        <row r="211">
          <cell r="B211" t="str">
            <v>99-00</v>
          </cell>
          <cell r="C211">
            <v>420</v>
          </cell>
          <cell r="D211">
            <v>2750</v>
          </cell>
          <cell r="E211">
            <v>2308.1</v>
          </cell>
          <cell r="F211">
            <v>83.9</v>
          </cell>
          <cell r="G211">
            <v>76.099999999999994</v>
          </cell>
          <cell r="H211">
            <v>62.6</v>
          </cell>
        </row>
        <row r="212">
          <cell r="B212" t="str">
            <v>00-01</v>
          </cell>
          <cell r="C212">
            <v>420</v>
          </cell>
          <cell r="D212">
            <v>2650</v>
          </cell>
          <cell r="E212">
            <v>2063.33</v>
          </cell>
          <cell r="F212">
            <v>77.89</v>
          </cell>
          <cell r="G212">
            <v>77.25</v>
          </cell>
          <cell r="H212">
            <v>56.08</v>
          </cell>
        </row>
        <row r="213">
          <cell r="A213" t="str">
            <v>Average last 5 years</v>
          </cell>
          <cell r="D213">
            <v>2590</v>
          </cell>
          <cell r="E213">
            <v>2300.4360000000001</v>
          </cell>
          <cell r="F213">
            <v>88.996466248037677</v>
          </cell>
          <cell r="G213">
            <v>76.849999999999994</v>
          </cell>
          <cell r="H213">
            <v>62.49850271798217</v>
          </cell>
        </row>
        <row r="214">
          <cell r="A214" t="str">
            <v>SANJAY GANDHI II</v>
          </cell>
          <cell r="B214" t="str">
            <v>99-00</v>
          </cell>
          <cell r="C214">
            <v>420</v>
          </cell>
          <cell r="D214">
            <v>1000</v>
          </cell>
          <cell r="E214">
            <v>1466.19</v>
          </cell>
          <cell r="F214">
            <v>146.619</v>
          </cell>
          <cell r="G214">
            <v>90.47</v>
          </cell>
          <cell r="H214">
            <v>85.84</v>
          </cell>
        </row>
        <row r="215">
          <cell r="B215" t="str">
            <v>00-01</v>
          </cell>
          <cell r="C215">
            <v>420</v>
          </cell>
          <cell r="D215">
            <v>2700</v>
          </cell>
          <cell r="E215">
            <v>2860.88</v>
          </cell>
          <cell r="F215">
            <v>105.84</v>
          </cell>
          <cell r="G215">
            <v>89.52</v>
          </cell>
          <cell r="H215">
            <v>77.760000000000005</v>
          </cell>
        </row>
        <row r="216">
          <cell r="A216" t="str">
            <v>Average last 2 years</v>
          </cell>
          <cell r="D216">
            <v>1850</v>
          </cell>
          <cell r="E216">
            <v>2163.5349999999999</v>
          </cell>
          <cell r="F216">
            <v>126.2295</v>
          </cell>
          <cell r="G216">
            <v>89.995000000000005</v>
          </cell>
          <cell r="H216">
            <v>81.800000000000011</v>
          </cell>
        </row>
        <row r="217">
          <cell r="A217" t="str">
            <v>SANJAY GANDHI</v>
          </cell>
          <cell r="B217" t="str">
            <v>93-94</v>
          </cell>
          <cell r="C217">
            <v>210</v>
          </cell>
          <cell r="D217">
            <v>1500</v>
          </cell>
          <cell r="E217">
            <v>213.536</v>
          </cell>
          <cell r="F217">
            <v>14.235733333333332</v>
          </cell>
          <cell r="G217">
            <v>51.811609848484849</v>
          </cell>
          <cell r="H217">
            <v>11.607740813220266</v>
          </cell>
        </row>
        <row r="218">
          <cell r="B218" t="str">
            <v>94-95</v>
          </cell>
          <cell r="C218">
            <v>420</v>
          </cell>
          <cell r="D218">
            <v>1500</v>
          </cell>
          <cell r="E218">
            <v>1199</v>
          </cell>
          <cell r="F218">
            <v>79.933333333333337</v>
          </cell>
          <cell r="G218">
            <v>72.66</v>
          </cell>
          <cell r="H218">
            <v>35.287909758778738</v>
          </cell>
        </row>
        <row r="219">
          <cell r="B219" t="str">
            <v>95-96</v>
          </cell>
          <cell r="C219">
            <v>420</v>
          </cell>
          <cell r="D219">
            <v>2420</v>
          </cell>
          <cell r="E219">
            <v>1991.4</v>
          </cell>
          <cell r="F219">
            <v>82.289256198347104</v>
          </cell>
          <cell r="G219">
            <v>74</v>
          </cell>
          <cell r="H219">
            <v>53.978011969815249</v>
          </cell>
        </row>
        <row r="220">
          <cell r="B220" t="str">
            <v>96-97</v>
          </cell>
          <cell r="C220">
            <v>420</v>
          </cell>
          <cell r="D220">
            <v>2500</v>
          </cell>
          <cell r="E220">
            <v>2363</v>
          </cell>
          <cell r="F220">
            <v>94.52</v>
          </cell>
          <cell r="G220">
            <v>79.2</v>
          </cell>
          <cell r="H220">
            <v>64.225918677973468</v>
          </cell>
        </row>
        <row r="221">
          <cell r="B221" t="str">
            <v>97-98</v>
          </cell>
          <cell r="C221">
            <v>420</v>
          </cell>
          <cell r="D221">
            <v>2450</v>
          </cell>
          <cell r="E221">
            <v>2249.6</v>
          </cell>
          <cell r="F221">
            <v>91.820408163265313</v>
          </cell>
          <cell r="G221">
            <v>71.7</v>
          </cell>
          <cell r="H221">
            <v>61.143726897151552</v>
          </cell>
        </row>
        <row r="222">
          <cell r="B222" t="str">
            <v>98-99</v>
          </cell>
          <cell r="C222">
            <v>420</v>
          </cell>
          <cell r="D222">
            <v>2600</v>
          </cell>
          <cell r="E222">
            <v>2518.15</v>
          </cell>
          <cell r="F222">
            <v>96.851923076923072</v>
          </cell>
          <cell r="G222">
            <v>80</v>
          </cell>
          <cell r="H222">
            <v>68.442868014785816</v>
          </cell>
        </row>
        <row r="223">
          <cell r="B223" t="str">
            <v>99-00</v>
          </cell>
          <cell r="C223">
            <v>840</v>
          </cell>
          <cell r="D223">
            <v>3750</v>
          </cell>
          <cell r="E223">
            <v>3774.29</v>
          </cell>
          <cell r="F223">
            <v>230.51900000000001</v>
          </cell>
          <cell r="G223">
            <v>166.57</v>
          </cell>
          <cell r="H223">
            <v>148.44</v>
          </cell>
        </row>
        <row r="224">
          <cell r="B224" t="str">
            <v>00-01</v>
          </cell>
          <cell r="C224">
            <v>840</v>
          </cell>
          <cell r="D224">
            <v>5350</v>
          </cell>
          <cell r="E224">
            <v>4924.21</v>
          </cell>
          <cell r="F224">
            <v>92.01</v>
          </cell>
          <cell r="G224">
            <v>83.39</v>
          </cell>
          <cell r="H224">
            <v>66.92</v>
          </cell>
        </row>
        <row r="225">
          <cell r="A225" t="str">
            <v>Average last 5 years</v>
          </cell>
          <cell r="D225">
            <v>3330</v>
          </cell>
          <cell r="E225">
            <v>3165.85</v>
          </cell>
          <cell r="F225">
            <v>121.14426624803768</v>
          </cell>
          <cell r="G225">
            <v>96.171999999999997</v>
          </cell>
          <cell r="H225">
            <v>81.834502717982176</v>
          </cell>
        </row>
        <row r="226">
          <cell r="A226" t="str">
            <v xml:space="preserve"> * SANJAY GHANDHI : CONSIDERING SGTPS # 1 W.E.F 01.04.93  &amp;  SGTPS # 2 W.E.F; 26.05.94 .# 3 WE.F; 01.09.99</v>
          </cell>
        </row>
        <row r="227">
          <cell r="A227" t="str">
            <v>CONSIDERING SGTPS # 1 W.E.F; 01.01.95    P.L.F. FOR 94-95 = 66.0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row>
        <row r="231">
          <cell r="C231" t="str">
            <v>MW</v>
          </cell>
          <cell r="D231" t="str">
            <v>MKwh</v>
          </cell>
          <cell r="E231" t="str">
            <v>MKwh</v>
          </cell>
          <cell r="F231" t="str">
            <v>%</v>
          </cell>
          <cell r="G231" t="str">
            <v>%</v>
          </cell>
          <cell r="H231" t="str">
            <v>%</v>
          </cell>
        </row>
        <row r="232">
          <cell r="A232" t="str">
            <v>THERMAL</v>
          </cell>
          <cell r="B232" t="str">
            <v>88-89</v>
          </cell>
          <cell r="C232">
            <v>2812.5</v>
          </cell>
          <cell r="D232">
            <v>13000</v>
          </cell>
          <cell r="E232">
            <v>12191.210000000001</v>
          </cell>
          <cell r="F232">
            <v>93.77853846153846</v>
          </cell>
          <cell r="G232">
            <v>68.689582222222228</v>
          </cell>
          <cell r="H232">
            <v>50.05</v>
          </cell>
        </row>
        <row r="233">
          <cell r="B233" t="str">
            <v>89-90</v>
          </cell>
          <cell r="C233">
            <v>2812.5</v>
          </cell>
          <cell r="D233">
            <v>13000</v>
          </cell>
          <cell r="E233">
            <v>12464.71</v>
          </cell>
          <cell r="F233">
            <v>95.882384615384609</v>
          </cell>
          <cell r="G233">
            <v>71.313822222222228</v>
          </cell>
          <cell r="H233">
            <v>50.592430238457638</v>
          </cell>
        </row>
        <row r="234">
          <cell r="B234" t="str">
            <v>90-91</v>
          </cell>
          <cell r="C234">
            <v>2682.5</v>
          </cell>
          <cell r="D234">
            <v>13750</v>
          </cell>
          <cell r="E234">
            <v>12376.880000000001</v>
          </cell>
          <cell r="F234">
            <v>90.013672727272734</v>
          </cell>
          <cell r="G234">
            <v>71.034529356943153</v>
          </cell>
          <cell r="H234">
            <v>52.670488154663872</v>
          </cell>
        </row>
        <row r="235">
          <cell r="B235" t="str">
            <v>91-92</v>
          </cell>
          <cell r="C235">
            <v>2682.5</v>
          </cell>
          <cell r="D235">
            <v>13440</v>
          </cell>
          <cell r="E235">
            <v>11579.91</v>
          </cell>
          <cell r="F235">
            <v>86.160044642857144</v>
          </cell>
          <cell r="G235">
            <v>66.919506057781931</v>
          </cell>
          <cell r="H235">
            <v>49.144296925529261</v>
          </cell>
        </row>
        <row r="236">
          <cell r="B236" t="str">
            <v>92-93</v>
          </cell>
          <cell r="C236">
            <v>2682.5</v>
          </cell>
          <cell r="D236">
            <v>13240</v>
          </cell>
          <cell r="E236">
            <v>12363.220000000001</v>
          </cell>
          <cell r="F236">
            <v>93.377794561933541</v>
          </cell>
          <cell r="G236">
            <v>71.4544734389562</v>
          </cell>
          <cell r="H236">
            <v>52.612357279338859</v>
          </cell>
        </row>
        <row r="237">
          <cell r="B237" t="str">
            <v>93-94</v>
          </cell>
          <cell r="C237">
            <v>2882.5</v>
          </cell>
          <cell r="D237">
            <v>14885</v>
          </cell>
          <cell r="E237">
            <v>13331.489799999999</v>
          </cell>
          <cell r="F237">
            <v>89.563250251931478</v>
          </cell>
          <cell r="G237">
            <v>70.561553251088981</v>
          </cell>
          <cell r="H237">
            <v>52.796515740157702</v>
          </cell>
        </row>
        <row r="238">
          <cell r="B238" t="str">
            <v>94-95</v>
          </cell>
          <cell r="C238">
            <v>3092.5</v>
          </cell>
          <cell r="D238">
            <v>14850</v>
          </cell>
          <cell r="E238">
            <v>14781.1</v>
          </cell>
          <cell r="F238">
            <v>99.536026936026943</v>
          </cell>
          <cell r="G238">
            <v>74.786483427647539</v>
          </cell>
          <cell r="H238">
            <v>54.56233411959262</v>
          </cell>
        </row>
        <row r="239">
          <cell r="B239" t="str">
            <v>95-96</v>
          </cell>
          <cell r="C239">
            <v>3092.5</v>
          </cell>
          <cell r="D239">
            <v>16620</v>
          </cell>
          <cell r="E239">
            <v>16071.3</v>
          </cell>
          <cell r="F239">
            <v>96.698555956678703</v>
          </cell>
          <cell r="G239">
            <v>75.344624090541629</v>
          </cell>
          <cell r="H239">
            <v>59.324924419441643</v>
          </cell>
        </row>
        <row r="240">
          <cell r="B240" t="str">
            <v>96-97</v>
          </cell>
          <cell r="C240">
            <v>3092.5</v>
          </cell>
          <cell r="D240">
            <v>16950</v>
          </cell>
          <cell r="E240">
            <v>16867.099999999999</v>
          </cell>
          <cell r="F240">
            <v>99.51091445427727</v>
          </cell>
          <cell r="G240">
            <v>74.891188358932908</v>
          </cell>
          <cell r="H240">
            <v>62.262507244290383</v>
          </cell>
        </row>
        <row r="241">
          <cell r="B241" t="str">
            <v>97-98</v>
          </cell>
          <cell r="C241">
            <v>3092.5</v>
          </cell>
          <cell r="D241">
            <v>17200</v>
          </cell>
          <cell r="E241">
            <v>17966.71</v>
          </cell>
          <cell r="F241">
            <v>104.45761627906977</v>
          </cell>
          <cell r="G241">
            <v>76.25933710590138</v>
          </cell>
          <cell r="H241">
            <v>66.321561592156598</v>
          </cell>
        </row>
        <row r="242">
          <cell r="B242" t="str">
            <v>98-99</v>
          </cell>
          <cell r="C242">
            <v>3092.5</v>
          </cell>
          <cell r="D242">
            <v>17500</v>
          </cell>
          <cell r="E242">
            <v>18471.390000000003</v>
          </cell>
          <cell r="F242">
            <v>105.55080000000001</v>
          </cell>
          <cell r="G242">
            <v>76.04373484236055</v>
          </cell>
          <cell r="H242">
            <v>68.184516229056172</v>
          </cell>
        </row>
        <row r="243">
          <cell r="B243" t="str">
            <v>99-00</v>
          </cell>
          <cell r="C243">
            <v>3512.5</v>
          </cell>
          <cell r="D243">
            <v>19000</v>
          </cell>
          <cell r="E243">
            <v>20146.400000000001</v>
          </cell>
          <cell r="F243">
            <v>106</v>
          </cell>
          <cell r="G243">
            <v>79.099999999999994</v>
          </cell>
          <cell r="H243">
            <v>69.400000000000006</v>
          </cell>
        </row>
        <row r="244">
          <cell r="B244" t="str">
            <v>00-01</v>
          </cell>
          <cell r="C244">
            <v>3512.5</v>
          </cell>
          <cell r="D244">
            <v>21850</v>
          </cell>
          <cell r="E244">
            <v>20415.89</v>
          </cell>
          <cell r="F244">
            <v>93.22</v>
          </cell>
          <cell r="G244">
            <v>77.67</v>
          </cell>
          <cell r="H244">
            <v>66.349999999999994</v>
          </cell>
        </row>
        <row r="245">
          <cell r="A245" t="str">
            <v>Average last 5 years</v>
          </cell>
          <cell r="D245">
            <v>18500</v>
          </cell>
          <cell r="E245">
            <v>18773.498</v>
          </cell>
          <cell r="F245">
            <v>101.74786614666941</v>
          </cell>
          <cell r="G245">
            <v>76.792852061438964</v>
          </cell>
          <cell r="H245">
            <v>66.503717013100641</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cell>
          <cell r="H249">
            <v>48.670693426781355</v>
          </cell>
        </row>
        <row r="250">
          <cell r="B250" t="str">
            <v>89-90</v>
          </cell>
          <cell r="C250">
            <v>2687.5</v>
          </cell>
          <cell r="D250">
            <v>12370</v>
          </cell>
          <cell r="E250">
            <v>11772.71</v>
          </cell>
          <cell r="F250">
            <v>95.171463217461607</v>
          </cell>
          <cell r="G250" t="str">
            <v/>
          </cell>
          <cell r="H250">
            <v>50.006201550387594</v>
          </cell>
        </row>
        <row r="251">
          <cell r="B251" t="str">
            <v>90-91</v>
          </cell>
          <cell r="C251">
            <v>2557.5</v>
          </cell>
          <cell r="D251">
            <v>13070</v>
          </cell>
          <cell r="E251">
            <v>11770.724</v>
          </cell>
          <cell r="F251">
            <v>90.059097169089512</v>
          </cell>
          <cell r="G251" t="str">
            <v/>
          </cell>
          <cell r="H251">
            <v>52.539196650553258</v>
          </cell>
        </row>
        <row r="252">
          <cell r="B252" t="str">
            <v>91-92</v>
          </cell>
          <cell r="C252">
            <v>2557.5</v>
          </cell>
          <cell r="D252">
            <v>12760</v>
          </cell>
          <cell r="E252">
            <v>11025.722</v>
          </cell>
          <cell r="F252">
            <v>86.408479623824448</v>
          </cell>
          <cell r="G252" t="str">
            <v/>
          </cell>
          <cell r="H252">
            <v>49.07938008678358</v>
          </cell>
        </row>
        <row r="253">
          <cell r="B253" t="str">
            <v>92-93</v>
          </cell>
          <cell r="C253">
            <v>2557.5</v>
          </cell>
          <cell r="D253">
            <v>12600</v>
          </cell>
          <cell r="E253">
            <v>11747.684000000001</v>
          </cell>
          <cell r="F253">
            <v>93.235587301587316</v>
          </cell>
          <cell r="G253" t="str">
            <v/>
          </cell>
          <cell r="H253">
            <v>52.453775764346368</v>
          </cell>
        </row>
        <row r="254">
          <cell r="B254" t="str">
            <v>93-94</v>
          </cell>
          <cell r="C254">
            <v>2757.5</v>
          </cell>
          <cell r="D254">
            <v>14335</v>
          </cell>
          <cell r="E254">
            <v>12723.7418</v>
          </cell>
          <cell r="F254">
            <v>88.759970701081258</v>
          </cell>
          <cell r="G254" t="str">
            <v/>
          </cell>
          <cell r="H254">
            <v>52.67386910749844</v>
          </cell>
        </row>
        <row r="255">
          <cell r="B255" t="str">
            <v>94-95</v>
          </cell>
          <cell r="C255">
            <v>2967.5</v>
          </cell>
          <cell r="D255">
            <v>14230</v>
          </cell>
          <cell r="E255">
            <v>14181.98</v>
          </cell>
          <cell r="F255">
            <v>99.662543921293036</v>
          </cell>
          <cell r="G255" t="str">
            <v/>
          </cell>
          <cell r="H255">
            <v>54.555938958196286</v>
          </cell>
        </row>
        <row r="256">
          <cell r="B256" t="str">
            <v>95-96</v>
          </cell>
          <cell r="C256">
            <v>2967.5</v>
          </cell>
          <cell r="D256">
            <v>16000</v>
          </cell>
          <cell r="E256">
            <v>15345.699999999999</v>
          </cell>
          <cell r="F256">
            <v>95.910624999999996</v>
          </cell>
          <cell r="G256" t="str">
            <v/>
          </cell>
          <cell r="H256">
            <v>58.871303112191427</v>
          </cell>
        </row>
        <row r="257">
          <cell r="B257" t="str">
            <v>96-97</v>
          </cell>
          <cell r="C257">
            <v>2967.5</v>
          </cell>
          <cell r="D257">
            <v>16290</v>
          </cell>
          <cell r="E257">
            <v>16139.499999999998</v>
          </cell>
          <cell r="F257">
            <v>99.076120319214226</v>
          </cell>
          <cell r="G257" t="str">
            <v/>
          </cell>
          <cell r="H257">
            <v>62.086223278823468</v>
          </cell>
        </row>
      </sheetData>
      <sheetData sheetId="8" refreshError="1">
        <row r="3">
          <cell r="A3" t="str">
            <v>STATION NAME</v>
          </cell>
          <cell r="B3" t="str">
            <v>YEAR</v>
          </cell>
          <cell r="C3" t="str">
            <v>CAPACITY</v>
          </cell>
          <cell r="D3" t="str">
            <v>TARGET</v>
          </cell>
          <cell r="E3" t="str">
            <v>ACTUAL GENE.</v>
          </cell>
          <cell r="F3" t="str">
            <v>ACHIEVE-MENT</v>
          </cell>
          <cell r="G3" t="str">
            <v>AVAIL-ABILITY</v>
          </cell>
          <cell r="H3" t="str">
            <v>P.L.F.</v>
          </cell>
          <cell r="I3" t="str">
            <v>AUXILIARY CONSUMPTION</v>
          </cell>
          <cell r="K3" t="str">
            <v>MAXIMUM DEMAND</v>
          </cell>
          <cell r="L3" t="str">
            <v>COAL IN MT</v>
          </cell>
          <cell r="N3" t="str">
            <v>COAL CONSUMED</v>
          </cell>
          <cell r="P3" t="str">
            <v>FUEL OIL CONSUMPTION</v>
          </cell>
        </row>
        <row r="4">
          <cell r="A4" t="str">
            <v/>
          </cell>
          <cell r="B4" t="str">
            <v>P A R T I C U L A R S</v>
          </cell>
          <cell r="C4" t="str">
            <v>MW</v>
          </cell>
          <cell r="D4" t="str">
            <v>MKwh</v>
          </cell>
          <cell r="E4" t="str">
            <v>MKwh</v>
          </cell>
          <cell r="F4" t="str">
            <v>%</v>
          </cell>
          <cell r="G4" t="str">
            <v>%</v>
          </cell>
          <cell r="H4" t="str">
            <v>%</v>
          </cell>
          <cell r="I4" t="str">
            <v>MKwh</v>
          </cell>
          <cell r="J4" t="str">
            <v>%</v>
          </cell>
          <cell r="K4" t="str">
            <v>MW</v>
          </cell>
          <cell r="L4" t="str">
            <v>OP.STOCK</v>
          </cell>
          <cell r="M4" t="str">
            <v>RECIEPT</v>
          </cell>
          <cell r="N4" t="str">
            <v>MT</v>
          </cell>
          <cell r="O4" t="str">
            <v>Kg/kWH</v>
          </cell>
          <cell r="P4" t="str">
            <v>KL</v>
          </cell>
          <cell r="Q4" t="str">
            <v>ml/KWH</v>
          </cell>
        </row>
        <row r="5">
          <cell r="A5" t="str">
            <v>KORBA EAST I</v>
          </cell>
          <cell r="B5" t="str">
            <v>88-89</v>
          </cell>
          <cell r="C5">
            <v>90</v>
          </cell>
          <cell r="D5">
            <v>350</v>
          </cell>
          <cell r="E5">
            <v>233.16</v>
          </cell>
          <cell r="F5">
            <v>66.617142857142852</v>
          </cell>
          <cell r="G5">
            <v>45.51</v>
          </cell>
          <cell r="H5">
            <v>29.573820395738203</v>
          </cell>
          <cell r="I5" t="str">
            <v xml:space="preserve"> </v>
          </cell>
          <cell r="J5">
            <v>0</v>
          </cell>
          <cell r="K5">
            <v>57</v>
          </cell>
          <cell r="N5">
            <v>277748</v>
          </cell>
          <cell r="O5">
            <v>1.1912334877337452</v>
          </cell>
          <cell r="P5">
            <v>0</v>
          </cell>
          <cell r="Q5">
            <v>0</v>
          </cell>
        </row>
        <row r="6">
          <cell r="A6">
            <v>2</v>
          </cell>
          <cell r="B6" t="str">
            <v>89-90</v>
          </cell>
          <cell r="C6">
            <v>90</v>
          </cell>
          <cell r="D6">
            <v>315</v>
          </cell>
          <cell r="E6">
            <v>64.739999999999995</v>
          </cell>
          <cell r="F6">
            <v>10.23</v>
          </cell>
          <cell r="G6">
            <v>45.51</v>
          </cell>
          <cell r="H6">
            <v>38.924963924963919</v>
          </cell>
          <cell r="I6" t="str">
            <v xml:space="preserve"> </v>
          </cell>
          <cell r="J6">
            <v>0</v>
          </cell>
          <cell r="K6">
            <v>60</v>
          </cell>
          <cell r="N6">
            <v>71743</v>
          </cell>
          <cell r="O6">
            <v>1.1081711461229535</v>
          </cell>
          <cell r="P6">
            <v>0</v>
          </cell>
          <cell r="Q6">
            <v>0</v>
          </cell>
        </row>
        <row r="7">
          <cell r="A7" t="str">
            <v>KORBA EAST II</v>
          </cell>
          <cell r="B7" t="str">
            <v>88-89</v>
          </cell>
          <cell r="C7">
            <v>200</v>
          </cell>
          <cell r="D7">
            <v>900</v>
          </cell>
          <cell r="E7">
            <v>626.98</v>
          </cell>
          <cell r="F7">
            <v>69.664444444444442</v>
          </cell>
          <cell r="G7">
            <v>53.05</v>
          </cell>
          <cell r="H7">
            <v>35.786529680365298</v>
          </cell>
          <cell r="I7" t="str">
            <v xml:space="preserve"> </v>
          </cell>
          <cell r="J7">
            <v>0</v>
          </cell>
          <cell r="K7">
            <v>160</v>
          </cell>
          <cell r="N7">
            <v>588701</v>
          </cell>
          <cell r="O7">
            <v>0.93894701585377527</v>
          </cell>
          <cell r="P7">
            <v>7154</v>
          </cell>
          <cell r="Q7">
            <v>11.410252320648187</v>
          </cell>
        </row>
        <row r="8">
          <cell r="A8">
            <v>4</v>
          </cell>
          <cell r="B8" t="str">
            <v>89-90</v>
          </cell>
          <cell r="C8">
            <v>200</v>
          </cell>
          <cell r="D8">
            <v>900</v>
          </cell>
          <cell r="E8">
            <v>1032.1500000000001</v>
          </cell>
          <cell r="F8">
            <v>114.68333333333335</v>
          </cell>
          <cell r="G8">
            <v>72.95</v>
          </cell>
          <cell r="H8">
            <v>58.912671232876718</v>
          </cell>
          <cell r="I8">
            <v>119</v>
          </cell>
          <cell r="J8">
            <v>11.529331976941336</v>
          </cell>
          <cell r="K8">
            <v>200</v>
          </cell>
          <cell r="N8">
            <v>983703</v>
          </cell>
          <cell r="O8">
            <v>0.95306205493387575</v>
          </cell>
          <cell r="P8">
            <v>4674</v>
          </cell>
          <cell r="Q8">
            <v>4.5284115680860335</v>
          </cell>
        </row>
        <row r="9">
          <cell r="A9">
            <v>5</v>
          </cell>
          <cell r="B9" t="str">
            <v>90-91</v>
          </cell>
          <cell r="C9">
            <v>160</v>
          </cell>
          <cell r="D9">
            <v>1050</v>
          </cell>
          <cell r="E9">
            <v>1019.65</v>
          </cell>
          <cell r="F9">
            <v>97.109523809523807</v>
          </cell>
          <cell r="G9">
            <v>76.790000000000006</v>
          </cell>
          <cell r="H9">
            <v>72.749001141552512</v>
          </cell>
          <cell r="I9">
            <v>126</v>
          </cell>
          <cell r="J9">
            <v>12.357181385769627</v>
          </cell>
          <cell r="K9">
            <v>176</v>
          </cell>
          <cell r="N9">
            <v>985516</v>
          </cell>
          <cell r="O9">
            <v>0.9665238071887412</v>
          </cell>
          <cell r="P9">
            <v>4737</v>
          </cell>
          <cell r="Q9">
            <v>4.6457117638405334</v>
          </cell>
        </row>
        <row r="10">
          <cell r="A10">
            <v>6</v>
          </cell>
          <cell r="B10" t="str">
            <v>91-92</v>
          </cell>
          <cell r="C10">
            <v>160</v>
          </cell>
          <cell r="D10">
            <v>840</v>
          </cell>
          <cell r="E10">
            <v>623.36</v>
          </cell>
          <cell r="F10">
            <v>74.209523809523816</v>
          </cell>
          <cell r="G10">
            <v>55.55</v>
          </cell>
          <cell r="H10">
            <v>44.474885844748862</v>
          </cell>
          <cell r="I10">
            <v>91.84</v>
          </cell>
          <cell r="J10">
            <v>14.733059548254619</v>
          </cell>
          <cell r="K10">
            <v>146</v>
          </cell>
          <cell r="N10">
            <v>626484</v>
          </cell>
          <cell r="O10">
            <v>1.0050115503080082</v>
          </cell>
          <cell r="P10">
            <v>6372</v>
          </cell>
          <cell r="Q10">
            <v>10.222022587268993</v>
          </cell>
        </row>
        <row r="11">
          <cell r="A11" t="str">
            <v>a</v>
          </cell>
          <cell r="B11" t="str">
            <v>92-93</v>
          </cell>
          <cell r="C11">
            <v>160</v>
          </cell>
          <cell r="D11">
            <v>840</v>
          </cell>
          <cell r="E11">
            <v>725.76</v>
          </cell>
          <cell r="F11">
            <v>86.4</v>
          </cell>
          <cell r="G11">
            <v>61.32</v>
          </cell>
          <cell r="H11">
            <v>51.780821917808218</v>
          </cell>
          <cell r="I11">
            <v>104.13</v>
          </cell>
          <cell r="J11">
            <v>14.347718253968255</v>
          </cell>
          <cell r="K11">
            <v>192</v>
          </cell>
          <cell r="N11">
            <v>745282</v>
          </cell>
          <cell r="O11">
            <v>1.0268986992945326</v>
          </cell>
          <cell r="P11">
            <v>7889</v>
          </cell>
          <cell r="Q11">
            <v>10.869984567901234</v>
          </cell>
        </row>
        <row r="12">
          <cell r="A12" t="str">
            <v>b</v>
          </cell>
          <cell r="B12" t="str">
            <v>93-94</v>
          </cell>
          <cell r="C12">
            <v>160</v>
          </cell>
          <cell r="D12">
            <v>850</v>
          </cell>
          <cell r="E12">
            <v>726.2</v>
          </cell>
          <cell r="F12">
            <v>85.435294117647061</v>
          </cell>
          <cell r="G12">
            <v>60.264794520547945</v>
          </cell>
          <cell r="H12">
            <v>51.812214611872143</v>
          </cell>
          <cell r="I12">
            <v>102.85735</v>
          </cell>
          <cell r="J12">
            <v>14.163777196364638</v>
          </cell>
          <cell r="K12">
            <v>164</v>
          </cell>
          <cell r="N12">
            <v>747152</v>
          </cell>
          <cell r="O12">
            <v>1.0288515560451665</v>
          </cell>
          <cell r="P12">
            <v>6596.07</v>
          </cell>
          <cell r="Q12">
            <v>9.0829936656568435</v>
          </cell>
        </row>
        <row r="13">
          <cell r="A13" t="str">
            <v>c</v>
          </cell>
          <cell r="B13" t="str">
            <v>94-95</v>
          </cell>
          <cell r="C13">
            <v>160</v>
          </cell>
          <cell r="D13">
            <v>850</v>
          </cell>
          <cell r="E13">
            <v>797.1</v>
          </cell>
          <cell r="F13">
            <v>93.776470588235298</v>
          </cell>
          <cell r="G13">
            <v>67.2</v>
          </cell>
          <cell r="H13">
            <v>56.87071917808219</v>
          </cell>
          <cell r="I13">
            <v>111.1</v>
          </cell>
          <cell r="J13">
            <v>13.938025341864257</v>
          </cell>
          <cell r="K13">
            <v>182</v>
          </cell>
          <cell r="N13">
            <v>830584</v>
          </cell>
          <cell r="O13">
            <v>1.0420072763768662</v>
          </cell>
          <cell r="P13">
            <v>10237</v>
          </cell>
          <cell r="Q13">
            <v>12.842805168736669</v>
          </cell>
        </row>
        <row r="14">
          <cell r="A14" t="str">
            <v>d</v>
          </cell>
          <cell r="B14" t="str">
            <v>95-96</v>
          </cell>
          <cell r="C14">
            <v>160</v>
          </cell>
          <cell r="D14">
            <v>900</v>
          </cell>
          <cell r="E14">
            <v>1017.6</v>
          </cell>
          <cell r="F14">
            <v>113.06666666666666</v>
          </cell>
          <cell r="G14">
            <v>76.7</v>
          </cell>
          <cell r="H14">
            <v>72.404371584699447</v>
          </cell>
          <cell r="I14">
            <v>127</v>
          </cell>
          <cell r="J14">
            <v>12.480345911949685</v>
          </cell>
          <cell r="K14">
            <v>192</v>
          </cell>
          <cell r="N14">
            <v>1055897</v>
          </cell>
          <cell r="O14">
            <v>1.0376346305031448</v>
          </cell>
          <cell r="P14">
            <v>6774</v>
          </cell>
          <cell r="Q14">
            <v>6.6568396226415096</v>
          </cell>
        </row>
        <row r="15">
          <cell r="A15" t="str">
            <v>e</v>
          </cell>
          <cell r="B15" t="str">
            <v>96-97</v>
          </cell>
          <cell r="C15">
            <v>160</v>
          </cell>
          <cell r="D15">
            <v>900</v>
          </cell>
          <cell r="E15">
            <v>1111.0999999999999</v>
          </cell>
          <cell r="F15">
            <v>123.45555555555553</v>
          </cell>
          <cell r="G15">
            <v>81.400000000000006</v>
          </cell>
          <cell r="H15">
            <v>79.273687214611869</v>
          </cell>
          <cell r="I15">
            <v>128.80000000000001</v>
          </cell>
          <cell r="J15">
            <v>11.592115921159214</v>
          </cell>
          <cell r="K15">
            <v>196</v>
          </cell>
          <cell r="N15">
            <v>1098156</v>
          </cell>
          <cell r="O15">
            <v>0.98835028350283505</v>
          </cell>
          <cell r="P15">
            <v>6387</v>
          </cell>
          <cell r="Q15">
            <v>5.7483574835748366</v>
          </cell>
        </row>
        <row r="16">
          <cell r="A16" t="str">
            <v>f</v>
          </cell>
          <cell r="B16" t="str">
            <v>97-98</v>
          </cell>
          <cell r="C16">
            <v>160</v>
          </cell>
          <cell r="D16">
            <v>1050</v>
          </cell>
          <cell r="E16">
            <v>1123.95</v>
          </cell>
          <cell r="F16">
            <v>107.04285714285714</v>
          </cell>
          <cell r="G16">
            <v>83.5</v>
          </cell>
          <cell r="H16">
            <v>80.190496575342465</v>
          </cell>
          <cell r="I16">
            <v>132.66300000000001</v>
          </cell>
          <cell r="J16">
            <v>11.803283064193247</v>
          </cell>
          <cell r="K16">
            <v>190</v>
          </cell>
          <cell r="N16">
            <v>1049273</v>
          </cell>
          <cell r="O16">
            <v>0.93355843231460478</v>
          </cell>
          <cell r="P16">
            <v>5874</v>
          </cell>
          <cell r="Q16">
            <v>5.2262111303883625</v>
          </cell>
        </row>
        <row r="17">
          <cell r="A17" t="str">
            <v>g</v>
          </cell>
          <cell r="B17" t="str">
            <v>98-99</v>
          </cell>
          <cell r="C17">
            <v>160</v>
          </cell>
          <cell r="D17">
            <v>1000</v>
          </cell>
          <cell r="E17">
            <v>827.49</v>
          </cell>
          <cell r="F17">
            <v>82.748999999999995</v>
          </cell>
          <cell r="G17">
            <v>59.9</v>
          </cell>
          <cell r="H17">
            <v>59.038955479452056</v>
          </cell>
          <cell r="I17">
            <v>98.7</v>
          </cell>
          <cell r="J17">
            <v>11.927636587753327</v>
          </cell>
          <cell r="K17">
            <v>188</v>
          </cell>
          <cell r="N17">
            <v>770211</v>
          </cell>
          <cell r="O17">
            <v>0.93077982815502303</v>
          </cell>
          <cell r="P17">
            <v>3594</v>
          </cell>
          <cell r="Q17">
            <v>4.3432549033825181</v>
          </cell>
        </row>
        <row r="18">
          <cell r="A18" t="str">
            <v>h</v>
          </cell>
          <cell r="B18" t="str">
            <v>99-00</v>
          </cell>
          <cell r="C18">
            <v>160</v>
          </cell>
          <cell r="D18">
            <v>900</v>
          </cell>
          <cell r="E18">
            <v>991.4</v>
          </cell>
          <cell r="F18">
            <v>110.15555555555555</v>
          </cell>
          <cell r="G18">
            <v>76.5</v>
          </cell>
          <cell r="H18">
            <v>70.5</v>
          </cell>
          <cell r="I18">
            <v>123.9</v>
          </cell>
          <cell r="J18">
            <v>12.5</v>
          </cell>
          <cell r="K18">
            <v>172</v>
          </cell>
          <cell r="N18">
            <v>945093</v>
          </cell>
          <cell r="O18">
            <v>0.95</v>
          </cell>
          <cell r="P18">
            <v>4874</v>
          </cell>
          <cell r="Q18">
            <v>4.9162800080693971</v>
          </cell>
        </row>
        <row r="19">
          <cell r="A19">
            <v>7</v>
          </cell>
          <cell r="B19" t="str">
            <v>00-01</v>
          </cell>
          <cell r="C19">
            <v>160</v>
          </cell>
          <cell r="D19">
            <v>850</v>
          </cell>
          <cell r="E19">
            <v>889.2</v>
          </cell>
          <cell r="F19">
            <v>104.61176470588235</v>
          </cell>
          <cell r="G19">
            <v>64.37</v>
          </cell>
          <cell r="H19">
            <v>63.44</v>
          </cell>
          <cell r="I19">
            <v>107.73</v>
          </cell>
          <cell r="J19">
            <v>12.12</v>
          </cell>
          <cell r="K19">
            <v>180</v>
          </cell>
          <cell r="N19">
            <v>852784</v>
          </cell>
          <cell r="O19">
            <v>0.95899999999999996</v>
          </cell>
          <cell r="P19">
            <v>3494</v>
          </cell>
          <cell r="Q19">
            <v>3.93</v>
          </cell>
        </row>
        <row r="20">
          <cell r="A20" t="str">
            <v>Average last 5 years</v>
          </cell>
          <cell r="C20" t="str">
            <v>No</v>
          </cell>
          <cell r="D20">
            <v>940</v>
          </cell>
          <cell r="E20">
            <v>988.62800000000004</v>
          </cell>
          <cell r="F20">
            <v>105.60294659197011</v>
          </cell>
          <cell r="G20">
            <v>73.134</v>
          </cell>
          <cell r="H20">
            <v>70.488627853881283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KORBA EAST III</v>
          </cell>
          <cell r="B21" t="str">
            <v>88-89</v>
          </cell>
          <cell r="C21">
            <v>240</v>
          </cell>
          <cell r="D21">
            <v>1200</v>
          </cell>
          <cell r="E21">
            <v>1075.1099999999999</v>
          </cell>
          <cell r="F21">
            <v>89.592499999999987</v>
          </cell>
          <cell r="G21">
            <v>73.069999999999993</v>
          </cell>
          <cell r="H21">
            <v>51.137271689497709</v>
          </cell>
          <cell r="I21" t="str">
            <v xml:space="preserve"> </v>
          </cell>
          <cell r="J21">
            <v>0</v>
          </cell>
          <cell r="K21">
            <v>212</v>
          </cell>
          <cell r="N21">
            <v>978858</v>
          </cell>
          <cell r="O21">
            <v>0.9104724167759578</v>
          </cell>
          <cell r="P21">
            <v>19275</v>
          </cell>
          <cell r="Q21">
            <v>17.928398024388205</v>
          </cell>
        </row>
        <row r="22">
          <cell r="A22">
            <v>8</v>
          </cell>
          <cell r="B22" t="str">
            <v>89-90</v>
          </cell>
          <cell r="C22">
            <v>240</v>
          </cell>
          <cell r="D22">
            <v>1110</v>
          </cell>
          <cell r="E22">
            <v>1193.79</v>
          </cell>
          <cell r="F22">
            <v>107.54864864864865</v>
          </cell>
          <cell r="G22">
            <v>78.05</v>
          </cell>
          <cell r="H22">
            <v>56.782248858447488</v>
          </cell>
          <cell r="I22">
            <v>114</v>
          </cell>
          <cell r="J22">
            <v>9.5494182393888369</v>
          </cell>
          <cell r="K22">
            <v>224</v>
          </cell>
          <cell r="N22">
            <v>1094158</v>
          </cell>
          <cell r="O22">
            <v>0.916541435260808</v>
          </cell>
          <cell r="P22">
            <v>18208</v>
          </cell>
          <cell r="Q22">
            <v>15.252263798490523</v>
          </cell>
        </row>
        <row r="23">
          <cell r="A23" t="str">
            <v>a</v>
          </cell>
          <cell r="B23" t="str">
            <v>90-91</v>
          </cell>
          <cell r="C23">
            <v>240</v>
          </cell>
          <cell r="D23">
            <v>1250</v>
          </cell>
          <cell r="E23">
            <v>1137.1400000000001</v>
          </cell>
          <cell r="F23">
            <v>90.97120000000001</v>
          </cell>
          <cell r="G23">
            <v>73.55</v>
          </cell>
          <cell r="H23">
            <v>54.087709284627103</v>
          </cell>
          <cell r="I23">
            <v>113</v>
          </cell>
          <cell r="J23">
            <v>9.9372108975148166</v>
          </cell>
          <cell r="K23">
            <v>215</v>
          </cell>
          <cell r="N23">
            <v>1065421</v>
          </cell>
          <cell r="O23">
            <v>0.93693036917178185</v>
          </cell>
          <cell r="P23">
            <v>14929</v>
          </cell>
          <cell r="Q23">
            <v>13.128550574247672</v>
          </cell>
        </row>
        <row r="24">
          <cell r="A24" t="str">
            <v>b</v>
          </cell>
          <cell r="B24" t="str">
            <v>91-92</v>
          </cell>
          <cell r="C24">
            <v>240</v>
          </cell>
          <cell r="D24">
            <v>1200</v>
          </cell>
          <cell r="E24">
            <v>850.6</v>
          </cell>
          <cell r="F24">
            <v>70.88333333333334</v>
          </cell>
          <cell r="G24">
            <v>60.67</v>
          </cell>
          <cell r="H24">
            <v>40.458523592085236</v>
          </cell>
          <cell r="I24">
            <v>93.49</v>
          </cell>
          <cell r="J24">
            <v>10.99106513049612</v>
          </cell>
          <cell r="K24">
            <v>218</v>
          </cell>
          <cell r="N24">
            <v>821535</v>
          </cell>
          <cell r="O24">
            <v>0.96583000235128147</v>
          </cell>
          <cell r="P24">
            <v>13865</v>
          </cell>
          <cell r="Q24">
            <v>16.300258640959321</v>
          </cell>
        </row>
        <row r="25">
          <cell r="A25" t="str">
            <v>c</v>
          </cell>
          <cell r="B25" t="str">
            <v>92-93</v>
          </cell>
          <cell r="C25">
            <v>240</v>
          </cell>
          <cell r="D25">
            <v>1100</v>
          </cell>
          <cell r="E25">
            <v>866.45</v>
          </cell>
          <cell r="F25">
            <v>78.768181818181816</v>
          </cell>
          <cell r="G25">
            <v>60.12</v>
          </cell>
          <cell r="H25">
            <v>41.212423896499239</v>
          </cell>
          <cell r="I25">
            <v>93.94</v>
          </cell>
          <cell r="J25">
            <v>10.841941254544405</v>
          </cell>
          <cell r="K25">
            <v>220</v>
          </cell>
          <cell r="N25">
            <v>837244</v>
          </cell>
          <cell r="O25">
            <v>0.96629234231634831</v>
          </cell>
          <cell r="P25">
            <v>13463</v>
          </cell>
          <cell r="Q25">
            <v>15.538115298055283</v>
          </cell>
        </row>
        <row r="26">
          <cell r="A26" t="str">
            <v>d</v>
          </cell>
          <cell r="B26" t="str">
            <v>93-94</v>
          </cell>
          <cell r="C26">
            <v>240</v>
          </cell>
          <cell r="D26">
            <v>1200</v>
          </cell>
          <cell r="E26">
            <v>1009.737</v>
          </cell>
          <cell r="F26">
            <v>84.144750000000002</v>
          </cell>
          <cell r="G26">
            <v>68.032301369863021</v>
          </cell>
          <cell r="H26">
            <v>48.027825342465754</v>
          </cell>
          <cell r="I26">
            <v>106.832292</v>
          </cell>
          <cell r="J26">
            <v>10.580209698168929</v>
          </cell>
          <cell r="K26">
            <v>216</v>
          </cell>
          <cell r="N26">
            <v>1033657</v>
          </cell>
          <cell r="O26">
            <v>1.0236893369263482</v>
          </cell>
          <cell r="P26">
            <v>9864.48</v>
          </cell>
          <cell r="Q26">
            <v>9.7693557827434265</v>
          </cell>
        </row>
        <row r="27">
          <cell r="A27" t="str">
            <v>e</v>
          </cell>
          <cell r="B27" t="str">
            <v>94-95</v>
          </cell>
          <cell r="C27">
            <v>240</v>
          </cell>
          <cell r="D27">
            <v>1150</v>
          </cell>
          <cell r="E27">
            <v>1103</v>
          </cell>
          <cell r="F27">
            <v>95.913043478260875</v>
          </cell>
          <cell r="G27">
            <v>76.5</v>
          </cell>
          <cell r="H27">
            <v>52.463850837138509</v>
          </cell>
          <cell r="I27">
            <v>121.3</v>
          </cell>
          <cell r="J27">
            <v>10.99728014505893</v>
          </cell>
          <cell r="K27">
            <v>217</v>
          </cell>
          <cell r="N27">
            <v>1127339</v>
          </cell>
          <cell r="O27">
            <v>1.0220661831368993</v>
          </cell>
          <cell r="P27">
            <v>19357</v>
          </cell>
          <cell r="Q27">
            <v>17.5494106980961</v>
          </cell>
        </row>
        <row r="28">
          <cell r="A28">
            <v>9</v>
          </cell>
          <cell r="B28" t="str">
            <v>95-96</v>
          </cell>
          <cell r="C28">
            <v>240</v>
          </cell>
          <cell r="D28">
            <v>1150</v>
          </cell>
          <cell r="E28">
            <v>1114.5</v>
          </cell>
          <cell r="F28">
            <v>96.913043478260875</v>
          </cell>
          <cell r="G28">
            <v>72.2</v>
          </cell>
          <cell r="H28">
            <v>52.866006375227684</v>
          </cell>
          <cell r="I28">
            <v>119.5</v>
          </cell>
          <cell r="J28">
            <v>10.722296994167788</v>
          </cell>
          <cell r="K28">
            <v>214</v>
          </cell>
          <cell r="N28">
            <v>1148422</v>
          </cell>
          <cell r="O28">
            <v>1.0304369672498879</v>
          </cell>
          <cell r="P28">
            <v>9390</v>
          </cell>
          <cell r="Q28">
            <v>8.4253028263795429</v>
          </cell>
        </row>
        <row r="29">
          <cell r="A29">
            <v>10</v>
          </cell>
          <cell r="B29" t="str">
            <v>96-97</v>
          </cell>
          <cell r="C29">
            <v>240</v>
          </cell>
          <cell r="D29">
            <v>1200</v>
          </cell>
          <cell r="E29">
            <v>1261.0999999999999</v>
          </cell>
          <cell r="F29">
            <v>105.09166666666665</v>
          </cell>
          <cell r="G29">
            <v>78.599999999999994</v>
          </cell>
          <cell r="H29">
            <v>59.983828006088274</v>
          </cell>
          <cell r="I29">
            <v>130.69999999999999</v>
          </cell>
          <cell r="J29">
            <v>10.363967964475457</v>
          </cell>
          <cell r="K29">
            <v>217</v>
          </cell>
          <cell r="N29">
            <v>1215835</v>
          </cell>
          <cell r="O29">
            <v>0.96410673221790499</v>
          </cell>
          <cell r="P29">
            <v>7474</v>
          </cell>
          <cell r="Q29">
            <v>5.9265720402822932</v>
          </cell>
        </row>
        <row r="30">
          <cell r="A30">
            <v>11</v>
          </cell>
          <cell r="B30" t="str">
            <v>97-98</v>
          </cell>
          <cell r="C30">
            <v>240</v>
          </cell>
          <cell r="D30">
            <v>1000</v>
          </cell>
          <cell r="E30">
            <v>1352.17</v>
          </cell>
          <cell r="F30">
            <v>135.21700000000001</v>
          </cell>
          <cell r="G30">
            <v>83.4</v>
          </cell>
          <cell r="H30">
            <v>64.31554414003044</v>
          </cell>
          <cell r="I30">
            <v>139.19800000000001</v>
          </cell>
          <cell r="J30">
            <v>10.294415643003468</v>
          </cell>
          <cell r="K30">
            <v>213</v>
          </cell>
          <cell r="N30">
            <v>1152800</v>
          </cell>
          <cell r="O30">
            <v>0.85255552186485428</v>
          </cell>
          <cell r="P30">
            <v>6231</v>
          </cell>
          <cell r="Q30">
            <v>4.6081483837091488</v>
          </cell>
        </row>
        <row r="31">
          <cell r="A31">
            <v>12</v>
          </cell>
          <cell r="B31" t="str">
            <v>98-99</v>
          </cell>
          <cell r="C31">
            <v>240</v>
          </cell>
          <cell r="D31">
            <v>1100</v>
          </cell>
          <cell r="E31">
            <v>969.66</v>
          </cell>
          <cell r="F31">
            <v>88.150909090909096</v>
          </cell>
          <cell r="G31">
            <v>59.9</v>
          </cell>
          <cell r="H31">
            <v>46.121575342465754</v>
          </cell>
          <cell r="I31">
            <v>104.9</v>
          </cell>
          <cell r="J31">
            <v>10.818224944826023</v>
          </cell>
          <cell r="K31">
            <v>205</v>
          </cell>
          <cell r="N31">
            <v>842753</v>
          </cell>
          <cell r="O31">
            <v>0.86912216653259911</v>
          </cell>
          <cell r="P31">
            <v>4062</v>
          </cell>
          <cell r="Q31">
            <v>4.1890972093311056</v>
          </cell>
        </row>
        <row r="32">
          <cell r="A32">
            <v>13</v>
          </cell>
          <cell r="B32" t="str">
            <v>99-00</v>
          </cell>
          <cell r="C32">
            <v>240</v>
          </cell>
          <cell r="D32">
            <v>1000</v>
          </cell>
          <cell r="E32">
            <v>1349.3</v>
          </cell>
          <cell r="F32">
            <v>150.1</v>
          </cell>
          <cell r="G32">
            <v>84.2</v>
          </cell>
          <cell r="H32">
            <v>64</v>
          </cell>
          <cell r="I32">
            <v>136.1</v>
          </cell>
          <cell r="J32">
            <v>10.1</v>
          </cell>
          <cell r="K32">
            <v>208</v>
          </cell>
          <cell r="N32">
            <v>1212963</v>
          </cell>
          <cell r="O32">
            <v>0.9</v>
          </cell>
          <cell r="P32">
            <v>5019</v>
          </cell>
          <cell r="Q32">
            <v>3.72</v>
          </cell>
        </row>
        <row r="33">
          <cell r="A33">
            <v>14</v>
          </cell>
          <cell r="B33" t="str">
            <v>00-01</v>
          </cell>
          <cell r="C33">
            <v>240</v>
          </cell>
          <cell r="D33">
            <v>1150</v>
          </cell>
          <cell r="E33">
            <v>1293.6300000000001</v>
          </cell>
          <cell r="F33">
            <v>112.48956521739132</v>
          </cell>
          <cell r="G33">
            <v>81.05</v>
          </cell>
          <cell r="H33">
            <v>61.53</v>
          </cell>
          <cell r="I33">
            <v>128.52000000000001</v>
          </cell>
          <cell r="J33">
            <v>9.93</v>
          </cell>
          <cell r="K33">
            <v>206</v>
          </cell>
          <cell r="N33">
            <v>1151942</v>
          </cell>
          <cell r="O33">
            <v>0.89</v>
          </cell>
          <cell r="P33">
            <v>5085</v>
          </cell>
          <cell r="Q33">
            <v>3.93</v>
          </cell>
        </row>
        <row r="34">
          <cell r="A34" t="str">
            <v>Average last 5 years</v>
          </cell>
          <cell r="B34" t="str">
            <v>Cost of  Fuels  per  Kwh  Generated</v>
          </cell>
          <cell r="C34" t="str">
            <v>Paise</v>
          </cell>
          <cell r="D34">
            <v>1090</v>
          </cell>
          <cell r="E34">
            <v>1245.172</v>
          </cell>
          <cell r="F34">
            <v>118.20982819499341</v>
          </cell>
          <cell r="G34">
            <v>77.430000000000007</v>
          </cell>
          <cell r="H34">
            <v>59.190189497716894</v>
          </cell>
          <cell r="I34">
            <v>127.8836</v>
          </cell>
          <cell r="J34">
            <v>10.301321710460989</v>
          </cell>
          <cell r="K34">
            <v>209.8</v>
          </cell>
          <cell r="L34">
            <v>0</v>
          </cell>
          <cell r="M34">
            <v>0</v>
          </cell>
          <cell r="N34">
            <v>1115258.6000000001</v>
          </cell>
          <cell r="O34">
            <v>0.89515688412307171</v>
          </cell>
          <cell r="P34">
            <v>5574.2</v>
          </cell>
          <cell r="Q34">
            <v>4.4747635266645087</v>
          </cell>
        </row>
        <row r="35">
          <cell r="A35" t="str">
            <v>KORBA EAST</v>
          </cell>
          <cell r="B35" t="str">
            <v>88-89</v>
          </cell>
          <cell r="C35">
            <v>530</v>
          </cell>
          <cell r="D35">
            <v>2450</v>
          </cell>
          <cell r="E35">
            <v>1935.25</v>
          </cell>
          <cell r="F35">
            <v>78.989795918367349</v>
          </cell>
          <cell r="G35">
            <v>60.835283018867919</v>
          </cell>
          <cell r="H35">
            <v>41.682820711639529</v>
          </cell>
          <cell r="I35">
            <v>0</v>
          </cell>
          <cell r="J35">
            <v>0</v>
          </cell>
          <cell r="K35" t="str">
            <v xml:space="preserve"> </v>
          </cell>
          <cell r="L35" t="str">
            <v xml:space="preserve"> </v>
          </cell>
          <cell r="M35" t="str">
            <v xml:space="preserve"> </v>
          </cell>
          <cell r="N35">
            <v>1845307</v>
          </cell>
          <cell r="O35">
            <v>0.95352383412995734</v>
          </cell>
          <cell r="P35">
            <v>26429</v>
          </cell>
          <cell r="Q35">
            <v>13.656633509882445</v>
          </cell>
        </row>
        <row r="36">
          <cell r="A36">
            <v>17</v>
          </cell>
          <cell r="B36" t="str">
            <v>89-90</v>
          </cell>
          <cell r="C36">
            <v>530</v>
          </cell>
          <cell r="D36">
            <v>2325</v>
          </cell>
          <cell r="E36">
            <v>2290.6799999999998</v>
          </cell>
          <cell r="F36">
            <v>98.523870967741928</v>
          </cell>
          <cell r="G36">
            <v>70.599811320754725</v>
          </cell>
          <cell r="H36">
            <v>49.338330317911598</v>
          </cell>
          <cell r="I36">
            <v>233</v>
          </cell>
          <cell r="J36">
            <v>10.171652085843506</v>
          </cell>
          <cell r="K36" t="str">
            <v xml:space="preserve"> </v>
          </cell>
          <cell r="L36">
            <v>126109</v>
          </cell>
          <cell r="M36">
            <v>2052076</v>
          </cell>
          <cell r="N36">
            <v>2149604</v>
          </cell>
          <cell r="O36">
            <v>0.93841304765397171</v>
          </cell>
          <cell r="P36">
            <v>22882</v>
          </cell>
          <cell r="Q36">
            <v>9.9891735205266574</v>
          </cell>
        </row>
        <row r="37">
          <cell r="A37">
            <v>18</v>
          </cell>
          <cell r="B37" t="str">
            <v>90-91</v>
          </cell>
          <cell r="C37">
            <v>400</v>
          </cell>
          <cell r="D37">
            <v>2300</v>
          </cell>
          <cell r="E37">
            <v>2156.79</v>
          </cell>
          <cell r="F37">
            <v>93.773478260869567</v>
          </cell>
          <cell r="G37">
            <v>74.846000000000004</v>
          </cell>
          <cell r="H37">
            <v>61.552226027397261</v>
          </cell>
          <cell r="I37">
            <v>239</v>
          </cell>
          <cell r="J37">
            <v>11.081282832357346</v>
          </cell>
          <cell r="K37" t="str">
            <v xml:space="preserve"> </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t="str">
            <v xml:space="preserve"> </v>
          </cell>
          <cell r="L38">
            <v>106295</v>
          </cell>
          <cell r="M38">
            <v>1485028</v>
          </cell>
          <cell r="N38">
            <v>1448019</v>
          </cell>
          <cell r="O38">
            <v>0.98240047219734594</v>
          </cell>
          <cell r="P38">
            <v>20237</v>
          </cell>
          <cell r="Q38">
            <v>13.729680588347037</v>
          </cell>
        </row>
        <row r="39">
          <cell r="A39">
            <v>1</v>
          </cell>
          <cell r="B39" t="str">
            <v>92-93</v>
          </cell>
          <cell r="C39">
            <v>400</v>
          </cell>
          <cell r="D39">
            <v>1940</v>
          </cell>
          <cell r="E39">
            <v>1592.21</v>
          </cell>
          <cell r="F39">
            <v>82.072680412371128</v>
          </cell>
          <cell r="G39">
            <v>60.6</v>
          </cell>
          <cell r="H39">
            <v>45.439783105022833</v>
          </cell>
          <cell r="I39">
            <v>198.07</v>
          </cell>
          <cell r="J39">
            <v>12.439941967454041</v>
          </cell>
          <cell r="K39" t="str">
            <v xml:space="preserve"> </v>
          </cell>
          <cell r="L39">
            <v>138478</v>
          </cell>
          <cell r="M39">
            <v>1460489</v>
          </cell>
          <cell r="N39">
            <v>1582526</v>
          </cell>
          <cell r="O39">
            <v>0.99391788771581635</v>
          </cell>
          <cell r="P39">
            <v>21352</v>
          </cell>
          <cell r="Q39">
            <v>13.410291356039718</v>
          </cell>
        </row>
        <row r="40">
          <cell r="A40">
            <v>2</v>
          </cell>
          <cell r="B40" t="str">
            <v>93-94</v>
          </cell>
          <cell r="C40">
            <v>400</v>
          </cell>
          <cell r="D40">
            <v>2050</v>
          </cell>
          <cell r="E40">
            <v>1735.9369999999999</v>
          </cell>
          <cell r="F40">
            <v>84.679853658536572</v>
          </cell>
          <cell r="G40">
            <v>64.925298630136979</v>
          </cell>
          <cell r="H40">
            <v>49.541581050228309</v>
          </cell>
          <cell r="I40">
            <v>209.68964199999999</v>
          </cell>
          <cell r="J40">
            <v>12.079334791527572</v>
          </cell>
          <cell r="K40" t="str">
            <v xml:space="preserve"> </v>
          </cell>
          <cell r="L40">
            <v>55118</v>
          </cell>
          <cell r="M40">
            <v>1778517</v>
          </cell>
          <cell r="N40">
            <v>1780809</v>
          </cell>
          <cell r="O40">
            <v>1.0258488643309061</v>
          </cell>
          <cell r="P40">
            <v>16460.55</v>
          </cell>
          <cell r="Q40">
            <v>9.482227753656959</v>
          </cell>
        </row>
        <row r="41">
          <cell r="A41">
            <v>3</v>
          </cell>
          <cell r="B41" t="str">
            <v>94-95</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95-96</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96-97</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Average last 5 years</v>
          </cell>
          <cell r="B48" t="str">
            <v>P A R T I C U L A R S</v>
          </cell>
          <cell r="D48">
            <v>2030</v>
          </cell>
          <cell r="E48">
            <v>2233.7999999999997</v>
          </cell>
          <cell r="F48">
            <v>110.3326108991992</v>
          </cell>
          <cell r="G48">
            <v>75.707999999999998</v>
          </cell>
          <cell r="H48">
            <v>63.710764840182641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t="str">
            <v>STATE  LOAD  DESPATCH  CENTRE  M.P.E.B.  JABALPUR</v>
          </cell>
          <cell r="B49" t="str">
            <v>Thermal  Generation (Including 100 % Satpura )</v>
          </cell>
          <cell r="C49" t="str">
            <v>MU</v>
          </cell>
          <cell r="D49">
            <v>16866.97</v>
          </cell>
          <cell r="E49">
            <v>17966.7</v>
          </cell>
          <cell r="F49">
            <v>18471.39</v>
          </cell>
          <cell r="G49">
            <v>20146.419999999998</v>
          </cell>
          <cell r="H49">
            <v>20415.89</v>
          </cell>
        </row>
        <row r="50">
          <cell r="A50" t="str">
            <v>KORBA WEST</v>
          </cell>
          <cell r="B50" t="str">
            <v xml:space="preserve">Plan Target    </v>
          </cell>
          <cell r="C50" t="str">
            <v>MU</v>
          </cell>
          <cell r="D50">
            <v>16950</v>
          </cell>
          <cell r="E50">
            <v>17200</v>
          </cell>
          <cell r="F50">
            <v>17500</v>
          </cell>
          <cell r="G50">
            <v>19010</v>
          </cell>
          <cell r="H50">
            <v>21860</v>
          </cell>
        </row>
        <row r="51">
          <cell r="A51" t="str">
            <v>STATION NAME</v>
          </cell>
          <cell r="B51" t="str">
            <v>YEAR</v>
          </cell>
          <cell r="C51" t="str">
            <v>CAPACITY</v>
          </cell>
          <cell r="D51" t="str">
            <v>TARGET</v>
          </cell>
          <cell r="E51" t="str">
            <v>ACTUAL GENE.</v>
          </cell>
          <cell r="F51" t="str">
            <v>ACHIEVE-MENT</v>
          </cell>
          <cell r="G51" t="str">
            <v>AVAIL-ABILITY</v>
          </cell>
          <cell r="H51" t="str">
            <v>P.L.F.</v>
          </cell>
          <cell r="I51" t="str">
            <v>AUXILIARY CONSUMPTION</v>
          </cell>
          <cell r="K51" t="str">
            <v>MAXIMUM DEMAND</v>
          </cell>
          <cell r="L51" t="str">
            <v>COAL IN MT</v>
          </cell>
          <cell r="N51" t="str">
            <v>COAL CONSUMED</v>
          </cell>
          <cell r="P51" t="str">
            <v>FUEL OIL CONSUMPTION</v>
          </cell>
        </row>
        <row r="52">
          <cell r="A52">
            <v>4</v>
          </cell>
          <cell r="B52" t="str">
            <v>Plant    Utilisation    Factor            **</v>
          </cell>
          <cell r="C52" t="str">
            <v>MW</v>
          </cell>
          <cell r="D52" t="str">
            <v>MKwh</v>
          </cell>
          <cell r="E52" t="str">
            <v>MKwh</v>
          </cell>
          <cell r="F52" t="str">
            <v>%</v>
          </cell>
          <cell r="G52" t="str">
            <v>%</v>
          </cell>
          <cell r="H52" t="str">
            <v>%</v>
          </cell>
          <cell r="I52" t="str">
            <v>MKwh</v>
          </cell>
          <cell r="J52" t="str">
            <v>%</v>
          </cell>
          <cell r="K52" t="str">
            <v>MW</v>
          </cell>
          <cell r="L52" t="str">
            <v>OP.STOCK</v>
          </cell>
          <cell r="M52" t="str">
            <v>RECIEPT</v>
          </cell>
          <cell r="N52" t="str">
            <v>MT</v>
          </cell>
          <cell r="O52" t="str">
            <v>Kg/kWH</v>
          </cell>
          <cell r="P52" t="str">
            <v>KL</v>
          </cell>
          <cell r="Q52" t="str">
            <v>ml/KWH</v>
          </cell>
        </row>
        <row r="53">
          <cell r="A53" t="str">
            <v>KORBA WEST I</v>
          </cell>
          <cell r="B53" t="str">
            <v>88-89</v>
          </cell>
          <cell r="C53">
            <v>420</v>
          </cell>
          <cell r="D53">
            <v>2000</v>
          </cell>
          <cell r="E53">
            <v>2064.27</v>
          </cell>
          <cell r="F53">
            <v>103.2135</v>
          </cell>
          <cell r="G53">
            <v>68.7</v>
          </cell>
          <cell r="H53">
            <v>56.106490541422048</v>
          </cell>
          <cell r="I53" t="str">
            <v xml:space="preserve"> </v>
          </cell>
          <cell r="J53">
            <v>0</v>
          </cell>
          <cell r="K53">
            <v>420</v>
          </cell>
          <cell r="N53">
            <v>1641352</v>
          </cell>
          <cell r="O53">
            <v>0.79512466876910481</v>
          </cell>
          <cell r="P53">
            <v>8572</v>
          </cell>
          <cell r="Q53">
            <v>4.1525575627219311</v>
          </cell>
        </row>
        <row r="54">
          <cell r="A54">
            <v>6</v>
          </cell>
          <cell r="B54" t="str">
            <v>89-90</v>
          </cell>
          <cell r="C54">
            <v>420</v>
          </cell>
          <cell r="D54">
            <v>2000</v>
          </cell>
          <cell r="E54">
            <v>2369.84</v>
          </cell>
          <cell r="F54">
            <v>118.492</v>
          </cell>
          <cell r="G54">
            <v>73.63</v>
          </cell>
          <cell r="H54">
            <v>64.411828658404005</v>
          </cell>
          <cell r="I54">
            <v>205</v>
          </cell>
          <cell r="J54">
            <v>8.6503730209634409</v>
          </cell>
          <cell r="K54">
            <v>430</v>
          </cell>
          <cell r="N54">
            <v>1805424</v>
          </cell>
          <cell r="O54">
            <v>0.76183371029267799</v>
          </cell>
          <cell r="P54">
            <v>10037</v>
          </cell>
          <cell r="Q54">
            <v>4.2353070249468319</v>
          </cell>
        </row>
        <row r="55">
          <cell r="A55" t="str">
            <v>a</v>
          </cell>
          <cell r="B55" t="str">
            <v>90-91</v>
          </cell>
          <cell r="C55">
            <v>420</v>
          </cell>
          <cell r="D55">
            <v>2200</v>
          </cell>
          <cell r="E55">
            <v>2292.38</v>
          </cell>
          <cell r="F55">
            <v>104.19909090909091</v>
          </cell>
          <cell r="G55">
            <v>73.5</v>
          </cell>
          <cell r="H55">
            <v>62.30647966949337</v>
          </cell>
          <cell r="I55">
            <v>212.26</v>
          </cell>
          <cell r="J55">
            <v>9.2593723553686562</v>
          </cell>
          <cell r="K55">
            <v>435</v>
          </cell>
          <cell r="N55">
            <v>1619831</v>
          </cell>
          <cell r="O55">
            <v>0.70661539535330098</v>
          </cell>
          <cell r="P55">
            <v>11371</v>
          </cell>
          <cell r="Q55">
            <v>4.9603468883867423</v>
          </cell>
        </row>
        <row r="56">
          <cell r="A56" t="str">
            <v>b</v>
          </cell>
          <cell r="B56" t="str">
            <v>91-92</v>
          </cell>
          <cell r="C56">
            <v>420</v>
          </cell>
          <cell r="D56">
            <v>2200</v>
          </cell>
          <cell r="E56">
            <v>2607.5700000000002</v>
          </cell>
          <cell r="F56">
            <v>118.52590909090911</v>
          </cell>
          <cell r="G56">
            <v>87.35</v>
          </cell>
          <cell r="H56">
            <v>70.873287671232887</v>
          </cell>
          <cell r="I56">
            <v>255</v>
          </cell>
          <cell r="J56">
            <v>9.7792197333149247</v>
          </cell>
          <cell r="K56">
            <v>415</v>
          </cell>
          <cell r="N56">
            <v>1954298</v>
          </cell>
          <cell r="O56">
            <v>0.74947096338736829</v>
          </cell>
          <cell r="P56">
            <v>14148</v>
          </cell>
          <cell r="Q56">
            <v>5.4257412073309625</v>
          </cell>
        </row>
        <row r="57">
          <cell r="A57" t="str">
            <v>c</v>
          </cell>
          <cell r="B57" t="str">
            <v>92-93</v>
          </cell>
          <cell r="C57">
            <v>420</v>
          </cell>
          <cell r="D57">
            <v>2400</v>
          </cell>
          <cell r="E57">
            <v>2406.0700000000002</v>
          </cell>
          <cell r="F57">
            <v>100.25291666666668</v>
          </cell>
          <cell r="G57">
            <v>78.28</v>
          </cell>
          <cell r="H57">
            <v>65.396553598608406</v>
          </cell>
          <cell r="I57">
            <v>224.43</v>
          </cell>
          <cell r="J57">
            <v>9.3276587962943722</v>
          </cell>
          <cell r="K57">
            <v>425</v>
          </cell>
          <cell r="N57">
            <v>1700511</v>
          </cell>
          <cell r="O57">
            <v>0.70675873935504785</v>
          </cell>
          <cell r="P57">
            <v>12383</v>
          </cell>
          <cell r="Q57">
            <v>5.1465668081144766</v>
          </cell>
        </row>
        <row r="58">
          <cell r="A58" t="str">
            <v>d</v>
          </cell>
          <cell r="B58" t="str">
            <v>93-94</v>
          </cell>
          <cell r="C58">
            <v>420</v>
          </cell>
          <cell r="D58">
            <v>2534</v>
          </cell>
          <cell r="E58">
            <v>2504.9</v>
          </cell>
          <cell r="F58">
            <v>98.851617995264405</v>
          </cell>
          <cell r="G58">
            <v>79.501534246575346</v>
          </cell>
          <cell r="H58">
            <v>68.082735377255929</v>
          </cell>
          <cell r="I58">
            <v>254.25299999999999</v>
          </cell>
          <cell r="J58">
            <v>10.150225557906502</v>
          </cell>
          <cell r="K58">
            <v>440</v>
          </cell>
          <cell r="N58">
            <v>1734277</v>
          </cell>
          <cell r="O58">
            <v>0.69235378657830648</v>
          </cell>
          <cell r="P58">
            <v>10457.49</v>
          </cell>
          <cell r="Q58">
            <v>4.1748133658030255</v>
          </cell>
        </row>
        <row r="59">
          <cell r="A59" t="str">
            <v>e</v>
          </cell>
          <cell r="B59" t="str">
            <v>94-95</v>
          </cell>
          <cell r="C59">
            <v>420</v>
          </cell>
          <cell r="D59">
            <v>2480</v>
          </cell>
          <cell r="E59">
            <v>2383</v>
          </cell>
          <cell r="F59">
            <v>96.088709677419359</v>
          </cell>
          <cell r="G59">
            <v>77</v>
          </cell>
          <cell r="H59">
            <v>64.769515111980866</v>
          </cell>
          <cell r="I59">
            <v>253</v>
          </cell>
          <cell r="J59">
            <v>10.616869492236676</v>
          </cell>
          <cell r="K59">
            <v>420</v>
          </cell>
          <cell r="N59">
            <v>1601918</v>
          </cell>
          <cell r="O59">
            <v>0.6722274443978179</v>
          </cell>
          <cell r="P59">
            <v>12273</v>
          </cell>
          <cell r="Q59">
            <v>5.150230801510701</v>
          </cell>
        </row>
        <row r="60">
          <cell r="A60" t="str">
            <v>f</v>
          </cell>
          <cell r="B60" t="str">
            <v>95-96</v>
          </cell>
          <cell r="C60">
            <v>420</v>
          </cell>
          <cell r="D60">
            <v>2500</v>
          </cell>
          <cell r="E60">
            <v>2636</v>
          </cell>
          <cell r="F60">
            <v>105.44</v>
          </cell>
          <cell r="G60">
            <v>81</v>
          </cell>
          <cell r="H60">
            <v>71.450255876485386</v>
          </cell>
          <cell r="I60">
            <v>267.8</v>
          </cell>
          <cell r="J60">
            <v>10.159332321699544</v>
          </cell>
          <cell r="K60">
            <v>420</v>
          </cell>
          <cell r="N60">
            <v>1807464</v>
          </cell>
          <cell r="O60">
            <v>0.68568437025796658</v>
          </cell>
          <cell r="P60">
            <v>8827</v>
          </cell>
          <cell r="Q60">
            <v>3.3486342943854326</v>
          </cell>
        </row>
        <row r="61">
          <cell r="A61" t="str">
            <v>g</v>
          </cell>
          <cell r="B61" t="str">
            <v>96-97</v>
          </cell>
          <cell r="C61">
            <v>420</v>
          </cell>
          <cell r="D61">
            <v>2550</v>
          </cell>
          <cell r="E61">
            <v>2712.5</v>
          </cell>
          <cell r="F61">
            <v>106.37254901960785</v>
          </cell>
          <cell r="G61">
            <v>79.599999999999994</v>
          </cell>
          <cell r="H61">
            <v>73.725266362252668</v>
          </cell>
          <cell r="I61">
            <v>250.7</v>
          </cell>
          <cell r="J61">
            <v>9.2423963133640559</v>
          </cell>
          <cell r="K61">
            <v>440</v>
          </cell>
          <cell r="N61">
            <v>1843079</v>
          </cell>
          <cell r="O61">
            <v>0.67947612903225807</v>
          </cell>
          <cell r="P61">
            <v>9072</v>
          </cell>
          <cell r="Q61">
            <v>3.3445161290322583</v>
          </cell>
        </row>
        <row r="62">
          <cell r="A62" t="str">
            <v>h</v>
          </cell>
          <cell r="B62" t="str">
            <v>97-98</v>
          </cell>
          <cell r="C62">
            <v>420</v>
          </cell>
          <cell r="D62">
            <v>2550</v>
          </cell>
          <cell r="E62">
            <v>2757.26</v>
          </cell>
          <cell r="F62">
            <v>108.1278431372549</v>
          </cell>
          <cell r="G62">
            <v>81.400000000000006</v>
          </cell>
          <cell r="H62">
            <v>74.941835181561203</v>
          </cell>
          <cell r="I62">
            <v>268.755</v>
          </cell>
          <cell r="J62">
            <v>9.7471765448307366</v>
          </cell>
          <cell r="K62">
            <v>435</v>
          </cell>
          <cell r="N62">
            <v>1910941</v>
          </cell>
          <cell r="O62">
            <v>0.69305796334041769</v>
          </cell>
          <cell r="P62">
            <v>6239</v>
          </cell>
          <cell r="Q62">
            <v>2.2627536032147857</v>
          </cell>
        </row>
        <row r="63">
          <cell r="A63">
            <v>7</v>
          </cell>
          <cell r="B63" t="str">
            <v>98-99</v>
          </cell>
          <cell r="C63">
            <v>420</v>
          </cell>
          <cell r="D63">
            <v>2600</v>
          </cell>
          <cell r="E63">
            <v>2723.45</v>
          </cell>
          <cell r="F63">
            <v>104.74807692307692</v>
          </cell>
          <cell r="G63">
            <v>80.400000000000006</v>
          </cell>
          <cell r="H63">
            <v>74.022885409871705</v>
          </cell>
          <cell r="I63">
            <v>266.60000000000002</v>
          </cell>
          <cell r="J63">
            <v>9.7890543244781458</v>
          </cell>
          <cell r="K63">
            <v>430</v>
          </cell>
          <cell r="N63">
            <v>2064016</v>
          </cell>
          <cell r="O63">
            <v>0.75786814518349888</v>
          </cell>
          <cell r="P63">
            <v>5152</v>
          </cell>
          <cell r="Q63">
            <v>1.8917182250454387</v>
          </cell>
        </row>
        <row r="64">
          <cell r="A64" t="str">
            <v>a</v>
          </cell>
          <cell r="B64" t="str">
            <v>99-00</v>
          </cell>
          <cell r="C64">
            <v>420</v>
          </cell>
          <cell r="D64">
            <v>2700</v>
          </cell>
          <cell r="E64">
            <v>2614.8000000000002</v>
          </cell>
          <cell r="F64">
            <v>96.844444444444449</v>
          </cell>
          <cell r="G64">
            <v>81.3</v>
          </cell>
          <cell r="H64">
            <v>70.900000000000006</v>
          </cell>
          <cell r="I64">
            <v>260.7</v>
          </cell>
          <cell r="J64">
            <v>10</v>
          </cell>
          <cell r="K64">
            <v>420</v>
          </cell>
          <cell r="N64">
            <v>2054539</v>
          </cell>
          <cell r="O64">
            <v>0.79</v>
          </cell>
          <cell r="P64">
            <v>3915</v>
          </cell>
          <cell r="Q64">
            <v>1.5</v>
          </cell>
        </row>
        <row r="65">
          <cell r="A65" t="str">
            <v>b</v>
          </cell>
          <cell r="B65" t="str">
            <v>00-01</v>
          </cell>
          <cell r="C65">
            <v>420</v>
          </cell>
          <cell r="D65">
            <v>2800</v>
          </cell>
          <cell r="E65">
            <v>2792.13</v>
          </cell>
          <cell r="F65">
            <v>99.718928571428577</v>
          </cell>
          <cell r="G65">
            <v>87.16</v>
          </cell>
          <cell r="H65">
            <v>75.89</v>
          </cell>
          <cell r="I65">
            <v>267.75</v>
          </cell>
          <cell r="J65">
            <v>9.59</v>
          </cell>
          <cell r="K65">
            <v>420</v>
          </cell>
          <cell r="N65">
            <v>2056216</v>
          </cell>
          <cell r="O65">
            <v>0.73599999999999999</v>
          </cell>
          <cell r="P65">
            <v>3523</v>
          </cell>
          <cell r="Q65">
            <v>1.26</v>
          </cell>
        </row>
        <row r="66">
          <cell r="A66" t="str">
            <v>Average last 5 years</v>
          </cell>
          <cell r="B66" t="str">
            <v xml:space="preserve">Forced   Outage   </v>
          </cell>
          <cell r="C66" t="str">
            <v>MU</v>
          </cell>
          <cell r="D66">
            <v>2640</v>
          </cell>
          <cell r="E66">
            <v>2720.0279999999998</v>
          </cell>
          <cell r="F66">
            <v>103.16236841916255</v>
          </cell>
          <cell r="G66">
            <v>81.972000000000008</v>
          </cell>
          <cell r="H66">
            <v>73.895997390737122</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KORBA WEST II</v>
          </cell>
          <cell r="B67" t="str">
            <v>88-89</v>
          </cell>
          <cell r="C67">
            <v>420</v>
          </cell>
          <cell r="D67">
            <v>1500</v>
          </cell>
          <cell r="E67">
            <v>1556.53</v>
          </cell>
          <cell r="F67">
            <v>103.76866666666666</v>
          </cell>
          <cell r="G67">
            <v>60.17</v>
          </cell>
          <cell r="H67">
            <v>42.306207871276364</v>
          </cell>
          <cell r="I67" t="str">
            <v xml:space="preserve">  </v>
          </cell>
          <cell r="J67">
            <v>0</v>
          </cell>
          <cell r="K67">
            <v>405</v>
          </cell>
          <cell r="N67">
            <v>1243803</v>
          </cell>
          <cell r="O67">
            <v>0.79908707188425532</v>
          </cell>
          <cell r="P67">
            <v>10940</v>
          </cell>
          <cell r="Q67">
            <v>7.0284543182592047</v>
          </cell>
        </row>
        <row r="68">
          <cell r="A68" t="str">
            <v>b</v>
          </cell>
          <cell r="B68" t="str">
            <v>89-90</v>
          </cell>
          <cell r="C68">
            <v>420</v>
          </cell>
          <cell r="D68">
            <v>1560</v>
          </cell>
          <cell r="E68">
            <v>1683.58</v>
          </cell>
          <cell r="F68">
            <v>107.92179487179487</v>
          </cell>
          <cell r="G68">
            <v>52.76</v>
          </cell>
          <cell r="H68">
            <v>45.759404218308326</v>
          </cell>
          <cell r="I68">
            <v>149</v>
          </cell>
          <cell r="J68">
            <v>8.8501882892407853</v>
          </cell>
          <cell r="K68">
            <v>420</v>
          </cell>
          <cell r="N68">
            <v>1297045</v>
          </cell>
          <cell r="O68">
            <v>0.77040889057841033</v>
          </cell>
          <cell r="P68">
            <v>6352</v>
          </cell>
          <cell r="Q68">
            <v>3.7729124841112394</v>
          </cell>
        </row>
        <row r="69">
          <cell r="A69" t="str">
            <v>c</v>
          </cell>
          <cell r="B69" t="str">
            <v>90-91</v>
          </cell>
          <cell r="C69">
            <v>420</v>
          </cell>
          <cell r="D69">
            <v>2200</v>
          </cell>
          <cell r="E69">
            <v>2768.58</v>
          </cell>
          <cell r="F69">
            <v>125.84454545454545</v>
          </cell>
          <cell r="G69">
            <v>89.4</v>
          </cell>
          <cell r="H69">
            <v>75.249510763209386</v>
          </cell>
          <cell r="I69">
            <v>260.75</v>
          </cell>
          <cell r="J69">
            <v>9.4181854958137379</v>
          </cell>
          <cell r="K69">
            <v>420</v>
          </cell>
          <cell r="N69">
            <v>1963008</v>
          </cell>
          <cell r="O69">
            <v>0.70903062219621615</v>
          </cell>
          <cell r="P69">
            <v>7928</v>
          </cell>
          <cell r="Q69">
            <v>2.8635618259179796</v>
          </cell>
        </row>
        <row r="70">
          <cell r="A70" t="str">
            <v>d</v>
          </cell>
          <cell r="B70" t="str">
            <v>91-92</v>
          </cell>
          <cell r="C70">
            <v>420</v>
          </cell>
          <cell r="D70">
            <v>2200</v>
          </cell>
          <cell r="E70">
            <v>2041.83</v>
          </cell>
          <cell r="F70">
            <v>92.810454545454547</v>
          </cell>
          <cell r="G70">
            <v>68.760000000000005</v>
          </cell>
          <cell r="H70">
            <v>55.496575342465754</v>
          </cell>
          <cell r="I70">
            <v>189.16</v>
          </cell>
          <cell r="J70">
            <v>9.2642384527605142</v>
          </cell>
          <cell r="K70">
            <v>420</v>
          </cell>
          <cell r="N70">
            <v>1514144</v>
          </cell>
          <cell r="O70">
            <v>0.7415622260423248</v>
          </cell>
          <cell r="P70">
            <v>10879</v>
          </cell>
          <cell r="Q70">
            <v>5.3280635508343011</v>
          </cell>
        </row>
        <row r="71">
          <cell r="A71" t="str">
            <v>e</v>
          </cell>
          <cell r="B71" t="str">
            <v>92-93</v>
          </cell>
          <cell r="C71">
            <v>420</v>
          </cell>
          <cell r="D71">
            <v>2400</v>
          </cell>
          <cell r="E71">
            <v>2447.34</v>
          </cell>
          <cell r="F71">
            <v>101.9725</v>
          </cell>
          <cell r="G71">
            <v>81.28</v>
          </cell>
          <cell r="H71">
            <v>66.518264840182653</v>
          </cell>
          <cell r="I71">
            <v>229.96</v>
          </cell>
          <cell r="J71">
            <v>9.3963241723667323</v>
          </cell>
          <cell r="K71">
            <v>420</v>
          </cell>
          <cell r="N71">
            <v>1717518</v>
          </cell>
          <cell r="O71">
            <v>0.7017896982029469</v>
          </cell>
          <cell r="P71">
            <v>12666</v>
          </cell>
          <cell r="Q71">
            <v>5.1754149403025318</v>
          </cell>
        </row>
        <row r="72">
          <cell r="A72">
            <v>9</v>
          </cell>
          <cell r="B72" t="str">
            <v>93-94</v>
          </cell>
          <cell r="C72">
            <v>420</v>
          </cell>
          <cell r="D72">
            <v>2466</v>
          </cell>
          <cell r="E72">
            <v>2435.13</v>
          </cell>
          <cell r="F72">
            <v>98.748175182481745</v>
          </cell>
          <cell r="G72">
            <v>80.770465753424659</v>
          </cell>
          <cell r="H72">
            <v>66.186399217221137</v>
          </cell>
          <cell r="I72">
            <v>241.17</v>
          </cell>
          <cell r="J72">
            <v>9.9037833709083287</v>
          </cell>
          <cell r="K72">
            <v>425</v>
          </cell>
          <cell r="N72">
            <v>1694854</v>
          </cell>
          <cell r="O72">
            <v>0.69600144550804266</v>
          </cell>
          <cell r="P72">
            <v>12366.135</v>
          </cell>
          <cell r="Q72">
            <v>5.0782237498614036</v>
          </cell>
        </row>
        <row r="73">
          <cell r="A73">
            <v>10</v>
          </cell>
          <cell r="B73" t="str">
            <v>94-95</v>
          </cell>
          <cell r="C73">
            <v>420</v>
          </cell>
          <cell r="D73">
            <v>2520</v>
          </cell>
          <cell r="E73">
            <v>2072</v>
          </cell>
          <cell r="F73">
            <v>82.222222222222229</v>
          </cell>
          <cell r="G73">
            <v>67.599999999999994</v>
          </cell>
          <cell r="H73">
            <v>56.316590563165903</v>
          </cell>
          <cell r="I73">
            <v>207</v>
          </cell>
          <cell r="J73">
            <v>9.9903474903474905</v>
          </cell>
          <cell r="K73">
            <v>420</v>
          </cell>
          <cell r="N73">
            <v>1388587</v>
          </cell>
          <cell r="O73">
            <v>0.6701674710424711</v>
          </cell>
          <cell r="P73">
            <v>9236</v>
          </cell>
          <cell r="Q73">
            <v>4.4575289575289574</v>
          </cell>
        </row>
        <row r="74">
          <cell r="A74">
            <v>11</v>
          </cell>
          <cell r="B74" t="str">
            <v>95-96</v>
          </cell>
          <cell r="C74">
            <v>420</v>
          </cell>
          <cell r="D74">
            <v>2550</v>
          </cell>
          <cell r="E74">
            <v>2024.8</v>
          </cell>
          <cell r="F74">
            <v>79.403921568627453</v>
          </cell>
          <cell r="G74">
            <v>65</v>
          </cell>
          <cell r="H74">
            <v>54.883337670222915</v>
          </cell>
          <cell r="I74">
            <v>200</v>
          </cell>
          <cell r="J74">
            <v>9.8775187672856575</v>
          </cell>
          <cell r="K74">
            <v>420</v>
          </cell>
          <cell r="N74">
            <v>1377039</v>
          </cell>
          <cell r="O74">
            <v>0.68008642828921373</v>
          </cell>
          <cell r="P74">
            <v>6316</v>
          </cell>
          <cell r="Q74">
            <v>3.1193204267088106</v>
          </cell>
        </row>
        <row r="75">
          <cell r="A75">
            <v>12</v>
          </cell>
          <cell r="B75" t="str">
            <v>96-97</v>
          </cell>
          <cell r="C75">
            <v>420</v>
          </cell>
          <cell r="D75">
            <v>2550</v>
          </cell>
          <cell r="E75">
            <v>2200.6</v>
          </cell>
          <cell r="F75">
            <v>86.298039215686273</v>
          </cell>
          <cell r="G75">
            <v>73.599999999999994</v>
          </cell>
          <cell r="H75">
            <v>59.811915633833443</v>
          </cell>
          <cell r="I75">
            <v>221.2</v>
          </cell>
          <cell r="J75">
            <v>10.051804053439971</v>
          </cell>
          <cell r="K75">
            <v>415</v>
          </cell>
          <cell r="N75">
            <v>1498328</v>
          </cell>
          <cell r="O75">
            <v>0.68087248932109423</v>
          </cell>
          <cell r="P75">
            <v>8360</v>
          </cell>
          <cell r="Q75">
            <v>3.7989639189312006</v>
          </cell>
        </row>
        <row r="76">
          <cell r="A76">
            <v>13</v>
          </cell>
          <cell r="B76" t="str">
            <v>97-98</v>
          </cell>
          <cell r="C76">
            <v>420</v>
          </cell>
          <cell r="D76">
            <v>2550</v>
          </cell>
          <cell r="E76">
            <v>2273.96</v>
          </cell>
          <cell r="F76">
            <v>89.174901960784311</v>
          </cell>
          <cell r="G76">
            <v>72</v>
          </cell>
          <cell r="H76">
            <v>61.805827353772557</v>
          </cell>
          <cell r="I76">
            <v>227.755</v>
          </cell>
          <cell r="J76">
            <v>10.015787436894229</v>
          </cell>
          <cell r="K76">
            <v>440</v>
          </cell>
          <cell r="N76">
            <v>1574060</v>
          </cell>
          <cell r="O76">
            <v>0.69221094478354939</v>
          </cell>
          <cell r="P76">
            <v>5914</v>
          </cell>
          <cell r="Q76">
            <v>2.6007493535506341</v>
          </cell>
        </row>
        <row r="77">
          <cell r="A77">
            <v>14</v>
          </cell>
          <cell r="B77" t="str">
            <v>98-99</v>
          </cell>
          <cell r="C77">
            <v>420</v>
          </cell>
          <cell r="D77">
            <v>2600</v>
          </cell>
          <cell r="E77">
            <v>2594.7199999999998</v>
          </cell>
          <cell r="F77">
            <v>99.796923076923065</v>
          </cell>
          <cell r="G77">
            <v>81.5</v>
          </cell>
          <cell r="H77">
            <v>70.524026962383118</v>
          </cell>
          <cell r="I77">
            <v>265</v>
          </cell>
          <cell r="J77">
            <v>10.213048036011594</v>
          </cell>
          <cell r="K77">
            <v>420</v>
          </cell>
          <cell r="N77">
            <v>1991333</v>
          </cell>
          <cell r="O77">
            <v>0.76745583338471979</v>
          </cell>
          <cell r="P77">
            <v>3723</v>
          </cell>
          <cell r="Q77">
            <v>1.4348368995498553</v>
          </cell>
        </row>
        <row r="78">
          <cell r="A78">
            <v>15</v>
          </cell>
          <cell r="B78" t="str">
            <v>99-00</v>
          </cell>
          <cell r="C78">
            <v>420</v>
          </cell>
          <cell r="D78">
            <v>2600</v>
          </cell>
          <cell r="E78">
            <v>2403.0500000000002</v>
          </cell>
          <cell r="F78">
            <v>92.425000000000011</v>
          </cell>
          <cell r="G78">
            <v>73.599999999999994</v>
          </cell>
          <cell r="H78">
            <v>65.099999999999994</v>
          </cell>
          <cell r="I78">
            <v>228</v>
          </cell>
          <cell r="J78">
            <v>9.5</v>
          </cell>
          <cell r="K78">
            <v>415</v>
          </cell>
          <cell r="N78">
            <v>1887370</v>
          </cell>
          <cell r="O78">
            <v>0.79</v>
          </cell>
          <cell r="P78">
            <v>3313</v>
          </cell>
          <cell r="Q78">
            <v>1.38</v>
          </cell>
        </row>
        <row r="79">
          <cell r="A79">
            <v>16</v>
          </cell>
          <cell r="B79" t="str">
            <v>00-01</v>
          </cell>
          <cell r="C79">
            <v>420</v>
          </cell>
          <cell r="D79">
            <v>2650</v>
          </cell>
          <cell r="E79">
            <v>2163.6799999999998</v>
          </cell>
          <cell r="F79">
            <v>81.648301886792439</v>
          </cell>
          <cell r="G79">
            <v>67.81</v>
          </cell>
          <cell r="H79">
            <v>58.81</v>
          </cell>
          <cell r="I79">
            <v>216.61</v>
          </cell>
          <cell r="J79">
            <v>10.01</v>
          </cell>
          <cell r="K79">
            <v>410</v>
          </cell>
          <cell r="N79">
            <v>1588622</v>
          </cell>
          <cell r="O79">
            <v>0.73399999999999999</v>
          </cell>
          <cell r="P79">
            <v>3183</v>
          </cell>
          <cell r="Q79">
            <v>1.47</v>
          </cell>
        </row>
        <row r="80">
          <cell r="A80" t="str">
            <v>Average last 5 years</v>
          </cell>
          <cell r="B80" t="str">
            <v>Thermal  Auxiliary Consumption   Percentage</v>
          </cell>
          <cell r="C80" t="str">
            <v>%</v>
          </cell>
          <cell r="D80">
            <v>2590</v>
          </cell>
          <cell r="E80">
            <v>2327.2019999999998</v>
          </cell>
          <cell r="F80">
            <v>89.868633228037226</v>
          </cell>
          <cell r="G80">
            <v>73.701999999999998</v>
          </cell>
          <cell r="H80">
            <v>63.210353989997827</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t="str">
            <v xml:space="preserve">KORBA WEST </v>
          </cell>
          <cell r="B81" t="str">
            <v>88-89</v>
          </cell>
          <cell r="C81">
            <v>840</v>
          </cell>
          <cell r="D81">
            <v>3500</v>
          </cell>
          <cell r="E81">
            <v>3620.8</v>
          </cell>
          <cell r="F81">
            <v>103.45142857142856</v>
          </cell>
          <cell r="G81">
            <v>64.435000000000002</v>
          </cell>
          <cell r="H81" t="str">
            <v>***</v>
          </cell>
          <cell r="I81">
            <v>0</v>
          </cell>
          <cell r="J81">
            <v>0</v>
          </cell>
          <cell r="K81" t="str">
            <v xml:space="preserve"> </v>
          </cell>
          <cell r="L81" t="str">
            <v xml:space="preserve"> </v>
          </cell>
          <cell r="M81" t="str">
            <v xml:space="preserve"> </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t="str">
            <v xml:space="preserve"> </v>
          </cell>
          <cell r="L82">
            <v>159088</v>
          </cell>
          <cell r="M82">
            <v>3250742</v>
          </cell>
          <cell r="N82">
            <v>3102469</v>
          </cell>
          <cell r="O82">
            <v>0.76539539450636751</v>
          </cell>
          <cell r="P82">
            <v>16389</v>
          </cell>
          <cell r="Q82">
            <v>4.0432523646698346</v>
          </cell>
        </row>
        <row r="83">
          <cell r="A83">
            <v>1</v>
          </cell>
          <cell r="B83" t="str">
            <v>90-91</v>
          </cell>
          <cell r="C83">
            <v>840</v>
          </cell>
          <cell r="D83">
            <v>4400</v>
          </cell>
          <cell r="E83">
            <v>5060.96</v>
          </cell>
          <cell r="F83">
            <v>115.02181818181818</v>
          </cell>
          <cell r="G83">
            <v>81.45</v>
          </cell>
          <cell r="H83">
            <v>68.777995216351385</v>
          </cell>
          <cell r="I83">
            <v>473.01</v>
          </cell>
          <cell r="J83">
            <v>9.3462505137365248</v>
          </cell>
          <cell r="K83" t="str">
            <v xml:space="preserve"> </v>
          </cell>
          <cell r="L83">
            <v>313023</v>
          </cell>
          <cell r="M83">
            <v>3289767</v>
          </cell>
          <cell r="N83">
            <v>3582839</v>
          </cell>
          <cell r="O83">
            <v>0.7079366365274572</v>
          </cell>
          <cell r="P83">
            <v>19299</v>
          </cell>
          <cell r="Q83">
            <v>3.8133081470709116</v>
          </cell>
        </row>
        <row r="84">
          <cell r="A84">
            <v>2</v>
          </cell>
          <cell r="B84" t="str">
            <v>91-92</v>
          </cell>
          <cell r="C84">
            <v>840</v>
          </cell>
          <cell r="D84">
            <v>4400</v>
          </cell>
          <cell r="E84">
            <v>4649.3999999999996</v>
          </cell>
          <cell r="F84">
            <v>105.66818181818181</v>
          </cell>
          <cell r="G84">
            <v>78.054999999999993</v>
          </cell>
          <cell r="H84">
            <v>63.012295081967203</v>
          </cell>
          <cell r="I84">
            <v>444.15999999999997</v>
          </cell>
          <cell r="J84">
            <v>9.5530606099711797</v>
          </cell>
          <cell r="K84" t="str">
            <v xml:space="preserve"> </v>
          </cell>
          <cell r="L84">
            <v>123702</v>
          </cell>
          <cell r="M84">
            <v>3358189</v>
          </cell>
          <cell r="N84">
            <v>3468442</v>
          </cell>
          <cell r="O84">
            <v>0.74599776315223465</v>
          </cell>
          <cell r="P84">
            <v>25027</v>
          </cell>
          <cell r="Q84">
            <v>5.3828450982922531</v>
          </cell>
        </row>
        <row r="85">
          <cell r="A85">
            <v>3</v>
          </cell>
          <cell r="B85" t="str">
            <v>92-93</v>
          </cell>
          <cell r="C85">
            <v>840</v>
          </cell>
          <cell r="D85">
            <v>4800</v>
          </cell>
          <cell r="E85">
            <v>4853.41</v>
          </cell>
          <cell r="F85">
            <v>101.11270833333333</v>
          </cell>
          <cell r="G85">
            <v>79.78</v>
          </cell>
          <cell r="H85">
            <v>65.957409219395515</v>
          </cell>
          <cell r="I85">
            <v>454.39</v>
          </cell>
          <cell r="J85">
            <v>9.3622834254678668</v>
          </cell>
          <cell r="K85" t="str">
            <v xml:space="preserve"> </v>
          </cell>
          <cell r="L85">
            <v>99032</v>
          </cell>
          <cell r="M85">
            <v>3326019</v>
          </cell>
          <cell r="N85">
            <v>3418029</v>
          </cell>
          <cell r="O85">
            <v>0.70425309215582443</v>
          </cell>
          <cell r="P85">
            <v>25049</v>
          </cell>
          <cell r="Q85">
            <v>5.1611135263659982</v>
          </cell>
        </row>
        <row r="86">
          <cell r="A86">
            <v>4</v>
          </cell>
          <cell r="B86" t="str">
            <v>93-94</v>
          </cell>
          <cell r="C86">
            <v>840</v>
          </cell>
          <cell r="D86">
            <v>5000</v>
          </cell>
          <cell r="E86">
            <v>4940.0300000000007</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94-95</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t="str">
            <v/>
          </cell>
          <cell r="B92" t="str">
            <v>99-00</v>
          </cell>
          <cell r="C92">
            <v>840</v>
          </cell>
          <cell r="D92">
            <v>5300</v>
          </cell>
          <cell r="E92">
            <v>5017.8999999999996</v>
          </cell>
          <cell r="F92">
            <v>94.677358490566021</v>
          </cell>
          <cell r="G92">
            <v>77.5</v>
          </cell>
          <cell r="H92">
            <v>68</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00-01</v>
          </cell>
          <cell r="C93">
            <v>840</v>
          </cell>
          <cell r="D93">
            <v>5450</v>
          </cell>
          <cell r="E93">
            <v>4955.8099999999995</v>
          </cell>
          <cell r="F93">
            <v>90.932293577981639</v>
          </cell>
          <cell r="G93">
            <v>77.48</v>
          </cell>
          <cell r="H93">
            <v>67.349999999999994</v>
          </cell>
          <cell r="I93">
            <v>484.36</v>
          </cell>
          <cell r="J93">
            <v>9.773578890231871</v>
          </cell>
          <cell r="K93">
            <v>820</v>
          </cell>
          <cell r="L93">
            <v>259409</v>
          </cell>
          <cell r="M93">
            <v>3227819</v>
          </cell>
          <cell r="N93">
            <v>3644838</v>
          </cell>
          <cell r="O93">
            <v>0.73499999999999999</v>
          </cell>
          <cell r="P93">
            <v>6706</v>
          </cell>
          <cell r="Q93">
            <v>1.35</v>
          </cell>
        </row>
        <row r="94">
          <cell r="A94" t="str">
            <v>Average last 5 years</v>
          </cell>
          <cell r="B94" t="str">
            <v xml:space="preserve">Target (PLAN )   </v>
          </cell>
          <cell r="C94" t="str">
            <v>MU</v>
          </cell>
          <cell r="D94">
            <v>5230</v>
          </cell>
          <cell r="E94">
            <v>5047.24</v>
          </cell>
          <cell r="F94">
            <v>96.573763747042861</v>
          </cell>
          <cell r="G94">
            <v>76.955999999999989</v>
          </cell>
          <cell r="H94">
            <v>68.553175690367468</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t="str">
            <v>STATE  LOAD  DESPATCH  CENTRE  M.P.E.B.  JABALPUR</v>
          </cell>
          <cell r="B95" t="str">
            <v>ACHIEVEMENT Percentage of ( 2 )</v>
          </cell>
          <cell r="C95" t="str">
            <v>%</v>
          </cell>
          <cell r="D95">
            <v>74.768492377188025</v>
          </cell>
          <cell r="E95">
            <v>69.277005347593587</v>
          </cell>
          <cell r="F95">
            <v>85.009625668449203</v>
          </cell>
          <cell r="G95">
            <v>116.05466839694657</v>
          </cell>
          <cell r="H95">
            <v>105.23</v>
          </cell>
        </row>
        <row r="96">
          <cell r="A96" t="str">
            <v>AMARKANTAK</v>
          </cell>
          <cell r="B96" t="str">
            <v>Hydel Generation M.P.Share</v>
          </cell>
          <cell r="C96" t="str">
            <v>MU</v>
          </cell>
          <cell r="D96">
            <v>1498.64</v>
          </cell>
          <cell r="E96">
            <v>1511.19</v>
          </cell>
          <cell r="F96">
            <v>1658.26</v>
          </cell>
          <cell r="G96">
            <v>2415.3094620000002</v>
          </cell>
          <cell r="H96">
            <v>2253.15</v>
          </cell>
        </row>
        <row r="97">
          <cell r="A97" t="str">
            <v>STATION NAME</v>
          </cell>
          <cell r="B97" t="str">
            <v>YEAR</v>
          </cell>
          <cell r="C97" t="str">
            <v>CAPACITY</v>
          </cell>
          <cell r="D97" t="str">
            <v>TARGET</v>
          </cell>
          <cell r="E97" t="str">
            <v>ACTUAL GENE.</v>
          </cell>
          <cell r="F97" t="str">
            <v>ACHIEVE-MENT</v>
          </cell>
          <cell r="G97" t="str">
            <v>AVAIL-ABILITY</v>
          </cell>
          <cell r="H97" t="str">
            <v>P.L.F.</v>
          </cell>
          <cell r="I97" t="str">
            <v>AUXILIARY CONSUMPTION</v>
          </cell>
          <cell r="K97" t="str">
            <v>MAXIMUM DEMAND</v>
          </cell>
          <cell r="L97" t="str">
            <v>COAL IN MT</v>
          </cell>
          <cell r="N97" t="str">
            <v>COAL CONSUMED</v>
          </cell>
          <cell r="P97" t="str">
            <v>FUEL OIL CONSUMPTION</v>
          </cell>
        </row>
        <row r="98">
          <cell r="A98">
            <v>6</v>
          </cell>
          <cell r="B98" t="str">
            <v>ACHIEVEMENT Percentage of ( 5 )</v>
          </cell>
          <cell r="C98" t="str">
            <v>MW</v>
          </cell>
          <cell r="D98" t="str">
            <v>MKwh</v>
          </cell>
          <cell r="E98" t="str">
            <v>MKwh</v>
          </cell>
          <cell r="F98" t="str">
            <v>%</v>
          </cell>
          <cell r="G98" t="str">
            <v>%</v>
          </cell>
          <cell r="H98" t="str">
            <v>%</v>
          </cell>
          <cell r="I98" t="str">
            <v>MKwh</v>
          </cell>
          <cell r="J98" t="str">
            <v>%</v>
          </cell>
          <cell r="K98" t="str">
            <v>MW</v>
          </cell>
          <cell r="L98" t="str">
            <v>OP.STOCK</v>
          </cell>
          <cell r="M98" t="str">
            <v>RECIEPT</v>
          </cell>
          <cell r="N98" t="str">
            <v>MT</v>
          </cell>
          <cell r="O98" t="str">
            <v>Kg/kWH</v>
          </cell>
          <cell r="P98" t="str">
            <v>KL</v>
          </cell>
          <cell r="Q98" t="str">
            <v>ml/KWH</v>
          </cell>
        </row>
        <row r="99">
          <cell r="A99" t="str">
            <v>AMARKANTAK I</v>
          </cell>
          <cell r="B99" t="str">
            <v>88-89</v>
          </cell>
          <cell r="C99">
            <v>60</v>
          </cell>
          <cell r="D99">
            <v>300</v>
          </cell>
          <cell r="E99">
            <v>375.32</v>
          </cell>
          <cell r="F99">
            <v>125.10666666666667</v>
          </cell>
          <cell r="G99">
            <v>87.49</v>
          </cell>
          <cell r="H99">
            <v>71.407914764079152</v>
          </cell>
          <cell r="I99" t="str">
            <v xml:space="preserve"> </v>
          </cell>
          <cell r="J99">
            <v>0</v>
          </cell>
          <cell r="K99">
            <v>61</v>
          </cell>
          <cell r="N99">
            <v>252980</v>
          </cell>
          <cell r="O99">
            <v>0.6740381541084941</v>
          </cell>
          <cell r="P99">
            <v>2143</v>
          </cell>
          <cell r="Q99">
            <v>5.7097943088564422</v>
          </cell>
        </row>
        <row r="100">
          <cell r="A100" t="str">
            <v>a</v>
          </cell>
          <cell r="B100" t="str">
            <v>89-90</v>
          </cell>
          <cell r="C100">
            <v>60</v>
          </cell>
          <cell r="D100">
            <v>330</v>
          </cell>
          <cell r="E100">
            <v>348.29</v>
          </cell>
          <cell r="F100">
            <v>105.54242424242425</v>
          </cell>
          <cell r="G100">
            <v>94.49</v>
          </cell>
          <cell r="H100">
            <v>66.265220700152213</v>
          </cell>
          <cell r="I100" t="str">
            <v xml:space="preserve"> </v>
          </cell>
          <cell r="J100">
            <v>0</v>
          </cell>
          <cell r="K100">
            <v>60</v>
          </cell>
          <cell r="N100">
            <v>241459</v>
          </cell>
          <cell r="O100">
            <v>0.69326997616928421</v>
          </cell>
          <cell r="P100">
            <v>3121</v>
          </cell>
          <cell r="Q100">
            <v>8.9609233684573191</v>
          </cell>
        </row>
        <row r="101">
          <cell r="A101" t="str">
            <v/>
          </cell>
          <cell r="B101" t="str">
            <v>90-91</v>
          </cell>
          <cell r="C101">
            <v>60</v>
          </cell>
          <cell r="D101">
            <v>350</v>
          </cell>
          <cell r="E101">
            <v>212.54</v>
          </cell>
          <cell r="F101">
            <v>60.725714285714282</v>
          </cell>
          <cell r="G101">
            <v>55.52</v>
          </cell>
          <cell r="H101">
            <v>40.43759512937595</v>
          </cell>
          <cell r="I101">
            <v>21.16</v>
          </cell>
          <cell r="J101">
            <v>9.9557730309588788</v>
          </cell>
          <cell r="K101">
            <v>58</v>
          </cell>
          <cell r="N101">
            <v>159372</v>
          </cell>
          <cell r="O101">
            <v>0.74984473510868543</v>
          </cell>
          <cell r="P101">
            <v>5292</v>
          </cell>
          <cell r="Q101">
            <v>24.898842570810203</v>
          </cell>
        </row>
        <row r="102">
          <cell r="A102" t="str">
            <v>b</v>
          </cell>
          <cell r="B102" t="str">
            <v>91-92</v>
          </cell>
          <cell r="C102">
            <v>60</v>
          </cell>
          <cell r="D102">
            <v>350</v>
          </cell>
          <cell r="E102">
            <v>166.64</v>
          </cell>
          <cell r="F102">
            <v>47.611428571428569</v>
          </cell>
          <cell r="G102">
            <v>42.98</v>
          </cell>
          <cell r="H102">
            <v>31.704718417047182</v>
          </cell>
          <cell r="I102">
            <v>17.46</v>
          </cell>
          <cell r="J102">
            <v>10.477676428228518</v>
          </cell>
          <cell r="K102">
            <v>30</v>
          </cell>
          <cell r="N102">
            <v>126486</v>
          </cell>
          <cell r="O102">
            <v>0.75903744599135858</v>
          </cell>
          <cell r="P102">
            <v>1923</v>
          </cell>
          <cell r="Q102">
            <v>11.539846375420067</v>
          </cell>
        </row>
        <row r="103">
          <cell r="A103" t="str">
            <v/>
          </cell>
          <cell r="B103" t="str">
            <v>92-93</v>
          </cell>
          <cell r="C103">
            <v>60</v>
          </cell>
          <cell r="D103">
            <v>300</v>
          </cell>
          <cell r="E103">
            <v>284.81</v>
          </cell>
          <cell r="F103">
            <v>94.936666666666667</v>
          </cell>
          <cell r="G103">
            <v>87.9</v>
          </cell>
          <cell r="H103">
            <v>54.965647676393395</v>
          </cell>
          <cell r="I103">
            <v>29.54</v>
          </cell>
          <cell r="J103">
            <v>10.371826831923036</v>
          </cell>
          <cell r="K103">
            <v>50</v>
          </cell>
          <cell r="N103">
            <v>205036</v>
          </cell>
          <cell r="O103">
            <v>0.71990449773533227</v>
          </cell>
          <cell r="P103">
            <v>3864</v>
          </cell>
          <cell r="Q103">
            <v>13.566939363084161</v>
          </cell>
        </row>
        <row r="104">
          <cell r="A104" t="str">
            <v>c</v>
          </cell>
          <cell r="B104" t="str">
            <v>93-94</v>
          </cell>
          <cell r="C104">
            <v>50</v>
          </cell>
          <cell r="D104">
            <v>300</v>
          </cell>
          <cell r="E104">
            <v>304.72899999999998</v>
          </cell>
          <cell r="F104">
            <v>101.57633333333332</v>
          </cell>
          <cell r="G104">
            <v>92.043342465753426</v>
          </cell>
          <cell r="H104">
            <v>69.572831050228316</v>
          </cell>
          <cell r="I104">
            <v>32.345314999999999</v>
          </cell>
          <cell r="J104">
            <v>10.614452513544823</v>
          </cell>
          <cell r="K104">
            <v>50</v>
          </cell>
          <cell r="N104">
            <v>211815.05</v>
          </cell>
          <cell r="O104">
            <v>0.69509318115440277</v>
          </cell>
          <cell r="P104">
            <v>3308.25</v>
          </cell>
          <cell r="Q104">
            <v>10.856367460924297</v>
          </cell>
        </row>
        <row r="105">
          <cell r="A105" t="str">
            <v/>
          </cell>
          <cell r="B105" t="str">
            <v>94-95</v>
          </cell>
          <cell r="C105">
            <v>50</v>
          </cell>
          <cell r="D105">
            <v>300</v>
          </cell>
          <cell r="E105">
            <v>304.39999999999998</v>
          </cell>
          <cell r="F105">
            <v>101.46666666666665</v>
          </cell>
          <cell r="G105">
            <v>89.8</v>
          </cell>
          <cell r="H105">
            <v>69.49771689497716</v>
          </cell>
          <cell r="I105">
            <v>31.2</v>
          </cell>
          <cell r="J105">
            <v>10.249671484888305</v>
          </cell>
          <cell r="K105">
            <v>50</v>
          </cell>
          <cell r="N105">
            <v>214826</v>
          </cell>
          <cell r="O105">
            <v>0.70573587385019709</v>
          </cell>
          <cell r="P105">
            <v>5006</v>
          </cell>
          <cell r="Q105">
            <v>16.445466491458607</v>
          </cell>
        </row>
        <row r="106">
          <cell r="A106" t="str">
            <v>d</v>
          </cell>
          <cell r="B106" t="str">
            <v>95-96</v>
          </cell>
          <cell r="C106">
            <v>50</v>
          </cell>
          <cell r="D106">
            <v>300</v>
          </cell>
          <cell r="E106">
            <v>294.39999999999998</v>
          </cell>
          <cell r="F106">
            <v>98.133333333333326</v>
          </cell>
          <cell r="G106">
            <v>90.6</v>
          </cell>
          <cell r="H106">
            <v>67.030965391621123</v>
          </cell>
          <cell r="I106">
            <v>32.299999999999997</v>
          </cell>
          <cell r="J106">
            <v>10.971467391304348</v>
          </cell>
          <cell r="K106">
            <v>50</v>
          </cell>
          <cell r="N106">
            <v>204359</v>
          </cell>
          <cell r="O106">
            <v>0.69415421195652172</v>
          </cell>
          <cell r="P106">
            <v>2743</v>
          </cell>
          <cell r="Q106">
            <v>9.3172554347826093</v>
          </cell>
        </row>
        <row r="107">
          <cell r="A107" t="str">
            <v/>
          </cell>
          <cell r="B107" t="str">
            <v>96-97</v>
          </cell>
          <cell r="C107">
            <v>50</v>
          </cell>
          <cell r="D107">
            <v>300</v>
          </cell>
          <cell r="E107">
            <v>258.89999999999998</v>
          </cell>
          <cell r="F107">
            <v>86.299999999999983</v>
          </cell>
          <cell r="G107">
            <v>85.6</v>
          </cell>
          <cell r="H107">
            <v>59.10958904109588</v>
          </cell>
          <cell r="I107">
            <v>29</v>
          </cell>
          <cell r="J107">
            <v>11.201235998455003</v>
          </cell>
          <cell r="K107">
            <v>49</v>
          </cell>
          <cell r="N107">
            <v>177922</v>
          </cell>
          <cell r="O107">
            <v>0.68722286597141757</v>
          </cell>
          <cell r="P107">
            <v>2063</v>
          </cell>
          <cell r="Q107">
            <v>7.9683275395905762</v>
          </cell>
        </row>
        <row r="108">
          <cell r="A108" t="str">
            <v>e</v>
          </cell>
          <cell r="B108" t="str">
            <v>97-98</v>
          </cell>
          <cell r="C108">
            <v>50</v>
          </cell>
          <cell r="D108">
            <v>300</v>
          </cell>
          <cell r="E108">
            <v>251.97</v>
          </cell>
          <cell r="F108">
            <v>83.99</v>
          </cell>
          <cell r="G108">
            <v>87.6</v>
          </cell>
          <cell r="H108">
            <v>57.527397260273972</v>
          </cell>
          <cell r="I108">
            <v>30.628</v>
          </cell>
          <cell r="J108">
            <v>12.155415327221496</v>
          </cell>
          <cell r="K108">
            <v>50</v>
          </cell>
          <cell r="N108">
            <v>174156</v>
          </cell>
          <cell r="O108">
            <v>0.69117752113346831</v>
          </cell>
          <cell r="P108">
            <v>2350</v>
          </cell>
          <cell r="Q108">
            <v>9.3265071238639514</v>
          </cell>
        </row>
        <row r="109">
          <cell r="A109" t="str">
            <v/>
          </cell>
          <cell r="B109" t="str">
            <v>98-99</v>
          </cell>
          <cell r="C109">
            <v>50</v>
          </cell>
          <cell r="D109">
            <v>300</v>
          </cell>
          <cell r="E109">
            <v>202.17</v>
          </cell>
          <cell r="F109">
            <v>67.39</v>
          </cell>
          <cell r="G109">
            <v>76</v>
          </cell>
          <cell r="H109">
            <v>46.157534246575345</v>
          </cell>
          <cell r="I109">
            <v>25.5</v>
          </cell>
          <cell r="J109">
            <v>12.613147351239057</v>
          </cell>
          <cell r="K109">
            <v>49</v>
          </cell>
          <cell r="N109">
            <v>135455</v>
          </cell>
          <cell r="O109">
            <v>0.67000544096552406</v>
          </cell>
          <cell r="P109">
            <v>2779</v>
          </cell>
          <cell r="Q109">
            <v>13.745857446703271</v>
          </cell>
        </row>
        <row r="110">
          <cell r="A110" t="str">
            <v>f</v>
          </cell>
          <cell r="B110" t="str">
            <v>99-00</v>
          </cell>
          <cell r="C110">
            <v>50</v>
          </cell>
          <cell r="D110">
            <v>250</v>
          </cell>
          <cell r="E110">
            <v>248.2</v>
          </cell>
          <cell r="F110">
            <v>98.9</v>
          </cell>
          <cell r="G110">
            <v>86.2</v>
          </cell>
          <cell r="H110">
            <v>56.5</v>
          </cell>
          <cell r="I110">
            <v>29.3</v>
          </cell>
          <cell r="J110">
            <v>11.804995970991136</v>
          </cell>
          <cell r="K110">
            <v>50</v>
          </cell>
          <cell r="N110">
            <v>170257</v>
          </cell>
          <cell r="O110">
            <v>0.68596696212731667</v>
          </cell>
          <cell r="P110">
            <v>1599</v>
          </cell>
          <cell r="Q110">
            <v>6.4423851732473816</v>
          </cell>
        </row>
        <row r="111">
          <cell r="A111" t="str">
            <v/>
          </cell>
          <cell r="B111" t="str">
            <v>00-01</v>
          </cell>
          <cell r="C111">
            <v>50</v>
          </cell>
          <cell r="D111">
            <v>250</v>
          </cell>
          <cell r="E111">
            <v>180.96</v>
          </cell>
          <cell r="F111">
            <v>71.81</v>
          </cell>
          <cell r="G111">
            <v>64.22</v>
          </cell>
          <cell r="H111">
            <v>41.31</v>
          </cell>
          <cell r="I111">
            <v>23.72</v>
          </cell>
          <cell r="J111">
            <v>13.1078691423519</v>
          </cell>
          <cell r="K111">
            <v>49</v>
          </cell>
          <cell r="N111">
            <v>131657</v>
          </cell>
          <cell r="O111">
            <v>0.72754752431476566</v>
          </cell>
          <cell r="P111">
            <v>2944</v>
          </cell>
          <cell r="Q111">
            <v>16.268788682581786</v>
          </cell>
        </row>
        <row r="112">
          <cell r="A112" t="str">
            <v>Average last 5 years</v>
          </cell>
          <cell r="B112" t="str">
            <v xml:space="preserve">RAJGHAT     MDDL    </v>
          </cell>
          <cell r="C112" t="str">
            <v>M</v>
          </cell>
          <cell r="D112">
            <v>280</v>
          </cell>
          <cell r="E112">
            <v>228.44</v>
          </cell>
          <cell r="F112">
            <v>81.677999999999983</v>
          </cell>
          <cell r="G112">
            <v>79.924000000000007</v>
          </cell>
          <cell r="H112">
            <v>52.120904109589034</v>
          </cell>
          <cell r="I112">
            <v>27.6296</v>
          </cell>
          <cell r="J112">
            <v>12.176532758051719</v>
          </cell>
          <cell r="K112">
            <v>49.4</v>
          </cell>
          <cell r="N112">
            <v>157889.4</v>
          </cell>
          <cell r="O112">
            <v>0.69238406290249854</v>
          </cell>
          <cell r="P112">
            <v>2347</v>
          </cell>
          <cell r="Q112">
            <v>10.750373193197394</v>
          </cell>
        </row>
        <row r="113">
          <cell r="A113" t="str">
            <v>AMARKANTAK II</v>
          </cell>
          <cell r="B113" t="str">
            <v>88-89</v>
          </cell>
          <cell r="C113">
            <v>240</v>
          </cell>
          <cell r="D113">
            <v>1250</v>
          </cell>
          <cell r="E113">
            <v>1209.6600000000001</v>
          </cell>
          <cell r="F113">
            <v>96.772800000000018</v>
          </cell>
          <cell r="G113">
            <v>78.19</v>
          </cell>
          <cell r="H113">
            <v>57.537100456621012</v>
          </cell>
          <cell r="I113" t="str">
            <v xml:space="preserve"> </v>
          </cell>
          <cell r="J113">
            <v>0</v>
          </cell>
          <cell r="K113">
            <v>230</v>
          </cell>
          <cell r="N113">
            <v>908200</v>
          </cell>
          <cell r="O113">
            <v>0.75078947803515039</v>
          </cell>
          <cell r="P113">
            <v>9857</v>
          </cell>
          <cell r="Q113">
            <v>8.1485706727510205</v>
          </cell>
        </row>
        <row r="114">
          <cell r="A114" t="str">
            <v/>
          </cell>
          <cell r="B114" t="str">
            <v>89-90</v>
          </cell>
          <cell r="C114">
            <v>240</v>
          </cell>
          <cell r="D114">
            <v>1310</v>
          </cell>
          <cell r="E114">
            <v>988.66</v>
          </cell>
          <cell r="F114">
            <v>75.470229007633591</v>
          </cell>
          <cell r="G114">
            <v>69.31</v>
          </cell>
          <cell r="H114">
            <v>47.025304414003045</v>
          </cell>
          <cell r="I114">
            <v>103</v>
          </cell>
          <cell r="J114">
            <v>10.418141727186294</v>
          </cell>
          <cell r="K114">
            <v>200</v>
          </cell>
          <cell r="N114">
            <v>755851</v>
          </cell>
          <cell r="O114">
            <v>0.76452066433354238</v>
          </cell>
          <cell r="P114">
            <v>11664</v>
          </cell>
          <cell r="Q114">
            <v>11.797786903485527</v>
          </cell>
        </row>
        <row r="115">
          <cell r="A115">
            <v>1</v>
          </cell>
          <cell r="B115" t="str">
            <v>90-91</v>
          </cell>
          <cell r="C115">
            <v>240</v>
          </cell>
          <cell r="D115">
            <v>1250</v>
          </cell>
          <cell r="E115">
            <v>791.39</v>
          </cell>
          <cell r="F115">
            <v>63.311199999999999</v>
          </cell>
          <cell r="G115">
            <v>55.96</v>
          </cell>
          <cell r="H115">
            <v>37.642218417047182</v>
          </cell>
          <cell r="I115">
            <v>87.17</v>
          </cell>
          <cell r="J115">
            <v>11.014796750022112</v>
          </cell>
          <cell r="K115">
            <v>190</v>
          </cell>
          <cell r="N115">
            <v>643580</v>
          </cell>
          <cell r="O115">
            <v>0.81322735945614677</v>
          </cell>
          <cell r="P115">
            <v>10599</v>
          </cell>
          <cell r="Q115">
            <v>13.39289098927204</v>
          </cell>
        </row>
        <row r="116">
          <cell r="A116">
            <v>2</v>
          </cell>
          <cell r="B116" t="str">
            <v>91-92</v>
          </cell>
          <cell r="C116">
            <v>240</v>
          </cell>
          <cell r="D116">
            <v>1200</v>
          </cell>
          <cell r="E116">
            <v>902.14</v>
          </cell>
          <cell r="F116">
            <v>75.178333333333327</v>
          </cell>
          <cell r="G116">
            <v>63.18</v>
          </cell>
          <cell r="H116">
            <v>42.792767152398298</v>
          </cell>
          <cell r="I116">
            <v>96.78</v>
          </cell>
          <cell r="J116">
            <v>10.727824949564368</v>
          </cell>
          <cell r="K116">
            <v>195</v>
          </cell>
          <cell r="N116">
            <v>744899</v>
          </cell>
          <cell r="O116">
            <v>0.82570221916775666</v>
          </cell>
          <cell r="P116">
            <v>13223</v>
          </cell>
          <cell r="Q116">
            <v>14.657370252954086</v>
          </cell>
        </row>
        <row r="117">
          <cell r="A117">
            <v>3</v>
          </cell>
          <cell r="B117" t="str">
            <v>92-93</v>
          </cell>
          <cell r="C117">
            <v>240</v>
          </cell>
          <cell r="D117">
            <v>1200</v>
          </cell>
          <cell r="E117">
            <v>991.24</v>
          </cell>
          <cell r="F117">
            <v>82.603333333333339</v>
          </cell>
          <cell r="G117">
            <v>70.989999999999995</v>
          </cell>
          <cell r="H117">
            <v>47.148021308980212</v>
          </cell>
          <cell r="I117">
            <v>106.47</v>
          </cell>
          <cell r="J117">
            <v>10.741091965618821</v>
          </cell>
          <cell r="K117">
            <v>211</v>
          </cell>
          <cell r="N117">
            <v>797288</v>
          </cell>
          <cell r="O117">
            <v>0.80433396553811387</v>
          </cell>
          <cell r="P117">
            <v>13294</v>
          </cell>
          <cell r="Q117">
            <v>13.411484605141036</v>
          </cell>
        </row>
        <row r="118">
          <cell r="A118" t="str">
            <v>Note :-</v>
          </cell>
          <cell r="B118" t="str">
            <v>93-94</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N118">
            <v>783385.61</v>
          </cell>
          <cell r="O118">
            <v>0.73178318679963683</v>
          </cell>
          <cell r="P118">
            <v>10814.63</v>
          </cell>
          <cell r="Q118">
            <v>10.10225909748196</v>
          </cell>
        </row>
        <row r="119">
          <cell r="A119" t="str">
            <v>Note :-</v>
          </cell>
          <cell r="B119" t="str">
            <v>94-95</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N122">
            <v>385051</v>
          </cell>
          <cell r="O122">
            <v>0.73167445749249416</v>
          </cell>
          <cell r="P122">
            <v>3240</v>
          </cell>
          <cell r="Q122">
            <v>6.1566526051761485</v>
          </cell>
        </row>
        <row r="123">
          <cell r="A123" t="str">
            <v/>
          </cell>
          <cell r="B123" t="str">
            <v>98-99</v>
          </cell>
          <cell r="C123">
            <v>240</v>
          </cell>
          <cell r="D123">
            <v>1200</v>
          </cell>
          <cell r="E123">
            <v>997.7</v>
          </cell>
          <cell r="F123">
            <v>83.141666666666666</v>
          </cell>
          <cell r="G123">
            <v>58.8</v>
          </cell>
          <cell r="H123">
            <v>47.455289193302889</v>
          </cell>
          <cell r="I123">
            <v>97.4</v>
          </cell>
          <cell r="J123">
            <v>9.7624536433797733</v>
          </cell>
          <cell r="K123">
            <v>220</v>
          </cell>
          <cell r="N123">
            <v>652165</v>
          </cell>
          <cell r="O123">
            <v>0.65366843740603386</v>
          </cell>
          <cell r="P123">
            <v>3605</v>
          </cell>
          <cell r="Q123">
            <v>3.6133106144131499</v>
          </cell>
        </row>
        <row r="124">
          <cell r="A124">
            <v>1</v>
          </cell>
          <cell r="B124" t="str">
            <v>99-00</v>
          </cell>
          <cell r="C124">
            <v>240</v>
          </cell>
          <cell r="D124">
            <v>900</v>
          </cell>
          <cell r="E124">
            <v>1048.8</v>
          </cell>
          <cell r="F124">
            <v>87.4</v>
          </cell>
          <cell r="G124">
            <v>65.099999999999994</v>
          </cell>
          <cell r="H124">
            <v>49.7</v>
          </cell>
          <cell r="I124">
            <v>105.9</v>
          </cell>
          <cell r="J124">
            <v>10.09725400457666</v>
          </cell>
          <cell r="K124">
            <v>200</v>
          </cell>
          <cell r="N124">
            <v>674871</v>
          </cell>
          <cell r="O124">
            <v>0.64346967963386725</v>
          </cell>
          <cell r="P124">
            <v>3020</v>
          </cell>
          <cell r="Q124">
            <v>2.8794813119755913</v>
          </cell>
        </row>
        <row r="125">
          <cell r="A125">
            <v>2</v>
          </cell>
          <cell r="B125" t="str">
            <v>00-01</v>
          </cell>
          <cell r="C125">
            <v>240</v>
          </cell>
          <cell r="D125">
            <v>1150</v>
          </cell>
          <cell r="E125">
            <v>968.97</v>
          </cell>
          <cell r="F125">
            <v>84.19</v>
          </cell>
          <cell r="G125">
            <v>62.4</v>
          </cell>
          <cell r="H125">
            <v>46.09</v>
          </cell>
          <cell r="I125">
            <v>95.83</v>
          </cell>
          <cell r="J125">
            <v>9.8898830717153263</v>
          </cell>
          <cell r="K125">
            <v>200</v>
          </cell>
          <cell r="N125">
            <v>723885</v>
          </cell>
          <cell r="O125">
            <v>0.74706647264621195</v>
          </cell>
          <cell r="P125">
            <v>5474</v>
          </cell>
          <cell r="Q125">
            <v>5.6492977078753723</v>
          </cell>
        </row>
        <row r="126">
          <cell r="A126" t="str">
            <v>Average last 5 years</v>
          </cell>
          <cell r="B126" t="str">
            <v>ACHIEVEMENT Percentage of ( 2 )</v>
          </cell>
          <cell r="C126" t="str">
            <v>%</v>
          </cell>
          <cell r="D126">
            <v>1090</v>
          </cell>
          <cell r="E126">
            <v>792.46600000000001</v>
          </cell>
          <cell r="F126">
            <v>68.481533333333331</v>
          </cell>
          <cell r="G126">
            <v>49.6</v>
          </cell>
          <cell r="H126">
            <v>37.656477929984774</v>
          </cell>
          <cell r="I126">
            <v>78.753599999999992</v>
          </cell>
          <cell r="J126">
            <v>9.9780718101059911</v>
          </cell>
          <cell r="K126">
            <v>189</v>
          </cell>
          <cell r="N126">
            <v>551504.19999999995</v>
          </cell>
          <cell r="O126">
            <v>0.70807595208907392</v>
          </cell>
          <cell r="P126">
            <v>3856.2</v>
          </cell>
          <cell r="Q126">
            <v>5.5342134978167259</v>
          </cell>
        </row>
        <row r="127">
          <cell r="A127" t="str">
            <v>AMARKANTAK</v>
          </cell>
          <cell r="B127" t="str">
            <v>88-89</v>
          </cell>
          <cell r="C127">
            <v>300</v>
          </cell>
          <cell r="D127">
            <v>1550</v>
          </cell>
          <cell r="E127">
            <v>1584.98</v>
          </cell>
          <cell r="F127">
            <v>102.25677419354838</v>
          </cell>
          <cell r="G127">
            <v>80.05</v>
          </cell>
          <cell r="H127">
            <v>60.31126331811263</v>
          </cell>
          <cell r="I127">
            <v>0</v>
          </cell>
          <cell r="J127">
            <v>0</v>
          </cell>
          <cell r="K127" t="str">
            <v xml:space="preserve"> </v>
          </cell>
          <cell r="L127" t="str">
            <v xml:space="preserve"> </v>
          </cell>
          <cell r="M127" t="str">
            <v xml:space="preserve"> </v>
          </cell>
          <cell r="N127">
            <v>1161180</v>
          </cell>
          <cell r="O127">
            <v>0.73261492258577399</v>
          </cell>
          <cell r="P127">
            <v>12000</v>
          </cell>
          <cell r="Q127">
            <v>7.57107345203094</v>
          </cell>
        </row>
        <row r="128">
          <cell r="A128">
            <v>5</v>
          </cell>
          <cell r="B128" t="str">
            <v>89-90</v>
          </cell>
          <cell r="C128">
            <v>300</v>
          </cell>
          <cell r="D128">
            <v>1640</v>
          </cell>
          <cell r="E128">
            <v>1336.95</v>
          </cell>
          <cell r="F128">
            <v>81.521341463414629</v>
          </cell>
          <cell r="G128">
            <v>74.346000000000004</v>
          </cell>
          <cell r="H128">
            <v>50.873287671232873</v>
          </cell>
          <cell r="I128">
            <v>103</v>
          </cell>
          <cell r="J128">
            <v>7.7041026216388042</v>
          </cell>
          <cell r="K128" t="str">
            <v xml:space="preserve"> </v>
          </cell>
          <cell r="L128">
            <v>31115</v>
          </cell>
          <cell r="M128">
            <v>1015605</v>
          </cell>
          <cell r="N128">
            <v>997310</v>
          </cell>
          <cell r="O128">
            <v>0.74595908597928118</v>
          </cell>
          <cell r="P128">
            <v>14785</v>
          </cell>
          <cell r="Q128">
            <v>11.0587531321291</v>
          </cell>
        </row>
        <row r="129">
          <cell r="A129">
            <v>6</v>
          </cell>
          <cell r="B129" t="str">
            <v>90-91</v>
          </cell>
          <cell r="C129">
            <v>300</v>
          </cell>
          <cell r="D129">
            <v>1600</v>
          </cell>
          <cell r="E129">
            <v>1003.93</v>
          </cell>
          <cell r="F129">
            <v>62.745624999999997</v>
          </cell>
          <cell r="G129">
            <v>55.871999999999993</v>
          </cell>
          <cell r="H129">
            <v>38.201293759512936</v>
          </cell>
          <cell r="I129">
            <v>108.33</v>
          </cell>
          <cell r="J129">
            <v>10.790592969629357</v>
          </cell>
          <cell r="K129" t="str">
            <v xml:space="preserve"> </v>
          </cell>
          <cell r="L129">
            <v>47723</v>
          </cell>
          <cell r="M129">
            <v>791141</v>
          </cell>
          <cell r="N129">
            <v>802952</v>
          </cell>
          <cell r="O129">
            <v>0.7998087516061877</v>
          </cell>
          <cell r="P129">
            <v>15891</v>
          </cell>
          <cell r="Q129">
            <v>15.828792844122599</v>
          </cell>
        </row>
        <row r="130">
          <cell r="A130">
            <v>7</v>
          </cell>
          <cell r="B130" t="str">
            <v>91-92</v>
          </cell>
          <cell r="C130">
            <v>300</v>
          </cell>
          <cell r="D130">
            <v>1550</v>
          </cell>
          <cell r="E130">
            <v>1068.78</v>
          </cell>
          <cell r="F130">
            <v>68.953548387096774</v>
          </cell>
          <cell r="G130">
            <v>59.14</v>
          </cell>
          <cell r="H130">
            <v>40.557832422586522</v>
          </cell>
          <cell r="I130">
            <v>114.24000000000001</v>
          </cell>
          <cell r="J130">
            <v>10.688822769887162</v>
          </cell>
          <cell r="K130" t="str">
            <v xml:space="preserve"> </v>
          </cell>
          <cell r="L130">
            <v>51627</v>
          </cell>
          <cell r="M130">
            <v>828867</v>
          </cell>
          <cell r="N130">
            <v>871385</v>
          </cell>
          <cell r="O130">
            <v>0.81530810831041001</v>
          </cell>
          <cell r="P130">
            <v>15146</v>
          </cell>
          <cell r="Q130">
            <v>14.171298115608451</v>
          </cell>
        </row>
        <row r="131">
          <cell r="A131" t="str">
            <v>a</v>
          </cell>
          <cell r="B131" t="str">
            <v>92-93</v>
          </cell>
          <cell r="C131">
            <v>300</v>
          </cell>
          <cell r="D131">
            <v>1500</v>
          </cell>
          <cell r="E131">
            <v>1276.05</v>
          </cell>
          <cell r="F131">
            <v>85.07</v>
          </cell>
          <cell r="G131">
            <v>74.372</v>
          </cell>
          <cell r="H131">
            <v>48.693790640168515</v>
          </cell>
          <cell r="I131">
            <v>136.01</v>
          </cell>
          <cell r="J131">
            <v>10.65867324948082</v>
          </cell>
          <cell r="K131" t="str">
            <v xml:space="preserve"> </v>
          </cell>
          <cell r="L131">
            <v>3954</v>
          </cell>
          <cell r="M131">
            <v>1008841</v>
          </cell>
          <cell r="N131">
            <v>1002324</v>
          </cell>
          <cell r="O131">
            <v>0.78548959680263308</v>
          </cell>
          <cell r="P131">
            <v>17158</v>
          </cell>
          <cell r="Q131">
            <v>13.446181575957056</v>
          </cell>
        </row>
        <row r="132">
          <cell r="A132" t="str">
            <v/>
          </cell>
          <cell r="B132" t="str">
            <v>93-94</v>
          </cell>
          <cell r="C132">
            <v>290</v>
          </cell>
          <cell r="D132">
            <v>1420</v>
          </cell>
          <cell r="E132">
            <v>1375.2450000000001</v>
          </cell>
          <cell r="F132">
            <v>96.848239436619721</v>
          </cell>
          <cell r="G132">
            <v>73.858507321681628</v>
          </cell>
          <cell r="H132">
            <v>54.134978743504959</v>
          </cell>
          <cell r="I132">
            <v>136.81231500000001</v>
          </cell>
          <cell r="J132">
            <v>9.9482139546044532</v>
          </cell>
          <cell r="K132" t="str">
            <v xml:space="preserve"> </v>
          </cell>
          <cell r="L132">
            <v>10262</v>
          </cell>
          <cell r="M132">
            <v>1014037</v>
          </cell>
          <cell r="N132">
            <v>995200.65999999992</v>
          </cell>
          <cell r="O132">
            <v>0.72365335631105709</v>
          </cell>
          <cell r="P132">
            <v>14122.88</v>
          </cell>
          <cell r="Q132">
            <v>10.269355642085591</v>
          </cell>
        </row>
        <row r="133">
          <cell r="A133" t="str">
            <v>b</v>
          </cell>
          <cell r="B133" t="str">
            <v>94-95</v>
          </cell>
          <cell r="C133">
            <v>290</v>
          </cell>
          <cell r="D133">
            <v>1400</v>
          </cell>
          <cell r="E133">
            <v>1427.3000000000002</v>
          </cell>
          <cell r="F133">
            <v>101.95000000000002</v>
          </cell>
          <cell r="G133">
            <v>78.462068965517247</v>
          </cell>
          <cell r="H133">
            <v>56.030557125808691</v>
          </cell>
          <cell r="I133">
            <v>138.1</v>
          </cell>
          <cell r="J133">
            <v>9.6756112940517056</v>
          </cell>
          <cell r="K133" t="str">
            <v xml:space="preserve"> </v>
          </cell>
          <cell r="L133">
            <v>41415</v>
          </cell>
          <cell r="M133">
            <v>1102016</v>
          </cell>
          <cell r="N133">
            <v>1086065</v>
          </cell>
          <cell r="O133">
            <v>0.76092272122188731</v>
          </cell>
          <cell r="P133">
            <v>17781</v>
          </cell>
          <cell r="Q133">
            <v>12.457787430813422</v>
          </cell>
        </row>
        <row r="134">
          <cell r="A134" t="str">
            <v/>
          </cell>
          <cell r="B134" t="str">
            <v>95-96</v>
          </cell>
          <cell r="C134">
            <v>290</v>
          </cell>
          <cell r="D134">
            <v>1450</v>
          </cell>
          <cell r="E134">
            <v>1252.4000000000001</v>
          </cell>
          <cell r="F134">
            <v>86.372413793103462</v>
          </cell>
          <cell r="G134">
            <v>76.365517241379308</v>
          </cell>
          <cell r="H134">
            <v>49.299322941269097</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96-97</v>
          </cell>
          <cell r="C135">
            <v>290</v>
          </cell>
          <cell r="D135">
            <v>1500</v>
          </cell>
          <cell r="E135">
            <v>679.5</v>
          </cell>
          <cell r="F135">
            <v>45.3</v>
          </cell>
          <cell r="G135">
            <v>39.420689655172417</v>
          </cell>
          <cell r="H135">
            <v>26.747756258856874</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t="str">
            <v/>
          </cell>
          <cell r="B136" t="str">
            <v>97-98</v>
          </cell>
          <cell r="C136">
            <v>290</v>
          </cell>
          <cell r="D136">
            <v>1300</v>
          </cell>
          <cell r="E136">
            <v>778.23</v>
          </cell>
          <cell r="F136">
            <v>59.863846153846154</v>
          </cell>
          <cell r="G136">
            <v>41.50344827586207</v>
          </cell>
          <cell r="H136">
            <v>30.634152102031177</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98-99</v>
          </cell>
          <cell r="C137">
            <v>290</v>
          </cell>
          <cell r="D137">
            <v>1500</v>
          </cell>
          <cell r="E137">
            <v>1199.8700000000001</v>
          </cell>
          <cell r="F137">
            <v>79.991333333333344</v>
          </cell>
          <cell r="G137">
            <v>61.765517241379314</v>
          </cell>
          <cell r="H137">
            <v>47.231538340418837</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t="str">
            <v/>
          </cell>
          <cell r="B138" t="str">
            <v>99-00</v>
          </cell>
          <cell r="C138">
            <v>290</v>
          </cell>
          <cell r="D138">
            <v>1150</v>
          </cell>
          <cell r="E138">
            <v>1297</v>
          </cell>
          <cell r="F138">
            <v>112.8</v>
          </cell>
          <cell r="G138">
            <v>68.7</v>
          </cell>
          <cell r="H138">
            <v>50.9</v>
          </cell>
          <cell r="I138">
            <v>135.19999999999999</v>
          </cell>
          <cell r="J138">
            <v>10.424055512721663</v>
          </cell>
          <cell r="K138">
            <v>235</v>
          </cell>
          <cell r="M138">
            <v>875677</v>
          </cell>
          <cell r="N138">
            <v>845128</v>
          </cell>
          <cell r="O138">
            <v>0.65160215882806471</v>
          </cell>
          <cell r="P138">
            <v>4619</v>
          </cell>
          <cell r="Q138">
            <v>3.5612952968388587</v>
          </cell>
        </row>
        <row r="139">
          <cell r="A139" t="str">
            <v>e</v>
          </cell>
          <cell r="B139" t="str">
            <v>00-01</v>
          </cell>
          <cell r="C139">
            <v>290</v>
          </cell>
          <cell r="D139">
            <v>1400</v>
          </cell>
          <cell r="E139">
            <v>1149.93</v>
          </cell>
          <cell r="F139">
            <v>82.14</v>
          </cell>
          <cell r="G139">
            <v>62.71</v>
          </cell>
          <cell r="H139">
            <v>45.27</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Average last 5 years</v>
          </cell>
          <cell r="B140" t="str">
            <v>Energy   Contents   in   MKwh</v>
          </cell>
          <cell r="C140" t="str">
            <v>MU</v>
          </cell>
          <cell r="D140">
            <v>1370</v>
          </cell>
          <cell r="E140">
            <v>1020.9060000000002</v>
          </cell>
          <cell r="F140">
            <v>76.019035897435899</v>
          </cell>
          <cell r="G140">
            <v>54.819931034482764</v>
          </cell>
          <cell r="H140">
            <v>40.15668934026138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STATE  LOAD  DESPATCH  CENTRE  M.P.E.B.  JABALPUR</v>
          </cell>
          <cell r="B141" t="str">
            <v>HASDEO-BANGO    MDDL    329.79 M</v>
          </cell>
          <cell r="C141" t="str">
            <v>M</v>
          </cell>
          <cell r="D141">
            <v>345</v>
          </cell>
          <cell r="E141">
            <v>355.56</v>
          </cell>
          <cell r="F141">
            <v>334.51</v>
          </cell>
          <cell r="G141">
            <v>344.57</v>
          </cell>
          <cell r="H141">
            <v>345.48</v>
          </cell>
        </row>
        <row r="142">
          <cell r="A142" t="str">
            <v>SATPURA</v>
          </cell>
          <cell r="B142" t="str">
            <v>Energy   Contents   in   MKwh</v>
          </cell>
          <cell r="C142" t="str">
            <v>MU</v>
          </cell>
          <cell r="D142">
            <v>68</v>
          </cell>
          <cell r="E142">
            <v>187.4</v>
          </cell>
          <cell r="F142">
            <v>13.18</v>
          </cell>
          <cell r="G142">
            <v>64.849999999999994</v>
          </cell>
          <cell r="H142">
            <v>71.36</v>
          </cell>
        </row>
        <row r="143">
          <cell r="A143" t="str">
            <v>STATION NAME</v>
          </cell>
          <cell r="B143" t="str">
            <v>YEAR</v>
          </cell>
          <cell r="C143" t="str">
            <v>CAPACITY</v>
          </cell>
          <cell r="D143" t="str">
            <v>TARGET</v>
          </cell>
          <cell r="E143" t="str">
            <v>ACTUAL GENE.</v>
          </cell>
          <cell r="F143" t="str">
            <v>ACHIEVE-MENT</v>
          </cell>
          <cell r="G143" t="str">
            <v>AVAIL-ABILITY</v>
          </cell>
          <cell r="H143" t="str">
            <v>P.L.F.</v>
          </cell>
          <cell r="I143" t="str">
            <v>AUXILIARY CONSUMPTION</v>
          </cell>
          <cell r="K143" t="str">
            <v>MAXIMUM DEMAND</v>
          </cell>
          <cell r="L143" t="str">
            <v>COAL IN MT</v>
          </cell>
          <cell r="N143" t="str">
            <v>COAL CONSUMED</v>
          </cell>
          <cell r="P143" t="str">
            <v>FUEL OIL CONSUMPTION</v>
          </cell>
        </row>
        <row r="144">
          <cell r="A144" t="str">
            <v/>
          </cell>
          <cell r="B144" t="str">
            <v>Energy   Contents   in   MKwh</v>
          </cell>
          <cell r="C144" t="str">
            <v>MW</v>
          </cell>
          <cell r="D144" t="str">
            <v>MKwh</v>
          </cell>
          <cell r="E144" t="str">
            <v>MKwh</v>
          </cell>
          <cell r="F144" t="str">
            <v>%</v>
          </cell>
          <cell r="G144" t="str">
            <v>%</v>
          </cell>
          <cell r="H144" t="str">
            <v>%</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SATPURA I</v>
          </cell>
          <cell r="B145" t="str">
            <v>88-89</v>
          </cell>
          <cell r="C145">
            <v>312.5</v>
          </cell>
          <cell r="D145">
            <v>1650</v>
          </cell>
          <cell r="E145">
            <v>1832.28</v>
          </cell>
          <cell r="F145">
            <v>111.04727272727273</v>
          </cell>
          <cell r="G145">
            <v>78.5</v>
          </cell>
          <cell r="H145">
            <v>66.932602739726022</v>
          </cell>
          <cell r="I145" t="str">
            <v xml:space="preserve"> </v>
          </cell>
          <cell r="J145">
            <v>0</v>
          </cell>
          <cell r="K145">
            <v>312</v>
          </cell>
          <cell r="N145">
            <v>1518619</v>
          </cell>
          <cell r="O145">
            <v>0.82881382758093736</v>
          </cell>
          <cell r="P145">
            <v>25303</v>
          </cell>
          <cell r="Q145">
            <v>13.809570589647871</v>
          </cell>
        </row>
        <row r="146">
          <cell r="A146">
            <v>1</v>
          </cell>
          <cell r="B146" t="str">
            <v>89-90</v>
          </cell>
          <cell r="C146">
            <v>312.5</v>
          </cell>
          <cell r="D146">
            <v>1575</v>
          </cell>
          <cell r="E146">
            <v>1730</v>
          </cell>
          <cell r="F146">
            <v>109.84126984126983</v>
          </cell>
          <cell r="G146">
            <v>77.010000000000005</v>
          </cell>
          <cell r="H146">
            <v>63.196347031963469</v>
          </cell>
          <cell r="I146">
            <v>183</v>
          </cell>
          <cell r="J146">
            <v>10.578034682080926</v>
          </cell>
          <cell r="K146">
            <v>300</v>
          </cell>
          <cell r="N146">
            <v>1355923</v>
          </cell>
          <cell r="O146">
            <v>0.78377052023121385</v>
          </cell>
          <cell r="P146">
            <v>41696</v>
          </cell>
          <cell r="Q146">
            <v>24.101734104046244</v>
          </cell>
        </row>
        <row r="147">
          <cell r="A147">
            <v>2</v>
          </cell>
          <cell r="B147" t="str">
            <v>90-91</v>
          </cell>
          <cell r="C147">
            <v>312.5</v>
          </cell>
          <cell r="D147">
            <v>1700</v>
          </cell>
          <cell r="E147">
            <v>1515.39</v>
          </cell>
          <cell r="F147">
            <v>89.140588235294118</v>
          </cell>
          <cell r="G147">
            <v>72.61</v>
          </cell>
          <cell r="H147">
            <v>55.356712328767124</v>
          </cell>
          <cell r="I147">
            <v>170.39</v>
          </cell>
          <cell r="J147">
            <v>11.243970199090663</v>
          </cell>
          <cell r="K147">
            <v>270</v>
          </cell>
          <cell r="N147">
            <v>1267262</v>
          </cell>
          <cell r="O147">
            <v>0.83626129247256487</v>
          </cell>
          <cell r="P147">
            <v>29278</v>
          </cell>
          <cell r="Q147">
            <v>19.320438962907236</v>
          </cell>
        </row>
        <row r="148">
          <cell r="A148">
            <v>3</v>
          </cell>
          <cell r="B148" t="str">
            <v>91-92</v>
          </cell>
          <cell r="C148">
            <v>312.5</v>
          </cell>
          <cell r="D148">
            <v>1700</v>
          </cell>
          <cell r="E148">
            <v>1385.47</v>
          </cell>
          <cell r="F148">
            <v>81.498235294117649</v>
          </cell>
          <cell r="G148">
            <v>64.790000000000006</v>
          </cell>
          <cell r="H148">
            <v>50.610776255707762</v>
          </cell>
          <cell r="I148">
            <v>149.15</v>
          </cell>
          <cell r="J148">
            <v>10.765299862140646</v>
          </cell>
          <cell r="K148">
            <v>260</v>
          </cell>
          <cell r="N148">
            <v>1231619</v>
          </cell>
          <cell r="O148">
            <v>0.88895392899160575</v>
          </cell>
          <cell r="P148">
            <v>24484</v>
          </cell>
          <cell r="Q148">
            <v>17.67198134928941</v>
          </cell>
        </row>
        <row r="149">
          <cell r="A149" t="str">
            <v>Note :-</v>
          </cell>
          <cell r="B149" t="str">
            <v>92-93</v>
          </cell>
          <cell r="C149">
            <v>312.5</v>
          </cell>
          <cell r="D149">
            <v>1600</v>
          </cell>
          <cell r="E149">
            <v>1538.84</v>
          </cell>
          <cell r="F149">
            <v>96.177499999999995</v>
          </cell>
          <cell r="G149">
            <v>72.41</v>
          </cell>
          <cell r="H149">
            <v>56.213333333333331</v>
          </cell>
          <cell r="I149">
            <v>157.91</v>
          </cell>
          <cell r="J149">
            <v>10.261625640092538</v>
          </cell>
          <cell r="K149">
            <v>305</v>
          </cell>
          <cell r="N149">
            <v>1453111</v>
          </cell>
          <cell r="O149">
            <v>0.94428985469574489</v>
          </cell>
          <cell r="P149">
            <v>28065</v>
          </cell>
          <cell r="Q149">
            <v>18.237763510176496</v>
          </cell>
        </row>
        <row r="150">
          <cell r="A150" t="str">
            <v>Note :-</v>
          </cell>
          <cell r="B150" t="str">
            <v>93-94</v>
          </cell>
          <cell r="C150">
            <v>312.5</v>
          </cell>
          <cell r="D150">
            <v>1500</v>
          </cell>
          <cell r="E150">
            <v>1519.37</v>
          </cell>
          <cell r="F150">
            <v>101.29133333333333</v>
          </cell>
          <cell r="G150">
            <v>72.699726027397261</v>
          </cell>
          <cell r="H150">
            <v>55.502100456621008</v>
          </cell>
          <cell r="I150">
            <v>165.02799999999999</v>
          </cell>
          <cell r="J150">
            <v>10.861607113474664</v>
          </cell>
          <cell r="K150">
            <v>306</v>
          </cell>
          <cell r="N150">
            <v>1405416</v>
          </cell>
          <cell r="O150">
            <v>0.92499917729058756</v>
          </cell>
          <cell r="P150">
            <v>29911.776000000002</v>
          </cell>
          <cell r="Q150">
            <v>19.686959726728844</v>
          </cell>
        </row>
        <row r="151">
          <cell r="B151" t="str">
            <v>94-95</v>
          </cell>
          <cell r="C151">
            <v>312.5</v>
          </cell>
          <cell r="D151">
            <v>1550</v>
          </cell>
          <cell r="E151">
            <v>1497.8</v>
          </cell>
          <cell r="F151">
            <v>96.632258064516122</v>
          </cell>
          <cell r="G151">
            <v>70</v>
          </cell>
          <cell r="H151">
            <v>54.714155251141555</v>
          </cell>
          <cell r="I151">
            <v>161.1</v>
          </cell>
          <cell r="J151">
            <v>10.755775136867406</v>
          </cell>
          <cell r="K151">
            <v>310</v>
          </cell>
          <cell r="L151" t="str">
            <v xml:space="preserve"> </v>
          </cell>
          <cell r="N151">
            <v>1384902</v>
          </cell>
          <cell r="O151">
            <v>0.92462411536920819</v>
          </cell>
          <cell r="P151">
            <v>20311</v>
          </cell>
          <cell r="Q151">
            <v>13.560555481372681</v>
          </cell>
        </row>
        <row r="152">
          <cell r="B152" t="str">
            <v>95-96</v>
          </cell>
          <cell r="C152">
            <v>312.5</v>
          </cell>
          <cell r="D152">
            <v>1550</v>
          </cell>
          <cell r="E152">
            <v>1814</v>
          </cell>
          <cell r="F152">
            <v>117.03225806451613</v>
          </cell>
          <cell r="G152">
            <v>78.900000000000006</v>
          </cell>
          <cell r="H152">
            <v>66.083788706739526</v>
          </cell>
          <cell r="I152">
            <v>173.2</v>
          </cell>
          <cell r="J152">
            <v>9.5479603087100333</v>
          </cell>
          <cell r="K152">
            <v>313</v>
          </cell>
          <cell r="N152">
            <v>1640420</v>
          </cell>
          <cell r="O152">
            <v>0.90431091510474093</v>
          </cell>
          <cell r="P152">
            <v>17336</v>
          </cell>
          <cell r="Q152">
            <v>9.5567805953693501</v>
          </cell>
        </row>
        <row r="153">
          <cell r="B153" t="str">
            <v>96-97</v>
          </cell>
          <cell r="C153">
            <v>312.5</v>
          </cell>
          <cell r="D153">
            <v>1650</v>
          </cell>
          <cell r="E153">
            <v>1819</v>
          </cell>
          <cell r="F153">
            <v>110.24242424242425</v>
          </cell>
          <cell r="G153">
            <v>78</v>
          </cell>
          <cell r="H153">
            <v>66.447488584474883</v>
          </cell>
          <cell r="I153">
            <v>169</v>
          </cell>
          <cell r="J153">
            <v>9.2908191313908741</v>
          </cell>
          <cell r="K153">
            <v>315</v>
          </cell>
          <cell r="N153">
            <v>1634052</v>
          </cell>
          <cell r="O153">
            <v>0.89832435404068167</v>
          </cell>
          <cell r="P153">
            <v>14501</v>
          </cell>
          <cell r="Q153">
            <v>7.97196261682243</v>
          </cell>
        </row>
        <row r="154">
          <cell r="B154" t="str">
            <v>97-98</v>
          </cell>
          <cell r="C154">
            <v>312.5</v>
          </cell>
          <cell r="D154">
            <v>1800</v>
          </cell>
          <cell r="E154">
            <v>2122.88</v>
          </cell>
          <cell r="F154">
            <v>117.93777777777778</v>
          </cell>
          <cell r="G154">
            <v>85.2</v>
          </cell>
          <cell r="H154">
            <v>77.548127853881283</v>
          </cell>
          <cell r="I154">
            <v>192.33500000000001</v>
          </cell>
          <cell r="J154">
            <v>9.0600976032559544</v>
          </cell>
          <cell r="K154">
            <v>325</v>
          </cell>
          <cell r="N154">
            <v>1889366</v>
          </cell>
          <cell r="O154">
            <v>0.89000131896291834</v>
          </cell>
          <cell r="P154">
            <v>10789</v>
          </cell>
          <cell r="Q154">
            <v>5.0822467591196858</v>
          </cell>
        </row>
        <row r="155">
          <cell r="B155" t="str">
            <v>98-99</v>
          </cell>
          <cell r="C155">
            <v>312.5</v>
          </cell>
          <cell r="D155">
            <v>1700</v>
          </cell>
          <cell r="E155">
            <v>1925.81</v>
          </cell>
          <cell r="F155">
            <v>113.28294117647059</v>
          </cell>
          <cell r="G155">
            <v>78.900000000000006</v>
          </cell>
          <cell r="H155">
            <v>70.349223744292232</v>
          </cell>
          <cell r="I155">
            <v>175.8</v>
          </cell>
          <cell r="J155">
            <v>9.1286263961657692</v>
          </cell>
          <cell r="K155">
            <v>308</v>
          </cell>
          <cell r="N155">
            <v>1687020</v>
          </cell>
          <cell r="O155">
            <v>0.87600542109553903</v>
          </cell>
          <cell r="P155">
            <v>9962</v>
          </cell>
          <cell r="Q155">
            <v>5.1728882911606027</v>
          </cell>
        </row>
        <row r="156">
          <cell r="B156" t="str">
            <v>99-00</v>
          </cell>
          <cell r="C156">
            <v>312.5</v>
          </cell>
          <cell r="D156">
            <v>2050</v>
          </cell>
          <cell r="E156">
            <v>2102.1999999999998</v>
          </cell>
          <cell r="F156">
            <v>102.5</v>
          </cell>
          <cell r="G156">
            <v>80.8</v>
          </cell>
          <cell r="H156">
            <v>76.599999999999994</v>
          </cell>
          <cell r="I156">
            <v>187.6</v>
          </cell>
          <cell r="J156">
            <v>8.9</v>
          </cell>
          <cell r="K156">
            <v>313</v>
          </cell>
          <cell r="N156">
            <v>1663406</v>
          </cell>
          <cell r="O156">
            <v>0.79</v>
          </cell>
          <cell r="P156">
            <v>8205</v>
          </cell>
          <cell r="Q156">
            <v>3.9</v>
          </cell>
        </row>
        <row r="157">
          <cell r="B157" t="str">
            <v>00-01</v>
          </cell>
          <cell r="C157">
            <v>312.5</v>
          </cell>
          <cell r="D157">
            <v>1950</v>
          </cell>
          <cell r="E157">
            <v>1972.36</v>
          </cell>
          <cell r="F157">
            <v>101.15</v>
          </cell>
          <cell r="G157">
            <v>78.77</v>
          </cell>
          <cell r="H157">
            <v>72.05</v>
          </cell>
          <cell r="I157">
            <v>180.9</v>
          </cell>
          <cell r="J157">
            <v>9.17</v>
          </cell>
          <cell r="K157">
            <v>308</v>
          </cell>
          <cell r="N157">
            <v>1663767</v>
          </cell>
          <cell r="O157">
            <v>0.84399999999999997</v>
          </cell>
          <cell r="P157">
            <v>9457</v>
          </cell>
          <cell r="Q157">
            <v>4.8</v>
          </cell>
        </row>
        <row r="158">
          <cell r="A158" t="str">
            <v>Average last 5 years</v>
          </cell>
          <cell r="D158">
            <v>1830</v>
          </cell>
          <cell r="E158">
            <v>1988.45</v>
          </cell>
          <cell r="F158">
            <v>109.02262863933451</v>
          </cell>
          <cell r="G158">
            <v>80.333999999999989</v>
          </cell>
          <cell r="H158">
            <v>72.598968036529669</v>
          </cell>
          <cell r="I158">
            <v>181.12700000000001</v>
          </cell>
          <cell r="J158">
            <v>9.10990862616252</v>
          </cell>
          <cell r="K158">
            <v>313.8</v>
          </cell>
          <cell r="N158">
            <v>1707522.2</v>
          </cell>
          <cell r="O158">
            <v>0.85966621881982785</v>
          </cell>
          <cell r="P158">
            <v>10582.8</v>
          </cell>
          <cell r="Q158">
            <v>5.3854195334205439</v>
          </cell>
        </row>
        <row r="159">
          <cell r="A159" t="str">
            <v>SATPURA II</v>
          </cell>
          <cell r="B159" t="str">
            <v>88-89</v>
          </cell>
          <cell r="C159">
            <v>410</v>
          </cell>
          <cell r="D159">
            <v>1800</v>
          </cell>
          <cell r="E159">
            <v>1359.91</v>
          </cell>
          <cell r="F159">
            <v>75.550555555555562</v>
          </cell>
          <cell r="G159">
            <v>64.67</v>
          </cell>
          <cell r="H159">
            <v>37.863626239002116</v>
          </cell>
          <cell r="I159" t="str">
            <v xml:space="preserve"> </v>
          </cell>
          <cell r="J159">
            <v>0</v>
          </cell>
          <cell r="K159">
            <v>370</v>
          </cell>
          <cell r="N159">
            <v>1073518</v>
          </cell>
          <cell r="O159">
            <v>0.78940371053966807</v>
          </cell>
          <cell r="P159">
            <v>49985</v>
          </cell>
          <cell r="Q159">
            <v>36.756108860145154</v>
          </cell>
        </row>
        <row r="160">
          <cell r="B160" t="str">
            <v>89-90</v>
          </cell>
          <cell r="C160">
            <v>410</v>
          </cell>
          <cell r="D160">
            <v>1800</v>
          </cell>
          <cell r="E160">
            <v>1247.99</v>
          </cell>
          <cell r="F160">
            <v>69.332777777777778</v>
          </cell>
          <cell r="G160">
            <v>64.5</v>
          </cell>
          <cell r="H160">
            <v>34.747466310279542</v>
          </cell>
          <cell r="I160">
            <v>163</v>
          </cell>
          <cell r="J160">
            <v>13.061002091362912</v>
          </cell>
          <cell r="K160">
            <v>370</v>
          </cell>
          <cell r="N160">
            <v>957978</v>
          </cell>
          <cell r="O160">
            <v>0.7676167276981386</v>
          </cell>
          <cell r="P160">
            <v>69673</v>
          </cell>
          <cell r="Q160">
            <v>55.828171700093748</v>
          </cell>
        </row>
        <row r="161">
          <cell r="B161" t="str">
            <v>90-91</v>
          </cell>
          <cell r="C161">
            <v>410</v>
          </cell>
          <cell r="D161">
            <v>1800</v>
          </cell>
          <cell r="E161">
            <v>1143.08</v>
          </cell>
          <cell r="F161">
            <v>63.504444444444445</v>
          </cell>
          <cell r="G161">
            <v>59.01</v>
          </cell>
          <cell r="H161">
            <v>31.826484018264839</v>
          </cell>
          <cell r="I161">
            <v>154.97</v>
          </cell>
          <cell r="J161">
            <v>13.557231339888723</v>
          </cell>
          <cell r="K161">
            <v>360</v>
          </cell>
          <cell r="N161">
            <v>940719</v>
          </cell>
          <cell r="O161">
            <v>0.82296864611400777</v>
          </cell>
          <cell r="P161">
            <v>46329</v>
          </cell>
          <cell r="Q161">
            <v>40.529971655527177</v>
          </cell>
        </row>
        <row r="162">
          <cell r="B162" t="str">
            <v>91-92</v>
          </cell>
          <cell r="C162">
            <v>410</v>
          </cell>
          <cell r="D162">
            <v>1800</v>
          </cell>
          <cell r="E162">
            <v>1261.23</v>
          </cell>
          <cell r="F162">
            <v>70.068333333333328</v>
          </cell>
          <cell r="G162">
            <v>57.19</v>
          </cell>
          <cell r="H162">
            <v>35.116104243234211</v>
          </cell>
          <cell r="I162">
            <v>163.13</v>
          </cell>
          <cell r="J162">
            <v>12.934199154793337</v>
          </cell>
          <cell r="K162">
            <v>360</v>
          </cell>
          <cell r="N162">
            <v>1092330</v>
          </cell>
          <cell r="O162">
            <v>0.86608310934563881</v>
          </cell>
          <cell r="P162">
            <v>32897</v>
          </cell>
          <cell r="Q162">
            <v>26.083267920997756</v>
          </cell>
        </row>
        <row r="163">
          <cell r="B163" t="str">
            <v>92-93</v>
          </cell>
          <cell r="C163">
            <v>410</v>
          </cell>
          <cell r="D163">
            <v>1600</v>
          </cell>
          <cell r="E163">
            <v>1091.3900000000001</v>
          </cell>
          <cell r="F163">
            <v>68.211875000000006</v>
          </cell>
          <cell r="G163">
            <v>52.11</v>
          </cell>
          <cell r="H163">
            <v>30.387292571555857</v>
          </cell>
          <cell r="I163">
            <v>140.04</v>
          </cell>
          <cell r="J163">
            <v>12.831343516066665</v>
          </cell>
          <cell r="K163">
            <v>360</v>
          </cell>
          <cell r="N163">
            <v>1018559</v>
          </cell>
          <cell r="O163">
            <v>0.93326766783642878</v>
          </cell>
          <cell r="P163">
            <v>47822</v>
          </cell>
          <cell r="Q163">
            <v>43.817517111206804</v>
          </cell>
        </row>
        <row r="164">
          <cell r="B164" t="str">
            <v>93-94</v>
          </cell>
          <cell r="C164">
            <v>410</v>
          </cell>
          <cell r="D164">
            <v>1400</v>
          </cell>
          <cell r="E164">
            <v>1268.5727999999999</v>
          </cell>
          <cell r="F164">
            <v>90.612342857142863</v>
          </cell>
          <cell r="G164">
            <v>50.802958904109587</v>
          </cell>
          <cell r="H164">
            <v>35.320547945205476</v>
          </cell>
          <cell r="I164">
            <v>141.77538000000001</v>
          </cell>
          <cell r="J164">
            <v>11.175975080026941</v>
          </cell>
          <cell r="K164">
            <v>380</v>
          </cell>
          <cell r="N164">
            <v>1109586.71</v>
          </cell>
          <cell r="O164">
            <v>0.87467326274061696</v>
          </cell>
          <cell r="P164">
            <v>22408.133999999998</v>
          </cell>
          <cell r="Q164">
            <v>17.664050498323785</v>
          </cell>
        </row>
        <row r="165">
          <cell r="B165" t="str">
            <v>94-95</v>
          </cell>
          <cell r="C165">
            <v>410</v>
          </cell>
          <cell r="D165">
            <v>1400</v>
          </cell>
          <cell r="E165">
            <v>2021.1</v>
          </cell>
          <cell r="F165">
            <v>144.36428571428573</v>
          </cell>
          <cell r="G165">
            <v>74.5</v>
          </cell>
          <cell r="H165">
            <v>56.272970263949212</v>
          </cell>
          <cell r="I165">
            <v>195.6</v>
          </cell>
          <cell r="J165">
            <v>9.6778981742615411</v>
          </cell>
          <cell r="K165">
            <v>425</v>
          </cell>
          <cell r="N165">
            <v>1776510</v>
          </cell>
          <cell r="O165">
            <v>0.8789817426154074</v>
          </cell>
          <cell r="P165">
            <v>27860</v>
          </cell>
          <cell r="Q165">
            <v>13.784572757409332</v>
          </cell>
        </row>
        <row r="166">
          <cell r="B166" t="str">
            <v>95-96</v>
          </cell>
          <cell r="C166">
            <v>410</v>
          </cell>
          <cell r="D166">
            <v>2000</v>
          </cell>
          <cell r="E166">
            <v>2079.3000000000002</v>
          </cell>
          <cell r="F166">
            <v>103.96500000000002</v>
          </cell>
          <cell r="G166">
            <v>77.3</v>
          </cell>
          <cell r="H166">
            <v>57.735239237638289</v>
          </cell>
          <cell r="I166">
            <v>206.9</v>
          </cell>
          <cell r="J166">
            <v>9.9504640984946846</v>
          </cell>
          <cell r="K166">
            <v>425</v>
          </cell>
          <cell r="N166">
            <v>1823764</v>
          </cell>
          <cell r="O166">
            <v>0.87710479488289317</v>
          </cell>
          <cell r="P166">
            <v>19304</v>
          </cell>
          <cell r="Q166">
            <v>9.2838936180445337</v>
          </cell>
        </row>
        <row r="167">
          <cell r="B167" t="str">
            <v>96-97</v>
          </cell>
          <cell r="C167">
            <v>410</v>
          </cell>
          <cell r="D167">
            <v>2000</v>
          </cell>
          <cell r="E167">
            <v>2273.1</v>
          </cell>
          <cell r="F167">
            <v>113.655</v>
          </cell>
          <cell r="G167">
            <v>77.599999999999994</v>
          </cell>
          <cell r="H167">
            <v>63.289341797527563</v>
          </cell>
          <cell r="I167">
            <v>213</v>
          </cell>
          <cell r="J167">
            <v>9.3704632440279791</v>
          </cell>
          <cell r="K167">
            <v>410</v>
          </cell>
          <cell r="N167">
            <v>1969440</v>
          </cell>
          <cell r="O167">
            <v>0.86641150851260396</v>
          </cell>
          <cell r="P167">
            <v>11164</v>
          </cell>
          <cell r="Q167">
            <v>4.9113545378557921</v>
          </cell>
        </row>
        <row r="168">
          <cell r="B168" t="str">
            <v>97-98</v>
          </cell>
          <cell r="C168">
            <v>410</v>
          </cell>
          <cell r="D168">
            <v>2200</v>
          </cell>
          <cell r="E168">
            <v>2601.9899999999998</v>
          </cell>
          <cell r="F168">
            <v>118.27227272727271</v>
          </cell>
          <cell r="G168">
            <v>84.5</v>
          </cell>
          <cell r="H168">
            <v>72.446541931172732</v>
          </cell>
          <cell r="I168">
            <v>249.321</v>
          </cell>
          <cell r="J168">
            <v>9.5819353648553616</v>
          </cell>
          <cell r="K168">
            <v>425</v>
          </cell>
          <cell r="N168">
            <v>2253381</v>
          </cell>
          <cell r="O168">
            <v>0.86602215996218279</v>
          </cell>
          <cell r="P168">
            <v>10505</v>
          </cell>
          <cell r="Q168">
            <v>4.0372945322618463</v>
          </cell>
        </row>
        <row r="169">
          <cell r="B169" t="str">
            <v>98-99</v>
          </cell>
          <cell r="C169">
            <v>410</v>
          </cell>
          <cell r="D169">
            <v>2150</v>
          </cell>
          <cell r="E169">
            <v>2881.87</v>
          </cell>
          <cell r="F169">
            <v>134.04046511627908</v>
          </cell>
          <cell r="G169">
            <v>87.5</v>
          </cell>
          <cell r="H169">
            <v>80.239169172513641</v>
          </cell>
          <cell r="I169">
            <v>254</v>
          </cell>
          <cell r="J169">
            <v>8.8137216460145673</v>
          </cell>
          <cell r="K169">
            <v>425</v>
          </cell>
          <cell r="N169">
            <v>2346034</v>
          </cell>
          <cell r="O169">
            <v>0.81406656094827312</v>
          </cell>
          <cell r="P169">
            <v>4710</v>
          </cell>
          <cell r="Q169">
            <v>1.6343554705798666</v>
          </cell>
        </row>
        <row r="170">
          <cell r="B170" t="str">
            <v>99-00</v>
          </cell>
          <cell r="C170">
            <v>410</v>
          </cell>
          <cell r="D170">
            <v>2700</v>
          </cell>
          <cell r="E170">
            <v>2520.9</v>
          </cell>
          <cell r="F170">
            <v>93.3</v>
          </cell>
          <cell r="G170">
            <v>75.2</v>
          </cell>
          <cell r="H170">
            <v>70</v>
          </cell>
          <cell r="I170">
            <v>226.5</v>
          </cell>
          <cell r="J170">
            <v>8.9848863501130545</v>
          </cell>
          <cell r="K170">
            <v>425</v>
          </cell>
          <cell r="N170">
            <v>1970136</v>
          </cell>
          <cell r="O170">
            <v>0.78152088539807207</v>
          </cell>
          <cell r="P170">
            <v>4059</v>
          </cell>
          <cell r="Q170">
            <v>1.6101392359871474</v>
          </cell>
        </row>
        <row r="171">
          <cell r="B171" t="str">
            <v>00-01</v>
          </cell>
          <cell r="C171">
            <v>410</v>
          </cell>
          <cell r="D171">
            <v>2850</v>
          </cell>
          <cell r="E171">
            <v>2450.13</v>
          </cell>
          <cell r="F171">
            <v>85.97</v>
          </cell>
          <cell r="G171">
            <v>77.64</v>
          </cell>
          <cell r="H171">
            <v>68.22</v>
          </cell>
          <cell r="I171">
            <v>222.63</v>
          </cell>
          <cell r="J171">
            <v>9.0864566369947717</v>
          </cell>
          <cell r="K171">
            <v>415</v>
          </cell>
          <cell r="N171">
            <v>1980025</v>
          </cell>
          <cell r="O171">
            <v>0.80813058898915568</v>
          </cell>
          <cell r="P171">
            <v>7560</v>
          </cell>
          <cell r="Q171">
            <v>3.0855505626232076</v>
          </cell>
        </row>
        <row r="172">
          <cell r="A172" t="str">
            <v>Average last 5 years</v>
          </cell>
          <cell r="D172">
            <v>2380</v>
          </cell>
          <cell r="E172">
            <v>2545.5980000000004</v>
          </cell>
          <cell r="F172">
            <v>109.04754756871037</v>
          </cell>
          <cell r="G172">
            <v>80.488</v>
          </cell>
          <cell r="H172">
            <v>70.839010580242785</v>
          </cell>
          <cell r="I172">
            <v>233.09020000000001</v>
          </cell>
          <cell r="J172">
            <v>9.1674926484011472</v>
          </cell>
          <cell r="K172">
            <v>420</v>
          </cell>
          <cell r="L172">
            <v>0</v>
          </cell>
          <cell r="M172">
            <v>0</v>
          </cell>
          <cell r="N172">
            <v>2103803.2000000002</v>
          </cell>
          <cell r="O172">
            <v>0.82723034076205759</v>
          </cell>
          <cell r="P172">
            <v>7599.6</v>
          </cell>
          <cell r="Q172">
            <v>3.0557388678615722</v>
          </cell>
        </row>
        <row r="173">
          <cell r="A173" t="str">
            <v>SATPURA III</v>
          </cell>
          <cell r="B173" t="str">
            <v>88-89</v>
          </cell>
          <cell r="C173">
            <v>420</v>
          </cell>
          <cell r="D173">
            <v>2050</v>
          </cell>
          <cell r="E173">
            <v>1857.99</v>
          </cell>
          <cell r="F173">
            <v>90.633658536585372</v>
          </cell>
          <cell r="G173">
            <v>75.62</v>
          </cell>
          <cell r="H173">
            <v>50.4998369210698</v>
          </cell>
          <cell r="I173" t="str">
            <v xml:space="preserve"> </v>
          </cell>
          <cell r="J173">
            <v>0</v>
          </cell>
          <cell r="K173">
            <v>420</v>
          </cell>
          <cell r="N173">
            <v>1419331</v>
          </cell>
          <cell r="O173">
            <v>0.76390669486918661</v>
          </cell>
          <cell r="P173">
            <v>19789</v>
          </cell>
          <cell r="Q173">
            <v>10.650757000844999</v>
          </cell>
        </row>
        <row r="174">
          <cell r="B174" t="str">
            <v>89-90</v>
          </cell>
          <cell r="C174">
            <v>420</v>
          </cell>
          <cell r="D174">
            <v>2100</v>
          </cell>
          <cell r="E174">
            <v>1805.67</v>
          </cell>
          <cell r="F174">
            <v>85.984285714285718</v>
          </cell>
          <cell r="G174">
            <v>88.7</v>
          </cell>
          <cell r="H174">
            <v>49.077788649706456</v>
          </cell>
          <cell r="I174">
            <v>189</v>
          </cell>
          <cell r="J174">
            <v>10.467028859093855</v>
          </cell>
          <cell r="K174">
            <v>370</v>
          </cell>
          <cell r="N174">
            <v>1317205</v>
          </cell>
          <cell r="O174">
            <v>0.72948268509749847</v>
          </cell>
          <cell r="P174">
            <v>56636</v>
          </cell>
          <cell r="Q174">
            <v>31.365642670033836</v>
          </cell>
        </row>
        <row r="175">
          <cell r="B175" t="str">
            <v>90-91</v>
          </cell>
          <cell r="C175">
            <v>420</v>
          </cell>
          <cell r="D175">
            <v>1950</v>
          </cell>
          <cell r="E175">
            <v>1496.73</v>
          </cell>
          <cell r="F175">
            <v>76.755384615384614</v>
          </cell>
          <cell r="G175">
            <v>67.97</v>
          </cell>
          <cell r="H175">
            <v>40.680854533594257</v>
          </cell>
          <cell r="I175">
            <v>168.45</v>
          </cell>
          <cell r="J175">
            <v>11.254534886051593</v>
          </cell>
          <cell r="K175">
            <v>380</v>
          </cell>
          <cell r="N175">
            <v>1201210</v>
          </cell>
          <cell r="O175">
            <v>0.80255623926827147</v>
          </cell>
          <cell r="P175">
            <v>50058</v>
          </cell>
          <cell r="Q175">
            <v>33.444909903589824</v>
          </cell>
        </row>
        <row r="176">
          <cell r="B176" t="str">
            <v>91-92</v>
          </cell>
          <cell r="C176">
            <v>420</v>
          </cell>
          <cell r="D176">
            <v>1950</v>
          </cell>
          <cell r="E176">
            <v>1741.07</v>
          </cell>
          <cell r="F176">
            <v>89.285641025641027</v>
          </cell>
          <cell r="G176">
            <v>69.19</v>
          </cell>
          <cell r="H176">
            <v>47.321972167862576</v>
          </cell>
          <cell r="I176">
            <v>179.06</v>
          </cell>
          <cell r="J176">
            <v>10.284480233419679</v>
          </cell>
          <cell r="K176">
            <v>380</v>
          </cell>
          <cell r="N176">
            <v>1516544</v>
          </cell>
          <cell r="O176">
            <v>0.87104137111086866</v>
          </cell>
          <cell r="P176">
            <v>29511</v>
          </cell>
          <cell r="Q176">
            <v>16.949921599935671</v>
          </cell>
        </row>
        <row r="177">
          <cell r="B177" t="str">
            <v>92-93</v>
          </cell>
          <cell r="C177">
            <v>420</v>
          </cell>
          <cell r="D177">
            <v>1800</v>
          </cell>
          <cell r="E177">
            <v>2011.32</v>
          </cell>
          <cell r="F177">
            <v>111.74</v>
          </cell>
          <cell r="G177">
            <v>81.23</v>
          </cell>
          <cell r="H177">
            <v>54.667318982387478</v>
          </cell>
          <cell r="I177">
            <v>201.66</v>
          </cell>
          <cell r="J177">
            <v>10.026251416979894</v>
          </cell>
          <cell r="K177">
            <v>410</v>
          </cell>
          <cell r="N177">
            <v>1890962</v>
          </cell>
          <cell r="O177">
            <v>0.94015969611996097</v>
          </cell>
          <cell r="P177">
            <v>38920</v>
          </cell>
          <cell r="Q177">
            <v>19.35047630411869</v>
          </cell>
        </row>
        <row r="178">
          <cell r="B178" t="str">
            <v>93-94</v>
          </cell>
          <cell r="C178">
            <v>420</v>
          </cell>
          <cell r="D178">
            <v>2015</v>
          </cell>
          <cell r="E178">
            <v>2278.799</v>
          </cell>
          <cell r="F178">
            <v>113.0917617866005</v>
          </cell>
          <cell r="G178">
            <v>81.576273972602735</v>
          </cell>
          <cell r="H178">
            <v>61.93735051098065</v>
          </cell>
          <cell r="I178">
            <v>217.87020000000001</v>
          </cell>
          <cell r="J178">
            <v>9.5607466915686725</v>
          </cell>
          <cell r="K178">
            <v>420</v>
          </cell>
          <cell r="N178">
            <v>2020976</v>
          </cell>
          <cell r="O178">
            <v>0.88686013992458312</v>
          </cell>
          <cell r="P178">
            <v>29590.454000000002</v>
          </cell>
          <cell r="Q178">
            <v>12.985109261501345</v>
          </cell>
        </row>
        <row r="179">
          <cell r="B179" t="str">
            <v>94-95</v>
          </cell>
          <cell r="C179">
            <v>420</v>
          </cell>
          <cell r="D179">
            <v>2000</v>
          </cell>
          <cell r="E179">
            <v>2280.8000000000002</v>
          </cell>
          <cell r="F179">
            <v>114.04000000000002</v>
          </cell>
          <cell r="G179">
            <v>85.1</v>
          </cell>
          <cell r="H179">
            <v>61.991737334203094</v>
          </cell>
          <cell r="I179">
            <v>230.8</v>
          </cell>
          <cell r="J179">
            <v>10.119256401262714</v>
          </cell>
          <cell r="K179">
            <v>420</v>
          </cell>
          <cell r="N179">
            <v>2011129</v>
          </cell>
          <cell r="O179">
            <v>0.88176473167309721</v>
          </cell>
          <cell r="P179">
            <v>33934</v>
          </cell>
          <cell r="Q179">
            <v>14.878112942827077</v>
          </cell>
        </row>
        <row r="180">
          <cell r="B180" t="str">
            <v>95-96</v>
          </cell>
          <cell r="C180">
            <v>420</v>
          </cell>
          <cell r="D180">
            <v>2100</v>
          </cell>
          <cell r="E180">
            <v>2141.3000000000002</v>
          </cell>
          <cell r="F180">
            <v>101.96666666666668</v>
          </cell>
          <cell r="G180">
            <v>77.400000000000006</v>
          </cell>
          <cell r="H180">
            <v>58.041135397692784</v>
          </cell>
          <cell r="I180">
            <v>217.7</v>
          </cell>
          <cell r="J180">
            <v>10.166721150702843</v>
          </cell>
          <cell r="K180">
            <v>420</v>
          </cell>
          <cell r="N180">
            <v>1891560</v>
          </cell>
          <cell r="O180">
            <v>0.88336991547190957</v>
          </cell>
          <cell r="P180">
            <v>18396</v>
          </cell>
          <cell r="Q180">
            <v>8.5910428244524351</v>
          </cell>
        </row>
        <row r="181">
          <cell r="B181" t="str">
            <v>96-97</v>
          </cell>
          <cell r="C181">
            <v>420</v>
          </cell>
          <cell r="D181">
            <v>2100</v>
          </cell>
          <cell r="E181">
            <v>2447.1999999999998</v>
          </cell>
          <cell r="F181">
            <v>116.53333333333332</v>
          </cell>
          <cell r="G181">
            <v>82.1</v>
          </cell>
          <cell r="H181">
            <v>66.514459665144585</v>
          </cell>
          <cell r="I181">
            <v>235.2</v>
          </cell>
          <cell r="J181">
            <v>9.610983981693364</v>
          </cell>
          <cell r="K181">
            <v>420</v>
          </cell>
          <cell r="N181">
            <v>2117083</v>
          </cell>
          <cell r="O181">
            <v>0.86510420071918925</v>
          </cell>
          <cell r="P181">
            <v>10325</v>
          </cell>
          <cell r="Q181">
            <v>4.2191075514874141</v>
          </cell>
        </row>
        <row r="182">
          <cell r="B182" t="str">
            <v>97-98</v>
          </cell>
          <cell r="C182">
            <v>420</v>
          </cell>
          <cell r="D182">
            <v>2300</v>
          </cell>
          <cell r="E182">
            <v>2706.67</v>
          </cell>
          <cell r="F182">
            <v>117.68130434782609</v>
          </cell>
          <cell r="G182">
            <v>82.6</v>
          </cell>
          <cell r="H182">
            <v>73.566808001739503</v>
          </cell>
          <cell r="I182">
            <v>235.6</v>
          </cell>
          <cell r="J182">
            <v>8.7044227778044601</v>
          </cell>
          <cell r="K182">
            <v>430</v>
          </cell>
          <cell r="N182">
            <v>2345918</v>
          </cell>
          <cell r="O182">
            <v>0.86671740552043652</v>
          </cell>
          <cell r="P182">
            <v>6198</v>
          </cell>
          <cell r="Q182">
            <v>2.2898986577602738</v>
          </cell>
        </row>
        <row r="183">
          <cell r="B183" t="str">
            <v>98-99</v>
          </cell>
          <cell r="C183">
            <v>420</v>
          </cell>
          <cell r="D183">
            <v>2250</v>
          </cell>
          <cell r="E183">
            <v>2830.37</v>
          </cell>
          <cell r="F183">
            <v>125.79422222222222</v>
          </cell>
          <cell r="G183">
            <v>82.9</v>
          </cell>
          <cell r="H183">
            <v>76.92895194607523</v>
          </cell>
          <cell r="I183">
            <v>244</v>
          </cell>
          <cell r="J183">
            <v>8.6207810286287661</v>
          </cell>
          <cell r="K183">
            <v>430</v>
          </cell>
          <cell r="N183">
            <v>2296097</v>
          </cell>
          <cell r="O183">
            <v>0.81123563350374683</v>
          </cell>
          <cell r="P183">
            <v>3438</v>
          </cell>
          <cell r="Q183">
            <v>1.2146821793617089</v>
          </cell>
        </row>
        <row r="184">
          <cell r="B184" t="str">
            <v>99-00</v>
          </cell>
          <cell r="C184">
            <v>420</v>
          </cell>
          <cell r="D184">
            <v>2750</v>
          </cell>
          <cell r="E184">
            <v>3093.5</v>
          </cell>
          <cell r="F184">
            <v>112.5</v>
          </cell>
          <cell r="G184">
            <v>87.3</v>
          </cell>
          <cell r="H184">
            <v>83.9</v>
          </cell>
          <cell r="I184">
            <v>263.5</v>
          </cell>
          <cell r="J184">
            <v>8.51786002909326</v>
          </cell>
          <cell r="K184">
            <v>430</v>
          </cell>
          <cell r="N184">
            <v>2416220</v>
          </cell>
          <cell r="O184">
            <v>0.78106352028446746</v>
          </cell>
          <cell r="P184">
            <v>2388</v>
          </cell>
          <cell r="Q184">
            <v>0.77194116696298687</v>
          </cell>
        </row>
        <row r="185">
          <cell r="B185" t="str">
            <v>00-01</v>
          </cell>
          <cell r="C185">
            <v>420</v>
          </cell>
          <cell r="D185">
            <v>2800</v>
          </cell>
          <cell r="E185">
            <v>2780.62</v>
          </cell>
          <cell r="F185">
            <v>97.46</v>
          </cell>
          <cell r="G185">
            <v>79.290000000000006</v>
          </cell>
          <cell r="H185">
            <v>75.58</v>
          </cell>
          <cell r="I185">
            <v>239.04</v>
          </cell>
          <cell r="J185">
            <v>8.5966439139472488</v>
          </cell>
          <cell r="K185">
            <v>420</v>
          </cell>
          <cell r="N185">
            <v>2263305</v>
          </cell>
          <cell r="O185">
            <v>0.81395695923930633</v>
          </cell>
          <cell r="P185">
            <v>3634</v>
          </cell>
          <cell r="Q185">
            <v>1.3069027770784933</v>
          </cell>
        </row>
        <row r="186">
          <cell r="A186" t="str">
            <v>Average last 5 years</v>
          </cell>
          <cell r="D186">
            <v>2440</v>
          </cell>
          <cell r="E186">
            <v>2771.672</v>
          </cell>
          <cell r="F186">
            <v>113.99377198067631</v>
          </cell>
          <cell r="G186">
            <v>82.837999999999994</v>
          </cell>
          <cell r="H186">
            <v>75.298043922591859</v>
          </cell>
          <cell r="I186">
            <v>243.46799999999999</v>
          </cell>
          <cell r="J186">
            <v>8.8101383462334191</v>
          </cell>
          <cell r="K186">
            <v>426</v>
          </cell>
          <cell r="L186">
            <v>0</v>
          </cell>
          <cell r="M186">
            <v>0</v>
          </cell>
          <cell r="N186">
            <v>2287724.6</v>
          </cell>
          <cell r="O186">
            <v>0.82761554385342928</v>
          </cell>
          <cell r="P186">
            <v>5196.6000000000004</v>
          </cell>
          <cell r="Q186">
            <v>1.9605064665301755</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cell r="I189" t="str">
            <v>AUXILIARY CONSUMPTION</v>
          </cell>
          <cell r="K189" t="str">
            <v>MAXIMUM DEMAND</v>
          </cell>
          <cell r="L189" t="str">
            <v>COAL IN MT</v>
          </cell>
          <cell r="N189" t="str">
            <v>COAL CONSUMED</v>
          </cell>
          <cell r="P189" t="str">
            <v>FUEL OIL CONSUMPTION</v>
          </cell>
        </row>
        <row r="190">
          <cell r="C190" t="str">
            <v>MW</v>
          </cell>
          <cell r="D190" t="str">
            <v>MKwh</v>
          </cell>
          <cell r="E190" t="str">
            <v>MKwh</v>
          </cell>
          <cell r="F190" t="str">
            <v>%</v>
          </cell>
          <cell r="G190" t="str">
            <v>%</v>
          </cell>
          <cell r="H190" t="str">
            <v>%</v>
          </cell>
          <cell r="I190" t="str">
            <v>MKwh</v>
          </cell>
          <cell r="J190" t="str">
            <v>%</v>
          </cell>
          <cell r="K190" t="str">
            <v>MW</v>
          </cell>
          <cell r="L190" t="str">
            <v>OP.STOCK</v>
          </cell>
          <cell r="M190" t="str">
            <v>RECIEPT</v>
          </cell>
          <cell r="N190" t="str">
            <v>MT</v>
          </cell>
          <cell r="O190" t="str">
            <v>Kg/kWH</v>
          </cell>
          <cell r="P190" t="str">
            <v>KL</v>
          </cell>
          <cell r="Q190" t="str">
            <v>ml/KWH</v>
          </cell>
        </row>
        <row r="191">
          <cell r="A191" t="str">
            <v>SATPURA</v>
          </cell>
          <cell r="B191" t="str">
            <v>88-89</v>
          </cell>
          <cell r="C191">
            <v>1142.5</v>
          </cell>
          <cell r="D191">
            <v>5500</v>
          </cell>
          <cell r="E191">
            <v>5050.18</v>
          </cell>
          <cell r="F191">
            <v>91.821454545454543</v>
          </cell>
          <cell r="G191">
            <v>72.4782056892779</v>
          </cell>
          <cell r="H191">
            <v>50.459918267837693</v>
          </cell>
          <cell r="I191">
            <v>0</v>
          </cell>
          <cell r="J191">
            <v>0</v>
          </cell>
          <cell r="K191" t="str">
            <v xml:space="preserve"> </v>
          </cell>
          <cell r="L191" t="str">
            <v xml:space="preserve"> </v>
          </cell>
          <cell r="M191" t="str">
            <v xml:space="preserve"> </v>
          </cell>
          <cell r="N191">
            <v>4011468</v>
          </cell>
          <cell r="O191">
            <v>0.79432178655018237</v>
          </cell>
          <cell r="P191">
            <v>95077</v>
          </cell>
          <cell r="Q191">
            <v>18.826457670815692</v>
          </cell>
        </row>
        <row r="192">
          <cell r="B192" t="str">
            <v>89-90</v>
          </cell>
          <cell r="C192">
            <v>1142.5</v>
          </cell>
          <cell r="D192">
            <v>5475</v>
          </cell>
          <cell r="E192">
            <v>4783.66</v>
          </cell>
          <cell r="F192">
            <v>87.372785388127852</v>
          </cell>
          <cell r="G192">
            <v>76.818052516411385</v>
          </cell>
          <cell r="H192">
            <v>47.796928549304077</v>
          </cell>
          <cell r="I192">
            <v>535</v>
          </cell>
          <cell r="J192">
            <v>11.183905210654604</v>
          </cell>
          <cell r="K192" t="str">
            <v xml:space="preserve"> </v>
          </cell>
          <cell r="L192">
            <v>110061</v>
          </cell>
          <cell r="M192">
            <v>3568758</v>
          </cell>
          <cell r="N192">
            <v>3631106</v>
          </cell>
          <cell r="O192">
            <v>0.75906439838951767</v>
          </cell>
          <cell r="P192">
            <v>168005</v>
          </cell>
          <cell r="Q192">
            <v>35.120598035813586</v>
          </cell>
        </row>
        <row r="193">
          <cell r="B193" t="str">
            <v>90-91</v>
          </cell>
          <cell r="C193">
            <v>1142.5</v>
          </cell>
          <cell r="D193">
            <v>5450</v>
          </cell>
          <cell r="E193">
            <v>4155.2000000000007</v>
          </cell>
          <cell r="F193">
            <v>76.242201834862399</v>
          </cell>
          <cell r="G193">
            <v>66.023741794310723</v>
          </cell>
          <cell r="H193">
            <v>41.517540441433617</v>
          </cell>
          <cell r="I193">
            <v>493.81</v>
          </cell>
          <cell r="J193">
            <v>11.884145167500961</v>
          </cell>
          <cell r="K193" t="str">
            <v xml:space="preserve"> </v>
          </cell>
          <cell r="L193">
            <v>29753</v>
          </cell>
          <cell r="M193">
            <v>3508276</v>
          </cell>
          <cell r="N193">
            <v>3409191</v>
          </cell>
          <cell r="O193">
            <v>0.82046375625721968</v>
          </cell>
          <cell r="P193">
            <v>125665</v>
          </cell>
          <cell r="Q193">
            <v>30.242828263380819</v>
          </cell>
        </row>
        <row r="194">
          <cell r="B194" t="str">
            <v>91-92</v>
          </cell>
          <cell r="C194">
            <v>1142.5</v>
          </cell>
          <cell r="D194">
            <v>5450</v>
          </cell>
          <cell r="E194">
            <v>4387.7699999999995</v>
          </cell>
          <cell r="F194">
            <v>80.509541284403653</v>
          </cell>
          <cell r="G194">
            <v>63.680153172866518</v>
          </cell>
          <cell r="H194">
            <v>43.721526706604003</v>
          </cell>
          <cell r="I194">
            <v>491.34</v>
          </cell>
          <cell r="J194">
            <v>11.197943374424822</v>
          </cell>
          <cell r="K194" t="str">
            <v xml:space="preserve"> </v>
          </cell>
          <cell r="L194">
            <v>61501</v>
          </cell>
          <cell r="M194">
            <v>3837342</v>
          </cell>
          <cell r="N194">
            <v>3840493</v>
          </cell>
          <cell r="O194">
            <v>0.8752721769828411</v>
          </cell>
          <cell r="P194">
            <v>86892</v>
          </cell>
          <cell r="Q194">
            <v>19.803225784396176</v>
          </cell>
        </row>
        <row r="195">
          <cell r="B195" t="str">
            <v>92-93</v>
          </cell>
          <cell r="C195">
            <v>1142.5</v>
          </cell>
          <cell r="D195">
            <v>5000</v>
          </cell>
          <cell r="E195">
            <v>4641.55</v>
          </cell>
          <cell r="F195">
            <v>92.831000000000003</v>
          </cell>
          <cell r="G195">
            <v>68.367461706783374</v>
          </cell>
          <cell r="H195">
            <v>46.37700708412018</v>
          </cell>
          <cell r="I195">
            <v>499.61</v>
          </cell>
          <cell r="J195">
            <v>10.76386121015609</v>
          </cell>
          <cell r="K195" t="str">
            <v xml:space="preserve"> </v>
          </cell>
          <cell r="L195">
            <v>62991</v>
          </cell>
          <cell r="M195">
            <v>4445312</v>
          </cell>
          <cell r="N195">
            <v>4362632</v>
          </cell>
          <cell r="O195">
            <v>0.93990843575960614</v>
          </cell>
          <cell r="P195">
            <v>114807</v>
          </cell>
          <cell r="Q195">
            <v>24.734625286811518</v>
          </cell>
        </row>
        <row r="196">
          <cell r="B196" t="str">
            <v>93-94</v>
          </cell>
          <cell r="C196">
            <v>1142.5</v>
          </cell>
          <cell r="D196">
            <v>4915</v>
          </cell>
          <cell r="E196">
            <v>5066.7417999999998</v>
          </cell>
          <cell r="F196">
            <v>103.08732044760936</v>
          </cell>
          <cell r="G196">
            <v>68.104956326249209</v>
          </cell>
          <cell r="H196">
            <v>50.625398918897318</v>
          </cell>
          <cell r="I196">
            <v>524.67358000000002</v>
          </cell>
          <cell r="J196">
            <v>10.355246047864528</v>
          </cell>
          <cell r="K196" t="str">
            <v xml:space="preserve"> </v>
          </cell>
          <cell r="L196">
            <v>125960</v>
          </cell>
          <cell r="M196">
            <v>4514568</v>
          </cell>
          <cell r="N196">
            <v>4535978.71</v>
          </cell>
          <cell r="O196">
            <v>0.89524568036997665</v>
          </cell>
          <cell r="P196">
            <v>81910.364000000001</v>
          </cell>
          <cell r="Q196">
            <v>16.166279481618741</v>
          </cell>
        </row>
        <row r="197">
          <cell r="B197" t="str">
            <v>94-95</v>
          </cell>
          <cell r="C197">
            <v>1142.5</v>
          </cell>
          <cell r="D197">
            <v>4950</v>
          </cell>
          <cell r="E197">
            <v>5799.7</v>
          </cell>
          <cell r="F197">
            <v>117.16565656565656</v>
          </cell>
          <cell r="G197">
            <v>77.165864332603945</v>
          </cell>
          <cell r="H197">
            <v>57.948902410998869</v>
          </cell>
          <cell r="I197">
            <v>587.5</v>
          </cell>
          <cell r="J197">
            <v>10.129834301774229</v>
          </cell>
          <cell r="K197">
            <v>1085</v>
          </cell>
          <cell r="L197">
            <v>105207</v>
          </cell>
          <cell r="M197">
            <v>5324472</v>
          </cell>
          <cell r="N197">
            <v>5172541</v>
          </cell>
          <cell r="O197">
            <v>0.8918635446661034</v>
          </cell>
          <cell r="P197">
            <v>82105</v>
          </cell>
          <cell r="Q197">
            <v>14.156766729313585</v>
          </cell>
        </row>
        <row r="198">
          <cell r="B198" t="str">
            <v>95-96</v>
          </cell>
          <cell r="C198">
            <v>1142.5</v>
          </cell>
          <cell r="D198">
            <v>5650</v>
          </cell>
          <cell r="E198">
            <v>6034.6</v>
          </cell>
          <cell r="F198">
            <v>106.8070796460177</v>
          </cell>
          <cell r="G198">
            <v>77.774398249452958</v>
          </cell>
          <cell r="H198">
            <v>60.13121131318929</v>
          </cell>
          <cell r="I198">
            <v>597.79999999999995</v>
          </cell>
          <cell r="J198">
            <v>9.9062075365392879</v>
          </cell>
          <cell r="K198">
            <v>1100</v>
          </cell>
          <cell r="L198">
            <v>208549</v>
          </cell>
          <cell r="M198">
            <v>5329168</v>
          </cell>
          <cell r="N198">
            <v>5355744</v>
          </cell>
          <cell r="O198">
            <v>0.88750604845391579</v>
          </cell>
          <cell r="P198">
            <v>55036</v>
          </cell>
          <cell r="Q198">
            <v>9.1200742385576508</v>
          </cell>
        </row>
        <row r="199">
          <cell r="B199" t="str">
            <v>96-97</v>
          </cell>
          <cell r="C199">
            <v>1142.5</v>
          </cell>
          <cell r="D199">
            <v>5750</v>
          </cell>
          <cell r="E199">
            <v>6539.2999999999993</v>
          </cell>
          <cell r="F199">
            <v>113.72695652173911</v>
          </cell>
          <cell r="G199">
            <v>79.3636761487965</v>
          </cell>
          <cell r="H199">
            <v>65.338768821877835</v>
          </cell>
          <cell r="I199">
            <v>617.20000000000005</v>
          </cell>
          <cell r="J199">
            <v>9.4383190861407211</v>
          </cell>
          <cell r="K199">
            <v>1093</v>
          </cell>
          <cell r="L199">
            <v>60203</v>
          </cell>
          <cell r="M199">
            <v>5911303</v>
          </cell>
          <cell r="N199">
            <v>5720575</v>
          </cell>
          <cell r="O199">
            <v>0.87479929044393145</v>
          </cell>
          <cell r="P199">
            <v>35990</v>
          </cell>
          <cell r="Q199">
            <v>5.5036471793617059</v>
          </cell>
        </row>
        <row r="200">
          <cell r="B200" t="str">
            <v>97-98</v>
          </cell>
          <cell r="C200">
            <v>1142.5</v>
          </cell>
          <cell r="D200">
            <v>6300</v>
          </cell>
          <cell r="E200">
            <v>7431.54</v>
          </cell>
          <cell r="F200">
            <v>117.96095238095238</v>
          </cell>
          <cell r="G200">
            <v>83.992997811816196</v>
          </cell>
          <cell r="H200">
            <v>74.253769371421726</v>
          </cell>
          <cell r="I200">
            <v>677.25599999999997</v>
          </cell>
          <cell r="J200">
            <v>9.1132658910535351</v>
          </cell>
          <cell r="K200">
            <v>1155</v>
          </cell>
          <cell r="L200">
            <v>202719</v>
          </cell>
          <cell r="M200">
            <v>6761934</v>
          </cell>
          <cell r="N200">
            <v>6488665</v>
          </cell>
          <cell r="O200">
            <v>0.87312522034463924</v>
          </cell>
          <cell r="P200">
            <v>27492</v>
          </cell>
          <cell r="Q200">
            <v>3.6993678295481152</v>
          </cell>
        </row>
        <row r="201">
          <cell r="B201" t="str">
            <v>98-99</v>
          </cell>
          <cell r="C201">
            <v>1142.5</v>
          </cell>
          <cell r="D201">
            <v>6100</v>
          </cell>
          <cell r="E201">
            <v>7638.05</v>
          </cell>
          <cell r="F201">
            <v>125.21393442622951</v>
          </cell>
          <cell r="G201">
            <v>83.45667396061269</v>
          </cell>
          <cell r="H201">
            <v>76.317156759889286</v>
          </cell>
          <cell r="I201">
            <v>673.8</v>
          </cell>
          <cell r="J201">
            <v>8.8216233200882428</v>
          </cell>
          <cell r="K201">
            <v>1151</v>
          </cell>
          <cell r="L201">
            <v>420745</v>
          </cell>
          <cell r="M201">
            <v>5623850</v>
          </cell>
          <cell r="N201">
            <v>6329151</v>
          </cell>
          <cell r="O201">
            <v>0.82863440275986677</v>
          </cell>
          <cell r="P201">
            <v>18110</v>
          </cell>
          <cell r="Q201">
            <v>2.3710240179103304</v>
          </cell>
        </row>
        <row r="202">
          <cell r="B202" t="str">
            <v>99-00</v>
          </cell>
          <cell r="C202">
            <v>1142.5</v>
          </cell>
          <cell r="D202">
            <v>7500</v>
          </cell>
          <cell r="E202">
            <v>7716.6</v>
          </cell>
          <cell r="F202">
            <v>102.9</v>
          </cell>
          <cell r="G202">
            <v>81.2</v>
          </cell>
          <cell r="H202">
            <v>76.900000000000006</v>
          </cell>
          <cell r="I202">
            <v>677.6</v>
          </cell>
          <cell r="J202">
            <v>8.7810693828888358</v>
          </cell>
          <cell r="K202">
            <v>1153</v>
          </cell>
          <cell r="L202">
            <v>218441</v>
          </cell>
          <cell r="M202">
            <v>5821951</v>
          </cell>
          <cell r="N202">
            <v>6049762</v>
          </cell>
          <cell r="O202">
            <v>0.78399320944457407</v>
          </cell>
          <cell r="P202">
            <v>14653</v>
          </cell>
          <cell r="Q202">
            <v>1.8988932949744706</v>
          </cell>
        </row>
        <row r="203">
          <cell r="B203" t="str">
            <v>00-01</v>
          </cell>
          <cell r="C203">
            <v>1142.5</v>
          </cell>
          <cell r="D203">
            <v>7650</v>
          </cell>
          <cell r="E203">
            <v>7203.11</v>
          </cell>
          <cell r="F203">
            <v>94.16</v>
          </cell>
          <cell r="G203">
            <v>78.55</v>
          </cell>
          <cell r="H203">
            <v>71.97</v>
          </cell>
          <cell r="I203">
            <v>642.57000000000005</v>
          </cell>
          <cell r="J203">
            <v>8.9207300735376815</v>
          </cell>
          <cell r="K203">
            <v>1129</v>
          </cell>
          <cell r="M203">
            <v>6219252</v>
          </cell>
          <cell r="N203">
            <v>5907097</v>
          </cell>
          <cell r="O203">
            <v>0.82007591165482685</v>
          </cell>
          <cell r="P203">
            <v>20652</v>
          </cell>
          <cell r="Q203">
            <v>2.8670949076162935</v>
          </cell>
        </row>
        <row r="204">
          <cell r="A204" t="str">
            <v>Average last 5 years</v>
          </cell>
          <cell r="D204">
            <v>6660</v>
          </cell>
          <cell r="E204">
            <v>7305.7199999999993</v>
          </cell>
          <cell r="F204">
            <v>110.7923686657842</v>
          </cell>
          <cell r="G204">
            <v>81.312669584245072</v>
          </cell>
          <cell r="H204">
            <v>72.955938990637762</v>
          </cell>
          <cell r="I204">
            <v>657.68520000000012</v>
          </cell>
          <cell r="J204">
            <v>9.015001550741804</v>
          </cell>
          <cell r="K204">
            <v>1136.2</v>
          </cell>
          <cell r="L204">
            <v>180421.6</v>
          </cell>
          <cell r="M204">
            <v>6067658</v>
          </cell>
          <cell r="N204">
            <v>6099050</v>
          </cell>
          <cell r="O204">
            <v>0.83612560692956772</v>
          </cell>
          <cell r="P204">
            <v>23379.4</v>
          </cell>
          <cell r="Q204">
            <v>3.2680054458821837</v>
          </cell>
        </row>
        <row r="205">
          <cell r="A205" t="str">
            <v>SANJAY GANDHI I</v>
          </cell>
          <cell r="B205" t="str">
            <v>93-94</v>
          </cell>
          <cell r="C205">
            <v>210</v>
          </cell>
          <cell r="D205">
            <v>1500</v>
          </cell>
          <cell r="E205">
            <v>213.536</v>
          </cell>
          <cell r="F205">
            <v>14.235733333333332</v>
          </cell>
          <cell r="G205">
            <v>51.811609848484849</v>
          </cell>
          <cell r="H205">
            <v>11.607740813220266</v>
          </cell>
          <cell r="I205">
            <v>26.419</v>
          </cell>
          <cell r="J205">
            <v>12.372152704930317</v>
          </cell>
          <cell r="K205">
            <v>210</v>
          </cell>
          <cell r="L205">
            <v>27246</v>
          </cell>
          <cell r="M205">
            <v>163172</v>
          </cell>
          <cell r="N205">
            <v>147992.79999999999</v>
          </cell>
          <cell r="O205">
            <v>0.69305784504720513</v>
          </cell>
          <cell r="P205">
            <v>9704.1849999999995</v>
          </cell>
          <cell r="Q205">
            <v>45.445194252959688</v>
          </cell>
        </row>
        <row r="206">
          <cell r="B206" t="str">
            <v>94-95</v>
          </cell>
          <cell r="C206">
            <v>420</v>
          </cell>
          <cell r="D206">
            <v>1500</v>
          </cell>
          <cell r="E206">
            <v>1199</v>
          </cell>
          <cell r="F206">
            <v>79.933333333333337</v>
          </cell>
          <cell r="G206">
            <v>72.66</v>
          </cell>
          <cell r="H206">
            <v>35.287909758778738</v>
          </cell>
          <cell r="I206">
            <v>140.80000000000001</v>
          </cell>
          <cell r="J206">
            <v>11.743119266055047</v>
          </cell>
          <cell r="K206">
            <v>420</v>
          </cell>
          <cell r="L206">
            <v>42526</v>
          </cell>
          <cell r="M206">
            <v>900647</v>
          </cell>
          <cell r="N206">
            <v>920961</v>
          </cell>
          <cell r="O206">
            <v>0.76810758965804837</v>
          </cell>
          <cell r="P206">
            <v>34256</v>
          </cell>
          <cell r="Q206">
            <v>28.57047539616347</v>
          </cell>
        </row>
        <row r="207">
          <cell r="B207" t="str">
            <v>95-96</v>
          </cell>
          <cell r="C207">
            <v>420</v>
          </cell>
          <cell r="D207">
            <v>2420</v>
          </cell>
          <cell r="E207">
            <v>1991.4</v>
          </cell>
          <cell r="F207">
            <v>82.289256198347104</v>
          </cell>
          <cell r="G207">
            <v>74</v>
          </cell>
          <cell r="H207">
            <v>53.978011969815249</v>
          </cell>
          <cell r="I207">
            <v>202.1</v>
          </cell>
          <cell r="J207">
            <v>10.148639148337852</v>
          </cell>
          <cell r="K207">
            <v>420</v>
          </cell>
          <cell r="L207">
            <v>14598</v>
          </cell>
          <cell r="M207">
            <v>1425155</v>
          </cell>
          <cell r="N207">
            <v>1338274</v>
          </cell>
          <cell r="O207">
            <v>0.67202671487395804</v>
          </cell>
          <cell r="P207">
            <v>23294</v>
          </cell>
          <cell r="Q207">
            <v>11.697298383047102</v>
          </cell>
        </row>
        <row r="208">
          <cell r="B208" t="str">
            <v>96-97</v>
          </cell>
          <cell r="C208">
            <v>420</v>
          </cell>
          <cell r="D208">
            <v>2500</v>
          </cell>
          <cell r="E208">
            <v>2363</v>
          </cell>
          <cell r="F208">
            <v>94.52</v>
          </cell>
          <cell r="G208">
            <v>79.2</v>
          </cell>
          <cell r="H208">
            <v>64.225918677973468</v>
          </cell>
          <cell r="I208">
            <v>227.8</v>
          </cell>
          <cell r="J208">
            <v>9.6402877697841731</v>
          </cell>
          <cell r="K208">
            <v>420</v>
          </cell>
          <cell r="L208">
            <v>140663</v>
          </cell>
          <cell r="M208">
            <v>1583093</v>
          </cell>
          <cell r="N208">
            <v>1606855</v>
          </cell>
          <cell r="O208">
            <v>0.68000634786288616</v>
          </cell>
          <cell r="P208">
            <v>13542</v>
          </cell>
          <cell r="Q208">
            <v>5.7308506136267461</v>
          </cell>
        </row>
        <row r="209">
          <cell r="B209" t="str">
            <v>97-98</v>
          </cell>
          <cell r="C209">
            <v>420</v>
          </cell>
          <cell r="D209">
            <v>2450</v>
          </cell>
          <cell r="E209">
            <v>2249.6</v>
          </cell>
          <cell r="F209">
            <v>91.820408163265313</v>
          </cell>
          <cell r="G209">
            <v>71.7</v>
          </cell>
          <cell r="H209">
            <v>61.143726897151552</v>
          </cell>
          <cell r="I209">
            <v>240.256</v>
          </cell>
          <cell r="J209">
            <v>10.679943100995732</v>
          </cell>
          <cell r="K209">
            <v>428</v>
          </cell>
          <cell r="L209">
            <v>145240</v>
          </cell>
          <cell r="M209">
            <v>1590809</v>
          </cell>
          <cell r="N209">
            <v>1530284</v>
          </cell>
          <cell r="O209">
            <v>0.68024715504978661</v>
          </cell>
          <cell r="P209">
            <v>9014</v>
          </cell>
          <cell r="Q209">
            <v>4.0069345661450928</v>
          </cell>
        </row>
        <row r="210">
          <cell r="B210" t="str">
            <v>98-99</v>
          </cell>
          <cell r="C210">
            <v>420</v>
          </cell>
          <cell r="D210">
            <v>2600</v>
          </cell>
          <cell r="E210">
            <v>2518.15</v>
          </cell>
          <cell r="F210">
            <v>96.851923076923072</v>
          </cell>
          <cell r="G210">
            <v>80</v>
          </cell>
          <cell r="H210">
            <v>68.442868014785816</v>
          </cell>
          <cell r="I210">
            <v>252.1</v>
          </cell>
          <cell r="J210">
            <v>10.01131783253579</v>
          </cell>
          <cell r="K210">
            <v>422</v>
          </cell>
          <cell r="L210">
            <v>120443</v>
          </cell>
          <cell r="M210">
            <v>1750724</v>
          </cell>
          <cell r="N210">
            <v>1762685</v>
          </cell>
          <cell r="O210">
            <v>0.6999920576613784</v>
          </cell>
          <cell r="P210">
            <v>10321</v>
          </cell>
          <cell r="Q210">
            <v>4.0986438456803604</v>
          </cell>
        </row>
        <row r="211">
          <cell r="B211" t="str">
            <v>99-00</v>
          </cell>
          <cell r="C211">
            <v>420</v>
          </cell>
          <cell r="D211">
            <v>2750</v>
          </cell>
          <cell r="E211">
            <v>2308.1</v>
          </cell>
          <cell r="F211">
            <v>83.9</v>
          </cell>
          <cell r="G211">
            <v>76.099999999999994</v>
          </cell>
          <cell r="H211">
            <v>62.6</v>
          </cell>
          <cell r="I211">
            <v>235.9</v>
          </cell>
          <cell r="J211">
            <v>10.220527706771804</v>
          </cell>
          <cell r="K211">
            <v>410</v>
          </cell>
          <cell r="L211" t="str">
            <v xml:space="preserve"> </v>
          </cell>
          <cell r="M211">
            <v>5821951</v>
          </cell>
          <cell r="N211">
            <v>1629408</v>
          </cell>
          <cell r="O211">
            <v>0.70595208179888225</v>
          </cell>
          <cell r="P211">
            <v>6311</v>
          </cell>
          <cell r="Q211">
            <v>2.7342836098955852</v>
          </cell>
        </row>
        <row r="212">
          <cell r="B212" t="str">
            <v>00-01</v>
          </cell>
          <cell r="C212">
            <v>420</v>
          </cell>
          <cell r="D212">
            <v>2650</v>
          </cell>
          <cell r="E212">
            <v>2063.33</v>
          </cell>
          <cell r="F212">
            <v>77.89</v>
          </cell>
          <cell r="G212">
            <v>77.25</v>
          </cell>
          <cell r="H212">
            <v>56.08</v>
          </cell>
          <cell r="I212">
            <v>215.97</v>
          </cell>
          <cell r="J212">
            <v>10.46706052836919</v>
          </cell>
          <cell r="K212">
            <v>420</v>
          </cell>
          <cell r="L212">
            <v>86958</v>
          </cell>
          <cell r="M212">
            <v>6219252</v>
          </cell>
          <cell r="N212">
            <v>1511420</v>
          </cell>
          <cell r="O212">
            <v>0.73251491520987921</v>
          </cell>
          <cell r="P212">
            <v>13144</v>
          </cell>
          <cell r="Q212">
            <v>6.3702849277624036</v>
          </cell>
        </row>
        <row r="213">
          <cell r="A213" t="str">
            <v>Average last 5 years</v>
          </cell>
          <cell r="D213">
            <v>2590</v>
          </cell>
          <cell r="E213">
            <v>2300.4360000000001</v>
          </cell>
          <cell r="F213">
            <v>88.996466248037677</v>
          </cell>
          <cell r="G213">
            <v>76.849999999999994</v>
          </cell>
          <cell r="H213">
            <v>62.49850271798217</v>
          </cell>
          <cell r="I213">
            <v>234.40520000000001</v>
          </cell>
          <cell r="J213">
            <v>10.203827387691337</v>
          </cell>
          <cell r="K213">
            <v>420</v>
          </cell>
          <cell r="L213">
            <v>98660.800000000003</v>
          </cell>
          <cell r="M213">
            <v>3393165.8</v>
          </cell>
          <cell r="N213">
            <v>1608130.4</v>
          </cell>
          <cell r="O213">
            <v>0.69974251151656253</v>
          </cell>
          <cell r="P213">
            <v>10466.4</v>
          </cell>
          <cell r="Q213">
            <v>4.5881995126220376</v>
          </cell>
        </row>
        <row r="214">
          <cell r="A214" t="str">
            <v>SANJAY GANDHI II</v>
          </cell>
          <cell r="B214" t="str">
            <v>99-00</v>
          </cell>
          <cell r="C214">
            <v>420</v>
          </cell>
          <cell r="D214">
            <v>1000</v>
          </cell>
          <cell r="E214">
            <v>1466.19</v>
          </cell>
          <cell r="F214">
            <v>146.619</v>
          </cell>
          <cell r="G214">
            <v>90.47</v>
          </cell>
          <cell r="H214">
            <v>85.84</v>
          </cell>
          <cell r="I214">
            <v>155.31</v>
          </cell>
          <cell r="J214">
            <v>10.592760829087634</v>
          </cell>
          <cell r="K214">
            <v>420</v>
          </cell>
          <cell r="L214" t="str">
            <v xml:space="preserve"> </v>
          </cell>
          <cell r="M214" t="str">
            <v xml:space="preserve"> </v>
          </cell>
          <cell r="N214">
            <v>1024588</v>
          </cell>
          <cell r="O214">
            <v>0.69880984047088035</v>
          </cell>
          <cell r="P214">
            <v>17216.427</v>
          </cell>
          <cell r="Q214">
            <v>11.742289198534978</v>
          </cell>
        </row>
        <row r="215">
          <cell r="B215" t="str">
            <v>00-01</v>
          </cell>
          <cell r="C215">
            <v>420</v>
          </cell>
          <cell r="D215">
            <v>2700</v>
          </cell>
          <cell r="E215">
            <v>2860.88</v>
          </cell>
          <cell r="F215">
            <v>105.84</v>
          </cell>
          <cell r="G215">
            <v>89.52</v>
          </cell>
          <cell r="H215">
            <v>77.760000000000005</v>
          </cell>
          <cell r="I215">
            <v>283.33999999999997</v>
          </cell>
          <cell r="J215">
            <v>9.9</v>
          </cell>
          <cell r="K215">
            <v>420</v>
          </cell>
          <cell r="N215">
            <v>2096666</v>
          </cell>
          <cell r="O215">
            <v>0.73299999999999998</v>
          </cell>
          <cell r="P215">
            <v>8182</v>
          </cell>
          <cell r="Q215">
            <v>2.86</v>
          </cell>
        </row>
        <row r="216">
          <cell r="A216" t="str">
            <v>Average last 2 years</v>
          </cell>
          <cell r="D216">
            <v>1850</v>
          </cell>
          <cell r="E216">
            <v>2163.5349999999999</v>
          </cell>
          <cell r="F216">
            <v>126.2295</v>
          </cell>
          <cell r="G216">
            <v>89.995000000000005</v>
          </cell>
          <cell r="H216">
            <v>81.800000000000011</v>
          </cell>
          <cell r="I216">
            <v>219.32499999999999</v>
          </cell>
          <cell r="J216">
            <v>10.246380414543818</v>
          </cell>
          <cell r="K216">
            <v>420</v>
          </cell>
          <cell r="L216">
            <v>0</v>
          </cell>
          <cell r="M216">
            <v>0</v>
          </cell>
          <cell r="N216">
            <v>1560627</v>
          </cell>
          <cell r="O216">
            <v>0.71590492023544017</v>
          </cell>
          <cell r="P216">
            <v>12699.2135</v>
          </cell>
          <cell r="Q216">
            <v>7.3011445992674888</v>
          </cell>
        </row>
        <row r="217">
          <cell r="A217" t="str">
            <v>SANJAY GANDHI</v>
          </cell>
          <cell r="B217" t="str">
            <v>93-94</v>
          </cell>
          <cell r="C217">
            <v>210</v>
          </cell>
          <cell r="D217">
            <v>1500</v>
          </cell>
          <cell r="E217">
            <v>213.536</v>
          </cell>
          <cell r="F217">
            <v>14.235733333333332</v>
          </cell>
          <cell r="G217">
            <v>51.811609848484849</v>
          </cell>
          <cell r="H217">
            <v>11.607740813220266</v>
          </cell>
          <cell r="I217">
            <v>26.419</v>
          </cell>
          <cell r="J217">
            <v>12.372152704930317</v>
          </cell>
          <cell r="K217">
            <v>210</v>
          </cell>
          <cell r="L217">
            <v>27246</v>
          </cell>
          <cell r="M217">
            <v>163172</v>
          </cell>
          <cell r="N217">
            <v>147992.79999999999</v>
          </cell>
          <cell r="O217">
            <v>0.69305784504720513</v>
          </cell>
          <cell r="P217">
            <v>9704.1849999999995</v>
          </cell>
          <cell r="Q217">
            <v>45.445194252959688</v>
          </cell>
        </row>
        <row r="218">
          <cell r="B218" t="str">
            <v>94-95</v>
          </cell>
          <cell r="C218">
            <v>420</v>
          </cell>
          <cell r="D218">
            <v>1500</v>
          </cell>
          <cell r="E218">
            <v>1199</v>
          </cell>
          <cell r="F218">
            <v>79.933333333333337</v>
          </cell>
          <cell r="G218">
            <v>72.66</v>
          </cell>
          <cell r="H218">
            <v>35.287909758778738</v>
          </cell>
          <cell r="I218">
            <v>140.80000000000001</v>
          </cell>
          <cell r="J218">
            <v>11.743119266055047</v>
          </cell>
          <cell r="K218">
            <v>420</v>
          </cell>
          <cell r="L218">
            <v>42526</v>
          </cell>
          <cell r="M218">
            <v>900647</v>
          </cell>
          <cell r="N218">
            <v>920961</v>
          </cell>
          <cell r="O218">
            <v>0.76810758965804837</v>
          </cell>
          <cell r="P218">
            <v>34256</v>
          </cell>
          <cell r="Q218">
            <v>28.57047539616347</v>
          </cell>
        </row>
        <row r="219">
          <cell r="B219" t="str">
            <v>95-96</v>
          </cell>
          <cell r="C219">
            <v>420</v>
          </cell>
          <cell r="D219">
            <v>2420</v>
          </cell>
          <cell r="E219">
            <v>1991.4</v>
          </cell>
          <cell r="F219">
            <v>82.289256198347104</v>
          </cell>
          <cell r="G219">
            <v>74</v>
          </cell>
          <cell r="H219">
            <v>53.978011969815249</v>
          </cell>
          <cell r="I219">
            <v>202.1</v>
          </cell>
          <cell r="J219">
            <v>10.148639148337852</v>
          </cell>
          <cell r="K219">
            <v>420</v>
          </cell>
          <cell r="L219">
            <v>14598</v>
          </cell>
          <cell r="M219">
            <v>1425155</v>
          </cell>
          <cell r="N219">
            <v>1338274</v>
          </cell>
          <cell r="O219">
            <v>0.67202671487395804</v>
          </cell>
          <cell r="P219">
            <v>23294</v>
          </cell>
          <cell r="Q219">
            <v>11.697298383047102</v>
          </cell>
        </row>
        <row r="220">
          <cell r="B220" t="str">
            <v>96-97</v>
          </cell>
          <cell r="C220">
            <v>420</v>
          </cell>
          <cell r="D220">
            <v>2500</v>
          </cell>
          <cell r="E220">
            <v>2363</v>
          </cell>
          <cell r="F220">
            <v>94.52</v>
          </cell>
          <cell r="G220">
            <v>79.2</v>
          </cell>
          <cell r="H220">
            <v>64.225918677973468</v>
          </cell>
          <cell r="I220">
            <v>227.8</v>
          </cell>
          <cell r="J220">
            <v>9.6402877697841731</v>
          </cell>
          <cell r="K220">
            <v>420</v>
          </cell>
          <cell r="L220">
            <v>140663</v>
          </cell>
          <cell r="M220">
            <v>1583093</v>
          </cell>
          <cell r="N220">
            <v>1606855</v>
          </cell>
          <cell r="O220">
            <v>0.68000634786288616</v>
          </cell>
          <cell r="P220">
            <v>13542</v>
          </cell>
          <cell r="Q220">
            <v>5.7308506136267461</v>
          </cell>
        </row>
        <row r="221">
          <cell r="B221" t="str">
            <v>97-98</v>
          </cell>
          <cell r="C221">
            <v>420</v>
          </cell>
          <cell r="D221">
            <v>2450</v>
          </cell>
          <cell r="E221">
            <v>2249.6</v>
          </cell>
          <cell r="F221">
            <v>91.820408163265313</v>
          </cell>
          <cell r="G221">
            <v>71.7</v>
          </cell>
          <cell r="H221">
            <v>61.143726897151552</v>
          </cell>
          <cell r="I221">
            <v>240.256</v>
          </cell>
          <cell r="J221">
            <v>10.679943100995732</v>
          </cell>
          <cell r="K221">
            <v>428</v>
          </cell>
          <cell r="L221">
            <v>145240</v>
          </cell>
          <cell r="M221">
            <v>1590809</v>
          </cell>
          <cell r="N221">
            <v>1530284</v>
          </cell>
          <cell r="O221">
            <v>0.68024715504978661</v>
          </cell>
          <cell r="P221">
            <v>9014</v>
          </cell>
          <cell r="Q221">
            <v>4.0069345661450928</v>
          </cell>
        </row>
        <row r="222">
          <cell r="B222" t="str">
            <v>98-99</v>
          </cell>
          <cell r="C222">
            <v>420</v>
          </cell>
          <cell r="D222">
            <v>2600</v>
          </cell>
          <cell r="E222">
            <v>2518.15</v>
          </cell>
          <cell r="F222">
            <v>96.851923076923072</v>
          </cell>
          <cell r="G222">
            <v>80</v>
          </cell>
          <cell r="H222">
            <v>68.442868014785816</v>
          </cell>
          <cell r="I222">
            <v>252.1</v>
          </cell>
          <cell r="J222">
            <v>10.01131783253579</v>
          </cell>
          <cell r="K222">
            <v>422</v>
          </cell>
          <cell r="L222">
            <v>120443</v>
          </cell>
          <cell r="M222">
            <v>1750724</v>
          </cell>
          <cell r="N222">
            <v>1762685</v>
          </cell>
          <cell r="O222">
            <v>0.6999920576613784</v>
          </cell>
          <cell r="P222">
            <v>10321</v>
          </cell>
          <cell r="Q222">
            <v>4.0986438456803604</v>
          </cell>
        </row>
        <row r="223">
          <cell r="B223" t="str">
            <v>99-00</v>
          </cell>
          <cell r="C223">
            <v>840</v>
          </cell>
          <cell r="D223">
            <v>3750</v>
          </cell>
          <cell r="E223">
            <v>3774.29</v>
          </cell>
          <cell r="F223">
            <v>230.51900000000001</v>
          </cell>
          <cell r="G223">
            <v>166.57</v>
          </cell>
          <cell r="H223">
            <v>148.44</v>
          </cell>
          <cell r="I223">
            <v>391.21000000000004</v>
          </cell>
          <cell r="J223">
            <v>20.813288535859439</v>
          </cell>
          <cell r="K223">
            <v>830</v>
          </cell>
          <cell r="L223">
            <v>171738.57</v>
          </cell>
          <cell r="M223">
            <v>2540597.02</v>
          </cell>
          <cell r="N223">
            <v>2180367</v>
          </cell>
          <cell r="O223">
            <v>1.4047619222697625</v>
          </cell>
          <cell r="P223">
            <v>23527.427</v>
          </cell>
          <cell r="Q223">
            <v>14.476572808430564</v>
          </cell>
        </row>
        <row r="224">
          <cell r="B224" t="str">
            <v>00-01</v>
          </cell>
          <cell r="C224">
            <v>840</v>
          </cell>
          <cell r="D224">
            <v>5350</v>
          </cell>
          <cell r="E224">
            <v>4924.21</v>
          </cell>
          <cell r="F224">
            <v>92.01</v>
          </cell>
          <cell r="G224">
            <v>83.39</v>
          </cell>
          <cell r="H224">
            <v>66.92</v>
          </cell>
          <cell r="I224">
            <v>499.31</v>
          </cell>
          <cell r="J224">
            <v>10.14</v>
          </cell>
          <cell r="K224">
            <v>820</v>
          </cell>
          <cell r="L224">
            <v>58349</v>
          </cell>
          <cell r="M224">
            <v>3800562</v>
          </cell>
          <cell r="N224">
            <v>2979105</v>
          </cell>
          <cell r="O224">
            <v>0.73</v>
          </cell>
          <cell r="P224">
            <v>21325</v>
          </cell>
          <cell r="Q224">
            <v>4.33</v>
          </cell>
        </row>
        <row r="225">
          <cell r="A225" t="str">
            <v>Average last 5 years</v>
          </cell>
          <cell r="D225">
            <v>3330</v>
          </cell>
          <cell r="E225">
            <v>3165.85</v>
          </cell>
          <cell r="F225">
            <v>121.14426624803768</v>
          </cell>
          <cell r="G225">
            <v>96.171999999999997</v>
          </cell>
          <cell r="H225">
            <v>81.834502717982176</v>
          </cell>
          <cell r="I225">
            <v>322.1352</v>
          </cell>
          <cell r="J225">
            <v>12.256967447835027</v>
          </cell>
          <cell r="K225">
            <v>584</v>
          </cell>
          <cell r="L225">
            <v>127286.71400000001</v>
          </cell>
          <cell r="M225">
            <v>2253157.0039999997</v>
          </cell>
          <cell r="N225">
            <v>2011859.2</v>
          </cell>
          <cell r="O225">
            <v>0.83900149656876266</v>
          </cell>
          <cell r="P225">
            <v>15545.885399999999</v>
          </cell>
          <cell r="Q225">
            <v>6.5286003667765531</v>
          </cell>
        </row>
        <row r="226">
          <cell r="A226" t="str">
            <v xml:space="preserve"> * SANJAY GHANDHI : CONSIDERING SGTPS # 1 W.E.F 01.04.93  &amp;  SGTPS # 2 W.E.F; 26.05.94 .# 3 WE.F; 01.09.99</v>
          </cell>
        </row>
        <row r="227">
          <cell r="A227" t="str">
            <v>CONSIDERING SGTPS # 1 W.E.F; 01.01.95    P.L.F. FOR 94-95 = 66.0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cell r="I230" t="str">
            <v>AUXILIARY CONSUMPTION</v>
          </cell>
          <cell r="K230" t="str">
            <v>MAXIMUM DEMAND</v>
          </cell>
          <cell r="L230" t="str">
            <v>COAL IN MT</v>
          </cell>
          <cell r="N230" t="str">
            <v>COAL CONSUMED</v>
          </cell>
          <cell r="P230" t="str">
            <v>FUEL OIL CONSUMPTION</v>
          </cell>
        </row>
        <row r="231">
          <cell r="C231" t="str">
            <v>MW</v>
          </cell>
          <cell r="D231" t="str">
            <v>MKwh</v>
          </cell>
          <cell r="E231" t="str">
            <v>MKwh</v>
          </cell>
          <cell r="F231" t="str">
            <v>%</v>
          </cell>
          <cell r="G231" t="str">
            <v>%</v>
          </cell>
          <cell r="H231" t="str">
            <v>%</v>
          </cell>
          <cell r="I231" t="str">
            <v>MKwh</v>
          </cell>
          <cell r="J231" t="str">
            <v>%</v>
          </cell>
          <cell r="K231" t="str">
            <v>MW</v>
          </cell>
          <cell r="L231" t="str">
            <v>OP.STOCK</v>
          </cell>
          <cell r="M231" t="str">
            <v>RECIEPT</v>
          </cell>
          <cell r="N231" t="str">
            <v>MT</v>
          </cell>
          <cell r="O231" t="str">
            <v>Kg/kWH</v>
          </cell>
          <cell r="P231" t="str">
            <v>KL</v>
          </cell>
          <cell r="Q231" t="str">
            <v>ml/KWH</v>
          </cell>
        </row>
        <row r="232">
          <cell r="A232" t="str">
            <v>THERMAL</v>
          </cell>
          <cell r="B232" t="str">
            <v>88-89</v>
          </cell>
          <cell r="C232">
            <v>2812.5</v>
          </cell>
          <cell r="D232">
            <v>13000</v>
          </cell>
          <cell r="E232">
            <v>12191.210000000001</v>
          </cell>
          <cell r="F232">
            <v>93.77853846153846</v>
          </cell>
          <cell r="G232">
            <v>68.689582222222228</v>
          </cell>
          <cell r="H232">
            <v>50.05</v>
          </cell>
          <cell r="I232">
            <v>0</v>
          </cell>
          <cell r="J232">
            <v>0</v>
          </cell>
          <cell r="K232">
            <v>2080</v>
          </cell>
          <cell r="M232">
            <v>0</v>
          </cell>
          <cell r="N232">
            <v>9903110</v>
          </cell>
          <cell r="O232">
            <v>0.81231559459643454</v>
          </cell>
          <cell r="P232">
            <v>153018</v>
          </cell>
          <cell r="Q232">
            <v>12.551502270898458</v>
          </cell>
        </row>
        <row r="233">
          <cell r="B233" t="str">
            <v>89-90</v>
          </cell>
          <cell r="C233">
            <v>2812.5</v>
          </cell>
          <cell r="D233">
            <v>13000</v>
          </cell>
          <cell r="E233">
            <v>12464.71</v>
          </cell>
          <cell r="F233">
            <v>95.882384615384609</v>
          </cell>
          <cell r="G233">
            <v>71.313822222222228</v>
          </cell>
          <cell r="H233">
            <v>50.592430238457638</v>
          </cell>
          <cell r="I233">
            <v>1225</v>
          </cell>
          <cell r="J233">
            <v>9.827745691636629</v>
          </cell>
          <cell r="K233">
            <v>2080</v>
          </cell>
          <cell r="M233">
            <v>9887181</v>
          </cell>
          <cell r="N233">
            <v>9880489</v>
          </cell>
          <cell r="O233">
            <v>0.79267700572255595</v>
          </cell>
          <cell r="P233">
            <v>222061</v>
          </cell>
          <cell r="Q233">
            <v>17.815175804330789</v>
          </cell>
        </row>
        <row r="234">
          <cell r="B234" t="str">
            <v>90-91</v>
          </cell>
          <cell r="C234">
            <v>2682.5</v>
          </cell>
          <cell r="D234">
            <v>13750</v>
          </cell>
          <cell r="E234">
            <v>12376.880000000001</v>
          </cell>
          <cell r="F234">
            <v>90.013672727272734</v>
          </cell>
          <cell r="G234">
            <v>71.034529356943153</v>
          </cell>
          <cell r="H234">
            <v>52.670488154663872</v>
          </cell>
          <cell r="I234">
            <v>1314.15</v>
          </cell>
          <cell r="J234">
            <v>10.61778089470044</v>
          </cell>
          <cell r="K234">
            <v>2176</v>
          </cell>
          <cell r="M234">
            <v>9549897</v>
          </cell>
          <cell r="N234">
            <v>9845919</v>
          </cell>
          <cell r="O234">
            <v>0.79550896510267521</v>
          </cell>
          <cell r="P234">
            <v>180521</v>
          </cell>
          <cell r="Q234">
            <v>14.585339762524965</v>
          </cell>
        </row>
        <row r="235">
          <cell r="B235" t="str">
            <v>91-92</v>
          </cell>
          <cell r="C235">
            <v>2682.5</v>
          </cell>
          <cell r="D235">
            <v>13440</v>
          </cell>
          <cell r="E235">
            <v>11579.91</v>
          </cell>
          <cell r="F235">
            <v>86.160044642857144</v>
          </cell>
          <cell r="G235">
            <v>66.919506057781931</v>
          </cell>
          <cell r="H235">
            <v>49.144296925529261</v>
          </cell>
          <cell r="I235">
            <v>1235.07</v>
          </cell>
          <cell r="J235">
            <v>10.665626934924365</v>
          </cell>
          <cell r="K235">
            <v>1930</v>
          </cell>
          <cell r="M235">
            <v>9509426</v>
          </cell>
          <cell r="N235">
            <v>9628339</v>
          </cell>
          <cell r="O235">
            <v>0.83146924285249191</v>
          </cell>
          <cell r="P235">
            <v>147302</v>
          </cell>
          <cell r="Q235">
            <v>12.720478829282785</v>
          </cell>
        </row>
        <row r="236">
          <cell r="B236" t="str">
            <v>92-93</v>
          </cell>
          <cell r="C236">
            <v>2682.5</v>
          </cell>
          <cell r="D236">
            <v>13240</v>
          </cell>
          <cell r="E236">
            <v>12363.220000000001</v>
          </cell>
          <cell r="F236">
            <v>93.377794561933541</v>
          </cell>
          <cell r="G236">
            <v>71.4544734389562</v>
          </cell>
          <cell r="H236">
            <v>52.612357279338859</v>
          </cell>
          <cell r="I236">
            <v>1288.08</v>
          </cell>
          <cell r="J236">
            <v>10.418644980838325</v>
          </cell>
          <cell r="K236">
            <v>2304</v>
          </cell>
          <cell r="M236">
            <v>10240661</v>
          </cell>
          <cell r="N236">
            <v>10365511</v>
          </cell>
          <cell r="O236">
            <v>0.8384151539809207</v>
          </cell>
          <cell r="P236">
            <v>178366</v>
          </cell>
          <cell r="Q236">
            <v>14.427147620118381</v>
          </cell>
        </row>
        <row r="237">
          <cell r="B237" t="str">
            <v>93-94</v>
          </cell>
          <cell r="C237">
            <v>2882.5</v>
          </cell>
          <cell r="D237">
            <v>14885</v>
          </cell>
          <cell r="E237">
            <v>13331.489799999999</v>
          </cell>
          <cell r="F237">
            <v>89.563250251931478</v>
          </cell>
          <cell r="G237">
            <v>70.561553251088981</v>
          </cell>
          <cell r="H237">
            <v>52.796515740157702</v>
          </cell>
          <cell r="I237">
            <v>1393.0175370000002</v>
          </cell>
          <cell r="J237">
            <v>10.449076269030341</v>
          </cell>
          <cell r="K237">
            <v>2516</v>
          </cell>
          <cell r="L237" t="str">
            <v xml:space="preserve"> </v>
          </cell>
          <cell r="M237">
            <v>10774979</v>
          </cell>
          <cell r="N237">
            <v>10889112.170000002</v>
          </cell>
          <cell r="O237">
            <v>0.81679634709693161</v>
          </cell>
          <cell r="P237">
            <v>145021.60399999999</v>
          </cell>
          <cell r="Q237">
            <v>10.878124363865171</v>
          </cell>
        </row>
        <row r="238">
          <cell r="B238" t="str">
            <v>94-95</v>
          </cell>
          <cell r="C238">
            <v>3092.5</v>
          </cell>
          <cell r="D238">
            <v>14850</v>
          </cell>
          <cell r="E238">
            <v>14781.1</v>
          </cell>
          <cell r="F238">
            <v>99.536026936026943</v>
          </cell>
          <cell r="G238">
            <v>74.786483427647539</v>
          </cell>
          <cell r="H238">
            <v>54.56233411959262</v>
          </cell>
          <cell r="I238">
            <v>1558.8</v>
          </cell>
          <cell r="J238">
            <v>10.545899831541631</v>
          </cell>
          <cell r="K238">
            <v>2860</v>
          </cell>
          <cell r="L238" t="str">
            <v xml:space="preserve"> </v>
          </cell>
          <cell r="M238">
            <v>12293369</v>
          </cell>
          <cell r="N238">
            <v>12127995</v>
          </cell>
          <cell r="O238">
            <v>0.82050693114856132</v>
          </cell>
          <cell r="P238">
            <v>185245</v>
          </cell>
          <cell r="Q238">
            <v>12.53255846993796</v>
          </cell>
        </row>
        <row r="239">
          <cell r="B239" t="str">
            <v>95-96</v>
          </cell>
          <cell r="C239">
            <v>3092.5</v>
          </cell>
          <cell r="D239">
            <v>16620</v>
          </cell>
          <cell r="E239">
            <v>16071.3</v>
          </cell>
          <cell r="F239">
            <v>96.698555956678703</v>
          </cell>
          <cell r="G239">
            <v>75.344624090541629</v>
          </cell>
          <cell r="H239">
            <v>59.324924419441643</v>
          </cell>
          <cell r="I239">
            <v>1648.2999999999997</v>
          </cell>
          <cell r="J239">
            <v>10.256170938256394</v>
          </cell>
          <cell r="K239">
            <v>2888</v>
          </cell>
          <cell r="L239" t="str">
            <v xml:space="preserve"> </v>
          </cell>
          <cell r="M239">
            <v>12728814</v>
          </cell>
          <cell r="N239">
            <v>13030027</v>
          </cell>
          <cell r="O239">
            <v>0.81076372166532884</v>
          </cell>
          <cell r="P239">
            <v>124103</v>
          </cell>
          <cell r="Q239">
            <v>7.7220262206542101</v>
          </cell>
        </row>
        <row r="240">
          <cell r="B240" t="str">
            <v>96-97</v>
          </cell>
          <cell r="C240">
            <v>3092.5</v>
          </cell>
          <cell r="D240">
            <v>16950</v>
          </cell>
          <cell r="E240">
            <v>16867.099999999999</v>
          </cell>
          <cell r="F240">
            <v>99.51091445427727</v>
          </cell>
          <cell r="G240">
            <v>74.891188358932908</v>
          </cell>
          <cell r="H240">
            <v>62.262507244290383</v>
          </cell>
          <cell r="I240">
            <v>1650.6000000000001</v>
          </cell>
          <cell r="J240">
            <v>9.7859145911271064</v>
          </cell>
          <cell r="K240">
            <v>2756</v>
          </cell>
          <cell r="L240" t="str">
            <v xml:space="preserve"> </v>
          </cell>
          <cell r="M240">
            <v>13634273</v>
          </cell>
          <cell r="N240">
            <v>13482299</v>
          </cell>
          <cell r="O240">
            <v>0.7993252544895092</v>
          </cell>
          <cell r="P240">
            <v>86830</v>
          </cell>
          <cell r="Q240">
            <v>5.1478914573341008</v>
          </cell>
        </row>
        <row r="241">
          <cell r="B241" t="str">
            <v>97-98</v>
          </cell>
          <cell r="C241">
            <v>3092.5</v>
          </cell>
          <cell r="D241">
            <v>17200</v>
          </cell>
          <cell r="E241">
            <v>17966.71</v>
          </cell>
          <cell r="F241">
            <v>104.45761627906977</v>
          </cell>
          <cell r="G241">
            <v>76.25933710590138</v>
          </cell>
          <cell r="H241">
            <v>66.321561592156598</v>
          </cell>
          <cell r="I241">
            <v>1765.9490000000001</v>
          </cell>
          <cell r="J241">
            <v>9.8290059782787171</v>
          </cell>
          <cell r="K241">
            <v>2920</v>
          </cell>
          <cell r="L241" t="str">
            <v xml:space="preserve"> </v>
          </cell>
          <cell r="M241">
            <v>14706104</v>
          </cell>
          <cell r="N241">
            <v>14265230</v>
          </cell>
          <cell r="O241">
            <v>0.79398120190062627</v>
          </cell>
          <cell r="P241">
            <v>66354</v>
          </cell>
          <cell r="Q241">
            <v>3.6931636342992125</v>
          </cell>
        </row>
        <row r="242">
          <cell r="B242" t="str">
            <v>98-99</v>
          </cell>
          <cell r="C242">
            <v>3092.5</v>
          </cell>
          <cell r="D242">
            <v>17500</v>
          </cell>
          <cell r="E242">
            <v>18471.390000000003</v>
          </cell>
          <cell r="F242">
            <v>105.55080000000001</v>
          </cell>
          <cell r="G242">
            <v>76.04373484236055</v>
          </cell>
          <cell r="H242">
            <v>68.184516229056172</v>
          </cell>
          <cell r="I242">
            <v>1784</v>
          </cell>
          <cell r="J242">
            <v>9.6581794873044196</v>
          </cell>
          <cell r="K242">
            <v>2886</v>
          </cell>
          <cell r="L242" t="str">
            <v xml:space="preserve"> </v>
          </cell>
          <cell r="M242">
            <v>13851114</v>
          </cell>
          <cell r="N242">
            <v>14547769</v>
          </cell>
          <cell r="O242">
            <v>0.78758387971885158</v>
          </cell>
          <cell r="P242">
            <v>51346</v>
          </cell>
          <cell r="Q242">
            <v>2.7797583181341521</v>
          </cell>
        </row>
        <row r="243">
          <cell r="B243" t="str">
            <v>99-00</v>
          </cell>
          <cell r="C243">
            <v>3512.5</v>
          </cell>
          <cell r="D243">
            <v>19000</v>
          </cell>
          <cell r="E243">
            <v>20146.400000000001</v>
          </cell>
          <cell r="F243">
            <v>106</v>
          </cell>
          <cell r="G243">
            <v>79.099999999999994</v>
          </cell>
          <cell r="H243">
            <v>69.400000000000006</v>
          </cell>
          <cell r="I243">
            <v>1952.8</v>
          </cell>
          <cell r="J243">
            <v>9.6930468967160373</v>
          </cell>
          <cell r="K243">
            <v>3169</v>
          </cell>
          <cell r="M243">
            <v>15499659</v>
          </cell>
          <cell r="N243">
            <v>15648859</v>
          </cell>
          <cell r="O243">
            <v>0.77675708811499822</v>
          </cell>
          <cell r="P243">
            <v>58343</v>
          </cell>
          <cell r="Q243">
            <v>2.29</v>
          </cell>
        </row>
        <row r="244">
          <cell r="B244" t="str">
            <v>00-01</v>
          </cell>
          <cell r="C244">
            <v>3512.5</v>
          </cell>
          <cell r="D244">
            <v>21850</v>
          </cell>
          <cell r="E244">
            <v>20415.89</v>
          </cell>
          <cell r="F244">
            <v>93.22</v>
          </cell>
          <cell r="G244">
            <v>77.67</v>
          </cell>
          <cell r="H244">
            <v>66.349999999999994</v>
          </cell>
          <cell r="I244">
            <v>1982.06</v>
          </cell>
          <cell r="J244">
            <v>9.7100000000000009</v>
          </cell>
          <cell r="K244">
            <v>3013</v>
          </cell>
          <cell r="M244">
            <v>15975901</v>
          </cell>
          <cell r="N244">
            <v>16020288</v>
          </cell>
          <cell r="O244">
            <v>0.78469701786206725</v>
          </cell>
          <cell r="P244">
            <v>65679</v>
          </cell>
          <cell r="Q244">
            <v>3.22</v>
          </cell>
        </row>
        <row r="245">
          <cell r="A245" t="str">
            <v>Average last 5 years</v>
          </cell>
          <cell r="D245">
            <v>18500</v>
          </cell>
          <cell r="E245">
            <v>18773.498</v>
          </cell>
          <cell r="F245">
            <v>101.74786614666941</v>
          </cell>
          <cell r="G245">
            <v>76.792852061438964</v>
          </cell>
          <cell r="H245">
            <v>66.503717013100641</v>
          </cell>
          <cell r="I245">
            <v>1827.0817999999999</v>
          </cell>
          <cell r="J245">
            <v>9.7352293906852569</v>
          </cell>
          <cell r="K245">
            <v>2948.8</v>
          </cell>
          <cell r="L245">
            <v>0</v>
          </cell>
          <cell r="M245">
            <v>14733410.199999999</v>
          </cell>
          <cell r="N245">
            <v>14792889</v>
          </cell>
          <cell r="O245">
            <v>0.78846888841721063</v>
          </cell>
          <cell r="P245">
            <v>65710.399999999994</v>
          </cell>
          <cell r="Q245">
            <v>3.4261626819534925</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xml:space="preserve"> </v>
          </cell>
          <cell r="H249">
            <v>48.670693426781355</v>
          </cell>
          <cell r="I249">
            <v>0</v>
          </cell>
          <cell r="J249">
            <v>0</v>
          </cell>
          <cell r="K249" t="str">
            <v xml:space="preserve"> </v>
          </cell>
          <cell r="N249">
            <v>9295662.4000000004</v>
          </cell>
          <cell r="O249">
            <v>0.81126031108634111</v>
          </cell>
          <cell r="P249">
            <v>142896.79999999999</v>
          </cell>
          <cell r="Q249">
            <v>12.471031910672945</v>
          </cell>
        </row>
        <row r="250">
          <cell r="B250" t="str">
            <v>89-90</v>
          </cell>
          <cell r="C250">
            <v>2687.5</v>
          </cell>
          <cell r="D250">
            <v>12370</v>
          </cell>
          <cell r="E250">
            <v>11772.71</v>
          </cell>
          <cell r="F250">
            <v>95.171463217461607</v>
          </cell>
          <cell r="G250" t="str">
            <v xml:space="preserve"> </v>
          </cell>
          <cell r="H250">
            <v>50.006201550387594</v>
          </cell>
          <cell r="I250">
            <v>1151.8</v>
          </cell>
          <cell r="J250">
            <v>9.7836436980100601</v>
          </cell>
          <cell r="K250" t="str">
            <v xml:space="preserve"> </v>
          </cell>
          <cell r="N250">
            <v>9338119.8000000007</v>
          </cell>
          <cell r="O250">
            <v>0.7932005290200812</v>
          </cell>
          <cell r="P250">
            <v>205382.6</v>
          </cell>
          <cell r="Q250">
            <v>17.445651850763333</v>
          </cell>
        </row>
        <row r="251">
          <cell r="B251" t="str">
            <v>90-91</v>
          </cell>
          <cell r="C251">
            <v>2557.5</v>
          </cell>
          <cell r="D251">
            <v>13070</v>
          </cell>
          <cell r="E251">
            <v>11770.724</v>
          </cell>
          <cell r="F251">
            <v>90.059097169089512</v>
          </cell>
          <cell r="G251" t="str">
            <v xml:space="preserve"> </v>
          </cell>
          <cell r="H251">
            <v>52.539196650553258</v>
          </cell>
          <cell r="I251">
            <v>1245.9940000000001</v>
          </cell>
          <cell r="J251">
            <v>10.585534075898815</v>
          </cell>
          <cell r="K251" t="str">
            <v xml:space="preserve"> </v>
          </cell>
          <cell r="N251">
            <v>9339014.1999999993</v>
          </cell>
          <cell r="O251">
            <v>0.7934103458716727</v>
          </cell>
          <cell r="P251">
            <v>168809.8</v>
          </cell>
          <cell r="Q251">
            <v>14.341496750752119</v>
          </cell>
        </row>
        <row r="252">
          <cell r="B252" t="str">
            <v>91-92</v>
          </cell>
          <cell r="C252">
            <v>2557.5</v>
          </cell>
          <cell r="D252">
            <v>12760</v>
          </cell>
          <cell r="E252">
            <v>11025.722</v>
          </cell>
          <cell r="F252">
            <v>86.408479623824448</v>
          </cell>
          <cell r="G252" t="str">
            <v xml:space="preserve"> </v>
          </cell>
          <cell r="H252">
            <v>49.07938008678358</v>
          </cell>
          <cell r="I252">
            <v>1175.4099999999999</v>
          </cell>
          <cell r="J252">
            <v>10.660617055282184</v>
          </cell>
          <cell r="K252" t="str">
            <v xml:space="preserve"> </v>
          </cell>
          <cell r="N252">
            <v>9135691.4000000004</v>
          </cell>
          <cell r="O252">
            <v>0.82857987894126117</v>
          </cell>
          <cell r="P252">
            <v>137508.4</v>
          </cell>
          <cell r="Q252">
            <v>12.471600499268892</v>
          </cell>
        </row>
        <row r="253">
          <cell r="B253" t="str">
            <v>92-93</v>
          </cell>
          <cell r="C253">
            <v>2557.5</v>
          </cell>
          <cell r="D253">
            <v>12600</v>
          </cell>
          <cell r="E253">
            <v>11747.684000000001</v>
          </cell>
          <cell r="F253">
            <v>93.235587301587316</v>
          </cell>
          <cell r="G253" t="str">
            <v xml:space="preserve"> </v>
          </cell>
          <cell r="H253">
            <v>52.453775764346368</v>
          </cell>
          <cell r="I253">
            <v>1224.9159999999999</v>
          </cell>
          <cell r="J253">
            <v>10.426872224346516</v>
          </cell>
          <cell r="K253" t="str">
            <v xml:space="preserve"> </v>
          </cell>
          <cell r="N253">
            <v>9784266.5999999996</v>
          </cell>
          <cell r="O253">
            <v>0.83286770396616028</v>
          </cell>
          <cell r="P253">
            <v>167140</v>
          </cell>
          <cell r="Q253">
            <v>14.227485179206385</v>
          </cell>
        </row>
        <row r="254">
          <cell r="B254" t="str">
            <v>93-94</v>
          </cell>
          <cell r="C254">
            <v>2757.5</v>
          </cell>
          <cell r="D254">
            <v>14335</v>
          </cell>
          <cell r="E254">
            <v>12723.7418</v>
          </cell>
          <cell r="F254">
            <v>88.759970701081258</v>
          </cell>
          <cell r="G254" t="str">
            <v xml:space="preserve"> </v>
          </cell>
          <cell r="H254">
            <v>52.67386910749844</v>
          </cell>
          <cell r="I254">
            <v>1327.0063370000003</v>
          </cell>
          <cell r="J254">
            <v>10.429371782756551</v>
          </cell>
          <cell r="K254" t="str">
            <v xml:space="preserve"> </v>
          </cell>
          <cell r="N254">
            <v>10326945.770000001</v>
          </cell>
          <cell r="O254">
            <v>0.81162805189900999</v>
          </cell>
          <cell r="P254">
            <v>133056.89359999998</v>
          </cell>
          <cell r="Q254">
            <v>10.457371399976065</v>
          </cell>
        </row>
        <row r="255">
          <cell r="B255" t="str">
            <v>94-95</v>
          </cell>
          <cell r="C255">
            <v>2967.5</v>
          </cell>
          <cell r="D255">
            <v>14230</v>
          </cell>
          <cell r="E255">
            <v>14181.98</v>
          </cell>
          <cell r="F255">
            <v>99.662543921293036</v>
          </cell>
          <cell r="G255" t="str">
            <v xml:space="preserve"> </v>
          </cell>
          <cell r="H255">
            <v>54.555938958196286</v>
          </cell>
          <cell r="I255">
            <v>1494.36</v>
          </cell>
          <cell r="J255">
            <v>10.537033615898485</v>
          </cell>
          <cell r="K255" t="str">
            <v xml:space="preserve"> </v>
          </cell>
          <cell r="N255">
            <v>11574034.199999999</v>
          </cell>
          <cell r="O255">
            <v>0.81610848414678339</v>
          </cell>
          <cell r="P255">
            <v>177120.6</v>
          </cell>
          <cell r="Q255">
            <v>12.489130572740901</v>
          </cell>
        </row>
        <row r="256">
          <cell r="B256" t="str">
            <v>95-96</v>
          </cell>
          <cell r="C256">
            <v>2967.5</v>
          </cell>
          <cell r="D256">
            <v>16000</v>
          </cell>
          <cell r="E256">
            <v>15345.699999999999</v>
          </cell>
          <cell r="F256">
            <v>95.910624999999996</v>
          </cell>
          <cell r="G256" t="str">
            <v xml:space="preserve"> </v>
          </cell>
          <cell r="H256">
            <v>58.871303112191427</v>
          </cell>
          <cell r="I256">
            <v>1579.0199999999998</v>
          </cell>
          <cell r="J256">
            <v>10.28965768912464</v>
          </cell>
          <cell r="K256" t="str">
            <v xml:space="preserve"> </v>
          </cell>
          <cell r="N256">
            <v>12373859</v>
          </cell>
          <cell r="O256">
            <v>0.80634047322702784</v>
          </cell>
          <cell r="P256">
            <v>117168.6</v>
          </cell>
          <cell r="Q256">
            <v>7.6352724215904137</v>
          </cell>
        </row>
        <row r="257">
          <cell r="B257" t="str">
            <v>96-97</v>
          </cell>
          <cell r="C257">
            <v>2967.5</v>
          </cell>
          <cell r="D257">
            <v>16290</v>
          </cell>
          <cell r="E257">
            <v>16139.499999999998</v>
          </cell>
          <cell r="F257">
            <v>99.076120319214226</v>
          </cell>
          <cell r="G257" t="str">
            <v xml:space="preserve"> </v>
          </cell>
          <cell r="H257">
            <v>62.086223278823468</v>
          </cell>
          <cell r="I257">
            <v>1583.0000000000002</v>
          </cell>
          <cell r="J257">
            <v>9.8082344558381642</v>
          </cell>
          <cell r="K257" t="str">
            <v xml:space="preserve"> </v>
          </cell>
          <cell r="N257">
            <v>12828678.199999999</v>
          </cell>
          <cell r="O257">
            <v>0.79486218284333476</v>
          </cell>
          <cell r="P257">
            <v>81029.600000000006</v>
          </cell>
          <cell r="Q257">
            <v>5.0205768456271889</v>
          </cell>
        </row>
        <row r="258">
          <cell r="B258" t="str">
            <v>97-98</v>
          </cell>
          <cell r="C258">
            <v>2967.5</v>
          </cell>
          <cell r="D258">
            <v>16480</v>
          </cell>
          <cell r="E258">
            <v>17117.557999999997</v>
          </cell>
          <cell r="F258">
            <v>103.86867718446601</v>
          </cell>
          <cell r="G258" t="str">
            <v xml:space="preserve"> </v>
          </cell>
          <cell r="H258">
            <v>65.848664950971894</v>
          </cell>
          <cell r="I258">
            <v>1689.0150000000001</v>
          </cell>
          <cell r="J258">
            <v>9.8671492744467422</v>
          </cell>
          <cell r="K258" t="str">
            <v xml:space="preserve"> </v>
          </cell>
          <cell r="N258">
            <v>13509483.6</v>
          </cell>
          <cell r="O258">
            <v>0.78921792465958063</v>
          </cell>
          <cell r="P258">
            <v>62038.400000000001</v>
          </cell>
          <cell r="Q258">
            <v>3.6242552822078951</v>
          </cell>
        </row>
        <row r="259">
          <cell r="B259" t="str">
            <v>98-99</v>
          </cell>
          <cell r="C259">
            <v>2967.5</v>
          </cell>
          <cell r="D259">
            <v>16820</v>
          </cell>
          <cell r="E259">
            <v>17701.066000000003</v>
          </cell>
          <cell r="F259">
            <v>105.23820451843046</v>
          </cell>
          <cell r="G259" t="str">
            <v xml:space="preserve"> </v>
          </cell>
          <cell r="H259">
            <v>68.093332256215561</v>
          </cell>
          <cell r="I259">
            <v>1713.68</v>
          </cell>
          <cell r="J259">
            <v>9.6812248482661989</v>
          </cell>
          <cell r="K259" t="str">
            <v xml:space="preserve"> </v>
          </cell>
          <cell r="N259">
            <v>13872961</v>
          </cell>
          <cell r="O259">
            <v>0.78373590607480914</v>
          </cell>
          <cell r="P259">
            <v>47361.2</v>
          </cell>
          <cell r="Q259">
            <v>2.6756128698689667</v>
          </cell>
        </row>
        <row r="260">
          <cell r="B260" t="str">
            <v>99-00</v>
          </cell>
          <cell r="C260">
            <v>3387.5</v>
          </cell>
          <cell r="D260">
            <v>18240</v>
          </cell>
          <cell r="E260">
            <v>19305.5</v>
          </cell>
          <cell r="F260">
            <v>106.2</v>
          </cell>
          <cell r="I260">
            <v>1877.8</v>
          </cell>
          <cell r="J260">
            <v>9.7267618036310903</v>
          </cell>
          <cell r="N260">
            <v>14983496.6</v>
          </cell>
        </row>
        <row r="261">
          <cell r="B261" t="str">
            <v>00-01</v>
          </cell>
          <cell r="C261">
            <v>3387.5</v>
          </cell>
          <cell r="D261">
            <v>21070</v>
          </cell>
          <cell r="E261">
            <v>19626.939999999999</v>
          </cell>
          <cell r="F261">
            <v>92.93</v>
          </cell>
          <cell r="I261">
            <v>1909.7</v>
          </cell>
          <cell r="J261">
            <v>9.7299935700623745</v>
          </cell>
          <cell r="N261">
            <v>15354781.199999999</v>
          </cell>
        </row>
        <row r="262">
          <cell r="A262" t="str">
            <v>Average last 5 years</v>
          </cell>
          <cell r="D262">
            <v>17780</v>
          </cell>
          <cell r="E262">
            <v>17978.112799999999</v>
          </cell>
          <cell r="F262">
            <v>101.46260040442215</v>
          </cell>
          <cell r="I262">
            <v>1754.6390000000004</v>
          </cell>
          <cell r="J262">
            <v>9.7626727904489137</v>
          </cell>
        </row>
        <row r="263">
          <cell r="A263" t="str">
            <v>STATE  LOAD  DESPATCH  CENTRE  M.P.E.B.  JABALPUR</v>
          </cell>
        </row>
        <row r="264">
          <cell r="A264" t="str">
            <v>CHAMBAL COMPLEX</v>
          </cell>
        </row>
        <row r="265">
          <cell r="A265" t="str">
            <v>STATION NAME</v>
          </cell>
          <cell r="B265" t="str">
            <v>YEAR</v>
          </cell>
          <cell r="C265" t="str">
            <v>CAPACITY</v>
          </cell>
          <cell r="D265" t="str">
            <v>TARGET</v>
          </cell>
          <cell r="E265" t="str">
            <v>ACTUAL GENE.</v>
          </cell>
          <cell r="F265" t="str">
            <v>ACHIEVE-MENT</v>
          </cell>
          <cell r="G265" t="str">
            <v>AUXILIARY CONSUMPTION</v>
          </cell>
          <cell r="I265" t="str">
            <v>MAXIMUM DEMAND</v>
          </cell>
          <cell r="J265" t="str">
            <v>WATER INFLOW</v>
          </cell>
          <cell r="K265" t="str">
            <v>WATER CONSUMED</v>
          </cell>
          <cell r="L265" t="str">
            <v>WATER CONSUMED</v>
          </cell>
          <cell r="M265" t="str">
            <v>LEVEL AT THE END</v>
          </cell>
          <cell r="N265" t="str">
            <v>MAXIMUM LEVEL</v>
          </cell>
          <cell r="P265" t="str">
            <v>MINIMUM LEVEL</v>
          </cell>
        </row>
        <row r="266">
          <cell r="C266" t="str">
            <v>MW</v>
          </cell>
          <cell r="D266" t="str">
            <v>MKwh</v>
          </cell>
          <cell r="E266" t="str">
            <v>MKwh</v>
          </cell>
          <cell r="F266" t="str">
            <v>%</v>
          </cell>
          <cell r="G266" t="str">
            <v>MKwh</v>
          </cell>
          <cell r="H266" t="str">
            <v>%</v>
          </cell>
          <cell r="I266" t="str">
            <v>MW</v>
          </cell>
          <cell r="J266" t="str">
            <v>MAFT</v>
          </cell>
          <cell r="K266" t="str">
            <v>MCM</v>
          </cell>
          <cell r="L266" t="str">
            <v>MCM</v>
          </cell>
          <cell r="M266" t="str">
            <v>FT / M</v>
          </cell>
          <cell r="N266" t="str">
            <v>FT / M</v>
          </cell>
          <cell r="O266" t="str">
            <v>DATE</v>
          </cell>
          <cell r="P266" t="str">
            <v>FT / M</v>
          </cell>
          <cell r="Q266" t="str">
            <v>DATE</v>
          </cell>
        </row>
        <row r="267">
          <cell r="A267" t="str">
            <v>GANDHISAGAR</v>
          </cell>
          <cell r="B267" t="str">
            <v>88-89</v>
          </cell>
          <cell r="C267">
            <v>115</v>
          </cell>
          <cell r="D267">
            <v>415</v>
          </cell>
          <cell r="E267">
            <v>381</v>
          </cell>
          <cell r="F267">
            <v>91.807228915662648</v>
          </cell>
          <cell r="G267" t="str">
            <v xml:space="preserve"> </v>
          </cell>
          <cell r="H267">
            <v>0</v>
          </cell>
          <cell r="I267" t="str">
            <v xml:space="preserve"> </v>
          </cell>
          <cell r="J267" t="str">
            <v xml:space="preserve"> </v>
          </cell>
          <cell r="K267" t="str">
            <v xml:space="preserve"> </v>
          </cell>
          <cell r="L267" t="str">
            <v xml:space="preserve"> </v>
          </cell>
          <cell r="M267" t="str">
            <v xml:space="preserve"> </v>
          </cell>
          <cell r="N267" t="str">
            <v xml:space="preserve"> </v>
          </cell>
          <cell r="O267" t="str">
            <v xml:space="preserve"> </v>
          </cell>
          <cell r="P267" t="str">
            <v xml:space="preserve"> </v>
          </cell>
          <cell r="Q267" t="str">
            <v xml:space="preserve"> </v>
          </cell>
        </row>
        <row r="268">
          <cell r="B268" t="str">
            <v>89-90</v>
          </cell>
          <cell r="C268">
            <v>115</v>
          </cell>
          <cell r="D268">
            <v>415</v>
          </cell>
          <cell r="E268">
            <v>236.14</v>
          </cell>
          <cell r="F268">
            <v>56.901204819277112</v>
          </cell>
          <cell r="G268">
            <v>2</v>
          </cell>
          <cell r="H268">
            <v>0.84695519607012792</v>
          </cell>
          <cell r="I268">
            <v>106</v>
          </cell>
          <cell r="J268">
            <v>1.84</v>
          </cell>
          <cell r="K268">
            <v>2.2999999999999998</v>
          </cell>
          <cell r="L268">
            <v>2.2999999999999998</v>
          </cell>
          <cell r="M268">
            <v>1239.9000000000001</v>
          </cell>
          <cell r="N268">
            <v>1275.9000000000001</v>
          </cell>
          <cell r="O268" t="str">
            <v>26.09.89</v>
          </cell>
          <cell r="P268">
            <v>1240</v>
          </cell>
          <cell r="Q268" t="str">
            <v>31.03.90</v>
          </cell>
        </row>
        <row r="269">
          <cell r="B269" t="str">
            <v>90-91</v>
          </cell>
          <cell r="C269">
            <v>115</v>
          </cell>
          <cell r="D269">
            <v>370</v>
          </cell>
          <cell r="E269">
            <v>324.77999999999997</v>
          </cell>
          <cell r="F269">
            <v>87.778378378378363</v>
          </cell>
          <cell r="G269">
            <v>1</v>
          </cell>
          <cell r="H269">
            <v>0.30790073280374408</v>
          </cell>
          <cell r="I269">
            <v>116</v>
          </cell>
          <cell r="J269">
            <v>5.72</v>
          </cell>
          <cell r="K269">
            <v>2.36</v>
          </cell>
          <cell r="L269">
            <v>2.36</v>
          </cell>
          <cell r="M269">
            <v>1291.3900000000001</v>
          </cell>
          <cell r="N269">
            <v>1308.78</v>
          </cell>
          <cell r="O269" t="str">
            <v>21.10.90</v>
          </cell>
          <cell r="P269">
            <v>1234.92</v>
          </cell>
          <cell r="Q269" t="str">
            <v>27.06.90</v>
          </cell>
        </row>
        <row r="270">
          <cell r="B270" t="str">
            <v>91-92</v>
          </cell>
          <cell r="C270">
            <v>115</v>
          </cell>
          <cell r="D270">
            <v>370</v>
          </cell>
          <cell r="E270">
            <v>511.23</v>
          </cell>
          <cell r="F270">
            <v>138.17027027027027</v>
          </cell>
          <cell r="G270">
            <v>1</v>
          </cell>
          <cell r="H270">
            <v>0.19560667409972027</v>
          </cell>
          <cell r="I270">
            <v>110</v>
          </cell>
          <cell r="J270">
            <v>4.84</v>
          </cell>
          <cell r="K270">
            <v>2.68</v>
          </cell>
          <cell r="L270">
            <v>2.68</v>
          </cell>
          <cell r="M270">
            <v>1284.51</v>
          </cell>
          <cell r="N270">
            <v>1307.8499999999999</v>
          </cell>
          <cell r="O270" t="str">
            <v>05.09.91</v>
          </cell>
          <cell r="P270">
            <v>1280.07</v>
          </cell>
          <cell r="Q270" t="str">
            <v>21.07.91</v>
          </cell>
        </row>
        <row r="271">
          <cell r="B271" t="str">
            <v>92-93</v>
          </cell>
          <cell r="C271">
            <v>115</v>
          </cell>
          <cell r="D271">
            <v>400</v>
          </cell>
          <cell r="E271">
            <v>313.02</v>
          </cell>
          <cell r="F271">
            <v>78.254999999999995</v>
          </cell>
          <cell r="G271">
            <v>1</v>
          </cell>
          <cell r="H271">
            <v>0.31946840457478759</v>
          </cell>
          <cell r="I271">
            <v>109</v>
          </cell>
          <cell r="J271">
            <v>1.41</v>
          </cell>
          <cell r="K271">
            <v>2.74</v>
          </cell>
          <cell r="L271">
            <v>2.74</v>
          </cell>
          <cell r="M271">
            <v>1253.5</v>
          </cell>
          <cell r="N271">
            <v>1284.5</v>
          </cell>
          <cell r="O271" t="str">
            <v>17.10.92</v>
          </cell>
          <cell r="P271">
            <v>1272.3599999999999</v>
          </cell>
          <cell r="Q271" t="str">
            <v>26.07.92</v>
          </cell>
        </row>
        <row r="272">
          <cell r="B272" t="str">
            <v>93-94</v>
          </cell>
          <cell r="C272">
            <v>115</v>
          </cell>
          <cell r="D272">
            <v>500</v>
          </cell>
          <cell r="E272">
            <v>313.91899999999998</v>
          </cell>
          <cell r="F272">
            <v>62.783799999999992</v>
          </cell>
          <cell r="G272">
            <v>0.98</v>
          </cell>
          <cell r="H272">
            <v>0.31218244196751394</v>
          </cell>
          <cell r="I272">
            <v>110</v>
          </cell>
          <cell r="J272">
            <v>3.47</v>
          </cell>
          <cell r="K272">
            <v>2.6967169421487602</v>
          </cell>
          <cell r="L272">
            <v>2.6967169421487602</v>
          </cell>
          <cell r="M272">
            <v>1250.8900000000001</v>
          </cell>
          <cell r="N272">
            <v>1288.68</v>
          </cell>
          <cell r="O272" t="str">
            <v>06.10.93</v>
          </cell>
          <cell r="P272">
            <v>1248.72</v>
          </cell>
          <cell r="Q272" t="str">
            <v>19.06.93</v>
          </cell>
        </row>
        <row r="273">
          <cell r="B273" t="str">
            <v>94-95</v>
          </cell>
          <cell r="C273">
            <v>115</v>
          </cell>
          <cell r="D273">
            <v>415</v>
          </cell>
          <cell r="E273">
            <v>364.2</v>
          </cell>
          <cell r="F273">
            <v>87.759036144578317</v>
          </cell>
          <cell r="G273">
            <v>1</v>
          </cell>
          <cell r="H273">
            <v>0.27457440966501923</v>
          </cell>
          <cell r="I273">
            <v>116</v>
          </cell>
          <cell r="J273">
            <v>7.0490000000000004</v>
          </cell>
          <cell r="K273">
            <v>2.7308310376492195</v>
          </cell>
          <cell r="L273">
            <v>2.7308310376492195</v>
          </cell>
          <cell r="M273">
            <v>1295.7</v>
          </cell>
          <cell r="N273">
            <v>1311.25</v>
          </cell>
          <cell r="O273" t="str">
            <v>19.09.94</v>
          </cell>
          <cell r="P273">
            <v>1245.75</v>
          </cell>
          <cell r="Q273" t="str">
            <v>12.06.94</v>
          </cell>
        </row>
        <row r="274">
          <cell r="B274" t="str">
            <v>95-96</v>
          </cell>
          <cell r="C274">
            <v>115</v>
          </cell>
          <cell r="D274">
            <v>370</v>
          </cell>
          <cell r="E274">
            <v>572.9</v>
          </cell>
          <cell r="F274">
            <v>154.83783783783784</v>
          </cell>
          <cell r="G274">
            <v>1</v>
          </cell>
          <cell r="H274">
            <v>0.17455053237912377</v>
          </cell>
          <cell r="I274">
            <v>116</v>
          </cell>
          <cell r="J274">
            <v>4.3171999999999997</v>
          </cell>
          <cell r="K274">
            <v>4.3120504009163803</v>
          </cell>
          <cell r="L274">
            <v>4.3120504009163803</v>
          </cell>
          <cell r="M274">
            <v>1288.95</v>
          </cell>
          <cell r="N274">
            <v>1308.9100000000001</v>
          </cell>
          <cell r="O274" t="str">
            <v>09.09.95</v>
          </cell>
          <cell r="P274">
            <v>1282.1099999999999</v>
          </cell>
          <cell r="Q274" t="str">
            <v>17.07.95</v>
          </cell>
        </row>
        <row r="275">
          <cell r="B275" t="str">
            <v>96-97</v>
          </cell>
          <cell r="C275">
            <v>115</v>
          </cell>
          <cell r="D275">
            <v>400</v>
          </cell>
          <cell r="E275">
            <v>565.4</v>
          </cell>
          <cell r="F275">
            <v>141.35</v>
          </cell>
          <cell r="G275">
            <v>0.9</v>
          </cell>
          <cell r="H275">
            <v>0.1591793420587195</v>
          </cell>
          <cell r="I275">
            <v>111</v>
          </cell>
          <cell r="J275">
            <v>7.9</v>
          </cell>
          <cell r="K275">
            <v>4.3</v>
          </cell>
          <cell r="L275">
            <v>4.3</v>
          </cell>
          <cell r="M275">
            <v>1291.08</v>
          </cell>
          <cell r="N275">
            <v>1311.66</v>
          </cell>
          <cell r="O275" t="str">
            <v>17.09.96</v>
          </cell>
          <cell r="P275">
            <v>1277.9000000000001</v>
          </cell>
          <cell r="Q275" t="str">
            <v>21.07.96</v>
          </cell>
        </row>
        <row r="276">
          <cell r="B276" t="str">
            <v>97-98</v>
          </cell>
          <cell r="C276">
            <v>115</v>
          </cell>
          <cell r="D276">
            <v>400</v>
          </cell>
          <cell r="E276">
            <v>430.78</v>
          </cell>
          <cell r="F276">
            <v>107.69499999999999</v>
          </cell>
          <cell r="G276">
            <v>0.92900000000000005</v>
          </cell>
          <cell r="H276">
            <v>0.21565532290264175</v>
          </cell>
          <cell r="I276">
            <v>115</v>
          </cell>
          <cell r="J276">
            <v>4.5</v>
          </cell>
          <cell r="K276">
            <v>3.26</v>
          </cell>
          <cell r="M276">
            <v>1295.8</v>
          </cell>
          <cell r="N276">
            <v>1308.46</v>
          </cell>
          <cell r="O276" t="str">
            <v>08.10.97</v>
          </cell>
          <cell r="P276">
            <v>1279.8800000000001</v>
          </cell>
          <cell r="Q276" t="str">
            <v>05.07.97</v>
          </cell>
        </row>
        <row r="277">
          <cell r="B277" t="str">
            <v>98-99</v>
          </cell>
          <cell r="C277">
            <v>115</v>
          </cell>
          <cell r="D277">
            <v>450</v>
          </cell>
          <cell r="E277">
            <v>539.29999999999995</v>
          </cell>
          <cell r="F277">
            <v>119.84444444444443</v>
          </cell>
          <cell r="G277">
            <v>0.9</v>
          </cell>
          <cell r="H277">
            <v>0.16688299647691454</v>
          </cell>
          <cell r="I277">
            <v>115</v>
          </cell>
          <cell r="J277">
            <v>2.7</v>
          </cell>
          <cell r="K277">
            <v>4.4000000000000004</v>
          </cell>
          <cell r="M277">
            <v>1272.98</v>
          </cell>
          <cell r="N277">
            <v>1300.0899999999999</v>
          </cell>
          <cell r="O277" t="str">
            <v>03.10.98</v>
          </cell>
          <cell r="P277">
            <v>1273.28</v>
          </cell>
          <cell r="Q277" t="str">
            <v>30.03.99</v>
          </cell>
        </row>
        <row r="278">
          <cell r="B278" t="str">
            <v>99-00</v>
          </cell>
          <cell r="C278">
            <v>115</v>
          </cell>
          <cell r="D278">
            <v>450</v>
          </cell>
          <cell r="E278">
            <v>344.6</v>
          </cell>
          <cell r="F278">
            <v>76.599999999999994</v>
          </cell>
          <cell r="G278">
            <v>0.8</v>
          </cell>
          <cell r="H278">
            <v>0.23215322112594311</v>
          </cell>
          <cell r="I278">
            <v>110</v>
          </cell>
          <cell r="J278">
            <v>3.9569999999999999</v>
          </cell>
          <cell r="K278">
            <v>3.6440000000000001</v>
          </cell>
          <cell r="M278">
            <v>1265.2</v>
          </cell>
          <cell r="N278">
            <v>1291.43</v>
          </cell>
          <cell r="O278" t="str">
            <v xml:space="preserve"> </v>
          </cell>
          <cell r="P278">
            <v>1263.98</v>
          </cell>
        </row>
        <row r="279">
          <cell r="B279" t="str">
            <v>00-01</v>
          </cell>
          <cell r="C279">
            <v>115</v>
          </cell>
          <cell r="D279">
            <v>425</v>
          </cell>
          <cell r="E279">
            <v>104.2</v>
          </cell>
          <cell r="F279">
            <v>24.52</v>
          </cell>
          <cell r="G279">
            <v>0.94</v>
          </cell>
          <cell r="H279">
            <v>0.90211132437619956</v>
          </cell>
          <cell r="I279">
            <v>100</v>
          </cell>
          <cell r="J279">
            <v>0.76</v>
          </cell>
          <cell r="K279">
            <v>1.06</v>
          </cell>
          <cell r="M279">
            <v>1248.69</v>
          </cell>
        </row>
        <row r="280">
          <cell r="A280" t="str">
            <v>Average last 5 years</v>
          </cell>
          <cell r="D280">
            <v>414</v>
          </cell>
          <cell r="E280">
            <v>490.596</v>
          </cell>
          <cell r="F280">
            <v>120.06545645645645</v>
          </cell>
          <cell r="G280">
            <v>0.90579999999999994</v>
          </cell>
          <cell r="H280">
            <v>0.18968428298866855</v>
          </cell>
          <cell r="I280">
            <v>113.4</v>
          </cell>
          <cell r="J280">
            <v>4.6748399999999997</v>
          </cell>
          <cell r="K280">
            <v>4.1952100801832763</v>
          </cell>
          <cell r="L280">
            <v>1.7224100801832762</v>
          </cell>
          <cell r="M280">
            <v>1282.8019999999999</v>
          </cell>
          <cell r="N280">
            <v>1308.0740000000001</v>
          </cell>
          <cell r="O280">
            <v>0</v>
          </cell>
          <cell r="P280">
            <v>1271.7839999999999</v>
          </cell>
          <cell r="Q280">
            <v>0</v>
          </cell>
        </row>
        <row r="281">
          <cell r="A281" t="str">
            <v>R.P.SAGAR</v>
          </cell>
          <cell r="B281" t="str">
            <v>88-89</v>
          </cell>
          <cell r="C281">
            <v>172</v>
          </cell>
          <cell r="D281">
            <v>500</v>
          </cell>
          <cell r="E281">
            <v>435</v>
          </cell>
          <cell r="F281">
            <v>87</v>
          </cell>
          <cell r="G281" t="str">
            <v xml:space="preserve"> </v>
          </cell>
          <cell r="H281">
            <v>0</v>
          </cell>
          <cell r="I281" t="str">
            <v xml:space="preserve"> </v>
          </cell>
          <cell r="J281" t="str">
            <v xml:space="preserve"> </v>
          </cell>
          <cell r="K281" t="str">
            <v xml:space="preserve"> </v>
          </cell>
          <cell r="L281" t="str">
            <v xml:space="preserve"> </v>
          </cell>
          <cell r="M281" t="str">
            <v xml:space="preserve"> </v>
          </cell>
          <cell r="N281" t="str">
            <v xml:space="preserve"> </v>
          </cell>
          <cell r="O281" t="str">
            <v xml:space="preserve"> </v>
          </cell>
          <cell r="P281" t="str">
            <v xml:space="preserve"> </v>
          </cell>
          <cell r="Q281" t="str">
            <v xml:space="preserve"> </v>
          </cell>
        </row>
        <row r="282">
          <cell r="B282" t="str">
            <v>89-90</v>
          </cell>
          <cell r="C282">
            <v>172</v>
          </cell>
          <cell r="D282">
            <v>500</v>
          </cell>
          <cell r="E282">
            <v>374</v>
          </cell>
          <cell r="F282">
            <v>74.8</v>
          </cell>
          <cell r="G282">
            <v>5</v>
          </cell>
          <cell r="H282">
            <v>1.42</v>
          </cell>
          <cell r="I282">
            <v>172</v>
          </cell>
          <cell r="K282">
            <v>2.2799999999999998</v>
          </cell>
          <cell r="L282">
            <v>2.2799999999999998</v>
          </cell>
          <cell r="M282">
            <v>1126.9000000000001</v>
          </cell>
          <cell r="N282">
            <v>1145.7</v>
          </cell>
          <cell r="O282" t="str">
            <v>07.08.89</v>
          </cell>
          <cell r="P282">
            <v>1126.9000000000001</v>
          </cell>
          <cell r="Q282" t="str">
            <v>31.03.90</v>
          </cell>
        </row>
        <row r="283">
          <cell r="B283" t="str">
            <v>90-91</v>
          </cell>
          <cell r="C283">
            <v>172</v>
          </cell>
          <cell r="D283">
            <v>440</v>
          </cell>
          <cell r="E283">
            <v>330.9</v>
          </cell>
          <cell r="F283">
            <v>75.209999999999994</v>
          </cell>
          <cell r="G283">
            <v>1.5</v>
          </cell>
          <cell r="H283">
            <v>0.45330915684496831</v>
          </cell>
          <cell r="I283">
            <v>172</v>
          </cell>
          <cell r="K283">
            <v>2.2400000000000002</v>
          </cell>
          <cell r="L283">
            <v>2.2400000000000002</v>
          </cell>
          <cell r="M283">
            <v>1136.33</v>
          </cell>
          <cell r="N283">
            <v>1143.5</v>
          </cell>
          <cell r="O283" t="str">
            <v>10.10.90</v>
          </cell>
          <cell r="P283">
            <v>1126.0999999999999</v>
          </cell>
          <cell r="Q283" t="str">
            <v>26.05.90</v>
          </cell>
        </row>
        <row r="284">
          <cell r="B284" t="str">
            <v>91-92</v>
          </cell>
          <cell r="C284">
            <v>172</v>
          </cell>
          <cell r="D284">
            <v>440</v>
          </cell>
          <cell r="E284">
            <v>630.09</v>
          </cell>
          <cell r="F284">
            <v>143.19999999999999</v>
          </cell>
          <cell r="G284">
            <v>4.3</v>
          </cell>
          <cell r="H284">
            <v>0.68244219079813995</v>
          </cell>
          <cell r="I284">
            <v>180</v>
          </cell>
          <cell r="K284">
            <v>4.18</v>
          </cell>
          <cell r="L284">
            <v>4.18</v>
          </cell>
          <cell r="M284">
            <v>1141.1099999999999</v>
          </cell>
          <cell r="N284">
            <v>1156.2</v>
          </cell>
          <cell r="O284" t="str">
            <v>01.09.91</v>
          </cell>
          <cell r="P284">
            <v>1136.3</v>
          </cell>
          <cell r="Q284" t="str">
            <v>01.04.91</v>
          </cell>
        </row>
        <row r="285">
          <cell r="B285" t="str">
            <v>92-93</v>
          </cell>
          <cell r="C285">
            <v>172</v>
          </cell>
          <cell r="D285">
            <v>450</v>
          </cell>
          <cell r="E285">
            <v>535.69000000000005</v>
          </cell>
          <cell r="F285">
            <v>119.04222222222224</v>
          </cell>
          <cell r="G285">
            <v>4.0999999999999996</v>
          </cell>
          <cell r="H285">
            <v>0.76536803001736065</v>
          </cell>
          <cell r="I285">
            <v>172</v>
          </cell>
          <cell r="K285">
            <v>3.41</v>
          </cell>
          <cell r="L285">
            <v>3.41</v>
          </cell>
          <cell r="M285">
            <v>1130.4000000000001</v>
          </cell>
          <cell r="N285">
            <v>1154.0999999999999</v>
          </cell>
          <cell r="O285" t="str">
            <v>28.05.92</v>
          </cell>
          <cell r="P285">
            <v>1130.2</v>
          </cell>
          <cell r="Q285" t="str">
            <v>31.03.92</v>
          </cell>
        </row>
        <row r="286">
          <cell r="B286" t="str">
            <v>93-94</v>
          </cell>
          <cell r="C286">
            <v>172</v>
          </cell>
          <cell r="D286">
            <v>615</v>
          </cell>
          <cell r="E286">
            <v>395.6628</v>
          </cell>
          <cell r="F286">
            <v>64.335414634146346</v>
          </cell>
          <cell r="G286">
            <v>8.6999999999999993</v>
          </cell>
          <cell r="H286">
            <v>2.1988420442861951</v>
          </cell>
          <cell r="I286">
            <v>172</v>
          </cell>
          <cell r="K286">
            <v>3.2350257116620753</v>
          </cell>
          <cell r="L286">
            <v>3.2350257116620753</v>
          </cell>
          <cell r="M286">
            <v>1127.81</v>
          </cell>
          <cell r="N286">
            <v>1135.75</v>
          </cell>
          <cell r="O286" t="str">
            <v>09.08.93</v>
          </cell>
          <cell r="P286">
            <v>1127.6300000000001</v>
          </cell>
          <cell r="Q286" t="str">
            <v>31.03.94</v>
          </cell>
        </row>
        <row r="287">
          <cell r="B287" t="str">
            <v>94-95</v>
          </cell>
          <cell r="C287">
            <v>172</v>
          </cell>
          <cell r="D287">
            <v>470</v>
          </cell>
          <cell r="E287">
            <v>595.9</v>
          </cell>
          <cell r="F287">
            <v>126.78723404255319</v>
          </cell>
          <cell r="G287">
            <v>7.9</v>
          </cell>
          <cell r="H287">
            <v>1.3257257929182749</v>
          </cell>
          <cell r="I287">
            <v>172</v>
          </cell>
          <cell r="M287">
            <v>1125.7</v>
          </cell>
          <cell r="N287">
            <v>1153.6099999999999</v>
          </cell>
          <cell r="O287" t="str">
            <v>19.09.94</v>
          </cell>
          <cell r="P287">
            <v>1124.9000000000001</v>
          </cell>
          <cell r="Q287" t="str">
            <v>25.03.95</v>
          </cell>
        </row>
        <row r="288">
          <cell r="B288" t="str">
            <v>95-96</v>
          </cell>
          <cell r="C288">
            <v>172</v>
          </cell>
          <cell r="D288">
            <v>390</v>
          </cell>
          <cell r="E288">
            <v>625.20000000000005</v>
          </cell>
          <cell r="F288">
            <v>160.30769230769232</v>
          </cell>
          <cell r="G288">
            <v>8.3000000000000007</v>
          </cell>
          <cell r="H288">
            <v>1.327575175943698</v>
          </cell>
          <cell r="I288">
            <v>180</v>
          </cell>
          <cell r="K288">
            <v>4.0110422405876953</v>
          </cell>
          <cell r="L288">
            <v>4.0110422405876953</v>
          </cell>
          <cell r="M288">
            <v>1131.05</v>
          </cell>
          <cell r="N288">
            <v>1155.0899999999999</v>
          </cell>
          <cell r="O288" t="str">
            <v>14.09.95</v>
          </cell>
          <cell r="P288">
            <v>1125.55</v>
          </cell>
          <cell r="Q288" t="str">
            <v>03.04.95</v>
          </cell>
        </row>
        <row r="289">
          <cell r="B289" t="str">
            <v>96-97</v>
          </cell>
          <cell r="C289">
            <v>172</v>
          </cell>
          <cell r="D289">
            <v>460</v>
          </cell>
          <cell r="E289">
            <v>692.7</v>
          </cell>
          <cell r="F289">
            <v>150.58695652173913</v>
          </cell>
          <cell r="G289">
            <v>5.5</v>
          </cell>
          <cell r="H289">
            <v>0.79399451421971989</v>
          </cell>
          <cell r="I289">
            <v>172</v>
          </cell>
          <cell r="K289">
            <v>4.5</v>
          </cell>
          <cell r="L289">
            <v>4.5</v>
          </cell>
          <cell r="M289">
            <v>1145</v>
          </cell>
          <cell r="N289">
            <v>1157.3800000000001</v>
          </cell>
          <cell r="O289" t="str">
            <v>16.09.96</v>
          </cell>
          <cell r="P289">
            <v>1130.44</v>
          </cell>
          <cell r="Q289" t="str">
            <v>17.05.96</v>
          </cell>
        </row>
        <row r="290">
          <cell r="B290" t="str">
            <v>97-98</v>
          </cell>
          <cell r="C290">
            <v>172</v>
          </cell>
          <cell r="D290">
            <v>460</v>
          </cell>
          <cell r="E290">
            <v>549.24</v>
          </cell>
          <cell r="F290">
            <v>119.4</v>
          </cell>
          <cell r="G290">
            <v>5.84</v>
          </cell>
          <cell r="H290">
            <v>1.0632874517515112</v>
          </cell>
          <cell r="I290">
            <v>172</v>
          </cell>
          <cell r="K290">
            <v>3.74</v>
          </cell>
          <cell r="M290">
            <v>1137.04</v>
          </cell>
          <cell r="N290">
            <v>1152.71</v>
          </cell>
          <cell r="O290" t="str">
            <v>25.05.97</v>
          </cell>
          <cell r="P290">
            <v>1136.72</v>
          </cell>
          <cell r="Q290" t="str">
            <v>20.03.98</v>
          </cell>
        </row>
        <row r="291">
          <cell r="B291" t="str">
            <v>98-99</v>
          </cell>
          <cell r="C291">
            <v>172</v>
          </cell>
          <cell r="D291">
            <v>520</v>
          </cell>
          <cell r="E291">
            <v>554.29999999999995</v>
          </cell>
          <cell r="F291">
            <v>106.59615384615383</v>
          </cell>
          <cell r="G291">
            <v>7.1</v>
          </cell>
          <cell r="H291">
            <v>1.2808948222983945</v>
          </cell>
          <cell r="I291">
            <v>172</v>
          </cell>
          <cell r="J291">
            <v>0</v>
          </cell>
          <cell r="K291">
            <v>4</v>
          </cell>
          <cell r="M291">
            <v>1139.9100000000001</v>
          </cell>
          <cell r="N291">
            <v>1140.98</v>
          </cell>
          <cell r="O291" t="str">
            <v>28.04.98</v>
          </cell>
          <cell r="P291">
            <v>1133.1500000000001</v>
          </cell>
          <cell r="Q291" t="str">
            <v>28.06.98</v>
          </cell>
        </row>
        <row r="292">
          <cell r="B292" t="str">
            <v>99-00</v>
          </cell>
          <cell r="C292">
            <v>172</v>
          </cell>
          <cell r="D292">
            <v>520</v>
          </cell>
          <cell r="E292">
            <v>479.5</v>
          </cell>
          <cell r="F292">
            <v>92.2</v>
          </cell>
          <cell r="G292">
            <v>6.8</v>
          </cell>
          <cell r="H292">
            <v>1.4181438998957248</v>
          </cell>
          <cell r="I292">
            <v>172</v>
          </cell>
          <cell r="K292" t="str">
            <v xml:space="preserve"> </v>
          </cell>
          <cell r="M292">
            <v>1134.51</v>
          </cell>
          <cell r="N292">
            <v>1143.3399999999999</v>
          </cell>
          <cell r="P292">
            <v>1131.68</v>
          </cell>
        </row>
        <row r="293">
          <cell r="B293" t="str">
            <v>00-01</v>
          </cell>
          <cell r="C293">
            <v>172</v>
          </cell>
          <cell r="D293">
            <v>475</v>
          </cell>
          <cell r="E293">
            <v>182.92</v>
          </cell>
          <cell r="F293">
            <v>38.51</v>
          </cell>
          <cell r="G293">
            <v>4.72</v>
          </cell>
          <cell r="H293">
            <v>2.580363000218675</v>
          </cell>
          <cell r="I293">
            <v>172</v>
          </cell>
          <cell r="M293">
            <v>1130.69</v>
          </cell>
        </row>
        <row r="294">
          <cell r="A294" t="str">
            <v>Average last 5 years</v>
          </cell>
          <cell r="D294">
            <v>470</v>
          </cell>
          <cell r="E294">
            <v>580.18799999999999</v>
          </cell>
          <cell r="F294">
            <v>125.81816053511707</v>
          </cell>
          <cell r="G294">
            <v>6.7080000000000002</v>
          </cell>
          <cell r="H294">
            <v>1.1767791728218095</v>
          </cell>
          <cell r="I294">
            <v>173.6</v>
          </cell>
          <cell r="J294">
            <v>0</v>
          </cell>
          <cell r="K294">
            <v>3.2502084481175388</v>
          </cell>
          <cell r="L294">
            <v>1.702208448117539</v>
          </cell>
          <cell r="M294">
            <v>1137.502</v>
          </cell>
          <cell r="N294">
            <v>1151.9540000000002</v>
          </cell>
          <cell r="O294">
            <v>0</v>
          </cell>
          <cell r="P294">
            <v>1130.152</v>
          </cell>
          <cell r="Q294">
            <v>0</v>
          </cell>
        </row>
        <row r="295">
          <cell r="A295" t="str">
            <v>J.SAGAR</v>
          </cell>
          <cell r="B295" t="str">
            <v>88-89</v>
          </cell>
          <cell r="C295">
            <v>99</v>
          </cell>
          <cell r="D295">
            <v>385</v>
          </cell>
          <cell r="E295">
            <v>339</v>
          </cell>
          <cell r="F295">
            <v>88.051948051948045</v>
          </cell>
          <cell r="G295" t="str">
            <v xml:space="preserve"> </v>
          </cell>
          <cell r="H295">
            <v>0</v>
          </cell>
          <cell r="I295" t="str">
            <v xml:space="preserve"> </v>
          </cell>
          <cell r="J295" t="str">
            <v xml:space="preserve"> </v>
          </cell>
          <cell r="K295" t="str">
            <v xml:space="preserve"> </v>
          </cell>
          <cell r="L295" t="str">
            <v xml:space="preserve"> </v>
          </cell>
          <cell r="M295" t="str">
            <v xml:space="preserve"> </v>
          </cell>
          <cell r="N295" t="str">
            <v xml:space="preserve"> </v>
          </cell>
          <cell r="O295" t="str">
            <v xml:space="preserve"> </v>
          </cell>
          <cell r="P295" t="str">
            <v xml:space="preserve"> </v>
          </cell>
          <cell r="Q295" t="str">
            <v xml:space="preserve"> </v>
          </cell>
        </row>
        <row r="296">
          <cell r="B296" t="str">
            <v>89-90</v>
          </cell>
          <cell r="C296">
            <v>99</v>
          </cell>
          <cell r="D296">
            <v>385</v>
          </cell>
          <cell r="E296">
            <v>296.37</v>
          </cell>
          <cell r="F296">
            <v>76.98</v>
          </cell>
          <cell r="G296">
            <v>5</v>
          </cell>
          <cell r="H296">
            <v>1.77</v>
          </cell>
          <cell r="I296">
            <v>99</v>
          </cell>
          <cell r="J296" t="str">
            <v xml:space="preserve">    </v>
          </cell>
          <cell r="K296">
            <v>3.05</v>
          </cell>
          <cell r="L296">
            <v>3.05</v>
          </cell>
          <cell r="M296">
            <v>968.2</v>
          </cell>
          <cell r="N296">
            <v>979.9</v>
          </cell>
          <cell r="O296" t="str">
            <v>06.01.90</v>
          </cell>
          <cell r="P296">
            <v>968.1</v>
          </cell>
          <cell r="Q296" t="str">
            <v>31.03.90</v>
          </cell>
        </row>
        <row r="297">
          <cell r="B297" t="str">
            <v>90-91</v>
          </cell>
          <cell r="C297">
            <v>99</v>
          </cell>
          <cell r="D297">
            <v>340</v>
          </cell>
          <cell r="E297">
            <v>261.92</v>
          </cell>
          <cell r="F297">
            <v>77.040000000000006</v>
          </cell>
          <cell r="G297">
            <v>2.5</v>
          </cell>
          <cell r="H297">
            <v>0.95448992058643856</v>
          </cell>
          <cell r="I297">
            <v>99</v>
          </cell>
          <cell r="K297">
            <v>2.68</v>
          </cell>
          <cell r="L297">
            <v>2.68</v>
          </cell>
          <cell r="M297">
            <v>972.9</v>
          </cell>
          <cell r="N297">
            <v>978.9</v>
          </cell>
          <cell r="O297" t="str">
            <v>26.07.90</v>
          </cell>
          <cell r="P297">
            <v>953.5</v>
          </cell>
          <cell r="Q297" t="str">
            <v>28.06.90</v>
          </cell>
        </row>
        <row r="298">
          <cell r="B298" t="str">
            <v>91-92</v>
          </cell>
          <cell r="C298">
            <v>99</v>
          </cell>
          <cell r="D298">
            <v>340</v>
          </cell>
          <cell r="E298">
            <v>421.01</v>
          </cell>
          <cell r="F298">
            <v>123.83</v>
          </cell>
          <cell r="G298">
            <v>3.3</v>
          </cell>
          <cell r="H298">
            <v>0.78382936272297576</v>
          </cell>
          <cell r="I298">
            <v>100</v>
          </cell>
          <cell r="K298">
            <v>4.42</v>
          </cell>
          <cell r="L298">
            <v>4.42</v>
          </cell>
          <cell r="M298">
            <v>975.9</v>
          </cell>
          <cell r="N298">
            <v>979.6</v>
          </cell>
          <cell r="O298" t="str">
            <v>02.06.91</v>
          </cell>
          <cell r="P298">
            <v>970</v>
          </cell>
          <cell r="Q298" t="str">
            <v>22.07.91</v>
          </cell>
        </row>
        <row r="299">
          <cell r="B299" t="str">
            <v>92-93</v>
          </cell>
          <cell r="C299">
            <v>99</v>
          </cell>
          <cell r="D299">
            <v>300</v>
          </cell>
          <cell r="E299">
            <v>390.68</v>
          </cell>
          <cell r="F299">
            <v>130.22666666666666</v>
          </cell>
          <cell r="G299">
            <v>3.3</v>
          </cell>
          <cell r="H299">
            <v>0.8446810689054981</v>
          </cell>
          <cell r="I299">
            <v>100</v>
          </cell>
          <cell r="K299">
            <v>3.59</v>
          </cell>
          <cell r="L299">
            <v>3.59</v>
          </cell>
          <cell r="M299">
            <v>975.5</v>
          </cell>
          <cell r="N299">
            <v>979.4</v>
          </cell>
          <cell r="O299" t="str">
            <v>19.06.92</v>
          </cell>
          <cell r="P299">
            <v>970</v>
          </cell>
          <cell r="Q299" t="str">
            <v>06.12.92</v>
          </cell>
        </row>
        <row r="300">
          <cell r="B300" t="str">
            <v>93-94</v>
          </cell>
          <cell r="C300">
            <v>99</v>
          </cell>
          <cell r="D300">
            <v>385</v>
          </cell>
          <cell r="E300">
            <v>322.71699999999998</v>
          </cell>
          <cell r="F300">
            <v>83.822597402597395</v>
          </cell>
          <cell r="G300">
            <v>5.0999999999999996</v>
          </cell>
          <cell r="H300">
            <v>1.5803319936662772</v>
          </cell>
          <cell r="I300">
            <v>99</v>
          </cell>
          <cell r="K300">
            <v>3.58</v>
          </cell>
          <cell r="L300">
            <v>3.58</v>
          </cell>
          <cell r="M300">
            <v>971.5</v>
          </cell>
          <cell r="N300">
            <v>979.5</v>
          </cell>
          <cell r="O300" t="str">
            <v>06.03.93</v>
          </cell>
          <cell r="P300">
            <v>970</v>
          </cell>
          <cell r="Q300" t="str">
            <v>13.08.93</v>
          </cell>
        </row>
        <row r="301">
          <cell r="B301" t="str">
            <v>94-95</v>
          </cell>
          <cell r="C301">
            <v>99</v>
          </cell>
          <cell r="D301">
            <v>315</v>
          </cell>
          <cell r="E301">
            <v>444.5</v>
          </cell>
          <cell r="F301">
            <v>141.11111111111111</v>
          </cell>
          <cell r="G301">
            <v>3.3</v>
          </cell>
          <cell r="H301">
            <v>0.74240719910011244</v>
          </cell>
          <cell r="I301">
            <v>99</v>
          </cell>
          <cell r="M301">
            <v>971.7</v>
          </cell>
          <cell r="N301">
            <v>979.9</v>
          </cell>
          <cell r="O301" t="str">
            <v>27.03.95</v>
          </cell>
          <cell r="P301">
            <v>970.4</v>
          </cell>
          <cell r="Q301" t="str">
            <v>12.06.94</v>
          </cell>
        </row>
        <row r="302">
          <cell r="B302" t="str">
            <v>95-96</v>
          </cell>
          <cell r="C302">
            <v>99</v>
          </cell>
          <cell r="D302">
            <v>300</v>
          </cell>
          <cell r="E302">
            <v>444.2</v>
          </cell>
          <cell r="F302">
            <v>148.06666666666666</v>
          </cell>
          <cell r="G302">
            <v>4.9000000000000004</v>
          </cell>
          <cell r="H302">
            <v>1.1031067086897794</v>
          </cell>
          <cell r="I302">
            <v>99</v>
          </cell>
          <cell r="K302">
            <v>4.5587695133149682</v>
          </cell>
          <cell r="L302">
            <v>4.5587695133149682</v>
          </cell>
          <cell r="M302">
            <v>970.5</v>
          </cell>
          <cell r="N302">
            <v>978.8</v>
          </cell>
          <cell r="O302" t="str">
            <v>28.07.95</v>
          </cell>
          <cell r="P302">
            <v>970.7</v>
          </cell>
          <cell r="Q302" t="str">
            <v>31.03.96</v>
          </cell>
        </row>
        <row r="303">
          <cell r="B303" t="str">
            <v>96-97</v>
          </cell>
          <cell r="C303">
            <v>99</v>
          </cell>
          <cell r="D303">
            <v>300</v>
          </cell>
          <cell r="E303">
            <v>481.4</v>
          </cell>
          <cell r="F303">
            <v>160.46666666666667</v>
          </cell>
          <cell r="G303">
            <v>4.0999999999999996</v>
          </cell>
          <cell r="H303">
            <v>0.85168259243872035</v>
          </cell>
          <cell r="I303">
            <v>99</v>
          </cell>
          <cell r="K303">
            <v>4.9000000000000004</v>
          </cell>
          <cell r="L303">
            <v>4.9000000000000004</v>
          </cell>
          <cell r="M303">
            <v>971.1</v>
          </cell>
          <cell r="N303">
            <v>979.6</v>
          </cell>
          <cell r="O303" t="str">
            <v>18.09.96</v>
          </cell>
          <cell r="P303">
            <v>970.5</v>
          </cell>
          <cell r="Q303" t="str">
            <v>01.04.96</v>
          </cell>
        </row>
        <row r="304">
          <cell r="B304" t="str">
            <v>97-98</v>
          </cell>
          <cell r="C304">
            <v>99</v>
          </cell>
          <cell r="D304">
            <v>300</v>
          </cell>
          <cell r="E304">
            <v>382.55</v>
          </cell>
          <cell r="F304">
            <v>127.51666666666667</v>
          </cell>
          <cell r="G304">
            <v>4.8120000000000003</v>
          </cell>
          <cell r="H304">
            <v>1.2578747876094629</v>
          </cell>
          <cell r="I304">
            <v>99</v>
          </cell>
          <cell r="K304">
            <v>4.01</v>
          </cell>
          <cell r="M304">
            <v>973.5</v>
          </cell>
          <cell r="N304">
            <v>978</v>
          </cell>
          <cell r="O304" t="str">
            <v>03.04.97</v>
          </cell>
          <cell r="P304">
            <v>970</v>
          </cell>
          <cell r="Q304" t="str">
            <v>17.12.97</v>
          </cell>
        </row>
        <row r="305">
          <cell r="B305" t="str">
            <v>98-99</v>
          </cell>
          <cell r="C305">
            <v>99</v>
          </cell>
          <cell r="D305">
            <v>330</v>
          </cell>
          <cell r="E305">
            <v>392.8</v>
          </cell>
          <cell r="F305">
            <v>119.03030303030303</v>
          </cell>
          <cell r="G305">
            <v>5.2</v>
          </cell>
          <cell r="H305">
            <v>1.3238289205702647</v>
          </cell>
          <cell r="I305">
            <v>99</v>
          </cell>
          <cell r="J305">
            <v>0</v>
          </cell>
          <cell r="K305">
            <v>3.9</v>
          </cell>
          <cell r="M305">
            <v>978.8</v>
          </cell>
          <cell r="N305">
            <v>979.4</v>
          </cell>
          <cell r="O305" t="str">
            <v>22.05.98</v>
          </cell>
          <cell r="P305">
            <v>970.2</v>
          </cell>
          <cell r="Q305" t="str">
            <v>29.08.98</v>
          </cell>
        </row>
        <row r="306">
          <cell r="B306" t="str">
            <v>99-00</v>
          </cell>
          <cell r="C306">
            <v>99</v>
          </cell>
          <cell r="D306">
            <v>330</v>
          </cell>
          <cell r="E306">
            <v>361.4</v>
          </cell>
          <cell r="F306">
            <v>109.5</v>
          </cell>
          <cell r="G306">
            <v>4.4000000000000004</v>
          </cell>
          <cell r="H306">
            <v>1.2</v>
          </cell>
          <cell r="I306">
            <v>99</v>
          </cell>
          <cell r="K306" t="str">
            <v xml:space="preserve"> </v>
          </cell>
          <cell r="M306">
            <v>979.2</v>
          </cell>
          <cell r="N306">
            <v>979.99</v>
          </cell>
          <cell r="O306" t="str">
            <v xml:space="preserve"> </v>
          </cell>
          <cell r="P306">
            <v>972.4</v>
          </cell>
        </row>
        <row r="307">
          <cell r="B307" t="str">
            <v>00-01</v>
          </cell>
          <cell r="C307">
            <v>99</v>
          </cell>
          <cell r="D307">
            <v>300</v>
          </cell>
          <cell r="E307">
            <v>140.33000000000001</v>
          </cell>
          <cell r="F307">
            <v>46.78</v>
          </cell>
          <cell r="G307">
            <v>3.01</v>
          </cell>
          <cell r="H307">
            <v>2.14</v>
          </cell>
          <cell r="I307">
            <v>99</v>
          </cell>
          <cell r="M307">
            <v>976.7</v>
          </cell>
        </row>
        <row r="308">
          <cell r="A308" t="str">
            <v>Average last 5 years</v>
          </cell>
          <cell r="D308">
            <v>312</v>
          </cell>
          <cell r="E308">
            <v>412.46999999999997</v>
          </cell>
          <cell r="F308">
            <v>132.9160606060606</v>
          </cell>
          <cell r="G308">
            <v>4.6823999999999995</v>
          </cell>
          <cell r="H308">
            <v>1.1472986018616456</v>
          </cell>
          <cell r="I308">
            <v>99</v>
          </cell>
          <cell r="J308">
            <v>0</v>
          </cell>
          <cell r="K308">
            <v>3.473753902662994</v>
          </cell>
          <cell r="L308">
            <v>1.8917539026629939</v>
          </cell>
          <cell r="M308">
            <v>974.61999999999989</v>
          </cell>
          <cell r="N308">
            <v>979.14</v>
          </cell>
          <cell r="O308">
            <v>0</v>
          </cell>
          <cell r="P308">
            <v>970.36</v>
          </cell>
          <cell r="Q308">
            <v>0</v>
          </cell>
        </row>
        <row r="309">
          <cell r="A309" t="str">
            <v>STATE  LOAD  DESPATCH  CENTRE  M.P.E.B.  JABALPUR</v>
          </cell>
        </row>
        <row r="310">
          <cell r="A310" t="str">
            <v>CHAMBAL COMPLEX</v>
          </cell>
        </row>
        <row r="311">
          <cell r="A311" t="str">
            <v>STATION NAME</v>
          </cell>
          <cell r="B311" t="str">
            <v>YEAR</v>
          </cell>
          <cell r="C311" t="str">
            <v>CAPACITY</v>
          </cell>
          <cell r="D311" t="str">
            <v>TARGET</v>
          </cell>
          <cell r="E311" t="str">
            <v>ACTUAL GENE.</v>
          </cell>
          <cell r="F311" t="str">
            <v>ACHIEVE-MENT</v>
          </cell>
          <cell r="G311" t="str">
            <v>AUXILIARY CONSUMPTION</v>
          </cell>
          <cell r="I311" t="str">
            <v>MAXIMUM DEMAND</v>
          </cell>
          <cell r="J311" t="str">
            <v>WATER INFLOW</v>
          </cell>
          <cell r="K311" t="str">
            <v>WATER CONSUMED</v>
          </cell>
          <cell r="L311" t="str">
            <v>WATER CONSUMED</v>
          </cell>
          <cell r="M311" t="str">
            <v>LEVEL AT THE END</v>
          </cell>
          <cell r="N311" t="str">
            <v>MAXIMUM LEVEL</v>
          </cell>
          <cell r="P311" t="str">
            <v>MINIMUM LEVEL</v>
          </cell>
        </row>
        <row r="312">
          <cell r="C312" t="str">
            <v>MW</v>
          </cell>
          <cell r="D312" t="str">
            <v>MKwh</v>
          </cell>
          <cell r="E312" t="str">
            <v>MKwh</v>
          </cell>
          <cell r="F312" t="str">
            <v>%</v>
          </cell>
          <cell r="G312" t="str">
            <v>MKwh</v>
          </cell>
          <cell r="H312" t="str">
            <v>%</v>
          </cell>
          <cell r="I312" t="str">
            <v>MW</v>
          </cell>
          <cell r="J312" t="str">
            <v>MAFT</v>
          </cell>
          <cell r="K312" t="str">
            <v>MCM</v>
          </cell>
          <cell r="L312" t="str">
            <v>MCM</v>
          </cell>
          <cell r="M312" t="str">
            <v>FT / M</v>
          </cell>
          <cell r="N312" t="str">
            <v>FT / M</v>
          </cell>
          <cell r="O312" t="str">
            <v>DATE</v>
          </cell>
          <cell r="P312" t="str">
            <v>FT / M</v>
          </cell>
          <cell r="Q312" t="str">
            <v>DATE</v>
          </cell>
        </row>
        <row r="313">
          <cell r="A313" t="str">
            <v>CHAMBAL</v>
          </cell>
          <cell r="B313" t="str">
            <v>88-89</v>
          </cell>
          <cell r="C313">
            <v>386</v>
          </cell>
          <cell r="D313">
            <v>1300</v>
          </cell>
          <cell r="E313">
            <v>1155</v>
          </cell>
          <cell r="F313">
            <v>88.84615384615384</v>
          </cell>
          <cell r="G313">
            <v>0</v>
          </cell>
          <cell r="H313">
            <v>0</v>
          </cell>
        </row>
        <row r="314">
          <cell r="B314" t="str">
            <v>89-90</v>
          </cell>
          <cell r="C314">
            <v>386</v>
          </cell>
          <cell r="D314">
            <v>1300</v>
          </cell>
          <cell r="E314">
            <v>906.51</v>
          </cell>
          <cell r="F314">
            <v>69.731538461538463</v>
          </cell>
          <cell r="G314">
            <v>12</v>
          </cell>
          <cell r="H314">
            <v>1.3237581493861073</v>
          </cell>
        </row>
        <row r="315">
          <cell r="B315" t="str">
            <v>90-91</v>
          </cell>
          <cell r="C315">
            <v>386</v>
          </cell>
          <cell r="D315">
            <v>1150</v>
          </cell>
          <cell r="E315">
            <v>917.59999999999991</v>
          </cell>
          <cell r="F315">
            <v>79.79130434782607</v>
          </cell>
          <cell r="G315">
            <v>5</v>
          </cell>
          <cell r="H315">
            <v>0.54489973844812556</v>
          </cell>
        </row>
        <row r="316">
          <cell r="B316" t="str">
            <v>91-92</v>
          </cell>
          <cell r="C316">
            <v>386</v>
          </cell>
          <cell r="D316">
            <v>1150</v>
          </cell>
          <cell r="E316">
            <v>1562.3300000000002</v>
          </cell>
          <cell r="F316">
            <v>135.85478260869567</v>
          </cell>
          <cell r="G316">
            <v>8.6</v>
          </cell>
          <cell r="H316">
            <v>0.5504598900360359</v>
          </cell>
        </row>
        <row r="317">
          <cell r="B317" t="str">
            <v>92-93</v>
          </cell>
          <cell r="C317">
            <v>386</v>
          </cell>
          <cell r="D317">
            <v>1150</v>
          </cell>
          <cell r="E317">
            <v>1239.3900000000001</v>
          </cell>
          <cell r="F317">
            <v>107.77304347826089</v>
          </cell>
          <cell r="G317">
            <v>8.3999999999999986</v>
          </cell>
          <cell r="H317">
            <v>0.67775276547333752</v>
          </cell>
          <cell r="I317" t="str">
            <v xml:space="preserve"> </v>
          </cell>
          <cell r="K317" t="str">
            <v xml:space="preserve"> </v>
          </cell>
          <cell r="L317" t="str">
            <v xml:space="preserve"> </v>
          </cell>
          <cell r="M317" t="str">
            <v xml:space="preserve"> </v>
          </cell>
        </row>
        <row r="318">
          <cell r="B318" t="str">
            <v>93-94</v>
          </cell>
          <cell r="C318">
            <v>386</v>
          </cell>
          <cell r="D318">
            <v>1500</v>
          </cell>
          <cell r="E318">
            <v>1032.2988</v>
          </cell>
          <cell r="F318">
            <v>68.819919999999996</v>
          </cell>
          <cell r="G318">
            <v>14.78</v>
          </cell>
          <cell r="H318">
            <v>1.4317559993288764</v>
          </cell>
          <cell r="I318" t="str">
            <v xml:space="preserve"> </v>
          </cell>
          <cell r="K318" t="str">
            <v xml:space="preserve"> </v>
          </cell>
          <cell r="L318" t="str">
            <v xml:space="preserve"> </v>
          </cell>
          <cell r="M318" t="str">
            <v xml:space="preserve"> </v>
          </cell>
        </row>
        <row r="319">
          <cell r="B319" t="str">
            <v>94-95</v>
          </cell>
          <cell r="C319">
            <v>386</v>
          </cell>
          <cell r="D319">
            <v>1200</v>
          </cell>
          <cell r="E319">
            <v>1404.6</v>
          </cell>
          <cell r="F319">
            <v>117.05</v>
          </cell>
          <cell r="G319">
            <v>12.2</v>
          </cell>
          <cell r="H319">
            <v>0.86857468318382458</v>
          </cell>
          <cell r="I319" t="str">
            <v xml:space="preserve"> </v>
          </cell>
          <cell r="K319" t="str">
            <v xml:space="preserve"> </v>
          </cell>
          <cell r="L319" t="str">
            <v xml:space="preserve"> </v>
          </cell>
          <cell r="M319" t="str">
            <v xml:space="preserve"> </v>
          </cell>
        </row>
        <row r="320">
          <cell r="B320" t="str">
            <v>95-96</v>
          </cell>
          <cell r="C320">
            <v>386</v>
          </cell>
          <cell r="D320">
            <v>1060</v>
          </cell>
          <cell r="E320">
            <v>1642.3</v>
          </cell>
          <cell r="F320">
            <v>154.93396226415095</v>
          </cell>
          <cell r="G320">
            <v>14.200000000000001</v>
          </cell>
          <cell r="H320">
            <v>0.8646410521829142</v>
          </cell>
          <cell r="I320" t="str">
            <v xml:space="preserve"> </v>
          </cell>
          <cell r="K320" t="str">
            <v xml:space="preserve"> </v>
          </cell>
          <cell r="L320" t="str">
            <v xml:space="preserve"> </v>
          </cell>
          <cell r="M320" t="str">
            <v xml:space="preserve"> </v>
          </cell>
        </row>
        <row r="321">
          <cell r="B321" t="str">
            <v>96-97</v>
          </cell>
          <cell r="C321">
            <v>386</v>
          </cell>
          <cell r="D321">
            <v>1160</v>
          </cell>
          <cell r="E321">
            <v>1739.5</v>
          </cell>
          <cell r="F321">
            <v>149.95689655172413</v>
          </cell>
          <cell r="G321">
            <v>10.5</v>
          </cell>
          <cell r="H321">
            <v>0.60362173038229372</v>
          </cell>
          <cell r="I321" t="str">
            <v xml:space="preserve"> </v>
          </cell>
          <cell r="K321" t="str">
            <v xml:space="preserve"> </v>
          </cell>
          <cell r="L321" t="str">
            <v xml:space="preserve"> </v>
          </cell>
          <cell r="M321" t="str">
            <v xml:space="preserve"> </v>
          </cell>
        </row>
        <row r="322">
          <cell r="B322" t="str">
            <v>97-98</v>
          </cell>
          <cell r="C322">
            <v>386</v>
          </cell>
          <cell r="D322">
            <v>1160</v>
          </cell>
          <cell r="E322">
            <v>1362.57</v>
          </cell>
          <cell r="F322">
            <v>117.46293103448276</v>
          </cell>
          <cell r="G322">
            <v>11.581</v>
          </cell>
          <cell r="H322">
            <v>0.84993798483747618</v>
          </cell>
          <cell r="I322" t="str">
            <v xml:space="preserve"> </v>
          </cell>
          <cell r="K322" t="str">
            <v xml:space="preserve"> </v>
          </cell>
          <cell r="L322" t="str">
            <v xml:space="preserve"> </v>
          </cell>
          <cell r="M322" t="str">
            <v xml:space="preserve"> </v>
          </cell>
        </row>
        <row r="323">
          <cell r="B323" t="str">
            <v>98-99</v>
          </cell>
          <cell r="C323">
            <v>386</v>
          </cell>
          <cell r="D323">
            <v>1300</v>
          </cell>
          <cell r="E323">
            <v>1486.3999999999999</v>
          </cell>
          <cell r="F323">
            <v>114.33846153846154</v>
          </cell>
          <cell r="G323">
            <v>13.2</v>
          </cell>
          <cell r="H323">
            <v>0.88805166846071049</v>
          </cell>
          <cell r="I323" t="str">
            <v xml:space="preserve"> </v>
          </cell>
          <cell r="K323" t="str">
            <v xml:space="preserve"> </v>
          </cell>
          <cell r="L323" t="str">
            <v xml:space="preserve"> </v>
          </cell>
          <cell r="M323" t="str">
            <v xml:space="preserve"> </v>
          </cell>
        </row>
        <row r="324">
          <cell r="B324" t="str">
            <v>99-00</v>
          </cell>
          <cell r="C324">
            <v>386</v>
          </cell>
          <cell r="D324">
            <v>1300</v>
          </cell>
          <cell r="E324">
            <v>1185.5</v>
          </cell>
          <cell r="F324">
            <v>91.192307692307693</v>
          </cell>
          <cell r="G324">
            <v>12</v>
          </cell>
          <cell r="H324">
            <v>1.0122311261071277</v>
          </cell>
        </row>
        <row r="325">
          <cell r="B325" t="str">
            <v>00-01</v>
          </cell>
          <cell r="C325">
            <v>386</v>
          </cell>
          <cell r="D325">
            <v>1200</v>
          </cell>
          <cell r="E325">
            <v>427.45</v>
          </cell>
          <cell r="F325">
            <v>35.619999999999997</v>
          </cell>
          <cell r="G325">
            <v>8.66</v>
          </cell>
          <cell r="H325">
            <v>2.0299999999999998</v>
          </cell>
        </row>
        <row r="326">
          <cell r="A326" t="str">
            <v>Average last 5 years</v>
          </cell>
          <cell r="D326">
            <v>1196</v>
          </cell>
          <cell r="E326">
            <v>1483.2539999999999</v>
          </cell>
          <cell r="F326">
            <v>125.57691181622542</v>
          </cell>
          <cell r="G326">
            <v>12.296200000000002</v>
          </cell>
          <cell r="H326">
            <v>0.84369671239410449</v>
          </cell>
          <cell r="I326">
            <v>0</v>
          </cell>
          <cell r="J326">
            <v>0</v>
          </cell>
          <cell r="K326">
            <v>0</v>
          </cell>
          <cell r="L326">
            <v>0</v>
          </cell>
          <cell r="M326">
            <v>0</v>
          </cell>
          <cell r="N326">
            <v>0</v>
          </cell>
          <cell r="O326">
            <v>0</v>
          </cell>
          <cell r="P326">
            <v>0</v>
          </cell>
          <cell r="Q326">
            <v>0</v>
          </cell>
        </row>
        <row r="327">
          <cell r="A327" t="str">
            <v>M.P.CHAMBAL</v>
          </cell>
          <cell r="B327" t="str">
            <v>88-89</v>
          </cell>
          <cell r="C327">
            <v>193</v>
          </cell>
          <cell r="D327">
            <v>650</v>
          </cell>
          <cell r="E327">
            <v>577.5</v>
          </cell>
          <cell r="F327">
            <v>88.84615384615384</v>
          </cell>
          <cell r="G327">
            <v>0</v>
          </cell>
          <cell r="H327">
            <v>0</v>
          </cell>
        </row>
        <row r="328">
          <cell r="B328" t="str">
            <v>89-90</v>
          </cell>
          <cell r="C328">
            <v>193</v>
          </cell>
          <cell r="D328">
            <v>650</v>
          </cell>
          <cell r="E328">
            <v>453.255</v>
          </cell>
          <cell r="F328">
            <v>69.731538461538463</v>
          </cell>
          <cell r="G328">
            <v>6</v>
          </cell>
          <cell r="H328">
            <v>1.3237581493861073</v>
          </cell>
        </row>
        <row r="329">
          <cell r="B329" t="str">
            <v>90-91</v>
          </cell>
          <cell r="C329">
            <v>193</v>
          </cell>
          <cell r="D329">
            <v>575</v>
          </cell>
          <cell r="E329">
            <v>458.79999999999995</v>
          </cell>
          <cell r="F329">
            <v>79.79130434782607</v>
          </cell>
          <cell r="G329">
            <v>2.5</v>
          </cell>
          <cell r="H329">
            <v>0.54489973844812556</v>
          </cell>
        </row>
        <row r="330">
          <cell r="B330" t="str">
            <v>91-92</v>
          </cell>
          <cell r="C330">
            <v>193</v>
          </cell>
          <cell r="D330">
            <v>575</v>
          </cell>
          <cell r="E330">
            <v>781.16500000000008</v>
          </cell>
          <cell r="F330">
            <v>135.85478260869567</v>
          </cell>
          <cell r="G330">
            <v>4.3</v>
          </cell>
          <cell r="H330">
            <v>0.5504598900360359</v>
          </cell>
        </row>
        <row r="331">
          <cell r="B331" t="str">
            <v>92-93</v>
          </cell>
          <cell r="C331">
            <v>193</v>
          </cell>
          <cell r="D331">
            <v>575</v>
          </cell>
          <cell r="E331">
            <v>619.69500000000005</v>
          </cell>
          <cell r="F331">
            <v>107.77304347826089</v>
          </cell>
          <cell r="G331">
            <v>4.1999999999999993</v>
          </cell>
          <cell r="H331">
            <v>0.67775276547333752</v>
          </cell>
        </row>
        <row r="332">
          <cell r="B332" t="str">
            <v>93-94</v>
          </cell>
          <cell r="C332">
            <v>193</v>
          </cell>
          <cell r="D332">
            <v>750</v>
          </cell>
          <cell r="E332">
            <v>516.14940000000001</v>
          </cell>
          <cell r="F332">
            <v>68.819919999999996</v>
          </cell>
          <cell r="G332">
            <v>7.39</v>
          </cell>
          <cell r="H332">
            <v>1.4317559993288764</v>
          </cell>
          <cell r="I332" t="str">
            <v xml:space="preserve"> </v>
          </cell>
          <cell r="K332" t="str">
            <v xml:space="preserve"> </v>
          </cell>
          <cell r="L332" t="str">
            <v xml:space="preserve"> </v>
          </cell>
          <cell r="M332" t="str">
            <v xml:space="preserve"> </v>
          </cell>
        </row>
        <row r="333">
          <cell r="B333" t="str">
            <v>94-95</v>
          </cell>
          <cell r="C333">
            <v>193</v>
          </cell>
          <cell r="D333">
            <v>600</v>
          </cell>
          <cell r="E333">
            <v>702.3</v>
          </cell>
          <cell r="F333">
            <v>117.05</v>
          </cell>
          <cell r="G333">
            <v>6.1</v>
          </cell>
          <cell r="H333">
            <v>0.86857468318382458</v>
          </cell>
          <cell r="I333" t="str">
            <v xml:space="preserve"> </v>
          </cell>
          <cell r="K333" t="str">
            <v xml:space="preserve"> </v>
          </cell>
          <cell r="L333" t="str">
            <v xml:space="preserve"> </v>
          </cell>
          <cell r="M333" t="str">
            <v xml:space="preserve"> </v>
          </cell>
        </row>
        <row r="334">
          <cell r="B334" t="str">
            <v>95-96</v>
          </cell>
          <cell r="C334">
            <v>193</v>
          </cell>
          <cell r="D334">
            <v>530</v>
          </cell>
          <cell r="E334">
            <v>821.15</v>
          </cell>
          <cell r="F334">
            <v>154.93396226415095</v>
          </cell>
          <cell r="G334">
            <v>7.1000000000000005</v>
          </cell>
          <cell r="H334">
            <v>0.8646410521829142</v>
          </cell>
        </row>
        <row r="335">
          <cell r="B335" t="str">
            <v>96-97</v>
          </cell>
          <cell r="C335">
            <v>193</v>
          </cell>
          <cell r="D335">
            <v>580</v>
          </cell>
          <cell r="E335">
            <v>869.75</v>
          </cell>
          <cell r="F335">
            <v>149.95689655172413</v>
          </cell>
          <cell r="G335">
            <v>5.25</v>
          </cell>
          <cell r="H335">
            <v>0.60362173038229372</v>
          </cell>
        </row>
        <row r="336">
          <cell r="B336" t="str">
            <v>97-98</v>
          </cell>
          <cell r="C336">
            <v>193</v>
          </cell>
          <cell r="D336">
            <v>580</v>
          </cell>
          <cell r="E336">
            <v>681.28499999999997</v>
          </cell>
          <cell r="F336">
            <v>117.46293103448276</v>
          </cell>
          <cell r="G336">
            <v>5.7904999999999998</v>
          </cell>
          <cell r="H336">
            <v>0.84993798483747618</v>
          </cell>
        </row>
        <row r="337">
          <cell r="B337" t="str">
            <v>98-99</v>
          </cell>
          <cell r="C337">
            <v>193</v>
          </cell>
          <cell r="D337">
            <v>650</v>
          </cell>
          <cell r="E337">
            <v>743.19999999999993</v>
          </cell>
          <cell r="F337">
            <v>114.33846153846154</v>
          </cell>
          <cell r="G337">
            <v>6.6</v>
          </cell>
          <cell r="H337">
            <v>0.88805166846071049</v>
          </cell>
        </row>
        <row r="338">
          <cell r="B338" t="str">
            <v>99-00</v>
          </cell>
          <cell r="C338">
            <v>193</v>
          </cell>
          <cell r="D338">
            <v>650</v>
          </cell>
          <cell r="E338">
            <v>592.75</v>
          </cell>
          <cell r="F338">
            <v>91.192307692307693</v>
          </cell>
          <cell r="G338">
            <v>6</v>
          </cell>
          <cell r="H338">
            <v>1.0122311261071277</v>
          </cell>
        </row>
        <row r="339">
          <cell r="B339" t="str">
            <v>00-01</v>
          </cell>
          <cell r="C339">
            <v>193</v>
          </cell>
          <cell r="D339">
            <v>600</v>
          </cell>
          <cell r="E339">
            <v>213.72</v>
          </cell>
          <cell r="F339">
            <v>35.619999999999997</v>
          </cell>
          <cell r="G339">
            <v>4.33</v>
          </cell>
          <cell r="H339">
            <v>2.0299999999999998</v>
          </cell>
        </row>
        <row r="340">
          <cell r="A340" t="str">
            <v>Average last 5 years</v>
          </cell>
          <cell r="D340">
            <v>598</v>
          </cell>
          <cell r="E340">
            <v>741.62699999999995</v>
          </cell>
          <cell r="F340">
            <v>125.57691181622542</v>
          </cell>
          <cell r="G340">
            <v>6.1481000000000012</v>
          </cell>
          <cell r="H340">
            <v>0.84369671239410449</v>
          </cell>
          <cell r="I340">
            <v>0</v>
          </cell>
          <cell r="J340">
            <v>0</v>
          </cell>
          <cell r="K340">
            <v>0</v>
          </cell>
          <cell r="L340">
            <v>0</v>
          </cell>
          <cell r="M340">
            <v>0</v>
          </cell>
          <cell r="N340">
            <v>0</v>
          </cell>
          <cell r="O340">
            <v>0</v>
          </cell>
          <cell r="P340">
            <v>0</v>
          </cell>
          <cell r="Q340">
            <v>0</v>
          </cell>
        </row>
        <row r="341">
          <cell r="A341" t="str">
            <v>PENCH</v>
          </cell>
          <cell r="B341" t="str">
            <v>88-89</v>
          </cell>
          <cell r="C341">
            <v>160</v>
          </cell>
          <cell r="D341">
            <v>240</v>
          </cell>
          <cell r="E341">
            <v>248</v>
          </cell>
          <cell r="F341">
            <v>103.33333333333333</v>
          </cell>
          <cell r="G341" t="str">
            <v xml:space="preserve"> </v>
          </cell>
          <cell r="H341">
            <v>0</v>
          </cell>
          <cell r="I341" t="str">
            <v xml:space="preserve"> </v>
          </cell>
          <cell r="J341" t="str">
            <v xml:space="preserve"> </v>
          </cell>
          <cell r="K341" t="str">
            <v xml:space="preserve"> </v>
          </cell>
          <cell r="L341" t="str">
            <v xml:space="preserve"> </v>
          </cell>
          <cell r="M341" t="str">
            <v xml:space="preserve"> </v>
          </cell>
          <cell r="N341" t="str">
            <v xml:space="preserve"> </v>
          </cell>
          <cell r="O341" t="str">
            <v xml:space="preserve"> </v>
          </cell>
          <cell r="P341" t="str">
            <v xml:space="preserve"> </v>
          </cell>
          <cell r="Q341" t="str">
            <v xml:space="preserve"> </v>
          </cell>
        </row>
        <row r="342">
          <cell r="B342" t="str">
            <v>89-90</v>
          </cell>
          <cell r="C342">
            <v>160</v>
          </cell>
          <cell r="D342">
            <v>240</v>
          </cell>
          <cell r="E342">
            <v>212.32</v>
          </cell>
          <cell r="F342">
            <v>88.46</v>
          </cell>
          <cell r="G342">
            <v>0.2</v>
          </cell>
          <cell r="H342">
            <v>0.08</v>
          </cell>
          <cell r="I342">
            <v>160</v>
          </cell>
          <cell r="J342">
            <v>306</v>
          </cell>
          <cell r="M342">
            <v>464.6</v>
          </cell>
          <cell r="N342">
            <v>478.73</v>
          </cell>
          <cell r="O342" t="str">
            <v>13.09.89</v>
          </cell>
          <cell r="P342">
            <v>463.3</v>
          </cell>
          <cell r="Q342" t="str">
            <v>28.06.89</v>
          </cell>
        </row>
        <row r="343">
          <cell r="B343" t="str">
            <v>90-91</v>
          </cell>
          <cell r="C343">
            <v>160</v>
          </cell>
          <cell r="D343">
            <v>390</v>
          </cell>
          <cell r="E343">
            <v>340.8</v>
          </cell>
          <cell r="F343">
            <v>87.384615384615387</v>
          </cell>
          <cell r="G343">
            <v>0.2</v>
          </cell>
          <cell r="H343">
            <v>5.8685446009389672E-2</v>
          </cell>
          <cell r="I343">
            <v>160</v>
          </cell>
          <cell r="J343">
            <v>1432</v>
          </cell>
          <cell r="K343">
            <v>984.66</v>
          </cell>
          <cell r="L343">
            <v>984.66</v>
          </cell>
          <cell r="M343">
            <v>477.76</v>
          </cell>
          <cell r="N343">
            <v>488.35</v>
          </cell>
          <cell r="O343" t="str">
            <v>13.10.90</v>
          </cell>
          <cell r="P343">
            <v>462.1</v>
          </cell>
          <cell r="Q343" t="str">
            <v>01.06.90</v>
          </cell>
        </row>
        <row r="344">
          <cell r="B344" t="str">
            <v>91-92</v>
          </cell>
          <cell r="C344">
            <v>160</v>
          </cell>
          <cell r="D344">
            <v>390</v>
          </cell>
          <cell r="E344">
            <v>286.27999999999997</v>
          </cell>
          <cell r="F344">
            <v>73.405128205128193</v>
          </cell>
          <cell r="G344">
            <v>0.2</v>
          </cell>
          <cell r="H344">
            <v>6.9861673885706313E-2</v>
          </cell>
          <cell r="I344">
            <v>150</v>
          </cell>
          <cell r="J344">
            <v>678</v>
          </cell>
          <cell r="K344">
            <v>874.4</v>
          </cell>
          <cell r="L344">
            <v>874.4</v>
          </cell>
          <cell r="M344">
            <v>464.42</v>
          </cell>
          <cell r="N344">
            <v>484.14</v>
          </cell>
          <cell r="O344" t="str">
            <v>14.09.91</v>
          </cell>
          <cell r="P344">
            <v>464.51</v>
          </cell>
          <cell r="Q344" t="str">
            <v>31.03.92</v>
          </cell>
        </row>
        <row r="345">
          <cell r="B345" t="str">
            <v>92-93</v>
          </cell>
          <cell r="C345">
            <v>160</v>
          </cell>
          <cell r="D345">
            <v>320</v>
          </cell>
          <cell r="E345">
            <v>273.24</v>
          </cell>
          <cell r="F345">
            <v>85.387500000000003</v>
          </cell>
          <cell r="G345">
            <v>0.3</v>
          </cell>
          <cell r="H345">
            <v>0.10979358805445762</v>
          </cell>
          <cell r="I345">
            <v>160</v>
          </cell>
          <cell r="J345">
            <v>1056</v>
          </cell>
          <cell r="K345">
            <v>659.9</v>
          </cell>
          <cell r="L345">
            <v>659.9</v>
          </cell>
          <cell r="M345">
            <v>474.9</v>
          </cell>
          <cell r="N345">
            <v>487.91</v>
          </cell>
          <cell r="O345" t="str">
            <v>15.09.92</v>
          </cell>
          <cell r="P345">
            <v>453.92</v>
          </cell>
          <cell r="Q345" t="str">
            <v>19.06.92</v>
          </cell>
        </row>
        <row r="346">
          <cell r="B346" t="str">
            <v>93-94</v>
          </cell>
          <cell r="C346">
            <v>160</v>
          </cell>
          <cell r="D346">
            <v>390</v>
          </cell>
          <cell r="E346">
            <v>400.93799999999999</v>
          </cell>
          <cell r="F346">
            <v>102.80461538461537</v>
          </cell>
          <cell r="G346">
            <v>0.5</v>
          </cell>
          <cell r="H346">
            <v>0.12470756076999437</v>
          </cell>
          <cell r="I346">
            <v>82</v>
          </cell>
          <cell r="J346">
            <v>1993</v>
          </cell>
          <cell r="K346">
            <v>1096.8499999999999</v>
          </cell>
          <cell r="L346">
            <v>1096.8499999999999</v>
          </cell>
          <cell r="M346">
            <v>483.64</v>
          </cell>
          <cell r="N346">
            <v>490.18</v>
          </cell>
          <cell r="O346" t="str">
            <v>27.09.94</v>
          </cell>
          <cell r="P346">
            <v>468.34</v>
          </cell>
          <cell r="Q346" t="str">
            <v>15.06.93</v>
          </cell>
        </row>
        <row r="347">
          <cell r="B347" t="str">
            <v>94-95</v>
          </cell>
          <cell r="C347">
            <v>160</v>
          </cell>
          <cell r="D347">
            <v>450</v>
          </cell>
          <cell r="E347">
            <v>609.79999999999995</v>
          </cell>
          <cell r="F347">
            <v>135.51111111111109</v>
          </cell>
          <cell r="G347">
            <v>1.6766179999999999</v>
          </cell>
          <cell r="H347">
            <v>0.27494555591997377</v>
          </cell>
          <cell r="I347">
            <v>160</v>
          </cell>
          <cell r="J347">
            <v>3286</v>
          </cell>
          <cell r="K347">
            <v>1773.508</v>
          </cell>
          <cell r="L347">
            <v>1773.508</v>
          </cell>
          <cell r="M347">
            <v>476.6</v>
          </cell>
          <cell r="N347">
            <v>490.43</v>
          </cell>
          <cell r="O347" t="str">
            <v>06.09.94</v>
          </cell>
          <cell r="P347">
            <v>474.65</v>
          </cell>
          <cell r="Q347" t="str">
            <v>30.06.94</v>
          </cell>
        </row>
        <row r="348">
          <cell r="B348" t="str">
            <v>95-96</v>
          </cell>
          <cell r="C348">
            <v>160</v>
          </cell>
          <cell r="D348">
            <v>450</v>
          </cell>
          <cell r="E348">
            <v>409.3</v>
          </cell>
          <cell r="F348">
            <v>90.955555555555549</v>
          </cell>
          <cell r="G348">
            <v>1.2</v>
          </cell>
          <cell r="H348">
            <v>0.29318348399706817</v>
          </cell>
          <cell r="I348">
            <v>160</v>
          </cell>
          <cell r="J348">
            <v>1304.69</v>
          </cell>
          <cell r="K348">
            <v>1237.548</v>
          </cell>
          <cell r="L348">
            <v>1237.548</v>
          </cell>
          <cell r="M348">
            <v>472.9</v>
          </cell>
          <cell r="N348">
            <v>486</v>
          </cell>
          <cell r="O348" t="str">
            <v>15.09.95</v>
          </cell>
          <cell r="P348">
            <v>468.55</v>
          </cell>
          <cell r="Q348" t="str">
            <v>30.06.95</v>
          </cell>
        </row>
        <row r="349">
          <cell r="B349" t="str">
            <v>96-97</v>
          </cell>
          <cell r="C349">
            <v>160</v>
          </cell>
          <cell r="D349">
            <v>525</v>
          </cell>
          <cell r="E349">
            <v>292.8</v>
          </cell>
          <cell r="F349">
            <v>55.771428571428572</v>
          </cell>
          <cell r="G349">
            <v>1</v>
          </cell>
          <cell r="H349">
            <v>0.34153005464480873</v>
          </cell>
          <cell r="I349">
            <v>160</v>
          </cell>
          <cell r="J349">
            <v>794.8</v>
          </cell>
          <cell r="M349">
            <v>467.3</v>
          </cell>
          <cell r="N349">
            <v>483.05</v>
          </cell>
          <cell r="O349" t="str">
            <v>30.09.96</v>
          </cell>
          <cell r="P349">
            <v>463.6</v>
          </cell>
          <cell r="Q349" t="str">
            <v>15.06.96</v>
          </cell>
        </row>
        <row r="350">
          <cell r="B350" t="str">
            <v>97-98</v>
          </cell>
          <cell r="C350">
            <v>160</v>
          </cell>
          <cell r="D350">
            <v>525</v>
          </cell>
          <cell r="E350">
            <v>474.97</v>
          </cell>
          <cell r="F350">
            <v>90.470476190476191</v>
          </cell>
          <cell r="G350">
            <v>1.032</v>
          </cell>
          <cell r="H350">
            <v>0.21727688064509337</v>
          </cell>
          <cell r="I350">
            <v>160</v>
          </cell>
          <cell r="J350">
            <v>3261.21</v>
          </cell>
          <cell r="K350">
            <v>911.9</v>
          </cell>
          <cell r="M350">
            <v>486.66</v>
          </cell>
          <cell r="N350">
            <v>490.13</v>
          </cell>
          <cell r="O350" t="str">
            <v>31.12.97</v>
          </cell>
          <cell r="P350">
            <v>462.88</v>
          </cell>
          <cell r="Q350" t="str">
            <v>01.07.97</v>
          </cell>
        </row>
        <row r="351">
          <cell r="B351" t="str">
            <v>98-99</v>
          </cell>
          <cell r="C351">
            <v>160</v>
          </cell>
          <cell r="D351">
            <v>525</v>
          </cell>
          <cell r="E351">
            <v>561.1</v>
          </cell>
          <cell r="F351">
            <v>106.87619047619047</v>
          </cell>
          <cell r="G351">
            <v>1.1000000000000001</v>
          </cell>
          <cell r="H351">
            <v>0.19604348600962396</v>
          </cell>
          <cell r="I351">
            <v>160</v>
          </cell>
          <cell r="J351">
            <v>1358.9</v>
          </cell>
          <cell r="K351">
            <v>911.9</v>
          </cell>
          <cell r="M351">
            <v>481.29</v>
          </cell>
          <cell r="N351">
            <v>490</v>
          </cell>
          <cell r="O351" t="str">
            <v>11.11.98</v>
          </cell>
          <cell r="P351">
            <v>477.5</v>
          </cell>
          <cell r="Q351" t="str">
            <v>27.06.98</v>
          </cell>
        </row>
        <row r="352">
          <cell r="B352" t="str">
            <v>99-00</v>
          </cell>
          <cell r="C352">
            <v>160</v>
          </cell>
          <cell r="D352">
            <v>525</v>
          </cell>
          <cell r="E352">
            <v>560.5</v>
          </cell>
          <cell r="F352">
            <v>106.8</v>
          </cell>
          <cell r="G352">
            <v>2.1</v>
          </cell>
          <cell r="H352">
            <v>0.37466547725245319</v>
          </cell>
          <cell r="I352">
            <v>160</v>
          </cell>
          <cell r="J352">
            <v>2994</v>
          </cell>
          <cell r="K352">
            <v>1635.48</v>
          </cell>
          <cell r="M352">
            <v>478.86</v>
          </cell>
          <cell r="N352">
            <v>490.08</v>
          </cell>
          <cell r="P352">
            <v>476.93</v>
          </cell>
        </row>
        <row r="353">
          <cell r="B353" t="str">
            <v>00-01</v>
          </cell>
          <cell r="C353">
            <v>160</v>
          </cell>
          <cell r="D353">
            <v>550</v>
          </cell>
          <cell r="E353">
            <v>284.22000000000003</v>
          </cell>
          <cell r="F353">
            <v>51.68</v>
          </cell>
          <cell r="G353">
            <v>0.73</v>
          </cell>
          <cell r="H353">
            <v>0.26</v>
          </cell>
          <cell r="I353">
            <v>164</v>
          </cell>
          <cell r="M353">
            <v>463.46</v>
          </cell>
        </row>
        <row r="354">
          <cell r="A354" t="str">
            <v>Average last 5 years</v>
          </cell>
          <cell r="D354">
            <v>510</v>
          </cell>
          <cell r="E354">
            <v>459.73400000000004</v>
          </cell>
          <cell r="F354">
            <v>90.174730158730156</v>
          </cell>
          <cell r="G354">
            <v>1.4324000000000001</v>
          </cell>
          <cell r="H354">
            <v>0.2845398765098095</v>
          </cell>
          <cell r="I354">
            <v>160</v>
          </cell>
          <cell r="J354">
            <v>1942.72</v>
          </cell>
          <cell r="K354">
            <v>939.36559999999986</v>
          </cell>
          <cell r="L354">
            <v>247.50960000000001</v>
          </cell>
          <cell r="M354">
            <v>477.40200000000004</v>
          </cell>
          <cell r="N354">
            <v>487.92200000000003</v>
          </cell>
          <cell r="O354">
            <v>0</v>
          </cell>
          <cell r="P354">
            <v>469.43600000000004</v>
          </cell>
          <cell r="Q354">
            <v>0</v>
          </cell>
        </row>
        <row r="355">
          <cell r="A355" t="str">
            <v>STATE  LOAD  DESPATCH  CENTRE  M.P.E.B.  JABALPUR</v>
          </cell>
        </row>
        <row r="356">
          <cell r="A356" t="str">
            <v>OTHER HYDEL</v>
          </cell>
        </row>
        <row r="357">
          <cell r="A357" t="str">
            <v>STATION NAME</v>
          </cell>
          <cell r="B357" t="str">
            <v>YEAR</v>
          </cell>
          <cell r="C357" t="str">
            <v>CAPACITY</v>
          </cell>
          <cell r="D357" t="str">
            <v>TARGET</v>
          </cell>
          <cell r="E357" t="str">
            <v>ACTUAL GENE.</v>
          </cell>
          <cell r="F357" t="str">
            <v>ACHIEVE-MENT</v>
          </cell>
          <cell r="G357" t="str">
            <v>AUXILIARY CONSUMPTION</v>
          </cell>
          <cell r="I357" t="str">
            <v>MAXIMUM DEMAND</v>
          </cell>
          <cell r="J357" t="str">
            <v>WATER INFLOW</v>
          </cell>
          <cell r="K357" t="str">
            <v>WATER CONSUMED</v>
          </cell>
          <cell r="L357" t="str">
            <v>WATER CONSUMED</v>
          </cell>
          <cell r="M357" t="str">
            <v>LEVEL AT THE END</v>
          </cell>
          <cell r="N357" t="str">
            <v>MAXIMUM LEVEL</v>
          </cell>
          <cell r="P357" t="str">
            <v>MINIMUM LEVEL</v>
          </cell>
        </row>
        <row r="358">
          <cell r="C358" t="str">
            <v>MW</v>
          </cell>
          <cell r="D358" t="str">
            <v>MKwh</v>
          </cell>
          <cell r="E358" t="str">
            <v>MKwh</v>
          </cell>
          <cell r="F358" t="str">
            <v>%</v>
          </cell>
          <cell r="G358" t="str">
            <v>MKwh</v>
          </cell>
          <cell r="H358" t="str">
            <v>%</v>
          </cell>
          <cell r="I358" t="str">
            <v>MW</v>
          </cell>
          <cell r="J358" t="str">
            <v>MAFT</v>
          </cell>
          <cell r="K358" t="str">
            <v>MCM</v>
          </cell>
          <cell r="L358" t="str">
            <v>MCM</v>
          </cell>
          <cell r="M358" t="str">
            <v>FT / M</v>
          </cell>
          <cell r="N358" t="str">
            <v>FT / M</v>
          </cell>
          <cell r="O358" t="str">
            <v>DATE</v>
          </cell>
          <cell r="P358" t="str">
            <v>FT / M</v>
          </cell>
          <cell r="Q358" t="str">
            <v>DATE</v>
          </cell>
        </row>
        <row r="359">
          <cell r="A359" t="str">
            <v>BARGI</v>
          </cell>
          <cell r="B359" t="str">
            <v>88-89</v>
          </cell>
          <cell r="C359">
            <v>90</v>
          </cell>
          <cell r="D359">
            <v>100</v>
          </cell>
          <cell r="E359">
            <v>142</v>
          </cell>
          <cell r="F359">
            <v>142</v>
          </cell>
          <cell r="G359" t="str">
            <v xml:space="preserve"> </v>
          </cell>
          <cell r="H359">
            <v>0</v>
          </cell>
          <cell r="I359" t="str">
            <v xml:space="preserve"> </v>
          </cell>
          <cell r="J359" t="str">
            <v xml:space="preserve"> </v>
          </cell>
          <cell r="K359" t="str">
            <v xml:space="preserve"> </v>
          </cell>
          <cell r="L359" t="str">
            <v xml:space="preserve"> </v>
          </cell>
          <cell r="M359" t="str">
            <v xml:space="preserve"> </v>
          </cell>
          <cell r="N359" t="str">
            <v xml:space="preserve"> </v>
          </cell>
          <cell r="O359" t="str">
            <v xml:space="preserve"> </v>
          </cell>
          <cell r="P359" t="str">
            <v xml:space="preserve"> </v>
          </cell>
          <cell r="Q359" t="str">
            <v xml:space="preserve"> </v>
          </cell>
        </row>
        <row r="360">
          <cell r="B360" t="str">
            <v>89-90</v>
          </cell>
          <cell r="C360">
            <v>90</v>
          </cell>
          <cell r="D360">
            <v>140</v>
          </cell>
          <cell r="E360">
            <v>277.95</v>
          </cell>
          <cell r="F360">
            <v>198.54</v>
          </cell>
          <cell r="G360">
            <v>0.1</v>
          </cell>
          <cell r="H360">
            <v>0.04</v>
          </cell>
          <cell r="I360">
            <v>91</v>
          </cell>
          <cell r="M360">
            <v>410.2</v>
          </cell>
          <cell r="N360">
            <v>418.7</v>
          </cell>
          <cell r="O360" t="str">
            <v>30.09.89</v>
          </cell>
          <cell r="P360">
            <v>403.9</v>
          </cell>
          <cell r="Q360" t="str">
            <v>22.06.89</v>
          </cell>
        </row>
        <row r="361">
          <cell r="B361" t="str">
            <v>90-91</v>
          </cell>
          <cell r="C361">
            <v>90</v>
          </cell>
          <cell r="D361">
            <v>200</v>
          </cell>
          <cell r="E361">
            <v>480.44</v>
          </cell>
          <cell r="F361">
            <v>240.22</v>
          </cell>
          <cell r="G361">
            <v>0.1</v>
          </cell>
          <cell r="H361">
            <v>2.0814253600865872E-2</v>
          </cell>
          <cell r="I361">
            <v>92</v>
          </cell>
          <cell r="K361">
            <v>4279.8900000000003</v>
          </cell>
          <cell r="L361">
            <v>4279.8900000000003</v>
          </cell>
          <cell r="M361">
            <v>416.6</v>
          </cell>
          <cell r="N361">
            <v>422.76</v>
          </cell>
          <cell r="O361" t="str">
            <v>08.10.90</v>
          </cell>
          <cell r="P361">
            <v>406.65</v>
          </cell>
          <cell r="Q361" t="str">
            <v>19.06.90</v>
          </cell>
        </row>
        <row r="362">
          <cell r="B362" t="str">
            <v>91-92</v>
          </cell>
          <cell r="C362">
            <v>90</v>
          </cell>
          <cell r="D362">
            <v>250</v>
          </cell>
          <cell r="E362">
            <v>520.04999999999995</v>
          </cell>
          <cell r="F362">
            <v>208.01999999999998</v>
          </cell>
          <cell r="G362">
            <v>0.1</v>
          </cell>
          <cell r="H362">
            <v>1.9228920296125374E-2</v>
          </cell>
          <cell r="I362">
            <v>94</v>
          </cell>
          <cell r="K362">
            <v>4609.5</v>
          </cell>
          <cell r="L362">
            <v>4609.5</v>
          </cell>
          <cell r="M362">
            <v>409.05</v>
          </cell>
          <cell r="N362">
            <v>421.6</v>
          </cell>
          <cell r="O362" t="str">
            <v>29.08.91</v>
          </cell>
          <cell r="P362">
            <v>408.6</v>
          </cell>
          <cell r="Q362" t="str">
            <v>15.07.91</v>
          </cell>
        </row>
        <row r="363">
          <cell r="B363" t="str">
            <v>92-93</v>
          </cell>
          <cell r="C363">
            <v>90</v>
          </cell>
          <cell r="D363">
            <v>400</v>
          </cell>
          <cell r="E363">
            <v>368.81</v>
          </cell>
          <cell r="F363">
            <v>92.202500000000001</v>
          </cell>
          <cell r="G363">
            <v>0.1</v>
          </cell>
          <cell r="H363">
            <v>2.7114232260513543E-2</v>
          </cell>
          <cell r="I363">
            <v>96</v>
          </cell>
          <cell r="K363">
            <v>3105.7</v>
          </cell>
          <cell r="L363">
            <v>3105.7</v>
          </cell>
          <cell r="M363">
            <v>414.4</v>
          </cell>
          <cell r="N363">
            <v>422.75</v>
          </cell>
          <cell r="O363" t="str">
            <v>11.09.92</v>
          </cell>
          <cell r="P363">
            <v>404.6</v>
          </cell>
          <cell r="Q363" t="str">
            <v>13.07.92</v>
          </cell>
        </row>
        <row r="364">
          <cell r="B364" t="str">
            <v>93-94</v>
          </cell>
          <cell r="C364">
            <v>90</v>
          </cell>
          <cell r="D364">
            <v>520</v>
          </cell>
          <cell r="E364">
            <v>539.36582999999996</v>
          </cell>
          <cell r="F364">
            <v>103.72419807692307</v>
          </cell>
          <cell r="G364">
            <v>0.1</v>
          </cell>
          <cell r="H364">
            <v>1.8540292031477043E-2</v>
          </cell>
          <cell r="I364">
            <v>90</v>
          </cell>
          <cell r="K364">
            <v>4484.13</v>
          </cell>
          <cell r="L364">
            <v>4484.13</v>
          </cell>
          <cell r="M364">
            <v>413.55</v>
          </cell>
          <cell r="N364">
            <v>422.45</v>
          </cell>
          <cell r="O364" t="str">
            <v>16.10.94</v>
          </cell>
          <cell r="P364">
            <v>408.9</v>
          </cell>
          <cell r="Q364" t="str">
            <v>08.07.94</v>
          </cell>
        </row>
        <row r="365">
          <cell r="B365" t="str">
            <v>94-95</v>
          </cell>
          <cell r="C365">
            <v>90</v>
          </cell>
          <cell r="D365">
            <v>470</v>
          </cell>
          <cell r="E365">
            <v>533.1</v>
          </cell>
          <cell r="F365">
            <v>113.42553191489361</v>
          </cell>
          <cell r="G365">
            <v>0.1</v>
          </cell>
          <cell r="H365">
            <v>1.8758206715438003E-2</v>
          </cell>
          <cell r="I365">
            <v>90</v>
          </cell>
          <cell r="J365">
            <v>22742</v>
          </cell>
          <cell r="K365">
            <v>4573</v>
          </cell>
          <cell r="L365">
            <v>4573</v>
          </cell>
          <cell r="M365">
            <v>415.6</v>
          </cell>
          <cell r="N365">
            <v>422.75</v>
          </cell>
          <cell r="O365" t="str">
            <v>01.10.94</v>
          </cell>
          <cell r="P365">
            <v>405.9</v>
          </cell>
          <cell r="Q365" t="str">
            <v>19.06.94</v>
          </cell>
        </row>
        <row r="366">
          <cell r="B366" t="str">
            <v>95-96</v>
          </cell>
          <cell r="C366">
            <v>90</v>
          </cell>
          <cell r="D366">
            <v>540</v>
          </cell>
          <cell r="E366">
            <v>561.9</v>
          </cell>
          <cell r="F366">
            <v>104.05555555555556</v>
          </cell>
          <cell r="G366">
            <v>0.1</v>
          </cell>
          <cell r="H366">
            <v>1.7796760989499911E-2</v>
          </cell>
          <cell r="I366">
            <v>90</v>
          </cell>
          <cell r="J366">
            <v>9012</v>
          </cell>
          <cell r="K366">
            <v>4894</v>
          </cell>
          <cell r="L366">
            <v>4894</v>
          </cell>
          <cell r="M366">
            <v>411.2</v>
          </cell>
          <cell r="N366">
            <v>422.45</v>
          </cell>
          <cell r="O366" t="str">
            <v>16.09.95</v>
          </cell>
          <cell r="P366">
            <v>409.35</v>
          </cell>
          <cell r="Q366" t="str">
            <v>06.07.95</v>
          </cell>
        </row>
        <row r="367">
          <cell r="B367" t="str">
            <v>96-97</v>
          </cell>
          <cell r="C367">
            <v>90</v>
          </cell>
          <cell r="D367">
            <v>540</v>
          </cell>
          <cell r="E367">
            <v>486.9</v>
          </cell>
          <cell r="F367">
            <v>90.166666666666671</v>
          </cell>
          <cell r="G367">
            <v>0.1</v>
          </cell>
          <cell r="H367">
            <v>2.0538098172109262E-2</v>
          </cell>
          <cell r="I367">
            <v>90</v>
          </cell>
          <cell r="J367">
            <v>18701</v>
          </cell>
          <cell r="M367">
            <v>411.35</v>
          </cell>
          <cell r="N367">
            <v>422.1</v>
          </cell>
          <cell r="O367" t="str">
            <v>20.09.96</v>
          </cell>
          <cell r="P367">
            <v>405.05</v>
          </cell>
          <cell r="Q367" t="str">
            <v>14.07.96</v>
          </cell>
        </row>
        <row r="368">
          <cell r="B368" t="str">
            <v>97-98</v>
          </cell>
          <cell r="C368">
            <v>90</v>
          </cell>
          <cell r="D368">
            <v>540</v>
          </cell>
          <cell r="E368">
            <v>567.63</v>
          </cell>
          <cell r="F368">
            <v>105.11666666666666</v>
          </cell>
          <cell r="G368">
            <v>0.11</v>
          </cell>
          <cell r="H368">
            <v>1.9378820710674208E-2</v>
          </cell>
          <cell r="I368">
            <v>90</v>
          </cell>
          <cell r="J368">
            <v>9016.1</v>
          </cell>
          <cell r="K368">
            <v>4491</v>
          </cell>
          <cell r="M368">
            <v>416.75</v>
          </cell>
          <cell r="N368">
            <v>422.75</v>
          </cell>
          <cell r="O368" t="str">
            <v>17.09.97</v>
          </cell>
          <cell r="P368">
            <v>404.75</v>
          </cell>
          <cell r="Q368" t="str">
            <v>27.06.97</v>
          </cell>
        </row>
        <row r="369">
          <cell r="B369" t="str">
            <v>98-99</v>
          </cell>
          <cell r="C369">
            <v>90</v>
          </cell>
          <cell r="D369">
            <v>550</v>
          </cell>
          <cell r="E369">
            <v>652.70000000000005</v>
          </cell>
          <cell r="F369">
            <v>118.67272727272729</v>
          </cell>
          <cell r="G369">
            <v>0.1</v>
          </cell>
          <cell r="H369">
            <v>1.5320974413972727E-2</v>
          </cell>
          <cell r="I369">
            <v>90</v>
          </cell>
          <cell r="J369">
            <v>0</v>
          </cell>
          <cell r="K369" t="str">
            <v xml:space="preserve"> </v>
          </cell>
          <cell r="L369" t="str">
            <v xml:space="preserve"> </v>
          </cell>
          <cell r="M369">
            <v>410.45</v>
          </cell>
          <cell r="N369">
            <v>422.76</v>
          </cell>
          <cell r="O369" t="str">
            <v>19.09.98</v>
          </cell>
          <cell r="P369">
            <v>407.5</v>
          </cell>
          <cell r="Q369" t="str">
            <v>11.06.98</v>
          </cell>
        </row>
        <row r="370">
          <cell r="B370" t="str">
            <v>99-00</v>
          </cell>
          <cell r="C370">
            <v>90</v>
          </cell>
          <cell r="D370">
            <v>550</v>
          </cell>
          <cell r="E370">
            <v>480.3</v>
          </cell>
          <cell r="F370">
            <v>87.3</v>
          </cell>
          <cell r="G370">
            <v>0.6</v>
          </cell>
          <cell r="H370">
            <v>0.12492192379762648</v>
          </cell>
          <cell r="I370">
            <v>90</v>
          </cell>
          <cell r="J370">
            <v>22028.13</v>
          </cell>
          <cell r="K370">
            <v>4179.07</v>
          </cell>
          <cell r="M370">
            <v>411.05</v>
          </cell>
          <cell r="N370">
            <v>423.55</v>
          </cell>
          <cell r="P370">
            <v>406.9</v>
          </cell>
        </row>
        <row r="371">
          <cell r="B371" t="str">
            <v>00-01</v>
          </cell>
          <cell r="C371">
            <v>90</v>
          </cell>
          <cell r="D371">
            <v>550</v>
          </cell>
          <cell r="E371">
            <v>363.84</v>
          </cell>
          <cell r="F371">
            <v>66.150000000000006</v>
          </cell>
          <cell r="G371">
            <v>0.61</v>
          </cell>
          <cell r="H371">
            <v>0.16765611257695692</v>
          </cell>
          <cell r="I371">
            <v>90</v>
          </cell>
          <cell r="M371">
            <v>410</v>
          </cell>
        </row>
        <row r="372">
          <cell r="A372" t="str">
            <v>Average last 5 years</v>
          </cell>
          <cell r="D372">
            <v>544</v>
          </cell>
          <cell r="E372">
            <v>549.88600000000008</v>
          </cell>
          <cell r="F372">
            <v>101.06232323232324</v>
          </cell>
          <cell r="G372">
            <v>0.20200000000000001</v>
          </cell>
          <cell r="H372">
            <v>3.9591315616776521E-2</v>
          </cell>
          <cell r="I372">
            <v>90</v>
          </cell>
          <cell r="J372">
            <v>11751.446</v>
          </cell>
          <cell r="K372">
            <v>2712.8139999999999</v>
          </cell>
          <cell r="L372">
            <v>978.8</v>
          </cell>
          <cell r="M372">
            <v>412.16</v>
          </cell>
          <cell r="N372">
            <v>422.56200000000007</v>
          </cell>
          <cell r="O372">
            <v>0</v>
          </cell>
          <cell r="P372">
            <v>406.51</v>
          </cell>
          <cell r="Q372">
            <v>0</v>
          </cell>
        </row>
        <row r="373">
          <cell r="A373" t="str">
            <v>TONS</v>
          </cell>
          <cell r="B373" t="str">
            <v>88-89</v>
          </cell>
        </row>
        <row r="374">
          <cell r="B374" t="str">
            <v>89-90</v>
          </cell>
        </row>
        <row r="375">
          <cell r="B375" t="str">
            <v>90-91</v>
          </cell>
          <cell r="C375">
            <v>0</v>
          </cell>
          <cell r="D375">
            <v>50</v>
          </cell>
          <cell r="E375">
            <v>0</v>
          </cell>
          <cell r="F375">
            <v>0</v>
          </cell>
          <cell r="G375" t="str">
            <v xml:space="preserve"> </v>
          </cell>
        </row>
        <row r="376">
          <cell r="B376" t="str">
            <v>91-92</v>
          </cell>
          <cell r="C376">
            <v>315</v>
          </cell>
          <cell r="D376">
            <v>761</v>
          </cell>
          <cell r="E376">
            <v>6.59</v>
          </cell>
          <cell r="F376">
            <v>0.86596583442838371</v>
          </cell>
          <cell r="G376" t="str">
            <v xml:space="preserve"> </v>
          </cell>
        </row>
        <row r="377">
          <cell r="B377" t="str">
            <v>92-93</v>
          </cell>
          <cell r="C377">
            <v>315</v>
          </cell>
          <cell r="D377">
            <v>700</v>
          </cell>
          <cell r="E377">
            <v>322.45</v>
          </cell>
          <cell r="F377">
            <v>46.064285714285717</v>
          </cell>
          <cell r="G377">
            <v>3.1</v>
          </cell>
          <cell r="H377">
            <v>0.96138936269189024</v>
          </cell>
          <cell r="I377">
            <v>315</v>
          </cell>
          <cell r="M377">
            <v>277.8</v>
          </cell>
          <cell r="N377">
            <v>283.2</v>
          </cell>
          <cell r="O377" t="str">
            <v>17.09.92</v>
          </cell>
          <cell r="P377">
            <v>274.3</v>
          </cell>
          <cell r="Q377" t="str">
            <v>28.02.93</v>
          </cell>
        </row>
        <row r="378">
          <cell r="B378" t="str">
            <v>93-94</v>
          </cell>
          <cell r="C378">
            <v>315</v>
          </cell>
          <cell r="D378">
            <v>410</v>
          </cell>
          <cell r="E378">
            <v>300.02724999999998</v>
          </cell>
          <cell r="F378">
            <v>73.177378048780483</v>
          </cell>
          <cell r="G378">
            <v>2.15</v>
          </cell>
          <cell r="H378">
            <v>0.71660157535690516</v>
          </cell>
          <cell r="I378">
            <v>315</v>
          </cell>
          <cell r="M378">
            <v>277.10000000000002</v>
          </cell>
          <cell r="N378">
            <v>280.5</v>
          </cell>
          <cell r="O378" t="str">
            <v>29.09.93</v>
          </cell>
          <cell r="P378">
            <v>275.7</v>
          </cell>
          <cell r="Q378" t="str">
            <v>18.04.93</v>
          </cell>
        </row>
        <row r="379">
          <cell r="B379" t="str">
            <v>94-95</v>
          </cell>
          <cell r="C379">
            <v>315</v>
          </cell>
          <cell r="D379">
            <v>350</v>
          </cell>
          <cell r="E379">
            <v>457</v>
          </cell>
          <cell r="F379">
            <v>130.57142857142858</v>
          </cell>
          <cell r="G379">
            <v>1.2</v>
          </cell>
          <cell r="H379">
            <v>0.26258205689277897</v>
          </cell>
          <cell r="I379">
            <v>315</v>
          </cell>
          <cell r="M379">
            <v>277.10000000000002</v>
          </cell>
          <cell r="N379">
            <v>280.5</v>
          </cell>
          <cell r="O379" t="str">
            <v>21.09.94</v>
          </cell>
          <cell r="P379">
            <v>277.10000000000002</v>
          </cell>
          <cell r="Q379" t="str">
            <v>01.04.94</v>
          </cell>
        </row>
        <row r="380">
          <cell r="B380" t="str">
            <v>95-96</v>
          </cell>
          <cell r="C380">
            <v>315</v>
          </cell>
          <cell r="D380">
            <v>350</v>
          </cell>
          <cell r="E380">
            <v>257.3</v>
          </cell>
          <cell r="F380">
            <v>73.51428571428572</v>
          </cell>
          <cell r="G380">
            <v>1.5</v>
          </cell>
          <cell r="H380">
            <v>0.58297706956859696</v>
          </cell>
          <cell r="I380">
            <v>210</v>
          </cell>
          <cell r="M380">
            <v>277.3</v>
          </cell>
          <cell r="N380">
            <v>280.39999999999998</v>
          </cell>
          <cell r="O380" t="str">
            <v>19.10.95</v>
          </cell>
          <cell r="P380">
            <v>277</v>
          </cell>
          <cell r="Q380" t="str">
            <v>05.07.95</v>
          </cell>
        </row>
        <row r="381">
          <cell r="B381" t="str">
            <v>96-97</v>
          </cell>
          <cell r="C381">
            <v>315</v>
          </cell>
          <cell r="D381">
            <v>350</v>
          </cell>
          <cell r="E381">
            <v>324.3</v>
          </cell>
          <cell r="F381">
            <v>92.657142857142858</v>
          </cell>
          <cell r="G381">
            <v>1.3</v>
          </cell>
          <cell r="H381">
            <v>0.40086339808818994</v>
          </cell>
          <cell r="I381">
            <v>315</v>
          </cell>
          <cell r="J381">
            <v>721.2</v>
          </cell>
          <cell r="M381">
            <v>277.2</v>
          </cell>
          <cell r="N381">
            <v>280.39999999999998</v>
          </cell>
          <cell r="O381" t="str">
            <v>14.09.96</v>
          </cell>
          <cell r="P381">
            <v>277</v>
          </cell>
          <cell r="Q381" t="str">
            <v>10.06.96</v>
          </cell>
        </row>
        <row r="382">
          <cell r="B382" t="str">
            <v>97-98</v>
          </cell>
          <cell r="C382">
            <v>315</v>
          </cell>
          <cell r="D382">
            <v>350</v>
          </cell>
          <cell r="E382">
            <v>501.98</v>
          </cell>
          <cell r="F382">
            <v>143.42285714285714</v>
          </cell>
          <cell r="G382">
            <v>1.8540000000000001</v>
          </cell>
          <cell r="H382">
            <v>0.36933742380174511</v>
          </cell>
          <cell r="I382">
            <v>315</v>
          </cell>
          <cell r="M382">
            <v>277.2</v>
          </cell>
          <cell r="N382">
            <v>280.60000000000002</v>
          </cell>
          <cell r="O382" t="str">
            <v>02.09.97</v>
          </cell>
          <cell r="P382">
            <v>277.2</v>
          </cell>
          <cell r="Q382" t="str">
            <v>17.02.98</v>
          </cell>
        </row>
        <row r="383">
          <cell r="B383" t="str">
            <v>98-99</v>
          </cell>
          <cell r="C383">
            <v>315</v>
          </cell>
          <cell r="D383">
            <v>350</v>
          </cell>
          <cell r="E383">
            <v>429.3</v>
          </cell>
          <cell r="F383">
            <v>122.65714285714286</v>
          </cell>
          <cell r="G383">
            <v>1.4</v>
          </cell>
          <cell r="H383">
            <v>0.32611227579781038</v>
          </cell>
          <cell r="I383">
            <v>315</v>
          </cell>
          <cell r="J383">
            <v>0</v>
          </cell>
          <cell r="K383">
            <v>0</v>
          </cell>
          <cell r="M383">
            <v>277</v>
          </cell>
          <cell r="N383">
            <v>279.89999999999998</v>
          </cell>
          <cell r="O383" t="str">
            <v>01.11.98</v>
          </cell>
          <cell r="P383">
            <v>277</v>
          </cell>
          <cell r="Q383" t="str">
            <v>20.06.98</v>
          </cell>
        </row>
        <row r="384">
          <cell r="B384" t="str">
            <v>99-00</v>
          </cell>
          <cell r="C384">
            <v>315</v>
          </cell>
          <cell r="D384">
            <v>350</v>
          </cell>
          <cell r="E384">
            <v>570</v>
          </cell>
          <cell r="F384">
            <v>162.85714285714286</v>
          </cell>
          <cell r="G384">
            <v>1.6</v>
          </cell>
          <cell r="H384">
            <v>0.2807017543859649</v>
          </cell>
          <cell r="I384">
            <v>315</v>
          </cell>
          <cell r="M384">
            <v>275</v>
          </cell>
          <cell r="N384">
            <v>406.9</v>
          </cell>
          <cell r="P384">
            <v>280.5</v>
          </cell>
        </row>
        <row r="385">
          <cell r="B385" t="str">
            <v>00-01</v>
          </cell>
          <cell r="C385">
            <v>315</v>
          </cell>
          <cell r="D385">
            <v>425</v>
          </cell>
          <cell r="E385">
            <v>745.37</v>
          </cell>
          <cell r="F385">
            <v>175.38</v>
          </cell>
          <cell r="G385">
            <v>2.7</v>
          </cell>
          <cell r="H385">
            <v>0.36223620483786578</v>
          </cell>
          <cell r="I385">
            <v>315</v>
          </cell>
          <cell r="M385">
            <v>276.3</v>
          </cell>
        </row>
        <row r="386">
          <cell r="A386" t="str">
            <v>Average</v>
          </cell>
          <cell r="D386">
            <v>496.375</v>
          </cell>
          <cell r="E386">
            <v>396.11840625000002</v>
          </cell>
          <cell r="F386">
            <v>105.72345369968683</v>
          </cell>
          <cell r="G386">
            <v>2.1004999999999998</v>
          </cell>
          <cell r="H386">
            <v>0.53285014017771848</v>
          </cell>
          <cell r="I386">
            <v>341.25</v>
          </cell>
          <cell r="J386">
            <v>90.15</v>
          </cell>
          <cell r="K386">
            <v>0</v>
          </cell>
          <cell r="L386">
            <v>0</v>
          </cell>
          <cell r="M386">
            <v>311.50000000000006</v>
          </cell>
          <cell r="N386">
            <v>406.9</v>
          </cell>
          <cell r="O386" t="str">
            <v xml:space="preserve"> </v>
          </cell>
          <cell r="P386">
            <v>274.3</v>
          </cell>
          <cell r="Q386" t="str">
            <v xml:space="preserve"> </v>
          </cell>
        </row>
        <row r="387">
          <cell r="A387" t="str">
            <v>BIRSINGHPUR</v>
          </cell>
          <cell r="B387" t="str">
            <v>88-89</v>
          </cell>
        </row>
        <row r="388">
          <cell r="B388" t="str">
            <v>89-90</v>
          </cell>
        </row>
        <row r="389">
          <cell r="B389" t="str">
            <v>90-91</v>
          </cell>
          <cell r="C389">
            <v>0</v>
          </cell>
          <cell r="D389">
            <v>0</v>
          </cell>
          <cell r="E389">
            <v>0</v>
          </cell>
          <cell r="F389" t="str">
            <v xml:space="preserve"> </v>
          </cell>
          <cell r="I389" t="str">
            <v xml:space="preserve"> </v>
          </cell>
        </row>
        <row r="390">
          <cell r="B390" t="str">
            <v>91-92</v>
          </cell>
          <cell r="C390">
            <v>0</v>
          </cell>
          <cell r="D390">
            <v>0</v>
          </cell>
          <cell r="E390">
            <v>0</v>
          </cell>
          <cell r="F390" t="str">
            <v xml:space="preserve"> </v>
          </cell>
          <cell r="I390" t="str">
            <v xml:space="preserve"> </v>
          </cell>
        </row>
        <row r="391">
          <cell r="B391" t="str">
            <v>92-93</v>
          </cell>
          <cell r="C391">
            <v>20</v>
          </cell>
          <cell r="D391">
            <v>50</v>
          </cell>
          <cell r="E391">
            <v>18.38</v>
          </cell>
          <cell r="F391">
            <v>36.76</v>
          </cell>
          <cell r="G391">
            <v>0.1</v>
          </cell>
          <cell r="H391">
            <v>0.54406964091403698</v>
          </cell>
          <cell r="I391">
            <v>21</v>
          </cell>
          <cell r="M391">
            <v>472.9</v>
          </cell>
          <cell r="N391">
            <v>476.1</v>
          </cell>
          <cell r="O391" t="str">
            <v>15.09.92</v>
          </cell>
          <cell r="P391">
            <v>470.8</v>
          </cell>
          <cell r="Q391" t="str">
            <v>02.08.92</v>
          </cell>
        </row>
        <row r="392">
          <cell r="B392" t="str">
            <v>93-94</v>
          </cell>
          <cell r="C392">
            <v>20</v>
          </cell>
          <cell r="D392">
            <v>50</v>
          </cell>
          <cell r="E392">
            <v>35.423999999999999</v>
          </cell>
          <cell r="F392">
            <v>70.847999999999999</v>
          </cell>
          <cell r="G392">
            <v>0.8</v>
          </cell>
          <cell r="H392">
            <v>2.2583559168925023</v>
          </cell>
          <cell r="I392">
            <v>21</v>
          </cell>
          <cell r="M392">
            <v>475.97</v>
          </cell>
          <cell r="N392">
            <v>477</v>
          </cell>
          <cell r="O392" t="str">
            <v>21.09.93</v>
          </cell>
          <cell r="P392">
            <v>469.1</v>
          </cell>
          <cell r="Q392" t="str">
            <v>01.07.93</v>
          </cell>
        </row>
        <row r="393">
          <cell r="B393" t="str">
            <v>94-95</v>
          </cell>
          <cell r="C393">
            <v>20</v>
          </cell>
          <cell r="D393">
            <v>30</v>
          </cell>
          <cell r="E393">
            <v>60.3</v>
          </cell>
          <cell r="F393">
            <v>201</v>
          </cell>
          <cell r="G393">
            <v>1</v>
          </cell>
          <cell r="H393">
            <v>1.6583747927031509</v>
          </cell>
          <cell r="I393">
            <v>20</v>
          </cell>
          <cell r="J393">
            <v>1985</v>
          </cell>
          <cell r="M393">
            <v>474.7</v>
          </cell>
          <cell r="N393">
            <v>476.82</v>
          </cell>
          <cell r="O393" t="str">
            <v>01.12.94</v>
          </cell>
          <cell r="P393">
            <v>472.62</v>
          </cell>
          <cell r="Q393" t="str">
            <v>20.06.94</v>
          </cell>
        </row>
        <row r="394">
          <cell r="B394" t="str">
            <v>95-96</v>
          </cell>
          <cell r="C394">
            <v>20</v>
          </cell>
          <cell r="D394">
            <v>30</v>
          </cell>
          <cell r="E394">
            <v>43.1</v>
          </cell>
          <cell r="F394">
            <v>143.66666666666666</v>
          </cell>
          <cell r="G394">
            <v>0.9</v>
          </cell>
          <cell r="H394">
            <v>2.0881670533642689</v>
          </cell>
          <cell r="I394">
            <v>20</v>
          </cell>
          <cell r="J394">
            <v>690</v>
          </cell>
          <cell r="M394">
            <v>474.69</v>
          </cell>
          <cell r="N394">
            <v>476.28</v>
          </cell>
          <cell r="O394" t="str">
            <v>29.08.95</v>
          </cell>
          <cell r="P394">
            <v>471.83</v>
          </cell>
          <cell r="Q394" t="str">
            <v>13.07.95</v>
          </cell>
        </row>
        <row r="395">
          <cell r="B395" t="str">
            <v>96-97</v>
          </cell>
          <cell r="C395">
            <v>20</v>
          </cell>
          <cell r="D395">
            <v>30</v>
          </cell>
          <cell r="E395">
            <v>39</v>
          </cell>
          <cell r="F395">
            <v>130</v>
          </cell>
          <cell r="G395">
            <v>0.8</v>
          </cell>
          <cell r="H395">
            <v>2.0512820512820511</v>
          </cell>
          <cell r="I395">
            <v>20</v>
          </cell>
          <cell r="J395" t="str">
            <v xml:space="preserve"> </v>
          </cell>
          <cell r="M395">
            <v>475.01</v>
          </cell>
          <cell r="N395">
            <v>476.75</v>
          </cell>
          <cell r="O395" t="str">
            <v>18.09.96</v>
          </cell>
          <cell r="P395">
            <v>472.49</v>
          </cell>
          <cell r="Q395" t="str">
            <v>26.06.96</v>
          </cell>
        </row>
        <row r="396">
          <cell r="B396" t="str">
            <v>97-98</v>
          </cell>
          <cell r="C396">
            <v>20</v>
          </cell>
          <cell r="D396">
            <v>30</v>
          </cell>
          <cell r="E396">
            <v>68.23</v>
          </cell>
          <cell r="F396">
            <v>227.43333333333334</v>
          </cell>
          <cell r="G396">
            <v>0.63800000000000001</v>
          </cell>
          <cell r="H396">
            <v>0.93507254873222923</v>
          </cell>
          <cell r="I396">
            <v>20</v>
          </cell>
          <cell r="J396">
            <v>1177.4000000000001</v>
          </cell>
          <cell r="K396">
            <v>608.4</v>
          </cell>
          <cell r="M396">
            <v>475.65</v>
          </cell>
          <cell r="N396">
            <v>476.9</v>
          </cell>
          <cell r="O396" t="str">
            <v>17.09.97</v>
          </cell>
          <cell r="P396">
            <v>472.41</v>
          </cell>
          <cell r="Q396" t="str">
            <v>14.07.97</v>
          </cell>
        </row>
        <row r="397">
          <cell r="B397" t="str">
            <v>98-99</v>
          </cell>
          <cell r="C397">
            <v>20</v>
          </cell>
          <cell r="D397">
            <v>50</v>
          </cell>
          <cell r="E397">
            <v>40.4</v>
          </cell>
          <cell r="F397">
            <v>80.8</v>
          </cell>
          <cell r="G397">
            <v>0.4</v>
          </cell>
          <cell r="H397">
            <v>0.99009900990099009</v>
          </cell>
          <cell r="I397">
            <v>20</v>
          </cell>
          <cell r="J397">
            <v>0</v>
          </cell>
          <cell r="K397">
            <v>608.4</v>
          </cell>
          <cell r="M397">
            <v>474.63</v>
          </cell>
          <cell r="N397">
            <v>476.71</v>
          </cell>
          <cell r="O397" t="str">
            <v>14.09.98</v>
          </cell>
          <cell r="P397">
            <v>473.45</v>
          </cell>
          <cell r="Q397" t="str">
            <v>02.06.98</v>
          </cell>
        </row>
        <row r="398">
          <cell r="B398" t="str">
            <v>99-00</v>
          </cell>
          <cell r="C398">
            <v>20</v>
          </cell>
          <cell r="D398">
            <v>55</v>
          </cell>
          <cell r="E398">
            <v>46.3</v>
          </cell>
          <cell r="F398">
            <v>84.181818181818187</v>
          </cell>
          <cell r="G398">
            <v>0.3</v>
          </cell>
          <cell r="H398">
            <v>0.64794816414686829</v>
          </cell>
          <cell r="I398">
            <v>20</v>
          </cell>
          <cell r="M398">
            <v>475.37</v>
          </cell>
          <cell r="N398">
            <v>476.92</v>
          </cell>
          <cell r="P398">
            <v>472.95</v>
          </cell>
        </row>
        <row r="399">
          <cell r="B399" t="str">
            <v>00-01</v>
          </cell>
          <cell r="C399">
            <v>20</v>
          </cell>
          <cell r="D399">
            <v>50</v>
          </cell>
          <cell r="E399">
            <v>34.71</v>
          </cell>
          <cell r="F399">
            <v>99.18</v>
          </cell>
          <cell r="G399">
            <v>0.37</v>
          </cell>
          <cell r="H399">
            <v>1.065975223278594</v>
          </cell>
          <cell r="I399">
            <v>20</v>
          </cell>
          <cell r="M399">
            <v>474.48</v>
          </cell>
        </row>
        <row r="400">
          <cell r="A400" t="str">
            <v>Average</v>
          </cell>
          <cell r="D400">
            <v>81</v>
          </cell>
          <cell r="E400">
            <v>85.354250000000008</v>
          </cell>
          <cell r="F400">
            <v>158.5635</v>
          </cell>
          <cell r="G400">
            <v>47.829749999999997</v>
          </cell>
          <cell r="H400">
            <v>48.565677626723655</v>
          </cell>
          <cell r="I400">
            <v>65</v>
          </cell>
          <cell r="J400">
            <v>528.79999999999995</v>
          </cell>
          <cell r="K400">
            <v>199.35</v>
          </cell>
          <cell r="L400">
            <v>47.25</v>
          </cell>
          <cell r="M400">
            <v>462.69375000000002</v>
          </cell>
          <cell r="N400">
            <v>477</v>
          </cell>
          <cell r="O400" t="str">
            <v xml:space="preserve"> </v>
          </cell>
          <cell r="P400">
            <v>469.1</v>
          </cell>
          <cell r="Q400" t="str">
            <v xml:space="preserve"> </v>
          </cell>
        </row>
        <row r="401">
          <cell r="A401" t="str">
            <v>STATE  LOAD  DESPATCH  CENTRE  M.P.E.B.  JABALPUR</v>
          </cell>
        </row>
        <row r="402">
          <cell r="A402" t="str">
            <v>HYDEL</v>
          </cell>
        </row>
        <row r="403">
          <cell r="A403" t="str">
            <v>STATION NAME</v>
          </cell>
          <cell r="B403" t="str">
            <v>YEAR</v>
          </cell>
          <cell r="C403" t="str">
            <v>CAPACITY</v>
          </cell>
          <cell r="D403" t="str">
            <v>TARGET</v>
          </cell>
          <cell r="E403" t="str">
            <v>ACTUAL GENE.</v>
          </cell>
          <cell r="F403" t="str">
            <v>ACHIEVE-MENT</v>
          </cell>
          <cell r="G403" t="str">
            <v>AUXILIARY CONSUMPTION</v>
          </cell>
          <cell r="I403" t="str">
            <v>MAXIMUM DEMAND</v>
          </cell>
          <cell r="J403" t="str">
            <v>WATER INFLOW</v>
          </cell>
          <cell r="K403" t="str">
            <v>WATER CONSUMED</v>
          </cell>
          <cell r="L403" t="str">
            <v>WATER CONSUMED</v>
          </cell>
          <cell r="M403" t="str">
            <v>LEVEL AT THE END</v>
          </cell>
          <cell r="N403" t="str">
            <v>MAXIMUM LEVEL</v>
          </cell>
          <cell r="P403" t="str">
            <v>MINIMUM LEVEL</v>
          </cell>
        </row>
        <row r="404">
          <cell r="C404" t="str">
            <v>MW</v>
          </cell>
          <cell r="D404" t="str">
            <v>MKwh</v>
          </cell>
          <cell r="E404" t="str">
            <v>MKwh</v>
          </cell>
          <cell r="F404" t="str">
            <v>%</v>
          </cell>
          <cell r="G404" t="str">
            <v>MKwh</v>
          </cell>
          <cell r="H404" t="str">
            <v>%</v>
          </cell>
          <cell r="I404" t="str">
            <v>MW</v>
          </cell>
          <cell r="J404" t="str">
            <v>MAFT</v>
          </cell>
          <cell r="K404" t="str">
            <v>MCM</v>
          </cell>
          <cell r="L404" t="str">
            <v>MCM</v>
          </cell>
          <cell r="M404" t="str">
            <v>FT / M</v>
          </cell>
          <cell r="N404" t="str">
            <v>FT / M</v>
          </cell>
          <cell r="O404" t="str">
            <v>DATE</v>
          </cell>
          <cell r="P404" t="str">
            <v>FT / M</v>
          </cell>
          <cell r="Q404" t="str">
            <v>DATE</v>
          </cell>
        </row>
        <row r="405">
          <cell r="A405" t="str">
            <v>HASDEO BANGO</v>
          </cell>
          <cell r="B405" t="str">
            <v>94-95</v>
          </cell>
          <cell r="C405">
            <v>120</v>
          </cell>
          <cell r="D405">
            <v>250</v>
          </cell>
          <cell r="E405">
            <v>256.10000000000002</v>
          </cell>
          <cell r="F405">
            <v>102.44000000000001</v>
          </cell>
          <cell r="G405">
            <v>8</v>
          </cell>
          <cell r="H405">
            <v>3.1237797735259663</v>
          </cell>
          <cell r="I405">
            <v>120</v>
          </cell>
          <cell r="J405">
            <v>6240</v>
          </cell>
          <cell r="M405">
            <v>349</v>
          </cell>
          <cell r="N405">
            <v>359.28</v>
          </cell>
          <cell r="O405" t="str">
            <v>09.10.94</v>
          </cell>
          <cell r="P405">
            <v>347.8</v>
          </cell>
          <cell r="Q405" t="str">
            <v>10.06.94</v>
          </cell>
        </row>
        <row r="406">
          <cell r="B406" t="str">
            <v>95-96</v>
          </cell>
          <cell r="C406">
            <v>120</v>
          </cell>
          <cell r="D406">
            <v>250</v>
          </cell>
          <cell r="E406">
            <v>296.8</v>
          </cell>
          <cell r="F406">
            <v>118.72</v>
          </cell>
          <cell r="G406">
            <v>3.5</v>
          </cell>
          <cell r="H406">
            <v>1.1792452830188678</v>
          </cell>
          <cell r="I406">
            <v>127</v>
          </cell>
          <cell r="J406">
            <v>2389</v>
          </cell>
          <cell r="M406">
            <v>347.98</v>
          </cell>
          <cell r="N406">
            <v>355.5</v>
          </cell>
          <cell r="O406" t="str">
            <v>18.09.95</v>
          </cell>
          <cell r="P406">
            <v>342.6</v>
          </cell>
          <cell r="Q406" t="str">
            <v>20.06.95</v>
          </cell>
        </row>
        <row r="407">
          <cell r="B407" t="str">
            <v>96-97</v>
          </cell>
          <cell r="C407">
            <v>120</v>
          </cell>
          <cell r="D407">
            <v>350</v>
          </cell>
          <cell r="E407">
            <v>359.1</v>
          </cell>
          <cell r="F407">
            <v>102.6</v>
          </cell>
          <cell r="G407">
            <v>2.4</v>
          </cell>
          <cell r="H407">
            <v>0.66833751044277356</v>
          </cell>
          <cell r="I407">
            <v>126</v>
          </cell>
          <cell r="M407">
            <v>345</v>
          </cell>
          <cell r="N407">
            <v>357.08</v>
          </cell>
          <cell r="O407" t="str">
            <v>18.09.96</v>
          </cell>
          <cell r="P407">
            <v>344.17</v>
          </cell>
          <cell r="Q407" t="str">
            <v>20.06.96</v>
          </cell>
        </row>
        <row r="408">
          <cell r="B408" t="str">
            <v>97-98</v>
          </cell>
          <cell r="C408">
            <v>120</v>
          </cell>
          <cell r="D408">
            <v>350</v>
          </cell>
          <cell r="E408">
            <v>189.14</v>
          </cell>
          <cell r="F408">
            <v>54.04</v>
          </cell>
          <cell r="G408">
            <v>0.27700000000000002</v>
          </cell>
          <cell r="H408">
            <v>0.14645236332875122</v>
          </cell>
          <cell r="I408">
            <v>130</v>
          </cell>
          <cell r="K408">
            <v>2745.8</v>
          </cell>
          <cell r="M408">
            <v>355.56</v>
          </cell>
          <cell r="N408">
            <v>357.17</v>
          </cell>
          <cell r="O408" t="str">
            <v>24.09.97</v>
          </cell>
          <cell r="P408">
            <v>341.04</v>
          </cell>
          <cell r="Q408" t="str">
            <v>24.06.97</v>
          </cell>
        </row>
        <row r="409">
          <cell r="B409" t="str">
            <v>98-99</v>
          </cell>
          <cell r="C409">
            <v>120</v>
          </cell>
          <cell r="D409">
            <v>350</v>
          </cell>
          <cell r="E409">
            <v>610.92740000000003</v>
          </cell>
          <cell r="F409">
            <v>174.55068571428572</v>
          </cell>
          <cell r="G409">
            <v>0.36320999999999998</v>
          </cell>
          <cell r="H409">
            <v>5.9452236059472856E-2</v>
          </cell>
          <cell r="I409">
            <v>124</v>
          </cell>
          <cell r="K409">
            <v>2745.8</v>
          </cell>
          <cell r="M409">
            <v>334.51</v>
          </cell>
          <cell r="N409">
            <v>357.1</v>
          </cell>
          <cell r="O409" t="str">
            <v>03.10.98</v>
          </cell>
          <cell r="P409">
            <v>343.6</v>
          </cell>
          <cell r="Q409" t="str">
            <v>30.03.99</v>
          </cell>
        </row>
        <row r="410">
          <cell r="B410" t="str">
            <v>99-00</v>
          </cell>
          <cell r="C410">
            <v>120</v>
          </cell>
          <cell r="D410">
            <v>350</v>
          </cell>
          <cell r="E410">
            <v>430.4</v>
          </cell>
          <cell r="F410">
            <v>122.97142857142858</v>
          </cell>
          <cell r="G410">
            <v>0.3</v>
          </cell>
          <cell r="H410">
            <v>6.9702602230483274E-2</v>
          </cell>
          <cell r="I410">
            <v>123</v>
          </cell>
          <cell r="J410">
            <v>4046.5</v>
          </cell>
          <cell r="K410" t="str">
            <v xml:space="preserve"> </v>
          </cell>
          <cell r="M410">
            <v>344.57</v>
          </cell>
          <cell r="N410">
            <v>357.8</v>
          </cell>
          <cell r="P410">
            <v>338.38</v>
          </cell>
        </row>
        <row r="411">
          <cell r="B411" t="str">
            <v>00-01</v>
          </cell>
          <cell r="C411">
            <v>120</v>
          </cell>
          <cell r="D411">
            <v>400</v>
          </cell>
          <cell r="E411">
            <v>233.76</v>
          </cell>
          <cell r="F411">
            <v>58.44</v>
          </cell>
          <cell r="G411">
            <v>0.47</v>
          </cell>
          <cell r="H411">
            <v>0.2010609171800137</v>
          </cell>
          <cell r="I411">
            <v>121</v>
          </cell>
          <cell r="M411">
            <v>345.48</v>
          </cell>
        </row>
        <row r="412">
          <cell r="A412" t="str">
            <v>Average</v>
          </cell>
        </row>
        <row r="413">
          <cell r="A413" t="str">
            <v>RAJGHAT</v>
          </cell>
          <cell r="B413" t="str">
            <v>99-00</v>
          </cell>
          <cell r="C413">
            <v>15</v>
          </cell>
          <cell r="D413">
            <v>160</v>
          </cell>
          <cell r="E413">
            <v>27.28</v>
          </cell>
          <cell r="F413">
            <v>17.05</v>
          </cell>
          <cell r="G413">
            <v>0.12</v>
          </cell>
          <cell r="H413">
            <v>0.44</v>
          </cell>
          <cell r="M413">
            <v>351.7</v>
          </cell>
        </row>
        <row r="414">
          <cell r="B414" t="str">
            <v>00-01</v>
          </cell>
          <cell r="C414">
            <v>45</v>
          </cell>
          <cell r="D414">
            <v>100</v>
          </cell>
          <cell r="E414">
            <v>58.17</v>
          </cell>
          <cell r="F414">
            <v>61.24</v>
          </cell>
          <cell r="G414">
            <v>0.41</v>
          </cell>
          <cell r="H414">
            <v>0.71</v>
          </cell>
          <cell r="I414">
            <v>40</v>
          </cell>
          <cell r="M414">
            <v>359</v>
          </cell>
        </row>
        <row r="415">
          <cell r="A415" t="str">
            <v>Average</v>
          </cell>
        </row>
        <row r="416">
          <cell r="A416" t="str">
            <v>M.P.RAJGHAT</v>
          </cell>
          <cell r="B416" t="str">
            <v>99-00</v>
          </cell>
          <cell r="C416">
            <v>7.5</v>
          </cell>
          <cell r="D416">
            <v>80</v>
          </cell>
          <cell r="E416">
            <v>13.64</v>
          </cell>
          <cell r="F416">
            <v>17.05</v>
          </cell>
          <cell r="G416">
            <v>0.06</v>
          </cell>
          <cell r="H416">
            <v>0.03</v>
          </cell>
        </row>
        <row r="417">
          <cell r="B417" t="str">
            <v>00-01</v>
          </cell>
          <cell r="C417">
            <v>22.5</v>
          </cell>
          <cell r="D417">
            <v>50</v>
          </cell>
          <cell r="E417">
            <v>29.09</v>
          </cell>
          <cell r="F417">
            <v>61.24</v>
          </cell>
          <cell r="G417">
            <v>0.21</v>
          </cell>
          <cell r="H417">
            <v>0.04</v>
          </cell>
        </row>
        <row r="418">
          <cell r="A418" t="str">
            <v>Average</v>
          </cell>
          <cell r="D418">
            <v>426.66666666666669</v>
          </cell>
          <cell r="E418">
            <v>410.27956666666665</v>
          </cell>
          <cell r="F418">
            <v>112.55368571428572</v>
          </cell>
          <cell r="G418">
            <v>2.6400350000000001</v>
          </cell>
          <cell r="H418">
            <v>0.87449496143438588</v>
          </cell>
          <cell r="I418">
            <v>145.16666666666666</v>
          </cell>
          <cell r="J418">
            <v>2112.5833333333335</v>
          </cell>
          <cell r="K418">
            <v>915.26666666666677</v>
          </cell>
          <cell r="L418">
            <v>0</v>
          </cell>
          <cell r="M418">
            <v>522.13333333333333</v>
          </cell>
          <cell r="N418">
            <v>477</v>
          </cell>
          <cell r="O418" t="str">
            <v xml:space="preserve"> </v>
          </cell>
          <cell r="P418">
            <v>0</v>
          </cell>
          <cell r="Q418">
            <v>0</v>
          </cell>
        </row>
        <row r="419">
          <cell r="A419" t="str">
            <v>M.P.HYDEL</v>
          </cell>
          <cell r="B419" t="str">
            <v>88-89</v>
          </cell>
          <cell r="C419">
            <v>389.66666666666663</v>
          </cell>
          <cell r="D419">
            <v>910</v>
          </cell>
          <cell r="E419">
            <v>884.83333333333326</v>
          </cell>
          <cell r="F419">
            <v>97.234432234432234</v>
          </cell>
          <cell r="G419">
            <v>0</v>
          </cell>
          <cell r="H419">
            <v>0</v>
          </cell>
          <cell r="I419" t="str">
            <v xml:space="preserve"> </v>
          </cell>
        </row>
        <row r="420">
          <cell r="B420" t="str">
            <v>89-90</v>
          </cell>
          <cell r="C420">
            <v>389.66666666666663</v>
          </cell>
          <cell r="D420">
            <v>950</v>
          </cell>
          <cell r="E420">
            <v>872.75166666666655</v>
          </cell>
          <cell r="F420">
            <v>91.868596491228061</v>
          </cell>
          <cell r="G420">
            <v>6.2333333333333334</v>
          </cell>
          <cell r="H420">
            <v>0.71421614777781395</v>
          </cell>
          <cell r="I420" t="str">
            <v xml:space="preserve"> </v>
          </cell>
        </row>
        <row r="421">
          <cell r="B421" t="str">
            <v>90-91</v>
          </cell>
          <cell r="C421">
            <v>389.66666666666663</v>
          </cell>
          <cell r="D421">
            <v>1085</v>
          </cell>
          <cell r="E421">
            <v>1166.44</v>
          </cell>
          <cell r="F421">
            <v>107.50599078341014</v>
          </cell>
          <cell r="G421">
            <v>2.7333333333333334</v>
          </cell>
          <cell r="H421">
            <v>0.23433124149834822</v>
          </cell>
          <cell r="I421" t="str">
            <v xml:space="preserve"> </v>
          </cell>
        </row>
        <row r="422">
          <cell r="B422" t="str">
            <v>91-92</v>
          </cell>
          <cell r="C422">
            <v>704.66666666666663</v>
          </cell>
          <cell r="D422">
            <v>1846</v>
          </cell>
          <cell r="E422">
            <v>1498.6583333333333</v>
          </cell>
          <cell r="F422">
            <v>81.184091729866381</v>
          </cell>
          <cell r="G422">
            <v>4.5333333333333332</v>
          </cell>
          <cell r="H422">
            <v>0.30249278521344092</v>
          </cell>
          <cell r="I422" t="str">
            <v xml:space="preserve"> </v>
          </cell>
        </row>
        <row r="423">
          <cell r="B423" t="str">
            <v>92-93</v>
          </cell>
          <cell r="C423">
            <v>724.66666666666663</v>
          </cell>
          <cell r="D423">
            <v>1938.3333333333333</v>
          </cell>
          <cell r="E423">
            <v>1511.4950000000001</v>
          </cell>
          <cell r="F423">
            <v>77.979105760963023</v>
          </cell>
          <cell r="G423">
            <v>7.6999999999999993</v>
          </cell>
          <cell r="H423">
            <v>0.5094294059854646</v>
          </cell>
          <cell r="I423" t="str">
            <v xml:space="preserve"> </v>
          </cell>
        </row>
        <row r="424">
          <cell r="B424" t="str">
            <v>93-94</v>
          </cell>
          <cell r="C424">
            <v>724.66666666666663</v>
          </cell>
          <cell r="D424">
            <v>1990</v>
          </cell>
          <cell r="E424">
            <v>1658.25848</v>
          </cell>
          <cell r="F424">
            <v>83.329571859296479</v>
          </cell>
          <cell r="G424">
            <v>10.773333333333333</v>
          </cell>
          <cell r="H424">
            <v>0.64967756614959893</v>
          </cell>
          <cell r="I424" t="str">
            <v xml:space="preserve"> </v>
          </cell>
        </row>
        <row r="425">
          <cell r="B425" t="str">
            <v>94-95</v>
          </cell>
          <cell r="C425">
            <v>844.66666666666663</v>
          </cell>
          <cell r="D425">
            <v>2000</v>
          </cell>
          <cell r="E425">
            <v>2415.3333333333335</v>
          </cell>
          <cell r="F425">
            <v>120.76666666666667</v>
          </cell>
          <cell r="G425">
            <v>17.51774533333333</v>
          </cell>
          <cell r="H425">
            <v>0.72527237096328989</v>
          </cell>
          <cell r="I425" t="str">
            <v xml:space="preserve"> </v>
          </cell>
        </row>
        <row r="426">
          <cell r="B426" t="str">
            <v>95-96</v>
          </cell>
          <cell r="C426">
            <v>844.66666666666663</v>
          </cell>
          <cell r="D426">
            <v>2000</v>
          </cell>
          <cell r="E426">
            <v>2253.1166666666663</v>
          </cell>
          <cell r="F426">
            <v>112.65583333333332</v>
          </cell>
          <cell r="G426">
            <v>13.9</v>
          </cell>
          <cell r="H426">
            <v>0.61692322486629636</v>
          </cell>
        </row>
        <row r="427">
          <cell r="B427" t="str">
            <v>96-97</v>
          </cell>
          <cell r="C427">
            <v>844.66666666666663</v>
          </cell>
          <cell r="D427">
            <v>2200</v>
          </cell>
          <cell r="E427">
            <v>2274.25</v>
          </cell>
          <cell r="F427">
            <v>103.375</v>
          </cell>
          <cell r="G427">
            <v>10.516666666666667</v>
          </cell>
          <cell r="H427">
            <v>0.46242350958191347</v>
          </cell>
        </row>
        <row r="428">
          <cell r="B428" t="str">
            <v>97-98</v>
          </cell>
          <cell r="C428">
            <v>844.66666666666663</v>
          </cell>
          <cell r="D428">
            <v>2200</v>
          </cell>
          <cell r="E428">
            <v>2324.9116666666664</v>
          </cell>
          <cell r="F428">
            <v>105.67780303030301</v>
          </cell>
          <cell r="G428">
            <v>9.3574999999999982</v>
          </cell>
          <cell r="H428">
            <v>0.40248840995392648</v>
          </cell>
        </row>
        <row r="429">
          <cell r="B429" t="str">
            <v>98-99</v>
          </cell>
          <cell r="C429">
            <v>844.66666666666663</v>
          </cell>
          <cell r="D429">
            <v>2300</v>
          </cell>
          <cell r="E429">
            <v>2850.594066666667</v>
          </cell>
          <cell r="F429">
            <v>123.93887246376812</v>
          </cell>
          <cell r="G429">
            <v>9.596543333333333</v>
          </cell>
          <cell r="H429">
            <v>0.33665064575662362</v>
          </cell>
        </row>
        <row r="430">
          <cell r="B430" t="str">
            <v>99-00</v>
          </cell>
          <cell r="D430">
            <v>2440</v>
          </cell>
          <cell r="E430">
            <v>2507.17</v>
          </cell>
          <cell r="F430">
            <v>102.75286885245902</v>
          </cell>
          <cell r="G430">
            <v>5.9</v>
          </cell>
          <cell r="H430">
            <v>0.23532508764862373</v>
          </cell>
        </row>
        <row r="431">
          <cell r="B431" t="str">
            <v>00-01</v>
          </cell>
          <cell r="C431">
            <v>867.5</v>
          </cell>
          <cell r="D431">
            <v>2442</v>
          </cell>
          <cell r="E431">
            <v>1809.98</v>
          </cell>
          <cell r="F431">
            <v>74.118755118755118</v>
          </cell>
          <cell r="G431">
            <v>9.17</v>
          </cell>
          <cell r="H431">
            <v>0.50663543243571751</v>
          </cell>
        </row>
        <row r="432">
          <cell r="A432" t="str">
            <v>Average last 5 years</v>
          </cell>
          <cell r="D432">
            <v>2140</v>
          </cell>
          <cell r="E432">
            <v>2423.6411466666664</v>
          </cell>
          <cell r="F432">
            <v>113.28283509881423</v>
          </cell>
          <cell r="G432">
            <v>12.177691066666664</v>
          </cell>
          <cell r="H432">
            <v>0.50875163222440989</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cell r="P432" t="str">
            <v xml:space="preserve"> </v>
          </cell>
          <cell r="Q432" t="str">
            <v xml:space="preserve"> </v>
          </cell>
        </row>
        <row r="433">
          <cell r="A433" t="str">
            <v>M.P.TOTAL</v>
          </cell>
          <cell r="B433" t="str">
            <v>88-89</v>
          </cell>
          <cell r="C433">
            <v>3077.1666666666665</v>
          </cell>
          <cell r="D433">
            <v>13250</v>
          </cell>
          <cell r="E433">
            <v>12343.131333333335</v>
          </cell>
          <cell r="F433">
            <v>93.155708176100646</v>
          </cell>
          <cell r="G433">
            <v>0</v>
          </cell>
          <cell r="H433">
            <v>0</v>
          </cell>
        </row>
        <row r="434">
          <cell r="B434" t="str">
            <v>89-90</v>
          </cell>
          <cell r="C434">
            <v>3077.1666666666665</v>
          </cell>
          <cell r="D434">
            <v>13320</v>
          </cell>
          <cell r="E434">
            <v>12645.461666666666</v>
          </cell>
          <cell r="F434">
            <v>94.935898398398393</v>
          </cell>
          <cell r="G434">
            <v>1158.0333333333333</v>
          </cell>
          <cell r="H434">
            <v>9.1576991323764769</v>
          </cell>
        </row>
        <row r="435">
          <cell r="B435" t="str">
            <v>90-91</v>
          </cell>
          <cell r="C435">
            <v>2947.1666666666665</v>
          </cell>
          <cell r="D435">
            <v>14155</v>
          </cell>
          <cell r="E435">
            <v>12937.164000000001</v>
          </cell>
          <cell r="F435">
            <v>91.396425291416477</v>
          </cell>
          <cell r="G435">
            <v>1248.7273333333335</v>
          </cell>
          <cell r="H435">
            <v>9.652249390464041</v>
          </cell>
          <cell r="I435" t="str">
            <v xml:space="preserve"> </v>
          </cell>
        </row>
        <row r="436">
          <cell r="B436" t="str">
            <v>91-92</v>
          </cell>
          <cell r="C436">
            <v>3262.1666666666665</v>
          </cell>
          <cell r="D436">
            <v>14606</v>
          </cell>
          <cell r="E436">
            <v>12524.380333333333</v>
          </cell>
          <cell r="F436">
            <v>85.748187959286128</v>
          </cell>
          <cell r="G436">
            <v>1179.9433333333332</v>
          </cell>
          <cell r="H436">
            <v>9.4211713628094067</v>
          </cell>
          <cell r="I436" t="str">
            <v xml:space="preserve"> </v>
          </cell>
        </row>
        <row r="437">
          <cell r="B437" t="str">
            <v>92-93</v>
          </cell>
          <cell r="C437">
            <v>3282.1666666666665</v>
          </cell>
          <cell r="D437">
            <v>14538.333333333334</v>
          </cell>
          <cell r="E437">
            <v>13259.179000000002</v>
          </cell>
          <cell r="F437">
            <v>91.20150636248998</v>
          </cell>
          <cell r="G437">
            <v>1232.616</v>
          </cell>
          <cell r="H437">
            <v>9.296322193101096</v>
          </cell>
          <cell r="I437" t="str">
            <v xml:space="preserve"> </v>
          </cell>
        </row>
        <row r="438">
          <cell r="B438" t="str">
            <v>93-94</v>
          </cell>
          <cell r="C438">
            <v>3482.1666666666665</v>
          </cell>
          <cell r="D438">
            <v>16325</v>
          </cell>
          <cell r="E438">
            <v>14382.00028</v>
          </cell>
          <cell r="F438">
            <v>88.098010903522194</v>
          </cell>
          <cell r="G438">
            <v>1337.7796703333336</v>
          </cell>
          <cell r="H438">
            <v>9.3017636231984095</v>
          </cell>
          <cell r="I438" t="str">
            <v xml:space="preserve"> </v>
          </cell>
        </row>
        <row r="439">
          <cell r="B439" t="str">
            <v>94-95</v>
          </cell>
          <cell r="C439">
            <v>3812.1666666666665</v>
          </cell>
          <cell r="D439">
            <v>16230</v>
          </cell>
          <cell r="E439">
            <v>16597.313333333332</v>
          </cell>
          <cell r="F439">
            <v>102.2631751899774</v>
          </cell>
          <cell r="G439">
            <v>1511.8777453333332</v>
          </cell>
          <cell r="H439">
            <v>9.1091715566816642</v>
          </cell>
          <cell r="I439" t="str">
            <v xml:space="preserve"> </v>
          </cell>
        </row>
        <row r="440">
          <cell r="B440" t="str">
            <v>95-96</v>
          </cell>
          <cell r="C440">
            <v>3812.1666666666665</v>
          </cell>
          <cell r="D440">
            <v>18000</v>
          </cell>
          <cell r="E440">
            <v>17598.816666666666</v>
          </cell>
          <cell r="F440">
            <v>97.771203703703691</v>
          </cell>
          <cell r="G440">
            <v>1592.9199999999998</v>
          </cell>
          <cell r="H440">
            <v>9.0512903803191307</v>
          </cell>
        </row>
        <row r="441">
          <cell r="B441" t="str">
            <v>96-97</v>
          </cell>
          <cell r="C441">
            <v>3812.1666666666665</v>
          </cell>
          <cell r="D441">
            <v>18490</v>
          </cell>
          <cell r="E441">
            <v>18413.75</v>
          </cell>
          <cell r="F441">
            <v>99.587614926987555</v>
          </cell>
          <cell r="G441">
            <v>1593.5166666666669</v>
          </cell>
          <cell r="H441">
            <v>8.653949720543979</v>
          </cell>
        </row>
        <row r="442">
          <cell r="B442" t="str">
            <v>97-98</v>
          </cell>
          <cell r="C442">
            <v>3812.1666666666665</v>
          </cell>
          <cell r="D442">
            <v>18680</v>
          </cell>
          <cell r="E442">
            <v>19442.469666666664</v>
          </cell>
          <cell r="F442">
            <v>104.08174339757315</v>
          </cell>
          <cell r="G442">
            <v>1698.3725000000002</v>
          </cell>
          <cell r="H442">
            <v>8.7353743074718118</v>
          </cell>
        </row>
        <row r="443">
          <cell r="B443" t="str">
            <v>98-99</v>
          </cell>
          <cell r="C443">
            <v>3812.1666666666665</v>
          </cell>
          <cell r="D443">
            <v>19120</v>
          </cell>
          <cell r="E443">
            <v>20551.660066666671</v>
          </cell>
          <cell r="F443">
            <v>107.4877618549512</v>
          </cell>
          <cell r="G443">
            <v>1723.2765433333334</v>
          </cell>
          <cell r="H443">
            <v>8.3850965700253344</v>
          </cell>
        </row>
        <row r="444">
          <cell r="B444" t="str">
            <v>99-00</v>
          </cell>
          <cell r="D444">
            <v>20565</v>
          </cell>
          <cell r="E444">
            <v>21812.7</v>
          </cell>
          <cell r="F444">
            <v>106.1</v>
          </cell>
          <cell r="G444">
            <v>1888.1</v>
          </cell>
          <cell r="H444">
            <v>8.6999999999999993</v>
          </cell>
        </row>
        <row r="445">
          <cell r="B445" t="str">
            <v>00-01</v>
          </cell>
          <cell r="C445">
            <v>4255</v>
          </cell>
          <cell r="D445">
            <v>23512</v>
          </cell>
          <cell r="E445">
            <v>21436.92</v>
          </cell>
          <cell r="F445">
            <v>91.05</v>
          </cell>
          <cell r="G445">
            <v>1918.86</v>
          </cell>
          <cell r="H445">
            <v>8.9499999999999993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refreshError="1"/>
      <sheetData sheetId="77"/>
      <sheetData sheetId="78" refreshError="1"/>
      <sheetData sheetId="79" refreshError="1">
        <row r="9">
          <cell r="H9" t="str">
            <v>92-93</v>
          </cell>
          <cell r="I9" t="str">
            <v>93-94</v>
          </cell>
          <cell r="J9" t="str">
            <v>94-95</v>
          </cell>
          <cell r="K9" t="str">
            <v>95-96</v>
          </cell>
          <cell r="L9" t="str">
            <v>96-97</v>
          </cell>
          <cell r="M9" t="str">
            <v>97-98</v>
          </cell>
          <cell r="N9" t="str">
            <v>98-99</v>
          </cell>
          <cell r="O9" t="str">
            <v>99-00</v>
          </cell>
          <cell r="P9" t="str">
            <v>00-01</v>
          </cell>
          <cell r="Q9" t="str">
            <v>Comments</v>
          </cell>
        </row>
        <row r="12">
          <cell r="E12" t="str">
            <v>Actual</v>
          </cell>
          <cell r="H12">
            <v>1146.9464337763561</v>
          </cell>
          <cell r="I12">
            <v>1348.8086210103572</v>
          </cell>
          <cell r="J12">
            <v>1378.8953544924971</v>
          </cell>
          <cell r="K12">
            <v>1514.8534401882121</v>
          </cell>
          <cell r="L12">
            <v>1604.1975852061873</v>
          </cell>
          <cell r="M12">
            <v>1635.3729424049175</v>
          </cell>
          <cell r="N12">
            <v>1759.8646367337187</v>
          </cell>
          <cell r="O12">
            <v>2252.0943689999999</v>
          </cell>
          <cell r="P12">
            <v>2398.1461873885523</v>
          </cell>
        </row>
        <row r="13">
          <cell r="E13" t="str">
            <v>Suppressed</v>
          </cell>
          <cell r="H13">
            <v>65.11538689110921</v>
          </cell>
          <cell r="I13">
            <v>37.988839175032126</v>
          </cell>
          <cell r="J13">
            <v>61.718945381111098</v>
          </cell>
          <cell r="K13">
            <v>92.59736102715533</v>
          </cell>
          <cell r="L13">
            <v>144.18354908010042</v>
          </cell>
          <cell r="M13">
            <v>58.013753112049471</v>
          </cell>
          <cell r="N13">
            <v>60.180182643709031</v>
          </cell>
          <cell r="O13">
            <v>87.996130161098336</v>
          </cell>
          <cell r="P13">
            <v>372.95381261144757</v>
          </cell>
        </row>
      </sheetData>
      <sheetData sheetId="80" refreshError="1"/>
      <sheetData sheetId="81" refreshError="1"/>
      <sheetData sheetId="82">
        <row r="1">
          <cell r="B1">
            <v>0</v>
          </cell>
        </row>
      </sheetData>
      <sheetData sheetId="83">
        <row r="1">
          <cell r="B1">
            <v>0</v>
          </cell>
        </row>
      </sheetData>
      <sheetData sheetId="84"/>
      <sheetData sheetId="85">
        <row r="1">
          <cell r="B1">
            <v>0</v>
          </cell>
        </row>
      </sheetData>
      <sheetData sheetId="86">
        <row r="1">
          <cell r="B1">
            <v>0</v>
          </cell>
        </row>
      </sheetData>
      <sheetData sheetId="87"/>
      <sheetData sheetId="88">
        <row r="1">
          <cell r="B1">
            <v>0</v>
          </cell>
        </row>
      </sheetData>
      <sheetData sheetId="89">
        <row r="1">
          <cell r="B1">
            <v>0</v>
          </cell>
        </row>
      </sheetData>
      <sheetData sheetId="90"/>
      <sheetData sheetId="91"/>
      <sheetData sheetId="92"/>
      <sheetData sheetId="93"/>
      <sheetData sheetId="94"/>
      <sheetData sheetId="95"/>
      <sheetData sheetId="96"/>
      <sheetData sheetId="97"/>
      <sheetData sheetId="98">
        <row r="1">
          <cell r="A1" t="str">
            <v>CATEGORY</v>
          </cell>
        </row>
      </sheetData>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row r="1">
          <cell r="A1" t="str">
            <v>CATEGORY</v>
          </cell>
          <cell r="B1" t="str">
            <v>RESULT</v>
          </cell>
          <cell r="C1" t="str">
            <v>RESULT</v>
          </cell>
          <cell r="D1" t="str">
            <v>FIXED</v>
          </cell>
          <cell r="E1" t="str">
            <v>LOAD</v>
          </cell>
        </row>
        <row r="2">
          <cell r="D2">
            <v>38388</v>
          </cell>
        </row>
        <row r="3">
          <cell r="A3" t="str">
            <v>LMV-1</v>
          </cell>
          <cell r="B3" t="str">
            <v>D(2)            Other Upto 1kw and 1 Phase</v>
          </cell>
          <cell r="C3" t="str">
            <v>D(2)            Other Upto 1kw and 1 Phase</v>
          </cell>
          <cell r="D3">
            <v>19075</v>
          </cell>
          <cell r="E3">
            <v>394</v>
          </cell>
        </row>
        <row r="4">
          <cell r="A4" t="str">
            <v>LMV-1</v>
          </cell>
          <cell r="B4" t="str">
            <v>D(3)            Other Above 1kw and 1 Phase</v>
          </cell>
          <cell r="C4" t="str">
            <v>D(3)            Other Above 1kw and 1 Phase</v>
          </cell>
          <cell r="D4">
            <v>1376075</v>
          </cell>
          <cell r="E4">
            <v>28198</v>
          </cell>
        </row>
        <row r="5">
          <cell r="A5" t="str">
            <v>LMV-1</v>
          </cell>
          <cell r="B5" t="str">
            <v>D(4)            Other 3 Phase</v>
          </cell>
          <cell r="C5" t="str">
            <v>D(4)            Other 3 Phase</v>
          </cell>
          <cell r="D5">
            <v>418309.83</v>
          </cell>
          <cell r="E5">
            <v>8737</v>
          </cell>
        </row>
        <row r="6">
          <cell r="A6" t="str">
            <v>LMV-1</v>
          </cell>
          <cell r="B6" t="str">
            <v>D(5)            Registered Societies</v>
          </cell>
          <cell r="C6" t="str">
            <v>D(5)            Registered Societies</v>
          </cell>
          <cell r="D6">
            <v>74580</v>
          </cell>
          <cell r="E6">
            <v>2486</v>
          </cell>
        </row>
        <row r="7">
          <cell r="A7" t="str">
            <v>LMV-2</v>
          </cell>
          <cell r="B7" t="str">
            <v>C(1)            Other Upto 1kw and 1 Phase</v>
          </cell>
          <cell r="C7" t="str">
            <v>C(1)            Other Upto 1kw and 1 Phase</v>
          </cell>
          <cell r="D7">
            <v>320</v>
          </cell>
          <cell r="E7">
            <v>4</v>
          </cell>
        </row>
        <row r="8">
          <cell r="A8" t="str">
            <v>LMV-2</v>
          </cell>
          <cell r="B8" t="str">
            <v>C(2)            Other Above 1kw and 1 Phase</v>
          </cell>
          <cell r="C8" t="str">
            <v>C(2)            Other Above 1kw and 1 Phase</v>
          </cell>
          <cell r="D8">
            <v>80104</v>
          </cell>
          <cell r="E8">
            <v>1023</v>
          </cell>
        </row>
        <row r="9">
          <cell r="A9" t="str">
            <v>LMV-2</v>
          </cell>
          <cell r="B9" t="str">
            <v>C(3)            Other 3 Phase</v>
          </cell>
          <cell r="C9" t="str">
            <v>C(3)            Other 3 Phase</v>
          </cell>
          <cell r="D9">
            <v>220124.58</v>
          </cell>
          <cell r="E9">
            <v>3191.3330000000001</v>
          </cell>
        </row>
        <row r="10">
          <cell r="A10" t="str">
            <v>LMV-4(A)</v>
          </cell>
          <cell r="B10" t="str">
            <v>PI(1)           Other Upto 1kw and 1 Phase</v>
          </cell>
          <cell r="C10" t="str">
            <v>PI(1)           Other Upto 1kw and 1 Phase</v>
          </cell>
          <cell r="D10">
            <v>75</v>
          </cell>
          <cell r="E10">
            <v>1</v>
          </cell>
        </row>
        <row r="11">
          <cell r="A11" t="str">
            <v>LMV-4(A)</v>
          </cell>
          <cell r="B11" t="str">
            <v>PI(2)           Other Above 1kw and 1 Phase</v>
          </cell>
          <cell r="C11" t="str">
            <v>PI(2)           Other Above 1kw and 1 Phase</v>
          </cell>
          <cell r="D11">
            <v>750</v>
          </cell>
          <cell r="E11">
            <v>12</v>
          </cell>
        </row>
        <row r="12">
          <cell r="A12" t="str">
            <v>LMV-4(A)</v>
          </cell>
          <cell r="B12" t="str">
            <v>PI(3)           Other 3 Phase</v>
          </cell>
          <cell r="C12" t="str">
            <v>PI(3)           Other 3 Phase</v>
          </cell>
          <cell r="D12">
            <v>70533</v>
          </cell>
          <cell r="E12">
            <v>1006.22</v>
          </cell>
        </row>
        <row r="13">
          <cell r="A13" t="str">
            <v>LMV-4(B)</v>
          </cell>
          <cell r="B13" t="str">
            <v>PI(1)           Other Upto 5kw</v>
          </cell>
          <cell r="C13" t="str">
            <v>PI(1)           Other Upto 5kw</v>
          </cell>
          <cell r="D13">
            <v>1600</v>
          </cell>
          <cell r="E13">
            <v>20</v>
          </cell>
        </row>
        <row r="14">
          <cell r="A14" t="str">
            <v>LMV-4(B)</v>
          </cell>
          <cell r="B14" t="str">
            <v>PI(2)           Other 5kw to 10kw</v>
          </cell>
          <cell r="C14" t="str">
            <v>PI(2)           Other 5kw to 10kw</v>
          </cell>
          <cell r="D14">
            <v>1320</v>
          </cell>
          <cell r="E14">
            <v>17.5</v>
          </cell>
        </row>
        <row r="15">
          <cell r="A15" t="str">
            <v>LMV-4(B)</v>
          </cell>
          <cell r="B15" t="str">
            <v>PI(3)           Other Above 10kw</v>
          </cell>
          <cell r="C15" t="str">
            <v>PI(3)           Other Above 10kw</v>
          </cell>
          <cell r="D15">
            <v>154306.48000000001</v>
          </cell>
          <cell r="E15">
            <v>2276</v>
          </cell>
        </row>
        <row r="16">
          <cell r="A16" t="str">
            <v>LMV-5</v>
          </cell>
          <cell r="B16" t="str">
            <v>PTW             PTW (Metered) LMV-5</v>
          </cell>
          <cell r="C16" t="str">
            <v>PTW             PTW (Metered) LMV-5</v>
          </cell>
          <cell r="D16">
            <v>12097.5</v>
          </cell>
          <cell r="E16">
            <v>445.5</v>
          </cell>
        </row>
        <row r="17">
          <cell r="A17" t="str">
            <v>LMV-6</v>
          </cell>
          <cell r="B17" t="str">
            <v>Upto 25 BHP :</v>
          </cell>
          <cell r="C17" t="str">
            <v>Upto 25 BHP :</v>
          </cell>
        </row>
        <row r="18">
          <cell r="A18" t="str">
            <v>LMV-6</v>
          </cell>
          <cell r="B18" t="str">
            <v>I(1)a(i)        Supply on rural feeder</v>
          </cell>
          <cell r="C18" t="str">
            <v>I(1)a(i)        Supply on rural feeder</v>
          </cell>
          <cell r="D18">
            <v>9693.5400000000009</v>
          </cell>
          <cell r="E18">
            <v>195.51</v>
          </cell>
        </row>
        <row r="19">
          <cell r="A19" t="str">
            <v>LMV-6</v>
          </cell>
          <cell r="B19" t="str">
            <v>I(1)a(ii)       Supply on urban feeder</v>
          </cell>
          <cell r="C19" t="str">
            <v>I(1)a(ii)       Supply on urban feeder</v>
          </cell>
          <cell r="D19">
            <v>217074.06</v>
          </cell>
          <cell r="E19">
            <v>3450.1750000000002</v>
          </cell>
        </row>
        <row r="20">
          <cell r="A20" t="str">
            <v>LMV-6</v>
          </cell>
          <cell r="B20" t="str">
            <v>Above 25 BHP and upto 100 BHP :</v>
          </cell>
          <cell r="C20" t="str">
            <v>Above 25 BHP and upto 100 BHP :</v>
          </cell>
        </row>
        <row r="21">
          <cell r="A21" t="str">
            <v>LMV-6</v>
          </cell>
          <cell r="B21" t="str">
            <v>I(1)b(ii)-A     Urban cons-unrestricted supply (Peak-hours)</v>
          </cell>
          <cell r="C21" t="str">
            <v>I(1)b(ii)-A     Urban cons-unrestricted supply (Peak-hours)</v>
          </cell>
          <cell r="D21">
            <v>314095.7</v>
          </cell>
          <cell r="E21">
            <v>5525</v>
          </cell>
        </row>
        <row r="22">
          <cell r="A22" t="str">
            <v>LMV-6</v>
          </cell>
          <cell r="B22" t="str">
            <v>I(1)b(ii)-B     Urban cons-restricted supply</v>
          </cell>
          <cell r="C22" t="str">
            <v>I(1)b(ii)-B     Urban cons-restricted supply</v>
          </cell>
          <cell r="D22">
            <v>216282.55</v>
          </cell>
          <cell r="E22">
            <v>3813.1660000000002</v>
          </cell>
        </row>
        <row r="23">
          <cell r="A23" t="str">
            <v>LMV-6</v>
          </cell>
          <cell r="B23" t="str">
            <v>I(1)b(ii)-C     Consumers - supply on rural feeders</v>
          </cell>
          <cell r="C23" t="str">
            <v>I(1)b(ii)-C     Consumers - supply on rural feeders</v>
          </cell>
          <cell r="D23">
            <v>0</v>
          </cell>
          <cell r="E23">
            <v>0</v>
          </cell>
        </row>
        <row r="24">
          <cell r="A24" t="str">
            <v>LMV-7</v>
          </cell>
          <cell r="B24" t="str">
            <v>PWW             Public Water Works (Metered) LMV-7</v>
          </cell>
          <cell r="C24" t="str">
            <v>PWW             Public Water Works (Metered) LMV-7</v>
          </cell>
          <cell r="D24">
            <v>46450.5</v>
          </cell>
          <cell r="E24">
            <v>688.34</v>
          </cell>
        </row>
        <row r="25">
          <cell r="A25" t="str">
            <v>LMV-9</v>
          </cell>
          <cell r="B25" t="str">
            <v>C(1)            Other Upto 5kw</v>
          </cell>
          <cell r="C25" t="str">
            <v>C(1)            Other Upto 5kw</v>
          </cell>
          <cell r="D25">
            <v>0</v>
          </cell>
          <cell r="E25">
            <v>2440</v>
          </cell>
        </row>
        <row r="26">
          <cell r="A26" t="str">
            <v>LMV-9</v>
          </cell>
          <cell r="B26" t="str">
            <v>C(2)            Other 5kw to 10kw</v>
          </cell>
          <cell r="C26" t="str">
            <v>C(2)            Other 5kw to 10kw</v>
          </cell>
          <cell r="D26">
            <v>0</v>
          </cell>
          <cell r="E26">
            <v>334</v>
          </cell>
        </row>
        <row r="27">
          <cell r="A27" t="str">
            <v>LMV-9</v>
          </cell>
          <cell r="B27" t="str">
            <v>C(3)            Other Above 10kw</v>
          </cell>
          <cell r="C27" t="str">
            <v>C(3)            Other Above 10kw</v>
          </cell>
          <cell r="D27">
            <v>0</v>
          </cell>
          <cell r="E27">
            <v>1403</v>
          </cell>
        </row>
        <row r="28">
          <cell r="A28" t="str">
            <v>HV-2</v>
          </cell>
          <cell r="B28" t="str">
            <v>I(2O)a(i)       Unrestricted and Independent Feeder</v>
          </cell>
          <cell r="C28" t="str">
            <v>I(2O)a(i)       Unrestricted and Independent Feeder</v>
          </cell>
          <cell r="D28">
            <v>541620</v>
          </cell>
          <cell r="E28">
            <v>3200</v>
          </cell>
        </row>
        <row r="29">
          <cell r="A29" t="str">
            <v>HV-2</v>
          </cell>
          <cell r="B29" t="str">
            <v>I(2O)a(ii)      Unrestricted and Common Feeder</v>
          </cell>
          <cell r="C29" t="str">
            <v>I(2O)a(ii)      Unrestricted and Common Feeder</v>
          </cell>
          <cell r="D29">
            <v>7525317.1399999997</v>
          </cell>
          <cell r="E29">
            <v>52398.66</v>
          </cell>
        </row>
        <row r="30">
          <cell r="A30" t="str">
            <v>HV-2</v>
          </cell>
          <cell r="B30" t="str">
            <v>I(2O)b(i)       Restricted and Independent Feeder</v>
          </cell>
          <cell r="C30" t="str">
            <v>I(2O)b(i)       Restricted and Independent Feeder</v>
          </cell>
          <cell r="D30">
            <v>318750</v>
          </cell>
          <cell r="E30">
            <v>2500</v>
          </cell>
        </row>
        <row r="31">
          <cell r="A31" t="str">
            <v>HV-2</v>
          </cell>
          <cell r="B31" t="str">
            <v>I(2O)b(ii)      Restricted and Common Feeder</v>
          </cell>
          <cell r="C31" t="str">
            <v>I(2O)b(ii)      Restricted and Common Feeder</v>
          </cell>
          <cell r="D31">
            <v>1287454.8</v>
          </cell>
          <cell r="E31">
            <v>8337</v>
          </cell>
        </row>
      </sheetData>
      <sheetData sheetId="123" refreshError="1"/>
      <sheetData sheetId="124" refreshError="1"/>
      <sheetData sheetId="125" refreshError="1">
        <row r="5">
          <cell r="A5">
            <v>0</v>
          </cell>
        </row>
      </sheetData>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row r="721">
          <cell r="F721">
            <v>0.90799276391293349</v>
          </cell>
        </row>
      </sheetData>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row r="1">
          <cell r="D1">
            <v>0</v>
          </cell>
        </row>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cell>
        </row>
        <row r="198">
          <cell r="A198" t="str">
            <v/>
          </cell>
          <cell r="B198" t="str">
            <v xml:space="preserve">Foundation work of </v>
          </cell>
          <cell r="C198">
            <v>0</v>
          </cell>
          <cell r="D198">
            <v>0</v>
          </cell>
          <cell r="E198">
            <v>0</v>
          </cell>
          <cell r="F198">
            <v>0</v>
          </cell>
          <cell r="G198">
            <v>0</v>
          </cell>
          <cell r="H198">
            <v>0</v>
          </cell>
          <cell r="I198" t="str">
            <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ow r="38">
          <cell r="A38">
            <v>0</v>
          </cell>
        </row>
      </sheetData>
      <sheetData sheetId="278"/>
      <sheetData sheetId="279"/>
      <sheetData sheetId="280"/>
      <sheetData sheetId="281">
        <row r="38">
          <cell r="A38" t="str">
            <v xml:space="preserve">ESTIMATE FOR INSTALLATION OF ADDITIONAL 1X40MVA 132/33KV TRANSFORMER AT EXISTING EHV SUBSTATION </v>
          </cell>
        </row>
      </sheetData>
      <sheetData sheetId="282"/>
      <sheetData sheetId="283"/>
      <sheetData sheetId="284"/>
      <sheetData sheetId="285"/>
      <sheetData sheetId="286"/>
      <sheetData sheetId="287" refreshError="1">
        <row r="4">
          <cell r="C4">
            <v>6.1400000000000003E-2</v>
          </cell>
        </row>
        <row r="19">
          <cell r="G19">
            <v>2</v>
          </cell>
        </row>
        <row r="211">
          <cell r="D211">
            <v>0.2</v>
          </cell>
          <cell r="E211">
            <v>0.6</v>
          </cell>
          <cell r="F211">
            <v>0.2</v>
          </cell>
        </row>
        <row r="213">
          <cell r="D213">
            <v>0.2</v>
          </cell>
          <cell r="E213">
            <v>0.4</v>
          </cell>
          <cell r="F213">
            <v>0.4</v>
          </cell>
        </row>
      </sheetData>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ow r="38">
          <cell r="A38" t="str">
            <v xml:space="preserve">ESTIMATE FOR INSTALLATION OF ADDITIONAL 1X40MVA 132/33KV TRANSFORMER AT EXISTING EHV SUBSTATION </v>
          </cell>
        </row>
      </sheetData>
      <sheetData sheetId="333"/>
      <sheetData sheetId="334"/>
      <sheetData sheetId="335"/>
      <sheetData sheetId="336"/>
      <sheetData sheetId="337"/>
      <sheetData sheetId="338"/>
      <sheetData sheetId="339" refreshError="1">
        <row r="140">
          <cell r="E140" t="str">
            <v>Oil Co</v>
          </cell>
        </row>
        <row r="141">
          <cell r="E141" t="str">
            <v>KPMG Jan 2008</v>
          </cell>
        </row>
        <row r="142">
          <cell r="E142" t="str">
            <v>On Shore Project X</v>
          </cell>
        </row>
      </sheetData>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row r="44">
          <cell r="J44" t="str">
            <v>2003-2004</v>
          </cell>
        </row>
      </sheetData>
      <sheetData sheetId="440" refreshError="1"/>
      <sheetData sheetId="441"/>
      <sheetData sheetId="442"/>
      <sheetData sheetId="443"/>
      <sheetData sheetId="444"/>
      <sheetData sheetId="445"/>
      <sheetData sheetId="446"/>
      <sheetData sheetId="447"/>
      <sheetData sheetId="448"/>
      <sheetData sheetId="449" refreshError="1"/>
      <sheetData sheetId="450" refreshError="1">
        <row r="9">
          <cell r="B9">
            <v>1</v>
          </cell>
          <cell r="C9">
            <v>1</v>
          </cell>
          <cell r="D9">
            <v>2</v>
          </cell>
          <cell r="E9" t="str">
            <v>Agra</v>
          </cell>
          <cell r="H9">
            <v>2751021</v>
          </cell>
          <cell r="I9">
            <v>1639935</v>
          </cell>
          <cell r="J9">
            <v>1111086</v>
          </cell>
          <cell r="K9">
            <v>2751021</v>
          </cell>
          <cell r="L9">
            <v>1639935</v>
          </cell>
          <cell r="M9">
            <v>1111086</v>
          </cell>
          <cell r="N9">
            <v>3611301</v>
          </cell>
          <cell r="O9">
            <v>2053956</v>
          </cell>
          <cell r="P9">
            <v>1557345</v>
          </cell>
          <cell r="Q9">
            <v>21.9</v>
          </cell>
          <cell r="R9">
            <v>31.27</v>
          </cell>
          <cell r="S9">
            <v>2.0000466908915326E-2</v>
          </cell>
          <cell r="T9">
            <v>2.7582142757814898E-2</v>
          </cell>
          <cell r="U9">
            <v>2.7583159540985669E-2</v>
          </cell>
          <cell r="X9">
            <v>0</v>
          </cell>
          <cell r="Y9">
            <v>0</v>
          </cell>
          <cell r="Z9">
            <v>0</v>
          </cell>
          <cell r="AA9">
            <v>0</v>
          </cell>
          <cell r="AD9">
            <v>127</v>
          </cell>
          <cell r="AE9">
            <v>0</v>
          </cell>
          <cell r="AF9">
            <v>0</v>
          </cell>
          <cell r="AG9">
            <v>0</v>
          </cell>
          <cell r="AI9">
            <v>4027</v>
          </cell>
          <cell r="AK9">
            <v>408624</v>
          </cell>
          <cell r="AL9">
            <v>244263</v>
          </cell>
          <cell r="AM9">
            <v>164361</v>
          </cell>
          <cell r="AN9">
            <v>408624</v>
          </cell>
          <cell r="AO9">
            <v>244263</v>
          </cell>
          <cell r="AP9">
            <v>164361</v>
          </cell>
          <cell r="AR9">
            <v>523435.18282807962</v>
          </cell>
          <cell r="AS9">
            <v>312893.6334212753</v>
          </cell>
          <cell r="AT9">
            <v>210541.54940680429</v>
          </cell>
          <cell r="AV9">
            <v>0.41</v>
          </cell>
          <cell r="AW9">
            <v>0.32700000000000001</v>
          </cell>
          <cell r="AX9">
            <v>0.75900000000000001</v>
          </cell>
          <cell r="AZ9">
            <v>0.30299999999999999</v>
          </cell>
          <cell r="BA9">
            <v>0.33600000000000002</v>
          </cell>
          <cell r="BB9">
            <v>0.16699999999999998</v>
          </cell>
          <cell r="BD9">
            <v>265118</v>
          </cell>
          <cell r="BE9">
            <v>60212</v>
          </cell>
          <cell r="BF9">
            <v>204906</v>
          </cell>
          <cell r="BH9">
            <v>0.4820238158517684</v>
          </cell>
          <cell r="BI9">
            <v>0.18313802171063515</v>
          </cell>
          <cell r="BJ9">
            <v>0.92620911975169373</v>
          </cell>
        </row>
        <row r="10">
          <cell r="B10">
            <v>2</v>
          </cell>
          <cell r="C10">
            <v>1</v>
          </cell>
          <cell r="D10">
            <v>2</v>
          </cell>
          <cell r="E10" t="str">
            <v>Aligarh</v>
          </cell>
          <cell r="F10" t="str">
            <v>Split</v>
          </cell>
          <cell r="G10">
            <v>2</v>
          </cell>
          <cell r="H10">
            <v>3295982</v>
          </cell>
          <cell r="I10">
            <v>2467484</v>
          </cell>
          <cell r="J10">
            <v>828498</v>
          </cell>
          <cell r="K10">
            <v>2444929</v>
          </cell>
          <cell r="L10">
            <v>1844475</v>
          </cell>
          <cell r="M10">
            <v>600454</v>
          </cell>
          <cell r="N10">
            <v>2990388</v>
          </cell>
          <cell r="O10">
            <v>2127003</v>
          </cell>
          <cell r="P10">
            <v>863385</v>
          </cell>
          <cell r="Q10">
            <v>29.95</v>
          </cell>
          <cell r="R10">
            <v>22.08</v>
          </cell>
          <cell r="S10">
            <v>2.6544140482980705E-2</v>
          </cell>
          <cell r="T10">
            <v>2.0150982249028893E-2</v>
          </cell>
          <cell r="U10">
            <v>2.0342858012730503E-2</v>
          </cell>
          <cell r="W10">
            <v>78</v>
          </cell>
          <cell r="X10">
            <v>79</v>
          </cell>
          <cell r="Y10">
            <v>80</v>
          </cell>
          <cell r="Z10">
            <v>80</v>
          </cell>
          <cell r="AA10">
            <v>80</v>
          </cell>
          <cell r="AC10">
            <v>496</v>
          </cell>
          <cell r="AD10">
            <v>504</v>
          </cell>
          <cell r="AE10">
            <v>512</v>
          </cell>
          <cell r="AF10">
            <v>519</v>
          </cell>
          <cell r="AG10">
            <v>526</v>
          </cell>
          <cell r="AI10">
            <v>3747</v>
          </cell>
          <cell r="AK10">
            <v>476103</v>
          </cell>
          <cell r="AL10">
            <v>377048</v>
          </cell>
          <cell r="AM10">
            <v>99055</v>
          </cell>
          <cell r="AN10">
            <v>358280</v>
          </cell>
          <cell r="AO10">
            <v>281146</v>
          </cell>
          <cell r="AP10">
            <v>77134</v>
          </cell>
          <cell r="AR10">
            <v>458946.0171297926</v>
          </cell>
          <cell r="AS10">
            <v>360139.6587361077</v>
          </cell>
          <cell r="AT10">
            <v>98806.358393684888</v>
          </cell>
          <cell r="AV10">
            <v>0.41</v>
          </cell>
          <cell r="AW10">
            <v>0.32700000000000001</v>
          </cell>
          <cell r="AX10">
            <v>0.75900000000000001</v>
          </cell>
          <cell r="AZ10">
            <v>0.30299999999999999</v>
          </cell>
          <cell r="BA10">
            <v>0.33600000000000002</v>
          </cell>
          <cell r="BB10">
            <v>0.16699999999999998</v>
          </cell>
          <cell r="BD10">
            <v>146900</v>
          </cell>
          <cell r="BE10">
            <v>59377</v>
          </cell>
          <cell r="BF10">
            <v>87523</v>
          </cell>
          <cell r="BH10">
            <v>0.30461576965264875</v>
          </cell>
          <cell r="BI10">
            <v>0.1569059795929342</v>
          </cell>
          <cell r="BJ10">
            <v>0.84300372614561558</v>
          </cell>
        </row>
        <row r="11">
          <cell r="B11">
            <v>3</v>
          </cell>
          <cell r="C11">
            <v>1</v>
          </cell>
          <cell r="D11">
            <v>2</v>
          </cell>
          <cell r="E11" t="str">
            <v>Etah</v>
          </cell>
          <cell r="H11">
            <v>2244998</v>
          </cell>
          <cell r="I11">
            <v>1869740</v>
          </cell>
          <cell r="J11">
            <v>375258</v>
          </cell>
          <cell r="K11">
            <v>2244998</v>
          </cell>
          <cell r="L11">
            <v>1869740</v>
          </cell>
          <cell r="M11">
            <v>375258</v>
          </cell>
          <cell r="N11">
            <v>2788270</v>
          </cell>
          <cell r="O11">
            <v>2304713</v>
          </cell>
          <cell r="P11">
            <v>483557</v>
          </cell>
          <cell r="Q11">
            <v>20.78</v>
          </cell>
          <cell r="R11">
            <v>24.2</v>
          </cell>
          <cell r="S11">
            <v>1.905940744315382E-2</v>
          </cell>
          <cell r="T11">
            <v>2.1908848379270873E-2</v>
          </cell>
          <cell r="U11">
            <v>2.190820641513036E-2</v>
          </cell>
          <cell r="W11">
            <v>0</v>
          </cell>
          <cell r="X11">
            <v>0</v>
          </cell>
          <cell r="Y11">
            <v>0</v>
          </cell>
          <cell r="Z11">
            <v>0</v>
          </cell>
          <cell r="AA11">
            <v>0</v>
          </cell>
          <cell r="AC11">
            <v>0</v>
          </cell>
          <cell r="AD11">
            <v>0</v>
          </cell>
          <cell r="AE11">
            <v>0</v>
          </cell>
          <cell r="AF11">
            <v>0</v>
          </cell>
          <cell r="AG11">
            <v>9688</v>
          </cell>
          <cell r="AI11">
            <v>4446</v>
          </cell>
          <cell r="AK11">
            <v>356156</v>
          </cell>
          <cell r="AL11">
            <v>300292</v>
          </cell>
          <cell r="AM11">
            <v>55864</v>
          </cell>
          <cell r="AN11">
            <v>356156</v>
          </cell>
          <cell r="AO11">
            <v>300292</v>
          </cell>
          <cell r="AP11">
            <v>55864</v>
          </cell>
          <cell r="AR11">
            <v>456225.23634274426</v>
          </cell>
          <cell r="AS11">
            <v>384665.11492670444</v>
          </cell>
          <cell r="AT11">
            <v>71560.121416039779</v>
          </cell>
          <cell r="AV11">
            <v>0.41</v>
          </cell>
          <cell r="AW11">
            <v>0.32700000000000001</v>
          </cell>
          <cell r="AX11">
            <v>0.75900000000000001</v>
          </cell>
          <cell r="AZ11">
            <v>0.30299999999999999</v>
          </cell>
          <cell r="BA11">
            <v>0.33600000000000002</v>
          </cell>
          <cell r="BB11">
            <v>0.16699999999999998</v>
          </cell>
          <cell r="BD11">
            <v>64529</v>
          </cell>
          <cell r="BE11">
            <v>21127</v>
          </cell>
          <cell r="BF11">
            <v>43402</v>
          </cell>
          <cell r="BH11">
            <v>0.13460705484771629</v>
          </cell>
          <cell r="BI11">
            <v>5.2269364777529116E-2</v>
          </cell>
          <cell r="BJ11">
            <v>0.57720603856812025</v>
          </cell>
        </row>
        <row r="12">
          <cell r="B12">
            <v>4</v>
          </cell>
          <cell r="C12">
            <v>1</v>
          </cell>
          <cell r="D12">
            <v>2</v>
          </cell>
          <cell r="E12" t="str">
            <v>Firozabad</v>
          </cell>
          <cell r="H12">
            <v>1533054</v>
          </cell>
          <cell r="I12">
            <v>1125494</v>
          </cell>
          <cell r="J12">
            <v>407560</v>
          </cell>
          <cell r="K12">
            <v>1533054</v>
          </cell>
          <cell r="L12">
            <v>1125494</v>
          </cell>
          <cell r="M12">
            <v>407560</v>
          </cell>
          <cell r="N12">
            <v>2045737</v>
          </cell>
          <cell r="O12">
            <v>1424674</v>
          </cell>
          <cell r="P12">
            <v>621063</v>
          </cell>
          <cell r="Q12">
            <v>21.65</v>
          </cell>
          <cell r="R12">
            <v>33.44</v>
          </cell>
          <cell r="S12">
            <v>1.9791085646154727E-2</v>
          </cell>
          <cell r="T12">
            <v>2.9268314219929925E-2</v>
          </cell>
          <cell r="U12">
            <v>2.9269810656407325E-2</v>
          </cell>
          <cell r="W12">
            <v>767</v>
          </cell>
          <cell r="X12">
            <v>768</v>
          </cell>
          <cell r="Y12">
            <v>768</v>
          </cell>
          <cell r="Z12">
            <v>768</v>
          </cell>
          <cell r="AA12">
            <v>768</v>
          </cell>
          <cell r="AC12">
            <v>29387</v>
          </cell>
          <cell r="AD12">
            <v>29693</v>
          </cell>
          <cell r="AE12">
            <v>30113</v>
          </cell>
          <cell r="AF12">
            <v>30420</v>
          </cell>
          <cell r="AG12">
            <v>30665</v>
          </cell>
          <cell r="AI12">
            <v>2361</v>
          </cell>
          <cell r="AK12">
            <v>229882</v>
          </cell>
          <cell r="AL12">
            <v>171735</v>
          </cell>
          <cell r="AM12">
            <v>58147</v>
          </cell>
          <cell r="AN12">
            <v>229882</v>
          </cell>
          <cell r="AO12">
            <v>171735</v>
          </cell>
          <cell r="AP12">
            <v>58147</v>
          </cell>
          <cell r="AR12">
            <v>294472.00041819521</v>
          </cell>
          <cell r="AS12">
            <v>219987.42394715006</v>
          </cell>
          <cell r="AT12">
            <v>74484.576471045133</v>
          </cell>
          <cell r="AV12">
            <v>0.41</v>
          </cell>
          <cell r="AW12">
            <v>0.32700000000000001</v>
          </cell>
          <cell r="AX12">
            <v>0.75900000000000001</v>
          </cell>
          <cell r="AZ12">
            <v>0.30299999999999999</v>
          </cell>
          <cell r="BA12">
            <v>0.33600000000000002</v>
          </cell>
          <cell r="BB12">
            <v>0.16699999999999998</v>
          </cell>
          <cell r="BD12">
            <v>74434</v>
          </cell>
          <cell r="BE12">
            <v>25341</v>
          </cell>
          <cell r="BF12">
            <v>49093</v>
          </cell>
          <cell r="BH12">
            <v>0.2405578555253565</v>
          </cell>
          <cell r="BI12">
            <v>0.10962714065751118</v>
          </cell>
          <cell r="BJ12">
            <v>0.62725684804138349</v>
          </cell>
        </row>
        <row r="13">
          <cell r="B13">
            <v>5</v>
          </cell>
          <cell r="C13">
            <v>1</v>
          </cell>
          <cell r="D13">
            <v>2</v>
          </cell>
          <cell r="E13" t="str">
            <v>Hathras</v>
          </cell>
          <cell r="F13" t="str">
            <v>New</v>
          </cell>
          <cell r="G13">
            <v>1</v>
          </cell>
          <cell r="H13">
            <v>0</v>
          </cell>
          <cell r="I13">
            <v>0</v>
          </cell>
          <cell r="J13">
            <v>0</v>
          </cell>
          <cell r="K13">
            <v>1090159</v>
          </cell>
          <cell r="L13">
            <v>822425</v>
          </cell>
          <cell r="M13">
            <v>267734</v>
          </cell>
          <cell r="N13">
            <v>1333372</v>
          </cell>
          <cell r="O13">
            <v>1068351</v>
          </cell>
          <cell r="P13">
            <v>265021</v>
          </cell>
          <cell r="Q13">
            <v>26.9</v>
          </cell>
          <cell r="R13">
            <v>18.32</v>
          </cell>
          <cell r="S13">
            <v>2.4108951465744211E-2</v>
          </cell>
          <cell r="T13">
            <v>1.6964554277710819E-2</v>
          </cell>
          <cell r="U13">
            <v>2.0342904300503672E-2</v>
          </cell>
          <cell r="W13">
            <v>600</v>
          </cell>
          <cell r="X13">
            <v>601</v>
          </cell>
          <cell r="Y13">
            <v>603</v>
          </cell>
          <cell r="Z13">
            <v>603</v>
          </cell>
          <cell r="AA13">
            <v>603</v>
          </cell>
          <cell r="AC13">
            <v>40229</v>
          </cell>
          <cell r="AD13">
            <v>40979</v>
          </cell>
          <cell r="AE13">
            <v>42640</v>
          </cell>
          <cell r="AF13">
            <v>44048</v>
          </cell>
          <cell r="AG13">
            <v>44994</v>
          </cell>
          <cell r="AI13">
            <v>1751</v>
          </cell>
          <cell r="AK13">
            <v>0</v>
          </cell>
          <cell r="AL13">
            <v>0</v>
          </cell>
          <cell r="AM13">
            <v>0</v>
          </cell>
          <cell r="AN13">
            <v>159752</v>
          </cell>
          <cell r="AO13">
            <v>125359</v>
          </cell>
          <cell r="AP13">
            <v>34393</v>
          </cell>
          <cell r="AR13">
            <v>204637.55757652849</v>
          </cell>
          <cell r="AS13">
            <v>160581.14815611718</v>
          </cell>
          <cell r="AT13">
            <v>44056.409420411284</v>
          </cell>
          <cell r="AV13">
            <v>0.41</v>
          </cell>
          <cell r="AW13">
            <v>0.32700000000000001</v>
          </cell>
          <cell r="AX13">
            <v>0.75900000000000001</v>
          </cell>
          <cell r="AZ13">
            <v>0.30299999999999999</v>
          </cell>
          <cell r="BA13">
            <v>0.33600000000000002</v>
          </cell>
          <cell r="BB13">
            <v>0.16699999999999998</v>
          </cell>
          <cell r="BD13">
            <v>54000</v>
          </cell>
          <cell r="BE13">
            <v>28654</v>
          </cell>
          <cell r="BF13">
            <v>25346</v>
          </cell>
          <cell r="BH13">
            <v>0.25113116316344425</v>
          </cell>
          <cell r="BI13">
            <v>0.16981767469354392</v>
          </cell>
          <cell r="BJ13">
            <v>0.54751058924137408</v>
          </cell>
        </row>
        <row r="14">
          <cell r="B14">
            <v>6</v>
          </cell>
          <cell r="C14">
            <v>1</v>
          </cell>
          <cell r="D14">
            <v>2</v>
          </cell>
          <cell r="E14" t="str">
            <v>Mainpuri</v>
          </cell>
          <cell r="H14">
            <v>1316746</v>
          </cell>
          <cell r="I14">
            <v>1142856</v>
          </cell>
          <cell r="J14">
            <v>173890</v>
          </cell>
          <cell r="K14">
            <v>1316746</v>
          </cell>
          <cell r="L14">
            <v>1142856</v>
          </cell>
          <cell r="M14">
            <v>173890</v>
          </cell>
          <cell r="N14">
            <v>1592875</v>
          </cell>
          <cell r="O14">
            <v>1362745</v>
          </cell>
          <cell r="P14">
            <v>230130</v>
          </cell>
          <cell r="Q14">
            <v>24.11</v>
          </cell>
          <cell r="R14">
            <v>21.5</v>
          </cell>
          <cell r="S14">
            <v>2.1834772855173989E-2</v>
          </cell>
          <cell r="T14">
            <v>1.9665270926062073E-2</v>
          </cell>
          <cell r="U14">
            <v>1.9220074319955538E-2</v>
          </cell>
          <cell r="W14">
            <v>627</v>
          </cell>
          <cell r="X14">
            <v>627</v>
          </cell>
          <cell r="Y14">
            <v>633</v>
          </cell>
          <cell r="Z14">
            <v>633</v>
          </cell>
          <cell r="AA14">
            <v>633</v>
          </cell>
          <cell r="AC14">
            <v>5644</v>
          </cell>
          <cell r="AD14">
            <v>5733</v>
          </cell>
          <cell r="AE14">
            <v>5863</v>
          </cell>
          <cell r="AF14">
            <v>5937</v>
          </cell>
          <cell r="AG14">
            <v>6002</v>
          </cell>
          <cell r="AI14">
            <v>2746</v>
          </cell>
          <cell r="AK14">
            <v>200412</v>
          </cell>
          <cell r="AL14">
            <v>174486</v>
          </cell>
          <cell r="AM14">
            <v>25926</v>
          </cell>
          <cell r="AN14">
            <v>200412</v>
          </cell>
          <cell r="AO14">
            <v>174486</v>
          </cell>
          <cell r="AP14">
            <v>25926</v>
          </cell>
          <cell r="AR14">
            <v>256721.80748301884</v>
          </cell>
          <cell r="AS14">
            <v>223511.37307387794</v>
          </cell>
          <cell r="AT14">
            <v>33210.4344091409</v>
          </cell>
          <cell r="AV14">
            <v>0.41</v>
          </cell>
          <cell r="AW14">
            <v>0.32700000000000001</v>
          </cell>
          <cell r="AX14">
            <v>0.75900000000000001</v>
          </cell>
          <cell r="AZ14">
            <v>0.30299999999999999</v>
          </cell>
          <cell r="BA14">
            <v>0.33600000000000002</v>
          </cell>
          <cell r="BB14">
            <v>0.16699999999999998</v>
          </cell>
          <cell r="BD14">
            <v>35823</v>
          </cell>
          <cell r="BE14">
            <v>15577</v>
          </cell>
          <cell r="BF14">
            <v>20246</v>
          </cell>
          <cell r="BH14">
            <v>0.132797953799383</v>
          </cell>
          <cell r="BI14">
            <v>6.6324866643617308E-2</v>
          </cell>
          <cell r="BJ14">
            <v>0.58017213745520868</v>
          </cell>
        </row>
        <row r="15">
          <cell r="B15">
            <v>7</v>
          </cell>
          <cell r="C15">
            <v>1</v>
          </cell>
          <cell r="D15">
            <v>2</v>
          </cell>
          <cell r="E15" t="str">
            <v>Mathura</v>
          </cell>
          <cell r="F15" t="str">
            <v>Split</v>
          </cell>
          <cell r="G15">
            <v>2</v>
          </cell>
          <cell r="H15">
            <v>1931186</v>
          </cell>
          <cell r="I15">
            <v>1475935</v>
          </cell>
          <cell r="J15">
            <v>455251</v>
          </cell>
          <cell r="K15">
            <v>1692080</v>
          </cell>
          <cell r="L15">
            <v>1276519</v>
          </cell>
          <cell r="M15">
            <v>415561</v>
          </cell>
          <cell r="N15">
            <v>2069578</v>
          </cell>
          <cell r="O15">
            <v>1487191</v>
          </cell>
          <cell r="P15">
            <v>582387</v>
          </cell>
          <cell r="Q15">
            <v>22.69</v>
          </cell>
          <cell r="R15">
            <v>26.95</v>
          </cell>
          <cell r="S15">
            <v>2.0659580931471799E-2</v>
          </cell>
          <cell r="T15">
            <v>2.4149295335608834E-2</v>
          </cell>
          <cell r="U15">
            <v>2.0342768135826805E-2</v>
          </cell>
          <cell r="W15">
            <v>453</v>
          </cell>
          <cell r="X15">
            <v>453</v>
          </cell>
          <cell r="Y15">
            <v>468</v>
          </cell>
          <cell r="Z15">
            <v>468</v>
          </cell>
          <cell r="AA15">
            <v>468</v>
          </cell>
          <cell r="AC15">
            <v>3532</v>
          </cell>
          <cell r="AD15">
            <v>3577</v>
          </cell>
          <cell r="AE15">
            <v>3689</v>
          </cell>
          <cell r="AF15">
            <v>3764</v>
          </cell>
          <cell r="AG15">
            <v>3869</v>
          </cell>
          <cell r="AI15">
            <v>3332</v>
          </cell>
          <cell r="AK15">
            <v>289888</v>
          </cell>
          <cell r="AL15">
            <v>224033</v>
          </cell>
          <cell r="AM15">
            <v>65855</v>
          </cell>
          <cell r="AN15">
            <v>247959</v>
          </cell>
          <cell r="AO15">
            <v>194576</v>
          </cell>
          <cell r="AP15">
            <v>53383</v>
          </cell>
          <cell r="AR15">
            <v>317628.09942359675</v>
          </cell>
          <cell r="AS15">
            <v>249246.06516982953</v>
          </cell>
          <cell r="AT15">
            <v>68382.034253767211</v>
          </cell>
          <cell r="AV15">
            <v>0.41</v>
          </cell>
          <cell r="AW15">
            <v>0.32700000000000001</v>
          </cell>
          <cell r="AX15">
            <v>0.75900000000000001</v>
          </cell>
          <cell r="AZ15">
            <v>0.30299999999999999</v>
          </cell>
          <cell r="BA15">
            <v>0.33600000000000002</v>
          </cell>
          <cell r="BB15">
            <v>0.16699999999999998</v>
          </cell>
          <cell r="BD15">
            <v>137088</v>
          </cell>
          <cell r="BE15">
            <v>46960</v>
          </cell>
          <cell r="BF15">
            <v>90128</v>
          </cell>
          <cell r="BH15">
            <v>0.41074540774840568</v>
          </cell>
          <cell r="BI15">
            <v>0.17930482214015966</v>
          </cell>
          <cell r="BJ15">
            <v>1.2543245131810352</v>
          </cell>
        </row>
        <row r="16">
          <cell r="B16">
            <v>8</v>
          </cell>
          <cell r="C16">
            <v>2</v>
          </cell>
          <cell r="D16">
            <v>4</v>
          </cell>
          <cell r="E16" t="str">
            <v>Azamgarh</v>
          </cell>
          <cell r="H16">
            <v>3153885</v>
          </cell>
          <cell r="I16">
            <v>2928166</v>
          </cell>
          <cell r="J16">
            <v>225719</v>
          </cell>
          <cell r="K16">
            <v>3153885</v>
          </cell>
          <cell r="L16">
            <v>2928166</v>
          </cell>
          <cell r="M16">
            <v>225719</v>
          </cell>
          <cell r="N16">
            <v>3950808</v>
          </cell>
          <cell r="O16">
            <v>3649211</v>
          </cell>
          <cell r="P16">
            <v>301597</v>
          </cell>
          <cell r="Q16">
            <v>25.46</v>
          </cell>
          <cell r="R16">
            <v>26.28</v>
          </cell>
          <cell r="S16">
            <v>2.294086483986657E-2</v>
          </cell>
          <cell r="T16">
            <v>2.3607495304328818E-2</v>
          </cell>
          <cell r="U16">
            <v>2.2784192172026874E-2</v>
          </cell>
          <cell r="W16">
            <v>881</v>
          </cell>
          <cell r="X16">
            <v>883</v>
          </cell>
          <cell r="Y16">
            <v>887</v>
          </cell>
          <cell r="Z16">
            <v>887</v>
          </cell>
          <cell r="AA16">
            <v>887</v>
          </cell>
          <cell r="AC16">
            <v>31642</v>
          </cell>
          <cell r="AD16">
            <v>32006</v>
          </cell>
          <cell r="AE16">
            <v>32729</v>
          </cell>
          <cell r="AF16">
            <v>33084</v>
          </cell>
          <cell r="AG16">
            <v>33319</v>
          </cell>
          <cell r="AI16">
            <v>4210</v>
          </cell>
          <cell r="AK16">
            <v>433206</v>
          </cell>
          <cell r="AL16">
            <v>405905</v>
          </cell>
          <cell r="AM16">
            <v>27301</v>
          </cell>
          <cell r="AN16">
            <v>433206</v>
          </cell>
          <cell r="AO16">
            <v>405905</v>
          </cell>
          <cell r="AP16">
            <v>27301</v>
          </cell>
          <cell r="AR16">
            <v>554923.99323637632</v>
          </cell>
          <cell r="AS16">
            <v>519952.22474899091</v>
          </cell>
          <cell r="AT16">
            <v>34971.768487385474</v>
          </cell>
          <cell r="AV16">
            <v>0.41</v>
          </cell>
          <cell r="AW16">
            <v>0.32700000000000001</v>
          </cell>
          <cell r="AX16">
            <v>0.75900000000000001</v>
          </cell>
          <cell r="AZ16">
            <v>0.30299999999999999</v>
          </cell>
          <cell r="BA16">
            <v>0.33600000000000002</v>
          </cell>
          <cell r="BB16">
            <v>0.16699999999999998</v>
          </cell>
          <cell r="BD16">
            <v>125733</v>
          </cell>
          <cell r="BE16">
            <v>102666</v>
          </cell>
          <cell r="BF16">
            <v>23067</v>
          </cell>
          <cell r="BH16">
            <v>0.21562939641577</v>
          </cell>
          <cell r="BI16">
            <v>0.18791237991916401</v>
          </cell>
          <cell r="BJ16">
            <v>0.62771963417463716</v>
          </cell>
        </row>
        <row r="17">
          <cell r="B17">
            <v>9</v>
          </cell>
          <cell r="C17">
            <v>2</v>
          </cell>
          <cell r="D17">
            <v>4</v>
          </cell>
          <cell r="E17" t="str">
            <v>Ballia</v>
          </cell>
          <cell r="H17">
            <v>2262273</v>
          </cell>
          <cell r="I17">
            <v>2038186</v>
          </cell>
          <cell r="J17">
            <v>224087</v>
          </cell>
          <cell r="K17">
            <v>2262273</v>
          </cell>
          <cell r="L17">
            <v>2038186</v>
          </cell>
          <cell r="M17">
            <v>224087</v>
          </cell>
          <cell r="N17">
            <v>2752412</v>
          </cell>
          <cell r="O17">
            <v>2481680</v>
          </cell>
          <cell r="P17">
            <v>270732</v>
          </cell>
          <cell r="Q17">
            <v>22.27</v>
          </cell>
          <cell r="R17">
            <v>21.67</v>
          </cell>
          <cell r="S17">
            <v>2.0309643020935741E-2</v>
          </cell>
          <cell r="T17">
            <v>1.9807850391679871E-2</v>
          </cell>
          <cell r="U17">
            <v>1.980430985852033E-2</v>
          </cell>
          <cell r="X17">
            <v>0</v>
          </cell>
          <cell r="Y17">
            <v>0</v>
          </cell>
          <cell r="Z17">
            <v>0</v>
          </cell>
          <cell r="AA17">
            <v>0</v>
          </cell>
          <cell r="AD17">
            <v>37</v>
          </cell>
          <cell r="AE17">
            <v>0</v>
          </cell>
          <cell r="AF17">
            <v>0</v>
          </cell>
          <cell r="AG17">
            <v>0</v>
          </cell>
          <cell r="AI17">
            <v>2981</v>
          </cell>
          <cell r="AK17">
            <v>282953</v>
          </cell>
          <cell r="AL17">
            <v>256323</v>
          </cell>
          <cell r="AM17">
            <v>26630</v>
          </cell>
          <cell r="AN17">
            <v>282953</v>
          </cell>
          <cell r="AO17">
            <v>256323</v>
          </cell>
          <cell r="AP17">
            <v>26630</v>
          </cell>
          <cell r="AR17">
            <v>362454.37195748073</v>
          </cell>
          <cell r="AS17">
            <v>328342.13450027863</v>
          </cell>
          <cell r="AT17">
            <v>34112.237457202122</v>
          </cell>
          <cell r="AV17">
            <v>0.41</v>
          </cell>
          <cell r="AW17">
            <v>0.32700000000000001</v>
          </cell>
          <cell r="AX17">
            <v>0.75900000000000001</v>
          </cell>
          <cell r="AZ17">
            <v>0.30299999999999999</v>
          </cell>
          <cell r="BA17">
            <v>0.33600000000000002</v>
          </cell>
          <cell r="BB17">
            <v>0.16699999999999998</v>
          </cell>
          <cell r="BD17">
            <v>84316</v>
          </cell>
          <cell r="BE17">
            <v>62552</v>
          </cell>
          <cell r="BF17">
            <v>21764</v>
          </cell>
          <cell r="BH17">
            <v>0.22138533277468925</v>
          </cell>
          <cell r="BI17">
            <v>0.18130374503577362</v>
          </cell>
          <cell r="BJ17">
            <v>0.60718453720585941</v>
          </cell>
        </row>
        <row r="18">
          <cell r="B18">
            <v>10</v>
          </cell>
          <cell r="C18">
            <v>2</v>
          </cell>
          <cell r="D18">
            <v>4</v>
          </cell>
          <cell r="E18" t="str">
            <v>Mau</v>
          </cell>
          <cell r="H18">
            <v>1445782</v>
          </cell>
          <cell r="I18">
            <v>1201787</v>
          </cell>
          <cell r="J18">
            <v>243995</v>
          </cell>
          <cell r="K18">
            <v>1445782</v>
          </cell>
          <cell r="L18">
            <v>1201787</v>
          </cell>
          <cell r="M18">
            <v>243995</v>
          </cell>
          <cell r="N18">
            <v>1849294</v>
          </cell>
          <cell r="O18">
            <v>1491306</v>
          </cell>
          <cell r="P18">
            <v>357988</v>
          </cell>
          <cell r="Q18">
            <v>28.37</v>
          </cell>
          <cell r="R18">
            <v>27.91</v>
          </cell>
          <cell r="S18">
            <v>2.5289132510169621E-2</v>
          </cell>
          <cell r="T18">
            <v>2.4921137455209186E-2</v>
          </cell>
          <cell r="U18">
            <v>2.4920818433952885E-2</v>
          </cell>
          <cell r="X18">
            <v>0</v>
          </cell>
          <cell r="Y18">
            <v>0</v>
          </cell>
          <cell r="Z18">
            <v>0</v>
          </cell>
          <cell r="AA18">
            <v>0</v>
          </cell>
          <cell r="AD18">
            <v>0</v>
          </cell>
          <cell r="AE18">
            <v>0</v>
          </cell>
          <cell r="AF18">
            <v>0</v>
          </cell>
          <cell r="AG18">
            <v>0</v>
          </cell>
          <cell r="AI18">
            <v>1713</v>
          </cell>
          <cell r="AK18">
            <v>197289</v>
          </cell>
          <cell r="AL18">
            <v>169596</v>
          </cell>
          <cell r="AM18">
            <v>27693</v>
          </cell>
          <cell r="AN18">
            <v>197289</v>
          </cell>
          <cell r="AO18">
            <v>169596</v>
          </cell>
          <cell r="AP18">
            <v>27693</v>
          </cell>
          <cell r="AR18">
            <v>252721.33742748591</v>
          </cell>
          <cell r="AS18">
            <v>217247.42860652087</v>
          </cell>
          <cell r="AT18">
            <v>35473.908820965014</v>
          </cell>
          <cell r="AV18">
            <v>0.41</v>
          </cell>
          <cell r="AW18">
            <v>0.32700000000000001</v>
          </cell>
          <cell r="AX18">
            <v>0.75900000000000001</v>
          </cell>
          <cell r="AZ18">
            <v>0.30299999999999999</v>
          </cell>
          <cell r="BA18">
            <v>0.33600000000000002</v>
          </cell>
          <cell r="BB18">
            <v>0.16699999999999998</v>
          </cell>
          <cell r="BD18">
            <v>77358</v>
          </cell>
          <cell r="BE18">
            <v>57358</v>
          </cell>
          <cell r="BF18">
            <v>20000</v>
          </cell>
          <cell r="BH18">
            <v>0.29131008093209715</v>
          </cell>
          <cell r="BI18">
            <v>0.25126473922394932</v>
          </cell>
          <cell r="BJ18">
            <v>0.5365536360664287</v>
          </cell>
        </row>
        <row r="19">
          <cell r="B19">
            <v>11</v>
          </cell>
          <cell r="C19">
            <v>3</v>
          </cell>
          <cell r="D19">
            <v>4</v>
          </cell>
          <cell r="E19" t="str">
            <v>Allahabad</v>
          </cell>
          <cell r="F19" t="str">
            <v>Split</v>
          </cell>
          <cell r="G19">
            <v>2</v>
          </cell>
          <cell r="H19">
            <v>4921313</v>
          </cell>
          <cell r="I19">
            <v>3898948</v>
          </cell>
          <cell r="J19">
            <v>1022365</v>
          </cell>
          <cell r="K19">
            <v>3899451</v>
          </cell>
          <cell r="L19">
            <v>3089370</v>
          </cell>
          <cell r="M19">
            <v>810081</v>
          </cell>
          <cell r="N19">
            <v>4941510</v>
          </cell>
          <cell r="O19">
            <v>3727682</v>
          </cell>
          <cell r="P19">
            <v>1213828</v>
          </cell>
          <cell r="Q19">
            <v>30.78</v>
          </cell>
          <cell r="R19">
            <v>26.72</v>
          </cell>
          <cell r="S19">
            <v>2.7197924709818189E-2</v>
          </cell>
          <cell r="T19">
            <v>2.3963594979804936E-2</v>
          </cell>
          <cell r="U19">
            <v>2.3966199581474168E-2</v>
          </cell>
          <cell r="W19">
            <v>671</v>
          </cell>
          <cell r="X19">
            <v>673</v>
          </cell>
          <cell r="Y19">
            <v>677</v>
          </cell>
          <cell r="Z19">
            <v>677</v>
          </cell>
          <cell r="AA19">
            <v>677</v>
          </cell>
          <cell r="AC19">
            <v>11532</v>
          </cell>
          <cell r="AD19">
            <v>12108</v>
          </cell>
          <cell r="AE19">
            <v>12348</v>
          </cell>
          <cell r="AF19">
            <v>12460</v>
          </cell>
          <cell r="AG19">
            <v>12479</v>
          </cell>
          <cell r="AI19">
            <v>5425</v>
          </cell>
          <cell r="AK19">
            <v>770935</v>
          </cell>
          <cell r="AL19">
            <v>618358</v>
          </cell>
          <cell r="AM19">
            <v>152577</v>
          </cell>
          <cell r="AN19">
            <v>610858</v>
          </cell>
          <cell r="AO19">
            <v>489963</v>
          </cell>
          <cell r="AP19">
            <v>120895</v>
          </cell>
          <cell r="AR19">
            <v>782490.91808605229</v>
          </cell>
          <cell r="AS19">
            <v>627628.0210755961</v>
          </cell>
          <cell r="AT19">
            <v>154862.89701045628</v>
          </cell>
          <cell r="AV19">
            <v>0.41</v>
          </cell>
          <cell r="AW19">
            <v>0.32700000000000001</v>
          </cell>
          <cell r="AX19">
            <v>0.75900000000000001</v>
          </cell>
          <cell r="AZ19">
            <v>0.30299999999999999</v>
          </cell>
          <cell r="BA19">
            <v>0.33600000000000002</v>
          </cell>
          <cell r="BB19">
            <v>0.16699999999999998</v>
          </cell>
          <cell r="BD19">
            <v>247127</v>
          </cell>
          <cell r="BE19">
            <v>65023</v>
          </cell>
          <cell r="BF19">
            <v>182104</v>
          </cell>
          <cell r="BH19">
            <v>0.30056131592008911</v>
          </cell>
          <cell r="BI19">
            <v>9.8595449224696263E-2</v>
          </cell>
          <cell r="BJ19">
            <v>1.1190881527923726</v>
          </cell>
        </row>
        <row r="20">
          <cell r="B20">
            <v>12</v>
          </cell>
          <cell r="C20">
            <v>3</v>
          </cell>
          <cell r="D20">
            <v>4</v>
          </cell>
          <cell r="E20" t="str">
            <v>Fatehpur</v>
          </cell>
          <cell r="H20">
            <v>1899241</v>
          </cell>
          <cell r="I20">
            <v>1711228</v>
          </cell>
          <cell r="J20">
            <v>188013</v>
          </cell>
          <cell r="K20">
            <v>1899241</v>
          </cell>
          <cell r="L20">
            <v>1711228</v>
          </cell>
          <cell r="M20">
            <v>188013</v>
          </cell>
          <cell r="N20">
            <v>2305847</v>
          </cell>
          <cell r="O20">
            <v>2068568</v>
          </cell>
          <cell r="P20">
            <v>237279</v>
          </cell>
          <cell r="Q20">
            <v>20.79</v>
          </cell>
          <cell r="R20">
            <v>21.4</v>
          </cell>
          <cell r="S20">
            <v>1.9067844447968385E-2</v>
          </cell>
          <cell r="T20">
            <v>1.9581316759666567E-2</v>
          </cell>
          <cell r="U20">
            <v>1.9588764387457713E-2</v>
          </cell>
          <cell r="W20">
            <v>74</v>
          </cell>
          <cell r="X20">
            <v>79</v>
          </cell>
          <cell r="Y20">
            <v>84</v>
          </cell>
          <cell r="Z20">
            <v>84</v>
          </cell>
          <cell r="AA20">
            <v>84</v>
          </cell>
          <cell r="AC20">
            <v>3711</v>
          </cell>
          <cell r="AD20">
            <v>3723</v>
          </cell>
          <cell r="AE20">
            <v>3755</v>
          </cell>
          <cell r="AF20">
            <v>3793</v>
          </cell>
          <cell r="AG20">
            <v>3835</v>
          </cell>
          <cell r="AI20">
            <v>4152</v>
          </cell>
          <cell r="AK20">
            <v>325545</v>
          </cell>
          <cell r="AL20">
            <v>295470</v>
          </cell>
          <cell r="AM20">
            <v>30075</v>
          </cell>
          <cell r="AN20">
            <v>325545</v>
          </cell>
          <cell r="AO20">
            <v>295470</v>
          </cell>
          <cell r="AP20">
            <v>30075</v>
          </cell>
          <cell r="AR20">
            <v>417013.45636518457</v>
          </cell>
          <cell r="AS20">
            <v>378488.27643558057</v>
          </cell>
          <cell r="AT20">
            <v>38525.179929603975</v>
          </cell>
          <cell r="AV20">
            <v>0.41</v>
          </cell>
          <cell r="AW20">
            <v>0.32700000000000001</v>
          </cell>
          <cell r="AX20">
            <v>0.75900000000000001</v>
          </cell>
          <cell r="AZ20">
            <v>0.30299999999999999</v>
          </cell>
          <cell r="BA20">
            <v>0.33600000000000002</v>
          </cell>
          <cell r="BB20">
            <v>0.16699999999999998</v>
          </cell>
          <cell r="BD20">
            <v>57032</v>
          </cell>
          <cell r="BE20">
            <v>34204</v>
          </cell>
          <cell r="BF20">
            <v>22828</v>
          </cell>
          <cell r="BH20">
            <v>0.13015496045700112</v>
          </cell>
          <cell r="BI20">
            <v>8.6003605403267791E-2</v>
          </cell>
          <cell r="BJ20">
            <v>0.56391725065572396</v>
          </cell>
        </row>
        <row r="21">
          <cell r="B21">
            <v>13</v>
          </cell>
          <cell r="C21">
            <v>3</v>
          </cell>
          <cell r="D21">
            <v>4</v>
          </cell>
          <cell r="E21" t="str">
            <v>Kaushambi</v>
          </cell>
          <cell r="F21" t="str">
            <v>New</v>
          </cell>
          <cell r="G21">
            <v>1</v>
          </cell>
          <cell r="H21">
            <v>0</v>
          </cell>
          <cell r="I21">
            <v>0</v>
          </cell>
          <cell r="J21">
            <v>0</v>
          </cell>
          <cell r="K21">
            <v>1021862</v>
          </cell>
          <cell r="L21">
            <v>809578</v>
          </cell>
          <cell r="M21">
            <v>212284</v>
          </cell>
          <cell r="N21">
            <v>1294937</v>
          </cell>
          <cell r="O21">
            <v>1203183</v>
          </cell>
          <cell r="P21">
            <v>91754</v>
          </cell>
          <cell r="Q21">
            <v>25.34</v>
          </cell>
          <cell r="R21">
            <v>26.73</v>
          </cell>
          <cell r="S21">
            <v>2.2842980437960625E-2</v>
          </cell>
          <cell r="T21">
            <v>2.3971675213662724E-2</v>
          </cell>
          <cell r="U21">
            <v>2.3966241922097176E-2</v>
          </cell>
          <cell r="W21">
            <v>792</v>
          </cell>
          <cell r="X21">
            <v>799</v>
          </cell>
          <cell r="Y21">
            <v>801</v>
          </cell>
          <cell r="Z21">
            <v>801</v>
          </cell>
          <cell r="AA21">
            <v>801</v>
          </cell>
          <cell r="AC21">
            <v>31483</v>
          </cell>
          <cell r="AD21">
            <v>32163</v>
          </cell>
          <cell r="AE21">
            <v>33221</v>
          </cell>
          <cell r="AF21">
            <v>34510</v>
          </cell>
          <cell r="AG21">
            <v>25563</v>
          </cell>
          <cell r="AI21">
            <v>1836</v>
          </cell>
          <cell r="AK21">
            <v>0</v>
          </cell>
          <cell r="AL21">
            <v>0</v>
          </cell>
          <cell r="AM21">
            <v>0</v>
          </cell>
          <cell r="AN21">
            <v>160077</v>
          </cell>
          <cell r="AO21">
            <v>128395</v>
          </cell>
          <cell r="AP21">
            <v>31682</v>
          </cell>
          <cell r="AR21">
            <v>205053.87290411355</v>
          </cell>
          <cell r="AS21">
            <v>164470.1738008812</v>
          </cell>
          <cell r="AT21">
            <v>40583.699103232357</v>
          </cell>
          <cell r="AV21">
            <v>0.41</v>
          </cell>
          <cell r="AW21">
            <v>0.32700000000000001</v>
          </cell>
          <cell r="AX21">
            <v>0.75900000000000001</v>
          </cell>
          <cell r="AZ21">
            <v>0.30299999999999999</v>
          </cell>
          <cell r="BA21">
            <v>0.33600000000000002</v>
          </cell>
          <cell r="BB21">
            <v>0.16699999999999998</v>
          </cell>
          <cell r="BD21">
            <v>34980</v>
          </cell>
          <cell r="BE21">
            <v>32715</v>
          </cell>
          <cell r="BF21">
            <v>2265</v>
          </cell>
          <cell r="BH21">
            <v>0.16234690771587879</v>
          </cell>
          <cell r="BI21">
            <v>0.18930058903499694</v>
          </cell>
          <cell r="BJ21">
            <v>5.3113970623265477E-2</v>
          </cell>
        </row>
        <row r="22">
          <cell r="B22">
            <v>14</v>
          </cell>
          <cell r="C22">
            <v>3</v>
          </cell>
          <cell r="D22">
            <v>4</v>
          </cell>
          <cell r="E22" t="str">
            <v>Pratapgarh</v>
          </cell>
          <cell r="H22">
            <v>2210700</v>
          </cell>
          <cell r="I22">
            <v>2088599</v>
          </cell>
          <cell r="J22">
            <v>122101</v>
          </cell>
          <cell r="K22">
            <v>2210700</v>
          </cell>
          <cell r="L22">
            <v>2088599</v>
          </cell>
          <cell r="M22">
            <v>122101</v>
          </cell>
          <cell r="N22">
            <v>2727156</v>
          </cell>
          <cell r="O22">
            <v>2582843</v>
          </cell>
          <cell r="P22">
            <v>144313</v>
          </cell>
          <cell r="Q22">
            <v>22.75</v>
          </cell>
          <cell r="R22">
            <v>23.36</v>
          </cell>
          <cell r="S22">
            <v>2.0709484022374935E-2</v>
          </cell>
          <cell r="T22">
            <v>2.1215589755644304E-2</v>
          </cell>
          <cell r="U22">
            <v>2.1216955802133786E-2</v>
          </cell>
          <cell r="W22">
            <v>40</v>
          </cell>
          <cell r="X22">
            <v>40</v>
          </cell>
          <cell r="Y22">
            <v>40</v>
          </cell>
          <cell r="Z22">
            <v>40</v>
          </cell>
          <cell r="AA22">
            <v>40</v>
          </cell>
          <cell r="AC22">
            <v>204</v>
          </cell>
          <cell r="AD22">
            <v>224</v>
          </cell>
          <cell r="AE22">
            <v>252</v>
          </cell>
          <cell r="AF22">
            <v>260</v>
          </cell>
          <cell r="AG22">
            <v>266</v>
          </cell>
          <cell r="AI22">
            <v>3717</v>
          </cell>
          <cell r="AK22">
            <v>369756</v>
          </cell>
          <cell r="AL22">
            <v>351564</v>
          </cell>
          <cell r="AM22">
            <v>18192</v>
          </cell>
          <cell r="AN22">
            <v>369756</v>
          </cell>
          <cell r="AO22">
            <v>351564</v>
          </cell>
          <cell r="AP22">
            <v>18192</v>
          </cell>
          <cell r="AR22">
            <v>473646.43158938142</v>
          </cell>
          <cell r="AS22">
            <v>450343.02100652672</v>
          </cell>
          <cell r="AT22">
            <v>23303.410582854714</v>
          </cell>
          <cell r="AV22">
            <v>0.41</v>
          </cell>
          <cell r="AW22">
            <v>0.32700000000000001</v>
          </cell>
          <cell r="AX22">
            <v>0.75900000000000001</v>
          </cell>
          <cell r="AZ22">
            <v>0.30299999999999999</v>
          </cell>
          <cell r="BA22">
            <v>0.33600000000000002</v>
          </cell>
          <cell r="BB22">
            <v>0.16699999999999998</v>
          </cell>
          <cell r="BD22">
            <v>93768</v>
          </cell>
          <cell r="BE22">
            <v>73145</v>
          </cell>
          <cell r="BF22">
            <v>20623</v>
          </cell>
          <cell r="BH22">
            <v>0.18840506555316522</v>
          </cell>
          <cell r="BI22">
            <v>0.1545729158359809</v>
          </cell>
          <cell r="BJ22">
            <v>0.84221805385418658</v>
          </cell>
        </row>
        <row r="23">
          <cell r="B23">
            <v>15</v>
          </cell>
          <cell r="C23">
            <v>4</v>
          </cell>
          <cell r="D23">
            <v>3</v>
          </cell>
          <cell r="E23" t="str">
            <v>Budaun</v>
          </cell>
          <cell r="H23">
            <v>2448338</v>
          </cell>
          <cell r="I23">
            <v>2017033</v>
          </cell>
          <cell r="J23">
            <v>431305</v>
          </cell>
          <cell r="K23">
            <v>2448338</v>
          </cell>
          <cell r="L23">
            <v>2017033</v>
          </cell>
          <cell r="M23">
            <v>431305</v>
          </cell>
          <cell r="N23">
            <v>3069245</v>
          </cell>
          <cell r="O23">
            <v>2511993</v>
          </cell>
          <cell r="P23">
            <v>557252</v>
          </cell>
          <cell r="Q23">
            <v>24.16</v>
          </cell>
          <cell r="R23">
            <v>25.36</v>
          </cell>
          <cell r="S23">
            <v>2.1875931890339206E-2</v>
          </cell>
          <cell r="T23">
            <v>2.2859300360458468E-2</v>
          </cell>
          <cell r="U23">
            <v>2.2859583072760925E-2</v>
          </cell>
          <cell r="W23">
            <v>0</v>
          </cell>
          <cell r="X23">
            <v>0</v>
          </cell>
          <cell r="Y23">
            <v>0</v>
          </cell>
          <cell r="Z23">
            <v>0</v>
          </cell>
          <cell r="AA23">
            <v>0</v>
          </cell>
          <cell r="AC23">
            <v>0</v>
          </cell>
          <cell r="AD23">
            <v>48</v>
          </cell>
          <cell r="AE23">
            <v>0</v>
          </cell>
          <cell r="AF23">
            <v>0</v>
          </cell>
          <cell r="AG23">
            <v>0</v>
          </cell>
          <cell r="AI23">
            <v>5168</v>
          </cell>
          <cell r="AK23">
            <v>380242</v>
          </cell>
          <cell r="AL23">
            <v>320556</v>
          </cell>
          <cell r="AM23">
            <v>59686</v>
          </cell>
          <cell r="AN23">
            <v>380242</v>
          </cell>
          <cell r="AO23">
            <v>320556</v>
          </cell>
          <cell r="AP23">
            <v>59686</v>
          </cell>
          <cell r="AR23">
            <v>487078.68551263423</v>
          </cell>
          <cell r="AS23">
            <v>410622.69584419392</v>
          </cell>
          <cell r="AT23">
            <v>76455.989668440321</v>
          </cell>
          <cell r="AV23">
            <v>0.41</v>
          </cell>
          <cell r="AW23">
            <v>0.32700000000000001</v>
          </cell>
          <cell r="AX23">
            <v>0.75900000000000001</v>
          </cell>
          <cell r="AZ23">
            <v>0.30299999999999999</v>
          </cell>
          <cell r="BA23">
            <v>0.33600000000000002</v>
          </cell>
          <cell r="BB23">
            <v>0.16699999999999998</v>
          </cell>
          <cell r="BD23">
            <v>73502</v>
          </cell>
          <cell r="BE23">
            <v>39527</v>
          </cell>
          <cell r="BF23">
            <v>33975</v>
          </cell>
          <cell r="BH23">
            <v>0.14361249363081624</v>
          </cell>
          <cell r="BI23">
            <v>9.1610044871642926E-2</v>
          </cell>
          <cell r="BJ23">
            <v>0.42290239351429909</v>
          </cell>
        </row>
        <row r="24">
          <cell r="B24">
            <v>16</v>
          </cell>
          <cell r="C24">
            <v>4</v>
          </cell>
          <cell r="D24">
            <v>3</v>
          </cell>
          <cell r="E24" t="str">
            <v>Barielly</v>
          </cell>
          <cell r="H24">
            <v>2834616</v>
          </cell>
          <cell r="I24">
            <v>1905151</v>
          </cell>
          <cell r="J24">
            <v>929465</v>
          </cell>
          <cell r="K24">
            <v>2834616</v>
          </cell>
          <cell r="L24">
            <v>1905151</v>
          </cell>
          <cell r="M24">
            <v>929465</v>
          </cell>
          <cell r="N24">
            <v>3598701</v>
          </cell>
          <cell r="O24">
            <v>2425827</v>
          </cell>
          <cell r="P24">
            <v>1172874</v>
          </cell>
          <cell r="Q24">
            <v>24.71</v>
          </cell>
          <cell r="R24">
            <v>26.96</v>
          </cell>
          <cell r="S24">
            <v>2.2327699403222434E-2</v>
          </cell>
          <cell r="T24">
            <v>2.4157362393459003E-2</v>
          </cell>
          <cell r="U24">
            <v>2.4153734682166528E-2</v>
          </cell>
          <cell r="W24">
            <v>611</v>
          </cell>
          <cell r="X24">
            <v>611</v>
          </cell>
          <cell r="Y24">
            <v>611</v>
          </cell>
          <cell r="Z24">
            <v>611</v>
          </cell>
          <cell r="AA24">
            <v>611</v>
          </cell>
          <cell r="AC24">
            <v>11940</v>
          </cell>
          <cell r="AD24">
            <v>12091</v>
          </cell>
          <cell r="AE24">
            <v>12268</v>
          </cell>
          <cell r="AF24">
            <v>12501</v>
          </cell>
          <cell r="AG24">
            <v>12719</v>
          </cell>
          <cell r="AI24">
            <v>4120</v>
          </cell>
          <cell r="AK24">
            <v>409233</v>
          </cell>
          <cell r="AL24">
            <v>279274</v>
          </cell>
          <cell r="AM24">
            <v>129959</v>
          </cell>
          <cell r="AN24">
            <v>409233</v>
          </cell>
          <cell r="AO24">
            <v>279274</v>
          </cell>
          <cell r="AP24">
            <v>129959</v>
          </cell>
          <cell r="AR24">
            <v>524215.29370346211</v>
          </cell>
          <cell r="AS24">
            <v>357741.68244921765</v>
          </cell>
          <cell r="AT24">
            <v>166473.61125424449</v>
          </cell>
          <cell r="AV24">
            <v>0.41</v>
          </cell>
          <cell r="AW24">
            <v>0.32700000000000001</v>
          </cell>
          <cell r="AX24">
            <v>0.75900000000000001</v>
          </cell>
          <cell r="AZ24">
            <v>0.30299999999999999</v>
          </cell>
          <cell r="BA24">
            <v>0.33600000000000002</v>
          </cell>
          <cell r="BB24">
            <v>0.16699999999999998</v>
          </cell>
          <cell r="BD24">
            <v>90839</v>
          </cell>
          <cell r="BE24">
            <v>65064</v>
          </cell>
          <cell r="BF24">
            <v>25775</v>
          </cell>
          <cell r="BH24">
            <v>0.16491298382726405</v>
          </cell>
          <cell r="BI24">
            <v>0.17308658373912075</v>
          </cell>
          <cell r="BJ24">
            <v>0.14734841391072209</v>
          </cell>
        </row>
        <row r="25">
          <cell r="B25">
            <v>17</v>
          </cell>
          <cell r="C25">
            <v>4</v>
          </cell>
          <cell r="D25">
            <v>3</v>
          </cell>
          <cell r="E25" t="str">
            <v>Pilibhit</v>
          </cell>
          <cell r="H25">
            <v>1283103</v>
          </cell>
          <cell r="I25">
            <v>1046247</v>
          </cell>
          <cell r="J25">
            <v>236856</v>
          </cell>
          <cell r="K25">
            <v>1283103</v>
          </cell>
          <cell r="L25">
            <v>1046247</v>
          </cell>
          <cell r="M25">
            <v>236856</v>
          </cell>
          <cell r="N25">
            <v>1643788</v>
          </cell>
          <cell r="O25">
            <v>1349783</v>
          </cell>
          <cell r="P25">
            <v>294005</v>
          </cell>
          <cell r="Q25">
            <v>27.25</v>
          </cell>
          <cell r="R25">
            <v>28.11</v>
          </cell>
          <cell r="S25">
            <v>2.4391058667107668E-2</v>
          </cell>
          <cell r="T25">
            <v>2.5081281415189727E-2</v>
          </cell>
          <cell r="U25">
            <v>2.5081577424227675E-2</v>
          </cell>
          <cell r="W25">
            <v>0</v>
          </cell>
          <cell r="X25">
            <v>0</v>
          </cell>
          <cell r="Y25">
            <v>0</v>
          </cell>
          <cell r="Z25">
            <v>0</v>
          </cell>
          <cell r="AA25">
            <v>0</v>
          </cell>
          <cell r="AC25">
            <v>0</v>
          </cell>
          <cell r="AD25">
            <v>0</v>
          </cell>
          <cell r="AE25">
            <v>0</v>
          </cell>
          <cell r="AF25">
            <v>0</v>
          </cell>
          <cell r="AG25">
            <v>0</v>
          </cell>
          <cell r="AI25">
            <v>3499</v>
          </cell>
          <cell r="AK25">
            <v>186442</v>
          </cell>
          <cell r="AL25">
            <v>155415</v>
          </cell>
          <cell r="AM25">
            <v>31027</v>
          </cell>
          <cell r="AN25">
            <v>186442</v>
          </cell>
          <cell r="AO25">
            <v>155415</v>
          </cell>
          <cell r="AP25">
            <v>31027</v>
          </cell>
          <cell r="AR25">
            <v>238826.653248054</v>
          </cell>
          <cell r="AS25">
            <v>199081.98965118543</v>
          </cell>
          <cell r="AT25">
            <v>39744.66359686858</v>
          </cell>
          <cell r="AV25">
            <v>0.41</v>
          </cell>
          <cell r="AW25">
            <v>0.32700000000000001</v>
          </cell>
          <cell r="AX25">
            <v>0.75900000000000001</v>
          </cell>
          <cell r="AZ25">
            <v>0.30299999999999999</v>
          </cell>
          <cell r="BA25">
            <v>0.33600000000000002</v>
          </cell>
          <cell r="BB25">
            <v>0.16699999999999998</v>
          </cell>
          <cell r="BD25">
            <v>56391</v>
          </cell>
          <cell r="BE25">
            <v>27526</v>
          </cell>
          <cell r="BF25">
            <v>28865</v>
          </cell>
          <cell r="BH25">
            <v>0.2247083420473254</v>
          </cell>
          <cell r="BI25">
            <v>0.13158407295775587</v>
          </cell>
          <cell r="BJ25">
            <v>0.69117007797266306</v>
          </cell>
        </row>
        <row r="26">
          <cell r="B26">
            <v>18</v>
          </cell>
          <cell r="C26">
            <v>4</v>
          </cell>
          <cell r="D26">
            <v>3</v>
          </cell>
          <cell r="E26" t="str">
            <v>Shahjahanpur</v>
          </cell>
          <cell r="H26">
            <v>1987395</v>
          </cell>
          <cell r="I26">
            <v>1574764</v>
          </cell>
          <cell r="J26">
            <v>412631</v>
          </cell>
          <cell r="K26">
            <v>1987395</v>
          </cell>
          <cell r="L26">
            <v>1574764</v>
          </cell>
          <cell r="M26">
            <v>412631</v>
          </cell>
          <cell r="N26">
            <v>2549458</v>
          </cell>
          <cell r="O26">
            <v>2022664</v>
          </cell>
          <cell r="P26">
            <v>526794</v>
          </cell>
          <cell r="Q26">
            <v>20.62</v>
          </cell>
          <cell r="R26">
            <v>28.28</v>
          </cell>
          <cell r="S26">
            <v>1.8924329793928552E-2</v>
          </cell>
          <cell r="T26">
            <v>2.5217226965715378E-2</v>
          </cell>
          <cell r="U26">
            <v>2.5218340635190017E-2</v>
          </cell>
          <cell r="W26">
            <v>75</v>
          </cell>
          <cell r="X26">
            <v>77</v>
          </cell>
          <cell r="Y26">
            <v>77</v>
          </cell>
          <cell r="Z26">
            <v>77</v>
          </cell>
          <cell r="AA26">
            <v>77</v>
          </cell>
          <cell r="AC26">
            <v>2429</v>
          </cell>
          <cell r="AD26">
            <v>2449</v>
          </cell>
          <cell r="AE26">
            <v>2478</v>
          </cell>
          <cell r="AF26">
            <v>2496</v>
          </cell>
          <cell r="AG26">
            <v>2498</v>
          </cell>
          <cell r="AI26">
            <v>4575</v>
          </cell>
          <cell r="AK26">
            <v>307759</v>
          </cell>
          <cell r="AL26">
            <v>249648</v>
          </cell>
          <cell r="AM26">
            <v>58111</v>
          </cell>
          <cell r="AN26">
            <v>307759</v>
          </cell>
          <cell r="AO26">
            <v>249648</v>
          </cell>
          <cell r="AP26">
            <v>58111</v>
          </cell>
          <cell r="AR26">
            <v>394230.11969925149</v>
          </cell>
          <cell r="AS26">
            <v>319791.65815680043</v>
          </cell>
          <cell r="AT26">
            <v>74438.461542451085</v>
          </cell>
          <cell r="AV26">
            <v>0.41</v>
          </cell>
          <cell r="AW26">
            <v>0.32700000000000001</v>
          </cell>
          <cell r="AX26">
            <v>0.75900000000000001</v>
          </cell>
          <cell r="AZ26">
            <v>0.30299999999999999</v>
          </cell>
          <cell r="BA26">
            <v>0.33600000000000002</v>
          </cell>
          <cell r="BB26">
            <v>0.16699999999999998</v>
          </cell>
          <cell r="BD26">
            <v>157350</v>
          </cell>
          <cell r="BE26">
            <v>39114</v>
          </cell>
          <cell r="BF26">
            <v>118236</v>
          </cell>
          <cell r="BH26">
            <v>0.37984738194309681</v>
          </cell>
          <cell r="BI26">
            <v>0.11640115578776633</v>
          </cell>
          <cell r="BJ26">
            <v>1.5116266228308106</v>
          </cell>
        </row>
        <row r="27">
          <cell r="B27">
            <v>19</v>
          </cell>
          <cell r="C27">
            <v>5</v>
          </cell>
          <cell r="D27">
            <v>4</v>
          </cell>
          <cell r="E27" t="str">
            <v>Basti</v>
          </cell>
          <cell r="F27" t="str">
            <v>Split</v>
          </cell>
          <cell r="G27">
            <v>2</v>
          </cell>
          <cell r="H27">
            <v>2738522</v>
          </cell>
          <cell r="I27">
            <v>2562696</v>
          </cell>
          <cell r="J27">
            <v>175826</v>
          </cell>
          <cell r="K27">
            <v>1662913</v>
          </cell>
          <cell r="L27">
            <v>1574900</v>
          </cell>
          <cell r="M27">
            <v>88013</v>
          </cell>
          <cell r="N27">
            <v>2068922</v>
          </cell>
          <cell r="O27">
            <v>1953604</v>
          </cell>
          <cell r="P27">
            <v>115318</v>
          </cell>
          <cell r="Q27">
            <v>23.41</v>
          </cell>
          <cell r="R27">
            <v>22.69</v>
          </cell>
          <cell r="S27">
            <v>2.1256973890493081E-2</v>
          </cell>
          <cell r="T27">
            <v>2.0659580931471799E-2</v>
          </cell>
          <cell r="U27">
            <v>2.2086045507365482E-2</v>
          </cell>
          <cell r="X27">
            <v>0</v>
          </cell>
          <cell r="Y27">
            <v>0</v>
          </cell>
          <cell r="Z27">
            <v>0</v>
          </cell>
          <cell r="AA27">
            <v>0</v>
          </cell>
          <cell r="AD27">
            <v>22</v>
          </cell>
          <cell r="AE27">
            <v>0</v>
          </cell>
          <cell r="AF27">
            <v>0</v>
          </cell>
          <cell r="AG27">
            <v>0</v>
          </cell>
          <cell r="AI27">
            <v>3034</v>
          </cell>
          <cell r="AK27">
            <v>419602</v>
          </cell>
          <cell r="AL27">
            <v>395145</v>
          </cell>
          <cell r="AM27">
            <v>24457</v>
          </cell>
          <cell r="AN27">
            <v>252946</v>
          </cell>
          <cell r="AO27">
            <v>240479</v>
          </cell>
          <cell r="AP27">
            <v>12467</v>
          </cell>
          <cell r="AR27">
            <v>324016.29800410994</v>
          </cell>
          <cell r="AS27">
            <v>308046.44203794625</v>
          </cell>
          <cell r="AT27">
            <v>15969.855966163683</v>
          </cell>
          <cell r="AV27">
            <v>0.41</v>
          </cell>
          <cell r="AW27">
            <v>0.32700000000000001</v>
          </cell>
          <cell r="AX27">
            <v>0.75900000000000001</v>
          </cell>
          <cell r="AZ27">
            <v>0.30299999999999999</v>
          </cell>
          <cell r="BA27">
            <v>0.33600000000000002</v>
          </cell>
          <cell r="BB27">
            <v>0.16699999999999998</v>
          </cell>
          <cell r="BD27">
            <v>74202</v>
          </cell>
          <cell r="BE27">
            <v>57689</v>
          </cell>
          <cell r="BF27">
            <v>16513</v>
          </cell>
          <cell r="BH27">
            <v>0.21794200777120173</v>
          </cell>
          <cell r="BI27">
            <v>0.1782251569568914</v>
          </cell>
          <cell r="BJ27">
            <v>0.98405001827689986</v>
          </cell>
        </row>
        <row r="28">
          <cell r="B28">
            <v>20</v>
          </cell>
          <cell r="C28">
            <v>5</v>
          </cell>
          <cell r="D28">
            <v>4</v>
          </cell>
          <cell r="E28" t="str">
            <v>Sant Kabir Nagar</v>
          </cell>
          <cell r="F28" t="str">
            <v>New</v>
          </cell>
          <cell r="G28">
            <v>1</v>
          </cell>
          <cell r="H28">
            <v>0</v>
          </cell>
          <cell r="I28">
            <v>0</v>
          </cell>
          <cell r="J28">
            <v>0</v>
          </cell>
          <cell r="K28">
            <v>1144953</v>
          </cell>
          <cell r="L28">
            <v>1084354</v>
          </cell>
          <cell r="M28">
            <v>60599</v>
          </cell>
          <cell r="N28">
            <v>1424500</v>
          </cell>
          <cell r="O28">
            <v>1323388</v>
          </cell>
          <cell r="P28">
            <v>101112</v>
          </cell>
          <cell r="Q28">
            <v>26.46</v>
          </cell>
          <cell r="R28">
            <v>23.64</v>
          </cell>
          <cell r="S28">
            <v>2.375330720831581E-2</v>
          </cell>
          <cell r="T28">
            <v>2.144714676324333E-2</v>
          </cell>
          <cell r="U28">
            <v>2.208609373910253E-2</v>
          </cell>
          <cell r="W28">
            <v>397</v>
          </cell>
          <cell r="X28">
            <v>398</v>
          </cell>
          <cell r="Y28">
            <v>398</v>
          </cell>
          <cell r="Z28">
            <v>398</v>
          </cell>
          <cell r="AA28">
            <v>398</v>
          </cell>
          <cell r="AC28">
            <v>8666</v>
          </cell>
          <cell r="AD28">
            <v>8708</v>
          </cell>
          <cell r="AE28">
            <v>8814</v>
          </cell>
          <cell r="AF28">
            <v>8907</v>
          </cell>
          <cell r="AG28">
            <v>8982</v>
          </cell>
          <cell r="AI28">
            <v>1442</v>
          </cell>
          <cell r="AK28">
            <v>0</v>
          </cell>
          <cell r="AL28">
            <v>0</v>
          </cell>
          <cell r="AM28">
            <v>0</v>
          </cell>
          <cell r="AN28">
            <v>174159</v>
          </cell>
          <cell r="AO28">
            <v>165575</v>
          </cell>
          <cell r="AP28">
            <v>8584</v>
          </cell>
          <cell r="AR28">
            <v>223092.49580581542</v>
          </cell>
          <cell r="AS28">
            <v>212096.64727661439</v>
          </cell>
          <cell r="AT28">
            <v>10995.848529201014</v>
          </cell>
          <cell r="AV28">
            <v>0.41</v>
          </cell>
          <cell r="AW28">
            <v>0.32700000000000001</v>
          </cell>
          <cell r="AX28">
            <v>0.75900000000000001</v>
          </cell>
          <cell r="AZ28">
            <v>0.30299999999999999</v>
          </cell>
          <cell r="BA28">
            <v>0.33600000000000002</v>
          </cell>
          <cell r="BB28">
            <v>0.16699999999999998</v>
          </cell>
          <cell r="BD28">
            <v>42983</v>
          </cell>
          <cell r="BE28">
            <v>31442</v>
          </cell>
          <cell r="BF28">
            <v>11541</v>
          </cell>
          <cell r="BH28">
            <v>0.18335972703590578</v>
          </cell>
          <cell r="BI28">
            <v>0.14108100735077206</v>
          </cell>
          <cell r="BJ28">
            <v>0.99886520372113596</v>
          </cell>
        </row>
        <row r="29">
          <cell r="B29">
            <v>21</v>
          </cell>
          <cell r="C29">
            <v>5</v>
          </cell>
          <cell r="D29">
            <v>4</v>
          </cell>
          <cell r="E29" t="str">
            <v>Siddharthnagar</v>
          </cell>
          <cell r="F29" t="str">
            <v>Split</v>
          </cell>
          <cell r="G29">
            <v>2</v>
          </cell>
          <cell r="H29">
            <v>1707885</v>
          </cell>
          <cell r="I29">
            <v>1648377</v>
          </cell>
          <cell r="J29">
            <v>59508</v>
          </cell>
          <cell r="K29">
            <v>1638541</v>
          </cell>
          <cell r="L29">
            <v>1551819</v>
          </cell>
          <cell r="M29">
            <v>86722</v>
          </cell>
          <cell r="N29">
            <v>2038598</v>
          </cell>
          <cell r="O29">
            <v>1960895</v>
          </cell>
          <cell r="P29">
            <v>77703</v>
          </cell>
          <cell r="Q29">
            <v>23.63</v>
          </cell>
          <cell r="R29">
            <v>26.78</v>
          </cell>
          <cell r="S29">
            <v>2.1438885000664598E-2</v>
          </cell>
          <cell r="T29">
            <v>2.4012067777452684E-2</v>
          </cell>
          <cell r="U29">
            <v>2.2085972941693344E-2</v>
          </cell>
          <cell r="W29">
            <v>12</v>
          </cell>
          <cell r="X29">
            <v>13</v>
          </cell>
          <cell r="Y29">
            <v>13</v>
          </cell>
          <cell r="Z29">
            <v>13</v>
          </cell>
          <cell r="AA29">
            <v>13</v>
          </cell>
          <cell r="AC29">
            <v>10302</v>
          </cell>
          <cell r="AD29">
            <v>10550</v>
          </cell>
          <cell r="AE29">
            <v>10817</v>
          </cell>
          <cell r="AF29">
            <v>11076</v>
          </cell>
          <cell r="AG29">
            <v>11268</v>
          </cell>
          <cell r="AI29">
            <v>2752</v>
          </cell>
          <cell r="AK29">
            <v>256744</v>
          </cell>
          <cell r="AL29">
            <v>247864</v>
          </cell>
          <cell r="AM29">
            <v>8880</v>
          </cell>
          <cell r="AN29">
            <v>249241</v>
          </cell>
          <cell r="AO29">
            <v>236955</v>
          </cell>
          <cell r="AP29">
            <v>12286</v>
          </cell>
          <cell r="AR29">
            <v>319270.30326964002</v>
          </cell>
          <cell r="AS29">
            <v>303532.30291668529</v>
          </cell>
          <cell r="AT29">
            <v>15738.000352954761</v>
          </cell>
          <cell r="AV29">
            <v>0.41</v>
          </cell>
          <cell r="AW29">
            <v>0.32700000000000001</v>
          </cell>
          <cell r="AX29">
            <v>0.75900000000000001</v>
          </cell>
          <cell r="AZ29">
            <v>0.30299999999999999</v>
          </cell>
          <cell r="BA29">
            <v>0.33600000000000002</v>
          </cell>
          <cell r="BB29">
            <v>0.16699999999999998</v>
          </cell>
          <cell r="BD29">
            <v>103719</v>
          </cell>
          <cell r="BE29">
            <v>69655</v>
          </cell>
          <cell r="BF29">
            <v>34064</v>
          </cell>
          <cell r="BH29">
            <v>0.3091661858596827</v>
          </cell>
          <cell r="BI29">
            <v>0.21839343124329405</v>
          </cell>
          <cell r="BJ29">
            <v>2.0598627567636671</v>
          </cell>
        </row>
        <row r="30">
          <cell r="B30">
            <v>22</v>
          </cell>
          <cell r="C30">
            <v>6</v>
          </cell>
          <cell r="D30">
            <v>2</v>
          </cell>
          <cell r="E30" t="str">
            <v>Banda</v>
          </cell>
          <cell r="F30" t="str">
            <v>Split</v>
          </cell>
          <cell r="G30">
            <v>2</v>
          </cell>
          <cell r="H30">
            <v>1862139</v>
          </cell>
          <cell r="I30">
            <v>1622718</v>
          </cell>
          <cell r="J30">
            <v>239421</v>
          </cell>
          <cell r="K30">
            <v>1214198</v>
          </cell>
          <cell r="L30">
            <v>1058085</v>
          </cell>
          <cell r="M30">
            <v>156113</v>
          </cell>
          <cell r="N30">
            <v>1500253</v>
          </cell>
          <cell r="O30">
            <v>1256230</v>
          </cell>
          <cell r="P30">
            <v>244023</v>
          </cell>
          <cell r="Q30">
            <v>23.69</v>
          </cell>
          <cell r="R30">
            <v>18.489999999999998</v>
          </cell>
          <cell r="S30">
            <v>2.1488446557463181E-2</v>
          </cell>
          <cell r="T30">
            <v>1.7110575489174495E-2</v>
          </cell>
          <cell r="U30">
            <v>2.1380351690864829E-2</v>
          </cell>
          <cell r="X30">
            <v>0</v>
          </cell>
          <cell r="Y30">
            <v>0</v>
          </cell>
          <cell r="Z30">
            <v>0</v>
          </cell>
          <cell r="AA30">
            <v>0</v>
          </cell>
          <cell r="AD30">
            <v>0</v>
          </cell>
          <cell r="AE30">
            <v>0</v>
          </cell>
          <cell r="AF30">
            <v>0</v>
          </cell>
          <cell r="AG30">
            <v>0</v>
          </cell>
          <cell r="AI30">
            <v>4418</v>
          </cell>
          <cell r="AK30">
            <v>298202</v>
          </cell>
          <cell r="AL30">
            <v>260286</v>
          </cell>
          <cell r="AM30">
            <v>37916</v>
          </cell>
          <cell r="AN30">
            <v>194441</v>
          </cell>
          <cell r="AO30">
            <v>169719</v>
          </cell>
          <cell r="AP30">
            <v>24722</v>
          </cell>
          <cell r="AR30">
            <v>249073.13418760186</v>
          </cell>
          <cell r="AS30">
            <v>217404.98794588385</v>
          </cell>
          <cell r="AT30">
            <v>31668.146241718019</v>
          </cell>
          <cell r="AV30">
            <v>0.41</v>
          </cell>
          <cell r="AW30">
            <v>0.32700000000000001</v>
          </cell>
          <cell r="AX30">
            <v>0.75900000000000001</v>
          </cell>
          <cell r="AZ30">
            <v>0.30299999999999999</v>
          </cell>
          <cell r="BA30">
            <v>0.33600000000000002</v>
          </cell>
          <cell r="BB30">
            <v>0.16699999999999998</v>
          </cell>
          <cell r="BD30">
            <v>0</v>
          </cell>
          <cell r="BE30">
            <v>0</v>
          </cell>
          <cell r="BF30">
            <v>0</v>
          </cell>
          <cell r="BH30">
            <v>0</v>
          </cell>
          <cell r="BI30">
            <v>0</v>
          </cell>
          <cell r="BJ30">
            <v>0</v>
          </cell>
        </row>
        <row r="31">
          <cell r="B31">
            <v>23</v>
          </cell>
          <cell r="C31">
            <v>6</v>
          </cell>
          <cell r="D31">
            <v>4</v>
          </cell>
          <cell r="E31" t="str">
            <v>Chitrakoot</v>
          </cell>
          <cell r="F31" t="str">
            <v>New</v>
          </cell>
          <cell r="G31">
            <v>1</v>
          </cell>
          <cell r="H31">
            <v>0</v>
          </cell>
          <cell r="I31">
            <v>0</v>
          </cell>
          <cell r="J31">
            <v>0</v>
          </cell>
          <cell r="K31">
            <v>647941</v>
          </cell>
          <cell r="L31">
            <v>564633</v>
          </cell>
          <cell r="M31">
            <v>83308</v>
          </cell>
          <cell r="N31">
            <v>800592</v>
          </cell>
          <cell r="O31">
            <v>724096</v>
          </cell>
          <cell r="P31">
            <v>76496</v>
          </cell>
          <cell r="Q31">
            <v>16.78</v>
          </cell>
          <cell r="R31">
            <v>34.33</v>
          </cell>
          <cell r="S31">
            <v>1.5633101826060258E-2</v>
          </cell>
          <cell r="T31">
            <v>2.9952749902958598E-2</v>
          </cell>
          <cell r="U31">
            <v>2.1380538313838349E-2</v>
          </cell>
          <cell r="X31">
            <v>0</v>
          </cell>
          <cell r="Y31">
            <v>0</v>
          </cell>
          <cell r="Z31">
            <v>0</v>
          </cell>
          <cell r="AA31">
            <v>0</v>
          </cell>
          <cell r="AD31">
            <v>445</v>
          </cell>
          <cell r="AE31">
            <v>0</v>
          </cell>
          <cell r="AF31">
            <v>0</v>
          </cell>
          <cell r="AG31">
            <v>0</v>
          </cell>
          <cell r="AI31">
            <v>3206</v>
          </cell>
          <cell r="AK31">
            <v>0</v>
          </cell>
          <cell r="AL31">
            <v>0</v>
          </cell>
          <cell r="AM31">
            <v>0</v>
          </cell>
          <cell r="AN31">
            <v>103761</v>
          </cell>
          <cell r="AO31">
            <v>90567</v>
          </cell>
          <cell r="AP31">
            <v>13194</v>
          </cell>
          <cell r="AR31">
            <v>132914.75294017085</v>
          </cell>
          <cell r="AS31">
            <v>116013.6316104553</v>
          </cell>
          <cell r="AT31">
            <v>16901.121329715537</v>
          </cell>
          <cell r="AV31">
            <v>0.41</v>
          </cell>
          <cell r="AW31">
            <v>0.32700000000000001</v>
          </cell>
          <cell r="AX31">
            <v>0.75900000000000001</v>
          </cell>
          <cell r="AZ31">
            <v>0.30299999999999999</v>
          </cell>
          <cell r="BA31">
            <v>0.33600000000000002</v>
          </cell>
          <cell r="BB31">
            <v>0.16699999999999998</v>
          </cell>
          <cell r="BD31">
            <v>0</v>
          </cell>
          <cell r="BE31">
            <v>0</v>
          </cell>
          <cell r="BF31">
            <v>0</v>
          </cell>
          <cell r="BH31">
            <v>0</v>
          </cell>
          <cell r="BI31">
            <v>0</v>
          </cell>
          <cell r="BJ31">
            <v>0</v>
          </cell>
        </row>
        <row r="32">
          <cell r="B32">
            <v>24</v>
          </cell>
          <cell r="C32">
            <v>6</v>
          </cell>
          <cell r="D32">
            <v>2</v>
          </cell>
          <cell r="E32" t="str">
            <v>Hamirpur</v>
          </cell>
          <cell r="F32" t="str">
            <v>Split</v>
          </cell>
          <cell r="G32">
            <v>2</v>
          </cell>
          <cell r="H32">
            <v>1466491</v>
          </cell>
          <cell r="I32">
            <v>1211846</v>
          </cell>
          <cell r="J32">
            <v>254645</v>
          </cell>
          <cell r="K32">
            <v>872903</v>
          </cell>
          <cell r="L32">
            <v>721331</v>
          </cell>
          <cell r="M32">
            <v>151572</v>
          </cell>
          <cell r="N32">
            <v>1042374</v>
          </cell>
          <cell r="O32">
            <v>868917</v>
          </cell>
          <cell r="P32">
            <v>173457</v>
          </cell>
          <cell r="Q32">
            <v>21.9</v>
          </cell>
          <cell r="R32">
            <v>17.850000000000001</v>
          </cell>
          <cell r="S32">
            <v>2.0000466908915326E-2</v>
          </cell>
          <cell r="T32">
            <v>1.6559863704994404E-2</v>
          </cell>
          <cell r="U32">
            <v>1.7901509520586112E-2</v>
          </cell>
          <cell r="W32">
            <v>1283</v>
          </cell>
          <cell r="X32">
            <v>1286</v>
          </cell>
          <cell r="Y32">
            <v>1287</v>
          </cell>
          <cell r="Z32">
            <v>1287</v>
          </cell>
          <cell r="AA32">
            <v>1287</v>
          </cell>
          <cell r="AC32">
            <v>32612</v>
          </cell>
          <cell r="AD32">
            <v>32972</v>
          </cell>
          <cell r="AE32">
            <v>34027</v>
          </cell>
          <cell r="AF32">
            <v>34255</v>
          </cell>
          <cell r="AG32">
            <v>34464</v>
          </cell>
          <cell r="AI32">
            <v>4316</v>
          </cell>
          <cell r="AK32">
            <v>240803</v>
          </cell>
          <cell r="AL32">
            <v>199378</v>
          </cell>
          <cell r="AM32">
            <v>41425</v>
          </cell>
          <cell r="AN32">
            <v>143334</v>
          </cell>
          <cell r="AO32">
            <v>118677</v>
          </cell>
          <cell r="AP32">
            <v>24657</v>
          </cell>
          <cell r="AR32">
            <v>183606.58819716895</v>
          </cell>
          <cell r="AS32">
            <v>152021.70502096793</v>
          </cell>
          <cell r="AT32">
            <v>31584.883176201005</v>
          </cell>
          <cell r="AV32">
            <v>0.41</v>
          </cell>
          <cell r="AW32">
            <v>0.32700000000000001</v>
          </cell>
          <cell r="AX32">
            <v>0.75900000000000001</v>
          </cell>
          <cell r="AZ32">
            <v>0.30299999999999999</v>
          </cell>
          <cell r="BA32">
            <v>0.33600000000000002</v>
          </cell>
          <cell r="BB32">
            <v>0.16699999999999998</v>
          </cell>
          <cell r="BD32">
            <v>25329</v>
          </cell>
          <cell r="BE32">
            <v>0</v>
          </cell>
          <cell r="BF32">
            <v>25329</v>
          </cell>
          <cell r="BH32">
            <v>0.1312870758711229</v>
          </cell>
          <cell r="BI32">
            <v>0</v>
          </cell>
          <cell r="BJ32">
            <v>0.76318699488630126</v>
          </cell>
        </row>
        <row r="33">
          <cell r="B33">
            <v>25</v>
          </cell>
          <cell r="C33">
            <v>6</v>
          </cell>
          <cell r="D33">
            <v>2</v>
          </cell>
          <cell r="E33" t="str">
            <v>Mahoba</v>
          </cell>
          <cell r="F33" t="str">
            <v>New</v>
          </cell>
          <cell r="G33">
            <v>1</v>
          </cell>
          <cell r="H33">
            <v>0</v>
          </cell>
          <cell r="I33">
            <v>0</v>
          </cell>
          <cell r="J33">
            <v>0</v>
          </cell>
          <cell r="K33">
            <v>593588</v>
          </cell>
          <cell r="L33">
            <v>490515</v>
          </cell>
          <cell r="M33">
            <v>103073</v>
          </cell>
          <cell r="N33">
            <v>708831</v>
          </cell>
          <cell r="O33">
            <v>554044</v>
          </cell>
          <cell r="P33">
            <v>154787</v>
          </cell>
          <cell r="Q33">
            <v>24.2</v>
          </cell>
          <cell r="R33">
            <v>21.8</v>
          </cell>
          <cell r="S33">
            <v>2.1908848379270873E-2</v>
          </cell>
          <cell r="T33">
            <v>1.9916760821878876E-2</v>
          </cell>
          <cell r="U33">
            <v>1.7901510915810714E-2</v>
          </cell>
          <cell r="X33">
            <v>0</v>
          </cell>
          <cell r="Y33">
            <v>0</v>
          </cell>
          <cell r="Z33">
            <v>0</v>
          </cell>
          <cell r="AA33">
            <v>0</v>
          </cell>
          <cell r="AD33">
            <v>0</v>
          </cell>
          <cell r="AE33">
            <v>0</v>
          </cell>
          <cell r="AF33">
            <v>0</v>
          </cell>
          <cell r="AG33">
            <v>0</v>
          </cell>
          <cell r="AI33">
            <v>2850</v>
          </cell>
          <cell r="AK33">
            <v>0</v>
          </cell>
          <cell r="AL33">
            <v>0</v>
          </cell>
          <cell r="AM33">
            <v>0</v>
          </cell>
          <cell r="AN33">
            <v>97469</v>
          </cell>
          <cell r="AO33">
            <v>80701</v>
          </cell>
          <cell r="AP33">
            <v>16768</v>
          </cell>
          <cell r="AR33">
            <v>124854.88819812368</v>
          </cell>
          <cell r="AS33">
            <v>103375.57923521099</v>
          </cell>
          <cell r="AT33">
            <v>21479.308962912699</v>
          </cell>
          <cell r="AV33">
            <v>0.41</v>
          </cell>
          <cell r="AW33">
            <v>0.32700000000000001</v>
          </cell>
          <cell r="AX33">
            <v>0.75900000000000001</v>
          </cell>
          <cell r="AZ33">
            <v>0.30299999999999999</v>
          </cell>
          <cell r="BA33">
            <v>0.33600000000000002</v>
          </cell>
          <cell r="BB33">
            <v>0.16699999999999998</v>
          </cell>
          <cell r="BD33">
            <v>17487</v>
          </cell>
          <cell r="BE33">
            <v>6908</v>
          </cell>
          <cell r="BF33">
            <v>10579</v>
          </cell>
          <cell r="BH33">
            <v>0.13329134551745506</v>
          </cell>
          <cell r="BI33">
            <v>6.359552617656733E-2</v>
          </cell>
          <cell r="BJ33">
            <v>0.46872325848435514</v>
          </cell>
        </row>
        <row r="34">
          <cell r="B34">
            <v>26</v>
          </cell>
          <cell r="C34">
            <v>7</v>
          </cell>
          <cell r="D34">
            <v>3</v>
          </cell>
          <cell r="E34" t="str">
            <v>Bahraich</v>
          </cell>
          <cell r="F34" t="str">
            <v>Split</v>
          </cell>
          <cell r="G34">
            <v>2</v>
          </cell>
          <cell r="H34">
            <v>2763750</v>
          </cell>
          <cell r="I34">
            <v>2546844</v>
          </cell>
          <cell r="J34">
            <v>216906</v>
          </cell>
          <cell r="K34">
            <v>1851140</v>
          </cell>
          <cell r="L34">
            <v>1705858</v>
          </cell>
          <cell r="M34">
            <v>145282</v>
          </cell>
          <cell r="N34">
            <v>2384239</v>
          </cell>
          <cell r="O34">
            <v>2146187</v>
          </cell>
          <cell r="P34">
            <v>238052</v>
          </cell>
          <cell r="Q34">
            <v>25.19</v>
          </cell>
          <cell r="R34">
            <v>29.55</v>
          </cell>
          <cell r="S34">
            <v>2.2720506259497952E-2</v>
          </cell>
          <cell r="T34">
            <v>2.6227720680175537E-2</v>
          </cell>
          <cell r="U34">
            <v>2.5630794973076076E-2</v>
          </cell>
          <cell r="W34">
            <v>519</v>
          </cell>
          <cell r="X34">
            <v>521</v>
          </cell>
          <cell r="Y34">
            <v>536</v>
          </cell>
          <cell r="Z34">
            <v>536</v>
          </cell>
          <cell r="AA34">
            <v>536</v>
          </cell>
          <cell r="AC34">
            <v>1716</v>
          </cell>
          <cell r="AD34">
            <v>1754</v>
          </cell>
          <cell r="AE34">
            <v>1814</v>
          </cell>
          <cell r="AF34">
            <v>1864</v>
          </cell>
          <cell r="AG34">
            <v>1904</v>
          </cell>
          <cell r="AI34">
            <v>5751</v>
          </cell>
          <cell r="AK34">
            <v>449687</v>
          </cell>
          <cell r="AL34">
            <v>419800</v>
          </cell>
          <cell r="AM34">
            <v>29887</v>
          </cell>
          <cell r="AN34">
            <v>301198</v>
          </cell>
          <cell r="AO34">
            <v>281179</v>
          </cell>
          <cell r="AP34">
            <v>20019</v>
          </cell>
          <cell r="AR34">
            <v>385825.67396298778</v>
          </cell>
          <cell r="AS34">
            <v>360181.93075398554</v>
          </cell>
          <cell r="AT34">
            <v>25643.743209002227</v>
          </cell>
          <cell r="AV34">
            <v>0.41</v>
          </cell>
          <cell r="AW34">
            <v>0.32700000000000001</v>
          </cell>
          <cell r="AX34">
            <v>0.75900000000000001</v>
          </cell>
          <cell r="AZ34">
            <v>0.30299999999999999</v>
          </cell>
          <cell r="BA34">
            <v>0.33600000000000002</v>
          </cell>
          <cell r="BB34">
            <v>0.16699999999999998</v>
          </cell>
          <cell r="BD34">
            <v>58635</v>
          </cell>
          <cell r="BE34">
            <v>34208</v>
          </cell>
          <cell r="BF34">
            <v>24427</v>
          </cell>
          <cell r="BH34">
            <v>0.14462987073764758</v>
          </cell>
          <cell r="BI34">
            <v>9.0385331210624725E-2</v>
          </cell>
          <cell r="BJ34">
            <v>0.9065273371280147</v>
          </cell>
        </row>
        <row r="35">
          <cell r="B35">
            <v>27</v>
          </cell>
          <cell r="C35">
            <v>7</v>
          </cell>
          <cell r="D35">
            <v>3</v>
          </cell>
          <cell r="E35" t="str">
            <v>Balrampur</v>
          </cell>
          <cell r="F35" t="str">
            <v>New</v>
          </cell>
          <cell r="G35">
            <v>1</v>
          </cell>
          <cell r="H35">
            <v>0</v>
          </cell>
          <cell r="I35">
            <v>0</v>
          </cell>
          <cell r="J35">
            <v>0</v>
          </cell>
          <cell r="K35">
            <v>1352505</v>
          </cell>
          <cell r="L35">
            <v>1252299</v>
          </cell>
          <cell r="M35">
            <v>100206</v>
          </cell>
          <cell r="N35">
            <v>1684567</v>
          </cell>
          <cell r="O35">
            <v>1549293</v>
          </cell>
          <cell r="P35">
            <v>135274</v>
          </cell>
          <cell r="Q35">
            <v>25.52</v>
          </cell>
          <cell r="R35">
            <v>23.08</v>
          </cell>
          <cell r="S35">
            <v>2.2989775446581096E-2</v>
          </cell>
          <cell r="T35">
            <v>2.0983559238962446E-2</v>
          </cell>
          <cell r="U35">
            <v>2.2197797711060785E-2</v>
          </cell>
          <cell r="X35">
            <v>0</v>
          </cell>
          <cell r="Y35">
            <v>0</v>
          </cell>
          <cell r="Z35">
            <v>0</v>
          </cell>
          <cell r="AA35">
            <v>0</v>
          </cell>
          <cell r="AD35">
            <v>0</v>
          </cell>
          <cell r="AE35">
            <v>0</v>
          </cell>
          <cell r="AF35">
            <v>0</v>
          </cell>
          <cell r="AG35">
            <v>0</v>
          </cell>
          <cell r="AI35">
            <v>2927</v>
          </cell>
          <cell r="AK35">
            <v>0</v>
          </cell>
          <cell r="AL35">
            <v>0</v>
          </cell>
          <cell r="AM35">
            <v>0</v>
          </cell>
          <cell r="AN35">
            <v>211718</v>
          </cell>
          <cell r="AO35">
            <v>197768</v>
          </cell>
          <cell r="AP35">
            <v>13950</v>
          </cell>
          <cell r="AR35">
            <v>271204.45700202475</v>
          </cell>
          <cell r="AS35">
            <v>253334.92217183436</v>
          </cell>
          <cell r="AT35">
            <v>17869.534830190372</v>
          </cell>
          <cell r="AV35">
            <v>0.41</v>
          </cell>
          <cell r="AW35">
            <v>0.32700000000000001</v>
          </cell>
          <cell r="AX35">
            <v>0.75900000000000001</v>
          </cell>
          <cell r="AZ35">
            <v>0.30299999999999999</v>
          </cell>
          <cell r="BA35">
            <v>0.33600000000000002</v>
          </cell>
          <cell r="BB35">
            <v>0.16699999999999998</v>
          </cell>
          <cell r="BD35">
            <v>44779</v>
          </cell>
          <cell r="BE35">
            <v>30823</v>
          </cell>
          <cell r="BF35">
            <v>13956</v>
          </cell>
          <cell r="BH35">
            <v>0.15713385319529033</v>
          </cell>
          <cell r="BI35">
            <v>0.11579026210481498</v>
          </cell>
          <cell r="BJ35">
            <v>0.74325853583193069</v>
          </cell>
        </row>
        <row r="36">
          <cell r="B36">
            <v>28</v>
          </cell>
          <cell r="C36">
            <v>7</v>
          </cell>
          <cell r="D36">
            <v>3</v>
          </cell>
          <cell r="E36" t="str">
            <v>Gonda</v>
          </cell>
          <cell r="F36" t="str">
            <v>Split</v>
          </cell>
          <cell r="G36">
            <v>2</v>
          </cell>
          <cell r="H36">
            <v>3573075</v>
          </cell>
          <cell r="I36">
            <v>3308349</v>
          </cell>
          <cell r="J36">
            <v>264726</v>
          </cell>
          <cell r="K36">
            <v>2220570</v>
          </cell>
          <cell r="L36">
            <v>2056050</v>
          </cell>
          <cell r="M36">
            <v>164520</v>
          </cell>
          <cell r="N36">
            <v>2765754</v>
          </cell>
          <cell r="O36">
            <v>2569595</v>
          </cell>
          <cell r="P36">
            <v>196159</v>
          </cell>
          <cell r="Q36">
            <v>26.62</v>
          </cell>
          <cell r="R36">
            <v>25.46</v>
          </cell>
          <cell r="S36">
            <v>2.388276106248699E-2</v>
          </cell>
          <cell r="T36">
            <v>2.294086483986657E-2</v>
          </cell>
          <cell r="U36">
            <v>2.2197720393213993E-2</v>
          </cell>
          <cell r="W36">
            <v>1070</v>
          </cell>
          <cell r="X36">
            <v>1075</v>
          </cell>
          <cell r="Y36">
            <v>1085</v>
          </cell>
          <cell r="Z36">
            <v>1085</v>
          </cell>
          <cell r="AA36">
            <v>1085</v>
          </cell>
          <cell r="AC36">
            <v>9011</v>
          </cell>
          <cell r="AD36">
            <v>9066</v>
          </cell>
          <cell r="AE36">
            <v>9220</v>
          </cell>
          <cell r="AF36">
            <v>9256</v>
          </cell>
          <cell r="AG36">
            <v>9274</v>
          </cell>
          <cell r="AI36">
            <v>4425</v>
          </cell>
          <cell r="AK36">
            <v>559321</v>
          </cell>
          <cell r="AL36">
            <v>522468</v>
          </cell>
          <cell r="AM36">
            <v>36853</v>
          </cell>
          <cell r="AN36">
            <v>347603</v>
          </cell>
          <cell r="AO36">
            <v>324700</v>
          </cell>
          <cell r="AP36">
            <v>22903</v>
          </cell>
          <cell r="AR36">
            <v>445269.09789094364</v>
          </cell>
          <cell r="AS36">
            <v>415931.03651346336</v>
          </cell>
          <cell r="AT36">
            <v>29338.061377480291</v>
          </cell>
          <cell r="AV36">
            <v>0.41</v>
          </cell>
          <cell r="AW36">
            <v>0.32700000000000001</v>
          </cell>
          <cell r="AX36">
            <v>0.75900000000000001</v>
          </cell>
          <cell r="AZ36">
            <v>0.30299999999999999</v>
          </cell>
          <cell r="BA36">
            <v>0.33600000000000002</v>
          </cell>
          <cell r="BB36">
            <v>0.16699999999999998</v>
          </cell>
          <cell r="BD36">
            <v>68596</v>
          </cell>
          <cell r="BE36">
            <v>43608</v>
          </cell>
          <cell r="BF36">
            <v>24988</v>
          </cell>
          <cell r="BH36">
            <v>0.14661163196962276</v>
          </cell>
          <cell r="BI36">
            <v>9.9778514231470355E-2</v>
          </cell>
          <cell r="BJ36">
            <v>0.81057326710816757</v>
          </cell>
        </row>
        <row r="37">
          <cell r="B37">
            <v>29</v>
          </cell>
          <cell r="C37">
            <v>7</v>
          </cell>
          <cell r="D37">
            <v>3</v>
          </cell>
          <cell r="E37" t="str">
            <v>Shrawasti</v>
          </cell>
          <cell r="F37" t="str">
            <v>New</v>
          </cell>
          <cell r="G37">
            <v>1</v>
          </cell>
          <cell r="H37">
            <v>0</v>
          </cell>
          <cell r="I37">
            <v>0</v>
          </cell>
          <cell r="J37">
            <v>0</v>
          </cell>
          <cell r="K37">
            <v>912610</v>
          </cell>
          <cell r="L37">
            <v>840986</v>
          </cell>
          <cell r="M37">
            <v>71624</v>
          </cell>
          <cell r="N37">
            <v>1175428</v>
          </cell>
          <cell r="O37">
            <v>1142081</v>
          </cell>
          <cell r="P37">
            <v>33347</v>
          </cell>
          <cell r="Q37">
            <v>23.75</v>
          </cell>
          <cell r="R37">
            <v>27.3</v>
          </cell>
          <cell r="S37">
            <v>2.1537986481630966E-2</v>
          </cell>
          <cell r="T37">
            <v>2.4431302673932009E-2</v>
          </cell>
          <cell r="U37">
            <v>2.5630862572723956E-2</v>
          </cell>
          <cell r="X37">
            <v>0</v>
          </cell>
          <cell r="Y37">
            <v>0</v>
          </cell>
          <cell r="Z37">
            <v>0</v>
          </cell>
          <cell r="AA37">
            <v>0</v>
          </cell>
          <cell r="AD37">
            <v>0</v>
          </cell>
          <cell r="AE37">
            <v>0</v>
          </cell>
          <cell r="AF37">
            <v>0</v>
          </cell>
          <cell r="AG37">
            <v>0</v>
          </cell>
          <cell r="AI37">
            <v>1126</v>
          </cell>
          <cell r="AK37">
            <v>0</v>
          </cell>
          <cell r="AL37">
            <v>0</v>
          </cell>
          <cell r="AM37">
            <v>0</v>
          </cell>
          <cell r="AN37">
            <v>148489</v>
          </cell>
          <cell r="AO37">
            <v>138621</v>
          </cell>
          <cell r="AP37">
            <v>9868</v>
          </cell>
          <cell r="AR37">
            <v>190209.98977778768</v>
          </cell>
          <cell r="AS37">
            <v>177569.37546206592</v>
          </cell>
          <cell r="AT37">
            <v>12640.614315721763</v>
          </cell>
          <cell r="AV37">
            <v>0.41</v>
          </cell>
          <cell r="AW37">
            <v>0.32700000000000001</v>
          </cell>
          <cell r="AX37">
            <v>0.75900000000000001</v>
          </cell>
          <cell r="AZ37">
            <v>0.30299999999999999</v>
          </cell>
          <cell r="BA37">
            <v>0.33600000000000002</v>
          </cell>
          <cell r="BB37">
            <v>0.16699999999999998</v>
          </cell>
          <cell r="BD37">
            <v>0</v>
          </cell>
          <cell r="BE37">
            <v>0</v>
          </cell>
          <cell r="BF37">
            <v>0</v>
          </cell>
          <cell r="BH37">
            <v>0</v>
          </cell>
          <cell r="BI37">
            <v>0</v>
          </cell>
          <cell r="BJ37">
            <v>0</v>
          </cell>
        </row>
        <row r="38">
          <cell r="B38">
            <v>30</v>
          </cell>
          <cell r="C38">
            <v>8</v>
          </cell>
          <cell r="D38">
            <v>3</v>
          </cell>
          <cell r="E38" t="str">
            <v>Ambedaker Nagar</v>
          </cell>
          <cell r="F38" t="str">
            <v>New</v>
          </cell>
          <cell r="G38">
            <v>1</v>
          </cell>
          <cell r="H38">
            <v>0</v>
          </cell>
          <cell r="I38">
            <v>0</v>
          </cell>
          <cell r="J38">
            <v>0</v>
          </cell>
          <cell r="K38">
            <v>1466598</v>
          </cell>
          <cell r="L38">
            <v>1295626</v>
          </cell>
          <cell r="M38">
            <v>170972</v>
          </cell>
          <cell r="N38">
            <v>2025373</v>
          </cell>
          <cell r="O38">
            <v>1844711</v>
          </cell>
          <cell r="P38">
            <v>180662</v>
          </cell>
          <cell r="Q38">
            <v>25.45</v>
          </cell>
          <cell r="R38">
            <v>24.31</v>
          </cell>
          <cell r="S38">
            <v>2.2932711025443364E-2</v>
          </cell>
          <cell r="T38">
            <v>2.1999319552667984E-2</v>
          </cell>
          <cell r="U38">
            <v>3.2807523215863332E-2</v>
          </cell>
          <cell r="W38">
            <v>790</v>
          </cell>
          <cell r="X38">
            <v>790</v>
          </cell>
          <cell r="Y38">
            <v>802</v>
          </cell>
          <cell r="Z38">
            <v>802</v>
          </cell>
          <cell r="AA38">
            <v>802</v>
          </cell>
          <cell r="AC38">
            <v>11818</v>
          </cell>
          <cell r="AD38">
            <v>11922</v>
          </cell>
          <cell r="AE38">
            <v>12042</v>
          </cell>
          <cell r="AF38">
            <v>12162</v>
          </cell>
          <cell r="AG38">
            <v>12262</v>
          </cell>
          <cell r="AI38">
            <v>2372</v>
          </cell>
          <cell r="AK38">
            <v>0</v>
          </cell>
          <cell r="AL38">
            <v>0</v>
          </cell>
          <cell r="AM38">
            <v>0</v>
          </cell>
          <cell r="AN38">
            <v>232211</v>
          </cell>
          <cell r="AO38">
            <v>207417</v>
          </cell>
          <cell r="AP38">
            <v>24794</v>
          </cell>
          <cell r="AR38">
            <v>297455.38010418182</v>
          </cell>
          <cell r="AS38">
            <v>265695.00400527572</v>
          </cell>
          <cell r="AT38">
            <v>31760.376098906097</v>
          </cell>
          <cell r="AV38">
            <v>0.41</v>
          </cell>
          <cell r="AW38">
            <v>0.32700000000000001</v>
          </cell>
          <cell r="AX38">
            <v>0.75900000000000001</v>
          </cell>
          <cell r="AZ38">
            <v>0.30299999999999999</v>
          </cell>
          <cell r="BA38">
            <v>0.33600000000000002</v>
          </cell>
          <cell r="BB38">
            <v>0.16699999999999998</v>
          </cell>
          <cell r="BD38">
            <v>63878</v>
          </cell>
          <cell r="BE38">
            <v>48643</v>
          </cell>
          <cell r="BF38">
            <v>15235</v>
          </cell>
          <cell r="BH38">
            <v>0.20437213113260985</v>
          </cell>
          <cell r="BI38">
            <v>0.17423249490920034</v>
          </cell>
          <cell r="BJ38">
            <v>0.45650865313595473</v>
          </cell>
        </row>
        <row r="39">
          <cell r="B39">
            <v>31</v>
          </cell>
          <cell r="C39">
            <v>8</v>
          </cell>
          <cell r="D39">
            <v>3</v>
          </cell>
          <cell r="E39" t="str">
            <v>Barabanki</v>
          </cell>
          <cell r="H39">
            <v>2423136</v>
          </cell>
          <cell r="I39">
            <v>2198258</v>
          </cell>
          <cell r="J39">
            <v>224878</v>
          </cell>
          <cell r="K39">
            <v>2423136</v>
          </cell>
          <cell r="L39">
            <v>2198258</v>
          </cell>
          <cell r="M39">
            <v>224878</v>
          </cell>
          <cell r="N39">
            <v>2673394</v>
          </cell>
          <cell r="O39">
            <v>2425535</v>
          </cell>
          <cell r="P39">
            <v>247859</v>
          </cell>
          <cell r="Q39">
            <v>26.59</v>
          </cell>
          <cell r="R39">
            <v>26.4</v>
          </cell>
          <cell r="S39">
            <v>2.3858499683352186E-2</v>
          </cell>
          <cell r="T39">
            <v>2.3704724006482714E-2</v>
          </cell>
          <cell r="U39">
            <v>9.8770852947653864E-3</v>
          </cell>
          <cell r="X39">
            <v>0</v>
          </cell>
          <cell r="Y39">
            <v>0</v>
          </cell>
          <cell r="Z39">
            <v>0</v>
          </cell>
          <cell r="AA39">
            <v>0</v>
          </cell>
          <cell r="AD39">
            <v>14</v>
          </cell>
          <cell r="AE39">
            <v>0</v>
          </cell>
          <cell r="AF39">
            <v>0</v>
          </cell>
          <cell r="AG39">
            <v>0</v>
          </cell>
          <cell r="AI39">
            <v>3825</v>
          </cell>
          <cell r="AK39">
            <v>431765</v>
          </cell>
          <cell r="AL39">
            <v>398505</v>
          </cell>
          <cell r="AM39">
            <v>33260</v>
          </cell>
          <cell r="AN39">
            <v>431765</v>
          </cell>
          <cell r="AO39">
            <v>398505</v>
          </cell>
          <cell r="AP39">
            <v>33260</v>
          </cell>
          <cell r="AR39">
            <v>553078.11512237601</v>
          </cell>
          <cell r="AS39">
            <v>510473.04498243827</v>
          </cell>
          <cell r="AT39">
            <v>42605.070139937758</v>
          </cell>
          <cell r="AV39">
            <v>0.41</v>
          </cell>
          <cell r="AW39">
            <v>0.32700000000000001</v>
          </cell>
          <cell r="AX39">
            <v>0.75900000000000001</v>
          </cell>
          <cell r="AZ39">
            <v>0.30299999999999999</v>
          </cell>
          <cell r="BA39">
            <v>0.33600000000000002</v>
          </cell>
          <cell r="BB39">
            <v>0.16699999999999998</v>
          </cell>
          <cell r="BD39">
            <v>81614</v>
          </cell>
          <cell r="BE39">
            <v>58102</v>
          </cell>
          <cell r="BF39">
            <v>23512</v>
          </cell>
          <cell r="BH39">
            <v>0.14043339063547985</v>
          </cell>
          <cell r="BI39">
            <v>0.10832045099460826</v>
          </cell>
          <cell r="BJ39">
            <v>0.52519487625140104</v>
          </cell>
        </row>
        <row r="40">
          <cell r="B40">
            <v>32</v>
          </cell>
          <cell r="C40">
            <v>8</v>
          </cell>
          <cell r="D40">
            <v>3</v>
          </cell>
          <cell r="E40" t="str">
            <v>Faizabad</v>
          </cell>
          <cell r="F40" t="str">
            <v>Split</v>
          </cell>
          <cell r="G40">
            <v>2</v>
          </cell>
          <cell r="H40">
            <v>2978484</v>
          </cell>
          <cell r="I40">
            <v>2631261</v>
          </cell>
          <cell r="J40">
            <v>347223</v>
          </cell>
          <cell r="K40">
            <v>1511886</v>
          </cell>
          <cell r="L40">
            <v>1335635</v>
          </cell>
          <cell r="M40">
            <v>176251</v>
          </cell>
          <cell r="N40">
            <v>2087914</v>
          </cell>
          <cell r="O40">
            <v>1806600</v>
          </cell>
          <cell r="P40">
            <v>281314</v>
          </cell>
          <cell r="Q40">
            <v>23.77</v>
          </cell>
          <cell r="R40">
            <v>23.87</v>
          </cell>
          <cell r="S40">
            <v>2.1554494985880135E-2</v>
          </cell>
          <cell r="T40">
            <v>2.1637001511741971E-2</v>
          </cell>
          <cell r="U40">
            <v>3.2807435963712051E-2</v>
          </cell>
          <cell r="W40">
            <v>0</v>
          </cell>
          <cell r="X40">
            <v>0</v>
          </cell>
          <cell r="Y40">
            <v>0</v>
          </cell>
          <cell r="Z40">
            <v>0</v>
          </cell>
          <cell r="AA40">
            <v>0</v>
          </cell>
          <cell r="AC40">
            <v>0</v>
          </cell>
          <cell r="AD40">
            <v>4</v>
          </cell>
          <cell r="AE40">
            <v>0</v>
          </cell>
          <cell r="AF40">
            <v>0</v>
          </cell>
          <cell r="AG40">
            <v>0</v>
          </cell>
          <cell r="AI40">
            <v>2764</v>
          </cell>
          <cell r="AK40">
            <v>471593</v>
          </cell>
          <cell r="AL40">
            <v>421239</v>
          </cell>
          <cell r="AM40">
            <v>50354</v>
          </cell>
          <cell r="AN40">
            <v>239382</v>
          </cell>
          <cell r="AO40">
            <v>213822</v>
          </cell>
          <cell r="AP40">
            <v>25560</v>
          </cell>
          <cell r="AR40">
            <v>306641.21768606675</v>
          </cell>
          <cell r="AS40">
            <v>273899.61838429864</v>
          </cell>
          <cell r="AT40">
            <v>32741.599301768165</v>
          </cell>
          <cell r="AV40">
            <v>0.41</v>
          </cell>
          <cell r="AW40">
            <v>0.32700000000000001</v>
          </cell>
          <cell r="AX40">
            <v>0.75900000000000001</v>
          </cell>
          <cell r="AZ40">
            <v>0.30299999999999999</v>
          </cell>
          <cell r="BA40">
            <v>0.33600000000000002</v>
          </cell>
          <cell r="BB40">
            <v>0.16699999999999998</v>
          </cell>
          <cell r="BD40">
            <v>109635</v>
          </cell>
          <cell r="BE40">
            <v>72594</v>
          </cell>
          <cell r="BF40">
            <v>37041</v>
          </cell>
          <cell r="BH40">
            <v>0.34025998783361489</v>
          </cell>
          <cell r="BI40">
            <v>0.25223275995112732</v>
          </cell>
          <cell r="BJ40">
            <v>1.0766511427745082</v>
          </cell>
        </row>
        <row r="41">
          <cell r="B41">
            <v>33</v>
          </cell>
          <cell r="C41">
            <v>8</v>
          </cell>
          <cell r="D41">
            <v>3</v>
          </cell>
          <cell r="E41" t="str">
            <v>Sultanpur</v>
          </cell>
          <cell r="H41">
            <v>2558970</v>
          </cell>
          <cell r="I41">
            <v>2444802</v>
          </cell>
          <cell r="J41">
            <v>114168</v>
          </cell>
          <cell r="K41">
            <v>2558970</v>
          </cell>
          <cell r="L41">
            <v>2444802</v>
          </cell>
          <cell r="M41">
            <v>114168</v>
          </cell>
          <cell r="N41">
            <v>3190926</v>
          </cell>
          <cell r="O41">
            <v>3038675</v>
          </cell>
          <cell r="P41">
            <v>152251</v>
          </cell>
          <cell r="Q41">
            <v>25.32</v>
          </cell>
          <cell r="R41">
            <v>24.2</v>
          </cell>
          <cell r="S41">
            <v>2.2826658171600567E-2</v>
          </cell>
          <cell r="T41">
            <v>2.1908848379270873E-2</v>
          </cell>
          <cell r="U41">
            <v>2.2315990452679513E-2</v>
          </cell>
          <cell r="W41">
            <v>471</v>
          </cell>
          <cell r="X41">
            <v>477</v>
          </cell>
          <cell r="Y41">
            <v>481</v>
          </cell>
          <cell r="Z41">
            <v>481</v>
          </cell>
          <cell r="AA41">
            <v>481</v>
          </cell>
          <cell r="AC41">
            <v>8870</v>
          </cell>
          <cell r="AD41">
            <v>9192</v>
          </cell>
          <cell r="AE41">
            <v>9532</v>
          </cell>
          <cell r="AF41">
            <v>9645</v>
          </cell>
          <cell r="AG41">
            <v>9773</v>
          </cell>
          <cell r="AI41">
            <v>4436</v>
          </cell>
          <cell r="AK41">
            <v>415049</v>
          </cell>
          <cell r="AL41">
            <v>398823</v>
          </cell>
          <cell r="AM41">
            <v>16226</v>
          </cell>
          <cell r="AN41">
            <v>415049</v>
          </cell>
          <cell r="AO41">
            <v>398823</v>
          </cell>
          <cell r="AP41">
            <v>16226</v>
          </cell>
          <cell r="AR41">
            <v>531665.41661187692</v>
          </cell>
          <cell r="AS41">
            <v>510880.3935183523</v>
          </cell>
          <cell r="AT41">
            <v>20785.023093524658</v>
          </cell>
          <cell r="AV41">
            <v>0.41</v>
          </cell>
          <cell r="AW41">
            <v>0.32700000000000001</v>
          </cell>
          <cell r="AX41">
            <v>0.75900000000000001</v>
          </cell>
          <cell r="AZ41">
            <v>0.30299999999999999</v>
          </cell>
          <cell r="BA41">
            <v>0.33600000000000002</v>
          </cell>
          <cell r="BB41">
            <v>0.16699999999999998</v>
          </cell>
          <cell r="BD41">
            <v>117382</v>
          </cell>
          <cell r="BE41">
            <v>102139</v>
          </cell>
          <cell r="BF41">
            <v>15243</v>
          </cell>
          <cell r="BH41">
            <v>0.21011414261930533</v>
          </cell>
          <cell r="BI41">
            <v>0.19026747635469807</v>
          </cell>
          <cell r="BJ41">
            <v>0.69793042387466397</v>
          </cell>
        </row>
        <row r="42">
          <cell r="B42">
            <v>34</v>
          </cell>
          <cell r="C42">
            <v>9</v>
          </cell>
          <cell r="D42">
            <v>4</v>
          </cell>
          <cell r="E42" t="str">
            <v>Deoria</v>
          </cell>
          <cell r="F42" t="str">
            <v>Split</v>
          </cell>
          <cell r="G42">
            <v>2</v>
          </cell>
          <cell r="H42">
            <v>4440024</v>
          </cell>
          <cell r="I42">
            <v>4113897</v>
          </cell>
          <cell r="J42">
            <v>326127</v>
          </cell>
          <cell r="K42">
            <v>2156220</v>
          </cell>
          <cell r="L42">
            <v>1997843</v>
          </cell>
          <cell r="M42">
            <v>158377</v>
          </cell>
          <cell r="N42">
            <v>2730376</v>
          </cell>
          <cell r="O42">
            <v>2460256</v>
          </cell>
          <cell r="P42">
            <v>270120</v>
          </cell>
          <cell r="Q42">
            <v>24.95</v>
          </cell>
          <cell r="R42">
            <v>25.03</v>
          </cell>
          <cell r="S42">
            <v>2.2524272591935457E-2</v>
          </cell>
          <cell r="T42">
            <v>2.2589721477868308E-2</v>
          </cell>
          <cell r="U42">
            <v>2.3889145080040253E-2</v>
          </cell>
          <cell r="W42">
            <v>1275</v>
          </cell>
          <cell r="X42">
            <v>1285</v>
          </cell>
          <cell r="Y42">
            <v>1291</v>
          </cell>
          <cell r="Z42">
            <v>1291</v>
          </cell>
          <cell r="AA42">
            <v>1291</v>
          </cell>
          <cell r="AC42">
            <v>8247</v>
          </cell>
          <cell r="AD42">
            <v>8341</v>
          </cell>
          <cell r="AE42">
            <v>8415</v>
          </cell>
          <cell r="AF42">
            <v>8452</v>
          </cell>
          <cell r="AG42">
            <v>8483</v>
          </cell>
          <cell r="AI42">
            <v>2535</v>
          </cell>
          <cell r="AK42">
            <v>648411</v>
          </cell>
          <cell r="AL42">
            <v>604506</v>
          </cell>
          <cell r="AM42">
            <v>43905</v>
          </cell>
          <cell r="AN42">
            <v>314890</v>
          </cell>
          <cell r="AO42">
            <v>293568</v>
          </cell>
          <cell r="AP42">
            <v>21322</v>
          </cell>
          <cell r="AR42">
            <v>403364.71847158752</v>
          </cell>
          <cell r="AS42">
            <v>376051.87104152882</v>
          </cell>
          <cell r="AT42">
            <v>27312.847430058719</v>
          </cell>
          <cell r="AV42">
            <v>0.41</v>
          </cell>
          <cell r="AW42">
            <v>0.32700000000000001</v>
          </cell>
          <cell r="AX42">
            <v>0.75900000000000001</v>
          </cell>
          <cell r="AZ42">
            <v>0.30299999999999999</v>
          </cell>
          <cell r="BA42">
            <v>0.33600000000000002</v>
          </cell>
          <cell r="BB42">
            <v>0.16699999999999998</v>
          </cell>
          <cell r="BD42">
            <v>97642</v>
          </cell>
          <cell r="BE42">
            <v>75812</v>
          </cell>
          <cell r="BF42">
            <v>21830</v>
          </cell>
          <cell r="BH42">
            <v>0.23037266688170177</v>
          </cell>
          <cell r="BI42">
            <v>0.19185909525255887</v>
          </cell>
          <cell r="BJ42">
            <v>0.76063963039470384</v>
          </cell>
        </row>
        <row r="43">
          <cell r="B43">
            <v>35</v>
          </cell>
          <cell r="C43">
            <v>9</v>
          </cell>
          <cell r="D43">
            <v>4</v>
          </cell>
          <cell r="E43" t="str">
            <v>Gorakhpur</v>
          </cell>
          <cell r="H43">
            <v>3066002</v>
          </cell>
          <cell r="I43">
            <v>2490726</v>
          </cell>
          <cell r="J43">
            <v>575276</v>
          </cell>
          <cell r="K43">
            <v>3066002</v>
          </cell>
          <cell r="L43">
            <v>2490726</v>
          </cell>
          <cell r="M43">
            <v>575276</v>
          </cell>
          <cell r="N43">
            <v>3784720</v>
          </cell>
          <cell r="O43">
            <v>3044155</v>
          </cell>
          <cell r="P43">
            <v>740565</v>
          </cell>
          <cell r="Q43">
            <v>24.6</v>
          </cell>
          <cell r="R43">
            <v>23.44</v>
          </cell>
          <cell r="S43">
            <v>2.2237489549933986E-2</v>
          </cell>
          <cell r="T43">
            <v>2.1281797128665625E-2</v>
          </cell>
          <cell r="U43">
            <v>2.1283068941806871E-2</v>
          </cell>
          <cell r="W43">
            <v>721</v>
          </cell>
          <cell r="X43">
            <v>721</v>
          </cell>
          <cell r="Y43">
            <v>722</v>
          </cell>
          <cell r="Z43">
            <v>722</v>
          </cell>
          <cell r="AA43">
            <v>722</v>
          </cell>
          <cell r="AC43">
            <v>13607</v>
          </cell>
          <cell r="AD43">
            <v>13687</v>
          </cell>
          <cell r="AE43">
            <v>13848</v>
          </cell>
          <cell r="AF43">
            <v>13910</v>
          </cell>
          <cell r="AG43">
            <v>13970</v>
          </cell>
          <cell r="AI43">
            <v>3321</v>
          </cell>
          <cell r="AK43">
            <v>422713</v>
          </cell>
          <cell r="AL43">
            <v>340677</v>
          </cell>
          <cell r="AM43">
            <v>82036</v>
          </cell>
          <cell r="AN43">
            <v>422713</v>
          </cell>
          <cell r="AO43">
            <v>340677</v>
          </cell>
          <cell r="AP43">
            <v>82036</v>
          </cell>
          <cell r="AR43">
            <v>541482.77252145251</v>
          </cell>
          <cell r="AS43">
            <v>436397.09801754588</v>
          </cell>
          <cell r="AT43">
            <v>105085.67450390662</v>
          </cell>
          <cell r="AV43">
            <v>0.41</v>
          </cell>
          <cell r="AW43">
            <v>0.32700000000000001</v>
          </cell>
          <cell r="AX43">
            <v>0.75900000000000001</v>
          </cell>
          <cell r="AZ43">
            <v>0.30299999999999999</v>
          </cell>
          <cell r="BA43">
            <v>0.33600000000000002</v>
          </cell>
          <cell r="BB43">
            <v>0.16699999999999998</v>
          </cell>
          <cell r="BD43">
            <v>200402</v>
          </cell>
          <cell r="BE43">
            <v>97829</v>
          </cell>
          <cell r="BF43">
            <v>102573</v>
          </cell>
          <cell r="BH43">
            <v>0.3522164208593826</v>
          </cell>
          <cell r="BI43">
            <v>0.21334278118545313</v>
          </cell>
          <cell r="BJ43">
            <v>0.92892731538368034</v>
          </cell>
        </row>
        <row r="44">
          <cell r="B44">
            <v>36</v>
          </cell>
          <cell r="C44">
            <v>9</v>
          </cell>
          <cell r="D44">
            <v>4</v>
          </cell>
          <cell r="E44" t="str">
            <v>Kushinagar</v>
          </cell>
          <cell r="F44" t="str">
            <v>New</v>
          </cell>
          <cell r="G44">
            <v>1</v>
          </cell>
          <cell r="H44">
            <v>0</v>
          </cell>
          <cell r="I44">
            <v>0</v>
          </cell>
          <cell r="J44">
            <v>0</v>
          </cell>
          <cell r="K44">
            <v>2283804</v>
          </cell>
          <cell r="L44">
            <v>2116054</v>
          </cell>
          <cell r="M44">
            <v>167750</v>
          </cell>
          <cell r="N44">
            <v>2891933</v>
          </cell>
          <cell r="O44">
            <v>2759414</v>
          </cell>
          <cell r="P44">
            <v>132519</v>
          </cell>
          <cell r="Q44">
            <v>29.01</v>
          </cell>
          <cell r="R44">
            <v>28.17</v>
          </cell>
          <cell r="S44">
            <v>2.5799156281759439E-2</v>
          </cell>
          <cell r="T44">
            <v>2.5129280726861936E-2</v>
          </cell>
          <cell r="U44">
            <v>2.3889147427369695E-2</v>
          </cell>
          <cell r="W44">
            <v>0</v>
          </cell>
          <cell r="X44">
            <v>0</v>
          </cell>
          <cell r="Y44">
            <v>0</v>
          </cell>
          <cell r="Z44">
            <v>0</v>
          </cell>
          <cell r="AA44">
            <v>0</v>
          </cell>
          <cell r="AC44">
            <v>10</v>
          </cell>
          <cell r="AD44">
            <v>10</v>
          </cell>
          <cell r="AE44">
            <v>10</v>
          </cell>
          <cell r="AF44">
            <v>10</v>
          </cell>
          <cell r="AG44">
            <v>10</v>
          </cell>
          <cell r="AI44">
            <v>2910</v>
          </cell>
          <cell r="AK44">
            <v>0</v>
          </cell>
          <cell r="AL44">
            <v>0</v>
          </cell>
          <cell r="AM44">
            <v>0</v>
          </cell>
          <cell r="AN44">
            <v>333521</v>
          </cell>
          <cell r="AO44">
            <v>310938</v>
          </cell>
          <cell r="AP44">
            <v>22583</v>
          </cell>
          <cell r="AR44">
            <v>427230.4749892418</v>
          </cell>
          <cell r="AS44">
            <v>398302.32408815296</v>
          </cell>
          <cell r="AT44">
            <v>28928.150901088829</v>
          </cell>
          <cell r="AV44">
            <v>0.41</v>
          </cell>
          <cell r="AW44">
            <v>0.32700000000000001</v>
          </cell>
          <cell r="AX44">
            <v>0.75900000000000001</v>
          </cell>
          <cell r="AZ44">
            <v>0.30299999999999999</v>
          </cell>
          <cell r="BA44">
            <v>0.33600000000000002</v>
          </cell>
          <cell r="BB44">
            <v>0.16699999999999998</v>
          </cell>
          <cell r="BD44">
            <v>83965</v>
          </cell>
          <cell r="BE44">
            <v>67033</v>
          </cell>
          <cell r="BF44">
            <v>16932</v>
          </cell>
          <cell r="BH44">
            <v>0.18703731542643998</v>
          </cell>
          <cell r="BI44">
            <v>0.16016514373527976</v>
          </cell>
          <cell r="BJ44">
            <v>0.55703152883059248</v>
          </cell>
        </row>
        <row r="45">
          <cell r="B45">
            <v>37</v>
          </cell>
          <cell r="C45">
            <v>9</v>
          </cell>
          <cell r="D45">
            <v>4</v>
          </cell>
          <cell r="E45" t="str">
            <v>Maharajganj</v>
          </cell>
          <cell r="H45">
            <v>1676378</v>
          </cell>
          <cell r="I45">
            <v>1593461</v>
          </cell>
          <cell r="J45">
            <v>82917</v>
          </cell>
          <cell r="K45">
            <v>1676378</v>
          </cell>
          <cell r="L45">
            <v>1593461</v>
          </cell>
          <cell r="M45">
            <v>82917</v>
          </cell>
          <cell r="N45">
            <v>2167041</v>
          </cell>
          <cell r="O45">
            <v>2056632</v>
          </cell>
          <cell r="P45">
            <v>110409</v>
          </cell>
          <cell r="Q45">
            <v>25.56</v>
          </cell>
          <cell r="R45">
            <v>29.27</v>
          </cell>
          <cell r="S45">
            <v>2.3022370829143046E-2</v>
          </cell>
          <cell r="T45">
            <v>2.6005703223787036E-2</v>
          </cell>
          <cell r="U45">
            <v>2.6005095275626555E-2</v>
          </cell>
          <cell r="W45">
            <v>1</v>
          </cell>
          <cell r="X45">
            <v>1</v>
          </cell>
          <cell r="Y45">
            <v>1</v>
          </cell>
          <cell r="Z45">
            <v>1</v>
          </cell>
          <cell r="AA45">
            <v>1</v>
          </cell>
          <cell r="AC45">
            <v>740</v>
          </cell>
          <cell r="AD45">
            <v>774</v>
          </cell>
          <cell r="AE45">
            <v>830</v>
          </cell>
          <cell r="AF45">
            <v>870</v>
          </cell>
          <cell r="AG45">
            <v>887</v>
          </cell>
          <cell r="AI45">
            <v>2951</v>
          </cell>
          <cell r="AK45">
            <v>257021</v>
          </cell>
          <cell r="AL45">
            <v>244644</v>
          </cell>
          <cell r="AM45">
            <v>12377</v>
          </cell>
          <cell r="AN45">
            <v>257021</v>
          </cell>
          <cell r="AO45">
            <v>244644</v>
          </cell>
          <cell r="AP45">
            <v>12377</v>
          </cell>
          <cell r="AR45">
            <v>329236.2517269075</v>
          </cell>
          <cell r="AS45">
            <v>313381.68308222893</v>
          </cell>
          <cell r="AT45">
            <v>15854.568644678582</v>
          </cell>
          <cell r="AV45">
            <v>0.41</v>
          </cell>
          <cell r="AW45">
            <v>0.32700000000000001</v>
          </cell>
          <cell r="AX45">
            <v>0.75900000000000001</v>
          </cell>
          <cell r="AZ45">
            <v>0.30299999999999999</v>
          </cell>
          <cell r="BA45">
            <v>0.33600000000000002</v>
          </cell>
          <cell r="BB45">
            <v>0.16699999999999998</v>
          </cell>
          <cell r="BD45">
            <v>56555</v>
          </cell>
          <cell r="BE45">
            <v>50657</v>
          </cell>
          <cell r="BF45">
            <v>5898</v>
          </cell>
          <cell r="BH45">
            <v>0.16347658246876662</v>
          </cell>
          <cell r="BI45">
            <v>0.15383602510926436</v>
          </cell>
          <cell r="BJ45">
            <v>0.35403200903886128</v>
          </cell>
        </row>
        <row r="46">
          <cell r="B46">
            <v>38</v>
          </cell>
          <cell r="C46">
            <v>10</v>
          </cell>
          <cell r="D46">
            <v>2</v>
          </cell>
          <cell r="E46" t="str">
            <v>Jalaun</v>
          </cell>
          <cell r="H46">
            <v>1219377</v>
          </cell>
          <cell r="I46">
            <v>950180</v>
          </cell>
          <cell r="J46">
            <v>269197</v>
          </cell>
          <cell r="K46">
            <v>1219377</v>
          </cell>
          <cell r="L46">
            <v>950180</v>
          </cell>
          <cell r="M46">
            <v>269197</v>
          </cell>
          <cell r="N46">
            <v>1455859</v>
          </cell>
          <cell r="O46">
            <v>1115381</v>
          </cell>
          <cell r="P46">
            <v>340478</v>
          </cell>
          <cell r="Q46">
            <v>23.64</v>
          </cell>
          <cell r="R46">
            <v>19.39</v>
          </cell>
          <cell r="S46">
            <v>2.144714676324333E-2</v>
          </cell>
          <cell r="T46">
            <v>1.7880501763361423E-2</v>
          </cell>
          <cell r="U46">
            <v>1.7883634038733165E-2</v>
          </cell>
          <cell r="W46">
            <v>559</v>
          </cell>
          <cell r="X46">
            <v>560</v>
          </cell>
          <cell r="Y46">
            <v>561</v>
          </cell>
          <cell r="Z46">
            <v>561</v>
          </cell>
          <cell r="AA46">
            <v>561</v>
          </cell>
          <cell r="AC46">
            <v>4543</v>
          </cell>
          <cell r="AD46">
            <v>4603</v>
          </cell>
          <cell r="AE46">
            <v>4703</v>
          </cell>
          <cell r="AF46">
            <v>4818</v>
          </cell>
          <cell r="AG46">
            <v>4928</v>
          </cell>
          <cell r="AI46">
            <v>4565</v>
          </cell>
          <cell r="AK46">
            <v>188046</v>
          </cell>
          <cell r="AL46">
            <v>149281</v>
          </cell>
          <cell r="AM46">
            <v>38765</v>
          </cell>
          <cell r="AN46">
            <v>188046</v>
          </cell>
          <cell r="AO46">
            <v>149281</v>
          </cell>
          <cell r="AP46">
            <v>38765</v>
          </cell>
          <cell r="AR46">
            <v>240881.3295109662</v>
          </cell>
          <cell r="AS46">
            <v>191224.51820685656</v>
          </cell>
          <cell r="AT46">
            <v>49656.811304109659</v>
          </cell>
          <cell r="AV46">
            <v>0.41</v>
          </cell>
          <cell r="AW46">
            <v>0.32700000000000001</v>
          </cell>
          <cell r="AX46">
            <v>0.75900000000000001</v>
          </cell>
          <cell r="AZ46">
            <v>0.30299999999999999</v>
          </cell>
          <cell r="BA46">
            <v>0.33600000000000002</v>
          </cell>
          <cell r="BB46">
            <v>0.16699999999999998</v>
          </cell>
          <cell r="BD46">
            <v>40451</v>
          </cell>
          <cell r="BE46">
            <v>386</v>
          </cell>
          <cell r="BF46">
            <v>40065</v>
          </cell>
          <cell r="BH46">
            <v>0.15981528547615009</v>
          </cell>
          <cell r="BI46">
            <v>1.9210378479594917E-3</v>
          </cell>
          <cell r="BJ46">
            <v>0.76785375265489186</v>
          </cell>
        </row>
        <row r="47">
          <cell r="B47">
            <v>39</v>
          </cell>
          <cell r="C47">
            <v>10</v>
          </cell>
          <cell r="D47">
            <v>2</v>
          </cell>
          <cell r="E47" t="str">
            <v>Jhansi</v>
          </cell>
          <cell r="H47">
            <v>1429698</v>
          </cell>
          <cell r="I47">
            <v>863342</v>
          </cell>
          <cell r="J47">
            <v>566356</v>
          </cell>
          <cell r="K47">
            <v>1429698</v>
          </cell>
          <cell r="L47">
            <v>863342</v>
          </cell>
          <cell r="M47">
            <v>566356</v>
          </cell>
          <cell r="N47">
            <v>1746715</v>
          </cell>
          <cell r="O47">
            <v>1029164</v>
          </cell>
          <cell r="P47">
            <v>717551</v>
          </cell>
          <cell r="Q47">
            <v>24.66</v>
          </cell>
          <cell r="R47">
            <v>23.23</v>
          </cell>
          <cell r="S47">
            <v>2.2286703805709962E-2</v>
          </cell>
          <cell r="T47">
            <v>2.1107920312171569E-2</v>
          </cell>
          <cell r="U47">
            <v>2.0229258002185224E-2</v>
          </cell>
          <cell r="W47">
            <v>373</v>
          </cell>
          <cell r="X47">
            <v>376</v>
          </cell>
          <cell r="Y47">
            <v>382</v>
          </cell>
          <cell r="Z47">
            <v>382</v>
          </cell>
          <cell r="AA47">
            <v>382</v>
          </cell>
          <cell r="AC47">
            <v>9296</v>
          </cell>
          <cell r="AD47">
            <v>9640</v>
          </cell>
          <cell r="AE47">
            <v>10209</v>
          </cell>
          <cell r="AF47">
            <v>10524</v>
          </cell>
          <cell r="AG47">
            <v>10621</v>
          </cell>
          <cell r="AI47">
            <v>5024</v>
          </cell>
          <cell r="AK47">
            <v>227712</v>
          </cell>
          <cell r="AL47">
            <v>141501</v>
          </cell>
          <cell r="AM47">
            <v>86211</v>
          </cell>
          <cell r="AN47">
            <v>227712</v>
          </cell>
          <cell r="AO47">
            <v>141501</v>
          </cell>
          <cell r="AP47">
            <v>86211</v>
          </cell>
          <cell r="AR47">
            <v>291692.29500016558</v>
          </cell>
          <cell r="AS47">
            <v>181258.56974958908</v>
          </cell>
          <cell r="AT47">
            <v>110433.72525057649</v>
          </cell>
          <cell r="AV47">
            <v>0.41</v>
          </cell>
          <cell r="AW47">
            <v>0.32700000000000001</v>
          </cell>
          <cell r="AX47">
            <v>0.75900000000000001</v>
          </cell>
          <cell r="AZ47">
            <v>0.30299999999999999</v>
          </cell>
          <cell r="BA47">
            <v>0.33600000000000002</v>
          </cell>
          <cell r="BB47">
            <v>0.16699999999999998</v>
          </cell>
          <cell r="BD47">
            <v>88143</v>
          </cell>
          <cell r="BE47">
            <v>35953</v>
          </cell>
          <cell r="BF47">
            <v>52190</v>
          </cell>
          <cell r="BH47">
            <v>0.28757760499080914</v>
          </cell>
          <cell r="BI47">
            <v>0.1887681753897518</v>
          </cell>
          <cell r="BJ47">
            <v>0.44975682919629595</v>
          </cell>
        </row>
        <row r="48">
          <cell r="B48">
            <v>40</v>
          </cell>
          <cell r="C48">
            <v>10</v>
          </cell>
          <cell r="D48">
            <v>2</v>
          </cell>
          <cell r="E48" t="str">
            <v>Lalitpur</v>
          </cell>
          <cell r="H48">
            <v>752043</v>
          </cell>
          <cell r="I48">
            <v>646495</v>
          </cell>
          <cell r="J48">
            <v>105548</v>
          </cell>
          <cell r="K48">
            <v>752043</v>
          </cell>
          <cell r="L48">
            <v>646495</v>
          </cell>
          <cell r="M48">
            <v>105548</v>
          </cell>
          <cell r="N48">
            <v>977447</v>
          </cell>
          <cell r="O48">
            <v>835616</v>
          </cell>
          <cell r="P48">
            <v>141831</v>
          </cell>
          <cell r="Q48">
            <v>30.18</v>
          </cell>
          <cell r="R48">
            <v>29.98</v>
          </cell>
          <cell r="S48">
            <v>2.6725685165151836E-2</v>
          </cell>
          <cell r="T48">
            <v>2.6567836616395057E-2</v>
          </cell>
          <cell r="U48">
            <v>2.6561693734602487E-2</v>
          </cell>
          <cell r="W48">
            <v>279</v>
          </cell>
          <cell r="X48">
            <v>280</v>
          </cell>
          <cell r="Y48">
            <v>280</v>
          </cell>
          <cell r="Z48">
            <v>280</v>
          </cell>
          <cell r="AA48">
            <v>280</v>
          </cell>
          <cell r="AC48">
            <v>7666</v>
          </cell>
          <cell r="AD48">
            <v>7812</v>
          </cell>
          <cell r="AE48">
            <v>8111</v>
          </cell>
          <cell r="AF48">
            <v>8177</v>
          </cell>
          <cell r="AG48">
            <v>8232</v>
          </cell>
          <cell r="AI48">
            <v>5039</v>
          </cell>
          <cell r="AK48">
            <v>126353</v>
          </cell>
          <cell r="AL48">
            <v>110394</v>
          </cell>
          <cell r="AM48">
            <v>15959</v>
          </cell>
          <cell r="AN48">
            <v>126353</v>
          </cell>
          <cell r="AO48">
            <v>110394</v>
          </cell>
          <cell r="AP48">
            <v>15959</v>
          </cell>
          <cell r="AR48">
            <v>161854.43257340818</v>
          </cell>
          <cell r="AS48">
            <v>141411.42853362265</v>
          </cell>
          <cell r="AT48">
            <v>20443.00403978553</v>
          </cell>
          <cell r="AV48">
            <v>0.41</v>
          </cell>
          <cell r="AW48">
            <v>0.32700000000000001</v>
          </cell>
          <cell r="AX48">
            <v>0.75900000000000001</v>
          </cell>
          <cell r="AZ48">
            <v>0.30299999999999999</v>
          </cell>
          <cell r="BA48">
            <v>0.33600000000000002</v>
          </cell>
          <cell r="BB48">
            <v>0.16699999999999998</v>
          </cell>
          <cell r="BD48">
            <v>23170</v>
          </cell>
          <cell r="BE48">
            <v>9219</v>
          </cell>
          <cell r="BF48">
            <v>13951</v>
          </cell>
          <cell r="BH48">
            <v>0.13623654720343992</v>
          </cell>
          <cell r="BI48">
            <v>6.2042815451036369E-2</v>
          </cell>
          <cell r="BJ48">
            <v>0.64946061030732105</v>
          </cell>
        </row>
        <row r="49">
          <cell r="B49">
            <v>41</v>
          </cell>
          <cell r="C49">
            <v>11</v>
          </cell>
          <cell r="D49">
            <v>2</v>
          </cell>
          <cell r="E49" t="str">
            <v>Auraiya</v>
          </cell>
          <cell r="F49" t="str">
            <v>New</v>
          </cell>
          <cell r="G49">
            <v>1</v>
          </cell>
          <cell r="H49">
            <v>0</v>
          </cell>
          <cell r="I49">
            <v>0</v>
          </cell>
          <cell r="J49">
            <v>0</v>
          </cell>
          <cell r="K49">
            <v>994639</v>
          </cell>
          <cell r="L49">
            <v>838420</v>
          </cell>
          <cell r="M49">
            <v>156219</v>
          </cell>
          <cell r="N49">
            <v>1179496</v>
          </cell>
          <cell r="O49">
            <v>1010658</v>
          </cell>
          <cell r="P49">
            <v>168838</v>
          </cell>
          <cell r="Q49">
            <v>27.23</v>
          </cell>
          <cell r="R49">
            <v>14.7</v>
          </cell>
          <cell r="S49">
            <v>2.4374957079400073E-2</v>
          </cell>
          <cell r="T49">
            <v>1.3809465650069352E-2</v>
          </cell>
          <cell r="U49">
            <v>1.7192381674638213E-2</v>
          </cell>
          <cell r="W49">
            <v>947</v>
          </cell>
          <cell r="X49">
            <v>947</v>
          </cell>
          <cell r="Y49">
            <v>947</v>
          </cell>
          <cell r="Z49">
            <v>947</v>
          </cell>
          <cell r="AA49">
            <v>947</v>
          </cell>
          <cell r="AC49">
            <v>54938</v>
          </cell>
          <cell r="AD49">
            <v>55638</v>
          </cell>
          <cell r="AE49">
            <v>56491</v>
          </cell>
          <cell r="AF49">
            <v>57093</v>
          </cell>
          <cell r="AG49">
            <v>57692</v>
          </cell>
          <cell r="AI49">
            <v>2052</v>
          </cell>
          <cell r="AK49">
            <v>0</v>
          </cell>
          <cell r="AL49">
            <v>0</v>
          </cell>
          <cell r="AM49">
            <v>0</v>
          </cell>
          <cell r="AN49">
            <v>150072</v>
          </cell>
          <cell r="AO49">
            <v>128410</v>
          </cell>
          <cell r="AP49">
            <v>21662</v>
          </cell>
          <cell r="AR49">
            <v>192237.76566568669</v>
          </cell>
          <cell r="AS49">
            <v>164489.38835446205</v>
          </cell>
          <cell r="AT49">
            <v>27748.377311224649</v>
          </cell>
          <cell r="AV49">
            <v>0.41</v>
          </cell>
          <cell r="AW49">
            <v>0.32700000000000001</v>
          </cell>
          <cell r="AX49">
            <v>0.75900000000000001</v>
          </cell>
          <cell r="AZ49">
            <v>0.30299999999999999</v>
          </cell>
          <cell r="BA49">
            <v>0.33600000000000002</v>
          </cell>
          <cell r="BB49">
            <v>0.16699999999999998</v>
          </cell>
          <cell r="BD49">
            <v>26873</v>
          </cell>
          <cell r="BE49">
            <v>17392</v>
          </cell>
          <cell r="BF49">
            <v>9481</v>
          </cell>
          <cell r="BH49">
            <v>0.13303613956525198</v>
          </cell>
          <cell r="BI49">
            <v>0.10062452263829753</v>
          </cell>
          <cell r="BJ49">
            <v>0.3251687094844754</v>
          </cell>
        </row>
        <row r="50">
          <cell r="B50">
            <v>42</v>
          </cell>
          <cell r="C50">
            <v>11</v>
          </cell>
          <cell r="D50">
            <v>2</v>
          </cell>
          <cell r="E50" t="str">
            <v>Etawah</v>
          </cell>
          <cell r="F50" t="str">
            <v>Split</v>
          </cell>
          <cell r="G50">
            <v>2</v>
          </cell>
          <cell r="H50">
            <v>2124655</v>
          </cell>
          <cell r="I50">
            <v>1790954</v>
          </cell>
          <cell r="J50">
            <v>333701</v>
          </cell>
          <cell r="K50">
            <v>1130016</v>
          </cell>
          <cell r="L50">
            <v>952534</v>
          </cell>
          <cell r="M50">
            <v>177482</v>
          </cell>
          <cell r="N50">
            <v>1340031</v>
          </cell>
          <cell r="O50">
            <v>1030994</v>
          </cell>
          <cell r="P50">
            <v>309037</v>
          </cell>
          <cell r="Q50">
            <v>17.239999999999998</v>
          </cell>
          <cell r="R50">
            <v>21.59</v>
          </cell>
          <cell r="S50">
            <v>1.6032455448809602E-2</v>
          </cell>
          <cell r="T50">
            <v>1.9740776521756098E-2</v>
          </cell>
          <cell r="U50">
            <v>1.7192209340733511E-2</v>
          </cell>
          <cell r="W50">
            <v>421</v>
          </cell>
          <cell r="X50">
            <v>421</v>
          </cell>
          <cell r="Y50">
            <v>424</v>
          </cell>
          <cell r="Z50">
            <v>424</v>
          </cell>
          <cell r="AA50">
            <v>424</v>
          </cell>
          <cell r="AC50">
            <v>5001</v>
          </cell>
          <cell r="AD50">
            <v>5033</v>
          </cell>
          <cell r="AE50">
            <v>5142</v>
          </cell>
          <cell r="AF50">
            <v>5191</v>
          </cell>
          <cell r="AG50">
            <v>5241</v>
          </cell>
          <cell r="AI50">
            <v>2288</v>
          </cell>
          <cell r="AK50">
            <v>320570</v>
          </cell>
          <cell r="AL50">
            <v>274299</v>
          </cell>
          <cell r="AM50">
            <v>46271</v>
          </cell>
          <cell r="AN50">
            <v>170498</v>
          </cell>
          <cell r="AO50">
            <v>145889</v>
          </cell>
          <cell r="AP50">
            <v>24609</v>
          </cell>
          <cell r="AR50">
            <v>218402.86376184932</v>
          </cell>
          <cell r="AS50">
            <v>186879.46715710705</v>
          </cell>
          <cell r="AT50">
            <v>31523.396604742284</v>
          </cell>
          <cell r="AV50">
            <v>0.41</v>
          </cell>
          <cell r="AW50">
            <v>0.32700000000000001</v>
          </cell>
          <cell r="AX50">
            <v>0.75900000000000001</v>
          </cell>
          <cell r="AZ50">
            <v>0.30299999999999999</v>
          </cell>
          <cell r="BA50">
            <v>0.33600000000000002</v>
          </cell>
          <cell r="BB50">
            <v>0.16699999999999998</v>
          </cell>
          <cell r="BD50">
            <v>49005</v>
          </cell>
          <cell r="BE50">
            <v>21956</v>
          </cell>
          <cell r="BF50">
            <v>27049</v>
          </cell>
          <cell r="BH50">
            <v>0.21353755065602259</v>
          </cell>
          <cell r="BI50">
            <v>0.11181081858324121</v>
          </cell>
          <cell r="BJ50">
            <v>0.81660192610264803</v>
          </cell>
        </row>
        <row r="51">
          <cell r="B51">
            <v>43</v>
          </cell>
          <cell r="C51">
            <v>11</v>
          </cell>
          <cell r="D51">
            <v>2</v>
          </cell>
          <cell r="E51" t="str">
            <v>Farrukhabad</v>
          </cell>
          <cell r="F51" t="str">
            <v>Split</v>
          </cell>
          <cell r="G51">
            <v>2</v>
          </cell>
          <cell r="H51">
            <v>2440266</v>
          </cell>
          <cell r="I51">
            <v>1985645</v>
          </cell>
          <cell r="J51">
            <v>454621</v>
          </cell>
          <cell r="K51">
            <v>1299216</v>
          </cell>
          <cell r="L51">
            <v>1057172</v>
          </cell>
          <cell r="M51">
            <v>242044</v>
          </cell>
          <cell r="N51">
            <v>1577237</v>
          </cell>
          <cell r="O51">
            <v>1236330</v>
          </cell>
          <cell r="P51">
            <v>340907</v>
          </cell>
          <cell r="Q51">
            <v>24.46</v>
          </cell>
          <cell r="R51">
            <v>22.8</v>
          </cell>
          <cell r="S51">
            <v>2.2122573289337755E-2</v>
          </cell>
          <cell r="T51">
            <v>2.0751053164405509E-2</v>
          </cell>
          <cell r="U51">
            <v>1.9580591203779418E-2</v>
          </cell>
          <cell r="W51">
            <v>563</v>
          </cell>
          <cell r="X51">
            <v>564</v>
          </cell>
          <cell r="Y51">
            <v>570</v>
          </cell>
          <cell r="Z51">
            <v>570</v>
          </cell>
          <cell r="AA51">
            <v>570</v>
          </cell>
          <cell r="AC51">
            <v>15502</v>
          </cell>
          <cell r="AD51">
            <v>15525</v>
          </cell>
          <cell r="AE51">
            <v>15636</v>
          </cell>
          <cell r="AF51">
            <v>15672</v>
          </cell>
          <cell r="AG51">
            <v>15765</v>
          </cell>
          <cell r="AI51">
            <v>2279</v>
          </cell>
          <cell r="AK51">
            <v>369280</v>
          </cell>
          <cell r="AL51">
            <v>308915</v>
          </cell>
          <cell r="AM51">
            <v>60365</v>
          </cell>
          <cell r="AN51">
            <v>196608</v>
          </cell>
          <cell r="AO51">
            <v>164469</v>
          </cell>
          <cell r="AP51">
            <v>32139</v>
          </cell>
          <cell r="AR51">
            <v>251848.99669491532</v>
          </cell>
          <cell r="AS51">
            <v>210679.89419258639</v>
          </cell>
          <cell r="AT51">
            <v>41169.102502328911</v>
          </cell>
          <cell r="AV51">
            <v>0.41</v>
          </cell>
          <cell r="AW51">
            <v>0.32700000000000001</v>
          </cell>
          <cell r="AX51">
            <v>0.75900000000000001</v>
          </cell>
          <cell r="AZ51">
            <v>0.30299999999999999</v>
          </cell>
          <cell r="BA51">
            <v>0.33600000000000002</v>
          </cell>
          <cell r="BB51">
            <v>0.16699999999999998</v>
          </cell>
          <cell r="BD51">
            <v>56865</v>
          </cell>
          <cell r="BE51">
            <v>22751</v>
          </cell>
          <cell r="BF51">
            <v>34114</v>
          </cell>
          <cell r="BH51">
            <v>0.21488050226989985</v>
          </cell>
          <cell r="BI51">
            <v>0.10277076537872236</v>
          </cell>
          <cell r="BJ51">
            <v>0.78859394440422526</v>
          </cell>
        </row>
        <row r="52">
          <cell r="B52">
            <v>44</v>
          </cell>
          <cell r="C52">
            <v>11</v>
          </cell>
          <cell r="D52">
            <v>2</v>
          </cell>
          <cell r="E52" t="str">
            <v>Kannauj</v>
          </cell>
          <cell r="F52" t="str">
            <v>New</v>
          </cell>
          <cell r="G52">
            <v>1</v>
          </cell>
          <cell r="H52">
            <v>0</v>
          </cell>
          <cell r="I52">
            <v>0</v>
          </cell>
          <cell r="J52">
            <v>0</v>
          </cell>
          <cell r="K52">
            <v>1141050</v>
          </cell>
          <cell r="L52">
            <v>928473</v>
          </cell>
          <cell r="M52">
            <v>212577</v>
          </cell>
          <cell r="N52">
            <v>1385227</v>
          </cell>
          <cell r="O52">
            <v>1153315</v>
          </cell>
          <cell r="P52">
            <v>231912</v>
          </cell>
          <cell r="Q52">
            <v>24.94</v>
          </cell>
          <cell r="R52">
            <v>19.579999999999998</v>
          </cell>
          <cell r="S52">
            <v>2.2516088829629854E-2</v>
          </cell>
          <cell r="T52">
            <v>1.8042373725129845E-2</v>
          </cell>
          <cell r="U52">
            <v>1.9580750011246595E-2</v>
          </cell>
          <cell r="W52">
            <v>462</v>
          </cell>
          <cell r="X52">
            <v>464</v>
          </cell>
          <cell r="Y52">
            <v>470</v>
          </cell>
          <cell r="Z52">
            <v>470</v>
          </cell>
          <cell r="AA52">
            <v>470</v>
          </cell>
          <cell r="AC52">
            <v>13289</v>
          </cell>
          <cell r="AD52">
            <v>13408</v>
          </cell>
          <cell r="AE52">
            <v>13734</v>
          </cell>
          <cell r="AF52">
            <v>13942</v>
          </cell>
          <cell r="AG52">
            <v>14131</v>
          </cell>
          <cell r="AI52">
            <v>1995</v>
          </cell>
          <cell r="AK52">
            <v>0</v>
          </cell>
          <cell r="AL52">
            <v>0</v>
          </cell>
          <cell r="AM52">
            <v>0</v>
          </cell>
          <cell r="AN52">
            <v>172672</v>
          </cell>
          <cell r="AO52">
            <v>144446</v>
          </cell>
          <cell r="AP52">
            <v>28226</v>
          </cell>
          <cell r="AR52">
            <v>221187.69306083382</v>
          </cell>
          <cell r="AS52">
            <v>185031.02710262928</v>
          </cell>
          <cell r="AT52">
            <v>36156.665958204547</v>
          </cell>
          <cell r="AV52">
            <v>0.41</v>
          </cell>
          <cell r="AW52">
            <v>0.32700000000000001</v>
          </cell>
          <cell r="AX52">
            <v>0.75900000000000001</v>
          </cell>
          <cell r="AZ52">
            <v>0.30299999999999999</v>
          </cell>
          <cell r="BA52">
            <v>0.33600000000000002</v>
          </cell>
          <cell r="BB52">
            <v>0.16699999999999998</v>
          </cell>
          <cell r="BD52">
            <v>32894</v>
          </cell>
          <cell r="BE52">
            <v>18179</v>
          </cell>
          <cell r="BF52">
            <v>14715</v>
          </cell>
          <cell r="BH52">
            <v>0.14152980916853075</v>
          </cell>
          <cell r="BI52">
            <v>9.3501294177955496E-2</v>
          </cell>
          <cell r="BJ52">
            <v>0.38731479026144638</v>
          </cell>
        </row>
        <row r="53">
          <cell r="B53">
            <v>45</v>
          </cell>
          <cell r="C53">
            <v>11</v>
          </cell>
          <cell r="D53">
            <v>2</v>
          </cell>
          <cell r="E53" t="str">
            <v>Kanpur Dehat (Rural) (Akbarpur)</v>
          </cell>
          <cell r="H53">
            <v>2138317</v>
          </cell>
          <cell r="I53">
            <v>2016274</v>
          </cell>
          <cell r="J53">
            <v>122043</v>
          </cell>
          <cell r="K53">
            <v>2138317</v>
          </cell>
          <cell r="L53">
            <v>2016274</v>
          </cell>
          <cell r="M53">
            <v>122043</v>
          </cell>
          <cell r="N53">
            <v>1584037</v>
          </cell>
          <cell r="O53">
            <v>1476662</v>
          </cell>
          <cell r="P53">
            <v>107375</v>
          </cell>
          <cell r="Q53">
            <v>19.89</v>
          </cell>
          <cell r="R53">
            <v>21.55</v>
          </cell>
          <cell r="S53">
            <v>1.8305984340279968E-2</v>
          </cell>
          <cell r="T53">
            <v>1.970722469121533E-2</v>
          </cell>
          <cell r="U53">
            <v>-2.9558583006472405E-2</v>
          </cell>
          <cell r="X53">
            <v>0</v>
          </cell>
          <cell r="Y53">
            <v>0</v>
          </cell>
          <cell r="Z53">
            <v>0</v>
          </cell>
          <cell r="AA53">
            <v>0</v>
          </cell>
          <cell r="AD53">
            <v>0</v>
          </cell>
          <cell r="AE53">
            <v>0</v>
          </cell>
          <cell r="AF53">
            <v>0</v>
          </cell>
          <cell r="AG53">
            <v>0</v>
          </cell>
          <cell r="AI53">
            <v>3146</v>
          </cell>
          <cell r="AK53">
            <v>336385</v>
          </cell>
          <cell r="AL53">
            <v>319115</v>
          </cell>
          <cell r="AM53">
            <v>17270</v>
          </cell>
          <cell r="AN53">
            <v>336385</v>
          </cell>
          <cell r="AO53">
            <v>319115</v>
          </cell>
          <cell r="AP53">
            <v>17270</v>
          </cell>
          <cell r="AR53">
            <v>430899.17375294538</v>
          </cell>
          <cell r="AS53">
            <v>408776.81773019361</v>
          </cell>
          <cell r="AT53">
            <v>22122.356022751806</v>
          </cell>
          <cell r="AV53">
            <v>0.41</v>
          </cell>
          <cell r="AW53">
            <v>0.32700000000000001</v>
          </cell>
          <cell r="AX53">
            <v>0.75900000000000001</v>
          </cell>
          <cell r="AZ53">
            <v>0.30299999999999999</v>
          </cell>
          <cell r="BA53">
            <v>0.33600000000000002</v>
          </cell>
          <cell r="BB53">
            <v>0.16699999999999998</v>
          </cell>
          <cell r="BD53">
            <v>0</v>
          </cell>
          <cell r="BE53">
            <v>0</v>
          </cell>
          <cell r="BF53">
            <v>0</v>
          </cell>
          <cell r="BH53">
            <v>0</v>
          </cell>
          <cell r="BI53">
            <v>0</v>
          </cell>
          <cell r="BJ53">
            <v>0</v>
          </cell>
        </row>
        <row r="54">
          <cell r="B54">
            <v>46</v>
          </cell>
          <cell r="C54">
            <v>11</v>
          </cell>
          <cell r="D54">
            <v>2</v>
          </cell>
          <cell r="E54" t="str">
            <v>Kanpur Nagar (Urban)</v>
          </cell>
          <cell r="H54">
            <v>2418487</v>
          </cell>
          <cell r="I54">
            <v>381154</v>
          </cell>
          <cell r="J54">
            <v>2037333</v>
          </cell>
          <cell r="K54">
            <v>2418487</v>
          </cell>
          <cell r="L54">
            <v>381154</v>
          </cell>
          <cell r="M54">
            <v>2037333</v>
          </cell>
          <cell r="N54">
            <v>4137489</v>
          </cell>
          <cell r="O54">
            <v>1365277</v>
          </cell>
          <cell r="P54">
            <v>2772212</v>
          </cell>
          <cell r="Q54">
            <v>22.54</v>
          </cell>
          <cell r="R54">
            <v>27.17</v>
          </cell>
          <cell r="S54">
            <v>2.0534727045732115E-2</v>
          </cell>
          <cell r="T54">
            <v>2.4326638644651677E-2</v>
          </cell>
          <cell r="U54">
            <v>5.5162405987835506E-2</v>
          </cell>
          <cell r="W54">
            <v>9</v>
          </cell>
          <cell r="X54">
            <v>9</v>
          </cell>
          <cell r="Y54">
            <v>9</v>
          </cell>
          <cell r="Z54">
            <v>9</v>
          </cell>
          <cell r="AA54">
            <v>9</v>
          </cell>
          <cell r="AC54">
            <v>10791</v>
          </cell>
          <cell r="AD54">
            <v>10941</v>
          </cell>
          <cell r="AE54">
            <v>11216</v>
          </cell>
          <cell r="AF54">
            <v>11278</v>
          </cell>
          <cell r="AG54">
            <v>11357</v>
          </cell>
          <cell r="AI54">
            <v>3030</v>
          </cell>
          <cell r="AK54">
            <v>385756</v>
          </cell>
          <cell r="AL54">
            <v>60213</v>
          </cell>
          <cell r="AM54">
            <v>325543</v>
          </cell>
          <cell r="AN54">
            <v>385756</v>
          </cell>
          <cell r="AO54">
            <v>60213</v>
          </cell>
          <cell r="AP54">
            <v>325543</v>
          </cell>
          <cell r="AR54">
            <v>494141.95540895464</v>
          </cell>
          <cell r="AS54">
            <v>77131.06098424751</v>
          </cell>
          <cell r="AT54">
            <v>417010.8944247071</v>
          </cell>
          <cell r="AV54">
            <v>0.41</v>
          </cell>
          <cell r="AW54">
            <v>0.32700000000000001</v>
          </cell>
          <cell r="AX54">
            <v>0.75900000000000001</v>
          </cell>
          <cell r="AZ54">
            <v>0.30299999999999999</v>
          </cell>
          <cell r="BA54">
            <v>0.33600000000000002</v>
          </cell>
          <cell r="BB54">
            <v>0.16699999999999998</v>
          </cell>
          <cell r="BD54">
            <v>316744</v>
          </cell>
          <cell r="BE54">
            <v>56212</v>
          </cell>
          <cell r="BF54">
            <v>260532</v>
          </cell>
          <cell r="BH54">
            <v>0.61002672191454099</v>
          </cell>
          <cell r="BI54">
            <v>0.6935725944295642</v>
          </cell>
          <cell r="BJ54">
            <v>0.59457393189372332</v>
          </cell>
        </row>
        <row r="55">
          <cell r="B55">
            <v>47</v>
          </cell>
          <cell r="C55">
            <v>12</v>
          </cell>
          <cell r="D55">
            <v>3</v>
          </cell>
          <cell r="E55" t="str">
            <v>Hardoi</v>
          </cell>
          <cell r="H55">
            <v>2747082</v>
          </cell>
          <cell r="I55">
            <v>2424471</v>
          </cell>
          <cell r="J55">
            <v>322611</v>
          </cell>
          <cell r="K55">
            <v>2747082</v>
          </cell>
          <cell r="L55">
            <v>2424471</v>
          </cell>
          <cell r="M55">
            <v>322611</v>
          </cell>
          <cell r="N55">
            <v>3397414</v>
          </cell>
          <cell r="O55">
            <v>2990382</v>
          </cell>
          <cell r="P55">
            <v>407032</v>
          </cell>
          <cell r="Q55">
            <v>20.75</v>
          </cell>
          <cell r="R55">
            <v>23.67</v>
          </cell>
          <cell r="S55">
            <v>1.9034092656040613E-2</v>
          </cell>
          <cell r="T55">
            <v>2.1471928443140609E-2</v>
          </cell>
          <cell r="U55">
            <v>2.1474865670801035E-2</v>
          </cell>
          <cell r="W55">
            <v>1129</v>
          </cell>
          <cell r="X55">
            <v>1135</v>
          </cell>
          <cell r="Y55">
            <v>1146</v>
          </cell>
          <cell r="Z55">
            <v>1146</v>
          </cell>
          <cell r="AA55">
            <v>1146</v>
          </cell>
          <cell r="AC55">
            <v>13314</v>
          </cell>
          <cell r="AD55">
            <v>13497</v>
          </cell>
          <cell r="AE55">
            <v>13747</v>
          </cell>
          <cell r="AF55">
            <v>13849</v>
          </cell>
          <cell r="AG55">
            <v>13949</v>
          </cell>
          <cell r="AI55">
            <v>5986</v>
          </cell>
          <cell r="AK55">
            <v>433288</v>
          </cell>
          <cell r="AL55">
            <v>390217</v>
          </cell>
          <cell r="AM55">
            <v>43071</v>
          </cell>
          <cell r="AN55">
            <v>433288</v>
          </cell>
          <cell r="AO55">
            <v>390217</v>
          </cell>
          <cell r="AP55">
            <v>43071</v>
          </cell>
          <cell r="AR55">
            <v>555029.0327959517</v>
          </cell>
          <cell r="AS55">
            <v>499856.36364389939</v>
          </cell>
          <cell r="AT55">
            <v>55172.669152052295</v>
          </cell>
          <cell r="AV55">
            <v>0.41</v>
          </cell>
          <cell r="AW55">
            <v>0.32700000000000001</v>
          </cell>
          <cell r="AX55">
            <v>0.75900000000000001</v>
          </cell>
          <cell r="AZ55">
            <v>0.30299999999999999</v>
          </cell>
          <cell r="BA55">
            <v>0.33600000000000002</v>
          </cell>
          <cell r="BB55">
            <v>0.16699999999999998</v>
          </cell>
          <cell r="BD55">
            <v>69352</v>
          </cell>
          <cell r="BE55">
            <v>34669</v>
          </cell>
          <cell r="BF55">
            <v>34683</v>
          </cell>
          <cell r="BH55">
            <v>0.11891468257977234</v>
          </cell>
          <cell r="BI55">
            <v>6.6006739634272574E-2</v>
          </cell>
          <cell r="BJ55">
            <v>0.59825295595081274</v>
          </cell>
        </row>
        <row r="56">
          <cell r="B56">
            <v>48</v>
          </cell>
          <cell r="C56">
            <v>12</v>
          </cell>
          <cell r="D56">
            <v>3</v>
          </cell>
          <cell r="E56" t="str">
            <v>Lakhimpur Kheri</v>
          </cell>
          <cell r="H56">
            <v>2419234</v>
          </cell>
          <cell r="I56">
            <v>2161259</v>
          </cell>
          <cell r="J56">
            <v>257975</v>
          </cell>
          <cell r="K56">
            <v>2419234</v>
          </cell>
          <cell r="L56">
            <v>2161259</v>
          </cell>
          <cell r="M56">
            <v>257975</v>
          </cell>
          <cell r="N56">
            <v>3200137</v>
          </cell>
          <cell r="O56">
            <v>2855105</v>
          </cell>
          <cell r="P56">
            <v>345032</v>
          </cell>
          <cell r="Q56">
            <v>23.89</v>
          </cell>
          <cell r="R56">
            <v>32.28</v>
          </cell>
          <cell r="S56">
            <v>2.1653495622991015E-2</v>
          </cell>
          <cell r="T56">
            <v>2.8370047055166436E-2</v>
          </cell>
          <cell r="U56">
            <v>2.8369220053329425E-2</v>
          </cell>
          <cell r="W56">
            <v>128</v>
          </cell>
          <cell r="X56">
            <v>128</v>
          </cell>
          <cell r="Y56">
            <v>128</v>
          </cell>
          <cell r="Z56">
            <v>128</v>
          </cell>
          <cell r="AA56">
            <v>128</v>
          </cell>
          <cell r="AC56">
            <v>6641</v>
          </cell>
          <cell r="AD56">
            <v>6750</v>
          </cell>
          <cell r="AE56">
            <v>6850</v>
          </cell>
          <cell r="AF56">
            <v>6919</v>
          </cell>
          <cell r="AG56">
            <v>6935</v>
          </cell>
          <cell r="AI56">
            <v>7680</v>
          </cell>
          <cell r="AK56">
            <v>374369</v>
          </cell>
          <cell r="AL56">
            <v>336845</v>
          </cell>
          <cell r="AM56">
            <v>37524</v>
          </cell>
          <cell r="AN56">
            <v>374369</v>
          </cell>
          <cell r="AO56">
            <v>336845</v>
          </cell>
          <cell r="AP56">
            <v>37524</v>
          </cell>
          <cell r="AR56">
            <v>479555.54730061215</v>
          </cell>
          <cell r="AS56">
            <v>431488.42006275814</v>
          </cell>
          <cell r="AT56">
            <v>48067.127237854016</v>
          </cell>
          <cell r="AV56">
            <v>0.41</v>
          </cell>
          <cell r="AW56">
            <v>0.32700000000000001</v>
          </cell>
          <cell r="AX56">
            <v>0.75900000000000001</v>
          </cell>
          <cell r="AZ56">
            <v>0.30299999999999999</v>
          </cell>
          <cell r="BA56">
            <v>0.33600000000000002</v>
          </cell>
          <cell r="BB56">
            <v>0.16699999999999998</v>
          </cell>
          <cell r="BD56">
            <v>72524</v>
          </cell>
          <cell r="BE56">
            <v>40405</v>
          </cell>
          <cell r="BF56">
            <v>32119</v>
          </cell>
          <cell r="BH56">
            <v>0.14392459703879701</v>
          </cell>
          <cell r="BI56">
            <v>8.9116507530193026E-2</v>
          </cell>
          <cell r="BJ56">
            <v>0.63592520759539284</v>
          </cell>
        </row>
        <row r="57">
          <cell r="B57">
            <v>49</v>
          </cell>
          <cell r="C57">
            <v>12</v>
          </cell>
          <cell r="D57">
            <v>3</v>
          </cell>
          <cell r="E57" t="str">
            <v>Lucknow</v>
          </cell>
          <cell r="H57">
            <v>2762801</v>
          </cell>
          <cell r="I57">
            <v>1031577</v>
          </cell>
          <cell r="J57">
            <v>1731224</v>
          </cell>
          <cell r="K57">
            <v>2762801</v>
          </cell>
          <cell r="L57">
            <v>1031577</v>
          </cell>
          <cell r="M57">
            <v>1731224</v>
          </cell>
          <cell r="N57">
            <v>3681416</v>
          </cell>
          <cell r="O57">
            <v>1339177</v>
          </cell>
          <cell r="P57">
            <v>2342239</v>
          </cell>
          <cell r="Q57">
            <v>37.14</v>
          </cell>
          <cell r="R57">
            <v>33.25</v>
          </cell>
          <cell r="S57">
            <v>3.2087253640676883E-2</v>
          </cell>
          <cell r="T57">
            <v>2.9121666740875574E-2</v>
          </cell>
          <cell r="U57">
            <v>2.912121017501601E-2</v>
          </cell>
          <cell r="W57">
            <v>45</v>
          </cell>
          <cell r="X57">
            <v>47</v>
          </cell>
          <cell r="Y57">
            <v>47</v>
          </cell>
          <cell r="Z57">
            <v>47</v>
          </cell>
          <cell r="AA57">
            <v>47</v>
          </cell>
          <cell r="AC57">
            <v>12988</v>
          </cell>
          <cell r="AD57">
            <v>13098</v>
          </cell>
          <cell r="AE57">
            <v>13422</v>
          </cell>
          <cell r="AF57">
            <v>13645</v>
          </cell>
          <cell r="AG57">
            <v>13320</v>
          </cell>
          <cell r="AI57">
            <v>2528</v>
          </cell>
          <cell r="AK57">
            <v>462998</v>
          </cell>
          <cell r="AL57">
            <v>183606</v>
          </cell>
          <cell r="AM57">
            <v>279392</v>
          </cell>
          <cell r="AN57">
            <v>462998</v>
          </cell>
          <cell r="AO57">
            <v>183606</v>
          </cell>
          <cell r="AP57">
            <v>279392</v>
          </cell>
          <cell r="AR57">
            <v>593086.65858842165</v>
          </cell>
          <cell r="AS57">
            <v>235193.82165103464</v>
          </cell>
          <cell r="AT57">
            <v>357892.83693738701</v>
          </cell>
          <cell r="AV57">
            <v>0.41</v>
          </cell>
          <cell r="AW57">
            <v>0.32700000000000001</v>
          </cell>
          <cell r="AX57">
            <v>0.75900000000000001</v>
          </cell>
          <cell r="AZ57">
            <v>0.30299999999999999</v>
          </cell>
          <cell r="BA57">
            <v>0.33600000000000002</v>
          </cell>
          <cell r="BB57">
            <v>0.16699999999999998</v>
          </cell>
          <cell r="BD57">
            <v>398735</v>
          </cell>
          <cell r="BE57">
            <v>0</v>
          </cell>
          <cell r="BF57">
            <v>398735</v>
          </cell>
          <cell r="BH57">
            <v>0.63982086109798597</v>
          </cell>
          <cell r="BI57">
            <v>0</v>
          </cell>
          <cell r="BJ57">
            <v>1.0602872632238762</v>
          </cell>
        </row>
        <row r="58">
          <cell r="B58">
            <v>50</v>
          </cell>
          <cell r="C58">
            <v>12</v>
          </cell>
          <cell r="D58">
            <v>3</v>
          </cell>
          <cell r="E58" t="str">
            <v>Rae Barielly</v>
          </cell>
          <cell r="H58">
            <v>2322810</v>
          </cell>
          <cell r="I58">
            <v>2112898</v>
          </cell>
          <cell r="J58">
            <v>209912</v>
          </cell>
          <cell r="K58">
            <v>2322810</v>
          </cell>
          <cell r="L58">
            <v>2112898</v>
          </cell>
          <cell r="M58">
            <v>209912</v>
          </cell>
          <cell r="N58">
            <v>2872204</v>
          </cell>
          <cell r="O58">
            <v>2598459</v>
          </cell>
          <cell r="P58">
            <v>273745</v>
          </cell>
          <cell r="Q58">
            <v>23.57</v>
          </cell>
          <cell r="R58">
            <v>23.66</v>
          </cell>
          <cell r="S58">
            <v>2.1389301791283399E-2</v>
          </cell>
          <cell r="T58">
            <v>2.1463668484388965E-2</v>
          </cell>
          <cell r="U58">
            <v>2.1457166021236374E-2</v>
          </cell>
          <cell r="W58">
            <v>0</v>
          </cell>
          <cell r="X58">
            <v>0</v>
          </cell>
          <cell r="Y58">
            <v>0</v>
          </cell>
          <cell r="Z58">
            <v>0</v>
          </cell>
          <cell r="AA58">
            <v>0</v>
          </cell>
          <cell r="AC58">
            <v>3</v>
          </cell>
          <cell r="AD58">
            <v>3</v>
          </cell>
          <cell r="AE58">
            <v>3</v>
          </cell>
          <cell r="AF58">
            <v>3</v>
          </cell>
          <cell r="AG58">
            <v>3</v>
          </cell>
          <cell r="AI58">
            <v>4586</v>
          </cell>
          <cell r="AK58">
            <v>419983</v>
          </cell>
          <cell r="AL58">
            <v>385967</v>
          </cell>
          <cell r="AM58">
            <v>34016</v>
          </cell>
          <cell r="AN58">
            <v>419983</v>
          </cell>
          <cell r="AO58">
            <v>385967</v>
          </cell>
          <cell r="AP58">
            <v>34016</v>
          </cell>
          <cell r="AR58">
            <v>537985.72376973787</v>
          </cell>
          <cell r="AS58">
            <v>494412.24012932525</v>
          </cell>
          <cell r="AT58">
            <v>43573.483640412596</v>
          </cell>
          <cell r="AV58">
            <v>0.41</v>
          </cell>
          <cell r="AW58">
            <v>0.32700000000000001</v>
          </cell>
          <cell r="AX58">
            <v>0.75900000000000001</v>
          </cell>
          <cell r="AZ58">
            <v>0.30299999999999999</v>
          </cell>
          <cell r="BA58">
            <v>0.33600000000000002</v>
          </cell>
          <cell r="BB58">
            <v>0.16699999999999998</v>
          </cell>
          <cell r="BD58">
            <v>100613</v>
          </cell>
          <cell r="BE58">
            <v>69951</v>
          </cell>
          <cell r="BF58">
            <v>30662</v>
          </cell>
          <cell r="BH58">
            <v>0.17798177740561882</v>
          </cell>
          <cell r="BI58">
            <v>0.13464706941769594</v>
          </cell>
          <cell r="BJ58">
            <v>0.66968471831503307</v>
          </cell>
        </row>
        <row r="59">
          <cell r="B59">
            <v>51</v>
          </cell>
          <cell r="C59">
            <v>12</v>
          </cell>
          <cell r="D59">
            <v>3</v>
          </cell>
          <cell r="E59" t="str">
            <v>Sitapur</v>
          </cell>
          <cell r="H59">
            <v>2857009</v>
          </cell>
          <cell r="I59">
            <v>2513341</v>
          </cell>
          <cell r="J59">
            <v>343668</v>
          </cell>
          <cell r="K59">
            <v>2857009</v>
          </cell>
          <cell r="L59">
            <v>2513341</v>
          </cell>
          <cell r="M59">
            <v>343668</v>
          </cell>
          <cell r="N59">
            <v>3616510</v>
          </cell>
          <cell r="O59">
            <v>3184640</v>
          </cell>
          <cell r="P59">
            <v>431870</v>
          </cell>
          <cell r="Q59">
            <v>22.24</v>
          </cell>
          <cell r="R59">
            <v>26.58</v>
          </cell>
          <cell r="S59">
            <v>2.0284606078570633E-2</v>
          </cell>
          <cell r="T59">
            <v>2.3850411407047245E-2</v>
          </cell>
          <cell r="U59">
            <v>2.3853469207162137E-2</v>
          </cell>
          <cell r="W59">
            <v>1386</v>
          </cell>
          <cell r="X59">
            <v>1393</v>
          </cell>
          <cell r="Y59">
            <v>1395</v>
          </cell>
          <cell r="Z59">
            <v>1395</v>
          </cell>
          <cell r="AA59">
            <v>1395</v>
          </cell>
          <cell r="AC59">
            <v>19250</v>
          </cell>
          <cell r="AD59">
            <v>19373</v>
          </cell>
          <cell r="AE59">
            <v>19857</v>
          </cell>
          <cell r="AF59">
            <v>20283</v>
          </cell>
          <cell r="AG59">
            <v>20477</v>
          </cell>
          <cell r="AI59">
            <v>5743</v>
          </cell>
          <cell r="AK59">
            <v>459497</v>
          </cell>
          <cell r="AL59">
            <v>412951</v>
          </cell>
          <cell r="AM59">
            <v>46546</v>
          </cell>
          <cell r="AN59">
            <v>459497</v>
          </cell>
          <cell r="AO59">
            <v>412951</v>
          </cell>
          <cell r="AP59">
            <v>46546</v>
          </cell>
          <cell r="AR59">
            <v>588601.98178265127</v>
          </cell>
          <cell r="AS59">
            <v>528977.94105103542</v>
          </cell>
          <cell r="AT59">
            <v>59624.040731615845</v>
          </cell>
          <cell r="AV59">
            <v>0.41</v>
          </cell>
          <cell r="AW59">
            <v>0.32700000000000001</v>
          </cell>
          <cell r="AX59">
            <v>0.75900000000000001</v>
          </cell>
          <cell r="AZ59">
            <v>0.30299999999999999</v>
          </cell>
          <cell r="BA59">
            <v>0.33600000000000002</v>
          </cell>
          <cell r="BB59">
            <v>0.16699999999999998</v>
          </cell>
          <cell r="BD59">
            <v>73270</v>
          </cell>
          <cell r="BE59">
            <v>37578</v>
          </cell>
          <cell r="BF59">
            <v>35692</v>
          </cell>
          <cell r="BH59">
            <v>0.1184668016482876</v>
          </cell>
          <cell r="BI59">
            <v>6.760647497673275E-2</v>
          </cell>
          <cell r="BJ59">
            <v>0.56969403404946606</v>
          </cell>
        </row>
        <row r="60">
          <cell r="B60">
            <v>52</v>
          </cell>
          <cell r="C60">
            <v>12</v>
          </cell>
          <cell r="D60">
            <v>3</v>
          </cell>
          <cell r="E60" t="str">
            <v>Unnao</v>
          </cell>
          <cell r="H60">
            <v>2200397</v>
          </cell>
          <cell r="I60">
            <v>1901099</v>
          </cell>
          <cell r="J60">
            <v>299298</v>
          </cell>
          <cell r="K60">
            <v>2200397</v>
          </cell>
          <cell r="L60">
            <v>1901099</v>
          </cell>
          <cell r="M60">
            <v>299298</v>
          </cell>
          <cell r="N60">
            <v>2700426</v>
          </cell>
          <cell r="O60">
            <v>2288567</v>
          </cell>
          <cell r="P60">
            <v>411859</v>
          </cell>
          <cell r="Q60">
            <v>20.73</v>
          </cell>
          <cell r="R60">
            <v>22.72</v>
          </cell>
          <cell r="S60">
            <v>1.9017212986417897E-2</v>
          </cell>
          <cell r="T60">
            <v>2.0684535221755951E-2</v>
          </cell>
          <cell r="U60">
            <v>2.0688269717518581E-2</v>
          </cell>
          <cell r="W60">
            <v>1107</v>
          </cell>
          <cell r="X60">
            <v>1114</v>
          </cell>
          <cell r="Y60">
            <v>1124</v>
          </cell>
          <cell r="Z60">
            <v>1124</v>
          </cell>
          <cell r="AA60">
            <v>1124</v>
          </cell>
          <cell r="AC60">
            <v>8502</v>
          </cell>
          <cell r="AD60">
            <v>8604</v>
          </cell>
          <cell r="AE60">
            <v>8788</v>
          </cell>
          <cell r="AF60">
            <v>8929</v>
          </cell>
          <cell r="AG60">
            <v>9045</v>
          </cell>
          <cell r="AI60">
            <v>4558</v>
          </cell>
          <cell r="AK60">
            <v>373349</v>
          </cell>
          <cell r="AL60">
            <v>325705</v>
          </cell>
          <cell r="AM60">
            <v>47644</v>
          </cell>
          <cell r="AN60">
            <v>373349</v>
          </cell>
          <cell r="AO60">
            <v>325705</v>
          </cell>
          <cell r="AP60">
            <v>47644</v>
          </cell>
          <cell r="AR60">
            <v>478248.95765711437</v>
          </cell>
          <cell r="AS60">
            <v>417218.41160338029</v>
          </cell>
          <cell r="AT60">
            <v>61030.546053734055</v>
          </cell>
          <cell r="AV60">
            <v>0.41</v>
          </cell>
          <cell r="AW60">
            <v>0.32700000000000001</v>
          </cell>
          <cell r="AX60">
            <v>0.75900000000000001</v>
          </cell>
          <cell r="AZ60">
            <v>0.30299999999999999</v>
          </cell>
          <cell r="BA60">
            <v>0.33600000000000002</v>
          </cell>
          <cell r="BB60">
            <v>0.16699999999999998</v>
          </cell>
          <cell r="BD60">
            <v>75419</v>
          </cell>
          <cell r="BE60">
            <v>49381</v>
          </cell>
          <cell r="BF60">
            <v>26038</v>
          </cell>
          <cell r="BH60">
            <v>0.15007865522922706</v>
          </cell>
          <cell r="BI60">
            <v>0.11263895357090002</v>
          </cell>
          <cell r="BJ60">
            <v>0.40602479805152186</v>
          </cell>
        </row>
        <row r="61">
          <cell r="B61">
            <v>53</v>
          </cell>
          <cell r="C61">
            <v>13</v>
          </cell>
          <cell r="D61">
            <v>1</v>
          </cell>
          <cell r="E61" t="str">
            <v>Baghpat</v>
          </cell>
          <cell r="F61" t="str">
            <v>New</v>
          </cell>
          <cell r="G61">
            <v>1</v>
          </cell>
          <cell r="H61">
            <v>0</v>
          </cell>
          <cell r="I61">
            <v>0</v>
          </cell>
          <cell r="J61">
            <v>0</v>
          </cell>
          <cell r="K61">
            <v>963678</v>
          </cell>
          <cell r="L61">
            <v>606885</v>
          </cell>
          <cell r="M61">
            <v>356793</v>
          </cell>
          <cell r="N61">
            <v>1164388</v>
          </cell>
          <cell r="O61">
            <v>934824</v>
          </cell>
          <cell r="P61">
            <v>229564</v>
          </cell>
          <cell r="Q61">
            <v>22.39</v>
          </cell>
          <cell r="R61">
            <v>13</v>
          </cell>
          <cell r="S61">
            <v>2.040973553498282E-2</v>
          </cell>
          <cell r="T61">
            <v>1.2296754216952754E-2</v>
          </cell>
          <cell r="U61">
            <v>1.9099474515575032E-2</v>
          </cell>
          <cell r="W61">
            <v>751</v>
          </cell>
          <cell r="X61">
            <v>752</v>
          </cell>
          <cell r="Y61">
            <v>752</v>
          </cell>
          <cell r="Z61">
            <v>752</v>
          </cell>
          <cell r="AA61">
            <v>752</v>
          </cell>
          <cell r="AC61">
            <v>31287</v>
          </cell>
          <cell r="AD61">
            <v>32505</v>
          </cell>
          <cell r="AE61">
            <v>33723</v>
          </cell>
          <cell r="AF61">
            <v>34158</v>
          </cell>
          <cell r="AG61">
            <v>34319</v>
          </cell>
          <cell r="AI61">
            <v>1389</v>
          </cell>
          <cell r="AK61">
            <v>0</v>
          </cell>
          <cell r="AL61">
            <v>0</v>
          </cell>
          <cell r="AM61">
            <v>0</v>
          </cell>
          <cell r="AN61">
            <v>140108</v>
          </cell>
          <cell r="AO61">
            <v>88931</v>
          </cell>
          <cell r="AP61">
            <v>51177</v>
          </cell>
          <cell r="AR61">
            <v>179474.17820704749</v>
          </cell>
          <cell r="AS61">
            <v>113917.96429990394</v>
          </cell>
          <cell r="AT61">
            <v>65556.213907143567</v>
          </cell>
          <cell r="AV61">
            <v>0.41</v>
          </cell>
          <cell r="AW61">
            <v>0.32700000000000001</v>
          </cell>
          <cell r="AX61">
            <v>0.75900000000000001</v>
          </cell>
          <cell r="AZ61">
            <v>0.30299999999999999</v>
          </cell>
          <cell r="BA61">
            <v>0.33600000000000002</v>
          </cell>
          <cell r="BB61">
            <v>0.16699999999999998</v>
          </cell>
          <cell r="BD61">
            <v>76043</v>
          </cell>
          <cell r="BE61">
            <v>57517</v>
          </cell>
          <cell r="BF61">
            <v>18526</v>
          </cell>
          <cell r="BH61">
            <v>0.40322686629098003</v>
          </cell>
          <cell r="BI61">
            <v>0.48050310930026013</v>
          </cell>
          <cell r="BJ61">
            <v>0.26894284090734516</v>
          </cell>
        </row>
        <row r="62">
          <cell r="B62">
            <v>54</v>
          </cell>
          <cell r="C62">
            <v>13</v>
          </cell>
          <cell r="D62">
            <v>1</v>
          </cell>
          <cell r="E62" t="str">
            <v>Bulandshahr</v>
          </cell>
          <cell r="F62" t="str">
            <v>Split</v>
          </cell>
          <cell r="G62">
            <v>2</v>
          </cell>
          <cell r="H62">
            <v>2849859</v>
          </cell>
          <cell r="I62">
            <v>2257064</v>
          </cell>
          <cell r="J62">
            <v>592795</v>
          </cell>
          <cell r="K62">
            <v>2192754</v>
          </cell>
          <cell r="L62">
            <v>1465867</v>
          </cell>
          <cell r="M62">
            <v>726887</v>
          </cell>
          <cell r="N62">
            <v>2923290</v>
          </cell>
          <cell r="O62">
            <v>2249464</v>
          </cell>
          <cell r="P62">
            <v>673826</v>
          </cell>
          <cell r="Q62">
            <v>16.100000000000001</v>
          </cell>
          <cell r="R62">
            <v>22.22</v>
          </cell>
          <cell r="S62">
            <v>1.5040151938647606E-2</v>
          </cell>
          <cell r="T62">
            <v>2.026791171121145E-2</v>
          </cell>
          <cell r="U62">
            <v>2.9172561075500036E-2</v>
          </cell>
          <cell r="W62">
            <v>13</v>
          </cell>
          <cell r="X62">
            <v>14</v>
          </cell>
          <cell r="Y62">
            <v>15</v>
          </cell>
          <cell r="Z62">
            <v>15</v>
          </cell>
          <cell r="AA62">
            <v>15</v>
          </cell>
          <cell r="AC62">
            <v>19</v>
          </cell>
          <cell r="AD62">
            <v>19</v>
          </cell>
          <cell r="AE62">
            <v>19</v>
          </cell>
          <cell r="AF62">
            <v>19</v>
          </cell>
          <cell r="AG62">
            <v>19</v>
          </cell>
          <cell r="AI62">
            <v>3718</v>
          </cell>
          <cell r="AK62">
            <v>425219</v>
          </cell>
          <cell r="AL62">
            <v>345420</v>
          </cell>
          <cell r="AM62">
            <v>79799</v>
          </cell>
          <cell r="AN62">
            <v>334121</v>
          </cell>
          <cell r="AO62">
            <v>218857</v>
          </cell>
          <cell r="AP62">
            <v>115264</v>
          </cell>
          <cell r="AR62">
            <v>427999.05713247578</v>
          </cell>
          <cell r="AS62">
            <v>280349.30353627057</v>
          </cell>
          <cell r="AT62">
            <v>147649.75359620524</v>
          </cell>
          <cell r="AV62">
            <v>0.41</v>
          </cell>
          <cell r="AW62">
            <v>0.32700000000000001</v>
          </cell>
          <cell r="AX62">
            <v>0.75900000000000001</v>
          </cell>
          <cell r="AZ62">
            <v>0.30299999999999999</v>
          </cell>
          <cell r="BA62">
            <v>0.33600000000000002</v>
          </cell>
          <cell r="BB62">
            <v>0.16699999999999998</v>
          </cell>
          <cell r="BD62">
            <v>127267</v>
          </cell>
          <cell r="BE62">
            <v>57757</v>
          </cell>
          <cell r="BF62">
            <v>69510</v>
          </cell>
          <cell r="BH62">
            <v>0.28298615387148135</v>
          </cell>
          <cell r="BI62">
            <v>0.19606376479301316</v>
          </cell>
          <cell r="BJ62">
            <v>0.44802964799407219</v>
          </cell>
        </row>
        <row r="63">
          <cell r="B63">
            <v>55</v>
          </cell>
          <cell r="C63">
            <v>13</v>
          </cell>
          <cell r="D63">
            <v>1</v>
          </cell>
          <cell r="E63" t="str">
            <v>Gautam Buddha Nagar</v>
          </cell>
          <cell r="F63" t="str">
            <v>New</v>
          </cell>
          <cell r="G63">
            <v>1</v>
          </cell>
          <cell r="H63">
            <v>0</v>
          </cell>
          <cell r="I63">
            <v>0</v>
          </cell>
          <cell r="J63">
            <v>0</v>
          </cell>
          <cell r="K63">
            <v>893563</v>
          </cell>
          <cell r="L63">
            <v>597351</v>
          </cell>
          <cell r="M63">
            <v>296212</v>
          </cell>
          <cell r="N63">
            <v>1191263</v>
          </cell>
          <cell r="O63">
            <v>753051</v>
          </cell>
          <cell r="P63">
            <v>438212</v>
          </cell>
          <cell r="Q63">
            <v>37.64</v>
          </cell>
          <cell r="R63">
            <v>35.700000000000003</v>
          </cell>
          <cell r="S63">
            <v>3.2462927349978798E-2</v>
          </cell>
          <cell r="T63">
            <v>3.0998384476280005E-2</v>
          </cell>
          <cell r="U63">
            <v>2.9172676359748628E-2</v>
          </cell>
          <cell r="W63">
            <v>142</v>
          </cell>
          <cell r="X63">
            <v>148</v>
          </cell>
          <cell r="Y63">
            <v>149</v>
          </cell>
          <cell r="Z63">
            <v>149</v>
          </cell>
          <cell r="AA63">
            <v>149</v>
          </cell>
          <cell r="AC63">
            <v>13976</v>
          </cell>
          <cell r="AD63">
            <v>14212</v>
          </cell>
          <cell r="AE63">
            <v>14484</v>
          </cell>
          <cell r="AF63">
            <v>14752</v>
          </cell>
          <cell r="AG63">
            <v>15118</v>
          </cell>
          <cell r="AI63">
            <v>1269</v>
          </cell>
          <cell r="AK63">
            <v>0</v>
          </cell>
          <cell r="AL63">
            <v>0</v>
          </cell>
          <cell r="AM63">
            <v>0</v>
          </cell>
          <cell r="AN63">
            <v>136156</v>
          </cell>
          <cell r="AO63">
            <v>89185</v>
          </cell>
          <cell r="AP63">
            <v>46971</v>
          </cell>
          <cell r="AR63">
            <v>174411.78382361293</v>
          </cell>
          <cell r="AS63">
            <v>114243.33074053966</v>
          </cell>
          <cell r="AT63">
            <v>60168.453083073262</v>
          </cell>
          <cell r="AV63">
            <v>0.41</v>
          </cell>
          <cell r="AW63">
            <v>0.32700000000000001</v>
          </cell>
          <cell r="AX63">
            <v>0.75900000000000001</v>
          </cell>
          <cell r="AZ63">
            <v>0.30299999999999999</v>
          </cell>
          <cell r="BA63">
            <v>0.33600000000000002</v>
          </cell>
          <cell r="BB63">
            <v>0.16699999999999998</v>
          </cell>
          <cell r="BD63">
            <v>80666</v>
          </cell>
          <cell r="BE63">
            <v>0</v>
          </cell>
          <cell r="BF63">
            <v>80666</v>
          </cell>
          <cell r="BH63">
            <v>0.44015626739285751</v>
          </cell>
          <cell r="BI63">
            <v>0</v>
          </cell>
          <cell r="BJ63">
            <v>1.2758918639829235</v>
          </cell>
        </row>
        <row r="64">
          <cell r="B64">
            <v>56</v>
          </cell>
          <cell r="C64">
            <v>13</v>
          </cell>
          <cell r="D64">
            <v>1</v>
          </cell>
          <cell r="E64" t="str">
            <v>Ghaziabad</v>
          </cell>
          <cell r="F64" t="str">
            <v>Split</v>
          </cell>
          <cell r="G64">
            <v>2</v>
          </cell>
          <cell r="H64">
            <v>2703933</v>
          </cell>
          <cell r="I64">
            <v>1455673</v>
          </cell>
          <cell r="J64">
            <v>1248260</v>
          </cell>
          <cell r="K64">
            <v>2467475</v>
          </cell>
          <cell r="L64">
            <v>1649519</v>
          </cell>
          <cell r="M64">
            <v>817956</v>
          </cell>
          <cell r="N64">
            <v>3289540</v>
          </cell>
          <cell r="O64">
            <v>1473559</v>
          </cell>
          <cell r="P64">
            <v>1815981</v>
          </cell>
          <cell r="Q64">
            <v>40.9</v>
          </cell>
          <cell r="R64">
            <v>47.47</v>
          </cell>
          <cell r="S64">
            <v>3.488263410939596E-2</v>
          </cell>
          <cell r="T64">
            <v>3.9609807780575768E-2</v>
          </cell>
          <cell r="U64">
            <v>2.917266095740656E-2</v>
          </cell>
          <cell r="W64">
            <v>656</v>
          </cell>
          <cell r="X64">
            <v>661</v>
          </cell>
          <cell r="Y64">
            <v>666</v>
          </cell>
          <cell r="Z64">
            <v>666</v>
          </cell>
          <cell r="AA64">
            <v>666</v>
          </cell>
          <cell r="AC64">
            <v>6245</v>
          </cell>
          <cell r="AD64">
            <v>6295</v>
          </cell>
          <cell r="AE64">
            <v>6355</v>
          </cell>
          <cell r="AF64">
            <v>6393</v>
          </cell>
          <cell r="AG64">
            <v>6404</v>
          </cell>
          <cell r="AI64">
            <v>1956</v>
          </cell>
          <cell r="AK64">
            <v>421039</v>
          </cell>
          <cell r="AL64">
            <v>208898</v>
          </cell>
          <cell r="AM64">
            <v>212141</v>
          </cell>
          <cell r="AN64">
            <v>375981</v>
          </cell>
          <cell r="AO64">
            <v>246276</v>
          </cell>
          <cell r="AP64">
            <v>129705</v>
          </cell>
          <cell r="AR64">
            <v>481620.47132543416</v>
          </cell>
          <cell r="AS64">
            <v>315472.2265118254</v>
          </cell>
          <cell r="AT64">
            <v>166148.24481360876</v>
          </cell>
          <cell r="AV64">
            <v>0.41</v>
          </cell>
          <cell r="AW64">
            <v>0.32700000000000001</v>
          </cell>
          <cell r="AX64">
            <v>0.75900000000000001</v>
          </cell>
          <cell r="AZ64">
            <v>0.30299999999999999</v>
          </cell>
          <cell r="BA64">
            <v>0.33600000000000002</v>
          </cell>
          <cell r="BB64">
            <v>0.16699999999999998</v>
          </cell>
          <cell r="BD64">
            <v>363146</v>
          </cell>
          <cell r="BE64">
            <v>87694</v>
          </cell>
          <cell r="BF64">
            <v>275452</v>
          </cell>
          <cell r="BH64">
            <v>0.71757701387563022</v>
          </cell>
          <cell r="BI64">
            <v>0.26454584279498849</v>
          </cell>
          <cell r="BJ64">
            <v>1.5777651692208838</v>
          </cell>
        </row>
        <row r="65">
          <cell r="B65">
            <v>57</v>
          </cell>
          <cell r="C65">
            <v>13</v>
          </cell>
          <cell r="D65">
            <v>1</v>
          </cell>
          <cell r="E65" t="str">
            <v>Meerut</v>
          </cell>
          <cell r="F65" t="str">
            <v>Split</v>
          </cell>
          <cell r="G65">
            <v>2</v>
          </cell>
          <cell r="H65">
            <v>3447912</v>
          </cell>
          <cell r="I65">
            <v>2171355</v>
          </cell>
          <cell r="J65">
            <v>1276557</v>
          </cell>
          <cell r="K65">
            <v>2484234</v>
          </cell>
          <cell r="L65">
            <v>1564470</v>
          </cell>
          <cell r="M65">
            <v>919764</v>
          </cell>
          <cell r="N65">
            <v>3001636</v>
          </cell>
          <cell r="O65">
            <v>1544542</v>
          </cell>
          <cell r="P65">
            <v>1457094</v>
          </cell>
          <cell r="Q65">
            <v>24.91</v>
          </cell>
          <cell r="R65">
            <v>24.16</v>
          </cell>
          <cell r="S65">
            <v>2.2491534005144365E-2</v>
          </cell>
          <cell r="T65">
            <v>2.1875931890339206E-2</v>
          </cell>
          <cell r="U65">
            <v>1.9099415271484732E-2</v>
          </cell>
          <cell r="W65">
            <v>0</v>
          </cell>
          <cell r="X65">
            <v>0</v>
          </cell>
          <cell r="Y65">
            <v>0</v>
          </cell>
          <cell r="Z65">
            <v>0</v>
          </cell>
          <cell r="AA65">
            <v>0</v>
          </cell>
          <cell r="AC65">
            <v>2</v>
          </cell>
          <cell r="AD65">
            <v>2</v>
          </cell>
          <cell r="AE65">
            <v>2</v>
          </cell>
          <cell r="AF65">
            <v>2</v>
          </cell>
          <cell r="AG65">
            <v>2</v>
          </cell>
          <cell r="AI65">
            <v>2522</v>
          </cell>
          <cell r="AK65">
            <v>501289</v>
          </cell>
          <cell r="AL65">
            <v>318185</v>
          </cell>
          <cell r="AM65">
            <v>183104</v>
          </cell>
          <cell r="AN65">
            <v>361181</v>
          </cell>
          <cell r="AO65">
            <v>229254</v>
          </cell>
          <cell r="AP65">
            <v>131927</v>
          </cell>
          <cell r="AR65">
            <v>462662.11179232894</v>
          </cell>
          <cell r="AS65">
            <v>293667.55110827694</v>
          </cell>
          <cell r="AT65">
            <v>168994.56068405198</v>
          </cell>
          <cell r="AV65">
            <v>0.41</v>
          </cell>
          <cell r="AW65">
            <v>0.32700000000000001</v>
          </cell>
          <cell r="AX65">
            <v>0.75900000000000001</v>
          </cell>
          <cell r="AZ65">
            <v>0.30299999999999999</v>
          </cell>
          <cell r="BA65">
            <v>0.33600000000000002</v>
          </cell>
          <cell r="BB65">
            <v>0.16699999999999998</v>
          </cell>
          <cell r="BD65">
            <v>250995</v>
          </cell>
          <cell r="BE65">
            <v>90055</v>
          </cell>
          <cell r="BF65">
            <v>160940</v>
          </cell>
          <cell r="BH65">
            <v>0.51628953998705251</v>
          </cell>
          <cell r="BI65">
            <v>0.29183949218209543</v>
          </cell>
          <cell r="BJ65">
            <v>0.90632396250463898</v>
          </cell>
        </row>
        <row r="66">
          <cell r="B66">
            <v>58</v>
          </cell>
          <cell r="C66">
            <v>14</v>
          </cell>
          <cell r="D66">
            <v>4</v>
          </cell>
          <cell r="E66" t="str">
            <v>Mirzapur</v>
          </cell>
          <cell r="H66">
            <v>1657139</v>
          </cell>
          <cell r="I66">
            <v>1428499</v>
          </cell>
          <cell r="J66">
            <v>228640</v>
          </cell>
          <cell r="K66">
            <v>1657139</v>
          </cell>
          <cell r="L66">
            <v>1428499</v>
          </cell>
          <cell r="M66">
            <v>228640</v>
          </cell>
          <cell r="N66">
            <v>2114852</v>
          </cell>
          <cell r="O66">
            <v>1828102</v>
          </cell>
          <cell r="P66">
            <v>286750</v>
          </cell>
          <cell r="Q66">
            <v>31.4</v>
          </cell>
          <cell r="R66">
            <v>27.62</v>
          </cell>
          <cell r="S66">
            <v>2.768386149316715E-2</v>
          </cell>
          <cell r="T66">
            <v>2.4688527955109452E-2</v>
          </cell>
          <cell r="U66">
            <v>2.4689071016630315E-2</v>
          </cell>
          <cell r="W66">
            <v>522</v>
          </cell>
          <cell r="X66">
            <v>524</v>
          </cell>
          <cell r="Y66">
            <v>528</v>
          </cell>
          <cell r="Z66">
            <v>528</v>
          </cell>
          <cell r="AA66">
            <v>528</v>
          </cell>
          <cell r="AC66">
            <v>1711</v>
          </cell>
          <cell r="AD66">
            <v>1761</v>
          </cell>
          <cell r="AE66">
            <v>1827</v>
          </cell>
          <cell r="AF66">
            <v>1906</v>
          </cell>
          <cell r="AG66">
            <v>1943</v>
          </cell>
          <cell r="AI66">
            <v>4522</v>
          </cell>
          <cell r="AK66">
            <v>233908</v>
          </cell>
          <cell r="AL66">
            <v>204543</v>
          </cell>
          <cell r="AM66">
            <v>29365</v>
          </cell>
          <cell r="AN66">
            <v>233908</v>
          </cell>
          <cell r="AO66">
            <v>204543</v>
          </cell>
          <cell r="AP66">
            <v>29365</v>
          </cell>
          <cell r="AR66">
            <v>299629.1865992953</v>
          </cell>
          <cell r="AS66">
            <v>262013.49553918489</v>
          </cell>
          <cell r="AT66">
            <v>37615.69106011041</v>
          </cell>
          <cell r="AV66">
            <v>0.41</v>
          </cell>
          <cell r="AW66">
            <v>0.32700000000000001</v>
          </cell>
          <cell r="AX66">
            <v>0.75900000000000001</v>
          </cell>
          <cell r="AZ66">
            <v>0.30299999999999999</v>
          </cell>
          <cell r="BA66">
            <v>0.33600000000000002</v>
          </cell>
          <cell r="BB66">
            <v>0.16699999999999998</v>
          </cell>
          <cell r="BD66">
            <v>78459</v>
          </cell>
          <cell r="BE66">
            <v>48196</v>
          </cell>
          <cell r="BF66">
            <v>30263</v>
          </cell>
          <cell r="BH66">
            <v>0.24920161083589282</v>
          </cell>
          <cell r="BI66">
            <v>0.17505701816770766</v>
          </cell>
          <cell r="BJ66">
            <v>0.76565852955302571</v>
          </cell>
        </row>
        <row r="67">
          <cell r="B67">
            <v>59</v>
          </cell>
          <cell r="C67">
            <v>14</v>
          </cell>
          <cell r="D67">
            <v>4</v>
          </cell>
          <cell r="E67" t="str">
            <v>Sant Ravidas Nagar Bhadohi</v>
          </cell>
          <cell r="F67" t="str">
            <v>New</v>
          </cell>
          <cell r="G67">
            <v>1</v>
          </cell>
          <cell r="H67">
            <v>0</v>
          </cell>
          <cell r="I67">
            <v>0</v>
          </cell>
          <cell r="J67">
            <v>0</v>
          </cell>
          <cell r="K67">
            <v>1070364</v>
          </cell>
          <cell r="L67">
            <v>779187</v>
          </cell>
          <cell r="M67">
            <v>291177</v>
          </cell>
          <cell r="N67">
            <v>1352056</v>
          </cell>
          <cell r="O67">
            <v>1179423</v>
          </cell>
          <cell r="P67">
            <v>172633</v>
          </cell>
          <cell r="Q67">
            <v>38.159999999999997</v>
          </cell>
          <cell r="R67">
            <v>25.47</v>
          </cell>
          <cell r="S67">
            <v>3.2852327347188126E-2</v>
          </cell>
          <cell r="T67">
            <v>2.2949018069388538E-2</v>
          </cell>
          <cell r="U67">
            <v>2.3637809033460133E-2</v>
          </cell>
          <cell r="W67">
            <v>697</v>
          </cell>
          <cell r="X67">
            <v>702</v>
          </cell>
          <cell r="Y67">
            <v>706</v>
          </cell>
          <cell r="Z67">
            <v>706</v>
          </cell>
          <cell r="AA67">
            <v>706</v>
          </cell>
          <cell r="AC67">
            <v>4777</v>
          </cell>
          <cell r="AD67">
            <v>4841</v>
          </cell>
          <cell r="AE67">
            <v>4992</v>
          </cell>
          <cell r="AF67">
            <v>5060</v>
          </cell>
          <cell r="AG67">
            <v>5135</v>
          </cell>
          <cell r="AI67">
            <v>960</v>
          </cell>
          <cell r="AK67">
            <v>0</v>
          </cell>
          <cell r="AL67">
            <v>0</v>
          </cell>
          <cell r="AM67">
            <v>0</v>
          </cell>
          <cell r="AN67">
            <v>135180</v>
          </cell>
          <cell r="AO67">
            <v>98839</v>
          </cell>
          <cell r="AP67">
            <v>36341</v>
          </cell>
          <cell r="AR67">
            <v>173161.55687061895</v>
          </cell>
          <cell r="AS67">
            <v>126609.81742517464</v>
          </cell>
          <cell r="AT67">
            <v>46551.73944544432</v>
          </cell>
          <cell r="AV67">
            <v>0.41</v>
          </cell>
          <cell r="AW67">
            <v>0.32700000000000001</v>
          </cell>
          <cell r="AX67">
            <v>0.75900000000000001</v>
          </cell>
          <cell r="AZ67">
            <v>0.30299999999999999</v>
          </cell>
          <cell r="BA67">
            <v>0.33600000000000002</v>
          </cell>
          <cell r="BB67">
            <v>0.16699999999999998</v>
          </cell>
          <cell r="BD67">
            <v>42836</v>
          </cell>
          <cell r="BE67">
            <v>22993</v>
          </cell>
          <cell r="BF67">
            <v>19843</v>
          </cell>
          <cell r="BH67">
            <v>0.23542339598310361</v>
          </cell>
          <cell r="BI67">
            <v>0.17283052486549333</v>
          </cell>
          <cell r="BJ67">
            <v>0.40566133077833433</v>
          </cell>
        </row>
        <row r="68">
          <cell r="B68">
            <v>60</v>
          </cell>
          <cell r="C68">
            <v>14</v>
          </cell>
          <cell r="D68">
            <v>4</v>
          </cell>
          <cell r="E68" t="str">
            <v>Sonbhadra</v>
          </cell>
          <cell r="H68">
            <v>1075041</v>
          </cell>
          <cell r="I68">
            <v>930958</v>
          </cell>
          <cell r="J68">
            <v>144083</v>
          </cell>
          <cell r="K68">
            <v>1075041</v>
          </cell>
          <cell r="L68">
            <v>930958</v>
          </cell>
          <cell r="M68">
            <v>144083</v>
          </cell>
          <cell r="N68">
            <v>1463468</v>
          </cell>
          <cell r="O68">
            <v>1186754</v>
          </cell>
          <cell r="P68">
            <v>276714</v>
          </cell>
          <cell r="Q68">
            <v>38.18</v>
          </cell>
          <cell r="R68">
            <v>36.130000000000003</v>
          </cell>
          <cell r="S68">
            <v>3.2867277912497883E-2</v>
          </cell>
          <cell r="T68">
            <v>3.1324617645245967E-2</v>
          </cell>
          <cell r="U68">
            <v>3.132565264149223E-2</v>
          </cell>
          <cell r="W68">
            <v>597</v>
          </cell>
          <cell r="X68">
            <v>597</v>
          </cell>
          <cell r="Y68">
            <v>602</v>
          </cell>
          <cell r="Z68">
            <v>602</v>
          </cell>
          <cell r="AA68">
            <v>602</v>
          </cell>
          <cell r="AC68">
            <v>9142</v>
          </cell>
          <cell r="AD68">
            <v>9216</v>
          </cell>
          <cell r="AE68">
            <v>9698</v>
          </cell>
          <cell r="AF68">
            <v>9954</v>
          </cell>
          <cell r="AG68">
            <v>10099</v>
          </cell>
          <cell r="AI68">
            <v>6788</v>
          </cell>
          <cell r="AK68">
            <v>192584</v>
          </cell>
          <cell r="AL68">
            <v>162303</v>
          </cell>
          <cell r="AM68">
            <v>30281</v>
          </cell>
          <cell r="AN68">
            <v>192584</v>
          </cell>
          <cell r="AO68">
            <v>162303</v>
          </cell>
          <cell r="AP68">
            <v>30281</v>
          </cell>
          <cell r="AR68">
            <v>246694.37245429266</v>
          </cell>
          <cell r="AS68">
            <v>207905.31265551169</v>
          </cell>
          <cell r="AT68">
            <v>38789.059798780982</v>
          </cell>
          <cell r="AV68">
            <v>0.41</v>
          </cell>
          <cell r="AW68">
            <v>0.32700000000000001</v>
          </cell>
          <cell r="AX68">
            <v>0.75900000000000001</v>
          </cell>
          <cell r="AZ68">
            <v>0.30299999999999999</v>
          </cell>
          <cell r="BA68">
            <v>0.33600000000000002</v>
          </cell>
          <cell r="BB68">
            <v>0.16699999999999998</v>
          </cell>
          <cell r="BD68">
            <v>23798</v>
          </cell>
          <cell r="BE68">
            <v>7745</v>
          </cell>
          <cell r="BF68">
            <v>16053</v>
          </cell>
          <cell r="BH68">
            <v>9.1806495533818477E-2</v>
          </cell>
          <cell r="BI68">
            <v>3.5452594803726992E-2</v>
          </cell>
          <cell r="BJ68">
            <v>0.39385752258695533</v>
          </cell>
        </row>
        <row r="69">
          <cell r="B69">
            <v>61</v>
          </cell>
          <cell r="C69">
            <v>15</v>
          </cell>
          <cell r="D69">
            <v>1</v>
          </cell>
          <cell r="E69" t="str">
            <v>Bijnor</v>
          </cell>
          <cell r="H69">
            <v>2454521</v>
          </cell>
          <cell r="I69">
            <v>1839169</v>
          </cell>
          <cell r="J69">
            <v>615352</v>
          </cell>
          <cell r="K69">
            <v>2454521</v>
          </cell>
          <cell r="L69">
            <v>1839169</v>
          </cell>
          <cell r="M69">
            <v>615352</v>
          </cell>
          <cell r="N69">
            <v>3130586</v>
          </cell>
          <cell r="O69">
            <v>2369001</v>
          </cell>
          <cell r="P69">
            <v>761585</v>
          </cell>
          <cell r="Q69">
            <v>27.76</v>
          </cell>
          <cell r="R69">
            <v>27.16</v>
          </cell>
          <cell r="S69">
            <v>2.4800881524607021E-2</v>
          </cell>
          <cell r="T69">
            <v>2.4318583577521258E-2</v>
          </cell>
          <cell r="U69">
            <v>2.4627219070865403E-2</v>
          </cell>
          <cell r="W69">
            <v>971</v>
          </cell>
          <cell r="X69">
            <v>971</v>
          </cell>
          <cell r="Y69">
            <v>975</v>
          </cell>
          <cell r="Z69">
            <v>975</v>
          </cell>
          <cell r="AA69">
            <v>975</v>
          </cell>
          <cell r="AC69">
            <v>25546</v>
          </cell>
          <cell r="AD69">
            <v>25746</v>
          </cell>
          <cell r="AE69">
            <v>26203</v>
          </cell>
          <cell r="AF69">
            <v>26593</v>
          </cell>
          <cell r="AG69">
            <v>26788</v>
          </cell>
          <cell r="AI69">
            <v>4561</v>
          </cell>
          <cell r="AK69">
            <v>372875</v>
          </cell>
          <cell r="AL69">
            <v>286469</v>
          </cell>
          <cell r="AM69">
            <v>86406</v>
          </cell>
          <cell r="AN69">
            <v>372875</v>
          </cell>
          <cell r="AO69">
            <v>286469</v>
          </cell>
          <cell r="AP69">
            <v>86406</v>
          </cell>
          <cell r="AR69">
            <v>477641.77776395949</v>
          </cell>
          <cell r="AS69">
            <v>366958.26331683196</v>
          </cell>
          <cell r="AT69">
            <v>110683.51444712754</v>
          </cell>
          <cell r="AV69">
            <v>0.41</v>
          </cell>
          <cell r="AW69">
            <v>0.32700000000000001</v>
          </cell>
          <cell r="AX69">
            <v>0.75900000000000001</v>
          </cell>
          <cell r="AZ69">
            <v>0.30299999999999999</v>
          </cell>
          <cell r="BA69">
            <v>0.33600000000000002</v>
          </cell>
          <cell r="BB69">
            <v>0.16699999999999998</v>
          </cell>
          <cell r="BD69">
            <v>161879</v>
          </cell>
          <cell r="BE69">
            <v>93207</v>
          </cell>
          <cell r="BF69">
            <v>68672</v>
          </cell>
          <cell r="BH69">
            <v>0.32253763624540649</v>
          </cell>
          <cell r="BI69">
            <v>0.24172638101876123</v>
          </cell>
          <cell r="BJ69">
            <v>0.59045791346599108</v>
          </cell>
        </row>
        <row r="70">
          <cell r="B70">
            <v>62</v>
          </cell>
          <cell r="C70">
            <v>15</v>
          </cell>
          <cell r="D70">
            <v>1</v>
          </cell>
          <cell r="E70" t="str">
            <v>Jyotiba Phule Nagar</v>
          </cell>
          <cell r="F70" t="str">
            <v>New</v>
          </cell>
          <cell r="G70">
            <v>1</v>
          </cell>
          <cell r="H70">
            <v>0</v>
          </cell>
          <cell r="I70">
            <v>0</v>
          </cell>
          <cell r="J70">
            <v>0</v>
          </cell>
          <cell r="K70">
            <v>1177068</v>
          </cell>
          <cell r="L70">
            <v>851608</v>
          </cell>
          <cell r="M70">
            <v>325460</v>
          </cell>
          <cell r="N70">
            <v>1499193</v>
          </cell>
          <cell r="O70">
            <v>1129758</v>
          </cell>
          <cell r="P70">
            <v>369435</v>
          </cell>
          <cell r="Q70">
            <v>28.25</v>
          </cell>
          <cell r="R70">
            <v>29.72</v>
          </cell>
          <cell r="S70">
            <v>2.5193248361054188E-2</v>
          </cell>
          <cell r="T70">
            <v>2.636230638392334E-2</v>
          </cell>
          <cell r="U70">
            <v>2.4484988701083843E-2</v>
          </cell>
          <cell r="W70">
            <v>6</v>
          </cell>
          <cell r="X70">
            <v>6</v>
          </cell>
          <cell r="Y70">
            <v>9</v>
          </cell>
          <cell r="Z70">
            <v>9</v>
          </cell>
          <cell r="AA70">
            <v>9</v>
          </cell>
          <cell r="AC70">
            <v>0</v>
          </cell>
          <cell r="AD70">
            <v>175</v>
          </cell>
          <cell r="AE70">
            <v>0</v>
          </cell>
          <cell r="AF70">
            <v>0</v>
          </cell>
          <cell r="AG70">
            <v>0</v>
          </cell>
          <cell r="AI70">
            <v>2321</v>
          </cell>
          <cell r="AK70">
            <v>0</v>
          </cell>
          <cell r="AL70">
            <v>0</v>
          </cell>
          <cell r="AM70">
            <v>0</v>
          </cell>
          <cell r="AN70">
            <v>172103</v>
          </cell>
          <cell r="AO70">
            <v>128464</v>
          </cell>
          <cell r="AP70">
            <v>43639</v>
          </cell>
          <cell r="AR70">
            <v>220458.82099500025</v>
          </cell>
          <cell r="AS70">
            <v>164558.56074735313</v>
          </cell>
          <cell r="AT70">
            <v>55900.260247647144</v>
          </cell>
          <cell r="AV70">
            <v>0.41</v>
          </cell>
          <cell r="AW70">
            <v>0.32700000000000001</v>
          </cell>
          <cell r="AX70">
            <v>0.75900000000000001</v>
          </cell>
          <cell r="AZ70">
            <v>0.30299999999999999</v>
          </cell>
          <cell r="BA70">
            <v>0.33600000000000002</v>
          </cell>
          <cell r="BB70">
            <v>0.16699999999999998</v>
          </cell>
          <cell r="BD70">
            <v>38159</v>
          </cell>
          <cell r="BE70">
            <v>11529</v>
          </cell>
          <cell r="BF70">
            <v>26630</v>
          </cell>
          <cell r="BH70">
            <v>0.16472582699065666</v>
          </cell>
          <cell r="BI70">
            <v>6.6675050137284197E-2</v>
          </cell>
          <cell r="BJ70">
            <v>0.45336660697396602</v>
          </cell>
        </row>
        <row r="71">
          <cell r="B71">
            <v>63</v>
          </cell>
          <cell r="C71">
            <v>15</v>
          </cell>
          <cell r="D71">
            <v>1</v>
          </cell>
          <cell r="E71" t="str">
            <v>Moradabad</v>
          </cell>
          <cell r="F71" t="str">
            <v>Split</v>
          </cell>
          <cell r="G71">
            <v>2</v>
          </cell>
          <cell r="H71">
            <v>4121035</v>
          </cell>
          <cell r="I71">
            <v>2981566</v>
          </cell>
          <cell r="J71">
            <v>1139469</v>
          </cell>
          <cell r="K71">
            <v>2943967</v>
          </cell>
          <cell r="L71">
            <v>2129958</v>
          </cell>
          <cell r="M71">
            <v>814009</v>
          </cell>
          <cell r="N71">
            <v>3749630</v>
          </cell>
          <cell r="O71">
            <v>2586152</v>
          </cell>
          <cell r="P71">
            <v>1163478</v>
          </cell>
          <cell r="Q71">
            <v>31.89</v>
          </cell>
          <cell r="R71">
            <v>26.45</v>
          </cell>
          <cell r="S71">
            <v>2.8066450579064206E-2</v>
          </cell>
          <cell r="T71">
            <v>2.3745211448876979E-2</v>
          </cell>
          <cell r="U71">
            <v>2.4484867213547812E-2</v>
          </cell>
          <cell r="W71">
            <v>638</v>
          </cell>
          <cell r="X71">
            <v>640</v>
          </cell>
          <cell r="Y71">
            <v>641</v>
          </cell>
          <cell r="Z71">
            <v>641</v>
          </cell>
          <cell r="AA71">
            <v>641</v>
          </cell>
          <cell r="AC71">
            <v>8628</v>
          </cell>
          <cell r="AD71">
            <v>8807</v>
          </cell>
          <cell r="AE71">
            <v>8945</v>
          </cell>
          <cell r="AF71">
            <v>9006</v>
          </cell>
          <cell r="AG71">
            <v>9041</v>
          </cell>
          <cell r="AI71">
            <v>3647</v>
          </cell>
          <cell r="AK71">
            <v>602550</v>
          </cell>
          <cell r="AL71">
            <v>449767</v>
          </cell>
          <cell r="AM71">
            <v>152783</v>
          </cell>
          <cell r="AN71">
            <v>430447</v>
          </cell>
          <cell r="AO71">
            <v>321303</v>
          </cell>
          <cell r="AP71">
            <v>109144</v>
          </cell>
          <cell r="AR71">
            <v>551389.79634773871</v>
          </cell>
          <cell r="AS71">
            <v>411579.58061252022</v>
          </cell>
          <cell r="AT71">
            <v>139810.21573521849</v>
          </cell>
          <cell r="AV71">
            <v>0.41</v>
          </cell>
          <cell r="AW71">
            <v>0.32700000000000001</v>
          </cell>
          <cell r="AX71">
            <v>0.75900000000000001</v>
          </cell>
          <cell r="AZ71">
            <v>0.30299999999999999</v>
          </cell>
          <cell r="BA71">
            <v>0.33600000000000002</v>
          </cell>
          <cell r="BB71">
            <v>0.16699999999999998</v>
          </cell>
          <cell r="BD71">
            <v>176984</v>
          </cell>
          <cell r="BE71">
            <v>60869</v>
          </cell>
          <cell r="BF71">
            <v>116115</v>
          </cell>
          <cell r="BH71">
            <v>0.30546923219786748</v>
          </cell>
          <cell r="BI71">
            <v>0.1407455066244844</v>
          </cell>
          <cell r="BJ71">
            <v>0.79039031991597131</v>
          </cell>
        </row>
        <row r="72">
          <cell r="B72">
            <v>64</v>
          </cell>
          <cell r="C72">
            <v>15</v>
          </cell>
          <cell r="D72">
            <v>1</v>
          </cell>
          <cell r="E72" t="str">
            <v>Rampur</v>
          </cell>
          <cell r="H72">
            <v>1502141</v>
          </cell>
          <cell r="I72">
            <v>1109425</v>
          </cell>
          <cell r="J72">
            <v>392716</v>
          </cell>
          <cell r="K72">
            <v>1502141</v>
          </cell>
          <cell r="L72">
            <v>1109425</v>
          </cell>
          <cell r="M72">
            <v>392716</v>
          </cell>
          <cell r="N72">
            <v>1922450</v>
          </cell>
          <cell r="O72">
            <v>1442386</v>
          </cell>
          <cell r="P72">
            <v>480064</v>
          </cell>
          <cell r="Q72">
            <v>27.45</v>
          </cell>
          <cell r="R72">
            <v>27.98</v>
          </cell>
          <cell r="S72">
            <v>2.4551949395413608E-2</v>
          </cell>
          <cell r="T72">
            <v>2.4977213459784542E-2</v>
          </cell>
          <cell r="U72">
            <v>2.4977743861476887E-2</v>
          </cell>
          <cell r="W72">
            <v>0</v>
          </cell>
          <cell r="X72">
            <v>0</v>
          </cell>
          <cell r="Y72">
            <v>0</v>
          </cell>
          <cell r="Z72">
            <v>0</v>
          </cell>
          <cell r="AA72">
            <v>0</v>
          </cell>
          <cell r="AC72">
            <v>21</v>
          </cell>
          <cell r="AD72">
            <v>21</v>
          </cell>
          <cell r="AE72">
            <v>21</v>
          </cell>
          <cell r="AF72">
            <v>21</v>
          </cell>
          <cell r="AG72">
            <v>21</v>
          </cell>
          <cell r="AI72">
            <v>2367</v>
          </cell>
          <cell r="AK72">
            <v>224785</v>
          </cell>
          <cell r="AL72">
            <v>170500</v>
          </cell>
          <cell r="AM72">
            <v>54285</v>
          </cell>
          <cell r="AN72">
            <v>224785</v>
          </cell>
          <cell r="AO72">
            <v>170500</v>
          </cell>
          <cell r="AP72">
            <v>54285</v>
          </cell>
          <cell r="AR72">
            <v>287942.8951114224</v>
          </cell>
          <cell r="AS72">
            <v>218405.42570232676</v>
          </cell>
          <cell r="AT72">
            <v>69537.469409095647</v>
          </cell>
          <cell r="AV72">
            <v>0.41</v>
          </cell>
          <cell r="AW72">
            <v>0.32700000000000001</v>
          </cell>
          <cell r="AX72">
            <v>0.75900000000000001</v>
          </cell>
          <cell r="AZ72">
            <v>0.30299999999999999</v>
          </cell>
          <cell r="BA72">
            <v>0.33600000000000002</v>
          </cell>
          <cell r="BB72">
            <v>0.16699999999999998</v>
          </cell>
          <cell r="BD72">
            <v>57996</v>
          </cell>
          <cell r="BE72">
            <v>26654</v>
          </cell>
          <cell r="BF72">
            <v>31342</v>
          </cell>
          <cell r="BH72">
            <v>0.19168311849293929</v>
          </cell>
          <cell r="BI72">
            <v>0.11614249793283994</v>
          </cell>
          <cell r="BJ72">
            <v>0.42894342622982679</v>
          </cell>
        </row>
        <row r="73">
          <cell r="B73">
            <v>65</v>
          </cell>
          <cell r="C73">
            <v>16</v>
          </cell>
          <cell r="D73">
            <v>1</v>
          </cell>
          <cell r="E73" t="str">
            <v>Muzaffarnagar</v>
          </cell>
          <cell r="H73">
            <v>2842543</v>
          </cell>
          <cell r="I73">
            <v>2143313</v>
          </cell>
          <cell r="J73">
            <v>699230</v>
          </cell>
          <cell r="K73">
            <v>2842543</v>
          </cell>
          <cell r="L73">
            <v>2143313</v>
          </cell>
          <cell r="M73">
            <v>699230</v>
          </cell>
          <cell r="N73">
            <v>3541952</v>
          </cell>
          <cell r="O73">
            <v>2638123</v>
          </cell>
          <cell r="P73">
            <v>903829</v>
          </cell>
          <cell r="Q73">
            <v>26.42</v>
          </cell>
          <cell r="R73">
            <v>24.61</v>
          </cell>
          <cell r="S73">
            <v>2.372092071282661E-2</v>
          </cell>
          <cell r="T73">
            <v>2.2245693406858003E-2</v>
          </cell>
          <cell r="U73">
            <v>2.2241628923095336E-2</v>
          </cell>
          <cell r="W73">
            <v>205</v>
          </cell>
          <cell r="X73">
            <v>205</v>
          </cell>
          <cell r="Y73">
            <v>210</v>
          </cell>
          <cell r="Z73">
            <v>210</v>
          </cell>
          <cell r="AA73">
            <v>210</v>
          </cell>
          <cell r="AC73">
            <v>9444</v>
          </cell>
          <cell r="AD73">
            <v>9585</v>
          </cell>
          <cell r="AE73">
            <v>9726</v>
          </cell>
          <cell r="AF73">
            <v>9843</v>
          </cell>
          <cell r="AG73">
            <v>9965</v>
          </cell>
          <cell r="AI73">
            <v>4008</v>
          </cell>
          <cell r="AK73">
            <v>424027</v>
          </cell>
          <cell r="AL73">
            <v>324619</v>
          </cell>
          <cell r="AM73">
            <v>99408</v>
          </cell>
          <cell r="AN73">
            <v>424027</v>
          </cell>
          <cell r="AO73">
            <v>324619</v>
          </cell>
          <cell r="AP73">
            <v>99408</v>
          </cell>
          <cell r="AR73">
            <v>543165.967415135</v>
          </cell>
          <cell r="AS73">
            <v>415827.27792412677</v>
          </cell>
          <cell r="AT73">
            <v>127338.6894910082</v>
          </cell>
          <cell r="AV73">
            <v>0.41</v>
          </cell>
          <cell r="AW73">
            <v>0.32700000000000001</v>
          </cell>
          <cell r="AX73">
            <v>0.75900000000000001</v>
          </cell>
          <cell r="AZ73">
            <v>0.30299999999999999</v>
          </cell>
          <cell r="BA73">
            <v>0.33600000000000002</v>
          </cell>
          <cell r="BB73">
            <v>0.16699999999999998</v>
          </cell>
          <cell r="BD73">
            <v>221450</v>
          </cell>
          <cell r="BE73">
            <v>130889</v>
          </cell>
          <cell r="BF73">
            <v>90561</v>
          </cell>
          <cell r="BH73">
            <v>0.38800321634736418</v>
          </cell>
          <cell r="BI73">
            <v>0.29955899607652953</v>
          </cell>
          <cell r="BJ73">
            <v>0.67681975364917191</v>
          </cell>
        </row>
        <row r="74">
          <cell r="B74">
            <v>66</v>
          </cell>
          <cell r="C74">
            <v>16</v>
          </cell>
          <cell r="D74">
            <v>1</v>
          </cell>
          <cell r="E74" t="str">
            <v>Saharanpur</v>
          </cell>
          <cell r="H74">
            <v>2309029</v>
          </cell>
          <cell r="I74">
            <v>1719377</v>
          </cell>
          <cell r="J74">
            <v>589652</v>
          </cell>
          <cell r="K74">
            <v>2309029</v>
          </cell>
          <cell r="L74">
            <v>1719377</v>
          </cell>
          <cell r="M74">
            <v>589652</v>
          </cell>
          <cell r="N74">
            <v>2848152</v>
          </cell>
          <cell r="O74">
            <v>2103408</v>
          </cell>
          <cell r="P74">
            <v>744744</v>
          </cell>
          <cell r="Q74">
            <v>26.76</v>
          </cell>
          <cell r="R74">
            <v>23.35</v>
          </cell>
          <cell r="S74">
            <v>2.3995912472692504E-2</v>
          </cell>
          <cell r="T74">
            <v>2.1207311117154015E-2</v>
          </cell>
          <cell r="U74">
            <v>2.120604646314872E-2</v>
          </cell>
          <cell r="X74">
            <v>0</v>
          </cell>
          <cell r="Y74">
            <v>0</v>
          </cell>
          <cell r="Z74">
            <v>0</v>
          </cell>
          <cell r="AA74">
            <v>0</v>
          </cell>
          <cell r="AD74">
            <v>0</v>
          </cell>
          <cell r="AE74">
            <v>0</v>
          </cell>
          <cell r="AF74">
            <v>0</v>
          </cell>
          <cell r="AG74">
            <v>0</v>
          </cell>
          <cell r="AI74">
            <v>3689</v>
          </cell>
          <cell r="AK74">
            <v>367287</v>
          </cell>
          <cell r="AL74">
            <v>275735</v>
          </cell>
          <cell r="AM74">
            <v>91552</v>
          </cell>
          <cell r="AN74">
            <v>367287</v>
          </cell>
          <cell r="AO74">
            <v>275735</v>
          </cell>
          <cell r="AP74">
            <v>91552</v>
          </cell>
          <cell r="AR74">
            <v>470483.71606997354</v>
          </cell>
          <cell r="AS74">
            <v>353208.32877437578</v>
          </cell>
          <cell r="AT74">
            <v>117275.38729559777</v>
          </cell>
          <cell r="AV74">
            <v>0.41</v>
          </cell>
          <cell r="AW74">
            <v>0.32700000000000001</v>
          </cell>
          <cell r="AX74">
            <v>0.75900000000000001</v>
          </cell>
          <cell r="AZ74">
            <v>0.30299999999999999</v>
          </cell>
          <cell r="BA74">
            <v>0.33600000000000002</v>
          </cell>
          <cell r="BB74">
            <v>0.16699999999999998</v>
          </cell>
          <cell r="BD74">
            <v>191369</v>
          </cell>
          <cell r="BE74">
            <v>94914</v>
          </cell>
          <cell r="BF74">
            <v>96455</v>
          </cell>
          <cell r="BH74">
            <v>0.38709644499907664</v>
          </cell>
          <cell r="BI74">
            <v>0.25573580250499112</v>
          </cell>
          <cell r="BJ74">
            <v>0.78272654328318492</v>
          </cell>
        </row>
        <row r="75">
          <cell r="B75">
            <v>67</v>
          </cell>
          <cell r="C75">
            <v>17</v>
          </cell>
          <cell r="D75">
            <v>4</v>
          </cell>
          <cell r="E75" t="str">
            <v>Chandauli</v>
          </cell>
          <cell r="F75" t="str">
            <v>New</v>
          </cell>
          <cell r="G75">
            <v>1</v>
          </cell>
          <cell r="H75">
            <v>0</v>
          </cell>
          <cell r="I75">
            <v>0</v>
          </cell>
          <cell r="J75">
            <v>0</v>
          </cell>
          <cell r="K75">
            <v>1298141</v>
          </cell>
          <cell r="L75">
            <v>945002</v>
          </cell>
          <cell r="M75">
            <v>353139</v>
          </cell>
          <cell r="N75">
            <v>1639777</v>
          </cell>
          <cell r="O75">
            <v>1466354</v>
          </cell>
          <cell r="P75">
            <v>173423</v>
          </cell>
          <cell r="Q75">
            <v>27.33</v>
          </cell>
          <cell r="R75">
            <v>28.63</v>
          </cell>
          <cell r="S75">
            <v>2.4455442250034265E-2</v>
          </cell>
          <cell r="T75">
            <v>2.5496605067313327E-2</v>
          </cell>
          <cell r="U75">
            <v>2.3637747266854525E-2</v>
          </cell>
          <cell r="W75">
            <v>1</v>
          </cell>
          <cell r="X75">
            <v>1</v>
          </cell>
          <cell r="Y75">
            <v>1</v>
          </cell>
          <cell r="Z75">
            <v>1</v>
          </cell>
          <cell r="AA75">
            <v>1</v>
          </cell>
          <cell r="AC75">
            <v>0</v>
          </cell>
          <cell r="AD75">
            <v>0</v>
          </cell>
          <cell r="AE75">
            <v>0</v>
          </cell>
          <cell r="AF75">
            <v>0</v>
          </cell>
          <cell r="AG75">
            <v>0</v>
          </cell>
          <cell r="AI75">
            <v>2554</v>
          </cell>
          <cell r="AK75">
            <v>0</v>
          </cell>
          <cell r="AL75">
            <v>0</v>
          </cell>
          <cell r="AM75">
            <v>0</v>
          </cell>
          <cell r="AN75">
            <v>163949</v>
          </cell>
          <cell r="AO75">
            <v>119875</v>
          </cell>
          <cell r="AP75">
            <v>44074</v>
          </cell>
          <cell r="AR75">
            <v>210013.78966845028</v>
          </cell>
          <cell r="AS75">
            <v>153556.30736695847</v>
          </cell>
          <cell r="AT75">
            <v>56457.482301491786</v>
          </cell>
          <cell r="AV75">
            <v>0.41</v>
          </cell>
          <cell r="AW75">
            <v>0.32700000000000001</v>
          </cell>
          <cell r="AX75">
            <v>0.75900000000000001</v>
          </cell>
          <cell r="AZ75">
            <v>0.30299999999999999</v>
          </cell>
          <cell r="BA75">
            <v>0.33600000000000002</v>
          </cell>
          <cell r="BB75">
            <v>0.16699999999999998</v>
          </cell>
          <cell r="BD75">
            <v>28022</v>
          </cell>
          <cell r="BE75">
            <v>18573</v>
          </cell>
          <cell r="BF75">
            <v>9449</v>
          </cell>
          <cell r="BH75">
            <v>0.12698239354220275</v>
          </cell>
          <cell r="BI75">
            <v>0.11510828698016799</v>
          </cell>
          <cell r="BJ75">
            <v>0.15927827147758239</v>
          </cell>
        </row>
        <row r="76">
          <cell r="B76">
            <v>68</v>
          </cell>
          <cell r="C76">
            <v>17</v>
          </cell>
          <cell r="D76">
            <v>4</v>
          </cell>
          <cell r="E76" t="str">
            <v>Ghazipur</v>
          </cell>
          <cell r="H76">
            <v>2416617</v>
          </cell>
          <cell r="I76">
            <v>2238315</v>
          </cell>
          <cell r="J76">
            <v>178302</v>
          </cell>
          <cell r="K76">
            <v>2416617</v>
          </cell>
          <cell r="L76">
            <v>2238315</v>
          </cell>
          <cell r="M76">
            <v>178302</v>
          </cell>
          <cell r="N76">
            <v>3049337</v>
          </cell>
          <cell r="O76">
            <v>2816348</v>
          </cell>
          <cell r="P76">
            <v>232989</v>
          </cell>
          <cell r="Q76">
            <v>24.27</v>
          </cell>
          <cell r="R76">
            <v>26.18</v>
          </cell>
          <cell r="S76">
            <v>2.1966429283679201E-2</v>
          </cell>
          <cell r="T76">
            <v>2.3526407844567165E-2</v>
          </cell>
          <cell r="U76">
            <v>2.352807503969867E-2</v>
          </cell>
          <cell r="W76">
            <v>844</v>
          </cell>
          <cell r="X76">
            <v>848</v>
          </cell>
          <cell r="Y76">
            <v>857</v>
          </cell>
          <cell r="Z76">
            <v>857</v>
          </cell>
          <cell r="AA76">
            <v>857</v>
          </cell>
          <cell r="AC76">
            <v>15254</v>
          </cell>
          <cell r="AD76">
            <v>15405</v>
          </cell>
          <cell r="AE76">
            <v>15893</v>
          </cell>
          <cell r="AF76">
            <v>16403</v>
          </cell>
          <cell r="AG76">
            <v>16520</v>
          </cell>
          <cell r="AI76">
            <v>3377</v>
          </cell>
          <cell r="AK76">
            <v>341149</v>
          </cell>
          <cell r="AL76">
            <v>318075</v>
          </cell>
          <cell r="AM76">
            <v>23074</v>
          </cell>
          <cell r="AN76">
            <v>341149</v>
          </cell>
          <cell r="AO76">
            <v>318075</v>
          </cell>
          <cell r="AP76">
            <v>23074</v>
          </cell>
          <cell r="AR76">
            <v>437001.7159702233</v>
          </cell>
          <cell r="AS76">
            <v>407444.60868192132</v>
          </cell>
          <cell r="AT76">
            <v>29557.107288301981</v>
          </cell>
          <cell r="AV76">
            <v>0.41</v>
          </cell>
          <cell r="AW76">
            <v>0.32700000000000001</v>
          </cell>
          <cell r="AX76">
            <v>0.75900000000000001</v>
          </cell>
          <cell r="AZ76">
            <v>0.30299999999999999</v>
          </cell>
          <cell r="BA76">
            <v>0.33600000000000002</v>
          </cell>
          <cell r="BB76">
            <v>0.16699999999999998</v>
          </cell>
          <cell r="BD76">
            <v>108922</v>
          </cell>
          <cell r="BE76">
            <v>87767</v>
          </cell>
          <cell r="BF76">
            <v>21155</v>
          </cell>
          <cell r="BH76">
            <v>0.23720544661178103</v>
          </cell>
          <cell r="BI76">
            <v>0.20500047638641103</v>
          </cell>
          <cell r="BJ76">
            <v>0.68115083555321121</v>
          </cell>
        </row>
        <row r="77">
          <cell r="B77">
            <v>69</v>
          </cell>
          <cell r="C77">
            <v>17</v>
          </cell>
          <cell r="D77">
            <v>4</v>
          </cell>
          <cell r="E77" t="str">
            <v>Jaunpur</v>
          </cell>
          <cell r="H77">
            <v>3214636</v>
          </cell>
          <cell r="I77">
            <v>2993297</v>
          </cell>
          <cell r="J77">
            <v>221339</v>
          </cell>
          <cell r="K77">
            <v>3214636</v>
          </cell>
          <cell r="L77">
            <v>2993297</v>
          </cell>
          <cell r="M77">
            <v>221339</v>
          </cell>
          <cell r="N77">
            <v>3911305</v>
          </cell>
          <cell r="O77">
            <v>3622168</v>
          </cell>
          <cell r="P77">
            <v>289137</v>
          </cell>
          <cell r="Q77">
            <v>26.92</v>
          </cell>
          <cell r="R77">
            <v>21.67</v>
          </cell>
          <cell r="S77">
            <v>2.4125090730155119E-2</v>
          </cell>
          <cell r="T77">
            <v>1.9807850391679871E-2</v>
          </cell>
          <cell r="U77">
            <v>1.9809346460711197E-2</v>
          </cell>
          <cell r="X77">
            <v>0</v>
          </cell>
          <cell r="Y77">
            <v>0</v>
          </cell>
          <cell r="Z77">
            <v>0</v>
          </cell>
          <cell r="AA77">
            <v>0</v>
          </cell>
          <cell r="AD77">
            <v>0</v>
          </cell>
          <cell r="AE77">
            <v>0</v>
          </cell>
          <cell r="AF77">
            <v>0</v>
          </cell>
          <cell r="AG77">
            <v>0</v>
          </cell>
          <cell r="AI77">
            <v>4038</v>
          </cell>
          <cell r="AK77">
            <v>416729</v>
          </cell>
          <cell r="AL77">
            <v>387440</v>
          </cell>
          <cell r="AM77">
            <v>29289</v>
          </cell>
          <cell r="AN77">
            <v>416729</v>
          </cell>
          <cell r="AO77">
            <v>387440</v>
          </cell>
          <cell r="AP77">
            <v>29289</v>
          </cell>
          <cell r="AR77">
            <v>533817.44661293214</v>
          </cell>
          <cell r="AS77">
            <v>496299.10929096473</v>
          </cell>
          <cell r="AT77">
            <v>37518.337321967439</v>
          </cell>
          <cell r="AV77">
            <v>0.41</v>
          </cell>
          <cell r="AW77">
            <v>0.32700000000000001</v>
          </cell>
          <cell r="AX77">
            <v>0.75900000000000001</v>
          </cell>
          <cell r="AZ77">
            <v>0.30299999999999999</v>
          </cell>
          <cell r="BA77">
            <v>0.33600000000000002</v>
          </cell>
          <cell r="BB77">
            <v>0.16699999999999998</v>
          </cell>
          <cell r="BD77">
            <v>125326</v>
          </cell>
          <cell r="BE77">
            <v>93244</v>
          </cell>
          <cell r="BF77">
            <v>32082</v>
          </cell>
          <cell r="BH77">
            <v>0.2234295480609054</v>
          </cell>
          <cell r="BI77">
            <v>0.17880085532411252</v>
          </cell>
          <cell r="BJ77">
            <v>0.8137856788247767</v>
          </cell>
        </row>
        <row r="78">
          <cell r="B78">
            <v>70</v>
          </cell>
          <cell r="C78">
            <v>17</v>
          </cell>
          <cell r="D78">
            <v>4</v>
          </cell>
          <cell r="E78" t="str">
            <v>Varanasi</v>
          </cell>
          <cell r="F78" t="str">
            <v>Split</v>
          </cell>
          <cell r="G78">
            <v>2</v>
          </cell>
          <cell r="H78">
            <v>4860582</v>
          </cell>
          <cell r="I78">
            <v>3538334</v>
          </cell>
          <cell r="J78">
            <v>1322248</v>
          </cell>
          <cell r="K78">
            <v>2492077</v>
          </cell>
          <cell r="L78">
            <v>1814145</v>
          </cell>
          <cell r="M78">
            <v>677932</v>
          </cell>
          <cell r="N78">
            <v>3147927</v>
          </cell>
          <cell r="O78">
            <v>1879405</v>
          </cell>
          <cell r="P78">
            <v>1268522</v>
          </cell>
          <cell r="Q78">
            <v>30.65</v>
          </cell>
          <cell r="R78">
            <v>25.51</v>
          </cell>
          <cell r="S78">
            <v>2.7095771857297279E-2</v>
          </cell>
          <cell r="T78">
            <v>2.2981625140236606E-2</v>
          </cell>
          <cell r="U78">
            <v>2.3637811315496915E-2</v>
          </cell>
          <cell r="W78">
            <v>296</v>
          </cell>
          <cell r="X78">
            <v>300</v>
          </cell>
          <cell r="Y78">
            <v>302</v>
          </cell>
          <cell r="Z78">
            <v>302</v>
          </cell>
          <cell r="AA78">
            <v>302</v>
          </cell>
          <cell r="AC78">
            <v>6029</v>
          </cell>
          <cell r="AD78">
            <v>6070</v>
          </cell>
          <cell r="AE78">
            <v>6154</v>
          </cell>
          <cell r="AF78">
            <v>6214</v>
          </cell>
          <cell r="AG78">
            <v>6249</v>
          </cell>
          <cell r="AI78">
            <v>1578</v>
          </cell>
          <cell r="AK78">
            <v>613863</v>
          </cell>
          <cell r="AL78">
            <v>448837</v>
          </cell>
          <cell r="AM78">
            <v>165026</v>
          </cell>
          <cell r="AN78">
            <v>314734</v>
          </cell>
          <cell r="AO78">
            <v>230123</v>
          </cell>
          <cell r="AP78">
            <v>84611</v>
          </cell>
          <cell r="AR78">
            <v>403164.88711434673</v>
          </cell>
          <cell r="AS78">
            <v>294780.71424572752</v>
          </cell>
          <cell r="AT78">
            <v>108384.17286861918</v>
          </cell>
          <cell r="AV78">
            <v>0.41</v>
          </cell>
          <cell r="AW78">
            <v>0.32700000000000001</v>
          </cell>
          <cell r="AX78">
            <v>0.75900000000000001</v>
          </cell>
          <cell r="AZ78">
            <v>0.30299999999999999</v>
          </cell>
          <cell r="BA78">
            <v>0.33600000000000002</v>
          </cell>
          <cell r="BB78">
            <v>0.16699999999999998</v>
          </cell>
          <cell r="BD78">
            <v>218343</v>
          </cell>
          <cell r="BE78">
            <v>79568</v>
          </cell>
          <cell r="BF78">
            <v>138775</v>
          </cell>
          <cell r="BH78">
            <v>0.51540516235749068</v>
          </cell>
          <cell r="BI78">
            <v>0.25688075389999671</v>
          </cell>
          <cell r="BJ78">
            <v>1.2185337443085831</v>
          </cell>
        </row>
        <row r="92">
          <cell r="B92">
            <v>1</v>
          </cell>
          <cell r="C92">
            <v>1</v>
          </cell>
          <cell r="D92" t="str">
            <v xml:space="preserve">Agra </v>
          </cell>
          <cell r="K92">
            <v>13072987</v>
          </cell>
          <cell r="L92">
            <v>9721444</v>
          </cell>
          <cell r="M92">
            <v>3351543</v>
          </cell>
          <cell r="N92">
            <v>16431521</v>
          </cell>
          <cell r="O92">
            <v>11828633</v>
          </cell>
          <cell r="P92">
            <v>4602888</v>
          </cell>
          <cell r="R92">
            <v>2.3128762111950696E-2</v>
          </cell>
          <cell r="S92">
            <v>1.9812610326953362E-2</v>
          </cell>
          <cell r="T92">
            <v>3.2234953820124757E-2</v>
          </cell>
          <cell r="W92">
            <v>2525</v>
          </cell>
          <cell r="X92">
            <v>2552</v>
          </cell>
          <cell r="AC92">
            <v>79288</v>
          </cell>
          <cell r="AD92">
            <v>95744</v>
          </cell>
          <cell r="AI92">
            <v>22410</v>
          </cell>
          <cell r="AK92">
            <v>1961065</v>
          </cell>
          <cell r="AL92">
            <v>1491857</v>
          </cell>
          <cell r="AM92">
            <v>469208</v>
          </cell>
          <cell r="AR92">
            <v>2512065.9012019555</v>
          </cell>
          <cell r="AS92">
            <v>1911024.4174310621</v>
          </cell>
          <cell r="AT92">
            <v>601041.48377089342</v>
          </cell>
        </row>
        <row r="93">
          <cell r="B93">
            <v>2</v>
          </cell>
          <cell r="C93">
            <v>3</v>
          </cell>
          <cell r="D93" t="str">
            <v xml:space="preserve">Azamgarh </v>
          </cell>
          <cell r="K93">
            <v>6861940</v>
          </cell>
          <cell r="L93">
            <v>6168139</v>
          </cell>
          <cell r="M93">
            <v>693801</v>
          </cell>
          <cell r="N93">
            <v>8552514</v>
          </cell>
          <cell r="O93">
            <v>7622197</v>
          </cell>
          <cell r="P93">
            <v>930317</v>
          </cell>
          <cell r="R93">
            <v>2.2267815069423769E-2</v>
          </cell>
          <cell r="S93">
            <v>2.1392352231079936E-2</v>
          </cell>
          <cell r="T93">
            <v>2.9768501588691709E-2</v>
          </cell>
          <cell r="W93">
            <v>881</v>
          </cell>
          <cell r="X93">
            <v>887</v>
          </cell>
          <cell r="AC93">
            <v>31642</v>
          </cell>
          <cell r="AD93">
            <v>33319</v>
          </cell>
          <cell r="AI93">
            <v>8904</v>
          </cell>
          <cell r="AK93">
            <v>913448</v>
          </cell>
          <cell r="AL93">
            <v>831824</v>
          </cell>
          <cell r="AM93">
            <v>81624</v>
          </cell>
          <cell r="AR93">
            <v>1170099.7026213431</v>
          </cell>
          <cell r="AS93">
            <v>1065541.7878557905</v>
          </cell>
          <cell r="AT93">
            <v>104557.91476555262</v>
          </cell>
        </row>
        <row r="94">
          <cell r="B94">
            <v>3</v>
          </cell>
          <cell r="C94">
            <v>2</v>
          </cell>
          <cell r="D94" t="str">
            <v xml:space="preserve">Allahabad </v>
          </cell>
          <cell r="K94">
            <v>9031254</v>
          </cell>
          <cell r="L94">
            <v>7698775</v>
          </cell>
          <cell r="M94">
            <v>1332479</v>
          </cell>
          <cell r="N94">
            <v>11269450</v>
          </cell>
          <cell r="O94">
            <v>9582276</v>
          </cell>
          <cell r="P94">
            <v>1687174</v>
          </cell>
          <cell r="R94">
            <v>2.2387347888586762E-2</v>
          </cell>
          <cell r="S94">
            <v>2.2126633536880602E-2</v>
          </cell>
          <cell r="T94">
            <v>2.3882098989907563E-2</v>
          </cell>
          <cell r="W94">
            <v>1577</v>
          </cell>
          <cell r="X94">
            <v>1602</v>
          </cell>
          <cell r="AC94">
            <v>46930</v>
          </cell>
          <cell r="AD94">
            <v>42143</v>
          </cell>
          <cell r="AI94">
            <v>15130</v>
          </cell>
          <cell r="AK94">
            <v>1466236</v>
          </cell>
          <cell r="AL94">
            <v>1265392</v>
          </cell>
          <cell r="AM94">
            <v>200844</v>
          </cell>
          <cell r="AR94">
            <v>1878204.6789447318</v>
          </cell>
          <cell r="AS94">
            <v>1620929.4923185846</v>
          </cell>
          <cell r="AT94">
            <v>257275.1866261473</v>
          </cell>
        </row>
        <row r="95">
          <cell r="B95">
            <v>4</v>
          </cell>
          <cell r="C95">
            <v>1</v>
          </cell>
          <cell r="D95" t="str">
            <v xml:space="preserve">Bareilly </v>
          </cell>
          <cell r="K95">
            <v>8553452</v>
          </cell>
          <cell r="L95">
            <v>6543195</v>
          </cell>
          <cell r="M95">
            <v>2010257</v>
          </cell>
          <cell r="N95">
            <v>10861192</v>
          </cell>
          <cell r="O95">
            <v>8310267</v>
          </cell>
          <cell r="P95">
            <v>2550925</v>
          </cell>
          <cell r="R95">
            <v>2.4173670660821989E-2</v>
          </cell>
          <cell r="S95">
            <v>2.4194670032591015E-2</v>
          </cell>
          <cell r="T95">
            <v>2.4105292860051142E-2</v>
          </cell>
          <cell r="W95">
            <v>686</v>
          </cell>
          <cell r="X95">
            <v>688</v>
          </cell>
          <cell r="AC95">
            <v>14369</v>
          </cell>
          <cell r="AD95">
            <v>15217</v>
          </cell>
          <cell r="AI95">
            <v>17362</v>
          </cell>
          <cell r="AK95">
            <v>1283676</v>
          </cell>
          <cell r="AL95">
            <v>1004893</v>
          </cell>
          <cell r="AM95">
            <v>278783</v>
          </cell>
          <cell r="AR95">
            <v>1644350.7521634018</v>
          </cell>
          <cell r="AS95">
            <v>1287238.0261013974</v>
          </cell>
          <cell r="AT95">
            <v>357112.72606200445</v>
          </cell>
        </row>
        <row r="96">
          <cell r="B96">
            <v>5</v>
          </cell>
          <cell r="C96">
            <v>3</v>
          </cell>
          <cell r="D96" t="str">
            <v xml:space="preserve">Basti </v>
          </cell>
          <cell r="K96">
            <v>4446407</v>
          </cell>
          <cell r="L96">
            <v>4211073</v>
          </cell>
          <cell r="M96">
            <v>235334</v>
          </cell>
          <cell r="N96">
            <v>5532020</v>
          </cell>
          <cell r="O96">
            <v>5237887</v>
          </cell>
          <cell r="P96">
            <v>294133</v>
          </cell>
          <cell r="R96">
            <v>2.2086031185979405E-2</v>
          </cell>
          <cell r="S96">
            <v>2.2059867482047801E-2</v>
          </cell>
          <cell r="T96">
            <v>2.2553189273764707E-2</v>
          </cell>
          <cell r="W96">
            <v>409</v>
          </cell>
          <cell r="X96">
            <v>411</v>
          </cell>
          <cell r="AC96">
            <v>18968</v>
          </cell>
          <cell r="AD96">
            <v>20250</v>
          </cell>
          <cell r="AI96">
            <v>7228</v>
          </cell>
          <cell r="AK96">
            <v>676346</v>
          </cell>
          <cell r="AL96">
            <v>643009</v>
          </cell>
          <cell r="AM96">
            <v>33337</v>
          </cell>
          <cell r="AR96">
            <v>866379.0970795654</v>
          </cell>
          <cell r="AS96">
            <v>823675.39223124599</v>
          </cell>
          <cell r="AT96">
            <v>42703.704848319459</v>
          </cell>
        </row>
        <row r="97">
          <cell r="B97">
            <v>6</v>
          </cell>
          <cell r="C97">
            <v>4</v>
          </cell>
          <cell r="D97" t="str">
            <v xml:space="preserve">Chitrakoot Dham </v>
          </cell>
          <cell r="K97">
            <v>3328630</v>
          </cell>
          <cell r="L97">
            <v>2834564</v>
          </cell>
          <cell r="M97">
            <v>494066</v>
          </cell>
          <cell r="N97">
            <v>4052050</v>
          </cell>
          <cell r="O97">
            <v>3403287</v>
          </cell>
          <cell r="P97">
            <v>648763</v>
          </cell>
          <cell r="R97">
            <v>1.9860865680851214E-2</v>
          </cell>
          <cell r="S97">
            <v>1.8453560412345249E-2</v>
          </cell>
          <cell r="T97">
            <v>2.7614232232819003E-2</v>
          </cell>
          <cell r="W97">
            <v>1283</v>
          </cell>
          <cell r="X97">
            <v>1287</v>
          </cell>
          <cell r="AC97">
            <v>32612</v>
          </cell>
          <cell r="AD97">
            <v>34464</v>
          </cell>
          <cell r="AI97">
            <v>14790</v>
          </cell>
          <cell r="AK97">
            <v>539005</v>
          </cell>
          <cell r="AL97">
            <v>459664</v>
          </cell>
          <cell r="AM97">
            <v>79341</v>
          </cell>
          <cell r="AR97">
            <v>690449.36352306535</v>
          </cell>
          <cell r="AS97">
            <v>588815.90381251811</v>
          </cell>
          <cell r="AT97">
            <v>101633.45971054726</v>
          </cell>
        </row>
        <row r="98">
          <cell r="B98">
            <v>7</v>
          </cell>
          <cell r="C98">
            <v>2</v>
          </cell>
          <cell r="D98" t="str">
            <v xml:space="preserve">Devi Patan </v>
          </cell>
          <cell r="K98">
            <v>6336825</v>
          </cell>
          <cell r="L98">
            <v>5855193</v>
          </cell>
          <cell r="M98">
            <v>481632</v>
          </cell>
          <cell r="N98">
            <v>8009988</v>
          </cell>
          <cell r="O98">
            <v>7407156</v>
          </cell>
          <cell r="P98">
            <v>602832</v>
          </cell>
          <cell r="R98">
            <v>2.3707806678628041E-2</v>
          </cell>
          <cell r="S98">
            <v>2.3790340468880622E-2</v>
          </cell>
          <cell r="T98">
            <v>2.2699624226915516E-2</v>
          </cell>
          <cell r="W98">
            <v>1589</v>
          </cell>
          <cell r="X98">
            <v>1621</v>
          </cell>
          <cell r="AC98">
            <v>10727</v>
          </cell>
          <cell r="AD98">
            <v>11178</v>
          </cell>
          <cell r="AI98">
            <v>14229</v>
          </cell>
          <cell r="AK98">
            <v>1009008</v>
          </cell>
          <cell r="AL98">
            <v>942268</v>
          </cell>
          <cell r="AM98">
            <v>66740</v>
          </cell>
          <cell r="AR98">
            <v>1292509.2186337439</v>
          </cell>
          <cell r="AS98">
            <v>1207017.2649013493</v>
          </cell>
          <cell r="AT98">
            <v>85491.953732394642</v>
          </cell>
        </row>
        <row r="99">
          <cell r="B99">
            <v>8</v>
          </cell>
          <cell r="C99">
            <v>2</v>
          </cell>
          <cell r="D99" t="str">
            <v xml:space="preserve">Faizabad </v>
          </cell>
          <cell r="K99">
            <v>7960590</v>
          </cell>
          <cell r="L99">
            <v>7274321</v>
          </cell>
          <cell r="M99">
            <v>686269</v>
          </cell>
          <cell r="N99">
            <v>9977607</v>
          </cell>
          <cell r="O99">
            <v>9115521</v>
          </cell>
          <cell r="P99">
            <v>862086</v>
          </cell>
          <cell r="R99">
            <v>2.2840966000976515E-2</v>
          </cell>
          <cell r="S99">
            <v>2.2819274367883224E-2</v>
          </cell>
          <cell r="T99">
            <v>2.3070639036858021E-2</v>
          </cell>
          <cell r="W99">
            <v>1261</v>
          </cell>
          <cell r="X99">
            <v>1283</v>
          </cell>
          <cell r="AC99">
            <v>20688</v>
          </cell>
          <cell r="AD99">
            <v>22035</v>
          </cell>
          <cell r="AI99">
            <v>13397</v>
          </cell>
          <cell r="AK99">
            <v>1318407</v>
          </cell>
          <cell r="AL99">
            <v>1218567</v>
          </cell>
          <cell r="AM99">
            <v>99840</v>
          </cell>
          <cell r="AR99">
            <v>1688840.1295245015</v>
          </cell>
          <cell r="AS99">
            <v>1560948.0608903649</v>
          </cell>
          <cell r="AT99">
            <v>127892.06863413667</v>
          </cell>
        </row>
        <row r="100">
          <cell r="B100">
            <v>9</v>
          </cell>
          <cell r="C100">
            <v>3</v>
          </cell>
          <cell r="D100" t="str">
            <v xml:space="preserve">Gorakhpur </v>
          </cell>
          <cell r="K100">
            <v>9182404</v>
          </cell>
          <cell r="L100">
            <v>8198084</v>
          </cell>
          <cell r="M100">
            <v>984320</v>
          </cell>
          <cell r="N100">
            <v>11574070</v>
          </cell>
          <cell r="O100">
            <v>10320457</v>
          </cell>
          <cell r="P100">
            <v>1253613</v>
          </cell>
          <cell r="R100">
            <v>2.341781072246385E-2</v>
          </cell>
          <cell r="S100">
            <v>2.328982665592827E-2</v>
          </cell>
          <cell r="T100">
            <v>2.4478191364251778E-2</v>
          </cell>
          <cell r="W100">
            <v>1997</v>
          </cell>
          <cell r="X100">
            <v>2014</v>
          </cell>
          <cell r="AC100">
            <v>22604</v>
          </cell>
          <cell r="AD100">
            <v>23350</v>
          </cell>
          <cell r="AI100">
            <v>11717</v>
          </cell>
          <cell r="AK100">
            <v>1328145</v>
          </cell>
          <cell r="AL100">
            <v>1189827</v>
          </cell>
          <cell r="AM100">
            <v>138318</v>
          </cell>
          <cell r="AR100">
            <v>1701314.2177091895</v>
          </cell>
          <cell r="AS100">
            <v>1524132.9762294567</v>
          </cell>
          <cell r="AT100">
            <v>177181.24147973274</v>
          </cell>
        </row>
        <row r="101">
          <cell r="B101">
            <v>10</v>
          </cell>
          <cell r="C101">
            <v>4</v>
          </cell>
          <cell r="D101" t="str">
            <v xml:space="preserve">Jhansi </v>
          </cell>
          <cell r="K101">
            <v>3401118</v>
          </cell>
          <cell r="L101">
            <v>2460017</v>
          </cell>
          <cell r="M101">
            <v>941101</v>
          </cell>
          <cell r="N101">
            <v>4180021</v>
          </cell>
          <cell r="O101">
            <v>2980161</v>
          </cell>
          <cell r="P101">
            <v>1199860</v>
          </cell>
          <cell r="R101">
            <v>2.0835293061550741E-2</v>
          </cell>
          <cell r="S101">
            <v>1.9366041922997956E-2</v>
          </cell>
          <cell r="T101">
            <v>2.4588398583732074E-2</v>
          </cell>
          <cell r="W101">
            <v>1211</v>
          </cell>
          <cell r="X101">
            <v>1223</v>
          </cell>
          <cell r="AC101">
            <v>21505</v>
          </cell>
          <cell r="AD101">
            <v>23781</v>
          </cell>
          <cell r="AI101">
            <v>14628</v>
          </cell>
          <cell r="AK101">
            <v>542111</v>
          </cell>
          <cell r="AL101">
            <v>401176</v>
          </cell>
          <cell r="AM101">
            <v>140935</v>
          </cell>
          <cell r="AR101">
            <v>694428.05708453991</v>
          </cell>
          <cell r="AS101">
            <v>513894.51649006829</v>
          </cell>
          <cell r="AT101">
            <v>180533.54059447168</v>
          </cell>
        </row>
        <row r="102">
          <cell r="B102">
            <v>11</v>
          </cell>
          <cell r="C102">
            <v>2</v>
          </cell>
          <cell r="D102" t="str">
            <v xml:space="preserve">Kanpur </v>
          </cell>
          <cell r="K102">
            <v>9121725</v>
          </cell>
          <cell r="L102">
            <v>6174027</v>
          </cell>
          <cell r="M102">
            <v>2947698</v>
          </cell>
          <cell r="N102">
            <v>11203517</v>
          </cell>
          <cell r="O102">
            <v>7273236</v>
          </cell>
          <cell r="P102">
            <v>3930281</v>
          </cell>
          <cell r="R102">
            <v>2.0769629594222128E-2</v>
          </cell>
          <cell r="S102">
            <v>1.6519971302385139E-2</v>
          </cell>
          <cell r="T102">
            <v>2.9186454128955708E-2</v>
          </cell>
          <cell r="W102">
            <v>2402</v>
          </cell>
          <cell r="X102">
            <v>2420</v>
          </cell>
          <cell r="AC102">
            <v>99521</v>
          </cell>
          <cell r="AD102">
            <v>104186</v>
          </cell>
          <cell r="AI102">
            <v>14790</v>
          </cell>
          <cell r="AK102">
            <v>1411991</v>
          </cell>
          <cell r="AL102">
            <v>962542</v>
          </cell>
          <cell r="AM102">
            <v>449449</v>
          </cell>
          <cell r="AR102">
            <v>1808718.4483451853</v>
          </cell>
          <cell r="AS102">
            <v>1232987.6555212259</v>
          </cell>
          <cell r="AT102">
            <v>575730.79282395926</v>
          </cell>
        </row>
        <row r="103">
          <cell r="B103">
            <v>12</v>
          </cell>
          <cell r="C103">
            <v>2</v>
          </cell>
          <cell r="D103" t="str">
            <v xml:space="preserve">Lucknow </v>
          </cell>
          <cell r="K103">
            <v>15309333</v>
          </cell>
          <cell r="L103">
            <v>12144645</v>
          </cell>
          <cell r="M103">
            <v>3164688</v>
          </cell>
          <cell r="N103">
            <v>19468107</v>
          </cell>
          <cell r="O103">
            <v>15256330</v>
          </cell>
          <cell r="P103">
            <v>4211777</v>
          </cell>
          <cell r="R103">
            <v>2.4322577984918103E-2</v>
          </cell>
          <cell r="S103">
            <v>2.3072768302980107E-2</v>
          </cell>
          <cell r="T103">
            <v>2.899543205723254E-2</v>
          </cell>
          <cell r="W103">
            <v>3795</v>
          </cell>
          <cell r="X103">
            <v>3840</v>
          </cell>
          <cell r="AC103">
            <v>60698</v>
          </cell>
          <cell r="AD103">
            <v>63729</v>
          </cell>
          <cell r="AI103">
            <v>31081</v>
          </cell>
          <cell r="AK103">
            <v>2523484</v>
          </cell>
          <cell r="AL103">
            <v>2035291</v>
          </cell>
          <cell r="AM103">
            <v>488193</v>
          </cell>
          <cell r="AR103">
            <v>3232507.9018944893</v>
          </cell>
          <cell r="AS103">
            <v>2607147.1981414333</v>
          </cell>
          <cell r="AT103">
            <v>625360.70375305577</v>
          </cell>
        </row>
        <row r="104">
          <cell r="B104">
            <v>13</v>
          </cell>
          <cell r="C104">
            <v>1</v>
          </cell>
          <cell r="D104" t="str">
            <v xml:space="preserve">Meerut </v>
          </cell>
          <cell r="K104">
            <v>9001704</v>
          </cell>
          <cell r="L104">
            <v>5884092</v>
          </cell>
          <cell r="M104">
            <v>3117612</v>
          </cell>
          <cell r="N104">
            <v>11570117</v>
          </cell>
          <cell r="O104">
            <v>6955440</v>
          </cell>
          <cell r="P104">
            <v>4614677</v>
          </cell>
          <cell r="R104">
            <v>2.5418863133622738E-2</v>
          </cell>
          <cell r="S104">
            <v>1.6867847231091471E-2</v>
          </cell>
          <cell r="T104">
            <v>3.9996611753870814E-2</v>
          </cell>
          <cell r="W104">
            <v>1562</v>
          </cell>
          <cell r="X104">
            <v>1582</v>
          </cell>
          <cell r="AC104">
            <v>51529</v>
          </cell>
          <cell r="AD104">
            <v>55862</v>
          </cell>
          <cell r="AI104">
            <v>10854</v>
          </cell>
          <cell r="AK104">
            <v>1347547</v>
          </cell>
          <cell r="AL104">
            <v>872503</v>
          </cell>
          <cell r="AM104">
            <v>475044</v>
          </cell>
          <cell r="AR104">
            <v>1726167.6022808994</v>
          </cell>
          <cell r="AS104">
            <v>1117650.3761968166</v>
          </cell>
          <cell r="AT104">
            <v>608517.22608408285</v>
          </cell>
        </row>
        <row r="105">
          <cell r="B105">
            <v>14</v>
          </cell>
          <cell r="C105">
            <v>3</v>
          </cell>
          <cell r="D105" t="str">
            <v xml:space="preserve">Vindhyachai  </v>
          </cell>
          <cell r="K105">
            <v>3802544</v>
          </cell>
          <cell r="L105">
            <v>3138644</v>
          </cell>
          <cell r="M105">
            <v>663900</v>
          </cell>
          <cell r="N105">
            <v>4930376</v>
          </cell>
          <cell r="O105">
            <v>4194279</v>
          </cell>
          <cell r="P105">
            <v>736097</v>
          </cell>
          <cell r="R105">
            <v>2.6314770593362846E-2</v>
          </cell>
          <cell r="S105">
            <v>2.9417449712510813E-2</v>
          </cell>
          <cell r="T105">
            <v>1.0376503144019056E-2</v>
          </cell>
          <cell r="W105">
            <v>1816</v>
          </cell>
          <cell r="X105">
            <v>1836</v>
          </cell>
          <cell r="AC105">
            <v>15630</v>
          </cell>
          <cell r="AD105">
            <v>17177</v>
          </cell>
          <cell r="AI105">
            <v>12270</v>
          </cell>
          <cell r="AK105">
            <v>561672</v>
          </cell>
          <cell r="AL105">
            <v>465685</v>
          </cell>
          <cell r="AM105">
            <v>95987</v>
          </cell>
          <cell r="AR105">
            <v>719485.11592420691</v>
          </cell>
          <cell r="AS105">
            <v>596528.62561987119</v>
          </cell>
          <cell r="AT105">
            <v>122956.49030433572</v>
          </cell>
        </row>
        <row r="106">
          <cell r="B106">
            <v>15</v>
          </cell>
          <cell r="C106">
            <v>1</v>
          </cell>
          <cell r="D106" t="str">
            <v xml:space="preserve">Moradabad </v>
          </cell>
          <cell r="K106">
            <v>8077697</v>
          </cell>
          <cell r="L106">
            <v>5930160</v>
          </cell>
          <cell r="M106">
            <v>2147537</v>
          </cell>
          <cell r="N106">
            <v>10301859</v>
          </cell>
          <cell r="O106">
            <v>7527297</v>
          </cell>
          <cell r="P106">
            <v>2774562</v>
          </cell>
          <cell r="R106">
            <v>2.4619942189203048E-2</v>
          </cell>
          <cell r="S106">
            <v>2.4135131138160792E-2</v>
          </cell>
          <cell r="T106">
            <v>2.5948067795545704E-2</v>
          </cell>
          <cell r="W106">
            <v>1615</v>
          </cell>
          <cell r="X106">
            <v>1625</v>
          </cell>
          <cell r="AC106">
            <v>34195</v>
          </cell>
          <cell r="AD106">
            <v>35850</v>
          </cell>
          <cell r="AI106">
            <v>12896</v>
          </cell>
          <cell r="AK106">
            <v>1200210</v>
          </cell>
          <cell r="AL106">
            <v>906736</v>
          </cell>
          <cell r="AM106">
            <v>293474</v>
          </cell>
          <cell r="AR106">
            <v>1537433.2902181209</v>
          </cell>
          <cell r="AS106">
            <v>1161501.8303790321</v>
          </cell>
          <cell r="AT106">
            <v>375931.45983908878</v>
          </cell>
        </row>
        <row r="107">
          <cell r="B107">
            <v>16</v>
          </cell>
          <cell r="C107">
            <v>1</v>
          </cell>
          <cell r="D107" t="str">
            <v xml:space="preserve">Saharanpur </v>
          </cell>
          <cell r="K107">
            <v>6449713</v>
          </cell>
          <cell r="L107">
            <v>4807692</v>
          </cell>
          <cell r="M107">
            <v>1642021</v>
          </cell>
          <cell r="N107">
            <v>8029881</v>
          </cell>
          <cell r="O107">
            <v>6207885</v>
          </cell>
          <cell r="P107">
            <v>1821996</v>
          </cell>
          <cell r="R107">
            <v>2.2155269630148133E-2</v>
          </cell>
          <cell r="S107">
            <v>2.5889778170929079E-2</v>
          </cell>
          <cell r="T107">
            <v>1.0454753308902776E-2</v>
          </cell>
          <cell r="W107">
            <v>206</v>
          </cell>
          <cell r="X107">
            <v>211</v>
          </cell>
          <cell r="AC107">
            <v>9444</v>
          </cell>
          <cell r="AD107">
            <v>9965</v>
          </cell>
          <cell r="AI107">
            <v>10251</v>
          </cell>
          <cell r="AK107">
            <v>955263</v>
          </cell>
          <cell r="AL107">
            <v>720229</v>
          </cell>
          <cell r="AM107">
            <v>235034</v>
          </cell>
          <cell r="AR107">
            <v>1223663.4731535588</v>
          </cell>
          <cell r="AS107">
            <v>922591.91406546102</v>
          </cell>
          <cell r="AT107">
            <v>301071.55908809777</v>
          </cell>
        </row>
        <row r="108">
          <cell r="B108">
            <v>17</v>
          </cell>
          <cell r="C108">
            <v>3</v>
          </cell>
          <cell r="D108" t="str">
            <v xml:space="preserve">Varanasi </v>
          </cell>
          <cell r="K108">
            <v>8123330</v>
          </cell>
          <cell r="L108">
            <v>7045757</v>
          </cell>
          <cell r="M108">
            <v>1077573</v>
          </cell>
          <cell r="N108">
            <v>10108569</v>
          </cell>
          <cell r="O108">
            <v>8317921</v>
          </cell>
          <cell r="P108">
            <v>1790648</v>
          </cell>
          <cell r="R108">
            <v>2.2105107224688725E-2</v>
          </cell>
          <cell r="S108">
            <v>1.6737198595820013E-2</v>
          </cell>
          <cell r="T108">
            <v>5.2098380511473641E-2</v>
          </cell>
          <cell r="W108">
            <v>1140</v>
          </cell>
          <cell r="X108">
            <v>1159</v>
          </cell>
          <cell r="AC108">
            <v>21283</v>
          </cell>
          <cell r="AD108">
            <v>22769</v>
          </cell>
          <cell r="AI108">
            <v>8993</v>
          </cell>
          <cell r="AK108">
            <v>1072612</v>
          </cell>
          <cell r="AL108">
            <v>935638</v>
          </cell>
          <cell r="AM108">
            <v>136974</v>
          </cell>
          <cell r="AR108">
            <v>1373984.0496975021</v>
          </cell>
          <cell r="AS108">
            <v>1198524.4322186136</v>
          </cell>
          <cell r="AT108">
            <v>175459.6174788886</v>
          </cell>
        </row>
      </sheetData>
      <sheetData sheetId="451" refreshError="1"/>
      <sheetData sheetId="452"/>
      <sheetData sheetId="453"/>
      <sheetData sheetId="454"/>
      <sheetData sheetId="455"/>
      <sheetData sheetId="456"/>
      <sheetData sheetId="457"/>
      <sheetData sheetId="458"/>
      <sheetData sheetId="459"/>
      <sheetData sheetId="460"/>
      <sheetData sheetId="461">
        <row r="10">
          <cell r="K10">
            <v>10555.409515539952</v>
          </cell>
        </row>
      </sheetData>
      <sheetData sheetId="462">
        <row r="10">
          <cell r="K10">
            <v>11406.105960721663</v>
          </cell>
        </row>
      </sheetData>
      <sheetData sheetId="463">
        <row r="10">
          <cell r="K10">
            <v>12952.302005296295</v>
          </cell>
        </row>
      </sheetData>
      <sheetData sheetId="464">
        <row r="9">
          <cell r="K9">
            <v>7145.4485488507471</v>
          </cell>
        </row>
      </sheetData>
      <sheetData sheetId="465"/>
      <sheetData sheetId="466">
        <row r="9">
          <cell r="K9">
            <v>7756.9670000000006</v>
          </cell>
        </row>
      </sheetData>
      <sheetData sheetId="467">
        <row r="9">
          <cell r="K9">
            <v>8161.5508285804899</v>
          </cell>
        </row>
      </sheetData>
      <sheetData sheetId="468"/>
      <sheetData sheetId="469">
        <row r="15">
          <cell r="M15">
            <v>15849.714053342934</v>
          </cell>
        </row>
      </sheetData>
      <sheetData sheetId="470">
        <row r="148">
          <cell r="E148">
            <v>367.95561384308559</v>
          </cell>
        </row>
      </sheetData>
      <sheetData sheetId="471"/>
      <sheetData sheetId="472"/>
      <sheetData sheetId="473"/>
      <sheetData sheetId="474"/>
      <sheetData sheetId="475">
        <row r="20">
          <cell r="D20">
            <v>9.9979999999999993</v>
          </cell>
        </row>
      </sheetData>
      <sheetData sheetId="476">
        <row r="11">
          <cell r="R11">
            <v>4366.8385200000002</v>
          </cell>
        </row>
      </sheetData>
      <sheetData sheetId="477">
        <row r="1">
          <cell r="T1">
            <v>1.3410219999999999</v>
          </cell>
        </row>
      </sheetData>
      <sheetData sheetId="478">
        <row r="2">
          <cell r="P2">
            <v>0</v>
          </cell>
        </row>
      </sheetData>
      <sheetData sheetId="479"/>
      <sheetData sheetId="480"/>
      <sheetData sheetId="481">
        <row r="7">
          <cell r="C7">
            <v>4.1702170433644428</v>
          </cell>
        </row>
      </sheetData>
      <sheetData sheetId="482"/>
      <sheetData sheetId="483">
        <row r="12">
          <cell r="H12">
            <v>125</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sheetData sheetId="511"/>
      <sheetData sheetId="512"/>
      <sheetData sheetId="513"/>
      <sheetData sheetId="514"/>
      <sheetData sheetId="515"/>
      <sheetData sheetId="516"/>
      <sheetData sheetId="517" refreshError="1"/>
      <sheetData sheetId="518" refreshError="1"/>
      <sheetData sheetId="519"/>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refreshError="1"/>
      <sheetData sheetId="541" refreshError="1"/>
      <sheetData sheetId="542" refreshError="1"/>
      <sheetData sheetId="543" refreshError="1"/>
      <sheetData sheetId="544"/>
      <sheetData sheetId="545" refreshError="1">
        <row r="721">
          <cell r="F721">
            <v>0</v>
          </cell>
        </row>
      </sheetData>
      <sheetData sheetId="546" refreshError="1"/>
      <sheetData sheetId="547" refreshError="1"/>
      <sheetData sheetId="548" refreshError="1"/>
      <sheetData sheetId="549" refreshError="1"/>
      <sheetData sheetId="550" refreshError="1"/>
      <sheetData sheetId="551">
        <row r="2">
          <cell r="A2">
            <v>2</v>
          </cell>
        </row>
      </sheetData>
      <sheetData sheetId="552"/>
      <sheetData sheetId="553" refreshError="1"/>
      <sheetData sheetId="554" refreshError="1"/>
      <sheetData sheetId="555"/>
      <sheetData sheetId="556" refreshError="1"/>
      <sheetData sheetId="557" refreshError="1"/>
      <sheetData sheetId="558" refreshError="1"/>
      <sheetData sheetId="559" refreshError="1"/>
      <sheetData sheetId="560"/>
      <sheetData sheetId="561"/>
      <sheetData sheetId="562" refreshError="1"/>
      <sheetData sheetId="563" refreshError="1"/>
      <sheetData sheetId="564"/>
      <sheetData sheetId="565" refreshError="1"/>
      <sheetData sheetId="566" refreshError="1"/>
      <sheetData sheetId="567" refreshError="1"/>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refreshError="1"/>
      <sheetData sheetId="595" refreshError="1"/>
      <sheetData sheetId="596"/>
      <sheetData sheetId="597" refreshError="1"/>
      <sheetData sheetId="598" refreshError="1"/>
      <sheetData sheetId="599" refreshError="1"/>
      <sheetData sheetId="600"/>
      <sheetData sheetId="601" refreshError="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ow r="2">
          <cell r="F2">
            <v>5</v>
          </cell>
          <cell r="G2">
            <v>6</v>
          </cell>
          <cell r="H2">
            <v>7</v>
          </cell>
          <cell r="I2">
            <v>8</v>
          </cell>
          <cell r="J2">
            <v>9</v>
          </cell>
          <cell r="K2">
            <v>10</v>
          </cell>
        </row>
      </sheetData>
      <sheetData sheetId="613" refreshError="1"/>
      <sheetData sheetId="614" refreshError="1"/>
      <sheetData sheetId="615" refreshError="1"/>
      <sheetData sheetId="616"/>
      <sheetData sheetId="617">
        <row r="2">
          <cell r="I2">
            <v>8</v>
          </cell>
          <cell r="S2">
            <v>18</v>
          </cell>
          <cell r="AC2">
            <v>28</v>
          </cell>
        </row>
      </sheetData>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row r="3">
          <cell r="A3">
            <v>100</v>
          </cell>
        </row>
        <row r="4">
          <cell r="A4">
            <v>1000</v>
          </cell>
        </row>
        <row r="6">
          <cell r="A6">
            <v>1000000</v>
          </cell>
        </row>
        <row r="7">
          <cell r="A7">
            <v>10000000</v>
          </cell>
        </row>
      </sheetData>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row r="6">
          <cell r="B6" t="str">
            <v>DLF Laing O' Rourke (India) Ltd</v>
          </cell>
          <cell r="D6" t="str">
            <v>15/04/2006</v>
          </cell>
          <cell r="E6" t="str">
            <v>15/05/2006</v>
          </cell>
          <cell r="F6" t="str">
            <v>15/06/2006</v>
          </cell>
          <cell r="G6" t="str">
            <v>15/07/2006</v>
          </cell>
          <cell r="H6" t="str">
            <v>14/08/2006</v>
          </cell>
          <cell r="I6" t="str">
            <v>15/09/2006</v>
          </cell>
          <cell r="J6" t="str">
            <v>15/10/2006</v>
          </cell>
          <cell r="K6" t="str">
            <v>15/11/2006</v>
          </cell>
          <cell r="L6" t="str">
            <v>15/12/2006</v>
          </cell>
          <cell r="M6" t="str">
            <v>15/01/2007</v>
          </cell>
          <cell r="N6">
            <v>0</v>
          </cell>
          <cell r="O6" t="str">
            <v>15/03/2007</v>
          </cell>
        </row>
        <row r="7">
          <cell r="C7" t="str">
            <v>3rd Floor , Shopping Mall Complex , Arjun Marg , DLF City Phase - I Gurgaon.</v>
          </cell>
          <cell r="D7" t="str">
            <v>HR/GGN/27852</v>
          </cell>
          <cell r="F7" t="str">
            <v>2006 - 2007</v>
          </cell>
        </row>
        <row r="8">
          <cell r="B8" t="str">
            <v>7,161,961.00</v>
          </cell>
          <cell r="C8" t="str">
            <v>460</v>
          </cell>
          <cell r="D8" t="str">
            <v>12.00</v>
          </cell>
          <cell r="E8" t="str">
            <v xml:space="preserve">8.33% Or </v>
          </cell>
          <cell r="F8" t="str">
            <v>.50</v>
          </cell>
          <cell r="G8" t="str">
            <v>.01</v>
          </cell>
        </row>
      </sheetData>
      <sheetData sheetId="701"/>
      <sheetData sheetId="702" refreshError="1"/>
      <sheetData sheetId="703" refreshError="1"/>
      <sheetData sheetId="704" refreshError="1">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705" refreshError="1"/>
      <sheetData sheetId="706" refreshError="1"/>
      <sheetData sheetId="707"/>
      <sheetData sheetId="708"/>
      <sheetData sheetId="709"/>
      <sheetData sheetId="710"/>
      <sheetData sheetId="711"/>
      <sheetData sheetId="712"/>
      <sheetData sheetId="713" refreshError="1"/>
      <sheetData sheetId="714" refreshError="1"/>
      <sheetData sheetId="715" refreshError="1"/>
      <sheetData sheetId="716" refreshError="1">
        <row r="1">
          <cell r="P1">
            <v>0.72</v>
          </cell>
        </row>
      </sheetData>
      <sheetData sheetId="717" refreshError="1"/>
      <sheetData sheetId="718" refreshError="1"/>
      <sheetData sheetId="719" refreshError="1">
        <row r="1">
          <cell r="D1">
            <v>0</v>
          </cell>
        </row>
      </sheetData>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ow r="1">
          <cell r="D1">
            <v>0</v>
          </cell>
        </row>
      </sheetData>
      <sheetData sheetId="744">
        <row r="1">
          <cell r="D1">
            <v>0</v>
          </cell>
        </row>
      </sheetData>
      <sheetData sheetId="745">
        <row r="1">
          <cell r="D1">
            <v>0</v>
          </cell>
        </row>
      </sheetData>
      <sheetData sheetId="746"/>
      <sheetData sheetId="747"/>
      <sheetData sheetId="748"/>
      <sheetData sheetId="749">
        <row r="1">
          <cell r="D1">
            <v>0</v>
          </cell>
        </row>
      </sheetData>
      <sheetData sheetId="750">
        <row r="1">
          <cell r="D1">
            <v>0</v>
          </cell>
        </row>
      </sheetData>
      <sheetData sheetId="751" refreshError="1"/>
      <sheetData sheetId="752" refreshError="1"/>
      <sheetData sheetId="753" refreshError="1"/>
      <sheetData sheetId="754" refreshError="1"/>
      <sheetData sheetId="755"/>
      <sheetData sheetId="756"/>
      <sheetData sheetId="757">
        <row r="1">
          <cell r="D1">
            <v>0</v>
          </cell>
        </row>
      </sheetData>
      <sheetData sheetId="758"/>
      <sheetData sheetId="759"/>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row r="3">
          <cell r="B3" t="str">
            <v>JUNE</v>
          </cell>
        </row>
      </sheetData>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refreshError="1"/>
      <sheetData sheetId="941" refreshError="1">
        <row r="5">
          <cell r="B5">
            <v>3</v>
          </cell>
        </row>
        <row r="6">
          <cell r="B6">
            <v>9</v>
          </cell>
        </row>
        <row r="14">
          <cell r="F14" t="str">
            <v>31.03.07</v>
          </cell>
        </row>
        <row r="17">
          <cell r="F17" t="str">
            <v>31.03.10</v>
          </cell>
        </row>
      </sheetData>
      <sheetData sheetId="942" refreshError="1"/>
      <sheetData sheetId="943"/>
      <sheetData sheetId="944"/>
      <sheetData sheetId="945"/>
      <sheetData sheetId="946"/>
      <sheetData sheetId="947"/>
      <sheetData sheetId="948"/>
      <sheetData sheetId="949"/>
      <sheetData sheetId="950"/>
      <sheetData sheetId="951"/>
      <sheetData sheetId="952"/>
      <sheetData sheetId="953"/>
      <sheetData sheetId="954"/>
      <sheetData sheetId="955">
        <row r="4">
          <cell r="A4" t="str">
            <v>DETAILS OF FIXED ASSETS &amp; ACCUMULATED DEPRECIATION THEREON</v>
          </cell>
          <cell r="E4" t="str">
            <v xml:space="preserve"> </v>
          </cell>
        </row>
        <row r="5">
          <cell r="A5" t="str">
            <v>IN RESPECT OF R.A.O ---&gt; DHAR  (063)</v>
          </cell>
          <cell r="C5" t="str">
            <v xml:space="preserve"> </v>
          </cell>
          <cell r="D5" t="str">
            <v xml:space="preserve"> </v>
          </cell>
        </row>
        <row r="6">
          <cell r="A6" t="str">
            <v>=</v>
          </cell>
          <cell r="B6" t="str">
            <v>=</v>
          </cell>
          <cell r="C6" t="str">
            <v>=</v>
          </cell>
          <cell r="D6" t="str">
            <v>=</v>
          </cell>
          <cell r="E6" t="str">
            <v>=</v>
          </cell>
          <cell r="F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W6" t="str">
            <v>=</v>
          </cell>
          <cell r="AX6" t="str">
            <v>=</v>
          </cell>
          <cell r="AY6" t="str">
            <v>=</v>
          </cell>
          <cell r="AZ6" t="str">
            <v>=</v>
          </cell>
        </row>
        <row r="7">
          <cell r="A7" t="str">
            <v>A/c CODE</v>
          </cell>
          <cell r="B7" t="str">
            <v>DETAILS OF ASSETS</v>
          </cell>
          <cell r="C7" t="str">
            <v>LIFE</v>
          </cell>
          <cell r="D7" t="str">
            <v>RATE OF</v>
          </cell>
          <cell r="E7" t="str">
            <v>100% VALUE OF ASSETS</v>
          </cell>
          <cell r="F7" t="str">
            <v>ACCUMULATED</v>
          </cell>
          <cell r="G7" t="str">
            <v>100% VALUE OF ASSETS</v>
          </cell>
          <cell r="H7" t="str">
            <v>ACCUMULATED</v>
          </cell>
          <cell r="I7" t="str">
            <v>100% VALUE OF ASSETS</v>
          </cell>
          <cell r="J7" t="str">
            <v>ACCUMULATED</v>
          </cell>
          <cell r="K7" t="str">
            <v>100% VALUE OF ASSETS</v>
          </cell>
          <cell r="L7" t="str">
            <v>ACCUMULATED</v>
          </cell>
          <cell r="M7" t="str">
            <v>100% VALUE OF ASSETS</v>
          </cell>
          <cell r="N7" t="str">
            <v>ACCUMULATED</v>
          </cell>
          <cell r="O7" t="str">
            <v>100% VALUE OF ASSETS</v>
          </cell>
          <cell r="P7" t="str">
            <v>ACCUMULATED</v>
          </cell>
          <cell r="Q7" t="str">
            <v>100% VALUE OF ASSETS</v>
          </cell>
          <cell r="R7" t="str">
            <v>ACCUMULATED</v>
          </cell>
          <cell r="S7" t="str">
            <v>100% VALUE OF ASSETS</v>
          </cell>
          <cell r="T7" t="str">
            <v>ACCUMULATED</v>
          </cell>
          <cell r="U7" t="str">
            <v>100% VALUE OF ASSETS</v>
          </cell>
          <cell r="V7" t="str">
            <v>ACCUMULATED</v>
          </cell>
          <cell r="W7" t="str">
            <v>100% VALUE OF ASSETS</v>
          </cell>
          <cell r="X7" t="str">
            <v>ACCUMULATED</v>
          </cell>
          <cell r="Y7" t="str">
            <v>100% VALUE OF ASSETS</v>
          </cell>
          <cell r="Z7" t="str">
            <v>ACCUMULATED</v>
          </cell>
          <cell r="AA7" t="str">
            <v>100% VALUE OF ASSETS</v>
          </cell>
          <cell r="AB7" t="str">
            <v>ACCUMULATED</v>
          </cell>
          <cell r="AC7" t="str">
            <v>100% VALUE OF ASSETS</v>
          </cell>
          <cell r="AD7" t="str">
            <v>ACCUMULATED</v>
          </cell>
          <cell r="AE7" t="str">
            <v>100% VALUE OF ASSETS</v>
          </cell>
          <cell r="AF7" t="str">
            <v>ACCUMULATED</v>
          </cell>
          <cell r="AG7" t="str">
            <v>100% VALUE OF ASSETS</v>
          </cell>
          <cell r="AH7" t="str">
            <v>ACCUMULATED</v>
          </cell>
          <cell r="AI7" t="str">
            <v>100% VALUE OF ASSETS</v>
          </cell>
          <cell r="AJ7" t="str">
            <v>ACCUMULATED</v>
          </cell>
          <cell r="AK7" t="str">
            <v>100% VALUE OF ASSETS</v>
          </cell>
          <cell r="AL7" t="str">
            <v>ACCUMULATED</v>
          </cell>
          <cell r="AM7" t="str">
            <v>100% VALUE OF ASSETS</v>
          </cell>
          <cell r="AN7" t="str">
            <v>ACCUMULATED</v>
          </cell>
          <cell r="AO7" t="str">
            <v>100% VALUE OF ASSETS</v>
          </cell>
          <cell r="AP7" t="str">
            <v>ACCUMULATED</v>
          </cell>
          <cell r="AQ7" t="str">
            <v>100% VALUE OF ASSETS</v>
          </cell>
          <cell r="AR7" t="str">
            <v>ACCUMULATED</v>
          </cell>
          <cell r="AS7" t="str">
            <v>100% VALUE OF ASSETS</v>
          </cell>
          <cell r="AT7" t="str">
            <v>ACCUMULATED</v>
          </cell>
          <cell r="AU7" t="str">
            <v>100% VALUE OF ASSETS</v>
          </cell>
          <cell r="AV7" t="str">
            <v>ACCUMULATED</v>
          </cell>
          <cell r="AW7" t="str">
            <v>TOTAL VALUE OF</v>
          </cell>
          <cell r="AX7" t="str">
            <v>TOTAL ACCUMULATED</v>
          </cell>
          <cell r="AY7" t="str">
            <v>TOTAL ACCUMULATED</v>
          </cell>
          <cell r="AZ7" t="str">
            <v>DEPN.TO BE</v>
          </cell>
        </row>
        <row r="8">
          <cell r="C8" t="str">
            <v>IN</v>
          </cell>
          <cell r="D8" t="str">
            <v>DEPRN.</v>
          </cell>
          <cell r="E8" t="str">
            <v>COMMISSIONED IN</v>
          </cell>
          <cell r="F8" t="str">
            <v>DEPRECIATION</v>
          </cell>
          <cell r="G8" t="str">
            <v>COMMISSIONED IN</v>
          </cell>
          <cell r="H8" t="str">
            <v>DEPRECIATION</v>
          </cell>
          <cell r="I8" t="str">
            <v>COMMISSIONED IN</v>
          </cell>
          <cell r="J8" t="str">
            <v>DEPRECIATION</v>
          </cell>
          <cell r="K8" t="str">
            <v>COMMISSIONED IN</v>
          </cell>
          <cell r="L8" t="str">
            <v>DEPRECIATION</v>
          </cell>
          <cell r="M8" t="str">
            <v>COMMISSIONED IN</v>
          </cell>
          <cell r="N8" t="str">
            <v>DEPRECIATION</v>
          </cell>
          <cell r="O8" t="str">
            <v>COMMISSIONED IN</v>
          </cell>
          <cell r="P8" t="str">
            <v>DEPRECIATION</v>
          </cell>
          <cell r="Q8" t="str">
            <v>COMMISSIONED IN</v>
          </cell>
          <cell r="R8" t="str">
            <v>DEPRECIATION</v>
          </cell>
          <cell r="S8" t="str">
            <v>COMMISSIONED IN</v>
          </cell>
          <cell r="T8" t="str">
            <v>DEPRECIATION</v>
          </cell>
          <cell r="U8" t="str">
            <v>COMMISSIONED IN</v>
          </cell>
          <cell r="V8" t="str">
            <v>DEPRECIATION</v>
          </cell>
          <cell r="W8" t="str">
            <v>COMMISSIONED IN</v>
          </cell>
          <cell r="X8" t="str">
            <v>DEPRECIATION</v>
          </cell>
          <cell r="Y8" t="str">
            <v>COMMISSIONED IN</v>
          </cell>
          <cell r="Z8" t="str">
            <v>DEPRECIATION</v>
          </cell>
          <cell r="AA8" t="str">
            <v>COMMISSIONED IN</v>
          </cell>
          <cell r="AB8" t="str">
            <v>DEPRECIATION</v>
          </cell>
          <cell r="AC8" t="str">
            <v>COMMISSIONED IN</v>
          </cell>
          <cell r="AD8" t="str">
            <v>DEPRECIATION</v>
          </cell>
          <cell r="AE8" t="str">
            <v>COMMISSIONED IN</v>
          </cell>
          <cell r="AF8" t="str">
            <v>DEPRECIATION</v>
          </cell>
          <cell r="AG8" t="str">
            <v>COMMISSIONED IN</v>
          </cell>
          <cell r="AH8" t="str">
            <v>DEPRECIATION</v>
          </cell>
          <cell r="AI8" t="str">
            <v>COMMISSIONED IN</v>
          </cell>
          <cell r="AJ8" t="str">
            <v>DEPRECIATION</v>
          </cell>
          <cell r="AK8" t="str">
            <v>COMMISSIONED IN</v>
          </cell>
          <cell r="AL8" t="str">
            <v>DEPRECIATION</v>
          </cell>
          <cell r="AM8" t="str">
            <v>COMMISSIONED IN</v>
          </cell>
          <cell r="AN8" t="str">
            <v>DEPRECIATION</v>
          </cell>
          <cell r="AO8" t="str">
            <v>COMMISSIONED IN</v>
          </cell>
          <cell r="AP8" t="str">
            <v>DEPRECIATION</v>
          </cell>
          <cell r="AQ8" t="str">
            <v>COMMISSIONED IN</v>
          </cell>
          <cell r="AR8" t="str">
            <v>DEPRECIATION</v>
          </cell>
          <cell r="AS8" t="str">
            <v>COMMISSIONED IN</v>
          </cell>
          <cell r="AT8" t="str">
            <v>DEPRECIATION</v>
          </cell>
          <cell r="AU8" t="str">
            <v>COMMISSIONED IN</v>
          </cell>
          <cell r="AV8" t="str">
            <v>DEPRECIATION</v>
          </cell>
          <cell r="AW8" t="str">
            <v>ASSETS</v>
          </cell>
          <cell r="AX8" t="str">
            <v>DEPRECIATION</v>
          </cell>
          <cell r="AY8" t="str">
            <v>DEPRECIATION</v>
          </cell>
          <cell r="AZ8" t="str">
            <v xml:space="preserve">PROVIDED IN A/C </v>
          </cell>
        </row>
        <row r="9">
          <cell r="C9" t="str">
            <v>YEARS</v>
          </cell>
          <cell r="D9" t="str">
            <v>(%)</v>
          </cell>
          <cell r="E9" t="str">
            <v>195152 TO 8586</v>
          </cell>
          <cell r="F9" t="str">
            <v>RUPEES(31.3.2006)</v>
          </cell>
          <cell r="G9" t="str">
            <v>1984-85</v>
          </cell>
          <cell r="H9" t="str">
            <v>RUPEES(31.3.2006)</v>
          </cell>
          <cell r="I9" t="str">
            <v>1985-86</v>
          </cell>
          <cell r="J9" t="str">
            <v>RUPEES(31.3.2006)</v>
          </cell>
          <cell r="K9" t="str">
            <v>1986-87</v>
          </cell>
          <cell r="L9" t="str">
            <v>RUPEES(31.3.2006)</v>
          </cell>
          <cell r="M9" t="str">
            <v>1987-88</v>
          </cell>
          <cell r="N9" t="str">
            <v>RUPEES(31.3.2006)</v>
          </cell>
          <cell r="O9" t="str">
            <v>1988-89</v>
          </cell>
          <cell r="P9" t="str">
            <v>RUPEES(31.3.2006)</v>
          </cell>
          <cell r="Q9" t="str">
            <v>1989-90</v>
          </cell>
          <cell r="R9" t="str">
            <v>RUPEES(31.3.2006)</v>
          </cell>
          <cell r="S9" t="str">
            <v>1990-91</v>
          </cell>
          <cell r="T9" t="str">
            <v>RUPEES(31.3.2006)</v>
          </cell>
          <cell r="U9" t="str">
            <v>1991-92</v>
          </cell>
          <cell r="V9" t="str">
            <v>RUPEES(31.3.2006)</v>
          </cell>
          <cell r="W9" t="str">
            <v>1992-93</v>
          </cell>
          <cell r="X9" t="str">
            <v>RUPEES(31.3.2006)</v>
          </cell>
          <cell r="Y9" t="str">
            <v>1993-94</v>
          </cell>
          <cell r="Z9" t="str">
            <v>RUPEES(31.3.2006)</v>
          </cell>
          <cell r="AA9" t="str">
            <v>1994-95</v>
          </cell>
          <cell r="AB9" t="str">
            <v>RUPEES(31.3.2006)</v>
          </cell>
          <cell r="AC9" t="str">
            <v>1995-96</v>
          </cell>
          <cell r="AD9" t="str">
            <v>RUPEES(31.3.2006)</v>
          </cell>
          <cell r="AE9" t="str">
            <v>1996-97</v>
          </cell>
          <cell r="AF9" t="str">
            <v>RUPEES(31.3.2006)</v>
          </cell>
          <cell r="AG9" t="str">
            <v>1997-98</v>
          </cell>
          <cell r="AH9" t="str">
            <v>RUPEES(31.3.2006)</v>
          </cell>
          <cell r="AI9" t="str">
            <v>1998-99</v>
          </cell>
          <cell r="AJ9" t="str">
            <v>RUPEES(31.3.2006)</v>
          </cell>
          <cell r="AK9" t="str">
            <v>1999-2000</v>
          </cell>
          <cell r="AL9" t="str">
            <v>RUPEES(31.3.2006)</v>
          </cell>
          <cell r="AM9" t="str">
            <v>2000-01</v>
          </cell>
          <cell r="AN9" t="str">
            <v>RUPEES(31.3.2006)</v>
          </cell>
          <cell r="AO9" t="str">
            <v>2001-02</v>
          </cell>
          <cell r="AP9" t="str">
            <v>RUPEES(31.3.2006)</v>
          </cell>
          <cell r="AQ9" t="str">
            <v>2002-03</v>
          </cell>
          <cell r="AR9" t="str">
            <v>RUPEES(31.3.2006)</v>
          </cell>
          <cell r="AS9" t="str">
            <v>2003-04</v>
          </cell>
          <cell r="AT9" t="str">
            <v>RUPEES(31.3.2006)</v>
          </cell>
          <cell r="AU9" t="str">
            <v>2004-05</v>
          </cell>
          <cell r="AV9" t="str">
            <v>RUPEES(31.3.2006)</v>
          </cell>
          <cell r="AW9" t="str">
            <v>AS ON 31.05.2005</v>
          </cell>
          <cell r="AX9" t="str">
            <v>RUPEES(31.3.2006)</v>
          </cell>
          <cell r="AY9" t="str">
            <v>RUPEES(31.3.2005)</v>
          </cell>
          <cell r="AZ9" t="str">
            <v>OF 2005-06</v>
          </cell>
        </row>
        <row r="10">
          <cell r="A10" t="str">
            <v>=</v>
          </cell>
          <cell r="B10" t="str">
            <v>=</v>
          </cell>
          <cell r="C10" t="str">
            <v>=</v>
          </cell>
          <cell r="D10" t="str">
            <v>=</v>
          </cell>
          <cell r="E10" t="str">
            <v>=</v>
          </cell>
          <cell r="F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W10" t="str">
            <v>=</v>
          </cell>
          <cell r="AX10" t="str">
            <v>=</v>
          </cell>
          <cell r="AY10" t="str">
            <v>=</v>
          </cell>
          <cell r="AZ10" t="str">
            <v>=</v>
          </cell>
        </row>
        <row r="11">
          <cell r="A11">
            <v>1</v>
          </cell>
          <cell r="B11">
            <v>2</v>
          </cell>
          <cell r="C11">
            <v>3</v>
          </cell>
          <cell r="D11">
            <v>4</v>
          </cell>
          <cell r="E11">
            <v>5</v>
          </cell>
          <cell r="F11">
            <v>6</v>
          </cell>
          <cell r="G11">
            <v>7</v>
          </cell>
          <cell r="H11">
            <v>8</v>
          </cell>
          <cell r="I11">
            <v>9</v>
          </cell>
          <cell r="J11">
            <v>10</v>
          </cell>
          <cell r="K11">
            <v>11</v>
          </cell>
          <cell r="L11">
            <v>12</v>
          </cell>
          <cell r="M11">
            <v>13</v>
          </cell>
          <cell r="N11">
            <v>14</v>
          </cell>
          <cell r="O11">
            <v>15</v>
          </cell>
          <cell r="P11">
            <v>16</v>
          </cell>
          <cell r="Q11">
            <v>17</v>
          </cell>
          <cell r="R11">
            <v>18</v>
          </cell>
          <cell r="S11">
            <v>19</v>
          </cell>
          <cell r="T11">
            <v>20</v>
          </cell>
          <cell r="U11">
            <v>21</v>
          </cell>
          <cell r="V11">
            <v>22</v>
          </cell>
          <cell r="W11">
            <v>23</v>
          </cell>
          <cell r="X11">
            <v>24</v>
          </cell>
          <cell r="Y11">
            <v>25</v>
          </cell>
          <cell r="Z11">
            <v>26</v>
          </cell>
          <cell r="AA11">
            <v>27</v>
          </cell>
          <cell r="AB11">
            <v>28</v>
          </cell>
          <cell r="AC11">
            <v>29</v>
          </cell>
          <cell r="AD11">
            <v>30</v>
          </cell>
          <cell r="AE11">
            <v>31</v>
          </cell>
          <cell r="AF11">
            <v>32</v>
          </cell>
          <cell r="AG11">
            <v>33</v>
          </cell>
          <cell r="AH11">
            <v>34</v>
          </cell>
          <cell r="AI11">
            <v>35</v>
          </cell>
          <cell r="AJ11">
            <v>36</v>
          </cell>
          <cell r="AK11">
            <v>37</v>
          </cell>
          <cell r="AL11">
            <v>38</v>
          </cell>
          <cell r="AM11">
            <v>39</v>
          </cell>
          <cell r="AN11">
            <v>40</v>
          </cell>
          <cell r="AO11">
            <v>41</v>
          </cell>
          <cell r="AP11">
            <v>42</v>
          </cell>
          <cell r="AQ11">
            <v>43</v>
          </cell>
          <cell r="AR11">
            <v>44</v>
          </cell>
          <cell r="AS11">
            <v>45</v>
          </cell>
          <cell r="AT11">
            <v>46</v>
          </cell>
          <cell r="AU11">
            <v>47</v>
          </cell>
          <cell r="AV11">
            <v>48</v>
          </cell>
          <cell r="AW11">
            <v>49</v>
          </cell>
          <cell r="AX11">
            <v>50</v>
          </cell>
          <cell r="AY11">
            <v>51</v>
          </cell>
          <cell r="AZ11" t="str">
            <v>52=51-50</v>
          </cell>
        </row>
        <row r="12">
          <cell r="A12" t="str">
            <v>=</v>
          </cell>
          <cell r="B12" t="str">
            <v>=</v>
          </cell>
          <cell r="C12" t="str">
            <v>=</v>
          </cell>
          <cell r="D12" t="str">
            <v>=</v>
          </cell>
          <cell r="E12" t="str">
            <v>=</v>
          </cell>
          <cell r="F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W12" t="str">
            <v>=</v>
          </cell>
          <cell r="AX12" t="str">
            <v>=</v>
          </cell>
          <cell r="AY12" t="str">
            <v>=</v>
          </cell>
          <cell r="AZ12" t="str">
            <v>=</v>
          </cell>
        </row>
        <row r="13">
          <cell r="A13">
            <v>10.1</v>
          </cell>
          <cell r="B13" t="str">
            <v>LAND &amp; LAND RIGHTS</v>
          </cell>
        </row>
        <row r="14">
          <cell r="A14" t="str">
            <v>-----------------</v>
          </cell>
          <cell r="B14" t="str">
            <v>------------------</v>
          </cell>
        </row>
        <row r="15">
          <cell r="A15">
            <v>10101</v>
          </cell>
          <cell r="B15" t="str">
            <v>LAND OWNED UNDER FULL TITLE</v>
          </cell>
        </row>
        <row r="16">
          <cell r="A16">
            <v>10104</v>
          </cell>
          <cell r="B16" t="str">
            <v xml:space="preserve">COST OF LAND DEVELOPMENT NOT OF </v>
          </cell>
        </row>
        <row r="17">
          <cell r="B17" t="str">
            <v>ENDURING NATURE</v>
          </cell>
        </row>
        <row r="18">
          <cell r="A18">
            <v>10105</v>
          </cell>
          <cell r="B18" t="str">
            <v>COST OF LAND RESETTLEMENT (PROVISIONAL)</v>
          </cell>
        </row>
        <row r="19">
          <cell r="A19">
            <v>10106</v>
          </cell>
          <cell r="B19" t="str">
            <v xml:space="preserve">COST OF TREE PLANTATION FOR TREE CUTDOWN </v>
          </cell>
        </row>
        <row r="20">
          <cell r="A20" t="str">
            <v>-</v>
          </cell>
          <cell r="B20" t="str">
            <v>-</v>
          </cell>
        </row>
        <row r="21">
          <cell r="A21">
            <v>10102</v>
          </cell>
          <cell r="B21" t="str">
            <v>LAND HELD UNDER LEASE</v>
          </cell>
        </row>
        <row r="22">
          <cell r="A22">
            <v>10103</v>
          </cell>
          <cell r="B22" t="str">
            <v>COST OF LAND DEVELOPMENT ON LEASEHOLD LAND</v>
          </cell>
        </row>
        <row r="23">
          <cell r="A23" t="str">
            <v>-</v>
          </cell>
          <cell r="B23" t="str">
            <v>-</v>
          </cell>
        </row>
        <row r="24">
          <cell r="B24" t="str">
            <v>TOTAL OF 10.1</v>
          </cell>
        </row>
        <row r="25">
          <cell r="A25" t="str">
            <v>-</v>
          </cell>
          <cell r="B25" t="str">
            <v>-</v>
          </cell>
        </row>
        <row r="27">
          <cell r="A27">
            <v>10.199999999999999</v>
          </cell>
          <cell r="B27" t="str">
            <v>BUILDINGS CONTAINING GEN.,TRANSMISSION</v>
          </cell>
        </row>
        <row r="28">
          <cell r="B28" t="str">
            <v>&amp; DISTRIBUTION EQUIPMENT</v>
          </cell>
        </row>
        <row r="29">
          <cell r="A29" t="str">
            <v>------------------------------------</v>
          </cell>
          <cell r="B29" t="str">
            <v>-----------------------------------</v>
          </cell>
        </row>
        <row r="30">
          <cell r="A30">
            <v>10201</v>
          </cell>
          <cell r="B30" t="str">
            <v xml:space="preserve">BUILDINGS CONTAINING THERMO ELECTRIC </v>
          </cell>
        </row>
        <row r="31">
          <cell r="B31" t="str">
            <v>GENERATION EQUIPMENT</v>
          </cell>
        </row>
        <row r="32">
          <cell r="A32" t="str">
            <v>-</v>
          </cell>
          <cell r="B32" t="str">
            <v>-</v>
          </cell>
        </row>
        <row r="33">
          <cell r="A33">
            <v>10202</v>
          </cell>
          <cell r="B33" t="str">
            <v xml:space="preserve">BUILDINGS CONTAINING HYDRO GENERATION </v>
          </cell>
        </row>
        <row r="34">
          <cell r="B34" t="str">
            <v>EQUIPMENT</v>
          </cell>
        </row>
        <row r="35">
          <cell r="A35" t="str">
            <v>-</v>
          </cell>
          <cell r="B35" t="str">
            <v>-</v>
          </cell>
        </row>
        <row r="36">
          <cell r="A36">
            <v>10203</v>
          </cell>
          <cell r="B36" t="str">
            <v>BUILDINGS CONTAINING DIESEL ELEC.GEN.PLANT</v>
          </cell>
        </row>
        <row r="37">
          <cell r="A37" t="str">
            <v>-</v>
          </cell>
          <cell r="B37" t="str">
            <v>-</v>
          </cell>
        </row>
        <row r="38">
          <cell r="A38">
            <v>10207</v>
          </cell>
          <cell r="B38" t="str">
            <v xml:space="preserve">BUILDINGS CONTAINING TRANSMISSION </v>
          </cell>
        </row>
        <row r="39">
          <cell r="B39" t="str">
            <v>INSTALLATION</v>
          </cell>
        </row>
        <row r="40">
          <cell r="A40">
            <v>10208</v>
          </cell>
          <cell r="B40" t="str">
            <v xml:space="preserve">BUILDINGS CONTAINING DISTRIBUTION </v>
          </cell>
        </row>
        <row r="41">
          <cell r="B41" t="str">
            <v>INSTALLATION</v>
          </cell>
        </row>
        <row r="42">
          <cell r="A42">
            <v>10211</v>
          </cell>
          <cell r="B42" t="str">
            <v>OFFICE BUILDINGS</v>
          </cell>
        </row>
        <row r="43">
          <cell r="A43">
            <v>10222</v>
          </cell>
          <cell r="B43" t="str">
            <v>RESIDENTIAL COLONY FOR STAFF</v>
          </cell>
        </row>
        <row r="44">
          <cell r="A44">
            <v>10233</v>
          </cell>
          <cell r="B44" t="str">
            <v>OTHER BUILDINGS</v>
          </cell>
        </row>
        <row r="45">
          <cell r="A45">
            <v>10234</v>
          </cell>
          <cell r="B45" t="str">
            <v>P.C.C. BUILDINGS</v>
          </cell>
        </row>
        <row r="46">
          <cell r="A46">
            <v>10235</v>
          </cell>
          <cell r="B46" t="str">
            <v>M.T.R.U. BUILDINGS</v>
          </cell>
        </row>
        <row r="47">
          <cell r="A47">
            <v>10236</v>
          </cell>
          <cell r="B47" t="str">
            <v>M.R.U. BUILDINGS</v>
          </cell>
        </row>
        <row r="48">
          <cell r="A48">
            <v>10237</v>
          </cell>
          <cell r="B48" t="str">
            <v>FABRICATION WORKSHOP</v>
          </cell>
        </row>
        <row r="49">
          <cell r="A49" t="str">
            <v>-</v>
          </cell>
          <cell r="B49" t="str">
            <v>-</v>
          </cell>
        </row>
        <row r="50">
          <cell r="B50" t="str">
            <v>TOTAL OF 10.2</v>
          </cell>
        </row>
        <row r="51">
          <cell r="A51" t="str">
            <v>-</v>
          </cell>
          <cell r="B51" t="str">
            <v>-</v>
          </cell>
        </row>
        <row r="53">
          <cell r="A53">
            <v>10.3</v>
          </cell>
          <cell r="B53" t="str">
            <v>HYDRAULIC WORKS</v>
          </cell>
        </row>
        <row r="54">
          <cell r="A54" t="str">
            <v>-</v>
          </cell>
          <cell r="B54" t="str">
            <v>---------------</v>
          </cell>
        </row>
        <row r="55">
          <cell r="A55">
            <v>10301</v>
          </cell>
          <cell r="B55" t="str">
            <v xml:space="preserve">HYD.WORKS HYDRO ELEC.SYSTEMS,WEIRS,DAMS </v>
          </cell>
        </row>
        <row r="56">
          <cell r="A56" t="str">
            <v>-</v>
          </cell>
          <cell r="B56" t="str">
            <v>-</v>
          </cell>
        </row>
        <row r="57">
          <cell r="A57">
            <v>10310</v>
          </cell>
          <cell r="B57" t="str">
            <v>COOLING WATER SYSTEM</v>
          </cell>
        </row>
        <row r="58">
          <cell r="A58">
            <v>10311</v>
          </cell>
          <cell r="B58" t="str">
            <v>COOLING TOWERS</v>
          </cell>
        </row>
        <row r="59">
          <cell r="A59">
            <v>10315</v>
          </cell>
          <cell r="B59" t="str">
            <v xml:space="preserve">SWEET WATER ARRANGEMENTS INCLUDING </v>
          </cell>
        </row>
        <row r="60">
          <cell r="B60" t="str">
            <v>RESERVOIRS</v>
          </cell>
        </row>
        <row r="61">
          <cell r="A61">
            <v>10319</v>
          </cell>
          <cell r="B61" t="str">
            <v>DUCTS AND PENSTOCK</v>
          </cell>
        </row>
        <row r="62">
          <cell r="A62">
            <v>10320</v>
          </cell>
          <cell r="B62" t="str">
            <v xml:space="preserve">PLANT,PIPELINES FOR WATER SUPPLY IN </v>
          </cell>
        </row>
        <row r="63">
          <cell r="B63" t="str">
            <v>RESIDENTIAL COLONY</v>
          </cell>
        </row>
        <row r="64">
          <cell r="A64">
            <v>10321</v>
          </cell>
          <cell r="B64" t="str">
            <v>RESERVOIR,FOREBAY AND INTAKE</v>
          </cell>
        </row>
        <row r="65">
          <cell r="A65" t="str">
            <v>-</v>
          </cell>
          <cell r="B65" t="str">
            <v>-</v>
          </cell>
        </row>
        <row r="66">
          <cell r="A66">
            <v>10305</v>
          </cell>
          <cell r="B66" t="str">
            <v xml:space="preserve">HYDEL WORKS,RCC PIPES,SURGE TANKS,VALVES </v>
          </cell>
        </row>
        <row r="67">
          <cell r="A67">
            <v>10322</v>
          </cell>
          <cell r="B67" t="str">
            <v>DRAINAGE AND SEWARAGE RESIDENTIAL COLONY</v>
          </cell>
        </row>
        <row r="68">
          <cell r="A68">
            <v>10323</v>
          </cell>
          <cell r="B68" t="str">
            <v>BYPASS CHANNEL AND ITS WORKS</v>
          </cell>
        </row>
        <row r="69">
          <cell r="A69">
            <v>10324</v>
          </cell>
          <cell r="B69" t="str">
            <v>TAIL RACE CHANNEL</v>
          </cell>
        </row>
        <row r="70">
          <cell r="A70">
            <v>10325</v>
          </cell>
          <cell r="B70" t="str">
            <v>MISC. WORKS</v>
          </cell>
        </row>
        <row r="71">
          <cell r="A71" t="str">
            <v>-</v>
          </cell>
          <cell r="B71" t="str">
            <v>-</v>
          </cell>
        </row>
        <row r="72">
          <cell r="B72" t="str">
            <v>TOTAL OF 10.3</v>
          </cell>
        </row>
        <row r="73">
          <cell r="A73" t="str">
            <v>-</v>
          </cell>
          <cell r="B73" t="str">
            <v>-</v>
          </cell>
        </row>
        <row r="75">
          <cell r="A75">
            <v>10.4</v>
          </cell>
          <cell r="B75" t="str">
            <v>OTHER CIVIL WORKS</v>
          </cell>
        </row>
        <row r="76">
          <cell r="A76" t="str">
            <v>-</v>
          </cell>
          <cell r="B76" t="str">
            <v>-----------------</v>
          </cell>
        </row>
        <row r="77">
          <cell r="A77">
            <v>10401</v>
          </cell>
          <cell r="B77" t="str">
            <v>PUCCA ROADS</v>
          </cell>
        </row>
        <row r="78">
          <cell r="A78">
            <v>10402</v>
          </cell>
          <cell r="B78" t="str">
            <v>KUCHCHA ROADS</v>
          </cell>
        </row>
        <row r="79">
          <cell r="A79">
            <v>10412</v>
          </cell>
          <cell r="B79" t="str">
            <v>RAILWAY SIDINGS</v>
          </cell>
        </row>
        <row r="80">
          <cell r="A80">
            <v>10415</v>
          </cell>
          <cell r="B80" t="str">
            <v>RIVER INTAKE WELL</v>
          </cell>
        </row>
        <row r="81">
          <cell r="A81">
            <v>10420</v>
          </cell>
          <cell r="B81" t="str">
            <v>BOUNDARY WALL FOR CIVIL BUILDINGS</v>
          </cell>
        </row>
        <row r="82">
          <cell r="A82">
            <v>10425</v>
          </cell>
          <cell r="B82" t="str">
            <v>CONSTRUCTION OF DISCHARGE CANAL</v>
          </cell>
        </row>
        <row r="83">
          <cell r="A83" t="str">
            <v>-</v>
          </cell>
          <cell r="B83" t="str">
            <v>-</v>
          </cell>
        </row>
        <row r="84">
          <cell r="B84" t="str">
            <v>TOTAL OF 10.4</v>
          </cell>
        </row>
        <row r="85">
          <cell r="A85" t="str">
            <v>-</v>
          </cell>
          <cell r="B85" t="str">
            <v>-</v>
          </cell>
        </row>
        <row r="87">
          <cell r="A87">
            <v>10.5</v>
          </cell>
          <cell r="B87" t="str">
            <v>PLANT AND MACHINERY</v>
          </cell>
        </row>
        <row r="88">
          <cell r="A88" t="str">
            <v>-</v>
          </cell>
          <cell r="B88" t="str">
            <v>-------------------</v>
          </cell>
        </row>
        <row r="89">
          <cell r="A89">
            <v>10501</v>
          </cell>
          <cell r="B89" t="str">
            <v>BOILER PLANT &amp; EQUIPMENTS</v>
          </cell>
        </row>
        <row r="90">
          <cell r="A90">
            <v>10502</v>
          </cell>
          <cell r="B90" t="str">
            <v>FURNACE/BURNERS</v>
          </cell>
        </row>
        <row r="91">
          <cell r="A91">
            <v>10503</v>
          </cell>
          <cell r="B91" t="str">
            <v>TURBINE GENERATOR STEAM POWER GEN.</v>
          </cell>
        </row>
        <row r="92">
          <cell r="A92">
            <v>10504</v>
          </cell>
          <cell r="B92" t="str">
            <v>PLANT FOUNDATION FOR STEAM POWER PLANT</v>
          </cell>
        </row>
        <row r="93">
          <cell r="A93">
            <v>10507</v>
          </cell>
          <cell r="B93" t="str">
            <v>ASH HANDLING PLANT</v>
          </cell>
        </row>
        <row r="94">
          <cell r="A94">
            <v>10509</v>
          </cell>
          <cell r="B94" t="str">
            <v>AUXILIRIES IN STEAM POWER PLANT</v>
          </cell>
        </row>
        <row r="95">
          <cell r="A95">
            <v>10511</v>
          </cell>
          <cell r="B95" t="str">
            <v>LOCOMOTIVES AND WAGONS</v>
          </cell>
        </row>
        <row r="96">
          <cell r="A96">
            <v>10512</v>
          </cell>
          <cell r="B96" t="str">
            <v>COAL CONVEYOR &amp; CRUSHER</v>
          </cell>
        </row>
        <row r="97">
          <cell r="A97">
            <v>10515</v>
          </cell>
          <cell r="B97" t="str">
            <v>COAL HANDLING PLANT &amp; HANDLING EQUIPMENT</v>
          </cell>
        </row>
        <row r="98">
          <cell r="A98">
            <v>10516</v>
          </cell>
          <cell r="B98" t="str">
            <v>OIL TANKS, OIL HANDING PLANT &amp; EQUIPMENT</v>
          </cell>
        </row>
        <row r="99">
          <cell r="A99">
            <v>10520</v>
          </cell>
          <cell r="B99" t="str">
            <v>INSTRUMENTATION AND CONTROLS</v>
          </cell>
        </row>
        <row r="100">
          <cell r="A100">
            <v>10541</v>
          </cell>
          <cell r="B100" t="str">
            <v xml:space="preserve">TRANSMISSION PLANT-TRANSFORMERS </v>
          </cell>
        </row>
        <row r="101">
          <cell r="B101" t="str">
            <v>100 KVA &amp; ABOVE</v>
          </cell>
        </row>
        <row r="102">
          <cell r="A102">
            <v>10542</v>
          </cell>
          <cell r="B102" t="str">
            <v>OTHER TRANSFORMERS - POWER HOUSE</v>
          </cell>
        </row>
        <row r="103">
          <cell r="A103">
            <v>10543</v>
          </cell>
          <cell r="B103" t="str">
            <v xml:space="preserve">OTHER TRANS.PLANT SUB EQUIP. FIXED </v>
          </cell>
        </row>
        <row r="104">
          <cell r="B104" t="str">
            <v>APPARATUS</v>
          </cell>
        </row>
        <row r="105">
          <cell r="A105">
            <v>10544</v>
          </cell>
          <cell r="B105" t="str">
            <v xml:space="preserve">SUBSTATION TRANSFORMER &amp; KIOSKS </v>
          </cell>
        </row>
        <row r="106">
          <cell r="B106" t="str">
            <v>100 KVA &amp; ABOVE</v>
          </cell>
        </row>
        <row r="107">
          <cell r="A107">
            <v>10545</v>
          </cell>
          <cell r="B107" t="str">
            <v xml:space="preserve">SUBSTATION TRANSFORMER &amp; KIOSKS </v>
          </cell>
        </row>
        <row r="108">
          <cell r="B108" t="str">
            <v>BELOW 100 KVA</v>
          </cell>
        </row>
        <row r="109">
          <cell r="A109">
            <v>10546</v>
          </cell>
          <cell r="B109" t="str">
            <v>LINE TRANSFORMER BELOW 100 KVA</v>
          </cell>
        </row>
        <row r="110">
          <cell r="A110">
            <v>10561</v>
          </cell>
          <cell r="B110" t="str">
            <v>SWITCHGEARS INCLUDING CABLE CONNECTIONS</v>
          </cell>
        </row>
        <row r="111">
          <cell r="A111">
            <v>10565</v>
          </cell>
          <cell r="B111" t="str">
            <v>FABRICATION SHOP/WORKSHOP PLANT &amp; EQUIP.</v>
          </cell>
        </row>
        <row r="112">
          <cell r="A112">
            <v>10567</v>
          </cell>
          <cell r="B112" t="str">
            <v>LIGHTNING ARRESTORS</v>
          </cell>
        </row>
        <row r="113">
          <cell r="A113" t="str">
            <v>-</v>
          </cell>
          <cell r="B113" t="str">
            <v>-</v>
          </cell>
        </row>
        <row r="114">
          <cell r="A114">
            <v>10531</v>
          </cell>
          <cell r="B114" t="str">
            <v>HYDEL POWER GENERATION PLANTS</v>
          </cell>
        </row>
        <row r="115">
          <cell r="A115">
            <v>10532</v>
          </cell>
          <cell r="B115" t="str">
            <v xml:space="preserve">PLANT FOUNDATION FOR HYDEL POWER </v>
          </cell>
        </row>
        <row r="116">
          <cell r="B116" t="str">
            <v>GENERATING PLANT</v>
          </cell>
        </row>
        <row r="117">
          <cell r="A117">
            <v>10535</v>
          </cell>
          <cell r="B117" t="str">
            <v>AUXILIRIES IN HYDEL POWER PLANTS</v>
          </cell>
        </row>
        <row r="118">
          <cell r="A118" t="str">
            <v>-</v>
          </cell>
          <cell r="B118" t="str">
            <v>-</v>
          </cell>
        </row>
        <row r="119">
          <cell r="A119">
            <v>10517</v>
          </cell>
          <cell r="B119" t="str">
            <v>GAS STATIONS ,GAS PIPELINES ETC.</v>
          </cell>
        </row>
        <row r="120">
          <cell r="A120">
            <v>10536</v>
          </cell>
          <cell r="B120" t="str">
            <v>GAS POWER PLANTS</v>
          </cell>
        </row>
        <row r="121">
          <cell r="A121">
            <v>10537</v>
          </cell>
          <cell r="B121" t="str">
            <v>PLANT FOUNDATION FOR GAS POWER PLANTS</v>
          </cell>
        </row>
        <row r="122">
          <cell r="A122">
            <v>10538</v>
          </cell>
          <cell r="B122" t="str">
            <v>AUXILIRIES IN GAS POWER PLANTS</v>
          </cell>
        </row>
        <row r="123">
          <cell r="A123" t="str">
            <v>-</v>
          </cell>
          <cell r="B123" t="str">
            <v>-</v>
          </cell>
        </row>
        <row r="125">
          <cell r="A125">
            <v>10551</v>
          </cell>
          <cell r="B125" t="str">
            <v>MATERIAL HANDLING EQUIPMENT-EARTHMOVERS</v>
          </cell>
        </row>
        <row r="126">
          <cell r="B126" t="str">
            <v>BULLDOZER</v>
          </cell>
        </row>
        <row r="127">
          <cell r="A127">
            <v>10552</v>
          </cell>
          <cell r="B127" t="str">
            <v>MATERIAL HANDLING EQUIP. CEMENT - MIXERS</v>
          </cell>
        </row>
        <row r="128">
          <cell r="A128">
            <v>10553</v>
          </cell>
          <cell r="B128" t="str">
            <v>MATERIAL HANDLING EQUIP. CRANES</v>
          </cell>
        </row>
        <row r="129">
          <cell r="A129">
            <v>10555</v>
          </cell>
          <cell r="B129" t="str">
            <v>MATERIAL HANDLING EQUIPMENT - OTHERS</v>
          </cell>
        </row>
        <row r="130">
          <cell r="A130">
            <v>10563</v>
          </cell>
          <cell r="B130" t="str">
            <v>BATTERIES INCLUDING CHARGING EQUIPMENT</v>
          </cell>
        </row>
        <row r="131">
          <cell r="A131">
            <v>10577</v>
          </cell>
          <cell r="B131" t="str">
            <v>AIR-CONDITIONIG PLANT-PORTABLE</v>
          </cell>
        </row>
        <row r="132">
          <cell r="A132" t="str">
            <v>-</v>
          </cell>
          <cell r="B132" t="str">
            <v>-</v>
          </cell>
        </row>
        <row r="133">
          <cell r="A133">
            <v>10568</v>
          </cell>
          <cell r="B133" t="str">
            <v>SYNCHRONOUS CONDENSORS</v>
          </cell>
        </row>
        <row r="134">
          <cell r="A134" t="str">
            <v>-</v>
          </cell>
          <cell r="B134" t="str">
            <v>-</v>
          </cell>
        </row>
        <row r="135">
          <cell r="A135">
            <v>10571</v>
          </cell>
          <cell r="B135" t="str">
            <v xml:space="preserve">COMMUNICATON EQUIPMENT-RADIO &amp; HIGH </v>
          </cell>
        </row>
        <row r="136">
          <cell r="B136" t="str">
            <v>FREQUENCY CARRIER</v>
          </cell>
        </row>
        <row r="137">
          <cell r="A137">
            <v>10572</v>
          </cell>
          <cell r="B137" t="str">
            <v xml:space="preserve">COMMUNICATION EQUIPMENT- TELEPHONES </v>
          </cell>
        </row>
        <row r="138">
          <cell r="A138">
            <v>10574</v>
          </cell>
          <cell r="B138" t="str">
            <v>STATIC MACHINE TOOLS &amp; EQUIPMENTS</v>
          </cell>
        </row>
        <row r="139">
          <cell r="A139">
            <v>10576</v>
          </cell>
          <cell r="B139" t="str">
            <v>AIR-CONDITIONING PLANT-STATIC</v>
          </cell>
        </row>
        <row r="141">
          <cell r="A141">
            <v>10580</v>
          </cell>
          <cell r="B141" t="str">
            <v>REFRIGERATORS AND WATER COOLERS</v>
          </cell>
        </row>
        <row r="142">
          <cell r="A142">
            <v>10581</v>
          </cell>
          <cell r="B142" t="str">
            <v>METER TESTING LABORATORY TOOLS &amp; EQUIP.</v>
          </cell>
        </row>
        <row r="143">
          <cell r="A143">
            <v>10582</v>
          </cell>
          <cell r="B143" t="str">
            <v>EQUIPMENTS IN HOSPITALS/CLINICS</v>
          </cell>
        </row>
        <row r="144">
          <cell r="A144">
            <v>10583</v>
          </cell>
          <cell r="B144" t="str">
            <v>TOOLS AND TACKLES</v>
          </cell>
        </row>
        <row r="145">
          <cell r="A145">
            <v>10584</v>
          </cell>
          <cell r="B145" t="str">
            <v xml:space="preserve">PETROL PUMP REFILLING SERVICE </v>
          </cell>
        </row>
        <row r="146">
          <cell r="B146" t="str">
            <v xml:space="preserve"> </v>
          </cell>
        </row>
        <row r="147">
          <cell r="A147">
            <v>10599</v>
          </cell>
          <cell r="B147" t="str">
            <v xml:space="preserve">OTHER MISC. EQUIPMENTS INCLUDING </v>
          </cell>
        </row>
        <row r="148">
          <cell r="B148" t="str">
            <v>FIRE PROTECTION SYSTEM</v>
          </cell>
        </row>
        <row r="149">
          <cell r="A149" t="str">
            <v>-</v>
          </cell>
          <cell r="B149" t="str">
            <v>-</v>
          </cell>
        </row>
        <row r="150">
          <cell r="B150" t="str">
            <v>TOTAL OF 10.5</v>
          </cell>
        </row>
        <row r="151">
          <cell r="A151" t="str">
            <v>-</v>
          </cell>
          <cell r="B151" t="str">
            <v>-</v>
          </cell>
        </row>
        <row r="153">
          <cell r="A153">
            <v>10.6</v>
          </cell>
          <cell r="B153" t="str">
            <v>LINES,CABLE NETWORK ETC.</v>
          </cell>
        </row>
        <row r="154">
          <cell r="A154" t="str">
            <v>-</v>
          </cell>
          <cell r="B154" t="str">
            <v>-----------------------</v>
          </cell>
        </row>
        <row r="155">
          <cell r="A155">
            <v>10601</v>
          </cell>
          <cell r="B155" t="str">
            <v>OVERHEAD LINES ON FAB.STEEL OPERATING</v>
          </cell>
        </row>
        <row r="156">
          <cell r="B156" t="str">
            <v>AT VOLTAGE &gt; 66 KV</v>
          </cell>
        </row>
        <row r="157">
          <cell r="A157">
            <v>10611</v>
          </cell>
          <cell r="B157" t="str">
            <v xml:space="preserve">UNDERGROUND CABLES - JOINT BOXES </v>
          </cell>
        </row>
        <row r="158">
          <cell r="B158" t="str">
            <v>&amp; DISCONNECTING BOXES</v>
          </cell>
        </row>
        <row r="159">
          <cell r="A159" t="str">
            <v>-</v>
          </cell>
          <cell r="B159" t="str">
            <v>-</v>
          </cell>
        </row>
        <row r="160">
          <cell r="A160">
            <v>10602</v>
          </cell>
          <cell r="B160" t="str">
            <v>OVERHEAD LINES ON STEEL SUPPORT VOLTAGE</v>
          </cell>
        </row>
        <row r="161">
          <cell r="B161" t="str">
            <v>BETWEEN 13.2 AND 66 KV</v>
          </cell>
        </row>
        <row r="162">
          <cell r="A162">
            <v>10603</v>
          </cell>
          <cell r="B162" t="str">
            <v>OVERHEAD LINES ON RCC SUPPORT</v>
          </cell>
        </row>
        <row r="163">
          <cell r="A163">
            <v>10604</v>
          </cell>
          <cell r="B163" t="str">
            <v>OVERHEAD LINES - ON TREATED WOOD SUPPORT</v>
          </cell>
        </row>
        <row r="164">
          <cell r="A164" t="str">
            <v>-</v>
          </cell>
          <cell r="B164" t="str">
            <v>-</v>
          </cell>
        </row>
        <row r="165">
          <cell r="A165">
            <v>10612</v>
          </cell>
          <cell r="B165" t="str">
            <v>UNDERGROUND CABLES - CABLE DUCT SYSTEM</v>
          </cell>
        </row>
        <row r="166">
          <cell r="A166" t="str">
            <v>-</v>
          </cell>
          <cell r="B166" t="str">
            <v>-</v>
          </cell>
        </row>
        <row r="167">
          <cell r="A167">
            <v>10613</v>
          </cell>
          <cell r="B167" t="str">
            <v xml:space="preserve">INTERNAL WIRING INCLUDING FITTINGS </v>
          </cell>
        </row>
        <row r="168">
          <cell r="B168" t="str">
            <v>&amp; FIXTURES</v>
          </cell>
        </row>
        <row r="169">
          <cell r="A169">
            <v>10621</v>
          </cell>
          <cell r="B169" t="str">
            <v>SERVICE CONNECTIONS</v>
          </cell>
        </row>
        <row r="170">
          <cell r="A170">
            <v>10625</v>
          </cell>
          <cell r="B170" t="str">
            <v>TEMPORARY CONNECTIONS FOR SUPPLY OF POWER</v>
          </cell>
        </row>
        <row r="171">
          <cell r="A171">
            <v>10631</v>
          </cell>
          <cell r="B171" t="str">
            <v>METERING EQUIPMENTS</v>
          </cell>
        </row>
        <row r="172">
          <cell r="A172">
            <v>10641</v>
          </cell>
          <cell r="B172" t="str">
            <v>STREET LIGHTING AND SIGNAL SYSTEM</v>
          </cell>
        </row>
        <row r="173">
          <cell r="A173">
            <v>10651</v>
          </cell>
          <cell r="B173" t="str">
            <v xml:space="preserve">SINGLE POINT CONNECTIONS TO </v>
          </cell>
        </row>
        <row r="174">
          <cell r="B174" t="str">
            <v>JHUGGI JHOPDIES</v>
          </cell>
        </row>
        <row r="175">
          <cell r="A175">
            <v>10685</v>
          </cell>
          <cell r="B175" t="str">
            <v>MISCELLANEOUS EQUIPMENTS</v>
          </cell>
        </row>
        <row r="176">
          <cell r="A176" t="str">
            <v>-</v>
          </cell>
          <cell r="B176" t="str">
            <v>-</v>
          </cell>
        </row>
        <row r="177">
          <cell r="B177" t="str">
            <v>TOTAL OF 10.6</v>
          </cell>
        </row>
        <row r="178">
          <cell r="A178" t="str">
            <v>-</v>
          </cell>
          <cell r="B178" t="str">
            <v>-</v>
          </cell>
        </row>
        <row r="180">
          <cell r="A180">
            <v>10.7</v>
          </cell>
          <cell r="B180" t="str">
            <v>VEHICLES</v>
          </cell>
        </row>
        <row r="181">
          <cell r="A181" t="str">
            <v>-</v>
          </cell>
          <cell r="B181" t="str">
            <v>--------</v>
          </cell>
        </row>
        <row r="182">
          <cell r="A182">
            <v>10710</v>
          </cell>
          <cell r="B182" t="str">
            <v>TRUCKS,TEMPOS &amp; TREKKERS</v>
          </cell>
        </row>
        <row r="183">
          <cell r="A183">
            <v>10720</v>
          </cell>
          <cell r="B183" t="str">
            <v>BUSES INCLUDING MINI BUSES</v>
          </cell>
        </row>
        <row r="184">
          <cell r="A184">
            <v>10730</v>
          </cell>
          <cell r="B184" t="str">
            <v>JEEPS AND MOTER CARS</v>
          </cell>
        </row>
        <row r="185">
          <cell r="A185">
            <v>10740</v>
          </cell>
          <cell r="B185" t="str">
            <v>OTHER VEHICLES</v>
          </cell>
        </row>
        <row r="186">
          <cell r="A186" t="str">
            <v>-</v>
          </cell>
          <cell r="B186" t="str">
            <v>-</v>
          </cell>
        </row>
        <row r="187">
          <cell r="B187" t="str">
            <v>TOTAL OF 10.7</v>
          </cell>
        </row>
        <row r="188">
          <cell r="A188" t="str">
            <v>-</v>
          </cell>
          <cell r="B188" t="str">
            <v>-</v>
          </cell>
        </row>
        <row r="189">
          <cell r="A189" t="str">
            <v>-</v>
          </cell>
          <cell r="B189" t="str">
            <v>-</v>
          </cell>
        </row>
        <row r="190">
          <cell r="A190">
            <v>10800</v>
          </cell>
          <cell r="B190" t="str">
            <v>FURNITURE AND FIXTURES</v>
          </cell>
        </row>
        <row r="191">
          <cell r="A191" t="str">
            <v>-</v>
          </cell>
          <cell r="B191" t="str">
            <v>----------------------</v>
          </cell>
        </row>
        <row r="193">
          <cell r="A193">
            <v>10.9</v>
          </cell>
          <cell r="B193" t="str">
            <v>OFFICE EQUIPMENTS</v>
          </cell>
        </row>
        <row r="194">
          <cell r="A194" t="str">
            <v>-</v>
          </cell>
          <cell r="B194" t="str">
            <v>-----------------</v>
          </cell>
        </row>
        <row r="195">
          <cell r="A195">
            <v>10901</v>
          </cell>
          <cell r="B195" t="str">
            <v>CALCULATORS</v>
          </cell>
        </row>
        <row r="196">
          <cell r="A196">
            <v>10902</v>
          </cell>
          <cell r="B196" t="str">
            <v>TYPEWRITERS</v>
          </cell>
        </row>
        <row r="197">
          <cell r="A197">
            <v>10903</v>
          </cell>
          <cell r="B197" t="str">
            <v>CASH REGISTERS IN CASH OFFICES</v>
          </cell>
        </row>
        <row r="198">
          <cell r="A198">
            <v>10904</v>
          </cell>
          <cell r="B198" t="str">
            <v>OTHERS</v>
          </cell>
        </row>
        <row r="199">
          <cell r="A199">
            <v>10905</v>
          </cell>
          <cell r="B199" t="str">
            <v>COMPUTERS</v>
          </cell>
        </row>
        <row r="200">
          <cell r="A200" t="str">
            <v>-</v>
          </cell>
          <cell r="B200" t="str">
            <v>-</v>
          </cell>
        </row>
        <row r="201">
          <cell r="B201" t="str">
            <v>TOTAL OF 10.9</v>
          </cell>
        </row>
        <row r="202">
          <cell r="A202" t="str">
            <v>-</v>
          </cell>
          <cell r="B202" t="str">
            <v>-</v>
          </cell>
        </row>
        <row r="203">
          <cell r="A203" t="str">
            <v>=</v>
          </cell>
          <cell r="B203" t="str">
            <v>=</v>
          </cell>
        </row>
        <row r="204">
          <cell r="B204" t="str">
            <v>GRAND TOTAL OF GROUP 10</v>
          </cell>
        </row>
        <row r="205">
          <cell r="A205" t="str">
            <v>=</v>
          </cell>
          <cell r="B205" t="str">
            <v>=</v>
          </cell>
        </row>
        <row r="222">
          <cell r="A222">
            <v>10101</v>
          </cell>
          <cell r="B222" t="str">
            <v>LAND OWNED UNDER FULL TITLE</v>
          </cell>
        </row>
        <row r="223">
          <cell r="A223">
            <v>10104</v>
          </cell>
          <cell r="B223" t="str">
            <v xml:space="preserve">COST OF LAND DEVELOPMENT NOT OF </v>
          </cell>
        </row>
        <row r="224">
          <cell r="B224" t="str">
            <v>ENDURING NATURE</v>
          </cell>
        </row>
        <row r="225">
          <cell r="A225">
            <v>10105</v>
          </cell>
          <cell r="B225" t="str">
            <v>COST OF LAND RESETTLEMENT (PROVISIONAL)</v>
          </cell>
        </row>
        <row r="226">
          <cell r="A226">
            <v>10106</v>
          </cell>
          <cell r="B226" t="str">
            <v xml:space="preserve">COST OF TREE PLANTATION FOR TREE CUTDOWN </v>
          </cell>
        </row>
        <row r="227">
          <cell r="A227" t="str">
            <v>-</v>
          </cell>
          <cell r="B227" t="str">
            <v>-</v>
          </cell>
        </row>
        <row r="228">
          <cell r="A228">
            <v>10102</v>
          </cell>
          <cell r="B228" t="str">
            <v>LAND HELD UNDER LEASE</v>
          </cell>
        </row>
        <row r="229">
          <cell r="A229">
            <v>10103</v>
          </cell>
          <cell r="B229" t="str">
            <v>COST OF LAND DEVELOPMENT ON LEASEHOLD LAND</v>
          </cell>
        </row>
        <row r="230">
          <cell r="A230" t="str">
            <v>-</v>
          </cell>
          <cell r="B230" t="str">
            <v>-</v>
          </cell>
        </row>
        <row r="231">
          <cell r="B231" t="str">
            <v>TOTAL OF 10.1</v>
          </cell>
        </row>
        <row r="232">
          <cell r="A232" t="str">
            <v>-</v>
          </cell>
          <cell r="B232" t="str">
            <v>-</v>
          </cell>
        </row>
        <row r="234">
          <cell r="A234">
            <v>10.199999999999999</v>
          </cell>
          <cell r="B234" t="str">
            <v>BUILDINGS CONTAINING GEN.,TRANSMISSION</v>
          </cell>
        </row>
        <row r="235">
          <cell r="B235" t="str">
            <v>&amp; DISTRIBUTION EQUIPMENT</v>
          </cell>
        </row>
        <row r="236">
          <cell r="A236" t="str">
            <v>------------------------------------</v>
          </cell>
          <cell r="B236" t="str">
            <v>-----------------------------------</v>
          </cell>
        </row>
        <row r="237">
          <cell r="A237">
            <v>10201</v>
          </cell>
          <cell r="B237" t="str">
            <v xml:space="preserve">BUILDINGS CONTAINING THERMO ELECTRIC </v>
          </cell>
        </row>
        <row r="238">
          <cell r="B238" t="str">
            <v>GENERATION EQUIPMENT</v>
          </cell>
        </row>
        <row r="239">
          <cell r="A239" t="str">
            <v>-</v>
          </cell>
          <cell r="B239" t="str">
            <v>-</v>
          </cell>
        </row>
        <row r="240">
          <cell r="A240">
            <v>10202</v>
          </cell>
          <cell r="B240" t="str">
            <v xml:space="preserve">BUILDINGS CONTAINING HYDRO GENERATION </v>
          </cell>
        </row>
        <row r="241">
          <cell r="B241" t="str">
            <v>EQUIPMENT</v>
          </cell>
        </row>
        <row r="242">
          <cell r="A242" t="str">
            <v>-</v>
          </cell>
          <cell r="B242" t="str">
            <v>-</v>
          </cell>
        </row>
        <row r="243">
          <cell r="A243">
            <v>10203</v>
          </cell>
          <cell r="B243" t="str">
            <v>BUILDINGS CONTAINING DIESEL ELEC.GEN.PLANT</v>
          </cell>
        </row>
        <row r="244">
          <cell r="A244" t="str">
            <v>-</v>
          </cell>
          <cell r="B244" t="str">
            <v>-</v>
          </cell>
        </row>
        <row r="245">
          <cell r="A245">
            <v>10207</v>
          </cell>
          <cell r="B245" t="str">
            <v xml:space="preserve">BUILDINGS CONTAINING TRANSMISSION </v>
          </cell>
        </row>
        <row r="246">
          <cell r="B246" t="str">
            <v>INSTALLATION</v>
          </cell>
        </row>
        <row r="247">
          <cell r="A247">
            <v>10208</v>
          </cell>
          <cell r="B247" t="str">
            <v xml:space="preserve">BUILDINGS CONTAINING DISTRIBUTION </v>
          </cell>
        </row>
        <row r="248">
          <cell r="B248" t="str">
            <v>INSTALLATION</v>
          </cell>
        </row>
        <row r="249">
          <cell r="A249">
            <v>10211</v>
          </cell>
          <cell r="B249" t="str">
            <v>OFFICE BUILDINGS</v>
          </cell>
        </row>
        <row r="250">
          <cell r="A250">
            <v>10222</v>
          </cell>
          <cell r="B250" t="str">
            <v>RESIDENTIAL COLONY FOR STAFF</v>
          </cell>
        </row>
        <row r="251">
          <cell r="A251">
            <v>10233</v>
          </cell>
          <cell r="B251" t="str">
            <v>OTHER BUILDINGS</v>
          </cell>
        </row>
        <row r="252">
          <cell r="A252">
            <v>10234</v>
          </cell>
          <cell r="B252" t="str">
            <v>P.C.C. BUILDINGS</v>
          </cell>
        </row>
        <row r="253">
          <cell r="A253">
            <v>10235</v>
          </cell>
          <cell r="B253" t="str">
            <v>M.T.R.U. BUILDINGS</v>
          </cell>
        </row>
        <row r="254">
          <cell r="A254">
            <v>10236</v>
          </cell>
          <cell r="B254" t="str">
            <v>M.R.U. BUILDINGS</v>
          </cell>
        </row>
        <row r="255">
          <cell r="A255">
            <v>10237</v>
          </cell>
          <cell r="B255" t="str">
            <v>FABRICATION WORKSHOP</v>
          </cell>
        </row>
        <row r="256">
          <cell r="A256" t="str">
            <v>-</v>
          </cell>
          <cell r="B256" t="str">
            <v>-</v>
          </cell>
        </row>
        <row r="257">
          <cell r="B257" t="str">
            <v>TOTAL OF 10.2</v>
          </cell>
        </row>
        <row r="258">
          <cell r="A258" t="str">
            <v>-</v>
          </cell>
          <cell r="B258" t="str">
            <v>-</v>
          </cell>
        </row>
        <row r="260">
          <cell r="A260">
            <v>10.3</v>
          </cell>
          <cell r="B260" t="str">
            <v>HYDRAULIC WORKS</v>
          </cell>
        </row>
        <row r="261">
          <cell r="A261" t="str">
            <v>-</v>
          </cell>
          <cell r="B261" t="str">
            <v>---------------</v>
          </cell>
        </row>
        <row r="262">
          <cell r="A262">
            <v>10301</v>
          </cell>
          <cell r="B262" t="str">
            <v xml:space="preserve">HYD.WORKS HYDRO ELEC.SYSTEMS,WEIRS,DAMS </v>
          </cell>
        </row>
        <row r="263">
          <cell r="A263" t="str">
            <v>-</v>
          </cell>
          <cell r="B263" t="str">
            <v>-</v>
          </cell>
        </row>
        <row r="264">
          <cell r="A264">
            <v>10310</v>
          </cell>
          <cell r="B264" t="str">
            <v>COOLING WATER SYSTEM</v>
          </cell>
        </row>
        <row r="265">
          <cell r="A265">
            <v>10311</v>
          </cell>
          <cell r="B265" t="str">
            <v>COOLING TOWERS</v>
          </cell>
        </row>
        <row r="266">
          <cell r="A266">
            <v>10315</v>
          </cell>
          <cell r="B266" t="str">
            <v xml:space="preserve">SWEET WATER ARRANGEMENTS INCLUDING </v>
          </cell>
        </row>
        <row r="267">
          <cell r="B267" t="str">
            <v>RESERVOIRS</v>
          </cell>
        </row>
        <row r="268">
          <cell r="A268">
            <v>10319</v>
          </cell>
          <cell r="B268" t="str">
            <v>DUCTS AND PENSTOCK</v>
          </cell>
        </row>
        <row r="269">
          <cell r="A269">
            <v>10320</v>
          </cell>
          <cell r="B269" t="str">
            <v xml:space="preserve">PLANT,PIPELINES FOR WATER SUPPLY IN </v>
          </cell>
        </row>
        <row r="270">
          <cell r="B270" t="str">
            <v>RESIDENTIAL COLONY</v>
          </cell>
        </row>
        <row r="271">
          <cell r="A271">
            <v>10321</v>
          </cell>
          <cell r="B271" t="str">
            <v>RESERVOIR,FOREBAY AND INTAKE</v>
          </cell>
        </row>
        <row r="272">
          <cell r="A272" t="str">
            <v>-</v>
          </cell>
          <cell r="B272" t="str">
            <v>-</v>
          </cell>
        </row>
        <row r="273">
          <cell r="A273">
            <v>10305</v>
          </cell>
          <cell r="B273" t="str">
            <v xml:space="preserve">HYDEL WORKS,RCC PIPES,SURGE TANKS,VALVES </v>
          </cell>
        </row>
        <row r="274">
          <cell r="A274">
            <v>10322</v>
          </cell>
          <cell r="B274" t="str">
            <v>DRAINAGE AND SEWARAGE RESIDENTIAL COLONY</v>
          </cell>
        </row>
        <row r="275">
          <cell r="A275">
            <v>10323</v>
          </cell>
          <cell r="B275" t="str">
            <v>BYPASS CHANNEL AND ITS WORKS</v>
          </cell>
        </row>
        <row r="276">
          <cell r="A276">
            <v>10324</v>
          </cell>
          <cell r="B276" t="str">
            <v>TAIL RACE CHANNEL</v>
          </cell>
        </row>
        <row r="277">
          <cell r="A277">
            <v>10325</v>
          </cell>
          <cell r="B277" t="str">
            <v>MISC. WORKS</v>
          </cell>
        </row>
        <row r="278">
          <cell r="A278" t="str">
            <v>-</v>
          </cell>
          <cell r="B278" t="str">
            <v>-</v>
          </cell>
        </row>
        <row r="279">
          <cell r="B279" t="str">
            <v>TOTAL OF 10.3</v>
          </cell>
        </row>
        <row r="280">
          <cell r="A280" t="str">
            <v>-</v>
          </cell>
          <cell r="B280" t="str">
            <v>-</v>
          </cell>
        </row>
        <row r="282">
          <cell r="A282">
            <v>10.4</v>
          </cell>
          <cell r="B282" t="str">
            <v>OTHER CIVIL WORKS</v>
          </cell>
        </row>
        <row r="283">
          <cell r="A283" t="str">
            <v>-</v>
          </cell>
          <cell r="B283" t="str">
            <v>-----------------</v>
          </cell>
        </row>
        <row r="284">
          <cell r="A284">
            <v>10401</v>
          </cell>
          <cell r="B284" t="str">
            <v>PUCCA ROADS</v>
          </cell>
        </row>
        <row r="285">
          <cell r="A285">
            <v>10402</v>
          </cell>
          <cell r="B285" t="str">
            <v>KUCHCHA ROADS</v>
          </cell>
        </row>
        <row r="286">
          <cell r="A286">
            <v>10412</v>
          </cell>
          <cell r="B286" t="str">
            <v>RAILWAY SIDINGS</v>
          </cell>
        </row>
        <row r="287">
          <cell r="A287">
            <v>10415</v>
          </cell>
          <cell r="B287" t="str">
            <v>RIVER INTAKE WELL</v>
          </cell>
        </row>
        <row r="288">
          <cell r="A288">
            <v>10420</v>
          </cell>
          <cell r="B288" t="str">
            <v>BOUNDARY WALL FOR CIVIL BUILDINGS</v>
          </cell>
        </row>
        <row r="289">
          <cell r="A289">
            <v>10425</v>
          </cell>
          <cell r="B289" t="str">
            <v>CONSTRUCTION OF DISCHARGE CANAL</v>
          </cell>
        </row>
        <row r="290">
          <cell r="A290" t="str">
            <v>-</v>
          </cell>
          <cell r="B290" t="str">
            <v>-</v>
          </cell>
        </row>
        <row r="291">
          <cell r="B291" t="str">
            <v>TOTAL OF 10.4</v>
          </cell>
        </row>
        <row r="292">
          <cell r="A292" t="str">
            <v>-</v>
          </cell>
          <cell r="B292" t="str">
            <v>-</v>
          </cell>
        </row>
        <row r="294">
          <cell r="A294">
            <v>10.5</v>
          </cell>
          <cell r="B294" t="str">
            <v>PLANT AND MACHINERY</v>
          </cell>
        </row>
        <row r="295">
          <cell r="A295" t="str">
            <v>-</v>
          </cell>
          <cell r="B295" t="str">
            <v>-------------------</v>
          </cell>
        </row>
        <row r="296">
          <cell r="A296">
            <v>10501</v>
          </cell>
          <cell r="B296" t="str">
            <v>BOILER PLANT &amp; EQUIPMENTS</v>
          </cell>
        </row>
        <row r="297">
          <cell r="A297">
            <v>10502</v>
          </cell>
          <cell r="B297" t="str">
            <v>FURNACE/BURNERS</v>
          </cell>
        </row>
        <row r="298">
          <cell r="A298">
            <v>10503</v>
          </cell>
          <cell r="B298" t="str">
            <v>TURBINE GENERATOR STEAM POWER GEN.</v>
          </cell>
        </row>
        <row r="299">
          <cell r="A299">
            <v>10504</v>
          </cell>
          <cell r="B299" t="str">
            <v>PLANT FOUNDATION FOR STEAM POWER PLANT</v>
          </cell>
        </row>
        <row r="300">
          <cell r="A300">
            <v>10507</v>
          </cell>
          <cell r="B300" t="str">
            <v>ASH HANDLING PLANT</v>
          </cell>
        </row>
        <row r="301">
          <cell r="A301">
            <v>10509</v>
          </cell>
          <cell r="B301" t="str">
            <v>AUXILIRIES IN STEAM POWER PLANT</v>
          </cell>
        </row>
        <row r="302">
          <cell r="A302">
            <v>10511</v>
          </cell>
          <cell r="B302" t="str">
            <v>LOCOMOTIVES AND WAGONS</v>
          </cell>
        </row>
        <row r="303">
          <cell r="A303">
            <v>10512</v>
          </cell>
          <cell r="B303" t="str">
            <v>COAL CONVEYOR &amp; CRUSHER</v>
          </cell>
        </row>
        <row r="304">
          <cell r="A304">
            <v>10515</v>
          </cell>
          <cell r="B304" t="str">
            <v>COAL HANDLING PLANT &amp; HANDLING EQUIPMENT</v>
          </cell>
        </row>
        <row r="305">
          <cell r="A305">
            <v>10516</v>
          </cell>
          <cell r="B305" t="str">
            <v>OIL TANKS, OIL HANDING PLANT &amp; EQUIPMENT</v>
          </cell>
        </row>
        <row r="306">
          <cell r="A306">
            <v>10520</v>
          </cell>
          <cell r="B306" t="str">
            <v>INSTRUMENTATION AND CONTROLS</v>
          </cell>
        </row>
        <row r="307">
          <cell r="A307">
            <v>10541</v>
          </cell>
          <cell r="B307" t="str">
            <v xml:space="preserve">TRANSMISSION PLANT-TRANSFORMERS </v>
          </cell>
        </row>
        <row r="308">
          <cell r="B308" t="str">
            <v>100 KVA &amp; ABOVE</v>
          </cell>
        </row>
        <row r="309">
          <cell r="A309">
            <v>10542</v>
          </cell>
          <cell r="B309" t="str">
            <v>OTHER TRANSFORMERS - POWER HOUSE</v>
          </cell>
        </row>
        <row r="310">
          <cell r="A310">
            <v>10543</v>
          </cell>
          <cell r="B310" t="str">
            <v xml:space="preserve">OTHER TRANS.PLANT SUB EQUIP. FIXED </v>
          </cell>
        </row>
        <row r="311">
          <cell r="B311" t="str">
            <v>APPARATUS</v>
          </cell>
        </row>
        <row r="312">
          <cell r="A312">
            <v>10544</v>
          </cell>
          <cell r="B312" t="str">
            <v xml:space="preserve">SUBSTATION TRANSFORMER &amp; KIOSKS </v>
          </cell>
        </row>
        <row r="313">
          <cell r="B313" t="str">
            <v>100 KVA &amp; ABOVE</v>
          </cell>
        </row>
        <row r="314">
          <cell r="A314">
            <v>10545</v>
          </cell>
          <cell r="B314" t="str">
            <v xml:space="preserve">SUBSTATION TRANSFORMER &amp; KIOSKS </v>
          </cell>
        </row>
        <row r="315">
          <cell r="B315" t="str">
            <v>BELOW 100 KVA</v>
          </cell>
        </row>
        <row r="316">
          <cell r="A316">
            <v>10546</v>
          </cell>
          <cell r="B316" t="str">
            <v>LINE TRANSFORMER BELOW 100 KVA</v>
          </cell>
        </row>
        <row r="317">
          <cell r="A317">
            <v>10561</v>
          </cell>
          <cell r="B317" t="str">
            <v>SWITCHGEARS INCLUDING CABLE CONNECTIONS</v>
          </cell>
        </row>
        <row r="318">
          <cell r="A318">
            <v>10565</v>
          </cell>
          <cell r="B318" t="str">
            <v>FABRICATION SHOP/WORKSHOP PLANT &amp; EQUIP.</v>
          </cell>
        </row>
        <row r="319">
          <cell r="A319">
            <v>10567</v>
          </cell>
          <cell r="B319" t="str">
            <v>LIGHTNING ARRESTORS</v>
          </cell>
        </row>
        <row r="320">
          <cell r="A320" t="str">
            <v>-</v>
          </cell>
          <cell r="B320" t="str">
            <v>-</v>
          </cell>
        </row>
        <row r="321">
          <cell r="A321">
            <v>10531</v>
          </cell>
          <cell r="B321" t="str">
            <v>HYDEL POWER GENERATION PLANTS</v>
          </cell>
        </row>
        <row r="322">
          <cell r="A322">
            <v>10532</v>
          </cell>
          <cell r="B322" t="str">
            <v xml:space="preserve">PLANT FOUNDATION FOR HYDEL POWER </v>
          </cell>
        </row>
        <row r="323">
          <cell r="B323" t="str">
            <v>GENERATING PLANT</v>
          </cell>
        </row>
        <row r="324">
          <cell r="A324">
            <v>10535</v>
          </cell>
          <cell r="B324" t="str">
            <v>AUXILIRIES IN HYDEL POWER PLANTS</v>
          </cell>
        </row>
        <row r="325">
          <cell r="A325" t="str">
            <v>-</v>
          </cell>
          <cell r="B325" t="str">
            <v>-</v>
          </cell>
        </row>
        <row r="326">
          <cell r="A326">
            <v>10517</v>
          </cell>
          <cell r="B326" t="str">
            <v>GAS STATIONS ,GAS PIPELINES ETC.</v>
          </cell>
        </row>
        <row r="327">
          <cell r="A327">
            <v>10536</v>
          </cell>
          <cell r="B327" t="str">
            <v>GAS POWER PLANTS</v>
          </cell>
        </row>
        <row r="328">
          <cell r="A328">
            <v>10537</v>
          </cell>
          <cell r="B328" t="str">
            <v>PLANT FOUNDATION FOR GAS POWER PLANTS</v>
          </cell>
        </row>
        <row r="329">
          <cell r="A329">
            <v>10538</v>
          </cell>
          <cell r="B329" t="str">
            <v>AUXILIRIES IN GAS POWER PLANTS</v>
          </cell>
        </row>
        <row r="330">
          <cell r="A330" t="str">
            <v>-</v>
          </cell>
          <cell r="B330" t="str">
            <v>-</v>
          </cell>
        </row>
        <row r="332">
          <cell r="A332">
            <v>10551</v>
          </cell>
          <cell r="B332" t="str">
            <v>MATERIAL HANDLING EQUIPMENT-EARTHMOVERS</v>
          </cell>
        </row>
        <row r="333">
          <cell r="B333" t="str">
            <v>BULLDOZER</v>
          </cell>
        </row>
        <row r="334">
          <cell r="A334">
            <v>10552</v>
          </cell>
          <cell r="B334" t="str">
            <v>MATERIAL HANDLING EQUIP. CEMENT - MIXERS</v>
          </cell>
        </row>
        <row r="335">
          <cell r="A335">
            <v>10553</v>
          </cell>
          <cell r="B335" t="str">
            <v>MATERIAL HANDLING EQUIP. CRANES</v>
          </cell>
        </row>
        <row r="336">
          <cell r="A336">
            <v>10555</v>
          </cell>
          <cell r="B336" t="str">
            <v>MATERIAL HANDLING EQUIPMENT - OTHERS</v>
          </cell>
        </row>
        <row r="337">
          <cell r="A337">
            <v>10563</v>
          </cell>
          <cell r="B337" t="str">
            <v>BATTERIES INCLUDING CHARGING EQUIPMENT</v>
          </cell>
        </row>
        <row r="338">
          <cell r="A338">
            <v>10577</v>
          </cell>
          <cell r="B338" t="str">
            <v>AIR-CONDITIONIG PLANT-PORTABLE</v>
          </cell>
        </row>
        <row r="339">
          <cell r="A339" t="str">
            <v>-</v>
          </cell>
          <cell r="B339" t="str">
            <v>-</v>
          </cell>
        </row>
        <row r="340">
          <cell r="A340">
            <v>10568</v>
          </cell>
          <cell r="B340" t="str">
            <v>SYNCHRONOUS CONDENSORS</v>
          </cell>
        </row>
        <row r="341">
          <cell r="A341" t="str">
            <v>-</v>
          </cell>
          <cell r="B341" t="str">
            <v>-</v>
          </cell>
        </row>
        <row r="342">
          <cell r="A342">
            <v>10571</v>
          </cell>
          <cell r="B342" t="str">
            <v xml:space="preserve">COMMUNICATON EQUIPMENT-RADIO &amp; HIGH </v>
          </cell>
        </row>
        <row r="343">
          <cell r="B343" t="str">
            <v>FREQUENCY CARRIER</v>
          </cell>
        </row>
        <row r="344">
          <cell r="A344">
            <v>10572</v>
          </cell>
          <cell r="B344" t="str">
            <v xml:space="preserve">COMMUNICATION EQUIPMENT- TELEPHONES </v>
          </cell>
        </row>
        <row r="345">
          <cell r="A345">
            <v>10574</v>
          </cell>
          <cell r="B345" t="str">
            <v>STATIC MACHINE TOOLS &amp; EQUIPMENTS</v>
          </cell>
        </row>
        <row r="346">
          <cell r="A346">
            <v>10576</v>
          </cell>
          <cell r="B346" t="str">
            <v>AIR-CONDITIONING PLANT-STATIC</v>
          </cell>
        </row>
        <row r="348">
          <cell r="A348">
            <v>10580</v>
          </cell>
          <cell r="B348" t="str">
            <v>REFRIGERATORS AND WATER COOLERS</v>
          </cell>
        </row>
        <row r="349">
          <cell r="A349">
            <v>10581</v>
          </cell>
          <cell r="B349" t="str">
            <v>METER TESTING LABORATORY TOOLS &amp; EQUIP.</v>
          </cell>
        </row>
        <row r="350">
          <cell r="A350">
            <v>10582</v>
          </cell>
          <cell r="B350" t="str">
            <v>EQUIPMENTS IN HOSPITALS/CLINICS</v>
          </cell>
        </row>
        <row r="351">
          <cell r="A351">
            <v>10583</v>
          </cell>
          <cell r="B351" t="str">
            <v>TOOLS AND TACKLES</v>
          </cell>
        </row>
        <row r="352">
          <cell r="A352">
            <v>10584</v>
          </cell>
          <cell r="B352" t="str">
            <v xml:space="preserve">PETROL PUMP REFILLING SERVICE </v>
          </cell>
        </row>
        <row r="353">
          <cell r="B353" t="str">
            <v xml:space="preserve"> </v>
          </cell>
        </row>
        <row r="354">
          <cell r="A354">
            <v>10599</v>
          </cell>
          <cell r="B354" t="str">
            <v xml:space="preserve">OTHER MISC. EQUIPMENTS INCLUDING </v>
          </cell>
        </row>
        <row r="355">
          <cell r="B355" t="str">
            <v>FIRE PROTECTION SYSTEM</v>
          </cell>
        </row>
        <row r="356">
          <cell r="A356" t="str">
            <v>-</v>
          </cell>
          <cell r="B356" t="str">
            <v>-</v>
          </cell>
        </row>
        <row r="357">
          <cell r="B357" t="str">
            <v>TOTAL OF 10.5</v>
          </cell>
        </row>
        <row r="358">
          <cell r="A358" t="str">
            <v>-</v>
          </cell>
          <cell r="B358" t="str">
            <v>-</v>
          </cell>
        </row>
        <row r="360">
          <cell r="A360">
            <v>10.6</v>
          </cell>
          <cell r="B360" t="str">
            <v>LINES,CABLE NETWORK ETC.</v>
          </cell>
        </row>
        <row r="361">
          <cell r="A361" t="str">
            <v>-</v>
          </cell>
          <cell r="B361" t="str">
            <v>-----------------------</v>
          </cell>
        </row>
        <row r="362">
          <cell r="A362">
            <v>10601</v>
          </cell>
          <cell r="B362" t="str">
            <v>OVERHEAD LINES ON FAB.STEEL OPERATING</v>
          </cell>
        </row>
        <row r="363">
          <cell r="B363" t="str">
            <v>AT VOLTAGE &gt; 66 KV</v>
          </cell>
        </row>
        <row r="364">
          <cell r="A364">
            <v>10611</v>
          </cell>
          <cell r="B364" t="str">
            <v xml:space="preserve">UNDERGROUND CABLES - JOINT BOXES </v>
          </cell>
        </row>
        <row r="365">
          <cell r="B365" t="str">
            <v>&amp; DISCONNECTING BOXES</v>
          </cell>
        </row>
        <row r="366">
          <cell r="A366" t="str">
            <v>-</v>
          </cell>
          <cell r="B366" t="str">
            <v>-</v>
          </cell>
        </row>
        <row r="367">
          <cell r="A367">
            <v>10602</v>
          </cell>
          <cell r="B367" t="str">
            <v>OVERHEAD LINES ON STEEL SUPPORT VOLTAGE</v>
          </cell>
        </row>
        <row r="368">
          <cell r="B368" t="str">
            <v>BETWEEN 13.2 AND 66 KV</v>
          </cell>
        </row>
        <row r="369">
          <cell r="A369">
            <v>10603</v>
          </cell>
          <cell r="B369" t="str">
            <v>OVERHEAD LINES ON RCC SUPPORT</v>
          </cell>
        </row>
        <row r="370">
          <cell r="A370">
            <v>10604</v>
          </cell>
          <cell r="B370" t="str">
            <v>OVERHEAD LINES - ON TREATED WOOD SUPPORT</v>
          </cell>
        </row>
        <row r="371">
          <cell r="A371" t="str">
            <v>-</v>
          </cell>
          <cell r="B371" t="str">
            <v>-</v>
          </cell>
        </row>
        <row r="372">
          <cell r="A372">
            <v>10612</v>
          </cell>
          <cell r="B372" t="str">
            <v>UNDERGROUND CABLES - CABLE DUCT SYSTEM</v>
          </cell>
        </row>
        <row r="373">
          <cell r="A373" t="str">
            <v>-</v>
          </cell>
          <cell r="B373" t="str">
            <v>-</v>
          </cell>
        </row>
        <row r="374">
          <cell r="A374">
            <v>10613</v>
          </cell>
          <cell r="B374" t="str">
            <v xml:space="preserve">INTERNAL WIRING INCLUDING FITTINGS </v>
          </cell>
        </row>
        <row r="375">
          <cell r="B375" t="str">
            <v>&amp; FIXTURES</v>
          </cell>
        </row>
        <row r="376">
          <cell r="A376">
            <v>10621</v>
          </cell>
          <cell r="B376" t="str">
            <v>SERVICE CONNECTIONS</v>
          </cell>
        </row>
        <row r="377">
          <cell r="A377">
            <v>10625</v>
          </cell>
          <cell r="B377" t="str">
            <v>TEMPORARY CONNECTIONS FOR SUPPLY OF POWER</v>
          </cell>
        </row>
        <row r="378">
          <cell r="A378">
            <v>10631</v>
          </cell>
          <cell r="B378" t="str">
            <v>METERING EQUIPMENTS</v>
          </cell>
        </row>
        <row r="379">
          <cell r="A379">
            <v>10641</v>
          </cell>
          <cell r="B379" t="str">
            <v>STREET LIGHTING AND SIGNAL SYSTEM</v>
          </cell>
        </row>
        <row r="380">
          <cell r="A380">
            <v>10651</v>
          </cell>
          <cell r="B380" t="str">
            <v xml:space="preserve">SINGLE POINT CONNECTIONS TO </v>
          </cell>
        </row>
        <row r="381">
          <cell r="B381" t="str">
            <v>JHUGGI JHOPDIES</v>
          </cell>
        </row>
        <row r="382">
          <cell r="A382">
            <v>10685</v>
          </cell>
          <cell r="B382" t="str">
            <v>MISCELLANEOUS EQUIPMENTS</v>
          </cell>
        </row>
        <row r="383">
          <cell r="A383" t="str">
            <v>-</v>
          </cell>
          <cell r="B383" t="str">
            <v>-</v>
          </cell>
        </row>
        <row r="384">
          <cell r="B384" t="str">
            <v>TOTAL OF 10.6</v>
          </cell>
        </row>
        <row r="385">
          <cell r="A385" t="str">
            <v>-</v>
          </cell>
          <cell r="B385" t="str">
            <v>-</v>
          </cell>
        </row>
        <row r="387">
          <cell r="A387">
            <v>10.7</v>
          </cell>
          <cell r="B387" t="str">
            <v>VEHICLES</v>
          </cell>
        </row>
        <row r="388">
          <cell r="A388" t="str">
            <v>-</v>
          </cell>
          <cell r="B388" t="str">
            <v>--------</v>
          </cell>
        </row>
        <row r="389">
          <cell r="A389">
            <v>10710</v>
          </cell>
          <cell r="B389" t="str">
            <v>TRUCKS,TEMPOS &amp; TREKKERS</v>
          </cell>
        </row>
        <row r="390">
          <cell r="A390">
            <v>10720</v>
          </cell>
          <cell r="B390" t="str">
            <v>BUSES INCLUDING MINI BUSES</v>
          </cell>
        </row>
        <row r="391">
          <cell r="A391">
            <v>10730</v>
          </cell>
          <cell r="B391" t="str">
            <v>JEEPS AND MOTER CARS</v>
          </cell>
        </row>
        <row r="392">
          <cell r="A392">
            <v>10740</v>
          </cell>
          <cell r="B392" t="str">
            <v>OTHER VEHICLES</v>
          </cell>
        </row>
        <row r="393">
          <cell r="A393" t="str">
            <v>-</v>
          </cell>
          <cell r="B393" t="str">
            <v>-</v>
          </cell>
        </row>
        <row r="394">
          <cell r="B394" t="str">
            <v>TOTAL OF 10.7</v>
          </cell>
        </row>
        <row r="395">
          <cell r="A395" t="str">
            <v>-</v>
          </cell>
          <cell r="B395" t="str">
            <v>-</v>
          </cell>
        </row>
        <row r="396">
          <cell r="A396" t="str">
            <v>-</v>
          </cell>
          <cell r="B396" t="str">
            <v>-</v>
          </cell>
        </row>
        <row r="397">
          <cell r="A397">
            <v>10800</v>
          </cell>
          <cell r="B397" t="str">
            <v>FURNITURE AND FIXTURES</v>
          </cell>
        </row>
        <row r="398">
          <cell r="A398" t="str">
            <v>-</v>
          </cell>
          <cell r="B398" t="str">
            <v>----------------------</v>
          </cell>
        </row>
        <row r="400">
          <cell r="A400">
            <v>10.9</v>
          </cell>
          <cell r="B400" t="str">
            <v>OFFICE EQUIPMENTS</v>
          </cell>
        </row>
        <row r="401">
          <cell r="A401" t="str">
            <v>-</v>
          </cell>
          <cell r="B401" t="str">
            <v>-----------------</v>
          </cell>
        </row>
        <row r="402">
          <cell r="A402">
            <v>10901</v>
          </cell>
          <cell r="B402" t="str">
            <v>CALCULATORS</v>
          </cell>
        </row>
        <row r="403">
          <cell r="A403">
            <v>10902</v>
          </cell>
          <cell r="B403" t="str">
            <v>TYPEWRITERS</v>
          </cell>
        </row>
        <row r="404">
          <cell r="A404">
            <v>10903</v>
          </cell>
          <cell r="B404" t="str">
            <v>CASH REGISTERS IN CASH OFFICES</v>
          </cell>
        </row>
        <row r="405">
          <cell r="A405">
            <v>10904</v>
          </cell>
          <cell r="B405" t="str">
            <v>OTHERS</v>
          </cell>
        </row>
        <row r="406">
          <cell r="A406">
            <v>10905</v>
          </cell>
          <cell r="B406" t="str">
            <v>COMPUTERS</v>
          </cell>
        </row>
      </sheetData>
      <sheetData sheetId="956"/>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sheetData sheetId="1018">
        <row r="1">
          <cell r="A1" t="str">
            <v>Back to Index</v>
          </cell>
        </row>
      </sheetData>
      <sheetData sheetId="1019"/>
      <sheetData sheetId="1020"/>
      <sheetData sheetId="1021"/>
      <sheetData sheetId="1022"/>
      <sheetData sheetId="1023"/>
      <sheetData sheetId="1024"/>
      <sheetData sheetId="1025"/>
      <sheetData sheetId="1026"/>
      <sheetData sheetId="1027"/>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sheetData sheetId="1059"/>
      <sheetData sheetId="1060">
        <row r="30">
          <cell r="J30">
            <v>661.05</v>
          </cell>
        </row>
      </sheetData>
      <sheetData sheetId="1061">
        <row r="30">
          <cell r="J30">
            <v>489.24</v>
          </cell>
        </row>
      </sheetData>
      <sheetData sheetId="1062">
        <row r="30">
          <cell r="J30">
            <v>601.49</v>
          </cell>
        </row>
      </sheetData>
      <sheetData sheetId="1063">
        <row r="30">
          <cell r="J30">
            <v>737.94</v>
          </cell>
        </row>
      </sheetData>
      <sheetData sheetId="1064">
        <row r="30">
          <cell r="J30">
            <v>147.46</v>
          </cell>
        </row>
      </sheetData>
      <sheetData sheetId="1065" refreshError="1"/>
      <sheetData sheetId="1066" refreshError="1"/>
      <sheetData sheetId="1067" refreshError="1"/>
      <sheetData sheetId="1068" refreshError="1"/>
      <sheetData sheetId="1069" refreshError="1"/>
      <sheetData sheetId="10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BKDNS-11KV"/>
      <sheetName val="BKDNS-33KV"/>
      <sheetName val="BKDNS-EHT"/>
      <sheetName val="Newabstract"/>
      <sheetName val="SHORTFALL"/>
      <sheetName val="ehtbds"/>
      <sheetName val="EHT"/>
      <sheetName val="BKDNS"/>
      <sheetName val="ehtbd"/>
      <sheetName val="PTR-FAILURES"/>
      <sheetName val="DTR-FAILURES"/>
      <sheetName val="disomwiseDTRs"/>
      <sheetName val="EHT-ABSTRACT"/>
      <sheetName val="BKDNS (2)"/>
      <sheetName val="24-07-04 "/>
      <sheetName val="ABST(SOUTH)"/>
      <sheetName val="Profit &amp; Loss"/>
      <sheetName val="Profit &amp; Loss july"/>
      <sheetName val="27-08-04  (2)"/>
      <sheetName val="ABST(SOUTH) rev 08-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FIXLD"/>
      <sheetName val="FC"/>
      <sheetName val="Load"/>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row r="1">
          <cell r="A1" t="str">
            <v>CATEGORY</v>
          </cell>
          <cell r="B1" t="str">
            <v>RESULT</v>
          </cell>
          <cell r="C1" t="str">
            <v>RESULT</v>
          </cell>
          <cell r="D1" t="str">
            <v>FIXED</v>
          </cell>
          <cell r="E1" t="str">
            <v>LOAD</v>
          </cell>
        </row>
        <row r="2">
          <cell r="D2">
            <v>38388</v>
          </cell>
        </row>
        <row r="3">
          <cell r="A3" t="str">
            <v>LMV-1</v>
          </cell>
          <cell r="B3" t="str">
            <v>D(2)            Other Upto 1kw and 1 Phase</v>
          </cell>
          <cell r="C3" t="str">
            <v>D(2)            Other Upto 1kw and 1 Phase</v>
          </cell>
          <cell r="D3">
            <v>19075</v>
          </cell>
          <cell r="E3">
            <v>394</v>
          </cell>
        </row>
        <row r="4">
          <cell r="A4" t="str">
            <v>LMV-1</v>
          </cell>
          <cell r="B4" t="str">
            <v>D(3)            Other Above 1kw and 1 Phase</v>
          </cell>
          <cell r="C4" t="str">
            <v>D(3)            Other Above 1kw and 1 Phase</v>
          </cell>
          <cell r="D4">
            <v>1376075</v>
          </cell>
          <cell r="E4">
            <v>28198</v>
          </cell>
        </row>
        <row r="5">
          <cell r="A5" t="str">
            <v>LMV-1</v>
          </cell>
          <cell r="B5" t="str">
            <v>D(4)            Other 3 Phase</v>
          </cell>
          <cell r="C5" t="str">
            <v>D(4)            Other 3 Phase</v>
          </cell>
          <cell r="D5">
            <v>418309.83</v>
          </cell>
          <cell r="E5">
            <v>8737</v>
          </cell>
        </row>
        <row r="6">
          <cell r="A6" t="str">
            <v>LMV-1</v>
          </cell>
          <cell r="B6" t="str">
            <v>D(5)            Registered Societies</v>
          </cell>
          <cell r="C6" t="str">
            <v>D(5)            Registered Societies</v>
          </cell>
          <cell r="D6">
            <v>74580</v>
          </cell>
          <cell r="E6">
            <v>2486</v>
          </cell>
        </row>
        <row r="7">
          <cell r="A7" t="str">
            <v>LMV-2</v>
          </cell>
          <cell r="B7" t="str">
            <v>C(1)            Other Upto 1kw and 1 Phase</v>
          </cell>
          <cell r="C7" t="str">
            <v>C(1)            Other Upto 1kw and 1 Phase</v>
          </cell>
          <cell r="D7">
            <v>320</v>
          </cell>
          <cell r="E7">
            <v>4</v>
          </cell>
        </row>
        <row r="8">
          <cell r="A8" t="str">
            <v>LMV-2</v>
          </cell>
          <cell r="B8" t="str">
            <v>C(2)            Other Above 1kw and 1 Phase</v>
          </cell>
          <cell r="C8" t="str">
            <v>C(2)            Other Above 1kw and 1 Phase</v>
          </cell>
          <cell r="D8">
            <v>80104</v>
          </cell>
          <cell r="E8">
            <v>1023</v>
          </cell>
        </row>
        <row r="9">
          <cell r="A9" t="str">
            <v>LMV-2</v>
          </cell>
          <cell r="B9" t="str">
            <v>C(3)            Other 3 Phase</v>
          </cell>
          <cell r="C9" t="str">
            <v>C(3)            Other 3 Phase</v>
          </cell>
          <cell r="D9">
            <v>220124.58</v>
          </cell>
          <cell r="E9">
            <v>3191.3330000000001</v>
          </cell>
        </row>
        <row r="10">
          <cell r="A10" t="str">
            <v>LMV-4(A)</v>
          </cell>
          <cell r="B10" t="str">
            <v>PI(1)           Other Upto 1kw and 1 Phase</v>
          </cell>
          <cell r="C10" t="str">
            <v>PI(1)           Other Upto 1kw and 1 Phase</v>
          </cell>
          <cell r="D10">
            <v>75</v>
          </cell>
          <cell r="E10">
            <v>1</v>
          </cell>
        </row>
        <row r="11">
          <cell r="A11" t="str">
            <v>LMV-4(A)</v>
          </cell>
          <cell r="B11" t="str">
            <v>PI(2)           Other Above 1kw and 1 Phase</v>
          </cell>
          <cell r="C11" t="str">
            <v>PI(2)           Other Above 1kw and 1 Phase</v>
          </cell>
          <cell r="D11">
            <v>750</v>
          </cell>
          <cell r="E11">
            <v>12</v>
          </cell>
        </row>
        <row r="12">
          <cell r="A12" t="str">
            <v>LMV-4(A)</v>
          </cell>
          <cell r="B12" t="str">
            <v>PI(3)           Other 3 Phase</v>
          </cell>
          <cell r="C12" t="str">
            <v>PI(3)           Other 3 Phase</v>
          </cell>
          <cell r="D12">
            <v>70533</v>
          </cell>
          <cell r="E12">
            <v>1006.22</v>
          </cell>
        </row>
        <row r="13">
          <cell r="A13" t="str">
            <v>LMV-4(B)</v>
          </cell>
          <cell r="B13" t="str">
            <v>PI(1)           Other Upto 5kw</v>
          </cell>
          <cell r="C13" t="str">
            <v>PI(1)           Other Upto 5kw</v>
          </cell>
          <cell r="D13">
            <v>1600</v>
          </cell>
          <cell r="E13">
            <v>20</v>
          </cell>
        </row>
        <row r="14">
          <cell r="A14" t="str">
            <v>LMV-4(B)</v>
          </cell>
          <cell r="B14" t="str">
            <v>PI(2)           Other 5kw to 10kw</v>
          </cell>
          <cell r="C14" t="str">
            <v>PI(2)           Other 5kw to 10kw</v>
          </cell>
          <cell r="D14">
            <v>1320</v>
          </cell>
          <cell r="E14">
            <v>17.5</v>
          </cell>
        </row>
        <row r="15">
          <cell r="A15" t="str">
            <v>LMV-4(B)</v>
          </cell>
          <cell r="B15" t="str">
            <v>PI(3)           Other Above 10kw</v>
          </cell>
          <cell r="C15" t="str">
            <v>PI(3)           Other Above 10kw</v>
          </cell>
          <cell r="D15">
            <v>154306.48000000001</v>
          </cell>
          <cell r="E15">
            <v>2276</v>
          </cell>
        </row>
        <row r="16">
          <cell r="A16" t="str">
            <v>LMV-5</v>
          </cell>
          <cell r="B16" t="str">
            <v>PTW             PTW (Metered) LMV-5</v>
          </cell>
          <cell r="C16" t="str">
            <v>PTW             PTW (Metered) LMV-5</v>
          </cell>
          <cell r="D16">
            <v>12097.5</v>
          </cell>
          <cell r="E16">
            <v>445.5</v>
          </cell>
        </row>
        <row r="17">
          <cell r="A17" t="str">
            <v>LMV-6</v>
          </cell>
          <cell r="B17" t="str">
            <v>Upto 25 BHP :</v>
          </cell>
          <cell r="C17" t="str">
            <v>Upto 25 BHP :</v>
          </cell>
        </row>
        <row r="18">
          <cell r="A18" t="str">
            <v>LMV-6</v>
          </cell>
          <cell r="B18" t="str">
            <v>I(1)a(i)        Supply on rural feeder</v>
          </cell>
          <cell r="C18" t="str">
            <v>I(1)a(i)        Supply on rural feeder</v>
          </cell>
          <cell r="D18">
            <v>9693.5400000000009</v>
          </cell>
          <cell r="E18">
            <v>195.51</v>
          </cell>
        </row>
        <row r="19">
          <cell r="A19" t="str">
            <v>LMV-6</v>
          </cell>
          <cell r="B19" t="str">
            <v>I(1)a(ii)       Supply on urban feeder</v>
          </cell>
          <cell r="C19" t="str">
            <v>I(1)a(ii)       Supply on urban feeder</v>
          </cell>
          <cell r="D19">
            <v>217074.06</v>
          </cell>
          <cell r="E19">
            <v>3450.1750000000002</v>
          </cell>
        </row>
        <row r="20">
          <cell r="A20" t="str">
            <v>LMV-6</v>
          </cell>
          <cell r="B20" t="str">
            <v>Above 25 BHP and upto 100 BHP :</v>
          </cell>
          <cell r="C20" t="str">
            <v>Above 25 BHP and upto 100 BHP :</v>
          </cell>
        </row>
        <row r="21">
          <cell r="A21" t="str">
            <v>LMV-6</v>
          </cell>
          <cell r="B21" t="str">
            <v>I(1)b(ii)-A     Urban cons-unrestricted supply (Peak-hours)</v>
          </cell>
          <cell r="C21" t="str">
            <v>I(1)b(ii)-A     Urban cons-unrestricted supply (Peak-hours)</v>
          </cell>
          <cell r="D21">
            <v>314095.7</v>
          </cell>
          <cell r="E21">
            <v>5525</v>
          </cell>
        </row>
        <row r="22">
          <cell r="A22" t="str">
            <v>LMV-6</v>
          </cell>
          <cell r="B22" t="str">
            <v>I(1)b(ii)-B     Urban cons-restricted supply</v>
          </cell>
          <cell r="C22" t="str">
            <v>I(1)b(ii)-B     Urban cons-restricted supply</v>
          </cell>
          <cell r="D22">
            <v>216282.55</v>
          </cell>
          <cell r="E22">
            <v>3813.1660000000002</v>
          </cell>
        </row>
        <row r="23">
          <cell r="A23" t="str">
            <v>LMV-6</v>
          </cell>
          <cell r="B23" t="str">
            <v>I(1)b(ii)-C     Consumers - supply on rural feeders</v>
          </cell>
          <cell r="C23" t="str">
            <v>I(1)b(ii)-C     Consumers - supply on rural feeders</v>
          </cell>
          <cell r="D23">
            <v>0</v>
          </cell>
          <cell r="E23">
            <v>0</v>
          </cell>
        </row>
        <row r="24">
          <cell r="A24" t="str">
            <v>LMV-7</v>
          </cell>
          <cell r="B24" t="str">
            <v>PWW             Public Water Works (Metered) LMV-7</v>
          </cell>
          <cell r="C24" t="str">
            <v>PWW             Public Water Works (Metered) LMV-7</v>
          </cell>
          <cell r="D24">
            <v>46450.5</v>
          </cell>
          <cell r="E24">
            <v>688.34</v>
          </cell>
        </row>
        <row r="25">
          <cell r="A25" t="str">
            <v>LMV-9</v>
          </cell>
          <cell r="B25" t="str">
            <v>C(1)            Other Upto 5kw</v>
          </cell>
          <cell r="C25" t="str">
            <v>C(1)            Other Upto 5kw</v>
          </cell>
          <cell r="D25">
            <v>0</v>
          </cell>
          <cell r="E25">
            <v>2440</v>
          </cell>
        </row>
        <row r="26">
          <cell r="A26" t="str">
            <v>LMV-9</v>
          </cell>
          <cell r="B26" t="str">
            <v>C(2)            Other 5kw to 10kw</v>
          </cell>
          <cell r="C26" t="str">
            <v>C(2)            Other 5kw to 10kw</v>
          </cell>
          <cell r="D26">
            <v>0</v>
          </cell>
          <cell r="E26">
            <v>334</v>
          </cell>
        </row>
        <row r="27">
          <cell r="A27" t="str">
            <v>LMV-9</v>
          </cell>
          <cell r="B27" t="str">
            <v>C(3)            Other Above 10kw</v>
          </cell>
          <cell r="C27" t="str">
            <v>C(3)            Other Above 10kw</v>
          </cell>
          <cell r="D27">
            <v>0</v>
          </cell>
          <cell r="E27">
            <v>1403</v>
          </cell>
        </row>
        <row r="28">
          <cell r="A28" t="str">
            <v>HV-2</v>
          </cell>
          <cell r="B28" t="str">
            <v>I(2O)a(i)       Unrestricted and Independent Feeder</v>
          </cell>
          <cell r="C28" t="str">
            <v>I(2O)a(i)       Unrestricted and Independent Feeder</v>
          </cell>
          <cell r="D28">
            <v>541620</v>
          </cell>
          <cell r="E28">
            <v>3200</v>
          </cell>
        </row>
        <row r="29">
          <cell r="A29" t="str">
            <v>HV-2</v>
          </cell>
          <cell r="B29" t="str">
            <v>I(2O)a(ii)      Unrestricted and Common Feeder</v>
          </cell>
          <cell r="C29" t="str">
            <v>I(2O)a(ii)      Unrestricted and Common Feeder</v>
          </cell>
          <cell r="D29">
            <v>7525317.1399999997</v>
          </cell>
          <cell r="E29">
            <v>52398.66</v>
          </cell>
        </row>
        <row r="30">
          <cell r="A30" t="str">
            <v>HV-2</v>
          </cell>
          <cell r="B30" t="str">
            <v>I(2O)b(i)       Restricted and Independent Feeder</v>
          </cell>
          <cell r="C30" t="str">
            <v>I(2O)b(i)       Restricted and Independent Feeder</v>
          </cell>
          <cell r="D30">
            <v>318750</v>
          </cell>
          <cell r="E30">
            <v>2500</v>
          </cell>
        </row>
        <row r="31">
          <cell r="A31" t="str">
            <v>HV-2</v>
          </cell>
          <cell r="B31" t="str">
            <v>I(2O)b(ii)      Restricted and Common Feeder</v>
          </cell>
          <cell r="C31" t="str">
            <v>I(2O)b(ii)      Restricted and Common Feeder</v>
          </cell>
          <cell r="D31">
            <v>1287454.8</v>
          </cell>
          <cell r="E31">
            <v>8337</v>
          </cell>
        </row>
      </sheetData>
      <sheetData sheetId="1"/>
      <sheetData sheetId="2"/>
      <sheetData sheetId="3">
        <row r="1">
          <cell r="B1">
            <v>0</v>
          </cell>
        </row>
      </sheetData>
      <sheetData sheetId="4"/>
      <sheetData sheetId="5"/>
      <sheetData sheetId="6">
        <row r="1">
          <cell r="B1">
            <v>0</v>
          </cell>
        </row>
      </sheetData>
      <sheetData sheetId="7"/>
      <sheetData sheetId="8"/>
      <sheetData sheetId="9">
        <row r="1">
          <cell r="B1">
            <v>0</v>
          </cell>
        </row>
      </sheetData>
      <sheetData sheetId="10"/>
      <sheetData sheetId="11"/>
      <sheetData sheetId="12"/>
      <sheetData sheetId="13"/>
      <sheetData sheetId="14"/>
      <sheetData sheetId="15"/>
      <sheetData sheetId="16"/>
      <sheetData sheetId="17"/>
      <sheetData sheetId="18"/>
      <sheetData sheetId="19">
        <row r="1">
          <cell r="A1" t="str">
            <v>CATEGORY</v>
          </cell>
        </row>
      </sheetData>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AY05-06"/>
      <sheetName val="Oth income (2)"/>
      <sheetName val="Computation as per AO (2)"/>
      <sheetName val="Computation as per AO (3)"/>
      <sheetName val="Tax Liability"/>
      <sheetName val="Computation as per AO"/>
      <sheetName val="MAT (AO)"/>
      <sheetName val="Computation AY05-06 (Revised)"/>
      <sheetName val="MAT (Revised)"/>
      <sheetName val="AdjAs per return-80IA (Revised)"/>
      <sheetName val="Oth income"/>
      <sheetName val="Computation AY05-06"/>
      <sheetName val="MAT"/>
      <sheetName val="Adj As per return-80IA"/>
      <sheetName val="units generated and sold"/>
      <sheetName val="Book Profit"/>
      <sheetName val="Support working"/>
      <sheetName val="FA Addidions Summery"/>
      <sheetName val="IT Depn-Supply-GEN"/>
      <sheetName val="IT Other Div"/>
      <sheetName val=" Dep Samalkot"/>
      <sheetName val="Depn Rspl"/>
      <sheetName val="Exchange Fluctuation"/>
      <sheetName val="tax-free-2004-2005"/>
      <sheetName val="Clause 21(i) Corporate"/>
      <sheetName val="Clause21(i) Supply"/>
      <sheetName val="21(i)-Contract"/>
      <sheetName val="Clause 21(i) DTPS"/>
      <sheetName val="21 (i)RSPL"/>
      <sheetName val="Donation"/>
      <sheetName val="BSPL"/>
      <sheetName val="RRT"/>
      <sheetName val="TDS "/>
      <sheetName val="Indian_client"/>
      <sheetName val="Bhutan_Client"/>
      <sheetName val="working other income"/>
      <sheetName val="Revised Tax Free income"/>
      <sheetName val="LOT 1"/>
      <sheetName val="80IA working &amp; Computation TOR-"/>
      <sheetName val="Assets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A2" t="str">
            <v>RELIANCE ENERGY LIMITED</v>
          </cell>
        </row>
        <row r="3">
          <cell r="A3" t="str">
            <v>BALANCE SHEET AS AT 31ST MARCH, 2005</v>
          </cell>
        </row>
        <row r="4">
          <cell r="A4" t="str">
            <v xml:space="preserve">                             Schedule  </v>
          </cell>
        </row>
        <row r="7">
          <cell r="A7" t="str">
            <v>I.SOURCES OF FUNDS</v>
          </cell>
        </row>
        <row r="8">
          <cell r="A8" t="str">
            <v xml:space="preserve">  (1) Shareholders' Funds</v>
          </cell>
        </row>
        <row r="9">
          <cell r="A9" t="str">
            <v xml:space="preserve">      (a) Share Capital</v>
          </cell>
          <cell r="C9" t="str">
            <v>1</v>
          </cell>
          <cell r="D9">
            <v>1856082469.25</v>
          </cell>
          <cell r="E9">
            <v>1752603945.25</v>
          </cell>
        </row>
        <row r="11">
          <cell r="A11" t="str">
            <v xml:space="preserve">      (b) Share Application Money</v>
          </cell>
          <cell r="D11">
            <v>0</v>
          </cell>
          <cell r="E11">
            <v>0</v>
          </cell>
        </row>
        <row r="12">
          <cell r="A12" t="str">
            <v>@[(Rs. NIL (Rs. 5250)]</v>
          </cell>
        </row>
        <row r="14">
          <cell r="A14" t="str">
            <v xml:space="preserve">(b) Equity Warrants Issued &amp; Subscribed to </v>
          </cell>
          <cell r="D14">
            <v>5680067328</v>
          </cell>
          <cell r="E14">
            <v>0</v>
          </cell>
        </row>
        <row r="15">
          <cell r="A15" t="str">
            <v>(Refer Note No.16)</v>
          </cell>
        </row>
        <row r="17">
          <cell r="A17" t="str">
            <v xml:space="preserve">      (c) Reserves and Surplus</v>
          </cell>
          <cell r="C17" t="str">
            <v>2</v>
          </cell>
          <cell r="D17">
            <v>55862744424.809998</v>
          </cell>
          <cell r="E17">
            <v>49356958190.090004</v>
          </cell>
        </row>
        <row r="20">
          <cell r="A20" t="str">
            <v xml:space="preserve">  (2) Loan Funds</v>
          </cell>
        </row>
        <row r="21">
          <cell r="A21" t="str">
            <v xml:space="preserve">      (a) Secured Loans</v>
          </cell>
          <cell r="C21" t="str">
            <v>3</v>
          </cell>
          <cell r="D21">
            <v>7850000000</v>
          </cell>
          <cell r="E21">
            <v>6850245269.0600004</v>
          </cell>
        </row>
        <row r="22">
          <cell r="A22" t="str">
            <v xml:space="preserve">      (b) Unsecured Loans</v>
          </cell>
          <cell r="C22" t="str">
            <v>4</v>
          </cell>
          <cell r="D22">
            <v>29536686576.599998</v>
          </cell>
          <cell r="E22">
            <v>13458021308</v>
          </cell>
        </row>
        <row r="25">
          <cell r="A25" t="str">
            <v xml:space="preserve">  (3) Deferred Tax Liability (net) (Refer Note No. 9)</v>
          </cell>
          <cell r="D25">
            <v>2605482451</v>
          </cell>
          <cell r="E25">
            <v>2365482451</v>
          </cell>
        </row>
        <row r="27">
          <cell r="A27" t="str">
            <v xml:space="preserve">  (4) Service Line Deposits from Consumers</v>
          </cell>
          <cell r="D27">
            <v>220983026.27000001</v>
          </cell>
          <cell r="E27">
            <v>177428051.80000001</v>
          </cell>
        </row>
        <row r="28">
          <cell r="D28">
            <v>103612046275.93001</v>
          </cell>
          <cell r="E28">
            <v>73960739215.199997</v>
          </cell>
        </row>
        <row r="29">
          <cell r="A29" t="str">
            <v>II.APPLICATION OF FUNDS</v>
          </cell>
        </row>
        <row r="30">
          <cell r="A30" t="str">
            <v xml:space="preserve">  (1) Fixed Assets</v>
          </cell>
          <cell r="C30" t="str">
            <v>5</v>
          </cell>
        </row>
        <row r="31">
          <cell r="A31" t="str">
            <v xml:space="preserve">      (a) Gross Block </v>
          </cell>
          <cell r="D31">
            <v>51729748213.730003</v>
          </cell>
          <cell r="E31">
            <v>50112235280.500008</v>
          </cell>
        </row>
        <row r="32">
          <cell r="A32" t="str">
            <v xml:space="preserve">      (b) Less: Depreciation</v>
          </cell>
          <cell r="D32">
            <v>24528634455.279999</v>
          </cell>
          <cell r="E32">
            <v>20017955104.540001</v>
          </cell>
        </row>
        <row r="33">
          <cell r="A33" t="str">
            <v xml:space="preserve">      (c) Net Block</v>
          </cell>
          <cell r="D33">
            <v>27201113758.450005</v>
          </cell>
          <cell r="E33">
            <v>30094280175.960007</v>
          </cell>
        </row>
        <row r="34">
          <cell r="A34" t="str">
            <v xml:space="preserve">      (d) Capital Work-in-Progress</v>
          </cell>
          <cell r="D34">
            <v>1921850157.9200001</v>
          </cell>
          <cell r="E34">
            <v>837941178.97000003</v>
          </cell>
        </row>
        <row r="35">
          <cell r="D35">
            <v>29122963916.370003</v>
          </cell>
          <cell r="E35">
            <v>30932221354.930008</v>
          </cell>
        </row>
        <row r="37">
          <cell r="A37" t="str">
            <v xml:space="preserve">  (2) Investments</v>
          </cell>
          <cell r="C37" t="str">
            <v>6</v>
          </cell>
          <cell r="D37">
            <v>6962392344.9700003</v>
          </cell>
          <cell r="E37">
            <v>28750419435.700001</v>
          </cell>
        </row>
        <row r="39">
          <cell r="A39" t="str">
            <v xml:space="preserve">  (3) Current Assets,Loans and Advances</v>
          </cell>
          <cell r="C39" t="str">
            <v>7</v>
          </cell>
        </row>
        <row r="40">
          <cell r="A40" t="str">
            <v xml:space="preserve">      (a) Inventories</v>
          </cell>
          <cell r="D40">
            <v>3530834066.04</v>
          </cell>
          <cell r="E40">
            <v>1041627640.76</v>
          </cell>
        </row>
        <row r="41">
          <cell r="A41" t="str">
            <v xml:space="preserve">      (b) Sundry Debtors</v>
          </cell>
          <cell r="D41">
            <v>9309657372.1800003</v>
          </cell>
          <cell r="E41">
            <v>4660996437.3599987</v>
          </cell>
        </row>
        <row r="42">
          <cell r="A42" t="str">
            <v xml:space="preserve">      (c) Cash and Bank Balances</v>
          </cell>
          <cell r="D42">
            <v>60453626383.660004</v>
          </cell>
          <cell r="E42">
            <v>8601554730.3400002</v>
          </cell>
        </row>
        <row r="43">
          <cell r="A43" t="str">
            <v xml:space="preserve">      (d) Other Current Assets</v>
          </cell>
          <cell r="D43">
            <v>1409171171.48</v>
          </cell>
          <cell r="E43">
            <v>2205060226.4499998</v>
          </cell>
        </row>
        <row r="44">
          <cell r="A44" t="str">
            <v xml:space="preserve">      (e) Loans and Advances</v>
          </cell>
          <cell r="D44">
            <v>11701065709.66</v>
          </cell>
          <cell r="E44">
            <v>11955507654.879999</v>
          </cell>
        </row>
        <row r="45">
          <cell r="D45">
            <v>86404354703.020004</v>
          </cell>
          <cell r="E45">
            <v>28464746689.790001</v>
          </cell>
        </row>
        <row r="46">
          <cell r="A46" t="str">
            <v xml:space="preserve">      Less:</v>
          </cell>
        </row>
        <row r="47">
          <cell r="A47" t="str">
            <v xml:space="preserve">      Current Liabilities and Provisions</v>
          </cell>
          <cell r="C47" t="str">
            <v>8</v>
          </cell>
        </row>
        <row r="48">
          <cell r="A48" t="str">
            <v xml:space="preserve">      (a) Current Liabilities</v>
          </cell>
          <cell r="D48">
            <v>14781682171.98</v>
          </cell>
          <cell r="E48">
            <v>10133508291.77</v>
          </cell>
        </row>
        <row r="49">
          <cell r="A49" t="str">
            <v xml:space="preserve">      (b) Provisions</v>
          </cell>
          <cell r="D49">
            <v>4095982516.4499998</v>
          </cell>
          <cell r="E49">
            <v>4053139973.4499998</v>
          </cell>
        </row>
        <row r="50">
          <cell r="D50">
            <v>18877664688.43</v>
          </cell>
          <cell r="E50">
            <v>14186648265.220001</v>
          </cell>
        </row>
        <row r="51">
          <cell r="A51" t="str">
            <v xml:space="preserve">      Net Current Assets </v>
          </cell>
          <cell r="D51">
            <v>67526690014.590004</v>
          </cell>
          <cell r="E51">
            <v>14278098424.57</v>
          </cell>
        </row>
        <row r="53">
          <cell r="A53" t="str">
            <v xml:space="preserve"> (4) Miscellaneous Expenditure</v>
          </cell>
        </row>
        <row r="54">
          <cell r="A54" t="str">
            <v xml:space="preserve">      (to the extent not written off or adjusted)</v>
          </cell>
          <cell r="C54" t="str">
            <v>9</v>
          </cell>
          <cell r="D54">
            <v>0</v>
          </cell>
          <cell r="E54">
            <v>0</v>
          </cell>
        </row>
        <row r="55">
          <cell r="D55">
            <v>103612046275.92999</v>
          </cell>
          <cell r="E55">
            <v>73960739215.200012</v>
          </cell>
        </row>
        <row r="56">
          <cell r="A56" t="str">
            <v xml:space="preserve">  Notes forming part of the accounts</v>
          </cell>
          <cell r="C56" t="str">
            <v>17</v>
          </cell>
          <cell r="D56">
            <v>0</v>
          </cell>
          <cell r="E56">
            <v>0</v>
          </cell>
        </row>
        <row r="58">
          <cell r="A58" t="str">
            <v>RELIANCE ENERGY LIMITED</v>
          </cell>
        </row>
        <row r="59">
          <cell r="A59" t="str">
            <v>PROFIT AND LOSS ACCOUNT FOR THE YEAR ENDED 31ST MARCH, 2005</v>
          </cell>
        </row>
        <row r="61">
          <cell r="A61" t="str">
            <v>Schedule</v>
          </cell>
        </row>
        <row r="64">
          <cell r="A64" t="str">
            <v>INCOME</v>
          </cell>
        </row>
        <row r="65">
          <cell r="A65" t="str">
            <v>Gross Earnings from sale of Electrical Energy</v>
          </cell>
          <cell r="D65">
            <v>29058251707.689999</v>
          </cell>
          <cell r="E65">
            <v>28301189238.960003</v>
          </cell>
        </row>
        <row r="66">
          <cell r="A66" t="str">
            <v>Less: Withdrawal/Rectification of Supplementary/Ad-hoc bills</v>
          </cell>
        </row>
        <row r="67">
          <cell r="A67" t="str">
            <v>Less: Discount for prompt payment of bills</v>
          </cell>
          <cell r="D67">
            <v>98391610.090000004</v>
          </cell>
          <cell r="E67">
            <v>91600032.430000007</v>
          </cell>
        </row>
        <row r="68">
          <cell r="D68">
            <v>28959860097.599998</v>
          </cell>
          <cell r="E68">
            <v>28209589206.530003</v>
          </cell>
        </row>
        <row r="69">
          <cell r="A69" t="str">
            <v xml:space="preserve">Income of  EPC, Contracts and Elastimold Divisions </v>
          </cell>
          <cell r="C69">
            <v>9</v>
          </cell>
          <cell r="D69">
            <v>12438307666.029999</v>
          </cell>
          <cell r="E69">
            <v>5857270356.7200003</v>
          </cell>
        </row>
        <row r="70">
          <cell r="A70" t="str">
            <v>Other Income</v>
          </cell>
          <cell r="C70">
            <v>10</v>
          </cell>
          <cell r="D70">
            <v>4527251263.4200001</v>
          </cell>
          <cell r="E70">
            <v>1760299676.0300002</v>
          </cell>
        </row>
        <row r="71">
          <cell r="D71">
            <v>45925419027.049995</v>
          </cell>
          <cell r="E71">
            <v>35827159239.280006</v>
          </cell>
        </row>
        <row r="72">
          <cell r="A72" t="str">
            <v>EXPENDITURE</v>
          </cell>
        </row>
        <row r="73">
          <cell r="A73" t="str">
            <v>Cost of Electrical Energy purchased (Net)</v>
          </cell>
          <cell r="C73">
            <v>11</v>
          </cell>
          <cell r="D73">
            <v>10040956764</v>
          </cell>
          <cell r="E73">
            <v>10337128189.119999</v>
          </cell>
        </row>
        <row r="74">
          <cell r="A74" t="str">
            <v>Cost of Fuel</v>
          </cell>
          <cell r="D74">
            <v>7359331035.3500004</v>
          </cell>
          <cell r="E74">
            <v>6738270619.1999998</v>
          </cell>
        </row>
        <row r="75">
          <cell r="A75" t="str">
            <v>Tax on Electricity</v>
          </cell>
          <cell r="D75">
            <v>991156557.05999994</v>
          </cell>
          <cell r="E75">
            <v>474254000</v>
          </cell>
        </row>
        <row r="76">
          <cell r="A76" t="str">
            <v>Generation,Distribution, Administration and other Expenses</v>
          </cell>
          <cell r="C76">
            <v>12</v>
          </cell>
          <cell r="D76">
            <v>5379477163.7399998</v>
          </cell>
          <cell r="E76">
            <v>4830889068.2299995</v>
          </cell>
        </row>
        <row r="77">
          <cell r="A77" t="str">
            <v>Expenditure of EPC, Contracts and Elastimold Divisions</v>
          </cell>
          <cell r="C77">
            <v>13</v>
          </cell>
          <cell r="D77">
            <v>11645468996.459999</v>
          </cell>
          <cell r="E77">
            <v>5386468228.0200005</v>
          </cell>
        </row>
        <row r="78">
          <cell r="A78" t="str">
            <v>Interest and Finance Charges</v>
          </cell>
          <cell r="C78">
            <v>14</v>
          </cell>
          <cell r="D78">
            <v>1348165261.1099999</v>
          </cell>
          <cell r="E78">
            <v>699285200.46000004</v>
          </cell>
        </row>
        <row r="79">
          <cell r="A79" t="str">
            <v xml:space="preserve">Depreciation </v>
          </cell>
          <cell r="D79">
            <v>4792649369.3099995</v>
          </cell>
          <cell r="E79">
            <v>4544573556.8499985</v>
          </cell>
        </row>
        <row r="80">
          <cell r="A80" t="str">
            <v>Less: Transferred from General Reserve</v>
          </cell>
          <cell r="D80">
            <v>1328235168</v>
          </cell>
          <cell r="E80">
            <v>1357377851.1600001</v>
          </cell>
        </row>
        <row r="81">
          <cell r="A81" t="str">
            <v xml:space="preserve">         (Refer Note No. 12)</v>
          </cell>
          <cell r="D81">
            <v>3464414201.3099999</v>
          </cell>
          <cell r="E81">
            <v>3187195705.6899986</v>
          </cell>
        </row>
        <row r="82">
          <cell r="D82">
            <v>40228969979.029999</v>
          </cell>
          <cell r="E82">
            <v>31653491010.719997</v>
          </cell>
        </row>
        <row r="83">
          <cell r="A83" t="str">
            <v>Profit before Taxation</v>
          </cell>
          <cell r="D83">
            <v>5696449048.0199966</v>
          </cell>
          <cell r="E83">
            <v>4173668228.560009</v>
          </cell>
        </row>
        <row r="84">
          <cell r="A84" t="str">
            <v>Provision for Income Tax</v>
          </cell>
          <cell r="D84">
            <v>254800000</v>
          </cell>
          <cell r="E84">
            <v>286100000</v>
          </cell>
        </row>
        <row r="85">
          <cell r="A85" t="str">
            <v>Provision for Wealth Tax</v>
          </cell>
          <cell r="D85">
            <v>200000</v>
          </cell>
          <cell r="E85">
            <v>400000</v>
          </cell>
        </row>
        <row r="86">
          <cell r="A86" t="str">
            <v>Deferred Tax (net)</v>
          </cell>
          <cell r="D86">
            <v>240000000</v>
          </cell>
          <cell r="E86">
            <v>216300000</v>
          </cell>
        </row>
        <row r="87">
          <cell r="A87" t="str">
            <v>Net Profit for the Year</v>
          </cell>
          <cell r="D87">
            <v>5201449048.0199966</v>
          </cell>
          <cell r="E87">
            <v>3670868228.560009</v>
          </cell>
        </row>
        <row r="88">
          <cell r="A88" t="str">
            <v>Prior Period Income / (Expenses)</v>
          </cell>
          <cell r="D88">
            <v>-3349248</v>
          </cell>
          <cell r="E88">
            <v>-1001013.2</v>
          </cell>
        </row>
        <row r="89">
          <cell r="A89" t="str">
            <v>Taxation in respect of earlier years</v>
          </cell>
        </row>
        <row r="90">
          <cell r="A90" t="str">
            <v>- Current Tax (net)</v>
          </cell>
          <cell r="D90">
            <v>-4750704</v>
          </cell>
          <cell r="E90">
            <v>-71438649</v>
          </cell>
        </row>
        <row r="91">
          <cell r="A91" t="str">
            <v>- Deferred Tax (net)</v>
          </cell>
          <cell r="D91">
            <v>0</v>
          </cell>
          <cell r="E91">
            <v>0</v>
          </cell>
        </row>
        <row r="92">
          <cell r="A92" t="str">
            <v>Net Profit</v>
          </cell>
          <cell r="D92">
            <v>5202850504.0199966</v>
          </cell>
          <cell r="E92">
            <v>3741305864.3600092</v>
          </cell>
        </row>
        <row r="93">
          <cell r="A93" t="str">
            <v>Balance of Profit brought over from previous year</v>
          </cell>
          <cell r="D93">
            <v>1225598544.9100001</v>
          </cell>
          <cell r="E93">
            <v>937700520.54999995</v>
          </cell>
        </row>
        <row r="94">
          <cell r="A94" t="str">
            <v>Balance of Profit transferred on Amalgamation</v>
          </cell>
          <cell r="D94">
            <v>0</v>
          </cell>
          <cell r="E94">
            <v>18541974</v>
          </cell>
        </row>
        <row r="95">
          <cell r="D95">
            <v>6428449048.9299965</v>
          </cell>
          <cell r="E95">
            <v>4697548358.9100094</v>
          </cell>
        </row>
        <row r="96">
          <cell r="A96" t="str">
            <v xml:space="preserve">Statutory Reserves and other Appropriations </v>
          </cell>
          <cell r="C96">
            <v>15</v>
          </cell>
          <cell r="D96">
            <v>172140258</v>
          </cell>
          <cell r="E96">
            <v>164978635</v>
          </cell>
        </row>
        <row r="97">
          <cell r="A97" t="str">
            <v>Amount available for distribution and Appropriations</v>
          </cell>
          <cell r="D97">
            <v>6256308790.9299965</v>
          </cell>
          <cell r="E97">
            <v>4532569723.9100094</v>
          </cell>
        </row>
        <row r="98">
          <cell r="A98" t="str">
            <v>APPROPRIATIONS</v>
          </cell>
        </row>
        <row r="99">
          <cell r="A99" t="str">
            <v xml:space="preserve">    Interim Dividend on Equity Shares</v>
          </cell>
          <cell r="D99">
            <v>613831308.89999998</v>
          </cell>
          <cell r="E99">
            <v>428424017</v>
          </cell>
        </row>
        <row r="100">
          <cell r="A100" t="str">
            <v xml:space="preserve">    Proposed Dividend on Equity Shares</v>
          </cell>
          <cell r="D100">
            <v>259801919</v>
          </cell>
          <cell r="E100">
            <v>276525504</v>
          </cell>
        </row>
        <row r="101">
          <cell r="A101" t="str">
            <v xml:space="preserve">   Corporate Tax on dividends</v>
          </cell>
          <cell r="D101">
            <v>117365894</v>
          </cell>
          <cell r="E101">
            <v>90321658</v>
          </cell>
        </row>
        <row r="102">
          <cell r="A102" t="str">
            <v xml:space="preserve">   Transfer to Debenture Redemption Reserve</v>
          </cell>
          <cell r="D102">
            <v>262200000</v>
          </cell>
          <cell r="E102">
            <v>261700000</v>
          </cell>
        </row>
        <row r="103">
          <cell r="A103" t="str">
            <v xml:space="preserve">   Transfer to General Reserve</v>
          </cell>
          <cell r="D103">
            <v>3000000000</v>
          </cell>
          <cell r="E103">
            <v>2250000000</v>
          </cell>
        </row>
        <row r="104">
          <cell r="A104" t="str">
            <v xml:space="preserve">   Balance carried to Balance Sheet</v>
          </cell>
          <cell r="D104">
            <v>2003109669.0299969</v>
          </cell>
          <cell r="E104">
            <v>1225598544.9100094</v>
          </cell>
        </row>
        <row r="105">
          <cell r="D105">
            <v>6256308790.9299965</v>
          </cell>
          <cell r="E105">
            <v>4532569723.9100094</v>
          </cell>
        </row>
        <row r="106">
          <cell r="A106" t="str">
            <v>Earnings per Equity Share</v>
          </cell>
          <cell r="C106">
            <v>16</v>
          </cell>
        </row>
        <row r="107">
          <cell r="A107" t="str">
            <v>(Face Value of Rs.10 per share)</v>
          </cell>
        </row>
        <row r="108">
          <cell r="A108" t="str">
            <v xml:space="preserve">   Basic</v>
          </cell>
          <cell r="D108">
            <v>28.065022673387801</v>
          </cell>
          <cell r="E108">
            <v>25.86</v>
          </cell>
        </row>
        <row r="109">
          <cell r="A109" t="str">
            <v xml:space="preserve">   Diluted</v>
          </cell>
          <cell r="D109">
            <v>26.186307433168345</v>
          </cell>
          <cell r="E109">
            <v>24.26</v>
          </cell>
        </row>
        <row r="111">
          <cell r="A111" t="str">
            <v>Notes forming part of the accounts</v>
          </cell>
          <cell r="C111">
            <v>17</v>
          </cell>
        </row>
        <row r="113">
          <cell r="A113" t="str">
            <v>RELIANCE ENERGY LIMITED</v>
          </cell>
        </row>
        <row r="114">
          <cell r="A114" t="str">
            <v xml:space="preserve">SCHEDULES ANNEXED TO AND FORMING PART OF THE ACCOUNTS                            </v>
          </cell>
        </row>
        <row r="117">
          <cell r="A117" t="str">
            <v>SCHEDULE 1 - SHARE CAPITAL</v>
          </cell>
        </row>
        <row r="118">
          <cell r="A118" t="str">
            <v xml:space="preserve"> (a) Authorised -</v>
          </cell>
        </row>
        <row r="119">
          <cell r="A119" t="str">
            <v>25,00,00,000  Equity Shares of Rs.10 each</v>
          </cell>
          <cell r="D119">
            <v>2500000000</v>
          </cell>
        </row>
        <row r="120">
          <cell r="A120" t="str">
            <v xml:space="preserve">       80,00,000 Equity Shares of Rs.10 each with differential rights</v>
          </cell>
          <cell r="D120">
            <v>80000000</v>
          </cell>
        </row>
        <row r="121">
          <cell r="A121" t="str">
            <v xml:space="preserve"> 155,00,00,000 (5,00,00,000)  Cumulative Redeemable </v>
          </cell>
        </row>
        <row r="122">
          <cell r="A122" t="str">
            <v xml:space="preserve">                     Preference Shares of Rs 10 each</v>
          </cell>
          <cell r="D122">
            <v>15500000000</v>
          </cell>
        </row>
        <row r="123">
          <cell r="A123" t="str">
            <v xml:space="preserve"> 4,20,00,000  Unclassified Shares of Rs.10  each</v>
          </cell>
          <cell r="D123">
            <v>420000000</v>
          </cell>
        </row>
        <row r="124">
          <cell r="D124">
            <v>18500000000</v>
          </cell>
        </row>
        <row r="125">
          <cell r="A125" t="str">
            <v xml:space="preserve"> (b) Issued -</v>
          </cell>
        </row>
        <row r="126">
          <cell r="A126" t="str">
            <v xml:space="preserve">       (i ) 15,08,87,630   Equity Shares of Rs.10 each</v>
          </cell>
          <cell r="D126">
            <v>1508876300</v>
          </cell>
        </row>
        <row r="127">
          <cell r="A127" t="str">
            <v xml:space="preserve">       (ii)   4,72,39,706 (4,62,40,697)  Equity Shares of Rs.10 each</v>
          </cell>
        </row>
        <row r="128">
          <cell r="A128" t="str">
            <v xml:space="preserve">                               by way of Global Depository Receipts</v>
          </cell>
          <cell r="D128">
            <v>472397060</v>
          </cell>
        </row>
        <row r="129">
          <cell r="D129">
            <v>1981273360</v>
          </cell>
        </row>
        <row r="130">
          <cell r="A130" t="str">
            <v xml:space="preserve"> (c) Subscribed  -</v>
          </cell>
        </row>
        <row r="131">
          <cell r="A131" t="str">
            <v xml:space="preserve">            18,55,72,799 (17,51,54,713) Equity Shares of Rs.10 each </v>
          </cell>
        </row>
        <row r="132">
          <cell r="A132" t="str">
            <v xml:space="preserve">                                                      fully paid up</v>
          </cell>
          <cell r="D132">
            <v>1855727990</v>
          </cell>
        </row>
        <row r="133">
          <cell r="A133" t="str">
            <v xml:space="preserve">   Add: Forfeited Shares- Amounts Originally paid up</v>
          </cell>
          <cell r="D133">
            <v>354479.25</v>
          </cell>
        </row>
        <row r="136">
          <cell r="D136">
            <v>1856082469.25</v>
          </cell>
        </row>
        <row r="137">
          <cell r="A137" t="str">
            <v xml:space="preserve">    Of the above Equity Shares -</v>
          </cell>
        </row>
        <row r="138">
          <cell r="A138" t="str">
            <v>(i) 1,38,400  Shares were allotted as fully paid up pursuant to a contract</v>
          </cell>
        </row>
        <row r="139">
          <cell r="A139" t="str">
            <v xml:space="preserve">  without payment being received in cash</v>
          </cell>
        </row>
        <row r="141">
          <cell r="A141" t="str">
            <v xml:space="preserve">(ii) 80,96,070  Shares were allotted as fully paid up Bonus Shares by </v>
          </cell>
        </row>
        <row r="142">
          <cell r="A142" t="str">
            <v>capitalisation of Rs.1,70,020 from Share Premium</v>
          </cell>
        </row>
        <row r="143">
          <cell r="A143" t="str">
            <v>Account and Rs.8,07,90,680 from General Reserve</v>
          </cell>
        </row>
        <row r="145">
          <cell r="A145" t="str">
            <v xml:space="preserve">(iii) 8,36,790  Shares were allotted on conversion of 7% </v>
          </cell>
        </row>
        <row r="146">
          <cell r="A146" t="str">
            <v>`B'Class Convertible Debentures</v>
          </cell>
        </row>
        <row r="148">
          <cell r="A148" t="str">
            <v xml:space="preserve">(iv)      56,100 Shares were allotted on conversion of 8.5% </v>
          </cell>
        </row>
        <row r="149">
          <cell r="A149" t="str">
            <v>`F'Class Convertible Debentures</v>
          </cell>
        </row>
        <row r="151">
          <cell r="A151" t="str">
            <v xml:space="preserve">(v)  4,59,92,760  Shares were allotted on conversion of 12.5% </v>
          </cell>
        </row>
        <row r="152">
          <cell r="A152" t="str">
            <v>Fully Convertible Debentures</v>
          </cell>
        </row>
        <row r="154">
          <cell r="A154" t="str">
            <v xml:space="preserve">(vi)  5,39,87,736  Shares were allotted on conversion of 15% </v>
          </cell>
        </row>
        <row r="155">
          <cell r="A155" t="str">
            <v xml:space="preserve"> Fully Convertible Debentures</v>
          </cell>
        </row>
        <row r="157">
          <cell r="A157" t="str">
            <v>(vii)  2,60,41,650  Shares were issued by way of Global Depository</v>
          </cell>
        </row>
        <row r="158">
          <cell r="A158" t="str">
            <v xml:space="preserve"> Receipts (GDR) through an international offering in  U.S.Dollars.</v>
          </cell>
        </row>
        <row r="159">
          <cell r="A159" t="str">
            <v xml:space="preserve"> [Out of which outstanding GDRs as at 31st March,2005 - 8,28,952 (8,28,952)]</v>
          </cell>
        </row>
        <row r="655">
          <cell r="A655" t="str">
            <v>RELIANCE ENERGY LIMITED</v>
          </cell>
        </row>
        <row r="656">
          <cell r="A656" t="str">
            <v xml:space="preserve">SCHEDULES ANNEXED TO AND FORMING PART OF THE ACCOUNTS                            </v>
          </cell>
        </row>
        <row r="659">
          <cell r="A659" t="str">
            <v>SCHEDULE 13 - EXPENDITURE OF EPC, CONTRACTS AND ELASTIMOLD DIVISIONS</v>
          </cell>
        </row>
        <row r="660">
          <cell r="A660" t="str">
            <v>(Other than Common Expenditure)</v>
          </cell>
        </row>
        <row r="661">
          <cell r="A661" t="str">
            <v>Cost of Materials and Sub-contract Charges</v>
          </cell>
          <cell r="D661">
            <v>10862739190.07</v>
          </cell>
        </row>
        <row r="663">
          <cell r="A663" t="str">
            <v>Cost of Elastimold</v>
          </cell>
          <cell r="D663">
            <v>12957933</v>
          </cell>
        </row>
        <row r="665">
          <cell r="A665" t="str">
            <v>Rent</v>
          </cell>
          <cell r="D665">
            <v>15926267.24</v>
          </cell>
        </row>
        <row r="666">
          <cell r="A666" t="str">
            <v>Repairs and Maintenance:</v>
          </cell>
        </row>
        <row r="667">
          <cell r="A667" t="str">
            <v>- Buildings</v>
          </cell>
          <cell r="D667">
            <v>5363222.6399999997</v>
          </cell>
        </row>
        <row r="668">
          <cell r="A668" t="str">
            <v xml:space="preserve">- Plant and Machinery </v>
          </cell>
          <cell r="D668">
            <v>11711088.52</v>
          </cell>
        </row>
        <row r="669">
          <cell r="A669" t="str">
            <v>-Other Assets</v>
          </cell>
          <cell r="D669">
            <v>3963988.48</v>
          </cell>
        </row>
        <row r="671">
          <cell r="A671" t="str">
            <v>Salaries, Wages and Bonus</v>
          </cell>
          <cell r="D671">
            <v>124049735.94</v>
          </cell>
        </row>
        <row r="673">
          <cell r="A673" t="str">
            <v>Contribution to Provident Fund and Other Funds</v>
          </cell>
          <cell r="D673">
            <v>14265147.9</v>
          </cell>
        </row>
        <row r="675">
          <cell r="A675" t="str">
            <v>Contribution To Gratuity Fund</v>
          </cell>
          <cell r="D675">
            <v>14076535.84</v>
          </cell>
        </row>
        <row r="677">
          <cell r="A677" t="str">
            <v>Workmen and Staff Welfare Expenses</v>
          </cell>
          <cell r="D677">
            <v>28789179.879999999</v>
          </cell>
        </row>
        <row r="679">
          <cell r="A679" t="str">
            <v>Insurance</v>
          </cell>
          <cell r="D679">
            <v>40813955.270000003</v>
          </cell>
        </row>
        <row r="681">
          <cell r="A681" t="str">
            <v>Rates and Taxes</v>
          </cell>
          <cell r="D681">
            <v>56160235.869999997</v>
          </cell>
        </row>
        <row r="683">
          <cell r="A683" t="str">
            <v xml:space="preserve">Miscellaneous Expenses </v>
          </cell>
          <cell r="D683">
            <v>329244578.82999998</v>
          </cell>
        </row>
        <row r="684">
          <cell r="A684" t="str">
            <v>[Includes Exchange Fluctuation Profit/(Loss) Rs.0.22 lacs (Rs.1.05 crore)]</v>
          </cell>
        </row>
        <row r="685">
          <cell r="A685" t="str">
            <v>Legal and Professional Charges</v>
          </cell>
          <cell r="D685">
            <v>554105</v>
          </cell>
        </row>
        <row r="687">
          <cell r="A687" t="str">
            <v>Loss on sale of assets</v>
          </cell>
          <cell r="D687">
            <v>681995.51</v>
          </cell>
        </row>
        <row r="689">
          <cell r="A689" t="str">
            <v>Bad Debts</v>
          </cell>
          <cell r="D689">
            <v>860216.46</v>
          </cell>
        </row>
        <row r="691">
          <cell r="A691" t="str">
            <v>Provision for Doubtful Debts</v>
          </cell>
          <cell r="D691">
            <v>123311620.01000001</v>
          </cell>
        </row>
        <row r="692">
          <cell r="D692">
            <v>11645468996.459999</v>
          </cell>
        </row>
        <row r="694">
          <cell r="A694" t="str">
            <v>RELIANCE ENERGY LIMITED</v>
          </cell>
        </row>
        <row r="695">
          <cell r="A695" t="str">
            <v xml:space="preserve">SCHEDULES ANNEXED TO AND FORMING PART OF THE ACCOUNTS                            </v>
          </cell>
        </row>
        <row r="698">
          <cell r="A698" t="str">
            <v>SCHEDULE 14 - INTEREST AND FINANCE CHARGES</v>
          </cell>
        </row>
        <row r="699">
          <cell r="A699" t="str">
            <v>Interest and Financing Charges on:</v>
          </cell>
        </row>
        <row r="700">
          <cell r="A700" t="str">
            <v xml:space="preserve">    Debentures</v>
          </cell>
          <cell r="D700">
            <v>436040000</v>
          </cell>
        </row>
        <row r="702">
          <cell r="A702" t="str">
            <v xml:space="preserve">    Term Loans</v>
          </cell>
          <cell r="D702">
            <v>383532240.56999999</v>
          </cell>
        </row>
        <row r="704">
          <cell r="A704" t="str">
            <v xml:space="preserve">    Working capital and other borrowings</v>
          </cell>
          <cell r="D704">
            <v>21172993.329999998</v>
          </cell>
        </row>
        <row r="706">
          <cell r="A706" t="str">
            <v xml:space="preserve">    Security Deposits from Consumers</v>
          </cell>
          <cell r="D706">
            <v>95066785.670000002</v>
          </cell>
        </row>
        <row r="708">
          <cell r="A708" t="str">
            <v xml:space="preserve">    Others</v>
          </cell>
          <cell r="D708">
            <v>1619452</v>
          </cell>
        </row>
        <row r="710">
          <cell r="A710" t="str">
            <v xml:space="preserve">Other finance Charges </v>
          </cell>
          <cell r="D710">
            <v>410733789.54000002</v>
          </cell>
        </row>
        <row r="711">
          <cell r="D711">
            <v>1348165261.1099999</v>
          </cell>
        </row>
        <row r="713">
          <cell r="A713" t="str">
            <v xml:space="preserve">SCHEDULE 15 - STATUTORY RESERVES AND OTHER APPROPRIATIONS </v>
          </cell>
        </row>
        <row r="715">
          <cell r="A715" t="str">
            <v>Contingencies Reserve</v>
          </cell>
          <cell r="D715">
            <v>172140258</v>
          </cell>
        </row>
        <row r="716">
          <cell r="D716">
            <v>172140258</v>
          </cell>
        </row>
        <row r="723">
          <cell r="A723" t="str">
            <v>SCHEDULE 16 - EARNINGS PER EQUITY SHARE</v>
          </cell>
        </row>
        <row r="725">
          <cell r="A725" t="str">
            <v>I  Profit for Basic and Diluted Earning per Share</v>
          </cell>
        </row>
        <row r="727">
          <cell r="A727" t="str">
            <v>Net Profit (for Basic) (a)</v>
          </cell>
          <cell r="D727">
            <v>5202850504.0199966</v>
          </cell>
        </row>
        <row r="728">
          <cell r="A728" t="str">
            <v>Adjustment</v>
          </cell>
        </row>
        <row r="729">
          <cell r="A729" t="str">
            <v>Add: Interest  on Foreign Currency Convertible Bonds (FCCB) (net of tax)</v>
          </cell>
          <cell r="D729">
            <v>2366425.6564624999</v>
          </cell>
        </row>
        <row r="730">
          <cell r="A730" t="str">
            <v>Add: Redemption Redemption on the Foreign Currency        Convertible Bonds (FCCB) (net of tax)</v>
          </cell>
          <cell r="D730">
            <v>154251399.92471251</v>
          </cell>
        </row>
        <row r="732">
          <cell r="A732" t="str">
            <v>Net Profit (for Diluted) (b)</v>
          </cell>
          <cell r="D732">
            <v>5359468329.6011715</v>
          </cell>
        </row>
        <row r="734">
          <cell r="A734" t="str">
            <v>II Weighted average number of Equity Shares</v>
          </cell>
        </row>
        <row r="736">
          <cell r="A736" t="str">
            <v>For Basic Earnings per share ( c)</v>
          </cell>
          <cell r="D736">
            <v>185385580</v>
          </cell>
        </row>
        <row r="737">
          <cell r="A737" t="str">
            <v xml:space="preserve">   Add:Adjustment for conversion /Issue of shares/Warrants</v>
          </cell>
          <cell r="D737">
            <v>19280717</v>
          </cell>
        </row>
        <row r="738">
          <cell r="A738" t="str">
            <v xml:space="preserve">   Add:Adjustment for allotment pending against Application money</v>
          </cell>
          <cell r="D738">
            <v>525</v>
          </cell>
        </row>
        <row r="739">
          <cell r="A739" t="str">
            <v>For Diluted Earnings per share (d)</v>
          </cell>
          <cell r="D739">
            <v>204666822</v>
          </cell>
        </row>
        <row r="741">
          <cell r="A741" t="str">
            <v>III Earnings per share (Weighted Average)</v>
          </cell>
        </row>
        <row r="742">
          <cell r="A742" t="str">
            <v>Basic (a/c)</v>
          </cell>
          <cell r="D742">
            <v>28.065022662604054</v>
          </cell>
        </row>
        <row r="744">
          <cell r="A744" t="str">
            <v>Diluted (b/d)</v>
          </cell>
          <cell r="D744">
            <v>26.186307469029696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FIXLD"/>
      <sheetName val="FC"/>
      <sheetName val="Load"/>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row r="1">
          <cell r="A1" t="str">
            <v>CATEGORY</v>
          </cell>
          <cell r="B1" t="str">
            <v>RESULT</v>
          </cell>
          <cell r="C1" t="str">
            <v>RESULT</v>
          </cell>
          <cell r="D1" t="str">
            <v>FIXED</v>
          </cell>
          <cell r="E1" t="str">
            <v>LOAD</v>
          </cell>
        </row>
        <row r="2">
          <cell r="D2">
            <v>38388</v>
          </cell>
        </row>
        <row r="3">
          <cell r="A3" t="str">
            <v>LMV-1</v>
          </cell>
          <cell r="B3" t="str">
            <v>D(2)            Other Upto 1kw and 1 Phase</v>
          </cell>
          <cell r="C3" t="str">
            <v>D(2)            Other Upto 1kw and 1 Phase</v>
          </cell>
          <cell r="D3">
            <v>19075</v>
          </cell>
          <cell r="E3">
            <v>394</v>
          </cell>
        </row>
        <row r="4">
          <cell r="A4" t="str">
            <v>LMV-1</v>
          </cell>
          <cell r="B4" t="str">
            <v>D(3)            Other Above 1kw and 1 Phase</v>
          </cell>
          <cell r="C4" t="str">
            <v>D(3)            Other Above 1kw and 1 Phase</v>
          </cell>
          <cell r="D4">
            <v>1376075</v>
          </cell>
          <cell r="E4">
            <v>28198</v>
          </cell>
        </row>
        <row r="5">
          <cell r="A5" t="str">
            <v>LMV-1</v>
          </cell>
          <cell r="B5" t="str">
            <v>D(4)            Other 3 Phase</v>
          </cell>
          <cell r="C5" t="str">
            <v>D(4)            Other 3 Phase</v>
          </cell>
          <cell r="D5">
            <v>418309.83</v>
          </cell>
          <cell r="E5">
            <v>8737</v>
          </cell>
        </row>
        <row r="6">
          <cell r="A6" t="str">
            <v>LMV-1</v>
          </cell>
          <cell r="B6" t="str">
            <v>D(5)            Registered Societies</v>
          </cell>
          <cell r="C6" t="str">
            <v>D(5)            Registered Societies</v>
          </cell>
          <cell r="D6">
            <v>74580</v>
          </cell>
          <cell r="E6">
            <v>2486</v>
          </cell>
        </row>
        <row r="7">
          <cell r="A7" t="str">
            <v>LMV-2</v>
          </cell>
          <cell r="B7" t="str">
            <v>C(1)            Other Upto 1kw and 1 Phase</v>
          </cell>
          <cell r="C7" t="str">
            <v>C(1)            Other Upto 1kw and 1 Phase</v>
          </cell>
          <cell r="D7">
            <v>320</v>
          </cell>
          <cell r="E7">
            <v>4</v>
          </cell>
        </row>
        <row r="8">
          <cell r="A8" t="str">
            <v>LMV-2</v>
          </cell>
          <cell r="B8" t="str">
            <v>C(2)            Other Above 1kw and 1 Phase</v>
          </cell>
          <cell r="C8" t="str">
            <v>C(2)            Other Above 1kw and 1 Phase</v>
          </cell>
          <cell r="D8">
            <v>80104</v>
          </cell>
          <cell r="E8">
            <v>1023</v>
          </cell>
        </row>
        <row r="9">
          <cell r="A9" t="str">
            <v>LMV-2</v>
          </cell>
          <cell r="B9" t="str">
            <v>C(3)            Other 3 Phase</v>
          </cell>
          <cell r="C9" t="str">
            <v>C(3)            Other 3 Phase</v>
          </cell>
          <cell r="D9">
            <v>220124.58</v>
          </cell>
          <cell r="E9">
            <v>3191.3330000000001</v>
          </cell>
        </row>
        <row r="10">
          <cell r="A10" t="str">
            <v>LMV-4(A)</v>
          </cell>
          <cell r="B10" t="str">
            <v>PI(1)           Other Upto 1kw and 1 Phase</v>
          </cell>
          <cell r="C10" t="str">
            <v>PI(1)           Other Upto 1kw and 1 Phase</v>
          </cell>
          <cell r="D10">
            <v>75</v>
          </cell>
          <cell r="E10">
            <v>1</v>
          </cell>
        </row>
        <row r="11">
          <cell r="A11" t="str">
            <v>LMV-4(A)</v>
          </cell>
          <cell r="B11" t="str">
            <v>PI(2)           Other Above 1kw and 1 Phase</v>
          </cell>
          <cell r="C11" t="str">
            <v>PI(2)           Other Above 1kw and 1 Phase</v>
          </cell>
          <cell r="D11">
            <v>750</v>
          </cell>
          <cell r="E11">
            <v>12</v>
          </cell>
        </row>
        <row r="12">
          <cell r="A12" t="str">
            <v>LMV-4(A)</v>
          </cell>
          <cell r="B12" t="str">
            <v>PI(3)           Other 3 Phase</v>
          </cell>
          <cell r="C12" t="str">
            <v>PI(3)           Other 3 Phase</v>
          </cell>
          <cell r="D12">
            <v>70533</v>
          </cell>
          <cell r="E12">
            <v>1006.22</v>
          </cell>
        </row>
        <row r="13">
          <cell r="A13" t="str">
            <v>LMV-4(B)</v>
          </cell>
          <cell r="B13" t="str">
            <v>PI(1)           Other Upto 5kw</v>
          </cell>
          <cell r="C13" t="str">
            <v>PI(1)           Other Upto 5kw</v>
          </cell>
          <cell r="D13">
            <v>1600</v>
          </cell>
          <cell r="E13">
            <v>20</v>
          </cell>
        </row>
        <row r="14">
          <cell r="A14" t="str">
            <v>LMV-4(B)</v>
          </cell>
          <cell r="B14" t="str">
            <v>PI(2)           Other 5kw to 10kw</v>
          </cell>
          <cell r="C14" t="str">
            <v>PI(2)           Other 5kw to 10kw</v>
          </cell>
          <cell r="D14">
            <v>1320</v>
          </cell>
          <cell r="E14">
            <v>17.5</v>
          </cell>
        </row>
        <row r="15">
          <cell r="A15" t="str">
            <v>LMV-4(B)</v>
          </cell>
          <cell r="B15" t="str">
            <v>PI(3)           Other Above 10kw</v>
          </cell>
          <cell r="C15" t="str">
            <v>PI(3)           Other Above 10kw</v>
          </cell>
          <cell r="D15">
            <v>154306.48000000001</v>
          </cell>
          <cell r="E15">
            <v>2276</v>
          </cell>
        </row>
        <row r="16">
          <cell r="A16" t="str">
            <v>LMV-5</v>
          </cell>
          <cell r="B16" t="str">
            <v>PTW             PTW (Metered) LMV-5</v>
          </cell>
          <cell r="C16" t="str">
            <v>PTW             PTW (Metered) LMV-5</v>
          </cell>
          <cell r="D16">
            <v>12097.5</v>
          </cell>
          <cell r="E16">
            <v>445.5</v>
          </cell>
        </row>
        <row r="17">
          <cell r="A17" t="str">
            <v>LMV-6</v>
          </cell>
          <cell r="B17" t="str">
            <v>Upto 25 BHP :</v>
          </cell>
          <cell r="C17" t="str">
            <v>Upto 25 BHP :</v>
          </cell>
        </row>
        <row r="18">
          <cell r="A18" t="str">
            <v>LMV-6</v>
          </cell>
          <cell r="B18" t="str">
            <v>I(1)a(i)        Supply on rural feeder</v>
          </cell>
          <cell r="C18" t="str">
            <v>I(1)a(i)        Supply on rural feeder</v>
          </cell>
          <cell r="D18">
            <v>9693.5400000000009</v>
          </cell>
          <cell r="E18">
            <v>195.51</v>
          </cell>
        </row>
        <row r="19">
          <cell r="A19" t="str">
            <v>LMV-6</v>
          </cell>
          <cell r="B19" t="str">
            <v>I(1)a(ii)       Supply on urban feeder</v>
          </cell>
          <cell r="C19" t="str">
            <v>I(1)a(ii)       Supply on urban feeder</v>
          </cell>
          <cell r="D19">
            <v>217074.06</v>
          </cell>
          <cell r="E19">
            <v>3450.1750000000002</v>
          </cell>
        </row>
        <row r="20">
          <cell r="A20" t="str">
            <v>LMV-6</v>
          </cell>
          <cell r="B20" t="str">
            <v>Above 25 BHP and upto 100 BHP :</v>
          </cell>
          <cell r="C20" t="str">
            <v>Above 25 BHP and upto 100 BHP :</v>
          </cell>
        </row>
        <row r="21">
          <cell r="A21" t="str">
            <v>LMV-6</v>
          </cell>
          <cell r="B21" t="str">
            <v>I(1)b(ii)-A     Urban cons-unrestricted supply (Peak-hours)</v>
          </cell>
          <cell r="C21" t="str">
            <v>I(1)b(ii)-A     Urban cons-unrestricted supply (Peak-hours)</v>
          </cell>
          <cell r="D21">
            <v>314095.7</v>
          </cell>
          <cell r="E21">
            <v>5525</v>
          </cell>
        </row>
        <row r="22">
          <cell r="A22" t="str">
            <v>LMV-6</v>
          </cell>
          <cell r="B22" t="str">
            <v>I(1)b(ii)-B     Urban cons-restricted supply</v>
          </cell>
          <cell r="C22" t="str">
            <v>I(1)b(ii)-B     Urban cons-restricted supply</v>
          </cell>
          <cell r="D22">
            <v>216282.55</v>
          </cell>
          <cell r="E22">
            <v>3813.1660000000002</v>
          </cell>
        </row>
        <row r="23">
          <cell r="A23" t="str">
            <v>LMV-6</v>
          </cell>
          <cell r="B23" t="str">
            <v>I(1)b(ii)-C     Consumers - supply on rural feeders</v>
          </cell>
          <cell r="C23" t="str">
            <v>I(1)b(ii)-C     Consumers - supply on rural feeders</v>
          </cell>
          <cell r="D23">
            <v>0</v>
          </cell>
          <cell r="E23">
            <v>0</v>
          </cell>
        </row>
        <row r="24">
          <cell r="A24" t="str">
            <v>LMV-7</v>
          </cell>
          <cell r="B24" t="str">
            <v>PWW             Public Water Works (Metered) LMV-7</v>
          </cell>
          <cell r="C24" t="str">
            <v>PWW             Public Water Works (Metered) LMV-7</v>
          </cell>
          <cell r="D24">
            <v>46450.5</v>
          </cell>
          <cell r="E24">
            <v>688.34</v>
          </cell>
        </row>
        <row r="25">
          <cell r="A25" t="str">
            <v>LMV-9</v>
          </cell>
          <cell r="B25" t="str">
            <v>C(1)            Other Upto 5kw</v>
          </cell>
          <cell r="C25" t="str">
            <v>C(1)            Other Upto 5kw</v>
          </cell>
          <cell r="D25">
            <v>0</v>
          </cell>
          <cell r="E25">
            <v>2440</v>
          </cell>
        </row>
        <row r="26">
          <cell r="A26" t="str">
            <v>LMV-9</v>
          </cell>
          <cell r="B26" t="str">
            <v>C(2)            Other 5kw to 10kw</v>
          </cell>
          <cell r="C26" t="str">
            <v>C(2)            Other 5kw to 10kw</v>
          </cell>
          <cell r="D26">
            <v>0</v>
          </cell>
          <cell r="E26">
            <v>334</v>
          </cell>
        </row>
        <row r="27">
          <cell r="A27" t="str">
            <v>LMV-9</v>
          </cell>
          <cell r="B27" t="str">
            <v>C(3)            Other Above 10kw</v>
          </cell>
          <cell r="C27" t="str">
            <v>C(3)            Other Above 10kw</v>
          </cell>
          <cell r="D27">
            <v>0</v>
          </cell>
          <cell r="E27">
            <v>1403</v>
          </cell>
        </row>
        <row r="28">
          <cell r="A28" t="str">
            <v>HV-2</v>
          </cell>
          <cell r="B28" t="str">
            <v>I(2O)a(i)       Unrestricted and Independent Feeder</v>
          </cell>
          <cell r="C28" t="str">
            <v>I(2O)a(i)       Unrestricted and Independent Feeder</v>
          </cell>
          <cell r="D28">
            <v>541620</v>
          </cell>
          <cell r="E28">
            <v>3200</v>
          </cell>
        </row>
        <row r="29">
          <cell r="A29" t="str">
            <v>HV-2</v>
          </cell>
          <cell r="B29" t="str">
            <v>I(2O)a(ii)      Unrestricted and Common Feeder</v>
          </cell>
          <cell r="C29" t="str">
            <v>I(2O)a(ii)      Unrestricted and Common Feeder</v>
          </cell>
          <cell r="D29">
            <v>7525317.1399999997</v>
          </cell>
          <cell r="E29">
            <v>52398.66</v>
          </cell>
        </row>
        <row r="30">
          <cell r="A30" t="str">
            <v>HV-2</v>
          </cell>
          <cell r="B30" t="str">
            <v>I(2O)b(i)       Restricted and Independent Feeder</v>
          </cell>
          <cell r="C30" t="str">
            <v>I(2O)b(i)       Restricted and Independent Feeder</v>
          </cell>
          <cell r="D30">
            <v>318750</v>
          </cell>
          <cell r="E30">
            <v>2500</v>
          </cell>
        </row>
        <row r="31">
          <cell r="A31" t="str">
            <v>HV-2</v>
          </cell>
          <cell r="B31" t="str">
            <v>I(2O)b(ii)      Restricted and Common Feeder</v>
          </cell>
          <cell r="C31" t="str">
            <v>I(2O)b(ii)      Restricted and Common Feeder</v>
          </cell>
          <cell r="D31">
            <v>1287454.8</v>
          </cell>
          <cell r="E31">
            <v>8337</v>
          </cell>
        </row>
      </sheetData>
      <sheetData sheetId="1" refreshError="1"/>
      <sheetData sheetId="2" refreshError="1"/>
      <sheetData sheetId="3"/>
      <sheetData sheetId="4">
        <row r="1">
          <cell r="B1">
            <v>0</v>
          </cell>
        </row>
      </sheetData>
      <sheetData sheetId="5"/>
      <sheetData sheetId="6"/>
      <sheetData sheetId="7">
        <row r="1">
          <cell r="B1">
            <v>0</v>
          </cell>
        </row>
      </sheetData>
      <sheetData sheetId="8"/>
      <sheetData sheetId="9"/>
      <sheetData sheetId="10">
        <row r="1">
          <cell r="B1">
            <v>0</v>
          </cell>
        </row>
      </sheetData>
      <sheetData sheetId="11"/>
      <sheetData sheetId="12"/>
      <sheetData sheetId="13"/>
      <sheetData sheetId="14"/>
      <sheetData sheetId="15"/>
      <sheetData sheetId="16"/>
      <sheetData sheetId="17"/>
      <sheetData sheetId="18"/>
      <sheetData sheetId="19">
        <row r="1">
          <cell r="A1" t="str">
            <v>CATEGORY</v>
          </cell>
        </row>
      </sheetData>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edule-MU"/>
      <sheetName val="Schedule-1"/>
      <sheetName val="Schedule-2"/>
      <sheetName val="Schedule-3(i)"/>
      <sheetName val="Schedule-3(ii)"/>
      <sheetName val="Schedule-4(i)"/>
      <sheetName val="Schedule-4(ii)"/>
      <sheetName val="Schedule-5(i)"/>
      <sheetName val="Schedule-5(ii)"/>
      <sheetName val="Schedule-6"/>
      <sheetName val="SG-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NCS-3"/>
      <sheetName val="NCS-4I"/>
      <sheetName val="Number of Consumer"/>
      <sheetName val="Energy Sold"/>
      <sheetName val="Cont 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edule-MU"/>
      <sheetName val="Schedule-1"/>
      <sheetName val="Schedule-2"/>
      <sheetName val="Schedule-3(i)"/>
      <sheetName val="Schedule-3(ii)"/>
      <sheetName val="Schedule-4(i)"/>
      <sheetName val="Schedule-4(ii)"/>
      <sheetName val="Schedule-5(i)"/>
      <sheetName val="Schedule-5(ii)"/>
      <sheetName val="Schedule-6"/>
      <sheetName val="SG-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NCS-3"/>
      <sheetName val="NCS-4I"/>
      <sheetName val="Number of Consumer"/>
      <sheetName val="Energy Sold"/>
      <sheetName val="Cont Load"/>
      <sheetName val="A 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FIXLD"/>
      <sheetName val="FC"/>
      <sheetName val="Load"/>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row r="1">
          <cell r="A1" t="str">
            <v>CATEGORY</v>
          </cell>
          <cell r="B1" t="str">
            <v>RESULT</v>
          </cell>
          <cell r="C1" t="str">
            <v>RESULT</v>
          </cell>
          <cell r="D1" t="str">
            <v>FIXED</v>
          </cell>
          <cell r="E1" t="str">
            <v>LOAD</v>
          </cell>
        </row>
        <row r="2">
          <cell r="D2">
            <v>38388</v>
          </cell>
        </row>
        <row r="3">
          <cell r="A3" t="str">
            <v>LMV-1</v>
          </cell>
          <cell r="B3" t="str">
            <v>D(2)            Other Upto 1kw and 1 Phase</v>
          </cell>
          <cell r="C3" t="str">
            <v>D(2)            Other Upto 1kw and 1 Phase</v>
          </cell>
          <cell r="D3">
            <v>19075</v>
          </cell>
          <cell r="E3">
            <v>394</v>
          </cell>
        </row>
        <row r="4">
          <cell r="A4" t="str">
            <v>LMV-1</v>
          </cell>
          <cell r="B4" t="str">
            <v>D(3)            Other Above 1kw and 1 Phase</v>
          </cell>
          <cell r="C4" t="str">
            <v>D(3)            Other Above 1kw and 1 Phase</v>
          </cell>
          <cell r="D4">
            <v>1376075</v>
          </cell>
          <cell r="E4">
            <v>28198</v>
          </cell>
        </row>
        <row r="5">
          <cell r="A5" t="str">
            <v>LMV-1</v>
          </cell>
          <cell r="B5" t="str">
            <v>D(4)            Other 3 Phase</v>
          </cell>
          <cell r="C5" t="str">
            <v>D(4)            Other 3 Phase</v>
          </cell>
          <cell r="D5">
            <v>418309.83</v>
          </cell>
          <cell r="E5">
            <v>8737</v>
          </cell>
        </row>
        <row r="6">
          <cell r="A6" t="str">
            <v>LMV-1</v>
          </cell>
          <cell r="B6" t="str">
            <v>D(5)            Registered Societies</v>
          </cell>
          <cell r="C6" t="str">
            <v>D(5)            Registered Societies</v>
          </cell>
          <cell r="D6">
            <v>74580</v>
          </cell>
          <cell r="E6">
            <v>2486</v>
          </cell>
        </row>
        <row r="7">
          <cell r="A7" t="str">
            <v>LMV-2</v>
          </cell>
          <cell r="B7" t="str">
            <v>C(1)            Other Upto 1kw and 1 Phase</v>
          </cell>
          <cell r="C7" t="str">
            <v>C(1)            Other Upto 1kw and 1 Phase</v>
          </cell>
          <cell r="D7">
            <v>320</v>
          </cell>
          <cell r="E7">
            <v>4</v>
          </cell>
        </row>
        <row r="8">
          <cell r="A8" t="str">
            <v>LMV-2</v>
          </cell>
          <cell r="B8" t="str">
            <v>C(2)            Other Above 1kw and 1 Phase</v>
          </cell>
          <cell r="C8" t="str">
            <v>C(2)            Other Above 1kw and 1 Phase</v>
          </cell>
          <cell r="D8">
            <v>80104</v>
          </cell>
          <cell r="E8">
            <v>1023</v>
          </cell>
        </row>
        <row r="9">
          <cell r="A9" t="str">
            <v>LMV-2</v>
          </cell>
          <cell r="B9" t="str">
            <v>C(3)            Other 3 Phase</v>
          </cell>
          <cell r="C9" t="str">
            <v>C(3)            Other 3 Phase</v>
          </cell>
          <cell r="D9">
            <v>220124.58</v>
          </cell>
          <cell r="E9">
            <v>3191.3330000000001</v>
          </cell>
        </row>
        <row r="10">
          <cell r="A10" t="str">
            <v>LMV-4(A)</v>
          </cell>
          <cell r="B10" t="str">
            <v>PI(1)           Other Upto 1kw and 1 Phase</v>
          </cell>
          <cell r="C10" t="str">
            <v>PI(1)           Other Upto 1kw and 1 Phase</v>
          </cell>
          <cell r="D10">
            <v>75</v>
          </cell>
          <cell r="E10">
            <v>1</v>
          </cell>
        </row>
        <row r="11">
          <cell r="A11" t="str">
            <v>LMV-4(A)</v>
          </cell>
          <cell r="B11" t="str">
            <v>PI(2)           Other Above 1kw and 1 Phase</v>
          </cell>
          <cell r="C11" t="str">
            <v>PI(2)           Other Above 1kw and 1 Phase</v>
          </cell>
          <cell r="D11">
            <v>750</v>
          </cell>
          <cell r="E11">
            <v>12</v>
          </cell>
        </row>
        <row r="12">
          <cell r="A12" t="str">
            <v>LMV-4(A)</v>
          </cell>
          <cell r="B12" t="str">
            <v>PI(3)           Other 3 Phase</v>
          </cell>
          <cell r="C12" t="str">
            <v>PI(3)           Other 3 Phase</v>
          </cell>
          <cell r="D12">
            <v>70533</v>
          </cell>
          <cell r="E12">
            <v>1006.22</v>
          </cell>
        </row>
        <row r="13">
          <cell r="A13" t="str">
            <v>LMV-4(B)</v>
          </cell>
          <cell r="B13" t="str">
            <v>PI(1)           Other Upto 5kw</v>
          </cell>
          <cell r="C13" t="str">
            <v>PI(1)           Other Upto 5kw</v>
          </cell>
          <cell r="D13">
            <v>1600</v>
          </cell>
          <cell r="E13">
            <v>20</v>
          </cell>
        </row>
        <row r="14">
          <cell r="A14" t="str">
            <v>LMV-4(B)</v>
          </cell>
          <cell r="B14" t="str">
            <v>PI(2)           Other 5kw to 10kw</v>
          </cell>
          <cell r="C14" t="str">
            <v>PI(2)           Other 5kw to 10kw</v>
          </cell>
          <cell r="D14">
            <v>1320</v>
          </cell>
          <cell r="E14">
            <v>17.5</v>
          </cell>
        </row>
        <row r="15">
          <cell r="A15" t="str">
            <v>LMV-4(B)</v>
          </cell>
          <cell r="B15" t="str">
            <v>PI(3)           Other Above 10kw</v>
          </cell>
          <cell r="C15" t="str">
            <v>PI(3)           Other Above 10kw</v>
          </cell>
          <cell r="D15">
            <v>154306.48000000001</v>
          </cell>
          <cell r="E15">
            <v>2276</v>
          </cell>
        </row>
        <row r="16">
          <cell r="A16" t="str">
            <v>LMV-5</v>
          </cell>
          <cell r="B16" t="str">
            <v>PTW             PTW (Metered) LMV-5</v>
          </cell>
          <cell r="C16" t="str">
            <v>PTW             PTW (Metered) LMV-5</v>
          </cell>
          <cell r="D16">
            <v>12097.5</v>
          </cell>
          <cell r="E16">
            <v>445.5</v>
          </cell>
        </row>
        <row r="17">
          <cell r="A17" t="str">
            <v>LMV-6</v>
          </cell>
          <cell r="B17" t="str">
            <v>Upto 25 BHP :</v>
          </cell>
          <cell r="C17" t="str">
            <v>Upto 25 BHP :</v>
          </cell>
        </row>
        <row r="18">
          <cell r="A18" t="str">
            <v>LMV-6</v>
          </cell>
          <cell r="B18" t="str">
            <v>I(1)a(i)        Supply on rural feeder</v>
          </cell>
          <cell r="C18" t="str">
            <v>I(1)a(i)        Supply on rural feeder</v>
          </cell>
          <cell r="D18">
            <v>9693.5400000000009</v>
          </cell>
          <cell r="E18">
            <v>195.51</v>
          </cell>
        </row>
        <row r="19">
          <cell r="A19" t="str">
            <v>LMV-6</v>
          </cell>
          <cell r="B19" t="str">
            <v>I(1)a(ii)       Supply on urban feeder</v>
          </cell>
          <cell r="C19" t="str">
            <v>I(1)a(ii)       Supply on urban feeder</v>
          </cell>
          <cell r="D19">
            <v>217074.06</v>
          </cell>
          <cell r="E19">
            <v>3450.1750000000002</v>
          </cell>
        </row>
        <row r="20">
          <cell r="A20" t="str">
            <v>LMV-6</v>
          </cell>
          <cell r="B20" t="str">
            <v>Above 25 BHP and upto 100 BHP :</v>
          </cell>
          <cell r="C20" t="str">
            <v>Above 25 BHP and upto 100 BHP :</v>
          </cell>
        </row>
        <row r="21">
          <cell r="A21" t="str">
            <v>LMV-6</v>
          </cell>
          <cell r="B21" t="str">
            <v>I(1)b(ii)-A     Urban cons-unrestricted supply (Peak-hours)</v>
          </cell>
          <cell r="C21" t="str">
            <v>I(1)b(ii)-A     Urban cons-unrestricted supply (Peak-hours)</v>
          </cell>
          <cell r="D21">
            <v>314095.7</v>
          </cell>
          <cell r="E21">
            <v>5525</v>
          </cell>
        </row>
        <row r="22">
          <cell r="A22" t="str">
            <v>LMV-6</v>
          </cell>
          <cell r="B22" t="str">
            <v>I(1)b(ii)-B     Urban cons-restricted supply</v>
          </cell>
          <cell r="C22" t="str">
            <v>I(1)b(ii)-B     Urban cons-restricted supply</v>
          </cell>
          <cell r="D22">
            <v>216282.55</v>
          </cell>
          <cell r="E22">
            <v>3813.1660000000002</v>
          </cell>
        </row>
        <row r="23">
          <cell r="A23" t="str">
            <v>LMV-6</v>
          </cell>
          <cell r="B23" t="str">
            <v>I(1)b(ii)-C     Consumers - supply on rural feeders</v>
          </cell>
          <cell r="C23" t="str">
            <v>I(1)b(ii)-C     Consumers - supply on rural feeders</v>
          </cell>
          <cell r="D23">
            <v>0</v>
          </cell>
          <cell r="E23">
            <v>0</v>
          </cell>
        </row>
        <row r="24">
          <cell r="A24" t="str">
            <v>LMV-7</v>
          </cell>
          <cell r="B24" t="str">
            <v>PWW             Public Water Works (Metered) LMV-7</v>
          </cell>
          <cell r="C24" t="str">
            <v>PWW             Public Water Works (Metered) LMV-7</v>
          </cell>
          <cell r="D24">
            <v>46450.5</v>
          </cell>
          <cell r="E24">
            <v>688.34</v>
          </cell>
        </row>
        <row r="25">
          <cell r="A25" t="str">
            <v>LMV-9</v>
          </cell>
          <cell r="B25" t="str">
            <v>C(1)            Other Upto 5kw</v>
          </cell>
          <cell r="C25" t="str">
            <v>C(1)            Other Upto 5kw</v>
          </cell>
          <cell r="D25">
            <v>0</v>
          </cell>
          <cell r="E25">
            <v>2440</v>
          </cell>
        </row>
        <row r="26">
          <cell r="A26" t="str">
            <v>LMV-9</v>
          </cell>
          <cell r="B26" t="str">
            <v>C(2)            Other 5kw to 10kw</v>
          </cell>
          <cell r="C26" t="str">
            <v>C(2)            Other 5kw to 10kw</v>
          </cell>
          <cell r="D26">
            <v>0</v>
          </cell>
          <cell r="E26">
            <v>334</v>
          </cell>
        </row>
        <row r="27">
          <cell r="A27" t="str">
            <v>LMV-9</v>
          </cell>
          <cell r="B27" t="str">
            <v>C(3)            Other Above 10kw</v>
          </cell>
          <cell r="C27" t="str">
            <v>C(3)            Other Above 10kw</v>
          </cell>
          <cell r="D27">
            <v>0</v>
          </cell>
          <cell r="E27">
            <v>1403</v>
          </cell>
        </row>
        <row r="28">
          <cell r="A28" t="str">
            <v>HV-2</v>
          </cell>
          <cell r="B28" t="str">
            <v>I(2O)a(i)       Unrestricted and Independent Feeder</v>
          </cell>
          <cell r="C28" t="str">
            <v>I(2O)a(i)       Unrestricted and Independent Feeder</v>
          </cell>
          <cell r="D28">
            <v>541620</v>
          </cell>
          <cell r="E28">
            <v>3200</v>
          </cell>
        </row>
        <row r="29">
          <cell r="A29" t="str">
            <v>HV-2</v>
          </cell>
          <cell r="B29" t="str">
            <v>I(2O)a(ii)      Unrestricted and Common Feeder</v>
          </cell>
          <cell r="C29" t="str">
            <v>I(2O)a(ii)      Unrestricted and Common Feeder</v>
          </cell>
          <cell r="D29">
            <v>7525317.1399999997</v>
          </cell>
          <cell r="E29">
            <v>52398.66</v>
          </cell>
        </row>
        <row r="30">
          <cell r="A30" t="str">
            <v>HV-2</v>
          </cell>
          <cell r="B30" t="str">
            <v>I(2O)b(i)       Restricted and Independent Feeder</v>
          </cell>
          <cell r="C30" t="str">
            <v>I(2O)b(i)       Restricted and Independent Feeder</v>
          </cell>
          <cell r="D30">
            <v>318750</v>
          </cell>
          <cell r="E30">
            <v>2500</v>
          </cell>
        </row>
        <row r="31">
          <cell r="A31" t="str">
            <v>HV-2</v>
          </cell>
          <cell r="B31" t="str">
            <v>I(2O)b(ii)      Restricted and Common Feeder</v>
          </cell>
          <cell r="C31" t="str">
            <v>I(2O)b(ii)      Restricted and Common Feeder</v>
          </cell>
          <cell r="D31">
            <v>1287454.8</v>
          </cell>
          <cell r="E31">
            <v>8337</v>
          </cell>
        </row>
      </sheetData>
      <sheetData sheetId="1" refreshError="1"/>
      <sheetData sheetId="2" refreshError="1"/>
      <sheetData sheetId="3"/>
      <sheetData sheetId="4">
        <row r="1">
          <cell r="B1">
            <v>0</v>
          </cell>
        </row>
      </sheetData>
      <sheetData sheetId="5"/>
      <sheetData sheetId="6"/>
      <sheetData sheetId="7">
        <row r="1">
          <cell r="B1">
            <v>0</v>
          </cell>
        </row>
      </sheetData>
      <sheetData sheetId="8"/>
      <sheetData sheetId="9"/>
      <sheetData sheetId="10">
        <row r="1">
          <cell r="B1">
            <v>0</v>
          </cell>
        </row>
      </sheetData>
      <sheetData sheetId="11"/>
      <sheetData sheetId="12"/>
      <sheetData sheetId="13"/>
      <sheetData sheetId="14"/>
      <sheetData sheetId="15"/>
      <sheetData sheetId="16"/>
      <sheetData sheetId="17"/>
      <sheetData sheetId="18"/>
      <sheetData sheetId="19">
        <row r="1">
          <cell r="A1" t="str">
            <v>CATEGORY</v>
          </cell>
        </row>
      </sheetData>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FIXLD"/>
      <sheetName val="FC"/>
      <sheetName val="Load"/>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row r="1">
          <cell r="A1" t="str">
            <v>CATEGORY</v>
          </cell>
          <cell r="B1" t="str">
            <v>RESULT</v>
          </cell>
          <cell r="C1" t="str">
            <v>RESULT</v>
          </cell>
          <cell r="D1" t="str">
            <v>FIXED</v>
          </cell>
          <cell r="E1" t="str">
            <v>LOAD</v>
          </cell>
        </row>
        <row r="2">
          <cell r="D2">
            <v>38388</v>
          </cell>
        </row>
        <row r="3">
          <cell r="A3" t="str">
            <v>LMV-1</v>
          </cell>
          <cell r="B3" t="str">
            <v>D(2)            Other Upto 1kw and 1 Phase</v>
          </cell>
          <cell r="C3" t="str">
            <v>D(2)            Other Upto 1kw and 1 Phase</v>
          </cell>
          <cell r="D3">
            <v>19075</v>
          </cell>
          <cell r="E3">
            <v>394</v>
          </cell>
        </row>
        <row r="4">
          <cell r="A4" t="str">
            <v>LMV-1</v>
          </cell>
          <cell r="B4" t="str">
            <v>D(3)            Other Above 1kw and 1 Phase</v>
          </cell>
          <cell r="C4" t="str">
            <v>D(3)            Other Above 1kw and 1 Phase</v>
          </cell>
          <cell r="D4">
            <v>1376075</v>
          </cell>
          <cell r="E4">
            <v>28198</v>
          </cell>
        </row>
        <row r="5">
          <cell r="A5" t="str">
            <v>LMV-1</v>
          </cell>
          <cell r="B5" t="str">
            <v>D(4)            Other 3 Phase</v>
          </cell>
          <cell r="C5" t="str">
            <v>D(4)            Other 3 Phase</v>
          </cell>
          <cell r="D5">
            <v>418309.83</v>
          </cell>
          <cell r="E5">
            <v>8737</v>
          </cell>
        </row>
        <row r="6">
          <cell r="A6" t="str">
            <v>LMV-1</v>
          </cell>
          <cell r="B6" t="str">
            <v>D(5)            Registered Societies</v>
          </cell>
          <cell r="C6" t="str">
            <v>D(5)            Registered Societies</v>
          </cell>
          <cell r="D6">
            <v>74580</v>
          </cell>
          <cell r="E6">
            <v>2486</v>
          </cell>
        </row>
        <row r="7">
          <cell r="A7" t="str">
            <v>LMV-2</v>
          </cell>
          <cell r="B7" t="str">
            <v>C(1)            Other Upto 1kw and 1 Phase</v>
          </cell>
          <cell r="C7" t="str">
            <v>C(1)            Other Upto 1kw and 1 Phase</v>
          </cell>
          <cell r="D7">
            <v>320</v>
          </cell>
          <cell r="E7">
            <v>4</v>
          </cell>
        </row>
        <row r="8">
          <cell r="A8" t="str">
            <v>LMV-2</v>
          </cell>
          <cell r="B8" t="str">
            <v>C(2)            Other Above 1kw and 1 Phase</v>
          </cell>
          <cell r="C8" t="str">
            <v>C(2)            Other Above 1kw and 1 Phase</v>
          </cell>
          <cell r="D8">
            <v>80104</v>
          </cell>
          <cell r="E8">
            <v>1023</v>
          </cell>
        </row>
        <row r="9">
          <cell r="A9" t="str">
            <v>LMV-2</v>
          </cell>
          <cell r="B9" t="str">
            <v>C(3)            Other 3 Phase</v>
          </cell>
          <cell r="C9" t="str">
            <v>C(3)            Other 3 Phase</v>
          </cell>
          <cell r="D9">
            <v>220124.58</v>
          </cell>
          <cell r="E9">
            <v>3191.3330000000001</v>
          </cell>
        </row>
        <row r="10">
          <cell r="A10" t="str">
            <v>LMV-4(A)</v>
          </cell>
          <cell r="B10" t="str">
            <v>PI(1)           Other Upto 1kw and 1 Phase</v>
          </cell>
          <cell r="C10" t="str">
            <v>PI(1)           Other Upto 1kw and 1 Phase</v>
          </cell>
          <cell r="D10">
            <v>75</v>
          </cell>
          <cell r="E10">
            <v>1</v>
          </cell>
        </row>
        <row r="11">
          <cell r="A11" t="str">
            <v>LMV-4(A)</v>
          </cell>
          <cell r="B11" t="str">
            <v>PI(2)           Other Above 1kw and 1 Phase</v>
          </cell>
          <cell r="C11" t="str">
            <v>PI(2)           Other Above 1kw and 1 Phase</v>
          </cell>
          <cell r="D11">
            <v>750</v>
          </cell>
          <cell r="E11">
            <v>12</v>
          </cell>
        </row>
        <row r="12">
          <cell r="A12" t="str">
            <v>LMV-4(A)</v>
          </cell>
          <cell r="B12" t="str">
            <v>PI(3)           Other 3 Phase</v>
          </cell>
          <cell r="C12" t="str">
            <v>PI(3)           Other 3 Phase</v>
          </cell>
          <cell r="D12">
            <v>70533</v>
          </cell>
          <cell r="E12">
            <v>1006.22</v>
          </cell>
        </row>
        <row r="13">
          <cell r="A13" t="str">
            <v>LMV-4(B)</v>
          </cell>
          <cell r="B13" t="str">
            <v>PI(1)           Other Upto 5kw</v>
          </cell>
          <cell r="C13" t="str">
            <v>PI(1)           Other Upto 5kw</v>
          </cell>
          <cell r="D13">
            <v>1600</v>
          </cell>
          <cell r="E13">
            <v>20</v>
          </cell>
        </row>
        <row r="14">
          <cell r="A14" t="str">
            <v>LMV-4(B)</v>
          </cell>
          <cell r="B14" t="str">
            <v>PI(2)           Other 5kw to 10kw</v>
          </cell>
          <cell r="C14" t="str">
            <v>PI(2)           Other 5kw to 10kw</v>
          </cell>
          <cell r="D14">
            <v>1320</v>
          </cell>
          <cell r="E14">
            <v>17.5</v>
          </cell>
        </row>
        <row r="15">
          <cell r="A15" t="str">
            <v>LMV-4(B)</v>
          </cell>
          <cell r="B15" t="str">
            <v>PI(3)           Other Above 10kw</v>
          </cell>
          <cell r="C15" t="str">
            <v>PI(3)           Other Above 10kw</v>
          </cell>
          <cell r="D15">
            <v>154306.48000000001</v>
          </cell>
          <cell r="E15">
            <v>2276</v>
          </cell>
        </row>
        <row r="16">
          <cell r="A16" t="str">
            <v>LMV-5</v>
          </cell>
          <cell r="B16" t="str">
            <v>PTW             PTW (Metered) LMV-5</v>
          </cell>
          <cell r="C16" t="str">
            <v>PTW             PTW (Metered) LMV-5</v>
          </cell>
          <cell r="D16">
            <v>12097.5</v>
          </cell>
          <cell r="E16">
            <v>445.5</v>
          </cell>
        </row>
        <row r="17">
          <cell r="A17" t="str">
            <v>LMV-6</v>
          </cell>
          <cell r="B17" t="str">
            <v>Upto 25 BHP :</v>
          </cell>
          <cell r="C17" t="str">
            <v>Upto 25 BHP :</v>
          </cell>
        </row>
        <row r="18">
          <cell r="A18" t="str">
            <v>LMV-6</v>
          </cell>
          <cell r="B18" t="str">
            <v>I(1)a(i)        Supply on rural feeder</v>
          </cell>
          <cell r="C18" t="str">
            <v>I(1)a(i)        Supply on rural feeder</v>
          </cell>
          <cell r="D18">
            <v>9693.5400000000009</v>
          </cell>
          <cell r="E18">
            <v>195.51</v>
          </cell>
        </row>
        <row r="19">
          <cell r="A19" t="str">
            <v>LMV-6</v>
          </cell>
          <cell r="B19" t="str">
            <v>I(1)a(ii)       Supply on urban feeder</v>
          </cell>
          <cell r="C19" t="str">
            <v>I(1)a(ii)       Supply on urban feeder</v>
          </cell>
          <cell r="D19">
            <v>217074.06</v>
          </cell>
          <cell r="E19">
            <v>3450.1750000000002</v>
          </cell>
        </row>
        <row r="20">
          <cell r="A20" t="str">
            <v>LMV-6</v>
          </cell>
          <cell r="B20" t="str">
            <v>Above 25 BHP and upto 100 BHP :</v>
          </cell>
          <cell r="C20" t="str">
            <v>Above 25 BHP and upto 100 BHP :</v>
          </cell>
        </row>
        <row r="21">
          <cell r="A21" t="str">
            <v>LMV-6</v>
          </cell>
          <cell r="B21" t="str">
            <v>I(1)b(ii)-A     Urban cons-unrestricted supply (Peak-hours)</v>
          </cell>
          <cell r="C21" t="str">
            <v>I(1)b(ii)-A     Urban cons-unrestricted supply (Peak-hours)</v>
          </cell>
          <cell r="D21">
            <v>314095.7</v>
          </cell>
          <cell r="E21">
            <v>5525</v>
          </cell>
        </row>
        <row r="22">
          <cell r="A22" t="str">
            <v>LMV-6</v>
          </cell>
          <cell r="B22" t="str">
            <v>I(1)b(ii)-B     Urban cons-restricted supply</v>
          </cell>
          <cell r="C22" t="str">
            <v>I(1)b(ii)-B     Urban cons-restricted supply</v>
          </cell>
          <cell r="D22">
            <v>216282.55</v>
          </cell>
          <cell r="E22">
            <v>3813.1660000000002</v>
          </cell>
        </row>
        <row r="23">
          <cell r="A23" t="str">
            <v>LMV-6</v>
          </cell>
          <cell r="B23" t="str">
            <v>I(1)b(ii)-C     Consumers - supply on rural feeders</v>
          </cell>
          <cell r="C23" t="str">
            <v>I(1)b(ii)-C     Consumers - supply on rural feeders</v>
          </cell>
          <cell r="D23">
            <v>0</v>
          </cell>
          <cell r="E23">
            <v>0</v>
          </cell>
        </row>
        <row r="24">
          <cell r="A24" t="str">
            <v>LMV-7</v>
          </cell>
          <cell r="B24" t="str">
            <v>PWW             Public Water Works (Metered) LMV-7</v>
          </cell>
          <cell r="C24" t="str">
            <v>PWW             Public Water Works (Metered) LMV-7</v>
          </cell>
          <cell r="D24">
            <v>46450.5</v>
          </cell>
          <cell r="E24">
            <v>688.34</v>
          </cell>
        </row>
        <row r="25">
          <cell r="A25" t="str">
            <v>LMV-9</v>
          </cell>
          <cell r="B25" t="str">
            <v>C(1)            Other Upto 5kw</v>
          </cell>
          <cell r="C25" t="str">
            <v>C(1)            Other Upto 5kw</v>
          </cell>
          <cell r="D25">
            <v>0</v>
          </cell>
          <cell r="E25">
            <v>2440</v>
          </cell>
        </row>
        <row r="26">
          <cell r="A26" t="str">
            <v>LMV-9</v>
          </cell>
          <cell r="B26" t="str">
            <v>C(2)            Other 5kw to 10kw</v>
          </cell>
          <cell r="C26" t="str">
            <v>C(2)            Other 5kw to 10kw</v>
          </cell>
          <cell r="D26">
            <v>0</v>
          </cell>
          <cell r="E26">
            <v>334</v>
          </cell>
        </row>
        <row r="27">
          <cell r="A27" t="str">
            <v>LMV-9</v>
          </cell>
          <cell r="B27" t="str">
            <v>C(3)            Other Above 10kw</v>
          </cell>
          <cell r="C27" t="str">
            <v>C(3)            Other Above 10kw</v>
          </cell>
          <cell r="D27">
            <v>0</v>
          </cell>
          <cell r="E27">
            <v>1403</v>
          </cell>
        </row>
        <row r="28">
          <cell r="A28" t="str">
            <v>HV-2</v>
          </cell>
          <cell r="B28" t="str">
            <v>I(2O)a(i)       Unrestricted and Independent Feeder</v>
          </cell>
          <cell r="C28" t="str">
            <v>I(2O)a(i)       Unrestricted and Independent Feeder</v>
          </cell>
          <cell r="D28">
            <v>541620</v>
          </cell>
          <cell r="E28">
            <v>3200</v>
          </cell>
        </row>
        <row r="29">
          <cell r="A29" t="str">
            <v>HV-2</v>
          </cell>
          <cell r="B29" t="str">
            <v>I(2O)a(ii)      Unrestricted and Common Feeder</v>
          </cell>
          <cell r="C29" t="str">
            <v>I(2O)a(ii)      Unrestricted and Common Feeder</v>
          </cell>
          <cell r="D29">
            <v>7525317.1399999997</v>
          </cell>
          <cell r="E29">
            <v>52398.66</v>
          </cell>
        </row>
        <row r="30">
          <cell r="A30" t="str">
            <v>HV-2</v>
          </cell>
          <cell r="B30" t="str">
            <v>I(2O)b(i)       Restricted and Independent Feeder</v>
          </cell>
          <cell r="C30" t="str">
            <v>I(2O)b(i)       Restricted and Independent Feeder</v>
          </cell>
          <cell r="D30">
            <v>318750</v>
          </cell>
          <cell r="E30">
            <v>2500</v>
          </cell>
        </row>
        <row r="31">
          <cell r="A31" t="str">
            <v>HV-2</v>
          </cell>
          <cell r="B31" t="str">
            <v>I(2O)b(ii)      Restricted and Common Feeder</v>
          </cell>
          <cell r="C31" t="str">
            <v>I(2O)b(ii)      Restricted and Common Feeder</v>
          </cell>
          <cell r="D31">
            <v>1287454.8</v>
          </cell>
          <cell r="E31">
            <v>8337</v>
          </cell>
        </row>
      </sheetData>
      <sheetData sheetId="1"/>
      <sheetData sheetId="2"/>
      <sheetData sheetId="3"/>
      <sheetData sheetId="4"/>
      <sheetData sheetId="5"/>
      <sheetData sheetId="6"/>
      <sheetData sheetId="7">
        <row r="1">
          <cell r="B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Thermal"/>
      <sheetName val="MPEB Performance"/>
      <sheetName val="Stationwise Thermal &amp; Hydel Gen"/>
      <sheetName val="Fuel Oil &amp; Aux. Cons."/>
      <sheetName val="TWELVE"/>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Executive Summary _Thermal"/>
      <sheetName val="Stationwise Thermal _ Hydel Gen"/>
      <sheetName val="BREAKUP OF OIL"/>
      <sheetName val="C.S.GENERATION"/>
      <sheetName val="Coalmine"/>
    </sheetNames>
    <sheetDataSet>
      <sheetData sheetId="0" refreshError="1">
        <row r="4">
          <cell r="A4" t="str">
            <v xml:space="preserve"> </v>
          </cell>
          <cell r="B4" t="str">
            <v>P A R T I C U L A R S</v>
          </cell>
          <cell r="C4" t="str">
            <v>MW</v>
          </cell>
          <cell r="D4" t="str">
            <v>91-92</v>
          </cell>
          <cell r="E4" t="str">
            <v>92-93</v>
          </cell>
          <cell r="F4" t="str">
            <v>93-94</v>
          </cell>
          <cell r="G4" t="str">
            <v>94-95</v>
          </cell>
          <cell r="H4" t="str">
            <v xml:space="preserve">95-96 </v>
          </cell>
          <cell r="I4" t="str">
            <v>MKwh</v>
          </cell>
          <cell r="J4" t="str">
            <v>%</v>
          </cell>
          <cell r="K4" t="str">
            <v>MW</v>
          </cell>
          <cell r="L4" t="str">
            <v>OP.STOCK</v>
          </cell>
          <cell r="M4" t="str">
            <v>RECIEPT</v>
          </cell>
          <cell r="N4" t="str">
            <v>MT</v>
          </cell>
          <cell r="O4" t="str">
            <v>Kg/kWH</v>
          </cell>
          <cell r="P4" t="str">
            <v>KL</v>
          </cell>
          <cell r="Q4" t="str">
            <v>ml/KWH</v>
          </cell>
        </row>
        <row r="5">
          <cell r="A5">
            <v>1</v>
          </cell>
          <cell r="B5" t="str">
            <v>Thermal  Generation (Including 100 % Satpura )</v>
          </cell>
          <cell r="C5" t="str">
            <v>MU</v>
          </cell>
          <cell r="D5">
            <v>11579.92</v>
          </cell>
          <cell r="E5">
            <v>12363.2</v>
          </cell>
          <cell r="F5">
            <v>13331.49</v>
          </cell>
          <cell r="G5">
            <v>14781.19868</v>
          </cell>
          <cell r="H5">
            <v>16071.35</v>
          </cell>
          <cell r="I5" t="str">
            <v/>
          </cell>
          <cell r="J5">
            <v>0</v>
          </cell>
          <cell r="K5">
            <v>57</v>
          </cell>
          <cell r="N5">
            <v>277748</v>
          </cell>
          <cell r="O5">
            <v>1.1912334877337452</v>
          </cell>
          <cell r="P5">
            <v>0</v>
          </cell>
          <cell r="Q5">
            <v>0</v>
          </cell>
        </row>
        <row r="6">
          <cell r="A6">
            <v>2</v>
          </cell>
          <cell r="B6" t="str">
            <v xml:space="preserve">Plan Target    </v>
          </cell>
          <cell r="C6" t="str">
            <v>MU</v>
          </cell>
          <cell r="D6">
            <v>13440</v>
          </cell>
          <cell r="E6">
            <v>13240</v>
          </cell>
          <cell r="F6">
            <v>14935</v>
          </cell>
          <cell r="G6">
            <v>14850</v>
          </cell>
          <cell r="H6">
            <v>16620</v>
          </cell>
          <cell r="I6" t="str">
            <v/>
          </cell>
          <cell r="J6">
            <v>0</v>
          </cell>
          <cell r="K6">
            <v>60</v>
          </cell>
          <cell r="N6">
            <v>71743</v>
          </cell>
          <cell r="O6">
            <v>1.1081711461229535</v>
          </cell>
          <cell r="P6">
            <v>0</v>
          </cell>
          <cell r="Q6">
            <v>0</v>
          </cell>
        </row>
        <row r="7">
          <cell r="A7">
            <v>3</v>
          </cell>
          <cell r="B7" t="str">
            <v>ACHIEVEMENT Percentage of ( 2 )</v>
          </cell>
          <cell r="C7" t="str">
            <v>%</v>
          </cell>
          <cell r="D7">
            <v>86.160119047619048</v>
          </cell>
          <cell r="E7">
            <v>93.377643504531719</v>
          </cell>
          <cell r="F7">
            <v>89.26340810177436</v>
          </cell>
          <cell r="G7">
            <v>99.53669144781145</v>
          </cell>
          <cell r="H7">
            <v>96.698856799037301</v>
          </cell>
          <cell r="I7" t="str">
            <v/>
          </cell>
          <cell r="J7">
            <v>0</v>
          </cell>
          <cell r="K7">
            <v>160</v>
          </cell>
          <cell r="N7">
            <v>588701</v>
          </cell>
          <cell r="O7">
            <v>0.93894701585377527</v>
          </cell>
          <cell r="P7">
            <v>7154</v>
          </cell>
          <cell r="Q7">
            <v>11.410252320648187</v>
          </cell>
        </row>
        <row r="8">
          <cell r="A8">
            <v>4</v>
          </cell>
          <cell r="B8" t="str">
            <v>Plant    Utilisation    Factor            **</v>
          </cell>
          <cell r="C8" t="str">
            <v>%</v>
          </cell>
          <cell r="D8">
            <v>49.14</v>
          </cell>
          <cell r="E8">
            <v>52.6</v>
          </cell>
          <cell r="F8">
            <v>56.03</v>
          </cell>
          <cell r="G8">
            <v>58.1673864745838</v>
          </cell>
          <cell r="H8">
            <v>59.2</v>
          </cell>
          <cell r="I8">
            <v>119</v>
          </cell>
          <cell r="J8">
            <v>11.529331976941336</v>
          </cell>
          <cell r="K8">
            <v>200</v>
          </cell>
          <cell r="N8">
            <v>983703</v>
          </cell>
          <cell r="O8">
            <v>0.95306205493387575</v>
          </cell>
          <cell r="P8">
            <v>4674</v>
          </cell>
          <cell r="Q8">
            <v>4.5284115680860335</v>
          </cell>
        </row>
        <row r="9">
          <cell r="A9">
            <v>5</v>
          </cell>
          <cell r="B9" t="str">
            <v>Plant    Availibility   Factor              **</v>
          </cell>
          <cell r="C9" t="str">
            <v>%</v>
          </cell>
          <cell r="D9">
            <v>66.92</v>
          </cell>
          <cell r="E9">
            <v>71.400000000000006</v>
          </cell>
          <cell r="F9">
            <v>72.040000000000006</v>
          </cell>
          <cell r="G9">
            <v>75.44</v>
          </cell>
          <cell r="H9">
            <v>75.3</v>
          </cell>
          <cell r="I9">
            <v>126</v>
          </cell>
          <cell r="J9">
            <v>12.357181385769627</v>
          </cell>
          <cell r="K9">
            <v>176</v>
          </cell>
          <cell r="N9">
            <v>985516</v>
          </cell>
          <cell r="O9">
            <v>0.9665238071887412</v>
          </cell>
          <cell r="P9">
            <v>4737</v>
          </cell>
          <cell r="Q9">
            <v>4.6457117638405334</v>
          </cell>
        </row>
        <row r="10">
          <cell r="A10">
            <v>6</v>
          </cell>
          <cell r="B10" t="str">
            <v>Partial  Unavailability Factor         **</v>
          </cell>
          <cell r="C10" t="str">
            <v>%</v>
          </cell>
          <cell r="D10">
            <v>17.78</v>
          </cell>
          <cell r="E10">
            <v>18.8</v>
          </cell>
          <cell r="F10">
            <v>16</v>
          </cell>
          <cell r="G10">
            <v>17.272613525416201</v>
          </cell>
          <cell r="H10">
            <v>16.16</v>
          </cell>
          <cell r="I10">
            <v>91.84</v>
          </cell>
          <cell r="J10">
            <v>14.733059548254619</v>
          </cell>
          <cell r="K10">
            <v>146</v>
          </cell>
          <cell r="N10">
            <v>626484</v>
          </cell>
          <cell r="O10">
            <v>1.0050115503080082</v>
          </cell>
          <cell r="P10">
            <v>6372</v>
          </cell>
          <cell r="Q10">
            <v>10.222022587268993</v>
          </cell>
        </row>
        <row r="11">
          <cell r="A11" t="str">
            <v>a</v>
          </cell>
          <cell r="B11" t="str">
            <v>Main Boiler</v>
          </cell>
          <cell r="C11" t="str">
            <v>%</v>
          </cell>
          <cell r="D11">
            <v>0</v>
          </cell>
          <cell r="E11">
            <v>0.38</v>
          </cell>
          <cell r="F11">
            <v>0.24</v>
          </cell>
          <cell r="G11">
            <v>0.25</v>
          </cell>
          <cell r="H11">
            <v>2.4</v>
          </cell>
          <cell r="I11">
            <v>104.13</v>
          </cell>
          <cell r="J11">
            <v>14.347718253968255</v>
          </cell>
          <cell r="K11">
            <v>192</v>
          </cell>
          <cell r="N11">
            <v>745282</v>
          </cell>
          <cell r="O11">
            <v>1.0268986992945326</v>
          </cell>
          <cell r="P11">
            <v>7889</v>
          </cell>
          <cell r="Q11">
            <v>10.869984567901234</v>
          </cell>
        </row>
        <row r="12">
          <cell r="A12" t="str">
            <v>b</v>
          </cell>
          <cell r="B12" t="str">
            <v>Boiler Auxiliaries(Mainly Mills)</v>
          </cell>
          <cell r="C12" t="str">
            <v>%</v>
          </cell>
          <cell r="D12">
            <v>2.1352047355439101</v>
          </cell>
          <cell r="E12">
            <v>0.82</v>
          </cell>
          <cell r="F12">
            <v>1.03</v>
          </cell>
          <cell r="G12">
            <v>0.57999999999999996</v>
          </cell>
          <cell r="H12">
            <v>5.0999999999999996</v>
          </cell>
          <cell r="I12">
            <v>102.85735</v>
          </cell>
          <cell r="J12">
            <v>14.163777196364638</v>
          </cell>
          <cell r="K12">
            <v>164</v>
          </cell>
          <cell r="N12">
            <v>747152</v>
          </cell>
          <cell r="O12">
            <v>1.0288515560451665</v>
          </cell>
          <cell r="P12">
            <v>6596.07</v>
          </cell>
          <cell r="Q12">
            <v>9.0829936656568435</v>
          </cell>
        </row>
        <row r="13">
          <cell r="A13" t="str">
            <v>c</v>
          </cell>
          <cell r="B13" t="str">
            <v>Turbine</v>
          </cell>
          <cell r="C13" t="str">
            <v>%</v>
          </cell>
          <cell r="D13">
            <v>0.30946718340726254</v>
          </cell>
          <cell r="E13">
            <v>1.1200000000000001</v>
          </cell>
          <cell r="F13">
            <v>1.37</v>
          </cell>
          <cell r="G13">
            <v>0.28000000000000003</v>
          </cell>
          <cell r="H13">
            <v>0.8</v>
          </cell>
          <cell r="I13">
            <v>111.1</v>
          </cell>
          <cell r="J13">
            <v>13.938025341864257</v>
          </cell>
          <cell r="K13">
            <v>182</v>
          </cell>
          <cell r="N13">
            <v>830584</v>
          </cell>
          <cell r="O13">
            <v>1.0420072763768662</v>
          </cell>
          <cell r="P13">
            <v>10237</v>
          </cell>
          <cell r="Q13">
            <v>12.842805168736669</v>
          </cell>
        </row>
        <row r="14">
          <cell r="A14" t="str">
            <v>d</v>
          </cell>
          <cell r="B14" t="str">
            <v>Turbine Auxiliaries</v>
          </cell>
          <cell r="C14" t="str">
            <v>%</v>
          </cell>
          <cell r="D14">
            <v>1.1834191455446403</v>
          </cell>
          <cell r="E14">
            <v>0.81</v>
          </cell>
          <cell r="F14">
            <v>0.54</v>
          </cell>
          <cell r="G14">
            <v>0.21</v>
          </cell>
          <cell r="H14">
            <v>0.6</v>
          </cell>
          <cell r="I14">
            <v>127</v>
          </cell>
          <cell r="J14">
            <v>12.480345911949685</v>
          </cell>
          <cell r="K14">
            <v>192</v>
          </cell>
          <cell r="N14">
            <v>1055897</v>
          </cell>
          <cell r="O14">
            <v>1.0376346305031448</v>
          </cell>
          <cell r="P14">
            <v>6774</v>
          </cell>
          <cell r="Q14">
            <v>6.6568396226415096</v>
          </cell>
        </row>
        <row r="15">
          <cell r="A15" t="str">
            <v>e</v>
          </cell>
          <cell r="B15" t="str">
            <v>Generator</v>
          </cell>
          <cell r="C15" t="str">
            <v>%</v>
          </cell>
          <cell r="D15">
            <v>0.23316136939653051</v>
          </cell>
          <cell r="E15">
            <v>0.36</v>
          </cell>
          <cell r="F15">
            <v>0.69</v>
          </cell>
          <cell r="G15">
            <v>0.93</v>
          </cell>
          <cell r="H15">
            <v>0.3</v>
          </cell>
          <cell r="I15">
            <v>128.80000000000001</v>
          </cell>
          <cell r="J15">
            <v>11.592115921159214</v>
          </cell>
          <cell r="K15">
            <v>196</v>
          </cell>
          <cell r="N15">
            <v>1098156</v>
          </cell>
          <cell r="O15">
            <v>0.98835028350283505</v>
          </cell>
          <cell r="P15">
            <v>6387</v>
          </cell>
          <cell r="Q15">
            <v>5.7483574835748366</v>
          </cell>
        </row>
        <row r="16">
          <cell r="A16" t="str">
            <v>f</v>
          </cell>
          <cell r="B16" t="str">
            <v>Electrical</v>
          </cell>
          <cell r="C16" t="str">
            <v>%</v>
          </cell>
          <cell r="D16">
            <v>0.46916617012716505</v>
          </cell>
          <cell r="E16">
            <v>0.28000000000000003</v>
          </cell>
          <cell r="F16">
            <v>0.28999999999999998</v>
          </cell>
          <cell r="G16">
            <v>1.78</v>
          </cell>
          <cell r="H16">
            <v>0.8</v>
          </cell>
          <cell r="I16">
            <v>132.66300000000001</v>
          </cell>
          <cell r="J16">
            <v>11.803283064193247</v>
          </cell>
          <cell r="K16">
            <v>190</v>
          </cell>
          <cell r="N16">
            <v>1049273</v>
          </cell>
          <cell r="O16">
            <v>0.93355843231460478</v>
          </cell>
          <cell r="P16">
            <v>5874</v>
          </cell>
          <cell r="Q16">
            <v>5.2262111303883625</v>
          </cell>
        </row>
        <row r="17">
          <cell r="A17" t="str">
            <v>g</v>
          </cell>
          <cell r="B17" t="str">
            <v>Coal related (Quality ,Quantity ,Handling ,wet coal)</v>
          </cell>
          <cell r="C17" t="str">
            <v>%</v>
          </cell>
          <cell r="D17">
            <v>3.0365300291812445</v>
          </cell>
          <cell r="E17">
            <v>0.33</v>
          </cell>
          <cell r="F17">
            <v>0.12</v>
          </cell>
          <cell r="G17">
            <v>0.47</v>
          </cell>
          <cell r="H17">
            <v>5.8</v>
          </cell>
          <cell r="I17">
            <v>98.7</v>
          </cell>
          <cell r="J17">
            <v>11.927636587753327</v>
          </cell>
          <cell r="K17">
            <v>188</v>
          </cell>
          <cell r="N17">
            <v>770211</v>
          </cell>
          <cell r="O17">
            <v>0.93077982815502303</v>
          </cell>
          <cell r="P17">
            <v>3594</v>
          </cell>
          <cell r="Q17">
            <v>4.3432549033825181</v>
          </cell>
        </row>
        <row r="18">
          <cell r="A18" t="str">
            <v>h</v>
          </cell>
          <cell r="B18" t="str">
            <v>Others</v>
          </cell>
          <cell r="C18" t="str">
            <v>%</v>
          </cell>
          <cell r="D18">
            <v>2.2070544258220908</v>
          </cell>
          <cell r="E18">
            <v>3.85</v>
          </cell>
          <cell r="F18">
            <v>1.23</v>
          </cell>
          <cell r="G18">
            <v>1</v>
          </cell>
          <cell r="H18">
            <v>0.5</v>
          </cell>
          <cell r="I18">
            <v>123.9</v>
          </cell>
          <cell r="J18">
            <v>12.5</v>
          </cell>
          <cell r="K18">
            <v>172</v>
          </cell>
          <cell r="N18">
            <v>945093</v>
          </cell>
          <cell r="O18">
            <v>0.95</v>
          </cell>
          <cell r="P18">
            <v>4874</v>
          </cell>
          <cell r="Q18">
            <v>4.9162800080693971</v>
          </cell>
        </row>
        <row r="19">
          <cell r="A19">
            <v>7</v>
          </cell>
          <cell r="B19" t="str">
            <v xml:space="preserve">Planned  Outage         Rate          </v>
          </cell>
          <cell r="C19" t="str">
            <v>MU</v>
          </cell>
          <cell r="D19">
            <v>3672.14</v>
          </cell>
          <cell r="E19">
            <v>3192.88</v>
          </cell>
          <cell r="F19">
            <v>3765.67</v>
          </cell>
          <cell r="G19">
            <v>2144.02</v>
          </cell>
          <cell r="H19">
            <v>3421.66</v>
          </cell>
          <cell r="I19">
            <v>107.73</v>
          </cell>
          <cell r="J19">
            <v>12.12</v>
          </cell>
          <cell r="K19">
            <v>180</v>
          </cell>
          <cell r="N19">
            <v>852784</v>
          </cell>
          <cell r="O19">
            <v>0.95899999999999996</v>
          </cell>
          <cell r="P19">
            <v>3494</v>
          </cell>
          <cell r="Q19">
            <v>3.93</v>
          </cell>
        </row>
        <row r="20">
          <cell r="A20" t="str">
            <v>a</v>
          </cell>
          <cell r="C20" t="str">
            <v>No</v>
          </cell>
          <cell r="D20">
            <v>18</v>
          </cell>
          <cell r="E20">
            <v>23</v>
          </cell>
          <cell r="F20">
            <v>20</v>
          </cell>
          <cell r="G20">
            <v>24</v>
          </cell>
          <cell r="H20">
            <v>23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b</v>
          </cell>
          <cell r="B21" t="str">
            <v xml:space="preserve">                                                       **</v>
          </cell>
          <cell r="C21" t="str">
            <v>%</v>
          </cell>
          <cell r="D21">
            <v>16</v>
          </cell>
          <cell r="E21">
            <v>13.59</v>
          </cell>
          <cell r="F21">
            <v>16.079999999999998</v>
          </cell>
          <cell r="G21">
            <v>12.209376208374712</v>
          </cell>
          <cell r="H21">
            <v>12.6</v>
          </cell>
          <cell r="I21" t="str">
            <v/>
          </cell>
          <cell r="J21">
            <v>0</v>
          </cell>
          <cell r="K21">
            <v>212</v>
          </cell>
          <cell r="N21">
            <v>978858</v>
          </cell>
          <cell r="O21">
            <v>0.9104724167759578</v>
          </cell>
          <cell r="P21">
            <v>19275</v>
          </cell>
          <cell r="Q21">
            <v>17.928398024388205</v>
          </cell>
        </row>
        <row r="22">
          <cell r="A22">
            <v>8</v>
          </cell>
          <cell r="B22" t="str">
            <v xml:space="preserve">Forced   Outage   </v>
          </cell>
          <cell r="C22" t="str">
            <v>MU</v>
          </cell>
          <cell r="D22">
            <v>4054.2</v>
          </cell>
          <cell r="E22">
            <v>3528.19</v>
          </cell>
          <cell r="F22">
            <v>2780.85</v>
          </cell>
          <cell r="G22">
            <v>3161.67</v>
          </cell>
          <cell r="H22">
            <v>3281.99</v>
          </cell>
          <cell r="I22">
            <v>114</v>
          </cell>
          <cell r="J22">
            <v>9.5494182393888369</v>
          </cell>
          <cell r="K22">
            <v>224</v>
          </cell>
          <cell r="N22">
            <v>1094158</v>
          </cell>
          <cell r="O22">
            <v>0.916541435260808</v>
          </cell>
          <cell r="P22">
            <v>18208</v>
          </cell>
          <cell r="Q22">
            <v>15.252263798490523</v>
          </cell>
        </row>
        <row r="23">
          <cell r="A23" t="str">
            <v>a</v>
          </cell>
          <cell r="B23" t="str">
            <v>90-91</v>
          </cell>
          <cell r="C23" t="str">
            <v>No</v>
          </cell>
          <cell r="D23">
            <v>838</v>
          </cell>
          <cell r="E23">
            <v>793</v>
          </cell>
          <cell r="F23">
            <v>756</v>
          </cell>
          <cell r="G23">
            <v>935</v>
          </cell>
          <cell r="H23">
            <v>1031</v>
          </cell>
          <cell r="I23">
            <v>113</v>
          </cell>
          <cell r="J23">
            <v>9.9372108975148166</v>
          </cell>
          <cell r="K23">
            <v>215</v>
          </cell>
          <cell r="N23">
            <v>1065421</v>
          </cell>
          <cell r="O23">
            <v>0.93693036917178185</v>
          </cell>
          <cell r="P23">
            <v>14929</v>
          </cell>
          <cell r="Q23">
            <v>13.128550574247672</v>
          </cell>
        </row>
        <row r="24">
          <cell r="A24" t="str">
            <v>b</v>
          </cell>
          <cell r="B24" t="str">
            <v xml:space="preserve">                                                      **</v>
          </cell>
          <cell r="C24" t="str">
            <v>%</v>
          </cell>
          <cell r="D24">
            <v>17.079999999999998</v>
          </cell>
          <cell r="E24">
            <v>15.01</v>
          </cell>
          <cell r="F24">
            <v>11.88</v>
          </cell>
          <cell r="G24">
            <v>12.35</v>
          </cell>
          <cell r="H24">
            <v>12.08</v>
          </cell>
          <cell r="I24">
            <v>93.49</v>
          </cell>
          <cell r="J24">
            <v>10.99106513049612</v>
          </cell>
          <cell r="K24">
            <v>218</v>
          </cell>
          <cell r="N24">
            <v>821535</v>
          </cell>
          <cell r="O24">
            <v>0.96583000235128147</v>
          </cell>
          <cell r="P24">
            <v>13865</v>
          </cell>
          <cell r="Q24">
            <v>16.300258640959321</v>
          </cell>
        </row>
        <row r="25">
          <cell r="A25" t="str">
            <v>c</v>
          </cell>
          <cell r="B25" t="str">
            <v>Boiler Tube Leakages</v>
          </cell>
          <cell r="C25" t="str">
            <v>MU</v>
          </cell>
          <cell r="D25">
            <v>1507</v>
          </cell>
          <cell r="E25">
            <v>1373.19</v>
          </cell>
          <cell r="F25">
            <v>1286</v>
          </cell>
          <cell r="G25">
            <v>1722</v>
          </cell>
          <cell r="H25">
            <v>2009.66</v>
          </cell>
          <cell r="I25">
            <v>93.94</v>
          </cell>
          <cell r="J25">
            <v>10.841941254544405</v>
          </cell>
          <cell r="K25">
            <v>220</v>
          </cell>
          <cell r="N25">
            <v>837244</v>
          </cell>
          <cell r="O25">
            <v>0.96629234231634831</v>
          </cell>
          <cell r="P25">
            <v>13463</v>
          </cell>
          <cell r="Q25">
            <v>15.538115298055283</v>
          </cell>
        </row>
        <row r="26">
          <cell r="A26" t="str">
            <v>d</v>
          </cell>
          <cell r="B26" t="str">
            <v>93-94</v>
          </cell>
          <cell r="C26" t="str">
            <v>No</v>
          </cell>
          <cell r="D26">
            <v>167</v>
          </cell>
          <cell r="E26">
            <v>188</v>
          </cell>
          <cell r="F26">
            <v>192</v>
          </cell>
          <cell r="G26">
            <v>240</v>
          </cell>
          <cell r="H26">
            <v>273</v>
          </cell>
          <cell r="I26">
            <v>106.832292</v>
          </cell>
          <cell r="J26">
            <v>10.580209698168929</v>
          </cell>
          <cell r="K26">
            <v>216</v>
          </cell>
          <cell r="N26">
            <v>1033657</v>
          </cell>
          <cell r="O26">
            <v>1.0236893369263482</v>
          </cell>
          <cell r="P26">
            <v>9864.48</v>
          </cell>
          <cell r="Q26">
            <v>9.7693557827434265</v>
          </cell>
        </row>
        <row r="27">
          <cell r="A27" t="str">
            <v>e</v>
          </cell>
          <cell r="B27" t="str">
            <v>94-95</v>
          </cell>
          <cell r="C27" t="str">
            <v>%</v>
          </cell>
          <cell r="D27">
            <v>6.3955985380519014</v>
          </cell>
          <cell r="E27">
            <v>5.829559290259148</v>
          </cell>
          <cell r="F27">
            <v>5.4781122578512509</v>
          </cell>
          <cell r="G27">
            <v>6.4055165111673595</v>
          </cell>
          <cell r="H27">
            <v>7.398106058932755</v>
          </cell>
          <cell r="I27">
            <v>121.3</v>
          </cell>
          <cell r="J27">
            <v>10.99728014505893</v>
          </cell>
          <cell r="K27">
            <v>217</v>
          </cell>
          <cell r="N27">
            <v>1127339</v>
          </cell>
          <cell r="O27">
            <v>1.0220661831368993</v>
          </cell>
          <cell r="P27">
            <v>19357</v>
          </cell>
          <cell r="Q27">
            <v>17.5494106980961</v>
          </cell>
        </row>
        <row r="28">
          <cell r="A28">
            <v>9</v>
          </cell>
          <cell r="B28" t="str">
            <v>Total          Coal           Consumption</v>
          </cell>
          <cell r="C28" t="str">
            <v>1000MT</v>
          </cell>
          <cell r="D28">
            <v>9628</v>
          </cell>
          <cell r="E28">
            <v>10365</v>
          </cell>
          <cell r="F28">
            <v>10889.111999999999</v>
          </cell>
          <cell r="G28">
            <v>12127.994971999999</v>
          </cell>
          <cell r="H28">
            <v>13030.226000000001</v>
          </cell>
          <cell r="I28">
            <v>119.5</v>
          </cell>
          <cell r="J28">
            <v>10.722296994167788</v>
          </cell>
          <cell r="K28">
            <v>214</v>
          </cell>
          <cell r="N28">
            <v>1148422</v>
          </cell>
          <cell r="O28">
            <v>1.0304369672498879</v>
          </cell>
          <cell r="P28">
            <v>9390</v>
          </cell>
          <cell r="Q28">
            <v>8.4253028263795429</v>
          </cell>
        </row>
        <row r="29">
          <cell r="A29">
            <v>10</v>
          </cell>
          <cell r="B29" t="str">
            <v xml:space="preserve">COST OF  Coal consumed @ Rs 800 /MT </v>
          </cell>
          <cell r="C29" t="str">
            <v>Cr Rs.</v>
          </cell>
          <cell r="D29">
            <v>770.24</v>
          </cell>
          <cell r="E29">
            <v>829.2</v>
          </cell>
          <cell r="F29">
            <v>871.12896000000001</v>
          </cell>
          <cell r="G29">
            <v>970.23959775999992</v>
          </cell>
          <cell r="H29">
            <v>1042.4180799999999</v>
          </cell>
          <cell r="I29">
            <v>130.69999999999999</v>
          </cell>
          <cell r="J29">
            <v>10.363967964475457</v>
          </cell>
          <cell r="K29">
            <v>217</v>
          </cell>
          <cell r="N29">
            <v>1215835</v>
          </cell>
          <cell r="O29">
            <v>0.96410673221790499</v>
          </cell>
          <cell r="P29">
            <v>7474</v>
          </cell>
          <cell r="Q29">
            <v>5.9265720402822932</v>
          </cell>
        </row>
        <row r="30">
          <cell r="A30">
            <v>11</v>
          </cell>
          <cell r="B30" t="str">
            <v>Specific    Coal           Consumption</v>
          </cell>
          <cell r="C30" t="str">
            <v>Kg/Kwh</v>
          </cell>
          <cell r="D30">
            <v>0.83</v>
          </cell>
          <cell r="E30">
            <v>0.8</v>
          </cell>
          <cell r="F30">
            <v>0.81679632209152919</v>
          </cell>
          <cell r="G30">
            <v>0.82050145151015585</v>
          </cell>
          <cell r="H30">
            <v>0.81</v>
          </cell>
          <cell r="I30">
            <v>139.19800000000001</v>
          </cell>
          <cell r="J30">
            <v>10.294415643003468</v>
          </cell>
          <cell r="K30">
            <v>213</v>
          </cell>
          <cell r="N30">
            <v>1152800</v>
          </cell>
          <cell r="O30">
            <v>0.85255552186485428</v>
          </cell>
          <cell r="P30">
            <v>6231</v>
          </cell>
          <cell r="Q30">
            <v>4.6081483837091488</v>
          </cell>
        </row>
        <row r="31">
          <cell r="A31">
            <v>12</v>
          </cell>
          <cell r="B31" t="str">
            <v>Total          Fuel Oil     Consumption</v>
          </cell>
          <cell r="C31" t="str">
            <v>1000KL</v>
          </cell>
          <cell r="D31">
            <v>147</v>
          </cell>
          <cell r="E31">
            <v>178</v>
          </cell>
          <cell r="F31">
            <v>144.66900000000001</v>
          </cell>
          <cell r="G31">
            <v>185.24459685843499</v>
          </cell>
          <cell r="H31">
            <v>124.101</v>
          </cell>
          <cell r="I31">
            <v>104.9</v>
          </cell>
          <cell r="J31">
            <v>10.818224944826023</v>
          </cell>
          <cell r="K31">
            <v>205</v>
          </cell>
          <cell r="N31">
            <v>842753</v>
          </cell>
          <cell r="O31">
            <v>0.86912216653259911</v>
          </cell>
          <cell r="P31">
            <v>4062</v>
          </cell>
          <cell r="Q31">
            <v>4.1890972093311056</v>
          </cell>
        </row>
        <row r="32">
          <cell r="A32">
            <v>13</v>
          </cell>
          <cell r="B32" t="str">
            <v>COST OF  Fuel oil consumed  @ Rs 7500 per MT</v>
          </cell>
          <cell r="C32" t="str">
            <v>Cr Rs.</v>
          </cell>
          <cell r="D32">
            <v>110.25</v>
          </cell>
          <cell r="E32">
            <v>133.5</v>
          </cell>
          <cell r="F32">
            <v>108.50174999999999</v>
          </cell>
          <cell r="G32">
            <v>138.93344764382627</v>
          </cell>
          <cell r="H32">
            <v>93.075749999999999</v>
          </cell>
          <cell r="I32">
            <v>136.1</v>
          </cell>
          <cell r="J32">
            <v>10.1</v>
          </cell>
          <cell r="K32">
            <v>208</v>
          </cell>
          <cell r="N32">
            <v>1212963</v>
          </cell>
          <cell r="O32">
            <v>0.9</v>
          </cell>
          <cell r="P32">
            <v>5019</v>
          </cell>
          <cell r="Q32">
            <v>3.72</v>
          </cell>
        </row>
        <row r="33">
          <cell r="A33">
            <v>14</v>
          </cell>
          <cell r="B33" t="str">
            <v xml:space="preserve">Specific    Fuel Oil      Consumption </v>
          </cell>
          <cell r="C33" t="str">
            <v>ml/Kwh</v>
          </cell>
          <cell r="D33">
            <v>12.72</v>
          </cell>
          <cell r="E33">
            <v>14.43</v>
          </cell>
          <cell r="F33">
            <v>10.851675244102497</v>
          </cell>
          <cell r="G33">
            <v>12.532447528026529</v>
          </cell>
          <cell r="H33">
            <v>7.72</v>
          </cell>
          <cell r="I33">
            <v>128.52000000000001</v>
          </cell>
          <cell r="J33">
            <v>9.93</v>
          </cell>
          <cell r="K33">
            <v>206</v>
          </cell>
          <cell r="N33">
            <v>1151942</v>
          </cell>
          <cell r="O33">
            <v>0.89</v>
          </cell>
          <cell r="P33">
            <v>5085</v>
          </cell>
          <cell r="Q33">
            <v>3.93</v>
          </cell>
        </row>
        <row r="34">
          <cell r="A34">
            <v>15</v>
          </cell>
          <cell r="B34" t="str">
            <v>Cost of  Fuels  per  Kwh  Generated</v>
          </cell>
          <cell r="C34" t="str">
            <v>Paise</v>
          </cell>
          <cell r="D34">
            <v>76.035931163600438</v>
          </cell>
          <cell r="E34">
            <v>77.868189465510554</v>
          </cell>
          <cell r="F34">
            <v>73.482462200399212</v>
          </cell>
          <cell r="G34">
            <v>75.039451766832357</v>
          </cell>
          <cell r="H34">
            <v>70.653294838330311</v>
          </cell>
          <cell r="I34">
            <v>127.8836</v>
          </cell>
          <cell r="J34">
            <v>10.301321710460989</v>
          </cell>
          <cell r="K34">
            <v>209.8</v>
          </cell>
          <cell r="L34">
            <v>0</v>
          </cell>
          <cell r="M34">
            <v>0</v>
          </cell>
          <cell r="N34">
            <v>1115258.6000000001</v>
          </cell>
          <cell r="O34">
            <v>0.89515688412307171</v>
          </cell>
          <cell r="P34">
            <v>5574.2</v>
          </cell>
          <cell r="Q34">
            <v>4.4747635266645087</v>
          </cell>
        </row>
        <row r="35">
          <cell r="A35">
            <v>16</v>
          </cell>
          <cell r="B35" t="str">
            <v>Thermal  Auxiliary Consumption   Total</v>
          </cell>
          <cell r="C35" t="str">
            <v>MU</v>
          </cell>
          <cell r="D35">
            <v>1235.3499999999999</v>
          </cell>
          <cell r="E35">
            <v>1288.0999999999999</v>
          </cell>
          <cell r="F35">
            <v>1394.5</v>
          </cell>
          <cell r="G35">
            <v>1558.7317929999999</v>
          </cell>
          <cell r="H35">
            <v>1648.2</v>
          </cell>
          <cell r="I35">
            <v>0</v>
          </cell>
          <cell r="J35">
            <v>0</v>
          </cell>
          <cell r="K35" t="str">
            <v/>
          </cell>
          <cell r="L35" t="str">
            <v/>
          </cell>
          <cell r="M35" t="str">
            <v/>
          </cell>
          <cell r="N35">
            <v>1845307</v>
          </cell>
          <cell r="O35">
            <v>0.95352383412995734</v>
          </cell>
          <cell r="P35">
            <v>26429</v>
          </cell>
          <cell r="Q35">
            <v>13.656633509882445</v>
          </cell>
        </row>
        <row r="36">
          <cell r="A36">
            <v>17</v>
          </cell>
          <cell r="B36" t="str">
            <v>Thermal  Auxiliary Consumption   Percentage</v>
          </cell>
          <cell r="C36" t="str">
            <v>%</v>
          </cell>
          <cell r="D36">
            <v>10.67</v>
          </cell>
          <cell r="E36">
            <v>10.4</v>
          </cell>
          <cell r="F36">
            <v>10.449094587326698</v>
          </cell>
          <cell r="G36">
            <v>10.545367982294113</v>
          </cell>
          <cell r="H36">
            <v>10.255516804748822</v>
          </cell>
          <cell r="I36">
            <v>233</v>
          </cell>
          <cell r="J36">
            <v>10.171652085843506</v>
          </cell>
          <cell r="K36" t="str">
            <v/>
          </cell>
          <cell r="L36">
            <v>126109</v>
          </cell>
          <cell r="M36">
            <v>2052076</v>
          </cell>
          <cell r="N36">
            <v>2149604</v>
          </cell>
          <cell r="O36">
            <v>0.93841304765397171</v>
          </cell>
          <cell r="P36">
            <v>22882</v>
          </cell>
          <cell r="Q36">
            <v>9.9891735205266574</v>
          </cell>
        </row>
        <row r="37">
          <cell r="A37">
            <v>18</v>
          </cell>
          <cell r="B37" t="str">
            <v>Cost of  Fuels  per  Kwh  sent out</v>
          </cell>
          <cell r="C37" t="str">
            <v>Paise</v>
          </cell>
          <cell r="D37">
            <v>85.116152725536196</v>
          </cell>
          <cell r="E37">
            <v>86.924723027331581</v>
          </cell>
          <cell r="F37">
            <v>82.066811650173122</v>
          </cell>
          <cell r="G37">
            <v>83.885484825402543</v>
          </cell>
          <cell r="H37">
            <v>78.727173328988457</v>
          </cell>
        </row>
        <row r="38">
          <cell r="A38" t="str">
            <v>Note :-</v>
          </cell>
          <cell r="B38" t="str">
            <v>91-92</v>
          </cell>
          <cell r="C38">
            <v>400</v>
          </cell>
          <cell r="D38">
            <v>2040</v>
          </cell>
          <cell r="E38">
            <v>1473.96</v>
          </cell>
          <cell r="F38">
            <v>72.252941176470586</v>
          </cell>
          <cell r="G38">
            <v>58.622000000000007</v>
          </cell>
          <cell r="H38">
            <v>41.950136612021858</v>
          </cell>
        </row>
        <row r="39">
          <cell r="A39">
            <v>1</v>
          </cell>
          <cell r="B39" t="str">
            <v>In 1994-95 &amp;1999-2000specific oil consumption is more due to stablisation of both units of Sanjay Gandhi thermal Power Station.</v>
          </cell>
          <cell r="C39">
            <v>400</v>
          </cell>
          <cell r="D39">
            <v>1940</v>
          </cell>
          <cell r="E39">
            <v>1592.21</v>
          </cell>
          <cell r="F39">
            <v>82.072680412371128</v>
          </cell>
          <cell r="G39">
            <v>60.6</v>
          </cell>
          <cell r="H39">
            <v>45.439783105022833</v>
          </cell>
        </row>
        <row r="40">
          <cell r="A40">
            <v>2</v>
          </cell>
          <cell r="B40" t="str">
            <v xml:space="preserve"> Heavy and unprcedented rains all over resulting in wet coal problems in thermal stations.</v>
          </cell>
          <cell r="C40">
            <v>400</v>
          </cell>
          <cell r="D40">
            <v>2050</v>
          </cell>
          <cell r="E40">
            <v>1735.9369999999999</v>
          </cell>
          <cell r="F40">
            <v>84.679853658536572</v>
          </cell>
          <cell r="G40">
            <v>64.925298630136979</v>
          </cell>
          <cell r="H40">
            <v>49.541581050228309</v>
          </cell>
        </row>
        <row r="41">
          <cell r="A41">
            <v>3</v>
          </cell>
          <cell r="B41" t="str">
            <v>Considering SGTPS # 1 wef :  01.01.95  , # 2 wef : 01.04.95 ,.# 3 w.e.f : 01.09.99&amp; # 4 w.e.f : 01.04.2000.</v>
          </cell>
          <cell r="C41">
            <v>400</v>
          </cell>
          <cell r="D41">
            <v>2000</v>
          </cell>
          <cell r="E41">
            <v>1900.1</v>
          </cell>
          <cell r="F41">
            <v>95.004999999999995</v>
          </cell>
          <cell r="G41">
            <v>72.78</v>
          </cell>
          <cell r="H41">
            <v>54.226598173515981</v>
          </cell>
        </row>
        <row r="42">
          <cell r="A42">
            <v>4</v>
          </cell>
          <cell r="B42" t="str">
            <v>Considering  Cost of Coal &amp; Fuel oil same for all the  years for comparision purpose .                                         .</v>
          </cell>
          <cell r="C42">
            <v>400</v>
          </cell>
          <cell r="D42">
            <v>2050</v>
          </cell>
          <cell r="E42">
            <v>2132.1</v>
          </cell>
          <cell r="F42">
            <v>104.00487804878048</v>
          </cell>
          <cell r="G42">
            <v>74</v>
          </cell>
          <cell r="H42">
            <v>60.681352459016395</v>
          </cell>
        </row>
        <row r="43">
          <cell r="A43">
            <v>5</v>
          </cell>
          <cell r="B43" t="str">
            <v>Totals  may  not  tally  due  to  rounding  off.</v>
          </cell>
          <cell r="C43">
            <v>400</v>
          </cell>
          <cell r="D43">
            <v>2100</v>
          </cell>
          <cell r="E43">
            <v>2372.1999999999998</v>
          </cell>
          <cell r="F43">
            <v>112.96190476190475</v>
          </cell>
          <cell r="G43">
            <v>79.72</v>
          </cell>
          <cell r="H43">
            <v>67.699771689497709</v>
          </cell>
        </row>
        <row r="44">
          <cell r="B44" t="str">
            <v>97-98</v>
          </cell>
          <cell r="C44">
            <v>400</v>
          </cell>
          <cell r="D44">
            <v>2050</v>
          </cell>
          <cell r="E44">
            <v>2476.12</v>
          </cell>
          <cell r="F44">
            <v>120.78634146341463</v>
          </cell>
          <cell r="G44">
            <v>83.44</v>
          </cell>
          <cell r="H44">
            <v>70.665525114155244</v>
          </cell>
        </row>
        <row r="45">
          <cell r="A45" t="str">
            <v>EXECUTIVE SUMMARY</v>
          </cell>
          <cell r="B45" t="str">
            <v>98-99</v>
          </cell>
          <cell r="C45">
            <v>400</v>
          </cell>
          <cell r="D45">
            <v>2100</v>
          </cell>
          <cell r="E45">
            <v>1797.15</v>
          </cell>
          <cell r="F45">
            <v>85.578571428571422</v>
          </cell>
          <cell r="G45">
            <v>59.9</v>
          </cell>
          <cell r="H45">
            <v>51.288527397260275</v>
          </cell>
        </row>
        <row r="46">
          <cell r="A46" t="str">
            <v>96-97 to 00-01</v>
          </cell>
          <cell r="B46" t="str">
            <v>99-00</v>
          </cell>
          <cell r="C46">
            <v>400</v>
          </cell>
          <cell r="D46">
            <v>1900</v>
          </cell>
          <cell r="E46">
            <v>2340.6999999999998</v>
          </cell>
          <cell r="F46">
            <v>123.19473684210524</v>
          </cell>
          <cell r="G46">
            <v>81.099999999999994</v>
          </cell>
          <cell r="H46">
            <v>66.599999999999994</v>
          </cell>
        </row>
        <row r="47">
          <cell r="A47" t="str">
            <v>THERMAL GENETRATION</v>
          </cell>
          <cell r="B47" t="str">
            <v>00-01</v>
          </cell>
          <cell r="C47">
            <v>400</v>
          </cell>
          <cell r="D47">
            <v>2000</v>
          </cell>
          <cell r="E47">
            <v>2182.83</v>
          </cell>
          <cell r="F47">
            <v>109.14149999999999</v>
          </cell>
          <cell r="G47">
            <v>74.38</v>
          </cell>
          <cell r="H47">
            <v>62.3</v>
          </cell>
        </row>
        <row r="48">
          <cell r="A48" t="str">
            <v xml:space="preserve"> </v>
          </cell>
          <cell r="B48" t="str">
            <v>P A R T I C U L A R S</v>
          </cell>
          <cell r="D48" t="str">
            <v>96-97</v>
          </cell>
          <cell r="E48" t="str">
            <v>97-98</v>
          </cell>
          <cell r="F48" t="str">
            <v>98-99</v>
          </cell>
          <cell r="G48" t="str">
            <v>99-00</v>
          </cell>
          <cell r="H48" t="str">
            <v>00-01</v>
          </cell>
        </row>
        <row r="49">
          <cell r="A49">
            <v>1</v>
          </cell>
          <cell r="B49" t="str">
            <v>Thermal  Generation (Including 100 % Satpura )</v>
          </cell>
          <cell r="C49" t="str">
            <v>MU</v>
          </cell>
          <cell r="D49">
            <v>16866.97</v>
          </cell>
          <cell r="E49">
            <v>17966.7</v>
          </cell>
          <cell r="F49">
            <v>18471.39</v>
          </cell>
          <cell r="G49">
            <v>20146.419999999998</v>
          </cell>
          <cell r="H49">
            <v>20415.89</v>
          </cell>
        </row>
        <row r="50">
          <cell r="A50">
            <v>2</v>
          </cell>
          <cell r="B50" t="str">
            <v xml:space="preserve">Plan Target    </v>
          </cell>
          <cell r="C50" t="str">
            <v>MU</v>
          </cell>
          <cell r="D50">
            <v>16950</v>
          </cell>
          <cell r="E50">
            <v>17200</v>
          </cell>
          <cell r="F50">
            <v>17500</v>
          </cell>
          <cell r="G50">
            <v>19010</v>
          </cell>
          <cell r="H50">
            <v>21860</v>
          </cell>
        </row>
        <row r="51">
          <cell r="A51">
            <v>3</v>
          </cell>
          <cell r="B51" t="str">
            <v>ACHIEVEMENT Percentage of ( 2 )</v>
          </cell>
          <cell r="C51" t="str">
            <v>%</v>
          </cell>
          <cell r="D51">
            <v>99.510147492625364</v>
          </cell>
          <cell r="E51">
            <v>104.45755813953488</v>
          </cell>
          <cell r="F51">
            <v>105.5508</v>
          </cell>
          <cell r="G51">
            <v>105.97801157285637</v>
          </cell>
          <cell r="H51">
            <v>93.393824336688013</v>
          </cell>
        </row>
        <row r="52">
          <cell r="A52">
            <v>4</v>
          </cell>
          <cell r="B52" t="str">
            <v>Plant    Utilisation    Factor            **</v>
          </cell>
          <cell r="C52" t="str">
            <v>%</v>
          </cell>
          <cell r="D52">
            <v>62.26</v>
          </cell>
          <cell r="E52">
            <v>66.319999999999993</v>
          </cell>
          <cell r="F52">
            <v>68.180000000000007</v>
          </cell>
          <cell r="G52">
            <v>69.42</v>
          </cell>
          <cell r="H52">
            <v>66.349999999999994</v>
          </cell>
        </row>
        <row r="53">
          <cell r="A53">
            <v>5</v>
          </cell>
          <cell r="B53" t="str">
            <v>Plant    Availibility   Factor              **</v>
          </cell>
          <cell r="C53" t="str">
            <v>%</v>
          </cell>
          <cell r="D53">
            <v>74.900000000000006</v>
          </cell>
          <cell r="E53">
            <v>76.290000000000006</v>
          </cell>
          <cell r="F53">
            <v>77.22</v>
          </cell>
          <cell r="G53">
            <v>79.09</v>
          </cell>
          <cell r="H53">
            <v>77.67</v>
          </cell>
        </row>
        <row r="54">
          <cell r="A54">
            <v>6</v>
          </cell>
          <cell r="B54" t="str">
            <v>Partial  Unavailability Factor         **</v>
          </cell>
          <cell r="C54" t="str">
            <v>%</v>
          </cell>
          <cell r="D54">
            <v>12.64</v>
          </cell>
          <cell r="E54">
            <v>9.9700000000000006</v>
          </cell>
          <cell r="F54">
            <v>9.0399999999999991</v>
          </cell>
          <cell r="G54">
            <v>9.67</v>
          </cell>
          <cell r="H54">
            <v>11.32</v>
          </cell>
        </row>
        <row r="55">
          <cell r="A55" t="str">
            <v>a</v>
          </cell>
          <cell r="B55" t="str">
            <v>Main Boiler</v>
          </cell>
          <cell r="C55" t="str">
            <v>%</v>
          </cell>
          <cell r="D55">
            <v>1.4</v>
          </cell>
          <cell r="E55">
            <v>1.17</v>
          </cell>
          <cell r="F55">
            <v>1.91</v>
          </cell>
          <cell r="G55">
            <v>2.62</v>
          </cell>
          <cell r="H55">
            <v>4061.5740000000001</v>
          </cell>
        </row>
        <row r="56">
          <cell r="A56" t="str">
            <v>b</v>
          </cell>
          <cell r="B56" t="str">
            <v>Boiler Auxiliaries(Mainly Mills)</v>
          </cell>
          <cell r="C56" t="str">
            <v>%</v>
          </cell>
          <cell r="D56">
            <v>4.9000000000000004</v>
          </cell>
          <cell r="E56">
            <v>3.07</v>
          </cell>
          <cell r="F56">
            <v>1.57</v>
          </cell>
          <cell r="G56">
            <v>1.89</v>
          </cell>
          <cell r="H56">
            <v>25</v>
          </cell>
        </row>
        <row r="57">
          <cell r="A57" t="str">
            <v>c</v>
          </cell>
          <cell r="B57" t="str">
            <v>Turbine</v>
          </cell>
          <cell r="C57" t="str">
            <v>%</v>
          </cell>
          <cell r="D57">
            <v>1.1000000000000001</v>
          </cell>
          <cell r="E57">
            <v>0.98</v>
          </cell>
          <cell r="F57">
            <v>1.42</v>
          </cell>
          <cell r="G57">
            <v>1.06</v>
          </cell>
          <cell r="H57">
            <v>13.2</v>
          </cell>
        </row>
        <row r="58">
          <cell r="A58" t="str">
            <v>d</v>
          </cell>
          <cell r="B58" t="str">
            <v>Turbine Auxiliaries</v>
          </cell>
          <cell r="C58" t="str">
            <v>%</v>
          </cell>
          <cell r="D58">
            <v>0.9</v>
          </cell>
          <cell r="E58">
            <v>0.49</v>
          </cell>
          <cell r="F58">
            <v>0.42</v>
          </cell>
          <cell r="G58">
            <v>0.63</v>
          </cell>
          <cell r="H58">
            <v>2808.83</v>
          </cell>
        </row>
        <row r="59">
          <cell r="A59" t="str">
            <v>e</v>
          </cell>
          <cell r="B59" t="str">
            <v>Generator</v>
          </cell>
          <cell r="C59" t="str">
            <v>%</v>
          </cell>
          <cell r="D59">
            <v>0.3</v>
          </cell>
          <cell r="E59">
            <v>0.27</v>
          </cell>
          <cell r="F59">
            <v>0.2</v>
          </cell>
          <cell r="G59">
            <v>0.48</v>
          </cell>
          <cell r="H59">
            <v>669</v>
          </cell>
        </row>
        <row r="60">
          <cell r="A60" t="str">
            <v>f</v>
          </cell>
          <cell r="B60" t="str">
            <v>Electrical</v>
          </cell>
          <cell r="C60" t="str">
            <v>%</v>
          </cell>
          <cell r="D60">
            <v>0.8</v>
          </cell>
          <cell r="E60">
            <v>1.96</v>
          </cell>
          <cell r="F60">
            <v>2.1</v>
          </cell>
          <cell r="G60">
            <v>0.81</v>
          </cell>
          <cell r="H60">
            <v>9.1300000000000008</v>
          </cell>
        </row>
        <row r="61">
          <cell r="A61" t="str">
            <v>g</v>
          </cell>
          <cell r="B61" t="str">
            <v>Coal related (Quality ,Quantity ,Handling ,wet coal)</v>
          </cell>
          <cell r="C61" t="str">
            <v>%</v>
          </cell>
          <cell r="D61">
            <v>3.3</v>
          </cell>
          <cell r="E61">
            <v>2.4900000000000002</v>
          </cell>
          <cell r="F61">
            <v>1.19</v>
          </cell>
          <cell r="G61">
            <v>1.6</v>
          </cell>
          <cell r="H61">
            <v>1426.91</v>
          </cell>
        </row>
        <row r="62">
          <cell r="A62" t="str">
            <v>h</v>
          </cell>
          <cell r="B62" t="str">
            <v>Others</v>
          </cell>
          <cell r="C62" t="str">
            <v>%</v>
          </cell>
          <cell r="D62">
            <v>0.1</v>
          </cell>
          <cell r="E62">
            <v>0</v>
          </cell>
          <cell r="F62">
            <v>0</v>
          </cell>
          <cell r="G62">
            <v>0.2</v>
          </cell>
          <cell r="H62">
            <v>157</v>
          </cell>
        </row>
        <row r="63">
          <cell r="A63">
            <v>7</v>
          </cell>
          <cell r="B63" t="str">
            <v xml:space="preserve">Planned  Outage         Rate          </v>
          </cell>
          <cell r="C63" t="str">
            <v>MU</v>
          </cell>
          <cell r="D63">
            <v>4231.29</v>
          </cell>
          <cell r="E63">
            <v>3432.3410099999996</v>
          </cell>
          <cell r="F63">
            <v>3544</v>
          </cell>
          <cell r="G63">
            <v>3784.7</v>
          </cell>
          <cell r="H63">
            <v>4061.5740000000001</v>
          </cell>
        </row>
        <row r="64">
          <cell r="A64" t="str">
            <v>a</v>
          </cell>
          <cell r="B64" t="str">
            <v>99-00</v>
          </cell>
          <cell r="C64" t="str">
            <v>No</v>
          </cell>
          <cell r="D64">
            <v>24</v>
          </cell>
          <cell r="E64">
            <v>24</v>
          </cell>
          <cell r="F64">
            <v>20</v>
          </cell>
          <cell r="G64">
            <v>24</v>
          </cell>
          <cell r="H64">
            <v>24</v>
          </cell>
        </row>
        <row r="65">
          <cell r="A65" t="str">
            <v>b</v>
          </cell>
          <cell r="B65" t="str">
            <v xml:space="preserve">                                                       **</v>
          </cell>
          <cell r="C65" t="str">
            <v>%</v>
          </cell>
          <cell r="D65">
            <v>15.62</v>
          </cell>
          <cell r="E65">
            <v>12.67</v>
          </cell>
          <cell r="F65">
            <v>13.08</v>
          </cell>
          <cell r="G65">
            <v>13.05</v>
          </cell>
          <cell r="H65">
            <v>13.2</v>
          </cell>
        </row>
        <row r="66">
          <cell r="A66">
            <v>8</v>
          </cell>
          <cell r="B66" t="str">
            <v xml:space="preserve">Forced   Outage   </v>
          </cell>
          <cell r="C66" t="str">
            <v>MU</v>
          </cell>
          <cell r="D66">
            <v>2568.61</v>
          </cell>
          <cell r="E66">
            <v>2988.0600899999995</v>
          </cell>
          <cell r="F66">
            <v>2626.63</v>
          </cell>
          <cell r="G66">
            <v>2200.5</v>
          </cell>
          <cell r="H66">
            <v>4061.5740000000001</v>
          </cell>
        </row>
        <row r="67">
          <cell r="A67" t="str">
            <v>a</v>
          </cell>
          <cell r="B67" t="str">
            <v>88-89</v>
          </cell>
          <cell r="C67" t="str">
            <v>No</v>
          </cell>
          <cell r="D67">
            <v>679</v>
          </cell>
          <cell r="E67">
            <v>662</v>
          </cell>
          <cell r="F67">
            <v>618</v>
          </cell>
          <cell r="G67">
            <v>570</v>
          </cell>
          <cell r="H67">
            <v>669</v>
          </cell>
        </row>
        <row r="68">
          <cell r="A68" t="str">
            <v>b</v>
          </cell>
          <cell r="B68" t="str">
            <v xml:space="preserve">                                                      **</v>
          </cell>
          <cell r="C68" t="str">
            <v>%</v>
          </cell>
          <cell r="D68">
            <v>9.48</v>
          </cell>
          <cell r="E68">
            <v>11.03</v>
          </cell>
          <cell r="F68">
            <v>9.69</v>
          </cell>
          <cell r="G68">
            <v>7.84</v>
          </cell>
          <cell r="H68">
            <v>9.1300000000000008</v>
          </cell>
        </row>
        <row r="69">
          <cell r="A69" t="str">
            <v>c</v>
          </cell>
          <cell r="B69" t="str">
            <v>Boiler Tube Leakages</v>
          </cell>
          <cell r="C69" t="str">
            <v>MU</v>
          </cell>
          <cell r="D69">
            <v>1719</v>
          </cell>
          <cell r="E69">
            <v>1560.40128</v>
          </cell>
          <cell r="F69">
            <v>1408.83</v>
          </cell>
          <cell r="G69">
            <v>1466.97</v>
          </cell>
          <cell r="H69">
            <v>1426.91</v>
          </cell>
        </row>
        <row r="70">
          <cell r="A70" t="str">
            <v>d</v>
          </cell>
          <cell r="B70" t="str">
            <v>91-92</v>
          </cell>
          <cell r="C70" t="str">
            <v>No</v>
          </cell>
          <cell r="D70">
            <v>185</v>
          </cell>
          <cell r="E70">
            <v>197</v>
          </cell>
          <cell r="F70">
            <v>191</v>
          </cell>
          <cell r="G70">
            <v>184</v>
          </cell>
          <cell r="H70">
            <v>157</v>
          </cell>
        </row>
        <row r="71">
          <cell r="A71" t="str">
            <v>e</v>
          </cell>
          <cell r="B71" t="str">
            <v>92-93</v>
          </cell>
          <cell r="C71" t="str">
            <v>%</v>
          </cell>
          <cell r="D71">
            <v>6.34</v>
          </cell>
          <cell r="E71">
            <v>5.76</v>
          </cell>
          <cell r="F71">
            <v>5.2</v>
          </cell>
          <cell r="G71">
            <v>5.4</v>
          </cell>
          <cell r="H71">
            <v>4.6399999999999997</v>
          </cell>
        </row>
        <row r="72">
          <cell r="A72">
            <v>9</v>
          </cell>
          <cell r="B72" t="str">
            <v>Total          Coal           Consumption</v>
          </cell>
          <cell r="C72" t="str">
            <v>1000MT</v>
          </cell>
          <cell r="D72">
            <v>13482.3</v>
          </cell>
          <cell r="E72">
            <v>14265.226000000001</v>
          </cell>
          <cell r="F72">
            <v>14547.769</v>
          </cell>
          <cell r="G72">
            <v>15648.859</v>
          </cell>
          <cell r="H72">
            <v>16020.288</v>
          </cell>
        </row>
        <row r="73">
          <cell r="A73">
            <v>10</v>
          </cell>
          <cell r="B73" t="str">
            <v xml:space="preserve">COST OF  Coal consumed @ Rs 800 /MT </v>
          </cell>
          <cell r="C73" t="str">
            <v>Cr Rs.</v>
          </cell>
          <cell r="D73">
            <v>1078.5840000000001</v>
          </cell>
          <cell r="E73">
            <v>1141.2180800000001</v>
          </cell>
          <cell r="F73">
            <v>1163.82152</v>
          </cell>
          <cell r="G73">
            <v>1251.9087200000001</v>
          </cell>
          <cell r="H73">
            <v>1281.6230399999999</v>
          </cell>
        </row>
        <row r="74">
          <cell r="A74">
            <v>11</v>
          </cell>
          <cell r="B74" t="str">
            <v>Specific    Coal           Consumption</v>
          </cell>
          <cell r="C74" t="str">
            <v>Kg/Kwh</v>
          </cell>
          <cell r="D74">
            <v>0.8</v>
          </cell>
          <cell r="E74">
            <v>0.79</v>
          </cell>
          <cell r="F74">
            <v>0.79</v>
          </cell>
          <cell r="G74">
            <v>0.78</v>
          </cell>
          <cell r="H74">
            <v>0.78</v>
          </cell>
        </row>
        <row r="75">
          <cell r="A75">
            <v>12</v>
          </cell>
          <cell r="B75" t="str">
            <v>Total          Fuel Oil     Consumption</v>
          </cell>
          <cell r="C75" t="str">
            <v>1000KL</v>
          </cell>
          <cell r="D75">
            <v>86.83</v>
          </cell>
          <cell r="E75">
            <v>66.355000000000004</v>
          </cell>
          <cell r="F75">
            <v>51.347000000000001</v>
          </cell>
          <cell r="G75">
            <v>58.731999999999999</v>
          </cell>
          <cell r="H75">
            <v>65.579260000000005</v>
          </cell>
        </row>
        <row r="76">
          <cell r="A76">
            <v>13</v>
          </cell>
          <cell r="B76" t="str">
            <v>COST OF  Fuel oil consumed  @ Rs 7500 per MT</v>
          </cell>
          <cell r="C76" t="str">
            <v>Cr Rs.</v>
          </cell>
          <cell r="D76">
            <v>65.122500000000002</v>
          </cell>
          <cell r="E76">
            <v>49.766250000000007</v>
          </cell>
          <cell r="F76">
            <v>38.510250000000006</v>
          </cell>
          <cell r="G76">
            <v>44.048999999999999</v>
          </cell>
          <cell r="H76">
            <v>49.184445000000004</v>
          </cell>
        </row>
        <row r="77">
          <cell r="A77">
            <v>14</v>
          </cell>
          <cell r="B77" t="str">
            <v xml:space="preserve">Specific    Fuel Oil      Consumption </v>
          </cell>
          <cell r="C77" t="str">
            <v>ml/Kwh</v>
          </cell>
          <cell r="D77">
            <v>5.15</v>
          </cell>
          <cell r="E77">
            <v>3.69</v>
          </cell>
          <cell r="F77">
            <v>2.78</v>
          </cell>
          <cell r="G77">
            <v>2.29</v>
          </cell>
          <cell r="H77">
            <v>3.22</v>
          </cell>
        </row>
        <row r="78">
          <cell r="A78">
            <v>15</v>
          </cell>
          <cell r="B78" t="str">
            <v>Cost of  Fuels  per  Kwh  Generated</v>
          </cell>
          <cell r="C78" t="str">
            <v>Paise</v>
          </cell>
          <cell r="D78">
            <v>67.807466308412231</v>
          </cell>
          <cell r="E78">
            <v>66.288429706067333</v>
          </cell>
          <cell r="F78">
            <v>65.091569719441793</v>
          </cell>
          <cell r="G78">
            <v>64.326948410685389</v>
          </cell>
          <cell r="H78">
            <v>65.184887114889449</v>
          </cell>
        </row>
        <row r="79">
          <cell r="A79">
            <v>16</v>
          </cell>
          <cell r="B79" t="str">
            <v>Thermal  Auxiliary Consumption   Total</v>
          </cell>
          <cell r="C79" t="str">
            <v>MU</v>
          </cell>
          <cell r="D79">
            <v>1650.79</v>
          </cell>
          <cell r="E79">
            <v>1766.22</v>
          </cell>
          <cell r="F79">
            <v>1783.99</v>
          </cell>
          <cell r="G79">
            <v>1952.78</v>
          </cell>
          <cell r="H79">
            <v>1982.05</v>
          </cell>
        </row>
        <row r="80">
          <cell r="A80">
            <v>17</v>
          </cell>
          <cell r="B80" t="str">
            <v>Thermal  Auxiliary Consumption   Percentage</v>
          </cell>
          <cell r="C80" t="str">
            <v>%</v>
          </cell>
          <cell r="D80">
            <v>9.7871164767590138</v>
          </cell>
          <cell r="E80">
            <v>9.8305197949539984</v>
          </cell>
          <cell r="F80">
            <v>9.66</v>
          </cell>
          <cell r="G80">
            <v>9.69</v>
          </cell>
          <cell r="H80">
            <v>9.7100000000000009</v>
          </cell>
        </row>
        <row r="81">
          <cell r="A81">
            <v>18</v>
          </cell>
          <cell r="B81" t="str">
            <v>Cost of  Fuels  per  Kwh  sent out</v>
          </cell>
          <cell r="C81" t="str">
            <v>Paise</v>
          </cell>
          <cell r="D81">
            <v>75.163838755850691</v>
          </cell>
          <cell r="E81">
            <v>73.515373001293781</v>
          </cell>
          <cell r="F81">
            <v>72.050275657082594</v>
          </cell>
          <cell r="G81">
            <v>71.231359969747686</v>
          </cell>
          <cell r="H81">
            <v>72.193720082196648</v>
          </cell>
        </row>
        <row r="82">
          <cell r="A82" t="str">
            <v>Note :-</v>
          </cell>
          <cell r="B82" t="str">
            <v>89-90</v>
          </cell>
          <cell r="C82">
            <v>840</v>
          </cell>
          <cell r="D82">
            <v>3560</v>
          </cell>
          <cell r="E82">
            <v>4053.42</v>
          </cell>
          <cell r="F82">
            <v>113.86011235955056</v>
          </cell>
          <cell r="G82">
            <v>63.195</v>
          </cell>
          <cell r="H82">
            <v>55.085616438356162</v>
          </cell>
        </row>
        <row r="83">
          <cell r="A83">
            <v>1</v>
          </cell>
          <cell r="B83" t="str">
            <v>In 1994-95 &amp;1999-2000specific oil consumption is more due to stablisation of both units of Sanjay Gandhi thermal Power Station.</v>
          </cell>
          <cell r="C83">
            <v>840</v>
          </cell>
          <cell r="D83">
            <v>4400</v>
          </cell>
          <cell r="E83">
            <v>5060.96</v>
          </cell>
          <cell r="F83">
            <v>115.02181818181818</v>
          </cell>
          <cell r="G83">
            <v>81.45</v>
          </cell>
          <cell r="H83">
            <v>68.777995216351385</v>
          </cell>
        </row>
        <row r="84">
          <cell r="A84">
            <v>2</v>
          </cell>
          <cell r="B84" t="str">
            <v xml:space="preserve"> Heavy and unprcedented rains all over resulting in wet coal problems in thermal stations.</v>
          </cell>
          <cell r="C84">
            <v>840</v>
          </cell>
          <cell r="D84">
            <v>4400</v>
          </cell>
          <cell r="E84">
            <v>4649.3999999999996</v>
          </cell>
          <cell r="F84" t="str">
            <v xml:space="preserve"> </v>
          </cell>
          <cell r="G84">
            <v>78.054999999999993</v>
          </cell>
          <cell r="H84">
            <v>63.012295081967203</v>
          </cell>
        </row>
        <row r="85">
          <cell r="A85">
            <v>3</v>
          </cell>
          <cell r="B85" t="str">
            <v>Considering SGTPS # 1 wef :  01.01.95  , # 2 wef : 01.04.95 ,.# 3 w.e.f : 01.09.99&amp; # 4 w.e.f : 01.04.2000.</v>
          </cell>
          <cell r="C85">
            <v>840</v>
          </cell>
          <cell r="D85">
            <v>4800</v>
          </cell>
          <cell r="E85">
            <v>4853.41</v>
          </cell>
          <cell r="F85">
            <v>101.11270833333333</v>
          </cell>
          <cell r="G85">
            <v>79.78</v>
          </cell>
          <cell r="H85">
            <v>65.957409219395515</v>
          </cell>
        </row>
        <row r="86">
          <cell r="A86">
            <v>4</v>
          </cell>
          <cell r="B86" t="str">
            <v>Considering  Cost of Coal &amp; Fuel oil same for all the  years for comparision purpose .                                         .</v>
          </cell>
          <cell r="C86">
            <v>840</v>
          </cell>
          <cell r="D86">
            <v>5000</v>
          </cell>
          <cell r="E86" t="str">
            <v xml:space="preserve"> </v>
          </cell>
          <cell r="F86">
            <v>98.800600000000017</v>
          </cell>
          <cell r="G86">
            <v>80.135999999999996</v>
          </cell>
          <cell r="H86">
            <v>67.134567297238533</v>
          </cell>
        </row>
        <row r="87">
          <cell r="A87">
            <v>5</v>
          </cell>
          <cell r="B87" t="str">
            <v>Totals  may  not  tally  due  to  rounding  off.</v>
          </cell>
          <cell r="C87">
            <v>840</v>
          </cell>
          <cell r="D87">
            <v>5000</v>
          </cell>
          <cell r="E87">
            <v>4455</v>
          </cell>
          <cell r="F87">
            <v>89.1</v>
          </cell>
          <cell r="G87">
            <v>72.3</v>
          </cell>
          <cell r="H87">
            <v>60.543052837573384</v>
          </cell>
        </row>
        <row r="88">
          <cell r="B88" t="str">
            <v>95-96</v>
          </cell>
          <cell r="C88">
            <v>840</v>
          </cell>
          <cell r="D88">
            <v>5050</v>
          </cell>
          <cell r="E88">
            <v>4660.8</v>
          </cell>
          <cell r="F88">
            <v>92.29306930693069</v>
          </cell>
          <cell r="G88">
            <v>73</v>
          </cell>
          <cell r="H88">
            <v>63.16679677335415</v>
          </cell>
        </row>
        <row r="89">
          <cell r="A89" t="str">
            <v>EXECUTIVE SUMMARY</v>
          </cell>
          <cell r="B89" t="str">
            <v>96-97</v>
          </cell>
          <cell r="C89">
            <v>840</v>
          </cell>
          <cell r="D89">
            <v>5100</v>
          </cell>
          <cell r="E89">
            <v>4913.1000000000004</v>
          </cell>
          <cell r="F89">
            <v>96.335294117647067</v>
          </cell>
          <cell r="G89">
            <v>76.599999999999994</v>
          </cell>
          <cell r="H89">
            <v>66.768590998043067</v>
          </cell>
        </row>
        <row r="90">
          <cell r="A90" t="str">
            <v>91-92 to 95-96</v>
          </cell>
          <cell r="B90" t="str">
            <v>97-98</v>
          </cell>
          <cell r="C90">
            <v>840</v>
          </cell>
          <cell r="D90">
            <v>5100</v>
          </cell>
          <cell r="E90">
            <v>5031.22</v>
          </cell>
          <cell r="F90">
            <v>98.651372549019612</v>
          </cell>
          <cell r="G90">
            <v>76.599999999999994</v>
          </cell>
          <cell r="H90">
            <v>68.373831267666887</v>
          </cell>
        </row>
        <row r="91">
          <cell r="A91" t="str">
            <v xml:space="preserve"> HYDEL GENETRATION</v>
          </cell>
          <cell r="B91" t="str">
            <v>98-99</v>
          </cell>
          <cell r="C91">
            <v>840</v>
          </cell>
          <cell r="D91">
            <v>5200</v>
          </cell>
          <cell r="E91">
            <v>5318.17</v>
          </cell>
          <cell r="F91">
            <v>102.27249999999999</v>
          </cell>
          <cell r="G91">
            <v>76.599999999999994</v>
          </cell>
          <cell r="H91">
            <v>72.273456186127419</v>
          </cell>
        </row>
        <row r="92">
          <cell r="A92" t="str">
            <v xml:space="preserve"> </v>
          </cell>
          <cell r="B92" t="str">
            <v>P A R T I C U L A R S</v>
          </cell>
          <cell r="C92">
            <v>840</v>
          </cell>
          <cell r="D92" t="str">
            <v>91-92</v>
          </cell>
          <cell r="E92" t="str">
            <v>92-93</v>
          </cell>
          <cell r="F92" t="str">
            <v>93-94</v>
          </cell>
          <cell r="G92" t="str">
            <v>94-95</v>
          </cell>
          <cell r="H92" t="str">
            <v xml:space="preserve">95-96 </v>
          </cell>
        </row>
        <row r="93">
          <cell r="A93">
            <v>1</v>
          </cell>
          <cell r="B93" t="str">
            <v>Hydel Generation(G'sagar+Pench+Bargi+Tons+ B'pur+HB))</v>
          </cell>
          <cell r="C93" t="str">
            <v>MU</v>
          </cell>
          <cell r="D93">
            <v>1324.15</v>
          </cell>
          <cell r="E93">
            <v>1295.48</v>
          </cell>
          <cell r="F93">
            <v>1589.68</v>
          </cell>
          <cell r="G93">
            <v>2280.4742339999998</v>
          </cell>
          <cell r="H93">
            <v>2141.34</v>
          </cell>
        </row>
        <row r="94">
          <cell r="A94">
            <v>2</v>
          </cell>
          <cell r="B94" t="str">
            <v xml:space="preserve">Target (PLAN )   </v>
          </cell>
          <cell r="C94" t="str">
            <v>MU</v>
          </cell>
          <cell r="D94">
            <v>1771</v>
          </cell>
          <cell r="E94">
            <v>1870</v>
          </cell>
          <cell r="F94">
            <v>1870</v>
          </cell>
          <cell r="G94">
            <v>1965</v>
          </cell>
          <cell r="H94">
            <v>2035</v>
          </cell>
        </row>
        <row r="95">
          <cell r="A95">
            <v>3</v>
          </cell>
          <cell r="B95" t="str">
            <v>ACHIEVEMENT Percentage of ( 2 )</v>
          </cell>
          <cell r="C95" t="str">
            <v>%</v>
          </cell>
          <cell r="D95">
            <v>74.768492377188025</v>
          </cell>
          <cell r="E95">
            <v>69.277005347593587</v>
          </cell>
          <cell r="F95">
            <v>85.009625668449203</v>
          </cell>
          <cell r="G95">
            <v>116.05466839694657</v>
          </cell>
          <cell r="H95">
            <v>105.23</v>
          </cell>
        </row>
        <row r="96">
          <cell r="A96">
            <v>4</v>
          </cell>
          <cell r="B96" t="str">
            <v>Hydel Generation M.P.Share</v>
          </cell>
          <cell r="C96" t="str">
            <v>MU</v>
          </cell>
          <cell r="D96">
            <v>1498.64</v>
          </cell>
          <cell r="E96">
            <v>1511.19</v>
          </cell>
          <cell r="F96">
            <v>1658.26</v>
          </cell>
          <cell r="G96">
            <v>2415.3094620000002</v>
          </cell>
          <cell r="H96">
            <v>2253.15</v>
          </cell>
        </row>
        <row r="97">
          <cell r="A97">
            <v>5</v>
          </cell>
          <cell r="B97" t="str">
            <v xml:space="preserve">Target (PLAN )   </v>
          </cell>
          <cell r="C97" t="str">
            <v>MU</v>
          </cell>
          <cell r="D97">
            <v>1846</v>
          </cell>
          <cell r="E97">
            <v>1938</v>
          </cell>
          <cell r="F97">
            <v>1990</v>
          </cell>
          <cell r="G97">
            <v>1999.9666666666667</v>
          </cell>
          <cell r="H97">
            <v>2059.33</v>
          </cell>
        </row>
        <row r="98">
          <cell r="A98">
            <v>6</v>
          </cell>
          <cell r="B98" t="str">
            <v>ACHIEVEMENT Percentage of ( 5 )</v>
          </cell>
          <cell r="C98" t="str">
            <v>%</v>
          </cell>
          <cell r="D98">
            <v>81.183098591549296</v>
          </cell>
          <cell r="E98">
            <v>77.976780185758514</v>
          </cell>
          <cell r="F98">
            <v>83.32964824120603</v>
          </cell>
          <cell r="G98">
            <v>120.76748589143152</v>
          </cell>
          <cell r="H98">
            <v>109.41</v>
          </cell>
        </row>
        <row r="99">
          <cell r="A99">
            <v>7</v>
          </cell>
          <cell r="B99" t="str">
            <v xml:space="preserve">Reservoir Level at the end </v>
          </cell>
          <cell r="C99">
            <v>60</v>
          </cell>
          <cell r="D99">
            <v>300</v>
          </cell>
          <cell r="E99">
            <v>375.32</v>
          </cell>
          <cell r="F99">
            <v>125.10666666666667</v>
          </cell>
          <cell r="G99">
            <v>87.49</v>
          </cell>
          <cell r="H99">
            <v>71.407914764079152</v>
          </cell>
        </row>
        <row r="100">
          <cell r="A100" t="str">
            <v>a</v>
          </cell>
          <cell r="B100" t="str">
            <v>GANDHISAGAR     MDDL   1250.00 Ft</v>
          </cell>
          <cell r="C100" t="str">
            <v>FT</v>
          </cell>
          <cell r="D100">
            <v>1284.51</v>
          </cell>
          <cell r="E100">
            <v>1253.47</v>
          </cell>
          <cell r="F100">
            <v>1250.8900000000001</v>
          </cell>
          <cell r="G100">
            <v>1295.67</v>
          </cell>
          <cell r="H100">
            <v>1288.95</v>
          </cell>
        </row>
        <row r="101">
          <cell r="A101" t="str">
            <v xml:space="preserve"> </v>
          </cell>
          <cell r="B101" t="str">
            <v>Energy   Contents   in   MKwh</v>
          </cell>
          <cell r="C101" t="str">
            <v>MU</v>
          </cell>
          <cell r="D101">
            <v>245</v>
          </cell>
          <cell r="E101">
            <v>14.5</v>
          </cell>
          <cell r="F101">
            <v>3.56</v>
          </cell>
          <cell r="G101">
            <v>408.4</v>
          </cell>
          <cell r="H101">
            <v>310</v>
          </cell>
        </row>
        <row r="102">
          <cell r="A102" t="str">
            <v>b</v>
          </cell>
          <cell r="B102" t="str">
            <v>PENCH           MDDL    464.50 M</v>
          </cell>
          <cell r="C102" t="str">
            <v>M</v>
          </cell>
          <cell r="D102">
            <v>464.42</v>
          </cell>
          <cell r="E102">
            <v>474.87</v>
          </cell>
          <cell r="F102">
            <v>483.64</v>
          </cell>
          <cell r="G102">
            <v>482.5</v>
          </cell>
          <cell r="H102">
            <v>472.9</v>
          </cell>
        </row>
        <row r="103">
          <cell r="A103" t="str">
            <v xml:space="preserve"> </v>
          </cell>
          <cell r="B103" t="str">
            <v>Energy   Contents   in   MKwh</v>
          </cell>
          <cell r="C103" t="str">
            <v>MU</v>
          </cell>
          <cell r="D103">
            <v>2.5</v>
          </cell>
          <cell r="E103">
            <v>83</v>
          </cell>
          <cell r="F103">
            <v>222.16</v>
          </cell>
          <cell r="G103">
            <v>202</v>
          </cell>
          <cell r="H103">
            <v>63</v>
          </cell>
        </row>
        <row r="104">
          <cell r="A104" t="str">
            <v>c</v>
          </cell>
          <cell r="B104" t="str">
            <v>BARGI           MDDL    403.50 M</v>
          </cell>
          <cell r="C104" t="str">
            <v>M</v>
          </cell>
          <cell r="D104">
            <v>409</v>
          </cell>
          <cell r="E104">
            <v>414.4</v>
          </cell>
          <cell r="F104">
            <v>413.55</v>
          </cell>
          <cell r="G104">
            <v>418.15</v>
          </cell>
          <cell r="H104">
            <v>411.8</v>
          </cell>
        </row>
        <row r="105">
          <cell r="A105" t="str">
            <v xml:space="preserve"> </v>
          </cell>
          <cell r="B105" t="str">
            <v>Energy   Contents   in   MKwh</v>
          </cell>
          <cell r="C105" t="str">
            <v>MU</v>
          </cell>
          <cell r="D105">
            <v>44</v>
          </cell>
          <cell r="E105">
            <v>113</v>
          </cell>
          <cell r="F105">
            <v>100.15</v>
          </cell>
          <cell r="G105">
            <v>192.75</v>
          </cell>
          <cell r="H105">
            <v>77</v>
          </cell>
        </row>
        <row r="106">
          <cell r="A106" t="str">
            <v>d</v>
          </cell>
          <cell r="B106" t="str">
            <v>TONS            MDDL    275.00 M</v>
          </cell>
          <cell r="C106" t="str">
            <v>M</v>
          </cell>
          <cell r="D106">
            <v>300</v>
          </cell>
          <cell r="E106">
            <v>294.39999999999998</v>
          </cell>
          <cell r="F106">
            <v>277.10000000000002</v>
          </cell>
          <cell r="G106">
            <v>277.3</v>
          </cell>
          <cell r="H106">
            <v>277.3</v>
          </cell>
        </row>
        <row r="107">
          <cell r="A107" t="str">
            <v xml:space="preserve"> </v>
          </cell>
          <cell r="B107" t="str">
            <v>Energy   Contents   in   MKwh</v>
          </cell>
          <cell r="C107" t="str">
            <v>MU</v>
          </cell>
          <cell r="D107">
            <v>300</v>
          </cell>
          <cell r="E107">
            <v>258.89999999999998</v>
          </cell>
          <cell r="F107">
            <v>1.1279999999999999</v>
          </cell>
          <cell r="G107">
            <v>0</v>
          </cell>
          <cell r="H107">
            <v>0</v>
          </cell>
        </row>
        <row r="108">
          <cell r="A108" t="str">
            <v>e</v>
          </cell>
          <cell r="B108" t="str">
            <v>BIRSINGHPUR     MDDL    471.00 M</v>
          </cell>
          <cell r="C108" t="str">
            <v>M</v>
          </cell>
          <cell r="D108">
            <v>300</v>
          </cell>
          <cell r="E108">
            <v>251.97</v>
          </cell>
          <cell r="F108">
            <v>475.97</v>
          </cell>
          <cell r="G108">
            <v>475.1</v>
          </cell>
          <cell r="H108">
            <v>475.34</v>
          </cell>
        </row>
        <row r="109">
          <cell r="A109" t="str">
            <v xml:space="preserve"> </v>
          </cell>
          <cell r="B109" t="str">
            <v>Energy   Contents   in   MKwh</v>
          </cell>
          <cell r="C109" t="str">
            <v>MU</v>
          </cell>
          <cell r="D109">
            <v>300</v>
          </cell>
          <cell r="E109">
            <v>202.17</v>
          </cell>
          <cell r="F109">
            <v>4.7477</v>
          </cell>
          <cell r="G109">
            <v>4.5209999999999999</v>
          </cell>
          <cell r="H109">
            <v>4.5</v>
          </cell>
        </row>
        <row r="110">
          <cell r="A110" t="str">
            <v>f</v>
          </cell>
          <cell r="B110" t="str">
            <v>HASDEO-BANGO    MDDL    329.79 M</v>
          </cell>
          <cell r="C110" t="str">
            <v>M</v>
          </cell>
          <cell r="D110">
            <v>250</v>
          </cell>
          <cell r="E110">
            <v>248.2</v>
          </cell>
          <cell r="F110" t="str">
            <v>N.A.</v>
          </cell>
          <cell r="G110">
            <v>353.12</v>
          </cell>
          <cell r="H110">
            <v>347.98</v>
          </cell>
        </row>
        <row r="111">
          <cell r="A111" t="str">
            <v xml:space="preserve"> </v>
          </cell>
          <cell r="B111" t="str">
            <v>Energy   Contents   in   MKwh</v>
          </cell>
          <cell r="C111" t="str">
            <v>MU</v>
          </cell>
          <cell r="D111">
            <v>250</v>
          </cell>
          <cell r="E111">
            <v>180.96</v>
          </cell>
          <cell r="F111" t="str">
            <v>-</v>
          </cell>
          <cell r="G111">
            <v>152.76295999999999</v>
          </cell>
          <cell r="H111">
            <v>94</v>
          </cell>
        </row>
        <row r="112">
          <cell r="A112" t="str">
            <v>g</v>
          </cell>
          <cell r="B112" t="str">
            <v xml:space="preserve">RAJGHAT     MDDL    </v>
          </cell>
          <cell r="C112" t="str">
            <v>M</v>
          </cell>
          <cell r="D112">
            <v>280</v>
          </cell>
          <cell r="E112">
            <v>228.44</v>
          </cell>
          <cell r="F112" t="str">
            <v>N.A.</v>
          </cell>
          <cell r="G112">
            <v>353.12</v>
          </cell>
          <cell r="H112" t="str">
            <v xml:space="preserve"> </v>
          </cell>
        </row>
        <row r="113">
          <cell r="A113" t="str">
            <v xml:space="preserve"> </v>
          </cell>
          <cell r="B113" t="str">
            <v>Energy   Contents   in   MKwh</v>
          </cell>
          <cell r="C113" t="str">
            <v>MU</v>
          </cell>
          <cell r="D113">
            <v>1250</v>
          </cell>
          <cell r="E113">
            <v>1209.6600000000001</v>
          </cell>
          <cell r="F113" t="str">
            <v>-</v>
          </cell>
          <cell r="G113">
            <v>152.76295999999999</v>
          </cell>
          <cell r="H113" t="str">
            <v xml:space="preserve"> </v>
          </cell>
        </row>
        <row r="114">
          <cell r="A114" t="str">
            <v xml:space="preserve"> </v>
          </cell>
          <cell r="B114" t="str">
            <v>M.P.E.B. GENERATION  AS PER SHARE</v>
          </cell>
          <cell r="C114">
            <v>240</v>
          </cell>
          <cell r="D114">
            <v>1310</v>
          </cell>
          <cell r="E114">
            <v>988.66</v>
          </cell>
          <cell r="F114">
            <v>75.470229007633591</v>
          </cell>
          <cell r="G114">
            <v>69.31</v>
          </cell>
          <cell r="H114">
            <v>47.025304414003045</v>
          </cell>
        </row>
        <row r="115">
          <cell r="A115">
            <v>1</v>
          </cell>
          <cell r="B115" t="str">
            <v>THERMAL  ( Excl. 40% Satpura I)</v>
          </cell>
          <cell r="C115" t="str">
            <v>MU</v>
          </cell>
          <cell r="D115">
            <v>11025.74</v>
          </cell>
          <cell r="E115">
            <v>11747.67</v>
          </cell>
          <cell r="F115">
            <v>12723.74</v>
          </cell>
          <cell r="G115">
            <v>14182.079879999999</v>
          </cell>
          <cell r="H115">
            <v>15345.74</v>
          </cell>
        </row>
        <row r="116">
          <cell r="A116">
            <v>2</v>
          </cell>
          <cell r="B116" t="str">
            <v>HYDEL    ( Excl. 50 % Chambal &amp; 1/3 Pench )</v>
          </cell>
          <cell r="C116" t="str">
            <v>MU</v>
          </cell>
          <cell r="D116">
            <v>1498.64</v>
          </cell>
          <cell r="E116">
            <v>1511.49</v>
          </cell>
          <cell r="F116">
            <v>1658.26</v>
          </cell>
          <cell r="G116">
            <v>2415.3094620000002</v>
          </cell>
          <cell r="H116">
            <v>2253.15</v>
          </cell>
        </row>
        <row r="117">
          <cell r="A117">
            <v>3</v>
          </cell>
          <cell r="B117" t="str">
            <v>TOTAL</v>
          </cell>
          <cell r="C117" t="str">
            <v>MU</v>
          </cell>
          <cell r="D117">
            <v>12524.38</v>
          </cell>
          <cell r="E117">
            <v>13259.16</v>
          </cell>
          <cell r="F117">
            <v>14382</v>
          </cell>
          <cell r="G117">
            <v>16597.389341999999</v>
          </cell>
          <cell r="H117">
            <v>17598.88</v>
          </cell>
        </row>
        <row r="118">
          <cell r="A118" t="str">
            <v>Note :-</v>
          </cell>
          <cell r="B118" t="str">
            <v>1.Heavy and good rains resulted in more secondary generation in Hydel Stations in Year 1994-95</v>
          </cell>
          <cell r="C118">
            <v>240</v>
          </cell>
          <cell r="D118">
            <v>1120</v>
          </cell>
          <cell r="E118">
            <v>1070.5160000000001</v>
          </cell>
          <cell r="F118">
            <v>95.581785714285715</v>
          </cell>
          <cell r="G118">
            <v>70.069999999999993</v>
          </cell>
          <cell r="H118">
            <v>50.918759512937605</v>
          </cell>
        </row>
        <row r="119">
          <cell r="A119" t="str">
            <v>Note :-</v>
          </cell>
          <cell r="B119" t="str">
            <v>2.Intermittent rains practically every month resulted in building up level and non utilisation of water due to lack of demand in 1997-98.</v>
          </cell>
          <cell r="C119">
            <v>240</v>
          </cell>
          <cell r="D119">
            <v>1100</v>
          </cell>
          <cell r="E119">
            <v>1122.9000000000001</v>
          </cell>
          <cell r="F119">
            <v>102.08181818181819</v>
          </cell>
          <cell r="G119">
            <v>76.099999999999994</v>
          </cell>
          <cell r="H119">
            <v>53.410388127853885</v>
          </cell>
        </row>
        <row r="120">
          <cell r="A120" t="str">
            <v>EXECUTIVE SUMMARY</v>
          </cell>
          <cell r="B120" t="str">
            <v>95-96</v>
          </cell>
          <cell r="C120">
            <v>240</v>
          </cell>
          <cell r="D120">
            <v>1150</v>
          </cell>
          <cell r="E120">
            <v>958</v>
          </cell>
          <cell r="F120">
            <v>83.304347826086953</v>
          </cell>
          <cell r="G120">
            <v>73.400000000000006</v>
          </cell>
          <cell r="H120">
            <v>45.442471159684274</v>
          </cell>
        </row>
        <row r="121">
          <cell r="A121" t="str">
            <v>96-97 to 00-01</v>
          </cell>
          <cell r="B121" t="str">
            <v>96-97</v>
          </cell>
          <cell r="C121">
            <v>240</v>
          </cell>
          <cell r="D121">
            <v>1200</v>
          </cell>
          <cell r="E121">
            <v>420.6</v>
          </cell>
          <cell r="F121">
            <v>35.049999999999997</v>
          </cell>
          <cell r="G121">
            <v>29.8</v>
          </cell>
          <cell r="H121">
            <v>20.005707762557076</v>
          </cell>
        </row>
        <row r="122">
          <cell r="A122" t="str">
            <v xml:space="preserve"> HYDEL GENETRATION</v>
          </cell>
          <cell r="B122" t="str">
            <v>97-98</v>
          </cell>
          <cell r="C122">
            <v>240</v>
          </cell>
          <cell r="D122">
            <v>1000</v>
          </cell>
          <cell r="E122">
            <v>526.26</v>
          </cell>
          <cell r="F122">
            <v>52.625999999999998</v>
          </cell>
          <cell r="G122">
            <v>31.9</v>
          </cell>
          <cell r="H122">
            <v>25.031392694063928</v>
          </cell>
        </row>
        <row r="123">
          <cell r="A123" t="str">
            <v xml:space="preserve"> </v>
          </cell>
          <cell r="B123" t="str">
            <v>P A R T I C U L A R S</v>
          </cell>
          <cell r="C123">
            <v>240</v>
          </cell>
          <cell r="D123" t="str">
            <v>96-97</v>
          </cell>
          <cell r="E123" t="str">
            <v>97-98</v>
          </cell>
          <cell r="F123" t="str">
            <v>98-99</v>
          </cell>
          <cell r="G123" t="str">
            <v>99-00</v>
          </cell>
          <cell r="H123" t="str">
            <v>00-01</v>
          </cell>
        </row>
        <row r="124">
          <cell r="A124">
            <v>1</v>
          </cell>
          <cell r="B124" t="str">
            <v>Hydel Generation(G'sagar+Pench+Bargi+Tons+ B'pur+HB))</v>
          </cell>
          <cell r="C124" t="str">
            <v>MU</v>
          </cell>
          <cell r="D124">
            <v>2067.65</v>
          </cell>
          <cell r="E124">
            <v>2232.69</v>
          </cell>
          <cell r="F124">
            <v>2833.73</v>
          </cell>
          <cell r="G124">
            <v>2459.5</v>
          </cell>
          <cell r="H124">
            <v>1824.28</v>
          </cell>
        </row>
        <row r="125">
          <cell r="A125">
            <v>2</v>
          </cell>
          <cell r="B125" t="str">
            <v xml:space="preserve">Target (PLAN )   </v>
          </cell>
          <cell r="C125" t="str">
            <v>MU</v>
          </cell>
          <cell r="D125">
            <v>2195</v>
          </cell>
          <cell r="E125">
            <v>2195</v>
          </cell>
          <cell r="F125">
            <v>2275</v>
          </cell>
          <cell r="G125">
            <v>2440</v>
          </cell>
          <cell r="H125">
            <v>2480</v>
          </cell>
        </row>
        <row r="126">
          <cell r="A126">
            <v>3</v>
          </cell>
          <cell r="B126" t="str">
            <v>ACHIEVEMENT Percentage of ( 2 )</v>
          </cell>
          <cell r="C126" t="str">
            <v>%</v>
          </cell>
          <cell r="D126">
            <v>94.198177676537583</v>
          </cell>
          <cell r="E126">
            <v>101.71708428246014</v>
          </cell>
          <cell r="F126">
            <v>124.56</v>
          </cell>
          <cell r="G126">
            <v>124.56</v>
          </cell>
          <cell r="H126">
            <v>73.559677419354841</v>
          </cell>
        </row>
        <row r="127">
          <cell r="A127">
            <v>4</v>
          </cell>
          <cell r="B127" t="str">
            <v>Hydel Generation M.P.Share</v>
          </cell>
          <cell r="C127" t="str">
            <v>MU</v>
          </cell>
          <cell r="D127">
            <v>2274.37</v>
          </cell>
          <cell r="E127">
            <v>2324.88</v>
          </cell>
          <cell r="F127">
            <v>2850.57</v>
          </cell>
          <cell r="G127">
            <v>2507.1999999999998</v>
          </cell>
          <cell r="H127">
            <v>1809.98</v>
          </cell>
        </row>
        <row r="128">
          <cell r="A128">
            <v>5</v>
          </cell>
          <cell r="B128" t="str">
            <v xml:space="preserve">Target (PLAN )   </v>
          </cell>
          <cell r="C128" t="str">
            <v>MU</v>
          </cell>
          <cell r="D128">
            <v>2200</v>
          </cell>
          <cell r="E128">
            <v>2200</v>
          </cell>
          <cell r="F128">
            <v>2300</v>
          </cell>
          <cell r="G128">
            <v>2385</v>
          </cell>
          <cell r="H128">
            <v>2424.17</v>
          </cell>
        </row>
        <row r="129">
          <cell r="A129">
            <v>6</v>
          </cell>
          <cell r="B129" t="str">
            <v>ACHIEVEMENT Percentage of ( 5 )</v>
          </cell>
          <cell r="C129" t="str">
            <v>%</v>
          </cell>
          <cell r="D129">
            <v>103.38045454545454</v>
          </cell>
          <cell r="E129">
            <v>105.67636363636363</v>
          </cell>
          <cell r="F129">
            <v>123.94</v>
          </cell>
          <cell r="G129">
            <v>123.94</v>
          </cell>
          <cell r="H129">
            <v>74.663905584179332</v>
          </cell>
        </row>
        <row r="130">
          <cell r="A130">
            <v>7</v>
          </cell>
          <cell r="B130" t="str">
            <v xml:space="preserve">Reservoir Level at the end </v>
          </cell>
          <cell r="C130">
            <v>300</v>
          </cell>
          <cell r="D130">
            <v>1550</v>
          </cell>
          <cell r="E130">
            <v>1068.78</v>
          </cell>
          <cell r="F130">
            <v>68.953548387096774</v>
          </cell>
          <cell r="G130">
            <v>59.14</v>
          </cell>
          <cell r="H130">
            <v>40.557832422586522</v>
          </cell>
        </row>
        <row r="131">
          <cell r="A131" t="str">
            <v>a</v>
          </cell>
          <cell r="B131" t="str">
            <v>GANDHISAGAR     MDDL   1250.00 Ft</v>
          </cell>
          <cell r="C131" t="str">
            <v>FT</v>
          </cell>
          <cell r="D131">
            <v>1291.08</v>
          </cell>
          <cell r="E131">
            <v>1295.8</v>
          </cell>
          <cell r="F131">
            <v>1272.98</v>
          </cell>
          <cell r="G131">
            <v>1265.2</v>
          </cell>
          <cell r="H131">
            <v>1248.69</v>
          </cell>
        </row>
        <row r="132">
          <cell r="A132" t="str">
            <v xml:space="preserve"> </v>
          </cell>
          <cell r="B132" t="str">
            <v>Energy   Contents   in   MKwh</v>
          </cell>
          <cell r="C132" t="str">
            <v>MU</v>
          </cell>
          <cell r="D132">
            <v>336.2</v>
          </cell>
          <cell r="E132">
            <v>411</v>
          </cell>
          <cell r="F132">
            <v>130.84</v>
          </cell>
          <cell r="G132">
            <v>75.400000000000006</v>
          </cell>
          <cell r="H132">
            <v>0</v>
          </cell>
        </row>
        <row r="133">
          <cell r="A133" t="str">
            <v>b</v>
          </cell>
          <cell r="B133" t="str">
            <v>PENCH           MDDL    464.50 M</v>
          </cell>
          <cell r="C133" t="str">
            <v>M</v>
          </cell>
          <cell r="D133">
            <v>467.3</v>
          </cell>
          <cell r="E133">
            <v>486.66</v>
          </cell>
          <cell r="F133">
            <v>481.29</v>
          </cell>
          <cell r="G133">
            <v>478.86</v>
          </cell>
          <cell r="H133">
            <v>463.46</v>
          </cell>
        </row>
        <row r="134">
          <cell r="A134" t="str">
            <v xml:space="preserve"> </v>
          </cell>
          <cell r="B134" t="str">
            <v>Energy   Contents   in   MKwh</v>
          </cell>
          <cell r="C134" t="str">
            <v>MU</v>
          </cell>
          <cell r="D134">
            <v>18.8</v>
          </cell>
          <cell r="E134">
            <v>289.5</v>
          </cell>
          <cell r="F134">
            <v>177.93</v>
          </cell>
          <cell r="G134">
            <v>137.9</v>
          </cell>
          <cell r="H134">
            <v>0</v>
          </cell>
        </row>
        <row r="135">
          <cell r="A135" t="str">
            <v>c</v>
          </cell>
          <cell r="B135" t="str">
            <v>BARGI           MDDL    403.50 M</v>
          </cell>
          <cell r="C135" t="str">
            <v>M</v>
          </cell>
          <cell r="D135">
            <v>411.35</v>
          </cell>
          <cell r="E135">
            <v>416.75</v>
          </cell>
          <cell r="F135">
            <v>410.45</v>
          </cell>
          <cell r="G135">
            <v>411.05</v>
          </cell>
          <cell r="H135">
            <v>410</v>
          </cell>
        </row>
        <row r="136">
          <cell r="A136" t="str">
            <v xml:space="preserve"> </v>
          </cell>
          <cell r="B136" t="str">
            <v>Energy   Contents   in   MKwh</v>
          </cell>
          <cell r="C136" t="str">
            <v>MU</v>
          </cell>
          <cell r="D136">
            <v>71.55</v>
          </cell>
          <cell r="E136">
            <v>160.75</v>
          </cell>
          <cell r="F136">
            <v>60.4</v>
          </cell>
          <cell r="G136">
            <v>67.650000000000006</v>
          </cell>
          <cell r="H136">
            <v>55</v>
          </cell>
        </row>
        <row r="137">
          <cell r="A137" t="str">
            <v>d</v>
          </cell>
          <cell r="B137" t="str">
            <v>TONS            MDDL    275.00 M</v>
          </cell>
          <cell r="C137" t="str">
            <v>M</v>
          </cell>
          <cell r="D137">
            <v>277.3</v>
          </cell>
          <cell r="E137">
            <v>277.2</v>
          </cell>
          <cell r="F137">
            <v>277</v>
          </cell>
          <cell r="G137">
            <v>275</v>
          </cell>
          <cell r="H137">
            <v>276.3</v>
          </cell>
        </row>
        <row r="138">
          <cell r="A138" t="str">
            <v xml:space="preserve"> </v>
          </cell>
          <cell r="B138" t="str">
            <v>Energy   Contents   in   MKwh</v>
          </cell>
          <cell r="C138" t="str">
            <v>MU</v>
          </cell>
          <cell r="D138">
            <v>0</v>
          </cell>
          <cell r="E138">
            <v>0</v>
          </cell>
          <cell r="F138">
            <v>0</v>
          </cell>
          <cell r="G138">
            <v>0</v>
          </cell>
          <cell r="H138">
            <v>0.87</v>
          </cell>
        </row>
        <row r="139">
          <cell r="A139" t="str">
            <v>e</v>
          </cell>
          <cell r="B139" t="str">
            <v>BIRSINGHPUR     MDDL    471.00 M</v>
          </cell>
          <cell r="C139" t="str">
            <v>M</v>
          </cell>
          <cell r="D139">
            <v>475.01</v>
          </cell>
          <cell r="E139">
            <v>475.65</v>
          </cell>
          <cell r="F139">
            <v>474.63</v>
          </cell>
          <cell r="G139">
            <v>475.73</v>
          </cell>
          <cell r="H139">
            <v>474.48</v>
          </cell>
        </row>
        <row r="140">
          <cell r="A140" t="str">
            <v xml:space="preserve"> </v>
          </cell>
          <cell r="B140" t="str">
            <v>Energy   Contents   in   MKwh</v>
          </cell>
          <cell r="C140" t="str">
            <v>MU</v>
          </cell>
          <cell r="D140">
            <v>4.41</v>
          </cell>
          <cell r="E140">
            <v>5.95</v>
          </cell>
          <cell r="F140">
            <v>3.95</v>
          </cell>
          <cell r="G140">
            <v>5.27</v>
          </cell>
          <cell r="H140">
            <v>3.78</v>
          </cell>
        </row>
        <row r="141">
          <cell r="A141" t="str">
            <v>f</v>
          </cell>
          <cell r="B141" t="str">
            <v>HASDEO-BANGO    MDDL    329.79 M</v>
          </cell>
          <cell r="C141" t="str">
            <v>M</v>
          </cell>
          <cell r="D141">
            <v>345</v>
          </cell>
          <cell r="E141">
            <v>355.56</v>
          </cell>
          <cell r="F141">
            <v>334.51</v>
          </cell>
          <cell r="G141">
            <v>344.57</v>
          </cell>
          <cell r="H141">
            <v>345.48</v>
          </cell>
        </row>
        <row r="142">
          <cell r="A142" t="str">
            <v xml:space="preserve"> </v>
          </cell>
          <cell r="B142" t="str">
            <v>Energy   Contents   in   MKwh</v>
          </cell>
          <cell r="C142" t="str">
            <v>MU</v>
          </cell>
          <cell r="D142">
            <v>68</v>
          </cell>
          <cell r="E142">
            <v>187.4</v>
          </cell>
          <cell r="F142">
            <v>13.18</v>
          </cell>
          <cell r="G142">
            <v>64.849999999999994</v>
          </cell>
          <cell r="H142">
            <v>71.36</v>
          </cell>
        </row>
        <row r="143">
          <cell r="A143" t="str">
            <v>g</v>
          </cell>
          <cell r="B143" t="str">
            <v xml:space="preserve">RAJGHAT     MDDL    </v>
          </cell>
          <cell r="C143" t="str">
            <v>M</v>
          </cell>
          <cell r="D143" t="str">
            <v xml:space="preserve"> </v>
          </cell>
          <cell r="E143" t="str">
            <v xml:space="preserve"> </v>
          </cell>
          <cell r="F143" t="str">
            <v xml:space="preserve"> </v>
          </cell>
          <cell r="G143" t="str">
            <v xml:space="preserve"> </v>
          </cell>
          <cell r="H143" t="str">
            <v xml:space="preserve"> </v>
          </cell>
        </row>
        <row r="144">
          <cell r="A144" t="str">
            <v xml:space="preserve"> </v>
          </cell>
          <cell r="B144" t="str">
            <v>Energy   Contents   in   MKwh</v>
          </cell>
          <cell r="C144" t="str">
            <v>MU</v>
          </cell>
          <cell r="D144" t="str">
            <v xml:space="preserve"> </v>
          </cell>
          <cell r="E144" t="str">
            <v xml:space="preserve"> </v>
          </cell>
          <cell r="F144" t="str">
            <v xml:space="preserve"> </v>
          </cell>
          <cell r="G144" t="str">
            <v xml:space="preserve"> </v>
          </cell>
          <cell r="H144">
            <v>0</v>
          </cell>
        </row>
        <row r="145">
          <cell r="A145" t="str">
            <v xml:space="preserve"> </v>
          </cell>
          <cell r="B145" t="str">
            <v>M.P.E.B. GENERATION  AS PER SHARE</v>
          </cell>
          <cell r="C145">
            <v>312.5</v>
          </cell>
          <cell r="D145">
            <v>1650</v>
          </cell>
          <cell r="E145">
            <v>1832.28</v>
          </cell>
          <cell r="F145">
            <v>111.04727272727273</v>
          </cell>
          <cell r="G145">
            <v>78.5</v>
          </cell>
          <cell r="H145">
            <v>66.932602739726022</v>
          </cell>
        </row>
        <row r="146">
          <cell r="A146">
            <v>1</v>
          </cell>
          <cell r="B146" t="str">
            <v>THERMAL  ( Excl. 40% Satpura I)</v>
          </cell>
          <cell r="C146" t="str">
            <v>MU</v>
          </cell>
          <cell r="D146">
            <v>16139.38</v>
          </cell>
          <cell r="E146">
            <v>17117.55</v>
          </cell>
          <cell r="F146">
            <v>17701.060000000001</v>
          </cell>
          <cell r="G146">
            <v>19305.5</v>
          </cell>
          <cell r="H146">
            <v>19626.939999999999</v>
          </cell>
        </row>
        <row r="147">
          <cell r="A147">
            <v>2</v>
          </cell>
          <cell r="B147" t="str">
            <v>HYDEL    ( Excl. 50 % Chambal &amp; 1/3 Pench )</v>
          </cell>
          <cell r="C147" t="str">
            <v>MU</v>
          </cell>
          <cell r="D147">
            <v>2274.37</v>
          </cell>
          <cell r="E147">
            <v>2324.88</v>
          </cell>
          <cell r="F147">
            <v>2850.57</v>
          </cell>
          <cell r="G147">
            <v>2507.1999999999998</v>
          </cell>
          <cell r="H147">
            <v>1809.98</v>
          </cell>
        </row>
        <row r="148">
          <cell r="A148">
            <v>3</v>
          </cell>
          <cell r="B148" t="str">
            <v>TOTAL</v>
          </cell>
          <cell r="C148" t="str">
            <v>MU</v>
          </cell>
          <cell r="D148">
            <v>18413.75</v>
          </cell>
          <cell r="E148">
            <v>19442.43</v>
          </cell>
          <cell r="F148">
            <v>20551.63</v>
          </cell>
          <cell r="G148">
            <v>21812.7</v>
          </cell>
          <cell r="H148">
            <v>21436.92</v>
          </cell>
        </row>
        <row r="149">
          <cell r="A149" t="str">
            <v>Note :-</v>
          </cell>
          <cell r="B149" t="str">
            <v>1.Heavy and good rains resulted in more secondary generation in Hydel Stations in Year 1994-95</v>
          </cell>
          <cell r="C149">
            <v>312.5</v>
          </cell>
          <cell r="D149">
            <v>1600</v>
          </cell>
          <cell r="E149">
            <v>1538.84</v>
          </cell>
          <cell r="F149">
            <v>96.177499999999995</v>
          </cell>
          <cell r="G149">
            <v>72.41</v>
          </cell>
          <cell r="H149">
            <v>56.213333333333331</v>
          </cell>
        </row>
        <row r="150">
          <cell r="A150" t="str">
            <v>Note :-</v>
          </cell>
          <cell r="B150" t="str">
            <v>2.Intermittent rains practically every month resulted in building up level and non utilisation of water due to lack of demand in 1997-98.</v>
          </cell>
          <cell r="C150">
            <v>312.5</v>
          </cell>
          <cell r="D150">
            <v>1500</v>
          </cell>
          <cell r="E150">
            <v>1519.37</v>
          </cell>
          <cell r="F150">
            <v>101.29133333333333</v>
          </cell>
          <cell r="G150">
            <v>72.699726027397261</v>
          </cell>
          <cell r="H150">
            <v>55.502100456621008</v>
          </cell>
        </row>
        <row r="151">
          <cell r="B151" t="str">
            <v>94-95</v>
          </cell>
          <cell r="C151">
            <v>312.5</v>
          </cell>
          <cell r="D151">
            <v>1550</v>
          </cell>
          <cell r="E151">
            <v>1497.8</v>
          </cell>
          <cell r="F151">
            <v>96.632258064516122</v>
          </cell>
          <cell r="G151">
            <v>70</v>
          </cell>
          <cell r="H151">
            <v>54.714155251141555</v>
          </cell>
        </row>
        <row r="152">
          <cell r="B152" t="str">
            <v>95-96</v>
          </cell>
          <cell r="C152">
            <v>312.5</v>
          </cell>
          <cell r="D152">
            <v>1550</v>
          </cell>
          <cell r="E152">
            <v>1814</v>
          </cell>
          <cell r="F152">
            <v>117.03225806451613</v>
          </cell>
          <cell r="G152">
            <v>78.900000000000006</v>
          </cell>
          <cell r="H152">
            <v>66.083788706739526</v>
          </cell>
        </row>
        <row r="153">
          <cell r="B153" t="str">
            <v>96-97</v>
          </cell>
          <cell r="C153">
            <v>312.5</v>
          </cell>
          <cell r="D153">
            <v>1650</v>
          </cell>
          <cell r="E153">
            <v>1819</v>
          </cell>
          <cell r="F153">
            <v>110.24242424242425</v>
          </cell>
          <cell r="G153">
            <v>78</v>
          </cell>
          <cell r="H153">
            <v>66.447488584474883</v>
          </cell>
        </row>
        <row r="154">
          <cell r="B154" t="str">
            <v>97-98</v>
          </cell>
          <cell r="C154">
            <v>312.5</v>
          </cell>
          <cell r="D154">
            <v>1800</v>
          </cell>
          <cell r="E154">
            <v>2122.88</v>
          </cell>
          <cell r="F154">
            <v>117.93777777777778</v>
          </cell>
          <cell r="G154">
            <v>85.2</v>
          </cell>
          <cell r="H154">
            <v>77.548127853881283</v>
          </cell>
        </row>
        <row r="155">
          <cell r="B155" t="str">
            <v>98-99</v>
          </cell>
          <cell r="C155">
            <v>312.5</v>
          </cell>
          <cell r="D155">
            <v>1700</v>
          </cell>
          <cell r="E155">
            <v>1925.81</v>
          </cell>
          <cell r="F155">
            <v>113.28294117647059</v>
          </cell>
          <cell r="G155">
            <v>78.900000000000006</v>
          </cell>
          <cell r="H155">
            <v>70.349223744292232</v>
          </cell>
        </row>
        <row r="156">
          <cell r="B156" t="str">
            <v>99-00</v>
          </cell>
          <cell r="C156">
            <v>312.5</v>
          </cell>
          <cell r="D156">
            <v>2050</v>
          </cell>
          <cell r="E156">
            <v>2102.1999999999998</v>
          </cell>
          <cell r="F156">
            <v>102.5</v>
          </cell>
          <cell r="G156">
            <v>80.8</v>
          </cell>
          <cell r="H156">
            <v>76.599999999999994</v>
          </cell>
        </row>
        <row r="157">
          <cell r="B157" t="str">
            <v>00-01</v>
          </cell>
          <cell r="C157">
            <v>312.5</v>
          </cell>
          <cell r="D157">
            <v>1950</v>
          </cell>
          <cell r="E157">
            <v>1972.36</v>
          </cell>
          <cell r="F157">
            <v>101.15</v>
          </cell>
          <cell r="G157">
            <v>78.77</v>
          </cell>
          <cell r="H157">
            <v>72.05</v>
          </cell>
        </row>
        <row r="158">
          <cell r="A158" t="str">
            <v>Average last 5 years</v>
          </cell>
          <cell r="D158">
            <v>1830</v>
          </cell>
          <cell r="E158">
            <v>1988.45</v>
          </cell>
          <cell r="F158">
            <v>109.02262863933451</v>
          </cell>
          <cell r="G158">
            <v>80.333999999999989</v>
          </cell>
          <cell r="H158">
            <v>72.598968036529669</v>
          </cell>
        </row>
        <row r="159">
          <cell r="A159" t="str">
            <v>SATPURA II</v>
          </cell>
          <cell r="B159" t="str">
            <v>88-89</v>
          </cell>
          <cell r="C159">
            <v>410</v>
          </cell>
          <cell r="D159">
            <v>1800</v>
          </cell>
          <cell r="E159">
            <v>1359.91</v>
          </cell>
          <cell r="F159">
            <v>75.550555555555562</v>
          </cell>
          <cell r="G159">
            <v>64.67</v>
          </cell>
          <cell r="H159">
            <v>37.863626239002116</v>
          </cell>
        </row>
        <row r="160">
          <cell r="B160" t="str">
            <v>89-90</v>
          </cell>
          <cell r="C160">
            <v>410</v>
          </cell>
          <cell r="D160">
            <v>1800</v>
          </cell>
          <cell r="E160">
            <v>1247.99</v>
          </cell>
          <cell r="F160">
            <v>69.332777777777778</v>
          </cell>
          <cell r="G160">
            <v>64.5</v>
          </cell>
          <cell r="H160">
            <v>34.747466310279542</v>
          </cell>
        </row>
        <row r="161">
          <cell r="B161" t="str">
            <v>90-91</v>
          </cell>
          <cell r="C161">
            <v>410</v>
          </cell>
          <cell r="D161">
            <v>1800</v>
          </cell>
          <cell r="E161">
            <v>1143.08</v>
          </cell>
          <cell r="F161">
            <v>63.504444444444445</v>
          </cell>
          <cell r="G161">
            <v>59.01</v>
          </cell>
          <cell r="H161">
            <v>31.826484018264839</v>
          </cell>
        </row>
        <row r="162">
          <cell r="B162" t="str">
            <v>91-92</v>
          </cell>
          <cell r="C162">
            <v>410</v>
          </cell>
          <cell r="D162">
            <v>1800</v>
          </cell>
          <cell r="E162">
            <v>1261.23</v>
          </cell>
          <cell r="F162">
            <v>70.068333333333328</v>
          </cell>
          <cell r="G162">
            <v>57.19</v>
          </cell>
          <cell r="H162">
            <v>35.116104243234211</v>
          </cell>
        </row>
        <row r="163">
          <cell r="B163" t="str">
            <v>92-93</v>
          </cell>
          <cell r="C163">
            <v>410</v>
          </cell>
          <cell r="D163">
            <v>1600</v>
          </cell>
          <cell r="E163">
            <v>1091.3900000000001</v>
          </cell>
          <cell r="F163">
            <v>68.211875000000006</v>
          </cell>
          <cell r="G163">
            <v>52.11</v>
          </cell>
          <cell r="H163">
            <v>30.387292571555857</v>
          </cell>
        </row>
        <row r="164">
          <cell r="B164" t="str">
            <v>93-94</v>
          </cell>
          <cell r="C164">
            <v>410</v>
          </cell>
          <cell r="D164">
            <v>1400</v>
          </cell>
          <cell r="E164">
            <v>1268.5727999999999</v>
          </cell>
          <cell r="F164">
            <v>90.612342857142863</v>
          </cell>
          <cell r="G164">
            <v>50.802958904109587</v>
          </cell>
          <cell r="H164">
            <v>35.320547945205476</v>
          </cell>
        </row>
        <row r="165">
          <cell r="B165" t="str">
            <v>94-95</v>
          </cell>
          <cell r="C165">
            <v>410</v>
          </cell>
          <cell r="D165">
            <v>1400</v>
          </cell>
          <cell r="E165">
            <v>2021.1</v>
          </cell>
          <cell r="F165">
            <v>144.36428571428573</v>
          </cell>
          <cell r="G165">
            <v>74.5</v>
          </cell>
          <cell r="H165">
            <v>56.272970263949212</v>
          </cell>
        </row>
        <row r="166">
          <cell r="B166" t="str">
            <v>95-96</v>
          </cell>
          <cell r="C166">
            <v>410</v>
          </cell>
          <cell r="D166">
            <v>2000</v>
          </cell>
          <cell r="E166">
            <v>2079.3000000000002</v>
          </cell>
          <cell r="F166">
            <v>103.96500000000002</v>
          </cell>
          <cell r="G166">
            <v>77.3</v>
          </cell>
          <cell r="H166">
            <v>57.735239237638289</v>
          </cell>
        </row>
        <row r="167">
          <cell r="B167" t="str">
            <v>96-97</v>
          </cell>
          <cell r="C167">
            <v>410</v>
          </cell>
          <cell r="D167">
            <v>2000</v>
          </cell>
          <cell r="E167">
            <v>2273.1</v>
          </cell>
          <cell r="F167">
            <v>113.655</v>
          </cell>
          <cell r="G167">
            <v>77.599999999999994</v>
          </cell>
          <cell r="H167">
            <v>63.289341797527563</v>
          </cell>
        </row>
        <row r="168">
          <cell r="B168" t="str">
            <v>97-98</v>
          </cell>
          <cell r="C168">
            <v>410</v>
          </cell>
          <cell r="D168">
            <v>2200</v>
          </cell>
          <cell r="E168">
            <v>2601.9899999999998</v>
          </cell>
          <cell r="F168">
            <v>118.27227272727271</v>
          </cell>
          <cell r="G168">
            <v>84.5</v>
          </cell>
          <cell r="H168">
            <v>72.446541931172732</v>
          </cell>
        </row>
        <row r="169">
          <cell r="B169" t="str">
            <v>98-99</v>
          </cell>
          <cell r="C169">
            <v>410</v>
          </cell>
          <cell r="D169">
            <v>2150</v>
          </cell>
          <cell r="E169">
            <v>2881.87</v>
          </cell>
          <cell r="F169">
            <v>134.04046511627908</v>
          </cell>
          <cell r="G169">
            <v>87.5</v>
          </cell>
          <cell r="H169">
            <v>80.239169172513641</v>
          </cell>
        </row>
        <row r="170">
          <cell r="B170" t="str">
            <v>99-00</v>
          </cell>
          <cell r="C170">
            <v>410</v>
          </cell>
          <cell r="D170">
            <v>2700</v>
          </cell>
          <cell r="E170">
            <v>2520.9</v>
          </cell>
          <cell r="F170">
            <v>93.3</v>
          </cell>
          <cell r="G170">
            <v>75.2</v>
          </cell>
          <cell r="H170">
            <v>70</v>
          </cell>
        </row>
        <row r="171">
          <cell r="B171" t="str">
            <v>00-01</v>
          </cell>
          <cell r="C171">
            <v>410</v>
          </cell>
          <cell r="D171">
            <v>2850</v>
          </cell>
          <cell r="E171">
            <v>2450.13</v>
          </cell>
          <cell r="F171">
            <v>85.97</v>
          </cell>
          <cell r="G171">
            <v>77.64</v>
          </cell>
          <cell r="H171">
            <v>68.22</v>
          </cell>
        </row>
        <row r="172">
          <cell r="A172" t="str">
            <v>Average last 5 years</v>
          </cell>
          <cell r="D172">
            <v>2380</v>
          </cell>
          <cell r="E172">
            <v>2545.5980000000004</v>
          </cell>
          <cell r="F172">
            <v>109.04754756871037</v>
          </cell>
          <cell r="G172">
            <v>80.488</v>
          </cell>
          <cell r="H172">
            <v>70.839010580242785</v>
          </cell>
        </row>
        <row r="173">
          <cell r="A173" t="str">
            <v>SATPURA III</v>
          </cell>
          <cell r="B173" t="str">
            <v>88-89</v>
          </cell>
          <cell r="C173">
            <v>420</v>
          </cell>
          <cell r="D173">
            <v>2050</v>
          </cell>
          <cell r="E173">
            <v>1857.99</v>
          </cell>
          <cell r="F173">
            <v>90.633658536585372</v>
          </cell>
          <cell r="G173">
            <v>75.62</v>
          </cell>
          <cell r="H173">
            <v>50.4998369210698</v>
          </cell>
        </row>
        <row r="174">
          <cell r="B174" t="str">
            <v>89-90</v>
          </cell>
          <cell r="C174">
            <v>420</v>
          </cell>
          <cell r="D174">
            <v>2100</v>
          </cell>
          <cell r="E174">
            <v>1805.67</v>
          </cell>
          <cell r="F174">
            <v>85.984285714285718</v>
          </cell>
          <cell r="G174">
            <v>88.7</v>
          </cell>
          <cell r="H174">
            <v>49.077788649706456</v>
          </cell>
        </row>
        <row r="175">
          <cell r="B175" t="str">
            <v>90-91</v>
          </cell>
          <cell r="C175">
            <v>420</v>
          </cell>
          <cell r="D175">
            <v>1950</v>
          </cell>
          <cell r="E175">
            <v>1496.73</v>
          </cell>
          <cell r="F175">
            <v>76.755384615384614</v>
          </cell>
          <cell r="G175">
            <v>67.97</v>
          </cell>
          <cell r="H175">
            <v>40.680854533594257</v>
          </cell>
        </row>
        <row r="176">
          <cell r="B176" t="str">
            <v>91-92</v>
          </cell>
          <cell r="C176">
            <v>420</v>
          </cell>
          <cell r="D176">
            <v>1950</v>
          </cell>
          <cell r="E176">
            <v>1741.07</v>
          </cell>
          <cell r="F176">
            <v>89.285641025641027</v>
          </cell>
          <cell r="G176">
            <v>69.19</v>
          </cell>
          <cell r="H176">
            <v>47.321972167862576</v>
          </cell>
        </row>
        <row r="177">
          <cell r="B177" t="str">
            <v>92-93</v>
          </cell>
          <cell r="C177">
            <v>420</v>
          </cell>
          <cell r="D177">
            <v>1800</v>
          </cell>
          <cell r="E177">
            <v>2011.32</v>
          </cell>
          <cell r="F177">
            <v>111.74</v>
          </cell>
          <cell r="G177">
            <v>81.23</v>
          </cell>
          <cell r="H177">
            <v>54.667318982387478</v>
          </cell>
        </row>
        <row r="178">
          <cell r="B178" t="str">
            <v>93-94</v>
          </cell>
          <cell r="C178">
            <v>420</v>
          </cell>
          <cell r="D178">
            <v>2015</v>
          </cell>
          <cell r="E178">
            <v>2278.799</v>
          </cell>
          <cell r="F178">
            <v>113.0917617866005</v>
          </cell>
          <cell r="G178">
            <v>81.576273972602735</v>
          </cell>
          <cell r="H178">
            <v>61.93735051098065</v>
          </cell>
        </row>
        <row r="179">
          <cell r="B179" t="str">
            <v>94-95</v>
          </cell>
          <cell r="C179">
            <v>420</v>
          </cell>
          <cell r="D179">
            <v>2000</v>
          </cell>
          <cell r="E179">
            <v>2280.8000000000002</v>
          </cell>
          <cell r="F179">
            <v>114.04000000000002</v>
          </cell>
          <cell r="G179">
            <v>85.1</v>
          </cell>
          <cell r="H179">
            <v>61.991737334203094</v>
          </cell>
        </row>
        <row r="180">
          <cell r="B180" t="str">
            <v>95-96</v>
          </cell>
          <cell r="C180">
            <v>420</v>
          </cell>
          <cell r="D180">
            <v>2100</v>
          </cell>
          <cell r="E180">
            <v>2141.3000000000002</v>
          </cell>
          <cell r="F180">
            <v>101.96666666666668</v>
          </cell>
          <cell r="G180">
            <v>77.400000000000006</v>
          </cell>
          <cell r="H180">
            <v>58.041135397692784</v>
          </cell>
        </row>
        <row r="181">
          <cell r="B181" t="str">
            <v>96-97</v>
          </cell>
          <cell r="C181">
            <v>420</v>
          </cell>
          <cell r="D181">
            <v>2100</v>
          </cell>
          <cell r="E181">
            <v>2447.1999999999998</v>
          </cell>
          <cell r="F181">
            <v>116.53333333333332</v>
          </cell>
          <cell r="G181">
            <v>82.1</v>
          </cell>
          <cell r="H181">
            <v>66.514459665144585</v>
          </cell>
        </row>
        <row r="182">
          <cell r="B182" t="str">
            <v>97-98</v>
          </cell>
          <cell r="C182">
            <v>420</v>
          </cell>
          <cell r="D182">
            <v>2300</v>
          </cell>
          <cell r="E182">
            <v>2706.67</v>
          </cell>
          <cell r="F182">
            <v>117.68130434782609</v>
          </cell>
          <cell r="G182">
            <v>82.6</v>
          </cell>
          <cell r="H182">
            <v>73.566808001739503</v>
          </cell>
        </row>
        <row r="183">
          <cell r="B183" t="str">
            <v>98-99</v>
          </cell>
          <cell r="C183">
            <v>420</v>
          </cell>
          <cell r="D183">
            <v>2250</v>
          </cell>
          <cell r="E183">
            <v>2830.37</v>
          </cell>
          <cell r="F183">
            <v>125.79422222222222</v>
          </cell>
          <cell r="G183">
            <v>82.9</v>
          </cell>
          <cell r="H183">
            <v>76.92895194607523</v>
          </cell>
        </row>
        <row r="184">
          <cell r="B184" t="str">
            <v>99-00</v>
          </cell>
          <cell r="C184">
            <v>420</v>
          </cell>
          <cell r="D184">
            <v>2750</v>
          </cell>
          <cell r="E184">
            <v>3093.5</v>
          </cell>
          <cell r="F184">
            <v>112.5</v>
          </cell>
          <cell r="G184">
            <v>87.3</v>
          </cell>
          <cell r="H184">
            <v>83.9</v>
          </cell>
        </row>
        <row r="185">
          <cell r="B185" t="str">
            <v>00-01</v>
          </cell>
          <cell r="C185">
            <v>420</v>
          </cell>
          <cell r="D185">
            <v>2800</v>
          </cell>
          <cell r="E185">
            <v>2780.62</v>
          </cell>
          <cell r="F185">
            <v>97.46</v>
          </cell>
          <cell r="G185">
            <v>79.290000000000006</v>
          </cell>
          <cell r="H185">
            <v>75.58</v>
          </cell>
        </row>
        <row r="186">
          <cell r="A186" t="str">
            <v>Average last 5 years</v>
          </cell>
          <cell r="D186">
            <v>2440</v>
          </cell>
          <cell r="E186">
            <v>2771.672</v>
          </cell>
          <cell r="F186">
            <v>113.99377198067631</v>
          </cell>
          <cell r="G186">
            <v>82.837999999999994</v>
          </cell>
          <cell r="H186">
            <v>75.298043922591859</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row>
        <row r="190">
          <cell r="C190" t="str">
            <v>MW</v>
          </cell>
          <cell r="D190" t="str">
            <v>MKwh</v>
          </cell>
          <cell r="E190" t="str">
            <v>MKwh</v>
          </cell>
          <cell r="F190" t="str">
            <v>%</v>
          </cell>
          <cell r="G190" t="str">
            <v>%</v>
          </cell>
          <cell r="H190" t="str">
            <v>%</v>
          </cell>
        </row>
        <row r="191">
          <cell r="A191" t="str">
            <v>SATPURA</v>
          </cell>
          <cell r="B191" t="str">
            <v>88-89</v>
          </cell>
          <cell r="C191">
            <v>1142.5</v>
          </cell>
          <cell r="D191">
            <v>5500</v>
          </cell>
          <cell r="E191">
            <v>5050.18</v>
          </cell>
          <cell r="F191">
            <v>91.821454545454543</v>
          </cell>
          <cell r="G191">
            <v>72.4782056892779</v>
          </cell>
          <cell r="H191">
            <v>50.459918267837693</v>
          </cell>
        </row>
        <row r="192">
          <cell r="B192" t="str">
            <v>89-90</v>
          </cell>
          <cell r="C192">
            <v>1142.5</v>
          </cell>
          <cell r="D192">
            <v>5475</v>
          </cell>
          <cell r="E192">
            <v>4783.66</v>
          </cell>
          <cell r="F192">
            <v>87.372785388127852</v>
          </cell>
          <cell r="G192">
            <v>76.818052516411385</v>
          </cell>
          <cell r="H192">
            <v>47.796928549304077</v>
          </cell>
        </row>
        <row r="193">
          <cell r="B193" t="str">
            <v>90-91</v>
          </cell>
          <cell r="C193">
            <v>1142.5</v>
          </cell>
          <cell r="D193">
            <v>5450</v>
          </cell>
          <cell r="E193">
            <v>4155.2000000000007</v>
          </cell>
          <cell r="F193">
            <v>76.242201834862399</v>
          </cell>
          <cell r="G193">
            <v>66.023741794310723</v>
          </cell>
          <cell r="H193">
            <v>41.517540441433617</v>
          </cell>
        </row>
        <row r="194">
          <cell r="B194" t="str">
            <v>91-92</v>
          </cell>
          <cell r="C194">
            <v>1142.5</v>
          </cell>
          <cell r="D194">
            <v>5450</v>
          </cell>
          <cell r="E194">
            <v>4387.7699999999995</v>
          </cell>
          <cell r="F194">
            <v>80.509541284403653</v>
          </cell>
          <cell r="G194">
            <v>63.680153172866518</v>
          </cell>
          <cell r="H194">
            <v>43.721526706604003</v>
          </cell>
        </row>
        <row r="195">
          <cell r="B195" t="str">
            <v>92-93</v>
          </cell>
          <cell r="C195">
            <v>1142.5</v>
          </cell>
          <cell r="D195">
            <v>5000</v>
          </cell>
          <cell r="E195">
            <v>4641.55</v>
          </cell>
          <cell r="F195">
            <v>92.831000000000003</v>
          </cell>
          <cell r="G195">
            <v>68.367461706783374</v>
          </cell>
          <cell r="H195">
            <v>46.37700708412018</v>
          </cell>
        </row>
        <row r="196">
          <cell r="B196" t="str">
            <v>93-94</v>
          </cell>
          <cell r="C196">
            <v>1142.5</v>
          </cell>
          <cell r="D196">
            <v>4915</v>
          </cell>
          <cell r="E196">
            <v>5066.7417999999998</v>
          </cell>
          <cell r="F196">
            <v>103.08732044760936</v>
          </cell>
          <cell r="G196">
            <v>68.104956326249209</v>
          </cell>
          <cell r="H196">
            <v>50.625398918897318</v>
          </cell>
        </row>
        <row r="197">
          <cell r="B197" t="str">
            <v>94-95</v>
          </cell>
          <cell r="C197">
            <v>1142.5</v>
          </cell>
          <cell r="D197">
            <v>4950</v>
          </cell>
          <cell r="E197">
            <v>5799.7</v>
          </cell>
          <cell r="F197">
            <v>117.16565656565656</v>
          </cell>
          <cell r="G197">
            <v>77.165864332603945</v>
          </cell>
          <cell r="H197">
            <v>57.948902410998869</v>
          </cell>
        </row>
        <row r="198">
          <cell r="B198" t="str">
            <v>95-96</v>
          </cell>
          <cell r="C198">
            <v>1142.5</v>
          </cell>
          <cell r="D198">
            <v>5650</v>
          </cell>
          <cell r="E198">
            <v>6034.6</v>
          </cell>
          <cell r="F198">
            <v>106.8070796460177</v>
          </cell>
          <cell r="G198">
            <v>77.774398249452958</v>
          </cell>
          <cell r="H198">
            <v>60.13121131318929</v>
          </cell>
        </row>
        <row r="199">
          <cell r="B199" t="str">
            <v>96-97</v>
          </cell>
          <cell r="C199">
            <v>1142.5</v>
          </cell>
          <cell r="D199">
            <v>5750</v>
          </cell>
          <cell r="E199">
            <v>6539.2999999999993</v>
          </cell>
          <cell r="F199">
            <v>113.72695652173911</v>
          </cell>
          <cell r="G199">
            <v>79.3636761487965</v>
          </cell>
          <cell r="H199">
            <v>65.338768821877835</v>
          </cell>
        </row>
        <row r="200">
          <cell r="B200" t="str">
            <v>97-98</v>
          </cell>
          <cell r="C200">
            <v>1142.5</v>
          </cell>
          <cell r="D200">
            <v>6300</v>
          </cell>
          <cell r="E200">
            <v>7431.54</v>
          </cell>
          <cell r="F200">
            <v>117.96095238095238</v>
          </cell>
          <cell r="G200">
            <v>83.992997811816196</v>
          </cell>
          <cell r="H200">
            <v>74.253769371421726</v>
          </cell>
        </row>
        <row r="201">
          <cell r="B201" t="str">
            <v>98-99</v>
          </cell>
          <cell r="C201">
            <v>1142.5</v>
          </cell>
          <cell r="D201">
            <v>6100</v>
          </cell>
          <cell r="E201">
            <v>7638.05</v>
          </cell>
          <cell r="F201">
            <v>125.21393442622951</v>
          </cell>
          <cell r="G201">
            <v>83.45667396061269</v>
          </cell>
          <cell r="H201">
            <v>76.317156759889286</v>
          </cell>
        </row>
        <row r="202">
          <cell r="B202" t="str">
            <v>99-00</v>
          </cell>
          <cell r="C202">
            <v>1142.5</v>
          </cell>
          <cell r="D202">
            <v>7500</v>
          </cell>
          <cell r="E202">
            <v>7716.6</v>
          </cell>
          <cell r="F202">
            <v>102.9</v>
          </cell>
          <cell r="G202">
            <v>81.2</v>
          </cell>
          <cell r="H202">
            <v>76.900000000000006</v>
          </cell>
        </row>
        <row r="203">
          <cell r="B203" t="str">
            <v>00-01</v>
          </cell>
          <cell r="C203">
            <v>1142.5</v>
          </cell>
          <cell r="D203">
            <v>7650</v>
          </cell>
          <cell r="E203">
            <v>7203.11</v>
          </cell>
          <cell r="F203">
            <v>94.16</v>
          </cell>
          <cell r="G203">
            <v>78.55</v>
          </cell>
          <cell r="H203">
            <v>71.97</v>
          </cell>
        </row>
        <row r="204">
          <cell r="A204" t="str">
            <v>Average last 5 years</v>
          </cell>
          <cell r="D204">
            <v>6660</v>
          </cell>
          <cell r="E204">
            <v>7305.7199999999993</v>
          </cell>
          <cell r="F204">
            <v>110.7923686657842</v>
          </cell>
          <cell r="G204">
            <v>81.312669584245072</v>
          </cell>
          <cell r="H204">
            <v>72.955938990637762</v>
          </cell>
        </row>
        <row r="205">
          <cell r="A205" t="str">
            <v>SANJAY GANDHI I</v>
          </cell>
          <cell r="B205" t="str">
            <v>93-94</v>
          </cell>
          <cell r="C205">
            <v>210</v>
          </cell>
          <cell r="D205">
            <v>1500</v>
          </cell>
          <cell r="E205">
            <v>213.536</v>
          </cell>
          <cell r="F205">
            <v>14.235733333333332</v>
          </cell>
          <cell r="G205">
            <v>51.811609848484849</v>
          </cell>
          <cell r="H205">
            <v>11.607740813220266</v>
          </cell>
        </row>
        <row r="206">
          <cell r="B206" t="str">
            <v>94-95</v>
          </cell>
          <cell r="C206">
            <v>420</v>
          </cell>
          <cell r="D206">
            <v>1500</v>
          </cell>
          <cell r="E206">
            <v>1199</v>
          </cell>
          <cell r="F206">
            <v>79.933333333333337</v>
          </cell>
          <cell r="G206">
            <v>72.66</v>
          </cell>
          <cell r="H206">
            <v>35.287909758778738</v>
          </cell>
        </row>
        <row r="207">
          <cell r="B207" t="str">
            <v>95-96</v>
          </cell>
          <cell r="C207">
            <v>420</v>
          </cell>
          <cell r="D207">
            <v>2420</v>
          </cell>
          <cell r="E207">
            <v>1991.4</v>
          </cell>
          <cell r="F207">
            <v>82.289256198347104</v>
          </cell>
          <cell r="G207">
            <v>74</v>
          </cell>
          <cell r="H207">
            <v>53.978011969815249</v>
          </cell>
        </row>
        <row r="208">
          <cell r="B208" t="str">
            <v>96-97</v>
          </cell>
          <cell r="C208">
            <v>420</v>
          </cell>
          <cell r="D208">
            <v>2500</v>
          </cell>
          <cell r="E208">
            <v>2363</v>
          </cell>
          <cell r="F208">
            <v>94.52</v>
          </cell>
          <cell r="G208">
            <v>79.2</v>
          </cell>
          <cell r="H208">
            <v>64.225918677973468</v>
          </cell>
        </row>
        <row r="209">
          <cell r="B209" t="str">
            <v>97-98</v>
          </cell>
          <cell r="C209">
            <v>420</v>
          </cell>
          <cell r="D209">
            <v>2450</v>
          </cell>
          <cell r="E209">
            <v>2249.6</v>
          </cell>
          <cell r="F209">
            <v>91.820408163265313</v>
          </cell>
          <cell r="G209">
            <v>71.7</v>
          </cell>
          <cell r="H209">
            <v>61.143726897151552</v>
          </cell>
        </row>
        <row r="210">
          <cell r="B210" t="str">
            <v>98-99</v>
          </cell>
          <cell r="C210">
            <v>420</v>
          </cell>
          <cell r="D210">
            <v>2600</v>
          </cell>
          <cell r="E210">
            <v>2518.15</v>
          </cell>
          <cell r="F210">
            <v>96.851923076923072</v>
          </cell>
          <cell r="G210">
            <v>80</v>
          </cell>
          <cell r="H210">
            <v>68.442868014785816</v>
          </cell>
        </row>
        <row r="211">
          <cell r="B211" t="str">
            <v>99-00</v>
          </cell>
          <cell r="C211">
            <v>420</v>
          </cell>
          <cell r="D211">
            <v>2750</v>
          </cell>
          <cell r="E211">
            <v>2308.1</v>
          </cell>
          <cell r="F211">
            <v>83.9</v>
          </cell>
          <cell r="G211">
            <v>76.099999999999994</v>
          </cell>
          <cell r="H211">
            <v>62.6</v>
          </cell>
        </row>
        <row r="212">
          <cell r="B212" t="str">
            <v>00-01</v>
          </cell>
          <cell r="C212">
            <v>420</v>
          </cell>
          <cell r="D212">
            <v>2650</v>
          </cell>
          <cell r="E212">
            <v>2063.33</v>
          </cell>
          <cell r="F212">
            <v>77.89</v>
          </cell>
          <cell r="G212">
            <v>77.25</v>
          </cell>
          <cell r="H212">
            <v>56.08</v>
          </cell>
        </row>
        <row r="213">
          <cell r="A213" t="str">
            <v>Average last 5 years</v>
          </cell>
          <cell r="D213">
            <v>2590</v>
          </cell>
          <cell r="E213">
            <v>2300.4360000000001</v>
          </cell>
          <cell r="F213">
            <v>88.996466248037677</v>
          </cell>
          <cell r="G213">
            <v>76.849999999999994</v>
          </cell>
          <cell r="H213">
            <v>62.49850271798217</v>
          </cell>
        </row>
        <row r="214">
          <cell r="A214" t="str">
            <v>SANJAY GANDHI II</v>
          </cell>
          <cell r="B214" t="str">
            <v>99-00</v>
          </cell>
          <cell r="C214">
            <v>420</v>
          </cell>
          <cell r="D214">
            <v>1000</v>
          </cell>
          <cell r="E214">
            <v>1466.19</v>
          </cell>
          <cell r="F214">
            <v>146.619</v>
          </cell>
          <cell r="G214">
            <v>90.47</v>
          </cell>
          <cell r="H214">
            <v>85.84</v>
          </cell>
        </row>
        <row r="215">
          <cell r="B215" t="str">
            <v>00-01</v>
          </cell>
          <cell r="C215">
            <v>420</v>
          </cell>
          <cell r="D215">
            <v>2700</v>
          </cell>
          <cell r="E215">
            <v>2860.88</v>
          </cell>
          <cell r="F215">
            <v>105.84</v>
          </cell>
          <cell r="G215">
            <v>89.52</v>
          </cell>
          <cell r="H215">
            <v>77.760000000000005</v>
          </cell>
        </row>
        <row r="216">
          <cell r="A216" t="str">
            <v>Average last 2 years</v>
          </cell>
          <cell r="D216">
            <v>1850</v>
          </cell>
          <cell r="E216">
            <v>2163.5349999999999</v>
          </cell>
          <cell r="F216">
            <v>126.2295</v>
          </cell>
          <cell r="G216">
            <v>89.995000000000005</v>
          </cell>
          <cell r="H216">
            <v>81.800000000000011</v>
          </cell>
        </row>
        <row r="217">
          <cell r="A217" t="str">
            <v>SANJAY GANDHI</v>
          </cell>
          <cell r="B217" t="str">
            <v>93-94</v>
          </cell>
          <cell r="C217">
            <v>210</v>
          </cell>
          <cell r="D217">
            <v>1500</v>
          </cell>
          <cell r="E217">
            <v>213.536</v>
          </cell>
          <cell r="F217">
            <v>14.235733333333332</v>
          </cell>
          <cell r="G217">
            <v>51.811609848484849</v>
          </cell>
          <cell r="H217">
            <v>11.607740813220266</v>
          </cell>
        </row>
        <row r="218">
          <cell r="B218" t="str">
            <v>94-95</v>
          </cell>
          <cell r="C218">
            <v>420</v>
          </cell>
          <cell r="D218">
            <v>1500</v>
          </cell>
          <cell r="E218">
            <v>1199</v>
          </cell>
          <cell r="F218">
            <v>79.933333333333337</v>
          </cell>
          <cell r="G218">
            <v>72.66</v>
          </cell>
          <cell r="H218">
            <v>35.287909758778738</v>
          </cell>
        </row>
        <row r="219">
          <cell r="B219" t="str">
            <v>95-96</v>
          </cell>
          <cell r="C219">
            <v>420</v>
          </cell>
          <cell r="D219">
            <v>2420</v>
          </cell>
          <cell r="E219">
            <v>1991.4</v>
          </cell>
          <cell r="F219">
            <v>82.289256198347104</v>
          </cell>
          <cell r="G219">
            <v>74</v>
          </cell>
          <cell r="H219">
            <v>53.978011969815249</v>
          </cell>
        </row>
        <row r="220">
          <cell r="B220" t="str">
            <v>96-97</v>
          </cell>
          <cell r="C220">
            <v>420</v>
          </cell>
          <cell r="D220">
            <v>2500</v>
          </cell>
          <cell r="E220">
            <v>2363</v>
          </cell>
          <cell r="F220">
            <v>94.52</v>
          </cell>
          <cell r="G220">
            <v>79.2</v>
          </cell>
          <cell r="H220">
            <v>64.225918677973468</v>
          </cell>
        </row>
        <row r="221">
          <cell r="B221" t="str">
            <v>97-98</v>
          </cell>
          <cell r="C221">
            <v>420</v>
          </cell>
          <cell r="D221">
            <v>2450</v>
          </cell>
          <cell r="E221">
            <v>2249.6</v>
          </cell>
          <cell r="F221">
            <v>91.820408163265313</v>
          </cell>
          <cell r="G221">
            <v>71.7</v>
          </cell>
          <cell r="H221">
            <v>61.143726897151552</v>
          </cell>
        </row>
        <row r="222">
          <cell r="B222" t="str">
            <v>98-99</v>
          </cell>
          <cell r="C222">
            <v>420</v>
          </cell>
          <cell r="D222">
            <v>2600</v>
          </cell>
          <cell r="E222">
            <v>2518.15</v>
          </cell>
          <cell r="F222">
            <v>96.851923076923072</v>
          </cell>
          <cell r="G222">
            <v>80</v>
          </cell>
          <cell r="H222">
            <v>68.442868014785816</v>
          </cell>
        </row>
        <row r="223">
          <cell r="B223" t="str">
            <v>99-00</v>
          </cell>
          <cell r="C223">
            <v>840</v>
          </cell>
          <cell r="D223">
            <v>3750</v>
          </cell>
          <cell r="E223">
            <v>3774.29</v>
          </cell>
          <cell r="F223">
            <v>230.51900000000001</v>
          </cell>
          <cell r="G223">
            <v>166.57</v>
          </cell>
          <cell r="H223">
            <v>148.44</v>
          </cell>
        </row>
        <row r="224">
          <cell r="B224" t="str">
            <v>00-01</v>
          </cell>
          <cell r="C224">
            <v>840</v>
          </cell>
          <cell r="D224">
            <v>5350</v>
          </cell>
          <cell r="E224">
            <v>4924.21</v>
          </cell>
          <cell r="F224">
            <v>92.01</v>
          </cell>
          <cell r="G224">
            <v>83.39</v>
          </cell>
          <cell r="H224">
            <v>66.92</v>
          </cell>
        </row>
        <row r="225">
          <cell r="A225" t="str">
            <v>Average last 5 years</v>
          </cell>
          <cell r="D225">
            <v>3330</v>
          </cell>
          <cell r="E225">
            <v>3165.85</v>
          </cell>
          <cell r="F225">
            <v>121.14426624803768</v>
          </cell>
          <cell r="G225">
            <v>96.171999999999997</v>
          </cell>
          <cell r="H225">
            <v>81.834502717982176</v>
          </cell>
        </row>
        <row r="226">
          <cell r="A226" t="str">
            <v xml:space="preserve"> * SANJAY GHANDHI : CONSIDERING SGTPS # 1 W.E.F 01.04.93  &amp;  SGTPS # 2 W.E.F; 26.05.94 .# 3 WE.F; 01.09.99</v>
          </cell>
        </row>
        <row r="227">
          <cell r="A227" t="str">
            <v>CONSIDERING SGTPS # 1 W.E.F; 01.01.95    P.L.F. FOR 94-95 = 66.0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row>
        <row r="231">
          <cell r="C231" t="str">
            <v>MW</v>
          </cell>
          <cell r="D231" t="str">
            <v>MKwh</v>
          </cell>
          <cell r="E231" t="str">
            <v>MKwh</v>
          </cell>
          <cell r="F231" t="str">
            <v>%</v>
          </cell>
          <cell r="G231" t="str">
            <v>%</v>
          </cell>
          <cell r="H231" t="str">
            <v>%</v>
          </cell>
        </row>
        <row r="232">
          <cell r="A232" t="str">
            <v>THERMAL</v>
          </cell>
          <cell r="B232" t="str">
            <v>88-89</v>
          </cell>
          <cell r="C232">
            <v>2812.5</v>
          </cell>
          <cell r="D232">
            <v>13000</v>
          </cell>
          <cell r="E232">
            <v>12191.210000000001</v>
          </cell>
          <cell r="F232">
            <v>93.77853846153846</v>
          </cell>
          <cell r="G232">
            <v>68.689582222222228</v>
          </cell>
          <cell r="H232">
            <v>50.05</v>
          </cell>
        </row>
        <row r="233">
          <cell r="B233" t="str">
            <v>89-90</v>
          </cell>
          <cell r="C233">
            <v>2812.5</v>
          </cell>
          <cell r="D233">
            <v>13000</v>
          </cell>
          <cell r="E233">
            <v>12464.71</v>
          </cell>
          <cell r="F233">
            <v>95.882384615384609</v>
          </cell>
          <cell r="G233">
            <v>71.313822222222228</v>
          </cell>
          <cell r="H233">
            <v>50.592430238457638</v>
          </cell>
        </row>
        <row r="234">
          <cell r="B234" t="str">
            <v>90-91</v>
          </cell>
          <cell r="C234">
            <v>2682.5</v>
          </cell>
          <cell r="D234">
            <v>13750</v>
          </cell>
          <cell r="E234">
            <v>12376.880000000001</v>
          </cell>
          <cell r="F234">
            <v>90.013672727272734</v>
          </cell>
          <cell r="G234">
            <v>71.034529356943153</v>
          </cell>
          <cell r="H234">
            <v>52.670488154663872</v>
          </cell>
        </row>
        <row r="235">
          <cell r="B235" t="str">
            <v>91-92</v>
          </cell>
          <cell r="C235">
            <v>2682.5</v>
          </cell>
          <cell r="D235">
            <v>13440</v>
          </cell>
          <cell r="E235">
            <v>11579.91</v>
          </cell>
          <cell r="F235">
            <v>86.160044642857144</v>
          </cell>
          <cell r="G235">
            <v>66.919506057781931</v>
          </cell>
          <cell r="H235">
            <v>49.144296925529261</v>
          </cell>
        </row>
        <row r="236">
          <cell r="B236" t="str">
            <v>92-93</v>
          </cell>
          <cell r="C236">
            <v>2682.5</v>
          </cell>
          <cell r="D236">
            <v>13240</v>
          </cell>
          <cell r="E236">
            <v>12363.220000000001</v>
          </cell>
          <cell r="F236">
            <v>93.377794561933541</v>
          </cell>
          <cell r="G236">
            <v>71.4544734389562</v>
          </cell>
          <cell r="H236">
            <v>52.612357279338859</v>
          </cell>
        </row>
        <row r="237">
          <cell r="B237" t="str">
            <v>93-94</v>
          </cell>
          <cell r="C237">
            <v>2882.5</v>
          </cell>
          <cell r="D237">
            <v>14885</v>
          </cell>
          <cell r="E237">
            <v>13331.489799999999</v>
          </cell>
          <cell r="F237">
            <v>89.563250251931478</v>
          </cell>
          <cell r="G237">
            <v>70.561553251088981</v>
          </cell>
          <cell r="H237">
            <v>52.796515740157702</v>
          </cell>
        </row>
        <row r="238">
          <cell r="B238" t="str">
            <v>94-95</v>
          </cell>
          <cell r="C238">
            <v>3092.5</v>
          </cell>
          <cell r="D238">
            <v>14850</v>
          </cell>
          <cell r="E238">
            <v>14781.1</v>
          </cell>
          <cell r="F238">
            <v>99.536026936026943</v>
          </cell>
          <cell r="G238">
            <v>74.786483427647539</v>
          </cell>
          <cell r="H238">
            <v>54.56233411959262</v>
          </cell>
        </row>
        <row r="239">
          <cell r="B239" t="str">
            <v>95-96</v>
          </cell>
          <cell r="C239">
            <v>3092.5</v>
          </cell>
          <cell r="D239">
            <v>16620</v>
          </cell>
          <cell r="E239">
            <v>16071.3</v>
          </cell>
          <cell r="F239">
            <v>96.698555956678703</v>
          </cell>
          <cell r="G239">
            <v>75.344624090541629</v>
          </cell>
          <cell r="H239">
            <v>59.324924419441643</v>
          </cell>
        </row>
        <row r="240">
          <cell r="B240" t="str">
            <v>96-97</v>
          </cell>
          <cell r="C240">
            <v>3092.5</v>
          </cell>
          <cell r="D240">
            <v>16950</v>
          </cell>
          <cell r="E240">
            <v>16867.099999999999</v>
          </cell>
          <cell r="F240">
            <v>99.51091445427727</v>
          </cell>
          <cell r="G240">
            <v>74.891188358932908</v>
          </cell>
          <cell r="H240">
            <v>62.262507244290383</v>
          </cell>
        </row>
        <row r="241">
          <cell r="B241" t="str">
            <v>97-98</v>
          </cell>
          <cell r="C241">
            <v>3092.5</v>
          </cell>
          <cell r="D241">
            <v>17200</v>
          </cell>
          <cell r="E241">
            <v>17966.71</v>
          </cell>
          <cell r="F241">
            <v>104.45761627906977</v>
          </cell>
          <cell r="G241">
            <v>76.25933710590138</v>
          </cell>
          <cell r="H241">
            <v>66.321561592156598</v>
          </cell>
        </row>
        <row r="242">
          <cell r="B242" t="str">
            <v>98-99</v>
          </cell>
          <cell r="C242">
            <v>3092.5</v>
          </cell>
          <cell r="D242">
            <v>17500</v>
          </cell>
          <cell r="E242">
            <v>18471.390000000003</v>
          </cell>
          <cell r="F242">
            <v>105.55080000000001</v>
          </cell>
          <cell r="G242">
            <v>76.04373484236055</v>
          </cell>
          <cell r="H242">
            <v>68.184516229056172</v>
          </cell>
        </row>
        <row r="243">
          <cell r="B243" t="str">
            <v>99-00</v>
          </cell>
          <cell r="C243">
            <v>3512.5</v>
          </cell>
          <cell r="D243">
            <v>19000</v>
          </cell>
          <cell r="E243">
            <v>20146.400000000001</v>
          </cell>
          <cell r="F243">
            <v>106</v>
          </cell>
          <cell r="G243">
            <v>79.099999999999994</v>
          </cell>
          <cell r="H243">
            <v>69.400000000000006</v>
          </cell>
        </row>
        <row r="244">
          <cell r="B244" t="str">
            <v>00-01</v>
          </cell>
          <cell r="C244">
            <v>3512.5</v>
          </cell>
          <cell r="D244">
            <v>21850</v>
          </cell>
          <cell r="E244">
            <v>20415.89</v>
          </cell>
          <cell r="F244">
            <v>93.22</v>
          </cell>
          <cell r="G244">
            <v>77.67</v>
          </cell>
          <cell r="H244">
            <v>66.349999999999994</v>
          </cell>
        </row>
        <row r="245">
          <cell r="A245" t="str">
            <v>Average last 5 years</v>
          </cell>
          <cell r="D245">
            <v>18500</v>
          </cell>
          <cell r="E245">
            <v>18773.498</v>
          </cell>
          <cell r="F245">
            <v>101.74786614666941</v>
          </cell>
          <cell r="G245">
            <v>76.792852061438964</v>
          </cell>
          <cell r="H245">
            <v>66.503717013100641</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cell>
          <cell r="H249">
            <v>48.670693426781355</v>
          </cell>
        </row>
        <row r="250">
          <cell r="B250" t="str">
            <v>89-90</v>
          </cell>
          <cell r="C250">
            <v>2687.5</v>
          </cell>
          <cell r="D250">
            <v>12370</v>
          </cell>
          <cell r="E250">
            <v>11772.71</v>
          </cell>
          <cell r="F250">
            <v>95.171463217461607</v>
          </cell>
          <cell r="G250" t="str">
            <v/>
          </cell>
          <cell r="H250">
            <v>50.006201550387594</v>
          </cell>
        </row>
        <row r="251">
          <cell r="B251" t="str">
            <v>90-91</v>
          </cell>
          <cell r="C251">
            <v>2557.5</v>
          </cell>
          <cell r="D251">
            <v>13070</v>
          </cell>
          <cell r="E251">
            <v>11770.724</v>
          </cell>
          <cell r="F251">
            <v>90.059097169089512</v>
          </cell>
          <cell r="G251" t="str">
            <v/>
          </cell>
          <cell r="H251">
            <v>52.539196650553258</v>
          </cell>
        </row>
        <row r="252">
          <cell r="B252" t="str">
            <v>91-92</v>
          </cell>
          <cell r="C252">
            <v>2557.5</v>
          </cell>
          <cell r="D252">
            <v>12760</v>
          </cell>
          <cell r="E252">
            <v>11025.722</v>
          </cell>
          <cell r="F252">
            <v>86.408479623824448</v>
          </cell>
          <cell r="G252" t="str">
            <v/>
          </cell>
          <cell r="H252">
            <v>49.07938008678358</v>
          </cell>
        </row>
        <row r="253">
          <cell r="B253" t="str">
            <v>92-93</v>
          </cell>
          <cell r="C253">
            <v>2557.5</v>
          </cell>
          <cell r="D253">
            <v>12600</v>
          </cell>
          <cell r="E253">
            <v>11747.684000000001</v>
          </cell>
          <cell r="F253">
            <v>93.235587301587316</v>
          </cell>
          <cell r="G253" t="str">
            <v/>
          </cell>
          <cell r="H253">
            <v>52.453775764346368</v>
          </cell>
        </row>
        <row r="254">
          <cell r="B254" t="str">
            <v>93-94</v>
          </cell>
          <cell r="C254">
            <v>2757.5</v>
          </cell>
          <cell r="D254">
            <v>14335</v>
          </cell>
          <cell r="E254">
            <v>12723.7418</v>
          </cell>
          <cell r="F254">
            <v>88.759970701081258</v>
          </cell>
          <cell r="G254" t="str">
            <v/>
          </cell>
          <cell r="H254">
            <v>52.67386910749844</v>
          </cell>
        </row>
        <row r="255">
          <cell r="B255" t="str">
            <v>94-95</v>
          </cell>
          <cell r="C255">
            <v>2967.5</v>
          </cell>
          <cell r="D255">
            <v>14230</v>
          </cell>
          <cell r="E255">
            <v>14181.98</v>
          </cell>
          <cell r="F255">
            <v>99.662543921293036</v>
          </cell>
          <cell r="G255" t="str">
            <v/>
          </cell>
          <cell r="H255">
            <v>54.555938958196286</v>
          </cell>
        </row>
        <row r="256">
          <cell r="B256" t="str">
            <v>95-96</v>
          </cell>
          <cell r="C256">
            <v>2967.5</v>
          </cell>
          <cell r="D256">
            <v>16000</v>
          </cell>
          <cell r="E256">
            <v>15345.699999999999</v>
          </cell>
          <cell r="F256">
            <v>95.910624999999996</v>
          </cell>
          <cell r="G256" t="str">
            <v/>
          </cell>
          <cell r="H256">
            <v>58.871303112191427</v>
          </cell>
        </row>
        <row r="257">
          <cell r="B257" t="str">
            <v>96-97</v>
          </cell>
          <cell r="C257">
            <v>2967.5</v>
          </cell>
          <cell r="D257">
            <v>16290</v>
          </cell>
          <cell r="E257">
            <v>16139.499999999998</v>
          </cell>
          <cell r="F257">
            <v>99.076120319214226</v>
          </cell>
          <cell r="G257" t="str">
            <v/>
          </cell>
          <cell r="H257">
            <v>62.086223278823468</v>
          </cell>
        </row>
      </sheetData>
      <sheetData sheetId="1" refreshError="1"/>
      <sheetData sheetId="2" refreshError="1"/>
      <sheetData sheetId="3" refreshError="1"/>
      <sheetData sheetId="4" refreshError="1">
        <row r="3">
          <cell r="A3" t="str">
            <v>STATION NAME</v>
          </cell>
          <cell r="B3" t="str">
            <v>YEAR</v>
          </cell>
          <cell r="C3" t="str">
            <v>CAPACITY</v>
          </cell>
          <cell r="D3" t="str">
            <v>TARGET</v>
          </cell>
          <cell r="E3" t="str">
            <v>ACTUAL GENE.</v>
          </cell>
          <cell r="F3" t="str">
            <v>ACHIEVE-MENT</v>
          </cell>
          <cell r="G3" t="str">
            <v>AVAIL-ABILITY</v>
          </cell>
          <cell r="H3" t="str">
            <v>P.L.F.</v>
          </cell>
          <cell r="I3" t="str">
            <v>AUXILIARY CONSUMPTION</v>
          </cell>
          <cell r="K3" t="str">
            <v>MAXIMUM DEMAND</v>
          </cell>
          <cell r="L3" t="str">
            <v>COAL IN MT</v>
          </cell>
          <cell r="N3" t="str">
            <v>COAL CONSUMED</v>
          </cell>
          <cell r="P3" t="str">
            <v>FUEL OIL CONSUMPTION</v>
          </cell>
        </row>
        <row r="4">
          <cell r="A4" t="str">
            <v/>
          </cell>
          <cell r="B4" t="str">
            <v>P A R T I C U L A R S</v>
          </cell>
          <cell r="C4" t="str">
            <v>MW</v>
          </cell>
          <cell r="D4" t="str">
            <v>MKwh</v>
          </cell>
          <cell r="E4" t="str">
            <v>MKwh</v>
          </cell>
          <cell r="F4" t="str">
            <v>%</v>
          </cell>
          <cell r="G4" t="str">
            <v>%</v>
          </cell>
          <cell r="H4" t="str">
            <v>%</v>
          </cell>
          <cell r="I4" t="str">
            <v>MKwh</v>
          </cell>
          <cell r="J4" t="str">
            <v>%</v>
          </cell>
          <cell r="K4" t="str">
            <v>MW</v>
          </cell>
          <cell r="L4" t="str">
            <v>OP.STOCK</v>
          </cell>
          <cell r="M4" t="str">
            <v>RECIEPT</v>
          </cell>
          <cell r="N4" t="str">
            <v>MT</v>
          </cell>
          <cell r="O4" t="str">
            <v>Kg/kWH</v>
          </cell>
          <cell r="P4" t="str">
            <v>KL</v>
          </cell>
          <cell r="Q4" t="str">
            <v>ml/KWH</v>
          </cell>
        </row>
        <row r="5">
          <cell r="A5" t="str">
            <v>KORBA EAST I</v>
          </cell>
          <cell r="B5" t="str">
            <v>88-89</v>
          </cell>
          <cell r="C5">
            <v>90</v>
          </cell>
          <cell r="D5">
            <v>350</v>
          </cell>
          <cell r="E5">
            <v>233.16</v>
          </cell>
          <cell r="F5">
            <v>66.617142857142852</v>
          </cell>
          <cell r="G5">
            <v>45.51</v>
          </cell>
          <cell r="H5">
            <v>29.573820395738203</v>
          </cell>
          <cell r="I5" t="str">
            <v xml:space="preserve"> </v>
          </cell>
          <cell r="J5">
            <v>0</v>
          </cell>
          <cell r="K5">
            <v>57</v>
          </cell>
          <cell r="N5">
            <v>277748</v>
          </cell>
          <cell r="O5">
            <v>1.1912334877337452</v>
          </cell>
          <cell r="P5">
            <v>0</v>
          </cell>
          <cell r="Q5">
            <v>0</v>
          </cell>
        </row>
        <row r="6">
          <cell r="A6">
            <v>2</v>
          </cell>
          <cell r="B6" t="str">
            <v>89-90</v>
          </cell>
          <cell r="C6">
            <v>90</v>
          </cell>
          <cell r="D6">
            <v>315</v>
          </cell>
          <cell r="E6">
            <v>64.739999999999995</v>
          </cell>
          <cell r="F6">
            <v>10.23</v>
          </cell>
          <cell r="G6">
            <v>45.51</v>
          </cell>
          <cell r="H6">
            <v>38.924963924963919</v>
          </cell>
          <cell r="I6" t="str">
            <v xml:space="preserve"> </v>
          </cell>
          <cell r="J6">
            <v>0</v>
          </cell>
          <cell r="K6">
            <v>60</v>
          </cell>
          <cell r="N6">
            <v>71743</v>
          </cell>
          <cell r="O6">
            <v>1.1081711461229535</v>
          </cell>
          <cell r="P6">
            <v>0</v>
          </cell>
          <cell r="Q6">
            <v>0</v>
          </cell>
        </row>
        <row r="7">
          <cell r="A7" t="str">
            <v>KORBA EAST II</v>
          </cell>
          <cell r="B7" t="str">
            <v>88-89</v>
          </cell>
          <cell r="C7">
            <v>200</v>
          </cell>
          <cell r="D7">
            <v>900</v>
          </cell>
          <cell r="E7">
            <v>626.98</v>
          </cell>
          <cell r="F7">
            <v>69.664444444444442</v>
          </cell>
          <cell r="G7">
            <v>53.05</v>
          </cell>
          <cell r="H7">
            <v>35.786529680365298</v>
          </cell>
          <cell r="I7" t="str">
            <v xml:space="preserve"> </v>
          </cell>
          <cell r="J7">
            <v>0</v>
          </cell>
          <cell r="K7">
            <v>160</v>
          </cell>
          <cell r="N7">
            <v>588701</v>
          </cell>
          <cell r="O7">
            <v>0.93894701585377527</v>
          </cell>
          <cell r="P7">
            <v>7154</v>
          </cell>
          <cell r="Q7">
            <v>11.410252320648187</v>
          </cell>
        </row>
        <row r="8">
          <cell r="A8">
            <v>4</v>
          </cell>
          <cell r="B8" t="str">
            <v>89-90</v>
          </cell>
          <cell r="C8">
            <v>200</v>
          </cell>
          <cell r="D8">
            <v>900</v>
          </cell>
          <cell r="E8">
            <v>1032.1500000000001</v>
          </cell>
          <cell r="F8">
            <v>114.68333333333335</v>
          </cell>
          <cell r="G8">
            <v>72.95</v>
          </cell>
          <cell r="H8">
            <v>58.912671232876718</v>
          </cell>
          <cell r="I8">
            <v>119</v>
          </cell>
          <cell r="J8">
            <v>11.529331976941336</v>
          </cell>
          <cell r="K8">
            <v>200</v>
          </cell>
          <cell r="N8">
            <v>983703</v>
          </cell>
          <cell r="O8">
            <v>0.95306205493387575</v>
          </cell>
          <cell r="P8">
            <v>4674</v>
          </cell>
          <cell r="Q8">
            <v>4.5284115680860335</v>
          </cell>
        </row>
        <row r="9">
          <cell r="A9">
            <v>5</v>
          </cell>
          <cell r="B9" t="str">
            <v>90-91</v>
          </cell>
          <cell r="C9">
            <v>160</v>
          </cell>
          <cell r="D9">
            <v>1050</v>
          </cell>
          <cell r="E9">
            <v>1019.65</v>
          </cell>
          <cell r="F9">
            <v>97.109523809523807</v>
          </cell>
          <cell r="G9">
            <v>76.790000000000006</v>
          </cell>
          <cell r="H9">
            <v>72.749001141552512</v>
          </cell>
          <cell r="I9">
            <v>126</v>
          </cell>
          <cell r="J9">
            <v>12.357181385769627</v>
          </cell>
          <cell r="K9">
            <v>176</v>
          </cell>
          <cell r="N9">
            <v>985516</v>
          </cell>
          <cell r="O9">
            <v>0.9665238071887412</v>
          </cell>
          <cell r="P9">
            <v>4737</v>
          </cell>
          <cell r="Q9">
            <v>4.6457117638405334</v>
          </cell>
        </row>
        <row r="10">
          <cell r="A10">
            <v>6</v>
          </cell>
          <cell r="B10" t="str">
            <v>91-92</v>
          </cell>
          <cell r="C10">
            <v>160</v>
          </cell>
          <cell r="D10">
            <v>840</v>
          </cell>
          <cell r="E10">
            <v>623.36</v>
          </cell>
          <cell r="F10">
            <v>74.209523809523816</v>
          </cell>
          <cell r="G10">
            <v>55.55</v>
          </cell>
          <cell r="H10">
            <v>44.474885844748862</v>
          </cell>
          <cell r="I10">
            <v>91.84</v>
          </cell>
          <cell r="J10">
            <v>14.733059548254619</v>
          </cell>
          <cell r="K10">
            <v>146</v>
          </cell>
          <cell r="N10">
            <v>626484</v>
          </cell>
          <cell r="O10">
            <v>1.0050115503080082</v>
          </cell>
          <cell r="P10">
            <v>6372</v>
          </cell>
          <cell r="Q10">
            <v>10.222022587268993</v>
          </cell>
        </row>
        <row r="11">
          <cell r="A11" t="str">
            <v>a</v>
          </cell>
          <cell r="B11" t="str">
            <v>92-93</v>
          </cell>
          <cell r="C11">
            <v>160</v>
          </cell>
          <cell r="D11">
            <v>840</v>
          </cell>
          <cell r="E11">
            <v>725.76</v>
          </cell>
          <cell r="F11">
            <v>86.4</v>
          </cell>
          <cell r="G11">
            <v>61.32</v>
          </cell>
          <cell r="H11">
            <v>51.780821917808218</v>
          </cell>
          <cell r="I11">
            <v>104.13</v>
          </cell>
          <cell r="J11">
            <v>14.347718253968255</v>
          </cell>
          <cell r="K11">
            <v>192</v>
          </cell>
          <cell r="N11">
            <v>745282</v>
          </cell>
          <cell r="O11">
            <v>1.0268986992945326</v>
          </cell>
          <cell r="P11">
            <v>7889</v>
          </cell>
          <cell r="Q11">
            <v>10.869984567901234</v>
          </cell>
        </row>
        <row r="12">
          <cell r="A12" t="str">
            <v>b</v>
          </cell>
          <cell r="B12" t="str">
            <v>93-94</v>
          </cell>
          <cell r="C12">
            <v>160</v>
          </cell>
          <cell r="D12">
            <v>850</v>
          </cell>
          <cell r="E12">
            <v>726.2</v>
          </cell>
          <cell r="F12">
            <v>85.435294117647061</v>
          </cell>
          <cell r="G12">
            <v>60.264794520547945</v>
          </cell>
          <cell r="H12">
            <v>51.812214611872143</v>
          </cell>
          <cell r="I12">
            <v>102.85735</v>
          </cell>
          <cell r="J12">
            <v>14.163777196364638</v>
          </cell>
          <cell r="K12">
            <v>164</v>
          </cell>
          <cell r="N12">
            <v>747152</v>
          </cell>
          <cell r="O12">
            <v>1.0288515560451665</v>
          </cell>
          <cell r="P12">
            <v>6596.07</v>
          </cell>
          <cell r="Q12">
            <v>9.0829936656568435</v>
          </cell>
        </row>
        <row r="13">
          <cell r="A13" t="str">
            <v>c</v>
          </cell>
          <cell r="B13" t="str">
            <v>94-95</v>
          </cell>
          <cell r="C13">
            <v>160</v>
          </cell>
          <cell r="D13">
            <v>850</v>
          </cell>
          <cell r="E13">
            <v>797.1</v>
          </cell>
          <cell r="F13">
            <v>93.776470588235298</v>
          </cell>
          <cell r="G13">
            <v>67.2</v>
          </cell>
          <cell r="H13">
            <v>56.87071917808219</v>
          </cell>
          <cell r="I13">
            <v>111.1</v>
          </cell>
          <cell r="J13">
            <v>13.938025341864257</v>
          </cell>
          <cell r="K13">
            <v>182</v>
          </cell>
          <cell r="N13">
            <v>830584</v>
          </cell>
          <cell r="O13">
            <v>1.0420072763768662</v>
          </cell>
          <cell r="P13">
            <v>10237</v>
          </cell>
          <cell r="Q13">
            <v>12.842805168736669</v>
          </cell>
        </row>
        <row r="14">
          <cell r="A14" t="str">
            <v>d</v>
          </cell>
          <cell r="B14" t="str">
            <v>95-96</v>
          </cell>
          <cell r="C14">
            <v>160</v>
          </cell>
          <cell r="D14">
            <v>900</v>
          </cell>
          <cell r="E14">
            <v>1017.6</v>
          </cell>
          <cell r="F14">
            <v>113.06666666666666</v>
          </cell>
          <cell r="G14">
            <v>76.7</v>
          </cell>
          <cell r="H14">
            <v>72.404371584699447</v>
          </cell>
          <cell r="I14">
            <v>127</v>
          </cell>
          <cell r="J14">
            <v>12.480345911949685</v>
          </cell>
          <cell r="K14">
            <v>192</v>
          </cell>
          <cell r="N14">
            <v>1055897</v>
          </cell>
          <cell r="O14">
            <v>1.0376346305031448</v>
          </cell>
          <cell r="P14">
            <v>6774</v>
          </cell>
          <cell r="Q14">
            <v>6.6568396226415096</v>
          </cell>
        </row>
        <row r="15">
          <cell r="A15" t="str">
            <v>e</v>
          </cell>
          <cell r="B15" t="str">
            <v>96-97</v>
          </cell>
          <cell r="C15">
            <v>160</v>
          </cell>
          <cell r="D15">
            <v>900</v>
          </cell>
          <cell r="E15">
            <v>1111.0999999999999</v>
          </cell>
          <cell r="F15">
            <v>123.45555555555553</v>
          </cell>
          <cell r="G15">
            <v>81.400000000000006</v>
          </cell>
          <cell r="H15">
            <v>79.273687214611869</v>
          </cell>
          <cell r="I15">
            <v>128.80000000000001</v>
          </cell>
          <cell r="J15">
            <v>11.592115921159214</v>
          </cell>
          <cell r="K15">
            <v>196</v>
          </cell>
          <cell r="N15">
            <v>1098156</v>
          </cell>
          <cell r="O15">
            <v>0.98835028350283505</v>
          </cell>
          <cell r="P15">
            <v>6387</v>
          </cell>
          <cell r="Q15">
            <v>5.7483574835748366</v>
          </cell>
        </row>
        <row r="16">
          <cell r="A16" t="str">
            <v>f</v>
          </cell>
          <cell r="B16" t="str">
            <v>97-98</v>
          </cell>
          <cell r="C16">
            <v>160</v>
          </cell>
          <cell r="D16">
            <v>1050</v>
          </cell>
          <cell r="E16">
            <v>1123.95</v>
          </cell>
          <cell r="F16">
            <v>107.04285714285714</v>
          </cell>
          <cell r="G16">
            <v>83.5</v>
          </cell>
          <cell r="H16">
            <v>80.190496575342465</v>
          </cell>
          <cell r="I16">
            <v>132.66300000000001</v>
          </cell>
          <cell r="J16">
            <v>11.803283064193247</v>
          </cell>
          <cell r="K16">
            <v>190</v>
          </cell>
          <cell r="N16">
            <v>1049273</v>
          </cell>
          <cell r="O16">
            <v>0.93355843231460478</v>
          </cell>
          <cell r="P16">
            <v>5874</v>
          </cell>
          <cell r="Q16">
            <v>5.2262111303883625</v>
          </cell>
        </row>
        <row r="17">
          <cell r="A17" t="str">
            <v>g</v>
          </cell>
          <cell r="B17" t="str">
            <v>98-99</v>
          </cell>
          <cell r="C17">
            <v>160</v>
          </cell>
          <cell r="D17">
            <v>1000</v>
          </cell>
          <cell r="E17">
            <v>827.49</v>
          </cell>
          <cell r="F17">
            <v>82.748999999999995</v>
          </cell>
          <cell r="G17">
            <v>59.9</v>
          </cell>
          <cell r="H17">
            <v>59.038955479452056</v>
          </cell>
          <cell r="I17">
            <v>98.7</v>
          </cell>
          <cell r="J17">
            <v>11.927636587753327</v>
          </cell>
          <cell r="K17">
            <v>188</v>
          </cell>
          <cell r="N17">
            <v>770211</v>
          </cell>
          <cell r="O17">
            <v>0.93077982815502303</v>
          </cell>
          <cell r="P17">
            <v>3594</v>
          </cell>
          <cell r="Q17">
            <v>4.3432549033825181</v>
          </cell>
        </row>
        <row r="18">
          <cell r="A18" t="str">
            <v>h</v>
          </cell>
          <cell r="B18" t="str">
            <v>99-00</v>
          </cell>
          <cell r="C18">
            <v>160</v>
          </cell>
          <cell r="D18">
            <v>900</v>
          </cell>
          <cell r="E18">
            <v>991.4</v>
          </cell>
          <cell r="F18">
            <v>110.15555555555555</v>
          </cell>
          <cell r="G18">
            <v>76.5</v>
          </cell>
          <cell r="H18">
            <v>70.5</v>
          </cell>
          <cell r="I18">
            <v>123.9</v>
          </cell>
          <cell r="J18">
            <v>12.5</v>
          </cell>
          <cell r="K18">
            <v>172</v>
          </cell>
          <cell r="N18">
            <v>945093</v>
          </cell>
          <cell r="O18">
            <v>0.95</v>
          </cell>
          <cell r="P18">
            <v>4874</v>
          </cell>
          <cell r="Q18">
            <v>4.9162800080693971</v>
          </cell>
        </row>
        <row r="19">
          <cell r="A19">
            <v>7</v>
          </cell>
          <cell r="B19" t="str">
            <v>00-01</v>
          </cell>
          <cell r="C19">
            <v>160</v>
          </cell>
          <cell r="D19">
            <v>850</v>
          </cell>
          <cell r="E19">
            <v>889.2</v>
          </cell>
          <cell r="F19">
            <v>104.61176470588235</v>
          </cell>
          <cell r="G19">
            <v>64.37</v>
          </cell>
          <cell r="H19">
            <v>63.44</v>
          </cell>
          <cell r="I19">
            <v>107.73</v>
          </cell>
          <cell r="J19">
            <v>12.12</v>
          </cell>
          <cell r="K19">
            <v>180</v>
          </cell>
          <cell r="N19">
            <v>852784</v>
          </cell>
          <cell r="O19">
            <v>0.95899999999999996</v>
          </cell>
          <cell r="P19">
            <v>3494</v>
          </cell>
          <cell r="Q19">
            <v>3.93</v>
          </cell>
        </row>
        <row r="20">
          <cell r="A20" t="str">
            <v>Average last 5 years</v>
          </cell>
          <cell r="C20" t="str">
            <v>No</v>
          </cell>
          <cell r="D20">
            <v>940</v>
          </cell>
          <cell r="E20">
            <v>988.62800000000004</v>
          </cell>
          <cell r="F20">
            <v>105.60294659197011</v>
          </cell>
          <cell r="G20">
            <v>73.134</v>
          </cell>
          <cell r="H20">
            <v>70.488627853881283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KORBA EAST III</v>
          </cell>
          <cell r="B21" t="str">
            <v>88-89</v>
          </cell>
          <cell r="C21">
            <v>240</v>
          </cell>
          <cell r="D21">
            <v>1200</v>
          </cell>
          <cell r="E21">
            <v>1075.1099999999999</v>
          </cell>
          <cell r="F21">
            <v>89.592499999999987</v>
          </cell>
          <cell r="G21">
            <v>73.069999999999993</v>
          </cell>
          <cell r="H21">
            <v>51.137271689497709</v>
          </cell>
          <cell r="I21" t="str">
            <v xml:space="preserve"> </v>
          </cell>
          <cell r="J21">
            <v>0</v>
          </cell>
          <cell r="K21">
            <v>212</v>
          </cell>
          <cell r="N21">
            <v>978858</v>
          </cell>
          <cell r="O21">
            <v>0.9104724167759578</v>
          </cell>
          <cell r="P21">
            <v>19275</v>
          </cell>
          <cell r="Q21">
            <v>17.928398024388205</v>
          </cell>
        </row>
        <row r="22">
          <cell r="A22">
            <v>8</v>
          </cell>
          <cell r="B22" t="str">
            <v>89-90</v>
          </cell>
          <cell r="C22">
            <v>240</v>
          </cell>
          <cell r="D22">
            <v>1110</v>
          </cell>
          <cell r="E22">
            <v>1193.79</v>
          </cell>
          <cell r="F22">
            <v>107.54864864864865</v>
          </cell>
          <cell r="G22">
            <v>78.05</v>
          </cell>
          <cell r="H22">
            <v>56.782248858447488</v>
          </cell>
          <cell r="I22">
            <v>114</v>
          </cell>
          <cell r="J22">
            <v>9.5494182393888369</v>
          </cell>
          <cell r="K22">
            <v>224</v>
          </cell>
          <cell r="N22">
            <v>1094158</v>
          </cell>
          <cell r="O22">
            <v>0.916541435260808</v>
          </cell>
          <cell r="P22">
            <v>18208</v>
          </cell>
          <cell r="Q22">
            <v>15.252263798490523</v>
          </cell>
        </row>
        <row r="23">
          <cell r="A23" t="str">
            <v>a</v>
          </cell>
          <cell r="B23" t="str">
            <v>90-91</v>
          </cell>
          <cell r="C23">
            <v>240</v>
          </cell>
          <cell r="D23">
            <v>1250</v>
          </cell>
          <cell r="E23">
            <v>1137.1400000000001</v>
          </cell>
          <cell r="F23">
            <v>90.97120000000001</v>
          </cell>
          <cell r="G23">
            <v>73.55</v>
          </cell>
          <cell r="H23">
            <v>54.087709284627103</v>
          </cell>
          <cell r="I23">
            <v>113</v>
          </cell>
          <cell r="J23">
            <v>9.9372108975148166</v>
          </cell>
          <cell r="K23">
            <v>215</v>
          </cell>
          <cell r="N23">
            <v>1065421</v>
          </cell>
          <cell r="O23">
            <v>0.93693036917178185</v>
          </cell>
          <cell r="P23">
            <v>14929</v>
          </cell>
          <cell r="Q23">
            <v>13.128550574247672</v>
          </cell>
        </row>
        <row r="24">
          <cell r="A24" t="str">
            <v>b</v>
          </cell>
          <cell r="B24" t="str">
            <v>91-92</v>
          </cell>
          <cell r="C24">
            <v>240</v>
          </cell>
          <cell r="D24">
            <v>1200</v>
          </cell>
          <cell r="E24">
            <v>850.6</v>
          </cell>
          <cell r="F24">
            <v>70.88333333333334</v>
          </cell>
          <cell r="G24">
            <v>60.67</v>
          </cell>
          <cell r="H24">
            <v>40.458523592085236</v>
          </cell>
          <cell r="I24">
            <v>93.49</v>
          </cell>
          <cell r="J24">
            <v>10.99106513049612</v>
          </cell>
          <cell r="K24">
            <v>218</v>
          </cell>
          <cell r="N24">
            <v>821535</v>
          </cell>
          <cell r="O24">
            <v>0.96583000235128147</v>
          </cell>
          <cell r="P24">
            <v>13865</v>
          </cell>
          <cell r="Q24">
            <v>16.300258640959321</v>
          </cell>
        </row>
        <row r="25">
          <cell r="A25" t="str">
            <v>c</v>
          </cell>
          <cell r="B25" t="str">
            <v>92-93</v>
          </cell>
          <cell r="C25">
            <v>240</v>
          </cell>
          <cell r="D25">
            <v>1100</v>
          </cell>
          <cell r="E25">
            <v>866.45</v>
          </cell>
          <cell r="F25">
            <v>78.768181818181816</v>
          </cell>
          <cell r="G25">
            <v>60.12</v>
          </cell>
          <cell r="H25">
            <v>41.212423896499239</v>
          </cell>
          <cell r="I25">
            <v>93.94</v>
          </cell>
          <cell r="J25">
            <v>10.841941254544405</v>
          </cell>
          <cell r="K25">
            <v>220</v>
          </cell>
          <cell r="N25">
            <v>837244</v>
          </cell>
          <cell r="O25">
            <v>0.96629234231634831</v>
          </cell>
          <cell r="P25">
            <v>13463</v>
          </cell>
          <cell r="Q25">
            <v>15.538115298055283</v>
          </cell>
        </row>
        <row r="26">
          <cell r="A26" t="str">
            <v>d</v>
          </cell>
          <cell r="B26" t="str">
            <v>93-94</v>
          </cell>
          <cell r="C26">
            <v>240</v>
          </cell>
          <cell r="D26">
            <v>1200</v>
          </cell>
          <cell r="E26">
            <v>1009.737</v>
          </cell>
          <cell r="F26">
            <v>84.144750000000002</v>
          </cell>
          <cell r="G26">
            <v>68.032301369863021</v>
          </cell>
          <cell r="H26">
            <v>48.027825342465754</v>
          </cell>
          <cell r="I26">
            <v>106.832292</v>
          </cell>
          <cell r="J26">
            <v>10.580209698168929</v>
          </cell>
          <cell r="K26">
            <v>216</v>
          </cell>
          <cell r="N26">
            <v>1033657</v>
          </cell>
          <cell r="O26">
            <v>1.0236893369263482</v>
          </cell>
          <cell r="P26">
            <v>9864.48</v>
          </cell>
          <cell r="Q26">
            <v>9.7693557827434265</v>
          </cell>
        </row>
        <row r="27">
          <cell r="A27" t="str">
            <v>e</v>
          </cell>
          <cell r="B27" t="str">
            <v>94-95</v>
          </cell>
          <cell r="C27">
            <v>240</v>
          </cell>
          <cell r="D27">
            <v>1150</v>
          </cell>
          <cell r="E27">
            <v>1103</v>
          </cell>
          <cell r="F27">
            <v>95.913043478260875</v>
          </cell>
          <cell r="G27">
            <v>76.5</v>
          </cell>
          <cell r="H27">
            <v>52.463850837138509</v>
          </cell>
          <cell r="I27">
            <v>121.3</v>
          </cell>
          <cell r="J27">
            <v>10.99728014505893</v>
          </cell>
          <cell r="K27">
            <v>217</v>
          </cell>
          <cell r="N27">
            <v>1127339</v>
          </cell>
          <cell r="O27">
            <v>1.0220661831368993</v>
          </cell>
          <cell r="P27">
            <v>19357</v>
          </cell>
          <cell r="Q27">
            <v>17.5494106980961</v>
          </cell>
        </row>
        <row r="28">
          <cell r="A28">
            <v>9</v>
          </cell>
          <cell r="B28" t="str">
            <v>95-96</v>
          </cell>
          <cell r="C28">
            <v>240</v>
          </cell>
          <cell r="D28">
            <v>1150</v>
          </cell>
          <cell r="E28">
            <v>1114.5</v>
          </cell>
          <cell r="F28">
            <v>96.913043478260875</v>
          </cell>
          <cell r="G28">
            <v>72.2</v>
          </cell>
          <cell r="H28">
            <v>52.866006375227684</v>
          </cell>
          <cell r="I28">
            <v>119.5</v>
          </cell>
          <cell r="J28">
            <v>10.722296994167788</v>
          </cell>
          <cell r="K28">
            <v>214</v>
          </cell>
          <cell r="N28">
            <v>1148422</v>
          </cell>
          <cell r="O28">
            <v>1.0304369672498879</v>
          </cell>
          <cell r="P28">
            <v>9390</v>
          </cell>
          <cell r="Q28">
            <v>8.4253028263795429</v>
          </cell>
        </row>
        <row r="29">
          <cell r="A29">
            <v>10</v>
          </cell>
          <cell r="B29" t="str">
            <v>96-97</v>
          </cell>
          <cell r="C29">
            <v>240</v>
          </cell>
          <cell r="D29">
            <v>1200</v>
          </cell>
          <cell r="E29">
            <v>1261.0999999999999</v>
          </cell>
          <cell r="F29">
            <v>105.09166666666665</v>
          </cell>
          <cell r="G29">
            <v>78.599999999999994</v>
          </cell>
          <cell r="H29">
            <v>59.983828006088274</v>
          </cell>
          <cell r="I29">
            <v>130.69999999999999</v>
          </cell>
          <cell r="J29">
            <v>10.363967964475457</v>
          </cell>
          <cell r="K29">
            <v>217</v>
          </cell>
          <cell r="N29">
            <v>1215835</v>
          </cell>
          <cell r="O29">
            <v>0.96410673221790499</v>
          </cell>
          <cell r="P29">
            <v>7474</v>
          </cell>
          <cell r="Q29">
            <v>5.9265720402822932</v>
          </cell>
        </row>
        <row r="30">
          <cell r="A30">
            <v>11</v>
          </cell>
          <cell r="B30" t="str">
            <v>97-98</v>
          </cell>
          <cell r="C30">
            <v>240</v>
          </cell>
          <cell r="D30">
            <v>1000</v>
          </cell>
          <cell r="E30">
            <v>1352.17</v>
          </cell>
          <cell r="F30">
            <v>135.21700000000001</v>
          </cell>
          <cell r="G30">
            <v>83.4</v>
          </cell>
          <cell r="H30">
            <v>64.31554414003044</v>
          </cell>
          <cell r="I30">
            <v>139.19800000000001</v>
          </cell>
          <cell r="J30">
            <v>10.294415643003468</v>
          </cell>
          <cell r="K30">
            <v>213</v>
          </cell>
          <cell r="N30">
            <v>1152800</v>
          </cell>
          <cell r="O30">
            <v>0.85255552186485428</v>
          </cell>
          <cell r="P30">
            <v>6231</v>
          </cell>
          <cell r="Q30">
            <v>4.6081483837091488</v>
          </cell>
        </row>
        <row r="31">
          <cell r="A31">
            <v>12</v>
          </cell>
          <cell r="B31" t="str">
            <v>98-99</v>
          </cell>
          <cell r="C31">
            <v>240</v>
          </cell>
          <cell r="D31">
            <v>1100</v>
          </cell>
          <cell r="E31">
            <v>969.66</v>
          </cell>
          <cell r="F31">
            <v>88.150909090909096</v>
          </cell>
          <cell r="G31">
            <v>59.9</v>
          </cell>
          <cell r="H31">
            <v>46.121575342465754</v>
          </cell>
          <cell r="I31">
            <v>104.9</v>
          </cell>
          <cell r="J31">
            <v>10.818224944826023</v>
          </cell>
          <cell r="K31">
            <v>205</v>
          </cell>
          <cell r="N31">
            <v>842753</v>
          </cell>
          <cell r="O31">
            <v>0.86912216653259911</v>
          </cell>
          <cell r="P31">
            <v>4062</v>
          </cell>
          <cell r="Q31">
            <v>4.1890972093311056</v>
          </cell>
        </row>
        <row r="32">
          <cell r="A32">
            <v>13</v>
          </cell>
          <cell r="B32" t="str">
            <v>99-00</v>
          </cell>
          <cell r="C32">
            <v>240</v>
          </cell>
          <cell r="D32">
            <v>1000</v>
          </cell>
          <cell r="E32">
            <v>1349.3</v>
          </cell>
          <cell r="F32">
            <v>150.1</v>
          </cell>
          <cell r="G32">
            <v>84.2</v>
          </cell>
          <cell r="H32">
            <v>64</v>
          </cell>
          <cell r="I32">
            <v>136.1</v>
          </cell>
          <cell r="J32">
            <v>10.1</v>
          </cell>
          <cell r="K32">
            <v>208</v>
          </cell>
          <cell r="N32">
            <v>1212963</v>
          </cell>
          <cell r="O32">
            <v>0.9</v>
          </cell>
          <cell r="P32">
            <v>5019</v>
          </cell>
          <cell r="Q32">
            <v>3.72</v>
          </cell>
        </row>
        <row r="33">
          <cell r="A33">
            <v>14</v>
          </cell>
          <cell r="B33" t="str">
            <v>00-01</v>
          </cell>
          <cell r="C33">
            <v>240</v>
          </cell>
          <cell r="D33">
            <v>1150</v>
          </cell>
          <cell r="E33">
            <v>1293.6300000000001</v>
          </cell>
          <cell r="F33">
            <v>112.48956521739132</v>
          </cell>
          <cell r="G33">
            <v>81.05</v>
          </cell>
          <cell r="H33">
            <v>61.53</v>
          </cell>
          <cell r="I33">
            <v>128.52000000000001</v>
          </cell>
          <cell r="J33">
            <v>9.93</v>
          </cell>
          <cell r="K33">
            <v>206</v>
          </cell>
          <cell r="N33">
            <v>1151942</v>
          </cell>
          <cell r="O33">
            <v>0.89</v>
          </cell>
          <cell r="P33">
            <v>5085</v>
          </cell>
          <cell r="Q33">
            <v>3.93</v>
          </cell>
        </row>
        <row r="34">
          <cell r="A34" t="str">
            <v>Average last 5 years</v>
          </cell>
          <cell r="B34" t="str">
            <v>Cost of  Fuels  per  Kwh  Generated</v>
          </cell>
          <cell r="C34" t="str">
            <v>Paise</v>
          </cell>
          <cell r="D34">
            <v>1090</v>
          </cell>
          <cell r="E34">
            <v>1245.172</v>
          </cell>
          <cell r="F34">
            <v>118.20982819499341</v>
          </cell>
          <cell r="G34">
            <v>77.430000000000007</v>
          </cell>
          <cell r="H34">
            <v>59.190189497716894</v>
          </cell>
          <cell r="I34">
            <v>127.8836</v>
          </cell>
          <cell r="J34">
            <v>10.301321710460989</v>
          </cell>
          <cell r="K34">
            <v>209.8</v>
          </cell>
          <cell r="L34">
            <v>0</v>
          </cell>
          <cell r="M34">
            <v>0</v>
          </cell>
          <cell r="N34">
            <v>1115258.6000000001</v>
          </cell>
          <cell r="O34">
            <v>0.89515688412307171</v>
          </cell>
          <cell r="P34">
            <v>5574.2</v>
          </cell>
          <cell r="Q34">
            <v>4.4747635266645087</v>
          </cell>
        </row>
        <row r="35">
          <cell r="A35" t="str">
            <v>KORBA EAST</v>
          </cell>
          <cell r="B35" t="str">
            <v>88-89</v>
          </cell>
          <cell r="C35">
            <v>530</v>
          </cell>
          <cell r="D35">
            <v>2450</v>
          </cell>
          <cell r="E35">
            <v>1935.25</v>
          </cell>
          <cell r="F35">
            <v>78.989795918367349</v>
          </cell>
          <cell r="G35">
            <v>60.835283018867919</v>
          </cell>
          <cell r="H35">
            <v>41.682820711639529</v>
          </cell>
          <cell r="I35">
            <v>0</v>
          </cell>
          <cell r="J35">
            <v>0</v>
          </cell>
          <cell r="K35" t="str">
            <v xml:space="preserve"> </v>
          </cell>
          <cell r="L35" t="str">
            <v xml:space="preserve"> </v>
          </cell>
          <cell r="M35" t="str">
            <v xml:space="preserve"> </v>
          </cell>
          <cell r="N35">
            <v>1845307</v>
          </cell>
          <cell r="O35">
            <v>0.95352383412995734</v>
          </cell>
          <cell r="P35">
            <v>26429</v>
          </cell>
          <cell r="Q35">
            <v>13.656633509882445</v>
          </cell>
        </row>
        <row r="36">
          <cell r="A36">
            <v>17</v>
          </cell>
          <cell r="B36" t="str">
            <v>89-90</v>
          </cell>
          <cell r="C36">
            <v>530</v>
          </cell>
          <cell r="D36">
            <v>2325</v>
          </cell>
          <cell r="E36">
            <v>2290.6799999999998</v>
          </cell>
          <cell r="F36">
            <v>98.523870967741928</v>
          </cell>
          <cell r="G36">
            <v>70.599811320754725</v>
          </cell>
          <cell r="H36">
            <v>49.338330317911598</v>
          </cell>
          <cell r="I36">
            <v>233</v>
          </cell>
          <cell r="J36">
            <v>10.171652085843506</v>
          </cell>
          <cell r="K36" t="str">
            <v xml:space="preserve"> </v>
          </cell>
          <cell r="L36">
            <v>126109</v>
          </cell>
          <cell r="M36">
            <v>2052076</v>
          </cell>
          <cell r="N36">
            <v>2149604</v>
          </cell>
          <cell r="O36">
            <v>0.93841304765397171</v>
          </cell>
          <cell r="P36">
            <v>22882</v>
          </cell>
          <cell r="Q36">
            <v>9.9891735205266574</v>
          </cell>
        </row>
        <row r="37">
          <cell r="A37">
            <v>18</v>
          </cell>
          <cell r="B37" t="str">
            <v>90-91</v>
          </cell>
          <cell r="C37">
            <v>400</v>
          </cell>
          <cell r="D37">
            <v>2300</v>
          </cell>
          <cell r="E37">
            <v>2156.79</v>
          </cell>
          <cell r="F37">
            <v>93.773478260869567</v>
          </cell>
          <cell r="G37">
            <v>74.846000000000004</v>
          </cell>
          <cell r="H37">
            <v>61.552226027397261</v>
          </cell>
          <cell r="I37">
            <v>239</v>
          </cell>
          <cell r="J37">
            <v>11.081282832357346</v>
          </cell>
          <cell r="K37" t="str">
            <v xml:space="preserve"> </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t="str">
            <v xml:space="preserve"> </v>
          </cell>
          <cell r="L38">
            <v>106295</v>
          </cell>
          <cell r="M38">
            <v>1485028</v>
          </cell>
          <cell r="N38">
            <v>1448019</v>
          </cell>
          <cell r="O38">
            <v>0.98240047219734594</v>
          </cell>
          <cell r="P38">
            <v>20237</v>
          </cell>
          <cell r="Q38">
            <v>13.729680588347037</v>
          </cell>
        </row>
        <row r="39">
          <cell r="A39">
            <v>1</v>
          </cell>
          <cell r="B39" t="str">
            <v>92-93</v>
          </cell>
          <cell r="C39">
            <v>400</v>
          </cell>
          <cell r="D39">
            <v>1940</v>
          </cell>
          <cell r="E39">
            <v>1592.21</v>
          </cell>
          <cell r="F39">
            <v>82.072680412371128</v>
          </cell>
          <cell r="G39">
            <v>60.6</v>
          </cell>
          <cell r="H39">
            <v>45.439783105022833</v>
          </cell>
          <cell r="I39">
            <v>198.07</v>
          </cell>
          <cell r="J39">
            <v>12.439941967454041</v>
          </cell>
          <cell r="K39" t="str">
            <v xml:space="preserve"> </v>
          </cell>
          <cell r="L39">
            <v>138478</v>
          </cell>
          <cell r="M39">
            <v>1460489</v>
          </cell>
          <cell r="N39">
            <v>1582526</v>
          </cell>
          <cell r="O39">
            <v>0.99391788771581635</v>
          </cell>
          <cell r="P39">
            <v>21352</v>
          </cell>
          <cell r="Q39">
            <v>13.410291356039718</v>
          </cell>
        </row>
        <row r="40">
          <cell r="A40">
            <v>2</v>
          </cell>
          <cell r="B40" t="str">
            <v>93-94</v>
          </cell>
          <cell r="C40">
            <v>400</v>
          </cell>
          <cell r="D40">
            <v>2050</v>
          </cell>
          <cell r="E40">
            <v>1735.9369999999999</v>
          </cell>
          <cell r="F40">
            <v>84.679853658536572</v>
          </cell>
          <cell r="G40">
            <v>64.925298630136979</v>
          </cell>
          <cell r="H40">
            <v>49.541581050228309</v>
          </cell>
          <cell r="I40">
            <v>209.68964199999999</v>
          </cell>
          <cell r="J40">
            <v>12.079334791527572</v>
          </cell>
          <cell r="K40" t="str">
            <v xml:space="preserve"> </v>
          </cell>
          <cell r="L40">
            <v>55118</v>
          </cell>
          <cell r="M40">
            <v>1778517</v>
          </cell>
          <cell r="N40">
            <v>1780809</v>
          </cell>
          <cell r="O40">
            <v>1.0258488643309061</v>
          </cell>
          <cell r="P40">
            <v>16460.55</v>
          </cell>
          <cell r="Q40">
            <v>9.482227753656959</v>
          </cell>
        </row>
        <row r="41">
          <cell r="A41">
            <v>3</v>
          </cell>
          <cell r="B41" t="str">
            <v>94-95</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95-96</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96-97</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Average last 5 years</v>
          </cell>
          <cell r="B48" t="str">
            <v>P A R T I C U L A R S</v>
          </cell>
          <cell r="D48">
            <v>2030</v>
          </cell>
          <cell r="E48">
            <v>2233.7999999999997</v>
          </cell>
          <cell r="F48">
            <v>110.3326108991992</v>
          </cell>
          <cell r="G48">
            <v>75.707999999999998</v>
          </cell>
          <cell r="H48">
            <v>63.710764840182641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t="str">
            <v>STATE  LOAD  DESPATCH  CENTRE  M.P.E.B.  JABALPUR</v>
          </cell>
          <cell r="B49" t="str">
            <v>Thermal  Generation (Including 100 % Satpura )</v>
          </cell>
          <cell r="C49" t="str">
            <v>MU</v>
          </cell>
          <cell r="D49">
            <v>16866.97</v>
          </cell>
          <cell r="E49">
            <v>17966.7</v>
          </cell>
          <cell r="F49">
            <v>18471.39</v>
          </cell>
          <cell r="G49">
            <v>20146.419999999998</v>
          </cell>
          <cell r="H49">
            <v>20415.89</v>
          </cell>
        </row>
        <row r="50">
          <cell r="A50" t="str">
            <v>KORBA WEST</v>
          </cell>
          <cell r="B50" t="str">
            <v xml:space="preserve">Plan Target    </v>
          </cell>
          <cell r="C50" t="str">
            <v>MU</v>
          </cell>
          <cell r="D50">
            <v>16950</v>
          </cell>
          <cell r="E50">
            <v>17200</v>
          </cell>
          <cell r="F50">
            <v>17500</v>
          </cell>
          <cell r="G50">
            <v>19010</v>
          </cell>
          <cell r="H50">
            <v>21860</v>
          </cell>
        </row>
        <row r="51">
          <cell r="A51" t="str">
            <v>STATION NAME</v>
          </cell>
          <cell r="B51" t="str">
            <v>YEAR</v>
          </cell>
          <cell r="C51" t="str">
            <v>CAPACITY</v>
          </cell>
          <cell r="D51" t="str">
            <v>TARGET</v>
          </cell>
          <cell r="E51" t="str">
            <v>ACTUAL GENE.</v>
          </cell>
          <cell r="F51" t="str">
            <v>ACHIEVE-MENT</v>
          </cell>
          <cell r="G51" t="str">
            <v>AVAIL-ABILITY</v>
          </cell>
          <cell r="H51" t="str">
            <v>P.L.F.</v>
          </cell>
          <cell r="I51" t="str">
            <v>AUXILIARY CONSUMPTION</v>
          </cell>
          <cell r="K51" t="str">
            <v>MAXIMUM DEMAND</v>
          </cell>
          <cell r="L51" t="str">
            <v>COAL IN MT</v>
          </cell>
          <cell r="N51" t="str">
            <v>COAL CONSUMED</v>
          </cell>
          <cell r="P51" t="str">
            <v>FUEL OIL CONSUMPTION</v>
          </cell>
        </row>
        <row r="52">
          <cell r="A52">
            <v>4</v>
          </cell>
          <cell r="B52" t="str">
            <v>Plant    Utilisation    Factor            **</v>
          </cell>
          <cell r="C52" t="str">
            <v>MW</v>
          </cell>
          <cell r="D52" t="str">
            <v>MKwh</v>
          </cell>
          <cell r="E52" t="str">
            <v>MKwh</v>
          </cell>
          <cell r="F52" t="str">
            <v>%</v>
          </cell>
          <cell r="G52" t="str">
            <v>%</v>
          </cell>
          <cell r="H52" t="str">
            <v>%</v>
          </cell>
          <cell r="I52" t="str">
            <v>MKwh</v>
          </cell>
          <cell r="J52" t="str">
            <v>%</v>
          </cell>
          <cell r="K52" t="str">
            <v>MW</v>
          </cell>
          <cell r="L52" t="str">
            <v>OP.STOCK</v>
          </cell>
          <cell r="M52" t="str">
            <v>RECIEPT</v>
          </cell>
          <cell r="N52" t="str">
            <v>MT</v>
          </cell>
          <cell r="O52" t="str">
            <v>Kg/kWH</v>
          </cell>
          <cell r="P52" t="str">
            <v>KL</v>
          </cell>
          <cell r="Q52" t="str">
            <v>ml/KWH</v>
          </cell>
        </row>
        <row r="53">
          <cell r="A53" t="str">
            <v>KORBA WEST I</v>
          </cell>
          <cell r="B53" t="str">
            <v>88-89</v>
          </cell>
          <cell r="C53">
            <v>420</v>
          </cell>
          <cell r="D53">
            <v>2000</v>
          </cell>
          <cell r="E53">
            <v>2064.27</v>
          </cell>
          <cell r="F53">
            <v>103.2135</v>
          </cell>
          <cell r="G53">
            <v>68.7</v>
          </cell>
          <cell r="H53">
            <v>56.106490541422048</v>
          </cell>
          <cell r="I53" t="str">
            <v xml:space="preserve"> </v>
          </cell>
          <cell r="J53">
            <v>0</v>
          </cell>
          <cell r="K53">
            <v>420</v>
          </cell>
          <cell r="N53">
            <v>1641352</v>
          </cell>
          <cell r="O53">
            <v>0.79512466876910481</v>
          </cell>
          <cell r="P53">
            <v>8572</v>
          </cell>
          <cell r="Q53">
            <v>4.1525575627219311</v>
          </cell>
        </row>
        <row r="54">
          <cell r="A54">
            <v>6</v>
          </cell>
          <cell r="B54" t="str">
            <v>89-90</v>
          </cell>
          <cell r="C54">
            <v>420</v>
          </cell>
          <cell r="D54">
            <v>2000</v>
          </cell>
          <cell r="E54">
            <v>2369.84</v>
          </cell>
          <cell r="F54">
            <v>118.492</v>
          </cell>
          <cell r="G54">
            <v>73.63</v>
          </cell>
          <cell r="H54">
            <v>64.411828658404005</v>
          </cell>
          <cell r="I54">
            <v>205</v>
          </cell>
          <cell r="J54">
            <v>8.6503730209634409</v>
          </cell>
          <cell r="K54">
            <v>430</v>
          </cell>
          <cell r="N54">
            <v>1805424</v>
          </cell>
          <cell r="O54">
            <v>0.76183371029267799</v>
          </cell>
          <cell r="P54">
            <v>10037</v>
          </cell>
          <cell r="Q54">
            <v>4.2353070249468319</v>
          </cell>
        </row>
        <row r="55">
          <cell r="A55" t="str">
            <v>a</v>
          </cell>
          <cell r="B55" t="str">
            <v>90-91</v>
          </cell>
          <cell r="C55">
            <v>420</v>
          </cell>
          <cell r="D55">
            <v>2200</v>
          </cell>
          <cell r="E55">
            <v>2292.38</v>
          </cell>
          <cell r="F55">
            <v>104.19909090909091</v>
          </cell>
          <cell r="G55">
            <v>73.5</v>
          </cell>
          <cell r="H55">
            <v>62.30647966949337</v>
          </cell>
          <cell r="I55">
            <v>212.26</v>
          </cell>
          <cell r="J55">
            <v>9.2593723553686562</v>
          </cell>
          <cell r="K55">
            <v>435</v>
          </cell>
          <cell r="N55">
            <v>1619831</v>
          </cell>
          <cell r="O55">
            <v>0.70661539535330098</v>
          </cell>
          <cell r="P55">
            <v>11371</v>
          </cell>
          <cell r="Q55">
            <v>4.9603468883867423</v>
          </cell>
        </row>
        <row r="56">
          <cell r="A56" t="str">
            <v>b</v>
          </cell>
          <cell r="B56" t="str">
            <v>91-92</v>
          </cell>
          <cell r="C56">
            <v>420</v>
          </cell>
          <cell r="D56">
            <v>2200</v>
          </cell>
          <cell r="E56">
            <v>2607.5700000000002</v>
          </cell>
          <cell r="F56">
            <v>118.52590909090911</v>
          </cell>
          <cell r="G56">
            <v>87.35</v>
          </cell>
          <cell r="H56">
            <v>70.873287671232887</v>
          </cell>
          <cell r="I56">
            <v>255</v>
          </cell>
          <cell r="J56">
            <v>9.7792197333149247</v>
          </cell>
          <cell r="K56">
            <v>415</v>
          </cell>
          <cell r="N56">
            <v>1954298</v>
          </cell>
          <cell r="O56">
            <v>0.74947096338736829</v>
          </cell>
          <cell r="P56">
            <v>14148</v>
          </cell>
          <cell r="Q56">
            <v>5.4257412073309625</v>
          </cell>
        </row>
        <row r="57">
          <cell r="A57" t="str">
            <v>c</v>
          </cell>
          <cell r="B57" t="str">
            <v>92-93</v>
          </cell>
          <cell r="C57">
            <v>420</v>
          </cell>
          <cell r="D57">
            <v>2400</v>
          </cell>
          <cell r="E57">
            <v>2406.0700000000002</v>
          </cell>
          <cell r="F57">
            <v>100.25291666666668</v>
          </cell>
          <cell r="G57">
            <v>78.28</v>
          </cell>
          <cell r="H57">
            <v>65.396553598608406</v>
          </cell>
          <cell r="I57">
            <v>224.43</v>
          </cell>
          <cell r="J57">
            <v>9.3276587962943722</v>
          </cell>
          <cell r="K57">
            <v>425</v>
          </cell>
          <cell r="N57">
            <v>1700511</v>
          </cell>
          <cell r="O57">
            <v>0.70675873935504785</v>
          </cell>
          <cell r="P57">
            <v>12383</v>
          </cell>
          <cell r="Q57">
            <v>5.1465668081144766</v>
          </cell>
        </row>
        <row r="58">
          <cell r="A58" t="str">
            <v>d</v>
          </cell>
          <cell r="B58" t="str">
            <v>93-94</v>
          </cell>
          <cell r="C58">
            <v>420</v>
          </cell>
          <cell r="D58">
            <v>2534</v>
          </cell>
          <cell r="E58">
            <v>2504.9</v>
          </cell>
          <cell r="F58">
            <v>98.851617995264405</v>
          </cell>
          <cell r="G58">
            <v>79.501534246575346</v>
          </cell>
          <cell r="H58">
            <v>68.082735377255929</v>
          </cell>
          <cell r="I58">
            <v>254.25299999999999</v>
          </cell>
          <cell r="J58">
            <v>10.150225557906502</v>
          </cell>
          <cell r="K58">
            <v>440</v>
          </cell>
          <cell r="N58">
            <v>1734277</v>
          </cell>
          <cell r="O58">
            <v>0.69235378657830648</v>
          </cell>
          <cell r="P58">
            <v>10457.49</v>
          </cell>
          <cell r="Q58">
            <v>4.1748133658030255</v>
          </cell>
        </row>
        <row r="59">
          <cell r="A59" t="str">
            <v>e</v>
          </cell>
          <cell r="B59" t="str">
            <v>94-95</v>
          </cell>
          <cell r="C59">
            <v>420</v>
          </cell>
          <cell r="D59">
            <v>2480</v>
          </cell>
          <cell r="E59">
            <v>2383</v>
          </cell>
          <cell r="F59">
            <v>96.088709677419359</v>
          </cell>
          <cell r="G59">
            <v>77</v>
          </cell>
          <cell r="H59">
            <v>64.769515111980866</v>
          </cell>
          <cell r="I59">
            <v>253</v>
          </cell>
          <cell r="J59">
            <v>10.616869492236676</v>
          </cell>
          <cell r="K59">
            <v>420</v>
          </cell>
          <cell r="N59">
            <v>1601918</v>
          </cell>
          <cell r="O59">
            <v>0.6722274443978179</v>
          </cell>
          <cell r="P59">
            <v>12273</v>
          </cell>
          <cell r="Q59">
            <v>5.150230801510701</v>
          </cell>
        </row>
        <row r="60">
          <cell r="A60" t="str">
            <v>f</v>
          </cell>
          <cell r="B60" t="str">
            <v>95-96</v>
          </cell>
          <cell r="C60">
            <v>420</v>
          </cell>
          <cell r="D60">
            <v>2500</v>
          </cell>
          <cell r="E60">
            <v>2636</v>
          </cell>
          <cell r="F60">
            <v>105.44</v>
          </cell>
          <cell r="G60">
            <v>81</v>
          </cell>
          <cell r="H60">
            <v>71.450255876485386</v>
          </cell>
          <cell r="I60">
            <v>267.8</v>
          </cell>
          <cell r="J60">
            <v>10.159332321699544</v>
          </cell>
          <cell r="K60">
            <v>420</v>
          </cell>
          <cell r="N60">
            <v>1807464</v>
          </cell>
          <cell r="O60">
            <v>0.68568437025796658</v>
          </cell>
          <cell r="P60">
            <v>8827</v>
          </cell>
          <cell r="Q60">
            <v>3.3486342943854326</v>
          </cell>
        </row>
        <row r="61">
          <cell r="A61" t="str">
            <v>g</v>
          </cell>
          <cell r="B61" t="str">
            <v>96-97</v>
          </cell>
          <cell r="C61">
            <v>420</v>
          </cell>
          <cell r="D61">
            <v>2550</v>
          </cell>
          <cell r="E61">
            <v>2712.5</v>
          </cell>
          <cell r="F61">
            <v>106.37254901960785</v>
          </cell>
          <cell r="G61">
            <v>79.599999999999994</v>
          </cell>
          <cell r="H61">
            <v>73.725266362252668</v>
          </cell>
          <cell r="I61">
            <v>250.7</v>
          </cell>
          <cell r="J61">
            <v>9.2423963133640559</v>
          </cell>
          <cell r="K61">
            <v>440</v>
          </cell>
          <cell r="N61">
            <v>1843079</v>
          </cell>
          <cell r="O61">
            <v>0.67947612903225807</v>
          </cell>
          <cell r="P61">
            <v>9072</v>
          </cell>
          <cell r="Q61">
            <v>3.3445161290322583</v>
          </cell>
        </row>
        <row r="62">
          <cell r="A62" t="str">
            <v>h</v>
          </cell>
          <cell r="B62" t="str">
            <v>97-98</v>
          </cell>
          <cell r="C62">
            <v>420</v>
          </cell>
          <cell r="D62">
            <v>2550</v>
          </cell>
          <cell r="E62">
            <v>2757.26</v>
          </cell>
          <cell r="F62">
            <v>108.1278431372549</v>
          </cell>
          <cell r="G62">
            <v>81.400000000000006</v>
          </cell>
          <cell r="H62">
            <v>74.941835181561203</v>
          </cell>
          <cell r="I62">
            <v>268.755</v>
          </cell>
          <cell r="J62">
            <v>9.7471765448307366</v>
          </cell>
          <cell r="K62">
            <v>435</v>
          </cell>
          <cell r="N62">
            <v>1910941</v>
          </cell>
          <cell r="O62">
            <v>0.69305796334041769</v>
          </cell>
          <cell r="P62">
            <v>6239</v>
          </cell>
          <cell r="Q62">
            <v>2.2627536032147857</v>
          </cell>
        </row>
        <row r="63">
          <cell r="A63">
            <v>7</v>
          </cell>
          <cell r="B63" t="str">
            <v>98-99</v>
          </cell>
          <cell r="C63">
            <v>420</v>
          </cell>
          <cell r="D63">
            <v>2600</v>
          </cell>
          <cell r="E63">
            <v>2723.45</v>
          </cell>
          <cell r="F63">
            <v>104.74807692307692</v>
          </cell>
          <cell r="G63">
            <v>80.400000000000006</v>
          </cell>
          <cell r="H63">
            <v>74.022885409871705</v>
          </cell>
          <cell r="I63">
            <v>266.60000000000002</v>
          </cell>
          <cell r="J63">
            <v>9.7890543244781458</v>
          </cell>
          <cell r="K63">
            <v>430</v>
          </cell>
          <cell r="N63">
            <v>2064016</v>
          </cell>
          <cell r="O63">
            <v>0.75786814518349888</v>
          </cell>
          <cell r="P63">
            <v>5152</v>
          </cell>
          <cell r="Q63">
            <v>1.8917182250454387</v>
          </cell>
        </row>
        <row r="64">
          <cell r="A64" t="str">
            <v>a</v>
          </cell>
          <cell r="B64" t="str">
            <v>99-00</v>
          </cell>
          <cell r="C64">
            <v>420</v>
          </cell>
          <cell r="D64">
            <v>2700</v>
          </cell>
          <cell r="E64">
            <v>2614.8000000000002</v>
          </cell>
          <cell r="F64">
            <v>96.844444444444449</v>
          </cell>
          <cell r="G64">
            <v>81.3</v>
          </cell>
          <cell r="H64">
            <v>70.900000000000006</v>
          </cell>
          <cell r="I64">
            <v>260.7</v>
          </cell>
          <cell r="J64">
            <v>10</v>
          </cell>
          <cell r="K64">
            <v>420</v>
          </cell>
          <cell r="N64">
            <v>2054539</v>
          </cell>
          <cell r="O64">
            <v>0.79</v>
          </cell>
          <cell r="P64">
            <v>3915</v>
          </cell>
          <cell r="Q64">
            <v>1.5</v>
          </cell>
        </row>
        <row r="65">
          <cell r="A65" t="str">
            <v>b</v>
          </cell>
          <cell r="B65" t="str">
            <v>00-01</v>
          </cell>
          <cell r="C65">
            <v>420</v>
          </cell>
          <cell r="D65">
            <v>2800</v>
          </cell>
          <cell r="E65">
            <v>2792.13</v>
          </cell>
          <cell r="F65">
            <v>99.718928571428577</v>
          </cell>
          <cell r="G65">
            <v>87.16</v>
          </cell>
          <cell r="H65">
            <v>75.89</v>
          </cell>
          <cell r="I65">
            <v>267.75</v>
          </cell>
          <cell r="J65">
            <v>9.59</v>
          </cell>
          <cell r="K65">
            <v>420</v>
          </cell>
          <cell r="N65">
            <v>2056216</v>
          </cell>
          <cell r="O65">
            <v>0.73599999999999999</v>
          </cell>
          <cell r="P65">
            <v>3523</v>
          </cell>
          <cell r="Q65">
            <v>1.26</v>
          </cell>
        </row>
        <row r="66">
          <cell r="A66" t="str">
            <v>Average last 5 years</v>
          </cell>
          <cell r="B66" t="str">
            <v xml:space="preserve">Forced   Outage   </v>
          </cell>
          <cell r="C66" t="str">
            <v>MU</v>
          </cell>
          <cell r="D66">
            <v>2640</v>
          </cell>
          <cell r="E66">
            <v>2720.0279999999998</v>
          </cell>
          <cell r="F66">
            <v>103.16236841916255</v>
          </cell>
          <cell r="G66">
            <v>81.972000000000008</v>
          </cell>
          <cell r="H66">
            <v>73.895997390737122</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KORBA WEST II</v>
          </cell>
          <cell r="B67" t="str">
            <v>88-89</v>
          </cell>
          <cell r="C67">
            <v>420</v>
          </cell>
          <cell r="D67">
            <v>1500</v>
          </cell>
          <cell r="E67">
            <v>1556.53</v>
          </cell>
          <cell r="F67">
            <v>103.76866666666666</v>
          </cell>
          <cell r="G67">
            <v>60.17</v>
          </cell>
          <cell r="H67">
            <v>42.306207871276364</v>
          </cell>
          <cell r="I67" t="str">
            <v xml:space="preserve">  </v>
          </cell>
          <cell r="J67">
            <v>0</v>
          </cell>
          <cell r="K67">
            <v>405</v>
          </cell>
          <cell r="N67">
            <v>1243803</v>
          </cell>
          <cell r="O67">
            <v>0.79908707188425532</v>
          </cell>
          <cell r="P67">
            <v>10940</v>
          </cell>
          <cell r="Q67">
            <v>7.0284543182592047</v>
          </cell>
        </row>
        <row r="68">
          <cell r="A68" t="str">
            <v>b</v>
          </cell>
          <cell r="B68" t="str">
            <v>89-90</v>
          </cell>
          <cell r="C68">
            <v>420</v>
          </cell>
          <cell r="D68">
            <v>1560</v>
          </cell>
          <cell r="E68">
            <v>1683.58</v>
          </cell>
          <cell r="F68">
            <v>107.92179487179487</v>
          </cell>
          <cell r="G68">
            <v>52.76</v>
          </cell>
          <cell r="H68">
            <v>45.759404218308326</v>
          </cell>
          <cell r="I68">
            <v>149</v>
          </cell>
          <cell r="J68">
            <v>8.8501882892407853</v>
          </cell>
          <cell r="K68">
            <v>420</v>
          </cell>
          <cell r="N68">
            <v>1297045</v>
          </cell>
          <cell r="O68">
            <v>0.77040889057841033</v>
          </cell>
          <cell r="P68">
            <v>6352</v>
          </cell>
          <cell r="Q68">
            <v>3.7729124841112394</v>
          </cell>
        </row>
        <row r="69">
          <cell r="A69" t="str">
            <v>c</v>
          </cell>
          <cell r="B69" t="str">
            <v>90-91</v>
          </cell>
          <cell r="C69">
            <v>420</v>
          </cell>
          <cell r="D69">
            <v>2200</v>
          </cell>
          <cell r="E69">
            <v>2768.58</v>
          </cell>
          <cell r="F69">
            <v>125.84454545454545</v>
          </cell>
          <cell r="G69">
            <v>89.4</v>
          </cell>
          <cell r="H69">
            <v>75.249510763209386</v>
          </cell>
          <cell r="I69">
            <v>260.75</v>
          </cell>
          <cell r="J69">
            <v>9.4181854958137379</v>
          </cell>
          <cell r="K69">
            <v>420</v>
          </cell>
          <cell r="N69">
            <v>1963008</v>
          </cell>
          <cell r="O69">
            <v>0.70903062219621615</v>
          </cell>
          <cell r="P69">
            <v>7928</v>
          </cell>
          <cell r="Q69">
            <v>2.8635618259179796</v>
          </cell>
        </row>
        <row r="70">
          <cell r="A70" t="str">
            <v>d</v>
          </cell>
          <cell r="B70" t="str">
            <v>91-92</v>
          </cell>
          <cell r="C70">
            <v>420</v>
          </cell>
          <cell r="D70">
            <v>2200</v>
          </cell>
          <cell r="E70">
            <v>2041.83</v>
          </cell>
          <cell r="F70">
            <v>92.810454545454547</v>
          </cell>
          <cell r="G70">
            <v>68.760000000000005</v>
          </cell>
          <cell r="H70">
            <v>55.496575342465754</v>
          </cell>
          <cell r="I70">
            <v>189.16</v>
          </cell>
          <cell r="J70">
            <v>9.2642384527605142</v>
          </cell>
          <cell r="K70">
            <v>420</v>
          </cell>
          <cell r="N70">
            <v>1514144</v>
          </cell>
          <cell r="O70">
            <v>0.7415622260423248</v>
          </cell>
          <cell r="P70">
            <v>10879</v>
          </cell>
          <cell r="Q70">
            <v>5.3280635508343011</v>
          </cell>
        </row>
        <row r="71">
          <cell r="A71" t="str">
            <v>e</v>
          </cell>
          <cell r="B71" t="str">
            <v>92-93</v>
          </cell>
          <cell r="C71">
            <v>420</v>
          </cell>
          <cell r="D71">
            <v>2400</v>
          </cell>
          <cell r="E71">
            <v>2447.34</v>
          </cell>
          <cell r="F71">
            <v>101.9725</v>
          </cell>
          <cell r="G71">
            <v>81.28</v>
          </cell>
          <cell r="H71">
            <v>66.518264840182653</v>
          </cell>
          <cell r="I71">
            <v>229.96</v>
          </cell>
          <cell r="J71">
            <v>9.3963241723667323</v>
          </cell>
          <cell r="K71">
            <v>420</v>
          </cell>
          <cell r="N71">
            <v>1717518</v>
          </cell>
          <cell r="O71">
            <v>0.7017896982029469</v>
          </cell>
          <cell r="P71">
            <v>12666</v>
          </cell>
          <cell r="Q71">
            <v>5.1754149403025318</v>
          </cell>
        </row>
        <row r="72">
          <cell r="A72">
            <v>9</v>
          </cell>
          <cell r="B72" t="str">
            <v>93-94</v>
          </cell>
          <cell r="C72">
            <v>420</v>
          </cell>
          <cell r="D72">
            <v>2466</v>
          </cell>
          <cell r="E72">
            <v>2435.13</v>
          </cell>
          <cell r="F72">
            <v>98.748175182481745</v>
          </cell>
          <cell r="G72">
            <v>80.770465753424659</v>
          </cell>
          <cell r="H72">
            <v>66.186399217221137</v>
          </cell>
          <cell r="I72">
            <v>241.17</v>
          </cell>
          <cell r="J72">
            <v>9.9037833709083287</v>
          </cell>
          <cell r="K72">
            <v>425</v>
          </cell>
          <cell r="N72">
            <v>1694854</v>
          </cell>
          <cell r="O72">
            <v>0.69600144550804266</v>
          </cell>
          <cell r="P72">
            <v>12366.135</v>
          </cell>
          <cell r="Q72">
            <v>5.0782237498614036</v>
          </cell>
        </row>
        <row r="73">
          <cell r="A73">
            <v>10</v>
          </cell>
          <cell r="B73" t="str">
            <v>94-95</v>
          </cell>
          <cell r="C73">
            <v>420</v>
          </cell>
          <cell r="D73">
            <v>2520</v>
          </cell>
          <cell r="E73">
            <v>2072</v>
          </cell>
          <cell r="F73">
            <v>82.222222222222229</v>
          </cell>
          <cell r="G73">
            <v>67.599999999999994</v>
          </cell>
          <cell r="H73">
            <v>56.316590563165903</v>
          </cell>
          <cell r="I73">
            <v>207</v>
          </cell>
          <cell r="J73">
            <v>9.9903474903474905</v>
          </cell>
          <cell r="K73">
            <v>420</v>
          </cell>
          <cell r="N73">
            <v>1388587</v>
          </cell>
          <cell r="O73">
            <v>0.6701674710424711</v>
          </cell>
          <cell r="P73">
            <v>9236</v>
          </cell>
          <cell r="Q73">
            <v>4.4575289575289574</v>
          </cell>
        </row>
        <row r="74">
          <cell r="A74">
            <v>11</v>
          </cell>
          <cell r="B74" t="str">
            <v>95-96</v>
          </cell>
          <cell r="C74">
            <v>420</v>
          </cell>
          <cell r="D74">
            <v>2550</v>
          </cell>
          <cell r="E74">
            <v>2024.8</v>
          </cell>
          <cell r="F74">
            <v>79.403921568627453</v>
          </cell>
          <cell r="G74">
            <v>65</v>
          </cell>
          <cell r="H74">
            <v>54.883337670222915</v>
          </cell>
          <cell r="I74">
            <v>200</v>
          </cell>
          <cell r="J74">
            <v>9.8775187672856575</v>
          </cell>
          <cell r="K74">
            <v>420</v>
          </cell>
          <cell r="N74">
            <v>1377039</v>
          </cell>
          <cell r="O74">
            <v>0.68008642828921373</v>
          </cell>
          <cell r="P74">
            <v>6316</v>
          </cell>
          <cell r="Q74">
            <v>3.1193204267088106</v>
          </cell>
        </row>
        <row r="75">
          <cell r="A75">
            <v>12</v>
          </cell>
          <cell r="B75" t="str">
            <v>96-97</v>
          </cell>
          <cell r="C75">
            <v>420</v>
          </cell>
          <cell r="D75">
            <v>2550</v>
          </cell>
          <cell r="E75">
            <v>2200.6</v>
          </cell>
          <cell r="F75">
            <v>86.298039215686273</v>
          </cell>
          <cell r="G75">
            <v>73.599999999999994</v>
          </cell>
          <cell r="H75">
            <v>59.811915633833443</v>
          </cell>
          <cell r="I75">
            <v>221.2</v>
          </cell>
          <cell r="J75">
            <v>10.051804053439971</v>
          </cell>
          <cell r="K75">
            <v>415</v>
          </cell>
          <cell r="N75">
            <v>1498328</v>
          </cell>
          <cell r="O75">
            <v>0.68087248932109423</v>
          </cell>
          <cell r="P75">
            <v>8360</v>
          </cell>
          <cell r="Q75">
            <v>3.7989639189312006</v>
          </cell>
        </row>
        <row r="76">
          <cell r="A76">
            <v>13</v>
          </cell>
          <cell r="B76" t="str">
            <v>97-98</v>
          </cell>
          <cell r="C76">
            <v>420</v>
          </cell>
          <cell r="D76">
            <v>2550</v>
          </cell>
          <cell r="E76">
            <v>2273.96</v>
          </cell>
          <cell r="F76">
            <v>89.174901960784311</v>
          </cell>
          <cell r="G76">
            <v>72</v>
          </cell>
          <cell r="H76">
            <v>61.805827353772557</v>
          </cell>
          <cell r="I76">
            <v>227.755</v>
          </cell>
          <cell r="J76">
            <v>10.015787436894229</v>
          </cell>
          <cell r="K76">
            <v>440</v>
          </cell>
          <cell r="N76">
            <v>1574060</v>
          </cell>
          <cell r="O76">
            <v>0.69221094478354939</v>
          </cell>
          <cell r="P76">
            <v>5914</v>
          </cell>
          <cell r="Q76">
            <v>2.6007493535506341</v>
          </cell>
        </row>
        <row r="77">
          <cell r="A77">
            <v>14</v>
          </cell>
          <cell r="B77" t="str">
            <v>98-99</v>
          </cell>
          <cell r="C77">
            <v>420</v>
          </cell>
          <cell r="D77">
            <v>2600</v>
          </cell>
          <cell r="E77">
            <v>2594.7199999999998</v>
          </cell>
          <cell r="F77">
            <v>99.796923076923065</v>
          </cell>
          <cell r="G77">
            <v>81.5</v>
          </cell>
          <cell r="H77">
            <v>70.524026962383118</v>
          </cell>
          <cell r="I77">
            <v>265</v>
          </cell>
          <cell r="J77">
            <v>10.213048036011594</v>
          </cell>
          <cell r="K77">
            <v>420</v>
          </cell>
          <cell r="N77">
            <v>1991333</v>
          </cell>
          <cell r="O77">
            <v>0.76745583338471979</v>
          </cell>
          <cell r="P77">
            <v>3723</v>
          </cell>
          <cell r="Q77">
            <v>1.4348368995498553</v>
          </cell>
        </row>
        <row r="78">
          <cell r="A78">
            <v>15</v>
          </cell>
          <cell r="B78" t="str">
            <v>99-00</v>
          </cell>
          <cell r="C78">
            <v>420</v>
          </cell>
          <cell r="D78">
            <v>2600</v>
          </cell>
          <cell r="E78">
            <v>2403.0500000000002</v>
          </cell>
          <cell r="F78">
            <v>92.425000000000011</v>
          </cell>
          <cell r="G78">
            <v>73.599999999999994</v>
          </cell>
          <cell r="H78">
            <v>65.099999999999994</v>
          </cell>
          <cell r="I78">
            <v>228</v>
          </cell>
          <cell r="J78">
            <v>9.5</v>
          </cell>
          <cell r="K78">
            <v>415</v>
          </cell>
          <cell r="N78">
            <v>1887370</v>
          </cell>
          <cell r="O78">
            <v>0.79</v>
          </cell>
          <cell r="P78">
            <v>3313</v>
          </cell>
          <cell r="Q78">
            <v>1.38</v>
          </cell>
        </row>
        <row r="79">
          <cell r="A79">
            <v>16</v>
          </cell>
          <cell r="B79" t="str">
            <v>00-01</v>
          </cell>
          <cell r="C79">
            <v>420</v>
          </cell>
          <cell r="D79">
            <v>2650</v>
          </cell>
          <cell r="E79">
            <v>2163.6799999999998</v>
          </cell>
          <cell r="F79">
            <v>81.648301886792439</v>
          </cell>
          <cell r="G79">
            <v>67.81</v>
          </cell>
          <cell r="H79">
            <v>58.81</v>
          </cell>
          <cell r="I79">
            <v>216.61</v>
          </cell>
          <cell r="J79">
            <v>10.01</v>
          </cell>
          <cell r="K79">
            <v>410</v>
          </cell>
          <cell r="N79">
            <v>1588622</v>
          </cell>
          <cell r="O79">
            <v>0.73399999999999999</v>
          </cell>
          <cell r="P79">
            <v>3183</v>
          </cell>
          <cell r="Q79">
            <v>1.47</v>
          </cell>
        </row>
        <row r="80">
          <cell r="A80" t="str">
            <v>Average last 5 years</v>
          </cell>
          <cell r="B80" t="str">
            <v>Thermal  Auxiliary Consumption   Percentage</v>
          </cell>
          <cell r="C80" t="str">
            <v>%</v>
          </cell>
          <cell r="D80">
            <v>2590</v>
          </cell>
          <cell r="E80">
            <v>2327.2019999999998</v>
          </cell>
          <cell r="F80">
            <v>89.868633228037226</v>
          </cell>
          <cell r="G80">
            <v>73.701999999999998</v>
          </cell>
          <cell r="H80">
            <v>63.210353989997827</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t="str">
            <v xml:space="preserve">KORBA WEST </v>
          </cell>
          <cell r="B81" t="str">
            <v>88-89</v>
          </cell>
          <cell r="C81">
            <v>840</v>
          </cell>
          <cell r="D81">
            <v>3500</v>
          </cell>
          <cell r="E81">
            <v>3620.8</v>
          </cell>
          <cell r="F81">
            <v>103.45142857142856</v>
          </cell>
          <cell r="G81">
            <v>64.435000000000002</v>
          </cell>
          <cell r="H81" t="str">
            <v>***</v>
          </cell>
          <cell r="I81">
            <v>0</v>
          </cell>
          <cell r="J81">
            <v>0</v>
          </cell>
          <cell r="K81" t="str">
            <v xml:space="preserve"> </v>
          </cell>
          <cell r="L81" t="str">
            <v xml:space="preserve"> </v>
          </cell>
          <cell r="M81" t="str">
            <v xml:space="preserve"> </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t="str">
            <v xml:space="preserve"> </v>
          </cell>
          <cell r="L82">
            <v>159088</v>
          </cell>
          <cell r="M82">
            <v>3250742</v>
          </cell>
          <cell r="N82">
            <v>3102469</v>
          </cell>
          <cell r="O82">
            <v>0.76539539450636751</v>
          </cell>
          <cell r="P82">
            <v>16389</v>
          </cell>
          <cell r="Q82">
            <v>4.0432523646698346</v>
          </cell>
        </row>
        <row r="83">
          <cell r="A83">
            <v>1</v>
          </cell>
          <cell r="B83" t="str">
            <v>90-91</v>
          </cell>
          <cell r="C83">
            <v>840</v>
          </cell>
          <cell r="D83">
            <v>4400</v>
          </cell>
          <cell r="E83">
            <v>5060.96</v>
          </cell>
          <cell r="F83">
            <v>115.02181818181818</v>
          </cell>
          <cell r="G83">
            <v>81.45</v>
          </cell>
          <cell r="H83">
            <v>68.777995216351385</v>
          </cell>
          <cell r="I83">
            <v>473.01</v>
          </cell>
          <cell r="J83">
            <v>9.3462505137365248</v>
          </cell>
          <cell r="K83" t="str">
            <v xml:space="preserve"> </v>
          </cell>
          <cell r="L83">
            <v>313023</v>
          </cell>
          <cell r="M83">
            <v>3289767</v>
          </cell>
          <cell r="N83">
            <v>3582839</v>
          </cell>
          <cell r="O83">
            <v>0.7079366365274572</v>
          </cell>
          <cell r="P83">
            <v>19299</v>
          </cell>
          <cell r="Q83">
            <v>3.8133081470709116</v>
          </cell>
        </row>
        <row r="84">
          <cell r="A84">
            <v>2</v>
          </cell>
          <cell r="B84" t="str">
            <v>91-92</v>
          </cell>
          <cell r="C84">
            <v>840</v>
          </cell>
          <cell r="D84">
            <v>4400</v>
          </cell>
          <cell r="E84">
            <v>4649.3999999999996</v>
          </cell>
          <cell r="F84">
            <v>105.66818181818181</v>
          </cell>
          <cell r="G84">
            <v>78.054999999999993</v>
          </cell>
          <cell r="H84">
            <v>63.012295081967203</v>
          </cell>
          <cell r="I84">
            <v>444.15999999999997</v>
          </cell>
          <cell r="J84">
            <v>9.5530606099711797</v>
          </cell>
          <cell r="K84" t="str">
            <v xml:space="preserve"> </v>
          </cell>
          <cell r="L84">
            <v>123702</v>
          </cell>
          <cell r="M84">
            <v>3358189</v>
          </cell>
          <cell r="N84">
            <v>3468442</v>
          </cell>
          <cell r="O84">
            <v>0.74599776315223465</v>
          </cell>
          <cell r="P84">
            <v>25027</v>
          </cell>
          <cell r="Q84">
            <v>5.3828450982922531</v>
          </cell>
        </row>
        <row r="85">
          <cell r="A85">
            <v>3</v>
          </cell>
          <cell r="B85" t="str">
            <v>92-93</v>
          </cell>
          <cell r="C85">
            <v>840</v>
          </cell>
          <cell r="D85">
            <v>4800</v>
          </cell>
          <cell r="E85">
            <v>4853.41</v>
          </cell>
          <cell r="F85">
            <v>101.11270833333333</v>
          </cell>
          <cell r="G85">
            <v>79.78</v>
          </cell>
          <cell r="H85">
            <v>65.957409219395515</v>
          </cell>
          <cell r="I85">
            <v>454.39</v>
          </cell>
          <cell r="J85">
            <v>9.3622834254678668</v>
          </cell>
          <cell r="K85" t="str">
            <v xml:space="preserve"> </v>
          </cell>
          <cell r="L85">
            <v>99032</v>
          </cell>
          <cell r="M85">
            <v>3326019</v>
          </cell>
          <cell r="N85">
            <v>3418029</v>
          </cell>
          <cell r="O85">
            <v>0.70425309215582443</v>
          </cell>
          <cell r="P85">
            <v>25049</v>
          </cell>
          <cell r="Q85">
            <v>5.1611135263659982</v>
          </cell>
        </row>
        <row r="86">
          <cell r="A86">
            <v>4</v>
          </cell>
          <cell r="B86" t="str">
            <v>93-94</v>
          </cell>
          <cell r="C86">
            <v>840</v>
          </cell>
          <cell r="D86">
            <v>5000</v>
          </cell>
          <cell r="E86">
            <v>4940.0300000000007</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94-95</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t="str">
            <v/>
          </cell>
          <cell r="B92" t="str">
            <v>99-00</v>
          </cell>
          <cell r="C92">
            <v>840</v>
          </cell>
          <cell r="D92">
            <v>5300</v>
          </cell>
          <cell r="E92">
            <v>5017.8999999999996</v>
          </cell>
          <cell r="F92">
            <v>94.677358490566021</v>
          </cell>
          <cell r="G92">
            <v>77.5</v>
          </cell>
          <cell r="H92">
            <v>68</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00-01</v>
          </cell>
          <cell r="C93">
            <v>840</v>
          </cell>
          <cell r="D93">
            <v>5450</v>
          </cell>
          <cell r="E93">
            <v>4955.8099999999995</v>
          </cell>
          <cell r="F93">
            <v>90.932293577981639</v>
          </cell>
          <cell r="G93">
            <v>77.48</v>
          </cell>
          <cell r="H93">
            <v>67.349999999999994</v>
          </cell>
          <cell r="I93">
            <v>484.36</v>
          </cell>
          <cell r="J93">
            <v>9.773578890231871</v>
          </cell>
          <cell r="K93">
            <v>820</v>
          </cell>
          <cell r="L93">
            <v>259409</v>
          </cell>
          <cell r="M93">
            <v>3227819</v>
          </cell>
          <cell r="N93">
            <v>3644838</v>
          </cell>
          <cell r="O93">
            <v>0.73499999999999999</v>
          </cell>
          <cell r="P93">
            <v>6706</v>
          </cell>
          <cell r="Q93">
            <v>1.35</v>
          </cell>
        </row>
        <row r="94">
          <cell r="A94" t="str">
            <v>Average last 5 years</v>
          </cell>
          <cell r="B94" t="str">
            <v xml:space="preserve">Target (PLAN )   </v>
          </cell>
          <cell r="C94" t="str">
            <v>MU</v>
          </cell>
          <cell r="D94">
            <v>5230</v>
          </cell>
          <cell r="E94">
            <v>5047.24</v>
          </cell>
          <cell r="F94">
            <v>96.573763747042861</v>
          </cell>
          <cell r="G94">
            <v>76.955999999999989</v>
          </cell>
          <cell r="H94">
            <v>68.553175690367468</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t="str">
            <v>STATE  LOAD  DESPATCH  CENTRE  M.P.E.B.  JABALPUR</v>
          </cell>
          <cell r="B95" t="str">
            <v>ACHIEVEMENT Percentage of ( 2 )</v>
          </cell>
          <cell r="C95" t="str">
            <v>%</v>
          </cell>
          <cell r="D95">
            <v>74.768492377188025</v>
          </cell>
          <cell r="E95">
            <v>69.277005347593587</v>
          </cell>
          <cell r="F95">
            <v>85.009625668449203</v>
          </cell>
          <cell r="G95">
            <v>116.05466839694657</v>
          </cell>
          <cell r="H95">
            <v>105.23</v>
          </cell>
        </row>
        <row r="96">
          <cell r="A96" t="str">
            <v>AMARKANTAK</v>
          </cell>
          <cell r="B96" t="str">
            <v>Hydel Generation M.P.Share</v>
          </cell>
          <cell r="C96" t="str">
            <v>MU</v>
          </cell>
          <cell r="D96">
            <v>1498.64</v>
          </cell>
          <cell r="E96">
            <v>1511.19</v>
          </cell>
          <cell r="F96">
            <v>1658.26</v>
          </cell>
          <cell r="G96">
            <v>2415.3094620000002</v>
          </cell>
          <cell r="H96">
            <v>2253.15</v>
          </cell>
        </row>
        <row r="97">
          <cell r="A97" t="str">
            <v>STATION NAME</v>
          </cell>
          <cell r="B97" t="str">
            <v>YEAR</v>
          </cell>
          <cell r="C97" t="str">
            <v>CAPACITY</v>
          </cell>
          <cell r="D97" t="str">
            <v>TARGET</v>
          </cell>
          <cell r="E97" t="str">
            <v>ACTUAL GENE.</v>
          </cell>
          <cell r="F97" t="str">
            <v>ACHIEVE-MENT</v>
          </cell>
          <cell r="G97" t="str">
            <v>AVAIL-ABILITY</v>
          </cell>
          <cell r="H97" t="str">
            <v>P.L.F.</v>
          </cell>
          <cell r="I97" t="str">
            <v>AUXILIARY CONSUMPTION</v>
          </cell>
          <cell r="K97" t="str">
            <v>MAXIMUM DEMAND</v>
          </cell>
          <cell r="L97" t="str">
            <v>COAL IN MT</v>
          </cell>
          <cell r="N97" t="str">
            <v>COAL CONSUMED</v>
          </cell>
          <cell r="P97" t="str">
            <v>FUEL OIL CONSUMPTION</v>
          </cell>
        </row>
        <row r="98">
          <cell r="A98">
            <v>6</v>
          </cell>
          <cell r="B98" t="str">
            <v>ACHIEVEMENT Percentage of ( 5 )</v>
          </cell>
          <cell r="C98" t="str">
            <v>MW</v>
          </cell>
          <cell r="D98" t="str">
            <v>MKwh</v>
          </cell>
          <cell r="E98" t="str">
            <v>MKwh</v>
          </cell>
          <cell r="F98" t="str">
            <v>%</v>
          </cell>
          <cell r="G98" t="str">
            <v>%</v>
          </cell>
          <cell r="H98" t="str">
            <v>%</v>
          </cell>
          <cell r="I98" t="str">
            <v>MKwh</v>
          </cell>
          <cell r="J98" t="str">
            <v>%</v>
          </cell>
          <cell r="K98" t="str">
            <v>MW</v>
          </cell>
          <cell r="L98" t="str">
            <v>OP.STOCK</v>
          </cell>
          <cell r="M98" t="str">
            <v>RECIEPT</v>
          </cell>
          <cell r="N98" t="str">
            <v>MT</v>
          </cell>
          <cell r="O98" t="str">
            <v>Kg/kWH</v>
          </cell>
          <cell r="P98" t="str">
            <v>KL</v>
          </cell>
          <cell r="Q98" t="str">
            <v>ml/KWH</v>
          </cell>
        </row>
        <row r="99">
          <cell r="A99" t="str">
            <v>AMARKANTAK I</v>
          </cell>
          <cell r="B99" t="str">
            <v>88-89</v>
          </cell>
          <cell r="C99">
            <v>60</v>
          </cell>
          <cell r="D99">
            <v>300</v>
          </cell>
          <cell r="E99">
            <v>375.32</v>
          </cell>
          <cell r="F99">
            <v>125.10666666666667</v>
          </cell>
          <cell r="G99">
            <v>87.49</v>
          </cell>
          <cell r="H99">
            <v>71.407914764079152</v>
          </cell>
          <cell r="I99" t="str">
            <v xml:space="preserve"> </v>
          </cell>
          <cell r="J99">
            <v>0</v>
          </cell>
          <cell r="K99">
            <v>61</v>
          </cell>
          <cell r="N99">
            <v>252980</v>
          </cell>
          <cell r="O99">
            <v>0.6740381541084941</v>
          </cell>
          <cell r="P99">
            <v>2143</v>
          </cell>
          <cell r="Q99">
            <v>5.7097943088564422</v>
          </cell>
        </row>
        <row r="100">
          <cell r="A100" t="str">
            <v>a</v>
          </cell>
          <cell r="B100" t="str">
            <v>89-90</v>
          </cell>
          <cell r="C100">
            <v>60</v>
          </cell>
          <cell r="D100">
            <v>330</v>
          </cell>
          <cell r="E100">
            <v>348.29</v>
          </cell>
          <cell r="F100">
            <v>105.54242424242425</v>
          </cell>
          <cell r="G100">
            <v>94.49</v>
          </cell>
          <cell r="H100">
            <v>66.265220700152213</v>
          </cell>
          <cell r="I100" t="str">
            <v xml:space="preserve"> </v>
          </cell>
          <cell r="J100">
            <v>0</v>
          </cell>
          <cell r="K100">
            <v>60</v>
          </cell>
          <cell r="N100">
            <v>241459</v>
          </cell>
          <cell r="O100">
            <v>0.69326997616928421</v>
          </cell>
          <cell r="P100">
            <v>3121</v>
          </cell>
          <cell r="Q100">
            <v>8.9609233684573191</v>
          </cell>
        </row>
        <row r="101">
          <cell r="A101" t="str">
            <v/>
          </cell>
          <cell r="B101" t="str">
            <v>90-91</v>
          </cell>
          <cell r="C101">
            <v>60</v>
          </cell>
          <cell r="D101">
            <v>350</v>
          </cell>
          <cell r="E101">
            <v>212.54</v>
          </cell>
          <cell r="F101">
            <v>60.725714285714282</v>
          </cell>
          <cell r="G101">
            <v>55.52</v>
          </cell>
          <cell r="H101">
            <v>40.43759512937595</v>
          </cell>
          <cell r="I101">
            <v>21.16</v>
          </cell>
          <cell r="J101">
            <v>9.9557730309588788</v>
          </cell>
          <cell r="K101">
            <v>58</v>
          </cell>
          <cell r="N101">
            <v>159372</v>
          </cell>
          <cell r="O101">
            <v>0.74984473510868543</v>
          </cell>
          <cell r="P101">
            <v>5292</v>
          </cell>
          <cell r="Q101">
            <v>24.898842570810203</v>
          </cell>
        </row>
        <row r="102">
          <cell r="A102" t="str">
            <v>b</v>
          </cell>
          <cell r="B102" t="str">
            <v>91-92</v>
          </cell>
          <cell r="C102">
            <v>60</v>
          </cell>
          <cell r="D102">
            <v>350</v>
          </cell>
          <cell r="E102">
            <v>166.64</v>
          </cell>
          <cell r="F102">
            <v>47.611428571428569</v>
          </cell>
          <cell r="G102">
            <v>42.98</v>
          </cell>
          <cell r="H102">
            <v>31.704718417047182</v>
          </cell>
          <cell r="I102">
            <v>17.46</v>
          </cell>
          <cell r="J102">
            <v>10.477676428228518</v>
          </cell>
          <cell r="K102">
            <v>30</v>
          </cell>
          <cell r="N102">
            <v>126486</v>
          </cell>
          <cell r="O102">
            <v>0.75903744599135858</v>
          </cell>
          <cell r="P102">
            <v>1923</v>
          </cell>
          <cell r="Q102">
            <v>11.539846375420067</v>
          </cell>
        </row>
        <row r="103">
          <cell r="A103" t="str">
            <v/>
          </cell>
          <cell r="B103" t="str">
            <v>92-93</v>
          </cell>
          <cell r="C103">
            <v>60</v>
          </cell>
          <cell r="D103">
            <v>300</v>
          </cell>
          <cell r="E103">
            <v>284.81</v>
          </cell>
          <cell r="F103">
            <v>94.936666666666667</v>
          </cell>
          <cell r="G103">
            <v>87.9</v>
          </cell>
          <cell r="H103">
            <v>54.965647676393395</v>
          </cell>
          <cell r="I103">
            <v>29.54</v>
          </cell>
          <cell r="J103">
            <v>10.371826831923036</v>
          </cell>
          <cell r="K103">
            <v>50</v>
          </cell>
          <cell r="N103">
            <v>205036</v>
          </cell>
          <cell r="O103">
            <v>0.71990449773533227</v>
          </cell>
          <cell r="P103">
            <v>3864</v>
          </cell>
          <cell r="Q103">
            <v>13.566939363084161</v>
          </cell>
        </row>
        <row r="104">
          <cell r="A104" t="str">
            <v>c</v>
          </cell>
          <cell r="B104" t="str">
            <v>93-94</v>
          </cell>
          <cell r="C104">
            <v>50</v>
          </cell>
          <cell r="D104">
            <v>300</v>
          </cell>
          <cell r="E104">
            <v>304.72899999999998</v>
          </cell>
          <cell r="F104">
            <v>101.57633333333332</v>
          </cell>
          <cell r="G104">
            <v>92.043342465753426</v>
          </cell>
          <cell r="H104">
            <v>69.572831050228316</v>
          </cell>
          <cell r="I104">
            <v>32.345314999999999</v>
          </cell>
          <cell r="J104">
            <v>10.614452513544823</v>
          </cell>
          <cell r="K104">
            <v>50</v>
          </cell>
          <cell r="N104">
            <v>211815.05</v>
          </cell>
          <cell r="O104">
            <v>0.69509318115440277</v>
          </cell>
          <cell r="P104">
            <v>3308.25</v>
          </cell>
          <cell r="Q104">
            <v>10.856367460924297</v>
          </cell>
        </row>
        <row r="105">
          <cell r="A105" t="str">
            <v/>
          </cell>
          <cell r="B105" t="str">
            <v>94-95</v>
          </cell>
          <cell r="C105">
            <v>50</v>
          </cell>
          <cell r="D105">
            <v>300</v>
          </cell>
          <cell r="E105">
            <v>304.39999999999998</v>
          </cell>
          <cell r="F105">
            <v>101.46666666666665</v>
          </cell>
          <cell r="G105">
            <v>89.8</v>
          </cell>
          <cell r="H105">
            <v>69.49771689497716</v>
          </cell>
          <cell r="I105">
            <v>31.2</v>
          </cell>
          <cell r="J105">
            <v>10.249671484888305</v>
          </cell>
          <cell r="K105">
            <v>50</v>
          </cell>
          <cell r="N105">
            <v>214826</v>
          </cell>
          <cell r="O105">
            <v>0.70573587385019709</v>
          </cell>
          <cell r="P105">
            <v>5006</v>
          </cell>
          <cell r="Q105">
            <v>16.445466491458607</v>
          </cell>
        </row>
        <row r="106">
          <cell r="A106" t="str">
            <v>d</v>
          </cell>
          <cell r="B106" t="str">
            <v>95-96</v>
          </cell>
          <cell r="C106">
            <v>50</v>
          </cell>
          <cell r="D106">
            <v>300</v>
          </cell>
          <cell r="E106">
            <v>294.39999999999998</v>
          </cell>
          <cell r="F106">
            <v>98.133333333333326</v>
          </cell>
          <cell r="G106">
            <v>90.6</v>
          </cell>
          <cell r="H106">
            <v>67.030965391621123</v>
          </cell>
          <cell r="I106">
            <v>32.299999999999997</v>
          </cell>
          <cell r="J106">
            <v>10.971467391304348</v>
          </cell>
          <cell r="K106">
            <v>50</v>
          </cell>
          <cell r="N106">
            <v>204359</v>
          </cell>
          <cell r="O106">
            <v>0.69415421195652172</v>
          </cell>
          <cell r="P106">
            <v>2743</v>
          </cell>
          <cell r="Q106">
            <v>9.3172554347826093</v>
          </cell>
        </row>
        <row r="107">
          <cell r="A107" t="str">
            <v/>
          </cell>
          <cell r="B107" t="str">
            <v>96-97</v>
          </cell>
          <cell r="C107">
            <v>50</v>
          </cell>
          <cell r="D107">
            <v>300</v>
          </cell>
          <cell r="E107">
            <v>258.89999999999998</v>
          </cell>
          <cell r="F107">
            <v>86.299999999999983</v>
          </cell>
          <cell r="G107">
            <v>85.6</v>
          </cell>
          <cell r="H107">
            <v>59.10958904109588</v>
          </cell>
          <cell r="I107">
            <v>29</v>
          </cell>
          <cell r="J107">
            <v>11.201235998455003</v>
          </cell>
          <cell r="K107">
            <v>49</v>
          </cell>
          <cell r="N107">
            <v>177922</v>
          </cell>
          <cell r="O107">
            <v>0.68722286597141757</v>
          </cell>
          <cell r="P107">
            <v>2063</v>
          </cell>
          <cell r="Q107">
            <v>7.9683275395905762</v>
          </cell>
        </row>
        <row r="108">
          <cell r="A108" t="str">
            <v>e</v>
          </cell>
          <cell r="B108" t="str">
            <v>97-98</v>
          </cell>
          <cell r="C108">
            <v>50</v>
          </cell>
          <cell r="D108">
            <v>300</v>
          </cell>
          <cell r="E108">
            <v>251.97</v>
          </cell>
          <cell r="F108">
            <v>83.99</v>
          </cell>
          <cell r="G108">
            <v>87.6</v>
          </cell>
          <cell r="H108">
            <v>57.527397260273972</v>
          </cell>
          <cell r="I108">
            <v>30.628</v>
          </cell>
          <cell r="J108">
            <v>12.155415327221496</v>
          </cell>
          <cell r="K108">
            <v>50</v>
          </cell>
          <cell r="N108">
            <v>174156</v>
          </cell>
          <cell r="O108">
            <v>0.69117752113346831</v>
          </cell>
          <cell r="P108">
            <v>2350</v>
          </cell>
          <cell r="Q108">
            <v>9.3265071238639514</v>
          </cell>
        </row>
        <row r="109">
          <cell r="A109" t="str">
            <v/>
          </cell>
          <cell r="B109" t="str">
            <v>98-99</v>
          </cell>
          <cell r="C109">
            <v>50</v>
          </cell>
          <cell r="D109">
            <v>300</v>
          </cell>
          <cell r="E109">
            <v>202.17</v>
          </cell>
          <cell r="F109">
            <v>67.39</v>
          </cell>
          <cell r="G109">
            <v>76</v>
          </cell>
          <cell r="H109">
            <v>46.157534246575345</v>
          </cell>
          <cell r="I109">
            <v>25.5</v>
          </cell>
          <cell r="J109">
            <v>12.613147351239057</v>
          </cell>
          <cell r="K109">
            <v>49</v>
          </cell>
          <cell r="N109">
            <v>135455</v>
          </cell>
          <cell r="O109">
            <v>0.67000544096552406</v>
          </cell>
          <cell r="P109">
            <v>2779</v>
          </cell>
          <cell r="Q109">
            <v>13.745857446703271</v>
          </cell>
        </row>
        <row r="110">
          <cell r="A110" t="str">
            <v>f</v>
          </cell>
          <cell r="B110" t="str">
            <v>99-00</v>
          </cell>
          <cell r="C110">
            <v>50</v>
          </cell>
          <cell r="D110">
            <v>250</v>
          </cell>
          <cell r="E110">
            <v>248.2</v>
          </cell>
          <cell r="F110">
            <v>98.9</v>
          </cell>
          <cell r="G110">
            <v>86.2</v>
          </cell>
          <cell r="H110">
            <v>56.5</v>
          </cell>
          <cell r="I110">
            <v>29.3</v>
          </cell>
          <cell r="J110">
            <v>11.804995970991136</v>
          </cell>
          <cell r="K110">
            <v>50</v>
          </cell>
          <cell r="N110">
            <v>170257</v>
          </cell>
          <cell r="O110">
            <v>0.68596696212731667</v>
          </cell>
          <cell r="P110">
            <v>1599</v>
          </cell>
          <cell r="Q110">
            <v>6.4423851732473816</v>
          </cell>
        </row>
        <row r="111">
          <cell r="A111" t="str">
            <v/>
          </cell>
          <cell r="B111" t="str">
            <v>00-01</v>
          </cell>
          <cell r="C111">
            <v>50</v>
          </cell>
          <cell r="D111">
            <v>250</v>
          </cell>
          <cell r="E111">
            <v>180.96</v>
          </cell>
          <cell r="F111">
            <v>71.81</v>
          </cell>
          <cell r="G111">
            <v>64.22</v>
          </cell>
          <cell r="H111">
            <v>41.31</v>
          </cell>
          <cell r="I111">
            <v>23.72</v>
          </cell>
          <cell r="J111">
            <v>13.1078691423519</v>
          </cell>
          <cell r="K111">
            <v>49</v>
          </cell>
          <cell r="N111">
            <v>131657</v>
          </cell>
          <cell r="O111">
            <v>0.72754752431476566</v>
          </cell>
          <cell r="P111">
            <v>2944</v>
          </cell>
          <cell r="Q111">
            <v>16.268788682581786</v>
          </cell>
        </row>
        <row r="112">
          <cell r="A112" t="str">
            <v>Average last 5 years</v>
          </cell>
          <cell r="B112" t="str">
            <v xml:space="preserve">RAJGHAT     MDDL    </v>
          </cell>
          <cell r="C112" t="str">
            <v>M</v>
          </cell>
          <cell r="D112">
            <v>280</v>
          </cell>
          <cell r="E112">
            <v>228.44</v>
          </cell>
          <cell r="F112">
            <v>81.677999999999983</v>
          </cell>
          <cell r="G112">
            <v>79.924000000000007</v>
          </cell>
          <cell r="H112">
            <v>52.120904109589034</v>
          </cell>
          <cell r="I112">
            <v>27.6296</v>
          </cell>
          <cell r="J112">
            <v>12.176532758051719</v>
          </cell>
          <cell r="K112">
            <v>49.4</v>
          </cell>
          <cell r="N112">
            <v>157889.4</v>
          </cell>
          <cell r="O112">
            <v>0.69238406290249854</v>
          </cell>
          <cell r="P112">
            <v>2347</v>
          </cell>
          <cell r="Q112">
            <v>10.750373193197394</v>
          </cell>
        </row>
        <row r="113">
          <cell r="A113" t="str">
            <v>AMARKANTAK II</v>
          </cell>
          <cell r="B113" t="str">
            <v>88-89</v>
          </cell>
          <cell r="C113">
            <v>240</v>
          </cell>
          <cell r="D113">
            <v>1250</v>
          </cell>
          <cell r="E113">
            <v>1209.6600000000001</v>
          </cell>
          <cell r="F113">
            <v>96.772800000000018</v>
          </cell>
          <cell r="G113">
            <v>78.19</v>
          </cell>
          <cell r="H113">
            <v>57.537100456621012</v>
          </cell>
          <cell r="I113" t="str">
            <v xml:space="preserve"> </v>
          </cell>
          <cell r="J113">
            <v>0</v>
          </cell>
          <cell r="K113">
            <v>230</v>
          </cell>
          <cell r="N113">
            <v>908200</v>
          </cell>
          <cell r="O113">
            <v>0.75078947803515039</v>
          </cell>
          <cell r="P113">
            <v>9857</v>
          </cell>
          <cell r="Q113">
            <v>8.1485706727510205</v>
          </cell>
        </row>
        <row r="114">
          <cell r="A114" t="str">
            <v/>
          </cell>
          <cell r="B114" t="str">
            <v>89-90</v>
          </cell>
          <cell r="C114">
            <v>240</v>
          </cell>
          <cell r="D114">
            <v>1310</v>
          </cell>
          <cell r="E114">
            <v>988.66</v>
          </cell>
          <cell r="F114">
            <v>75.470229007633591</v>
          </cell>
          <cell r="G114">
            <v>69.31</v>
          </cell>
          <cell r="H114">
            <v>47.025304414003045</v>
          </cell>
          <cell r="I114">
            <v>103</v>
          </cell>
          <cell r="J114">
            <v>10.418141727186294</v>
          </cell>
          <cell r="K114">
            <v>200</v>
          </cell>
          <cell r="N114">
            <v>755851</v>
          </cell>
          <cell r="O114">
            <v>0.76452066433354238</v>
          </cell>
          <cell r="P114">
            <v>11664</v>
          </cell>
          <cell r="Q114">
            <v>11.797786903485527</v>
          </cell>
        </row>
        <row r="115">
          <cell r="A115">
            <v>1</v>
          </cell>
          <cell r="B115" t="str">
            <v>90-91</v>
          </cell>
          <cell r="C115">
            <v>240</v>
          </cell>
          <cell r="D115">
            <v>1250</v>
          </cell>
          <cell r="E115">
            <v>791.39</v>
          </cell>
          <cell r="F115">
            <v>63.311199999999999</v>
          </cell>
          <cell r="G115">
            <v>55.96</v>
          </cell>
          <cell r="H115">
            <v>37.642218417047182</v>
          </cell>
          <cell r="I115">
            <v>87.17</v>
          </cell>
          <cell r="J115">
            <v>11.014796750022112</v>
          </cell>
          <cell r="K115">
            <v>190</v>
          </cell>
          <cell r="N115">
            <v>643580</v>
          </cell>
          <cell r="O115">
            <v>0.81322735945614677</v>
          </cell>
          <cell r="P115">
            <v>10599</v>
          </cell>
          <cell r="Q115">
            <v>13.39289098927204</v>
          </cell>
        </row>
        <row r="116">
          <cell r="A116">
            <v>2</v>
          </cell>
          <cell r="B116" t="str">
            <v>91-92</v>
          </cell>
          <cell r="C116">
            <v>240</v>
          </cell>
          <cell r="D116">
            <v>1200</v>
          </cell>
          <cell r="E116">
            <v>902.14</v>
          </cell>
          <cell r="F116">
            <v>75.178333333333327</v>
          </cell>
          <cell r="G116">
            <v>63.18</v>
          </cell>
          <cell r="H116">
            <v>42.792767152398298</v>
          </cell>
          <cell r="I116">
            <v>96.78</v>
          </cell>
          <cell r="J116">
            <v>10.727824949564368</v>
          </cell>
          <cell r="K116">
            <v>195</v>
          </cell>
          <cell r="N116">
            <v>744899</v>
          </cell>
          <cell r="O116">
            <v>0.82570221916775666</v>
          </cell>
          <cell r="P116">
            <v>13223</v>
          </cell>
          <cell r="Q116">
            <v>14.657370252954086</v>
          </cell>
        </row>
        <row r="117">
          <cell r="A117">
            <v>3</v>
          </cell>
          <cell r="B117" t="str">
            <v>92-93</v>
          </cell>
          <cell r="C117">
            <v>240</v>
          </cell>
          <cell r="D117">
            <v>1200</v>
          </cell>
          <cell r="E117">
            <v>991.24</v>
          </cell>
          <cell r="F117">
            <v>82.603333333333339</v>
          </cell>
          <cell r="G117">
            <v>70.989999999999995</v>
          </cell>
          <cell r="H117">
            <v>47.148021308980212</v>
          </cell>
          <cell r="I117">
            <v>106.47</v>
          </cell>
          <cell r="J117">
            <v>10.741091965618821</v>
          </cell>
          <cell r="K117">
            <v>211</v>
          </cell>
          <cell r="N117">
            <v>797288</v>
          </cell>
          <cell r="O117">
            <v>0.80433396553811387</v>
          </cell>
          <cell r="P117">
            <v>13294</v>
          </cell>
          <cell r="Q117">
            <v>13.411484605141036</v>
          </cell>
        </row>
        <row r="118">
          <cell r="A118" t="str">
            <v>Note :-</v>
          </cell>
          <cell r="B118" t="str">
            <v>93-94</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N118">
            <v>783385.61</v>
          </cell>
          <cell r="O118">
            <v>0.73178318679963683</v>
          </cell>
          <cell r="P118">
            <v>10814.63</v>
          </cell>
          <cell r="Q118">
            <v>10.10225909748196</v>
          </cell>
        </row>
        <row r="119">
          <cell r="A119" t="str">
            <v>Note :-</v>
          </cell>
          <cell r="B119" t="str">
            <v>94-95</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N122">
            <v>385051</v>
          </cell>
          <cell r="O122">
            <v>0.73167445749249416</v>
          </cell>
          <cell r="P122">
            <v>3240</v>
          </cell>
          <cell r="Q122">
            <v>6.1566526051761485</v>
          </cell>
        </row>
        <row r="123">
          <cell r="A123" t="str">
            <v/>
          </cell>
          <cell r="B123" t="str">
            <v>98-99</v>
          </cell>
          <cell r="C123">
            <v>240</v>
          </cell>
          <cell r="D123">
            <v>1200</v>
          </cell>
          <cell r="E123">
            <v>997.7</v>
          </cell>
          <cell r="F123">
            <v>83.141666666666666</v>
          </cell>
          <cell r="G123">
            <v>58.8</v>
          </cell>
          <cell r="H123">
            <v>47.455289193302889</v>
          </cell>
          <cell r="I123">
            <v>97.4</v>
          </cell>
          <cell r="J123">
            <v>9.7624536433797733</v>
          </cell>
          <cell r="K123">
            <v>220</v>
          </cell>
          <cell r="N123">
            <v>652165</v>
          </cell>
          <cell r="O123">
            <v>0.65366843740603386</v>
          </cell>
          <cell r="P123">
            <v>3605</v>
          </cell>
          <cell r="Q123">
            <v>3.6133106144131499</v>
          </cell>
        </row>
        <row r="124">
          <cell r="A124">
            <v>1</v>
          </cell>
          <cell r="B124" t="str">
            <v>99-00</v>
          </cell>
          <cell r="C124">
            <v>240</v>
          </cell>
          <cell r="D124">
            <v>900</v>
          </cell>
          <cell r="E124">
            <v>1048.8</v>
          </cell>
          <cell r="F124">
            <v>87.4</v>
          </cell>
          <cell r="G124">
            <v>65.099999999999994</v>
          </cell>
          <cell r="H124">
            <v>49.7</v>
          </cell>
          <cell r="I124">
            <v>105.9</v>
          </cell>
          <cell r="J124">
            <v>10.09725400457666</v>
          </cell>
          <cell r="K124">
            <v>200</v>
          </cell>
          <cell r="N124">
            <v>674871</v>
          </cell>
          <cell r="O124">
            <v>0.64346967963386725</v>
          </cell>
          <cell r="P124">
            <v>3020</v>
          </cell>
          <cell r="Q124">
            <v>2.8794813119755913</v>
          </cell>
        </row>
        <row r="125">
          <cell r="A125">
            <v>2</v>
          </cell>
          <cell r="B125" t="str">
            <v>00-01</v>
          </cell>
          <cell r="C125">
            <v>240</v>
          </cell>
          <cell r="D125">
            <v>1150</v>
          </cell>
          <cell r="E125">
            <v>968.97</v>
          </cell>
          <cell r="F125">
            <v>84.19</v>
          </cell>
          <cell r="G125">
            <v>62.4</v>
          </cell>
          <cell r="H125">
            <v>46.09</v>
          </cell>
          <cell r="I125">
            <v>95.83</v>
          </cell>
          <cell r="J125">
            <v>9.8898830717153263</v>
          </cell>
          <cell r="K125">
            <v>200</v>
          </cell>
          <cell r="N125">
            <v>723885</v>
          </cell>
          <cell r="O125">
            <v>0.74706647264621195</v>
          </cell>
          <cell r="P125">
            <v>5474</v>
          </cell>
          <cell r="Q125">
            <v>5.6492977078753723</v>
          </cell>
        </row>
        <row r="126">
          <cell r="A126" t="str">
            <v>Average last 5 years</v>
          </cell>
          <cell r="B126" t="str">
            <v>ACHIEVEMENT Percentage of ( 2 )</v>
          </cell>
          <cell r="C126" t="str">
            <v>%</v>
          </cell>
          <cell r="D126">
            <v>1090</v>
          </cell>
          <cell r="E126">
            <v>792.46600000000001</v>
          </cell>
          <cell r="F126">
            <v>68.481533333333331</v>
          </cell>
          <cell r="G126">
            <v>49.6</v>
          </cell>
          <cell r="H126">
            <v>37.656477929984774</v>
          </cell>
          <cell r="I126">
            <v>78.753599999999992</v>
          </cell>
          <cell r="J126">
            <v>9.9780718101059911</v>
          </cell>
          <cell r="K126">
            <v>189</v>
          </cell>
          <cell r="N126">
            <v>551504.19999999995</v>
          </cell>
          <cell r="O126">
            <v>0.70807595208907392</v>
          </cell>
          <cell r="P126">
            <v>3856.2</v>
          </cell>
          <cell r="Q126">
            <v>5.5342134978167259</v>
          </cell>
        </row>
        <row r="127">
          <cell r="A127" t="str">
            <v>AMARKANTAK</v>
          </cell>
          <cell r="B127" t="str">
            <v>88-89</v>
          </cell>
          <cell r="C127">
            <v>300</v>
          </cell>
          <cell r="D127">
            <v>1550</v>
          </cell>
          <cell r="E127">
            <v>1584.98</v>
          </cell>
          <cell r="F127">
            <v>102.25677419354838</v>
          </cell>
          <cell r="G127">
            <v>80.05</v>
          </cell>
          <cell r="H127">
            <v>60.31126331811263</v>
          </cell>
          <cell r="I127">
            <v>0</v>
          </cell>
          <cell r="J127">
            <v>0</v>
          </cell>
          <cell r="K127" t="str">
            <v xml:space="preserve"> </v>
          </cell>
          <cell r="L127" t="str">
            <v xml:space="preserve"> </v>
          </cell>
          <cell r="M127" t="str">
            <v xml:space="preserve"> </v>
          </cell>
          <cell r="N127">
            <v>1161180</v>
          </cell>
          <cell r="O127">
            <v>0.73261492258577399</v>
          </cell>
          <cell r="P127">
            <v>12000</v>
          </cell>
          <cell r="Q127">
            <v>7.57107345203094</v>
          </cell>
        </row>
        <row r="128">
          <cell r="A128">
            <v>5</v>
          </cell>
          <cell r="B128" t="str">
            <v>89-90</v>
          </cell>
          <cell r="C128">
            <v>300</v>
          </cell>
          <cell r="D128">
            <v>1640</v>
          </cell>
          <cell r="E128">
            <v>1336.95</v>
          </cell>
          <cell r="F128">
            <v>81.521341463414629</v>
          </cell>
          <cell r="G128">
            <v>74.346000000000004</v>
          </cell>
          <cell r="H128">
            <v>50.873287671232873</v>
          </cell>
          <cell r="I128">
            <v>103</v>
          </cell>
          <cell r="J128">
            <v>7.7041026216388042</v>
          </cell>
          <cell r="K128" t="str">
            <v xml:space="preserve"> </v>
          </cell>
          <cell r="L128">
            <v>31115</v>
          </cell>
          <cell r="M128">
            <v>1015605</v>
          </cell>
          <cell r="N128">
            <v>997310</v>
          </cell>
          <cell r="O128">
            <v>0.74595908597928118</v>
          </cell>
          <cell r="P128">
            <v>14785</v>
          </cell>
          <cell r="Q128">
            <v>11.0587531321291</v>
          </cell>
        </row>
        <row r="129">
          <cell r="A129">
            <v>6</v>
          </cell>
          <cell r="B129" t="str">
            <v>90-91</v>
          </cell>
          <cell r="C129">
            <v>300</v>
          </cell>
          <cell r="D129">
            <v>1600</v>
          </cell>
          <cell r="E129">
            <v>1003.93</v>
          </cell>
          <cell r="F129">
            <v>62.745624999999997</v>
          </cell>
          <cell r="G129">
            <v>55.871999999999993</v>
          </cell>
          <cell r="H129">
            <v>38.201293759512936</v>
          </cell>
          <cell r="I129">
            <v>108.33</v>
          </cell>
          <cell r="J129">
            <v>10.790592969629357</v>
          </cell>
          <cell r="K129" t="str">
            <v xml:space="preserve"> </v>
          </cell>
          <cell r="L129">
            <v>47723</v>
          </cell>
          <cell r="M129">
            <v>791141</v>
          </cell>
          <cell r="N129">
            <v>802952</v>
          </cell>
          <cell r="O129">
            <v>0.7998087516061877</v>
          </cell>
          <cell r="P129">
            <v>15891</v>
          </cell>
          <cell r="Q129">
            <v>15.828792844122599</v>
          </cell>
        </row>
        <row r="130">
          <cell r="A130">
            <v>7</v>
          </cell>
          <cell r="B130" t="str">
            <v>91-92</v>
          </cell>
          <cell r="C130">
            <v>300</v>
          </cell>
          <cell r="D130">
            <v>1550</v>
          </cell>
          <cell r="E130">
            <v>1068.78</v>
          </cell>
          <cell r="F130">
            <v>68.953548387096774</v>
          </cell>
          <cell r="G130">
            <v>59.14</v>
          </cell>
          <cell r="H130">
            <v>40.557832422586522</v>
          </cell>
          <cell r="I130">
            <v>114.24000000000001</v>
          </cell>
          <cell r="J130">
            <v>10.688822769887162</v>
          </cell>
          <cell r="K130" t="str">
            <v xml:space="preserve"> </v>
          </cell>
          <cell r="L130">
            <v>51627</v>
          </cell>
          <cell r="M130">
            <v>828867</v>
          </cell>
          <cell r="N130">
            <v>871385</v>
          </cell>
          <cell r="O130">
            <v>0.81530810831041001</v>
          </cell>
          <cell r="P130">
            <v>15146</v>
          </cell>
          <cell r="Q130">
            <v>14.171298115608451</v>
          </cell>
        </row>
        <row r="131">
          <cell r="A131" t="str">
            <v>a</v>
          </cell>
          <cell r="B131" t="str">
            <v>92-93</v>
          </cell>
          <cell r="C131">
            <v>300</v>
          </cell>
          <cell r="D131">
            <v>1500</v>
          </cell>
          <cell r="E131">
            <v>1276.05</v>
          </cell>
          <cell r="F131">
            <v>85.07</v>
          </cell>
          <cell r="G131">
            <v>74.372</v>
          </cell>
          <cell r="H131">
            <v>48.693790640168515</v>
          </cell>
          <cell r="I131">
            <v>136.01</v>
          </cell>
          <cell r="J131">
            <v>10.65867324948082</v>
          </cell>
          <cell r="K131" t="str">
            <v xml:space="preserve"> </v>
          </cell>
          <cell r="L131">
            <v>3954</v>
          </cell>
          <cell r="M131">
            <v>1008841</v>
          </cell>
          <cell r="N131">
            <v>1002324</v>
          </cell>
          <cell r="O131">
            <v>0.78548959680263308</v>
          </cell>
          <cell r="P131">
            <v>17158</v>
          </cell>
          <cell r="Q131">
            <v>13.446181575957056</v>
          </cell>
        </row>
        <row r="132">
          <cell r="A132" t="str">
            <v/>
          </cell>
          <cell r="B132" t="str">
            <v>93-94</v>
          </cell>
          <cell r="C132">
            <v>290</v>
          </cell>
          <cell r="D132">
            <v>1420</v>
          </cell>
          <cell r="E132">
            <v>1375.2450000000001</v>
          </cell>
          <cell r="F132">
            <v>96.848239436619721</v>
          </cell>
          <cell r="G132">
            <v>73.858507321681628</v>
          </cell>
          <cell r="H132">
            <v>54.134978743504959</v>
          </cell>
          <cell r="I132">
            <v>136.81231500000001</v>
          </cell>
          <cell r="J132">
            <v>9.9482139546044532</v>
          </cell>
          <cell r="K132" t="str">
            <v xml:space="preserve"> </v>
          </cell>
          <cell r="L132">
            <v>10262</v>
          </cell>
          <cell r="M132">
            <v>1014037</v>
          </cell>
          <cell r="N132">
            <v>995200.65999999992</v>
          </cell>
          <cell r="O132">
            <v>0.72365335631105709</v>
          </cell>
          <cell r="P132">
            <v>14122.88</v>
          </cell>
          <cell r="Q132">
            <v>10.269355642085591</v>
          </cell>
        </row>
        <row r="133">
          <cell r="A133" t="str">
            <v>b</v>
          </cell>
          <cell r="B133" t="str">
            <v>94-95</v>
          </cell>
          <cell r="C133">
            <v>290</v>
          </cell>
          <cell r="D133">
            <v>1400</v>
          </cell>
          <cell r="E133">
            <v>1427.3000000000002</v>
          </cell>
          <cell r="F133">
            <v>101.95000000000002</v>
          </cell>
          <cell r="G133">
            <v>78.462068965517247</v>
          </cell>
          <cell r="H133">
            <v>56.030557125808691</v>
          </cell>
          <cell r="I133">
            <v>138.1</v>
          </cell>
          <cell r="J133">
            <v>9.6756112940517056</v>
          </cell>
          <cell r="K133" t="str">
            <v xml:space="preserve"> </v>
          </cell>
          <cell r="L133">
            <v>41415</v>
          </cell>
          <cell r="M133">
            <v>1102016</v>
          </cell>
          <cell r="N133">
            <v>1086065</v>
          </cell>
          <cell r="O133">
            <v>0.76092272122188731</v>
          </cell>
          <cell r="P133">
            <v>17781</v>
          </cell>
          <cell r="Q133">
            <v>12.457787430813422</v>
          </cell>
        </row>
        <row r="134">
          <cell r="A134" t="str">
            <v/>
          </cell>
          <cell r="B134" t="str">
            <v>95-96</v>
          </cell>
          <cell r="C134">
            <v>290</v>
          </cell>
          <cell r="D134">
            <v>1450</v>
          </cell>
          <cell r="E134">
            <v>1252.4000000000001</v>
          </cell>
          <cell r="F134">
            <v>86.372413793103462</v>
          </cell>
          <cell r="G134">
            <v>76.365517241379308</v>
          </cell>
          <cell r="H134">
            <v>49.299322941269097</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96-97</v>
          </cell>
          <cell r="C135">
            <v>290</v>
          </cell>
          <cell r="D135">
            <v>1500</v>
          </cell>
          <cell r="E135">
            <v>679.5</v>
          </cell>
          <cell r="F135">
            <v>45.3</v>
          </cell>
          <cell r="G135">
            <v>39.420689655172417</v>
          </cell>
          <cell r="H135">
            <v>26.747756258856874</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t="str">
            <v/>
          </cell>
          <cell r="B136" t="str">
            <v>97-98</v>
          </cell>
          <cell r="C136">
            <v>290</v>
          </cell>
          <cell r="D136">
            <v>1300</v>
          </cell>
          <cell r="E136">
            <v>778.23</v>
          </cell>
          <cell r="F136">
            <v>59.863846153846154</v>
          </cell>
          <cell r="G136">
            <v>41.50344827586207</v>
          </cell>
          <cell r="H136">
            <v>30.634152102031177</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98-99</v>
          </cell>
          <cell r="C137">
            <v>290</v>
          </cell>
          <cell r="D137">
            <v>1500</v>
          </cell>
          <cell r="E137">
            <v>1199.8700000000001</v>
          </cell>
          <cell r="F137">
            <v>79.991333333333344</v>
          </cell>
          <cell r="G137">
            <v>61.765517241379314</v>
          </cell>
          <cell r="H137">
            <v>47.231538340418837</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t="str">
            <v/>
          </cell>
          <cell r="B138" t="str">
            <v>99-00</v>
          </cell>
          <cell r="C138">
            <v>290</v>
          </cell>
          <cell r="D138">
            <v>1150</v>
          </cell>
          <cell r="E138">
            <v>1297</v>
          </cell>
          <cell r="F138">
            <v>112.8</v>
          </cell>
          <cell r="G138">
            <v>68.7</v>
          </cell>
          <cell r="H138">
            <v>50.9</v>
          </cell>
          <cell r="I138">
            <v>135.19999999999999</v>
          </cell>
          <cell r="J138">
            <v>10.424055512721663</v>
          </cell>
          <cell r="K138">
            <v>235</v>
          </cell>
          <cell r="M138">
            <v>875677</v>
          </cell>
          <cell r="N138">
            <v>845128</v>
          </cell>
          <cell r="O138">
            <v>0.65160215882806471</v>
          </cell>
          <cell r="P138">
            <v>4619</v>
          </cell>
          <cell r="Q138">
            <v>3.5612952968388587</v>
          </cell>
        </row>
        <row r="139">
          <cell r="A139" t="str">
            <v>e</v>
          </cell>
          <cell r="B139" t="str">
            <v>00-01</v>
          </cell>
          <cell r="C139">
            <v>290</v>
          </cell>
          <cell r="D139">
            <v>1400</v>
          </cell>
          <cell r="E139">
            <v>1149.93</v>
          </cell>
          <cell r="F139">
            <v>82.14</v>
          </cell>
          <cell r="G139">
            <v>62.71</v>
          </cell>
          <cell r="H139">
            <v>45.27</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Average last 5 years</v>
          </cell>
          <cell r="B140" t="str">
            <v>Energy   Contents   in   MKwh</v>
          </cell>
          <cell r="C140" t="str">
            <v>MU</v>
          </cell>
          <cell r="D140">
            <v>1370</v>
          </cell>
          <cell r="E140">
            <v>1020.9060000000002</v>
          </cell>
          <cell r="F140">
            <v>76.019035897435899</v>
          </cell>
          <cell r="G140">
            <v>54.819931034482764</v>
          </cell>
          <cell r="H140">
            <v>40.15668934026138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STATE  LOAD  DESPATCH  CENTRE  M.P.E.B.  JABALPUR</v>
          </cell>
          <cell r="B141" t="str">
            <v>HASDEO-BANGO    MDDL    329.79 M</v>
          </cell>
          <cell r="C141" t="str">
            <v>M</v>
          </cell>
          <cell r="D141">
            <v>345</v>
          </cell>
          <cell r="E141">
            <v>355.56</v>
          </cell>
          <cell r="F141">
            <v>334.51</v>
          </cell>
          <cell r="G141">
            <v>344.57</v>
          </cell>
          <cell r="H141">
            <v>345.48</v>
          </cell>
        </row>
        <row r="142">
          <cell r="A142" t="str">
            <v>SATPURA</v>
          </cell>
          <cell r="B142" t="str">
            <v>Energy   Contents   in   MKwh</v>
          </cell>
          <cell r="C142" t="str">
            <v>MU</v>
          </cell>
          <cell r="D142">
            <v>68</v>
          </cell>
          <cell r="E142">
            <v>187.4</v>
          </cell>
          <cell r="F142">
            <v>13.18</v>
          </cell>
          <cell r="G142">
            <v>64.849999999999994</v>
          </cell>
          <cell r="H142">
            <v>71.36</v>
          </cell>
        </row>
        <row r="143">
          <cell r="A143" t="str">
            <v>STATION NAME</v>
          </cell>
          <cell r="B143" t="str">
            <v>YEAR</v>
          </cell>
          <cell r="C143" t="str">
            <v>CAPACITY</v>
          </cell>
          <cell r="D143" t="str">
            <v>TARGET</v>
          </cell>
          <cell r="E143" t="str">
            <v>ACTUAL GENE.</v>
          </cell>
          <cell r="F143" t="str">
            <v>ACHIEVE-MENT</v>
          </cell>
          <cell r="G143" t="str">
            <v>AVAIL-ABILITY</v>
          </cell>
          <cell r="H143" t="str">
            <v>P.L.F.</v>
          </cell>
          <cell r="I143" t="str">
            <v>AUXILIARY CONSUMPTION</v>
          </cell>
          <cell r="K143" t="str">
            <v>MAXIMUM DEMAND</v>
          </cell>
          <cell r="L143" t="str">
            <v>COAL IN MT</v>
          </cell>
          <cell r="N143" t="str">
            <v>COAL CONSUMED</v>
          </cell>
          <cell r="P143" t="str">
            <v>FUEL OIL CONSUMPTION</v>
          </cell>
        </row>
        <row r="144">
          <cell r="A144" t="str">
            <v/>
          </cell>
          <cell r="B144" t="str">
            <v>Energy   Contents   in   MKwh</v>
          </cell>
          <cell r="C144" t="str">
            <v>MW</v>
          </cell>
          <cell r="D144" t="str">
            <v>MKwh</v>
          </cell>
          <cell r="E144" t="str">
            <v>MKwh</v>
          </cell>
          <cell r="F144" t="str">
            <v>%</v>
          </cell>
          <cell r="G144" t="str">
            <v>%</v>
          </cell>
          <cell r="H144" t="str">
            <v>%</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SATPURA I</v>
          </cell>
          <cell r="B145" t="str">
            <v>88-89</v>
          </cell>
          <cell r="C145">
            <v>312.5</v>
          </cell>
          <cell r="D145">
            <v>1650</v>
          </cell>
          <cell r="E145">
            <v>1832.28</v>
          </cell>
          <cell r="F145">
            <v>111.04727272727273</v>
          </cell>
          <cell r="G145">
            <v>78.5</v>
          </cell>
          <cell r="H145">
            <v>66.932602739726022</v>
          </cell>
          <cell r="I145" t="str">
            <v xml:space="preserve"> </v>
          </cell>
          <cell r="J145">
            <v>0</v>
          </cell>
          <cell r="K145">
            <v>312</v>
          </cell>
          <cell r="N145">
            <v>1518619</v>
          </cell>
          <cell r="O145">
            <v>0.82881382758093736</v>
          </cell>
          <cell r="P145">
            <v>25303</v>
          </cell>
          <cell r="Q145">
            <v>13.809570589647871</v>
          </cell>
        </row>
        <row r="146">
          <cell r="A146">
            <v>1</v>
          </cell>
          <cell r="B146" t="str">
            <v>89-90</v>
          </cell>
          <cell r="C146">
            <v>312.5</v>
          </cell>
          <cell r="D146">
            <v>1575</v>
          </cell>
          <cell r="E146">
            <v>1730</v>
          </cell>
          <cell r="F146">
            <v>109.84126984126983</v>
          </cell>
          <cell r="G146">
            <v>77.010000000000005</v>
          </cell>
          <cell r="H146">
            <v>63.196347031963469</v>
          </cell>
          <cell r="I146">
            <v>183</v>
          </cell>
          <cell r="J146">
            <v>10.578034682080926</v>
          </cell>
          <cell r="K146">
            <v>300</v>
          </cell>
          <cell r="N146">
            <v>1355923</v>
          </cell>
          <cell r="O146">
            <v>0.78377052023121385</v>
          </cell>
          <cell r="P146">
            <v>41696</v>
          </cell>
          <cell r="Q146">
            <v>24.101734104046244</v>
          </cell>
        </row>
        <row r="147">
          <cell r="A147">
            <v>2</v>
          </cell>
          <cell r="B147" t="str">
            <v>90-91</v>
          </cell>
          <cell r="C147">
            <v>312.5</v>
          </cell>
          <cell r="D147">
            <v>1700</v>
          </cell>
          <cell r="E147">
            <v>1515.39</v>
          </cell>
          <cell r="F147">
            <v>89.140588235294118</v>
          </cell>
          <cell r="G147">
            <v>72.61</v>
          </cell>
          <cell r="H147">
            <v>55.356712328767124</v>
          </cell>
          <cell r="I147">
            <v>170.39</v>
          </cell>
          <cell r="J147">
            <v>11.243970199090663</v>
          </cell>
          <cell r="K147">
            <v>270</v>
          </cell>
          <cell r="N147">
            <v>1267262</v>
          </cell>
          <cell r="O147">
            <v>0.83626129247256487</v>
          </cell>
          <cell r="P147">
            <v>29278</v>
          </cell>
          <cell r="Q147">
            <v>19.320438962907236</v>
          </cell>
        </row>
        <row r="148">
          <cell r="A148">
            <v>3</v>
          </cell>
          <cell r="B148" t="str">
            <v>91-92</v>
          </cell>
          <cell r="C148">
            <v>312.5</v>
          </cell>
          <cell r="D148">
            <v>1700</v>
          </cell>
          <cell r="E148">
            <v>1385.47</v>
          </cell>
          <cell r="F148">
            <v>81.498235294117649</v>
          </cell>
          <cell r="G148">
            <v>64.790000000000006</v>
          </cell>
          <cell r="H148">
            <v>50.610776255707762</v>
          </cell>
          <cell r="I148">
            <v>149.15</v>
          </cell>
          <cell r="J148">
            <v>10.765299862140646</v>
          </cell>
          <cell r="K148">
            <v>260</v>
          </cell>
          <cell r="N148">
            <v>1231619</v>
          </cell>
          <cell r="O148">
            <v>0.88895392899160575</v>
          </cell>
          <cell r="P148">
            <v>24484</v>
          </cell>
          <cell r="Q148">
            <v>17.67198134928941</v>
          </cell>
        </row>
        <row r="149">
          <cell r="A149" t="str">
            <v>Note :-</v>
          </cell>
          <cell r="B149" t="str">
            <v>92-93</v>
          </cell>
          <cell r="C149">
            <v>312.5</v>
          </cell>
          <cell r="D149">
            <v>1600</v>
          </cell>
          <cell r="E149">
            <v>1538.84</v>
          </cell>
          <cell r="F149">
            <v>96.177499999999995</v>
          </cell>
          <cell r="G149">
            <v>72.41</v>
          </cell>
          <cell r="H149">
            <v>56.213333333333331</v>
          </cell>
          <cell r="I149">
            <v>157.91</v>
          </cell>
          <cell r="J149">
            <v>10.261625640092538</v>
          </cell>
          <cell r="K149">
            <v>305</v>
          </cell>
          <cell r="N149">
            <v>1453111</v>
          </cell>
          <cell r="O149">
            <v>0.94428985469574489</v>
          </cell>
          <cell r="P149">
            <v>28065</v>
          </cell>
          <cell r="Q149">
            <v>18.237763510176496</v>
          </cell>
        </row>
        <row r="150">
          <cell r="A150" t="str">
            <v>Note :-</v>
          </cell>
          <cell r="B150" t="str">
            <v>93-94</v>
          </cell>
          <cell r="C150">
            <v>312.5</v>
          </cell>
          <cell r="D150">
            <v>1500</v>
          </cell>
          <cell r="E150">
            <v>1519.37</v>
          </cell>
          <cell r="F150">
            <v>101.29133333333333</v>
          </cell>
          <cell r="G150">
            <v>72.699726027397261</v>
          </cell>
          <cell r="H150">
            <v>55.502100456621008</v>
          </cell>
          <cell r="I150">
            <v>165.02799999999999</v>
          </cell>
          <cell r="J150">
            <v>10.861607113474664</v>
          </cell>
          <cell r="K150">
            <v>306</v>
          </cell>
          <cell r="N150">
            <v>1405416</v>
          </cell>
          <cell r="O150">
            <v>0.92499917729058756</v>
          </cell>
          <cell r="P150">
            <v>29911.776000000002</v>
          </cell>
          <cell r="Q150">
            <v>19.686959726728844</v>
          </cell>
        </row>
        <row r="151">
          <cell r="B151" t="str">
            <v>94-95</v>
          </cell>
          <cell r="C151">
            <v>312.5</v>
          </cell>
          <cell r="D151">
            <v>1550</v>
          </cell>
          <cell r="E151">
            <v>1497.8</v>
          </cell>
          <cell r="F151">
            <v>96.632258064516122</v>
          </cell>
          <cell r="G151">
            <v>70</v>
          </cell>
          <cell r="H151">
            <v>54.714155251141555</v>
          </cell>
          <cell r="I151">
            <v>161.1</v>
          </cell>
          <cell r="J151">
            <v>10.755775136867406</v>
          </cell>
          <cell r="K151">
            <v>310</v>
          </cell>
          <cell r="L151" t="str">
            <v xml:space="preserve"> </v>
          </cell>
          <cell r="N151">
            <v>1384902</v>
          </cell>
          <cell r="O151">
            <v>0.92462411536920819</v>
          </cell>
          <cell r="P151">
            <v>20311</v>
          </cell>
          <cell r="Q151">
            <v>13.560555481372681</v>
          </cell>
        </row>
        <row r="152">
          <cell r="B152" t="str">
            <v>95-96</v>
          </cell>
          <cell r="C152">
            <v>312.5</v>
          </cell>
          <cell r="D152">
            <v>1550</v>
          </cell>
          <cell r="E152">
            <v>1814</v>
          </cell>
          <cell r="F152">
            <v>117.03225806451613</v>
          </cell>
          <cell r="G152">
            <v>78.900000000000006</v>
          </cell>
          <cell r="H152">
            <v>66.083788706739526</v>
          </cell>
          <cell r="I152">
            <v>173.2</v>
          </cell>
          <cell r="J152">
            <v>9.5479603087100333</v>
          </cell>
          <cell r="K152">
            <v>313</v>
          </cell>
          <cell r="N152">
            <v>1640420</v>
          </cell>
          <cell r="O152">
            <v>0.90431091510474093</v>
          </cell>
          <cell r="P152">
            <v>17336</v>
          </cell>
          <cell r="Q152">
            <v>9.5567805953693501</v>
          </cell>
        </row>
        <row r="153">
          <cell r="B153" t="str">
            <v>96-97</v>
          </cell>
          <cell r="C153">
            <v>312.5</v>
          </cell>
          <cell r="D153">
            <v>1650</v>
          </cell>
          <cell r="E153">
            <v>1819</v>
          </cell>
          <cell r="F153">
            <v>110.24242424242425</v>
          </cell>
          <cell r="G153">
            <v>78</v>
          </cell>
          <cell r="H153">
            <v>66.447488584474883</v>
          </cell>
          <cell r="I153">
            <v>169</v>
          </cell>
          <cell r="J153">
            <v>9.2908191313908741</v>
          </cell>
          <cell r="K153">
            <v>315</v>
          </cell>
          <cell r="N153">
            <v>1634052</v>
          </cell>
          <cell r="O153">
            <v>0.89832435404068167</v>
          </cell>
          <cell r="P153">
            <v>14501</v>
          </cell>
          <cell r="Q153">
            <v>7.97196261682243</v>
          </cell>
        </row>
        <row r="154">
          <cell r="B154" t="str">
            <v>97-98</v>
          </cell>
          <cell r="C154">
            <v>312.5</v>
          </cell>
          <cell r="D154">
            <v>1800</v>
          </cell>
          <cell r="E154">
            <v>2122.88</v>
          </cell>
          <cell r="F154">
            <v>117.93777777777778</v>
          </cell>
          <cell r="G154">
            <v>85.2</v>
          </cell>
          <cell r="H154">
            <v>77.548127853881283</v>
          </cell>
          <cell r="I154">
            <v>192.33500000000001</v>
          </cell>
          <cell r="J154">
            <v>9.0600976032559544</v>
          </cell>
          <cell r="K154">
            <v>325</v>
          </cell>
          <cell r="N154">
            <v>1889366</v>
          </cell>
          <cell r="O154">
            <v>0.89000131896291834</v>
          </cell>
          <cell r="P154">
            <v>10789</v>
          </cell>
          <cell r="Q154">
            <v>5.0822467591196858</v>
          </cell>
        </row>
        <row r="155">
          <cell r="B155" t="str">
            <v>98-99</v>
          </cell>
          <cell r="C155">
            <v>312.5</v>
          </cell>
          <cell r="D155">
            <v>1700</v>
          </cell>
          <cell r="E155">
            <v>1925.81</v>
          </cell>
          <cell r="F155">
            <v>113.28294117647059</v>
          </cell>
          <cell r="G155">
            <v>78.900000000000006</v>
          </cell>
          <cell r="H155">
            <v>70.349223744292232</v>
          </cell>
          <cell r="I155">
            <v>175.8</v>
          </cell>
          <cell r="J155">
            <v>9.1286263961657692</v>
          </cell>
          <cell r="K155">
            <v>308</v>
          </cell>
          <cell r="N155">
            <v>1687020</v>
          </cell>
          <cell r="O155">
            <v>0.87600542109553903</v>
          </cell>
          <cell r="P155">
            <v>9962</v>
          </cell>
          <cell r="Q155">
            <v>5.1728882911606027</v>
          </cell>
        </row>
        <row r="156">
          <cell r="B156" t="str">
            <v>99-00</v>
          </cell>
          <cell r="C156">
            <v>312.5</v>
          </cell>
          <cell r="D156">
            <v>2050</v>
          </cell>
          <cell r="E156">
            <v>2102.1999999999998</v>
          </cell>
          <cell r="F156">
            <v>102.5</v>
          </cell>
          <cell r="G156">
            <v>80.8</v>
          </cell>
          <cell r="H156">
            <v>76.599999999999994</v>
          </cell>
          <cell r="I156">
            <v>187.6</v>
          </cell>
          <cell r="J156">
            <v>8.9</v>
          </cell>
          <cell r="K156">
            <v>313</v>
          </cell>
          <cell r="N156">
            <v>1663406</v>
          </cell>
          <cell r="O156">
            <v>0.79</v>
          </cell>
          <cell r="P156">
            <v>8205</v>
          </cell>
          <cell r="Q156">
            <v>3.9</v>
          </cell>
        </row>
        <row r="157">
          <cell r="B157" t="str">
            <v>00-01</v>
          </cell>
          <cell r="C157">
            <v>312.5</v>
          </cell>
          <cell r="D157">
            <v>1950</v>
          </cell>
          <cell r="E157">
            <v>1972.36</v>
          </cell>
          <cell r="F157">
            <v>101.15</v>
          </cell>
          <cell r="G157">
            <v>78.77</v>
          </cell>
          <cell r="H157">
            <v>72.05</v>
          </cell>
          <cell r="I157">
            <v>180.9</v>
          </cell>
          <cell r="J157">
            <v>9.17</v>
          </cell>
          <cell r="K157">
            <v>308</v>
          </cell>
          <cell r="N157">
            <v>1663767</v>
          </cell>
          <cell r="O157">
            <v>0.84399999999999997</v>
          </cell>
          <cell r="P157">
            <v>9457</v>
          </cell>
          <cell r="Q157">
            <v>4.8</v>
          </cell>
        </row>
        <row r="158">
          <cell r="A158" t="str">
            <v>Average last 5 years</v>
          </cell>
          <cell r="D158">
            <v>1830</v>
          </cell>
          <cell r="E158">
            <v>1988.45</v>
          </cell>
          <cell r="F158">
            <v>109.02262863933451</v>
          </cell>
          <cell r="G158">
            <v>80.333999999999989</v>
          </cell>
          <cell r="H158">
            <v>72.598968036529669</v>
          </cell>
          <cell r="I158">
            <v>181.12700000000001</v>
          </cell>
          <cell r="J158">
            <v>9.10990862616252</v>
          </cell>
          <cell r="K158">
            <v>313.8</v>
          </cell>
          <cell r="N158">
            <v>1707522.2</v>
          </cell>
          <cell r="O158">
            <v>0.85966621881982785</v>
          </cell>
          <cell r="P158">
            <v>10582.8</v>
          </cell>
          <cell r="Q158">
            <v>5.3854195334205439</v>
          </cell>
        </row>
        <row r="159">
          <cell r="A159" t="str">
            <v>SATPURA II</v>
          </cell>
          <cell r="B159" t="str">
            <v>88-89</v>
          </cell>
          <cell r="C159">
            <v>410</v>
          </cell>
          <cell r="D159">
            <v>1800</v>
          </cell>
          <cell r="E159">
            <v>1359.91</v>
          </cell>
          <cell r="F159">
            <v>75.550555555555562</v>
          </cell>
          <cell r="G159">
            <v>64.67</v>
          </cell>
          <cell r="H159">
            <v>37.863626239002116</v>
          </cell>
          <cell r="I159" t="str">
            <v xml:space="preserve"> </v>
          </cell>
          <cell r="J159">
            <v>0</v>
          </cell>
          <cell r="K159">
            <v>370</v>
          </cell>
          <cell r="N159">
            <v>1073518</v>
          </cell>
          <cell r="O159">
            <v>0.78940371053966807</v>
          </cell>
          <cell r="P159">
            <v>49985</v>
          </cell>
          <cell r="Q159">
            <v>36.756108860145154</v>
          </cell>
        </row>
        <row r="160">
          <cell r="B160" t="str">
            <v>89-90</v>
          </cell>
          <cell r="C160">
            <v>410</v>
          </cell>
          <cell r="D160">
            <v>1800</v>
          </cell>
          <cell r="E160">
            <v>1247.99</v>
          </cell>
          <cell r="F160">
            <v>69.332777777777778</v>
          </cell>
          <cell r="G160">
            <v>64.5</v>
          </cell>
          <cell r="H160">
            <v>34.747466310279542</v>
          </cell>
          <cell r="I160">
            <v>163</v>
          </cell>
          <cell r="J160">
            <v>13.061002091362912</v>
          </cell>
          <cell r="K160">
            <v>370</v>
          </cell>
          <cell r="N160">
            <v>957978</v>
          </cell>
          <cell r="O160">
            <v>0.7676167276981386</v>
          </cell>
          <cell r="P160">
            <v>69673</v>
          </cell>
          <cell r="Q160">
            <v>55.828171700093748</v>
          </cell>
        </row>
        <row r="161">
          <cell r="B161" t="str">
            <v>90-91</v>
          </cell>
          <cell r="C161">
            <v>410</v>
          </cell>
          <cell r="D161">
            <v>1800</v>
          </cell>
          <cell r="E161">
            <v>1143.08</v>
          </cell>
          <cell r="F161">
            <v>63.504444444444445</v>
          </cell>
          <cell r="G161">
            <v>59.01</v>
          </cell>
          <cell r="H161">
            <v>31.826484018264839</v>
          </cell>
          <cell r="I161">
            <v>154.97</v>
          </cell>
          <cell r="J161">
            <v>13.557231339888723</v>
          </cell>
          <cell r="K161">
            <v>360</v>
          </cell>
          <cell r="N161">
            <v>940719</v>
          </cell>
          <cell r="O161">
            <v>0.82296864611400777</v>
          </cell>
          <cell r="P161">
            <v>46329</v>
          </cell>
          <cell r="Q161">
            <v>40.529971655527177</v>
          </cell>
        </row>
        <row r="162">
          <cell r="B162" t="str">
            <v>91-92</v>
          </cell>
          <cell r="C162">
            <v>410</v>
          </cell>
          <cell r="D162">
            <v>1800</v>
          </cell>
          <cell r="E162">
            <v>1261.23</v>
          </cell>
          <cell r="F162">
            <v>70.068333333333328</v>
          </cell>
          <cell r="G162">
            <v>57.19</v>
          </cell>
          <cell r="H162">
            <v>35.116104243234211</v>
          </cell>
          <cell r="I162">
            <v>163.13</v>
          </cell>
          <cell r="J162">
            <v>12.934199154793337</v>
          </cell>
          <cell r="K162">
            <v>360</v>
          </cell>
          <cell r="N162">
            <v>1092330</v>
          </cell>
          <cell r="O162">
            <v>0.86608310934563881</v>
          </cell>
          <cell r="P162">
            <v>32897</v>
          </cell>
          <cell r="Q162">
            <v>26.083267920997756</v>
          </cell>
        </row>
        <row r="163">
          <cell r="B163" t="str">
            <v>92-93</v>
          </cell>
          <cell r="C163">
            <v>410</v>
          </cell>
          <cell r="D163">
            <v>1600</v>
          </cell>
          <cell r="E163">
            <v>1091.3900000000001</v>
          </cell>
          <cell r="F163">
            <v>68.211875000000006</v>
          </cell>
          <cell r="G163">
            <v>52.11</v>
          </cell>
          <cell r="H163">
            <v>30.387292571555857</v>
          </cell>
          <cell r="I163">
            <v>140.04</v>
          </cell>
          <cell r="J163">
            <v>12.831343516066665</v>
          </cell>
          <cell r="K163">
            <v>360</v>
          </cell>
          <cell r="N163">
            <v>1018559</v>
          </cell>
          <cell r="O163">
            <v>0.93326766783642878</v>
          </cell>
          <cell r="P163">
            <v>47822</v>
          </cell>
          <cell r="Q163">
            <v>43.817517111206804</v>
          </cell>
        </row>
        <row r="164">
          <cell r="B164" t="str">
            <v>93-94</v>
          </cell>
          <cell r="C164">
            <v>410</v>
          </cell>
          <cell r="D164">
            <v>1400</v>
          </cell>
          <cell r="E164">
            <v>1268.5727999999999</v>
          </cell>
          <cell r="F164">
            <v>90.612342857142863</v>
          </cell>
          <cell r="G164">
            <v>50.802958904109587</v>
          </cell>
          <cell r="H164">
            <v>35.320547945205476</v>
          </cell>
          <cell r="I164">
            <v>141.77538000000001</v>
          </cell>
          <cell r="J164">
            <v>11.175975080026941</v>
          </cell>
          <cell r="K164">
            <v>380</v>
          </cell>
          <cell r="N164">
            <v>1109586.71</v>
          </cell>
          <cell r="O164">
            <v>0.87467326274061696</v>
          </cell>
          <cell r="P164">
            <v>22408.133999999998</v>
          </cell>
          <cell r="Q164">
            <v>17.664050498323785</v>
          </cell>
        </row>
        <row r="165">
          <cell r="B165" t="str">
            <v>94-95</v>
          </cell>
          <cell r="C165">
            <v>410</v>
          </cell>
          <cell r="D165">
            <v>1400</v>
          </cell>
          <cell r="E165">
            <v>2021.1</v>
          </cell>
          <cell r="F165">
            <v>144.36428571428573</v>
          </cell>
          <cell r="G165">
            <v>74.5</v>
          </cell>
          <cell r="H165">
            <v>56.272970263949212</v>
          </cell>
          <cell r="I165">
            <v>195.6</v>
          </cell>
          <cell r="J165">
            <v>9.6778981742615411</v>
          </cell>
          <cell r="K165">
            <v>425</v>
          </cell>
          <cell r="N165">
            <v>1776510</v>
          </cell>
          <cell r="O165">
            <v>0.8789817426154074</v>
          </cell>
          <cell r="P165">
            <v>27860</v>
          </cell>
          <cell r="Q165">
            <v>13.784572757409332</v>
          </cell>
        </row>
        <row r="166">
          <cell r="B166" t="str">
            <v>95-96</v>
          </cell>
          <cell r="C166">
            <v>410</v>
          </cell>
          <cell r="D166">
            <v>2000</v>
          </cell>
          <cell r="E166">
            <v>2079.3000000000002</v>
          </cell>
          <cell r="F166">
            <v>103.96500000000002</v>
          </cell>
          <cell r="G166">
            <v>77.3</v>
          </cell>
          <cell r="H166">
            <v>57.735239237638289</v>
          </cell>
          <cell r="I166">
            <v>206.9</v>
          </cell>
          <cell r="J166">
            <v>9.9504640984946846</v>
          </cell>
          <cell r="K166">
            <v>425</v>
          </cell>
          <cell r="N166">
            <v>1823764</v>
          </cell>
          <cell r="O166">
            <v>0.87710479488289317</v>
          </cell>
          <cell r="P166">
            <v>19304</v>
          </cell>
          <cell r="Q166">
            <v>9.2838936180445337</v>
          </cell>
        </row>
        <row r="167">
          <cell r="B167" t="str">
            <v>96-97</v>
          </cell>
          <cell r="C167">
            <v>410</v>
          </cell>
          <cell r="D167">
            <v>2000</v>
          </cell>
          <cell r="E167">
            <v>2273.1</v>
          </cell>
          <cell r="F167">
            <v>113.655</v>
          </cell>
          <cell r="G167">
            <v>77.599999999999994</v>
          </cell>
          <cell r="H167">
            <v>63.289341797527563</v>
          </cell>
          <cell r="I167">
            <v>213</v>
          </cell>
          <cell r="J167">
            <v>9.3704632440279791</v>
          </cell>
          <cell r="K167">
            <v>410</v>
          </cell>
          <cell r="N167">
            <v>1969440</v>
          </cell>
          <cell r="O167">
            <v>0.86641150851260396</v>
          </cell>
          <cell r="P167">
            <v>11164</v>
          </cell>
          <cell r="Q167">
            <v>4.9113545378557921</v>
          </cell>
        </row>
        <row r="168">
          <cell r="B168" t="str">
            <v>97-98</v>
          </cell>
          <cell r="C168">
            <v>410</v>
          </cell>
          <cell r="D168">
            <v>2200</v>
          </cell>
          <cell r="E168">
            <v>2601.9899999999998</v>
          </cell>
          <cell r="F168">
            <v>118.27227272727271</v>
          </cell>
          <cell r="G168">
            <v>84.5</v>
          </cell>
          <cell r="H168">
            <v>72.446541931172732</v>
          </cell>
          <cell r="I168">
            <v>249.321</v>
          </cell>
          <cell r="J168">
            <v>9.5819353648553616</v>
          </cell>
          <cell r="K168">
            <v>425</v>
          </cell>
          <cell r="N168">
            <v>2253381</v>
          </cell>
          <cell r="O168">
            <v>0.86602215996218279</v>
          </cell>
          <cell r="P168">
            <v>10505</v>
          </cell>
          <cell r="Q168">
            <v>4.0372945322618463</v>
          </cell>
        </row>
        <row r="169">
          <cell r="B169" t="str">
            <v>98-99</v>
          </cell>
          <cell r="C169">
            <v>410</v>
          </cell>
          <cell r="D169">
            <v>2150</v>
          </cell>
          <cell r="E169">
            <v>2881.87</v>
          </cell>
          <cell r="F169">
            <v>134.04046511627908</v>
          </cell>
          <cell r="G169">
            <v>87.5</v>
          </cell>
          <cell r="H169">
            <v>80.239169172513641</v>
          </cell>
          <cell r="I169">
            <v>254</v>
          </cell>
          <cell r="J169">
            <v>8.8137216460145673</v>
          </cell>
          <cell r="K169">
            <v>425</v>
          </cell>
          <cell r="N169">
            <v>2346034</v>
          </cell>
          <cell r="O169">
            <v>0.81406656094827312</v>
          </cell>
          <cell r="P169">
            <v>4710</v>
          </cell>
          <cell r="Q169">
            <v>1.6343554705798666</v>
          </cell>
        </row>
        <row r="170">
          <cell r="B170" t="str">
            <v>99-00</v>
          </cell>
          <cell r="C170">
            <v>410</v>
          </cell>
          <cell r="D170">
            <v>2700</v>
          </cell>
          <cell r="E170">
            <v>2520.9</v>
          </cell>
          <cell r="F170">
            <v>93.3</v>
          </cell>
          <cell r="G170">
            <v>75.2</v>
          </cell>
          <cell r="H170">
            <v>70</v>
          </cell>
          <cell r="I170">
            <v>226.5</v>
          </cell>
          <cell r="J170">
            <v>8.9848863501130545</v>
          </cell>
          <cell r="K170">
            <v>425</v>
          </cell>
          <cell r="N170">
            <v>1970136</v>
          </cell>
          <cell r="O170">
            <v>0.78152088539807207</v>
          </cell>
          <cell r="P170">
            <v>4059</v>
          </cell>
          <cell r="Q170">
            <v>1.6101392359871474</v>
          </cell>
        </row>
        <row r="171">
          <cell r="B171" t="str">
            <v>00-01</v>
          </cell>
          <cell r="C171">
            <v>410</v>
          </cell>
          <cell r="D171">
            <v>2850</v>
          </cell>
          <cell r="E171">
            <v>2450.13</v>
          </cell>
          <cell r="F171">
            <v>85.97</v>
          </cell>
          <cell r="G171">
            <v>77.64</v>
          </cell>
          <cell r="H171">
            <v>68.22</v>
          </cell>
          <cell r="I171">
            <v>222.63</v>
          </cell>
          <cell r="J171">
            <v>9.0864566369947717</v>
          </cell>
          <cell r="K171">
            <v>415</v>
          </cell>
          <cell r="N171">
            <v>1980025</v>
          </cell>
          <cell r="O171">
            <v>0.80813058898915568</v>
          </cell>
          <cell r="P171">
            <v>7560</v>
          </cell>
          <cell r="Q171">
            <v>3.0855505626232076</v>
          </cell>
        </row>
        <row r="172">
          <cell r="A172" t="str">
            <v>Average last 5 years</v>
          </cell>
          <cell r="D172">
            <v>2380</v>
          </cell>
          <cell r="E172">
            <v>2545.5980000000004</v>
          </cell>
          <cell r="F172">
            <v>109.04754756871037</v>
          </cell>
          <cell r="G172">
            <v>80.488</v>
          </cell>
          <cell r="H172">
            <v>70.839010580242785</v>
          </cell>
          <cell r="I172">
            <v>233.09020000000001</v>
          </cell>
          <cell r="J172">
            <v>9.1674926484011472</v>
          </cell>
          <cell r="K172">
            <v>420</v>
          </cell>
          <cell r="L172">
            <v>0</v>
          </cell>
          <cell r="M172">
            <v>0</v>
          </cell>
          <cell r="N172">
            <v>2103803.2000000002</v>
          </cell>
          <cell r="O172">
            <v>0.82723034076205759</v>
          </cell>
          <cell r="P172">
            <v>7599.6</v>
          </cell>
          <cell r="Q172">
            <v>3.0557388678615722</v>
          </cell>
        </row>
        <row r="173">
          <cell r="A173" t="str">
            <v>SATPURA III</v>
          </cell>
          <cell r="B173" t="str">
            <v>88-89</v>
          </cell>
          <cell r="C173">
            <v>420</v>
          </cell>
          <cell r="D173">
            <v>2050</v>
          </cell>
          <cell r="E173">
            <v>1857.99</v>
          </cell>
          <cell r="F173">
            <v>90.633658536585372</v>
          </cell>
          <cell r="G173">
            <v>75.62</v>
          </cell>
          <cell r="H173">
            <v>50.4998369210698</v>
          </cell>
          <cell r="I173" t="str">
            <v xml:space="preserve"> </v>
          </cell>
          <cell r="J173">
            <v>0</v>
          </cell>
          <cell r="K173">
            <v>420</v>
          </cell>
          <cell r="N173">
            <v>1419331</v>
          </cell>
          <cell r="O173">
            <v>0.76390669486918661</v>
          </cell>
          <cell r="P173">
            <v>19789</v>
          </cell>
          <cell r="Q173">
            <v>10.650757000844999</v>
          </cell>
        </row>
        <row r="174">
          <cell r="B174" t="str">
            <v>89-90</v>
          </cell>
          <cell r="C174">
            <v>420</v>
          </cell>
          <cell r="D174">
            <v>2100</v>
          </cell>
          <cell r="E174">
            <v>1805.67</v>
          </cell>
          <cell r="F174">
            <v>85.984285714285718</v>
          </cell>
          <cell r="G174">
            <v>88.7</v>
          </cell>
          <cell r="H174">
            <v>49.077788649706456</v>
          </cell>
          <cell r="I174">
            <v>189</v>
          </cell>
          <cell r="J174">
            <v>10.467028859093855</v>
          </cell>
          <cell r="K174">
            <v>370</v>
          </cell>
          <cell r="N174">
            <v>1317205</v>
          </cell>
          <cell r="O174">
            <v>0.72948268509749847</v>
          </cell>
          <cell r="P174">
            <v>56636</v>
          </cell>
          <cell r="Q174">
            <v>31.365642670033836</v>
          </cell>
        </row>
        <row r="175">
          <cell r="B175" t="str">
            <v>90-91</v>
          </cell>
          <cell r="C175">
            <v>420</v>
          </cell>
          <cell r="D175">
            <v>1950</v>
          </cell>
          <cell r="E175">
            <v>1496.73</v>
          </cell>
          <cell r="F175">
            <v>76.755384615384614</v>
          </cell>
          <cell r="G175">
            <v>67.97</v>
          </cell>
          <cell r="H175">
            <v>40.680854533594257</v>
          </cell>
          <cell r="I175">
            <v>168.45</v>
          </cell>
          <cell r="J175">
            <v>11.254534886051593</v>
          </cell>
          <cell r="K175">
            <v>380</v>
          </cell>
          <cell r="N175">
            <v>1201210</v>
          </cell>
          <cell r="O175">
            <v>0.80255623926827147</v>
          </cell>
          <cell r="P175">
            <v>50058</v>
          </cell>
          <cell r="Q175">
            <v>33.444909903589824</v>
          </cell>
        </row>
        <row r="176">
          <cell r="B176" t="str">
            <v>91-92</v>
          </cell>
          <cell r="C176">
            <v>420</v>
          </cell>
          <cell r="D176">
            <v>1950</v>
          </cell>
          <cell r="E176">
            <v>1741.07</v>
          </cell>
          <cell r="F176">
            <v>89.285641025641027</v>
          </cell>
          <cell r="G176">
            <v>69.19</v>
          </cell>
          <cell r="H176">
            <v>47.321972167862576</v>
          </cell>
          <cell r="I176">
            <v>179.06</v>
          </cell>
          <cell r="J176">
            <v>10.284480233419679</v>
          </cell>
          <cell r="K176">
            <v>380</v>
          </cell>
          <cell r="N176">
            <v>1516544</v>
          </cell>
          <cell r="O176">
            <v>0.87104137111086866</v>
          </cell>
          <cell r="P176">
            <v>29511</v>
          </cell>
          <cell r="Q176">
            <v>16.949921599935671</v>
          </cell>
        </row>
        <row r="177">
          <cell r="B177" t="str">
            <v>92-93</v>
          </cell>
          <cell r="C177">
            <v>420</v>
          </cell>
          <cell r="D177">
            <v>1800</v>
          </cell>
          <cell r="E177">
            <v>2011.32</v>
          </cell>
          <cell r="F177">
            <v>111.74</v>
          </cell>
          <cell r="G177">
            <v>81.23</v>
          </cell>
          <cell r="H177">
            <v>54.667318982387478</v>
          </cell>
          <cell r="I177">
            <v>201.66</v>
          </cell>
          <cell r="J177">
            <v>10.026251416979894</v>
          </cell>
          <cell r="K177">
            <v>410</v>
          </cell>
          <cell r="N177">
            <v>1890962</v>
          </cell>
          <cell r="O177">
            <v>0.94015969611996097</v>
          </cell>
          <cell r="P177">
            <v>38920</v>
          </cell>
          <cell r="Q177">
            <v>19.35047630411869</v>
          </cell>
        </row>
        <row r="178">
          <cell r="B178" t="str">
            <v>93-94</v>
          </cell>
          <cell r="C178">
            <v>420</v>
          </cell>
          <cell r="D178">
            <v>2015</v>
          </cell>
          <cell r="E178">
            <v>2278.799</v>
          </cell>
          <cell r="F178">
            <v>113.0917617866005</v>
          </cell>
          <cell r="G178">
            <v>81.576273972602735</v>
          </cell>
          <cell r="H178">
            <v>61.93735051098065</v>
          </cell>
          <cell r="I178">
            <v>217.87020000000001</v>
          </cell>
          <cell r="J178">
            <v>9.5607466915686725</v>
          </cell>
          <cell r="K178">
            <v>420</v>
          </cell>
          <cell r="N178">
            <v>2020976</v>
          </cell>
          <cell r="O178">
            <v>0.88686013992458312</v>
          </cell>
          <cell r="P178">
            <v>29590.454000000002</v>
          </cell>
          <cell r="Q178">
            <v>12.985109261501345</v>
          </cell>
        </row>
        <row r="179">
          <cell r="B179" t="str">
            <v>94-95</v>
          </cell>
          <cell r="C179">
            <v>420</v>
          </cell>
          <cell r="D179">
            <v>2000</v>
          </cell>
          <cell r="E179">
            <v>2280.8000000000002</v>
          </cell>
          <cell r="F179">
            <v>114.04000000000002</v>
          </cell>
          <cell r="G179">
            <v>85.1</v>
          </cell>
          <cell r="H179">
            <v>61.991737334203094</v>
          </cell>
          <cell r="I179">
            <v>230.8</v>
          </cell>
          <cell r="J179">
            <v>10.119256401262714</v>
          </cell>
          <cell r="K179">
            <v>420</v>
          </cell>
          <cell r="N179">
            <v>2011129</v>
          </cell>
          <cell r="O179">
            <v>0.88176473167309721</v>
          </cell>
          <cell r="P179">
            <v>33934</v>
          </cell>
          <cell r="Q179">
            <v>14.878112942827077</v>
          </cell>
        </row>
        <row r="180">
          <cell r="B180" t="str">
            <v>95-96</v>
          </cell>
          <cell r="C180">
            <v>420</v>
          </cell>
          <cell r="D180">
            <v>2100</v>
          </cell>
          <cell r="E180">
            <v>2141.3000000000002</v>
          </cell>
          <cell r="F180">
            <v>101.96666666666668</v>
          </cell>
          <cell r="G180">
            <v>77.400000000000006</v>
          </cell>
          <cell r="H180">
            <v>58.041135397692784</v>
          </cell>
          <cell r="I180">
            <v>217.7</v>
          </cell>
          <cell r="J180">
            <v>10.166721150702843</v>
          </cell>
          <cell r="K180">
            <v>420</v>
          </cell>
          <cell r="N180">
            <v>1891560</v>
          </cell>
          <cell r="O180">
            <v>0.88336991547190957</v>
          </cell>
          <cell r="P180">
            <v>18396</v>
          </cell>
          <cell r="Q180">
            <v>8.5910428244524351</v>
          </cell>
        </row>
        <row r="181">
          <cell r="B181" t="str">
            <v>96-97</v>
          </cell>
          <cell r="C181">
            <v>420</v>
          </cell>
          <cell r="D181">
            <v>2100</v>
          </cell>
          <cell r="E181">
            <v>2447.1999999999998</v>
          </cell>
          <cell r="F181">
            <v>116.53333333333332</v>
          </cell>
          <cell r="G181">
            <v>82.1</v>
          </cell>
          <cell r="H181">
            <v>66.514459665144585</v>
          </cell>
          <cell r="I181">
            <v>235.2</v>
          </cell>
          <cell r="J181">
            <v>9.610983981693364</v>
          </cell>
          <cell r="K181">
            <v>420</v>
          </cell>
          <cell r="N181">
            <v>2117083</v>
          </cell>
          <cell r="O181">
            <v>0.86510420071918925</v>
          </cell>
          <cell r="P181">
            <v>10325</v>
          </cell>
          <cell r="Q181">
            <v>4.2191075514874141</v>
          </cell>
        </row>
        <row r="182">
          <cell r="B182" t="str">
            <v>97-98</v>
          </cell>
          <cell r="C182">
            <v>420</v>
          </cell>
          <cell r="D182">
            <v>2300</v>
          </cell>
          <cell r="E182">
            <v>2706.67</v>
          </cell>
          <cell r="F182">
            <v>117.68130434782609</v>
          </cell>
          <cell r="G182">
            <v>82.6</v>
          </cell>
          <cell r="H182">
            <v>73.566808001739503</v>
          </cell>
          <cell r="I182">
            <v>235.6</v>
          </cell>
          <cell r="J182">
            <v>8.7044227778044601</v>
          </cell>
          <cell r="K182">
            <v>430</v>
          </cell>
          <cell r="N182">
            <v>2345918</v>
          </cell>
          <cell r="O182">
            <v>0.86671740552043652</v>
          </cell>
          <cell r="P182">
            <v>6198</v>
          </cell>
          <cell r="Q182">
            <v>2.2898986577602738</v>
          </cell>
        </row>
        <row r="183">
          <cell r="B183" t="str">
            <v>98-99</v>
          </cell>
          <cell r="C183">
            <v>420</v>
          </cell>
          <cell r="D183">
            <v>2250</v>
          </cell>
          <cell r="E183">
            <v>2830.37</v>
          </cell>
          <cell r="F183">
            <v>125.79422222222222</v>
          </cell>
          <cell r="G183">
            <v>82.9</v>
          </cell>
          <cell r="H183">
            <v>76.92895194607523</v>
          </cell>
          <cell r="I183">
            <v>244</v>
          </cell>
          <cell r="J183">
            <v>8.6207810286287661</v>
          </cell>
          <cell r="K183">
            <v>430</v>
          </cell>
          <cell r="N183">
            <v>2296097</v>
          </cell>
          <cell r="O183">
            <v>0.81123563350374683</v>
          </cell>
          <cell r="P183">
            <v>3438</v>
          </cell>
          <cell r="Q183">
            <v>1.2146821793617089</v>
          </cell>
        </row>
        <row r="184">
          <cell r="B184" t="str">
            <v>99-00</v>
          </cell>
          <cell r="C184">
            <v>420</v>
          </cell>
          <cell r="D184">
            <v>2750</v>
          </cell>
          <cell r="E184">
            <v>3093.5</v>
          </cell>
          <cell r="F184">
            <v>112.5</v>
          </cell>
          <cell r="G184">
            <v>87.3</v>
          </cell>
          <cell r="H184">
            <v>83.9</v>
          </cell>
          <cell r="I184">
            <v>263.5</v>
          </cell>
          <cell r="J184">
            <v>8.51786002909326</v>
          </cell>
          <cell r="K184">
            <v>430</v>
          </cell>
          <cell r="N184">
            <v>2416220</v>
          </cell>
          <cell r="O184">
            <v>0.78106352028446746</v>
          </cell>
          <cell r="P184">
            <v>2388</v>
          </cell>
          <cell r="Q184">
            <v>0.77194116696298687</v>
          </cell>
        </row>
        <row r="185">
          <cell r="B185" t="str">
            <v>00-01</v>
          </cell>
          <cell r="C185">
            <v>420</v>
          </cell>
          <cell r="D185">
            <v>2800</v>
          </cell>
          <cell r="E185">
            <v>2780.62</v>
          </cell>
          <cell r="F185">
            <v>97.46</v>
          </cell>
          <cell r="G185">
            <v>79.290000000000006</v>
          </cell>
          <cell r="H185">
            <v>75.58</v>
          </cell>
          <cell r="I185">
            <v>239.04</v>
          </cell>
          <cell r="J185">
            <v>8.5966439139472488</v>
          </cell>
          <cell r="K185">
            <v>420</v>
          </cell>
          <cell r="N185">
            <v>2263305</v>
          </cell>
          <cell r="O185">
            <v>0.81395695923930633</v>
          </cell>
          <cell r="P185">
            <v>3634</v>
          </cell>
          <cell r="Q185">
            <v>1.3069027770784933</v>
          </cell>
        </row>
        <row r="186">
          <cell r="A186" t="str">
            <v>Average last 5 years</v>
          </cell>
          <cell r="D186">
            <v>2440</v>
          </cell>
          <cell r="E186">
            <v>2771.672</v>
          </cell>
          <cell r="F186">
            <v>113.99377198067631</v>
          </cell>
          <cell r="G186">
            <v>82.837999999999994</v>
          </cell>
          <cell r="H186">
            <v>75.298043922591859</v>
          </cell>
          <cell r="I186">
            <v>243.46799999999999</v>
          </cell>
          <cell r="J186">
            <v>8.8101383462334191</v>
          </cell>
          <cell r="K186">
            <v>426</v>
          </cell>
          <cell r="L186">
            <v>0</v>
          </cell>
          <cell r="M186">
            <v>0</v>
          </cell>
          <cell r="N186">
            <v>2287724.6</v>
          </cell>
          <cell r="O186">
            <v>0.82761554385342928</v>
          </cell>
          <cell r="P186">
            <v>5196.6000000000004</v>
          </cell>
          <cell r="Q186">
            <v>1.9605064665301755</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cell r="I189" t="str">
            <v>AUXILIARY CONSUMPTION</v>
          </cell>
          <cell r="K189" t="str">
            <v>MAXIMUM DEMAND</v>
          </cell>
          <cell r="L189" t="str">
            <v>COAL IN MT</v>
          </cell>
          <cell r="N189" t="str">
            <v>COAL CONSUMED</v>
          </cell>
          <cell r="P189" t="str">
            <v>FUEL OIL CONSUMPTION</v>
          </cell>
        </row>
        <row r="190">
          <cell r="C190" t="str">
            <v>MW</v>
          </cell>
          <cell r="D190" t="str">
            <v>MKwh</v>
          </cell>
          <cell r="E190" t="str">
            <v>MKwh</v>
          </cell>
          <cell r="F190" t="str">
            <v>%</v>
          </cell>
          <cell r="G190" t="str">
            <v>%</v>
          </cell>
          <cell r="H190" t="str">
            <v>%</v>
          </cell>
          <cell r="I190" t="str">
            <v>MKwh</v>
          </cell>
          <cell r="J190" t="str">
            <v>%</v>
          </cell>
          <cell r="K190" t="str">
            <v>MW</v>
          </cell>
          <cell r="L190" t="str">
            <v>OP.STOCK</v>
          </cell>
          <cell r="M190" t="str">
            <v>RECIEPT</v>
          </cell>
          <cell r="N190" t="str">
            <v>MT</v>
          </cell>
          <cell r="O190" t="str">
            <v>Kg/kWH</v>
          </cell>
          <cell r="P190" t="str">
            <v>KL</v>
          </cell>
          <cell r="Q190" t="str">
            <v>ml/KWH</v>
          </cell>
        </row>
        <row r="191">
          <cell r="A191" t="str">
            <v>SATPURA</v>
          </cell>
          <cell r="B191" t="str">
            <v>88-89</v>
          </cell>
          <cell r="C191">
            <v>1142.5</v>
          </cell>
          <cell r="D191">
            <v>5500</v>
          </cell>
          <cell r="E191">
            <v>5050.18</v>
          </cell>
          <cell r="F191">
            <v>91.821454545454543</v>
          </cell>
          <cell r="G191">
            <v>72.4782056892779</v>
          </cell>
          <cell r="H191">
            <v>50.459918267837693</v>
          </cell>
          <cell r="I191">
            <v>0</v>
          </cell>
          <cell r="J191">
            <v>0</v>
          </cell>
          <cell r="K191" t="str">
            <v xml:space="preserve"> </v>
          </cell>
          <cell r="L191" t="str">
            <v xml:space="preserve"> </v>
          </cell>
          <cell r="M191" t="str">
            <v xml:space="preserve"> </v>
          </cell>
          <cell r="N191">
            <v>4011468</v>
          </cell>
          <cell r="O191">
            <v>0.79432178655018237</v>
          </cell>
          <cell r="P191">
            <v>95077</v>
          </cell>
          <cell r="Q191">
            <v>18.826457670815692</v>
          </cell>
        </row>
        <row r="192">
          <cell r="B192" t="str">
            <v>89-90</v>
          </cell>
          <cell r="C192">
            <v>1142.5</v>
          </cell>
          <cell r="D192">
            <v>5475</v>
          </cell>
          <cell r="E192">
            <v>4783.66</v>
          </cell>
          <cell r="F192">
            <v>87.372785388127852</v>
          </cell>
          <cell r="G192">
            <v>76.818052516411385</v>
          </cell>
          <cell r="H192">
            <v>47.796928549304077</v>
          </cell>
          <cell r="I192">
            <v>535</v>
          </cell>
          <cell r="J192">
            <v>11.183905210654604</v>
          </cell>
          <cell r="K192" t="str">
            <v xml:space="preserve"> </v>
          </cell>
          <cell r="L192">
            <v>110061</v>
          </cell>
          <cell r="M192">
            <v>3568758</v>
          </cell>
          <cell r="N192">
            <v>3631106</v>
          </cell>
          <cell r="O192">
            <v>0.75906439838951767</v>
          </cell>
          <cell r="P192">
            <v>168005</v>
          </cell>
          <cell r="Q192">
            <v>35.120598035813586</v>
          </cell>
        </row>
        <row r="193">
          <cell r="B193" t="str">
            <v>90-91</v>
          </cell>
          <cell r="C193">
            <v>1142.5</v>
          </cell>
          <cell r="D193">
            <v>5450</v>
          </cell>
          <cell r="E193">
            <v>4155.2000000000007</v>
          </cell>
          <cell r="F193">
            <v>76.242201834862399</v>
          </cell>
          <cell r="G193">
            <v>66.023741794310723</v>
          </cell>
          <cell r="H193">
            <v>41.517540441433617</v>
          </cell>
          <cell r="I193">
            <v>493.81</v>
          </cell>
          <cell r="J193">
            <v>11.884145167500961</v>
          </cell>
          <cell r="K193" t="str">
            <v xml:space="preserve"> </v>
          </cell>
          <cell r="L193">
            <v>29753</v>
          </cell>
          <cell r="M193">
            <v>3508276</v>
          </cell>
          <cell r="N193">
            <v>3409191</v>
          </cell>
          <cell r="O193">
            <v>0.82046375625721968</v>
          </cell>
          <cell r="P193">
            <v>125665</v>
          </cell>
          <cell r="Q193">
            <v>30.242828263380819</v>
          </cell>
        </row>
        <row r="194">
          <cell r="B194" t="str">
            <v>91-92</v>
          </cell>
          <cell r="C194">
            <v>1142.5</v>
          </cell>
          <cell r="D194">
            <v>5450</v>
          </cell>
          <cell r="E194">
            <v>4387.7699999999995</v>
          </cell>
          <cell r="F194">
            <v>80.509541284403653</v>
          </cell>
          <cell r="G194">
            <v>63.680153172866518</v>
          </cell>
          <cell r="H194">
            <v>43.721526706604003</v>
          </cell>
          <cell r="I194">
            <v>491.34</v>
          </cell>
          <cell r="J194">
            <v>11.197943374424822</v>
          </cell>
          <cell r="K194" t="str">
            <v xml:space="preserve"> </v>
          </cell>
          <cell r="L194">
            <v>61501</v>
          </cell>
          <cell r="M194">
            <v>3837342</v>
          </cell>
          <cell r="N194">
            <v>3840493</v>
          </cell>
          <cell r="O194">
            <v>0.8752721769828411</v>
          </cell>
          <cell r="P194">
            <v>86892</v>
          </cell>
          <cell r="Q194">
            <v>19.803225784396176</v>
          </cell>
        </row>
        <row r="195">
          <cell r="B195" t="str">
            <v>92-93</v>
          </cell>
          <cell r="C195">
            <v>1142.5</v>
          </cell>
          <cell r="D195">
            <v>5000</v>
          </cell>
          <cell r="E195">
            <v>4641.55</v>
          </cell>
          <cell r="F195">
            <v>92.831000000000003</v>
          </cell>
          <cell r="G195">
            <v>68.367461706783374</v>
          </cell>
          <cell r="H195">
            <v>46.37700708412018</v>
          </cell>
          <cell r="I195">
            <v>499.61</v>
          </cell>
          <cell r="J195">
            <v>10.76386121015609</v>
          </cell>
          <cell r="K195" t="str">
            <v xml:space="preserve"> </v>
          </cell>
          <cell r="L195">
            <v>62991</v>
          </cell>
          <cell r="M195">
            <v>4445312</v>
          </cell>
          <cell r="N195">
            <v>4362632</v>
          </cell>
          <cell r="O195">
            <v>0.93990843575960614</v>
          </cell>
          <cell r="P195">
            <v>114807</v>
          </cell>
          <cell r="Q195">
            <v>24.734625286811518</v>
          </cell>
        </row>
        <row r="196">
          <cell r="B196" t="str">
            <v>93-94</v>
          </cell>
          <cell r="C196">
            <v>1142.5</v>
          </cell>
          <cell r="D196">
            <v>4915</v>
          </cell>
          <cell r="E196">
            <v>5066.7417999999998</v>
          </cell>
          <cell r="F196">
            <v>103.08732044760936</v>
          </cell>
          <cell r="G196">
            <v>68.104956326249209</v>
          </cell>
          <cell r="H196">
            <v>50.625398918897318</v>
          </cell>
          <cell r="I196">
            <v>524.67358000000002</v>
          </cell>
          <cell r="J196">
            <v>10.355246047864528</v>
          </cell>
          <cell r="K196" t="str">
            <v xml:space="preserve"> </v>
          </cell>
          <cell r="L196">
            <v>125960</v>
          </cell>
          <cell r="M196">
            <v>4514568</v>
          </cell>
          <cell r="N196">
            <v>4535978.71</v>
          </cell>
          <cell r="O196">
            <v>0.89524568036997665</v>
          </cell>
          <cell r="P196">
            <v>81910.364000000001</v>
          </cell>
          <cell r="Q196">
            <v>16.166279481618741</v>
          </cell>
        </row>
        <row r="197">
          <cell r="B197" t="str">
            <v>94-95</v>
          </cell>
          <cell r="C197">
            <v>1142.5</v>
          </cell>
          <cell r="D197">
            <v>4950</v>
          </cell>
          <cell r="E197">
            <v>5799.7</v>
          </cell>
          <cell r="F197">
            <v>117.16565656565656</v>
          </cell>
          <cell r="G197">
            <v>77.165864332603945</v>
          </cell>
          <cell r="H197">
            <v>57.948902410998869</v>
          </cell>
          <cell r="I197">
            <v>587.5</v>
          </cell>
          <cell r="J197">
            <v>10.129834301774229</v>
          </cell>
          <cell r="K197">
            <v>1085</v>
          </cell>
          <cell r="L197">
            <v>105207</v>
          </cell>
          <cell r="M197">
            <v>5324472</v>
          </cell>
          <cell r="N197">
            <v>5172541</v>
          </cell>
          <cell r="O197">
            <v>0.8918635446661034</v>
          </cell>
          <cell r="P197">
            <v>82105</v>
          </cell>
          <cell r="Q197">
            <v>14.156766729313585</v>
          </cell>
        </row>
        <row r="198">
          <cell r="B198" t="str">
            <v>95-96</v>
          </cell>
          <cell r="C198">
            <v>1142.5</v>
          </cell>
          <cell r="D198">
            <v>5650</v>
          </cell>
          <cell r="E198">
            <v>6034.6</v>
          </cell>
          <cell r="F198">
            <v>106.8070796460177</v>
          </cell>
          <cell r="G198">
            <v>77.774398249452958</v>
          </cell>
          <cell r="H198">
            <v>60.13121131318929</v>
          </cell>
          <cell r="I198">
            <v>597.79999999999995</v>
          </cell>
          <cell r="J198">
            <v>9.9062075365392879</v>
          </cell>
          <cell r="K198">
            <v>1100</v>
          </cell>
          <cell r="L198">
            <v>208549</v>
          </cell>
          <cell r="M198">
            <v>5329168</v>
          </cell>
          <cell r="N198">
            <v>5355744</v>
          </cell>
          <cell r="O198">
            <v>0.88750604845391579</v>
          </cell>
          <cell r="P198">
            <v>55036</v>
          </cell>
          <cell r="Q198">
            <v>9.1200742385576508</v>
          </cell>
        </row>
        <row r="199">
          <cell r="B199" t="str">
            <v>96-97</v>
          </cell>
          <cell r="C199">
            <v>1142.5</v>
          </cell>
          <cell r="D199">
            <v>5750</v>
          </cell>
          <cell r="E199">
            <v>6539.2999999999993</v>
          </cell>
          <cell r="F199">
            <v>113.72695652173911</v>
          </cell>
          <cell r="G199">
            <v>79.3636761487965</v>
          </cell>
          <cell r="H199">
            <v>65.338768821877835</v>
          </cell>
          <cell r="I199">
            <v>617.20000000000005</v>
          </cell>
          <cell r="J199">
            <v>9.4383190861407211</v>
          </cell>
          <cell r="K199">
            <v>1093</v>
          </cell>
          <cell r="L199">
            <v>60203</v>
          </cell>
          <cell r="M199">
            <v>5911303</v>
          </cell>
          <cell r="N199">
            <v>5720575</v>
          </cell>
          <cell r="O199">
            <v>0.87479929044393145</v>
          </cell>
          <cell r="P199">
            <v>35990</v>
          </cell>
          <cell r="Q199">
            <v>5.5036471793617059</v>
          </cell>
        </row>
        <row r="200">
          <cell r="B200" t="str">
            <v>97-98</v>
          </cell>
          <cell r="C200">
            <v>1142.5</v>
          </cell>
          <cell r="D200">
            <v>6300</v>
          </cell>
          <cell r="E200">
            <v>7431.54</v>
          </cell>
          <cell r="F200">
            <v>117.96095238095238</v>
          </cell>
          <cell r="G200">
            <v>83.992997811816196</v>
          </cell>
          <cell r="H200">
            <v>74.253769371421726</v>
          </cell>
          <cell r="I200">
            <v>677.25599999999997</v>
          </cell>
          <cell r="J200">
            <v>9.1132658910535351</v>
          </cell>
          <cell r="K200">
            <v>1155</v>
          </cell>
          <cell r="L200">
            <v>202719</v>
          </cell>
          <cell r="M200">
            <v>6761934</v>
          </cell>
          <cell r="N200">
            <v>6488665</v>
          </cell>
          <cell r="O200">
            <v>0.87312522034463924</v>
          </cell>
          <cell r="P200">
            <v>27492</v>
          </cell>
          <cell r="Q200">
            <v>3.6993678295481152</v>
          </cell>
        </row>
        <row r="201">
          <cell r="B201" t="str">
            <v>98-99</v>
          </cell>
          <cell r="C201">
            <v>1142.5</v>
          </cell>
          <cell r="D201">
            <v>6100</v>
          </cell>
          <cell r="E201">
            <v>7638.05</v>
          </cell>
          <cell r="F201">
            <v>125.21393442622951</v>
          </cell>
          <cell r="G201">
            <v>83.45667396061269</v>
          </cell>
          <cell r="H201">
            <v>76.317156759889286</v>
          </cell>
          <cell r="I201">
            <v>673.8</v>
          </cell>
          <cell r="J201">
            <v>8.8216233200882428</v>
          </cell>
          <cell r="K201">
            <v>1151</v>
          </cell>
          <cell r="L201">
            <v>420745</v>
          </cell>
          <cell r="M201">
            <v>5623850</v>
          </cell>
          <cell r="N201">
            <v>6329151</v>
          </cell>
          <cell r="O201">
            <v>0.82863440275986677</v>
          </cell>
          <cell r="P201">
            <v>18110</v>
          </cell>
          <cell r="Q201">
            <v>2.3710240179103304</v>
          </cell>
        </row>
        <row r="202">
          <cell r="B202" t="str">
            <v>99-00</v>
          </cell>
          <cell r="C202">
            <v>1142.5</v>
          </cell>
          <cell r="D202">
            <v>7500</v>
          </cell>
          <cell r="E202">
            <v>7716.6</v>
          </cell>
          <cell r="F202">
            <v>102.9</v>
          </cell>
          <cell r="G202">
            <v>81.2</v>
          </cell>
          <cell r="H202">
            <v>76.900000000000006</v>
          </cell>
          <cell r="I202">
            <v>677.6</v>
          </cell>
          <cell r="J202">
            <v>8.7810693828888358</v>
          </cell>
          <cell r="K202">
            <v>1153</v>
          </cell>
          <cell r="L202">
            <v>218441</v>
          </cell>
          <cell r="M202">
            <v>5821951</v>
          </cell>
          <cell r="N202">
            <v>6049762</v>
          </cell>
          <cell r="O202">
            <v>0.78399320944457407</v>
          </cell>
          <cell r="P202">
            <v>14653</v>
          </cell>
          <cell r="Q202">
            <v>1.8988932949744706</v>
          </cell>
        </row>
        <row r="203">
          <cell r="B203" t="str">
            <v>00-01</v>
          </cell>
          <cell r="C203">
            <v>1142.5</v>
          </cell>
          <cell r="D203">
            <v>7650</v>
          </cell>
          <cell r="E203">
            <v>7203.11</v>
          </cell>
          <cell r="F203">
            <v>94.16</v>
          </cell>
          <cell r="G203">
            <v>78.55</v>
          </cell>
          <cell r="H203">
            <v>71.97</v>
          </cell>
          <cell r="I203">
            <v>642.57000000000005</v>
          </cell>
          <cell r="J203">
            <v>8.9207300735376815</v>
          </cell>
          <cell r="K203">
            <v>1129</v>
          </cell>
          <cell r="M203">
            <v>6219252</v>
          </cell>
          <cell r="N203">
            <v>5907097</v>
          </cell>
          <cell r="O203">
            <v>0.82007591165482685</v>
          </cell>
          <cell r="P203">
            <v>20652</v>
          </cell>
          <cell r="Q203">
            <v>2.8670949076162935</v>
          </cell>
        </row>
        <row r="204">
          <cell r="A204" t="str">
            <v>Average last 5 years</v>
          </cell>
          <cell r="D204">
            <v>6660</v>
          </cell>
          <cell r="E204">
            <v>7305.7199999999993</v>
          </cell>
          <cell r="F204">
            <v>110.7923686657842</v>
          </cell>
          <cell r="G204">
            <v>81.312669584245072</v>
          </cell>
          <cell r="H204">
            <v>72.955938990637762</v>
          </cell>
          <cell r="I204">
            <v>657.68520000000012</v>
          </cell>
          <cell r="J204">
            <v>9.015001550741804</v>
          </cell>
          <cell r="K204">
            <v>1136.2</v>
          </cell>
          <cell r="L204">
            <v>180421.6</v>
          </cell>
          <cell r="M204">
            <v>6067658</v>
          </cell>
          <cell r="N204">
            <v>6099050</v>
          </cell>
          <cell r="O204">
            <v>0.83612560692956772</v>
          </cell>
          <cell r="P204">
            <v>23379.4</v>
          </cell>
          <cell r="Q204">
            <v>3.2680054458821837</v>
          </cell>
        </row>
        <row r="205">
          <cell r="A205" t="str">
            <v>SANJAY GANDHI I</v>
          </cell>
          <cell r="B205" t="str">
            <v>93-94</v>
          </cell>
          <cell r="C205">
            <v>210</v>
          </cell>
          <cell r="D205">
            <v>1500</v>
          </cell>
          <cell r="E205">
            <v>213.536</v>
          </cell>
          <cell r="F205">
            <v>14.235733333333332</v>
          </cell>
          <cell r="G205">
            <v>51.811609848484849</v>
          </cell>
          <cell r="H205">
            <v>11.607740813220266</v>
          </cell>
          <cell r="I205">
            <v>26.419</v>
          </cell>
          <cell r="J205">
            <v>12.372152704930317</v>
          </cell>
          <cell r="K205">
            <v>210</v>
          </cell>
          <cell r="L205">
            <v>27246</v>
          </cell>
          <cell r="M205">
            <v>163172</v>
          </cell>
          <cell r="N205">
            <v>147992.79999999999</v>
          </cell>
          <cell r="O205">
            <v>0.69305784504720513</v>
          </cell>
          <cell r="P205">
            <v>9704.1849999999995</v>
          </cell>
          <cell r="Q205">
            <v>45.445194252959688</v>
          </cell>
        </row>
        <row r="206">
          <cell r="B206" t="str">
            <v>94-95</v>
          </cell>
          <cell r="C206">
            <v>420</v>
          </cell>
          <cell r="D206">
            <v>1500</v>
          </cell>
          <cell r="E206">
            <v>1199</v>
          </cell>
          <cell r="F206">
            <v>79.933333333333337</v>
          </cell>
          <cell r="G206">
            <v>72.66</v>
          </cell>
          <cell r="H206">
            <v>35.287909758778738</v>
          </cell>
          <cell r="I206">
            <v>140.80000000000001</v>
          </cell>
          <cell r="J206">
            <v>11.743119266055047</v>
          </cell>
          <cell r="K206">
            <v>420</v>
          </cell>
          <cell r="L206">
            <v>42526</v>
          </cell>
          <cell r="M206">
            <v>900647</v>
          </cell>
          <cell r="N206">
            <v>920961</v>
          </cell>
          <cell r="O206">
            <v>0.76810758965804837</v>
          </cell>
          <cell r="P206">
            <v>34256</v>
          </cell>
          <cell r="Q206">
            <v>28.57047539616347</v>
          </cell>
        </row>
        <row r="207">
          <cell r="B207" t="str">
            <v>95-96</v>
          </cell>
          <cell r="C207">
            <v>420</v>
          </cell>
          <cell r="D207">
            <v>2420</v>
          </cell>
          <cell r="E207">
            <v>1991.4</v>
          </cell>
          <cell r="F207">
            <v>82.289256198347104</v>
          </cell>
          <cell r="G207">
            <v>74</v>
          </cell>
          <cell r="H207">
            <v>53.978011969815249</v>
          </cell>
          <cell r="I207">
            <v>202.1</v>
          </cell>
          <cell r="J207">
            <v>10.148639148337852</v>
          </cell>
          <cell r="K207">
            <v>420</v>
          </cell>
          <cell r="L207">
            <v>14598</v>
          </cell>
          <cell r="M207">
            <v>1425155</v>
          </cell>
          <cell r="N207">
            <v>1338274</v>
          </cell>
          <cell r="O207">
            <v>0.67202671487395804</v>
          </cell>
          <cell r="P207">
            <v>23294</v>
          </cell>
          <cell r="Q207">
            <v>11.697298383047102</v>
          </cell>
        </row>
        <row r="208">
          <cell r="B208" t="str">
            <v>96-97</v>
          </cell>
          <cell r="C208">
            <v>420</v>
          </cell>
          <cell r="D208">
            <v>2500</v>
          </cell>
          <cell r="E208">
            <v>2363</v>
          </cell>
          <cell r="F208">
            <v>94.52</v>
          </cell>
          <cell r="G208">
            <v>79.2</v>
          </cell>
          <cell r="H208">
            <v>64.225918677973468</v>
          </cell>
          <cell r="I208">
            <v>227.8</v>
          </cell>
          <cell r="J208">
            <v>9.6402877697841731</v>
          </cell>
          <cell r="K208">
            <v>420</v>
          </cell>
          <cell r="L208">
            <v>140663</v>
          </cell>
          <cell r="M208">
            <v>1583093</v>
          </cell>
          <cell r="N208">
            <v>1606855</v>
          </cell>
          <cell r="O208">
            <v>0.68000634786288616</v>
          </cell>
          <cell r="P208">
            <v>13542</v>
          </cell>
          <cell r="Q208">
            <v>5.7308506136267461</v>
          </cell>
        </row>
        <row r="209">
          <cell r="B209" t="str">
            <v>97-98</v>
          </cell>
          <cell r="C209">
            <v>420</v>
          </cell>
          <cell r="D209">
            <v>2450</v>
          </cell>
          <cell r="E209">
            <v>2249.6</v>
          </cell>
          <cell r="F209">
            <v>91.820408163265313</v>
          </cell>
          <cell r="G209">
            <v>71.7</v>
          </cell>
          <cell r="H209">
            <v>61.143726897151552</v>
          </cell>
          <cell r="I209">
            <v>240.256</v>
          </cell>
          <cell r="J209">
            <v>10.679943100995732</v>
          </cell>
          <cell r="K209">
            <v>428</v>
          </cell>
          <cell r="L209">
            <v>145240</v>
          </cell>
          <cell r="M209">
            <v>1590809</v>
          </cell>
          <cell r="N209">
            <v>1530284</v>
          </cell>
          <cell r="O209">
            <v>0.68024715504978661</v>
          </cell>
          <cell r="P209">
            <v>9014</v>
          </cell>
          <cell r="Q209">
            <v>4.0069345661450928</v>
          </cell>
        </row>
        <row r="210">
          <cell r="B210" t="str">
            <v>98-99</v>
          </cell>
          <cell r="C210">
            <v>420</v>
          </cell>
          <cell r="D210">
            <v>2600</v>
          </cell>
          <cell r="E210">
            <v>2518.15</v>
          </cell>
          <cell r="F210">
            <v>96.851923076923072</v>
          </cell>
          <cell r="G210">
            <v>80</v>
          </cell>
          <cell r="H210">
            <v>68.442868014785816</v>
          </cell>
          <cell r="I210">
            <v>252.1</v>
          </cell>
          <cell r="J210">
            <v>10.01131783253579</v>
          </cell>
          <cell r="K210">
            <v>422</v>
          </cell>
          <cell r="L210">
            <v>120443</v>
          </cell>
          <cell r="M210">
            <v>1750724</v>
          </cell>
          <cell r="N210">
            <v>1762685</v>
          </cell>
          <cell r="O210">
            <v>0.6999920576613784</v>
          </cell>
          <cell r="P210">
            <v>10321</v>
          </cell>
          <cell r="Q210">
            <v>4.0986438456803604</v>
          </cell>
        </row>
        <row r="211">
          <cell r="B211" t="str">
            <v>99-00</v>
          </cell>
          <cell r="C211">
            <v>420</v>
          </cell>
          <cell r="D211">
            <v>2750</v>
          </cell>
          <cell r="E211">
            <v>2308.1</v>
          </cell>
          <cell r="F211">
            <v>83.9</v>
          </cell>
          <cell r="G211">
            <v>76.099999999999994</v>
          </cell>
          <cell r="H211">
            <v>62.6</v>
          </cell>
          <cell r="I211">
            <v>235.9</v>
          </cell>
          <cell r="J211">
            <v>10.220527706771804</v>
          </cell>
          <cell r="K211">
            <v>410</v>
          </cell>
          <cell r="L211" t="str">
            <v xml:space="preserve"> </v>
          </cell>
          <cell r="M211">
            <v>5821951</v>
          </cell>
          <cell r="N211">
            <v>1629408</v>
          </cell>
          <cell r="O211">
            <v>0.70595208179888225</v>
          </cell>
          <cell r="P211">
            <v>6311</v>
          </cell>
          <cell r="Q211">
            <v>2.7342836098955852</v>
          </cell>
        </row>
        <row r="212">
          <cell r="B212" t="str">
            <v>00-01</v>
          </cell>
          <cell r="C212">
            <v>420</v>
          </cell>
          <cell r="D212">
            <v>2650</v>
          </cell>
          <cell r="E212">
            <v>2063.33</v>
          </cell>
          <cell r="F212">
            <v>77.89</v>
          </cell>
          <cell r="G212">
            <v>77.25</v>
          </cell>
          <cell r="H212">
            <v>56.08</v>
          </cell>
          <cell r="I212">
            <v>215.97</v>
          </cell>
          <cell r="J212">
            <v>10.46706052836919</v>
          </cell>
          <cell r="K212">
            <v>420</v>
          </cell>
          <cell r="L212">
            <v>86958</v>
          </cell>
          <cell r="M212">
            <v>6219252</v>
          </cell>
          <cell r="N212">
            <v>1511420</v>
          </cell>
          <cell r="O212">
            <v>0.73251491520987921</v>
          </cell>
          <cell r="P212">
            <v>13144</v>
          </cell>
          <cell r="Q212">
            <v>6.3702849277624036</v>
          </cell>
        </row>
        <row r="213">
          <cell r="A213" t="str">
            <v>Average last 5 years</v>
          </cell>
          <cell r="D213">
            <v>2590</v>
          </cell>
          <cell r="E213">
            <v>2300.4360000000001</v>
          </cell>
          <cell r="F213">
            <v>88.996466248037677</v>
          </cell>
          <cell r="G213">
            <v>76.849999999999994</v>
          </cell>
          <cell r="H213">
            <v>62.49850271798217</v>
          </cell>
          <cell r="I213">
            <v>234.40520000000001</v>
          </cell>
          <cell r="J213">
            <v>10.203827387691337</v>
          </cell>
          <cell r="K213">
            <v>420</v>
          </cell>
          <cell r="L213">
            <v>98660.800000000003</v>
          </cell>
          <cell r="M213">
            <v>3393165.8</v>
          </cell>
          <cell r="N213">
            <v>1608130.4</v>
          </cell>
          <cell r="O213">
            <v>0.69974251151656253</v>
          </cell>
          <cell r="P213">
            <v>10466.4</v>
          </cell>
          <cell r="Q213">
            <v>4.5881995126220376</v>
          </cell>
        </row>
        <row r="214">
          <cell r="A214" t="str">
            <v>SANJAY GANDHI II</v>
          </cell>
          <cell r="B214" t="str">
            <v>99-00</v>
          </cell>
          <cell r="C214">
            <v>420</v>
          </cell>
          <cell r="D214">
            <v>1000</v>
          </cell>
          <cell r="E214">
            <v>1466.19</v>
          </cell>
          <cell r="F214">
            <v>146.619</v>
          </cell>
          <cell r="G214">
            <v>90.47</v>
          </cell>
          <cell r="H214">
            <v>85.84</v>
          </cell>
          <cell r="I214">
            <v>155.31</v>
          </cell>
          <cell r="J214">
            <v>10.592760829087634</v>
          </cell>
          <cell r="K214">
            <v>420</v>
          </cell>
          <cell r="L214" t="str">
            <v xml:space="preserve"> </v>
          </cell>
          <cell r="M214" t="str">
            <v xml:space="preserve"> </v>
          </cell>
          <cell r="N214">
            <v>1024588</v>
          </cell>
          <cell r="O214">
            <v>0.69880984047088035</v>
          </cell>
          <cell r="P214">
            <v>17216.427</v>
          </cell>
          <cell r="Q214">
            <v>11.742289198534978</v>
          </cell>
        </row>
        <row r="215">
          <cell r="B215" t="str">
            <v>00-01</v>
          </cell>
          <cell r="C215">
            <v>420</v>
          </cell>
          <cell r="D215">
            <v>2700</v>
          </cell>
          <cell r="E215">
            <v>2860.88</v>
          </cell>
          <cell r="F215">
            <v>105.84</v>
          </cell>
          <cell r="G215">
            <v>89.52</v>
          </cell>
          <cell r="H215">
            <v>77.760000000000005</v>
          </cell>
          <cell r="I215">
            <v>283.33999999999997</v>
          </cell>
          <cell r="J215">
            <v>9.9</v>
          </cell>
          <cell r="K215">
            <v>420</v>
          </cell>
          <cell r="N215">
            <v>2096666</v>
          </cell>
          <cell r="O215">
            <v>0.73299999999999998</v>
          </cell>
          <cell r="P215">
            <v>8182</v>
          </cell>
          <cell r="Q215">
            <v>2.86</v>
          </cell>
        </row>
        <row r="216">
          <cell r="A216" t="str">
            <v>Average last 2 years</v>
          </cell>
          <cell r="D216">
            <v>1850</v>
          </cell>
          <cell r="E216">
            <v>2163.5349999999999</v>
          </cell>
          <cell r="F216">
            <v>126.2295</v>
          </cell>
          <cell r="G216">
            <v>89.995000000000005</v>
          </cell>
          <cell r="H216">
            <v>81.800000000000011</v>
          </cell>
          <cell r="I216">
            <v>219.32499999999999</v>
          </cell>
          <cell r="J216">
            <v>10.246380414543818</v>
          </cell>
          <cell r="K216">
            <v>420</v>
          </cell>
          <cell r="L216">
            <v>0</v>
          </cell>
          <cell r="M216">
            <v>0</v>
          </cell>
          <cell r="N216">
            <v>1560627</v>
          </cell>
          <cell r="O216">
            <v>0.71590492023544017</v>
          </cell>
          <cell r="P216">
            <v>12699.2135</v>
          </cell>
          <cell r="Q216">
            <v>7.3011445992674888</v>
          </cell>
        </row>
        <row r="217">
          <cell r="A217" t="str">
            <v>SANJAY GANDHI</v>
          </cell>
          <cell r="B217" t="str">
            <v>93-94</v>
          </cell>
          <cell r="C217">
            <v>210</v>
          </cell>
          <cell r="D217">
            <v>1500</v>
          </cell>
          <cell r="E217">
            <v>213.536</v>
          </cell>
          <cell r="F217">
            <v>14.235733333333332</v>
          </cell>
          <cell r="G217">
            <v>51.811609848484849</v>
          </cell>
          <cell r="H217">
            <v>11.607740813220266</v>
          </cell>
          <cell r="I217">
            <v>26.419</v>
          </cell>
          <cell r="J217">
            <v>12.372152704930317</v>
          </cell>
          <cell r="K217">
            <v>210</v>
          </cell>
          <cell r="L217">
            <v>27246</v>
          </cell>
          <cell r="M217">
            <v>163172</v>
          </cell>
          <cell r="N217">
            <v>147992.79999999999</v>
          </cell>
          <cell r="O217">
            <v>0.69305784504720513</v>
          </cell>
          <cell r="P217">
            <v>9704.1849999999995</v>
          </cell>
          <cell r="Q217">
            <v>45.445194252959688</v>
          </cell>
        </row>
        <row r="218">
          <cell r="B218" t="str">
            <v>94-95</v>
          </cell>
          <cell r="C218">
            <v>420</v>
          </cell>
          <cell r="D218">
            <v>1500</v>
          </cell>
          <cell r="E218">
            <v>1199</v>
          </cell>
          <cell r="F218">
            <v>79.933333333333337</v>
          </cell>
          <cell r="G218">
            <v>72.66</v>
          </cell>
          <cell r="H218">
            <v>35.287909758778738</v>
          </cell>
          <cell r="I218">
            <v>140.80000000000001</v>
          </cell>
          <cell r="J218">
            <v>11.743119266055047</v>
          </cell>
          <cell r="K218">
            <v>420</v>
          </cell>
          <cell r="L218">
            <v>42526</v>
          </cell>
          <cell r="M218">
            <v>900647</v>
          </cell>
          <cell r="N218">
            <v>920961</v>
          </cell>
          <cell r="O218">
            <v>0.76810758965804837</v>
          </cell>
          <cell r="P218">
            <v>34256</v>
          </cell>
          <cell r="Q218">
            <v>28.57047539616347</v>
          </cell>
        </row>
        <row r="219">
          <cell r="B219" t="str">
            <v>95-96</v>
          </cell>
          <cell r="C219">
            <v>420</v>
          </cell>
          <cell r="D219">
            <v>2420</v>
          </cell>
          <cell r="E219">
            <v>1991.4</v>
          </cell>
          <cell r="F219">
            <v>82.289256198347104</v>
          </cell>
          <cell r="G219">
            <v>74</v>
          </cell>
          <cell r="H219">
            <v>53.978011969815249</v>
          </cell>
          <cell r="I219">
            <v>202.1</v>
          </cell>
          <cell r="J219">
            <v>10.148639148337852</v>
          </cell>
          <cell r="K219">
            <v>420</v>
          </cell>
          <cell r="L219">
            <v>14598</v>
          </cell>
          <cell r="M219">
            <v>1425155</v>
          </cell>
          <cell r="N219">
            <v>1338274</v>
          </cell>
          <cell r="O219">
            <v>0.67202671487395804</v>
          </cell>
          <cell r="P219">
            <v>23294</v>
          </cell>
          <cell r="Q219">
            <v>11.697298383047102</v>
          </cell>
        </row>
        <row r="220">
          <cell r="B220" t="str">
            <v>96-97</v>
          </cell>
          <cell r="C220">
            <v>420</v>
          </cell>
          <cell r="D220">
            <v>2500</v>
          </cell>
          <cell r="E220">
            <v>2363</v>
          </cell>
          <cell r="F220">
            <v>94.52</v>
          </cell>
          <cell r="G220">
            <v>79.2</v>
          </cell>
          <cell r="H220">
            <v>64.225918677973468</v>
          </cell>
          <cell r="I220">
            <v>227.8</v>
          </cell>
          <cell r="J220">
            <v>9.6402877697841731</v>
          </cell>
          <cell r="K220">
            <v>420</v>
          </cell>
          <cell r="L220">
            <v>140663</v>
          </cell>
          <cell r="M220">
            <v>1583093</v>
          </cell>
          <cell r="N220">
            <v>1606855</v>
          </cell>
          <cell r="O220">
            <v>0.68000634786288616</v>
          </cell>
          <cell r="P220">
            <v>13542</v>
          </cell>
          <cell r="Q220">
            <v>5.7308506136267461</v>
          </cell>
        </row>
        <row r="221">
          <cell r="B221" t="str">
            <v>97-98</v>
          </cell>
          <cell r="C221">
            <v>420</v>
          </cell>
          <cell r="D221">
            <v>2450</v>
          </cell>
          <cell r="E221">
            <v>2249.6</v>
          </cell>
          <cell r="F221">
            <v>91.820408163265313</v>
          </cell>
          <cell r="G221">
            <v>71.7</v>
          </cell>
          <cell r="H221">
            <v>61.143726897151552</v>
          </cell>
          <cell r="I221">
            <v>240.256</v>
          </cell>
          <cell r="J221">
            <v>10.679943100995732</v>
          </cell>
          <cell r="K221">
            <v>428</v>
          </cell>
          <cell r="L221">
            <v>145240</v>
          </cell>
          <cell r="M221">
            <v>1590809</v>
          </cell>
          <cell r="N221">
            <v>1530284</v>
          </cell>
          <cell r="O221">
            <v>0.68024715504978661</v>
          </cell>
          <cell r="P221">
            <v>9014</v>
          </cell>
          <cell r="Q221">
            <v>4.0069345661450928</v>
          </cell>
        </row>
        <row r="222">
          <cell r="B222" t="str">
            <v>98-99</v>
          </cell>
          <cell r="C222">
            <v>420</v>
          </cell>
          <cell r="D222">
            <v>2600</v>
          </cell>
          <cell r="E222">
            <v>2518.15</v>
          </cell>
          <cell r="F222">
            <v>96.851923076923072</v>
          </cell>
          <cell r="G222">
            <v>80</v>
          </cell>
          <cell r="H222">
            <v>68.442868014785816</v>
          </cell>
          <cell r="I222">
            <v>252.1</v>
          </cell>
          <cell r="J222">
            <v>10.01131783253579</v>
          </cell>
          <cell r="K222">
            <v>422</v>
          </cell>
          <cell r="L222">
            <v>120443</v>
          </cell>
          <cell r="M222">
            <v>1750724</v>
          </cell>
          <cell r="N222">
            <v>1762685</v>
          </cell>
          <cell r="O222">
            <v>0.6999920576613784</v>
          </cell>
          <cell r="P222">
            <v>10321</v>
          </cell>
          <cell r="Q222">
            <v>4.0986438456803604</v>
          </cell>
        </row>
        <row r="223">
          <cell r="B223" t="str">
            <v>99-00</v>
          </cell>
          <cell r="C223">
            <v>840</v>
          </cell>
          <cell r="D223">
            <v>3750</v>
          </cell>
          <cell r="E223">
            <v>3774.29</v>
          </cell>
          <cell r="F223">
            <v>230.51900000000001</v>
          </cell>
          <cell r="G223">
            <v>166.57</v>
          </cell>
          <cell r="H223">
            <v>148.44</v>
          </cell>
          <cell r="I223">
            <v>391.21000000000004</v>
          </cell>
          <cell r="J223">
            <v>20.813288535859439</v>
          </cell>
          <cell r="K223">
            <v>830</v>
          </cell>
          <cell r="L223">
            <v>171738.57</v>
          </cell>
          <cell r="M223">
            <v>2540597.02</v>
          </cell>
          <cell r="N223">
            <v>2180367</v>
          </cell>
          <cell r="O223">
            <v>1.4047619222697625</v>
          </cell>
          <cell r="P223">
            <v>23527.427</v>
          </cell>
          <cell r="Q223">
            <v>14.476572808430564</v>
          </cell>
        </row>
        <row r="224">
          <cell r="B224" t="str">
            <v>00-01</v>
          </cell>
          <cell r="C224">
            <v>840</v>
          </cell>
          <cell r="D224">
            <v>5350</v>
          </cell>
          <cell r="E224">
            <v>4924.21</v>
          </cell>
          <cell r="F224">
            <v>92.01</v>
          </cell>
          <cell r="G224">
            <v>83.39</v>
          </cell>
          <cell r="H224">
            <v>66.92</v>
          </cell>
          <cell r="I224">
            <v>499.31</v>
          </cell>
          <cell r="J224">
            <v>10.14</v>
          </cell>
          <cell r="K224">
            <v>820</v>
          </cell>
          <cell r="L224">
            <v>58349</v>
          </cell>
          <cell r="M224">
            <v>3800562</v>
          </cell>
          <cell r="N224">
            <v>2979105</v>
          </cell>
          <cell r="O224">
            <v>0.73</v>
          </cell>
          <cell r="P224">
            <v>21325</v>
          </cell>
          <cell r="Q224">
            <v>4.33</v>
          </cell>
        </row>
        <row r="225">
          <cell r="A225" t="str">
            <v>Average last 5 years</v>
          </cell>
          <cell r="D225">
            <v>3330</v>
          </cell>
          <cell r="E225">
            <v>3165.85</v>
          </cell>
          <cell r="F225">
            <v>121.14426624803768</v>
          </cell>
          <cell r="G225">
            <v>96.171999999999997</v>
          </cell>
          <cell r="H225">
            <v>81.834502717982176</v>
          </cell>
          <cell r="I225">
            <v>322.1352</v>
          </cell>
          <cell r="J225">
            <v>12.256967447835027</v>
          </cell>
          <cell r="K225">
            <v>584</v>
          </cell>
          <cell r="L225">
            <v>127286.71400000001</v>
          </cell>
          <cell r="M225">
            <v>2253157.0039999997</v>
          </cell>
          <cell r="N225">
            <v>2011859.2</v>
          </cell>
          <cell r="O225">
            <v>0.83900149656876266</v>
          </cell>
          <cell r="P225">
            <v>15545.885399999999</v>
          </cell>
          <cell r="Q225">
            <v>6.5286003667765531</v>
          </cell>
        </row>
        <row r="226">
          <cell r="A226" t="str">
            <v xml:space="preserve"> * SANJAY GHANDHI : CONSIDERING SGTPS # 1 W.E.F 01.04.93  &amp;  SGTPS # 2 W.E.F; 26.05.94 .# 3 WE.F; 01.09.99</v>
          </cell>
        </row>
        <row r="227">
          <cell r="A227" t="str">
            <v>CONSIDERING SGTPS # 1 W.E.F; 01.01.95    P.L.F. FOR 94-95 = 66.0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cell r="I230" t="str">
            <v>AUXILIARY CONSUMPTION</v>
          </cell>
          <cell r="K230" t="str">
            <v>MAXIMUM DEMAND</v>
          </cell>
          <cell r="L230" t="str">
            <v>COAL IN MT</v>
          </cell>
          <cell r="N230" t="str">
            <v>COAL CONSUMED</v>
          </cell>
          <cell r="P230" t="str">
            <v>FUEL OIL CONSUMPTION</v>
          </cell>
        </row>
        <row r="231">
          <cell r="C231" t="str">
            <v>MW</v>
          </cell>
          <cell r="D231" t="str">
            <v>MKwh</v>
          </cell>
          <cell r="E231" t="str">
            <v>MKwh</v>
          </cell>
          <cell r="F231" t="str">
            <v>%</v>
          </cell>
          <cell r="G231" t="str">
            <v>%</v>
          </cell>
          <cell r="H231" t="str">
            <v>%</v>
          </cell>
          <cell r="I231" t="str">
            <v>MKwh</v>
          </cell>
          <cell r="J231" t="str">
            <v>%</v>
          </cell>
          <cell r="K231" t="str">
            <v>MW</v>
          </cell>
          <cell r="L231" t="str">
            <v>OP.STOCK</v>
          </cell>
          <cell r="M231" t="str">
            <v>RECIEPT</v>
          </cell>
          <cell r="N231" t="str">
            <v>MT</v>
          </cell>
          <cell r="O231" t="str">
            <v>Kg/kWH</v>
          </cell>
          <cell r="P231" t="str">
            <v>KL</v>
          </cell>
          <cell r="Q231" t="str">
            <v>ml/KWH</v>
          </cell>
        </row>
        <row r="232">
          <cell r="A232" t="str">
            <v>THERMAL</v>
          </cell>
          <cell r="B232" t="str">
            <v>88-89</v>
          </cell>
          <cell r="C232">
            <v>2812.5</v>
          </cell>
          <cell r="D232">
            <v>13000</v>
          </cell>
          <cell r="E232">
            <v>12191.210000000001</v>
          </cell>
          <cell r="F232">
            <v>93.77853846153846</v>
          </cell>
          <cell r="G232">
            <v>68.689582222222228</v>
          </cell>
          <cell r="H232">
            <v>50.05</v>
          </cell>
          <cell r="I232">
            <v>0</v>
          </cell>
          <cell r="J232">
            <v>0</v>
          </cell>
          <cell r="K232">
            <v>2080</v>
          </cell>
          <cell r="M232">
            <v>0</v>
          </cell>
          <cell r="N232">
            <v>9903110</v>
          </cell>
          <cell r="O232">
            <v>0.81231559459643454</v>
          </cell>
          <cell r="P232">
            <v>153018</v>
          </cell>
          <cell r="Q232">
            <v>12.551502270898458</v>
          </cell>
        </row>
        <row r="233">
          <cell r="B233" t="str">
            <v>89-90</v>
          </cell>
          <cell r="C233">
            <v>2812.5</v>
          </cell>
          <cell r="D233">
            <v>13000</v>
          </cell>
          <cell r="E233">
            <v>12464.71</v>
          </cell>
          <cell r="F233">
            <v>95.882384615384609</v>
          </cell>
          <cell r="G233">
            <v>71.313822222222228</v>
          </cell>
          <cell r="H233">
            <v>50.592430238457638</v>
          </cell>
          <cell r="I233">
            <v>1225</v>
          </cell>
          <cell r="J233">
            <v>9.827745691636629</v>
          </cell>
          <cell r="K233">
            <v>2080</v>
          </cell>
          <cell r="M233">
            <v>9887181</v>
          </cell>
          <cell r="N233">
            <v>9880489</v>
          </cell>
          <cell r="O233">
            <v>0.79267700572255595</v>
          </cell>
          <cell r="P233">
            <v>222061</v>
          </cell>
          <cell r="Q233">
            <v>17.815175804330789</v>
          </cell>
        </row>
        <row r="234">
          <cell r="B234" t="str">
            <v>90-91</v>
          </cell>
          <cell r="C234">
            <v>2682.5</v>
          </cell>
          <cell r="D234">
            <v>13750</v>
          </cell>
          <cell r="E234">
            <v>12376.880000000001</v>
          </cell>
          <cell r="F234">
            <v>90.013672727272734</v>
          </cell>
          <cell r="G234">
            <v>71.034529356943153</v>
          </cell>
          <cell r="H234">
            <v>52.670488154663872</v>
          </cell>
          <cell r="I234">
            <v>1314.15</v>
          </cell>
          <cell r="J234">
            <v>10.61778089470044</v>
          </cell>
          <cell r="K234">
            <v>2176</v>
          </cell>
          <cell r="M234">
            <v>9549897</v>
          </cell>
          <cell r="N234">
            <v>9845919</v>
          </cell>
          <cell r="O234">
            <v>0.79550896510267521</v>
          </cell>
          <cell r="P234">
            <v>180521</v>
          </cell>
          <cell r="Q234">
            <v>14.585339762524965</v>
          </cell>
        </row>
        <row r="235">
          <cell r="B235" t="str">
            <v>91-92</v>
          </cell>
          <cell r="C235">
            <v>2682.5</v>
          </cell>
          <cell r="D235">
            <v>13440</v>
          </cell>
          <cell r="E235">
            <v>11579.91</v>
          </cell>
          <cell r="F235">
            <v>86.160044642857144</v>
          </cell>
          <cell r="G235">
            <v>66.919506057781931</v>
          </cell>
          <cell r="H235">
            <v>49.144296925529261</v>
          </cell>
          <cell r="I235">
            <v>1235.07</v>
          </cell>
          <cell r="J235">
            <v>10.665626934924365</v>
          </cell>
          <cell r="K235">
            <v>1930</v>
          </cell>
          <cell r="M235">
            <v>9509426</v>
          </cell>
          <cell r="N235">
            <v>9628339</v>
          </cell>
          <cell r="O235">
            <v>0.83146924285249191</v>
          </cell>
          <cell r="P235">
            <v>147302</v>
          </cell>
          <cell r="Q235">
            <v>12.720478829282785</v>
          </cell>
        </row>
        <row r="236">
          <cell r="B236" t="str">
            <v>92-93</v>
          </cell>
          <cell r="C236">
            <v>2682.5</v>
          </cell>
          <cell r="D236">
            <v>13240</v>
          </cell>
          <cell r="E236">
            <v>12363.220000000001</v>
          </cell>
          <cell r="F236">
            <v>93.377794561933541</v>
          </cell>
          <cell r="G236">
            <v>71.4544734389562</v>
          </cell>
          <cell r="H236">
            <v>52.612357279338859</v>
          </cell>
          <cell r="I236">
            <v>1288.08</v>
          </cell>
          <cell r="J236">
            <v>10.418644980838325</v>
          </cell>
          <cell r="K236">
            <v>2304</v>
          </cell>
          <cell r="M236">
            <v>10240661</v>
          </cell>
          <cell r="N236">
            <v>10365511</v>
          </cell>
          <cell r="O236">
            <v>0.8384151539809207</v>
          </cell>
          <cell r="P236">
            <v>178366</v>
          </cell>
          <cell r="Q236">
            <v>14.427147620118381</v>
          </cell>
        </row>
        <row r="237">
          <cell r="B237" t="str">
            <v>93-94</v>
          </cell>
          <cell r="C237">
            <v>2882.5</v>
          </cell>
          <cell r="D237">
            <v>14885</v>
          </cell>
          <cell r="E237">
            <v>13331.489799999999</v>
          </cell>
          <cell r="F237">
            <v>89.563250251931478</v>
          </cell>
          <cell r="G237">
            <v>70.561553251088981</v>
          </cell>
          <cell r="H237">
            <v>52.796515740157702</v>
          </cell>
          <cell r="I237">
            <v>1393.0175370000002</v>
          </cell>
          <cell r="J237">
            <v>10.449076269030341</v>
          </cell>
          <cell r="K237">
            <v>2516</v>
          </cell>
          <cell r="L237" t="str">
            <v xml:space="preserve"> </v>
          </cell>
          <cell r="M237">
            <v>10774979</v>
          </cell>
          <cell r="N237">
            <v>10889112.170000002</v>
          </cell>
          <cell r="O237">
            <v>0.81679634709693161</v>
          </cell>
          <cell r="P237">
            <v>145021.60399999999</v>
          </cell>
          <cell r="Q237">
            <v>10.878124363865171</v>
          </cell>
        </row>
        <row r="238">
          <cell r="B238" t="str">
            <v>94-95</v>
          </cell>
          <cell r="C238">
            <v>3092.5</v>
          </cell>
          <cell r="D238">
            <v>14850</v>
          </cell>
          <cell r="E238">
            <v>14781.1</v>
          </cell>
          <cell r="F238">
            <v>99.536026936026943</v>
          </cell>
          <cell r="G238">
            <v>74.786483427647539</v>
          </cell>
          <cell r="H238">
            <v>54.56233411959262</v>
          </cell>
          <cell r="I238">
            <v>1558.8</v>
          </cell>
          <cell r="J238">
            <v>10.545899831541631</v>
          </cell>
          <cell r="K238">
            <v>2860</v>
          </cell>
          <cell r="L238" t="str">
            <v xml:space="preserve"> </v>
          </cell>
          <cell r="M238">
            <v>12293369</v>
          </cell>
          <cell r="N238">
            <v>12127995</v>
          </cell>
          <cell r="O238">
            <v>0.82050693114856132</v>
          </cell>
          <cell r="P238">
            <v>185245</v>
          </cell>
          <cell r="Q238">
            <v>12.53255846993796</v>
          </cell>
        </row>
        <row r="239">
          <cell r="B239" t="str">
            <v>95-96</v>
          </cell>
          <cell r="C239">
            <v>3092.5</v>
          </cell>
          <cell r="D239">
            <v>16620</v>
          </cell>
          <cell r="E239">
            <v>16071.3</v>
          </cell>
          <cell r="F239">
            <v>96.698555956678703</v>
          </cell>
          <cell r="G239">
            <v>75.344624090541629</v>
          </cell>
          <cell r="H239">
            <v>59.324924419441643</v>
          </cell>
          <cell r="I239">
            <v>1648.2999999999997</v>
          </cell>
          <cell r="J239">
            <v>10.256170938256394</v>
          </cell>
          <cell r="K239">
            <v>2888</v>
          </cell>
          <cell r="L239" t="str">
            <v xml:space="preserve"> </v>
          </cell>
          <cell r="M239">
            <v>12728814</v>
          </cell>
          <cell r="N239">
            <v>13030027</v>
          </cell>
          <cell r="O239">
            <v>0.81076372166532884</v>
          </cell>
          <cell r="P239">
            <v>124103</v>
          </cell>
          <cell r="Q239">
            <v>7.7220262206542101</v>
          </cell>
        </row>
        <row r="240">
          <cell r="B240" t="str">
            <v>96-97</v>
          </cell>
          <cell r="C240">
            <v>3092.5</v>
          </cell>
          <cell r="D240">
            <v>16950</v>
          </cell>
          <cell r="E240">
            <v>16867.099999999999</v>
          </cell>
          <cell r="F240">
            <v>99.51091445427727</v>
          </cell>
          <cell r="G240">
            <v>74.891188358932908</v>
          </cell>
          <cell r="H240">
            <v>62.262507244290383</v>
          </cell>
          <cell r="I240">
            <v>1650.6000000000001</v>
          </cell>
          <cell r="J240">
            <v>9.7859145911271064</v>
          </cell>
          <cell r="K240">
            <v>2756</v>
          </cell>
          <cell r="L240" t="str">
            <v xml:space="preserve"> </v>
          </cell>
          <cell r="M240">
            <v>13634273</v>
          </cell>
          <cell r="N240">
            <v>13482299</v>
          </cell>
          <cell r="O240">
            <v>0.7993252544895092</v>
          </cell>
          <cell r="P240">
            <v>86830</v>
          </cell>
          <cell r="Q240">
            <v>5.1478914573341008</v>
          </cell>
        </row>
        <row r="241">
          <cell r="B241" t="str">
            <v>97-98</v>
          </cell>
          <cell r="C241">
            <v>3092.5</v>
          </cell>
          <cell r="D241">
            <v>17200</v>
          </cell>
          <cell r="E241">
            <v>17966.71</v>
          </cell>
          <cell r="F241">
            <v>104.45761627906977</v>
          </cell>
          <cell r="G241">
            <v>76.25933710590138</v>
          </cell>
          <cell r="H241">
            <v>66.321561592156598</v>
          </cell>
          <cell r="I241">
            <v>1765.9490000000001</v>
          </cell>
          <cell r="J241">
            <v>9.8290059782787171</v>
          </cell>
          <cell r="K241">
            <v>2920</v>
          </cell>
          <cell r="L241" t="str">
            <v xml:space="preserve"> </v>
          </cell>
          <cell r="M241">
            <v>14706104</v>
          </cell>
          <cell r="N241">
            <v>14265230</v>
          </cell>
          <cell r="O241">
            <v>0.79398120190062627</v>
          </cell>
          <cell r="P241">
            <v>66354</v>
          </cell>
          <cell r="Q241">
            <v>3.6931636342992125</v>
          </cell>
        </row>
        <row r="242">
          <cell r="B242" t="str">
            <v>98-99</v>
          </cell>
          <cell r="C242">
            <v>3092.5</v>
          </cell>
          <cell r="D242">
            <v>17500</v>
          </cell>
          <cell r="E242">
            <v>18471.390000000003</v>
          </cell>
          <cell r="F242">
            <v>105.55080000000001</v>
          </cell>
          <cell r="G242">
            <v>76.04373484236055</v>
          </cell>
          <cell r="H242">
            <v>68.184516229056172</v>
          </cell>
          <cell r="I242">
            <v>1784</v>
          </cell>
          <cell r="J242">
            <v>9.6581794873044196</v>
          </cell>
          <cell r="K242">
            <v>2886</v>
          </cell>
          <cell r="L242" t="str">
            <v xml:space="preserve"> </v>
          </cell>
          <cell r="M242">
            <v>13851114</v>
          </cell>
          <cell r="N242">
            <v>14547769</v>
          </cell>
          <cell r="O242">
            <v>0.78758387971885158</v>
          </cell>
          <cell r="P242">
            <v>51346</v>
          </cell>
          <cell r="Q242">
            <v>2.7797583181341521</v>
          </cell>
        </row>
        <row r="243">
          <cell r="B243" t="str">
            <v>99-00</v>
          </cell>
          <cell r="C243">
            <v>3512.5</v>
          </cell>
          <cell r="D243">
            <v>19000</v>
          </cell>
          <cell r="E243">
            <v>20146.400000000001</v>
          </cell>
          <cell r="F243">
            <v>106</v>
          </cell>
          <cell r="G243">
            <v>79.099999999999994</v>
          </cell>
          <cell r="H243">
            <v>69.400000000000006</v>
          </cell>
          <cell r="I243">
            <v>1952.8</v>
          </cell>
          <cell r="J243">
            <v>9.6930468967160373</v>
          </cell>
          <cell r="K243">
            <v>3169</v>
          </cell>
          <cell r="M243">
            <v>15499659</v>
          </cell>
          <cell r="N243">
            <v>15648859</v>
          </cell>
          <cell r="O243">
            <v>0.77675708811499822</v>
          </cell>
          <cell r="P243">
            <v>58343</v>
          </cell>
          <cell r="Q243">
            <v>2.29</v>
          </cell>
        </row>
        <row r="244">
          <cell r="B244" t="str">
            <v>00-01</v>
          </cell>
          <cell r="C244">
            <v>3512.5</v>
          </cell>
          <cell r="D244">
            <v>21850</v>
          </cell>
          <cell r="E244">
            <v>20415.89</v>
          </cell>
          <cell r="F244">
            <v>93.22</v>
          </cell>
          <cell r="G244">
            <v>77.67</v>
          </cell>
          <cell r="H244">
            <v>66.349999999999994</v>
          </cell>
          <cell r="I244">
            <v>1982.06</v>
          </cell>
          <cell r="J244">
            <v>9.7100000000000009</v>
          </cell>
          <cell r="K244">
            <v>3013</v>
          </cell>
          <cell r="M244">
            <v>15975901</v>
          </cell>
          <cell r="N244">
            <v>16020288</v>
          </cell>
          <cell r="O244">
            <v>0.78469701786206725</v>
          </cell>
          <cell r="P244">
            <v>65679</v>
          </cell>
          <cell r="Q244">
            <v>3.22</v>
          </cell>
        </row>
        <row r="245">
          <cell r="A245" t="str">
            <v>Average last 5 years</v>
          </cell>
          <cell r="D245">
            <v>18500</v>
          </cell>
          <cell r="E245">
            <v>18773.498</v>
          </cell>
          <cell r="F245">
            <v>101.74786614666941</v>
          </cell>
          <cell r="G245">
            <v>76.792852061438964</v>
          </cell>
          <cell r="H245">
            <v>66.503717013100641</v>
          </cell>
          <cell r="I245">
            <v>1827.0817999999999</v>
          </cell>
          <cell r="J245">
            <v>9.7352293906852569</v>
          </cell>
          <cell r="K245">
            <v>2948.8</v>
          </cell>
          <cell r="L245">
            <v>0</v>
          </cell>
          <cell r="M245">
            <v>14733410.199999999</v>
          </cell>
          <cell r="N245">
            <v>14792889</v>
          </cell>
          <cell r="O245">
            <v>0.78846888841721063</v>
          </cell>
          <cell r="P245">
            <v>65710.399999999994</v>
          </cell>
          <cell r="Q245">
            <v>3.4261626819534925</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xml:space="preserve"> </v>
          </cell>
          <cell r="H249">
            <v>48.670693426781355</v>
          </cell>
          <cell r="I249">
            <v>0</v>
          </cell>
          <cell r="J249">
            <v>0</v>
          </cell>
          <cell r="K249" t="str">
            <v xml:space="preserve"> </v>
          </cell>
          <cell r="N249">
            <v>9295662.4000000004</v>
          </cell>
          <cell r="O249">
            <v>0.81126031108634111</v>
          </cell>
          <cell r="P249">
            <v>142896.79999999999</v>
          </cell>
          <cell r="Q249">
            <v>12.471031910672945</v>
          </cell>
        </row>
        <row r="250">
          <cell r="B250" t="str">
            <v>89-90</v>
          </cell>
          <cell r="C250">
            <v>2687.5</v>
          </cell>
          <cell r="D250">
            <v>12370</v>
          </cell>
          <cell r="E250">
            <v>11772.71</v>
          </cell>
          <cell r="F250">
            <v>95.171463217461607</v>
          </cell>
          <cell r="G250" t="str">
            <v xml:space="preserve"> </v>
          </cell>
          <cell r="H250">
            <v>50.006201550387594</v>
          </cell>
          <cell r="I250">
            <v>1151.8</v>
          </cell>
          <cell r="J250">
            <v>9.7836436980100601</v>
          </cell>
          <cell r="K250" t="str">
            <v xml:space="preserve"> </v>
          </cell>
          <cell r="N250">
            <v>9338119.8000000007</v>
          </cell>
          <cell r="O250">
            <v>0.7932005290200812</v>
          </cell>
          <cell r="P250">
            <v>205382.6</v>
          </cell>
          <cell r="Q250">
            <v>17.445651850763333</v>
          </cell>
        </row>
        <row r="251">
          <cell r="B251" t="str">
            <v>90-91</v>
          </cell>
          <cell r="C251">
            <v>2557.5</v>
          </cell>
          <cell r="D251">
            <v>13070</v>
          </cell>
          <cell r="E251">
            <v>11770.724</v>
          </cell>
          <cell r="F251">
            <v>90.059097169089512</v>
          </cell>
          <cell r="G251" t="str">
            <v xml:space="preserve"> </v>
          </cell>
          <cell r="H251">
            <v>52.539196650553258</v>
          </cell>
          <cell r="I251">
            <v>1245.9940000000001</v>
          </cell>
          <cell r="J251">
            <v>10.585534075898815</v>
          </cell>
          <cell r="K251" t="str">
            <v xml:space="preserve"> </v>
          </cell>
          <cell r="N251">
            <v>9339014.1999999993</v>
          </cell>
          <cell r="O251">
            <v>0.7934103458716727</v>
          </cell>
          <cell r="P251">
            <v>168809.8</v>
          </cell>
          <cell r="Q251">
            <v>14.341496750752119</v>
          </cell>
        </row>
        <row r="252">
          <cell r="B252" t="str">
            <v>91-92</v>
          </cell>
          <cell r="C252">
            <v>2557.5</v>
          </cell>
          <cell r="D252">
            <v>12760</v>
          </cell>
          <cell r="E252">
            <v>11025.722</v>
          </cell>
          <cell r="F252">
            <v>86.408479623824448</v>
          </cell>
          <cell r="G252" t="str">
            <v xml:space="preserve"> </v>
          </cell>
          <cell r="H252">
            <v>49.07938008678358</v>
          </cell>
          <cell r="I252">
            <v>1175.4099999999999</v>
          </cell>
          <cell r="J252">
            <v>10.660617055282184</v>
          </cell>
          <cell r="K252" t="str">
            <v xml:space="preserve"> </v>
          </cell>
          <cell r="N252">
            <v>9135691.4000000004</v>
          </cell>
          <cell r="O252">
            <v>0.82857987894126117</v>
          </cell>
          <cell r="P252">
            <v>137508.4</v>
          </cell>
          <cell r="Q252">
            <v>12.471600499268892</v>
          </cell>
        </row>
        <row r="253">
          <cell r="B253" t="str">
            <v>92-93</v>
          </cell>
          <cell r="C253">
            <v>2557.5</v>
          </cell>
          <cell r="D253">
            <v>12600</v>
          </cell>
          <cell r="E253">
            <v>11747.684000000001</v>
          </cell>
          <cell r="F253">
            <v>93.235587301587316</v>
          </cell>
          <cell r="G253" t="str">
            <v xml:space="preserve"> </v>
          </cell>
          <cell r="H253">
            <v>52.453775764346368</v>
          </cell>
          <cell r="I253">
            <v>1224.9159999999999</v>
          </cell>
          <cell r="J253">
            <v>10.426872224346516</v>
          </cell>
          <cell r="K253" t="str">
            <v xml:space="preserve"> </v>
          </cell>
          <cell r="N253">
            <v>9784266.5999999996</v>
          </cell>
          <cell r="O253">
            <v>0.83286770396616028</v>
          </cell>
          <cell r="P253">
            <v>167140</v>
          </cell>
          <cell r="Q253">
            <v>14.227485179206385</v>
          </cell>
        </row>
        <row r="254">
          <cell r="B254" t="str">
            <v>93-94</v>
          </cell>
          <cell r="C254">
            <v>2757.5</v>
          </cell>
          <cell r="D254">
            <v>14335</v>
          </cell>
          <cell r="E254">
            <v>12723.7418</v>
          </cell>
          <cell r="F254">
            <v>88.759970701081258</v>
          </cell>
          <cell r="G254" t="str">
            <v xml:space="preserve"> </v>
          </cell>
          <cell r="H254">
            <v>52.67386910749844</v>
          </cell>
          <cell r="I254">
            <v>1327.0063370000003</v>
          </cell>
          <cell r="J254">
            <v>10.429371782756551</v>
          </cell>
          <cell r="K254" t="str">
            <v xml:space="preserve"> </v>
          </cell>
          <cell r="N254">
            <v>10326945.770000001</v>
          </cell>
          <cell r="O254">
            <v>0.81162805189900999</v>
          </cell>
          <cell r="P254">
            <v>133056.89359999998</v>
          </cell>
          <cell r="Q254">
            <v>10.457371399976065</v>
          </cell>
        </row>
        <row r="255">
          <cell r="B255" t="str">
            <v>94-95</v>
          </cell>
          <cell r="C255">
            <v>2967.5</v>
          </cell>
          <cell r="D255">
            <v>14230</v>
          </cell>
          <cell r="E255">
            <v>14181.98</v>
          </cell>
          <cell r="F255">
            <v>99.662543921293036</v>
          </cell>
          <cell r="G255" t="str">
            <v xml:space="preserve"> </v>
          </cell>
          <cell r="H255">
            <v>54.555938958196286</v>
          </cell>
          <cell r="I255">
            <v>1494.36</v>
          </cell>
          <cell r="J255">
            <v>10.537033615898485</v>
          </cell>
          <cell r="K255" t="str">
            <v xml:space="preserve"> </v>
          </cell>
          <cell r="N255">
            <v>11574034.199999999</v>
          </cell>
          <cell r="O255">
            <v>0.81610848414678339</v>
          </cell>
          <cell r="P255">
            <v>177120.6</v>
          </cell>
          <cell r="Q255">
            <v>12.489130572740901</v>
          </cell>
        </row>
        <row r="256">
          <cell r="B256" t="str">
            <v>95-96</v>
          </cell>
          <cell r="C256">
            <v>2967.5</v>
          </cell>
          <cell r="D256">
            <v>16000</v>
          </cell>
          <cell r="E256">
            <v>15345.699999999999</v>
          </cell>
          <cell r="F256">
            <v>95.910624999999996</v>
          </cell>
          <cell r="G256" t="str">
            <v xml:space="preserve"> </v>
          </cell>
          <cell r="H256">
            <v>58.871303112191427</v>
          </cell>
          <cell r="I256">
            <v>1579.0199999999998</v>
          </cell>
          <cell r="J256">
            <v>10.28965768912464</v>
          </cell>
          <cell r="K256" t="str">
            <v xml:space="preserve"> </v>
          </cell>
          <cell r="N256">
            <v>12373859</v>
          </cell>
          <cell r="O256">
            <v>0.80634047322702784</v>
          </cell>
          <cell r="P256">
            <v>117168.6</v>
          </cell>
          <cell r="Q256">
            <v>7.6352724215904137</v>
          </cell>
        </row>
        <row r="257">
          <cell r="B257" t="str">
            <v>96-97</v>
          </cell>
          <cell r="C257">
            <v>2967.5</v>
          </cell>
          <cell r="D257">
            <v>16290</v>
          </cell>
          <cell r="E257">
            <v>16139.499999999998</v>
          </cell>
          <cell r="F257">
            <v>99.076120319214226</v>
          </cell>
          <cell r="G257" t="str">
            <v xml:space="preserve"> </v>
          </cell>
          <cell r="H257">
            <v>62.086223278823468</v>
          </cell>
          <cell r="I257">
            <v>1583.0000000000002</v>
          </cell>
          <cell r="J257">
            <v>9.8082344558381642</v>
          </cell>
          <cell r="K257" t="str">
            <v xml:space="preserve"> </v>
          </cell>
          <cell r="N257">
            <v>12828678.199999999</v>
          </cell>
          <cell r="O257">
            <v>0.79486218284333476</v>
          </cell>
          <cell r="P257">
            <v>81029.600000000006</v>
          </cell>
          <cell r="Q257">
            <v>5.0205768456271889</v>
          </cell>
        </row>
        <row r="258">
          <cell r="B258" t="str">
            <v>97-98</v>
          </cell>
          <cell r="C258">
            <v>2967.5</v>
          </cell>
          <cell r="D258">
            <v>16480</v>
          </cell>
          <cell r="E258">
            <v>17117.557999999997</v>
          </cell>
          <cell r="F258">
            <v>103.86867718446601</v>
          </cell>
          <cell r="G258" t="str">
            <v xml:space="preserve"> </v>
          </cell>
          <cell r="H258">
            <v>65.848664950971894</v>
          </cell>
          <cell r="I258">
            <v>1689.0150000000001</v>
          </cell>
          <cell r="J258">
            <v>9.8671492744467422</v>
          </cell>
          <cell r="K258" t="str">
            <v xml:space="preserve"> </v>
          </cell>
          <cell r="N258">
            <v>13509483.6</v>
          </cell>
          <cell r="O258">
            <v>0.78921792465958063</v>
          </cell>
          <cell r="P258">
            <v>62038.400000000001</v>
          </cell>
          <cell r="Q258">
            <v>3.6242552822078951</v>
          </cell>
        </row>
        <row r="259">
          <cell r="B259" t="str">
            <v>98-99</v>
          </cell>
          <cell r="C259">
            <v>2967.5</v>
          </cell>
          <cell r="D259">
            <v>16820</v>
          </cell>
          <cell r="E259">
            <v>17701.066000000003</v>
          </cell>
          <cell r="F259">
            <v>105.23820451843046</v>
          </cell>
          <cell r="G259" t="str">
            <v xml:space="preserve"> </v>
          </cell>
          <cell r="H259">
            <v>68.093332256215561</v>
          </cell>
          <cell r="I259">
            <v>1713.68</v>
          </cell>
          <cell r="J259">
            <v>9.6812248482661989</v>
          </cell>
          <cell r="K259" t="str">
            <v xml:space="preserve"> </v>
          </cell>
          <cell r="N259">
            <v>13872961</v>
          </cell>
          <cell r="O259">
            <v>0.78373590607480914</v>
          </cell>
          <cell r="P259">
            <v>47361.2</v>
          </cell>
          <cell r="Q259">
            <v>2.6756128698689667</v>
          </cell>
        </row>
        <row r="260">
          <cell r="B260" t="str">
            <v>99-00</v>
          </cell>
          <cell r="C260">
            <v>3387.5</v>
          </cell>
          <cell r="D260">
            <v>18240</v>
          </cell>
          <cell r="E260">
            <v>19305.5</v>
          </cell>
          <cell r="F260">
            <v>106.2</v>
          </cell>
          <cell r="I260">
            <v>1877.8</v>
          </cell>
          <cell r="J260">
            <v>9.7267618036310903</v>
          </cell>
          <cell r="N260">
            <v>14983496.6</v>
          </cell>
        </row>
        <row r="261">
          <cell r="B261" t="str">
            <v>00-01</v>
          </cell>
          <cell r="C261">
            <v>3387.5</v>
          </cell>
          <cell r="D261">
            <v>21070</v>
          </cell>
          <cell r="E261">
            <v>19626.939999999999</v>
          </cell>
          <cell r="F261">
            <v>92.93</v>
          </cell>
          <cell r="I261">
            <v>1909.7</v>
          </cell>
          <cell r="J261">
            <v>9.7299935700623745</v>
          </cell>
          <cell r="N261">
            <v>15354781.199999999</v>
          </cell>
        </row>
        <row r="262">
          <cell r="A262" t="str">
            <v>Average last 5 years</v>
          </cell>
          <cell r="D262">
            <v>17780</v>
          </cell>
          <cell r="E262">
            <v>17978.112799999999</v>
          </cell>
          <cell r="F262">
            <v>101.46260040442215</v>
          </cell>
          <cell r="I262">
            <v>1754.6390000000004</v>
          </cell>
          <cell r="J262">
            <v>9.7626727904489137</v>
          </cell>
        </row>
        <row r="263">
          <cell r="A263" t="str">
            <v>STATE  LOAD  DESPATCH  CENTRE  M.P.E.B.  JABALPUR</v>
          </cell>
        </row>
        <row r="264">
          <cell r="A264" t="str">
            <v>CHAMBAL COMPLEX</v>
          </cell>
        </row>
        <row r="265">
          <cell r="A265" t="str">
            <v>STATION NAME</v>
          </cell>
          <cell r="B265" t="str">
            <v>YEAR</v>
          </cell>
          <cell r="C265" t="str">
            <v>CAPACITY</v>
          </cell>
          <cell r="D265" t="str">
            <v>TARGET</v>
          </cell>
          <cell r="E265" t="str">
            <v>ACTUAL GENE.</v>
          </cell>
          <cell r="F265" t="str">
            <v>ACHIEVE-MENT</v>
          </cell>
          <cell r="G265" t="str">
            <v>AUXILIARY CONSUMPTION</v>
          </cell>
          <cell r="I265" t="str">
            <v>MAXIMUM DEMAND</v>
          </cell>
          <cell r="J265" t="str">
            <v>WATER INFLOW</v>
          </cell>
          <cell r="K265" t="str">
            <v>WATER CONSUMED</v>
          </cell>
          <cell r="L265" t="str">
            <v>WATER CONSUMED</v>
          </cell>
          <cell r="M265" t="str">
            <v>LEVEL AT THE END</v>
          </cell>
          <cell r="N265" t="str">
            <v>MAXIMUM LEVEL</v>
          </cell>
          <cell r="P265" t="str">
            <v>MINIMUM LEVEL</v>
          </cell>
        </row>
        <row r="266">
          <cell r="C266" t="str">
            <v>MW</v>
          </cell>
          <cell r="D266" t="str">
            <v>MKwh</v>
          </cell>
          <cell r="E266" t="str">
            <v>MKwh</v>
          </cell>
          <cell r="F266" t="str">
            <v>%</v>
          </cell>
          <cell r="G266" t="str">
            <v>MKwh</v>
          </cell>
          <cell r="H266" t="str">
            <v>%</v>
          </cell>
          <cell r="I266" t="str">
            <v>MW</v>
          </cell>
          <cell r="J266" t="str">
            <v>MAFT</v>
          </cell>
          <cell r="K266" t="str">
            <v>MCM</v>
          </cell>
          <cell r="L266" t="str">
            <v>MCM</v>
          </cell>
          <cell r="M266" t="str">
            <v>FT / M</v>
          </cell>
          <cell r="N266" t="str">
            <v>FT / M</v>
          </cell>
          <cell r="O266" t="str">
            <v>DATE</v>
          </cell>
          <cell r="P266" t="str">
            <v>FT / M</v>
          </cell>
          <cell r="Q266" t="str">
            <v>DATE</v>
          </cell>
        </row>
        <row r="267">
          <cell r="A267" t="str">
            <v>GANDHISAGAR</v>
          </cell>
          <cell r="B267" t="str">
            <v>88-89</v>
          </cell>
          <cell r="C267">
            <v>115</v>
          </cell>
          <cell r="D267">
            <v>415</v>
          </cell>
          <cell r="E267">
            <v>381</v>
          </cell>
          <cell r="F267">
            <v>91.807228915662648</v>
          </cell>
          <cell r="G267" t="str">
            <v xml:space="preserve"> </v>
          </cell>
          <cell r="H267">
            <v>0</v>
          </cell>
          <cell r="I267" t="str">
            <v xml:space="preserve"> </v>
          </cell>
          <cell r="J267" t="str">
            <v xml:space="preserve"> </v>
          </cell>
          <cell r="K267" t="str">
            <v xml:space="preserve"> </v>
          </cell>
          <cell r="L267" t="str">
            <v xml:space="preserve"> </v>
          </cell>
          <cell r="M267" t="str">
            <v xml:space="preserve"> </v>
          </cell>
          <cell r="N267" t="str">
            <v xml:space="preserve"> </v>
          </cell>
          <cell r="O267" t="str">
            <v xml:space="preserve"> </v>
          </cell>
          <cell r="P267" t="str">
            <v xml:space="preserve"> </v>
          </cell>
          <cell r="Q267" t="str">
            <v xml:space="preserve"> </v>
          </cell>
        </row>
        <row r="268">
          <cell r="B268" t="str">
            <v>89-90</v>
          </cell>
          <cell r="C268">
            <v>115</v>
          </cell>
          <cell r="D268">
            <v>415</v>
          </cell>
          <cell r="E268">
            <v>236.14</v>
          </cell>
          <cell r="F268">
            <v>56.901204819277112</v>
          </cell>
          <cell r="G268">
            <v>2</v>
          </cell>
          <cell r="H268">
            <v>0.84695519607012792</v>
          </cell>
          <cell r="I268">
            <v>106</v>
          </cell>
          <cell r="J268">
            <v>1.84</v>
          </cell>
          <cell r="K268">
            <v>2.2999999999999998</v>
          </cell>
          <cell r="L268">
            <v>2.2999999999999998</v>
          </cell>
          <cell r="M268">
            <v>1239.9000000000001</v>
          </cell>
          <cell r="N268">
            <v>1275.9000000000001</v>
          </cell>
          <cell r="O268" t="str">
            <v>26.09.89</v>
          </cell>
          <cell r="P268">
            <v>1240</v>
          </cell>
          <cell r="Q268" t="str">
            <v>31.03.90</v>
          </cell>
        </row>
        <row r="269">
          <cell r="B269" t="str">
            <v>90-91</v>
          </cell>
          <cell r="C269">
            <v>115</v>
          </cell>
          <cell r="D269">
            <v>370</v>
          </cell>
          <cell r="E269">
            <v>324.77999999999997</v>
          </cell>
          <cell r="F269">
            <v>87.778378378378363</v>
          </cell>
          <cell r="G269">
            <v>1</v>
          </cell>
          <cell r="H269">
            <v>0.30790073280374408</v>
          </cell>
          <cell r="I269">
            <v>116</v>
          </cell>
          <cell r="J269">
            <v>5.72</v>
          </cell>
          <cell r="K269">
            <v>2.36</v>
          </cell>
          <cell r="L269">
            <v>2.36</v>
          </cell>
          <cell r="M269">
            <v>1291.3900000000001</v>
          </cell>
          <cell r="N269">
            <v>1308.78</v>
          </cell>
          <cell r="O269" t="str">
            <v>21.10.90</v>
          </cell>
          <cell r="P269">
            <v>1234.92</v>
          </cell>
          <cell r="Q269" t="str">
            <v>27.06.90</v>
          </cell>
        </row>
        <row r="270">
          <cell r="B270" t="str">
            <v>91-92</v>
          </cell>
          <cell r="C270">
            <v>115</v>
          </cell>
          <cell r="D270">
            <v>370</v>
          </cell>
          <cell r="E270">
            <v>511.23</v>
          </cell>
          <cell r="F270">
            <v>138.17027027027027</v>
          </cell>
          <cell r="G270">
            <v>1</v>
          </cell>
          <cell r="H270">
            <v>0.19560667409972027</v>
          </cell>
          <cell r="I270">
            <v>110</v>
          </cell>
          <cell r="J270">
            <v>4.84</v>
          </cell>
          <cell r="K270">
            <v>2.68</v>
          </cell>
          <cell r="L270">
            <v>2.68</v>
          </cell>
          <cell r="M270">
            <v>1284.51</v>
          </cell>
          <cell r="N270">
            <v>1307.8499999999999</v>
          </cell>
          <cell r="O270" t="str">
            <v>05.09.91</v>
          </cell>
          <cell r="P270">
            <v>1280.07</v>
          </cell>
          <cell r="Q270" t="str">
            <v>21.07.91</v>
          </cell>
        </row>
        <row r="271">
          <cell r="B271" t="str">
            <v>92-93</v>
          </cell>
          <cell r="C271">
            <v>115</v>
          </cell>
          <cell r="D271">
            <v>400</v>
          </cell>
          <cell r="E271">
            <v>313.02</v>
          </cell>
          <cell r="F271">
            <v>78.254999999999995</v>
          </cell>
          <cell r="G271">
            <v>1</v>
          </cell>
          <cell r="H271">
            <v>0.31946840457478759</v>
          </cell>
          <cell r="I271">
            <v>109</v>
          </cell>
          <cell r="J271">
            <v>1.41</v>
          </cell>
          <cell r="K271">
            <v>2.74</v>
          </cell>
          <cell r="L271">
            <v>2.74</v>
          </cell>
          <cell r="M271">
            <v>1253.5</v>
          </cell>
          <cell r="N271">
            <v>1284.5</v>
          </cell>
          <cell r="O271" t="str">
            <v>17.10.92</v>
          </cell>
          <cell r="P271">
            <v>1272.3599999999999</v>
          </cell>
          <cell r="Q271" t="str">
            <v>26.07.92</v>
          </cell>
        </row>
        <row r="272">
          <cell r="B272" t="str">
            <v>93-94</v>
          </cell>
          <cell r="C272">
            <v>115</v>
          </cell>
          <cell r="D272">
            <v>500</v>
          </cell>
          <cell r="E272">
            <v>313.91899999999998</v>
          </cell>
          <cell r="F272">
            <v>62.783799999999992</v>
          </cell>
          <cell r="G272">
            <v>0.98</v>
          </cell>
          <cell r="H272">
            <v>0.31218244196751394</v>
          </cell>
          <cell r="I272">
            <v>110</v>
          </cell>
          <cell r="J272">
            <v>3.47</v>
          </cell>
          <cell r="K272">
            <v>2.6967169421487602</v>
          </cell>
          <cell r="L272">
            <v>2.6967169421487602</v>
          </cell>
          <cell r="M272">
            <v>1250.8900000000001</v>
          </cell>
          <cell r="N272">
            <v>1288.68</v>
          </cell>
          <cell r="O272" t="str">
            <v>06.10.93</v>
          </cell>
          <cell r="P272">
            <v>1248.72</v>
          </cell>
          <cell r="Q272" t="str">
            <v>19.06.93</v>
          </cell>
        </row>
        <row r="273">
          <cell r="B273" t="str">
            <v>94-95</v>
          </cell>
          <cell r="C273">
            <v>115</v>
          </cell>
          <cell r="D273">
            <v>415</v>
          </cell>
          <cell r="E273">
            <v>364.2</v>
          </cell>
          <cell r="F273">
            <v>87.759036144578317</v>
          </cell>
          <cell r="G273">
            <v>1</v>
          </cell>
          <cell r="H273">
            <v>0.27457440966501923</v>
          </cell>
          <cell r="I273">
            <v>116</v>
          </cell>
          <cell r="J273">
            <v>7.0490000000000004</v>
          </cell>
          <cell r="K273">
            <v>2.7308310376492195</v>
          </cell>
          <cell r="L273">
            <v>2.7308310376492195</v>
          </cell>
          <cell r="M273">
            <v>1295.7</v>
          </cell>
          <cell r="N273">
            <v>1311.25</v>
          </cell>
          <cell r="O273" t="str">
            <v>19.09.94</v>
          </cell>
          <cell r="P273">
            <v>1245.75</v>
          </cell>
          <cell r="Q273" t="str">
            <v>12.06.94</v>
          </cell>
        </row>
        <row r="274">
          <cell r="B274" t="str">
            <v>95-96</v>
          </cell>
          <cell r="C274">
            <v>115</v>
          </cell>
          <cell r="D274">
            <v>370</v>
          </cell>
          <cell r="E274">
            <v>572.9</v>
          </cell>
          <cell r="F274">
            <v>154.83783783783784</v>
          </cell>
          <cell r="G274">
            <v>1</v>
          </cell>
          <cell r="H274">
            <v>0.17455053237912377</v>
          </cell>
          <cell r="I274">
            <v>116</v>
          </cell>
          <cell r="J274">
            <v>4.3171999999999997</v>
          </cell>
          <cell r="K274">
            <v>4.3120504009163803</v>
          </cell>
          <cell r="L274">
            <v>4.3120504009163803</v>
          </cell>
          <cell r="M274">
            <v>1288.95</v>
          </cell>
          <cell r="N274">
            <v>1308.9100000000001</v>
          </cell>
          <cell r="O274" t="str">
            <v>09.09.95</v>
          </cell>
          <cell r="P274">
            <v>1282.1099999999999</v>
          </cell>
          <cell r="Q274" t="str">
            <v>17.07.95</v>
          </cell>
        </row>
        <row r="275">
          <cell r="B275" t="str">
            <v>96-97</v>
          </cell>
          <cell r="C275">
            <v>115</v>
          </cell>
          <cell r="D275">
            <v>400</v>
          </cell>
          <cell r="E275">
            <v>565.4</v>
          </cell>
          <cell r="F275">
            <v>141.35</v>
          </cell>
          <cell r="G275">
            <v>0.9</v>
          </cell>
          <cell r="H275">
            <v>0.1591793420587195</v>
          </cell>
          <cell r="I275">
            <v>111</v>
          </cell>
          <cell r="J275">
            <v>7.9</v>
          </cell>
          <cell r="K275">
            <v>4.3</v>
          </cell>
          <cell r="L275">
            <v>4.3</v>
          </cell>
          <cell r="M275">
            <v>1291.08</v>
          </cell>
          <cell r="N275">
            <v>1311.66</v>
          </cell>
          <cell r="O275" t="str">
            <v>17.09.96</v>
          </cell>
          <cell r="P275">
            <v>1277.9000000000001</v>
          </cell>
          <cell r="Q275" t="str">
            <v>21.07.96</v>
          </cell>
        </row>
        <row r="276">
          <cell r="B276" t="str">
            <v>97-98</v>
          </cell>
          <cell r="C276">
            <v>115</v>
          </cell>
          <cell r="D276">
            <v>400</v>
          </cell>
          <cell r="E276">
            <v>430.78</v>
          </cell>
          <cell r="F276">
            <v>107.69499999999999</v>
          </cell>
          <cell r="G276">
            <v>0.92900000000000005</v>
          </cell>
          <cell r="H276">
            <v>0.21565532290264175</v>
          </cell>
          <cell r="I276">
            <v>115</v>
          </cell>
          <cell r="J276">
            <v>4.5</v>
          </cell>
          <cell r="K276">
            <v>3.26</v>
          </cell>
          <cell r="M276">
            <v>1295.8</v>
          </cell>
          <cell r="N276">
            <v>1308.46</v>
          </cell>
          <cell r="O276" t="str">
            <v>08.10.97</v>
          </cell>
          <cell r="P276">
            <v>1279.8800000000001</v>
          </cell>
          <cell r="Q276" t="str">
            <v>05.07.97</v>
          </cell>
        </row>
        <row r="277">
          <cell r="B277" t="str">
            <v>98-99</v>
          </cell>
          <cell r="C277">
            <v>115</v>
          </cell>
          <cell r="D277">
            <v>450</v>
          </cell>
          <cell r="E277">
            <v>539.29999999999995</v>
          </cell>
          <cell r="F277">
            <v>119.84444444444443</v>
          </cell>
          <cell r="G277">
            <v>0.9</v>
          </cell>
          <cell r="H277">
            <v>0.16688299647691454</v>
          </cell>
          <cell r="I277">
            <v>115</v>
          </cell>
          <cell r="J277">
            <v>2.7</v>
          </cell>
          <cell r="K277">
            <v>4.4000000000000004</v>
          </cell>
          <cell r="M277">
            <v>1272.98</v>
          </cell>
          <cell r="N277">
            <v>1300.0899999999999</v>
          </cell>
          <cell r="O277" t="str">
            <v>03.10.98</v>
          </cell>
          <cell r="P277">
            <v>1273.28</v>
          </cell>
          <cell r="Q277" t="str">
            <v>30.03.99</v>
          </cell>
        </row>
        <row r="278">
          <cell r="B278" t="str">
            <v>99-00</v>
          </cell>
          <cell r="C278">
            <v>115</v>
          </cell>
          <cell r="D278">
            <v>450</v>
          </cell>
          <cell r="E278">
            <v>344.6</v>
          </cell>
          <cell r="F278">
            <v>76.599999999999994</v>
          </cell>
          <cell r="G278">
            <v>0.8</v>
          </cell>
          <cell r="H278">
            <v>0.23215322112594311</v>
          </cell>
          <cell r="I278">
            <v>110</v>
          </cell>
          <cell r="J278">
            <v>3.9569999999999999</v>
          </cell>
          <cell r="K278">
            <v>3.6440000000000001</v>
          </cell>
          <cell r="M278">
            <v>1265.2</v>
          </cell>
          <cell r="N278">
            <v>1291.43</v>
          </cell>
          <cell r="O278" t="str">
            <v xml:space="preserve"> </v>
          </cell>
          <cell r="P278">
            <v>1263.98</v>
          </cell>
        </row>
        <row r="279">
          <cell r="B279" t="str">
            <v>00-01</v>
          </cell>
          <cell r="C279">
            <v>115</v>
          </cell>
          <cell r="D279">
            <v>425</v>
          </cell>
          <cell r="E279">
            <v>104.2</v>
          </cell>
          <cell r="F279">
            <v>24.52</v>
          </cell>
          <cell r="G279">
            <v>0.94</v>
          </cell>
          <cell r="H279">
            <v>0.90211132437619956</v>
          </cell>
          <cell r="I279">
            <v>100</v>
          </cell>
          <cell r="J279">
            <v>0.76</v>
          </cell>
          <cell r="K279">
            <v>1.06</v>
          </cell>
          <cell r="M279">
            <v>1248.69</v>
          </cell>
        </row>
        <row r="280">
          <cell r="A280" t="str">
            <v>Average last 5 years</v>
          </cell>
          <cell r="D280">
            <v>414</v>
          </cell>
          <cell r="E280">
            <v>490.596</v>
          </cell>
          <cell r="F280">
            <v>120.06545645645645</v>
          </cell>
          <cell r="G280">
            <v>0.90579999999999994</v>
          </cell>
          <cell r="H280">
            <v>0.18968428298866855</v>
          </cell>
          <cell r="I280">
            <v>113.4</v>
          </cell>
          <cell r="J280">
            <v>4.6748399999999997</v>
          </cell>
          <cell r="K280">
            <v>4.1952100801832763</v>
          </cell>
          <cell r="L280">
            <v>1.7224100801832762</v>
          </cell>
          <cell r="M280">
            <v>1282.8019999999999</v>
          </cell>
          <cell r="N280">
            <v>1308.0740000000001</v>
          </cell>
          <cell r="O280">
            <v>0</v>
          </cell>
          <cell r="P280">
            <v>1271.7839999999999</v>
          </cell>
          <cell r="Q280">
            <v>0</v>
          </cell>
        </row>
        <row r="281">
          <cell r="A281" t="str">
            <v>R.P.SAGAR</v>
          </cell>
          <cell r="B281" t="str">
            <v>88-89</v>
          </cell>
          <cell r="C281">
            <v>172</v>
          </cell>
          <cell r="D281">
            <v>500</v>
          </cell>
          <cell r="E281">
            <v>435</v>
          </cell>
          <cell r="F281">
            <v>87</v>
          </cell>
          <cell r="G281" t="str">
            <v xml:space="preserve"> </v>
          </cell>
          <cell r="H281">
            <v>0</v>
          </cell>
          <cell r="I281" t="str">
            <v xml:space="preserve"> </v>
          </cell>
          <cell r="J281" t="str">
            <v xml:space="preserve"> </v>
          </cell>
          <cell r="K281" t="str">
            <v xml:space="preserve"> </v>
          </cell>
          <cell r="L281" t="str">
            <v xml:space="preserve"> </v>
          </cell>
          <cell r="M281" t="str">
            <v xml:space="preserve"> </v>
          </cell>
          <cell r="N281" t="str">
            <v xml:space="preserve"> </v>
          </cell>
          <cell r="O281" t="str">
            <v xml:space="preserve"> </v>
          </cell>
          <cell r="P281" t="str">
            <v xml:space="preserve"> </v>
          </cell>
          <cell r="Q281" t="str">
            <v xml:space="preserve"> </v>
          </cell>
        </row>
        <row r="282">
          <cell r="B282" t="str">
            <v>89-90</v>
          </cell>
          <cell r="C282">
            <v>172</v>
          </cell>
          <cell r="D282">
            <v>500</v>
          </cell>
          <cell r="E282">
            <v>374</v>
          </cell>
          <cell r="F282">
            <v>74.8</v>
          </cell>
          <cell r="G282">
            <v>5</v>
          </cell>
          <cell r="H282">
            <v>1.42</v>
          </cell>
          <cell r="I282">
            <v>172</v>
          </cell>
          <cell r="K282">
            <v>2.2799999999999998</v>
          </cell>
          <cell r="L282">
            <v>2.2799999999999998</v>
          </cell>
          <cell r="M282">
            <v>1126.9000000000001</v>
          </cell>
          <cell r="N282">
            <v>1145.7</v>
          </cell>
          <cell r="O282" t="str">
            <v>07.08.89</v>
          </cell>
          <cell r="P282">
            <v>1126.9000000000001</v>
          </cell>
          <cell r="Q282" t="str">
            <v>31.03.90</v>
          </cell>
        </row>
        <row r="283">
          <cell r="B283" t="str">
            <v>90-91</v>
          </cell>
          <cell r="C283">
            <v>172</v>
          </cell>
          <cell r="D283">
            <v>440</v>
          </cell>
          <cell r="E283">
            <v>330.9</v>
          </cell>
          <cell r="F283">
            <v>75.209999999999994</v>
          </cell>
          <cell r="G283">
            <v>1.5</v>
          </cell>
          <cell r="H283">
            <v>0.45330915684496831</v>
          </cell>
          <cell r="I283">
            <v>172</v>
          </cell>
          <cell r="K283">
            <v>2.2400000000000002</v>
          </cell>
          <cell r="L283">
            <v>2.2400000000000002</v>
          </cell>
          <cell r="M283">
            <v>1136.33</v>
          </cell>
          <cell r="N283">
            <v>1143.5</v>
          </cell>
          <cell r="O283" t="str">
            <v>10.10.90</v>
          </cell>
          <cell r="P283">
            <v>1126.0999999999999</v>
          </cell>
          <cell r="Q283" t="str">
            <v>26.05.90</v>
          </cell>
        </row>
        <row r="284">
          <cell r="B284" t="str">
            <v>91-92</v>
          </cell>
          <cell r="C284">
            <v>172</v>
          </cell>
          <cell r="D284">
            <v>440</v>
          </cell>
          <cell r="E284">
            <v>630.09</v>
          </cell>
          <cell r="F284">
            <v>143.19999999999999</v>
          </cell>
          <cell r="G284">
            <v>4.3</v>
          </cell>
          <cell r="H284">
            <v>0.68244219079813995</v>
          </cell>
          <cell r="I284">
            <v>180</v>
          </cell>
          <cell r="K284">
            <v>4.18</v>
          </cell>
          <cell r="L284">
            <v>4.18</v>
          </cell>
          <cell r="M284">
            <v>1141.1099999999999</v>
          </cell>
          <cell r="N284">
            <v>1156.2</v>
          </cell>
          <cell r="O284" t="str">
            <v>01.09.91</v>
          </cell>
          <cell r="P284">
            <v>1136.3</v>
          </cell>
          <cell r="Q284" t="str">
            <v>01.04.91</v>
          </cell>
        </row>
        <row r="285">
          <cell r="B285" t="str">
            <v>92-93</v>
          </cell>
          <cell r="C285">
            <v>172</v>
          </cell>
          <cell r="D285">
            <v>450</v>
          </cell>
          <cell r="E285">
            <v>535.69000000000005</v>
          </cell>
          <cell r="F285">
            <v>119.04222222222224</v>
          </cell>
          <cell r="G285">
            <v>4.0999999999999996</v>
          </cell>
          <cell r="H285">
            <v>0.76536803001736065</v>
          </cell>
          <cell r="I285">
            <v>172</v>
          </cell>
          <cell r="K285">
            <v>3.41</v>
          </cell>
          <cell r="L285">
            <v>3.41</v>
          </cell>
          <cell r="M285">
            <v>1130.4000000000001</v>
          </cell>
          <cell r="N285">
            <v>1154.0999999999999</v>
          </cell>
          <cell r="O285" t="str">
            <v>28.05.92</v>
          </cell>
          <cell r="P285">
            <v>1130.2</v>
          </cell>
          <cell r="Q285" t="str">
            <v>31.03.92</v>
          </cell>
        </row>
        <row r="286">
          <cell r="B286" t="str">
            <v>93-94</v>
          </cell>
          <cell r="C286">
            <v>172</v>
          </cell>
          <cell r="D286">
            <v>615</v>
          </cell>
          <cell r="E286">
            <v>395.6628</v>
          </cell>
          <cell r="F286">
            <v>64.335414634146346</v>
          </cell>
          <cell r="G286">
            <v>8.6999999999999993</v>
          </cell>
          <cell r="H286">
            <v>2.1988420442861951</v>
          </cell>
          <cell r="I286">
            <v>172</v>
          </cell>
          <cell r="K286">
            <v>3.2350257116620753</v>
          </cell>
          <cell r="L286">
            <v>3.2350257116620753</v>
          </cell>
          <cell r="M286">
            <v>1127.81</v>
          </cell>
          <cell r="N286">
            <v>1135.75</v>
          </cell>
          <cell r="O286" t="str">
            <v>09.08.93</v>
          </cell>
          <cell r="P286">
            <v>1127.6300000000001</v>
          </cell>
          <cell r="Q286" t="str">
            <v>31.03.94</v>
          </cell>
        </row>
        <row r="287">
          <cell r="B287" t="str">
            <v>94-95</v>
          </cell>
          <cell r="C287">
            <v>172</v>
          </cell>
          <cell r="D287">
            <v>470</v>
          </cell>
          <cell r="E287">
            <v>595.9</v>
          </cell>
          <cell r="F287">
            <v>126.78723404255319</v>
          </cell>
          <cell r="G287">
            <v>7.9</v>
          </cell>
          <cell r="H287">
            <v>1.3257257929182749</v>
          </cell>
          <cell r="I287">
            <v>172</v>
          </cell>
          <cell r="M287">
            <v>1125.7</v>
          </cell>
          <cell r="N287">
            <v>1153.6099999999999</v>
          </cell>
          <cell r="O287" t="str">
            <v>19.09.94</v>
          </cell>
          <cell r="P287">
            <v>1124.9000000000001</v>
          </cell>
          <cell r="Q287" t="str">
            <v>25.03.95</v>
          </cell>
        </row>
        <row r="288">
          <cell r="B288" t="str">
            <v>95-96</v>
          </cell>
          <cell r="C288">
            <v>172</v>
          </cell>
          <cell r="D288">
            <v>390</v>
          </cell>
          <cell r="E288">
            <v>625.20000000000005</v>
          </cell>
          <cell r="F288">
            <v>160.30769230769232</v>
          </cell>
          <cell r="G288">
            <v>8.3000000000000007</v>
          </cell>
          <cell r="H288">
            <v>1.327575175943698</v>
          </cell>
          <cell r="I288">
            <v>180</v>
          </cell>
          <cell r="K288">
            <v>4.0110422405876953</v>
          </cell>
          <cell r="L288">
            <v>4.0110422405876953</v>
          </cell>
          <cell r="M288">
            <v>1131.05</v>
          </cell>
          <cell r="N288">
            <v>1155.0899999999999</v>
          </cell>
          <cell r="O288" t="str">
            <v>14.09.95</v>
          </cell>
          <cell r="P288">
            <v>1125.55</v>
          </cell>
          <cell r="Q288" t="str">
            <v>03.04.95</v>
          </cell>
        </row>
        <row r="289">
          <cell r="B289" t="str">
            <v>96-97</v>
          </cell>
          <cell r="C289">
            <v>172</v>
          </cell>
          <cell r="D289">
            <v>460</v>
          </cell>
          <cell r="E289">
            <v>692.7</v>
          </cell>
          <cell r="F289">
            <v>150.58695652173913</v>
          </cell>
          <cell r="G289">
            <v>5.5</v>
          </cell>
          <cell r="H289">
            <v>0.79399451421971989</v>
          </cell>
          <cell r="I289">
            <v>172</v>
          </cell>
          <cell r="K289">
            <v>4.5</v>
          </cell>
          <cell r="L289">
            <v>4.5</v>
          </cell>
          <cell r="M289">
            <v>1145</v>
          </cell>
          <cell r="N289">
            <v>1157.3800000000001</v>
          </cell>
          <cell r="O289" t="str">
            <v>16.09.96</v>
          </cell>
          <cell r="P289">
            <v>1130.44</v>
          </cell>
          <cell r="Q289" t="str">
            <v>17.05.96</v>
          </cell>
        </row>
        <row r="290">
          <cell r="B290" t="str">
            <v>97-98</v>
          </cell>
          <cell r="C290">
            <v>172</v>
          </cell>
          <cell r="D290">
            <v>460</v>
          </cell>
          <cell r="E290">
            <v>549.24</v>
          </cell>
          <cell r="F290">
            <v>119.4</v>
          </cell>
          <cell r="G290">
            <v>5.84</v>
          </cell>
          <cell r="H290">
            <v>1.0632874517515112</v>
          </cell>
          <cell r="I290">
            <v>172</v>
          </cell>
          <cell r="K290">
            <v>3.74</v>
          </cell>
          <cell r="M290">
            <v>1137.04</v>
          </cell>
          <cell r="N290">
            <v>1152.71</v>
          </cell>
          <cell r="O290" t="str">
            <v>25.05.97</v>
          </cell>
          <cell r="P290">
            <v>1136.72</v>
          </cell>
          <cell r="Q290" t="str">
            <v>20.03.98</v>
          </cell>
        </row>
        <row r="291">
          <cell r="B291" t="str">
            <v>98-99</v>
          </cell>
          <cell r="C291">
            <v>172</v>
          </cell>
          <cell r="D291">
            <v>520</v>
          </cell>
          <cell r="E291">
            <v>554.29999999999995</v>
          </cell>
          <cell r="F291">
            <v>106.59615384615383</v>
          </cell>
          <cell r="G291">
            <v>7.1</v>
          </cell>
          <cell r="H291">
            <v>1.2808948222983945</v>
          </cell>
          <cell r="I291">
            <v>172</v>
          </cell>
          <cell r="J291">
            <v>0</v>
          </cell>
          <cell r="K291">
            <v>4</v>
          </cell>
          <cell r="M291">
            <v>1139.9100000000001</v>
          </cell>
          <cell r="N291">
            <v>1140.98</v>
          </cell>
          <cell r="O291" t="str">
            <v>28.04.98</v>
          </cell>
          <cell r="P291">
            <v>1133.1500000000001</v>
          </cell>
          <cell r="Q291" t="str">
            <v>28.06.98</v>
          </cell>
        </row>
        <row r="292">
          <cell r="B292" t="str">
            <v>99-00</v>
          </cell>
          <cell r="C292">
            <v>172</v>
          </cell>
          <cell r="D292">
            <v>520</v>
          </cell>
          <cell r="E292">
            <v>479.5</v>
          </cell>
          <cell r="F292">
            <v>92.2</v>
          </cell>
          <cell r="G292">
            <v>6.8</v>
          </cell>
          <cell r="H292">
            <v>1.4181438998957248</v>
          </cell>
          <cell r="I292">
            <v>172</v>
          </cell>
          <cell r="K292" t="str">
            <v xml:space="preserve"> </v>
          </cell>
          <cell r="M292">
            <v>1134.51</v>
          </cell>
          <cell r="N292">
            <v>1143.3399999999999</v>
          </cell>
          <cell r="P292">
            <v>1131.68</v>
          </cell>
        </row>
        <row r="293">
          <cell r="B293" t="str">
            <v>00-01</v>
          </cell>
          <cell r="C293">
            <v>172</v>
          </cell>
          <cell r="D293">
            <v>475</v>
          </cell>
          <cell r="E293">
            <v>182.92</v>
          </cell>
          <cell r="F293">
            <v>38.51</v>
          </cell>
          <cell r="G293">
            <v>4.72</v>
          </cell>
          <cell r="H293">
            <v>2.580363000218675</v>
          </cell>
          <cell r="I293">
            <v>172</v>
          </cell>
          <cell r="M293">
            <v>1130.69</v>
          </cell>
        </row>
        <row r="294">
          <cell r="A294" t="str">
            <v>Average last 5 years</v>
          </cell>
          <cell r="D294">
            <v>470</v>
          </cell>
          <cell r="E294">
            <v>580.18799999999999</v>
          </cell>
          <cell r="F294">
            <v>125.81816053511707</v>
          </cell>
          <cell r="G294">
            <v>6.7080000000000002</v>
          </cell>
          <cell r="H294">
            <v>1.1767791728218095</v>
          </cell>
          <cell r="I294">
            <v>173.6</v>
          </cell>
          <cell r="J294">
            <v>0</v>
          </cell>
          <cell r="K294">
            <v>3.2502084481175388</v>
          </cell>
          <cell r="L294">
            <v>1.702208448117539</v>
          </cell>
          <cell r="M294">
            <v>1137.502</v>
          </cell>
          <cell r="N294">
            <v>1151.9540000000002</v>
          </cell>
          <cell r="O294">
            <v>0</v>
          </cell>
          <cell r="P294">
            <v>1130.152</v>
          </cell>
          <cell r="Q294">
            <v>0</v>
          </cell>
        </row>
        <row r="295">
          <cell r="A295" t="str">
            <v>J.SAGAR</v>
          </cell>
          <cell r="B295" t="str">
            <v>88-89</v>
          </cell>
          <cell r="C295">
            <v>99</v>
          </cell>
          <cell r="D295">
            <v>385</v>
          </cell>
          <cell r="E295">
            <v>339</v>
          </cell>
          <cell r="F295">
            <v>88.051948051948045</v>
          </cell>
          <cell r="G295" t="str">
            <v xml:space="preserve"> </v>
          </cell>
          <cell r="H295">
            <v>0</v>
          </cell>
          <cell r="I295" t="str">
            <v xml:space="preserve"> </v>
          </cell>
          <cell r="J295" t="str">
            <v xml:space="preserve"> </v>
          </cell>
          <cell r="K295" t="str">
            <v xml:space="preserve"> </v>
          </cell>
          <cell r="L295" t="str">
            <v xml:space="preserve"> </v>
          </cell>
          <cell r="M295" t="str">
            <v xml:space="preserve"> </v>
          </cell>
          <cell r="N295" t="str">
            <v xml:space="preserve"> </v>
          </cell>
          <cell r="O295" t="str">
            <v xml:space="preserve"> </v>
          </cell>
          <cell r="P295" t="str">
            <v xml:space="preserve"> </v>
          </cell>
          <cell r="Q295" t="str">
            <v xml:space="preserve"> </v>
          </cell>
        </row>
        <row r="296">
          <cell r="B296" t="str">
            <v>89-90</v>
          </cell>
          <cell r="C296">
            <v>99</v>
          </cell>
          <cell r="D296">
            <v>385</v>
          </cell>
          <cell r="E296">
            <v>296.37</v>
          </cell>
          <cell r="F296">
            <v>76.98</v>
          </cell>
          <cell r="G296">
            <v>5</v>
          </cell>
          <cell r="H296">
            <v>1.77</v>
          </cell>
          <cell r="I296">
            <v>99</v>
          </cell>
          <cell r="J296" t="str">
            <v xml:space="preserve">    </v>
          </cell>
          <cell r="K296">
            <v>3.05</v>
          </cell>
          <cell r="L296">
            <v>3.05</v>
          </cell>
          <cell r="M296">
            <v>968.2</v>
          </cell>
          <cell r="N296">
            <v>979.9</v>
          </cell>
          <cell r="O296" t="str">
            <v>06.01.90</v>
          </cell>
          <cell r="P296">
            <v>968.1</v>
          </cell>
          <cell r="Q296" t="str">
            <v>31.03.90</v>
          </cell>
        </row>
        <row r="297">
          <cell r="B297" t="str">
            <v>90-91</v>
          </cell>
          <cell r="C297">
            <v>99</v>
          </cell>
          <cell r="D297">
            <v>340</v>
          </cell>
          <cell r="E297">
            <v>261.92</v>
          </cell>
          <cell r="F297">
            <v>77.040000000000006</v>
          </cell>
          <cell r="G297">
            <v>2.5</v>
          </cell>
          <cell r="H297">
            <v>0.95448992058643856</v>
          </cell>
          <cell r="I297">
            <v>99</v>
          </cell>
          <cell r="K297">
            <v>2.68</v>
          </cell>
          <cell r="L297">
            <v>2.68</v>
          </cell>
          <cell r="M297">
            <v>972.9</v>
          </cell>
          <cell r="N297">
            <v>978.9</v>
          </cell>
          <cell r="O297" t="str">
            <v>26.07.90</v>
          </cell>
          <cell r="P297">
            <v>953.5</v>
          </cell>
          <cell r="Q297" t="str">
            <v>28.06.90</v>
          </cell>
        </row>
        <row r="298">
          <cell r="B298" t="str">
            <v>91-92</v>
          </cell>
          <cell r="C298">
            <v>99</v>
          </cell>
          <cell r="D298">
            <v>340</v>
          </cell>
          <cell r="E298">
            <v>421.01</v>
          </cell>
          <cell r="F298">
            <v>123.83</v>
          </cell>
          <cell r="G298">
            <v>3.3</v>
          </cell>
          <cell r="H298">
            <v>0.78382936272297576</v>
          </cell>
          <cell r="I298">
            <v>100</v>
          </cell>
          <cell r="K298">
            <v>4.42</v>
          </cell>
          <cell r="L298">
            <v>4.42</v>
          </cell>
          <cell r="M298">
            <v>975.9</v>
          </cell>
          <cell r="N298">
            <v>979.6</v>
          </cell>
          <cell r="O298" t="str">
            <v>02.06.91</v>
          </cell>
          <cell r="P298">
            <v>970</v>
          </cell>
          <cell r="Q298" t="str">
            <v>22.07.91</v>
          </cell>
        </row>
        <row r="299">
          <cell r="B299" t="str">
            <v>92-93</v>
          </cell>
          <cell r="C299">
            <v>99</v>
          </cell>
          <cell r="D299">
            <v>300</v>
          </cell>
          <cell r="E299">
            <v>390.68</v>
          </cell>
          <cell r="F299">
            <v>130.22666666666666</v>
          </cell>
          <cell r="G299">
            <v>3.3</v>
          </cell>
          <cell r="H299">
            <v>0.8446810689054981</v>
          </cell>
          <cell r="I299">
            <v>100</v>
          </cell>
          <cell r="K299">
            <v>3.59</v>
          </cell>
          <cell r="L299">
            <v>3.59</v>
          </cell>
          <cell r="M299">
            <v>975.5</v>
          </cell>
          <cell r="N299">
            <v>979.4</v>
          </cell>
          <cell r="O299" t="str">
            <v>19.06.92</v>
          </cell>
          <cell r="P299">
            <v>970</v>
          </cell>
          <cell r="Q299" t="str">
            <v>06.12.92</v>
          </cell>
        </row>
        <row r="300">
          <cell r="B300" t="str">
            <v>93-94</v>
          </cell>
          <cell r="C300">
            <v>99</v>
          </cell>
          <cell r="D300">
            <v>385</v>
          </cell>
          <cell r="E300">
            <v>322.71699999999998</v>
          </cell>
          <cell r="F300">
            <v>83.822597402597395</v>
          </cell>
          <cell r="G300">
            <v>5.0999999999999996</v>
          </cell>
          <cell r="H300">
            <v>1.5803319936662772</v>
          </cell>
          <cell r="I300">
            <v>99</v>
          </cell>
          <cell r="K300">
            <v>3.58</v>
          </cell>
          <cell r="L300">
            <v>3.58</v>
          </cell>
          <cell r="M300">
            <v>971.5</v>
          </cell>
          <cell r="N300">
            <v>979.5</v>
          </cell>
          <cell r="O300" t="str">
            <v>06.03.93</v>
          </cell>
          <cell r="P300">
            <v>970</v>
          </cell>
          <cell r="Q300" t="str">
            <v>13.08.93</v>
          </cell>
        </row>
        <row r="301">
          <cell r="B301" t="str">
            <v>94-95</v>
          </cell>
          <cell r="C301">
            <v>99</v>
          </cell>
          <cell r="D301">
            <v>315</v>
          </cell>
          <cell r="E301">
            <v>444.5</v>
          </cell>
          <cell r="F301">
            <v>141.11111111111111</v>
          </cell>
          <cell r="G301">
            <v>3.3</v>
          </cell>
          <cell r="H301">
            <v>0.74240719910011244</v>
          </cell>
          <cell r="I301">
            <v>99</v>
          </cell>
          <cell r="M301">
            <v>971.7</v>
          </cell>
          <cell r="N301">
            <v>979.9</v>
          </cell>
          <cell r="O301" t="str">
            <v>27.03.95</v>
          </cell>
          <cell r="P301">
            <v>970.4</v>
          </cell>
          <cell r="Q301" t="str">
            <v>12.06.94</v>
          </cell>
        </row>
        <row r="302">
          <cell r="B302" t="str">
            <v>95-96</v>
          </cell>
          <cell r="C302">
            <v>99</v>
          </cell>
          <cell r="D302">
            <v>300</v>
          </cell>
          <cell r="E302">
            <v>444.2</v>
          </cell>
          <cell r="F302">
            <v>148.06666666666666</v>
          </cell>
          <cell r="G302">
            <v>4.9000000000000004</v>
          </cell>
          <cell r="H302">
            <v>1.1031067086897794</v>
          </cell>
          <cell r="I302">
            <v>99</v>
          </cell>
          <cell r="K302">
            <v>4.5587695133149682</v>
          </cell>
          <cell r="L302">
            <v>4.5587695133149682</v>
          </cell>
          <cell r="M302">
            <v>970.5</v>
          </cell>
          <cell r="N302">
            <v>978.8</v>
          </cell>
          <cell r="O302" t="str">
            <v>28.07.95</v>
          </cell>
          <cell r="P302">
            <v>970.7</v>
          </cell>
          <cell r="Q302" t="str">
            <v>31.03.96</v>
          </cell>
        </row>
        <row r="303">
          <cell r="B303" t="str">
            <v>96-97</v>
          </cell>
          <cell r="C303">
            <v>99</v>
          </cell>
          <cell r="D303">
            <v>300</v>
          </cell>
          <cell r="E303">
            <v>481.4</v>
          </cell>
          <cell r="F303">
            <v>160.46666666666667</v>
          </cell>
          <cell r="G303">
            <v>4.0999999999999996</v>
          </cell>
          <cell r="H303">
            <v>0.85168259243872035</v>
          </cell>
          <cell r="I303">
            <v>99</v>
          </cell>
          <cell r="K303">
            <v>4.9000000000000004</v>
          </cell>
          <cell r="L303">
            <v>4.9000000000000004</v>
          </cell>
          <cell r="M303">
            <v>971.1</v>
          </cell>
          <cell r="N303">
            <v>979.6</v>
          </cell>
          <cell r="O303" t="str">
            <v>18.09.96</v>
          </cell>
          <cell r="P303">
            <v>970.5</v>
          </cell>
          <cell r="Q303" t="str">
            <v>01.04.96</v>
          </cell>
        </row>
        <row r="304">
          <cell r="B304" t="str">
            <v>97-98</v>
          </cell>
          <cell r="C304">
            <v>99</v>
          </cell>
          <cell r="D304">
            <v>300</v>
          </cell>
          <cell r="E304">
            <v>382.55</v>
          </cell>
          <cell r="F304">
            <v>127.51666666666667</v>
          </cell>
          <cell r="G304">
            <v>4.8120000000000003</v>
          </cell>
          <cell r="H304">
            <v>1.2578747876094629</v>
          </cell>
          <cell r="I304">
            <v>99</v>
          </cell>
          <cell r="K304">
            <v>4.01</v>
          </cell>
          <cell r="M304">
            <v>973.5</v>
          </cell>
          <cell r="N304">
            <v>978</v>
          </cell>
          <cell r="O304" t="str">
            <v>03.04.97</v>
          </cell>
          <cell r="P304">
            <v>970</v>
          </cell>
          <cell r="Q304" t="str">
            <v>17.12.97</v>
          </cell>
        </row>
        <row r="305">
          <cell r="B305" t="str">
            <v>98-99</v>
          </cell>
          <cell r="C305">
            <v>99</v>
          </cell>
          <cell r="D305">
            <v>330</v>
          </cell>
          <cell r="E305">
            <v>392.8</v>
          </cell>
          <cell r="F305">
            <v>119.03030303030303</v>
          </cell>
          <cell r="G305">
            <v>5.2</v>
          </cell>
          <cell r="H305">
            <v>1.3238289205702647</v>
          </cell>
          <cell r="I305">
            <v>99</v>
          </cell>
          <cell r="J305">
            <v>0</v>
          </cell>
          <cell r="K305">
            <v>3.9</v>
          </cell>
          <cell r="M305">
            <v>978.8</v>
          </cell>
          <cell r="N305">
            <v>979.4</v>
          </cell>
          <cell r="O305" t="str">
            <v>22.05.98</v>
          </cell>
          <cell r="P305">
            <v>970.2</v>
          </cell>
          <cell r="Q305" t="str">
            <v>29.08.98</v>
          </cell>
        </row>
        <row r="306">
          <cell r="B306" t="str">
            <v>99-00</v>
          </cell>
          <cell r="C306">
            <v>99</v>
          </cell>
          <cell r="D306">
            <v>330</v>
          </cell>
          <cell r="E306">
            <v>361.4</v>
          </cell>
          <cell r="F306">
            <v>109.5</v>
          </cell>
          <cell r="G306">
            <v>4.4000000000000004</v>
          </cell>
          <cell r="H306">
            <v>1.2</v>
          </cell>
          <cell r="I306">
            <v>99</v>
          </cell>
          <cell r="K306" t="str">
            <v xml:space="preserve"> </v>
          </cell>
          <cell r="M306">
            <v>979.2</v>
          </cell>
          <cell r="N306">
            <v>979.99</v>
          </cell>
          <cell r="O306" t="str">
            <v xml:space="preserve"> </v>
          </cell>
          <cell r="P306">
            <v>972.4</v>
          </cell>
        </row>
        <row r="307">
          <cell r="B307" t="str">
            <v>00-01</v>
          </cell>
          <cell r="C307">
            <v>99</v>
          </cell>
          <cell r="D307">
            <v>300</v>
          </cell>
          <cell r="E307">
            <v>140.33000000000001</v>
          </cell>
          <cell r="F307">
            <v>46.78</v>
          </cell>
          <cell r="G307">
            <v>3.01</v>
          </cell>
          <cell r="H307">
            <v>2.14</v>
          </cell>
          <cell r="I307">
            <v>99</v>
          </cell>
          <cell r="M307">
            <v>976.7</v>
          </cell>
        </row>
        <row r="308">
          <cell r="A308" t="str">
            <v>Average last 5 years</v>
          </cell>
          <cell r="D308">
            <v>312</v>
          </cell>
          <cell r="E308">
            <v>412.46999999999997</v>
          </cell>
          <cell r="F308">
            <v>132.9160606060606</v>
          </cell>
          <cell r="G308">
            <v>4.6823999999999995</v>
          </cell>
          <cell r="H308">
            <v>1.1472986018616456</v>
          </cell>
          <cell r="I308">
            <v>99</v>
          </cell>
          <cell r="J308">
            <v>0</v>
          </cell>
          <cell r="K308">
            <v>3.473753902662994</v>
          </cell>
          <cell r="L308">
            <v>1.8917539026629939</v>
          </cell>
          <cell r="M308">
            <v>974.61999999999989</v>
          </cell>
          <cell r="N308">
            <v>979.14</v>
          </cell>
          <cell r="O308">
            <v>0</v>
          </cell>
          <cell r="P308">
            <v>970.36</v>
          </cell>
          <cell r="Q308">
            <v>0</v>
          </cell>
        </row>
        <row r="309">
          <cell r="A309" t="str">
            <v>STATE  LOAD  DESPATCH  CENTRE  M.P.E.B.  JABALPUR</v>
          </cell>
        </row>
        <row r="310">
          <cell r="A310" t="str">
            <v>CHAMBAL COMPLEX</v>
          </cell>
        </row>
        <row r="311">
          <cell r="A311" t="str">
            <v>STATION NAME</v>
          </cell>
          <cell r="B311" t="str">
            <v>YEAR</v>
          </cell>
          <cell r="C311" t="str">
            <v>CAPACITY</v>
          </cell>
          <cell r="D311" t="str">
            <v>TARGET</v>
          </cell>
          <cell r="E311" t="str">
            <v>ACTUAL GENE.</v>
          </cell>
          <cell r="F311" t="str">
            <v>ACHIEVE-MENT</v>
          </cell>
          <cell r="G311" t="str">
            <v>AUXILIARY CONSUMPTION</v>
          </cell>
          <cell r="I311" t="str">
            <v>MAXIMUM DEMAND</v>
          </cell>
          <cell r="J311" t="str">
            <v>WATER INFLOW</v>
          </cell>
          <cell r="K311" t="str">
            <v>WATER CONSUMED</v>
          </cell>
          <cell r="L311" t="str">
            <v>WATER CONSUMED</v>
          </cell>
          <cell r="M311" t="str">
            <v>LEVEL AT THE END</v>
          </cell>
          <cell r="N311" t="str">
            <v>MAXIMUM LEVEL</v>
          </cell>
          <cell r="P311" t="str">
            <v>MINIMUM LEVEL</v>
          </cell>
        </row>
        <row r="312">
          <cell r="C312" t="str">
            <v>MW</v>
          </cell>
          <cell r="D312" t="str">
            <v>MKwh</v>
          </cell>
          <cell r="E312" t="str">
            <v>MKwh</v>
          </cell>
          <cell r="F312" t="str">
            <v>%</v>
          </cell>
          <cell r="G312" t="str">
            <v>MKwh</v>
          </cell>
          <cell r="H312" t="str">
            <v>%</v>
          </cell>
          <cell r="I312" t="str">
            <v>MW</v>
          </cell>
          <cell r="J312" t="str">
            <v>MAFT</v>
          </cell>
          <cell r="K312" t="str">
            <v>MCM</v>
          </cell>
          <cell r="L312" t="str">
            <v>MCM</v>
          </cell>
          <cell r="M312" t="str">
            <v>FT / M</v>
          </cell>
          <cell r="N312" t="str">
            <v>FT / M</v>
          </cell>
          <cell r="O312" t="str">
            <v>DATE</v>
          </cell>
          <cell r="P312" t="str">
            <v>FT / M</v>
          </cell>
          <cell r="Q312" t="str">
            <v>DATE</v>
          </cell>
        </row>
        <row r="313">
          <cell r="A313" t="str">
            <v>CHAMBAL</v>
          </cell>
          <cell r="B313" t="str">
            <v>88-89</v>
          </cell>
          <cell r="C313">
            <v>386</v>
          </cell>
          <cell r="D313">
            <v>1300</v>
          </cell>
          <cell r="E313">
            <v>1155</v>
          </cell>
          <cell r="F313">
            <v>88.84615384615384</v>
          </cell>
          <cell r="G313">
            <v>0</v>
          </cell>
          <cell r="H313">
            <v>0</v>
          </cell>
        </row>
        <row r="314">
          <cell r="B314" t="str">
            <v>89-90</v>
          </cell>
          <cell r="C314">
            <v>386</v>
          </cell>
          <cell r="D314">
            <v>1300</v>
          </cell>
          <cell r="E314">
            <v>906.51</v>
          </cell>
          <cell r="F314">
            <v>69.731538461538463</v>
          </cell>
          <cell r="G314">
            <v>12</v>
          </cell>
          <cell r="H314">
            <v>1.3237581493861073</v>
          </cell>
        </row>
        <row r="315">
          <cell r="B315" t="str">
            <v>90-91</v>
          </cell>
          <cell r="C315">
            <v>386</v>
          </cell>
          <cell r="D315">
            <v>1150</v>
          </cell>
          <cell r="E315">
            <v>917.59999999999991</v>
          </cell>
          <cell r="F315">
            <v>79.79130434782607</v>
          </cell>
          <cell r="G315">
            <v>5</v>
          </cell>
          <cell r="H315">
            <v>0.54489973844812556</v>
          </cell>
        </row>
        <row r="316">
          <cell r="B316" t="str">
            <v>91-92</v>
          </cell>
          <cell r="C316">
            <v>386</v>
          </cell>
          <cell r="D316">
            <v>1150</v>
          </cell>
          <cell r="E316">
            <v>1562.3300000000002</v>
          </cell>
          <cell r="F316">
            <v>135.85478260869567</v>
          </cell>
          <cell r="G316">
            <v>8.6</v>
          </cell>
          <cell r="H316">
            <v>0.5504598900360359</v>
          </cell>
        </row>
        <row r="317">
          <cell r="B317" t="str">
            <v>92-93</v>
          </cell>
          <cell r="C317">
            <v>386</v>
          </cell>
          <cell r="D317">
            <v>1150</v>
          </cell>
          <cell r="E317">
            <v>1239.3900000000001</v>
          </cell>
          <cell r="F317">
            <v>107.77304347826089</v>
          </cell>
          <cell r="G317">
            <v>8.3999999999999986</v>
          </cell>
          <cell r="H317">
            <v>0.67775276547333752</v>
          </cell>
          <cell r="I317" t="str">
            <v xml:space="preserve"> </v>
          </cell>
          <cell r="K317" t="str">
            <v xml:space="preserve"> </v>
          </cell>
          <cell r="L317" t="str">
            <v xml:space="preserve"> </v>
          </cell>
          <cell r="M317" t="str">
            <v xml:space="preserve"> </v>
          </cell>
        </row>
        <row r="318">
          <cell r="B318" t="str">
            <v>93-94</v>
          </cell>
          <cell r="C318">
            <v>386</v>
          </cell>
          <cell r="D318">
            <v>1500</v>
          </cell>
          <cell r="E318">
            <v>1032.2988</v>
          </cell>
          <cell r="F318">
            <v>68.819919999999996</v>
          </cell>
          <cell r="G318">
            <v>14.78</v>
          </cell>
          <cell r="H318">
            <v>1.4317559993288764</v>
          </cell>
          <cell r="I318" t="str">
            <v xml:space="preserve"> </v>
          </cell>
          <cell r="K318" t="str">
            <v xml:space="preserve"> </v>
          </cell>
          <cell r="L318" t="str">
            <v xml:space="preserve"> </v>
          </cell>
          <cell r="M318" t="str">
            <v xml:space="preserve"> </v>
          </cell>
        </row>
        <row r="319">
          <cell r="B319" t="str">
            <v>94-95</v>
          </cell>
          <cell r="C319">
            <v>386</v>
          </cell>
          <cell r="D319">
            <v>1200</v>
          </cell>
          <cell r="E319">
            <v>1404.6</v>
          </cell>
          <cell r="F319">
            <v>117.05</v>
          </cell>
          <cell r="G319">
            <v>12.2</v>
          </cell>
          <cell r="H319">
            <v>0.86857468318382458</v>
          </cell>
          <cell r="I319" t="str">
            <v xml:space="preserve"> </v>
          </cell>
          <cell r="K319" t="str">
            <v xml:space="preserve"> </v>
          </cell>
          <cell r="L319" t="str">
            <v xml:space="preserve"> </v>
          </cell>
          <cell r="M319" t="str">
            <v xml:space="preserve"> </v>
          </cell>
        </row>
        <row r="320">
          <cell r="B320" t="str">
            <v>95-96</v>
          </cell>
          <cell r="C320">
            <v>386</v>
          </cell>
          <cell r="D320">
            <v>1060</v>
          </cell>
          <cell r="E320">
            <v>1642.3</v>
          </cell>
          <cell r="F320">
            <v>154.93396226415095</v>
          </cell>
          <cell r="G320">
            <v>14.200000000000001</v>
          </cell>
          <cell r="H320">
            <v>0.8646410521829142</v>
          </cell>
          <cell r="I320" t="str">
            <v xml:space="preserve"> </v>
          </cell>
          <cell r="K320" t="str">
            <v xml:space="preserve"> </v>
          </cell>
          <cell r="L320" t="str">
            <v xml:space="preserve"> </v>
          </cell>
          <cell r="M320" t="str">
            <v xml:space="preserve"> </v>
          </cell>
        </row>
        <row r="321">
          <cell r="B321" t="str">
            <v>96-97</v>
          </cell>
          <cell r="C321">
            <v>386</v>
          </cell>
          <cell r="D321">
            <v>1160</v>
          </cell>
          <cell r="E321">
            <v>1739.5</v>
          </cell>
          <cell r="F321">
            <v>149.95689655172413</v>
          </cell>
          <cell r="G321">
            <v>10.5</v>
          </cell>
          <cell r="H321">
            <v>0.60362173038229372</v>
          </cell>
          <cell r="I321" t="str">
            <v xml:space="preserve"> </v>
          </cell>
          <cell r="K321" t="str">
            <v xml:space="preserve"> </v>
          </cell>
          <cell r="L321" t="str">
            <v xml:space="preserve"> </v>
          </cell>
          <cell r="M321" t="str">
            <v xml:space="preserve"> </v>
          </cell>
        </row>
        <row r="322">
          <cell r="B322" t="str">
            <v>97-98</v>
          </cell>
          <cell r="C322">
            <v>386</v>
          </cell>
          <cell r="D322">
            <v>1160</v>
          </cell>
          <cell r="E322">
            <v>1362.57</v>
          </cell>
          <cell r="F322">
            <v>117.46293103448276</v>
          </cell>
          <cell r="G322">
            <v>11.581</v>
          </cell>
          <cell r="H322">
            <v>0.84993798483747618</v>
          </cell>
          <cell r="I322" t="str">
            <v xml:space="preserve"> </v>
          </cell>
          <cell r="K322" t="str">
            <v xml:space="preserve"> </v>
          </cell>
          <cell r="L322" t="str">
            <v xml:space="preserve"> </v>
          </cell>
          <cell r="M322" t="str">
            <v xml:space="preserve"> </v>
          </cell>
        </row>
        <row r="323">
          <cell r="B323" t="str">
            <v>98-99</v>
          </cell>
          <cell r="C323">
            <v>386</v>
          </cell>
          <cell r="D323">
            <v>1300</v>
          </cell>
          <cell r="E323">
            <v>1486.3999999999999</v>
          </cell>
          <cell r="F323">
            <v>114.33846153846154</v>
          </cell>
          <cell r="G323">
            <v>13.2</v>
          </cell>
          <cell r="H323">
            <v>0.88805166846071049</v>
          </cell>
          <cell r="I323" t="str">
            <v xml:space="preserve"> </v>
          </cell>
          <cell r="K323" t="str">
            <v xml:space="preserve"> </v>
          </cell>
          <cell r="L323" t="str">
            <v xml:space="preserve"> </v>
          </cell>
          <cell r="M323" t="str">
            <v xml:space="preserve"> </v>
          </cell>
        </row>
        <row r="324">
          <cell r="B324" t="str">
            <v>99-00</v>
          </cell>
          <cell r="C324">
            <v>386</v>
          </cell>
          <cell r="D324">
            <v>1300</v>
          </cell>
          <cell r="E324">
            <v>1185.5</v>
          </cell>
          <cell r="F324">
            <v>91.192307692307693</v>
          </cell>
          <cell r="G324">
            <v>12</v>
          </cell>
          <cell r="H324">
            <v>1.0122311261071277</v>
          </cell>
        </row>
        <row r="325">
          <cell r="B325" t="str">
            <v>00-01</v>
          </cell>
          <cell r="C325">
            <v>386</v>
          </cell>
          <cell r="D325">
            <v>1200</v>
          </cell>
          <cell r="E325">
            <v>427.45</v>
          </cell>
          <cell r="F325">
            <v>35.619999999999997</v>
          </cell>
          <cell r="G325">
            <v>8.66</v>
          </cell>
          <cell r="H325">
            <v>2.0299999999999998</v>
          </cell>
        </row>
        <row r="326">
          <cell r="A326" t="str">
            <v>Average last 5 years</v>
          </cell>
          <cell r="D326">
            <v>1196</v>
          </cell>
          <cell r="E326">
            <v>1483.2539999999999</v>
          </cell>
          <cell r="F326">
            <v>125.57691181622542</v>
          </cell>
          <cell r="G326">
            <v>12.296200000000002</v>
          </cell>
          <cell r="H326">
            <v>0.84369671239410449</v>
          </cell>
          <cell r="I326">
            <v>0</v>
          </cell>
          <cell r="J326">
            <v>0</v>
          </cell>
          <cell r="K326">
            <v>0</v>
          </cell>
          <cell r="L326">
            <v>0</v>
          </cell>
          <cell r="M326">
            <v>0</v>
          </cell>
          <cell r="N326">
            <v>0</v>
          </cell>
          <cell r="O326">
            <v>0</v>
          </cell>
          <cell r="P326">
            <v>0</v>
          </cell>
          <cell r="Q326">
            <v>0</v>
          </cell>
        </row>
        <row r="327">
          <cell r="A327" t="str">
            <v>M.P.CHAMBAL</v>
          </cell>
          <cell r="B327" t="str">
            <v>88-89</v>
          </cell>
          <cell r="C327">
            <v>193</v>
          </cell>
          <cell r="D327">
            <v>650</v>
          </cell>
          <cell r="E327">
            <v>577.5</v>
          </cell>
          <cell r="F327">
            <v>88.84615384615384</v>
          </cell>
          <cell r="G327">
            <v>0</v>
          </cell>
          <cell r="H327">
            <v>0</v>
          </cell>
        </row>
        <row r="328">
          <cell r="B328" t="str">
            <v>89-90</v>
          </cell>
          <cell r="C328">
            <v>193</v>
          </cell>
          <cell r="D328">
            <v>650</v>
          </cell>
          <cell r="E328">
            <v>453.255</v>
          </cell>
          <cell r="F328">
            <v>69.731538461538463</v>
          </cell>
          <cell r="G328">
            <v>6</v>
          </cell>
          <cell r="H328">
            <v>1.3237581493861073</v>
          </cell>
        </row>
        <row r="329">
          <cell r="B329" t="str">
            <v>90-91</v>
          </cell>
          <cell r="C329">
            <v>193</v>
          </cell>
          <cell r="D329">
            <v>575</v>
          </cell>
          <cell r="E329">
            <v>458.79999999999995</v>
          </cell>
          <cell r="F329">
            <v>79.79130434782607</v>
          </cell>
          <cell r="G329">
            <v>2.5</v>
          </cell>
          <cell r="H329">
            <v>0.54489973844812556</v>
          </cell>
        </row>
        <row r="330">
          <cell r="B330" t="str">
            <v>91-92</v>
          </cell>
          <cell r="C330">
            <v>193</v>
          </cell>
          <cell r="D330">
            <v>575</v>
          </cell>
          <cell r="E330">
            <v>781.16500000000008</v>
          </cell>
          <cell r="F330">
            <v>135.85478260869567</v>
          </cell>
          <cell r="G330">
            <v>4.3</v>
          </cell>
          <cell r="H330">
            <v>0.5504598900360359</v>
          </cell>
        </row>
        <row r="331">
          <cell r="B331" t="str">
            <v>92-93</v>
          </cell>
          <cell r="C331">
            <v>193</v>
          </cell>
          <cell r="D331">
            <v>575</v>
          </cell>
          <cell r="E331">
            <v>619.69500000000005</v>
          </cell>
          <cell r="F331">
            <v>107.77304347826089</v>
          </cell>
          <cell r="G331">
            <v>4.1999999999999993</v>
          </cell>
          <cell r="H331">
            <v>0.67775276547333752</v>
          </cell>
        </row>
        <row r="332">
          <cell r="B332" t="str">
            <v>93-94</v>
          </cell>
          <cell r="C332">
            <v>193</v>
          </cell>
          <cell r="D332">
            <v>750</v>
          </cell>
          <cell r="E332">
            <v>516.14940000000001</v>
          </cell>
          <cell r="F332">
            <v>68.819919999999996</v>
          </cell>
          <cell r="G332">
            <v>7.39</v>
          </cell>
          <cell r="H332">
            <v>1.4317559993288764</v>
          </cell>
          <cell r="I332" t="str">
            <v xml:space="preserve"> </v>
          </cell>
          <cell r="K332" t="str">
            <v xml:space="preserve"> </v>
          </cell>
          <cell r="L332" t="str">
            <v xml:space="preserve"> </v>
          </cell>
          <cell r="M332" t="str">
            <v xml:space="preserve"> </v>
          </cell>
        </row>
        <row r="333">
          <cell r="B333" t="str">
            <v>94-95</v>
          </cell>
          <cell r="C333">
            <v>193</v>
          </cell>
          <cell r="D333">
            <v>600</v>
          </cell>
          <cell r="E333">
            <v>702.3</v>
          </cell>
          <cell r="F333">
            <v>117.05</v>
          </cell>
          <cell r="G333">
            <v>6.1</v>
          </cell>
          <cell r="H333">
            <v>0.86857468318382458</v>
          </cell>
          <cell r="I333" t="str">
            <v xml:space="preserve"> </v>
          </cell>
          <cell r="K333" t="str">
            <v xml:space="preserve"> </v>
          </cell>
          <cell r="L333" t="str">
            <v xml:space="preserve"> </v>
          </cell>
          <cell r="M333" t="str">
            <v xml:space="preserve"> </v>
          </cell>
        </row>
        <row r="334">
          <cell r="B334" t="str">
            <v>95-96</v>
          </cell>
          <cell r="C334">
            <v>193</v>
          </cell>
          <cell r="D334">
            <v>530</v>
          </cell>
          <cell r="E334">
            <v>821.15</v>
          </cell>
          <cell r="F334">
            <v>154.93396226415095</v>
          </cell>
          <cell r="G334">
            <v>7.1000000000000005</v>
          </cell>
          <cell r="H334">
            <v>0.8646410521829142</v>
          </cell>
        </row>
        <row r="335">
          <cell r="B335" t="str">
            <v>96-97</v>
          </cell>
          <cell r="C335">
            <v>193</v>
          </cell>
          <cell r="D335">
            <v>580</v>
          </cell>
          <cell r="E335">
            <v>869.75</v>
          </cell>
          <cell r="F335">
            <v>149.95689655172413</v>
          </cell>
          <cell r="G335">
            <v>5.25</v>
          </cell>
          <cell r="H335">
            <v>0.60362173038229372</v>
          </cell>
        </row>
        <row r="336">
          <cell r="B336" t="str">
            <v>97-98</v>
          </cell>
          <cell r="C336">
            <v>193</v>
          </cell>
          <cell r="D336">
            <v>580</v>
          </cell>
          <cell r="E336">
            <v>681.28499999999997</v>
          </cell>
          <cell r="F336">
            <v>117.46293103448276</v>
          </cell>
          <cell r="G336">
            <v>5.7904999999999998</v>
          </cell>
          <cell r="H336">
            <v>0.84993798483747618</v>
          </cell>
        </row>
        <row r="337">
          <cell r="B337" t="str">
            <v>98-99</v>
          </cell>
          <cell r="C337">
            <v>193</v>
          </cell>
          <cell r="D337">
            <v>650</v>
          </cell>
          <cell r="E337">
            <v>743.19999999999993</v>
          </cell>
          <cell r="F337">
            <v>114.33846153846154</v>
          </cell>
          <cell r="G337">
            <v>6.6</v>
          </cell>
          <cell r="H337">
            <v>0.88805166846071049</v>
          </cell>
        </row>
        <row r="338">
          <cell r="B338" t="str">
            <v>99-00</v>
          </cell>
          <cell r="C338">
            <v>193</v>
          </cell>
          <cell r="D338">
            <v>650</v>
          </cell>
          <cell r="E338">
            <v>592.75</v>
          </cell>
          <cell r="F338">
            <v>91.192307692307693</v>
          </cell>
          <cell r="G338">
            <v>6</v>
          </cell>
          <cell r="H338">
            <v>1.0122311261071277</v>
          </cell>
        </row>
        <row r="339">
          <cell r="B339" t="str">
            <v>00-01</v>
          </cell>
          <cell r="C339">
            <v>193</v>
          </cell>
          <cell r="D339">
            <v>600</v>
          </cell>
          <cell r="E339">
            <v>213.72</v>
          </cell>
          <cell r="F339">
            <v>35.619999999999997</v>
          </cell>
          <cell r="G339">
            <v>4.33</v>
          </cell>
          <cell r="H339">
            <v>2.0299999999999998</v>
          </cell>
        </row>
        <row r="340">
          <cell r="A340" t="str">
            <v>Average last 5 years</v>
          </cell>
          <cell r="D340">
            <v>598</v>
          </cell>
          <cell r="E340">
            <v>741.62699999999995</v>
          </cell>
          <cell r="F340">
            <v>125.57691181622542</v>
          </cell>
          <cell r="G340">
            <v>6.1481000000000012</v>
          </cell>
          <cell r="H340">
            <v>0.84369671239410449</v>
          </cell>
          <cell r="I340">
            <v>0</v>
          </cell>
          <cell r="J340">
            <v>0</v>
          </cell>
          <cell r="K340">
            <v>0</v>
          </cell>
          <cell r="L340">
            <v>0</v>
          </cell>
          <cell r="M340">
            <v>0</v>
          </cell>
          <cell r="N340">
            <v>0</v>
          </cell>
          <cell r="O340">
            <v>0</v>
          </cell>
          <cell r="P340">
            <v>0</v>
          </cell>
          <cell r="Q340">
            <v>0</v>
          </cell>
        </row>
        <row r="341">
          <cell r="A341" t="str">
            <v>PENCH</v>
          </cell>
          <cell r="B341" t="str">
            <v>88-89</v>
          </cell>
          <cell r="C341">
            <v>160</v>
          </cell>
          <cell r="D341">
            <v>240</v>
          </cell>
          <cell r="E341">
            <v>248</v>
          </cell>
          <cell r="F341">
            <v>103.33333333333333</v>
          </cell>
          <cell r="G341" t="str">
            <v xml:space="preserve"> </v>
          </cell>
          <cell r="H341">
            <v>0</v>
          </cell>
          <cell r="I341" t="str">
            <v xml:space="preserve"> </v>
          </cell>
          <cell r="J341" t="str">
            <v xml:space="preserve"> </v>
          </cell>
          <cell r="K341" t="str">
            <v xml:space="preserve"> </v>
          </cell>
          <cell r="L341" t="str">
            <v xml:space="preserve"> </v>
          </cell>
          <cell r="M341" t="str">
            <v xml:space="preserve"> </v>
          </cell>
          <cell r="N341" t="str">
            <v xml:space="preserve"> </v>
          </cell>
          <cell r="O341" t="str">
            <v xml:space="preserve"> </v>
          </cell>
          <cell r="P341" t="str">
            <v xml:space="preserve"> </v>
          </cell>
          <cell r="Q341" t="str">
            <v xml:space="preserve"> </v>
          </cell>
        </row>
        <row r="342">
          <cell r="B342" t="str">
            <v>89-90</v>
          </cell>
          <cell r="C342">
            <v>160</v>
          </cell>
          <cell r="D342">
            <v>240</v>
          </cell>
          <cell r="E342">
            <v>212.32</v>
          </cell>
          <cell r="F342">
            <v>88.46</v>
          </cell>
          <cell r="G342">
            <v>0.2</v>
          </cell>
          <cell r="H342">
            <v>0.08</v>
          </cell>
          <cell r="I342">
            <v>160</v>
          </cell>
          <cell r="J342">
            <v>306</v>
          </cell>
          <cell r="M342">
            <v>464.6</v>
          </cell>
          <cell r="N342">
            <v>478.73</v>
          </cell>
          <cell r="O342" t="str">
            <v>13.09.89</v>
          </cell>
          <cell r="P342">
            <v>463.3</v>
          </cell>
          <cell r="Q342" t="str">
            <v>28.06.89</v>
          </cell>
        </row>
        <row r="343">
          <cell r="B343" t="str">
            <v>90-91</v>
          </cell>
          <cell r="C343">
            <v>160</v>
          </cell>
          <cell r="D343">
            <v>390</v>
          </cell>
          <cell r="E343">
            <v>340.8</v>
          </cell>
          <cell r="F343">
            <v>87.384615384615387</v>
          </cell>
          <cell r="G343">
            <v>0.2</v>
          </cell>
          <cell r="H343">
            <v>5.8685446009389672E-2</v>
          </cell>
          <cell r="I343">
            <v>160</v>
          </cell>
          <cell r="J343">
            <v>1432</v>
          </cell>
          <cell r="K343">
            <v>984.66</v>
          </cell>
          <cell r="L343">
            <v>984.66</v>
          </cell>
          <cell r="M343">
            <v>477.76</v>
          </cell>
          <cell r="N343">
            <v>488.35</v>
          </cell>
          <cell r="O343" t="str">
            <v>13.10.90</v>
          </cell>
          <cell r="P343">
            <v>462.1</v>
          </cell>
          <cell r="Q343" t="str">
            <v>01.06.90</v>
          </cell>
        </row>
        <row r="344">
          <cell r="B344" t="str">
            <v>91-92</v>
          </cell>
          <cell r="C344">
            <v>160</v>
          </cell>
          <cell r="D344">
            <v>390</v>
          </cell>
          <cell r="E344">
            <v>286.27999999999997</v>
          </cell>
          <cell r="F344">
            <v>73.405128205128193</v>
          </cell>
          <cell r="G344">
            <v>0.2</v>
          </cell>
          <cell r="H344">
            <v>6.9861673885706313E-2</v>
          </cell>
          <cell r="I344">
            <v>150</v>
          </cell>
          <cell r="J344">
            <v>678</v>
          </cell>
          <cell r="K344">
            <v>874.4</v>
          </cell>
          <cell r="L344">
            <v>874.4</v>
          </cell>
          <cell r="M344">
            <v>464.42</v>
          </cell>
          <cell r="N344">
            <v>484.14</v>
          </cell>
          <cell r="O344" t="str">
            <v>14.09.91</v>
          </cell>
          <cell r="P344">
            <v>464.51</v>
          </cell>
          <cell r="Q344" t="str">
            <v>31.03.92</v>
          </cell>
        </row>
        <row r="345">
          <cell r="B345" t="str">
            <v>92-93</v>
          </cell>
          <cell r="C345">
            <v>160</v>
          </cell>
          <cell r="D345">
            <v>320</v>
          </cell>
          <cell r="E345">
            <v>273.24</v>
          </cell>
          <cell r="F345">
            <v>85.387500000000003</v>
          </cell>
          <cell r="G345">
            <v>0.3</v>
          </cell>
          <cell r="H345">
            <v>0.10979358805445762</v>
          </cell>
          <cell r="I345">
            <v>160</v>
          </cell>
          <cell r="J345">
            <v>1056</v>
          </cell>
          <cell r="K345">
            <v>659.9</v>
          </cell>
          <cell r="L345">
            <v>659.9</v>
          </cell>
          <cell r="M345">
            <v>474.9</v>
          </cell>
          <cell r="N345">
            <v>487.91</v>
          </cell>
          <cell r="O345" t="str">
            <v>15.09.92</v>
          </cell>
          <cell r="P345">
            <v>453.92</v>
          </cell>
          <cell r="Q345" t="str">
            <v>19.06.92</v>
          </cell>
        </row>
        <row r="346">
          <cell r="B346" t="str">
            <v>93-94</v>
          </cell>
          <cell r="C346">
            <v>160</v>
          </cell>
          <cell r="D346">
            <v>390</v>
          </cell>
          <cell r="E346">
            <v>400.93799999999999</v>
          </cell>
          <cell r="F346">
            <v>102.80461538461537</v>
          </cell>
          <cell r="G346">
            <v>0.5</v>
          </cell>
          <cell r="H346">
            <v>0.12470756076999437</v>
          </cell>
          <cell r="I346">
            <v>82</v>
          </cell>
          <cell r="J346">
            <v>1993</v>
          </cell>
          <cell r="K346">
            <v>1096.8499999999999</v>
          </cell>
          <cell r="L346">
            <v>1096.8499999999999</v>
          </cell>
          <cell r="M346">
            <v>483.64</v>
          </cell>
          <cell r="N346">
            <v>490.18</v>
          </cell>
          <cell r="O346" t="str">
            <v>27.09.94</v>
          </cell>
          <cell r="P346">
            <v>468.34</v>
          </cell>
          <cell r="Q346" t="str">
            <v>15.06.93</v>
          </cell>
        </row>
        <row r="347">
          <cell r="B347" t="str">
            <v>94-95</v>
          </cell>
          <cell r="C347">
            <v>160</v>
          </cell>
          <cell r="D347">
            <v>450</v>
          </cell>
          <cell r="E347">
            <v>609.79999999999995</v>
          </cell>
          <cell r="F347">
            <v>135.51111111111109</v>
          </cell>
          <cell r="G347">
            <v>1.6766179999999999</v>
          </cell>
          <cell r="H347">
            <v>0.27494555591997377</v>
          </cell>
          <cell r="I347">
            <v>160</v>
          </cell>
          <cell r="J347">
            <v>3286</v>
          </cell>
          <cell r="K347">
            <v>1773.508</v>
          </cell>
          <cell r="L347">
            <v>1773.508</v>
          </cell>
          <cell r="M347">
            <v>476.6</v>
          </cell>
          <cell r="N347">
            <v>490.43</v>
          </cell>
          <cell r="O347" t="str">
            <v>06.09.94</v>
          </cell>
          <cell r="P347">
            <v>474.65</v>
          </cell>
          <cell r="Q347" t="str">
            <v>30.06.94</v>
          </cell>
        </row>
        <row r="348">
          <cell r="B348" t="str">
            <v>95-96</v>
          </cell>
          <cell r="C348">
            <v>160</v>
          </cell>
          <cell r="D348">
            <v>450</v>
          </cell>
          <cell r="E348">
            <v>409.3</v>
          </cell>
          <cell r="F348">
            <v>90.955555555555549</v>
          </cell>
          <cell r="G348">
            <v>1.2</v>
          </cell>
          <cell r="H348">
            <v>0.29318348399706817</v>
          </cell>
          <cell r="I348">
            <v>160</v>
          </cell>
          <cell r="J348">
            <v>1304.69</v>
          </cell>
          <cell r="K348">
            <v>1237.548</v>
          </cell>
          <cell r="L348">
            <v>1237.548</v>
          </cell>
          <cell r="M348">
            <v>472.9</v>
          </cell>
          <cell r="N348">
            <v>486</v>
          </cell>
          <cell r="O348" t="str">
            <v>15.09.95</v>
          </cell>
          <cell r="P348">
            <v>468.55</v>
          </cell>
          <cell r="Q348" t="str">
            <v>30.06.95</v>
          </cell>
        </row>
        <row r="349">
          <cell r="B349" t="str">
            <v>96-97</v>
          </cell>
          <cell r="C349">
            <v>160</v>
          </cell>
          <cell r="D349">
            <v>525</v>
          </cell>
          <cell r="E349">
            <v>292.8</v>
          </cell>
          <cell r="F349">
            <v>55.771428571428572</v>
          </cell>
          <cell r="G349">
            <v>1</v>
          </cell>
          <cell r="H349">
            <v>0.34153005464480873</v>
          </cell>
          <cell r="I349">
            <v>160</v>
          </cell>
          <cell r="J349">
            <v>794.8</v>
          </cell>
          <cell r="M349">
            <v>467.3</v>
          </cell>
          <cell r="N349">
            <v>483.05</v>
          </cell>
          <cell r="O349" t="str">
            <v>30.09.96</v>
          </cell>
          <cell r="P349">
            <v>463.6</v>
          </cell>
          <cell r="Q349" t="str">
            <v>15.06.96</v>
          </cell>
        </row>
        <row r="350">
          <cell r="B350" t="str">
            <v>97-98</v>
          </cell>
          <cell r="C350">
            <v>160</v>
          </cell>
          <cell r="D350">
            <v>525</v>
          </cell>
          <cell r="E350">
            <v>474.97</v>
          </cell>
          <cell r="F350">
            <v>90.470476190476191</v>
          </cell>
          <cell r="G350">
            <v>1.032</v>
          </cell>
          <cell r="H350">
            <v>0.21727688064509337</v>
          </cell>
          <cell r="I350">
            <v>160</v>
          </cell>
          <cell r="J350">
            <v>3261.21</v>
          </cell>
          <cell r="K350">
            <v>911.9</v>
          </cell>
          <cell r="M350">
            <v>486.66</v>
          </cell>
          <cell r="N350">
            <v>490.13</v>
          </cell>
          <cell r="O350" t="str">
            <v>31.12.97</v>
          </cell>
          <cell r="P350">
            <v>462.88</v>
          </cell>
          <cell r="Q350" t="str">
            <v>01.07.97</v>
          </cell>
        </row>
        <row r="351">
          <cell r="B351" t="str">
            <v>98-99</v>
          </cell>
          <cell r="C351">
            <v>160</v>
          </cell>
          <cell r="D351">
            <v>525</v>
          </cell>
          <cell r="E351">
            <v>561.1</v>
          </cell>
          <cell r="F351">
            <v>106.87619047619047</v>
          </cell>
          <cell r="G351">
            <v>1.1000000000000001</v>
          </cell>
          <cell r="H351">
            <v>0.19604348600962396</v>
          </cell>
          <cell r="I351">
            <v>160</v>
          </cell>
          <cell r="J351">
            <v>1358.9</v>
          </cell>
          <cell r="K351">
            <v>911.9</v>
          </cell>
          <cell r="M351">
            <v>481.29</v>
          </cell>
          <cell r="N351">
            <v>490</v>
          </cell>
          <cell r="O351" t="str">
            <v>11.11.98</v>
          </cell>
          <cell r="P351">
            <v>477.5</v>
          </cell>
          <cell r="Q351" t="str">
            <v>27.06.98</v>
          </cell>
        </row>
        <row r="352">
          <cell r="B352" t="str">
            <v>99-00</v>
          </cell>
          <cell r="C352">
            <v>160</v>
          </cell>
          <cell r="D352">
            <v>525</v>
          </cell>
          <cell r="E352">
            <v>560.5</v>
          </cell>
          <cell r="F352">
            <v>106.8</v>
          </cell>
          <cell r="G352">
            <v>2.1</v>
          </cell>
          <cell r="H352">
            <v>0.37466547725245319</v>
          </cell>
          <cell r="I352">
            <v>160</v>
          </cell>
          <cell r="J352">
            <v>2994</v>
          </cell>
          <cell r="K352">
            <v>1635.48</v>
          </cell>
          <cell r="M352">
            <v>478.86</v>
          </cell>
          <cell r="N352">
            <v>490.08</v>
          </cell>
          <cell r="P352">
            <v>476.93</v>
          </cell>
        </row>
        <row r="353">
          <cell r="B353" t="str">
            <v>00-01</v>
          </cell>
          <cell r="C353">
            <v>160</v>
          </cell>
          <cell r="D353">
            <v>550</v>
          </cell>
          <cell r="E353">
            <v>284.22000000000003</v>
          </cell>
          <cell r="F353">
            <v>51.68</v>
          </cell>
          <cell r="G353">
            <v>0.73</v>
          </cell>
          <cell r="H353">
            <v>0.26</v>
          </cell>
          <cell r="I353">
            <v>164</v>
          </cell>
          <cell r="M353">
            <v>463.46</v>
          </cell>
        </row>
        <row r="354">
          <cell r="A354" t="str">
            <v>Average last 5 years</v>
          </cell>
          <cell r="D354">
            <v>510</v>
          </cell>
          <cell r="E354">
            <v>459.73400000000004</v>
          </cell>
          <cell r="F354">
            <v>90.174730158730156</v>
          </cell>
          <cell r="G354">
            <v>1.4324000000000001</v>
          </cell>
          <cell r="H354">
            <v>0.2845398765098095</v>
          </cell>
          <cell r="I354">
            <v>160</v>
          </cell>
          <cell r="J354">
            <v>1942.72</v>
          </cell>
          <cell r="K354">
            <v>939.36559999999986</v>
          </cell>
          <cell r="L354">
            <v>247.50960000000001</v>
          </cell>
          <cell r="M354">
            <v>477.40200000000004</v>
          </cell>
          <cell r="N354">
            <v>487.92200000000003</v>
          </cell>
          <cell r="O354">
            <v>0</v>
          </cell>
          <cell r="P354">
            <v>469.43600000000004</v>
          </cell>
          <cell r="Q354">
            <v>0</v>
          </cell>
        </row>
        <row r="355">
          <cell r="A355" t="str">
            <v>STATE  LOAD  DESPATCH  CENTRE  M.P.E.B.  JABALPUR</v>
          </cell>
        </row>
        <row r="356">
          <cell r="A356" t="str">
            <v>OTHER HYDEL</v>
          </cell>
        </row>
        <row r="357">
          <cell r="A357" t="str">
            <v>STATION NAME</v>
          </cell>
          <cell r="B357" t="str">
            <v>YEAR</v>
          </cell>
          <cell r="C357" t="str">
            <v>CAPACITY</v>
          </cell>
          <cell r="D357" t="str">
            <v>TARGET</v>
          </cell>
          <cell r="E357" t="str">
            <v>ACTUAL GENE.</v>
          </cell>
          <cell r="F357" t="str">
            <v>ACHIEVE-MENT</v>
          </cell>
          <cell r="G357" t="str">
            <v>AUXILIARY CONSUMPTION</v>
          </cell>
          <cell r="I357" t="str">
            <v>MAXIMUM DEMAND</v>
          </cell>
          <cell r="J357" t="str">
            <v>WATER INFLOW</v>
          </cell>
          <cell r="K357" t="str">
            <v>WATER CONSUMED</v>
          </cell>
          <cell r="L357" t="str">
            <v>WATER CONSUMED</v>
          </cell>
          <cell r="M357" t="str">
            <v>LEVEL AT THE END</v>
          </cell>
          <cell r="N357" t="str">
            <v>MAXIMUM LEVEL</v>
          </cell>
          <cell r="P357" t="str">
            <v>MINIMUM LEVEL</v>
          </cell>
        </row>
        <row r="358">
          <cell r="C358" t="str">
            <v>MW</v>
          </cell>
          <cell r="D358" t="str">
            <v>MKwh</v>
          </cell>
          <cell r="E358" t="str">
            <v>MKwh</v>
          </cell>
          <cell r="F358" t="str">
            <v>%</v>
          </cell>
          <cell r="G358" t="str">
            <v>MKwh</v>
          </cell>
          <cell r="H358" t="str">
            <v>%</v>
          </cell>
          <cell r="I358" t="str">
            <v>MW</v>
          </cell>
          <cell r="J358" t="str">
            <v>MAFT</v>
          </cell>
          <cell r="K358" t="str">
            <v>MCM</v>
          </cell>
          <cell r="L358" t="str">
            <v>MCM</v>
          </cell>
          <cell r="M358" t="str">
            <v>FT / M</v>
          </cell>
          <cell r="N358" t="str">
            <v>FT / M</v>
          </cell>
          <cell r="O358" t="str">
            <v>DATE</v>
          </cell>
          <cell r="P358" t="str">
            <v>FT / M</v>
          </cell>
          <cell r="Q358" t="str">
            <v>DATE</v>
          </cell>
        </row>
        <row r="359">
          <cell r="A359" t="str">
            <v>BARGI</v>
          </cell>
          <cell r="B359" t="str">
            <v>88-89</v>
          </cell>
          <cell r="C359">
            <v>90</v>
          </cell>
          <cell r="D359">
            <v>100</v>
          </cell>
          <cell r="E359">
            <v>142</v>
          </cell>
          <cell r="F359">
            <v>142</v>
          </cell>
          <cell r="G359" t="str">
            <v xml:space="preserve"> </v>
          </cell>
          <cell r="H359">
            <v>0</v>
          </cell>
          <cell r="I359" t="str">
            <v xml:space="preserve"> </v>
          </cell>
          <cell r="J359" t="str">
            <v xml:space="preserve"> </v>
          </cell>
          <cell r="K359" t="str">
            <v xml:space="preserve"> </v>
          </cell>
          <cell r="L359" t="str">
            <v xml:space="preserve"> </v>
          </cell>
          <cell r="M359" t="str">
            <v xml:space="preserve"> </v>
          </cell>
          <cell r="N359" t="str">
            <v xml:space="preserve"> </v>
          </cell>
          <cell r="O359" t="str">
            <v xml:space="preserve"> </v>
          </cell>
          <cell r="P359" t="str">
            <v xml:space="preserve"> </v>
          </cell>
          <cell r="Q359" t="str">
            <v xml:space="preserve"> </v>
          </cell>
        </row>
        <row r="360">
          <cell r="B360" t="str">
            <v>89-90</v>
          </cell>
          <cell r="C360">
            <v>90</v>
          </cell>
          <cell r="D360">
            <v>140</v>
          </cell>
          <cell r="E360">
            <v>277.95</v>
          </cell>
          <cell r="F360">
            <v>198.54</v>
          </cell>
          <cell r="G360">
            <v>0.1</v>
          </cell>
          <cell r="H360">
            <v>0.04</v>
          </cell>
          <cell r="I360">
            <v>91</v>
          </cell>
          <cell r="M360">
            <v>410.2</v>
          </cell>
          <cell r="N360">
            <v>418.7</v>
          </cell>
          <cell r="O360" t="str">
            <v>30.09.89</v>
          </cell>
          <cell r="P360">
            <v>403.9</v>
          </cell>
          <cell r="Q360" t="str">
            <v>22.06.89</v>
          </cell>
        </row>
        <row r="361">
          <cell r="B361" t="str">
            <v>90-91</v>
          </cell>
          <cell r="C361">
            <v>90</v>
          </cell>
          <cell r="D361">
            <v>200</v>
          </cell>
          <cell r="E361">
            <v>480.44</v>
          </cell>
          <cell r="F361">
            <v>240.22</v>
          </cell>
          <cell r="G361">
            <v>0.1</v>
          </cell>
          <cell r="H361">
            <v>2.0814253600865872E-2</v>
          </cell>
          <cell r="I361">
            <v>92</v>
          </cell>
          <cell r="K361">
            <v>4279.8900000000003</v>
          </cell>
          <cell r="L361">
            <v>4279.8900000000003</v>
          </cell>
          <cell r="M361">
            <v>416.6</v>
          </cell>
          <cell r="N361">
            <v>422.76</v>
          </cell>
          <cell r="O361" t="str">
            <v>08.10.90</v>
          </cell>
          <cell r="P361">
            <v>406.65</v>
          </cell>
          <cell r="Q361" t="str">
            <v>19.06.90</v>
          </cell>
        </row>
        <row r="362">
          <cell r="B362" t="str">
            <v>91-92</v>
          </cell>
          <cell r="C362">
            <v>90</v>
          </cell>
          <cell r="D362">
            <v>250</v>
          </cell>
          <cell r="E362">
            <v>520.04999999999995</v>
          </cell>
          <cell r="F362">
            <v>208.01999999999998</v>
          </cell>
          <cell r="G362">
            <v>0.1</v>
          </cell>
          <cell r="H362">
            <v>1.9228920296125374E-2</v>
          </cell>
          <cell r="I362">
            <v>94</v>
          </cell>
          <cell r="K362">
            <v>4609.5</v>
          </cell>
          <cell r="L362">
            <v>4609.5</v>
          </cell>
          <cell r="M362">
            <v>409.05</v>
          </cell>
          <cell r="N362">
            <v>421.6</v>
          </cell>
          <cell r="O362" t="str">
            <v>29.08.91</v>
          </cell>
          <cell r="P362">
            <v>408.6</v>
          </cell>
          <cell r="Q362" t="str">
            <v>15.07.91</v>
          </cell>
        </row>
        <row r="363">
          <cell r="B363" t="str">
            <v>92-93</v>
          </cell>
          <cell r="C363">
            <v>90</v>
          </cell>
          <cell r="D363">
            <v>400</v>
          </cell>
          <cell r="E363">
            <v>368.81</v>
          </cell>
          <cell r="F363">
            <v>92.202500000000001</v>
          </cell>
          <cell r="G363">
            <v>0.1</v>
          </cell>
          <cell r="H363">
            <v>2.7114232260513543E-2</v>
          </cell>
          <cell r="I363">
            <v>96</v>
          </cell>
          <cell r="K363">
            <v>3105.7</v>
          </cell>
          <cell r="L363">
            <v>3105.7</v>
          </cell>
          <cell r="M363">
            <v>414.4</v>
          </cell>
          <cell r="N363">
            <v>422.75</v>
          </cell>
          <cell r="O363" t="str">
            <v>11.09.92</v>
          </cell>
          <cell r="P363">
            <v>404.6</v>
          </cell>
          <cell r="Q363" t="str">
            <v>13.07.92</v>
          </cell>
        </row>
        <row r="364">
          <cell r="B364" t="str">
            <v>93-94</v>
          </cell>
          <cell r="C364">
            <v>90</v>
          </cell>
          <cell r="D364">
            <v>520</v>
          </cell>
          <cell r="E364">
            <v>539.36582999999996</v>
          </cell>
          <cell r="F364">
            <v>103.72419807692307</v>
          </cell>
          <cell r="G364">
            <v>0.1</v>
          </cell>
          <cell r="H364">
            <v>1.8540292031477043E-2</v>
          </cell>
          <cell r="I364">
            <v>90</v>
          </cell>
          <cell r="K364">
            <v>4484.13</v>
          </cell>
          <cell r="L364">
            <v>4484.13</v>
          </cell>
          <cell r="M364">
            <v>413.55</v>
          </cell>
          <cell r="N364">
            <v>422.45</v>
          </cell>
          <cell r="O364" t="str">
            <v>16.10.94</v>
          </cell>
          <cell r="P364">
            <v>408.9</v>
          </cell>
          <cell r="Q364" t="str">
            <v>08.07.94</v>
          </cell>
        </row>
        <row r="365">
          <cell r="B365" t="str">
            <v>94-95</v>
          </cell>
          <cell r="C365">
            <v>90</v>
          </cell>
          <cell r="D365">
            <v>470</v>
          </cell>
          <cell r="E365">
            <v>533.1</v>
          </cell>
          <cell r="F365">
            <v>113.42553191489361</v>
          </cell>
          <cell r="G365">
            <v>0.1</v>
          </cell>
          <cell r="H365">
            <v>1.8758206715438003E-2</v>
          </cell>
          <cell r="I365">
            <v>90</v>
          </cell>
          <cell r="J365">
            <v>22742</v>
          </cell>
          <cell r="K365">
            <v>4573</v>
          </cell>
          <cell r="L365">
            <v>4573</v>
          </cell>
          <cell r="M365">
            <v>415.6</v>
          </cell>
          <cell r="N365">
            <v>422.75</v>
          </cell>
          <cell r="O365" t="str">
            <v>01.10.94</v>
          </cell>
          <cell r="P365">
            <v>405.9</v>
          </cell>
          <cell r="Q365" t="str">
            <v>19.06.94</v>
          </cell>
        </row>
        <row r="366">
          <cell r="B366" t="str">
            <v>95-96</v>
          </cell>
          <cell r="C366">
            <v>90</v>
          </cell>
          <cell r="D366">
            <v>540</v>
          </cell>
          <cell r="E366">
            <v>561.9</v>
          </cell>
          <cell r="F366">
            <v>104.05555555555556</v>
          </cell>
          <cell r="G366">
            <v>0.1</v>
          </cell>
          <cell r="H366">
            <v>1.7796760989499911E-2</v>
          </cell>
          <cell r="I366">
            <v>90</v>
          </cell>
          <cell r="J366">
            <v>9012</v>
          </cell>
          <cell r="K366">
            <v>4894</v>
          </cell>
          <cell r="L366">
            <v>4894</v>
          </cell>
          <cell r="M366">
            <v>411.2</v>
          </cell>
          <cell r="N366">
            <v>422.45</v>
          </cell>
          <cell r="O366" t="str">
            <v>16.09.95</v>
          </cell>
          <cell r="P366">
            <v>409.35</v>
          </cell>
          <cell r="Q366" t="str">
            <v>06.07.95</v>
          </cell>
        </row>
        <row r="367">
          <cell r="B367" t="str">
            <v>96-97</v>
          </cell>
          <cell r="C367">
            <v>90</v>
          </cell>
          <cell r="D367">
            <v>540</v>
          </cell>
          <cell r="E367">
            <v>486.9</v>
          </cell>
          <cell r="F367">
            <v>90.166666666666671</v>
          </cell>
          <cell r="G367">
            <v>0.1</v>
          </cell>
          <cell r="H367">
            <v>2.0538098172109262E-2</v>
          </cell>
          <cell r="I367">
            <v>90</v>
          </cell>
          <cell r="J367">
            <v>18701</v>
          </cell>
          <cell r="M367">
            <v>411.35</v>
          </cell>
          <cell r="N367">
            <v>422.1</v>
          </cell>
          <cell r="O367" t="str">
            <v>20.09.96</v>
          </cell>
          <cell r="P367">
            <v>405.05</v>
          </cell>
          <cell r="Q367" t="str">
            <v>14.07.96</v>
          </cell>
        </row>
        <row r="368">
          <cell r="B368" t="str">
            <v>97-98</v>
          </cell>
          <cell r="C368">
            <v>90</v>
          </cell>
          <cell r="D368">
            <v>540</v>
          </cell>
          <cell r="E368">
            <v>567.63</v>
          </cell>
          <cell r="F368">
            <v>105.11666666666666</v>
          </cell>
          <cell r="G368">
            <v>0.11</v>
          </cell>
          <cell r="H368">
            <v>1.9378820710674208E-2</v>
          </cell>
          <cell r="I368">
            <v>90</v>
          </cell>
          <cell r="J368">
            <v>9016.1</v>
          </cell>
          <cell r="K368">
            <v>4491</v>
          </cell>
          <cell r="M368">
            <v>416.75</v>
          </cell>
          <cell r="N368">
            <v>422.75</v>
          </cell>
          <cell r="O368" t="str">
            <v>17.09.97</v>
          </cell>
          <cell r="P368">
            <v>404.75</v>
          </cell>
          <cell r="Q368" t="str">
            <v>27.06.97</v>
          </cell>
        </row>
        <row r="369">
          <cell r="B369" t="str">
            <v>98-99</v>
          </cell>
          <cell r="C369">
            <v>90</v>
          </cell>
          <cell r="D369">
            <v>550</v>
          </cell>
          <cell r="E369">
            <v>652.70000000000005</v>
          </cell>
          <cell r="F369">
            <v>118.67272727272729</v>
          </cell>
          <cell r="G369">
            <v>0.1</v>
          </cell>
          <cell r="H369">
            <v>1.5320974413972727E-2</v>
          </cell>
          <cell r="I369">
            <v>90</v>
          </cell>
          <cell r="J369">
            <v>0</v>
          </cell>
          <cell r="K369" t="str">
            <v xml:space="preserve"> </v>
          </cell>
          <cell r="L369" t="str">
            <v xml:space="preserve"> </v>
          </cell>
          <cell r="M369">
            <v>410.45</v>
          </cell>
          <cell r="N369">
            <v>422.76</v>
          </cell>
          <cell r="O369" t="str">
            <v>19.09.98</v>
          </cell>
          <cell r="P369">
            <v>407.5</v>
          </cell>
          <cell r="Q369" t="str">
            <v>11.06.98</v>
          </cell>
        </row>
        <row r="370">
          <cell r="B370" t="str">
            <v>99-00</v>
          </cell>
          <cell r="C370">
            <v>90</v>
          </cell>
          <cell r="D370">
            <v>550</v>
          </cell>
          <cell r="E370">
            <v>480.3</v>
          </cell>
          <cell r="F370">
            <v>87.3</v>
          </cell>
          <cell r="G370">
            <v>0.6</v>
          </cell>
          <cell r="H370">
            <v>0.12492192379762648</v>
          </cell>
          <cell r="I370">
            <v>90</v>
          </cell>
          <cell r="J370">
            <v>22028.13</v>
          </cell>
          <cell r="K370">
            <v>4179.07</v>
          </cell>
          <cell r="M370">
            <v>411.05</v>
          </cell>
          <cell r="N370">
            <v>423.55</v>
          </cell>
          <cell r="P370">
            <v>406.9</v>
          </cell>
        </row>
        <row r="371">
          <cell r="B371" t="str">
            <v>00-01</v>
          </cell>
          <cell r="C371">
            <v>90</v>
          </cell>
          <cell r="D371">
            <v>550</v>
          </cell>
          <cell r="E371">
            <v>363.84</v>
          </cell>
          <cell r="F371">
            <v>66.150000000000006</v>
          </cell>
          <cell r="G371">
            <v>0.61</v>
          </cell>
          <cell r="H371">
            <v>0.16765611257695692</v>
          </cell>
          <cell r="I371">
            <v>90</v>
          </cell>
          <cell r="M371">
            <v>410</v>
          </cell>
        </row>
        <row r="372">
          <cell r="A372" t="str">
            <v>Average last 5 years</v>
          </cell>
          <cell r="D372">
            <v>544</v>
          </cell>
          <cell r="E372">
            <v>549.88600000000008</v>
          </cell>
          <cell r="F372">
            <v>101.06232323232324</v>
          </cell>
          <cell r="G372">
            <v>0.20200000000000001</v>
          </cell>
          <cell r="H372">
            <v>3.9591315616776521E-2</v>
          </cell>
          <cell r="I372">
            <v>90</v>
          </cell>
          <cell r="J372">
            <v>11751.446</v>
          </cell>
          <cell r="K372">
            <v>2712.8139999999999</v>
          </cell>
          <cell r="L372">
            <v>978.8</v>
          </cell>
          <cell r="M372">
            <v>412.16</v>
          </cell>
          <cell r="N372">
            <v>422.56200000000007</v>
          </cell>
          <cell r="O372">
            <v>0</v>
          </cell>
          <cell r="P372">
            <v>406.51</v>
          </cell>
          <cell r="Q372">
            <v>0</v>
          </cell>
        </row>
        <row r="373">
          <cell r="A373" t="str">
            <v>TONS</v>
          </cell>
          <cell r="B373" t="str">
            <v>88-89</v>
          </cell>
        </row>
        <row r="374">
          <cell r="B374" t="str">
            <v>89-90</v>
          </cell>
        </row>
        <row r="375">
          <cell r="B375" t="str">
            <v>90-91</v>
          </cell>
          <cell r="C375">
            <v>0</v>
          </cell>
          <cell r="D375">
            <v>50</v>
          </cell>
          <cell r="E375">
            <v>0</v>
          </cell>
          <cell r="F375">
            <v>0</v>
          </cell>
          <cell r="G375" t="str">
            <v xml:space="preserve"> </v>
          </cell>
        </row>
        <row r="376">
          <cell r="B376" t="str">
            <v>91-92</v>
          </cell>
          <cell r="C376">
            <v>315</v>
          </cell>
          <cell r="D376">
            <v>761</v>
          </cell>
          <cell r="E376">
            <v>6.59</v>
          </cell>
          <cell r="F376">
            <v>0.86596583442838371</v>
          </cell>
          <cell r="G376" t="str">
            <v xml:space="preserve"> </v>
          </cell>
        </row>
        <row r="377">
          <cell r="B377" t="str">
            <v>92-93</v>
          </cell>
          <cell r="C377">
            <v>315</v>
          </cell>
          <cell r="D377">
            <v>700</v>
          </cell>
          <cell r="E377">
            <v>322.45</v>
          </cell>
          <cell r="F377">
            <v>46.064285714285717</v>
          </cell>
          <cell r="G377">
            <v>3.1</v>
          </cell>
          <cell r="H377">
            <v>0.96138936269189024</v>
          </cell>
          <cell r="I377">
            <v>315</v>
          </cell>
          <cell r="M377">
            <v>277.8</v>
          </cell>
          <cell r="N377">
            <v>283.2</v>
          </cell>
          <cell r="O377" t="str">
            <v>17.09.92</v>
          </cell>
          <cell r="P377">
            <v>274.3</v>
          </cell>
          <cell r="Q377" t="str">
            <v>28.02.93</v>
          </cell>
        </row>
        <row r="378">
          <cell r="B378" t="str">
            <v>93-94</v>
          </cell>
          <cell r="C378">
            <v>315</v>
          </cell>
          <cell r="D378">
            <v>410</v>
          </cell>
          <cell r="E378">
            <v>300.02724999999998</v>
          </cell>
          <cell r="F378">
            <v>73.177378048780483</v>
          </cell>
          <cell r="G378">
            <v>2.15</v>
          </cell>
          <cell r="H378">
            <v>0.71660157535690516</v>
          </cell>
          <cell r="I378">
            <v>315</v>
          </cell>
          <cell r="M378">
            <v>277.10000000000002</v>
          </cell>
          <cell r="N378">
            <v>280.5</v>
          </cell>
          <cell r="O378" t="str">
            <v>29.09.93</v>
          </cell>
          <cell r="P378">
            <v>275.7</v>
          </cell>
          <cell r="Q378" t="str">
            <v>18.04.93</v>
          </cell>
        </row>
        <row r="379">
          <cell r="B379" t="str">
            <v>94-95</v>
          </cell>
          <cell r="C379">
            <v>315</v>
          </cell>
          <cell r="D379">
            <v>350</v>
          </cell>
          <cell r="E379">
            <v>457</v>
          </cell>
          <cell r="F379">
            <v>130.57142857142858</v>
          </cell>
          <cell r="G379">
            <v>1.2</v>
          </cell>
          <cell r="H379">
            <v>0.26258205689277897</v>
          </cell>
          <cell r="I379">
            <v>315</v>
          </cell>
          <cell r="M379">
            <v>277.10000000000002</v>
          </cell>
          <cell r="N379">
            <v>280.5</v>
          </cell>
          <cell r="O379" t="str">
            <v>21.09.94</v>
          </cell>
          <cell r="P379">
            <v>277.10000000000002</v>
          </cell>
          <cell r="Q379" t="str">
            <v>01.04.94</v>
          </cell>
        </row>
        <row r="380">
          <cell r="B380" t="str">
            <v>95-96</v>
          </cell>
          <cell r="C380">
            <v>315</v>
          </cell>
          <cell r="D380">
            <v>350</v>
          </cell>
          <cell r="E380">
            <v>257.3</v>
          </cell>
          <cell r="F380">
            <v>73.51428571428572</v>
          </cell>
          <cell r="G380">
            <v>1.5</v>
          </cell>
          <cell r="H380">
            <v>0.58297706956859696</v>
          </cell>
          <cell r="I380">
            <v>210</v>
          </cell>
          <cell r="M380">
            <v>277.3</v>
          </cell>
          <cell r="N380">
            <v>280.39999999999998</v>
          </cell>
          <cell r="O380" t="str">
            <v>19.10.95</v>
          </cell>
          <cell r="P380">
            <v>277</v>
          </cell>
          <cell r="Q380" t="str">
            <v>05.07.95</v>
          </cell>
        </row>
        <row r="381">
          <cell r="B381" t="str">
            <v>96-97</v>
          </cell>
          <cell r="C381">
            <v>315</v>
          </cell>
          <cell r="D381">
            <v>350</v>
          </cell>
          <cell r="E381">
            <v>324.3</v>
          </cell>
          <cell r="F381">
            <v>92.657142857142858</v>
          </cell>
          <cell r="G381">
            <v>1.3</v>
          </cell>
          <cell r="H381">
            <v>0.40086339808818994</v>
          </cell>
          <cell r="I381">
            <v>315</v>
          </cell>
          <cell r="J381">
            <v>721.2</v>
          </cell>
          <cell r="M381">
            <v>277.2</v>
          </cell>
          <cell r="N381">
            <v>280.39999999999998</v>
          </cell>
          <cell r="O381" t="str">
            <v>14.09.96</v>
          </cell>
          <cell r="P381">
            <v>277</v>
          </cell>
          <cell r="Q381" t="str">
            <v>10.06.96</v>
          </cell>
        </row>
        <row r="382">
          <cell r="B382" t="str">
            <v>97-98</v>
          </cell>
          <cell r="C382">
            <v>315</v>
          </cell>
          <cell r="D382">
            <v>350</v>
          </cell>
          <cell r="E382">
            <v>501.98</v>
          </cell>
          <cell r="F382">
            <v>143.42285714285714</v>
          </cell>
          <cell r="G382">
            <v>1.8540000000000001</v>
          </cell>
          <cell r="H382">
            <v>0.36933742380174511</v>
          </cell>
          <cell r="I382">
            <v>315</v>
          </cell>
          <cell r="M382">
            <v>277.2</v>
          </cell>
          <cell r="N382">
            <v>280.60000000000002</v>
          </cell>
          <cell r="O382" t="str">
            <v>02.09.97</v>
          </cell>
          <cell r="P382">
            <v>277.2</v>
          </cell>
          <cell r="Q382" t="str">
            <v>17.02.98</v>
          </cell>
        </row>
        <row r="383">
          <cell r="B383" t="str">
            <v>98-99</v>
          </cell>
          <cell r="C383">
            <v>315</v>
          </cell>
          <cell r="D383">
            <v>350</v>
          </cell>
          <cell r="E383">
            <v>429.3</v>
          </cell>
          <cell r="F383">
            <v>122.65714285714286</v>
          </cell>
          <cell r="G383">
            <v>1.4</v>
          </cell>
          <cell r="H383">
            <v>0.32611227579781038</v>
          </cell>
          <cell r="I383">
            <v>315</v>
          </cell>
          <cell r="J383">
            <v>0</v>
          </cell>
          <cell r="K383">
            <v>0</v>
          </cell>
          <cell r="M383">
            <v>277</v>
          </cell>
          <cell r="N383">
            <v>279.89999999999998</v>
          </cell>
          <cell r="O383" t="str">
            <v>01.11.98</v>
          </cell>
          <cell r="P383">
            <v>277</v>
          </cell>
          <cell r="Q383" t="str">
            <v>20.06.98</v>
          </cell>
        </row>
        <row r="384">
          <cell r="B384" t="str">
            <v>99-00</v>
          </cell>
          <cell r="C384">
            <v>315</v>
          </cell>
          <cell r="D384">
            <v>350</v>
          </cell>
          <cell r="E384">
            <v>570</v>
          </cell>
          <cell r="F384">
            <v>162.85714285714286</v>
          </cell>
          <cell r="G384">
            <v>1.6</v>
          </cell>
          <cell r="H384">
            <v>0.2807017543859649</v>
          </cell>
          <cell r="I384">
            <v>315</v>
          </cell>
          <cell r="M384">
            <v>275</v>
          </cell>
          <cell r="N384">
            <v>406.9</v>
          </cell>
          <cell r="P384">
            <v>280.5</v>
          </cell>
        </row>
        <row r="385">
          <cell r="B385" t="str">
            <v>00-01</v>
          </cell>
          <cell r="C385">
            <v>315</v>
          </cell>
          <cell r="D385">
            <v>425</v>
          </cell>
          <cell r="E385">
            <v>745.37</v>
          </cell>
          <cell r="F385">
            <v>175.38</v>
          </cell>
          <cell r="G385">
            <v>2.7</v>
          </cell>
          <cell r="H385">
            <v>0.36223620483786578</v>
          </cell>
          <cell r="I385">
            <v>315</v>
          </cell>
          <cell r="M385">
            <v>276.3</v>
          </cell>
        </row>
        <row r="386">
          <cell r="A386" t="str">
            <v>Average</v>
          </cell>
          <cell r="D386">
            <v>496.375</v>
          </cell>
          <cell r="E386">
            <v>396.11840625000002</v>
          </cell>
          <cell r="F386">
            <v>105.72345369968683</v>
          </cell>
          <cell r="G386">
            <v>2.1004999999999998</v>
          </cell>
          <cell r="H386">
            <v>0.53285014017771848</v>
          </cell>
          <cell r="I386">
            <v>341.25</v>
          </cell>
          <cell r="J386">
            <v>90.15</v>
          </cell>
          <cell r="K386">
            <v>0</v>
          </cell>
          <cell r="L386">
            <v>0</v>
          </cell>
          <cell r="M386">
            <v>311.50000000000006</v>
          </cell>
          <cell r="N386">
            <v>406.9</v>
          </cell>
          <cell r="O386" t="str">
            <v xml:space="preserve"> </v>
          </cell>
          <cell r="P386">
            <v>274.3</v>
          </cell>
          <cell r="Q386" t="str">
            <v xml:space="preserve"> </v>
          </cell>
        </row>
        <row r="387">
          <cell r="A387" t="str">
            <v>BIRSINGHPUR</v>
          </cell>
          <cell r="B387" t="str">
            <v>88-89</v>
          </cell>
        </row>
        <row r="388">
          <cell r="B388" t="str">
            <v>89-90</v>
          </cell>
        </row>
        <row r="389">
          <cell r="B389" t="str">
            <v>90-91</v>
          </cell>
          <cell r="C389">
            <v>0</v>
          </cell>
          <cell r="D389">
            <v>0</v>
          </cell>
          <cell r="E389">
            <v>0</v>
          </cell>
          <cell r="F389" t="str">
            <v xml:space="preserve"> </v>
          </cell>
          <cell r="I389" t="str">
            <v xml:space="preserve"> </v>
          </cell>
        </row>
        <row r="390">
          <cell r="B390" t="str">
            <v>91-92</v>
          </cell>
          <cell r="C390">
            <v>0</v>
          </cell>
          <cell r="D390">
            <v>0</v>
          </cell>
          <cell r="E390">
            <v>0</v>
          </cell>
          <cell r="F390" t="str">
            <v xml:space="preserve"> </v>
          </cell>
          <cell r="I390" t="str">
            <v xml:space="preserve"> </v>
          </cell>
        </row>
        <row r="391">
          <cell r="B391" t="str">
            <v>92-93</v>
          </cell>
          <cell r="C391">
            <v>20</v>
          </cell>
          <cell r="D391">
            <v>50</v>
          </cell>
          <cell r="E391">
            <v>18.38</v>
          </cell>
          <cell r="F391">
            <v>36.76</v>
          </cell>
          <cell r="G391">
            <v>0.1</v>
          </cell>
          <cell r="H391">
            <v>0.54406964091403698</v>
          </cell>
          <cell r="I391">
            <v>21</v>
          </cell>
          <cell r="M391">
            <v>472.9</v>
          </cell>
          <cell r="N391">
            <v>476.1</v>
          </cell>
          <cell r="O391" t="str">
            <v>15.09.92</v>
          </cell>
          <cell r="P391">
            <v>470.8</v>
          </cell>
          <cell r="Q391" t="str">
            <v>02.08.92</v>
          </cell>
        </row>
        <row r="392">
          <cell r="B392" t="str">
            <v>93-94</v>
          </cell>
          <cell r="C392">
            <v>20</v>
          </cell>
          <cell r="D392">
            <v>50</v>
          </cell>
          <cell r="E392">
            <v>35.423999999999999</v>
          </cell>
          <cell r="F392">
            <v>70.847999999999999</v>
          </cell>
          <cell r="G392">
            <v>0.8</v>
          </cell>
          <cell r="H392">
            <v>2.2583559168925023</v>
          </cell>
          <cell r="I392">
            <v>21</v>
          </cell>
          <cell r="M392">
            <v>475.97</v>
          </cell>
          <cell r="N392">
            <v>477</v>
          </cell>
          <cell r="O392" t="str">
            <v>21.09.93</v>
          </cell>
          <cell r="P392">
            <v>469.1</v>
          </cell>
          <cell r="Q392" t="str">
            <v>01.07.93</v>
          </cell>
        </row>
        <row r="393">
          <cell r="B393" t="str">
            <v>94-95</v>
          </cell>
          <cell r="C393">
            <v>20</v>
          </cell>
          <cell r="D393">
            <v>30</v>
          </cell>
          <cell r="E393">
            <v>60.3</v>
          </cell>
          <cell r="F393">
            <v>201</v>
          </cell>
          <cell r="G393">
            <v>1</v>
          </cell>
          <cell r="H393">
            <v>1.6583747927031509</v>
          </cell>
          <cell r="I393">
            <v>20</v>
          </cell>
          <cell r="J393">
            <v>1985</v>
          </cell>
          <cell r="M393">
            <v>474.7</v>
          </cell>
          <cell r="N393">
            <v>476.82</v>
          </cell>
          <cell r="O393" t="str">
            <v>01.12.94</v>
          </cell>
          <cell r="P393">
            <v>472.62</v>
          </cell>
          <cell r="Q393" t="str">
            <v>20.06.94</v>
          </cell>
        </row>
        <row r="394">
          <cell r="B394" t="str">
            <v>95-96</v>
          </cell>
          <cell r="C394">
            <v>20</v>
          </cell>
          <cell r="D394">
            <v>30</v>
          </cell>
          <cell r="E394">
            <v>43.1</v>
          </cell>
          <cell r="F394">
            <v>143.66666666666666</v>
          </cell>
          <cell r="G394">
            <v>0.9</v>
          </cell>
          <cell r="H394">
            <v>2.0881670533642689</v>
          </cell>
          <cell r="I394">
            <v>20</v>
          </cell>
          <cell r="J394">
            <v>690</v>
          </cell>
          <cell r="M394">
            <v>474.69</v>
          </cell>
          <cell r="N394">
            <v>476.28</v>
          </cell>
          <cell r="O394" t="str">
            <v>29.08.95</v>
          </cell>
          <cell r="P394">
            <v>471.83</v>
          </cell>
          <cell r="Q394" t="str">
            <v>13.07.95</v>
          </cell>
        </row>
        <row r="395">
          <cell r="B395" t="str">
            <v>96-97</v>
          </cell>
          <cell r="C395">
            <v>20</v>
          </cell>
          <cell r="D395">
            <v>30</v>
          </cell>
          <cell r="E395">
            <v>39</v>
          </cell>
          <cell r="F395">
            <v>130</v>
          </cell>
          <cell r="G395">
            <v>0.8</v>
          </cell>
          <cell r="H395">
            <v>2.0512820512820511</v>
          </cell>
          <cell r="I395">
            <v>20</v>
          </cell>
          <cell r="J395" t="str">
            <v xml:space="preserve"> </v>
          </cell>
          <cell r="M395">
            <v>475.01</v>
          </cell>
          <cell r="N395">
            <v>476.75</v>
          </cell>
          <cell r="O395" t="str">
            <v>18.09.96</v>
          </cell>
          <cell r="P395">
            <v>472.49</v>
          </cell>
          <cell r="Q395" t="str">
            <v>26.06.96</v>
          </cell>
        </row>
        <row r="396">
          <cell r="B396" t="str">
            <v>97-98</v>
          </cell>
          <cell r="C396">
            <v>20</v>
          </cell>
          <cell r="D396">
            <v>30</v>
          </cell>
          <cell r="E396">
            <v>68.23</v>
          </cell>
          <cell r="F396">
            <v>227.43333333333334</v>
          </cell>
          <cell r="G396">
            <v>0.63800000000000001</v>
          </cell>
          <cell r="H396">
            <v>0.93507254873222923</v>
          </cell>
          <cell r="I396">
            <v>20</v>
          </cell>
          <cell r="J396">
            <v>1177.4000000000001</v>
          </cell>
          <cell r="K396">
            <v>608.4</v>
          </cell>
          <cell r="M396">
            <v>475.65</v>
          </cell>
          <cell r="N396">
            <v>476.9</v>
          </cell>
          <cell r="O396" t="str">
            <v>17.09.97</v>
          </cell>
          <cell r="P396">
            <v>472.41</v>
          </cell>
          <cell r="Q396" t="str">
            <v>14.07.97</v>
          </cell>
        </row>
        <row r="397">
          <cell r="B397" t="str">
            <v>98-99</v>
          </cell>
          <cell r="C397">
            <v>20</v>
          </cell>
          <cell r="D397">
            <v>50</v>
          </cell>
          <cell r="E397">
            <v>40.4</v>
          </cell>
          <cell r="F397">
            <v>80.8</v>
          </cell>
          <cell r="G397">
            <v>0.4</v>
          </cell>
          <cell r="H397">
            <v>0.99009900990099009</v>
          </cell>
          <cell r="I397">
            <v>20</v>
          </cell>
          <cell r="J397">
            <v>0</v>
          </cell>
          <cell r="K397">
            <v>608.4</v>
          </cell>
          <cell r="M397">
            <v>474.63</v>
          </cell>
          <cell r="N397">
            <v>476.71</v>
          </cell>
          <cell r="O397" t="str">
            <v>14.09.98</v>
          </cell>
          <cell r="P397">
            <v>473.45</v>
          </cell>
          <cell r="Q397" t="str">
            <v>02.06.98</v>
          </cell>
        </row>
        <row r="398">
          <cell r="B398" t="str">
            <v>99-00</v>
          </cell>
          <cell r="C398">
            <v>20</v>
          </cell>
          <cell r="D398">
            <v>55</v>
          </cell>
          <cell r="E398">
            <v>46.3</v>
          </cell>
          <cell r="F398">
            <v>84.181818181818187</v>
          </cell>
          <cell r="G398">
            <v>0.3</v>
          </cell>
          <cell r="H398">
            <v>0.64794816414686829</v>
          </cell>
          <cell r="I398">
            <v>20</v>
          </cell>
          <cell r="M398">
            <v>475.37</v>
          </cell>
          <cell r="N398">
            <v>476.92</v>
          </cell>
          <cell r="P398">
            <v>472.95</v>
          </cell>
        </row>
        <row r="399">
          <cell r="B399" t="str">
            <v>00-01</v>
          </cell>
          <cell r="C399">
            <v>20</v>
          </cell>
          <cell r="D399">
            <v>50</v>
          </cell>
          <cell r="E399">
            <v>34.71</v>
          </cell>
          <cell r="F399">
            <v>99.18</v>
          </cell>
          <cell r="G399">
            <v>0.37</v>
          </cell>
          <cell r="H399">
            <v>1.065975223278594</v>
          </cell>
          <cell r="I399">
            <v>20</v>
          </cell>
          <cell r="M399">
            <v>474.48</v>
          </cell>
        </row>
        <row r="400">
          <cell r="A400" t="str">
            <v>Average</v>
          </cell>
          <cell r="D400">
            <v>81</v>
          </cell>
          <cell r="E400">
            <v>85.354250000000008</v>
          </cell>
          <cell r="F400">
            <v>158.5635</v>
          </cell>
          <cell r="G400">
            <v>47.829749999999997</v>
          </cell>
          <cell r="H400">
            <v>48.565677626723655</v>
          </cell>
          <cell r="I400">
            <v>65</v>
          </cell>
          <cell r="J400">
            <v>528.79999999999995</v>
          </cell>
          <cell r="K400">
            <v>199.35</v>
          </cell>
          <cell r="L400">
            <v>47.25</v>
          </cell>
          <cell r="M400">
            <v>462.69375000000002</v>
          </cell>
          <cell r="N400">
            <v>477</v>
          </cell>
          <cell r="O400" t="str">
            <v xml:space="preserve"> </v>
          </cell>
          <cell r="P400">
            <v>469.1</v>
          </cell>
          <cell r="Q400" t="str">
            <v xml:space="preserve"> </v>
          </cell>
        </row>
        <row r="401">
          <cell r="A401" t="str">
            <v>STATE  LOAD  DESPATCH  CENTRE  M.P.E.B.  JABALPUR</v>
          </cell>
        </row>
        <row r="402">
          <cell r="A402" t="str">
            <v>HYDEL</v>
          </cell>
        </row>
        <row r="403">
          <cell r="A403" t="str">
            <v>STATION NAME</v>
          </cell>
          <cell r="B403" t="str">
            <v>YEAR</v>
          </cell>
          <cell r="C403" t="str">
            <v>CAPACITY</v>
          </cell>
          <cell r="D403" t="str">
            <v>TARGET</v>
          </cell>
          <cell r="E403" t="str">
            <v>ACTUAL GENE.</v>
          </cell>
          <cell r="F403" t="str">
            <v>ACHIEVE-MENT</v>
          </cell>
          <cell r="G403" t="str">
            <v>AUXILIARY CONSUMPTION</v>
          </cell>
          <cell r="I403" t="str">
            <v>MAXIMUM DEMAND</v>
          </cell>
          <cell r="J403" t="str">
            <v>WATER INFLOW</v>
          </cell>
          <cell r="K403" t="str">
            <v>WATER CONSUMED</v>
          </cell>
          <cell r="L403" t="str">
            <v>WATER CONSUMED</v>
          </cell>
          <cell r="M403" t="str">
            <v>LEVEL AT THE END</v>
          </cell>
          <cell r="N403" t="str">
            <v>MAXIMUM LEVEL</v>
          </cell>
          <cell r="P403" t="str">
            <v>MINIMUM LEVEL</v>
          </cell>
        </row>
        <row r="404">
          <cell r="C404" t="str">
            <v>MW</v>
          </cell>
          <cell r="D404" t="str">
            <v>MKwh</v>
          </cell>
          <cell r="E404" t="str">
            <v>MKwh</v>
          </cell>
          <cell r="F404" t="str">
            <v>%</v>
          </cell>
          <cell r="G404" t="str">
            <v>MKwh</v>
          </cell>
          <cell r="H404" t="str">
            <v>%</v>
          </cell>
          <cell r="I404" t="str">
            <v>MW</v>
          </cell>
          <cell r="J404" t="str">
            <v>MAFT</v>
          </cell>
          <cell r="K404" t="str">
            <v>MCM</v>
          </cell>
          <cell r="L404" t="str">
            <v>MCM</v>
          </cell>
          <cell r="M404" t="str">
            <v>FT / M</v>
          </cell>
          <cell r="N404" t="str">
            <v>FT / M</v>
          </cell>
          <cell r="O404" t="str">
            <v>DATE</v>
          </cell>
          <cell r="P404" t="str">
            <v>FT / M</v>
          </cell>
          <cell r="Q404" t="str">
            <v>DATE</v>
          </cell>
        </row>
        <row r="405">
          <cell r="A405" t="str">
            <v>HASDEO BANGO</v>
          </cell>
          <cell r="B405" t="str">
            <v>94-95</v>
          </cell>
          <cell r="C405">
            <v>120</v>
          </cell>
          <cell r="D405">
            <v>250</v>
          </cell>
          <cell r="E405">
            <v>256.10000000000002</v>
          </cell>
          <cell r="F405">
            <v>102.44000000000001</v>
          </cell>
          <cell r="G405">
            <v>8</v>
          </cell>
          <cell r="H405">
            <v>3.1237797735259663</v>
          </cell>
          <cell r="I405">
            <v>120</v>
          </cell>
          <cell r="J405">
            <v>6240</v>
          </cell>
          <cell r="M405">
            <v>349</v>
          </cell>
          <cell r="N405">
            <v>359.28</v>
          </cell>
          <cell r="O405" t="str">
            <v>09.10.94</v>
          </cell>
          <cell r="P405">
            <v>347.8</v>
          </cell>
          <cell r="Q405" t="str">
            <v>10.06.94</v>
          </cell>
        </row>
        <row r="406">
          <cell r="B406" t="str">
            <v>95-96</v>
          </cell>
          <cell r="C406">
            <v>120</v>
          </cell>
          <cell r="D406">
            <v>250</v>
          </cell>
          <cell r="E406">
            <v>296.8</v>
          </cell>
          <cell r="F406">
            <v>118.72</v>
          </cell>
          <cell r="G406">
            <v>3.5</v>
          </cell>
          <cell r="H406">
            <v>1.1792452830188678</v>
          </cell>
          <cell r="I406">
            <v>127</v>
          </cell>
          <cell r="J406">
            <v>2389</v>
          </cell>
          <cell r="M406">
            <v>347.98</v>
          </cell>
          <cell r="N406">
            <v>355.5</v>
          </cell>
          <cell r="O406" t="str">
            <v>18.09.95</v>
          </cell>
          <cell r="P406">
            <v>342.6</v>
          </cell>
          <cell r="Q406" t="str">
            <v>20.06.95</v>
          </cell>
        </row>
        <row r="407">
          <cell r="B407" t="str">
            <v>96-97</v>
          </cell>
          <cell r="C407">
            <v>120</v>
          </cell>
          <cell r="D407">
            <v>350</v>
          </cell>
          <cell r="E407">
            <v>359.1</v>
          </cell>
          <cell r="F407">
            <v>102.6</v>
          </cell>
          <cell r="G407">
            <v>2.4</v>
          </cell>
          <cell r="H407">
            <v>0.66833751044277356</v>
          </cell>
          <cell r="I407">
            <v>126</v>
          </cell>
          <cell r="M407">
            <v>345</v>
          </cell>
          <cell r="N407">
            <v>357.08</v>
          </cell>
          <cell r="O407" t="str">
            <v>18.09.96</v>
          </cell>
          <cell r="P407">
            <v>344.17</v>
          </cell>
          <cell r="Q407" t="str">
            <v>20.06.96</v>
          </cell>
        </row>
        <row r="408">
          <cell r="B408" t="str">
            <v>97-98</v>
          </cell>
          <cell r="C408">
            <v>120</v>
          </cell>
          <cell r="D408">
            <v>350</v>
          </cell>
          <cell r="E408">
            <v>189.14</v>
          </cell>
          <cell r="F408">
            <v>54.04</v>
          </cell>
          <cell r="G408">
            <v>0.27700000000000002</v>
          </cell>
          <cell r="H408">
            <v>0.14645236332875122</v>
          </cell>
          <cell r="I408">
            <v>130</v>
          </cell>
          <cell r="K408">
            <v>2745.8</v>
          </cell>
          <cell r="M408">
            <v>355.56</v>
          </cell>
          <cell r="N408">
            <v>357.17</v>
          </cell>
          <cell r="O408" t="str">
            <v>24.09.97</v>
          </cell>
          <cell r="P408">
            <v>341.04</v>
          </cell>
          <cell r="Q408" t="str">
            <v>24.06.97</v>
          </cell>
        </row>
        <row r="409">
          <cell r="B409" t="str">
            <v>98-99</v>
          </cell>
          <cell r="C409">
            <v>120</v>
          </cell>
          <cell r="D409">
            <v>350</v>
          </cell>
          <cell r="E409">
            <v>610.92740000000003</v>
          </cell>
          <cell r="F409">
            <v>174.55068571428572</v>
          </cell>
          <cell r="G409">
            <v>0.36320999999999998</v>
          </cell>
          <cell r="H409">
            <v>5.9452236059472856E-2</v>
          </cell>
          <cell r="I409">
            <v>124</v>
          </cell>
          <cell r="K409">
            <v>2745.8</v>
          </cell>
          <cell r="M409">
            <v>334.51</v>
          </cell>
          <cell r="N409">
            <v>357.1</v>
          </cell>
          <cell r="O409" t="str">
            <v>03.10.98</v>
          </cell>
          <cell r="P409">
            <v>343.6</v>
          </cell>
          <cell r="Q409" t="str">
            <v>30.03.99</v>
          </cell>
        </row>
        <row r="410">
          <cell r="B410" t="str">
            <v>99-00</v>
          </cell>
          <cell r="C410">
            <v>120</v>
          </cell>
          <cell r="D410">
            <v>350</v>
          </cell>
          <cell r="E410">
            <v>430.4</v>
          </cell>
          <cell r="F410">
            <v>122.97142857142858</v>
          </cell>
          <cell r="G410">
            <v>0.3</v>
          </cell>
          <cell r="H410">
            <v>6.9702602230483274E-2</v>
          </cell>
          <cell r="I410">
            <v>123</v>
          </cell>
          <cell r="J410">
            <v>4046.5</v>
          </cell>
          <cell r="K410" t="str">
            <v xml:space="preserve"> </v>
          </cell>
          <cell r="M410">
            <v>344.57</v>
          </cell>
          <cell r="N410">
            <v>357.8</v>
          </cell>
          <cell r="P410">
            <v>338.38</v>
          </cell>
        </row>
        <row r="411">
          <cell r="B411" t="str">
            <v>00-01</v>
          </cell>
          <cell r="C411">
            <v>120</v>
          </cell>
          <cell r="D411">
            <v>400</v>
          </cell>
          <cell r="E411">
            <v>233.76</v>
          </cell>
          <cell r="F411">
            <v>58.44</v>
          </cell>
          <cell r="G411">
            <v>0.47</v>
          </cell>
          <cell r="H411">
            <v>0.2010609171800137</v>
          </cell>
          <cell r="I411">
            <v>121</v>
          </cell>
          <cell r="M411">
            <v>345.48</v>
          </cell>
        </row>
        <row r="412">
          <cell r="A412" t="str">
            <v>Average</v>
          </cell>
        </row>
        <row r="413">
          <cell r="A413" t="str">
            <v>RAJGHAT</v>
          </cell>
          <cell r="B413" t="str">
            <v>99-00</v>
          </cell>
          <cell r="C413">
            <v>15</v>
          </cell>
          <cell r="D413">
            <v>160</v>
          </cell>
          <cell r="E413">
            <v>27.28</v>
          </cell>
          <cell r="F413">
            <v>17.05</v>
          </cell>
          <cell r="G413">
            <v>0.12</v>
          </cell>
          <cell r="H413">
            <v>0.44</v>
          </cell>
          <cell r="M413">
            <v>351.7</v>
          </cell>
        </row>
        <row r="414">
          <cell r="B414" t="str">
            <v>00-01</v>
          </cell>
          <cell r="C414">
            <v>45</v>
          </cell>
          <cell r="D414">
            <v>100</v>
          </cell>
          <cell r="E414">
            <v>58.17</v>
          </cell>
          <cell r="F414">
            <v>61.24</v>
          </cell>
          <cell r="G414">
            <v>0.41</v>
          </cell>
          <cell r="H414">
            <v>0.71</v>
          </cell>
          <cell r="I414">
            <v>40</v>
          </cell>
          <cell r="M414">
            <v>359</v>
          </cell>
        </row>
        <row r="415">
          <cell r="A415" t="str">
            <v>Average</v>
          </cell>
        </row>
        <row r="416">
          <cell r="A416" t="str">
            <v>M.P.RAJGHAT</v>
          </cell>
          <cell r="B416" t="str">
            <v>99-00</v>
          </cell>
          <cell r="C416">
            <v>7.5</v>
          </cell>
          <cell r="D416">
            <v>80</v>
          </cell>
          <cell r="E416">
            <v>13.64</v>
          </cell>
          <cell r="F416">
            <v>17.05</v>
          </cell>
          <cell r="G416">
            <v>0.06</v>
          </cell>
          <cell r="H416">
            <v>0.03</v>
          </cell>
        </row>
        <row r="417">
          <cell r="B417" t="str">
            <v>00-01</v>
          </cell>
          <cell r="C417">
            <v>22.5</v>
          </cell>
          <cell r="D417">
            <v>50</v>
          </cell>
          <cell r="E417">
            <v>29.09</v>
          </cell>
          <cell r="F417">
            <v>61.24</v>
          </cell>
          <cell r="G417">
            <v>0.21</v>
          </cell>
          <cell r="H417">
            <v>0.04</v>
          </cell>
        </row>
        <row r="418">
          <cell r="A418" t="str">
            <v>Average</v>
          </cell>
          <cell r="D418">
            <v>426.66666666666669</v>
          </cell>
          <cell r="E418">
            <v>410.27956666666665</v>
          </cell>
          <cell r="F418">
            <v>112.55368571428572</v>
          </cell>
          <cell r="G418">
            <v>2.6400350000000001</v>
          </cell>
          <cell r="H418">
            <v>0.87449496143438588</v>
          </cell>
          <cell r="I418">
            <v>145.16666666666666</v>
          </cell>
          <cell r="J418">
            <v>2112.5833333333335</v>
          </cell>
          <cell r="K418">
            <v>915.26666666666677</v>
          </cell>
          <cell r="L418">
            <v>0</v>
          </cell>
          <cell r="M418">
            <v>522.13333333333333</v>
          </cell>
          <cell r="N418">
            <v>477</v>
          </cell>
          <cell r="O418" t="str">
            <v xml:space="preserve"> </v>
          </cell>
          <cell r="P418">
            <v>0</v>
          </cell>
          <cell r="Q418">
            <v>0</v>
          </cell>
        </row>
        <row r="419">
          <cell r="A419" t="str">
            <v>M.P.HYDEL</v>
          </cell>
          <cell r="B419" t="str">
            <v>88-89</v>
          </cell>
          <cell r="C419">
            <v>389.66666666666663</v>
          </cell>
          <cell r="D419">
            <v>910</v>
          </cell>
          <cell r="E419">
            <v>884.83333333333326</v>
          </cell>
          <cell r="F419">
            <v>97.234432234432234</v>
          </cell>
          <cell r="G419">
            <v>0</v>
          </cell>
          <cell r="H419">
            <v>0</v>
          </cell>
          <cell r="I419" t="str">
            <v xml:space="preserve"> </v>
          </cell>
        </row>
        <row r="420">
          <cell r="B420" t="str">
            <v>89-90</v>
          </cell>
          <cell r="C420">
            <v>389.66666666666663</v>
          </cell>
          <cell r="D420">
            <v>950</v>
          </cell>
          <cell r="E420">
            <v>872.75166666666655</v>
          </cell>
          <cell r="F420">
            <v>91.868596491228061</v>
          </cell>
          <cell r="G420">
            <v>6.2333333333333334</v>
          </cell>
          <cell r="H420">
            <v>0.71421614777781395</v>
          </cell>
          <cell r="I420" t="str">
            <v xml:space="preserve"> </v>
          </cell>
        </row>
        <row r="421">
          <cell r="B421" t="str">
            <v>90-91</v>
          </cell>
          <cell r="C421">
            <v>389.66666666666663</v>
          </cell>
          <cell r="D421">
            <v>1085</v>
          </cell>
          <cell r="E421">
            <v>1166.44</v>
          </cell>
          <cell r="F421">
            <v>107.50599078341014</v>
          </cell>
          <cell r="G421">
            <v>2.7333333333333334</v>
          </cell>
          <cell r="H421">
            <v>0.23433124149834822</v>
          </cell>
          <cell r="I421" t="str">
            <v xml:space="preserve"> </v>
          </cell>
        </row>
        <row r="422">
          <cell r="B422" t="str">
            <v>91-92</v>
          </cell>
          <cell r="C422">
            <v>704.66666666666663</v>
          </cell>
          <cell r="D422">
            <v>1846</v>
          </cell>
          <cell r="E422">
            <v>1498.6583333333333</v>
          </cell>
          <cell r="F422">
            <v>81.184091729866381</v>
          </cell>
          <cell r="G422">
            <v>4.5333333333333332</v>
          </cell>
          <cell r="H422">
            <v>0.30249278521344092</v>
          </cell>
          <cell r="I422" t="str">
            <v xml:space="preserve"> </v>
          </cell>
        </row>
        <row r="423">
          <cell r="B423" t="str">
            <v>92-93</v>
          </cell>
          <cell r="C423">
            <v>724.66666666666663</v>
          </cell>
          <cell r="D423">
            <v>1938.3333333333333</v>
          </cell>
          <cell r="E423">
            <v>1511.4950000000001</v>
          </cell>
          <cell r="F423">
            <v>77.979105760963023</v>
          </cell>
          <cell r="G423">
            <v>7.6999999999999993</v>
          </cell>
          <cell r="H423">
            <v>0.5094294059854646</v>
          </cell>
          <cell r="I423" t="str">
            <v xml:space="preserve"> </v>
          </cell>
        </row>
        <row r="424">
          <cell r="B424" t="str">
            <v>93-94</v>
          </cell>
          <cell r="C424">
            <v>724.66666666666663</v>
          </cell>
          <cell r="D424">
            <v>1990</v>
          </cell>
          <cell r="E424">
            <v>1658.25848</v>
          </cell>
          <cell r="F424">
            <v>83.329571859296479</v>
          </cell>
          <cell r="G424">
            <v>10.773333333333333</v>
          </cell>
          <cell r="H424">
            <v>0.64967756614959893</v>
          </cell>
          <cell r="I424" t="str">
            <v xml:space="preserve"> </v>
          </cell>
        </row>
        <row r="425">
          <cell r="B425" t="str">
            <v>94-95</v>
          </cell>
          <cell r="C425">
            <v>844.66666666666663</v>
          </cell>
          <cell r="D425">
            <v>2000</v>
          </cell>
          <cell r="E425">
            <v>2415.3333333333335</v>
          </cell>
          <cell r="F425">
            <v>120.76666666666667</v>
          </cell>
          <cell r="G425">
            <v>17.51774533333333</v>
          </cell>
          <cell r="H425">
            <v>0.72527237096328989</v>
          </cell>
          <cell r="I425" t="str">
            <v xml:space="preserve"> </v>
          </cell>
        </row>
        <row r="426">
          <cell r="B426" t="str">
            <v>95-96</v>
          </cell>
          <cell r="C426">
            <v>844.66666666666663</v>
          </cell>
          <cell r="D426">
            <v>2000</v>
          </cell>
          <cell r="E426">
            <v>2253.1166666666663</v>
          </cell>
          <cell r="F426">
            <v>112.65583333333332</v>
          </cell>
          <cell r="G426">
            <v>13.9</v>
          </cell>
          <cell r="H426">
            <v>0.61692322486629636</v>
          </cell>
        </row>
        <row r="427">
          <cell r="B427" t="str">
            <v>96-97</v>
          </cell>
          <cell r="C427">
            <v>844.66666666666663</v>
          </cell>
          <cell r="D427">
            <v>2200</v>
          </cell>
          <cell r="E427">
            <v>2274.25</v>
          </cell>
          <cell r="F427">
            <v>103.375</v>
          </cell>
          <cell r="G427">
            <v>10.516666666666667</v>
          </cell>
          <cell r="H427">
            <v>0.46242350958191347</v>
          </cell>
        </row>
        <row r="428">
          <cell r="B428" t="str">
            <v>97-98</v>
          </cell>
          <cell r="C428">
            <v>844.66666666666663</v>
          </cell>
          <cell r="D428">
            <v>2200</v>
          </cell>
          <cell r="E428">
            <v>2324.9116666666664</v>
          </cell>
          <cell r="F428">
            <v>105.67780303030301</v>
          </cell>
          <cell r="G428">
            <v>9.3574999999999982</v>
          </cell>
          <cell r="H428">
            <v>0.40248840995392648</v>
          </cell>
        </row>
        <row r="429">
          <cell r="B429" t="str">
            <v>98-99</v>
          </cell>
          <cell r="C429">
            <v>844.66666666666663</v>
          </cell>
          <cell r="D429">
            <v>2300</v>
          </cell>
          <cell r="E429">
            <v>2850.594066666667</v>
          </cell>
          <cell r="F429">
            <v>123.93887246376812</v>
          </cell>
          <cell r="G429">
            <v>9.596543333333333</v>
          </cell>
          <cell r="H429">
            <v>0.33665064575662362</v>
          </cell>
        </row>
        <row r="430">
          <cell r="B430" t="str">
            <v>99-00</v>
          </cell>
          <cell r="D430">
            <v>2440</v>
          </cell>
          <cell r="E430">
            <v>2507.17</v>
          </cell>
          <cell r="F430">
            <v>102.75286885245902</v>
          </cell>
          <cell r="G430">
            <v>5.9</v>
          </cell>
          <cell r="H430">
            <v>0.23532508764862373</v>
          </cell>
        </row>
        <row r="431">
          <cell r="B431" t="str">
            <v>00-01</v>
          </cell>
          <cell r="C431">
            <v>867.5</v>
          </cell>
          <cell r="D431">
            <v>2442</v>
          </cell>
          <cell r="E431">
            <v>1809.98</v>
          </cell>
          <cell r="F431">
            <v>74.118755118755118</v>
          </cell>
          <cell r="G431">
            <v>9.17</v>
          </cell>
          <cell r="H431">
            <v>0.50663543243571751</v>
          </cell>
        </row>
        <row r="432">
          <cell r="A432" t="str">
            <v>Average last 5 years</v>
          </cell>
          <cell r="D432">
            <v>2140</v>
          </cell>
          <cell r="E432">
            <v>2423.6411466666664</v>
          </cell>
          <cell r="F432">
            <v>113.28283509881423</v>
          </cell>
          <cell r="G432">
            <v>12.177691066666664</v>
          </cell>
          <cell r="H432">
            <v>0.50875163222440989</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cell r="P432" t="str">
            <v xml:space="preserve"> </v>
          </cell>
          <cell r="Q432" t="str">
            <v xml:space="preserve"> </v>
          </cell>
        </row>
        <row r="433">
          <cell r="A433" t="str">
            <v>M.P.TOTAL</v>
          </cell>
          <cell r="B433" t="str">
            <v>88-89</v>
          </cell>
          <cell r="C433">
            <v>3077.1666666666665</v>
          </cell>
          <cell r="D433">
            <v>13250</v>
          </cell>
          <cell r="E433">
            <v>12343.131333333335</v>
          </cell>
          <cell r="F433">
            <v>93.155708176100646</v>
          </cell>
          <cell r="G433">
            <v>0</v>
          </cell>
          <cell r="H433">
            <v>0</v>
          </cell>
        </row>
        <row r="434">
          <cell r="B434" t="str">
            <v>89-90</v>
          </cell>
          <cell r="C434">
            <v>3077.1666666666665</v>
          </cell>
          <cell r="D434">
            <v>13320</v>
          </cell>
          <cell r="E434">
            <v>12645.461666666666</v>
          </cell>
          <cell r="F434">
            <v>94.935898398398393</v>
          </cell>
          <cell r="G434">
            <v>1158.0333333333333</v>
          </cell>
          <cell r="H434">
            <v>9.1576991323764769</v>
          </cell>
        </row>
        <row r="435">
          <cell r="B435" t="str">
            <v>90-91</v>
          </cell>
          <cell r="C435">
            <v>2947.1666666666665</v>
          </cell>
          <cell r="D435">
            <v>14155</v>
          </cell>
          <cell r="E435">
            <v>12937.164000000001</v>
          </cell>
          <cell r="F435">
            <v>91.396425291416477</v>
          </cell>
          <cell r="G435">
            <v>1248.7273333333335</v>
          </cell>
          <cell r="H435">
            <v>9.652249390464041</v>
          </cell>
          <cell r="I435" t="str">
            <v xml:space="preserve"> </v>
          </cell>
        </row>
        <row r="436">
          <cell r="B436" t="str">
            <v>91-92</v>
          </cell>
          <cell r="C436">
            <v>3262.1666666666665</v>
          </cell>
          <cell r="D436">
            <v>14606</v>
          </cell>
          <cell r="E436">
            <v>12524.380333333333</v>
          </cell>
          <cell r="F436">
            <v>85.748187959286128</v>
          </cell>
          <cell r="G436">
            <v>1179.9433333333332</v>
          </cell>
          <cell r="H436">
            <v>9.4211713628094067</v>
          </cell>
          <cell r="I436" t="str">
            <v xml:space="preserve"> </v>
          </cell>
        </row>
        <row r="437">
          <cell r="B437" t="str">
            <v>92-93</v>
          </cell>
          <cell r="C437">
            <v>3282.1666666666665</v>
          </cell>
          <cell r="D437">
            <v>14538.333333333334</v>
          </cell>
          <cell r="E437">
            <v>13259.179000000002</v>
          </cell>
          <cell r="F437">
            <v>91.20150636248998</v>
          </cell>
          <cell r="G437">
            <v>1232.616</v>
          </cell>
          <cell r="H437">
            <v>9.296322193101096</v>
          </cell>
          <cell r="I437" t="str">
            <v xml:space="preserve"> </v>
          </cell>
        </row>
        <row r="438">
          <cell r="B438" t="str">
            <v>93-94</v>
          </cell>
          <cell r="C438">
            <v>3482.1666666666665</v>
          </cell>
          <cell r="D438">
            <v>16325</v>
          </cell>
          <cell r="E438">
            <v>14382.00028</v>
          </cell>
          <cell r="F438">
            <v>88.098010903522194</v>
          </cell>
          <cell r="G438">
            <v>1337.7796703333336</v>
          </cell>
          <cell r="H438">
            <v>9.3017636231984095</v>
          </cell>
          <cell r="I438" t="str">
            <v xml:space="preserve"> </v>
          </cell>
        </row>
        <row r="439">
          <cell r="B439" t="str">
            <v>94-95</v>
          </cell>
          <cell r="C439">
            <v>3812.1666666666665</v>
          </cell>
          <cell r="D439">
            <v>16230</v>
          </cell>
          <cell r="E439">
            <v>16597.313333333332</v>
          </cell>
          <cell r="F439">
            <v>102.2631751899774</v>
          </cell>
          <cell r="G439">
            <v>1511.8777453333332</v>
          </cell>
          <cell r="H439">
            <v>9.1091715566816642</v>
          </cell>
          <cell r="I439" t="str">
            <v xml:space="preserve"> </v>
          </cell>
        </row>
        <row r="440">
          <cell r="B440" t="str">
            <v>95-96</v>
          </cell>
          <cell r="C440">
            <v>3812.1666666666665</v>
          </cell>
          <cell r="D440">
            <v>18000</v>
          </cell>
          <cell r="E440">
            <v>17598.816666666666</v>
          </cell>
          <cell r="F440">
            <v>97.771203703703691</v>
          </cell>
          <cell r="G440">
            <v>1592.9199999999998</v>
          </cell>
          <cell r="H440">
            <v>9.0512903803191307</v>
          </cell>
        </row>
        <row r="441">
          <cell r="B441" t="str">
            <v>96-97</v>
          </cell>
          <cell r="C441">
            <v>3812.1666666666665</v>
          </cell>
          <cell r="D441">
            <v>18490</v>
          </cell>
          <cell r="E441">
            <v>18413.75</v>
          </cell>
          <cell r="F441">
            <v>99.587614926987555</v>
          </cell>
          <cell r="G441">
            <v>1593.5166666666669</v>
          </cell>
          <cell r="H441">
            <v>8.653949720543979</v>
          </cell>
        </row>
        <row r="442">
          <cell r="B442" t="str">
            <v>97-98</v>
          </cell>
          <cell r="C442">
            <v>3812.1666666666665</v>
          </cell>
          <cell r="D442">
            <v>18680</v>
          </cell>
          <cell r="E442">
            <v>19442.469666666664</v>
          </cell>
          <cell r="F442">
            <v>104.08174339757315</v>
          </cell>
          <cell r="G442">
            <v>1698.3725000000002</v>
          </cell>
          <cell r="H442">
            <v>8.7353743074718118</v>
          </cell>
        </row>
        <row r="443">
          <cell r="B443" t="str">
            <v>98-99</v>
          </cell>
          <cell r="C443">
            <v>3812.1666666666665</v>
          </cell>
          <cell r="D443">
            <v>19120</v>
          </cell>
          <cell r="E443">
            <v>20551.660066666671</v>
          </cell>
          <cell r="F443">
            <v>107.4877618549512</v>
          </cell>
          <cell r="G443">
            <v>1723.2765433333334</v>
          </cell>
          <cell r="H443">
            <v>8.3850965700253344</v>
          </cell>
        </row>
        <row r="444">
          <cell r="B444" t="str">
            <v>99-00</v>
          </cell>
          <cell r="D444">
            <v>20565</v>
          </cell>
          <cell r="E444">
            <v>21812.7</v>
          </cell>
          <cell r="F444">
            <v>106.1</v>
          </cell>
          <cell r="G444">
            <v>1888.1</v>
          </cell>
          <cell r="H444">
            <v>8.6999999999999993</v>
          </cell>
        </row>
        <row r="445">
          <cell r="B445" t="str">
            <v>00-01</v>
          </cell>
          <cell r="C445">
            <v>4255</v>
          </cell>
          <cell r="D445">
            <v>23512</v>
          </cell>
          <cell r="E445">
            <v>21436.92</v>
          </cell>
          <cell r="F445">
            <v>91.05</v>
          </cell>
          <cell r="G445">
            <v>1918.86</v>
          </cell>
          <cell r="H445">
            <v>8.9499999999999993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p 03-04"/>
    </sheetNames>
    <sheetDataSet>
      <sheetData sheetId="0" refreshError="1">
        <row r="721">
          <cell r="F721">
            <v>0.90799276391293349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DAILY"/>
      <sheetName val="MPCSSD"/>
      <sheetName val="DTHG"/>
      <sheetName val="Chart1"/>
      <sheetName val="DLC"/>
      <sheetName val="A 3.7"/>
      <sheetName val="Stationwise Thermal &amp; Hydel Gen"/>
      <sheetName val="Executive Summary -Thermal"/>
      <sheetName val="TWELVE"/>
      <sheetName val="STN WISE EM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edule-MU"/>
      <sheetName val="Schedule-1"/>
      <sheetName val="Schedule-2"/>
      <sheetName val="Schedule-3(i)"/>
      <sheetName val="Schedule-3(ii)"/>
      <sheetName val="Schedule-4(i)"/>
      <sheetName val="Schedule-4(ii)"/>
      <sheetName val="Schedule-5(i)"/>
      <sheetName val="Schedule-5(ii)"/>
      <sheetName val="Schedule-6"/>
      <sheetName val="SG-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NCS-3"/>
      <sheetName val="NCS-4I"/>
      <sheetName val="Number of Consumer"/>
      <sheetName val="Energy Sold"/>
      <sheetName val="Cont Load"/>
      <sheetName val="SG 1"/>
      <sheetName val="-20"/>
      <sheetName val="-21"/>
      <sheetName val="-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edule-MU"/>
      <sheetName val="Schedule-1"/>
      <sheetName val="Schedule-2"/>
      <sheetName val="Schedule-3(i)"/>
      <sheetName val="Schedule-3(ii)"/>
      <sheetName val="Schedule-4(i)"/>
      <sheetName val="Schedule-4(ii)"/>
      <sheetName val="Schedule-5(i)"/>
      <sheetName val="Schedule-5(ii)"/>
      <sheetName val="Schedule-6"/>
      <sheetName val="SG-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NCS-3"/>
      <sheetName val="NCS-4I"/>
      <sheetName val="Number of Consumer"/>
      <sheetName val="Energy Sold"/>
      <sheetName val="Cont 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p 03-04"/>
    </sheetNames>
    <sheetDataSet>
      <sheetData sheetId="0" refreshError="1">
        <row r="721">
          <cell r="F721">
            <v>0.90799276391293349</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_01-02"/>
      <sheetName val="ADDITION"/>
      <sheetName val="ANNEX-III"/>
      <sheetName val="Sheet3 (2)"/>
      <sheetName val="Sheet3_(2)"/>
    </sheetNames>
    <sheetDataSet>
      <sheetData sheetId="0" refreshError="1"/>
      <sheetData sheetId="1" refreshError="1"/>
      <sheetData sheetId="2" refreshError="1"/>
      <sheetData sheetId="3" refreshError="1"/>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Daily_input"/>
      <sheetName val="Daily_report"/>
      <sheetName val="Inputs &amp; Assump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 of Generation"/>
      <sheetName val="No.of Tube Leakage"/>
      <sheetName val="EB PS"/>
      <sheetName val="400 KV"/>
      <sheetName val="MCRH"/>
      <sheetName val="LONG DURATION OUTAGE"/>
      <sheetName val="TIME DURATION CAUSE ANALYSIS"/>
      <sheetName val="CAUSE ANALYSIS"/>
      <sheetName val="BREAKUP OF OIL"/>
      <sheetName val="PARTIAL LOSS"/>
      <sheetName val="R.Hrs. Since Comm"/>
      <sheetName val="STN WISE EMR"/>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rint"/>
      <sheetName val="EA_II"/>
      <sheetName val="EA_III_stnwise"/>
      <sheetName val="Tr Loss WR,MP,Tot "/>
      <sheetName val="THERMAL"/>
      <sheetName val="CSD0506"/>
      <sheetName val="Monthwise_MPLOSS"/>
      <sheetName val="HYDEL"/>
      <sheetName val="STN WISE EMR"/>
      <sheetName val="MPPGCL-injection"/>
      <sheetName val="Monthwise Inj_Losses"/>
      <sheetName val="Sheet1"/>
      <sheetName val="EA_IV"/>
      <sheetName val="EA_III"/>
      <sheetName val="EA_Summary"/>
      <sheetName val="EA_I"/>
      <sheetName val="Sheet6"/>
      <sheetName val="Sheet3"/>
      <sheetName val="Tr Loss WR,MP,Tot"/>
      <sheetName val="CHECK SHEET NEW"/>
      <sheetName val="BUS LOSSES"/>
      <sheetName val="Amount"/>
      <sheetName val="P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DBForeC"/>
      <sheetName val="Short-Term"/>
      <sheetName val="R15 00-01"/>
      <sheetName val="DBHis"/>
      <sheetName val="Agri"/>
      <sheetName val="Agri-support"/>
      <sheetName val="Base Year"/>
      <sheetName val="Dom"/>
      <sheetName val="Dom-sup."/>
      <sheetName val="Dom-Free"/>
      <sheetName val="Chart1"/>
      <sheetName val="LT_Ind"/>
      <sheetName val="NonDom"/>
      <sheetName val="LT_WW"/>
      <sheetName val="LT_Street"/>
      <sheetName val="HT Ind"/>
      <sheetName val="Coal"/>
      <sheetName val="Steel"/>
      <sheetName val="Traction"/>
      <sheetName val="Licensees"/>
      <sheetName val="HT_WW"/>
      <sheetName val="HT_Agr"/>
      <sheetName val="Villages"/>
      <sheetName val="Captive"/>
      <sheetName val="Market"/>
      <sheetName val="Load"/>
      <sheetName val="Growth Rates"/>
      <sheetName val="Services"/>
      <sheetName val="Serv-Worksheet"/>
      <sheetName val="High Sens."/>
      <sheetName val="Low Sens."/>
      <sheetName val="Graphs"/>
      <sheetName val="MODI MPSEB ASSESS"/>
      <sheetName val="Assump-Sens."/>
      <sheetName val="Code"/>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H9" t="str">
            <v>92-93</v>
          </cell>
          <cell r="I9" t="str">
            <v>93-94</v>
          </cell>
          <cell r="J9" t="str">
            <v>94-95</v>
          </cell>
          <cell r="K9" t="str">
            <v>95-96</v>
          </cell>
          <cell r="L9" t="str">
            <v>96-97</v>
          </cell>
          <cell r="M9" t="str">
            <v>97-98</v>
          </cell>
          <cell r="N9" t="str">
            <v>98-99</v>
          </cell>
          <cell r="O9" t="str">
            <v>99-00</v>
          </cell>
          <cell r="P9" t="str">
            <v>00-01</v>
          </cell>
          <cell r="Q9" t="str">
            <v>Comments</v>
          </cell>
        </row>
        <row r="12">
          <cell r="E12" t="str">
            <v>Actual</v>
          </cell>
          <cell r="H12">
            <v>1146.9464337763561</v>
          </cell>
          <cell r="I12">
            <v>1348.8086210103572</v>
          </cell>
          <cell r="J12">
            <v>1378.8953544924971</v>
          </cell>
          <cell r="K12">
            <v>1514.8534401882121</v>
          </cell>
          <cell r="L12">
            <v>1604.1975852061873</v>
          </cell>
          <cell r="M12">
            <v>1635.3729424049175</v>
          </cell>
          <cell r="N12">
            <v>1759.8646367337187</v>
          </cell>
          <cell r="O12">
            <v>2252.0943689999999</v>
          </cell>
          <cell r="P12">
            <v>2398.1461873885523</v>
          </cell>
        </row>
        <row r="13">
          <cell r="E13" t="str">
            <v>Suppressed</v>
          </cell>
          <cell r="H13">
            <v>65.11538689110921</v>
          </cell>
          <cell r="I13">
            <v>37.988839175032126</v>
          </cell>
          <cell r="J13">
            <v>61.718945381111098</v>
          </cell>
          <cell r="K13">
            <v>92.59736102715533</v>
          </cell>
          <cell r="L13">
            <v>144.18354908010042</v>
          </cell>
          <cell r="M13">
            <v>58.013753112049471</v>
          </cell>
          <cell r="N13">
            <v>60.180182643709031</v>
          </cell>
          <cell r="O13">
            <v>87.996130161098336</v>
          </cell>
          <cell r="P13">
            <v>372.95381261144757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sreqsum"/>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132kv DCDS"/>
      <sheetName val=""/>
      <sheetName val="04REL"/>
      <sheetName val="A 3_7"/>
      <sheetName val="Salient1"/>
      <sheetName val="Cat_Ser_load"/>
      <sheetName val="data"/>
      <sheetName val="Sheet1"/>
      <sheetName val="Data base Feb 09"/>
      <sheetName val="grid"/>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STN WISE EMR"/>
      <sheetName val="Inputs"/>
      <sheetName val="Dom"/>
      <sheetName val="R_Hrs_ Since Comm"/>
      <sheetName val="ATP"/>
      <sheetName val="UK"/>
      <sheetName val="Scheme Area Details_Block__ C2"/>
      <sheetName val="New33KVSS_E3"/>
      <sheetName val="Prop aug of Ex 33KVSS_E3a"/>
      <sheetName val="Coalmine"/>
      <sheetName val="A"/>
      <sheetName val="Basis"/>
      <sheetName val="Scheme_Area_Details_Block___C2"/>
      <sheetName val="Prop_aug_of_Ex_33KVSS_E3a"/>
      <sheetName val="Report"/>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Latest revised Cost Estimates f"/>
      <sheetName val="Form 6"/>
      <sheetName val="220Kv (2)"/>
      <sheetName val="220Kv"/>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xml:space="preserve">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
(with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xml:space="preserve"> </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xml:space="preserve"> </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xml:space="preserve"> </v>
          </cell>
        </row>
        <row r="198">
          <cell r="A198" t="str">
            <v xml:space="preserve"> </v>
          </cell>
          <cell r="B198" t="str">
            <v xml:space="preserve">Foundation work of </v>
          </cell>
          <cell r="C198">
            <v>0</v>
          </cell>
          <cell r="D198">
            <v>0</v>
          </cell>
          <cell r="E198">
            <v>0</v>
          </cell>
          <cell r="F198">
            <v>0</v>
          </cell>
          <cell r="G198">
            <v>0</v>
          </cell>
          <cell r="H198">
            <v>0</v>
          </cell>
          <cell r="I198" t="str">
            <v xml:space="preserve"> </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xml:space="preserve">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8">
          <cell r="A38">
            <v>0</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ow r="38">
          <cell r="A38" t="str">
            <v xml:space="preserve">ESTIMATE FOR INSTALLATION OF ADDITIONAL 1X40MVA 132/33KV TRANSFORMER AT EXISTING EHV SUBSTATION </v>
          </cell>
        </row>
      </sheetData>
      <sheetData sheetId="46">
        <row r="38">
          <cell r="A38">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38">
          <cell r="A38" t="str">
            <v xml:space="preserve">ESTIMATE FOR INSTALLATION OF ADDITIONAL 1X40MVA 132/33KV TRANSFORMER AT EXISTING EHV SUBSTATION </v>
          </cell>
        </row>
      </sheetData>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row r="38">
          <cell r="A38" t="str">
            <v xml:space="preserve">ESTIMATE FOR INSTALLATION OF ADDITIONAL 1X40MVA 132/33KV TRANSFORMER AT EXISTING EHV SUBSTATION </v>
          </cell>
        </row>
      </sheetData>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row r="38">
          <cell r="A38" t="str">
            <v xml:space="preserve">ESTIMATE FOR INSTALLATION OF ADDITIONAL 1X40MVA 132/33KV TRANSFORMER AT EXISTING EHV SUBSTATION </v>
          </cell>
        </row>
      </sheetData>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row r="38">
          <cell r="A38" t="str">
            <v xml:space="preserve">ESTIMATE FOR INSTALLATION OF ADDITIONAL 1X40MVA 132/33KV TRANSFORMER AT EXISTING EHV SUBSTATION </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
      <sheetName val="Front Cover with Image"/>
      <sheetName val="Index"/>
      <sheetName val="Sales Forecast"/>
      <sheetName val="Forecast-Consumer Base"/>
      <sheetName val="Forecast-Connected Load"/>
      <sheetName val="Forecast-Units Sold "/>
      <sheetName val="Discom Level Data"/>
      <sheetName val="summarize"/>
      <sheetName val="LV-1 Data"/>
      <sheetName val="LV-1 Calc"/>
      <sheetName val="PotentialCust - LV1"/>
      <sheetName val="RGGVY Data"/>
      <sheetName val="LV-1 Summary"/>
      <sheetName val="LV-2 Data"/>
      <sheetName val="LV-2 Calc"/>
      <sheetName val="LV-2 Summary"/>
      <sheetName val="PotentialCust - LV2"/>
      <sheetName val="LV-3 Data"/>
      <sheetName val="Split for PWW-STL"/>
      <sheetName val="LV-3 Calc"/>
      <sheetName val="LV-3 Summary"/>
      <sheetName val="LV-4 Data"/>
      <sheetName val="LV-4 Calc"/>
      <sheetName val="LV-4 Summary"/>
      <sheetName val="LV-5.1 Data Alternate"/>
      <sheetName val="LV-5.1 Data"/>
      <sheetName val="Input Sheet"/>
      <sheetName val="LV-5.1 Calc alt"/>
      <sheetName val="LV-5.1 alt Summary"/>
      <sheetName val="LV-5.1 Calc"/>
      <sheetName val="LV-5.1 Summary"/>
      <sheetName val="LV-5.2 Data"/>
      <sheetName val="LV-5.2 Calc"/>
      <sheetName val="LV-5.2 Summary"/>
      <sheetName val="HV-1 Data"/>
      <sheetName val="HV-1 Calc"/>
      <sheetName val="HV-1 Summary"/>
      <sheetName val="HV-2 Data"/>
      <sheetName val="HV-2 Calc"/>
      <sheetName val="HV-2 Summary"/>
      <sheetName val="HV-3 Data"/>
      <sheetName val="HV-3 Calc"/>
      <sheetName val="HV-3 Summary"/>
      <sheetName val="HV-4 Data"/>
      <sheetName val="HV-4 Calc"/>
      <sheetName val="HV-4 Summary"/>
      <sheetName val="HV-5.1 Data"/>
      <sheetName val="HV-5.1 Calc"/>
      <sheetName val="HV-5.1 Summary"/>
      <sheetName val="HV-5.2 Calc"/>
      <sheetName val="HV-5.2 Data"/>
      <sheetName val="HV-5.2 Summary"/>
      <sheetName val="HV-6 Data"/>
      <sheetName val="HV-6 Calc"/>
      <sheetName val="HV-6 Summary"/>
      <sheetName val="HV-7 Data"/>
      <sheetName val="HV-7 Calc"/>
      <sheetName val="HV-7 Summary"/>
      <sheetName val="Annexure"/>
      <sheetName val="Census"/>
      <sheetName val="Cens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9">
          <cell r="G19">
            <v>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Basis"/>
      <sheetName val="Division"/>
      <sheetName val="Div_Pk"/>
      <sheetName val="Grp"/>
      <sheetName val="Grp_Pk"/>
      <sheetName val="F_Sum"/>
      <sheetName val="Indiv"/>
      <sheetName val="B_Sum"/>
      <sheetName val="B_Adj"/>
      <sheetName val="B_Dat"/>
      <sheetName val="Utility"/>
      <sheetName val="Admin"/>
      <sheetName val="Sens"/>
      <sheetName val="Peaks"/>
      <sheetName val="Graphs"/>
      <sheetName val="Trf"/>
      <sheetName val="T4"/>
      <sheetName val="T5"/>
      <sheetName val="T5b"/>
    </sheetNames>
    <sheetDataSet>
      <sheetData sheetId="0" refreshError="1">
        <row r="44">
          <cell r="J44" t="str">
            <v>2003-2004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Basis"/>
      <sheetName val="Division"/>
      <sheetName val="Div_Pk"/>
      <sheetName val="Grp"/>
      <sheetName val="Grp_Pk"/>
      <sheetName val="F_Sum"/>
      <sheetName val="Indiv"/>
      <sheetName val="B_Sum"/>
      <sheetName val="B_Adj"/>
      <sheetName val="B_Dat"/>
      <sheetName val="Utility"/>
      <sheetName val="Admin"/>
      <sheetName val="Sens"/>
      <sheetName val="Peaks"/>
      <sheetName val="Graphs"/>
      <sheetName val="Trf"/>
      <sheetName val="T4"/>
      <sheetName val="T5"/>
      <sheetName val="T5b"/>
    </sheetNames>
    <sheetDataSet>
      <sheetData sheetId="0" refreshError="1">
        <row r="44">
          <cell r="J44" t="str">
            <v>2003-2004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FY 05"/>
      <sheetName val="Sales FY 06"/>
      <sheetName val="Sales FY 07"/>
      <sheetName val="LMV 9 &amp; 10"/>
      <sheetName val="Sales FY 05 N"/>
      <sheetName val="Sales FY 06 N"/>
      <sheetName val="Sales FY 07 N"/>
      <sheetName val="Sales FY 08 N"/>
      <sheetName val="Sales FY 08"/>
      <sheetName val="Sales FY 09 N"/>
      <sheetName val="Sales FY 10"/>
      <sheetName val="Sales FY 09"/>
      <sheetName val="Sales Summ N"/>
      <sheetName val="Sales Summ"/>
      <sheetName val="RevN"/>
      <sheetName val="Sales FY 10 A"/>
      <sheetName val="Sales FY 11"/>
      <sheetName val="Sales FY 12"/>
      <sheetName val="Advt &amp; HV1"/>
      <sheetName val="Sales Summary"/>
      <sheetName val="Rev Summary"/>
      <sheetName val="Tariff - LT"/>
      <sheetName val="Rev Summ N"/>
      <sheetName val="Energy Balance"/>
      <sheetName val="Cross subsidy"/>
      <sheetName val="Crosschecks"/>
      <sheetName val="Final"/>
      <sheetName val="Tariff - HT"/>
      <sheetName val="Rev"/>
      <sheetName val="Rev Summ"/>
      <sheetName val="Energy Balance (2)"/>
      <sheetName val="Tariff - HT VD"/>
      <sheetName val="Tariff - HT (Op)"/>
      <sheetName val="Tariff - LT (op)"/>
      <sheetName val="Tariff - LT (2)"/>
      <sheetName val="Tariff - LT VD"/>
      <sheetName val="LMV 1"/>
      <sheetName val="LMV 2"/>
      <sheetName val="LMV 3"/>
      <sheetName val="LMV 4"/>
      <sheetName val="LMV 5"/>
      <sheetName val="LMV 6"/>
      <sheetName val="LMV 7"/>
      <sheetName val="LMV 8"/>
      <sheetName val="LMV 9"/>
      <sheetName val="LMV 10"/>
      <sheetName val="HV 2"/>
      <sheetName val="HV 3"/>
      <sheetName val="HV 4"/>
      <sheetName val="Revenue 1"/>
      <sheetName val="Sheet1"/>
    </sheetNames>
    <sheetDataSet>
      <sheetData sheetId="0"/>
      <sheetData sheetId="1"/>
      <sheetData sheetId="2"/>
      <sheetData sheetId="3"/>
      <sheetData sheetId="4">
        <row r="10">
          <cell r="K10">
            <v>10555.409515539952</v>
          </cell>
        </row>
      </sheetData>
      <sheetData sheetId="5">
        <row r="10">
          <cell r="K10">
            <v>11406.105960721663</v>
          </cell>
        </row>
      </sheetData>
      <sheetData sheetId="6">
        <row r="10">
          <cell r="K10">
            <v>12952.302005296295</v>
          </cell>
        </row>
      </sheetData>
      <sheetData sheetId="7">
        <row r="9">
          <cell r="K9">
            <v>7145.4485488507471</v>
          </cell>
        </row>
      </sheetData>
      <sheetData sheetId="8"/>
      <sheetData sheetId="9">
        <row r="9">
          <cell r="K9">
            <v>7756.9670000000006</v>
          </cell>
        </row>
      </sheetData>
      <sheetData sheetId="10">
        <row r="9">
          <cell r="K9">
            <v>8161.5508285804899</v>
          </cell>
        </row>
      </sheetData>
      <sheetData sheetId="11"/>
      <sheetData sheetId="12">
        <row r="15">
          <cell r="M15">
            <v>15849.714053342934</v>
          </cell>
        </row>
      </sheetData>
      <sheetData sheetId="13">
        <row r="148">
          <cell r="E148">
            <v>367.95561384308559</v>
          </cell>
        </row>
      </sheetData>
      <sheetData sheetId="14"/>
      <sheetData sheetId="15"/>
      <sheetData sheetId="16"/>
      <sheetData sheetId="17"/>
      <sheetData sheetId="18">
        <row r="20">
          <cell r="D20">
            <v>9.9979999999999993</v>
          </cell>
        </row>
      </sheetData>
      <sheetData sheetId="19">
        <row r="11">
          <cell r="R11">
            <v>4366.8385200000002</v>
          </cell>
        </row>
      </sheetData>
      <sheetData sheetId="20">
        <row r="1">
          <cell r="T1">
            <v>1.3410219999999999</v>
          </cell>
        </row>
      </sheetData>
      <sheetData sheetId="21">
        <row r="2">
          <cell r="P2">
            <v>0</v>
          </cell>
        </row>
      </sheetData>
      <sheetData sheetId="22"/>
      <sheetData sheetId="23"/>
      <sheetData sheetId="24">
        <row r="7">
          <cell r="C7">
            <v>4.1702170433644428</v>
          </cell>
        </row>
      </sheetData>
      <sheetData sheetId="25"/>
      <sheetData sheetId="26">
        <row r="12">
          <cell r="H12">
            <v>125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FY 05"/>
      <sheetName val="Sales FY 06"/>
      <sheetName val="Sales FY 07"/>
      <sheetName val="LMV 9 &amp; 10"/>
      <sheetName val="Sales FY 05 N"/>
      <sheetName val="Sales FY 06 N"/>
      <sheetName val="Sales FY 07 N"/>
      <sheetName val="Sales FY 08 N"/>
      <sheetName val="Sales FY 08"/>
      <sheetName val="Sales FY 09 N"/>
      <sheetName val="Sales FY 10"/>
      <sheetName val="Sales FY 09"/>
      <sheetName val="Sales Summ N"/>
      <sheetName val="Sales Summ"/>
      <sheetName val="RevN"/>
      <sheetName val="Sales FY 10 A"/>
      <sheetName val="Sales FY 11"/>
      <sheetName val="Sales FY 12"/>
      <sheetName val="Advt &amp; HV1"/>
      <sheetName val="Sales Summary"/>
      <sheetName val="Rev Summary"/>
      <sheetName val="Tariff - LT"/>
      <sheetName val="Rev Summ N"/>
      <sheetName val="Energy Balance"/>
      <sheetName val="Cross subsidy"/>
      <sheetName val="Crosschecks"/>
      <sheetName val="Final"/>
      <sheetName val="Tariff - HT"/>
      <sheetName val="Rev"/>
      <sheetName val="Rev Summ"/>
      <sheetName val="Energy Balance (2)"/>
      <sheetName val="Tariff - HT VD"/>
      <sheetName val="Tariff - HT (Op)"/>
      <sheetName val="Tariff - LT (op)"/>
      <sheetName val="Tariff - LT (2)"/>
      <sheetName val="Tariff - LT VD"/>
      <sheetName val="LMV 1"/>
      <sheetName val="LMV 2"/>
      <sheetName val="LMV 3"/>
      <sheetName val="LMV 4"/>
      <sheetName val="LMV 5"/>
      <sheetName val="LMV 6"/>
      <sheetName val="LMV 7"/>
      <sheetName val="LMV 8"/>
      <sheetName val="LMV 9"/>
      <sheetName val="LMV 10"/>
      <sheetName val="HV 2"/>
      <sheetName val="HV 3"/>
      <sheetName val="HV 4"/>
      <sheetName val="Revenue 1"/>
      <sheetName val="Sheet1"/>
    </sheetNames>
    <sheetDataSet>
      <sheetData sheetId="0"/>
      <sheetData sheetId="1"/>
      <sheetData sheetId="2"/>
      <sheetData sheetId="3"/>
      <sheetData sheetId="4">
        <row r="10">
          <cell r="K10">
            <v>10555.409515539952</v>
          </cell>
        </row>
      </sheetData>
      <sheetData sheetId="5">
        <row r="10">
          <cell r="K10">
            <v>11406.105960721663</v>
          </cell>
        </row>
      </sheetData>
      <sheetData sheetId="6">
        <row r="10">
          <cell r="K10">
            <v>12952.302005296295</v>
          </cell>
        </row>
      </sheetData>
      <sheetData sheetId="7">
        <row r="9">
          <cell r="K9">
            <v>7145.4485488507471</v>
          </cell>
        </row>
      </sheetData>
      <sheetData sheetId="8"/>
      <sheetData sheetId="9">
        <row r="9">
          <cell r="K9">
            <v>7756.9670000000006</v>
          </cell>
        </row>
      </sheetData>
      <sheetData sheetId="10">
        <row r="9">
          <cell r="K9">
            <v>8161.5508285804899</v>
          </cell>
        </row>
      </sheetData>
      <sheetData sheetId="11"/>
      <sheetData sheetId="12">
        <row r="15">
          <cell r="M15">
            <v>15849.714053342934</v>
          </cell>
        </row>
      </sheetData>
      <sheetData sheetId="13">
        <row r="148">
          <cell r="E148">
            <v>367.95561384308559</v>
          </cell>
        </row>
      </sheetData>
      <sheetData sheetId="14"/>
      <sheetData sheetId="15"/>
      <sheetData sheetId="16"/>
      <sheetData sheetId="17"/>
      <sheetData sheetId="18">
        <row r="20">
          <cell r="D20">
            <v>9.9979999999999993</v>
          </cell>
        </row>
      </sheetData>
      <sheetData sheetId="19">
        <row r="11">
          <cell r="R11">
            <v>4366.8385200000002</v>
          </cell>
        </row>
      </sheetData>
      <sheetData sheetId="20">
        <row r="1">
          <cell r="T1">
            <v>1.3410219999999999</v>
          </cell>
        </row>
      </sheetData>
      <sheetData sheetId="21">
        <row r="2">
          <cell r="P2">
            <v>0</v>
          </cell>
        </row>
      </sheetData>
      <sheetData sheetId="22"/>
      <sheetData sheetId="23"/>
      <sheetData sheetId="24">
        <row r="7">
          <cell r="C7">
            <v>4.1702170433644428</v>
          </cell>
        </row>
      </sheetData>
      <sheetData sheetId="25"/>
      <sheetData sheetId="26">
        <row r="12">
          <cell r="H12">
            <v>125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c_re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SUMM PS"/>
      <sheetName val="EX. SUMM GEN"/>
      <sheetName val="Maintenance "/>
      <sheetName val="CENTRAL SECTOR"/>
      <sheetName val="SCH,ACT"/>
      <sheetName val="GP Ther"/>
      <sheetName val="GP Hyd"/>
      <sheetName val="Fuel Cons."/>
      <sheetName val="Unitwise TPI"/>
      <sheetName val="Stnwise TPI"/>
      <sheetName val="Monthwise TPI"/>
      <sheetName val="PLF aprsep"/>
      <sheetName val="PLF OctMar"/>
      <sheetName val="Monthwise Sp.oil Cons."/>
      <sheetName val="Oil Cons. Account"/>
      <sheetName val="CA"/>
      <sheetName val="TIME DURATION CAUSE ANALYSIS"/>
      <sheetName val="Ploss"/>
      <sheetName val="MCRH"/>
      <sheetName val="R.Hrs. Since Comm"/>
      <sheetName val="LEVEL"/>
      <sheetName val="EB"/>
      <sheetName val="MORNING,EVENING PEAK"/>
      <sheetName val="COMP,UNRESTRICTED DEMAND"/>
      <sheetName val="CSG 01-02"/>
      <sheetName val="CSD"/>
      <sheetName val="SUPPLY HRS"/>
      <sheetName val="MiniMicro"/>
      <sheetName val="MPSEB90-01MONTHLY GENPLF"/>
      <sheetName val="400KV LOD"/>
      <sheetName val="220KV"/>
      <sheetName val="Energy Audit At PS"/>
      <sheetName val="All India PLF 1991-92 onwards"/>
      <sheetName val="R_Hrs_ Since Comm"/>
      <sheetName val="STN WISE EMR"/>
      <sheetName val="BREAKUP OF O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ervicing Model"/>
      <sheetName val="Index"/>
      <sheetName val="Input Sheet"/>
      <sheetName val="Balance Sheet"/>
      <sheetName val="P&amp;L Account"/>
      <sheetName val="Cash Flow Statement"/>
      <sheetName val="Share Cap&amp;Reser."/>
      <sheetName val="GFA"/>
      <sheetName val="Current Asset"/>
      <sheetName val="Current Liability"/>
      <sheetName val="Capitalization"/>
      <sheetName val="Dep2"/>
      <sheetName val="CWIP"/>
      <sheetName val="Investments"/>
      <sheetName val="Interest &amp; Finance Charges"/>
      <sheetName val="Revenue"/>
      <sheetName val="Other Income"/>
      <sheetName val="Loans&amp;Adv"/>
      <sheetName val="Other Invest"/>
      <sheetName val="Adm Exp"/>
      <sheetName val="PP"/>
      <sheetName val="R&amp;M Expense"/>
      <sheetName val="Emp Cost"/>
      <sheetName val="Rough"/>
      <sheetName val="Working Cap1"/>
      <sheetName val="Depreciation Sch"/>
      <sheetName val="Du-Pont"/>
      <sheetName val="Economic Value Added"/>
      <sheetName val="Depreciation_IT"/>
      <sheetName val="Financial Analysis"/>
      <sheetName val="Tax Comp"/>
      <sheetName val="Avg CS"/>
      <sheetName val="Actuary Data"/>
    </sheetNames>
    <sheetDataSet>
      <sheetData sheetId="0"/>
      <sheetData sheetId="1"/>
      <sheetData sheetId="2" refreshError="1">
        <row r="4">
          <cell r="C4">
            <v>6.1400000000000003E-2</v>
          </cell>
        </row>
        <row r="211">
          <cell r="D211">
            <v>0.2</v>
          </cell>
          <cell r="E211">
            <v>0.6</v>
          </cell>
          <cell r="F211">
            <v>0.2</v>
          </cell>
        </row>
        <row r="213">
          <cell r="D213">
            <v>0.2</v>
          </cell>
          <cell r="E213">
            <v>0.4</v>
          </cell>
          <cell r="F213">
            <v>0.4</v>
          </cell>
        </row>
      </sheetData>
      <sheetData sheetId="3"/>
      <sheetData sheetId="4" refreshError="1"/>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GENERATION"/>
      <sheetName val="DR"/>
      <sheetName val="DRAWAL"/>
      <sheetName val="INTER-REGIONAL ENERGY EXHANGE"/>
      <sheetName val="GOA"/>
      <sheetName val="POP9900"/>
      <sheetName val="Sheet2"/>
      <sheetName val="C_S_GENERATION"/>
      <sheetName val=""/>
      <sheetName val="Discom Details"/>
      <sheetName val="Stationwise Thermal &amp; Hydel Gen"/>
      <sheetName val="Executive Summary -Thermal"/>
      <sheetName val="TWELVE"/>
      <sheetName val="R.Hrs. Since Comm"/>
      <sheetName val="220 11  BS "/>
      <sheetName val="BTB"/>
      <sheetName val="cf"/>
      <sheetName val="orders"/>
      <sheetName val="Dom"/>
      <sheetName val="Addl.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_Gen"/>
      <sheetName val="Input_Cap Allo"/>
      <sheetName val="Input_New Cap"/>
      <sheetName val="Input_New"/>
      <sheetName val="Input_St Details"/>
      <sheetName val="F1_12_C"/>
      <sheetName val="F1 12-13"/>
      <sheetName val="Input_Extn Loss"/>
      <sheetName val="Losses"/>
      <sheetName val="PP Output"/>
      <sheetName val="MPTransco"/>
      <sheetName val="ISP"/>
      <sheetName val="Line Losses"/>
      <sheetName val="Sheet1"/>
      <sheetName val="Avail_Ex Bus"/>
      <sheetName val="F1a 11-12"/>
      <sheetName val="F1a 12-13"/>
      <sheetName val="State Peri Rank"/>
      <sheetName val="MPTradeco"/>
      <sheetName val="Ctrl_cost"/>
      <sheetName val="F1e"/>
      <sheetName val="F1 05-06"/>
      <sheetName val="F1 06-07"/>
      <sheetName val="F1 07-08"/>
      <sheetName val="F1 08-09"/>
      <sheetName val="F1 09-10"/>
      <sheetName val="F1a 05-06"/>
      <sheetName val="F1a 06-07"/>
      <sheetName val="F1a 07-08"/>
      <sheetName val="F1a 08-09"/>
      <sheetName val="F1a 09-10"/>
      <sheetName val="F1a 10-11"/>
      <sheetName val="East"/>
      <sheetName val="F1a 10-11-E"/>
      <sheetName val="F1_11_E"/>
      <sheetName val="F1a 10-11-C"/>
      <sheetName val="F1_11_C"/>
      <sheetName val="F1a 10-11-W"/>
      <sheetName val="F1_11_W"/>
      <sheetName val="F1a 11-12-E"/>
      <sheetName val="F1_12_E"/>
      <sheetName val="F1a 12-13-E"/>
      <sheetName val="West"/>
      <sheetName val="Central"/>
      <sheetName val="F1a 12-13-C"/>
      <sheetName val="F1a 11-12-C"/>
      <sheetName val="F1a 11-12-W"/>
      <sheetName val="F1_12_W"/>
      <sheetName val="F1_13_E"/>
      <sheetName val="F1_13_C"/>
      <sheetName val="F1a 12-13-W"/>
      <sheetName val="F1_13_W"/>
      <sheetName val="EBal"/>
      <sheetName val="PGCIL"/>
      <sheetName val="F1b_E"/>
      <sheetName val="F1c_E"/>
      <sheetName val="F1c_C"/>
      <sheetName val="F1c_W"/>
      <sheetName val="F1d"/>
      <sheetName val="R1(i)_E"/>
      <sheetName val="R1(i)_C"/>
      <sheetName val="R1(i)_W"/>
    </sheetNames>
    <sheetDataSet>
      <sheetData sheetId="0" refreshError="1"/>
      <sheetData sheetId="1">
        <row r="2">
          <cell r="A2">
            <v>2</v>
          </cell>
        </row>
      </sheetData>
      <sheetData sheetId="2"/>
      <sheetData sheetId="3" refreshError="1"/>
      <sheetData sheetId="4" refreshError="1"/>
      <sheetData sheetId="5"/>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Curve-Total"/>
      <sheetName val="RLG"/>
      <sheetName val="BND"/>
      <sheetName val="CD"/>
      <sheetName val="SC-RH"/>
      <sheetName val="SC-RK"/>
      <sheetName val="BSN"/>
      <sheetName val="HUD"/>
      <sheetName val="JP"/>
      <sheetName val="JPexclRL"/>
      <sheetName val="JP-RL"/>
      <sheetName val="RMS"/>
      <sheetName val="MDM-TOTAL"/>
      <sheetName val="MDM-RF "/>
      <sheetName val="MDM-RW"/>
      <sheetName val="PBMR"/>
      <sheetName val="BSD"/>
      <sheetName val="ROSData"/>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 Data"/>
      <sheetName val="Revenue"/>
      <sheetName val="Assumptions"/>
      <sheetName val="Tariff Structure"/>
      <sheetName val="Tables"/>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ow r="2">
          <cell r="F2">
            <v>5</v>
          </cell>
          <cell r="G2">
            <v>6</v>
          </cell>
          <cell r="H2">
            <v>7</v>
          </cell>
          <cell r="I2">
            <v>8</v>
          </cell>
          <cell r="J2">
            <v>9</v>
          </cell>
          <cell r="K2">
            <v>10</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 Data"/>
      <sheetName val="Revenue"/>
      <sheetName val="Assumptions"/>
      <sheetName val="Tariff Structure"/>
      <sheetName val="Tables"/>
    </sheetNames>
    <sheetDataSet>
      <sheetData sheetId="0">
        <row r="2">
          <cell r="F2">
            <v>5</v>
          </cell>
          <cell r="G2">
            <v>6</v>
          </cell>
          <cell r="H2">
            <v>7</v>
          </cell>
          <cell r="I2">
            <v>8</v>
          </cell>
          <cell r="J2">
            <v>9</v>
          </cell>
          <cell r="K2">
            <v>10</v>
          </cell>
        </row>
      </sheetData>
      <sheetData sheetId="1" refreshError="1"/>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ales_Summary"/>
      <sheetName val="Rev_Summary"/>
      <sheetName val="Tariff - LT_b4 tweak"/>
      <sheetName val="Tariff - HT_b4 tweak"/>
      <sheetName val="Tariff - LT"/>
      <sheetName val="Tariff - HT"/>
      <sheetName val="Assumptions"/>
      <sheetName val="Wrtup"/>
      <sheetName val="Rev Summary_FB"/>
      <sheetName val="Sales Summary_FB"/>
      <sheetName val="Rev-Ex"/>
      <sheetName val="Rev-Pro"/>
      <sheetName val="Sales FY 09"/>
      <sheetName val="Sales FY 10"/>
      <sheetName val="Sales FY 11"/>
      <sheetName val="En Bal"/>
      <sheetName val="PPT"/>
      <sheetName val="Sales FY 12"/>
      <sheetName val="Sales FY 13 9M"/>
      <sheetName val="Sales FY 13"/>
      <sheetName val="Sales FY 14"/>
      <sheetName val="Sales FY 10A_FB"/>
      <sheetName val="Sales FY 11_FB"/>
      <sheetName val="Sales FY 12_FB"/>
      <sheetName val="Final"/>
      <sheetName val="Rev Summ N"/>
      <sheetName val="Rev Summary (2)"/>
      <sheetName val="Rev Summ N (2)"/>
      <sheetName val="Asumptions"/>
      <sheetName val="Cross Subsidy"/>
      <sheetName val="Cross Subsidy (2)"/>
      <sheetName val="Previous years-ARR  Discoms"/>
      <sheetName val="Title"/>
      <sheetName val="One Sheeter FY 2019-20"/>
      <sheetName val="One Sheeter-FY 2018-19"/>
      <sheetName val="One sheeter-FY 2017-18"/>
      <sheetName val="ARR Summary APR_MYT"/>
      <sheetName val="BST(1)"/>
      <sheetName val="PP_Allowable 2017-18(1)"/>
      <sheetName val=" Summary O&amp;M"/>
      <sheetName val="Escalation"/>
      <sheetName val="Emp and A&amp;G Exp"/>
      <sheetName val="R&amp;M Exp"/>
      <sheetName val="Audited Figures"/>
      <sheetName val="BS"/>
      <sheetName val="other info"/>
      <sheetName val="CPI WPI Inc"/>
      <sheetName val="Index"/>
      <sheetName val="Gross Assets"/>
      <sheetName val="Grant Details"/>
      <sheetName val="Sheet1"/>
      <sheetName val="Others"/>
      <sheetName val="Depreciation (2)"/>
      <sheetName val="Investment &amp; GFA"/>
      <sheetName val="IoWC"/>
      <sheetName val="Tariff Structure "/>
      <sheetName val="Assumption"/>
      <sheetName val="SBI PLR"/>
    </sheetNames>
    <sheetDataSet>
      <sheetData sheetId="0"/>
      <sheetData sheetId="1">
        <row r="2">
          <cell r="I2">
            <v>8</v>
          </cell>
          <cell r="S2">
            <v>18</v>
          </cell>
          <cell r="AC2">
            <v>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ales_Summary"/>
      <sheetName val="Rev_Summary"/>
      <sheetName val="Tariff - LT_b4 tweak"/>
      <sheetName val="Tariff - HT_b4 tweak"/>
      <sheetName val="Tariff - LT"/>
      <sheetName val="Tariff - HT"/>
      <sheetName val="Assumptions"/>
      <sheetName val="Wrtup"/>
      <sheetName val="Rev Summary_FB"/>
      <sheetName val="Sales Summary_FB"/>
      <sheetName val="Rev-Ex"/>
      <sheetName val="Rev-Pro"/>
      <sheetName val="Sales FY 09"/>
      <sheetName val="Sales FY 10"/>
      <sheetName val="Sales FY 11"/>
      <sheetName val="En Bal"/>
      <sheetName val="PPT"/>
      <sheetName val="Sales FY 12"/>
      <sheetName val="Sales FY 13 9M"/>
      <sheetName val="Sales FY 13"/>
      <sheetName val="Sales FY 14"/>
      <sheetName val="Sales FY 10A_FB"/>
      <sheetName val="Sales FY 11_FB"/>
      <sheetName val="Sales FY 12_FB"/>
      <sheetName val="Final"/>
      <sheetName val="Rev Summ N"/>
      <sheetName val="Rev Summary (2)"/>
      <sheetName val="Rev Summ N (2)"/>
      <sheetName val="Asumptions"/>
      <sheetName val="Cross Subsidy"/>
      <sheetName val="Cross Subsidy (2)"/>
    </sheetNames>
    <sheetDataSet>
      <sheetData sheetId="0"/>
      <sheetData sheetId="1">
        <row r="2">
          <cell r="I2">
            <v>8</v>
          </cell>
          <cell r="S2">
            <v>18</v>
          </cell>
          <cell r="AC2">
            <v>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sheetName val="PRSN"/>
      <sheetName val="Impact"/>
      <sheetName val="Results"/>
      <sheetName val="ARR"/>
      <sheetName val="REV"/>
      <sheetName val="Billing-PY"/>
      <sheetName val="Billing-C&amp;E Y"/>
      <sheetName val="Customers-All"/>
      <sheetName val="Customers-CP"/>
      <sheetName val="Customers-EP"/>
      <sheetName val="Customers-NP"/>
      <sheetName val="Customers-SP"/>
      <sheetName val="ERC-CY"/>
      <sheetName val="ERC-EY"/>
      <sheetName val="ERP-EY"/>
      <sheetName val="Forecast-CY"/>
      <sheetName val="Forecast-EY"/>
      <sheetName val="MC-CP"/>
      <sheetName val="MC-EP"/>
      <sheetName val="MC-NP"/>
      <sheetName val="MC-SP"/>
      <sheetName val="RevenueIncrease"/>
      <sheetName val="CostRecovery"/>
      <sheetName val="Subsidy"/>
      <sheetName val="Assumptions"/>
      <sheetName val="General"/>
      <sheetName val="RESCOs"/>
      <sheetName val="Table-I"/>
      <sheetName val="Tables-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3">
          <cell r="A3">
            <v>100</v>
          </cell>
        </row>
        <row r="4">
          <cell r="A4">
            <v>1000</v>
          </cell>
        </row>
        <row r="6">
          <cell r="A6">
            <v>1000000</v>
          </cell>
        </row>
        <row r="7">
          <cell r="A7">
            <v>10000000</v>
          </cell>
        </row>
      </sheetData>
      <sheetData sheetId="27"/>
      <sheetData sheetId="28"/>
      <sheetData sheetId="2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sheetName val="PRSN"/>
      <sheetName val="Impact"/>
      <sheetName val="Results"/>
      <sheetName val="ARR"/>
      <sheetName val="REV"/>
      <sheetName val="Billing-PY"/>
      <sheetName val="Billing-C&amp;E Y"/>
      <sheetName val="Customers-All"/>
      <sheetName val="Customers-CP"/>
      <sheetName val="Customers-EP"/>
      <sheetName val="Customers-NP"/>
      <sheetName val="Customers-SP"/>
      <sheetName val="ERC-CY"/>
      <sheetName val="ERC-EY"/>
      <sheetName val="ERP-EY"/>
      <sheetName val="Forecast-CY"/>
      <sheetName val="Forecast-EY"/>
      <sheetName val="MC-CP"/>
      <sheetName val="MC-EP"/>
      <sheetName val="MC-NP"/>
      <sheetName val="MC-SP"/>
      <sheetName val="RevenueIncrease"/>
      <sheetName val="CostRecovery"/>
      <sheetName val="Subsidy"/>
      <sheetName val="Assumptions"/>
      <sheetName val="General"/>
      <sheetName val="RESCOs"/>
      <sheetName val="Table-I"/>
      <sheetName val="Tables-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3">
          <cell r="A3">
            <v>100</v>
          </cell>
        </row>
        <row r="4">
          <cell r="A4">
            <v>1000</v>
          </cell>
        </row>
        <row r="6">
          <cell r="A6">
            <v>1000000</v>
          </cell>
        </row>
        <row r="7">
          <cell r="A7">
            <v>10000000</v>
          </cell>
        </row>
      </sheetData>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Metro consind updation sheet"/>
      <sheetName val="Dom"/>
      <sheetName val="201-04REL-Final"/>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sheetName val="PRSN"/>
      <sheetName val="Impact"/>
      <sheetName val="Results"/>
      <sheetName val="ARR"/>
      <sheetName val="REV"/>
      <sheetName val="Billing-PY"/>
      <sheetName val="Billing-C&amp;E Y"/>
      <sheetName val="Customers-All"/>
      <sheetName val="Customers-CP"/>
      <sheetName val="Customers-EP"/>
      <sheetName val="Customers-NP"/>
      <sheetName val="Customers-SP"/>
      <sheetName val="ERC-CY"/>
      <sheetName val="ERC-EY"/>
      <sheetName val="ERP-EY"/>
      <sheetName val="Forecast-CY"/>
      <sheetName val="Forecast-EY"/>
      <sheetName val="MC-CP"/>
      <sheetName val="MC-EP"/>
      <sheetName val="MC-NP"/>
      <sheetName val="MC-SP"/>
      <sheetName val="RevenueIncrease"/>
      <sheetName val="CostRecovery"/>
      <sheetName val="Subsidy"/>
      <sheetName val="Assumptions"/>
      <sheetName val="General"/>
      <sheetName val="RESCOs"/>
      <sheetName val="Table-I"/>
      <sheetName val="Tables-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3">
          <cell r="A3">
            <v>100</v>
          </cell>
        </row>
        <row r="4">
          <cell r="A4">
            <v>1000</v>
          </cell>
        </row>
        <row r="6">
          <cell r="A6">
            <v>1000000</v>
          </cell>
        </row>
        <row r="7">
          <cell r="A7">
            <v>10000000</v>
          </cell>
        </row>
      </sheetData>
      <sheetData sheetId="27"/>
      <sheetData sheetId="28"/>
      <sheetData sheetId="2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e Information"/>
      <sheetName val="1.1"/>
      <sheetName val="1.1a-P"/>
      <sheetName val="1.1a-C"/>
      <sheetName val="1.1a-E"/>
      <sheetName val="1.1b-P"/>
      <sheetName val="1.1b-C"/>
      <sheetName val="1.1b-E"/>
      <sheetName val="1.1c-P"/>
      <sheetName val="1.1c-C"/>
      <sheetName val="1.1c-E"/>
      <sheetName val="1.1d-P"/>
      <sheetName val="1.1d-C"/>
      <sheetName val="1.1d-E"/>
      <sheetName val="1.1d-1"/>
      <sheetName val="1.1e"/>
      <sheetName val="1.1e1-P"/>
      <sheetName val="1.1e1-C"/>
      <sheetName val="1.1e1-E"/>
      <sheetName val="1.1e2"/>
      <sheetName val="1.1e3-P"/>
      <sheetName val="1.1e3-C"/>
      <sheetName val="1.1e3-E"/>
      <sheetName val="1.1f-P"/>
      <sheetName val="1.1f-C"/>
      <sheetName val="1.1f-E"/>
      <sheetName val="1.1f-1"/>
      <sheetName val="1.1g-P"/>
      <sheetName val="1.1g-C"/>
      <sheetName val="1.1g-E"/>
      <sheetName val="1.2a"/>
      <sheetName val="1.2b"/>
      <sheetName val="1.3"/>
      <sheetName val="1.3a"/>
      <sheetName val="1.3b-P"/>
      <sheetName val="1.3b-C"/>
      <sheetName val="1.3b-CA"/>
      <sheetName val="1.3b-CE"/>
      <sheetName val="1.3b-E"/>
      <sheetName val="1.3b1"/>
      <sheetName val="1.3c1"/>
      <sheetName val="1.3c-1"/>
      <sheetName val="1.3d"/>
      <sheetName val="1.3e"/>
      <sheetName val="1.3f"/>
      <sheetName val="1.3g-P"/>
      <sheetName val="1.3g-CA"/>
      <sheetName val="1.3g-CE"/>
      <sheetName val="1.3g-C"/>
      <sheetName val="1.3g-E"/>
      <sheetName val="1.4"/>
      <sheetName val="1.5"/>
      <sheetName val="1.6"/>
      <sheetName val="2.1"/>
      <sheetName val="2.1a-P"/>
      <sheetName val="2.1a-CA"/>
      <sheetName val="2.1a-CE"/>
      <sheetName val="2.1a-C"/>
      <sheetName val="2.1a-E"/>
      <sheetName val="2.1a-1"/>
      <sheetName val="2.1a-2"/>
      <sheetName val="2.1 b"/>
      <sheetName val="3.2"/>
      <sheetName val="3.2a-P"/>
      <sheetName val="3.2a-CA"/>
      <sheetName val="3.2a-CE"/>
      <sheetName val="3.2a-E"/>
      <sheetName val="3.2b-P"/>
      <sheetName val="3.2b-CA"/>
      <sheetName val="3.2b-CE"/>
      <sheetName val="3.2b-E"/>
      <sheetName val="3.2c-P"/>
      <sheetName val="3.2c-CA"/>
      <sheetName val="3.2c-CE"/>
      <sheetName val="3.2c-E"/>
      <sheetName val="3.2d-P"/>
      <sheetName val="3.2d-CA"/>
      <sheetName val="3.2d-CE"/>
      <sheetName val="3.2d-E"/>
      <sheetName val="3.2e"/>
      <sheetName val="4.1"/>
      <sheetName val="4.1 A"/>
      <sheetName val="4.1 A -1"/>
      <sheetName val="4.1 A -2"/>
      <sheetName val="4.1 B"/>
      <sheetName val="4.2"/>
      <sheetName val="4.3"/>
      <sheetName val="4.4"/>
      <sheetName val="4.5"/>
      <sheetName val="4.6"/>
      <sheetName val="4.7"/>
      <sheetName val="4.8"/>
      <sheetName val="4.9"/>
      <sheetName val="5.1-P"/>
      <sheetName val="5.1-C"/>
      <sheetName val="5.2"/>
      <sheetName val="5.3-P"/>
      <sheetName val="5.3-C"/>
      <sheetName val="5.7-P"/>
      <sheetName val="5.7-C"/>
      <sheetName val="5.8"/>
      <sheetName val="5.10"/>
      <sheetName val="5.11"/>
      <sheetName val="5.12"/>
      <sheetName val="5.13"/>
      <sheetName val="5.14"/>
      <sheetName val="reports_Data"/>
      <sheetName val="Forms_Year"/>
      <sheetName val="Validation Sheet"/>
      <sheetName val="RowADDAdmin"/>
    </sheetNames>
    <sheetDataSet>
      <sheetData sheetId="0" refreshError="1">
        <row r="30">
          <cell r="F30" t="str">
            <v>Previous Period 2004-05</v>
          </cell>
          <cell r="G30" t="str">
            <v>Current Period 2005-06</v>
          </cell>
        </row>
        <row r="33">
          <cell r="F33" t="str">
            <v>Licensee : BYPL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s>
    <sheetDataSet>
      <sheetData sheetId="0" refreshError="1">
        <row r="721">
          <cell r="F721">
            <v>0</v>
          </cell>
        </row>
      </sheetData>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Basis"/>
      <sheetName val="Division"/>
      <sheetName val="Group"/>
      <sheetName val="Fore_Sum"/>
      <sheetName val="Individ"/>
      <sheetName val="2003_Sum"/>
      <sheetName val="Adjustments"/>
      <sheetName val="E_Div"/>
      <sheetName val="Utility"/>
      <sheetName val="Admin"/>
      <sheetName val="Region"/>
      <sheetName val="Sens"/>
      <sheetName val="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v>1</v>
          </cell>
          <cell r="C9">
            <v>1</v>
          </cell>
          <cell r="D9">
            <v>2</v>
          </cell>
          <cell r="E9" t="str">
            <v>Agra</v>
          </cell>
          <cell r="H9">
            <v>2751021</v>
          </cell>
          <cell r="I9">
            <v>1639935</v>
          </cell>
          <cell r="J9">
            <v>1111086</v>
          </cell>
          <cell r="K9">
            <v>2751021</v>
          </cell>
          <cell r="L9">
            <v>1639935</v>
          </cell>
          <cell r="M9">
            <v>1111086</v>
          </cell>
          <cell r="N9">
            <v>3611301</v>
          </cell>
          <cell r="O9">
            <v>2053956</v>
          </cell>
          <cell r="P9">
            <v>1557345</v>
          </cell>
          <cell r="Q9">
            <v>21.9</v>
          </cell>
          <cell r="R9">
            <v>31.27</v>
          </cell>
          <cell r="S9">
            <v>2.0000466908915326E-2</v>
          </cell>
          <cell r="T9">
            <v>2.7582142757814898E-2</v>
          </cell>
          <cell r="U9">
            <v>2.7583159540985669E-2</v>
          </cell>
          <cell r="X9">
            <v>0</v>
          </cell>
          <cell r="Y9">
            <v>0</v>
          </cell>
          <cell r="Z9">
            <v>0</v>
          </cell>
          <cell r="AA9">
            <v>0</v>
          </cell>
          <cell r="AD9">
            <v>127</v>
          </cell>
          <cell r="AE9">
            <v>0</v>
          </cell>
          <cell r="AF9">
            <v>0</v>
          </cell>
          <cell r="AG9">
            <v>0</v>
          </cell>
          <cell r="AI9">
            <v>4027</v>
          </cell>
          <cell r="AK9">
            <v>408624</v>
          </cell>
          <cell r="AL9">
            <v>244263</v>
          </cell>
          <cell r="AM9">
            <v>164361</v>
          </cell>
          <cell r="AN9">
            <v>408624</v>
          </cell>
          <cell r="AO9">
            <v>244263</v>
          </cell>
          <cell r="AP9">
            <v>164361</v>
          </cell>
          <cell r="AR9">
            <v>523435.18282807962</v>
          </cell>
          <cell r="AS9">
            <v>312893.6334212753</v>
          </cell>
          <cell r="AT9">
            <v>210541.54940680429</v>
          </cell>
          <cell r="AV9">
            <v>0.41</v>
          </cell>
          <cell r="AW9">
            <v>0.32700000000000001</v>
          </cell>
          <cell r="AX9">
            <v>0.75900000000000001</v>
          </cell>
          <cell r="AZ9">
            <v>0.30299999999999999</v>
          </cell>
          <cell r="BA9">
            <v>0.33600000000000002</v>
          </cell>
          <cell r="BB9">
            <v>0.16699999999999998</v>
          </cell>
          <cell r="BD9">
            <v>265118</v>
          </cell>
          <cell r="BE9">
            <v>60212</v>
          </cell>
          <cell r="BF9">
            <v>204906</v>
          </cell>
          <cell r="BH9">
            <v>0.4820238158517684</v>
          </cell>
          <cell r="BI9">
            <v>0.18313802171063515</v>
          </cell>
          <cell r="BJ9">
            <v>0.92620911975169373</v>
          </cell>
        </row>
        <row r="10">
          <cell r="B10">
            <v>2</v>
          </cell>
          <cell r="C10">
            <v>1</v>
          </cell>
          <cell r="D10">
            <v>2</v>
          </cell>
          <cell r="E10" t="str">
            <v>Aligarh</v>
          </cell>
          <cell r="F10" t="str">
            <v>Split</v>
          </cell>
          <cell r="G10">
            <v>2</v>
          </cell>
          <cell r="H10">
            <v>3295982</v>
          </cell>
          <cell r="I10">
            <v>2467484</v>
          </cell>
          <cell r="J10">
            <v>828498</v>
          </cell>
          <cell r="K10">
            <v>2444929</v>
          </cell>
          <cell r="L10">
            <v>1844475</v>
          </cell>
          <cell r="M10">
            <v>600454</v>
          </cell>
          <cell r="N10">
            <v>2990388</v>
          </cell>
          <cell r="O10">
            <v>2127003</v>
          </cell>
          <cell r="P10">
            <v>863385</v>
          </cell>
          <cell r="Q10">
            <v>29.95</v>
          </cell>
          <cell r="R10">
            <v>22.08</v>
          </cell>
          <cell r="S10">
            <v>2.6544140482980705E-2</v>
          </cell>
          <cell r="T10">
            <v>2.0150982249028893E-2</v>
          </cell>
          <cell r="U10">
            <v>2.0342858012730503E-2</v>
          </cell>
          <cell r="W10">
            <v>78</v>
          </cell>
          <cell r="X10">
            <v>79</v>
          </cell>
          <cell r="Y10">
            <v>80</v>
          </cell>
          <cell r="Z10">
            <v>80</v>
          </cell>
          <cell r="AA10">
            <v>80</v>
          </cell>
          <cell r="AC10">
            <v>496</v>
          </cell>
          <cell r="AD10">
            <v>504</v>
          </cell>
          <cell r="AE10">
            <v>512</v>
          </cell>
          <cell r="AF10">
            <v>519</v>
          </cell>
          <cell r="AG10">
            <v>526</v>
          </cell>
          <cell r="AI10">
            <v>3747</v>
          </cell>
          <cell r="AK10">
            <v>476103</v>
          </cell>
          <cell r="AL10">
            <v>377048</v>
          </cell>
          <cell r="AM10">
            <v>99055</v>
          </cell>
          <cell r="AN10">
            <v>358280</v>
          </cell>
          <cell r="AO10">
            <v>281146</v>
          </cell>
          <cell r="AP10">
            <v>77134</v>
          </cell>
          <cell r="AR10">
            <v>458946.0171297926</v>
          </cell>
          <cell r="AS10">
            <v>360139.6587361077</v>
          </cell>
          <cell r="AT10">
            <v>98806.358393684888</v>
          </cell>
          <cell r="AV10">
            <v>0.41</v>
          </cell>
          <cell r="AW10">
            <v>0.32700000000000001</v>
          </cell>
          <cell r="AX10">
            <v>0.75900000000000001</v>
          </cell>
          <cell r="AZ10">
            <v>0.30299999999999999</v>
          </cell>
          <cell r="BA10">
            <v>0.33600000000000002</v>
          </cell>
          <cell r="BB10">
            <v>0.16699999999999998</v>
          </cell>
          <cell r="BD10">
            <v>146900</v>
          </cell>
          <cell r="BE10">
            <v>59377</v>
          </cell>
          <cell r="BF10">
            <v>87523</v>
          </cell>
          <cell r="BH10">
            <v>0.30461576965264875</v>
          </cell>
          <cell r="BI10">
            <v>0.1569059795929342</v>
          </cell>
          <cell r="BJ10">
            <v>0.84300372614561558</v>
          </cell>
        </row>
        <row r="11">
          <cell r="B11">
            <v>3</v>
          </cell>
          <cell r="C11">
            <v>1</v>
          </cell>
          <cell r="D11">
            <v>2</v>
          </cell>
          <cell r="E11" t="str">
            <v>Etah</v>
          </cell>
          <cell r="H11">
            <v>2244998</v>
          </cell>
          <cell r="I11">
            <v>1869740</v>
          </cell>
          <cell r="J11">
            <v>375258</v>
          </cell>
          <cell r="K11">
            <v>2244998</v>
          </cell>
          <cell r="L11">
            <v>1869740</v>
          </cell>
          <cell r="M11">
            <v>375258</v>
          </cell>
          <cell r="N11">
            <v>2788270</v>
          </cell>
          <cell r="O11">
            <v>2304713</v>
          </cell>
          <cell r="P11">
            <v>483557</v>
          </cell>
          <cell r="Q11">
            <v>20.78</v>
          </cell>
          <cell r="R11">
            <v>24.2</v>
          </cell>
          <cell r="S11">
            <v>1.905940744315382E-2</v>
          </cell>
          <cell r="T11">
            <v>2.1908848379270873E-2</v>
          </cell>
          <cell r="U11">
            <v>2.190820641513036E-2</v>
          </cell>
          <cell r="W11">
            <v>0</v>
          </cell>
          <cell r="X11">
            <v>0</v>
          </cell>
          <cell r="Y11">
            <v>0</v>
          </cell>
          <cell r="Z11">
            <v>0</v>
          </cell>
          <cell r="AA11">
            <v>0</v>
          </cell>
          <cell r="AC11">
            <v>0</v>
          </cell>
          <cell r="AD11">
            <v>0</v>
          </cell>
          <cell r="AE11">
            <v>0</v>
          </cell>
          <cell r="AF11">
            <v>0</v>
          </cell>
          <cell r="AG11">
            <v>9688</v>
          </cell>
          <cell r="AI11">
            <v>4446</v>
          </cell>
          <cell r="AK11">
            <v>356156</v>
          </cell>
          <cell r="AL11">
            <v>300292</v>
          </cell>
          <cell r="AM11">
            <v>55864</v>
          </cell>
          <cell r="AN11">
            <v>356156</v>
          </cell>
          <cell r="AO11">
            <v>300292</v>
          </cell>
          <cell r="AP11">
            <v>55864</v>
          </cell>
          <cell r="AR11">
            <v>456225.23634274426</v>
          </cell>
          <cell r="AS11">
            <v>384665.11492670444</v>
          </cell>
          <cell r="AT11">
            <v>71560.121416039779</v>
          </cell>
          <cell r="AV11">
            <v>0.41</v>
          </cell>
          <cell r="AW11">
            <v>0.32700000000000001</v>
          </cell>
          <cell r="AX11">
            <v>0.75900000000000001</v>
          </cell>
          <cell r="AZ11">
            <v>0.30299999999999999</v>
          </cell>
          <cell r="BA11">
            <v>0.33600000000000002</v>
          </cell>
          <cell r="BB11">
            <v>0.16699999999999998</v>
          </cell>
          <cell r="BD11">
            <v>64529</v>
          </cell>
          <cell r="BE11">
            <v>21127</v>
          </cell>
          <cell r="BF11">
            <v>43402</v>
          </cell>
          <cell r="BH11">
            <v>0.13460705484771629</v>
          </cell>
          <cell r="BI11">
            <v>5.2269364777529116E-2</v>
          </cell>
          <cell r="BJ11">
            <v>0.57720603856812025</v>
          </cell>
        </row>
        <row r="12">
          <cell r="B12">
            <v>4</v>
          </cell>
          <cell r="C12">
            <v>1</v>
          </cell>
          <cell r="D12">
            <v>2</v>
          </cell>
          <cell r="E12" t="str">
            <v>Firozabad</v>
          </cell>
          <cell r="H12">
            <v>1533054</v>
          </cell>
          <cell r="I12">
            <v>1125494</v>
          </cell>
          <cell r="J12">
            <v>407560</v>
          </cell>
          <cell r="K12">
            <v>1533054</v>
          </cell>
          <cell r="L12">
            <v>1125494</v>
          </cell>
          <cell r="M12">
            <v>407560</v>
          </cell>
          <cell r="N12">
            <v>2045737</v>
          </cell>
          <cell r="O12">
            <v>1424674</v>
          </cell>
          <cell r="P12">
            <v>621063</v>
          </cell>
          <cell r="Q12">
            <v>21.65</v>
          </cell>
          <cell r="R12">
            <v>33.44</v>
          </cell>
          <cell r="S12">
            <v>1.9791085646154727E-2</v>
          </cell>
          <cell r="T12">
            <v>2.9268314219929925E-2</v>
          </cell>
          <cell r="U12">
            <v>2.9269810656407325E-2</v>
          </cell>
          <cell r="W12">
            <v>767</v>
          </cell>
          <cell r="X12">
            <v>768</v>
          </cell>
          <cell r="Y12">
            <v>768</v>
          </cell>
          <cell r="Z12">
            <v>768</v>
          </cell>
          <cell r="AA12">
            <v>768</v>
          </cell>
          <cell r="AC12">
            <v>29387</v>
          </cell>
          <cell r="AD12">
            <v>29693</v>
          </cell>
          <cell r="AE12">
            <v>30113</v>
          </cell>
          <cell r="AF12">
            <v>30420</v>
          </cell>
          <cell r="AG12">
            <v>30665</v>
          </cell>
          <cell r="AI12">
            <v>2361</v>
          </cell>
          <cell r="AK12">
            <v>229882</v>
          </cell>
          <cell r="AL12">
            <v>171735</v>
          </cell>
          <cell r="AM12">
            <v>58147</v>
          </cell>
          <cell r="AN12">
            <v>229882</v>
          </cell>
          <cell r="AO12">
            <v>171735</v>
          </cell>
          <cell r="AP12">
            <v>58147</v>
          </cell>
          <cell r="AR12">
            <v>294472.00041819521</v>
          </cell>
          <cell r="AS12">
            <v>219987.42394715006</v>
          </cell>
          <cell r="AT12">
            <v>74484.576471045133</v>
          </cell>
          <cell r="AV12">
            <v>0.41</v>
          </cell>
          <cell r="AW12">
            <v>0.32700000000000001</v>
          </cell>
          <cell r="AX12">
            <v>0.75900000000000001</v>
          </cell>
          <cell r="AZ12">
            <v>0.30299999999999999</v>
          </cell>
          <cell r="BA12">
            <v>0.33600000000000002</v>
          </cell>
          <cell r="BB12">
            <v>0.16699999999999998</v>
          </cell>
          <cell r="BD12">
            <v>74434</v>
          </cell>
          <cell r="BE12">
            <v>25341</v>
          </cell>
          <cell r="BF12">
            <v>49093</v>
          </cell>
          <cell r="BH12">
            <v>0.2405578555253565</v>
          </cell>
          <cell r="BI12">
            <v>0.10962714065751118</v>
          </cell>
          <cell r="BJ12">
            <v>0.62725684804138349</v>
          </cell>
        </row>
        <row r="13">
          <cell r="B13">
            <v>5</v>
          </cell>
          <cell r="C13">
            <v>1</v>
          </cell>
          <cell r="D13">
            <v>2</v>
          </cell>
          <cell r="E13" t="str">
            <v>Hathras</v>
          </cell>
          <cell r="F13" t="str">
            <v>New</v>
          </cell>
          <cell r="G13">
            <v>1</v>
          </cell>
          <cell r="H13">
            <v>0</v>
          </cell>
          <cell r="I13">
            <v>0</v>
          </cell>
          <cell r="J13">
            <v>0</v>
          </cell>
          <cell r="K13">
            <v>1090159</v>
          </cell>
          <cell r="L13">
            <v>822425</v>
          </cell>
          <cell r="M13">
            <v>267734</v>
          </cell>
          <cell r="N13">
            <v>1333372</v>
          </cell>
          <cell r="O13">
            <v>1068351</v>
          </cell>
          <cell r="P13">
            <v>265021</v>
          </cell>
          <cell r="Q13">
            <v>26.9</v>
          </cell>
          <cell r="R13">
            <v>18.32</v>
          </cell>
          <cell r="S13">
            <v>2.4108951465744211E-2</v>
          </cell>
          <cell r="T13">
            <v>1.6964554277710819E-2</v>
          </cell>
          <cell r="U13">
            <v>2.0342904300503672E-2</v>
          </cell>
          <cell r="W13">
            <v>600</v>
          </cell>
          <cell r="X13">
            <v>601</v>
          </cell>
          <cell r="Y13">
            <v>603</v>
          </cell>
          <cell r="Z13">
            <v>603</v>
          </cell>
          <cell r="AA13">
            <v>603</v>
          </cell>
          <cell r="AC13">
            <v>40229</v>
          </cell>
          <cell r="AD13">
            <v>40979</v>
          </cell>
          <cell r="AE13">
            <v>42640</v>
          </cell>
          <cell r="AF13">
            <v>44048</v>
          </cell>
          <cell r="AG13">
            <v>44994</v>
          </cell>
          <cell r="AI13">
            <v>1751</v>
          </cell>
          <cell r="AK13">
            <v>0</v>
          </cell>
          <cell r="AL13">
            <v>0</v>
          </cell>
          <cell r="AM13">
            <v>0</v>
          </cell>
          <cell r="AN13">
            <v>159752</v>
          </cell>
          <cell r="AO13">
            <v>125359</v>
          </cell>
          <cell r="AP13">
            <v>34393</v>
          </cell>
          <cell r="AR13">
            <v>204637.55757652849</v>
          </cell>
          <cell r="AS13">
            <v>160581.14815611718</v>
          </cell>
          <cell r="AT13">
            <v>44056.409420411284</v>
          </cell>
          <cell r="AV13">
            <v>0.41</v>
          </cell>
          <cell r="AW13">
            <v>0.32700000000000001</v>
          </cell>
          <cell r="AX13">
            <v>0.75900000000000001</v>
          </cell>
          <cell r="AZ13">
            <v>0.30299999999999999</v>
          </cell>
          <cell r="BA13">
            <v>0.33600000000000002</v>
          </cell>
          <cell r="BB13">
            <v>0.16699999999999998</v>
          </cell>
          <cell r="BD13">
            <v>54000</v>
          </cell>
          <cell r="BE13">
            <v>28654</v>
          </cell>
          <cell r="BF13">
            <v>25346</v>
          </cell>
          <cell r="BH13">
            <v>0.25113116316344425</v>
          </cell>
          <cell r="BI13">
            <v>0.16981767469354392</v>
          </cell>
          <cell r="BJ13">
            <v>0.54751058924137408</v>
          </cell>
        </row>
        <row r="14">
          <cell r="B14">
            <v>6</v>
          </cell>
          <cell r="C14">
            <v>1</v>
          </cell>
          <cell r="D14">
            <v>2</v>
          </cell>
          <cell r="E14" t="str">
            <v>Mainpuri</v>
          </cell>
          <cell r="H14">
            <v>1316746</v>
          </cell>
          <cell r="I14">
            <v>1142856</v>
          </cell>
          <cell r="J14">
            <v>173890</v>
          </cell>
          <cell r="K14">
            <v>1316746</v>
          </cell>
          <cell r="L14">
            <v>1142856</v>
          </cell>
          <cell r="M14">
            <v>173890</v>
          </cell>
          <cell r="N14">
            <v>1592875</v>
          </cell>
          <cell r="O14">
            <v>1362745</v>
          </cell>
          <cell r="P14">
            <v>230130</v>
          </cell>
          <cell r="Q14">
            <v>24.11</v>
          </cell>
          <cell r="R14">
            <v>21.5</v>
          </cell>
          <cell r="S14">
            <v>2.1834772855173989E-2</v>
          </cell>
          <cell r="T14">
            <v>1.9665270926062073E-2</v>
          </cell>
          <cell r="U14">
            <v>1.9220074319955538E-2</v>
          </cell>
          <cell r="W14">
            <v>627</v>
          </cell>
          <cell r="X14">
            <v>627</v>
          </cell>
          <cell r="Y14">
            <v>633</v>
          </cell>
          <cell r="Z14">
            <v>633</v>
          </cell>
          <cell r="AA14">
            <v>633</v>
          </cell>
          <cell r="AC14">
            <v>5644</v>
          </cell>
          <cell r="AD14">
            <v>5733</v>
          </cell>
          <cell r="AE14">
            <v>5863</v>
          </cell>
          <cell r="AF14">
            <v>5937</v>
          </cell>
          <cell r="AG14">
            <v>6002</v>
          </cell>
          <cell r="AI14">
            <v>2746</v>
          </cell>
          <cell r="AK14">
            <v>200412</v>
          </cell>
          <cell r="AL14">
            <v>174486</v>
          </cell>
          <cell r="AM14">
            <v>25926</v>
          </cell>
          <cell r="AN14">
            <v>200412</v>
          </cell>
          <cell r="AO14">
            <v>174486</v>
          </cell>
          <cell r="AP14">
            <v>25926</v>
          </cell>
          <cell r="AR14">
            <v>256721.80748301884</v>
          </cell>
          <cell r="AS14">
            <v>223511.37307387794</v>
          </cell>
          <cell r="AT14">
            <v>33210.4344091409</v>
          </cell>
          <cell r="AV14">
            <v>0.41</v>
          </cell>
          <cell r="AW14">
            <v>0.32700000000000001</v>
          </cell>
          <cell r="AX14">
            <v>0.75900000000000001</v>
          </cell>
          <cell r="AZ14">
            <v>0.30299999999999999</v>
          </cell>
          <cell r="BA14">
            <v>0.33600000000000002</v>
          </cell>
          <cell r="BB14">
            <v>0.16699999999999998</v>
          </cell>
          <cell r="BD14">
            <v>35823</v>
          </cell>
          <cell r="BE14">
            <v>15577</v>
          </cell>
          <cell r="BF14">
            <v>20246</v>
          </cell>
          <cell r="BH14">
            <v>0.132797953799383</v>
          </cell>
          <cell r="BI14">
            <v>6.6324866643617308E-2</v>
          </cell>
          <cell r="BJ14">
            <v>0.58017213745520868</v>
          </cell>
        </row>
        <row r="15">
          <cell r="B15">
            <v>7</v>
          </cell>
          <cell r="C15">
            <v>1</v>
          </cell>
          <cell r="D15">
            <v>2</v>
          </cell>
          <cell r="E15" t="str">
            <v>Mathura</v>
          </cell>
          <cell r="F15" t="str">
            <v>Split</v>
          </cell>
          <cell r="G15">
            <v>2</v>
          </cell>
          <cell r="H15">
            <v>1931186</v>
          </cell>
          <cell r="I15">
            <v>1475935</v>
          </cell>
          <cell r="J15">
            <v>455251</v>
          </cell>
          <cell r="K15">
            <v>1692080</v>
          </cell>
          <cell r="L15">
            <v>1276519</v>
          </cell>
          <cell r="M15">
            <v>415561</v>
          </cell>
          <cell r="N15">
            <v>2069578</v>
          </cell>
          <cell r="O15">
            <v>1487191</v>
          </cell>
          <cell r="P15">
            <v>582387</v>
          </cell>
          <cell r="Q15">
            <v>22.69</v>
          </cell>
          <cell r="R15">
            <v>26.95</v>
          </cell>
          <cell r="S15">
            <v>2.0659580931471799E-2</v>
          </cell>
          <cell r="T15">
            <v>2.4149295335608834E-2</v>
          </cell>
          <cell r="U15">
            <v>2.0342768135826805E-2</v>
          </cell>
          <cell r="W15">
            <v>453</v>
          </cell>
          <cell r="X15">
            <v>453</v>
          </cell>
          <cell r="Y15">
            <v>468</v>
          </cell>
          <cell r="Z15">
            <v>468</v>
          </cell>
          <cell r="AA15">
            <v>468</v>
          </cell>
          <cell r="AC15">
            <v>3532</v>
          </cell>
          <cell r="AD15">
            <v>3577</v>
          </cell>
          <cell r="AE15">
            <v>3689</v>
          </cell>
          <cell r="AF15">
            <v>3764</v>
          </cell>
          <cell r="AG15">
            <v>3869</v>
          </cell>
          <cell r="AI15">
            <v>3332</v>
          </cell>
          <cell r="AK15">
            <v>289888</v>
          </cell>
          <cell r="AL15">
            <v>224033</v>
          </cell>
          <cell r="AM15">
            <v>65855</v>
          </cell>
          <cell r="AN15">
            <v>247959</v>
          </cell>
          <cell r="AO15">
            <v>194576</v>
          </cell>
          <cell r="AP15">
            <v>53383</v>
          </cell>
          <cell r="AR15">
            <v>317628.09942359675</v>
          </cell>
          <cell r="AS15">
            <v>249246.06516982953</v>
          </cell>
          <cell r="AT15">
            <v>68382.034253767211</v>
          </cell>
          <cell r="AV15">
            <v>0.41</v>
          </cell>
          <cell r="AW15">
            <v>0.32700000000000001</v>
          </cell>
          <cell r="AX15">
            <v>0.75900000000000001</v>
          </cell>
          <cell r="AZ15">
            <v>0.30299999999999999</v>
          </cell>
          <cell r="BA15">
            <v>0.33600000000000002</v>
          </cell>
          <cell r="BB15">
            <v>0.16699999999999998</v>
          </cell>
          <cell r="BD15">
            <v>137088</v>
          </cell>
          <cell r="BE15">
            <v>46960</v>
          </cell>
          <cell r="BF15">
            <v>90128</v>
          </cell>
          <cell r="BH15">
            <v>0.41074540774840568</v>
          </cell>
          <cell r="BI15">
            <v>0.17930482214015966</v>
          </cell>
          <cell r="BJ15">
            <v>1.2543245131810352</v>
          </cell>
        </row>
        <row r="16">
          <cell r="B16">
            <v>8</v>
          </cell>
          <cell r="C16">
            <v>2</v>
          </cell>
          <cell r="D16">
            <v>4</v>
          </cell>
          <cell r="E16" t="str">
            <v>Azamgarh</v>
          </cell>
          <cell r="H16">
            <v>3153885</v>
          </cell>
          <cell r="I16">
            <v>2928166</v>
          </cell>
          <cell r="J16">
            <v>225719</v>
          </cell>
          <cell r="K16">
            <v>3153885</v>
          </cell>
          <cell r="L16">
            <v>2928166</v>
          </cell>
          <cell r="M16">
            <v>225719</v>
          </cell>
          <cell r="N16">
            <v>3950808</v>
          </cell>
          <cell r="O16">
            <v>3649211</v>
          </cell>
          <cell r="P16">
            <v>301597</v>
          </cell>
          <cell r="Q16">
            <v>25.46</v>
          </cell>
          <cell r="R16">
            <v>26.28</v>
          </cell>
          <cell r="S16">
            <v>2.294086483986657E-2</v>
          </cell>
          <cell r="T16">
            <v>2.3607495304328818E-2</v>
          </cell>
          <cell r="U16">
            <v>2.2784192172026874E-2</v>
          </cell>
          <cell r="W16">
            <v>881</v>
          </cell>
          <cell r="X16">
            <v>883</v>
          </cell>
          <cell r="Y16">
            <v>887</v>
          </cell>
          <cell r="Z16">
            <v>887</v>
          </cell>
          <cell r="AA16">
            <v>887</v>
          </cell>
          <cell r="AC16">
            <v>31642</v>
          </cell>
          <cell r="AD16">
            <v>32006</v>
          </cell>
          <cell r="AE16">
            <v>32729</v>
          </cell>
          <cell r="AF16">
            <v>33084</v>
          </cell>
          <cell r="AG16">
            <v>33319</v>
          </cell>
          <cell r="AI16">
            <v>4210</v>
          </cell>
          <cell r="AK16">
            <v>433206</v>
          </cell>
          <cell r="AL16">
            <v>405905</v>
          </cell>
          <cell r="AM16">
            <v>27301</v>
          </cell>
          <cell r="AN16">
            <v>433206</v>
          </cell>
          <cell r="AO16">
            <v>405905</v>
          </cell>
          <cell r="AP16">
            <v>27301</v>
          </cell>
          <cell r="AR16">
            <v>554923.99323637632</v>
          </cell>
          <cell r="AS16">
            <v>519952.22474899091</v>
          </cell>
          <cell r="AT16">
            <v>34971.768487385474</v>
          </cell>
          <cell r="AV16">
            <v>0.41</v>
          </cell>
          <cell r="AW16">
            <v>0.32700000000000001</v>
          </cell>
          <cell r="AX16">
            <v>0.75900000000000001</v>
          </cell>
          <cell r="AZ16">
            <v>0.30299999999999999</v>
          </cell>
          <cell r="BA16">
            <v>0.33600000000000002</v>
          </cell>
          <cell r="BB16">
            <v>0.16699999999999998</v>
          </cell>
          <cell r="BD16">
            <v>125733</v>
          </cell>
          <cell r="BE16">
            <v>102666</v>
          </cell>
          <cell r="BF16">
            <v>23067</v>
          </cell>
          <cell r="BH16">
            <v>0.21562939641577</v>
          </cell>
          <cell r="BI16">
            <v>0.18791237991916401</v>
          </cell>
          <cell r="BJ16">
            <v>0.62771963417463716</v>
          </cell>
        </row>
        <row r="17">
          <cell r="B17">
            <v>9</v>
          </cell>
          <cell r="C17">
            <v>2</v>
          </cell>
          <cell r="D17">
            <v>4</v>
          </cell>
          <cell r="E17" t="str">
            <v>Ballia</v>
          </cell>
          <cell r="H17">
            <v>2262273</v>
          </cell>
          <cell r="I17">
            <v>2038186</v>
          </cell>
          <cell r="J17">
            <v>224087</v>
          </cell>
          <cell r="K17">
            <v>2262273</v>
          </cell>
          <cell r="L17">
            <v>2038186</v>
          </cell>
          <cell r="M17">
            <v>224087</v>
          </cell>
          <cell r="N17">
            <v>2752412</v>
          </cell>
          <cell r="O17">
            <v>2481680</v>
          </cell>
          <cell r="P17">
            <v>270732</v>
          </cell>
          <cell r="Q17">
            <v>22.27</v>
          </cell>
          <cell r="R17">
            <v>21.67</v>
          </cell>
          <cell r="S17">
            <v>2.0309643020935741E-2</v>
          </cell>
          <cell r="T17">
            <v>1.9807850391679871E-2</v>
          </cell>
          <cell r="U17">
            <v>1.980430985852033E-2</v>
          </cell>
          <cell r="X17">
            <v>0</v>
          </cell>
          <cell r="Y17">
            <v>0</v>
          </cell>
          <cell r="Z17">
            <v>0</v>
          </cell>
          <cell r="AA17">
            <v>0</v>
          </cell>
          <cell r="AD17">
            <v>37</v>
          </cell>
          <cell r="AE17">
            <v>0</v>
          </cell>
          <cell r="AF17">
            <v>0</v>
          </cell>
          <cell r="AG17">
            <v>0</v>
          </cell>
          <cell r="AI17">
            <v>2981</v>
          </cell>
          <cell r="AK17">
            <v>282953</v>
          </cell>
          <cell r="AL17">
            <v>256323</v>
          </cell>
          <cell r="AM17">
            <v>26630</v>
          </cell>
          <cell r="AN17">
            <v>282953</v>
          </cell>
          <cell r="AO17">
            <v>256323</v>
          </cell>
          <cell r="AP17">
            <v>26630</v>
          </cell>
          <cell r="AR17">
            <v>362454.37195748073</v>
          </cell>
          <cell r="AS17">
            <v>328342.13450027863</v>
          </cell>
          <cell r="AT17">
            <v>34112.237457202122</v>
          </cell>
          <cell r="AV17">
            <v>0.41</v>
          </cell>
          <cell r="AW17">
            <v>0.32700000000000001</v>
          </cell>
          <cell r="AX17">
            <v>0.75900000000000001</v>
          </cell>
          <cell r="AZ17">
            <v>0.30299999999999999</v>
          </cell>
          <cell r="BA17">
            <v>0.33600000000000002</v>
          </cell>
          <cell r="BB17">
            <v>0.16699999999999998</v>
          </cell>
          <cell r="BD17">
            <v>84316</v>
          </cell>
          <cell r="BE17">
            <v>62552</v>
          </cell>
          <cell r="BF17">
            <v>21764</v>
          </cell>
          <cell r="BH17">
            <v>0.22138533277468925</v>
          </cell>
          <cell r="BI17">
            <v>0.18130374503577362</v>
          </cell>
          <cell r="BJ17">
            <v>0.60718453720585941</v>
          </cell>
        </row>
        <row r="18">
          <cell r="B18">
            <v>10</v>
          </cell>
          <cell r="C18">
            <v>2</v>
          </cell>
          <cell r="D18">
            <v>4</v>
          </cell>
          <cell r="E18" t="str">
            <v>Mau</v>
          </cell>
          <cell r="H18">
            <v>1445782</v>
          </cell>
          <cell r="I18">
            <v>1201787</v>
          </cell>
          <cell r="J18">
            <v>243995</v>
          </cell>
          <cell r="K18">
            <v>1445782</v>
          </cell>
          <cell r="L18">
            <v>1201787</v>
          </cell>
          <cell r="M18">
            <v>243995</v>
          </cell>
          <cell r="N18">
            <v>1849294</v>
          </cell>
          <cell r="O18">
            <v>1491306</v>
          </cell>
          <cell r="P18">
            <v>357988</v>
          </cell>
          <cell r="Q18">
            <v>28.37</v>
          </cell>
          <cell r="R18">
            <v>27.91</v>
          </cell>
          <cell r="S18">
            <v>2.5289132510169621E-2</v>
          </cell>
          <cell r="T18">
            <v>2.4921137455209186E-2</v>
          </cell>
          <cell r="U18">
            <v>2.4920818433952885E-2</v>
          </cell>
          <cell r="X18">
            <v>0</v>
          </cell>
          <cell r="Y18">
            <v>0</v>
          </cell>
          <cell r="Z18">
            <v>0</v>
          </cell>
          <cell r="AA18">
            <v>0</v>
          </cell>
          <cell r="AD18">
            <v>0</v>
          </cell>
          <cell r="AE18">
            <v>0</v>
          </cell>
          <cell r="AF18">
            <v>0</v>
          </cell>
          <cell r="AG18">
            <v>0</v>
          </cell>
          <cell r="AI18">
            <v>1713</v>
          </cell>
          <cell r="AK18">
            <v>197289</v>
          </cell>
          <cell r="AL18">
            <v>169596</v>
          </cell>
          <cell r="AM18">
            <v>27693</v>
          </cell>
          <cell r="AN18">
            <v>197289</v>
          </cell>
          <cell r="AO18">
            <v>169596</v>
          </cell>
          <cell r="AP18">
            <v>27693</v>
          </cell>
          <cell r="AR18">
            <v>252721.33742748591</v>
          </cell>
          <cell r="AS18">
            <v>217247.42860652087</v>
          </cell>
          <cell r="AT18">
            <v>35473.908820965014</v>
          </cell>
          <cell r="AV18">
            <v>0.41</v>
          </cell>
          <cell r="AW18">
            <v>0.32700000000000001</v>
          </cell>
          <cell r="AX18">
            <v>0.75900000000000001</v>
          </cell>
          <cell r="AZ18">
            <v>0.30299999999999999</v>
          </cell>
          <cell r="BA18">
            <v>0.33600000000000002</v>
          </cell>
          <cell r="BB18">
            <v>0.16699999999999998</v>
          </cell>
          <cell r="BD18">
            <v>77358</v>
          </cell>
          <cell r="BE18">
            <v>57358</v>
          </cell>
          <cell r="BF18">
            <v>20000</v>
          </cell>
          <cell r="BH18">
            <v>0.29131008093209715</v>
          </cell>
          <cell r="BI18">
            <v>0.25126473922394932</v>
          </cell>
          <cell r="BJ18">
            <v>0.5365536360664287</v>
          </cell>
        </row>
        <row r="19">
          <cell r="B19">
            <v>11</v>
          </cell>
          <cell r="C19">
            <v>3</v>
          </cell>
          <cell r="D19">
            <v>4</v>
          </cell>
          <cell r="E19" t="str">
            <v>Allahabad</v>
          </cell>
          <cell r="F19" t="str">
            <v>Split</v>
          </cell>
          <cell r="G19">
            <v>2</v>
          </cell>
          <cell r="H19">
            <v>4921313</v>
          </cell>
          <cell r="I19">
            <v>3898948</v>
          </cell>
          <cell r="J19">
            <v>1022365</v>
          </cell>
          <cell r="K19">
            <v>3899451</v>
          </cell>
          <cell r="L19">
            <v>3089370</v>
          </cell>
          <cell r="M19">
            <v>810081</v>
          </cell>
          <cell r="N19">
            <v>4941510</v>
          </cell>
          <cell r="O19">
            <v>3727682</v>
          </cell>
          <cell r="P19">
            <v>1213828</v>
          </cell>
          <cell r="Q19">
            <v>30.78</v>
          </cell>
          <cell r="R19">
            <v>26.72</v>
          </cell>
          <cell r="S19">
            <v>2.7197924709818189E-2</v>
          </cell>
          <cell r="T19">
            <v>2.3963594979804936E-2</v>
          </cell>
          <cell r="U19">
            <v>2.3966199581474168E-2</v>
          </cell>
          <cell r="W19">
            <v>671</v>
          </cell>
          <cell r="X19">
            <v>673</v>
          </cell>
          <cell r="Y19">
            <v>677</v>
          </cell>
          <cell r="Z19">
            <v>677</v>
          </cell>
          <cell r="AA19">
            <v>677</v>
          </cell>
          <cell r="AC19">
            <v>11532</v>
          </cell>
          <cell r="AD19">
            <v>12108</v>
          </cell>
          <cell r="AE19">
            <v>12348</v>
          </cell>
          <cell r="AF19">
            <v>12460</v>
          </cell>
          <cell r="AG19">
            <v>12479</v>
          </cell>
          <cell r="AI19">
            <v>5425</v>
          </cell>
          <cell r="AK19">
            <v>770935</v>
          </cell>
          <cell r="AL19">
            <v>618358</v>
          </cell>
          <cell r="AM19">
            <v>152577</v>
          </cell>
          <cell r="AN19">
            <v>610858</v>
          </cell>
          <cell r="AO19">
            <v>489963</v>
          </cell>
          <cell r="AP19">
            <v>120895</v>
          </cell>
          <cell r="AR19">
            <v>782490.91808605229</v>
          </cell>
          <cell r="AS19">
            <v>627628.0210755961</v>
          </cell>
          <cell r="AT19">
            <v>154862.89701045628</v>
          </cell>
          <cell r="AV19">
            <v>0.41</v>
          </cell>
          <cell r="AW19">
            <v>0.32700000000000001</v>
          </cell>
          <cell r="AX19">
            <v>0.75900000000000001</v>
          </cell>
          <cell r="AZ19">
            <v>0.30299999999999999</v>
          </cell>
          <cell r="BA19">
            <v>0.33600000000000002</v>
          </cell>
          <cell r="BB19">
            <v>0.16699999999999998</v>
          </cell>
          <cell r="BD19">
            <v>247127</v>
          </cell>
          <cell r="BE19">
            <v>65023</v>
          </cell>
          <cell r="BF19">
            <v>182104</v>
          </cell>
          <cell r="BH19">
            <v>0.30056131592008911</v>
          </cell>
          <cell r="BI19">
            <v>9.8595449224696263E-2</v>
          </cell>
          <cell r="BJ19">
            <v>1.1190881527923726</v>
          </cell>
        </row>
        <row r="20">
          <cell r="B20">
            <v>12</v>
          </cell>
          <cell r="C20">
            <v>3</v>
          </cell>
          <cell r="D20">
            <v>4</v>
          </cell>
          <cell r="E20" t="str">
            <v>Fatehpur</v>
          </cell>
          <cell r="H20">
            <v>1899241</v>
          </cell>
          <cell r="I20">
            <v>1711228</v>
          </cell>
          <cell r="J20">
            <v>188013</v>
          </cell>
          <cell r="K20">
            <v>1899241</v>
          </cell>
          <cell r="L20">
            <v>1711228</v>
          </cell>
          <cell r="M20">
            <v>188013</v>
          </cell>
          <cell r="N20">
            <v>2305847</v>
          </cell>
          <cell r="O20">
            <v>2068568</v>
          </cell>
          <cell r="P20">
            <v>237279</v>
          </cell>
          <cell r="Q20">
            <v>20.79</v>
          </cell>
          <cell r="R20">
            <v>21.4</v>
          </cell>
          <cell r="S20">
            <v>1.9067844447968385E-2</v>
          </cell>
          <cell r="T20">
            <v>1.9581316759666567E-2</v>
          </cell>
          <cell r="U20">
            <v>1.9588764387457713E-2</v>
          </cell>
          <cell r="W20">
            <v>74</v>
          </cell>
          <cell r="X20">
            <v>79</v>
          </cell>
          <cell r="Y20">
            <v>84</v>
          </cell>
          <cell r="Z20">
            <v>84</v>
          </cell>
          <cell r="AA20">
            <v>84</v>
          </cell>
          <cell r="AC20">
            <v>3711</v>
          </cell>
          <cell r="AD20">
            <v>3723</v>
          </cell>
          <cell r="AE20">
            <v>3755</v>
          </cell>
          <cell r="AF20">
            <v>3793</v>
          </cell>
          <cell r="AG20">
            <v>3835</v>
          </cell>
          <cell r="AI20">
            <v>4152</v>
          </cell>
          <cell r="AK20">
            <v>325545</v>
          </cell>
          <cell r="AL20">
            <v>295470</v>
          </cell>
          <cell r="AM20">
            <v>30075</v>
          </cell>
          <cell r="AN20">
            <v>325545</v>
          </cell>
          <cell r="AO20">
            <v>295470</v>
          </cell>
          <cell r="AP20">
            <v>30075</v>
          </cell>
          <cell r="AR20">
            <v>417013.45636518457</v>
          </cell>
          <cell r="AS20">
            <v>378488.27643558057</v>
          </cell>
          <cell r="AT20">
            <v>38525.179929603975</v>
          </cell>
          <cell r="AV20">
            <v>0.41</v>
          </cell>
          <cell r="AW20">
            <v>0.32700000000000001</v>
          </cell>
          <cell r="AX20">
            <v>0.75900000000000001</v>
          </cell>
          <cell r="AZ20">
            <v>0.30299999999999999</v>
          </cell>
          <cell r="BA20">
            <v>0.33600000000000002</v>
          </cell>
          <cell r="BB20">
            <v>0.16699999999999998</v>
          </cell>
          <cell r="BD20">
            <v>57032</v>
          </cell>
          <cell r="BE20">
            <v>34204</v>
          </cell>
          <cell r="BF20">
            <v>22828</v>
          </cell>
          <cell r="BH20">
            <v>0.13015496045700112</v>
          </cell>
          <cell r="BI20">
            <v>8.6003605403267791E-2</v>
          </cell>
          <cell r="BJ20">
            <v>0.56391725065572396</v>
          </cell>
        </row>
        <row r="21">
          <cell r="B21">
            <v>13</v>
          </cell>
          <cell r="C21">
            <v>3</v>
          </cell>
          <cell r="D21">
            <v>4</v>
          </cell>
          <cell r="E21" t="str">
            <v>Kaushambi</v>
          </cell>
          <cell r="F21" t="str">
            <v>New</v>
          </cell>
          <cell r="G21">
            <v>1</v>
          </cell>
          <cell r="H21">
            <v>0</v>
          </cell>
          <cell r="I21">
            <v>0</v>
          </cell>
          <cell r="J21">
            <v>0</v>
          </cell>
          <cell r="K21">
            <v>1021862</v>
          </cell>
          <cell r="L21">
            <v>809578</v>
          </cell>
          <cell r="M21">
            <v>212284</v>
          </cell>
          <cell r="N21">
            <v>1294937</v>
          </cell>
          <cell r="O21">
            <v>1203183</v>
          </cell>
          <cell r="P21">
            <v>91754</v>
          </cell>
          <cell r="Q21">
            <v>25.34</v>
          </cell>
          <cell r="R21">
            <v>26.73</v>
          </cell>
          <cell r="S21">
            <v>2.2842980437960625E-2</v>
          </cell>
          <cell r="T21">
            <v>2.3971675213662724E-2</v>
          </cell>
          <cell r="U21">
            <v>2.3966241922097176E-2</v>
          </cell>
          <cell r="W21">
            <v>792</v>
          </cell>
          <cell r="X21">
            <v>799</v>
          </cell>
          <cell r="Y21">
            <v>801</v>
          </cell>
          <cell r="Z21">
            <v>801</v>
          </cell>
          <cell r="AA21">
            <v>801</v>
          </cell>
          <cell r="AC21">
            <v>31483</v>
          </cell>
          <cell r="AD21">
            <v>32163</v>
          </cell>
          <cell r="AE21">
            <v>33221</v>
          </cell>
          <cell r="AF21">
            <v>34510</v>
          </cell>
          <cell r="AG21">
            <v>25563</v>
          </cell>
          <cell r="AI21">
            <v>1836</v>
          </cell>
          <cell r="AK21">
            <v>0</v>
          </cell>
          <cell r="AL21">
            <v>0</v>
          </cell>
          <cell r="AM21">
            <v>0</v>
          </cell>
          <cell r="AN21">
            <v>160077</v>
          </cell>
          <cell r="AO21">
            <v>128395</v>
          </cell>
          <cell r="AP21">
            <v>31682</v>
          </cell>
          <cell r="AR21">
            <v>205053.87290411355</v>
          </cell>
          <cell r="AS21">
            <v>164470.1738008812</v>
          </cell>
          <cell r="AT21">
            <v>40583.699103232357</v>
          </cell>
          <cell r="AV21">
            <v>0.41</v>
          </cell>
          <cell r="AW21">
            <v>0.32700000000000001</v>
          </cell>
          <cell r="AX21">
            <v>0.75900000000000001</v>
          </cell>
          <cell r="AZ21">
            <v>0.30299999999999999</v>
          </cell>
          <cell r="BA21">
            <v>0.33600000000000002</v>
          </cell>
          <cell r="BB21">
            <v>0.16699999999999998</v>
          </cell>
          <cell r="BD21">
            <v>34980</v>
          </cell>
          <cell r="BE21">
            <v>32715</v>
          </cell>
          <cell r="BF21">
            <v>2265</v>
          </cell>
          <cell r="BH21">
            <v>0.16234690771587879</v>
          </cell>
          <cell r="BI21">
            <v>0.18930058903499694</v>
          </cell>
          <cell r="BJ21">
            <v>5.3113970623265477E-2</v>
          </cell>
        </row>
        <row r="22">
          <cell r="B22">
            <v>14</v>
          </cell>
          <cell r="C22">
            <v>3</v>
          </cell>
          <cell r="D22">
            <v>4</v>
          </cell>
          <cell r="E22" t="str">
            <v>Pratapgarh</v>
          </cell>
          <cell r="H22">
            <v>2210700</v>
          </cell>
          <cell r="I22">
            <v>2088599</v>
          </cell>
          <cell r="J22">
            <v>122101</v>
          </cell>
          <cell r="K22">
            <v>2210700</v>
          </cell>
          <cell r="L22">
            <v>2088599</v>
          </cell>
          <cell r="M22">
            <v>122101</v>
          </cell>
          <cell r="N22">
            <v>2727156</v>
          </cell>
          <cell r="O22">
            <v>2582843</v>
          </cell>
          <cell r="P22">
            <v>144313</v>
          </cell>
          <cell r="Q22">
            <v>22.75</v>
          </cell>
          <cell r="R22">
            <v>23.36</v>
          </cell>
          <cell r="S22">
            <v>2.0709484022374935E-2</v>
          </cell>
          <cell r="T22">
            <v>2.1215589755644304E-2</v>
          </cell>
          <cell r="U22">
            <v>2.1216955802133786E-2</v>
          </cell>
          <cell r="W22">
            <v>40</v>
          </cell>
          <cell r="X22">
            <v>40</v>
          </cell>
          <cell r="Y22">
            <v>40</v>
          </cell>
          <cell r="Z22">
            <v>40</v>
          </cell>
          <cell r="AA22">
            <v>40</v>
          </cell>
          <cell r="AC22">
            <v>204</v>
          </cell>
          <cell r="AD22">
            <v>224</v>
          </cell>
          <cell r="AE22">
            <v>252</v>
          </cell>
          <cell r="AF22">
            <v>260</v>
          </cell>
          <cell r="AG22">
            <v>266</v>
          </cell>
          <cell r="AI22">
            <v>3717</v>
          </cell>
          <cell r="AK22">
            <v>369756</v>
          </cell>
          <cell r="AL22">
            <v>351564</v>
          </cell>
          <cell r="AM22">
            <v>18192</v>
          </cell>
          <cell r="AN22">
            <v>369756</v>
          </cell>
          <cell r="AO22">
            <v>351564</v>
          </cell>
          <cell r="AP22">
            <v>18192</v>
          </cell>
          <cell r="AR22">
            <v>473646.43158938142</v>
          </cell>
          <cell r="AS22">
            <v>450343.02100652672</v>
          </cell>
          <cell r="AT22">
            <v>23303.410582854714</v>
          </cell>
          <cell r="AV22">
            <v>0.41</v>
          </cell>
          <cell r="AW22">
            <v>0.32700000000000001</v>
          </cell>
          <cell r="AX22">
            <v>0.75900000000000001</v>
          </cell>
          <cell r="AZ22">
            <v>0.30299999999999999</v>
          </cell>
          <cell r="BA22">
            <v>0.33600000000000002</v>
          </cell>
          <cell r="BB22">
            <v>0.16699999999999998</v>
          </cell>
          <cell r="BD22">
            <v>93768</v>
          </cell>
          <cell r="BE22">
            <v>73145</v>
          </cell>
          <cell r="BF22">
            <v>20623</v>
          </cell>
          <cell r="BH22">
            <v>0.18840506555316522</v>
          </cell>
          <cell r="BI22">
            <v>0.1545729158359809</v>
          </cell>
          <cell r="BJ22">
            <v>0.84221805385418658</v>
          </cell>
        </row>
        <row r="23">
          <cell r="B23">
            <v>15</v>
          </cell>
          <cell r="C23">
            <v>4</v>
          </cell>
          <cell r="D23">
            <v>3</v>
          </cell>
          <cell r="E23" t="str">
            <v>Budaun</v>
          </cell>
          <cell r="H23">
            <v>2448338</v>
          </cell>
          <cell r="I23">
            <v>2017033</v>
          </cell>
          <cell r="J23">
            <v>431305</v>
          </cell>
          <cell r="K23">
            <v>2448338</v>
          </cell>
          <cell r="L23">
            <v>2017033</v>
          </cell>
          <cell r="M23">
            <v>431305</v>
          </cell>
          <cell r="N23">
            <v>3069245</v>
          </cell>
          <cell r="O23">
            <v>2511993</v>
          </cell>
          <cell r="P23">
            <v>557252</v>
          </cell>
          <cell r="Q23">
            <v>24.16</v>
          </cell>
          <cell r="R23">
            <v>25.36</v>
          </cell>
          <cell r="S23">
            <v>2.1875931890339206E-2</v>
          </cell>
          <cell r="T23">
            <v>2.2859300360458468E-2</v>
          </cell>
          <cell r="U23">
            <v>2.2859583072760925E-2</v>
          </cell>
          <cell r="W23">
            <v>0</v>
          </cell>
          <cell r="X23">
            <v>0</v>
          </cell>
          <cell r="Y23">
            <v>0</v>
          </cell>
          <cell r="Z23">
            <v>0</v>
          </cell>
          <cell r="AA23">
            <v>0</v>
          </cell>
          <cell r="AC23">
            <v>0</v>
          </cell>
          <cell r="AD23">
            <v>48</v>
          </cell>
          <cell r="AE23">
            <v>0</v>
          </cell>
          <cell r="AF23">
            <v>0</v>
          </cell>
          <cell r="AG23">
            <v>0</v>
          </cell>
          <cell r="AI23">
            <v>5168</v>
          </cell>
          <cell r="AK23">
            <v>380242</v>
          </cell>
          <cell r="AL23">
            <v>320556</v>
          </cell>
          <cell r="AM23">
            <v>59686</v>
          </cell>
          <cell r="AN23">
            <v>380242</v>
          </cell>
          <cell r="AO23">
            <v>320556</v>
          </cell>
          <cell r="AP23">
            <v>59686</v>
          </cell>
          <cell r="AR23">
            <v>487078.68551263423</v>
          </cell>
          <cell r="AS23">
            <v>410622.69584419392</v>
          </cell>
          <cell r="AT23">
            <v>76455.989668440321</v>
          </cell>
          <cell r="AV23">
            <v>0.41</v>
          </cell>
          <cell r="AW23">
            <v>0.32700000000000001</v>
          </cell>
          <cell r="AX23">
            <v>0.75900000000000001</v>
          </cell>
          <cell r="AZ23">
            <v>0.30299999999999999</v>
          </cell>
          <cell r="BA23">
            <v>0.33600000000000002</v>
          </cell>
          <cell r="BB23">
            <v>0.16699999999999998</v>
          </cell>
          <cell r="BD23">
            <v>73502</v>
          </cell>
          <cell r="BE23">
            <v>39527</v>
          </cell>
          <cell r="BF23">
            <v>33975</v>
          </cell>
          <cell r="BH23">
            <v>0.14361249363081624</v>
          </cell>
          <cell r="BI23">
            <v>9.1610044871642926E-2</v>
          </cell>
          <cell r="BJ23">
            <v>0.42290239351429909</v>
          </cell>
        </row>
        <row r="24">
          <cell r="B24">
            <v>16</v>
          </cell>
          <cell r="C24">
            <v>4</v>
          </cell>
          <cell r="D24">
            <v>3</v>
          </cell>
          <cell r="E24" t="str">
            <v>Barielly</v>
          </cell>
          <cell r="H24">
            <v>2834616</v>
          </cell>
          <cell r="I24">
            <v>1905151</v>
          </cell>
          <cell r="J24">
            <v>929465</v>
          </cell>
          <cell r="K24">
            <v>2834616</v>
          </cell>
          <cell r="L24">
            <v>1905151</v>
          </cell>
          <cell r="M24">
            <v>929465</v>
          </cell>
          <cell r="N24">
            <v>3598701</v>
          </cell>
          <cell r="O24">
            <v>2425827</v>
          </cell>
          <cell r="P24">
            <v>1172874</v>
          </cell>
          <cell r="Q24">
            <v>24.71</v>
          </cell>
          <cell r="R24">
            <v>26.96</v>
          </cell>
          <cell r="S24">
            <v>2.2327699403222434E-2</v>
          </cell>
          <cell r="T24">
            <v>2.4157362393459003E-2</v>
          </cell>
          <cell r="U24">
            <v>2.4153734682166528E-2</v>
          </cell>
          <cell r="W24">
            <v>611</v>
          </cell>
          <cell r="X24">
            <v>611</v>
          </cell>
          <cell r="Y24">
            <v>611</v>
          </cell>
          <cell r="Z24">
            <v>611</v>
          </cell>
          <cell r="AA24">
            <v>611</v>
          </cell>
          <cell r="AC24">
            <v>11940</v>
          </cell>
          <cell r="AD24">
            <v>12091</v>
          </cell>
          <cell r="AE24">
            <v>12268</v>
          </cell>
          <cell r="AF24">
            <v>12501</v>
          </cell>
          <cell r="AG24">
            <v>12719</v>
          </cell>
          <cell r="AI24">
            <v>4120</v>
          </cell>
          <cell r="AK24">
            <v>409233</v>
          </cell>
          <cell r="AL24">
            <v>279274</v>
          </cell>
          <cell r="AM24">
            <v>129959</v>
          </cell>
          <cell r="AN24">
            <v>409233</v>
          </cell>
          <cell r="AO24">
            <v>279274</v>
          </cell>
          <cell r="AP24">
            <v>129959</v>
          </cell>
          <cell r="AR24">
            <v>524215.29370346211</v>
          </cell>
          <cell r="AS24">
            <v>357741.68244921765</v>
          </cell>
          <cell r="AT24">
            <v>166473.61125424449</v>
          </cell>
          <cell r="AV24">
            <v>0.41</v>
          </cell>
          <cell r="AW24">
            <v>0.32700000000000001</v>
          </cell>
          <cell r="AX24">
            <v>0.75900000000000001</v>
          </cell>
          <cell r="AZ24">
            <v>0.30299999999999999</v>
          </cell>
          <cell r="BA24">
            <v>0.33600000000000002</v>
          </cell>
          <cell r="BB24">
            <v>0.16699999999999998</v>
          </cell>
          <cell r="BD24">
            <v>90839</v>
          </cell>
          <cell r="BE24">
            <v>65064</v>
          </cell>
          <cell r="BF24">
            <v>25775</v>
          </cell>
          <cell r="BH24">
            <v>0.16491298382726405</v>
          </cell>
          <cell r="BI24">
            <v>0.17308658373912075</v>
          </cell>
          <cell r="BJ24">
            <v>0.14734841391072209</v>
          </cell>
        </row>
        <row r="25">
          <cell r="B25">
            <v>17</v>
          </cell>
          <cell r="C25">
            <v>4</v>
          </cell>
          <cell r="D25">
            <v>3</v>
          </cell>
          <cell r="E25" t="str">
            <v>Pilibhit</v>
          </cell>
          <cell r="H25">
            <v>1283103</v>
          </cell>
          <cell r="I25">
            <v>1046247</v>
          </cell>
          <cell r="J25">
            <v>236856</v>
          </cell>
          <cell r="K25">
            <v>1283103</v>
          </cell>
          <cell r="L25">
            <v>1046247</v>
          </cell>
          <cell r="M25">
            <v>236856</v>
          </cell>
          <cell r="N25">
            <v>1643788</v>
          </cell>
          <cell r="O25">
            <v>1349783</v>
          </cell>
          <cell r="P25">
            <v>294005</v>
          </cell>
          <cell r="Q25">
            <v>27.25</v>
          </cell>
          <cell r="R25">
            <v>28.11</v>
          </cell>
          <cell r="S25">
            <v>2.4391058667107668E-2</v>
          </cell>
          <cell r="T25">
            <v>2.5081281415189727E-2</v>
          </cell>
          <cell r="U25">
            <v>2.5081577424227675E-2</v>
          </cell>
          <cell r="W25">
            <v>0</v>
          </cell>
          <cell r="X25">
            <v>0</v>
          </cell>
          <cell r="Y25">
            <v>0</v>
          </cell>
          <cell r="Z25">
            <v>0</v>
          </cell>
          <cell r="AA25">
            <v>0</v>
          </cell>
          <cell r="AC25">
            <v>0</v>
          </cell>
          <cell r="AD25">
            <v>0</v>
          </cell>
          <cell r="AE25">
            <v>0</v>
          </cell>
          <cell r="AF25">
            <v>0</v>
          </cell>
          <cell r="AG25">
            <v>0</v>
          </cell>
          <cell r="AI25">
            <v>3499</v>
          </cell>
          <cell r="AK25">
            <v>186442</v>
          </cell>
          <cell r="AL25">
            <v>155415</v>
          </cell>
          <cell r="AM25">
            <v>31027</v>
          </cell>
          <cell r="AN25">
            <v>186442</v>
          </cell>
          <cell r="AO25">
            <v>155415</v>
          </cell>
          <cell r="AP25">
            <v>31027</v>
          </cell>
          <cell r="AR25">
            <v>238826.653248054</v>
          </cell>
          <cell r="AS25">
            <v>199081.98965118543</v>
          </cell>
          <cell r="AT25">
            <v>39744.66359686858</v>
          </cell>
          <cell r="AV25">
            <v>0.41</v>
          </cell>
          <cell r="AW25">
            <v>0.32700000000000001</v>
          </cell>
          <cell r="AX25">
            <v>0.75900000000000001</v>
          </cell>
          <cell r="AZ25">
            <v>0.30299999999999999</v>
          </cell>
          <cell r="BA25">
            <v>0.33600000000000002</v>
          </cell>
          <cell r="BB25">
            <v>0.16699999999999998</v>
          </cell>
          <cell r="BD25">
            <v>56391</v>
          </cell>
          <cell r="BE25">
            <v>27526</v>
          </cell>
          <cell r="BF25">
            <v>28865</v>
          </cell>
          <cell r="BH25">
            <v>0.2247083420473254</v>
          </cell>
          <cell r="BI25">
            <v>0.13158407295775587</v>
          </cell>
          <cell r="BJ25">
            <v>0.69117007797266306</v>
          </cell>
        </row>
        <row r="26">
          <cell r="B26">
            <v>18</v>
          </cell>
          <cell r="C26">
            <v>4</v>
          </cell>
          <cell r="D26">
            <v>3</v>
          </cell>
          <cell r="E26" t="str">
            <v>Shahjahanpur</v>
          </cell>
          <cell r="H26">
            <v>1987395</v>
          </cell>
          <cell r="I26">
            <v>1574764</v>
          </cell>
          <cell r="J26">
            <v>412631</v>
          </cell>
          <cell r="K26">
            <v>1987395</v>
          </cell>
          <cell r="L26">
            <v>1574764</v>
          </cell>
          <cell r="M26">
            <v>412631</v>
          </cell>
          <cell r="N26">
            <v>2549458</v>
          </cell>
          <cell r="O26">
            <v>2022664</v>
          </cell>
          <cell r="P26">
            <v>526794</v>
          </cell>
          <cell r="Q26">
            <v>20.62</v>
          </cell>
          <cell r="R26">
            <v>28.28</v>
          </cell>
          <cell r="S26">
            <v>1.8924329793928552E-2</v>
          </cell>
          <cell r="T26">
            <v>2.5217226965715378E-2</v>
          </cell>
          <cell r="U26">
            <v>2.5218340635190017E-2</v>
          </cell>
          <cell r="W26">
            <v>75</v>
          </cell>
          <cell r="X26">
            <v>77</v>
          </cell>
          <cell r="Y26">
            <v>77</v>
          </cell>
          <cell r="Z26">
            <v>77</v>
          </cell>
          <cell r="AA26">
            <v>77</v>
          </cell>
          <cell r="AC26">
            <v>2429</v>
          </cell>
          <cell r="AD26">
            <v>2449</v>
          </cell>
          <cell r="AE26">
            <v>2478</v>
          </cell>
          <cell r="AF26">
            <v>2496</v>
          </cell>
          <cell r="AG26">
            <v>2498</v>
          </cell>
          <cell r="AI26">
            <v>4575</v>
          </cell>
          <cell r="AK26">
            <v>307759</v>
          </cell>
          <cell r="AL26">
            <v>249648</v>
          </cell>
          <cell r="AM26">
            <v>58111</v>
          </cell>
          <cell r="AN26">
            <v>307759</v>
          </cell>
          <cell r="AO26">
            <v>249648</v>
          </cell>
          <cell r="AP26">
            <v>58111</v>
          </cell>
          <cell r="AR26">
            <v>394230.11969925149</v>
          </cell>
          <cell r="AS26">
            <v>319791.65815680043</v>
          </cell>
          <cell r="AT26">
            <v>74438.461542451085</v>
          </cell>
          <cell r="AV26">
            <v>0.41</v>
          </cell>
          <cell r="AW26">
            <v>0.32700000000000001</v>
          </cell>
          <cell r="AX26">
            <v>0.75900000000000001</v>
          </cell>
          <cell r="AZ26">
            <v>0.30299999999999999</v>
          </cell>
          <cell r="BA26">
            <v>0.33600000000000002</v>
          </cell>
          <cell r="BB26">
            <v>0.16699999999999998</v>
          </cell>
          <cell r="BD26">
            <v>157350</v>
          </cell>
          <cell r="BE26">
            <v>39114</v>
          </cell>
          <cell r="BF26">
            <v>118236</v>
          </cell>
          <cell r="BH26">
            <v>0.37984738194309681</v>
          </cell>
          <cell r="BI26">
            <v>0.11640115578776633</v>
          </cell>
          <cell r="BJ26">
            <v>1.5116266228308106</v>
          </cell>
        </row>
        <row r="27">
          <cell r="B27">
            <v>19</v>
          </cell>
          <cell r="C27">
            <v>5</v>
          </cell>
          <cell r="D27">
            <v>4</v>
          </cell>
          <cell r="E27" t="str">
            <v>Basti</v>
          </cell>
          <cell r="F27" t="str">
            <v>Split</v>
          </cell>
          <cell r="G27">
            <v>2</v>
          </cell>
          <cell r="H27">
            <v>2738522</v>
          </cell>
          <cell r="I27">
            <v>2562696</v>
          </cell>
          <cell r="J27">
            <v>175826</v>
          </cell>
          <cell r="K27">
            <v>1662913</v>
          </cell>
          <cell r="L27">
            <v>1574900</v>
          </cell>
          <cell r="M27">
            <v>88013</v>
          </cell>
          <cell r="N27">
            <v>2068922</v>
          </cell>
          <cell r="O27">
            <v>1953604</v>
          </cell>
          <cell r="P27">
            <v>115318</v>
          </cell>
          <cell r="Q27">
            <v>23.41</v>
          </cell>
          <cell r="R27">
            <v>22.69</v>
          </cell>
          <cell r="S27">
            <v>2.1256973890493081E-2</v>
          </cell>
          <cell r="T27">
            <v>2.0659580931471799E-2</v>
          </cell>
          <cell r="U27">
            <v>2.2086045507365482E-2</v>
          </cell>
          <cell r="X27">
            <v>0</v>
          </cell>
          <cell r="Y27">
            <v>0</v>
          </cell>
          <cell r="Z27">
            <v>0</v>
          </cell>
          <cell r="AA27">
            <v>0</v>
          </cell>
          <cell r="AD27">
            <v>22</v>
          </cell>
          <cell r="AE27">
            <v>0</v>
          </cell>
          <cell r="AF27">
            <v>0</v>
          </cell>
          <cell r="AG27">
            <v>0</v>
          </cell>
          <cell r="AI27">
            <v>3034</v>
          </cell>
          <cell r="AK27">
            <v>419602</v>
          </cell>
          <cell r="AL27">
            <v>395145</v>
          </cell>
          <cell r="AM27">
            <v>24457</v>
          </cell>
          <cell r="AN27">
            <v>252946</v>
          </cell>
          <cell r="AO27">
            <v>240479</v>
          </cell>
          <cell r="AP27">
            <v>12467</v>
          </cell>
          <cell r="AR27">
            <v>324016.29800410994</v>
          </cell>
          <cell r="AS27">
            <v>308046.44203794625</v>
          </cell>
          <cell r="AT27">
            <v>15969.855966163683</v>
          </cell>
          <cell r="AV27">
            <v>0.41</v>
          </cell>
          <cell r="AW27">
            <v>0.32700000000000001</v>
          </cell>
          <cell r="AX27">
            <v>0.75900000000000001</v>
          </cell>
          <cell r="AZ27">
            <v>0.30299999999999999</v>
          </cell>
          <cell r="BA27">
            <v>0.33600000000000002</v>
          </cell>
          <cell r="BB27">
            <v>0.16699999999999998</v>
          </cell>
          <cell r="BD27">
            <v>74202</v>
          </cell>
          <cell r="BE27">
            <v>57689</v>
          </cell>
          <cell r="BF27">
            <v>16513</v>
          </cell>
          <cell r="BH27">
            <v>0.21794200777120173</v>
          </cell>
          <cell r="BI27">
            <v>0.1782251569568914</v>
          </cell>
          <cell r="BJ27">
            <v>0.98405001827689986</v>
          </cell>
        </row>
        <row r="28">
          <cell r="B28">
            <v>20</v>
          </cell>
          <cell r="C28">
            <v>5</v>
          </cell>
          <cell r="D28">
            <v>4</v>
          </cell>
          <cell r="E28" t="str">
            <v>Sant Kabir Nagar</v>
          </cell>
          <cell r="F28" t="str">
            <v>New</v>
          </cell>
          <cell r="G28">
            <v>1</v>
          </cell>
          <cell r="H28">
            <v>0</v>
          </cell>
          <cell r="I28">
            <v>0</v>
          </cell>
          <cell r="J28">
            <v>0</v>
          </cell>
          <cell r="K28">
            <v>1144953</v>
          </cell>
          <cell r="L28">
            <v>1084354</v>
          </cell>
          <cell r="M28">
            <v>60599</v>
          </cell>
          <cell r="N28">
            <v>1424500</v>
          </cell>
          <cell r="O28">
            <v>1323388</v>
          </cell>
          <cell r="P28">
            <v>101112</v>
          </cell>
          <cell r="Q28">
            <v>26.46</v>
          </cell>
          <cell r="R28">
            <v>23.64</v>
          </cell>
          <cell r="S28">
            <v>2.375330720831581E-2</v>
          </cell>
          <cell r="T28">
            <v>2.144714676324333E-2</v>
          </cell>
          <cell r="U28">
            <v>2.208609373910253E-2</v>
          </cell>
          <cell r="W28">
            <v>397</v>
          </cell>
          <cell r="X28">
            <v>398</v>
          </cell>
          <cell r="Y28">
            <v>398</v>
          </cell>
          <cell r="Z28">
            <v>398</v>
          </cell>
          <cell r="AA28">
            <v>398</v>
          </cell>
          <cell r="AC28">
            <v>8666</v>
          </cell>
          <cell r="AD28">
            <v>8708</v>
          </cell>
          <cell r="AE28">
            <v>8814</v>
          </cell>
          <cell r="AF28">
            <v>8907</v>
          </cell>
          <cell r="AG28">
            <v>8982</v>
          </cell>
          <cell r="AI28">
            <v>1442</v>
          </cell>
          <cell r="AK28">
            <v>0</v>
          </cell>
          <cell r="AL28">
            <v>0</v>
          </cell>
          <cell r="AM28">
            <v>0</v>
          </cell>
          <cell r="AN28">
            <v>174159</v>
          </cell>
          <cell r="AO28">
            <v>165575</v>
          </cell>
          <cell r="AP28">
            <v>8584</v>
          </cell>
          <cell r="AR28">
            <v>223092.49580581542</v>
          </cell>
          <cell r="AS28">
            <v>212096.64727661439</v>
          </cell>
          <cell r="AT28">
            <v>10995.848529201014</v>
          </cell>
          <cell r="AV28">
            <v>0.41</v>
          </cell>
          <cell r="AW28">
            <v>0.32700000000000001</v>
          </cell>
          <cell r="AX28">
            <v>0.75900000000000001</v>
          </cell>
          <cell r="AZ28">
            <v>0.30299999999999999</v>
          </cell>
          <cell r="BA28">
            <v>0.33600000000000002</v>
          </cell>
          <cell r="BB28">
            <v>0.16699999999999998</v>
          </cell>
          <cell r="BD28">
            <v>42983</v>
          </cell>
          <cell r="BE28">
            <v>31442</v>
          </cell>
          <cell r="BF28">
            <v>11541</v>
          </cell>
          <cell r="BH28">
            <v>0.18335972703590578</v>
          </cell>
          <cell r="BI28">
            <v>0.14108100735077206</v>
          </cell>
          <cell r="BJ28">
            <v>0.99886520372113596</v>
          </cell>
        </row>
        <row r="29">
          <cell r="B29">
            <v>21</v>
          </cell>
          <cell r="C29">
            <v>5</v>
          </cell>
          <cell r="D29">
            <v>4</v>
          </cell>
          <cell r="E29" t="str">
            <v>Siddharthnagar</v>
          </cell>
          <cell r="F29" t="str">
            <v>Split</v>
          </cell>
          <cell r="G29">
            <v>2</v>
          </cell>
          <cell r="H29">
            <v>1707885</v>
          </cell>
          <cell r="I29">
            <v>1648377</v>
          </cell>
          <cell r="J29">
            <v>59508</v>
          </cell>
          <cell r="K29">
            <v>1638541</v>
          </cell>
          <cell r="L29">
            <v>1551819</v>
          </cell>
          <cell r="M29">
            <v>86722</v>
          </cell>
          <cell r="N29">
            <v>2038598</v>
          </cell>
          <cell r="O29">
            <v>1960895</v>
          </cell>
          <cell r="P29">
            <v>77703</v>
          </cell>
          <cell r="Q29">
            <v>23.63</v>
          </cell>
          <cell r="R29">
            <v>26.78</v>
          </cell>
          <cell r="S29">
            <v>2.1438885000664598E-2</v>
          </cell>
          <cell r="T29">
            <v>2.4012067777452684E-2</v>
          </cell>
          <cell r="U29">
            <v>2.2085972941693344E-2</v>
          </cell>
          <cell r="W29">
            <v>12</v>
          </cell>
          <cell r="X29">
            <v>13</v>
          </cell>
          <cell r="Y29">
            <v>13</v>
          </cell>
          <cell r="Z29">
            <v>13</v>
          </cell>
          <cell r="AA29">
            <v>13</v>
          </cell>
          <cell r="AC29">
            <v>10302</v>
          </cell>
          <cell r="AD29">
            <v>10550</v>
          </cell>
          <cell r="AE29">
            <v>10817</v>
          </cell>
          <cell r="AF29">
            <v>11076</v>
          </cell>
          <cell r="AG29">
            <v>11268</v>
          </cell>
          <cell r="AI29">
            <v>2752</v>
          </cell>
          <cell r="AK29">
            <v>256744</v>
          </cell>
          <cell r="AL29">
            <v>247864</v>
          </cell>
          <cell r="AM29">
            <v>8880</v>
          </cell>
          <cell r="AN29">
            <v>249241</v>
          </cell>
          <cell r="AO29">
            <v>236955</v>
          </cell>
          <cell r="AP29">
            <v>12286</v>
          </cell>
          <cell r="AR29">
            <v>319270.30326964002</v>
          </cell>
          <cell r="AS29">
            <v>303532.30291668529</v>
          </cell>
          <cell r="AT29">
            <v>15738.000352954761</v>
          </cell>
          <cell r="AV29">
            <v>0.41</v>
          </cell>
          <cell r="AW29">
            <v>0.32700000000000001</v>
          </cell>
          <cell r="AX29">
            <v>0.75900000000000001</v>
          </cell>
          <cell r="AZ29">
            <v>0.30299999999999999</v>
          </cell>
          <cell r="BA29">
            <v>0.33600000000000002</v>
          </cell>
          <cell r="BB29">
            <v>0.16699999999999998</v>
          </cell>
          <cell r="BD29">
            <v>103719</v>
          </cell>
          <cell r="BE29">
            <v>69655</v>
          </cell>
          <cell r="BF29">
            <v>34064</v>
          </cell>
          <cell r="BH29">
            <v>0.3091661858596827</v>
          </cell>
          <cell r="BI29">
            <v>0.21839343124329405</v>
          </cell>
          <cell r="BJ29">
            <v>2.0598627567636671</v>
          </cell>
        </row>
        <row r="30">
          <cell r="B30">
            <v>22</v>
          </cell>
          <cell r="C30">
            <v>6</v>
          </cell>
          <cell r="D30">
            <v>2</v>
          </cell>
          <cell r="E30" t="str">
            <v>Banda</v>
          </cell>
          <cell r="F30" t="str">
            <v>Split</v>
          </cell>
          <cell r="G30">
            <v>2</v>
          </cell>
          <cell r="H30">
            <v>1862139</v>
          </cell>
          <cell r="I30">
            <v>1622718</v>
          </cell>
          <cell r="J30">
            <v>239421</v>
          </cell>
          <cell r="K30">
            <v>1214198</v>
          </cell>
          <cell r="L30">
            <v>1058085</v>
          </cell>
          <cell r="M30">
            <v>156113</v>
          </cell>
          <cell r="N30">
            <v>1500253</v>
          </cell>
          <cell r="O30">
            <v>1256230</v>
          </cell>
          <cell r="P30">
            <v>244023</v>
          </cell>
          <cell r="Q30">
            <v>23.69</v>
          </cell>
          <cell r="R30">
            <v>18.489999999999998</v>
          </cell>
          <cell r="S30">
            <v>2.1488446557463181E-2</v>
          </cell>
          <cell r="T30">
            <v>1.7110575489174495E-2</v>
          </cell>
          <cell r="U30">
            <v>2.1380351690864829E-2</v>
          </cell>
          <cell r="X30">
            <v>0</v>
          </cell>
          <cell r="Y30">
            <v>0</v>
          </cell>
          <cell r="Z30">
            <v>0</v>
          </cell>
          <cell r="AA30">
            <v>0</v>
          </cell>
          <cell r="AD30">
            <v>0</v>
          </cell>
          <cell r="AE30">
            <v>0</v>
          </cell>
          <cell r="AF30">
            <v>0</v>
          </cell>
          <cell r="AG30">
            <v>0</v>
          </cell>
          <cell r="AI30">
            <v>4418</v>
          </cell>
          <cell r="AK30">
            <v>298202</v>
          </cell>
          <cell r="AL30">
            <v>260286</v>
          </cell>
          <cell r="AM30">
            <v>37916</v>
          </cell>
          <cell r="AN30">
            <v>194441</v>
          </cell>
          <cell r="AO30">
            <v>169719</v>
          </cell>
          <cell r="AP30">
            <v>24722</v>
          </cell>
          <cell r="AR30">
            <v>249073.13418760186</v>
          </cell>
          <cell r="AS30">
            <v>217404.98794588385</v>
          </cell>
          <cell r="AT30">
            <v>31668.146241718019</v>
          </cell>
          <cell r="AV30">
            <v>0.41</v>
          </cell>
          <cell r="AW30">
            <v>0.32700000000000001</v>
          </cell>
          <cell r="AX30">
            <v>0.75900000000000001</v>
          </cell>
          <cell r="AZ30">
            <v>0.30299999999999999</v>
          </cell>
          <cell r="BA30">
            <v>0.33600000000000002</v>
          </cell>
          <cell r="BB30">
            <v>0.16699999999999998</v>
          </cell>
          <cell r="BD30">
            <v>0</v>
          </cell>
          <cell r="BE30">
            <v>0</v>
          </cell>
          <cell r="BF30">
            <v>0</v>
          </cell>
          <cell r="BH30">
            <v>0</v>
          </cell>
          <cell r="BI30">
            <v>0</v>
          </cell>
          <cell r="BJ30">
            <v>0</v>
          </cell>
        </row>
        <row r="31">
          <cell r="B31">
            <v>23</v>
          </cell>
          <cell r="C31">
            <v>6</v>
          </cell>
          <cell r="D31">
            <v>4</v>
          </cell>
          <cell r="E31" t="str">
            <v>Chitrakoot</v>
          </cell>
          <cell r="F31" t="str">
            <v>New</v>
          </cell>
          <cell r="G31">
            <v>1</v>
          </cell>
          <cell r="H31">
            <v>0</v>
          </cell>
          <cell r="I31">
            <v>0</v>
          </cell>
          <cell r="J31">
            <v>0</v>
          </cell>
          <cell r="K31">
            <v>647941</v>
          </cell>
          <cell r="L31">
            <v>564633</v>
          </cell>
          <cell r="M31">
            <v>83308</v>
          </cell>
          <cell r="N31">
            <v>800592</v>
          </cell>
          <cell r="O31">
            <v>724096</v>
          </cell>
          <cell r="P31">
            <v>76496</v>
          </cell>
          <cell r="Q31">
            <v>16.78</v>
          </cell>
          <cell r="R31">
            <v>34.33</v>
          </cell>
          <cell r="S31">
            <v>1.5633101826060258E-2</v>
          </cell>
          <cell r="T31">
            <v>2.9952749902958598E-2</v>
          </cell>
          <cell r="U31">
            <v>2.1380538313838349E-2</v>
          </cell>
          <cell r="X31">
            <v>0</v>
          </cell>
          <cell r="Y31">
            <v>0</v>
          </cell>
          <cell r="Z31">
            <v>0</v>
          </cell>
          <cell r="AA31">
            <v>0</v>
          </cell>
          <cell r="AD31">
            <v>445</v>
          </cell>
          <cell r="AE31">
            <v>0</v>
          </cell>
          <cell r="AF31">
            <v>0</v>
          </cell>
          <cell r="AG31">
            <v>0</v>
          </cell>
          <cell r="AI31">
            <v>3206</v>
          </cell>
          <cell r="AK31">
            <v>0</v>
          </cell>
          <cell r="AL31">
            <v>0</v>
          </cell>
          <cell r="AM31">
            <v>0</v>
          </cell>
          <cell r="AN31">
            <v>103761</v>
          </cell>
          <cell r="AO31">
            <v>90567</v>
          </cell>
          <cell r="AP31">
            <v>13194</v>
          </cell>
          <cell r="AR31">
            <v>132914.75294017085</v>
          </cell>
          <cell r="AS31">
            <v>116013.6316104553</v>
          </cell>
          <cell r="AT31">
            <v>16901.121329715537</v>
          </cell>
          <cell r="AV31">
            <v>0.41</v>
          </cell>
          <cell r="AW31">
            <v>0.32700000000000001</v>
          </cell>
          <cell r="AX31">
            <v>0.75900000000000001</v>
          </cell>
          <cell r="AZ31">
            <v>0.30299999999999999</v>
          </cell>
          <cell r="BA31">
            <v>0.33600000000000002</v>
          </cell>
          <cell r="BB31">
            <v>0.16699999999999998</v>
          </cell>
          <cell r="BD31">
            <v>0</v>
          </cell>
          <cell r="BE31">
            <v>0</v>
          </cell>
          <cell r="BF31">
            <v>0</v>
          </cell>
          <cell r="BH31">
            <v>0</v>
          </cell>
          <cell r="BI31">
            <v>0</v>
          </cell>
          <cell r="BJ31">
            <v>0</v>
          </cell>
        </row>
        <row r="32">
          <cell r="B32">
            <v>24</v>
          </cell>
          <cell r="C32">
            <v>6</v>
          </cell>
          <cell r="D32">
            <v>2</v>
          </cell>
          <cell r="E32" t="str">
            <v>Hamirpur</v>
          </cell>
          <cell r="F32" t="str">
            <v>Split</v>
          </cell>
          <cell r="G32">
            <v>2</v>
          </cell>
          <cell r="H32">
            <v>1466491</v>
          </cell>
          <cell r="I32">
            <v>1211846</v>
          </cell>
          <cell r="J32">
            <v>254645</v>
          </cell>
          <cell r="K32">
            <v>872903</v>
          </cell>
          <cell r="L32">
            <v>721331</v>
          </cell>
          <cell r="M32">
            <v>151572</v>
          </cell>
          <cell r="N32">
            <v>1042374</v>
          </cell>
          <cell r="O32">
            <v>868917</v>
          </cell>
          <cell r="P32">
            <v>173457</v>
          </cell>
          <cell r="Q32">
            <v>21.9</v>
          </cell>
          <cell r="R32">
            <v>17.850000000000001</v>
          </cell>
          <cell r="S32">
            <v>2.0000466908915326E-2</v>
          </cell>
          <cell r="T32">
            <v>1.6559863704994404E-2</v>
          </cell>
          <cell r="U32">
            <v>1.7901509520586112E-2</v>
          </cell>
          <cell r="W32">
            <v>1283</v>
          </cell>
          <cell r="X32">
            <v>1286</v>
          </cell>
          <cell r="Y32">
            <v>1287</v>
          </cell>
          <cell r="Z32">
            <v>1287</v>
          </cell>
          <cell r="AA32">
            <v>1287</v>
          </cell>
          <cell r="AC32">
            <v>32612</v>
          </cell>
          <cell r="AD32">
            <v>32972</v>
          </cell>
          <cell r="AE32">
            <v>34027</v>
          </cell>
          <cell r="AF32">
            <v>34255</v>
          </cell>
          <cell r="AG32">
            <v>34464</v>
          </cell>
          <cell r="AI32">
            <v>4316</v>
          </cell>
          <cell r="AK32">
            <v>240803</v>
          </cell>
          <cell r="AL32">
            <v>199378</v>
          </cell>
          <cell r="AM32">
            <v>41425</v>
          </cell>
          <cell r="AN32">
            <v>143334</v>
          </cell>
          <cell r="AO32">
            <v>118677</v>
          </cell>
          <cell r="AP32">
            <v>24657</v>
          </cell>
          <cell r="AR32">
            <v>183606.58819716895</v>
          </cell>
          <cell r="AS32">
            <v>152021.70502096793</v>
          </cell>
          <cell r="AT32">
            <v>31584.883176201005</v>
          </cell>
          <cell r="AV32">
            <v>0.41</v>
          </cell>
          <cell r="AW32">
            <v>0.32700000000000001</v>
          </cell>
          <cell r="AX32">
            <v>0.75900000000000001</v>
          </cell>
          <cell r="AZ32">
            <v>0.30299999999999999</v>
          </cell>
          <cell r="BA32">
            <v>0.33600000000000002</v>
          </cell>
          <cell r="BB32">
            <v>0.16699999999999998</v>
          </cell>
          <cell r="BD32">
            <v>25329</v>
          </cell>
          <cell r="BE32">
            <v>0</v>
          </cell>
          <cell r="BF32">
            <v>25329</v>
          </cell>
          <cell r="BH32">
            <v>0.1312870758711229</v>
          </cell>
          <cell r="BI32">
            <v>0</v>
          </cell>
          <cell r="BJ32">
            <v>0.76318699488630126</v>
          </cell>
        </row>
        <row r="33">
          <cell r="B33">
            <v>25</v>
          </cell>
          <cell r="C33">
            <v>6</v>
          </cell>
          <cell r="D33">
            <v>2</v>
          </cell>
          <cell r="E33" t="str">
            <v>Mahoba</v>
          </cell>
          <cell r="F33" t="str">
            <v>New</v>
          </cell>
          <cell r="G33">
            <v>1</v>
          </cell>
          <cell r="H33">
            <v>0</v>
          </cell>
          <cell r="I33">
            <v>0</v>
          </cell>
          <cell r="J33">
            <v>0</v>
          </cell>
          <cell r="K33">
            <v>593588</v>
          </cell>
          <cell r="L33">
            <v>490515</v>
          </cell>
          <cell r="M33">
            <v>103073</v>
          </cell>
          <cell r="N33">
            <v>708831</v>
          </cell>
          <cell r="O33">
            <v>554044</v>
          </cell>
          <cell r="P33">
            <v>154787</v>
          </cell>
          <cell r="Q33">
            <v>24.2</v>
          </cell>
          <cell r="R33">
            <v>21.8</v>
          </cell>
          <cell r="S33">
            <v>2.1908848379270873E-2</v>
          </cell>
          <cell r="T33">
            <v>1.9916760821878876E-2</v>
          </cell>
          <cell r="U33">
            <v>1.7901510915810714E-2</v>
          </cell>
          <cell r="X33">
            <v>0</v>
          </cell>
          <cell r="Y33">
            <v>0</v>
          </cell>
          <cell r="Z33">
            <v>0</v>
          </cell>
          <cell r="AA33">
            <v>0</v>
          </cell>
          <cell r="AD33">
            <v>0</v>
          </cell>
          <cell r="AE33">
            <v>0</v>
          </cell>
          <cell r="AF33">
            <v>0</v>
          </cell>
          <cell r="AG33">
            <v>0</v>
          </cell>
          <cell r="AI33">
            <v>2850</v>
          </cell>
          <cell r="AK33">
            <v>0</v>
          </cell>
          <cell r="AL33">
            <v>0</v>
          </cell>
          <cell r="AM33">
            <v>0</v>
          </cell>
          <cell r="AN33">
            <v>97469</v>
          </cell>
          <cell r="AO33">
            <v>80701</v>
          </cell>
          <cell r="AP33">
            <v>16768</v>
          </cell>
          <cell r="AR33">
            <v>124854.88819812368</v>
          </cell>
          <cell r="AS33">
            <v>103375.57923521099</v>
          </cell>
          <cell r="AT33">
            <v>21479.308962912699</v>
          </cell>
          <cell r="AV33">
            <v>0.41</v>
          </cell>
          <cell r="AW33">
            <v>0.32700000000000001</v>
          </cell>
          <cell r="AX33">
            <v>0.75900000000000001</v>
          </cell>
          <cell r="AZ33">
            <v>0.30299999999999999</v>
          </cell>
          <cell r="BA33">
            <v>0.33600000000000002</v>
          </cell>
          <cell r="BB33">
            <v>0.16699999999999998</v>
          </cell>
          <cell r="BD33">
            <v>17487</v>
          </cell>
          <cell r="BE33">
            <v>6908</v>
          </cell>
          <cell r="BF33">
            <v>10579</v>
          </cell>
          <cell r="BH33">
            <v>0.13329134551745506</v>
          </cell>
          <cell r="BI33">
            <v>6.359552617656733E-2</v>
          </cell>
          <cell r="BJ33">
            <v>0.46872325848435514</v>
          </cell>
        </row>
        <row r="34">
          <cell r="B34">
            <v>26</v>
          </cell>
          <cell r="C34">
            <v>7</v>
          </cell>
          <cell r="D34">
            <v>3</v>
          </cell>
          <cell r="E34" t="str">
            <v>Bahraich</v>
          </cell>
          <cell r="F34" t="str">
            <v>Split</v>
          </cell>
          <cell r="G34">
            <v>2</v>
          </cell>
          <cell r="H34">
            <v>2763750</v>
          </cell>
          <cell r="I34">
            <v>2546844</v>
          </cell>
          <cell r="J34">
            <v>216906</v>
          </cell>
          <cell r="K34">
            <v>1851140</v>
          </cell>
          <cell r="L34">
            <v>1705858</v>
          </cell>
          <cell r="M34">
            <v>145282</v>
          </cell>
          <cell r="N34">
            <v>2384239</v>
          </cell>
          <cell r="O34">
            <v>2146187</v>
          </cell>
          <cell r="P34">
            <v>238052</v>
          </cell>
          <cell r="Q34">
            <v>25.19</v>
          </cell>
          <cell r="R34">
            <v>29.55</v>
          </cell>
          <cell r="S34">
            <v>2.2720506259497952E-2</v>
          </cell>
          <cell r="T34">
            <v>2.6227720680175537E-2</v>
          </cell>
          <cell r="U34">
            <v>2.5630794973076076E-2</v>
          </cell>
          <cell r="W34">
            <v>519</v>
          </cell>
          <cell r="X34">
            <v>521</v>
          </cell>
          <cell r="Y34">
            <v>536</v>
          </cell>
          <cell r="Z34">
            <v>536</v>
          </cell>
          <cell r="AA34">
            <v>536</v>
          </cell>
          <cell r="AC34">
            <v>1716</v>
          </cell>
          <cell r="AD34">
            <v>1754</v>
          </cell>
          <cell r="AE34">
            <v>1814</v>
          </cell>
          <cell r="AF34">
            <v>1864</v>
          </cell>
          <cell r="AG34">
            <v>1904</v>
          </cell>
          <cell r="AI34">
            <v>5751</v>
          </cell>
          <cell r="AK34">
            <v>449687</v>
          </cell>
          <cell r="AL34">
            <v>419800</v>
          </cell>
          <cell r="AM34">
            <v>29887</v>
          </cell>
          <cell r="AN34">
            <v>301198</v>
          </cell>
          <cell r="AO34">
            <v>281179</v>
          </cell>
          <cell r="AP34">
            <v>20019</v>
          </cell>
          <cell r="AR34">
            <v>385825.67396298778</v>
          </cell>
          <cell r="AS34">
            <v>360181.93075398554</v>
          </cell>
          <cell r="AT34">
            <v>25643.743209002227</v>
          </cell>
          <cell r="AV34">
            <v>0.41</v>
          </cell>
          <cell r="AW34">
            <v>0.32700000000000001</v>
          </cell>
          <cell r="AX34">
            <v>0.75900000000000001</v>
          </cell>
          <cell r="AZ34">
            <v>0.30299999999999999</v>
          </cell>
          <cell r="BA34">
            <v>0.33600000000000002</v>
          </cell>
          <cell r="BB34">
            <v>0.16699999999999998</v>
          </cell>
          <cell r="BD34">
            <v>58635</v>
          </cell>
          <cell r="BE34">
            <v>34208</v>
          </cell>
          <cell r="BF34">
            <v>24427</v>
          </cell>
          <cell r="BH34">
            <v>0.14462987073764758</v>
          </cell>
          <cell r="BI34">
            <v>9.0385331210624725E-2</v>
          </cell>
          <cell r="BJ34">
            <v>0.9065273371280147</v>
          </cell>
        </row>
        <row r="35">
          <cell r="B35">
            <v>27</v>
          </cell>
          <cell r="C35">
            <v>7</v>
          </cell>
          <cell r="D35">
            <v>3</v>
          </cell>
          <cell r="E35" t="str">
            <v>Balrampur</v>
          </cell>
          <cell r="F35" t="str">
            <v>New</v>
          </cell>
          <cell r="G35">
            <v>1</v>
          </cell>
          <cell r="H35">
            <v>0</v>
          </cell>
          <cell r="I35">
            <v>0</v>
          </cell>
          <cell r="J35">
            <v>0</v>
          </cell>
          <cell r="K35">
            <v>1352505</v>
          </cell>
          <cell r="L35">
            <v>1252299</v>
          </cell>
          <cell r="M35">
            <v>100206</v>
          </cell>
          <cell r="N35">
            <v>1684567</v>
          </cell>
          <cell r="O35">
            <v>1549293</v>
          </cell>
          <cell r="P35">
            <v>135274</v>
          </cell>
          <cell r="Q35">
            <v>25.52</v>
          </cell>
          <cell r="R35">
            <v>23.08</v>
          </cell>
          <cell r="S35">
            <v>2.2989775446581096E-2</v>
          </cell>
          <cell r="T35">
            <v>2.0983559238962446E-2</v>
          </cell>
          <cell r="U35">
            <v>2.2197797711060785E-2</v>
          </cell>
          <cell r="X35">
            <v>0</v>
          </cell>
          <cell r="Y35">
            <v>0</v>
          </cell>
          <cell r="Z35">
            <v>0</v>
          </cell>
          <cell r="AA35">
            <v>0</v>
          </cell>
          <cell r="AD35">
            <v>0</v>
          </cell>
          <cell r="AE35">
            <v>0</v>
          </cell>
          <cell r="AF35">
            <v>0</v>
          </cell>
          <cell r="AG35">
            <v>0</v>
          </cell>
          <cell r="AI35">
            <v>2927</v>
          </cell>
          <cell r="AK35">
            <v>0</v>
          </cell>
          <cell r="AL35">
            <v>0</v>
          </cell>
          <cell r="AM35">
            <v>0</v>
          </cell>
          <cell r="AN35">
            <v>211718</v>
          </cell>
          <cell r="AO35">
            <v>197768</v>
          </cell>
          <cell r="AP35">
            <v>13950</v>
          </cell>
          <cell r="AR35">
            <v>271204.45700202475</v>
          </cell>
          <cell r="AS35">
            <v>253334.92217183436</v>
          </cell>
          <cell r="AT35">
            <v>17869.534830190372</v>
          </cell>
          <cell r="AV35">
            <v>0.41</v>
          </cell>
          <cell r="AW35">
            <v>0.32700000000000001</v>
          </cell>
          <cell r="AX35">
            <v>0.75900000000000001</v>
          </cell>
          <cell r="AZ35">
            <v>0.30299999999999999</v>
          </cell>
          <cell r="BA35">
            <v>0.33600000000000002</v>
          </cell>
          <cell r="BB35">
            <v>0.16699999999999998</v>
          </cell>
          <cell r="BD35">
            <v>44779</v>
          </cell>
          <cell r="BE35">
            <v>30823</v>
          </cell>
          <cell r="BF35">
            <v>13956</v>
          </cell>
          <cell r="BH35">
            <v>0.15713385319529033</v>
          </cell>
          <cell r="BI35">
            <v>0.11579026210481498</v>
          </cell>
          <cell r="BJ35">
            <v>0.74325853583193069</v>
          </cell>
        </row>
        <row r="36">
          <cell r="B36">
            <v>28</v>
          </cell>
          <cell r="C36">
            <v>7</v>
          </cell>
          <cell r="D36">
            <v>3</v>
          </cell>
          <cell r="E36" t="str">
            <v>Gonda</v>
          </cell>
          <cell r="F36" t="str">
            <v>Split</v>
          </cell>
          <cell r="G36">
            <v>2</v>
          </cell>
          <cell r="H36">
            <v>3573075</v>
          </cell>
          <cell r="I36">
            <v>3308349</v>
          </cell>
          <cell r="J36">
            <v>264726</v>
          </cell>
          <cell r="K36">
            <v>2220570</v>
          </cell>
          <cell r="L36">
            <v>2056050</v>
          </cell>
          <cell r="M36">
            <v>164520</v>
          </cell>
          <cell r="N36">
            <v>2765754</v>
          </cell>
          <cell r="O36">
            <v>2569595</v>
          </cell>
          <cell r="P36">
            <v>196159</v>
          </cell>
          <cell r="Q36">
            <v>26.62</v>
          </cell>
          <cell r="R36">
            <v>25.46</v>
          </cell>
          <cell r="S36">
            <v>2.388276106248699E-2</v>
          </cell>
          <cell r="T36">
            <v>2.294086483986657E-2</v>
          </cell>
          <cell r="U36">
            <v>2.2197720393213993E-2</v>
          </cell>
          <cell r="W36">
            <v>1070</v>
          </cell>
          <cell r="X36">
            <v>1075</v>
          </cell>
          <cell r="Y36">
            <v>1085</v>
          </cell>
          <cell r="Z36">
            <v>1085</v>
          </cell>
          <cell r="AA36">
            <v>1085</v>
          </cell>
          <cell r="AC36">
            <v>9011</v>
          </cell>
          <cell r="AD36">
            <v>9066</v>
          </cell>
          <cell r="AE36">
            <v>9220</v>
          </cell>
          <cell r="AF36">
            <v>9256</v>
          </cell>
          <cell r="AG36">
            <v>9274</v>
          </cell>
          <cell r="AI36">
            <v>4425</v>
          </cell>
          <cell r="AK36">
            <v>559321</v>
          </cell>
          <cell r="AL36">
            <v>522468</v>
          </cell>
          <cell r="AM36">
            <v>36853</v>
          </cell>
          <cell r="AN36">
            <v>347603</v>
          </cell>
          <cell r="AO36">
            <v>324700</v>
          </cell>
          <cell r="AP36">
            <v>22903</v>
          </cell>
          <cell r="AR36">
            <v>445269.09789094364</v>
          </cell>
          <cell r="AS36">
            <v>415931.03651346336</v>
          </cell>
          <cell r="AT36">
            <v>29338.061377480291</v>
          </cell>
          <cell r="AV36">
            <v>0.41</v>
          </cell>
          <cell r="AW36">
            <v>0.32700000000000001</v>
          </cell>
          <cell r="AX36">
            <v>0.75900000000000001</v>
          </cell>
          <cell r="AZ36">
            <v>0.30299999999999999</v>
          </cell>
          <cell r="BA36">
            <v>0.33600000000000002</v>
          </cell>
          <cell r="BB36">
            <v>0.16699999999999998</v>
          </cell>
          <cell r="BD36">
            <v>68596</v>
          </cell>
          <cell r="BE36">
            <v>43608</v>
          </cell>
          <cell r="BF36">
            <v>24988</v>
          </cell>
          <cell r="BH36">
            <v>0.14661163196962276</v>
          </cell>
          <cell r="BI36">
            <v>9.9778514231470355E-2</v>
          </cell>
          <cell r="BJ36">
            <v>0.81057326710816757</v>
          </cell>
        </row>
        <row r="37">
          <cell r="B37">
            <v>29</v>
          </cell>
          <cell r="C37">
            <v>7</v>
          </cell>
          <cell r="D37">
            <v>3</v>
          </cell>
          <cell r="E37" t="str">
            <v>Shrawasti</v>
          </cell>
          <cell r="F37" t="str">
            <v>New</v>
          </cell>
          <cell r="G37">
            <v>1</v>
          </cell>
          <cell r="H37">
            <v>0</v>
          </cell>
          <cell r="I37">
            <v>0</v>
          </cell>
          <cell r="J37">
            <v>0</v>
          </cell>
          <cell r="K37">
            <v>912610</v>
          </cell>
          <cell r="L37">
            <v>840986</v>
          </cell>
          <cell r="M37">
            <v>71624</v>
          </cell>
          <cell r="N37">
            <v>1175428</v>
          </cell>
          <cell r="O37">
            <v>1142081</v>
          </cell>
          <cell r="P37">
            <v>33347</v>
          </cell>
          <cell r="Q37">
            <v>23.75</v>
          </cell>
          <cell r="R37">
            <v>27.3</v>
          </cell>
          <cell r="S37">
            <v>2.1537986481630966E-2</v>
          </cell>
          <cell r="T37">
            <v>2.4431302673932009E-2</v>
          </cell>
          <cell r="U37">
            <v>2.5630862572723956E-2</v>
          </cell>
          <cell r="X37">
            <v>0</v>
          </cell>
          <cell r="Y37">
            <v>0</v>
          </cell>
          <cell r="Z37">
            <v>0</v>
          </cell>
          <cell r="AA37">
            <v>0</v>
          </cell>
          <cell r="AD37">
            <v>0</v>
          </cell>
          <cell r="AE37">
            <v>0</v>
          </cell>
          <cell r="AF37">
            <v>0</v>
          </cell>
          <cell r="AG37">
            <v>0</v>
          </cell>
          <cell r="AI37">
            <v>1126</v>
          </cell>
          <cell r="AK37">
            <v>0</v>
          </cell>
          <cell r="AL37">
            <v>0</v>
          </cell>
          <cell r="AM37">
            <v>0</v>
          </cell>
          <cell r="AN37">
            <v>148489</v>
          </cell>
          <cell r="AO37">
            <v>138621</v>
          </cell>
          <cell r="AP37">
            <v>9868</v>
          </cell>
          <cell r="AR37">
            <v>190209.98977778768</v>
          </cell>
          <cell r="AS37">
            <v>177569.37546206592</v>
          </cell>
          <cell r="AT37">
            <v>12640.614315721763</v>
          </cell>
          <cell r="AV37">
            <v>0.41</v>
          </cell>
          <cell r="AW37">
            <v>0.32700000000000001</v>
          </cell>
          <cell r="AX37">
            <v>0.75900000000000001</v>
          </cell>
          <cell r="AZ37">
            <v>0.30299999999999999</v>
          </cell>
          <cell r="BA37">
            <v>0.33600000000000002</v>
          </cell>
          <cell r="BB37">
            <v>0.16699999999999998</v>
          </cell>
          <cell r="BD37">
            <v>0</v>
          </cell>
          <cell r="BE37">
            <v>0</v>
          </cell>
          <cell r="BF37">
            <v>0</v>
          </cell>
          <cell r="BH37">
            <v>0</v>
          </cell>
          <cell r="BI37">
            <v>0</v>
          </cell>
          <cell r="BJ37">
            <v>0</v>
          </cell>
        </row>
        <row r="38">
          <cell r="B38">
            <v>30</v>
          </cell>
          <cell r="C38">
            <v>8</v>
          </cell>
          <cell r="D38">
            <v>3</v>
          </cell>
          <cell r="E38" t="str">
            <v>Ambedaker Nagar</v>
          </cell>
          <cell r="F38" t="str">
            <v>New</v>
          </cell>
          <cell r="G38">
            <v>1</v>
          </cell>
          <cell r="H38">
            <v>0</v>
          </cell>
          <cell r="I38">
            <v>0</v>
          </cell>
          <cell r="J38">
            <v>0</v>
          </cell>
          <cell r="K38">
            <v>1466598</v>
          </cell>
          <cell r="L38">
            <v>1295626</v>
          </cell>
          <cell r="M38">
            <v>170972</v>
          </cell>
          <cell r="N38">
            <v>2025373</v>
          </cell>
          <cell r="O38">
            <v>1844711</v>
          </cell>
          <cell r="P38">
            <v>180662</v>
          </cell>
          <cell r="Q38">
            <v>25.45</v>
          </cell>
          <cell r="R38">
            <v>24.31</v>
          </cell>
          <cell r="S38">
            <v>2.2932711025443364E-2</v>
          </cell>
          <cell r="T38">
            <v>2.1999319552667984E-2</v>
          </cell>
          <cell r="U38">
            <v>3.2807523215863332E-2</v>
          </cell>
          <cell r="W38">
            <v>790</v>
          </cell>
          <cell r="X38">
            <v>790</v>
          </cell>
          <cell r="Y38">
            <v>802</v>
          </cell>
          <cell r="Z38">
            <v>802</v>
          </cell>
          <cell r="AA38">
            <v>802</v>
          </cell>
          <cell r="AC38">
            <v>11818</v>
          </cell>
          <cell r="AD38">
            <v>11922</v>
          </cell>
          <cell r="AE38">
            <v>12042</v>
          </cell>
          <cell r="AF38">
            <v>12162</v>
          </cell>
          <cell r="AG38">
            <v>12262</v>
          </cell>
          <cell r="AI38">
            <v>2372</v>
          </cell>
          <cell r="AK38">
            <v>0</v>
          </cell>
          <cell r="AL38">
            <v>0</v>
          </cell>
          <cell r="AM38">
            <v>0</v>
          </cell>
          <cell r="AN38">
            <v>232211</v>
          </cell>
          <cell r="AO38">
            <v>207417</v>
          </cell>
          <cell r="AP38">
            <v>24794</v>
          </cell>
          <cell r="AR38">
            <v>297455.38010418182</v>
          </cell>
          <cell r="AS38">
            <v>265695.00400527572</v>
          </cell>
          <cell r="AT38">
            <v>31760.376098906097</v>
          </cell>
          <cell r="AV38">
            <v>0.41</v>
          </cell>
          <cell r="AW38">
            <v>0.32700000000000001</v>
          </cell>
          <cell r="AX38">
            <v>0.75900000000000001</v>
          </cell>
          <cell r="AZ38">
            <v>0.30299999999999999</v>
          </cell>
          <cell r="BA38">
            <v>0.33600000000000002</v>
          </cell>
          <cell r="BB38">
            <v>0.16699999999999998</v>
          </cell>
          <cell r="BD38">
            <v>63878</v>
          </cell>
          <cell r="BE38">
            <v>48643</v>
          </cell>
          <cell r="BF38">
            <v>15235</v>
          </cell>
          <cell r="BH38">
            <v>0.20437213113260985</v>
          </cell>
          <cell r="BI38">
            <v>0.17423249490920034</v>
          </cell>
          <cell r="BJ38">
            <v>0.45650865313595473</v>
          </cell>
        </row>
        <row r="39">
          <cell r="B39">
            <v>31</v>
          </cell>
          <cell r="C39">
            <v>8</v>
          </cell>
          <cell r="D39">
            <v>3</v>
          </cell>
          <cell r="E39" t="str">
            <v>Barabanki</v>
          </cell>
          <cell r="H39">
            <v>2423136</v>
          </cell>
          <cell r="I39">
            <v>2198258</v>
          </cell>
          <cell r="J39">
            <v>224878</v>
          </cell>
          <cell r="K39">
            <v>2423136</v>
          </cell>
          <cell r="L39">
            <v>2198258</v>
          </cell>
          <cell r="M39">
            <v>224878</v>
          </cell>
          <cell r="N39">
            <v>2673394</v>
          </cell>
          <cell r="O39">
            <v>2425535</v>
          </cell>
          <cell r="P39">
            <v>247859</v>
          </cell>
          <cell r="Q39">
            <v>26.59</v>
          </cell>
          <cell r="R39">
            <v>26.4</v>
          </cell>
          <cell r="S39">
            <v>2.3858499683352186E-2</v>
          </cell>
          <cell r="T39">
            <v>2.3704724006482714E-2</v>
          </cell>
          <cell r="U39">
            <v>9.8770852947653864E-3</v>
          </cell>
          <cell r="X39">
            <v>0</v>
          </cell>
          <cell r="Y39">
            <v>0</v>
          </cell>
          <cell r="Z39">
            <v>0</v>
          </cell>
          <cell r="AA39">
            <v>0</v>
          </cell>
          <cell r="AD39">
            <v>14</v>
          </cell>
          <cell r="AE39">
            <v>0</v>
          </cell>
          <cell r="AF39">
            <v>0</v>
          </cell>
          <cell r="AG39">
            <v>0</v>
          </cell>
          <cell r="AI39">
            <v>3825</v>
          </cell>
          <cell r="AK39">
            <v>431765</v>
          </cell>
          <cell r="AL39">
            <v>398505</v>
          </cell>
          <cell r="AM39">
            <v>33260</v>
          </cell>
          <cell r="AN39">
            <v>431765</v>
          </cell>
          <cell r="AO39">
            <v>398505</v>
          </cell>
          <cell r="AP39">
            <v>33260</v>
          </cell>
          <cell r="AR39">
            <v>553078.11512237601</v>
          </cell>
          <cell r="AS39">
            <v>510473.04498243827</v>
          </cell>
          <cell r="AT39">
            <v>42605.070139937758</v>
          </cell>
          <cell r="AV39">
            <v>0.41</v>
          </cell>
          <cell r="AW39">
            <v>0.32700000000000001</v>
          </cell>
          <cell r="AX39">
            <v>0.75900000000000001</v>
          </cell>
          <cell r="AZ39">
            <v>0.30299999999999999</v>
          </cell>
          <cell r="BA39">
            <v>0.33600000000000002</v>
          </cell>
          <cell r="BB39">
            <v>0.16699999999999998</v>
          </cell>
          <cell r="BD39">
            <v>81614</v>
          </cell>
          <cell r="BE39">
            <v>58102</v>
          </cell>
          <cell r="BF39">
            <v>23512</v>
          </cell>
          <cell r="BH39">
            <v>0.14043339063547985</v>
          </cell>
          <cell r="BI39">
            <v>0.10832045099460826</v>
          </cell>
          <cell r="BJ39">
            <v>0.52519487625140104</v>
          </cell>
        </row>
        <row r="40">
          <cell r="B40">
            <v>32</v>
          </cell>
          <cell r="C40">
            <v>8</v>
          </cell>
          <cell r="D40">
            <v>3</v>
          </cell>
          <cell r="E40" t="str">
            <v>Faizabad</v>
          </cell>
          <cell r="F40" t="str">
            <v>Split</v>
          </cell>
          <cell r="G40">
            <v>2</v>
          </cell>
          <cell r="H40">
            <v>2978484</v>
          </cell>
          <cell r="I40">
            <v>2631261</v>
          </cell>
          <cell r="J40">
            <v>347223</v>
          </cell>
          <cell r="K40">
            <v>1511886</v>
          </cell>
          <cell r="L40">
            <v>1335635</v>
          </cell>
          <cell r="M40">
            <v>176251</v>
          </cell>
          <cell r="N40">
            <v>2087914</v>
          </cell>
          <cell r="O40">
            <v>1806600</v>
          </cell>
          <cell r="P40">
            <v>281314</v>
          </cell>
          <cell r="Q40">
            <v>23.77</v>
          </cell>
          <cell r="R40">
            <v>23.87</v>
          </cell>
          <cell r="S40">
            <v>2.1554494985880135E-2</v>
          </cell>
          <cell r="T40">
            <v>2.1637001511741971E-2</v>
          </cell>
          <cell r="U40">
            <v>3.2807435963712051E-2</v>
          </cell>
          <cell r="W40">
            <v>0</v>
          </cell>
          <cell r="X40">
            <v>0</v>
          </cell>
          <cell r="Y40">
            <v>0</v>
          </cell>
          <cell r="Z40">
            <v>0</v>
          </cell>
          <cell r="AA40">
            <v>0</v>
          </cell>
          <cell r="AC40">
            <v>0</v>
          </cell>
          <cell r="AD40">
            <v>4</v>
          </cell>
          <cell r="AE40">
            <v>0</v>
          </cell>
          <cell r="AF40">
            <v>0</v>
          </cell>
          <cell r="AG40">
            <v>0</v>
          </cell>
          <cell r="AI40">
            <v>2764</v>
          </cell>
          <cell r="AK40">
            <v>471593</v>
          </cell>
          <cell r="AL40">
            <v>421239</v>
          </cell>
          <cell r="AM40">
            <v>50354</v>
          </cell>
          <cell r="AN40">
            <v>239382</v>
          </cell>
          <cell r="AO40">
            <v>213822</v>
          </cell>
          <cell r="AP40">
            <v>25560</v>
          </cell>
          <cell r="AR40">
            <v>306641.21768606675</v>
          </cell>
          <cell r="AS40">
            <v>273899.61838429864</v>
          </cell>
          <cell r="AT40">
            <v>32741.599301768165</v>
          </cell>
          <cell r="AV40">
            <v>0.41</v>
          </cell>
          <cell r="AW40">
            <v>0.32700000000000001</v>
          </cell>
          <cell r="AX40">
            <v>0.75900000000000001</v>
          </cell>
          <cell r="AZ40">
            <v>0.30299999999999999</v>
          </cell>
          <cell r="BA40">
            <v>0.33600000000000002</v>
          </cell>
          <cell r="BB40">
            <v>0.16699999999999998</v>
          </cell>
          <cell r="BD40">
            <v>109635</v>
          </cell>
          <cell r="BE40">
            <v>72594</v>
          </cell>
          <cell r="BF40">
            <v>37041</v>
          </cell>
          <cell r="BH40">
            <v>0.34025998783361489</v>
          </cell>
          <cell r="BI40">
            <v>0.25223275995112732</v>
          </cell>
          <cell r="BJ40">
            <v>1.0766511427745082</v>
          </cell>
        </row>
        <row r="41">
          <cell r="B41">
            <v>33</v>
          </cell>
          <cell r="C41">
            <v>8</v>
          </cell>
          <cell r="D41">
            <v>3</v>
          </cell>
          <cell r="E41" t="str">
            <v>Sultanpur</v>
          </cell>
          <cell r="H41">
            <v>2558970</v>
          </cell>
          <cell r="I41">
            <v>2444802</v>
          </cell>
          <cell r="J41">
            <v>114168</v>
          </cell>
          <cell r="K41">
            <v>2558970</v>
          </cell>
          <cell r="L41">
            <v>2444802</v>
          </cell>
          <cell r="M41">
            <v>114168</v>
          </cell>
          <cell r="N41">
            <v>3190926</v>
          </cell>
          <cell r="O41">
            <v>3038675</v>
          </cell>
          <cell r="P41">
            <v>152251</v>
          </cell>
          <cell r="Q41">
            <v>25.32</v>
          </cell>
          <cell r="R41">
            <v>24.2</v>
          </cell>
          <cell r="S41">
            <v>2.2826658171600567E-2</v>
          </cell>
          <cell r="T41">
            <v>2.1908848379270873E-2</v>
          </cell>
          <cell r="U41">
            <v>2.2315990452679513E-2</v>
          </cell>
          <cell r="W41">
            <v>471</v>
          </cell>
          <cell r="X41">
            <v>477</v>
          </cell>
          <cell r="Y41">
            <v>481</v>
          </cell>
          <cell r="Z41">
            <v>481</v>
          </cell>
          <cell r="AA41">
            <v>481</v>
          </cell>
          <cell r="AC41">
            <v>8870</v>
          </cell>
          <cell r="AD41">
            <v>9192</v>
          </cell>
          <cell r="AE41">
            <v>9532</v>
          </cell>
          <cell r="AF41">
            <v>9645</v>
          </cell>
          <cell r="AG41">
            <v>9773</v>
          </cell>
          <cell r="AI41">
            <v>4436</v>
          </cell>
          <cell r="AK41">
            <v>415049</v>
          </cell>
          <cell r="AL41">
            <v>398823</v>
          </cell>
          <cell r="AM41">
            <v>16226</v>
          </cell>
          <cell r="AN41">
            <v>415049</v>
          </cell>
          <cell r="AO41">
            <v>398823</v>
          </cell>
          <cell r="AP41">
            <v>16226</v>
          </cell>
          <cell r="AR41">
            <v>531665.41661187692</v>
          </cell>
          <cell r="AS41">
            <v>510880.3935183523</v>
          </cell>
          <cell r="AT41">
            <v>20785.023093524658</v>
          </cell>
          <cell r="AV41">
            <v>0.41</v>
          </cell>
          <cell r="AW41">
            <v>0.32700000000000001</v>
          </cell>
          <cell r="AX41">
            <v>0.75900000000000001</v>
          </cell>
          <cell r="AZ41">
            <v>0.30299999999999999</v>
          </cell>
          <cell r="BA41">
            <v>0.33600000000000002</v>
          </cell>
          <cell r="BB41">
            <v>0.16699999999999998</v>
          </cell>
          <cell r="BD41">
            <v>117382</v>
          </cell>
          <cell r="BE41">
            <v>102139</v>
          </cell>
          <cell r="BF41">
            <v>15243</v>
          </cell>
          <cell r="BH41">
            <v>0.21011414261930533</v>
          </cell>
          <cell r="BI41">
            <v>0.19026747635469807</v>
          </cell>
          <cell r="BJ41">
            <v>0.69793042387466397</v>
          </cell>
        </row>
        <row r="42">
          <cell r="B42">
            <v>34</v>
          </cell>
          <cell r="C42">
            <v>9</v>
          </cell>
          <cell r="D42">
            <v>4</v>
          </cell>
          <cell r="E42" t="str">
            <v>Deoria</v>
          </cell>
          <cell r="F42" t="str">
            <v>Split</v>
          </cell>
          <cell r="G42">
            <v>2</v>
          </cell>
          <cell r="H42">
            <v>4440024</v>
          </cell>
          <cell r="I42">
            <v>4113897</v>
          </cell>
          <cell r="J42">
            <v>326127</v>
          </cell>
          <cell r="K42">
            <v>2156220</v>
          </cell>
          <cell r="L42">
            <v>1997843</v>
          </cell>
          <cell r="M42">
            <v>158377</v>
          </cell>
          <cell r="N42">
            <v>2730376</v>
          </cell>
          <cell r="O42">
            <v>2460256</v>
          </cell>
          <cell r="P42">
            <v>270120</v>
          </cell>
          <cell r="Q42">
            <v>24.95</v>
          </cell>
          <cell r="R42">
            <v>25.03</v>
          </cell>
          <cell r="S42">
            <v>2.2524272591935457E-2</v>
          </cell>
          <cell r="T42">
            <v>2.2589721477868308E-2</v>
          </cell>
          <cell r="U42">
            <v>2.3889145080040253E-2</v>
          </cell>
          <cell r="W42">
            <v>1275</v>
          </cell>
          <cell r="X42">
            <v>1285</v>
          </cell>
          <cell r="Y42">
            <v>1291</v>
          </cell>
          <cell r="Z42">
            <v>1291</v>
          </cell>
          <cell r="AA42">
            <v>1291</v>
          </cell>
          <cell r="AC42">
            <v>8247</v>
          </cell>
          <cell r="AD42">
            <v>8341</v>
          </cell>
          <cell r="AE42">
            <v>8415</v>
          </cell>
          <cell r="AF42">
            <v>8452</v>
          </cell>
          <cell r="AG42">
            <v>8483</v>
          </cell>
          <cell r="AI42">
            <v>2535</v>
          </cell>
          <cell r="AK42">
            <v>648411</v>
          </cell>
          <cell r="AL42">
            <v>604506</v>
          </cell>
          <cell r="AM42">
            <v>43905</v>
          </cell>
          <cell r="AN42">
            <v>314890</v>
          </cell>
          <cell r="AO42">
            <v>293568</v>
          </cell>
          <cell r="AP42">
            <v>21322</v>
          </cell>
          <cell r="AR42">
            <v>403364.71847158752</v>
          </cell>
          <cell r="AS42">
            <v>376051.87104152882</v>
          </cell>
          <cell r="AT42">
            <v>27312.847430058719</v>
          </cell>
          <cell r="AV42">
            <v>0.41</v>
          </cell>
          <cell r="AW42">
            <v>0.32700000000000001</v>
          </cell>
          <cell r="AX42">
            <v>0.75900000000000001</v>
          </cell>
          <cell r="AZ42">
            <v>0.30299999999999999</v>
          </cell>
          <cell r="BA42">
            <v>0.33600000000000002</v>
          </cell>
          <cell r="BB42">
            <v>0.16699999999999998</v>
          </cell>
          <cell r="BD42">
            <v>97642</v>
          </cell>
          <cell r="BE42">
            <v>75812</v>
          </cell>
          <cell r="BF42">
            <v>21830</v>
          </cell>
          <cell r="BH42">
            <v>0.23037266688170177</v>
          </cell>
          <cell r="BI42">
            <v>0.19185909525255887</v>
          </cell>
          <cell r="BJ42">
            <v>0.76063963039470384</v>
          </cell>
        </row>
        <row r="43">
          <cell r="B43">
            <v>35</v>
          </cell>
          <cell r="C43">
            <v>9</v>
          </cell>
          <cell r="D43">
            <v>4</v>
          </cell>
          <cell r="E43" t="str">
            <v>Gorakhpur</v>
          </cell>
          <cell r="H43">
            <v>3066002</v>
          </cell>
          <cell r="I43">
            <v>2490726</v>
          </cell>
          <cell r="J43">
            <v>575276</v>
          </cell>
          <cell r="K43">
            <v>3066002</v>
          </cell>
          <cell r="L43">
            <v>2490726</v>
          </cell>
          <cell r="M43">
            <v>575276</v>
          </cell>
          <cell r="N43">
            <v>3784720</v>
          </cell>
          <cell r="O43">
            <v>3044155</v>
          </cell>
          <cell r="P43">
            <v>740565</v>
          </cell>
          <cell r="Q43">
            <v>24.6</v>
          </cell>
          <cell r="R43">
            <v>23.44</v>
          </cell>
          <cell r="S43">
            <v>2.2237489549933986E-2</v>
          </cell>
          <cell r="T43">
            <v>2.1281797128665625E-2</v>
          </cell>
          <cell r="U43">
            <v>2.1283068941806871E-2</v>
          </cell>
          <cell r="W43">
            <v>721</v>
          </cell>
          <cell r="X43">
            <v>721</v>
          </cell>
          <cell r="Y43">
            <v>722</v>
          </cell>
          <cell r="Z43">
            <v>722</v>
          </cell>
          <cell r="AA43">
            <v>722</v>
          </cell>
          <cell r="AC43">
            <v>13607</v>
          </cell>
          <cell r="AD43">
            <v>13687</v>
          </cell>
          <cell r="AE43">
            <v>13848</v>
          </cell>
          <cell r="AF43">
            <v>13910</v>
          </cell>
          <cell r="AG43">
            <v>13970</v>
          </cell>
          <cell r="AI43">
            <v>3321</v>
          </cell>
          <cell r="AK43">
            <v>422713</v>
          </cell>
          <cell r="AL43">
            <v>340677</v>
          </cell>
          <cell r="AM43">
            <v>82036</v>
          </cell>
          <cell r="AN43">
            <v>422713</v>
          </cell>
          <cell r="AO43">
            <v>340677</v>
          </cell>
          <cell r="AP43">
            <v>82036</v>
          </cell>
          <cell r="AR43">
            <v>541482.77252145251</v>
          </cell>
          <cell r="AS43">
            <v>436397.09801754588</v>
          </cell>
          <cell r="AT43">
            <v>105085.67450390662</v>
          </cell>
          <cell r="AV43">
            <v>0.41</v>
          </cell>
          <cell r="AW43">
            <v>0.32700000000000001</v>
          </cell>
          <cell r="AX43">
            <v>0.75900000000000001</v>
          </cell>
          <cell r="AZ43">
            <v>0.30299999999999999</v>
          </cell>
          <cell r="BA43">
            <v>0.33600000000000002</v>
          </cell>
          <cell r="BB43">
            <v>0.16699999999999998</v>
          </cell>
          <cell r="BD43">
            <v>200402</v>
          </cell>
          <cell r="BE43">
            <v>97829</v>
          </cell>
          <cell r="BF43">
            <v>102573</v>
          </cell>
          <cell r="BH43">
            <v>0.3522164208593826</v>
          </cell>
          <cell r="BI43">
            <v>0.21334278118545313</v>
          </cell>
          <cell r="BJ43">
            <v>0.92892731538368034</v>
          </cell>
        </row>
        <row r="44">
          <cell r="B44">
            <v>36</v>
          </cell>
          <cell r="C44">
            <v>9</v>
          </cell>
          <cell r="D44">
            <v>4</v>
          </cell>
          <cell r="E44" t="str">
            <v>Kushinagar</v>
          </cell>
          <cell r="F44" t="str">
            <v>New</v>
          </cell>
          <cell r="G44">
            <v>1</v>
          </cell>
          <cell r="H44">
            <v>0</v>
          </cell>
          <cell r="I44">
            <v>0</v>
          </cell>
          <cell r="J44">
            <v>0</v>
          </cell>
          <cell r="K44">
            <v>2283804</v>
          </cell>
          <cell r="L44">
            <v>2116054</v>
          </cell>
          <cell r="M44">
            <v>167750</v>
          </cell>
          <cell r="N44">
            <v>2891933</v>
          </cell>
          <cell r="O44">
            <v>2759414</v>
          </cell>
          <cell r="P44">
            <v>132519</v>
          </cell>
          <cell r="Q44">
            <v>29.01</v>
          </cell>
          <cell r="R44">
            <v>28.17</v>
          </cell>
          <cell r="S44">
            <v>2.5799156281759439E-2</v>
          </cell>
          <cell r="T44">
            <v>2.5129280726861936E-2</v>
          </cell>
          <cell r="U44">
            <v>2.3889147427369695E-2</v>
          </cell>
          <cell r="W44">
            <v>0</v>
          </cell>
          <cell r="X44">
            <v>0</v>
          </cell>
          <cell r="Y44">
            <v>0</v>
          </cell>
          <cell r="Z44">
            <v>0</v>
          </cell>
          <cell r="AA44">
            <v>0</v>
          </cell>
          <cell r="AC44">
            <v>10</v>
          </cell>
          <cell r="AD44">
            <v>10</v>
          </cell>
          <cell r="AE44">
            <v>10</v>
          </cell>
          <cell r="AF44">
            <v>10</v>
          </cell>
          <cell r="AG44">
            <v>10</v>
          </cell>
          <cell r="AI44">
            <v>2910</v>
          </cell>
          <cell r="AK44">
            <v>0</v>
          </cell>
          <cell r="AL44">
            <v>0</v>
          </cell>
          <cell r="AM44">
            <v>0</v>
          </cell>
          <cell r="AN44">
            <v>333521</v>
          </cell>
          <cell r="AO44">
            <v>310938</v>
          </cell>
          <cell r="AP44">
            <v>22583</v>
          </cell>
          <cell r="AR44">
            <v>427230.4749892418</v>
          </cell>
          <cell r="AS44">
            <v>398302.32408815296</v>
          </cell>
          <cell r="AT44">
            <v>28928.150901088829</v>
          </cell>
          <cell r="AV44">
            <v>0.41</v>
          </cell>
          <cell r="AW44">
            <v>0.32700000000000001</v>
          </cell>
          <cell r="AX44">
            <v>0.75900000000000001</v>
          </cell>
          <cell r="AZ44">
            <v>0.30299999999999999</v>
          </cell>
          <cell r="BA44">
            <v>0.33600000000000002</v>
          </cell>
          <cell r="BB44">
            <v>0.16699999999999998</v>
          </cell>
          <cell r="BD44">
            <v>83965</v>
          </cell>
          <cell r="BE44">
            <v>67033</v>
          </cell>
          <cell r="BF44">
            <v>16932</v>
          </cell>
          <cell r="BH44">
            <v>0.18703731542643998</v>
          </cell>
          <cell r="BI44">
            <v>0.16016514373527976</v>
          </cell>
          <cell r="BJ44">
            <v>0.55703152883059248</v>
          </cell>
        </row>
        <row r="45">
          <cell r="B45">
            <v>37</v>
          </cell>
          <cell r="C45">
            <v>9</v>
          </cell>
          <cell r="D45">
            <v>4</v>
          </cell>
          <cell r="E45" t="str">
            <v>Maharajganj</v>
          </cell>
          <cell r="H45">
            <v>1676378</v>
          </cell>
          <cell r="I45">
            <v>1593461</v>
          </cell>
          <cell r="J45">
            <v>82917</v>
          </cell>
          <cell r="K45">
            <v>1676378</v>
          </cell>
          <cell r="L45">
            <v>1593461</v>
          </cell>
          <cell r="M45">
            <v>82917</v>
          </cell>
          <cell r="N45">
            <v>2167041</v>
          </cell>
          <cell r="O45">
            <v>2056632</v>
          </cell>
          <cell r="P45">
            <v>110409</v>
          </cell>
          <cell r="Q45">
            <v>25.56</v>
          </cell>
          <cell r="R45">
            <v>29.27</v>
          </cell>
          <cell r="S45">
            <v>2.3022370829143046E-2</v>
          </cell>
          <cell r="T45">
            <v>2.6005703223787036E-2</v>
          </cell>
          <cell r="U45">
            <v>2.6005095275626555E-2</v>
          </cell>
          <cell r="W45">
            <v>1</v>
          </cell>
          <cell r="X45">
            <v>1</v>
          </cell>
          <cell r="Y45">
            <v>1</v>
          </cell>
          <cell r="Z45">
            <v>1</v>
          </cell>
          <cell r="AA45">
            <v>1</v>
          </cell>
          <cell r="AC45">
            <v>740</v>
          </cell>
          <cell r="AD45">
            <v>774</v>
          </cell>
          <cell r="AE45">
            <v>830</v>
          </cell>
          <cell r="AF45">
            <v>870</v>
          </cell>
          <cell r="AG45">
            <v>887</v>
          </cell>
          <cell r="AI45">
            <v>2951</v>
          </cell>
          <cell r="AK45">
            <v>257021</v>
          </cell>
          <cell r="AL45">
            <v>244644</v>
          </cell>
          <cell r="AM45">
            <v>12377</v>
          </cell>
          <cell r="AN45">
            <v>257021</v>
          </cell>
          <cell r="AO45">
            <v>244644</v>
          </cell>
          <cell r="AP45">
            <v>12377</v>
          </cell>
          <cell r="AR45">
            <v>329236.2517269075</v>
          </cell>
          <cell r="AS45">
            <v>313381.68308222893</v>
          </cell>
          <cell r="AT45">
            <v>15854.568644678582</v>
          </cell>
          <cell r="AV45">
            <v>0.41</v>
          </cell>
          <cell r="AW45">
            <v>0.32700000000000001</v>
          </cell>
          <cell r="AX45">
            <v>0.75900000000000001</v>
          </cell>
          <cell r="AZ45">
            <v>0.30299999999999999</v>
          </cell>
          <cell r="BA45">
            <v>0.33600000000000002</v>
          </cell>
          <cell r="BB45">
            <v>0.16699999999999998</v>
          </cell>
          <cell r="BD45">
            <v>56555</v>
          </cell>
          <cell r="BE45">
            <v>50657</v>
          </cell>
          <cell r="BF45">
            <v>5898</v>
          </cell>
          <cell r="BH45">
            <v>0.16347658246876662</v>
          </cell>
          <cell r="BI45">
            <v>0.15383602510926436</v>
          </cell>
          <cell r="BJ45">
            <v>0.35403200903886128</v>
          </cell>
        </row>
        <row r="46">
          <cell r="B46">
            <v>38</v>
          </cell>
          <cell r="C46">
            <v>10</v>
          </cell>
          <cell r="D46">
            <v>2</v>
          </cell>
          <cell r="E46" t="str">
            <v>Jalaun</v>
          </cell>
          <cell r="H46">
            <v>1219377</v>
          </cell>
          <cell r="I46">
            <v>950180</v>
          </cell>
          <cell r="J46">
            <v>269197</v>
          </cell>
          <cell r="K46">
            <v>1219377</v>
          </cell>
          <cell r="L46">
            <v>950180</v>
          </cell>
          <cell r="M46">
            <v>269197</v>
          </cell>
          <cell r="N46">
            <v>1455859</v>
          </cell>
          <cell r="O46">
            <v>1115381</v>
          </cell>
          <cell r="P46">
            <v>340478</v>
          </cell>
          <cell r="Q46">
            <v>23.64</v>
          </cell>
          <cell r="R46">
            <v>19.39</v>
          </cell>
          <cell r="S46">
            <v>2.144714676324333E-2</v>
          </cell>
          <cell r="T46">
            <v>1.7880501763361423E-2</v>
          </cell>
          <cell r="U46">
            <v>1.7883634038733165E-2</v>
          </cell>
          <cell r="W46">
            <v>559</v>
          </cell>
          <cell r="X46">
            <v>560</v>
          </cell>
          <cell r="Y46">
            <v>561</v>
          </cell>
          <cell r="Z46">
            <v>561</v>
          </cell>
          <cell r="AA46">
            <v>561</v>
          </cell>
          <cell r="AC46">
            <v>4543</v>
          </cell>
          <cell r="AD46">
            <v>4603</v>
          </cell>
          <cell r="AE46">
            <v>4703</v>
          </cell>
          <cell r="AF46">
            <v>4818</v>
          </cell>
          <cell r="AG46">
            <v>4928</v>
          </cell>
          <cell r="AI46">
            <v>4565</v>
          </cell>
          <cell r="AK46">
            <v>188046</v>
          </cell>
          <cell r="AL46">
            <v>149281</v>
          </cell>
          <cell r="AM46">
            <v>38765</v>
          </cell>
          <cell r="AN46">
            <v>188046</v>
          </cell>
          <cell r="AO46">
            <v>149281</v>
          </cell>
          <cell r="AP46">
            <v>38765</v>
          </cell>
          <cell r="AR46">
            <v>240881.3295109662</v>
          </cell>
          <cell r="AS46">
            <v>191224.51820685656</v>
          </cell>
          <cell r="AT46">
            <v>49656.811304109659</v>
          </cell>
          <cell r="AV46">
            <v>0.41</v>
          </cell>
          <cell r="AW46">
            <v>0.32700000000000001</v>
          </cell>
          <cell r="AX46">
            <v>0.75900000000000001</v>
          </cell>
          <cell r="AZ46">
            <v>0.30299999999999999</v>
          </cell>
          <cell r="BA46">
            <v>0.33600000000000002</v>
          </cell>
          <cell r="BB46">
            <v>0.16699999999999998</v>
          </cell>
          <cell r="BD46">
            <v>40451</v>
          </cell>
          <cell r="BE46">
            <v>386</v>
          </cell>
          <cell r="BF46">
            <v>40065</v>
          </cell>
          <cell r="BH46">
            <v>0.15981528547615009</v>
          </cell>
          <cell r="BI46">
            <v>1.9210378479594917E-3</v>
          </cell>
          <cell r="BJ46">
            <v>0.76785375265489186</v>
          </cell>
        </row>
        <row r="47">
          <cell r="B47">
            <v>39</v>
          </cell>
          <cell r="C47">
            <v>10</v>
          </cell>
          <cell r="D47">
            <v>2</v>
          </cell>
          <cell r="E47" t="str">
            <v>Jhansi</v>
          </cell>
          <cell r="H47">
            <v>1429698</v>
          </cell>
          <cell r="I47">
            <v>863342</v>
          </cell>
          <cell r="J47">
            <v>566356</v>
          </cell>
          <cell r="K47">
            <v>1429698</v>
          </cell>
          <cell r="L47">
            <v>863342</v>
          </cell>
          <cell r="M47">
            <v>566356</v>
          </cell>
          <cell r="N47">
            <v>1746715</v>
          </cell>
          <cell r="O47">
            <v>1029164</v>
          </cell>
          <cell r="P47">
            <v>717551</v>
          </cell>
          <cell r="Q47">
            <v>24.66</v>
          </cell>
          <cell r="R47">
            <v>23.23</v>
          </cell>
          <cell r="S47">
            <v>2.2286703805709962E-2</v>
          </cell>
          <cell r="T47">
            <v>2.1107920312171569E-2</v>
          </cell>
          <cell r="U47">
            <v>2.0229258002185224E-2</v>
          </cell>
          <cell r="W47">
            <v>373</v>
          </cell>
          <cell r="X47">
            <v>376</v>
          </cell>
          <cell r="Y47">
            <v>382</v>
          </cell>
          <cell r="Z47">
            <v>382</v>
          </cell>
          <cell r="AA47">
            <v>382</v>
          </cell>
          <cell r="AC47">
            <v>9296</v>
          </cell>
          <cell r="AD47">
            <v>9640</v>
          </cell>
          <cell r="AE47">
            <v>10209</v>
          </cell>
          <cell r="AF47">
            <v>10524</v>
          </cell>
          <cell r="AG47">
            <v>10621</v>
          </cell>
          <cell r="AI47">
            <v>5024</v>
          </cell>
          <cell r="AK47">
            <v>227712</v>
          </cell>
          <cell r="AL47">
            <v>141501</v>
          </cell>
          <cell r="AM47">
            <v>86211</v>
          </cell>
          <cell r="AN47">
            <v>227712</v>
          </cell>
          <cell r="AO47">
            <v>141501</v>
          </cell>
          <cell r="AP47">
            <v>86211</v>
          </cell>
          <cell r="AR47">
            <v>291692.29500016558</v>
          </cell>
          <cell r="AS47">
            <v>181258.56974958908</v>
          </cell>
          <cell r="AT47">
            <v>110433.72525057649</v>
          </cell>
          <cell r="AV47">
            <v>0.41</v>
          </cell>
          <cell r="AW47">
            <v>0.32700000000000001</v>
          </cell>
          <cell r="AX47">
            <v>0.75900000000000001</v>
          </cell>
          <cell r="AZ47">
            <v>0.30299999999999999</v>
          </cell>
          <cell r="BA47">
            <v>0.33600000000000002</v>
          </cell>
          <cell r="BB47">
            <v>0.16699999999999998</v>
          </cell>
          <cell r="BD47">
            <v>88143</v>
          </cell>
          <cell r="BE47">
            <v>35953</v>
          </cell>
          <cell r="BF47">
            <v>52190</v>
          </cell>
          <cell r="BH47">
            <v>0.28757760499080914</v>
          </cell>
          <cell r="BI47">
            <v>0.1887681753897518</v>
          </cell>
          <cell r="BJ47">
            <v>0.44975682919629595</v>
          </cell>
        </row>
        <row r="48">
          <cell r="B48">
            <v>40</v>
          </cell>
          <cell r="C48">
            <v>10</v>
          </cell>
          <cell r="D48">
            <v>2</v>
          </cell>
          <cell r="E48" t="str">
            <v>Lalitpur</v>
          </cell>
          <cell r="H48">
            <v>752043</v>
          </cell>
          <cell r="I48">
            <v>646495</v>
          </cell>
          <cell r="J48">
            <v>105548</v>
          </cell>
          <cell r="K48">
            <v>752043</v>
          </cell>
          <cell r="L48">
            <v>646495</v>
          </cell>
          <cell r="M48">
            <v>105548</v>
          </cell>
          <cell r="N48">
            <v>977447</v>
          </cell>
          <cell r="O48">
            <v>835616</v>
          </cell>
          <cell r="P48">
            <v>141831</v>
          </cell>
          <cell r="Q48">
            <v>30.18</v>
          </cell>
          <cell r="R48">
            <v>29.98</v>
          </cell>
          <cell r="S48">
            <v>2.6725685165151836E-2</v>
          </cell>
          <cell r="T48">
            <v>2.6567836616395057E-2</v>
          </cell>
          <cell r="U48">
            <v>2.6561693734602487E-2</v>
          </cell>
          <cell r="W48">
            <v>279</v>
          </cell>
          <cell r="X48">
            <v>280</v>
          </cell>
          <cell r="Y48">
            <v>280</v>
          </cell>
          <cell r="Z48">
            <v>280</v>
          </cell>
          <cell r="AA48">
            <v>280</v>
          </cell>
          <cell r="AC48">
            <v>7666</v>
          </cell>
          <cell r="AD48">
            <v>7812</v>
          </cell>
          <cell r="AE48">
            <v>8111</v>
          </cell>
          <cell r="AF48">
            <v>8177</v>
          </cell>
          <cell r="AG48">
            <v>8232</v>
          </cell>
          <cell r="AI48">
            <v>5039</v>
          </cell>
          <cell r="AK48">
            <v>126353</v>
          </cell>
          <cell r="AL48">
            <v>110394</v>
          </cell>
          <cell r="AM48">
            <v>15959</v>
          </cell>
          <cell r="AN48">
            <v>126353</v>
          </cell>
          <cell r="AO48">
            <v>110394</v>
          </cell>
          <cell r="AP48">
            <v>15959</v>
          </cell>
          <cell r="AR48">
            <v>161854.43257340818</v>
          </cell>
          <cell r="AS48">
            <v>141411.42853362265</v>
          </cell>
          <cell r="AT48">
            <v>20443.00403978553</v>
          </cell>
          <cell r="AV48">
            <v>0.41</v>
          </cell>
          <cell r="AW48">
            <v>0.32700000000000001</v>
          </cell>
          <cell r="AX48">
            <v>0.75900000000000001</v>
          </cell>
          <cell r="AZ48">
            <v>0.30299999999999999</v>
          </cell>
          <cell r="BA48">
            <v>0.33600000000000002</v>
          </cell>
          <cell r="BB48">
            <v>0.16699999999999998</v>
          </cell>
          <cell r="BD48">
            <v>23170</v>
          </cell>
          <cell r="BE48">
            <v>9219</v>
          </cell>
          <cell r="BF48">
            <v>13951</v>
          </cell>
          <cell r="BH48">
            <v>0.13623654720343992</v>
          </cell>
          <cell r="BI48">
            <v>6.2042815451036369E-2</v>
          </cell>
          <cell r="BJ48">
            <v>0.64946061030732105</v>
          </cell>
        </row>
        <row r="49">
          <cell r="B49">
            <v>41</v>
          </cell>
          <cell r="C49">
            <v>11</v>
          </cell>
          <cell r="D49">
            <v>2</v>
          </cell>
          <cell r="E49" t="str">
            <v>Auraiya</v>
          </cell>
          <cell r="F49" t="str">
            <v>New</v>
          </cell>
          <cell r="G49">
            <v>1</v>
          </cell>
          <cell r="H49">
            <v>0</v>
          </cell>
          <cell r="I49">
            <v>0</v>
          </cell>
          <cell r="J49">
            <v>0</v>
          </cell>
          <cell r="K49">
            <v>994639</v>
          </cell>
          <cell r="L49">
            <v>838420</v>
          </cell>
          <cell r="M49">
            <v>156219</v>
          </cell>
          <cell r="N49">
            <v>1179496</v>
          </cell>
          <cell r="O49">
            <v>1010658</v>
          </cell>
          <cell r="P49">
            <v>168838</v>
          </cell>
          <cell r="Q49">
            <v>27.23</v>
          </cell>
          <cell r="R49">
            <v>14.7</v>
          </cell>
          <cell r="S49">
            <v>2.4374957079400073E-2</v>
          </cell>
          <cell r="T49">
            <v>1.3809465650069352E-2</v>
          </cell>
          <cell r="U49">
            <v>1.7192381674638213E-2</v>
          </cell>
          <cell r="W49">
            <v>947</v>
          </cell>
          <cell r="X49">
            <v>947</v>
          </cell>
          <cell r="Y49">
            <v>947</v>
          </cell>
          <cell r="Z49">
            <v>947</v>
          </cell>
          <cell r="AA49">
            <v>947</v>
          </cell>
          <cell r="AC49">
            <v>54938</v>
          </cell>
          <cell r="AD49">
            <v>55638</v>
          </cell>
          <cell r="AE49">
            <v>56491</v>
          </cell>
          <cell r="AF49">
            <v>57093</v>
          </cell>
          <cell r="AG49">
            <v>57692</v>
          </cell>
          <cell r="AI49">
            <v>2052</v>
          </cell>
          <cell r="AK49">
            <v>0</v>
          </cell>
          <cell r="AL49">
            <v>0</v>
          </cell>
          <cell r="AM49">
            <v>0</v>
          </cell>
          <cell r="AN49">
            <v>150072</v>
          </cell>
          <cell r="AO49">
            <v>128410</v>
          </cell>
          <cell r="AP49">
            <v>21662</v>
          </cell>
          <cell r="AR49">
            <v>192237.76566568669</v>
          </cell>
          <cell r="AS49">
            <v>164489.38835446205</v>
          </cell>
          <cell r="AT49">
            <v>27748.377311224649</v>
          </cell>
          <cell r="AV49">
            <v>0.41</v>
          </cell>
          <cell r="AW49">
            <v>0.32700000000000001</v>
          </cell>
          <cell r="AX49">
            <v>0.75900000000000001</v>
          </cell>
          <cell r="AZ49">
            <v>0.30299999999999999</v>
          </cell>
          <cell r="BA49">
            <v>0.33600000000000002</v>
          </cell>
          <cell r="BB49">
            <v>0.16699999999999998</v>
          </cell>
          <cell r="BD49">
            <v>26873</v>
          </cell>
          <cell r="BE49">
            <v>17392</v>
          </cell>
          <cell r="BF49">
            <v>9481</v>
          </cell>
          <cell r="BH49">
            <v>0.13303613956525198</v>
          </cell>
          <cell r="BI49">
            <v>0.10062452263829753</v>
          </cell>
          <cell r="BJ49">
            <v>0.3251687094844754</v>
          </cell>
        </row>
        <row r="50">
          <cell r="B50">
            <v>42</v>
          </cell>
          <cell r="C50">
            <v>11</v>
          </cell>
          <cell r="D50">
            <v>2</v>
          </cell>
          <cell r="E50" t="str">
            <v>Etawah</v>
          </cell>
          <cell r="F50" t="str">
            <v>Split</v>
          </cell>
          <cell r="G50">
            <v>2</v>
          </cell>
          <cell r="H50">
            <v>2124655</v>
          </cell>
          <cell r="I50">
            <v>1790954</v>
          </cell>
          <cell r="J50">
            <v>333701</v>
          </cell>
          <cell r="K50">
            <v>1130016</v>
          </cell>
          <cell r="L50">
            <v>952534</v>
          </cell>
          <cell r="M50">
            <v>177482</v>
          </cell>
          <cell r="N50">
            <v>1340031</v>
          </cell>
          <cell r="O50">
            <v>1030994</v>
          </cell>
          <cell r="P50">
            <v>309037</v>
          </cell>
          <cell r="Q50">
            <v>17.239999999999998</v>
          </cell>
          <cell r="R50">
            <v>21.59</v>
          </cell>
          <cell r="S50">
            <v>1.6032455448809602E-2</v>
          </cell>
          <cell r="T50">
            <v>1.9740776521756098E-2</v>
          </cell>
          <cell r="U50">
            <v>1.7192209340733511E-2</v>
          </cell>
          <cell r="W50">
            <v>421</v>
          </cell>
          <cell r="X50">
            <v>421</v>
          </cell>
          <cell r="Y50">
            <v>424</v>
          </cell>
          <cell r="Z50">
            <v>424</v>
          </cell>
          <cell r="AA50">
            <v>424</v>
          </cell>
          <cell r="AC50">
            <v>5001</v>
          </cell>
          <cell r="AD50">
            <v>5033</v>
          </cell>
          <cell r="AE50">
            <v>5142</v>
          </cell>
          <cell r="AF50">
            <v>5191</v>
          </cell>
          <cell r="AG50">
            <v>5241</v>
          </cell>
          <cell r="AI50">
            <v>2288</v>
          </cell>
          <cell r="AK50">
            <v>320570</v>
          </cell>
          <cell r="AL50">
            <v>274299</v>
          </cell>
          <cell r="AM50">
            <v>46271</v>
          </cell>
          <cell r="AN50">
            <v>170498</v>
          </cell>
          <cell r="AO50">
            <v>145889</v>
          </cell>
          <cell r="AP50">
            <v>24609</v>
          </cell>
          <cell r="AR50">
            <v>218402.86376184932</v>
          </cell>
          <cell r="AS50">
            <v>186879.46715710705</v>
          </cell>
          <cell r="AT50">
            <v>31523.396604742284</v>
          </cell>
          <cell r="AV50">
            <v>0.41</v>
          </cell>
          <cell r="AW50">
            <v>0.32700000000000001</v>
          </cell>
          <cell r="AX50">
            <v>0.75900000000000001</v>
          </cell>
          <cell r="AZ50">
            <v>0.30299999999999999</v>
          </cell>
          <cell r="BA50">
            <v>0.33600000000000002</v>
          </cell>
          <cell r="BB50">
            <v>0.16699999999999998</v>
          </cell>
          <cell r="BD50">
            <v>49005</v>
          </cell>
          <cell r="BE50">
            <v>21956</v>
          </cell>
          <cell r="BF50">
            <v>27049</v>
          </cell>
          <cell r="BH50">
            <v>0.21353755065602259</v>
          </cell>
          <cell r="BI50">
            <v>0.11181081858324121</v>
          </cell>
          <cell r="BJ50">
            <v>0.81660192610264803</v>
          </cell>
        </row>
        <row r="51">
          <cell r="B51">
            <v>43</v>
          </cell>
          <cell r="C51">
            <v>11</v>
          </cell>
          <cell r="D51">
            <v>2</v>
          </cell>
          <cell r="E51" t="str">
            <v>Farrukhabad</v>
          </cell>
          <cell r="F51" t="str">
            <v>Split</v>
          </cell>
          <cell r="G51">
            <v>2</v>
          </cell>
          <cell r="H51">
            <v>2440266</v>
          </cell>
          <cell r="I51">
            <v>1985645</v>
          </cell>
          <cell r="J51">
            <v>454621</v>
          </cell>
          <cell r="K51">
            <v>1299216</v>
          </cell>
          <cell r="L51">
            <v>1057172</v>
          </cell>
          <cell r="M51">
            <v>242044</v>
          </cell>
          <cell r="N51">
            <v>1577237</v>
          </cell>
          <cell r="O51">
            <v>1236330</v>
          </cell>
          <cell r="P51">
            <v>340907</v>
          </cell>
          <cell r="Q51">
            <v>24.46</v>
          </cell>
          <cell r="R51">
            <v>22.8</v>
          </cell>
          <cell r="S51">
            <v>2.2122573289337755E-2</v>
          </cell>
          <cell r="T51">
            <v>2.0751053164405509E-2</v>
          </cell>
          <cell r="U51">
            <v>1.9580591203779418E-2</v>
          </cell>
          <cell r="W51">
            <v>563</v>
          </cell>
          <cell r="X51">
            <v>564</v>
          </cell>
          <cell r="Y51">
            <v>570</v>
          </cell>
          <cell r="Z51">
            <v>570</v>
          </cell>
          <cell r="AA51">
            <v>570</v>
          </cell>
          <cell r="AC51">
            <v>15502</v>
          </cell>
          <cell r="AD51">
            <v>15525</v>
          </cell>
          <cell r="AE51">
            <v>15636</v>
          </cell>
          <cell r="AF51">
            <v>15672</v>
          </cell>
          <cell r="AG51">
            <v>15765</v>
          </cell>
          <cell r="AI51">
            <v>2279</v>
          </cell>
          <cell r="AK51">
            <v>369280</v>
          </cell>
          <cell r="AL51">
            <v>308915</v>
          </cell>
          <cell r="AM51">
            <v>60365</v>
          </cell>
          <cell r="AN51">
            <v>196608</v>
          </cell>
          <cell r="AO51">
            <v>164469</v>
          </cell>
          <cell r="AP51">
            <v>32139</v>
          </cell>
          <cell r="AR51">
            <v>251848.99669491532</v>
          </cell>
          <cell r="AS51">
            <v>210679.89419258639</v>
          </cell>
          <cell r="AT51">
            <v>41169.102502328911</v>
          </cell>
          <cell r="AV51">
            <v>0.41</v>
          </cell>
          <cell r="AW51">
            <v>0.32700000000000001</v>
          </cell>
          <cell r="AX51">
            <v>0.75900000000000001</v>
          </cell>
          <cell r="AZ51">
            <v>0.30299999999999999</v>
          </cell>
          <cell r="BA51">
            <v>0.33600000000000002</v>
          </cell>
          <cell r="BB51">
            <v>0.16699999999999998</v>
          </cell>
          <cell r="BD51">
            <v>56865</v>
          </cell>
          <cell r="BE51">
            <v>22751</v>
          </cell>
          <cell r="BF51">
            <v>34114</v>
          </cell>
          <cell r="BH51">
            <v>0.21488050226989985</v>
          </cell>
          <cell r="BI51">
            <v>0.10277076537872236</v>
          </cell>
          <cell r="BJ51">
            <v>0.78859394440422526</v>
          </cell>
        </row>
        <row r="52">
          <cell r="B52">
            <v>44</v>
          </cell>
          <cell r="C52">
            <v>11</v>
          </cell>
          <cell r="D52">
            <v>2</v>
          </cell>
          <cell r="E52" t="str">
            <v>Kannauj</v>
          </cell>
          <cell r="F52" t="str">
            <v>New</v>
          </cell>
          <cell r="G52">
            <v>1</v>
          </cell>
          <cell r="H52">
            <v>0</v>
          </cell>
          <cell r="I52">
            <v>0</v>
          </cell>
          <cell r="J52">
            <v>0</v>
          </cell>
          <cell r="K52">
            <v>1141050</v>
          </cell>
          <cell r="L52">
            <v>928473</v>
          </cell>
          <cell r="M52">
            <v>212577</v>
          </cell>
          <cell r="N52">
            <v>1385227</v>
          </cell>
          <cell r="O52">
            <v>1153315</v>
          </cell>
          <cell r="P52">
            <v>231912</v>
          </cell>
          <cell r="Q52">
            <v>24.94</v>
          </cell>
          <cell r="R52">
            <v>19.579999999999998</v>
          </cell>
          <cell r="S52">
            <v>2.2516088829629854E-2</v>
          </cell>
          <cell r="T52">
            <v>1.8042373725129845E-2</v>
          </cell>
          <cell r="U52">
            <v>1.9580750011246595E-2</v>
          </cell>
          <cell r="W52">
            <v>462</v>
          </cell>
          <cell r="X52">
            <v>464</v>
          </cell>
          <cell r="Y52">
            <v>470</v>
          </cell>
          <cell r="Z52">
            <v>470</v>
          </cell>
          <cell r="AA52">
            <v>470</v>
          </cell>
          <cell r="AC52">
            <v>13289</v>
          </cell>
          <cell r="AD52">
            <v>13408</v>
          </cell>
          <cell r="AE52">
            <v>13734</v>
          </cell>
          <cell r="AF52">
            <v>13942</v>
          </cell>
          <cell r="AG52">
            <v>14131</v>
          </cell>
          <cell r="AI52">
            <v>1995</v>
          </cell>
          <cell r="AK52">
            <v>0</v>
          </cell>
          <cell r="AL52">
            <v>0</v>
          </cell>
          <cell r="AM52">
            <v>0</v>
          </cell>
          <cell r="AN52">
            <v>172672</v>
          </cell>
          <cell r="AO52">
            <v>144446</v>
          </cell>
          <cell r="AP52">
            <v>28226</v>
          </cell>
          <cell r="AR52">
            <v>221187.69306083382</v>
          </cell>
          <cell r="AS52">
            <v>185031.02710262928</v>
          </cell>
          <cell r="AT52">
            <v>36156.665958204547</v>
          </cell>
          <cell r="AV52">
            <v>0.41</v>
          </cell>
          <cell r="AW52">
            <v>0.32700000000000001</v>
          </cell>
          <cell r="AX52">
            <v>0.75900000000000001</v>
          </cell>
          <cell r="AZ52">
            <v>0.30299999999999999</v>
          </cell>
          <cell r="BA52">
            <v>0.33600000000000002</v>
          </cell>
          <cell r="BB52">
            <v>0.16699999999999998</v>
          </cell>
          <cell r="BD52">
            <v>32894</v>
          </cell>
          <cell r="BE52">
            <v>18179</v>
          </cell>
          <cell r="BF52">
            <v>14715</v>
          </cell>
          <cell r="BH52">
            <v>0.14152980916853075</v>
          </cell>
          <cell r="BI52">
            <v>9.3501294177955496E-2</v>
          </cell>
          <cell r="BJ52">
            <v>0.38731479026144638</v>
          </cell>
        </row>
        <row r="53">
          <cell r="B53">
            <v>45</v>
          </cell>
          <cell r="C53">
            <v>11</v>
          </cell>
          <cell r="D53">
            <v>2</v>
          </cell>
          <cell r="E53" t="str">
            <v>Kanpur Dehat (Rural) (Akbarpur)</v>
          </cell>
          <cell r="H53">
            <v>2138317</v>
          </cell>
          <cell r="I53">
            <v>2016274</v>
          </cell>
          <cell r="J53">
            <v>122043</v>
          </cell>
          <cell r="K53">
            <v>2138317</v>
          </cell>
          <cell r="L53">
            <v>2016274</v>
          </cell>
          <cell r="M53">
            <v>122043</v>
          </cell>
          <cell r="N53">
            <v>1584037</v>
          </cell>
          <cell r="O53">
            <v>1476662</v>
          </cell>
          <cell r="P53">
            <v>107375</v>
          </cell>
          <cell r="Q53">
            <v>19.89</v>
          </cell>
          <cell r="R53">
            <v>21.55</v>
          </cell>
          <cell r="S53">
            <v>1.8305984340279968E-2</v>
          </cell>
          <cell r="T53">
            <v>1.970722469121533E-2</v>
          </cell>
          <cell r="U53">
            <v>-2.9558583006472405E-2</v>
          </cell>
          <cell r="X53">
            <v>0</v>
          </cell>
          <cell r="Y53">
            <v>0</v>
          </cell>
          <cell r="Z53">
            <v>0</v>
          </cell>
          <cell r="AA53">
            <v>0</v>
          </cell>
          <cell r="AD53">
            <v>0</v>
          </cell>
          <cell r="AE53">
            <v>0</v>
          </cell>
          <cell r="AF53">
            <v>0</v>
          </cell>
          <cell r="AG53">
            <v>0</v>
          </cell>
          <cell r="AI53">
            <v>3146</v>
          </cell>
          <cell r="AK53">
            <v>336385</v>
          </cell>
          <cell r="AL53">
            <v>319115</v>
          </cell>
          <cell r="AM53">
            <v>17270</v>
          </cell>
          <cell r="AN53">
            <v>336385</v>
          </cell>
          <cell r="AO53">
            <v>319115</v>
          </cell>
          <cell r="AP53">
            <v>17270</v>
          </cell>
          <cell r="AR53">
            <v>430899.17375294538</v>
          </cell>
          <cell r="AS53">
            <v>408776.81773019361</v>
          </cell>
          <cell r="AT53">
            <v>22122.356022751806</v>
          </cell>
          <cell r="AV53">
            <v>0.41</v>
          </cell>
          <cell r="AW53">
            <v>0.32700000000000001</v>
          </cell>
          <cell r="AX53">
            <v>0.75900000000000001</v>
          </cell>
          <cell r="AZ53">
            <v>0.30299999999999999</v>
          </cell>
          <cell r="BA53">
            <v>0.33600000000000002</v>
          </cell>
          <cell r="BB53">
            <v>0.16699999999999998</v>
          </cell>
          <cell r="BD53">
            <v>0</v>
          </cell>
          <cell r="BE53">
            <v>0</v>
          </cell>
          <cell r="BF53">
            <v>0</v>
          </cell>
          <cell r="BH53">
            <v>0</v>
          </cell>
          <cell r="BI53">
            <v>0</v>
          </cell>
          <cell r="BJ53">
            <v>0</v>
          </cell>
        </row>
        <row r="54">
          <cell r="B54">
            <v>46</v>
          </cell>
          <cell r="C54">
            <v>11</v>
          </cell>
          <cell r="D54">
            <v>2</v>
          </cell>
          <cell r="E54" t="str">
            <v>Kanpur Nagar (Urban)</v>
          </cell>
          <cell r="H54">
            <v>2418487</v>
          </cell>
          <cell r="I54">
            <v>381154</v>
          </cell>
          <cell r="J54">
            <v>2037333</v>
          </cell>
          <cell r="K54">
            <v>2418487</v>
          </cell>
          <cell r="L54">
            <v>381154</v>
          </cell>
          <cell r="M54">
            <v>2037333</v>
          </cell>
          <cell r="N54">
            <v>4137489</v>
          </cell>
          <cell r="O54">
            <v>1365277</v>
          </cell>
          <cell r="P54">
            <v>2772212</v>
          </cell>
          <cell r="Q54">
            <v>22.54</v>
          </cell>
          <cell r="R54">
            <v>27.17</v>
          </cell>
          <cell r="S54">
            <v>2.0534727045732115E-2</v>
          </cell>
          <cell r="T54">
            <v>2.4326638644651677E-2</v>
          </cell>
          <cell r="U54">
            <v>5.5162405987835506E-2</v>
          </cell>
          <cell r="W54">
            <v>9</v>
          </cell>
          <cell r="X54">
            <v>9</v>
          </cell>
          <cell r="Y54">
            <v>9</v>
          </cell>
          <cell r="Z54">
            <v>9</v>
          </cell>
          <cell r="AA54">
            <v>9</v>
          </cell>
          <cell r="AC54">
            <v>10791</v>
          </cell>
          <cell r="AD54">
            <v>10941</v>
          </cell>
          <cell r="AE54">
            <v>11216</v>
          </cell>
          <cell r="AF54">
            <v>11278</v>
          </cell>
          <cell r="AG54">
            <v>11357</v>
          </cell>
          <cell r="AI54">
            <v>3030</v>
          </cell>
          <cell r="AK54">
            <v>385756</v>
          </cell>
          <cell r="AL54">
            <v>60213</v>
          </cell>
          <cell r="AM54">
            <v>325543</v>
          </cell>
          <cell r="AN54">
            <v>385756</v>
          </cell>
          <cell r="AO54">
            <v>60213</v>
          </cell>
          <cell r="AP54">
            <v>325543</v>
          </cell>
          <cell r="AR54">
            <v>494141.95540895464</v>
          </cell>
          <cell r="AS54">
            <v>77131.06098424751</v>
          </cell>
          <cell r="AT54">
            <v>417010.8944247071</v>
          </cell>
          <cell r="AV54">
            <v>0.41</v>
          </cell>
          <cell r="AW54">
            <v>0.32700000000000001</v>
          </cell>
          <cell r="AX54">
            <v>0.75900000000000001</v>
          </cell>
          <cell r="AZ54">
            <v>0.30299999999999999</v>
          </cell>
          <cell r="BA54">
            <v>0.33600000000000002</v>
          </cell>
          <cell r="BB54">
            <v>0.16699999999999998</v>
          </cell>
          <cell r="BD54">
            <v>316744</v>
          </cell>
          <cell r="BE54">
            <v>56212</v>
          </cell>
          <cell r="BF54">
            <v>260532</v>
          </cell>
          <cell r="BH54">
            <v>0.61002672191454099</v>
          </cell>
          <cell r="BI54">
            <v>0.6935725944295642</v>
          </cell>
          <cell r="BJ54">
            <v>0.59457393189372332</v>
          </cell>
        </row>
        <row r="55">
          <cell r="B55">
            <v>47</v>
          </cell>
          <cell r="C55">
            <v>12</v>
          </cell>
          <cell r="D55">
            <v>3</v>
          </cell>
          <cell r="E55" t="str">
            <v>Hardoi</v>
          </cell>
          <cell r="H55">
            <v>2747082</v>
          </cell>
          <cell r="I55">
            <v>2424471</v>
          </cell>
          <cell r="J55">
            <v>322611</v>
          </cell>
          <cell r="K55">
            <v>2747082</v>
          </cell>
          <cell r="L55">
            <v>2424471</v>
          </cell>
          <cell r="M55">
            <v>322611</v>
          </cell>
          <cell r="N55">
            <v>3397414</v>
          </cell>
          <cell r="O55">
            <v>2990382</v>
          </cell>
          <cell r="P55">
            <v>407032</v>
          </cell>
          <cell r="Q55">
            <v>20.75</v>
          </cell>
          <cell r="R55">
            <v>23.67</v>
          </cell>
          <cell r="S55">
            <v>1.9034092656040613E-2</v>
          </cell>
          <cell r="T55">
            <v>2.1471928443140609E-2</v>
          </cell>
          <cell r="U55">
            <v>2.1474865670801035E-2</v>
          </cell>
          <cell r="W55">
            <v>1129</v>
          </cell>
          <cell r="X55">
            <v>1135</v>
          </cell>
          <cell r="Y55">
            <v>1146</v>
          </cell>
          <cell r="Z55">
            <v>1146</v>
          </cell>
          <cell r="AA55">
            <v>1146</v>
          </cell>
          <cell r="AC55">
            <v>13314</v>
          </cell>
          <cell r="AD55">
            <v>13497</v>
          </cell>
          <cell r="AE55">
            <v>13747</v>
          </cell>
          <cell r="AF55">
            <v>13849</v>
          </cell>
          <cell r="AG55">
            <v>13949</v>
          </cell>
          <cell r="AI55">
            <v>5986</v>
          </cell>
          <cell r="AK55">
            <v>433288</v>
          </cell>
          <cell r="AL55">
            <v>390217</v>
          </cell>
          <cell r="AM55">
            <v>43071</v>
          </cell>
          <cell r="AN55">
            <v>433288</v>
          </cell>
          <cell r="AO55">
            <v>390217</v>
          </cell>
          <cell r="AP55">
            <v>43071</v>
          </cell>
          <cell r="AR55">
            <v>555029.0327959517</v>
          </cell>
          <cell r="AS55">
            <v>499856.36364389939</v>
          </cell>
          <cell r="AT55">
            <v>55172.669152052295</v>
          </cell>
          <cell r="AV55">
            <v>0.41</v>
          </cell>
          <cell r="AW55">
            <v>0.32700000000000001</v>
          </cell>
          <cell r="AX55">
            <v>0.75900000000000001</v>
          </cell>
          <cell r="AZ55">
            <v>0.30299999999999999</v>
          </cell>
          <cell r="BA55">
            <v>0.33600000000000002</v>
          </cell>
          <cell r="BB55">
            <v>0.16699999999999998</v>
          </cell>
          <cell r="BD55">
            <v>69352</v>
          </cell>
          <cell r="BE55">
            <v>34669</v>
          </cell>
          <cell r="BF55">
            <v>34683</v>
          </cell>
          <cell r="BH55">
            <v>0.11891468257977234</v>
          </cell>
          <cell r="BI55">
            <v>6.6006739634272574E-2</v>
          </cell>
          <cell r="BJ55">
            <v>0.59825295595081274</v>
          </cell>
        </row>
        <row r="56">
          <cell r="B56">
            <v>48</v>
          </cell>
          <cell r="C56">
            <v>12</v>
          </cell>
          <cell r="D56">
            <v>3</v>
          </cell>
          <cell r="E56" t="str">
            <v>Lakhimpur Kheri</v>
          </cell>
          <cell r="H56">
            <v>2419234</v>
          </cell>
          <cell r="I56">
            <v>2161259</v>
          </cell>
          <cell r="J56">
            <v>257975</v>
          </cell>
          <cell r="K56">
            <v>2419234</v>
          </cell>
          <cell r="L56">
            <v>2161259</v>
          </cell>
          <cell r="M56">
            <v>257975</v>
          </cell>
          <cell r="N56">
            <v>3200137</v>
          </cell>
          <cell r="O56">
            <v>2855105</v>
          </cell>
          <cell r="P56">
            <v>345032</v>
          </cell>
          <cell r="Q56">
            <v>23.89</v>
          </cell>
          <cell r="R56">
            <v>32.28</v>
          </cell>
          <cell r="S56">
            <v>2.1653495622991015E-2</v>
          </cell>
          <cell r="T56">
            <v>2.8370047055166436E-2</v>
          </cell>
          <cell r="U56">
            <v>2.8369220053329425E-2</v>
          </cell>
          <cell r="W56">
            <v>128</v>
          </cell>
          <cell r="X56">
            <v>128</v>
          </cell>
          <cell r="Y56">
            <v>128</v>
          </cell>
          <cell r="Z56">
            <v>128</v>
          </cell>
          <cell r="AA56">
            <v>128</v>
          </cell>
          <cell r="AC56">
            <v>6641</v>
          </cell>
          <cell r="AD56">
            <v>6750</v>
          </cell>
          <cell r="AE56">
            <v>6850</v>
          </cell>
          <cell r="AF56">
            <v>6919</v>
          </cell>
          <cell r="AG56">
            <v>6935</v>
          </cell>
          <cell r="AI56">
            <v>7680</v>
          </cell>
          <cell r="AK56">
            <v>374369</v>
          </cell>
          <cell r="AL56">
            <v>336845</v>
          </cell>
          <cell r="AM56">
            <v>37524</v>
          </cell>
          <cell r="AN56">
            <v>374369</v>
          </cell>
          <cell r="AO56">
            <v>336845</v>
          </cell>
          <cell r="AP56">
            <v>37524</v>
          </cell>
          <cell r="AR56">
            <v>479555.54730061215</v>
          </cell>
          <cell r="AS56">
            <v>431488.42006275814</v>
          </cell>
          <cell r="AT56">
            <v>48067.127237854016</v>
          </cell>
          <cell r="AV56">
            <v>0.41</v>
          </cell>
          <cell r="AW56">
            <v>0.32700000000000001</v>
          </cell>
          <cell r="AX56">
            <v>0.75900000000000001</v>
          </cell>
          <cell r="AZ56">
            <v>0.30299999999999999</v>
          </cell>
          <cell r="BA56">
            <v>0.33600000000000002</v>
          </cell>
          <cell r="BB56">
            <v>0.16699999999999998</v>
          </cell>
          <cell r="BD56">
            <v>72524</v>
          </cell>
          <cell r="BE56">
            <v>40405</v>
          </cell>
          <cell r="BF56">
            <v>32119</v>
          </cell>
          <cell r="BH56">
            <v>0.14392459703879701</v>
          </cell>
          <cell r="BI56">
            <v>8.9116507530193026E-2</v>
          </cell>
          <cell r="BJ56">
            <v>0.63592520759539284</v>
          </cell>
        </row>
        <row r="57">
          <cell r="B57">
            <v>49</v>
          </cell>
          <cell r="C57">
            <v>12</v>
          </cell>
          <cell r="D57">
            <v>3</v>
          </cell>
          <cell r="E57" t="str">
            <v>Lucknow</v>
          </cell>
          <cell r="H57">
            <v>2762801</v>
          </cell>
          <cell r="I57">
            <v>1031577</v>
          </cell>
          <cell r="J57">
            <v>1731224</v>
          </cell>
          <cell r="K57">
            <v>2762801</v>
          </cell>
          <cell r="L57">
            <v>1031577</v>
          </cell>
          <cell r="M57">
            <v>1731224</v>
          </cell>
          <cell r="N57">
            <v>3681416</v>
          </cell>
          <cell r="O57">
            <v>1339177</v>
          </cell>
          <cell r="P57">
            <v>2342239</v>
          </cell>
          <cell r="Q57">
            <v>37.14</v>
          </cell>
          <cell r="R57">
            <v>33.25</v>
          </cell>
          <cell r="S57">
            <v>3.2087253640676883E-2</v>
          </cell>
          <cell r="T57">
            <v>2.9121666740875574E-2</v>
          </cell>
          <cell r="U57">
            <v>2.912121017501601E-2</v>
          </cell>
          <cell r="W57">
            <v>45</v>
          </cell>
          <cell r="X57">
            <v>47</v>
          </cell>
          <cell r="Y57">
            <v>47</v>
          </cell>
          <cell r="Z57">
            <v>47</v>
          </cell>
          <cell r="AA57">
            <v>47</v>
          </cell>
          <cell r="AC57">
            <v>12988</v>
          </cell>
          <cell r="AD57">
            <v>13098</v>
          </cell>
          <cell r="AE57">
            <v>13422</v>
          </cell>
          <cell r="AF57">
            <v>13645</v>
          </cell>
          <cell r="AG57">
            <v>13320</v>
          </cell>
          <cell r="AI57">
            <v>2528</v>
          </cell>
          <cell r="AK57">
            <v>462998</v>
          </cell>
          <cell r="AL57">
            <v>183606</v>
          </cell>
          <cell r="AM57">
            <v>279392</v>
          </cell>
          <cell r="AN57">
            <v>462998</v>
          </cell>
          <cell r="AO57">
            <v>183606</v>
          </cell>
          <cell r="AP57">
            <v>279392</v>
          </cell>
          <cell r="AR57">
            <v>593086.65858842165</v>
          </cell>
          <cell r="AS57">
            <v>235193.82165103464</v>
          </cell>
          <cell r="AT57">
            <v>357892.83693738701</v>
          </cell>
          <cell r="AV57">
            <v>0.41</v>
          </cell>
          <cell r="AW57">
            <v>0.32700000000000001</v>
          </cell>
          <cell r="AX57">
            <v>0.75900000000000001</v>
          </cell>
          <cell r="AZ57">
            <v>0.30299999999999999</v>
          </cell>
          <cell r="BA57">
            <v>0.33600000000000002</v>
          </cell>
          <cell r="BB57">
            <v>0.16699999999999998</v>
          </cell>
          <cell r="BD57">
            <v>398735</v>
          </cell>
          <cell r="BE57">
            <v>0</v>
          </cell>
          <cell r="BF57">
            <v>398735</v>
          </cell>
          <cell r="BH57">
            <v>0.63982086109798597</v>
          </cell>
          <cell r="BI57">
            <v>0</v>
          </cell>
          <cell r="BJ57">
            <v>1.0602872632238762</v>
          </cell>
        </row>
        <row r="58">
          <cell r="B58">
            <v>50</v>
          </cell>
          <cell r="C58">
            <v>12</v>
          </cell>
          <cell r="D58">
            <v>3</v>
          </cell>
          <cell r="E58" t="str">
            <v>Rae Barielly</v>
          </cell>
          <cell r="H58">
            <v>2322810</v>
          </cell>
          <cell r="I58">
            <v>2112898</v>
          </cell>
          <cell r="J58">
            <v>209912</v>
          </cell>
          <cell r="K58">
            <v>2322810</v>
          </cell>
          <cell r="L58">
            <v>2112898</v>
          </cell>
          <cell r="M58">
            <v>209912</v>
          </cell>
          <cell r="N58">
            <v>2872204</v>
          </cell>
          <cell r="O58">
            <v>2598459</v>
          </cell>
          <cell r="P58">
            <v>273745</v>
          </cell>
          <cell r="Q58">
            <v>23.57</v>
          </cell>
          <cell r="R58">
            <v>23.66</v>
          </cell>
          <cell r="S58">
            <v>2.1389301791283399E-2</v>
          </cell>
          <cell r="T58">
            <v>2.1463668484388965E-2</v>
          </cell>
          <cell r="U58">
            <v>2.1457166021236374E-2</v>
          </cell>
          <cell r="W58">
            <v>0</v>
          </cell>
          <cell r="X58">
            <v>0</v>
          </cell>
          <cell r="Y58">
            <v>0</v>
          </cell>
          <cell r="Z58">
            <v>0</v>
          </cell>
          <cell r="AA58">
            <v>0</v>
          </cell>
          <cell r="AC58">
            <v>3</v>
          </cell>
          <cell r="AD58">
            <v>3</v>
          </cell>
          <cell r="AE58">
            <v>3</v>
          </cell>
          <cell r="AF58">
            <v>3</v>
          </cell>
          <cell r="AG58">
            <v>3</v>
          </cell>
          <cell r="AI58">
            <v>4586</v>
          </cell>
          <cell r="AK58">
            <v>419983</v>
          </cell>
          <cell r="AL58">
            <v>385967</v>
          </cell>
          <cell r="AM58">
            <v>34016</v>
          </cell>
          <cell r="AN58">
            <v>419983</v>
          </cell>
          <cell r="AO58">
            <v>385967</v>
          </cell>
          <cell r="AP58">
            <v>34016</v>
          </cell>
          <cell r="AR58">
            <v>537985.72376973787</v>
          </cell>
          <cell r="AS58">
            <v>494412.24012932525</v>
          </cell>
          <cell r="AT58">
            <v>43573.483640412596</v>
          </cell>
          <cell r="AV58">
            <v>0.41</v>
          </cell>
          <cell r="AW58">
            <v>0.32700000000000001</v>
          </cell>
          <cell r="AX58">
            <v>0.75900000000000001</v>
          </cell>
          <cell r="AZ58">
            <v>0.30299999999999999</v>
          </cell>
          <cell r="BA58">
            <v>0.33600000000000002</v>
          </cell>
          <cell r="BB58">
            <v>0.16699999999999998</v>
          </cell>
          <cell r="BD58">
            <v>100613</v>
          </cell>
          <cell r="BE58">
            <v>69951</v>
          </cell>
          <cell r="BF58">
            <v>30662</v>
          </cell>
          <cell r="BH58">
            <v>0.17798177740561882</v>
          </cell>
          <cell r="BI58">
            <v>0.13464706941769594</v>
          </cell>
          <cell r="BJ58">
            <v>0.66968471831503307</v>
          </cell>
        </row>
        <row r="59">
          <cell r="B59">
            <v>51</v>
          </cell>
          <cell r="C59">
            <v>12</v>
          </cell>
          <cell r="D59">
            <v>3</v>
          </cell>
          <cell r="E59" t="str">
            <v>Sitapur</v>
          </cell>
          <cell r="H59">
            <v>2857009</v>
          </cell>
          <cell r="I59">
            <v>2513341</v>
          </cell>
          <cell r="J59">
            <v>343668</v>
          </cell>
          <cell r="K59">
            <v>2857009</v>
          </cell>
          <cell r="L59">
            <v>2513341</v>
          </cell>
          <cell r="M59">
            <v>343668</v>
          </cell>
          <cell r="N59">
            <v>3616510</v>
          </cell>
          <cell r="O59">
            <v>3184640</v>
          </cell>
          <cell r="P59">
            <v>431870</v>
          </cell>
          <cell r="Q59">
            <v>22.24</v>
          </cell>
          <cell r="R59">
            <v>26.58</v>
          </cell>
          <cell r="S59">
            <v>2.0284606078570633E-2</v>
          </cell>
          <cell r="T59">
            <v>2.3850411407047245E-2</v>
          </cell>
          <cell r="U59">
            <v>2.3853469207162137E-2</v>
          </cell>
          <cell r="W59">
            <v>1386</v>
          </cell>
          <cell r="X59">
            <v>1393</v>
          </cell>
          <cell r="Y59">
            <v>1395</v>
          </cell>
          <cell r="Z59">
            <v>1395</v>
          </cell>
          <cell r="AA59">
            <v>1395</v>
          </cell>
          <cell r="AC59">
            <v>19250</v>
          </cell>
          <cell r="AD59">
            <v>19373</v>
          </cell>
          <cell r="AE59">
            <v>19857</v>
          </cell>
          <cell r="AF59">
            <v>20283</v>
          </cell>
          <cell r="AG59">
            <v>20477</v>
          </cell>
          <cell r="AI59">
            <v>5743</v>
          </cell>
          <cell r="AK59">
            <v>459497</v>
          </cell>
          <cell r="AL59">
            <v>412951</v>
          </cell>
          <cell r="AM59">
            <v>46546</v>
          </cell>
          <cell r="AN59">
            <v>459497</v>
          </cell>
          <cell r="AO59">
            <v>412951</v>
          </cell>
          <cell r="AP59">
            <v>46546</v>
          </cell>
          <cell r="AR59">
            <v>588601.98178265127</v>
          </cell>
          <cell r="AS59">
            <v>528977.94105103542</v>
          </cell>
          <cell r="AT59">
            <v>59624.040731615845</v>
          </cell>
          <cell r="AV59">
            <v>0.41</v>
          </cell>
          <cell r="AW59">
            <v>0.32700000000000001</v>
          </cell>
          <cell r="AX59">
            <v>0.75900000000000001</v>
          </cell>
          <cell r="AZ59">
            <v>0.30299999999999999</v>
          </cell>
          <cell r="BA59">
            <v>0.33600000000000002</v>
          </cell>
          <cell r="BB59">
            <v>0.16699999999999998</v>
          </cell>
          <cell r="BD59">
            <v>73270</v>
          </cell>
          <cell r="BE59">
            <v>37578</v>
          </cell>
          <cell r="BF59">
            <v>35692</v>
          </cell>
          <cell r="BH59">
            <v>0.1184668016482876</v>
          </cell>
          <cell r="BI59">
            <v>6.760647497673275E-2</v>
          </cell>
          <cell r="BJ59">
            <v>0.56969403404946606</v>
          </cell>
        </row>
        <row r="60">
          <cell r="B60">
            <v>52</v>
          </cell>
          <cell r="C60">
            <v>12</v>
          </cell>
          <cell r="D60">
            <v>3</v>
          </cell>
          <cell r="E60" t="str">
            <v>Unnao</v>
          </cell>
          <cell r="H60">
            <v>2200397</v>
          </cell>
          <cell r="I60">
            <v>1901099</v>
          </cell>
          <cell r="J60">
            <v>299298</v>
          </cell>
          <cell r="K60">
            <v>2200397</v>
          </cell>
          <cell r="L60">
            <v>1901099</v>
          </cell>
          <cell r="M60">
            <v>299298</v>
          </cell>
          <cell r="N60">
            <v>2700426</v>
          </cell>
          <cell r="O60">
            <v>2288567</v>
          </cell>
          <cell r="P60">
            <v>411859</v>
          </cell>
          <cell r="Q60">
            <v>20.73</v>
          </cell>
          <cell r="R60">
            <v>22.72</v>
          </cell>
          <cell r="S60">
            <v>1.9017212986417897E-2</v>
          </cell>
          <cell r="T60">
            <v>2.0684535221755951E-2</v>
          </cell>
          <cell r="U60">
            <v>2.0688269717518581E-2</v>
          </cell>
          <cell r="W60">
            <v>1107</v>
          </cell>
          <cell r="X60">
            <v>1114</v>
          </cell>
          <cell r="Y60">
            <v>1124</v>
          </cell>
          <cell r="Z60">
            <v>1124</v>
          </cell>
          <cell r="AA60">
            <v>1124</v>
          </cell>
          <cell r="AC60">
            <v>8502</v>
          </cell>
          <cell r="AD60">
            <v>8604</v>
          </cell>
          <cell r="AE60">
            <v>8788</v>
          </cell>
          <cell r="AF60">
            <v>8929</v>
          </cell>
          <cell r="AG60">
            <v>9045</v>
          </cell>
          <cell r="AI60">
            <v>4558</v>
          </cell>
          <cell r="AK60">
            <v>373349</v>
          </cell>
          <cell r="AL60">
            <v>325705</v>
          </cell>
          <cell r="AM60">
            <v>47644</v>
          </cell>
          <cell r="AN60">
            <v>373349</v>
          </cell>
          <cell r="AO60">
            <v>325705</v>
          </cell>
          <cell r="AP60">
            <v>47644</v>
          </cell>
          <cell r="AR60">
            <v>478248.95765711437</v>
          </cell>
          <cell r="AS60">
            <v>417218.41160338029</v>
          </cell>
          <cell r="AT60">
            <v>61030.546053734055</v>
          </cell>
          <cell r="AV60">
            <v>0.41</v>
          </cell>
          <cell r="AW60">
            <v>0.32700000000000001</v>
          </cell>
          <cell r="AX60">
            <v>0.75900000000000001</v>
          </cell>
          <cell r="AZ60">
            <v>0.30299999999999999</v>
          </cell>
          <cell r="BA60">
            <v>0.33600000000000002</v>
          </cell>
          <cell r="BB60">
            <v>0.16699999999999998</v>
          </cell>
          <cell r="BD60">
            <v>75419</v>
          </cell>
          <cell r="BE60">
            <v>49381</v>
          </cell>
          <cell r="BF60">
            <v>26038</v>
          </cell>
          <cell r="BH60">
            <v>0.15007865522922706</v>
          </cell>
          <cell r="BI60">
            <v>0.11263895357090002</v>
          </cell>
          <cell r="BJ60">
            <v>0.40602479805152186</v>
          </cell>
        </row>
        <row r="61">
          <cell r="B61">
            <v>53</v>
          </cell>
          <cell r="C61">
            <v>13</v>
          </cell>
          <cell r="D61">
            <v>1</v>
          </cell>
          <cell r="E61" t="str">
            <v>Baghpat</v>
          </cell>
          <cell r="F61" t="str">
            <v>New</v>
          </cell>
          <cell r="G61">
            <v>1</v>
          </cell>
          <cell r="H61">
            <v>0</v>
          </cell>
          <cell r="I61">
            <v>0</v>
          </cell>
          <cell r="J61">
            <v>0</v>
          </cell>
          <cell r="K61">
            <v>963678</v>
          </cell>
          <cell r="L61">
            <v>606885</v>
          </cell>
          <cell r="M61">
            <v>356793</v>
          </cell>
          <cell r="N61">
            <v>1164388</v>
          </cell>
          <cell r="O61">
            <v>934824</v>
          </cell>
          <cell r="P61">
            <v>229564</v>
          </cell>
          <cell r="Q61">
            <v>22.39</v>
          </cell>
          <cell r="R61">
            <v>13</v>
          </cell>
          <cell r="S61">
            <v>2.040973553498282E-2</v>
          </cell>
          <cell r="T61">
            <v>1.2296754216952754E-2</v>
          </cell>
          <cell r="U61">
            <v>1.9099474515575032E-2</v>
          </cell>
          <cell r="W61">
            <v>751</v>
          </cell>
          <cell r="X61">
            <v>752</v>
          </cell>
          <cell r="Y61">
            <v>752</v>
          </cell>
          <cell r="Z61">
            <v>752</v>
          </cell>
          <cell r="AA61">
            <v>752</v>
          </cell>
          <cell r="AC61">
            <v>31287</v>
          </cell>
          <cell r="AD61">
            <v>32505</v>
          </cell>
          <cell r="AE61">
            <v>33723</v>
          </cell>
          <cell r="AF61">
            <v>34158</v>
          </cell>
          <cell r="AG61">
            <v>34319</v>
          </cell>
          <cell r="AI61">
            <v>1389</v>
          </cell>
          <cell r="AK61">
            <v>0</v>
          </cell>
          <cell r="AL61">
            <v>0</v>
          </cell>
          <cell r="AM61">
            <v>0</v>
          </cell>
          <cell r="AN61">
            <v>140108</v>
          </cell>
          <cell r="AO61">
            <v>88931</v>
          </cell>
          <cell r="AP61">
            <v>51177</v>
          </cell>
          <cell r="AR61">
            <v>179474.17820704749</v>
          </cell>
          <cell r="AS61">
            <v>113917.96429990394</v>
          </cell>
          <cell r="AT61">
            <v>65556.213907143567</v>
          </cell>
          <cell r="AV61">
            <v>0.41</v>
          </cell>
          <cell r="AW61">
            <v>0.32700000000000001</v>
          </cell>
          <cell r="AX61">
            <v>0.75900000000000001</v>
          </cell>
          <cell r="AZ61">
            <v>0.30299999999999999</v>
          </cell>
          <cell r="BA61">
            <v>0.33600000000000002</v>
          </cell>
          <cell r="BB61">
            <v>0.16699999999999998</v>
          </cell>
          <cell r="BD61">
            <v>76043</v>
          </cell>
          <cell r="BE61">
            <v>57517</v>
          </cell>
          <cell r="BF61">
            <v>18526</v>
          </cell>
          <cell r="BH61">
            <v>0.40322686629098003</v>
          </cell>
          <cell r="BI61">
            <v>0.48050310930026013</v>
          </cell>
          <cell r="BJ61">
            <v>0.26894284090734516</v>
          </cell>
        </row>
        <row r="62">
          <cell r="B62">
            <v>54</v>
          </cell>
          <cell r="C62">
            <v>13</v>
          </cell>
          <cell r="D62">
            <v>1</v>
          </cell>
          <cell r="E62" t="str">
            <v>Bulandshahr</v>
          </cell>
          <cell r="F62" t="str">
            <v>Split</v>
          </cell>
          <cell r="G62">
            <v>2</v>
          </cell>
          <cell r="H62">
            <v>2849859</v>
          </cell>
          <cell r="I62">
            <v>2257064</v>
          </cell>
          <cell r="J62">
            <v>592795</v>
          </cell>
          <cell r="K62">
            <v>2192754</v>
          </cell>
          <cell r="L62">
            <v>1465867</v>
          </cell>
          <cell r="M62">
            <v>726887</v>
          </cell>
          <cell r="N62">
            <v>2923290</v>
          </cell>
          <cell r="O62">
            <v>2249464</v>
          </cell>
          <cell r="P62">
            <v>673826</v>
          </cell>
          <cell r="Q62">
            <v>16.100000000000001</v>
          </cell>
          <cell r="R62">
            <v>22.22</v>
          </cell>
          <cell r="S62">
            <v>1.5040151938647606E-2</v>
          </cell>
          <cell r="T62">
            <v>2.026791171121145E-2</v>
          </cell>
          <cell r="U62">
            <v>2.9172561075500036E-2</v>
          </cell>
          <cell r="W62">
            <v>13</v>
          </cell>
          <cell r="X62">
            <v>14</v>
          </cell>
          <cell r="Y62">
            <v>15</v>
          </cell>
          <cell r="Z62">
            <v>15</v>
          </cell>
          <cell r="AA62">
            <v>15</v>
          </cell>
          <cell r="AC62">
            <v>19</v>
          </cell>
          <cell r="AD62">
            <v>19</v>
          </cell>
          <cell r="AE62">
            <v>19</v>
          </cell>
          <cell r="AF62">
            <v>19</v>
          </cell>
          <cell r="AG62">
            <v>19</v>
          </cell>
          <cell r="AI62">
            <v>3718</v>
          </cell>
          <cell r="AK62">
            <v>425219</v>
          </cell>
          <cell r="AL62">
            <v>345420</v>
          </cell>
          <cell r="AM62">
            <v>79799</v>
          </cell>
          <cell r="AN62">
            <v>334121</v>
          </cell>
          <cell r="AO62">
            <v>218857</v>
          </cell>
          <cell r="AP62">
            <v>115264</v>
          </cell>
          <cell r="AR62">
            <v>427999.05713247578</v>
          </cell>
          <cell r="AS62">
            <v>280349.30353627057</v>
          </cell>
          <cell r="AT62">
            <v>147649.75359620524</v>
          </cell>
          <cell r="AV62">
            <v>0.41</v>
          </cell>
          <cell r="AW62">
            <v>0.32700000000000001</v>
          </cell>
          <cell r="AX62">
            <v>0.75900000000000001</v>
          </cell>
          <cell r="AZ62">
            <v>0.30299999999999999</v>
          </cell>
          <cell r="BA62">
            <v>0.33600000000000002</v>
          </cell>
          <cell r="BB62">
            <v>0.16699999999999998</v>
          </cell>
          <cell r="BD62">
            <v>127267</v>
          </cell>
          <cell r="BE62">
            <v>57757</v>
          </cell>
          <cell r="BF62">
            <v>69510</v>
          </cell>
          <cell r="BH62">
            <v>0.28298615387148135</v>
          </cell>
          <cell r="BI62">
            <v>0.19606376479301316</v>
          </cell>
          <cell r="BJ62">
            <v>0.44802964799407219</v>
          </cell>
        </row>
        <row r="63">
          <cell r="B63">
            <v>55</v>
          </cell>
          <cell r="C63">
            <v>13</v>
          </cell>
          <cell r="D63">
            <v>1</v>
          </cell>
          <cell r="E63" t="str">
            <v>Gautam Buddha Nagar</v>
          </cell>
          <cell r="F63" t="str">
            <v>New</v>
          </cell>
          <cell r="G63">
            <v>1</v>
          </cell>
          <cell r="H63">
            <v>0</v>
          </cell>
          <cell r="I63">
            <v>0</v>
          </cell>
          <cell r="J63">
            <v>0</v>
          </cell>
          <cell r="K63">
            <v>893563</v>
          </cell>
          <cell r="L63">
            <v>597351</v>
          </cell>
          <cell r="M63">
            <v>296212</v>
          </cell>
          <cell r="N63">
            <v>1191263</v>
          </cell>
          <cell r="O63">
            <v>753051</v>
          </cell>
          <cell r="P63">
            <v>438212</v>
          </cell>
          <cell r="Q63">
            <v>37.64</v>
          </cell>
          <cell r="R63">
            <v>35.700000000000003</v>
          </cell>
          <cell r="S63">
            <v>3.2462927349978798E-2</v>
          </cell>
          <cell r="T63">
            <v>3.0998384476280005E-2</v>
          </cell>
          <cell r="U63">
            <v>2.9172676359748628E-2</v>
          </cell>
          <cell r="W63">
            <v>142</v>
          </cell>
          <cell r="X63">
            <v>148</v>
          </cell>
          <cell r="Y63">
            <v>149</v>
          </cell>
          <cell r="Z63">
            <v>149</v>
          </cell>
          <cell r="AA63">
            <v>149</v>
          </cell>
          <cell r="AC63">
            <v>13976</v>
          </cell>
          <cell r="AD63">
            <v>14212</v>
          </cell>
          <cell r="AE63">
            <v>14484</v>
          </cell>
          <cell r="AF63">
            <v>14752</v>
          </cell>
          <cell r="AG63">
            <v>15118</v>
          </cell>
          <cell r="AI63">
            <v>1269</v>
          </cell>
          <cell r="AK63">
            <v>0</v>
          </cell>
          <cell r="AL63">
            <v>0</v>
          </cell>
          <cell r="AM63">
            <v>0</v>
          </cell>
          <cell r="AN63">
            <v>136156</v>
          </cell>
          <cell r="AO63">
            <v>89185</v>
          </cell>
          <cell r="AP63">
            <v>46971</v>
          </cell>
          <cell r="AR63">
            <v>174411.78382361293</v>
          </cell>
          <cell r="AS63">
            <v>114243.33074053966</v>
          </cell>
          <cell r="AT63">
            <v>60168.453083073262</v>
          </cell>
          <cell r="AV63">
            <v>0.41</v>
          </cell>
          <cell r="AW63">
            <v>0.32700000000000001</v>
          </cell>
          <cell r="AX63">
            <v>0.75900000000000001</v>
          </cell>
          <cell r="AZ63">
            <v>0.30299999999999999</v>
          </cell>
          <cell r="BA63">
            <v>0.33600000000000002</v>
          </cell>
          <cell r="BB63">
            <v>0.16699999999999998</v>
          </cell>
          <cell r="BD63">
            <v>80666</v>
          </cell>
          <cell r="BE63">
            <v>0</v>
          </cell>
          <cell r="BF63">
            <v>80666</v>
          </cell>
          <cell r="BH63">
            <v>0.44015626739285751</v>
          </cell>
          <cell r="BI63">
            <v>0</v>
          </cell>
          <cell r="BJ63">
            <v>1.2758918639829235</v>
          </cell>
        </row>
        <row r="64">
          <cell r="B64">
            <v>56</v>
          </cell>
          <cell r="C64">
            <v>13</v>
          </cell>
          <cell r="D64">
            <v>1</v>
          </cell>
          <cell r="E64" t="str">
            <v>Ghaziabad</v>
          </cell>
          <cell r="F64" t="str">
            <v>Split</v>
          </cell>
          <cell r="G64">
            <v>2</v>
          </cell>
          <cell r="H64">
            <v>2703933</v>
          </cell>
          <cell r="I64">
            <v>1455673</v>
          </cell>
          <cell r="J64">
            <v>1248260</v>
          </cell>
          <cell r="K64">
            <v>2467475</v>
          </cell>
          <cell r="L64">
            <v>1649519</v>
          </cell>
          <cell r="M64">
            <v>817956</v>
          </cell>
          <cell r="N64">
            <v>3289540</v>
          </cell>
          <cell r="O64">
            <v>1473559</v>
          </cell>
          <cell r="P64">
            <v>1815981</v>
          </cell>
          <cell r="Q64">
            <v>40.9</v>
          </cell>
          <cell r="R64">
            <v>47.47</v>
          </cell>
          <cell r="S64">
            <v>3.488263410939596E-2</v>
          </cell>
          <cell r="T64">
            <v>3.9609807780575768E-2</v>
          </cell>
          <cell r="U64">
            <v>2.917266095740656E-2</v>
          </cell>
          <cell r="W64">
            <v>656</v>
          </cell>
          <cell r="X64">
            <v>661</v>
          </cell>
          <cell r="Y64">
            <v>666</v>
          </cell>
          <cell r="Z64">
            <v>666</v>
          </cell>
          <cell r="AA64">
            <v>666</v>
          </cell>
          <cell r="AC64">
            <v>6245</v>
          </cell>
          <cell r="AD64">
            <v>6295</v>
          </cell>
          <cell r="AE64">
            <v>6355</v>
          </cell>
          <cell r="AF64">
            <v>6393</v>
          </cell>
          <cell r="AG64">
            <v>6404</v>
          </cell>
          <cell r="AI64">
            <v>1956</v>
          </cell>
          <cell r="AK64">
            <v>421039</v>
          </cell>
          <cell r="AL64">
            <v>208898</v>
          </cell>
          <cell r="AM64">
            <v>212141</v>
          </cell>
          <cell r="AN64">
            <v>375981</v>
          </cell>
          <cell r="AO64">
            <v>246276</v>
          </cell>
          <cell r="AP64">
            <v>129705</v>
          </cell>
          <cell r="AR64">
            <v>481620.47132543416</v>
          </cell>
          <cell r="AS64">
            <v>315472.2265118254</v>
          </cell>
          <cell r="AT64">
            <v>166148.24481360876</v>
          </cell>
          <cell r="AV64">
            <v>0.41</v>
          </cell>
          <cell r="AW64">
            <v>0.32700000000000001</v>
          </cell>
          <cell r="AX64">
            <v>0.75900000000000001</v>
          </cell>
          <cell r="AZ64">
            <v>0.30299999999999999</v>
          </cell>
          <cell r="BA64">
            <v>0.33600000000000002</v>
          </cell>
          <cell r="BB64">
            <v>0.16699999999999998</v>
          </cell>
          <cell r="BD64">
            <v>363146</v>
          </cell>
          <cell r="BE64">
            <v>87694</v>
          </cell>
          <cell r="BF64">
            <v>275452</v>
          </cell>
          <cell r="BH64">
            <v>0.71757701387563022</v>
          </cell>
          <cell r="BI64">
            <v>0.26454584279498849</v>
          </cell>
          <cell r="BJ64">
            <v>1.5777651692208838</v>
          </cell>
        </row>
        <row r="65">
          <cell r="B65">
            <v>57</v>
          </cell>
          <cell r="C65">
            <v>13</v>
          </cell>
          <cell r="D65">
            <v>1</v>
          </cell>
          <cell r="E65" t="str">
            <v>Meerut</v>
          </cell>
          <cell r="F65" t="str">
            <v>Split</v>
          </cell>
          <cell r="G65">
            <v>2</v>
          </cell>
          <cell r="H65">
            <v>3447912</v>
          </cell>
          <cell r="I65">
            <v>2171355</v>
          </cell>
          <cell r="J65">
            <v>1276557</v>
          </cell>
          <cell r="K65">
            <v>2484234</v>
          </cell>
          <cell r="L65">
            <v>1564470</v>
          </cell>
          <cell r="M65">
            <v>919764</v>
          </cell>
          <cell r="N65">
            <v>3001636</v>
          </cell>
          <cell r="O65">
            <v>1544542</v>
          </cell>
          <cell r="P65">
            <v>1457094</v>
          </cell>
          <cell r="Q65">
            <v>24.91</v>
          </cell>
          <cell r="R65">
            <v>24.16</v>
          </cell>
          <cell r="S65">
            <v>2.2491534005144365E-2</v>
          </cell>
          <cell r="T65">
            <v>2.1875931890339206E-2</v>
          </cell>
          <cell r="U65">
            <v>1.9099415271484732E-2</v>
          </cell>
          <cell r="W65">
            <v>0</v>
          </cell>
          <cell r="X65">
            <v>0</v>
          </cell>
          <cell r="Y65">
            <v>0</v>
          </cell>
          <cell r="Z65">
            <v>0</v>
          </cell>
          <cell r="AA65">
            <v>0</v>
          </cell>
          <cell r="AC65">
            <v>2</v>
          </cell>
          <cell r="AD65">
            <v>2</v>
          </cell>
          <cell r="AE65">
            <v>2</v>
          </cell>
          <cell r="AF65">
            <v>2</v>
          </cell>
          <cell r="AG65">
            <v>2</v>
          </cell>
          <cell r="AI65">
            <v>2522</v>
          </cell>
          <cell r="AK65">
            <v>501289</v>
          </cell>
          <cell r="AL65">
            <v>318185</v>
          </cell>
          <cell r="AM65">
            <v>183104</v>
          </cell>
          <cell r="AN65">
            <v>361181</v>
          </cell>
          <cell r="AO65">
            <v>229254</v>
          </cell>
          <cell r="AP65">
            <v>131927</v>
          </cell>
          <cell r="AR65">
            <v>462662.11179232894</v>
          </cell>
          <cell r="AS65">
            <v>293667.55110827694</v>
          </cell>
          <cell r="AT65">
            <v>168994.56068405198</v>
          </cell>
          <cell r="AV65">
            <v>0.41</v>
          </cell>
          <cell r="AW65">
            <v>0.32700000000000001</v>
          </cell>
          <cell r="AX65">
            <v>0.75900000000000001</v>
          </cell>
          <cell r="AZ65">
            <v>0.30299999999999999</v>
          </cell>
          <cell r="BA65">
            <v>0.33600000000000002</v>
          </cell>
          <cell r="BB65">
            <v>0.16699999999999998</v>
          </cell>
          <cell r="BD65">
            <v>250995</v>
          </cell>
          <cell r="BE65">
            <v>90055</v>
          </cell>
          <cell r="BF65">
            <v>160940</v>
          </cell>
          <cell r="BH65">
            <v>0.51628953998705251</v>
          </cell>
          <cell r="BI65">
            <v>0.29183949218209543</v>
          </cell>
          <cell r="BJ65">
            <v>0.90632396250463898</v>
          </cell>
        </row>
        <row r="66">
          <cell r="B66">
            <v>58</v>
          </cell>
          <cell r="C66">
            <v>14</v>
          </cell>
          <cell r="D66">
            <v>4</v>
          </cell>
          <cell r="E66" t="str">
            <v>Mirzapur</v>
          </cell>
          <cell r="H66">
            <v>1657139</v>
          </cell>
          <cell r="I66">
            <v>1428499</v>
          </cell>
          <cell r="J66">
            <v>228640</v>
          </cell>
          <cell r="K66">
            <v>1657139</v>
          </cell>
          <cell r="L66">
            <v>1428499</v>
          </cell>
          <cell r="M66">
            <v>228640</v>
          </cell>
          <cell r="N66">
            <v>2114852</v>
          </cell>
          <cell r="O66">
            <v>1828102</v>
          </cell>
          <cell r="P66">
            <v>286750</v>
          </cell>
          <cell r="Q66">
            <v>31.4</v>
          </cell>
          <cell r="R66">
            <v>27.62</v>
          </cell>
          <cell r="S66">
            <v>2.768386149316715E-2</v>
          </cell>
          <cell r="T66">
            <v>2.4688527955109452E-2</v>
          </cell>
          <cell r="U66">
            <v>2.4689071016630315E-2</v>
          </cell>
          <cell r="W66">
            <v>522</v>
          </cell>
          <cell r="X66">
            <v>524</v>
          </cell>
          <cell r="Y66">
            <v>528</v>
          </cell>
          <cell r="Z66">
            <v>528</v>
          </cell>
          <cell r="AA66">
            <v>528</v>
          </cell>
          <cell r="AC66">
            <v>1711</v>
          </cell>
          <cell r="AD66">
            <v>1761</v>
          </cell>
          <cell r="AE66">
            <v>1827</v>
          </cell>
          <cell r="AF66">
            <v>1906</v>
          </cell>
          <cell r="AG66">
            <v>1943</v>
          </cell>
          <cell r="AI66">
            <v>4522</v>
          </cell>
          <cell r="AK66">
            <v>233908</v>
          </cell>
          <cell r="AL66">
            <v>204543</v>
          </cell>
          <cell r="AM66">
            <v>29365</v>
          </cell>
          <cell r="AN66">
            <v>233908</v>
          </cell>
          <cell r="AO66">
            <v>204543</v>
          </cell>
          <cell r="AP66">
            <v>29365</v>
          </cell>
          <cell r="AR66">
            <v>299629.1865992953</v>
          </cell>
          <cell r="AS66">
            <v>262013.49553918489</v>
          </cell>
          <cell r="AT66">
            <v>37615.69106011041</v>
          </cell>
          <cell r="AV66">
            <v>0.41</v>
          </cell>
          <cell r="AW66">
            <v>0.32700000000000001</v>
          </cell>
          <cell r="AX66">
            <v>0.75900000000000001</v>
          </cell>
          <cell r="AZ66">
            <v>0.30299999999999999</v>
          </cell>
          <cell r="BA66">
            <v>0.33600000000000002</v>
          </cell>
          <cell r="BB66">
            <v>0.16699999999999998</v>
          </cell>
          <cell r="BD66">
            <v>78459</v>
          </cell>
          <cell r="BE66">
            <v>48196</v>
          </cell>
          <cell r="BF66">
            <v>30263</v>
          </cell>
          <cell r="BH66">
            <v>0.24920161083589282</v>
          </cell>
          <cell r="BI66">
            <v>0.17505701816770766</v>
          </cell>
          <cell r="BJ66">
            <v>0.76565852955302571</v>
          </cell>
        </row>
        <row r="67">
          <cell r="B67">
            <v>59</v>
          </cell>
          <cell r="C67">
            <v>14</v>
          </cell>
          <cell r="D67">
            <v>4</v>
          </cell>
          <cell r="E67" t="str">
            <v>Sant Ravidas Nagar Bhadohi</v>
          </cell>
          <cell r="F67" t="str">
            <v>New</v>
          </cell>
          <cell r="G67">
            <v>1</v>
          </cell>
          <cell r="H67">
            <v>0</v>
          </cell>
          <cell r="I67">
            <v>0</v>
          </cell>
          <cell r="J67">
            <v>0</v>
          </cell>
          <cell r="K67">
            <v>1070364</v>
          </cell>
          <cell r="L67">
            <v>779187</v>
          </cell>
          <cell r="M67">
            <v>291177</v>
          </cell>
          <cell r="N67">
            <v>1352056</v>
          </cell>
          <cell r="O67">
            <v>1179423</v>
          </cell>
          <cell r="P67">
            <v>172633</v>
          </cell>
          <cell r="Q67">
            <v>38.159999999999997</v>
          </cell>
          <cell r="R67">
            <v>25.47</v>
          </cell>
          <cell r="S67">
            <v>3.2852327347188126E-2</v>
          </cell>
          <cell r="T67">
            <v>2.2949018069388538E-2</v>
          </cell>
          <cell r="U67">
            <v>2.3637809033460133E-2</v>
          </cell>
          <cell r="W67">
            <v>697</v>
          </cell>
          <cell r="X67">
            <v>702</v>
          </cell>
          <cell r="Y67">
            <v>706</v>
          </cell>
          <cell r="Z67">
            <v>706</v>
          </cell>
          <cell r="AA67">
            <v>706</v>
          </cell>
          <cell r="AC67">
            <v>4777</v>
          </cell>
          <cell r="AD67">
            <v>4841</v>
          </cell>
          <cell r="AE67">
            <v>4992</v>
          </cell>
          <cell r="AF67">
            <v>5060</v>
          </cell>
          <cell r="AG67">
            <v>5135</v>
          </cell>
          <cell r="AI67">
            <v>960</v>
          </cell>
          <cell r="AK67">
            <v>0</v>
          </cell>
          <cell r="AL67">
            <v>0</v>
          </cell>
          <cell r="AM67">
            <v>0</v>
          </cell>
          <cell r="AN67">
            <v>135180</v>
          </cell>
          <cell r="AO67">
            <v>98839</v>
          </cell>
          <cell r="AP67">
            <v>36341</v>
          </cell>
          <cell r="AR67">
            <v>173161.55687061895</v>
          </cell>
          <cell r="AS67">
            <v>126609.81742517464</v>
          </cell>
          <cell r="AT67">
            <v>46551.73944544432</v>
          </cell>
          <cell r="AV67">
            <v>0.41</v>
          </cell>
          <cell r="AW67">
            <v>0.32700000000000001</v>
          </cell>
          <cell r="AX67">
            <v>0.75900000000000001</v>
          </cell>
          <cell r="AZ67">
            <v>0.30299999999999999</v>
          </cell>
          <cell r="BA67">
            <v>0.33600000000000002</v>
          </cell>
          <cell r="BB67">
            <v>0.16699999999999998</v>
          </cell>
          <cell r="BD67">
            <v>42836</v>
          </cell>
          <cell r="BE67">
            <v>22993</v>
          </cell>
          <cell r="BF67">
            <v>19843</v>
          </cell>
          <cell r="BH67">
            <v>0.23542339598310361</v>
          </cell>
          <cell r="BI67">
            <v>0.17283052486549333</v>
          </cell>
          <cell r="BJ67">
            <v>0.40566133077833433</v>
          </cell>
        </row>
        <row r="68">
          <cell r="B68">
            <v>60</v>
          </cell>
          <cell r="C68">
            <v>14</v>
          </cell>
          <cell r="D68">
            <v>4</v>
          </cell>
          <cell r="E68" t="str">
            <v>Sonbhadra</v>
          </cell>
          <cell r="H68">
            <v>1075041</v>
          </cell>
          <cell r="I68">
            <v>930958</v>
          </cell>
          <cell r="J68">
            <v>144083</v>
          </cell>
          <cell r="K68">
            <v>1075041</v>
          </cell>
          <cell r="L68">
            <v>930958</v>
          </cell>
          <cell r="M68">
            <v>144083</v>
          </cell>
          <cell r="N68">
            <v>1463468</v>
          </cell>
          <cell r="O68">
            <v>1186754</v>
          </cell>
          <cell r="P68">
            <v>276714</v>
          </cell>
          <cell r="Q68">
            <v>38.18</v>
          </cell>
          <cell r="R68">
            <v>36.130000000000003</v>
          </cell>
          <cell r="S68">
            <v>3.2867277912497883E-2</v>
          </cell>
          <cell r="T68">
            <v>3.1324617645245967E-2</v>
          </cell>
          <cell r="U68">
            <v>3.132565264149223E-2</v>
          </cell>
          <cell r="W68">
            <v>597</v>
          </cell>
          <cell r="X68">
            <v>597</v>
          </cell>
          <cell r="Y68">
            <v>602</v>
          </cell>
          <cell r="Z68">
            <v>602</v>
          </cell>
          <cell r="AA68">
            <v>602</v>
          </cell>
          <cell r="AC68">
            <v>9142</v>
          </cell>
          <cell r="AD68">
            <v>9216</v>
          </cell>
          <cell r="AE68">
            <v>9698</v>
          </cell>
          <cell r="AF68">
            <v>9954</v>
          </cell>
          <cell r="AG68">
            <v>10099</v>
          </cell>
          <cell r="AI68">
            <v>6788</v>
          </cell>
          <cell r="AK68">
            <v>192584</v>
          </cell>
          <cell r="AL68">
            <v>162303</v>
          </cell>
          <cell r="AM68">
            <v>30281</v>
          </cell>
          <cell r="AN68">
            <v>192584</v>
          </cell>
          <cell r="AO68">
            <v>162303</v>
          </cell>
          <cell r="AP68">
            <v>30281</v>
          </cell>
          <cell r="AR68">
            <v>246694.37245429266</v>
          </cell>
          <cell r="AS68">
            <v>207905.31265551169</v>
          </cell>
          <cell r="AT68">
            <v>38789.059798780982</v>
          </cell>
          <cell r="AV68">
            <v>0.41</v>
          </cell>
          <cell r="AW68">
            <v>0.32700000000000001</v>
          </cell>
          <cell r="AX68">
            <v>0.75900000000000001</v>
          </cell>
          <cell r="AZ68">
            <v>0.30299999999999999</v>
          </cell>
          <cell r="BA68">
            <v>0.33600000000000002</v>
          </cell>
          <cell r="BB68">
            <v>0.16699999999999998</v>
          </cell>
          <cell r="BD68">
            <v>23798</v>
          </cell>
          <cell r="BE68">
            <v>7745</v>
          </cell>
          <cell r="BF68">
            <v>16053</v>
          </cell>
          <cell r="BH68">
            <v>9.1806495533818477E-2</v>
          </cell>
          <cell r="BI68">
            <v>3.5452594803726992E-2</v>
          </cell>
          <cell r="BJ68">
            <v>0.39385752258695533</v>
          </cell>
        </row>
        <row r="69">
          <cell r="B69">
            <v>61</v>
          </cell>
          <cell r="C69">
            <v>15</v>
          </cell>
          <cell r="D69">
            <v>1</v>
          </cell>
          <cell r="E69" t="str">
            <v>Bijnor</v>
          </cell>
          <cell r="H69">
            <v>2454521</v>
          </cell>
          <cell r="I69">
            <v>1839169</v>
          </cell>
          <cell r="J69">
            <v>615352</v>
          </cell>
          <cell r="K69">
            <v>2454521</v>
          </cell>
          <cell r="L69">
            <v>1839169</v>
          </cell>
          <cell r="M69">
            <v>615352</v>
          </cell>
          <cell r="N69">
            <v>3130586</v>
          </cell>
          <cell r="O69">
            <v>2369001</v>
          </cell>
          <cell r="P69">
            <v>761585</v>
          </cell>
          <cell r="Q69">
            <v>27.76</v>
          </cell>
          <cell r="R69">
            <v>27.16</v>
          </cell>
          <cell r="S69">
            <v>2.4800881524607021E-2</v>
          </cell>
          <cell r="T69">
            <v>2.4318583577521258E-2</v>
          </cell>
          <cell r="U69">
            <v>2.4627219070865403E-2</v>
          </cell>
          <cell r="W69">
            <v>971</v>
          </cell>
          <cell r="X69">
            <v>971</v>
          </cell>
          <cell r="Y69">
            <v>975</v>
          </cell>
          <cell r="Z69">
            <v>975</v>
          </cell>
          <cell r="AA69">
            <v>975</v>
          </cell>
          <cell r="AC69">
            <v>25546</v>
          </cell>
          <cell r="AD69">
            <v>25746</v>
          </cell>
          <cell r="AE69">
            <v>26203</v>
          </cell>
          <cell r="AF69">
            <v>26593</v>
          </cell>
          <cell r="AG69">
            <v>26788</v>
          </cell>
          <cell r="AI69">
            <v>4561</v>
          </cell>
          <cell r="AK69">
            <v>372875</v>
          </cell>
          <cell r="AL69">
            <v>286469</v>
          </cell>
          <cell r="AM69">
            <v>86406</v>
          </cell>
          <cell r="AN69">
            <v>372875</v>
          </cell>
          <cell r="AO69">
            <v>286469</v>
          </cell>
          <cell r="AP69">
            <v>86406</v>
          </cell>
          <cell r="AR69">
            <v>477641.77776395949</v>
          </cell>
          <cell r="AS69">
            <v>366958.26331683196</v>
          </cell>
          <cell r="AT69">
            <v>110683.51444712754</v>
          </cell>
          <cell r="AV69">
            <v>0.41</v>
          </cell>
          <cell r="AW69">
            <v>0.32700000000000001</v>
          </cell>
          <cell r="AX69">
            <v>0.75900000000000001</v>
          </cell>
          <cell r="AZ69">
            <v>0.30299999999999999</v>
          </cell>
          <cell r="BA69">
            <v>0.33600000000000002</v>
          </cell>
          <cell r="BB69">
            <v>0.16699999999999998</v>
          </cell>
          <cell r="BD69">
            <v>161879</v>
          </cell>
          <cell r="BE69">
            <v>93207</v>
          </cell>
          <cell r="BF69">
            <v>68672</v>
          </cell>
          <cell r="BH69">
            <v>0.32253763624540649</v>
          </cell>
          <cell r="BI69">
            <v>0.24172638101876123</v>
          </cell>
          <cell r="BJ69">
            <v>0.59045791346599108</v>
          </cell>
        </row>
        <row r="70">
          <cell r="B70">
            <v>62</v>
          </cell>
          <cell r="C70">
            <v>15</v>
          </cell>
          <cell r="D70">
            <v>1</v>
          </cell>
          <cell r="E70" t="str">
            <v>Jyotiba Phule Nagar</v>
          </cell>
          <cell r="F70" t="str">
            <v>New</v>
          </cell>
          <cell r="G70">
            <v>1</v>
          </cell>
          <cell r="H70">
            <v>0</v>
          </cell>
          <cell r="I70">
            <v>0</v>
          </cell>
          <cell r="J70">
            <v>0</v>
          </cell>
          <cell r="K70">
            <v>1177068</v>
          </cell>
          <cell r="L70">
            <v>851608</v>
          </cell>
          <cell r="M70">
            <v>325460</v>
          </cell>
          <cell r="N70">
            <v>1499193</v>
          </cell>
          <cell r="O70">
            <v>1129758</v>
          </cell>
          <cell r="P70">
            <v>369435</v>
          </cell>
          <cell r="Q70">
            <v>28.25</v>
          </cell>
          <cell r="R70">
            <v>29.72</v>
          </cell>
          <cell r="S70">
            <v>2.5193248361054188E-2</v>
          </cell>
          <cell r="T70">
            <v>2.636230638392334E-2</v>
          </cell>
          <cell r="U70">
            <v>2.4484988701083843E-2</v>
          </cell>
          <cell r="W70">
            <v>6</v>
          </cell>
          <cell r="X70">
            <v>6</v>
          </cell>
          <cell r="Y70">
            <v>9</v>
          </cell>
          <cell r="Z70">
            <v>9</v>
          </cell>
          <cell r="AA70">
            <v>9</v>
          </cell>
          <cell r="AC70">
            <v>0</v>
          </cell>
          <cell r="AD70">
            <v>175</v>
          </cell>
          <cell r="AE70">
            <v>0</v>
          </cell>
          <cell r="AF70">
            <v>0</v>
          </cell>
          <cell r="AG70">
            <v>0</v>
          </cell>
          <cell r="AI70">
            <v>2321</v>
          </cell>
          <cell r="AK70">
            <v>0</v>
          </cell>
          <cell r="AL70">
            <v>0</v>
          </cell>
          <cell r="AM70">
            <v>0</v>
          </cell>
          <cell r="AN70">
            <v>172103</v>
          </cell>
          <cell r="AO70">
            <v>128464</v>
          </cell>
          <cell r="AP70">
            <v>43639</v>
          </cell>
          <cell r="AR70">
            <v>220458.82099500025</v>
          </cell>
          <cell r="AS70">
            <v>164558.56074735313</v>
          </cell>
          <cell r="AT70">
            <v>55900.260247647144</v>
          </cell>
          <cell r="AV70">
            <v>0.41</v>
          </cell>
          <cell r="AW70">
            <v>0.32700000000000001</v>
          </cell>
          <cell r="AX70">
            <v>0.75900000000000001</v>
          </cell>
          <cell r="AZ70">
            <v>0.30299999999999999</v>
          </cell>
          <cell r="BA70">
            <v>0.33600000000000002</v>
          </cell>
          <cell r="BB70">
            <v>0.16699999999999998</v>
          </cell>
          <cell r="BD70">
            <v>38159</v>
          </cell>
          <cell r="BE70">
            <v>11529</v>
          </cell>
          <cell r="BF70">
            <v>26630</v>
          </cell>
          <cell r="BH70">
            <v>0.16472582699065666</v>
          </cell>
          <cell r="BI70">
            <v>6.6675050137284197E-2</v>
          </cell>
          <cell r="BJ70">
            <v>0.45336660697396602</v>
          </cell>
        </row>
        <row r="71">
          <cell r="B71">
            <v>63</v>
          </cell>
          <cell r="C71">
            <v>15</v>
          </cell>
          <cell r="D71">
            <v>1</v>
          </cell>
          <cell r="E71" t="str">
            <v>Moradabad</v>
          </cell>
          <cell r="F71" t="str">
            <v>Split</v>
          </cell>
          <cell r="G71">
            <v>2</v>
          </cell>
          <cell r="H71">
            <v>4121035</v>
          </cell>
          <cell r="I71">
            <v>2981566</v>
          </cell>
          <cell r="J71">
            <v>1139469</v>
          </cell>
          <cell r="K71">
            <v>2943967</v>
          </cell>
          <cell r="L71">
            <v>2129958</v>
          </cell>
          <cell r="M71">
            <v>814009</v>
          </cell>
          <cell r="N71">
            <v>3749630</v>
          </cell>
          <cell r="O71">
            <v>2586152</v>
          </cell>
          <cell r="P71">
            <v>1163478</v>
          </cell>
          <cell r="Q71">
            <v>31.89</v>
          </cell>
          <cell r="R71">
            <v>26.45</v>
          </cell>
          <cell r="S71">
            <v>2.8066450579064206E-2</v>
          </cell>
          <cell r="T71">
            <v>2.3745211448876979E-2</v>
          </cell>
          <cell r="U71">
            <v>2.4484867213547812E-2</v>
          </cell>
          <cell r="W71">
            <v>638</v>
          </cell>
          <cell r="X71">
            <v>640</v>
          </cell>
          <cell r="Y71">
            <v>641</v>
          </cell>
          <cell r="Z71">
            <v>641</v>
          </cell>
          <cell r="AA71">
            <v>641</v>
          </cell>
          <cell r="AC71">
            <v>8628</v>
          </cell>
          <cell r="AD71">
            <v>8807</v>
          </cell>
          <cell r="AE71">
            <v>8945</v>
          </cell>
          <cell r="AF71">
            <v>9006</v>
          </cell>
          <cell r="AG71">
            <v>9041</v>
          </cell>
          <cell r="AI71">
            <v>3647</v>
          </cell>
          <cell r="AK71">
            <v>602550</v>
          </cell>
          <cell r="AL71">
            <v>449767</v>
          </cell>
          <cell r="AM71">
            <v>152783</v>
          </cell>
          <cell r="AN71">
            <v>430447</v>
          </cell>
          <cell r="AO71">
            <v>321303</v>
          </cell>
          <cell r="AP71">
            <v>109144</v>
          </cell>
          <cell r="AR71">
            <v>551389.79634773871</v>
          </cell>
          <cell r="AS71">
            <v>411579.58061252022</v>
          </cell>
          <cell r="AT71">
            <v>139810.21573521849</v>
          </cell>
          <cell r="AV71">
            <v>0.41</v>
          </cell>
          <cell r="AW71">
            <v>0.32700000000000001</v>
          </cell>
          <cell r="AX71">
            <v>0.75900000000000001</v>
          </cell>
          <cell r="AZ71">
            <v>0.30299999999999999</v>
          </cell>
          <cell r="BA71">
            <v>0.33600000000000002</v>
          </cell>
          <cell r="BB71">
            <v>0.16699999999999998</v>
          </cell>
          <cell r="BD71">
            <v>176984</v>
          </cell>
          <cell r="BE71">
            <v>60869</v>
          </cell>
          <cell r="BF71">
            <v>116115</v>
          </cell>
          <cell r="BH71">
            <v>0.30546923219786748</v>
          </cell>
          <cell r="BI71">
            <v>0.1407455066244844</v>
          </cell>
          <cell r="BJ71">
            <v>0.79039031991597131</v>
          </cell>
        </row>
        <row r="72">
          <cell r="B72">
            <v>64</v>
          </cell>
          <cell r="C72">
            <v>15</v>
          </cell>
          <cell r="D72">
            <v>1</v>
          </cell>
          <cell r="E72" t="str">
            <v>Rampur</v>
          </cell>
          <cell r="H72">
            <v>1502141</v>
          </cell>
          <cell r="I72">
            <v>1109425</v>
          </cell>
          <cell r="J72">
            <v>392716</v>
          </cell>
          <cell r="K72">
            <v>1502141</v>
          </cell>
          <cell r="L72">
            <v>1109425</v>
          </cell>
          <cell r="M72">
            <v>392716</v>
          </cell>
          <cell r="N72">
            <v>1922450</v>
          </cell>
          <cell r="O72">
            <v>1442386</v>
          </cell>
          <cell r="P72">
            <v>480064</v>
          </cell>
          <cell r="Q72">
            <v>27.45</v>
          </cell>
          <cell r="R72">
            <v>27.98</v>
          </cell>
          <cell r="S72">
            <v>2.4551949395413608E-2</v>
          </cell>
          <cell r="T72">
            <v>2.4977213459784542E-2</v>
          </cell>
          <cell r="U72">
            <v>2.4977743861476887E-2</v>
          </cell>
          <cell r="W72">
            <v>0</v>
          </cell>
          <cell r="X72">
            <v>0</v>
          </cell>
          <cell r="Y72">
            <v>0</v>
          </cell>
          <cell r="Z72">
            <v>0</v>
          </cell>
          <cell r="AA72">
            <v>0</v>
          </cell>
          <cell r="AC72">
            <v>21</v>
          </cell>
          <cell r="AD72">
            <v>21</v>
          </cell>
          <cell r="AE72">
            <v>21</v>
          </cell>
          <cell r="AF72">
            <v>21</v>
          </cell>
          <cell r="AG72">
            <v>21</v>
          </cell>
          <cell r="AI72">
            <v>2367</v>
          </cell>
          <cell r="AK72">
            <v>224785</v>
          </cell>
          <cell r="AL72">
            <v>170500</v>
          </cell>
          <cell r="AM72">
            <v>54285</v>
          </cell>
          <cell r="AN72">
            <v>224785</v>
          </cell>
          <cell r="AO72">
            <v>170500</v>
          </cell>
          <cell r="AP72">
            <v>54285</v>
          </cell>
          <cell r="AR72">
            <v>287942.8951114224</v>
          </cell>
          <cell r="AS72">
            <v>218405.42570232676</v>
          </cell>
          <cell r="AT72">
            <v>69537.469409095647</v>
          </cell>
          <cell r="AV72">
            <v>0.41</v>
          </cell>
          <cell r="AW72">
            <v>0.32700000000000001</v>
          </cell>
          <cell r="AX72">
            <v>0.75900000000000001</v>
          </cell>
          <cell r="AZ72">
            <v>0.30299999999999999</v>
          </cell>
          <cell r="BA72">
            <v>0.33600000000000002</v>
          </cell>
          <cell r="BB72">
            <v>0.16699999999999998</v>
          </cell>
          <cell r="BD72">
            <v>57996</v>
          </cell>
          <cell r="BE72">
            <v>26654</v>
          </cell>
          <cell r="BF72">
            <v>31342</v>
          </cell>
          <cell r="BH72">
            <v>0.19168311849293929</v>
          </cell>
          <cell r="BI72">
            <v>0.11614249793283994</v>
          </cell>
          <cell r="BJ72">
            <v>0.42894342622982679</v>
          </cell>
        </row>
        <row r="73">
          <cell r="B73">
            <v>65</v>
          </cell>
          <cell r="C73">
            <v>16</v>
          </cell>
          <cell r="D73">
            <v>1</v>
          </cell>
          <cell r="E73" t="str">
            <v>Muzaffarnagar</v>
          </cell>
          <cell r="H73">
            <v>2842543</v>
          </cell>
          <cell r="I73">
            <v>2143313</v>
          </cell>
          <cell r="J73">
            <v>699230</v>
          </cell>
          <cell r="K73">
            <v>2842543</v>
          </cell>
          <cell r="L73">
            <v>2143313</v>
          </cell>
          <cell r="M73">
            <v>699230</v>
          </cell>
          <cell r="N73">
            <v>3541952</v>
          </cell>
          <cell r="O73">
            <v>2638123</v>
          </cell>
          <cell r="P73">
            <v>903829</v>
          </cell>
          <cell r="Q73">
            <v>26.42</v>
          </cell>
          <cell r="R73">
            <v>24.61</v>
          </cell>
          <cell r="S73">
            <v>2.372092071282661E-2</v>
          </cell>
          <cell r="T73">
            <v>2.2245693406858003E-2</v>
          </cell>
          <cell r="U73">
            <v>2.2241628923095336E-2</v>
          </cell>
          <cell r="W73">
            <v>205</v>
          </cell>
          <cell r="X73">
            <v>205</v>
          </cell>
          <cell r="Y73">
            <v>210</v>
          </cell>
          <cell r="Z73">
            <v>210</v>
          </cell>
          <cell r="AA73">
            <v>210</v>
          </cell>
          <cell r="AC73">
            <v>9444</v>
          </cell>
          <cell r="AD73">
            <v>9585</v>
          </cell>
          <cell r="AE73">
            <v>9726</v>
          </cell>
          <cell r="AF73">
            <v>9843</v>
          </cell>
          <cell r="AG73">
            <v>9965</v>
          </cell>
          <cell r="AI73">
            <v>4008</v>
          </cell>
          <cell r="AK73">
            <v>424027</v>
          </cell>
          <cell r="AL73">
            <v>324619</v>
          </cell>
          <cell r="AM73">
            <v>99408</v>
          </cell>
          <cell r="AN73">
            <v>424027</v>
          </cell>
          <cell r="AO73">
            <v>324619</v>
          </cell>
          <cell r="AP73">
            <v>99408</v>
          </cell>
          <cell r="AR73">
            <v>543165.967415135</v>
          </cell>
          <cell r="AS73">
            <v>415827.27792412677</v>
          </cell>
          <cell r="AT73">
            <v>127338.6894910082</v>
          </cell>
          <cell r="AV73">
            <v>0.41</v>
          </cell>
          <cell r="AW73">
            <v>0.32700000000000001</v>
          </cell>
          <cell r="AX73">
            <v>0.75900000000000001</v>
          </cell>
          <cell r="AZ73">
            <v>0.30299999999999999</v>
          </cell>
          <cell r="BA73">
            <v>0.33600000000000002</v>
          </cell>
          <cell r="BB73">
            <v>0.16699999999999998</v>
          </cell>
          <cell r="BD73">
            <v>221450</v>
          </cell>
          <cell r="BE73">
            <v>130889</v>
          </cell>
          <cell r="BF73">
            <v>90561</v>
          </cell>
          <cell r="BH73">
            <v>0.38800321634736418</v>
          </cell>
          <cell r="BI73">
            <v>0.29955899607652953</v>
          </cell>
          <cell r="BJ73">
            <v>0.67681975364917191</v>
          </cell>
        </row>
        <row r="74">
          <cell r="B74">
            <v>66</v>
          </cell>
          <cell r="C74">
            <v>16</v>
          </cell>
          <cell r="D74">
            <v>1</v>
          </cell>
          <cell r="E74" t="str">
            <v>Saharanpur</v>
          </cell>
          <cell r="H74">
            <v>2309029</v>
          </cell>
          <cell r="I74">
            <v>1719377</v>
          </cell>
          <cell r="J74">
            <v>589652</v>
          </cell>
          <cell r="K74">
            <v>2309029</v>
          </cell>
          <cell r="L74">
            <v>1719377</v>
          </cell>
          <cell r="M74">
            <v>589652</v>
          </cell>
          <cell r="N74">
            <v>2848152</v>
          </cell>
          <cell r="O74">
            <v>2103408</v>
          </cell>
          <cell r="P74">
            <v>744744</v>
          </cell>
          <cell r="Q74">
            <v>26.76</v>
          </cell>
          <cell r="R74">
            <v>23.35</v>
          </cell>
          <cell r="S74">
            <v>2.3995912472692504E-2</v>
          </cell>
          <cell r="T74">
            <v>2.1207311117154015E-2</v>
          </cell>
          <cell r="U74">
            <v>2.120604646314872E-2</v>
          </cell>
          <cell r="X74">
            <v>0</v>
          </cell>
          <cell r="Y74">
            <v>0</v>
          </cell>
          <cell r="Z74">
            <v>0</v>
          </cell>
          <cell r="AA74">
            <v>0</v>
          </cell>
          <cell r="AD74">
            <v>0</v>
          </cell>
          <cell r="AE74">
            <v>0</v>
          </cell>
          <cell r="AF74">
            <v>0</v>
          </cell>
          <cell r="AG74">
            <v>0</v>
          </cell>
          <cell r="AI74">
            <v>3689</v>
          </cell>
          <cell r="AK74">
            <v>367287</v>
          </cell>
          <cell r="AL74">
            <v>275735</v>
          </cell>
          <cell r="AM74">
            <v>91552</v>
          </cell>
          <cell r="AN74">
            <v>367287</v>
          </cell>
          <cell r="AO74">
            <v>275735</v>
          </cell>
          <cell r="AP74">
            <v>91552</v>
          </cell>
          <cell r="AR74">
            <v>470483.71606997354</v>
          </cell>
          <cell r="AS74">
            <v>353208.32877437578</v>
          </cell>
          <cell r="AT74">
            <v>117275.38729559777</v>
          </cell>
          <cell r="AV74">
            <v>0.41</v>
          </cell>
          <cell r="AW74">
            <v>0.32700000000000001</v>
          </cell>
          <cell r="AX74">
            <v>0.75900000000000001</v>
          </cell>
          <cell r="AZ74">
            <v>0.30299999999999999</v>
          </cell>
          <cell r="BA74">
            <v>0.33600000000000002</v>
          </cell>
          <cell r="BB74">
            <v>0.16699999999999998</v>
          </cell>
          <cell r="BD74">
            <v>191369</v>
          </cell>
          <cell r="BE74">
            <v>94914</v>
          </cell>
          <cell r="BF74">
            <v>96455</v>
          </cell>
          <cell r="BH74">
            <v>0.38709644499907664</v>
          </cell>
          <cell r="BI74">
            <v>0.25573580250499112</v>
          </cell>
          <cell r="BJ74">
            <v>0.78272654328318492</v>
          </cell>
        </row>
        <row r="75">
          <cell r="B75">
            <v>67</v>
          </cell>
          <cell r="C75">
            <v>17</v>
          </cell>
          <cell r="D75">
            <v>4</v>
          </cell>
          <cell r="E75" t="str">
            <v>Chandauli</v>
          </cell>
          <cell r="F75" t="str">
            <v>New</v>
          </cell>
          <cell r="G75">
            <v>1</v>
          </cell>
          <cell r="H75">
            <v>0</v>
          </cell>
          <cell r="I75">
            <v>0</v>
          </cell>
          <cell r="J75">
            <v>0</v>
          </cell>
          <cell r="K75">
            <v>1298141</v>
          </cell>
          <cell r="L75">
            <v>945002</v>
          </cell>
          <cell r="M75">
            <v>353139</v>
          </cell>
          <cell r="N75">
            <v>1639777</v>
          </cell>
          <cell r="O75">
            <v>1466354</v>
          </cell>
          <cell r="P75">
            <v>173423</v>
          </cell>
          <cell r="Q75">
            <v>27.33</v>
          </cell>
          <cell r="R75">
            <v>28.63</v>
          </cell>
          <cell r="S75">
            <v>2.4455442250034265E-2</v>
          </cell>
          <cell r="T75">
            <v>2.5496605067313327E-2</v>
          </cell>
          <cell r="U75">
            <v>2.3637747266854525E-2</v>
          </cell>
          <cell r="W75">
            <v>1</v>
          </cell>
          <cell r="X75">
            <v>1</v>
          </cell>
          <cell r="Y75">
            <v>1</v>
          </cell>
          <cell r="Z75">
            <v>1</v>
          </cell>
          <cell r="AA75">
            <v>1</v>
          </cell>
          <cell r="AC75">
            <v>0</v>
          </cell>
          <cell r="AD75">
            <v>0</v>
          </cell>
          <cell r="AE75">
            <v>0</v>
          </cell>
          <cell r="AF75">
            <v>0</v>
          </cell>
          <cell r="AG75">
            <v>0</v>
          </cell>
          <cell r="AI75">
            <v>2554</v>
          </cell>
          <cell r="AK75">
            <v>0</v>
          </cell>
          <cell r="AL75">
            <v>0</v>
          </cell>
          <cell r="AM75">
            <v>0</v>
          </cell>
          <cell r="AN75">
            <v>163949</v>
          </cell>
          <cell r="AO75">
            <v>119875</v>
          </cell>
          <cell r="AP75">
            <v>44074</v>
          </cell>
          <cell r="AR75">
            <v>210013.78966845028</v>
          </cell>
          <cell r="AS75">
            <v>153556.30736695847</v>
          </cell>
          <cell r="AT75">
            <v>56457.482301491786</v>
          </cell>
          <cell r="AV75">
            <v>0.41</v>
          </cell>
          <cell r="AW75">
            <v>0.32700000000000001</v>
          </cell>
          <cell r="AX75">
            <v>0.75900000000000001</v>
          </cell>
          <cell r="AZ75">
            <v>0.30299999999999999</v>
          </cell>
          <cell r="BA75">
            <v>0.33600000000000002</v>
          </cell>
          <cell r="BB75">
            <v>0.16699999999999998</v>
          </cell>
          <cell r="BD75">
            <v>28022</v>
          </cell>
          <cell r="BE75">
            <v>18573</v>
          </cell>
          <cell r="BF75">
            <v>9449</v>
          </cell>
          <cell r="BH75">
            <v>0.12698239354220275</v>
          </cell>
          <cell r="BI75">
            <v>0.11510828698016799</v>
          </cell>
          <cell r="BJ75">
            <v>0.15927827147758239</v>
          </cell>
        </row>
        <row r="76">
          <cell r="B76">
            <v>68</v>
          </cell>
          <cell r="C76">
            <v>17</v>
          </cell>
          <cell r="D76">
            <v>4</v>
          </cell>
          <cell r="E76" t="str">
            <v>Ghazipur</v>
          </cell>
          <cell r="H76">
            <v>2416617</v>
          </cell>
          <cell r="I76">
            <v>2238315</v>
          </cell>
          <cell r="J76">
            <v>178302</v>
          </cell>
          <cell r="K76">
            <v>2416617</v>
          </cell>
          <cell r="L76">
            <v>2238315</v>
          </cell>
          <cell r="M76">
            <v>178302</v>
          </cell>
          <cell r="N76">
            <v>3049337</v>
          </cell>
          <cell r="O76">
            <v>2816348</v>
          </cell>
          <cell r="P76">
            <v>232989</v>
          </cell>
          <cell r="Q76">
            <v>24.27</v>
          </cell>
          <cell r="R76">
            <v>26.18</v>
          </cell>
          <cell r="S76">
            <v>2.1966429283679201E-2</v>
          </cell>
          <cell r="T76">
            <v>2.3526407844567165E-2</v>
          </cell>
          <cell r="U76">
            <v>2.352807503969867E-2</v>
          </cell>
          <cell r="W76">
            <v>844</v>
          </cell>
          <cell r="X76">
            <v>848</v>
          </cell>
          <cell r="Y76">
            <v>857</v>
          </cell>
          <cell r="Z76">
            <v>857</v>
          </cell>
          <cell r="AA76">
            <v>857</v>
          </cell>
          <cell r="AC76">
            <v>15254</v>
          </cell>
          <cell r="AD76">
            <v>15405</v>
          </cell>
          <cell r="AE76">
            <v>15893</v>
          </cell>
          <cell r="AF76">
            <v>16403</v>
          </cell>
          <cell r="AG76">
            <v>16520</v>
          </cell>
          <cell r="AI76">
            <v>3377</v>
          </cell>
          <cell r="AK76">
            <v>341149</v>
          </cell>
          <cell r="AL76">
            <v>318075</v>
          </cell>
          <cell r="AM76">
            <v>23074</v>
          </cell>
          <cell r="AN76">
            <v>341149</v>
          </cell>
          <cell r="AO76">
            <v>318075</v>
          </cell>
          <cell r="AP76">
            <v>23074</v>
          </cell>
          <cell r="AR76">
            <v>437001.7159702233</v>
          </cell>
          <cell r="AS76">
            <v>407444.60868192132</v>
          </cell>
          <cell r="AT76">
            <v>29557.107288301981</v>
          </cell>
          <cell r="AV76">
            <v>0.41</v>
          </cell>
          <cell r="AW76">
            <v>0.32700000000000001</v>
          </cell>
          <cell r="AX76">
            <v>0.75900000000000001</v>
          </cell>
          <cell r="AZ76">
            <v>0.30299999999999999</v>
          </cell>
          <cell r="BA76">
            <v>0.33600000000000002</v>
          </cell>
          <cell r="BB76">
            <v>0.16699999999999998</v>
          </cell>
          <cell r="BD76">
            <v>108922</v>
          </cell>
          <cell r="BE76">
            <v>87767</v>
          </cell>
          <cell r="BF76">
            <v>21155</v>
          </cell>
          <cell r="BH76">
            <v>0.23720544661178103</v>
          </cell>
          <cell r="BI76">
            <v>0.20500047638641103</v>
          </cell>
          <cell r="BJ76">
            <v>0.68115083555321121</v>
          </cell>
        </row>
        <row r="77">
          <cell r="B77">
            <v>69</v>
          </cell>
          <cell r="C77">
            <v>17</v>
          </cell>
          <cell r="D77">
            <v>4</v>
          </cell>
          <cell r="E77" t="str">
            <v>Jaunpur</v>
          </cell>
          <cell r="H77">
            <v>3214636</v>
          </cell>
          <cell r="I77">
            <v>2993297</v>
          </cell>
          <cell r="J77">
            <v>221339</v>
          </cell>
          <cell r="K77">
            <v>3214636</v>
          </cell>
          <cell r="L77">
            <v>2993297</v>
          </cell>
          <cell r="M77">
            <v>221339</v>
          </cell>
          <cell r="N77">
            <v>3911305</v>
          </cell>
          <cell r="O77">
            <v>3622168</v>
          </cell>
          <cell r="P77">
            <v>289137</v>
          </cell>
          <cell r="Q77">
            <v>26.92</v>
          </cell>
          <cell r="R77">
            <v>21.67</v>
          </cell>
          <cell r="S77">
            <v>2.4125090730155119E-2</v>
          </cell>
          <cell r="T77">
            <v>1.9807850391679871E-2</v>
          </cell>
          <cell r="U77">
            <v>1.9809346460711197E-2</v>
          </cell>
          <cell r="X77">
            <v>0</v>
          </cell>
          <cell r="Y77">
            <v>0</v>
          </cell>
          <cell r="Z77">
            <v>0</v>
          </cell>
          <cell r="AA77">
            <v>0</v>
          </cell>
          <cell r="AD77">
            <v>0</v>
          </cell>
          <cell r="AE77">
            <v>0</v>
          </cell>
          <cell r="AF77">
            <v>0</v>
          </cell>
          <cell r="AG77">
            <v>0</v>
          </cell>
          <cell r="AI77">
            <v>4038</v>
          </cell>
          <cell r="AK77">
            <v>416729</v>
          </cell>
          <cell r="AL77">
            <v>387440</v>
          </cell>
          <cell r="AM77">
            <v>29289</v>
          </cell>
          <cell r="AN77">
            <v>416729</v>
          </cell>
          <cell r="AO77">
            <v>387440</v>
          </cell>
          <cell r="AP77">
            <v>29289</v>
          </cell>
          <cell r="AR77">
            <v>533817.44661293214</v>
          </cell>
          <cell r="AS77">
            <v>496299.10929096473</v>
          </cell>
          <cell r="AT77">
            <v>37518.337321967439</v>
          </cell>
          <cell r="AV77">
            <v>0.41</v>
          </cell>
          <cell r="AW77">
            <v>0.32700000000000001</v>
          </cell>
          <cell r="AX77">
            <v>0.75900000000000001</v>
          </cell>
          <cell r="AZ77">
            <v>0.30299999999999999</v>
          </cell>
          <cell r="BA77">
            <v>0.33600000000000002</v>
          </cell>
          <cell r="BB77">
            <v>0.16699999999999998</v>
          </cell>
          <cell r="BD77">
            <v>125326</v>
          </cell>
          <cell r="BE77">
            <v>93244</v>
          </cell>
          <cell r="BF77">
            <v>32082</v>
          </cell>
          <cell r="BH77">
            <v>0.2234295480609054</v>
          </cell>
          <cell r="BI77">
            <v>0.17880085532411252</v>
          </cell>
          <cell r="BJ77">
            <v>0.8137856788247767</v>
          </cell>
        </row>
        <row r="78">
          <cell r="B78">
            <v>70</v>
          </cell>
          <cell r="C78">
            <v>17</v>
          </cell>
          <cell r="D78">
            <v>4</v>
          </cell>
          <cell r="E78" t="str">
            <v>Varanasi</v>
          </cell>
          <cell r="F78" t="str">
            <v>Split</v>
          </cell>
          <cell r="G78">
            <v>2</v>
          </cell>
          <cell r="H78">
            <v>4860582</v>
          </cell>
          <cell r="I78">
            <v>3538334</v>
          </cell>
          <cell r="J78">
            <v>1322248</v>
          </cell>
          <cell r="K78">
            <v>2492077</v>
          </cell>
          <cell r="L78">
            <v>1814145</v>
          </cell>
          <cell r="M78">
            <v>677932</v>
          </cell>
          <cell r="N78">
            <v>3147927</v>
          </cell>
          <cell r="O78">
            <v>1879405</v>
          </cell>
          <cell r="P78">
            <v>1268522</v>
          </cell>
          <cell r="Q78">
            <v>30.65</v>
          </cell>
          <cell r="R78">
            <v>25.51</v>
          </cell>
          <cell r="S78">
            <v>2.7095771857297279E-2</v>
          </cell>
          <cell r="T78">
            <v>2.2981625140236606E-2</v>
          </cell>
          <cell r="U78">
            <v>2.3637811315496915E-2</v>
          </cell>
          <cell r="W78">
            <v>296</v>
          </cell>
          <cell r="X78">
            <v>300</v>
          </cell>
          <cell r="Y78">
            <v>302</v>
          </cell>
          <cell r="Z78">
            <v>302</v>
          </cell>
          <cell r="AA78">
            <v>302</v>
          </cell>
          <cell r="AC78">
            <v>6029</v>
          </cell>
          <cell r="AD78">
            <v>6070</v>
          </cell>
          <cell r="AE78">
            <v>6154</v>
          </cell>
          <cell r="AF78">
            <v>6214</v>
          </cell>
          <cell r="AG78">
            <v>6249</v>
          </cell>
          <cell r="AI78">
            <v>1578</v>
          </cell>
          <cell r="AK78">
            <v>613863</v>
          </cell>
          <cell r="AL78">
            <v>448837</v>
          </cell>
          <cell r="AM78">
            <v>165026</v>
          </cell>
          <cell r="AN78">
            <v>314734</v>
          </cell>
          <cell r="AO78">
            <v>230123</v>
          </cell>
          <cell r="AP78">
            <v>84611</v>
          </cell>
          <cell r="AR78">
            <v>403164.88711434673</v>
          </cell>
          <cell r="AS78">
            <v>294780.71424572752</v>
          </cell>
          <cell r="AT78">
            <v>108384.17286861918</v>
          </cell>
          <cell r="AV78">
            <v>0.41</v>
          </cell>
          <cell r="AW78">
            <v>0.32700000000000001</v>
          </cell>
          <cell r="AX78">
            <v>0.75900000000000001</v>
          </cell>
          <cell r="AZ78">
            <v>0.30299999999999999</v>
          </cell>
          <cell r="BA78">
            <v>0.33600000000000002</v>
          </cell>
          <cell r="BB78">
            <v>0.16699999999999998</v>
          </cell>
          <cell r="BD78">
            <v>218343</v>
          </cell>
          <cell r="BE78">
            <v>79568</v>
          </cell>
          <cell r="BF78">
            <v>138775</v>
          </cell>
          <cell r="BH78">
            <v>0.51540516235749068</v>
          </cell>
          <cell r="BI78">
            <v>0.25688075389999671</v>
          </cell>
          <cell r="BJ78">
            <v>1.2185337443085831</v>
          </cell>
        </row>
      </sheetData>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Basis"/>
      <sheetName val="Division"/>
      <sheetName val="Group"/>
      <sheetName val="Fore_Sum"/>
      <sheetName val="Individ"/>
      <sheetName val="2003_Sum"/>
      <sheetName val="Adjustments"/>
      <sheetName val="E_Div"/>
      <sheetName val="Utility"/>
      <sheetName val="Admin"/>
      <sheetName val="Region"/>
      <sheetName val="Sens"/>
      <sheetName val="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v>1</v>
          </cell>
          <cell r="C9">
            <v>1</v>
          </cell>
          <cell r="D9">
            <v>2</v>
          </cell>
          <cell r="E9" t="str">
            <v>Agra</v>
          </cell>
          <cell r="H9">
            <v>2751021</v>
          </cell>
          <cell r="I9">
            <v>1639935</v>
          </cell>
          <cell r="J9">
            <v>1111086</v>
          </cell>
          <cell r="K9">
            <v>2751021</v>
          </cell>
          <cell r="L9">
            <v>1639935</v>
          </cell>
          <cell r="M9">
            <v>1111086</v>
          </cell>
          <cell r="N9">
            <v>3611301</v>
          </cell>
          <cell r="O9">
            <v>2053956</v>
          </cell>
          <cell r="P9">
            <v>1557345</v>
          </cell>
          <cell r="Q9">
            <v>21.9</v>
          </cell>
          <cell r="R9">
            <v>31.27</v>
          </cell>
          <cell r="S9">
            <v>2.0000466908915326E-2</v>
          </cell>
          <cell r="T9">
            <v>2.7582142757814898E-2</v>
          </cell>
          <cell r="U9">
            <v>2.7583159540985669E-2</v>
          </cell>
          <cell r="X9">
            <v>0</v>
          </cell>
          <cell r="Y9">
            <v>0</v>
          </cell>
          <cell r="Z9">
            <v>0</v>
          </cell>
          <cell r="AA9">
            <v>0</v>
          </cell>
          <cell r="AD9">
            <v>127</v>
          </cell>
          <cell r="AE9">
            <v>0</v>
          </cell>
          <cell r="AF9">
            <v>0</v>
          </cell>
          <cell r="AG9">
            <v>0</v>
          </cell>
          <cell r="AI9">
            <v>4027</v>
          </cell>
          <cell r="AK9">
            <v>408624</v>
          </cell>
          <cell r="AL9">
            <v>244263</v>
          </cell>
          <cell r="AM9">
            <v>164361</v>
          </cell>
          <cell r="AN9">
            <v>408624</v>
          </cell>
          <cell r="AO9">
            <v>244263</v>
          </cell>
          <cell r="AP9">
            <v>164361</v>
          </cell>
          <cell r="AR9">
            <v>523435.18282807962</v>
          </cell>
          <cell r="AS9">
            <v>312893.6334212753</v>
          </cell>
          <cell r="AT9">
            <v>210541.54940680429</v>
          </cell>
          <cell r="AV9">
            <v>0.41</v>
          </cell>
          <cell r="AW9">
            <v>0.32700000000000001</v>
          </cell>
          <cell r="AX9">
            <v>0.75900000000000001</v>
          </cell>
          <cell r="AZ9">
            <v>0.30299999999999999</v>
          </cell>
          <cell r="BA9">
            <v>0.33600000000000002</v>
          </cell>
          <cell r="BB9">
            <v>0.16699999999999998</v>
          </cell>
          <cell r="BD9">
            <v>265118</v>
          </cell>
          <cell r="BE9">
            <v>60212</v>
          </cell>
          <cell r="BF9">
            <v>204906</v>
          </cell>
          <cell r="BH9">
            <v>0.4820238158517684</v>
          </cell>
          <cell r="BI9">
            <v>0.18313802171063515</v>
          </cell>
          <cell r="BJ9">
            <v>0.92620911975169373</v>
          </cell>
        </row>
        <row r="10">
          <cell r="B10">
            <v>2</v>
          </cell>
          <cell r="C10">
            <v>1</v>
          </cell>
          <cell r="D10">
            <v>2</v>
          </cell>
          <cell r="E10" t="str">
            <v>Aligarh</v>
          </cell>
          <cell r="F10" t="str">
            <v>Split</v>
          </cell>
          <cell r="G10">
            <v>2</v>
          </cell>
          <cell r="H10">
            <v>3295982</v>
          </cell>
          <cell r="I10">
            <v>2467484</v>
          </cell>
          <cell r="J10">
            <v>828498</v>
          </cell>
          <cell r="K10">
            <v>2444929</v>
          </cell>
          <cell r="L10">
            <v>1844475</v>
          </cell>
          <cell r="M10">
            <v>600454</v>
          </cell>
          <cell r="N10">
            <v>2990388</v>
          </cell>
          <cell r="O10">
            <v>2127003</v>
          </cell>
          <cell r="P10">
            <v>863385</v>
          </cell>
          <cell r="Q10">
            <v>29.95</v>
          </cell>
          <cell r="R10">
            <v>22.08</v>
          </cell>
          <cell r="S10">
            <v>2.6544140482980705E-2</v>
          </cell>
          <cell r="T10">
            <v>2.0150982249028893E-2</v>
          </cell>
          <cell r="U10">
            <v>2.0342858012730503E-2</v>
          </cell>
          <cell r="W10">
            <v>78</v>
          </cell>
          <cell r="X10">
            <v>79</v>
          </cell>
          <cell r="Y10">
            <v>80</v>
          </cell>
          <cell r="Z10">
            <v>80</v>
          </cell>
          <cell r="AA10">
            <v>80</v>
          </cell>
          <cell r="AC10">
            <v>496</v>
          </cell>
          <cell r="AD10">
            <v>504</v>
          </cell>
          <cell r="AE10">
            <v>512</v>
          </cell>
          <cell r="AF10">
            <v>519</v>
          </cell>
          <cell r="AG10">
            <v>526</v>
          </cell>
          <cell r="AI10">
            <v>3747</v>
          </cell>
          <cell r="AK10">
            <v>476103</v>
          </cell>
          <cell r="AL10">
            <v>377048</v>
          </cell>
          <cell r="AM10">
            <v>99055</v>
          </cell>
          <cell r="AN10">
            <v>358280</v>
          </cell>
          <cell r="AO10">
            <v>281146</v>
          </cell>
          <cell r="AP10">
            <v>77134</v>
          </cell>
          <cell r="AR10">
            <v>458946.0171297926</v>
          </cell>
          <cell r="AS10">
            <v>360139.6587361077</v>
          </cell>
          <cell r="AT10">
            <v>98806.358393684888</v>
          </cell>
          <cell r="AV10">
            <v>0.41</v>
          </cell>
          <cell r="AW10">
            <v>0.32700000000000001</v>
          </cell>
          <cell r="AX10">
            <v>0.75900000000000001</v>
          </cell>
          <cell r="AZ10">
            <v>0.30299999999999999</v>
          </cell>
          <cell r="BA10">
            <v>0.33600000000000002</v>
          </cell>
          <cell r="BB10">
            <v>0.16699999999999998</v>
          </cell>
          <cell r="BD10">
            <v>146900</v>
          </cell>
          <cell r="BE10">
            <v>59377</v>
          </cell>
          <cell r="BF10">
            <v>87523</v>
          </cell>
          <cell r="BH10">
            <v>0.30461576965264875</v>
          </cell>
          <cell r="BI10">
            <v>0.1569059795929342</v>
          </cell>
          <cell r="BJ10">
            <v>0.84300372614561558</v>
          </cell>
        </row>
        <row r="11">
          <cell r="B11">
            <v>3</v>
          </cell>
          <cell r="C11">
            <v>1</v>
          </cell>
          <cell r="D11">
            <v>2</v>
          </cell>
          <cell r="E11" t="str">
            <v>Etah</v>
          </cell>
          <cell r="H11">
            <v>2244998</v>
          </cell>
          <cell r="I11">
            <v>1869740</v>
          </cell>
          <cell r="J11">
            <v>375258</v>
          </cell>
          <cell r="K11">
            <v>2244998</v>
          </cell>
          <cell r="L11">
            <v>1869740</v>
          </cell>
          <cell r="M11">
            <v>375258</v>
          </cell>
          <cell r="N11">
            <v>2788270</v>
          </cell>
          <cell r="O11">
            <v>2304713</v>
          </cell>
          <cell r="P11">
            <v>483557</v>
          </cell>
          <cell r="Q11">
            <v>20.78</v>
          </cell>
          <cell r="R11">
            <v>24.2</v>
          </cell>
          <cell r="S11">
            <v>1.905940744315382E-2</v>
          </cell>
          <cell r="T11">
            <v>2.1908848379270873E-2</v>
          </cell>
          <cell r="U11">
            <v>2.190820641513036E-2</v>
          </cell>
          <cell r="W11">
            <v>0</v>
          </cell>
          <cell r="X11">
            <v>0</v>
          </cell>
          <cell r="Y11">
            <v>0</v>
          </cell>
          <cell r="Z11">
            <v>0</v>
          </cell>
          <cell r="AA11">
            <v>0</v>
          </cell>
          <cell r="AC11">
            <v>0</v>
          </cell>
          <cell r="AD11">
            <v>0</v>
          </cell>
          <cell r="AE11">
            <v>0</v>
          </cell>
          <cell r="AF11">
            <v>0</v>
          </cell>
          <cell r="AG11">
            <v>9688</v>
          </cell>
          <cell r="AI11">
            <v>4446</v>
          </cell>
          <cell r="AK11">
            <v>356156</v>
          </cell>
          <cell r="AL11">
            <v>300292</v>
          </cell>
          <cell r="AM11">
            <v>55864</v>
          </cell>
          <cell r="AN11">
            <v>356156</v>
          </cell>
          <cell r="AO11">
            <v>300292</v>
          </cell>
          <cell r="AP11">
            <v>55864</v>
          </cell>
          <cell r="AR11">
            <v>456225.23634274426</v>
          </cell>
          <cell r="AS11">
            <v>384665.11492670444</v>
          </cell>
          <cell r="AT11">
            <v>71560.121416039779</v>
          </cell>
          <cell r="AV11">
            <v>0.41</v>
          </cell>
          <cell r="AW11">
            <v>0.32700000000000001</v>
          </cell>
          <cell r="AX11">
            <v>0.75900000000000001</v>
          </cell>
          <cell r="AZ11">
            <v>0.30299999999999999</v>
          </cell>
          <cell r="BA11">
            <v>0.33600000000000002</v>
          </cell>
          <cell r="BB11">
            <v>0.16699999999999998</v>
          </cell>
          <cell r="BD11">
            <v>64529</v>
          </cell>
          <cell r="BE11">
            <v>21127</v>
          </cell>
          <cell r="BF11">
            <v>43402</v>
          </cell>
          <cell r="BH11">
            <v>0.13460705484771629</v>
          </cell>
          <cell r="BI11">
            <v>5.2269364777529116E-2</v>
          </cell>
          <cell r="BJ11">
            <v>0.57720603856812025</v>
          </cell>
        </row>
        <row r="12">
          <cell r="B12">
            <v>4</v>
          </cell>
          <cell r="C12">
            <v>1</v>
          </cell>
          <cell r="D12">
            <v>2</v>
          </cell>
          <cell r="E12" t="str">
            <v>Firozabad</v>
          </cell>
          <cell r="H12">
            <v>1533054</v>
          </cell>
          <cell r="I12">
            <v>1125494</v>
          </cell>
          <cell r="J12">
            <v>407560</v>
          </cell>
          <cell r="K12">
            <v>1533054</v>
          </cell>
          <cell r="L12">
            <v>1125494</v>
          </cell>
          <cell r="M12">
            <v>407560</v>
          </cell>
          <cell r="N12">
            <v>2045737</v>
          </cell>
          <cell r="O12">
            <v>1424674</v>
          </cell>
          <cell r="P12">
            <v>621063</v>
          </cell>
          <cell r="Q12">
            <v>21.65</v>
          </cell>
          <cell r="R12">
            <v>33.44</v>
          </cell>
          <cell r="S12">
            <v>1.9791085646154727E-2</v>
          </cell>
          <cell r="T12">
            <v>2.9268314219929925E-2</v>
          </cell>
          <cell r="U12">
            <v>2.9269810656407325E-2</v>
          </cell>
          <cell r="W12">
            <v>767</v>
          </cell>
          <cell r="X12">
            <v>768</v>
          </cell>
          <cell r="Y12">
            <v>768</v>
          </cell>
          <cell r="Z12">
            <v>768</v>
          </cell>
          <cell r="AA12">
            <v>768</v>
          </cell>
          <cell r="AC12">
            <v>29387</v>
          </cell>
          <cell r="AD12">
            <v>29693</v>
          </cell>
          <cell r="AE12">
            <v>30113</v>
          </cell>
          <cell r="AF12">
            <v>30420</v>
          </cell>
          <cell r="AG12">
            <v>30665</v>
          </cell>
          <cell r="AI12">
            <v>2361</v>
          </cell>
          <cell r="AK12">
            <v>229882</v>
          </cell>
          <cell r="AL12">
            <v>171735</v>
          </cell>
          <cell r="AM12">
            <v>58147</v>
          </cell>
          <cell r="AN12">
            <v>229882</v>
          </cell>
          <cell r="AO12">
            <v>171735</v>
          </cell>
          <cell r="AP12">
            <v>58147</v>
          </cell>
          <cell r="AR12">
            <v>294472.00041819521</v>
          </cell>
          <cell r="AS12">
            <v>219987.42394715006</v>
          </cell>
          <cell r="AT12">
            <v>74484.576471045133</v>
          </cell>
          <cell r="AV12">
            <v>0.41</v>
          </cell>
          <cell r="AW12">
            <v>0.32700000000000001</v>
          </cell>
          <cell r="AX12">
            <v>0.75900000000000001</v>
          </cell>
          <cell r="AZ12">
            <v>0.30299999999999999</v>
          </cell>
          <cell r="BA12">
            <v>0.33600000000000002</v>
          </cell>
          <cell r="BB12">
            <v>0.16699999999999998</v>
          </cell>
          <cell r="BD12">
            <v>74434</v>
          </cell>
          <cell r="BE12">
            <v>25341</v>
          </cell>
          <cell r="BF12">
            <v>49093</v>
          </cell>
          <cell r="BH12">
            <v>0.2405578555253565</v>
          </cell>
          <cell r="BI12">
            <v>0.10962714065751118</v>
          </cell>
          <cell r="BJ12">
            <v>0.62725684804138349</v>
          </cell>
        </row>
        <row r="13">
          <cell r="B13">
            <v>5</v>
          </cell>
          <cell r="C13">
            <v>1</v>
          </cell>
          <cell r="D13">
            <v>2</v>
          </cell>
          <cell r="E13" t="str">
            <v>Hathras</v>
          </cell>
          <cell r="F13" t="str">
            <v>New</v>
          </cell>
          <cell r="G13">
            <v>1</v>
          </cell>
          <cell r="H13">
            <v>0</v>
          </cell>
          <cell r="I13">
            <v>0</v>
          </cell>
          <cell r="J13">
            <v>0</v>
          </cell>
          <cell r="K13">
            <v>1090159</v>
          </cell>
          <cell r="L13">
            <v>822425</v>
          </cell>
          <cell r="M13">
            <v>267734</v>
          </cell>
          <cell r="N13">
            <v>1333372</v>
          </cell>
          <cell r="O13">
            <v>1068351</v>
          </cell>
          <cell r="P13">
            <v>265021</v>
          </cell>
          <cell r="Q13">
            <v>26.9</v>
          </cell>
          <cell r="R13">
            <v>18.32</v>
          </cell>
          <cell r="S13">
            <v>2.4108951465744211E-2</v>
          </cell>
          <cell r="T13">
            <v>1.6964554277710819E-2</v>
          </cell>
          <cell r="U13">
            <v>2.0342904300503672E-2</v>
          </cell>
          <cell r="W13">
            <v>600</v>
          </cell>
          <cell r="X13">
            <v>601</v>
          </cell>
          <cell r="Y13">
            <v>603</v>
          </cell>
          <cell r="Z13">
            <v>603</v>
          </cell>
          <cell r="AA13">
            <v>603</v>
          </cell>
          <cell r="AC13">
            <v>40229</v>
          </cell>
          <cell r="AD13">
            <v>40979</v>
          </cell>
          <cell r="AE13">
            <v>42640</v>
          </cell>
          <cell r="AF13">
            <v>44048</v>
          </cell>
          <cell r="AG13">
            <v>44994</v>
          </cell>
          <cell r="AI13">
            <v>1751</v>
          </cell>
          <cell r="AK13">
            <v>0</v>
          </cell>
          <cell r="AL13">
            <v>0</v>
          </cell>
          <cell r="AM13">
            <v>0</v>
          </cell>
          <cell r="AN13">
            <v>159752</v>
          </cell>
          <cell r="AO13">
            <v>125359</v>
          </cell>
          <cell r="AP13">
            <v>34393</v>
          </cell>
          <cell r="AR13">
            <v>204637.55757652849</v>
          </cell>
          <cell r="AS13">
            <v>160581.14815611718</v>
          </cell>
          <cell r="AT13">
            <v>44056.409420411284</v>
          </cell>
          <cell r="AV13">
            <v>0.41</v>
          </cell>
          <cell r="AW13">
            <v>0.32700000000000001</v>
          </cell>
          <cell r="AX13">
            <v>0.75900000000000001</v>
          </cell>
          <cell r="AZ13">
            <v>0.30299999999999999</v>
          </cell>
          <cell r="BA13">
            <v>0.33600000000000002</v>
          </cell>
          <cell r="BB13">
            <v>0.16699999999999998</v>
          </cell>
          <cell r="BD13">
            <v>54000</v>
          </cell>
          <cell r="BE13">
            <v>28654</v>
          </cell>
          <cell r="BF13">
            <v>25346</v>
          </cell>
          <cell r="BH13">
            <v>0.25113116316344425</v>
          </cell>
          <cell r="BI13">
            <v>0.16981767469354392</v>
          </cell>
          <cell r="BJ13">
            <v>0.54751058924137408</v>
          </cell>
        </row>
        <row r="14">
          <cell r="B14">
            <v>6</v>
          </cell>
          <cell r="C14">
            <v>1</v>
          </cell>
          <cell r="D14">
            <v>2</v>
          </cell>
          <cell r="E14" t="str">
            <v>Mainpuri</v>
          </cell>
          <cell r="H14">
            <v>1316746</v>
          </cell>
          <cell r="I14">
            <v>1142856</v>
          </cell>
          <cell r="J14">
            <v>173890</v>
          </cell>
          <cell r="K14">
            <v>1316746</v>
          </cell>
          <cell r="L14">
            <v>1142856</v>
          </cell>
          <cell r="M14">
            <v>173890</v>
          </cell>
          <cell r="N14">
            <v>1592875</v>
          </cell>
          <cell r="O14">
            <v>1362745</v>
          </cell>
          <cell r="P14">
            <v>230130</v>
          </cell>
          <cell r="Q14">
            <v>24.11</v>
          </cell>
          <cell r="R14">
            <v>21.5</v>
          </cell>
          <cell r="S14">
            <v>2.1834772855173989E-2</v>
          </cell>
          <cell r="T14">
            <v>1.9665270926062073E-2</v>
          </cell>
          <cell r="U14">
            <v>1.9220074319955538E-2</v>
          </cell>
          <cell r="W14">
            <v>627</v>
          </cell>
          <cell r="X14">
            <v>627</v>
          </cell>
          <cell r="Y14">
            <v>633</v>
          </cell>
          <cell r="Z14">
            <v>633</v>
          </cell>
          <cell r="AA14">
            <v>633</v>
          </cell>
          <cell r="AC14">
            <v>5644</v>
          </cell>
          <cell r="AD14">
            <v>5733</v>
          </cell>
          <cell r="AE14">
            <v>5863</v>
          </cell>
          <cell r="AF14">
            <v>5937</v>
          </cell>
          <cell r="AG14">
            <v>6002</v>
          </cell>
          <cell r="AI14">
            <v>2746</v>
          </cell>
          <cell r="AK14">
            <v>200412</v>
          </cell>
          <cell r="AL14">
            <v>174486</v>
          </cell>
          <cell r="AM14">
            <v>25926</v>
          </cell>
          <cell r="AN14">
            <v>200412</v>
          </cell>
          <cell r="AO14">
            <v>174486</v>
          </cell>
          <cell r="AP14">
            <v>25926</v>
          </cell>
          <cell r="AR14">
            <v>256721.80748301884</v>
          </cell>
          <cell r="AS14">
            <v>223511.37307387794</v>
          </cell>
          <cell r="AT14">
            <v>33210.4344091409</v>
          </cell>
          <cell r="AV14">
            <v>0.41</v>
          </cell>
          <cell r="AW14">
            <v>0.32700000000000001</v>
          </cell>
          <cell r="AX14">
            <v>0.75900000000000001</v>
          </cell>
          <cell r="AZ14">
            <v>0.30299999999999999</v>
          </cell>
          <cell r="BA14">
            <v>0.33600000000000002</v>
          </cell>
          <cell r="BB14">
            <v>0.16699999999999998</v>
          </cell>
          <cell r="BD14">
            <v>35823</v>
          </cell>
          <cell r="BE14">
            <v>15577</v>
          </cell>
          <cell r="BF14">
            <v>20246</v>
          </cell>
          <cell r="BH14">
            <v>0.132797953799383</v>
          </cell>
          <cell r="BI14">
            <v>6.6324866643617308E-2</v>
          </cell>
          <cell r="BJ14">
            <v>0.58017213745520868</v>
          </cell>
        </row>
        <row r="15">
          <cell r="B15">
            <v>7</v>
          </cell>
          <cell r="C15">
            <v>1</v>
          </cell>
          <cell r="D15">
            <v>2</v>
          </cell>
          <cell r="E15" t="str">
            <v>Mathura</v>
          </cell>
          <cell r="F15" t="str">
            <v>Split</v>
          </cell>
          <cell r="G15">
            <v>2</v>
          </cell>
          <cell r="H15">
            <v>1931186</v>
          </cell>
          <cell r="I15">
            <v>1475935</v>
          </cell>
          <cell r="J15">
            <v>455251</v>
          </cell>
          <cell r="K15">
            <v>1692080</v>
          </cell>
          <cell r="L15">
            <v>1276519</v>
          </cell>
          <cell r="M15">
            <v>415561</v>
          </cell>
          <cell r="N15">
            <v>2069578</v>
          </cell>
          <cell r="O15">
            <v>1487191</v>
          </cell>
          <cell r="P15">
            <v>582387</v>
          </cell>
          <cell r="Q15">
            <v>22.69</v>
          </cell>
          <cell r="R15">
            <v>26.95</v>
          </cell>
          <cell r="S15">
            <v>2.0659580931471799E-2</v>
          </cell>
          <cell r="T15">
            <v>2.4149295335608834E-2</v>
          </cell>
          <cell r="U15">
            <v>2.0342768135826805E-2</v>
          </cell>
          <cell r="W15">
            <v>453</v>
          </cell>
          <cell r="X15">
            <v>453</v>
          </cell>
          <cell r="Y15">
            <v>468</v>
          </cell>
          <cell r="Z15">
            <v>468</v>
          </cell>
          <cell r="AA15">
            <v>468</v>
          </cell>
          <cell r="AC15">
            <v>3532</v>
          </cell>
          <cell r="AD15">
            <v>3577</v>
          </cell>
          <cell r="AE15">
            <v>3689</v>
          </cell>
          <cell r="AF15">
            <v>3764</v>
          </cell>
          <cell r="AG15">
            <v>3869</v>
          </cell>
          <cell r="AI15">
            <v>3332</v>
          </cell>
          <cell r="AK15">
            <v>289888</v>
          </cell>
          <cell r="AL15">
            <v>224033</v>
          </cell>
          <cell r="AM15">
            <v>65855</v>
          </cell>
          <cell r="AN15">
            <v>247959</v>
          </cell>
          <cell r="AO15">
            <v>194576</v>
          </cell>
          <cell r="AP15">
            <v>53383</v>
          </cell>
          <cell r="AR15">
            <v>317628.09942359675</v>
          </cell>
          <cell r="AS15">
            <v>249246.06516982953</v>
          </cell>
          <cell r="AT15">
            <v>68382.034253767211</v>
          </cell>
          <cell r="AV15">
            <v>0.41</v>
          </cell>
          <cell r="AW15">
            <v>0.32700000000000001</v>
          </cell>
          <cell r="AX15">
            <v>0.75900000000000001</v>
          </cell>
          <cell r="AZ15">
            <v>0.30299999999999999</v>
          </cell>
          <cell r="BA15">
            <v>0.33600000000000002</v>
          </cell>
          <cell r="BB15">
            <v>0.16699999999999998</v>
          </cell>
          <cell r="BD15">
            <v>137088</v>
          </cell>
          <cell r="BE15">
            <v>46960</v>
          </cell>
          <cell r="BF15">
            <v>90128</v>
          </cell>
          <cell r="BH15">
            <v>0.41074540774840568</v>
          </cell>
          <cell r="BI15">
            <v>0.17930482214015966</v>
          </cell>
          <cell r="BJ15">
            <v>1.2543245131810352</v>
          </cell>
        </row>
        <row r="16">
          <cell r="B16">
            <v>8</v>
          </cell>
          <cell r="C16">
            <v>2</v>
          </cell>
          <cell r="D16">
            <v>4</v>
          </cell>
          <cell r="E16" t="str">
            <v>Azamgarh</v>
          </cell>
          <cell r="H16">
            <v>3153885</v>
          </cell>
          <cell r="I16">
            <v>2928166</v>
          </cell>
          <cell r="J16">
            <v>225719</v>
          </cell>
          <cell r="K16">
            <v>3153885</v>
          </cell>
          <cell r="L16">
            <v>2928166</v>
          </cell>
          <cell r="M16">
            <v>225719</v>
          </cell>
          <cell r="N16">
            <v>3950808</v>
          </cell>
          <cell r="O16">
            <v>3649211</v>
          </cell>
          <cell r="P16">
            <v>301597</v>
          </cell>
          <cell r="Q16">
            <v>25.46</v>
          </cell>
          <cell r="R16">
            <v>26.28</v>
          </cell>
          <cell r="S16">
            <v>2.294086483986657E-2</v>
          </cell>
          <cell r="T16">
            <v>2.3607495304328818E-2</v>
          </cell>
          <cell r="U16">
            <v>2.2784192172026874E-2</v>
          </cell>
          <cell r="W16">
            <v>881</v>
          </cell>
          <cell r="X16">
            <v>883</v>
          </cell>
          <cell r="Y16">
            <v>887</v>
          </cell>
          <cell r="Z16">
            <v>887</v>
          </cell>
          <cell r="AA16">
            <v>887</v>
          </cell>
          <cell r="AC16">
            <v>31642</v>
          </cell>
          <cell r="AD16">
            <v>32006</v>
          </cell>
          <cell r="AE16">
            <v>32729</v>
          </cell>
          <cell r="AF16">
            <v>33084</v>
          </cell>
          <cell r="AG16">
            <v>33319</v>
          </cell>
          <cell r="AI16">
            <v>4210</v>
          </cell>
          <cell r="AK16">
            <v>433206</v>
          </cell>
          <cell r="AL16">
            <v>405905</v>
          </cell>
          <cell r="AM16">
            <v>27301</v>
          </cell>
          <cell r="AN16">
            <v>433206</v>
          </cell>
          <cell r="AO16">
            <v>405905</v>
          </cell>
          <cell r="AP16">
            <v>27301</v>
          </cell>
          <cell r="AR16">
            <v>554923.99323637632</v>
          </cell>
          <cell r="AS16">
            <v>519952.22474899091</v>
          </cell>
          <cell r="AT16">
            <v>34971.768487385474</v>
          </cell>
          <cell r="AV16">
            <v>0.41</v>
          </cell>
          <cell r="AW16">
            <v>0.32700000000000001</v>
          </cell>
          <cell r="AX16">
            <v>0.75900000000000001</v>
          </cell>
          <cell r="AZ16">
            <v>0.30299999999999999</v>
          </cell>
          <cell r="BA16">
            <v>0.33600000000000002</v>
          </cell>
          <cell r="BB16">
            <v>0.16699999999999998</v>
          </cell>
          <cell r="BD16">
            <v>125733</v>
          </cell>
          <cell r="BE16">
            <v>102666</v>
          </cell>
          <cell r="BF16">
            <v>23067</v>
          </cell>
          <cell r="BH16">
            <v>0.21562939641577</v>
          </cell>
          <cell r="BI16">
            <v>0.18791237991916401</v>
          </cell>
          <cell r="BJ16">
            <v>0.62771963417463716</v>
          </cell>
        </row>
        <row r="17">
          <cell r="B17">
            <v>9</v>
          </cell>
          <cell r="C17">
            <v>2</v>
          </cell>
          <cell r="D17">
            <v>4</v>
          </cell>
          <cell r="E17" t="str">
            <v>Ballia</v>
          </cell>
          <cell r="H17">
            <v>2262273</v>
          </cell>
          <cell r="I17">
            <v>2038186</v>
          </cell>
          <cell r="J17">
            <v>224087</v>
          </cell>
          <cell r="K17">
            <v>2262273</v>
          </cell>
          <cell r="L17">
            <v>2038186</v>
          </cell>
          <cell r="M17">
            <v>224087</v>
          </cell>
          <cell r="N17">
            <v>2752412</v>
          </cell>
          <cell r="O17">
            <v>2481680</v>
          </cell>
          <cell r="P17">
            <v>270732</v>
          </cell>
          <cell r="Q17">
            <v>22.27</v>
          </cell>
          <cell r="R17">
            <v>21.67</v>
          </cell>
          <cell r="S17">
            <v>2.0309643020935741E-2</v>
          </cell>
          <cell r="T17">
            <v>1.9807850391679871E-2</v>
          </cell>
          <cell r="U17">
            <v>1.980430985852033E-2</v>
          </cell>
          <cell r="X17">
            <v>0</v>
          </cell>
          <cell r="Y17">
            <v>0</v>
          </cell>
          <cell r="Z17">
            <v>0</v>
          </cell>
          <cell r="AA17">
            <v>0</v>
          </cell>
          <cell r="AD17">
            <v>37</v>
          </cell>
          <cell r="AE17">
            <v>0</v>
          </cell>
          <cell r="AF17">
            <v>0</v>
          </cell>
          <cell r="AG17">
            <v>0</v>
          </cell>
          <cell r="AI17">
            <v>2981</v>
          </cell>
          <cell r="AK17">
            <v>282953</v>
          </cell>
          <cell r="AL17">
            <v>256323</v>
          </cell>
          <cell r="AM17">
            <v>26630</v>
          </cell>
          <cell r="AN17">
            <v>282953</v>
          </cell>
          <cell r="AO17">
            <v>256323</v>
          </cell>
          <cell r="AP17">
            <v>26630</v>
          </cell>
          <cell r="AR17">
            <v>362454.37195748073</v>
          </cell>
          <cell r="AS17">
            <v>328342.13450027863</v>
          </cell>
          <cell r="AT17">
            <v>34112.237457202122</v>
          </cell>
          <cell r="AV17">
            <v>0.41</v>
          </cell>
          <cell r="AW17">
            <v>0.32700000000000001</v>
          </cell>
          <cell r="AX17">
            <v>0.75900000000000001</v>
          </cell>
          <cell r="AZ17">
            <v>0.30299999999999999</v>
          </cell>
          <cell r="BA17">
            <v>0.33600000000000002</v>
          </cell>
          <cell r="BB17">
            <v>0.16699999999999998</v>
          </cell>
          <cell r="BD17">
            <v>84316</v>
          </cell>
          <cell r="BE17">
            <v>62552</v>
          </cell>
          <cell r="BF17">
            <v>21764</v>
          </cell>
          <cell r="BH17">
            <v>0.22138533277468925</v>
          </cell>
          <cell r="BI17">
            <v>0.18130374503577362</v>
          </cell>
          <cell r="BJ17">
            <v>0.60718453720585941</v>
          </cell>
        </row>
        <row r="18">
          <cell r="B18">
            <v>10</v>
          </cell>
          <cell r="C18">
            <v>2</v>
          </cell>
          <cell r="D18">
            <v>4</v>
          </cell>
          <cell r="E18" t="str">
            <v>Mau</v>
          </cell>
          <cell r="H18">
            <v>1445782</v>
          </cell>
          <cell r="I18">
            <v>1201787</v>
          </cell>
          <cell r="J18">
            <v>243995</v>
          </cell>
          <cell r="K18">
            <v>1445782</v>
          </cell>
          <cell r="L18">
            <v>1201787</v>
          </cell>
          <cell r="M18">
            <v>243995</v>
          </cell>
          <cell r="N18">
            <v>1849294</v>
          </cell>
          <cell r="O18">
            <v>1491306</v>
          </cell>
          <cell r="P18">
            <v>357988</v>
          </cell>
          <cell r="Q18">
            <v>28.37</v>
          </cell>
          <cell r="R18">
            <v>27.91</v>
          </cell>
          <cell r="S18">
            <v>2.5289132510169621E-2</v>
          </cell>
          <cell r="T18">
            <v>2.4921137455209186E-2</v>
          </cell>
          <cell r="U18">
            <v>2.4920818433952885E-2</v>
          </cell>
          <cell r="X18">
            <v>0</v>
          </cell>
          <cell r="Y18">
            <v>0</v>
          </cell>
          <cell r="Z18">
            <v>0</v>
          </cell>
          <cell r="AA18">
            <v>0</v>
          </cell>
          <cell r="AD18">
            <v>0</v>
          </cell>
          <cell r="AE18">
            <v>0</v>
          </cell>
          <cell r="AF18">
            <v>0</v>
          </cell>
          <cell r="AG18">
            <v>0</v>
          </cell>
          <cell r="AI18">
            <v>1713</v>
          </cell>
          <cell r="AK18">
            <v>197289</v>
          </cell>
          <cell r="AL18">
            <v>169596</v>
          </cell>
          <cell r="AM18">
            <v>27693</v>
          </cell>
          <cell r="AN18">
            <v>197289</v>
          </cell>
          <cell r="AO18">
            <v>169596</v>
          </cell>
          <cell r="AP18">
            <v>27693</v>
          </cell>
          <cell r="AR18">
            <v>252721.33742748591</v>
          </cell>
          <cell r="AS18">
            <v>217247.42860652087</v>
          </cell>
          <cell r="AT18">
            <v>35473.908820965014</v>
          </cell>
          <cell r="AV18">
            <v>0.41</v>
          </cell>
          <cell r="AW18">
            <v>0.32700000000000001</v>
          </cell>
          <cell r="AX18">
            <v>0.75900000000000001</v>
          </cell>
          <cell r="AZ18">
            <v>0.30299999999999999</v>
          </cell>
          <cell r="BA18">
            <v>0.33600000000000002</v>
          </cell>
          <cell r="BB18">
            <v>0.16699999999999998</v>
          </cell>
          <cell r="BD18">
            <v>77358</v>
          </cell>
          <cell r="BE18">
            <v>57358</v>
          </cell>
          <cell r="BF18">
            <v>20000</v>
          </cell>
          <cell r="BH18">
            <v>0.29131008093209715</v>
          </cell>
          <cell r="BI18">
            <v>0.25126473922394932</v>
          </cell>
          <cell r="BJ18">
            <v>0.5365536360664287</v>
          </cell>
        </row>
        <row r="19">
          <cell r="B19">
            <v>11</v>
          </cell>
          <cell r="C19">
            <v>3</v>
          </cell>
          <cell r="D19">
            <v>4</v>
          </cell>
          <cell r="E19" t="str">
            <v>Allahabad</v>
          </cell>
          <cell r="F19" t="str">
            <v>Split</v>
          </cell>
          <cell r="G19">
            <v>2</v>
          </cell>
          <cell r="H19">
            <v>4921313</v>
          </cell>
          <cell r="I19">
            <v>3898948</v>
          </cell>
          <cell r="J19">
            <v>1022365</v>
          </cell>
          <cell r="K19">
            <v>3899451</v>
          </cell>
          <cell r="L19">
            <v>3089370</v>
          </cell>
          <cell r="M19">
            <v>810081</v>
          </cell>
          <cell r="N19">
            <v>4941510</v>
          </cell>
          <cell r="O19">
            <v>3727682</v>
          </cell>
          <cell r="P19">
            <v>1213828</v>
          </cell>
          <cell r="Q19">
            <v>30.78</v>
          </cell>
          <cell r="R19">
            <v>26.72</v>
          </cell>
          <cell r="S19">
            <v>2.7197924709818189E-2</v>
          </cell>
          <cell r="T19">
            <v>2.3963594979804936E-2</v>
          </cell>
          <cell r="U19">
            <v>2.3966199581474168E-2</v>
          </cell>
          <cell r="W19">
            <v>671</v>
          </cell>
          <cell r="X19">
            <v>673</v>
          </cell>
          <cell r="Y19">
            <v>677</v>
          </cell>
          <cell r="Z19">
            <v>677</v>
          </cell>
          <cell r="AA19">
            <v>677</v>
          </cell>
          <cell r="AC19">
            <v>11532</v>
          </cell>
          <cell r="AD19">
            <v>12108</v>
          </cell>
          <cell r="AE19">
            <v>12348</v>
          </cell>
          <cell r="AF19">
            <v>12460</v>
          </cell>
          <cell r="AG19">
            <v>12479</v>
          </cell>
          <cell r="AI19">
            <v>5425</v>
          </cell>
          <cell r="AK19">
            <v>770935</v>
          </cell>
          <cell r="AL19">
            <v>618358</v>
          </cell>
          <cell r="AM19">
            <v>152577</v>
          </cell>
          <cell r="AN19">
            <v>610858</v>
          </cell>
          <cell r="AO19">
            <v>489963</v>
          </cell>
          <cell r="AP19">
            <v>120895</v>
          </cell>
          <cell r="AR19">
            <v>782490.91808605229</v>
          </cell>
          <cell r="AS19">
            <v>627628.0210755961</v>
          </cell>
          <cell r="AT19">
            <v>154862.89701045628</v>
          </cell>
          <cell r="AV19">
            <v>0.41</v>
          </cell>
          <cell r="AW19">
            <v>0.32700000000000001</v>
          </cell>
          <cell r="AX19">
            <v>0.75900000000000001</v>
          </cell>
          <cell r="AZ19">
            <v>0.30299999999999999</v>
          </cell>
          <cell r="BA19">
            <v>0.33600000000000002</v>
          </cell>
          <cell r="BB19">
            <v>0.16699999999999998</v>
          </cell>
          <cell r="BD19">
            <v>247127</v>
          </cell>
          <cell r="BE19">
            <v>65023</v>
          </cell>
          <cell r="BF19">
            <v>182104</v>
          </cell>
          <cell r="BH19">
            <v>0.30056131592008911</v>
          </cell>
          <cell r="BI19">
            <v>9.8595449224696263E-2</v>
          </cell>
          <cell r="BJ19">
            <v>1.1190881527923726</v>
          </cell>
        </row>
        <row r="20">
          <cell r="B20">
            <v>12</v>
          </cell>
          <cell r="C20">
            <v>3</v>
          </cell>
          <cell r="D20">
            <v>4</v>
          </cell>
          <cell r="E20" t="str">
            <v>Fatehpur</v>
          </cell>
          <cell r="H20">
            <v>1899241</v>
          </cell>
          <cell r="I20">
            <v>1711228</v>
          </cell>
          <cell r="J20">
            <v>188013</v>
          </cell>
          <cell r="K20">
            <v>1899241</v>
          </cell>
          <cell r="L20">
            <v>1711228</v>
          </cell>
          <cell r="M20">
            <v>188013</v>
          </cell>
          <cell r="N20">
            <v>2305847</v>
          </cell>
          <cell r="O20">
            <v>2068568</v>
          </cell>
          <cell r="P20">
            <v>237279</v>
          </cell>
          <cell r="Q20">
            <v>20.79</v>
          </cell>
          <cell r="R20">
            <v>21.4</v>
          </cell>
          <cell r="S20">
            <v>1.9067844447968385E-2</v>
          </cell>
          <cell r="T20">
            <v>1.9581316759666567E-2</v>
          </cell>
          <cell r="U20">
            <v>1.9588764387457713E-2</v>
          </cell>
          <cell r="W20">
            <v>74</v>
          </cell>
          <cell r="X20">
            <v>79</v>
          </cell>
          <cell r="Y20">
            <v>84</v>
          </cell>
          <cell r="Z20">
            <v>84</v>
          </cell>
          <cell r="AA20">
            <v>84</v>
          </cell>
          <cell r="AC20">
            <v>3711</v>
          </cell>
          <cell r="AD20">
            <v>3723</v>
          </cell>
          <cell r="AE20">
            <v>3755</v>
          </cell>
          <cell r="AF20">
            <v>3793</v>
          </cell>
          <cell r="AG20">
            <v>3835</v>
          </cell>
          <cell r="AI20">
            <v>4152</v>
          </cell>
          <cell r="AK20">
            <v>325545</v>
          </cell>
          <cell r="AL20">
            <v>295470</v>
          </cell>
          <cell r="AM20">
            <v>30075</v>
          </cell>
          <cell r="AN20">
            <v>325545</v>
          </cell>
          <cell r="AO20">
            <v>295470</v>
          </cell>
          <cell r="AP20">
            <v>30075</v>
          </cell>
          <cell r="AR20">
            <v>417013.45636518457</v>
          </cell>
          <cell r="AS20">
            <v>378488.27643558057</v>
          </cell>
          <cell r="AT20">
            <v>38525.179929603975</v>
          </cell>
          <cell r="AV20">
            <v>0.41</v>
          </cell>
          <cell r="AW20">
            <v>0.32700000000000001</v>
          </cell>
          <cell r="AX20">
            <v>0.75900000000000001</v>
          </cell>
          <cell r="AZ20">
            <v>0.30299999999999999</v>
          </cell>
          <cell r="BA20">
            <v>0.33600000000000002</v>
          </cell>
          <cell r="BB20">
            <v>0.16699999999999998</v>
          </cell>
          <cell r="BD20">
            <v>57032</v>
          </cell>
          <cell r="BE20">
            <v>34204</v>
          </cell>
          <cell r="BF20">
            <v>22828</v>
          </cell>
          <cell r="BH20">
            <v>0.13015496045700112</v>
          </cell>
          <cell r="BI20">
            <v>8.6003605403267791E-2</v>
          </cell>
          <cell r="BJ20">
            <v>0.56391725065572396</v>
          </cell>
        </row>
        <row r="21">
          <cell r="B21">
            <v>13</v>
          </cell>
          <cell r="C21">
            <v>3</v>
          </cell>
          <cell r="D21">
            <v>4</v>
          </cell>
          <cell r="E21" t="str">
            <v>Kaushambi</v>
          </cell>
          <cell r="F21" t="str">
            <v>New</v>
          </cell>
          <cell r="G21">
            <v>1</v>
          </cell>
          <cell r="H21">
            <v>0</v>
          </cell>
          <cell r="I21">
            <v>0</v>
          </cell>
          <cell r="J21">
            <v>0</v>
          </cell>
          <cell r="K21">
            <v>1021862</v>
          </cell>
          <cell r="L21">
            <v>809578</v>
          </cell>
          <cell r="M21">
            <v>212284</v>
          </cell>
          <cell r="N21">
            <v>1294937</v>
          </cell>
          <cell r="O21">
            <v>1203183</v>
          </cell>
          <cell r="P21">
            <v>91754</v>
          </cell>
          <cell r="Q21">
            <v>25.34</v>
          </cell>
          <cell r="R21">
            <v>26.73</v>
          </cell>
          <cell r="S21">
            <v>2.2842980437960625E-2</v>
          </cell>
          <cell r="T21">
            <v>2.3971675213662724E-2</v>
          </cell>
          <cell r="U21">
            <v>2.3966241922097176E-2</v>
          </cell>
          <cell r="W21">
            <v>792</v>
          </cell>
          <cell r="X21">
            <v>799</v>
          </cell>
          <cell r="Y21">
            <v>801</v>
          </cell>
          <cell r="Z21">
            <v>801</v>
          </cell>
          <cell r="AA21">
            <v>801</v>
          </cell>
          <cell r="AC21">
            <v>31483</v>
          </cell>
          <cell r="AD21">
            <v>32163</v>
          </cell>
          <cell r="AE21">
            <v>33221</v>
          </cell>
          <cell r="AF21">
            <v>34510</v>
          </cell>
          <cell r="AG21">
            <v>25563</v>
          </cell>
          <cell r="AI21">
            <v>1836</v>
          </cell>
          <cell r="AK21">
            <v>0</v>
          </cell>
          <cell r="AL21">
            <v>0</v>
          </cell>
          <cell r="AM21">
            <v>0</v>
          </cell>
          <cell r="AN21">
            <v>160077</v>
          </cell>
          <cell r="AO21">
            <v>128395</v>
          </cell>
          <cell r="AP21">
            <v>31682</v>
          </cell>
          <cell r="AR21">
            <v>205053.87290411355</v>
          </cell>
          <cell r="AS21">
            <v>164470.1738008812</v>
          </cell>
          <cell r="AT21">
            <v>40583.699103232357</v>
          </cell>
          <cell r="AV21">
            <v>0.41</v>
          </cell>
          <cell r="AW21">
            <v>0.32700000000000001</v>
          </cell>
          <cell r="AX21">
            <v>0.75900000000000001</v>
          </cell>
          <cell r="AZ21">
            <v>0.30299999999999999</v>
          </cell>
          <cell r="BA21">
            <v>0.33600000000000002</v>
          </cell>
          <cell r="BB21">
            <v>0.16699999999999998</v>
          </cell>
          <cell r="BD21">
            <v>34980</v>
          </cell>
          <cell r="BE21">
            <v>32715</v>
          </cell>
          <cell r="BF21">
            <v>2265</v>
          </cell>
          <cell r="BH21">
            <v>0.16234690771587879</v>
          </cell>
          <cell r="BI21">
            <v>0.18930058903499694</v>
          </cell>
          <cell r="BJ21">
            <v>5.3113970623265477E-2</v>
          </cell>
        </row>
        <row r="22">
          <cell r="B22">
            <v>14</v>
          </cell>
          <cell r="C22">
            <v>3</v>
          </cell>
          <cell r="D22">
            <v>4</v>
          </cell>
          <cell r="E22" t="str">
            <v>Pratapgarh</v>
          </cell>
          <cell r="H22">
            <v>2210700</v>
          </cell>
          <cell r="I22">
            <v>2088599</v>
          </cell>
          <cell r="J22">
            <v>122101</v>
          </cell>
          <cell r="K22">
            <v>2210700</v>
          </cell>
          <cell r="L22">
            <v>2088599</v>
          </cell>
          <cell r="M22">
            <v>122101</v>
          </cell>
          <cell r="N22">
            <v>2727156</v>
          </cell>
          <cell r="O22">
            <v>2582843</v>
          </cell>
          <cell r="P22">
            <v>144313</v>
          </cell>
          <cell r="Q22">
            <v>22.75</v>
          </cell>
          <cell r="R22">
            <v>23.36</v>
          </cell>
          <cell r="S22">
            <v>2.0709484022374935E-2</v>
          </cell>
          <cell r="T22">
            <v>2.1215589755644304E-2</v>
          </cell>
          <cell r="U22">
            <v>2.1216955802133786E-2</v>
          </cell>
          <cell r="W22">
            <v>40</v>
          </cell>
          <cell r="X22">
            <v>40</v>
          </cell>
          <cell r="Y22">
            <v>40</v>
          </cell>
          <cell r="Z22">
            <v>40</v>
          </cell>
          <cell r="AA22">
            <v>40</v>
          </cell>
          <cell r="AC22">
            <v>204</v>
          </cell>
          <cell r="AD22">
            <v>224</v>
          </cell>
          <cell r="AE22">
            <v>252</v>
          </cell>
          <cell r="AF22">
            <v>260</v>
          </cell>
          <cell r="AG22">
            <v>266</v>
          </cell>
          <cell r="AI22">
            <v>3717</v>
          </cell>
          <cell r="AK22">
            <v>369756</v>
          </cell>
          <cell r="AL22">
            <v>351564</v>
          </cell>
          <cell r="AM22">
            <v>18192</v>
          </cell>
          <cell r="AN22">
            <v>369756</v>
          </cell>
          <cell r="AO22">
            <v>351564</v>
          </cell>
          <cell r="AP22">
            <v>18192</v>
          </cell>
          <cell r="AR22">
            <v>473646.43158938142</v>
          </cell>
          <cell r="AS22">
            <v>450343.02100652672</v>
          </cell>
          <cell r="AT22">
            <v>23303.410582854714</v>
          </cell>
          <cell r="AV22">
            <v>0.41</v>
          </cell>
          <cell r="AW22">
            <v>0.32700000000000001</v>
          </cell>
          <cell r="AX22">
            <v>0.75900000000000001</v>
          </cell>
          <cell r="AZ22">
            <v>0.30299999999999999</v>
          </cell>
          <cell r="BA22">
            <v>0.33600000000000002</v>
          </cell>
          <cell r="BB22">
            <v>0.16699999999999998</v>
          </cell>
          <cell r="BD22">
            <v>93768</v>
          </cell>
          <cell r="BE22">
            <v>73145</v>
          </cell>
          <cell r="BF22">
            <v>20623</v>
          </cell>
          <cell r="BH22">
            <v>0.18840506555316522</v>
          </cell>
          <cell r="BI22">
            <v>0.1545729158359809</v>
          </cell>
          <cell r="BJ22">
            <v>0.84221805385418658</v>
          </cell>
        </row>
        <row r="23">
          <cell r="B23">
            <v>15</v>
          </cell>
          <cell r="C23">
            <v>4</v>
          </cell>
          <cell r="D23">
            <v>3</v>
          </cell>
          <cell r="E23" t="str">
            <v>Budaun</v>
          </cell>
          <cell r="H23">
            <v>2448338</v>
          </cell>
          <cell r="I23">
            <v>2017033</v>
          </cell>
          <cell r="J23">
            <v>431305</v>
          </cell>
          <cell r="K23">
            <v>2448338</v>
          </cell>
          <cell r="L23">
            <v>2017033</v>
          </cell>
          <cell r="M23">
            <v>431305</v>
          </cell>
          <cell r="N23">
            <v>3069245</v>
          </cell>
          <cell r="O23">
            <v>2511993</v>
          </cell>
          <cell r="P23">
            <v>557252</v>
          </cell>
          <cell r="Q23">
            <v>24.16</v>
          </cell>
          <cell r="R23">
            <v>25.36</v>
          </cell>
          <cell r="S23">
            <v>2.1875931890339206E-2</v>
          </cell>
          <cell r="T23">
            <v>2.2859300360458468E-2</v>
          </cell>
          <cell r="U23">
            <v>2.2859583072760925E-2</v>
          </cell>
          <cell r="W23">
            <v>0</v>
          </cell>
          <cell r="X23">
            <v>0</v>
          </cell>
          <cell r="Y23">
            <v>0</v>
          </cell>
          <cell r="Z23">
            <v>0</v>
          </cell>
          <cell r="AA23">
            <v>0</v>
          </cell>
          <cell r="AC23">
            <v>0</v>
          </cell>
          <cell r="AD23">
            <v>48</v>
          </cell>
          <cell r="AE23">
            <v>0</v>
          </cell>
          <cell r="AF23">
            <v>0</v>
          </cell>
          <cell r="AG23">
            <v>0</v>
          </cell>
          <cell r="AI23">
            <v>5168</v>
          </cell>
          <cell r="AK23">
            <v>380242</v>
          </cell>
          <cell r="AL23">
            <v>320556</v>
          </cell>
          <cell r="AM23">
            <v>59686</v>
          </cell>
          <cell r="AN23">
            <v>380242</v>
          </cell>
          <cell r="AO23">
            <v>320556</v>
          </cell>
          <cell r="AP23">
            <v>59686</v>
          </cell>
          <cell r="AR23">
            <v>487078.68551263423</v>
          </cell>
          <cell r="AS23">
            <v>410622.69584419392</v>
          </cell>
          <cell r="AT23">
            <v>76455.989668440321</v>
          </cell>
          <cell r="AV23">
            <v>0.41</v>
          </cell>
          <cell r="AW23">
            <v>0.32700000000000001</v>
          </cell>
          <cell r="AX23">
            <v>0.75900000000000001</v>
          </cell>
          <cell r="AZ23">
            <v>0.30299999999999999</v>
          </cell>
          <cell r="BA23">
            <v>0.33600000000000002</v>
          </cell>
          <cell r="BB23">
            <v>0.16699999999999998</v>
          </cell>
          <cell r="BD23">
            <v>73502</v>
          </cell>
          <cell r="BE23">
            <v>39527</v>
          </cell>
          <cell r="BF23">
            <v>33975</v>
          </cell>
          <cell r="BH23">
            <v>0.14361249363081624</v>
          </cell>
          <cell r="BI23">
            <v>9.1610044871642926E-2</v>
          </cell>
          <cell r="BJ23">
            <v>0.42290239351429909</v>
          </cell>
        </row>
        <row r="24">
          <cell r="B24">
            <v>16</v>
          </cell>
          <cell r="C24">
            <v>4</v>
          </cell>
          <cell r="D24">
            <v>3</v>
          </cell>
          <cell r="E24" t="str">
            <v>Barielly</v>
          </cell>
          <cell r="H24">
            <v>2834616</v>
          </cell>
          <cell r="I24">
            <v>1905151</v>
          </cell>
          <cell r="J24">
            <v>929465</v>
          </cell>
          <cell r="K24">
            <v>2834616</v>
          </cell>
          <cell r="L24">
            <v>1905151</v>
          </cell>
          <cell r="M24">
            <v>929465</v>
          </cell>
          <cell r="N24">
            <v>3598701</v>
          </cell>
          <cell r="O24">
            <v>2425827</v>
          </cell>
          <cell r="P24">
            <v>1172874</v>
          </cell>
          <cell r="Q24">
            <v>24.71</v>
          </cell>
          <cell r="R24">
            <v>26.96</v>
          </cell>
          <cell r="S24">
            <v>2.2327699403222434E-2</v>
          </cell>
          <cell r="T24">
            <v>2.4157362393459003E-2</v>
          </cell>
          <cell r="U24">
            <v>2.4153734682166528E-2</v>
          </cell>
          <cell r="W24">
            <v>611</v>
          </cell>
          <cell r="X24">
            <v>611</v>
          </cell>
          <cell r="Y24">
            <v>611</v>
          </cell>
          <cell r="Z24">
            <v>611</v>
          </cell>
          <cell r="AA24">
            <v>611</v>
          </cell>
          <cell r="AC24">
            <v>11940</v>
          </cell>
          <cell r="AD24">
            <v>12091</v>
          </cell>
          <cell r="AE24">
            <v>12268</v>
          </cell>
          <cell r="AF24">
            <v>12501</v>
          </cell>
          <cell r="AG24">
            <v>12719</v>
          </cell>
          <cell r="AI24">
            <v>4120</v>
          </cell>
          <cell r="AK24">
            <v>409233</v>
          </cell>
          <cell r="AL24">
            <v>279274</v>
          </cell>
          <cell r="AM24">
            <v>129959</v>
          </cell>
          <cell r="AN24">
            <v>409233</v>
          </cell>
          <cell r="AO24">
            <v>279274</v>
          </cell>
          <cell r="AP24">
            <v>129959</v>
          </cell>
          <cell r="AR24">
            <v>524215.29370346211</v>
          </cell>
          <cell r="AS24">
            <v>357741.68244921765</v>
          </cell>
          <cell r="AT24">
            <v>166473.61125424449</v>
          </cell>
          <cell r="AV24">
            <v>0.41</v>
          </cell>
          <cell r="AW24">
            <v>0.32700000000000001</v>
          </cell>
          <cell r="AX24">
            <v>0.75900000000000001</v>
          </cell>
          <cell r="AZ24">
            <v>0.30299999999999999</v>
          </cell>
          <cell r="BA24">
            <v>0.33600000000000002</v>
          </cell>
          <cell r="BB24">
            <v>0.16699999999999998</v>
          </cell>
          <cell r="BD24">
            <v>90839</v>
          </cell>
          <cell r="BE24">
            <v>65064</v>
          </cell>
          <cell r="BF24">
            <v>25775</v>
          </cell>
          <cell r="BH24">
            <v>0.16491298382726405</v>
          </cell>
          <cell r="BI24">
            <v>0.17308658373912075</v>
          </cell>
          <cell r="BJ24">
            <v>0.14734841391072209</v>
          </cell>
        </row>
        <row r="25">
          <cell r="B25">
            <v>17</v>
          </cell>
          <cell r="C25">
            <v>4</v>
          </cell>
          <cell r="D25">
            <v>3</v>
          </cell>
          <cell r="E25" t="str">
            <v>Pilibhit</v>
          </cell>
          <cell r="H25">
            <v>1283103</v>
          </cell>
          <cell r="I25">
            <v>1046247</v>
          </cell>
          <cell r="J25">
            <v>236856</v>
          </cell>
          <cell r="K25">
            <v>1283103</v>
          </cell>
          <cell r="L25">
            <v>1046247</v>
          </cell>
          <cell r="M25">
            <v>236856</v>
          </cell>
          <cell r="N25">
            <v>1643788</v>
          </cell>
          <cell r="O25">
            <v>1349783</v>
          </cell>
          <cell r="P25">
            <v>294005</v>
          </cell>
          <cell r="Q25">
            <v>27.25</v>
          </cell>
          <cell r="R25">
            <v>28.11</v>
          </cell>
          <cell r="S25">
            <v>2.4391058667107668E-2</v>
          </cell>
          <cell r="T25">
            <v>2.5081281415189727E-2</v>
          </cell>
          <cell r="U25">
            <v>2.5081577424227675E-2</v>
          </cell>
          <cell r="W25">
            <v>0</v>
          </cell>
          <cell r="X25">
            <v>0</v>
          </cell>
          <cell r="Y25">
            <v>0</v>
          </cell>
          <cell r="Z25">
            <v>0</v>
          </cell>
          <cell r="AA25">
            <v>0</v>
          </cell>
          <cell r="AC25">
            <v>0</v>
          </cell>
          <cell r="AD25">
            <v>0</v>
          </cell>
          <cell r="AE25">
            <v>0</v>
          </cell>
          <cell r="AF25">
            <v>0</v>
          </cell>
          <cell r="AG25">
            <v>0</v>
          </cell>
          <cell r="AI25">
            <v>3499</v>
          </cell>
          <cell r="AK25">
            <v>186442</v>
          </cell>
          <cell r="AL25">
            <v>155415</v>
          </cell>
          <cell r="AM25">
            <v>31027</v>
          </cell>
          <cell r="AN25">
            <v>186442</v>
          </cell>
          <cell r="AO25">
            <v>155415</v>
          </cell>
          <cell r="AP25">
            <v>31027</v>
          </cell>
          <cell r="AR25">
            <v>238826.653248054</v>
          </cell>
          <cell r="AS25">
            <v>199081.98965118543</v>
          </cell>
          <cell r="AT25">
            <v>39744.66359686858</v>
          </cell>
          <cell r="AV25">
            <v>0.41</v>
          </cell>
          <cell r="AW25">
            <v>0.32700000000000001</v>
          </cell>
          <cell r="AX25">
            <v>0.75900000000000001</v>
          </cell>
          <cell r="AZ25">
            <v>0.30299999999999999</v>
          </cell>
          <cell r="BA25">
            <v>0.33600000000000002</v>
          </cell>
          <cell r="BB25">
            <v>0.16699999999999998</v>
          </cell>
          <cell r="BD25">
            <v>56391</v>
          </cell>
          <cell r="BE25">
            <v>27526</v>
          </cell>
          <cell r="BF25">
            <v>28865</v>
          </cell>
          <cell r="BH25">
            <v>0.2247083420473254</v>
          </cell>
          <cell r="BI25">
            <v>0.13158407295775587</v>
          </cell>
          <cell r="BJ25">
            <v>0.69117007797266306</v>
          </cell>
        </row>
        <row r="26">
          <cell r="B26">
            <v>18</v>
          </cell>
          <cell r="C26">
            <v>4</v>
          </cell>
          <cell r="D26">
            <v>3</v>
          </cell>
          <cell r="E26" t="str">
            <v>Shahjahanpur</v>
          </cell>
          <cell r="H26">
            <v>1987395</v>
          </cell>
          <cell r="I26">
            <v>1574764</v>
          </cell>
          <cell r="J26">
            <v>412631</v>
          </cell>
          <cell r="K26">
            <v>1987395</v>
          </cell>
          <cell r="L26">
            <v>1574764</v>
          </cell>
          <cell r="M26">
            <v>412631</v>
          </cell>
          <cell r="N26">
            <v>2549458</v>
          </cell>
          <cell r="O26">
            <v>2022664</v>
          </cell>
          <cell r="P26">
            <v>526794</v>
          </cell>
          <cell r="Q26">
            <v>20.62</v>
          </cell>
          <cell r="R26">
            <v>28.28</v>
          </cell>
          <cell r="S26">
            <v>1.8924329793928552E-2</v>
          </cell>
          <cell r="T26">
            <v>2.5217226965715378E-2</v>
          </cell>
          <cell r="U26">
            <v>2.5218340635190017E-2</v>
          </cell>
          <cell r="W26">
            <v>75</v>
          </cell>
          <cell r="X26">
            <v>77</v>
          </cell>
          <cell r="Y26">
            <v>77</v>
          </cell>
          <cell r="Z26">
            <v>77</v>
          </cell>
          <cell r="AA26">
            <v>77</v>
          </cell>
          <cell r="AC26">
            <v>2429</v>
          </cell>
          <cell r="AD26">
            <v>2449</v>
          </cell>
          <cell r="AE26">
            <v>2478</v>
          </cell>
          <cell r="AF26">
            <v>2496</v>
          </cell>
          <cell r="AG26">
            <v>2498</v>
          </cell>
          <cell r="AI26">
            <v>4575</v>
          </cell>
          <cell r="AK26">
            <v>307759</v>
          </cell>
          <cell r="AL26">
            <v>249648</v>
          </cell>
          <cell r="AM26">
            <v>58111</v>
          </cell>
          <cell r="AN26">
            <v>307759</v>
          </cell>
          <cell r="AO26">
            <v>249648</v>
          </cell>
          <cell r="AP26">
            <v>58111</v>
          </cell>
          <cell r="AR26">
            <v>394230.11969925149</v>
          </cell>
          <cell r="AS26">
            <v>319791.65815680043</v>
          </cell>
          <cell r="AT26">
            <v>74438.461542451085</v>
          </cell>
          <cell r="AV26">
            <v>0.41</v>
          </cell>
          <cell r="AW26">
            <v>0.32700000000000001</v>
          </cell>
          <cell r="AX26">
            <v>0.75900000000000001</v>
          </cell>
          <cell r="AZ26">
            <v>0.30299999999999999</v>
          </cell>
          <cell r="BA26">
            <v>0.33600000000000002</v>
          </cell>
          <cell r="BB26">
            <v>0.16699999999999998</v>
          </cell>
          <cell r="BD26">
            <v>157350</v>
          </cell>
          <cell r="BE26">
            <v>39114</v>
          </cell>
          <cell r="BF26">
            <v>118236</v>
          </cell>
          <cell r="BH26">
            <v>0.37984738194309681</v>
          </cell>
          <cell r="BI26">
            <v>0.11640115578776633</v>
          </cell>
          <cell r="BJ26">
            <v>1.5116266228308106</v>
          </cell>
        </row>
        <row r="27">
          <cell r="B27">
            <v>19</v>
          </cell>
          <cell r="C27">
            <v>5</v>
          </cell>
          <cell r="D27">
            <v>4</v>
          </cell>
          <cell r="E27" t="str">
            <v>Basti</v>
          </cell>
          <cell r="F27" t="str">
            <v>Split</v>
          </cell>
          <cell r="G27">
            <v>2</v>
          </cell>
          <cell r="H27">
            <v>2738522</v>
          </cell>
          <cell r="I27">
            <v>2562696</v>
          </cell>
          <cell r="J27">
            <v>175826</v>
          </cell>
          <cell r="K27">
            <v>1662913</v>
          </cell>
          <cell r="L27">
            <v>1574900</v>
          </cell>
          <cell r="M27">
            <v>88013</v>
          </cell>
          <cell r="N27">
            <v>2068922</v>
          </cell>
          <cell r="O27">
            <v>1953604</v>
          </cell>
          <cell r="P27">
            <v>115318</v>
          </cell>
          <cell r="Q27">
            <v>23.41</v>
          </cell>
          <cell r="R27">
            <v>22.69</v>
          </cell>
          <cell r="S27">
            <v>2.1256973890493081E-2</v>
          </cell>
          <cell r="T27">
            <v>2.0659580931471799E-2</v>
          </cell>
          <cell r="U27">
            <v>2.2086045507365482E-2</v>
          </cell>
          <cell r="X27">
            <v>0</v>
          </cell>
          <cell r="Y27">
            <v>0</v>
          </cell>
          <cell r="Z27">
            <v>0</v>
          </cell>
          <cell r="AA27">
            <v>0</v>
          </cell>
          <cell r="AD27">
            <v>22</v>
          </cell>
          <cell r="AE27">
            <v>0</v>
          </cell>
          <cell r="AF27">
            <v>0</v>
          </cell>
          <cell r="AG27">
            <v>0</v>
          </cell>
          <cell r="AI27">
            <v>3034</v>
          </cell>
          <cell r="AK27">
            <v>419602</v>
          </cell>
          <cell r="AL27">
            <v>395145</v>
          </cell>
          <cell r="AM27">
            <v>24457</v>
          </cell>
          <cell r="AN27">
            <v>252946</v>
          </cell>
          <cell r="AO27">
            <v>240479</v>
          </cell>
          <cell r="AP27">
            <v>12467</v>
          </cell>
          <cell r="AR27">
            <v>324016.29800410994</v>
          </cell>
          <cell r="AS27">
            <v>308046.44203794625</v>
          </cell>
          <cell r="AT27">
            <v>15969.855966163683</v>
          </cell>
          <cell r="AV27">
            <v>0.41</v>
          </cell>
          <cell r="AW27">
            <v>0.32700000000000001</v>
          </cell>
          <cell r="AX27">
            <v>0.75900000000000001</v>
          </cell>
          <cell r="AZ27">
            <v>0.30299999999999999</v>
          </cell>
          <cell r="BA27">
            <v>0.33600000000000002</v>
          </cell>
          <cell r="BB27">
            <v>0.16699999999999998</v>
          </cell>
          <cell r="BD27">
            <v>74202</v>
          </cell>
          <cell r="BE27">
            <v>57689</v>
          </cell>
          <cell r="BF27">
            <v>16513</v>
          </cell>
          <cell r="BH27">
            <v>0.21794200777120173</v>
          </cell>
          <cell r="BI27">
            <v>0.1782251569568914</v>
          </cell>
          <cell r="BJ27">
            <v>0.98405001827689986</v>
          </cell>
        </row>
        <row r="28">
          <cell r="B28">
            <v>20</v>
          </cell>
          <cell r="C28">
            <v>5</v>
          </cell>
          <cell r="D28">
            <v>4</v>
          </cell>
          <cell r="E28" t="str">
            <v>Sant Kabir Nagar</v>
          </cell>
          <cell r="F28" t="str">
            <v>New</v>
          </cell>
          <cell r="G28">
            <v>1</v>
          </cell>
          <cell r="H28">
            <v>0</v>
          </cell>
          <cell r="I28">
            <v>0</v>
          </cell>
          <cell r="J28">
            <v>0</v>
          </cell>
          <cell r="K28">
            <v>1144953</v>
          </cell>
          <cell r="L28">
            <v>1084354</v>
          </cell>
          <cell r="M28">
            <v>60599</v>
          </cell>
          <cell r="N28">
            <v>1424500</v>
          </cell>
          <cell r="O28">
            <v>1323388</v>
          </cell>
          <cell r="P28">
            <v>101112</v>
          </cell>
          <cell r="Q28">
            <v>26.46</v>
          </cell>
          <cell r="R28">
            <v>23.64</v>
          </cell>
          <cell r="S28">
            <v>2.375330720831581E-2</v>
          </cell>
          <cell r="T28">
            <v>2.144714676324333E-2</v>
          </cell>
          <cell r="U28">
            <v>2.208609373910253E-2</v>
          </cell>
          <cell r="W28">
            <v>397</v>
          </cell>
          <cell r="X28">
            <v>398</v>
          </cell>
          <cell r="Y28">
            <v>398</v>
          </cell>
          <cell r="Z28">
            <v>398</v>
          </cell>
          <cell r="AA28">
            <v>398</v>
          </cell>
          <cell r="AC28">
            <v>8666</v>
          </cell>
          <cell r="AD28">
            <v>8708</v>
          </cell>
          <cell r="AE28">
            <v>8814</v>
          </cell>
          <cell r="AF28">
            <v>8907</v>
          </cell>
          <cell r="AG28">
            <v>8982</v>
          </cell>
          <cell r="AI28">
            <v>1442</v>
          </cell>
          <cell r="AK28">
            <v>0</v>
          </cell>
          <cell r="AL28">
            <v>0</v>
          </cell>
          <cell r="AM28">
            <v>0</v>
          </cell>
          <cell r="AN28">
            <v>174159</v>
          </cell>
          <cell r="AO28">
            <v>165575</v>
          </cell>
          <cell r="AP28">
            <v>8584</v>
          </cell>
          <cell r="AR28">
            <v>223092.49580581542</v>
          </cell>
          <cell r="AS28">
            <v>212096.64727661439</v>
          </cell>
          <cell r="AT28">
            <v>10995.848529201014</v>
          </cell>
          <cell r="AV28">
            <v>0.41</v>
          </cell>
          <cell r="AW28">
            <v>0.32700000000000001</v>
          </cell>
          <cell r="AX28">
            <v>0.75900000000000001</v>
          </cell>
          <cell r="AZ28">
            <v>0.30299999999999999</v>
          </cell>
          <cell r="BA28">
            <v>0.33600000000000002</v>
          </cell>
          <cell r="BB28">
            <v>0.16699999999999998</v>
          </cell>
          <cell r="BD28">
            <v>42983</v>
          </cell>
          <cell r="BE28">
            <v>31442</v>
          </cell>
          <cell r="BF28">
            <v>11541</v>
          </cell>
          <cell r="BH28">
            <v>0.18335972703590578</v>
          </cell>
          <cell r="BI28">
            <v>0.14108100735077206</v>
          </cell>
          <cell r="BJ28">
            <v>0.99886520372113596</v>
          </cell>
        </row>
        <row r="29">
          <cell r="B29">
            <v>21</v>
          </cell>
          <cell r="C29">
            <v>5</v>
          </cell>
          <cell r="D29">
            <v>4</v>
          </cell>
          <cell r="E29" t="str">
            <v>Siddharthnagar</v>
          </cell>
          <cell r="F29" t="str">
            <v>Split</v>
          </cell>
          <cell r="G29">
            <v>2</v>
          </cell>
          <cell r="H29">
            <v>1707885</v>
          </cell>
          <cell r="I29">
            <v>1648377</v>
          </cell>
          <cell r="J29">
            <v>59508</v>
          </cell>
          <cell r="K29">
            <v>1638541</v>
          </cell>
          <cell r="L29">
            <v>1551819</v>
          </cell>
          <cell r="M29">
            <v>86722</v>
          </cell>
          <cell r="N29">
            <v>2038598</v>
          </cell>
          <cell r="O29">
            <v>1960895</v>
          </cell>
          <cell r="P29">
            <v>77703</v>
          </cell>
          <cell r="Q29">
            <v>23.63</v>
          </cell>
          <cell r="R29">
            <v>26.78</v>
          </cell>
          <cell r="S29">
            <v>2.1438885000664598E-2</v>
          </cell>
          <cell r="T29">
            <v>2.4012067777452684E-2</v>
          </cell>
          <cell r="U29">
            <v>2.2085972941693344E-2</v>
          </cell>
          <cell r="W29">
            <v>12</v>
          </cell>
          <cell r="X29">
            <v>13</v>
          </cell>
          <cell r="Y29">
            <v>13</v>
          </cell>
          <cell r="Z29">
            <v>13</v>
          </cell>
          <cell r="AA29">
            <v>13</v>
          </cell>
          <cell r="AC29">
            <v>10302</v>
          </cell>
          <cell r="AD29">
            <v>10550</v>
          </cell>
          <cell r="AE29">
            <v>10817</v>
          </cell>
          <cell r="AF29">
            <v>11076</v>
          </cell>
          <cell r="AG29">
            <v>11268</v>
          </cell>
          <cell r="AI29">
            <v>2752</v>
          </cell>
          <cell r="AK29">
            <v>256744</v>
          </cell>
          <cell r="AL29">
            <v>247864</v>
          </cell>
          <cell r="AM29">
            <v>8880</v>
          </cell>
          <cell r="AN29">
            <v>249241</v>
          </cell>
          <cell r="AO29">
            <v>236955</v>
          </cell>
          <cell r="AP29">
            <v>12286</v>
          </cell>
          <cell r="AR29">
            <v>319270.30326964002</v>
          </cell>
          <cell r="AS29">
            <v>303532.30291668529</v>
          </cell>
          <cell r="AT29">
            <v>15738.000352954761</v>
          </cell>
          <cell r="AV29">
            <v>0.41</v>
          </cell>
          <cell r="AW29">
            <v>0.32700000000000001</v>
          </cell>
          <cell r="AX29">
            <v>0.75900000000000001</v>
          </cell>
          <cell r="AZ29">
            <v>0.30299999999999999</v>
          </cell>
          <cell r="BA29">
            <v>0.33600000000000002</v>
          </cell>
          <cell r="BB29">
            <v>0.16699999999999998</v>
          </cell>
          <cell r="BD29">
            <v>103719</v>
          </cell>
          <cell r="BE29">
            <v>69655</v>
          </cell>
          <cell r="BF29">
            <v>34064</v>
          </cell>
          <cell r="BH29">
            <v>0.3091661858596827</v>
          </cell>
          <cell r="BI29">
            <v>0.21839343124329405</v>
          </cell>
          <cell r="BJ29">
            <v>2.0598627567636671</v>
          </cell>
        </row>
        <row r="30">
          <cell r="B30">
            <v>22</v>
          </cell>
          <cell r="C30">
            <v>6</v>
          </cell>
          <cell r="D30">
            <v>2</v>
          </cell>
          <cell r="E30" t="str">
            <v>Banda</v>
          </cell>
          <cell r="F30" t="str">
            <v>Split</v>
          </cell>
          <cell r="G30">
            <v>2</v>
          </cell>
          <cell r="H30">
            <v>1862139</v>
          </cell>
          <cell r="I30">
            <v>1622718</v>
          </cell>
          <cell r="J30">
            <v>239421</v>
          </cell>
          <cell r="K30">
            <v>1214198</v>
          </cell>
          <cell r="L30">
            <v>1058085</v>
          </cell>
          <cell r="M30">
            <v>156113</v>
          </cell>
          <cell r="N30">
            <v>1500253</v>
          </cell>
          <cell r="O30">
            <v>1256230</v>
          </cell>
          <cell r="P30">
            <v>244023</v>
          </cell>
          <cell r="Q30">
            <v>23.69</v>
          </cell>
          <cell r="R30">
            <v>18.489999999999998</v>
          </cell>
          <cell r="S30">
            <v>2.1488446557463181E-2</v>
          </cell>
          <cell r="T30">
            <v>1.7110575489174495E-2</v>
          </cell>
          <cell r="U30">
            <v>2.1380351690864829E-2</v>
          </cell>
          <cell r="X30">
            <v>0</v>
          </cell>
          <cell r="Y30">
            <v>0</v>
          </cell>
          <cell r="Z30">
            <v>0</v>
          </cell>
          <cell r="AA30">
            <v>0</v>
          </cell>
          <cell r="AD30">
            <v>0</v>
          </cell>
          <cell r="AE30">
            <v>0</v>
          </cell>
          <cell r="AF30">
            <v>0</v>
          </cell>
          <cell r="AG30">
            <v>0</v>
          </cell>
          <cell r="AI30">
            <v>4418</v>
          </cell>
          <cell r="AK30">
            <v>298202</v>
          </cell>
          <cell r="AL30">
            <v>260286</v>
          </cell>
          <cell r="AM30">
            <v>37916</v>
          </cell>
          <cell r="AN30">
            <v>194441</v>
          </cell>
          <cell r="AO30">
            <v>169719</v>
          </cell>
          <cell r="AP30">
            <v>24722</v>
          </cell>
          <cell r="AR30">
            <v>249073.13418760186</v>
          </cell>
          <cell r="AS30">
            <v>217404.98794588385</v>
          </cell>
          <cell r="AT30">
            <v>31668.146241718019</v>
          </cell>
          <cell r="AV30">
            <v>0.41</v>
          </cell>
          <cell r="AW30">
            <v>0.32700000000000001</v>
          </cell>
          <cell r="AX30">
            <v>0.75900000000000001</v>
          </cell>
          <cell r="AZ30">
            <v>0.30299999999999999</v>
          </cell>
          <cell r="BA30">
            <v>0.33600000000000002</v>
          </cell>
          <cell r="BB30">
            <v>0.16699999999999998</v>
          </cell>
          <cell r="BD30">
            <v>0</v>
          </cell>
          <cell r="BE30">
            <v>0</v>
          </cell>
          <cell r="BF30">
            <v>0</v>
          </cell>
          <cell r="BH30">
            <v>0</v>
          </cell>
          <cell r="BI30">
            <v>0</v>
          </cell>
          <cell r="BJ30">
            <v>0</v>
          </cell>
        </row>
        <row r="31">
          <cell r="B31">
            <v>23</v>
          </cell>
          <cell r="C31">
            <v>6</v>
          </cell>
          <cell r="D31">
            <v>4</v>
          </cell>
          <cell r="E31" t="str">
            <v>Chitrakoot</v>
          </cell>
          <cell r="F31" t="str">
            <v>New</v>
          </cell>
          <cell r="G31">
            <v>1</v>
          </cell>
          <cell r="H31">
            <v>0</v>
          </cell>
          <cell r="I31">
            <v>0</v>
          </cell>
          <cell r="J31">
            <v>0</v>
          </cell>
          <cell r="K31">
            <v>647941</v>
          </cell>
          <cell r="L31">
            <v>564633</v>
          </cell>
          <cell r="M31">
            <v>83308</v>
          </cell>
          <cell r="N31">
            <v>800592</v>
          </cell>
          <cell r="O31">
            <v>724096</v>
          </cell>
          <cell r="P31">
            <v>76496</v>
          </cell>
          <cell r="Q31">
            <v>16.78</v>
          </cell>
          <cell r="R31">
            <v>34.33</v>
          </cell>
          <cell r="S31">
            <v>1.5633101826060258E-2</v>
          </cell>
          <cell r="T31">
            <v>2.9952749902958598E-2</v>
          </cell>
          <cell r="U31">
            <v>2.1380538313838349E-2</v>
          </cell>
          <cell r="X31">
            <v>0</v>
          </cell>
          <cell r="Y31">
            <v>0</v>
          </cell>
          <cell r="Z31">
            <v>0</v>
          </cell>
          <cell r="AA31">
            <v>0</v>
          </cell>
          <cell r="AD31">
            <v>445</v>
          </cell>
          <cell r="AE31">
            <v>0</v>
          </cell>
          <cell r="AF31">
            <v>0</v>
          </cell>
          <cell r="AG31">
            <v>0</v>
          </cell>
          <cell r="AI31">
            <v>3206</v>
          </cell>
          <cell r="AK31">
            <v>0</v>
          </cell>
          <cell r="AL31">
            <v>0</v>
          </cell>
          <cell r="AM31">
            <v>0</v>
          </cell>
          <cell r="AN31">
            <v>103761</v>
          </cell>
          <cell r="AO31">
            <v>90567</v>
          </cell>
          <cell r="AP31">
            <v>13194</v>
          </cell>
          <cell r="AR31">
            <v>132914.75294017085</v>
          </cell>
          <cell r="AS31">
            <v>116013.6316104553</v>
          </cell>
          <cell r="AT31">
            <v>16901.121329715537</v>
          </cell>
          <cell r="AV31">
            <v>0.41</v>
          </cell>
          <cell r="AW31">
            <v>0.32700000000000001</v>
          </cell>
          <cell r="AX31">
            <v>0.75900000000000001</v>
          </cell>
          <cell r="AZ31">
            <v>0.30299999999999999</v>
          </cell>
          <cell r="BA31">
            <v>0.33600000000000002</v>
          </cell>
          <cell r="BB31">
            <v>0.16699999999999998</v>
          </cell>
          <cell r="BD31">
            <v>0</v>
          </cell>
          <cell r="BE31">
            <v>0</v>
          </cell>
          <cell r="BF31">
            <v>0</v>
          </cell>
          <cell r="BH31">
            <v>0</v>
          </cell>
          <cell r="BI31">
            <v>0</v>
          </cell>
          <cell r="BJ31">
            <v>0</v>
          </cell>
        </row>
        <row r="32">
          <cell r="B32">
            <v>24</v>
          </cell>
          <cell r="C32">
            <v>6</v>
          </cell>
          <cell r="D32">
            <v>2</v>
          </cell>
          <cell r="E32" t="str">
            <v>Hamirpur</v>
          </cell>
          <cell r="F32" t="str">
            <v>Split</v>
          </cell>
          <cell r="G32">
            <v>2</v>
          </cell>
          <cell r="H32">
            <v>1466491</v>
          </cell>
          <cell r="I32">
            <v>1211846</v>
          </cell>
          <cell r="J32">
            <v>254645</v>
          </cell>
          <cell r="K32">
            <v>872903</v>
          </cell>
          <cell r="L32">
            <v>721331</v>
          </cell>
          <cell r="M32">
            <v>151572</v>
          </cell>
          <cell r="N32">
            <v>1042374</v>
          </cell>
          <cell r="O32">
            <v>868917</v>
          </cell>
          <cell r="P32">
            <v>173457</v>
          </cell>
          <cell r="Q32">
            <v>21.9</v>
          </cell>
          <cell r="R32">
            <v>17.850000000000001</v>
          </cell>
          <cell r="S32">
            <v>2.0000466908915326E-2</v>
          </cell>
          <cell r="T32">
            <v>1.6559863704994404E-2</v>
          </cell>
          <cell r="U32">
            <v>1.7901509520586112E-2</v>
          </cell>
          <cell r="W32">
            <v>1283</v>
          </cell>
          <cell r="X32">
            <v>1286</v>
          </cell>
          <cell r="Y32">
            <v>1287</v>
          </cell>
          <cell r="Z32">
            <v>1287</v>
          </cell>
          <cell r="AA32">
            <v>1287</v>
          </cell>
          <cell r="AC32">
            <v>32612</v>
          </cell>
          <cell r="AD32">
            <v>32972</v>
          </cell>
          <cell r="AE32">
            <v>34027</v>
          </cell>
          <cell r="AF32">
            <v>34255</v>
          </cell>
          <cell r="AG32">
            <v>34464</v>
          </cell>
          <cell r="AI32">
            <v>4316</v>
          </cell>
          <cell r="AK32">
            <v>240803</v>
          </cell>
          <cell r="AL32">
            <v>199378</v>
          </cell>
          <cell r="AM32">
            <v>41425</v>
          </cell>
          <cell r="AN32">
            <v>143334</v>
          </cell>
          <cell r="AO32">
            <v>118677</v>
          </cell>
          <cell r="AP32">
            <v>24657</v>
          </cell>
          <cell r="AR32">
            <v>183606.58819716895</v>
          </cell>
          <cell r="AS32">
            <v>152021.70502096793</v>
          </cell>
          <cell r="AT32">
            <v>31584.883176201005</v>
          </cell>
          <cell r="AV32">
            <v>0.41</v>
          </cell>
          <cell r="AW32">
            <v>0.32700000000000001</v>
          </cell>
          <cell r="AX32">
            <v>0.75900000000000001</v>
          </cell>
          <cell r="AZ32">
            <v>0.30299999999999999</v>
          </cell>
          <cell r="BA32">
            <v>0.33600000000000002</v>
          </cell>
          <cell r="BB32">
            <v>0.16699999999999998</v>
          </cell>
          <cell r="BD32">
            <v>25329</v>
          </cell>
          <cell r="BE32">
            <v>0</v>
          </cell>
          <cell r="BF32">
            <v>25329</v>
          </cell>
          <cell r="BH32">
            <v>0.1312870758711229</v>
          </cell>
          <cell r="BI32">
            <v>0</v>
          </cell>
          <cell r="BJ32">
            <v>0.76318699488630126</v>
          </cell>
        </row>
        <row r="33">
          <cell r="B33">
            <v>25</v>
          </cell>
          <cell r="C33">
            <v>6</v>
          </cell>
          <cell r="D33">
            <v>2</v>
          </cell>
          <cell r="E33" t="str">
            <v>Mahoba</v>
          </cell>
          <cell r="F33" t="str">
            <v>New</v>
          </cell>
          <cell r="G33">
            <v>1</v>
          </cell>
          <cell r="H33">
            <v>0</v>
          </cell>
          <cell r="I33">
            <v>0</v>
          </cell>
          <cell r="J33">
            <v>0</v>
          </cell>
          <cell r="K33">
            <v>593588</v>
          </cell>
          <cell r="L33">
            <v>490515</v>
          </cell>
          <cell r="M33">
            <v>103073</v>
          </cell>
          <cell r="N33">
            <v>708831</v>
          </cell>
          <cell r="O33">
            <v>554044</v>
          </cell>
          <cell r="P33">
            <v>154787</v>
          </cell>
          <cell r="Q33">
            <v>24.2</v>
          </cell>
          <cell r="R33">
            <v>21.8</v>
          </cell>
          <cell r="S33">
            <v>2.1908848379270873E-2</v>
          </cell>
          <cell r="T33">
            <v>1.9916760821878876E-2</v>
          </cell>
          <cell r="U33">
            <v>1.7901510915810714E-2</v>
          </cell>
          <cell r="X33">
            <v>0</v>
          </cell>
          <cell r="Y33">
            <v>0</v>
          </cell>
          <cell r="Z33">
            <v>0</v>
          </cell>
          <cell r="AA33">
            <v>0</v>
          </cell>
          <cell r="AD33">
            <v>0</v>
          </cell>
          <cell r="AE33">
            <v>0</v>
          </cell>
          <cell r="AF33">
            <v>0</v>
          </cell>
          <cell r="AG33">
            <v>0</v>
          </cell>
          <cell r="AI33">
            <v>2850</v>
          </cell>
          <cell r="AK33">
            <v>0</v>
          </cell>
          <cell r="AL33">
            <v>0</v>
          </cell>
          <cell r="AM33">
            <v>0</v>
          </cell>
          <cell r="AN33">
            <v>97469</v>
          </cell>
          <cell r="AO33">
            <v>80701</v>
          </cell>
          <cell r="AP33">
            <v>16768</v>
          </cell>
          <cell r="AR33">
            <v>124854.88819812368</v>
          </cell>
          <cell r="AS33">
            <v>103375.57923521099</v>
          </cell>
          <cell r="AT33">
            <v>21479.308962912699</v>
          </cell>
          <cell r="AV33">
            <v>0.41</v>
          </cell>
          <cell r="AW33">
            <v>0.32700000000000001</v>
          </cell>
          <cell r="AX33">
            <v>0.75900000000000001</v>
          </cell>
          <cell r="AZ33">
            <v>0.30299999999999999</v>
          </cell>
          <cell r="BA33">
            <v>0.33600000000000002</v>
          </cell>
          <cell r="BB33">
            <v>0.16699999999999998</v>
          </cell>
          <cell r="BD33">
            <v>17487</v>
          </cell>
          <cell r="BE33">
            <v>6908</v>
          </cell>
          <cell r="BF33">
            <v>10579</v>
          </cell>
          <cell r="BH33">
            <v>0.13329134551745506</v>
          </cell>
          <cell r="BI33">
            <v>6.359552617656733E-2</v>
          </cell>
          <cell r="BJ33">
            <v>0.46872325848435514</v>
          </cell>
        </row>
        <row r="34">
          <cell r="B34">
            <v>26</v>
          </cell>
          <cell r="C34">
            <v>7</v>
          </cell>
          <cell r="D34">
            <v>3</v>
          </cell>
          <cell r="E34" t="str">
            <v>Bahraich</v>
          </cell>
          <cell r="F34" t="str">
            <v>Split</v>
          </cell>
          <cell r="G34">
            <v>2</v>
          </cell>
          <cell r="H34">
            <v>2763750</v>
          </cell>
          <cell r="I34">
            <v>2546844</v>
          </cell>
          <cell r="J34">
            <v>216906</v>
          </cell>
          <cell r="K34">
            <v>1851140</v>
          </cell>
          <cell r="L34">
            <v>1705858</v>
          </cell>
          <cell r="M34">
            <v>145282</v>
          </cell>
          <cell r="N34">
            <v>2384239</v>
          </cell>
          <cell r="O34">
            <v>2146187</v>
          </cell>
          <cell r="P34">
            <v>238052</v>
          </cell>
          <cell r="Q34">
            <v>25.19</v>
          </cell>
          <cell r="R34">
            <v>29.55</v>
          </cell>
          <cell r="S34">
            <v>2.2720506259497952E-2</v>
          </cell>
          <cell r="T34">
            <v>2.6227720680175537E-2</v>
          </cell>
          <cell r="U34">
            <v>2.5630794973076076E-2</v>
          </cell>
          <cell r="W34">
            <v>519</v>
          </cell>
          <cell r="X34">
            <v>521</v>
          </cell>
          <cell r="Y34">
            <v>536</v>
          </cell>
          <cell r="Z34">
            <v>536</v>
          </cell>
          <cell r="AA34">
            <v>536</v>
          </cell>
          <cell r="AC34">
            <v>1716</v>
          </cell>
          <cell r="AD34">
            <v>1754</v>
          </cell>
          <cell r="AE34">
            <v>1814</v>
          </cell>
          <cell r="AF34">
            <v>1864</v>
          </cell>
          <cell r="AG34">
            <v>1904</v>
          </cell>
          <cell r="AI34">
            <v>5751</v>
          </cell>
          <cell r="AK34">
            <v>449687</v>
          </cell>
          <cell r="AL34">
            <v>419800</v>
          </cell>
          <cell r="AM34">
            <v>29887</v>
          </cell>
          <cell r="AN34">
            <v>301198</v>
          </cell>
          <cell r="AO34">
            <v>281179</v>
          </cell>
          <cell r="AP34">
            <v>20019</v>
          </cell>
          <cell r="AR34">
            <v>385825.67396298778</v>
          </cell>
          <cell r="AS34">
            <v>360181.93075398554</v>
          </cell>
          <cell r="AT34">
            <v>25643.743209002227</v>
          </cell>
          <cell r="AV34">
            <v>0.41</v>
          </cell>
          <cell r="AW34">
            <v>0.32700000000000001</v>
          </cell>
          <cell r="AX34">
            <v>0.75900000000000001</v>
          </cell>
          <cell r="AZ34">
            <v>0.30299999999999999</v>
          </cell>
          <cell r="BA34">
            <v>0.33600000000000002</v>
          </cell>
          <cell r="BB34">
            <v>0.16699999999999998</v>
          </cell>
          <cell r="BD34">
            <v>58635</v>
          </cell>
          <cell r="BE34">
            <v>34208</v>
          </cell>
          <cell r="BF34">
            <v>24427</v>
          </cell>
          <cell r="BH34">
            <v>0.14462987073764758</v>
          </cell>
          <cell r="BI34">
            <v>9.0385331210624725E-2</v>
          </cell>
          <cell r="BJ34">
            <v>0.9065273371280147</v>
          </cell>
        </row>
        <row r="35">
          <cell r="B35">
            <v>27</v>
          </cell>
          <cell r="C35">
            <v>7</v>
          </cell>
          <cell r="D35">
            <v>3</v>
          </cell>
          <cell r="E35" t="str">
            <v>Balrampur</v>
          </cell>
          <cell r="F35" t="str">
            <v>New</v>
          </cell>
          <cell r="G35">
            <v>1</v>
          </cell>
          <cell r="H35">
            <v>0</v>
          </cell>
          <cell r="I35">
            <v>0</v>
          </cell>
          <cell r="J35">
            <v>0</v>
          </cell>
          <cell r="K35">
            <v>1352505</v>
          </cell>
          <cell r="L35">
            <v>1252299</v>
          </cell>
          <cell r="M35">
            <v>100206</v>
          </cell>
          <cell r="N35">
            <v>1684567</v>
          </cell>
          <cell r="O35">
            <v>1549293</v>
          </cell>
          <cell r="P35">
            <v>135274</v>
          </cell>
          <cell r="Q35">
            <v>25.52</v>
          </cell>
          <cell r="R35">
            <v>23.08</v>
          </cell>
          <cell r="S35">
            <v>2.2989775446581096E-2</v>
          </cell>
          <cell r="T35">
            <v>2.0983559238962446E-2</v>
          </cell>
          <cell r="U35">
            <v>2.2197797711060785E-2</v>
          </cell>
          <cell r="X35">
            <v>0</v>
          </cell>
          <cell r="Y35">
            <v>0</v>
          </cell>
          <cell r="Z35">
            <v>0</v>
          </cell>
          <cell r="AA35">
            <v>0</v>
          </cell>
          <cell r="AD35">
            <v>0</v>
          </cell>
          <cell r="AE35">
            <v>0</v>
          </cell>
          <cell r="AF35">
            <v>0</v>
          </cell>
          <cell r="AG35">
            <v>0</v>
          </cell>
          <cell r="AI35">
            <v>2927</v>
          </cell>
          <cell r="AK35">
            <v>0</v>
          </cell>
          <cell r="AL35">
            <v>0</v>
          </cell>
          <cell r="AM35">
            <v>0</v>
          </cell>
          <cell r="AN35">
            <v>211718</v>
          </cell>
          <cell r="AO35">
            <v>197768</v>
          </cell>
          <cell r="AP35">
            <v>13950</v>
          </cell>
          <cell r="AR35">
            <v>271204.45700202475</v>
          </cell>
          <cell r="AS35">
            <v>253334.92217183436</v>
          </cell>
          <cell r="AT35">
            <v>17869.534830190372</v>
          </cell>
          <cell r="AV35">
            <v>0.41</v>
          </cell>
          <cell r="AW35">
            <v>0.32700000000000001</v>
          </cell>
          <cell r="AX35">
            <v>0.75900000000000001</v>
          </cell>
          <cell r="AZ35">
            <v>0.30299999999999999</v>
          </cell>
          <cell r="BA35">
            <v>0.33600000000000002</v>
          </cell>
          <cell r="BB35">
            <v>0.16699999999999998</v>
          </cell>
          <cell r="BD35">
            <v>44779</v>
          </cell>
          <cell r="BE35">
            <v>30823</v>
          </cell>
          <cell r="BF35">
            <v>13956</v>
          </cell>
          <cell r="BH35">
            <v>0.15713385319529033</v>
          </cell>
          <cell r="BI35">
            <v>0.11579026210481498</v>
          </cell>
          <cell r="BJ35">
            <v>0.74325853583193069</v>
          </cell>
        </row>
        <row r="36">
          <cell r="B36">
            <v>28</v>
          </cell>
          <cell r="C36">
            <v>7</v>
          </cell>
          <cell r="D36">
            <v>3</v>
          </cell>
          <cell r="E36" t="str">
            <v>Gonda</v>
          </cell>
          <cell r="F36" t="str">
            <v>Split</v>
          </cell>
          <cell r="G36">
            <v>2</v>
          </cell>
          <cell r="H36">
            <v>3573075</v>
          </cell>
          <cell r="I36">
            <v>3308349</v>
          </cell>
          <cell r="J36">
            <v>264726</v>
          </cell>
          <cell r="K36">
            <v>2220570</v>
          </cell>
          <cell r="L36">
            <v>2056050</v>
          </cell>
          <cell r="M36">
            <v>164520</v>
          </cell>
          <cell r="N36">
            <v>2765754</v>
          </cell>
          <cell r="O36">
            <v>2569595</v>
          </cell>
          <cell r="P36">
            <v>196159</v>
          </cell>
          <cell r="Q36">
            <v>26.62</v>
          </cell>
          <cell r="R36">
            <v>25.46</v>
          </cell>
          <cell r="S36">
            <v>2.388276106248699E-2</v>
          </cell>
          <cell r="T36">
            <v>2.294086483986657E-2</v>
          </cell>
          <cell r="U36">
            <v>2.2197720393213993E-2</v>
          </cell>
          <cell r="W36">
            <v>1070</v>
          </cell>
          <cell r="X36">
            <v>1075</v>
          </cell>
          <cell r="Y36">
            <v>1085</v>
          </cell>
          <cell r="Z36">
            <v>1085</v>
          </cell>
          <cell r="AA36">
            <v>1085</v>
          </cell>
          <cell r="AC36">
            <v>9011</v>
          </cell>
          <cell r="AD36">
            <v>9066</v>
          </cell>
          <cell r="AE36">
            <v>9220</v>
          </cell>
          <cell r="AF36">
            <v>9256</v>
          </cell>
          <cell r="AG36">
            <v>9274</v>
          </cell>
          <cell r="AI36">
            <v>4425</v>
          </cell>
          <cell r="AK36">
            <v>559321</v>
          </cell>
          <cell r="AL36">
            <v>522468</v>
          </cell>
          <cell r="AM36">
            <v>36853</v>
          </cell>
          <cell r="AN36">
            <v>347603</v>
          </cell>
          <cell r="AO36">
            <v>324700</v>
          </cell>
          <cell r="AP36">
            <v>22903</v>
          </cell>
          <cell r="AR36">
            <v>445269.09789094364</v>
          </cell>
          <cell r="AS36">
            <v>415931.03651346336</v>
          </cell>
          <cell r="AT36">
            <v>29338.061377480291</v>
          </cell>
          <cell r="AV36">
            <v>0.41</v>
          </cell>
          <cell r="AW36">
            <v>0.32700000000000001</v>
          </cell>
          <cell r="AX36">
            <v>0.75900000000000001</v>
          </cell>
          <cell r="AZ36">
            <v>0.30299999999999999</v>
          </cell>
          <cell r="BA36">
            <v>0.33600000000000002</v>
          </cell>
          <cell r="BB36">
            <v>0.16699999999999998</v>
          </cell>
          <cell r="BD36">
            <v>68596</v>
          </cell>
          <cell r="BE36">
            <v>43608</v>
          </cell>
          <cell r="BF36">
            <v>24988</v>
          </cell>
          <cell r="BH36">
            <v>0.14661163196962276</v>
          </cell>
          <cell r="BI36">
            <v>9.9778514231470355E-2</v>
          </cell>
          <cell r="BJ36">
            <v>0.81057326710816757</v>
          </cell>
        </row>
        <row r="37">
          <cell r="B37">
            <v>29</v>
          </cell>
          <cell r="C37">
            <v>7</v>
          </cell>
          <cell r="D37">
            <v>3</v>
          </cell>
          <cell r="E37" t="str">
            <v>Shrawasti</v>
          </cell>
          <cell r="F37" t="str">
            <v>New</v>
          </cell>
          <cell r="G37">
            <v>1</v>
          </cell>
          <cell r="H37">
            <v>0</v>
          </cell>
          <cell r="I37">
            <v>0</v>
          </cell>
          <cell r="J37">
            <v>0</v>
          </cell>
          <cell r="K37">
            <v>912610</v>
          </cell>
          <cell r="L37">
            <v>840986</v>
          </cell>
          <cell r="M37">
            <v>71624</v>
          </cell>
          <cell r="N37">
            <v>1175428</v>
          </cell>
          <cell r="O37">
            <v>1142081</v>
          </cell>
          <cell r="P37">
            <v>33347</v>
          </cell>
          <cell r="Q37">
            <v>23.75</v>
          </cell>
          <cell r="R37">
            <v>27.3</v>
          </cell>
          <cell r="S37">
            <v>2.1537986481630966E-2</v>
          </cell>
          <cell r="T37">
            <v>2.4431302673932009E-2</v>
          </cell>
          <cell r="U37">
            <v>2.5630862572723956E-2</v>
          </cell>
          <cell r="X37">
            <v>0</v>
          </cell>
          <cell r="Y37">
            <v>0</v>
          </cell>
          <cell r="Z37">
            <v>0</v>
          </cell>
          <cell r="AA37">
            <v>0</v>
          </cell>
          <cell r="AD37">
            <v>0</v>
          </cell>
          <cell r="AE37">
            <v>0</v>
          </cell>
          <cell r="AF37">
            <v>0</v>
          </cell>
          <cell r="AG37">
            <v>0</v>
          </cell>
          <cell r="AI37">
            <v>1126</v>
          </cell>
          <cell r="AK37">
            <v>0</v>
          </cell>
          <cell r="AL37">
            <v>0</v>
          </cell>
          <cell r="AM37">
            <v>0</v>
          </cell>
          <cell r="AN37">
            <v>148489</v>
          </cell>
          <cell r="AO37">
            <v>138621</v>
          </cell>
          <cell r="AP37">
            <v>9868</v>
          </cell>
          <cell r="AR37">
            <v>190209.98977778768</v>
          </cell>
          <cell r="AS37">
            <v>177569.37546206592</v>
          </cell>
          <cell r="AT37">
            <v>12640.614315721763</v>
          </cell>
          <cell r="AV37">
            <v>0.41</v>
          </cell>
          <cell r="AW37">
            <v>0.32700000000000001</v>
          </cell>
          <cell r="AX37">
            <v>0.75900000000000001</v>
          </cell>
          <cell r="AZ37">
            <v>0.30299999999999999</v>
          </cell>
          <cell r="BA37">
            <v>0.33600000000000002</v>
          </cell>
          <cell r="BB37">
            <v>0.16699999999999998</v>
          </cell>
          <cell r="BD37">
            <v>0</v>
          </cell>
          <cell r="BE37">
            <v>0</v>
          </cell>
          <cell r="BF37">
            <v>0</v>
          </cell>
          <cell r="BH37">
            <v>0</v>
          </cell>
          <cell r="BI37">
            <v>0</v>
          </cell>
          <cell r="BJ37">
            <v>0</v>
          </cell>
        </row>
        <row r="38">
          <cell r="B38">
            <v>30</v>
          </cell>
          <cell r="C38">
            <v>8</v>
          </cell>
          <cell r="D38">
            <v>3</v>
          </cell>
          <cell r="E38" t="str">
            <v>Ambedaker Nagar</v>
          </cell>
          <cell r="F38" t="str">
            <v>New</v>
          </cell>
          <cell r="G38">
            <v>1</v>
          </cell>
          <cell r="H38">
            <v>0</v>
          </cell>
          <cell r="I38">
            <v>0</v>
          </cell>
          <cell r="J38">
            <v>0</v>
          </cell>
          <cell r="K38">
            <v>1466598</v>
          </cell>
          <cell r="L38">
            <v>1295626</v>
          </cell>
          <cell r="M38">
            <v>170972</v>
          </cell>
          <cell r="N38">
            <v>2025373</v>
          </cell>
          <cell r="O38">
            <v>1844711</v>
          </cell>
          <cell r="P38">
            <v>180662</v>
          </cell>
          <cell r="Q38">
            <v>25.45</v>
          </cell>
          <cell r="R38">
            <v>24.31</v>
          </cell>
          <cell r="S38">
            <v>2.2932711025443364E-2</v>
          </cell>
          <cell r="T38">
            <v>2.1999319552667984E-2</v>
          </cell>
          <cell r="U38">
            <v>3.2807523215863332E-2</v>
          </cell>
          <cell r="W38">
            <v>790</v>
          </cell>
          <cell r="X38">
            <v>790</v>
          </cell>
          <cell r="Y38">
            <v>802</v>
          </cell>
          <cell r="Z38">
            <v>802</v>
          </cell>
          <cell r="AA38">
            <v>802</v>
          </cell>
          <cell r="AC38">
            <v>11818</v>
          </cell>
          <cell r="AD38">
            <v>11922</v>
          </cell>
          <cell r="AE38">
            <v>12042</v>
          </cell>
          <cell r="AF38">
            <v>12162</v>
          </cell>
          <cell r="AG38">
            <v>12262</v>
          </cell>
          <cell r="AI38">
            <v>2372</v>
          </cell>
          <cell r="AK38">
            <v>0</v>
          </cell>
          <cell r="AL38">
            <v>0</v>
          </cell>
          <cell r="AM38">
            <v>0</v>
          </cell>
          <cell r="AN38">
            <v>232211</v>
          </cell>
          <cell r="AO38">
            <v>207417</v>
          </cell>
          <cell r="AP38">
            <v>24794</v>
          </cell>
          <cell r="AR38">
            <v>297455.38010418182</v>
          </cell>
          <cell r="AS38">
            <v>265695.00400527572</v>
          </cell>
          <cell r="AT38">
            <v>31760.376098906097</v>
          </cell>
          <cell r="AV38">
            <v>0.41</v>
          </cell>
          <cell r="AW38">
            <v>0.32700000000000001</v>
          </cell>
          <cell r="AX38">
            <v>0.75900000000000001</v>
          </cell>
          <cell r="AZ38">
            <v>0.30299999999999999</v>
          </cell>
          <cell r="BA38">
            <v>0.33600000000000002</v>
          </cell>
          <cell r="BB38">
            <v>0.16699999999999998</v>
          </cell>
          <cell r="BD38">
            <v>63878</v>
          </cell>
          <cell r="BE38">
            <v>48643</v>
          </cell>
          <cell r="BF38">
            <v>15235</v>
          </cell>
          <cell r="BH38">
            <v>0.20437213113260985</v>
          </cell>
          <cell r="BI38">
            <v>0.17423249490920034</v>
          </cell>
          <cell r="BJ38">
            <v>0.45650865313595473</v>
          </cell>
        </row>
        <row r="39">
          <cell r="B39">
            <v>31</v>
          </cell>
          <cell r="C39">
            <v>8</v>
          </cell>
          <cell r="D39">
            <v>3</v>
          </cell>
          <cell r="E39" t="str">
            <v>Barabanki</v>
          </cell>
          <cell r="H39">
            <v>2423136</v>
          </cell>
          <cell r="I39">
            <v>2198258</v>
          </cell>
          <cell r="J39">
            <v>224878</v>
          </cell>
          <cell r="K39">
            <v>2423136</v>
          </cell>
          <cell r="L39">
            <v>2198258</v>
          </cell>
          <cell r="M39">
            <v>224878</v>
          </cell>
          <cell r="N39">
            <v>2673394</v>
          </cell>
          <cell r="O39">
            <v>2425535</v>
          </cell>
          <cell r="P39">
            <v>247859</v>
          </cell>
          <cell r="Q39">
            <v>26.59</v>
          </cell>
          <cell r="R39">
            <v>26.4</v>
          </cell>
          <cell r="S39">
            <v>2.3858499683352186E-2</v>
          </cell>
          <cell r="T39">
            <v>2.3704724006482714E-2</v>
          </cell>
          <cell r="U39">
            <v>9.8770852947653864E-3</v>
          </cell>
          <cell r="X39">
            <v>0</v>
          </cell>
          <cell r="Y39">
            <v>0</v>
          </cell>
          <cell r="Z39">
            <v>0</v>
          </cell>
          <cell r="AA39">
            <v>0</v>
          </cell>
          <cell r="AD39">
            <v>14</v>
          </cell>
          <cell r="AE39">
            <v>0</v>
          </cell>
          <cell r="AF39">
            <v>0</v>
          </cell>
          <cell r="AG39">
            <v>0</v>
          </cell>
          <cell r="AI39">
            <v>3825</v>
          </cell>
          <cell r="AK39">
            <v>431765</v>
          </cell>
          <cell r="AL39">
            <v>398505</v>
          </cell>
          <cell r="AM39">
            <v>33260</v>
          </cell>
          <cell r="AN39">
            <v>431765</v>
          </cell>
          <cell r="AO39">
            <v>398505</v>
          </cell>
          <cell r="AP39">
            <v>33260</v>
          </cell>
          <cell r="AR39">
            <v>553078.11512237601</v>
          </cell>
          <cell r="AS39">
            <v>510473.04498243827</v>
          </cell>
          <cell r="AT39">
            <v>42605.070139937758</v>
          </cell>
          <cell r="AV39">
            <v>0.41</v>
          </cell>
          <cell r="AW39">
            <v>0.32700000000000001</v>
          </cell>
          <cell r="AX39">
            <v>0.75900000000000001</v>
          </cell>
          <cell r="AZ39">
            <v>0.30299999999999999</v>
          </cell>
          <cell r="BA39">
            <v>0.33600000000000002</v>
          </cell>
          <cell r="BB39">
            <v>0.16699999999999998</v>
          </cell>
          <cell r="BD39">
            <v>81614</v>
          </cell>
          <cell r="BE39">
            <v>58102</v>
          </cell>
          <cell r="BF39">
            <v>23512</v>
          </cell>
          <cell r="BH39">
            <v>0.14043339063547985</v>
          </cell>
          <cell r="BI39">
            <v>0.10832045099460826</v>
          </cell>
          <cell r="BJ39">
            <v>0.52519487625140104</v>
          </cell>
        </row>
        <row r="40">
          <cell r="B40">
            <v>32</v>
          </cell>
          <cell r="C40">
            <v>8</v>
          </cell>
          <cell r="D40">
            <v>3</v>
          </cell>
          <cell r="E40" t="str">
            <v>Faizabad</v>
          </cell>
          <cell r="F40" t="str">
            <v>Split</v>
          </cell>
          <cell r="G40">
            <v>2</v>
          </cell>
          <cell r="H40">
            <v>2978484</v>
          </cell>
          <cell r="I40">
            <v>2631261</v>
          </cell>
          <cell r="J40">
            <v>347223</v>
          </cell>
          <cell r="K40">
            <v>1511886</v>
          </cell>
          <cell r="L40">
            <v>1335635</v>
          </cell>
          <cell r="M40">
            <v>176251</v>
          </cell>
          <cell r="N40">
            <v>2087914</v>
          </cell>
          <cell r="O40">
            <v>1806600</v>
          </cell>
          <cell r="P40">
            <v>281314</v>
          </cell>
          <cell r="Q40">
            <v>23.77</v>
          </cell>
          <cell r="R40">
            <v>23.87</v>
          </cell>
          <cell r="S40">
            <v>2.1554494985880135E-2</v>
          </cell>
          <cell r="T40">
            <v>2.1637001511741971E-2</v>
          </cell>
          <cell r="U40">
            <v>3.2807435963712051E-2</v>
          </cell>
          <cell r="W40">
            <v>0</v>
          </cell>
          <cell r="X40">
            <v>0</v>
          </cell>
          <cell r="Y40">
            <v>0</v>
          </cell>
          <cell r="Z40">
            <v>0</v>
          </cell>
          <cell r="AA40">
            <v>0</v>
          </cell>
          <cell r="AC40">
            <v>0</v>
          </cell>
          <cell r="AD40">
            <v>4</v>
          </cell>
          <cell r="AE40">
            <v>0</v>
          </cell>
          <cell r="AF40">
            <v>0</v>
          </cell>
          <cell r="AG40">
            <v>0</v>
          </cell>
          <cell r="AI40">
            <v>2764</v>
          </cell>
          <cell r="AK40">
            <v>471593</v>
          </cell>
          <cell r="AL40">
            <v>421239</v>
          </cell>
          <cell r="AM40">
            <v>50354</v>
          </cell>
          <cell r="AN40">
            <v>239382</v>
          </cell>
          <cell r="AO40">
            <v>213822</v>
          </cell>
          <cell r="AP40">
            <v>25560</v>
          </cell>
          <cell r="AR40">
            <v>306641.21768606675</v>
          </cell>
          <cell r="AS40">
            <v>273899.61838429864</v>
          </cell>
          <cell r="AT40">
            <v>32741.599301768165</v>
          </cell>
          <cell r="AV40">
            <v>0.41</v>
          </cell>
          <cell r="AW40">
            <v>0.32700000000000001</v>
          </cell>
          <cell r="AX40">
            <v>0.75900000000000001</v>
          </cell>
          <cell r="AZ40">
            <v>0.30299999999999999</v>
          </cell>
          <cell r="BA40">
            <v>0.33600000000000002</v>
          </cell>
          <cell r="BB40">
            <v>0.16699999999999998</v>
          </cell>
          <cell r="BD40">
            <v>109635</v>
          </cell>
          <cell r="BE40">
            <v>72594</v>
          </cell>
          <cell r="BF40">
            <v>37041</v>
          </cell>
          <cell r="BH40">
            <v>0.34025998783361489</v>
          </cell>
          <cell r="BI40">
            <v>0.25223275995112732</v>
          </cell>
          <cell r="BJ40">
            <v>1.0766511427745082</v>
          </cell>
        </row>
        <row r="41">
          <cell r="B41">
            <v>33</v>
          </cell>
          <cell r="C41">
            <v>8</v>
          </cell>
          <cell r="D41">
            <v>3</v>
          </cell>
          <cell r="E41" t="str">
            <v>Sultanpur</v>
          </cell>
          <cell r="H41">
            <v>2558970</v>
          </cell>
          <cell r="I41">
            <v>2444802</v>
          </cell>
          <cell r="J41">
            <v>114168</v>
          </cell>
          <cell r="K41">
            <v>2558970</v>
          </cell>
          <cell r="L41">
            <v>2444802</v>
          </cell>
          <cell r="M41">
            <v>114168</v>
          </cell>
          <cell r="N41">
            <v>3190926</v>
          </cell>
          <cell r="O41">
            <v>3038675</v>
          </cell>
          <cell r="P41">
            <v>152251</v>
          </cell>
          <cell r="Q41">
            <v>25.32</v>
          </cell>
          <cell r="R41">
            <v>24.2</v>
          </cell>
          <cell r="S41">
            <v>2.2826658171600567E-2</v>
          </cell>
          <cell r="T41">
            <v>2.1908848379270873E-2</v>
          </cell>
          <cell r="U41">
            <v>2.2315990452679513E-2</v>
          </cell>
          <cell r="W41">
            <v>471</v>
          </cell>
          <cell r="X41">
            <v>477</v>
          </cell>
          <cell r="Y41">
            <v>481</v>
          </cell>
          <cell r="Z41">
            <v>481</v>
          </cell>
          <cell r="AA41">
            <v>481</v>
          </cell>
          <cell r="AC41">
            <v>8870</v>
          </cell>
          <cell r="AD41">
            <v>9192</v>
          </cell>
          <cell r="AE41">
            <v>9532</v>
          </cell>
          <cell r="AF41">
            <v>9645</v>
          </cell>
          <cell r="AG41">
            <v>9773</v>
          </cell>
          <cell r="AI41">
            <v>4436</v>
          </cell>
          <cell r="AK41">
            <v>415049</v>
          </cell>
          <cell r="AL41">
            <v>398823</v>
          </cell>
          <cell r="AM41">
            <v>16226</v>
          </cell>
          <cell r="AN41">
            <v>415049</v>
          </cell>
          <cell r="AO41">
            <v>398823</v>
          </cell>
          <cell r="AP41">
            <v>16226</v>
          </cell>
          <cell r="AR41">
            <v>531665.41661187692</v>
          </cell>
          <cell r="AS41">
            <v>510880.3935183523</v>
          </cell>
          <cell r="AT41">
            <v>20785.023093524658</v>
          </cell>
          <cell r="AV41">
            <v>0.41</v>
          </cell>
          <cell r="AW41">
            <v>0.32700000000000001</v>
          </cell>
          <cell r="AX41">
            <v>0.75900000000000001</v>
          </cell>
          <cell r="AZ41">
            <v>0.30299999999999999</v>
          </cell>
          <cell r="BA41">
            <v>0.33600000000000002</v>
          </cell>
          <cell r="BB41">
            <v>0.16699999999999998</v>
          </cell>
          <cell r="BD41">
            <v>117382</v>
          </cell>
          <cell r="BE41">
            <v>102139</v>
          </cell>
          <cell r="BF41">
            <v>15243</v>
          </cell>
          <cell r="BH41">
            <v>0.21011414261930533</v>
          </cell>
          <cell r="BI41">
            <v>0.19026747635469807</v>
          </cell>
          <cell r="BJ41">
            <v>0.69793042387466397</v>
          </cell>
        </row>
        <row r="42">
          <cell r="B42">
            <v>34</v>
          </cell>
          <cell r="C42">
            <v>9</v>
          </cell>
          <cell r="D42">
            <v>4</v>
          </cell>
          <cell r="E42" t="str">
            <v>Deoria</v>
          </cell>
          <cell r="F42" t="str">
            <v>Split</v>
          </cell>
          <cell r="G42">
            <v>2</v>
          </cell>
          <cell r="H42">
            <v>4440024</v>
          </cell>
          <cell r="I42">
            <v>4113897</v>
          </cell>
          <cell r="J42">
            <v>326127</v>
          </cell>
          <cell r="K42">
            <v>2156220</v>
          </cell>
          <cell r="L42">
            <v>1997843</v>
          </cell>
          <cell r="M42">
            <v>158377</v>
          </cell>
          <cell r="N42">
            <v>2730376</v>
          </cell>
          <cell r="O42">
            <v>2460256</v>
          </cell>
          <cell r="P42">
            <v>270120</v>
          </cell>
          <cell r="Q42">
            <v>24.95</v>
          </cell>
          <cell r="R42">
            <v>25.03</v>
          </cell>
          <cell r="S42">
            <v>2.2524272591935457E-2</v>
          </cell>
          <cell r="T42">
            <v>2.2589721477868308E-2</v>
          </cell>
          <cell r="U42">
            <v>2.3889145080040253E-2</v>
          </cell>
          <cell r="W42">
            <v>1275</v>
          </cell>
          <cell r="X42">
            <v>1285</v>
          </cell>
          <cell r="Y42">
            <v>1291</v>
          </cell>
          <cell r="Z42">
            <v>1291</v>
          </cell>
          <cell r="AA42">
            <v>1291</v>
          </cell>
          <cell r="AC42">
            <v>8247</v>
          </cell>
          <cell r="AD42">
            <v>8341</v>
          </cell>
          <cell r="AE42">
            <v>8415</v>
          </cell>
          <cell r="AF42">
            <v>8452</v>
          </cell>
          <cell r="AG42">
            <v>8483</v>
          </cell>
          <cell r="AI42">
            <v>2535</v>
          </cell>
          <cell r="AK42">
            <v>648411</v>
          </cell>
          <cell r="AL42">
            <v>604506</v>
          </cell>
          <cell r="AM42">
            <v>43905</v>
          </cell>
          <cell r="AN42">
            <v>314890</v>
          </cell>
          <cell r="AO42">
            <v>293568</v>
          </cell>
          <cell r="AP42">
            <v>21322</v>
          </cell>
          <cell r="AR42">
            <v>403364.71847158752</v>
          </cell>
          <cell r="AS42">
            <v>376051.87104152882</v>
          </cell>
          <cell r="AT42">
            <v>27312.847430058719</v>
          </cell>
          <cell r="AV42">
            <v>0.41</v>
          </cell>
          <cell r="AW42">
            <v>0.32700000000000001</v>
          </cell>
          <cell r="AX42">
            <v>0.75900000000000001</v>
          </cell>
          <cell r="AZ42">
            <v>0.30299999999999999</v>
          </cell>
          <cell r="BA42">
            <v>0.33600000000000002</v>
          </cell>
          <cell r="BB42">
            <v>0.16699999999999998</v>
          </cell>
          <cell r="BD42">
            <v>97642</v>
          </cell>
          <cell r="BE42">
            <v>75812</v>
          </cell>
          <cell r="BF42">
            <v>21830</v>
          </cell>
          <cell r="BH42">
            <v>0.23037266688170177</v>
          </cell>
          <cell r="BI42">
            <v>0.19185909525255887</v>
          </cell>
          <cell r="BJ42">
            <v>0.76063963039470384</v>
          </cell>
        </row>
        <row r="43">
          <cell r="B43">
            <v>35</v>
          </cell>
          <cell r="C43">
            <v>9</v>
          </cell>
          <cell r="D43">
            <v>4</v>
          </cell>
          <cell r="E43" t="str">
            <v>Gorakhpur</v>
          </cell>
          <cell r="H43">
            <v>3066002</v>
          </cell>
          <cell r="I43">
            <v>2490726</v>
          </cell>
          <cell r="J43">
            <v>575276</v>
          </cell>
          <cell r="K43">
            <v>3066002</v>
          </cell>
          <cell r="L43">
            <v>2490726</v>
          </cell>
          <cell r="M43">
            <v>575276</v>
          </cell>
          <cell r="N43">
            <v>3784720</v>
          </cell>
          <cell r="O43">
            <v>3044155</v>
          </cell>
          <cell r="P43">
            <v>740565</v>
          </cell>
          <cell r="Q43">
            <v>24.6</v>
          </cell>
          <cell r="R43">
            <v>23.44</v>
          </cell>
          <cell r="S43">
            <v>2.2237489549933986E-2</v>
          </cell>
          <cell r="T43">
            <v>2.1281797128665625E-2</v>
          </cell>
          <cell r="U43">
            <v>2.1283068941806871E-2</v>
          </cell>
          <cell r="W43">
            <v>721</v>
          </cell>
          <cell r="X43">
            <v>721</v>
          </cell>
          <cell r="Y43">
            <v>722</v>
          </cell>
          <cell r="Z43">
            <v>722</v>
          </cell>
          <cell r="AA43">
            <v>722</v>
          </cell>
          <cell r="AC43">
            <v>13607</v>
          </cell>
          <cell r="AD43">
            <v>13687</v>
          </cell>
          <cell r="AE43">
            <v>13848</v>
          </cell>
          <cell r="AF43">
            <v>13910</v>
          </cell>
          <cell r="AG43">
            <v>13970</v>
          </cell>
          <cell r="AI43">
            <v>3321</v>
          </cell>
          <cell r="AK43">
            <v>422713</v>
          </cell>
          <cell r="AL43">
            <v>340677</v>
          </cell>
          <cell r="AM43">
            <v>82036</v>
          </cell>
          <cell r="AN43">
            <v>422713</v>
          </cell>
          <cell r="AO43">
            <v>340677</v>
          </cell>
          <cell r="AP43">
            <v>82036</v>
          </cell>
          <cell r="AR43">
            <v>541482.77252145251</v>
          </cell>
          <cell r="AS43">
            <v>436397.09801754588</v>
          </cell>
          <cell r="AT43">
            <v>105085.67450390662</v>
          </cell>
          <cell r="AV43">
            <v>0.41</v>
          </cell>
          <cell r="AW43">
            <v>0.32700000000000001</v>
          </cell>
          <cell r="AX43">
            <v>0.75900000000000001</v>
          </cell>
          <cell r="AZ43">
            <v>0.30299999999999999</v>
          </cell>
          <cell r="BA43">
            <v>0.33600000000000002</v>
          </cell>
          <cell r="BB43">
            <v>0.16699999999999998</v>
          </cell>
          <cell r="BD43">
            <v>200402</v>
          </cell>
          <cell r="BE43">
            <v>97829</v>
          </cell>
          <cell r="BF43">
            <v>102573</v>
          </cell>
          <cell r="BH43">
            <v>0.3522164208593826</v>
          </cell>
          <cell r="BI43">
            <v>0.21334278118545313</v>
          </cell>
          <cell r="BJ43">
            <v>0.92892731538368034</v>
          </cell>
        </row>
        <row r="44">
          <cell r="B44">
            <v>36</v>
          </cell>
          <cell r="C44">
            <v>9</v>
          </cell>
          <cell r="D44">
            <v>4</v>
          </cell>
          <cell r="E44" t="str">
            <v>Kushinagar</v>
          </cell>
          <cell r="F44" t="str">
            <v>New</v>
          </cell>
          <cell r="G44">
            <v>1</v>
          </cell>
          <cell r="H44">
            <v>0</v>
          </cell>
          <cell r="I44">
            <v>0</v>
          </cell>
          <cell r="J44">
            <v>0</v>
          </cell>
          <cell r="K44">
            <v>2283804</v>
          </cell>
          <cell r="L44">
            <v>2116054</v>
          </cell>
          <cell r="M44">
            <v>167750</v>
          </cell>
          <cell r="N44">
            <v>2891933</v>
          </cell>
          <cell r="O44">
            <v>2759414</v>
          </cell>
          <cell r="P44">
            <v>132519</v>
          </cell>
          <cell r="Q44">
            <v>29.01</v>
          </cell>
          <cell r="R44">
            <v>28.17</v>
          </cell>
          <cell r="S44">
            <v>2.5799156281759439E-2</v>
          </cell>
          <cell r="T44">
            <v>2.5129280726861936E-2</v>
          </cell>
          <cell r="U44">
            <v>2.3889147427369695E-2</v>
          </cell>
          <cell r="W44">
            <v>0</v>
          </cell>
          <cell r="X44">
            <v>0</v>
          </cell>
          <cell r="Y44">
            <v>0</v>
          </cell>
          <cell r="Z44">
            <v>0</v>
          </cell>
          <cell r="AA44">
            <v>0</v>
          </cell>
          <cell r="AC44">
            <v>10</v>
          </cell>
          <cell r="AD44">
            <v>10</v>
          </cell>
          <cell r="AE44">
            <v>10</v>
          </cell>
          <cell r="AF44">
            <v>10</v>
          </cell>
          <cell r="AG44">
            <v>10</v>
          </cell>
          <cell r="AI44">
            <v>2910</v>
          </cell>
          <cell r="AK44">
            <v>0</v>
          </cell>
          <cell r="AL44">
            <v>0</v>
          </cell>
          <cell r="AM44">
            <v>0</v>
          </cell>
          <cell r="AN44">
            <v>333521</v>
          </cell>
          <cell r="AO44">
            <v>310938</v>
          </cell>
          <cell r="AP44">
            <v>22583</v>
          </cell>
          <cell r="AR44">
            <v>427230.4749892418</v>
          </cell>
          <cell r="AS44">
            <v>398302.32408815296</v>
          </cell>
          <cell r="AT44">
            <v>28928.150901088829</v>
          </cell>
          <cell r="AV44">
            <v>0.41</v>
          </cell>
          <cell r="AW44">
            <v>0.32700000000000001</v>
          </cell>
          <cell r="AX44">
            <v>0.75900000000000001</v>
          </cell>
          <cell r="AZ44">
            <v>0.30299999999999999</v>
          </cell>
          <cell r="BA44">
            <v>0.33600000000000002</v>
          </cell>
          <cell r="BB44">
            <v>0.16699999999999998</v>
          </cell>
          <cell r="BD44">
            <v>83965</v>
          </cell>
          <cell r="BE44">
            <v>67033</v>
          </cell>
          <cell r="BF44">
            <v>16932</v>
          </cell>
          <cell r="BH44">
            <v>0.18703731542643998</v>
          </cell>
          <cell r="BI44">
            <v>0.16016514373527976</v>
          </cell>
          <cell r="BJ44">
            <v>0.55703152883059248</v>
          </cell>
        </row>
        <row r="45">
          <cell r="B45">
            <v>37</v>
          </cell>
          <cell r="C45">
            <v>9</v>
          </cell>
          <cell r="D45">
            <v>4</v>
          </cell>
          <cell r="E45" t="str">
            <v>Maharajganj</v>
          </cell>
          <cell r="H45">
            <v>1676378</v>
          </cell>
          <cell r="I45">
            <v>1593461</v>
          </cell>
          <cell r="J45">
            <v>82917</v>
          </cell>
          <cell r="K45">
            <v>1676378</v>
          </cell>
          <cell r="L45">
            <v>1593461</v>
          </cell>
          <cell r="M45">
            <v>82917</v>
          </cell>
          <cell r="N45">
            <v>2167041</v>
          </cell>
          <cell r="O45">
            <v>2056632</v>
          </cell>
          <cell r="P45">
            <v>110409</v>
          </cell>
          <cell r="Q45">
            <v>25.56</v>
          </cell>
          <cell r="R45">
            <v>29.27</v>
          </cell>
          <cell r="S45">
            <v>2.3022370829143046E-2</v>
          </cell>
          <cell r="T45">
            <v>2.6005703223787036E-2</v>
          </cell>
          <cell r="U45">
            <v>2.6005095275626555E-2</v>
          </cell>
          <cell r="W45">
            <v>1</v>
          </cell>
          <cell r="X45">
            <v>1</v>
          </cell>
          <cell r="Y45">
            <v>1</v>
          </cell>
          <cell r="Z45">
            <v>1</v>
          </cell>
          <cell r="AA45">
            <v>1</v>
          </cell>
          <cell r="AC45">
            <v>740</v>
          </cell>
          <cell r="AD45">
            <v>774</v>
          </cell>
          <cell r="AE45">
            <v>830</v>
          </cell>
          <cell r="AF45">
            <v>870</v>
          </cell>
          <cell r="AG45">
            <v>887</v>
          </cell>
          <cell r="AI45">
            <v>2951</v>
          </cell>
          <cell r="AK45">
            <v>257021</v>
          </cell>
          <cell r="AL45">
            <v>244644</v>
          </cell>
          <cell r="AM45">
            <v>12377</v>
          </cell>
          <cell r="AN45">
            <v>257021</v>
          </cell>
          <cell r="AO45">
            <v>244644</v>
          </cell>
          <cell r="AP45">
            <v>12377</v>
          </cell>
          <cell r="AR45">
            <v>329236.2517269075</v>
          </cell>
          <cell r="AS45">
            <v>313381.68308222893</v>
          </cell>
          <cell r="AT45">
            <v>15854.568644678582</v>
          </cell>
          <cell r="AV45">
            <v>0.41</v>
          </cell>
          <cell r="AW45">
            <v>0.32700000000000001</v>
          </cell>
          <cell r="AX45">
            <v>0.75900000000000001</v>
          </cell>
          <cell r="AZ45">
            <v>0.30299999999999999</v>
          </cell>
          <cell r="BA45">
            <v>0.33600000000000002</v>
          </cell>
          <cell r="BB45">
            <v>0.16699999999999998</v>
          </cell>
          <cell r="BD45">
            <v>56555</v>
          </cell>
          <cell r="BE45">
            <v>50657</v>
          </cell>
          <cell r="BF45">
            <v>5898</v>
          </cell>
          <cell r="BH45">
            <v>0.16347658246876662</v>
          </cell>
          <cell r="BI45">
            <v>0.15383602510926436</v>
          </cell>
          <cell r="BJ45">
            <v>0.35403200903886128</v>
          </cell>
        </row>
        <row r="46">
          <cell r="B46">
            <v>38</v>
          </cell>
          <cell r="C46">
            <v>10</v>
          </cell>
          <cell r="D46">
            <v>2</v>
          </cell>
          <cell r="E46" t="str">
            <v>Jalaun</v>
          </cell>
          <cell r="H46">
            <v>1219377</v>
          </cell>
          <cell r="I46">
            <v>950180</v>
          </cell>
          <cell r="J46">
            <v>269197</v>
          </cell>
          <cell r="K46">
            <v>1219377</v>
          </cell>
          <cell r="L46">
            <v>950180</v>
          </cell>
          <cell r="M46">
            <v>269197</v>
          </cell>
          <cell r="N46">
            <v>1455859</v>
          </cell>
          <cell r="O46">
            <v>1115381</v>
          </cell>
          <cell r="P46">
            <v>340478</v>
          </cell>
          <cell r="Q46">
            <v>23.64</v>
          </cell>
          <cell r="R46">
            <v>19.39</v>
          </cell>
          <cell r="S46">
            <v>2.144714676324333E-2</v>
          </cell>
          <cell r="T46">
            <v>1.7880501763361423E-2</v>
          </cell>
          <cell r="U46">
            <v>1.7883634038733165E-2</v>
          </cell>
          <cell r="W46">
            <v>559</v>
          </cell>
          <cell r="X46">
            <v>560</v>
          </cell>
          <cell r="Y46">
            <v>561</v>
          </cell>
          <cell r="Z46">
            <v>561</v>
          </cell>
          <cell r="AA46">
            <v>561</v>
          </cell>
          <cell r="AC46">
            <v>4543</v>
          </cell>
          <cell r="AD46">
            <v>4603</v>
          </cell>
          <cell r="AE46">
            <v>4703</v>
          </cell>
          <cell r="AF46">
            <v>4818</v>
          </cell>
          <cell r="AG46">
            <v>4928</v>
          </cell>
          <cell r="AI46">
            <v>4565</v>
          </cell>
          <cell r="AK46">
            <v>188046</v>
          </cell>
          <cell r="AL46">
            <v>149281</v>
          </cell>
          <cell r="AM46">
            <v>38765</v>
          </cell>
          <cell r="AN46">
            <v>188046</v>
          </cell>
          <cell r="AO46">
            <v>149281</v>
          </cell>
          <cell r="AP46">
            <v>38765</v>
          </cell>
          <cell r="AR46">
            <v>240881.3295109662</v>
          </cell>
          <cell r="AS46">
            <v>191224.51820685656</v>
          </cell>
          <cell r="AT46">
            <v>49656.811304109659</v>
          </cell>
          <cell r="AV46">
            <v>0.41</v>
          </cell>
          <cell r="AW46">
            <v>0.32700000000000001</v>
          </cell>
          <cell r="AX46">
            <v>0.75900000000000001</v>
          </cell>
          <cell r="AZ46">
            <v>0.30299999999999999</v>
          </cell>
          <cell r="BA46">
            <v>0.33600000000000002</v>
          </cell>
          <cell r="BB46">
            <v>0.16699999999999998</v>
          </cell>
          <cell r="BD46">
            <v>40451</v>
          </cell>
          <cell r="BE46">
            <v>386</v>
          </cell>
          <cell r="BF46">
            <v>40065</v>
          </cell>
          <cell r="BH46">
            <v>0.15981528547615009</v>
          </cell>
          <cell r="BI46">
            <v>1.9210378479594917E-3</v>
          </cell>
          <cell r="BJ46">
            <v>0.76785375265489186</v>
          </cell>
        </row>
        <row r="47">
          <cell r="B47">
            <v>39</v>
          </cell>
          <cell r="C47">
            <v>10</v>
          </cell>
          <cell r="D47">
            <v>2</v>
          </cell>
          <cell r="E47" t="str">
            <v>Jhansi</v>
          </cell>
          <cell r="H47">
            <v>1429698</v>
          </cell>
          <cell r="I47">
            <v>863342</v>
          </cell>
          <cell r="J47">
            <v>566356</v>
          </cell>
          <cell r="K47">
            <v>1429698</v>
          </cell>
          <cell r="L47">
            <v>863342</v>
          </cell>
          <cell r="M47">
            <v>566356</v>
          </cell>
          <cell r="N47">
            <v>1746715</v>
          </cell>
          <cell r="O47">
            <v>1029164</v>
          </cell>
          <cell r="P47">
            <v>717551</v>
          </cell>
          <cell r="Q47">
            <v>24.66</v>
          </cell>
          <cell r="R47">
            <v>23.23</v>
          </cell>
          <cell r="S47">
            <v>2.2286703805709962E-2</v>
          </cell>
          <cell r="T47">
            <v>2.1107920312171569E-2</v>
          </cell>
          <cell r="U47">
            <v>2.0229258002185224E-2</v>
          </cell>
          <cell r="W47">
            <v>373</v>
          </cell>
          <cell r="X47">
            <v>376</v>
          </cell>
          <cell r="Y47">
            <v>382</v>
          </cell>
          <cell r="Z47">
            <v>382</v>
          </cell>
          <cell r="AA47">
            <v>382</v>
          </cell>
          <cell r="AC47">
            <v>9296</v>
          </cell>
          <cell r="AD47">
            <v>9640</v>
          </cell>
          <cell r="AE47">
            <v>10209</v>
          </cell>
          <cell r="AF47">
            <v>10524</v>
          </cell>
          <cell r="AG47">
            <v>10621</v>
          </cell>
          <cell r="AI47">
            <v>5024</v>
          </cell>
          <cell r="AK47">
            <v>227712</v>
          </cell>
          <cell r="AL47">
            <v>141501</v>
          </cell>
          <cell r="AM47">
            <v>86211</v>
          </cell>
          <cell r="AN47">
            <v>227712</v>
          </cell>
          <cell r="AO47">
            <v>141501</v>
          </cell>
          <cell r="AP47">
            <v>86211</v>
          </cell>
          <cell r="AR47">
            <v>291692.29500016558</v>
          </cell>
          <cell r="AS47">
            <v>181258.56974958908</v>
          </cell>
          <cell r="AT47">
            <v>110433.72525057649</v>
          </cell>
          <cell r="AV47">
            <v>0.41</v>
          </cell>
          <cell r="AW47">
            <v>0.32700000000000001</v>
          </cell>
          <cell r="AX47">
            <v>0.75900000000000001</v>
          </cell>
          <cell r="AZ47">
            <v>0.30299999999999999</v>
          </cell>
          <cell r="BA47">
            <v>0.33600000000000002</v>
          </cell>
          <cell r="BB47">
            <v>0.16699999999999998</v>
          </cell>
          <cell r="BD47">
            <v>88143</v>
          </cell>
          <cell r="BE47">
            <v>35953</v>
          </cell>
          <cell r="BF47">
            <v>52190</v>
          </cell>
          <cell r="BH47">
            <v>0.28757760499080914</v>
          </cell>
          <cell r="BI47">
            <v>0.1887681753897518</v>
          </cell>
          <cell r="BJ47">
            <v>0.44975682919629595</v>
          </cell>
        </row>
        <row r="48">
          <cell r="B48">
            <v>40</v>
          </cell>
          <cell r="C48">
            <v>10</v>
          </cell>
          <cell r="D48">
            <v>2</v>
          </cell>
          <cell r="E48" t="str">
            <v>Lalitpur</v>
          </cell>
          <cell r="H48">
            <v>752043</v>
          </cell>
          <cell r="I48">
            <v>646495</v>
          </cell>
          <cell r="J48">
            <v>105548</v>
          </cell>
          <cell r="K48">
            <v>752043</v>
          </cell>
          <cell r="L48">
            <v>646495</v>
          </cell>
          <cell r="M48">
            <v>105548</v>
          </cell>
          <cell r="N48">
            <v>977447</v>
          </cell>
          <cell r="O48">
            <v>835616</v>
          </cell>
          <cell r="P48">
            <v>141831</v>
          </cell>
          <cell r="Q48">
            <v>30.18</v>
          </cell>
          <cell r="R48">
            <v>29.98</v>
          </cell>
          <cell r="S48">
            <v>2.6725685165151836E-2</v>
          </cell>
          <cell r="T48">
            <v>2.6567836616395057E-2</v>
          </cell>
          <cell r="U48">
            <v>2.6561693734602487E-2</v>
          </cell>
          <cell r="W48">
            <v>279</v>
          </cell>
          <cell r="X48">
            <v>280</v>
          </cell>
          <cell r="Y48">
            <v>280</v>
          </cell>
          <cell r="Z48">
            <v>280</v>
          </cell>
          <cell r="AA48">
            <v>280</v>
          </cell>
          <cell r="AC48">
            <v>7666</v>
          </cell>
          <cell r="AD48">
            <v>7812</v>
          </cell>
          <cell r="AE48">
            <v>8111</v>
          </cell>
          <cell r="AF48">
            <v>8177</v>
          </cell>
          <cell r="AG48">
            <v>8232</v>
          </cell>
          <cell r="AI48">
            <v>5039</v>
          </cell>
          <cell r="AK48">
            <v>126353</v>
          </cell>
          <cell r="AL48">
            <v>110394</v>
          </cell>
          <cell r="AM48">
            <v>15959</v>
          </cell>
          <cell r="AN48">
            <v>126353</v>
          </cell>
          <cell r="AO48">
            <v>110394</v>
          </cell>
          <cell r="AP48">
            <v>15959</v>
          </cell>
          <cell r="AR48">
            <v>161854.43257340818</v>
          </cell>
          <cell r="AS48">
            <v>141411.42853362265</v>
          </cell>
          <cell r="AT48">
            <v>20443.00403978553</v>
          </cell>
          <cell r="AV48">
            <v>0.41</v>
          </cell>
          <cell r="AW48">
            <v>0.32700000000000001</v>
          </cell>
          <cell r="AX48">
            <v>0.75900000000000001</v>
          </cell>
          <cell r="AZ48">
            <v>0.30299999999999999</v>
          </cell>
          <cell r="BA48">
            <v>0.33600000000000002</v>
          </cell>
          <cell r="BB48">
            <v>0.16699999999999998</v>
          </cell>
          <cell r="BD48">
            <v>23170</v>
          </cell>
          <cell r="BE48">
            <v>9219</v>
          </cell>
          <cell r="BF48">
            <v>13951</v>
          </cell>
          <cell r="BH48">
            <v>0.13623654720343992</v>
          </cell>
          <cell r="BI48">
            <v>6.2042815451036369E-2</v>
          </cell>
          <cell r="BJ48">
            <v>0.64946061030732105</v>
          </cell>
        </row>
        <row r="49">
          <cell r="B49">
            <v>41</v>
          </cell>
          <cell r="C49">
            <v>11</v>
          </cell>
          <cell r="D49">
            <v>2</v>
          </cell>
          <cell r="E49" t="str">
            <v>Auraiya</v>
          </cell>
          <cell r="F49" t="str">
            <v>New</v>
          </cell>
          <cell r="G49">
            <v>1</v>
          </cell>
          <cell r="H49">
            <v>0</v>
          </cell>
          <cell r="I49">
            <v>0</v>
          </cell>
          <cell r="J49">
            <v>0</v>
          </cell>
          <cell r="K49">
            <v>994639</v>
          </cell>
          <cell r="L49">
            <v>838420</v>
          </cell>
          <cell r="M49">
            <v>156219</v>
          </cell>
          <cell r="N49">
            <v>1179496</v>
          </cell>
          <cell r="O49">
            <v>1010658</v>
          </cell>
          <cell r="P49">
            <v>168838</v>
          </cell>
          <cell r="Q49">
            <v>27.23</v>
          </cell>
          <cell r="R49">
            <v>14.7</v>
          </cell>
          <cell r="S49">
            <v>2.4374957079400073E-2</v>
          </cell>
          <cell r="T49">
            <v>1.3809465650069352E-2</v>
          </cell>
          <cell r="U49">
            <v>1.7192381674638213E-2</v>
          </cell>
          <cell r="W49">
            <v>947</v>
          </cell>
          <cell r="X49">
            <v>947</v>
          </cell>
          <cell r="Y49">
            <v>947</v>
          </cell>
          <cell r="Z49">
            <v>947</v>
          </cell>
          <cell r="AA49">
            <v>947</v>
          </cell>
          <cell r="AC49">
            <v>54938</v>
          </cell>
          <cell r="AD49">
            <v>55638</v>
          </cell>
          <cell r="AE49">
            <v>56491</v>
          </cell>
          <cell r="AF49">
            <v>57093</v>
          </cell>
          <cell r="AG49">
            <v>57692</v>
          </cell>
          <cell r="AI49">
            <v>2052</v>
          </cell>
          <cell r="AK49">
            <v>0</v>
          </cell>
          <cell r="AL49">
            <v>0</v>
          </cell>
          <cell r="AM49">
            <v>0</v>
          </cell>
          <cell r="AN49">
            <v>150072</v>
          </cell>
          <cell r="AO49">
            <v>128410</v>
          </cell>
          <cell r="AP49">
            <v>21662</v>
          </cell>
          <cell r="AR49">
            <v>192237.76566568669</v>
          </cell>
          <cell r="AS49">
            <v>164489.38835446205</v>
          </cell>
          <cell r="AT49">
            <v>27748.377311224649</v>
          </cell>
          <cell r="AV49">
            <v>0.41</v>
          </cell>
          <cell r="AW49">
            <v>0.32700000000000001</v>
          </cell>
          <cell r="AX49">
            <v>0.75900000000000001</v>
          </cell>
          <cell r="AZ49">
            <v>0.30299999999999999</v>
          </cell>
          <cell r="BA49">
            <v>0.33600000000000002</v>
          </cell>
          <cell r="BB49">
            <v>0.16699999999999998</v>
          </cell>
          <cell r="BD49">
            <v>26873</v>
          </cell>
          <cell r="BE49">
            <v>17392</v>
          </cell>
          <cell r="BF49">
            <v>9481</v>
          </cell>
          <cell r="BH49">
            <v>0.13303613956525198</v>
          </cell>
          <cell r="BI49">
            <v>0.10062452263829753</v>
          </cell>
          <cell r="BJ49">
            <v>0.3251687094844754</v>
          </cell>
        </row>
        <row r="50">
          <cell r="B50">
            <v>42</v>
          </cell>
          <cell r="C50">
            <v>11</v>
          </cell>
          <cell r="D50">
            <v>2</v>
          </cell>
          <cell r="E50" t="str">
            <v>Etawah</v>
          </cell>
          <cell r="F50" t="str">
            <v>Split</v>
          </cell>
          <cell r="G50">
            <v>2</v>
          </cell>
          <cell r="H50">
            <v>2124655</v>
          </cell>
          <cell r="I50">
            <v>1790954</v>
          </cell>
          <cell r="J50">
            <v>333701</v>
          </cell>
          <cell r="K50">
            <v>1130016</v>
          </cell>
          <cell r="L50">
            <v>952534</v>
          </cell>
          <cell r="M50">
            <v>177482</v>
          </cell>
          <cell r="N50">
            <v>1340031</v>
          </cell>
          <cell r="O50">
            <v>1030994</v>
          </cell>
          <cell r="P50">
            <v>309037</v>
          </cell>
          <cell r="Q50">
            <v>17.239999999999998</v>
          </cell>
          <cell r="R50">
            <v>21.59</v>
          </cell>
          <cell r="S50">
            <v>1.6032455448809602E-2</v>
          </cell>
          <cell r="T50">
            <v>1.9740776521756098E-2</v>
          </cell>
          <cell r="U50">
            <v>1.7192209340733511E-2</v>
          </cell>
          <cell r="W50">
            <v>421</v>
          </cell>
          <cell r="X50">
            <v>421</v>
          </cell>
          <cell r="Y50">
            <v>424</v>
          </cell>
          <cell r="Z50">
            <v>424</v>
          </cell>
          <cell r="AA50">
            <v>424</v>
          </cell>
          <cell r="AC50">
            <v>5001</v>
          </cell>
          <cell r="AD50">
            <v>5033</v>
          </cell>
          <cell r="AE50">
            <v>5142</v>
          </cell>
          <cell r="AF50">
            <v>5191</v>
          </cell>
          <cell r="AG50">
            <v>5241</v>
          </cell>
          <cell r="AI50">
            <v>2288</v>
          </cell>
          <cell r="AK50">
            <v>320570</v>
          </cell>
          <cell r="AL50">
            <v>274299</v>
          </cell>
          <cell r="AM50">
            <v>46271</v>
          </cell>
          <cell r="AN50">
            <v>170498</v>
          </cell>
          <cell r="AO50">
            <v>145889</v>
          </cell>
          <cell r="AP50">
            <v>24609</v>
          </cell>
          <cell r="AR50">
            <v>218402.86376184932</v>
          </cell>
          <cell r="AS50">
            <v>186879.46715710705</v>
          </cell>
          <cell r="AT50">
            <v>31523.396604742284</v>
          </cell>
          <cell r="AV50">
            <v>0.41</v>
          </cell>
          <cell r="AW50">
            <v>0.32700000000000001</v>
          </cell>
          <cell r="AX50">
            <v>0.75900000000000001</v>
          </cell>
          <cell r="AZ50">
            <v>0.30299999999999999</v>
          </cell>
          <cell r="BA50">
            <v>0.33600000000000002</v>
          </cell>
          <cell r="BB50">
            <v>0.16699999999999998</v>
          </cell>
          <cell r="BD50">
            <v>49005</v>
          </cell>
          <cell r="BE50">
            <v>21956</v>
          </cell>
          <cell r="BF50">
            <v>27049</v>
          </cell>
          <cell r="BH50">
            <v>0.21353755065602259</v>
          </cell>
          <cell r="BI50">
            <v>0.11181081858324121</v>
          </cell>
          <cell r="BJ50">
            <v>0.81660192610264803</v>
          </cell>
        </row>
        <row r="51">
          <cell r="B51">
            <v>43</v>
          </cell>
          <cell r="C51">
            <v>11</v>
          </cell>
          <cell r="D51">
            <v>2</v>
          </cell>
          <cell r="E51" t="str">
            <v>Farrukhabad</v>
          </cell>
          <cell r="F51" t="str">
            <v>Split</v>
          </cell>
          <cell r="G51">
            <v>2</v>
          </cell>
          <cell r="H51">
            <v>2440266</v>
          </cell>
          <cell r="I51">
            <v>1985645</v>
          </cell>
          <cell r="J51">
            <v>454621</v>
          </cell>
          <cell r="K51">
            <v>1299216</v>
          </cell>
          <cell r="L51">
            <v>1057172</v>
          </cell>
          <cell r="M51">
            <v>242044</v>
          </cell>
          <cell r="N51">
            <v>1577237</v>
          </cell>
          <cell r="O51">
            <v>1236330</v>
          </cell>
          <cell r="P51">
            <v>340907</v>
          </cell>
          <cell r="Q51">
            <v>24.46</v>
          </cell>
          <cell r="R51">
            <v>22.8</v>
          </cell>
          <cell r="S51">
            <v>2.2122573289337755E-2</v>
          </cell>
          <cell r="T51">
            <v>2.0751053164405509E-2</v>
          </cell>
          <cell r="U51">
            <v>1.9580591203779418E-2</v>
          </cell>
          <cell r="W51">
            <v>563</v>
          </cell>
          <cell r="X51">
            <v>564</v>
          </cell>
          <cell r="Y51">
            <v>570</v>
          </cell>
          <cell r="Z51">
            <v>570</v>
          </cell>
          <cell r="AA51">
            <v>570</v>
          </cell>
          <cell r="AC51">
            <v>15502</v>
          </cell>
          <cell r="AD51">
            <v>15525</v>
          </cell>
          <cell r="AE51">
            <v>15636</v>
          </cell>
          <cell r="AF51">
            <v>15672</v>
          </cell>
          <cell r="AG51">
            <v>15765</v>
          </cell>
          <cell r="AI51">
            <v>2279</v>
          </cell>
          <cell r="AK51">
            <v>369280</v>
          </cell>
          <cell r="AL51">
            <v>308915</v>
          </cell>
          <cell r="AM51">
            <v>60365</v>
          </cell>
          <cell r="AN51">
            <v>196608</v>
          </cell>
          <cell r="AO51">
            <v>164469</v>
          </cell>
          <cell r="AP51">
            <v>32139</v>
          </cell>
          <cell r="AR51">
            <v>251848.99669491532</v>
          </cell>
          <cell r="AS51">
            <v>210679.89419258639</v>
          </cell>
          <cell r="AT51">
            <v>41169.102502328911</v>
          </cell>
          <cell r="AV51">
            <v>0.41</v>
          </cell>
          <cell r="AW51">
            <v>0.32700000000000001</v>
          </cell>
          <cell r="AX51">
            <v>0.75900000000000001</v>
          </cell>
          <cell r="AZ51">
            <v>0.30299999999999999</v>
          </cell>
          <cell r="BA51">
            <v>0.33600000000000002</v>
          </cell>
          <cell r="BB51">
            <v>0.16699999999999998</v>
          </cell>
          <cell r="BD51">
            <v>56865</v>
          </cell>
          <cell r="BE51">
            <v>22751</v>
          </cell>
          <cell r="BF51">
            <v>34114</v>
          </cell>
          <cell r="BH51">
            <v>0.21488050226989985</v>
          </cell>
          <cell r="BI51">
            <v>0.10277076537872236</v>
          </cell>
          <cell r="BJ51">
            <v>0.78859394440422526</v>
          </cell>
        </row>
        <row r="52">
          <cell r="B52">
            <v>44</v>
          </cell>
          <cell r="C52">
            <v>11</v>
          </cell>
          <cell r="D52">
            <v>2</v>
          </cell>
          <cell r="E52" t="str">
            <v>Kannauj</v>
          </cell>
          <cell r="F52" t="str">
            <v>New</v>
          </cell>
          <cell r="G52">
            <v>1</v>
          </cell>
          <cell r="H52">
            <v>0</v>
          </cell>
          <cell r="I52">
            <v>0</v>
          </cell>
          <cell r="J52">
            <v>0</v>
          </cell>
          <cell r="K52">
            <v>1141050</v>
          </cell>
          <cell r="L52">
            <v>928473</v>
          </cell>
          <cell r="M52">
            <v>212577</v>
          </cell>
          <cell r="N52">
            <v>1385227</v>
          </cell>
          <cell r="O52">
            <v>1153315</v>
          </cell>
          <cell r="P52">
            <v>231912</v>
          </cell>
          <cell r="Q52">
            <v>24.94</v>
          </cell>
          <cell r="R52">
            <v>19.579999999999998</v>
          </cell>
          <cell r="S52">
            <v>2.2516088829629854E-2</v>
          </cell>
          <cell r="T52">
            <v>1.8042373725129845E-2</v>
          </cell>
          <cell r="U52">
            <v>1.9580750011246595E-2</v>
          </cell>
          <cell r="W52">
            <v>462</v>
          </cell>
          <cell r="X52">
            <v>464</v>
          </cell>
          <cell r="Y52">
            <v>470</v>
          </cell>
          <cell r="Z52">
            <v>470</v>
          </cell>
          <cell r="AA52">
            <v>470</v>
          </cell>
          <cell r="AC52">
            <v>13289</v>
          </cell>
          <cell r="AD52">
            <v>13408</v>
          </cell>
          <cell r="AE52">
            <v>13734</v>
          </cell>
          <cell r="AF52">
            <v>13942</v>
          </cell>
          <cell r="AG52">
            <v>14131</v>
          </cell>
          <cell r="AI52">
            <v>1995</v>
          </cell>
          <cell r="AK52">
            <v>0</v>
          </cell>
          <cell r="AL52">
            <v>0</v>
          </cell>
          <cell r="AM52">
            <v>0</v>
          </cell>
          <cell r="AN52">
            <v>172672</v>
          </cell>
          <cell r="AO52">
            <v>144446</v>
          </cell>
          <cell r="AP52">
            <v>28226</v>
          </cell>
          <cell r="AR52">
            <v>221187.69306083382</v>
          </cell>
          <cell r="AS52">
            <v>185031.02710262928</v>
          </cell>
          <cell r="AT52">
            <v>36156.665958204547</v>
          </cell>
          <cell r="AV52">
            <v>0.41</v>
          </cell>
          <cell r="AW52">
            <v>0.32700000000000001</v>
          </cell>
          <cell r="AX52">
            <v>0.75900000000000001</v>
          </cell>
          <cell r="AZ52">
            <v>0.30299999999999999</v>
          </cell>
          <cell r="BA52">
            <v>0.33600000000000002</v>
          </cell>
          <cell r="BB52">
            <v>0.16699999999999998</v>
          </cell>
          <cell r="BD52">
            <v>32894</v>
          </cell>
          <cell r="BE52">
            <v>18179</v>
          </cell>
          <cell r="BF52">
            <v>14715</v>
          </cell>
          <cell r="BH52">
            <v>0.14152980916853075</v>
          </cell>
          <cell r="BI52">
            <v>9.3501294177955496E-2</v>
          </cell>
          <cell r="BJ52">
            <v>0.38731479026144638</v>
          </cell>
        </row>
        <row r="53">
          <cell r="B53">
            <v>45</v>
          </cell>
          <cell r="C53">
            <v>11</v>
          </cell>
          <cell r="D53">
            <v>2</v>
          </cell>
          <cell r="E53" t="str">
            <v>Kanpur Dehat (Rural) (Akbarpur)</v>
          </cell>
          <cell r="H53">
            <v>2138317</v>
          </cell>
          <cell r="I53">
            <v>2016274</v>
          </cell>
          <cell r="J53">
            <v>122043</v>
          </cell>
          <cell r="K53">
            <v>2138317</v>
          </cell>
          <cell r="L53">
            <v>2016274</v>
          </cell>
          <cell r="M53">
            <v>122043</v>
          </cell>
          <cell r="N53">
            <v>1584037</v>
          </cell>
          <cell r="O53">
            <v>1476662</v>
          </cell>
          <cell r="P53">
            <v>107375</v>
          </cell>
          <cell r="Q53">
            <v>19.89</v>
          </cell>
          <cell r="R53">
            <v>21.55</v>
          </cell>
          <cell r="S53">
            <v>1.8305984340279968E-2</v>
          </cell>
          <cell r="T53">
            <v>1.970722469121533E-2</v>
          </cell>
          <cell r="U53">
            <v>-2.9558583006472405E-2</v>
          </cell>
          <cell r="X53">
            <v>0</v>
          </cell>
          <cell r="Y53">
            <v>0</v>
          </cell>
          <cell r="Z53">
            <v>0</v>
          </cell>
          <cell r="AA53">
            <v>0</v>
          </cell>
          <cell r="AD53">
            <v>0</v>
          </cell>
          <cell r="AE53">
            <v>0</v>
          </cell>
          <cell r="AF53">
            <v>0</v>
          </cell>
          <cell r="AG53">
            <v>0</v>
          </cell>
          <cell r="AI53">
            <v>3146</v>
          </cell>
          <cell r="AK53">
            <v>336385</v>
          </cell>
          <cell r="AL53">
            <v>319115</v>
          </cell>
          <cell r="AM53">
            <v>17270</v>
          </cell>
          <cell r="AN53">
            <v>336385</v>
          </cell>
          <cell r="AO53">
            <v>319115</v>
          </cell>
          <cell r="AP53">
            <v>17270</v>
          </cell>
          <cell r="AR53">
            <v>430899.17375294538</v>
          </cell>
          <cell r="AS53">
            <v>408776.81773019361</v>
          </cell>
          <cell r="AT53">
            <v>22122.356022751806</v>
          </cell>
          <cell r="AV53">
            <v>0.41</v>
          </cell>
          <cell r="AW53">
            <v>0.32700000000000001</v>
          </cell>
          <cell r="AX53">
            <v>0.75900000000000001</v>
          </cell>
          <cell r="AZ53">
            <v>0.30299999999999999</v>
          </cell>
          <cell r="BA53">
            <v>0.33600000000000002</v>
          </cell>
          <cell r="BB53">
            <v>0.16699999999999998</v>
          </cell>
          <cell r="BD53">
            <v>0</v>
          </cell>
          <cell r="BE53">
            <v>0</v>
          </cell>
          <cell r="BF53">
            <v>0</v>
          </cell>
          <cell r="BH53">
            <v>0</v>
          </cell>
          <cell r="BI53">
            <v>0</v>
          </cell>
          <cell r="BJ53">
            <v>0</v>
          </cell>
        </row>
        <row r="54">
          <cell r="B54">
            <v>46</v>
          </cell>
          <cell r="C54">
            <v>11</v>
          </cell>
          <cell r="D54">
            <v>2</v>
          </cell>
          <cell r="E54" t="str">
            <v>Kanpur Nagar (Urban)</v>
          </cell>
          <cell r="H54">
            <v>2418487</v>
          </cell>
          <cell r="I54">
            <v>381154</v>
          </cell>
          <cell r="J54">
            <v>2037333</v>
          </cell>
          <cell r="K54">
            <v>2418487</v>
          </cell>
          <cell r="L54">
            <v>381154</v>
          </cell>
          <cell r="M54">
            <v>2037333</v>
          </cell>
          <cell r="N54">
            <v>4137489</v>
          </cell>
          <cell r="O54">
            <v>1365277</v>
          </cell>
          <cell r="P54">
            <v>2772212</v>
          </cell>
          <cell r="Q54">
            <v>22.54</v>
          </cell>
          <cell r="R54">
            <v>27.17</v>
          </cell>
          <cell r="S54">
            <v>2.0534727045732115E-2</v>
          </cell>
          <cell r="T54">
            <v>2.4326638644651677E-2</v>
          </cell>
          <cell r="U54">
            <v>5.5162405987835506E-2</v>
          </cell>
          <cell r="W54">
            <v>9</v>
          </cell>
          <cell r="X54">
            <v>9</v>
          </cell>
          <cell r="Y54">
            <v>9</v>
          </cell>
          <cell r="Z54">
            <v>9</v>
          </cell>
          <cell r="AA54">
            <v>9</v>
          </cell>
          <cell r="AC54">
            <v>10791</v>
          </cell>
          <cell r="AD54">
            <v>10941</v>
          </cell>
          <cell r="AE54">
            <v>11216</v>
          </cell>
          <cell r="AF54">
            <v>11278</v>
          </cell>
          <cell r="AG54">
            <v>11357</v>
          </cell>
          <cell r="AI54">
            <v>3030</v>
          </cell>
          <cell r="AK54">
            <v>385756</v>
          </cell>
          <cell r="AL54">
            <v>60213</v>
          </cell>
          <cell r="AM54">
            <v>325543</v>
          </cell>
          <cell r="AN54">
            <v>385756</v>
          </cell>
          <cell r="AO54">
            <v>60213</v>
          </cell>
          <cell r="AP54">
            <v>325543</v>
          </cell>
          <cell r="AR54">
            <v>494141.95540895464</v>
          </cell>
          <cell r="AS54">
            <v>77131.06098424751</v>
          </cell>
          <cell r="AT54">
            <v>417010.8944247071</v>
          </cell>
          <cell r="AV54">
            <v>0.41</v>
          </cell>
          <cell r="AW54">
            <v>0.32700000000000001</v>
          </cell>
          <cell r="AX54">
            <v>0.75900000000000001</v>
          </cell>
          <cell r="AZ54">
            <v>0.30299999999999999</v>
          </cell>
          <cell r="BA54">
            <v>0.33600000000000002</v>
          </cell>
          <cell r="BB54">
            <v>0.16699999999999998</v>
          </cell>
          <cell r="BD54">
            <v>316744</v>
          </cell>
          <cell r="BE54">
            <v>56212</v>
          </cell>
          <cell r="BF54">
            <v>260532</v>
          </cell>
          <cell r="BH54">
            <v>0.61002672191454099</v>
          </cell>
          <cell r="BI54">
            <v>0.6935725944295642</v>
          </cell>
          <cell r="BJ54">
            <v>0.59457393189372332</v>
          </cell>
        </row>
        <row r="55">
          <cell r="B55">
            <v>47</v>
          </cell>
          <cell r="C55">
            <v>12</v>
          </cell>
          <cell r="D55">
            <v>3</v>
          </cell>
          <cell r="E55" t="str">
            <v>Hardoi</v>
          </cell>
          <cell r="H55">
            <v>2747082</v>
          </cell>
          <cell r="I55">
            <v>2424471</v>
          </cell>
          <cell r="J55">
            <v>322611</v>
          </cell>
          <cell r="K55">
            <v>2747082</v>
          </cell>
          <cell r="L55">
            <v>2424471</v>
          </cell>
          <cell r="M55">
            <v>322611</v>
          </cell>
          <cell r="N55">
            <v>3397414</v>
          </cell>
          <cell r="O55">
            <v>2990382</v>
          </cell>
          <cell r="P55">
            <v>407032</v>
          </cell>
          <cell r="Q55">
            <v>20.75</v>
          </cell>
          <cell r="R55">
            <v>23.67</v>
          </cell>
          <cell r="S55">
            <v>1.9034092656040613E-2</v>
          </cell>
          <cell r="T55">
            <v>2.1471928443140609E-2</v>
          </cell>
          <cell r="U55">
            <v>2.1474865670801035E-2</v>
          </cell>
          <cell r="W55">
            <v>1129</v>
          </cell>
          <cell r="X55">
            <v>1135</v>
          </cell>
          <cell r="Y55">
            <v>1146</v>
          </cell>
          <cell r="Z55">
            <v>1146</v>
          </cell>
          <cell r="AA55">
            <v>1146</v>
          </cell>
          <cell r="AC55">
            <v>13314</v>
          </cell>
          <cell r="AD55">
            <v>13497</v>
          </cell>
          <cell r="AE55">
            <v>13747</v>
          </cell>
          <cell r="AF55">
            <v>13849</v>
          </cell>
          <cell r="AG55">
            <v>13949</v>
          </cell>
          <cell r="AI55">
            <v>5986</v>
          </cell>
          <cell r="AK55">
            <v>433288</v>
          </cell>
          <cell r="AL55">
            <v>390217</v>
          </cell>
          <cell r="AM55">
            <v>43071</v>
          </cell>
          <cell r="AN55">
            <v>433288</v>
          </cell>
          <cell r="AO55">
            <v>390217</v>
          </cell>
          <cell r="AP55">
            <v>43071</v>
          </cell>
          <cell r="AR55">
            <v>555029.0327959517</v>
          </cell>
          <cell r="AS55">
            <v>499856.36364389939</v>
          </cell>
          <cell r="AT55">
            <v>55172.669152052295</v>
          </cell>
          <cell r="AV55">
            <v>0.41</v>
          </cell>
          <cell r="AW55">
            <v>0.32700000000000001</v>
          </cell>
          <cell r="AX55">
            <v>0.75900000000000001</v>
          </cell>
          <cell r="AZ55">
            <v>0.30299999999999999</v>
          </cell>
          <cell r="BA55">
            <v>0.33600000000000002</v>
          </cell>
          <cell r="BB55">
            <v>0.16699999999999998</v>
          </cell>
          <cell r="BD55">
            <v>69352</v>
          </cell>
          <cell r="BE55">
            <v>34669</v>
          </cell>
          <cell r="BF55">
            <v>34683</v>
          </cell>
          <cell r="BH55">
            <v>0.11891468257977234</v>
          </cell>
          <cell r="BI55">
            <v>6.6006739634272574E-2</v>
          </cell>
          <cell r="BJ55">
            <v>0.59825295595081274</v>
          </cell>
        </row>
        <row r="56">
          <cell r="B56">
            <v>48</v>
          </cell>
          <cell r="C56">
            <v>12</v>
          </cell>
          <cell r="D56">
            <v>3</v>
          </cell>
          <cell r="E56" t="str">
            <v>Lakhimpur Kheri</v>
          </cell>
          <cell r="H56">
            <v>2419234</v>
          </cell>
          <cell r="I56">
            <v>2161259</v>
          </cell>
          <cell r="J56">
            <v>257975</v>
          </cell>
          <cell r="K56">
            <v>2419234</v>
          </cell>
          <cell r="L56">
            <v>2161259</v>
          </cell>
          <cell r="M56">
            <v>257975</v>
          </cell>
          <cell r="N56">
            <v>3200137</v>
          </cell>
          <cell r="O56">
            <v>2855105</v>
          </cell>
          <cell r="P56">
            <v>345032</v>
          </cell>
          <cell r="Q56">
            <v>23.89</v>
          </cell>
          <cell r="R56">
            <v>32.28</v>
          </cell>
          <cell r="S56">
            <v>2.1653495622991015E-2</v>
          </cell>
          <cell r="T56">
            <v>2.8370047055166436E-2</v>
          </cell>
          <cell r="U56">
            <v>2.8369220053329425E-2</v>
          </cell>
          <cell r="W56">
            <v>128</v>
          </cell>
          <cell r="X56">
            <v>128</v>
          </cell>
          <cell r="Y56">
            <v>128</v>
          </cell>
          <cell r="Z56">
            <v>128</v>
          </cell>
          <cell r="AA56">
            <v>128</v>
          </cell>
          <cell r="AC56">
            <v>6641</v>
          </cell>
          <cell r="AD56">
            <v>6750</v>
          </cell>
          <cell r="AE56">
            <v>6850</v>
          </cell>
          <cell r="AF56">
            <v>6919</v>
          </cell>
          <cell r="AG56">
            <v>6935</v>
          </cell>
          <cell r="AI56">
            <v>7680</v>
          </cell>
          <cell r="AK56">
            <v>374369</v>
          </cell>
          <cell r="AL56">
            <v>336845</v>
          </cell>
          <cell r="AM56">
            <v>37524</v>
          </cell>
          <cell r="AN56">
            <v>374369</v>
          </cell>
          <cell r="AO56">
            <v>336845</v>
          </cell>
          <cell r="AP56">
            <v>37524</v>
          </cell>
          <cell r="AR56">
            <v>479555.54730061215</v>
          </cell>
          <cell r="AS56">
            <v>431488.42006275814</v>
          </cell>
          <cell r="AT56">
            <v>48067.127237854016</v>
          </cell>
          <cell r="AV56">
            <v>0.41</v>
          </cell>
          <cell r="AW56">
            <v>0.32700000000000001</v>
          </cell>
          <cell r="AX56">
            <v>0.75900000000000001</v>
          </cell>
          <cell r="AZ56">
            <v>0.30299999999999999</v>
          </cell>
          <cell r="BA56">
            <v>0.33600000000000002</v>
          </cell>
          <cell r="BB56">
            <v>0.16699999999999998</v>
          </cell>
          <cell r="BD56">
            <v>72524</v>
          </cell>
          <cell r="BE56">
            <v>40405</v>
          </cell>
          <cell r="BF56">
            <v>32119</v>
          </cell>
          <cell r="BH56">
            <v>0.14392459703879701</v>
          </cell>
          <cell r="BI56">
            <v>8.9116507530193026E-2</v>
          </cell>
          <cell r="BJ56">
            <v>0.63592520759539284</v>
          </cell>
        </row>
        <row r="57">
          <cell r="B57">
            <v>49</v>
          </cell>
          <cell r="C57">
            <v>12</v>
          </cell>
          <cell r="D57">
            <v>3</v>
          </cell>
          <cell r="E57" t="str">
            <v>Lucknow</v>
          </cell>
          <cell r="H57">
            <v>2762801</v>
          </cell>
          <cell r="I57">
            <v>1031577</v>
          </cell>
          <cell r="J57">
            <v>1731224</v>
          </cell>
          <cell r="K57">
            <v>2762801</v>
          </cell>
          <cell r="L57">
            <v>1031577</v>
          </cell>
          <cell r="M57">
            <v>1731224</v>
          </cell>
          <cell r="N57">
            <v>3681416</v>
          </cell>
          <cell r="O57">
            <v>1339177</v>
          </cell>
          <cell r="P57">
            <v>2342239</v>
          </cell>
          <cell r="Q57">
            <v>37.14</v>
          </cell>
          <cell r="R57">
            <v>33.25</v>
          </cell>
          <cell r="S57">
            <v>3.2087253640676883E-2</v>
          </cell>
          <cell r="T57">
            <v>2.9121666740875574E-2</v>
          </cell>
          <cell r="U57">
            <v>2.912121017501601E-2</v>
          </cell>
          <cell r="W57">
            <v>45</v>
          </cell>
          <cell r="X57">
            <v>47</v>
          </cell>
          <cell r="Y57">
            <v>47</v>
          </cell>
          <cell r="Z57">
            <v>47</v>
          </cell>
          <cell r="AA57">
            <v>47</v>
          </cell>
          <cell r="AC57">
            <v>12988</v>
          </cell>
          <cell r="AD57">
            <v>13098</v>
          </cell>
          <cell r="AE57">
            <v>13422</v>
          </cell>
          <cell r="AF57">
            <v>13645</v>
          </cell>
          <cell r="AG57">
            <v>13320</v>
          </cell>
          <cell r="AI57">
            <v>2528</v>
          </cell>
          <cell r="AK57">
            <v>462998</v>
          </cell>
          <cell r="AL57">
            <v>183606</v>
          </cell>
          <cell r="AM57">
            <v>279392</v>
          </cell>
          <cell r="AN57">
            <v>462998</v>
          </cell>
          <cell r="AO57">
            <v>183606</v>
          </cell>
          <cell r="AP57">
            <v>279392</v>
          </cell>
          <cell r="AR57">
            <v>593086.65858842165</v>
          </cell>
          <cell r="AS57">
            <v>235193.82165103464</v>
          </cell>
          <cell r="AT57">
            <v>357892.83693738701</v>
          </cell>
          <cell r="AV57">
            <v>0.41</v>
          </cell>
          <cell r="AW57">
            <v>0.32700000000000001</v>
          </cell>
          <cell r="AX57">
            <v>0.75900000000000001</v>
          </cell>
          <cell r="AZ57">
            <v>0.30299999999999999</v>
          </cell>
          <cell r="BA57">
            <v>0.33600000000000002</v>
          </cell>
          <cell r="BB57">
            <v>0.16699999999999998</v>
          </cell>
          <cell r="BD57">
            <v>398735</v>
          </cell>
          <cell r="BE57">
            <v>0</v>
          </cell>
          <cell r="BF57">
            <v>398735</v>
          </cell>
          <cell r="BH57">
            <v>0.63982086109798597</v>
          </cell>
          <cell r="BI57">
            <v>0</v>
          </cell>
          <cell r="BJ57">
            <v>1.0602872632238762</v>
          </cell>
        </row>
        <row r="58">
          <cell r="B58">
            <v>50</v>
          </cell>
          <cell r="C58">
            <v>12</v>
          </cell>
          <cell r="D58">
            <v>3</v>
          </cell>
          <cell r="E58" t="str">
            <v>Rae Barielly</v>
          </cell>
          <cell r="H58">
            <v>2322810</v>
          </cell>
          <cell r="I58">
            <v>2112898</v>
          </cell>
          <cell r="J58">
            <v>209912</v>
          </cell>
          <cell r="K58">
            <v>2322810</v>
          </cell>
          <cell r="L58">
            <v>2112898</v>
          </cell>
          <cell r="M58">
            <v>209912</v>
          </cell>
          <cell r="N58">
            <v>2872204</v>
          </cell>
          <cell r="O58">
            <v>2598459</v>
          </cell>
          <cell r="P58">
            <v>273745</v>
          </cell>
          <cell r="Q58">
            <v>23.57</v>
          </cell>
          <cell r="R58">
            <v>23.66</v>
          </cell>
          <cell r="S58">
            <v>2.1389301791283399E-2</v>
          </cell>
          <cell r="T58">
            <v>2.1463668484388965E-2</v>
          </cell>
          <cell r="U58">
            <v>2.1457166021236374E-2</v>
          </cell>
          <cell r="W58">
            <v>0</v>
          </cell>
          <cell r="X58">
            <v>0</v>
          </cell>
          <cell r="Y58">
            <v>0</v>
          </cell>
          <cell r="Z58">
            <v>0</v>
          </cell>
          <cell r="AA58">
            <v>0</v>
          </cell>
          <cell r="AC58">
            <v>3</v>
          </cell>
          <cell r="AD58">
            <v>3</v>
          </cell>
          <cell r="AE58">
            <v>3</v>
          </cell>
          <cell r="AF58">
            <v>3</v>
          </cell>
          <cell r="AG58">
            <v>3</v>
          </cell>
          <cell r="AI58">
            <v>4586</v>
          </cell>
          <cell r="AK58">
            <v>419983</v>
          </cell>
          <cell r="AL58">
            <v>385967</v>
          </cell>
          <cell r="AM58">
            <v>34016</v>
          </cell>
          <cell r="AN58">
            <v>419983</v>
          </cell>
          <cell r="AO58">
            <v>385967</v>
          </cell>
          <cell r="AP58">
            <v>34016</v>
          </cell>
          <cell r="AR58">
            <v>537985.72376973787</v>
          </cell>
          <cell r="AS58">
            <v>494412.24012932525</v>
          </cell>
          <cell r="AT58">
            <v>43573.483640412596</v>
          </cell>
          <cell r="AV58">
            <v>0.41</v>
          </cell>
          <cell r="AW58">
            <v>0.32700000000000001</v>
          </cell>
          <cell r="AX58">
            <v>0.75900000000000001</v>
          </cell>
          <cell r="AZ58">
            <v>0.30299999999999999</v>
          </cell>
          <cell r="BA58">
            <v>0.33600000000000002</v>
          </cell>
          <cell r="BB58">
            <v>0.16699999999999998</v>
          </cell>
          <cell r="BD58">
            <v>100613</v>
          </cell>
          <cell r="BE58">
            <v>69951</v>
          </cell>
          <cell r="BF58">
            <v>30662</v>
          </cell>
          <cell r="BH58">
            <v>0.17798177740561882</v>
          </cell>
          <cell r="BI58">
            <v>0.13464706941769594</v>
          </cell>
          <cell r="BJ58">
            <v>0.66968471831503307</v>
          </cell>
        </row>
        <row r="59">
          <cell r="B59">
            <v>51</v>
          </cell>
          <cell r="C59">
            <v>12</v>
          </cell>
          <cell r="D59">
            <v>3</v>
          </cell>
          <cell r="E59" t="str">
            <v>Sitapur</v>
          </cell>
          <cell r="H59">
            <v>2857009</v>
          </cell>
          <cell r="I59">
            <v>2513341</v>
          </cell>
          <cell r="J59">
            <v>343668</v>
          </cell>
          <cell r="K59">
            <v>2857009</v>
          </cell>
          <cell r="L59">
            <v>2513341</v>
          </cell>
          <cell r="M59">
            <v>343668</v>
          </cell>
          <cell r="N59">
            <v>3616510</v>
          </cell>
          <cell r="O59">
            <v>3184640</v>
          </cell>
          <cell r="P59">
            <v>431870</v>
          </cell>
          <cell r="Q59">
            <v>22.24</v>
          </cell>
          <cell r="R59">
            <v>26.58</v>
          </cell>
          <cell r="S59">
            <v>2.0284606078570633E-2</v>
          </cell>
          <cell r="T59">
            <v>2.3850411407047245E-2</v>
          </cell>
          <cell r="U59">
            <v>2.3853469207162137E-2</v>
          </cell>
          <cell r="W59">
            <v>1386</v>
          </cell>
          <cell r="X59">
            <v>1393</v>
          </cell>
          <cell r="Y59">
            <v>1395</v>
          </cell>
          <cell r="Z59">
            <v>1395</v>
          </cell>
          <cell r="AA59">
            <v>1395</v>
          </cell>
          <cell r="AC59">
            <v>19250</v>
          </cell>
          <cell r="AD59">
            <v>19373</v>
          </cell>
          <cell r="AE59">
            <v>19857</v>
          </cell>
          <cell r="AF59">
            <v>20283</v>
          </cell>
          <cell r="AG59">
            <v>20477</v>
          </cell>
          <cell r="AI59">
            <v>5743</v>
          </cell>
          <cell r="AK59">
            <v>459497</v>
          </cell>
          <cell r="AL59">
            <v>412951</v>
          </cell>
          <cell r="AM59">
            <v>46546</v>
          </cell>
          <cell r="AN59">
            <v>459497</v>
          </cell>
          <cell r="AO59">
            <v>412951</v>
          </cell>
          <cell r="AP59">
            <v>46546</v>
          </cell>
          <cell r="AR59">
            <v>588601.98178265127</v>
          </cell>
          <cell r="AS59">
            <v>528977.94105103542</v>
          </cell>
          <cell r="AT59">
            <v>59624.040731615845</v>
          </cell>
          <cell r="AV59">
            <v>0.41</v>
          </cell>
          <cell r="AW59">
            <v>0.32700000000000001</v>
          </cell>
          <cell r="AX59">
            <v>0.75900000000000001</v>
          </cell>
          <cell r="AZ59">
            <v>0.30299999999999999</v>
          </cell>
          <cell r="BA59">
            <v>0.33600000000000002</v>
          </cell>
          <cell r="BB59">
            <v>0.16699999999999998</v>
          </cell>
          <cell r="BD59">
            <v>73270</v>
          </cell>
          <cell r="BE59">
            <v>37578</v>
          </cell>
          <cell r="BF59">
            <v>35692</v>
          </cell>
          <cell r="BH59">
            <v>0.1184668016482876</v>
          </cell>
          <cell r="BI59">
            <v>6.760647497673275E-2</v>
          </cell>
          <cell r="BJ59">
            <v>0.56969403404946606</v>
          </cell>
        </row>
        <row r="60">
          <cell r="B60">
            <v>52</v>
          </cell>
          <cell r="C60">
            <v>12</v>
          </cell>
          <cell r="D60">
            <v>3</v>
          </cell>
          <cell r="E60" t="str">
            <v>Unnao</v>
          </cell>
          <cell r="H60">
            <v>2200397</v>
          </cell>
          <cell r="I60">
            <v>1901099</v>
          </cell>
          <cell r="J60">
            <v>299298</v>
          </cell>
          <cell r="K60">
            <v>2200397</v>
          </cell>
          <cell r="L60">
            <v>1901099</v>
          </cell>
          <cell r="M60">
            <v>299298</v>
          </cell>
          <cell r="N60">
            <v>2700426</v>
          </cell>
          <cell r="O60">
            <v>2288567</v>
          </cell>
          <cell r="P60">
            <v>411859</v>
          </cell>
          <cell r="Q60">
            <v>20.73</v>
          </cell>
          <cell r="R60">
            <v>22.72</v>
          </cell>
          <cell r="S60">
            <v>1.9017212986417897E-2</v>
          </cell>
          <cell r="T60">
            <v>2.0684535221755951E-2</v>
          </cell>
          <cell r="U60">
            <v>2.0688269717518581E-2</v>
          </cell>
          <cell r="W60">
            <v>1107</v>
          </cell>
          <cell r="X60">
            <v>1114</v>
          </cell>
          <cell r="Y60">
            <v>1124</v>
          </cell>
          <cell r="Z60">
            <v>1124</v>
          </cell>
          <cell r="AA60">
            <v>1124</v>
          </cell>
          <cell r="AC60">
            <v>8502</v>
          </cell>
          <cell r="AD60">
            <v>8604</v>
          </cell>
          <cell r="AE60">
            <v>8788</v>
          </cell>
          <cell r="AF60">
            <v>8929</v>
          </cell>
          <cell r="AG60">
            <v>9045</v>
          </cell>
          <cell r="AI60">
            <v>4558</v>
          </cell>
          <cell r="AK60">
            <v>373349</v>
          </cell>
          <cell r="AL60">
            <v>325705</v>
          </cell>
          <cell r="AM60">
            <v>47644</v>
          </cell>
          <cell r="AN60">
            <v>373349</v>
          </cell>
          <cell r="AO60">
            <v>325705</v>
          </cell>
          <cell r="AP60">
            <v>47644</v>
          </cell>
          <cell r="AR60">
            <v>478248.95765711437</v>
          </cell>
          <cell r="AS60">
            <v>417218.41160338029</v>
          </cell>
          <cell r="AT60">
            <v>61030.546053734055</v>
          </cell>
          <cell r="AV60">
            <v>0.41</v>
          </cell>
          <cell r="AW60">
            <v>0.32700000000000001</v>
          </cell>
          <cell r="AX60">
            <v>0.75900000000000001</v>
          </cell>
          <cell r="AZ60">
            <v>0.30299999999999999</v>
          </cell>
          <cell r="BA60">
            <v>0.33600000000000002</v>
          </cell>
          <cell r="BB60">
            <v>0.16699999999999998</v>
          </cell>
          <cell r="BD60">
            <v>75419</v>
          </cell>
          <cell r="BE60">
            <v>49381</v>
          </cell>
          <cell r="BF60">
            <v>26038</v>
          </cell>
          <cell r="BH60">
            <v>0.15007865522922706</v>
          </cell>
          <cell r="BI60">
            <v>0.11263895357090002</v>
          </cell>
          <cell r="BJ60">
            <v>0.40602479805152186</v>
          </cell>
        </row>
        <row r="61">
          <cell r="B61">
            <v>53</v>
          </cell>
          <cell r="C61">
            <v>13</v>
          </cell>
          <cell r="D61">
            <v>1</v>
          </cell>
          <cell r="E61" t="str">
            <v>Baghpat</v>
          </cell>
          <cell r="F61" t="str">
            <v>New</v>
          </cell>
          <cell r="G61">
            <v>1</v>
          </cell>
          <cell r="H61">
            <v>0</v>
          </cell>
          <cell r="I61">
            <v>0</v>
          </cell>
          <cell r="J61">
            <v>0</v>
          </cell>
          <cell r="K61">
            <v>963678</v>
          </cell>
          <cell r="L61">
            <v>606885</v>
          </cell>
          <cell r="M61">
            <v>356793</v>
          </cell>
          <cell r="N61">
            <v>1164388</v>
          </cell>
          <cell r="O61">
            <v>934824</v>
          </cell>
          <cell r="P61">
            <v>229564</v>
          </cell>
          <cell r="Q61">
            <v>22.39</v>
          </cell>
          <cell r="R61">
            <v>13</v>
          </cell>
          <cell r="S61">
            <v>2.040973553498282E-2</v>
          </cell>
          <cell r="T61">
            <v>1.2296754216952754E-2</v>
          </cell>
          <cell r="U61">
            <v>1.9099474515575032E-2</v>
          </cell>
          <cell r="W61">
            <v>751</v>
          </cell>
          <cell r="X61">
            <v>752</v>
          </cell>
          <cell r="Y61">
            <v>752</v>
          </cell>
          <cell r="Z61">
            <v>752</v>
          </cell>
          <cell r="AA61">
            <v>752</v>
          </cell>
          <cell r="AC61">
            <v>31287</v>
          </cell>
          <cell r="AD61">
            <v>32505</v>
          </cell>
          <cell r="AE61">
            <v>33723</v>
          </cell>
          <cell r="AF61">
            <v>34158</v>
          </cell>
          <cell r="AG61">
            <v>34319</v>
          </cell>
          <cell r="AI61">
            <v>1389</v>
          </cell>
          <cell r="AK61">
            <v>0</v>
          </cell>
          <cell r="AL61">
            <v>0</v>
          </cell>
          <cell r="AM61">
            <v>0</v>
          </cell>
          <cell r="AN61">
            <v>140108</v>
          </cell>
          <cell r="AO61">
            <v>88931</v>
          </cell>
          <cell r="AP61">
            <v>51177</v>
          </cell>
          <cell r="AR61">
            <v>179474.17820704749</v>
          </cell>
          <cell r="AS61">
            <v>113917.96429990394</v>
          </cell>
          <cell r="AT61">
            <v>65556.213907143567</v>
          </cell>
          <cell r="AV61">
            <v>0.41</v>
          </cell>
          <cell r="AW61">
            <v>0.32700000000000001</v>
          </cell>
          <cell r="AX61">
            <v>0.75900000000000001</v>
          </cell>
          <cell r="AZ61">
            <v>0.30299999999999999</v>
          </cell>
          <cell r="BA61">
            <v>0.33600000000000002</v>
          </cell>
          <cell r="BB61">
            <v>0.16699999999999998</v>
          </cell>
          <cell r="BD61">
            <v>76043</v>
          </cell>
          <cell r="BE61">
            <v>57517</v>
          </cell>
          <cell r="BF61">
            <v>18526</v>
          </cell>
          <cell r="BH61">
            <v>0.40322686629098003</v>
          </cell>
          <cell r="BI61">
            <v>0.48050310930026013</v>
          </cell>
          <cell r="BJ61">
            <v>0.26894284090734516</v>
          </cell>
        </row>
        <row r="62">
          <cell r="B62">
            <v>54</v>
          </cell>
          <cell r="C62">
            <v>13</v>
          </cell>
          <cell r="D62">
            <v>1</v>
          </cell>
          <cell r="E62" t="str">
            <v>Bulandshahr</v>
          </cell>
          <cell r="F62" t="str">
            <v>Split</v>
          </cell>
          <cell r="G62">
            <v>2</v>
          </cell>
          <cell r="H62">
            <v>2849859</v>
          </cell>
          <cell r="I62">
            <v>2257064</v>
          </cell>
          <cell r="J62">
            <v>592795</v>
          </cell>
          <cell r="K62">
            <v>2192754</v>
          </cell>
          <cell r="L62">
            <v>1465867</v>
          </cell>
          <cell r="M62">
            <v>726887</v>
          </cell>
          <cell r="N62">
            <v>2923290</v>
          </cell>
          <cell r="O62">
            <v>2249464</v>
          </cell>
          <cell r="P62">
            <v>673826</v>
          </cell>
          <cell r="Q62">
            <v>16.100000000000001</v>
          </cell>
          <cell r="R62">
            <v>22.22</v>
          </cell>
          <cell r="S62">
            <v>1.5040151938647606E-2</v>
          </cell>
          <cell r="T62">
            <v>2.026791171121145E-2</v>
          </cell>
          <cell r="U62">
            <v>2.9172561075500036E-2</v>
          </cell>
          <cell r="W62">
            <v>13</v>
          </cell>
          <cell r="X62">
            <v>14</v>
          </cell>
          <cell r="Y62">
            <v>15</v>
          </cell>
          <cell r="Z62">
            <v>15</v>
          </cell>
          <cell r="AA62">
            <v>15</v>
          </cell>
          <cell r="AC62">
            <v>19</v>
          </cell>
          <cell r="AD62">
            <v>19</v>
          </cell>
          <cell r="AE62">
            <v>19</v>
          </cell>
          <cell r="AF62">
            <v>19</v>
          </cell>
          <cell r="AG62">
            <v>19</v>
          </cell>
          <cell r="AI62">
            <v>3718</v>
          </cell>
          <cell r="AK62">
            <v>425219</v>
          </cell>
          <cell r="AL62">
            <v>345420</v>
          </cell>
          <cell r="AM62">
            <v>79799</v>
          </cell>
          <cell r="AN62">
            <v>334121</v>
          </cell>
          <cell r="AO62">
            <v>218857</v>
          </cell>
          <cell r="AP62">
            <v>115264</v>
          </cell>
          <cell r="AR62">
            <v>427999.05713247578</v>
          </cell>
          <cell r="AS62">
            <v>280349.30353627057</v>
          </cell>
          <cell r="AT62">
            <v>147649.75359620524</v>
          </cell>
          <cell r="AV62">
            <v>0.41</v>
          </cell>
          <cell r="AW62">
            <v>0.32700000000000001</v>
          </cell>
          <cell r="AX62">
            <v>0.75900000000000001</v>
          </cell>
          <cell r="AZ62">
            <v>0.30299999999999999</v>
          </cell>
          <cell r="BA62">
            <v>0.33600000000000002</v>
          </cell>
          <cell r="BB62">
            <v>0.16699999999999998</v>
          </cell>
          <cell r="BD62">
            <v>127267</v>
          </cell>
          <cell r="BE62">
            <v>57757</v>
          </cell>
          <cell r="BF62">
            <v>69510</v>
          </cell>
          <cell r="BH62">
            <v>0.28298615387148135</v>
          </cell>
          <cell r="BI62">
            <v>0.19606376479301316</v>
          </cell>
          <cell r="BJ62">
            <v>0.44802964799407219</v>
          </cell>
        </row>
        <row r="63">
          <cell r="B63">
            <v>55</v>
          </cell>
          <cell r="C63">
            <v>13</v>
          </cell>
          <cell r="D63">
            <v>1</v>
          </cell>
          <cell r="E63" t="str">
            <v>Gautam Buddha Nagar</v>
          </cell>
          <cell r="F63" t="str">
            <v>New</v>
          </cell>
          <cell r="G63">
            <v>1</v>
          </cell>
          <cell r="H63">
            <v>0</v>
          </cell>
          <cell r="I63">
            <v>0</v>
          </cell>
          <cell r="J63">
            <v>0</v>
          </cell>
          <cell r="K63">
            <v>893563</v>
          </cell>
          <cell r="L63">
            <v>597351</v>
          </cell>
          <cell r="M63">
            <v>296212</v>
          </cell>
          <cell r="N63">
            <v>1191263</v>
          </cell>
          <cell r="O63">
            <v>753051</v>
          </cell>
          <cell r="P63">
            <v>438212</v>
          </cell>
          <cell r="Q63">
            <v>37.64</v>
          </cell>
          <cell r="R63">
            <v>35.700000000000003</v>
          </cell>
          <cell r="S63">
            <v>3.2462927349978798E-2</v>
          </cell>
          <cell r="T63">
            <v>3.0998384476280005E-2</v>
          </cell>
          <cell r="U63">
            <v>2.9172676359748628E-2</v>
          </cell>
          <cell r="W63">
            <v>142</v>
          </cell>
          <cell r="X63">
            <v>148</v>
          </cell>
          <cell r="Y63">
            <v>149</v>
          </cell>
          <cell r="Z63">
            <v>149</v>
          </cell>
          <cell r="AA63">
            <v>149</v>
          </cell>
          <cell r="AC63">
            <v>13976</v>
          </cell>
          <cell r="AD63">
            <v>14212</v>
          </cell>
          <cell r="AE63">
            <v>14484</v>
          </cell>
          <cell r="AF63">
            <v>14752</v>
          </cell>
          <cell r="AG63">
            <v>15118</v>
          </cell>
          <cell r="AI63">
            <v>1269</v>
          </cell>
          <cell r="AK63">
            <v>0</v>
          </cell>
          <cell r="AL63">
            <v>0</v>
          </cell>
          <cell r="AM63">
            <v>0</v>
          </cell>
          <cell r="AN63">
            <v>136156</v>
          </cell>
          <cell r="AO63">
            <v>89185</v>
          </cell>
          <cell r="AP63">
            <v>46971</v>
          </cell>
          <cell r="AR63">
            <v>174411.78382361293</v>
          </cell>
          <cell r="AS63">
            <v>114243.33074053966</v>
          </cell>
          <cell r="AT63">
            <v>60168.453083073262</v>
          </cell>
          <cell r="AV63">
            <v>0.41</v>
          </cell>
          <cell r="AW63">
            <v>0.32700000000000001</v>
          </cell>
          <cell r="AX63">
            <v>0.75900000000000001</v>
          </cell>
          <cell r="AZ63">
            <v>0.30299999999999999</v>
          </cell>
          <cell r="BA63">
            <v>0.33600000000000002</v>
          </cell>
          <cell r="BB63">
            <v>0.16699999999999998</v>
          </cell>
          <cell r="BD63">
            <v>80666</v>
          </cell>
          <cell r="BE63">
            <v>0</v>
          </cell>
          <cell r="BF63">
            <v>80666</v>
          </cell>
          <cell r="BH63">
            <v>0.44015626739285751</v>
          </cell>
          <cell r="BI63">
            <v>0</v>
          </cell>
          <cell r="BJ63">
            <v>1.2758918639829235</v>
          </cell>
        </row>
        <row r="64">
          <cell r="B64">
            <v>56</v>
          </cell>
          <cell r="C64">
            <v>13</v>
          </cell>
          <cell r="D64">
            <v>1</v>
          </cell>
          <cell r="E64" t="str">
            <v>Ghaziabad</v>
          </cell>
          <cell r="F64" t="str">
            <v>Split</v>
          </cell>
          <cell r="G64">
            <v>2</v>
          </cell>
          <cell r="H64">
            <v>2703933</v>
          </cell>
          <cell r="I64">
            <v>1455673</v>
          </cell>
          <cell r="J64">
            <v>1248260</v>
          </cell>
          <cell r="K64">
            <v>2467475</v>
          </cell>
          <cell r="L64">
            <v>1649519</v>
          </cell>
          <cell r="M64">
            <v>817956</v>
          </cell>
          <cell r="N64">
            <v>3289540</v>
          </cell>
          <cell r="O64">
            <v>1473559</v>
          </cell>
          <cell r="P64">
            <v>1815981</v>
          </cell>
          <cell r="Q64">
            <v>40.9</v>
          </cell>
          <cell r="R64">
            <v>47.47</v>
          </cell>
          <cell r="S64">
            <v>3.488263410939596E-2</v>
          </cell>
          <cell r="T64">
            <v>3.9609807780575768E-2</v>
          </cell>
          <cell r="U64">
            <v>2.917266095740656E-2</v>
          </cell>
          <cell r="W64">
            <v>656</v>
          </cell>
          <cell r="X64">
            <v>661</v>
          </cell>
          <cell r="Y64">
            <v>666</v>
          </cell>
          <cell r="Z64">
            <v>666</v>
          </cell>
          <cell r="AA64">
            <v>666</v>
          </cell>
          <cell r="AC64">
            <v>6245</v>
          </cell>
          <cell r="AD64">
            <v>6295</v>
          </cell>
          <cell r="AE64">
            <v>6355</v>
          </cell>
          <cell r="AF64">
            <v>6393</v>
          </cell>
          <cell r="AG64">
            <v>6404</v>
          </cell>
          <cell r="AI64">
            <v>1956</v>
          </cell>
          <cell r="AK64">
            <v>421039</v>
          </cell>
          <cell r="AL64">
            <v>208898</v>
          </cell>
          <cell r="AM64">
            <v>212141</v>
          </cell>
          <cell r="AN64">
            <v>375981</v>
          </cell>
          <cell r="AO64">
            <v>246276</v>
          </cell>
          <cell r="AP64">
            <v>129705</v>
          </cell>
          <cell r="AR64">
            <v>481620.47132543416</v>
          </cell>
          <cell r="AS64">
            <v>315472.2265118254</v>
          </cell>
          <cell r="AT64">
            <v>166148.24481360876</v>
          </cell>
          <cell r="AV64">
            <v>0.41</v>
          </cell>
          <cell r="AW64">
            <v>0.32700000000000001</v>
          </cell>
          <cell r="AX64">
            <v>0.75900000000000001</v>
          </cell>
          <cell r="AZ64">
            <v>0.30299999999999999</v>
          </cell>
          <cell r="BA64">
            <v>0.33600000000000002</v>
          </cell>
          <cell r="BB64">
            <v>0.16699999999999998</v>
          </cell>
          <cell r="BD64">
            <v>363146</v>
          </cell>
          <cell r="BE64">
            <v>87694</v>
          </cell>
          <cell r="BF64">
            <v>275452</v>
          </cell>
          <cell r="BH64">
            <v>0.71757701387563022</v>
          </cell>
          <cell r="BI64">
            <v>0.26454584279498849</v>
          </cell>
          <cell r="BJ64">
            <v>1.5777651692208838</v>
          </cell>
        </row>
        <row r="65">
          <cell r="B65">
            <v>57</v>
          </cell>
          <cell r="C65">
            <v>13</v>
          </cell>
          <cell r="D65">
            <v>1</v>
          </cell>
          <cell r="E65" t="str">
            <v>Meerut</v>
          </cell>
          <cell r="F65" t="str">
            <v>Split</v>
          </cell>
          <cell r="G65">
            <v>2</v>
          </cell>
          <cell r="H65">
            <v>3447912</v>
          </cell>
          <cell r="I65">
            <v>2171355</v>
          </cell>
          <cell r="J65">
            <v>1276557</v>
          </cell>
          <cell r="K65">
            <v>2484234</v>
          </cell>
          <cell r="L65">
            <v>1564470</v>
          </cell>
          <cell r="M65">
            <v>919764</v>
          </cell>
          <cell r="N65">
            <v>3001636</v>
          </cell>
          <cell r="O65">
            <v>1544542</v>
          </cell>
          <cell r="P65">
            <v>1457094</v>
          </cell>
          <cell r="Q65">
            <v>24.91</v>
          </cell>
          <cell r="R65">
            <v>24.16</v>
          </cell>
          <cell r="S65">
            <v>2.2491534005144365E-2</v>
          </cell>
          <cell r="T65">
            <v>2.1875931890339206E-2</v>
          </cell>
          <cell r="U65">
            <v>1.9099415271484732E-2</v>
          </cell>
          <cell r="W65">
            <v>0</v>
          </cell>
          <cell r="X65">
            <v>0</v>
          </cell>
          <cell r="Y65">
            <v>0</v>
          </cell>
          <cell r="Z65">
            <v>0</v>
          </cell>
          <cell r="AA65">
            <v>0</v>
          </cell>
          <cell r="AC65">
            <v>2</v>
          </cell>
          <cell r="AD65">
            <v>2</v>
          </cell>
          <cell r="AE65">
            <v>2</v>
          </cell>
          <cell r="AF65">
            <v>2</v>
          </cell>
          <cell r="AG65">
            <v>2</v>
          </cell>
          <cell r="AI65">
            <v>2522</v>
          </cell>
          <cell r="AK65">
            <v>501289</v>
          </cell>
          <cell r="AL65">
            <v>318185</v>
          </cell>
          <cell r="AM65">
            <v>183104</v>
          </cell>
          <cell r="AN65">
            <v>361181</v>
          </cell>
          <cell r="AO65">
            <v>229254</v>
          </cell>
          <cell r="AP65">
            <v>131927</v>
          </cell>
          <cell r="AR65">
            <v>462662.11179232894</v>
          </cell>
          <cell r="AS65">
            <v>293667.55110827694</v>
          </cell>
          <cell r="AT65">
            <v>168994.56068405198</v>
          </cell>
          <cell r="AV65">
            <v>0.41</v>
          </cell>
          <cell r="AW65">
            <v>0.32700000000000001</v>
          </cell>
          <cell r="AX65">
            <v>0.75900000000000001</v>
          </cell>
          <cell r="AZ65">
            <v>0.30299999999999999</v>
          </cell>
          <cell r="BA65">
            <v>0.33600000000000002</v>
          </cell>
          <cell r="BB65">
            <v>0.16699999999999998</v>
          </cell>
          <cell r="BD65">
            <v>250995</v>
          </cell>
          <cell r="BE65">
            <v>90055</v>
          </cell>
          <cell r="BF65">
            <v>160940</v>
          </cell>
          <cell r="BH65">
            <v>0.51628953998705251</v>
          </cell>
          <cell r="BI65">
            <v>0.29183949218209543</v>
          </cell>
          <cell r="BJ65">
            <v>0.90632396250463898</v>
          </cell>
        </row>
        <row r="66">
          <cell r="B66">
            <v>58</v>
          </cell>
          <cell r="C66">
            <v>14</v>
          </cell>
          <cell r="D66">
            <v>4</v>
          </cell>
          <cell r="E66" t="str">
            <v>Mirzapur</v>
          </cell>
          <cell r="H66">
            <v>1657139</v>
          </cell>
          <cell r="I66">
            <v>1428499</v>
          </cell>
          <cell r="J66">
            <v>228640</v>
          </cell>
          <cell r="K66">
            <v>1657139</v>
          </cell>
          <cell r="L66">
            <v>1428499</v>
          </cell>
          <cell r="M66">
            <v>228640</v>
          </cell>
          <cell r="N66">
            <v>2114852</v>
          </cell>
          <cell r="O66">
            <v>1828102</v>
          </cell>
          <cell r="P66">
            <v>286750</v>
          </cell>
          <cell r="Q66">
            <v>31.4</v>
          </cell>
          <cell r="R66">
            <v>27.62</v>
          </cell>
          <cell r="S66">
            <v>2.768386149316715E-2</v>
          </cell>
          <cell r="T66">
            <v>2.4688527955109452E-2</v>
          </cell>
          <cell r="U66">
            <v>2.4689071016630315E-2</v>
          </cell>
          <cell r="W66">
            <v>522</v>
          </cell>
          <cell r="X66">
            <v>524</v>
          </cell>
          <cell r="Y66">
            <v>528</v>
          </cell>
          <cell r="Z66">
            <v>528</v>
          </cell>
          <cell r="AA66">
            <v>528</v>
          </cell>
          <cell r="AC66">
            <v>1711</v>
          </cell>
          <cell r="AD66">
            <v>1761</v>
          </cell>
          <cell r="AE66">
            <v>1827</v>
          </cell>
          <cell r="AF66">
            <v>1906</v>
          </cell>
          <cell r="AG66">
            <v>1943</v>
          </cell>
          <cell r="AI66">
            <v>4522</v>
          </cell>
          <cell r="AK66">
            <v>233908</v>
          </cell>
          <cell r="AL66">
            <v>204543</v>
          </cell>
          <cell r="AM66">
            <v>29365</v>
          </cell>
          <cell r="AN66">
            <v>233908</v>
          </cell>
          <cell r="AO66">
            <v>204543</v>
          </cell>
          <cell r="AP66">
            <v>29365</v>
          </cell>
          <cell r="AR66">
            <v>299629.1865992953</v>
          </cell>
          <cell r="AS66">
            <v>262013.49553918489</v>
          </cell>
          <cell r="AT66">
            <v>37615.69106011041</v>
          </cell>
          <cell r="AV66">
            <v>0.41</v>
          </cell>
          <cell r="AW66">
            <v>0.32700000000000001</v>
          </cell>
          <cell r="AX66">
            <v>0.75900000000000001</v>
          </cell>
          <cell r="AZ66">
            <v>0.30299999999999999</v>
          </cell>
          <cell r="BA66">
            <v>0.33600000000000002</v>
          </cell>
          <cell r="BB66">
            <v>0.16699999999999998</v>
          </cell>
          <cell r="BD66">
            <v>78459</v>
          </cell>
          <cell r="BE66">
            <v>48196</v>
          </cell>
          <cell r="BF66">
            <v>30263</v>
          </cell>
          <cell r="BH66">
            <v>0.24920161083589282</v>
          </cell>
          <cell r="BI66">
            <v>0.17505701816770766</v>
          </cell>
          <cell r="BJ66">
            <v>0.76565852955302571</v>
          </cell>
        </row>
        <row r="67">
          <cell r="B67">
            <v>59</v>
          </cell>
          <cell r="C67">
            <v>14</v>
          </cell>
          <cell r="D67">
            <v>4</v>
          </cell>
          <cell r="E67" t="str">
            <v>Sant Ravidas Nagar Bhadohi</v>
          </cell>
          <cell r="F67" t="str">
            <v>New</v>
          </cell>
          <cell r="G67">
            <v>1</v>
          </cell>
          <cell r="H67">
            <v>0</v>
          </cell>
          <cell r="I67">
            <v>0</v>
          </cell>
          <cell r="J67">
            <v>0</v>
          </cell>
          <cell r="K67">
            <v>1070364</v>
          </cell>
          <cell r="L67">
            <v>779187</v>
          </cell>
          <cell r="M67">
            <v>291177</v>
          </cell>
          <cell r="N67">
            <v>1352056</v>
          </cell>
          <cell r="O67">
            <v>1179423</v>
          </cell>
          <cell r="P67">
            <v>172633</v>
          </cell>
          <cell r="Q67">
            <v>38.159999999999997</v>
          </cell>
          <cell r="R67">
            <v>25.47</v>
          </cell>
          <cell r="S67">
            <v>3.2852327347188126E-2</v>
          </cell>
          <cell r="T67">
            <v>2.2949018069388538E-2</v>
          </cell>
          <cell r="U67">
            <v>2.3637809033460133E-2</v>
          </cell>
          <cell r="W67">
            <v>697</v>
          </cell>
          <cell r="X67">
            <v>702</v>
          </cell>
          <cell r="Y67">
            <v>706</v>
          </cell>
          <cell r="Z67">
            <v>706</v>
          </cell>
          <cell r="AA67">
            <v>706</v>
          </cell>
          <cell r="AC67">
            <v>4777</v>
          </cell>
          <cell r="AD67">
            <v>4841</v>
          </cell>
          <cell r="AE67">
            <v>4992</v>
          </cell>
          <cell r="AF67">
            <v>5060</v>
          </cell>
          <cell r="AG67">
            <v>5135</v>
          </cell>
          <cell r="AI67">
            <v>960</v>
          </cell>
          <cell r="AK67">
            <v>0</v>
          </cell>
          <cell r="AL67">
            <v>0</v>
          </cell>
          <cell r="AM67">
            <v>0</v>
          </cell>
          <cell r="AN67">
            <v>135180</v>
          </cell>
          <cell r="AO67">
            <v>98839</v>
          </cell>
          <cell r="AP67">
            <v>36341</v>
          </cell>
          <cell r="AR67">
            <v>173161.55687061895</v>
          </cell>
          <cell r="AS67">
            <v>126609.81742517464</v>
          </cell>
          <cell r="AT67">
            <v>46551.73944544432</v>
          </cell>
          <cell r="AV67">
            <v>0.41</v>
          </cell>
          <cell r="AW67">
            <v>0.32700000000000001</v>
          </cell>
          <cell r="AX67">
            <v>0.75900000000000001</v>
          </cell>
          <cell r="AZ67">
            <v>0.30299999999999999</v>
          </cell>
          <cell r="BA67">
            <v>0.33600000000000002</v>
          </cell>
          <cell r="BB67">
            <v>0.16699999999999998</v>
          </cell>
          <cell r="BD67">
            <v>42836</v>
          </cell>
          <cell r="BE67">
            <v>22993</v>
          </cell>
          <cell r="BF67">
            <v>19843</v>
          </cell>
          <cell r="BH67">
            <v>0.23542339598310361</v>
          </cell>
          <cell r="BI67">
            <v>0.17283052486549333</v>
          </cell>
          <cell r="BJ67">
            <v>0.40566133077833433</v>
          </cell>
        </row>
        <row r="68">
          <cell r="B68">
            <v>60</v>
          </cell>
          <cell r="C68">
            <v>14</v>
          </cell>
          <cell r="D68">
            <v>4</v>
          </cell>
          <cell r="E68" t="str">
            <v>Sonbhadra</v>
          </cell>
          <cell r="H68">
            <v>1075041</v>
          </cell>
          <cell r="I68">
            <v>930958</v>
          </cell>
          <cell r="J68">
            <v>144083</v>
          </cell>
          <cell r="K68">
            <v>1075041</v>
          </cell>
          <cell r="L68">
            <v>930958</v>
          </cell>
          <cell r="M68">
            <v>144083</v>
          </cell>
          <cell r="N68">
            <v>1463468</v>
          </cell>
          <cell r="O68">
            <v>1186754</v>
          </cell>
          <cell r="P68">
            <v>276714</v>
          </cell>
          <cell r="Q68">
            <v>38.18</v>
          </cell>
          <cell r="R68">
            <v>36.130000000000003</v>
          </cell>
          <cell r="S68">
            <v>3.2867277912497883E-2</v>
          </cell>
          <cell r="T68">
            <v>3.1324617645245967E-2</v>
          </cell>
          <cell r="U68">
            <v>3.132565264149223E-2</v>
          </cell>
          <cell r="W68">
            <v>597</v>
          </cell>
          <cell r="X68">
            <v>597</v>
          </cell>
          <cell r="Y68">
            <v>602</v>
          </cell>
          <cell r="Z68">
            <v>602</v>
          </cell>
          <cell r="AA68">
            <v>602</v>
          </cell>
          <cell r="AC68">
            <v>9142</v>
          </cell>
          <cell r="AD68">
            <v>9216</v>
          </cell>
          <cell r="AE68">
            <v>9698</v>
          </cell>
          <cell r="AF68">
            <v>9954</v>
          </cell>
          <cell r="AG68">
            <v>10099</v>
          </cell>
          <cell r="AI68">
            <v>6788</v>
          </cell>
          <cell r="AK68">
            <v>192584</v>
          </cell>
          <cell r="AL68">
            <v>162303</v>
          </cell>
          <cell r="AM68">
            <v>30281</v>
          </cell>
          <cell r="AN68">
            <v>192584</v>
          </cell>
          <cell r="AO68">
            <v>162303</v>
          </cell>
          <cell r="AP68">
            <v>30281</v>
          </cell>
          <cell r="AR68">
            <v>246694.37245429266</v>
          </cell>
          <cell r="AS68">
            <v>207905.31265551169</v>
          </cell>
          <cell r="AT68">
            <v>38789.059798780982</v>
          </cell>
          <cell r="AV68">
            <v>0.41</v>
          </cell>
          <cell r="AW68">
            <v>0.32700000000000001</v>
          </cell>
          <cell r="AX68">
            <v>0.75900000000000001</v>
          </cell>
          <cell r="AZ68">
            <v>0.30299999999999999</v>
          </cell>
          <cell r="BA68">
            <v>0.33600000000000002</v>
          </cell>
          <cell r="BB68">
            <v>0.16699999999999998</v>
          </cell>
          <cell r="BD68">
            <v>23798</v>
          </cell>
          <cell r="BE68">
            <v>7745</v>
          </cell>
          <cell r="BF68">
            <v>16053</v>
          </cell>
          <cell r="BH68">
            <v>9.1806495533818477E-2</v>
          </cell>
          <cell r="BI68">
            <v>3.5452594803726992E-2</v>
          </cell>
          <cell r="BJ68">
            <v>0.39385752258695533</v>
          </cell>
        </row>
        <row r="69">
          <cell r="B69">
            <v>61</v>
          </cell>
          <cell r="C69">
            <v>15</v>
          </cell>
          <cell r="D69">
            <v>1</v>
          </cell>
          <cell r="E69" t="str">
            <v>Bijnor</v>
          </cell>
          <cell r="H69">
            <v>2454521</v>
          </cell>
          <cell r="I69">
            <v>1839169</v>
          </cell>
          <cell r="J69">
            <v>615352</v>
          </cell>
          <cell r="K69">
            <v>2454521</v>
          </cell>
          <cell r="L69">
            <v>1839169</v>
          </cell>
          <cell r="M69">
            <v>615352</v>
          </cell>
          <cell r="N69">
            <v>3130586</v>
          </cell>
          <cell r="O69">
            <v>2369001</v>
          </cell>
          <cell r="P69">
            <v>761585</v>
          </cell>
          <cell r="Q69">
            <v>27.76</v>
          </cell>
          <cell r="R69">
            <v>27.16</v>
          </cell>
          <cell r="S69">
            <v>2.4800881524607021E-2</v>
          </cell>
          <cell r="T69">
            <v>2.4318583577521258E-2</v>
          </cell>
          <cell r="U69">
            <v>2.4627219070865403E-2</v>
          </cell>
          <cell r="W69">
            <v>971</v>
          </cell>
          <cell r="X69">
            <v>971</v>
          </cell>
          <cell r="Y69">
            <v>975</v>
          </cell>
          <cell r="Z69">
            <v>975</v>
          </cell>
          <cell r="AA69">
            <v>975</v>
          </cell>
          <cell r="AC69">
            <v>25546</v>
          </cell>
          <cell r="AD69">
            <v>25746</v>
          </cell>
          <cell r="AE69">
            <v>26203</v>
          </cell>
          <cell r="AF69">
            <v>26593</v>
          </cell>
          <cell r="AG69">
            <v>26788</v>
          </cell>
          <cell r="AI69">
            <v>4561</v>
          </cell>
          <cell r="AK69">
            <v>372875</v>
          </cell>
          <cell r="AL69">
            <v>286469</v>
          </cell>
          <cell r="AM69">
            <v>86406</v>
          </cell>
          <cell r="AN69">
            <v>372875</v>
          </cell>
          <cell r="AO69">
            <v>286469</v>
          </cell>
          <cell r="AP69">
            <v>86406</v>
          </cell>
          <cell r="AR69">
            <v>477641.77776395949</v>
          </cell>
          <cell r="AS69">
            <v>366958.26331683196</v>
          </cell>
          <cell r="AT69">
            <v>110683.51444712754</v>
          </cell>
          <cell r="AV69">
            <v>0.41</v>
          </cell>
          <cell r="AW69">
            <v>0.32700000000000001</v>
          </cell>
          <cell r="AX69">
            <v>0.75900000000000001</v>
          </cell>
          <cell r="AZ69">
            <v>0.30299999999999999</v>
          </cell>
          <cell r="BA69">
            <v>0.33600000000000002</v>
          </cell>
          <cell r="BB69">
            <v>0.16699999999999998</v>
          </cell>
          <cell r="BD69">
            <v>161879</v>
          </cell>
          <cell r="BE69">
            <v>93207</v>
          </cell>
          <cell r="BF69">
            <v>68672</v>
          </cell>
          <cell r="BH69">
            <v>0.32253763624540649</v>
          </cell>
          <cell r="BI69">
            <v>0.24172638101876123</v>
          </cell>
          <cell r="BJ69">
            <v>0.59045791346599108</v>
          </cell>
        </row>
        <row r="70">
          <cell r="B70">
            <v>62</v>
          </cell>
          <cell r="C70">
            <v>15</v>
          </cell>
          <cell r="D70">
            <v>1</v>
          </cell>
          <cell r="E70" t="str">
            <v>Jyotiba Phule Nagar</v>
          </cell>
          <cell r="F70" t="str">
            <v>New</v>
          </cell>
          <cell r="G70">
            <v>1</v>
          </cell>
          <cell r="H70">
            <v>0</v>
          </cell>
          <cell r="I70">
            <v>0</v>
          </cell>
          <cell r="J70">
            <v>0</v>
          </cell>
          <cell r="K70">
            <v>1177068</v>
          </cell>
          <cell r="L70">
            <v>851608</v>
          </cell>
          <cell r="M70">
            <v>325460</v>
          </cell>
          <cell r="N70">
            <v>1499193</v>
          </cell>
          <cell r="O70">
            <v>1129758</v>
          </cell>
          <cell r="P70">
            <v>369435</v>
          </cell>
          <cell r="Q70">
            <v>28.25</v>
          </cell>
          <cell r="R70">
            <v>29.72</v>
          </cell>
          <cell r="S70">
            <v>2.5193248361054188E-2</v>
          </cell>
          <cell r="T70">
            <v>2.636230638392334E-2</v>
          </cell>
          <cell r="U70">
            <v>2.4484988701083843E-2</v>
          </cell>
          <cell r="W70">
            <v>6</v>
          </cell>
          <cell r="X70">
            <v>6</v>
          </cell>
          <cell r="Y70">
            <v>9</v>
          </cell>
          <cell r="Z70">
            <v>9</v>
          </cell>
          <cell r="AA70">
            <v>9</v>
          </cell>
          <cell r="AC70">
            <v>0</v>
          </cell>
          <cell r="AD70">
            <v>175</v>
          </cell>
          <cell r="AE70">
            <v>0</v>
          </cell>
          <cell r="AF70">
            <v>0</v>
          </cell>
          <cell r="AG70">
            <v>0</v>
          </cell>
          <cell r="AI70">
            <v>2321</v>
          </cell>
          <cell r="AK70">
            <v>0</v>
          </cell>
          <cell r="AL70">
            <v>0</v>
          </cell>
          <cell r="AM70">
            <v>0</v>
          </cell>
          <cell r="AN70">
            <v>172103</v>
          </cell>
          <cell r="AO70">
            <v>128464</v>
          </cell>
          <cell r="AP70">
            <v>43639</v>
          </cell>
          <cell r="AR70">
            <v>220458.82099500025</v>
          </cell>
          <cell r="AS70">
            <v>164558.56074735313</v>
          </cell>
          <cell r="AT70">
            <v>55900.260247647144</v>
          </cell>
          <cell r="AV70">
            <v>0.41</v>
          </cell>
          <cell r="AW70">
            <v>0.32700000000000001</v>
          </cell>
          <cell r="AX70">
            <v>0.75900000000000001</v>
          </cell>
          <cell r="AZ70">
            <v>0.30299999999999999</v>
          </cell>
          <cell r="BA70">
            <v>0.33600000000000002</v>
          </cell>
          <cell r="BB70">
            <v>0.16699999999999998</v>
          </cell>
          <cell r="BD70">
            <v>38159</v>
          </cell>
          <cell r="BE70">
            <v>11529</v>
          </cell>
          <cell r="BF70">
            <v>26630</v>
          </cell>
          <cell r="BH70">
            <v>0.16472582699065666</v>
          </cell>
          <cell r="BI70">
            <v>6.6675050137284197E-2</v>
          </cell>
          <cell r="BJ70">
            <v>0.45336660697396602</v>
          </cell>
        </row>
        <row r="71">
          <cell r="B71">
            <v>63</v>
          </cell>
          <cell r="C71">
            <v>15</v>
          </cell>
          <cell r="D71">
            <v>1</v>
          </cell>
          <cell r="E71" t="str">
            <v>Moradabad</v>
          </cell>
          <cell r="F71" t="str">
            <v>Split</v>
          </cell>
          <cell r="G71">
            <v>2</v>
          </cell>
          <cell r="H71">
            <v>4121035</v>
          </cell>
          <cell r="I71">
            <v>2981566</v>
          </cell>
          <cell r="J71">
            <v>1139469</v>
          </cell>
          <cell r="K71">
            <v>2943967</v>
          </cell>
          <cell r="L71">
            <v>2129958</v>
          </cell>
          <cell r="M71">
            <v>814009</v>
          </cell>
          <cell r="N71">
            <v>3749630</v>
          </cell>
          <cell r="O71">
            <v>2586152</v>
          </cell>
          <cell r="P71">
            <v>1163478</v>
          </cell>
          <cell r="Q71">
            <v>31.89</v>
          </cell>
          <cell r="R71">
            <v>26.45</v>
          </cell>
          <cell r="S71">
            <v>2.8066450579064206E-2</v>
          </cell>
          <cell r="T71">
            <v>2.3745211448876979E-2</v>
          </cell>
          <cell r="U71">
            <v>2.4484867213547812E-2</v>
          </cell>
          <cell r="W71">
            <v>638</v>
          </cell>
          <cell r="X71">
            <v>640</v>
          </cell>
          <cell r="Y71">
            <v>641</v>
          </cell>
          <cell r="Z71">
            <v>641</v>
          </cell>
          <cell r="AA71">
            <v>641</v>
          </cell>
          <cell r="AC71">
            <v>8628</v>
          </cell>
          <cell r="AD71">
            <v>8807</v>
          </cell>
          <cell r="AE71">
            <v>8945</v>
          </cell>
          <cell r="AF71">
            <v>9006</v>
          </cell>
          <cell r="AG71">
            <v>9041</v>
          </cell>
          <cell r="AI71">
            <v>3647</v>
          </cell>
          <cell r="AK71">
            <v>602550</v>
          </cell>
          <cell r="AL71">
            <v>449767</v>
          </cell>
          <cell r="AM71">
            <v>152783</v>
          </cell>
          <cell r="AN71">
            <v>430447</v>
          </cell>
          <cell r="AO71">
            <v>321303</v>
          </cell>
          <cell r="AP71">
            <v>109144</v>
          </cell>
          <cell r="AR71">
            <v>551389.79634773871</v>
          </cell>
          <cell r="AS71">
            <v>411579.58061252022</v>
          </cell>
          <cell r="AT71">
            <v>139810.21573521849</v>
          </cell>
          <cell r="AV71">
            <v>0.41</v>
          </cell>
          <cell r="AW71">
            <v>0.32700000000000001</v>
          </cell>
          <cell r="AX71">
            <v>0.75900000000000001</v>
          </cell>
          <cell r="AZ71">
            <v>0.30299999999999999</v>
          </cell>
          <cell r="BA71">
            <v>0.33600000000000002</v>
          </cell>
          <cell r="BB71">
            <v>0.16699999999999998</v>
          </cell>
          <cell r="BD71">
            <v>176984</v>
          </cell>
          <cell r="BE71">
            <v>60869</v>
          </cell>
          <cell r="BF71">
            <v>116115</v>
          </cell>
          <cell r="BH71">
            <v>0.30546923219786748</v>
          </cell>
          <cell r="BI71">
            <v>0.1407455066244844</v>
          </cell>
          <cell r="BJ71">
            <v>0.79039031991597131</v>
          </cell>
        </row>
        <row r="72">
          <cell r="B72">
            <v>64</v>
          </cell>
          <cell r="C72">
            <v>15</v>
          </cell>
          <cell r="D72">
            <v>1</v>
          </cell>
          <cell r="E72" t="str">
            <v>Rampur</v>
          </cell>
          <cell r="H72">
            <v>1502141</v>
          </cell>
          <cell r="I72">
            <v>1109425</v>
          </cell>
          <cell r="J72">
            <v>392716</v>
          </cell>
          <cell r="K72">
            <v>1502141</v>
          </cell>
          <cell r="L72">
            <v>1109425</v>
          </cell>
          <cell r="M72">
            <v>392716</v>
          </cell>
          <cell r="N72">
            <v>1922450</v>
          </cell>
          <cell r="O72">
            <v>1442386</v>
          </cell>
          <cell r="P72">
            <v>480064</v>
          </cell>
          <cell r="Q72">
            <v>27.45</v>
          </cell>
          <cell r="R72">
            <v>27.98</v>
          </cell>
          <cell r="S72">
            <v>2.4551949395413608E-2</v>
          </cell>
          <cell r="T72">
            <v>2.4977213459784542E-2</v>
          </cell>
          <cell r="U72">
            <v>2.4977743861476887E-2</v>
          </cell>
          <cell r="W72">
            <v>0</v>
          </cell>
          <cell r="X72">
            <v>0</v>
          </cell>
          <cell r="Y72">
            <v>0</v>
          </cell>
          <cell r="Z72">
            <v>0</v>
          </cell>
          <cell r="AA72">
            <v>0</v>
          </cell>
          <cell r="AC72">
            <v>21</v>
          </cell>
          <cell r="AD72">
            <v>21</v>
          </cell>
          <cell r="AE72">
            <v>21</v>
          </cell>
          <cell r="AF72">
            <v>21</v>
          </cell>
          <cell r="AG72">
            <v>21</v>
          </cell>
          <cell r="AI72">
            <v>2367</v>
          </cell>
          <cell r="AK72">
            <v>224785</v>
          </cell>
          <cell r="AL72">
            <v>170500</v>
          </cell>
          <cell r="AM72">
            <v>54285</v>
          </cell>
          <cell r="AN72">
            <v>224785</v>
          </cell>
          <cell r="AO72">
            <v>170500</v>
          </cell>
          <cell r="AP72">
            <v>54285</v>
          </cell>
          <cell r="AR72">
            <v>287942.8951114224</v>
          </cell>
          <cell r="AS72">
            <v>218405.42570232676</v>
          </cell>
          <cell r="AT72">
            <v>69537.469409095647</v>
          </cell>
          <cell r="AV72">
            <v>0.41</v>
          </cell>
          <cell r="AW72">
            <v>0.32700000000000001</v>
          </cell>
          <cell r="AX72">
            <v>0.75900000000000001</v>
          </cell>
          <cell r="AZ72">
            <v>0.30299999999999999</v>
          </cell>
          <cell r="BA72">
            <v>0.33600000000000002</v>
          </cell>
          <cell r="BB72">
            <v>0.16699999999999998</v>
          </cell>
          <cell r="BD72">
            <v>57996</v>
          </cell>
          <cell r="BE72">
            <v>26654</v>
          </cell>
          <cell r="BF72">
            <v>31342</v>
          </cell>
          <cell r="BH72">
            <v>0.19168311849293929</v>
          </cell>
          <cell r="BI72">
            <v>0.11614249793283994</v>
          </cell>
          <cell r="BJ72">
            <v>0.42894342622982679</v>
          </cell>
        </row>
        <row r="73">
          <cell r="B73">
            <v>65</v>
          </cell>
          <cell r="C73">
            <v>16</v>
          </cell>
          <cell r="D73">
            <v>1</v>
          </cell>
          <cell r="E73" t="str">
            <v>Muzaffarnagar</v>
          </cell>
          <cell r="H73">
            <v>2842543</v>
          </cell>
          <cell r="I73">
            <v>2143313</v>
          </cell>
          <cell r="J73">
            <v>699230</v>
          </cell>
          <cell r="K73">
            <v>2842543</v>
          </cell>
          <cell r="L73">
            <v>2143313</v>
          </cell>
          <cell r="M73">
            <v>699230</v>
          </cell>
          <cell r="N73">
            <v>3541952</v>
          </cell>
          <cell r="O73">
            <v>2638123</v>
          </cell>
          <cell r="P73">
            <v>903829</v>
          </cell>
          <cell r="Q73">
            <v>26.42</v>
          </cell>
          <cell r="R73">
            <v>24.61</v>
          </cell>
          <cell r="S73">
            <v>2.372092071282661E-2</v>
          </cell>
          <cell r="T73">
            <v>2.2245693406858003E-2</v>
          </cell>
          <cell r="U73">
            <v>2.2241628923095336E-2</v>
          </cell>
          <cell r="W73">
            <v>205</v>
          </cell>
          <cell r="X73">
            <v>205</v>
          </cell>
          <cell r="Y73">
            <v>210</v>
          </cell>
          <cell r="Z73">
            <v>210</v>
          </cell>
          <cell r="AA73">
            <v>210</v>
          </cell>
          <cell r="AC73">
            <v>9444</v>
          </cell>
          <cell r="AD73">
            <v>9585</v>
          </cell>
          <cell r="AE73">
            <v>9726</v>
          </cell>
          <cell r="AF73">
            <v>9843</v>
          </cell>
          <cell r="AG73">
            <v>9965</v>
          </cell>
          <cell r="AI73">
            <v>4008</v>
          </cell>
          <cell r="AK73">
            <v>424027</v>
          </cell>
          <cell r="AL73">
            <v>324619</v>
          </cell>
          <cell r="AM73">
            <v>99408</v>
          </cell>
          <cell r="AN73">
            <v>424027</v>
          </cell>
          <cell r="AO73">
            <v>324619</v>
          </cell>
          <cell r="AP73">
            <v>99408</v>
          </cell>
          <cell r="AR73">
            <v>543165.967415135</v>
          </cell>
          <cell r="AS73">
            <v>415827.27792412677</v>
          </cell>
          <cell r="AT73">
            <v>127338.6894910082</v>
          </cell>
          <cell r="AV73">
            <v>0.41</v>
          </cell>
          <cell r="AW73">
            <v>0.32700000000000001</v>
          </cell>
          <cell r="AX73">
            <v>0.75900000000000001</v>
          </cell>
          <cell r="AZ73">
            <v>0.30299999999999999</v>
          </cell>
          <cell r="BA73">
            <v>0.33600000000000002</v>
          </cell>
          <cell r="BB73">
            <v>0.16699999999999998</v>
          </cell>
          <cell r="BD73">
            <v>221450</v>
          </cell>
          <cell r="BE73">
            <v>130889</v>
          </cell>
          <cell r="BF73">
            <v>90561</v>
          </cell>
          <cell r="BH73">
            <v>0.38800321634736418</v>
          </cell>
          <cell r="BI73">
            <v>0.29955899607652953</v>
          </cell>
          <cell r="BJ73">
            <v>0.67681975364917191</v>
          </cell>
        </row>
        <row r="74">
          <cell r="B74">
            <v>66</v>
          </cell>
          <cell r="C74">
            <v>16</v>
          </cell>
          <cell r="D74">
            <v>1</v>
          </cell>
          <cell r="E74" t="str">
            <v>Saharanpur</v>
          </cell>
          <cell r="H74">
            <v>2309029</v>
          </cell>
          <cell r="I74">
            <v>1719377</v>
          </cell>
          <cell r="J74">
            <v>589652</v>
          </cell>
          <cell r="K74">
            <v>2309029</v>
          </cell>
          <cell r="L74">
            <v>1719377</v>
          </cell>
          <cell r="M74">
            <v>589652</v>
          </cell>
          <cell r="N74">
            <v>2848152</v>
          </cell>
          <cell r="O74">
            <v>2103408</v>
          </cell>
          <cell r="P74">
            <v>744744</v>
          </cell>
          <cell r="Q74">
            <v>26.76</v>
          </cell>
          <cell r="R74">
            <v>23.35</v>
          </cell>
          <cell r="S74">
            <v>2.3995912472692504E-2</v>
          </cell>
          <cell r="T74">
            <v>2.1207311117154015E-2</v>
          </cell>
          <cell r="U74">
            <v>2.120604646314872E-2</v>
          </cell>
          <cell r="X74">
            <v>0</v>
          </cell>
          <cell r="Y74">
            <v>0</v>
          </cell>
          <cell r="Z74">
            <v>0</v>
          </cell>
          <cell r="AA74">
            <v>0</v>
          </cell>
          <cell r="AD74">
            <v>0</v>
          </cell>
          <cell r="AE74">
            <v>0</v>
          </cell>
          <cell r="AF74">
            <v>0</v>
          </cell>
          <cell r="AG74">
            <v>0</v>
          </cell>
          <cell r="AI74">
            <v>3689</v>
          </cell>
          <cell r="AK74">
            <v>367287</v>
          </cell>
          <cell r="AL74">
            <v>275735</v>
          </cell>
          <cell r="AM74">
            <v>91552</v>
          </cell>
          <cell r="AN74">
            <v>367287</v>
          </cell>
          <cell r="AO74">
            <v>275735</v>
          </cell>
          <cell r="AP74">
            <v>91552</v>
          </cell>
          <cell r="AR74">
            <v>470483.71606997354</v>
          </cell>
          <cell r="AS74">
            <v>353208.32877437578</v>
          </cell>
          <cell r="AT74">
            <v>117275.38729559777</v>
          </cell>
          <cell r="AV74">
            <v>0.41</v>
          </cell>
          <cell r="AW74">
            <v>0.32700000000000001</v>
          </cell>
          <cell r="AX74">
            <v>0.75900000000000001</v>
          </cell>
          <cell r="AZ74">
            <v>0.30299999999999999</v>
          </cell>
          <cell r="BA74">
            <v>0.33600000000000002</v>
          </cell>
          <cell r="BB74">
            <v>0.16699999999999998</v>
          </cell>
          <cell r="BD74">
            <v>191369</v>
          </cell>
          <cell r="BE74">
            <v>94914</v>
          </cell>
          <cell r="BF74">
            <v>96455</v>
          </cell>
          <cell r="BH74">
            <v>0.38709644499907664</v>
          </cell>
          <cell r="BI74">
            <v>0.25573580250499112</v>
          </cell>
          <cell r="BJ74">
            <v>0.78272654328318492</v>
          </cell>
        </row>
        <row r="75">
          <cell r="B75">
            <v>67</v>
          </cell>
          <cell r="C75">
            <v>17</v>
          </cell>
          <cell r="D75">
            <v>4</v>
          </cell>
          <cell r="E75" t="str">
            <v>Chandauli</v>
          </cell>
          <cell r="F75" t="str">
            <v>New</v>
          </cell>
          <cell r="G75">
            <v>1</v>
          </cell>
          <cell r="H75">
            <v>0</v>
          </cell>
          <cell r="I75">
            <v>0</v>
          </cell>
          <cell r="J75">
            <v>0</v>
          </cell>
          <cell r="K75">
            <v>1298141</v>
          </cell>
          <cell r="L75">
            <v>945002</v>
          </cell>
          <cell r="M75">
            <v>353139</v>
          </cell>
          <cell r="N75">
            <v>1639777</v>
          </cell>
          <cell r="O75">
            <v>1466354</v>
          </cell>
          <cell r="P75">
            <v>173423</v>
          </cell>
          <cell r="Q75">
            <v>27.33</v>
          </cell>
          <cell r="R75">
            <v>28.63</v>
          </cell>
          <cell r="S75">
            <v>2.4455442250034265E-2</v>
          </cell>
          <cell r="T75">
            <v>2.5496605067313327E-2</v>
          </cell>
          <cell r="U75">
            <v>2.3637747266854525E-2</v>
          </cell>
          <cell r="W75">
            <v>1</v>
          </cell>
          <cell r="X75">
            <v>1</v>
          </cell>
          <cell r="Y75">
            <v>1</v>
          </cell>
          <cell r="Z75">
            <v>1</v>
          </cell>
          <cell r="AA75">
            <v>1</v>
          </cell>
          <cell r="AC75">
            <v>0</v>
          </cell>
          <cell r="AD75">
            <v>0</v>
          </cell>
          <cell r="AE75">
            <v>0</v>
          </cell>
          <cell r="AF75">
            <v>0</v>
          </cell>
          <cell r="AG75">
            <v>0</v>
          </cell>
          <cell r="AI75">
            <v>2554</v>
          </cell>
          <cell r="AK75">
            <v>0</v>
          </cell>
          <cell r="AL75">
            <v>0</v>
          </cell>
          <cell r="AM75">
            <v>0</v>
          </cell>
          <cell r="AN75">
            <v>163949</v>
          </cell>
          <cell r="AO75">
            <v>119875</v>
          </cell>
          <cell r="AP75">
            <v>44074</v>
          </cell>
          <cell r="AR75">
            <v>210013.78966845028</v>
          </cell>
          <cell r="AS75">
            <v>153556.30736695847</v>
          </cell>
          <cell r="AT75">
            <v>56457.482301491786</v>
          </cell>
          <cell r="AV75">
            <v>0.41</v>
          </cell>
          <cell r="AW75">
            <v>0.32700000000000001</v>
          </cell>
          <cell r="AX75">
            <v>0.75900000000000001</v>
          </cell>
          <cell r="AZ75">
            <v>0.30299999999999999</v>
          </cell>
          <cell r="BA75">
            <v>0.33600000000000002</v>
          </cell>
          <cell r="BB75">
            <v>0.16699999999999998</v>
          </cell>
          <cell r="BD75">
            <v>28022</v>
          </cell>
          <cell r="BE75">
            <v>18573</v>
          </cell>
          <cell r="BF75">
            <v>9449</v>
          </cell>
          <cell r="BH75">
            <v>0.12698239354220275</v>
          </cell>
          <cell r="BI75">
            <v>0.11510828698016799</v>
          </cell>
          <cell r="BJ75">
            <v>0.15927827147758239</v>
          </cell>
        </row>
        <row r="76">
          <cell r="B76">
            <v>68</v>
          </cell>
          <cell r="C76">
            <v>17</v>
          </cell>
          <cell r="D76">
            <v>4</v>
          </cell>
          <cell r="E76" t="str">
            <v>Ghazipur</v>
          </cell>
          <cell r="H76">
            <v>2416617</v>
          </cell>
          <cell r="I76">
            <v>2238315</v>
          </cell>
          <cell r="J76">
            <v>178302</v>
          </cell>
          <cell r="K76">
            <v>2416617</v>
          </cell>
          <cell r="L76">
            <v>2238315</v>
          </cell>
          <cell r="M76">
            <v>178302</v>
          </cell>
          <cell r="N76">
            <v>3049337</v>
          </cell>
          <cell r="O76">
            <v>2816348</v>
          </cell>
          <cell r="P76">
            <v>232989</v>
          </cell>
          <cell r="Q76">
            <v>24.27</v>
          </cell>
          <cell r="R76">
            <v>26.18</v>
          </cell>
          <cell r="S76">
            <v>2.1966429283679201E-2</v>
          </cell>
          <cell r="T76">
            <v>2.3526407844567165E-2</v>
          </cell>
          <cell r="U76">
            <v>2.352807503969867E-2</v>
          </cell>
          <cell r="W76">
            <v>844</v>
          </cell>
          <cell r="X76">
            <v>848</v>
          </cell>
          <cell r="Y76">
            <v>857</v>
          </cell>
          <cell r="Z76">
            <v>857</v>
          </cell>
          <cell r="AA76">
            <v>857</v>
          </cell>
          <cell r="AC76">
            <v>15254</v>
          </cell>
          <cell r="AD76">
            <v>15405</v>
          </cell>
          <cell r="AE76">
            <v>15893</v>
          </cell>
          <cell r="AF76">
            <v>16403</v>
          </cell>
          <cell r="AG76">
            <v>16520</v>
          </cell>
          <cell r="AI76">
            <v>3377</v>
          </cell>
          <cell r="AK76">
            <v>341149</v>
          </cell>
          <cell r="AL76">
            <v>318075</v>
          </cell>
          <cell r="AM76">
            <v>23074</v>
          </cell>
          <cell r="AN76">
            <v>341149</v>
          </cell>
          <cell r="AO76">
            <v>318075</v>
          </cell>
          <cell r="AP76">
            <v>23074</v>
          </cell>
          <cell r="AR76">
            <v>437001.7159702233</v>
          </cell>
          <cell r="AS76">
            <v>407444.60868192132</v>
          </cell>
          <cell r="AT76">
            <v>29557.107288301981</v>
          </cell>
          <cell r="AV76">
            <v>0.41</v>
          </cell>
          <cell r="AW76">
            <v>0.32700000000000001</v>
          </cell>
          <cell r="AX76">
            <v>0.75900000000000001</v>
          </cell>
          <cell r="AZ76">
            <v>0.30299999999999999</v>
          </cell>
          <cell r="BA76">
            <v>0.33600000000000002</v>
          </cell>
          <cell r="BB76">
            <v>0.16699999999999998</v>
          </cell>
          <cell r="BD76">
            <v>108922</v>
          </cell>
          <cell r="BE76">
            <v>87767</v>
          </cell>
          <cell r="BF76">
            <v>21155</v>
          </cell>
          <cell r="BH76">
            <v>0.23720544661178103</v>
          </cell>
          <cell r="BI76">
            <v>0.20500047638641103</v>
          </cell>
          <cell r="BJ76">
            <v>0.68115083555321121</v>
          </cell>
        </row>
        <row r="77">
          <cell r="B77">
            <v>69</v>
          </cell>
          <cell r="C77">
            <v>17</v>
          </cell>
          <cell r="D77">
            <v>4</v>
          </cell>
          <cell r="E77" t="str">
            <v>Jaunpur</v>
          </cell>
          <cell r="H77">
            <v>3214636</v>
          </cell>
          <cell r="I77">
            <v>2993297</v>
          </cell>
          <cell r="J77">
            <v>221339</v>
          </cell>
          <cell r="K77">
            <v>3214636</v>
          </cell>
          <cell r="L77">
            <v>2993297</v>
          </cell>
          <cell r="M77">
            <v>221339</v>
          </cell>
          <cell r="N77">
            <v>3911305</v>
          </cell>
          <cell r="O77">
            <v>3622168</v>
          </cell>
          <cell r="P77">
            <v>289137</v>
          </cell>
          <cell r="Q77">
            <v>26.92</v>
          </cell>
          <cell r="R77">
            <v>21.67</v>
          </cell>
          <cell r="S77">
            <v>2.4125090730155119E-2</v>
          </cell>
          <cell r="T77">
            <v>1.9807850391679871E-2</v>
          </cell>
          <cell r="U77">
            <v>1.9809346460711197E-2</v>
          </cell>
          <cell r="X77">
            <v>0</v>
          </cell>
          <cell r="Y77">
            <v>0</v>
          </cell>
          <cell r="Z77">
            <v>0</v>
          </cell>
          <cell r="AA77">
            <v>0</v>
          </cell>
          <cell r="AD77">
            <v>0</v>
          </cell>
          <cell r="AE77">
            <v>0</v>
          </cell>
          <cell r="AF77">
            <v>0</v>
          </cell>
          <cell r="AG77">
            <v>0</v>
          </cell>
          <cell r="AI77">
            <v>4038</v>
          </cell>
          <cell r="AK77">
            <v>416729</v>
          </cell>
          <cell r="AL77">
            <v>387440</v>
          </cell>
          <cell r="AM77">
            <v>29289</v>
          </cell>
          <cell r="AN77">
            <v>416729</v>
          </cell>
          <cell r="AO77">
            <v>387440</v>
          </cell>
          <cell r="AP77">
            <v>29289</v>
          </cell>
          <cell r="AR77">
            <v>533817.44661293214</v>
          </cell>
          <cell r="AS77">
            <v>496299.10929096473</v>
          </cell>
          <cell r="AT77">
            <v>37518.337321967439</v>
          </cell>
          <cell r="AV77">
            <v>0.41</v>
          </cell>
          <cell r="AW77">
            <v>0.32700000000000001</v>
          </cell>
          <cell r="AX77">
            <v>0.75900000000000001</v>
          </cell>
          <cell r="AZ77">
            <v>0.30299999999999999</v>
          </cell>
          <cell r="BA77">
            <v>0.33600000000000002</v>
          </cell>
          <cell r="BB77">
            <v>0.16699999999999998</v>
          </cell>
          <cell r="BD77">
            <v>125326</v>
          </cell>
          <cell r="BE77">
            <v>93244</v>
          </cell>
          <cell r="BF77">
            <v>32082</v>
          </cell>
          <cell r="BH77">
            <v>0.2234295480609054</v>
          </cell>
          <cell r="BI77">
            <v>0.17880085532411252</v>
          </cell>
          <cell r="BJ77">
            <v>0.8137856788247767</v>
          </cell>
        </row>
        <row r="78">
          <cell r="B78">
            <v>70</v>
          </cell>
          <cell r="C78">
            <v>17</v>
          </cell>
          <cell r="D78">
            <v>4</v>
          </cell>
          <cell r="E78" t="str">
            <v>Varanasi</v>
          </cell>
          <cell r="F78" t="str">
            <v>Split</v>
          </cell>
          <cell r="G78">
            <v>2</v>
          </cell>
          <cell r="H78">
            <v>4860582</v>
          </cell>
          <cell r="I78">
            <v>3538334</v>
          </cell>
          <cell r="J78">
            <v>1322248</v>
          </cell>
          <cell r="K78">
            <v>2492077</v>
          </cell>
          <cell r="L78">
            <v>1814145</v>
          </cell>
          <cell r="M78">
            <v>677932</v>
          </cell>
          <cell r="N78">
            <v>3147927</v>
          </cell>
          <cell r="O78">
            <v>1879405</v>
          </cell>
          <cell r="P78">
            <v>1268522</v>
          </cell>
          <cell r="Q78">
            <v>30.65</v>
          </cell>
          <cell r="R78">
            <v>25.51</v>
          </cell>
          <cell r="S78">
            <v>2.7095771857297279E-2</v>
          </cell>
          <cell r="T78">
            <v>2.2981625140236606E-2</v>
          </cell>
          <cell r="U78">
            <v>2.3637811315496915E-2</v>
          </cell>
          <cell r="W78">
            <v>296</v>
          </cell>
          <cell r="X78">
            <v>300</v>
          </cell>
          <cell r="Y78">
            <v>302</v>
          </cell>
          <cell r="Z78">
            <v>302</v>
          </cell>
          <cell r="AA78">
            <v>302</v>
          </cell>
          <cell r="AC78">
            <v>6029</v>
          </cell>
          <cell r="AD78">
            <v>6070</v>
          </cell>
          <cell r="AE78">
            <v>6154</v>
          </cell>
          <cell r="AF78">
            <v>6214</v>
          </cell>
          <cell r="AG78">
            <v>6249</v>
          </cell>
          <cell r="AI78">
            <v>1578</v>
          </cell>
          <cell r="AK78">
            <v>613863</v>
          </cell>
          <cell r="AL78">
            <v>448837</v>
          </cell>
          <cell r="AM78">
            <v>165026</v>
          </cell>
          <cell r="AN78">
            <v>314734</v>
          </cell>
          <cell r="AO78">
            <v>230123</v>
          </cell>
          <cell r="AP78">
            <v>84611</v>
          </cell>
          <cell r="AR78">
            <v>403164.88711434673</v>
          </cell>
          <cell r="AS78">
            <v>294780.71424572752</v>
          </cell>
          <cell r="AT78">
            <v>108384.17286861918</v>
          </cell>
          <cell r="AV78">
            <v>0.41</v>
          </cell>
          <cell r="AW78">
            <v>0.32700000000000001</v>
          </cell>
          <cell r="AX78">
            <v>0.75900000000000001</v>
          </cell>
          <cell r="AZ78">
            <v>0.30299999999999999</v>
          </cell>
          <cell r="BA78">
            <v>0.33600000000000002</v>
          </cell>
          <cell r="BB78">
            <v>0.16699999999999998</v>
          </cell>
          <cell r="BD78">
            <v>218343</v>
          </cell>
          <cell r="BE78">
            <v>79568</v>
          </cell>
          <cell r="BF78">
            <v>138775</v>
          </cell>
          <cell r="BH78">
            <v>0.51540516235749068</v>
          </cell>
          <cell r="BI78">
            <v>0.25688075389999671</v>
          </cell>
          <cell r="BJ78">
            <v>1.2185337443085831</v>
          </cell>
        </row>
      </sheetData>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Basis"/>
      <sheetName val="Division"/>
      <sheetName val="Group"/>
      <sheetName val="Fore_Sum"/>
      <sheetName val="Individ"/>
      <sheetName val="2003_Sum"/>
      <sheetName val="Adjustments"/>
      <sheetName val="E_Div"/>
      <sheetName val="Utility"/>
      <sheetName val="Admin"/>
      <sheetName val="Region"/>
      <sheetName val="Sens"/>
      <sheetName val="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v>1</v>
          </cell>
        </row>
        <row r="92">
          <cell r="B92">
            <v>1</v>
          </cell>
          <cell r="C92">
            <v>1</v>
          </cell>
          <cell r="D92" t="str">
            <v xml:space="preserve">Agra </v>
          </cell>
          <cell r="K92">
            <v>13072987</v>
          </cell>
          <cell r="L92">
            <v>9721444</v>
          </cell>
          <cell r="M92">
            <v>3351543</v>
          </cell>
          <cell r="N92">
            <v>16431521</v>
          </cell>
          <cell r="O92">
            <v>11828633</v>
          </cell>
          <cell r="P92">
            <v>4602888</v>
          </cell>
          <cell r="R92">
            <v>2.3128762111950696E-2</v>
          </cell>
          <cell r="S92">
            <v>1.9812610326953362E-2</v>
          </cell>
          <cell r="T92">
            <v>3.2234953820124757E-2</v>
          </cell>
          <cell r="W92">
            <v>2525</v>
          </cell>
          <cell r="X92">
            <v>2552</v>
          </cell>
          <cell r="AC92">
            <v>79288</v>
          </cell>
          <cell r="AD92">
            <v>95744</v>
          </cell>
          <cell r="AI92">
            <v>22410</v>
          </cell>
          <cell r="AK92">
            <v>1961065</v>
          </cell>
          <cell r="AL92">
            <v>1491857</v>
          </cell>
          <cell r="AM92">
            <v>469208</v>
          </cell>
          <cell r="AR92">
            <v>2512065.9012019555</v>
          </cell>
          <cell r="AS92">
            <v>1911024.4174310621</v>
          </cell>
          <cell r="AT92">
            <v>601041.48377089342</v>
          </cell>
        </row>
        <row r="93">
          <cell r="B93">
            <v>2</v>
          </cell>
          <cell r="C93">
            <v>3</v>
          </cell>
          <cell r="D93" t="str">
            <v xml:space="preserve">Azamgarh </v>
          </cell>
          <cell r="K93">
            <v>6861940</v>
          </cell>
          <cell r="L93">
            <v>6168139</v>
          </cell>
          <cell r="M93">
            <v>693801</v>
          </cell>
          <cell r="N93">
            <v>8552514</v>
          </cell>
          <cell r="O93">
            <v>7622197</v>
          </cell>
          <cell r="P93">
            <v>930317</v>
          </cell>
          <cell r="R93">
            <v>2.2267815069423769E-2</v>
          </cell>
          <cell r="S93">
            <v>2.1392352231079936E-2</v>
          </cell>
          <cell r="T93">
            <v>2.9768501588691709E-2</v>
          </cell>
          <cell r="W93">
            <v>881</v>
          </cell>
          <cell r="X93">
            <v>887</v>
          </cell>
          <cell r="AC93">
            <v>31642</v>
          </cell>
          <cell r="AD93">
            <v>33319</v>
          </cell>
          <cell r="AI93">
            <v>8904</v>
          </cell>
          <cell r="AK93">
            <v>913448</v>
          </cell>
          <cell r="AL93">
            <v>831824</v>
          </cell>
          <cell r="AM93">
            <v>81624</v>
          </cell>
          <cell r="AR93">
            <v>1170099.7026213431</v>
          </cell>
          <cell r="AS93">
            <v>1065541.7878557905</v>
          </cell>
          <cell r="AT93">
            <v>104557.91476555262</v>
          </cell>
        </row>
        <row r="94">
          <cell r="B94">
            <v>3</v>
          </cell>
          <cell r="C94">
            <v>2</v>
          </cell>
          <cell r="D94" t="str">
            <v xml:space="preserve">Allahabad </v>
          </cell>
          <cell r="K94">
            <v>9031254</v>
          </cell>
          <cell r="L94">
            <v>7698775</v>
          </cell>
          <cell r="M94">
            <v>1332479</v>
          </cell>
          <cell r="N94">
            <v>11269450</v>
          </cell>
          <cell r="O94">
            <v>9582276</v>
          </cell>
          <cell r="P94">
            <v>1687174</v>
          </cell>
          <cell r="R94">
            <v>2.2387347888586762E-2</v>
          </cell>
          <cell r="S94">
            <v>2.2126633536880602E-2</v>
          </cell>
          <cell r="T94">
            <v>2.3882098989907563E-2</v>
          </cell>
          <cell r="W94">
            <v>1577</v>
          </cell>
          <cell r="X94">
            <v>1602</v>
          </cell>
          <cell r="AC94">
            <v>46930</v>
          </cell>
          <cell r="AD94">
            <v>42143</v>
          </cell>
          <cell r="AI94">
            <v>15130</v>
          </cell>
          <cell r="AK94">
            <v>1466236</v>
          </cell>
          <cell r="AL94">
            <v>1265392</v>
          </cell>
          <cell r="AM94">
            <v>200844</v>
          </cell>
          <cell r="AR94">
            <v>1878204.6789447318</v>
          </cell>
          <cell r="AS94">
            <v>1620929.4923185846</v>
          </cell>
          <cell r="AT94">
            <v>257275.1866261473</v>
          </cell>
        </row>
        <row r="95">
          <cell r="B95">
            <v>4</v>
          </cell>
          <cell r="C95">
            <v>1</v>
          </cell>
          <cell r="D95" t="str">
            <v xml:space="preserve">Bareilly </v>
          </cell>
          <cell r="K95">
            <v>8553452</v>
          </cell>
          <cell r="L95">
            <v>6543195</v>
          </cell>
          <cell r="M95">
            <v>2010257</v>
          </cell>
          <cell r="N95">
            <v>10861192</v>
          </cell>
          <cell r="O95">
            <v>8310267</v>
          </cell>
          <cell r="P95">
            <v>2550925</v>
          </cell>
          <cell r="R95">
            <v>2.4173670660821989E-2</v>
          </cell>
          <cell r="S95">
            <v>2.4194670032591015E-2</v>
          </cell>
          <cell r="T95">
            <v>2.4105292860051142E-2</v>
          </cell>
          <cell r="W95">
            <v>686</v>
          </cell>
          <cell r="X95">
            <v>688</v>
          </cell>
          <cell r="AC95">
            <v>14369</v>
          </cell>
          <cell r="AD95">
            <v>15217</v>
          </cell>
          <cell r="AI95">
            <v>17362</v>
          </cell>
          <cell r="AK95">
            <v>1283676</v>
          </cell>
          <cell r="AL95">
            <v>1004893</v>
          </cell>
          <cell r="AM95">
            <v>278783</v>
          </cell>
          <cell r="AR95">
            <v>1644350.7521634018</v>
          </cell>
          <cell r="AS95">
            <v>1287238.0261013974</v>
          </cell>
          <cell r="AT95">
            <v>357112.72606200445</v>
          </cell>
        </row>
        <row r="96">
          <cell r="B96">
            <v>5</v>
          </cell>
          <cell r="C96">
            <v>3</v>
          </cell>
          <cell r="D96" t="str">
            <v xml:space="preserve">Basti </v>
          </cell>
          <cell r="K96">
            <v>4446407</v>
          </cell>
          <cell r="L96">
            <v>4211073</v>
          </cell>
          <cell r="M96">
            <v>235334</v>
          </cell>
          <cell r="N96">
            <v>5532020</v>
          </cell>
          <cell r="O96">
            <v>5237887</v>
          </cell>
          <cell r="P96">
            <v>294133</v>
          </cell>
          <cell r="R96">
            <v>2.2086031185979405E-2</v>
          </cell>
          <cell r="S96">
            <v>2.2059867482047801E-2</v>
          </cell>
          <cell r="T96">
            <v>2.2553189273764707E-2</v>
          </cell>
          <cell r="W96">
            <v>409</v>
          </cell>
          <cell r="X96">
            <v>411</v>
          </cell>
          <cell r="AC96">
            <v>18968</v>
          </cell>
          <cell r="AD96">
            <v>20250</v>
          </cell>
          <cell r="AI96">
            <v>7228</v>
          </cell>
          <cell r="AK96">
            <v>676346</v>
          </cell>
          <cell r="AL96">
            <v>643009</v>
          </cell>
          <cell r="AM96">
            <v>33337</v>
          </cell>
          <cell r="AR96">
            <v>866379.0970795654</v>
          </cell>
          <cell r="AS96">
            <v>823675.39223124599</v>
          </cell>
          <cell r="AT96">
            <v>42703.704848319459</v>
          </cell>
        </row>
        <row r="97">
          <cell r="B97">
            <v>6</v>
          </cell>
          <cell r="C97">
            <v>4</v>
          </cell>
          <cell r="D97" t="str">
            <v xml:space="preserve">Chitrakoot Dham </v>
          </cell>
          <cell r="K97">
            <v>3328630</v>
          </cell>
          <cell r="L97">
            <v>2834564</v>
          </cell>
          <cell r="M97">
            <v>494066</v>
          </cell>
          <cell r="N97">
            <v>4052050</v>
          </cell>
          <cell r="O97">
            <v>3403287</v>
          </cell>
          <cell r="P97">
            <v>648763</v>
          </cell>
          <cell r="R97">
            <v>1.9860865680851214E-2</v>
          </cell>
          <cell r="S97">
            <v>1.8453560412345249E-2</v>
          </cell>
          <cell r="T97">
            <v>2.7614232232819003E-2</v>
          </cell>
          <cell r="W97">
            <v>1283</v>
          </cell>
          <cell r="X97">
            <v>1287</v>
          </cell>
          <cell r="AC97">
            <v>32612</v>
          </cell>
          <cell r="AD97">
            <v>34464</v>
          </cell>
          <cell r="AI97">
            <v>14790</v>
          </cell>
          <cell r="AK97">
            <v>539005</v>
          </cell>
          <cell r="AL97">
            <v>459664</v>
          </cell>
          <cell r="AM97">
            <v>79341</v>
          </cell>
          <cell r="AR97">
            <v>690449.36352306535</v>
          </cell>
          <cell r="AS97">
            <v>588815.90381251811</v>
          </cell>
          <cell r="AT97">
            <v>101633.45971054726</v>
          </cell>
        </row>
        <row r="98">
          <cell r="B98">
            <v>7</v>
          </cell>
          <cell r="C98">
            <v>2</v>
          </cell>
          <cell r="D98" t="str">
            <v xml:space="preserve">Devi Patan </v>
          </cell>
          <cell r="K98">
            <v>6336825</v>
          </cell>
          <cell r="L98">
            <v>5855193</v>
          </cell>
          <cell r="M98">
            <v>481632</v>
          </cell>
          <cell r="N98">
            <v>8009988</v>
          </cell>
          <cell r="O98">
            <v>7407156</v>
          </cell>
          <cell r="P98">
            <v>602832</v>
          </cell>
          <cell r="R98">
            <v>2.3707806678628041E-2</v>
          </cell>
          <cell r="S98">
            <v>2.3790340468880622E-2</v>
          </cell>
          <cell r="T98">
            <v>2.2699624226915516E-2</v>
          </cell>
          <cell r="W98">
            <v>1589</v>
          </cell>
          <cell r="X98">
            <v>1621</v>
          </cell>
          <cell r="AC98">
            <v>10727</v>
          </cell>
          <cell r="AD98">
            <v>11178</v>
          </cell>
          <cell r="AI98">
            <v>14229</v>
          </cell>
          <cell r="AK98">
            <v>1009008</v>
          </cell>
          <cell r="AL98">
            <v>942268</v>
          </cell>
          <cell r="AM98">
            <v>66740</v>
          </cell>
          <cell r="AR98">
            <v>1292509.2186337439</v>
          </cell>
          <cell r="AS98">
            <v>1207017.2649013493</v>
          </cell>
          <cell r="AT98">
            <v>85491.953732394642</v>
          </cell>
        </row>
        <row r="99">
          <cell r="B99">
            <v>8</v>
          </cell>
          <cell r="C99">
            <v>2</v>
          </cell>
          <cell r="D99" t="str">
            <v xml:space="preserve">Faizabad </v>
          </cell>
          <cell r="K99">
            <v>7960590</v>
          </cell>
          <cell r="L99">
            <v>7274321</v>
          </cell>
          <cell r="M99">
            <v>686269</v>
          </cell>
          <cell r="N99">
            <v>9977607</v>
          </cell>
          <cell r="O99">
            <v>9115521</v>
          </cell>
          <cell r="P99">
            <v>862086</v>
          </cell>
          <cell r="R99">
            <v>2.2840966000976515E-2</v>
          </cell>
          <cell r="S99">
            <v>2.2819274367883224E-2</v>
          </cell>
          <cell r="T99">
            <v>2.3070639036858021E-2</v>
          </cell>
          <cell r="W99">
            <v>1261</v>
          </cell>
          <cell r="X99">
            <v>1283</v>
          </cell>
          <cell r="AC99">
            <v>20688</v>
          </cell>
          <cell r="AD99">
            <v>22035</v>
          </cell>
          <cell r="AI99">
            <v>13397</v>
          </cell>
          <cell r="AK99">
            <v>1318407</v>
          </cell>
          <cell r="AL99">
            <v>1218567</v>
          </cell>
          <cell r="AM99">
            <v>99840</v>
          </cell>
          <cell r="AR99">
            <v>1688840.1295245015</v>
          </cell>
          <cell r="AS99">
            <v>1560948.0608903649</v>
          </cell>
          <cell r="AT99">
            <v>127892.06863413667</v>
          </cell>
        </row>
        <row r="100">
          <cell r="B100">
            <v>9</v>
          </cell>
          <cell r="C100">
            <v>3</v>
          </cell>
          <cell r="D100" t="str">
            <v xml:space="preserve">Gorakhpur </v>
          </cell>
          <cell r="K100">
            <v>9182404</v>
          </cell>
          <cell r="L100">
            <v>8198084</v>
          </cell>
          <cell r="M100">
            <v>984320</v>
          </cell>
          <cell r="N100">
            <v>11574070</v>
          </cell>
          <cell r="O100">
            <v>10320457</v>
          </cell>
          <cell r="P100">
            <v>1253613</v>
          </cell>
          <cell r="R100">
            <v>2.341781072246385E-2</v>
          </cell>
          <cell r="S100">
            <v>2.328982665592827E-2</v>
          </cell>
          <cell r="T100">
            <v>2.4478191364251778E-2</v>
          </cell>
          <cell r="W100">
            <v>1997</v>
          </cell>
          <cell r="X100">
            <v>2014</v>
          </cell>
          <cell r="AC100">
            <v>22604</v>
          </cell>
          <cell r="AD100">
            <v>23350</v>
          </cell>
          <cell r="AI100">
            <v>11717</v>
          </cell>
          <cell r="AK100">
            <v>1328145</v>
          </cell>
          <cell r="AL100">
            <v>1189827</v>
          </cell>
          <cell r="AM100">
            <v>138318</v>
          </cell>
          <cell r="AR100">
            <v>1701314.2177091895</v>
          </cell>
          <cell r="AS100">
            <v>1524132.9762294567</v>
          </cell>
          <cell r="AT100">
            <v>177181.24147973274</v>
          </cell>
        </row>
        <row r="101">
          <cell r="B101">
            <v>10</v>
          </cell>
          <cell r="C101">
            <v>4</v>
          </cell>
          <cell r="D101" t="str">
            <v xml:space="preserve">Jhansi </v>
          </cell>
          <cell r="K101">
            <v>3401118</v>
          </cell>
          <cell r="L101">
            <v>2460017</v>
          </cell>
          <cell r="M101">
            <v>941101</v>
          </cell>
          <cell r="N101">
            <v>4180021</v>
          </cell>
          <cell r="O101">
            <v>2980161</v>
          </cell>
          <cell r="P101">
            <v>1199860</v>
          </cell>
          <cell r="R101">
            <v>2.0835293061550741E-2</v>
          </cell>
          <cell r="S101">
            <v>1.9366041922997956E-2</v>
          </cell>
          <cell r="T101">
            <v>2.4588398583732074E-2</v>
          </cell>
          <cell r="W101">
            <v>1211</v>
          </cell>
          <cell r="X101">
            <v>1223</v>
          </cell>
          <cell r="AC101">
            <v>21505</v>
          </cell>
          <cell r="AD101">
            <v>23781</v>
          </cell>
          <cell r="AI101">
            <v>14628</v>
          </cell>
          <cell r="AK101">
            <v>542111</v>
          </cell>
          <cell r="AL101">
            <v>401176</v>
          </cell>
          <cell r="AM101">
            <v>140935</v>
          </cell>
          <cell r="AR101">
            <v>694428.05708453991</v>
          </cell>
          <cell r="AS101">
            <v>513894.51649006829</v>
          </cell>
          <cell r="AT101">
            <v>180533.54059447168</v>
          </cell>
        </row>
        <row r="102">
          <cell r="B102">
            <v>11</v>
          </cell>
          <cell r="C102">
            <v>2</v>
          </cell>
          <cell r="D102" t="str">
            <v xml:space="preserve">Kanpur </v>
          </cell>
          <cell r="K102">
            <v>9121725</v>
          </cell>
          <cell r="L102">
            <v>6174027</v>
          </cell>
          <cell r="M102">
            <v>2947698</v>
          </cell>
          <cell r="N102">
            <v>11203517</v>
          </cell>
          <cell r="O102">
            <v>7273236</v>
          </cell>
          <cell r="P102">
            <v>3930281</v>
          </cell>
          <cell r="R102">
            <v>2.0769629594222128E-2</v>
          </cell>
          <cell r="S102">
            <v>1.6519971302385139E-2</v>
          </cell>
          <cell r="T102">
            <v>2.9186454128955708E-2</v>
          </cell>
          <cell r="W102">
            <v>2402</v>
          </cell>
          <cell r="X102">
            <v>2420</v>
          </cell>
          <cell r="AC102">
            <v>99521</v>
          </cell>
          <cell r="AD102">
            <v>104186</v>
          </cell>
          <cell r="AI102">
            <v>14790</v>
          </cell>
          <cell r="AK102">
            <v>1411991</v>
          </cell>
          <cell r="AL102">
            <v>962542</v>
          </cell>
          <cell r="AM102">
            <v>449449</v>
          </cell>
          <cell r="AR102">
            <v>1808718.4483451853</v>
          </cell>
          <cell r="AS102">
            <v>1232987.6555212259</v>
          </cell>
          <cell r="AT102">
            <v>575730.79282395926</v>
          </cell>
        </row>
        <row r="103">
          <cell r="B103">
            <v>12</v>
          </cell>
          <cell r="C103">
            <v>2</v>
          </cell>
          <cell r="D103" t="str">
            <v xml:space="preserve">Lucknow </v>
          </cell>
          <cell r="K103">
            <v>15309333</v>
          </cell>
          <cell r="L103">
            <v>12144645</v>
          </cell>
          <cell r="M103">
            <v>3164688</v>
          </cell>
          <cell r="N103">
            <v>19468107</v>
          </cell>
          <cell r="O103">
            <v>15256330</v>
          </cell>
          <cell r="P103">
            <v>4211777</v>
          </cell>
          <cell r="R103">
            <v>2.4322577984918103E-2</v>
          </cell>
          <cell r="S103">
            <v>2.3072768302980107E-2</v>
          </cell>
          <cell r="T103">
            <v>2.899543205723254E-2</v>
          </cell>
          <cell r="W103">
            <v>3795</v>
          </cell>
          <cell r="X103">
            <v>3840</v>
          </cell>
          <cell r="AC103">
            <v>60698</v>
          </cell>
          <cell r="AD103">
            <v>63729</v>
          </cell>
          <cell r="AI103">
            <v>31081</v>
          </cell>
          <cell r="AK103">
            <v>2523484</v>
          </cell>
          <cell r="AL103">
            <v>2035291</v>
          </cell>
          <cell r="AM103">
            <v>488193</v>
          </cell>
          <cell r="AR103">
            <v>3232507.9018944893</v>
          </cell>
          <cell r="AS103">
            <v>2607147.1981414333</v>
          </cell>
          <cell r="AT103">
            <v>625360.70375305577</v>
          </cell>
        </row>
        <row r="104">
          <cell r="B104">
            <v>13</v>
          </cell>
          <cell r="C104">
            <v>1</v>
          </cell>
          <cell r="D104" t="str">
            <v xml:space="preserve">Meerut </v>
          </cell>
          <cell r="K104">
            <v>9001704</v>
          </cell>
          <cell r="L104">
            <v>5884092</v>
          </cell>
          <cell r="M104">
            <v>3117612</v>
          </cell>
          <cell r="N104">
            <v>11570117</v>
          </cell>
          <cell r="O104">
            <v>6955440</v>
          </cell>
          <cell r="P104">
            <v>4614677</v>
          </cell>
          <cell r="R104">
            <v>2.5418863133622738E-2</v>
          </cell>
          <cell r="S104">
            <v>1.6867847231091471E-2</v>
          </cell>
          <cell r="T104">
            <v>3.9996611753870814E-2</v>
          </cell>
          <cell r="W104">
            <v>1562</v>
          </cell>
          <cell r="X104">
            <v>1582</v>
          </cell>
          <cell r="AC104">
            <v>51529</v>
          </cell>
          <cell r="AD104">
            <v>55862</v>
          </cell>
          <cell r="AI104">
            <v>10854</v>
          </cell>
          <cell r="AK104">
            <v>1347547</v>
          </cell>
          <cell r="AL104">
            <v>872503</v>
          </cell>
          <cell r="AM104">
            <v>475044</v>
          </cell>
          <cell r="AR104">
            <v>1726167.6022808994</v>
          </cell>
          <cell r="AS104">
            <v>1117650.3761968166</v>
          </cell>
          <cell r="AT104">
            <v>608517.22608408285</v>
          </cell>
        </row>
        <row r="105">
          <cell r="B105">
            <v>14</v>
          </cell>
          <cell r="C105">
            <v>3</v>
          </cell>
          <cell r="D105" t="str">
            <v xml:space="preserve">Vindhyachai  </v>
          </cell>
          <cell r="K105">
            <v>3802544</v>
          </cell>
          <cell r="L105">
            <v>3138644</v>
          </cell>
          <cell r="M105">
            <v>663900</v>
          </cell>
          <cell r="N105">
            <v>4930376</v>
          </cell>
          <cell r="O105">
            <v>4194279</v>
          </cell>
          <cell r="P105">
            <v>736097</v>
          </cell>
          <cell r="R105">
            <v>2.6314770593362846E-2</v>
          </cell>
          <cell r="S105">
            <v>2.9417449712510813E-2</v>
          </cell>
          <cell r="T105">
            <v>1.0376503144019056E-2</v>
          </cell>
          <cell r="W105">
            <v>1816</v>
          </cell>
          <cell r="X105">
            <v>1836</v>
          </cell>
          <cell r="AC105">
            <v>15630</v>
          </cell>
          <cell r="AD105">
            <v>17177</v>
          </cell>
          <cell r="AI105">
            <v>12270</v>
          </cell>
          <cell r="AK105">
            <v>561672</v>
          </cell>
          <cell r="AL105">
            <v>465685</v>
          </cell>
          <cell r="AM105">
            <v>95987</v>
          </cell>
          <cell r="AR105">
            <v>719485.11592420691</v>
          </cell>
          <cell r="AS105">
            <v>596528.62561987119</v>
          </cell>
          <cell r="AT105">
            <v>122956.49030433572</v>
          </cell>
        </row>
        <row r="106">
          <cell r="B106">
            <v>15</v>
          </cell>
          <cell r="C106">
            <v>1</v>
          </cell>
          <cell r="D106" t="str">
            <v xml:space="preserve">Moradabad </v>
          </cell>
          <cell r="K106">
            <v>8077697</v>
          </cell>
          <cell r="L106">
            <v>5930160</v>
          </cell>
          <cell r="M106">
            <v>2147537</v>
          </cell>
          <cell r="N106">
            <v>10301859</v>
          </cell>
          <cell r="O106">
            <v>7527297</v>
          </cell>
          <cell r="P106">
            <v>2774562</v>
          </cell>
          <cell r="R106">
            <v>2.4619942189203048E-2</v>
          </cell>
          <cell r="S106">
            <v>2.4135131138160792E-2</v>
          </cell>
          <cell r="T106">
            <v>2.5948067795545704E-2</v>
          </cell>
          <cell r="W106">
            <v>1615</v>
          </cell>
          <cell r="X106">
            <v>1625</v>
          </cell>
          <cell r="AC106">
            <v>34195</v>
          </cell>
          <cell r="AD106">
            <v>35850</v>
          </cell>
          <cell r="AI106">
            <v>12896</v>
          </cell>
          <cell r="AK106">
            <v>1200210</v>
          </cell>
          <cell r="AL106">
            <v>906736</v>
          </cell>
          <cell r="AM106">
            <v>293474</v>
          </cell>
          <cell r="AR106">
            <v>1537433.2902181209</v>
          </cell>
          <cell r="AS106">
            <v>1161501.8303790321</v>
          </cell>
          <cell r="AT106">
            <v>375931.45983908878</v>
          </cell>
        </row>
        <row r="107">
          <cell r="B107">
            <v>16</v>
          </cell>
          <cell r="C107">
            <v>1</v>
          </cell>
          <cell r="D107" t="str">
            <v xml:space="preserve">Saharanpur </v>
          </cell>
          <cell r="K107">
            <v>6449713</v>
          </cell>
          <cell r="L107">
            <v>4807692</v>
          </cell>
          <cell r="M107">
            <v>1642021</v>
          </cell>
          <cell r="N107">
            <v>8029881</v>
          </cell>
          <cell r="O107">
            <v>6207885</v>
          </cell>
          <cell r="P107">
            <v>1821996</v>
          </cell>
          <cell r="R107">
            <v>2.2155269630148133E-2</v>
          </cell>
          <cell r="S107">
            <v>2.5889778170929079E-2</v>
          </cell>
          <cell r="T107">
            <v>1.0454753308902776E-2</v>
          </cell>
          <cell r="W107">
            <v>206</v>
          </cell>
          <cell r="X107">
            <v>211</v>
          </cell>
          <cell r="AC107">
            <v>9444</v>
          </cell>
          <cell r="AD107">
            <v>9965</v>
          </cell>
          <cell r="AI107">
            <v>10251</v>
          </cell>
          <cell r="AK107">
            <v>955263</v>
          </cell>
          <cell r="AL107">
            <v>720229</v>
          </cell>
          <cell r="AM107">
            <v>235034</v>
          </cell>
          <cell r="AR107">
            <v>1223663.4731535588</v>
          </cell>
          <cell r="AS107">
            <v>922591.91406546102</v>
          </cell>
          <cell r="AT107">
            <v>301071.55908809777</v>
          </cell>
        </row>
        <row r="108">
          <cell r="B108">
            <v>17</v>
          </cell>
          <cell r="C108">
            <v>3</v>
          </cell>
          <cell r="D108" t="str">
            <v xml:space="preserve">Varanasi </v>
          </cell>
          <cell r="K108">
            <v>8123330</v>
          </cell>
          <cell r="L108">
            <v>7045757</v>
          </cell>
          <cell r="M108">
            <v>1077573</v>
          </cell>
          <cell r="N108">
            <v>10108569</v>
          </cell>
          <cell r="O108">
            <v>8317921</v>
          </cell>
          <cell r="P108">
            <v>1790648</v>
          </cell>
          <cell r="R108">
            <v>2.2105107224688725E-2</v>
          </cell>
          <cell r="S108">
            <v>1.6737198595820013E-2</v>
          </cell>
          <cell r="T108">
            <v>5.2098380511473641E-2</v>
          </cell>
          <cell r="W108">
            <v>1140</v>
          </cell>
          <cell r="X108">
            <v>1159</v>
          </cell>
          <cell r="AC108">
            <v>21283</v>
          </cell>
          <cell r="AD108">
            <v>22769</v>
          </cell>
          <cell r="AI108">
            <v>8993</v>
          </cell>
          <cell r="AK108">
            <v>1072612</v>
          </cell>
          <cell r="AL108">
            <v>935638</v>
          </cell>
          <cell r="AM108">
            <v>136974</v>
          </cell>
          <cell r="AR108">
            <v>1373984.0496975021</v>
          </cell>
          <cell r="AS108">
            <v>1198524.4322186136</v>
          </cell>
          <cell r="AT108">
            <v>175459.6174788886</v>
          </cell>
        </row>
      </sheetData>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seb"/>
      <sheetName val="Notes_on_changes"/>
      <sheetName val="Sheet1"/>
      <sheetName val="Previous years-ARR  Discoms"/>
      <sheetName val="Title"/>
      <sheetName val="One Sheeter FY 2019-20"/>
      <sheetName val="One Sheeter-FY 2018-19"/>
      <sheetName val="One sheeter-FY 2017-18"/>
      <sheetName val="ARR Summary APR_MYT"/>
      <sheetName val="BST(1)"/>
      <sheetName val="PP_Allowable 2017-18(1)"/>
      <sheetName val=" Summary O&amp;M"/>
      <sheetName val="Escalation"/>
      <sheetName val="Emp and A&amp;G Exp"/>
      <sheetName val="R&amp;M Exp"/>
      <sheetName val="Audited Figures"/>
      <sheetName val="BS"/>
      <sheetName val="other info"/>
      <sheetName val="CPI WPI Inc"/>
      <sheetName val="Index"/>
      <sheetName val="Gross Assets"/>
      <sheetName val="Grant Details"/>
      <sheetName val="Others"/>
      <sheetName val="Depreciation (2)"/>
      <sheetName val="Investment &amp; GFA"/>
      <sheetName val="IoWC"/>
      <sheetName val="Tariff Structure "/>
      <sheetName val="Assumption"/>
      <sheetName val="SBI PLR"/>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seb"/>
      <sheetName val="Notes_on_changes"/>
      <sheetName val="Sheet1"/>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seb"/>
      <sheetName val="Notes_on_changes"/>
      <sheetName val="Sheet1"/>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LLAN DETAILS"/>
      <sheetName val="XLR_NoRangeSheet"/>
      <sheetName val="CHALLAN_DETAILS"/>
    </sheetNames>
    <sheetDataSet>
      <sheetData sheetId="0" refreshError="1"/>
      <sheetData sheetId="1" refreshError="1">
        <row r="6">
          <cell r="B6" t="str">
            <v>DLF Laing O' Rourke (India) Ltd</v>
          </cell>
        </row>
        <row r="7">
          <cell r="C7" t="str">
            <v>3rd Floor , Shopping Mall Complex , Arjun Marg , DLF City Phase - I Gurgaon.</v>
          </cell>
          <cell r="D7" t="str">
            <v>HR/GGN/27852</v>
          </cell>
          <cell r="F7" t="str">
            <v>2006 - 2007</v>
          </cell>
        </row>
        <row r="8">
          <cell r="B8" t="str">
            <v>7,161,961.00</v>
          </cell>
          <cell r="C8" t="str">
            <v>460</v>
          </cell>
          <cell r="D8" t="str">
            <v>12.00</v>
          </cell>
          <cell r="E8" t="str">
            <v xml:space="preserve">8.33% Or </v>
          </cell>
          <cell r="F8" t="str">
            <v>.50</v>
          </cell>
          <cell r="G8" t="str">
            <v>.01</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Metro consind updation sheet"/>
      <sheetName val="Dom"/>
      <sheetName val="201-04REL-Final"/>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Core version"/>
      <sheetName val="list"/>
      <sheetName val="Laptop Loan Req Form"/>
      <sheetName val="Laptop Release Form"/>
      <sheetName val="E-Core_version1"/>
      <sheetName val="Laptop_Loan_Req_Form1"/>
      <sheetName val="Laptop_Release_Form1"/>
      <sheetName val="E-Core_version"/>
      <sheetName val="Laptop_Loan_Req_Form"/>
      <sheetName val="Laptop_Release_Form"/>
    </sheetNames>
    <sheetDataSet>
      <sheetData sheetId="0" refreshError="1"/>
      <sheetData sheetId="1" refreshError="1"/>
      <sheetData sheetId="2" refreshError="1">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 sheetId="5"/>
      <sheetData sheetId="6"/>
      <sheetData sheetId="7"/>
      <sheetData sheetId="8"/>
      <sheetData sheetId="9"/>
      <sheetData sheetId="1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s>
    <sheetDataSet>
      <sheetData sheetId="0" refreshError="1"/>
      <sheetData sheetId="1" refreshError="1"/>
      <sheetData sheetId="2" refreshError="1"/>
      <sheetData sheetId="3">
        <row r="1">
          <cell r="P1">
            <v>0.72</v>
          </cell>
        </row>
      </sheetData>
      <sheetData sheetId="4" refreshError="1"/>
      <sheetData sheetId="5" refreshError="1"/>
      <sheetData sheetId="6">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Assumptions"/>
      <sheetName val="Discom Details"/>
      <sheetName val="A 3.7"/>
      <sheetName val="C.S.GENERATION"/>
      <sheetName val="Cash Flow"/>
      <sheetName val="all"/>
      <sheetName val="Sch-3"/>
      <sheetName val="RAJ"/>
      <sheetName val="HLY_-99-002"/>
      <sheetName val="Hydro_Data2"/>
      <sheetName val="dpc_cost2"/>
      <sheetName val="Plant_Availability2"/>
      <sheetName val="HLY_-99-001"/>
      <sheetName val="Hydro_Data1"/>
      <sheetName val="dpc_cost1"/>
      <sheetName val="Plant_Availability1"/>
      <sheetName val="04rel"/>
      <sheetName val="strain"/>
      <sheetName val="data"/>
      <sheetName val="General"/>
      <sheetName val="Discom_Details"/>
      <sheetName val="7.11 p1"/>
      <sheetName val="Form-B"/>
      <sheetName val="HLY_-99-003"/>
      <sheetName val="Hydro_Data3"/>
      <sheetName val="dpc_cost3"/>
      <sheetName val="Plant_Availability3"/>
      <sheetName val="A_3_7"/>
      <sheetName val="C_S_GENERATION"/>
      <sheetName val="Cash_Flow"/>
      <sheetName val="DCL AUG 12"/>
      <sheetName val="7_11_p1"/>
      <sheetName val="Discom_Details1"/>
      <sheetName val="A_3_71"/>
      <sheetName val="C_S_GENERATION1"/>
      <sheetName val="7_11_p11"/>
      <sheetName val="Discom_Details2"/>
      <sheetName val="A_3_72"/>
      <sheetName val="C_S_GENERATION2"/>
      <sheetName val="7_11_p12"/>
      <sheetName val="4 Annex 1 Basic rate"/>
      <sheetName val="Index Feb 09"/>
      <sheetName val="Data base Feb 09"/>
      <sheetName val="SCF"/>
      <sheetName val="Report"/>
      <sheetName val="DETAILED  BOQ"/>
      <sheetName val="Dispatch 2.0"/>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
          <cell r="D1">
            <v>0</v>
          </cell>
        </row>
      </sheetData>
      <sheetData sheetId="51"/>
      <sheetData sheetId="52">
        <row r="1">
          <cell r="D1">
            <v>0</v>
          </cell>
        </row>
      </sheetData>
      <sheetData sheetId="53"/>
      <sheetData sheetId="54"/>
      <sheetData sheetId="55"/>
      <sheetData sheetId="56">
        <row r="1">
          <cell r="D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1">
          <cell r="D1">
            <v>0</v>
          </cell>
        </row>
      </sheetData>
      <sheetData sheetId="74">
        <row r="1">
          <cell r="D1">
            <v>0</v>
          </cell>
        </row>
      </sheetData>
      <sheetData sheetId="75">
        <row r="1">
          <cell r="D1">
            <v>0</v>
          </cell>
        </row>
      </sheetData>
      <sheetData sheetId="76">
        <row r="1">
          <cell r="D1">
            <v>0</v>
          </cell>
        </row>
      </sheetData>
      <sheetData sheetId="77">
        <row r="1">
          <cell r="D1">
            <v>0</v>
          </cell>
        </row>
      </sheetData>
      <sheetData sheetId="78">
        <row r="1">
          <cell r="D1">
            <v>0</v>
          </cell>
        </row>
      </sheetData>
      <sheetData sheetId="79">
        <row r="1">
          <cell r="D1">
            <v>0</v>
          </cell>
        </row>
      </sheetData>
      <sheetData sheetId="80">
        <row r="1">
          <cell r="D1">
            <v>0</v>
          </cell>
        </row>
      </sheetData>
      <sheetData sheetId="81">
        <row r="1">
          <cell r="D1">
            <v>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CH 1,2,3"/>
      <sheetName val="SCH 4"/>
      <sheetName val="SCH 6,7"/>
      <sheetName val="SCH 8,9,10,11,12,13,14,15,16"/>
      <sheetName val="Group_Income_Exp"/>
      <sheetName val="Tables"/>
      <sheetName val="SCH 4_crs(H1 Fy 05-06)"/>
      <sheetName val="Reg PL &amp; BS"/>
      <sheetName val="Loan"/>
      <sheetName val="Capex"/>
      <sheetName val="Expenses"/>
      <sheetName val="Licensee Information"/>
      <sheetName val="1.1"/>
      <sheetName val="Capex old"/>
      <sheetName val="1.1a-P"/>
      <sheetName val="1.1a-C"/>
      <sheetName val="1.1a-E"/>
      <sheetName val="1.1b-P"/>
      <sheetName val="1.1b-C"/>
      <sheetName val="1.1b-E"/>
      <sheetName val="1.1c-P"/>
      <sheetName val="1.1c-C"/>
      <sheetName val="1.1c-E"/>
      <sheetName val="1.1d-P"/>
      <sheetName val="1.1d-C"/>
      <sheetName val="1.1d-E"/>
      <sheetName val="1.1e"/>
      <sheetName val="1.1e1-P"/>
      <sheetName val="1.1e1-C"/>
      <sheetName val="1.1e1-E"/>
      <sheetName val="1.1e2"/>
      <sheetName val="1.1e3"/>
      <sheetName val="1.1f-P"/>
      <sheetName val="1.1f-C"/>
      <sheetName val="1.1f-E"/>
      <sheetName val="1.1g-P"/>
      <sheetName val="1.1g-C"/>
      <sheetName val="1.1g-E"/>
      <sheetName val="1.2a"/>
      <sheetName val="1.2b"/>
      <sheetName val="1.3"/>
      <sheetName val="AT&amp;C"/>
      <sheetName val="1.3a"/>
      <sheetName val="1.3b-P"/>
      <sheetName val="1.3b-CA"/>
      <sheetName val="1.3b-CE"/>
      <sheetName val="1.3b-C"/>
      <sheetName val="1.3b-E"/>
      <sheetName val="1.3b1"/>
      <sheetName val="1.3c1"/>
      <sheetName val="1.3c-1"/>
      <sheetName val="1.3d"/>
      <sheetName val="1.3e"/>
      <sheetName val="1.3f"/>
      <sheetName val="1.3g-P"/>
      <sheetName val="1.3g-CA"/>
      <sheetName val="1.3g-CE"/>
      <sheetName val="1.3g-C"/>
      <sheetName val="1.3g-E"/>
      <sheetName val="1.4"/>
      <sheetName val="1.5"/>
      <sheetName val="1.6"/>
      <sheetName val="2.1"/>
      <sheetName val="2.1a-P"/>
      <sheetName val="2.1a-CA"/>
      <sheetName val="2.1a-CE"/>
      <sheetName val="2.1a-C"/>
      <sheetName val="2.1a-E"/>
      <sheetName val="2.1a-1"/>
      <sheetName val="2.1a-2"/>
      <sheetName val="2.1 b"/>
      <sheetName val="3.2"/>
      <sheetName val="3.2a-P"/>
      <sheetName val="3.2a-C"/>
      <sheetName val="3.2a-E"/>
      <sheetName val="3.2b-P"/>
      <sheetName val="3.2b-C"/>
      <sheetName val="3.2b-E"/>
      <sheetName val="3.2c-P"/>
      <sheetName val="3.2c-C"/>
      <sheetName val="3.2c-E"/>
      <sheetName val="3.2d-P"/>
      <sheetName val="3.2d-C"/>
      <sheetName val="3.2d-E"/>
      <sheetName val="3.2e"/>
      <sheetName val="4.1"/>
      <sheetName val="4.1 A"/>
      <sheetName val="4.1 A -1"/>
      <sheetName val="4.1 A -2"/>
      <sheetName val="4.1 B"/>
      <sheetName val="4.2"/>
      <sheetName val="4.3"/>
      <sheetName val="4.4"/>
      <sheetName val="4.5"/>
      <sheetName val="4.6"/>
      <sheetName val="4.7"/>
      <sheetName val="4.8"/>
      <sheetName val="4.9"/>
      <sheetName val="5.1-P"/>
      <sheetName val="5.1-C"/>
      <sheetName val="5.1-E"/>
      <sheetName val="5.3-P"/>
      <sheetName val="5.3-C"/>
      <sheetName val="5.3-E"/>
      <sheetName val="5.7-P"/>
      <sheetName val="5.7-C"/>
      <sheetName val="5.7-E"/>
      <sheetName val="5.8"/>
      <sheetName val="5.10"/>
      <sheetName val="5.11"/>
      <sheetName val="5.12"/>
      <sheetName val="5.13"/>
      <sheetName val="5.14"/>
      <sheetName val="Consolidated_Data"/>
      <sheetName val="Validation Sheet"/>
      <sheetName val="Forms_Year"/>
      <sheetName val="RowADDAd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3">
          <cell r="E23" t="str">
            <v>Previous Period 2004-05</v>
          </cell>
          <cell r="G23" t="str">
            <v>Ensuing Period 2006-07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PC-Issues"/>
      <sheetName val="MILESTONE-RAIL"/>
      <sheetName val="MILESTONES-LSHS"/>
      <sheetName val="fco"/>
      <sheetName val="BAL_JOB_LIST"/>
      <sheetName val="BAL-INST"/>
      <sheetName val="Rev-Overall"/>
      <sheetName val="PENDING-SYS"/>
      <sheetName val="SYS-OWNERS"/>
      <sheetName val="Rev-Summary"/>
      <sheetName val="LOOP-SPREAD"/>
      <sheetName val="OVERALL-RFSU"/>
      <sheetName val="Phase-1"/>
      <sheetName val="LOOP-PROFILE"/>
      <sheetName val="Overall"/>
      <sheetName val="Sys-Handover"/>
      <sheetName val="MANP-FORMAT"/>
      <sheetName val="MANPOWER-Overall"/>
      <sheetName val="Sheet5"/>
      <sheetName val="concrete-L3"/>
      <sheetName val="pipe-fab-L3"/>
      <sheetName val="pipe-Install-L3"/>
      <sheetName val="Sheet6"/>
      <sheetName val="Rev-1-Lvl-2-Overall"/>
      <sheetName val="Lvl-2-Overall- Latest "/>
      <sheetName val="CONCRETE "/>
      <sheetName val="STRL-STEEL"/>
      <sheetName val="U-G-Piping (1)"/>
      <sheetName val="A-G-PIPING(1)"/>
      <sheetName val="Tankage-Report"/>
      <sheetName val="Tankages-New"/>
      <sheetName val="ARCHBLDG"/>
      <sheetName val="RCB %"/>
      <sheetName val="CIVIL-SITE-IMPR."/>
      <sheetName val="RAIL-ROAD"/>
      <sheetName val="FLARE"/>
      <sheetName val="OVERALL-PKG"/>
      <sheetName val="SSTP-PKG"/>
      <sheetName val="ETP-PKG"/>
      <sheetName val="COKE-PKG"/>
      <sheetName val="CAUSTIC-PKG"/>
      <sheetName val="INSTRUMENT"/>
      <sheetName val="OVERALL-MECH"/>
      <sheetName val="MECH_VESSEL"/>
      <sheetName val="MECH_PUMPS"/>
      <sheetName val="MECH_L-UL"/>
      <sheetName val="MECH_OTHERS"/>
      <sheetName val="TANKAGE-DETAIL"/>
      <sheetName val="Manpower"/>
      <sheetName val="P&amp;M"/>
      <sheetName val="biweek_qty-1"/>
      <sheetName val="biweek_qty-2"/>
      <sheetName val="Front-Analy"/>
      <sheetName val="Hydro-Loop"/>
      <sheetName val="Overall_crit_issues"/>
    </sheetNames>
    <sheetDataSet>
      <sheetData sheetId="0"/>
      <sheetData sheetId="1"/>
      <sheetData sheetId="2"/>
      <sheetData sheetId="3"/>
      <sheetData sheetId="4" refreshError="1">
        <row r="1">
          <cell r="B1" t="str">
            <v>FCO NO.</v>
          </cell>
          <cell r="C1" t="str">
            <v>UNIT</v>
          </cell>
          <cell r="D1" t="str">
            <v>DATE OF RECEIPT</v>
          </cell>
          <cell r="F1" t="str">
            <v>Unit</v>
          </cell>
          <cell r="G1" t="str">
            <v>DESCRIPTION OF " FCO "</v>
          </cell>
          <cell r="H1" t="str">
            <v>Tot mhr</v>
          </cell>
          <cell r="I1" t="str">
            <v>closeout</v>
          </cell>
          <cell r="J1" t="str">
            <v>DRG  STATUS</v>
          </cell>
          <cell r="K1" t="str">
            <v>CONSTN. STATUS</v>
          </cell>
          <cell r="L1" t="str">
            <v xml:space="preserve">REMARKS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1"/>
      <sheetName val="S2"/>
      <sheetName val="S3"/>
      <sheetName val="S4"/>
      <sheetName val="S5"/>
      <sheetName val="S6"/>
      <sheetName val="S7"/>
      <sheetName val="S8"/>
      <sheetName val="A1"/>
      <sheetName val="F1-14-C"/>
      <sheetName val="F1-15-C"/>
      <sheetName val="F1-16-C"/>
      <sheetName val="F1a-14-C"/>
      <sheetName val="F1a-15-C"/>
      <sheetName val="F1a-16-C"/>
      <sheetName val="F1b"/>
      <sheetName val="F1c-C"/>
      <sheetName val="F1d-C"/>
      <sheetName val="F1e-C"/>
      <sheetName val="F1f-C"/>
      <sheetName val="F2"/>
      <sheetName val="F2a"/>
      <sheetName val="F2a(i)"/>
      <sheetName val="F2b"/>
      <sheetName val="F2b(i)"/>
      <sheetName val="F2b(ii)"/>
      <sheetName val="F2b(iii)"/>
      <sheetName val="F2c"/>
      <sheetName val="F2d"/>
      <sheetName val="F2e"/>
      <sheetName val="F3"/>
      <sheetName val="F3b"/>
      <sheetName val="F4"/>
      <sheetName val="F5"/>
      <sheetName val="F6"/>
      <sheetName val="F7"/>
      <sheetName val="F8"/>
      <sheetName val="F9"/>
      <sheetName val="F10"/>
      <sheetName val="F11"/>
      <sheetName val="F12"/>
      <sheetName val="F13"/>
      <sheetName val="F14"/>
      <sheetName val="F14a"/>
      <sheetName val="F14b"/>
      <sheetName val="F15"/>
      <sheetName val="F16"/>
      <sheetName val="P1"/>
      <sheetName val="P2"/>
      <sheetName val="P3"/>
      <sheetName val="R1"/>
      <sheetName val="R2"/>
      <sheetName val="R3"/>
      <sheetName val="R4"/>
      <sheetName val="R5"/>
      <sheetName val="R6"/>
      <sheetName val="R7"/>
    </sheetNames>
    <sheetDataSet>
      <sheetData sheetId="0" refreshError="1">
        <row r="5">
          <cell r="A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FIXLD"/>
      <sheetName val="FC"/>
      <sheetName val="Load"/>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row r="1">
          <cell r="A1" t="str">
            <v>CATEGORY</v>
          </cell>
          <cell r="B1" t="str">
            <v>RESULT</v>
          </cell>
          <cell r="C1" t="str">
            <v>RESULT</v>
          </cell>
          <cell r="D1" t="str">
            <v>FIXED</v>
          </cell>
          <cell r="E1" t="str">
            <v>LOAD</v>
          </cell>
        </row>
        <row r="2">
          <cell r="D2">
            <v>38388</v>
          </cell>
        </row>
        <row r="3">
          <cell r="A3" t="str">
            <v>LMV-1</v>
          </cell>
          <cell r="B3" t="str">
            <v>D(2)            Other Upto 1kw and 1 Phase</v>
          </cell>
          <cell r="C3" t="str">
            <v>D(2)            Other Upto 1kw and 1 Phase</v>
          </cell>
          <cell r="D3">
            <v>19075</v>
          </cell>
          <cell r="E3">
            <v>394</v>
          </cell>
        </row>
        <row r="4">
          <cell r="A4" t="str">
            <v>LMV-1</v>
          </cell>
          <cell r="B4" t="str">
            <v>D(3)            Other Above 1kw and 1 Phase</v>
          </cell>
          <cell r="C4" t="str">
            <v>D(3)            Other Above 1kw and 1 Phase</v>
          </cell>
          <cell r="D4">
            <v>1376075</v>
          </cell>
          <cell r="E4">
            <v>28198</v>
          </cell>
        </row>
        <row r="5">
          <cell r="A5" t="str">
            <v>LMV-1</v>
          </cell>
          <cell r="B5" t="str">
            <v>D(4)            Other 3 Phase</v>
          </cell>
          <cell r="C5" t="str">
            <v>D(4)            Other 3 Phase</v>
          </cell>
          <cell r="D5">
            <v>418309.83</v>
          </cell>
          <cell r="E5">
            <v>8737</v>
          </cell>
        </row>
        <row r="6">
          <cell r="A6" t="str">
            <v>LMV-1</v>
          </cell>
          <cell r="B6" t="str">
            <v>D(5)            Registered Societies</v>
          </cell>
          <cell r="C6" t="str">
            <v>D(5)            Registered Societies</v>
          </cell>
          <cell r="D6">
            <v>74580</v>
          </cell>
          <cell r="E6">
            <v>2486</v>
          </cell>
        </row>
        <row r="7">
          <cell r="A7" t="str">
            <v>LMV-2</v>
          </cell>
          <cell r="B7" t="str">
            <v>C(1)            Other Upto 1kw and 1 Phase</v>
          </cell>
          <cell r="C7" t="str">
            <v>C(1)            Other Upto 1kw and 1 Phase</v>
          </cell>
          <cell r="D7">
            <v>320</v>
          </cell>
          <cell r="E7">
            <v>4</v>
          </cell>
        </row>
        <row r="8">
          <cell r="A8" t="str">
            <v>LMV-2</v>
          </cell>
          <cell r="B8" t="str">
            <v>C(2)            Other Above 1kw and 1 Phase</v>
          </cell>
          <cell r="C8" t="str">
            <v>C(2)            Other Above 1kw and 1 Phase</v>
          </cell>
          <cell r="D8">
            <v>80104</v>
          </cell>
          <cell r="E8">
            <v>1023</v>
          </cell>
        </row>
        <row r="9">
          <cell r="A9" t="str">
            <v>LMV-2</v>
          </cell>
          <cell r="B9" t="str">
            <v>C(3)            Other 3 Phase</v>
          </cell>
          <cell r="C9" t="str">
            <v>C(3)            Other 3 Phase</v>
          </cell>
          <cell r="D9">
            <v>220124.58</v>
          </cell>
          <cell r="E9">
            <v>3191.3330000000001</v>
          </cell>
        </row>
        <row r="10">
          <cell r="A10" t="str">
            <v>LMV-4(A)</v>
          </cell>
          <cell r="B10" t="str">
            <v>PI(1)           Other Upto 1kw and 1 Phase</v>
          </cell>
          <cell r="C10" t="str">
            <v>PI(1)           Other Upto 1kw and 1 Phase</v>
          </cell>
          <cell r="D10">
            <v>75</v>
          </cell>
          <cell r="E10">
            <v>1</v>
          </cell>
        </row>
        <row r="11">
          <cell r="A11" t="str">
            <v>LMV-4(A)</v>
          </cell>
          <cell r="B11" t="str">
            <v>PI(2)           Other Above 1kw and 1 Phase</v>
          </cell>
          <cell r="C11" t="str">
            <v>PI(2)           Other Above 1kw and 1 Phase</v>
          </cell>
          <cell r="D11">
            <v>750</v>
          </cell>
          <cell r="E11">
            <v>12</v>
          </cell>
        </row>
        <row r="12">
          <cell r="A12" t="str">
            <v>LMV-4(A)</v>
          </cell>
          <cell r="B12" t="str">
            <v>PI(3)           Other 3 Phase</v>
          </cell>
          <cell r="C12" t="str">
            <v>PI(3)           Other 3 Phase</v>
          </cell>
          <cell r="D12">
            <v>70533</v>
          </cell>
          <cell r="E12">
            <v>1006.22</v>
          </cell>
        </row>
        <row r="13">
          <cell r="A13" t="str">
            <v>LMV-4(B)</v>
          </cell>
          <cell r="B13" t="str">
            <v>PI(1)           Other Upto 5kw</v>
          </cell>
          <cell r="C13" t="str">
            <v>PI(1)           Other Upto 5kw</v>
          </cell>
          <cell r="D13">
            <v>1600</v>
          </cell>
          <cell r="E13">
            <v>20</v>
          </cell>
        </row>
        <row r="14">
          <cell r="A14" t="str">
            <v>LMV-4(B)</v>
          </cell>
          <cell r="B14" t="str">
            <v>PI(2)           Other 5kw to 10kw</v>
          </cell>
          <cell r="C14" t="str">
            <v>PI(2)           Other 5kw to 10kw</v>
          </cell>
          <cell r="D14">
            <v>1320</v>
          </cell>
          <cell r="E14">
            <v>17.5</v>
          </cell>
        </row>
        <row r="15">
          <cell r="A15" t="str">
            <v>LMV-4(B)</v>
          </cell>
          <cell r="B15" t="str">
            <v>PI(3)           Other Above 10kw</v>
          </cell>
          <cell r="C15" t="str">
            <v>PI(3)           Other Above 10kw</v>
          </cell>
          <cell r="D15">
            <v>154306.48000000001</v>
          </cell>
          <cell r="E15">
            <v>2276</v>
          </cell>
        </row>
        <row r="16">
          <cell r="A16" t="str">
            <v>LMV-5</v>
          </cell>
          <cell r="B16" t="str">
            <v>PTW             PTW (Metered) LMV-5</v>
          </cell>
          <cell r="C16" t="str">
            <v>PTW             PTW (Metered) LMV-5</v>
          </cell>
          <cell r="D16">
            <v>12097.5</v>
          </cell>
          <cell r="E16">
            <v>445.5</v>
          </cell>
        </row>
        <row r="17">
          <cell r="A17" t="str">
            <v>LMV-6</v>
          </cell>
          <cell r="B17" t="str">
            <v>Upto 25 BHP :</v>
          </cell>
          <cell r="C17" t="str">
            <v>Upto 25 BHP :</v>
          </cell>
        </row>
        <row r="18">
          <cell r="A18" t="str">
            <v>LMV-6</v>
          </cell>
          <cell r="B18" t="str">
            <v>I(1)a(i)        Supply on rural feeder</v>
          </cell>
          <cell r="C18" t="str">
            <v>I(1)a(i)        Supply on rural feeder</v>
          </cell>
          <cell r="D18">
            <v>9693.5400000000009</v>
          </cell>
          <cell r="E18">
            <v>195.51</v>
          </cell>
        </row>
        <row r="19">
          <cell r="A19" t="str">
            <v>LMV-6</v>
          </cell>
          <cell r="B19" t="str">
            <v>I(1)a(ii)       Supply on urban feeder</v>
          </cell>
          <cell r="C19" t="str">
            <v>I(1)a(ii)       Supply on urban feeder</v>
          </cell>
          <cell r="D19">
            <v>217074.06</v>
          </cell>
          <cell r="E19">
            <v>3450.1750000000002</v>
          </cell>
        </row>
        <row r="20">
          <cell r="A20" t="str">
            <v>LMV-6</v>
          </cell>
          <cell r="B20" t="str">
            <v>Above 25 BHP and upto 100 BHP :</v>
          </cell>
          <cell r="C20" t="str">
            <v>Above 25 BHP and upto 100 BHP :</v>
          </cell>
        </row>
        <row r="21">
          <cell r="A21" t="str">
            <v>LMV-6</v>
          </cell>
          <cell r="B21" t="str">
            <v>I(1)b(ii)-A     Urban cons-unrestricted supply (Peak-hours)</v>
          </cell>
          <cell r="C21" t="str">
            <v>I(1)b(ii)-A     Urban cons-unrestricted supply (Peak-hours)</v>
          </cell>
          <cell r="D21">
            <v>314095.7</v>
          </cell>
          <cell r="E21">
            <v>5525</v>
          </cell>
        </row>
        <row r="22">
          <cell r="A22" t="str">
            <v>LMV-6</v>
          </cell>
          <cell r="B22" t="str">
            <v>I(1)b(ii)-B     Urban cons-restricted supply</v>
          </cell>
          <cell r="C22" t="str">
            <v>I(1)b(ii)-B     Urban cons-restricted supply</v>
          </cell>
          <cell r="D22">
            <v>216282.55</v>
          </cell>
          <cell r="E22">
            <v>3813.1660000000002</v>
          </cell>
        </row>
        <row r="23">
          <cell r="A23" t="str">
            <v>LMV-6</v>
          </cell>
          <cell r="B23" t="str">
            <v>I(1)b(ii)-C     Consumers - supply on rural feeders</v>
          </cell>
          <cell r="C23" t="str">
            <v>I(1)b(ii)-C     Consumers - supply on rural feeders</v>
          </cell>
          <cell r="D23">
            <v>0</v>
          </cell>
          <cell r="E23">
            <v>0</v>
          </cell>
        </row>
        <row r="24">
          <cell r="A24" t="str">
            <v>LMV-7</v>
          </cell>
          <cell r="B24" t="str">
            <v>PWW             Public Water Works (Metered) LMV-7</v>
          </cell>
          <cell r="C24" t="str">
            <v>PWW             Public Water Works (Metered) LMV-7</v>
          </cell>
          <cell r="D24">
            <v>46450.5</v>
          </cell>
          <cell r="E24">
            <v>688.34</v>
          </cell>
        </row>
        <row r="25">
          <cell r="A25" t="str">
            <v>LMV-9</v>
          </cell>
          <cell r="B25" t="str">
            <v>C(1)            Other Upto 5kw</v>
          </cell>
          <cell r="C25" t="str">
            <v>C(1)            Other Upto 5kw</v>
          </cell>
          <cell r="D25">
            <v>0</v>
          </cell>
          <cell r="E25">
            <v>2440</v>
          </cell>
        </row>
        <row r="26">
          <cell r="A26" t="str">
            <v>LMV-9</v>
          </cell>
          <cell r="B26" t="str">
            <v>C(2)            Other 5kw to 10kw</v>
          </cell>
          <cell r="C26" t="str">
            <v>C(2)            Other 5kw to 10kw</v>
          </cell>
          <cell r="D26">
            <v>0</v>
          </cell>
          <cell r="E26">
            <v>334</v>
          </cell>
        </row>
        <row r="27">
          <cell r="A27" t="str">
            <v>LMV-9</v>
          </cell>
          <cell r="B27" t="str">
            <v>C(3)            Other Above 10kw</v>
          </cell>
          <cell r="C27" t="str">
            <v>C(3)            Other Above 10kw</v>
          </cell>
          <cell r="D27">
            <v>0</v>
          </cell>
          <cell r="E27">
            <v>1403</v>
          </cell>
        </row>
        <row r="28">
          <cell r="A28" t="str">
            <v>HV-2</v>
          </cell>
          <cell r="B28" t="str">
            <v>I(2O)a(i)       Unrestricted and Independent Feeder</v>
          </cell>
          <cell r="C28" t="str">
            <v>I(2O)a(i)       Unrestricted and Independent Feeder</v>
          </cell>
          <cell r="D28">
            <v>541620</v>
          </cell>
          <cell r="E28">
            <v>3200</v>
          </cell>
        </row>
        <row r="29">
          <cell r="A29" t="str">
            <v>HV-2</v>
          </cell>
          <cell r="B29" t="str">
            <v>I(2O)a(ii)      Unrestricted and Common Feeder</v>
          </cell>
          <cell r="C29" t="str">
            <v>I(2O)a(ii)      Unrestricted and Common Feeder</v>
          </cell>
          <cell r="D29">
            <v>7525317.1399999997</v>
          </cell>
          <cell r="E29">
            <v>52398.66</v>
          </cell>
        </row>
        <row r="30">
          <cell r="A30" t="str">
            <v>HV-2</v>
          </cell>
          <cell r="B30" t="str">
            <v>I(2O)b(i)       Restricted and Independent Feeder</v>
          </cell>
          <cell r="C30" t="str">
            <v>I(2O)b(i)       Restricted and Independent Feeder</v>
          </cell>
          <cell r="D30">
            <v>318750</v>
          </cell>
          <cell r="E30">
            <v>2500</v>
          </cell>
        </row>
        <row r="31">
          <cell r="A31" t="str">
            <v>HV-2</v>
          </cell>
          <cell r="B31" t="str">
            <v>I(2O)b(ii)      Restricted and Common Feeder</v>
          </cell>
          <cell r="C31" t="str">
            <v>I(2O)b(ii)      Restricted and Common Feeder</v>
          </cell>
          <cell r="D31">
            <v>1287454.8</v>
          </cell>
          <cell r="E31">
            <v>8337</v>
          </cell>
        </row>
      </sheetData>
      <sheetData sheetId="1"/>
      <sheetData sheetId="2"/>
      <sheetData sheetId="3"/>
      <sheetData sheetId="4">
        <row r="1">
          <cell r="B1">
            <v>0</v>
          </cell>
        </row>
      </sheetData>
      <sheetData sheetId="5"/>
      <sheetData sheetId="6"/>
      <sheetData sheetId="7">
        <row r="1">
          <cell r="B1">
            <v>0</v>
          </cell>
        </row>
      </sheetData>
      <sheetData sheetId="8"/>
      <sheetData sheetId="9"/>
      <sheetData sheetId="10">
        <row r="1">
          <cell r="B1">
            <v>0</v>
          </cell>
        </row>
      </sheetData>
      <sheetData sheetId="11"/>
      <sheetData sheetId="12"/>
      <sheetData sheetId="13"/>
      <sheetData sheetId="14"/>
      <sheetData sheetId="15"/>
      <sheetData sheetId="16"/>
      <sheetData sheetId="17"/>
      <sheetData sheetId="18"/>
      <sheetData sheetId="19">
        <row r="1">
          <cell r="A1" t="str">
            <v>CATEGORY</v>
          </cell>
        </row>
      </sheetData>
      <sheetData sheetId="20"/>
      <sheetData sheetId="2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TB-7-00TO3-01"/>
      <sheetName val="TB-9-01"/>
      <sheetName val="GroupingSheet-9-01"/>
      <sheetName val="BS-PL-SCHEDULES"/>
      <sheetName val="Sch-4-ASSETS&amp;CWIP"/>
      <sheetName val="BS-Abstract"/>
      <sheetName val="INTER-UNIT"/>
      <sheetName val="ED-RECONCILIATION-7_0 to 9_01"/>
      <sheetName val="TB-CHECK-PRINT"/>
      <sheetName val="pension-etc"/>
      <sheetName val="PF "/>
      <sheetName val="DETAILS-9-01"/>
      <sheetName val="TB_9_01"/>
      <sheetName val="Lists"/>
      <sheetName val="schedules"/>
      <sheetName val="Input"/>
      <sheetName val="b"/>
      <sheetName val="Assumptions"/>
      <sheetName val="Inputs"/>
      <sheetName val="ED-RECONCILIATION-7_0_to_9_01"/>
      <sheetName val="PF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GVCL_Slabwise Data"/>
      <sheetName val="UGVCL_Sales- Final"/>
      <sheetName val="Actual PP FY15"/>
      <sheetName val="Sale of Surplus Power"/>
      <sheetName val="Sheet1"/>
      <sheetName val="PP Workings"/>
      <sheetName val="Merit order FY17"/>
      <sheetName val="GAP"/>
      <sheetName val="UGVCL_Historical Data"/>
      <sheetName val="UGVCL_Slabwise FY 17 - Existing"/>
      <sheetName val="UGVCL_Revenue FY 17 - Existing"/>
      <sheetName val="UGVCL_Slabwise FY 17 - Proposed"/>
      <sheetName val="UGVCL_Revenue FY 17-Proposed"/>
      <sheetName val="DGVCL_Slabwise Data"/>
      <sheetName val="DGVCL_Sales- Final"/>
      <sheetName val="DGVCL_Historical Data"/>
      <sheetName val="DGVCL_Slabwise FY 17 - Existing"/>
      <sheetName val="DGVCL_Revenue FY 17 - Existing"/>
      <sheetName val="DGVCL_Slabwise FY 17 - Proposed"/>
      <sheetName val="DGVCL_Revenue FY 17 - Proposed"/>
      <sheetName val="MGVCL_Slabwise Data"/>
      <sheetName val="MGVCL_Historical Data"/>
      <sheetName val="MGVCL_Sales- Final"/>
      <sheetName val="MGVCL_Slabwise FY 17 - Existing"/>
      <sheetName val="MGVCL_Revenue FY 17 - Existing"/>
      <sheetName val="MGVCL_Slabwise FY 17 - Proposed"/>
      <sheetName val="MGVCL_Revenue FY 17 - Proposed"/>
      <sheetName val="PGVCL_Slabwise Data"/>
      <sheetName val="PGVCL_Sales- Final"/>
      <sheetName val="PGVCL_Historical Data"/>
      <sheetName val="PGVCL_Slabwise FY 17 - Existing"/>
      <sheetName val="PGVCL_Revenue FY 17 - Existing"/>
      <sheetName val="PGVCL_Slabwise FY 17 - Proposed"/>
      <sheetName val="PGVCL_Revenue FY 17 - Proposed"/>
    </sheetNames>
    <sheetDataSet>
      <sheetData sheetId="0"/>
      <sheetData sheetId="1"/>
      <sheetData sheetId="2"/>
      <sheetData sheetId="3"/>
      <sheetData sheetId="4"/>
      <sheetData sheetId="5"/>
      <sheetData sheetId="6"/>
      <sheetData sheetId="7"/>
      <sheetData sheetId="8">
        <row r="4">
          <cell r="AL4" t="str">
            <v>5 YEAR CAGR</v>
          </cell>
        </row>
        <row r="5">
          <cell r="AL5" t="str">
            <v>4 YEAR CAGR</v>
          </cell>
        </row>
        <row r="6">
          <cell r="AL6" t="str">
            <v>3 YEAR CAGR</v>
          </cell>
        </row>
      </sheetData>
      <sheetData sheetId="9"/>
      <sheetData sheetId="10"/>
      <sheetData sheetId="11"/>
      <sheetData sheetId="12"/>
      <sheetData sheetId="13"/>
      <sheetData sheetId="14"/>
      <sheetData sheetId="15">
        <row r="17">
          <cell r="C17">
            <v>7065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W8">
            <v>3.920227842461435</v>
          </cell>
        </row>
      </sheetData>
      <sheetData sheetId="31"/>
      <sheetData sheetId="32"/>
      <sheetData sheetId="3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  "/>
      <sheetName val="L"/>
      <sheetName val="Inputs"/>
      <sheetName val="Timing"/>
      <sheetName val="Copy"/>
      <sheetName val="CapEx &amp; Ops"/>
      <sheetName val="Debt"/>
      <sheetName val="Tax &amp; Dep"/>
      <sheetName val="FS"/>
      <sheetName val="Equity &amp; Returns"/>
      <sheetName val="Summary"/>
    </sheetNames>
    <sheetDataSet>
      <sheetData sheetId="0" refreshError="1"/>
      <sheetData sheetId="1" refreshError="1"/>
      <sheetData sheetId="2" refreshError="1"/>
      <sheetData sheetId="3" refreshError="1">
        <row r="140">
          <cell r="E140" t="str">
            <v>Oil Co</v>
          </cell>
        </row>
        <row r="141">
          <cell r="E141" t="str">
            <v>KPMG Jan 2008</v>
          </cell>
        </row>
        <row r="142">
          <cell r="E142" t="str">
            <v>On Shore Project 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s Authorisations"/>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sreqsum"/>
      <sheetName val="cover "/>
      <sheetName val="critical"/>
      <sheetName val="over all s curve"/>
      <sheetName val="ROW STATUS"/>
      <sheetName val="LINKWISE STATUS "/>
      <sheetName val="crossing detailed "/>
      <sheetName val="DETAIL SHEET"/>
      <sheetName val="Progress"/>
      <sheetName val="Const activity list"/>
      <sheetName val="NLD7000-Backu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5.0.0"/>
      <sheetName val="5.1.0"/>
      <sheetName val="5.2.1"/>
      <sheetName val="5.2.2"/>
      <sheetName val="5.2.3"/>
      <sheetName val="5.2.4"/>
      <sheetName val="5.3.0"/>
      <sheetName val="5.4.0"/>
      <sheetName val="5.5.0"/>
      <sheetName val="Variables"/>
      <sheetName val="5_0_01"/>
      <sheetName val="5_1_01"/>
      <sheetName val="5_2_11"/>
      <sheetName val="5_2_21"/>
      <sheetName val="5_2_31"/>
      <sheetName val="5_2_41"/>
      <sheetName val="5_3_01"/>
      <sheetName val="5_4_01"/>
      <sheetName val="5_5_01"/>
      <sheetName val="5_0_0"/>
      <sheetName val="5_1_0"/>
      <sheetName val="5_2_1"/>
      <sheetName val="5_2_2"/>
      <sheetName val="5_2_3"/>
      <sheetName val="5_2_4"/>
      <sheetName val="5_3_0"/>
      <sheetName val="5_4_0"/>
      <sheetName val="5_5_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t="str">
            <v>JUNE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
      <sheetName val="Variables_x"/>
    </sheetNames>
    <sheetDataSet>
      <sheetData sheetId="0" refreshError="1"/>
      <sheetData sheetId="1" refreshError="1">
        <row r="5">
          <cell r="B5">
            <v>3</v>
          </cell>
        </row>
        <row r="6">
          <cell r="B6">
            <v>9</v>
          </cell>
        </row>
        <row r="14">
          <cell r="F14" t="str">
            <v>31.03.07</v>
          </cell>
        </row>
        <row r="17">
          <cell r="F17" t="str">
            <v>31.03.10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y Reckoner"/>
      <sheetName val="RAO Wise TB1"/>
      <sheetName val="Total Assets as per JBR cd"/>
      <sheetName val="% allocation Transco"/>
      <sheetName val="% allocation WZ"/>
      <sheetName val="WZ (R)"/>
      <sheetName val="Dewas"/>
      <sheetName val="Indore"/>
      <sheetName val="Khandwa"/>
      <sheetName val="Mandsaur"/>
      <sheetName val="Ratlam"/>
      <sheetName val="Ujjain"/>
      <sheetName val="Dhar"/>
      <sheetName val="Khargon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A4" t="str">
            <v>DETAILS OF FIXED ASSETS &amp; ACCUMULATED DEPRECIATION THEREON</v>
          </cell>
          <cell r="E4" t="str">
            <v xml:space="preserve"> </v>
          </cell>
        </row>
        <row r="5">
          <cell r="A5" t="str">
            <v>IN RESPECT OF R.A.O ---&gt; DHAR  (063)</v>
          </cell>
          <cell r="C5" t="str">
            <v xml:space="preserve"> </v>
          </cell>
          <cell r="D5" t="str">
            <v xml:space="preserve"> </v>
          </cell>
        </row>
        <row r="6">
          <cell r="A6" t="str">
            <v>=</v>
          </cell>
          <cell r="B6" t="str">
            <v>=</v>
          </cell>
          <cell r="C6" t="str">
            <v>=</v>
          </cell>
          <cell r="D6" t="str">
            <v>=</v>
          </cell>
          <cell r="E6" t="str">
            <v>=</v>
          </cell>
          <cell r="F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W6" t="str">
            <v>=</v>
          </cell>
          <cell r="AX6" t="str">
            <v>=</v>
          </cell>
          <cell r="AY6" t="str">
            <v>=</v>
          </cell>
          <cell r="AZ6" t="str">
            <v>=</v>
          </cell>
        </row>
        <row r="7">
          <cell r="A7" t="str">
            <v>A/c CODE</v>
          </cell>
          <cell r="B7" t="str">
            <v>DETAILS OF ASSETS</v>
          </cell>
          <cell r="C7" t="str">
            <v>LIFE</v>
          </cell>
          <cell r="D7" t="str">
            <v>RATE OF</v>
          </cell>
          <cell r="E7" t="str">
            <v>100% VALUE OF ASSETS</v>
          </cell>
          <cell r="F7" t="str">
            <v>ACCUMULATED</v>
          </cell>
          <cell r="G7" t="str">
            <v>100% VALUE OF ASSETS</v>
          </cell>
          <cell r="H7" t="str">
            <v>ACCUMULATED</v>
          </cell>
          <cell r="I7" t="str">
            <v>100% VALUE OF ASSETS</v>
          </cell>
          <cell r="J7" t="str">
            <v>ACCUMULATED</v>
          </cell>
          <cell r="K7" t="str">
            <v>100% VALUE OF ASSETS</v>
          </cell>
          <cell r="L7" t="str">
            <v>ACCUMULATED</v>
          </cell>
          <cell r="M7" t="str">
            <v>100% VALUE OF ASSETS</v>
          </cell>
          <cell r="N7" t="str">
            <v>ACCUMULATED</v>
          </cell>
          <cell r="O7" t="str">
            <v>100% VALUE OF ASSETS</v>
          </cell>
          <cell r="P7" t="str">
            <v>ACCUMULATED</v>
          </cell>
          <cell r="Q7" t="str">
            <v>100% VALUE OF ASSETS</v>
          </cell>
          <cell r="R7" t="str">
            <v>ACCUMULATED</v>
          </cell>
          <cell r="S7" t="str">
            <v>100% VALUE OF ASSETS</v>
          </cell>
          <cell r="T7" t="str">
            <v>ACCUMULATED</v>
          </cell>
          <cell r="U7" t="str">
            <v>100% VALUE OF ASSETS</v>
          </cell>
          <cell r="V7" t="str">
            <v>ACCUMULATED</v>
          </cell>
          <cell r="W7" t="str">
            <v>100% VALUE OF ASSETS</v>
          </cell>
          <cell r="X7" t="str">
            <v>ACCUMULATED</v>
          </cell>
          <cell r="Y7" t="str">
            <v>100% VALUE OF ASSETS</v>
          </cell>
          <cell r="Z7" t="str">
            <v>ACCUMULATED</v>
          </cell>
          <cell r="AA7" t="str">
            <v>100% VALUE OF ASSETS</v>
          </cell>
          <cell r="AB7" t="str">
            <v>ACCUMULATED</v>
          </cell>
          <cell r="AC7" t="str">
            <v>100% VALUE OF ASSETS</v>
          </cell>
          <cell r="AD7" t="str">
            <v>ACCUMULATED</v>
          </cell>
          <cell r="AE7" t="str">
            <v>100% VALUE OF ASSETS</v>
          </cell>
          <cell r="AF7" t="str">
            <v>ACCUMULATED</v>
          </cell>
          <cell r="AG7" t="str">
            <v>100% VALUE OF ASSETS</v>
          </cell>
          <cell r="AH7" t="str">
            <v>ACCUMULATED</v>
          </cell>
          <cell r="AI7" t="str">
            <v>100% VALUE OF ASSETS</v>
          </cell>
          <cell r="AJ7" t="str">
            <v>ACCUMULATED</v>
          </cell>
          <cell r="AK7" t="str">
            <v>100% VALUE OF ASSETS</v>
          </cell>
          <cell r="AL7" t="str">
            <v>ACCUMULATED</v>
          </cell>
          <cell r="AM7" t="str">
            <v>100% VALUE OF ASSETS</v>
          </cell>
          <cell r="AN7" t="str">
            <v>ACCUMULATED</v>
          </cell>
          <cell r="AO7" t="str">
            <v>100% VALUE OF ASSETS</v>
          </cell>
          <cell r="AP7" t="str">
            <v>ACCUMULATED</v>
          </cell>
          <cell r="AQ7" t="str">
            <v>100% VALUE OF ASSETS</v>
          </cell>
          <cell r="AR7" t="str">
            <v>ACCUMULATED</v>
          </cell>
          <cell r="AS7" t="str">
            <v>100% VALUE OF ASSETS</v>
          </cell>
          <cell r="AT7" t="str">
            <v>ACCUMULATED</v>
          </cell>
          <cell r="AU7" t="str">
            <v>100% VALUE OF ASSETS</v>
          </cell>
          <cell r="AV7" t="str">
            <v>ACCUMULATED</v>
          </cell>
          <cell r="AW7" t="str">
            <v>TOTAL VALUE OF</v>
          </cell>
          <cell r="AX7" t="str">
            <v>TOTAL ACCUMULATED</v>
          </cell>
          <cell r="AY7" t="str">
            <v>TOTAL ACCUMULATED</v>
          </cell>
          <cell r="AZ7" t="str">
            <v>DEPN.TO BE</v>
          </cell>
        </row>
        <row r="8">
          <cell r="C8" t="str">
            <v>IN</v>
          </cell>
          <cell r="D8" t="str">
            <v>DEPRN.</v>
          </cell>
          <cell r="E8" t="str">
            <v>COMMISSIONED IN</v>
          </cell>
          <cell r="F8" t="str">
            <v>DEPRECIATION</v>
          </cell>
          <cell r="G8" t="str">
            <v>COMMISSIONED IN</v>
          </cell>
          <cell r="H8" t="str">
            <v>DEPRECIATION</v>
          </cell>
          <cell r="I8" t="str">
            <v>COMMISSIONED IN</v>
          </cell>
          <cell r="J8" t="str">
            <v>DEPRECIATION</v>
          </cell>
          <cell r="K8" t="str">
            <v>COMMISSIONED IN</v>
          </cell>
          <cell r="L8" t="str">
            <v>DEPRECIATION</v>
          </cell>
          <cell r="M8" t="str">
            <v>COMMISSIONED IN</v>
          </cell>
          <cell r="N8" t="str">
            <v>DEPRECIATION</v>
          </cell>
          <cell r="O8" t="str">
            <v>COMMISSIONED IN</v>
          </cell>
          <cell r="P8" t="str">
            <v>DEPRECIATION</v>
          </cell>
          <cell r="Q8" t="str">
            <v>COMMISSIONED IN</v>
          </cell>
          <cell r="R8" t="str">
            <v>DEPRECIATION</v>
          </cell>
          <cell r="S8" t="str">
            <v>COMMISSIONED IN</v>
          </cell>
          <cell r="T8" t="str">
            <v>DEPRECIATION</v>
          </cell>
          <cell r="U8" t="str">
            <v>COMMISSIONED IN</v>
          </cell>
          <cell r="V8" t="str">
            <v>DEPRECIATION</v>
          </cell>
          <cell r="W8" t="str">
            <v>COMMISSIONED IN</v>
          </cell>
          <cell r="X8" t="str">
            <v>DEPRECIATION</v>
          </cell>
          <cell r="Y8" t="str">
            <v>COMMISSIONED IN</v>
          </cell>
          <cell r="Z8" t="str">
            <v>DEPRECIATION</v>
          </cell>
          <cell r="AA8" t="str">
            <v>COMMISSIONED IN</v>
          </cell>
          <cell r="AB8" t="str">
            <v>DEPRECIATION</v>
          </cell>
          <cell r="AC8" t="str">
            <v>COMMISSIONED IN</v>
          </cell>
          <cell r="AD8" t="str">
            <v>DEPRECIATION</v>
          </cell>
          <cell r="AE8" t="str">
            <v>COMMISSIONED IN</v>
          </cell>
          <cell r="AF8" t="str">
            <v>DEPRECIATION</v>
          </cell>
          <cell r="AG8" t="str">
            <v>COMMISSIONED IN</v>
          </cell>
          <cell r="AH8" t="str">
            <v>DEPRECIATION</v>
          </cell>
          <cell r="AI8" t="str">
            <v>COMMISSIONED IN</v>
          </cell>
          <cell r="AJ8" t="str">
            <v>DEPRECIATION</v>
          </cell>
          <cell r="AK8" t="str">
            <v>COMMISSIONED IN</v>
          </cell>
          <cell r="AL8" t="str">
            <v>DEPRECIATION</v>
          </cell>
          <cell r="AM8" t="str">
            <v>COMMISSIONED IN</v>
          </cell>
          <cell r="AN8" t="str">
            <v>DEPRECIATION</v>
          </cell>
          <cell r="AO8" t="str">
            <v>COMMISSIONED IN</v>
          </cell>
          <cell r="AP8" t="str">
            <v>DEPRECIATION</v>
          </cell>
          <cell r="AQ8" t="str">
            <v>COMMISSIONED IN</v>
          </cell>
          <cell r="AR8" t="str">
            <v>DEPRECIATION</v>
          </cell>
          <cell r="AS8" t="str">
            <v>COMMISSIONED IN</v>
          </cell>
          <cell r="AT8" t="str">
            <v>DEPRECIATION</v>
          </cell>
          <cell r="AU8" t="str">
            <v>COMMISSIONED IN</v>
          </cell>
          <cell r="AV8" t="str">
            <v>DEPRECIATION</v>
          </cell>
          <cell r="AW8" t="str">
            <v>ASSETS</v>
          </cell>
          <cell r="AX8" t="str">
            <v>DEPRECIATION</v>
          </cell>
          <cell r="AY8" t="str">
            <v>DEPRECIATION</v>
          </cell>
          <cell r="AZ8" t="str">
            <v xml:space="preserve">PROVIDED IN A/C </v>
          </cell>
        </row>
        <row r="9">
          <cell r="C9" t="str">
            <v>YEARS</v>
          </cell>
          <cell r="D9" t="str">
            <v>(%)</v>
          </cell>
          <cell r="E9" t="str">
            <v>195152 TO 8586</v>
          </cell>
          <cell r="F9" t="str">
            <v>RUPEES(31.3.2006)</v>
          </cell>
          <cell r="G9" t="str">
            <v>1984-85</v>
          </cell>
          <cell r="H9" t="str">
            <v>RUPEES(31.3.2006)</v>
          </cell>
          <cell r="I9" t="str">
            <v>1985-86</v>
          </cell>
          <cell r="J9" t="str">
            <v>RUPEES(31.3.2006)</v>
          </cell>
          <cell r="K9" t="str">
            <v>1986-87</v>
          </cell>
          <cell r="L9" t="str">
            <v>RUPEES(31.3.2006)</v>
          </cell>
          <cell r="M9" t="str">
            <v>1987-88</v>
          </cell>
          <cell r="N9" t="str">
            <v>RUPEES(31.3.2006)</v>
          </cell>
          <cell r="O9" t="str">
            <v>1988-89</v>
          </cell>
          <cell r="P9" t="str">
            <v>RUPEES(31.3.2006)</v>
          </cell>
          <cell r="Q9" t="str">
            <v>1989-90</v>
          </cell>
          <cell r="R9" t="str">
            <v>RUPEES(31.3.2006)</v>
          </cell>
          <cell r="S9" t="str">
            <v>1990-91</v>
          </cell>
          <cell r="T9" t="str">
            <v>RUPEES(31.3.2006)</v>
          </cell>
          <cell r="U9" t="str">
            <v>1991-92</v>
          </cell>
          <cell r="V9" t="str">
            <v>RUPEES(31.3.2006)</v>
          </cell>
          <cell r="W9" t="str">
            <v>1992-93</v>
          </cell>
          <cell r="X9" t="str">
            <v>RUPEES(31.3.2006)</v>
          </cell>
          <cell r="Y9" t="str">
            <v>1993-94</v>
          </cell>
          <cell r="Z9" t="str">
            <v>RUPEES(31.3.2006)</v>
          </cell>
          <cell r="AA9" t="str">
            <v>1994-95</v>
          </cell>
          <cell r="AB9" t="str">
            <v>RUPEES(31.3.2006)</v>
          </cell>
          <cell r="AC9" t="str">
            <v>1995-96</v>
          </cell>
          <cell r="AD9" t="str">
            <v>RUPEES(31.3.2006)</v>
          </cell>
          <cell r="AE9" t="str">
            <v>1996-97</v>
          </cell>
          <cell r="AF9" t="str">
            <v>RUPEES(31.3.2006)</v>
          </cell>
          <cell r="AG9" t="str">
            <v>1997-98</v>
          </cell>
          <cell r="AH9" t="str">
            <v>RUPEES(31.3.2006)</v>
          </cell>
          <cell r="AI9" t="str">
            <v>1998-99</v>
          </cell>
          <cell r="AJ9" t="str">
            <v>RUPEES(31.3.2006)</v>
          </cell>
          <cell r="AK9" t="str">
            <v>1999-2000</v>
          </cell>
          <cell r="AL9" t="str">
            <v>RUPEES(31.3.2006)</v>
          </cell>
          <cell r="AM9" t="str">
            <v>2000-01</v>
          </cell>
          <cell r="AN9" t="str">
            <v>RUPEES(31.3.2006)</v>
          </cell>
          <cell r="AO9" t="str">
            <v>2001-02</v>
          </cell>
          <cell r="AP9" t="str">
            <v>RUPEES(31.3.2006)</v>
          </cell>
          <cell r="AQ9" t="str">
            <v>2002-03</v>
          </cell>
          <cell r="AR9" t="str">
            <v>RUPEES(31.3.2006)</v>
          </cell>
          <cell r="AS9" t="str">
            <v>2003-04</v>
          </cell>
          <cell r="AT9" t="str">
            <v>RUPEES(31.3.2006)</v>
          </cell>
          <cell r="AU9" t="str">
            <v>2004-05</v>
          </cell>
          <cell r="AV9" t="str">
            <v>RUPEES(31.3.2006)</v>
          </cell>
          <cell r="AW9" t="str">
            <v>AS ON 31.05.2005</v>
          </cell>
          <cell r="AX9" t="str">
            <v>RUPEES(31.3.2006)</v>
          </cell>
          <cell r="AY9" t="str">
            <v>RUPEES(31.3.2005)</v>
          </cell>
          <cell r="AZ9" t="str">
            <v>OF 2005-06</v>
          </cell>
        </row>
        <row r="10">
          <cell r="A10" t="str">
            <v>=</v>
          </cell>
          <cell r="B10" t="str">
            <v>=</v>
          </cell>
          <cell r="C10" t="str">
            <v>=</v>
          </cell>
          <cell r="D10" t="str">
            <v>=</v>
          </cell>
          <cell r="E10" t="str">
            <v>=</v>
          </cell>
          <cell r="F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W10" t="str">
            <v>=</v>
          </cell>
          <cell r="AX10" t="str">
            <v>=</v>
          </cell>
          <cell r="AY10" t="str">
            <v>=</v>
          </cell>
          <cell r="AZ10" t="str">
            <v>=</v>
          </cell>
        </row>
        <row r="11">
          <cell r="A11">
            <v>1</v>
          </cell>
          <cell r="B11">
            <v>2</v>
          </cell>
          <cell r="C11">
            <v>3</v>
          </cell>
          <cell r="D11">
            <v>4</v>
          </cell>
          <cell r="E11">
            <v>5</v>
          </cell>
          <cell r="F11">
            <v>6</v>
          </cell>
          <cell r="G11">
            <v>7</v>
          </cell>
          <cell r="H11">
            <v>8</v>
          </cell>
          <cell r="I11">
            <v>9</v>
          </cell>
          <cell r="J11">
            <v>10</v>
          </cell>
          <cell r="K11">
            <v>11</v>
          </cell>
          <cell r="L11">
            <v>12</v>
          </cell>
          <cell r="M11">
            <v>13</v>
          </cell>
          <cell r="N11">
            <v>14</v>
          </cell>
          <cell r="O11">
            <v>15</v>
          </cell>
          <cell r="P11">
            <v>16</v>
          </cell>
          <cell r="Q11">
            <v>17</v>
          </cell>
          <cell r="R11">
            <v>18</v>
          </cell>
          <cell r="S11">
            <v>19</v>
          </cell>
          <cell r="T11">
            <v>20</v>
          </cell>
          <cell r="U11">
            <v>21</v>
          </cell>
          <cell r="V11">
            <v>22</v>
          </cell>
          <cell r="W11">
            <v>23</v>
          </cell>
          <cell r="X11">
            <v>24</v>
          </cell>
          <cell r="Y11">
            <v>25</v>
          </cell>
          <cell r="Z11">
            <v>26</v>
          </cell>
          <cell r="AA11">
            <v>27</v>
          </cell>
          <cell r="AB11">
            <v>28</v>
          </cell>
          <cell r="AC11">
            <v>29</v>
          </cell>
          <cell r="AD11">
            <v>30</v>
          </cell>
          <cell r="AE11">
            <v>31</v>
          </cell>
          <cell r="AF11">
            <v>32</v>
          </cell>
          <cell r="AG11">
            <v>33</v>
          </cell>
          <cell r="AH11">
            <v>34</v>
          </cell>
          <cell r="AI11">
            <v>35</v>
          </cell>
          <cell r="AJ11">
            <v>36</v>
          </cell>
          <cell r="AK11">
            <v>37</v>
          </cell>
          <cell r="AL11">
            <v>38</v>
          </cell>
          <cell r="AM11">
            <v>39</v>
          </cell>
          <cell r="AN11">
            <v>40</v>
          </cell>
          <cell r="AO11">
            <v>41</v>
          </cell>
          <cell r="AP11">
            <v>42</v>
          </cell>
          <cell r="AQ11">
            <v>43</v>
          </cell>
          <cell r="AR11">
            <v>44</v>
          </cell>
          <cell r="AS11">
            <v>45</v>
          </cell>
          <cell r="AT11">
            <v>46</v>
          </cell>
          <cell r="AU11">
            <v>47</v>
          </cell>
          <cell r="AV11">
            <v>48</v>
          </cell>
          <cell r="AW11">
            <v>49</v>
          </cell>
          <cell r="AX11">
            <v>50</v>
          </cell>
          <cell r="AY11">
            <v>51</v>
          </cell>
          <cell r="AZ11" t="str">
            <v>52=51-50</v>
          </cell>
        </row>
        <row r="12">
          <cell r="A12" t="str">
            <v>=</v>
          </cell>
          <cell r="B12" t="str">
            <v>=</v>
          </cell>
          <cell r="C12" t="str">
            <v>=</v>
          </cell>
          <cell r="D12" t="str">
            <v>=</v>
          </cell>
          <cell r="E12" t="str">
            <v>=</v>
          </cell>
          <cell r="F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W12" t="str">
            <v>=</v>
          </cell>
          <cell r="AX12" t="str">
            <v>=</v>
          </cell>
          <cell r="AY12" t="str">
            <v>=</v>
          </cell>
          <cell r="AZ12" t="str">
            <v>=</v>
          </cell>
        </row>
        <row r="13">
          <cell r="A13">
            <v>10.1</v>
          </cell>
          <cell r="B13" t="str">
            <v>LAND &amp; LAND RIGHTS</v>
          </cell>
        </row>
        <row r="14">
          <cell r="A14" t="str">
            <v>-----------------</v>
          </cell>
          <cell r="B14" t="str">
            <v>------------------</v>
          </cell>
        </row>
        <row r="15">
          <cell r="A15">
            <v>10101</v>
          </cell>
          <cell r="B15" t="str">
            <v>LAND OWNED UNDER FULL TITLE</v>
          </cell>
        </row>
        <row r="16">
          <cell r="A16">
            <v>10104</v>
          </cell>
          <cell r="B16" t="str">
            <v xml:space="preserve">COST OF LAND DEVELOPMENT NOT OF </v>
          </cell>
        </row>
        <row r="17">
          <cell r="B17" t="str">
            <v>ENDURING NATURE</v>
          </cell>
        </row>
        <row r="18">
          <cell r="A18">
            <v>10105</v>
          </cell>
          <cell r="B18" t="str">
            <v>COST OF LAND RESETTLEMENT (PROVISIONAL)</v>
          </cell>
        </row>
        <row r="19">
          <cell r="A19">
            <v>10106</v>
          </cell>
          <cell r="B19" t="str">
            <v xml:space="preserve">COST OF TREE PLANTATION FOR TREE CUTDOWN </v>
          </cell>
        </row>
        <row r="20">
          <cell r="A20" t="str">
            <v>-</v>
          </cell>
          <cell r="B20" t="str">
            <v>-</v>
          </cell>
        </row>
        <row r="21">
          <cell r="A21">
            <v>10102</v>
          </cell>
          <cell r="B21" t="str">
            <v>LAND HELD UNDER LEASE</v>
          </cell>
        </row>
        <row r="22">
          <cell r="A22">
            <v>10103</v>
          </cell>
          <cell r="B22" t="str">
            <v>COST OF LAND DEVELOPMENT ON LEASEHOLD LAND</v>
          </cell>
        </row>
        <row r="23">
          <cell r="A23" t="str">
            <v>-</v>
          </cell>
          <cell r="B23" t="str">
            <v>-</v>
          </cell>
        </row>
        <row r="24">
          <cell r="B24" t="str">
            <v>TOTAL OF 10.1</v>
          </cell>
        </row>
        <row r="25">
          <cell r="A25" t="str">
            <v>-</v>
          </cell>
          <cell r="B25" t="str">
            <v>-</v>
          </cell>
        </row>
        <row r="27">
          <cell r="A27">
            <v>10.199999999999999</v>
          </cell>
          <cell r="B27" t="str">
            <v>BUILDINGS CONTAINING GEN.,TRANSMISSION</v>
          </cell>
        </row>
        <row r="28">
          <cell r="B28" t="str">
            <v>&amp; DISTRIBUTION EQUIPMENT</v>
          </cell>
        </row>
        <row r="29">
          <cell r="A29" t="str">
            <v>------------------------------------</v>
          </cell>
          <cell r="B29" t="str">
            <v>-----------------------------------</v>
          </cell>
        </row>
        <row r="30">
          <cell r="A30">
            <v>10201</v>
          </cell>
          <cell r="B30" t="str">
            <v xml:space="preserve">BUILDINGS CONTAINING THERMO ELECTRIC </v>
          </cell>
        </row>
        <row r="31">
          <cell r="B31" t="str">
            <v>GENERATION EQUIPMENT</v>
          </cell>
        </row>
        <row r="32">
          <cell r="A32" t="str">
            <v>-</v>
          </cell>
          <cell r="B32" t="str">
            <v>-</v>
          </cell>
        </row>
        <row r="33">
          <cell r="A33">
            <v>10202</v>
          </cell>
          <cell r="B33" t="str">
            <v xml:space="preserve">BUILDINGS CONTAINING HYDRO GENERATION </v>
          </cell>
        </row>
        <row r="34">
          <cell r="B34" t="str">
            <v>EQUIPMENT</v>
          </cell>
        </row>
        <row r="35">
          <cell r="A35" t="str">
            <v>-</v>
          </cell>
          <cell r="B35" t="str">
            <v>-</v>
          </cell>
        </row>
        <row r="36">
          <cell r="A36">
            <v>10203</v>
          </cell>
          <cell r="B36" t="str">
            <v>BUILDINGS CONTAINING DIESEL ELEC.GEN.PLANT</v>
          </cell>
        </row>
        <row r="37">
          <cell r="A37" t="str">
            <v>-</v>
          </cell>
          <cell r="B37" t="str">
            <v>-</v>
          </cell>
        </row>
        <row r="38">
          <cell r="A38">
            <v>10207</v>
          </cell>
          <cell r="B38" t="str">
            <v xml:space="preserve">BUILDINGS CONTAINING TRANSMISSION </v>
          </cell>
        </row>
        <row r="39">
          <cell r="B39" t="str">
            <v>INSTALLATION</v>
          </cell>
        </row>
        <row r="40">
          <cell r="A40">
            <v>10208</v>
          </cell>
          <cell r="B40" t="str">
            <v xml:space="preserve">BUILDINGS CONTAINING DISTRIBUTION </v>
          </cell>
        </row>
        <row r="41">
          <cell r="B41" t="str">
            <v>INSTALLATION</v>
          </cell>
        </row>
        <row r="42">
          <cell r="A42">
            <v>10211</v>
          </cell>
          <cell r="B42" t="str">
            <v>OFFICE BUILDINGS</v>
          </cell>
        </row>
        <row r="43">
          <cell r="A43">
            <v>10222</v>
          </cell>
          <cell r="B43" t="str">
            <v>RESIDENTIAL COLONY FOR STAFF</v>
          </cell>
        </row>
        <row r="44">
          <cell r="A44">
            <v>10233</v>
          </cell>
          <cell r="B44" t="str">
            <v>OTHER BUILDINGS</v>
          </cell>
        </row>
        <row r="45">
          <cell r="A45">
            <v>10234</v>
          </cell>
          <cell r="B45" t="str">
            <v>P.C.C. BUILDINGS</v>
          </cell>
        </row>
        <row r="46">
          <cell r="A46">
            <v>10235</v>
          </cell>
          <cell r="B46" t="str">
            <v>M.T.R.U. BUILDINGS</v>
          </cell>
        </row>
        <row r="47">
          <cell r="A47">
            <v>10236</v>
          </cell>
          <cell r="B47" t="str">
            <v>M.R.U. BUILDINGS</v>
          </cell>
        </row>
        <row r="48">
          <cell r="A48">
            <v>10237</v>
          </cell>
          <cell r="B48" t="str">
            <v>FABRICATION WORKSHOP</v>
          </cell>
        </row>
        <row r="49">
          <cell r="A49" t="str">
            <v>-</v>
          </cell>
          <cell r="B49" t="str">
            <v>-</v>
          </cell>
        </row>
        <row r="50">
          <cell r="B50" t="str">
            <v>TOTAL OF 10.2</v>
          </cell>
        </row>
        <row r="51">
          <cell r="A51" t="str">
            <v>-</v>
          </cell>
          <cell r="B51" t="str">
            <v>-</v>
          </cell>
        </row>
        <row r="53">
          <cell r="A53">
            <v>10.3</v>
          </cell>
          <cell r="B53" t="str">
            <v>HYDRAULIC WORKS</v>
          </cell>
        </row>
        <row r="54">
          <cell r="A54" t="str">
            <v>-</v>
          </cell>
          <cell r="B54" t="str">
            <v>---------------</v>
          </cell>
        </row>
        <row r="55">
          <cell r="A55">
            <v>10301</v>
          </cell>
          <cell r="B55" t="str">
            <v xml:space="preserve">HYD.WORKS HYDRO ELEC.SYSTEMS,WEIRS,DAMS </v>
          </cell>
        </row>
        <row r="56">
          <cell r="A56" t="str">
            <v>-</v>
          </cell>
          <cell r="B56" t="str">
            <v>-</v>
          </cell>
        </row>
        <row r="57">
          <cell r="A57">
            <v>10310</v>
          </cell>
          <cell r="B57" t="str">
            <v>COOLING WATER SYSTEM</v>
          </cell>
        </row>
        <row r="58">
          <cell r="A58">
            <v>10311</v>
          </cell>
          <cell r="B58" t="str">
            <v>COOLING TOWERS</v>
          </cell>
        </row>
        <row r="59">
          <cell r="A59">
            <v>10315</v>
          </cell>
          <cell r="B59" t="str">
            <v xml:space="preserve">SWEET WATER ARRANGEMENTS INCLUDING </v>
          </cell>
        </row>
        <row r="60">
          <cell r="B60" t="str">
            <v>RESERVOIRS</v>
          </cell>
        </row>
        <row r="61">
          <cell r="A61">
            <v>10319</v>
          </cell>
          <cell r="B61" t="str">
            <v>DUCTS AND PENSTOCK</v>
          </cell>
        </row>
        <row r="62">
          <cell r="A62">
            <v>10320</v>
          </cell>
          <cell r="B62" t="str">
            <v xml:space="preserve">PLANT,PIPELINES FOR WATER SUPPLY IN </v>
          </cell>
        </row>
        <row r="63">
          <cell r="B63" t="str">
            <v>RESIDENTIAL COLONY</v>
          </cell>
        </row>
        <row r="64">
          <cell r="A64">
            <v>10321</v>
          </cell>
          <cell r="B64" t="str">
            <v>RESERVOIR,FOREBAY AND INTAKE</v>
          </cell>
        </row>
        <row r="65">
          <cell r="A65" t="str">
            <v>-</v>
          </cell>
          <cell r="B65" t="str">
            <v>-</v>
          </cell>
        </row>
        <row r="66">
          <cell r="A66">
            <v>10305</v>
          </cell>
          <cell r="B66" t="str">
            <v xml:space="preserve">HYDEL WORKS,RCC PIPES,SURGE TANKS,VALVES </v>
          </cell>
        </row>
        <row r="67">
          <cell r="A67">
            <v>10322</v>
          </cell>
          <cell r="B67" t="str">
            <v>DRAINAGE AND SEWARAGE RESIDENTIAL COLONY</v>
          </cell>
        </row>
        <row r="68">
          <cell r="A68">
            <v>10323</v>
          </cell>
          <cell r="B68" t="str">
            <v>BYPASS CHANNEL AND ITS WORKS</v>
          </cell>
        </row>
        <row r="69">
          <cell r="A69">
            <v>10324</v>
          </cell>
          <cell r="B69" t="str">
            <v>TAIL RACE CHANNEL</v>
          </cell>
        </row>
        <row r="70">
          <cell r="A70">
            <v>10325</v>
          </cell>
          <cell r="B70" t="str">
            <v>MISC. WORKS</v>
          </cell>
        </row>
        <row r="71">
          <cell r="A71" t="str">
            <v>-</v>
          </cell>
          <cell r="B71" t="str">
            <v>-</v>
          </cell>
        </row>
        <row r="72">
          <cell r="B72" t="str">
            <v>TOTAL OF 10.3</v>
          </cell>
        </row>
        <row r="73">
          <cell r="A73" t="str">
            <v>-</v>
          </cell>
          <cell r="B73" t="str">
            <v>-</v>
          </cell>
        </row>
        <row r="75">
          <cell r="A75">
            <v>10.4</v>
          </cell>
          <cell r="B75" t="str">
            <v>OTHER CIVIL WORKS</v>
          </cell>
        </row>
        <row r="76">
          <cell r="A76" t="str">
            <v>-</v>
          </cell>
          <cell r="B76" t="str">
            <v>-----------------</v>
          </cell>
        </row>
        <row r="77">
          <cell r="A77">
            <v>10401</v>
          </cell>
          <cell r="B77" t="str">
            <v>PUCCA ROADS</v>
          </cell>
        </row>
        <row r="78">
          <cell r="A78">
            <v>10402</v>
          </cell>
          <cell r="B78" t="str">
            <v>KUCHCHA ROADS</v>
          </cell>
        </row>
        <row r="79">
          <cell r="A79">
            <v>10412</v>
          </cell>
          <cell r="B79" t="str">
            <v>RAILWAY SIDINGS</v>
          </cell>
        </row>
        <row r="80">
          <cell r="A80">
            <v>10415</v>
          </cell>
          <cell r="B80" t="str">
            <v>RIVER INTAKE WELL</v>
          </cell>
        </row>
        <row r="81">
          <cell r="A81">
            <v>10420</v>
          </cell>
          <cell r="B81" t="str">
            <v>BOUNDARY WALL FOR CIVIL BUILDINGS</v>
          </cell>
        </row>
        <row r="82">
          <cell r="A82">
            <v>10425</v>
          </cell>
          <cell r="B82" t="str">
            <v>CONSTRUCTION OF DISCHARGE CANAL</v>
          </cell>
        </row>
        <row r="83">
          <cell r="A83" t="str">
            <v>-</v>
          </cell>
          <cell r="B83" t="str">
            <v>-</v>
          </cell>
        </row>
        <row r="84">
          <cell r="B84" t="str">
            <v>TOTAL OF 10.4</v>
          </cell>
        </row>
        <row r="85">
          <cell r="A85" t="str">
            <v>-</v>
          </cell>
          <cell r="B85" t="str">
            <v>-</v>
          </cell>
        </row>
        <row r="87">
          <cell r="A87">
            <v>10.5</v>
          </cell>
          <cell r="B87" t="str">
            <v>PLANT AND MACHINERY</v>
          </cell>
        </row>
        <row r="88">
          <cell r="A88" t="str">
            <v>-</v>
          </cell>
          <cell r="B88" t="str">
            <v>-------------------</v>
          </cell>
        </row>
        <row r="89">
          <cell r="A89">
            <v>10501</v>
          </cell>
          <cell r="B89" t="str">
            <v>BOILER PLANT &amp; EQUIPMENTS</v>
          </cell>
        </row>
        <row r="90">
          <cell r="A90">
            <v>10502</v>
          </cell>
          <cell r="B90" t="str">
            <v>FURNACE/BURNERS</v>
          </cell>
        </row>
        <row r="91">
          <cell r="A91">
            <v>10503</v>
          </cell>
          <cell r="B91" t="str">
            <v>TURBINE GENERATOR STEAM POWER GEN.</v>
          </cell>
        </row>
        <row r="92">
          <cell r="A92">
            <v>10504</v>
          </cell>
          <cell r="B92" t="str">
            <v>PLANT FOUNDATION FOR STEAM POWER PLANT</v>
          </cell>
        </row>
        <row r="93">
          <cell r="A93">
            <v>10507</v>
          </cell>
          <cell r="B93" t="str">
            <v>ASH HANDLING PLANT</v>
          </cell>
        </row>
        <row r="94">
          <cell r="A94">
            <v>10509</v>
          </cell>
          <cell r="B94" t="str">
            <v>AUXILIRIES IN STEAM POWER PLANT</v>
          </cell>
        </row>
        <row r="95">
          <cell r="A95">
            <v>10511</v>
          </cell>
          <cell r="B95" t="str">
            <v>LOCOMOTIVES AND WAGONS</v>
          </cell>
        </row>
        <row r="96">
          <cell r="A96">
            <v>10512</v>
          </cell>
          <cell r="B96" t="str">
            <v>COAL CONVEYOR &amp; CRUSHER</v>
          </cell>
        </row>
        <row r="97">
          <cell r="A97">
            <v>10515</v>
          </cell>
          <cell r="B97" t="str">
            <v>COAL HANDLING PLANT &amp; HANDLING EQUIPMENT</v>
          </cell>
        </row>
        <row r="98">
          <cell r="A98">
            <v>10516</v>
          </cell>
          <cell r="B98" t="str">
            <v>OIL TANKS, OIL HANDING PLANT &amp; EQUIPMENT</v>
          </cell>
        </row>
        <row r="99">
          <cell r="A99">
            <v>10520</v>
          </cell>
          <cell r="B99" t="str">
            <v>INSTRUMENTATION AND CONTROLS</v>
          </cell>
        </row>
        <row r="100">
          <cell r="A100">
            <v>10541</v>
          </cell>
          <cell r="B100" t="str">
            <v xml:space="preserve">TRANSMISSION PLANT-TRANSFORMERS </v>
          </cell>
        </row>
        <row r="101">
          <cell r="B101" t="str">
            <v>100 KVA &amp; ABOVE</v>
          </cell>
        </row>
        <row r="102">
          <cell r="A102">
            <v>10542</v>
          </cell>
          <cell r="B102" t="str">
            <v>OTHER TRANSFORMERS - POWER HOUSE</v>
          </cell>
        </row>
        <row r="103">
          <cell r="A103">
            <v>10543</v>
          </cell>
          <cell r="B103" t="str">
            <v xml:space="preserve">OTHER TRANS.PLANT SUB EQUIP. FIXED </v>
          </cell>
        </row>
        <row r="104">
          <cell r="B104" t="str">
            <v>APPARATUS</v>
          </cell>
        </row>
        <row r="105">
          <cell r="A105">
            <v>10544</v>
          </cell>
          <cell r="B105" t="str">
            <v xml:space="preserve">SUBSTATION TRANSFORMER &amp; KIOSKS </v>
          </cell>
        </row>
        <row r="106">
          <cell r="B106" t="str">
            <v>100 KVA &amp; ABOVE</v>
          </cell>
        </row>
        <row r="107">
          <cell r="A107">
            <v>10545</v>
          </cell>
          <cell r="B107" t="str">
            <v xml:space="preserve">SUBSTATION TRANSFORMER &amp; KIOSKS </v>
          </cell>
        </row>
        <row r="108">
          <cell r="B108" t="str">
            <v>BELOW 100 KVA</v>
          </cell>
        </row>
        <row r="109">
          <cell r="A109">
            <v>10546</v>
          </cell>
          <cell r="B109" t="str">
            <v>LINE TRANSFORMER BELOW 100 KVA</v>
          </cell>
        </row>
        <row r="110">
          <cell r="A110">
            <v>10561</v>
          </cell>
          <cell r="B110" t="str">
            <v>SWITCHGEARS INCLUDING CABLE CONNECTIONS</v>
          </cell>
        </row>
        <row r="111">
          <cell r="A111">
            <v>10565</v>
          </cell>
          <cell r="B111" t="str">
            <v>FABRICATION SHOP/WORKSHOP PLANT &amp; EQUIP.</v>
          </cell>
        </row>
        <row r="112">
          <cell r="A112">
            <v>10567</v>
          </cell>
          <cell r="B112" t="str">
            <v>LIGHTNING ARRESTORS</v>
          </cell>
        </row>
        <row r="113">
          <cell r="A113" t="str">
            <v>-</v>
          </cell>
          <cell r="B113" t="str">
            <v>-</v>
          </cell>
        </row>
        <row r="114">
          <cell r="A114">
            <v>10531</v>
          </cell>
          <cell r="B114" t="str">
            <v>HYDEL POWER GENERATION PLANTS</v>
          </cell>
        </row>
        <row r="115">
          <cell r="A115">
            <v>10532</v>
          </cell>
          <cell r="B115" t="str">
            <v xml:space="preserve">PLANT FOUNDATION FOR HYDEL POWER </v>
          </cell>
        </row>
        <row r="116">
          <cell r="B116" t="str">
            <v>GENERATING PLANT</v>
          </cell>
        </row>
        <row r="117">
          <cell r="A117">
            <v>10535</v>
          </cell>
          <cell r="B117" t="str">
            <v>AUXILIRIES IN HYDEL POWER PLANTS</v>
          </cell>
        </row>
        <row r="118">
          <cell r="A118" t="str">
            <v>-</v>
          </cell>
          <cell r="B118" t="str">
            <v>-</v>
          </cell>
        </row>
        <row r="119">
          <cell r="A119">
            <v>10517</v>
          </cell>
          <cell r="B119" t="str">
            <v>GAS STATIONS ,GAS PIPELINES ETC.</v>
          </cell>
        </row>
        <row r="120">
          <cell r="A120">
            <v>10536</v>
          </cell>
          <cell r="B120" t="str">
            <v>GAS POWER PLANTS</v>
          </cell>
        </row>
        <row r="121">
          <cell r="A121">
            <v>10537</v>
          </cell>
          <cell r="B121" t="str">
            <v>PLANT FOUNDATION FOR GAS POWER PLANTS</v>
          </cell>
        </row>
        <row r="122">
          <cell r="A122">
            <v>10538</v>
          </cell>
          <cell r="B122" t="str">
            <v>AUXILIRIES IN GAS POWER PLANTS</v>
          </cell>
        </row>
        <row r="123">
          <cell r="A123" t="str">
            <v>-</v>
          </cell>
          <cell r="B123" t="str">
            <v>-</v>
          </cell>
        </row>
        <row r="125">
          <cell r="A125">
            <v>10551</v>
          </cell>
          <cell r="B125" t="str">
            <v>MATERIAL HANDLING EQUIPMENT-EARTHMOVERS</v>
          </cell>
        </row>
        <row r="126">
          <cell r="B126" t="str">
            <v>BULLDOZER</v>
          </cell>
        </row>
        <row r="127">
          <cell r="A127">
            <v>10552</v>
          </cell>
          <cell r="B127" t="str">
            <v>MATERIAL HANDLING EQUIP. CEMENT - MIXERS</v>
          </cell>
        </row>
        <row r="128">
          <cell r="A128">
            <v>10553</v>
          </cell>
          <cell r="B128" t="str">
            <v>MATERIAL HANDLING EQUIP. CRANES</v>
          </cell>
        </row>
        <row r="129">
          <cell r="A129">
            <v>10555</v>
          </cell>
          <cell r="B129" t="str">
            <v>MATERIAL HANDLING EQUIPMENT - OTHERS</v>
          </cell>
        </row>
        <row r="130">
          <cell r="A130">
            <v>10563</v>
          </cell>
          <cell r="B130" t="str">
            <v>BATTERIES INCLUDING CHARGING EQUIPMENT</v>
          </cell>
        </row>
        <row r="131">
          <cell r="A131">
            <v>10577</v>
          </cell>
          <cell r="B131" t="str">
            <v>AIR-CONDITIONIG PLANT-PORTABLE</v>
          </cell>
        </row>
        <row r="132">
          <cell r="A132" t="str">
            <v>-</v>
          </cell>
          <cell r="B132" t="str">
            <v>-</v>
          </cell>
        </row>
        <row r="133">
          <cell r="A133">
            <v>10568</v>
          </cell>
          <cell r="B133" t="str">
            <v>SYNCHRONOUS CONDENSORS</v>
          </cell>
        </row>
        <row r="134">
          <cell r="A134" t="str">
            <v>-</v>
          </cell>
          <cell r="B134" t="str">
            <v>-</v>
          </cell>
        </row>
        <row r="135">
          <cell r="A135">
            <v>10571</v>
          </cell>
          <cell r="B135" t="str">
            <v xml:space="preserve">COMMUNICATON EQUIPMENT-RADIO &amp; HIGH </v>
          </cell>
        </row>
        <row r="136">
          <cell r="B136" t="str">
            <v>FREQUENCY CARRIER</v>
          </cell>
        </row>
        <row r="137">
          <cell r="A137">
            <v>10572</v>
          </cell>
          <cell r="B137" t="str">
            <v xml:space="preserve">COMMUNICATION EQUIPMENT- TELEPHONES </v>
          </cell>
        </row>
        <row r="138">
          <cell r="A138">
            <v>10574</v>
          </cell>
          <cell r="B138" t="str">
            <v>STATIC MACHINE TOOLS &amp; EQUIPMENTS</v>
          </cell>
        </row>
        <row r="139">
          <cell r="A139">
            <v>10576</v>
          </cell>
          <cell r="B139" t="str">
            <v>AIR-CONDITIONING PLANT-STATIC</v>
          </cell>
        </row>
        <row r="141">
          <cell r="A141">
            <v>10580</v>
          </cell>
          <cell r="B141" t="str">
            <v>REFRIGERATORS AND WATER COOLERS</v>
          </cell>
        </row>
        <row r="142">
          <cell r="A142">
            <v>10581</v>
          </cell>
          <cell r="B142" t="str">
            <v>METER TESTING LABORATORY TOOLS &amp; EQUIP.</v>
          </cell>
        </row>
        <row r="143">
          <cell r="A143">
            <v>10582</v>
          </cell>
          <cell r="B143" t="str">
            <v>EQUIPMENTS IN HOSPITALS/CLINICS</v>
          </cell>
        </row>
        <row r="144">
          <cell r="A144">
            <v>10583</v>
          </cell>
          <cell r="B144" t="str">
            <v>TOOLS AND TACKLES</v>
          </cell>
        </row>
        <row r="145">
          <cell r="A145">
            <v>10584</v>
          </cell>
          <cell r="B145" t="str">
            <v xml:space="preserve">PETROL PUMP REFILLING SERVICE </v>
          </cell>
        </row>
        <row r="146">
          <cell r="B146" t="str">
            <v xml:space="preserve"> </v>
          </cell>
        </row>
        <row r="147">
          <cell r="A147">
            <v>10599</v>
          </cell>
          <cell r="B147" t="str">
            <v xml:space="preserve">OTHER MISC. EQUIPMENTS INCLUDING </v>
          </cell>
        </row>
        <row r="148">
          <cell r="B148" t="str">
            <v>FIRE PROTECTION SYSTEM</v>
          </cell>
        </row>
        <row r="149">
          <cell r="A149" t="str">
            <v>-</v>
          </cell>
          <cell r="B149" t="str">
            <v>-</v>
          </cell>
        </row>
        <row r="150">
          <cell r="B150" t="str">
            <v>TOTAL OF 10.5</v>
          </cell>
        </row>
        <row r="151">
          <cell r="A151" t="str">
            <v>-</v>
          </cell>
          <cell r="B151" t="str">
            <v>-</v>
          </cell>
        </row>
        <row r="153">
          <cell r="A153">
            <v>10.6</v>
          </cell>
          <cell r="B153" t="str">
            <v>LINES,CABLE NETWORK ETC.</v>
          </cell>
        </row>
        <row r="154">
          <cell r="A154" t="str">
            <v>-</v>
          </cell>
          <cell r="B154" t="str">
            <v>-----------------------</v>
          </cell>
        </row>
        <row r="155">
          <cell r="A155">
            <v>10601</v>
          </cell>
          <cell r="B155" t="str">
            <v>OVERHEAD LINES ON FAB.STEEL OPERATING</v>
          </cell>
        </row>
        <row r="156">
          <cell r="B156" t="str">
            <v>AT VOLTAGE &gt; 66 KV</v>
          </cell>
        </row>
        <row r="157">
          <cell r="A157">
            <v>10611</v>
          </cell>
          <cell r="B157" t="str">
            <v xml:space="preserve">UNDERGROUND CABLES - JOINT BOXES </v>
          </cell>
        </row>
        <row r="158">
          <cell r="B158" t="str">
            <v>&amp; DISCONNECTING BOXES</v>
          </cell>
        </row>
        <row r="159">
          <cell r="A159" t="str">
            <v>-</v>
          </cell>
          <cell r="B159" t="str">
            <v>-</v>
          </cell>
        </row>
        <row r="160">
          <cell r="A160">
            <v>10602</v>
          </cell>
          <cell r="B160" t="str">
            <v>OVERHEAD LINES ON STEEL SUPPORT VOLTAGE</v>
          </cell>
        </row>
        <row r="161">
          <cell r="B161" t="str">
            <v>BETWEEN 13.2 AND 66 KV</v>
          </cell>
        </row>
        <row r="162">
          <cell r="A162">
            <v>10603</v>
          </cell>
          <cell r="B162" t="str">
            <v>OVERHEAD LINES ON RCC SUPPORT</v>
          </cell>
        </row>
        <row r="163">
          <cell r="A163">
            <v>10604</v>
          </cell>
          <cell r="B163" t="str">
            <v>OVERHEAD LINES - ON TREATED WOOD SUPPORT</v>
          </cell>
        </row>
        <row r="164">
          <cell r="A164" t="str">
            <v>-</v>
          </cell>
          <cell r="B164" t="str">
            <v>-</v>
          </cell>
        </row>
        <row r="165">
          <cell r="A165">
            <v>10612</v>
          </cell>
          <cell r="B165" t="str">
            <v>UNDERGROUND CABLES - CABLE DUCT SYSTEM</v>
          </cell>
        </row>
        <row r="166">
          <cell r="A166" t="str">
            <v>-</v>
          </cell>
          <cell r="B166" t="str">
            <v>-</v>
          </cell>
        </row>
        <row r="167">
          <cell r="A167">
            <v>10613</v>
          </cell>
          <cell r="B167" t="str">
            <v xml:space="preserve">INTERNAL WIRING INCLUDING FITTINGS </v>
          </cell>
        </row>
        <row r="168">
          <cell r="B168" t="str">
            <v>&amp; FIXTURES</v>
          </cell>
        </row>
        <row r="169">
          <cell r="A169">
            <v>10621</v>
          </cell>
          <cell r="B169" t="str">
            <v>SERVICE CONNECTIONS</v>
          </cell>
        </row>
        <row r="170">
          <cell r="A170">
            <v>10625</v>
          </cell>
          <cell r="B170" t="str">
            <v>TEMPORARY CONNECTIONS FOR SUPPLY OF POWER</v>
          </cell>
        </row>
        <row r="171">
          <cell r="A171">
            <v>10631</v>
          </cell>
          <cell r="B171" t="str">
            <v>METERING EQUIPMENTS</v>
          </cell>
        </row>
        <row r="172">
          <cell r="A172">
            <v>10641</v>
          </cell>
          <cell r="B172" t="str">
            <v>STREET LIGHTING AND SIGNAL SYSTEM</v>
          </cell>
        </row>
        <row r="173">
          <cell r="A173">
            <v>10651</v>
          </cell>
          <cell r="B173" t="str">
            <v xml:space="preserve">SINGLE POINT CONNECTIONS TO </v>
          </cell>
        </row>
        <row r="174">
          <cell r="B174" t="str">
            <v>JHUGGI JHOPDIES</v>
          </cell>
        </row>
        <row r="175">
          <cell r="A175">
            <v>10685</v>
          </cell>
          <cell r="B175" t="str">
            <v>MISCELLANEOUS EQUIPMENTS</v>
          </cell>
        </row>
        <row r="176">
          <cell r="A176" t="str">
            <v>-</v>
          </cell>
          <cell r="B176" t="str">
            <v>-</v>
          </cell>
        </row>
        <row r="177">
          <cell r="B177" t="str">
            <v>TOTAL OF 10.6</v>
          </cell>
        </row>
        <row r="178">
          <cell r="A178" t="str">
            <v>-</v>
          </cell>
          <cell r="B178" t="str">
            <v>-</v>
          </cell>
        </row>
        <row r="180">
          <cell r="A180">
            <v>10.7</v>
          </cell>
          <cell r="B180" t="str">
            <v>VEHICLES</v>
          </cell>
        </row>
        <row r="181">
          <cell r="A181" t="str">
            <v>-</v>
          </cell>
          <cell r="B181" t="str">
            <v>--------</v>
          </cell>
        </row>
        <row r="182">
          <cell r="A182">
            <v>10710</v>
          </cell>
          <cell r="B182" t="str">
            <v>TRUCKS,TEMPOS &amp; TREKKERS</v>
          </cell>
        </row>
        <row r="183">
          <cell r="A183">
            <v>10720</v>
          </cell>
          <cell r="B183" t="str">
            <v>BUSES INCLUDING MINI BUSES</v>
          </cell>
        </row>
        <row r="184">
          <cell r="A184">
            <v>10730</v>
          </cell>
          <cell r="B184" t="str">
            <v>JEEPS AND MOTER CARS</v>
          </cell>
        </row>
        <row r="185">
          <cell r="A185">
            <v>10740</v>
          </cell>
          <cell r="B185" t="str">
            <v>OTHER VEHICLES</v>
          </cell>
        </row>
        <row r="186">
          <cell r="A186" t="str">
            <v>-</v>
          </cell>
          <cell r="B186" t="str">
            <v>-</v>
          </cell>
        </row>
        <row r="187">
          <cell r="B187" t="str">
            <v>TOTAL OF 10.7</v>
          </cell>
        </row>
        <row r="188">
          <cell r="A188" t="str">
            <v>-</v>
          </cell>
          <cell r="B188" t="str">
            <v>-</v>
          </cell>
        </row>
        <row r="189">
          <cell r="A189" t="str">
            <v>-</v>
          </cell>
          <cell r="B189" t="str">
            <v>-</v>
          </cell>
        </row>
        <row r="190">
          <cell r="A190">
            <v>10800</v>
          </cell>
          <cell r="B190" t="str">
            <v>FURNITURE AND FIXTURES</v>
          </cell>
        </row>
        <row r="191">
          <cell r="A191" t="str">
            <v>-</v>
          </cell>
          <cell r="B191" t="str">
            <v>----------------------</v>
          </cell>
        </row>
        <row r="193">
          <cell r="A193">
            <v>10.9</v>
          </cell>
          <cell r="B193" t="str">
            <v>OFFICE EQUIPMENTS</v>
          </cell>
        </row>
        <row r="194">
          <cell r="A194" t="str">
            <v>-</v>
          </cell>
          <cell r="B194" t="str">
            <v>-----------------</v>
          </cell>
        </row>
        <row r="195">
          <cell r="A195">
            <v>10901</v>
          </cell>
          <cell r="B195" t="str">
            <v>CALCULATORS</v>
          </cell>
        </row>
        <row r="196">
          <cell r="A196">
            <v>10902</v>
          </cell>
          <cell r="B196" t="str">
            <v>TYPEWRITERS</v>
          </cell>
        </row>
        <row r="197">
          <cell r="A197">
            <v>10903</v>
          </cell>
          <cell r="B197" t="str">
            <v>CASH REGISTERS IN CASH OFFICES</v>
          </cell>
        </row>
        <row r="198">
          <cell r="A198">
            <v>10904</v>
          </cell>
          <cell r="B198" t="str">
            <v>OTHERS</v>
          </cell>
        </row>
        <row r="199">
          <cell r="A199">
            <v>10905</v>
          </cell>
          <cell r="B199" t="str">
            <v>COMPUTERS</v>
          </cell>
        </row>
        <row r="200">
          <cell r="A200" t="str">
            <v>-</v>
          </cell>
          <cell r="B200" t="str">
            <v>-</v>
          </cell>
        </row>
        <row r="201">
          <cell r="B201" t="str">
            <v>TOTAL OF 10.9</v>
          </cell>
        </row>
        <row r="202">
          <cell r="A202" t="str">
            <v>-</v>
          </cell>
          <cell r="B202" t="str">
            <v>-</v>
          </cell>
        </row>
        <row r="203">
          <cell r="A203" t="str">
            <v>=</v>
          </cell>
          <cell r="B203" t="str">
            <v>=</v>
          </cell>
        </row>
        <row r="204">
          <cell r="B204" t="str">
            <v>GRAND TOTAL OF GROUP 10</v>
          </cell>
        </row>
        <row r="205">
          <cell r="A205" t="str">
            <v>=</v>
          </cell>
          <cell r="B205" t="str">
            <v>=</v>
          </cell>
        </row>
        <row r="222">
          <cell r="A222">
            <v>10101</v>
          </cell>
          <cell r="B222" t="str">
            <v>LAND OWNED UNDER FULL TITLE</v>
          </cell>
        </row>
        <row r="223">
          <cell r="A223">
            <v>10104</v>
          </cell>
          <cell r="B223" t="str">
            <v xml:space="preserve">COST OF LAND DEVELOPMENT NOT OF </v>
          </cell>
        </row>
        <row r="224">
          <cell r="B224" t="str">
            <v>ENDURING NATURE</v>
          </cell>
        </row>
        <row r="225">
          <cell r="A225">
            <v>10105</v>
          </cell>
          <cell r="B225" t="str">
            <v>COST OF LAND RESETTLEMENT (PROVISIONAL)</v>
          </cell>
        </row>
        <row r="226">
          <cell r="A226">
            <v>10106</v>
          </cell>
          <cell r="B226" t="str">
            <v xml:space="preserve">COST OF TREE PLANTATION FOR TREE CUTDOWN </v>
          </cell>
        </row>
        <row r="227">
          <cell r="A227" t="str">
            <v>-</v>
          </cell>
          <cell r="B227" t="str">
            <v>-</v>
          </cell>
        </row>
        <row r="228">
          <cell r="A228">
            <v>10102</v>
          </cell>
          <cell r="B228" t="str">
            <v>LAND HELD UNDER LEASE</v>
          </cell>
        </row>
        <row r="229">
          <cell r="A229">
            <v>10103</v>
          </cell>
          <cell r="B229" t="str">
            <v>COST OF LAND DEVELOPMENT ON LEASEHOLD LAND</v>
          </cell>
        </row>
        <row r="230">
          <cell r="A230" t="str">
            <v>-</v>
          </cell>
          <cell r="B230" t="str">
            <v>-</v>
          </cell>
        </row>
        <row r="231">
          <cell r="B231" t="str">
            <v>TOTAL OF 10.1</v>
          </cell>
        </row>
        <row r="232">
          <cell r="A232" t="str">
            <v>-</v>
          </cell>
          <cell r="B232" t="str">
            <v>-</v>
          </cell>
        </row>
        <row r="234">
          <cell r="A234">
            <v>10.199999999999999</v>
          </cell>
          <cell r="B234" t="str">
            <v>BUILDINGS CONTAINING GEN.,TRANSMISSION</v>
          </cell>
        </row>
        <row r="235">
          <cell r="B235" t="str">
            <v>&amp; DISTRIBUTION EQUIPMENT</v>
          </cell>
        </row>
        <row r="236">
          <cell r="A236" t="str">
            <v>------------------------------------</v>
          </cell>
          <cell r="B236" t="str">
            <v>-----------------------------------</v>
          </cell>
        </row>
        <row r="237">
          <cell r="A237">
            <v>10201</v>
          </cell>
          <cell r="B237" t="str">
            <v xml:space="preserve">BUILDINGS CONTAINING THERMO ELECTRIC </v>
          </cell>
        </row>
        <row r="238">
          <cell r="B238" t="str">
            <v>GENERATION EQUIPMENT</v>
          </cell>
        </row>
        <row r="239">
          <cell r="A239" t="str">
            <v>-</v>
          </cell>
          <cell r="B239" t="str">
            <v>-</v>
          </cell>
        </row>
        <row r="240">
          <cell r="A240">
            <v>10202</v>
          </cell>
          <cell r="B240" t="str">
            <v xml:space="preserve">BUILDINGS CONTAINING HYDRO GENERATION </v>
          </cell>
        </row>
        <row r="241">
          <cell r="B241" t="str">
            <v>EQUIPMENT</v>
          </cell>
        </row>
        <row r="242">
          <cell r="A242" t="str">
            <v>-</v>
          </cell>
          <cell r="B242" t="str">
            <v>-</v>
          </cell>
        </row>
        <row r="243">
          <cell r="A243">
            <v>10203</v>
          </cell>
          <cell r="B243" t="str">
            <v>BUILDINGS CONTAINING DIESEL ELEC.GEN.PLANT</v>
          </cell>
        </row>
        <row r="244">
          <cell r="A244" t="str">
            <v>-</v>
          </cell>
          <cell r="B244" t="str">
            <v>-</v>
          </cell>
        </row>
        <row r="245">
          <cell r="A245">
            <v>10207</v>
          </cell>
          <cell r="B245" t="str">
            <v xml:space="preserve">BUILDINGS CONTAINING TRANSMISSION </v>
          </cell>
        </row>
        <row r="246">
          <cell r="B246" t="str">
            <v>INSTALLATION</v>
          </cell>
        </row>
        <row r="247">
          <cell r="A247">
            <v>10208</v>
          </cell>
          <cell r="B247" t="str">
            <v xml:space="preserve">BUILDINGS CONTAINING DISTRIBUTION </v>
          </cell>
        </row>
        <row r="248">
          <cell r="B248" t="str">
            <v>INSTALLATION</v>
          </cell>
        </row>
        <row r="249">
          <cell r="A249">
            <v>10211</v>
          </cell>
          <cell r="B249" t="str">
            <v>OFFICE BUILDINGS</v>
          </cell>
        </row>
        <row r="250">
          <cell r="A250">
            <v>10222</v>
          </cell>
          <cell r="B250" t="str">
            <v>RESIDENTIAL COLONY FOR STAFF</v>
          </cell>
        </row>
        <row r="251">
          <cell r="A251">
            <v>10233</v>
          </cell>
          <cell r="B251" t="str">
            <v>OTHER BUILDINGS</v>
          </cell>
        </row>
        <row r="252">
          <cell r="A252">
            <v>10234</v>
          </cell>
          <cell r="B252" t="str">
            <v>P.C.C. BUILDINGS</v>
          </cell>
        </row>
        <row r="253">
          <cell r="A253">
            <v>10235</v>
          </cell>
          <cell r="B253" t="str">
            <v>M.T.R.U. BUILDINGS</v>
          </cell>
        </row>
        <row r="254">
          <cell r="A254">
            <v>10236</v>
          </cell>
          <cell r="B254" t="str">
            <v>M.R.U. BUILDINGS</v>
          </cell>
        </row>
        <row r="255">
          <cell r="A255">
            <v>10237</v>
          </cell>
          <cell r="B255" t="str">
            <v>FABRICATION WORKSHOP</v>
          </cell>
        </row>
        <row r="256">
          <cell r="A256" t="str">
            <v>-</v>
          </cell>
          <cell r="B256" t="str">
            <v>-</v>
          </cell>
        </row>
        <row r="257">
          <cell r="B257" t="str">
            <v>TOTAL OF 10.2</v>
          </cell>
        </row>
        <row r="258">
          <cell r="A258" t="str">
            <v>-</v>
          </cell>
          <cell r="B258" t="str">
            <v>-</v>
          </cell>
        </row>
        <row r="260">
          <cell r="A260">
            <v>10.3</v>
          </cell>
          <cell r="B260" t="str">
            <v>HYDRAULIC WORKS</v>
          </cell>
        </row>
        <row r="261">
          <cell r="A261" t="str">
            <v>-</v>
          </cell>
          <cell r="B261" t="str">
            <v>---------------</v>
          </cell>
        </row>
        <row r="262">
          <cell r="A262">
            <v>10301</v>
          </cell>
          <cell r="B262" t="str">
            <v xml:space="preserve">HYD.WORKS HYDRO ELEC.SYSTEMS,WEIRS,DAMS </v>
          </cell>
        </row>
        <row r="263">
          <cell r="A263" t="str">
            <v>-</v>
          </cell>
          <cell r="B263" t="str">
            <v>-</v>
          </cell>
        </row>
        <row r="264">
          <cell r="A264">
            <v>10310</v>
          </cell>
          <cell r="B264" t="str">
            <v>COOLING WATER SYSTEM</v>
          </cell>
        </row>
        <row r="265">
          <cell r="A265">
            <v>10311</v>
          </cell>
          <cell r="B265" t="str">
            <v>COOLING TOWERS</v>
          </cell>
        </row>
        <row r="266">
          <cell r="A266">
            <v>10315</v>
          </cell>
          <cell r="B266" t="str">
            <v xml:space="preserve">SWEET WATER ARRANGEMENTS INCLUDING </v>
          </cell>
        </row>
        <row r="267">
          <cell r="B267" t="str">
            <v>RESERVOIRS</v>
          </cell>
        </row>
        <row r="268">
          <cell r="A268">
            <v>10319</v>
          </cell>
          <cell r="B268" t="str">
            <v>DUCTS AND PENSTOCK</v>
          </cell>
        </row>
        <row r="269">
          <cell r="A269">
            <v>10320</v>
          </cell>
          <cell r="B269" t="str">
            <v xml:space="preserve">PLANT,PIPELINES FOR WATER SUPPLY IN </v>
          </cell>
        </row>
        <row r="270">
          <cell r="B270" t="str">
            <v>RESIDENTIAL COLONY</v>
          </cell>
        </row>
        <row r="271">
          <cell r="A271">
            <v>10321</v>
          </cell>
          <cell r="B271" t="str">
            <v>RESERVOIR,FOREBAY AND INTAKE</v>
          </cell>
        </row>
        <row r="272">
          <cell r="A272" t="str">
            <v>-</v>
          </cell>
          <cell r="B272" t="str">
            <v>-</v>
          </cell>
        </row>
        <row r="273">
          <cell r="A273">
            <v>10305</v>
          </cell>
          <cell r="B273" t="str">
            <v xml:space="preserve">HYDEL WORKS,RCC PIPES,SURGE TANKS,VALVES </v>
          </cell>
        </row>
        <row r="274">
          <cell r="A274">
            <v>10322</v>
          </cell>
          <cell r="B274" t="str">
            <v>DRAINAGE AND SEWARAGE RESIDENTIAL COLONY</v>
          </cell>
        </row>
        <row r="275">
          <cell r="A275">
            <v>10323</v>
          </cell>
          <cell r="B275" t="str">
            <v>BYPASS CHANNEL AND ITS WORKS</v>
          </cell>
        </row>
        <row r="276">
          <cell r="A276">
            <v>10324</v>
          </cell>
          <cell r="B276" t="str">
            <v>TAIL RACE CHANNEL</v>
          </cell>
        </row>
        <row r="277">
          <cell r="A277">
            <v>10325</v>
          </cell>
          <cell r="B277" t="str">
            <v>MISC. WORKS</v>
          </cell>
        </row>
        <row r="278">
          <cell r="A278" t="str">
            <v>-</v>
          </cell>
          <cell r="B278" t="str">
            <v>-</v>
          </cell>
        </row>
        <row r="279">
          <cell r="B279" t="str">
            <v>TOTAL OF 10.3</v>
          </cell>
        </row>
        <row r="280">
          <cell r="A280" t="str">
            <v>-</v>
          </cell>
          <cell r="B280" t="str">
            <v>-</v>
          </cell>
        </row>
        <row r="282">
          <cell r="A282">
            <v>10.4</v>
          </cell>
          <cell r="B282" t="str">
            <v>OTHER CIVIL WORKS</v>
          </cell>
        </row>
        <row r="283">
          <cell r="A283" t="str">
            <v>-</v>
          </cell>
          <cell r="B283" t="str">
            <v>-----------------</v>
          </cell>
        </row>
        <row r="284">
          <cell r="A284">
            <v>10401</v>
          </cell>
          <cell r="B284" t="str">
            <v>PUCCA ROADS</v>
          </cell>
        </row>
        <row r="285">
          <cell r="A285">
            <v>10402</v>
          </cell>
          <cell r="B285" t="str">
            <v>KUCHCHA ROADS</v>
          </cell>
        </row>
        <row r="286">
          <cell r="A286">
            <v>10412</v>
          </cell>
          <cell r="B286" t="str">
            <v>RAILWAY SIDINGS</v>
          </cell>
        </row>
        <row r="287">
          <cell r="A287">
            <v>10415</v>
          </cell>
          <cell r="B287" t="str">
            <v>RIVER INTAKE WELL</v>
          </cell>
        </row>
        <row r="288">
          <cell r="A288">
            <v>10420</v>
          </cell>
          <cell r="B288" t="str">
            <v>BOUNDARY WALL FOR CIVIL BUILDINGS</v>
          </cell>
        </row>
        <row r="289">
          <cell r="A289">
            <v>10425</v>
          </cell>
          <cell r="B289" t="str">
            <v>CONSTRUCTION OF DISCHARGE CANAL</v>
          </cell>
        </row>
        <row r="290">
          <cell r="A290" t="str">
            <v>-</v>
          </cell>
          <cell r="B290" t="str">
            <v>-</v>
          </cell>
        </row>
        <row r="291">
          <cell r="B291" t="str">
            <v>TOTAL OF 10.4</v>
          </cell>
        </row>
        <row r="292">
          <cell r="A292" t="str">
            <v>-</v>
          </cell>
          <cell r="B292" t="str">
            <v>-</v>
          </cell>
        </row>
        <row r="294">
          <cell r="A294">
            <v>10.5</v>
          </cell>
          <cell r="B294" t="str">
            <v>PLANT AND MACHINERY</v>
          </cell>
        </row>
        <row r="295">
          <cell r="A295" t="str">
            <v>-</v>
          </cell>
          <cell r="B295" t="str">
            <v>-------------------</v>
          </cell>
        </row>
        <row r="296">
          <cell r="A296">
            <v>10501</v>
          </cell>
          <cell r="B296" t="str">
            <v>BOILER PLANT &amp; EQUIPMENTS</v>
          </cell>
        </row>
        <row r="297">
          <cell r="A297">
            <v>10502</v>
          </cell>
          <cell r="B297" t="str">
            <v>FURNACE/BURNERS</v>
          </cell>
        </row>
        <row r="298">
          <cell r="A298">
            <v>10503</v>
          </cell>
          <cell r="B298" t="str">
            <v>TURBINE GENERATOR STEAM POWER GEN.</v>
          </cell>
        </row>
        <row r="299">
          <cell r="A299">
            <v>10504</v>
          </cell>
          <cell r="B299" t="str">
            <v>PLANT FOUNDATION FOR STEAM POWER PLANT</v>
          </cell>
        </row>
        <row r="300">
          <cell r="A300">
            <v>10507</v>
          </cell>
          <cell r="B300" t="str">
            <v>ASH HANDLING PLANT</v>
          </cell>
        </row>
        <row r="301">
          <cell r="A301">
            <v>10509</v>
          </cell>
          <cell r="B301" t="str">
            <v>AUXILIRIES IN STEAM POWER PLANT</v>
          </cell>
        </row>
        <row r="302">
          <cell r="A302">
            <v>10511</v>
          </cell>
          <cell r="B302" t="str">
            <v>LOCOMOTIVES AND WAGONS</v>
          </cell>
        </row>
        <row r="303">
          <cell r="A303">
            <v>10512</v>
          </cell>
          <cell r="B303" t="str">
            <v>COAL CONVEYOR &amp; CRUSHER</v>
          </cell>
        </row>
        <row r="304">
          <cell r="A304">
            <v>10515</v>
          </cell>
          <cell r="B304" t="str">
            <v>COAL HANDLING PLANT &amp; HANDLING EQUIPMENT</v>
          </cell>
        </row>
        <row r="305">
          <cell r="A305">
            <v>10516</v>
          </cell>
          <cell r="B305" t="str">
            <v>OIL TANKS, OIL HANDING PLANT &amp; EQUIPMENT</v>
          </cell>
        </row>
        <row r="306">
          <cell r="A306">
            <v>10520</v>
          </cell>
          <cell r="B306" t="str">
            <v>INSTRUMENTATION AND CONTROLS</v>
          </cell>
        </row>
        <row r="307">
          <cell r="A307">
            <v>10541</v>
          </cell>
          <cell r="B307" t="str">
            <v xml:space="preserve">TRANSMISSION PLANT-TRANSFORMERS </v>
          </cell>
        </row>
        <row r="308">
          <cell r="B308" t="str">
            <v>100 KVA &amp; ABOVE</v>
          </cell>
        </row>
        <row r="309">
          <cell r="A309">
            <v>10542</v>
          </cell>
          <cell r="B309" t="str">
            <v>OTHER TRANSFORMERS - POWER HOUSE</v>
          </cell>
        </row>
        <row r="310">
          <cell r="A310">
            <v>10543</v>
          </cell>
          <cell r="B310" t="str">
            <v xml:space="preserve">OTHER TRANS.PLANT SUB EQUIP. FIXED </v>
          </cell>
        </row>
        <row r="311">
          <cell r="B311" t="str">
            <v>APPARATUS</v>
          </cell>
        </row>
        <row r="312">
          <cell r="A312">
            <v>10544</v>
          </cell>
          <cell r="B312" t="str">
            <v xml:space="preserve">SUBSTATION TRANSFORMER &amp; KIOSKS </v>
          </cell>
        </row>
        <row r="313">
          <cell r="B313" t="str">
            <v>100 KVA &amp; ABOVE</v>
          </cell>
        </row>
        <row r="314">
          <cell r="A314">
            <v>10545</v>
          </cell>
          <cell r="B314" t="str">
            <v xml:space="preserve">SUBSTATION TRANSFORMER &amp; KIOSKS </v>
          </cell>
        </row>
        <row r="315">
          <cell r="B315" t="str">
            <v>BELOW 100 KVA</v>
          </cell>
        </row>
        <row r="316">
          <cell r="A316">
            <v>10546</v>
          </cell>
          <cell r="B316" t="str">
            <v>LINE TRANSFORMER BELOW 100 KVA</v>
          </cell>
        </row>
        <row r="317">
          <cell r="A317">
            <v>10561</v>
          </cell>
          <cell r="B317" t="str">
            <v>SWITCHGEARS INCLUDING CABLE CONNECTIONS</v>
          </cell>
        </row>
        <row r="318">
          <cell r="A318">
            <v>10565</v>
          </cell>
          <cell r="B318" t="str">
            <v>FABRICATION SHOP/WORKSHOP PLANT &amp; EQUIP.</v>
          </cell>
        </row>
        <row r="319">
          <cell r="A319">
            <v>10567</v>
          </cell>
          <cell r="B319" t="str">
            <v>LIGHTNING ARRESTORS</v>
          </cell>
        </row>
        <row r="320">
          <cell r="A320" t="str">
            <v>-</v>
          </cell>
          <cell r="B320" t="str">
            <v>-</v>
          </cell>
        </row>
        <row r="321">
          <cell r="A321">
            <v>10531</v>
          </cell>
          <cell r="B321" t="str">
            <v>HYDEL POWER GENERATION PLANTS</v>
          </cell>
        </row>
        <row r="322">
          <cell r="A322">
            <v>10532</v>
          </cell>
          <cell r="B322" t="str">
            <v xml:space="preserve">PLANT FOUNDATION FOR HYDEL POWER </v>
          </cell>
        </row>
        <row r="323">
          <cell r="B323" t="str">
            <v>GENERATING PLANT</v>
          </cell>
        </row>
        <row r="324">
          <cell r="A324">
            <v>10535</v>
          </cell>
          <cell r="B324" t="str">
            <v>AUXILIRIES IN HYDEL POWER PLANTS</v>
          </cell>
        </row>
        <row r="325">
          <cell r="A325" t="str">
            <v>-</v>
          </cell>
          <cell r="B325" t="str">
            <v>-</v>
          </cell>
        </row>
        <row r="326">
          <cell r="A326">
            <v>10517</v>
          </cell>
          <cell r="B326" t="str">
            <v>GAS STATIONS ,GAS PIPELINES ETC.</v>
          </cell>
        </row>
        <row r="327">
          <cell r="A327">
            <v>10536</v>
          </cell>
          <cell r="B327" t="str">
            <v>GAS POWER PLANTS</v>
          </cell>
        </row>
        <row r="328">
          <cell r="A328">
            <v>10537</v>
          </cell>
          <cell r="B328" t="str">
            <v>PLANT FOUNDATION FOR GAS POWER PLANTS</v>
          </cell>
        </row>
        <row r="329">
          <cell r="A329">
            <v>10538</v>
          </cell>
          <cell r="B329" t="str">
            <v>AUXILIRIES IN GAS POWER PLANTS</v>
          </cell>
        </row>
        <row r="330">
          <cell r="A330" t="str">
            <v>-</v>
          </cell>
          <cell r="B330" t="str">
            <v>-</v>
          </cell>
        </row>
        <row r="332">
          <cell r="A332">
            <v>10551</v>
          </cell>
          <cell r="B332" t="str">
            <v>MATERIAL HANDLING EQUIPMENT-EARTHMOVERS</v>
          </cell>
        </row>
        <row r="333">
          <cell r="B333" t="str">
            <v>BULLDOZER</v>
          </cell>
        </row>
        <row r="334">
          <cell r="A334">
            <v>10552</v>
          </cell>
          <cell r="B334" t="str">
            <v>MATERIAL HANDLING EQUIP. CEMENT - MIXERS</v>
          </cell>
        </row>
        <row r="335">
          <cell r="A335">
            <v>10553</v>
          </cell>
          <cell r="B335" t="str">
            <v>MATERIAL HANDLING EQUIP. CRANES</v>
          </cell>
        </row>
        <row r="336">
          <cell r="A336">
            <v>10555</v>
          </cell>
          <cell r="B336" t="str">
            <v>MATERIAL HANDLING EQUIPMENT - OTHERS</v>
          </cell>
        </row>
        <row r="337">
          <cell r="A337">
            <v>10563</v>
          </cell>
          <cell r="B337" t="str">
            <v>BATTERIES INCLUDING CHARGING EQUIPMENT</v>
          </cell>
        </row>
        <row r="338">
          <cell r="A338">
            <v>10577</v>
          </cell>
          <cell r="B338" t="str">
            <v>AIR-CONDITIONIG PLANT-PORTABLE</v>
          </cell>
        </row>
        <row r="339">
          <cell r="A339" t="str">
            <v>-</v>
          </cell>
          <cell r="B339" t="str">
            <v>-</v>
          </cell>
        </row>
        <row r="340">
          <cell r="A340">
            <v>10568</v>
          </cell>
          <cell r="B340" t="str">
            <v>SYNCHRONOUS CONDENSORS</v>
          </cell>
        </row>
        <row r="341">
          <cell r="A341" t="str">
            <v>-</v>
          </cell>
          <cell r="B341" t="str">
            <v>-</v>
          </cell>
        </row>
        <row r="342">
          <cell r="A342">
            <v>10571</v>
          </cell>
          <cell r="B342" t="str">
            <v xml:space="preserve">COMMUNICATON EQUIPMENT-RADIO &amp; HIGH </v>
          </cell>
        </row>
        <row r="343">
          <cell r="B343" t="str">
            <v>FREQUENCY CARRIER</v>
          </cell>
        </row>
        <row r="344">
          <cell r="A344">
            <v>10572</v>
          </cell>
          <cell r="B344" t="str">
            <v xml:space="preserve">COMMUNICATION EQUIPMENT- TELEPHONES </v>
          </cell>
        </row>
        <row r="345">
          <cell r="A345">
            <v>10574</v>
          </cell>
          <cell r="B345" t="str">
            <v>STATIC MACHINE TOOLS &amp; EQUIPMENTS</v>
          </cell>
        </row>
        <row r="346">
          <cell r="A346">
            <v>10576</v>
          </cell>
          <cell r="B346" t="str">
            <v>AIR-CONDITIONING PLANT-STATIC</v>
          </cell>
        </row>
        <row r="348">
          <cell r="A348">
            <v>10580</v>
          </cell>
          <cell r="B348" t="str">
            <v>REFRIGERATORS AND WATER COOLERS</v>
          </cell>
        </row>
        <row r="349">
          <cell r="A349">
            <v>10581</v>
          </cell>
          <cell r="B349" t="str">
            <v>METER TESTING LABORATORY TOOLS &amp; EQUIP.</v>
          </cell>
        </row>
        <row r="350">
          <cell r="A350">
            <v>10582</v>
          </cell>
          <cell r="B350" t="str">
            <v>EQUIPMENTS IN HOSPITALS/CLINICS</v>
          </cell>
        </row>
        <row r="351">
          <cell r="A351">
            <v>10583</v>
          </cell>
          <cell r="B351" t="str">
            <v>TOOLS AND TACKLES</v>
          </cell>
        </row>
        <row r="352">
          <cell r="A352">
            <v>10584</v>
          </cell>
          <cell r="B352" t="str">
            <v xml:space="preserve">PETROL PUMP REFILLING SERVICE </v>
          </cell>
        </row>
        <row r="353">
          <cell r="B353" t="str">
            <v xml:space="preserve"> </v>
          </cell>
        </row>
        <row r="354">
          <cell r="A354">
            <v>10599</v>
          </cell>
          <cell r="B354" t="str">
            <v xml:space="preserve">OTHER MISC. EQUIPMENTS INCLUDING </v>
          </cell>
        </row>
        <row r="355">
          <cell r="B355" t="str">
            <v>FIRE PROTECTION SYSTEM</v>
          </cell>
        </row>
        <row r="356">
          <cell r="A356" t="str">
            <v>-</v>
          </cell>
          <cell r="B356" t="str">
            <v>-</v>
          </cell>
        </row>
        <row r="357">
          <cell r="B357" t="str">
            <v>TOTAL OF 10.5</v>
          </cell>
        </row>
        <row r="358">
          <cell r="A358" t="str">
            <v>-</v>
          </cell>
          <cell r="B358" t="str">
            <v>-</v>
          </cell>
        </row>
        <row r="360">
          <cell r="A360">
            <v>10.6</v>
          </cell>
          <cell r="B360" t="str">
            <v>LINES,CABLE NETWORK ETC.</v>
          </cell>
        </row>
        <row r="361">
          <cell r="A361" t="str">
            <v>-</v>
          </cell>
          <cell r="B361" t="str">
            <v>-----------------------</v>
          </cell>
        </row>
        <row r="362">
          <cell r="A362">
            <v>10601</v>
          </cell>
          <cell r="B362" t="str">
            <v>OVERHEAD LINES ON FAB.STEEL OPERATING</v>
          </cell>
        </row>
        <row r="363">
          <cell r="B363" t="str">
            <v>AT VOLTAGE &gt; 66 KV</v>
          </cell>
        </row>
        <row r="364">
          <cell r="A364">
            <v>10611</v>
          </cell>
          <cell r="B364" t="str">
            <v xml:space="preserve">UNDERGROUND CABLES - JOINT BOXES </v>
          </cell>
        </row>
        <row r="365">
          <cell r="B365" t="str">
            <v>&amp; DISCONNECTING BOXES</v>
          </cell>
        </row>
        <row r="366">
          <cell r="A366" t="str">
            <v>-</v>
          </cell>
          <cell r="B366" t="str">
            <v>-</v>
          </cell>
        </row>
        <row r="367">
          <cell r="A367">
            <v>10602</v>
          </cell>
          <cell r="B367" t="str">
            <v>OVERHEAD LINES ON STEEL SUPPORT VOLTAGE</v>
          </cell>
        </row>
        <row r="368">
          <cell r="B368" t="str">
            <v>BETWEEN 13.2 AND 66 KV</v>
          </cell>
        </row>
        <row r="369">
          <cell r="A369">
            <v>10603</v>
          </cell>
          <cell r="B369" t="str">
            <v>OVERHEAD LINES ON RCC SUPPORT</v>
          </cell>
        </row>
        <row r="370">
          <cell r="A370">
            <v>10604</v>
          </cell>
          <cell r="B370" t="str">
            <v>OVERHEAD LINES - ON TREATED WOOD SUPPORT</v>
          </cell>
        </row>
        <row r="371">
          <cell r="A371" t="str">
            <v>-</v>
          </cell>
          <cell r="B371" t="str">
            <v>-</v>
          </cell>
        </row>
        <row r="372">
          <cell r="A372">
            <v>10612</v>
          </cell>
          <cell r="B372" t="str">
            <v>UNDERGROUND CABLES - CABLE DUCT SYSTEM</v>
          </cell>
        </row>
        <row r="373">
          <cell r="A373" t="str">
            <v>-</v>
          </cell>
          <cell r="B373" t="str">
            <v>-</v>
          </cell>
        </row>
        <row r="374">
          <cell r="A374">
            <v>10613</v>
          </cell>
          <cell r="B374" t="str">
            <v xml:space="preserve">INTERNAL WIRING INCLUDING FITTINGS </v>
          </cell>
        </row>
        <row r="375">
          <cell r="B375" t="str">
            <v>&amp; FIXTURES</v>
          </cell>
        </row>
        <row r="376">
          <cell r="A376">
            <v>10621</v>
          </cell>
          <cell r="B376" t="str">
            <v>SERVICE CONNECTIONS</v>
          </cell>
        </row>
        <row r="377">
          <cell r="A377">
            <v>10625</v>
          </cell>
          <cell r="B377" t="str">
            <v>TEMPORARY CONNECTIONS FOR SUPPLY OF POWER</v>
          </cell>
        </row>
        <row r="378">
          <cell r="A378">
            <v>10631</v>
          </cell>
          <cell r="B378" t="str">
            <v>METERING EQUIPMENTS</v>
          </cell>
        </row>
        <row r="379">
          <cell r="A379">
            <v>10641</v>
          </cell>
          <cell r="B379" t="str">
            <v>STREET LIGHTING AND SIGNAL SYSTEM</v>
          </cell>
        </row>
        <row r="380">
          <cell r="A380">
            <v>10651</v>
          </cell>
          <cell r="B380" t="str">
            <v xml:space="preserve">SINGLE POINT CONNECTIONS TO </v>
          </cell>
        </row>
        <row r="381">
          <cell r="B381" t="str">
            <v>JHUGGI JHOPDIES</v>
          </cell>
        </row>
        <row r="382">
          <cell r="A382">
            <v>10685</v>
          </cell>
          <cell r="B382" t="str">
            <v>MISCELLANEOUS EQUIPMENTS</v>
          </cell>
        </row>
        <row r="383">
          <cell r="A383" t="str">
            <v>-</v>
          </cell>
          <cell r="B383" t="str">
            <v>-</v>
          </cell>
        </row>
        <row r="384">
          <cell r="B384" t="str">
            <v>TOTAL OF 10.6</v>
          </cell>
        </row>
        <row r="385">
          <cell r="A385" t="str">
            <v>-</v>
          </cell>
          <cell r="B385" t="str">
            <v>-</v>
          </cell>
        </row>
        <row r="387">
          <cell r="A387">
            <v>10.7</v>
          </cell>
          <cell r="B387" t="str">
            <v>VEHICLES</v>
          </cell>
        </row>
        <row r="388">
          <cell r="A388" t="str">
            <v>-</v>
          </cell>
          <cell r="B388" t="str">
            <v>--------</v>
          </cell>
        </row>
        <row r="389">
          <cell r="A389">
            <v>10710</v>
          </cell>
          <cell r="B389" t="str">
            <v>TRUCKS,TEMPOS &amp; TREKKERS</v>
          </cell>
        </row>
        <row r="390">
          <cell r="A390">
            <v>10720</v>
          </cell>
          <cell r="B390" t="str">
            <v>BUSES INCLUDING MINI BUSES</v>
          </cell>
        </row>
        <row r="391">
          <cell r="A391">
            <v>10730</v>
          </cell>
          <cell r="B391" t="str">
            <v>JEEPS AND MOTER CARS</v>
          </cell>
        </row>
        <row r="392">
          <cell r="A392">
            <v>10740</v>
          </cell>
          <cell r="B392" t="str">
            <v>OTHER VEHICLES</v>
          </cell>
        </row>
        <row r="393">
          <cell r="A393" t="str">
            <v>-</v>
          </cell>
          <cell r="B393" t="str">
            <v>-</v>
          </cell>
        </row>
        <row r="394">
          <cell r="B394" t="str">
            <v>TOTAL OF 10.7</v>
          </cell>
        </row>
        <row r="395">
          <cell r="A395" t="str">
            <v>-</v>
          </cell>
          <cell r="B395" t="str">
            <v>-</v>
          </cell>
        </row>
        <row r="396">
          <cell r="A396" t="str">
            <v>-</v>
          </cell>
          <cell r="B396" t="str">
            <v>-</v>
          </cell>
        </row>
        <row r="397">
          <cell r="A397">
            <v>10800</v>
          </cell>
          <cell r="B397" t="str">
            <v>FURNITURE AND FIXTURES</v>
          </cell>
        </row>
        <row r="398">
          <cell r="A398" t="str">
            <v>-</v>
          </cell>
          <cell r="B398" t="str">
            <v>----------------------</v>
          </cell>
        </row>
        <row r="400">
          <cell r="A400">
            <v>10.9</v>
          </cell>
          <cell r="B400" t="str">
            <v>OFFICE EQUIPMENTS</v>
          </cell>
        </row>
        <row r="401">
          <cell r="A401" t="str">
            <v>-</v>
          </cell>
          <cell r="B401" t="str">
            <v>-----------------</v>
          </cell>
        </row>
        <row r="402">
          <cell r="A402">
            <v>10901</v>
          </cell>
          <cell r="B402" t="str">
            <v>CALCULATORS</v>
          </cell>
        </row>
        <row r="403">
          <cell r="A403">
            <v>10902</v>
          </cell>
          <cell r="B403" t="str">
            <v>TYPEWRITERS</v>
          </cell>
        </row>
        <row r="404">
          <cell r="A404">
            <v>10903</v>
          </cell>
          <cell r="B404" t="str">
            <v>CASH REGISTERS IN CASH OFFICES</v>
          </cell>
        </row>
        <row r="405">
          <cell r="A405">
            <v>10904</v>
          </cell>
          <cell r="B405" t="str">
            <v>OTHERS</v>
          </cell>
        </row>
        <row r="406">
          <cell r="A406">
            <v>10905</v>
          </cell>
          <cell r="B406" t="str">
            <v>COMPUTERS</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edule-MU"/>
      <sheetName val="Schedule-1"/>
      <sheetName val="Schedule-2"/>
      <sheetName val="Schedule-3(i)"/>
      <sheetName val="Schedule-3(ii)"/>
      <sheetName val="Schedule-4(i)"/>
      <sheetName val="Schedule-4(ii)"/>
      <sheetName val="Schedule-5(i)"/>
      <sheetName val="Schedule-5(ii)"/>
      <sheetName val="Schedule-6"/>
      <sheetName val="SG-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NCS-3"/>
      <sheetName val="NCS-4I"/>
      <sheetName val="Number of Consumer"/>
      <sheetName val="Energy Sold"/>
      <sheetName val="Cont 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A 3_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MP"/>
      <sheetName val="Tariff Sheet"/>
      <sheetName val="Summary_EZ"/>
      <sheetName val="Summary_WZ"/>
      <sheetName val="Summary_CZ"/>
      <sheetName val="Sale Summary_MP"/>
      <sheetName val="Sale Summary_EZ"/>
      <sheetName val="Sale Summary_WZ"/>
      <sheetName val="Sale Summary_CZ"/>
      <sheetName val="Saubhagya"/>
      <sheetName val="Existing vs Proposed Revenue"/>
    </sheetNames>
    <sheetDataSet>
      <sheetData sheetId="0"/>
      <sheetData sheetId="1">
        <row r="1">
          <cell r="A1" t="str">
            <v>Back to Index</v>
          </cell>
        </row>
      </sheetData>
      <sheetData sheetId="2"/>
      <sheetData sheetId="3"/>
      <sheetData sheetId="4"/>
      <sheetData sheetId="5"/>
      <sheetData sheetId="6"/>
      <sheetData sheetId="7"/>
      <sheetData sheetId="8"/>
      <sheetData sheetId="9"/>
      <sheetData sheetId="10"/>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ver all s curve"/>
      <sheetName val="CritIssues"/>
      <sheetName val="DETAIL SHEET"/>
      <sheetName val="ANALYSIS SHEET"/>
      <sheetName val="CONCERNS"/>
    </sheetNames>
    <sheetDataSet>
      <sheetData sheetId="0" refreshError="1"/>
      <sheetData sheetId="1"/>
      <sheetData sheetId="2" refreshError="1"/>
      <sheetData sheetId="3" refreshError="1">
        <row r="10">
          <cell r="L10">
            <v>37044</v>
          </cell>
          <cell r="M10">
            <v>37051</v>
          </cell>
          <cell r="N10">
            <v>37058</v>
          </cell>
          <cell r="O10">
            <v>37065</v>
          </cell>
          <cell r="P10">
            <v>37072</v>
          </cell>
          <cell r="Q10">
            <v>37079</v>
          </cell>
          <cell r="R10">
            <v>37086</v>
          </cell>
          <cell r="S10">
            <v>37093</v>
          </cell>
          <cell r="T10">
            <v>37100</v>
          </cell>
          <cell r="U10">
            <v>37107</v>
          </cell>
          <cell r="V10">
            <v>37114</v>
          </cell>
          <cell r="W10">
            <v>37121</v>
          </cell>
          <cell r="X10">
            <v>37128</v>
          </cell>
          <cell r="Y10">
            <v>37135</v>
          </cell>
          <cell r="Z10">
            <v>37142</v>
          </cell>
          <cell r="AA10">
            <v>37149</v>
          </cell>
          <cell r="AB10">
            <v>37156</v>
          </cell>
          <cell r="AC10">
            <v>37163</v>
          </cell>
          <cell r="AD10">
            <v>37170</v>
          </cell>
          <cell r="AE10">
            <v>37177</v>
          </cell>
          <cell r="AF10">
            <v>37184</v>
          </cell>
          <cell r="AG10">
            <v>37191</v>
          </cell>
          <cell r="AH10">
            <v>37198</v>
          </cell>
          <cell r="AI10">
            <v>37205</v>
          </cell>
          <cell r="AJ10">
            <v>37212</v>
          </cell>
          <cell r="AK10">
            <v>37219</v>
          </cell>
          <cell r="AL10">
            <v>37226</v>
          </cell>
          <cell r="AM10">
            <v>37233</v>
          </cell>
          <cell r="AN10">
            <v>37240</v>
          </cell>
          <cell r="AO10">
            <v>37247</v>
          </cell>
          <cell r="AP10">
            <v>37254</v>
          </cell>
          <cell r="AQ10">
            <v>37261</v>
          </cell>
          <cell r="AR10">
            <v>37268</v>
          </cell>
          <cell r="AS10">
            <v>37275</v>
          </cell>
          <cell r="AT10">
            <v>37282</v>
          </cell>
          <cell r="AU10">
            <v>37289</v>
          </cell>
          <cell r="AV10">
            <v>37296</v>
          </cell>
          <cell r="AW10">
            <v>37303</v>
          </cell>
          <cell r="AX10">
            <v>37310</v>
          </cell>
          <cell r="AY10">
            <v>37317</v>
          </cell>
          <cell r="AZ10">
            <v>37324</v>
          </cell>
          <cell r="BA10">
            <v>37331</v>
          </cell>
        </row>
        <row r="12">
          <cell r="L12">
            <v>0.91939793497976841</v>
          </cell>
          <cell r="N12">
            <v>0.99030277661504118</v>
          </cell>
          <cell r="P12">
            <v>1</v>
          </cell>
          <cell r="R12">
            <v>1</v>
          </cell>
          <cell r="T12">
            <v>1</v>
          </cell>
          <cell r="W12">
            <v>1</v>
          </cell>
          <cell r="X12">
            <v>1</v>
          </cell>
          <cell r="Y12">
            <v>1</v>
          </cell>
          <cell r="AA12">
            <v>1</v>
          </cell>
          <cell r="AC12">
            <v>1</v>
          </cell>
          <cell r="AE12">
            <v>1</v>
          </cell>
          <cell r="AH12">
            <v>1</v>
          </cell>
          <cell r="AJ12">
            <v>1</v>
          </cell>
          <cell r="AL12">
            <v>1</v>
          </cell>
          <cell r="AN12">
            <v>1</v>
          </cell>
          <cell r="AP12">
            <v>1</v>
          </cell>
          <cell r="AR12">
            <v>1</v>
          </cell>
          <cell r="AU12">
            <v>1</v>
          </cell>
          <cell r="AW12">
            <v>1</v>
          </cell>
          <cell r="AY12">
            <v>1</v>
          </cell>
          <cell r="BA12">
            <v>1</v>
          </cell>
        </row>
        <row r="13">
          <cell r="L13">
            <v>0.91939793497976841</v>
          </cell>
          <cell r="N13">
            <v>0.92567671271103669</v>
          </cell>
          <cell r="P13">
            <v>0.93132761266917818</v>
          </cell>
          <cell r="R13">
            <v>0.94562927305706712</v>
          </cell>
          <cell r="T13">
            <v>0.95686130877633591</v>
          </cell>
          <cell r="W13">
            <v>0.95686130877633591</v>
          </cell>
          <cell r="X13">
            <v>0.95686130877633591</v>
          </cell>
          <cell r="Y13">
            <v>0.95686130877633591</v>
          </cell>
          <cell r="Z13">
            <v>0.96644342123622162</v>
          </cell>
        </row>
        <row r="15">
          <cell r="L15">
            <v>0.89312549446961464</v>
          </cell>
          <cell r="N15">
            <v>0.92082276953216025</v>
          </cell>
          <cell r="P15">
            <v>0.95570598749506408</v>
          </cell>
          <cell r="R15">
            <v>1.0000076743079518</v>
          </cell>
          <cell r="T15">
            <v>1.0000076743079518</v>
          </cell>
          <cell r="W15">
            <v>1.0000076743079518</v>
          </cell>
          <cell r="X15">
            <v>1</v>
          </cell>
          <cell r="Y15">
            <v>1.0000076743079518</v>
          </cell>
          <cell r="AA15">
            <v>1.0000076743079518</v>
          </cell>
          <cell r="AC15">
            <v>1.0000076743079518</v>
          </cell>
          <cell r="AE15">
            <v>1.0000076743079518</v>
          </cell>
          <cell r="AH15">
            <v>1.0000076743079518</v>
          </cell>
          <cell r="AJ15">
            <v>1.0000076743079518</v>
          </cell>
          <cell r="AL15">
            <v>1.0000076743079518</v>
          </cell>
          <cell r="AN15">
            <v>1.0000076743079518</v>
          </cell>
          <cell r="AP15">
            <v>1.0000076743079518</v>
          </cell>
          <cell r="AR15">
            <v>1.0000076743079518</v>
          </cell>
          <cell r="AU15">
            <v>1.0000076743079518</v>
          </cell>
          <cell r="AW15">
            <v>1.0000076743079518</v>
          </cell>
          <cell r="AY15">
            <v>1.0000076743079518</v>
          </cell>
          <cell r="BA15">
            <v>1.0000076743079518</v>
          </cell>
        </row>
        <row r="16">
          <cell r="L16">
            <v>0.89312549446961464</v>
          </cell>
          <cell r="N16">
            <v>0.92082276953216025</v>
          </cell>
          <cell r="P16">
            <v>0.92786917956066683</v>
          </cell>
          <cell r="R16">
            <v>0.94217129892545737</v>
          </cell>
          <cell r="T16">
            <v>0.95689201690580283</v>
          </cell>
          <cell r="W16">
            <v>0.95689201690580283</v>
          </cell>
          <cell r="X16">
            <v>0.95689201690580283</v>
          </cell>
          <cell r="Y16">
            <v>0.95689201690580283</v>
          </cell>
          <cell r="Z16">
            <v>0.96647443688021251</v>
          </cell>
        </row>
        <row r="18">
          <cell r="L18">
            <v>0</v>
          </cell>
          <cell r="N18">
            <v>0</v>
          </cell>
          <cell r="P18">
            <v>0</v>
          </cell>
          <cell r="R18">
            <v>2.3804307937885542E-3</v>
          </cell>
          <cell r="T18">
            <v>2.2599785770530744E-2</v>
          </cell>
          <cell r="W18">
            <v>8.6974404865170177E-2</v>
          </cell>
          <cell r="X18">
            <v>0.14697440486517016</v>
          </cell>
          <cell r="Y18">
            <v>0.22464055285714485</v>
          </cell>
          <cell r="Z18">
            <v>0.3</v>
          </cell>
          <cell r="AA18">
            <v>0.42172657200446562</v>
          </cell>
          <cell r="AC18">
            <v>0.64032824836789182</v>
          </cell>
          <cell r="AE18">
            <v>0.84088511281930367</v>
          </cell>
          <cell r="AH18">
            <v>0.94993202229797302</v>
          </cell>
          <cell r="AJ18">
            <v>0.98847082204861225</v>
          </cell>
          <cell r="AL18">
            <v>0.99999999999999978</v>
          </cell>
          <cell r="AN18">
            <v>0.99999999999999978</v>
          </cell>
          <cell r="AP18">
            <v>0.99999999999999978</v>
          </cell>
          <cell r="AR18">
            <v>0.99999999999999978</v>
          </cell>
          <cell r="AU18">
            <v>0.99999999999999978</v>
          </cell>
          <cell r="AW18">
            <v>0.99999999999999978</v>
          </cell>
          <cell r="AY18">
            <v>0.99999999999999978</v>
          </cell>
          <cell r="BA18">
            <v>0.99999999999999978</v>
          </cell>
        </row>
        <row r="19">
          <cell r="L19">
            <v>0</v>
          </cell>
          <cell r="N19">
            <v>0</v>
          </cell>
          <cell r="P19">
            <v>0</v>
          </cell>
          <cell r="R19">
            <v>0</v>
          </cell>
          <cell r="S19">
            <v>0</v>
          </cell>
          <cell r="T19">
            <v>0</v>
          </cell>
          <cell r="U19">
            <v>0</v>
          </cell>
          <cell r="V19">
            <v>0</v>
          </cell>
          <cell r="W19">
            <v>0</v>
          </cell>
          <cell r="X19">
            <v>0</v>
          </cell>
          <cell r="Y19">
            <v>0</v>
          </cell>
          <cell r="Z19">
            <v>0</v>
          </cell>
          <cell r="AA19">
            <v>0</v>
          </cell>
          <cell r="AC19">
            <v>0</v>
          </cell>
          <cell r="AE19">
            <v>0</v>
          </cell>
          <cell r="AG19">
            <v>0</v>
          </cell>
          <cell r="AH19">
            <v>0</v>
          </cell>
          <cell r="AJ19">
            <v>0</v>
          </cell>
          <cell r="AL19">
            <v>0</v>
          </cell>
        </row>
        <row r="21">
          <cell r="L21">
            <v>0</v>
          </cell>
          <cell r="N21">
            <v>0</v>
          </cell>
          <cell r="P21">
            <v>6.6916836421089913E-3</v>
          </cell>
          <cell r="R21">
            <v>2.9219154387668218E-2</v>
          </cell>
          <cell r="T21">
            <v>7.7472282534953724E-2</v>
          </cell>
          <cell r="W21">
            <v>0.16754903180586575</v>
          </cell>
          <cell r="X21">
            <v>0.22754903180586575</v>
          </cell>
          <cell r="Y21">
            <v>0.30495825560038586</v>
          </cell>
          <cell r="Z21">
            <v>0.37995825560038587</v>
          </cell>
          <cell r="AA21">
            <v>0.47879200736018385</v>
          </cell>
          <cell r="AC21">
            <v>0.66049695012854148</v>
          </cell>
          <cell r="AE21">
            <v>0.81170798035669511</v>
          </cell>
          <cell r="AH21">
            <v>0.91688301087437651</v>
          </cell>
          <cell r="AJ21">
            <v>0.97238264254081697</v>
          </cell>
          <cell r="AL21">
            <v>0.99465163102722276</v>
          </cell>
          <cell r="AN21">
            <v>0.99999999999999989</v>
          </cell>
          <cell r="AP21">
            <v>0.99999999999999989</v>
          </cell>
          <cell r="AR21">
            <v>0.99999999999999989</v>
          </cell>
          <cell r="AU21">
            <v>0.99999999999999989</v>
          </cell>
          <cell r="AW21">
            <v>0.99999999999999989</v>
          </cell>
          <cell r="AY21">
            <v>0.99999999999999989</v>
          </cell>
          <cell r="BA21">
            <v>0.99999999999999989</v>
          </cell>
        </row>
        <row r="22">
          <cell r="L22">
            <v>0</v>
          </cell>
          <cell r="N22">
            <v>0</v>
          </cell>
          <cell r="P22">
            <v>2.4999264727508016E-3</v>
          </cell>
          <cell r="R22">
            <v>3.8136133250982816E-3</v>
          </cell>
          <cell r="T22">
            <v>5.051202279261878E-2</v>
          </cell>
          <cell r="W22">
            <v>0.10944138164329054</v>
          </cell>
          <cell r="X22">
            <v>0.11799329975174716</v>
          </cell>
          <cell r="Y22">
            <v>0.15210136088582321</v>
          </cell>
          <cell r="Z22">
            <v>0.20461243812837324</v>
          </cell>
          <cell r="AA22">
            <v>0</v>
          </cell>
          <cell r="AC22">
            <v>0</v>
          </cell>
          <cell r="AE22">
            <v>0</v>
          </cell>
          <cell r="AH22">
            <v>0</v>
          </cell>
          <cell r="AJ22">
            <v>0</v>
          </cell>
          <cell r="AL22">
            <v>0</v>
          </cell>
          <cell r="AN22">
            <v>0</v>
          </cell>
        </row>
        <row r="24">
          <cell r="L24">
            <v>1.6743944622193821E-2</v>
          </cell>
          <cell r="N24">
            <v>3.7909999902326998E-2</v>
          </cell>
          <cell r="P24">
            <v>0.12624262161801389</v>
          </cell>
          <cell r="R24">
            <v>0.28782530344911311</v>
          </cell>
          <cell r="T24">
            <v>0.4111375138311959</v>
          </cell>
          <cell r="W24">
            <v>0.47581602311780619</v>
          </cell>
          <cell r="X24">
            <v>0.4878160231178062</v>
          </cell>
          <cell r="Y24">
            <v>0.49533801140541694</v>
          </cell>
          <cell r="Z24">
            <v>0.55533801140541694</v>
          </cell>
          <cell r="AA24">
            <v>0.59589102203642652</v>
          </cell>
          <cell r="AC24">
            <v>0.79676569779691553</v>
          </cell>
          <cell r="AE24">
            <v>0.94298262676212585</v>
          </cell>
          <cell r="AH24">
            <v>0.99160743263701778</v>
          </cell>
          <cell r="AJ24">
            <v>1</v>
          </cell>
          <cell r="AL24">
            <v>1</v>
          </cell>
          <cell r="AN24">
            <v>1</v>
          </cell>
          <cell r="AP24">
            <v>1</v>
          </cell>
          <cell r="AR24">
            <v>1</v>
          </cell>
          <cell r="AU24">
            <v>1</v>
          </cell>
          <cell r="AW24">
            <v>1</v>
          </cell>
          <cell r="AY24">
            <v>1</v>
          </cell>
          <cell r="BA24">
            <v>1</v>
          </cell>
        </row>
        <row r="25">
          <cell r="L25">
            <v>1.6743944622193821E-2</v>
          </cell>
          <cell r="N25">
            <v>3.6069247373642525E-2</v>
          </cell>
          <cell r="P25">
            <v>0.14664904831604755</v>
          </cell>
          <cell r="R25">
            <v>0.20853187698223888</v>
          </cell>
          <cell r="T25">
            <v>0.27250769872620445</v>
          </cell>
          <cell r="W25">
            <v>0.30794904817651469</v>
          </cell>
          <cell r="X25">
            <v>0.33725095126535387</v>
          </cell>
          <cell r="Y25">
            <v>0.34283226613941853</v>
          </cell>
          <cell r="Z25">
            <v>0.38776185087563858</v>
          </cell>
          <cell r="AA25">
            <v>0</v>
          </cell>
          <cell r="AC25">
            <v>0</v>
          </cell>
          <cell r="AE25">
            <v>0</v>
          </cell>
          <cell r="AH25">
            <v>0</v>
          </cell>
          <cell r="AJ25">
            <v>0</v>
          </cell>
        </row>
        <row r="27">
          <cell r="L27">
            <v>1.7849742631617871E-2</v>
          </cell>
          <cell r="N27">
            <v>4.0682826465377381E-2</v>
          </cell>
          <cell r="P27">
            <v>8.1161372049561586E-2</v>
          </cell>
          <cell r="R27">
            <v>0.19783840669570052</v>
          </cell>
          <cell r="T27">
            <v>0.32073986797907061</v>
          </cell>
          <cell r="W27">
            <v>0.43882303324928812</v>
          </cell>
          <cell r="X27">
            <v>0.46382303324928814</v>
          </cell>
          <cell r="Y27">
            <v>0.48570272840584294</v>
          </cell>
          <cell r="Z27">
            <v>0.52070272840584297</v>
          </cell>
          <cell r="AA27">
            <v>0.56468214810457551</v>
          </cell>
          <cell r="AC27">
            <v>0.71385750285195237</v>
          </cell>
          <cell r="AE27">
            <v>0.87673387931881663</v>
          </cell>
          <cell r="AH27">
            <v>0.96623918047161728</v>
          </cell>
          <cell r="AJ27">
            <v>0.99443582773590578</v>
          </cell>
          <cell r="AL27">
            <v>1</v>
          </cell>
          <cell r="AN27">
            <v>1</v>
          </cell>
          <cell r="AP27">
            <v>1</v>
          </cell>
          <cell r="AR27">
            <v>1</v>
          </cell>
          <cell r="AU27">
            <v>1</v>
          </cell>
          <cell r="AW27">
            <v>1</v>
          </cell>
          <cell r="AY27">
            <v>1</v>
          </cell>
          <cell r="BA27">
            <v>1</v>
          </cell>
        </row>
        <row r="28">
          <cell r="L28">
            <v>1.3067253448903762E-2</v>
          </cell>
          <cell r="N28">
            <v>2.1568293666463418E-2</v>
          </cell>
          <cell r="P28">
            <v>7.2626859798765708E-2</v>
          </cell>
          <cell r="R28">
            <v>0.10740542810778078</v>
          </cell>
          <cell r="T28">
            <v>0.20994464730973647</v>
          </cell>
          <cell r="W28">
            <v>0.25789163039974777</v>
          </cell>
          <cell r="X28">
            <v>0.30098984619291547</v>
          </cell>
          <cell r="Y28">
            <v>0.30798393139447766</v>
          </cell>
          <cell r="Z28">
            <v>0.35626230505513645</v>
          </cell>
          <cell r="AA28">
            <v>0</v>
          </cell>
          <cell r="AC28">
            <v>0</v>
          </cell>
          <cell r="AE28">
            <v>0</v>
          </cell>
          <cell r="AH28">
            <v>0</v>
          </cell>
          <cell r="AJ28">
            <v>0</v>
          </cell>
          <cell r="AL28">
            <v>0</v>
          </cell>
        </row>
        <row r="30">
          <cell r="L30">
            <v>0</v>
          </cell>
          <cell r="N30">
            <v>0</v>
          </cell>
          <cell r="P30">
            <v>0</v>
          </cell>
          <cell r="R30">
            <v>0</v>
          </cell>
          <cell r="T30">
            <v>0</v>
          </cell>
          <cell r="W30">
            <v>0</v>
          </cell>
          <cell r="Y30">
            <v>0</v>
          </cell>
          <cell r="AA30">
            <v>2.7977805901403283E-2</v>
          </cell>
          <cell r="AC30">
            <v>0.10779287283849312</v>
          </cell>
          <cell r="AE30">
            <v>0.25931603269483516</v>
          </cell>
          <cell r="AH30">
            <v>0.41865145728765613</v>
          </cell>
          <cell r="AJ30">
            <v>0.46623763374067212</v>
          </cell>
          <cell r="AL30">
            <v>0.51047405986662098</v>
          </cell>
          <cell r="AN30">
            <v>0.56456577560551879</v>
          </cell>
          <cell r="AP30">
            <v>0.6601684895896428</v>
          </cell>
          <cell r="AR30">
            <v>0.79492215804626243</v>
          </cell>
          <cell r="AU30">
            <v>0.90139567913629648</v>
          </cell>
          <cell r="AW30">
            <v>0.96639909927725787</v>
          </cell>
          <cell r="AY30">
            <v>0.99462539028507024</v>
          </cell>
          <cell r="BA30">
            <v>1</v>
          </cell>
        </row>
        <row r="31">
          <cell r="L31">
            <v>0</v>
          </cell>
          <cell r="N31">
            <v>0</v>
          </cell>
          <cell r="P31">
            <v>0</v>
          </cell>
          <cell r="R31">
            <v>0</v>
          </cell>
          <cell r="T31">
            <v>0</v>
          </cell>
          <cell r="W31">
            <v>0</v>
          </cell>
          <cell r="X31">
            <v>0</v>
          </cell>
          <cell r="Y31">
            <v>0</v>
          </cell>
          <cell r="AA31">
            <v>0</v>
          </cell>
          <cell r="AC31">
            <v>0</v>
          </cell>
          <cell r="AE31">
            <v>0</v>
          </cell>
          <cell r="AH31">
            <v>0</v>
          </cell>
          <cell r="AJ31">
            <v>0</v>
          </cell>
          <cell r="AL31">
            <v>0</v>
          </cell>
          <cell r="AN31">
            <v>0</v>
          </cell>
          <cell r="AP31">
            <v>0</v>
          </cell>
          <cell r="AR31">
            <v>0</v>
          </cell>
          <cell r="AU31">
            <v>0</v>
          </cell>
          <cell r="AW31">
            <v>0</v>
          </cell>
          <cell r="AY31">
            <v>0</v>
          </cell>
          <cell r="BA31">
            <v>0</v>
          </cell>
        </row>
        <row r="54">
          <cell r="L54">
            <v>0.44047337977177931</v>
          </cell>
          <cell r="N54">
            <v>0.46006348124269364</v>
          </cell>
          <cell r="P54">
            <v>0.49432992119408287</v>
          </cell>
          <cell r="R54">
            <v>0.55475346079269849</v>
          </cell>
          <cell r="T54">
            <v>0.59383328395116886</v>
          </cell>
          <cell r="W54">
            <v>0.63407603834982917</v>
          </cell>
          <cell r="X54">
            <v>0.64653376856509359</v>
          </cell>
          <cell r="Y54">
            <v>0.67094873696075719</v>
          </cell>
          <cell r="Z54">
            <v>0.68931348798398795</v>
          </cell>
          <cell r="AA54">
            <v>0.72969405543426347</v>
          </cell>
          <cell r="AC54">
            <v>0.81388214962756034</v>
          </cell>
          <cell r="AE54">
            <v>0.89639675585243639</v>
          </cell>
          <cell r="AH54">
            <v>0.94445140444107056</v>
          </cell>
          <cell r="AJ54">
            <v>0.96021505869683488</v>
          </cell>
          <cell r="AL54">
            <v>0.96647065996666137</v>
          </cell>
          <cell r="AN54">
            <v>0.9703736875722615</v>
          </cell>
          <cell r="AP54">
            <v>0.9768810562080471</v>
          </cell>
          <cell r="AR54">
            <v>0.98605330414043613</v>
          </cell>
          <cell r="AU54">
            <v>0.9933006135818605</v>
          </cell>
          <cell r="AW54">
            <v>0.99772518690008594</v>
          </cell>
          <cell r="AY54">
            <v>0.99964645956227516</v>
          </cell>
          <cell r="BA54">
            <v>1.0000122919244645</v>
          </cell>
        </row>
        <row r="55">
          <cell r="L55">
            <v>0.43974091174764435</v>
          </cell>
          <cell r="N55">
            <v>0.45691147572755314</v>
          </cell>
          <cell r="P55">
            <v>0.48175844201387791</v>
          </cell>
          <cell r="R55">
            <v>0.5016635379898855</v>
          </cell>
          <cell r="T55">
            <v>0.53428292554164736</v>
          </cell>
          <cell r="W55">
            <v>0.54838567492262125</v>
          </cell>
          <cell r="X55">
            <v>0.55891371560164804</v>
          </cell>
          <cell r="Y55">
            <v>0.56207611295574722</v>
          </cell>
          <cell r="Z55">
            <v>0.58178408860555331</v>
          </cell>
          <cell r="AA55">
            <v>0</v>
          </cell>
          <cell r="AC55">
            <v>0</v>
          </cell>
          <cell r="AE55">
            <v>0</v>
          </cell>
          <cell r="AH55">
            <v>0</v>
          </cell>
          <cell r="AJ55">
            <v>0</v>
          </cell>
          <cell r="AL55">
            <v>0</v>
          </cell>
          <cell r="AN55">
            <v>0</v>
          </cell>
          <cell r="AP55">
            <v>0</v>
          </cell>
          <cell r="AR55">
            <v>0</v>
          </cell>
          <cell r="AU55">
            <v>0</v>
          </cell>
          <cell r="AW55">
            <v>0</v>
          </cell>
          <cell r="AY55">
            <v>0</v>
          </cell>
          <cell r="BA55">
            <v>0</v>
          </cell>
        </row>
      </sheetData>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rint"/>
      <sheetName val="EA_II"/>
      <sheetName val="EA_III_stnwise"/>
      <sheetName val="Tr Loss WR,MP,Tot "/>
      <sheetName val="THERMAL"/>
      <sheetName val="CSD0506"/>
      <sheetName val="Monthwise_MPLOSS"/>
      <sheetName val="HYDEL"/>
      <sheetName val="STN WISE EMR"/>
      <sheetName val="MPPGCL-injection"/>
      <sheetName val="Monthwise Inj_Losses"/>
      <sheetName val="Sheet1"/>
      <sheetName val="EA_IV"/>
      <sheetName val="EA_III"/>
      <sheetName val="EA_Summary"/>
      <sheetName val="EA_I"/>
      <sheetName val="Sheet6"/>
      <sheetName val="Sheet3"/>
      <sheetName val="Tr Loss WR,MP,Tot"/>
      <sheetName val="CHECK SHEET NEW"/>
      <sheetName val="BUS LOSSES"/>
      <sheetName val="Amount"/>
      <sheetName val="PR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Tags"/>
      <sheetName val="CntrlVlv"/>
      <sheetName val="FlowMtr"/>
      <sheetName val="IsolnVlv"/>
      <sheetName val="MOVs"/>
      <sheetName val="RelVlvs"/>
      <sheetName val="Overall"/>
      <sheetName val="ETASlippage"/>
      <sheetName val="BND-Merox-LNUU"/>
      <sheetName val="BSD-CPP"/>
      <sheetName val="BSN-Arom"/>
      <sheetName val="CD-FCC"/>
      <sheetName val="JP-Os&amp;Us"/>
      <sheetName val="JP-R_RLoading"/>
      <sheetName val="MDM-SHP_TAME"/>
      <sheetName val="MDM-RURW"/>
      <sheetName val="PBMR-Marine&amp;MTF"/>
      <sheetName val="RLG-CrudeHTrtr"/>
      <sheetName val="RMS-Utility"/>
      <sheetName val="SC-ATU_SWS"/>
      <sheetName val="SC-Coker"/>
      <sheetName val="InputActDelETA"/>
      <sheetName val="ProfileETAQrys"/>
      <sheetName val="InputPO_Del"/>
      <sheetName val="ProfilePO_DelQrys"/>
      <sheetName val="ChtData"/>
      <sheetName val="ChtData2"/>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form_x0000__x0000__x0000__x0000__x0000__x0000__x0000__x0000__x0000__x0000__x0000__x0000__x0000_"/>
      <sheetName val=""/>
      <sheetName val="form"/>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I35">
            <v>63490.540060935658</v>
          </cell>
        </row>
        <row r="44">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Metro consind updation sheet"/>
      <sheetName val="Dom"/>
      <sheetName val="201-04REL-Final"/>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Metro consind updation sheet"/>
      <sheetName val="Dom"/>
      <sheetName val="201-04REL-Final"/>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Metro consind updation sheet"/>
      <sheetName val="Dom"/>
      <sheetName val="201-04REL-Final"/>
      <sheetName val="A_3_7"/>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LLAN DETAILS"/>
      <sheetName val="XLR_NoRangeSheet"/>
      <sheetName val="CHALLAN_DETAILS"/>
    </sheetNames>
    <sheetDataSet>
      <sheetData sheetId="0" refreshError="1"/>
      <sheetData sheetId="1" refreshError="1">
        <row r="6">
          <cell r="D6" t="str">
            <v>15/04/2006</v>
          </cell>
          <cell r="E6" t="str">
            <v>15/05/2006</v>
          </cell>
          <cell r="F6" t="str">
            <v>15/06/2006</v>
          </cell>
          <cell r="G6" t="str">
            <v>15/07/2006</v>
          </cell>
          <cell r="H6" t="str">
            <v>14/08/2006</v>
          </cell>
          <cell r="I6" t="str">
            <v>15/09/2006</v>
          </cell>
          <cell r="J6" t="str">
            <v>15/10/2006</v>
          </cell>
          <cell r="K6" t="str">
            <v>15/11/2006</v>
          </cell>
          <cell r="L6" t="str">
            <v>15/12/2006</v>
          </cell>
          <cell r="M6" t="str">
            <v>15/01/2007</v>
          </cell>
          <cell r="N6">
            <v>0</v>
          </cell>
          <cell r="O6" t="str">
            <v>15/03/2007</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PY@"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PY@"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externalLinkPath" Target="file:///E:\1.UPERC\UPERC-Season%205\1.%20FY%202019-20\1-State%20Discom%20Models\1.Discom%20Models-FY%202019-20%20(05.08.19)\Final%20PPC%20Model%20-03.08.2019.xlsx"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externalLinkPath" Target="file:///E:\1.UPERC\UPERC-Season%205\1.%20FY%202019-20\1-State%20Discom%20Models\1.Discom%20Models-FY%202019-20%20(05.08.19)\Final%20PPC%20Model%20-03.08.2019.xlsx"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view="pageBreakPreview" zoomScaleNormal="100" zoomScaleSheetLayoutView="100" workbookViewId="0">
      <selection activeCell="C105" sqref="C105"/>
    </sheetView>
  </sheetViews>
  <sheetFormatPr defaultRowHeight="14.5"/>
  <cols>
    <col min="1" max="1" width="9.1796875" style="318"/>
    <col min="2" max="2" width="10.81640625" style="2766" customWidth="1"/>
    <col min="3" max="3" width="72.54296875" style="2766" customWidth="1"/>
    <col min="4" max="4" width="22.81640625" style="2766" bestFit="1" customWidth="1"/>
    <col min="5" max="197" width="9.1796875" style="2766"/>
    <col min="198" max="198" width="12.26953125" style="2766" customWidth="1"/>
    <col min="199" max="199" width="60" style="2766" customWidth="1"/>
    <col min="200" max="453" width="9.1796875" style="2766"/>
    <col min="454" max="454" width="12.26953125" style="2766" customWidth="1"/>
    <col min="455" max="455" width="60" style="2766" customWidth="1"/>
    <col min="456" max="709" width="9.1796875" style="2766"/>
    <col min="710" max="710" width="12.26953125" style="2766" customWidth="1"/>
    <col min="711" max="711" width="60" style="2766" customWidth="1"/>
    <col min="712" max="965" width="9.1796875" style="2766"/>
    <col min="966" max="966" width="12.26953125" style="2766" customWidth="1"/>
    <col min="967" max="967" width="60" style="2766" customWidth="1"/>
    <col min="968" max="1221" width="9.1796875" style="2766"/>
    <col min="1222" max="1222" width="12.26953125" style="2766" customWidth="1"/>
    <col min="1223" max="1223" width="60" style="2766" customWidth="1"/>
    <col min="1224" max="1477" width="9.1796875" style="2766"/>
    <col min="1478" max="1478" width="12.26953125" style="2766" customWidth="1"/>
    <col min="1479" max="1479" width="60" style="2766" customWidth="1"/>
    <col min="1480" max="1733" width="9.1796875" style="2766"/>
    <col min="1734" max="1734" width="12.26953125" style="2766" customWidth="1"/>
    <col min="1735" max="1735" width="60" style="2766" customWidth="1"/>
    <col min="1736" max="1989" width="9.1796875" style="2766"/>
    <col min="1990" max="1990" width="12.26953125" style="2766" customWidth="1"/>
    <col min="1991" max="1991" width="60" style="2766" customWidth="1"/>
    <col min="1992" max="2245" width="9.1796875" style="2766"/>
    <col min="2246" max="2246" width="12.26953125" style="2766" customWidth="1"/>
    <col min="2247" max="2247" width="60" style="2766" customWidth="1"/>
    <col min="2248" max="2501" width="9.1796875" style="2766"/>
    <col min="2502" max="2502" width="12.26953125" style="2766" customWidth="1"/>
    <col min="2503" max="2503" width="60" style="2766" customWidth="1"/>
    <col min="2504" max="2757" width="9.1796875" style="2766"/>
    <col min="2758" max="2758" width="12.26953125" style="2766" customWidth="1"/>
    <col min="2759" max="2759" width="60" style="2766" customWidth="1"/>
    <col min="2760" max="3013" width="9.1796875" style="2766"/>
    <col min="3014" max="3014" width="12.26953125" style="2766" customWidth="1"/>
    <col min="3015" max="3015" width="60" style="2766" customWidth="1"/>
    <col min="3016" max="3269" width="9.1796875" style="2766"/>
    <col min="3270" max="3270" width="12.26953125" style="2766" customWidth="1"/>
    <col min="3271" max="3271" width="60" style="2766" customWidth="1"/>
    <col min="3272" max="3525" width="9.1796875" style="2766"/>
    <col min="3526" max="3526" width="12.26953125" style="2766" customWidth="1"/>
    <col min="3527" max="3527" width="60" style="2766" customWidth="1"/>
    <col min="3528" max="3781" width="9.1796875" style="2766"/>
    <col min="3782" max="3782" width="12.26953125" style="2766" customWidth="1"/>
    <col min="3783" max="3783" width="60" style="2766" customWidth="1"/>
    <col min="3784" max="4037" width="9.1796875" style="2766"/>
    <col min="4038" max="4038" width="12.26953125" style="2766" customWidth="1"/>
    <col min="4039" max="4039" width="60" style="2766" customWidth="1"/>
    <col min="4040" max="4293" width="9.1796875" style="2766"/>
    <col min="4294" max="4294" width="12.26953125" style="2766" customWidth="1"/>
    <col min="4295" max="4295" width="60" style="2766" customWidth="1"/>
    <col min="4296" max="4549" width="9.1796875" style="2766"/>
    <col min="4550" max="4550" width="12.26953125" style="2766" customWidth="1"/>
    <col min="4551" max="4551" width="60" style="2766" customWidth="1"/>
    <col min="4552" max="4805" width="9.1796875" style="2766"/>
    <col min="4806" max="4806" width="12.26953125" style="2766" customWidth="1"/>
    <col min="4807" max="4807" width="60" style="2766" customWidth="1"/>
    <col min="4808" max="5061" width="9.1796875" style="2766"/>
    <col min="5062" max="5062" width="12.26953125" style="2766" customWidth="1"/>
    <col min="5063" max="5063" width="60" style="2766" customWidth="1"/>
    <col min="5064" max="5317" width="9.1796875" style="2766"/>
    <col min="5318" max="5318" width="12.26953125" style="2766" customWidth="1"/>
    <col min="5319" max="5319" width="60" style="2766" customWidth="1"/>
    <col min="5320" max="5573" width="9.1796875" style="2766"/>
    <col min="5574" max="5574" width="12.26953125" style="2766" customWidth="1"/>
    <col min="5575" max="5575" width="60" style="2766" customWidth="1"/>
    <col min="5576" max="5829" width="9.1796875" style="2766"/>
    <col min="5830" max="5830" width="12.26953125" style="2766" customWidth="1"/>
    <col min="5831" max="5831" width="60" style="2766" customWidth="1"/>
    <col min="5832" max="6085" width="9.1796875" style="2766"/>
    <col min="6086" max="6086" width="12.26953125" style="2766" customWidth="1"/>
    <col min="6087" max="6087" width="60" style="2766" customWidth="1"/>
    <col min="6088" max="6341" width="9.1796875" style="2766"/>
    <col min="6342" max="6342" width="12.26953125" style="2766" customWidth="1"/>
    <col min="6343" max="6343" width="60" style="2766" customWidth="1"/>
    <col min="6344" max="6597" width="9.1796875" style="2766"/>
    <col min="6598" max="6598" width="12.26953125" style="2766" customWidth="1"/>
    <col min="6599" max="6599" width="60" style="2766" customWidth="1"/>
    <col min="6600" max="6853" width="9.1796875" style="2766"/>
    <col min="6854" max="6854" width="12.26953125" style="2766" customWidth="1"/>
    <col min="6855" max="6855" width="60" style="2766" customWidth="1"/>
    <col min="6856" max="7109" width="9.1796875" style="2766"/>
    <col min="7110" max="7110" width="12.26953125" style="2766" customWidth="1"/>
    <col min="7111" max="7111" width="60" style="2766" customWidth="1"/>
    <col min="7112" max="7365" width="9.1796875" style="2766"/>
    <col min="7366" max="7366" width="12.26953125" style="2766" customWidth="1"/>
    <col min="7367" max="7367" width="60" style="2766" customWidth="1"/>
    <col min="7368" max="7621" width="9.1796875" style="2766"/>
    <col min="7622" max="7622" width="12.26953125" style="2766" customWidth="1"/>
    <col min="7623" max="7623" width="60" style="2766" customWidth="1"/>
    <col min="7624" max="7877" width="9.1796875" style="2766"/>
    <col min="7878" max="7878" width="12.26953125" style="2766" customWidth="1"/>
    <col min="7879" max="7879" width="60" style="2766" customWidth="1"/>
    <col min="7880" max="8133" width="9.1796875" style="2766"/>
    <col min="8134" max="8134" width="12.26953125" style="2766" customWidth="1"/>
    <col min="8135" max="8135" width="60" style="2766" customWidth="1"/>
    <col min="8136" max="8389" width="9.1796875" style="2766"/>
    <col min="8390" max="8390" width="12.26953125" style="2766" customWidth="1"/>
    <col min="8391" max="8391" width="60" style="2766" customWidth="1"/>
    <col min="8392" max="8645" width="9.1796875" style="2766"/>
    <col min="8646" max="8646" width="12.26953125" style="2766" customWidth="1"/>
    <col min="8647" max="8647" width="60" style="2766" customWidth="1"/>
    <col min="8648" max="8901" width="9.1796875" style="2766"/>
    <col min="8902" max="8902" width="12.26953125" style="2766" customWidth="1"/>
    <col min="8903" max="8903" width="60" style="2766" customWidth="1"/>
    <col min="8904" max="9157" width="9.1796875" style="2766"/>
    <col min="9158" max="9158" width="12.26953125" style="2766" customWidth="1"/>
    <col min="9159" max="9159" width="60" style="2766" customWidth="1"/>
    <col min="9160" max="9413" width="9.1796875" style="2766"/>
    <col min="9414" max="9414" width="12.26953125" style="2766" customWidth="1"/>
    <col min="9415" max="9415" width="60" style="2766" customWidth="1"/>
    <col min="9416" max="9669" width="9.1796875" style="2766"/>
    <col min="9670" max="9670" width="12.26953125" style="2766" customWidth="1"/>
    <col min="9671" max="9671" width="60" style="2766" customWidth="1"/>
    <col min="9672" max="9925" width="9.1796875" style="2766"/>
    <col min="9926" max="9926" width="12.26953125" style="2766" customWidth="1"/>
    <col min="9927" max="9927" width="60" style="2766" customWidth="1"/>
    <col min="9928" max="10181" width="9.1796875" style="2766"/>
    <col min="10182" max="10182" width="12.26953125" style="2766" customWidth="1"/>
    <col min="10183" max="10183" width="60" style="2766" customWidth="1"/>
    <col min="10184" max="10437" width="9.1796875" style="2766"/>
    <col min="10438" max="10438" width="12.26953125" style="2766" customWidth="1"/>
    <col min="10439" max="10439" width="60" style="2766" customWidth="1"/>
    <col min="10440" max="10693" width="9.1796875" style="2766"/>
    <col min="10694" max="10694" width="12.26953125" style="2766" customWidth="1"/>
    <col min="10695" max="10695" width="60" style="2766" customWidth="1"/>
    <col min="10696" max="10949" width="9.1796875" style="2766"/>
    <col min="10950" max="10950" width="12.26953125" style="2766" customWidth="1"/>
    <col min="10951" max="10951" width="60" style="2766" customWidth="1"/>
    <col min="10952" max="11205" width="9.1796875" style="2766"/>
    <col min="11206" max="11206" width="12.26953125" style="2766" customWidth="1"/>
    <col min="11207" max="11207" width="60" style="2766" customWidth="1"/>
    <col min="11208" max="11461" width="9.1796875" style="2766"/>
    <col min="11462" max="11462" width="12.26953125" style="2766" customWidth="1"/>
    <col min="11463" max="11463" width="60" style="2766" customWidth="1"/>
    <col min="11464" max="11717" width="9.1796875" style="2766"/>
    <col min="11718" max="11718" width="12.26953125" style="2766" customWidth="1"/>
    <col min="11719" max="11719" width="60" style="2766" customWidth="1"/>
    <col min="11720" max="11973" width="9.1796875" style="2766"/>
    <col min="11974" max="11974" width="12.26953125" style="2766" customWidth="1"/>
    <col min="11975" max="11975" width="60" style="2766" customWidth="1"/>
    <col min="11976" max="12229" width="9.1796875" style="2766"/>
    <col min="12230" max="12230" width="12.26953125" style="2766" customWidth="1"/>
    <col min="12231" max="12231" width="60" style="2766" customWidth="1"/>
    <col min="12232" max="12485" width="9.1796875" style="2766"/>
    <col min="12486" max="12486" width="12.26953125" style="2766" customWidth="1"/>
    <col min="12487" max="12487" width="60" style="2766" customWidth="1"/>
    <col min="12488" max="12741" width="9.1796875" style="2766"/>
    <col min="12742" max="12742" width="12.26953125" style="2766" customWidth="1"/>
    <col min="12743" max="12743" width="60" style="2766" customWidth="1"/>
    <col min="12744" max="12997" width="9.1796875" style="2766"/>
    <col min="12998" max="12998" width="12.26953125" style="2766" customWidth="1"/>
    <col min="12999" max="12999" width="60" style="2766" customWidth="1"/>
    <col min="13000" max="13253" width="9.1796875" style="2766"/>
    <col min="13254" max="13254" width="12.26953125" style="2766" customWidth="1"/>
    <col min="13255" max="13255" width="60" style="2766" customWidth="1"/>
    <col min="13256" max="13509" width="9.1796875" style="2766"/>
    <col min="13510" max="13510" width="12.26953125" style="2766" customWidth="1"/>
    <col min="13511" max="13511" width="60" style="2766" customWidth="1"/>
    <col min="13512" max="13765" width="9.1796875" style="2766"/>
    <col min="13766" max="13766" width="12.26953125" style="2766" customWidth="1"/>
    <col min="13767" max="13767" width="60" style="2766" customWidth="1"/>
    <col min="13768" max="14021" width="9.1796875" style="2766"/>
    <col min="14022" max="14022" width="12.26953125" style="2766" customWidth="1"/>
    <col min="14023" max="14023" width="60" style="2766" customWidth="1"/>
    <col min="14024" max="14277" width="9.1796875" style="2766"/>
    <col min="14278" max="14278" width="12.26953125" style="2766" customWidth="1"/>
    <col min="14279" max="14279" width="60" style="2766" customWidth="1"/>
    <col min="14280" max="14533" width="9.1796875" style="2766"/>
    <col min="14534" max="14534" width="12.26953125" style="2766" customWidth="1"/>
    <col min="14535" max="14535" width="60" style="2766" customWidth="1"/>
    <col min="14536" max="14789" width="9.1796875" style="2766"/>
    <col min="14790" max="14790" width="12.26953125" style="2766" customWidth="1"/>
    <col min="14791" max="14791" width="60" style="2766" customWidth="1"/>
    <col min="14792" max="15045" width="9.1796875" style="2766"/>
    <col min="15046" max="15046" width="12.26953125" style="2766" customWidth="1"/>
    <col min="15047" max="15047" width="60" style="2766" customWidth="1"/>
    <col min="15048" max="15301" width="9.1796875" style="2766"/>
    <col min="15302" max="15302" width="12.26953125" style="2766" customWidth="1"/>
    <col min="15303" max="15303" width="60" style="2766" customWidth="1"/>
    <col min="15304" max="15557" width="9.1796875" style="2766"/>
    <col min="15558" max="15558" width="12.26953125" style="2766" customWidth="1"/>
    <col min="15559" max="15559" width="60" style="2766" customWidth="1"/>
    <col min="15560" max="15813" width="9.1796875" style="2766"/>
    <col min="15814" max="15814" width="12.26953125" style="2766" customWidth="1"/>
    <col min="15815" max="15815" width="60" style="2766" customWidth="1"/>
    <col min="15816" max="16069" width="9.1796875" style="2766"/>
    <col min="16070" max="16070" width="12.26953125" style="2766" customWidth="1"/>
    <col min="16071" max="16071" width="60" style="2766" customWidth="1"/>
    <col min="16072" max="16384" width="9.1796875" style="2766"/>
  </cols>
  <sheetData>
    <row r="1" spans="1:6">
      <c r="A1" s="2981" t="s">
        <v>1275</v>
      </c>
      <c r="B1" s="2981"/>
      <c r="C1" s="2981"/>
      <c r="D1" s="304"/>
      <c r="E1" s="304"/>
      <c r="F1" s="304"/>
    </row>
    <row r="2" spans="1:6">
      <c r="A2" s="2765"/>
      <c r="B2" s="2768"/>
      <c r="C2" s="2768"/>
    </row>
    <row r="3" spans="1:6">
      <c r="A3" s="1579">
        <v>1</v>
      </c>
      <c r="B3" s="1579" t="s">
        <v>188</v>
      </c>
      <c r="C3" s="1580" t="s">
        <v>189</v>
      </c>
    </row>
    <row r="4" spans="1:6">
      <c r="A4" s="1579">
        <f>A3+1</f>
        <v>2</v>
      </c>
      <c r="B4" s="1579" t="s">
        <v>190</v>
      </c>
      <c r="C4" s="1580" t="s">
        <v>191</v>
      </c>
    </row>
    <row r="5" spans="1:6">
      <c r="A5" s="1579">
        <f t="shared" ref="A5:A6" si="0">A4+1</f>
        <v>3</v>
      </c>
      <c r="B5" s="1579" t="s">
        <v>192</v>
      </c>
      <c r="C5" s="315" t="s">
        <v>217</v>
      </c>
    </row>
    <row r="6" spans="1:6" ht="15" thickBot="1">
      <c r="A6" s="1579">
        <f t="shared" si="0"/>
        <v>4</v>
      </c>
      <c r="B6" s="1579" t="s">
        <v>36</v>
      </c>
      <c r="C6" s="1581" t="s">
        <v>208</v>
      </c>
    </row>
    <row r="7" spans="1:6">
      <c r="A7" s="2982"/>
      <c r="B7" s="2983"/>
      <c r="C7" s="2984"/>
    </row>
    <row r="8" spans="1:6">
      <c r="A8" s="1579">
        <v>5</v>
      </c>
      <c r="B8" s="1579" t="s">
        <v>35</v>
      </c>
      <c r="C8" s="1582" t="s">
        <v>13</v>
      </c>
    </row>
    <row r="9" spans="1:6">
      <c r="A9" s="1579">
        <v>6</v>
      </c>
      <c r="B9" s="1579" t="s">
        <v>37</v>
      </c>
      <c r="C9" s="1581" t="s">
        <v>213</v>
      </c>
    </row>
    <row r="10" spans="1:6">
      <c r="A10" s="1579">
        <v>7</v>
      </c>
      <c r="B10" s="1579" t="s">
        <v>38</v>
      </c>
      <c r="C10" s="1581" t="s">
        <v>243</v>
      </c>
    </row>
    <row r="11" spans="1:6">
      <c r="A11" s="1579">
        <v>8</v>
      </c>
      <c r="B11" s="1579" t="s">
        <v>40</v>
      </c>
      <c r="C11" s="1581" t="s">
        <v>257</v>
      </c>
    </row>
    <row r="12" spans="1:6">
      <c r="A12" s="1579">
        <v>9</v>
      </c>
      <c r="B12" s="1579" t="s">
        <v>49</v>
      </c>
      <c r="C12" s="1581" t="s">
        <v>265</v>
      </c>
    </row>
    <row r="13" spans="1:6">
      <c r="A13" s="1579">
        <v>10</v>
      </c>
      <c r="B13" s="1579" t="s">
        <v>39</v>
      </c>
      <c r="C13" s="1581" t="s">
        <v>259</v>
      </c>
    </row>
    <row r="14" spans="1:6">
      <c r="A14" s="1579">
        <v>11</v>
      </c>
      <c r="B14" s="1579" t="s">
        <v>276</v>
      </c>
      <c r="C14" s="1581" t="s">
        <v>261</v>
      </c>
    </row>
    <row r="15" spans="1:6">
      <c r="A15" s="1579">
        <v>12</v>
      </c>
      <c r="B15" s="1579" t="s">
        <v>50</v>
      </c>
      <c r="C15" s="1581" t="s">
        <v>270</v>
      </c>
    </row>
    <row r="16" spans="1:6">
      <c r="A16" s="1579">
        <v>13</v>
      </c>
      <c r="B16" s="1579" t="s">
        <v>44</v>
      </c>
      <c r="C16" s="1581" t="s">
        <v>505</v>
      </c>
    </row>
    <row r="17" spans="1:4">
      <c r="A17" s="1579">
        <v>14</v>
      </c>
      <c r="B17" s="1579" t="s">
        <v>509</v>
      </c>
      <c r="C17" s="1581" t="s">
        <v>506</v>
      </c>
      <c r="D17" s="1181"/>
    </row>
    <row r="18" spans="1:4">
      <c r="A18" s="1579">
        <v>15</v>
      </c>
      <c r="B18" s="1579" t="s">
        <v>45</v>
      </c>
      <c r="C18" s="1581" t="s">
        <v>514</v>
      </c>
    </row>
    <row r="19" spans="1:4">
      <c r="A19" s="1579">
        <v>16</v>
      </c>
      <c r="B19" s="1579" t="s">
        <v>46</v>
      </c>
      <c r="C19" s="1581" t="s">
        <v>779</v>
      </c>
    </row>
    <row r="20" spans="1:4">
      <c r="A20" s="1579">
        <v>17</v>
      </c>
      <c r="B20" s="1579" t="s">
        <v>297</v>
      </c>
      <c r="C20" s="1581" t="s">
        <v>756</v>
      </c>
    </row>
    <row r="21" spans="1:4">
      <c r="A21" s="1579">
        <v>18</v>
      </c>
      <c r="B21" s="1579" t="s">
        <v>51</v>
      </c>
      <c r="C21" s="1581" t="s">
        <v>521</v>
      </c>
    </row>
    <row r="22" spans="1:4">
      <c r="A22" s="1579">
        <v>19</v>
      </c>
      <c r="B22" s="1579" t="s">
        <v>298</v>
      </c>
      <c r="C22" s="1581" t="s">
        <v>284</v>
      </c>
    </row>
    <row r="23" spans="1:4">
      <c r="A23" s="1579">
        <v>20</v>
      </c>
      <c r="B23" s="1579" t="s">
        <v>299</v>
      </c>
      <c r="C23" s="1581" t="s">
        <v>789</v>
      </c>
    </row>
    <row r="24" spans="1:4">
      <c r="A24" s="1579">
        <v>21</v>
      </c>
      <c r="B24" s="1579" t="s">
        <v>52</v>
      </c>
      <c r="C24" s="1581" t="s">
        <v>1326</v>
      </c>
    </row>
    <row r="25" spans="1:4">
      <c r="A25" s="1579">
        <v>22</v>
      </c>
      <c r="B25" s="1579" t="s">
        <v>302</v>
      </c>
      <c r="C25" s="1581" t="s">
        <v>524</v>
      </c>
    </row>
    <row r="26" spans="1:4">
      <c r="A26" s="1579">
        <v>23</v>
      </c>
      <c r="B26" s="1579" t="s">
        <v>53</v>
      </c>
      <c r="C26" s="1581" t="s">
        <v>300</v>
      </c>
    </row>
    <row r="27" spans="1:4">
      <c r="A27" s="1579">
        <v>24</v>
      </c>
      <c r="B27" s="1579" t="s">
        <v>43</v>
      </c>
      <c r="C27" s="1581" t="s">
        <v>304</v>
      </c>
    </row>
    <row r="28" spans="1:4">
      <c r="A28" s="1579">
        <v>25</v>
      </c>
      <c r="B28" s="1579" t="s">
        <v>321</v>
      </c>
      <c r="C28" s="1581" t="s">
        <v>1572</v>
      </c>
    </row>
    <row r="29" spans="1:4">
      <c r="A29" s="1579">
        <v>26</v>
      </c>
      <c r="B29" s="1579" t="s">
        <v>886</v>
      </c>
      <c r="C29" s="1583" t="s">
        <v>1236</v>
      </c>
    </row>
    <row r="30" spans="1:4">
      <c r="A30" s="1579">
        <v>27</v>
      </c>
      <c r="B30" s="1579" t="s">
        <v>887</v>
      </c>
      <c r="C30" s="1583" t="s">
        <v>1573</v>
      </c>
    </row>
    <row r="31" spans="1:4">
      <c r="A31" s="1579">
        <v>28</v>
      </c>
      <c r="B31" s="1579" t="s">
        <v>888</v>
      </c>
      <c r="C31" s="1583" t="s">
        <v>1574</v>
      </c>
    </row>
    <row r="32" spans="1:4">
      <c r="A32" s="1579">
        <v>29</v>
      </c>
      <c r="B32" s="1579" t="s">
        <v>889</v>
      </c>
      <c r="C32" s="1583" t="s">
        <v>762</v>
      </c>
    </row>
    <row r="33" spans="1:4">
      <c r="A33" s="1579">
        <v>30</v>
      </c>
      <c r="B33" s="1579" t="s">
        <v>890</v>
      </c>
      <c r="C33" s="1583" t="s">
        <v>1575</v>
      </c>
    </row>
    <row r="34" spans="1:4">
      <c r="A34" s="1579">
        <v>31</v>
      </c>
      <c r="B34" s="1579" t="s">
        <v>843</v>
      </c>
      <c r="C34" s="1583" t="s">
        <v>764</v>
      </c>
    </row>
    <row r="35" spans="1:4">
      <c r="A35" s="1579">
        <v>32</v>
      </c>
      <c r="B35" s="1579" t="s">
        <v>844</v>
      </c>
      <c r="C35" s="1583" t="s">
        <v>766</v>
      </c>
    </row>
    <row r="36" spans="1:4" ht="29">
      <c r="A36" s="1579">
        <v>33</v>
      </c>
      <c r="B36" s="1579" t="s">
        <v>845</v>
      </c>
      <c r="C36" s="1583" t="s">
        <v>1576</v>
      </c>
    </row>
    <row r="37" spans="1:4">
      <c r="A37" s="1579">
        <v>34</v>
      </c>
      <c r="B37" s="1579" t="s">
        <v>1210</v>
      </c>
      <c r="C37" s="1583" t="s">
        <v>1577</v>
      </c>
    </row>
    <row r="38" spans="1:4">
      <c r="A38" s="1579">
        <v>35</v>
      </c>
      <c r="B38" s="1579" t="s">
        <v>1211</v>
      </c>
      <c r="C38" s="1583" t="s">
        <v>519</v>
      </c>
    </row>
    <row r="39" spans="1:4">
      <c r="A39" s="1579">
        <v>36</v>
      </c>
      <c r="B39" s="1579" t="s">
        <v>1330</v>
      </c>
      <c r="C39" s="1583" t="s">
        <v>1578</v>
      </c>
    </row>
    <row r="40" spans="1:4">
      <c r="A40" s="1579">
        <v>37</v>
      </c>
      <c r="B40" s="1579" t="s">
        <v>42</v>
      </c>
      <c r="C40" s="315" t="s">
        <v>793</v>
      </c>
    </row>
    <row r="41" spans="1:4">
      <c r="A41" s="1579">
        <v>38</v>
      </c>
      <c r="B41" s="1579" t="s">
        <v>47</v>
      </c>
      <c r="C41" s="315" t="s">
        <v>322</v>
      </c>
    </row>
    <row r="42" spans="1:4">
      <c r="A42" s="1579">
        <v>39</v>
      </c>
      <c r="B42" s="1579" t="s">
        <v>41</v>
      </c>
      <c r="C42" s="315" t="s">
        <v>31</v>
      </c>
    </row>
    <row r="43" spans="1:4">
      <c r="A43" s="1579">
        <v>40</v>
      </c>
      <c r="B43" s="1579" t="s">
        <v>48</v>
      </c>
      <c r="C43" s="1581" t="s">
        <v>334</v>
      </c>
      <c r="D43" s="1181"/>
    </row>
    <row r="44" spans="1:4">
      <c r="A44" s="1579">
        <v>41</v>
      </c>
      <c r="B44" s="1579" t="s">
        <v>55</v>
      </c>
      <c r="C44" s="315" t="s">
        <v>5</v>
      </c>
    </row>
    <row r="45" spans="1:4">
      <c r="A45" s="1579">
        <v>42</v>
      </c>
      <c r="B45" s="1579" t="s">
        <v>54</v>
      </c>
      <c r="C45" s="315" t="s">
        <v>424</v>
      </c>
    </row>
    <row r="46" spans="1:4">
      <c r="A46" s="1579">
        <v>43</v>
      </c>
      <c r="B46" s="1579" t="s">
        <v>498</v>
      </c>
      <c r="C46" s="315" t="s">
        <v>111</v>
      </c>
    </row>
    <row r="47" spans="1:4">
      <c r="A47" s="1579">
        <v>44</v>
      </c>
      <c r="B47" s="1579" t="s">
        <v>499</v>
      </c>
      <c r="C47" s="315" t="s">
        <v>443</v>
      </c>
    </row>
    <row r="48" spans="1:4">
      <c r="A48" s="1579">
        <v>45</v>
      </c>
      <c r="B48" s="1579" t="s">
        <v>500</v>
      </c>
      <c r="C48" s="315" t="s">
        <v>486</v>
      </c>
    </row>
    <row r="49" spans="1:11">
      <c r="A49" s="1579">
        <v>46</v>
      </c>
      <c r="B49" s="1579" t="s">
        <v>56</v>
      </c>
      <c r="C49" s="315" t="s">
        <v>1</v>
      </c>
    </row>
    <row r="50" spans="1:11">
      <c r="A50" s="1579">
        <v>47</v>
      </c>
      <c r="B50" s="1579" t="s">
        <v>193</v>
      </c>
      <c r="C50" s="315" t="s">
        <v>2</v>
      </c>
    </row>
    <row r="51" spans="1:11">
      <c r="A51" s="1579">
        <v>48</v>
      </c>
      <c r="B51" s="1579" t="s">
        <v>1366</v>
      </c>
      <c r="C51" s="315" t="s">
        <v>1365</v>
      </c>
    </row>
    <row r="52" spans="1:11">
      <c r="A52" s="1579">
        <v>49</v>
      </c>
      <c r="B52" s="1579" t="s">
        <v>501</v>
      </c>
      <c r="C52" s="1581" t="s">
        <v>356</v>
      </c>
      <c r="D52" s="1181"/>
    </row>
    <row r="53" spans="1:11">
      <c r="A53" s="1579">
        <v>50</v>
      </c>
      <c r="B53" s="1579" t="s">
        <v>891</v>
      </c>
      <c r="C53" s="315" t="s">
        <v>804</v>
      </c>
    </row>
    <row r="54" spans="1:11">
      <c r="A54" s="1579">
        <v>51</v>
      </c>
      <c r="B54" s="1579" t="s">
        <v>893</v>
      </c>
      <c r="C54" s="315" t="s">
        <v>1307</v>
      </c>
      <c r="K54" s="2766" t="s">
        <v>541</v>
      </c>
    </row>
    <row r="55" spans="1:11">
      <c r="A55" s="1579">
        <v>52</v>
      </c>
      <c r="B55" s="1579" t="s">
        <v>894</v>
      </c>
      <c r="C55" s="315" t="s">
        <v>0</v>
      </c>
    </row>
    <row r="56" spans="1:11">
      <c r="A56" s="1579">
        <v>53</v>
      </c>
      <c r="B56" s="1579" t="s">
        <v>194</v>
      </c>
      <c r="C56" s="315" t="s">
        <v>84</v>
      </c>
    </row>
    <row r="57" spans="1:11">
      <c r="A57" s="1579">
        <v>54</v>
      </c>
      <c r="B57" s="1579" t="s">
        <v>195</v>
      </c>
      <c r="C57" s="315" t="s">
        <v>173</v>
      </c>
    </row>
    <row r="58" spans="1:11">
      <c r="A58" s="1579">
        <v>55</v>
      </c>
      <c r="B58" s="1579" t="s">
        <v>196</v>
      </c>
      <c r="C58" s="315" t="s">
        <v>898</v>
      </c>
    </row>
    <row r="59" spans="1:11">
      <c r="A59" s="1579">
        <v>56</v>
      </c>
      <c r="B59" s="1579" t="s">
        <v>197</v>
      </c>
      <c r="C59" s="315" t="s">
        <v>128</v>
      </c>
    </row>
    <row r="60" spans="1:11">
      <c r="A60" s="1579">
        <v>57</v>
      </c>
      <c r="B60" s="1579" t="s">
        <v>900</v>
      </c>
      <c r="C60" s="315" t="s">
        <v>4</v>
      </c>
    </row>
    <row r="61" spans="1:11">
      <c r="A61" s="1579">
        <v>58</v>
      </c>
      <c r="B61" s="1579" t="s">
        <v>902</v>
      </c>
      <c r="C61" s="315" t="s">
        <v>1249</v>
      </c>
    </row>
    <row r="62" spans="1:11">
      <c r="A62" s="1579">
        <v>59</v>
      </c>
      <c r="B62" s="1579" t="s">
        <v>913</v>
      </c>
      <c r="C62" s="1584" t="s">
        <v>3</v>
      </c>
      <c r="E62" s="875"/>
      <c r="F62" s="875"/>
      <c r="G62" s="875"/>
      <c r="H62" s="875"/>
      <c r="I62" s="875"/>
    </row>
    <row r="63" spans="1:11">
      <c r="A63" s="1579">
        <v>60</v>
      </c>
      <c r="B63" s="1579" t="s">
        <v>914</v>
      </c>
      <c r="C63" s="1585" t="s">
        <v>170</v>
      </c>
    </row>
    <row r="64" spans="1:11">
      <c r="A64" s="1579">
        <v>61</v>
      </c>
      <c r="B64" s="1579" t="s">
        <v>915</v>
      </c>
      <c r="C64" s="1585" t="s">
        <v>414</v>
      </c>
    </row>
    <row r="65" spans="1:4">
      <c r="A65" s="1579">
        <v>62</v>
      </c>
      <c r="B65" s="1579" t="s">
        <v>198</v>
      </c>
      <c r="C65" s="1585" t="s">
        <v>32</v>
      </c>
    </row>
    <row r="66" spans="1:4">
      <c r="A66" s="1579">
        <v>63</v>
      </c>
      <c r="B66" s="1579" t="s">
        <v>917</v>
      </c>
      <c r="C66" s="1585" t="s">
        <v>33</v>
      </c>
    </row>
    <row r="67" spans="1:4">
      <c r="A67" s="1579">
        <v>64</v>
      </c>
      <c r="B67" s="1579" t="s">
        <v>199</v>
      </c>
      <c r="C67" s="1585" t="s">
        <v>918</v>
      </c>
    </row>
    <row r="68" spans="1:4">
      <c r="A68" s="1579">
        <v>65</v>
      </c>
      <c r="B68" s="1579" t="s">
        <v>200</v>
      </c>
      <c r="C68" s="1585" t="s">
        <v>6</v>
      </c>
    </row>
    <row r="69" spans="1:4">
      <c r="A69" s="1579">
        <v>66</v>
      </c>
      <c r="B69" s="1579" t="s">
        <v>919</v>
      </c>
      <c r="C69" s="1586" t="s">
        <v>1248</v>
      </c>
    </row>
    <row r="70" spans="1:4">
      <c r="A70" s="1579">
        <v>67</v>
      </c>
      <c r="B70" s="1579" t="s">
        <v>201</v>
      </c>
      <c r="C70" s="1585" t="s">
        <v>7</v>
      </c>
    </row>
    <row r="71" spans="1:4">
      <c r="A71" s="1579">
        <v>68</v>
      </c>
      <c r="B71" s="1579" t="s">
        <v>202</v>
      </c>
      <c r="C71" s="1585" t="s">
        <v>8</v>
      </c>
    </row>
    <row r="72" spans="1:4">
      <c r="A72" s="1579">
        <v>69</v>
      </c>
      <c r="B72" s="1579" t="s">
        <v>203</v>
      </c>
      <c r="C72" s="1581" t="s">
        <v>9</v>
      </c>
      <c r="D72" s="1181"/>
    </row>
    <row r="73" spans="1:4">
      <c r="A73" s="1579">
        <v>70</v>
      </c>
      <c r="B73" s="1579" t="s">
        <v>204</v>
      </c>
      <c r="C73" s="1585" t="s">
        <v>10</v>
      </c>
    </row>
    <row r="74" spans="1:4">
      <c r="A74" s="1579">
        <v>71</v>
      </c>
      <c r="B74" s="1579" t="s">
        <v>205</v>
      </c>
      <c r="C74" s="1585" t="s">
        <v>11</v>
      </c>
    </row>
    <row r="75" spans="1:4">
      <c r="A75" s="1579">
        <v>72</v>
      </c>
      <c r="B75" s="1579" t="s">
        <v>206</v>
      </c>
      <c r="C75" s="1585" t="s">
        <v>178</v>
      </c>
    </row>
    <row r="76" spans="1:4">
      <c r="A76" s="1579">
        <v>73</v>
      </c>
      <c r="B76" s="1579" t="s">
        <v>207</v>
      </c>
      <c r="C76" s="1585" t="s">
        <v>175</v>
      </c>
    </row>
    <row r="77" spans="1:4">
      <c r="A77" s="1579">
        <v>74</v>
      </c>
      <c r="B77" s="1579" t="s">
        <v>1198</v>
      </c>
      <c r="C77" s="1585" t="s">
        <v>1237</v>
      </c>
    </row>
    <row r="78" spans="1:4">
      <c r="A78" s="1579">
        <v>75</v>
      </c>
      <c r="B78" s="1579" t="s">
        <v>1247</v>
      </c>
      <c r="C78" s="1585" t="s">
        <v>507</v>
      </c>
    </row>
    <row r="79" spans="1:4">
      <c r="A79" s="1579">
        <v>76</v>
      </c>
      <c r="B79" s="1579" t="s">
        <v>1199</v>
      </c>
      <c r="C79" s="1585" t="s">
        <v>929</v>
      </c>
    </row>
    <row r="80" spans="1:4">
      <c r="A80" s="1579">
        <v>77</v>
      </c>
      <c r="B80" s="1579" t="s">
        <v>1200</v>
      </c>
      <c r="C80" s="1585" t="s">
        <v>944</v>
      </c>
    </row>
    <row r="81" spans="1:4">
      <c r="A81" s="1579">
        <v>78</v>
      </c>
      <c r="B81" s="1579" t="s">
        <v>1201</v>
      </c>
      <c r="C81" s="1585" t="s">
        <v>953</v>
      </c>
    </row>
    <row r="82" spans="1:4">
      <c r="A82" s="1579">
        <v>79</v>
      </c>
      <c r="B82" s="1579" t="s">
        <v>1202</v>
      </c>
      <c r="C82" s="1585" t="s">
        <v>1176</v>
      </c>
    </row>
    <row r="83" spans="1:4">
      <c r="A83" s="1579">
        <v>80</v>
      </c>
      <c r="B83" s="1579" t="s">
        <v>1235</v>
      </c>
      <c r="C83" s="1585" t="s">
        <v>1213</v>
      </c>
    </row>
    <row r="84" spans="1:4">
      <c r="A84" s="1579">
        <v>81</v>
      </c>
      <c r="B84" s="1579" t="s">
        <v>1203</v>
      </c>
      <c r="C84" s="1585" t="s">
        <v>1025</v>
      </c>
    </row>
    <row r="85" spans="1:4">
      <c r="A85" s="1579">
        <v>82</v>
      </c>
      <c r="B85" s="1579" t="s">
        <v>1204</v>
      </c>
      <c r="C85" s="1585" t="s">
        <v>1170</v>
      </c>
    </row>
    <row r="86" spans="1:4">
      <c r="A86" s="1579">
        <v>83</v>
      </c>
      <c r="B86" s="1579" t="s">
        <v>1205</v>
      </c>
      <c r="C86" s="1581" t="s">
        <v>1187</v>
      </c>
      <c r="D86" s="1181"/>
    </row>
    <row r="87" spans="1:4">
      <c r="A87" s="1579">
        <v>84</v>
      </c>
      <c r="B87" s="1579" t="s">
        <v>1206</v>
      </c>
      <c r="C87" s="1585" t="s">
        <v>1168</v>
      </c>
    </row>
    <row r="88" spans="1:4">
      <c r="A88" s="1579">
        <v>85</v>
      </c>
      <c r="B88" s="1579" t="s">
        <v>1207</v>
      </c>
      <c r="C88" s="1585" t="s">
        <v>1184</v>
      </c>
    </row>
    <row r="89" spans="1:4">
      <c r="A89" s="1579">
        <v>86</v>
      </c>
      <c r="B89" s="1579" t="s">
        <v>1208</v>
      </c>
      <c r="C89" s="1585" t="s">
        <v>1282</v>
      </c>
    </row>
    <row r="90" spans="1:4">
      <c r="A90" s="1579">
        <v>87</v>
      </c>
      <c r="B90" s="1579" t="s">
        <v>1209</v>
      </c>
      <c r="C90" s="1581" t="s">
        <v>1214</v>
      </c>
      <c r="D90" s="1181"/>
    </row>
    <row r="91" spans="1:4" ht="15" thickBot="1">
      <c r="A91" s="1579">
        <v>88</v>
      </c>
      <c r="B91" s="1579" t="s">
        <v>1284</v>
      </c>
      <c r="C91" s="1581" t="s">
        <v>1228</v>
      </c>
      <c r="D91" s="1181"/>
    </row>
    <row r="92" spans="1:4">
      <c r="A92" s="2982"/>
      <c r="B92" s="2983"/>
      <c r="C92" s="2984"/>
    </row>
    <row r="93" spans="1:4">
      <c r="A93" s="1579">
        <v>89</v>
      </c>
      <c r="B93" s="1579" t="s">
        <v>223</v>
      </c>
      <c r="C93" s="1587" t="str">
        <f>'P1'!A3</f>
        <v>T&amp;D Losses in LT and HT system</v>
      </c>
    </row>
    <row r="94" spans="1:4">
      <c r="A94" s="1579">
        <v>90</v>
      </c>
      <c r="B94" s="1579" t="s">
        <v>920</v>
      </c>
      <c r="C94" s="1587" t="str">
        <f>'P1'!A3</f>
        <v>T&amp;D Losses in LT and HT system</v>
      </c>
    </row>
    <row r="95" spans="1:4">
      <c r="A95" s="1579">
        <v>91</v>
      </c>
      <c r="B95" s="1579" t="s">
        <v>224</v>
      </c>
      <c r="C95" s="1587" t="str">
        <f>'P3'!A3</f>
        <v>Details of Physical statistics of the network</v>
      </c>
    </row>
    <row r="96" spans="1:4">
      <c r="A96" s="1579">
        <v>92</v>
      </c>
      <c r="B96" s="1579" t="s">
        <v>225</v>
      </c>
      <c r="C96" s="1587" t="s">
        <v>3043</v>
      </c>
    </row>
    <row r="97" spans="1:3">
      <c r="A97" s="1579">
        <v>93</v>
      </c>
      <c r="B97" s="1579" t="s">
        <v>921</v>
      </c>
      <c r="C97" s="1587" t="str">
        <f>'P5'!A1</f>
        <v>Form No: P5</v>
      </c>
    </row>
    <row r="98" spans="1:3">
      <c r="A98" s="1579">
        <v>94</v>
      </c>
      <c r="B98" s="1579" t="s">
        <v>226</v>
      </c>
      <c r="C98" s="1587" t="str">
        <f>'P6'!A3</f>
        <v>Voltage Profile</v>
      </c>
    </row>
    <row r="99" spans="1:3">
      <c r="A99" s="1579">
        <v>95</v>
      </c>
      <c r="B99" s="1579" t="s">
        <v>227</v>
      </c>
      <c r="C99" s="1587" t="str">
        <f>'P7'!A3</f>
        <v xml:space="preserve">Transformer and line length details </v>
      </c>
    </row>
    <row r="100" spans="1:3">
      <c r="A100" s="1579">
        <v>96</v>
      </c>
      <c r="B100" s="1579" t="s">
        <v>228</v>
      </c>
      <c r="C100" s="1587" t="str">
        <f>'P8'!A3</f>
        <v>Abstract of outages due to tripping in HT Feeders/ Transformers</v>
      </c>
    </row>
    <row r="101" spans="1:3">
      <c r="A101" s="1579">
        <v>97</v>
      </c>
      <c r="B101" s="1579" t="s">
        <v>229</v>
      </c>
      <c r="C101" s="1587" t="str">
        <f>'P9'!A3</f>
        <v>Failure of Transformers</v>
      </c>
    </row>
    <row r="102" spans="1:3">
      <c r="A102" s="1579">
        <v>98</v>
      </c>
      <c r="B102" s="1579" t="s">
        <v>230</v>
      </c>
      <c r="C102" s="1587" t="str">
        <f>'P10'!A3</f>
        <v>Electrical Accidents</v>
      </c>
    </row>
    <row r="103" spans="1:3">
      <c r="A103" s="1579">
        <v>99</v>
      </c>
      <c r="B103" s="1579" t="s">
        <v>922</v>
      </c>
      <c r="C103" s="1587" t="str">
        <f>'P11'!A3</f>
        <v>Peak Demand in MW</v>
      </c>
    </row>
    <row r="104" spans="1:3">
      <c r="A104" s="1579">
        <v>100</v>
      </c>
      <c r="B104" s="1579" t="s">
        <v>231</v>
      </c>
      <c r="C104" s="1587" t="s">
        <v>3044</v>
      </c>
    </row>
    <row r="105" spans="1:3">
      <c r="A105" s="1579">
        <v>101</v>
      </c>
      <c r="B105" s="1579" t="s">
        <v>232</v>
      </c>
      <c r="C105" s="1587" t="str">
        <f>'P13'!A3</f>
        <v>Release of New service Connections</v>
      </c>
    </row>
    <row r="106" spans="1:3">
      <c r="A106" s="1579">
        <v>102</v>
      </c>
      <c r="B106" s="1579" t="s">
        <v>233</v>
      </c>
      <c r="C106" s="1587" t="str">
        <f>'P14'!A3</f>
        <v>Status of Metering</v>
      </c>
    </row>
  </sheetData>
  <mergeCells count="3">
    <mergeCell ref="A1:C1"/>
    <mergeCell ref="A7:C7"/>
    <mergeCell ref="A92:C92"/>
  </mergeCells>
  <printOptions horizontalCentered="1" verticalCentered="1"/>
  <pageMargins left="0.19685039370078741" right="0.19685039370078741" top="0.19685039370078741" bottom="0.19685039370078741" header="0.19685039370078741" footer="0.19685039370078741"/>
  <pageSetup paperSize="9" scale="95" orientation="portrait" r:id="rId1"/>
  <rowBreaks count="1" manualBreakCount="1">
    <brk id="53" max="2" man="1"/>
  </rowBreaks>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
  <sheetViews>
    <sheetView view="pageBreakPreview" topLeftCell="A25" zoomScale="69" zoomScaleNormal="100" zoomScaleSheetLayoutView="120" workbookViewId="0">
      <selection activeCell="C105" sqref="C105"/>
    </sheetView>
  </sheetViews>
  <sheetFormatPr defaultColWidth="20.81640625" defaultRowHeight="14.5"/>
  <cols>
    <col min="1" max="1" width="4" style="1356" customWidth="1"/>
    <col min="2" max="2" width="53.1796875" style="1356" bestFit="1" customWidth="1"/>
    <col min="3" max="3" width="14.54296875" style="1356" customWidth="1"/>
    <col min="4" max="4" width="11.1796875" style="1356" customWidth="1"/>
    <col min="5" max="5" width="12.81640625" style="1356" bestFit="1" customWidth="1"/>
    <col min="6" max="6" width="9.453125" style="1356" customWidth="1"/>
    <col min="7" max="7" width="12.81640625" style="1356" bestFit="1" customWidth="1"/>
    <col min="8" max="8" width="10" style="1356" customWidth="1"/>
    <col min="9" max="9" width="12.81640625" style="1356" bestFit="1" customWidth="1"/>
    <col min="10" max="10" width="9.7265625" style="1356" bestFit="1" customWidth="1"/>
    <col min="11" max="16384" width="20.81640625" style="1356"/>
  </cols>
  <sheetData>
    <row r="1" spans="1:10">
      <c r="A1" s="307" t="s">
        <v>481</v>
      </c>
      <c r="B1" s="307" t="s">
        <v>481</v>
      </c>
      <c r="C1" s="307"/>
    </row>
    <row r="2" spans="1:10">
      <c r="A2" s="1357" t="s">
        <v>1604</v>
      </c>
      <c r="B2" s="1357" t="s">
        <v>1604</v>
      </c>
      <c r="C2" s="1357"/>
      <c r="D2" s="1357"/>
      <c r="E2" s="1357"/>
      <c r="F2" s="1357"/>
      <c r="G2" s="1357"/>
      <c r="H2" s="1357"/>
      <c r="I2" s="1357"/>
      <c r="J2" s="1357"/>
    </row>
    <row r="3" spans="1:10">
      <c r="A3" s="1357" t="s">
        <v>257</v>
      </c>
      <c r="B3" s="1357" t="s">
        <v>257</v>
      </c>
      <c r="C3" s="1357"/>
      <c r="D3" s="1357"/>
      <c r="E3" s="1357"/>
      <c r="F3" s="1357"/>
      <c r="G3" s="1357"/>
      <c r="H3" s="1357"/>
      <c r="I3" s="1357"/>
      <c r="J3" s="1357"/>
    </row>
    <row r="4" spans="1:10">
      <c r="A4" s="1311"/>
      <c r="B4" s="1311"/>
      <c r="C4" s="1311"/>
      <c r="D4" s="1311"/>
      <c r="J4" s="1358" t="s">
        <v>141</v>
      </c>
    </row>
    <row r="5" spans="1:10" ht="15.75" customHeight="1">
      <c r="A5" s="3071" t="s">
        <v>117</v>
      </c>
      <c r="B5" s="3018" t="s">
        <v>14</v>
      </c>
      <c r="C5" s="3018" t="s">
        <v>574</v>
      </c>
      <c r="D5" s="3022"/>
      <c r="E5" s="3018" t="s">
        <v>568</v>
      </c>
      <c r="F5" s="3022"/>
      <c r="G5" s="3018" t="s">
        <v>550</v>
      </c>
      <c r="H5" s="3022"/>
      <c r="I5" s="3018" t="s">
        <v>952</v>
      </c>
      <c r="J5" s="3022"/>
    </row>
    <row r="6" spans="1:10" ht="15.75" customHeight="1">
      <c r="A6" s="3071"/>
      <c r="B6" s="3018"/>
      <c r="C6" s="3018" t="s">
        <v>551</v>
      </c>
      <c r="D6" s="3022"/>
      <c r="E6" s="3018" t="s">
        <v>545</v>
      </c>
      <c r="F6" s="3022"/>
      <c r="G6" s="3018" t="s">
        <v>546</v>
      </c>
      <c r="H6" s="3022"/>
      <c r="I6" s="3018" t="s">
        <v>547</v>
      </c>
      <c r="J6" s="3022"/>
    </row>
    <row r="7" spans="1:10" ht="15.75" customHeight="1">
      <c r="A7" s="3071"/>
      <c r="B7" s="2994"/>
      <c r="C7" s="3018" t="s">
        <v>554</v>
      </c>
      <c r="D7" s="3022"/>
      <c r="E7" s="3018" t="s">
        <v>544</v>
      </c>
      <c r="F7" s="3022"/>
      <c r="G7" s="3018" t="s">
        <v>552</v>
      </c>
      <c r="H7" s="3022"/>
      <c r="I7" s="3018" t="s">
        <v>283</v>
      </c>
      <c r="J7" s="3022"/>
    </row>
    <row r="8" spans="1:10" ht="58">
      <c r="A8" s="3071"/>
      <c r="B8" s="2994"/>
      <c r="C8" s="1305" t="s">
        <v>267</v>
      </c>
      <c r="D8" s="1305" t="s">
        <v>244</v>
      </c>
      <c r="E8" s="1305" t="s">
        <v>267</v>
      </c>
      <c r="F8" s="1305" t="s">
        <v>244</v>
      </c>
      <c r="G8" s="1305" t="s">
        <v>267</v>
      </c>
      <c r="H8" s="1305" t="s">
        <v>244</v>
      </c>
      <c r="I8" s="1305" t="s">
        <v>267</v>
      </c>
      <c r="J8" s="1305" t="s">
        <v>244</v>
      </c>
    </row>
    <row r="9" spans="1:10">
      <c r="A9" s="1359"/>
      <c r="B9" s="1360"/>
      <c r="C9" s="1360"/>
      <c r="D9" s="1361"/>
      <c r="E9" s="1362"/>
      <c r="F9" s="1362"/>
      <c r="G9" s="1363"/>
      <c r="H9" s="1363"/>
      <c r="I9" s="1363"/>
      <c r="J9" s="1363"/>
    </row>
    <row r="10" spans="1:10">
      <c r="A10" s="1359"/>
      <c r="B10" s="1360" t="s">
        <v>258</v>
      </c>
      <c r="C10" s="1364"/>
      <c r="D10" s="1365">
        <f>'F2'!G35</f>
        <v>6478.2810250000011</v>
      </c>
      <c r="E10" s="525"/>
      <c r="F10" s="1365">
        <f ca="1">'F2'!K35</f>
        <v>7385.085715816851</v>
      </c>
      <c r="G10" s="1366"/>
      <c r="H10" s="1365">
        <f ca="1">'F2'!O35</f>
        <v>6579.5915036388806</v>
      </c>
      <c r="I10" s="1366"/>
      <c r="J10" s="1365">
        <f ca="1">'F2'!R35</f>
        <v>10874.123821511885</v>
      </c>
    </row>
    <row r="11" spans="1:10">
      <c r="A11" s="1359"/>
      <c r="B11" s="1360"/>
      <c r="C11" s="1364"/>
      <c r="D11" s="1365"/>
      <c r="E11" s="525"/>
      <c r="F11" s="525"/>
      <c r="G11" s="1366"/>
      <c r="H11" s="1366"/>
      <c r="I11" s="1366"/>
      <c r="J11" s="1366"/>
    </row>
    <row r="12" spans="1:10">
      <c r="A12" s="1359"/>
      <c r="B12" s="1367" t="s">
        <v>1043</v>
      </c>
      <c r="C12" s="1360"/>
      <c r="D12" s="1361"/>
      <c r="E12" s="1362"/>
      <c r="F12" s="1362"/>
      <c r="G12" s="1363"/>
      <c r="H12" s="1363"/>
      <c r="I12" s="1363"/>
      <c r="J12" s="1363"/>
    </row>
    <row r="13" spans="1:10" ht="16.5" customHeight="1">
      <c r="A13" s="1368"/>
      <c r="B13" s="1369" t="s">
        <v>1395</v>
      </c>
      <c r="C13" s="1370">
        <f>F4A!D10</f>
        <v>0</v>
      </c>
      <c r="D13" s="1371"/>
      <c r="E13" s="525"/>
      <c r="F13" s="525"/>
      <c r="G13" s="1366"/>
      <c r="H13" s="1366"/>
      <c r="I13" s="1366"/>
      <c r="J13" s="1366"/>
    </row>
    <row r="14" spans="1:10" ht="16.5" customHeight="1">
      <c r="A14" s="1368"/>
      <c r="B14" s="1372" t="s">
        <v>1396</v>
      </c>
      <c r="C14" s="1373">
        <f>F4A!D12</f>
        <v>1.3447118219996191E-2</v>
      </c>
      <c r="D14" s="1374">
        <f>C14*$D$10</f>
        <v>87.114210805533119</v>
      </c>
      <c r="E14" s="1375">
        <f>F4A!F12</f>
        <v>0</v>
      </c>
      <c r="F14" s="1376">
        <f ca="1">E14*$F$10</f>
        <v>0</v>
      </c>
      <c r="G14" s="1375">
        <f>F4A!H12</f>
        <v>0.2081227848589372</v>
      </c>
      <c r="H14" s="1376">
        <f ca="1">G14*$H$10</f>
        <v>1369.3629069715259</v>
      </c>
      <c r="I14" s="1375">
        <f>F4A!J12</f>
        <v>0.21242892125096471</v>
      </c>
      <c r="J14" s="1376">
        <f ca="1">I14*$J$10</f>
        <v>2309.9783929531877</v>
      </c>
    </row>
    <row r="15" spans="1:10">
      <c r="A15" s="1368"/>
      <c r="B15" s="1369" t="s">
        <v>1044</v>
      </c>
      <c r="C15" s="1373">
        <f>F4A!D13</f>
        <v>0.11880061373012954</v>
      </c>
      <c r="D15" s="1374">
        <f t="shared" ref="D15:D78" si="0">C15*$D$10</f>
        <v>769.62376168625281</v>
      </c>
      <c r="E15" s="1375">
        <f>F4A!F13</f>
        <v>8.4772092108868144E-2</v>
      </c>
      <c r="F15" s="1376">
        <f t="shared" ref="F15:F78" ca="1" si="1">E15*$F$10</f>
        <v>626.0491665331125</v>
      </c>
      <c r="G15" s="1375">
        <f>F4A!H13</f>
        <v>6.1110074355766472E-2</v>
      </c>
      <c r="H15" s="1376">
        <f t="shared" ref="H15:H78" ca="1" si="2">G15*$H$10</f>
        <v>402.0793260179413</v>
      </c>
      <c r="I15" s="1375">
        <f>F4A!J13</f>
        <v>2.7653703296388589E-2</v>
      </c>
      <c r="J15" s="1376">
        <f t="shared" ref="J15:J78" ca="1" si="3">I15*$J$10</f>
        <v>300.70979376828086</v>
      </c>
    </row>
    <row r="16" spans="1:10">
      <c r="A16" s="1368"/>
      <c r="B16" s="1369" t="s">
        <v>1045</v>
      </c>
      <c r="C16" s="1373">
        <f>F4A!D14</f>
        <v>0.30616326060890342</v>
      </c>
      <c r="D16" s="1374">
        <f t="shared" si="0"/>
        <v>1983.4116417547893</v>
      </c>
      <c r="E16" s="1375">
        <f>F4A!F14</f>
        <v>0.25937469710311528</v>
      </c>
      <c r="F16" s="1376">
        <f t="shared" ca="1" si="1"/>
        <v>1915.504370620539</v>
      </c>
      <c r="G16" s="1375">
        <f>F4A!H14</f>
        <v>7.8127168406079958E-2</v>
      </c>
      <c r="H16" s="1376">
        <f t="shared" ca="1" si="2"/>
        <v>514.04485344800764</v>
      </c>
      <c r="I16" s="1375">
        <f>F4A!J14</f>
        <v>9.2970900652561764E-2</v>
      </c>
      <c r="J16" s="1376">
        <f t="shared" ca="1" si="3"/>
        <v>1010.9770854934367</v>
      </c>
    </row>
    <row r="17" spans="1:10">
      <c r="A17" s="1368"/>
      <c r="B17" s="1369" t="s">
        <v>1046</v>
      </c>
      <c r="C17" s="1373">
        <f>F4A!D15</f>
        <v>1.8363947425584827E-3</v>
      </c>
      <c r="D17" s="1374">
        <f t="shared" si="0"/>
        <v>11.89668121512638</v>
      </c>
      <c r="E17" s="1375">
        <f>F4A!F15</f>
        <v>7.0976316071697854E-4</v>
      </c>
      <c r="F17" s="1376">
        <f t="shared" ca="1" si="1"/>
        <v>5.2416617798239784</v>
      </c>
      <c r="G17" s="1375">
        <f>F4A!H15</f>
        <v>3.6770604917272961E-4</v>
      </c>
      <c r="H17" s="1376">
        <f t="shared" ca="1" si="2"/>
        <v>2.4193555969735123</v>
      </c>
      <c r="I17" s="1375">
        <f>F4A!J15</f>
        <v>3.5744192529314566E-4</v>
      </c>
      <c r="J17" s="1376">
        <f t="shared" ca="1" si="3"/>
        <v>3.8868677546372665</v>
      </c>
    </row>
    <row r="18" spans="1:10">
      <c r="A18" s="1368"/>
      <c r="B18" s="1369" t="s">
        <v>1047</v>
      </c>
      <c r="C18" s="1373">
        <f>F4A!D16</f>
        <v>0.15571685676002314</v>
      </c>
      <c r="D18" s="1374">
        <f t="shared" si="0"/>
        <v>1008.777558421101</v>
      </c>
      <c r="E18" s="1375">
        <f>F4A!F16</f>
        <v>0.20824011014706104</v>
      </c>
      <c r="F18" s="1376">
        <f t="shared" ca="1" si="1"/>
        <v>1537.8710629071882</v>
      </c>
      <c r="G18" s="1375">
        <f>F4A!H16</f>
        <v>0.21526716620691516</v>
      </c>
      <c r="H18" s="1376">
        <f t="shared" ca="1" si="2"/>
        <v>1416.3700177874377</v>
      </c>
      <c r="I18" s="1375">
        <f>F4A!J16</f>
        <v>0.23728439564779447</v>
      </c>
      <c r="J18" s="1376">
        <f t="shared" ca="1" si="3"/>
        <v>2580.2598991867326</v>
      </c>
    </row>
    <row r="19" spans="1:10">
      <c r="A19" s="1368"/>
      <c r="B19" s="1369" t="s">
        <v>1425</v>
      </c>
      <c r="C19" s="1373">
        <f>F4A!D17</f>
        <v>0.59596424406161075</v>
      </c>
      <c r="D19" s="1374">
        <f t="shared" si="0"/>
        <v>3860.8238538828027</v>
      </c>
      <c r="E19" s="1375">
        <f>F4A!F17</f>
        <v>0.58206057860079141</v>
      </c>
      <c r="F19" s="1376">
        <f t="shared" ca="1" si="1"/>
        <v>4298.5672647647962</v>
      </c>
      <c r="G19" s="1375">
        <f>F4A!H17</f>
        <v>0.56299489987687157</v>
      </c>
      <c r="H19" s="1376">
        <f t="shared" ca="1" si="2"/>
        <v>3704.2764598218864</v>
      </c>
      <c r="I19" s="1375">
        <f>F4A!J17</f>
        <v>0.5706953627730027</v>
      </c>
      <c r="J19" s="1376">
        <f t="shared" ca="1" si="3"/>
        <v>6205.8120391562752</v>
      </c>
    </row>
    <row r="20" spans="1:10">
      <c r="A20" s="1368"/>
      <c r="B20" s="1369" t="s">
        <v>1446</v>
      </c>
      <c r="C20" s="1373">
        <f>F4A!D18</f>
        <v>0</v>
      </c>
      <c r="D20" s="1374">
        <f t="shared" si="0"/>
        <v>0</v>
      </c>
      <c r="E20" s="1375">
        <f>F4A!F18</f>
        <v>0</v>
      </c>
      <c r="F20" s="1376">
        <f t="shared" ca="1" si="1"/>
        <v>0</v>
      </c>
      <c r="G20" s="1375">
        <f>F4A!H18</f>
        <v>0</v>
      </c>
      <c r="H20" s="1376">
        <f t="shared" ca="1" si="2"/>
        <v>0</v>
      </c>
      <c r="I20" s="1375">
        <f>F4A!J18</f>
        <v>0</v>
      </c>
      <c r="J20" s="1376">
        <f t="shared" ca="1" si="3"/>
        <v>0</v>
      </c>
    </row>
    <row r="21" spans="1:10">
      <c r="A21" s="1368"/>
      <c r="B21" s="1367" t="s">
        <v>1398</v>
      </c>
      <c r="C21" s="1373">
        <f>F4A!D19</f>
        <v>0</v>
      </c>
      <c r="D21" s="1374">
        <f t="shared" si="0"/>
        <v>0</v>
      </c>
      <c r="E21" s="1375">
        <f>F4A!F19</f>
        <v>0</v>
      </c>
      <c r="F21" s="1376">
        <f t="shared" ca="1" si="1"/>
        <v>0</v>
      </c>
      <c r="G21" s="1375">
        <f>F4A!H19</f>
        <v>0</v>
      </c>
      <c r="H21" s="1376">
        <f t="shared" ca="1" si="2"/>
        <v>0</v>
      </c>
      <c r="I21" s="1375">
        <f>F4A!J19</f>
        <v>0</v>
      </c>
      <c r="J21" s="1376">
        <f t="shared" ca="1" si="3"/>
        <v>0</v>
      </c>
    </row>
    <row r="22" spans="1:10">
      <c r="A22" s="1368"/>
      <c r="B22" s="1377" t="s">
        <v>1051</v>
      </c>
      <c r="C22" s="1373">
        <f>F4A!D20</f>
        <v>2.081247374899614E-3</v>
      </c>
      <c r="D22" s="1374">
        <f t="shared" si="0"/>
        <v>13.482905377143233</v>
      </c>
      <c r="E22" s="1375">
        <f>F4A!F20</f>
        <v>1.7513517847101052E-3</v>
      </c>
      <c r="F22" s="1376">
        <f t="shared" ca="1" si="1"/>
        <v>12.933883048632946</v>
      </c>
      <c r="G22" s="1375">
        <f>F4A!H20</f>
        <v>0</v>
      </c>
      <c r="H22" s="1376">
        <f t="shared" ca="1" si="2"/>
        <v>0</v>
      </c>
      <c r="I22" s="1375">
        <f>F4A!J20</f>
        <v>0</v>
      </c>
      <c r="J22" s="1376">
        <f t="shared" ca="1" si="3"/>
        <v>0</v>
      </c>
    </row>
    <row r="23" spans="1:10">
      <c r="A23" s="1368"/>
      <c r="B23" s="1377" t="s">
        <v>1052</v>
      </c>
      <c r="C23" s="1373">
        <f>F4A!D21</f>
        <v>8.8052773553445197E-3</v>
      </c>
      <c r="D23" s="1374">
        <f t="shared" si="0"/>
        <v>57.043061210990594</v>
      </c>
      <c r="E23" s="1375">
        <f>F4A!F21</f>
        <v>2.2216189585382986E-2</v>
      </c>
      <c r="F23" s="1376">
        <f t="shared" ca="1" si="1"/>
        <v>164.06846436689099</v>
      </c>
      <c r="G23" s="1375">
        <f>F4A!H21</f>
        <v>3.0775331802777656E-2</v>
      </c>
      <c r="H23" s="1376">
        <f t="shared" ca="1" si="2"/>
        <v>202.48911165122331</v>
      </c>
      <c r="I23" s="1375">
        <f>F4A!J21</f>
        <v>3.1042319541266118E-2</v>
      </c>
      <c r="J23" s="1376">
        <f t="shared" ca="1" si="3"/>
        <v>337.55802639866579</v>
      </c>
    </row>
    <row r="24" spans="1:10">
      <c r="A24" s="1368"/>
      <c r="B24" s="1377" t="s">
        <v>1399</v>
      </c>
      <c r="C24" s="1373">
        <f>F4A!D22</f>
        <v>4.7087044680986739E-5</v>
      </c>
      <c r="D24" s="1374">
        <f t="shared" si="0"/>
        <v>0.30504310808016361</v>
      </c>
      <c r="E24" s="1375">
        <f>F4A!F22</f>
        <v>1.6533747010295033E-3</v>
      </c>
      <c r="F24" s="1376">
        <f t="shared" ca="1" si="1"/>
        <v>12.210313887465942</v>
      </c>
      <c r="G24" s="1375">
        <f>F4A!H22</f>
        <v>2.3907853886870204E-3</v>
      </c>
      <c r="H24" s="1376">
        <f t="shared" ca="1" si="2"/>
        <v>15.730391230429097</v>
      </c>
      <c r="I24" s="1375">
        <f>F4A!J22</f>
        <v>2.347289644975391E-3</v>
      </c>
      <c r="J24" s="1376">
        <f t="shared" ca="1" si="3"/>
        <v>25.524718244415073</v>
      </c>
    </row>
    <row r="25" spans="1:10">
      <c r="A25" s="1368"/>
      <c r="B25" s="1377" t="s">
        <v>1054</v>
      </c>
      <c r="C25" s="1373">
        <f>F4A!D23</f>
        <v>8.3296982040665532E-2</v>
      </c>
      <c r="D25" s="1374">
        <f t="shared" si="0"/>
        <v>539.62125819380935</v>
      </c>
      <c r="E25" s="1375">
        <f>F4A!F23</f>
        <v>6.066283551615409E-2</v>
      </c>
      <c r="F25" s="1376">
        <f t="shared" ca="1" si="1"/>
        <v>448.00024005129671</v>
      </c>
      <c r="G25" s="1375">
        <f>F4A!H23</f>
        <v>5.784812093330103E-2</v>
      </c>
      <c r="H25" s="1376">
        <f t="shared" ca="1" si="2"/>
        <v>380.61700499422193</v>
      </c>
      <c r="I25" s="1375">
        <f>F4A!J23</f>
        <v>5.8349975440760642E-2</v>
      </c>
      <c r="J25" s="1376">
        <f t="shared" ca="1" si="3"/>
        <v>634.50485792500876</v>
      </c>
    </row>
    <row r="26" spans="1:10">
      <c r="A26" s="1368"/>
      <c r="B26" s="1369" t="s">
        <v>1425</v>
      </c>
      <c r="C26" s="1373">
        <f>F4A!D24</f>
        <v>9.4230593815590652E-2</v>
      </c>
      <c r="D26" s="1374">
        <f t="shared" si="0"/>
        <v>610.45226789002334</v>
      </c>
      <c r="E26" s="1375">
        <f>F4A!F24</f>
        <v>8.6283751587276677E-2</v>
      </c>
      <c r="F26" s="1376">
        <f t="shared" ca="1" si="1"/>
        <v>637.21290135428649</v>
      </c>
      <c r="G26" s="1375">
        <f>F4A!H24</f>
        <v>9.1014238124765709E-2</v>
      </c>
      <c r="H26" s="1376">
        <f t="shared" ca="1" si="2"/>
        <v>598.8365078758743</v>
      </c>
      <c r="I26" s="1375">
        <f>F4A!J24</f>
        <v>9.1739584627002144E-2</v>
      </c>
      <c r="J26" s="1376">
        <f t="shared" ca="1" si="3"/>
        <v>997.58760256808955</v>
      </c>
    </row>
    <row r="27" spans="1:10">
      <c r="B27" s="1369" t="s">
        <v>1446</v>
      </c>
      <c r="C27" s="1373"/>
      <c r="D27" s="1374"/>
      <c r="E27" s="1375"/>
      <c r="F27" s="1376"/>
      <c r="G27" s="1375"/>
      <c r="H27" s="1376"/>
      <c r="I27" s="1375"/>
      <c r="J27" s="1376"/>
    </row>
    <row r="28" spans="1:10">
      <c r="B28" s="1367" t="s">
        <v>1400</v>
      </c>
      <c r="C28" s="1373"/>
      <c r="D28" s="1374"/>
      <c r="E28" s="1375"/>
      <c r="F28" s="1376"/>
      <c r="G28" s="1375"/>
      <c r="H28" s="1376"/>
      <c r="I28" s="1375"/>
      <c r="J28" s="1376"/>
    </row>
    <row r="29" spans="1:10">
      <c r="B29" s="1377" t="s">
        <v>1401</v>
      </c>
      <c r="C29" s="1373">
        <f>F4A!D27</f>
        <v>0</v>
      </c>
      <c r="D29" s="1374">
        <f t="shared" si="0"/>
        <v>0</v>
      </c>
      <c r="E29" s="1375">
        <f>F4A!F27</f>
        <v>0</v>
      </c>
      <c r="F29" s="1376">
        <f t="shared" ca="1" si="1"/>
        <v>0</v>
      </c>
      <c r="G29" s="1375">
        <f>F4A!H27</f>
        <v>0</v>
      </c>
      <c r="H29" s="1376">
        <f t="shared" ca="1" si="2"/>
        <v>0</v>
      </c>
      <c r="I29" s="1375">
        <f>F4A!J27</f>
        <v>0</v>
      </c>
      <c r="J29" s="1376">
        <f t="shared" ca="1" si="3"/>
        <v>0</v>
      </c>
    </row>
    <row r="30" spans="1:10">
      <c r="B30" s="1378" t="s">
        <v>1060</v>
      </c>
      <c r="C30" s="1373">
        <f>F4A!D28</f>
        <v>1.4126113404296022E-4</v>
      </c>
      <c r="D30" s="1374">
        <f t="shared" si="0"/>
        <v>0.91512932424049087</v>
      </c>
      <c r="E30" s="1375">
        <f>F4A!F28</f>
        <v>2.1197931012536544E-4</v>
      </c>
      <c r="F30" s="1376">
        <f t="shared" ca="1" si="1"/>
        <v>1.5654853752555467</v>
      </c>
      <c r="G30" s="1375">
        <f>F4A!H28</f>
        <v>1.053863695252459E-4</v>
      </c>
      <c r="H30" s="1376">
        <f t="shared" ca="1" si="2"/>
        <v>0.69339926152765541</v>
      </c>
      <c r="I30" s="1375">
        <f>F4A!J28</f>
        <v>5.1222310467162814E-5</v>
      </c>
      <c r="J30" s="1376">
        <f t="shared" ca="1" si="3"/>
        <v>0.55699774644385269</v>
      </c>
    </row>
    <row r="31" spans="1:10">
      <c r="B31" s="1378" t="s">
        <v>1061</v>
      </c>
      <c r="C31" s="1373">
        <f>F4A!D29</f>
        <v>1.5566976971534217E-3</v>
      </c>
      <c r="D31" s="1374">
        <f t="shared" si="0"/>
        <v>10.08472515313021</v>
      </c>
      <c r="E31" s="1375">
        <f>F4A!F29</f>
        <v>1.8664497474122474E-3</v>
      </c>
      <c r="F31" s="1376">
        <f t="shared" ca="1" si="1"/>
        <v>13.783891368904158</v>
      </c>
      <c r="G31" s="1375">
        <f>F4A!H29</f>
        <v>9.279130244586642E-4</v>
      </c>
      <c r="H31" s="1376">
        <f t="shared" ca="1" si="2"/>
        <v>6.1052886518440834</v>
      </c>
      <c r="I31" s="1375">
        <f>F4A!J29</f>
        <v>4.5100565888608294E-4</v>
      </c>
      <c r="J31" s="1376">
        <f t="shared" ca="1" si="3"/>
        <v>4.9042913789298179</v>
      </c>
    </row>
    <row r="32" spans="1:10">
      <c r="B32" s="1378" t="s">
        <v>1062</v>
      </c>
      <c r="C32" s="1373">
        <f>F4A!D30</f>
        <v>5.6504453617184087E-4</v>
      </c>
      <c r="D32" s="1374">
        <f t="shared" si="0"/>
        <v>3.6605172969619635</v>
      </c>
      <c r="E32" s="1375">
        <f>F4A!F30</f>
        <v>6.8698097769898212E-4</v>
      </c>
      <c r="F32" s="1376">
        <f t="shared" ca="1" si="1"/>
        <v>5.0734134054426478</v>
      </c>
      <c r="G32" s="1375">
        <f>F4A!H30</f>
        <v>3.4153536554951006E-4</v>
      </c>
      <c r="H32" s="1376">
        <f t="shared" ca="1" si="2"/>
        <v>2.2471631893617556</v>
      </c>
      <c r="I32" s="1375">
        <f>F4A!J30</f>
        <v>1.6600088425573959E-4</v>
      </c>
      <c r="J32" s="1376">
        <f t="shared" ca="1" si="3"/>
        <v>1.8051141698773749</v>
      </c>
    </row>
    <row r="33" spans="2:10">
      <c r="B33" s="1377" t="s">
        <v>476</v>
      </c>
      <c r="C33" s="1373">
        <f>F4A!D31</f>
        <v>0</v>
      </c>
      <c r="D33" s="1374">
        <f t="shared" si="0"/>
        <v>0</v>
      </c>
      <c r="E33" s="1375">
        <f>F4A!F31</f>
        <v>0</v>
      </c>
      <c r="F33" s="1376">
        <f t="shared" ca="1" si="1"/>
        <v>0</v>
      </c>
      <c r="G33" s="1375">
        <f>F4A!H31</f>
        <v>0</v>
      </c>
      <c r="H33" s="1376">
        <f t="shared" ca="1" si="2"/>
        <v>0</v>
      </c>
      <c r="I33" s="1375">
        <f>F4A!J31</f>
        <v>0</v>
      </c>
      <c r="J33" s="1376">
        <f t="shared" ca="1" si="3"/>
        <v>0</v>
      </c>
    </row>
    <row r="34" spans="2:10">
      <c r="B34" s="1378" t="s">
        <v>1063</v>
      </c>
      <c r="C34" s="1373">
        <f>F4A!D32</f>
        <v>1.4126113404296021E-5</v>
      </c>
      <c r="D34" s="1374">
        <f t="shared" si="0"/>
        <v>9.1512932424049079E-2</v>
      </c>
      <c r="E34" s="1375">
        <f>F4A!F32</f>
        <v>6.9305318279195508E-5</v>
      </c>
      <c r="F34" s="1376">
        <f t="shared" ca="1" si="1"/>
        <v>0.51182571605382721</v>
      </c>
      <c r="G34" s="1375">
        <f>F4A!H32</f>
        <v>1.102573397815711E-4</v>
      </c>
      <c r="H34" s="1376">
        <f t="shared" ca="1" si="2"/>
        <v>0.72544825604065033</v>
      </c>
      <c r="I34" s="1375">
        <f>F4A!J32</f>
        <v>1.2861554787436922E-4</v>
      </c>
      <c r="J34" s="1376">
        <f t="shared" ca="1" si="3"/>
        <v>1.3985813929574806</v>
      </c>
    </row>
    <row r="35" spans="2:10">
      <c r="B35" s="1378" t="s">
        <v>1064</v>
      </c>
      <c r="C35" s="1373">
        <f>F4A!D33</f>
        <v>5.038313780865581E-4</v>
      </c>
      <c r="D35" s="1374">
        <f t="shared" si="0"/>
        <v>3.2639612564577507</v>
      </c>
      <c r="E35" s="1375">
        <f>F4A!F33</f>
        <v>7.0935225962046164E-4</v>
      </c>
      <c r="F35" s="1376">
        <f t="shared" ca="1" si="1"/>
        <v>5.2386272400054779</v>
      </c>
      <c r="G35" s="1375">
        <f>F4A!H33</f>
        <v>1.1285034836536693E-3</v>
      </c>
      <c r="H35" s="1376">
        <f t="shared" ca="1" si="2"/>
        <v>7.4250919328745608</v>
      </c>
      <c r="I35" s="1375">
        <f>F4A!J33</f>
        <v>1.3164030087773877E-3</v>
      </c>
      <c r="J35" s="1376">
        <f t="shared" ca="1" si="3"/>
        <v>14.314729316456111</v>
      </c>
    </row>
    <row r="36" spans="2:10">
      <c r="B36" s="1378" t="s">
        <v>1065</v>
      </c>
      <c r="C36" s="1373">
        <f>F4A!D34</f>
        <v>1.9305688319204563E-3</v>
      </c>
      <c r="D36" s="1374">
        <f t="shared" si="0"/>
        <v>12.506767431286708</v>
      </c>
      <c r="E36" s="1375">
        <f>F4A!F34</f>
        <v>2.2029320897822544E-3</v>
      </c>
      <c r="F36" s="1376">
        <f t="shared" ca="1" si="1"/>
        <v>16.268842309165493</v>
      </c>
      <c r="G36" s="1375">
        <f>F4A!H34</f>
        <v>3.5046290525695559E-3</v>
      </c>
      <c r="H36" s="1376">
        <f t="shared" ca="1" si="2"/>
        <v>23.059027537692629</v>
      </c>
      <c r="I36" s="1375">
        <f>F4A!J34</f>
        <v>4.0881612651424166E-3</v>
      </c>
      <c r="J36" s="1376">
        <f t="shared" ca="1" si="3"/>
        <v>44.455171799467315</v>
      </c>
    </row>
    <row r="37" spans="2:10">
      <c r="B37" s="1369" t="s">
        <v>1425</v>
      </c>
      <c r="C37" s="1373">
        <f>F4A!D35</f>
        <v>4.7115296907795333E-3</v>
      </c>
      <c r="D37" s="1374">
        <f t="shared" si="0"/>
        <v>30.522613394501175</v>
      </c>
      <c r="E37" s="1375">
        <f>F4A!F35</f>
        <v>5.7469997029185073E-3</v>
      </c>
      <c r="F37" s="1376">
        <f t="shared" ca="1" si="1"/>
        <v>42.442085414827154</v>
      </c>
      <c r="G37" s="1375">
        <f>F4A!H35</f>
        <v>6.1182246355382169E-3</v>
      </c>
      <c r="H37" s="1376">
        <f t="shared" ca="1" si="2"/>
        <v>40.255418829341338</v>
      </c>
      <c r="I37" s="1375">
        <f>F4A!J35</f>
        <v>6.201408675403159E-3</v>
      </c>
      <c r="J37" s="1376">
        <f t="shared" ca="1" si="3"/>
        <v>67.434885804131952</v>
      </c>
    </row>
    <row r="38" spans="2:10">
      <c r="B38" s="1369" t="s">
        <v>1446</v>
      </c>
      <c r="C38" s="1373"/>
      <c r="D38" s="1374"/>
      <c r="E38" s="1375"/>
      <c r="F38" s="1376"/>
      <c r="G38" s="1375"/>
      <c r="H38" s="1376"/>
      <c r="I38" s="1375"/>
      <c r="J38" s="1376"/>
    </row>
    <row r="39" spans="2:10">
      <c r="B39" s="1367" t="s">
        <v>1067</v>
      </c>
      <c r="C39" s="1373"/>
      <c r="D39" s="1374"/>
      <c r="E39" s="1375"/>
      <c r="F39" s="1376"/>
      <c r="G39" s="1375"/>
      <c r="H39" s="1376"/>
      <c r="I39" s="1375"/>
      <c r="J39" s="1376"/>
    </row>
    <row r="40" spans="2:10">
      <c r="B40" s="1377" t="s">
        <v>1068</v>
      </c>
      <c r="C40" s="1373">
        <f>F4A!D38</f>
        <v>7.2514048808719573E-3</v>
      </c>
      <c r="D40" s="1374">
        <f t="shared" si="0"/>
        <v>46.976638644345194</v>
      </c>
      <c r="E40" s="1375">
        <f>F4A!F38</f>
        <v>9.3562636233687855E-3</v>
      </c>
      <c r="F40" s="1376">
        <f t="shared" ca="1" si="1"/>
        <v>69.096808838357632</v>
      </c>
      <c r="G40" s="1375">
        <f>F4A!H38</f>
        <v>8.9868568972709516E-3</v>
      </c>
      <c r="H40" s="1376">
        <f t="shared" ca="1" si="2"/>
        <v>59.129847285702425</v>
      </c>
      <c r="I40" s="1375">
        <f>F4A!J38</f>
        <v>9.0854382637392244E-3</v>
      </c>
      <c r="J40" s="1376">
        <f t="shared" ca="1" si="3"/>
        <v>98.796180652602274</v>
      </c>
    </row>
    <row r="41" spans="2:10">
      <c r="B41" s="1377" t="s">
        <v>1072</v>
      </c>
      <c r="C41" s="1373">
        <f>F4A!D39</f>
        <v>1.7097305923666284E-3</v>
      </c>
      <c r="D41" s="1374">
        <f t="shared" si="0"/>
        <v>11.076115254390741</v>
      </c>
      <c r="E41" s="1375">
        <f>F4A!F39</f>
        <v>3.0200774037223346E-3</v>
      </c>
      <c r="F41" s="1376">
        <f t="shared" ca="1" si="1"/>
        <v>22.303530494891053</v>
      </c>
      <c r="G41" s="1375">
        <f>F4A!H39</f>
        <v>2.7186036540894076E-3</v>
      </c>
      <c r="H41" s="1376">
        <f t="shared" ca="1" si="2"/>
        <v>17.887301504208281</v>
      </c>
      <c r="I41" s="1375">
        <f>F4A!J39</f>
        <v>2.7748525560936164E-3</v>
      </c>
      <c r="J41" s="1376">
        <f t="shared" ca="1" si="3"/>
        <v>30.174090281400737</v>
      </c>
    </row>
    <row r="42" spans="2:10">
      <c r="B42" s="1369" t="s">
        <v>1425</v>
      </c>
      <c r="C42" s="1373">
        <f>F4A!D40</f>
        <v>8.9611354732385858E-3</v>
      </c>
      <c r="D42" s="1374">
        <f t="shared" si="0"/>
        <v>58.052753898735936</v>
      </c>
      <c r="E42" s="1375">
        <f>F4A!F40</f>
        <v>1.2376341027091122E-2</v>
      </c>
      <c r="F42" s="1376">
        <f t="shared" ca="1" si="1"/>
        <v>91.400339333248695</v>
      </c>
      <c r="G42" s="1375">
        <f>F4A!H40</f>
        <v>1.1705460551360361E-2</v>
      </c>
      <c r="H42" s="1376">
        <f t="shared" ca="1" si="2"/>
        <v>77.017148789910721</v>
      </c>
      <c r="I42" s="1375">
        <f>F4A!J40</f>
        <v>1.1860290819832843E-2</v>
      </c>
      <c r="J42" s="1376">
        <f t="shared" ca="1" si="3"/>
        <v>128.97027093400303</v>
      </c>
    </row>
    <row r="43" spans="2:10">
      <c r="B43" s="1369" t="s">
        <v>1446</v>
      </c>
      <c r="C43" s="1373">
        <f>F4A!D41</f>
        <v>0</v>
      </c>
      <c r="D43" s="1374">
        <f t="shared" si="0"/>
        <v>0</v>
      </c>
      <c r="E43" s="1375">
        <f>F4A!F41</f>
        <v>0</v>
      </c>
      <c r="F43" s="1376">
        <f t="shared" ca="1" si="1"/>
        <v>0</v>
      </c>
      <c r="G43" s="1375">
        <f>F4A!H41</f>
        <v>0</v>
      </c>
      <c r="H43" s="1376">
        <f t="shared" ca="1" si="2"/>
        <v>0</v>
      </c>
      <c r="I43" s="1375">
        <f>F4A!J41</f>
        <v>0</v>
      </c>
      <c r="J43" s="1376">
        <f t="shared" ca="1" si="3"/>
        <v>0</v>
      </c>
    </row>
    <row r="44" spans="2:10">
      <c r="B44" s="1367" t="s">
        <v>1076</v>
      </c>
      <c r="C44" s="1373">
        <f>F4A!D42</f>
        <v>0</v>
      </c>
      <c r="D44" s="1374">
        <f t="shared" si="0"/>
        <v>0</v>
      </c>
      <c r="E44" s="1375">
        <f>F4A!F42</f>
        <v>0</v>
      </c>
      <c r="F44" s="1376">
        <f t="shared" ca="1" si="1"/>
        <v>0</v>
      </c>
      <c r="G44" s="1375">
        <f>F4A!H42</f>
        <v>0</v>
      </c>
      <c r="H44" s="1376">
        <f t="shared" ca="1" si="2"/>
        <v>0</v>
      </c>
      <c r="I44" s="1375">
        <f>F4A!J42</f>
        <v>0</v>
      </c>
      <c r="J44" s="1376">
        <f t="shared" ca="1" si="3"/>
        <v>0</v>
      </c>
    </row>
    <row r="45" spans="2:10">
      <c r="B45" s="1377" t="s">
        <v>1401</v>
      </c>
      <c r="C45" s="1373">
        <f>F4A!D43</f>
        <v>0</v>
      </c>
      <c r="D45" s="1374">
        <f t="shared" si="0"/>
        <v>0</v>
      </c>
      <c r="E45" s="1375">
        <f>F4A!F43</f>
        <v>0</v>
      </c>
      <c r="F45" s="1376">
        <f t="shared" ca="1" si="1"/>
        <v>0</v>
      </c>
      <c r="G45" s="1375">
        <f>F4A!H43</f>
        <v>0</v>
      </c>
      <c r="H45" s="1376">
        <f t="shared" ca="1" si="2"/>
        <v>0</v>
      </c>
      <c r="I45" s="1375">
        <f>F4A!J43</f>
        <v>0</v>
      </c>
      <c r="J45" s="1376">
        <f t="shared" ca="1" si="3"/>
        <v>0</v>
      </c>
    </row>
    <row r="46" spans="2:10">
      <c r="B46" s="1378" t="s">
        <v>1077</v>
      </c>
      <c r="C46" s="1373">
        <f>F4A!D44</f>
        <v>9.3803262451732108E-2</v>
      </c>
      <c r="D46" s="1374">
        <f t="shared" si="0"/>
        <v>607.68389522415123</v>
      </c>
      <c r="E46" s="1375">
        <f>F4A!F44</f>
        <v>0.10015942505988085</v>
      </c>
      <c r="F46" s="1376">
        <f t="shared" ca="1" si="1"/>
        <v>739.68593931415444</v>
      </c>
      <c r="G46" s="1375">
        <f>F4A!H44</f>
        <v>9.9589514937749909E-2</v>
      </c>
      <c r="H46" s="1376">
        <f t="shared" ca="1" si="2"/>
        <v>655.25832633593666</v>
      </c>
      <c r="I46" s="1375">
        <f>F4A!J44</f>
        <v>9.6809579386707159E-2</v>
      </c>
      <c r="J46" s="1376">
        <f t="shared" ca="1" si="3"/>
        <v>1052.7193533595382</v>
      </c>
    </row>
    <row r="47" spans="2:10">
      <c r="B47" s="1377" t="s">
        <v>476</v>
      </c>
      <c r="C47" s="1373">
        <f>F4A!D45</f>
        <v>0</v>
      </c>
      <c r="D47" s="1374">
        <f t="shared" si="0"/>
        <v>0</v>
      </c>
      <c r="E47" s="1375">
        <f>F4A!F45</f>
        <v>0</v>
      </c>
      <c r="F47" s="1376">
        <f t="shared" ca="1" si="1"/>
        <v>0</v>
      </c>
      <c r="G47" s="1375">
        <f>F4A!H45</f>
        <v>0</v>
      </c>
      <c r="H47" s="1376">
        <f t="shared" ca="1" si="2"/>
        <v>0</v>
      </c>
      <c r="I47" s="1375">
        <f>F4A!J45</f>
        <v>0</v>
      </c>
      <c r="J47" s="1376">
        <f t="shared" ca="1" si="3"/>
        <v>0</v>
      </c>
    </row>
    <row r="48" spans="2:10">
      <c r="B48" s="1378" t="s">
        <v>1078</v>
      </c>
      <c r="C48" s="1373">
        <f>F4A!D46</f>
        <v>4.8103112003764961E-3</v>
      </c>
      <c r="D48" s="1374">
        <f t="shared" si="0"/>
        <v>31.162547773744034</v>
      </c>
      <c r="E48" s="1375">
        <f>F4A!F46</f>
        <v>7.0098813952247157E-3</v>
      </c>
      <c r="F48" s="1376">
        <f t="shared" ca="1" si="1"/>
        <v>51.768574961444344</v>
      </c>
      <c r="G48" s="1375">
        <f>F4A!H46</f>
        <v>9.7579743122266135E-3</v>
      </c>
      <c r="H48" s="1376">
        <f t="shared" ca="1" si="2"/>
        <v>64.203484877452681</v>
      </c>
      <c r="I48" s="1375">
        <f>F4A!J46</f>
        <v>1.090842944497666E-2</v>
      </c>
      <c r="J48" s="1376">
        <f t="shared" ca="1" si="3"/>
        <v>118.61961248290237</v>
      </c>
    </row>
    <row r="49" spans="2:10">
      <c r="B49" s="1378" t="s">
        <v>1079</v>
      </c>
      <c r="C49" s="1373">
        <f>F4A!D47</f>
        <v>2.4495949638903454E-3</v>
      </c>
      <c r="D49" s="1374">
        <f t="shared" si="0"/>
        <v>15.869164573506387</v>
      </c>
      <c r="E49" s="1375">
        <f>F4A!F47</f>
        <v>8.0695496674645893E-3</v>
      </c>
      <c r="F49" s="1376">
        <f t="shared" ca="1" si="1"/>
        <v>59.594315982267361</v>
      </c>
      <c r="G49" s="1375">
        <f>F4A!H47</f>
        <v>1.1308487727577601E-2</v>
      </c>
      <c r="H49" s="1376">
        <f t="shared" ca="1" si="2"/>
        <v>74.405229771374138</v>
      </c>
      <c r="I49" s="1375">
        <f>F4A!J47</f>
        <v>1.2641746796883751E-2</v>
      </c>
      <c r="J49" s="1376">
        <f t="shared" ca="1" si="3"/>
        <v>137.46791998951517</v>
      </c>
    </row>
    <row r="50" spans="2:10">
      <c r="B50" s="1369" t="s">
        <v>1425</v>
      </c>
      <c r="C50" s="1373">
        <f>F4A!D48</f>
        <v>0.10106316861599894</v>
      </c>
      <c r="D50" s="1374">
        <f t="shared" si="0"/>
        <v>654.71560757140162</v>
      </c>
      <c r="E50" s="1375">
        <f>F4A!F48</f>
        <v>0.11523885612257015</v>
      </c>
      <c r="F50" s="1376">
        <f t="shared" ca="1" si="1"/>
        <v>851.04883025786603</v>
      </c>
      <c r="G50" s="1375">
        <f>F4A!H48</f>
        <v>0.12065597697755413</v>
      </c>
      <c r="H50" s="1376">
        <f t="shared" ca="1" si="2"/>
        <v>793.86704098476355</v>
      </c>
      <c r="I50" s="1375">
        <f>F4A!J48</f>
        <v>0.12035975562856756</v>
      </c>
      <c r="J50" s="1376">
        <f t="shared" ca="1" si="3"/>
        <v>1308.8068858319557</v>
      </c>
    </row>
    <row r="51" spans="2:10">
      <c r="B51" s="1369" t="s">
        <v>1446</v>
      </c>
      <c r="C51" s="1373">
        <f>F4A!D49</f>
        <v>0</v>
      </c>
      <c r="D51" s="1374">
        <f t="shared" si="0"/>
        <v>0</v>
      </c>
      <c r="E51" s="1375">
        <f>F4A!F49</f>
        <v>0</v>
      </c>
      <c r="F51" s="1376">
        <f t="shared" ca="1" si="1"/>
        <v>0</v>
      </c>
      <c r="G51" s="1375">
        <f>F4A!H49</f>
        <v>0</v>
      </c>
      <c r="H51" s="1376">
        <f t="shared" ca="1" si="2"/>
        <v>0</v>
      </c>
      <c r="I51" s="1375">
        <f>F4A!J49</f>
        <v>0</v>
      </c>
      <c r="J51" s="1376">
        <f t="shared" ca="1" si="3"/>
        <v>0</v>
      </c>
    </row>
    <row r="52" spans="2:10">
      <c r="B52" s="1367" t="s">
        <v>1081</v>
      </c>
      <c r="C52" s="1373">
        <f>F4A!D50</f>
        <v>0</v>
      </c>
      <c r="D52" s="1374">
        <f t="shared" si="0"/>
        <v>0</v>
      </c>
      <c r="E52" s="1375">
        <f>F4A!F50</f>
        <v>0</v>
      </c>
      <c r="F52" s="1376">
        <f t="shared" ca="1" si="1"/>
        <v>0</v>
      </c>
      <c r="G52" s="1375">
        <f>F4A!H50</f>
        <v>0</v>
      </c>
      <c r="H52" s="1376">
        <f t="shared" ca="1" si="2"/>
        <v>0</v>
      </c>
      <c r="I52" s="1375">
        <f>F4A!J50</f>
        <v>0</v>
      </c>
      <c r="J52" s="1376">
        <f t="shared" ca="1" si="3"/>
        <v>0</v>
      </c>
    </row>
    <row r="53" spans="2:10">
      <c r="B53" s="1377" t="s">
        <v>1012</v>
      </c>
      <c r="C53" s="1373">
        <f>F4A!D51</f>
        <v>4.8683295495672184E-3</v>
      </c>
      <c r="D53" s="1374">
        <f t="shared" si="0"/>
        <v>31.538406944408113</v>
      </c>
      <c r="E53" s="1375">
        <f>F4A!F51</f>
        <v>1.2114049160481121E-2</v>
      </c>
      <c r="F53" s="1376">
        <f t="shared" ca="1" si="1"/>
        <v>89.463291415772247</v>
      </c>
      <c r="G53" s="1375">
        <f>F4A!H51</f>
        <v>1.1114165013192722E-2</v>
      </c>
      <c r="H53" s="1376">
        <f t="shared" ca="1" si="2"/>
        <v>73.126665690843339</v>
      </c>
      <c r="I53" s="1375">
        <f>F4A!J51</f>
        <v>1.1128042646449428E-2</v>
      </c>
      <c r="J53" s="1376">
        <f t="shared" ca="1" si="3"/>
        <v>121.00771362855588</v>
      </c>
    </row>
    <row r="54" spans="2:10">
      <c r="B54" s="1377" t="s">
        <v>1011</v>
      </c>
      <c r="C54" s="1373">
        <f>F4A!D52</f>
        <v>2.0906647838358113E-2</v>
      </c>
      <c r="D54" s="1374">
        <f t="shared" si="0"/>
        <v>135.43913998759265</v>
      </c>
      <c r="E54" s="1375">
        <f>F4A!F52</f>
        <v>1.4050854306752552E-2</v>
      </c>
      <c r="F54" s="1376">
        <f t="shared" ca="1" si="1"/>
        <v>103.76676343582196</v>
      </c>
      <c r="G54" s="1375">
        <f>F4A!H52</f>
        <v>1.485157166640565E-2</v>
      </c>
      <c r="H54" s="1376">
        <f t="shared" ca="1" si="2"/>
        <v>97.717274751966542</v>
      </c>
      <c r="I54" s="1375">
        <f>F4A!J52</f>
        <v>1.5158856105612344E-2</v>
      </c>
      <c r="J54" s="1376">
        <f t="shared" ca="1" si="3"/>
        <v>164.83927828491005</v>
      </c>
    </row>
    <row r="55" spans="2:10">
      <c r="B55" s="1369" t="s">
        <v>1425</v>
      </c>
      <c r="C55" s="1373">
        <f>F4A!D53</f>
        <v>2.5774977387925328E-2</v>
      </c>
      <c r="D55" s="1374">
        <f t="shared" si="0"/>
        <v>166.97754693200073</v>
      </c>
      <c r="E55" s="1375">
        <f>F4A!F53</f>
        <v>2.6164903467233675E-2</v>
      </c>
      <c r="F55" s="1376">
        <f t="shared" ca="1" si="1"/>
        <v>193.23005485159422</v>
      </c>
      <c r="G55" s="1375">
        <f>F4A!H53</f>
        <v>2.596573667959837E-2</v>
      </c>
      <c r="H55" s="1376">
        <f t="shared" ca="1" si="2"/>
        <v>170.84394044280987</v>
      </c>
      <c r="I55" s="1375">
        <f>F4A!J53</f>
        <v>2.6286898752061773E-2</v>
      </c>
      <c r="J55" s="1376">
        <f t="shared" ca="1" si="3"/>
        <v>285.84699191346596</v>
      </c>
    </row>
    <row r="56" spans="2:10">
      <c r="B56" s="1369" t="s">
        <v>1446</v>
      </c>
      <c r="C56" s="1373">
        <f>F4A!D54</f>
        <v>0</v>
      </c>
      <c r="D56" s="1374">
        <f t="shared" si="0"/>
        <v>0</v>
      </c>
      <c r="E56" s="1375">
        <f>F4A!F54</f>
        <v>0</v>
      </c>
      <c r="F56" s="1376">
        <f t="shared" ca="1" si="1"/>
        <v>0</v>
      </c>
      <c r="G56" s="1375">
        <f>F4A!H54</f>
        <v>0</v>
      </c>
      <c r="H56" s="1376">
        <f t="shared" ca="1" si="2"/>
        <v>0</v>
      </c>
      <c r="I56" s="1375">
        <f>F4A!J54</f>
        <v>0</v>
      </c>
      <c r="J56" s="1376">
        <f t="shared" ca="1" si="3"/>
        <v>0</v>
      </c>
    </row>
    <row r="57" spans="2:10">
      <c r="B57" s="1367" t="s">
        <v>1402</v>
      </c>
      <c r="C57" s="1373">
        <f>F4A!D55</f>
        <v>0</v>
      </c>
      <c r="D57" s="1374">
        <f t="shared" si="0"/>
        <v>0</v>
      </c>
      <c r="E57" s="1375">
        <f>F4A!F55</f>
        <v>0</v>
      </c>
      <c r="F57" s="1376">
        <f t="shared" ca="1" si="1"/>
        <v>0</v>
      </c>
      <c r="G57" s="1375">
        <f>F4A!H55</f>
        <v>0</v>
      </c>
      <c r="H57" s="1376">
        <f t="shared" ca="1" si="2"/>
        <v>0</v>
      </c>
      <c r="I57" s="1375">
        <f>F4A!J55</f>
        <v>0</v>
      </c>
      <c r="J57" s="1376">
        <f t="shared" ca="1" si="3"/>
        <v>0</v>
      </c>
    </row>
    <row r="58" spans="2:10">
      <c r="B58" s="1377" t="s">
        <v>475</v>
      </c>
      <c r="C58" s="1373">
        <f>F4A!D56</f>
        <v>0</v>
      </c>
      <c r="D58" s="1374">
        <f t="shared" si="0"/>
        <v>0</v>
      </c>
      <c r="E58" s="1375">
        <f>F4A!F56</f>
        <v>0</v>
      </c>
      <c r="F58" s="1376">
        <f t="shared" ca="1" si="1"/>
        <v>0</v>
      </c>
      <c r="G58" s="1375">
        <f>F4A!H56</f>
        <v>0</v>
      </c>
      <c r="H58" s="1376">
        <f t="shared" ca="1" si="2"/>
        <v>0</v>
      </c>
      <c r="I58" s="1375">
        <f>F4A!J56</f>
        <v>0</v>
      </c>
      <c r="J58" s="1376">
        <f t="shared" ca="1" si="3"/>
        <v>0</v>
      </c>
    </row>
    <row r="59" spans="2:10">
      <c r="B59" s="1378" t="s">
        <v>1091</v>
      </c>
      <c r="C59" s="1373">
        <f>F4A!D57</f>
        <v>4.8063317329693715E-3</v>
      </c>
      <c r="D59" s="1374">
        <f t="shared" si="0"/>
        <v>31.136767665550853</v>
      </c>
      <c r="E59" s="1375">
        <f>F4A!F57</f>
        <v>4.4557658349526257E-3</v>
      </c>
      <c r="F59" s="1376">
        <f t="shared" ca="1" si="1"/>
        <v>32.906212620733378</v>
      </c>
      <c r="G59" s="1375">
        <f>F4A!H57</f>
        <v>4.3666530873198743E-3</v>
      </c>
      <c r="H59" s="1376">
        <f t="shared" ca="1" si="2"/>
        <v>28.730793552668331</v>
      </c>
      <c r="I59" s="1375">
        <f>F4A!J57</f>
        <v>4.6692388638791367E-3</v>
      </c>
      <c r="J59" s="1376">
        <f t="shared" ca="1" si="3"/>
        <v>50.77388155803721</v>
      </c>
    </row>
    <row r="60" spans="2:10">
      <c r="B60" s="1378" t="s">
        <v>1092</v>
      </c>
      <c r="C60" s="1373">
        <f>F4A!D58</f>
        <v>9.0315470855023008E-4</v>
      </c>
      <c r="D60" s="1374">
        <f t="shared" si="0"/>
        <v>5.8508900110403621</v>
      </c>
      <c r="E60" s="1375">
        <f>F4A!F58</f>
        <v>5.0591056116717093E-4</v>
      </c>
      <c r="F60" s="1376">
        <f t="shared" ca="1" si="1"/>
        <v>3.7361928587565614</v>
      </c>
      <c r="G60" s="1375">
        <f>F4A!H58</f>
        <v>8.4127512386037351E-4</v>
      </c>
      <c r="H60" s="1376">
        <f t="shared" ca="1" si="2"/>
        <v>5.5352466571744605</v>
      </c>
      <c r="I60" s="1375">
        <f>F4A!J58</f>
        <v>8.995710043809671E-4</v>
      </c>
      <c r="J60" s="1376">
        <f t="shared" ca="1" si="3"/>
        <v>9.7820464878804465</v>
      </c>
    </row>
    <row r="61" spans="2:10">
      <c r="B61" s="1378" t="s">
        <v>1093</v>
      </c>
      <c r="C61" s="1373">
        <f>F4A!D59</f>
        <v>7.0776146037520313E-4</v>
      </c>
      <c r="D61" s="1374">
        <f t="shared" si="0"/>
        <v>4.585077638974969</v>
      </c>
      <c r="E61" s="1375">
        <f>F4A!F59</f>
        <v>6.5995281668364367E-4</v>
      </c>
      <c r="F61" s="1376">
        <f t="shared" ca="1" si="1"/>
        <v>4.8738081196034733</v>
      </c>
      <c r="G61" s="1375">
        <f>F4A!H59</f>
        <v>6.6392883183138615E-4</v>
      </c>
      <c r="H61" s="1376">
        <f t="shared" ca="1" si="2"/>
        <v>4.3683805009386756</v>
      </c>
      <c r="I61" s="1375">
        <f>F4A!J59</f>
        <v>7.7447515625491629E-4</v>
      </c>
      <c r="J61" s="1376">
        <f t="shared" ca="1" si="3"/>
        <v>8.4217387458007238</v>
      </c>
    </row>
    <row r="62" spans="2:10">
      <c r="B62" s="1377" t="s">
        <v>1403</v>
      </c>
      <c r="C62" s="1373">
        <f>F4A!D60</f>
        <v>0</v>
      </c>
      <c r="D62" s="1374">
        <f t="shared" si="0"/>
        <v>0</v>
      </c>
      <c r="E62" s="1375">
        <f>F4A!F60</f>
        <v>0</v>
      </c>
      <c r="F62" s="1376">
        <f t="shared" ca="1" si="1"/>
        <v>0</v>
      </c>
      <c r="G62" s="1375">
        <f>F4A!H60</f>
        <v>0</v>
      </c>
      <c r="H62" s="1376">
        <f t="shared" ca="1" si="2"/>
        <v>0</v>
      </c>
      <c r="I62" s="1375">
        <f>F4A!J60</f>
        <v>0</v>
      </c>
      <c r="J62" s="1376">
        <f t="shared" ca="1" si="3"/>
        <v>0</v>
      </c>
    </row>
    <row r="63" spans="2:10">
      <c r="B63" s="1378" t="s">
        <v>1094</v>
      </c>
      <c r="C63" s="1373">
        <f>F4A!D61</f>
        <v>1.4523404693346485E-3</v>
      </c>
      <c r="D63" s="1374">
        <f t="shared" si="0"/>
        <v>9.408669704330249</v>
      </c>
      <c r="E63" s="1375">
        <f>F4A!F61</f>
        <v>1.736194099816368E-3</v>
      </c>
      <c r="F63" s="1376">
        <f t="shared" ca="1" si="1"/>
        <v>12.821942246439356</v>
      </c>
      <c r="G63" s="1375">
        <f>F4A!H61</f>
        <v>2.0679303983516559E-3</v>
      </c>
      <c r="H63" s="1376">
        <f t="shared" ca="1" si="2"/>
        <v>13.60613727911112</v>
      </c>
      <c r="I63" s="1375">
        <f>F4A!J61</f>
        <v>2.05041044365319E-3</v>
      </c>
      <c r="J63" s="1376">
        <f t="shared" ca="1" si="3"/>
        <v>22.296417049205907</v>
      </c>
    </row>
    <row r="64" spans="2:10">
      <c r="B64" s="1378" t="s">
        <v>1095</v>
      </c>
      <c r="C64" s="1373">
        <f>F4A!D62</f>
        <v>6.6960126709022282E-3</v>
      </c>
      <c r="D64" s="1374">
        <f t="shared" si="0"/>
        <v>43.378651829065483</v>
      </c>
      <c r="E64" s="1375">
        <f>F4A!F62</f>
        <v>9.0732897349007652E-3</v>
      </c>
      <c r="F64" s="1376">
        <f t="shared" ca="1" si="1"/>
        <v>67.007022416683299</v>
      </c>
      <c r="G64" s="1375">
        <f>F4A!H62</f>
        <v>8.0198656476275724E-3</v>
      </c>
      <c r="H64" s="1376">
        <f t="shared" ca="1" si="2"/>
        <v>52.7674398754557</v>
      </c>
      <c r="I64" s="1375">
        <f>F4A!J62</f>
        <v>8.1857995954547052E-3</v>
      </c>
      <c r="J64" s="1376">
        <f t="shared" ca="1" si="3"/>
        <v>89.013398379056355</v>
      </c>
    </row>
    <row r="65" spans="2:10">
      <c r="B65" s="1378" t="s">
        <v>1096</v>
      </c>
      <c r="C65" s="1373">
        <f>F4A!D63</f>
        <v>1.0803763127901491E-3</v>
      </c>
      <c r="D65" s="1374">
        <f t="shared" si="0"/>
        <v>6.9989813670078886</v>
      </c>
      <c r="E65" s="1375">
        <f>F4A!F63</f>
        <v>1.3788014572013862E-3</v>
      </c>
      <c r="F65" s="1376">
        <f t="shared" ca="1" si="1"/>
        <v>10.182566946525416</v>
      </c>
      <c r="G65" s="1375">
        <f>F4A!H63</f>
        <v>1.9777440587191671E-3</v>
      </c>
      <c r="H65" s="1376">
        <f t="shared" ca="1" si="2"/>
        <v>13.012748005120908</v>
      </c>
      <c r="I65" s="1375">
        <f>F4A!J63</f>
        <v>2.0186643052512278E-3</v>
      </c>
      <c r="J65" s="1376">
        <f t="shared" ca="1" si="3"/>
        <v>21.951205609368117</v>
      </c>
    </row>
    <row r="66" spans="2:10">
      <c r="B66" s="1369" t="s">
        <v>1425</v>
      </c>
      <c r="C66" s="1373">
        <f>F4A!D64</f>
        <v>1.564597735492183E-2</v>
      </c>
      <c r="D66" s="1374">
        <f t="shared" si="0"/>
        <v>101.3590382159698</v>
      </c>
      <c r="E66" s="1375">
        <f>F4A!F64</f>
        <v>1.7809914504721958E-2</v>
      </c>
      <c r="F66" s="1376">
        <f t="shared" ca="1" si="1"/>
        <v>131.52774520874149</v>
      </c>
      <c r="G66" s="1375">
        <f>F4A!H64</f>
        <v>1.7937397147710032E-2</v>
      </c>
      <c r="H66" s="1376">
        <f t="shared" ca="1" si="2"/>
        <v>118.02074587046921</v>
      </c>
      <c r="I66" s="1375">
        <f>F4A!J64</f>
        <v>1.8598159368874143E-2</v>
      </c>
      <c r="J66" s="1376">
        <f t="shared" ca="1" si="3"/>
        <v>202.23868782934875</v>
      </c>
    </row>
    <row r="67" spans="2:10">
      <c r="B67" s="1369" t="s">
        <v>1446</v>
      </c>
      <c r="C67" s="1373">
        <f>F4A!D65</f>
        <v>0</v>
      </c>
      <c r="D67" s="1374">
        <f t="shared" si="0"/>
        <v>0</v>
      </c>
      <c r="E67" s="1375">
        <f>F4A!F65</f>
        <v>0</v>
      </c>
      <c r="F67" s="1376">
        <f t="shared" ca="1" si="1"/>
        <v>0</v>
      </c>
      <c r="G67" s="1375">
        <f>F4A!H65</f>
        <v>0</v>
      </c>
      <c r="H67" s="1376">
        <f t="shared" ca="1" si="2"/>
        <v>0</v>
      </c>
      <c r="I67" s="1375">
        <f>F4A!J65</f>
        <v>0</v>
      </c>
      <c r="J67" s="1376">
        <f t="shared" ca="1" si="3"/>
        <v>0</v>
      </c>
    </row>
    <row r="68" spans="2:10">
      <c r="B68" s="1367" t="s">
        <v>1098</v>
      </c>
      <c r="C68" s="1373">
        <f>F4A!D66</f>
        <v>0</v>
      </c>
      <c r="D68" s="1374">
        <f t="shared" si="0"/>
        <v>0</v>
      </c>
      <c r="E68" s="1375">
        <f>F4A!F66</f>
        <v>0</v>
      </c>
      <c r="F68" s="1376">
        <f t="shared" ca="1" si="1"/>
        <v>0</v>
      </c>
      <c r="G68" s="1375">
        <f>F4A!H66</f>
        <v>0</v>
      </c>
      <c r="H68" s="1376">
        <f t="shared" ca="1" si="2"/>
        <v>0</v>
      </c>
      <c r="I68" s="1375">
        <f>F4A!J66</f>
        <v>0</v>
      </c>
      <c r="J68" s="1376">
        <f t="shared" ca="1" si="3"/>
        <v>0</v>
      </c>
    </row>
    <row r="69" spans="2:10">
      <c r="B69" s="1377" t="s">
        <v>476</v>
      </c>
      <c r="C69" s="1373">
        <f>F4A!D67</f>
        <v>0</v>
      </c>
      <c r="D69" s="1374">
        <f t="shared" si="0"/>
        <v>0</v>
      </c>
      <c r="E69" s="1375">
        <f>F4A!F67</f>
        <v>0</v>
      </c>
      <c r="F69" s="1376">
        <f t="shared" ca="1" si="1"/>
        <v>0</v>
      </c>
      <c r="G69" s="1375">
        <f>F4A!H67</f>
        <v>0</v>
      </c>
      <c r="H69" s="1376">
        <f t="shared" ca="1" si="2"/>
        <v>0</v>
      </c>
      <c r="I69" s="1375">
        <f>F4A!J67</f>
        <v>0</v>
      </c>
      <c r="J69" s="1376">
        <f t="shared" ca="1" si="3"/>
        <v>0</v>
      </c>
    </row>
    <row r="70" spans="2:10">
      <c r="B70" s="1378" t="s">
        <v>1099</v>
      </c>
      <c r="C70" s="1373">
        <f>F4A!D68</f>
        <v>9.1059771061590886E-4</v>
      </c>
      <c r="D70" s="1374">
        <f t="shared" si="0"/>
        <v>5.8991078700914841</v>
      </c>
      <c r="E70" s="1375">
        <f>F4A!F68</f>
        <v>1.1601975082866195E-2</v>
      </c>
      <c r="F70" s="1376">
        <f t="shared" ca="1" si="1"/>
        <v>85.681580459738171</v>
      </c>
      <c r="G70" s="1375">
        <f>F4A!H68</f>
        <v>2.307187494067281E-2</v>
      </c>
      <c r="H70" s="1376">
        <f t="shared" ca="1" si="2"/>
        <v>151.80351233266961</v>
      </c>
      <c r="I70" s="1375">
        <f>F4A!J68</f>
        <v>2.9156202468552977E-2</v>
      </c>
      <c r="J70" s="1376">
        <f t="shared" ca="1" si="3"/>
        <v>317.04815580811555</v>
      </c>
    </row>
    <row r="71" spans="2:10">
      <c r="B71" s="1377" t="s">
        <v>1404</v>
      </c>
      <c r="C71" s="1373">
        <f>F4A!D69</f>
        <v>0</v>
      </c>
      <c r="D71" s="1374">
        <f t="shared" si="0"/>
        <v>0</v>
      </c>
      <c r="E71" s="1375">
        <f>F4A!F69</f>
        <v>0</v>
      </c>
      <c r="F71" s="1376">
        <f t="shared" ca="1" si="1"/>
        <v>0</v>
      </c>
      <c r="G71" s="1375">
        <f>F4A!H69</f>
        <v>0</v>
      </c>
      <c r="H71" s="1376">
        <f t="shared" ca="1" si="2"/>
        <v>0</v>
      </c>
      <c r="I71" s="1375">
        <f>F4A!J69</f>
        <v>0</v>
      </c>
      <c r="J71" s="1376">
        <f t="shared" ca="1" si="3"/>
        <v>0</v>
      </c>
    </row>
    <row r="72" spans="2:10">
      <c r="B72" s="1378" t="s">
        <v>1405</v>
      </c>
      <c r="C72" s="1373">
        <f>F4A!D70</f>
        <v>4.4605651882910366E-2</v>
      </c>
      <c r="D72" s="1374">
        <f t="shared" si="0"/>
        <v>288.96794820081379</v>
      </c>
      <c r="E72" s="1375">
        <f>F4A!F70</f>
        <v>3.8760756991219635E-2</v>
      </c>
      <c r="F72" s="1376">
        <f t="shared" ca="1" si="1"/>
        <v>286.25151279010424</v>
      </c>
      <c r="G72" s="1375">
        <f>F4A!H70</f>
        <v>2.890511525380254E-2</v>
      </c>
      <c r="H72" s="1376">
        <f t="shared" ca="1" si="2"/>
        <v>190.1838507356218</v>
      </c>
      <c r="I72" s="1375">
        <f>F4A!J70</f>
        <v>1.4049129828546893E-2</v>
      </c>
      <c r="J72" s="1376">
        <f t="shared" ca="1" si="3"/>
        <v>152.77197734011494</v>
      </c>
    </row>
    <row r="73" spans="2:10">
      <c r="B73" s="1378" t="s">
        <v>1101</v>
      </c>
      <c r="C73" s="1373">
        <f>F4A!D71</f>
        <v>1.8870991081859521E-3</v>
      </c>
      <c r="D73" s="1374">
        <f t="shared" si="0"/>
        <v>12.225158344855478</v>
      </c>
      <c r="E73" s="1375">
        <f>F4A!F71</f>
        <v>4.6066578487291348E-4</v>
      </c>
      <c r="F73" s="1376">
        <f t="shared" ca="1" si="1"/>
        <v>3.4020563076305117</v>
      </c>
      <c r="G73" s="1375">
        <f>F4A!H71</f>
        <v>3.4348475326774415E-4</v>
      </c>
      <c r="H73" s="1376">
        <f t="shared" ca="1" si="2"/>
        <v>2.2599893642299467</v>
      </c>
      <c r="I73" s="1375">
        <f>F4A!J71</f>
        <v>1.6694837057084925E-4</v>
      </c>
      <c r="J73" s="1376">
        <f t="shared" ca="1" si="3"/>
        <v>1.8154172533870656</v>
      </c>
    </row>
    <row r="74" spans="2:10">
      <c r="B74" s="1369" t="s">
        <v>1425</v>
      </c>
      <c r="C74" s="1373">
        <f>F4A!D72</f>
        <v>4.7403348701712228E-2</v>
      </c>
      <c r="D74" s="1374">
        <f t="shared" si="0"/>
        <v>307.09221441576079</v>
      </c>
      <c r="E74" s="1375">
        <f>F4A!F72</f>
        <v>5.0823397858958744E-2</v>
      </c>
      <c r="F74" s="1376">
        <f t="shared" ca="1" si="1"/>
        <v>375.33514955747296</v>
      </c>
      <c r="G74" s="1375">
        <f>F4A!H72</f>
        <v>5.2320474947743091E-2</v>
      </c>
      <c r="H74" s="1376">
        <f t="shared" ca="1" si="2"/>
        <v>344.24735243252132</v>
      </c>
      <c r="I74" s="1375">
        <f>F4A!J72</f>
        <v>4.3372280667670723E-2</v>
      </c>
      <c r="J74" s="1376">
        <f t="shared" ca="1" si="3"/>
        <v>471.63555040161759</v>
      </c>
    </row>
    <row r="75" spans="2:10">
      <c r="B75" s="1369" t="s">
        <v>1446</v>
      </c>
      <c r="C75" s="1373">
        <f>F4A!D73</f>
        <v>0</v>
      </c>
      <c r="D75" s="1374">
        <f t="shared" si="0"/>
        <v>0</v>
      </c>
      <c r="E75" s="1375">
        <f>F4A!F73</f>
        <v>0</v>
      </c>
      <c r="F75" s="1376">
        <f t="shared" ca="1" si="1"/>
        <v>0</v>
      </c>
      <c r="G75" s="1375">
        <f>F4A!H73</f>
        <v>0</v>
      </c>
      <c r="H75" s="1376">
        <f t="shared" ca="1" si="2"/>
        <v>0</v>
      </c>
      <c r="I75" s="1375">
        <f>F4A!J73</f>
        <v>0</v>
      </c>
      <c r="J75" s="1376">
        <f t="shared" ca="1" si="3"/>
        <v>0</v>
      </c>
    </row>
    <row r="76" spans="2:10">
      <c r="B76" s="1367" t="s">
        <v>1406</v>
      </c>
      <c r="C76" s="1373">
        <f>F4A!D74</f>
        <v>0</v>
      </c>
      <c r="D76" s="1374">
        <f t="shared" si="0"/>
        <v>0</v>
      </c>
      <c r="E76" s="1375">
        <f>F4A!F74</f>
        <v>0</v>
      </c>
      <c r="F76" s="1376">
        <f t="shared" ca="1" si="1"/>
        <v>0</v>
      </c>
      <c r="G76" s="1375">
        <f>F4A!H74</f>
        <v>0</v>
      </c>
      <c r="H76" s="1376">
        <f t="shared" ca="1" si="2"/>
        <v>0</v>
      </c>
      <c r="I76" s="1375">
        <f>F4A!J74</f>
        <v>0</v>
      </c>
      <c r="J76" s="1376">
        <f t="shared" ca="1" si="3"/>
        <v>0</v>
      </c>
    </row>
    <row r="77" spans="2:10">
      <c r="B77" s="1377" t="s">
        <v>476</v>
      </c>
      <c r="C77" s="1373">
        <f>F4A!D75</f>
        <v>0</v>
      </c>
      <c r="D77" s="1374">
        <f t="shared" si="0"/>
        <v>0</v>
      </c>
      <c r="E77" s="1375">
        <f>F4A!F75</f>
        <v>0</v>
      </c>
      <c r="F77" s="1376">
        <f t="shared" ca="1" si="1"/>
        <v>0</v>
      </c>
      <c r="G77" s="1375">
        <f>F4A!H75</f>
        <v>0</v>
      </c>
      <c r="H77" s="1376">
        <f t="shared" ca="1" si="2"/>
        <v>0</v>
      </c>
      <c r="I77" s="1375">
        <f>F4A!J75</f>
        <v>0</v>
      </c>
      <c r="J77" s="1376">
        <f t="shared" ca="1" si="3"/>
        <v>0</v>
      </c>
    </row>
    <row r="78" spans="2:10">
      <c r="B78" s="1378" t="s">
        <v>1104</v>
      </c>
      <c r="C78" s="1373">
        <f>F4A!D76</f>
        <v>6.7207574308395771E-5</v>
      </c>
      <c r="D78" s="1374">
        <f t="shared" si="0"/>
        <v>0.43538955337835789</v>
      </c>
      <c r="E78" s="1375">
        <f>F4A!F76</f>
        <v>9.6470446326706269E-5</v>
      </c>
      <c r="F78" s="1376">
        <f t="shared" ca="1" si="1"/>
        <v>0.71244251516583468</v>
      </c>
      <c r="G78" s="1375">
        <f>F4A!H76</f>
        <v>1.7377515509051962E-4</v>
      </c>
      <c r="H78" s="1376">
        <f t="shared" ca="1" si="2"/>
        <v>1.1433695339771117</v>
      </c>
      <c r="I78" s="1375">
        <f>F4A!J76</f>
        <v>1.7399213836084276E-4</v>
      </c>
      <c r="J78" s="1376">
        <f t="shared" ca="1" si="3"/>
        <v>1.8920120565054321</v>
      </c>
    </row>
    <row r="79" spans="2:10">
      <c r="B79" s="1378" t="s">
        <v>1105</v>
      </c>
      <c r="C79" s="1373">
        <f>F4A!D77</f>
        <v>0</v>
      </c>
      <c r="D79" s="1374">
        <f t="shared" ref="D79:D128" si="4">C79*$D$10</f>
        <v>0</v>
      </c>
      <c r="E79" s="1375">
        <f>F4A!F77</f>
        <v>2.7726692879417284E-4</v>
      </c>
      <c r="F79" s="1376">
        <f t="shared" ref="F79:F128" ca="1" si="5">E79*$F$10</f>
        <v>2.0476400353062538</v>
      </c>
      <c r="G79" s="1375">
        <f>F4A!H77</f>
        <v>2.2818959759361162E-4</v>
      </c>
      <c r="H79" s="1376">
        <f t="shared" ref="H79:H128" ca="1" si="6">G79*$H$10</f>
        <v>1.5013943375457022</v>
      </c>
      <c r="I79" s="1375">
        <f>F4A!J77</f>
        <v>2.2847452512029858E-4</v>
      </c>
      <c r="J79" s="1376">
        <f t="shared" ref="J79:J128" ca="1" si="7">I79*$J$10</f>
        <v>2.4844602762192545</v>
      </c>
    </row>
    <row r="80" spans="2:10">
      <c r="B80" s="1377" t="s">
        <v>1404</v>
      </c>
      <c r="C80" s="1373">
        <f>F4A!D78</f>
        <v>0</v>
      </c>
      <c r="D80" s="1374">
        <f t="shared" si="4"/>
        <v>0</v>
      </c>
      <c r="E80" s="1375">
        <f>F4A!F78</f>
        <v>0</v>
      </c>
      <c r="F80" s="1376">
        <f t="shared" ca="1" si="5"/>
        <v>0</v>
      </c>
      <c r="G80" s="1375">
        <f>F4A!H78</f>
        <v>0</v>
      </c>
      <c r="H80" s="1376">
        <f t="shared" ca="1" si="6"/>
        <v>0</v>
      </c>
      <c r="I80" s="1375">
        <f>F4A!J78</f>
        <v>0</v>
      </c>
      <c r="J80" s="1376">
        <f t="shared" ca="1" si="7"/>
        <v>0</v>
      </c>
    </row>
    <row r="81" spans="2:10">
      <c r="B81" s="1378" t="s">
        <v>1106</v>
      </c>
      <c r="C81" s="1373">
        <f>F4A!D79</f>
        <v>0</v>
      </c>
      <c r="D81" s="1374">
        <f t="shared" si="4"/>
        <v>0</v>
      </c>
      <c r="E81" s="1375">
        <f>F4A!F79</f>
        <v>4.5655677390774382E-7</v>
      </c>
      <c r="F81" s="1376">
        <f t="shared" ca="1" si="5"/>
        <v>3.3717109094455024E-3</v>
      </c>
      <c r="G81" s="1375">
        <f>F4A!H79</f>
        <v>0</v>
      </c>
      <c r="H81" s="1376">
        <f t="shared" ca="1" si="6"/>
        <v>0</v>
      </c>
      <c r="I81" s="1375">
        <f>F4A!J79</f>
        <v>0</v>
      </c>
      <c r="J81" s="1376">
        <f t="shared" ca="1" si="7"/>
        <v>0</v>
      </c>
    </row>
    <row r="82" spans="2:10">
      <c r="B82" s="1378" t="s">
        <v>1107</v>
      </c>
      <c r="C82" s="1373">
        <f>F4A!D80</f>
        <v>0</v>
      </c>
      <c r="D82" s="1374">
        <f t="shared" si="4"/>
        <v>0</v>
      </c>
      <c r="E82" s="1375">
        <f>F4A!F80</f>
        <v>1.8718827730217496E-6</v>
      </c>
      <c r="F82" s="1376">
        <f t="shared" ca="1" si="5"/>
        <v>1.3824014728726559E-2</v>
      </c>
      <c r="G82" s="1375">
        <f>F4A!H80</f>
        <v>7.3238571110946968E-6</v>
      </c>
      <c r="H82" s="1376">
        <f t="shared" ca="1" si="6"/>
        <v>4.8187988022023863E-2</v>
      </c>
      <c r="I82" s="1375">
        <f>F4A!J80</f>
        <v>7.1194194173614192E-6</v>
      </c>
      <c r="J82" s="1376">
        <f t="shared" ca="1" si="7"/>
        <v>7.7417448281664067E-2</v>
      </c>
    </row>
    <row r="83" spans="2:10">
      <c r="B83" s="1369" t="s">
        <v>1425</v>
      </c>
      <c r="C83" s="1373">
        <f>F4A!D81</f>
        <v>6.7207574308395771E-5</v>
      </c>
      <c r="D83" s="1374">
        <f t="shared" si="4"/>
        <v>0.43538955337835789</v>
      </c>
      <c r="E83" s="1375">
        <f>F4A!F81</f>
        <v>3.7606581466780855E-4</v>
      </c>
      <c r="F83" s="1376">
        <f t="shared" ca="1" si="5"/>
        <v>2.7772782761102603</v>
      </c>
      <c r="G83" s="1375">
        <f>F4A!H81</f>
        <v>4.0928860979522598E-4</v>
      </c>
      <c r="H83" s="1376">
        <f t="shared" ca="1" si="6"/>
        <v>2.6929518595448378</v>
      </c>
      <c r="I83" s="1375">
        <f>F4A!J81</f>
        <v>4.0958608289850276E-4</v>
      </c>
      <c r="J83" s="1376">
        <f t="shared" ca="1" si="7"/>
        <v>4.4538897810063505</v>
      </c>
    </row>
    <row r="84" spans="2:10">
      <c r="B84" s="1369" t="s">
        <v>1446</v>
      </c>
      <c r="C84" s="1373">
        <f>F4A!D82</f>
        <v>0</v>
      </c>
      <c r="D84" s="1374">
        <f t="shared" si="4"/>
        <v>0</v>
      </c>
      <c r="E84" s="1375">
        <f>F4A!F82</f>
        <v>0</v>
      </c>
      <c r="F84" s="1376">
        <f t="shared" ca="1" si="5"/>
        <v>0</v>
      </c>
      <c r="G84" s="1375">
        <f>F4A!H82</f>
        <v>0</v>
      </c>
      <c r="H84" s="1376">
        <f t="shared" ca="1" si="6"/>
        <v>0</v>
      </c>
      <c r="I84" s="1375">
        <f>F4A!J82</f>
        <v>0</v>
      </c>
      <c r="J84" s="1376">
        <f t="shared" ca="1" si="7"/>
        <v>0</v>
      </c>
    </row>
    <row r="85" spans="2:10">
      <c r="B85" s="1367" t="s">
        <v>1109</v>
      </c>
      <c r="C85" s="1373">
        <f>F4A!D83</f>
        <v>0</v>
      </c>
      <c r="D85" s="1374">
        <f t="shared" si="4"/>
        <v>0</v>
      </c>
      <c r="E85" s="1375">
        <f>F4A!F83</f>
        <v>0</v>
      </c>
      <c r="F85" s="1376">
        <f t="shared" ca="1" si="5"/>
        <v>0</v>
      </c>
      <c r="G85" s="1375">
        <f>F4A!H83</f>
        <v>0</v>
      </c>
      <c r="H85" s="1376">
        <f t="shared" ca="1" si="6"/>
        <v>0</v>
      </c>
      <c r="I85" s="1375">
        <f>F4A!J83</f>
        <v>0</v>
      </c>
      <c r="J85" s="1376">
        <f t="shared" ca="1" si="7"/>
        <v>0</v>
      </c>
    </row>
    <row r="86" spans="2:10">
      <c r="B86" s="1369" t="s">
        <v>1429</v>
      </c>
      <c r="C86" s="1373">
        <f>F4A!D84</f>
        <v>5.2985327993679042E-3</v>
      </c>
      <c r="D86" s="1374">
        <f t="shared" si="4"/>
        <v>34.325384494485235</v>
      </c>
      <c r="E86" s="1375">
        <f>F4A!F84</f>
        <v>4.8005575106077544E-3</v>
      </c>
      <c r="F86" s="1376">
        <f t="shared" ca="1" si="5"/>
        <v>35.452528699546626</v>
      </c>
      <c r="G86" s="1375">
        <f>F4A!H84</f>
        <v>4.8397984677944787E-3</v>
      </c>
      <c r="H86" s="1376">
        <f t="shared" ca="1" si="6"/>
        <v>31.843896878025024</v>
      </c>
      <c r="I86" s="1375">
        <f>F4A!J84</f>
        <v>4.7987946458220125E-3</v>
      </c>
      <c r="J86" s="1376">
        <f t="shared" ca="1" si="7"/>
        <v>52.182687172676836</v>
      </c>
    </row>
    <row r="87" spans="2:10">
      <c r="B87" s="1369" t="s">
        <v>1446</v>
      </c>
      <c r="C87" s="1373">
        <f>F4A!D85</f>
        <v>0</v>
      </c>
      <c r="D87" s="1374">
        <f t="shared" si="4"/>
        <v>0</v>
      </c>
      <c r="E87" s="1375">
        <f>F4A!F85</f>
        <v>0</v>
      </c>
      <c r="F87" s="1376">
        <f t="shared" ca="1" si="5"/>
        <v>0</v>
      </c>
      <c r="G87" s="1375">
        <f>F4A!H85</f>
        <v>0</v>
      </c>
      <c r="H87" s="1376">
        <f t="shared" ca="1" si="6"/>
        <v>0</v>
      </c>
      <c r="I87" s="1375">
        <f>F4A!J85</f>
        <v>0</v>
      </c>
      <c r="J87" s="1376">
        <f t="shared" ca="1" si="7"/>
        <v>0</v>
      </c>
    </row>
    <row r="88" spans="2:10">
      <c r="B88" s="1367" t="s">
        <v>1407</v>
      </c>
      <c r="C88" s="1373">
        <f>F4A!D86</f>
        <v>0</v>
      </c>
      <c r="D88" s="1374">
        <f t="shared" si="4"/>
        <v>0</v>
      </c>
      <c r="E88" s="1375">
        <f>F4A!F86</f>
        <v>0</v>
      </c>
      <c r="F88" s="1376">
        <f t="shared" ca="1" si="5"/>
        <v>0</v>
      </c>
      <c r="G88" s="1375">
        <f>F4A!H86</f>
        <v>0</v>
      </c>
      <c r="H88" s="1376">
        <f t="shared" ca="1" si="6"/>
        <v>0</v>
      </c>
      <c r="I88" s="1375">
        <f>F4A!J86</f>
        <v>0</v>
      </c>
      <c r="J88" s="1376">
        <f t="shared" ca="1" si="7"/>
        <v>0</v>
      </c>
    </row>
    <row r="89" spans="2:10">
      <c r="B89" s="1377" t="s">
        <v>1146</v>
      </c>
      <c r="C89" s="1373">
        <f>F4A!D87</f>
        <v>0</v>
      </c>
      <c r="D89" s="1374">
        <f t="shared" si="4"/>
        <v>0</v>
      </c>
      <c r="E89" s="1375">
        <f>F4A!F87</f>
        <v>0</v>
      </c>
      <c r="F89" s="1376">
        <f t="shared" ca="1" si="5"/>
        <v>0</v>
      </c>
      <c r="G89" s="1375">
        <f>F4A!H87</f>
        <v>0</v>
      </c>
      <c r="H89" s="1376">
        <f t="shared" ca="1" si="6"/>
        <v>0</v>
      </c>
      <c r="I89" s="1375">
        <f>F4A!J87</f>
        <v>0</v>
      </c>
      <c r="J89" s="1376">
        <f t="shared" ca="1" si="7"/>
        <v>0</v>
      </c>
    </row>
    <row r="90" spans="2:10">
      <c r="B90" s="1378" t="s">
        <v>1408</v>
      </c>
      <c r="C90" s="1373">
        <f>F4A!D88</f>
        <v>0</v>
      </c>
      <c r="D90" s="1374">
        <f t="shared" si="4"/>
        <v>0</v>
      </c>
      <c r="E90" s="1375">
        <f>F4A!F88</f>
        <v>0</v>
      </c>
      <c r="F90" s="1376">
        <f t="shared" ca="1" si="5"/>
        <v>0</v>
      </c>
      <c r="G90" s="1375">
        <f>F4A!H88</f>
        <v>0</v>
      </c>
      <c r="H90" s="1376">
        <f t="shared" ca="1" si="6"/>
        <v>0</v>
      </c>
      <c r="I90" s="1375">
        <f>F4A!J88</f>
        <v>0</v>
      </c>
      <c r="J90" s="1376">
        <f t="shared" ca="1" si="7"/>
        <v>0</v>
      </c>
    </row>
    <row r="91" spans="2:10">
      <c r="B91" s="1378" t="s">
        <v>1409</v>
      </c>
      <c r="C91" s="1373">
        <f>F4A!D89</f>
        <v>0</v>
      </c>
      <c r="D91" s="1374">
        <f t="shared" si="4"/>
        <v>0</v>
      </c>
      <c r="E91" s="1375">
        <f>F4A!F89</f>
        <v>0</v>
      </c>
      <c r="F91" s="1376">
        <f t="shared" ca="1" si="5"/>
        <v>0</v>
      </c>
      <c r="G91" s="1375">
        <f>F4A!H89</f>
        <v>0</v>
      </c>
      <c r="H91" s="1376">
        <f t="shared" ca="1" si="6"/>
        <v>0</v>
      </c>
      <c r="I91" s="1375">
        <f>F4A!J89</f>
        <v>0</v>
      </c>
      <c r="J91" s="1376">
        <f t="shared" ca="1" si="7"/>
        <v>0</v>
      </c>
    </row>
    <row r="92" spans="2:10">
      <c r="B92" s="1377" t="s">
        <v>1410</v>
      </c>
      <c r="C92" s="1373">
        <f>F4A!D90</f>
        <v>0</v>
      </c>
      <c r="D92" s="1374">
        <f t="shared" si="4"/>
        <v>0</v>
      </c>
      <c r="E92" s="1375">
        <f>F4A!F90</f>
        <v>0</v>
      </c>
      <c r="F92" s="1376">
        <f t="shared" ca="1" si="5"/>
        <v>0</v>
      </c>
      <c r="G92" s="1375">
        <f>F4A!H90</f>
        <v>1.1940913478320347E-6</v>
      </c>
      <c r="H92" s="1376">
        <f t="shared" ca="1" si="6"/>
        <v>7.8566332867643553E-3</v>
      </c>
      <c r="I92" s="1375">
        <f>F4A!J90</f>
        <v>1.2768355115064191E-6</v>
      </c>
      <c r="J92" s="1376">
        <f t="shared" ca="1" si="7"/>
        <v>1.3884467451824265E-2</v>
      </c>
    </row>
    <row r="93" spans="2:10">
      <c r="B93" s="1378" t="s">
        <v>469</v>
      </c>
      <c r="C93" s="1373">
        <f>F4A!D91</f>
        <v>0</v>
      </c>
      <c r="D93" s="1374">
        <f t="shared" si="4"/>
        <v>0</v>
      </c>
      <c r="E93" s="1375">
        <f>F4A!F91</f>
        <v>0</v>
      </c>
      <c r="F93" s="1376">
        <f t="shared" ca="1" si="5"/>
        <v>0</v>
      </c>
      <c r="G93" s="1375">
        <f>F4A!H91</f>
        <v>1.1940913478320347E-6</v>
      </c>
      <c r="H93" s="1376">
        <f t="shared" ca="1" si="6"/>
        <v>7.8566332867643553E-3</v>
      </c>
      <c r="I93" s="1375">
        <f>F4A!J91</f>
        <v>1.2768355115064191E-6</v>
      </c>
      <c r="J93" s="1376">
        <f t="shared" ca="1" si="7"/>
        <v>1.3884467451824265E-2</v>
      </c>
    </row>
    <row r="94" spans="2:10">
      <c r="B94" s="1378" t="s">
        <v>470</v>
      </c>
      <c r="C94" s="1373">
        <f>F4A!D92</f>
        <v>0</v>
      </c>
      <c r="D94" s="1374">
        <f t="shared" si="4"/>
        <v>0</v>
      </c>
      <c r="E94" s="1375">
        <f>F4A!F92</f>
        <v>0</v>
      </c>
      <c r="F94" s="1376">
        <f t="shared" ca="1" si="5"/>
        <v>0</v>
      </c>
      <c r="G94" s="1375">
        <f>F4A!H92</f>
        <v>0</v>
      </c>
      <c r="H94" s="1376">
        <f t="shared" ca="1" si="6"/>
        <v>0</v>
      </c>
      <c r="I94" s="1375">
        <f>F4A!J92</f>
        <v>0</v>
      </c>
      <c r="J94" s="1376">
        <f t="shared" ca="1" si="7"/>
        <v>0</v>
      </c>
    </row>
    <row r="95" spans="2:10">
      <c r="B95" s="1369" t="s">
        <v>1425</v>
      </c>
      <c r="C95" s="1373">
        <f>F4A!D93</f>
        <v>0</v>
      </c>
      <c r="D95" s="1374">
        <f t="shared" si="4"/>
        <v>0</v>
      </c>
      <c r="E95" s="1375">
        <f>F4A!F93</f>
        <v>0</v>
      </c>
      <c r="F95" s="1376">
        <f t="shared" ca="1" si="5"/>
        <v>0</v>
      </c>
      <c r="G95" s="1375">
        <f>F4A!H93</f>
        <v>2.3881826956640695E-6</v>
      </c>
      <c r="H95" s="1376">
        <f t="shared" ca="1" si="6"/>
        <v>1.5713266573528711E-2</v>
      </c>
      <c r="I95" s="1375">
        <f>F4A!J93</f>
        <v>2.5536710230128383E-6</v>
      </c>
      <c r="J95" s="1376">
        <f t="shared" ca="1" si="7"/>
        <v>2.776893490364853E-2</v>
      </c>
    </row>
    <row r="96" spans="2:10">
      <c r="B96" s="1369" t="s">
        <v>1446</v>
      </c>
      <c r="C96" s="1373">
        <f>F4A!D94</f>
        <v>0</v>
      </c>
      <c r="D96" s="1374">
        <f t="shared" si="4"/>
        <v>0</v>
      </c>
      <c r="E96" s="1375">
        <f>F4A!F94</f>
        <v>0</v>
      </c>
      <c r="F96" s="1376">
        <f t="shared" ca="1" si="5"/>
        <v>0</v>
      </c>
      <c r="G96" s="1375">
        <f>F4A!H94</f>
        <v>0</v>
      </c>
      <c r="H96" s="1376">
        <f t="shared" ca="1" si="6"/>
        <v>0</v>
      </c>
      <c r="I96" s="1375">
        <f>F4A!J94</f>
        <v>0</v>
      </c>
      <c r="J96" s="1376">
        <f t="shared" ca="1" si="7"/>
        <v>0</v>
      </c>
    </row>
    <row r="97" spans="2:10">
      <c r="B97" s="1367" t="s">
        <v>1119</v>
      </c>
      <c r="C97" s="1373">
        <f>F4A!D95</f>
        <v>0</v>
      </c>
      <c r="D97" s="1374">
        <f t="shared" si="4"/>
        <v>0</v>
      </c>
      <c r="E97" s="1375">
        <f>F4A!F95</f>
        <v>0</v>
      </c>
      <c r="F97" s="1376">
        <f t="shared" ca="1" si="5"/>
        <v>0</v>
      </c>
      <c r="G97" s="1375">
        <f>F4A!H95</f>
        <v>0</v>
      </c>
      <c r="H97" s="1376">
        <f t="shared" ca="1" si="6"/>
        <v>0</v>
      </c>
      <c r="I97" s="1375">
        <f>F4A!J95</f>
        <v>0</v>
      </c>
      <c r="J97" s="1376">
        <f t="shared" ca="1" si="7"/>
        <v>0</v>
      </c>
    </row>
    <row r="98" spans="2:10">
      <c r="B98" s="1367" t="s">
        <v>475</v>
      </c>
      <c r="C98" s="1373">
        <f>F4A!D96</f>
        <v>0</v>
      </c>
      <c r="D98" s="1374">
        <f t="shared" si="4"/>
        <v>0</v>
      </c>
      <c r="E98" s="1375">
        <f>F4A!F96</f>
        <v>0</v>
      </c>
      <c r="F98" s="1376">
        <f t="shared" ca="1" si="5"/>
        <v>0</v>
      </c>
      <c r="G98" s="1375">
        <f>F4A!H96</f>
        <v>0</v>
      </c>
      <c r="H98" s="1376">
        <f t="shared" ca="1" si="6"/>
        <v>0</v>
      </c>
      <c r="I98" s="1375">
        <f>F4A!J96</f>
        <v>0</v>
      </c>
      <c r="J98" s="1376">
        <f t="shared" ca="1" si="7"/>
        <v>0</v>
      </c>
    </row>
    <row r="99" spans="2:10">
      <c r="B99" s="1378" t="s">
        <v>1411</v>
      </c>
      <c r="C99" s="1373">
        <f>F4A!D97</f>
        <v>1.1552934960112075E-3</v>
      </c>
      <c r="D99" s="1374">
        <f t="shared" si="4"/>
        <v>7.4843159335153207</v>
      </c>
      <c r="E99" s="1375">
        <f>F4A!F97</f>
        <v>1.4762763284306897E-3</v>
      </c>
      <c r="F99" s="1376">
        <f t="shared" ca="1" si="5"/>
        <v>10.902427225692032</v>
      </c>
      <c r="G99" s="1375">
        <f>F4A!H97</f>
        <v>1.7749761139078678E-2</v>
      </c>
      <c r="H99" s="1376">
        <f t="shared" ca="1" si="6"/>
        <v>116.78617758230165</v>
      </c>
      <c r="I99" s="1375">
        <f>F4A!J97</f>
        <v>1.725429540612592E-2</v>
      </c>
      <c r="J99" s="1376">
        <f t="shared" ca="1" si="7"/>
        <v>187.62534469915695</v>
      </c>
    </row>
    <row r="100" spans="2:10">
      <c r="B100" s="1378" t="s">
        <v>1412</v>
      </c>
      <c r="C100" s="1373">
        <f>F4A!D98</f>
        <v>0</v>
      </c>
      <c r="D100" s="1374">
        <f t="shared" si="4"/>
        <v>0</v>
      </c>
      <c r="E100" s="1375">
        <f>F4A!F98</f>
        <v>5.985459305930521E-5</v>
      </c>
      <c r="F100" s="1376">
        <f t="shared" ca="1" si="5"/>
        <v>0.44203130022830533</v>
      </c>
      <c r="G100" s="1375">
        <f>F4A!H98</f>
        <v>3.5696842725943872E-3</v>
      </c>
      <c r="H100" s="1376">
        <f t="shared" ca="1" si="6"/>
        <v>23.487064310635368</v>
      </c>
      <c r="I100" s="1375">
        <f>F4A!J98</f>
        <v>3.4700403269281575E-3</v>
      </c>
      <c r="J100" s="1376">
        <f t="shared" ca="1" si="7"/>
        <v>37.733648180656367</v>
      </c>
    </row>
    <row r="101" spans="2:10">
      <c r="B101" s="1367" t="s">
        <v>1403</v>
      </c>
      <c r="C101" s="1373">
        <f>F4A!D99</f>
        <v>0</v>
      </c>
      <c r="D101" s="1374">
        <f t="shared" si="4"/>
        <v>0</v>
      </c>
      <c r="E101" s="1375">
        <f>F4A!F99</f>
        <v>0</v>
      </c>
      <c r="F101" s="1376">
        <f t="shared" ca="1" si="5"/>
        <v>0</v>
      </c>
      <c r="G101" s="1375">
        <f>F4A!H99</f>
        <v>0</v>
      </c>
      <c r="H101" s="1376">
        <f t="shared" ca="1" si="6"/>
        <v>0</v>
      </c>
      <c r="I101" s="1375">
        <f>F4A!J99</f>
        <v>0</v>
      </c>
      <c r="J101" s="1376">
        <f t="shared" ca="1" si="7"/>
        <v>0</v>
      </c>
    </row>
    <row r="102" spans="2:10">
      <c r="B102" s="1378" t="s">
        <v>1413</v>
      </c>
      <c r="C102" s="1373">
        <f>F4A!D100</f>
        <v>1.9225683522066859E-2</v>
      </c>
      <c r="D102" s="1374">
        <f t="shared" si="4"/>
        <v>124.54938075366093</v>
      </c>
      <c r="E102" s="1375">
        <f>F4A!F100</f>
        <v>1.4326066730064139E-2</v>
      </c>
      <c r="F102" s="1376">
        <f t="shared" ca="1" si="5"/>
        <v>105.7992307720357</v>
      </c>
      <c r="G102" s="1375">
        <f>F4A!H100</f>
        <v>1.5664580333481881E-3</v>
      </c>
      <c r="H102" s="1376">
        <f t="shared" ca="1" si="6"/>
        <v>10.306653967024609</v>
      </c>
      <c r="I102" s="1375">
        <f>F4A!J100</f>
        <v>1.5988686218791671E-3</v>
      </c>
      <c r="J102" s="1376">
        <f t="shared" ca="1" si="7"/>
        <v>17.386295368644131</v>
      </c>
    </row>
    <row r="103" spans="2:10">
      <c r="B103" s="1378" t="s">
        <v>1414</v>
      </c>
      <c r="C103" s="1373">
        <f>F4A!D101</f>
        <v>3.4117818057032797E-3</v>
      </c>
      <c r="D103" s="1374">
        <f t="shared" si="4"/>
        <v>22.102481333327798</v>
      </c>
      <c r="E103" s="1375">
        <f>F4A!F101</f>
        <v>2.8855757781291133E-3</v>
      </c>
      <c r="F103" s="1376">
        <f t="shared" ca="1" si="5"/>
        <v>21.31022446096841</v>
      </c>
      <c r="G103" s="1375">
        <f>F4A!H101</f>
        <v>1.1839226867191097E-4</v>
      </c>
      <c r="H103" s="1376">
        <f t="shared" ca="1" si="6"/>
        <v>0.77897276505023705</v>
      </c>
      <c r="I103" s="1375">
        <f>F4A!J101</f>
        <v>1.208418479287346E-4</v>
      </c>
      <c r="J103" s="1376">
        <f t="shared" ca="1" si="7"/>
        <v>1.3140492171973694</v>
      </c>
    </row>
    <row r="104" spans="2:10">
      <c r="B104" s="1369" t="s">
        <v>1425</v>
      </c>
      <c r="C104" s="1373">
        <f>F4A!D102</f>
        <v>2.3792758823781346E-2</v>
      </c>
      <c r="D104" s="1374">
        <f t="shared" si="4"/>
        <v>154.13617802050405</v>
      </c>
      <c r="E104" s="1375">
        <f>F4A!F102</f>
        <v>1.8747773429683246E-2</v>
      </c>
      <c r="F104" s="1376">
        <f t="shared" ca="1" si="5"/>
        <v>138.45391375892444</v>
      </c>
      <c r="G104" s="1375">
        <f>F4A!H102</f>
        <v>2.3004295713693161E-2</v>
      </c>
      <c r="H104" s="1376">
        <f t="shared" ca="1" si="6"/>
        <v>151.35886862501184</v>
      </c>
      <c r="I104" s="1375">
        <f>F4A!J102</f>
        <v>2.2444046202861979E-2</v>
      </c>
      <c r="J104" s="1376">
        <f t="shared" ca="1" si="7"/>
        <v>244.05933746565481</v>
      </c>
    </row>
    <row r="105" spans="2:10">
      <c r="B105" s="1369" t="s">
        <v>1446</v>
      </c>
      <c r="C105" s="1373">
        <f>F4A!D103</f>
        <v>0</v>
      </c>
      <c r="D105" s="1374">
        <f t="shared" si="4"/>
        <v>0</v>
      </c>
      <c r="E105" s="1375">
        <f>F4A!F103</f>
        <v>0</v>
      </c>
      <c r="F105" s="1376">
        <f t="shared" ca="1" si="5"/>
        <v>0</v>
      </c>
      <c r="G105" s="1375">
        <f>F4A!H103</f>
        <v>0</v>
      </c>
      <c r="H105" s="1376">
        <f t="shared" ca="1" si="6"/>
        <v>0</v>
      </c>
      <c r="I105" s="1375">
        <f>F4A!J103</f>
        <v>0</v>
      </c>
      <c r="J105" s="1376">
        <f t="shared" ca="1" si="7"/>
        <v>0</v>
      </c>
    </row>
    <row r="106" spans="2:10">
      <c r="B106" s="1367" t="s">
        <v>1125</v>
      </c>
      <c r="C106" s="1373">
        <f>F4A!D104</f>
        <v>0</v>
      </c>
      <c r="D106" s="1374">
        <f t="shared" si="4"/>
        <v>0</v>
      </c>
      <c r="E106" s="1375">
        <f>F4A!F104</f>
        <v>0</v>
      </c>
      <c r="F106" s="1376">
        <f t="shared" ca="1" si="5"/>
        <v>0</v>
      </c>
      <c r="G106" s="1375">
        <f>F4A!H104</f>
        <v>0</v>
      </c>
      <c r="H106" s="1376">
        <f t="shared" ca="1" si="6"/>
        <v>0</v>
      </c>
      <c r="I106" s="1375">
        <f>F4A!J104</f>
        <v>0</v>
      </c>
      <c r="J106" s="1376">
        <f t="shared" ca="1" si="7"/>
        <v>0</v>
      </c>
    </row>
    <row r="107" spans="2:10">
      <c r="B107" s="1378" t="s">
        <v>1126</v>
      </c>
      <c r="C107" s="1373">
        <f>F4A!D105</f>
        <v>3.2275668759656803E-2</v>
      </c>
      <c r="D107" s="1374">
        <f t="shared" si="4"/>
        <v>209.09085249486998</v>
      </c>
      <c r="E107" s="1375">
        <f>F4A!F105</f>
        <v>3.2323306479120448E-2</v>
      </c>
      <c r="F107" s="1376">
        <f t="shared" ca="1" si="5"/>
        <v>238.71038896692269</v>
      </c>
      <c r="G107" s="1375">
        <f>F4A!H105</f>
        <v>3.5082849283506315E-2</v>
      </c>
      <c r="H107" s="1376">
        <f t="shared" ca="1" si="6"/>
        <v>230.83081706920154</v>
      </c>
      <c r="I107" s="1375">
        <f>F4A!J105</f>
        <v>3.5126655265816174E-2</v>
      </c>
      <c r="J107" s="1376">
        <f t="shared" ca="1" si="7"/>
        <v>381.97159879604754</v>
      </c>
    </row>
    <row r="108" spans="2:10">
      <c r="B108" s="1378" t="s">
        <v>1127</v>
      </c>
      <c r="C108" s="1373">
        <f>F4A!D106</f>
        <v>1.817559924686088E-2</v>
      </c>
      <c r="D108" s="1374">
        <f t="shared" si="4"/>
        <v>117.74663971894314</v>
      </c>
      <c r="E108" s="1375">
        <f>F4A!F106</f>
        <v>1.2828651823001523E-2</v>
      </c>
      <c r="F108" s="1376">
        <f t="shared" ca="1" si="5"/>
        <v>94.740693331236358</v>
      </c>
      <c r="G108" s="1375">
        <f>F4A!H106</f>
        <v>1.3778898974481514E-2</v>
      </c>
      <c r="H108" s="1376">
        <f t="shared" ca="1" si="6"/>
        <v>90.65952662199706</v>
      </c>
      <c r="I108" s="1375">
        <f>F4A!J106</f>
        <v>1.4063989424123062E-2</v>
      </c>
      <c r="J108" s="1376">
        <f t="shared" ca="1" si="7"/>
        <v>152.93356242234779</v>
      </c>
    </row>
    <row r="109" spans="2:10">
      <c r="B109" s="1378" t="s">
        <v>1128</v>
      </c>
      <c r="C109" s="1373">
        <f>F4A!D107</f>
        <v>3.719876529797952E-3</v>
      </c>
      <c r="D109" s="1374">
        <f t="shared" si="4"/>
        <v>24.098405538332923</v>
      </c>
      <c r="E109" s="1375">
        <f>F4A!F107</f>
        <v>1.6833704810752424E-3</v>
      </c>
      <c r="F109" s="1376">
        <f t="shared" ca="1" si="5"/>
        <v>12.431835294216514</v>
      </c>
      <c r="G109" s="1375">
        <f>F4A!H107</f>
        <v>2.3590688504538499E-3</v>
      </c>
      <c r="H109" s="1376">
        <f t="shared" ca="1" si="6"/>
        <v>15.521709364945291</v>
      </c>
      <c r="I109" s="1375">
        <f>F4A!J107</f>
        <v>2.4537432050998152E-3</v>
      </c>
      <c r="J109" s="1376">
        <f t="shared" ca="1" si="7"/>
        <v>26.682307438448824</v>
      </c>
    </row>
    <row r="110" spans="2:10">
      <c r="B110" s="1378" t="s">
        <v>1129</v>
      </c>
      <c r="C110" s="1373">
        <f>F4A!D108</f>
        <v>0</v>
      </c>
      <c r="D110" s="1374">
        <f t="shared" si="4"/>
        <v>0</v>
      </c>
      <c r="E110" s="1375">
        <f>F4A!F108</f>
        <v>5.7252219448031077E-5</v>
      </c>
      <c r="F110" s="1376">
        <f t="shared" ca="1" si="5"/>
        <v>0.422812548044466</v>
      </c>
      <c r="G110" s="1375">
        <f>F4A!H108</f>
        <v>1.4647714222189393E-4</v>
      </c>
      <c r="H110" s="1376">
        <f t="shared" ca="1" si="6"/>
        <v>0.96375976044047729</v>
      </c>
      <c r="I110" s="1375">
        <f>F4A!J108</f>
        <v>1.4808392388111752E-4</v>
      </c>
      <c r="J110" s="1376">
        <f t="shared" ca="1" si="7"/>
        <v>1.6102829242586127</v>
      </c>
    </row>
    <row r="111" spans="2:10">
      <c r="B111" s="1377" t="s">
        <v>1130</v>
      </c>
      <c r="C111" s="1373">
        <f>F4A!D109</f>
        <v>2.3543522340493367E-4</v>
      </c>
      <c r="D111" s="1374">
        <f t="shared" si="4"/>
        <v>1.5252155404008179</v>
      </c>
      <c r="E111" s="1375">
        <f>F4A!F109</f>
        <v>9.6749402515563902E-3</v>
      </c>
      <c r="F111" s="1376">
        <f t="shared" ca="1" si="5"/>
        <v>71.450263053150593</v>
      </c>
      <c r="G111" s="1375">
        <f>F4A!H109</f>
        <v>9.1314576794065336E-3</v>
      </c>
      <c r="H111" s="1376">
        <f t="shared" ca="1" si="6"/>
        <v>60.081261363261234</v>
      </c>
      <c r="I111" s="1375">
        <f>F4A!J109</f>
        <v>9.3203908721475534E-3</v>
      </c>
      <c r="J111" s="1376">
        <f t="shared" ca="1" si="7"/>
        <v>101.35108440862165</v>
      </c>
    </row>
    <row r="112" spans="2:10">
      <c r="B112" s="1369" t="s">
        <v>1425</v>
      </c>
      <c r="C112" s="1373">
        <f>F4A!D110</f>
        <v>5.4406579759720568E-2</v>
      </c>
      <c r="D112" s="1374">
        <f t="shared" si="4"/>
        <v>352.46111329254688</v>
      </c>
      <c r="E112" s="1375">
        <f>F4A!F110</f>
        <v>5.6567521254201635E-2</v>
      </c>
      <c r="F112" s="1376">
        <f t="shared" ca="1" si="5"/>
        <v>417.75599319357059</v>
      </c>
      <c r="G112" s="1375">
        <f>F4A!H110</f>
        <v>6.0498751930070108E-2</v>
      </c>
      <c r="H112" s="1376">
        <f t="shared" ca="1" si="6"/>
        <v>398.05707417984559</v>
      </c>
      <c r="I112" s="1375">
        <f>F4A!J110</f>
        <v>6.1112862691067721E-2</v>
      </c>
      <c r="J112" s="1376">
        <f t="shared" ca="1" si="7"/>
        <v>664.54883598972435</v>
      </c>
    </row>
    <row r="113" spans="2:10">
      <c r="B113" s="1369" t="s">
        <v>1446</v>
      </c>
      <c r="C113" s="1373">
        <f>F4A!D111</f>
        <v>0</v>
      </c>
      <c r="D113" s="1374">
        <f t="shared" si="4"/>
        <v>0</v>
      </c>
      <c r="E113" s="1375">
        <f>F4A!F111</f>
        <v>0</v>
      </c>
      <c r="F113" s="1376">
        <f t="shared" ca="1" si="5"/>
        <v>0</v>
      </c>
      <c r="G113" s="1375">
        <f>F4A!H111</f>
        <v>0</v>
      </c>
      <c r="H113" s="1376">
        <f t="shared" ca="1" si="6"/>
        <v>0</v>
      </c>
      <c r="I113" s="1375">
        <f>F4A!J111</f>
        <v>0</v>
      </c>
      <c r="J113" s="1376">
        <f t="shared" ca="1" si="7"/>
        <v>0</v>
      </c>
    </row>
    <row r="114" spans="2:10">
      <c r="B114" s="1367" t="s">
        <v>1133</v>
      </c>
      <c r="C114" s="1373">
        <f>F4A!D112</f>
        <v>0</v>
      </c>
      <c r="D114" s="1374">
        <f t="shared" si="4"/>
        <v>0</v>
      </c>
      <c r="E114" s="1375">
        <f>F4A!F112</f>
        <v>0</v>
      </c>
      <c r="F114" s="1376">
        <f t="shared" ca="1" si="5"/>
        <v>0</v>
      </c>
      <c r="G114" s="1375">
        <f>F4A!H112</f>
        <v>0</v>
      </c>
      <c r="H114" s="1376">
        <f t="shared" ca="1" si="6"/>
        <v>0</v>
      </c>
      <c r="I114" s="1375">
        <f>F4A!J112</f>
        <v>0</v>
      </c>
      <c r="J114" s="1376">
        <f t="shared" ca="1" si="7"/>
        <v>0</v>
      </c>
    </row>
    <row r="115" spans="2:10">
      <c r="B115" s="1378" t="s">
        <v>1415</v>
      </c>
      <c r="C115" s="1373">
        <f>F4A!D113</f>
        <v>0</v>
      </c>
      <c r="D115" s="1374">
        <f t="shared" si="4"/>
        <v>0</v>
      </c>
      <c r="E115" s="1375">
        <f>F4A!F113</f>
        <v>1.1348175172250881E-3</v>
      </c>
      <c r="F115" s="1376">
        <f t="shared" ca="1" si="5"/>
        <v>8.3807246365177406</v>
      </c>
      <c r="G115" s="1375">
        <f>F4A!H113</f>
        <v>3.5668999963372767E-4</v>
      </c>
      <c r="H115" s="1376">
        <f t="shared" ca="1" si="6"/>
        <v>2.3468744910230299</v>
      </c>
      <c r="I115" s="1375">
        <f>F4A!J113</f>
        <v>3.4673337707860201E-4</v>
      </c>
      <c r="J115" s="1376">
        <f t="shared" ca="1" si="7"/>
        <v>3.7704216754036892</v>
      </c>
    </row>
    <row r="116" spans="2:10">
      <c r="B116" s="1378" t="s">
        <v>1134</v>
      </c>
      <c r="C116" s="1373">
        <f>F4A!D114</f>
        <v>0</v>
      </c>
      <c r="D116" s="1374">
        <f t="shared" si="4"/>
        <v>0</v>
      </c>
      <c r="E116" s="1375">
        <f>F4A!F114</f>
        <v>0</v>
      </c>
      <c r="F116" s="1376">
        <f t="shared" ca="1" si="5"/>
        <v>0</v>
      </c>
      <c r="G116" s="1375">
        <f>F4A!H114</f>
        <v>0</v>
      </c>
      <c r="H116" s="1376">
        <f t="shared" ca="1" si="6"/>
        <v>0</v>
      </c>
      <c r="I116" s="1375">
        <f>F4A!J114</f>
        <v>0</v>
      </c>
      <c r="J116" s="1376">
        <f t="shared" ca="1" si="7"/>
        <v>0</v>
      </c>
    </row>
    <row r="117" spans="2:10">
      <c r="B117" s="1378" t="s">
        <v>1135</v>
      </c>
      <c r="C117" s="1373">
        <f>F4A!D115</f>
        <v>0</v>
      </c>
      <c r="D117" s="1374">
        <f t="shared" si="4"/>
        <v>0</v>
      </c>
      <c r="E117" s="1375">
        <f>F4A!F115</f>
        <v>0</v>
      </c>
      <c r="F117" s="1376">
        <f t="shared" ca="1" si="5"/>
        <v>0</v>
      </c>
      <c r="G117" s="1375">
        <f>F4A!H115</f>
        <v>0</v>
      </c>
      <c r="H117" s="1376">
        <f t="shared" ca="1" si="6"/>
        <v>0</v>
      </c>
      <c r="I117" s="1375">
        <f>F4A!J115</f>
        <v>0</v>
      </c>
      <c r="J117" s="1376">
        <f t="shared" ca="1" si="7"/>
        <v>0</v>
      </c>
    </row>
    <row r="118" spans="2:10">
      <c r="B118" s="1369" t="s">
        <v>1425</v>
      </c>
      <c r="C118" s="1373">
        <f>F4A!D116</f>
        <v>0</v>
      </c>
      <c r="D118" s="1374">
        <f t="shared" si="4"/>
        <v>0</v>
      </c>
      <c r="E118" s="1375">
        <f>F4A!F116</f>
        <v>1.1348175172250881E-3</v>
      </c>
      <c r="F118" s="1376">
        <f t="shared" ca="1" si="5"/>
        <v>8.3807246365177406</v>
      </c>
      <c r="G118" s="1375">
        <f>F4A!H116</f>
        <v>3.5668999963372767E-4</v>
      </c>
      <c r="H118" s="1376">
        <f t="shared" ca="1" si="6"/>
        <v>2.3468744910230299</v>
      </c>
      <c r="I118" s="1375">
        <f>F4A!J116</f>
        <v>3.4673337707860201E-4</v>
      </c>
      <c r="J118" s="1376">
        <f t="shared" ca="1" si="7"/>
        <v>3.7704216754036892</v>
      </c>
    </row>
    <row r="119" spans="2:10">
      <c r="B119" s="1369" t="s">
        <v>1446</v>
      </c>
      <c r="C119" s="1373">
        <f>F4A!D117</f>
        <v>0</v>
      </c>
      <c r="D119" s="1374">
        <f t="shared" si="4"/>
        <v>0</v>
      </c>
      <c r="E119" s="1375">
        <f>F4A!F117</f>
        <v>0</v>
      </c>
      <c r="F119" s="1376">
        <f t="shared" ca="1" si="5"/>
        <v>0</v>
      </c>
      <c r="G119" s="1375">
        <f>F4A!H117</f>
        <v>0</v>
      </c>
      <c r="H119" s="1376">
        <f t="shared" ca="1" si="6"/>
        <v>0</v>
      </c>
      <c r="I119" s="1375">
        <f>F4A!J117</f>
        <v>0</v>
      </c>
      <c r="J119" s="1376">
        <f t="shared" ca="1" si="7"/>
        <v>0</v>
      </c>
    </row>
    <row r="120" spans="2:10">
      <c r="B120" s="1367" t="s">
        <v>1137</v>
      </c>
      <c r="C120" s="1373">
        <f>F4A!D118</f>
        <v>0</v>
      </c>
      <c r="D120" s="1374">
        <f t="shared" si="4"/>
        <v>0</v>
      </c>
      <c r="E120" s="1375">
        <f>F4A!F118</f>
        <v>0</v>
      </c>
      <c r="F120" s="1376">
        <f t="shared" ca="1" si="5"/>
        <v>0</v>
      </c>
      <c r="G120" s="1375">
        <f>F4A!H118</f>
        <v>0</v>
      </c>
      <c r="H120" s="1376">
        <f t="shared" ca="1" si="6"/>
        <v>0</v>
      </c>
      <c r="I120" s="1375">
        <f>F4A!J118</f>
        <v>0</v>
      </c>
      <c r="J120" s="1376">
        <f t="shared" ca="1" si="7"/>
        <v>0</v>
      </c>
    </row>
    <row r="121" spans="2:10">
      <c r="B121" s="1378" t="s">
        <v>1138</v>
      </c>
      <c r="C121" s="1373">
        <f>F4A!D119</f>
        <v>1.0013530921858639E-2</v>
      </c>
      <c r="D121" s="1374">
        <f t="shared" si="4"/>
        <v>64.870467364327595</v>
      </c>
      <c r="E121" s="1375">
        <f>F4A!F119</f>
        <v>7.0793693362134757E-3</v>
      </c>
      <c r="F121" s="1376">
        <f t="shared" ca="1" si="5"/>
        <v>52.281749361861962</v>
      </c>
      <c r="G121" s="1375">
        <f>F4A!H119</f>
        <v>7.1798555536318432E-3</v>
      </c>
      <c r="H121" s="1376">
        <f t="shared" ca="1" si="6"/>
        <v>47.24051659803051</v>
      </c>
      <c r="I121" s="1375">
        <f>F4A!J119</f>
        <v>7.0492318855581498E-3</v>
      </c>
      <c r="J121" s="1376">
        <f t="shared" ca="1" si="7"/>
        <v>76.654220370109016</v>
      </c>
    </row>
    <row r="122" spans="2:10">
      <c r="B122" s="1378" t="s">
        <v>1139</v>
      </c>
      <c r="C122" s="1373">
        <f>F4A!D120</f>
        <v>1.2666415019185431E-2</v>
      </c>
      <c r="D122" s="1374">
        <f t="shared" si="4"/>
        <v>82.056596073564009</v>
      </c>
      <c r="E122" s="1375">
        <f>F4A!F120</f>
        <v>1.4660905468048078E-2</v>
      </c>
      <c r="F122" s="1376">
        <f t="shared" ca="1" si="5"/>
        <v>108.27204355302302</v>
      </c>
      <c r="G122" s="1375">
        <f>F4A!H120</f>
        <v>1.4869005775356015E-2</v>
      </c>
      <c r="H122" s="1376">
        <f t="shared" ca="1" si="6"/>
        <v>97.831984067089877</v>
      </c>
      <c r="I122" s="1375">
        <f>F4A!J120</f>
        <v>1.4598492801873775E-2</v>
      </c>
      <c r="J122" s="1376">
        <f t="shared" ca="1" si="7"/>
        <v>158.7458183350254</v>
      </c>
    </row>
    <row r="123" spans="2:10">
      <c r="B123" s="1378" t="s">
        <v>1140</v>
      </c>
      <c r="C123" s="1373">
        <f>F4A!D121</f>
        <v>0</v>
      </c>
      <c r="D123" s="1374">
        <f t="shared" si="4"/>
        <v>0</v>
      </c>
      <c r="E123" s="1375">
        <f>F4A!F121</f>
        <v>0</v>
      </c>
      <c r="F123" s="1376">
        <f t="shared" ca="1" si="5"/>
        <v>0</v>
      </c>
      <c r="G123" s="1375">
        <f>F4A!H121</f>
        <v>0</v>
      </c>
      <c r="H123" s="1376">
        <f t="shared" ca="1" si="6"/>
        <v>0</v>
      </c>
      <c r="I123" s="1375">
        <f>F4A!J121</f>
        <v>0</v>
      </c>
      <c r="J123" s="1376">
        <f t="shared" ca="1" si="7"/>
        <v>0</v>
      </c>
    </row>
    <row r="124" spans="2:10">
      <c r="B124" s="1369" t="s">
        <v>1425</v>
      </c>
      <c r="C124" s="1373">
        <f>F4A!D122</f>
        <v>2.2679945941044069E-2</v>
      </c>
      <c r="D124" s="1374">
        <f t="shared" si="4"/>
        <v>146.92706343789158</v>
      </c>
      <c r="E124" s="1375">
        <f>F4A!F122</f>
        <v>2.1740274804261554E-2</v>
      </c>
      <c r="F124" s="1376">
        <f t="shared" ca="1" si="5"/>
        <v>160.55379291488498</v>
      </c>
      <c r="G124" s="1375">
        <f>F4A!H122</f>
        <v>2.2048861328987857E-2</v>
      </c>
      <c r="H124" s="1376">
        <f t="shared" ca="1" si="6"/>
        <v>145.07250066512037</v>
      </c>
      <c r="I124" s="1375">
        <f>F4A!J122</f>
        <v>2.1647724687431924E-2</v>
      </c>
      <c r="J124" s="1376">
        <f t="shared" ca="1" si="7"/>
        <v>235.40003870513439</v>
      </c>
    </row>
    <row r="125" spans="2:10">
      <c r="B125" s="1369" t="s">
        <v>1446</v>
      </c>
      <c r="C125" s="1373">
        <f>F4A!D123</f>
        <v>0</v>
      </c>
      <c r="D125" s="1374">
        <f t="shared" si="4"/>
        <v>0</v>
      </c>
      <c r="E125" s="1375">
        <f>F4A!F123</f>
        <v>0</v>
      </c>
      <c r="F125" s="1376">
        <f t="shared" ca="1" si="5"/>
        <v>0</v>
      </c>
      <c r="G125" s="1375">
        <f>F4A!H123</f>
        <v>0</v>
      </c>
      <c r="H125" s="1376">
        <f t="shared" ca="1" si="6"/>
        <v>0</v>
      </c>
      <c r="I125" s="1375">
        <f>F4A!J123</f>
        <v>0</v>
      </c>
      <c r="J125" s="1376">
        <f t="shared" ca="1" si="7"/>
        <v>0</v>
      </c>
    </row>
    <row r="126" spans="2:10">
      <c r="B126" s="1367" t="s">
        <v>1143</v>
      </c>
      <c r="C126" s="1373">
        <f>F4A!D124</f>
        <v>0</v>
      </c>
      <c r="D126" s="1374">
        <f t="shared" si="4"/>
        <v>0</v>
      </c>
      <c r="E126" s="1375">
        <f>F4A!F124</f>
        <v>0</v>
      </c>
      <c r="F126" s="1376">
        <f t="shared" ca="1" si="5"/>
        <v>0</v>
      </c>
      <c r="G126" s="1375">
        <f>F4A!H124</f>
        <v>0</v>
      </c>
      <c r="H126" s="1376">
        <f t="shared" ca="1" si="6"/>
        <v>0</v>
      </c>
      <c r="I126" s="1375">
        <f>F4A!J124</f>
        <v>0</v>
      </c>
      <c r="J126" s="1376">
        <f t="shared" ca="1" si="7"/>
        <v>0</v>
      </c>
    </row>
    <row r="127" spans="2:10">
      <c r="B127" s="1367" t="s">
        <v>1434</v>
      </c>
      <c r="C127" s="1373">
        <f>F4A!D125</f>
        <v>0</v>
      </c>
      <c r="D127" s="1374">
        <f t="shared" si="4"/>
        <v>0</v>
      </c>
      <c r="E127" s="1375">
        <f>F4A!F125</f>
        <v>1.2824679779068523E-4</v>
      </c>
      <c r="F127" s="1376">
        <f t="shared" ca="1" si="5"/>
        <v>0.94711359446324161</v>
      </c>
      <c r="G127" s="1375">
        <f>F4A!H125</f>
        <v>1.2751682618841945E-4</v>
      </c>
      <c r="H127" s="1376">
        <f t="shared" ca="1" si="6"/>
        <v>0.83900862616032057</v>
      </c>
      <c r="I127" s="1375">
        <f>F4A!J125</f>
        <v>1.2395732940104274E-4</v>
      </c>
      <c r="J127" s="1376">
        <f t="shared" ca="1" si="7"/>
        <v>1.3479273484908745</v>
      </c>
    </row>
    <row r="128" spans="2:10">
      <c r="B128" s="1377" t="s">
        <v>126</v>
      </c>
      <c r="C128" s="1373">
        <f>F4A!D126</f>
        <v>1</v>
      </c>
      <c r="D128" s="1374">
        <f t="shared" si="4"/>
        <v>6478.2810250000011</v>
      </c>
      <c r="E128" s="1375">
        <f>F4A!F126</f>
        <v>1</v>
      </c>
      <c r="F128" s="1376">
        <f t="shared" ca="1" si="5"/>
        <v>7385.085715816851</v>
      </c>
      <c r="G128" s="1375">
        <f>F4A!H126</f>
        <v>1</v>
      </c>
      <c r="H128" s="1376">
        <f t="shared" ca="1" si="6"/>
        <v>6579.5915036388806</v>
      </c>
      <c r="I128" s="1375">
        <f>F4A!J126</f>
        <v>1</v>
      </c>
      <c r="J128" s="1376">
        <f t="shared" ca="1" si="7"/>
        <v>10874.123821511885</v>
      </c>
    </row>
    <row r="129" spans="2:2">
      <c r="B129" s="1369" t="s">
        <v>1446</v>
      </c>
    </row>
  </sheetData>
  <mergeCells count="14">
    <mergeCell ref="I6:J6"/>
    <mergeCell ref="C6:D6"/>
    <mergeCell ref="E6:F6"/>
    <mergeCell ref="G6:H6"/>
    <mergeCell ref="A5:A8"/>
    <mergeCell ref="B5:B8"/>
    <mergeCell ref="E5:F5"/>
    <mergeCell ref="C7:D7"/>
    <mergeCell ref="E7:F7"/>
    <mergeCell ref="G5:H5"/>
    <mergeCell ref="C5:D5"/>
    <mergeCell ref="G7:H7"/>
    <mergeCell ref="I7:J7"/>
    <mergeCell ref="I5:J5"/>
  </mergeCells>
  <printOptions horizontalCentered="1"/>
  <pageMargins left="0.19685039370078741" right="0.19685039370078741" top="0.19685039370078741" bottom="0.19685039370078741" header="0.19685039370078741" footer="0.19685039370078741"/>
  <pageSetup paperSize="9" scale="56" orientation="portrait" r:id="rId1"/>
  <rowBreaks count="1" manualBreakCount="1">
    <brk id="84" min="1" max="9" man="1"/>
  </rowBreaks>
  <ignoredErrors>
    <ignoredError sqref="C13" evalError="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view="pageBreakPreview" topLeftCell="A10" zoomScale="60" zoomScaleNormal="100" workbookViewId="0">
      <selection activeCell="C105" sqref="C105"/>
    </sheetView>
  </sheetViews>
  <sheetFormatPr defaultColWidth="8.7265625" defaultRowHeight="14.5"/>
  <cols>
    <col min="1" max="1" width="8.7265625" style="2665"/>
    <col min="2" max="2" width="26.7265625" style="2665" customWidth="1"/>
    <col min="3" max="3" width="7.7265625" style="2665" bestFit="1" customWidth="1"/>
    <col min="4" max="16384" width="8.7265625" style="2665"/>
  </cols>
  <sheetData>
    <row r="1" spans="1:12">
      <c r="A1" s="2991" t="s">
        <v>2877</v>
      </c>
      <c r="B1" s="2991"/>
      <c r="C1" s="2690"/>
      <c r="D1" s="2690"/>
      <c r="E1" s="2690"/>
      <c r="F1" s="2690"/>
      <c r="G1" s="2690"/>
      <c r="H1" s="2690"/>
      <c r="I1" s="2690"/>
      <c r="J1" s="2690"/>
    </row>
    <row r="2" spans="1:12">
      <c r="A2" s="2993" t="s">
        <v>2256</v>
      </c>
      <c r="B2" s="2993"/>
      <c r="C2" s="2993"/>
      <c r="D2" s="2993"/>
      <c r="E2" s="2993"/>
      <c r="F2" s="2993"/>
      <c r="G2" s="2993"/>
      <c r="H2" s="2993"/>
      <c r="I2" s="2652"/>
      <c r="J2" s="2652"/>
    </row>
    <row r="3" spans="1:12">
      <c r="A3" s="304" t="s">
        <v>2878</v>
      </c>
      <c r="B3" s="304"/>
      <c r="C3" s="304"/>
      <c r="D3" s="304"/>
      <c r="E3" s="304"/>
      <c r="F3" s="304"/>
      <c r="G3" s="3060"/>
      <c r="H3" s="3060"/>
      <c r="I3" s="3060"/>
      <c r="J3" s="3060"/>
    </row>
    <row r="4" spans="1:12">
      <c r="A4" s="1321"/>
      <c r="B4" s="2691"/>
      <c r="C4" s="2690"/>
      <c r="D4" s="2690"/>
      <c r="E4" s="2690"/>
      <c r="F4" s="2690"/>
      <c r="G4" s="1321"/>
      <c r="H4" s="1321"/>
      <c r="I4" s="1321"/>
      <c r="J4" s="1321"/>
    </row>
    <row r="5" spans="1:12" ht="20.149999999999999" customHeight="1">
      <c r="A5" s="3029" t="s">
        <v>12</v>
      </c>
      <c r="B5" s="3535" t="s">
        <v>2879</v>
      </c>
      <c r="C5" s="3538" t="s">
        <v>2880</v>
      </c>
      <c r="D5" s="3539"/>
      <c r="E5" s="3539"/>
      <c r="F5" s="3539"/>
      <c r="G5" s="3539"/>
      <c r="H5" s="3539"/>
      <c r="I5" s="3539"/>
      <c r="J5" s="3539"/>
      <c r="K5" s="3539"/>
      <c r="L5" s="3539"/>
    </row>
    <row r="6" spans="1:12">
      <c r="A6" s="3030" t="s">
        <v>2881</v>
      </c>
      <c r="B6" s="3536"/>
      <c r="C6" s="3540" t="s">
        <v>885</v>
      </c>
      <c r="D6" s="3540"/>
      <c r="E6" s="3540" t="s">
        <v>2882</v>
      </c>
      <c r="F6" s="3540"/>
      <c r="G6" s="3540" t="s">
        <v>2882</v>
      </c>
      <c r="H6" s="3540"/>
      <c r="I6" s="3540" t="s">
        <v>2882</v>
      </c>
      <c r="J6" s="3540"/>
      <c r="K6" s="3540" t="s">
        <v>568</v>
      </c>
      <c r="L6" s="3540"/>
    </row>
    <row r="7" spans="1:12">
      <c r="A7" s="3030"/>
      <c r="B7" s="3536"/>
      <c r="C7" s="3540" t="s">
        <v>556</v>
      </c>
      <c r="D7" s="3540"/>
      <c r="E7" s="3540" t="s">
        <v>555</v>
      </c>
      <c r="F7" s="3540"/>
      <c r="G7" s="3540" t="s">
        <v>553</v>
      </c>
      <c r="H7" s="3540"/>
      <c r="I7" s="3540" t="s">
        <v>551</v>
      </c>
      <c r="J7" s="3540"/>
      <c r="K7" s="3540" t="s">
        <v>545</v>
      </c>
      <c r="L7" s="3540"/>
    </row>
    <row r="8" spans="1:12" ht="43.5">
      <c r="A8" s="3089"/>
      <c r="B8" s="3537"/>
      <c r="C8" s="2666" t="s">
        <v>2883</v>
      </c>
      <c r="D8" s="2666" t="s">
        <v>2884</v>
      </c>
      <c r="E8" s="2666" t="s">
        <v>2883</v>
      </c>
      <c r="F8" s="2666" t="s">
        <v>2884</v>
      </c>
      <c r="G8" s="2666" t="s">
        <v>2883</v>
      </c>
      <c r="H8" s="2666" t="s">
        <v>2884</v>
      </c>
      <c r="I8" s="2666" t="s">
        <v>2883</v>
      </c>
      <c r="J8" s="2666" t="s">
        <v>2884</v>
      </c>
      <c r="K8" s="2666" t="s">
        <v>2883</v>
      </c>
      <c r="L8" s="2666" t="s">
        <v>2884</v>
      </c>
    </row>
    <row r="9" spans="1:12" ht="29">
      <c r="A9" s="2692">
        <v>1</v>
      </c>
      <c r="B9" s="2693" t="s">
        <v>2885</v>
      </c>
      <c r="C9" s="3541" t="s">
        <v>2886</v>
      </c>
      <c r="D9" s="3542"/>
      <c r="E9" s="2694"/>
      <c r="F9" s="2694"/>
      <c r="G9" s="2695"/>
      <c r="H9" s="2695"/>
      <c r="I9" s="2696"/>
      <c r="J9" s="2696"/>
      <c r="K9" s="2696"/>
      <c r="L9" s="2696"/>
    </row>
    <row r="10" spans="1:12" ht="116">
      <c r="A10" s="2692"/>
      <c r="B10" s="2697" t="s">
        <v>2887</v>
      </c>
      <c r="C10" s="3543"/>
      <c r="D10" s="3544"/>
      <c r="E10" s="1044">
        <v>11761</v>
      </c>
      <c r="F10" s="1044">
        <v>3312</v>
      </c>
      <c r="G10" s="8">
        <v>38452</v>
      </c>
      <c r="H10" s="29">
        <v>21548</v>
      </c>
      <c r="I10" s="2698">
        <v>108532</v>
      </c>
      <c r="J10" s="2698">
        <v>33956</v>
      </c>
      <c r="K10" s="2698">
        <v>94852</v>
      </c>
      <c r="L10" s="2698">
        <v>34492</v>
      </c>
    </row>
    <row r="11" spans="1:12" ht="29">
      <c r="A11" s="2692">
        <v>2</v>
      </c>
      <c r="B11" s="2693" t="s">
        <v>2888</v>
      </c>
      <c r="C11" s="3543"/>
      <c r="D11" s="3544"/>
      <c r="E11" s="1044"/>
      <c r="F11" s="1044"/>
      <c r="G11" s="8"/>
      <c r="H11" s="29"/>
      <c r="I11" s="2698"/>
      <c r="J11" s="2698"/>
      <c r="K11" s="2698"/>
      <c r="L11" s="2698"/>
    </row>
    <row r="12" spans="1:12" ht="145">
      <c r="A12" s="2692"/>
      <c r="B12" s="2697" t="s">
        <v>2889</v>
      </c>
      <c r="C12" s="3543"/>
      <c r="D12" s="3544"/>
      <c r="E12" s="1044">
        <v>58</v>
      </c>
      <c r="F12" s="1044">
        <v>151</v>
      </c>
      <c r="G12" s="8">
        <v>1273</v>
      </c>
      <c r="H12" s="29">
        <v>2883</v>
      </c>
      <c r="I12" s="2698">
        <v>4074</v>
      </c>
      <c r="J12" s="2698">
        <v>6603</v>
      </c>
      <c r="K12" s="2698">
        <v>6549</v>
      </c>
      <c r="L12" s="2698">
        <v>13379</v>
      </c>
    </row>
    <row r="13" spans="1:12">
      <c r="A13" s="2692">
        <v>3</v>
      </c>
      <c r="B13" s="2693" t="s">
        <v>2890</v>
      </c>
      <c r="C13" s="3543"/>
      <c r="D13" s="3544"/>
      <c r="E13" s="1044"/>
      <c r="F13" s="1044"/>
      <c r="G13" s="8"/>
      <c r="H13" s="29"/>
      <c r="I13" s="2698"/>
      <c r="J13" s="2698"/>
      <c r="K13" s="2698"/>
      <c r="L13" s="2698"/>
    </row>
    <row r="14" spans="1:12" ht="130.5">
      <c r="A14" s="2692"/>
      <c r="B14" s="2697" t="s">
        <v>2891</v>
      </c>
      <c r="C14" s="3543"/>
      <c r="D14" s="3544"/>
      <c r="E14" s="1044">
        <v>826</v>
      </c>
      <c r="F14" s="1044">
        <v>1315</v>
      </c>
      <c r="G14" s="8">
        <v>3641</v>
      </c>
      <c r="H14" s="29">
        <v>6993</v>
      </c>
      <c r="I14" s="2698">
        <v>8373</v>
      </c>
      <c r="J14" s="2698">
        <v>8124</v>
      </c>
      <c r="K14" s="2698">
        <v>5469</v>
      </c>
      <c r="L14" s="2698">
        <v>9924</v>
      </c>
    </row>
    <row r="15" spans="1:12">
      <c r="A15" s="2692"/>
      <c r="B15" s="2697"/>
      <c r="C15" s="3543"/>
      <c r="D15" s="3544"/>
      <c r="E15" s="2699"/>
      <c r="F15" s="2699"/>
      <c r="G15" s="13"/>
      <c r="H15" s="2695"/>
      <c r="I15" s="2696"/>
      <c r="J15" s="2696"/>
      <c r="K15" s="2696"/>
      <c r="L15" s="2696"/>
    </row>
    <row r="16" spans="1:12">
      <c r="A16" s="2692">
        <v>4</v>
      </c>
      <c r="B16" s="2693" t="s">
        <v>2892</v>
      </c>
      <c r="C16" s="3545"/>
      <c r="D16" s="3546"/>
      <c r="E16" s="1044">
        <v>28143</v>
      </c>
      <c r="F16" s="1044">
        <v>15944</v>
      </c>
      <c r="G16" s="8">
        <v>52800</v>
      </c>
      <c r="H16" s="29">
        <v>33868</v>
      </c>
      <c r="I16" s="2698">
        <v>91822</v>
      </c>
      <c r="J16" s="2698">
        <v>44340</v>
      </c>
      <c r="K16" s="2698">
        <v>107980</v>
      </c>
      <c r="L16" s="2698">
        <v>42331</v>
      </c>
    </row>
  </sheetData>
  <mergeCells count="17">
    <mergeCell ref="C9:D16"/>
    <mergeCell ref="K6:L6"/>
    <mergeCell ref="C7:D7"/>
    <mergeCell ref="E7:F7"/>
    <mergeCell ref="G7:H7"/>
    <mergeCell ref="I7:J7"/>
    <mergeCell ref="K7:L7"/>
    <mergeCell ref="A1:B1"/>
    <mergeCell ref="A2:H2"/>
    <mergeCell ref="G3:J3"/>
    <mergeCell ref="A5:A8"/>
    <mergeCell ref="B5:B8"/>
    <mergeCell ref="C5:L5"/>
    <mergeCell ref="C6:D6"/>
    <mergeCell ref="E6:F6"/>
    <mergeCell ref="G6:H6"/>
    <mergeCell ref="I6:J6"/>
  </mergeCells>
  <pageMargins left="0.7" right="0.7" top="0.75" bottom="0.75" header="0.3" footer="0.3"/>
  <pageSetup scale="74"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view="pageBreakPreview" topLeftCell="A2" zoomScale="60" zoomScaleNormal="100" workbookViewId="0">
      <selection activeCell="C105" sqref="C105"/>
    </sheetView>
  </sheetViews>
  <sheetFormatPr defaultColWidth="8.7265625" defaultRowHeight="14.5"/>
  <cols>
    <col min="1" max="1" width="8.7265625" style="2665"/>
    <col min="2" max="2" width="27" style="2665" bestFit="1" customWidth="1"/>
    <col min="3" max="10" width="7.1796875" style="2665" bestFit="1" customWidth="1"/>
    <col min="11" max="18" width="8.7265625" style="2665"/>
    <col min="19" max="19" width="13.7265625" style="2665" customWidth="1"/>
    <col min="20" max="16384" width="8.7265625" style="2665"/>
  </cols>
  <sheetData>
    <row r="1" spans="1:19">
      <c r="A1" s="2991" t="s">
        <v>2893</v>
      </c>
      <c r="B1" s="2991"/>
      <c r="C1" s="1321"/>
      <c r="D1" s="1321"/>
      <c r="E1" s="1321"/>
      <c r="F1" s="1321"/>
      <c r="G1" s="1321"/>
      <c r="H1" s="1321"/>
      <c r="I1" s="1321"/>
      <c r="J1" s="1321"/>
      <c r="K1" s="1321"/>
      <c r="L1" s="1321"/>
      <c r="M1" s="1321"/>
      <c r="N1" s="1321"/>
      <c r="O1" s="1321"/>
      <c r="P1" s="1321"/>
      <c r="Q1" s="1321"/>
      <c r="R1" s="1321"/>
      <c r="S1" s="1321"/>
    </row>
    <row r="2" spans="1:19">
      <c r="A2" s="715" t="s">
        <v>2256</v>
      </c>
      <c r="B2" s="2335"/>
      <c r="C2" s="2335"/>
      <c r="D2" s="2335"/>
      <c r="E2" s="2335"/>
      <c r="F2" s="2335"/>
      <c r="G2" s="2335"/>
      <c r="H2" s="2335"/>
      <c r="I2" s="2335"/>
      <c r="J2" s="2335"/>
      <c r="K2" s="2335"/>
      <c r="L2" s="2335"/>
      <c r="M2" s="2335"/>
      <c r="N2" s="2335"/>
      <c r="O2" s="2335"/>
      <c r="P2" s="2335"/>
      <c r="Q2" s="2335"/>
      <c r="R2" s="2335"/>
      <c r="S2" s="2335"/>
    </row>
    <row r="3" spans="1:19">
      <c r="A3" s="304" t="s">
        <v>2894</v>
      </c>
      <c r="B3" s="304"/>
      <c r="C3" s="304"/>
      <c r="D3" s="304"/>
      <c r="E3" s="304"/>
      <c r="F3" s="304"/>
      <c r="G3" s="304"/>
      <c r="H3" s="304"/>
      <c r="I3" s="304"/>
      <c r="J3" s="304"/>
      <c r="K3" s="304"/>
      <c r="L3" s="304"/>
      <c r="M3" s="304"/>
      <c r="N3" s="304"/>
      <c r="O3" s="304"/>
      <c r="P3" s="304"/>
      <c r="Q3" s="304"/>
      <c r="R3" s="304"/>
      <c r="S3" s="2661"/>
    </row>
    <row r="4" spans="1:19">
      <c r="A4" s="1321"/>
      <c r="B4" s="1321"/>
      <c r="C4" s="3549" t="s">
        <v>555</v>
      </c>
      <c r="D4" s="3549"/>
      <c r="E4" s="3549"/>
      <c r="F4" s="3549"/>
      <c r="G4" s="3549" t="s">
        <v>553</v>
      </c>
      <c r="H4" s="3549"/>
      <c r="I4" s="3549"/>
      <c r="J4" s="3549"/>
      <c r="K4" s="3549" t="s">
        <v>551</v>
      </c>
      <c r="L4" s="3549"/>
      <c r="M4" s="3549"/>
      <c r="N4" s="3549"/>
      <c r="O4" s="3549" t="s">
        <v>545</v>
      </c>
      <c r="P4" s="3549"/>
      <c r="Q4" s="3549"/>
      <c r="R4" s="3549"/>
      <c r="S4" s="2700"/>
    </row>
    <row r="5" spans="1:19" ht="33" customHeight="1">
      <c r="A5" s="3029" t="s">
        <v>106</v>
      </c>
      <c r="B5" s="2701" t="s">
        <v>14</v>
      </c>
      <c r="C5" s="3547" t="s">
        <v>2895</v>
      </c>
      <c r="D5" s="3548"/>
      <c r="E5" s="3547" t="s">
        <v>2896</v>
      </c>
      <c r="F5" s="3548"/>
      <c r="G5" s="3547" t="s">
        <v>2895</v>
      </c>
      <c r="H5" s="3548"/>
      <c r="I5" s="3547" t="s">
        <v>2896</v>
      </c>
      <c r="J5" s="3548"/>
      <c r="K5" s="3547" t="s">
        <v>2897</v>
      </c>
      <c r="L5" s="3548"/>
      <c r="M5" s="3547" t="s">
        <v>2898</v>
      </c>
      <c r="N5" s="3548"/>
      <c r="O5" s="3547" t="s">
        <v>2899</v>
      </c>
      <c r="P5" s="3548"/>
      <c r="Q5" s="3547" t="s">
        <v>2900</v>
      </c>
      <c r="R5" s="3548"/>
      <c r="S5" s="3029" t="s">
        <v>2901</v>
      </c>
    </row>
    <row r="6" spans="1:19" ht="15" customHeight="1">
      <c r="A6" s="3030"/>
      <c r="B6" s="2701" t="s">
        <v>2902</v>
      </c>
      <c r="C6" s="3550" t="s">
        <v>2903</v>
      </c>
      <c r="D6" s="3551"/>
      <c r="E6" s="3550" t="s">
        <v>2903</v>
      </c>
      <c r="F6" s="3551"/>
      <c r="G6" s="3550" t="s">
        <v>2903</v>
      </c>
      <c r="H6" s="3551"/>
      <c r="I6" s="3550" t="s">
        <v>2903</v>
      </c>
      <c r="J6" s="3551"/>
      <c r="K6" s="3550" t="s">
        <v>2903</v>
      </c>
      <c r="L6" s="3551"/>
      <c r="M6" s="3550" t="s">
        <v>2903</v>
      </c>
      <c r="N6" s="3551"/>
      <c r="O6" s="3550" t="s">
        <v>2903</v>
      </c>
      <c r="P6" s="3551"/>
      <c r="Q6" s="3550" t="s">
        <v>2903</v>
      </c>
      <c r="R6" s="3551"/>
      <c r="S6" s="3030"/>
    </row>
    <row r="7" spans="1:19" ht="30.75" customHeight="1">
      <c r="A7" s="3030"/>
      <c r="B7" s="2702" t="s">
        <v>2904</v>
      </c>
      <c r="C7" s="3552"/>
      <c r="D7" s="3553"/>
      <c r="E7" s="3552"/>
      <c r="F7" s="3553"/>
      <c r="G7" s="3552"/>
      <c r="H7" s="3553"/>
      <c r="I7" s="3552"/>
      <c r="J7" s="3553"/>
      <c r="K7" s="3552"/>
      <c r="L7" s="3553"/>
      <c r="M7" s="3552"/>
      <c r="N7" s="3553"/>
      <c r="O7" s="3552"/>
      <c r="P7" s="3553"/>
      <c r="Q7" s="3552"/>
      <c r="R7" s="3553"/>
      <c r="S7" s="3030"/>
    </row>
    <row r="8" spans="1:19">
      <c r="A8" s="3030"/>
      <c r="B8" s="2702" t="s">
        <v>2905</v>
      </c>
      <c r="C8" s="2703" t="s">
        <v>2906</v>
      </c>
      <c r="D8" s="2703" t="s">
        <v>2907</v>
      </c>
      <c r="E8" s="2703" t="s">
        <v>2906</v>
      </c>
      <c r="F8" s="2703" t="s">
        <v>2907</v>
      </c>
      <c r="G8" s="2703" t="s">
        <v>2906</v>
      </c>
      <c r="H8" s="2703" t="s">
        <v>2907</v>
      </c>
      <c r="I8" s="2703" t="s">
        <v>2906</v>
      </c>
      <c r="J8" s="2703" t="s">
        <v>2907</v>
      </c>
      <c r="K8" s="2703" t="s">
        <v>2906</v>
      </c>
      <c r="L8" s="2703" t="s">
        <v>2907</v>
      </c>
      <c r="M8" s="2703" t="s">
        <v>2906</v>
      </c>
      <c r="N8" s="2703" t="s">
        <v>2907</v>
      </c>
      <c r="O8" s="2703" t="s">
        <v>2906</v>
      </c>
      <c r="P8" s="2703" t="s">
        <v>2907</v>
      </c>
      <c r="Q8" s="2703" t="s">
        <v>2906</v>
      </c>
      <c r="R8" s="2703" t="s">
        <v>2907</v>
      </c>
      <c r="S8" s="3030"/>
    </row>
    <row r="9" spans="1:19">
      <c r="A9" s="3089"/>
      <c r="B9" s="2704" t="s">
        <v>2908</v>
      </c>
      <c r="C9" s="2703" t="s">
        <v>2909</v>
      </c>
      <c r="D9" s="2703" t="s">
        <v>2910</v>
      </c>
      <c r="E9" s="2703" t="s">
        <v>2909</v>
      </c>
      <c r="F9" s="2703" t="s">
        <v>2910</v>
      </c>
      <c r="G9" s="2703" t="s">
        <v>2909</v>
      </c>
      <c r="H9" s="2703" t="s">
        <v>2910</v>
      </c>
      <c r="I9" s="2703" t="s">
        <v>2909</v>
      </c>
      <c r="J9" s="2703" t="s">
        <v>2910</v>
      </c>
      <c r="K9" s="2703" t="s">
        <v>2909</v>
      </c>
      <c r="L9" s="2703" t="s">
        <v>2910</v>
      </c>
      <c r="M9" s="2703" t="s">
        <v>2909</v>
      </c>
      <c r="N9" s="2703" t="s">
        <v>2910</v>
      </c>
      <c r="O9" s="2703" t="s">
        <v>2909</v>
      </c>
      <c r="P9" s="2703" t="s">
        <v>2910</v>
      </c>
      <c r="Q9" s="2703" t="s">
        <v>2909</v>
      </c>
      <c r="R9" s="2703" t="s">
        <v>2910</v>
      </c>
      <c r="S9" s="3089"/>
    </row>
    <row r="10" spans="1:19">
      <c r="A10" s="263"/>
      <c r="B10" s="263"/>
      <c r="C10" s="263"/>
      <c r="D10" s="263"/>
      <c r="E10" s="263"/>
      <c r="F10" s="263"/>
      <c r="G10" s="263"/>
      <c r="H10" s="263"/>
      <c r="I10" s="263"/>
      <c r="J10" s="263"/>
      <c r="K10" s="263"/>
      <c r="L10" s="263"/>
      <c r="M10" s="311"/>
      <c r="N10" s="311"/>
      <c r="O10" s="311"/>
      <c r="P10" s="311"/>
      <c r="Q10" s="311"/>
      <c r="R10" s="311"/>
      <c r="S10" s="263"/>
    </row>
    <row r="11" spans="1:19">
      <c r="A11" s="253">
        <v>1</v>
      </c>
      <c r="B11" s="263" t="s">
        <v>2911</v>
      </c>
      <c r="C11" s="2705">
        <v>5.7599999999999998E-2</v>
      </c>
      <c r="D11" s="2705">
        <v>1.6E-2</v>
      </c>
      <c r="E11" s="2705">
        <v>0.03</v>
      </c>
      <c r="F11" s="2705">
        <v>1.6E-2</v>
      </c>
      <c r="G11" s="2705">
        <v>5.1999999999999998E-2</v>
      </c>
      <c r="H11" s="2705">
        <v>1.2999999999999999E-2</v>
      </c>
      <c r="I11" s="2705">
        <v>2.5000000000000001E-2</v>
      </c>
      <c r="J11" s="2705">
        <v>1.4E-2</v>
      </c>
      <c r="K11" s="2705">
        <v>0.04</v>
      </c>
      <c r="L11" s="2705">
        <v>1.2E-2</v>
      </c>
      <c r="M11" s="2705">
        <v>0.02</v>
      </c>
      <c r="N11" s="2705">
        <v>1.2E-2</v>
      </c>
      <c r="O11" s="2705"/>
      <c r="P11" s="2705"/>
      <c r="Q11" s="2705"/>
      <c r="R11" s="2705"/>
      <c r="S11" s="263"/>
    </row>
    <row r="12" spans="1:19">
      <c r="A12" s="253">
        <v>2</v>
      </c>
      <c r="B12" s="263" t="s">
        <v>2912</v>
      </c>
      <c r="C12" s="2705">
        <v>9.7600000000000006E-2</v>
      </c>
      <c r="D12" s="2705">
        <v>6.25E-2</v>
      </c>
      <c r="E12" s="2705">
        <v>9.5500000000000002E-2</v>
      </c>
      <c r="F12" s="2705">
        <v>5.7200000000000001E-2</v>
      </c>
      <c r="G12" s="2705">
        <v>9.5899999999999999E-2</v>
      </c>
      <c r="H12" s="2705">
        <v>6.0600000000000001E-2</v>
      </c>
      <c r="I12" s="2705">
        <v>9.7600000000000006E-2</v>
      </c>
      <c r="J12" s="2705">
        <v>4.7399999999999998E-2</v>
      </c>
      <c r="K12" s="2705">
        <v>7.8100000000000003E-2</v>
      </c>
      <c r="L12" s="2705">
        <v>4.0899999999999999E-2</v>
      </c>
      <c r="M12" s="2705">
        <v>7.1599999999999997E-2</v>
      </c>
      <c r="N12" s="2705">
        <v>3.95E-2</v>
      </c>
      <c r="O12" s="2705"/>
      <c r="P12" s="2705"/>
      <c r="Q12" s="2705"/>
      <c r="R12" s="2705"/>
      <c r="S12" s="263"/>
    </row>
    <row r="13" spans="1:19">
      <c r="A13" s="253">
        <v>3</v>
      </c>
      <c r="B13" s="263" t="s">
        <v>2913</v>
      </c>
      <c r="C13" s="1190">
        <v>6.5000000000000002E-2</v>
      </c>
      <c r="D13" s="1190">
        <v>4.19E-2</v>
      </c>
      <c r="E13" s="1190">
        <v>4.9799999999999997E-2</v>
      </c>
      <c r="F13" s="1190">
        <v>2.86E-2</v>
      </c>
      <c r="G13" s="1190">
        <v>4.0300000000000002E-2</v>
      </c>
      <c r="H13" s="1190">
        <v>2.4299999999999999E-2</v>
      </c>
      <c r="I13" s="1190">
        <v>3.4200000000000001E-2</v>
      </c>
      <c r="J13" s="1190">
        <v>2.01E-2</v>
      </c>
      <c r="K13" s="1190">
        <v>2.76E-2</v>
      </c>
      <c r="L13" s="1190">
        <v>1.2999999999999999E-2</v>
      </c>
      <c r="M13" s="1190">
        <v>2.52E-2</v>
      </c>
      <c r="N13" s="1190">
        <v>1.2699999999999999E-2</v>
      </c>
      <c r="O13" s="1190"/>
      <c r="P13" s="1190"/>
      <c r="Q13" s="1190"/>
      <c r="R13" s="1190"/>
      <c r="S13" s="263"/>
    </row>
    <row r="14" spans="1:19">
      <c r="A14" s="253">
        <v>4</v>
      </c>
      <c r="B14" s="263" t="s">
        <v>2914</v>
      </c>
      <c r="C14" s="1190">
        <v>0.20960000000000001</v>
      </c>
      <c r="D14" s="1190">
        <v>0.18590000000000001</v>
      </c>
      <c r="E14" s="1190">
        <v>0.17111052631578899</v>
      </c>
      <c r="F14" s="1190">
        <v>0.17634920634920601</v>
      </c>
      <c r="G14" s="1190">
        <v>0.203517073170732</v>
      </c>
      <c r="H14" s="1190">
        <v>0.19813235294117601</v>
      </c>
      <c r="I14" s="1190">
        <v>0.16820487804878001</v>
      </c>
      <c r="J14" s="1190">
        <v>0.17915686274509801</v>
      </c>
      <c r="K14" s="1190">
        <v>0.16979854368931999</v>
      </c>
      <c r="L14" s="1190">
        <v>0.18936097560975601</v>
      </c>
      <c r="M14" s="1190">
        <v>0.145490291262136</v>
      </c>
      <c r="N14" s="1190">
        <v>0.17170588235294101</v>
      </c>
      <c r="O14" s="1190"/>
      <c r="P14" s="1190"/>
      <c r="Q14" s="1190"/>
      <c r="R14" s="1190"/>
      <c r="S14" s="263"/>
    </row>
    <row r="15" spans="1:19">
      <c r="A15" s="253">
        <v>5</v>
      </c>
      <c r="B15" s="263" t="s">
        <v>2915</v>
      </c>
      <c r="C15" s="2705"/>
      <c r="D15" s="2705"/>
      <c r="E15" s="2705"/>
      <c r="F15" s="2705"/>
      <c r="G15" s="2705"/>
      <c r="H15" s="2705"/>
      <c r="I15" s="2705"/>
      <c r="J15" s="2705"/>
      <c r="K15" s="2705">
        <v>2.4281250000000004E-2</v>
      </c>
      <c r="L15" s="2705">
        <v>1.5483870967741939E-2</v>
      </c>
      <c r="M15" s="2705">
        <v>2.0322580645161292E-2</v>
      </c>
      <c r="N15" s="2705">
        <v>2.0322580645161297E-4</v>
      </c>
      <c r="O15" s="2705"/>
      <c r="P15" s="2705"/>
      <c r="Q15" s="2705"/>
      <c r="R15" s="2705"/>
      <c r="S15" s="263"/>
    </row>
    <row r="16" spans="1:19">
      <c r="A16" s="253">
        <v>6</v>
      </c>
      <c r="B16" s="263" t="s">
        <v>2916</v>
      </c>
      <c r="C16" s="2706">
        <v>0.17756929824561399</v>
      </c>
      <c r="D16" s="2706">
        <v>4.3791666666666701E-2</v>
      </c>
      <c r="E16" s="2706">
        <v>8.2668726315789504E-2</v>
      </c>
      <c r="F16" s="2706">
        <v>0.14394807017543901</v>
      </c>
      <c r="G16" s="2706">
        <v>0.15079243943191301</v>
      </c>
      <c r="H16" s="2706">
        <v>3.43904761904762E-2</v>
      </c>
      <c r="I16" s="2706">
        <v>7.0011152882205496E-2</v>
      </c>
      <c r="J16" s="2706">
        <v>0.11334753550543</v>
      </c>
      <c r="K16" s="2706">
        <v>0.14289674185463699</v>
      </c>
      <c r="L16" s="2706">
        <v>3.3277293233082698E-2</v>
      </c>
      <c r="M16" s="2706">
        <v>0.11109227234753601</v>
      </c>
      <c r="N16" s="2706">
        <v>5.8746532999164602E-2</v>
      </c>
      <c r="O16" s="2706"/>
      <c r="P16" s="2706"/>
      <c r="Q16" s="2706"/>
      <c r="R16" s="2706"/>
      <c r="S16" s="263"/>
    </row>
    <row r="17" spans="1:19">
      <c r="A17" s="253">
        <v>7</v>
      </c>
      <c r="B17" s="263"/>
      <c r="C17" s="263"/>
      <c r="D17" s="263"/>
      <c r="E17" s="263"/>
      <c r="F17" s="263"/>
      <c r="G17" s="263"/>
      <c r="H17" s="263"/>
      <c r="I17" s="263"/>
      <c r="J17" s="263"/>
      <c r="K17" s="263"/>
      <c r="L17" s="263"/>
      <c r="M17" s="311"/>
      <c r="N17" s="311"/>
      <c r="O17" s="311"/>
      <c r="P17" s="311"/>
      <c r="Q17" s="311"/>
      <c r="R17" s="311"/>
      <c r="S17" s="263"/>
    </row>
    <row r="18" spans="1:19">
      <c r="A18" s="253">
        <v>8</v>
      </c>
      <c r="B18" s="263"/>
      <c r="C18" s="263"/>
      <c r="D18" s="263"/>
      <c r="E18" s="263"/>
      <c r="F18" s="263"/>
      <c r="G18" s="263"/>
      <c r="H18" s="263"/>
      <c r="I18" s="263"/>
      <c r="J18" s="263"/>
      <c r="K18" s="263"/>
      <c r="L18" s="263"/>
      <c r="M18" s="311"/>
      <c r="N18" s="311"/>
      <c r="O18" s="311"/>
      <c r="P18" s="311"/>
      <c r="Q18" s="311"/>
      <c r="R18" s="311"/>
      <c r="S18" s="263"/>
    </row>
    <row r="19" spans="1:19">
      <c r="A19" s="253">
        <v>9</v>
      </c>
      <c r="B19" s="263"/>
      <c r="C19" s="263"/>
      <c r="D19" s="263"/>
      <c r="E19" s="263"/>
      <c r="F19" s="263"/>
      <c r="G19" s="263"/>
      <c r="H19" s="263"/>
      <c r="I19" s="263"/>
      <c r="J19" s="263"/>
      <c r="K19" s="263"/>
      <c r="L19" s="263"/>
      <c r="M19" s="311"/>
      <c r="N19" s="311"/>
      <c r="O19" s="311"/>
      <c r="P19" s="311"/>
      <c r="Q19" s="311"/>
      <c r="R19" s="311"/>
      <c r="S19" s="263"/>
    </row>
    <row r="20" spans="1:19">
      <c r="A20" s="253">
        <v>10</v>
      </c>
      <c r="B20" s="263"/>
      <c r="C20" s="263"/>
      <c r="D20" s="263"/>
      <c r="E20" s="263"/>
      <c r="F20" s="263"/>
      <c r="G20" s="263"/>
      <c r="H20" s="263"/>
      <c r="I20" s="263"/>
      <c r="J20" s="263"/>
      <c r="K20" s="263"/>
      <c r="L20" s="263"/>
      <c r="M20" s="311"/>
      <c r="N20" s="311"/>
      <c r="O20" s="311"/>
      <c r="P20" s="311"/>
      <c r="Q20" s="311"/>
      <c r="R20" s="311"/>
      <c r="S20" s="263"/>
    </row>
    <row r="21" spans="1:19">
      <c r="A21" s="253">
        <v>11</v>
      </c>
      <c r="B21" s="263"/>
      <c r="C21" s="263"/>
      <c r="D21" s="263"/>
      <c r="E21" s="263"/>
      <c r="F21" s="263"/>
      <c r="G21" s="263"/>
      <c r="H21" s="263"/>
      <c r="I21" s="263"/>
      <c r="J21" s="263"/>
      <c r="K21" s="263"/>
      <c r="L21" s="263"/>
      <c r="M21" s="311"/>
      <c r="N21" s="311"/>
      <c r="O21" s="311"/>
      <c r="P21" s="311"/>
      <c r="Q21" s="311"/>
      <c r="R21" s="311"/>
      <c r="S21" s="263"/>
    </row>
    <row r="22" spans="1:19">
      <c r="A22" s="253">
        <v>12</v>
      </c>
      <c r="B22" s="263"/>
      <c r="C22" s="263"/>
      <c r="D22" s="263"/>
      <c r="E22" s="263"/>
      <c r="F22" s="263"/>
      <c r="G22" s="263"/>
      <c r="H22" s="263"/>
      <c r="I22" s="263"/>
      <c r="J22" s="263"/>
      <c r="K22" s="263"/>
      <c r="L22" s="263"/>
      <c r="M22" s="311"/>
      <c r="N22" s="311"/>
      <c r="O22" s="311"/>
      <c r="P22" s="311"/>
      <c r="Q22" s="311"/>
      <c r="R22" s="311"/>
      <c r="S22" s="263"/>
    </row>
    <row r="23" spans="1:19">
      <c r="A23" s="253">
        <v>13</v>
      </c>
      <c r="B23" s="263"/>
      <c r="C23" s="263"/>
      <c r="D23" s="263"/>
      <c r="E23" s="263"/>
      <c r="F23" s="263"/>
      <c r="G23" s="263"/>
      <c r="H23" s="263"/>
      <c r="I23" s="263"/>
      <c r="J23" s="263"/>
      <c r="K23" s="263"/>
      <c r="L23" s="263"/>
      <c r="M23" s="311"/>
      <c r="N23" s="311"/>
      <c r="O23" s="311"/>
      <c r="P23" s="311"/>
      <c r="Q23" s="311"/>
      <c r="R23" s="311"/>
      <c r="S23" s="263"/>
    </row>
    <row r="24" spans="1:19">
      <c r="A24" s="253">
        <v>14</v>
      </c>
      <c r="B24" s="263"/>
      <c r="C24" s="263"/>
      <c r="D24" s="263"/>
      <c r="E24" s="263"/>
      <c r="F24" s="263"/>
      <c r="G24" s="263"/>
      <c r="H24" s="263"/>
      <c r="I24" s="263"/>
      <c r="J24" s="263"/>
      <c r="K24" s="263"/>
      <c r="L24" s="263"/>
      <c r="M24" s="311"/>
      <c r="N24" s="311"/>
      <c r="O24" s="311"/>
      <c r="P24" s="311"/>
      <c r="Q24" s="311"/>
      <c r="R24" s="311"/>
      <c r="S24" s="263"/>
    </row>
    <row r="25" spans="1:19">
      <c r="A25" s="253">
        <v>15</v>
      </c>
      <c r="B25" s="263"/>
      <c r="C25" s="263"/>
      <c r="D25" s="263"/>
      <c r="E25" s="263"/>
      <c r="F25" s="263"/>
      <c r="G25" s="263"/>
      <c r="H25" s="263"/>
      <c r="I25" s="263"/>
      <c r="J25" s="263"/>
      <c r="K25" s="263"/>
      <c r="L25" s="263"/>
      <c r="M25" s="311"/>
      <c r="N25" s="311"/>
      <c r="O25" s="311"/>
      <c r="P25" s="311"/>
      <c r="Q25" s="311"/>
      <c r="R25" s="311"/>
      <c r="S25" s="263"/>
    </row>
    <row r="26" spans="1:19">
      <c r="A26" s="263"/>
      <c r="B26" s="263"/>
      <c r="C26" s="263"/>
      <c r="D26" s="263"/>
      <c r="E26" s="263"/>
      <c r="F26" s="263"/>
      <c r="G26" s="263"/>
      <c r="H26" s="263"/>
      <c r="I26" s="263"/>
      <c r="J26" s="263"/>
      <c r="K26" s="263"/>
      <c r="L26" s="263"/>
      <c r="M26" s="311"/>
      <c r="N26" s="311"/>
      <c r="O26" s="311"/>
      <c r="P26" s="311"/>
      <c r="Q26" s="311"/>
      <c r="R26" s="311"/>
      <c r="S26" s="263"/>
    </row>
  </sheetData>
  <mergeCells count="23">
    <mergeCell ref="S5:S9"/>
    <mergeCell ref="C6:D7"/>
    <mergeCell ref="E6:F7"/>
    <mergeCell ref="G6:H7"/>
    <mergeCell ref="I6:J7"/>
    <mergeCell ref="K6:L7"/>
    <mergeCell ref="M6:N7"/>
    <mergeCell ref="O6:P7"/>
    <mergeCell ref="Q6:R7"/>
    <mergeCell ref="K5:L5"/>
    <mergeCell ref="M5:N5"/>
    <mergeCell ref="O5:P5"/>
    <mergeCell ref="Q5:R5"/>
    <mergeCell ref="A1:B1"/>
    <mergeCell ref="C4:F4"/>
    <mergeCell ref="G4:J4"/>
    <mergeCell ref="K4:N4"/>
    <mergeCell ref="O4:R4"/>
    <mergeCell ref="A5:A9"/>
    <mergeCell ref="C5:D5"/>
    <mergeCell ref="E5:F5"/>
    <mergeCell ref="G5:H5"/>
    <mergeCell ref="I5:J5"/>
  </mergeCells>
  <pageMargins left="0.70866141732283472" right="0.70866141732283472" top="0.74803149606299213" bottom="0.74803149606299213" header="0.31496062992125984" footer="0.31496062992125984"/>
  <pageSetup scale="51"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topLeftCell="A12" zoomScale="60" zoomScaleNormal="100" workbookViewId="0">
      <selection activeCell="C105" sqref="C105"/>
    </sheetView>
  </sheetViews>
  <sheetFormatPr defaultColWidth="8.7265625" defaultRowHeight="14.5"/>
  <cols>
    <col min="1" max="2" width="8.7265625" style="2665"/>
    <col min="3" max="3" width="11.453125" style="2665" customWidth="1"/>
    <col min="4" max="4" width="12" style="2665" customWidth="1"/>
    <col min="5" max="5" width="12.26953125" style="2665" customWidth="1"/>
    <col min="6" max="6" width="10.81640625" style="2665" customWidth="1"/>
    <col min="7" max="7" width="10.26953125" style="2665" customWidth="1"/>
    <col min="8" max="8" width="13" style="2665" customWidth="1"/>
    <col min="9" max="16384" width="8.7265625" style="2665"/>
  </cols>
  <sheetData>
    <row r="1" spans="1:8">
      <c r="A1" s="2991" t="s">
        <v>2917</v>
      </c>
      <c r="B1" s="2991"/>
    </row>
    <row r="2" spans="1:8">
      <c r="A2" s="714" t="s">
        <v>2256</v>
      </c>
      <c r="B2" s="2707"/>
      <c r="C2" s="2707"/>
      <c r="D2" s="2707"/>
      <c r="E2" s="2707"/>
    </row>
    <row r="3" spans="1:8">
      <c r="A3" s="304" t="s">
        <v>2918</v>
      </c>
      <c r="B3" s="304"/>
      <c r="C3" s="304"/>
      <c r="D3" s="304"/>
      <c r="E3" s="2661"/>
      <c r="F3" s="3060"/>
      <c r="G3" s="3060"/>
    </row>
    <row r="5" spans="1:8" ht="21" customHeight="1">
      <c r="A5" s="3081" t="s">
        <v>2919</v>
      </c>
      <c r="B5" s="3081" t="s">
        <v>2920</v>
      </c>
      <c r="C5" s="3018" t="s">
        <v>884</v>
      </c>
      <c r="D5" s="3019"/>
      <c r="E5" s="3022"/>
      <c r="F5" s="2664" t="s">
        <v>542</v>
      </c>
      <c r="G5" s="2664" t="s">
        <v>550</v>
      </c>
      <c r="H5" s="2664" t="s">
        <v>952</v>
      </c>
    </row>
    <row r="6" spans="1:8" ht="22.5" customHeight="1">
      <c r="A6" s="3079"/>
      <c r="B6" s="3079"/>
      <c r="C6" s="2653" t="s">
        <v>555</v>
      </c>
      <c r="D6" s="2653" t="s">
        <v>553</v>
      </c>
      <c r="E6" s="2653" t="s">
        <v>551</v>
      </c>
      <c r="F6" s="2653" t="s">
        <v>545</v>
      </c>
      <c r="G6" s="2653" t="s">
        <v>546</v>
      </c>
      <c r="H6" s="2653" t="s">
        <v>547</v>
      </c>
    </row>
    <row r="7" spans="1:8" ht="29">
      <c r="A7" s="3080"/>
      <c r="B7" s="3080"/>
      <c r="C7" s="2653" t="s">
        <v>554</v>
      </c>
      <c r="D7" s="2653" t="s">
        <v>554</v>
      </c>
      <c r="E7" s="2653" t="s">
        <v>554</v>
      </c>
      <c r="F7" s="2664" t="s">
        <v>544</v>
      </c>
      <c r="G7" s="2668" t="s">
        <v>552</v>
      </c>
      <c r="H7" s="2664" t="s">
        <v>283</v>
      </c>
    </row>
    <row r="8" spans="1:8" ht="58">
      <c r="A8" s="2708" t="s">
        <v>140</v>
      </c>
      <c r="B8" s="91" t="s">
        <v>2921</v>
      </c>
      <c r="C8" s="1469">
        <v>1033</v>
      </c>
      <c r="D8" s="1044">
        <v>1098</v>
      </c>
      <c r="E8" s="8">
        <v>1153</v>
      </c>
      <c r="F8" s="1044">
        <v>1172</v>
      </c>
      <c r="G8" s="8">
        <v>1222</v>
      </c>
      <c r="H8" s="8">
        <v>1252</v>
      </c>
    </row>
    <row r="9" spans="1:8">
      <c r="A9" s="2708"/>
      <c r="B9" s="91"/>
      <c r="C9" s="2662"/>
      <c r="D9" s="2662"/>
      <c r="E9" s="2651"/>
      <c r="F9" s="972"/>
      <c r="G9" s="2651"/>
      <c r="H9" s="2651"/>
    </row>
    <row r="10" spans="1:8" ht="72.5">
      <c r="A10" s="1322" t="s">
        <v>152</v>
      </c>
      <c r="B10" s="91" t="s">
        <v>2922</v>
      </c>
      <c r="C10" s="1469">
        <v>395429</v>
      </c>
      <c r="D10" s="1320">
        <v>444121</v>
      </c>
      <c r="E10" s="1320">
        <v>454121</v>
      </c>
      <c r="F10" s="1469">
        <f>E10+7000</f>
        <v>461121</v>
      </c>
      <c r="G10" s="1320">
        <f>F10+7000</f>
        <v>468121</v>
      </c>
      <c r="H10" s="1320">
        <f>39892+G10</f>
        <v>508013</v>
      </c>
    </row>
    <row r="11" spans="1:8">
      <c r="A11" s="1322"/>
      <c r="B11" s="91"/>
      <c r="C11" s="1346"/>
      <c r="D11" s="2579"/>
      <c r="E11" s="576"/>
      <c r="F11" s="2579"/>
      <c r="G11" s="576"/>
      <c r="H11" s="576"/>
    </row>
    <row r="12" spans="1:8" ht="43.5">
      <c r="A12" s="1322" t="s">
        <v>153</v>
      </c>
      <c r="B12" s="91" t="s">
        <v>2923</v>
      </c>
      <c r="C12" s="1346"/>
      <c r="D12" s="576"/>
      <c r="E12" s="576"/>
      <c r="F12" s="2579"/>
      <c r="G12" s="576"/>
      <c r="H12" s="576"/>
    </row>
    <row r="13" spans="1:8" ht="43.5">
      <c r="A13" s="1322"/>
      <c r="B13" s="87" t="s">
        <v>2924</v>
      </c>
      <c r="C13" s="2375">
        <v>9718</v>
      </c>
      <c r="D13" s="1320">
        <v>11819</v>
      </c>
      <c r="E13" s="1320">
        <v>11930</v>
      </c>
      <c r="F13" s="1469">
        <f>41+E13</f>
        <v>11971</v>
      </c>
      <c r="G13" s="1320">
        <f>22+F13</f>
        <v>11993</v>
      </c>
      <c r="H13" s="1320">
        <f>75+G13</f>
        <v>12068</v>
      </c>
    </row>
    <row r="14" spans="1:8" ht="43.5">
      <c r="A14" s="1322"/>
      <c r="B14" s="87" t="s">
        <v>2925</v>
      </c>
      <c r="C14" s="1469">
        <v>9896</v>
      </c>
      <c r="D14" s="1320">
        <v>10402</v>
      </c>
      <c r="E14" s="1320">
        <v>10690</v>
      </c>
      <c r="F14" s="2709">
        <v>11130.6</v>
      </c>
      <c r="G14" s="1320">
        <v>11351</v>
      </c>
      <c r="H14" s="1320">
        <v>11638</v>
      </c>
    </row>
    <row r="15" spans="1:8">
      <c r="A15" s="1322"/>
      <c r="B15" s="91"/>
      <c r="C15" s="1346"/>
      <c r="D15" s="576"/>
      <c r="E15" s="576"/>
      <c r="F15" s="2579"/>
      <c r="G15" s="576"/>
      <c r="H15" s="576"/>
    </row>
    <row r="16" spans="1:8" ht="43.5">
      <c r="A16" s="1322" t="s">
        <v>471</v>
      </c>
      <c r="B16" s="91" t="s">
        <v>2926</v>
      </c>
      <c r="C16" s="1346"/>
      <c r="D16" s="576"/>
      <c r="E16" s="576"/>
      <c r="F16" s="2579"/>
      <c r="G16" s="576"/>
      <c r="H16" s="576"/>
    </row>
    <row r="17" spans="1:8">
      <c r="A17" s="263"/>
      <c r="B17" s="87" t="s">
        <v>2927</v>
      </c>
      <c r="C17" s="2375">
        <v>1303</v>
      </c>
      <c r="D17" s="1320">
        <v>1343</v>
      </c>
      <c r="E17" s="1320">
        <v>1417</v>
      </c>
      <c r="F17" s="1469"/>
      <c r="G17" s="576"/>
      <c r="H17" s="576"/>
    </row>
    <row r="18" spans="1:8" ht="29">
      <c r="A18" s="2710"/>
      <c r="B18" s="87" t="s">
        <v>2928</v>
      </c>
      <c r="C18" s="1469">
        <v>395429</v>
      </c>
      <c r="D18" s="1320">
        <v>444121</v>
      </c>
      <c r="E18" s="1320">
        <v>454121</v>
      </c>
      <c r="F18" s="1469">
        <v>461121</v>
      </c>
      <c r="G18" s="1320">
        <v>468121</v>
      </c>
      <c r="H18" s="1320">
        <v>508013</v>
      </c>
    </row>
    <row r="19" spans="1:8">
      <c r="A19" s="2710"/>
      <c r="B19" s="91"/>
      <c r="C19" s="1346"/>
      <c r="D19" s="576"/>
      <c r="E19" s="576"/>
      <c r="F19" s="2579"/>
      <c r="G19" s="576"/>
      <c r="H19" s="576"/>
    </row>
    <row r="20" spans="1:8" ht="43.5">
      <c r="A20" s="1322" t="s">
        <v>472</v>
      </c>
      <c r="B20" s="91" t="s">
        <v>2929</v>
      </c>
      <c r="C20" s="1346"/>
      <c r="D20" s="576"/>
      <c r="E20" s="576"/>
      <c r="F20" s="2579"/>
      <c r="G20" s="576"/>
      <c r="H20" s="576"/>
    </row>
    <row r="21" spans="1:8">
      <c r="A21" s="2711"/>
      <c r="B21" s="87" t="s">
        <v>2930</v>
      </c>
      <c r="C21" s="2375">
        <v>977</v>
      </c>
      <c r="D21" s="1320">
        <v>1518</v>
      </c>
      <c r="E21" s="1320">
        <v>2049</v>
      </c>
      <c r="F21" s="1469"/>
      <c r="G21" s="576"/>
      <c r="H21" s="576"/>
    </row>
    <row r="22" spans="1:8">
      <c r="A22" s="2711"/>
      <c r="B22" s="87" t="s">
        <v>2931</v>
      </c>
      <c r="C22" s="2375">
        <v>2594</v>
      </c>
      <c r="D22" s="1320">
        <v>2714</v>
      </c>
      <c r="E22" s="1320">
        <v>2824</v>
      </c>
      <c r="F22" s="1469">
        <f>E22+90</f>
        <v>2914</v>
      </c>
      <c r="G22" s="1320">
        <f>F22+90</f>
        <v>3004</v>
      </c>
      <c r="H22" s="1320">
        <f>G22+185</f>
        <v>3189</v>
      </c>
    </row>
    <row r="23" spans="1:8">
      <c r="A23" s="253"/>
      <c r="B23" s="87" t="s">
        <v>2932</v>
      </c>
      <c r="C23" s="1346"/>
      <c r="D23" s="1320"/>
      <c r="E23" s="576"/>
      <c r="F23" s="2579"/>
      <c r="G23" s="576"/>
      <c r="H23" s="576"/>
    </row>
    <row r="24" spans="1:8">
      <c r="A24" s="253"/>
      <c r="B24" s="87"/>
      <c r="C24" s="1346"/>
      <c r="D24" s="1320"/>
      <c r="E24" s="576"/>
      <c r="F24" s="2579"/>
      <c r="G24" s="576"/>
      <c r="H24" s="576"/>
    </row>
    <row r="25" spans="1:8" ht="29">
      <c r="A25" s="1322" t="s">
        <v>473</v>
      </c>
      <c r="B25" s="91" t="s">
        <v>2933</v>
      </c>
      <c r="C25" s="1346"/>
      <c r="D25" s="1320"/>
      <c r="E25" s="576"/>
      <c r="F25" s="2579"/>
      <c r="G25" s="576"/>
      <c r="H25" s="576"/>
    </row>
    <row r="26" spans="1:8">
      <c r="A26" s="263">
        <v>1</v>
      </c>
      <c r="B26" s="87" t="s">
        <v>2930</v>
      </c>
      <c r="C26" s="2375">
        <v>18415</v>
      </c>
      <c r="D26" s="1320">
        <v>19115</v>
      </c>
      <c r="E26" s="1320">
        <v>19615</v>
      </c>
      <c r="F26" s="1469">
        <v>19915</v>
      </c>
      <c r="G26" s="1320">
        <v>20315</v>
      </c>
      <c r="H26" s="1320">
        <v>20765</v>
      </c>
    </row>
    <row r="27" spans="1:8">
      <c r="A27" s="263">
        <v>2</v>
      </c>
      <c r="B27" s="87" t="s">
        <v>2931</v>
      </c>
      <c r="C27" s="2375">
        <v>173280</v>
      </c>
      <c r="D27" s="1320">
        <v>178280</v>
      </c>
      <c r="E27" s="1320">
        <v>182280</v>
      </c>
      <c r="F27" s="1469">
        <v>185688</v>
      </c>
      <c r="G27" s="1320">
        <v>187580</v>
      </c>
      <c r="H27" s="1320">
        <v>190330</v>
      </c>
    </row>
    <row r="28" spans="1:8">
      <c r="A28" s="263">
        <v>3</v>
      </c>
      <c r="B28" s="87" t="s">
        <v>2932</v>
      </c>
      <c r="C28" s="2375">
        <v>402393</v>
      </c>
      <c r="D28" s="1320">
        <v>405393</v>
      </c>
      <c r="E28" s="1320">
        <v>407393</v>
      </c>
      <c r="F28" s="1469">
        <v>408893</v>
      </c>
      <c r="G28" s="1320">
        <v>410793</v>
      </c>
      <c r="H28" s="1320">
        <v>412643</v>
      </c>
    </row>
    <row r="29" spans="1:8">
      <c r="A29" s="263"/>
      <c r="B29" s="87"/>
      <c r="C29" s="1346"/>
      <c r="D29" s="576"/>
      <c r="E29" s="576"/>
      <c r="F29" s="2579"/>
      <c r="G29" s="576"/>
      <c r="H29" s="576"/>
    </row>
    <row r="30" spans="1:8" ht="72.5">
      <c r="A30" s="1322" t="s">
        <v>477</v>
      </c>
      <c r="B30" s="91" t="s">
        <v>2934</v>
      </c>
      <c r="C30" s="2579"/>
      <c r="D30" s="576"/>
      <c r="E30" s="576"/>
      <c r="F30" s="2579"/>
      <c r="G30" s="576"/>
      <c r="H30" s="576"/>
    </row>
  </sheetData>
  <mergeCells count="5">
    <mergeCell ref="A1:B1"/>
    <mergeCell ref="F3:G3"/>
    <mergeCell ref="A5:A7"/>
    <mergeCell ref="B5:B7"/>
    <mergeCell ref="C5:E5"/>
  </mergeCells>
  <pageMargins left="0.7" right="0.7" top="0.75" bottom="0.75" header="0.3" footer="0.3"/>
  <pageSetup scale="8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60" zoomScaleNormal="100" workbookViewId="0">
      <selection activeCell="C105" sqref="C105"/>
    </sheetView>
  </sheetViews>
  <sheetFormatPr defaultColWidth="8.7265625" defaultRowHeight="14.5"/>
  <cols>
    <col min="1" max="1" width="8.7265625" style="2665"/>
    <col min="2" max="2" width="19.26953125" style="2665" bestFit="1" customWidth="1"/>
    <col min="3" max="3" width="8.81640625" style="2665" bestFit="1" customWidth="1"/>
    <col min="4" max="5" width="8.7265625" style="2665"/>
    <col min="6" max="6" width="9.81640625" style="2665" customWidth="1"/>
    <col min="7" max="7" width="8.7265625" style="318"/>
    <col min="8" max="8" width="10.81640625" style="318" customWidth="1"/>
    <col min="9" max="9" width="63.7265625" style="2665" bestFit="1" customWidth="1"/>
    <col min="10" max="16384" width="8.7265625" style="2665"/>
  </cols>
  <sheetData>
    <row r="1" spans="1:9">
      <c r="A1" s="3554" t="s">
        <v>2935</v>
      </c>
      <c r="B1" s="3554"/>
      <c r="C1" s="12"/>
      <c r="D1" s="12"/>
      <c r="E1" s="12"/>
      <c r="F1" s="12"/>
      <c r="G1" s="2659"/>
      <c r="H1" s="2659"/>
      <c r="I1" s="12"/>
    </row>
    <row r="2" spans="1:9">
      <c r="A2" s="2712" t="s">
        <v>2256</v>
      </c>
      <c r="B2" s="2713"/>
      <c r="C2" s="2713"/>
      <c r="D2" s="2713"/>
      <c r="E2" s="2713"/>
      <c r="F2" s="2713"/>
      <c r="G2" s="2714"/>
      <c r="H2" s="2714"/>
      <c r="I2" s="2713"/>
    </row>
    <row r="3" spans="1:9">
      <c r="A3" s="556" t="s">
        <v>2936</v>
      </c>
      <c r="B3" s="556"/>
      <c r="C3" s="556"/>
      <c r="D3" s="556"/>
      <c r="E3" s="556"/>
      <c r="F3" s="556"/>
      <c r="G3" s="2578"/>
      <c r="H3" s="3555"/>
      <c r="I3" s="3555"/>
    </row>
    <row r="4" spans="1:9">
      <c r="A4" s="2712"/>
      <c r="B4" s="2712"/>
      <c r="C4" s="2712"/>
      <c r="D4" s="2712"/>
      <c r="E4" s="2712"/>
      <c r="F4" s="2712"/>
      <c r="G4" s="2657"/>
      <c r="H4" s="2657"/>
      <c r="I4" s="2712"/>
    </row>
    <row r="5" spans="1:9">
      <c r="A5" s="3029" t="s">
        <v>12</v>
      </c>
      <c r="B5" s="3029" t="s">
        <v>14</v>
      </c>
      <c r="C5" s="3540" t="s">
        <v>2852</v>
      </c>
      <c r="D5" s="3540"/>
      <c r="E5" s="3540" t="s">
        <v>2852</v>
      </c>
      <c r="F5" s="3540"/>
      <c r="G5" s="2990" t="s">
        <v>568</v>
      </c>
      <c r="H5" s="2990"/>
      <c r="I5" s="2994" t="s">
        <v>2937</v>
      </c>
    </row>
    <row r="6" spans="1:9">
      <c r="A6" s="3030"/>
      <c r="B6" s="3089"/>
      <c r="C6" s="3540" t="s">
        <v>553</v>
      </c>
      <c r="D6" s="3540"/>
      <c r="E6" s="3540" t="s">
        <v>551</v>
      </c>
      <c r="F6" s="3540"/>
      <c r="G6" s="2990" t="s">
        <v>545</v>
      </c>
      <c r="H6" s="2990"/>
      <c r="I6" s="2994"/>
    </row>
    <row r="7" spans="1:9" ht="22" customHeight="1">
      <c r="A7" s="3030"/>
      <c r="B7" s="2715" t="s">
        <v>2938</v>
      </c>
      <c r="C7" s="3540" t="s">
        <v>2939</v>
      </c>
      <c r="D7" s="3540"/>
      <c r="E7" s="3540" t="s">
        <v>2940</v>
      </c>
      <c r="F7" s="3540"/>
      <c r="G7" s="2990" t="s">
        <v>2940</v>
      </c>
      <c r="H7" s="2990"/>
      <c r="I7" s="3556"/>
    </row>
    <row r="8" spans="1:9" ht="43.5">
      <c r="A8" s="3089"/>
      <c r="B8" s="2715"/>
      <c r="C8" s="2653" t="s">
        <v>2941</v>
      </c>
      <c r="D8" s="2653" t="s">
        <v>2942</v>
      </c>
      <c r="E8" s="2653" t="s">
        <v>2941</v>
      </c>
      <c r="F8" s="2649" t="s">
        <v>2942</v>
      </c>
      <c r="G8" s="2653" t="s">
        <v>2941</v>
      </c>
      <c r="H8" s="2649" t="s">
        <v>2942</v>
      </c>
      <c r="I8" s="3556"/>
    </row>
    <row r="9" spans="1:9">
      <c r="A9" s="13"/>
      <c r="B9" s="13"/>
      <c r="C9" s="13"/>
      <c r="D9" s="13"/>
      <c r="E9" s="13"/>
      <c r="F9" s="13"/>
      <c r="G9" s="8"/>
      <c r="H9" s="8"/>
      <c r="I9" s="13"/>
    </row>
    <row r="10" spans="1:9">
      <c r="A10" s="73">
        <v>1</v>
      </c>
      <c r="B10" s="87" t="s">
        <v>2943</v>
      </c>
      <c r="C10" s="2716"/>
      <c r="D10" s="2716"/>
      <c r="E10" s="2716"/>
      <c r="F10" s="2716"/>
      <c r="G10" s="1320"/>
      <c r="H10" s="1320"/>
      <c r="I10" s="13"/>
    </row>
    <row r="11" spans="1:9">
      <c r="A11" s="73"/>
      <c r="B11" s="87"/>
      <c r="C11" s="2716"/>
      <c r="D11" s="2716"/>
      <c r="E11" s="2716"/>
      <c r="F11" s="2716"/>
      <c r="G11" s="8"/>
      <c r="H11" s="8"/>
      <c r="I11" s="13"/>
    </row>
    <row r="12" spans="1:9">
      <c r="A12" s="73"/>
      <c r="B12" s="87"/>
      <c r="C12" s="2716"/>
      <c r="D12" s="2716"/>
      <c r="E12" s="2716"/>
      <c r="F12" s="2716"/>
      <c r="G12" s="8"/>
      <c r="H12" s="8"/>
      <c r="I12" s="13"/>
    </row>
    <row r="13" spans="1:9">
      <c r="A13" s="73"/>
      <c r="B13" s="87"/>
      <c r="C13" s="2716"/>
      <c r="D13" s="2716"/>
      <c r="E13" s="2716"/>
      <c r="F13" s="2716"/>
      <c r="G13" s="8"/>
      <c r="H13" s="8"/>
      <c r="I13" s="13"/>
    </row>
    <row r="14" spans="1:9">
      <c r="A14" s="73">
        <v>2</v>
      </c>
      <c r="B14" s="87" t="s">
        <v>2944</v>
      </c>
      <c r="C14" s="2716"/>
      <c r="D14" s="2717"/>
      <c r="E14" s="2717"/>
      <c r="F14" s="2717"/>
      <c r="G14" s="1745">
        <v>171312</v>
      </c>
      <c r="H14" s="2718">
        <v>319001.5438888889</v>
      </c>
      <c r="I14" s="13"/>
    </row>
    <row r="15" spans="1:9">
      <c r="A15" s="73"/>
      <c r="B15" s="87"/>
      <c r="C15" s="13"/>
      <c r="D15" s="13"/>
      <c r="E15" s="13"/>
      <c r="F15" s="13"/>
      <c r="G15" s="8"/>
      <c r="H15" s="8"/>
      <c r="I15" s="13"/>
    </row>
    <row r="16" spans="1:9">
      <c r="A16" s="73"/>
      <c r="B16" s="87"/>
      <c r="C16" s="13"/>
      <c r="D16" s="13"/>
      <c r="E16" s="13"/>
      <c r="F16" s="13"/>
      <c r="G16" s="8"/>
      <c r="H16" s="8"/>
      <c r="I16" s="13"/>
    </row>
    <row r="17" spans="1:9">
      <c r="A17" s="73"/>
      <c r="B17" s="87"/>
      <c r="C17" s="13"/>
      <c r="D17" s="13"/>
      <c r="E17" s="13"/>
      <c r="F17" s="13"/>
      <c r="G17" s="8"/>
      <c r="H17" s="8"/>
      <c r="I17" s="13"/>
    </row>
    <row r="18" spans="1:9">
      <c r="A18" s="73"/>
      <c r="B18" s="87"/>
      <c r="C18" s="13"/>
      <c r="D18" s="13"/>
      <c r="E18" s="13"/>
      <c r="F18" s="13"/>
      <c r="G18" s="8"/>
      <c r="H18" s="8"/>
      <c r="I18" s="13"/>
    </row>
    <row r="19" spans="1:9" ht="29">
      <c r="A19" s="73">
        <v>3</v>
      </c>
      <c r="B19" s="87" t="s">
        <v>2945</v>
      </c>
      <c r="C19" s="13"/>
      <c r="D19" s="13"/>
      <c r="E19" s="13"/>
      <c r="F19" s="13"/>
      <c r="G19" s="8"/>
      <c r="H19" s="8"/>
      <c r="I19" s="13"/>
    </row>
    <row r="20" spans="1:9">
      <c r="A20" s="13"/>
      <c r="B20" s="13"/>
      <c r="C20" s="13"/>
      <c r="D20" s="13"/>
      <c r="E20" s="13"/>
      <c r="F20" s="13"/>
      <c r="G20" s="8"/>
      <c r="H20" s="8"/>
      <c r="I20" s="13"/>
    </row>
    <row r="21" spans="1:9">
      <c r="A21" s="13"/>
      <c r="B21" s="13"/>
      <c r="C21" s="13"/>
      <c r="D21" s="13"/>
      <c r="E21" s="13"/>
      <c r="F21" s="13"/>
      <c r="G21" s="8"/>
      <c r="H21" s="8"/>
      <c r="I21" s="13"/>
    </row>
    <row r="22" spans="1:9">
      <c r="A22" s="13"/>
      <c r="B22" s="13"/>
      <c r="C22" s="13"/>
      <c r="D22" s="13"/>
      <c r="E22" s="13"/>
      <c r="F22" s="13"/>
      <c r="G22" s="8"/>
      <c r="H22" s="8"/>
      <c r="I22" s="13"/>
    </row>
    <row r="23" spans="1:9">
      <c r="A23" s="13"/>
      <c r="B23" s="13"/>
      <c r="C23" s="13"/>
      <c r="D23" s="13"/>
      <c r="E23" s="13"/>
      <c r="F23" s="13"/>
      <c r="G23" s="8"/>
      <c r="H23" s="8"/>
      <c r="I23" s="13"/>
    </row>
  </sheetData>
  <mergeCells count="14">
    <mergeCell ref="G6:H6"/>
    <mergeCell ref="C7:D7"/>
    <mergeCell ref="E7:F7"/>
    <mergeCell ref="G7:H7"/>
    <mergeCell ref="A1:B1"/>
    <mergeCell ref="H3:I3"/>
    <mergeCell ref="A5:A8"/>
    <mergeCell ref="B5:B6"/>
    <mergeCell ref="C5:D5"/>
    <mergeCell ref="E5:F5"/>
    <mergeCell ref="G5:H5"/>
    <mergeCell ref="I5:I8"/>
    <mergeCell ref="C6:D6"/>
    <mergeCell ref="E6:F6"/>
  </mergeCells>
  <pageMargins left="0.7" right="0.7" top="0.75" bottom="0.75" header="0.3" footer="0.3"/>
  <pageSetup scale="61"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view="pageBreakPreview" topLeftCell="A3" zoomScale="60" zoomScaleNormal="100" workbookViewId="0">
      <selection activeCell="C105" sqref="C105"/>
    </sheetView>
  </sheetViews>
  <sheetFormatPr defaultColWidth="8.7265625" defaultRowHeight="14.5"/>
  <cols>
    <col min="1" max="1" width="3.54296875" style="318" customWidth="1"/>
    <col min="2" max="2" width="13.26953125" style="318" customWidth="1"/>
    <col min="3" max="3" width="9.453125" style="318" customWidth="1"/>
    <col min="4" max="4" width="8.81640625" style="318" customWidth="1"/>
    <col min="5" max="5" width="8.7265625" style="318"/>
    <col min="6" max="6" width="9.54296875" style="318" customWidth="1"/>
    <col min="7" max="7" width="8.1796875" style="318" customWidth="1"/>
    <col min="8" max="8" width="8.7265625" style="318"/>
    <col min="9" max="9" width="8.7265625" style="318" customWidth="1"/>
    <col min="10" max="11" width="8.7265625" style="318"/>
    <col min="12" max="12" width="6.81640625" style="318" customWidth="1"/>
    <col min="13" max="16384" width="8.7265625" style="318"/>
  </cols>
  <sheetData>
    <row r="1" spans="1:12">
      <c r="A1" s="2650" t="s">
        <v>2946</v>
      </c>
      <c r="B1" s="2659"/>
      <c r="C1" s="2659"/>
      <c r="D1" s="2659"/>
      <c r="E1" s="2659"/>
      <c r="F1" s="2659"/>
      <c r="G1" s="2659"/>
      <c r="H1" s="2659"/>
      <c r="I1" s="2659"/>
      <c r="J1" s="2659"/>
      <c r="K1" s="2659"/>
      <c r="L1" s="2659"/>
    </row>
    <row r="2" spans="1:12">
      <c r="A2" s="437" t="s">
        <v>174</v>
      </c>
      <c r="B2" s="2714"/>
      <c r="C2" s="2714"/>
      <c r="D2" s="2714" t="s">
        <v>2256</v>
      </c>
      <c r="E2" s="2714"/>
      <c r="F2" s="2714"/>
      <c r="G2" s="2714"/>
      <c r="H2" s="2714"/>
      <c r="I2" s="2714"/>
      <c r="J2" s="2714"/>
      <c r="K2" s="2714"/>
      <c r="L2" s="2659"/>
    </row>
    <row r="3" spans="1:12">
      <c r="A3" s="2648" t="s">
        <v>2947</v>
      </c>
      <c r="B3" s="2578"/>
      <c r="C3" s="2578"/>
      <c r="D3" s="2578"/>
      <c r="E3" s="2578"/>
      <c r="F3" s="3038"/>
      <c r="G3" s="3038"/>
      <c r="H3" s="2658"/>
      <c r="I3" s="2658"/>
      <c r="J3" s="2658"/>
      <c r="K3" s="2658"/>
      <c r="L3" s="2658"/>
    </row>
    <row r="4" spans="1:12">
      <c r="A4" s="2659"/>
      <c r="B4" s="2659"/>
      <c r="C4" s="2659"/>
      <c r="D4" s="2659"/>
      <c r="E4" s="2659"/>
      <c r="F4" s="2659"/>
      <c r="G4" s="2659"/>
      <c r="H4" s="2659"/>
      <c r="I4" s="2659"/>
      <c r="J4" s="2659"/>
      <c r="K4" s="2659"/>
      <c r="L4" s="2659"/>
    </row>
    <row r="5" spans="1:12" ht="27" customHeight="1">
      <c r="A5" s="3081" t="s">
        <v>12</v>
      </c>
      <c r="B5" s="3081" t="s">
        <v>14</v>
      </c>
      <c r="C5" s="3039" t="s">
        <v>2852</v>
      </c>
      <c r="D5" s="3040"/>
      <c r="E5" s="3040"/>
      <c r="F5" s="3039" t="s">
        <v>2852</v>
      </c>
      <c r="G5" s="3040"/>
      <c r="H5" s="3040"/>
      <c r="I5" s="2990" t="s">
        <v>575</v>
      </c>
      <c r="J5" s="2990"/>
      <c r="K5" s="2990"/>
      <c r="L5" s="2994" t="s">
        <v>2948</v>
      </c>
    </row>
    <row r="6" spans="1:12" ht="26.15" customHeight="1">
      <c r="A6" s="3079"/>
      <c r="B6" s="3079"/>
      <c r="C6" s="3039" t="s">
        <v>553</v>
      </c>
      <c r="D6" s="3040"/>
      <c r="E6" s="3041"/>
      <c r="F6" s="3039" t="s">
        <v>551</v>
      </c>
      <c r="G6" s="3040"/>
      <c r="H6" s="3041"/>
      <c r="I6" s="3039" t="s">
        <v>545</v>
      </c>
      <c r="J6" s="3040"/>
      <c r="K6" s="3041"/>
      <c r="L6" s="2994"/>
    </row>
    <row r="7" spans="1:12" ht="90" customHeight="1">
      <c r="A7" s="3080"/>
      <c r="B7" s="3080"/>
      <c r="C7" s="2653" t="s">
        <v>2949</v>
      </c>
      <c r="D7" s="2653" t="s">
        <v>2950</v>
      </c>
      <c r="E7" s="2653" t="s">
        <v>62</v>
      </c>
      <c r="F7" s="2653" t="s">
        <v>2949</v>
      </c>
      <c r="G7" s="2653" t="s">
        <v>2950</v>
      </c>
      <c r="H7" s="2653" t="s">
        <v>62</v>
      </c>
      <c r="I7" s="2653" t="s">
        <v>2949</v>
      </c>
      <c r="J7" s="2653" t="s">
        <v>2950</v>
      </c>
      <c r="K7" s="2653" t="s">
        <v>62</v>
      </c>
      <c r="L7" s="2994"/>
    </row>
    <row r="8" spans="1:12" ht="43.5">
      <c r="A8" s="8">
        <v>1</v>
      </c>
      <c r="B8" s="29" t="s">
        <v>2951</v>
      </c>
      <c r="C8" s="972"/>
      <c r="D8" s="972"/>
      <c r="E8" s="972"/>
      <c r="F8" s="2651"/>
      <c r="G8" s="2651"/>
      <c r="H8" s="2651"/>
      <c r="I8" s="2651"/>
      <c r="J8" s="2651"/>
      <c r="K8" s="2651"/>
      <c r="L8" s="8"/>
    </row>
    <row r="9" spans="1:12">
      <c r="A9" s="8"/>
      <c r="B9" s="29" t="s">
        <v>2952</v>
      </c>
      <c r="C9" s="1044"/>
      <c r="D9" s="1044"/>
      <c r="E9" s="1044"/>
      <c r="F9" s="8"/>
      <c r="G9" s="8"/>
      <c r="H9" s="8"/>
      <c r="I9" s="8"/>
      <c r="J9" s="8"/>
      <c r="K9" s="8"/>
      <c r="L9" s="8"/>
    </row>
    <row r="10" spans="1:12">
      <c r="A10" s="8"/>
      <c r="B10" s="29" t="s">
        <v>2953</v>
      </c>
      <c r="C10" s="1044">
        <v>41</v>
      </c>
      <c r="D10" s="1044">
        <v>1</v>
      </c>
      <c r="E10" s="2719">
        <v>2.4390243902439025E-2</v>
      </c>
      <c r="F10" s="8">
        <v>41</v>
      </c>
      <c r="G10" s="8">
        <v>3</v>
      </c>
      <c r="H10" s="2719">
        <v>7.3170731707317069E-2</v>
      </c>
      <c r="I10" s="2720"/>
      <c r="J10" s="2720">
        <v>0</v>
      </c>
      <c r="K10" s="2719"/>
      <c r="L10" s="8"/>
    </row>
    <row r="11" spans="1:12">
      <c r="A11" s="8"/>
      <c r="B11" s="29" t="s">
        <v>2954</v>
      </c>
      <c r="C11" s="1044">
        <v>909</v>
      </c>
      <c r="D11" s="1044">
        <v>101</v>
      </c>
      <c r="E11" s="2719">
        <v>0.1111111111111111</v>
      </c>
      <c r="F11" s="8">
        <v>917</v>
      </c>
      <c r="G11" s="8">
        <v>76</v>
      </c>
      <c r="H11" s="2719">
        <v>8.2878953107960743E-2</v>
      </c>
      <c r="I11" s="2720"/>
      <c r="J11" s="2720">
        <v>66</v>
      </c>
      <c r="K11" s="2719"/>
      <c r="L11" s="8"/>
    </row>
    <row r="12" spans="1:12">
      <c r="A12" s="8"/>
      <c r="B12" s="29" t="s">
        <v>2955</v>
      </c>
      <c r="C12" s="1044">
        <v>137</v>
      </c>
      <c r="D12" s="1044">
        <v>10</v>
      </c>
      <c r="E12" s="2719">
        <v>7.2992700729927001E-2</v>
      </c>
      <c r="F12" s="8">
        <v>137</v>
      </c>
      <c r="G12" s="8">
        <v>8</v>
      </c>
      <c r="H12" s="2719">
        <v>5.8394160583941604E-2</v>
      </c>
      <c r="I12" s="2720"/>
      <c r="J12" s="2720">
        <v>7</v>
      </c>
      <c r="K12" s="2719"/>
      <c r="L12" s="8"/>
    </row>
    <row r="13" spans="1:12">
      <c r="A13" s="8"/>
      <c r="B13" s="29" t="s">
        <v>2956</v>
      </c>
      <c r="C13" s="1044">
        <v>366</v>
      </c>
      <c r="D13" s="1044">
        <v>16</v>
      </c>
      <c r="E13" s="2719">
        <v>4.3715846994535519E-2</v>
      </c>
      <c r="F13" s="8">
        <v>367</v>
      </c>
      <c r="G13" s="8">
        <v>34</v>
      </c>
      <c r="H13" s="2719">
        <v>9.264305177111716E-2</v>
      </c>
      <c r="I13" s="2720"/>
      <c r="J13" s="2720">
        <v>20</v>
      </c>
      <c r="K13" s="2719"/>
      <c r="L13" s="8"/>
    </row>
    <row r="14" spans="1:12">
      <c r="A14" s="8"/>
      <c r="B14" s="29"/>
      <c r="C14" s="2721"/>
      <c r="D14" s="2721"/>
      <c r="E14" s="2722"/>
      <c r="F14" s="8"/>
      <c r="G14" s="8"/>
      <c r="H14" s="2719"/>
      <c r="I14" s="2720"/>
      <c r="J14" s="2719"/>
      <c r="K14" s="2719"/>
      <c r="L14" s="8"/>
    </row>
    <row r="15" spans="1:12" ht="29">
      <c r="A15" s="8">
        <v>2</v>
      </c>
      <c r="B15" s="29" t="s">
        <v>2957</v>
      </c>
      <c r="C15" s="2723"/>
      <c r="D15" s="2723"/>
      <c r="E15" s="2724"/>
      <c r="F15" s="8"/>
      <c r="G15" s="8"/>
      <c r="H15" s="2719"/>
      <c r="I15" s="2719"/>
      <c r="J15" s="2719"/>
      <c r="K15" s="2719"/>
      <c r="L15" s="8"/>
    </row>
    <row r="16" spans="1:12">
      <c r="A16" s="8"/>
      <c r="B16" s="29" t="s">
        <v>2952</v>
      </c>
      <c r="C16" s="2723"/>
      <c r="D16" s="2723"/>
      <c r="E16" s="2724"/>
      <c r="F16" s="8"/>
      <c r="G16" s="8"/>
      <c r="H16" s="2719"/>
      <c r="I16" s="2719"/>
      <c r="J16" s="2719"/>
      <c r="K16" s="2719"/>
      <c r="L16" s="8"/>
    </row>
    <row r="17" spans="1:12">
      <c r="A17" s="8"/>
      <c r="B17" s="29" t="s">
        <v>2958</v>
      </c>
      <c r="C17" s="1044">
        <v>164316</v>
      </c>
      <c r="D17" s="1044">
        <v>17897</v>
      </c>
      <c r="E17" s="2722">
        <v>0.10891818203948489</v>
      </c>
      <c r="F17" s="8">
        <v>187786</v>
      </c>
      <c r="G17" s="8">
        <v>12614</v>
      </c>
      <c r="H17" s="2719">
        <v>6.7172206660773434E-2</v>
      </c>
      <c r="I17" s="2720">
        <v>187786</v>
      </c>
      <c r="J17" s="2720">
        <v>15896</v>
      </c>
      <c r="K17" s="2719">
        <f>J17/I17</f>
        <v>8.4649547889619037E-2</v>
      </c>
      <c r="L17" s="8"/>
    </row>
    <row r="18" spans="1:12">
      <c r="A18" s="8"/>
      <c r="B18" s="29" t="s">
        <v>2959</v>
      </c>
      <c r="C18" s="1044">
        <v>4313</v>
      </c>
      <c r="D18" s="1044">
        <v>4</v>
      </c>
      <c r="E18" s="2722">
        <v>9.2742870391838625E-4</v>
      </c>
      <c r="F18" s="8">
        <v>27715</v>
      </c>
      <c r="G18" s="8">
        <v>206</v>
      </c>
      <c r="H18" s="2719">
        <v>7.4327981237596969E-3</v>
      </c>
      <c r="I18" s="2720">
        <v>27715</v>
      </c>
      <c r="J18" s="2720">
        <v>263</v>
      </c>
      <c r="K18" s="2719">
        <f t="shared" ref="K18:K27" si="0">J18/I18</f>
        <v>9.4894461482951473E-3</v>
      </c>
      <c r="L18" s="8"/>
    </row>
    <row r="19" spans="1:12">
      <c r="A19" s="8"/>
      <c r="B19" s="29" t="s">
        <v>2960</v>
      </c>
      <c r="C19" s="1044">
        <v>194063</v>
      </c>
      <c r="D19" s="1044">
        <v>40289</v>
      </c>
      <c r="E19" s="2722">
        <v>0.20760783869155894</v>
      </c>
      <c r="F19" s="8">
        <v>251336</v>
      </c>
      <c r="G19" s="8">
        <v>29227</v>
      </c>
      <c r="H19" s="2719">
        <v>0.1162865645987841</v>
      </c>
      <c r="I19" s="2720">
        <v>251336</v>
      </c>
      <c r="J19" s="2720">
        <v>36750</v>
      </c>
      <c r="K19" s="2719">
        <f t="shared" si="0"/>
        <v>0.14621860776012988</v>
      </c>
      <c r="L19" s="8"/>
    </row>
    <row r="20" spans="1:12">
      <c r="A20" s="8"/>
      <c r="B20" s="29" t="s">
        <v>2961</v>
      </c>
      <c r="C20" s="1044">
        <v>53311</v>
      </c>
      <c r="D20" s="1044">
        <v>14672</v>
      </c>
      <c r="E20" s="2722">
        <v>0.27521524638442346</v>
      </c>
      <c r="F20" s="8">
        <v>60040</v>
      </c>
      <c r="G20" s="8">
        <v>9833</v>
      </c>
      <c r="H20" s="2719">
        <v>0.16377415056628913</v>
      </c>
      <c r="I20" s="2720">
        <v>60040</v>
      </c>
      <c r="J20" s="2720">
        <v>12119</v>
      </c>
      <c r="K20" s="2719">
        <f t="shared" si="0"/>
        <v>0.2018487674883411</v>
      </c>
      <c r="L20" s="8"/>
    </row>
    <row r="21" spans="1:12">
      <c r="A21" s="8"/>
      <c r="B21" s="29" t="s">
        <v>2962</v>
      </c>
      <c r="C21" s="1044">
        <v>19064</v>
      </c>
      <c r="D21" s="1044">
        <v>5394</v>
      </c>
      <c r="E21" s="2722">
        <v>0.28294167016365923</v>
      </c>
      <c r="F21" s="8">
        <v>21753</v>
      </c>
      <c r="G21" s="8">
        <v>3821</v>
      </c>
      <c r="H21" s="2719">
        <v>0.17565393279087943</v>
      </c>
      <c r="I21" s="2720">
        <v>21753</v>
      </c>
      <c r="J21" s="2720">
        <v>4719</v>
      </c>
      <c r="K21" s="2719">
        <f t="shared" si="0"/>
        <v>0.21693559509033236</v>
      </c>
      <c r="L21" s="8"/>
    </row>
    <row r="22" spans="1:12">
      <c r="A22" s="8"/>
      <c r="B22" s="29" t="s">
        <v>2963</v>
      </c>
      <c r="C22" s="1044">
        <v>645</v>
      </c>
      <c r="D22" s="1044">
        <v>119</v>
      </c>
      <c r="E22" s="2722">
        <v>0.18449612403100776</v>
      </c>
      <c r="F22" s="8">
        <v>626</v>
      </c>
      <c r="G22" s="8">
        <v>53</v>
      </c>
      <c r="H22" s="2719">
        <v>8.4664536741214061E-2</v>
      </c>
      <c r="I22" s="2720">
        <v>626</v>
      </c>
      <c r="J22" s="2720">
        <v>67</v>
      </c>
      <c r="K22" s="2719">
        <f t="shared" si="0"/>
        <v>0.10702875399361023</v>
      </c>
      <c r="L22" s="8"/>
    </row>
    <row r="23" spans="1:12">
      <c r="A23" s="8"/>
      <c r="B23" s="8" t="s">
        <v>2964</v>
      </c>
      <c r="C23" s="1044">
        <v>8233</v>
      </c>
      <c r="D23" s="1044">
        <v>1532</v>
      </c>
      <c r="E23" s="2722">
        <v>0.18608040811368881</v>
      </c>
      <c r="F23" s="8">
        <v>9161</v>
      </c>
      <c r="G23" s="8">
        <v>836</v>
      </c>
      <c r="H23" s="2719">
        <v>9.1256413055343308E-2</v>
      </c>
      <c r="I23" s="2720">
        <v>9161</v>
      </c>
      <c r="J23" s="2720">
        <v>1117</v>
      </c>
      <c r="K23" s="2719">
        <f t="shared" si="0"/>
        <v>0.12192992031437616</v>
      </c>
      <c r="L23" s="8"/>
    </row>
    <row r="24" spans="1:12">
      <c r="A24" s="8"/>
      <c r="B24" s="8" t="s">
        <v>2965</v>
      </c>
      <c r="C24" s="1044">
        <v>5249</v>
      </c>
      <c r="D24" s="1044">
        <v>1521</v>
      </c>
      <c r="E24" s="2722">
        <v>0.28976947990093349</v>
      </c>
      <c r="F24" s="8">
        <v>5728</v>
      </c>
      <c r="G24" s="8">
        <v>814</v>
      </c>
      <c r="H24" s="2719">
        <v>0.14210893854748605</v>
      </c>
      <c r="I24" s="2720">
        <v>5728</v>
      </c>
      <c r="J24" s="2720">
        <v>1057</v>
      </c>
      <c r="K24" s="2719">
        <f t="shared" si="0"/>
        <v>0.18453212290502793</v>
      </c>
      <c r="L24" s="8"/>
    </row>
    <row r="25" spans="1:12">
      <c r="A25" s="8"/>
      <c r="B25" s="8" t="s">
        <v>2966</v>
      </c>
      <c r="C25" s="1044">
        <v>978</v>
      </c>
      <c r="D25" s="1044">
        <v>291</v>
      </c>
      <c r="E25" s="2722">
        <v>0.29754601226993865</v>
      </c>
      <c r="F25" s="8">
        <v>1006</v>
      </c>
      <c r="G25" s="8">
        <v>136</v>
      </c>
      <c r="H25" s="2719">
        <v>0.13518886679920478</v>
      </c>
      <c r="I25" s="2720">
        <v>1006</v>
      </c>
      <c r="J25" s="2720">
        <v>193</v>
      </c>
      <c r="K25" s="2719">
        <f t="shared" si="0"/>
        <v>0.19184890656063619</v>
      </c>
      <c r="L25" s="8"/>
    </row>
    <row r="26" spans="1:12">
      <c r="A26" s="8"/>
      <c r="B26" s="8" t="s">
        <v>2967</v>
      </c>
      <c r="C26" s="1044">
        <v>47</v>
      </c>
      <c r="D26" s="1044">
        <v>0</v>
      </c>
      <c r="E26" s="2722">
        <v>0</v>
      </c>
      <c r="F26" s="8">
        <v>54</v>
      </c>
      <c r="G26" s="8">
        <v>5</v>
      </c>
      <c r="H26" s="2719">
        <v>9.2592592592592587E-2</v>
      </c>
      <c r="I26" s="2720">
        <v>54</v>
      </c>
      <c r="J26" s="2720">
        <v>5</v>
      </c>
      <c r="K26" s="2719">
        <f t="shared" si="0"/>
        <v>9.2592592592592587E-2</v>
      </c>
      <c r="L26" s="8"/>
    </row>
    <row r="27" spans="1:12" ht="27.65" customHeight="1">
      <c r="A27" s="8"/>
      <c r="B27" s="8"/>
      <c r="C27" s="2725">
        <v>450219</v>
      </c>
      <c r="D27" s="2725">
        <v>81719</v>
      </c>
      <c r="E27" s="2726">
        <v>0.18150944318209583</v>
      </c>
      <c r="F27" s="2727">
        <v>565205</v>
      </c>
      <c r="G27" s="2727">
        <v>57545</v>
      </c>
      <c r="H27" s="2728">
        <v>0.10181261666121141</v>
      </c>
      <c r="I27" s="2729">
        <f>SUM(I17:I26)</f>
        <v>565205</v>
      </c>
      <c r="J27" s="2729">
        <f>SUM(J17:J26)</f>
        <v>72186</v>
      </c>
      <c r="K27" s="2728">
        <f t="shared" si="0"/>
        <v>0.12771649224617618</v>
      </c>
      <c r="L27" s="8"/>
    </row>
    <row r="28" spans="1:12">
      <c r="A28" s="2659"/>
      <c r="B28" s="2659"/>
      <c r="C28" s="2659"/>
      <c r="D28" s="2659"/>
      <c r="E28" s="2659"/>
      <c r="F28" s="2659"/>
      <c r="G28" s="2659"/>
      <c r="H28" s="2659"/>
      <c r="I28" s="2659"/>
      <c r="J28" s="2659"/>
      <c r="K28" s="2659"/>
      <c r="L28" s="2659"/>
    </row>
  </sheetData>
  <mergeCells count="10">
    <mergeCell ref="L5:L7"/>
    <mergeCell ref="C6:E6"/>
    <mergeCell ref="F6:H6"/>
    <mergeCell ref="I6:K6"/>
    <mergeCell ref="F3:G3"/>
    <mergeCell ref="A5:A7"/>
    <mergeCell ref="B5:B7"/>
    <mergeCell ref="C5:E5"/>
    <mergeCell ref="F5:H5"/>
    <mergeCell ref="I5:K5"/>
  </mergeCells>
  <pageMargins left="0.70866141732283472" right="0.70866141732283472" top="0.74803149606299213" bottom="0.74803149606299213" header="0.31496062992125984" footer="0.31496062992125984"/>
  <pageSetup scale="9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view="pageBreakPreview" zoomScale="60" zoomScaleNormal="100" workbookViewId="0">
      <selection activeCell="C105" sqref="C105"/>
    </sheetView>
  </sheetViews>
  <sheetFormatPr defaultColWidth="8.7265625" defaultRowHeight="14.5"/>
  <cols>
    <col min="1" max="1" width="8.7265625" style="318"/>
    <col min="2" max="2" width="19.26953125" style="318" bestFit="1" customWidth="1"/>
    <col min="3" max="17" width="8.7265625" style="318"/>
    <col min="18" max="18" width="25.26953125" style="318" customWidth="1"/>
    <col min="19" max="16384" width="8.7265625" style="318"/>
  </cols>
  <sheetData>
    <row r="1" spans="1:18">
      <c r="A1" s="3557" t="s">
        <v>2968</v>
      </c>
      <c r="B1" s="3557"/>
      <c r="C1" s="2659"/>
      <c r="D1" s="2659"/>
      <c r="E1" s="2659"/>
      <c r="F1" s="2659"/>
      <c r="G1" s="2659"/>
      <c r="H1" s="2659"/>
      <c r="I1" s="2659"/>
      <c r="J1" s="2659"/>
      <c r="K1" s="2659"/>
      <c r="L1" s="2659"/>
      <c r="M1" s="2659"/>
      <c r="N1" s="2659"/>
      <c r="O1" s="2659"/>
      <c r="P1" s="2659"/>
      <c r="Q1" s="2659"/>
      <c r="R1" s="2659"/>
    </row>
    <row r="2" spans="1:18">
      <c r="A2" s="2657" t="s">
        <v>2256</v>
      </c>
      <c r="B2" s="2714"/>
      <c r="C2" s="2714"/>
      <c r="D2" s="2714"/>
      <c r="E2" s="2714"/>
      <c r="F2" s="2714"/>
      <c r="G2" s="2714"/>
      <c r="H2" s="2714"/>
      <c r="I2" s="2714"/>
      <c r="J2" s="2714"/>
      <c r="K2" s="2714"/>
      <c r="L2" s="2714"/>
      <c r="M2" s="2714"/>
      <c r="N2" s="2714"/>
      <c r="O2" s="2714"/>
      <c r="P2" s="2714"/>
      <c r="Q2" s="2714"/>
      <c r="R2" s="2714"/>
    </row>
    <row r="3" spans="1:18">
      <c r="A3" s="2578" t="s">
        <v>2969</v>
      </c>
      <c r="B3" s="2578"/>
      <c r="C3" s="2578"/>
      <c r="D3" s="2578"/>
      <c r="E3" s="2578"/>
      <c r="F3" s="2578"/>
      <c r="G3" s="2578"/>
      <c r="H3" s="2578"/>
      <c r="I3" s="2578"/>
      <c r="J3" s="2578"/>
      <c r="K3" s="2578"/>
      <c r="L3" s="2578"/>
      <c r="M3" s="2578"/>
      <c r="N3" s="2578"/>
      <c r="O3" s="2578"/>
      <c r="P3" s="2578"/>
      <c r="Q3" s="3038"/>
      <c r="R3" s="3038"/>
    </row>
    <row r="4" spans="1:18">
      <c r="A4" s="2659"/>
      <c r="B4" s="2659"/>
      <c r="C4" s="2659"/>
      <c r="D4" s="2659"/>
      <c r="E4" s="2659"/>
      <c r="F4" s="2659"/>
      <c r="G4" s="2659"/>
      <c r="H4" s="2659"/>
      <c r="I4" s="2659"/>
      <c r="J4" s="2659"/>
      <c r="K4" s="2659"/>
      <c r="L4" s="2659"/>
      <c r="M4" s="2659"/>
      <c r="N4" s="2659"/>
      <c r="O4" s="2659"/>
      <c r="P4" s="2659"/>
      <c r="Q4" s="2659"/>
      <c r="R4" s="2659"/>
    </row>
    <row r="5" spans="1:18" ht="21" customHeight="1">
      <c r="A5" s="3081" t="s">
        <v>2851</v>
      </c>
      <c r="B5" s="3081" t="s">
        <v>14</v>
      </c>
      <c r="C5" s="3039" t="s">
        <v>885</v>
      </c>
      <c r="D5" s="3040"/>
      <c r="E5" s="3040"/>
      <c r="F5" s="3040"/>
      <c r="G5" s="3041"/>
      <c r="H5" s="3039" t="s">
        <v>885</v>
      </c>
      <c r="I5" s="3040"/>
      <c r="J5" s="3040"/>
      <c r="K5" s="3040"/>
      <c r="L5" s="3041"/>
      <c r="M5" s="3039" t="s">
        <v>568</v>
      </c>
      <c r="N5" s="3040"/>
      <c r="O5" s="3040"/>
      <c r="P5" s="3040"/>
      <c r="Q5" s="3041"/>
      <c r="R5" s="2994" t="s">
        <v>2970</v>
      </c>
    </row>
    <row r="6" spans="1:18" ht="18" customHeight="1">
      <c r="A6" s="3079"/>
      <c r="B6" s="3080"/>
      <c r="C6" s="3039" t="s">
        <v>553</v>
      </c>
      <c r="D6" s="3040"/>
      <c r="E6" s="3040"/>
      <c r="F6" s="3040"/>
      <c r="G6" s="3041"/>
      <c r="H6" s="3039" t="s">
        <v>551</v>
      </c>
      <c r="I6" s="3040"/>
      <c r="J6" s="3040"/>
      <c r="K6" s="3040"/>
      <c r="L6" s="3041"/>
      <c r="M6" s="3039" t="s">
        <v>545</v>
      </c>
      <c r="N6" s="3040"/>
      <c r="O6" s="3040"/>
      <c r="P6" s="3040"/>
      <c r="Q6" s="3041"/>
      <c r="R6" s="2994"/>
    </row>
    <row r="7" spans="1:18" ht="20.149999999999999" customHeight="1">
      <c r="A7" s="3079"/>
      <c r="B7" s="2649" t="s">
        <v>2938</v>
      </c>
      <c r="C7" s="2990" t="s">
        <v>2971</v>
      </c>
      <c r="D7" s="3558"/>
      <c r="E7" s="3039" t="s">
        <v>2972</v>
      </c>
      <c r="F7" s="3040"/>
      <c r="G7" s="2649"/>
      <c r="H7" s="2990" t="s">
        <v>2971</v>
      </c>
      <c r="I7" s="3558"/>
      <c r="J7" s="3039" t="s">
        <v>2972</v>
      </c>
      <c r="K7" s="3040"/>
      <c r="L7" s="2649"/>
      <c r="M7" s="2990" t="s">
        <v>2971</v>
      </c>
      <c r="N7" s="3558"/>
      <c r="O7" s="3039" t="s">
        <v>2972</v>
      </c>
      <c r="P7" s="3040"/>
      <c r="Q7" s="2649"/>
      <c r="R7" s="3558"/>
    </row>
    <row r="8" spans="1:18" ht="18.649999999999999" customHeight="1">
      <c r="A8" s="3080"/>
      <c r="B8" s="2649"/>
      <c r="C8" s="2649" t="s">
        <v>2973</v>
      </c>
      <c r="D8" s="2649" t="s">
        <v>2974</v>
      </c>
      <c r="E8" s="2649" t="s">
        <v>2973</v>
      </c>
      <c r="F8" s="2649" t="s">
        <v>2974</v>
      </c>
      <c r="G8" s="2649" t="s">
        <v>1781</v>
      </c>
      <c r="H8" s="2649" t="s">
        <v>2973</v>
      </c>
      <c r="I8" s="2649" t="s">
        <v>2974</v>
      </c>
      <c r="J8" s="2649" t="s">
        <v>2973</v>
      </c>
      <c r="K8" s="2649" t="s">
        <v>2974</v>
      </c>
      <c r="L8" s="2649" t="s">
        <v>1781</v>
      </c>
      <c r="M8" s="2649" t="s">
        <v>2973</v>
      </c>
      <c r="N8" s="2649" t="s">
        <v>2974</v>
      </c>
      <c r="O8" s="2649" t="s">
        <v>2973</v>
      </c>
      <c r="P8" s="2649" t="s">
        <v>2974</v>
      </c>
      <c r="Q8" s="2649" t="s">
        <v>1781</v>
      </c>
      <c r="R8" s="3558"/>
    </row>
    <row r="9" spans="1:18">
      <c r="A9" s="1044" t="s">
        <v>57</v>
      </c>
      <c r="B9" s="1044" t="s">
        <v>2975</v>
      </c>
      <c r="C9" s="3559">
        <v>117</v>
      </c>
      <c r="D9" s="3559">
        <v>169</v>
      </c>
      <c r="E9" s="3559">
        <v>37</v>
      </c>
      <c r="F9" s="3559">
        <v>0</v>
      </c>
      <c r="G9" s="3559">
        <f>SUM(C9:F9)</f>
        <v>323</v>
      </c>
      <c r="H9" s="3559">
        <v>260</v>
      </c>
      <c r="I9" s="3559">
        <v>250</v>
      </c>
      <c r="J9" s="3559">
        <v>58</v>
      </c>
      <c r="K9" s="3559">
        <v>1</v>
      </c>
      <c r="L9" s="3559">
        <f>SUM(H9:K9)</f>
        <v>569</v>
      </c>
      <c r="M9" s="3559">
        <v>9</v>
      </c>
      <c r="N9" s="3559">
        <v>13</v>
      </c>
      <c r="O9" s="3559">
        <v>1</v>
      </c>
      <c r="P9" s="3559">
        <v>0</v>
      </c>
      <c r="Q9" s="3559">
        <f>SUM(M9:P16)</f>
        <v>23</v>
      </c>
      <c r="R9" s="3559"/>
    </row>
    <row r="10" spans="1:18">
      <c r="A10" s="1044"/>
      <c r="B10" s="1044" t="s">
        <v>129</v>
      </c>
      <c r="C10" s="3560"/>
      <c r="D10" s="3560"/>
      <c r="E10" s="3560"/>
      <c r="F10" s="3560"/>
      <c r="G10" s="3560"/>
      <c r="H10" s="3560"/>
      <c r="I10" s="3560"/>
      <c r="J10" s="3560"/>
      <c r="K10" s="3560"/>
      <c r="L10" s="3560"/>
      <c r="M10" s="3560"/>
      <c r="N10" s="3560"/>
      <c r="O10" s="3560"/>
      <c r="P10" s="3560"/>
      <c r="Q10" s="3560"/>
      <c r="R10" s="3560"/>
    </row>
    <row r="11" spans="1:18">
      <c r="A11" s="1044"/>
      <c r="B11" s="1044" t="s">
        <v>130</v>
      </c>
      <c r="C11" s="3560"/>
      <c r="D11" s="3560"/>
      <c r="E11" s="3560"/>
      <c r="F11" s="3560"/>
      <c r="G11" s="3560"/>
      <c r="H11" s="3560"/>
      <c r="I11" s="3560"/>
      <c r="J11" s="3560"/>
      <c r="K11" s="3560"/>
      <c r="L11" s="3560"/>
      <c r="M11" s="3560"/>
      <c r="N11" s="3560"/>
      <c r="O11" s="3560"/>
      <c r="P11" s="3560"/>
      <c r="Q11" s="3560"/>
      <c r="R11" s="3560"/>
    </row>
    <row r="12" spans="1:18">
      <c r="A12" s="1044"/>
      <c r="B12" s="1044" t="s">
        <v>133</v>
      </c>
      <c r="C12" s="3560"/>
      <c r="D12" s="3560"/>
      <c r="E12" s="3560"/>
      <c r="F12" s="3560"/>
      <c r="G12" s="3560"/>
      <c r="H12" s="3560"/>
      <c r="I12" s="3560"/>
      <c r="J12" s="3560"/>
      <c r="K12" s="3560"/>
      <c r="L12" s="3560"/>
      <c r="M12" s="3560"/>
      <c r="N12" s="3560"/>
      <c r="O12" s="3560"/>
      <c r="P12" s="3560"/>
      <c r="Q12" s="3560"/>
      <c r="R12" s="3560"/>
    </row>
    <row r="13" spans="1:18">
      <c r="A13" s="1044" t="s">
        <v>58</v>
      </c>
      <c r="B13" s="1044" t="s">
        <v>2976</v>
      </c>
      <c r="C13" s="3560"/>
      <c r="D13" s="3560"/>
      <c r="E13" s="3560"/>
      <c r="F13" s="3560"/>
      <c r="G13" s="3560"/>
      <c r="H13" s="3560"/>
      <c r="I13" s="3560"/>
      <c r="J13" s="3560"/>
      <c r="K13" s="3560"/>
      <c r="L13" s="3560"/>
      <c r="M13" s="3560"/>
      <c r="N13" s="3560"/>
      <c r="O13" s="3560"/>
      <c r="P13" s="3560"/>
      <c r="Q13" s="3560"/>
      <c r="R13" s="3560"/>
    </row>
    <row r="14" spans="1:18">
      <c r="A14" s="1044"/>
      <c r="B14" s="1044" t="s">
        <v>129</v>
      </c>
      <c r="C14" s="3560"/>
      <c r="D14" s="3560"/>
      <c r="E14" s="3560"/>
      <c r="F14" s="3560"/>
      <c r="G14" s="3560"/>
      <c r="H14" s="3560"/>
      <c r="I14" s="3560"/>
      <c r="J14" s="3560"/>
      <c r="K14" s="3560"/>
      <c r="L14" s="3560"/>
      <c r="M14" s="3560"/>
      <c r="N14" s="3560"/>
      <c r="O14" s="3560"/>
      <c r="P14" s="3560"/>
      <c r="Q14" s="3560"/>
      <c r="R14" s="3560"/>
    </row>
    <row r="15" spans="1:18">
      <c r="A15" s="1044"/>
      <c r="B15" s="1044" t="s">
        <v>130</v>
      </c>
      <c r="C15" s="3560"/>
      <c r="D15" s="3560"/>
      <c r="E15" s="3560"/>
      <c r="F15" s="3560"/>
      <c r="G15" s="3560"/>
      <c r="H15" s="3560"/>
      <c r="I15" s="3560"/>
      <c r="J15" s="3560"/>
      <c r="K15" s="3560"/>
      <c r="L15" s="3560"/>
      <c r="M15" s="3560"/>
      <c r="N15" s="3560"/>
      <c r="O15" s="3560"/>
      <c r="P15" s="3560"/>
      <c r="Q15" s="3560"/>
      <c r="R15" s="3560"/>
    </row>
    <row r="16" spans="1:18">
      <c r="A16" s="1044"/>
      <c r="B16" s="1044" t="s">
        <v>133</v>
      </c>
      <c r="C16" s="3561"/>
      <c r="D16" s="3561"/>
      <c r="E16" s="3561"/>
      <c r="F16" s="3561"/>
      <c r="G16" s="3561"/>
      <c r="H16" s="3560"/>
      <c r="I16" s="3560"/>
      <c r="J16" s="3560"/>
      <c r="K16" s="3560"/>
      <c r="L16" s="3560"/>
      <c r="M16" s="3560"/>
      <c r="N16" s="3560"/>
      <c r="O16" s="3560"/>
      <c r="P16" s="3560"/>
      <c r="Q16" s="3560"/>
      <c r="R16" s="3561"/>
    </row>
    <row r="17" spans="1:18" ht="18.649999999999999" customHeight="1">
      <c r="A17" s="2334"/>
      <c r="B17" s="2730" t="s">
        <v>22</v>
      </c>
      <c r="C17" s="2334">
        <f t="shared" ref="C17:L17" si="0">SUM(C9)</f>
        <v>117</v>
      </c>
      <c r="D17" s="2334">
        <f t="shared" si="0"/>
        <v>169</v>
      </c>
      <c r="E17" s="2334">
        <f t="shared" si="0"/>
        <v>37</v>
      </c>
      <c r="F17" s="2334">
        <f t="shared" si="0"/>
        <v>0</v>
      </c>
      <c r="G17" s="2334">
        <f t="shared" si="0"/>
        <v>323</v>
      </c>
      <c r="H17" s="2334">
        <f t="shared" si="0"/>
        <v>260</v>
      </c>
      <c r="I17" s="2334">
        <f t="shared" si="0"/>
        <v>250</v>
      </c>
      <c r="J17" s="2334">
        <f t="shared" si="0"/>
        <v>58</v>
      </c>
      <c r="K17" s="2334">
        <f t="shared" si="0"/>
        <v>1</v>
      </c>
      <c r="L17" s="2334">
        <f t="shared" si="0"/>
        <v>569</v>
      </c>
      <c r="M17" s="2334">
        <f>M9</f>
        <v>9</v>
      </c>
      <c r="N17" s="2334">
        <f t="shared" ref="N17:O17" si="1">N9</f>
        <v>13</v>
      </c>
      <c r="O17" s="2334">
        <f t="shared" si="1"/>
        <v>1</v>
      </c>
      <c r="P17" s="2334">
        <v>0</v>
      </c>
      <c r="Q17" s="2334">
        <v>23</v>
      </c>
      <c r="R17" s="2334"/>
    </row>
    <row r="19" spans="1:18">
      <c r="A19" s="2731" t="s">
        <v>2977</v>
      </c>
    </row>
  </sheetData>
  <mergeCells count="33">
    <mergeCell ref="R9:R16"/>
    <mergeCell ref="I9:I16"/>
    <mergeCell ref="J9:J16"/>
    <mergeCell ref="K9:K16"/>
    <mergeCell ref="L9:L16"/>
    <mergeCell ref="M9:M16"/>
    <mergeCell ref="N9:N16"/>
    <mergeCell ref="H9:H16"/>
    <mergeCell ref="M6:Q6"/>
    <mergeCell ref="C7:D7"/>
    <mergeCell ref="E7:F7"/>
    <mergeCell ref="H7:I7"/>
    <mergeCell ref="J7:K7"/>
    <mergeCell ref="M7:N7"/>
    <mergeCell ref="O7:P7"/>
    <mergeCell ref="C9:C16"/>
    <mergeCell ref="D9:D16"/>
    <mergeCell ref="E9:E16"/>
    <mergeCell ref="F9:F16"/>
    <mergeCell ref="G9:G16"/>
    <mergeCell ref="O9:O16"/>
    <mergeCell ref="P9:P16"/>
    <mergeCell ref="Q9:Q16"/>
    <mergeCell ref="A1:B1"/>
    <mergeCell ref="Q3:R3"/>
    <mergeCell ref="A5:A8"/>
    <mergeCell ref="B5:B6"/>
    <mergeCell ref="C5:G5"/>
    <mergeCell ref="H5:L5"/>
    <mergeCell ref="M5:Q5"/>
    <mergeCell ref="R5:R8"/>
    <mergeCell ref="C6:G6"/>
    <mergeCell ref="H6:L6"/>
  </mergeCells>
  <pageMargins left="0.7" right="0.7" top="0.75" bottom="0.75" header="0.3" footer="0.3"/>
  <pageSetup scale="4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5" zoomScale="60" zoomScaleNormal="100" workbookViewId="0">
      <selection activeCell="C105" sqref="C105"/>
    </sheetView>
  </sheetViews>
  <sheetFormatPr defaultColWidth="8.7265625" defaultRowHeight="14.5"/>
  <cols>
    <col min="1" max="1" width="13.26953125" style="2665" customWidth="1"/>
    <col min="2" max="2" width="10.81640625" style="2665" customWidth="1"/>
    <col min="3" max="6" width="8.7265625" style="2665"/>
    <col min="7" max="7" width="10.1796875" style="2665" customWidth="1"/>
    <col min="8" max="8" width="9.7265625" style="2665" bestFit="1" customWidth="1"/>
    <col min="9" max="9" width="10.7265625" style="2665" customWidth="1"/>
    <col min="10" max="10" width="10.54296875" style="2665" customWidth="1"/>
    <col min="11" max="16384" width="8.7265625" style="2665"/>
  </cols>
  <sheetData>
    <row r="1" spans="1:10">
      <c r="A1" s="2991" t="s">
        <v>2978</v>
      </c>
      <c r="B1" s="2991"/>
      <c r="C1" s="1321"/>
      <c r="D1" s="1321"/>
      <c r="E1" s="1321"/>
      <c r="F1" s="1321"/>
      <c r="G1" s="1321"/>
      <c r="H1" s="1321"/>
      <c r="I1" s="1321"/>
      <c r="J1" s="1321"/>
    </row>
    <row r="2" spans="1:10">
      <c r="A2" s="246" t="s">
        <v>174</v>
      </c>
      <c r="B2" s="2335"/>
      <c r="C2" s="2335"/>
      <c r="D2" s="2335" t="s">
        <v>2256</v>
      </c>
      <c r="E2" s="2335"/>
      <c r="F2" s="1321"/>
      <c r="G2" s="1321"/>
      <c r="H2" s="1321"/>
      <c r="I2" s="1321"/>
      <c r="J2" s="1321"/>
    </row>
    <row r="3" spans="1:10">
      <c r="A3" s="304" t="s">
        <v>2979</v>
      </c>
      <c r="B3" s="304"/>
      <c r="C3" s="304"/>
      <c r="D3" s="304"/>
      <c r="E3" s="2661"/>
      <c r="F3" s="1321"/>
      <c r="G3" s="1321"/>
      <c r="H3" s="1321"/>
      <c r="I3" s="1321"/>
      <c r="J3" s="1321"/>
    </row>
    <row r="4" spans="1:10">
      <c r="A4" s="1231"/>
      <c r="B4" s="1231"/>
      <c r="C4" s="1231"/>
      <c r="D4" s="1231"/>
      <c r="E4" s="1231"/>
      <c r="F4" s="1321"/>
      <c r="G4" s="1321"/>
      <c r="H4" s="1321"/>
      <c r="I4" s="1321"/>
      <c r="J4" s="1321"/>
    </row>
    <row r="5" spans="1:10" ht="24.65" customHeight="1">
      <c r="A5" s="3081" t="s">
        <v>12</v>
      </c>
      <c r="B5" s="3081" t="s">
        <v>14</v>
      </c>
      <c r="C5" s="3018" t="s">
        <v>884</v>
      </c>
      <c r="D5" s="3019"/>
      <c r="E5" s="3019"/>
      <c r="F5" s="3022"/>
      <c r="G5" s="3562" t="s">
        <v>2980</v>
      </c>
      <c r="H5" s="3563"/>
      <c r="I5" s="767" t="s">
        <v>550</v>
      </c>
      <c r="J5" s="2732" t="s">
        <v>952</v>
      </c>
    </row>
    <row r="6" spans="1:10" ht="43.5" customHeight="1">
      <c r="A6" s="3079"/>
      <c r="B6" s="3079"/>
      <c r="C6" s="2653" t="s">
        <v>2981</v>
      </c>
      <c r="D6" s="2653" t="s">
        <v>555</v>
      </c>
      <c r="E6" s="2653" t="s">
        <v>553</v>
      </c>
      <c r="F6" s="2653" t="s">
        <v>551</v>
      </c>
      <c r="G6" s="3397" t="s">
        <v>545</v>
      </c>
      <c r="H6" s="3399"/>
      <c r="I6" s="659" t="s">
        <v>546</v>
      </c>
      <c r="J6" s="659" t="s">
        <v>547</v>
      </c>
    </row>
    <row r="7" spans="1:10" ht="29">
      <c r="A7" s="3080"/>
      <c r="B7" s="3080"/>
      <c r="C7" s="2653" t="s">
        <v>554</v>
      </c>
      <c r="D7" s="2653" t="s">
        <v>554</v>
      </c>
      <c r="E7" s="2653" t="s">
        <v>554</v>
      </c>
      <c r="F7" s="2664" t="s">
        <v>544</v>
      </c>
      <c r="G7" s="2668" t="s">
        <v>543</v>
      </c>
      <c r="H7" s="2664" t="s">
        <v>544</v>
      </c>
      <c r="I7" s="2732" t="s">
        <v>552</v>
      </c>
      <c r="J7" s="767" t="s">
        <v>283</v>
      </c>
    </row>
    <row r="8" spans="1:10">
      <c r="A8" s="8">
        <v>1</v>
      </c>
      <c r="B8" s="86" t="s">
        <v>2982</v>
      </c>
      <c r="C8" s="1443"/>
      <c r="D8" s="1443"/>
      <c r="E8" s="263"/>
      <c r="F8" s="263"/>
      <c r="G8" s="263"/>
      <c r="H8" s="263"/>
      <c r="I8" s="1065"/>
      <c r="J8" s="1065"/>
    </row>
    <row r="9" spans="1:10">
      <c r="A9" s="8"/>
      <c r="B9" s="2733" t="s">
        <v>2983</v>
      </c>
      <c r="C9" s="2734"/>
      <c r="D9" s="2735" t="s">
        <v>2984</v>
      </c>
      <c r="E9" s="2736" t="s">
        <v>2984</v>
      </c>
      <c r="F9" s="2737" t="str">
        <f>E9</f>
        <v>Oct.-Nov.</v>
      </c>
      <c r="G9" s="2737"/>
      <c r="H9" s="2737" t="s">
        <v>2984</v>
      </c>
      <c r="I9" s="2688" t="str">
        <f>F9</f>
        <v>Oct.-Nov.</v>
      </c>
      <c r="J9" s="2688" t="str">
        <f t="shared" ref="J9:J10" si="0">I9</f>
        <v>Oct.-Nov.</v>
      </c>
    </row>
    <row r="10" spans="1:10">
      <c r="A10" s="8"/>
      <c r="B10" s="2733" t="s">
        <v>2985</v>
      </c>
      <c r="C10" s="2734"/>
      <c r="D10" s="2735" t="s">
        <v>2986</v>
      </c>
      <c r="E10" s="2736" t="s">
        <v>2986</v>
      </c>
      <c r="F10" s="2737" t="str">
        <f>E10</f>
        <v>April-May</v>
      </c>
      <c r="G10" s="2737"/>
      <c r="H10" s="2737" t="s">
        <v>2986</v>
      </c>
      <c r="I10" s="2688" t="str">
        <f>F10</f>
        <v>April-May</v>
      </c>
      <c r="J10" s="2688" t="str">
        <f t="shared" si="0"/>
        <v>April-May</v>
      </c>
    </row>
    <row r="11" spans="1:10">
      <c r="A11" s="8"/>
      <c r="B11" s="2733" t="s">
        <v>2987</v>
      </c>
      <c r="C11" s="2734"/>
      <c r="D11" s="2734"/>
      <c r="E11" s="263"/>
      <c r="F11" s="263"/>
      <c r="G11" s="263"/>
      <c r="H11" s="263"/>
      <c r="I11" s="1065"/>
      <c r="J11" s="1065"/>
    </row>
    <row r="12" spans="1:10">
      <c r="A12" s="8"/>
      <c r="B12" s="86"/>
      <c r="C12" s="1443"/>
      <c r="D12" s="1443"/>
      <c r="E12" s="263"/>
      <c r="F12" s="263"/>
      <c r="G12" s="263"/>
      <c r="H12" s="263"/>
      <c r="I12" s="1065"/>
      <c r="J12" s="1065"/>
    </row>
    <row r="13" spans="1:10" ht="43.5">
      <c r="A13" s="8">
        <v>2</v>
      </c>
      <c r="B13" s="87" t="s">
        <v>2988</v>
      </c>
      <c r="C13" s="524"/>
      <c r="D13" s="524"/>
      <c r="E13" s="263"/>
      <c r="F13" s="263"/>
      <c r="G13" s="263"/>
      <c r="H13" s="263"/>
      <c r="I13" s="1065"/>
      <c r="J13" s="1065"/>
    </row>
    <row r="14" spans="1:10" ht="29">
      <c r="A14" s="8"/>
      <c r="B14" s="2733" t="s">
        <v>2989</v>
      </c>
      <c r="C14" s="2734"/>
      <c r="D14" s="2734"/>
      <c r="E14" s="263"/>
      <c r="F14" s="263"/>
      <c r="G14" s="263"/>
      <c r="H14" s="263"/>
      <c r="I14" s="1065"/>
      <c r="J14" s="1065"/>
    </row>
    <row r="15" spans="1:10" ht="43.5">
      <c r="A15" s="2738"/>
      <c r="B15" s="2733" t="s">
        <v>2990</v>
      </c>
      <c r="C15" s="2734"/>
      <c r="D15" s="2734"/>
      <c r="E15" s="263"/>
      <c r="F15" s="263"/>
      <c r="G15" s="263"/>
      <c r="H15" s="263"/>
      <c r="I15" s="1065"/>
      <c r="J15" s="1065"/>
    </row>
    <row r="16" spans="1:10">
      <c r="A16" s="2738"/>
      <c r="B16" s="2733"/>
      <c r="C16" s="2734"/>
      <c r="D16" s="2734"/>
      <c r="E16" s="263"/>
      <c r="F16" s="263"/>
      <c r="G16" s="263"/>
      <c r="H16" s="263"/>
      <c r="I16" s="1065"/>
      <c r="J16" s="1065"/>
    </row>
    <row r="17" spans="1:10" ht="43.5">
      <c r="A17" s="8">
        <v>3</v>
      </c>
      <c r="B17" s="87" t="s">
        <v>2991</v>
      </c>
      <c r="C17" s="524"/>
      <c r="D17" s="524"/>
      <c r="E17" s="263"/>
      <c r="F17" s="263"/>
      <c r="G17" s="263"/>
      <c r="H17" s="263"/>
      <c r="I17" s="1065"/>
      <c r="J17" s="1065"/>
    </row>
    <row r="18" spans="1:10">
      <c r="A18" s="8"/>
      <c r="B18" s="87"/>
      <c r="C18" s="524"/>
      <c r="D18" s="524"/>
      <c r="E18" s="263"/>
      <c r="F18" s="263"/>
      <c r="G18" s="263"/>
      <c r="H18" s="263"/>
      <c r="I18" s="1065"/>
      <c r="J18" s="1065"/>
    </row>
    <row r="19" spans="1:10" ht="58">
      <c r="A19" s="8">
        <v>4</v>
      </c>
      <c r="B19" s="87" t="s">
        <v>2992</v>
      </c>
      <c r="C19" s="524"/>
      <c r="D19" s="524"/>
      <c r="E19" s="263"/>
      <c r="F19" s="263"/>
      <c r="G19" s="263"/>
      <c r="H19" s="263"/>
      <c r="I19" s="1065"/>
      <c r="J19" s="1065"/>
    </row>
    <row r="20" spans="1:10" ht="29">
      <c r="A20" s="8"/>
      <c r="B20" s="2733" t="s">
        <v>2989</v>
      </c>
      <c r="C20" s="2734"/>
      <c r="D20" s="2734"/>
      <c r="E20" s="263"/>
      <c r="F20" s="263"/>
      <c r="G20" s="263"/>
      <c r="H20" s="263"/>
      <c r="I20" s="1065"/>
      <c r="J20" s="1065"/>
    </row>
    <row r="21" spans="1:10" ht="43.5">
      <c r="A21" s="2738"/>
      <c r="B21" s="2733" t="s">
        <v>2990</v>
      </c>
      <c r="C21" s="2734"/>
      <c r="D21" s="2734"/>
      <c r="E21" s="263"/>
      <c r="F21" s="263"/>
      <c r="G21" s="263"/>
      <c r="H21" s="263"/>
      <c r="I21" s="1065"/>
      <c r="J21" s="1065"/>
    </row>
    <row r="22" spans="1:10">
      <c r="A22" s="263"/>
      <c r="B22" s="263"/>
      <c r="C22" s="1065"/>
      <c r="D22" s="1065"/>
      <c r="E22" s="263"/>
      <c r="F22" s="263"/>
      <c r="G22" s="263"/>
      <c r="H22" s="263"/>
      <c r="I22" s="1065"/>
      <c r="J22" s="1065"/>
    </row>
    <row r="23" spans="1:10">
      <c r="A23" s="1321"/>
      <c r="B23" s="1321"/>
      <c r="C23" s="1321"/>
      <c r="D23" s="1321"/>
      <c r="E23" s="1321"/>
      <c r="F23" s="1321"/>
      <c r="G23" s="1321"/>
      <c r="H23" s="1321"/>
      <c r="I23" s="1321"/>
      <c r="J23" s="1321"/>
    </row>
    <row r="24" spans="1:10">
      <c r="A24" s="3564" t="s">
        <v>2993</v>
      </c>
      <c r="B24" s="3564"/>
      <c r="C24" s="3564"/>
      <c r="D24" s="3564"/>
      <c r="E24" s="3564"/>
      <c r="F24" s="1321"/>
      <c r="G24" s="1321"/>
      <c r="H24" s="1321"/>
      <c r="I24" s="1321"/>
      <c r="J24" s="1321"/>
    </row>
  </sheetData>
  <mergeCells count="7">
    <mergeCell ref="G5:H5"/>
    <mergeCell ref="G6:H6"/>
    <mergeCell ref="A24:E24"/>
    <mergeCell ref="A1:B1"/>
    <mergeCell ref="A5:A7"/>
    <mergeCell ref="B5:B7"/>
    <mergeCell ref="C5:F5"/>
  </mergeCells>
  <pageMargins left="0.7" right="0.7" top="0.75" bottom="0.75" header="0.3" footer="0.3"/>
  <pageSetup scale="9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view="pageBreakPreview" topLeftCell="A2" zoomScale="60" zoomScaleNormal="80" workbookViewId="0">
      <selection activeCell="C105" sqref="C105"/>
    </sheetView>
  </sheetViews>
  <sheetFormatPr defaultColWidth="8.7265625" defaultRowHeight="14.5"/>
  <cols>
    <col min="1" max="1" width="13.7265625" style="2665" customWidth="1"/>
    <col min="2" max="2" width="15.7265625" style="2665" bestFit="1" customWidth="1"/>
    <col min="3" max="3" width="14.54296875" style="2665" bestFit="1" customWidth="1"/>
    <col min="4" max="4" width="15.7265625" style="2665" bestFit="1" customWidth="1"/>
    <col min="5" max="5" width="14.54296875" style="2665" bestFit="1" customWidth="1"/>
    <col min="6" max="6" width="15.7265625" style="2665" bestFit="1" customWidth="1"/>
    <col min="7" max="7" width="14.54296875" style="2665" bestFit="1" customWidth="1"/>
    <col min="8" max="8" width="15.7265625" style="2665" bestFit="1" customWidth="1"/>
    <col min="9" max="9" width="14.54296875" style="2665" bestFit="1" customWidth="1"/>
    <col min="10" max="10" width="23.453125" style="2665" customWidth="1"/>
    <col min="11" max="16384" width="8.7265625" style="2665"/>
  </cols>
  <sheetData>
    <row r="1" spans="1:11">
      <c r="A1" s="3566" t="s">
        <v>2994</v>
      </c>
      <c r="B1" s="3566"/>
      <c r="C1" s="3566"/>
      <c r="D1" s="3566"/>
      <c r="E1" s="3566"/>
      <c r="F1" s="266"/>
      <c r="G1" s="266"/>
      <c r="H1" s="266"/>
      <c r="I1" s="266"/>
      <c r="J1" s="2739"/>
      <c r="K1" s="2739"/>
    </row>
    <row r="2" spans="1:11">
      <c r="A2" s="3567" t="s">
        <v>2635</v>
      </c>
      <c r="B2" s="3567"/>
      <c r="C2" s="3567"/>
      <c r="D2" s="3567"/>
      <c r="E2" s="3567"/>
      <c r="F2" s="3567"/>
      <c r="G2" s="3567"/>
      <c r="H2" s="3567"/>
      <c r="I2" s="3567"/>
      <c r="J2" s="3567"/>
      <c r="K2" s="2739"/>
    </row>
    <row r="3" spans="1:11">
      <c r="A3" s="2740" t="s">
        <v>2995</v>
      </c>
      <c r="B3" s="2740"/>
      <c r="C3" s="2740"/>
      <c r="D3" s="2740"/>
      <c r="E3" s="2740"/>
      <c r="F3" s="2740"/>
      <c r="G3" s="2740"/>
      <c r="H3" s="2740"/>
      <c r="I3" s="2740"/>
      <c r="J3" s="3555"/>
      <c r="K3" s="3555"/>
    </row>
    <row r="4" spans="1:11">
      <c r="A4" s="2741"/>
      <c r="B4" s="2741"/>
      <c r="C4" s="2741"/>
      <c r="D4" s="2741"/>
      <c r="E4" s="2741"/>
      <c r="F4" s="2741"/>
      <c r="G4" s="2741"/>
      <c r="H4" s="2741"/>
      <c r="I4" s="2741"/>
      <c r="J4" s="2739"/>
      <c r="K4" s="2739"/>
    </row>
    <row r="5" spans="1:11" ht="28.5" customHeight="1">
      <c r="A5" s="3081" t="s">
        <v>2996</v>
      </c>
      <c r="B5" s="3018" t="s">
        <v>555</v>
      </c>
      <c r="C5" s="3022"/>
      <c r="D5" s="3018" t="s">
        <v>553</v>
      </c>
      <c r="E5" s="3022"/>
      <c r="F5" s="3018" t="s">
        <v>551</v>
      </c>
      <c r="G5" s="3022"/>
      <c r="H5" s="3018" t="s">
        <v>545</v>
      </c>
      <c r="I5" s="3022"/>
      <c r="J5" s="3261" t="s">
        <v>2997</v>
      </c>
      <c r="K5" s="3261" t="s">
        <v>127</v>
      </c>
    </row>
    <row r="6" spans="1:11" ht="102" customHeight="1">
      <c r="A6" s="3080"/>
      <c r="B6" s="2666" t="s">
        <v>2998</v>
      </c>
      <c r="C6" s="2666" t="s">
        <v>2999</v>
      </c>
      <c r="D6" s="2666" t="s">
        <v>2998</v>
      </c>
      <c r="E6" s="2666" t="s">
        <v>2999</v>
      </c>
      <c r="F6" s="2666" t="s">
        <v>2998</v>
      </c>
      <c r="G6" s="2666" t="s">
        <v>2999</v>
      </c>
      <c r="H6" s="2666" t="s">
        <v>2998</v>
      </c>
      <c r="I6" s="2666" t="s">
        <v>2999</v>
      </c>
      <c r="J6" s="3261"/>
      <c r="K6" s="3261"/>
    </row>
    <row r="7" spans="1:11">
      <c r="A7" s="96" t="s">
        <v>245</v>
      </c>
      <c r="B7" s="2742">
        <v>52521</v>
      </c>
      <c r="C7" s="2743"/>
      <c r="D7" s="2744">
        <v>25319</v>
      </c>
      <c r="E7" s="2744"/>
      <c r="F7" s="2744">
        <v>115880</v>
      </c>
      <c r="G7" s="2630"/>
      <c r="H7" s="2744">
        <v>44100</v>
      </c>
      <c r="I7" s="2630"/>
      <c r="J7" s="2630"/>
      <c r="K7" s="2630"/>
    </row>
    <row r="8" spans="1:11">
      <c r="A8" s="96" t="s">
        <v>246</v>
      </c>
      <c r="B8" s="2742">
        <v>10937</v>
      </c>
      <c r="C8" s="2743"/>
      <c r="D8" s="2744">
        <v>163415</v>
      </c>
      <c r="E8" s="2744"/>
      <c r="F8" s="2744">
        <v>15296</v>
      </c>
      <c r="G8" s="2630"/>
      <c r="H8" s="2744">
        <v>32663</v>
      </c>
      <c r="I8" s="2630"/>
      <c r="J8" s="2630"/>
      <c r="K8" s="2630"/>
    </row>
    <row r="9" spans="1:11">
      <c r="A9" s="96" t="s">
        <v>247</v>
      </c>
      <c r="B9" s="2742">
        <v>62325</v>
      </c>
      <c r="C9" s="2743"/>
      <c r="D9" s="2744">
        <v>46473</v>
      </c>
      <c r="E9" s="2744"/>
      <c r="F9" s="2744">
        <v>37451</v>
      </c>
      <c r="G9" s="2630"/>
      <c r="H9" s="2744">
        <v>51265</v>
      </c>
      <c r="I9" s="2630"/>
      <c r="J9" s="2630"/>
      <c r="K9" s="2630"/>
    </row>
    <row r="10" spans="1:11">
      <c r="A10" s="96" t="s">
        <v>248</v>
      </c>
      <c r="B10" s="2742">
        <v>30313</v>
      </c>
      <c r="C10" s="2743"/>
      <c r="D10" s="2744">
        <v>101938</v>
      </c>
      <c r="E10" s="2744"/>
      <c r="F10" s="2744">
        <v>282635</v>
      </c>
      <c r="G10" s="2630"/>
      <c r="H10" s="2744">
        <v>58948</v>
      </c>
      <c r="I10" s="2630"/>
      <c r="J10" s="2630"/>
      <c r="K10" s="2630"/>
    </row>
    <row r="11" spans="1:11">
      <c r="A11" s="96" t="s">
        <v>249</v>
      </c>
      <c r="B11" s="2742">
        <v>42481</v>
      </c>
      <c r="C11" s="2743"/>
      <c r="D11" s="2744">
        <v>171859</v>
      </c>
      <c r="E11" s="2744"/>
      <c r="F11" s="2744">
        <v>207830</v>
      </c>
      <c r="G11" s="2630"/>
      <c r="H11" s="2744">
        <v>75288</v>
      </c>
      <c r="I11" s="2630"/>
      <c r="J11" s="2630"/>
      <c r="K11" s="2630"/>
    </row>
    <row r="12" spans="1:11">
      <c r="A12" s="96" t="s">
        <v>250</v>
      </c>
      <c r="B12" s="2742">
        <v>90147</v>
      </c>
      <c r="C12" s="2743"/>
      <c r="D12" s="2744">
        <v>301678</v>
      </c>
      <c r="E12" s="2744"/>
      <c r="F12" s="2744">
        <v>220797</v>
      </c>
      <c r="G12" s="2630"/>
      <c r="H12" s="2744">
        <v>67626</v>
      </c>
      <c r="I12" s="2630"/>
      <c r="J12" s="2630"/>
      <c r="K12" s="2630"/>
    </row>
    <row r="13" spans="1:11">
      <c r="A13" s="96" t="s">
        <v>255</v>
      </c>
      <c r="B13" s="2742">
        <v>45922</v>
      </c>
      <c r="C13" s="2743"/>
      <c r="D13" s="2744">
        <v>339062</v>
      </c>
      <c r="E13" s="2744"/>
      <c r="F13" s="2744">
        <v>33842</v>
      </c>
      <c r="G13" s="2630"/>
      <c r="H13" s="2744">
        <v>66176</v>
      </c>
      <c r="I13" s="2630"/>
      <c r="J13" s="2630"/>
      <c r="K13" s="2630"/>
    </row>
    <row r="14" spans="1:11">
      <c r="A14" s="96" t="s">
        <v>251</v>
      </c>
      <c r="B14" s="2742">
        <v>84344</v>
      </c>
      <c r="C14" s="2743"/>
      <c r="D14" s="2744">
        <v>357757</v>
      </c>
      <c r="E14" s="2744"/>
      <c r="F14" s="2744">
        <v>38574</v>
      </c>
      <c r="G14" s="2630"/>
      <c r="H14" s="2744">
        <v>157901</v>
      </c>
      <c r="I14" s="2630"/>
      <c r="J14" s="2630"/>
      <c r="K14" s="2630"/>
    </row>
    <row r="15" spans="1:11">
      <c r="A15" s="96" t="s">
        <v>252</v>
      </c>
      <c r="B15" s="2742">
        <v>33668</v>
      </c>
      <c r="C15" s="2743"/>
      <c r="D15" s="2744">
        <v>109961</v>
      </c>
      <c r="E15" s="2744"/>
      <c r="F15" s="2744">
        <v>33377</v>
      </c>
      <c r="G15" s="2630"/>
      <c r="H15" s="2744">
        <v>74622</v>
      </c>
      <c r="I15" s="2630"/>
      <c r="J15" s="2630"/>
      <c r="K15" s="2630"/>
    </row>
    <row r="16" spans="1:11">
      <c r="A16" s="96" t="s">
        <v>254</v>
      </c>
      <c r="B16" s="2742">
        <v>43218</v>
      </c>
      <c r="C16" s="2743"/>
      <c r="D16" s="2744">
        <v>132971</v>
      </c>
      <c r="E16" s="2744"/>
      <c r="F16" s="2744">
        <v>97481</v>
      </c>
      <c r="G16" s="2630"/>
      <c r="H16" s="2744">
        <v>52398</v>
      </c>
      <c r="I16" s="2630"/>
      <c r="J16" s="2630"/>
      <c r="K16" s="2630"/>
    </row>
    <row r="17" spans="1:11">
      <c r="A17" s="96" t="s">
        <v>253</v>
      </c>
      <c r="B17" s="2742">
        <v>31482</v>
      </c>
      <c r="C17" s="2743"/>
      <c r="D17" s="2744">
        <v>241771</v>
      </c>
      <c r="E17" s="2744"/>
      <c r="F17" s="2744"/>
      <c r="G17" s="2630"/>
      <c r="H17" s="2744">
        <v>63967</v>
      </c>
      <c r="I17" s="2630"/>
      <c r="J17" s="2630"/>
      <c r="K17" s="2630"/>
    </row>
    <row r="18" spans="1:11">
      <c r="A18" s="96" t="s">
        <v>256</v>
      </c>
      <c r="B18" s="2742">
        <v>49013</v>
      </c>
      <c r="C18" s="2743"/>
      <c r="D18" s="2744">
        <v>198274</v>
      </c>
      <c r="E18" s="2744"/>
      <c r="F18" s="2744"/>
      <c r="G18" s="2630"/>
      <c r="H18" s="2744">
        <v>63763</v>
      </c>
      <c r="I18" s="2630"/>
      <c r="J18" s="2630"/>
      <c r="K18" s="2630"/>
    </row>
    <row r="19" spans="1:11">
      <c r="A19" s="2745" t="s">
        <v>22</v>
      </c>
      <c r="B19" s="2746">
        <f>SUM(B7:B18)</f>
        <v>576371</v>
      </c>
      <c r="C19" s="2743"/>
      <c r="D19" s="2747">
        <f>SUM(D7:D18)</f>
        <v>2190478</v>
      </c>
      <c r="E19" s="2744"/>
      <c r="F19" s="2747">
        <f>SUM(F7:F18)</f>
        <v>1083163</v>
      </c>
      <c r="G19" s="2630"/>
      <c r="H19" s="2747">
        <f>SUM(H7:H18)</f>
        <v>808717</v>
      </c>
      <c r="I19" s="2630"/>
      <c r="J19" s="2630"/>
      <c r="K19" s="2630"/>
    </row>
    <row r="20" spans="1:11">
      <c r="A20" s="3565" t="s">
        <v>3000</v>
      </c>
      <c r="B20" s="3565"/>
      <c r="C20" s="3565"/>
      <c r="D20" s="3565"/>
      <c r="E20" s="3565"/>
      <c r="F20" s="3565"/>
      <c r="G20" s="3565"/>
      <c r="H20" s="3565"/>
      <c r="I20" s="3565"/>
      <c r="J20" s="3565"/>
      <c r="K20" s="2739"/>
    </row>
  </sheetData>
  <mergeCells count="11">
    <mergeCell ref="A20:J20"/>
    <mergeCell ref="A1:E1"/>
    <mergeCell ref="A2:J2"/>
    <mergeCell ref="J3:K3"/>
    <mergeCell ref="A5:A6"/>
    <mergeCell ref="B5:C5"/>
    <mergeCell ref="D5:E5"/>
    <mergeCell ref="F5:G5"/>
    <mergeCell ref="H5:I5"/>
    <mergeCell ref="J5:J6"/>
    <mergeCell ref="K5:K6"/>
  </mergeCells>
  <pageMargins left="0.70866141732283472" right="0.70866141732283472" top="0.74803149606299213" bottom="0.74803149606299213" header="0.31496062992125984" footer="0.31496062992125984"/>
  <pageSetup scale="54"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3"/>
  <sheetViews>
    <sheetView view="pageBreakPreview" topLeftCell="A15" zoomScale="40" zoomScaleNormal="100" zoomScaleSheetLayoutView="40" workbookViewId="0">
      <selection activeCell="C105" sqref="C105"/>
    </sheetView>
  </sheetViews>
  <sheetFormatPr defaultColWidth="8.7265625" defaultRowHeight="14.5"/>
  <cols>
    <col min="1" max="1" width="8.7265625" style="318"/>
    <col min="2" max="2" width="80" style="318" bestFit="1" customWidth="1"/>
    <col min="3" max="18" width="8.7265625" style="318"/>
    <col min="19" max="19" width="10.81640625" style="318" customWidth="1"/>
    <col min="20" max="20" width="11.7265625" style="318" customWidth="1"/>
    <col min="21" max="21" width="11.453125" style="318" customWidth="1"/>
    <col min="22" max="22" width="12.453125" style="318" customWidth="1"/>
    <col min="23" max="23" width="12" style="318" customWidth="1"/>
    <col min="24" max="24" width="13" style="318" customWidth="1"/>
    <col min="25" max="25" width="11.26953125" style="318" customWidth="1"/>
    <col min="26" max="26" width="10.81640625" style="318" customWidth="1"/>
    <col min="27" max="27" width="11" style="318" customWidth="1"/>
    <col min="28" max="28" width="11.26953125" style="318" customWidth="1"/>
    <col min="29" max="29" width="10.7265625" style="318" customWidth="1"/>
    <col min="30" max="30" width="10.453125" style="318" customWidth="1"/>
    <col min="31" max="16384" width="8.7265625" style="318"/>
  </cols>
  <sheetData>
    <row r="1" spans="1:30">
      <c r="A1" s="2767" t="s">
        <v>3001</v>
      </c>
      <c r="B1" s="2767"/>
      <c r="C1" s="2657"/>
      <c r="D1" s="2657"/>
      <c r="E1" s="2657"/>
      <c r="F1" s="2657"/>
      <c r="G1" s="2669"/>
      <c r="H1" s="2669"/>
      <c r="I1" s="2669"/>
      <c r="J1" s="2669"/>
      <c r="K1" s="2669"/>
      <c r="L1" s="2669"/>
      <c r="M1" s="2669"/>
      <c r="N1" s="2669"/>
      <c r="O1" s="2669"/>
      <c r="P1" s="2669"/>
      <c r="Q1" s="2669"/>
      <c r="R1" s="2669"/>
      <c r="S1" s="2669"/>
      <c r="T1" s="2669"/>
      <c r="U1" s="2669"/>
      <c r="V1" s="2669"/>
      <c r="W1" s="2669"/>
      <c r="X1" s="2669"/>
      <c r="Y1" s="2669"/>
      <c r="Z1" s="2669"/>
    </row>
    <row r="2" spans="1:30">
      <c r="A2" s="67" t="s">
        <v>2635</v>
      </c>
      <c r="B2" s="67"/>
      <c r="C2" s="67"/>
      <c r="D2" s="67"/>
      <c r="E2" s="67"/>
      <c r="F2" s="67"/>
      <c r="G2" s="67"/>
      <c r="H2" s="67"/>
      <c r="I2" s="2748"/>
      <c r="J2" s="2748"/>
      <c r="K2" s="2669"/>
      <c r="L2" s="2669"/>
      <c r="M2" s="2669"/>
      <c r="N2" s="2669"/>
      <c r="O2" s="2669"/>
      <c r="P2" s="2669"/>
      <c r="Q2" s="2669"/>
      <c r="R2" s="2669"/>
      <c r="S2" s="2669"/>
      <c r="T2" s="2669"/>
      <c r="U2" s="2669"/>
      <c r="V2" s="2669"/>
      <c r="W2" s="2669"/>
      <c r="X2" s="2669"/>
      <c r="Y2" s="2669"/>
      <c r="Z2" s="2669"/>
    </row>
    <row r="3" spans="1:30">
      <c r="A3" s="2658" t="s">
        <v>3002</v>
      </c>
      <c r="B3" s="2658"/>
      <c r="C3" s="2658"/>
      <c r="D3" s="2658"/>
      <c r="E3" s="2658"/>
      <c r="F3" s="2658"/>
      <c r="G3" s="2658"/>
      <c r="H3" s="2658"/>
      <c r="I3" s="2658"/>
      <c r="J3" s="3038"/>
      <c r="K3" s="3038"/>
      <c r="L3" s="3038"/>
      <c r="M3" s="3038"/>
      <c r="N3" s="3038"/>
      <c r="O3" s="3038"/>
      <c r="P3" s="3038"/>
      <c r="Q3" s="3038"/>
      <c r="R3" s="3038"/>
      <c r="S3" s="3038"/>
      <c r="T3" s="3038"/>
      <c r="U3" s="3038"/>
      <c r="V3" s="3038"/>
      <c r="W3" s="3038"/>
      <c r="X3" s="3038"/>
      <c r="Y3" s="3038"/>
      <c r="Z3" s="3038"/>
    </row>
    <row r="4" spans="1:30">
      <c r="A4" s="2749"/>
      <c r="B4" s="2749"/>
      <c r="C4" s="2749"/>
      <c r="D4" s="2749"/>
      <c r="E4" s="2749"/>
      <c r="F4" s="2749"/>
      <c r="G4" s="2749"/>
      <c r="H4" s="2749"/>
      <c r="I4" s="2749"/>
      <c r="J4" s="2749"/>
      <c r="K4" s="2669"/>
      <c r="L4" s="2669"/>
      <c r="M4" s="2669"/>
      <c r="N4" s="2669"/>
      <c r="O4" s="2669"/>
      <c r="P4" s="2669"/>
      <c r="Q4" s="2669"/>
      <c r="R4" s="2669"/>
      <c r="S4" s="2669"/>
      <c r="T4" s="2669"/>
      <c r="U4" s="2669"/>
      <c r="V4" s="2669"/>
      <c r="W4" s="2669"/>
      <c r="X4" s="2669"/>
      <c r="Y4" s="2669"/>
      <c r="Z4" s="2669"/>
    </row>
    <row r="5" spans="1:30" ht="22" customHeight="1">
      <c r="A5" s="2994" t="s">
        <v>474</v>
      </c>
      <c r="B5" s="2994" t="s">
        <v>179</v>
      </c>
      <c r="C5" s="3039" t="s">
        <v>556</v>
      </c>
      <c r="D5" s="3040"/>
      <c r="E5" s="3040"/>
      <c r="F5" s="3041"/>
      <c r="G5" s="3039" t="s">
        <v>555</v>
      </c>
      <c r="H5" s="3040"/>
      <c r="I5" s="3040"/>
      <c r="J5" s="3041"/>
      <c r="K5" s="2990" t="s">
        <v>553</v>
      </c>
      <c r="L5" s="2990"/>
      <c r="M5" s="2990"/>
      <c r="N5" s="2990"/>
      <c r="O5" s="2990" t="s">
        <v>3003</v>
      </c>
      <c r="P5" s="2990"/>
      <c r="Q5" s="2990"/>
      <c r="R5" s="2990"/>
      <c r="S5" s="2990" t="s">
        <v>545</v>
      </c>
      <c r="T5" s="2990"/>
      <c r="U5" s="2990"/>
      <c r="V5" s="2990"/>
      <c r="W5" s="2990" t="s">
        <v>546</v>
      </c>
      <c r="X5" s="2990"/>
      <c r="Y5" s="2990"/>
      <c r="Z5" s="2990"/>
      <c r="AA5" s="2990" t="s">
        <v>547</v>
      </c>
      <c r="AB5" s="2990"/>
      <c r="AC5" s="2990"/>
      <c r="AD5" s="2990"/>
    </row>
    <row r="6" spans="1:30" ht="101.5">
      <c r="A6" s="2994"/>
      <c r="B6" s="2994"/>
      <c r="C6" s="2653" t="s">
        <v>3004</v>
      </c>
      <c r="D6" s="2653" t="s">
        <v>3005</v>
      </c>
      <c r="E6" s="2653" t="s">
        <v>3006</v>
      </c>
      <c r="F6" s="2653" t="s">
        <v>3007</v>
      </c>
      <c r="G6" s="2653" t="s">
        <v>3004</v>
      </c>
      <c r="H6" s="2653" t="s">
        <v>3005</v>
      </c>
      <c r="I6" s="2653" t="s">
        <v>3006</v>
      </c>
      <c r="J6" s="2653" t="s">
        <v>3007</v>
      </c>
      <c r="K6" s="2653" t="s">
        <v>3004</v>
      </c>
      <c r="L6" s="2653" t="s">
        <v>3005</v>
      </c>
      <c r="M6" s="2653" t="s">
        <v>3006</v>
      </c>
      <c r="N6" s="2653" t="s">
        <v>3007</v>
      </c>
      <c r="O6" s="2653" t="s">
        <v>3004</v>
      </c>
      <c r="P6" s="2653" t="s">
        <v>3005</v>
      </c>
      <c r="Q6" s="2653" t="s">
        <v>3006</v>
      </c>
      <c r="R6" s="2653" t="s">
        <v>3007</v>
      </c>
      <c r="S6" s="2653" t="s">
        <v>3004</v>
      </c>
      <c r="T6" s="2653" t="s">
        <v>3005</v>
      </c>
      <c r="U6" s="2653" t="s">
        <v>3006</v>
      </c>
      <c r="V6" s="2653" t="s">
        <v>3007</v>
      </c>
      <c r="W6" s="2653" t="s">
        <v>3004</v>
      </c>
      <c r="X6" s="2653" t="s">
        <v>3005</v>
      </c>
      <c r="Y6" s="2653" t="s">
        <v>3006</v>
      </c>
      <c r="Z6" s="2653" t="s">
        <v>3007</v>
      </c>
      <c r="AA6" s="2653" t="s">
        <v>3004</v>
      </c>
      <c r="AB6" s="2653" t="s">
        <v>3005</v>
      </c>
      <c r="AC6" s="2653" t="s">
        <v>3006</v>
      </c>
      <c r="AD6" s="2653" t="s">
        <v>3007</v>
      </c>
    </row>
    <row r="7" spans="1:30" ht="28.5">
      <c r="A7" s="29">
        <v>1</v>
      </c>
      <c r="B7" s="972" t="s">
        <v>3008</v>
      </c>
      <c r="C7" s="972"/>
      <c r="D7" s="972"/>
      <c r="E7" s="972"/>
      <c r="F7" s="972"/>
      <c r="G7" s="2709">
        <v>4977410</v>
      </c>
      <c r="H7" s="2709">
        <v>2242122</v>
      </c>
      <c r="I7" s="1469">
        <v>610680</v>
      </c>
      <c r="J7" s="1469">
        <v>947594</v>
      </c>
      <c r="K7" s="1744">
        <v>7344661</v>
      </c>
      <c r="L7" s="2750">
        <v>1652522</v>
      </c>
      <c r="M7" s="29"/>
      <c r="N7" s="29"/>
      <c r="O7" s="2750">
        <v>7526727</v>
      </c>
      <c r="P7" s="2750">
        <v>1240956</v>
      </c>
      <c r="Q7" s="2751"/>
      <c r="R7" s="2751"/>
      <c r="S7" s="2752">
        <v>7856774</v>
      </c>
      <c r="T7" s="2752">
        <v>873338</v>
      </c>
      <c r="U7" s="2753"/>
      <c r="V7" s="2753"/>
      <c r="W7" s="2750"/>
      <c r="X7" s="2750"/>
      <c r="Y7" s="2751"/>
      <c r="Z7" s="2751"/>
      <c r="AA7" s="2750"/>
      <c r="AB7" s="2750"/>
      <c r="AC7" s="2751"/>
      <c r="AD7" s="2751"/>
    </row>
    <row r="8" spans="1:30" ht="28.5">
      <c r="A8" s="29" t="s">
        <v>132</v>
      </c>
      <c r="B8" s="1447" t="s">
        <v>475</v>
      </c>
      <c r="C8" s="1447"/>
      <c r="D8" s="1447"/>
      <c r="E8" s="1447"/>
      <c r="F8" s="1447"/>
      <c r="G8" s="2754"/>
      <c r="H8" s="1447"/>
      <c r="I8" s="1447"/>
      <c r="J8" s="1447"/>
      <c r="K8" s="29"/>
      <c r="L8" s="29"/>
      <c r="M8" s="29"/>
      <c r="N8" s="29"/>
      <c r="O8" s="2751"/>
      <c r="P8" s="2751"/>
      <c r="Q8" s="2751"/>
      <c r="R8" s="2751"/>
      <c r="S8" s="2753"/>
      <c r="T8" s="2753"/>
      <c r="U8" s="2753"/>
      <c r="V8" s="2753"/>
      <c r="W8" s="2751"/>
      <c r="X8" s="2751"/>
      <c r="Y8" s="2751"/>
      <c r="Z8" s="2751"/>
      <c r="AA8" s="2751"/>
      <c r="AB8" s="2751"/>
      <c r="AC8" s="2751"/>
      <c r="AD8" s="2751"/>
    </row>
    <row r="9" spans="1:30" ht="28.5">
      <c r="A9" s="29" t="s">
        <v>15</v>
      </c>
      <c r="B9" s="1447" t="s">
        <v>476</v>
      </c>
      <c r="C9" s="2755"/>
      <c r="D9" s="2755"/>
      <c r="E9" s="2755"/>
      <c r="F9" s="2755"/>
      <c r="G9" s="2755"/>
      <c r="H9" s="1447"/>
      <c r="I9" s="1447"/>
      <c r="J9" s="1447"/>
      <c r="K9" s="29"/>
      <c r="L9" s="29"/>
      <c r="M9" s="29"/>
      <c r="N9" s="29"/>
      <c r="O9" s="2751"/>
      <c r="P9" s="2751"/>
      <c r="Q9" s="2751"/>
      <c r="R9" s="2751"/>
      <c r="S9" s="2753"/>
      <c r="T9" s="2753"/>
      <c r="U9" s="2753"/>
      <c r="V9" s="2753"/>
      <c r="W9" s="2751"/>
      <c r="X9" s="2751"/>
      <c r="Y9" s="2751"/>
      <c r="Z9" s="2751"/>
      <c r="AA9" s="2751"/>
      <c r="AB9" s="2751"/>
      <c r="AC9" s="2751"/>
      <c r="AD9" s="2751"/>
    </row>
    <row r="10" spans="1:30" ht="28.5">
      <c r="A10" s="29" t="s">
        <v>16</v>
      </c>
      <c r="B10" s="1447" t="s">
        <v>3009</v>
      </c>
      <c r="C10" s="1447"/>
      <c r="D10" s="1447"/>
      <c r="E10" s="1447"/>
      <c r="F10" s="1447"/>
      <c r="G10" s="1447"/>
      <c r="H10" s="1447"/>
      <c r="I10" s="1447"/>
      <c r="J10" s="1447"/>
      <c r="K10" s="29"/>
      <c r="L10" s="29"/>
      <c r="M10" s="29"/>
      <c r="N10" s="29"/>
      <c r="O10" s="2751"/>
      <c r="P10" s="2751"/>
      <c r="Q10" s="2751"/>
      <c r="R10" s="2751"/>
      <c r="S10" s="2753"/>
      <c r="T10" s="2753"/>
      <c r="U10" s="2753"/>
      <c r="V10" s="2753"/>
      <c r="W10" s="2751"/>
      <c r="X10" s="2751"/>
      <c r="Y10" s="2751"/>
      <c r="Z10" s="2751"/>
      <c r="AA10" s="2751"/>
      <c r="AB10" s="2751"/>
      <c r="AC10" s="2751"/>
      <c r="AD10" s="2751"/>
    </row>
    <row r="11" spans="1:30" ht="28.5">
      <c r="A11" s="29" t="s">
        <v>3010</v>
      </c>
      <c r="B11" s="1447" t="s">
        <v>3011</v>
      </c>
      <c r="C11" s="1447"/>
      <c r="D11" s="1447"/>
      <c r="E11" s="1447"/>
      <c r="F11" s="1447"/>
      <c r="G11" s="1447"/>
      <c r="H11" s="1447"/>
      <c r="I11" s="1447"/>
      <c r="J11" s="1447"/>
      <c r="K11" s="29"/>
      <c r="L11" s="29"/>
      <c r="M11" s="29"/>
      <c r="N11" s="29"/>
      <c r="O11" s="2751"/>
      <c r="P11" s="2751"/>
      <c r="Q11" s="2751"/>
      <c r="R11" s="2751"/>
      <c r="S11" s="2753"/>
      <c r="T11" s="2753"/>
      <c r="U11" s="2753"/>
      <c r="V11" s="2753"/>
      <c r="W11" s="2751"/>
      <c r="X11" s="2751"/>
      <c r="Y11" s="2751"/>
      <c r="Z11" s="2751"/>
      <c r="AA11" s="2751"/>
      <c r="AB11" s="2751"/>
      <c r="AC11" s="2751"/>
      <c r="AD11" s="2751"/>
    </row>
    <row r="12" spans="1:30" ht="28.5">
      <c r="A12" s="29" t="s">
        <v>3012</v>
      </c>
      <c r="B12" s="1447" t="s">
        <v>3013</v>
      </c>
      <c r="C12" s="1447"/>
      <c r="D12" s="1447"/>
      <c r="E12" s="1447"/>
      <c r="F12" s="1447"/>
      <c r="G12" s="1447"/>
      <c r="H12" s="1447"/>
      <c r="I12" s="1447"/>
      <c r="J12" s="1447"/>
      <c r="K12" s="29"/>
      <c r="L12" s="29"/>
      <c r="M12" s="29"/>
      <c r="N12" s="29"/>
      <c r="O12" s="2751"/>
      <c r="P12" s="2751"/>
      <c r="Q12" s="2751"/>
      <c r="R12" s="2751"/>
      <c r="S12" s="2753"/>
      <c r="T12" s="2753"/>
      <c r="U12" s="2753"/>
      <c r="V12" s="2753"/>
      <c r="W12" s="2751"/>
      <c r="X12" s="2751"/>
      <c r="Y12" s="2751"/>
      <c r="Z12" s="2751"/>
      <c r="AA12" s="2751"/>
      <c r="AB12" s="2751"/>
      <c r="AC12" s="2751"/>
      <c r="AD12" s="2751"/>
    </row>
    <row r="13" spans="1:30" ht="28.5">
      <c r="A13" s="2651">
        <v>2</v>
      </c>
      <c r="B13" s="972" t="s">
        <v>3014</v>
      </c>
      <c r="C13" s="972"/>
      <c r="D13" s="972"/>
      <c r="E13" s="972"/>
      <c r="F13" s="972"/>
      <c r="G13" s="2752">
        <v>398416</v>
      </c>
      <c r="H13" s="2752">
        <v>37866</v>
      </c>
      <c r="I13" s="1447">
        <v>51978</v>
      </c>
      <c r="J13" s="1447">
        <v>85557</v>
      </c>
      <c r="K13" s="2750">
        <v>409879</v>
      </c>
      <c r="L13" s="2750">
        <v>30174</v>
      </c>
      <c r="M13" s="29"/>
      <c r="N13" s="29"/>
      <c r="O13" s="2750">
        <v>417437</v>
      </c>
      <c r="P13" s="2750">
        <v>26539</v>
      </c>
      <c r="Q13" s="2751"/>
      <c r="R13" s="2751"/>
      <c r="S13" s="2752">
        <v>449005</v>
      </c>
      <c r="T13" s="2752">
        <v>11712</v>
      </c>
      <c r="U13" s="2753"/>
      <c r="V13" s="2753"/>
      <c r="W13" s="2750"/>
      <c r="X13" s="2750"/>
      <c r="Y13" s="2751"/>
      <c r="Z13" s="2751"/>
      <c r="AA13" s="2750"/>
      <c r="AB13" s="2750"/>
      <c r="AC13" s="2751"/>
      <c r="AD13" s="2751"/>
    </row>
    <row r="14" spans="1:30" ht="28.5">
      <c r="A14" s="29" t="s">
        <v>132</v>
      </c>
      <c r="B14" s="1447" t="s">
        <v>475</v>
      </c>
      <c r="C14" s="1447"/>
      <c r="D14" s="1447"/>
      <c r="E14" s="1447"/>
      <c r="F14" s="1447"/>
      <c r="G14" s="2756"/>
      <c r="H14" s="1447"/>
      <c r="I14" s="1447"/>
      <c r="J14" s="1447"/>
      <c r="K14" s="29"/>
      <c r="L14" s="29"/>
      <c r="M14" s="29"/>
      <c r="N14" s="29"/>
      <c r="O14" s="2751"/>
      <c r="P14" s="2751"/>
      <c r="Q14" s="2751"/>
      <c r="R14" s="2751"/>
      <c r="S14" s="2753"/>
      <c r="T14" s="2753"/>
      <c r="U14" s="2753"/>
      <c r="V14" s="2753"/>
      <c r="W14" s="2751"/>
      <c r="X14" s="2751"/>
      <c r="Y14" s="2751"/>
      <c r="Z14" s="2751"/>
      <c r="AA14" s="2751"/>
      <c r="AB14" s="2751"/>
      <c r="AC14" s="2751"/>
      <c r="AD14" s="2751"/>
    </row>
    <row r="15" spans="1:30" ht="28.5">
      <c r="A15" s="29" t="s">
        <v>15</v>
      </c>
      <c r="B15" s="1447" t="s">
        <v>476</v>
      </c>
      <c r="C15" s="1447"/>
      <c r="D15" s="1447"/>
      <c r="E15" s="1447"/>
      <c r="F15" s="1447"/>
      <c r="G15" s="1447"/>
      <c r="H15" s="1447"/>
      <c r="I15" s="1447"/>
      <c r="J15" s="1447"/>
      <c r="K15" s="29"/>
      <c r="L15" s="29"/>
      <c r="M15" s="29"/>
      <c r="N15" s="29"/>
      <c r="O15" s="2751"/>
      <c r="P15" s="2751"/>
      <c r="Q15" s="2751"/>
      <c r="R15" s="2751"/>
      <c r="S15" s="2753"/>
      <c r="T15" s="2753"/>
      <c r="U15" s="2753"/>
      <c r="V15" s="2753"/>
      <c r="W15" s="2751"/>
      <c r="X15" s="2751"/>
      <c r="Y15" s="2751"/>
      <c r="Z15" s="2751"/>
      <c r="AA15" s="2751"/>
      <c r="AB15" s="2751"/>
      <c r="AC15" s="2751"/>
      <c r="AD15" s="2751"/>
    </row>
    <row r="16" spans="1:30" ht="28.5">
      <c r="A16" s="29" t="s">
        <v>16</v>
      </c>
      <c r="B16" s="1447" t="s">
        <v>3009</v>
      </c>
      <c r="C16" s="1447"/>
      <c r="D16" s="1447"/>
      <c r="E16" s="1447"/>
      <c r="F16" s="1447"/>
      <c r="G16" s="1447"/>
      <c r="H16" s="1447"/>
      <c r="I16" s="1447"/>
      <c r="J16" s="1447"/>
      <c r="K16" s="29"/>
      <c r="L16" s="29"/>
      <c r="M16" s="29"/>
      <c r="N16" s="29"/>
      <c r="O16" s="2751"/>
      <c r="P16" s="2751"/>
      <c r="Q16" s="2751"/>
      <c r="R16" s="2751"/>
      <c r="S16" s="2753"/>
      <c r="T16" s="2753"/>
      <c r="U16" s="2753"/>
      <c r="V16" s="2753"/>
      <c r="W16" s="2751"/>
      <c r="X16" s="2751"/>
      <c r="Y16" s="2751"/>
      <c r="Z16" s="2751"/>
      <c r="AA16" s="2751"/>
      <c r="AB16" s="2751"/>
      <c r="AC16" s="2751"/>
      <c r="AD16" s="2751"/>
    </row>
    <row r="17" spans="1:30" ht="28.5">
      <c r="A17" s="29" t="s">
        <v>3010</v>
      </c>
      <c r="B17" s="1447" t="s">
        <v>3011</v>
      </c>
      <c r="C17" s="1447"/>
      <c r="D17" s="1447"/>
      <c r="E17" s="1447"/>
      <c r="F17" s="1447"/>
      <c r="G17" s="2754"/>
      <c r="H17" s="1447"/>
      <c r="I17" s="1447"/>
      <c r="J17" s="1447"/>
      <c r="K17" s="29"/>
      <c r="L17" s="29"/>
      <c r="M17" s="29"/>
      <c r="N17" s="29"/>
      <c r="O17" s="2751"/>
      <c r="P17" s="2751"/>
      <c r="Q17" s="2751"/>
      <c r="R17" s="2751"/>
      <c r="S17" s="2753"/>
      <c r="T17" s="2753"/>
      <c r="U17" s="2753"/>
      <c r="V17" s="2753"/>
      <c r="W17" s="2751"/>
      <c r="X17" s="2751"/>
      <c r="Y17" s="2751"/>
      <c r="Z17" s="2751"/>
      <c r="AA17" s="2751"/>
      <c r="AB17" s="2751"/>
      <c r="AC17" s="2751"/>
      <c r="AD17" s="2751"/>
    </row>
    <row r="18" spans="1:30" ht="28.5">
      <c r="A18" s="29"/>
      <c r="B18" s="1447"/>
      <c r="C18" s="1447"/>
      <c r="D18" s="1447"/>
      <c r="E18" s="1447"/>
      <c r="F18" s="1447"/>
      <c r="G18" s="2754"/>
      <c r="H18" s="1447"/>
      <c r="I18" s="1447"/>
      <c r="J18" s="1447"/>
      <c r="K18" s="29"/>
      <c r="L18" s="29"/>
      <c r="M18" s="29"/>
      <c r="N18" s="29"/>
      <c r="O18" s="2751"/>
      <c r="P18" s="2751"/>
      <c r="Q18" s="2751"/>
      <c r="R18" s="2751"/>
      <c r="S18" s="2753"/>
      <c r="T18" s="2753"/>
      <c r="U18" s="2753"/>
      <c r="V18" s="2753"/>
      <c r="W18" s="2751"/>
      <c r="X18" s="2751"/>
      <c r="Y18" s="2751"/>
      <c r="Z18" s="2751"/>
      <c r="AA18" s="2751"/>
      <c r="AB18" s="2751"/>
      <c r="AC18" s="2751"/>
      <c r="AD18" s="2751"/>
    </row>
    <row r="19" spans="1:30" ht="28.5">
      <c r="A19" s="2651">
        <v>3</v>
      </c>
      <c r="B19" s="972" t="s">
        <v>3015</v>
      </c>
      <c r="C19" s="972"/>
      <c r="D19" s="972"/>
      <c r="E19" s="972"/>
      <c r="F19" s="972"/>
      <c r="G19" s="2709">
        <v>322</v>
      </c>
      <c r="H19" s="2709">
        <v>29</v>
      </c>
      <c r="I19" s="1469">
        <v>2</v>
      </c>
      <c r="J19" s="1469">
        <v>4</v>
      </c>
      <c r="K19" s="2750">
        <v>273</v>
      </c>
      <c r="L19" s="2750">
        <v>34</v>
      </c>
      <c r="M19" s="29"/>
      <c r="N19" s="29"/>
      <c r="O19" s="2750">
        <v>348</v>
      </c>
      <c r="P19" s="2750">
        <v>29</v>
      </c>
      <c r="Q19" s="2751"/>
      <c r="R19" s="2751"/>
      <c r="S19" s="2752">
        <v>439</v>
      </c>
      <c r="T19" s="2752">
        <v>327</v>
      </c>
      <c r="U19" s="2753"/>
      <c r="V19" s="2753"/>
      <c r="W19" s="2750"/>
      <c r="X19" s="2750"/>
      <c r="Y19" s="2751"/>
      <c r="Z19" s="2751"/>
      <c r="AA19" s="2750"/>
      <c r="AB19" s="2750"/>
      <c r="AC19" s="2751"/>
      <c r="AD19" s="2751"/>
    </row>
    <row r="20" spans="1:30">
      <c r="A20" s="29" t="s">
        <v>140</v>
      </c>
      <c r="B20" s="1447" t="s">
        <v>3016</v>
      </c>
      <c r="C20" s="1447"/>
      <c r="D20" s="1447"/>
      <c r="E20" s="1447"/>
      <c r="F20" s="1447"/>
      <c r="G20" s="1447"/>
      <c r="H20" s="1447"/>
      <c r="I20" s="1447"/>
      <c r="J20" s="1447"/>
      <c r="K20" s="29"/>
      <c r="L20" s="29"/>
      <c r="M20" s="29"/>
      <c r="N20" s="29"/>
      <c r="O20" s="29"/>
      <c r="P20" s="29"/>
      <c r="Q20" s="29"/>
      <c r="R20" s="29"/>
      <c r="S20" s="1447"/>
      <c r="T20" s="1447"/>
      <c r="U20" s="1447"/>
      <c r="V20" s="1447"/>
      <c r="W20" s="29"/>
      <c r="X20" s="29"/>
      <c r="Y20" s="29"/>
      <c r="Z20" s="29"/>
      <c r="AA20" s="29"/>
      <c r="AB20" s="29"/>
      <c r="AC20" s="29"/>
      <c r="AD20" s="29"/>
    </row>
    <row r="21" spans="1:30">
      <c r="A21" s="29" t="s">
        <v>16</v>
      </c>
      <c r="B21" s="1447" t="s">
        <v>3017</v>
      </c>
      <c r="C21" s="1447"/>
      <c r="D21" s="1447"/>
      <c r="E21" s="1447"/>
      <c r="F21" s="1447"/>
      <c r="G21" s="1447"/>
      <c r="H21" s="1447"/>
      <c r="I21" s="1447"/>
      <c r="J21" s="1447"/>
      <c r="K21" s="29"/>
      <c r="L21" s="29"/>
      <c r="M21" s="29"/>
      <c r="N21" s="29"/>
      <c r="O21" s="29"/>
      <c r="P21" s="29"/>
      <c r="Q21" s="29"/>
      <c r="R21" s="29"/>
      <c r="S21" s="1447"/>
      <c r="T21" s="1447"/>
      <c r="U21" s="1447"/>
      <c r="V21" s="1447"/>
      <c r="W21" s="29"/>
      <c r="X21" s="29"/>
      <c r="Y21" s="29"/>
      <c r="Z21" s="29"/>
      <c r="AA21" s="29"/>
      <c r="AB21" s="29"/>
      <c r="AC21" s="29"/>
      <c r="AD21" s="29"/>
    </row>
    <row r="22" spans="1:30">
      <c r="A22" s="29">
        <v>4</v>
      </c>
      <c r="B22" s="972" t="s">
        <v>3018</v>
      </c>
      <c r="C22" s="972"/>
      <c r="D22" s="972"/>
      <c r="E22" s="972"/>
      <c r="F22" s="972"/>
      <c r="G22" s="2709">
        <v>17945</v>
      </c>
      <c r="H22" s="1469">
        <v>0</v>
      </c>
      <c r="I22" s="1469">
        <v>6919</v>
      </c>
      <c r="J22" s="1469">
        <v>7162</v>
      </c>
      <c r="K22" s="2750">
        <v>18950</v>
      </c>
      <c r="L22" s="29">
        <v>0</v>
      </c>
      <c r="M22" s="29"/>
      <c r="N22" s="29"/>
      <c r="O22" s="2750">
        <v>22038</v>
      </c>
      <c r="P22" s="29">
        <v>0</v>
      </c>
      <c r="Q22" s="29"/>
      <c r="R22" s="29"/>
      <c r="S22" s="2752">
        <v>28313</v>
      </c>
      <c r="T22" s="1447">
        <v>0</v>
      </c>
      <c r="U22" s="1447"/>
      <c r="V22" s="1447"/>
      <c r="W22" s="2750"/>
      <c r="X22" s="29"/>
      <c r="Y22" s="29"/>
      <c r="Z22" s="29"/>
      <c r="AA22" s="2750"/>
      <c r="AB22" s="29"/>
      <c r="AC22" s="29"/>
      <c r="AD22" s="29"/>
    </row>
    <row r="23" spans="1:30">
      <c r="A23" s="29" t="s">
        <v>140</v>
      </c>
      <c r="B23" s="1447" t="s">
        <v>3019</v>
      </c>
      <c r="C23" s="1447"/>
      <c r="D23" s="1447"/>
      <c r="E23" s="1447"/>
      <c r="F23" s="1447"/>
      <c r="G23" s="1447"/>
      <c r="H23" s="1447"/>
      <c r="I23" s="1447"/>
      <c r="J23" s="1447"/>
      <c r="K23" s="29"/>
      <c r="L23" s="29"/>
      <c r="M23" s="29"/>
      <c r="N23" s="29"/>
      <c r="O23" s="29"/>
      <c r="P23" s="29"/>
      <c r="Q23" s="29"/>
      <c r="R23" s="29"/>
      <c r="S23" s="1447"/>
      <c r="T23" s="1447"/>
      <c r="U23" s="1447"/>
      <c r="V23" s="1447"/>
      <c r="W23" s="29"/>
      <c r="X23" s="29"/>
      <c r="Y23" s="29"/>
      <c r="Z23" s="29"/>
      <c r="AA23" s="29"/>
      <c r="AB23" s="29"/>
      <c r="AC23" s="29"/>
      <c r="AD23" s="29"/>
    </row>
    <row r="24" spans="1:30">
      <c r="A24" s="29" t="s">
        <v>16</v>
      </c>
      <c r="B24" s="1447" t="s">
        <v>3020</v>
      </c>
      <c r="C24" s="1447"/>
      <c r="D24" s="1447"/>
      <c r="E24" s="1447"/>
      <c r="F24" s="1447"/>
      <c r="G24" s="1447"/>
      <c r="H24" s="1447"/>
      <c r="I24" s="1447"/>
      <c r="J24" s="1447"/>
      <c r="K24" s="29"/>
      <c r="L24" s="29"/>
      <c r="M24" s="29"/>
      <c r="N24" s="29"/>
      <c r="O24" s="29"/>
      <c r="P24" s="29"/>
      <c r="Q24" s="29"/>
      <c r="R24" s="29"/>
      <c r="S24" s="1447"/>
      <c r="T24" s="1447"/>
      <c r="U24" s="1447"/>
      <c r="V24" s="1447"/>
      <c r="W24" s="29"/>
      <c r="X24" s="29"/>
      <c r="Y24" s="29"/>
      <c r="Z24" s="29"/>
      <c r="AA24" s="29"/>
      <c r="AB24" s="29"/>
      <c r="AC24" s="29"/>
      <c r="AD24" s="29"/>
    </row>
    <row r="25" spans="1:30">
      <c r="A25" s="29"/>
      <c r="B25" s="972"/>
      <c r="C25" s="972"/>
      <c r="D25" s="972"/>
      <c r="E25" s="972"/>
      <c r="F25" s="972"/>
      <c r="G25" s="1447"/>
      <c r="H25" s="1447"/>
      <c r="I25" s="1447"/>
      <c r="J25" s="1447"/>
      <c r="K25" s="29"/>
      <c r="L25" s="29"/>
      <c r="M25" s="29"/>
      <c r="N25" s="29"/>
      <c r="O25" s="29"/>
      <c r="P25" s="29"/>
      <c r="Q25" s="29"/>
      <c r="R25" s="29"/>
      <c r="S25" s="1447"/>
      <c r="T25" s="1447"/>
      <c r="U25" s="1447"/>
      <c r="V25" s="1447"/>
      <c r="W25" s="29"/>
      <c r="X25" s="29"/>
      <c r="Y25" s="29"/>
      <c r="Z25" s="29"/>
      <c r="AA25" s="29"/>
      <c r="AB25" s="29"/>
      <c r="AC25" s="29"/>
      <c r="AD25" s="29"/>
    </row>
    <row r="26" spans="1:30">
      <c r="A26" s="29">
        <v>5</v>
      </c>
      <c r="B26" s="2757" t="s">
        <v>3021</v>
      </c>
      <c r="C26" s="2757"/>
      <c r="D26" s="2757"/>
      <c r="E26" s="2757"/>
      <c r="F26" s="2757"/>
      <c r="G26" s="2758">
        <v>277213</v>
      </c>
      <c r="H26" s="2752">
        <v>257260</v>
      </c>
      <c r="I26" s="1447">
        <v>6570</v>
      </c>
      <c r="J26" s="1447">
        <v>6207</v>
      </c>
      <c r="K26" s="2750">
        <v>299860</v>
      </c>
      <c r="L26" s="2750">
        <v>275148</v>
      </c>
      <c r="M26" s="29"/>
      <c r="N26" s="29"/>
      <c r="O26" s="2750">
        <v>305833</v>
      </c>
      <c r="P26" s="2750">
        <v>281151</v>
      </c>
      <c r="Q26" s="29"/>
      <c r="R26" s="29"/>
      <c r="S26" s="2752">
        <v>318408</v>
      </c>
      <c r="T26" s="2752">
        <v>289587</v>
      </c>
      <c r="U26" s="1447"/>
      <c r="V26" s="1447"/>
      <c r="W26" s="2750"/>
      <c r="X26" s="2750"/>
      <c r="Y26" s="29"/>
      <c r="Z26" s="29"/>
      <c r="AA26" s="2750"/>
      <c r="AB26" s="2750"/>
      <c r="AC26" s="29"/>
      <c r="AD26" s="29"/>
    </row>
    <row r="27" spans="1:30">
      <c r="A27" s="29" t="s">
        <v>132</v>
      </c>
      <c r="B27" s="2754" t="s">
        <v>3022</v>
      </c>
      <c r="C27" s="2754"/>
      <c r="D27" s="2754"/>
      <c r="E27" s="2754"/>
      <c r="F27" s="2754"/>
      <c r="G27" s="2754"/>
      <c r="H27" s="1447"/>
      <c r="I27" s="1447"/>
      <c r="J27" s="1447"/>
      <c r="K27" s="29"/>
      <c r="L27" s="29"/>
      <c r="M27" s="29"/>
      <c r="N27" s="29"/>
      <c r="O27" s="29"/>
      <c r="P27" s="29"/>
      <c r="Q27" s="29"/>
      <c r="R27" s="29"/>
      <c r="S27" s="1447"/>
      <c r="T27" s="1447"/>
      <c r="U27" s="1447"/>
      <c r="V27" s="1447"/>
      <c r="W27" s="29"/>
      <c r="X27" s="29"/>
      <c r="Y27" s="29"/>
      <c r="Z27" s="29"/>
      <c r="AA27" s="29"/>
      <c r="AB27" s="29"/>
      <c r="AC27" s="29"/>
      <c r="AD27" s="29"/>
    </row>
    <row r="28" spans="1:30">
      <c r="A28" s="29" t="s">
        <v>140</v>
      </c>
      <c r="B28" s="2754" t="s">
        <v>3023</v>
      </c>
      <c r="C28" s="2754"/>
      <c r="D28" s="2754"/>
      <c r="E28" s="2754"/>
      <c r="F28" s="2754"/>
      <c r="G28" s="2754" t="s">
        <v>3024</v>
      </c>
      <c r="H28" s="1447"/>
      <c r="I28" s="1447"/>
      <c r="J28" s="1447"/>
      <c r="K28" s="29"/>
      <c r="L28" s="29"/>
      <c r="M28" s="29"/>
      <c r="N28" s="29"/>
      <c r="O28" s="29"/>
      <c r="P28" s="29"/>
      <c r="Q28" s="29"/>
      <c r="R28" s="29"/>
      <c r="S28" s="1447"/>
      <c r="T28" s="1447"/>
      <c r="U28" s="1447"/>
      <c r="V28" s="1447"/>
      <c r="W28" s="29"/>
      <c r="X28" s="29"/>
      <c r="Y28" s="29"/>
      <c r="Z28" s="29"/>
      <c r="AA28" s="29"/>
      <c r="AB28" s="29"/>
      <c r="AC28" s="29"/>
      <c r="AD28" s="29"/>
    </row>
    <row r="29" spans="1:30">
      <c r="A29" s="29" t="s">
        <v>16</v>
      </c>
      <c r="B29" s="2754" t="s">
        <v>3025</v>
      </c>
      <c r="C29" s="2754"/>
      <c r="D29" s="2754"/>
      <c r="E29" s="2754"/>
      <c r="F29" s="2754"/>
      <c r="G29" s="2754"/>
      <c r="H29" s="1447"/>
      <c r="I29" s="1447"/>
      <c r="J29" s="1447"/>
      <c r="K29" s="29"/>
      <c r="L29" s="29"/>
      <c r="M29" s="29"/>
      <c r="N29" s="29"/>
      <c r="O29" s="29"/>
      <c r="P29" s="29"/>
      <c r="Q29" s="29"/>
      <c r="R29" s="29"/>
      <c r="S29" s="1447"/>
      <c r="T29" s="1447"/>
      <c r="U29" s="1447"/>
      <c r="V29" s="1447"/>
      <c r="W29" s="29"/>
      <c r="X29" s="29"/>
      <c r="Y29" s="29"/>
      <c r="Z29" s="29"/>
      <c r="AA29" s="29"/>
      <c r="AB29" s="29"/>
      <c r="AC29" s="29"/>
      <c r="AD29" s="29"/>
    </row>
    <row r="30" spans="1:30">
      <c r="A30" s="29" t="s">
        <v>3010</v>
      </c>
      <c r="B30" s="2754" t="s">
        <v>3026</v>
      </c>
      <c r="C30" s="2754"/>
      <c r="D30" s="2754"/>
      <c r="E30" s="2754"/>
      <c r="F30" s="2754"/>
      <c r="G30" s="2754"/>
      <c r="H30" s="1447"/>
      <c r="I30" s="1447"/>
      <c r="J30" s="1447"/>
      <c r="K30" s="29"/>
      <c r="L30" s="29"/>
      <c r="M30" s="29"/>
      <c r="N30" s="29"/>
      <c r="O30" s="29"/>
      <c r="P30" s="29"/>
      <c r="Q30" s="29"/>
      <c r="R30" s="29"/>
      <c r="S30" s="1447"/>
      <c r="T30" s="1447"/>
      <c r="U30" s="1447"/>
      <c r="V30" s="1447"/>
      <c r="W30" s="29"/>
      <c r="X30" s="29"/>
      <c r="Y30" s="29"/>
      <c r="Z30" s="29"/>
      <c r="AA30" s="29"/>
      <c r="AB30" s="29"/>
      <c r="AC30" s="29"/>
      <c r="AD30" s="29"/>
    </row>
    <row r="31" spans="1:30">
      <c r="A31" s="29" t="s">
        <v>140</v>
      </c>
      <c r="B31" s="2759" t="s">
        <v>3027</v>
      </c>
      <c r="C31" s="2760"/>
      <c r="D31" s="2760"/>
      <c r="E31" s="2760"/>
      <c r="F31" s="2760"/>
      <c r="G31" s="2761"/>
      <c r="H31" s="1447"/>
      <c r="I31" s="1447"/>
      <c r="J31" s="1447"/>
      <c r="K31" s="29"/>
      <c r="L31" s="29"/>
      <c r="M31" s="29"/>
      <c r="N31" s="29"/>
      <c r="O31" s="29"/>
      <c r="P31" s="29"/>
      <c r="Q31" s="29"/>
      <c r="R31" s="29"/>
      <c r="S31" s="1447"/>
      <c r="T31" s="1447"/>
      <c r="U31" s="1447"/>
      <c r="V31" s="1447"/>
      <c r="W31" s="29"/>
      <c r="X31" s="29"/>
      <c r="Y31" s="29"/>
      <c r="Z31" s="29"/>
      <c r="AA31" s="29"/>
      <c r="AB31" s="29"/>
      <c r="AC31" s="29"/>
      <c r="AD31" s="29"/>
    </row>
    <row r="32" spans="1:30">
      <c r="A32" s="29"/>
      <c r="B32" s="972"/>
      <c r="C32" s="972"/>
      <c r="D32" s="972"/>
      <c r="E32" s="972"/>
      <c r="F32" s="972"/>
      <c r="G32" s="1447"/>
      <c r="H32" s="1447"/>
      <c r="I32" s="1447"/>
      <c r="J32" s="1447"/>
      <c r="K32" s="29"/>
      <c r="L32" s="29"/>
      <c r="M32" s="29"/>
      <c r="N32" s="29"/>
      <c r="O32" s="29"/>
      <c r="P32" s="29"/>
      <c r="Q32" s="29"/>
      <c r="R32" s="29"/>
      <c r="S32" s="1447"/>
      <c r="T32" s="1447"/>
      <c r="U32" s="1447"/>
      <c r="V32" s="1447"/>
      <c r="W32" s="29"/>
      <c r="X32" s="29"/>
      <c r="Y32" s="29"/>
      <c r="Z32" s="29"/>
      <c r="AA32" s="29"/>
      <c r="AB32" s="29"/>
      <c r="AC32" s="29"/>
      <c r="AD32" s="29"/>
    </row>
    <row r="33" spans="1:30">
      <c r="A33" s="29">
        <v>6</v>
      </c>
      <c r="B33" s="2756" t="s">
        <v>3028</v>
      </c>
      <c r="C33" s="2756"/>
      <c r="D33" s="2756"/>
      <c r="E33" s="2756"/>
      <c r="F33" s="2756"/>
      <c r="G33" s="2758">
        <v>33009</v>
      </c>
      <c r="H33" s="1447">
        <v>0</v>
      </c>
      <c r="I33" s="1447">
        <v>4868</v>
      </c>
      <c r="J33" s="1447">
        <v>7264</v>
      </c>
      <c r="K33" s="2750">
        <v>31873</v>
      </c>
      <c r="L33" s="29">
        <v>0</v>
      </c>
      <c r="M33" s="29"/>
      <c r="N33" s="29"/>
      <c r="O33" s="2750">
        <v>30172</v>
      </c>
      <c r="P33" s="29">
        <v>0</v>
      </c>
      <c r="Q33" s="29"/>
      <c r="R33" s="29"/>
      <c r="S33" s="2752">
        <v>31054</v>
      </c>
      <c r="T33" s="1447">
        <v>0</v>
      </c>
      <c r="U33" s="1447"/>
      <c r="V33" s="1447"/>
      <c r="W33" s="2750"/>
      <c r="X33" s="29"/>
      <c r="Y33" s="29"/>
      <c r="Z33" s="29"/>
      <c r="AA33" s="2750"/>
      <c r="AB33" s="29"/>
      <c r="AC33" s="29"/>
      <c r="AD33" s="29"/>
    </row>
    <row r="34" spans="1:30">
      <c r="A34" s="29" t="s">
        <v>811</v>
      </c>
      <c r="B34" s="2754" t="s">
        <v>3029</v>
      </c>
      <c r="C34" s="2754"/>
      <c r="D34" s="2754"/>
      <c r="E34" s="2754"/>
      <c r="F34" s="2754"/>
      <c r="G34" s="2754"/>
      <c r="H34" s="1447"/>
      <c r="I34" s="1447"/>
      <c r="J34" s="1447"/>
      <c r="K34" s="29"/>
      <c r="L34" s="29"/>
      <c r="M34" s="29"/>
      <c r="N34" s="29"/>
      <c r="O34" s="29"/>
      <c r="P34" s="29"/>
      <c r="Q34" s="29"/>
      <c r="R34" s="29"/>
      <c r="S34" s="1447"/>
      <c r="T34" s="1447"/>
      <c r="U34" s="1447"/>
      <c r="V34" s="1447"/>
      <c r="W34" s="29"/>
      <c r="X34" s="29"/>
      <c r="Y34" s="29"/>
      <c r="Z34" s="29"/>
      <c r="AA34" s="29"/>
      <c r="AB34" s="29"/>
      <c r="AC34" s="29"/>
      <c r="AD34" s="29"/>
    </row>
    <row r="35" spans="1:30">
      <c r="A35" s="29" t="s">
        <v>810</v>
      </c>
      <c r="B35" s="2759" t="s">
        <v>1012</v>
      </c>
      <c r="C35" s="2760"/>
      <c r="D35" s="2760"/>
      <c r="E35" s="2760"/>
      <c r="F35" s="2760"/>
      <c r="G35" s="2761"/>
      <c r="H35" s="1447"/>
      <c r="I35" s="1447"/>
      <c r="J35" s="1447"/>
      <c r="K35" s="29"/>
      <c r="L35" s="29"/>
      <c r="M35" s="29"/>
      <c r="N35" s="29"/>
      <c r="O35" s="29"/>
      <c r="P35" s="29"/>
      <c r="Q35" s="29"/>
      <c r="R35" s="29"/>
      <c r="S35" s="1447"/>
      <c r="T35" s="1447"/>
      <c r="U35" s="1447"/>
      <c r="V35" s="1447"/>
      <c r="W35" s="29"/>
      <c r="X35" s="29"/>
      <c r="Y35" s="29"/>
      <c r="Z35" s="29"/>
      <c r="AA35" s="29"/>
      <c r="AB35" s="29"/>
      <c r="AC35" s="29"/>
      <c r="AD35" s="29"/>
    </row>
    <row r="36" spans="1:30">
      <c r="A36" s="29"/>
      <c r="B36" s="2757"/>
      <c r="C36" s="2762"/>
      <c r="D36" s="2762"/>
      <c r="E36" s="2762"/>
      <c r="F36" s="2762"/>
      <c r="G36" s="2763"/>
      <c r="H36" s="1447"/>
      <c r="I36" s="1447"/>
      <c r="J36" s="1447"/>
      <c r="K36" s="29"/>
      <c r="L36" s="29"/>
      <c r="M36" s="29"/>
      <c r="N36" s="29"/>
      <c r="O36" s="29"/>
      <c r="P36" s="29"/>
      <c r="Q36" s="29"/>
      <c r="R36" s="29"/>
      <c r="S36" s="1447"/>
      <c r="T36" s="1447"/>
      <c r="U36" s="1447"/>
      <c r="V36" s="1447"/>
      <c r="W36" s="29"/>
      <c r="X36" s="29"/>
      <c r="Y36" s="29"/>
      <c r="Z36" s="29"/>
      <c r="AA36" s="29"/>
      <c r="AB36" s="29"/>
      <c r="AC36" s="29"/>
      <c r="AD36" s="29"/>
    </row>
    <row r="37" spans="1:30">
      <c r="A37" s="29">
        <v>7</v>
      </c>
      <c r="B37" s="972" t="s">
        <v>3030</v>
      </c>
      <c r="C37" s="972"/>
      <c r="D37" s="972"/>
      <c r="E37" s="972"/>
      <c r="F37" s="972"/>
      <c r="G37" s="2752">
        <v>3042</v>
      </c>
      <c r="H37" s="1447">
        <v>0</v>
      </c>
      <c r="I37" s="1447">
        <v>78</v>
      </c>
      <c r="J37" s="1447">
        <v>136</v>
      </c>
      <c r="K37" s="2750">
        <v>6089</v>
      </c>
      <c r="L37" s="29">
        <v>0</v>
      </c>
      <c r="M37" s="29"/>
      <c r="N37" s="29"/>
      <c r="O37" s="2750">
        <v>3352</v>
      </c>
      <c r="P37" s="29">
        <v>0</v>
      </c>
      <c r="Q37" s="29"/>
      <c r="R37" s="29"/>
      <c r="S37" s="2752">
        <v>3426</v>
      </c>
      <c r="T37" s="1447">
        <v>0</v>
      </c>
      <c r="U37" s="1447"/>
      <c r="V37" s="1447"/>
      <c r="W37" s="2750"/>
      <c r="X37" s="29"/>
      <c r="Y37" s="29"/>
      <c r="Z37" s="29"/>
      <c r="AA37" s="2750"/>
      <c r="AB37" s="29"/>
      <c r="AC37" s="29"/>
      <c r="AD37" s="29"/>
    </row>
    <row r="38" spans="1:30">
      <c r="A38" s="29" t="s">
        <v>140</v>
      </c>
      <c r="B38" s="1447" t="s">
        <v>3031</v>
      </c>
      <c r="C38" s="1447"/>
      <c r="D38" s="1447"/>
      <c r="E38" s="1447"/>
      <c r="F38" s="1447"/>
      <c r="G38" s="1447"/>
      <c r="H38" s="1447"/>
      <c r="I38" s="1447"/>
      <c r="J38" s="1447"/>
      <c r="K38" s="29"/>
      <c r="L38" s="29"/>
      <c r="M38" s="29"/>
      <c r="N38" s="29"/>
      <c r="O38" s="29"/>
      <c r="P38" s="29"/>
      <c r="Q38" s="29"/>
      <c r="R38" s="29"/>
      <c r="S38" s="1447"/>
      <c r="T38" s="1447"/>
      <c r="U38" s="1447"/>
      <c r="V38" s="1447"/>
      <c r="W38" s="29"/>
      <c r="X38" s="29"/>
      <c r="Y38" s="29"/>
      <c r="Z38" s="29"/>
      <c r="AA38" s="29"/>
      <c r="AB38" s="29"/>
      <c r="AC38" s="29"/>
      <c r="AD38" s="29"/>
    </row>
    <row r="39" spans="1:30">
      <c r="A39" s="29" t="s">
        <v>16</v>
      </c>
      <c r="B39" s="1447" t="s">
        <v>475</v>
      </c>
      <c r="C39" s="1447"/>
      <c r="D39" s="1447"/>
      <c r="E39" s="1447"/>
      <c r="F39" s="1447"/>
      <c r="G39" s="1447"/>
      <c r="H39" s="1447"/>
      <c r="I39" s="1447"/>
      <c r="J39" s="1447"/>
      <c r="K39" s="29"/>
      <c r="L39" s="29"/>
      <c r="M39" s="29"/>
      <c r="N39" s="29"/>
      <c r="O39" s="29"/>
      <c r="P39" s="29"/>
      <c r="Q39" s="29"/>
      <c r="R39" s="29"/>
      <c r="S39" s="1447"/>
      <c r="T39" s="1447"/>
      <c r="U39" s="1447"/>
      <c r="V39" s="1447"/>
      <c r="W39" s="29"/>
      <c r="X39" s="29"/>
      <c r="Y39" s="29"/>
      <c r="Z39" s="29"/>
      <c r="AA39" s="29"/>
      <c r="AB39" s="29"/>
      <c r="AC39" s="29"/>
      <c r="AD39" s="29"/>
    </row>
    <row r="40" spans="1:30">
      <c r="A40" s="29"/>
      <c r="B40" s="1451"/>
      <c r="C40" s="1451"/>
      <c r="D40" s="1451"/>
      <c r="E40" s="1451"/>
      <c r="F40" s="1451"/>
      <c r="G40" s="1447"/>
      <c r="H40" s="1447"/>
      <c r="I40" s="1447"/>
      <c r="J40" s="1447"/>
      <c r="K40" s="29"/>
      <c r="L40" s="29"/>
      <c r="M40" s="29"/>
      <c r="N40" s="29"/>
      <c r="O40" s="29"/>
      <c r="P40" s="29"/>
      <c r="Q40" s="29"/>
      <c r="R40" s="29"/>
      <c r="S40" s="1447"/>
      <c r="T40" s="1447"/>
      <c r="U40" s="1447"/>
      <c r="V40" s="1447"/>
      <c r="W40" s="29"/>
      <c r="X40" s="29"/>
      <c r="Y40" s="29"/>
      <c r="Z40" s="29"/>
      <c r="AA40" s="29"/>
      <c r="AB40" s="29"/>
      <c r="AC40" s="29"/>
      <c r="AD40" s="29"/>
    </row>
    <row r="41" spans="1:30">
      <c r="A41" s="2651">
        <v>8</v>
      </c>
      <c r="B41" s="2756" t="s">
        <v>3032</v>
      </c>
      <c r="C41" s="2756"/>
      <c r="D41" s="2756"/>
      <c r="E41" s="2756"/>
      <c r="F41" s="2756"/>
      <c r="G41" s="2709">
        <v>11369</v>
      </c>
      <c r="H41" s="2709">
        <v>11168</v>
      </c>
      <c r="I41" s="1469">
        <v>1</v>
      </c>
      <c r="J41" s="1469">
        <v>4</v>
      </c>
      <c r="K41" s="2750">
        <v>11255</v>
      </c>
      <c r="L41" s="2750">
        <v>10966</v>
      </c>
      <c r="M41" s="29"/>
      <c r="N41" s="29"/>
      <c r="O41" s="2750">
        <v>11596</v>
      </c>
      <c r="P41" s="2750">
        <v>11123</v>
      </c>
      <c r="Q41" s="29"/>
      <c r="R41" s="29"/>
      <c r="S41" s="2752">
        <v>11826</v>
      </c>
      <c r="T41" s="2752">
        <v>10048</v>
      </c>
      <c r="U41" s="1447"/>
      <c r="V41" s="1447"/>
      <c r="W41" s="2750"/>
      <c r="X41" s="2750"/>
      <c r="Y41" s="29"/>
      <c r="Z41" s="29"/>
      <c r="AA41" s="2750"/>
      <c r="AB41" s="2750"/>
      <c r="AC41" s="29"/>
      <c r="AD41" s="29"/>
    </row>
    <row r="42" spans="1:30">
      <c r="A42" s="29" t="s">
        <v>140</v>
      </c>
      <c r="B42" s="1447" t="s">
        <v>476</v>
      </c>
      <c r="C42" s="1447"/>
      <c r="D42" s="1447"/>
      <c r="E42" s="1447"/>
      <c r="F42" s="1447"/>
      <c r="G42" s="1447"/>
      <c r="H42" s="1447"/>
      <c r="I42" s="1447"/>
      <c r="J42" s="1447"/>
      <c r="K42" s="29"/>
      <c r="L42" s="29"/>
      <c r="M42" s="29"/>
      <c r="N42" s="29"/>
      <c r="O42" s="29"/>
      <c r="P42" s="29"/>
      <c r="Q42" s="29"/>
      <c r="R42" s="29"/>
      <c r="S42" s="1447"/>
      <c r="T42" s="1447"/>
      <c r="U42" s="1447"/>
      <c r="V42" s="1447"/>
      <c r="W42" s="29"/>
      <c r="X42" s="29"/>
      <c r="Y42" s="29"/>
      <c r="Z42" s="29"/>
      <c r="AA42" s="29"/>
      <c r="AB42" s="29"/>
      <c r="AC42" s="29"/>
      <c r="AD42" s="29"/>
    </row>
    <row r="43" spans="1:30">
      <c r="A43" s="29" t="s">
        <v>16</v>
      </c>
      <c r="B43" s="1447" t="s">
        <v>3009</v>
      </c>
      <c r="C43" s="1447"/>
      <c r="D43" s="1447"/>
      <c r="E43" s="1447"/>
      <c r="F43" s="1447"/>
      <c r="G43" s="1447"/>
      <c r="H43" s="1447"/>
      <c r="I43" s="1447"/>
      <c r="J43" s="1447"/>
      <c r="K43" s="29"/>
      <c r="L43" s="29"/>
      <c r="M43" s="29"/>
      <c r="N43" s="29"/>
      <c r="O43" s="29"/>
      <c r="P43" s="29"/>
      <c r="Q43" s="29"/>
      <c r="R43" s="29"/>
      <c r="S43" s="1447"/>
      <c r="T43" s="1447"/>
      <c r="U43" s="1447"/>
      <c r="V43" s="1447"/>
      <c r="W43" s="29"/>
      <c r="X43" s="29"/>
      <c r="Y43" s="29"/>
      <c r="Z43" s="29"/>
      <c r="AA43" s="29"/>
      <c r="AB43" s="29"/>
      <c r="AC43" s="29"/>
      <c r="AD43" s="29"/>
    </row>
    <row r="44" spans="1:30">
      <c r="A44" s="29"/>
      <c r="B44" s="972"/>
      <c r="C44" s="972"/>
      <c r="D44" s="972"/>
      <c r="E44" s="972"/>
      <c r="F44" s="972"/>
      <c r="G44" s="1447"/>
      <c r="H44" s="1447"/>
      <c r="I44" s="1447"/>
      <c r="J44" s="1447"/>
      <c r="K44" s="29"/>
      <c r="L44" s="29"/>
      <c r="M44" s="29"/>
      <c r="N44" s="29"/>
      <c r="O44" s="29"/>
      <c r="P44" s="29"/>
      <c r="Q44" s="29"/>
      <c r="R44" s="29"/>
      <c r="S44" s="1447"/>
      <c r="T44" s="1447"/>
      <c r="U44" s="1447"/>
      <c r="V44" s="1447"/>
      <c r="W44" s="29"/>
      <c r="X44" s="29"/>
      <c r="Y44" s="29"/>
      <c r="Z44" s="29"/>
      <c r="AA44" s="29"/>
      <c r="AB44" s="29"/>
      <c r="AC44" s="29"/>
      <c r="AD44" s="29"/>
    </row>
    <row r="45" spans="1:30">
      <c r="A45" s="29">
        <v>9</v>
      </c>
      <c r="B45" s="972" t="s">
        <v>3033</v>
      </c>
      <c r="C45" s="972"/>
      <c r="D45" s="972"/>
      <c r="E45" s="972"/>
      <c r="F45" s="972"/>
      <c r="G45" s="2752">
        <v>113</v>
      </c>
      <c r="H45" s="2752">
        <v>0</v>
      </c>
      <c r="I45" s="1447">
        <v>0</v>
      </c>
      <c r="J45" s="1447">
        <v>53</v>
      </c>
      <c r="K45" s="2750">
        <v>114</v>
      </c>
      <c r="L45" s="29">
        <v>0</v>
      </c>
      <c r="M45" s="29"/>
      <c r="N45" s="29"/>
      <c r="O45" s="2750">
        <v>282</v>
      </c>
      <c r="P45" s="29">
        <v>0</v>
      </c>
      <c r="Q45" s="29"/>
      <c r="R45" s="29"/>
      <c r="S45" s="2752">
        <v>2093</v>
      </c>
      <c r="T45" s="1447">
        <v>0</v>
      </c>
      <c r="U45" s="1447"/>
      <c r="V45" s="1447"/>
      <c r="W45" s="2750"/>
      <c r="X45" s="29"/>
      <c r="Y45" s="29"/>
      <c r="Z45" s="29"/>
      <c r="AA45" s="2750"/>
      <c r="AB45" s="29"/>
      <c r="AC45" s="29"/>
      <c r="AD45" s="29"/>
    </row>
    <row r="46" spans="1:30">
      <c r="A46" s="29" t="s">
        <v>140</v>
      </c>
      <c r="B46" s="1447" t="s">
        <v>3009</v>
      </c>
      <c r="C46" s="1447"/>
      <c r="D46" s="1447"/>
      <c r="E46" s="1447"/>
      <c r="F46" s="1447"/>
      <c r="G46" s="1447"/>
      <c r="H46" s="1447"/>
      <c r="I46" s="1447"/>
      <c r="J46" s="1447"/>
      <c r="K46" s="29"/>
      <c r="L46" s="29"/>
      <c r="M46" s="29"/>
      <c r="N46" s="29"/>
      <c r="O46" s="29"/>
      <c r="P46" s="29"/>
      <c r="Q46" s="29"/>
      <c r="R46" s="29"/>
      <c r="S46" s="1447"/>
      <c r="T46" s="1447"/>
      <c r="U46" s="1447"/>
      <c r="V46" s="1447"/>
      <c r="W46" s="29"/>
      <c r="X46" s="29"/>
      <c r="Y46" s="29"/>
      <c r="Z46" s="29"/>
      <c r="AA46" s="29"/>
      <c r="AB46" s="29"/>
      <c r="AC46" s="29"/>
      <c r="AD46" s="29"/>
    </row>
    <row r="47" spans="1:30">
      <c r="A47" s="29" t="s">
        <v>16</v>
      </c>
      <c r="B47" s="1447" t="s">
        <v>476</v>
      </c>
      <c r="C47" s="1447"/>
      <c r="D47" s="1447"/>
      <c r="E47" s="1447"/>
      <c r="F47" s="1447"/>
      <c r="G47" s="1447"/>
      <c r="H47" s="1447"/>
      <c r="I47" s="1447"/>
      <c r="J47" s="1447"/>
      <c r="K47" s="29"/>
      <c r="L47" s="29"/>
      <c r="M47" s="29"/>
      <c r="N47" s="29"/>
      <c r="O47" s="29"/>
      <c r="P47" s="29"/>
      <c r="Q47" s="29"/>
      <c r="R47" s="29"/>
      <c r="S47" s="1447"/>
      <c r="T47" s="1447"/>
      <c r="U47" s="1447"/>
      <c r="V47" s="1447"/>
      <c r="W47" s="29"/>
      <c r="X47" s="29"/>
      <c r="Y47" s="29"/>
      <c r="Z47" s="29"/>
      <c r="AA47" s="29"/>
      <c r="AB47" s="29"/>
      <c r="AC47" s="29"/>
      <c r="AD47" s="29"/>
    </row>
    <row r="48" spans="1:30">
      <c r="A48" s="29"/>
      <c r="B48" s="972"/>
      <c r="C48" s="972"/>
      <c r="D48" s="972"/>
      <c r="E48" s="972"/>
      <c r="F48" s="972"/>
      <c r="G48" s="1447"/>
      <c r="H48" s="1447"/>
      <c r="I48" s="1447"/>
      <c r="J48" s="1447"/>
      <c r="K48" s="29"/>
      <c r="L48" s="29"/>
      <c r="M48" s="29"/>
      <c r="N48" s="29"/>
      <c r="O48" s="29"/>
      <c r="P48" s="29"/>
      <c r="Q48" s="29"/>
      <c r="R48" s="29"/>
      <c r="S48" s="1447"/>
      <c r="T48" s="1447"/>
      <c r="U48" s="1447"/>
      <c r="V48" s="1447"/>
      <c r="W48" s="29"/>
      <c r="X48" s="29"/>
      <c r="Y48" s="29"/>
      <c r="Z48" s="29"/>
      <c r="AA48" s="29"/>
      <c r="AB48" s="29"/>
      <c r="AC48" s="29"/>
      <c r="AD48" s="29"/>
    </row>
    <row r="49" spans="1:30">
      <c r="A49" s="2651">
        <v>10</v>
      </c>
      <c r="B49" s="972" t="s">
        <v>3034</v>
      </c>
      <c r="C49" s="972"/>
      <c r="D49" s="972"/>
      <c r="E49" s="972"/>
      <c r="F49" s="972"/>
      <c r="G49" s="2752">
        <v>25539</v>
      </c>
      <c r="H49" s="1447">
        <f>G49</f>
        <v>25539</v>
      </c>
      <c r="I49" s="1447">
        <v>8</v>
      </c>
      <c r="J49" s="1447">
        <v>26</v>
      </c>
      <c r="K49" s="2750">
        <v>24797</v>
      </c>
      <c r="L49" s="2750">
        <f>K49</f>
        <v>24797</v>
      </c>
      <c r="M49" s="29"/>
      <c r="N49" s="29"/>
      <c r="O49" s="2750">
        <v>29407</v>
      </c>
      <c r="P49" s="2750">
        <f>O49</f>
        <v>29407</v>
      </c>
      <c r="Q49" s="29"/>
      <c r="R49" s="29"/>
      <c r="S49" s="2752">
        <v>24995</v>
      </c>
      <c r="T49" s="2752">
        <v>24995</v>
      </c>
      <c r="U49" s="1447"/>
      <c r="V49" s="1447"/>
      <c r="W49" s="2750"/>
      <c r="X49" s="2750"/>
      <c r="Y49" s="29"/>
      <c r="Z49" s="29"/>
      <c r="AA49" s="2750"/>
      <c r="AB49" s="2750"/>
      <c r="AC49" s="29"/>
      <c r="AD49" s="29"/>
    </row>
    <row r="50" spans="1:30">
      <c r="A50" s="29"/>
      <c r="B50" s="1447"/>
      <c r="C50" s="1447"/>
      <c r="D50" s="1447"/>
      <c r="E50" s="1447"/>
      <c r="F50" s="1447"/>
      <c r="G50" s="1447"/>
      <c r="H50" s="1447"/>
      <c r="I50" s="1447"/>
      <c r="J50" s="1447"/>
      <c r="K50" s="29"/>
      <c r="L50" s="29"/>
      <c r="M50" s="29"/>
      <c r="N50" s="29"/>
      <c r="O50" s="29"/>
      <c r="P50" s="29"/>
      <c r="Q50" s="29"/>
      <c r="R50" s="29"/>
      <c r="S50" s="1447"/>
      <c r="T50" s="1447"/>
      <c r="U50" s="1447"/>
      <c r="V50" s="1447"/>
      <c r="W50" s="29"/>
      <c r="X50" s="29"/>
      <c r="Y50" s="29"/>
      <c r="Z50" s="29"/>
      <c r="AA50" s="29"/>
      <c r="AB50" s="29"/>
      <c r="AC50" s="29"/>
      <c r="AD50" s="29"/>
    </row>
    <row r="51" spans="1:30">
      <c r="A51" s="2651">
        <v>11</v>
      </c>
      <c r="B51" s="972" t="s">
        <v>3035</v>
      </c>
      <c r="C51" s="972"/>
      <c r="D51" s="972"/>
      <c r="E51" s="972"/>
      <c r="F51" s="972"/>
      <c r="G51" s="2752">
        <v>698</v>
      </c>
      <c r="H51" s="1447">
        <v>0</v>
      </c>
      <c r="I51" s="1447">
        <v>0</v>
      </c>
      <c r="J51" s="1447">
        <v>0</v>
      </c>
      <c r="K51" s="2750">
        <v>765</v>
      </c>
      <c r="L51" s="29">
        <v>0</v>
      </c>
      <c r="M51" s="29"/>
      <c r="N51" s="29"/>
      <c r="O51" s="2750">
        <v>843</v>
      </c>
      <c r="P51" s="29">
        <v>0</v>
      </c>
      <c r="Q51" s="29"/>
      <c r="R51" s="29"/>
      <c r="S51" s="2752">
        <v>894</v>
      </c>
      <c r="T51" s="1447">
        <v>0</v>
      </c>
      <c r="U51" s="1447"/>
      <c r="V51" s="1447"/>
      <c r="W51" s="2750"/>
      <c r="X51" s="29"/>
      <c r="Y51" s="29"/>
      <c r="Z51" s="29"/>
      <c r="AA51" s="2750"/>
      <c r="AB51" s="29"/>
      <c r="AC51" s="29"/>
      <c r="AD51" s="29"/>
    </row>
    <row r="52" spans="1:30">
      <c r="A52" s="29"/>
      <c r="B52" s="1447"/>
      <c r="C52" s="2755"/>
      <c r="D52" s="2755"/>
      <c r="E52" s="2755"/>
      <c r="F52" s="2755"/>
      <c r="G52" s="2755"/>
      <c r="H52" s="1447"/>
      <c r="I52" s="1447"/>
      <c r="J52" s="1447"/>
      <c r="K52" s="29"/>
      <c r="L52" s="29"/>
      <c r="M52" s="29"/>
      <c r="N52" s="29"/>
      <c r="O52" s="29"/>
      <c r="P52" s="29"/>
      <c r="Q52" s="29"/>
      <c r="R52" s="29"/>
      <c r="S52" s="1447"/>
      <c r="T52" s="1447"/>
      <c r="U52" s="1447"/>
      <c r="V52" s="1447"/>
      <c r="W52" s="29"/>
      <c r="X52" s="29"/>
      <c r="Y52" s="29"/>
      <c r="Z52" s="29"/>
      <c r="AA52" s="29"/>
      <c r="AB52" s="29"/>
      <c r="AC52" s="29"/>
      <c r="AD52" s="29"/>
    </row>
    <row r="53" spans="1:30">
      <c r="A53" s="2651">
        <v>12</v>
      </c>
      <c r="B53" s="972" t="s">
        <v>3036</v>
      </c>
      <c r="C53" s="972"/>
      <c r="D53" s="972"/>
      <c r="E53" s="972"/>
      <c r="F53" s="972"/>
      <c r="G53" s="2709">
        <v>796</v>
      </c>
      <c r="H53" s="1469">
        <v>0</v>
      </c>
      <c r="I53" s="1469">
        <v>7</v>
      </c>
      <c r="J53" s="1469">
        <v>32</v>
      </c>
      <c r="K53" s="2750">
        <v>1162</v>
      </c>
      <c r="L53" s="29">
        <v>0</v>
      </c>
      <c r="M53" s="29"/>
      <c r="N53" s="29"/>
      <c r="O53" s="2750">
        <v>1148</v>
      </c>
      <c r="P53" s="29">
        <v>0</v>
      </c>
      <c r="Q53" s="29"/>
      <c r="R53" s="29"/>
      <c r="S53" s="2752">
        <v>1394</v>
      </c>
      <c r="T53" s="1447">
        <v>0</v>
      </c>
      <c r="U53" s="1447"/>
      <c r="V53" s="1447"/>
      <c r="W53" s="2750"/>
      <c r="X53" s="29"/>
      <c r="Y53" s="29"/>
      <c r="Z53" s="29"/>
      <c r="AA53" s="2750"/>
      <c r="AB53" s="29"/>
      <c r="AC53" s="29"/>
      <c r="AD53" s="29"/>
    </row>
    <row r="54" spans="1:30">
      <c r="A54" s="2651"/>
      <c r="B54" s="972"/>
      <c r="C54" s="972"/>
      <c r="D54" s="972"/>
      <c r="E54" s="972"/>
      <c r="F54" s="972"/>
      <c r="G54" s="2709"/>
      <c r="H54" s="1469"/>
      <c r="I54" s="1469"/>
      <c r="J54" s="1469"/>
      <c r="K54" s="2750"/>
      <c r="L54" s="29"/>
      <c r="M54" s="29"/>
      <c r="N54" s="29"/>
      <c r="O54" s="2750"/>
      <c r="P54" s="29"/>
      <c r="Q54" s="29"/>
      <c r="R54" s="29"/>
      <c r="S54" s="2752"/>
      <c r="T54" s="1447"/>
      <c r="U54" s="1447"/>
      <c r="V54" s="1447"/>
      <c r="W54" s="2750"/>
      <c r="X54" s="29"/>
      <c r="Y54" s="29"/>
      <c r="Z54" s="29"/>
      <c r="AA54" s="2750"/>
      <c r="AB54" s="29"/>
      <c r="AC54" s="29"/>
      <c r="AD54" s="29"/>
    </row>
    <row r="55" spans="1:30">
      <c r="A55" s="2651">
        <v>13</v>
      </c>
      <c r="B55" s="2756" t="s">
        <v>3037</v>
      </c>
      <c r="C55" s="2756"/>
      <c r="D55" s="2756"/>
      <c r="E55" s="2756"/>
      <c r="F55" s="2756"/>
      <c r="G55" s="2709">
        <v>10</v>
      </c>
      <c r="H55" s="1469">
        <v>0</v>
      </c>
      <c r="I55" s="1469">
        <v>0</v>
      </c>
      <c r="J55" s="1469">
        <v>0</v>
      </c>
      <c r="K55" s="2750">
        <v>3</v>
      </c>
      <c r="L55" s="29">
        <v>0</v>
      </c>
      <c r="M55" s="29"/>
      <c r="N55" s="29"/>
      <c r="O55" s="2750">
        <v>0</v>
      </c>
      <c r="P55" s="29">
        <v>0</v>
      </c>
      <c r="Q55" s="29"/>
      <c r="R55" s="29"/>
      <c r="S55" s="2752">
        <v>1</v>
      </c>
      <c r="T55" s="1447">
        <v>0</v>
      </c>
      <c r="U55" s="1447"/>
      <c r="V55" s="1447"/>
      <c r="W55" s="2750"/>
      <c r="X55" s="29"/>
      <c r="Y55" s="29"/>
      <c r="Z55" s="29"/>
      <c r="AA55" s="2750"/>
      <c r="AB55" s="29"/>
      <c r="AC55" s="29"/>
      <c r="AD55" s="29"/>
    </row>
    <row r="56" spans="1:30">
      <c r="A56" s="29"/>
      <c r="B56" s="2754"/>
      <c r="C56" s="2754"/>
      <c r="D56" s="2754"/>
      <c r="E56" s="2754"/>
      <c r="F56" s="2754"/>
      <c r="G56" s="2754"/>
      <c r="H56" s="1447"/>
      <c r="I56" s="1447"/>
      <c r="J56" s="1447"/>
      <c r="K56" s="29"/>
      <c r="L56" s="29"/>
      <c r="M56" s="29"/>
      <c r="N56" s="29"/>
      <c r="O56" s="29"/>
      <c r="P56" s="29"/>
      <c r="Q56" s="29"/>
      <c r="R56" s="29"/>
      <c r="S56" s="1447"/>
      <c r="T56" s="1447"/>
      <c r="U56" s="1447"/>
      <c r="V56" s="1447"/>
      <c r="W56" s="29"/>
      <c r="X56" s="29"/>
      <c r="Y56" s="29"/>
      <c r="Z56" s="29"/>
      <c r="AA56" s="29"/>
      <c r="AB56" s="29"/>
      <c r="AC56" s="29"/>
      <c r="AD56" s="29"/>
    </row>
    <row r="57" spans="1:30">
      <c r="A57" s="2651">
        <v>14</v>
      </c>
      <c r="B57" s="972" t="s">
        <v>3038</v>
      </c>
      <c r="C57" s="972"/>
      <c r="D57" s="972"/>
      <c r="E57" s="972"/>
      <c r="F57" s="972"/>
      <c r="G57" s="2752">
        <v>68</v>
      </c>
      <c r="H57" s="1447">
        <v>0</v>
      </c>
      <c r="I57" s="1447">
        <v>1</v>
      </c>
      <c r="J57" s="1447">
        <v>0</v>
      </c>
      <c r="K57" s="2750">
        <v>68</v>
      </c>
      <c r="L57" s="29">
        <v>0</v>
      </c>
      <c r="M57" s="29"/>
      <c r="N57" s="29"/>
      <c r="O57" s="2750">
        <v>32</v>
      </c>
      <c r="P57" s="29">
        <v>0</v>
      </c>
      <c r="Q57" s="29"/>
      <c r="R57" s="29"/>
      <c r="S57" s="2752">
        <v>57</v>
      </c>
      <c r="T57" s="1447">
        <v>0</v>
      </c>
      <c r="U57" s="1447"/>
      <c r="V57" s="1447"/>
      <c r="W57" s="2750"/>
      <c r="X57" s="29"/>
      <c r="Y57" s="29"/>
      <c r="Z57" s="29"/>
      <c r="AA57" s="2750"/>
      <c r="AB57" s="29"/>
      <c r="AC57" s="29"/>
      <c r="AD57" s="29"/>
    </row>
    <row r="58" spans="1:30">
      <c r="A58" s="2669"/>
      <c r="B58" s="2669"/>
      <c r="C58" s="2669"/>
      <c r="D58" s="2669"/>
      <c r="E58" s="2669"/>
      <c r="F58" s="2669"/>
      <c r="G58" s="2669"/>
      <c r="H58" s="2669"/>
      <c r="I58" s="2669"/>
      <c r="J58" s="2669"/>
      <c r="K58" s="2669"/>
      <c r="L58" s="2669"/>
      <c r="M58" s="2669"/>
      <c r="N58" s="2669"/>
      <c r="O58" s="2669"/>
      <c r="P58" s="2669"/>
      <c r="Q58" s="2669"/>
      <c r="R58" s="2669"/>
      <c r="S58" s="2669"/>
      <c r="T58" s="2669"/>
      <c r="U58" s="2669"/>
      <c r="V58" s="2669"/>
      <c r="W58" s="2669"/>
      <c r="X58" s="2669"/>
      <c r="Y58" s="2669"/>
      <c r="Z58" s="2669"/>
    </row>
    <row r="59" spans="1:30" ht="15" customHeight="1">
      <c r="A59" s="2764" t="s">
        <v>2846</v>
      </c>
      <c r="B59" s="3446" t="s">
        <v>3039</v>
      </c>
      <c r="C59" s="3446"/>
      <c r="D59" s="3446"/>
      <c r="E59" s="3446"/>
      <c r="F59" s="3446"/>
      <c r="G59" s="3446"/>
      <c r="H59" s="3446"/>
      <c r="I59" s="3446"/>
      <c r="J59" s="2764"/>
      <c r="K59" s="2764"/>
      <c r="L59" s="2764"/>
      <c r="M59" s="2764"/>
      <c r="N59" s="2764"/>
      <c r="O59" s="2764"/>
      <c r="P59" s="2764"/>
      <c r="Q59" s="2764"/>
      <c r="R59" s="2764"/>
      <c r="S59" s="2764"/>
      <c r="T59" s="2764"/>
      <c r="U59" s="2764"/>
      <c r="V59" s="2764"/>
      <c r="W59" s="2764"/>
      <c r="X59" s="2764"/>
      <c r="Y59" s="2764"/>
      <c r="Z59" s="2764"/>
    </row>
    <row r="60" spans="1:30">
      <c r="A60" s="2669"/>
      <c r="B60" s="2659" t="s">
        <v>3040</v>
      </c>
      <c r="C60" s="2659"/>
      <c r="D60" s="2659"/>
      <c r="E60" s="2659"/>
      <c r="F60" s="2659"/>
      <c r="G60" s="2659"/>
      <c r="H60" s="2659"/>
      <c r="I60" s="2659"/>
      <c r="J60" s="2657"/>
      <c r="K60" s="2669"/>
      <c r="L60" s="2669"/>
      <c r="M60" s="2669"/>
      <c r="N60" s="2669"/>
      <c r="O60" s="2669"/>
      <c r="P60" s="2669"/>
      <c r="Q60" s="2669"/>
      <c r="R60" s="2669"/>
      <c r="S60" s="2669"/>
      <c r="T60" s="2669"/>
      <c r="U60" s="2669"/>
      <c r="V60" s="2669"/>
      <c r="W60" s="2669"/>
      <c r="X60" s="2669"/>
      <c r="Y60" s="2669"/>
      <c r="Z60" s="2669"/>
    </row>
    <row r="61" spans="1:30">
      <c r="A61" s="2669"/>
      <c r="B61" s="2659" t="s">
        <v>3041</v>
      </c>
      <c r="C61" s="2659"/>
      <c r="D61" s="2659"/>
      <c r="E61" s="2659"/>
      <c r="F61" s="2659"/>
      <c r="G61" s="2669"/>
      <c r="H61" s="2669"/>
      <c r="I61" s="2669"/>
      <c r="J61" s="2669"/>
      <c r="K61" s="2669"/>
      <c r="L61" s="2669"/>
      <c r="M61" s="2669"/>
      <c r="N61" s="2669"/>
      <c r="O61" s="2669"/>
      <c r="P61" s="2669"/>
      <c r="Q61" s="2669"/>
      <c r="R61" s="2669"/>
      <c r="S61" s="2669"/>
      <c r="T61" s="2669"/>
      <c r="U61" s="2669"/>
      <c r="V61" s="2669"/>
      <c r="W61" s="2669"/>
      <c r="X61" s="2669"/>
      <c r="Y61" s="2669"/>
      <c r="Z61" s="2669"/>
    </row>
    <row r="62" spans="1:30" ht="15" customHeight="1">
      <c r="A62" s="2669"/>
      <c r="B62" s="3446" t="s">
        <v>3042</v>
      </c>
      <c r="C62" s="3446"/>
      <c r="D62" s="3446"/>
      <c r="E62" s="3446"/>
      <c r="F62" s="3446"/>
      <c r="G62" s="3446"/>
      <c r="H62" s="3446"/>
      <c r="I62" s="2669"/>
      <c r="J62" s="2669"/>
      <c r="K62" s="2669"/>
      <c r="L62" s="2669"/>
      <c r="M62" s="2669"/>
      <c r="N62" s="2669"/>
      <c r="O62" s="2669"/>
      <c r="P62" s="2669"/>
      <c r="Q62" s="2669"/>
      <c r="R62" s="2669"/>
      <c r="S62" s="2669"/>
      <c r="T62" s="2669"/>
      <c r="U62" s="2669"/>
      <c r="V62" s="2669"/>
      <c r="W62" s="2669"/>
      <c r="X62" s="2669"/>
      <c r="Y62" s="2669"/>
      <c r="Z62" s="2669"/>
    </row>
    <row r="63" spans="1:30">
      <c r="A63" s="2669"/>
      <c r="B63" s="2669"/>
      <c r="C63" s="2669"/>
      <c r="D63" s="2669"/>
      <c r="E63" s="2669"/>
      <c r="F63" s="2669"/>
      <c r="G63" s="2669"/>
      <c r="H63" s="2669"/>
      <c r="I63" s="2669"/>
      <c r="J63" s="2669"/>
      <c r="K63" s="2669"/>
      <c r="L63" s="2669"/>
      <c r="M63" s="2669"/>
      <c r="N63" s="2669"/>
      <c r="O63" s="2669"/>
      <c r="P63" s="2669"/>
      <c r="Q63" s="2669"/>
      <c r="R63" s="2669"/>
      <c r="S63" s="2669"/>
      <c r="T63" s="2669"/>
      <c r="U63" s="2669"/>
      <c r="V63" s="2669"/>
      <c r="W63" s="2669"/>
      <c r="X63" s="2669"/>
      <c r="Y63" s="2669"/>
      <c r="Z63" s="2669"/>
    </row>
  </sheetData>
  <mergeCells count="12">
    <mergeCell ref="W5:Z5"/>
    <mergeCell ref="AA5:AD5"/>
    <mergeCell ref="B59:I59"/>
    <mergeCell ref="B62:H62"/>
    <mergeCell ref="J3:Z3"/>
    <mergeCell ref="O5:R5"/>
    <mergeCell ref="S5:V5"/>
    <mergeCell ref="A5:A6"/>
    <mergeCell ref="B5:B6"/>
    <mergeCell ref="C5:F5"/>
    <mergeCell ref="G5:J5"/>
    <mergeCell ref="K5:N5"/>
  </mergeCells>
  <pageMargins left="0.70866141732283472" right="0.70866141732283472" top="0.74803149606299213" bottom="0.74803149606299213" header="0.31496062992125984" footer="0.31496062992125984"/>
  <pageSetup scale="1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view="pageBreakPreview" zoomScaleNormal="70" zoomScaleSheetLayoutView="100" workbookViewId="0">
      <selection activeCell="C105" sqref="C105"/>
    </sheetView>
  </sheetViews>
  <sheetFormatPr defaultColWidth="20.81640625" defaultRowHeight="14.5"/>
  <cols>
    <col min="1" max="1" width="4" style="229" customWidth="1"/>
    <col min="2" max="2" width="46.26953125" style="229" customWidth="1"/>
    <col min="3" max="3" width="13.1796875" style="229" customWidth="1"/>
    <col min="4" max="4" width="8.1796875" style="229" bestFit="1" customWidth="1"/>
    <col min="5" max="5" width="11.453125" style="229" customWidth="1"/>
    <col min="6" max="6" width="8.1796875" style="229" bestFit="1" customWidth="1"/>
    <col min="7" max="7" width="12.81640625" style="229" bestFit="1" customWidth="1"/>
    <col min="8" max="8" width="8.1796875" style="229" bestFit="1" customWidth="1"/>
    <col min="9" max="9" width="12.54296875" style="229" customWidth="1"/>
    <col min="10" max="10" width="8.1796875" style="229" bestFit="1" customWidth="1"/>
    <col min="11" max="16384" width="20.81640625" style="229"/>
  </cols>
  <sheetData>
    <row r="1" spans="1:10">
      <c r="A1" s="307" t="s">
        <v>529</v>
      </c>
      <c r="B1" s="307" t="s">
        <v>529</v>
      </c>
    </row>
    <row r="2" spans="1:10">
      <c r="A2" s="715" t="s">
        <v>1604</v>
      </c>
      <c r="B2" s="715" t="s">
        <v>1604</v>
      </c>
      <c r="C2" s="715"/>
      <c r="D2" s="715"/>
      <c r="E2" s="715"/>
      <c r="F2" s="715"/>
    </row>
    <row r="3" spans="1:10">
      <c r="A3" s="304" t="s">
        <v>265</v>
      </c>
      <c r="B3" s="304" t="s">
        <v>265</v>
      </c>
      <c r="C3" s="304"/>
      <c r="D3" s="304"/>
      <c r="E3" s="221"/>
      <c r="F3" s="3060"/>
      <c r="G3" s="3060"/>
      <c r="H3" s="3060"/>
      <c r="I3" s="3060"/>
      <c r="J3" s="916"/>
    </row>
    <row r="4" spans="1:10">
      <c r="A4" s="225"/>
      <c r="B4" s="225"/>
      <c r="C4" s="225"/>
      <c r="D4" s="225"/>
    </row>
    <row r="5" spans="1:10" ht="15.75" customHeight="1">
      <c r="A5" s="2994" t="s">
        <v>1276</v>
      </c>
      <c r="B5" s="3018" t="s">
        <v>14</v>
      </c>
      <c r="C5" s="3072" t="s">
        <v>574</v>
      </c>
      <c r="D5" s="3072"/>
      <c r="E5" s="3073" t="s">
        <v>568</v>
      </c>
      <c r="F5" s="3025"/>
      <c r="G5" s="3024" t="s">
        <v>550</v>
      </c>
      <c r="H5" s="3025"/>
      <c r="I5" s="3024" t="s">
        <v>952</v>
      </c>
      <c r="J5" s="3025"/>
    </row>
    <row r="6" spans="1:10" ht="15.75" customHeight="1">
      <c r="A6" s="2994"/>
      <c r="B6" s="2994"/>
      <c r="C6" s="3049" t="s">
        <v>551</v>
      </c>
      <c r="D6" s="3051"/>
      <c r="E6" s="3049" t="s">
        <v>545</v>
      </c>
      <c r="F6" s="3051"/>
      <c r="G6" s="3049" t="s">
        <v>546</v>
      </c>
      <c r="H6" s="3051"/>
      <c r="I6" s="3049" t="s">
        <v>547</v>
      </c>
      <c r="J6" s="3051"/>
    </row>
    <row r="7" spans="1:10" ht="15.75" customHeight="1">
      <c r="A7" s="2994"/>
      <c r="B7" s="2994"/>
      <c r="C7" s="3018" t="s">
        <v>554</v>
      </c>
      <c r="D7" s="3022"/>
      <c r="E7" s="3024" t="s">
        <v>544</v>
      </c>
      <c r="F7" s="3025"/>
      <c r="G7" s="3024" t="s">
        <v>552</v>
      </c>
      <c r="H7" s="3025"/>
      <c r="I7" s="3026" t="s">
        <v>283</v>
      </c>
      <c r="J7" s="3026"/>
    </row>
    <row r="8" spans="1:10" ht="43.5">
      <c r="A8" s="2994"/>
      <c r="B8" s="2994"/>
      <c r="C8" s="217" t="s">
        <v>266</v>
      </c>
      <c r="D8" s="217" t="s">
        <v>260</v>
      </c>
      <c r="E8" s="217" t="s">
        <v>266</v>
      </c>
      <c r="F8" s="217" t="s">
        <v>260</v>
      </c>
      <c r="G8" s="217" t="s">
        <v>266</v>
      </c>
      <c r="H8" s="217" t="s">
        <v>260</v>
      </c>
      <c r="I8" s="217" t="s">
        <v>266</v>
      </c>
      <c r="J8" s="217" t="s">
        <v>260</v>
      </c>
    </row>
    <row r="9" spans="1:10">
      <c r="A9" s="51"/>
      <c r="B9" s="1360"/>
      <c r="C9" s="960"/>
      <c r="D9" s="960"/>
      <c r="E9" s="960"/>
      <c r="F9" s="960"/>
      <c r="G9" s="295"/>
      <c r="H9" s="295"/>
      <c r="I9" s="295"/>
      <c r="J9" s="295"/>
    </row>
    <row r="10" spans="1:10">
      <c r="A10" s="153">
        <v>1</v>
      </c>
      <c r="B10" s="1367" t="s">
        <v>1043</v>
      </c>
      <c r="C10" s="963"/>
      <c r="D10" s="964"/>
      <c r="E10" s="963"/>
      <c r="F10" s="964"/>
      <c r="G10" s="295"/>
      <c r="H10" s="295"/>
      <c r="I10" s="295"/>
      <c r="J10" s="295"/>
    </row>
    <row r="11" spans="1:10">
      <c r="A11" s="153">
        <v>2</v>
      </c>
      <c r="B11" s="1369" t="s">
        <v>1395</v>
      </c>
      <c r="C11" s="963"/>
      <c r="D11" s="964"/>
      <c r="E11" s="963"/>
      <c r="F11" s="964"/>
      <c r="G11" s="295"/>
      <c r="H11" s="295"/>
      <c r="I11" s="295"/>
      <c r="J11" s="295"/>
    </row>
    <row r="12" spans="1:10">
      <c r="A12" s="153">
        <v>3</v>
      </c>
      <c r="B12" s="1372" t="s">
        <v>1396</v>
      </c>
      <c r="C12" s="984">
        <f>'F8'!E12</f>
        <v>285.58</v>
      </c>
      <c r="D12" s="964">
        <f>IFERROR(C12/$C$126,0)</f>
        <v>1.3447118219996191E-2</v>
      </c>
      <c r="E12" s="984"/>
      <c r="F12" s="964">
        <f>IFERROR(E12/$E$126,0)</f>
        <v>0</v>
      </c>
      <c r="G12" s="984">
        <f>'F8'!N12</f>
        <v>4584.62557564695</v>
      </c>
      <c r="H12" s="964">
        <f>IFERROR(G12/$G$126,0)</f>
        <v>0.2081227848589372</v>
      </c>
      <c r="I12" s="984">
        <f>'F8'!Q12</f>
        <v>4813.8568544292975</v>
      </c>
      <c r="J12" s="964">
        <f>IFERROR(I12/$I$126,0)</f>
        <v>0.21242892125096471</v>
      </c>
    </row>
    <row r="13" spans="1:10">
      <c r="A13" s="53"/>
      <c r="B13" s="1369" t="s">
        <v>1044</v>
      </c>
      <c r="C13" s="984">
        <f>'F8'!E13</f>
        <v>2523</v>
      </c>
      <c r="D13" s="964">
        <f t="shared" ref="D13:D76" si="0">IFERROR(C13/$C$126,0)</f>
        <v>0.11880061373012954</v>
      </c>
      <c r="E13" s="984">
        <f>'F8'!K13</f>
        <v>1856.77</v>
      </c>
      <c r="F13" s="964">
        <f t="shared" ref="F13:F76" si="1">IFERROR(E13/$E$126,0)</f>
        <v>8.4772092108868144E-2</v>
      </c>
      <c r="G13" s="984">
        <f>'F8'!N13</f>
        <v>1346.1611616</v>
      </c>
      <c r="H13" s="964">
        <f t="shared" ref="H13:H76" si="2">IFERROR(G13/$G$126,0)</f>
        <v>6.1110074355766472E-2</v>
      </c>
      <c r="I13" s="984">
        <f>'F8'!Q13</f>
        <v>626.66123040000014</v>
      </c>
      <c r="J13" s="964">
        <f t="shared" ref="J13:J76" si="3">IFERROR(I13/$I$126,0)</f>
        <v>2.7653703296388589E-2</v>
      </c>
    </row>
    <row r="14" spans="1:10">
      <c r="A14" s="53"/>
      <c r="B14" s="1369" t="s">
        <v>1045</v>
      </c>
      <c r="C14" s="984">
        <f>'F8'!E14</f>
        <v>6502.07</v>
      </c>
      <c r="D14" s="964">
        <f t="shared" si="0"/>
        <v>0.30616326060890342</v>
      </c>
      <c r="E14" s="984">
        <f>'F8'!K14</f>
        <v>5681.1050000000005</v>
      </c>
      <c r="F14" s="964">
        <f t="shared" si="1"/>
        <v>0.25937469710311528</v>
      </c>
      <c r="G14" s="984">
        <f>'F8'!N14</f>
        <v>1721.021629948699</v>
      </c>
      <c r="H14" s="964">
        <f t="shared" si="2"/>
        <v>7.8127168406079958E-2</v>
      </c>
      <c r="I14" s="984">
        <f>'F8'!Q14</f>
        <v>2106.8157985892294</v>
      </c>
      <c r="J14" s="964">
        <f t="shared" si="3"/>
        <v>9.2970900652561764E-2</v>
      </c>
    </row>
    <row r="15" spans="1:10">
      <c r="A15" s="53"/>
      <c r="B15" s="1369" t="s">
        <v>1046</v>
      </c>
      <c r="C15" s="984">
        <f>'F8'!E15</f>
        <v>39</v>
      </c>
      <c r="D15" s="964">
        <f t="shared" si="0"/>
        <v>1.8363947425584827E-3</v>
      </c>
      <c r="E15" s="984">
        <f>'F8'!K15</f>
        <v>15.545999999999999</v>
      </c>
      <c r="F15" s="964">
        <f t="shared" si="1"/>
        <v>7.0976316071697854E-4</v>
      </c>
      <c r="G15" s="984">
        <f>'F8'!N15</f>
        <v>8.1</v>
      </c>
      <c r="H15" s="964">
        <f t="shared" si="2"/>
        <v>3.6770604917272961E-4</v>
      </c>
      <c r="I15" s="984">
        <f>'F8'!Q15</f>
        <v>8.1</v>
      </c>
      <c r="J15" s="964">
        <f t="shared" si="3"/>
        <v>3.5744192529314566E-4</v>
      </c>
    </row>
    <row r="16" spans="1:10" ht="28">
      <c r="A16" s="53"/>
      <c r="B16" s="1369" t="s">
        <v>1047</v>
      </c>
      <c r="C16" s="984">
        <f>'F8'!E16</f>
        <v>3307</v>
      </c>
      <c r="D16" s="964">
        <f t="shared" si="0"/>
        <v>0.15571685676002314</v>
      </c>
      <c r="E16" s="984">
        <f>'F8'!K16</f>
        <v>4561.1000000000004</v>
      </c>
      <c r="F16" s="964">
        <f t="shared" si="1"/>
        <v>0.20824011014706104</v>
      </c>
      <c r="G16" s="984">
        <f>'F8'!N16</f>
        <v>4742.0053333333335</v>
      </c>
      <c r="H16" s="964">
        <f t="shared" si="2"/>
        <v>0.21526716620691516</v>
      </c>
      <c r="I16" s="984">
        <f>'F8'!Q16</f>
        <v>5377.1073529521182</v>
      </c>
      <c r="J16" s="964">
        <f t="shared" si="3"/>
        <v>0.23728439564779447</v>
      </c>
    </row>
    <row r="17" spans="1:10">
      <c r="A17" s="53"/>
      <c r="B17" s="1369" t="s">
        <v>1425</v>
      </c>
      <c r="C17" s="984">
        <f>'F8'!E17</f>
        <v>12656.65</v>
      </c>
      <c r="D17" s="964">
        <f t="shared" si="0"/>
        <v>0.59596424406161075</v>
      </c>
      <c r="E17" s="984">
        <f>'F8'!K17</f>
        <v>12748.920000000002</v>
      </c>
      <c r="F17" s="964">
        <f t="shared" si="1"/>
        <v>0.58206057860079141</v>
      </c>
      <c r="G17" s="984">
        <f>'F8'!N17</f>
        <v>12401.913700528983</v>
      </c>
      <c r="H17" s="964">
        <f t="shared" si="2"/>
        <v>0.56299489987687157</v>
      </c>
      <c r="I17" s="984">
        <f>'F8'!Q17</f>
        <v>12932.541236370645</v>
      </c>
      <c r="J17" s="964">
        <f t="shared" si="3"/>
        <v>0.5706953627730027</v>
      </c>
    </row>
    <row r="18" spans="1:10">
      <c r="B18" s="1369" t="s">
        <v>1446</v>
      </c>
      <c r="C18" s="984">
        <f>'F8'!E18</f>
        <v>0</v>
      </c>
      <c r="D18" s="964">
        <f t="shared" si="0"/>
        <v>0</v>
      </c>
      <c r="E18" s="984">
        <f>'F8'!K18</f>
        <v>0</v>
      </c>
      <c r="F18" s="964">
        <f t="shared" si="1"/>
        <v>0</v>
      </c>
      <c r="G18" s="984">
        <f>'F8'!N18</f>
        <v>0</v>
      </c>
      <c r="H18" s="964">
        <f t="shared" si="2"/>
        <v>0</v>
      </c>
      <c r="I18" s="984">
        <f>'F8'!Q18</f>
        <v>0</v>
      </c>
      <c r="J18" s="964">
        <f t="shared" si="3"/>
        <v>0</v>
      </c>
    </row>
    <row r="19" spans="1:10">
      <c r="B19" s="1367" t="s">
        <v>1398</v>
      </c>
      <c r="C19" s="984">
        <f>'F8'!E19</f>
        <v>0</v>
      </c>
      <c r="D19" s="964">
        <f t="shared" si="0"/>
        <v>0</v>
      </c>
      <c r="E19" s="984">
        <f>'F8'!K19</f>
        <v>0</v>
      </c>
      <c r="F19" s="964">
        <f t="shared" si="1"/>
        <v>0</v>
      </c>
      <c r="G19" s="984">
        <f>'F8'!N19</f>
        <v>0</v>
      </c>
      <c r="H19" s="964">
        <f t="shared" si="2"/>
        <v>0</v>
      </c>
      <c r="I19" s="984">
        <f>'F8'!Q19</f>
        <v>0</v>
      </c>
      <c r="J19" s="964">
        <f t="shared" si="3"/>
        <v>0</v>
      </c>
    </row>
    <row r="20" spans="1:10">
      <c r="B20" s="1377" t="s">
        <v>1051</v>
      </c>
      <c r="C20" s="984">
        <f>'F8'!E20</f>
        <v>44.2</v>
      </c>
      <c r="D20" s="964">
        <f t="shared" si="0"/>
        <v>2.081247374899614E-3</v>
      </c>
      <c r="E20" s="984">
        <f>'F8'!K20</f>
        <v>38.36</v>
      </c>
      <c r="F20" s="964">
        <f t="shared" si="1"/>
        <v>1.7513517847101052E-3</v>
      </c>
      <c r="G20" s="984">
        <f>'F8'!N20</f>
        <v>0</v>
      </c>
      <c r="H20" s="964">
        <f t="shared" si="2"/>
        <v>0</v>
      </c>
      <c r="I20" s="984">
        <f>'F8'!Q20</f>
        <v>0</v>
      </c>
      <c r="J20" s="964">
        <f t="shared" si="3"/>
        <v>0</v>
      </c>
    </row>
    <row r="21" spans="1:10">
      <c r="B21" s="1377" t="s">
        <v>1052</v>
      </c>
      <c r="C21" s="984">
        <f>'F8'!E21</f>
        <v>187</v>
      </c>
      <c r="D21" s="964">
        <f t="shared" si="0"/>
        <v>8.8052773553445197E-3</v>
      </c>
      <c r="E21" s="984">
        <f>'F8'!K21</f>
        <v>486.60300000000001</v>
      </c>
      <c r="F21" s="964">
        <f t="shared" si="1"/>
        <v>2.2216189585382986E-2</v>
      </c>
      <c r="G21" s="984">
        <f>'F8'!N21</f>
        <v>677.93333333333294</v>
      </c>
      <c r="H21" s="964">
        <f t="shared" si="2"/>
        <v>3.0775331802777656E-2</v>
      </c>
      <c r="I21" s="984">
        <f>'F8'!Q21</f>
        <v>703.45074399999953</v>
      </c>
      <c r="J21" s="964">
        <f t="shared" si="3"/>
        <v>3.1042319541266118E-2</v>
      </c>
    </row>
    <row r="22" spans="1:10">
      <c r="B22" s="1377" t="s">
        <v>1399</v>
      </c>
      <c r="C22" s="984">
        <f>'F8'!E22</f>
        <v>1</v>
      </c>
      <c r="D22" s="964">
        <f t="shared" si="0"/>
        <v>4.7087044680986739E-5</v>
      </c>
      <c r="E22" s="984">
        <f>'F8'!K22</f>
        <v>36.213999999999999</v>
      </c>
      <c r="F22" s="964">
        <f t="shared" si="1"/>
        <v>1.6533747010295033E-3</v>
      </c>
      <c r="G22" s="984">
        <f>'F8'!N22</f>
        <v>52.665333333333336</v>
      </c>
      <c r="H22" s="964">
        <f t="shared" si="2"/>
        <v>2.3907853886870204E-3</v>
      </c>
      <c r="I22" s="984">
        <f>'F8'!Q22</f>
        <v>53.191986666666672</v>
      </c>
      <c r="J22" s="964">
        <f t="shared" si="3"/>
        <v>2.347289644975391E-3</v>
      </c>
    </row>
    <row r="23" spans="1:10">
      <c r="B23" s="1377" t="s">
        <v>1054</v>
      </c>
      <c r="C23" s="984">
        <f>'F8'!E23</f>
        <v>1769</v>
      </c>
      <c r="D23" s="964">
        <f t="shared" si="0"/>
        <v>8.3296982040665532E-2</v>
      </c>
      <c r="E23" s="984">
        <f>'F8'!K23</f>
        <v>1328.703</v>
      </c>
      <c r="F23" s="964">
        <f t="shared" si="1"/>
        <v>6.066283551615409E-2</v>
      </c>
      <c r="G23" s="984">
        <f>'F8'!N23</f>
        <v>1274.3053333333335</v>
      </c>
      <c r="H23" s="964">
        <f t="shared" si="2"/>
        <v>5.784812093330103E-2</v>
      </c>
      <c r="I23" s="984">
        <f>'F8'!Q23</f>
        <v>1322.27018608</v>
      </c>
      <c r="J23" s="964">
        <f t="shared" si="3"/>
        <v>5.8349975440760642E-2</v>
      </c>
    </row>
    <row r="24" spans="1:10">
      <c r="B24" s="1369" t="s">
        <v>1425</v>
      </c>
      <c r="C24" s="984">
        <f>'F8'!E24</f>
        <v>2001.2</v>
      </c>
      <c r="D24" s="964">
        <f t="shared" si="0"/>
        <v>9.4230593815590652E-2</v>
      </c>
      <c r="E24" s="984">
        <f>'F8'!K24</f>
        <v>1889.8799999999999</v>
      </c>
      <c r="F24" s="964">
        <f t="shared" si="1"/>
        <v>8.6283751587276677E-2</v>
      </c>
      <c r="G24" s="984">
        <f>'F8'!N24</f>
        <v>2004.9039999999998</v>
      </c>
      <c r="H24" s="964">
        <f t="shared" si="2"/>
        <v>9.1014238124765709E-2</v>
      </c>
      <c r="I24" s="984">
        <f>'F8'!Q24</f>
        <v>2078.9129167466663</v>
      </c>
      <c r="J24" s="964">
        <f t="shared" si="3"/>
        <v>9.1739584627002144E-2</v>
      </c>
    </row>
    <row r="25" spans="1:10">
      <c r="B25" s="1369" t="s">
        <v>1446</v>
      </c>
      <c r="C25" s="984">
        <f>'F8'!E25</f>
        <v>0</v>
      </c>
      <c r="D25" s="964">
        <f t="shared" si="0"/>
        <v>0</v>
      </c>
      <c r="E25" s="984">
        <f>'F8'!K25</f>
        <v>0</v>
      </c>
      <c r="F25" s="964">
        <f t="shared" si="1"/>
        <v>0</v>
      </c>
      <c r="G25" s="984">
        <f>'F8'!N25</f>
        <v>0</v>
      </c>
      <c r="H25" s="964">
        <f t="shared" si="2"/>
        <v>0</v>
      </c>
      <c r="I25" s="984">
        <f>'F8'!Q25</f>
        <v>0</v>
      </c>
      <c r="J25" s="964">
        <f t="shared" si="3"/>
        <v>0</v>
      </c>
    </row>
    <row r="26" spans="1:10">
      <c r="B26" s="1367" t="s">
        <v>1400</v>
      </c>
      <c r="C26" s="984">
        <f>'F8'!E26</f>
        <v>0</v>
      </c>
      <c r="D26" s="964">
        <f t="shared" si="0"/>
        <v>0</v>
      </c>
      <c r="E26" s="984">
        <f>'F8'!K26</f>
        <v>0</v>
      </c>
      <c r="F26" s="964">
        <f t="shared" si="1"/>
        <v>0</v>
      </c>
      <c r="G26" s="984">
        <f>'F8'!N26</f>
        <v>0</v>
      </c>
      <c r="H26" s="964">
        <f t="shared" si="2"/>
        <v>0</v>
      </c>
      <c r="I26" s="984">
        <f>'F8'!Q26</f>
        <v>0</v>
      </c>
      <c r="J26" s="964">
        <f t="shared" si="3"/>
        <v>0</v>
      </c>
    </row>
    <row r="27" spans="1:10">
      <c r="B27" s="1377" t="s">
        <v>1401</v>
      </c>
      <c r="C27" s="984">
        <f>'F8'!E27</f>
        <v>0</v>
      </c>
      <c r="D27" s="964">
        <f t="shared" si="0"/>
        <v>0</v>
      </c>
      <c r="E27" s="984">
        <f>'F8'!K27</f>
        <v>0</v>
      </c>
      <c r="F27" s="964">
        <f t="shared" si="1"/>
        <v>0</v>
      </c>
      <c r="G27" s="984">
        <f>'F8'!N27</f>
        <v>0</v>
      </c>
      <c r="H27" s="964">
        <f t="shared" si="2"/>
        <v>0</v>
      </c>
      <c r="I27" s="984">
        <f>'F8'!Q27</f>
        <v>0</v>
      </c>
      <c r="J27" s="964">
        <f t="shared" si="3"/>
        <v>0</v>
      </c>
    </row>
    <row r="28" spans="1:10">
      <c r="B28" s="1378" t="s">
        <v>1060</v>
      </c>
      <c r="C28" s="984">
        <f>'F8'!E28</f>
        <v>3</v>
      </c>
      <c r="D28" s="964">
        <f t="shared" si="0"/>
        <v>1.4126113404296022E-4</v>
      </c>
      <c r="E28" s="984">
        <f>'F8'!K28</f>
        <v>4.6429999999999998</v>
      </c>
      <c r="F28" s="964">
        <f t="shared" si="1"/>
        <v>2.1197931012536544E-4</v>
      </c>
      <c r="G28" s="984">
        <f>'F8'!N28</f>
        <v>2.3214999999999999</v>
      </c>
      <c r="H28" s="964">
        <f t="shared" si="2"/>
        <v>1.053863695252459E-4</v>
      </c>
      <c r="I28" s="984">
        <f>'F8'!Q28</f>
        <v>1.1607499999999999</v>
      </c>
      <c r="J28" s="964">
        <f t="shared" si="3"/>
        <v>5.1222310467162814E-5</v>
      </c>
    </row>
    <row r="29" spans="1:10">
      <c r="B29" s="1378" t="s">
        <v>1061</v>
      </c>
      <c r="C29" s="984">
        <f>'F8'!E29</f>
        <v>33.06</v>
      </c>
      <c r="D29" s="964">
        <f t="shared" si="0"/>
        <v>1.5566976971534217E-3</v>
      </c>
      <c r="E29" s="984">
        <f>'F8'!K29</f>
        <v>40.881</v>
      </c>
      <c r="F29" s="964">
        <f t="shared" si="1"/>
        <v>1.8664497474122474E-3</v>
      </c>
      <c r="G29" s="984">
        <f>'F8'!N29</f>
        <v>20.4405</v>
      </c>
      <c r="H29" s="964">
        <f t="shared" si="2"/>
        <v>9.279130244586642E-4</v>
      </c>
      <c r="I29" s="984">
        <f>'F8'!Q29</f>
        <v>10.22025</v>
      </c>
      <c r="J29" s="964">
        <f t="shared" si="3"/>
        <v>4.5100565888608294E-4</v>
      </c>
    </row>
    <row r="30" spans="1:10">
      <c r="B30" s="1378" t="s">
        <v>1062</v>
      </c>
      <c r="C30" s="984">
        <f>'F8'!E30</f>
        <v>12</v>
      </c>
      <c r="D30" s="964">
        <f t="shared" si="0"/>
        <v>5.6504453617184087E-4</v>
      </c>
      <c r="E30" s="984">
        <f>'F8'!K30</f>
        <v>15.047000000000001</v>
      </c>
      <c r="F30" s="964">
        <f t="shared" si="1"/>
        <v>6.8698097769898212E-4</v>
      </c>
      <c r="G30" s="984">
        <f>'F8'!N30</f>
        <v>7.5235000000000003</v>
      </c>
      <c r="H30" s="964">
        <f t="shared" si="2"/>
        <v>3.4153536554951006E-4</v>
      </c>
      <c r="I30" s="984">
        <f>'F8'!Q30</f>
        <v>3.7617500000000001</v>
      </c>
      <c r="J30" s="964">
        <f t="shared" si="3"/>
        <v>1.6600088425573959E-4</v>
      </c>
    </row>
    <row r="31" spans="1:10">
      <c r="B31" s="1377" t="s">
        <v>476</v>
      </c>
      <c r="C31" s="984">
        <f>'F8'!E31</f>
        <v>0</v>
      </c>
      <c r="D31" s="964">
        <f t="shared" si="0"/>
        <v>0</v>
      </c>
      <c r="E31" s="984">
        <f>'F8'!K31</f>
        <v>0</v>
      </c>
      <c r="F31" s="964">
        <f t="shared" si="1"/>
        <v>0</v>
      </c>
      <c r="G31" s="984">
        <f>'F8'!N31</f>
        <v>0</v>
      </c>
      <c r="H31" s="964">
        <f t="shared" si="2"/>
        <v>0</v>
      </c>
      <c r="I31" s="984">
        <f>'F8'!Q31</f>
        <v>0</v>
      </c>
      <c r="J31" s="964">
        <f t="shared" si="3"/>
        <v>0</v>
      </c>
    </row>
    <row r="32" spans="1:10">
      <c r="B32" s="1378" t="s">
        <v>1063</v>
      </c>
      <c r="C32" s="984">
        <f>'F8'!E32</f>
        <v>0.3</v>
      </c>
      <c r="D32" s="964">
        <f t="shared" si="0"/>
        <v>1.4126113404296021E-5</v>
      </c>
      <c r="E32" s="984">
        <f>'F8'!K32</f>
        <v>1.518</v>
      </c>
      <c r="F32" s="964">
        <f t="shared" si="1"/>
        <v>6.9305318279195508E-5</v>
      </c>
      <c r="G32" s="984">
        <f>'F8'!N32</f>
        <v>2.4288000000000003</v>
      </c>
      <c r="H32" s="964">
        <f t="shared" si="2"/>
        <v>1.102573397815711E-4</v>
      </c>
      <c r="I32" s="984">
        <f>'F8'!Q32</f>
        <v>2.9145600000000003</v>
      </c>
      <c r="J32" s="964">
        <f t="shared" si="3"/>
        <v>1.2861554787436922E-4</v>
      </c>
    </row>
    <row r="33" spans="2:10">
      <c r="B33" s="1378" t="s">
        <v>1064</v>
      </c>
      <c r="C33" s="984">
        <f>'F8'!E33</f>
        <v>10.7</v>
      </c>
      <c r="D33" s="964">
        <f t="shared" si="0"/>
        <v>5.038313780865581E-4</v>
      </c>
      <c r="E33" s="984">
        <f>'F8'!K33</f>
        <v>15.537000000000001</v>
      </c>
      <c r="F33" s="964">
        <f t="shared" si="1"/>
        <v>7.0935225962046164E-4</v>
      </c>
      <c r="G33" s="984">
        <f>'F8'!N33</f>
        <v>24.859200000000001</v>
      </c>
      <c r="H33" s="964">
        <f t="shared" si="2"/>
        <v>1.1285034836536693E-3</v>
      </c>
      <c r="I33" s="984">
        <f>'F8'!Q33</f>
        <v>29.831040000000002</v>
      </c>
      <c r="J33" s="964">
        <f t="shared" si="3"/>
        <v>1.3164030087773877E-3</v>
      </c>
    </row>
    <row r="34" spans="2:10">
      <c r="B34" s="1378" t="s">
        <v>1065</v>
      </c>
      <c r="C34" s="984">
        <f>'F8'!E34</f>
        <v>41</v>
      </c>
      <c r="D34" s="964">
        <f t="shared" si="0"/>
        <v>1.9305688319204563E-3</v>
      </c>
      <c r="E34" s="984">
        <f>'F8'!K34</f>
        <v>48.250999999999998</v>
      </c>
      <c r="F34" s="964">
        <f t="shared" si="1"/>
        <v>2.2029320897822544E-3</v>
      </c>
      <c r="G34" s="984">
        <f>'F8'!N34</f>
        <v>77.201599999999999</v>
      </c>
      <c r="H34" s="964">
        <f t="shared" si="2"/>
        <v>3.5046290525695559E-3</v>
      </c>
      <c r="I34" s="984">
        <f>'F8'!Q34</f>
        <v>92.641919999999999</v>
      </c>
      <c r="J34" s="964">
        <f t="shared" si="3"/>
        <v>4.0881612651424166E-3</v>
      </c>
    </row>
    <row r="35" spans="2:10">
      <c r="B35" s="1369" t="s">
        <v>1425</v>
      </c>
      <c r="C35" s="984">
        <f>'F8'!E35</f>
        <v>100.06</v>
      </c>
      <c r="D35" s="964">
        <f t="shared" si="0"/>
        <v>4.7115296907795333E-3</v>
      </c>
      <c r="E35" s="984">
        <f>'F8'!K35</f>
        <v>125.87700000000001</v>
      </c>
      <c r="F35" s="964">
        <f t="shared" si="1"/>
        <v>5.7469997029185073E-3</v>
      </c>
      <c r="G35" s="984">
        <f>'F8'!N35</f>
        <v>134.77510000000001</v>
      </c>
      <c r="H35" s="964">
        <f t="shared" si="2"/>
        <v>6.1182246355382169E-3</v>
      </c>
      <c r="I35" s="984">
        <f>'F8'!Q35</f>
        <v>140.53027</v>
      </c>
      <c r="J35" s="964">
        <f t="shared" si="3"/>
        <v>6.201408675403159E-3</v>
      </c>
    </row>
    <row r="36" spans="2:10">
      <c r="B36" s="1369" t="s">
        <v>1446</v>
      </c>
      <c r="C36" s="984">
        <f>'F8'!E36</f>
        <v>0</v>
      </c>
      <c r="D36" s="964">
        <f t="shared" si="0"/>
        <v>0</v>
      </c>
      <c r="E36" s="984">
        <f>'F8'!K36</f>
        <v>0</v>
      </c>
      <c r="F36" s="964">
        <f t="shared" si="1"/>
        <v>0</v>
      </c>
      <c r="G36" s="984">
        <f>'F8'!N36</f>
        <v>0</v>
      </c>
      <c r="H36" s="964">
        <f t="shared" si="2"/>
        <v>0</v>
      </c>
      <c r="I36" s="984">
        <f>'F8'!Q36</f>
        <v>0</v>
      </c>
      <c r="J36" s="964">
        <f t="shared" si="3"/>
        <v>0</v>
      </c>
    </row>
    <row r="37" spans="2:10">
      <c r="B37" s="1367" t="s">
        <v>1067</v>
      </c>
      <c r="C37" s="984">
        <f>'F8'!E37</f>
        <v>0</v>
      </c>
      <c r="D37" s="964">
        <f t="shared" si="0"/>
        <v>0</v>
      </c>
      <c r="E37" s="984">
        <f>'F8'!K37</f>
        <v>0</v>
      </c>
      <c r="F37" s="964">
        <f t="shared" si="1"/>
        <v>0</v>
      </c>
      <c r="G37" s="984">
        <f>'F8'!N37</f>
        <v>0</v>
      </c>
      <c r="H37" s="964">
        <f t="shared" si="2"/>
        <v>0</v>
      </c>
      <c r="I37" s="984">
        <f>'F8'!Q37</f>
        <v>0</v>
      </c>
      <c r="J37" s="964">
        <f t="shared" si="3"/>
        <v>0</v>
      </c>
    </row>
    <row r="38" spans="2:10">
      <c r="B38" s="1377" t="s">
        <v>1068</v>
      </c>
      <c r="C38" s="984">
        <f>'F8'!E38</f>
        <v>154</v>
      </c>
      <c r="D38" s="964">
        <f t="shared" si="0"/>
        <v>7.2514048808719573E-3</v>
      </c>
      <c r="E38" s="984">
        <f>'F8'!K38</f>
        <v>204.93100000000001</v>
      </c>
      <c r="F38" s="964">
        <f t="shared" si="1"/>
        <v>9.3562636233687855E-3</v>
      </c>
      <c r="G38" s="984">
        <f>'F8'!N38</f>
        <v>197.96666666666667</v>
      </c>
      <c r="H38" s="964">
        <f t="shared" si="2"/>
        <v>8.9868568972709516E-3</v>
      </c>
      <c r="I38" s="984">
        <f>'F8'!Q38</f>
        <v>205.88533333333334</v>
      </c>
      <c r="J38" s="964">
        <f t="shared" si="3"/>
        <v>9.0854382637392244E-3</v>
      </c>
    </row>
    <row r="39" spans="2:10">
      <c r="B39" s="1377" t="s">
        <v>1072</v>
      </c>
      <c r="C39" s="984">
        <f>'F8'!E39</f>
        <v>36.31</v>
      </c>
      <c r="D39" s="964">
        <f t="shared" si="0"/>
        <v>1.7097305923666284E-3</v>
      </c>
      <c r="E39" s="984">
        <f>'F8'!K39</f>
        <v>66.149000000000001</v>
      </c>
      <c r="F39" s="964">
        <f t="shared" si="1"/>
        <v>3.0200774037223346E-3</v>
      </c>
      <c r="G39" s="984">
        <f>'F8'!N39</f>
        <v>59.886666666666663</v>
      </c>
      <c r="H39" s="964">
        <f t="shared" si="2"/>
        <v>2.7186036540894076E-3</v>
      </c>
      <c r="I39" s="984">
        <f>'F8'!Q39</f>
        <v>62.881</v>
      </c>
      <c r="J39" s="964">
        <f t="shared" si="3"/>
        <v>2.7748525560936164E-3</v>
      </c>
    </row>
    <row r="40" spans="2:10">
      <c r="B40" s="1369" t="s">
        <v>1425</v>
      </c>
      <c r="C40" s="984">
        <f>'F8'!E40</f>
        <v>190.31</v>
      </c>
      <c r="D40" s="964">
        <f t="shared" si="0"/>
        <v>8.9611354732385858E-3</v>
      </c>
      <c r="E40" s="984">
        <f>'F8'!K40</f>
        <v>271.08000000000004</v>
      </c>
      <c r="F40" s="964">
        <f t="shared" si="1"/>
        <v>1.2376341027091122E-2</v>
      </c>
      <c r="G40" s="984">
        <f>'F8'!N40</f>
        <v>257.85333333333335</v>
      </c>
      <c r="H40" s="964">
        <f t="shared" si="2"/>
        <v>1.1705460551360361E-2</v>
      </c>
      <c r="I40" s="984">
        <f>'F8'!Q40</f>
        <v>268.76633333333336</v>
      </c>
      <c r="J40" s="964">
        <f t="shared" si="3"/>
        <v>1.1860290819832843E-2</v>
      </c>
    </row>
    <row r="41" spans="2:10">
      <c r="B41" s="1369" t="s">
        <v>1446</v>
      </c>
      <c r="C41" s="984">
        <f>'F8'!E41</f>
        <v>0</v>
      </c>
      <c r="D41" s="964">
        <f t="shared" si="0"/>
        <v>0</v>
      </c>
      <c r="E41" s="984">
        <f>'F8'!K41</f>
        <v>0</v>
      </c>
      <c r="F41" s="964">
        <f t="shared" si="1"/>
        <v>0</v>
      </c>
      <c r="G41" s="984">
        <f>'F8'!N41</f>
        <v>0</v>
      </c>
      <c r="H41" s="964">
        <f t="shared" si="2"/>
        <v>0</v>
      </c>
      <c r="I41" s="984">
        <f>'F8'!Q41</f>
        <v>0</v>
      </c>
      <c r="J41" s="964">
        <f t="shared" si="3"/>
        <v>0</v>
      </c>
    </row>
    <row r="42" spans="2:10">
      <c r="B42" s="1367" t="s">
        <v>1076</v>
      </c>
      <c r="C42" s="984">
        <f>'F8'!E42</f>
        <v>0</v>
      </c>
      <c r="D42" s="964">
        <f t="shared" si="0"/>
        <v>0</v>
      </c>
      <c r="E42" s="984">
        <f>'F8'!K42</f>
        <v>0</v>
      </c>
      <c r="F42" s="964">
        <f t="shared" si="1"/>
        <v>0</v>
      </c>
      <c r="G42" s="984">
        <f>'F8'!N42</f>
        <v>0</v>
      </c>
      <c r="H42" s="964">
        <f t="shared" si="2"/>
        <v>0</v>
      </c>
      <c r="I42" s="984">
        <f>'F8'!Q42</f>
        <v>0</v>
      </c>
      <c r="J42" s="964">
        <f t="shared" si="3"/>
        <v>0</v>
      </c>
    </row>
    <row r="43" spans="2:10">
      <c r="B43" s="1377" t="s">
        <v>1401</v>
      </c>
      <c r="C43" s="984">
        <f>'F8'!E43</f>
        <v>0</v>
      </c>
      <c r="D43" s="964">
        <f t="shared" si="0"/>
        <v>0</v>
      </c>
      <c r="E43" s="984">
        <f>'F8'!K43</f>
        <v>0</v>
      </c>
      <c r="F43" s="964">
        <f t="shared" si="1"/>
        <v>0</v>
      </c>
      <c r="G43" s="984">
        <f>'F8'!N43</f>
        <v>0</v>
      </c>
      <c r="H43" s="964">
        <f t="shared" si="2"/>
        <v>0</v>
      </c>
      <c r="I43" s="984">
        <f>'F8'!Q43</f>
        <v>0</v>
      </c>
      <c r="J43" s="964">
        <f t="shared" si="3"/>
        <v>0</v>
      </c>
    </row>
    <row r="44" spans="2:10">
      <c r="B44" s="1378" t="s">
        <v>1077</v>
      </c>
      <c r="C44" s="984">
        <f>'F8'!E44</f>
        <v>1992.1246510000001</v>
      </c>
      <c r="D44" s="964">
        <f t="shared" si="0"/>
        <v>9.3803262451732108E-2</v>
      </c>
      <c r="E44" s="984">
        <f>'F8'!K44</f>
        <v>2193.8000000000002</v>
      </c>
      <c r="F44" s="964">
        <f t="shared" si="1"/>
        <v>0.10015942505988085</v>
      </c>
      <c r="G44" s="984">
        <f>'F8'!N44</f>
        <v>2193.804189</v>
      </c>
      <c r="H44" s="964">
        <f t="shared" si="2"/>
        <v>9.9589514937749909E-2</v>
      </c>
      <c r="I44" s="984">
        <f>'F8'!Q44</f>
        <v>2193.804189</v>
      </c>
      <c r="J44" s="964">
        <f t="shared" si="3"/>
        <v>9.6809579386707159E-2</v>
      </c>
    </row>
    <row r="45" spans="2:10">
      <c r="B45" s="1377" t="s">
        <v>476</v>
      </c>
      <c r="C45" s="984">
        <f>'F8'!E45</f>
        <v>0</v>
      </c>
      <c r="D45" s="964">
        <f t="shared" si="0"/>
        <v>0</v>
      </c>
      <c r="E45" s="984">
        <f>'F8'!K45</f>
        <v>0</v>
      </c>
      <c r="F45" s="964">
        <f t="shared" si="1"/>
        <v>0</v>
      </c>
      <c r="G45" s="984">
        <f>'F8'!N45</f>
        <v>0</v>
      </c>
      <c r="H45" s="964">
        <f t="shared" si="2"/>
        <v>0</v>
      </c>
      <c r="I45" s="984">
        <f>'F8'!Q45</f>
        <v>0</v>
      </c>
      <c r="J45" s="964">
        <f t="shared" si="3"/>
        <v>0</v>
      </c>
    </row>
    <row r="46" spans="2:10">
      <c r="B46" s="1378" t="s">
        <v>1078</v>
      </c>
      <c r="C46" s="984">
        <f>'F8'!E46</f>
        <v>102.157849</v>
      </c>
      <c r="D46" s="964">
        <f t="shared" si="0"/>
        <v>4.8103112003764961E-3</v>
      </c>
      <c r="E46" s="984">
        <f>'F8'!K46</f>
        <v>153.53799999999998</v>
      </c>
      <c r="F46" s="964">
        <f t="shared" si="1"/>
        <v>7.0098813952247157E-3</v>
      </c>
      <c r="G46" s="984">
        <f>'F8'!N46</f>
        <v>214.95319999999995</v>
      </c>
      <c r="H46" s="964">
        <f t="shared" si="2"/>
        <v>9.7579743122266135E-3</v>
      </c>
      <c r="I46" s="984">
        <f>'F8'!Q46</f>
        <v>247.19617999999991</v>
      </c>
      <c r="J46" s="964">
        <f t="shared" si="3"/>
        <v>1.090842944497666E-2</v>
      </c>
    </row>
    <row r="47" spans="2:10">
      <c r="B47" s="1378" t="s">
        <v>1079</v>
      </c>
      <c r="C47" s="984">
        <f>'F8'!E47</f>
        <v>52.022695000000006</v>
      </c>
      <c r="D47" s="964">
        <f t="shared" si="0"/>
        <v>2.4495949638903454E-3</v>
      </c>
      <c r="E47" s="984">
        <f>'F8'!K47</f>
        <v>176.74799999999999</v>
      </c>
      <c r="F47" s="964">
        <f t="shared" si="1"/>
        <v>8.0695496674645893E-3</v>
      </c>
      <c r="G47" s="984">
        <f>'F8'!N47</f>
        <v>249.10863119999999</v>
      </c>
      <c r="H47" s="964">
        <f t="shared" si="2"/>
        <v>1.1308487727577601E-2</v>
      </c>
      <c r="I47" s="984">
        <f>'F8'!Q47</f>
        <v>286.47492587999994</v>
      </c>
      <c r="J47" s="964">
        <f t="shared" si="3"/>
        <v>1.2641746796883751E-2</v>
      </c>
    </row>
    <row r="48" spans="2:10">
      <c r="B48" s="1369" t="s">
        <v>1425</v>
      </c>
      <c r="C48" s="984">
        <f>'F8'!E48</f>
        <v>2146.3051949999999</v>
      </c>
      <c r="D48" s="964">
        <f t="shared" si="0"/>
        <v>0.10106316861599894</v>
      </c>
      <c r="E48" s="984">
        <f>'F8'!K48</f>
        <v>2524.0860000000002</v>
      </c>
      <c r="F48" s="964">
        <f t="shared" si="1"/>
        <v>0.11523885612257015</v>
      </c>
      <c r="G48" s="984">
        <f>'F8'!N48</f>
        <v>2657.8660202000001</v>
      </c>
      <c r="H48" s="964">
        <f t="shared" si="2"/>
        <v>0.12065597697755413</v>
      </c>
      <c r="I48" s="984">
        <f>'F8'!Q48</f>
        <v>2727.4752948799996</v>
      </c>
      <c r="J48" s="964">
        <f t="shared" si="3"/>
        <v>0.12035975562856756</v>
      </c>
    </row>
    <row r="49" spans="2:10">
      <c r="B49" s="1369" t="s">
        <v>1446</v>
      </c>
      <c r="C49" s="984">
        <f>'F8'!E49</f>
        <v>0</v>
      </c>
      <c r="D49" s="964">
        <f t="shared" si="0"/>
        <v>0</v>
      </c>
      <c r="E49" s="984">
        <f>'F8'!K49</f>
        <v>0</v>
      </c>
      <c r="F49" s="964">
        <f t="shared" si="1"/>
        <v>0</v>
      </c>
      <c r="G49" s="984">
        <f>'F8'!N49</f>
        <v>0</v>
      </c>
      <c r="H49" s="964">
        <f t="shared" si="2"/>
        <v>0</v>
      </c>
      <c r="I49" s="984">
        <f>'F8'!Q49</f>
        <v>0</v>
      </c>
      <c r="J49" s="964">
        <f t="shared" si="3"/>
        <v>0</v>
      </c>
    </row>
    <row r="50" spans="2:10" ht="28">
      <c r="B50" s="1367" t="s">
        <v>1081</v>
      </c>
      <c r="C50" s="984">
        <f>'F8'!E50</f>
        <v>0</v>
      </c>
      <c r="D50" s="964">
        <f t="shared" si="0"/>
        <v>0</v>
      </c>
      <c r="E50" s="984">
        <f>'F8'!K50</f>
        <v>0</v>
      </c>
      <c r="F50" s="964">
        <f t="shared" si="1"/>
        <v>0</v>
      </c>
      <c r="G50" s="984">
        <f>'F8'!N50</f>
        <v>0</v>
      </c>
      <c r="H50" s="964">
        <f t="shared" si="2"/>
        <v>0</v>
      </c>
      <c r="I50" s="984">
        <f>'F8'!Q50</f>
        <v>0</v>
      </c>
      <c r="J50" s="964">
        <f t="shared" si="3"/>
        <v>0</v>
      </c>
    </row>
    <row r="51" spans="2:10">
      <c r="B51" s="1377" t="s">
        <v>1012</v>
      </c>
      <c r="C51" s="984">
        <f>'F8'!E51</f>
        <v>103.39</v>
      </c>
      <c r="D51" s="964">
        <f t="shared" si="0"/>
        <v>4.8683295495672184E-3</v>
      </c>
      <c r="E51" s="984">
        <f>'F8'!K51</f>
        <v>265.33500000000004</v>
      </c>
      <c r="F51" s="964">
        <f t="shared" si="1"/>
        <v>1.2114049160481121E-2</v>
      </c>
      <c r="G51" s="984">
        <f>'F8'!N51</f>
        <v>244.828</v>
      </c>
      <c r="H51" s="964">
        <f t="shared" si="2"/>
        <v>1.1114165013192722E-2</v>
      </c>
      <c r="I51" s="984">
        <f>'F8'!Q51</f>
        <v>252.17284000000001</v>
      </c>
      <c r="J51" s="964">
        <f t="shared" si="3"/>
        <v>1.1128042646449428E-2</v>
      </c>
    </row>
    <row r="52" spans="2:10">
      <c r="B52" s="1377" t="s">
        <v>1011</v>
      </c>
      <c r="C52" s="984">
        <f>'F8'!E52</f>
        <v>444</v>
      </c>
      <c r="D52" s="964">
        <f t="shared" si="0"/>
        <v>2.0906647838358113E-2</v>
      </c>
      <c r="E52" s="984">
        <f>'F8'!K52</f>
        <v>307.75700000000001</v>
      </c>
      <c r="F52" s="964">
        <f t="shared" si="1"/>
        <v>1.4050854306752552E-2</v>
      </c>
      <c r="G52" s="984">
        <f>'F8'!N52</f>
        <v>327.15733333333333</v>
      </c>
      <c r="H52" s="964">
        <f t="shared" si="2"/>
        <v>1.485157166640565E-2</v>
      </c>
      <c r="I52" s="984">
        <f>'F8'!Q52</f>
        <v>343.51519999999999</v>
      </c>
      <c r="J52" s="964">
        <f t="shared" si="3"/>
        <v>1.5158856105612344E-2</v>
      </c>
    </row>
    <row r="53" spans="2:10">
      <c r="B53" s="1369" t="s">
        <v>1425</v>
      </c>
      <c r="C53" s="984">
        <f>'F8'!E53</f>
        <v>547.39</v>
      </c>
      <c r="D53" s="964">
        <f t="shared" si="0"/>
        <v>2.5774977387925328E-2</v>
      </c>
      <c r="E53" s="984">
        <f>'F8'!K53</f>
        <v>573.0920000000001</v>
      </c>
      <c r="F53" s="964">
        <f t="shared" si="1"/>
        <v>2.6164903467233675E-2</v>
      </c>
      <c r="G53" s="984">
        <f>'F8'!N53</f>
        <v>571.9853333333333</v>
      </c>
      <c r="H53" s="964">
        <f t="shared" si="2"/>
        <v>2.596573667959837E-2</v>
      </c>
      <c r="I53" s="984">
        <f>'F8'!Q53</f>
        <v>595.68804</v>
      </c>
      <c r="J53" s="964">
        <f t="shared" si="3"/>
        <v>2.6286898752061773E-2</v>
      </c>
    </row>
    <row r="54" spans="2:10">
      <c r="B54" s="1369" t="s">
        <v>1446</v>
      </c>
      <c r="C54" s="984">
        <f>'F8'!E54</f>
        <v>0</v>
      </c>
      <c r="D54" s="964">
        <f t="shared" si="0"/>
        <v>0</v>
      </c>
      <c r="E54" s="984">
        <f>'F8'!K54</f>
        <v>0</v>
      </c>
      <c r="F54" s="964">
        <f t="shared" si="1"/>
        <v>0</v>
      </c>
      <c r="G54" s="984">
        <f>'F8'!N54</f>
        <v>0</v>
      </c>
      <c r="H54" s="964">
        <f t="shared" si="2"/>
        <v>0</v>
      </c>
      <c r="I54" s="984">
        <f>'F8'!Q54</f>
        <v>0</v>
      </c>
      <c r="J54" s="964">
        <f t="shared" si="3"/>
        <v>0</v>
      </c>
    </row>
    <row r="55" spans="2:10">
      <c r="B55" s="1367" t="s">
        <v>1402</v>
      </c>
      <c r="C55" s="984">
        <f>'F8'!E55</f>
        <v>0</v>
      </c>
      <c r="D55" s="964">
        <f t="shared" si="0"/>
        <v>0</v>
      </c>
      <c r="E55" s="984">
        <f>'F8'!K55</f>
        <v>0</v>
      </c>
      <c r="F55" s="964">
        <f t="shared" si="1"/>
        <v>0</v>
      </c>
      <c r="G55" s="984">
        <f>'F8'!N55</f>
        <v>0</v>
      </c>
      <c r="H55" s="964">
        <f t="shared" si="2"/>
        <v>0</v>
      </c>
      <c r="I55" s="984">
        <f>'F8'!Q55</f>
        <v>0</v>
      </c>
      <c r="J55" s="964">
        <f t="shared" si="3"/>
        <v>0</v>
      </c>
    </row>
    <row r="56" spans="2:10">
      <c r="B56" s="1377" t="s">
        <v>475</v>
      </c>
      <c r="C56" s="984">
        <f>'F8'!E56</f>
        <v>0</v>
      </c>
      <c r="D56" s="964">
        <f t="shared" si="0"/>
        <v>0</v>
      </c>
      <c r="E56" s="984">
        <f>'F8'!K56</f>
        <v>0</v>
      </c>
      <c r="F56" s="964">
        <f t="shared" si="1"/>
        <v>0</v>
      </c>
      <c r="G56" s="984">
        <f>'F8'!N56</f>
        <v>0</v>
      </c>
      <c r="H56" s="964">
        <f t="shared" si="2"/>
        <v>0</v>
      </c>
      <c r="I56" s="984">
        <f>'F8'!Q56</f>
        <v>0</v>
      </c>
      <c r="J56" s="964">
        <f t="shared" si="3"/>
        <v>0</v>
      </c>
    </row>
    <row r="57" spans="2:10">
      <c r="B57" s="1378" t="s">
        <v>1091</v>
      </c>
      <c r="C57" s="984">
        <f>'F8'!E57</f>
        <v>102.073336</v>
      </c>
      <c r="D57" s="964">
        <f t="shared" si="0"/>
        <v>4.8063317329693715E-3</v>
      </c>
      <c r="E57" s="984">
        <f>'F8'!K57</f>
        <v>97.594999999999999</v>
      </c>
      <c r="F57" s="964">
        <f t="shared" si="1"/>
        <v>4.4557658349526257E-3</v>
      </c>
      <c r="G57" s="984">
        <f>'F8'!N57</f>
        <v>96.190666666666672</v>
      </c>
      <c r="H57" s="964">
        <f t="shared" si="2"/>
        <v>4.3666530873198743E-3</v>
      </c>
      <c r="I57" s="984">
        <f>'F8'!Q57</f>
        <v>105.80973333333336</v>
      </c>
      <c r="J57" s="964">
        <f t="shared" si="3"/>
        <v>4.6692388638791367E-3</v>
      </c>
    </row>
    <row r="58" spans="2:10">
      <c r="B58" s="1378" t="s">
        <v>1092</v>
      </c>
      <c r="C58" s="984">
        <f>'F8'!E58</f>
        <v>19.180535000000003</v>
      </c>
      <c r="D58" s="964">
        <f t="shared" si="0"/>
        <v>9.0315470855023008E-4</v>
      </c>
      <c r="E58" s="984">
        <f>'F8'!K58</f>
        <v>11.081</v>
      </c>
      <c r="F58" s="964">
        <f t="shared" si="1"/>
        <v>5.0591056116717093E-4</v>
      </c>
      <c r="G58" s="984">
        <f>'F8'!N58</f>
        <v>18.532</v>
      </c>
      <c r="H58" s="964">
        <f t="shared" si="2"/>
        <v>8.4127512386037351E-4</v>
      </c>
      <c r="I58" s="984">
        <f>'F8'!Q58</f>
        <v>20.385200000000001</v>
      </c>
      <c r="J58" s="964">
        <f t="shared" si="3"/>
        <v>8.995710043809671E-4</v>
      </c>
    </row>
    <row r="59" spans="2:10">
      <c r="B59" s="1378" t="s">
        <v>1093</v>
      </c>
      <c r="C59" s="984">
        <f>'F8'!E59</f>
        <v>15.030917000000001</v>
      </c>
      <c r="D59" s="964">
        <f t="shared" si="0"/>
        <v>7.0776146037520313E-4</v>
      </c>
      <c r="E59" s="984">
        <f>'F8'!K59</f>
        <v>14.455</v>
      </c>
      <c r="F59" s="964">
        <f t="shared" si="1"/>
        <v>6.5995281668364367E-4</v>
      </c>
      <c r="G59" s="984">
        <f>'F8'!N59</f>
        <v>14.625333333333332</v>
      </c>
      <c r="H59" s="964">
        <f t="shared" si="2"/>
        <v>6.6392883183138615E-4</v>
      </c>
      <c r="I59" s="984">
        <f>'F8'!Q59</f>
        <v>17.550399999999996</v>
      </c>
      <c r="J59" s="964">
        <f t="shared" si="3"/>
        <v>7.7447515625491629E-4</v>
      </c>
    </row>
    <row r="60" spans="2:10">
      <c r="B60" s="1377" t="s">
        <v>1403</v>
      </c>
      <c r="C60" s="984">
        <f>'F8'!E60</f>
        <v>0</v>
      </c>
      <c r="D60" s="964">
        <f t="shared" si="0"/>
        <v>0</v>
      </c>
      <c r="E60" s="984">
        <f>'F8'!K60</f>
        <v>0</v>
      </c>
      <c r="F60" s="964">
        <f t="shared" si="1"/>
        <v>0</v>
      </c>
      <c r="G60" s="984">
        <f>'F8'!N60</f>
        <v>0</v>
      </c>
      <c r="H60" s="964">
        <f t="shared" si="2"/>
        <v>0</v>
      </c>
      <c r="I60" s="984">
        <f>'F8'!Q60</f>
        <v>0</v>
      </c>
      <c r="J60" s="964">
        <f t="shared" si="3"/>
        <v>0</v>
      </c>
    </row>
    <row r="61" spans="2:10">
      <c r="B61" s="1378" t="s">
        <v>1094</v>
      </c>
      <c r="C61" s="984">
        <f>'F8'!E61</f>
        <v>30.843738000000002</v>
      </c>
      <c r="D61" s="964">
        <f t="shared" si="0"/>
        <v>1.4523404693346485E-3</v>
      </c>
      <c r="E61" s="984">
        <f>'F8'!K61</f>
        <v>38.027999999999999</v>
      </c>
      <c r="F61" s="964">
        <f t="shared" si="1"/>
        <v>1.736194099816368E-3</v>
      </c>
      <c r="G61" s="984">
        <f>'F8'!N61</f>
        <v>45.553333333333335</v>
      </c>
      <c r="H61" s="964">
        <f t="shared" si="2"/>
        <v>2.0679303983516559E-3</v>
      </c>
      <c r="I61" s="984">
        <f>'F8'!Q61</f>
        <v>46.464400000000005</v>
      </c>
      <c r="J61" s="964">
        <f t="shared" si="3"/>
        <v>2.05041044365319E-3</v>
      </c>
    </row>
    <row r="62" spans="2:10">
      <c r="B62" s="1378" t="s">
        <v>1095</v>
      </c>
      <c r="C62" s="984">
        <f>'F8'!E62</f>
        <v>142.20498900000001</v>
      </c>
      <c r="D62" s="964">
        <f t="shared" si="0"/>
        <v>6.6960126709022282E-3</v>
      </c>
      <c r="E62" s="984">
        <f>'F8'!K62</f>
        <v>198.733</v>
      </c>
      <c r="F62" s="964">
        <f t="shared" si="1"/>
        <v>9.0732897349007652E-3</v>
      </c>
      <c r="G62" s="984">
        <f>'F8'!N62</f>
        <v>176.66533333333334</v>
      </c>
      <c r="H62" s="964">
        <f t="shared" si="2"/>
        <v>8.0198656476275724E-3</v>
      </c>
      <c r="I62" s="984">
        <f>'F8'!Q62</f>
        <v>185.49860000000001</v>
      </c>
      <c r="J62" s="964">
        <f t="shared" si="3"/>
        <v>8.1857995954547052E-3</v>
      </c>
    </row>
    <row r="63" spans="2:10">
      <c r="B63" s="1378" t="s">
        <v>1096</v>
      </c>
      <c r="C63" s="984">
        <f>'F8'!E63</f>
        <v>22.944237000000001</v>
      </c>
      <c r="D63" s="964">
        <f t="shared" si="0"/>
        <v>1.0803763127901491E-3</v>
      </c>
      <c r="E63" s="984">
        <f>'F8'!K63</f>
        <v>30.2</v>
      </c>
      <c r="F63" s="964">
        <f t="shared" si="1"/>
        <v>1.3788014572013862E-3</v>
      </c>
      <c r="G63" s="984">
        <f>'F8'!N63</f>
        <v>43.566666666666663</v>
      </c>
      <c r="H63" s="964">
        <f t="shared" si="2"/>
        <v>1.9777440587191671E-3</v>
      </c>
      <c r="I63" s="984">
        <f>'F8'!Q63</f>
        <v>45.744999999999997</v>
      </c>
      <c r="J63" s="964">
        <f t="shared" si="3"/>
        <v>2.0186643052512278E-3</v>
      </c>
    </row>
    <row r="64" spans="2:10">
      <c r="B64" s="1369" t="s">
        <v>1425</v>
      </c>
      <c r="C64" s="984">
        <f>'F8'!E64</f>
        <v>332.27775200000002</v>
      </c>
      <c r="D64" s="964">
        <f t="shared" si="0"/>
        <v>1.564597735492183E-2</v>
      </c>
      <c r="E64" s="984">
        <f>'F8'!K64</f>
        <v>390.09199999999998</v>
      </c>
      <c r="F64" s="964">
        <f t="shared" si="1"/>
        <v>1.7809914504721958E-2</v>
      </c>
      <c r="G64" s="984">
        <f>'F8'!N64</f>
        <v>395.13333333333338</v>
      </c>
      <c r="H64" s="964">
        <f t="shared" si="2"/>
        <v>1.7937397147710032E-2</v>
      </c>
      <c r="I64" s="984">
        <f>'F8'!Q64</f>
        <v>421.45333333333338</v>
      </c>
      <c r="J64" s="964">
        <f t="shared" si="3"/>
        <v>1.8598159368874143E-2</v>
      </c>
    </row>
    <row r="65" spans="2:10">
      <c r="B65" s="1369" t="s">
        <v>1446</v>
      </c>
      <c r="C65" s="984">
        <f>'F8'!E65</f>
        <v>0</v>
      </c>
      <c r="D65" s="964">
        <f t="shared" si="0"/>
        <v>0</v>
      </c>
      <c r="E65" s="984">
        <f>'F8'!K65</f>
        <v>0</v>
      </c>
      <c r="F65" s="964">
        <f t="shared" si="1"/>
        <v>0</v>
      </c>
      <c r="G65" s="984">
        <f>'F8'!N65</f>
        <v>0</v>
      </c>
      <c r="H65" s="964">
        <f t="shared" si="2"/>
        <v>0</v>
      </c>
      <c r="I65" s="984">
        <f>'F8'!Q65</f>
        <v>0</v>
      </c>
      <c r="J65" s="964">
        <f t="shared" si="3"/>
        <v>0</v>
      </c>
    </row>
    <row r="66" spans="2:10" ht="28">
      <c r="B66" s="1367" t="s">
        <v>1098</v>
      </c>
      <c r="C66" s="984">
        <f>'F8'!E66</f>
        <v>0</v>
      </c>
      <c r="D66" s="964">
        <f t="shared" si="0"/>
        <v>0</v>
      </c>
      <c r="E66" s="984">
        <f>'F8'!K66</f>
        <v>0</v>
      </c>
      <c r="F66" s="964">
        <f t="shared" si="1"/>
        <v>0</v>
      </c>
      <c r="G66" s="984">
        <f>'F8'!N66</f>
        <v>0</v>
      </c>
      <c r="H66" s="964">
        <f t="shared" si="2"/>
        <v>0</v>
      </c>
      <c r="I66" s="984">
        <f>'F8'!Q66</f>
        <v>0</v>
      </c>
      <c r="J66" s="964">
        <f t="shared" si="3"/>
        <v>0</v>
      </c>
    </row>
    <row r="67" spans="2:10">
      <c r="B67" s="1377" t="s">
        <v>476</v>
      </c>
      <c r="C67" s="984">
        <f>'F8'!E67</f>
        <v>0</v>
      </c>
      <c r="D67" s="964">
        <f t="shared" si="0"/>
        <v>0</v>
      </c>
      <c r="E67" s="984">
        <f>'F8'!K67</f>
        <v>0</v>
      </c>
      <c r="F67" s="964">
        <f t="shared" si="1"/>
        <v>0</v>
      </c>
      <c r="G67" s="984">
        <f>'F8'!N67</f>
        <v>0</v>
      </c>
      <c r="H67" s="964">
        <f t="shared" si="2"/>
        <v>0</v>
      </c>
      <c r="I67" s="984">
        <f>'F8'!Q67</f>
        <v>0</v>
      </c>
      <c r="J67" s="964">
        <f t="shared" si="3"/>
        <v>0</v>
      </c>
    </row>
    <row r="68" spans="2:10">
      <c r="B68" s="1378" t="s">
        <v>1099</v>
      </c>
      <c r="C68" s="984">
        <f>'F8'!E68</f>
        <v>19.338604</v>
      </c>
      <c r="D68" s="964">
        <f t="shared" si="0"/>
        <v>9.1059771061590886E-4</v>
      </c>
      <c r="E68" s="984">
        <f>'F8'!K68</f>
        <v>254.119</v>
      </c>
      <c r="F68" s="964">
        <f t="shared" si="1"/>
        <v>1.1601975082866195E-2</v>
      </c>
      <c r="G68" s="984">
        <f>'F8'!N68</f>
        <v>508.238</v>
      </c>
      <c r="H68" s="964">
        <f t="shared" si="2"/>
        <v>2.307187494067281E-2</v>
      </c>
      <c r="I68" s="984">
        <f>'F8'!Q68</f>
        <v>660.70940000000007</v>
      </c>
      <c r="J68" s="964">
        <f t="shared" si="3"/>
        <v>2.9156202468552977E-2</v>
      </c>
    </row>
    <row r="69" spans="2:10">
      <c r="B69" s="1377" t="s">
        <v>1404</v>
      </c>
      <c r="C69" s="984">
        <f>'F8'!E69</f>
        <v>0</v>
      </c>
      <c r="D69" s="964">
        <f t="shared" si="0"/>
        <v>0</v>
      </c>
      <c r="E69" s="984">
        <f>'F8'!K69</f>
        <v>0</v>
      </c>
      <c r="F69" s="964">
        <f t="shared" si="1"/>
        <v>0</v>
      </c>
      <c r="G69" s="984">
        <f>'F8'!N69</f>
        <v>0</v>
      </c>
      <c r="H69" s="964">
        <f t="shared" si="2"/>
        <v>0</v>
      </c>
      <c r="I69" s="984">
        <f>'F8'!Q69</f>
        <v>0</v>
      </c>
      <c r="J69" s="964">
        <f t="shared" si="3"/>
        <v>0</v>
      </c>
    </row>
    <row r="70" spans="2:10">
      <c r="B70" s="1378" t="s">
        <v>1405</v>
      </c>
      <c r="C70" s="984">
        <f>'F8'!E70</f>
        <v>947.30200600000001</v>
      </c>
      <c r="D70" s="964">
        <f t="shared" si="0"/>
        <v>4.4605651882910366E-2</v>
      </c>
      <c r="E70" s="984">
        <f>'F8'!K70</f>
        <v>848.98</v>
      </c>
      <c r="F70" s="964">
        <f t="shared" si="1"/>
        <v>3.8760756991219635E-2</v>
      </c>
      <c r="G70" s="984">
        <f>'F8'!N70</f>
        <v>636.73533270000007</v>
      </c>
      <c r="H70" s="964">
        <f t="shared" si="2"/>
        <v>2.890511525380254E-2</v>
      </c>
      <c r="I70" s="984">
        <f>'F8'!Q70</f>
        <v>318.36766635000004</v>
      </c>
      <c r="J70" s="964">
        <f t="shared" si="3"/>
        <v>1.4049129828546893E-2</v>
      </c>
    </row>
    <row r="71" spans="2:10">
      <c r="B71" s="1378" t="s">
        <v>1101</v>
      </c>
      <c r="C71" s="984">
        <f>'F8'!E71</f>
        <v>40.076822</v>
      </c>
      <c r="D71" s="964">
        <f t="shared" si="0"/>
        <v>1.8870991081859521E-3</v>
      </c>
      <c r="E71" s="984">
        <f>'F8'!K71</f>
        <v>10.09</v>
      </c>
      <c r="F71" s="964">
        <f t="shared" si="1"/>
        <v>4.6066578487291348E-4</v>
      </c>
      <c r="G71" s="984">
        <f>'F8'!N71</f>
        <v>7.5664420199999993</v>
      </c>
      <c r="H71" s="964">
        <f t="shared" si="2"/>
        <v>3.4348475326774415E-4</v>
      </c>
      <c r="I71" s="984">
        <f>'F8'!Q71</f>
        <v>3.7832210099999997</v>
      </c>
      <c r="J71" s="964">
        <f t="shared" si="3"/>
        <v>1.6694837057084925E-4</v>
      </c>
    </row>
    <row r="72" spans="2:10">
      <c r="B72" s="1369" t="s">
        <v>1425</v>
      </c>
      <c r="C72" s="984">
        <f>'F8'!E72</f>
        <v>1006.717432</v>
      </c>
      <c r="D72" s="964">
        <f t="shared" si="0"/>
        <v>4.7403348701712228E-2</v>
      </c>
      <c r="E72" s="984">
        <f>'F8'!K72</f>
        <v>1113.1890000000001</v>
      </c>
      <c r="F72" s="964">
        <f t="shared" si="1"/>
        <v>5.0823397858958744E-2</v>
      </c>
      <c r="G72" s="984">
        <f>'F8'!N72</f>
        <v>1152.53977472</v>
      </c>
      <c r="H72" s="964">
        <f t="shared" si="2"/>
        <v>5.2320474947743091E-2</v>
      </c>
      <c r="I72" s="984">
        <f>'F8'!Q72</f>
        <v>982.86028736000014</v>
      </c>
      <c r="J72" s="964">
        <f t="shared" si="3"/>
        <v>4.3372280667670723E-2</v>
      </c>
    </row>
    <row r="73" spans="2:10">
      <c r="B73" s="1369" t="s">
        <v>1446</v>
      </c>
      <c r="C73" s="984">
        <f>'F8'!E73</f>
        <v>0</v>
      </c>
      <c r="D73" s="964">
        <f t="shared" si="0"/>
        <v>0</v>
      </c>
      <c r="E73" s="984">
        <f>'F8'!K73</f>
        <v>0</v>
      </c>
      <c r="F73" s="964">
        <f t="shared" si="1"/>
        <v>0</v>
      </c>
      <c r="G73" s="984">
        <f>'F8'!N73</f>
        <v>0</v>
      </c>
      <c r="H73" s="964">
        <f t="shared" si="2"/>
        <v>0</v>
      </c>
      <c r="I73" s="984">
        <f>'F8'!Q73</f>
        <v>0</v>
      </c>
      <c r="J73" s="964">
        <f t="shared" si="3"/>
        <v>0</v>
      </c>
    </row>
    <row r="74" spans="2:10">
      <c r="B74" s="1367" t="s">
        <v>1406</v>
      </c>
      <c r="C74" s="984">
        <f>'F8'!E74</f>
        <v>0</v>
      </c>
      <c r="D74" s="964">
        <f t="shared" si="0"/>
        <v>0</v>
      </c>
      <c r="E74" s="984">
        <f>'F8'!K74</f>
        <v>0</v>
      </c>
      <c r="F74" s="964">
        <f t="shared" si="1"/>
        <v>0</v>
      </c>
      <c r="G74" s="984">
        <f>'F8'!N74</f>
        <v>0</v>
      </c>
      <c r="H74" s="964">
        <f t="shared" si="2"/>
        <v>0</v>
      </c>
      <c r="I74" s="984">
        <f>'F8'!Q74</f>
        <v>0</v>
      </c>
      <c r="J74" s="964">
        <f t="shared" si="3"/>
        <v>0</v>
      </c>
    </row>
    <row r="75" spans="2:10">
      <c r="B75" s="1377" t="s">
        <v>476</v>
      </c>
      <c r="C75" s="984">
        <f>'F8'!E75</f>
        <v>0</v>
      </c>
      <c r="D75" s="964">
        <f t="shared" si="0"/>
        <v>0</v>
      </c>
      <c r="E75" s="984">
        <f>'F8'!K75</f>
        <v>0</v>
      </c>
      <c r="F75" s="964">
        <f t="shared" si="1"/>
        <v>0</v>
      </c>
      <c r="G75" s="984">
        <f>'F8'!N75</f>
        <v>0</v>
      </c>
      <c r="H75" s="964">
        <f t="shared" si="2"/>
        <v>0</v>
      </c>
      <c r="I75" s="984">
        <f>'F8'!Q75</f>
        <v>0</v>
      </c>
      <c r="J75" s="964">
        <f t="shared" si="3"/>
        <v>0</v>
      </c>
    </row>
    <row r="76" spans="2:10">
      <c r="B76" s="1378" t="s">
        <v>1104</v>
      </c>
      <c r="C76" s="984">
        <f>'F8'!E76</f>
        <v>1.427305</v>
      </c>
      <c r="D76" s="964">
        <f t="shared" si="0"/>
        <v>6.7207574308395771E-5</v>
      </c>
      <c r="E76" s="984">
        <f>'F8'!K76</f>
        <v>2.113</v>
      </c>
      <c r="F76" s="964">
        <f t="shared" si="1"/>
        <v>9.6470446326706269E-5</v>
      </c>
      <c r="G76" s="984">
        <f>'F8'!N76</f>
        <v>3.8279999999999998</v>
      </c>
      <c r="H76" s="964">
        <f t="shared" si="2"/>
        <v>1.7377515509051962E-4</v>
      </c>
      <c r="I76" s="984">
        <f>'F8'!Q76</f>
        <v>3.9428399999999999</v>
      </c>
      <c r="J76" s="964">
        <f t="shared" si="3"/>
        <v>1.7399213836084276E-4</v>
      </c>
    </row>
    <row r="77" spans="2:10">
      <c r="B77" s="1378" t="s">
        <v>1105</v>
      </c>
      <c r="C77" s="984">
        <f>'F8'!E77</f>
        <v>0</v>
      </c>
      <c r="D77" s="964">
        <f t="shared" ref="D77:D126" si="4">IFERROR(C77/$C$126,0)</f>
        <v>0</v>
      </c>
      <c r="E77" s="984">
        <f>'F8'!K77</f>
        <v>6.0730000000000004</v>
      </c>
      <c r="F77" s="964">
        <f t="shared" ref="F77:F126" si="5">IFERROR(E77/$E$126,0)</f>
        <v>2.7726692879417284E-4</v>
      </c>
      <c r="G77" s="984">
        <f>'F8'!N77</f>
        <v>5.0266666666666664</v>
      </c>
      <c r="H77" s="964">
        <f t="shared" ref="H77:H126" si="6">IFERROR(G77/$G$126,0)</f>
        <v>2.2818959759361162E-4</v>
      </c>
      <c r="I77" s="984">
        <f>'F8'!Q77</f>
        <v>5.1774666666666667</v>
      </c>
      <c r="J77" s="964">
        <f t="shared" ref="J77:J126" si="7">IFERROR(I77/$I$126,0)</f>
        <v>2.2847452512029858E-4</v>
      </c>
    </row>
    <row r="78" spans="2:10">
      <c r="B78" s="1377" t="s">
        <v>1404</v>
      </c>
      <c r="C78" s="984">
        <f>'F8'!E78</f>
        <v>0</v>
      </c>
      <c r="D78" s="964">
        <f t="shared" si="4"/>
        <v>0</v>
      </c>
      <c r="E78" s="984">
        <f>'F8'!K78</f>
        <v>0</v>
      </c>
      <c r="F78" s="964">
        <f t="shared" si="5"/>
        <v>0</v>
      </c>
      <c r="G78" s="984">
        <f>'F8'!N78</f>
        <v>0</v>
      </c>
      <c r="H78" s="964">
        <f t="shared" si="6"/>
        <v>0</v>
      </c>
      <c r="I78" s="984">
        <f>'F8'!Q78</f>
        <v>0</v>
      </c>
      <c r="J78" s="964">
        <f t="shared" si="7"/>
        <v>0</v>
      </c>
    </row>
    <row r="79" spans="2:10">
      <c r="B79" s="1378" t="s">
        <v>1106</v>
      </c>
      <c r="C79" s="984">
        <f>'F8'!E79</f>
        <v>0</v>
      </c>
      <c r="D79" s="964">
        <f t="shared" si="4"/>
        <v>0</v>
      </c>
      <c r="E79" s="984">
        <f>'F8'!K79</f>
        <v>0.01</v>
      </c>
      <c r="F79" s="964">
        <f t="shared" si="5"/>
        <v>4.5655677390774382E-7</v>
      </c>
      <c r="G79" s="984">
        <f>'F8'!N79</f>
        <v>0</v>
      </c>
      <c r="H79" s="964">
        <f t="shared" si="6"/>
        <v>0</v>
      </c>
      <c r="I79" s="984">
        <f>'F8'!Q79</f>
        <v>0</v>
      </c>
      <c r="J79" s="964">
        <f t="shared" si="7"/>
        <v>0</v>
      </c>
    </row>
    <row r="80" spans="2:10">
      <c r="B80" s="1378" t="s">
        <v>1107</v>
      </c>
      <c r="C80" s="984">
        <f>'F8'!E80</f>
        <v>0</v>
      </c>
      <c r="D80" s="964">
        <f t="shared" si="4"/>
        <v>0</v>
      </c>
      <c r="E80" s="984">
        <f>'F8'!K80</f>
        <v>4.1000000000000002E-2</v>
      </c>
      <c r="F80" s="964">
        <f t="shared" si="5"/>
        <v>1.8718827730217496E-6</v>
      </c>
      <c r="G80" s="984">
        <f>'F8'!N80</f>
        <v>0.16133333333333333</v>
      </c>
      <c r="H80" s="964">
        <f t="shared" si="6"/>
        <v>7.3238571110946968E-6</v>
      </c>
      <c r="I80" s="984">
        <f>'F8'!Q80</f>
        <v>0.16133333333333333</v>
      </c>
      <c r="J80" s="964">
        <f t="shared" si="7"/>
        <v>7.1194194173614192E-6</v>
      </c>
    </row>
    <row r="81" spans="2:10">
      <c r="B81" s="1369" t="s">
        <v>1425</v>
      </c>
      <c r="C81" s="984">
        <f>'F8'!E81</f>
        <v>1.427305</v>
      </c>
      <c r="D81" s="964">
        <f t="shared" si="4"/>
        <v>6.7207574308395771E-5</v>
      </c>
      <c r="E81" s="984">
        <f>'F8'!K81</f>
        <v>8.2370000000000001</v>
      </c>
      <c r="F81" s="964">
        <f t="shared" si="5"/>
        <v>3.7606581466780855E-4</v>
      </c>
      <c r="G81" s="984">
        <f>'F8'!N81</f>
        <v>9.016</v>
      </c>
      <c r="H81" s="964">
        <f t="shared" si="6"/>
        <v>4.0928860979522598E-4</v>
      </c>
      <c r="I81" s="984">
        <f>'F8'!Q81</f>
        <v>9.2816399999999994</v>
      </c>
      <c r="J81" s="964">
        <f t="shared" si="7"/>
        <v>4.0958608289850276E-4</v>
      </c>
    </row>
    <row r="82" spans="2:10">
      <c r="B82" s="1369" t="s">
        <v>1446</v>
      </c>
      <c r="C82" s="984">
        <f>'F8'!E82</f>
        <v>0</v>
      </c>
      <c r="D82" s="964">
        <f t="shared" si="4"/>
        <v>0</v>
      </c>
      <c r="E82" s="984">
        <f>'F8'!K82</f>
        <v>0</v>
      </c>
      <c r="F82" s="964">
        <f t="shared" si="5"/>
        <v>0</v>
      </c>
      <c r="G82" s="984">
        <f>'F8'!N82</f>
        <v>0</v>
      </c>
      <c r="H82" s="964">
        <f t="shared" si="6"/>
        <v>0</v>
      </c>
      <c r="I82" s="984">
        <f>'F8'!Q82</f>
        <v>0</v>
      </c>
      <c r="J82" s="964">
        <f t="shared" si="7"/>
        <v>0</v>
      </c>
    </row>
    <row r="83" spans="2:10">
      <c r="B83" s="1367" t="s">
        <v>1109</v>
      </c>
      <c r="C83" s="984">
        <f>'F8'!E83</f>
        <v>0</v>
      </c>
      <c r="D83" s="964">
        <f t="shared" si="4"/>
        <v>0</v>
      </c>
      <c r="E83" s="984">
        <f>'F8'!K83</f>
        <v>0</v>
      </c>
      <c r="F83" s="964">
        <f t="shared" si="5"/>
        <v>0</v>
      </c>
      <c r="G83" s="984">
        <f>'F8'!N83</f>
        <v>0</v>
      </c>
      <c r="H83" s="964">
        <f t="shared" si="6"/>
        <v>0</v>
      </c>
      <c r="I83" s="984">
        <f>'F8'!Q83</f>
        <v>0</v>
      </c>
      <c r="J83" s="964">
        <f t="shared" si="7"/>
        <v>0</v>
      </c>
    </row>
    <row r="84" spans="2:10">
      <c r="B84" s="1369" t="s">
        <v>1429</v>
      </c>
      <c r="C84" s="984">
        <f>'F8'!E84</f>
        <v>112.52633999999999</v>
      </c>
      <c r="D84" s="964">
        <f t="shared" si="4"/>
        <v>5.2985327993679042E-3</v>
      </c>
      <c r="E84" s="984">
        <f>'F8'!K84</f>
        <v>105.14700000000001</v>
      </c>
      <c r="F84" s="964">
        <f t="shared" si="5"/>
        <v>4.8005575106077544E-3</v>
      </c>
      <c r="G84" s="984">
        <f>'F8'!N84</f>
        <v>106.61333333333333</v>
      </c>
      <c r="H84" s="964">
        <f t="shared" si="6"/>
        <v>4.8397984677944787E-3</v>
      </c>
      <c r="I84" s="984">
        <f>'F8'!Q84</f>
        <v>108.7456</v>
      </c>
      <c r="J84" s="964">
        <f t="shared" si="7"/>
        <v>4.7987946458220125E-3</v>
      </c>
    </row>
    <row r="85" spans="2:10">
      <c r="B85" s="1369" t="s">
        <v>1446</v>
      </c>
      <c r="C85" s="984">
        <f>'F8'!E85</f>
        <v>0</v>
      </c>
      <c r="D85" s="964">
        <f t="shared" si="4"/>
        <v>0</v>
      </c>
      <c r="E85" s="984">
        <f>'F8'!K85</f>
        <v>0</v>
      </c>
      <c r="F85" s="964">
        <f t="shared" si="5"/>
        <v>0</v>
      </c>
      <c r="G85" s="984">
        <f>'F8'!N85</f>
        <v>0</v>
      </c>
      <c r="H85" s="964">
        <f t="shared" si="6"/>
        <v>0</v>
      </c>
      <c r="I85" s="984">
        <f>'F8'!Q85</f>
        <v>0</v>
      </c>
      <c r="J85" s="964">
        <f t="shared" si="7"/>
        <v>0</v>
      </c>
    </row>
    <row r="86" spans="2:10">
      <c r="B86" s="1367" t="s">
        <v>1407</v>
      </c>
      <c r="C86" s="984">
        <f>'F8'!E86</f>
        <v>0</v>
      </c>
      <c r="D86" s="964">
        <f t="shared" si="4"/>
        <v>0</v>
      </c>
      <c r="E86" s="984">
        <f>'F8'!K86</f>
        <v>0</v>
      </c>
      <c r="F86" s="964">
        <f t="shared" si="5"/>
        <v>0</v>
      </c>
      <c r="G86" s="984">
        <f>'F8'!N86</f>
        <v>0</v>
      </c>
      <c r="H86" s="964">
        <f t="shared" si="6"/>
        <v>0</v>
      </c>
      <c r="I86" s="984">
        <f>'F8'!Q86</f>
        <v>0</v>
      </c>
      <c r="J86" s="964">
        <f t="shared" si="7"/>
        <v>0</v>
      </c>
    </row>
    <row r="87" spans="2:10">
      <c r="B87" s="1377" t="s">
        <v>1146</v>
      </c>
      <c r="C87" s="984">
        <f>'F8'!E87</f>
        <v>0</v>
      </c>
      <c r="D87" s="964">
        <f t="shared" si="4"/>
        <v>0</v>
      </c>
      <c r="E87" s="984">
        <f>'F8'!K87</f>
        <v>0</v>
      </c>
      <c r="F87" s="964">
        <f t="shared" si="5"/>
        <v>0</v>
      </c>
      <c r="G87" s="984">
        <f>'F8'!N87</f>
        <v>0</v>
      </c>
      <c r="H87" s="964">
        <f t="shared" si="6"/>
        <v>0</v>
      </c>
      <c r="I87" s="984">
        <f>'F8'!Q87</f>
        <v>0</v>
      </c>
      <c r="J87" s="964">
        <f t="shared" si="7"/>
        <v>0</v>
      </c>
    </row>
    <row r="88" spans="2:10">
      <c r="B88" s="1378" t="s">
        <v>1408</v>
      </c>
      <c r="C88" s="984">
        <f>'F8'!E88</f>
        <v>0</v>
      </c>
      <c r="D88" s="964">
        <f t="shared" si="4"/>
        <v>0</v>
      </c>
      <c r="E88" s="984">
        <f>'F8'!K88</f>
        <v>0</v>
      </c>
      <c r="F88" s="964">
        <f t="shared" si="5"/>
        <v>0</v>
      </c>
      <c r="G88" s="984">
        <f>'F8'!N88</f>
        <v>0</v>
      </c>
      <c r="H88" s="964">
        <f t="shared" si="6"/>
        <v>0</v>
      </c>
      <c r="I88" s="984">
        <f>'F8'!Q88</f>
        <v>0</v>
      </c>
      <c r="J88" s="964">
        <f t="shared" si="7"/>
        <v>0</v>
      </c>
    </row>
    <row r="89" spans="2:10">
      <c r="B89" s="1378" t="s">
        <v>1409</v>
      </c>
      <c r="C89" s="984">
        <f>'F8'!E89</f>
        <v>0</v>
      </c>
      <c r="D89" s="964">
        <f t="shared" si="4"/>
        <v>0</v>
      </c>
      <c r="E89" s="984">
        <f>'F8'!K89</f>
        <v>0</v>
      </c>
      <c r="F89" s="964">
        <f t="shared" si="5"/>
        <v>0</v>
      </c>
      <c r="G89" s="984">
        <f>'F8'!N89</f>
        <v>0</v>
      </c>
      <c r="H89" s="964">
        <f t="shared" si="6"/>
        <v>0</v>
      </c>
      <c r="I89" s="984">
        <f>'F8'!Q89</f>
        <v>0</v>
      </c>
      <c r="J89" s="964">
        <f t="shared" si="7"/>
        <v>0</v>
      </c>
    </row>
    <row r="90" spans="2:10">
      <c r="B90" s="1377" t="s">
        <v>1410</v>
      </c>
      <c r="C90" s="984">
        <f>'F8'!E90</f>
        <v>0</v>
      </c>
      <c r="D90" s="964">
        <f t="shared" si="4"/>
        <v>0</v>
      </c>
      <c r="E90" s="984">
        <f>'F8'!K90</f>
        <v>0</v>
      </c>
      <c r="F90" s="964">
        <f t="shared" si="5"/>
        <v>0</v>
      </c>
      <c r="G90" s="984">
        <f>'F8'!N90</f>
        <v>2.6304000000000001E-2</v>
      </c>
      <c r="H90" s="964">
        <f t="shared" si="6"/>
        <v>1.1940913478320347E-6</v>
      </c>
      <c r="I90" s="984">
        <f>'F8'!Q90</f>
        <v>2.8934400000000002E-2</v>
      </c>
      <c r="J90" s="964">
        <f t="shared" si="7"/>
        <v>1.2768355115064191E-6</v>
      </c>
    </row>
    <row r="91" spans="2:10">
      <c r="B91" s="1378" t="s">
        <v>469</v>
      </c>
      <c r="C91" s="984">
        <f>'F8'!E91</f>
        <v>0</v>
      </c>
      <c r="D91" s="964">
        <f t="shared" si="4"/>
        <v>0</v>
      </c>
      <c r="E91" s="984">
        <f>'F8'!K91</f>
        <v>0</v>
      </c>
      <c r="F91" s="964">
        <f t="shared" si="5"/>
        <v>0</v>
      </c>
      <c r="G91" s="984">
        <f>'F8'!N91</f>
        <v>2.6304000000000001E-2</v>
      </c>
      <c r="H91" s="964">
        <f t="shared" si="6"/>
        <v>1.1940913478320347E-6</v>
      </c>
      <c r="I91" s="984">
        <f>'F8'!Q91</f>
        <v>2.8934400000000002E-2</v>
      </c>
      <c r="J91" s="964">
        <f t="shared" si="7"/>
        <v>1.2768355115064191E-6</v>
      </c>
    </row>
    <row r="92" spans="2:10">
      <c r="B92" s="1378" t="s">
        <v>470</v>
      </c>
      <c r="C92" s="984">
        <f>'F8'!E92</f>
        <v>0</v>
      </c>
      <c r="D92" s="964">
        <f t="shared" si="4"/>
        <v>0</v>
      </c>
      <c r="E92" s="984">
        <f>'F8'!K92</f>
        <v>0</v>
      </c>
      <c r="F92" s="964">
        <f t="shared" si="5"/>
        <v>0</v>
      </c>
      <c r="G92" s="984">
        <f>'F8'!N92</f>
        <v>0</v>
      </c>
      <c r="H92" s="964">
        <f t="shared" si="6"/>
        <v>0</v>
      </c>
      <c r="I92" s="984">
        <f>'F8'!Q92</f>
        <v>0</v>
      </c>
      <c r="J92" s="964">
        <f t="shared" si="7"/>
        <v>0</v>
      </c>
    </row>
    <row r="93" spans="2:10">
      <c r="B93" s="1369" t="s">
        <v>1425</v>
      </c>
      <c r="C93" s="984">
        <f>'F8'!E93</f>
        <v>0</v>
      </c>
      <c r="D93" s="964">
        <f t="shared" si="4"/>
        <v>0</v>
      </c>
      <c r="E93" s="984">
        <f>'F8'!K93</f>
        <v>0</v>
      </c>
      <c r="F93" s="964">
        <f t="shared" si="5"/>
        <v>0</v>
      </c>
      <c r="G93" s="984">
        <f>'F8'!N93</f>
        <v>5.2608000000000002E-2</v>
      </c>
      <c r="H93" s="964">
        <f t="shared" si="6"/>
        <v>2.3881826956640695E-6</v>
      </c>
      <c r="I93" s="984">
        <f>'F8'!Q93</f>
        <v>5.7868800000000005E-2</v>
      </c>
      <c r="J93" s="964">
        <f t="shared" si="7"/>
        <v>2.5536710230128383E-6</v>
      </c>
    </row>
    <row r="94" spans="2:10">
      <c r="B94" s="1369" t="s">
        <v>1446</v>
      </c>
      <c r="C94" s="984">
        <f>'F8'!E94</f>
        <v>0</v>
      </c>
      <c r="D94" s="964">
        <f t="shared" si="4"/>
        <v>0</v>
      </c>
      <c r="E94" s="984">
        <f>'F8'!K94</f>
        <v>0</v>
      </c>
      <c r="F94" s="964">
        <f t="shared" si="5"/>
        <v>0</v>
      </c>
      <c r="G94" s="984">
        <f>'F8'!N94</f>
        <v>0</v>
      </c>
      <c r="H94" s="964">
        <f t="shared" si="6"/>
        <v>0</v>
      </c>
      <c r="I94" s="984">
        <f>'F8'!Q94</f>
        <v>0</v>
      </c>
      <c r="J94" s="964">
        <f t="shared" si="7"/>
        <v>0</v>
      </c>
    </row>
    <row r="95" spans="2:10">
      <c r="B95" s="1367" t="s">
        <v>1119</v>
      </c>
      <c r="C95" s="984">
        <f>'F8'!E95</f>
        <v>0</v>
      </c>
      <c r="D95" s="964">
        <f t="shared" si="4"/>
        <v>0</v>
      </c>
      <c r="E95" s="984">
        <f>'F8'!K95</f>
        <v>0</v>
      </c>
      <c r="F95" s="964">
        <f t="shared" si="5"/>
        <v>0</v>
      </c>
      <c r="G95" s="984">
        <f>'F8'!N95</f>
        <v>0</v>
      </c>
      <c r="H95" s="964">
        <f t="shared" si="6"/>
        <v>0</v>
      </c>
      <c r="I95" s="984">
        <f>'F8'!Q95</f>
        <v>0</v>
      </c>
      <c r="J95" s="964">
        <f t="shared" si="7"/>
        <v>0</v>
      </c>
    </row>
    <row r="96" spans="2:10">
      <c r="B96" s="1367" t="s">
        <v>475</v>
      </c>
      <c r="C96" s="984">
        <f>'F8'!E96</f>
        <v>0</v>
      </c>
      <c r="D96" s="964">
        <f t="shared" si="4"/>
        <v>0</v>
      </c>
      <c r="E96" s="984">
        <f>'F8'!K96</f>
        <v>0</v>
      </c>
      <c r="F96" s="964">
        <f t="shared" si="5"/>
        <v>0</v>
      </c>
      <c r="G96" s="984">
        <f>'F8'!N96</f>
        <v>0</v>
      </c>
      <c r="H96" s="964">
        <f t="shared" si="6"/>
        <v>0</v>
      </c>
      <c r="I96" s="984">
        <f>'F8'!Q96</f>
        <v>0</v>
      </c>
      <c r="J96" s="964">
        <f t="shared" si="7"/>
        <v>0</v>
      </c>
    </row>
    <row r="97" spans="2:10">
      <c r="B97" s="1378" t="s">
        <v>1411</v>
      </c>
      <c r="C97" s="984">
        <f>'F8'!E97</f>
        <v>24.535273</v>
      </c>
      <c r="D97" s="964">
        <f t="shared" si="4"/>
        <v>1.1552934960112075E-3</v>
      </c>
      <c r="E97" s="984">
        <f>'F8'!K97</f>
        <v>32.335000000000001</v>
      </c>
      <c r="F97" s="964">
        <f t="shared" si="5"/>
        <v>1.4762763284306897E-3</v>
      </c>
      <c r="G97" s="984">
        <f>'F8'!N97</f>
        <v>391</v>
      </c>
      <c r="H97" s="964">
        <f t="shared" si="6"/>
        <v>1.7749761139078678E-2</v>
      </c>
      <c r="I97" s="984">
        <f>'F8'!Q97</f>
        <v>391</v>
      </c>
      <c r="J97" s="964">
        <f t="shared" si="7"/>
        <v>1.725429540612592E-2</v>
      </c>
    </row>
    <row r="98" spans="2:10">
      <c r="B98" s="1378" t="s">
        <v>1412</v>
      </c>
      <c r="C98" s="984">
        <f>'F8'!E98</f>
        <v>0</v>
      </c>
      <c r="D98" s="964">
        <f t="shared" si="4"/>
        <v>0</v>
      </c>
      <c r="E98" s="984">
        <f>'F8'!K98</f>
        <v>1.3109999999999999</v>
      </c>
      <c r="F98" s="964">
        <f t="shared" si="5"/>
        <v>5.985459305930521E-5</v>
      </c>
      <c r="G98" s="984">
        <f>'F8'!N98</f>
        <v>78.634666666666661</v>
      </c>
      <c r="H98" s="964">
        <f t="shared" si="6"/>
        <v>3.5696842725943872E-3</v>
      </c>
      <c r="I98" s="984">
        <f>'F8'!Q98</f>
        <v>78.634666666666661</v>
      </c>
      <c r="J98" s="964">
        <f t="shared" si="7"/>
        <v>3.4700403269281575E-3</v>
      </c>
    </row>
    <row r="99" spans="2:10">
      <c r="B99" s="1367" t="s">
        <v>1403</v>
      </c>
      <c r="C99" s="984">
        <f>'F8'!E99</f>
        <v>0</v>
      </c>
      <c r="D99" s="964">
        <f t="shared" si="4"/>
        <v>0</v>
      </c>
      <c r="E99" s="984">
        <f>'F8'!K99</f>
        <v>0</v>
      </c>
      <c r="F99" s="964">
        <f t="shared" si="5"/>
        <v>0</v>
      </c>
      <c r="G99" s="984">
        <f>'F8'!N99</f>
        <v>0</v>
      </c>
      <c r="H99" s="964">
        <f t="shared" si="6"/>
        <v>0</v>
      </c>
      <c r="I99" s="984">
        <f>'F8'!Q99</f>
        <v>0</v>
      </c>
      <c r="J99" s="964">
        <f t="shared" si="7"/>
        <v>0</v>
      </c>
    </row>
    <row r="100" spans="2:10">
      <c r="B100" s="1378" t="s">
        <v>1413</v>
      </c>
      <c r="C100" s="984">
        <f>'F8'!E100</f>
        <v>408.30091700000003</v>
      </c>
      <c r="D100" s="964">
        <f t="shared" si="4"/>
        <v>1.9225683522066859E-2</v>
      </c>
      <c r="E100" s="984">
        <f>'F8'!K100</f>
        <v>313.78500000000003</v>
      </c>
      <c r="F100" s="964">
        <f t="shared" si="5"/>
        <v>1.4326066730064139E-2</v>
      </c>
      <c r="G100" s="984">
        <f>'F8'!N100</f>
        <v>34.506666666666668</v>
      </c>
      <c r="H100" s="964">
        <f t="shared" si="6"/>
        <v>1.5664580333481881E-3</v>
      </c>
      <c r="I100" s="984">
        <f>'F8'!Q100</f>
        <v>36.231999999999999</v>
      </c>
      <c r="J100" s="964">
        <f t="shared" si="7"/>
        <v>1.5988686218791671E-3</v>
      </c>
    </row>
    <row r="101" spans="2:10">
      <c r="B101" s="1378" t="s">
        <v>1414</v>
      </c>
      <c r="C101" s="984">
        <f>'F8'!E101</f>
        <v>72.456911000000005</v>
      </c>
      <c r="D101" s="964">
        <f t="shared" si="4"/>
        <v>3.4117818057032797E-3</v>
      </c>
      <c r="E101" s="984">
        <f>'F8'!K101</f>
        <v>63.203000000000003</v>
      </c>
      <c r="F101" s="964">
        <f t="shared" si="5"/>
        <v>2.8855757781291133E-3</v>
      </c>
      <c r="G101" s="984">
        <f>'F8'!N101</f>
        <v>2.6080000000000001</v>
      </c>
      <c r="H101" s="964">
        <f t="shared" si="6"/>
        <v>1.1839226867191097E-4</v>
      </c>
      <c r="I101" s="984">
        <f>'F8'!Q101</f>
        <v>2.7384000000000004</v>
      </c>
      <c r="J101" s="964">
        <f t="shared" si="7"/>
        <v>1.208418479287346E-4</v>
      </c>
    </row>
    <row r="102" spans="2:10">
      <c r="B102" s="1369" t="s">
        <v>1425</v>
      </c>
      <c r="C102" s="984">
        <f>'F8'!E102</f>
        <v>505.29310100000004</v>
      </c>
      <c r="D102" s="964">
        <f t="shared" si="4"/>
        <v>2.3792758823781346E-2</v>
      </c>
      <c r="E102" s="984">
        <f>'F8'!K102</f>
        <v>410.63400000000001</v>
      </c>
      <c r="F102" s="964">
        <f t="shared" si="5"/>
        <v>1.8747773429683246E-2</v>
      </c>
      <c r="G102" s="984">
        <f>'F8'!N102</f>
        <v>506.74933333333331</v>
      </c>
      <c r="H102" s="964">
        <f t="shared" si="6"/>
        <v>2.3004295713693161E-2</v>
      </c>
      <c r="I102" s="984">
        <f>'F8'!Q102</f>
        <v>508.60506666666669</v>
      </c>
      <c r="J102" s="964">
        <f t="shared" si="7"/>
        <v>2.2444046202861979E-2</v>
      </c>
    </row>
    <row r="103" spans="2:10">
      <c r="B103" s="1369" t="s">
        <v>1446</v>
      </c>
      <c r="C103" s="984">
        <f>'F8'!E103</f>
        <v>0</v>
      </c>
      <c r="D103" s="964">
        <f t="shared" si="4"/>
        <v>0</v>
      </c>
      <c r="E103" s="984">
        <f>'F8'!K103</f>
        <v>0</v>
      </c>
      <c r="F103" s="964">
        <f t="shared" si="5"/>
        <v>0</v>
      </c>
      <c r="G103" s="984">
        <f>'F8'!N103</f>
        <v>0</v>
      </c>
      <c r="H103" s="964">
        <f t="shared" si="6"/>
        <v>0</v>
      </c>
      <c r="I103" s="984">
        <f>'F8'!Q103</f>
        <v>0</v>
      </c>
      <c r="J103" s="964">
        <f t="shared" si="7"/>
        <v>0</v>
      </c>
    </row>
    <row r="104" spans="2:10" ht="28">
      <c r="B104" s="1367" t="s">
        <v>1125</v>
      </c>
      <c r="C104" s="984">
        <f>'F8'!E104</f>
        <v>0</v>
      </c>
      <c r="D104" s="964">
        <f t="shared" si="4"/>
        <v>0</v>
      </c>
      <c r="E104" s="984">
        <f>'F8'!K104</f>
        <v>0</v>
      </c>
      <c r="F104" s="964">
        <f t="shared" si="5"/>
        <v>0</v>
      </c>
      <c r="G104" s="984">
        <f>'F8'!N104</f>
        <v>0</v>
      </c>
      <c r="H104" s="964">
        <f t="shared" si="6"/>
        <v>0</v>
      </c>
      <c r="I104" s="984">
        <f>'F8'!Q104</f>
        <v>0</v>
      </c>
      <c r="J104" s="964">
        <f t="shared" si="7"/>
        <v>0</v>
      </c>
    </row>
    <row r="105" spans="2:10">
      <c r="B105" s="1378" t="s">
        <v>1126</v>
      </c>
      <c r="C105" s="984">
        <f>'F8'!E105</f>
        <v>685.44689900000003</v>
      </c>
      <c r="D105" s="964">
        <f t="shared" si="4"/>
        <v>3.2275668759656803E-2</v>
      </c>
      <c r="E105" s="984">
        <f>'F8'!K105</f>
        <v>707.98</v>
      </c>
      <c r="F105" s="964">
        <f t="shared" si="5"/>
        <v>3.2323306479120448E-2</v>
      </c>
      <c r="G105" s="984">
        <f>'F8'!N105</f>
        <v>772.82133333333331</v>
      </c>
      <c r="H105" s="964">
        <f t="shared" si="6"/>
        <v>3.5082849283506315E-2</v>
      </c>
      <c r="I105" s="984">
        <f>'F8'!Q105</f>
        <v>796.00597333333337</v>
      </c>
      <c r="J105" s="964">
        <f t="shared" si="7"/>
        <v>3.5126655265816174E-2</v>
      </c>
    </row>
    <row r="106" spans="2:10">
      <c r="B106" s="1378" t="s">
        <v>1127</v>
      </c>
      <c r="C106" s="984">
        <f>'F8'!E106</f>
        <v>386</v>
      </c>
      <c r="D106" s="964">
        <f t="shared" si="4"/>
        <v>1.817559924686088E-2</v>
      </c>
      <c r="E106" s="984">
        <f>'F8'!K106</f>
        <v>280.98700000000002</v>
      </c>
      <c r="F106" s="964">
        <f t="shared" si="5"/>
        <v>1.2828651823001523E-2</v>
      </c>
      <c r="G106" s="984">
        <f>'F8'!N106</f>
        <v>303.52799999999996</v>
      </c>
      <c r="H106" s="964">
        <f t="shared" si="6"/>
        <v>1.3778898974481514E-2</v>
      </c>
      <c r="I106" s="984">
        <f>'F8'!Q106</f>
        <v>318.70439999999996</v>
      </c>
      <c r="J106" s="964">
        <f t="shared" si="7"/>
        <v>1.4063989424123062E-2</v>
      </c>
    </row>
    <row r="107" spans="2:10">
      <c r="B107" s="1378" t="s">
        <v>1128</v>
      </c>
      <c r="C107" s="984">
        <f>'F8'!E107</f>
        <v>79</v>
      </c>
      <c r="D107" s="964">
        <f t="shared" si="4"/>
        <v>3.719876529797952E-3</v>
      </c>
      <c r="E107" s="984">
        <f>'F8'!K107</f>
        <v>36.871000000000002</v>
      </c>
      <c r="F107" s="964">
        <f t="shared" si="5"/>
        <v>1.6833704810752424E-3</v>
      </c>
      <c r="G107" s="984">
        <f>'F8'!N107</f>
        <v>51.966666666666669</v>
      </c>
      <c r="H107" s="964">
        <f t="shared" si="6"/>
        <v>2.3590688504538499E-3</v>
      </c>
      <c r="I107" s="984">
        <f>'F8'!Q107</f>
        <v>55.604333333333336</v>
      </c>
      <c r="J107" s="964">
        <f t="shared" si="7"/>
        <v>2.4537432050998152E-3</v>
      </c>
    </row>
    <row r="108" spans="2:10">
      <c r="B108" s="1378" t="s">
        <v>1129</v>
      </c>
      <c r="C108" s="984">
        <f>'F8'!E108</f>
        <v>0</v>
      </c>
      <c r="D108" s="964">
        <f t="shared" si="4"/>
        <v>0</v>
      </c>
      <c r="E108" s="984">
        <f>'F8'!K108</f>
        <v>1.254</v>
      </c>
      <c r="F108" s="964">
        <f t="shared" si="5"/>
        <v>5.7252219448031077E-5</v>
      </c>
      <c r="G108" s="984">
        <f>'F8'!N108</f>
        <v>3.2266666666666666</v>
      </c>
      <c r="H108" s="964">
        <f t="shared" si="6"/>
        <v>1.4647714222189393E-4</v>
      </c>
      <c r="I108" s="984">
        <f>'F8'!Q108</f>
        <v>3.3557333333333332</v>
      </c>
      <c r="J108" s="964">
        <f t="shared" si="7"/>
        <v>1.4808392388111752E-4</v>
      </c>
    </row>
    <row r="109" spans="2:10">
      <c r="B109" s="1377" t="s">
        <v>1130</v>
      </c>
      <c r="C109" s="984">
        <f>'F8'!E109</f>
        <v>5</v>
      </c>
      <c r="D109" s="964">
        <f t="shared" si="4"/>
        <v>2.3543522340493367E-4</v>
      </c>
      <c r="E109" s="984">
        <f>'F8'!K109</f>
        <v>211.911</v>
      </c>
      <c r="F109" s="964">
        <f t="shared" si="5"/>
        <v>9.6749402515563902E-3</v>
      </c>
      <c r="G109" s="984">
        <f>'F8'!N109</f>
        <v>201.15200000000002</v>
      </c>
      <c r="H109" s="964">
        <f t="shared" si="6"/>
        <v>9.1314576794065336E-3</v>
      </c>
      <c r="I109" s="984">
        <f>'F8'!Q109</f>
        <v>211.20960000000002</v>
      </c>
      <c r="J109" s="964">
        <f t="shared" si="7"/>
        <v>9.3203908721475534E-3</v>
      </c>
    </row>
    <row r="110" spans="2:10">
      <c r="B110" s="1369" t="s">
        <v>1425</v>
      </c>
      <c r="C110" s="984">
        <f>'F8'!E110</f>
        <v>1155.446899</v>
      </c>
      <c r="D110" s="964">
        <f t="shared" si="4"/>
        <v>5.4406579759720568E-2</v>
      </c>
      <c r="E110" s="984">
        <f>'F8'!K110</f>
        <v>1239.0030000000002</v>
      </c>
      <c r="F110" s="964">
        <f t="shared" si="5"/>
        <v>5.6567521254201635E-2</v>
      </c>
      <c r="G110" s="984">
        <f>'F8'!N110</f>
        <v>1332.6946666666668</v>
      </c>
      <c r="H110" s="964">
        <f t="shared" si="6"/>
        <v>6.0498751930070108E-2</v>
      </c>
      <c r="I110" s="984">
        <f>'F8'!Q110</f>
        <v>1384.88004</v>
      </c>
      <c r="J110" s="964">
        <f t="shared" si="7"/>
        <v>6.1112862691067721E-2</v>
      </c>
    </row>
    <row r="111" spans="2:10">
      <c r="B111" s="1369" t="s">
        <v>1446</v>
      </c>
      <c r="C111" s="984">
        <f>'F8'!E111</f>
        <v>0</v>
      </c>
      <c r="D111" s="964">
        <f t="shared" si="4"/>
        <v>0</v>
      </c>
      <c r="E111" s="984">
        <f>'F8'!K111</f>
        <v>0</v>
      </c>
      <c r="F111" s="964">
        <f t="shared" si="5"/>
        <v>0</v>
      </c>
      <c r="G111" s="984">
        <f>'F8'!N111</f>
        <v>0</v>
      </c>
      <c r="H111" s="964">
        <f t="shared" si="6"/>
        <v>0</v>
      </c>
      <c r="I111" s="984">
        <f>'F8'!Q111</f>
        <v>0</v>
      </c>
      <c r="J111" s="964">
        <f t="shared" si="7"/>
        <v>0</v>
      </c>
    </row>
    <row r="112" spans="2:10">
      <c r="B112" s="1367" t="s">
        <v>1133</v>
      </c>
      <c r="C112" s="984">
        <f>'F8'!E112</f>
        <v>0</v>
      </c>
      <c r="D112" s="964">
        <f t="shared" si="4"/>
        <v>0</v>
      </c>
      <c r="E112" s="984">
        <f>'F8'!K112</f>
        <v>0</v>
      </c>
      <c r="F112" s="964">
        <f t="shared" si="5"/>
        <v>0</v>
      </c>
      <c r="G112" s="984">
        <f>'F8'!N112</f>
        <v>0</v>
      </c>
      <c r="H112" s="964">
        <f t="shared" si="6"/>
        <v>0</v>
      </c>
      <c r="I112" s="984">
        <f>'F8'!Q112</f>
        <v>0</v>
      </c>
      <c r="J112" s="964">
        <f t="shared" si="7"/>
        <v>0</v>
      </c>
    </row>
    <row r="113" spans="2:10">
      <c r="B113" s="1378" t="s">
        <v>1415</v>
      </c>
      <c r="C113" s="984">
        <f>'F8'!E113</f>
        <v>0</v>
      </c>
      <c r="D113" s="964">
        <f t="shared" si="4"/>
        <v>0</v>
      </c>
      <c r="E113" s="984">
        <f>'F8'!K113</f>
        <v>24.856000000000002</v>
      </c>
      <c r="F113" s="964">
        <f t="shared" si="5"/>
        <v>1.1348175172250881E-3</v>
      </c>
      <c r="G113" s="984">
        <f>'F8'!N113</f>
        <v>7.8573333333333331</v>
      </c>
      <c r="H113" s="964">
        <f t="shared" si="6"/>
        <v>3.5668999963372767E-4</v>
      </c>
      <c r="I113" s="984">
        <f>'F8'!Q113</f>
        <v>7.8573333333333331</v>
      </c>
      <c r="J113" s="964">
        <f t="shared" si="7"/>
        <v>3.4673337707860201E-4</v>
      </c>
    </row>
    <row r="114" spans="2:10">
      <c r="B114" s="1378" t="s">
        <v>1134</v>
      </c>
      <c r="C114" s="984">
        <f>'F8'!E114</f>
        <v>0</v>
      </c>
      <c r="D114" s="964">
        <f t="shared" si="4"/>
        <v>0</v>
      </c>
      <c r="E114" s="984">
        <f>'F8'!K114</f>
        <v>0</v>
      </c>
      <c r="F114" s="964">
        <f t="shared" si="5"/>
        <v>0</v>
      </c>
      <c r="G114" s="984">
        <f>'F8'!N114</f>
        <v>0</v>
      </c>
      <c r="H114" s="964">
        <f t="shared" si="6"/>
        <v>0</v>
      </c>
      <c r="I114" s="984">
        <f>'F8'!Q114</f>
        <v>0</v>
      </c>
      <c r="J114" s="964">
        <f t="shared" si="7"/>
        <v>0</v>
      </c>
    </row>
    <row r="115" spans="2:10">
      <c r="B115" s="1378" t="s">
        <v>1135</v>
      </c>
      <c r="C115" s="984">
        <f>'F8'!E115</f>
        <v>0</v>
      </c>
      <c r="D115" s="964">
        <f t="shared" si="4"/>
        <v>0</v>
      </c>
      <c r="E115" s="984">
        <f>'F8'!K115</f>
        <v>0</v>
      </c>
      <c r="F115" s="964">
        <f t="shared" si="5"/>
        <v>0</v>
      </c>
      <c r="G115" s="984">
        <f>'F8'!N115</f>
        <v>0</v>
      </c>
      <c r="H115" s="964">
        <f t="shared" si="6"/>
        <v>0</v>
      </c>
      <c r="I115" s="984">
        <f>'F8'!Q115</f>
        <v>0</v>
      </c>
      <c r="J115" s="964">
        <f t="shared" si="7"/>
        <v>0</v>
      </c>
    </row>
    <row r="116" spans="2:10">
      <c r="B116" s="1369" t="s">
        <v>1425</v>
      </c>
      <c r="C116" s="984">
        <f>'F8'!E116</f>
        <v>0</v>
      </c>
      <c r="D116" s="964">
        <f t="shared" si="4"/>
        <v>0</v>
      </c>
      <c r="E116" s="984">
        <f>'F8'!K116</f>
        <v>24.856000000000002</v>
      </c>
      <c r="F116" s="964">
        <f t="shared" si="5"/>
        <v>1.1348175172250881E-3</v>
      </c>
      <c r="G116" s="984">
        <f>'F8'!N116</f>
        <v>7.8573333333333331</v>
      </c>
      <c r="H116" s="964">
        <f t="shared" si="6"/>
        <v>3.5668999963372767E-4</v>
      </c>
      <c r="I116" s="984">
        <f>'F8'!Q116</f>
        <v>7.8573333333333331</v>
      </c>
      <c r="J116" s="964">
        <f t="shared" si="7"/>
        <v>3.4673337707860201E-4</v>
      </c>
    </row>
    <row r="117" spans="2:10">
      <c r="B117" s="1369" t="s">
        <v>1446</v>
      </c>
      <c r="C117" s="984">
        <f>'F8'!E117</f>
        <v>0</v>
      </c>
      <c r="D117" s="964">
        <f t="shared" si="4"/>
        <v>0</v>
      </c>
      <c r="E117" s="984">
        <f>'F8'!K117</f>
        <v>0</v>
      </c>
      <c r="F117" s="964">
        <f t="shared" si="5"/>
        <v>0</v>
      </c>
      <c r="G117" s="984">
        <f>'F8'!N117</f>
        <v>0</v>
      </c>
      <c r="H117" s="964">
        <f t="shared" si="6"/>
        <v>0</v>
      </c>
      <c r="I117" s="984">
        <f>'F8'!Q117</f>
        <v>0</v>
      </c>
      <c r="J117" s="964">
        <f t="shared" si="7"/>
        <v>0</v>
      </c>
    </row>
    <row r="118" spans="2:10" ht="28">
      <c r="B118" s="1367" t="s">
        <v>1137</v>
      </c>
      <c r="C118" s="984">
        <f>'F8'!E118</f>
        <v>0</v>
      </c>
      <c r="D118" s="964">
        <f t="shared" si="4"/>
        <v>0</v>
      </c>
      <c r="E118" s="984">
        <f>'F8'!K118</f>
        <v>0</v>
      </c>
      <c r="F118" s="964">
        <f t="shared" si="5"/>
        <v>0</v>
      </c>
      <c r="G118" s="984">
        <f>'F8'!N118</f>
        <v>0</v>
      </c>
      <c r="H118" s="964">
        <f t="shared" si="6"/>
        <v>0</v>
      </c>
      <c r="I118" s="984">
        <f>'F8'!Q118</f>
        <v>0</v>
      </c>
      <c r="J118" s="964">
        <f t="shared" si="7"/>
        <v>0</v>
      </c>
    </row>
    <row r="119" spans="2:10">
      <c r="B119" s="1378" t="s">
        <v>1138</v>
      </c>
      <c r="C119" s="984">
        <f>'F8'!E119</f>
        <v>212.66</v>
      </c>
      <c r="D119" s="964">
        <f t="shared" si="4"/>
        <v>1.0013530921858639E-2</v>
      </c>
      <c r="E119" s="984">
        <f>'F8'!K119</f>
        <v>155.06</v>
      </c>
      <c r="F119" s="964">
        <f t="shared" si="5"/>
        <v>7.0793693362134757E-3</v>
      </c>
      <c r="G119" s="984">
        <f>'F8'!N119</f>
        <v>158.16120000000001</v>
      </c>
      <c r="H119" s="964">
        <f t="shared" si="6"/>
        <v>7.1798555536318432E-3</v>
      </c>
      <c r="I119" s="984">
        <f>'F8'!Q119</f>
        <v>159.74281200000001</v>
      </c>
      <c r="J119" s="964">
        <f t="shared" si="7"/>
        <v>7.0492318855581498E-3</v>
      </c>
    </row>
    <row r="120" spans="2:10">
      <c r="B120" s="1378" t="s">
        <v>1139</v>
      </c>
      <c r="C120" s="984">
        <f>'F8'!E120</f>
        <v>269</v>
      </c>
      <c r="D120" s="964">
        <f t="shared" si="4"/>
        <v>1.2666415019185431E-2</v>
      </c>
      <c r="E120" s="984">
        <f>'F8'!K120</f>
        <v>321.11899999999997</v>
      </c>
      <c r="F120" s="964">
        <f t="shared" si="5"/>
        <v>1.4660905468048078E-2</v>
      </c>
      <c r="G120" s="984">
        <f>'F8'!N120</f>
        <v>327.54138</v>
      </c>
      <c r="H120" s="964">
        <f t="shared" si="6"/>
        <v>1.4869005775356015E-2</v>
      </c>
      <c r="I120" s="984">
        <f>'F8'!Q120</f>
        <v>330.81679380000003</v>
      </c>
      <c r="J120" s="964">
        <f t="shared" si="7"/>
        <v>1.4598492801873775E-2</v>
      </c>
    </row>
    <row r="121" spans="2:10">
      <c r="B121" s="1378" t="s">
        <v>1140</v>
      </c>
      <c r="C121" s="984">
        <f>'F8'!E121</f>
        <v>0</v>
      </c>
      <c r="D121" s="964">
        <f t="shared" si="4"/>
        <v>0</v>
      </c>
      <c r="E121" s="984">
        <f>'F8'!K121</f>
        <v>0</v>
      </c>
      <c r="F121" s="964">
        <f t="shared" si="5"/>
        <v>0</v>
      </c>
      <c r="G121" s="984">
        <f>'F8'!N121</f>
        <v>0</v>
      </c>
      <c r="H121" s="964">
        <f t="shared" si="6"/>
        <v>0</v>
      </c>
      <c r="I121" s="984">
        <f>'F8'!Q121</f>
        <v>0</v>
      </c>
      <c r="J121" s="964">
        <f t="shared" si="7"/>
        <v>0</v>
      </c>
    </row>
    <row r="122" spans="2:10">
      <c r="B122" s="1369" t="s">
        <v>1425</v>
      </c>
      <c r="C122" s="984">
        <f>'F8'!E122</f>
        <v>481.65999999999997</v>
      </c>
      <c r="D122" s="964">
        <f t="shared" si="4"/>
        <v>2.2679945941044069E-2</v>
      </c>
      <c r="E122" s="984">
        <f>'F8'!K122</f>
        <v>476.17899999999997</v>
      </c>
      <c r="F122" s="964">
        <f t="shared" si="5"/>
        <v>2.1740274804261554E-2</v>
      </c>
      <c r="G122" s="984">
        <f>'F8'!N122</f>
        <v>485.70258000000001</v>
      </c>
      <c r="H122" s="964">
        <f t="shared" si="6"/>
        <v>2.2048861328987857E-2</v>
      </c>
      <c r="I122" s="984">
        <f>'F8'!Q122</f>
        <v>490.55960580000004</v>
      </c>
      <c r="J122" s="964">
        <f t="shared" si="7"/>
        <v>2.1647724687431924E-2</v>
      </c>
    </row>
    <row r="123" spans="2:10">
      <c r="B123" s="1369" t="s">
        <v>1446</v>
      </c>
      <c r="C123" s="984">
        <f>'F8'!E123</f>
        <v>0</v>
      </c>
      <c r="D123" s="964">
        <f t="shared" si="4"/>
        <v>0</v>
      </c>
      <c r="E123" s="984">
        <f>'F8'!K123</f>
        <v>0</v>
      </c>
      <c r="F123" s="964">
        <f t="shared" si="5"/>
        <v>0</v>
      </c>
      <c r="G123" s="984">
        <f>'F8'!N123</f>
        <v>0</v>
      </c>
      <c r="H123" s="964">
        <f t="shared" si="6"/>
        <v>0</v>
      </c>
      <c r="I123" s="984">
        <f>'F8'!Q123</f>
        <v>0</v>
      </c>
      <c r="J123" s="964">
        <f t="shared" si="7"/>
        <v>0</v>
      </c>
    </row>
    <row r="124" spans="2:10">
      <c r="B124" s="1367" t="s">
        <v>1143</v>
      </c>
      <c r="C124" s="984">
        <f>'F8'!E124</f>
        <v>0</v>
      </c>
      <c r="D124" s="964">
        <f t="shared" si="4"/>
        <v>0</v>
      </c>
      <c r="E124" s="984">
        <f>'F8'!K124</f>
        <v>0</v>
      </c>
      <c r="F124" s="964">
        <f t="shared" si="5"/>
        <v>0</v>
      </c>
      <c r="G124" s="984">
        <f>'F8'!N124</f>
        <v>0</v>
      </c>
      <c r="H124" s="964">
        <f t="shared" si="6"/>
        <v>0</v>
      </c>
      <c r="I124" s="984">
        <f>'F8'!Q124</f>
        <v>0</v>
      </c>
      <c r="J124" s="964">
        <f t="shared" si="7"/>
        <v>0</v>
      </c>
    </row>
    <row r="125" spans="2:10">
      <c r="B125" s="1367" t="s">
        <v>1434</v>
      </c>
      <c r="C125" s="984">
        <f>'F8'!E125</f>
        <v>0</v>
      </c>
      <c r="D125" s="964">
        <f t="shared" si="4"/>
        <v>0</v>
      </c>
      <c r="E125" s="984">
        <f>'F8'!K125</f>
        <v>2.8090000000000002</v>
      </c>
      <c r="F125" s="964">
        <f t="shared" si="5"/>
        <v>1.2824679779068523E-4</v>
      </c>
      <c r="G125" s="984">
        <f>'F8'!N125</f>
        <v>2.8090000000000002</v>
      </c>
      <c r="H125" s="964">
        <f t="shared" si="6"/>
        <v>1.2751682618841945E-4</v>
      </c>
      <c r="I125" s="984">
        <f>'F8'!Q125</f>
        <v>2.8090000000000002</v>
      </c>
      <c r="J125" s="964">
        <f t="shared" si="7"/>
        <v>1.2395732940104274E-4</v>
      </c>
    </row>
    <row r="126" spans="2:10">
      <c r="B126" s="1377" t="s">
        <v>126</v>
      </c>
      <c r="C126" s="984">
        <f>'F8'!E126</f>
        <v>21237.264023999996</v>
      </c>
      <c r="D126" s="964">
        <f t="shared" si="4"/>
        <v>1</v>
      </c>
      <c r="E126" s="984">
        <f>'F8'!K126</f>
        <v>21903.081000000002</v>
      </c>
      <c r="F126" s="964">
        <f t="shared" si="5"/>
        <v>1</v>
      </c>
      <c r="G126" s="984">
        <f>'F8'!N126</f>
        <v>22028.465450115647</v>
      </c>
      <c r="H126" s="964">
        <f t="shared" si="6"/>
        <v>1</v>
      </c>
      <c r="I126" s="984">
        <f>'F8'!Q126</f>
        <v>22661.023866623982</v>
      </c>
      <c r="J126" s="964">
        <f t="shared" si="7"/>
        <v>1</v>
      </c>
    </row>
    <row r="127" spans="2:10">
      <c r="B127" s="1369" t="s">
        <v>1446</v>
      </c>
    </row>
  </sheetData>
  <mergeCells count="16">
    <mergeCell ref="C7:D7"/>
    <mergeCell ref="A5:A8"/>
    <mergeCell ref="B5:B8"/>
    <mergeCell ref="C5:D5"/>
    <mergeCell ref="G5:H5"/>
    <mergeCell ref="C6:D6"/>
    <mergeCell ref="G6:H6"/>
    <mergeCell ref="E6:F6"/>
    <mergeCell ref="E5:F5"/>
    <mergeCell ref="I5:J5"/>
    <mergeCell ref="F3:G3"/>
    <mergeCell ref="H3:I3"/>
    <mergeCell ref="G7:H7"/>
    <mergeCell ref="I7:J7"/>
    <mergeCell ref="E7:F7"/>
    <mergeCell ref="I6:J6"/>
  </mergeCells>
  <printOptions horizontalCentered="1"/>
  <pageMargins left="0.19685039370078741" right="0.19685039370078741" top="0.19685039370078741" bottom="0.19685039370078741" header="0.19685039370078741" footer="0.19685039370078741"/>
  <pageSetup paperSize="9"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view="pageBreakPreview" topLeftCell="A11" zoomScale="86" zoomScaleNormal="70" zoomScaleSheetLayoutView="86" workbookViewId="0">
      <selection activeCell="C105" sqref="C105"/>
    </sheetView>
  </sheetViews>
  <sheetFormatPr defaultColWidth="20.81640625" defaultRowHeight="14.5"/>
  <cols>
    <col min="1" max="1" width="4" style="229" customWidth="1"/>
    <col min="2" max="2" width="52.81640625" style="229" bestFit="1" customWidth="1"/>
    <col min="3" max="3" width="15.1796875" style="229" customWidth="1"/>
    <col min="4" max="4" width="9.54296875" style="658" customWidth="1"/>
    <col min="5" max="5" width="15.26953125" style="658" customWidth="1"/>
    <col min="6" max="6" width="14" style="658" bestFit="1" customWidth="1"/>
    <col min="7" max="7" width="14.81640625" style="658" customWidth="1"/>
    <col min="8" max="8" width="9" style="658" bestFit="1" customWidth="1"/>
    <col min="9" max="9" width="13.81640625" style="658" customWidth="1"/>
    <col min="10" max="10" width="10.26953125" style="658" bestFit="1" customWidth="1"/>
    <col min="11" max="16384" width="20.81640625" style="658"/>
  </cols>
  <sheetData>
    <row r="1" spans="1:12" s="229" customFormat="1">
      <c r="A1" s="307" t="s">
        <v>482</v>
      </c>
      <c r="B1" s="307" t="s">
        <v>482</v>
      </c>
    </row>
    <row r="2" spans="1:12" s="229" customFormat="1">
      <c r="A2" s="715" t="s">
        <v>1604</v>
      </c>
      <c r="B2" s="715" t="s">
        <v>1604</v>
      </c>
      <c r="C2" s="715"/>
      <c r="D2" s="715"/>
      <c r="E2" s="715"/>
      <c r="F2" s="715"/>
    </row>
    <row r="3" spans="1:12" s="229" customFormat="1">
      <c r="A3" s="571" t="s">
        <v>259</v>
      </c>
      <c r="B3" s="571" t="s">
        <v>259</v>
      </c>
      <c r="C3" s="571"/>
      <c r="D3" s="571"/>
      <c r="E3" s="221"/>
      <c r="F3" s="3060"/>
      <c r="G3" s="3060"/>
      <c r="H3" s="3060"/>
      <c r="I3" s="3060"/>
      <c r="J3" s="916"/>
      <c r="K3" s="24"/>
      <c r="L3" s="24"/>
    </row>
    <row r="4" spans="1:12" s="229" customFormat="1">
      <c r="A4" s="225"/>
      <c r="B4" s="225"/>
      <c r="C4" s="225"/>
      <c r="D4" s="225"/>
      <c r="E4" s="223"/>
      <c r="F4" s="3061"/>
      <c r="G4" s="3075"/>
      <c r="I4" s="961"/>
      <c r="J4" s="961" t="s">
        <v>141</v>
      </c>
    </row>
    <row r="5" spans="1:12" s="229" customFormat="1">
      <c r="A5" s="2990" t="s">
        <v>117</v>
      </c>
      <c r="B5" s="2994" t="s">
        <v>14</v>
      </c>
      <c r="C5" s="3018" t="s">
        <v>574</v>
      </c>
      <c r="D5" s="3019"/>
      <c r="E5" s="3076" t="s">
        <v>568</v>
      </c>
      <c r="F5" s="3076"/>
      <c r="G5" s="3058" t="s">
        <v>550</v>
      </c>
      <c r="H5" s="3059"/>
      <c r="I5" s="3058" t="s">
        <v>952</v>
      </c>
      <c r="J5" s="3059"/>
    </row>
    <row r="6" spans="1:12" s="229" customFormat="1">
      <c r="A6" s="2990"/>
      <c r="B6" s="2994"/>
      <c r="C6" s="3018" t="s">
        <v>551</v>
      </c>
      <c r="D6" s="3022"/>
      <c r="E6" s="3018" t="s">
        <v>545</v>
      </c>
      <c r="F6" s="3022"/>
      <c r="G6" s="3018" t="s">
        <v>546</v>
      </c>
      <c r="H6" s="3022"/>
      <c r="I6" s="3018" t="s">
        <v>547</v>
      </c>
      <c r="J6" s="3022"/>
    </row>
    <row r="7" spans="1:12" s="229" customFormat="1">
      <c r="A7" s="2990"/>
      <c r="B7" s="2994"/>
      <c r="C7" s="3018" t="s">
        <v>554</v>
      </c>
      <c r="D7" s="3022"/>
      <c r="E7" s="3057" t="s">
        <v>544</v>
      </c>
      <c r="F7" s="3059"/>
      <c r="G7" s="3057" t="s">
        <v>552</v>
      </c>
      <c r="H7" s="3059"/>
      <c r="I7" s="3074" t="s">
        <v>283</v>
      </c>
      <c r="J7" s="3074"/>
    </row>
    <row r="8" spans="1:12" s="229" customFormat="1" ht="58">
      <c r="A8" s="2990"/>
      <c r="B8" s="2994"/>
      <c r="C8" s="217" t="s">
        <v>262</v>
      </c>
      <c r="D8" s="217" t="s">
        <v>263</v>
      </c>
      <c r="E8" s="921" t="s">
        <v>262</v>
      </c>
      <c r="F8" s="217" t="s">
        <v>244</v>
      </c>
      <c r="G8" s="921" t="s">
        <v>262</v>
      </c>
      <c r="H8" s="217" t="s">
        <v>244</v>
      </c>
      <c r="I8" s="921" t="s">
        <v>262</v>
      </c>
      <c r="J8" s="217" t="s">
        <v>244</v>
      </c>
    </row>
    <row r="9" spans="1:12" s="229" customFormat="1">
      <c r="A9" s="51"/>
      <c r="B9" s="52"/>
      <c r="C9" s="52"/>
      <c r="D9" s="52"/>
      <c r="E9" s="241"/>
      <c r="F9" s="237"/>
      <c r="G9" s="243"/>
      <c r="H9" s="243"/>
      <c r="I9" s="243"/>
      <c r="J9" s="243"/>
    </row>
    <row r="10" spans="1:12" s="229" customFormat="1">
      <c r="A10" s="51"/>
      <c r="B10" s="1360" t="s">
        <v>264</v>
      </c>
      <c r="C10" s="155"/>
      <c r="D10" s="1281">
        <f>'F2'!H35</f>
        <v>179.55680999999998</v>
      </c>
      <c r="E10" s="1282"/>
      <c r="F10" s="1281">
        <f ca="1">'F2'!L35</f>
        <v>268.92983206367603</v>
      </c>
      <c r="G10" s="1081"/>
      <c r="H10" s="1281">
        <f ca="1">'F2'!P35</f>
        <v>325.64686969303455</v>
      </c>
      <c r="I10" s="1081"/>
      <c r="J10" s="1281">
        <f ca="1">'F2'!R35</f>
        <v>10874.123821511885</v>
      </c>
    </row>
    <row r="11" spans="1:12" s="229" customFormat="1">
      <c r="A11" s="51"/>
      <c r="B11" s="1360"/>
      <c r="C11" s="40"/>
      <c r="D11" s="40"/>
      <c r="E11" s="237"/>
      <c r="F11" s="237"/>
      <c r="G11" s="243"/>
      <c r="H11" s="243"/>
      <c r="I11" s="243"/>
      <c r="J11" s="243"/>
    </row>
    <row r="12" spans="1:12" s="229" customFormat="1">
      <c r="A12" s="51"/>
      <c r="B12" s="1367" t="s">
        <v>1043</v>
      </c>
      <c r="C12" s="52"/>
      <c r="D12" s="52"/>
      <c r="E12" s="241"/>
      <c r="F12" s="237"/>
      <c r="G12" s="243"/>
      <c r="H12" s="243"/>
      <c r="I12" s="243"/>
      <c r="J12" s="243"/>
    </row>
    <row r="13" spans="1:12" s="229" customFormat="1">
      <c r="A13" s="153">
        <v>1</v>
      </c>
      <c r="B13" s="1369" t="s">
        <v>1395</v>
      </c>
      <c r="C13" s="182">
        <f>F5A!D10</f>
        <v>0</v>
      </c>
      <c r="D13" s="184">
        <f>+$D$10*C13</f>
        <v>0</v>
      </c>
      <c r="E13" s="237"/>
      <c r="F13" s="237"/>
      <c r="G13" s="243"/>
      <c r="H13" s="243"/>
      <c r="I13" s="243"/>
      <c r="J13" s="243"/>
    </row>
    <row r="14" spans="1:12">
      <c r="A14" s="153">
        <v>2</v>
      </c>
      <c r="B14" s="1372" t="s">
        <v>1396</v>
      </c>
      <c r="C14" s="957">
        <f>F5A!D12</f>
        <v>3.5541544923684443E-2</v>
      </c>
      <c r="D14" s="969">
        <f>C14*$D$10</f>
        <v>6.3817264289684719</v>
      </c>
      <c r="E14" s="986">
        <f>F5A!H12</f>
        <v>6.5742242813346341E-2</v>
      </c>
      <c r="F14" s="969">
        <f ca="1">E14*$F$10</f>
        <v>17.680050319282643</v>
      </c>
      <c r="G14" s="986">
        <f>F5A!J12</f>
        <v>0.52812065740201319</v>
      </c>
      <c r="H14" s="969">
        <f ca="1">G14*$H$10</f>
        <v>171.98083890319313</v>
      </c>
      <c r="I14" s="986">
        <f>F5A!L12</f>
        <v>0.5273803472880515</v>
      </c>
      <c r="J14" s="969">
        <f ca="1">I14*$J$10</f>
        <v>5734.7991974422112</v>
      </c>
    </row>
    <row r="15" spans="1:12">
      <c r="A15" s="153">
        <v>3</v>
      </c>
      <c r="B15" s="1369" t="s">
        <v>1044</v>
      </c>
      <c r="C15" s="957">
        <f>F5A!D13</f>
        <v>0.14863145816702528</v>
      </c>
      <c r="D15" s="969">
        <f t="shared" ref="D15:D78" si="0">C15*$D$10</f>
        <v>26.687790494119504</v>
      </c>
      <c r="E15" s="986">
        <f>F5A!H13</f>
        <v>0.10005384548408236</v>
      </c>
      <c r="F15" s="969">
        <f t="shared" ref="F15:F78" ca="1" si="1">E15*$F$10</f>
        <v>26.907463863359258</v>
      </c>
      <c r="G15" s="986">
        <f>F5A!J13</f>
        <v>4.3830061176986596E-2</v>
      </c>
      <c r="H15" s="969">
        <f t="shared" ref="H15:H78" ca="1" si="2">G15*$H$10</f>
        <v>14.273122220739886</v>
      </c>
      <c r="I15" s="986">
        <f>F5A!L13</f>
        <v>2.0842200466340791E-2</v>
      </c>
      <c r="J15" s="969">
        <f t="shared" ref="J15:J78" ca="1" si="3">I15*$J$10</f>
        <v>226.6406685837625</v>
      </c>
    </row>
    <row r="16" spans="1:12">
      <c r="A16" s="53"/>
      <c r="B16" s="1369" t="s">
        <v>1045</v>
      </c>
      <c r="C16" s="957">
        <f>F5A!D14</f>
        <v>0.55914562027687631</v>
      </c>
      <c r="D16" s="969">
        <f t="shared" si="0"/>
        <v>100.39840390238722</v>
      </c>
      <c r="E16" s="986">
        <f>F5A!H14</f>
        <v>0.50915315946970219</v>
      </c>
      <c r="F16" s="969">
        <f t="shared" ca="1" si="1"/>
        <v>136.92647367087707</v>
      </c>
      <c r="G16" s="986">
        <f>F5A!J14</f>
        <v>0.1037090491994799</v>
      </c>
      <c r="H16" s="969">
        <f t="shared" ca="1" si="2"/>
        <v>33.772527230651541</v>
      </c>
      <c r="I16" s="986">
        <f>F5A!L14</f>
        <v>0.12933747558571473</v>
      </c>
      <c r="J16" s="969">
        <f t="shared" ca="1" si="3"/>
        <v>1406.4317242808324</v>
      </c>
    </row>
    <row r="17" spans="1:10">
      <c r="A17" s="53"/>
      <c r="B17" s="1369" t="s">
        <v>1046</v>
      </c>
      <c r="C17" s="957">
        <f>F5A!D15</f>
        <v>3.0302249972003355E-5</v>
      </c>
      <c r="D17" s="969">
        <f t="shared" si="0"/>
        <v>5.4409753407955114E-3</v>
      </c>
      <c r="E17" s="986">
        <f>F5A!H15</f>
        <v>1.4893431767460829E-6</v>
      </c>
      <c r="F17" s="969">
        <f t="shared" ca="1" si="1"/>
        <v>4.0052881040750584E-4</v>
      </c>
      <c r="G17" s="986">
        <f>F5A!J15</f>
        <v>1.3048574441987542E-6</v>
      </c>
      <c r="H17" s="969">
        <f t="shared" ca="1" si="2"/>
        <v>4.249227420989778E-4</v>
      </c>
      <c r="I17" s="986">
        <f>F5A!L15</f>
        <v>1.1789303832390609E-6</v>
      </c>
      <c r="J17" s="969">
        <f t="shared" ca="1" si="3"/>
        <v>1.2819834964284007E-2</v>
      </c>
    </row>
    <row r="18" spans="1:10">
      <c r="A18" s="53"/>
      <c r="B18" s="1369" t="s">
        <v>1047</v>
      </c>
      <c r="C18" s="957">
        <f>F5A!D16</f>
        <v>0.15814025629954434</v>
      </c>
      <c r="D18" s="969">
        <f t="shared" si="0"/>
        <v>28.395159953728584</v>
      </c>
      <c r="E18" s="986">
        <f>F5A!H16</f>
        <v>0.22515947428477159</v>
      </c>
      <c r="F18" s="969">
        <f t="shared" ca="1" si="1"/>
        <v>60.552099606949206</v>
      </c>
      <c r="G18" s="986">
        <f>F5A!J16</f>
        <v>0.2257632397674243</v>
      </c>
      <c r="H18" s="969">
        <f t="shared" ca="1" si="2"/>
        <v>73.519092322019731</v>
      </c>
      <c r="I18" s="986">
        <f>F5A!L16</f>
        <v>0.22544676888635182</v>
      </c>
      <c r="J18" s="969">
        <f t="shared" ca="1" si="3"/>
        <v>2451.5360800299627</v>
      </c>
    </row>
    <row r="19" spans="1:10">
      <c r="A19" s="53"/>
      <c r="B19" s="1369" t="s">
        <v>1425</v>
      </c>
      <c r="C19" s="957">
        <f>F5A!D17</f>
        <v>0.90148918191710237</v>
      </c>
      <c r="D19" s="969">
        <f t="shared" si="0"/>
        <v>161.86852175454456</v>
      </c>
      <c r="E19" s="986">
        <f>F5A!H17</f>
        <v>0.90011021139507918</v>
      </c>
      <c r="F19" s="969">
        <f t="shared" ca="1" si="1"/>
        <v>242.06648798927858</v>
      </c>
      <c r="G19" s="986">
        <f>F5A!J17</f>
        <v>0.90142431240334819</v>
      </c>
      <c r="H19" s="969">
        <f t="shared" ca="1" si="2"/>
        <v>293.54600559934642</v>
      </c>
      <c r="I19" s="986">
        <f>F5A!L17</f>
        <v>0.90300797115684206</v>
      </c>
      <c r="J19" s="969">
        <f t="shared" ca="1" si="3"/>
        <v>9819.420490171733</v>
      </c>
    </row>
    <row r="20" spans="1:10">
      <c r="A20" s="53"/>
      <c r="B20" s="1369" t="s">
        <v>1446</v>
      </c>
      <c r="C20" s="957"/>
      <c r="D20" s="969"/>
      <c r="E20" s="986"/>
      <c r="F20" s="969"/>
      <c r="G20" s="986"/>
      <c r="H20" s="969"/>
      <c r="I20" s="986"/>
      <c r="J20" s="969"/>
    </row>
    <row r="21" spans="1:10">
      <c r="A21" s="53"/>
      <c r="B21" s="1367" t="s">
        <v>1398</v>
      </c>
      <c r="C21" s="957">
        <f>F5A!D19</f>
        <v>0</v>
      </c>
      <c r="D21" s="969">
        <f t="shared" si="0"/>
        <v>0</v>
      </c>
      <c r="E21" s="986">
        <f>F5A!H19</f>
        <v>0</v>
      </c>
      <c r="F21" s="969">
        <f t="shared" ca="1" si="1"/>
        <v>0</v>
      </c>
      <c r="G21" s="986">
        <f>F5A!J19</f>
        <v>0</v>
      </c>
      <c r="H21" s="969">
        <f t="shared" ca="1" si="2"/>
        <v>0</v>
      </c>
      <c r="I21" s="986">
        <f>F5A!L19</f>
        <v>0</v>
      </c>
      <c r="J21" s="969">
        <f t="shared" ca="1" si="3"/>
        <v>0</v>
      </c>
    </row>
    <row r="22" spans="1:10">
      <c r="A22" s="53"/>
      <c r="B22" s="1377" t="s">
        <v>1051</v>
      </c>
      <c r="C22" s="957">
        <f>F5A!D20</f>
        <v>3.1786221818458382E-3</v>
      </c>
      <c r="D22" s="969">
        <f t="shared" si="0"/>
        <v>0.57074325916747859</v>
      </c>
      <c r="E22" s="986">
        <f>F5A!H20</f>
        <v>1.341783637388471E-3</v>
      </c>
      <c r="F22" s="969">
        <f t="shared" ca="1" si="1"/>
        <v>0.36084564826866988</v>
      </c>
      <c r="G22" s="986">
        <f>F5A!J20</f>
        <v>0</v>
      </c>
      <c r="H22" s="969">
        <f t="shared" ca="1" si="2"/>
        <v>0</v>
      </c>
      <c r="I22" s="986">
        <f>F5A!L20</f>
        <v>0</v>
      </c>
      <c r="J22" s="969">
        <f t="shared" ca="1" si="3"/>
        <v>0</v>
      </c>
    </row>
    <row r="23" spans="1:10">
      <c r="A23" s="53"/>
      <c r="B23" s="1377" t="s">
        <v>1052</v>
      </c>
      <c r="C23" s="957">
        <f>F5A!D21</f>
        <v>7.3635665149358355E-3</v>
      </c>
      <c r="D23" s="969">
        <f t="shared" si="0"/>
        <v>1.322178513644696</v>
      </c>
      <c r="E23" s="986">
        <f>F5A!H21</f>
        <v>9.6945929968792529E-3</v>
      </c>
      <c r="F23" s="969">
        <f t="shared" ca="1" si="1"/>
        <v>2.6071652665764273</v>
      </c>
      <c r="G23" s="986">
        <f>F5A!J21</f>
        <v>1.0932410171599096E-2</v>
      </c>
      <c r="H23" s="969">
        <f t="shared" ca="1" si="2"/>
        <v>3.5601051505815362</v>
      </c>
      <c r="I23" s="986">
        <f>F5A!L21</f>
        <v>1.0917085314094323E-2</v>
      </c>
      <c r="J23" s="969">
        <f t="shared" ca="1" si="3"/>
        <v>118.71373747547064</v>
      </c>
    </row>
    <row r="24" spans="1:10">
      <c r="A24" s="53"/>
      <c r="B24" s="1377" t="s">
        <v>1399</v>
      </c>
      <c r="C24" s="957">
        <f>F5A!D22</f>
        <v>4.5273717349475372E-5</v>
      </c>
      <c r="D24" s="969">
        <f t="shared" si="0"/>
        <v>8.1292042641134526E-3</v>
      </c>
      <c r="E24" s="986">
        <f>F5A!H22</f>
        <v>8.5121690794026129E-4</v>
      </c>
      <c r="F24" s="969">
        <f t="shared" ca="1" si="1"/>
        <v>0.22891762010213604</v>
      </c>
      <c r="G24" s="986">
        <f>F5A!J22</f>
        <v>8.3692664260689824E-4</v>
      </c>
      <c r="H24" s="969">
        <f t="shared" ca="1" si="2"/>
        <v>0.2725425413276375</v>
      </c>
      <c r="I24" s="986">
        <f>F5A!L22</f>
        <v>8.0391522696268941E-4</v>
      </c>
      <c r="J24" s="969">
        <f t="shared" ca="1" si="3"/>
        <v>8.7418737199911138</v>
      </c>
    </row>
    <row r="25" spans="1:10">
      <c r="A25" s="53"/>
      <c r="B25" s="1377" t="s">
        <v>1054</v>
      </c>
      <c r="C25" s="957">
        <f>F5A!D23</f>
        <v>3.9409693007067134E-2</v>
      </c>
      <c r="D25" s="969">
        <f t="shared" si="0"/>
        <v>7.0762787594282814</v>
      </c>
      <c r="E25" s="986">
        <f>F5A!H23</f>
        <v>3.9552601309705476E-2</v>
      </c>
      <c r="F25" s="969">
        <f t="shared" ca="1" si="1"/>
        <v>10.636874427900626</v>
      </c>
      <c r="G25" s="986">
        <f>F5A!J23</f>
        <v>3.9273626121800652E-2</v>
      </c>
      <c r="H25" s="969">
        <f t="shared" ca="1" si="2"/>
        <v>12.789333408058974</v>
      </c>
      <c r="I25" s="986">
        <f>F5A!L23</f>
        <v>3.921857305348677E-2</v>
      </c>
      <c r="J25" s="969">
        <f t="shared" ca="1" si="3"/>
        <v>426.46761948662459</v>
      </c>
    </row>
    <row r="26" spans="1:10">
      <c r="A26" s="53"/>
      <c r="B26" s="1369" t="s">
        <v>1425</v>
      </c>
      <c r="C26" s="957">
        <f>F5A!D24</f>
        <v>4.9997155421198279E-2</v>
      </c>
      <c r="D26" s="969">
        <f t="shared" si="0"/>
        <v>8.9773297365045686</v>
      </c>
      <c r="E26" s="986">
        <f>F5A!H24</f>
        <v>5.1440194851913465E-2</v>
      </c>
      <c r="F26" s="969">
        <f t="shared" ca="1" si="1"/>
        <v>13.83380296284786</v>
      </c>
      <c r="G26" s="986">
        <f>F5A!J24</f>
        <v>5.1042962936006644E-2</v>
      </c>
      <c r="H26" s="969">
        <f t="shared" ca="1" si="2"/>
        <v>16.621981099968149</v>
      </c>
      <c r="I26" s="986">
        <f>F5A!L24</f>
        <v>5.0939573594543784E-2</v>
      </c>
      <c r="J26" s="969">
        <f t="shared" ca="1" si="3"/>
        <v>553.92323068208634</v>
      </c>
    </row>
    <row r="27" spans="1:10">
      <c r="B27" s="1369" t="s">
        <v>1446</v>
      </c>
      <c r="C27" s="957"/>
      <c r="D27" s="969"/>
      <c r="E27" s="986"/>
      <c r="F27" s="969"/>
      <c r="G27" s="986"/>
      <c r="H27" s="969"/>
      <c r="I27" s="986"/>
      <c r="J27" s="969"/>
    </row>
    <row r="28" spans="1:10">
      <c r="B28" s="1367" t="s">
        <v>1400</v>
      </c>
      <c r="C28" s="957">
        <f>F5A!D26</f>
        <v>0</v>
      </c>
      <c r="D28" s="969">
        <f t="shared" si="0"/>
        <v>0</v>
      </c>
      <c r="E28" s="986">
        <f>F5A!H26</f>
        <v>0</v>
      </c>
      <c r="F28" s="969">
        <f t="shared" ca="1" si="1"/>
        <v>0</v>
      </c>
      <c r="G28" s="986">
        <f>F5A!J26</f>
        <v>0</v>
      </c>
      <c r="H28" s="969">
        <f t="shared" ca="1" si="2"/>
        <v>0</v>
      </c>
      <c r="I28" s="986">
        <f>F5A!L26</f>
        <v>0</v>
      </c>
      <c r="J28" s="969">
        <f t="shared" ca="1" si="3"/>
        <v>0</v>
      </c>
    </row>
    <row r="29" spans="1:10">
      <c r="B29" s="1377" t="s">
        <v>1401</v>
      </c>
      <c r="C29" s="957">
        <f>F5A!D27</f>
        <v>3.1619739101220896E-5</v>
      </c>
      <c r="D29" s="969">
        <f t="shared" si="0"/>
        <v>5.677539486047491E-3</v>
      </c>
      <c r="E29" s="986">
        <f>F5A!H27</f>
        <v>3.7462709138151474E-5</v>
      </c>
      <c r="F29" s="969">
        <f t="shared" ca="1" si="1"/>
        <v>1.0074840077173417E-2</v>
      </c>
      <c r="G29" s="986">
        <f>F5A!J27</f>
        <v>1.8234546335597973E-5</v>
      </c>
      <c r="H29" s="969">
        <f t="shared" ca="1" si="2"/>
        <v>5.9380229344600738E-3</v>
      </c>
      <c r="I29" s="986">
        <f>F5A!L27</f>
        <v>8.67094546376907E-6</v>
      </c>
      <c r="J29" s="969">
        <f t="shared" ca="1" si="3"/>
        <v>9.4288934622601656E-2</v>
      </c>
    </row>
    <row r="30" spans="1:10">
      <c r="B30" s="1378" t="s">
        <v>1060</v>
      </c>
      <c r="C30" s="957">
        <f>F5A!D28</f>
        <v>3.4733804315735073E-6</v>
      </c>
      <c r="D30" s="969">
        <f t="shared" si="0"/>
        <v>6.236691102097622E-4</v>
      </c>
      <c r="E30" s="986">
        <f>F5A!H28</f>
        <v>6.9884564447316205E-6</v>
      </c>
      <c r="F30" s="969">
        <f t="shared" ca="1" si="1"/>
        <v>1.8794044180659893E-3</v>
      </c>
      <c r="G30" s="986">
        <f>F5A!J28</f>
        <v>3.401551457099316E-6</v>
      </c>
      <c r="H30" s="969">
        <f t="shared" ca="1" si="2"/>
        <v>1.1077045841041727E-3</v>
      </c>
      <c r="I30" s="986">
        <f>F5A!L28</f>
        <v>1.6175158204584506E-6</v>
      </c>
      <c r="J30" s="969">
        <f t="shared" ca="1" si="3"/>
        <v>1.758906731491958E-2</v>
      </c>
    </row>
    <row r="31" spans="1:10">
      <c r="B31" s="1378" t="s">
        <v>1061</v>
      </c>
      <c r="C31" s="957">
        <f>F5A!D29</f>
        <v>2.5271836933172758E-5</v>
      </c>
      <c r="D31" s="969">
        <f t="shared" si="0"/>
        <v>4.5377304225606829E-3</v>
      </c>
      <c r="E31" s="986">
        <f>F5A!H29</f>
        <v>2.6922742041179192E-5</v>
      </c>
      <c r="F31" s="969">
        <f t="shared" ca="1" si="1"/>
        <v>7.2403284958279905E-3</v>
      </c>
      <c r="G31" s="986">
        <f>F5A!J29</f>
        <v>1.3104337580628512E-5</v>
      </c>
      <c r="H31" s="969">
        <f t="shared" ca="1" si="2"/>
        <v>4.2673865125324685E-3</v>
      </c>
      <c r="I31" s="986">
        <f>F5A!L29</f>
        <v>6.231413406684195E-6</v>
      </c>
      <c r="J31" s="969">
        <f t="shared" ca="1" si="3"/>
        <v>6.7761160967313133E-2</v>
      </c>
    </row>
    <row r="32" spans="1:10">
      <c r="B32" s="1378" t="s">
        <v>1062</v>
      </c>
      <c r="C32" s="957">
        <f>F5A!D30</f>
        <v>2.8745217364746267E-6</v>
      </c>
      <c r="D32" s="969">
        <f t="shared" si="0"/>
        <v>5.1613995327704453E-4</v>
      </c>
      <c r="E32" s="986">
        <f>F5A!H30</f>
        <v>3.5515106522406593E-6</v>
      </c>
      <c r="F32" s="969">
        <f t="shared" ca="1" si="1"/>
        <v>9.5510716327943702E-4</v>
      </c>
      <c r="G32" s="986">
        <f>F5A!J30</f>
        <v>1.7286572978701441E-6</v>
      </c>
      <c r="H32" s="969">
        <f t="shared" ca="1" si="2"/>
        <v>5.6293183782343196E-4</v>
      </c>
      <c r="I32" s="986">
        <f>F5A!L30</f>
        <v>8.2201623662642571E-7</v>
      </c>
      <c r="J32" s="969">
        <f t="shared" ca="1" si="3"/>
        <v>8.9387063403689668E-3</v>
      </c>
    </row>
    <row r="33" spans="2:10">
      <c r="B33" s="1377" t="s">
        <v>476</v>
      </c>
      <c r="C33" s="957">
        <f>F5A!D31</f>
        <v>1.0060826077661193E-5</v>
      </c>
      <c r="D33" s="969">
        <f t="shared" si="0"/>
        <v>1.806489836469656E-3</v>
      </c>
      <c r="E33" s="986">
        <f>F5A!H31</f>
        <v>1.2831264291966253E-5</v>
      </c>
      <c r="F33" s="969">
        <f t="shared" ca="1" si="1"/>
        <v>3.4507097512031276E-3</v>
      </c>
      <c r="G33" s="986">
        <f>F5A!J31</f>
        <v>3.4974640555617887E-5</v>
      </c>
      <c r="H33" s="969">
        <f t="shared" ca="1" si="2"/>
        <v>1.1389382215576019E-2</v>
      </c>
      <c r="I33" s="986">
        <f>F5A!L31</f>
        <v>4.3126684104813508E-5</v>
      </c>
      <c r="J33" s="969">
        <f t="shared" ca="1" si="3"/>
        <v>0.46896490296697052</v>
      </c>
    </row>
    <row r="34" spans="2:10">
      <c r="B34" s="1378" t="s">
        <v>1063</v>
      </c>
      <c r="C34" s="957">
        <f>F5A!D32</f>
        <v>2.3954347803955221E-7</v>
      </c>
      <c r="D34" s="969">
        <f t="shared" si="0"/>
        <v>4.3011662773087042E-5</v>
      </c>
      <c r="E34" s="986">
        <f>F5A!H32</f>
        <v>1.2602134572466857E-6</v>
      </c>
      <c r="F34" s="969">
        <f t="shared" ca="1" si="1"/>
        <v>3.3890899342173573E-4</v>
      </c>
      <c r="G34" s="986">
        <f>F5A!J32</f>
        <v>3.4350093402838993E-6</v>
      </c>
      <c r="H34" s="969">
        <f t="shared" ca="1" si="2"/>
        <v>1.1186000390297876E-3</v>
      </c>
      <c r="I34" s="986">
        <f>F5A!L32</f>
        <v>6.5549165707758842E-6</v>
      </c>
      <c r="J34" s="969">
        <f t="shared" ca="1" si="3"/>
        <v>7.1278974430297029E-2</v>
      </c>
    </row>
    <row r="35" spans="2:10">
      <c r="B35" s="1378" t="s">
        <v>1064</v>
      </c>
      <c r="C35" s="957">
        <f>F5A!D33</f>
        <v>5.7490434729492534E-6</v>
      </c>
      <c r="D35" s="969">
        <f t="shared" si="0"/>
        <v>1.0322799065540891E-3</v>
      </c>
      <c r="E35" s="986">
        <f>F5A!H33</f>
        <v>6.8738915849819216E-6</v>
      </c>
      <c r="F35" s="969">
        <f t="shared" ca="1" si="1"/>
        <v>1.848594509573104E-3</v>
      </c>
      <c r="G35" s="986">
        <f>F5A!J33</f>
        <v>1.8736414583366723E-5</v>
      </c>
      <c r="H35" s="969">
        <f t="shared" ca="1" si="2"/>
        <v>6.1014547583442954E-3</v>
      </c>
      <c r="I35" s="986">
        <f>F5A!L33</f>
        <v>2.110725562434306E-5</v>
      </c>
      <c r="J35" s="969">
        <f t="shared" ca="1" si="3"/>
        <v>0.22952291119140958</v>
      </c>
    </row>
    <row r="36" spans="2:10">
      <c r="B36" s="1378" t="s">
        <v>1065</v>
      </c>
      <c r="C36" s="957">
        <f>F5A!D34</f>
        <v>4.0722391266723879E-6</v>
      </c>
      <c r="D36" s="969">
        <f t="shared" si="0"/>
        <v>7.3119826714247986E-4</v>
      </c>
      <c r="E36" s="986">
        <f>F5A!H34</f>
        <v>4.6971592497376467E-6</v>
      </c>
      <c r="F36" s="969">
        <f t="shared" ca="1" si="1"/>
        <v>1.2632062482082879E-3</v>
      </c>
      <c r="G36" s="986">
        <f>F5A!J34</f>
        <v>1.2803216631967262E-5</v>
      </c>
      <c r="H36" s="969">
        <f t="shared" ca="1" si="2"/>
        <v>4.1693274182019353E-3</v>
      </c>
      <c r="I36" s="986">
        <f>F5A!L34</f>
        <v>1.5464511909694565E-5</v>
      </c>
      <c r="J36" s="969">
        <f t="shared" ca="1" si="3"/>
        <v>0.16816301734526393</v>
      </c>
    </row>
    <row r="37" spans="2:10">
      <c r="B37" s="1369" t="s">
        <v>1425</v>
      </c>
      <c r="C37" s="957">
        <f>F5A!D35</f>
        <v>4.1680565178882089E-5</v>
      </c>
      <c r="D37" s="969">
        <f t="shared" si="0"/>
        <v>7.4840293225171464E-3</v>
      </c>
      <c r="E37" s="986">
        <f>F5A!H35</f>
        <v>5.0293973430117729E-5</v>
      </c>
      <c r="F37" s="969">
        <f t="shared" ca="1" si="1"/>
        <v>1.3525549828376546E-2</v>
      </c>
      <c r="G37" s="986">
        <f>F5A!J35</f>
        <v>5.320918689121586E-5</v>
      </c>
      <c r="H37" s="969">
        <f t="shared" ca="1" si="2"/>
        <v>1.7327405150036092E-2</v>
      </c>
      <c r="I37" s="986">
        <f>F5A!L35</f>
        <v>5.1797629568582582E-5</v>
      </c>
      <c r="J37" s="969">
        <f t="shared" ca="1" si="3"/>
        <v>0.56325383758957226</v>
      </c>
    </row>
    <row r="38" spans="2:10">
      <c r="B38" s="1369" t="s">
        <v>1446</v>
      </c>
      <c r="C38" s="957"/>
      <c r="D38" s="969"/>
      <c r="E38" s="986"/>
      <c r="F38" s="969"/>
      <c r="G38" s="986"/>
      <c r="H38" s="969"/>
      <c r="I38" s="986"/>
      <c r="J38" s="969"/>
    </row>
    <row r="39" spans="2:10">
      <c r="B39" s="1367" t="s">
        <v>1067</v>
      </c>
      <c r="C39" s="957">
        <f>F5A!D37</f>
        <v>0</v>
      </c>
      <c r="D39" s="969">
        <f t="shared" si="0"/>
        <v>0</v>
      </c>
      <c r="E39" s="986">
        <f>F5A!H37</f>
        <v>0</v>
      </c>
      <c r="F39" s="969">
        <f t="shared" ca="1" si="1"/>
        <v>0</v>
      </c>
      <c r="G39" s="986">
        <f>F5A!J37</f>
        <v>0</v>
      </c>
      <c r="H39" s="969">
        <f t="shared" ca="1" si="2"/>
        <v>0</v>
      </c>
      <c r="I39" s="986">
        <f>F5A!L37</f>
        <v>0</v>
      </c>
      <c r="J39" s="969">
        <f t="shared" ca="1" si="3"/>
        <v>0</v>
      </c>
    </row>
    <row r="40" spans="2:10">
      <c r="B40" s="1377" t="s">
        <v>1068</v>
      </c>
      <c r="C40" s="957">
        <f>F5A!D38</f>
        <v>2.2761421283318253E-3</v>
      </c>
      <c r="D40" s="969">
        <f t="shared" si="0"/>
        <v>0.40869681966987315</v>
      </c>
      <c r="E40" s="986">
        <f>F5A!H38</f>
        <v>2.8194411984400849E-3</v>
      </c>
      <c r="F40" s="969">
        <f t="shared" ca="1" si="1"/>
        <v>0.75823184800990151</v>
      </c>
      <c r="G40" s="986">
        <f>F5A!J38</f>
        <v>2.7721083007477476E-3</v>
      </c>
      <c r="H40" s="969">
        <f t="shared" ca="1" si="2"/>
        <v>0.90272839058858112</v>
      </c>
      <c r="I40" s="986">
        <f>F5A!L38</f>
        <v>2.7418583858552907E-3</v>
      </c>
      <c r="J40" s="969">
        <f t="shared" ca="1" si="3"/>
        <v>29.81530758884114</v>
      </c>
    </row>
    <row r="41" spans="2:10">
      <c r="B41" s="1377" t="s">
        <v>1072</v>
      </c>
      <c r="C41" s="957">
        <f>F5A!D39</f>
        <v>3.6338745618600071E-4</v>
      </c>
      <c r="D41" s="969">
        <f t="shared" si="0"/>
        <v>6.5248692426773044E-2</v>
      </c>
      <c r="E41" s="986">
        <f>F5A!H39</f>
        <v>4.2423367565313429E-4</v>
      </c>
      <c r="F41" s="969">
        <f t="shared" ca="1" si="1"/>
        <v>0.11408909114915342</v>
      </c>
      <c r="G41" s="986">
        <f>F5A!J39</f>
        <v>4.17111622822792E-4</v>
      </c>
      <c r="H41" s="969">
        <f t="shared" ca="1" si="2"/>
        <v>0.13583109428482393</v>
      </c>
      <c r="I41" s="986">
        <f>F5A!L39</f>
        <v>4.1652692319270036E-4</v>
      </c>
      <c r="J41" s="969">
        <f t="shared" ca="1" si="3"/>
        <v>4.5293653377907939</v>
      </c>
    </row>
    <row r="42" spans="2:10">
      <c r="B42" s="1369" t="s">
        <v>1425</v>
      </c>
      <c r="C42" s="957">
        <f>F5A!D40</f>
        <v>2.6395295845178259E-3</v>
      </c>
      <c r="D42" s="969">
        <f t="shared" si="0"/>
        <v>0.47394551209664615</v>
      </c>
      <c r="E42" s="986">
        <f>F5A!H40</f>
        <v>3.243674874093219E-3</v>
      </c>
      <c r="F42" s="969">
        <f t="shared" ca="1" si="1"/>
        <v>0.87232093915905484</v>
      </c>
      <c r="G42" s="986">
        <f>F5A!J40</f>
        <v>3.1892199235705396E-3</v>
      </c>
      <c r="H42" s="969">
        <f t="shared" ca="1" si="2"/>
        <v>1.038559484873405</v>
      </c>
      <c r="I42" s="986">
        <f>F5A!L40</f>
        <v>3.1583853090479913E-3</v>
      </c>
      <c r="J42" s="969">
        <f t="shared" ca="1" si="3"/>
        <v>34.344672926631937</v>
      </c>
    </row>
    <row r="43" spans="2:10">
      <c r="B43" s="1369" t="s">
        <v>1446</v>
      </c>
      <c r="C43" s="957"/>
      <c r="D43" s="969"/>
      <c r="E43" s="986"/>
      <c r="F43" s="969"/>
      <c r="G43" s="986"/>
      <c r="H43" s="969"/>
      <c r="I43" s="986"/>
      <c r="J43" s="969"/>
    </row>
    <row r="44" spans="2:10">
      <c r="B44" s="1367" t="s">
        <v>1076</v>
      </c>
      <c r="C44" s="957">
        <f>F5A!D42</f>
        <v>0</v>
      </c>
      <c r="D44" s="969">
        <f t="shared" si="0"/>
        <v>0</v>
      </c>
      <c r="E44" s="986">
        <f>F5A!H42</f>
        <v>0</v>
      </c>
      <c r="F44" s="969">
        <f t="shared" ca="1" si="1"/>
        <v>0</v>
      </c>
      <c r="G44" s="986">
        <f>F5A!J42</f>
        <v>0</v>
      </c>
      <c r="H44" s="969">
        <f t="shared" ca="1" si="2"/>
        <v>0</v>
      </c>
      <c r="I44" s="986">
        <f>F5A!L42</f>
        <v>0</v>
      </c>
      <c r="J44" s="969">
        <f t="shared" ca="1" si="3"/>
        <v>0</v>
      </c>
    </row>
    <row r="45" spans="2:10">
      <c r="B45" s="1377" t="s">
        <v>1401</v>
      </c>
      <c r="C45" s="957">
        <f>F5A!D43</f>
        <v>3.3673944197149072E-2</v>
      </c>
      <c r="D45" s="969">
        <f t="shared" si="0"/>
        <v>6.0463860001580976</v>
      </c>
      <c r="E45" s="986">
        <f>F5A!H43</f>
        <v>3.3176494040335999E-2</v>
      </c>
      <c r="F45" s="969">
        <f t="shared" ca="1" si="1"/>
        <v>8.9221489707291095</v>
      </c>
      <c r="G45" s="986">
        <f>F5A!J43</f>
        <v>3.2296560059246547E-2</v>
      </c>
      <c r="H45" s="969">
        <f t="shared" ca="1" si="2"/>
        <v>10.517273685146725</v>
      </c>
      <c r="I45" s="986">
        <f>F5A!L43</f>
        <v>3.0715511731088611E-2</v>
      </c>
      <c r="J45" s="969">
        <f t="shared" ca="1" si="3"/>
        <v>334.00427780495841</v>
      </c>
    </row>
    <row r="46" spans="2:10">
      <c r="B46" s="1378" t="s">
        <v>1077</v>
      </c>
      <c r="C46" s="957">
        <f>F5A!D44</f>
        <v>3.3673944197149072E-2</v>
      </c>
      <c r="D46" s="969">
        <f t="shared" si="0"/>
        <v>6.0463860001580976</v>
      </c>
      <c r="E46" s="986">
        <f>F5A!H44</f>
        <v>3.3176494040335999E-2</v>
      </c>
      <c r="F46" s="969">
        <f t="shared" ca="1" si="1"/>
        <v>8.9221489707291095</v>
      </c>
      <c r="G46" s="986">
        <f>F5A!J44</f>
        <v>3.2296560059246547E-2</v>
      </c>
      <c r="H46" s="969">
        <f t="shared" ca="1" si="2"/>
        <v>10.517273685146725</v>
      </c>
      <c r="I46" s="986">
        <f>F5A!L44</f>
        <v>3.0715511731088611E-2</v>
      </c>
      <c r="J46" s="969">
        <f t="shared" ca="1" si="3"/>
        <v>334.00427780495841</v>
      </c>
    </row>
    <row r="47" spans="2:10">
      <c r="B47" s="1377" t="s">
        <v>476</v>
      </c>
      <c r="C47" s="957">
        <f>F5A!D45</f>
        <v>2.9562060624861138E-3</v>
      </c>
      <c r="D47" s="969">
        <f t="shared" si="0"/>
        <v>0.53080693028266723</v>
      </c>
      <c r="E47" s="986">
        <f>F5A!H45</f>
        <v>3.3018738228460659E-3</v>
      </c>
      <c r="F47" s="969">
        <f t="shared" ca="1" si="1"/>
        <v>0.88797237267344054</v>
      </c>
      <c r="G47" s="986">
        <f>F5A!J45</f>
        <v>3.3750137794200776E-3</v>
      </c>
      <c r="H47" s="969">
        <f t="shared" ca="1" si="2"/>
        <v>1.099062672439006</v>
      </c>
      <c r="I47" s="986">
        <f>F5A!L45</f>
        <v>3.6912620544052688E-3</v>
      </c>
      <c r="J47" s="969">
        <f t="shared" ca="1" si="3"/>
        <v>40.139240637251234</v>
      </c>
    </row>
    <row r="48" spans="2:10">
      <c r="B48" s="1378" t="s">
        <v>1078</v>
      </c>
      <c r="C48" s="957">
        <f>F5A!D46</f>
        <v>2.75510931267191E-3</v>
      </c>
      <c r="D48" s="969">
        <f t="shared" si="0"/>
        <v>0.49469863938466069</v>
      </c>
      <c r="E48" s="986">
        <f>F5A!H46</f>
        <v>2.1246053240581621E-3</v>
      </c>
      <c r="F48" s="969">
        <f t="shared" ca="1" si="1"/>
        <v>0.57136975300055359</v>
      </c>
      <c r="G48" s="986">
        <f>F5A!J46</f>
        <v>2.1716675528033495E-3</v>
      </c>
      <c r="H48" s="969">
        <f t="shared" ca="1" si="2"/>
        <v>0.70719674058434356</v>
      </c>
      <c r="I48" s="986">
        <f>F5A!L46</f>
        <v>2.3751589049285488E-3</v>
      </c>
      <c r="J48" s="969">
        <f t="shared" ca="1" si="3"/>
        <v>25.827772027959615</v>
      </c>
    </row>
    <row r="49" spans="2:10">
      <c r="B49" s="1378" t="s">
        <v>1079</v>
      </c>
      <c r="C49" s="957">
        <f>F5A!D47</f>
        <v>2.0109674981420408E-4</v>
      </c>
      <c r="D49" s="969">
        <f t="shared" si="0"/>
        <v>3.6108290898006573E-2</v>
      </c>
      <c r="E49" s="986">
        <f>F5A!H47</f>
        <v>1.1772684987879038E-3</v>
      </c>
      <c r="F49" s="969">
        <f t="shared" ca="1" si="1"/>
        <v>0.31660261967288694</v>
      </c>
      <c r="G49" s="986">
        <f>F5A!J47</f>
        <v>1.2033462266167281E-3</v>
      </c>
      <c r="H49" s="969">
        <f t="shared" ca="1" si="2"/>
        <v>0.39186593185466245</v>
      </c>
      <c r="I49" s="986">
        <f>F5A!L47</f>
        <v>1.31610314947672E-3</v>
      </c>
      <c r="J49" s="969">
        <f t="shared" ca="1" si="3"/>
        <v>14.311468609291618</v>
      </c>
    </row>
    <row r="50" spans="2:10">
      <c r="B50" s="1369" t="s">
        <v>1425</v>
      </c>
      <c r="C50" s="957">
        <f>F5A!D48</f>
        <v>3.6630150259635189E-2</v>
      </c>
      <c r="D50" s="969">
        <f t="shared" si="0"/>
        <v>6.5771929304407655</v>
      </c>
      <c r="E50" s="986">
        <f>F5A!H48</f>
        <v>3.6478367863182065E-2</v>
      </c>
      <c r="F50" s="969">
        <f t="shared" ca="1" si="1"/>
        <v>9.8101213434025496</v>
      </c>
      <c r="G50" s="986">
        <f>F5A!J48</f>
        <v>3.567157383866662E-2</v>
      </c>
      <c r="H50" s="969">
        <f t="shared" ca="1" si="2"/>
        <v>11.616336357585729</v>
      </c>
      <c r="I50" s="986">
        <f>F5A!L48</f>
        <v>3.440677378549388E-2</v>
      </c>
      <c r="J50" s="969">
        <f t="shared" ca="1" si="3"/>
        <v>374.14351844220965</v>
      </c>
    </row>
    <row r="51" spans="2:10">
      <c r="B51" s="1369" t="s">
        <v>1446</v>
      </c>
      <c r="C51" s="957"/>
      <c r="D51" s="969"/>
      <c r="E51" s="986"/>
      <c r="F51" s="969"/>
      <c r="G51" s="986"/>
      <c r="H51" s="969"/>
      <c r="I51" s="986"/>
      <c r="J51" s="969"/>
    </row>
    <row r="52" spans="2:10">
      <c r="B52" s="1367" t="s">
        <v>1081</v>
      </c>
      <c r="C52" s="957">
        <f>F5A!D50</f>
        <v>0</v>
      </c>
      <c r="D52" s="969">
        <f t="shared" si="0"/>
        <v>0</v>
      </c>
      <c r="E52" s="986">
        <f>F5A!H50</f>
        <v>0</v>
      </c>
      <c r="F52" s="969">
        <f t="shared" ca="1" si="1"/>
        <v>0</v>
      </c>
      <c r="G52" s="986">
        <f>F5A!J50</f>
        <v>0</v>
      </c>
      <c r="H52" s="969">
        <f t="shared" ca="1" si="2"/>
        <v>0</v>
      </c>
      <c r="I52" s="986">
        <f>F5A!L50</f>
        <v>0</v>
      </c>
      <c r="J52" s="969">
        <f t="shared" ca="1" si="3"/>
        <v>0</v>
      </c>
    </row>
    <row r="53" spans="2:10">
      <c r="B53" s="1377" t="s">
        <v>1012</v>
      </c>
      <c r="C53" s="957">
        <f>F5A!D51</f>
        <v>1.8717927374010612E-3</v>
      </c>
      <c r="D53" s="969">
        <f t="shared" si="0"/>
        <v>0.33609313290890219</v>
      </c>
      <c r="E53" s="986">
        <f>F5A!H51</f>
        <v>2.2172882955956686E-3</v>
      </c>
      <c r="F53" s="969">
        <f t="shared" ca="1" si="1"/>
        <v>0.59629496897129763</v>
      </c>
      <c r="G53" s="986">
        <f>F5A!J51</f>
        <v>2.1800643662199071E-3</v>
      </c>
      <c r="H53" s="969">
        <f t="shared" ca="1" si="2"/>
        <v>0.70993113658884199</v>
      </c>
      <c r="I53" s="986">
        <f>F5A!L51</f>
        <v>2.1355415643984077E-3</v>
      </c>
      <c r="J53" s="969">
        <f t="shared" ca="1" si="3"/>
        <v>23.222143397253483</v>
      </c>
    </row>
    <row r="54" spans="2:10">
      <c r="B54" s="1377" t="s">
        <v>1011</v>
      </c>
      <c r="C54" s="957">
        <f>F5A!D52</f>
        <v>1.7419601723036237E-3</v>
      </c>
      <c r="D54" s="969">
        <f t="shared" si="0"/>
        <v>0.312780811685889</v>
      </c>
      <c r="E54" s="986">
        <f>F5A!H52</f>
        <v>1.3404088590714747E-3</v>
      </c>
      <c r="F54" s="969">
        <f t="shared" ca="1" si="1"/>
        <v>0.36047592936675527</v>
      </c>
      <c r="G54" s="986">
        <f>F5A!J52</f>
        <v>1.3309545930827291E-3</v>
      </c>
      <c r="H54" s="969">
        <f t="shared" ca="1" si="2"/>
        <v>0.43342119694095727</v>
      </c>
      <c r="I54" s="986">
        <f>F5A!L52</f>
        <v>1.3290888846831939E-3</v>
      </c>
      <c r="J54" s="969">
        <f t="shared" ca="1" si="3"/>
        <v>14.45267710184018</v>
      </c>
    </row>
    <row r="55" spans="2:10">
      <c r="B55" s="1369" t="s">
        <v>1425</v>
      </c>
      <c r="C55" s="957">
        <f>F5A!D53</f>
        <v>3.6137529097046849E-3</v>
      </c>
      <c r="D55" s="969">
        <f t="shared" si="0"/>
        <v>0.6488739445947912</v>
      </c>
      <c r="E55" s="986">
        <f>F5A!H53</f>
        <v>3.5576971546671431E-3</v>
      </c>
      <c r="F55" s="969">
        <f t="shared" ca="1" si="1"/>
        <v>0.95677089833805284</v>
      </c>
      <c r="G55" s="986">
        <f>F5A!J53</f>
        <v>3.5110189593026363E-3</v>
      </c>
      <c r="H55" s="969">
        <f t="shared" ca="1" si="2"/>
        <v>1.1433523335297995</v>
      </c>
      <c r="I55" s="986">
        <f>F5A!L53</f>
        <v>3.4646304490816016E-3</v>
      </c>
      <c r="J55" s="969">
        <f t="shared" ca="1" si="3"/>
        <v>37.674820499093663</v>
      </c>
    </row>
    <row r="56" spans="2:10">
      <c r="B56" s="1369" t="s">
        <v>1446</v>
      </c>
      <c r="C56" s="957"/>
      <c r="D56" s="969"/>
      <c r="E56" s="986"/>
      <c r="F56" s="969"/>
      <c r="G56" s="986"/>
      <c r="H56" s="969"/>
      <c r="I56" s="986"/>
      <c r="J56" s="969"/>
    </row>
    <row r="57" spans="2:10">
      <c r="B57" s="1367" t="s">
        <v>1402</v>
      </c>
      <c r="C57" s="957">
        <f>F5A!D55</f>
        <v>0</v>
      </c>
      <c r="D57" s="969">
        <f t="shared" si="0"/>
        <v>0</v>
      </c>
      <c r="E57" s="986">
        <f>F5A!H55</f>
        <v>0</v>
      </c>
      <c r="F57" s="969">
        <f t="shared" ca="1" si="1"/>
        <v>0</v>
      </c>
      <c r="G57" s="986">
        <f>F5A!J55</f>
        <v>0</v>
      </c>
      <c r="H57" s="969">
        <f t="shared" ca="1" si="2"/>
        <v>0</v>
      </c>
      <c r="I57" s="986">
        <f>F5A!L55</f>
        <v>0</v>
      </c>
      <c r="J57" s="969">
        <f t="shared" ca="1" si="3"/>
        <v>0</v>
      </c>
    </row>
    <row r="58" spans="2:10">
      <c r="B58" s="1377" t="s">
        <v>475</v>
      </c>
      <c r="C58" s="957">
        <f>F5A!D56</f>
        <v>1.8037623896378281E-4</v>
      </c>
      <c r="D58" s="969">
        <f t="shared" si="0"/>
        <v>3.2387782068134544E-2</v>
      </c>
      <c r="E58" s="986">
        <f>F5A!H56</f>
        <v>1.9384374269649019E-4</v>
      </c>
      <c r="F58" s="969">
        <f t="shared" ca="1" si="1"/>
        <v>5.2130365169961536E-2</v>
      </c>
      <c r="G58" s="986">
        <f>F5A!J56</f>
        <v>2.094686539909487E-4</v>
      </c>
      <c r="H58" s="969">
        <f t="shared" ca="1" si="2"/>
        <v>6.8212811470965806E-2</v>
      </c>
      <c r="I58" s="986">
        <f>F5A!L56</f>
        <v>2.2129949889317517E-4</v>
      </c>
      <c r="J58" s="969">
        <f t="shared" ca="1" si="3"/>
        <v>2.4064381526029193</v>
      </c>
    </row>
    <row r="59" spans="2:10">
      <c r="B59" s="1378" t="s">
        <v>1091</v>
      </c>
      <c r="C59" s="957">
        <f>F5A!D57</f>
        <v>1.5103216290393768E-4</v>
      </c>
      <c r="D59" s="969">
        <f t="shared" si="0"/>
        <v>2.7118853378431385E-2</v>
      </c>
      <c r="E59" s="986">
        <f>F5A!H57</f>
        <v>1.662336114968128E-4</v>
      </c>
      <c r="F59" s="969">
        <f t="shared" ca="1" si="1"/>
        <v>4.4705177223176233E-2</v>
      </c>
      <c r="G59" s="986">
        <f>F5A!J57</f>
        <v>1.780070911697121E-4</v>
      </c>
      <c r="H59" s="969">
        <f t="shared" ca="1" si="2"/>
        <v>5.7967452022579358E-2</v>
      </c>
      <c r="I59" s="986">
        <f>F5A!L57</f>
        <v>1.8622220991062994E-4</v>
      </c>
      <c r="J59" s="969">
        <f t="shared" ca="1" si="3"/>
        <v>2.0250033688837674</v>
      </c>
    </row>
    <row r="60" spans="2:10">
      <c r="B60" s="1378" t="s">
        <v>1092</v>
      </c>
      <c r="C60" s="957">
        <f>F5A!D58</f>
        <v>1.0180597816680969E-5</v>
      </c>
      <c r="D60" s="969">
        <f t="shared" si="0"/>
        <v>1.8279956678561994E-3</v>
      </c>
      <c r="E60" s="986">
        <f>F5A!H58</f>
        <v>8.1341050422286066E-6</v>
      </c>
      <c r="F60" s="969">
        <f t="shared" ca="1" si="1"/>
        <v>2.1875035029948397E-3</v>
      </c>
      <c r="G60" s="986">
        <f>F5A!J58</f>
        <v>8.7102022557198894E-6</v>
      </c>
      <c r="H60" s="969">
        <f t="shared" ca="1" si="2"/>
        <v>2.8364500989683902E-3</v>
      </c>
      <c r="I60" s="986">
        <f>F5A!L58</f>
        <v>9.1121825662679015E-6</v>
      </c>
      <c r="J60" s="969">
        <f t="shared" ca="1" si="3"/>
        <v>9.9087001509819084E-2</v>
      </c>
    </row>
    <row r="61" spans="2:10">
      <c r="B61" s="1378" t="s">
        <v>1093</v>
      </c>
      <c r="C61" s="957">
        <f>F5A!D59</f>
        <v>1.9163478243164179E-5</v>
      </c>
      <c r="D61" s="969">
        <f t="shared" si="0"/>
        <v>3.4409330218469641E-3</v>
      </c>
      <c r="E61" s="986">
        <f>F5A!H59</f>
        <v>1.9476026157448777E-5</v>
      </c>
      <c r="F61" s="969">
        <f t="shared" ca="1" si="1"/>
        <v>5.2376844437904612E-3</v>
      </c>
      <c r="G61" s="986">
        <f>F5A!J59</f>
        <v>2.2751360565516737E-5</v>
      </c>
      <c r="H61" s="969">
        <f t="shared" ca="1" si="2"/>
        <v>7.4089093494180734E-3</v>
      </c>
      <c r="I61" s="986">
        <f>F5A!L59</f>
        <v>2.5965106416277289E-5</v>
      </c>
      <c r="J61" s="969">
        <f t="shared" ca="1" si="3"/>
        <v>0.28234778220933193</v>
      </c>
    </row>
    <row r="62" spans="2:10">
      <c r="B62" s="1377" t="s">
        <v>1403</v>
      </c>
      <c r="C62" s="957">
        <f>F5A!D60</f>
        <v>2.210986302305067E-4</v>
      </c>
      <c r="D62" s="969">
        <f t="shared" si="0"/>
        <v>3.9699764739559343E-2</v>
      </c>
      <c r="E62" s="986">
        <f>F5A!H60</f>
        <v>1.9865546680597753E-4</v>
      </c>
      <c r="F62" s="969">
        <f t="shared" ca="1" si="1"/>
        <v>5.3424381326662704E-2</v>
      </c>
      <c r="G62" s="986">
        <f>F5A!J60</f>
        <v>1.9725429610303012E-4</v>
      </c>
      <c r="H62" s="969">
        <f t="shared" ca="1" si="2"/>
        <v>6.4235244059454702E-2</v>
      </c>
      <c r="I62" s="986">
        <f>F5A!L60</f>
        <v>1.9580935876175115E-4</v>
      </c>
      <c r="J62" s="969">
        <f t="shared" ca="1" si="3"/>
        <v>2.1292552125861253</v>
      </c>
    </row>
    <row r="63" spans="2:10">
      <c r="B63" s="1378" t="s">
        <v>1094</v>
      </c>
      <c r="C63" s="957">
        <f>F5A!D61</f>
        <v>6.2161532551263806E-5</v>
      </c>
      <c r="D63" s="969">
        <f t="shared" si="0"/>
        <v>1.1161526489616089E-2</v>
      </c>
      <c r="E63" s="986">
        <f>F5A!H61</f>
        <v>4.1243349509891533E-5</v>
      </c>
      <c r="F63" s="969">
        <f t="shared" ca="1" si="1"/>
        <v>1.1091567057438625E-2</v>
      </c>
      <c r="G63" s="986">
        <f>F5A!J61</f>
        <v>4.0952449017930127E-5</v>
      </c>
      <c r="H63" s="969">
        <f t="shared" ca="1" si="2"/>
        <v>1.3336036828952532E-2</v>
      </c>
      <c r="I63" s="986">
        <f>F5A!L61</f>
        <v>3.9726612816904256E-5</v>
      </c>
      <c r="J63" s="969">
        <f t="shared" ca="1" si="3"/>
        <v>0.43199210678027794</v>
      </c>
    </row>
    <row r="64" spans="2:10">
      <c r="B64" s="1378" t="s">
        <v>1095</v>
      </c>
      <c r="C64" s="957">
        <f>F5A!D62</f>
        <v>1.1438201076388619E-4</v>
      </c>
      <c r="D64" s="969">
        <f t="shared" si="0"/>
        <v>2.0538068974149067E-2</v>
      </c>
      <c r="E64" s="986">
        <f>F5A!H62</f>
        <v>1.2132418647493092E-4</v>
      </c>
      <c r="F64" s="969">
        <f t="shared" ca="1" si="1"/>
        <v>3.2627693093965286E-2</v>
      </c>
      <c r="G64" s="986">
        <f>F5A!J62</f>
        <v>1.2046845419441113E-4</v>
      </c>
      <c r="H64" s="969">
        <f t="shared" ca="1" si="2"/>
        <v>3.9230175005168698E-2</v>
      </c>
      <c r="I64" s="986">
        <f>F5A!L62</f>
        <v>1.2029958366491473E-4</v>
      </c>
      <c r="J64" s="969">
        <f t="shared" ca="1" si="3"/>
        <v>1.3081525684486113</v>
      </c>
    </row>
    <row r="65" spans="2:10">
      <c r="B65" s="1378" t="s">
        <v>1096</v>
      </c>
      <c r="C65" s="957">
        <f>F5A!D63</f>
        <v>4.455508691535671E-5</v>
      </c>
      <c r="D65" s="969">
        <f t="shared" si="0"/>
        <v>8.000169275794191E-3</v>
      </c>
      <c r="E65" s="986">
        <f>F5A!H63</f>
        <v>3.6087930821155087E-5</v>
      </c>
      <c r="F65" s="969">
        <f t="shared" ca="1" si="1"/>
        <v>9.7051211752587959E-3</v>
      </c>
      <c r="G65" s="986">
        <f>F5A!J63</f>
        <v>3.5833392890688862E-5</v>
      </c>
      <c r="H65" s="969">
        <f t="shared" ca="1" si="2"/>
        <v>1.1669032225333466E-2</v>
      </c>
      <c r="I65" s="986">
        <f>F5A!L63</f>
        <v>3.578316227993214E-5</v>
      </c>
      <c r="J65" s="969">
        <f t="shared" ca="1" si="3"/>
        <v>0.38911053735723561</v>
      </c>
    </row>
    <row r="66" spans="2:10">
      <c r="B66" s="1369" t="s">
        <v>1425</v>
      </c>
      <c r="C66" s="957">
        <f>F5A!D64</f>
        <v>4.0147486919428954E-4</v>
      </c>
      <c r="D66" s="969">
        <f t="shared" si="0"/>
        <v>7.20875468076939E-2</v>
      </c>
      <c r="E66" s="986">
        <f>F5A!H64</f>
        <v>3.9249920950246771E-4</v>
      </c>
      <c r="F66" s="969">
        <f t="shared" ca="1" si="1"/>
        <v>0.10555474649662423</v>
      </c>
      <c r="G66" s="986">
        <f>F5A!J64</f>
        <v>4.0672295009397879E-4</v>
      </c>
      <c r="H66" s="969">
        <f t="shared" ca="1" si="2"/>
        <v>0.13244805553042049</v>
      </c>
      <c r="I66" s="986">
        <f>F5A!L64</f>
        <v>4.1710885765492632E-4</v>
      </c>
      <c r="J66" s="969">
        <f t="shared" ca="1" si="3"/>
        <v>4.5356933651890445</v>
      </c>
    </row>
    <row r="67" spans="2:10">
      <c r="B67" s="1369" t="s">
        <v>1446</v>
      </c>
      <c r="C67" s="957"/>
      <c r="D67" s="969"/>
      <c r="E67" s="986"/>
      <c r="F67" s="969"/>
      <c r="G67" s="986"/>
      <c r="H67" s="969"/>
      <c r="I67" s="986"/>
      <c r="J67" s="969"/>
    </row>
    <row r="68" spans="2:10">
      <c r="B68" s="1367" t="s">
        <v>1098</v>
      </c>
      <c r="C68" s="957">
        <f>F5A!D66</f>
        <v>0</v>
      </c>
      <c r="D68" s="969">
        <f t="shared" si="0"/>
        <v>0</v>
      </c>
      <c r="E68" s="986">
        <f>F5A!H66</f>
        <v>0</v>
      </c>
      <c r="F68" s="969">
        <f t="shared" ca="1" si="1"/>
        <v>0</v>
      </c>
      <c r="G68" s="986">
        <f>F5A!J66</f>
        <v>0</v>
      </c>
      <c r="H68" s="969">
        <f t="shared" ca="1" si="2"/>
        <v>0</v>
      </c>
      <c r="I68" s="986">
        <f>F5A!L66</f>
        <v>0</v>
      </c>
      <c r="J68" s="969">
        <f t="shared" ca="1" si="3"/>
        <v>0</v>
      </c>
    </row>
    <row r="69" spans="2:10">
      <c r="B69" s="1377" t="s">
        <v>476</v>
      </c>
      <c r="C69" s="957">
        <f>F5A!D67</f>
        <v>5.6652032556354103E-5</v>
      </c>
      <c r="D69" s="969">
        <f t="shared" si="0"/>
        <v>1.0172258245835087E-2</v>
      </c>
      <c r="E69" s="986">
        <f>F5A!H67</f>
        <v>2.0369632063496428E-4</v>
      </c>
      <c r="F69" s="969">
        <f t="shared" ca="1" si="1"/>
        <v>5.4780017300349648E-2</v>
      </c>
      <c r="G69" s="986">
        <f>F5A!J67</f>
        <v>7.9317488402919133E-4</v>
      </c>
      <c r="H69" s="969">
        <f t="shared" ca="1" si="2"/>
        <v>0.25829491810324184</v>
      </c>
      <c r="I69" s="986">
        <f>F5A!L67</f>
        <v>1.0334536620123073E-3</v>
      </c>
      <c r="J69" s="969">
        <f t="shared" ca="1" si="3"/>
        <v>11.237903084516724</v>
      </c>
    </row>
    <row r="70" spans="2:10">
      <c r="B70" s="1378" t="s">
        <v>1099</v>
      </c>
      <c r="C70" s="957">
        <f>F5A!D68</f>
        <v>5.6652032556354103E-5</v>
      </c>
      <c r="D70" s="969">
        <f t="shared" si="0"/>
        <v>1.0172258245835087E-2</v>
      </c>
      <c r="E70" s="986">
        <f>F5A!H68</f>
        <v>2.0369632063496428E-4</v>
      </c>
      <c r="F70" s="969">
        <f t="shared" ca="1" si="1"/>
        <v>5.4780017300349648E-2</v>
      </c>
      <c r="G70" s="986">
        <f>F5A!J68</f>
        <v>7.9317488402919133E-4</v>
      </c>
      <c r="H70" s="969">
        <f t="shared" ca="1" si="2"/>
        <v>0.25829491810324184</v>
      </c>
      <c r="I70" s="986">
        <f>F5A!L68</f>
        <v>1.0334536620123073E-3</v>
      </c>
      <c r="J70" s="969">
        <f t="shared" ca="1" si="3"/>
        <v>11.237903084516724</v>
      </c>
    </row>
    <row r="71" spans="2:10">
      <c r="B71" s="1377" t="s">
        <v>1404</v>
      </c>
      <c r="C71" s="957">
        <f>F5A!D69</f>
        <v>1.3322210531169698E-3</v>
      </c>
      <c r="D71" s="969">
        <f t="shared" si="0"/>
        <v>0.23920936251252362</v>
      </c>
      <c r="E71" s="986">
        <f>F5A!H69</f>
        <v>1.1511477107649724E-3</v>
      </c>
      <c r="F71" s="969">
        <f t="shared" ca="1" si="1"/>
        <v>0.30957796053650916</v>
      </c>
      <c r="G71" s="986">
        <f>F5A!J69</f>
        <v>5.6030801706449058E-4</v>
      </c>
      <c r="H71" s="969">
        <f t="shared" ca="1" si="2"/>
        <v>0.18246255182096274</v>
      </c>
      <c r="I71" s="986">
        <f>F5A!L69</f>
        <v>2.6643932727813953E-4</v>
      </c>
      <c r="J71" s="969">
        <f t="shared" ca="1" si="3"/>
        <v>2.8972942357428182</v>
      </c>
    </row>
    <row r="72" spans="2:10">
      <c r="B72" s="1378" t="s">
        <v>1405</v>
      </c>
      <c r="C72" s="957">
        <f>F5A!D70</f>
        <v>1.3282685857293171E-3</v>
      </c>
      <c r="D72" s="969">
        <f t="shared" si="0"/>
        <v>0.23849967007676767</v>
      </c>
      <c r="E72" s="986">
        <f>F5A!H70</f>
        <v>1.137629057314508E-3</v>
      </c>
      <c r="F72" s="969">
        <f t="shared" ca="1" si="1"/>
        <v>0.3059423913343487</v>
      </c>
      <c r="G72" s="986">
        <f>F5A!J70</f>
        <v>5.5372796670485587E-4</v>
      </c>
      <c r="H72" s="969">
        <f t="shared" ca="1" si="2"/>
        <v>0.18031977901892518</v>
      </c>
      <c r="I72" s="986">
        <f>F5A!L70</f>
        <v>2.6331036224840022E-4</v>
      </c>
      <c r="J72" s="969">
        <f t="shared" ca="1" si="3"/>
        <v>2.8632694825762526</v>
      </c>
    </row>
    <row r="73" spans="2:10">
      <c r="B73" s="1378" t="s">
        <v>1101</v>
      </c>
      <c r="C73" s="957">
        <f>F5A!D71</f>
        <v>3.952467387652612E-6</v>
      </c>
      <c r="D73" s="969">
        <f t="shared" si="0"/>
        <v>7.0969243575593637E-4</v>
      </c>
      <c r="E73" s="986">
        <f>F5A!H71</f>
        <v>1.3518653450464445E-5</v>
      </c>
      <c r="F73" s="969">
        <f t="shared" ca="1" si="1"/>
        <v>3.6355692021604376E-3</v>
      </c>
      <c r="G73" s="986">
        <f>F5A!J71</f>
        <v>6.5800503596347427E-6</v>
      </c>
      <c r="H73" s="969">
        <f t="shared" ca="1" si="2"/>
        <v>2.1427728020375803E-3</v>
      </c>
      <c r="I73" s="986">
        <f>F5A!L71</f>
        <v>3.1289650297392977E-6</v>
      </c>
      <c r="J73" s="969">
        <f t="shared" ca="1" si="3"/>
        <v>3.4024753166565738E-2</v>
      </c>
    </row>
    <row r="74" spans="2:10">
      <c r="B74" s="1369" t="s">
        <v>1425</v>
      </c>
      <c r="C74" s="957">
        <f>F5A!D72</f>
        <v>1.3888730856733238E-3</v>
      </c>
      <c r="D74" s="969">
        <f t="shared" si="0"/>
        <v>0.24938162075835871</v>
      </c>
      <c r="E74" s="986">
        <f>F5A!H72</f>
        <v>1.3548440313999367E-3</v>
      </c>
      <c r="F74" s="969">
        <f t="shared" ca="1" si="1"/>
        <v>0.3643579778368588</v>
      </c>
      <c r="G74" s="986">
        <f>F5A!J72</f>
        <v>1.3534829010936819E-3</v>
      </c>
      <c r="H74" s="969">
        <f t="shared" ca="1" si="2"/>
        <v>0.44075746992420461</v>
      </c>
      <c r="I74" s="986">
        <f>F5A!L72</f>
        <v>1.2998929892904468E-3</v>
      </c>
      <c r="J74" s="969">
        <f t="shared" ca="1" si="3"/>
        <v>14.135197320259541</v>
      </c>
    </row>
    <row r="75" spans="2:10">
      <c r="B75" s="1369" t="s">
        <v>1446</v>
      </c>
      <c r="C75" s="957"/>
      <c r="D75" s="969"/>
      <c r="E75" s="986"/>
      <c r="F75" s="969"/>
      <c r="G75" s="986"/>
      <c r="H75" s="969"/>
      <c r="I75" s="986"/>
      <c r="J75" s="969"/>
    </row>
    <row r="76" spans="2:10">
      <c r="B76" s="1367" t="s">
        <v>1406</v>
      </c>
      <c r="C76" s="957">
        <f>F5A!D74</f>
        <v>0</v>
      </c>
      <c r="D76" s="969">
        <f t="shared" si="0"/>
        <v>0</v>
      </c>
      <c r="E76" s="986">
        <f>F5A!H74</f>
        <v>0</v>
      </c>
      <c r="F76" s="969">
        <f t="shared" ca="1" si="1"/>
        <v>0</v>
      </c>
      <c r="G76" s="986">
        <f>F5A!J74</f>
        <v>0</v>
      </c>
      <c r="H76" s="969">
        <f t="shared" ca="1" si="2"/>
        <v>0</v>
      </c>
      <c r="I76" s="986">
        <f>F5A!L74</f>
        <v>0</v>
      </c>
      <c r="J76" s="969">
        <f t="shared" ca="1" si="3"/>
        <v>0</v>
      </c>
    </row>
    <row r="77" spans="2:10">
      <c r="B77" s="1377" t="s">
        <v>476</v>
      </c>
      <c r="C77" s="957">
        <f>F5A!D75</f>
        <v>3.3775630403576862E-5</v>
      </c>
      <c r="D77" s="969">
        <f t="shared" si="0"/>
        <v>6.0646444510052732E-3</v>
      </c>
      <c r="E77" s="986">
        <f>F5A!H75</f>
        <v>2.3863860285862237E-4</v>
      </c>
      <c r="F77" s="969">
        <f t="shared" ca="1" si="1"/>
        <v>6.4177039390679591E-2</v>
      </c>
      <c r="G77" s="986">
        <f>F5A!J75</f>
        <v>2.3463232793407388E-4</v>
      </c>
      <c r="H77" s="969">
        <f t="shared" ca="1" si="2"/>
        <v>7.6407283120520711E-2</v>
      </c>
      <c r="I77" s="986">
        <f>F5A!L75</f>
        <v>2.2984050215159053E-4</v>
      </c>
      <c r="J77" s="969">
        <f t="shared" ca="1" si="3"/>
        <v>2.4993140795948641</v>
      </c>
    </row>
    <row r="78" spans="2:10">
      <c r="B78" s="1378" t="s">
        <v>1104</v>
      </c>
      <c r="C78" s="957">
        <f>F5A!D76</f>
        <v>2.0840282589441045E-5</v>
      </c>
      <c r="D78" s="969">
        <f t="shared" si="0"/>
        <v>3.7420146612585732E-3</v>
      </c>
      <c r="E78" s="986">
        <f>F5A!H76</f>
        <v>1.1101334909745803E-4</v>
      </c>
      <c r="F78" s="969">
        <f t="shared" ca="1" si="1"/>
        <v>2.9854801329605628E-2</v>
      </c>
      <c r="G78" s="986">
        <f>F5A!J76</f>
        <v>1.0914965231306655E-4</v>
      </c>
      <c r="H78" s="969">
        <f t="shared" ca="1" si="2"/>
        <v>3.5544242603833209E-2</v>
      </c>
      <c r="I78" s="986">
        <f>F5A!L76</f>
        <v>1.0692052164421086E-4</v>
      </c>
      <c r="J78" s="969">
        <f t="shared" ca="1" si="3"/>
        <v>1.1626669914197905</v>
      </c>
    </row>
    <row r="79" spans="2:10">
      <c r="B79" s="1378" t="s">
        <v>1105</v>
      </c>
      <c r="C79" s="957">
        <f>F5A!D77</f>
        <v>1.2935347814135821E-5</v>
      </c>
      <c r="D79" s="969">
        <f t="shared" ref="D79:D128" si="4">C79*$D$10</f>
        <v>2.3226297897467004E-3</v>
      </c>
      <c r="E79" s="986">
        <f>F5A!H77</f>
        <v>1.2762525376116434E-4</v>
      </c>
      <c r="F79" s="969">
        <f t="shared" ref="F79:F128" ca="1" si="5">E79*$F$10</f>
        <v>3.4322238061073963E-2</v>
      </c>
      <c r="G79" s="986">
        <f>F5A!J77</f>
        <v>1.2548267562100736E-4</v>
      </c>
      <c r="H79" s="969">
        <f t="shared" ref="H79:H128" ca="1" si="6">G79*$H$10</f>
        <v>4.0863040516687509E-2</v>
      </c>
      <c r="I79" s="986">
        <f>F5A!L77</f>
        <v>1.2291998050737967E-4</v>
      </c>
      <c r="J79" s="969">
        <f t="shared" ref="J79:J113" ca="1" si="7">I79*$J$10</f>
        <v>1.3366470881750738</v>
      </c>
    </row>
    <row r="80" spans="2:10">
      <c r="B80" s="1377" t="s">
        <v>1404</v>
      </c>
      <c r="C80" s="957">
        <f>F5A!D78</f>
        <v>0</v>
      </c>
      <c r="D80" s="969">
        <f t="shared" si="4"/>
        <v>0</v>
      </c>
      <c r="E80" s="986">
        <f>F5A!H78</f>
        <v>1.1456485974969869E-6</v>
      </c>
      <c r="F80" s="969">
        <f t="shared" ca="1" si="5"/>
        <v>3.0809908492885067E-4</v>
      </c>
      <c r="G80" s="986">
        <f>F5A!J78</f>
        <v>5.5763138640972391E-7</v>
      </c>
      <c r="H80" s="969">
        <f t="shared" ca="1" si="6"/>
        <v>1.8159091542691355E-4</v>
      </c>
      <c r="I80" s="986">
        <f>F5A!L78</f>
        <v>2.6516652794400831E-7</v>
      </c>
      <c r="J80" s="969">
        <f t="shared" ca="1" si="7"/>
        <v>2.8834536581835374E-3</v>
      </c>
    </row>
    <row r="81" spans="2:10">
      <c r="B81" s="1378" t="s">
        <v>1106</v>
      </c>
      <c r="C81" s="957">
        <f>F5A!D79</f>
        <v>0</v>
      </c>
      <c r="D81" s="969">
        <f t="shared" si="4"/>
        <v>0</v>
      </c>
      <c r="E81" s="986">
        <f>F5A!H79</f>
        <v>0</v>
      </c>
      <c r="F81" s="969">
        <f t="shared" ca="1" si="5"/>
        <v>0</v>
      </c>
      <c r="G81" s="986">
        <f>F5A!J79</f>
        <v>0</v>
      </c>
      <c r="H81" s="969">
        <f t="shared" ca="1" si="6"/>
        <v>0</v>
      </c>
      <c r="I81" s="986">
        <f>F5A!L79</f>
        <v>0</v>
      </c>
      <c r="J81" s="969">
        <f t="shared" ca="1" si="7"/>
        <v>0</v>
      </c>
    </row>
    <row r="82" spans="2:10">
      <c r="B82" s="1378" t="s">
        <v>1107</v>
      </c>
      <c r="C82" s="957">
        <f>F5A!D80</f>
        <v>0</v>
      </c>
      <c r="D82" s="969">
        <f t="shared" si="4"/>
        <v>0</v>
      </c>
      <c r="E82" s="986">
        <f>F5A!H80</f>
        <v>1.1456485974969869E-6</v>
      </c>
      <c r="F82" s="969">
        <f t="shared" ca="1" si="5"/>
        <v>3.0809908492885067E-4</v>
      </c>
      <c r="G82" s="986">
        <f>F5A!J80</f>
        <v>5.5763138640972391E-7</v>
      </c>
      <c r="H82" s="969">
        <f t="shared" ca="1" si="6"/>
        <v>1.8159091542691355E-4</v>
      </c>
      <c r="I82" s="986">
        <f>F5A!L80</f>
        <v>2.6516652794400831E-7</v>
      </c>
      <c r="J82" s="969">
        <f t="shared" ca="1" si="7"/>
        <v>2.8834536581835374E-3</v>
      </c>
    </row>
    <row r="83" spans="2:10">
      <c r="B83" s="1369" t="s">
        <v>1425</v>
      </c>
      <c r="C83" s="957">
        <f>F5A!D81</f>
        <v>3.3775630403576862E-5</v>
      </c>
      <c r="D83" s="969">
        <f t="shared" si="4"/>
        <v>6.0646444510052732E-3</v>
      </c>
      <c r="E83" s="986">
        <f>F5A!H81</f>
        <v>2.3978425145611937E-4</v>
      </c>
      <c r="F83" s="969">
        <f t="shared" ca="1" si="5"/>
        <v>6.4485138475608453E-2</v>
      </c>
      <c r="G83" s="986">
        <f>F5A!J81</f>
        <v>2.3518995932048361E-4</v>
      </c>
      <c r="H83" s="969">
        <f t="shared" ca="1" si="6"/>
        <v>7.6588874035947621E-2</v>
      </c>
      <c r="I83" s="986">
        <f>F5A!L81</f>
        <v>2.3010566867953455E-4</v>
      </c>
      <c r="J83" s="969">
        <f t="shared" ca="1" si="7"/>
        <v>2.5021975332530477</v>
      </c>
    </row>
    <row r="84" spans="2:10">
      <c r="B84" s="1369" t="s">
        <v>1446</v>
      </c>
      <c r="C84" s="957"/>
      <c r="D84" s="969"/>
      <c r="E84" s="986"/>
      <c r="F84" s="969"/>
      <c r="G84" s="986"/>
      <c r="H84" s="969"/>
      <c r="I84" s="986"/>
      <c r="J84" s="969"/>
    </row>
    <row r="85" spans="2:10">
      <c r="B85" s="1367" t="s">
        <v>1109</v>
      </c>
      <c r="C85" s="957">
        <f>F5A!D83</f>
        <v>0</v>
      </c>
      <c r="D85" s="969">
        <f t="shared" si="4"/>
        <v>0</v>
      </c>
      <c r="E85" s="986">
        <f>F5A!H83</f>
        <v>0</v>
      </c>
      <c r="F85" s="969">
        <f t="shared" ca="1" si="5"/>
        <v>0</v>
      </c>
      <c r="G85" s="986">
        <f>F5A!J83</f>
        <v>0</v>
      </c>
      <c r="H85" s="969">
        <f t="shared" ca="1" si="6"/>
        <v>0</v>
      </c>
      <c r="I85" s="986">
        <f>F5A!L83</f>
        <v>0</v>
      </c>
      <c r="J85" s="969">
        <f t="shared" ca="1" si="7"/>
        <v>0</v>
      </c>
    </row>
    <row r="86" spans="2:10">
      <c r="B86" s="1369" t="s">
        <v>1429</v>
      </c>
      <c r="C86" s="957">
        <f>F5A!D84</f>
        <v>3.5221275293545562E-3</v>
      </c>
      <c r="D86" s="969">
        <f t="shared" si="4"/>
        <v>0.63242198358408541</v>
      </c>
      <c r="E86" s="986">
        <f>F5A!H84</f>
        <v>2.8635486694437188E-3</v>
      </c>
      <c r="F86" s="969">
        <f t="shared" ca="1" si="5"/>
        <v>0.77009366277966229</v>
      </c>
      <c r="G86" s="986">
        <f>F5A!J84</f>
        <v>2.8433512866754542E-3</v>
      </c>
      <c r="H86" s="969">
        <f t="shared" ca="1" si="6"/>
        <v>0.92592844594352375</v>
      </c>
      <c r="I86" s="986">
        <f>F5A!L84</f>
        <v>2.7582407982181165E-3</v>
      </c>
      <c r="J86" s="969">
        <f t="shared" ca="1" si="7"/>
        <v>29.993451969369577</v>
      </c>
    </row>
    <row r="87" spans="2:10">
      <c r="B87" s="1369" t="s">
        <v>1446</v>
      </c>
      <c r="C87" s="957"/>
      <c r="D87" s="969"/>
      <c r="E87" s="986"/>
      <c r="F87" s="969"/>
      <c r="G87" s="986"/>
      <c r="H87" s="969"/>
      <c r="I87" s="986"/>
      <c r="J87" s="969"/>
    </row>
    <row r="88" spans="2:10">
      <c r="B88" s="1367" t="s">
        <v>1407</v>
      </c>
      <c r="C88" s="957">
        <f>F5A!D86</f>
        <v>0</v>
      </c>
      <c r="D88" s="969">
        <f t="shared" si="4"/>
        <v>0</v>
      </c>
      <c r="E88" s="986">
        <f>F5A!H86</f>
        <v>0</v>
      </c>
      <c r="F88" s="969">
        <f t="shared" ca="1" si="5"/>
        <v>0</v>
      </c>
      <c r="G88" s="986">
        <f>F5A!J86</f>
        <v>0</v>
      </c>
      <c r="H88" s="969">
        <f t="shared" ca="1" si="6"/>
        <v>0</v>
      </c>
      <c r="I88" s="986">
        <f>F5A!L86</f>
        <v>0</v>
      </c>
      <c r="J88" s="969">
        <f t="shared" ca="1" si="7"/>
        <v>0</v>
      </c>
    </row>
    <row r="89" spans="2:10">
      <c r="B89" s="1377" t="s">
        <v>1146</v>
      </c>
      <c r="C89" s="957">
        <f>F5A!D87</f>
        <v>0</v>
      </c>
      <c r="D89" s="969">
        <f t="shared" si="4"/>
        <v>0</v>
      </c>
      <c r="E89" s="986">
        <f>F5A!H87</f>
        <v>0</v>
      </c>
      <c r="F89" s="969">
        <f t="shared" ca="1" si="5"/>
        <v>0</v>
      </c>
      <c r="G89" s="986">
        <f>F5A!J87</f>
        <v>0</v>
      </c>
      <c r="H89" s="969">
        <f t="shared" ca="1" si="6"/>
        <v>0</v>
      </c>
      <c r="I89" s="986">
        <f>F5A!L87</f>
        <v>0</v>
      </c>
      <c r="J89" s="969">
        <f t="shared" ca="1" si="7"/>
        <v>0</v>
      </c>
    </row>
    <row r="90" spans="2:10">
      <c r="B90" s="1378" t="s">
        <v>1408</v>
      </c>
      <c r="C90" s="957">
        <f>F5A!D88</f>
        <v>0</v>
      </c>
      <c r="D90" s="969">
        <f t="shared" si="4"/>
        <v>0</v>
      </c>
      <c r="E90" s="986">
        <f>F5A!H88</f>
        <v>0</v>
      </c>
      <c r="F90" s="969">
        <f t="shared" ca="1" si="5"/>
        <v>0</v>
      </c>
      <c r="G90" s="986">
        <f>F5A!J88</f>
        <v>0</v>
      </c>
      <c r="H90" s="969">
        <f t="shared" ca="1" si="6"/>
        <v>0</v>
      </c>
      <c r="I90" s="986">
        <f>F5A!L88</f>
        <v>0</v>
      </c>
      <c r="J90" s="969">
        <f t="shared" ca="1" si="7"/>
        <v>0</v>
      </c>
    </row>
    <row r="91" spans="2:10">
      <c r="B91" s="1378" t="s">
        <v>1409</v>
      </c>
      <c r="C91" s="957">
        <f>F5A!D89</f>
        <v>0</v>
      </c>
      <c r="D91" s="969">
        <f t="shared" si="4"/>
        <v>0</v>
      </c>
      <c r="E91" s="986">
        <f>F5A!H89</f>
        <v>0</v>
      </c>
      <c r="F91" s="969">
        <f t="shared" ca="1" si="5"/>
        <v>0</v>
      </c>
      <c r="G91" s="986">
        <f>F5A!J89</f>
        <v>0</v>
      </c>
      <c r="H91" s="969">
        <f t="shared" ca="1" si="6"/>
        <v>0</v>
      </c>
      <c r="I91" s="986">
        <f>F5A!L89</f>
        <v>0</v>
      </c>
      <c r="J91" s="969">
        <f t="shared" ca="1" si="7"/>
        <v>0</v>
      </c>
    </row>
    <row r="92" spans="2:10">
      <c r="B92" s="1377" t="s">
        <v>1410</v>
      </c>
      <c r="C92" s="957">
        <f>F5A!D90</f>
        <v>0</v>
      </c>
      <c r="D92" s="969">
        <f t="shared" si="4"/>
        <v>0</v>
      </c>
      <c r="E92" s="986">
        <f>F5A!H90</f>
        <v>0</v>
      </c>
      <c r="F92" s="969">
        <f t="shared" ca="1" si="5"/>
        <v>0</v>
      </c>
      <c r="G92" s="986">
        <f>F5A!J90</f>
        <v>6.6915766369166872E-7</v>
      </c>
      <c r="H92" s="969">
        <f t="shared" ca="1" si="6"/>
        <v>2.1790909851229627E-4</v>
      </c>
      <c r="I92" s="986">
        <f>F5A!L90</f>
        <v>7.0003963377218198E-7</v>
      </c>
      <c r="J92" s="969">
        <f t="shared" ca="1" si="7"/>
        <v>7.6123176576045398E-3</v>
      </c>
    </row>
    <row r="93" spans="2:10">
      <c r="B93" s="1378" t="s">
        <v>469</v>
      </c>
      <c r="C93" s="957">
        <f>F5A!D91</f>
        <v>0</v>
      </c>
      <c r="D93" s="969">
        <f t="shared" si="4"/>
        <v>0</v>
      </c>
      <c r="E93" s="986">
        <f>F5A!H91</f>
        <v>0</v>
      </c>
      <c r="F93" s="969">
        <f t="shared" ca="1" si="5"/>
        <v>0</v>
      </c>
      <c r="G93" s="986">
        <f>F5A!J91</f>
        <v>6.6915766369166872E-7</v>
      </c>
      <c r="H93" s="969">
        <f t="shared" ca="1" si="6"/>
        <v>2.1790909851229627E-4</v>
      </c>
      <c r="I93" s="986">
        <f>F5A!L91</f>
        <v>7.0003963377218198E-7</v>
      </c>
      <c r="J93" s="969">
        <f t="shared" ca="1" si="7"/>
        <v>7.6123176576045398E-3</v>
      </c>
    </row>
    <row r="94" spans="2:10">
      <c r="B94" s="1378" t="s">
        <v>470</v>
      </c>
      <c r="C94" s="957">
        <f>F5A!D92</f>
        <v>0</v>
      </c>
      <c r="D94" s="969">
        <f t="shared" si="4"/>
        <v>0</v>
      </c>
      <c r="E94" s="986">
        <f>F5A!H92</f>
        <v>0</v>
      </c>
      <c r="F94" s="969">
        <f t="shared" ca="1" si="5"/>
        <v>0</v>
      </c>
      <c r="G94" s="986">
        <f>F5A!J92</f>
        <v>0</v>
      </c>
      <c r="H94" s="969">
        <f t="shared" ca="1" si="6"/>
        <v>0</v>
      </c>
      <c r="I94" s="986">
        <f>F5A!L92</f>
        <v>0</v>
      </c>
      <c r="J94" s="969">
        <f t="shared" ca="1" si="7"/>
        <v>0</v>
      </c>
    </row>
    <row r="95" spans="2:10">
      <c r="B95" s="1369" t="s">
        <v>1425</v>
      </c>
      <c r="C95" s="957">
        <f>F5A!D93</f>
        <v>0</v>
      </c>
      <c r="D95" s="969">
        <f t="shared" si="4"/>
        <v>0</v>
      </c>
      <c r="E95" s="986">
        <f>F5A!H93</f>
        <v>0</v>
      </c>
      <c r="F95" s="969">
        <f t="shared" ca="1" si="5"/>
        <v>0</v>
      </c>
      <c r="G95" s="986">
        <f>F5A!J93</f>
        <v>6.6915766369166872E-7</v>
      </c>
      <c r="H95" s="969">
        <f t="shared" ca="1" si="6"/>
        <v>2.1790909851229627E-4</v>
      </c>
      <c r="I95" s="986">
        <f>F5A!L93</f>
        <v>7.0003963377218198E-7</v>
      </c>
      <c r="J95" s="969">
        <f t="shared" ca="1" si="7"/>
        <v>7.6123176576045398E-3</v>
      </c>
    </row>
    <row r="96" spans="2:10">
      <c r="B96" s="1369" t="s">
        <v>1446</v>
      </c>
      <c r="C96" s="957"/>
      <c r="D96" s="969"/>
      <c r="E96" s="986"/>
      <c r="F96" s="969"/>
      <c r="G96" s="986"/>
      <c r="H96" s="969"/>
      <c r="I96" s="986"/>
      <c r="J96" s="969"/>
    </row>
    <row r="97" spans="2:10">
      <c r="B97" s="1367" t="s">
        <v>1119</v>
      </c>
      <c r="C97" s="957">
        <f>F5A!D95</f>
        <v>0</v>
      </c>
      <c r="D97" s="969">
        <f t="shared" si="4"/>
        <v>0</v>
      </c>
      <c r="E97" s="986">
        <f>F5A!H95</f>
        <v>0</v>
      </c>
      <c r="F97" s="969">
        <f t="shared" ca="1" si="5"/>
        <v>0</v>
      </c>
      <c r="G97" s="986">
        <f>F5A!J95</f>
        <v>0</v>
      </c>
      <c r="H97" s="969">
        <f t="shared" ca="1" si="6"/>
        <v>0</v>
      </c>
      <c r="I97" s="986">
        <f>F5A!L95</f>
        <v>0</v>
      </c>
      <c r="J97" s="969">
        <f t="shared" ca="1" si="7"/>
        <v>0</v>
      </c>
    </row>
    <row r="98" spans="2:10">
      <c r="B98" s="1367" t="s">
        <v>475</v>
      </c>
      <c r="C98" s="957">
        <f>F5A!D96</f>
        <v>1.1737630423938058E-5</v>
      </c>
      <c r="D98" s="969">
        <f t="shared" si="4"/>
        <v>2.1075714758812653E-3</v>
      </c>
      <c r="E98" s="986">
        <f>F5A!H96</f>
        <v>9.6234482189746895E-6</v>
      </c>
      <c r="F98" s="969">
        <f t="shared" ca="1" si="5"/>
        <v>2.5880323134023454E-3</v>
      </c>
      <c r="G98" s="986">
        <f>F5A!J96</f>
        <v>9.3682072916833614E-6</v>
      </c>
      <c r="H98" s="969">
        <f t="shared" ca="1" si="6"/>
        <v>3.0507273791721477E-3</v>
      </c>
      <c r="I98" s="986">
        <f>F5A!L96</f>
        <v>8.9095953389186784E-6</v>
      </c>
      <c r="J98" s="969">
        <f t="shared" ca="1" si="7"/>
        <v>9.6884042914966856E-2</v>
      </c>
    </row>
    <row r="99" spans="2:10">
      <c r="B99" s="1378" t="s">
        <v>1411</v>
      </c>
      <c r="C99" s="957">
        <f>F5A!D97</f>
        <v>1.1737630423938058E-5</v>
      </c>
      <c r="D99" s="969">
        <f t="shared" si="4"/>
        <v>2.1075714758812653E-3</v>
      </c>
      <c r="E99" s="986">
        <f>F5A!H97</f>
        <v>9.2797536397255944E-6</v>
      </c>
      <c r="F99" s="969">
        <f t="shared" ca="1" si="5"/>
        <v>2.4956025879236906E-3</v>
      </c>
      <c r="G99" s="986">
        <f>F5A!J97</f>
        <v>9.0336284598375269E-6</v>
      </c>
      <c r="H99" s="969">
        <f t="shared" ca="1" si="6"/>
        <v>2.9417728299159997E-3</v>
      </c>
      <c r="I99" s="986">
        <f>F5A!L97</f>
        <v>8.591395505385869E-6</v>
      </c>
      <c r="J99" s="969">
        <f t="shared" ca="1" si="7"/>
        <v>9.3423898525146612E-2</v>
      </c>
    </row>
    <row r="100" spans="2:10">
      <c r="B100" s="1378" t="s">
        <v>1412</v>
      </c>
      <c r="C100" s="957">
        <f>F5A!D98</f>
        <v>0</v>
      </c>
      <c r="D100" s="969">
        <f t="shared" si="4"/>
        <v>0</v>
      </c>
      <c r="E100" s="986">
        <f>F5A!H98</f>
        <v>3.436945792490961E-7</v>
      </c>
      <c r="F100" s="969">
        <f t="shared" ca="1" si="5"/>
        <v>9.242972547865521E-5</v>
      </c>
      <c r="G100" s="986">
        <f>F5A!J98</f>
        <v>3.3457883184583436E-7</v>
      </c>
      <c r="H100" s="969">
        <f t="shared" ca="1" si="6"/>
        <v>1.0895454925614813E-4</v>
      </c>
      <c r="I100" s="986">
        <f>F5A!L98</f>
        <v>3.1819983353280994E-7</v>
      </c>
      <c r="J100" s="969">
        <f t="shared" ca="1" si="7"/>
        <v>3.4601443898202447E-3</v>
      </c>
    </row>
    <row r="101" spans="2:10">
      <c r="B101" s="1367" t="s">
        <v>1403</v>
      </c>
      <c r="C101" s="957">
        <f>F5A!D99</f>
        <v>8.9229945569733199E-5</v>
      </c>
      <c r="D101" s="969">
        <f t="shared" si="4"/>
        <v>1.6021844382974923E-2</v>
      </c>
      <c r="E101" s="986">
        <f>F5A!H99</f>
        <v>9.2797536397255944E-5</v>
      </c>
      <c r="F101" s="969">
        <f t="shared" ca="1" si="5"/>
        <v>2.4956025879236905E-2</v>
      </c>
      <c r="G101" s="986">
        <f>F5A!J99</f>
        <v>9.2143010290342785E-5</v>
      </c>
      <c r="H101" s="969">
        <f t="shared" ca="1" si="6"/>
        <v>3.0006082865143197E-2</v>
      </c>
      <c r="I101" s="986">
        <f>F5A!L99</f>
        <v>9.201384586268266E-5</v>
      </c>
      <c r="J101" s="969">
        <f t="shared" ca="1" si="7"/>
        <v>1.0005699532043202</v>
      </c>
    </row>
    <row r="102" spans="2:10">
      <c r="B102" s="1378" t="s">
        <v>1413</v>
      </c>
      <c r="C102" s="957">
        <f>F5A!D100</f>
        <v>8.5157706443060813E-5</v>
      </c>
      <c r="D102" s="969">
        <f t="shared" si="4"/>
        <v>1.5290646115832444E-2</v>
      </c>
      <c r="E102" s="986">
        <f>F5A!H100</f>
        <v>8.8444071726767398E-5</v>
      </c>
      <c r="F102" s="969">
        <f t="shared" ca="1" si="5"/>
        <v>2.3785249356507273E-2</v>
      </c>
      <c r="G102" s="986">
        <f>F5A!J100</f>
        <v>8.7820251782894606E-5</v>
      </c>
      <c r="H102" s="969">
        <f t="shared" ca="1" si="6"/>
        <v>2.8598390088753766E-2</v>
      </c>
      <c r="I102" s="986">
        <f>F5A!L100</f>
        <v>8.7697146920976562E-5</v>
      </c>
      <c r="J102" s="969">
        <f t="shared" ca="1" si="7"/>
        <v>0.95362963441201887</v>
      </c>
    </row>
    <row r="103" spans="2:10">
      <c r="B103" s="1378" t="s">
        <v>1414</v>
      </c>
      <c r="C103" s="957">
        <f>F5A!D101</f>
        <v>4.0722391266723879E-6</v>
      </c>
      <c r="D103" s="969">
        <f t="shared" si="4"/>
        <v>7.3119826714247986E-4</v>
      </c>
      <c r="E103" s="986">
        <f>F5A!H101</f>
        <v>4.3534646704885507E-6</v>
      </c>
      <c r="F103" s="969">
        <f t="shared" ca="1" si="5"/>
        <v>1.1707765227296327E-3</v>
      </c>
      <c r="G103" s="986">
        <f>F5A!J101</f>
        <v>4.3227585074481794E-6</v>
      </c>
      <c r="H103" s="969">
        <f t="shared" ca="1" si="6"/>
        <v>1.4076927763894337E-3</v>
      </c>
      <c r="I103" s="986">
        <f>F5A!L101</f>
        <v>4.3166989417060993E-6</v>
      </c>
      <c r="J103" s="969">
        <f t="shared" ca="1" si="7"/>
        <v>4.6940318792301435E-2</v>
      </c>
    </row>
    <row r="104" spans="2:10">
      <c r="B104" s="1369" t="s">
        <v>1425</v>
      </c>
      <c r="C104" s="957">
        <f>F5A!D102</f>
        <v>1.0096757599367127E-4</v>
      </c>
      <c r="D104" s="969">
        <f t="shared" si="4"/>
        <v>1.812941585885619E-2</v>
      </c>
      <c r="E104" s="986">
        <f>F5A!H102</f>
        <v>1.0242098461623063E-4</v>
      </c>
      <c r="F104" s="969">
        <f t="shared" ca="1" si="5"/>
        <v>2.7544058192639248E-2</v>
      </c>
      <c r="G104" s="986">
        <f>F5A!J102</f>
        <v>1.0151121758202615E-4</v>
      </c>
      <c r="H104" s="969">
        <f t="shared" ca="1" si="6"/>
        <v>3.3056810244315345E-2</v>
      </c>
      <c r="I104" s="986">
        <f>F5A!L102</f>
        <v>1.0092344120160135E-4</v>
      </c>
      <c r="J104" s="969">
        <f t="shared" ca="1" si="7"/>
        <v>1.0974539961192873</v>
      </c>
    </row>
    <row r="105" spans="2:10">
      <c r="B105" s="1369" t="s">
        <v>1446</v>
      </c>
      <c r="C105" s="957"/>
      <c r="D105" s="969"/>
      <c r="E105" s="986"/>
      <c r="F105" s="969"/>
      <c r="G105" s="986"/>
      <c r="H105" s="969"/>
      <c r="I105" s="986"/>
      <c r="J105" s="969"/>
    </row>
    <row r="106" spans="2:10">
      <c r="B106" s="1367" t="s">
        <v>1125</v>
      </c>
      <c r="C106" s="957">
        <f>F5A!D104</f>
        <v>0</v>
      </c>
      <c r="D106" s="969">
        <f t="shared" si="4"/>
        <v>0</v>
      </c>
      <c r="E106" s="986">
        <f>F5A!H104</f>
        <v>0</v>
      </c>
      <c r="F106" s="969">
        <f t="shared" ca="1" si="5"/>
        <v>0</v>
      </c>
      <c r="G106" s="986">
        <f>F5A!J104</f>
        <v>0</v>
      </c>
      <c r="H106" s="969">
        <f t="shared" ca="1" si="6"/>
        <v>0</v>
      </c>
      <c r="I106" s="986">
        <f>F5A!L104</f>
        <v>0</v>
      </c>
      <c r="J106" s="969">
        <f t="shared" ca="1" si="7"/>
        <v>0</v>
      </c>
    </row>
    <row r="107" spans="2:10">
      <c r="B107" s="1378" t="s">
        <v>1126</v>
      </c>
      <c r="C107" s="957">
        <f>F5A!D105</f>
        <v>1.3019188031449663E-4</v>
      </c>
      <c r="D107" s="969">
        <f t="shared" si="4"/>
        <v>2.3376838717172811E-2</v>
      </c>
      <c r="E107" s="986">
        <f>F5A!H105</f>
        <v>1.2590678086491885E-4</v>
      </c>
      <c r="F107" s="969">
        <f t="shared" ca="1" si="5"/>
        <v>3.3860089433680685E-2</v>
      </c>
      <c r="G107" s="986">
        <f>F5A!J105</f>
        <v>1.2624440009484305E-4</v>
      </c>
      <c r="H107" s="969">
        <f t="shared" ca="1" si="6"/>
        <v>4.1111093707160672E-2</v>
      </c>
      <c r="I107" s="986">
        <f>F5A!L105</f>
        <v>1.2366614851035297E-4</v>
      </c>
      <c r="J107" s="969">
        <f t="shared" ca="1" si="7"/>
        <v>1.3447610114310558</v>
      </c>
    </row>
    <row r="108" spans="2:10">
      <c r="B108" s="1378" t="s">
        <v>1127</v>
      </c>
      <c r="C108" s="957">
        <f>F5A!D106</f>
        <v>3.952467387652612E-6</v>
      </c>
      <c r="D108" s="969">
        <f t="shared" si="4"/>
        <v>7.0969243575593637E-4</v>
      </c>
      <c r="E108" s="986">
        <f>F5A!H106</f>
        <v>4.2388998107388517E-6</v>
      </c>
      <c r="F108" s="969">
        <f t="shared" ca="1" si="5"/>
        <v>1.1399666142367475E-3</v>
      </c>
      <c r="G108" s="986">
        <f>F5A!J106</f>
        <v>4.250266427214916E-6</v>
      </c>
      <c r="H108" s="969">
        <f t="shared" ca="1" si="6"/>
        <v>1.3840859573839353E-3</v>
      </c>
      <c r="I108" s="986">
        <f>F5A!L106</f>
        <v>4.2443084795773861E-6</v>
      </c>
      <c r="J108" s="969">
        <f t="shared" ca="1" si="7"/>
        <v>4.6153135943617342E-2</v>
      </c>
    </row>
    <row r="109" spans="2:10">
      <c r="B109" s="1378" t="s">
        <v>1128</v>
      </c>
      <c r="C109" s="957">
        <f>F5A!D107</f>
        <v>4.7908695607910441E-7</v>
      </c>
      <c r="D109" s="969">
        <f t="shared" si="4"/>
        <v>8.6023325546174083E-5</v>
      </c>
      <c r="E109" s="986">
        <f>F5A!H107</f>
        <v>6.873891584981922E-7</v>
      </c>
      <c r="F109" s="969">
        <f t="shared" ca="1" si="5"/>
        <v>1.8485945095731042E-4</v>
      </c>
      <c r="G109" s="986">
        <f>F5A!J107</f>
        <v>6.8923239360241871E-7</v>
      </c>
      <c r="H109" s="969">
        <f t="shared" ca="1" si="6"/>
        <v>2.2444637146766514E-4</v>
      </c>
      <c r="I109" s="986">
        <f>F5A!L107</f>
        <v>7.0137607307301974E-7</v>
      </c>
      <c r="J109" s="969">
        <f t="shared" ca="1" si="7"/>
        <v>7.6268502640417842E-3</v>
      </c>
    </row>
    <row r="110" spans="2:10">
      <c r="B110" s="1378" t="s">
        <v>1129</v>
      </c>
      <c r="C110" s="957">
        <f>F5A!D108</f>
        <v>0</v>
      </c>
      <c r="D110" s="969">
        <f t="shared" si="4"/>
        <v>0</v>
      </c>
      <c r="E110" s="986">
        <f>F5A!H108</f>
        <v>2.2912971949939739E-7</v>
      </c>
      <c r="F110" s="969">
        <f t="shared" ca="1" si="5"/>
        <v>6.161981698577014E-5</v>
      </c>
      <c r="G110" s="986">
        <f>F5A!J108</f>
        <v>2.2974413120080625E-7</v>
      </c>
      <c r="H110" s="969">
        <f t="shared" ca="1" si="6"/>
        <v>7.4815457155888389E-5</v>
      </c>
      <c r="I110" s="986">
        <f>F5A!L108</f>
        <v>2.2723710778689737E-7</v>
      </c>
      <c r="J110" s="969">
        <f t="shared" ca="1" si="7"/>
        <v>2.4710044469169645E-3</v>
      </c>
    </row>
    <row r="111" spans="2:10">
      <c r="B111" s="1377" t="s">
        <v>1130</v>
      </c>
      <c r="C111" s="957">
        <f>F5A!D109</f>
        <v>2.8745217364746267E-6</v>
      </c>
      <c r="D111" s="969">
        <f t="shared" si="4"/>
        <v>5.1613995327704453E-4</v>
      </c>
      <c r="E111" s="986">
        <f>F5A!H109</f>
        <v>2.8641214937424672E-5</v>
      </c>
      <c r="F111" s="969">
        <f t="shared" ca="1" si="5"/>
        <v>7.7024771232212666E-3</v>
      </c>
      <c r="G111" s="986">
        <f>F5A!J109</f>
        <v>2.8718016400100782E-5</v>
      </c>
      <c r="H111" s="969">
        <f t="shared" ca="1" si="6"/>
        <v>9.3519321444860484E-3</v>
      </c>
      <c r="I111" s="986">
        <f>F5A!L109</f>
        <v>2.8677759997144495E-5</v>
      </c>
      <c r="J111" s="969">
        <f t="shared" ca="1" si="7"/>
        <v>0.31184551313254955</v>
      </c>
    </row>
    <row r="112" spans="2:10">
      <c r="B112" s="1369" t="s">
        <v>1425</v>
      </c>
      <c r="C112" s="957">
        <f>F5A!D110</f>
        <v>1.3749795639470298E-4</v>
      </c>
      <c r="D112" s="969">
        <f t="shared" si="4"/>
        <v>2.4688694431751965E-2</v>
      </c>
      <c r="E112" s="986">
        <f>F5A!H110</f>
        <v>1.5970341449107997E-4</v>
      </c>
      <c r="F112" s="969">
        <f t="shared" ca="1" si="5"/>
        <v>4.294901243908178E-2</v>
      </c>
      <c r="G112" s="986">
        <f>F5A!J110</f>
        <v>1.6013165944696195E-4</v>
      </c>
      <c r="H112" s="969">
        <f t="shared" ca="1" si="6"/>
        <v>5.2146373637654203E-2</v>
      </c>
      <c r="I112" s="986">
        <f>F5A!L110</f>
        <v>1.5751683016793476E-4</v>
      </c>
      <c r="J112" s="969">
        <f t="shared" ca="1" si="7"/>
        <v>1.7128575152181813</v>
      </c>
    </row>
    <row r="113" spans="2:10">
      <c r="B113" s="1369" t="s">
        <v>1446</v>
      </c>
      <c r="C113" s="957">
        <f>F5A!D111</f>
        <v>0</v>
      </c>
      <c r="D113" s="969">
        <f t="shared" si="4"/>
        <v>0</v>
      </c>
      <c r="E113" s="986">
        <f>F5A!H111</f>
        <v>0</v>
      </c>
      <c r="F113" s="969">
        <f t="shared" ca="1" si="5"/>
        <v>0</v>
      </c>
      <c r="G113" s="986">
        <f>F5A!J111</f>
        <v>0</v>
      </c>
      <c r="H113" s="969">
        <f t="shared" ca="1" si="6"/>
        <v>0</v>
      </c>
      <c r="I113" s="986">
        <f>F5A!L111</f>
        <v>0</v>
      </c>
      <c r="J113" s="969">
        <f t="shared" ca="1" si="7"/>
        <v>0</v>
      </c>
    </row>
    <row r="114" spans="2:10">
      <c r="B114" s="1367" t="s">
        <v>1133</v>
      </c>
      <c r="C114" s="957"/>
      <c r="D114" s="969"/>
      <c r="E114" s="986"/>
      <c r="F114" s="969"/>
      <c r="G114" s="986"/>
      <c r="H114" s="969"/>
      <c r="I114" s="986"/>
      <c r="J114" s="969"/>
    </row>
    <row r="115" spans="2:10">
      <c r="B115" s="1378" t="s">
        <v>1415</v>
      </c>
      <c r="C115" s="957">
        <f>F5A!D113</f>
        <v>0</v>
      </c>
      <c r="D115" s="969">
        <f t="shared" si="4"/>
        <v>0</v>
      </c>
      <c r="E115" s="986">
        <f>F5A!H113</f>
        <v>1.145648597496987E-7</v>
      </c>
      <c r="F115" s="969">
        <f t="shared" ca="1" si="5"/>
        <v>3.080990849288507E-5</v>
      </c>
      <c r="G115" s="986">
        <f>F5A!J113</f>
        <v>1.1152627728194479E-7</v>
      </c>
      <c r="H115" s="969">
        <f t="shared" ca="1" si="6"/>
        <v>3.6318183085382718E-5</v>
      </c>
    </row>
    <row r="116" spans="2:10">
      <c r="B116" s="1378" t="s">
        <v>1134</v>
      </c>
      <c r="C116" s="957">
        <f>F5A!D114</f>
        <v>0</v>
      </c>
      <c r="D116" s="969">
        <f t="shared" si="4"/>
        <v>0</v>
      </c>
      <c r="E116" s="986">
        <f>F5A!H114</f>
        <v>0</v>
      </c>
      <c r="F116" s="969">
        <f t="shared" ca="1" si="5"/>
        <v>0</v>
      </c>
      <c r="G116" s="986">
        <f>F5A!J114</f>
        <v>0</v>
      </c>
      <c r="H116" s="969">
        <f t="shared" ca="1" si="6"/>
        <v>0</v>
      </c>
      <c r="I116" s="986">
        <f>F5A!L114</f>
        <v>0</v>
      </c>
      <c r="J116" s="969">
        <f t="shared" ref="J116" ca="1" si="8">I116*$J$10</f>
        <v>0</v>
      </c>
    </row>
    <row r="117" spans="2:10">
      <c r="B117" s="1378" t="s">
        <v>1135</v>
      </c>
      <c r="C117" s="957">
        <f>F5A!D115</f>
        <v>0</v>
      </c>
      <c r="D117" s="969">
        <f t="shared" si="4"/>
        <v>0</v>
      </c>
      <c r="E117" s="986">
        <f>F5A!H115</f>
        <v>0</v>
      </c>
      <c r="F117" s="969">
        <f t="shared" ca="1" si="5"/>
        <v>0</v>
      </c>
      <c r="G117" s="986">
        <f>F5A!J115</f>
        <v>0</v>
      </c>
      <c r="H117" s="969">
        <f t="shared" ca="1" si="6"/>
        <v>0</v>
      </c>
    </row>
    <row r="118" spans="2:10">
      <c r="B118" s="1369" t="s">
        <v>1425</v>
      </c>
      <c r="C118" s="957">
        <f>F5A!D116</f>
        <v>0</v>
      </c>
      <c r="D118" s="969">
        <f t="shared" si="4"/>
        <v>0</v>
      </c>
      <c r="E118" s="986">
        <f>F5A!H116</f>
        <v>1.145648597496987E-7</v>
      </c>
      <c r="F118" s="969">
        <f t="shared" ca="1" si="5"/>
        <v>3.080990849288507E-5</v>
      </c>
      <c r="G118" s="986">
        <f>F5A!J116</f>
        <v>1.1152627728194479E-7</v>
      </c>
      <c r="H118" s="969">
        <f t="shared" ca="1" si="6"/>
        <v>3.6318183085382718E-5</v>
      </c>
      <c r="I118" s="986">
        <f>F5A!L116</f>
        <v>1.0606661117760331E-7</v>
      </c>
      <c r="J118" s="969">
        <f t="shared" ref="J118" ca="1" si="9">I118*$J$10</f>
        <v>1.1533814632734148E-3</v>
      </c>
    </row>
    <row r="119" spans="2:10">
      <c r="B119" s="1369" t="s">
        <v>1446</v>
      </c>
      <c r="C119" s="957"/>
      <c r="D119" s="969"/>
      <c r="E119" s="986"/>
      <c r="F119" s="969"/>
      <c r="G119" s="986"/>
      <c r="H119" s="969"/>
    </row>
    <row r="120" spans="2:10">
      <c r="B120" s="1367" t="s">
        <v>1137</v>
      </c>
      <c r="C120" s="957">
        <f>F5A!D118</f>
        <v>0</v>
      </c>
      <c r="D120" s="969">
        <f t="shared" si="4"/>
        <v>0</v>
      </c>
      <c r="E120" s="986">
        <f>F5A!H118</f>
        <v>0</v>
      </c>
      <c r="F120" s="969">
        <f t="shared" ca="1" si="5"/>
        <v>0</v>
      </c>
      <c r="G120" s="986">
        <f>F5A!J118</f>
        <v>0</v>
      </c>
      <c r="H120" s="969">
        <f t="shared" ca="1" si="6"/>
        <v>0</v>
      </c>
      <c r="I120" s="986">
        <f>F5A!L118</f>
        <v>0</v>
      </c>
      <c r="J120" s="969">
        <f t="shared" ref="J120" ca="1" si="10">I120*$J$10</f>
        <v>0</v>
      </c>
    </row>
    <row r="121" spans="2:10">
      <c r="B121" s="1378" t="s">
        <v>1138</v>
      </c>
      <c r="C121" s="957">
        <f>F5A!D119</f>
        <v>3.1140652145141788E-6</v>
      </c>
      <c r="D121" s="969">
        <f t="shared" si="4"/>
        <v>5.5915161605013162E-4</v>
      </c>
      <c r="E121" s="986">
        <f>F5A!H119</f>
        <v>4.5825943899879477E-6</v>
      </c>
      <c r="F121" s="969">
        <f t="shared" ca="1" si="5"/>
        <v>1.2323963397154027E-3</v>
      </c>
      <c r="G121" s="986">
        <f>F5A!J119</f>
        <v>4.505661602190569E-6</v>
      </c>
      <c r="H121" s="969">
        <f t="shared" ca="1" si="6"/>
        <v>1.4672545966494615E-3</v>
      </c>
    </row>
    <row r="122" spans="2:10">
      <c r="B122" s="1378" t="s">
        <v>1139</v>
      </c>
      <c r="C122" s="957">
        <f>F5A!D120</f>
        <v>7.1863043411865667E-7</v>
      </c>
      <c r="D122" s="969">
        <f t="shared" si="4"/>
        <v>1.2903498831926113E-4</v>
      </c>
      <c r="E122" s="986">
        <f>F5A!H120</f>
        <v>1.9476026157448779E-6</v>
      </c>
      <c r="F122" s="969">
        <f t="shared" ca="1" si="5"/>
        <v>5.2376844437904612E-4</v>
      </c>
      <c r="G122" s="986">
        <f>F5A!J120</f>
        <v>1.9149061809309922E-6</v>
      </c>
      <c r="H122" s="969">
        <f t="shared" ca="1" si="6"/>
        <v>6.235832035760212E-4</v>
      </c>
      <c r="I122" s="986">
        <f>F5A!L120</f>
        <v>1.8393753510586437E-6</v>
      </c>
      <c r="J122" s="969">
        <f t="shared" ref="J122" ca="1" si="11">I122*$J$10</f>
        <v>2.0001595321648583E-2</v>
      </c>
    </row>
    <row r="123" spans="2:10">
      <c r="B123" s="1378" t="s">
        <v>1140</v>
      </c>
      <c r="C123" s="957">
        <f>F5A!D121</f>
        <v>0</v>
      </c>
      <c r="D123" s="969">
        <f t="shared" si="4"/>
        <v>0</v>
      </c>
      <c r="E123" s="986">
        <f>F5A!H121</f>
        <v>0</v>
      </c>
      <c r="F123" s="969">
        <f t="shared" ca="1" si="5"/>
        <v>0</v>
      </c>
      <c r="G123" s="986">
        <f>F5A!J121</f>
        <v>0</v>
      </c>
      <c r="H123" s="969">
        <f t="shared" ca="1" si="6"/>
        <v>0</v>
      </c>
    </row>
    <row r="124" spans="2:10">
      <c r="B124" s="1369" t="s">
        <v>1425</v>
      </c>
      <c r="C124" s="957">
        <f>F5A!D122</f>
        <v>3.8326956486328353E-6</v>
      </c>
      <c r="D124" s="969">
        <f t="shared" si="4"/>
        <v>6.8818660436939267E-4</v>
      </c>
      <c r="E124" s="986">
        <f>F5A!H122</f>
        <v>6.5301970057328256E-6</v>
      </c>
      <c r="F124" s="969">
        <f t="shared" ca="1" si="5"/>
        <v>1.7561647840944488E-3</v>
      </c>
      <c r="G124" s="986">
        <f>F5A!J122</f>
        <v>6.4205677831215616E-6</v>
      </c>
      <c r="H124" s="969">
        <f t="shared" ca="1" si="6"/>
        <v>2.090837800225483E-3</v>
      </c>
      <c r="I124" s="986">
        <f>F5A!L122</f>
        <v>6.1673173535495693E-6</v>
      </c>
      <c r="J124" s="969">
        <f t="shared" ref="J124" ca="1" si="12">I124*$J$10</f>
        <v>6.7064172549057E-2</v>
      </c>
    </row>
    <row r="125" spans="2:10">
      <c r="B125" s="1369" t="s">
        <v>1446</v>
      </c>
      <c r="C125" s="957"/>
      <c r="D125" s="969"/>
      <c r="E125" s="986"/>
      <c r="F125" s="969"/>
      <c r="G125" s="986"/>
      <c r="H125" s="969"/>
    </row>
    <row r="126" spans="2:10">
      <c r="B126" s="1367" t="s">
        <v>1143</v>
      </c>
      <c r="C126" s="957">
        <f>F5A!D124</f>
        <v>0</v>
      </c>
      <c r="D126" s="969">
        <f t="shared" si="4"/>
        <v>0</v>
      </c>
      <c r="E126" s="986">
        <f>F5A!H124</f>
        <v>0</v>
      </c>
      <c r="F126" s="969">
        <f t="shared" ca="1" si="5"/>
        <v>0</v>
      </c>
      <c r="G126" s="986">
        <f>F5A!J124</f>
        <v>0</v>
      </c>
      <c r="H126" s="969">
        <f t="shared" ca="1" si="6"/>
        <v>0</v>
      </c>
      <c r="I126" s="986">
        <f>F5A!L124</f>
        <v>0</v>
      </c>
      <c r="J126" s="969">
        <f t="shared" ref="J126" ca="1" si="13">I126*$J$10</f>
        <v>0</v>
      </c>
    </row>
    <row r="127" spans="2:10">
      <c r="B127" s="1367" t="s">
        <v>1434</v>
      </c>
      <c r="C127" s="957">
        <f>F5A!D125</f>
        <v>0</v>
      </c>
      <c r="D127" s="969">
        <f t="shared" si="4"/>
        <v>0</v>
      </c>
      <c r="E127" s="986">
        <f>F5A!H125</f>
        <v>1.145648597496987E-7</v>
      </c>
      <c r="F127" s="969">
        <f t="shared" ca="1" si="5"/>
        <v>3.080990849288507E-5</v>
      </c>
      <c r="G127" s="986">
        <f>F5A!J125</f>
        <v>1.1152627728194479E-7</v>
      </c>
      <c r="H127" s="969">
        <f t="shared" ca="1" si="6"/>
        <v>3.6318183085382718E-5</v>
      </c>
    </row>
    <row r="128" spans="2:10">
      <c r="B128" s="1377" t="s">
        <v>126</v>
      </c>
      <c r="C128" s="957">
        <f>F5A!D126</f>
        <v>1</v>
      </c>
      <c r="D128" s="969">
        <f t="shared" si="4"/>
        <v>179.55680999999998</v>
      </c>
      <c r="E128" s="986">
        <f>F5A!H126</f>
        <v>1</v>
      </c>
      <c r="F128" s="969">
        <f t="shared" ca="1" si="5"/>
        <v>268.92983206367603</v>
      </c>
      <c r="G128" s="986">
        <f>F5A!J126</f>
        <v>1</v>
      </c>
      <c r="H128" s="969">
        <f t="shared" ca="1" si="6"/>
        <v>325.64686969303455</v>
      </c>
      <c r="I128" s="986">
        <f>F5A!L126</f>
        <v>1</v>
      </c>
      <c r="J128" s="969">
        <f t="shared" ref="J128" ca="1" si="14">I128*$J$10</f>
        <v>10874.123821511885</v>
      </c>
    </row>
    <row r="129" spans="2:2">
      <c r="B129" s="1369" t="s">
        <v>1446</v>
      </c>
    </row>
  </sheetData>
  <mergeCells count="17">
    <mergeCell ref="A5:A8"/>
    <mergeCell ref="B5:B8"/>
    <mergeCell ref="E5:F5"/>
    <mergeCell ref="C7:D7"/>
    <mergeCell ref="C6:D6"/>
    <mergeCell ref="I5:J5"/>
    <mergeCell ref="H3:I3"/>
    <mergeCell ref="F3:G3"/>
    <mergeCell ref="F4:G4"/>
    <mergeCell ref="C5:D5"/>
    <mergeCell ref="G5:H5"/>
    <mergeCell ref="G7:H7"/>
    <mergeCell ref="I7:J7"/>
    <mergeCell ref="G6:H6"/>
    <mergeCell ref="I6:J6"/>
    <mergeCell ref="E6:F6"/>
    <mergeCell ref="E7:F7"/>
  </mergeCells>
  <printOptions horizontalCentered="1"/>
  <pageMargins left="0.19685039370078741" right="0.19685039370078741" top="0.19685039370078741" bottom="0.19685039370078741" header="0.19685039370078741" footer="0.19685039370078741"/>
  <pageSetup paperSize="9" scale="58" orientation="portrait" r:id="rId1"/>
  <rowBreaks count="1" manualBreakCount="1">
    <brk id="84" min="1"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7"/>
  <sheetViews>
    <sheetView view="pageBreakPreview" topLeftCell="C1" zoomScaleNormal="85" zoomScaleSheetLayoutView="100" workbookViewId="0">
      <selection activeCell="C105" sqref="C105"/>
    </sheetView>
  </sheetViews>
  <sheetFormatPr defaultColWidth="20.81640625" defaultRowHeight="14.5"/>
  <cols>
    <col min="1" max="1" width="4" style="229" customWidth="1"/>
    <col min="2" max="2" width="50.81640625" style="229" bestFit="1" customWidth="1"/>
    <col min="3" max="3" width="13.26953125" style="229" bestFit="1" customWidth="1"/>
    <col min="4" max="4" width="12" style="229" bestFit="1" customWidth="1"/>
    <col min="5" max="5" width="11" style="229" bestFit="1" customWidth="1"/>
    <col min="6" max="6" width="7.7265625" style="229" bestFit="1" customWidth="1"/>
    <col min="7" max="7" width="12.54296875" style="229" bestFit="1" customWidth="1"/>
    <col min="8" max="8" width="12.1796875" style="229" bestFit="1" customWidth="1"/>
    <col min="9" max="9" width="12.54296875" style="229" bestFit="1" customWidth="1"/>
    <col min="10" max="10" width="12" style="229" bestFit="1" customWidth="1"/>
    <col min="11" max="11" width="12.54296875" style="229" bestFit="1" customWidth="1"/>
    <col min="12" max="12" width="8.1796875" style="229" bestFit="1" customWidth="1"/>
    <col min="13" max="16384" width="20.81640625" style="229"/>
  </cols>
  <sheetData>
    <row r="1" spans="1:13" ht="14.5" customHeight="1">
      <c r="A1" s="1385" t="s">
        <v>528</v>
      </c>
      <c r="B1" s="1385" t="s">
        <v>528</v>
      </c>
    </row>
    <row r="2" spans="1:13">
      <c r="A2" s="1304" t="s">
        <v>1604</v>
      </c>
      <c r="B2" s="1304" t="s">
        <v>1604</v>
      </c>
      <c r="C2" s="715"/>
      <c r="D2" s="715"/>
      <c r="E2" s="715"/>
      <c r="F2" s="715"/>
      <c r="G2" s="715"/>
      <c r="H2" s="715"/>
    </row>
    <row r="3" spans="1:13">
      <c r="A3" s="1301" t="s">
        <v>261</v>
      </c>
      <c r="B3" s="1301" t="s">
        <v>261</v>
      </c>
      <c r="C3" s="304"/>
      <c r="D3" s="304"/>
      <c r="E3" s="304"/>
      <c r="F3" s="304"/>
      <c r="G3" s="221"/>
      <c r="H3" s="3060"/>
      <c r="I3" s="3060"/>
      <c r="J3" s="3060"/>
      <c r="K3" s="3060"/>
      <c r="L3" s="916"/>
      <c r="M3" s="24"/>
    </row>
    <row r="4" spans="1:13">
      <c r="A4" s="225"/>
      <c r="B4" s="225"/>
      <c r="C4" s="225"/>
      <c r="D4" s="225"/>
    </row>
    <row r="5" spans="1:13">
      <c r="A5" s="2990" t="s">
        <v>117</v>
      </c>
      <c r="B5" s="2994" t="s">
        <v>14</v>
      </c>
      <c r="C5" s="3018" t="s">
        <v>574</v>
      </c>
      <c r="D5" s="3019"/>
      <c r="E5" s="3057" t="s">
        <v>568</v>
      </c>
      <c r="F5" s="3058"/>
      <c r="G5" s="3058"/>
      <c r="H5" s="3059"/>
      <c r="I5" s="3057" t="s">
        <v>550</v>
      </c>
      <c r="J5" s="3059"/>
      <c r="K5" s="3057" t="s">
        <v>952</v>
      </c>
      <c r="L5" s="3059"/>
    </row>
    <row r="6" spans="1:13">
      <c r="A6" s="2990"/>
      <c r="B6" s="2994"/>
      <c r="C6" s="3018" t="s">
        <v>551</v>
      </c>
      <c r="D6" s="3022"/>
      <c r="E6" s="3018" t="s">
        <v>545</v>
      </c>
      <c r="F6" s="3019"/>
      <c r="G6" s="3019"/>
      <c r="H6" s="3022"/>
      <c r="I6" s="3018" t="s">
        <v>546</v>
      </c>
      <c r="J6" s="3022"/>
      <c r="K6" s="3018" t="s">
        <v>547</v>
      </c>
      <c r="L6" s="3022"/>
    </row>
    <row r="7" spans="1:13">
      <c r="A7" s="2990"/>
      <c r="B7" s="2994"/>
      <c r="C7" s="3018" t="s">
        <v>554</v>
      </c>
      <c r="D7" s="3022"/>
      <c r="E7" s="3057" t="s">
        <v>543</v>
      </c>
      <c r="F7" s="3059"/>
      <c r="G7" s="3057" t="s">
        <v>544</v>
      </c>
      <c r="H7" s="3059"/>
      <c r="I7" s="3057" t="s">
        <v>552</v>
      </c>
      <c r="J7" s="3059"/>
      <c r="K7" s="3074" t="s">
        <v>283</v>
      </c>
      <c r="L7" s="3074"/>
    </row>
    <row r="8" spans="1:13" ht="29">
      <c r="A8" s="2990"/>
      <c r="B8" s="2994"/>
      <c r="C8" s="1305" t="s">
        <v>782</v>
      </c>
      <c r="D8" s="1305" t="s">
        <v>260</v>
      </c>
      <c r="E8" s="1305" t="s">
        <v>782</v>
      </c>
      <c r="F8" s="1305" t="s">
        <v>260</v>
      </c>
      <c r="G8" s="1305" t="s">
        <v>782</v>
      </c>
      <c r="H8" s="1305" t="s">
        <v>260</v>
      </c>
      <c r="I8" s="1305" t="s">
        <v>782</v>
      </c>
      <c r="J8" s="1305" t="s">
        <v>260</v>
      </c>
      <c r="K8" s="1305" t="s">
        <v>782</v>
      </c>
      <c r="L8" s="1305" t="s">
        <v>260</v>
      </c>
    </row>
    <row r="9" spans="1:13">
      <c r="A9" s="51"/>
      <c r="B9" s="52"/>
      <c r="C9" s="960"/>
      <c r="D9" s="960"/>
      <c r="E9" s="960"/>
      <c r="F9" s="960"/>
      <c r="G9" s="960"/>
      <c r="H9" s="960"/>
      <c r="I9" s="295"/>
      <c r="J9" s="295"/>
      <c r="K9" s="295"/>
      <c r="L9" s="295"/>
    </row>
    <row r="10" spans="1:13">
      <c r="A10" s="153"/>
      <c r="B10" s="1367" t="s">
        <v>1043</v>
      </c>
      <c r="C10" s="963"/>
      <c r="D10" s="964"/>
      <c r="E10" s="963"/>
      <c r="F10" s="964"/>
      <c r="G10" s="963"/>
      <c r="H10" s="964"/>
      <c r="I10" s="295"/>
      <c r="J10" s="295"/>
      <c r="K10" s="295"/>
      <c r="L10" s="295"/>
    </row>
    <row r="11" spans="1:13">
      <c r="A11" s="153"/>
      <c r="B11" s="1369" t="s">
        <v>1395</v>
      </c>
      <c r="C11" s="963"/>
      <c r="D11" s="964"/>
      <c r="E11" s="963"/>
      <c r="F11" s="964"/>
      <c r="G11" s="963"/>
      <c r="H11" s="964"/>
      <c r="I11" s="295"/>
      <c r="J11" s="295"/>
      <c r="K11" s="295"/>
      <c r="L11" s="295"/>
    </row>
    <row r="12" spans="1:13">
      <c r="A12" s="153"/>
      <c r="B12" s="1372" t="s">
        <v>1396</v>
      </c>
      <c r="C12" s="962">
        <f>'F9'!C12</f>
        <v>296744</v>
      </c>
      <c r="D12" s="964">
        <f>C12/$C$126</f>
        <v>3.5541544923684443E-2</v>
      </c>
      <c r="E12" s="1386"/>
      <c r="F12" s="1386">
        <v>0</v>
      </c>
      <c r="G12" s="1471">
        <f>'F9'!L12</f>
        <v>573843</v>
      </c>
      <c r="H12" s="964">
        <f>G12/$G$126</f>
        <v>6.5742242813346341E-2</v>
      </c>
      <c r="I12" s="1471">
        <f>'F9'!Q12</f>
        <v>4735392.1449999996</v>
      </c>
      <c r="J12" s="964">
        <f>I12/$I$126</f>
        <v>0.52812065740201319</v>
      </c>
      <c r="K12" s="1247">
        <f>'F9'!V12</f>
        <v>4972161.7522499999</v>
      </c>
      <c r="L12" s="964">
        <f>K12/$K$126</f>
        <v>0.5273803472880515</v>
      </c>
    </row>
    <row r="13" spans="1:13">
      <c r="A13" s="53"/>
      <c r="B13" s="1369" t="s">
        <v>1044</v>
      </c>
      <c r="C13" s="962">
        <f>'F9'!C13</f>
        <v>1240956</v>
      </c>
      <c r="D13" s="964">
        <f t="shared" ref="D13:D76" si="0">C13/$C$126</f>
        <v>0.14863145816702528</v>
      </c>
      <c r="E13" s="965"/>
      <c r="F13" s="963"/>
      <c r="G13" s="1471">
        <f>'F9'!L13</f>
        <v>873338</v>
      </c>
      <c r="H13" s="964">
        <f t="shared" ref="H13:H76" si="1">G13/$G$126</f>
        <v>0.10005384548408236</v>
      </c>
      <c r="I13" s="1471">
        <f>'F9'!Q13</f>
        <v>393002.10000000003</v>
      </c>
      <c r="J13" s="964">
        <f t="shared" ref="J13:J76" si="2">I13/$I$126</f>
        <v>4.3830061176986596E-2</v>
      </c>
      <c r="K13" s="1247">
        <f>'F9'!V13</f>
        <v>196501.05000000002</v>
      </c>
      <c r="L13" s="964">
        <f t="shared" ref="L13:L76" si="3">K13/$K$126</f>
        <v>2.0842200466340791E-2</v>
      </c>
    </row>
    <row r="14" spans="1:13">
      <c r="A14" s="53"/>
      <c r="B14" s="1369" t="s">
        <v>1045</v>
      </c>
      <c r="C14" s="962">
        <f>'F9'!C14</f>
        <v>4668427</v>
      </c>
      <c r="D14" s="964">
        <f t="shared" si="0"/>
        <v>0.55914562027687631</v>
      </c>
      <c r="E14" s="966"/>
      <c r="F14" s="963"/>
      <c r="G14" s="1471">
        <f>'F9'!L14</f>
        <v>4444235</v>
      </c>
      <c r="H14" s="964">
        <f t="shared" si="1"/>
        <v>0.50915315946970219</v>
      </c>
      <c r="I14" s="1471">
        <f>'F9'!Q14</f>
        <v>929906.85000000056</v>
      </c>
      <c r="J14" s="964">
        <f t="shared" si="2"/>
        <v>0.1037090491994799</v>
      </c>
      <c r="K14" s="1247">
        <f>'F9'!V14</f>
        <v>1219398.5850000007</v>
      </c>
      <c r="L14" s="964">
        <f t="shared" si="3"/>
        <v>0.12933747558571473</v>
      </c>
    </row>
    <row r="15" spans="1:13">
      <c r="A15" s="53"/>
      <c r="B15" s="1369" t="s">
        <v>1046</v>
      </c>
      <c r="C15" s="962">
        <f>'F9'!C15</f>
        <v>253</v>
      </c>
      <c r="D15" s="964">
        <f t="shared" si="0"/>
        <v>3.0302249972003355E-5</v>
      </c>
      <c r="E15" s="966"/>
      <c r="F15" s="963"/>
      <c r="G15" s="1471">
        <f>'F9'!L15</f>
        <v>13</v>
      </c>
      <c r="H15" s="964">
        <f t="shared" si="1"/>
        <v>1.4893431767460829E-6</v>
      </c>
      <c r="I15" s="1471">
        <f>'F9'!Q15</f>
        <v>11.700000000000001</v>
      </c>
      <c r="J15" s="964">
        <f t="shared" si="2"/>
        <v>1.3048574441987542E-6</v>
      </c>
      <c r="K15" s="1247">
        <f>'F9'!V15</f>
        <v>11.115</v>
      </c>
      <c r="L15" s="964">
        <f t="shared" si="3"/>
        <v>1.1789303832390609E-6</v>
      </c>
    </row>
    <row r="16" spans="1:13">
      <c r="A16" s="53"/>
      <c r="B16" s="1369" t="s">
        <v>1047</v>
      </c>
      <c r="C16" s="962">
        <f>'F9'!C16</f>
        <v>1320347</v>
      </c>
      <c r="D16" s="964">
        <f t="shared" si="0"/>
        <v>0.15814025629954434</v>
      </c>
      <c r="E16" s="967"/>
      <c r="F16" s="968"/>
      <c r="G16" s="1471">
        <f>'F9'!L16</f>
        <v>1965345</v>
      </c>
      <c r="H16" s="964">
        <f t="shared" si="1"/>
        <v>0.22515947428477159</v>
      </c>
      <c r="I16" s="1471">
        <f>'F9'!Q16</f>
        <v>2024305.35</v>
      </c>
      <c r="J16" s="964">
        <f t="shared" si="2"/>
        <v>0.2257632397674243</v>
      </c>
      <c r="K16" s="1247">
        <f>'F9'!V16</f>
        <v>2125520.6175000002</v>
      </c>
      <c r="L16" s="964">
        <f t="shared" si="3"/>
        <v>0.22544676888635182</v>
      </c>
    </row>
    <row r="17" spans="1:12">
      <c r="A17" s="53"/>
      <c r="B17" s="1369" t="s">
        <v>1425</v>
      </c>
      <c r="C17" s="962">
        <f>'F9'!C17</f>
        <v>7526727</v>
      </c>
      <c r="D17" s="964">
        <f t="shared" si="0"/>
        <v>0.90148918191710237</v>
      </c>
      <c r="E17" s="971">
        <f t="shared" ref="E17:F17" si="4">SUM(E10:E16)</f>
        <v>0</v>
      </c>
      <c r="F17" s="971">
        <f t="shared" si="4"/>
        <v>0</v>
      </c>
      <c r="G17" s="1471">
        <f>'F9'!L17</f>
        <v>7856774</v>
      </c>
      <c r="H17" s="964">
        <f t="shared" si="1"/>
        <v>0.90011021139507918</v>
      </c>
      <c r="I17" s="1471">
        <f>'F9'!Q17</f>
        <v>8082618.1449999996</v>
      </c>
      <c r="J17" s="964">
        <f t="shared" si="2"/>
        <v>0.90142431240334819</v>
      </c>
      <c r="K17" s="1247">
        <f>'F9'!V17</f>
        <v>8513593.1197500005</v>
      </c>
      <c r="L17" s="964">
        <f t="shared" si="3"/>
        <v>0.90300797115684206</v>
      </c>
    </row>
    <row r="18" spans="1:12">
      <c r="B18" s="1369" t="s">
        <v>1446</v>
      </c>
      <c r="C18" s="962"/>
      <c r="D18" s="964"/>
      <c r="E18" s="1015"/>
      <c r="F18" s="1015"/>
      <c r="G18" s="1471"/>
      <c r="H18" s="964"/>
      <c r="I18" s="1471"/>
      <c r="J18" s="964"/>
      <c r="K18" s="1247"/>
      <c r="L18" s="964"/>
    </row>
    <row r="19" spans="1:12">
      <c r="B19" s="1367" t="s">
        <v>1398</v>
      </c>
      <c r="C19" s="962">
        <f>'F9'!C19</f>
        <v>0</v>
      </c>
      <c r="D19" s="964">
        <f t="shared" si="0"/>
        <v>0</v>
      </c>
      <c r="E19" s="1015">
        <v>0</v>
      </c>
      <c r="F19" s="1015">
        <v>0</v>
      </c>
      <c r="G19" s="1471">
        <f>'F9'!L19</f>
        <v>0</v>
      </c>
      <c r="H19" s="964">
        <f t="shared" si="1"/>
        <v>0</v>
      </c>
      <c r="I19" s="1471">
        <f>'F9'!Q19</f>
        <v>0</v>
      </c>
      <c r="J19" s="964">
        <f t="shared" si="2"/>
        <v>0</v>
      </c>
      <c r="K19" s="1247">
        <f>'F9'!V19</f>
        <v>0</v>
      </c>
      <c r="L19" s="964">
        <f t="shared" si="3"/>
        <v>0</v>
      </c>
    </row>
    <row r="20" spans="1:12">
      <c r="B20" s="1377" t="s">
        <v>1051</v>
      </c>
      <c r="C20" s="962">
        <f>'F9'!C20</f>
        <v>26539</v>
      </c>
      <c r="D20" s="964">
        <f t="shared" si="0"/>
        <v>3.1786221818458382E-3</v>
      </c>
      <c r="E20" s="1015">
        <v>0</v>
      </c>
      <c r="F20" s="1015">
        <v>0</v>
      </c>
      <c r="G20" s="1471">
        <f>'F9'!L20</f>
        <v>11712</v>
      </c>
      <c r="H20" s="964">
        <f t="shared" si="1"/>
        <v>1.341783637388471E-3</v>
      </c>
      <c r="I20" s="1471">
        <f>'F9'!Q20</f>
        <v>0</v>
      </c>
      <c r="J20" s="964">
        <f t="shared" si="2"/>
        <v>0</v>
      </c>
      <c r="K20" s="1247">
        <f>'F9'!V20</f>
        <v>0</v>
      </c>
      <c r="L20" s="964">
        <f t="shared" si="3"/>
        <v>0</v>
      </c>
    </row>
    <row r="21" spans="1:12">
      <c r="B21" s="1377" t="s">
        <v>1052</v>
      </c>
      <c r="C21" s="962">
        <f>'F9'!C21</f>
        <v>61480</v>
      </c>
      <c r="D21" s="964">
        <f t="shared" si="0"/>
        <v>7.3635665149358355E-3</v>
      </c>
      <c r="E21" s="1015">
        <v>0</v>
      </c>
      <c r="F21" s="1015">
        <v>0</v>
      </c>
      <c r="G21" s="1471">
        <f>'F9'!L21</f>
        <v>84621</v>
      </c>
      <c r="H21" s="964">
        <f t="shared" si="1"/>
        <v>9.6945929968792529E-3</v>
      </c>
      <c r="I21" s="1471">
        <f>'F9'!Q21</f>
        <v>98025.42</v>
      </c>
      <c r="J21" s="964">
        <f t="shared" si="2"/>
        <v>1.0932410171599096E-2</v>
      </c>
      <c r="K21" s="1247">
        <f>'F9'!V21</f>
        <v>102926.69100000001</v>
      </c>
      <c r="L21" s="964">
        <f t="shared" si="3"/>
        <v>1.0917085314094323E-2</v>
      </c>
    </row>
    <row r="22" spans="1:12">
      <c r="B22" s="1377" t="s">
        <v>1399</v>
      </c>
      <c r="C22" s="962">
        <f>'F9'!C22</f>
        <v>378</v>
      </c>
      <c r="D22" s="964">
        <f t="shared" si="0"/>
        <v>4.5273717349475372E-5</v>
      </c>
      <c r="E22" s="1015">
        <v>0</v>
      </c>
      <c r="F22" s="1015">
        <v>0</v>
      </c>
      <c r="G22" s="1471">
        <f>'F9'!L22</f>
        <v>7430</v>
      </c>
      <c r="H22" s="964">
        <f t="shared" si="1"/>
        <v>8.5121690794026129E-4</v>
      </c>
      <c r="I22" s="1471">
        <f>'F9'!Q22</f>
        <v>7504.3</v>
      </c>
      <c r="J22" s="964">
        <f t="shared" si="2"/>
        <v>8.3692664260689824E-4</v>
      </c>
      <c r="K22" s="1247">
        <f>'F9'!V22</f>
        <v>7579.3429999999998</v>
      </c>
      <c r="L22" s="964">
        <f t="shared" si="3"/>
        <v>8.0391522696268941E-4</v>
      </c>
    </row>
    <row r="23" spans="1:12">
      <c r="B23" s="1377" t="s">
        <v>1054</v>
      </c>
      <c r="C23" s="962">
        <f>'F9'!C23</f>
        <v>329040</v>
      </c>
      <c r="D23" s="964">
        <f t="shared" si="0"/>
        <v>3.9409693007067134E-2</v>
      </c>
      <c r="E23" s="1015">
        <v>0</v>
      </c>
      <c r="F23" s="1015">
        <v>0</v>
      </c>
      <c r="G23" s="1471">
        <f>'F9'!L23</f>
        <v>345242</v>
      </c>
      <c r="H23" s="964">
        <f t="shared" si="1"/>
        <v>3.9552601309705476E-2</v>
      </c>
      <c r="I23" s="1471">
        <f>'F9'!Q23</f>
        <v>352146.84</v>
      </c>
      <c r="J23" s="964">
        <f t="shared" si="2"/>
        <v>3.9273626121800652E-2</v>
      </c>
      <c r="K23" s="1247">
        <f>'F9'!V23</f>
        <v>369754.18200000003</v>
      </c>
      <c r="L23" s="964">
        <f t="shared" si="3"/>
        <v>3.921857305348677E-2</v>
      </c>
    </row>
    <row r="24" spans="1:12">
      <c r="B24" s="1369" t="s">
        <v>1425</v>
      </c>
      <c r="C24" s="962">
        <f>'F9'!C24</f>
        <v>417437</v>
      </c>
      <c r="D24" s="964">
        <f t="shared" si="0"/>
        <v>4.9997155421198279E-2</v>
      </c>
      <c r="E24" s="1015">
        <v>0</v>
      </c>
      <c r="F24" s="1015">
        <v>0</v>
      </c>
      <c r="G24" s="1471">
        <f>'F9'!L24</f>
        <v>449005</v>
      </c>
      <c r="H24" s="964">
        <f t="shared" si="1"/>
        <v>5.1440194851913465E-2</v>
      </c>
      <c r="I24" s="1471">
        <f>'F9'!Q24</f>
        <v>457676.56000000006</v>
      </c>
      <c r="J24" s="964">
        <f t="shared" si="2"/>
        <v>5.1042962936006644E-2</v>
      </c>
      <c r="K24" s="1247">
        <f>'F9'!V24</f>
        <v>480260.21600000001</v>
      </c>
      <c r="L24" s="964">
        <f t="shared" si="3"/>
        <v>5.0939573594543784E-2</v>
      </c>
    </row>
    <row r="25" spans="1:12">
      <c r="B25" s="1369" t="s">
        <v>1446</v>
      </c>
      <c r="C25" s="962"/>
      <c r="D25" s="964"/>
      <c r="E25" s="1015"/>
      <c r="F25" s="1015"/>
      <c r="G25" s="1471"/>
      <c r="H25" s="964"/>
      <c r="I25" s="1471"/>
      <c r="J25" s="964"/>
      <c r="K25" s="1247"/>
      <c r="L25" s="964"/>
    </row>
    <row r="26" spans="1:12">
      <c r="B26" s="1367" t="s">
        <v>1400</v>
      </c>
      <c r="C26" s="962">
        <f>'F9'!C26</f>
        <v>0</v>
      </c>
      <c r="D26" s="964">
        <f t="shared" si="0"/>
        <v>0</v>
      </c>
      <c r="E26" s="1015">
        <v>0</v>
      </c>
      <c r="F26" s="1015">
        <v>0</v>
      </c>
      <c r="G26" s="1471">
        <f>'F9'!L26</f>
        <v>0</v>
      </c>
      <c r="H26" s="964">
        <f t="shared" si="1"/>
        <v>0</v>
      </c>
      <c r="I26" s="1471">
        <f>'F9'!Q26</f>
        <v>0</v>
      </c>
      <c r="J26" s="964">
        <f t="shared" si="2"/>
        <v>0</v>
      </c>
      <c r="K26" s="1247">
        <f>'F9'!V26</f>
        <v>0</v>
      </c>
      <c r="L26" s="964">
        <f t="shared" si="3"/>
        <v>0</v>
      </c>
    </row>
    <row r="27" spans="1:12">
      <c r="B27" s="1377" t="s">
        <v>1401</v>
      </c>
      <c r="C27" s="962">
        <f>'F9'!C27</f>
        <v>264</v>
      </c>
      <c r="D27" s="964">
        <f t="shared" si="0"/>
        <v>3.1619739101220896E-5</v>
      </c>
      <c r="E27" s="1015">
        <v>0</v>
      </c>
      <c r="F27" s="1015">
        <v>0</v>
      </c>
      <c r="G27" s="1471">
        <f>'F9'!L27</f>
        <v>327</v>
      </c>
      <c r="H27" s="964">
        <f t="shared" si="1"/>
        <v>3.7462709138151474E-5</v>
      </c>
      <c r="I27" s="1471">
        <f>'F9'!Q27</f>
        <v>163.5</v>
      </c>
      <c r="J27" s="964">
        <f t="shared" si="2"/>
        <v>1.8234546335597973E-5</v>
      </c>
      <c r="K27" s="1247">
        <f>'F9'!V27</f>
        <v>81.75</v>
      </c>
      <c r="L27" s="964">
        <f t="shared" si="3"/>
        <v>8.67094546376907E-6</v>
      </c>
    </row>
    <row r="28" spans="1:12">
      <c r="B28" s="1378" t="s">
        <v>1060</v>
      </c>
      <c r="C28" s="962">
        <f>'F9'!C28</f>
        <v>29</v>
      </c>
      <c r="D28" s="964">
        <f t="shared" si="0"/>
        <v>3.4733804315735073E-6</v>
      </c>
      <c r="E28" s="1015">
        <v>0</v>
      </c>
      <c r="F28" s="1015">
        <v>0</v>
      </c>
      <c r="G28" s="1471">
        <f>'F9'!L28</f>
        <v>61</v>
      </c>
      <c r="H28" s="964">
        <f t="shared" si="1"/>
        <v>6.9884564447316205E-6</v>
      </c>
      <c r="I28" s="1471">
        <f>'F9'!Q28</f>
        <v>30.5</v>
      </c>
      <c r="J28" s="964">
        <f t="shared" si="2"/>
        <v>3.401551457099316E-6</v>
      </c>
      <c r="K28" s="1247">
        <f>'F9'!V28</f>
        <v>15.25</v>
      </c>
      <c r="L28" s="964">
        <f t="shared" si="3"/>
        <v>1.6175158204584506E-6</v>
      </c>
    </row>
    <row r="29" spans="1:12">
      <c r="B29" s="1378" t="s">
        <v>1061</v>
      </c>
      <c r="C29" s="962">
        <f>'F9'!C29</f>
        <v>211</v>
      </c>
      <c r="D29" s="964">
        <f t="shared" si="0"/>
        <v>2.5271836933172758E-5</v>
      </c>
      <c r="E29" s="1015">
        <v>0</v>
      </c>
      <c r="F29" s="1015">
        <v>0</v>
      </c>
      <c r="G29" s="1471">
        <f>'F9'!L29</f>
        <v>235</v>
      </c>
      <c r="H29" s="964">
        <f t="shared" si="1"/>
        <v>2.6922742041179192E-5</v>
      </c>
      <c r="I29" s="1471">
        <f>'F9'!Q29</f>
        <v>117.5</v>
      </c>
      <c r="J29" s="964">
        <f t="shared" si="2"/>
        <v>1.3104337580628512E-5</v>
      </c>
      <c r="K29" s="1247">
        <f>'F9'!V29</f>
        <v>58.75</v>
      </c>
      <c r="L29" s="964">
        <f t="shared" si="3"/>
        <v>6.231413406684195E-6</v>
      </c>
    </row>
    <row r="30" spans="1:12">
      <c r="B30" s="1378" t="s">
        <v>1062</v>
      </c>
      <c r="C30" s="962">
        <f>'F9'!C30</f>
        <v>24</v>
      </c>
      <c r="D30" s="964">
        <f t="shared" si="0"/>
        <v>2.8745217364746267E-6</v>
      </c>
      <c r="E30" s="1015">
        <v>0</v>
      </c>
      <c r="F30" s="1015">
        <v>0</v>
      </c>
      <c r="G30" s="1471">
        <f>'F9'!L30</f>
        <v>31</v>
      </c>
      <c r="H30" s="964">
        <f t="shared" si="1"/>
        <v>3.5515106522406593E-6</v>
      </c>
      <c r="I30" s="1471">
        <f>'F9'!Q30</f>
        <v>15.5</v>
      </c>
      <c r="J30" s="964">
        <f t="shared" si="2"/>
        <v>1.7286572978701441E-6</v>
      </c>
      <c r="K30" s="1247">
        <f>'F9'!V30</f>
        <v>7.75</v>
      </c>
      <c r="L30" s="964">
        <f t="shared" si="3"/>
        <v>8.2201623662642571E-7</v>
      </c>
    </row>
    <row r="31" spans="1:12">
      <c r="B31" s="1377" t="s">
        <v>476</v>
      </c>
      <c r="C31" s="962">
        <f>'F9'!C31</f>
        <v>84</v>
      </c>
      <c r="D31" s="964">
        <f t="shared" si="0"/>
        <v>1.0060826077661193E-5</v>
      </c>
      <c r="E31" s="1015">
        <v>0</v>
      </c>
      <c r="F31" s="1015">
        <v>0</v>
      </c>
      <c r="G31" s="1471">
        <f>'F9'!L31</f>
        <v>112</v>
      </c>
      <c r="H31" s="964">
        <f t="shared" si="1"/>
        <v>1.2831264291966253E-5</v>
      </c>
      <c r="I31" s="1471">
        <f>'F9'!Q31</f>
        <v>313.60000000000002</v>
      </c>
      <c r="J31" s="964">
        <f t="shared" si="2"/>
        <v>3.4974640555617887E-5</v>
      </c>
      <c r="K31" s="1247">
        <f>'F9'!V31</f>
        <v>406.6</v>
      </c>
      <c r="L31" s="964">
        <f t="shared" si="3"/>
        <v>4.3126684104813508E-5</v>
      </c>
    </row>
    <row r="32" spans="1:12">
      <c r="B32" s="1378" t="s">
        <v>1063</v>
      </c>
      <c r="C32" s="962">
        <f>'F9'!C32</f>
        <v>2</v>
      </c>
      <c r="D32" s="964">
        <f t="shared" si="0"/>
        <v>2.3954347803955221E-7</v>
      </c>
      <c r="E32" s="1015">
        <v>0</v>
      </c>
      <c r="F32" s="1015">
        <v>0</v>
      </c>
      <c r="G32" s="1471">
        <f>'F9'!L32</f>
        <v>11</v>
      </c>
      <c r="H32" s="964">
        <f t="shared" si="1"/>
        <v>1.2602134572466857E-6</v>
      </c>
      <c r="I32" s="1471">
        <f>'F9'!Q32</f>
        <v>30.799999999999997</v>
      </c>
      <c r="J32" s="964">
        <f t="shared" si="2"/>
        <v>3.4350093402838993E-6</v>
      </c>
      <c r="K32" s="1247">
        <f>'F9'!V32</f>
        <v>61.8</v>
      </c>
      <c r="L32" s="964">
        <f t="shared" si="3"/>
        <v>6.5549165707758842E-6</v>
      </c>
    </row>
    <row r="33" spans="2:12">
      <c r="B33" s="1378" t="s">
        <v>1064</v>
      </c>
      <c r="C33" s="962">
        <f>'F9'!C33</f>
        <v>48</v>
      </c>
      <c r="D33" s="964">
        <f t="shared" si="0"/>
        <v>5.7490434729492534E-6</v>
      </c>
      <c r="E33" s="1015">
        <v>0</v>
      </c>
      <c r="F33" s="1015">
        <v>0</v>
      </c>
      <c r="G33" s="1471">
        <f>'F9'!L33</f>
        <v>60</v>
      </c>
      <c r="H33" s="964">
        <f t="shared" si="1"/>
        <v>6.8738915849819216E-6</v>
      </c>
      <c r="I33" s="1471">
        <f>'F9'!Q33</f>
        <v>168</v>
      </c>
      <c r="J33" s="964">
        <f t="shared" si="2"/>
        <v>1.8736414583366723E-5</v>
      </c>
      <c r="K33" s="1247">
        <f>'F9'!V33</f>
        <v>199</v>
      </c>
      <c r="L33" s="964">
        <f t="shared" si="3"/>
        <v>2.110725562434306E-5</v>
      </c>
    </row>
    <row r="34" spans="2:12">
      <c r="B34" s="1378" t="s">
        <v>1065</v>
      </c>
      <c r="C34" s="962">
        <f>'F9'!C34</f>
        <v>34</v>
      </c>
      <c r="D34" s="964">
        <f t="shared" si="0"/>
        <v>4.0722391266723879E-6</v>
      </c>
      <c r="E34" s="1015">
        <v>0</v>
      </c>
      <c r="F34" s="1015">
        <v>0</v>
      </c>
      <c r="G34" s="1471">
        <f>'F9'!L34</f>
        <v>41</v>
      </c>
      <c r="H34" s="964">
        <f t="shared" si="1"/>
        <v>4.6971592497376467E-6</v>
      </c>
      <c r="I34" s="1471">
        <f>'F9'!Q34</f>
        <v>114.8</v>
      </c>
      <c r="J34" s="964">
        <f t="shared" si="2"/>
        <v>1.2803216631967262E-5</v>
      </c>
      <c r="K34" s="1247">
        <f>'F9'!V34</f>
        <v>145.80000000000001</v>
      </c>
      <c r="L34" s="964">
        <f t="shared" si="3"/>
        <v>1.5464511909694565E-5</v>
      </c>
    </row>
    <row r="35" spans="2:12">
      <c r="B35" s="1369" t="s">
        <v>1425</v>
      </c>
      <c r="C35" s="962">
        <f>'F9'!C35</f>
        <v>348</v>
      </c>
      <c r="D35" s="964">
        <f t="shared" si="0"/>
        <v>4.1680565178882089E-5</v>
      </c>
      <c r="E35" s="1015">
        <v>0</v>
      </c>
      <c r="F35" s="1015">
        <v>0</v>
      </c>
      <c r="G35" s="1471">
        <f>'F9'!L35</f>
        <v>439</v>
      </c>
      <c r="H35" s="964">
        <f t="shared" si="1"/>
        <v>5.0293973430117729E-5</v>
      </c>
      <c r="I35" s="1471">
        <f>'F9'!Q35</f>
        <v>477.1</v>
      </c>
      <c r="J35" s="964">
        <f t="shared" si="2"/>
        <v>5.320918689121586E-5</v>
      </c>
      <c r="K35" s="1247">
        <f>'F9'!V35</f>
        <v>488.35</v>
      </c>
      <c r="L35" s="964">
        <f t="shared" si="3"/>
        <v>5.1797629568582582E-5</v>
      </c>
    </row>
    <row r="36" spans="2:12">
      <c r="B36" s="1369" t="s">
        <v>1446</v>
      </c>
      <c r="C36" s="962"/>
      <c r="D36" s="964"/>
      <c r="E36" s="1015"/>
      <c r="F36" s="1015"/>
      <c r="G36" s="1471"/>
      <c r="H36" s="964"/>
      <c r="I36" s="1471"/>
      <c r="J36" s="964"/>
      <c r="K36" s="1247"/>
      <c r="L36" s="964"/>
    </row>
    <row r="37" spans="2:12">
      <c r="B37" s="1367" t="s">
        <v>1067</v>
      </c>
      <c r="C37" s="962">
        <f>'F9'!C37</f>
        <v>0</v>
      </c>
      <c r="D37" s="964">
        <f t="shared" si="0"/>
        <v>0</v>
      </c>
      <c r="E37" s="1015">
        <v>0</v>
      </c>
      <c r="F37" s="1015">
        <v>0</v>
      </c>
      <c r="G37" s="1471">
        <f>'F9'!L37</f>
        <v>0</v>
      </c>
      <c r="H37" s="964">
        <f t="shared" si="1"/>
        <v>0</v>
      </c>
      <c r="I37" s="1471">
        <f>'F9'!Q37</f>
        <v>0</v>
      </c>
      <c r="J37" s="964">
        <f t="shared" si="2"/>
        <v>0</v>
      </c>
      <c r="K37" s="1247">
        <f>'F9'!V37</f>
        <v>0</v>
      </c>
      <c r="L37" s="964">
        <f t="shared" si="3"/>
        <v>0</v>
      </c>
    </row>
    <row r="38" spans="2:12">
      <c r="B38" s="1377" t="s">
        <v>1068</v>
      </c>
      <c r="C38" s="962">
        <f>'F9'!C38</f>
        <v>19004</v>
      </c>
      <c r="D38" s="964">
        <f t="shared" si="0"/>
        <v>2.2761421283318253E-3</v>
      </c>
      <c r="E38" s="1015">
        <v>0</v>
      </c>
      <c r="F38" s="1015">
        <v>0</v>
      </c>
      <c r="G38" s="1471">
        <f>'F9'!L38</f>
        <v>24610</v>
      </c>
      <c r="H38" s="964">
        <f t="shared" si="1"/>
        <v>2.8194411984400849E-3</v>
      </c>
      <c r="I38" s="1471">
        <f>'F9'!Q38</f>
        <v>24856.1</v>
      </c>
      <c r="J38" s="964">
        <f t="shared" si="2"/>
        <v>2.7721083007477476E-3</v>
      </c>
      <c r="K38" s="1247">
        <f>'F9'!V38</f>
        <v>25850.344000000001</v>
      </c>
      <c r="L38" s="964">
        <f t="shared" si="3"/>
        <v>2.7418583858552907E-3</v>
      </c>
    </row>
    <row r="39" spans="2:12">
      <c r="B39" s="1377" t="s">
        <v>1072</v>
      </c>
      <c r="C39" s="962">
        <f>'F9'!C39</f>
        <v>3034</v>
      </c>
      <c r="D39" s="964">
        <f t="shared" si="0"/>
        <v>3.6338745618600071E-4</v>
      </c>
      <c r="E39" s="1015">
        <v>0</v>
      </c>
      <c r="F39" s="1015">
        <v>0</v>
      </c>
      <c r="G39" s="1471">
        <f>'F9'!L39</f>
        <v>3703</v>
      </c>
      <c r="H39" s="964">
        <f t="shared" si="1"/>
        <v>4.2423367565313429E-4</v>
      </c>
      <c r="I39" s="1471">
        <f>'F9'!Q39</f>
        <v>3740.03</v>
      </c>
      <c r="J39" s="964">
        <f t="shared" si="2"/>
        <v>4.17111622822792E-4</v>
      </c>
      <c r="K39" s="1247">
        <f>'F9'!V39</f>
        <v>3927.0315000000005</v>
      </c>
      <c r="L39" s="964">
        <f t="shared" si="3"/>
        <v>4.1652692319270036E-4</v>
      </c>
    </row>
    <row r="40" spans="2:12">
      <c r="B40" s="1369" t="s">
        <v>1425</v>
      </c>
      <c r="C40" s="962">
        <f>'F9'!C40</f>
        <v>22038</v>
      </c>
      <c r="D40" s="964">
        <f t="shared" si="0"/>
        <v>2.6395295845178259E-3</v>
      </c>
      <c r="E40" s="1015">
        <v>0</v>
      </c>
      <c r="F40" s="1015">
        <v>0</v>
      </c>
      <c r="G40" s="1471">
        <f>'F9'!L40</f>
        <v>28313</v>
      </c>
      <c r="H40" s="964">
        <f t="shared" si="1"/>
        <v>3.243674874093219E-3</v>
      </c>
      <c r="I40" s="1471">
        <f>'F9'!Q40</f>
        <v>28596.129999999997</v>
      </c>
      <c r="J40" s="964">
        <f t="shared" si="2"/>
        <v>3.1892199235705396E-3</v>
      </c>
      <c r="K40" s="1247">
        <f>'F9'!V40</f>
        <v>29777.375500000002</v>
      </c>
      <c r="L40" s="964">
        <f t="shared" si="3"/>
        <v>3.1583853090479913E-3</v>
      </c>
    </row>
    <row r="41" spans="2:12">
      <c r="B41" s="1369" t="s">
        <v>1446</v>
      </c>
      <c r="C41" s="962"/>
      <c r="D41" s="964"/>
      <c r="E41" s="1015"/>
      <c r="F41" s="1015"/>
      <c r="G41" s="1471"/>
      <c r="H41" s="964"/>
      <c r="I41" s="1471"/>
      <c r="J41" s="964"/>
      <c r="K41" s="1247"/>
      <c r="L41" s="964"/>
    </row>
    <row r="42" spans="2:12">
      <c r="B42" s="1367" t="s">
        <v>1076</v>
      </c>
      <c r="C42" s="962">
        <f>'F9'!C42</f>
        <v>0</v>
      </c>
      <c r="D42" s="964">
        <f t="shared" si="0"/>
        <v>0</v>
      </c>
      <c r="E42" s="1015">
        <v>0</v>
      </c>
      <c r="F42" s="1015">
        <v>0</v>
      </c>
      <c r="G42" s="1471">
        <f>'F9'!L42</f>
        <v>0</v>
      </c>
      <c r="H42" s="964">
        <f t="shared" si="1"/>
        <v>0</v>
      </c>
      <c r="I42" s="1471">
        <f>'F9'!Q42</f>
        <v>0</v>
      </c>
      <c r="J42" s="964">
        <f t="shared" si="2"/>
        <v>0</v>
      </c>
      <c r="K42" s="1247">
        <f>'F9'!V42</f>
        <v>0</v>
      </c>
      <c r="L42" s="964">
        <f t="shared" si="3"/>
        <v>0</v>
      </c>
    </row>
    <row r="43" spans="2:12">
      <c r="B43" s="1377" t="s">
        <v>1401</v>
      </c>
      <c r="C43" s="962">
        <f>'F9'!C43</f>
        <v>281151</v>
      </c>
      <c r="D43" s="964">
        <f t="shared" si="0"/>
        <v>3.3673944197149072E-2</v>
      </c>
      <c r="E43" s="1015">
        <v>0</v>
      </c>
      <c r="F43" s="1015">
        <v>0</v>
      </c>
      <c r="G43" s="1471">
        <f>'F9'!L43</f>
        <v>289587</v>
      </c>
      <c r="H43" s="964">
        <f t="shared" si="1"/>
        <v>3.3176494040335999E-2</v>
      </c>
      <c r="I43" s="1471">
        <f>'F9'!Q43</f>
        <v>289587</v>
      </c>
      <c r="J43" s="964">
        <f t="shared" si="2"/>
        <v>3.2296560059246547E-2</v>
      </c>
      <c r="K43" s="1247">
        <f>'F9'!V43</f>
        <v>289587</v>
      </c>
      <c r="L43" s="964">
        <f t="shared" si="3"/>
        <v>3.0715511731088611E-2</v>
      </c>
    </row>
    <row r="44" spans="2:12">
      <c r="B44" s="1378" t="s">
        <v>1077</v>
      </c>
      <c r="C44" s="962">
        <f>'F9'!C44</f>
        <v>281151</v>
      </c>
      <c r="D44" s="964">
        <f t="shared" si="0"/>
        <v>3.3673944197149072E-2</v>
      </c>
      <c r="E44" s="1015">
        <v>0</v>
      </c>
      <c r="F44" s="1015">
        <v>0</v>
      </c>
      <c r="G44" s="1471">
        <f>'F9'!L44</f>
        <v>289587</v>
      </c>
      <c r="H44" s="964">
        <f t="shared" si="1"/>
        <v>3.3176494040335999E-2</v>
      </c>
      <c r="I44" s="1471">
        <f>'F9'!Q44</f>
        <v>289587</v>
      </c>
      <c r="J44" s="964">
        <f t="shared" si="2"/>
        <v>3.2296560059246547E-2</v>
      </c>
      <c r="K44" s="1247">
        <f>'F9'!V44</f>
        <v>289587</v>
      </c>
      <c r="L44" s="964">
        <f t="shared" si="3"/>
        <v>3.0715511731088611E-2</v>
      </c>
    </row>
    <row r="45" spans="2:12">
      <c r="B45" s="1377" t="s">
        <v>476</v>
      </c>
      <c r="C45" s="962">
        <f>'F9'!C45</f>
        <v>24682</v>
      </c>
      <c r="D45" s="964">
        <f t="shared" si="0"/>
        <v>2.9562060624861138E-3</v>
      </c>
      <c r="E45" s="1015">
        <v>0</v>
      </c>
      <c r="F45" s="1015">
        <v>0</v>
      </c>
      <c r="G45" s="1471">
        <f>'F9'!L45</f>
        <v>28821</v>
      </c>
      <c r="H45" s="964">
        <f t="shared" si="1"/>
        <v>3.3018738228460659E-3</v>
      </c>
      <c r="I45" s="1471">
        <f>'F9'!Q45</f>
        <v>30262.050000000003</v>
      </c>
      <c r="J45" s="964">
        <f t="shared" si="2"/>
        <v>3.3750137794200776E-3</v>
      </c>
      <c r="K45" s="1247">
        <f>'F9'!V45</f>
        <v>34801.357499999998</v>
      </c>
      <c r="L45" s="964">
        <f t="shared" si="3"/>
        <v>3.6912620544052688E-3</v>
      </c>
    </row>
    <row r="46" spans="2:12">
      <c r="B46" s="1378" t="s">
        <v>1078</v>
      </c>
      <c r="C46" s="962">
        <f>'F9'!C46</f>
        <v>23003</v>
      </c>
      <c r="D46" s="964">
        <f t="shared" si="0"/>
        <v>2.75510931267191E-3</v>
      </c>
      <c r="E46" s="1015">
        <v>0</v>
      </c>
      <c r="F46" s="1015">
        <v>0</v>
      </c>
      <c r="G46" s="1471">
        <f>'F9'!L46</f>
        <v>18545</v>
      </c>
      <c r="H46" s="964">
        <f t="shared" si="1"/>
        <v>2.1246053240581621E-3</v>
      </c>
      <c r="I46" s="1471">
        <f>'F9'!Q46</f>
        <v>19472.25</v>
      </c>
      <c r="J46" s="964">
        <f t="shared" si="2"/>
        <v>2.1716675528033495E-3</v>
      </c>
      <c r="K46" s="1247">
        <f>'F9'!V46</f>
        <v>22393.087499999998</v>
      </c>
      <c r="L46" s="964">
        <f t="shared" si="3"/>
        <v>2.3751589049285488E-3</v>
      </c>
    </row>
    <row r="47" spans="2:12">
      <c r="B47" s="1378" t="s">
        <v>1079</v>
      </c>
      <c r="C47" s="962">
        <f>'F9'!C47</f>
        <v>1679</v>
      </c>
      <c r="D47" s="964">
        <f t="shared" si="0"/>
        <v>2.0109674981420408E-4</v>
      </c>
      <c r="E47" s="1015">
        <v>0</v>
      </c>
      <c r="F47" s="1015">
        <v>0</v>
      </c>
      <c r="G47" s="1471">
        <f>'F9'!L47</f>
        <v>10276</v>
      </c>
      <c r="H47" s="964">
        <f t="shared" si="1"/>
        <v>1.1772684987879038E-3</v>
      </c>
      <c r="I47" s="1471">
        <f>'F9'!Q47</f>
        <v>10789.800000000001</v>
      </c>
      <c r="J47" s="964">
        <f t="shared" si="2"/>
        <v>1.2033462266167281E-3</v>
      </c>
      <c r="K47" s="1247">
        <f>'F9'!V47</f>
        <v>12408.27</v>
      </c>
      <c r="L47" s="964">
        <f t="shared" si="3"/>
        <v>1.31610314947672E-3</v>
      </c>
    </row>
    <row r="48" spans="2:12">
      <c r="B48" s="1369" t="s">
        <v>1425</v>
      </c>
      <c r="C48" s="962">
        <f>'F9'!C48</f>
        <v>305833</v>
      </c>
      <c r="D48" s="964">
        <f t="shared" si="0"/>
        <v>3.6630150259635189E-2</v>
      </c>
      <c r="E48" s="1015">
        <v>0</v>
      </c>
      <c r="F48" s="1015">
        <v>0</v>
      </c>
      <c r="G48" s="1471">
        <f>'F9'!L48</f>
        <v>318408</v>
      </c>
      <c r="H48" s="964">
        <f t="shared" si="1"/>
        <v>3.6478367863182065E-2</v>
      </c>
      <c r="I48" s="1471">
        <f>'F9'!Q48</f>
        <v>319849.05</v>
      </c>
      <c r="J48" s="964">
        <f t="shared" si="2"/>
        <v>3.567157383866662E-2</v>
      </c>
      <c r="K48" s="1247">
        <f>'F9'!V48</f>
        <v>324388.35749999998</v>
      </c>
      <c r="L48" s="964">
        <f t="shared" si="3"/>
        <v>3.440677378549388E-2</v>
      </c>
    </row>
    <row r="49" spans="2:12">
      <c r="B49" s="1369" t="s">
        <v>1446</v>
      </c>
      <c r="C49" s="962"/>
      <c r="D49" s="964"/>
      <c r="E49" s="1015"/>
      <c r="F49" s="1015"/>
      <c r="G49" s="1471"/>
      <c r="H49" s="964"/>
      <c r="I49" s="1471"/>
      <c r="J49" s="964"/>
      <c r="K49" s="1247"/>
      <c r="L49" s="964"/>
    </row>
    <row r="50" spans="2:12">
      <c r="B50" s="1367" t="s">
        <v>1081</v>
      </c>
      <c r="C50" s="962"/>
      <c r="D50" s="964"/>
      <c r="E50" s="1015"/>
      <c r="F50" s="1015"/>
      <c r="G50" s="1471"/>
      <c r="H50" s="964"/>
      <c r="I50" s="1471"/>
      <c r="J50" s="964"/>
      <c r="K50" s="1247"/>
      <c r="L50" s="964"/>
    </row>
    <row r="51" spans="2:12">
      <c r="B51" s="1377" t="s">
        <v>1012</v>
      </c>
      <c r="C51" s="962">
        <f>'F9'!C51</f>
        <v>15628</v>
      </c>
      <c r="D51" s="964">
        <f t="shared" si="0"/>
        <v>1.8717927374010612E-3</v>
      </c>
      <c r="E51" s="1015">
        <v>0</v>
      </c>
      <c r="F51" s="1015">
        <v>0</v>
      </c>
      <c r="G51" s="1471">
        <f>'F9'!L51</f>
        <v>19354</v>
      </c>
      <c r="H51" s="964">
        <f t="shared" si="1"/>
        <v>2.2172882955956686E-3</v>
      </c>
      <c r="I51" s="1471">
        <f>'F9'!Q51</f>
        <v>19547.54</v>
      </c>
      <c r="J51" s="964">
        <f t="shared" si="2"/>
        <v>2.1800643662199071E-3</v>
      </c>
      <c r="K51" s="1247">
        <f>'F9'!V51</f>
        <v>20133.966200000003</v>
      </c>
      <c r="L51" s="964">
        <f t="shared" si="3"/>
        <v>2.1355415643984077E-3</v>
      </c>
    </row>
    <row r="52" spans="2:12">
      <c r="B52" s="1377" t="s">
        <v>1011</v>
      </c>
      <c r="C52" s="962">
        <f>'F9'!C52</f>
        <v>14544</v>
      </c>
      <c r="D52" s="964">
        <f t="shared" si="0"/>
        <v>1.7419601723036237E-3</v>
      </c>
      <c r="E52" s="1015">
        <v>0</v>
      </c>
      <c r="F52" s="1015">
        <v>0</v>
      </c>
      <c r="G52" s="1471">
        <f>'F9'!L52</f>
        <v>11700</v>
      </c>
      <c r="H52" s="964">
        <f t="shared" si="1"/>
        <v>1.3404088590714747E-3</v>
      </c>
      <c r="I52" s="1471">
        <f>'F9'!Q52</f>
        <v>11934</v>
      </c>
      <c r="J52" s="964">
        <f t="shared" si="2"/>
        <v>1.3309545930827291E-3</v>
      </c>
      <c r="K52" s="1247">
        <f>'F9'!V52</f>
        <v>12530.7</v>
      </c>
      <c r="L52" s="964">
        <f t="shared" si="3"/>
        <v>1.3290888846831939E-3</v>
      </c>
    </row>
    <row r="53" spans="2:12">
      <c r="B53" s="1369" t="s">
        <v>1425</v>
      </c>
      <c r="C53" s="962">
        <f>'F9'!C53</f>
        <v>30172</v>
      </c>
      <c r="D53" s="964">
        <f t="shared" si="0"/>
        <v>3.6137529097046849E-3</v>
      </c>
      <c r="E53" s="1015">
        <v>0</v>
      </c>
      <c r="F53" s="1015">
        <v>0</v>
      </c>
      <c r="G53" s="1471">
        <f>'F9'!L53</f>
        <v>31054</v>
      </c>
      <c r="H53" s="964">
        <f t="shared" si="1"/>
        <v>3.5576971546671431E-3</v>
      </c>
      <c r="I53" s="1471">
        <f>'F9'!Q53</f>
        <v>31481.54</v>
      </c>
      <c r="J53" s="964">
        <f t="shared" si="2"/>
        <v>3.5110189593026363E-3</v>
      </c>
      <c r="K53" s="1247">
        <f>'F9'!V53</f>
        <v>32664.666200000003</v>
      </c>
      <c r="L53" s="964">
        <f t="shared" si="3"/>
        <v>3.4646304490816016E-3</v>
      </c>
    </row>
    <row r="54" spans="2:12">
      <c r="B54" s="1369" t="s">
        <v>1446</v>
      </c>
      <c r="C54" s="962"/>
      <c r="D54" s="964"/>
      <c r="E54" s="1015"/>
      <c r="F54" s="1015"/>
      <c r="G54" s="1471"/>
      <c r="H54" s="964"/>
      <c r="I54" s="1471"/>
      <c r="J54" s="964"/>
      <c r="K54" s="1247"/>
      <c r="L54" s="964"/>
    </row>
    <row r="55" spans="2:12">
      <c r="B55" s="1367" t="s">
        <v>1402</v>
      </c>
      <c r="C55" s="962"/>
      <c r="D55" s="964"/>
      <c r="E55" s="1015">
        <v>0</v>
      </c>
      <c r="F55" s="1015">
        <v>0</v>
      </c>
      <c r="G55" s="1471">
        <f>'F9'!L55</f>
        <v>0</v>
      </c>
      <c r="H55" s="964">
        <f t="shared" si="1"/>
        <v>0</v>
      </c>
      <c r="I55" s="1471">
        <f>'F9'!Q55</f>
        <v>0</v>
      </c>
      <c r="J55" s="964">
        <f t="shared" si="2"/>
        <v>0</v>
      </c>
      <c r="K55" s="1247">
        <f>'F9'!V55</f>
        <v>0</v>
      </c>
      <c r="L55" s="964">
        <f t="shared" si="3"/>
        <v>0</v>
      </c>
    </row>
    <row r="56" spans="2:12">
      <c r="B56" s="1377" t="s">
        <v>475</v>
      </c>
      <c r="C56" s="962">
        <f>'F9'!C56</f>
        <v>1506</v>
      </c>
      <c r="D56" s="964">
        <f t="shared" si="0"/>
        <v>1.8037623896378281E-4</v>
      </c>
      <c r="E56" s="1015">
        <v>0</v>
      </c>
      <c r="F56" s="1015">
        <v>0</v>
      </c>
      <c r="G56" s="1471">
        <f>'F9'!L56</f>
        <v>1692</v>
      </c>
      <c r="H56" s="964">
        <f t="shared" si="1"/>
        <v>1.9384374269649019E-4</v>
      </c>
      <c r="I56" s="1471">
        <f>'F9'!Q56</f>
        <v>1878.2</v>
      </c>
      <c r="J56" s="964">
        <f t="shared" si="2"/>
        <v>2.094686539909487E-4</v>
      </c>
      <c r="K56" s="1247">
        <f>'F9'!V56</f>
        <v>2086.4200000000005</v>
      </c>
      <c r="L56" s="964">
        <f t="shared" si="3"/>
        <v>2.2129949889317517E-4</v>
      </c>
    </row>
    <row r="57" spans="2:12">
      <c r="B57" s="1378" t="s">
        <v>1091</v>
      </c>
      <c r="C57" s="962">
        <f>'F9'!C57</f>
        <v>1261</v>
      </c>
      <c r="D57" s="964">
        <f t="shared" si="0"/>
        <v>1.5103216290393768E-4</v>
      </c>
      <c r="E57" s="1015">
        <v>0</v>
      </c>
      <c r="F57" s="1015">
        <v>0</v>
      </c>
      <c r="G57" s="1471">
        <f>'F9'!L57</f>
        <v>1451</v>
      </c>
      <c r="H57" s="964">
        <f t="shared" si="1"/>
        <v>1.662336114968128E-4</v>
      </c>
      <c r="I57" s="1471">
        <f>'F9'!Q57</f>
        <v>1596.1000000000001</v>
      </c>
      <c r="J57" s="964">
        <f t="shared" si="2"/>
        <v>1.780070911697121E-4</v>
      </c>
      <c r="K57" s="1247">
        <f>'F9'!V57</f>
        <v>1755.7100000000003</v>
      </c>
      <c r="L57" s="964">
        <f t="shared" si="3"/>
        <v>1.8622220991062994E-4</v>
      </c>
    </row>
    <row r="58" spans="2:12">
      <c r="B58" s="1378" t="s">
        <v>1092</v>
      </c>
      <c r="C58" s="962">
        <f>'F9'!C58</f>
        <v>85</v>
      </c>
      <c r="D58" s="964">
        <f t="shared" si="0"/>
        <v>1.0180597816680969E-5</v>
      </c>
      <c r="E58" s="1015">
        <v>0</v>
      </c>
      <c r="F58" s="1015">
        <v>0</v>
      </c>
      <c r="G58" s="1471">
        <f>'F9'!L58</f>
        <v>71</v>
      </c>
      <c r="H58" s="964">
        <f t="shared" si="1"/>
        <v>8.1341050422286066E-6</v>
      </c>
      <c r="I58" s="1471">
        <f>'F9'!Q58</f>
        <v>78.100000000000009</v>
      </c>
      <c r="J58" s="964">
        <f t="shared" si="2"/>
        <v>8.7102022557198894E-6</v>
      </c>
      <c r="K58" s="1247">
        <f>'F9'!V58</f>
        <v>85.910000000000011</v>
      </c>
      <c r="L58" s="964">
        <f t="shared" si="3"/>
        <v>9.1121825662679015E-6</v>
      </c>
    </row>
    <row r="59" spans="2:12">
      <c r="B59" s="1378" t="s">
        <v>1093</v>
      </c>
      <c r="C59" s="962">
        <f>'F9'!C59</f>
        <v>160</v>
      </c>
      <c r="D59" s="964">
        <f t="shared" si="0"/>
        <v>1.9163478243164179E-5</v>
      </c>
      <c r="E59" s="1015">
        <v>0</v>
      </c>
      <c r="F59" s="1015">
        <v>0</v>
      </c>
      <c r="G59" s="1471">
        <f>'F9'!L59</f>
        <v>170</v>
      </c>
      <c r="H59" s="964">
        <f t="shared" si="1"/>
        <v>1.9476026157448777E-5</v>
      </c>
      <c r="I59" s="1471">
        <f>'F9'!Q59</f>
        <v>204</v>
      </c>
      <c r="J59" s="964">
        <f t="shared" si="2"/>
        <v>2.2751360565516737E-5</v>
      </c>
      <c r="K59" s="1247">
        <f>'F9'!V59</f>
        <v>244.79999999999998</v>
      </c>
      <c r="L59" s="964">
        <f t="shared" si="3"/>
        <v>2.5965106416277289E-5</v>
      </c>
    </row>
    <row r="60" spans="2:12">
      <c r="B60" s="1377" t="s">
        <v>1403</v>
      </c>
      <c r="C60" s="962">
        <f>'F9'!C60</f>
        <v>1846</v>
      </c>
      <c r="D60" s="964">
        <f t="shared" si="0"/>
        <v>2.210986302305067E-4</v>
      </c>
      <c r="E60" s="1015">
        <v>0</v>
      </c>
      <c r="F60" s="1015">
        <v>0</v>
      </c>
      <c r="G60" s="1471">
        <f>'F9'!L60</f>
        <v>1734</v>
      </c>
      <c r="H60" s="964">
        <f t="shared" si="1"/>
        <v>1.9865546680597753E-4</v>
      </c>
      <c r="I60" s="1471">
        <f>'F9'!Q60</f>
        <v>1768.68</v>
      </c>
      <c r="J60" s="964">
        <f t="shared" si="2"/>
        <v>1.9725429610303012E-4</v>
      </c>
      <c r="K60" s="1247">
        <f>'F9'!V60</f>
        <v>1846.0980000000002</v>
      </c>
      <c r="L60" s="964">
        <f t="shared" si="3"/>
        <v>1.9580935876175115E-4</v>
      </c>
    </row>
    <row r="61" spans="2:12">
      <c r="B61" s="1378" t="s">
        <v>1094</v>
      </c>
      <c r="C61" s="962">
        <f>'F9'!C61</f>
        <v>519</v>
      </c>
      <c r="D61" s="964">
        <f t="shared" si="0"/>
        <v>6.2161532551263806E-5</v>
      </c>
      <c r="E61" s="1015">
        <v>0</v>
      </c>
      <c r="F61" s="1015">
        <v>0</v>
      </c>
      <c r="G61" s="1471">
        <f>'F9'!L61</f>
        <v>360</v>
      </c>
      <c r="H61" s="964">
        <f t="shared" si="1"/>
        <v>4.1243349509891533E-5</v>
      </c>
      <c r="I61" s="1471">
        <f>'F9'!Q61</f>
        <v>367.2</v>
      </c>
      <c r="J61" s="964">
        <f t="shared" si="2"/>
        <v>4.0952449017930127E-5</v>
      </c>
      <c r="K61" s="1247">
        <f>'F9'!V61</f>
        <v>374.54399999999998</v>
      </c>
      <c r="L61" s="964">
        <f t="shared" si="3"/>
        <v>3.9726612816904256E-5</v>
      </c>
    </row>
    <row r="62" spans="2:12">
      <c r="B62" s="1378" t="s">
        <v>1095</v>
      </c>
      <c r="C62" s="962">
        <f>'F9'!C62</f>
        <v>955</v>
      </c>
      <c r="D62" s="964">
        <f t="shared" si="0"/>
        <v>1.1438201076388619E-4</v>
      </c>
      <c r="E62" s="1015">
        <v>0</v>
      </c>
      <c r="F62" s="1015">
        <v>0</v>
      </c>
      <c r="G62" s="1471">
        <f>'F9'!L62</f>
        <v>1059</v>
      </c>
      <c r="H62" s="964">
        <f t="shared" si="1"/>
        <v>1.2132418647493092E-4</v>
      </c>
      <c r="I62" s="1471">
        <f>'F9'!Q62</f>
        <v>1080.18</v>
      </c>
      <c r="J62" s="964">
        <f t="shared" si="2"/>
        <v>1.2046845419441113E-4</v>
      </c>
      <c r="K62" s="1247">
        <f>'F9'!V62</f>
        <v>1134.1890000000001</v>
      </c>
      <c r="L62" s="964">
        <f t="shared" si="3"/>
        <v>1.2029958366491473E-4</v>
      </c>
    </row>
    <row r="63" spans="2:12">
      <c r="B63" s="1378" t="s">
        <v>1096</v>
      </c>
      <c r="C63" s="962">
        <f>'F9'!C63</f>
        <v>372</v>
      </c>
      <c r="D63" s="964">
        <f t="shared" si="0"/>
        <v>4.455508691535671E-5</v>
      </c>
      <c r="E63" s="1015">
        <v>0</v>
      </c>
      <c r="F63" s="1015">
        <v>0</v>
      </c>
      <c r="G63" s="1471">
        <f>'F9'!L63</f>
        <v>315</v>
      </c>
      <c r="H63" s="964">
        <f t="shared" si="1"/>
        <v>3.6087930821155087E-5</v>
      </c>
      <c r="I63" s="1471">
        <f>'F9'!Q63</f>
        <v>321.3</v>
      </c>
      <c r="J63" s="964">
        <f t="shared" si="2"/>
        <v>3.5833392890688862E-5</v>
      </c>
      <c r="K63" s="1247">
        <f>'F9'!V63</f>
        <v>337.36500000000001</v>
      </c>
      <c r="L63" s="964">
        <f t="shared" si="3"/>
        <v>3.578316227993214E-5</v>
      </c>
    </row>
    <row r="64" spans="2:12">
      <c r="B64" s="1369" t="s">
        <v>1425</v>
      </c>
      <c r="C64" s="962">
        <f>'F9'!C64</f>
        <v>3352</v>
      </c>
      <c r="D64" s="964">
        <f t="shared" si="0"/>
        <v>4.0147486919428954E-4</v>
      </c>
      <c r="E64" s="1015">
        <v>0</v>
      </c>
      <c r="F64" s="1015">
        <v>0</v>
      </c>
      <c r="G64" s="1471">
        <f>'F9'!L64</f>
        <v>3426</v>
      </c>
      <c r="H64" s="964">
        <f t="shared" si="1"/>
        <v>3.9249920950246771E-4</v>
      </c>
      <c r="I64" s="1471">
        <f>'F9'!Q64</f>
        <v>3646.88</v>
      </c>
      <c r="J64" s="964">
        <f t="shared" si="2"/>
        <v>4.0672295009397879E-4</v>
      </c>
      <c r="K64" s="1247">
        <f>'F9'!V64</f>
        <v>3932.5180000000009</v>
      </c>
      <c r="L64" s="964">
        <f t="shared" si="3"/>
        <v>4.1710885765492632E-4</v>
      </c>
    </row>
    <row r="65" spans="2:12">
      <c r="B65" s="1369" t="s">
        <v>1446</v>
      </c>
      <c r="C65" s="962"/>
      <c r="D65" s="964"/>
      <c r="E65" s="1015"/>
      <c r="F65" s="1015"/>
      <c r="G65" s="1471"/>
      <c r="H65" s="964"/>
      <c r="I65" s="1471"/>
      <c r="J65" s="964"/>
      <c r="K65" s="1247"/>
      <c r="L65" s="964"/>
    </row>
    <row r="66" spans="2:12">
      <c r="B66" s="1367" t="s">
        <v>1098</v>
      </c>
      <c r="C66" s="962">
        <f>'F9'!C66</f>
        <v>0</v>
      </c>
      <c r="D66" s="964">
        <f t="shared" si="0"/>
        <v>0</v>
      </c>
      <c r="E66" s="1015">
        <v>0</v>
      </c>
      <c r="F66" s="1015">
        <v>0</v>
      </c>
      <c r="G66" s="1471">
        <f>'F9'!L66</f>
        <v>0</v>
      </c>
      <c r="H66" s="964">
        <f t="shared" si="1"/>
        <v>0</v>
      </c>
      <c r="I66" s="1471">
        <f>'F9'!Q66</f>
        <v>0</v>
      </c>
      <c r="J66" s="964">
        <f t="shared" si="2"/>
        <v>0</v>
      </c>
      <c r="K66" s="1247">
        <f>'F9'!V66</f>
        <v>0</v>
      </c>
      <c r="L66" s="964">
        <f t="shared" si="3"/>
        <v>0</v>
      </c>
    </row>
    <row r="67" spans="2:12">
      <c r="B67" s="1377" t="s">
        <v>476</v>
      </c>
      <c r="C67" s="962">
        <f>'F9'!C67</f>
        <v>473</v>
      </c>
      <c r="D67" s="964">
        <f t="shared" si="0"/>
        <v>5.6652032556354103E-5</v>
      </c>
      <c r="E67" s="1015">
        <v>0</v>
      </c>
      <c r="F67" s="1015">
        <v>0</v>
      </c>
      <c r="G67" s="1471">
        <f>'F9'!L67</f>
        <v>1778</v>
      </c>
      <c r="H67" s="964">
        <f t="shared" si="1"/>
        <v>2.0369632063496428E-4</v>
      </c>
      <c r="I67" s="1471">
        <f>'F9'!Q67</f>
        <v>7112</v>
      </c>
      <c r="J67" s="964">
        <f t="shared" si="2"/>
        <v>7.9317488402919133E-4</v>
      </c>
      <c r="K67" s="1247">
        <f>'F9'!V67</f>
        <v>9743.44</v>
      </c>
      <c r="L67" s="964">
        <f t="shared" si="3"/>
        <v>1.0334536620123073E-3</v>
      </c>
    </row>
    <row r="68" spans="2:12">
      <c r="B68" s="1378" t="s">
        <v>1099</v>
      </c>
      <c r="C68" s="962">
        <f>'F9'!C68</f>
        <v>473</v>
      </c>
      <c r="D68" s="964">
        <f t="shared" si="0"/>
        <v>5.6652032556354103E-5</v>
      </c>
      <c r="E68" s="1015">
        <v>0</v>
      </c>
      <c r="F68" s="1015">
        <v>0</v>
      </c>
      <c r="G68" s="1471">
        <f>'F9'!L68</f>
        <v>1778</v>
      </c>
      <c r="H68" s="964">
        <f t="shared" si="1"/>
        <v>2.0369632063496428E-4</v>
      </c>
      <c r="I68" s="1471">
        <f>'F9'!Q68</f>
        <v>7112</v>
      </c>
      <c r="J68" s="964">
        <f t="shared" si="2"/>
        <v>7.9317488402919133E-4</v>
      </c>
      <c r="K68" s="1247">
        <f>'F9'!V68</f>
        <v>9743.44</v>
      </c>
      <c r="L68" s="964">
        <f t="shared" si="3"/>
        <v>1.0334536620123073E-3</v>
      </c>
    </row>
    <row r="69" spans="2:12">
      <c r="B69" s="1377" t="s">
        <v>1404</v>
      </c>
      <c r="C69" s="962">
        <f>'F9'!C69</f>
        <v>11123</v>
      </c>
      <c r="D69" s="964">
        <f t="shared" si="0"/>
        <v>1.3322210531169698E-3</v>
      </c>
      <c r="E69" s="1015">
        <v>0</v>
      </c>
      <c r="F69" s="1015">
        <v>0</v>
      </c>
      <c r="G69" s="1471">
        <f>'F9'!L69</f>
        <v>10048</v>
      </c>
      <c r="H69" s="964">
        <f t="shared" si="1"/>
        <v>1.1511477107649724E-3</v>
      </c>
      <c r="I69" s="1471">
        <f>'F9'!Q69</f>
        <v>5024</v>
      </c>
      <c r="J69" s="964">
        <f t="shared" si="2"/>
        <v>5.6030801706449058E-4</v>
      </c>
      <c r="K69" s="1247">
        <f>'F9'!V69</f>
        <v>2512</v>
      </c>
      <c r="L69" s="964">
        <f t="shared" si="3"/>
        <v>2.6643932727813953E-4</v>
      </c>
    </row>
    <row r="70" spans="2:12">
      <c r="B70" s="1378" t="s">
        <v>1405</v>
      </c>
      <c r="C70" s="962">
        <f>'F9'!C70</f>
        <v>11090</v>
      </c>
      <c r="D70" s="964">
        <f t="shared" si="0"/>
        <v>1.3282685857293171E-3</v>
      </c>
      <c r="E70" s="1015">
        <v>0</v>
      </c>
      <c r="F70" s="1015">
        <v>0</v>
      </c>
      <c r="G70" s="1471">
        <f>'F9'!L70</f>
        <v>9930</v>
      </c>
      <c r="H70" s="964">
        <f t="shared" si="1"/>
        <v>1.137629057314508E-3</v>
      </c>
      <c r="I70" s="1471">
        <f>'F9'!Q70</f>
        <v>4965</v>
      </c>
      <c r="J70" s="964">
        <f t="shared" si="2"/>
        <v>5.5372796670485587E-4</v>
      </c>
      <c r="K70" s="1247">
        <f>'F9'!V70</f>
        <v>2482.5</v>
      </c>
      <c r="L70" s="964">
        <f t="shared" si="3"/>
        <v>2.6331036224840022E-4</v>
      </c>
    </row>
    <row r="71" spans="2:12">
      <c r="B71" s="1378" t="s">
        <v>1101</v>
      </c>
      <c r="C71" s="962">
        <f>'F9'!C71</f>
        <v>33</v>
      </c>
      <c r="D71" s="964">
        <f t="shared" si="0"/>
        <v>3.952467387652612E-6</v>
      </c>
      <c r="E71" s="1015">
        <v>0</v>
      </c>
      <c r="F71" s="1015">
        <v>0</v>
      </c>
      <c r="G71" s="1471">
        <f>'F9'!L71</f>
        <v>118</v>
      </c>
      <c r="H71" s="964">
        <f t="shared" si="1"/>
        <v>1.3518653450464445E-5</v>
      </c>
      <c r="I71" s="1471">
        <f>'F9'!Q71</f>
        <v>59</v>
      </c>
      <c r="J71" s="964">
        <f t="shared" si="2"/>
        <v>6.5800503596347427E-6</v>
      </c>
      <c r="K71" s="1247">
        <f>'F9'!V71</f>
        <v>29.5</v>
      </c>
      <c r="L71" s="964">
        <f t="shared" si="3"/>
        <v>3.1289650297392977E-6</v>
      </c>
    </row>
    <row r="72" spans="2:12">
      <c r="B72" s="1369" t="s">
        <v>1425</v>
      </c>
      <c r="C72" s="962">
        <f>'F9'!C72</f>
        <v>11596</v>
      </c>
      <c r="D72" s="964">
        <f t="shared" si="0"/>
        <v>1.3888730856733238E-3</v>
      </c>
      <c r="E72" s="1015">
        <v>0</v>
      </c>
      <c r="F72" s="1015">
        <v>0</v>
      </c>
      <c r="G72" s="1471">
        <f>'F9'!L72</f>
        <v>11826</v>
      </c>
      <c r="H72" s="964">
        <f t="shared" si="1"/>
        <v>1.3548440313999367E-3</v>
      </c>
      <c r="I72" s="1471">
        <f>'F9'!Q72</f>
        <v>12136</v>
      </c>
      <c r="J72" s="964">
        <f t="shared" si="2"/>
        <v>1.3534829010936819E-3</v>
      </c>
      <c r="K72" s="1247">
        <f>'F9'!V72</f>
        <v>12255.44</v>
      </c>
      <c r="L72" s="964">
        <f t="shared" si="3"/>
        <v>1.2998929892904468E-3</v>
      </c>
    </row>
    <row r="73" spans="2:12">
      <c r="B73" s="1369" t="s">
        <v>1446</v>
      </c>
      <c r="C73" s="962"/>
      <c r="D73" s="964"/>
      <c r="E73" s="1015"/>
      <c r="F73" s="1015"/>
      <c r="G73" s="1471"/>
      <c r="H73" s="964"/>
      <c r="I73" s="1471"/>
      <c r="J73" s="964"/>
      <c r="K73" s="1247"/>
      <c r="L73" s="964"/>
    </row>
    <row r="74" spans="2:12">
      <c r="B74" s="1367" t="s">
        <v>1406</v>
      </c>
      <c r="C74" s="962">
        <f>'F9'!C74</f>
        <v>0</v>
      </c>
      <c r="D74" s="964">
        <f t="shared" si="0"/>
        <v>0</v>
      </c>
      <c r="E74" s="1015">
        <v>0</v>
      </c>
      <c r="F74" s="1015">
        <v>0</v>
      </c>
      <c r="G74" s="1471">
        <f>'F9'!L74</f>
        <v>0</v>
      </c>
      <c r="H74" s="964">
        <f t="shared" si="1"/>
        <v>0</v>
      </c>
      <c r="I74" s="1471">
        <f>'F9'!Q74</f>
        <v>0</v>
      </c>
      <c r="J74" s="964">
        <f t="shared" si="2"/>
        <v>0</v>
      </c>
      <c r="K74" s="1247">
        <f>'F9'!V74</f>
        <v>0</v>
      </c>
      <c r="L74" s="964">
        <f t="shared" si="3"/>
        <v>0</v>
      </c>
    </row>
    <row r="75" spans="2:12">
      <c r="B75" s="1377" t="s">
        <v>476</v>
      </c>
      <c r="C75" s="962">
        <f>'F9'!C75</f>
        <v>282</v>
      </c>
      <c r="D75" s="964">
        <f t="shared" si="0"/>
        <v>3.3775630403576862E-5</v>
      </c>
      <c r="E75" s="1015">
        <v>0</v>
      </c>
      <c r="F75" s="1015">
        <v>0</v>
      </c>
      <c r="G75" s="1471">
        <f>'F9'!L75</f>
        <v>2083</v>
      </c>
      <c r="H75" s="964">
        <f t="shared" si="1"/>
        <v>2.3863860285862237E-4</v>
      </c>
      <c r="I75" s="1471">
        <f>'F9'!Q75</f>
        <v>2103.83</v>
      </c>
      <c r="J75" s="964">
        <f t="shared" si="2"/>
        <v>2.3463232793407388E-4</v>
      </c>
      <c r="K75" s="1247">
        <f>'F9'!V75</f>
        <v>2166.9449000000004</v>
      </c>
      <c r="L75" s="964">
        <f t="shared" si="3"/>
        <v>2.2984050215159053E-4</v>
      </c>
    </row>
    <row r="76" spans="2:12">
      <c r="B76" s="1378" t="s">
        <v>1104</v>
      </c>
      <c r="C76" s="962">
        <f>'F9'!C76</f>
        <v>174</v>
      </c>
      <c r="D76" s="964">
        <f t="shared" si="0"/>
        <v>2.0840282589441045E-5</v>
      </c>
      <c r="E76" s="1015">
        <v>0</v>
      </c>
      <c r="F76" s="1015">
        <v>0</v>
      </c>
      <c r="G76" s="1471">
        <f>'F9'!L76</f>
        <v>969</v>
      </c>
      <c r="H76" s="964">
        <f t="shared" si="1"/>
        <v>1.1101334909745803E-4</v>
      </c>
      <c r="I76" s="1471">
        <f>'F9'!Q76</f>
        <v>978.69</v>
      </c>
      <c r="J76" s="964">
        <f t="shared" si="2"/>
        <v>1.0914965231306655E-4</v>
      </c>
      <c r="K76" s="1247">
        <f>'F9'!V76</f>
        <v>1008.0507000000001</v>
      </c>
      <c r="L76" s="964">
        <f t="shared" si="3"/>
        <v>1.0692052164421086E-4</v>
      </c>
    </row>
    <row r="77" spans="2:12">
      <c r="B77" s="1378" t="s">
        <v>1105</v>
      </c>
      <c r="C77" s="962">
        <f>'F9'!C77</f>
        <v>108</v>
      </c>
      <c r="D77" s="964">
        <f t="shared" ref="D77:D126" si="5">C77/$C$126</f>
        <v>1.2935347814135821E-5</v>
      </c>
      <c r="E77" s="1015">
        <v>0</v>
      </c>
      <c r="F77" s="1015">
        <v>0</v>
      </c>
      <c r="G77" s="1471">
        <f>'F9'!L77</f>
        <v>1114</v>
      </c>
      <c r="H77" s="964">
        <f t="shared" ref="H77:H126" si="6">G77/$G$126</f>
        <v>1.2762525376116434E-4</v>
      </c>
      <c r="I77" s="1471">
        <f>'F9'!Q77</f>
        <v>1125.1400000000001</v>
      </c>
      <c r="J77" s="964">
        <f t="shared" ref="J77:J126" si="7">I77/$I$126</f>
        <v>1.2548267562100736E-4</v>
      </c>
      <c r="K77" s="1247">
        <f>'F9'!V77</f>
        <v>1158.8942000000002</v>
      </c>
      <c r="L77" s="964">
        <f t="shared" ref="L77:L126" si="8">K77/$K$126</f>
        <v>1.2291998050737967E-4</v>
      </c>
    </row>
    <row r="78" spans="2:12">
      <c r="B78" s="1377" t="s">
        <v>1404</v>
      </c>
      <c r="C78" s="962">
        <f>'F9'!C78</f>
        <v>0</v>
      </c>
      <c r="D78" s="964">
        <f t="shared" si="5"/>
        <v>0</v>
      </c>
      <c r="E78" s="1015">
        <v>0</v>
      </c>
      <c r="F78" s="1015">
        <v>0</v>
      </c>
      <c r="G78" s="1471">
        <f>'F9'!L78</f>
        <v>10</v>
      </c>
      <c r="H78" s="964">
        <f t="shared" si="6"/>
        <v>1.1456485974969869E-6</v>
      </c>
      <c r="I78" s="1471">
        <f>'F9'!Q78</f>
        <v>5</v>
      </c>
      <c r="J78" s="964">
        <f t="shared" si="7"/>
        <v>5.5763138640972391E-7</v>
      </c>
      <c r="K78" s="1247">
        <f>'F9'!V78</f>
        <v>2.5</v>
      </c>
      <c r="L78" s="964">
        <f t="shared" si="8"/>
        <v>2.6516652794400831E-7</v>
      </c>
    </row>
    <row r="79" spans="2:12">
      <c r="B79" s="1378" t="s">
        <v>1106</v>
      </c>
      <c r="C79" s="962">
        <f>'F9'!C79</f>
        <v>0</v>
      </c>
      <c r="D79" s="964">
        <f t="shared" si="5"/>
        <v>0</v>
      </c>
      <c r="E79" s="1015">
        <v>0</v>
      </c>
      <c r="F79" s="1015">
        <v>0</v>
      </c>
      <c r="G79" s="1471">
        <f>'F9'!L79</f>
        <v>0</v>
      </c>
      <c r="H79" s="964">
        <f t="shared" si="6"/>
        <v>0</v>
      </c>
      <c r="I79" s="1471">
        <f>'F9'!Q79</f>
        <v>0</v>
      </c>
      <c r="J79" s="964">
        <f t="shared" si="7"/>
        <v>0</v>
      </c>
      <c r="K79" s="1247">
        <f>'F9'!V79</f>
        <v>0</v>
      </c>
      <c r="L79" s="964">
        <f t="shared" si="8"/>
        <v>0</v>
      </c>
    </row>
    <row r="80" spans="2:12">
      <c r="B80" s="1378" t="s">
        <v>1107</v>
      </c>
      <c r="C80" s="962">
        <f>'F9'!C80</f>
        <v>0</v>
      </c>
      <c r="D80" s="964">
        <f t="shared" si="5"/>
        <v>0</v>
      </c>
      <c r="E80" s="1015">
        <v>0</v>
      </c>
      <c r="F80" s="1015">
        <v>0</v>
      </c>
      <c r="G80" s="1471">
        <f>'F9'!L80</f>
        <v>10</v>
      </c>
      <c r="H80" s="964">
        <f t="shared" si="6"/>
        <v>1.1456485974969869E-6</v>
      </c>
      <c r="I80" s="1471">
        <f>'F9'!Q80</f>
        <v>5</v>
      </c>
      <c r="J80" s="964">
        <f t="shared" si="7"/>
        <v>5.5763138640972391E-7</v>
      </c>
      <c r="K80" s="1247">
        <f>'F9'!V80</f>
        <v>2.5</v>
      </c>
      <c r="L80" s="964">
        <f t="shared" si="8"/>
        <v>2.6516652794400831E-7</v>
      </c>
    </row>
    <row r="81" spans="2:12">
      <c r="B81" s="1369" t="s">
        <v>1425</v>
      </c>
      <c r="C81" s="962">
        <f>'F9'!C81</f>
        <v>282</v>
      </c>
      <c r="D81" s="964">
        <f t="shared" si="5"/>
        <v>3.3775630403576862E-5</v>
      </c>
      <c r="E81" s="1015">
        <v>0</v>
      </c>
      <c r="F81" s="1015">
        <v>0</v>
      </c>
      <c r="G81" s="1471">
        <f>'F9'!L81</f>
        <v>2093</v>
      </c>
      <c r="H81" s="964">
        <f t="shared" si="6"/>
        <v>2.3978425145611937E-4</v>
      </c>
      <c r="I81" s="1471">
        <f>'F9'!Q81</f>
        <v>2108.83</v>
      </c>
      <c r="J81" s="964">
        <f t="shared" si="7"/>
        <v>2.3518995932048361E-4</v>
      </c>
      <c r="K81" s="1247">
        <f>'F9'!V81</f>
        <v>2169.4449000000004</v>
      </c>
      <c r="L81" s="964">
        <f t="shared" si="8"/>
        <v>2.3010566867953455E-4</v>
      </c>
    </row>
    <row r="82" spans="2:12">
      <c r="B82" s="1369" t="s">
        <v>1446</v>
      </c>
      <c r="C82" s="962"/>
      <c r="D82" s="964"/>
      <c r="E82" s="1015"/>
      <c r="F82" s="1015"/>
      <c r="G82" s="1471"/>
      <c r="H82" s="964"/>
      <c r="I82" s="1471"/>
      <c r="J82" s="964"/>
      <c r="K82" s="1247"/>
      <c r="L82" s="964"/>
    </row>
    <row r="83" spans="2:12">
      <c r="B83" s="1367" t="s">
        <v>1109</v>
      </c>
      <c r="C83" s="962">
        <f>'F9'!C83</f>
        <v>0</v>
      </c>
      <c r="D83" s="964">
        <f t="shared" si="5"/>
        <v>0</v>
      </c>
      <c r="E83" s="1015">
        <v>0</v>
      </c>
      <c r="F83" s="1015">
        <v>0</v>
      </c>
      <c r="G83" s="1471">
        <f>'F9'!L83</f>
        <v>0</v>
      </c>
      <c r="H83" s="964">
        <f t="shared" si="6"/>
        <v>0</v>
      </c>
      <c r="I83" s="1471">
        <f>'F9'!Q83</f>
        <v>0</v>
      </c>
      <c r="J83" s="964">
        <f t="shared" si="7"/>
        <v>0</v>
      </c>
      <c r="K83" s="1247">
        <f>'F9'!V83</f>
        <v>0</v>
      </c>
      <c r="L83" s="964">
        <f t="shared" si="8"/>
        <v>0</v>
      </c>
    </row>
    <row r="84" spans="2:12">
      <c r="B84" s="1369" t="s">
        <v>1429</v>
      </c>
      <c r="C84" s="962">
        <f>'F9'!C84</f>
        <v>29407</v>
      </c>
      <c r="D84" s="964">
        <f t="shared" si="5"/>
        <v>3.5221275293545562E-3</v>
      </c>
      <c r="E84" s="1015">
        <v>0</v>
      </c>
      <c r="F84" s="1015">
        <v>0</v>
      </c>
      <c r="G84" s="1471">
        <f>'F9'!L84</f>
        <v>24995</v>
      </c>
      <c r="H84" s="964">
        <f t="shared" si="6"/>
        <v>2.8635486694437188E-3</v>
      </c>
      <c r="I84" s="1471">
        <f>'F9'!Q84</f>
        <v>25494.9</v>
      </c>
      <c r="J84" s="964">
        <f t="shared" si="7"/>
        <v>2.8433512866754542E-3</v>
      </c>
      <c r="K84" s="1247">
        <f>'F9'!V84</f>
        <v>26004.798000000003</v>
      </c>
      <c r="L84" s="964">
        <f t="shared" si="8"/>
        <v>2.7582407982181165E-3</v>
      </c>
    </row>
    <row r="85" spans="2:12">
      <c r="B85" s="1369" t="s">
        <v>1446</v>
      </c>
      <c r="C85" s="962"/>
      <c r="D85" s="964"/>
      <c r="E85" s="1015"/>
      <c r="F85" s="1015"/>
      <c r="G85" s="1471"/>
      <c r="H85" s="964"/>
      <c r="I85" s="1471"/>
      <c r="J85" s="964"/>
      <c r="K85" s="1247"/>
      <c r="L85" s="964"/>
    </row>
    <row r="86" spans="2:12">
      <c r="B86" s="1367" t="s">
        <v>1407</v>
      </c>
      <c r="C86" s="962">
        <f>'F9'!C86</f>
        <v>0</v>
      </c>
      <c r="D86" s="964">
        <f t="shared" si="5"/>
        <v>0</v>
      </c>
      <c r="E86" s="1015">
        <v>0</v>
      </c>
      <c r="F86" s="1015">
        <v>0</v>
      </c>
      <c r="G86" s="1471">
        <f>'F9'!L86</f>
        <v>0</v>
      </c>
      <c r="H86" s="964">
        <f t="shared" si="6"/>
        <v>0</v>
      </c>
      <c r="I86" s="1471">
        <f>'F9'!Q86</f>
        <v>0</v>
      </c>
      <c r="J86" s="964">
        <f t="shared" si="7"/>
        <v>0</v>
      </c>
      <c r="K86" s="1247">
        <f>'F9'!V86</f>
        <v>0</v>
      </c>
      <c r="L86" s="964">
        <f t="shared" si="8"/>
        <v>0</v>
      </c>
    </row>
    <row r="87" spans="2:12">
      <c r="B87" s="1377" t="s">
        <v>1146</v>
      </c>
      <c r="C87" s="962">
        <f>'F9'!C87</f>
        <v>0</v>
      </c>
      <c r="D87" s="964">
        <f t="shared" si="5"/>
        <v>0</v>
      </c>
      <c r="E87" s="1015">
        <v>0</v>
      </c>
      <c r="F87" s="1015">
        <v>0</v>
      </c>
      <c r="G87" s="1471">
        <f>'F9'!L87</f>
        <v>0</v>
      </c>
      <c r="H87" s="964">
        <f t="shared" si="6"/>
        <v>0</v>
      </c>
      <c r="I87" s="1471">
        <f>'F9'!Q87</f>
        <v>0</v>
      </c>
      <c r="J87" s="964">
        <f t="shared" si="7"/>
        <v>0</v>
      </c>
      <c r="K87" s="1247">
        <f>'F9'!V87</f>
        <v>0</v>
      </c>
      <c r="L87" s="964">
        <f t="shared" si="8"/>
        <v>0</v>
      </c>
    </row>
    <row r="88" spans="2:12">
      <c r="B88" s="1378" t="s">
        <v>1408</v>
      </c>
      <c r="C88" s="962">
        <f>'F9'!C88</f>
        <v>0</v>
      </c>
      <c r="D88" s="964">
        <f t="shared" si="5"/>
        <v>0</v>
      </c>
      <c r="E88" s="1015">
        <v>0</v>
      </c>
      <c r="F88" s="1015">
        <v>0</v>
      </c>
      <c r="G88" s="1471">
        <f>'F9'!L88</f>
        <v>0</v>
      </c>
      <c r="H88" s="964">
        <f t="shared" si="6"/>
        <v>0</v>
      </c>
      <c r="I88" s="1471">
        <f>'F9'!Q88</f>
        <v>0</v>
      </c>
      <c r="J88" s="964">
        <f t="shared" si="7"/>
        <v>0</v>
      </c>
      <c r="K88" s="1247">
        <f>'F9'!V88</f>
        <v>0</v>
      </c>
      <c r="L88" s="964">
        <f t="shared" si="8"/>
        <v>0</v>
      </c>
    </row>
    <row r="89" spans="2:12">
      <c r="B89" s="1378" t="s">
        <v>1409</v>
      </c>
      <c r="C89" s="962">
        <f>'F9'!C89</f>
        <v>0</v>
      </c>
      <c r="D89" s="964">
        <f t="shared" si="5"/>
        <v>0</v>
      </c>
      <c r="E89" s="1015">
        <v>0</v>
      </c>
      <c r="F89" s="1015">
        <v>0</v>
      </c>
      <c r="G89" s="1471">
        <f>'F9'!L89</f>
        <v>0</v>
      </c>
      <c r="H89" s="964">
        <f t="shared" si="6"/>
        <v>0</v>
      </c>
      <c r="I89" s="1471">
        <f>'F9'!Q89</f>
        <v>0</v>
      </c>
      <c r="J89" s="964">
        <f t="shared" si="7"/>
        <v>0</v>
      </c>
      <c r="K89" s="1247">
        <f>'F9'!V89</f>
        <v>0</v>
      </c>
      <c r="L89" s="964">
        <f t="shared" si="8"/>
        <v>0</v>
      </c>
    </row>
    <row r="90" spans="2:12">
      <c r="B90" s="1377" t="s">
        <v>1410</v>
      </c>
      <c r="C90" s="962">
        <f>'F9'!C90</f>
        <v>0</v>
      </c>
      <c r="D90" s="964">
        <f t="shared" si="5"/>
        <v>0</v>
      </c>
      <c r="E90" s="1015">
        <v>0</v>
      </c>
      <c r="F90" s="1015">
        <v>0</v>
      </c>
      <c r="G90" s="1471">
        <f>'F9'!L90</f>
        <v>0</v>
      </c>
      <c r="H90" s="964">
        <f t="shared" si="6"/>
        <v>0</v>
      </c>
      <c r="I90" s="1471">
        <f>'F9'!Q90</f>
        <v>6</v>
      </c>
      <c r="J90" s="964">
        <f t="shared" si="7"/>
        <v>6.6915766369166872E-7</v>
      </c>
      <c r="K90" s="1247">
        <f>'F9'!V90</f>
        <v>6.6000000000000005</v>
      </c>
      <c r="L90" s="964">
        <f t="shared" si="8"/>
        <v>7.0003963377218198E-7</v>
      </c>
    </row>
    <row r="91" spans="2:12">
      <c r="B91" s="1378" t="s">
        <v>469</v>
      </c>
      <c r="C91" s="962">
        <f>'F9'!C91</f>
        <v>0</v>
      </c>
      <c r="D91" s="964">
        <f t="shared" si="5"/>
        <v>0</v>
      </c>
      <c r="E91" s="1015">
        <v>0</v>
      </c>
      <c r="F91" s="1015">
        <v>0</v>
      </c>
      <c r="G91" s="1471">
        <f>'F9'!L91</f>
        <v>0</v>
      </c>
      <c r="H91" s="964">
        <f t="shared" si="6"/>
        <v>0</v>
      </c>
      <c r="I91" s="1471">
        <f>'F9'!Q91</f>
        <v>6</v>
      </c>
      <c r="J91" s="964">
        <f t="shared" si="7"/>
        <v>6.6915766369166872E-7</v>
      </c>
      <c r="K91" s="1247">
        <f>'F9'!V91</f>
        <v>6.6000000000000005</v>
      </c>
      <c r="L91" s="964">
        <f t="shared" si="8"/>
        <v>7.0003963377218198E-7</v>
      </c>
    </row>
    <row r="92" spans="2:12">
      <c r="B92" s="1378" t="s">
        <v>470</v>
      </c>
      <c r="C92" s="962">
        <f>'F9'!C92</f>
        <v>0</v>
      </c>
      <c r="D92" s="964">
        <f t="shared" si="5"/>
        <v>0</v>
      </c>
      <c r="E92" s="1015">
        <v>0</v>
      </c>
      <c r="F92" s="1015">
        <v>0</v>
      </c>
      <c r="G92" s="1471">
        <f>'F9'!L92</f>
        <v>0</v>
      </c>
      <c r="H92" s="964">
        <f t="shared" si="6"/>
        <v>0</v>
      </c>
      <c r="I92" s="1471">
        <f>'F9'!Q92</f>
        <v>0</v>
      </c>
      <c r="J92" s="964">
        <f t="shared" si="7"/>
        <v>0</v>
      </c>
      <c r="K92" s="1247">
        <f>'F9'!V92</f>
        <v>0</v>
      </c>
      <c r="L92" s="964">
        <f t="shared" si="8"/>
        <v>0</v>
      </c>
    </row>
    <row r="93" spans="2:12">
      <c r="B93" s="1369" t="s">
        <v>1425</v>
      </c>
      <c r="C93" s="962">
        <f>'F9'!C93</f>
        <v>0</v>
      </c>
      <c r="D93" s="964">
        <f t="shared" si="5"/>
        <v>0</v>
      </c>
      <c r="E93" s="1015">
        <v>0</v>
      </c>
      <c r="F93" s="1015">
        <v>0</v>
      </c>
      <c r="G93" s="1471">
        <f>'F9'!L93</f>
        <v>0</v>
      </c>
      <c r="H93" s="964">
        <f t="shared" si="6"/>
        <v>0</v>
      </c>
      <c r="I93" s="1471">
        <f>'F9'!Q93</f>
        <v>6</v>
      </c>
      <c r="J93" s="964">
        <f t="shared" si="7"/>
        <v>6.6915766369166872E-7</v>
      </c>
      <c r="K93" s="1247">
        <f>'F9'!V93</f>
        <v>6.6000000000000005</v>
      </c>
      <c r="L93" s="964">
        <f t="shared" si="8"/>
        <v>7.0003963377218198E-7</v>
      </c>
    </row>
    <row r="94" spans="2:12">
      <c r="B94" s="1369" t="s">
        <v>1446</v>
      </c>
      <c r="C94" s="962"/>
      <c r="D94" s="964"/>
      <c r="E94" s="1015"/>
      <c r="F94" s="1015"/>
      <c r="G94" s="1471"/>
      <c r="H94" s="964"/>
      <c r="I94" s="1471"/>
      <c r="J94" s="964"/>
      <c r="K94" s="1247"/>
      <c r="L94" s="964"/>
    </row>
    <row r="95" spans="2:12">
      <c r="B95" s="1367" t="s">
        <v>1119</v>
      </c>
      <c r="C95" s="962">
        <f>'F9'!C95</f>
        <v>0</v>
      </c>
      <c r="D95" s="964">
        <f t="shared" si="5"/>
        <v>0</v>
      </c>
      <c r="E95" s="1015">
        <v>0</v>
      </c>
      <c r="F95" s="1015">
        <v>0</v>
      </c>
      <c r="G95" s="1471">
        <f>'F9'!L95</f>
        <v>0</v>
      </c>
      <c r="H95" s="964">
        <f t="shared" si="6"/>
        <v>0</v>
      </c>
      <c r="I95" s="1471">
        <f>'F9'!Q95</f>
        <v>0</v>
      </c>
      <c r="J95" s="964">
        <f t="shared" si="7"/>
        <v>0</v>
      </c>
      <c r="K95" s="1247">
        <f>'F9'!V95</f>
        <v>0</v>
      </c>
      <c r="L95" s="964">
        <f t="shared" si="8"/>
        <v>0</v>
      </c>
    </row>
    <row r="96" spans="2:12">
      <c r="B96" s="1367" t="s">
        <v>475</v>
      </c>
      <c r="C96" s="962">
        <f>'F9'!C96</f>
        <v>98</v>
      </c>
      <c r="D96" s="964">
        <f t="shared" si="5"/>
        <v>1.1737630423938058E-5</v>
      </c>
      <c r="E96" s="1015">
        <v>0</v>
      </c>
      <c r="F96" s="1015">
        <v>0</v>
      </c>
      <c r="G96" s="1471">
        <f>'F9'!L96</f>
        <v>84</v>
      </c>
      <c r="H96" s="964">
        <f t="shared" si="6"/>
        <v>9.6234482189746895E-6</v>
      </c>
      <c r="I96" s="1471">
        <f>'F9'!Q96</f>
        <v>84</v>
      </c>
      <c r="J96" s="964">
        <f t="shared" si="7"/>
        <v>9.3682072916833614E-6</v>
      </c>
      <c r="K96" s="1247">
        <f>'F9'!V96</f>
        <v>84</v>
      </c>
      <c r="L96" s="964">
        <f t="shared" si="8"/>
        <v>8.9095953389186784E-6</v>
      </c>
    </row>
    <row r="97" spans="2:12">
      <c r="B97" s="1378" t="s">
        <v>1411</v>
      </c>
      <c r="C97" s="962">
        <f>'F9'!C97</f>
        <v>98</v>
      </c>
      <c r="D97" s="964">
        <f t="shared" si="5"/>
        <v>1.1737630423938058E-5</v>
      </c>
      <c r="E97" s="1015">
        <v>0</v>
      </c>
      <c r="F97" s="1015">
        <v>0</v>
      </c>
      <c r="G97" s="1471">
        <f>'F9'!L97</f>
        <v>81</v>
      </c>
      <c r="H97" s="964">
        <f t="shared" si="6"/>
        <v>9.2797536397255944E-6</v>
      </c>
      <c r="I97" s="1471">
        <f>'F9'!Q97</f>
        <v>81</v>
      </c>
      <c r="J97" s="964">
        <f t="shared" si="7"/>
        <v>9.0336284598375269E-6</v>
      </c>
      <c r="K97" s="1247">
        <f>'F9'!V97</f>
        <v>81</v>
      </c>
      <c r="L97" s="964">
        <f t="shared" si="8"/>
        <v>8.591395505385869E-6</v>
      </c>
    </row>
    <row r="98" spans="2:12">
      <c r="B98" s="1378" t="s">
        <v>1412</v>
      </c>
      <c r="C98" s="962">
        <f>'F9'!C98</f>
        <v>0</v>
      </c>
      <c r="D98" s="964">
        <f t="shared" si="5"/>
        <v>0</v>
      </c>
      <c r="E98" s="1015">
        <v>0</v>
      </c>
      <c r="F98" s="1015">
        <v>0</v>
      </c>
      <c r="G98" s="1471">
        <f>'F9'!L98</f>
        <v>3</v>
      </c>
      <c r="H98" s="964">
        <f t="shared" si="6"/>
        <v>3.436945792490961E-7</v>
      </c>
      <c r="I98" s="1471">
        <f>'F9'!Q98</f>
        <v>3</v>
      </c>
      <c r="J98" s="964">
        <f t="shared" si="7"/>
        <v>3.3457883184583436E-7</v>
      </c>
      <c r="K98" s="1247">
        <f>'F9'!V98</f>
        <v>3</v>
      </c>
      <c r="L98" s="964">
        <f t="shared" si="8"/>
        <v>3.1819983353280994E-7</v>
      </c>
    </row>
    <row r="99" spans="2:12">
      <c r="B99" s="1367" t="s">
        <v>1403</v>
      </c>
      <c r="C99" s="962">
        <f>'F9'!C99</f>
        <v>745</v>
      </c>
      <c r="D99" s="964">
        <f t="shared" si="5"/>
        <v>8.9229945569733199E-5</v>
      </c>
      <c r="E99" s="1015">
        <v>0</v>
      </c>
      <c r="F99" s="1015">
        <v>0</v>
      </c>
      <c r="G99" s="1471">
        <f>'F9'!L99</f>
        <v>810</v>
      </c>
      <c r="H99" s="964">
        <f t="shared" si="6"/>
        <v>9.2797536397255944E-5</v>
      </c>
      <c r="I99" s="1471">
        <f>'F9'!Q99</f>
        <v>826.2</v>
      </c>
      <c r="J99" s="964">
        <f t="shared" si="7"/>
        <v>9.2143010290342785E-5</v>
      </c>
      <c r="K99" s="1247">
        <f>'F9'!V99</f>
        <v>867.5100000000001</v>
      </c>
      <c r="L99" s="964">
        <f t="shared" si="8"/>
        <v>9.201384586268266E-5</v>
      </c>
    </row>
    <row r="100" spans="2:12">
      <c r="B100" s="1378" t="s">
        <v>1413</v>
      </c>
      <c r="C100" s="962">
        <f>'F9'!C100</f>
        <v>711</v>
      </c>
      <c r="D100" s="964">
        <f t="shared" si="5"/>
        <v>8.5157706443060813E-5</v>
      </c>
      <c r="E100" s="1015">
        <v>0</v>
      </c>
      <c r="F100" s="1015">
        <v>0</v>
      </c>
      <c r="G100" s="1471">
        <f>'F9'!L100</f>
        <v>772</v>
      </c>
      <c r="H100" s="964">
        <f t="shared" si="6"/>
        <v>8.8444071726767398E-5</v>
      </c>
      <c r="I100" s="1471">
        <f>'F9'!Q100</f>
        <v>787.44</v>
      </c>
      <c r="J100" s="964">
        <f t="shared" si="7"/>
        <v>8.7820251782894606E-5</v>
      </c>
      <c r="K100" s="1247">
        <f>'F9'!V100</f>
        <v>826.81200000000013</v>
      </c>
      <c r="L100" s="964">
        <f t="shared" si="8"/>
        <v>8.7697146920976562E-5</v>
      </c>
    </row>
    <row r="101" spans="2:12">
      <c r="B101" s="1378" t="s">
        <v>1414</v>
      </c>
      <c r="C101" s="962">
        <f>'F9'!C101</f>
        <v>34</v>
      </c>
      <c r="D101" s="964">
        <f t="shared" si="5"/>
        <v>4.0722391266723879E-6</v>
      </c>
      <c r="E101" s="1015">
        <v>0</v>
      </c>
      <c r="F101" s="1015">
        <v>0</v>
      </c>
      <c r="G101" s="1471">
        <f>'F9'!L101</f>
        <v>38</v>
      </c>
      <c r="H101" s="964">
        <f t="shared" si="6"/>
        <v>4.3534646704885507E-6</v>
      </c>
      <c r="I101" s="1471">
        <f>'F9'!Q101</f>
        <v>38.76</v>
      </c>
      <c r="J101" s="964">
        <f t="shared" si="7"/>
        <v>4.3227585074481794E-6</v>
      </c>
      <c r="K101" s="1247">
        <f>'F9'!V101</f>
        <v>40.698</v>
      </c>
      <c r="L101" s="964">
        <f t="shared" si="8"/>
        <v>4.3166989417060993E-6</v>
      </c>
    </row>
    <row r="102" spans="2:12">
      <c r="B102" s="1369" t="s">
        <v>1425</v>
      </c>
      <c r="C102" s="962">
        <f>'F9'!C102</f>
        <v>843</v>
      </c>
      <c r="D102" s="964">
        <f t="shared" si="5"/>
        <v>1.0096757599367127E-4</v>
      </c>
      <c r="E102" s="1015">
        <v>0</v>
      </c>
      <c r="F102" s="1015">
        <v>0</v>
      </c>
      <c r="G102" s="1471">
        <f>'F9'!L102</f>
        <v>894</v>
      </c>
      <c r="H102" s="964">
        <f t="shared" si="6"/>
        <v>1.0242098461623063E-4</v>
      </c>
      <c r="I102" s="1471">
        <f>'F9'!Q102</f>
        <v>910.2</v>
      </c>
      <c r="J102" s="964">
        <f t="shared" si="7"/>
        <v>1.0151121758202615E-4</v>
      </c>
      <c r="K102" s="1247">
        <f>'F9'!V102</f>
        <v>951.5100000000001</v>
      </c>
      <c r="L102" s="964">
        <f t="shared" si="8"/>
        <v>1.0092344120160135E-4</v>
      </c>
    </row>
    <row r="103" spans="2:12">
      <c r="B103" s="1369" t="s">
        <v>1446</v>
      </c>
      <c r="C103" s="962"/>
      <c r="D103" s="964"/>
      <c r="E103" s="1015"/>
      <c r="F103" s="1015"/>
      <c r="G103" s="1471"/>
      <c r="H103" s="964"/>
      <c r="I103" s="1471"/>
      <c r="J103" s="964"/>
      <c r="K103" s="1247"/>
      <c r="L103" s="964"/>
    </row>
    <row r="104" spans="2:12">
      <c r="B104" s="1367" t="s">
        <v>1125</v>
      </c>
      <c r="C104" s="962">
        <f>'F9'!C104</f>
        <v>0</v>
      </c>
      <c r="D104" s="964">
        <f t="shared" si="5"/>
        <v>0</v>
      </c>
      <c r="E104" s="1015">
        <v>0</v>
      </c>
      <c r="F104" s="1015">
        <v>0</v>
      </c>
      <c r="G104" s="1471">
        <f>'F9'!L104</f>
        <v>0</v>
      </c>
      <c r="H104" s="964">
        <f t="shared" si="6"/>
        <v>0</v>
      </c>
      <c r="I104" s="1471">
        <f>'F9'!Q104</f>
        <v>0</v>
      </c>
      <c r="J104" s="964">
        <f t="shared" si="7"/>
        <v>0</v>
      </c>
      <c r="K104" s="1247">
        <f>'F9'!V104</f>
        <v>0</v>
      </c>
      <c r="L104" s="964">
        <f t="shared" si="8"/>
        <v>0</v>
      </c>
    </row>
    <row r="105" spans="2:12">
      <c r="B105" s="1378" t="s">
        <v>1126</v>
      </c>
      <c r="C105" s="962">
        <f>'F9'!C105</f>
        <v>1087</v>
      </c>
      <c r="D105" s="964">
        <f t="shared" si="5"/>
        <v>1.3019188031449663E-4</v>
      </c>
      <c r="E105" s="1015">
        <v>0</v>
      </c>
      <c r="F105" s="1015">
        <v>0</v>
      </c>
      <c r="G105" s="1471">
        <f>'F9'!L105</f>
        <v>1099</v>
      </c>
      <c r="H105" s="964">
        <f t="shared" si="6"/>
        <v>1.2590678086491885E-4</v>
      </c>
      <c r="I105" s="1471">
        <f>'F9'!Q105</f>
        <v>1131.97</v>
      </c>
      <c r="J105" s="964">
        <f t="shared" si="7"/>
        <v>1.2624440009484305E-4</v>
      </c>
      <c r="K105" s="1247">
        <f>'F9'!V105</f>
        <v>1165.9291000000001</v>
      </c>
      <c r="L105" s="964">
        <f t="shared" si="8"/>
        <v>1.2366614851035297E-4</v>
      </c>
    </row>
    <row r="106" spans="2:12">
      <c r="B106" s="1378" t="s">
        <v>1127</v>
      </c>
      <c r="C106" s="962">
        <f>'F9'!C106</f>
        <v>33</v>
      </c>
      <c r="D106" s="964">
        <f t="shared" si="5"/>
        <v>3.952467387652612E-6</v>
      </c>
      <c r="E106" s="1015">
        <v>0</v>
      </c>
      <c r="F106" s="1015">
        <v>0</v>
      </c>
      <c r="G106" s="1471">
        <f>'F9'!L106</f>
        <v>37</v>
      </c>
      <c r="H106" s="964">
        <f t="shared" si="6"/>
        <v>4.2388998107388517E-6</v>
      </c>
      <c r="I106" s="1471">
        <f>'F9'!Q106</f>
        <v>38.11</v>
      </c>
      <c r="J106" s="964">
        <f t="shared" si="7"/>
        <v>4.250266427214916E-6</v>
      </c>
      <c r="K106" s="1247">
        <f>'F9'!V106</f>
        <v>40.015500000000003</v>
      </c>
      <c r="L106" s="964">
        <f t="shared" si="8"/>
        <v>4.2443084795773861E-6</v>
      </c>
    </row>
    <row r="107" spans="2:12">
      <c r="B107" s="1378" t="s">
        <v>1128</v>
      </c>
      <c r="C107" s="962">
        <f>'F9'!C107</f>
        <v>4</v>
      </c>
      <c r="D107" s="964">
        <f t="shared" si="5"/>
        <v>4.7908695607910441E-7</v>
      </c>
      <c r="E107" s="1015">
        <v>0</v>
      </c>
      <c r="F107" s="1015">
        <v>0</v>
      </c>
      <c r="G107" s="1471">
        <f>'F9'!L107</f>
        <v>6</v>
      </c>
      <c r="H107" s="964">
        <f t="shared" si="6"/>
        <v>6.873891584981922E-7</v>
      </c>
      <c r="I107" s="1471">
        <f>'F9'!Q107</f>
        <v>6.18</v>
      </c>
      <c r="J107" s="964">
        <f t="shared" si="7"/>
        <v>6.8923239360241871E-7</v>
      </c>
      <c r="K107" s="1247">
        <f>'F9'!V107</f>
        <v>6.6126000000000005</v>
      </c>
      <c r="L107" s="964">
        <f t="shared" si="8"/>
        <v>7.0137607307301974E-7</v>
      </c>
    </row>
    <row r="108" spans="2:12">
      <c r="B108" s="1378" t="s">
        <v>1129</v>
      </c>
      <c r="C108" s="962">
        <f>'F9'!C108</f>
        <v>0</v>
      </c>
      <c r="D108" s="964">
        <f t="shared" si="5"/>
        <v>0</v>
      </c>
      <c r="E108" s="1015">
        <v>0</v>
      </c>
      <c r="F108" s="1015">
        <v>0</v>
      </c>
      <c r="G108" s="1471">
        <f>'F9'!L108</f>
        <v>2</v>
      </c>
      <c r="H108" s="964">
        <f t="shared" si="6"/>
        <v>2.2912971949939739E-7</v>
      </c>
      <c r="I108" s="1471">
        <f>'F9'!Q108</f>
        <v>2.06</v>
      </c>
      <c r="J108" s="964">
        <f t="shared" si="7"/>
        <v>2.2974413120080625E-7</v>
      </c>
      <c r="K108" s="1247">
        <f>'F9'!V108</f>
        <v>2.1424000000000003</v>
      </c>
      <c r="L108" s="964">
        <f t="shared" si="8"/>
        <v>2.2723710778689737E-7</v>
      </c>
    </row>
    <row r="109" spans="2:12">
      <c r="B109" s="1377" t="s">
        <v>1130</v>
      </c>
      <c r="C109" s="962">
        <f>'F9'!C109</f>
        <v>24</v>
      </c>
      <c r="D109" s="964">
        <f t="shared" si="5"/>
        <v>2.8745217364746267E-6</v>
      </c>
      <c r="E109" s="1015">
        <v>0</v>
      </c>
      <c r="F109" s="1015">
        <v>0</v>
      </c>
      <c r="G109" s="1471">
        <f>'F9'!L109</f>
        <v>250</v>
      </c>
      <c r="H109" s="964">
        <f t="shared" si="6"/>
        <v>2.8641214937424672E-5</v>
      </c>
      <c r="I109" s="1471">
        <f>'F9'!Q109</f>
        <v>257.5</v>
      </c>
      <c r="J109" s="964">
        <f t="shared" si="7"/>
        <v>2.8718016400100782E-5</v>
      </c>
      <c r="K109" s="1247">
        <f>'F9'!V109</f>
        <v>270.375</v>
      </c>
      <c r="L109" s="964">
        <f t="shared" si="8"/>
        <v>2.8677759997144495E-5</v>
      </c>
    </row>
    <row r="110" spans="2:12">
      <c r="B110" s="1369" t="s">
        <v>1425</v>
      </c>
      <c r="C110" s="962">
        <f>'F9'!C110</f>
        <v>1148</v>
      </c>
      <c r="D110" s="964">
        <f t="shared" si="5"/>
        <v>1.3749795639470298E-4</v>
      </c>
      <c r="E110" s="1015">
        <v>0</v>
      </c>
      <c r="F110" s="1015">
        <v>0</v>
      </c>
      <c r="G110" s="1471">
        <f>'F9'!L110</f>
        <v>1394</v>
      </c>
      <c r="H110" s="964">
        <f t="shared" si="6"/>
        <v>1.5970341449107997E-4</v>
      </c>
      <c r="I110" s="1471">
        <f>'F9'!Q110</f>
        <v>1435.82</v>
      </c>
      <c r="J110" s="964">
        <f t="shared" si="7"/>
        <v>1.6013165944696195E-4</v>
      </c>
      <c r="K110" s="1247">
        <f>'F9'!V110</f>
        <v>1485.0745999999999</v>
      </c>
      <c r="L110" s="964">
        <f t="shared" si="8"/>
        <v>1.5751683016793476E-4</v>
      </c>
    </row>
    <row r="111" spans="2:12">
      <c r="B111" s="1369" t="s">
        <v>1446</v>
      </c>
      <c r="C111" s="962"/>
      <c r="D111" s="964"/>
      <c r="E111" s="1015"/>
      <c r="F111" s="1015"/>
      <c r="G111" s="1471"/>
      <c r="H111" s="964"/>
      <c r="I111" s="1471"/>
      <c r="J111" s="964"/>
      <c r="K111" s="1247"/>
      <c r="L111" s="964"/>
    </row>
    <row r="112" spans="2:12">
      <c r="B112" s="1367" t="s">
        <v>1133</v>
      </c>
      <c r="C112" s="962">
        <f>'F9'!C112</f>
        <v>0</v>
      </c>
      <c r="D112" s="964">
        <f t="shared" si="5"/>
        <v>0</v>
      </c>
      <c r="E112" s="1015">
        <v>0</v>
      </c>
      <c r="F112" s="1015">
        <v>0</v>
      </c>
      <c r="G112" s="1471">
        <f>'F9'!L112</f>
        <v>0</v>
      </c>
      <c r="H112" s="964">
        <f t="shared" si="6"/>
        <v>0</v>
      </c>
      <c r="I112" s="1471">
        <f>'F9'!Q112</f>
        <v>0</v>
      </c>
      <c r="J112" s="964">
        <f t="shared" si="7"/>
        <v>0</v>
      </c>
      <c r="K112" s="1247">
        <f>'F9'!V112</f>
        <v>0</v>
      </c>
      <c r="L112" s="964">
        <f t="shared" si="8"/>
        <v>0</v>
      </c>
    </row>
    <row r="113" spans="2:12">
      <c r="B113" s="1378" t="s">
        <v>1415</v>
      </c>
      <c r="C113" s="962">
        <f>'F9'!C113</f>
        <v>0</v>
      </c>
      <c r="D113" s="964">
        <f t="shared" si="5"/>
        <v>0</v>
      </c>
      <c r="E113" s="1015">
        <v>0</v>
      </c>
      <c r="F113" s="1015">
        <v>0</v>
      </c>
      <c r="G113" s="1471">
        <f>'F9'!L113</f>
        <v>1</v>
      </c>
      <c r="H113" s="964">
        <f t="shared" si="6"/>
        <v>1.145648597496987E-7</v>
      </c>
      <c r="I113" s="1471">
        <f>'F9'!Q113</f>
        <v>1</v>
      </c>
      <c r="J113" s="964">
        <f t="shared" si="7"/>
        <v>1.1152627728194479E-7</v>
      </c>
      <c r="K113" s="1247">
        <f>'F9'!V113</f>
        <v>1</v>
      </c>
      <c r="L113" s="964">
        <f t="shared" si="8"/>
        <v>1.0606661117760331E-7</v>
      </c>
    </row>
    <row r="114" spans="2:12">
      <c r="B114" s="1378" t="s">
        <v>1134</v>
      </c>
      <c r="C114" s="962">
        <f>'F9'!C114</f>
        <v>0</v>
      </c>
      <c r="D114" s="964">
        <f t="shared" si="5"/>
        <v>0</v>
      </c>
      <c r="E114" s="1015">
        <v>0</v>
      </c>
      <c r="F114" s="1015">
        <v>0</v>
      </c>
      <c r="G114" s="1471">
        <f>'F9'!L114</f>
        <v>0</v>
      </c>
      <c r="H114" s="964">
        <f t="shared" si="6"/>
        <v>0</v>
      </c>
      <c r="I114" s="1471">
        <f>'F9'!Q114</f>
        <v>0</v>
      </c>
      <c r="J114" s="964">
        <f t="shared" si="7"/>
        <v>0</v>
      </c>
      <c r="K114" s="1247">
        <f>'F9'!V114</f>
        <v>0</v>
      </c>
      <c r="L114" s="964">
        <f t="shared" si="8"/>
        <v>0</v>
      </c>
    </row>
    <row r="115" spans="2:12">
      <c r="B115" s="1378" t="s">
        <v>1135</v>
      </c>
      <c r="C115" s="962">
        <f>'F9'!C115</f>
        <v>0</v>
      </c>
      <c r="D115" s="964">
        <f t="shared" si="5"/>
        <v>0</v>
      </c>
      <c r="E115" s="1015">
        <v>0</v>
      </c>
      <c r="F115" s="1015">
        <v>0</v>
      </c>
      <c r="G115" s="1471">
        <f>'F9'!L115</f>
        <v>0</v>
      </c>
      <c r="H115" s="964">
        <f t="shared" si="6"/>
        <v>0</v>
      </c>
      <c r="I115" s="1471">
        <f>'F9'!Q115</f>
        <v>0</v>
      </c>
      <c r="J115" s="964">
        <f t="shared" si="7"/>
        <v>0</v>
      </c>
      <c r="K115" s="1247">
        <f>'F9'!V115</f>
        <v>0</v>
      </c>
      <c r="L115" s="964">
        <f t="shared" si="8"/>
        <v>0</v>
      </c>
    </row>
    <row r="116" spans="2:12">
      <c r="B116" s="1369" t="s">
        <v>1425</v>
      </c>
      <c r="C116" s="962">
        <f>'F9'!C116</f>
        <v>0</v>
      </c>
      <c r="D116" s="964">
        <f t="shared" si="5"/>
        <v>0</v>
      </c>
      <c r="E116" s="1015">
        <v>0</v>
      </c>
      <c r="F116" s="1015">
        <v>0</v>
      </c>
      <c r="G116" s="1471">
        <f>'F9'!L116</f>
        <v>1</v>
      </c>
      <c r="H116" s="964">
        <f t="shared" si="6"/>
        <v>1.145648597496987E-7</v>
      </c>
      <c r="I116" s="1471">
        <f>'F9'!Q116</f>
        <v>1</v>
      </c>
      <c r="J116" s="964">
        <f t="shared" si="7"/>
        <v>1.1152627728194479E-7</v>
      </c>
      <c r="K116" s="1247">
        <f>'F9'!V116</f>
        <v>1</v>
      </c>
      <c r="L116" s="964">
        <f t="shared" si="8"/>
        <v>1.0606661117760331E-7</v>
      </c>
    </row>
    <row r="117" spans="2:12">
      <c r="B117" s="1369" t="s">
        <v>1446</v>
      </c>
      <c r="C117" s="962"/>
      <c r="D117" s="964"/>
      <c r="E117" s="1015">
        <v>0</v>
      </c>
      <c r="F117" s="1015">
        <v>0</v>
      </c>
      <c r="G117" s="1471"/>
      <c r="H117" s="964"/>
      <c r="I117" s="1471"/>
      <c r="J117" s="964"/>
      <c r="K117" s="1247"/>
      <c r="L117" s="964"/>
    </row>
    <row r="118" spans="2:12" ht="28">
      <c r="B118" s="1367" t="s">
        <v>1137</v>
      </c>
      <c r="C118" s="962">
        <f>'F9'!C118</f>
        <v>0</v>
      </c>
      <c r="D118" s="964">
        <f t="shared" si="5"/>
        <v>0</v>
      </c>
      <c r="E118" s="1015">
        <v>0</v>
      </c>
      <c r="F118" s="1015">
        <v>0</v>
      </c>
      <c r="G118" s="1471">
        <f>'F9'!L118</f>
        <v>0</v>
      </c>
      <c r="H118" s="964">
        <f t="shared" si="6"/>
        <v>0</v>
      </c>
      <c r="I118" s="1471">
        <f>'F9'!Q118</f>
        <v>0</v>
      </c>
      <c r="J118" s="964">
        <f t="shared" si="7"/>
        <v>0</v>
      </c>
      <c r="K118" s="1247">
        <f>'F9'!V118</f>
        <v>0</v>
      </c>
      <c r="L118" s="964">
        <f t="shared" si="8"/>
        <v>0</v>
      </c>
    </row>
    <row r="119" spans="2:12">
      <c r="B119" s="1378" t="s">
        <v>1138</v>
      </c>
      <c r="C119" s="962">
        <f>'F9'!C119</f>
        <v>26</v>
      </c>
      <c r="D119" s="964">
        <f t="shared" si="5"/>
        <v>3.1140652145141788E-6</v>
      </c>
      <c r="E119" s="1015">
        <v>0</v>
      </c>
      <c r="F119" s="1015">
        <v>0</v>
      </c>
      <c r="G119" s="1471">
        <f>'F9'!L119</f>
        <v>40</v>
      </c>
      <c r="H119" s="964">
        <f t="shared" si="6"/>
        <v>4.5825943899879477E-6</v>
      </c>
      <c r="I119" s="1471">
        <f>'F9'!Q119</f>
        <v>40.4</v>
      </c>
      <c r="J119" s="964">
        <f t="shared" si="7"/>
        <v>4.505661602190569E-6</v>
      </c>
      <c r="K119" s="1247">
        <f>'F9'!V119</f>
        <v>40.804000000000002</v>
      </c>
      <c r="L119" s="964">
        <f t="shared" si="8"/>
        <v>4.3279420024909261E-6</v>
      </c>
    </row>
    <row r="120" spans="2:12">
      <c r="B120" s="1378" t="s">
        <v>1139</v>
      </c>
      <c r="C120" s="962">
        <f>'F9'!C120</f>
        <v>6</v>
      </c>
      <c r="D120" s="964">
        <f t="shared" si="5"/>
        <v>7.1863043411865667E-7</v>
      </c>
      <c r="E120" s="1015">
        <v>0</v>
      </c>
      <c r="F120" s="1015">
        <v>0</v>
      </c>
      <c r="G120" s="1471">
        <f>'F9'!L120</f>
        <v>17</v>
      </c>
      <c r="H120" s="964">
        <f t="shared" si="6"/>
        <v>1.9476026157448779E-6</v>
      </c>
      <c r="I120" s="1471">
        <f>'F9'!Q120</f>
        <v>17.170000000000002</v>
      </c>
      <c r="J120" s="964">
        <f t="shared" si="7"/>
        <v>1.9149061809309922E-6</v>
      </c>
      <c r="K120" s="1247">
        <f>'F9'!V120</f>
        <v>17.341700000000003</v>
      </c>
      <c r="L120" s="964">
        <f t="shared" si="8"/>
        <v>1.8393753510586437E-6</v>
      </c>
    </row>
    <row r="121" spans="2:12">
      <c r="B121" s="1378" t="s">
        <v>1140</v>
      </c>
      <c r="C121" s="962">
        <f>'F9'!C121</f>
        <v>0</v>
      </c>
      <c r="D121" s="964">
        <f t="shared" si="5"/>
        <v>0</v>
      </c>
      <c r="E121" s="1015">
        <v>0</v>
      </c>
      <c r="F121" s="1015">
        <v>0</v>
      </c>
      <c r="G121" s="1471">
        <f>'F9'!L121</f>
        <v>0</v>
      </c>
      <c r="H121" s="964">
        <f t="shared" si="6"/>
        <v>0</v>
      </c>
      <c r="I121" s="1471">
        <f>'F9'!Q121</f>
        <v>0</v>
      </c>
      <c r="J121" s="964">
        <f t="shared" si="7"/>
        <v>0</v>
      </c>
      <c r="K121" s="1247">
        <f>'F9'!V121</f>
        <v>0</v>
      </c>
      <c r="L121" s="964">
        <f t="shared" si="8"/>
        <v>0</v>
      </c>
    </row>
    <row r="122" spans="2:12">
      <c r="B122" s="1369" t="s">
        <v>1425</v>
      </c>
      <c r="C122" s="962">
        <f>'F9'!C122</f>
        <v>32</v>
      </c>
      <c r="D122" s="964">
        <f t="shared" si="5"/>
        <v>3.8326956486328353E-6</v>
      </c>
      <c r="E122" s="1015">
        <v>0</v>
      </c>
      <c r="F122" s="1015">
        <v>0</v>
      </c>
      <c r="G122" s="1471">
        <f>'F9'!L122</f>
        <v>57</v>
      </c>
      <c r="H122" s="964">
        <f t="shared" si="6"/>
        <v>6.5301970057328256E-6</v>
      </c>
      <c r="I122" s="1471">
        <f>'F9'!Q122</f>
        <v>57.57</v>
      </c>
      <c r="J122" s="964">
        <f t="shared" si="7"/>
        <v>6.4205677831215616E-6</v>
      </c>
      <c r="K122" s="1247">
        <f>'F9'!V122</f>
        <v>58.145700000000005</v>
      </c>
      <c r="L122" s="964">
        <f t="shared" si="8"/>
        <v>6.1673173535495693E-6</v>
      </c>
    </row>
    <row r="123" spans="2:12">
      <c r="B123" s="1369" t="s">
        <v>1446</v>
      </c>
      <c r="C123" s="962"/>
      <c r="D123" s="964"/>
      <c r="E123" s="1015">
        <v>0</v>
      </c>
      <c r="F123" s="1015">
        <v>0</v>
      </c>
      <c r="G123" s="1471"/>
      <c r="H123" s="964"/>
      <c r="I123" s="1471"/>
      <c r="J123" s="964"/>
      <c r="K123" s="1247"/>
      <c r="L123" s="964"/>
    </row>
    <row r="124" spans="2:12">
      <c r="B124" s="1367" t="s">
        <v>1143</v>
      </c>
      <c r="C124" s="962">
        <f>'F9'!C124</f>
        <v>0</v>
      </c>
      <c r="D124" s="964">
        <f t="shared" si="5"/>
        <v>0</v>
      </c>
      <c r="E124" s="1015">
        <v>0</v>
      </c>
      <c r="F124" s="1015">
        <v>0</v>
      </c>
      <c r="G124" s="1471">
        <f>'F9'!L124</f>
        <v>0</v>
      </c>
      <c r="H124" s="964">
        <f t="shared" si="6"/>
        <v>0</v>
      </c>
      <c r="I124" s="1471">
        <f>'F9'!Q124</f>
        <v>0</v>
      </c>
      <c r="J124" s="964">
        <f t="shared" si="7"/>
        <v>0</v>
      </c>
      <c r="K124" s="1247">
        <f>'F9'!V124</f>
        <v>0</v>
      </c>
      <c r="L124" s="964">
        <f t="shared" si="8"/>
        <v>0</v>
      </c>
    </row>
    <row r="125" spans="2:12">
      <c r="B125" s="1367" t="s">
        <v>1434</v>
      </c>
      <c r="C125" s="962">
        <f>'F9'!C125</f>
        <v>0</v>
      </c>
      <c r="D125" s="964">
        <f t="shared" si="5"/>
        <v>0</v>
      </c>
      <c r="E125" s="1015">
        <v>0</v>
      </c>
      <c r="F125" s="1015">
        <v>0</v>
      </c>
      <c r="G125" s="1471">
        <f>'F9'!L125</f>
        <v>1</v>
      </c>
      <c r="H125" s="964">
        <f t="shared" si="6"/>
        <v>1.145648597496987E-7</v>
      </c>
      <c r="I125" s="1471">
        <f>'F9'!Q125</f>
        <v>1</v>
      </c>
      <c r="J125" s="964">
        <f t="shared" si="7"/>
        <v>1.1152627728194479E-7</v>
      </c>
      <c r="K125" s="1247">
        <f>'F9'!V125</f>
        <v>1</v>
      </c>
      <c r="L125" s="964">
        <f t="shared" si="8"/>
        <v>1.0606661117760331E-7</v>
      </c>
    </row>
    <row r="126" spans="2:12">
      <c r="B126" s="1377" t="s">
        <v>126</v>
      </c>
      <c r="C126" s="962">
        <f>'F9'!C126</f>
        <v>8349215</v>
      </c>
      <c r="D126" s="964">
        <f t="shared" si="5"/>
        <v>1</v>
      </c>
      <c r="E126" s="1015">
        <v>0</v>
      </c>
      <c r="F126" s="1015">
        <v>0</v>
      </c>
      <c r="G126" s="1471">
        <f>'F9'!L127</f>
        <v>8728680</v>
      </c>
      <c r="H126" s="964">
        <f t="shared" si="6"/>
        <v>1</v>
      </c>
      <c r="I126" s="1471">
        <f>'F9'!Q127</f>
        <v>8966496.7250000015</v>
      </c>
      <c r="J126" s="964">
        <f t="shared" si="7"/>
        <v>1</v>
      </c>
      <c r="K126" s="1247">
        <f>'F9'!V127</f>
        <v>9428037.6161499992</v>
      </c>
      <c r="L126" s="964">
        <f t="shared" si="8"/>
        <v>1</v>
      </c>
    </row>
    <row r="127" spans="2:12">
      <c r="B127" s="1369" t="s">
        <v>1446</v>
      </c>
      <c r="C127" s="295"/>
      <c r="D127" s="295"/>
      <c r="E127" s="263"/>
      <c r="F127" s="263"/>
      <c r="G127" s="263"/>
      <c r="H127" s="263"/>
      <c r="I127" s="263"/>
      <c r="J127" s="263"/>
      <c r="K127" s="263"/>
      <c r="L127" s="263"/>
    </row>
  </sheetData>
  <mergeCells count="17">
    <mergeCell ref="A5:A8"/>
    <mergeCell ref="B5:B8"/>
    <mergeCell ref="G7:H7"/>
    <mergeCell ref="E5:H5"/>
    <mergeCell ref="C5:D5"/>
    <mergeCell ref="C7:D7"/>
    <mergeCell ref="E7:F7"/>
    <mergeCell ref="J3:K3"/>
    <mergeCell ref="H3:I3"/>
    <mergeCell ref="I7:J7"/>
    <mergeCell ref="K7:L7"/>
    <mergeCell ref="C6:D6"/>
    <mergeCell ref="I6:J6"/>
    <mergeCell ref="K6:L6"/>
    <mergeCell ref="E6:H6"/>
    <mergeCell ref="I5:J5"/>
    <mergeCell ref="K5:L5"/>
  </mergeCells>
  <printOptions horizontalCentered="1"/>
  <pageMargins left="0.19685039370078741" right="0.19685039370078741" top="0.19685039370078741" bottom="0.19685039370078741" header="0.19685039370078741" footer="0.19685039370078741"/>
  <pageSetup paperSize="9" scale="6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7"/>
  <sheetViews>
    <sheetView view="pageBreakPreview" topLeftCell="A4" zoomScaleSheetLayoutView="100" workbookViewId="0">
      <selection activeCell="C105" sqref="C105"/>
    </sheetView>
  </sheetViews>
  <sheetFormatPr defaultColWidth="20.81640625" defaultRowHeight="14.5"/>
  <cols>
    <col min="1" max="1" width="5.26953125" style="229" customWidth="1"/>
    <col min="2" max="2" width="50.81640625" style="229" bestFit="1" customWidth="1"/>
    <col min="3" max="3" width="8.81640625" style="229" customWidth="1"/>
    <col min="4" max="4" width="7.54296875" style="229" bestFit="1" customWidth="1"/>
    <col min="5" max="5" width="7.81640625" style="229" customWidth="1"/>
    <col min="6" max="6" width="8.7265625" style="229" customWidth="1"/>
    <col min="7" max="8" width="9" style="229" bestFit="1" customWidth="1"/>
    <col min="9" max="10" width="12.54296875" style="229" bestFit="1" customWidth="1"/>
    <col min="11" max="11" width="9.81640625" style="229" bestFit="1" customWidth="1"/>
    <col min="12" max="12" width="8.81640625" style="229" bestFit="1" customWidth="1"/>
    <col min="13" max="13" width="9.81640625" style="229" customWidth="1"/>
    <col min="14" max="15" width="9.81640625" style="229" bestFit="1" customWidth="1"/>
    <col min="16" max="16" width="8.81640625" style="229" bestFit="1" customWidth="1"/>
    <col min="17" max="17" width="9.81640625" style="229" customWidth="1"/>
    <col min="18" max="18" width="9.7265625" style="229" bestFit="1" customWidth="1"/>
    <col min="19" max="16384" width="20.81640625" style="229"/>
  </cols>
  <sheetData>
    <row r="1" spans="1:18">
      <c r="A1" s="307" t="s">
        <v>483</v>
      </c>
      <c r="B1" s="307" t="s">
        <v>483</v>
      </c>
    </row>
    <row r="2" spans="1:18">
      <c r="A2" s="715" t="s">
        <v>1604</v>
      </c>
      <c r="B2" s="715" t="s">
        <v>1604</v>
      </c>
      <c r="C2" s="715"/>
      <c r="D2" s="715"/>
      <c r="E2" s="715"/>
      <c r="F2" s="715"/>
      <c r="G2" s="715"/>
      <c r="H2" s="715"/>
      <c r="I2" s="715"/>
      <c r="J2" s="715"/>
    </row>
    <row r="3" spans="1:18">
      <c r="A3" s="304" t="s">
        <v>270</v>
      </c>
      <c r="B3" s="304" t="s">
        <v>270</v>
      </c>
      <c r="C3" s="304"/>
      <c r="D3" s="304"/>
      <c r="E3" s="304"/>
      <c r="F3" s="304"/>
      <c r="G3" s="48"/>
      <c r="H3" s="48"/>
      <c r="I3" s="48"/>
      <c r="J3" s="48"/>
      <c r="K3" s="3060"/>
      <c r="L3" s="3060"/>
      <c r="M3" s="3060"/>
      <c r="N3" s="3060"/>
      <c r="O3" s="3060"/>
      <c r="P3" s="3060"/>
      <c r="Q3" s="3060"/>
      <c r="R3" s="3060"/>
    </row>
    <row r="4" spans="1:18">
      <c r="A4" s="225"/>
      <c r="B4" s="225"/>
      <c r="C4" s="225"/>
      <c r="D4" s="225"/>
      <c r="E4" s="225"/>
      <c r="F4" s="225"/>
      <c r="K4" s="3061"/>
      <c r="L4" s="3061"/>
      <c r="M4" s="3061"/>
      <c r="N4" s="3061"/>
      <c r="O4" s="3061"/>
      <c r="P4" s="3061"/>
      <c r="Q4" s="246"/>
      <c r="R4" s="246" t="s">
        <v>141</v>
      </c>
    </row>
    <row r="5" spans="1:18" ht="15.75" customHeight="1">
      <c r="A5" s="2994" t="s">
        <v>1276</v>
      </c>
      <c r="B5" s="3018" t="s">
        <v>14</v>
      </c>
      <c r="C5" s="3053" t="s">
        <v>562</v>
      </c>
      <c r="D5" s="3053"/>
      <c r="E5" s="3053"/>
      <c r="F5" s="3053"/>
      <c r="G5" s="3040" t="s">
        <v>575</v>
      </c>
      <c r="H5" s="3040"/>
      <c r="I5" s="3040"/>
      <c r="J5" s="3041"/>
      <c r="K5" s="3039" t="s">
        <v>550</v>
      </c>
      <c r="L5" s="3040"/>
      <c r="M5" s="3040"/>
      <c r="N5" s="3041"/>
      <c r="O5" s="3039" t="s">
        <v>952</v>
      </c>
      <c r="P5" s="3040"/>
      <c r="Q5" s="3040"/>
      <c r="R5" s="3041"/>
    </row>
    <row r="6" spans="1:18" ht="15.75" customHeight="1">
      <c r="A6" s="2990"/>
      <c r="B6" s="2994"/>
      <c r="C6" s="3054" t="s">
        <v>551</v>
      </c>
      <c r="D6" s="3055"/>
      <c r="E6" s="3055"/>
      <c r="F6" s="3056"/>
      <c r="G6" s="3039" t="s">
        <v>545</v>
      </c>
      <c r="H6" s="3040"/>
      <c r="I6" s="3040"/>
      <c r="J6" s="3041"/>
      <c r="K6" s="3039" t="s">
        <v>546</v>
      </c>
      <c r="L6" s="3040"/>
      <c r="M6" s="3040"/>
      <c r="N6" s="3041"/>
      <c r="O6" s="3039" t="s">
        <v>547</v>
      </c>
      <c r="P6" s="3040"/>
      <c r="Q6" s="3040"/>
      <c r="R6" s="3041"/>
    </row>
    <row r="7" spans="1:18" ht="15.75" customHeight="1">
      <c r="A7" s="2990"/>
      <c r="B7" s="2994"/>
      <c r="C7" s="3039" t="s">
        <v>560</v>
      </c>
      <c r="D7" s="3040"/>
      <c r="E7" s="3040"/>
      <c r="F7" s="3041"/>
      <c r="G7" s="3057" t="s">
        <v>544</v>
      </c>
      <c r="H7" s="3058"/>
      <c r="I7" s="3058"/>
      <c r="J7" s="3059"/>
      <c r="K7" s="3039" t="s">
        <v>552</v>
      </c>
      <c r="L7" s="3040"/>
      <c r="M7" s="3040"/>
      <c r="N7" s="3041"/>
      <c r="O7" s="2990" t="s">
        <v>283</v>
      </c>
      <c r="P7" s="2990"/>
      <c r="Q7" s="2990"/>
      <c r="R7" s="2990"/>
    </row>
    <row r="8" spans="1:18" s="240" customFormat="1" ht="42.75" customHeight="1">
      <c r="A8" s="2990"/>
      <c r="B8" s="2994"/>
      <c r="C8" s="217" t="s">
        <v>272</v>
      </c>
      <c r="D8" s="217" t="s">
        <v>273</v>
      </c>
      <c r="E8" s="217" t="s">
        <v>274</v>
      </c>
      <c r="F8" s="217" t="s">
        <v>271</v>
      </c>
      <c r="G8" s="217" t="s">
        <v>272</v>
      </c>
      <c r="H8" s="217" t="s">
        <v>273</v>
      </c>
      <c r="I8" s="217" t="s">
        <v>274</v>
      </c>
      <c r="J8" s="217" t="s">
        <v>271</v>
      </c>
      <c r="K8" s="217" t="s">
        <v>272</v>
      </c>
      <c r="L8" s="217" t="s">
        <v>273</v>
      </c>
      <c r="M8" s="217" t="s">
        <v>274</v>
      </c>
      <c r="N8" s="217" t="s">
        <v>271</v>
      </c>
      <c r="O8" s="217" t="s">
        <v>272</v>
      </c>
      <c r="P8" s="217" t="s">
        <v>273</v>
      </c>
      <c r="Q8" s="217" t="s">
        <v>274</v>
      </c>
      <c r="R8" s="217" t="s">
        <v>271</v>
      </c>
    </row>
    <row r="9" spans="1:18">
      <c r="A9" s="51"/>
      <c r="B9" s="52"/>
      <c r="C9" s="972"/>
      <c r="D9" s="972"/>
      <c r="E9" s="972"/>
      <c r="F9" s="972"/>
      <c r="G9" s="919"/>
      <c r="H9" s="919"/>
      <c r="I9" s="919"/>
      <c r="J9" s="919"/>
      <c r="K9" s="295"/>
      <c r="L9" s="295"/>
      <c r="M9" s="295"/>
      <c r="N9" s="295"/>
      <c r="O9" s="295"/>
      <c r="P9" s="295"/>
      <c r="Q9" s="295"/>
      <c r="R9" s="295"/>
    </row>
    <row r="10" spans="1:18">
      <c r="A10" s="153">
        <v>1</v>
      </c>
      <c r="B10" s="1367" t="s">
        <v>1043</v>
      </c>
      <c r="C10" s="972"/>
      <c r="D10" s="972"/>
      <c r="E10" s="972"/>
      <c r="F10" s="972"/>
      <c r="G10" s="919"/>
      <c r="H10" s="919"/>
      <c r="I10" s="919"/>
      <c r="J10" s="919"/>
      <c r="K10" s="295"/>
      <c r="L10" s="295"/>
      <c r="M10" s="295"/>
      <c r="N10" s="295"/>
      <c r="O10" s="295"/>
      <c r="P10" s="295"/>
      <c r="Q10" s="295"/>
      <c r="R10" s="295"/>
    </row>
    <row r="11" spans="1:18">
      <c r="A11" s="153">
        <v>2</v>
      </c>
      <c r="B11" s="1369" t="s">
        <v>1395</v>
      </c>
      <c r="C11" s="959"/>
      <c r="D11" s="959"/>
      <c r="E11" s="959"/>
      <c r="F11" s="959"/>
      <c r="G11" s="919"/>
      <c r="H11" s="919"/>
      <c r="I11" s="919"/>
      <c r="J11" s="919"/>
      <c r="K11" s="295"/>
      <c r="L11" s="295"/>
      <c r="M11" s="295"/>
      <c r="N11" s="295"/>
      <c r="O11" s="295"/>
      <c r="P11" s="295"/>
      <c r="Q11" s="295"/>
      <c r="R11" s="295"/>
    </row>
    <row r="12" spans="1:18">
      <c r="A12" s="153">
        <v>3</v>
      </c>
      <c r="B12" s="1372" t="s">
        <v>1396</v>
      </c>
      <c r="C12" s="970">
        <f>'F3'!E14</f>
        <v>116.9195204195691</v>
      </c>
      <c r="D12" s="970">
        <f>'F4'!D14</f>
        <v>87.114210805533119</v>
      </c>
      <c r="E12" s="970"/>
      <c r="F12" s="970">
        <f>SUM(C12:E12)</f>
        <v>204.0337312251022</v>
      </c>
      <c r="G12" s="983">
        <f ca="1">'F3'!H14</f>
        <v>0</v>
      </c>
      <c r="H12" s="983">
        <f ca="1">'F4'!F14</f>
        <v>0</v>
      </c>
      <c r="I12" s="983">
        <f ca="1">'F5'!F14</f>
        <v>17.680050319282643</v>
      </c>
      <c r="J12" s="983">
        <f ca="1">SUM(G12:I12)</f>
        <v>17.680050319282643</v>
      </c>
      <c r="K12" s="983">
        <f ca="1">'F3'!K14</f>
        <v>2160.7807927171684</v>
      </c>
      <c r="L12" s="983">
        <f ca="1">'F4'!H14</f>
        <v>1369.3629069715259</v>
      </c>
      <c r="M12" s="983">
        <f ca="1">'F5'!H14</f>
        <v>171.98083890319313</v>
      </c>
      <c r="N12" s="983">
        <f ca="1">SUM(K12:M12)</f>
        <v>3702.1245385918874</v>
      </c>
      <c r="O12" s="983">
        <f ca="1">'F3'!N14</f>
        <v>2309.9783929531877</v>
      </c>
      <c r="P12" s="983">
        <f ca="1">'F4'!J14</f>
        <v>2309.9783929531877</v>
      </c>
      <c r="Q12" s="983">
        <f>'F5'!K14</f>
        <v>0</v>
      </c>
      <c r="R12" s="983">
        <f ca="1">SUM(O12:Q12)</f>
        <v>4619.9567859063754</v>
      </c>
    </row>
    <row r="13" spans="1:18">
      <c r="A13" s="53"/>
      <c r="B13" s="1369" t="s">
        <v>1044</v>
      </c>
      <c r="C13" s="970">
        <f>'F3'!E15</f>
        <v>1032.9433084199625</v>
      </c>
      <c r="D13" s="970">
        <f>'F4'!D15</f>
        <v>769.62376168625281</v>
      </c>
      <c r="E13" s="970">
        <f>'F5'!D15</f>
        <v>26.687790494119504</v>
      </c>
      <c r="F13" s="970">
        <f t="shared" ref="F13:F76" si="0">SUM(C13:E13)</f>
        <v>1829.254860600335</v>
      </c>
      <c r="G13" s="983">
        <f ca="1">'F3'!H15</f>
        <v>895.94246493024775</v>
      </c>
      <c r="H13" s="983">
        <f ca="1">'F4'!F15</f>
        <v>626.0491665331125</v>
      </c>
      <c r="I13" s="983">
        <f ca="1">'F5'!F15</f>
        <v>26.907463863359258</v>
      </c>
      <c r="J13" s="983">
        <f t="shared" ref="J13:J76" ca="1" si="1">SUM(G13:I13)</f>
        <v>1548.8990953267194</v>
      </c>
      <c r="K13" s="983">
        <f ca="1">'F3'!K15</f>
        <v>634.45948505329113</v>
      </c>
      <c r="L13" s="983">
        <f ca="1">'F4'!H15</f>
        <v>402.0793260179413</v>
      </c>
      <c r="M13" s="983">
        <f ca="1">'F5'!H15</f>
        <v>14.273122220739886</v>
      </c>
      <c r="N13" s="983">
        <f t="shared" ref="N13:N76" ca="1" si="2">SUM(K13:M13)</f>
        <v>1050.8119332919723</v>
      </c>
      <c r="O13" s="983">
        <f ca="1">'F3'!N15</f>
        <v>300.70979376828086</v>
      </c>
      <c r="P13" s="983">
        <f ca="1">'F4'!J15</f>
        <v>300.70979376828086</v>
      </c>
      <c r="Q13" s="983">
        <f>'F5'!K15</f>
        <v>0</v>
      </c>
      <c r="R13" s="983">
        <f t="shared" ref="R13:R76" ca="1" si="3">SUM(O13:Q13)</f>
        <v>601.41958753656172</v>
      </c>
    </row>
    <row r="14" spans="1:18">
      <c r="A14" s="53"/>
      <c r="B14" s="1369" t="s">
        <v>1045</v>
      </c>
      <c r="C14" s="970">
        <f>'F3'!E16</f>
        <v>2662.017319610854</v>
      </c>
      <c r="D14" s="970">
        <f>'F4'!D16</f>
        <v>1983.4116417547893</v>
      </c>
      <c r="E14" s="970">
        <f>'F5'!D16</f>
        <v>100.39840390238722</v>
      </c>
      <c r="F14" s="970">
        <f t="shared" si="0"/>
        <v>4745.8273652680309</v>
      </c>
      <c r="G14" s="983">
        <f ca="1">'F3'!H16</f>
        <v>2741.2890219184687</v>
      </c>
      <c r="H14" s="983">
        <f ca="1">'F4'!F16</f>
        <v>1915.504370620539</v>
      </c>
      <c r="I14" s="983">
        <f ca="1">'F5'!F16</f>
        <v>136.92647367087707</v>
      </c>
      <c r="J14" s="983">
        <f t="shared" ca="1" si="1"/>
        <v>4793.7198662098854</v>
      </c>
      <c r="K14" s="983">
        <f ca="1">'F3'!K16</f>
        <v>811.1350470139929</v>
      </c>
      <c r="L14" s="983">
        <f ca="1">'F4'!H16</f>
        <v>514.04485344800764</v>
      </c>
      <c r="M14" s="983">
        <f ca="1">'F5'!H16</f>
        <v>33.772527230651541</v>
      </c>
      <c r="N14" s="983">
        <f t="shared" ca="1" si="2"/>
        <v>1358.9524276926522</v>
      </c>
      <c r="O14" s="983">
        <f ca="1">'F3'!N16</f>
        <v>1010.9770854934367</v>
      </c>
      <c r="P14" s="983">
        <f ca="1">'F4'!J16</f>
        <v>1010.9770854934367</v>
      </c>
      <c r="Q14" s="983">
        <f>'F5'!K16</f>
        <v>0</v>
      </c>
      <c r="R14" s="983">
        <f t="shared" ca="1" si="3"/>
        <v>2021.9541709868734</v>
      </c>
    </row>
    <row r="15" spans="1:18">
      <c r="A15" s="53"/>
      <c r="B15" s="1369" t="s">
        <v>1046</v>
      </c>
      <c r="C15" s="970">
        <f>'F3'!E17</f>
        <v>15.967019036218206</v>
      </c>
      <c r="D15" s="970">
        <f>'F4'!D17</f>
        <v>11.89668121512638</v>
      </c>
      <c r="E15" s="970">
        <f>'F5'!D17</f>
        <v>5.4409753407955114E-3</v>
      </c>
      <c r="F15" s="970">
        <f t="shared" si="0"/>
        <v>27.869141226685382</v>
      </c>
      <c r="G15" s="983">
        <f ca="1">'F3'!H17</f>
        <v>7.501371499865698</v>
      </c>
      <c r="H15" s="983">
        <f ca="1">'F4'!F17</f>
        <v>5.2416617798239784</v>
      </c>
      <c r="I15" s="983">
        <f ca="1">'F5'!F17</f>
        <v>4.0052881040750584E-4</v>
      </c>
      <c r="J15" s="983">
        <f t="shared" ca="1" si="1"/>
        <v>12.743433808500084</v>
      </c>
      <c r="K15" s="983">
        <f ca="1">'F3'!K17</f>
        <v>3.8176126124627436</v>
      </c>
      <c r="L15" s="983">
        <f ca="1">'F4'!H17</f>
        <v>2.4193555969735123</v>
      </c>
      <c r="M15" s="983">
        <f ca="1">'F5'!H17</f>
        <v>4.249227420989778E-4</v>
      </c>
      <c r="N15" s="983">
        <f t="shared" ca="1" si="2"/>
        <v>6.2373931321783553</v>
      </c>
      <c r="O15" s="983">
        <f ca="1">'F3'!N17</f>
        <v>3.8868677546372665</v>
      </c>
      <c r="P15" s="983">
        <f ca="1">'F4'!J17</f>
        <v>3.8868677546372665</v>
      </c>
      <c r="Q15" s="983">
        <f>'F5'!K17</f>
        <v>0</v>
      </c>
      <c r="R15" s="983">
        <f t="shared" ca="1" si="3"/>
        <v>7.7737355092745331</v>
      </c>
    </row>
    <row r="16" spans="1:18">
      <c r="A16" s="53"/>
      <c r="B16" s="1369" t="s">
        <v>1047</v>
      </c>
      <c r="C16" s="970">
        <f>'F3'!E18</f>
        <v>1353.9213321224001</v>
      </c>
      <c r="D16" s="970">
        <f>'F4'!D18</f>
        <v>1008.777558421101</v>
      </c>
      <c r="E16" s="970">
        <f>'F5'!D18</f>
        <v>28.395159953728584</v>
      </c>
      <c r="F16" s="970">
        <f t="shared" si="0"/>
        <v>2391.0940504972295</v>
      </c>
      <c r="G16" s="983">
        <f ca="1">'F3'!H18</f>
        <v>2200.8558824158908</v>
      </c>
      <c r="H16" s="983">
        <f ca="1">'F4'!F18</f>
        <v>1537.8710629071882</v>
      </c>
      <c r="I16" s="983">
        <f ca="1">'F5'!F18</f>
        <v>60.552099606949206</v>
      </c>
      <c r="J16" s="983">
        <f t="shared" ca="1" si="1"/>
        <v>3799.2790449300282</v>
      </c>
      <c r="K16" s="983">
        <f ca="1">'F3'!K18</f>
        <v>2234.9554776418431</v>
      </c>
      <c r="L16" s="983">
        <f ca="1">'F4'!H18</f>
        <v>1416.3700177874377</v>
      </c>
      <c r="M16" s="983">
        <f ca="1">'F5'!H18</f>
        <v>73.519092322019731</v>
      </c>
      <c r="N16" s="983">
        <f t="shared" ca="1" si="2"/>
        <v>3724.8445877513004</v>
      </c>
      <c r="O16" s="983">
        <f ca="1">'F3'!N18</f>
        <v>2580.2598991867326</v>
      </c>
      <c r="P16" s="983">
        <f ca="1">'F4'!J18</f>
        <v>2580.2598991867326</v>
      </c>
      <c r="Q16" s="983">
        <f>'F5'!K18</f>
        <v>0</v>
      </c>
      <c r="R16" s="983">
        <f t="shared" ca="1" si="3"/>
        <v>5160.5197983734652</v>
      </c>
    </row>
    <row r="17" spans="1:18">
      <c r="A17" s="53"/>
      <c r="B17" s="1369" t="s">
        <v>1425</v>
      </c>
      <c r="C17" s="970">
        <f>'F3'!E19</f>
        <v>5181.7684996090038</v>
      </c>
      <c r="D17" s="970">
        <f>'F4'!D19</f>
        <v>3860.8238538828027</v>
      </c>
      <c r="E17" s="970">
        <f>'F5'!D19</f>
        <v>161.86852175454456</v>
      </c>
      <c r="F17" s="970">
        <f t="shared" si="0"/>
        <v>9204.4608752463519</v>
      </c>
      <c r="G17" s="983">
        <f ca="1">'F3'!H19</f>
        <v>6151.7036628115147</v>
      </c>
      <c r="H17" s="983">
        <f ca="1">'F4'!F19</f>
        <v>4298.5672647647962</v>
      </c>
      <c r="I17" s="983">
        <f ca="1">'F5'!F19</f>
        <v>242.06648798927858</v>
      </c>
      <c r="J17" s="983">
        <f t="shared" ca="1" si="1"/>
        <v>10692.337415565591</v>
      </c>
      <c r="K17" s="983">
        <f ca="1">'F3'!K19</f>
        <v>5845.1484150387587</v>
      </c>
      <c r="L17" s="983">
        <f ca="1">'F4'!H19</f>
        <v>3704.2764598218864</v>
      </c>
      <c r="M17" s="983">
        <f ca="1">'F5'!H19</f>
        <v>293.54600559934642</v>
      </c>
      <c r="N17" s="983">
        <f t="shared" ca="1" si="2"/>
        <v>9842.9708804599904</v>
      </c>
      <c r="O17" s="983">
        <f ca="1">'F3'!N19</f>
        <v>6205.8120391562752</v>
      </c>
      <c r="P17" s="983">
        <f ca="1">'F4'!J19</f>
        <v>6205.8120391562752</v>
      </c>
      <c r="Q17" s="983">
        <f>'F5'!K19</f>
        <v>0</v>
      </c>
      <c r="R17" s="983">
        <f t="shared" ca="1" si="3"/>
        <v>12411.62407831255</v>
      </c>
    </row>
    <row r="18" spans="1:18">
      <c r="A18" s="53"/>
      <c r="B18" s="1369" t="s">
        <v>1446</v>
      </c>
      <c r="C18" s="970">
        <f>'F3'!E20</f>
        <v>0</v>
      </c>
      <c r="D18" s="970">
        <f>'F4'!D20</f>
        <v>0</v>
      </c>
      <c r="E18" s="970">
        <f>'F5'!D20</f>
        <v>0</v>
      </c>
      <c r="F18" s="970">
        <f t="shared" si="0"/>
        <v>0</v>
      </c>
      <c r="G18" s="983">
        <f ca="1">'F3'!H20</f>
        <v>0</v>
      </c>
      <c r="H18" s="983">
        <f ca="1">'F4'!F20</f>
        <v>0</v>
      </c>
      <c r="I18" s="983">
        <f>'F5'!F20</f>
        <v>0</v>
      </c>
      <c r="J18" s="983">
        <f t="shared" ca="1" si="1"/>
        <v>0</v>
      </c>
      <c r="K18" s="983">
        <f ca="1">'F3'!K20</f>
        <v>0</v>
      </c>
      <c r="L18" s="983">
        <f ca="1">'F4'!H20</f>
        <v>0</v>
      </c>
      <c r="M18" s="983">
        <f>'F5'!H20</f>
        <v>0</v>
      </c>
      <c r="N18" s="983">
        <f t="shared" ca="1" si="2"/>
        <v>0</v>
      </c>
      <c r="O18" s="983">
        <f ca="1">'F3'!N20</f>
        <v>0</v>
      </c>
      <c r="P18" s="983">
        <f ca="1">'F4'!J20</f>
        <v>0</v>
      </c>
      <c r="Q18" s="983">
        <f>'F5'!K20</f>
        <v>0</v>
      </c>
      <c r="R18" s="983">
        <f t="shared" ca="1" si="3"/>
        <v>0</v>
      </c>
    </row>
    <row r="19" spans="1:18">
      <c r="A19" s="53"/>
      <c r="B19" s="1367" t="s">
        <v>1398</v>
      </c>
      <c r="C19" s="970">
        <f>'F3'!E21</f>
        <v>0</v>
      </c>
      <c r="D19" s="970">
        <f>'F4'!D21</f>
        <v>0</v>
      </c>
      <c r="E19" s="970">
        <f>'F5'!D21</f>
        <v>0</v>
      </c>
      <c r="F19" s="970">
        <f t="shared" si="0"/>
        <v>0</v>
      </c>
      <c r="G19" s="983">
        <f ca="1">'F3'!H21</f>
        <v>0</v>
      </c>
      <c r="H19" s="983">
        <f ca="1">'F4'!F21</f>
        <v>0</v>
      </c>
      <c r="I19" s="983">
        <f ca="1">'F5'!F21</f>
        <v>0</v>
      </c>
      <c r="J19" s="983">
        <f t="shared" ca="1" si="1"/>
        <v>0</v>
      </c>
      <c r="K19" s="983">
        <f ca="1">'F3'!K21</f>
        <v>0</v>
      </c>
      <c r="L19" s="983">
        <f ca="1">'F4'!H21</f>
        <v>0</v>
      </c>
      <c r="M19" s="983">
        <f ca="1">'F5'!H21</f>
        <v>0</v>
      </c>
      <c r="N19" s="983">
        <f t="shared" ca="1" si="2"/>
        <v>0</v>
      </c>
      <c r="O19" s="983">
        <f ca="1">'F3'!N21</f>
        <v>0</v>
      </c>
      <c r="P19" s="983">
        <f ca="1">'F4'!J21</f>
        <v>0</v>
      </c>
      <c r="Q19" s="983">
        <f>'F5'!K21</f>
        <v>0</v>
      </c>
      <c r="R19" s="983">
        <f t="shared" ca="1" si="3"/>
        <v>0</v>
      </c>
    </row>
    <row r="20" spans="1:18">
      <c r="A20" s="53"/>
      <c r="B20" s="1377" t="s">
        <v>1051</v>
      </c>
      <c r="C20" s="970">
        <f>'F3'!E22</f>
        <v>18.095954907713971</v>
      </c>
      <c r="D20" s="970">
        <f>'F4'!D22</f>
        <v>13.482905377143233</v>
      </c>
      <c r="E20" s="970">
        <f>'F5'!D22</f>
        <v>0.57074325916747859</v>
      </c>
      <c r="F20" s="970">
        <f t="shared" si="0"/>
        <v>32.149603544024679</v>
      </c>
      <c r="G20" s="983">
        <f ca="1">'F3'!H22</f>
        <v>18.509752395140112</v>
      </c>
      <c r="H20" s="983">
        <f ca="1">'F4'!F22</f>
        <v>12.933883048632946</v>
      </c>
      <c r="I20" s="983">
        <f ca="1">'F5'!F22</f>
        <v>0.36084564826866988</v>
      </c>
      <c r="J20" s="983">
        <f t="shared" ca="1" si="1"/>
        <v>31.804481092041726</v>
      </c>
      <c r="K20" s="983">
        <f ca="1">'F3'!K22</f>
        <v>0</v>
      </c>
      <c r="L20" s="983">
        <f ca="1">'F4'!H22</f>
        <v>0</v>
      </c>
      <c r="M20" s="983">
        <f ca="1">'F5'!H22</f>
        <v>0</v>
      </c>
      <c r="N20" s="983">
        <f t="shared" ca="1" si="2"/>
        <v>0</v>
      </c>
      <c r="O20" s="983">
        <f ca="1">'F3'!N22</f>
        <v>0</v>
      </c>
      <c r="P20" s="983">
        <f ca="1">'F4'!J22</f>
        <v>0</v>
      </c>
      <c r="Q20" s="983">
        <f>'F5'!K22</f>
        <v>0</v>
      </c>
      <c r="R20" s="983">
        <f t="shared" ca="1" si="3"/>
        <v>0</v>
      </c>
    </row>
    <row r="21" spans="1:18">
      <c r="A21" s="53"/>
      <c r="B21" s="1377" t="s">
        <v>1052</v>
      </c>
      <c r="C21" s="970">
        <f>'F3'!E23</f>
        <v>76.559809224943706</v>
      </c>
      <c r="D21" s="970">
        <f>'F4'!D23</f>
        <v>57.043061210990594</v>
      </c>
      <c r="E21" s="970">
        <f>'F5'!D23</f>
        <v>1.322178513644696</v>
      </c>
      <c r="F21" s="970">
        <f t="shared" si="0"/>
        <v>134.92504894957901</v>
      </c>
      <c r="G21" s="983">
        <f ca="1">'F3'!H23</f>
        <v>234.79929730793441</v>
      </c>
      <c r="H21" s="983">
        <f ca="1">'F4'!F23</f>
        <v>164.06846436689099</v>
      </c>
      <c r="I21" s="983">
        <f ca="1">'F5'!F23</f>
        <v>2.6071652665764273</v>
      </c>
      <c r="J21" s="983">
        <f t="shared" ca="1" si="1"/>
        <v>401.4749269414018</v>
      </c>
      <c r="K21" s="983">
        <f ca="1">'F3'!K23</f>
        <v>319.51689428916558</v>
      </c>
      <c r="L21" s="983">
        <f ca="1">'F4'!H23</f>
        <v>202.48911165122331</v>
      </c>
      <c r="M21" s="983">
        <f ca="1">'F5'!H23</f>
        <v>3.5601051505815362</v>
      </c>
      <c r="N21" s="983">
        <f t="shared" ca="1" si="2"/>
        <v>525.56611109097037</v>
      </c>
      <c r="O21" s="983">
        <f ca="1">'F3'!N23</f>
        <v>337.55802639866579</v>
      </c>
      <c r="P21" s="983">
        <f ca="1">'F4'!J23</f>
        <v>337.55802639866579</v>
      </c>
      <c r="Q21" s="983">
        <f>'F5'!K23</f>
        <v>0</v>
      </c>
      <c r="R21" s="983">
        <f t="shared" ca="1" si="3"/>
        <v>675.11605279733158</v>
      </c>
    </row>
    <row r="22" spans="1:18">
      <c r="A22" s="53"/>
      <c r="B22" s="1377" t="s">
        <v>1399</v>
      </c>
      <c r="C22" s="970">
        <f>'F3'!E24</f>
        <v>0.40941074451841558</v>
      </c>
      <c r="D22" s="970">
        <f>'F4'!D24</f>
        <v>0.30504310808016361</v>
      </c>
      <c r="E22" s="970">
        <f>'F5'!D24</f>
        <v>8.1292042641134526E-3</v>
      </c>
      <c r="F22" s="970">
        <f t="shared" si="0"/>
        <v>0.72258305686269264</v>
      </c>
      <c r="G22" s="983">
        <f ca="1">'F3'!H24</f>
        <v>17.474248520271217</v>
      </c>
      <c r="H22" s="983">
        <f ca="1">'F4'!F24</f>
        <v>12.210313887465942</v>
      </c>
      <c r="I22" s="983">
        <f ca="1">'F5'!F24</f>
        <v>0.22891762010213604</v>
      </c>
      <c r="J22" s="983">
        <f t="shared" ca="1" si="1"/>
        <v>29.913480027839299</v>
      </c>
      <c r="K22" s="983">
        <f ca="1">'F3'!K24</f>
        <v>24.821708737393568</v>
      </c>
      <c r="L22" s="983">
        <f ca="1">'F4'!H24</f>
        <v>15.730391230429097</v>
      </c>
      <c r="M22" s="983">
        <f ca="1">'F5'!H24</f>
        <v>0.2725425413276375</v>
      </c>
      <c r="N22" s="983">
        <f t="shared" ca="1" si="2"/>
        <v>40.824642509150301</v>
      </c>
      <c r="O22" s="983">
        <f ca="1">'F3'!N24</f>
        <v>25.524718244415073</v>
      </c>
      <c r="P22" s="983">
        <f ca="1">'F4'!J24</f>
        <v>25.524718244415073</v>
      </c>
      <c r="Q22" s="983">
        <f>'F5'!K24</f>
        <v>0</v>
      </c>
      <c r="R22" s="983">
        <f t="shared" ca="1" si="3"/>
        <v>51.049436488830146</v>
      </c>
    </row>
    <row r="23" spans="1:18">
      <c r="A23" s="53"/>
      <c r="B23" s="1377" t="s">
        <v>1054</v>
      </c>
      <c r="C23" s="970">
        <f>'F3'!E25</f>
        <v>724.2476070530771</v>
      </c>
      <c r="D23" s="970">
        <f>'F4'!D25</f>
        <v>539.62125819380935</v>
      </c>
      <c r="E23" s="970">
        <f>'F5'!D25</f>
        <v>7.0762787594282814</v>
      </c>
      <c r="F23" s="970">
        <f t="shared" si="0"/>
        <v>1270.9451440063146</v>
      </c>
      <c r="G23" s="983">
        <f ca="1">'F3'!H25</f>
        <v>641.1356500698605</v>
      </c>
      <c r="H23" s="983">
        <f ca="1">'F4'!F25</f>
        <v>448.00024005129671</v>
      </c>
      <c r="I23" s="983">
        <f ca="1">'F5'!F25</f>
        <v>10.636874427900626</v>
      </c>
      <c r="J23" s="983">
        <f t="shared" ca="1" si="1"/>
        <v>1099.7727645490579</v>
      </c>
      <c r="K23" s="983">
        <f ca="1">'F3'!K25</f>
        <v>600.59310032862652</v>
      </c>
      <c r="L23" s="983">
        <f ca="1">'F4'!H25</f>
        <v>380.61700499422193</v>
      </c>
      <c r="M23" s="983">
        <f ca="1">'F5'!H25</f>
        <v>12.789333408058974</v>
      </c>
      <c r="N23" s="983">
        <f t="shared" ca="1" si="2"/>
        <v>993.9994387309074</v>
      </c>
      <c r="O23" s="983">
        <f ca="1">'F3'!N25</f>
        <v>634.50485792500876</v>
      </c>
      <c r="P23" s="983">
        <f ca="1">'F4'!J25</f>
        <v>634.50485792500876</v>
      </c>
      <c r="Q23" s="983">
        <f>'F5'!K25</f>
        <v>0</v>
      </c>
      <c r="R23" s="983">
        <f t="shared" ca="1" si="3"/>
        <v>1269.0097158500175</v>
      </c>
    </row>
    <row r="24" spans="1:18">
      <c r="B24" s="1369" t="s">
        <v>1425</v>
      </c>
      <c r="C24" s="970">
        <f>'F3'!E26</f>
        <v>819.3127819302531</v>
      </c>
      <c r="D24" s="970">
        <f>'F4'!D26</f>
        <v>610.45226789002334</v>
      </c>
      <c r="E24" s="970">
        <f>'F5'!D26</f>
        <v>8.9773297365045686</v>
      </c>
      <c r="F24" s="970">
        <f t="shared" si="0"/>
        <v>1438.7423795567811</v>
      </c>
      <c r="G24" s="983">
        <f ca="1">'F3'!H26</f>
        <v>911.9189482932062</v>
      </c>
      <c r="H24" s="983">
        <f ca="1">'F4'!F26</f>
        <v>637.21290135428649</v>
      </c>
      <c r="I24" s="983">
        <f ca="1">'F5'!F26</f>
        <v>13.83380296284786</v>
      </c>
      <c r="J24" s="983">
        <f t="shared" ca="1" si="1"/>
        <v>1562.9656526103406</v>
      </c>
      <c r="K24" s="983">
        <f ca="1">'F3'!K26</f>
        <v>944.93170335518573</v>
      </c>
      <c r="L24" s="983">
        <f ca="1">'F4'!H26</f>
        <v>598.8365078758743</v>
      </c>
      <c r="M24" s="983">
        <f ca="1">'F5'!H26</f>
        <v>16.621981099968149</v>
      </c>
      <c r="N24" s="983">
        <f t="shared" ca="1" si="2"/>
        <v>1560.3901923310282</v>
      </c>
      <c r="O24" s="983">
        <f ca="1">'F3'!N26</f>
        <v>997.58760256808955</v>
      </c>
      <c r="P24" s="983">
        <f ca="1">'F4'!J26</f>
        <v>997.58760256808955</v>
      </c>
      <c r="Q24" s="983">
        <f>'F5'!K26</f>
        <v>0</v>
      </c>
      <c r="R24" s="983">
        <f t="shared" ca="1" si="3"/>
        <v>1995.1752051361791</v>
      </c>
    </row>
    <row r="25" spans="1:18">
      <c r="B25" s="1369" t="s">
        <v>1446</v>
      </c>
      <c r="C25" s="970">
        <f>'F3'!E27</f>
        <v>0</v>
      </c>
      <c r="D25" s="970">
        <f>'F4'!D27</f>
        <v>0</v>
      </c>
      <c r="E25" s="970">
        <f>'F5'!D27</f>
        <v>0</v>
      </c>
      <c r="F25" s="970">
        <f t="shared" si="0"/>
        <v>0</v>
      </c>
      <c r="G25" s="983">
        <f ca="1">'F3'!H27</f>
        <v>0</v>
      </c>
      <c r="H25" s="983">
        <f>'F4'!F27</f>
        <v>0</v>
      </c>
      <c r="I25" s="983">
        <f>'F5'!F27</f>
        <v>0</v>
      </c>
      <c r="J25" s="983">
        <f t="shared" ca="1" si="1"/>
        <v>0</v>
      </c>
      <c r="K25" s="983">
        <f ca="1">'F3'!K27</f>
        <v>0</v>
      </c>
      <c r="L25" s="983">
        <f>'F4'!H27</f>
        <v>0</v>
      </c>
      <c r="M25" s="983">
        <f>'F5'!H27</f>
        <v>0</v>
      </c>
      <c r="N25" s="983">
        <f t="shared" ca="1" si="2"/>
        <v>0</v>
      </c>
      <c r="O25" s="983">
        <f ca="1">'F3'!N27</f>
        <v>0</v>
      </c>
      <c r="P25" s="983">
        <f>'F4'!J27</f>
        <v>0</v>
      </c>
      <c r="Q25" s="983">
        <f>'F5'!K27</f>
        <v>0</v>
      </c>
      <c r="R25" s="983">
        <f t="shared" ca="1" si="3"/>
        <v>0</v>
      </c>
    </row>
    <row r="26" spans="1:18">
      <c r="B26" s="1367" t="s">
        <v>1400</v>
      </c>
      <c r="C26" s="970">
        <f>'F3'!E28</f>
        <v>0</v>
      </c>
      <c r="D26" s="970">
        <f>'F4'!D28</f>
        <v>0</v>
      </c>
      <c r="E26" s="970">
        <f>'F5'!D28</f>
        <v>0</v>
      </c>
      <c r="F26" s="970">
        <f t="shared" si="0"/>
        <v>0</v>
      </c>
      <c r="G26" s="983">
        <f ca="1">'F3'!H28</f>
        <v>0</v>
      </c>
      <c r="H26" s="983">
        <f>'F4'!F28</f>
        <v>0</v>
      </c>
      <c r="I26" s="983">
        <f ca="1">'F5'!F28</f>
        <v>0</v>
      </c>
      <c r="J26" s="983">
        <f t="shared" ca="1" si="1"/>
        <v>0</v>
      </c>
      <c r="K26" s="983">
        <f ca="1">'F3'!K28</f>
        <v>0</v>
      </c>
      <c r="L26" s="983">
        <f>'F4'!H28</f>
        <v>0</v>
      </c>
      <c r="M26" s="983">
        <f ca="1">'F5'!H28</f>
        <v>0</v>
      </c>
      <c r="N26" s="983">
        <f t="shared" ca="1" si="2"/>
        <v>0</v>
      </c>
      <c r="O26" s="983">
        <f ca="1">'F3'!N28</f>
        <v>0</v>
      </c>
      <c r="P26" s="983">
        <f>'F4'!J28</f>
        <v>0</v>
      </c>
      <c r="Q26" s="983">
        <f>'F5'!K28</f>
        <v>0</v>
      </c>
      <c r="R26" s="983">
        <f t="shared" ca="1" si="3"/>
        <v>0</v>
      </c>
    </row>
    <row r="27" spans="1:18">
      <c r="B27" s="1377" t="s">
        <v>1401</v>
      </c>
      <c r="C27" s="970">
        <f>'F3'!E29</f>
        <v>0</v>
      </c>
      <c r="D27" s="970">
        <f>'F4'!D29</f>
        <v>0</v>
      </c>
      <c r="E27" s="970">
        <f>'F5'!D29</f>
        <v>5.677539486047491E-3</v>
      </c>
      <c r="F27" s="970">
        <f t="shared" si="0"/>
        <v>5.677539486047491E-3</v>
      </c>
      <c r="G27" s="983">
        <f ca="1">'F3'!H29</f>
        <v>0</v>
      </c>
      <c r="H27" s="983">
        <f ca="1">'F4'!F29</f>
        <v>0</v>
      </c>
      <c r="I27" s="983">
        <f ca="1">'F5'!F29</f>
        <v>1.0074840077173417E-2</v>
      </c>
      <c r="J27" s="983">
        <f t="shared" ca="1" si="1"/>
        <v>1.0074840077173417E-2</v>
      </c>
      <c r="K27" s="983">
        <f ca="1">'F3'!K29</f>
        <v>0</v>
      </c>
      <c r="L27" s="983">
        <f ca="1">'F4'!H29</f>
        <v>0</v>
      </c>
      <c r="M27" s="983">
        <f ca="1">'F5'!H29</f>
        <v>5.9380229344600738E-3</v>
      </c>
      <c r="N27" s="983">
        <f t="shared" ca="1" si="2"/>
        <v>5.9380229344600738E-3</v>
      </c>
      <c r="O27" s="983">
        <f ca="1">'F3'!N29</f>
        <v>0</v>
      </c>
      <c r="P27" s="983">
        <f ca="1">'F4'!J29</f>
        <v>0</v>
      </c>
      <c r="Q27" s="983">
        <f>'F5'!K29</f>
        <v>0</v>
      </c>
      <c r="R27" s="983">
        <f t="shared" ca="1" si="3"/>
        <v>0</v>
      </c>
    </row>
    <row r="28" spans="1:18">
      <c r="B28" s="1378" t="s">
        <v>1060</v>
      </c>
      <c r="C28" s="970">
        <f>'F3'!E30</f>
        <v>1.2282322335552467</v>
      </c>
      <c r="D28" s="970">
        <f>'F4'!D30</f>
        <v>0.91512932424049087</v>
      </c>
      <c r="E28" s="970">
        <f>'F5'!D30</f>
        <v>6.236691102097622E-4</v>
      </c>
      <c r="F28" s="970">
        <f t="shared" si="0"/>
        <v>2.1439852269059476</v>
      </c>
      <c r="G28" s="983">
        <f ca="1">'F3'!H30</f>
        <v>2.240374879317923</v>
      </c>
      <c r="H28" s="983">
        <f ca="1">'F4'!F30</f>
        <v>1.5654853752555467</v>
      </c>
      <c r="I28" s="983">
        <f ca="1">'F5'!F30</f>
        <v>1.8794044180659893E-3</v>
      </c>
      <c r="J28" s="983">
        <f t="shared" ca="1" si="1"/>
        <v>3.8077396589915358</v>
      </c>
      <c r="K28" s="983">
        <f ca="1">'F3'!K30</f>
        <v>1.0941466271397851</v>
      </c>
      <c r="L28" s="983">
        <f ca="1">'F4'!H30</f>
        <v>0.69339926152765541</v>
      </c>
      <c r="M28" s="983">
        <f ca="1">'F5'!H30</f>
        <v>1.1077045841041727E-3</v>
      </c>
      <c r="N28" s="983">
        <f t="shared" ca="1" si="2"/>
        <v>1.7886535932515446</v>
      </c>
      <c r="O28" s="983">
        <f ca="1">'F3'!N30</f>
        <v>0.55699774644385269</v>
      </c>
      <c r="P28" s="983">
        <f ca="1">'F4'!J30</f>
        <v>0.55699774644385269</v>
      </c>
      <c r="Q28" s="983">
        <f>'F5'!K30</f>
        <v>0</v>
      </c>
      <c r="R28" s="983">
        <f t="shared" ca="1" si="3"/>
        <v>1.1139954928877054</v>
      </c>
    </row>
    <row r="29" spans="1:18">
      <c r="B29" s="1378" t="s">
        <v>1061</v>
      </c>
      <c r="C29" s="970">
        <f>'F3'!E31</f>
        <v>13.53511921377882</v>
      </c>
      <c r="D29" s="970">
        <f>'F4'!D31</f>
        <v>10.08472515313021</v>
      </c>
      <c r="E29" s="970">
        <f>'F5'!D31</f>
        <v>4.5377304225606829E-3</v>
      </c>
      <c r="F29" s="970">
        <f t="shared" si="0"/>
        <v>23.624382097331591</v>
      </c>
      <c r="G29" s="983">
        <f ca="1">'F3'!H31</f>
        <v>19.726204058021974</v>
      </c>
      <c r="H29" s="983">
        <f ca="1">'F4'!F31</f>
        <v>13.783891368904158</v>
      </c>
      <c r="I29" s="983">
        <f ca="1">'F5'!F31</f>
        <v>7.2403284958279905E-3</v>
      </c>
      <c r="J29" s="983">
        <f t="shared" ca="1" si="1"/>
        <v>33.517335755421954</v>
      </c>
      <c r="K29" s="983">
        <f ca="1">'F3'!K31</f>
        <v>9.6338161240795941</v>
      </c>
      <c r="L29" s="983">
        <f ca="1">'F4'!H31</f>
        <v>6.1052886518440834</v>
      </c>
      <c r="M29" s="983">
        <f ca="1">'F5'!H31</f>
        <v>4.2673865125324685E-3</v>
      </c>
      <c r="N29" s="983">
        <f t="shared" ca="1" si="2"/>
        <v>15.743372162436211</v>
      </c>
      <c r="O29" s="983">
        <f ca="1">'F3'!N31</f>
        <v>4.9042913789298179</v>
      </c>
      <c r="P29" s="983">
        <f ca="1">'F4'!J31</f>
        <v>4.9042913789298179</v>
      </c>
      <c r="Q29" s="983">
        <f>'F5'!K31</f>
        <v>0</v>
      </c>
      <c r="R29" s="983">
        <f t="shared" ca="1" si="3"/>
        <v>9.8085827578596358</v>
      </c>
    </row>
    <row r="30" spans="1:18">
      <c r="B30" s="1378" t="s">
        <v>1062</v>
      </c>
      <c r="C30" s="970">
        <f>'F3'!E32</f>
        <v>4.9129289342209868</v>
      </c>
      <c r="D30" s="970">
        <f>'F4'!D32</f>
        <v>3.6605172969619635</v>
      </c>
      <c r="E30" s="970">
        <f>'F5'!D32</f>
        <v>5.1613995327704453E-4</v>
      </c>
      <c r="F30" s="970">
        <f t="shared" si="0"/>
        <v>8.5739623711362274</v>
      </c>
      <c r="G30" s="983">
        <f ca="1">'F3'!H32</f>
        <v>7.2605903099497722</v>
      </c>
      <c r="H30" s="983">
        <f ca="1">'F4'!F32</f>
        <v>5.0734134054426478</v>
      </c>
      <c r="I30" s="983">
        <f ca="1">'F5'!F32</f>
        <v>9.5510716327943702E-4</v>
      </c>
      <c r="J30" s="983">
        <f t="shared" ca="1" si="1"/>
        <v>12.3349588225557</v>
      </c>
      <c r="K30" s="983">
        <f ca="1">'F3'!K32</f>
        <v>3.5459022826991919</v>
      </c>
      <c r="L30" s="983">
        <f ca="1">'F4'!H32</f>
        <v>2.2471631893617556</v>
      </c>
      <c r="M30" s="983">
        <f ca="1">'F5'!H32</f>
        <v>5.6293183782343196E-4</v>
      </c>
      <c r="N30" s="983">
        <f t="shared" ca="1" si="2"/>
        <v>5.7936284038987704</v>
      </c>
      <c r="O30" s="983">
        <f ca="1">'F3'!N32</f>
        <v>1.8051141698773749</v>
      </c>
      <c r="P30" s="983">
        <f ca="1">'F4'!J32</f>
        <v>1.8051141698773749</v>
      </c>
      <c r="Q30" s="983">
        <f>'F5'!K32</f>
        <v>0</v>
      </c>
      <c r="R30" s="983">
        <f t="shared" ca="1" si="3"/>
        <v>3.6102283397547499</v>
      </c>
    </row>
    <row r="31" spans="1:18">
      <c r="B31" s="1377" t="s">
        <v>476</v>
      </c>
      <c r="C31" s="970">
        <f>'F3'!E33</f>
        <v>0</v>
      </c>
      <c r="D31" s="970">
        <f>'F4'!D33</f>
        <v>0</v>
      </c>
      <c r="E31" s="970">
        <f>'F5'!D33</f>
        <v>1.806489836469656E-3</v>
      </c>
      <c r="F31" s="970">
        <f t="shared" si="0"/>
        <v>1.806489836469656E-3</v>
      </c>
      <c r="G31" s="983">
        <f ca="1">'F3'!H33</f>
        <v>0</v>
      </c>
      <c r="H31" s="983">
        <f ca="1">'F4'!F33</f>
        <v>0</v>
      </c>
      <c r="I31" s="983">
        <f ca="1">'F5'!F33</f>
        <v>3.4507097512031276E-3</v>
      </c>
      <c r="J31" s="983">
        <f t="shared" ca="1" si="1"/>
        <v>3.4507097512031276E-3</v>
      </c>
      <c r="K31" s="983">
        <f ca="1">'F3'!K33</f>
        <v>0</v>
      </c>
      <c r="L31" s="983">
        <f ca="1">'F4'!H33</f>
        <v>0</v>
      </c>
      <c r="M31" s="983">
        <f ca="1">'F5'!H33</f>
        <v>1.1389382215576019E-2</v>
      </c>
      <c r="N31" s="983">
        <f t="shared" ca="1" si="2"/>
        <v>1.1389382215576019E-2</v>
      </c>
      <c r="O31" s="983">
        <f ca="1">'F3'!N33</f>
        <v>0</v>
      </c>
      <c r="P31" s="983">
        <f ca="1">'F4'!J33</f>
        <v>0</v>
      </c>
      <c r="Q31" s="983">
        <f>'F5'!K33</f>
        <v>0</v>
      </c>
      <c r="R31" s="983">
        <f t="shared" ca="1" si="3"/>
        <v>0</v>
      </c>
    </row>
    <row r="32" spans="1:18">
      <c r="B32" s="1378" t="s">
        <v>1063</v>
      </c>
      <c r="C32" s="970">
        <f>'F3'!E34</f>
        <v>0.12282322335552466</v>
      </c>
      <c r="D32" s="970">
        <f>'F4'!D34</f>
        <v>9.1512932424049079E-2</v>
      </c>
      <c r="E32" s="970">
        <f>'F5'!D34</f>
        <v>4.3011662773087042E-5</v>
      </c>
      <c r="F32" s="970">
        <f t="shared" si="0"/>
        <v>0.21437916744234684</v>
      </c>
      <c r="G32" s="983">
        <f ca="1">'F3'!H34</f>
        <v>0.73247664587650385</v>
      </c>
      <c r="H32" s="983">
        <f ca="1">'F4'!F34</f>
        <v>0.51182571605382721</v>
      </c>
      <c r="I32" s="983">
        <f ca="1">'F5'!F34</f>
        <v>3.3890899342173573E-4</v>
      </c>
      <c r="J32" s="983">
        <f t="shared" ca="1" si="1"/>
        <v>1.2446412709237529</v>
      </c>
      <c r="K32" s="983">
        <f ca="1">'F3'!K34</f>
        <v>1.1447182114999399</v>
      </c>
      <c r="L32" s="983">
        <f ca="1">'F4'!H34</f>
        <v>0.72544825604065033</v>
      </c>
      <c r="M32" s="983">
        <f ca="1">'F5'!H34</f>
        <v>1.1186000390297876E-3</v>
      </c>
      <c r="N32" s="983">
        <f t="shared" ca="1" si="2"/>
        <v>1.87128506757962</v>
      </c>
      <c r="O32" s="983">
        <f ca="1">'F3'!N34</f>
        <v>1.3985813929574806</v>
      </c>
      <c r="P32" s="983">
        <f ca="1">'F4'!J34</f>
        <v>1.3985813929574806</v>
      </c>
      <c r="Q32" s="983">
        <f>'F5'!K34</f>
        <v>0</v>
      </c>
      <c r="R32" s="983">
        <f t="shared" ca="1" si="3"/>
        <v>2.7971627859149613</v>
      </c>
    </row>
    <row r="33" spans="2:18">
      <c r="B33" s="1378" t="s">
        <v>1064</v>
      </c>
      <c r="C33" s="970">
        <f>'F3'!E35</f>
        <v>4.380694966347046</v>
      </c>
      <c r="D33" s="970">
        <f>'F4'!D35</f>
        <v>3.2639612564577507</v>
      </c>
      <c r="E33" s="970">
        <f>'F5'!D35</f>
        <v>1.0322799065540891E-3</v>
      </c>
      <c r="F33" s="970">
        <f t="shared" si="0"/>
        <v>7.6456885027113506</v>
      </c>
      <c r="G33" s="983">
        <f ca="1">'F3'!H35</f>
        <v>7.4970287529533879</v>
      </c>
      <c r="H33" s="983">
        <f ca="1">'F4'!F35</f>
        <v>5.2386272400054779</v>
      </c>
      <c r="I33" s="983">
        <f ca="1">'F5'!F35</f>
        <v>1.848594509573104E-3</v>
      </c>
      <c r="J33" s="983">
        <f t="shared" ca="1" si="1"/>
        <v>12.737504587468438</v>
      </c>
      <c r="K33" s="983">
        <f ca="1">'F3'!K35</f>
        <v>11.716394500707883</v>
      </c>
      <c r="L33" s="983">
        <f ca="1">'F4'!H35</f>
        <v>7.4250919328745608</v>
      </c>
      <c r="M33" s="983">
        <f ca="1">'F5'!H35</f>
        <v>6.1014547583442954E-3</v>
      </c>
      <c r="N33" s="983">
        <f t="shared" ca="1" si="2"/>
        <v>19.147587888340787</v>
      </c>
      <c r="O33" s="983">
        <f ca="1">'F3'!N35</f>
        <v>14.314729316456111</v>
      </c>
      <c r="P33" s="983">
        <f ca="1">'F4'!J35</f>
        <v>14.314729316456111</v>
      </c>
      <c r="Q33" s="983">
        <f>'F5'!K35</f>
        <v>0</v>
      </c>
      <c r="R33" s="983">
        <f t="shared" ca="1" si="3"/>
        <v>28.629458632912222</v>
      </c>
    </row>
    <row r="34" spans="2:18">
      <c r="B34" s="1378" t="s">
        <v>1065</v>
      </c>
      <c r="C34" s="970">
        <f>'F3'!E36</f>
        <v>16.785840525255036</v>
      </c>
      <c r="D34" s="970">
        <f>'F4'!D36</f>
        <v>12.506767431286708</v>
      </c>
      <c r="E34" s="970">
        <f>'F5'!D36</f>
        <v>7.3119826714247986E-4</v>
      </c>
      <c r="F34" s="970">
        <f t="shared" si="0"/>
        <v>29.293339154808887</v>
      </c>
      <c r="G34" s="983">
        <f ca="1">'F3'!H36</f>
        <v>23.282431251770216</v>
      </c>
      <c r="H34" s="983">
        <f ca="1">'F4'!F36</f>
        <v>16.268842309165493</v>
      </c>
      <c r="I34" s="983">
        <f ca="1">'F5'!F36</f>
        <v>1.2632062482082879E-3</v>
      </c>
      <c r="J34" s="983">
        <f t="shared" ca="1" si="1"/>
        <v>39.552536767183923</v>
      </c>
      <c r="K34" s="983">
        <f ca="1">'F3'!K36</f>
        <v>36.385901464481947</v>
      </c>
      <c r="L34" s="983">
        <f ca="1">'F4'!H36</f>
        <v>23.059027537692629</v>
      </c>
      <c r="M34" s="983">
        <f ca="1">'F5'!H36</f>
        <v>4.1693274182019353E-3</v>
      </c>
      <c r="N34" s="983">
        <f t="shared" ca="1" si="2"/>
        <v>59.449098329592779</v>
      </c>
      <c r="O34" s="983">
        <f ca="1">'F3'!N36</f>
        <v>44.455171799467315</v>
      </c>
      <c r="P34" s="983">
        <f ca="1">'F4'!J36</f>
        <v>44.455171799467315</v>
      </c>
      <c r="Q34" s="983">
        <f>'F5'!K36</f>
        <v>0</v>
      </c>
      <c r="R34" s="983">
        <f t="shared" ca="1" si="3"/>
        <v>88.910343598934631</v>
      </c>
    </row>
    <row r="35" spans="2:18">
      <c r="B35" s="1369" t="s">
        <v>1425</v>
      </c>
      <c r="C35" s="970">
        <f>'F3'!E37</f>
        <v>40.96563909651266</v>
      </c>
      <c r="D35" s="970">
        <f>'F4'!D37</f>
        <v>30.522613394501175</v>
      </c>
      <c r="E35" s="970">
        <f>'F5'!D37</f>
        <v>7.4840293225171464E-3</v>
      </c>
      <c r="F35" s="970">
        <f t="shared" si="0"/>
        <v>71.495736520336351</v>
      </c>
      <c r="G35" s="983">
        <f ca="1">'F3'!H37</f>
        <v>60.739105897889779</v>
      </c>
      <c r="H35" s="983">
        <f ca="1">'F4'!F37</f>
        <v>42.442085414827154</v>
      </c>
      <c r="I35" s="983">
        <f ca="1">'F5'!F37</f>
        <v>1.3525549828376546E-2</v>
      </c>
      <c r="J35" s="983">
        <f t="shared" ca="1" si="1"/>
        <v>103.19471686254531</v>
      </c>
      <c r="K35" s="983">
        <f ca="1">'F3'!K37</f>
        <v>63.520879210608342</v>
      </c>
      <c r="L35" s="983">
        <f ca="1">'F4'!H37</f>
        <v>40.255418829341338</v>
      </c>
      <c r="M35" s="983">
        <f ca="1">'F5'!H37</f>
        <v>1.7327405150036092E-2</v>
      </c>
      <c r="N35" s="983">
        <f t="shared" ca="1" si="2"/>
        <v>103.79362544509972</v>
      </c>
      <c r="O35" s="983">
        <f ca="1">'F3'!N37</f>
        <v>67.434885804131952</v>
      </c>
      <c r="P35" s="983">
        <f ca="1">'F4'!J37</f>
        <v>67.434885804131952</v>
      </c>
      <c r="Q35" s="983">
        <f>'F5'!K37</f>
        <v>0</v>
      </c>
      <c r="R35" s="983">
        <f t="shared" ca="1" si="3"/>
        <v>134.8697716082639</v>
      </c>
    </row>
    <row r="36" spans="2:18">
      <c r="B36" s="1369" t="s">
        <v>1446</v>
      </c>
      <c r="C36" s="970">
        <f>'F3'!E38</f>
        <v>0</v>
      </c>
      <c r="D36" s="970">
        <f>'F4'!D38</f>
        <v>0</v>
      </c>
      <c r="E36" s="970">
        <f>'F5'!D38</f>
        <v>0</v>
      </c>
      <c r="F36" s="970">
        <f t="shared" si="0"/>
        <v>0</v>
      </c>
      <c r="G36" s="983">
        <f ca="1">'F3'!H38</f>
        <v>0</v>
      </c>
      <c r="H36" s="983">
        <f>'F4'!F38</f>
        <v>0</v>
      </c>
      <c r="I36" s="983">
        <f>'F5'!F38</f>
        <v>0</v>
      </c>
      <c r="J36" s="983">
        <f t="shared" ca="1" si="1"/>
        <v>0</v>
      </c>
      <c r="K36" s="983">
        <f ca="1">'F3'!K38</f>
        <v>0</v>
      </c>
      <c r="L36" s="983">
        <f>'F4'!H38</f>
        <v>0</v>
      </c>
      <c r="M36" s="983">
        <f>'F5'!H38</f>
        <v>0</v>
      </c>
      <c r="N36" s="983">
        <f t="shared" ca="1" si="2"/>
        <v>0</v>
      </c>
      <c r="O36" s="983">
        <f ca="1">'F3'!N38</f>
        <v>0</v>
      </c>
      <c r="P36" s="983">
        <f>'F4'!J38</f>
        <v>0</v>
      </c>
      <c r="Q36" s="983">
        <f>'F5'!K38</f>
        <v>0</v>
      </c>
      <c r="R36" s="983">
        <f t="shared" ca="1" si="3"/>
        <v>0</v>
      </c>
    </row>
    <row r="37" spans="2:18">
      <c r="B37" s="1367" t="s">
        <v>1067</v>
      </c>
      <c r="C37" s="970">
        <f>'F3'!E39</f>
        <v>0</v>
      </c>
      <c r="D37" s="970">
        <f>'F4'!D39</f>
        <v>0</v>
      </c>
      <c r="E37" s="970">
        <f>'F5'!D39</f>
        <v>0</v>
      </c>
      <c r="F37" s="970">
        <f t="shared" si="0"/>
        <v>0</v>
      </c>
      <c r="G37" s="983">
        <f ca="1">'F3'!H39</f>
        <v>0</v>
      </c>
      <c r="H37" s="983">
        <f>'F4'!F39</f>
        <v>0</v>
      </c>
      <c r="I37" s="983">
        <f ca="1">'F5'!F39</f>
        <v>0</v>
      </c>
      <c r="J37" s="983">
        <f t="shared" ca="1" si="1"/>
        <v>0</v>
      </c>
      <c r="K37" s="983">
        <f ca="1">'F3'!K39</f>
        <v>0</v>
      </c>
      <c r="L37" s="983">
        <f>'F4'!H39</f>
        <v>0</v>
      </c>
      <c r="M37" s="983">
        <f ca="1">'F5'!H39</f>
        <v>0</v>
      </c>
      <c r="N37" s="983">
        <f t="shared" ca="1" si="2"/>
        <v>0</v>
      </c>
      <c r="O37" s="983">
        <f ca="1">'F3'!N39</f>
        <v>0</v>
      </c>
      <c r="P37" s="983">
        <f>'F4'!J39</f>
        <v>0</v>
      </c>
      <c r="Q37" s="983">
        <f>'F5'!K39</f>
        <v>0</v>
      </c>
      <c r="R37" s="983">
        <f t="shared" ca="1" si="3"/>
        <v>0</v>
      </c>
    </row>
    <row r="38" spans="2:18">
      <c r="B38" s="1377" t="s">
        <v>1068</v>
      </c>
      <c r="C38" s="970">
        <f>'F3'!E40</f>
        <v>63.049254655835995</v>
      </c>
      <c r="D38" s="970">
        <f>'F4'!D40</f>
        <v>46.976638644345194</v>
      </c>
      <c r="E38" s="970">
        <f>'F5'!D40</f>
        <v>0.40869681966987315</v>
      </c>
      <c r="F38" s="970">
        <f t="shared" si="0"/>
        <v>110.43459011985107</v>
      </c>
      <c r="G38" s="983">
        <f ca="1">'F3'!H40</f>
        <v>98.884829720762738</v>
      </c>
      <c r="H38" s="983">
        <f ca="1">'F4'!F40</f>
        <v>69.096808838357632</v>
      </c>
      <c r="I38" s="983">
        <f ca="1">'F5'!F40</f>
        <v>0.75823184800990151</v>
      </c>
      <c r="J38" s="983">
        <f t="shared" ca="1" si="1"/>
        <v>168.73987040713027</v>
      </c>
      <c r="K38" s="983">
        <f ca="1">'F3'!K40</f>
        <v>93.303709075786983</v>
      </c>
      <c r="L38" s="983">
        <f ca="1">'F4'!H40</f>
        <v>59.129847285702425</v>
      </c>
      <c r="M38" s="983">
        <f ca="1">'F5'!H40</f>
        <v>0.90272839058858112</v>
      </c>
      <c r="N38" s="983">
        <f t="shared" ca="1" si="2"/>
        <v>153.336284752078</v>
      </c>
      <c r="O38" s="983">
        <f ca="1">'F3'!N40</f>
        <v>98.796180652602274</v>
      </c>
      <c r="P38" s="983">
        <f ca="1">'F4'!J40</f>
        <v>98.796180652602274</v>
      </c>
      <c r="Q38" s="983">
        <f>'F5'!K40</f>
        <v>0</v>
      </c>
      <c r="R38" s="983">
        <f t="shared" ca="1" si="3"/>
        <v>197.59236130520455</v>
      </c>
    </row>
    <row r="39" spans="2:18">
      <c r="B39" s="1377" t="s">
        <v>1072</v>
      </c>
      <c r="C39" s="970">
        <f>'F3'!E41</f>
        <v>14.865704133463668</v>
      </c>
      <c r="D39" s="970">
        <f>'F4'!D41</f>
        <v>11.076115254390741</v>
      </c>
      <c r="E39" s="970">
        <f>'F5'!D41</f>
        <v>6.5248692426773044E-2</v>
      </c>
      <c r="F39" s="970">
        <f t="shared" si="0"/>
        <v>26.007068080281183</v>
      </c>
      <c r="G39" s="983">
        <f ca="1">'F3'!H41</f>
        <v>31.918707278053265</v>
      </c>
      <c r="H39" s="983">
        <f ca="1">'F4'!F41</f>
        <v>22.303530494891053</v>
      </c>
      <c r="I39" s="983">
        <f ca="1">'F5'!F41</f>
        <v>0.11408909114915342</v>
      </c>
      <c r="J39" s="983">
        <f t="shared" ca="1" si="1"/>
        <v>54.336326864093472</v>
      </c>
      <c r="K39" s="983">
        <f ca="1">'F3'!K41</f>
        <v>28.225196788273934</v>
      </c>
      <c r="L39" s="983">
        <f ca="1">'F4'!H41</f>
        <v>17.887301504208281</v>
      </c>
      <c r="M39" s="983">
        <f ca="1">'F5'!H41</f>
        <v>0.13583109428482393</v>
      </c>
      <c r="N39" s="983">
        <f t="shared" ca="1" si="2"/>
        <v>46.24832938676704</v>
      </c>
      <c r="O39" s="983">
        <f ca="1">'F3'!N41</f>
        <v>30.174090281400737</v>
      </c>
      <c r="P39" s="983">
        <f ca="1">'F4'!J41</f>
        <v>30.174090281400737</v>
      </c>
      <c r="Q39" s="983">
        <f>'F5'!K41</f>
        <v>0</v>
      </c>
      <c r="R39" s="983">
        <f t="shared" ca="1" si="3"/>
        <v>60.348180562801474</v>
      </c>
    </row>
    <row r="40" spans="2:18">
      <c r="B40" s="1369" t="s">
        <v>1425</v>
      </c>
      <c r="C40" s="970">
        <f>'F3'!E42</f>
        <v>77.914958789299661</v>
      </c>
      <c r="D40" s="970">
        <f>'F4'!D42</f>
        <v>58.052753898735936</v>
      </c>
      <c r="E40" s="970">
        <f>'F5'!D42</f>
        <v>0.47394551209664615</v>
      </c>
      <c r="F40" s="970">
        <f t="shared" si="0"/>
        <v>136.44165820013222</v>
      </c>
      <c r="G40" s="983">
        <f ca="1">'F3'!H42</f>
        <v>130.80353699881601</v>
      </c>
      <c r="H40" s="983">
        <f ca="1">'F4'!F42</f>
        <v>91.400339333248695</v>
      </c>
      <c r="I40" s="983">
        <f ca="1">'F5'!F42</f>
        <v>0.87232093915905484</v>
      </c>
      <c r="J40" s="983">
        <f t="shared" ca="1" si="1"/>
        <v>223.07619727122378</v>
      </c>
      <c r="K40" s="983">
        <f ca="1">'F3'!K42</f>
        <v>121.52890586406093</v>
      </c>
      <c r="L40" s="983">
        <f ca="1">'F4'!H42</f>
        <v>77.017148789910721</v>
      </c>
      <c r="M40" s="983">
        <f ca="1">'F5'!H42</f>
        <v>1.038559484873405</v>
      </c>
      <c r="N40" s="983">
        <f t="shared" ca="1" si="2"/>
        <v>199.58461413884507</v>
      </c>
      <c r="O40" s="983">
        <f ca="1">'F3'!N42</f>
        <v>128.97027093400303</v>
      </c>
      <c r="P40" s="983">
        <f ca="1">'F4'!J42</f>
        <v>128.97027093400303</v>
      </c>
      <c r="Q40" s="983">
        <f>'F5'!K42</f>
        <v>0</v>
      </c>
      <c r="R40" s="983">
        <f t="shared" ca="1" si="3"/>
        <v>257.94054186800605</v>
      </c>
    </row>
    <row r="41" spans="2:18">
      <c r="B41" s="1369" t="s">
        <v>1446</v>
      </c>
      <c r="C41" s="970">
        <f>'F3'!E43</f>
        <v>0</v>
      </c>
      <c r="D41" s="970">
        <f>'F4'!D43</f>
        <v>0</v>
      </c>
      <c r="E41" s="970">
        <f>'F5'!D43</f>
        <v>0</v>
      </c>
      <c r="F41" s="970">
        <f t="shared" si="0"/>
        <v>0</v>
      </c>
      <c r="G41" s="983">
        <f ca="1">'F3'!H43</f>
        <v>0</v>
      </c>
      <c r="H41" s="983">
        <f ca="1">'F4'!F43</f>
        <v>0</v>
      </c>
      <c r="I41" s="983">
        <f>'F5'!F43</f>
        <v>0</v>
      </c>
      <c r="J41" s="983">
        <f t="shared" ca="1" si="1"/>
        <v>0</v>
      </c>
      <c r="K41" s="983">
        <f ca="1">'F3'!K43</f>
        <v>0</v>
      </c>
      <c r="L41" s="983">
        <f ca="1">'F4'!H43</f>
        <v>0</v>
      </c>
      <c r="M41" s="983">
        <f>'F5'!H43</f>
        <v>0</v>
      </c>
      <c r="N41" s="983">
        <f t="shared" ca="1" si="2"/>
        <v>0</v>
      </c>
      <c r="O41" s="983">
        <f ca="1">'F3'!N43</f>
        <v>0</v>
      </c>
      <c r="P41" s="983">
        <f ca="1">'F4'!J43</f>
        <v>0</v>
      </c>
      <c r="Q41" s="983">
        <f>'F5'!K43</f>
        <v>0</v>
      </c>
      <c r="R41" s="983">
        <f t="shared" ca="1" si="3"/>
        <v>0</v>
      </c>
    </row>
    <row r="42" spans="2:18">
      <c r="B42" s="1367" t="s">
        <v>1076</v>
      </c>
      <c r="C42" s="970">
        <f>'F3'!E44</f>
        <v>0</v>
      </c>
      <c r="D42" s="970">
        <f>'F4'!D44</f>
        <v>0</v>
      </c>
      <c r="E42" s="970">
        <f>'F5'!D44</f>
        <v>0</v>
      </c>
      <c r="F42" s="970">
        <f t="shared" si="0"/>
        <v>0</v>
      </c>
      <c r="G42" s="983">
        <f ca="1">'F3'!H44</f>
        <v>0</v>
      </c>
      <c r="H42" s="983">
        <f ca="1">'F4'!F44</f>
        <v>0</v>
      </c>
      <c r="I42" s="983">
        <f ca="1">'F5'!F44</f>
        <v>0</v>
      </c>
      <c r="J42" s="983">
        <f t="shared" ca="1" si="1"/>
        <v>0</v>
      </c>
      <c r="K42" s="983">
        <f ca="1">'F3'!K44</f>
        <v>0</v>
      </c>
      <c r="L42" s="983">
        <f ca="1">'F4'!H44</f>
        <v>0</v>
      </c>
      <c r="M42" s="983">
        <f ca="1">'F5'!H44</f>
        <v>0</v>
      </c>
      <c r="N42" s="983">
        <f t="shared" ca="1" si="2"/>
        <v>0</v>
      </c>
      <c r="O42" s="983">
        <f ca="1">'F3'!N44</f>
        <v>0</v>
      </c>
      <c r="P42" s="983">
        <f ca="1">'F4'!J44</f>
        <v>0</v>
      </c>
      <c r="Q42" s="983">
        <f>'F5'!K44</f>
        <v>0</v>
      </c>
      <c r="R42" s="983">
        <f t="shared" ca="1" si="3"/>
        <v>0</v>
      </c>
    </row>
    <row r="43" spans="2:18">
      <c r="B43" s="1377" t="s">
        <v>1401</v>
      </c>
      <c r="C43" s="970">
        <f>'F3'!E45</f>
        <v>0</v>
      </c>
      <c r="D43" s="970">
        <f>'F4'!D45</f>
        <v>0</v>
      </c>
      <c r="E43" s="970">
        <f>'F5'!D45</f>
        <v>6.0463860001580976</v>
      </c>
      <c r="F43" s="970">
        <f t="shared" si="0"/>
        <v>6.0463860001580976</v>
      </c>
      <c r="G43" s="983">
        <f ca="1">'F3'!H45</f>
        <v>0</v>
      </c>
      <c r="H43" s="983">
        <f ca="1">'F4'!F45</f>
        <v>0</v>
      </c>
      <c r="I43" s="983">
        <f ca="1">'F5'!F45</f>
        <v>8.9221489707291095</v>
      </c>
      <c r="J43" s="983">
        <f t="shared" ca="1" si="1"/>
        <v>8.9221489707291095</v>
      </c>
      <c r="K43" s="983">
        <f ca="1">'F3'!K45</f>
        <v>0</v>
      </c>
      <c r="L43" s="983">
        <f ca="1">'F4'!H45</f>
        <v>0</v>
      </c>
      <c r="M43" s="983">
        <f ca="1">'F5'!H45</f>
        <v>10.517273685146725</v>
      </c>
      <c r="N43" s="983">
        <f t="shared" ca="1" si="2"/>
        <v>10.517273685146725</v>
      </c>
      <c r="O43" s="983">
        <f ca="1">'F3'!N45</f>
        <v>0</v>
      </c>
      <c r="P43" s="983">
        <f ca="1">'F4'!J45</f>
        <v>0</v>
      </c>
      <c r="Q43" s="983">
        <f>'F5'!K45</f>
        <v>0</v>
      </c>
      <c r="R43" s="983">
        <f t="shared" ca="1" si="3"/>
        <v>0</v>
      </c>
    </row>
    <row r="44" spans="2:18">
      <c r="B44" s="1378" t="s">
        <v>1077</v>
      </c>
      <c r="C44" s="970">
        <f>'F3'!E46</f>
        <v>815.59723653939875</v>
      </c>
      <c r="D44" s="970">
        <f>'F4'!D46</f>
        <v>607.68389522415123</v>
      </c>
      <c r="E44" s="970">
        <f>'F5'!D46</f>
        <v>6.0463860001580976</v>
      </c>
      <c r="F44" s="970">
        <f t="shared" si="0"/>
        <v>1429.3275177637081</v>
      </c>
      <c r="G44" s="983">
        <f ca="1">'F3'!H46</f>
        <v>1058.5686862476116</v>
      </c>
      <c r="H44" s="983">
        <f ca="1">'F4'!F46</f>
        <v>739.68593931415444</v>
      </c>
      <c r="I44" s="983">
        <f ca="1">'F5'!F46</f>
        <v>8.9221489707291095</v>
      </c>
      <c r="J44" s="983">
        <f t="shared" ca="1" si="1"/>
        <v>1807.1767745324951</v>
      </c>
      <c r="K44" s="983">
        <f ca="1">'F3'!K46</f>
        <v>1033.9622890370372</v>
      </c>
      <c r="L44" s="983">
        <f ca="1">'F4'!H46</f>
        <v>655.25832633593666</v>
      </c>
      <c r="M44" s="983">
        <f ca="1">'F5'!H46</f>
        <v>10.517273685146725</v>
      </c>
      <c r="N44" s="983">
        <f t="shared" ca="1" si="2"/>
        <v>1699.7378890581206</v>
      </c>
      <c r="O44" s="983">
        <f ca="1">'F3'!N46</f>
        <v>1052.7193533595382</v>
      </c>
      <c r="P44" s="983">
        <f ca="1">'F4'!J46</f>
        <v>1052.7193533595382</v>
      </c>
      <c r="Q44" s="983">
        <f>'F5'!K46</f>
        <v>0</v>
      </c>
      <c r="R44" s="983">
        <f t="shared" ca="1" si="3"/>
        <v>2105.4387067190764</v>
      </c>
    </row>
    <row r="45" spans="2:18">
      <c r="B45" s="1377" t="s">
        <v>476</v>
      </c>
      <c r="C45" s="970">
        <f>'F3'!E47</f>
        <v>0</v>
      </c>
      <c r="D45" s="970">
        <f>'F4'!D47</f>
        <v>0</v>
      </c>
      <c r="E45" s="970">
        <f>'F5'!D47</f>
        <v>0.53080693028266723</v>
      </c>
      <c r="F45" s="970">
        <f t="shared" si="0"/>
        <v>0.53080693028266723</v>
      </c>
      <c r="G45" s="983">
        <f ca="1">'F3'!H47</f>
        <v>0</v>
      </c>
      <c r="H45" s="983">
        <f ca="1">'F4'!F47</f>
        <v>0</v>
      </c>
      <c r="I45" s="983">
        <f ca="1">'F5'!F47</f>
        <v>0.88797237267344054</v>
      </c>
      <c r="J45" s="983">
        <f t="shared" ca="1" si="1"/>
        <v>0.88797237267344054</v>
      </c>
      <c r="K45" s="983">
        <f ca="1">'F3'!K47</f>
        <v>0</v>
      </c>
      <c r="L45" s="983">
        <f ca="1">'F4'!H47</f>
        <v>0</v>
      </c>
      <c r="M45" s="983">
        <f ca="1">'F5'!H47</f>
        <v>1.099062672439006</v>
      </c>
      <c r="N45" s="983">
        <f t="shared" ca="1" si="2"/>
        <v>1.099062672439006</v>
      </c>
      <c r="O45" s="983">
        <f ca="1">'F3'!N47</f>
        <v>0</v>
      </c>
      <c r="P45" s="983">
        <f ca="1">'F4'!J47</f>
        <v>0</v>
      </c>
      <c r="Q45" s="983">
        <f>'F5'!K47</f>
        <v>0</v>
      </c>
      <c r="R45" s="983">
        <f t="shared" ca="1" si="3"/>
        <v>0</v>
      </c>
    </row>
    <row r="46" spans="2:18">
      <c r="B46" s="1378" t="s">
        <v>1078</v>
      </c>
      <c r="C46" s="970">
        <f>'F3'!E48</f>
        <v>41.824521017489872</v>
      </c>
      <c r="D46" s="970">
        <f>'F4'!D48</f>
        <v>31.162547773744034</v>
      </c>
      <c r="E46" s="970">
        <f>'F5'!D48</f>
        <v>0.49469863938466069</v>
      </c>
      <c r="F46" s="970">
        <f t="shared" si="0"/>
        <v>73.481767430618575</v>
      </c>
      <c r="G46" s="983">
        <f ca="1">'F3'!H48</f>
        <v>74.08629726916115</v>
      </c>
      <c r="H46" s="983">
        <f ca="1">'F4'!F48</f>
        <v>51.768574961444344</v>
      </c>
      <c r="I46" s="983">
        <f ca="1">'F5'!F48</f>
        <v>0.57136975300055359</v>
      </c>
      <c r="J46" s="983">
        <f t="shared" ca="1" si="1"/>
        <v>126.42624198360605</v>
      </c>
      <c r="K46" s="983">
        <f ca="1">'F3'!K48</f>
        <v>101.30963548262055</v>
      </c>
      <c r="L46" s="983">
        <f ca="1">'F4'!H48</f>
        <v>64.203484877452681</v>
      </c>
      <c r="M46" s="983">
        <f ca="1">'F5'!H48</f>
        <v>0.70719674058434356</v>
      </c>
      <c r="N46" s="983">
        <f t="shared" ca="1" si="2"/>
        <v>166.22031710065758</v>
      </c>
      <c r="O46" s="983">
        <f ca="1">'F3'!N48</f>
        <v>118.61961248290237</v>
      </c>
      <c r="P46" s="983">
        <f ca="1">'F4'!J48</f>
        <v>118.61961248290237</v>
      </c>
      <c r="Q46" s="983">
        <f>'F5'!K48</f>
        <v>0</v>
      </c>
      <c r="R46" s="983">
        <f t="shared" ca="1" si="3"/>
        <v>237.23922496580474</v>
      </c>
    </row>
    <row r="47" spans="2:18">
      <c r="B47" s="1378" t="s">
        <v>1079</v>
      </c>
      <c r="C47" s="970">
        <f>'F3'!E49</f>
        <v>21.298650291804453</v>
      </c>
      <c r="D47" s="970">
        <f>'F4'!D49</f>
        <v>15.869164573506387</v>
      </c>
      <c r="E47" s="970">
        <f>'F5'!D49</f>
        <v>3.6108290898006573E-2</v>
      </c>
      <c r="F47" s="970">
        <f t="shared" si="0"/>
        <v>37.203923156208845</v>
      </c>
      <c r="G47" s="983">
        <f ca="1">'F3'!H49</f>
        <v>85.285759028577274</v>
      </c>
      <c r="H47" s="983">
        <f ca="1">'F4'!F49</f>
        <v>59.594315982267361</v>
      </c>
      <c r="I47" s="983">
        <f ca="1">'F5'!F49</f>
        <v>0.31660261967288694</v>
      </c>
      <c r="J47" s="983">
        <f t="shared" ca="1" si="1"/>
        <v>145.19667763051751</v>
      </c>
      <c r="K47" s="983">
        <f ca="1">'F3'!K49</f>
        <v>117.40743856079632</v>
      </c>
      <c r="L47" s="983">
        <f ca="1">'F4'!H49</f>
        <v>74.405229771374138</v>
      </c>
      <c r="M47" s="983">
        <f ca="1">'F5'!H49</f>
        <v>0.39186593185466245</v>
      </c>
      <c r="N47" s="983">
        <f t="shared" ca="1" si="2"/>
        <v>192.20453426402511</v>
      </c>
      <c r="O47" s="983">
        <f ca="1">'F3'!N49</f>
        <v>137.46791998951517</v>
      </c>
      <c r="P47" s="983">
        <f ca="1">'F4'!J49</f>
        <v>137.46791998951517</v>
      </c>
      <c r="Q47" s="983">
        <f>'F5'!K49</f>
        <v>0</v>
      </c>
      <c r="R47" s="983">
        <f t="shared" ca="1" si="3"/>
        <v>274.93583997903033</v>
      </c>
    </row>
    <row r="48" spans="2:18">
      <c r="B48" s="1369" t="s">
        <v>1425</v>
      </c>
      <c r="C48" s="970">
        <f>'F3'!E50</f>
        <v>878.72040784869296</v>
      </c>
      <c r="D48" s="970">
        <f>'F4'!D50</f>
        <v>654.71560757140162</v>
      </c>
      <c r="E48" s="970">
        <f>'F5'!D50</f>
        <v>6.5771929304407655</v>
      </c>
      <c r="F48" s="970">
        <f t="shared" si="0"/>
        <v>1540.0132083505353</v>
      </c>
      <c r="G48" s="983">
        <f ca="1">'F3'!H50</f>
        <v>1217.9407425453501</v>
      </c>
      <c r="H48" s="983">
        <f ca="1">'F4'!F50</f>
        <v>851.04883025786603</v>
      </c>
      <c r="I48" s="983">
        <f ca="1">'F5'!F50</f>
        <v>9.8101213434025496</v>
      </c>
      <c r="J48" s="983">
        <f t="shared" ca="1" si="1"/>
        <v>2078.7996941466185</v>
      </c>
      <c r="K48" s="983">
        <f ca="1">'F3'!K50</f>
        <v>1252.6793630804541</v>
      </c>
      <c r="L48" s="983">
        <f ca="1">'F4'!H50</f>
        <v>793.86704098476355</v>
      </c>
      <c r="M48" s="983">
        <f ca="1">'F5'!H50</f>
        <v>11.616336357585729</v>
      </c>
      <c r="N48" s="983">
        <f t="shared" ca="1" si="2"/>
        <v>2058.1627404228034</v>
      </c>
      <c r="O48" s="983">
        <f ca="1">'F3'!N50</f>
        <v>1308.8068858319557</v>
      </c>
      <c r="P48" s="983">
        <f ca="1">'F4'!J50</f>
        <v>1308.8068858319557</v>
      </c>
      <c r="Q48" s="983">
        <f>'F5'!K50</f>
        <v>0</v>
      </c>
      <c r="R48" s="983">
        <f t="shared" ca="1" si="3"/>
        <v>2617.6137716639114</v>
      </c>
    </row>
    <row r="49" spans="2:18">
      <c r="B49" s="1369" t="s">
        <v>1446</v>
      </c>
      <c r="C49" s="970">
        <f>'F3'!E51</f>
        <v>0</v>
      </c>
      <c r="D49" s="970">
        <f>'F4'!D51</f>
        <v>0</v>
      </c>
      <c r="E49" s="970">
        <f>'F5'!D51</f>
        <v>0</v>
      </c>
      <c r="F49" s="970">
        <f t="shared" si="0"/>
        <v>0</v>
      </c>
      <c r="G49" s="983">
        <f ca="1">'F3'!H51</f>
        <v>0</v>
      </c>
      <c r="H49" s="983">
        <f ca="1">'F4'!F51</f>
        <v>0</v>
      </c>
      <c r="I49" s="983">
        <f>'F5'!F51</f>
        <v>0</v>
      </c>
      <c r="J49" s="983">
        <f t="shared" ca="1" si="1"/>
        <v>0</v>
      </c>
      <c r="K49" s="983">
        <f ca="1">'F3'!K51</f>
        <v>0</v>
      </c>
      <c r="L49" s="983">
        <f ca="1">'F4'!H51</f>
        <v>0</v>
      </c>
      <c r="M49" s="983">
        <f>'F5'!H51</f>
        <v>0</v>
      </c>
      <c r="N49" s="983">
        <f t="shared" ca="1" si="2"/>
        <v>0</v>
      </c>
      <c r="O49" s="983">
        <f ca="1">'F3'!N51</f>
        <v>0</v>
      </c>
      <c r="P49" s="983">
        <f ca="1">'F4'!J51</f>
        <v>0</v>
      </c>
      <c r="Q49" s="983">
        <f>'F5'!K51</f>
        <v>0</v>
      </c>
      <c r="R49" s="983">
        <f t="shared" ca="1" si="3"/>
        <v>0</v>
      </c>
    </row>
    <row r="50" spans="2:18">
      <c r="B50" s="1367" t="s">
        <v>1081</v>
      </c>
      <c r="C50" s="970">
        <f>'F3'!E52</f>
        <v>0</v>
      </c>
      <c r="D50" s="970">
        <f>'F4'!D52</f>
        <v>0</v>
      </c>
      <c r="E50" s="970">
        <f>'F5'!D52</f>
        <v>0</v>
      </c>
      <c r="F50" s="970">
        <f t="shared" si="0"/>
        <v>0</v>
      </c>
      <c r="G50" s="983">
        <f ca="1">'F3'!H52</f>
        <v>0</v>
      </c>
      <c r="H50" s="983">
        <f ca="1">'F4'!F52</f>
        <v>0</v>
      </c>
      <c r="I50" s="983">
        <f ca="1">'F5'!F52</f>
        <v>0</v>
      </c>
      <c r="J50" s="983">
        <f t="shared" ca="1" si="1"/>
        <v>0</v>
      </c>
      <c r="K50" s="983">
        <f ca="1">'F3'!K52</f>
        <v>0</v>
      </c>
      <c r="L50" s="983">
        <f ca="1">'F4'!H52</f>
        <v>0</v>
      </c>
      <c r="M50" s="983">
        <f ca="1">'F5'!H52</f>
        <v>0</v>
      </c>
      <c r="N50" s="983">
        <f t="shared" ca="1" si="2"/>
        <v>0</v>
      </c>
      <c r="O50" s="983">
        <f ca="1">'F3'!N52</f>
        <v>0</v>
      </c>
      <c r="P50" s="983">
        <f ca="1">'F4'!J52</f>
        <v>0</v>
      </c>
      <c r="Q50" s="983">
        <f>'F5'!K52</f>
        <v>0</v>
      </c>
      <c r="R50" s="983">
        <f t="shared" ca="1" si="3"/>
        <v>0</v>
      </c>
    </row>
    <row r="51" spans="2:18">
      <c r="B51" s="1377" t="s">
        <v>1012</v>
      </c>
      <c r="C51" s="970">
        <f>'F3'!E53</f>
        <v>42.328976875758983</v>
      </c>
      <c r="D51" s="970">
        <f>'F4'!D53</f>
        <v>31.538406944408113</v>
      </c>
      <c r="E51" s="970">
        <f>'F5'!D53</f>
        <v>0.33609313290890219</v>
      </c>
      <c r="F51" s="970">
        <f t="shared" si="0"/>
        <v>74.203476953075992</v>
      </c>
      <c r="G51" s="983">
        <f ca="1">'F3'!H53</f>
        <v>128.03141688645729</v>
      </c>
      <c r="H51" s="983">
        <f ca="1">'F4'!F53</f>
        <v>89.463291415772247</v>
      </c>
      <c r="I51" s="983">
        <f ca="1">'F5'!F53</f>
        <v>0.59629496897129763</v>
      </c>
      <c r="J51" s="983">
        <f t="shared" ca="1" si="1"/>
        <v>218.09100327120083</v>
      </c>
      <c r="K51" s="983">
        <f ca="1">'F3'!K53</f>
        <v>115.38993341778131</v>
      </c>
      <c r="L51" s="983">
        <f ca="1">'F4'!H53</f>
        <v>73.126665690843339</v>
      </c>
      <c r="M51" s="983">
        <f ca="1">'F5'!H53</f>
        <v>0.70993113658884199</v>
      </c>
      <c r="N51" s="983">
        <f t="shared" ca="1" si="2"/>
        <v>189.22653024521347</v>
      </c>
      <c r="O51" s="983">
        <f ca="1">'F3'!N53</f>
        <v>121.00771362855588</v>
      </c>
      <c r="P51" s="983">
        <f ca="1">'F4'!J53</f>
        <v>121.00771362855588</v>
      </c>
      <c r="Q51" s="983">
        <f>'F5'!K53</f>
        <v>0</v>
      </c>
      <c r="R51" s="983">
        <f t="shared" ca="1" si="3"/>
        <v>242.01542725711175</v>
      </c>
    </row>
    <row r="52" spans="2:18">
      <c r="B52" s="1377" t="s">
        <v>1011</v>
      </c>
      <c r="C52" s="970">
        <f>'F3'!E54</f>
        <v>181.77837056617651</v>
      </c>
      <c r="D52" s="970">
        <f>'F4'!D54</f>
        <v>135.43913998759265</v>
      </c>
      <c r="E52" s="970">
        <f>'F5'!D54</f>
        <v>0.312780811685889</v>
      </c>
      <c r="F52" s="970">
        <f t="shared" si="0"/>
        <v>317.53029136545507</v>
      </c>
      <c r="G52" s="983">
        <f ca="1">'F3'!H54</f>
        <v>148.50119572135389</v>
      </c>
      <c r="H52" s="983">
        <f ca="1">'F4'!F54</f>
        <v>103.76676343582196</v>
      </c>
      <c r="I52" s="983">
        <f ca="1">'F5'!F54</f>
        <v>0.36047592936675527</v>
      </c>
      <c r="J52" s="983">
        <f t="shared" ca="1" si="1"/>
        <v>252.62843508654259</v>
      </c>
      <c r="K52" s="983">
        <f ca="1">'F3'!K54</f>
        <v>154.19258790037179</v>
      </c>
      <c r="L52" s="983">
        <f ca="1">'F4'!H54</f>
        <v>97.717274751966542</v>
      </c>
      <c r="M52" s="983">
        <f ca="1">'F5'!H54</f>
        <v>0.43342119694095727</v>
      </c>
      <c r="N52" s="983">
        <f t="shared" ca="1" si="2"/>
        <v>252.34328384927932</v>
      </c>
      <c r="O52" s="983">
        <f ca="1">'F3'!N54</f>
        <v>164.83927828491005</v>
      </c>
      <c r="P52" s="983">
        <f ca="1">'F4'!J54</f>
        <v>164.83927828491005</v>
      </c>
      <c r="Q52" s="983">
        <f>'F5'!K54</f>
        <v>0</v>
      </c>
      <c r="R52" s="983">
        <f t="shared" ca="1" si="3"/>
        <v>329.6785565698201</v>
      </c>
    </row>
    <row r="53" spans="2:18">
      <c r="B53" s="1369" t="s">
        <v>1425</v>
      </c>
      <c r="C53" s="970">
        <f>'F3'!E55</f>
        <v>224.10734744193547</v>
      </c>
      <c r="D53" s="970">
        <f>'F4'!D55</f>
        <v>166.97754693200073</v>
      </c>
      <c r="E53" s="970">
        <f>'F5'!D55</f>
        <v>0.6488739445947912</v>
      </c>
      <c r="F53" s="970">
        <f t="shared" si="0"/>
        <v>391.73376831853102</v>
      </c>
      <c r="G53" s="983">
        <f ca="1">'F3'!H55</f>
        <v>276.53261260781119</v>
      </c>
      <c r="H53" s="983">
        <f ca="1">'F4'!F55</f>
        <v>193.23005485159422</v>
      </c>
      <c r="I53" s="983">
        <f ca="1">'F5'!F55</f>
        <v>0.95677089833805284</v>
      </c>
      <c r="J53" s="983">
        <f t="shared" ca="1" si="1"/>
        <v>470.71943835774346</v>
      </c>
      <c r="K53" s="983">
        <f ca="1">'F3'!K55</f>
        <v>269.58252131815306</v>
      </c>
      <c r="L53" s="983">
        <f ca="1">'F4'!H55</f>
        <v>170.84394044280987</v>
      </c>
      <c r="M53" s="983">
        <f ca="1">'F5'!H55</f>
        <v>1.1433523335297995</v>
      </c>
      <c r="N53" s="983">
        <f t="shared" ca="1" si="2"/>
        <v>441.5698140944927</v>
      </c>
      <c r="O53" s="983">
        <f ca="1">'F3'!N55</f>
        <v>285.84699191346596</v>
      </c>
      <c r="P53" s="983">
        <f ca="1">'F4'!J55</f>
        <v>285.84699191346596</v>
      </c>
      <c r="Q53" s="983">
        <f>'F5'!K55</f>
        <v>0</v>
      </c>
      <c r="R53" s="983">
        <f t="shared" ca="1" si="3"/>
        <v>571.69398382693191</v>
      </c>
    </row>
    <row r="54" spans="2:18">
      <c r="B54" s="1369" t="s">
        <v>1446</v>
      </c>
      <c r="C54" s="970">
        <f>'F3'!E56</f>
        <v>0</v>
      </c>
      <c r="D54" s="970">
        <f>'F4'!D56</f>
        <v>0</v>
      </c>
      <c r="E54" s="970">
        <f>'F5'!D56</f>
        <v>0</v>
      </c>
      <c r="F54" s="970">
        <f t="shared" si="0"/>
        <v>0</v>
      </c>
      <c r="G54" s="983">
        <f ca="1">'F3'!H56</f>
        <v>0</v>
      </c>
      <c r="H54" s="983">
        <f ca="1">'F4'!F56</f>
        <v>0</v>
      </c>
      <c r="I54" s="983">
        <f>'F5'!F56</f>
        <v>0</v>
      </c>
      <c r="J54" s="983">
        <f t="shared" ca="1" si="1"/>
        <v>0</v>
      </c>
      <c r="K54" s="983">
        <f ca="1">'F3'!K56</f>
        <v>0</v>
      </c>
      <c r="L54" s="983">
        <f ca="1">'F4'!H56</f>
        <v>0</v>
      </c>
      <c r="M54" s="983">
        <f>'F5'!H56</f>
        <v>0</v>
      </c>
      <c r="N54" s="983">
        <f t="shared" ca="1" si="2"/>
        <v>0</v>
      </c>
      <c r="O54" s="983">
        <f ca="1">'F3'!N56</f>
        <v>0</v>
      </c>
      <c r="P54" s="983">
        <f ca="1">'F4'!J56</f>
        <v>0</v>
      </c>
      <c r="Q54" s="983">
        <f>'F5'!K56</f>
        <v>0</v>
      </c>
      <c r="R54" s="983">
        <f t="shared" ca="1" si="3"/>
        <v>0</v>
      </c>
    </row>
    <row r="55" spans="2:18">
      <c r="B55" s="1367" t="s">
        <v>1402</v>
      </c>
      <c r="C55" s="970">
        <f>'F3'!E57</f>
        <v>0</v>
      </c>
      <c r="D55" s="970">
        <f>'F4'!D57</f>
        <v>0</v>
      </c>
      <c r="E55" s="970">
        <f>'F5'!D57</f>
        <v>0</v>
      </c>
      <c r="F55" s="970">
        <f t="shared" si="0"/>
        <v>0</v>
      </c>
      <c r="G55" s="983">
        <f ca="1">'F3'!H57</f>
        <v>0</v>
      </c>
      <c r="H55" s="983">
        <f ca="1">'F4'!F57</f>
        <v>0</v>
      </c>
      <c r="I55" s="983">
        <f ca="1">'F5'!F57</f>
        <v>0</v>
      </c>
      <c r="J55" s="983">
        <f t="shared" ca="1" si="1"/>
        <v>0</v>
      </c>
      <c r="K55" s="983">
        <f ca="1">'F3'!K57</f>
        <v>0</v>
      </c>
      <c r="L55" s="983">
        <f ca="1">'F4'!H57</f>
        <v>0</v>
      </c>
      <c r="M55" s="983">
        <f ca="1">'F5'!H57</f>
        <v>0</v>
      </c>
      <c r="N55" s="983">
        <f t="shared" ca="1" si="2"/>
        <v>0</v>
      </c>
      <c r="O55" s="983">
        <f ca="1">'F3'!N57</f>
        <v>0</v>
      </c>
      <c r="P55" s="983">
        <f ca="1">'F4'!J57</f>
        <v>0</v>
      </c>
      <c r="Q55" s="983">
        <f>'F5'!K57</f>
        <v>0</v>
      </c>
      <c r="R55" s="983">
        <f t="shared" ca="1" si="3"/>
        <v>0</v>
      </c>
    </row>
    <row r="56" spans="2:18">
      <c r="B56" s="1377" t="s">
        <v>475</v>
      </c>
      <c r="C56" s="970">
        <f>'F3'!E58</f>
        <v>0</v>
      </c>
      <c r="D56" s="970">
        <f>'F4'!D58</f>
        <v>0</v>
      </c>
      <c r="E56" s="970">
        <f>'F5'!D58</f>
        <v>3.2387782068134544E-2</v>
      </c>
      <c r="F56" s="970">
        <f t="shared" si="0"/>
        <v>3.2387782068134544E-2</v>
      </c>
      <c r="G56" s="983">
        <f ca="1">'F3'!H58</f>
        <v>0</v>
      </c>
      <c r="H56" s="983">
        <f ca="1">'F4'!F58</f>
        <v>0</v>
      </c>
      <c r="I56" s="983">
        <f ca="1">'F5'!F58</f>
        <v>5.2130365169961536E-2</v>
      </c>
      <c r="J56" s="983">
        <f t="shared" ca="1" si="1"/>
        <v>5.2130365169961536E-2</v>
      </c>
      <c r="K56" s="983">
        <f ca="1">'F3'!K58</f>
        <v>0</v>
      </c>
      <c r="L56" s="983">
        <f ca="1">'F4'!H58</f>
        <v>0</v>
      </c>
      <c r="M56" s="983">
        <f ca="1">'F5'!H58</f>
        <v>6.8212811470965806E-2</v>
      </c>
      <c r="N56" s="983">
        <f t="shared" ca="1" si="2"/>
        <v>6.8212811470965806E-2</v>
      </c>
      <c r="O56" s="983">
        <f ca="1">'F3'!N58</f>
        <v>0</v>
      </c>
      <c r="P56" s="983">
        <f ca="1">'F4'!J58</f>
        <v>0</v>
      </c>
      <c r="Q56" s="983">
        <f>'F5'!K58</f>
        <v>0</v>
      </c>
      <c r="R56" s="983">
        <f t="shared" ca="1" si="3"/>
        <v>0</v>
      </c>
    </row>
    <row r="57" spans="2:18">
      <c r="B57" s="1378" t="s">
        <v>1091</v>
      </c>
      <c r="C57" s="970">
        <f>'F3'!E59</f>
        <v>41.789920487238383</v>
      </c>
      <c r="D57" s="970">
        <f>'F4'!D59</f>
        <v>31.136767665550853</v>
      </c>
      <c r="E57" s="970">
        <f>'F5'!D59</f>
        <v>2.7118853378431385E-2</v>
      </c>
      <c r="F57" s="970">
        <f t="shared" si="0"/>
        <v>72.953807006167665</v>
      </c>
      <c r="G57" s="983">
        <f ca="1">'F3'!H59</f>
        <v>47.092264989668905</v>
      </c>
      <c r="H57" s="983">
        <f ca="1">'F4'!F59</f>
        <v>32.906212620733378</v>
      </c>
      <c r="I57" s="983">
        <f ca="1">'F5'!F59</f>
        <v>4.4705177223176233E-2</v>
      </c>
      <c r="J57" s="983">
        <f t="shared" ca="1" si="1"/>
        <v>80.043182787625469</v>
      </c>
      <c r="K57" s="983">
        <f ca="1">'F3'!K59</f>
        <v>45.335642255292143</v>
      </c>
      <c r="L57" s="983">
        <f ca="1">'F4'!H59</f>
        <v>28.730793552668331</v>
      </c>
      <c r="M57" s="983">
        <f ca="1">'F5'!H59</f>
        <v>5.7967452022579358E-2</v>
      </c>
      <c r="N57" s="983">
        <f t="shared" ca="1" si="2"/>
        <v>74.124403259983055</v>
      </c>
      <c r="O57" s="983">
        <f ca="1">'F3'!N59</f>
        <v>50.77388155803721</v>
      </c>
      <c r="P57" s="983">
        <f ca="1">'F4'!J59</f>
        <v>50.77388155803721</v>
      </c>
      <c r="Q57" s="983">
        <f>'F5'!K59</f>
        <v>0</v>
      </c>
      <c r="R57" s="983">
        <f t="shared" ca="1" si="3"/>
        <v>101.54776311607442</v>
      </c>
    </row>
    <row r="58" spans="2:18">
      <c r="B58" s="1378" t="s">
        <v>1092</v>
      </c>
      <c r="C58" s="970">
        <f>'F3'!E60</f>
        <v>7.8527171146115284</v>
      </c>
      <c r="D58" s="970">
        <f>'F4'!D60</f>
        <v>5.8508900110403621</v>
      </c>
      <c r="E58" s="970">
        <f>'F5'!D60</f>
        <v>1.8279956678561994E-3</v>
      </c>
      <c r="F58" s="970">
        <f t="shared" si="0"/>
        <v>13.705435121319747</v>
      </c>
      <c r="G58" s="983">
        <f ca="1">'F3'!H60</f>
        <v>5.3468865039245976</v>
      </c>
      <c r="H58" s="983">
        <f ca="1">'F4'!F60</f>
        <v>3.7361928587565614</v>
      </c>
      <c r="I58" s="983">
        <f ca="1">'F5'!F60</f>
        <v>2.1875035029948397E-3</v>
      </c>
      <c r="J58" s="983">
        <f t="shared" ca="1" si="1"/>
        <v>9.0852668661841545</v>
      </c>
      <c r="K58" s="983">
        <f ca="1">'F3'!K60</f>
        <v>8.7343206091555015</v>
      </c>
      <c r="L58" s="983">
        <f ca="1">'F4'!H60</f>
        <v>5.5352466571744605</v>
      </c>
      <c r="M58" s="983">
        <f ca="1">'F5'!H60</f>
        <v>2.8364500989683902E-3</v>
      </c>
      <c r="N58" s="983">
        <f t="shared" ca="1" si="2"/>
        <v>14.272403716428929</v>
      </c>
      <c r="O58" s="983">
        <f ca="1">'F3'!N60</f>
        <v>9.7820464878804465</v>
      </c>
      <c r="P58" s="983">
        <f ca="1">'F4'!J60</f>
        <v>9.7820464878804465</v>
      </c>
      <c r="Q58" s="983">
        <f>'F5'!K60</f>
        <v>0</v>
      </c>
      <c r="R58" s="983">
        <f t="shared" ca="1" si="3"/>
        <v>19.564092975760893</v>
      </c>
    </row>
    <row r="59" spans="2:18">
      <c r="B59" s="1378" t="s">
        <v>1093</v>
      </c>
      <c r="C59" s="970">
        <f>'F3'!E61</f>
        <v>6.1538189197645092</v>
      </c>
      <c r="D59" s="970">
        <f>'F4'!D61</f>
        <v>4.585077638974969</v>
      </c>
      <c r="E59" s="970">
        <f>'F5'!D61</f>
        <v>3.4409330218469641E-3</v>
      </c>
      <c r="F59" s="970">
        <f t="shared" si="0"/>
        <v>10.742337491761326</v>
      </c>
      <c r="G59" s="983">
        <f ca="1">'F3'!H61</f>
        <v>6.9749340686066299</v>
      </c>
      <c r="H59" s="983">
        <f ca="1">'F4'!F61</f>
        <v>4.8738081196034733</v>
      </c>
      <c r="I59" s="983">
        <f ca="1">'F5'!F61</f>
        <v>5.2376844437904612E-3</v>
      </c>
      <c r="J59" s="983">
        <f t="shared" ca="1" si="1"/>
        <v>11.853979872653893</v>
      </c>
      <c r="K59" s="983">
        <f ca="1">'F3'!K61</f>
        <v>6.8930687647907547</v>
      </c>
      <c r="L59" s="983">
        <f ca="1">'F4'!H61</f>
        <v>4.3683805009386756</v>
      </c>
      <c r="M59" s="983">
        <f ca="1">'F5'!H61</f>
        <v>7.4089093494180734E-3</v>
      </c>
      <c r="N59" s="983">
        <f t="shared" ca="1" si="2"/>
        <v>11.268858175078849</v>
      </c>
      <c r="O59" s="983">
        <f ca="1">'F3'!N61</f>
        <v>8.4217387458007238</v>
      </c>
      <c r="P59" s="983">
        <f ca="1">'F4'!J61</f>
        <v>8.4217387458007238</v>
      </c>
      <c r="Q59" s="983">
        <f>'F5'!K61</f>
        <v>0</v>
      </c>
      <c r="R59" s="983">
        <f t="shared" ca="1" si="3"/>
        <v>16.843477491601448</v>
      </c>
    </row>
    <row r="60" spans="2:18">
      <c r="B60" s="1377" t="s">
        <v>1403</v>
      </c>
      <c r="C60" s="970">
        <f>'F3'!E62</f>
        <v>0</v>
      </c>
      <c r="D60" s="970">
        <f>'F4'!D62</f>
        <v>0</v>
      </c>
      <c r="E60" s="970">
        <f>'F5'!D62</f>
        <v>3.9699764739559343E-2</v>
      </c>
      <c r="F60" s="970">
        <f t="shared" si="0"/>
        <v>3.9699764739559343E-2</v>
      </c>
      <c r="G60" s="983">
        <f ca="1">'F3'!H62</f>
        <v>0</v>
      </c>
      <c r="H60" s="983">
        <f ca="1">'F4'!F62</f>
        <v>0</v>
      </c>
      <c r="I60" s="983">
        <f ca="1">'F5'!F62</f>
        <v>5.3424381326662704E-2</v>
      </c>
      <c r="J60" s="983">
        <f t="shared" ca="1" si="1"/>
        <v>5.3424381326662704E-2</v>
      </c>
      <c r="K60" s="983">
        <f ca="1">'F3'!K62</f>
        <v>0</v>
      </c>
      <c r="L60" s="983">
        <f ca="1">'F4'!H62</f>
        <v>0</v>
      </c>
      <c r="M60" s="983">
        <f ca="1">'F5'!H62</f>
        <v>6.4235244059454702E-2</v>
      </c>
      <c r="N60" s="983">
        <f t="shared" ca="1" si="2"/>
        <v>6.4235244059454702E-2</v>
      </c>
      <c r="O60" s="983">
        <f ca="1">'F3'!N62</f>
        <v>0</v>
      </c>
      <c r="P60" s="983">
        <f ca="1">'F4'!J62</f>
        <v>0</v>
      </c>
      <c r="Q60" s="983">
        <f>'F5'!K62</f>
        <v>0</v>
      </c>
      <c r="R60" s="983">
        <f t="shared" ca="1" si="3"/>
        <v>0</v>
      </c>
    </row>
    <row r="61" spans="2:18">
      <c r="B61" s="1378" t="s">
        <v>1094</v>
      </c>
      <c r="C61" s="970">
        <f>'F3'!E63</f>
        <v>12.627757738310946</v>
      </c>
      <c r="D61" s="970">
        <f>'F4'!D63</f>
        <v>9.408669704330249</v>
      </c>
      <c r="E61" s="970">
        <f>'F5'!D63</f>
        <v>1.1161526489616089E-2</v>
      </c>
      <c r="F61" s="970">
        <f t="shared" si="0"/>
        <v>22.04758896913081</v>
      </c>
      <c r="G61" s="983">
        <f ca="1">'F3'!H63</f>
        <v>18.349553286819294</v>
      </c>
      <c r="H61" s="983">
        <f ca="1">'F4'!F63</f>
        <v>12.821942246439356</v>
      </c>
      <c r="I61" s="983">
        <f ca="1">'F5'!F63</f>
        <v>1.1091567057438625E-2</v>
      </c>
      <c r="J61" s="983">
        <f t="shared" ca="1" si="1"/>
        <v>31.182587100316088</v>
      </c>
      <c r="K61" s="983">
        <f ca="1">'F3'!K63</f>
        <v>21.469750601611466</v>
      </c>
      <c r="L61" s="983">
        <f ca="1">'F4'!H63</f>
        <v>13.60613727911112</v>
      </c>
      <c r="M61" s="983">
        <f ca="1">'F5'!H63</f>
        <v>1.3336036828952532E-2</v>
      </c>
      <c r="N61" s="983">
        <f t="shared" ca="1" si="2"/>
        <v>35.089223917551543</v>
      </c>
      <c r="O61" s="983">
        <f ca="1">'F3'!N63</f>
        <v>22.296417049205907</v>
      </c>
      <c r="P61" s="983">
        <f ca="1">'F4'!J63</f>
        <v>22.296417049205907</v>
      </c>
      <c r="Q61" s="983">
        <f>'F5'!K63</f>
        <v>0</v>
      </c>
      <c r="R61" s="983">
        <f t="shared" ca="1" si="3"/>
        <v>44.592834098411814</v>
      </c>
    </row>
    <row r="62" spans="2:18">
      <c r="B62" s="1378" t="s">
        <v>1095</v>
      </c>
      <c r="C62" s="970">
        <f>'F3'!E64</f>
        <v>58.220250420723097</v>
      </c>
      <c r="D62" s="970">
        <f>'F4'!D64</f>
        <v>43.378651829065483</v>
      </c>
      <c r="E62" s="970">
        <f>'F5'!D64</f>
        <v>2.0538068974149067E-2</v>
      </c>
      <c r="F62" s="970">
        <f t="shared" si="0"/>
        <v>101.61944031876273</v>
      </c>
      <c r="G62" s="983">
        <f ca="1">'F3'!H64</f>
        <v>95.894124680484353</v>
      </c>
      <c r="H62" s="983">
        <f ca="1">'F4'!F64</f>
        <v>67.007022416683299</v>
      </c>
      <c r="I62" s="983">
        <f ca="1">'F5'!F64</f>
        <v>3.2627693093965286E-2</v>
      </c>
      <c r="J62" s="983">
        <f t="shared" ca="1" si="1"/>
        <v>162.93377479026162</v>
      </c>
      <c r="K62" s="983">
        <f ca="1">'F3'!K64</f>
        <v>83.264173422008412</v>
      </c>
      <c r="L62" s="983">
        <f ca="1">'F4'!H64</f>
        <v>52.7674398754557</v>
      </c>
      <c r="M62" s="983">
        <f ca="1">'F5'!H64</f>
        <v>3.9230175005168698E-2</v>
      </c>
      <c r="N62" s="983">
        <f t="shared" ca="1" si="2"/>
        <v>136.07084347246928</v>
      </c>
      <c r="O62" s="983">
        <f ca="1">'F3'!N64</f>
        <v>89.013398379056355</v>
      </c>
      <c r="P62" s="983">
        <f ca="1">'F4'!J64</f>
        <v>89.013398379056355</v>
      </c>
      <c r="Q62" s="983">
        <f>'F5'!K64</f>
        <v>0</v>
      </c>
      <c r="R62" s="983">
        <f t="shared" ca="1" si="3"/>
        <v>178.02679675811271</v>
      </c>
    </row>
    <row r="63" spans="2:18">
      <c r="B63" s="1378" t="s">
        <v>1096</v>
      </c>
      <c r="C63" s="970">
        <f>'F3'!E65</f>
        <v>9.3936171525769776</v>
      </c>
      <c r="D63" s="970">
        <f>'F4'!D65</f>
        <v>6.9989813670078886</v>
      </c>
      <c r="E63" s="970">
        <f>'F5'!D65</f>
        <v>8.000169275794191E-3</v>
      </c>
      <c r="F63" s="970">
        <f t="shared" si="0"/>
        <v>16.400598688860658</v>
      </c>
      <c r="G63" s="983">
        <f ca="1">'F3'!H65</f>
        <v>14.572328527977875</v>
      </c>
      <c r="H63" s="983">
        <f ca="1">'F4'!F65</f>
        <v>10.182566946525416</v>
      </c>
      <c r="I63" s="983">
        <f ca="1">'F5'!F65</f>
        <v>9.7051211752587959E-3</v>
      </c>
      <c r="J63" s="983">
        <f t="shared" ca="1" si="1"/>
        <v>24.764600595678552</v>
      </c>
      <c r="K63" s="983">
        <f ca="1">'F3'!K65</f>
        <v>20.533414339460109</v>
      </c>
      <c r="L63" s="983">
        <f ca="1">'F4'!H65</f>
        <v>13.012748005120908</v>
      </c>
      <c r="M63" s="983">
        <f ca="1">'F5'!H65</f>
        <v>1.1669032225333466E-2</v>
      </c>
      <c r="N63" s="983">
        <f t="shared" ca="1" si="2"/>
        <v>33.557831376806355</v>
      </c>
      <c r="O63" s="983">
        <f ca="1">'F3'!N65</f>
        <v>21.951205609368117</v>
      </c>
      <c r="P63" s="983">
        <f ca="1">'F4'!J65</f>
        <v>21.951205609368117</v>
      </c>
      <c r="Q63" s="983">
        <f>'F5'!K65</f>
        <v>0</v>
      </c>
      <c r="R63" s="983">
        <f t="shared" ca="1" si="3"/>
        <v>43.902411218736233</v>
      </c>
    </row>
    <row r="64" spans="2:18">
      <c r="B64" s="1369" t="s">
        <v>1425</v>
      </c>
      <c r="C64" s="970">
        <f>'F3'!E66</f>
        <v>136.03808183322545</v>
      </c>
      <c r="D64" s="970">
        <f>'F4'!D66</f>
        <v>101.3590382159698</v>
      </c>
      <c r="E64" s="970">
        <f>'F5'!D66</f>
        <v>7.20875468076939E-2</v>
      </c>
      <c r="F64" s="970">
        <f t="shared" si="0"/>
        <v>237.46920759600295</v>
      </c>
      <c r="G64" s="983">
        <f ca="1">'F3'!H66</f>
        <v>188.23009205748164</v>
      </c>
      <c r="H64" s="983">
        <f ca="1">'F4'!F66</f>
        <v>131.52774520874149</v>
      </c>
      <c r="I64" s="983">
        <f ca="1">'F5'!F66</f>
        <v>0.10555474649662423</v>
      </c>
      <c r="J64" s="983">
        <f t="shared" ca="1" si="1"/>
        <v>319.86339201271977</v>
      </c>
      <c r="K64" s="983">
        <f ca="1">'F3'!K66</f>
        <v>186.2303699923184</v>
      </c>
      <c r="L64" s="983">
        <f ca="1">'F4'!H66</f>
        <v>118.02074587046921</v>
      </c>
      <c r="M64" s="983">
        <f ca="1">'F5'!H66</f>
        <v>0.13244805553042049</v>
      </c>
      <c r="N64" s="983">
        <f t="shared" ca="1" si="2"/>
        <v>304.38356391831803</v>
      </c>
      <c r="O64" s="983">
        <f ca="1">'F3'!N66</f>
        <v>202.23868782934875</v>
      </c>
      <c r="P64" s="983">
        <f ca="1">'F4'!J66</f>
        <v>202.23868782934875</v>
      </c>
      <c r="Q64" s="983">
        <f>'F5'!K66</f>
        <v>0</v>
      </c>
      <c r="R64" s="983">
        <f t="shared" ca="1" si="3"/>
        <v>404.4773756586975</v>
      </c>
    </row>
    <row r="65" spans="2:18">
      <c r="B65" s="1369" t="s">
        <v>1446</v>
      </c>
      <c r="C65" s="970">
        <f>'F3'!E67</f>
        <v>0</v>
      </c>
      <c r="D65" s="970">
        <f>'F4'!D67</f>
        <v>0</v>
      </c>
      <c r="E65" s="970">
        <f>'F5'!D67</f>
        <v>0</v>
      </c>
      <c r="F65" s="970">
        <f t="shared" si="0"/>
        <v>0</v>
      </c>
      <c r="G65" s="983">
        <f ca="1">'F3'!H67</f>
        <v>0</v>
      </c>
      <c r="H65" s="983">
        <f ca="1">'F4'!F67</f>
        <v>0</v>
      </c>
      <c r="I65" s="983">
        <f>'F5'!F67</f>
        <v>0</v>
      </c>
      <c r="J65" s="983">
        <f t="shared" ca="1" si="1"/>
        <v>0</v>
      </c>
      <c r="K65" s="983">
        <f ca="1">'F3'!K67</f>
        <v>0</v>
      </c>
      <c r="L65" s="983">
        <f ca="1">'F4'!H67</f>
        <v>0</v>
      </c>
      <c r="M65" s="983">
        <f>'F5'!H67</f>
        <v>0</v>
      </c>
      <c r="N65" s="983">
        <f t="shared" ca="1" si="2"/>
        <v>0</v>
      </c>
      <c r="O65" s="983">
        <f ca="1">'F3'!N67</f>
        <v>0</v>
      </c>
      <c r="P65" s="983">
        <f ca="1">'F4'!J67</f>
        <v>0</v>
      </c>
      <c r="Q65" s="983">
        <f>'F5'!K67</f>
        <v>0</v>
      </c>
      <c r="R65" s="983">
        <f t="shared" ca="1" si="3"/>
        <v>0</v>
      </c>
    </row>
    <row r="66" spans="2:18">
      <c r="B66" s="1367" t="s">
        <v>1098</v>
      </c>
      <c r="C66" s="970">
        <f>'F3'!E68</f>
        <v>0</v>
      </c>
      <c r="D66" s="970">
        <f>'F4'!D68</f>
        <v>0</v>
      </c>
      <c r="E66" s="970">
        <f>'F5'!D68</f>
        <v>0</v>
      </c>
      <c r="F66" s="970">
        <f t="shared" si="0"/>
        <v>0</v>
      </c>
      <c r="G66" s="983">
        <f ca="1">'F3'!H68</f>
        <v>0</v>
      </c>
      <c r="H66" s="983">
        <f ca="1">'F4'!F68</f>
        <v>0</v>
      </c>
      <c r="I66" s="983">
        <f ca="1">'F5'!F68</f>
        <v>0</v>
      </c>
      <c r="J66" s="983">
        <f t="shared" ca="1" si="1"/>
        <v>0</v>
      </c>
      <c r="K66" s="983">
        <f ca="1">'F3'!K68</f>
        <v>0</v>
      </c>
      <c r="L66" s="983">
        <f ca="1">'F4'!H68</f>
        <v>0</v>
      </c>
      <c r="M66" s="983">
        <f ca="1">'F5'!H68</f>
        <v>0</v>
      </c>
      <c r="N66" s="983">
        <f t="shared" ca="1" si="2"/>
        <v>0</v>
      </c>
      <c r="O66" s="983">
        <f ca="1">'F3'!N68</f>
        <v>0</v>
      </c>
      <c r="P66" s="983">
        <f ca="1">'F4'!J68</f>
        <v>0</v>
      </c>
      <c r="Q66" s="983">
        <f>'F5'!K68</f>
        <v>0</v>
      </c>
      <c r="R66" s="983">
        <f t="shared" ca="1" si="3"/>
        <v>0</v>
      </c>
    </row>
    <row r="67" spans="2:18">
      <c r="B67" s="1377" t="s">
        <v>476</v>
      </c>
      <c r="C67" s="970">
        <f>'F3'!E69</f>
        <v>0</v>
      </c>
      <c r="D67" s="970">
        <f>'F4'!D69</f>
        <v>0</v>
      </c>
      <c r="E67" s="970">
        <f>'F5'!D69</f>
        <v>1.0172258245835087E-2</v>
      </c>
      <c r="F67" s="970">
        <f t="shared" si="0"/>
        <v>1.0172258245835087E-2</v>
      </c>
      <c r="G67" s="983">
        <f ca="1">'F3'!H69</f>
        <v>0</v>
      </c>
      <c r="H67" s="983">
        <f ca="1">'F4'!F69</f>
        <v>0</v>
      </c>
      <c r="I67" s="983">
        <f ca="1">'F5'!F69</f>
        <v>5.4780017300349648E-2</v>
      </c>
      <c r="J67" s="983">
        <f t="shared" ca="1" si="1"/>
        <v>5.4780017300349648E-2</v>
      </c>
      <c r="K67" s="983">
        <f ca="1">'F3'!K69</f>
        <v>0</v>
      </c>
      <c r="L67" s="983">
        <f ca="1">'F4'!H69</f>
        <v>0</v>
      </c>
      <c r="M67" s="983">
        <f ca="1">'F5'!H69</f>
        <v>0.25829491810324184</v>
      </c>
      <c r="N67" s="983">
        <f t="shared" ca="1" si="2"/>
        <v>0.25829491810324184</v>
      </c>
      <c r="O67" s="983">
        <f ca="1">'F3'!N69</f>
        <v>0</v>
      </c>
      <c r="P67" s="983">
        <f ca="1">'F4'!J69</f>
        <v>0</v>
      </c>
      <c r="Q67" s="983">
        <f>'F5'!K69</f>
        <v>0</v>
      </c>
      <c r="R67" s="983">
        <f t="shared" ca="1" si="3"/>
        <v>0</v>
      </c>
    </row>
    <row r="68" spans="2:18">
      <c r="B68" s="1378" t="s">
        <v>1099</v>
      </c>
      <c r="C68" s="970">
        <f>'F3'!E70</f>
        <v>7.9174322615868089</v>
      </c>
      <c r="D68" s="970">
        <f>'F4'!D70</f>
        <v>5.8991078700914841</v>
      </c>
      <c r="E68" s="970">
        <f>'F5'!D70</f>
        <v>1.0172258245835087E-2</v>
      </c>
      <c r="F68" s="970">
        <f t="shared" si="0"/>
        <v>13.826712389924127</v>
      </c>
      <c r="G68" s="983">
        <f ca="1">'F3'!H70</f>
        <v>122.61938917884802</v>
      </c>
      <c r="H68" s="983">
        <f ca="1">'F4'!F70</f>
        <v>85.681580459738171</v>
      </c>
      <c r="I68" s="983">
        <f ca="1">'F5'!F70</f>
        <v>5.4780017300349648E-2</v>
      </c>
      <c r="J68" s="983">
        <f t="shared" ca="1" si="1"/>
        <v>208.35574965588654</v>
      </c>
      <c r="K68" s="983">
        <f ca="1">'F3'!K70</f>
        <v>239.53775295467159</v>
      </c>
      <c r="L68" s="983">
        <f ca="1">'F4'!H70</f>
        <v>151.80351233266961</v>
      </c>
      <c r="M68" s="983">
        <f ca="1">'F5'!H70</f>
        <v>0.25829491810324184</v>
      </c>
      <c r="N68" s="983">
        <f t="shared" ca="1" si="2"/>
        <v>391.59956020544445</v>
      </c>
      <c r="O68" s="983">
        <f ca="1">'F3'!N70</f>
        <v>317.04815580811555</v>
      </c>
      <c r="P68" s="983">
        <f ca="1">'F4'!J70</f>
        <v>317.04815580811555</v>
      </c>
      <c r="Q68" s="983">
        <f>'F5'!K70</f>
        <v>0</v>
      </c>
      <c r="R68" s="983">
        <f t="shared" ca="1" si="3"/>
        <v>634.09631161623111</v>
      </c>
    </row>
    <row r="69" spans="2:18">
      <c r="B69" s="1377" t="s">
        <v>1404</v>
      </c>
      <c r="C69" s="970">
        <f>'F3'!E71</f>
        <v>0</v>
      </c>
      <c r="D69" s="970">
        <f>'F4'!D71</f>
        <v>0</v>
      </c>
      <c r="E69" s="970">
        <f>'F5'!D71</f>
        <v>0.23920936251252362</v>
      </c>
      <c r="F69" s="970">
        <f t="shared" si="0"/>
        <v>0.23920936251252362</v>
      </c>
      <c r="G69" s="983">
        <f ca="1">'F3'!H71</f>
        <v>0</v>
      </c>
      <c r="H69" s="983">
        <f ca="1">'F4'!F71</f>
        <v>0</v>
      </c>
      <c r="I69" s="983">
        <f ca="1">'F5'!F71</f>
        <v>0.30957796053650916</v>
      </c>
      <c r="J69" s="983">
        <f t="shared" ca="1" si="1"/>
        <v>0.30957796053650916</v>
      </c>
      <c r="K69" s="983">
        <f ca="1">'F3'!K71</f>
        <v>0</v>
      </c>
      <c r="L69" s="983">
        <f ca="1">'F4'!H71</f>
        <v>0</v>
      </c>
      <c r="M69" s="983">
        <f ca="1">'F5'!H71</f>
        <v>0.18246255182096274</v>
      </c>
      <c r="N69" s="983">
        <f t="shared" ca="1" si="2"/>
        <v>0.18246255182096274</v>
      </c>
      <c r="O69" s="983">
        <f ca="1">'F3'!N71</f>
        <v>0</v>
      </c>
      <c r="P69" s="983">
        <f ca="1">'F4'!J71</f>
        <v>0</v>
      </c>
      <c r="Q69" s="983">
        <f>'F5'!K71</f>
        <v>0</v>
      </c>
      <c r="R69" s="983">
        <f t="shared" ca="1" si="3"/>
        <v>0</v>
      </c>
    </row>
    <row r="70" spans="2:18">
      <c r="B70" s="1378" t="s">
        <v>1405</v>
      </c>
      <c r="C70" s="970">
        <f>'F3'!E72</f>
        <v>387.83561956024857</v>
      </c>
      <c r="D70" s="970">
        <f>'F4'!D72</f>
        <v>288.96794820081379</v>
      </c>
      <c r="E70" s="970">
        <f>'F5'!D72</f>
        <v>0.23849967007676767</v>
      </c>
      <c r="F70" s="970">
        <f t="shared" si="0"/>
        <v>677.04206743113912</v>
      </c>
      <c r="G70" s="983">
        <f ca="1">'F3'!H72</f>
        <v>409.65614151267079</v>
      </c>
      <c r="H70" s="983">
        <f ca="1">'F4'!F72</f>
        <v>286.25151279010424</v>
      </c>
      <c r="I70" s="983">
        <f ca="1">'F5'!F72</f>
        <v>0.3059423913343487</v>
      </c>
      <c r="J70" s="983">
        <f t="shared" ca="1" si="1"/>
        <v>696.21359669410936</v>
      </c>
      <c r="K70" s="983">
        <f ca="1">'F3'!K72</f>
        <v>300.09985640940511</v>
      </c>
      <c r="L70" s="983">
        <f ca="1">'F4'!H72</f>
        <v>190.1838507356218</v>
      </c>
      <c r="M70" s="983">
        <f ca="1">'F5'!H72</f>
        <v>0.18031977901892518</v>
      </c>
      <c r="N70" s="983">
        <f t="shared" ca="1" si="2"/>
        <v>490.46402692404587</v>
      </c>
      <c r="O70" s="983">
        <f ca="1">'F3'!N72</f>
        <v>152.77197734011494</v>
      </c>
      <c r="P70" s="983">
        <f ca="1">'F4'!J72</f>
        <v>152.77197734011494</v>
      </c>
      <c r="Q70" s="983">
        <f>'F5'!K72</f>
        <v>0</v>
      </c>
      <c r="R70" s="983">
        <f t="shared" ca="1" si="3"/>
        <v>305.54395468022989</v>
      </c>
    </row>
    <row r="71" spans="2:18">
      <c r="B71" s="1378" t="s">
        <v>1101</v>
      </c>
      <c r="C71" s="970">
        <f>'F3'!E73</f>
        <v>16.407881532952015</v>
      </c>
      <c r="D71" s="970">
        <f>'F4'!D73</f>
        <v>12.225158344855478</v>
      </c>
      <c r="E71" s="970">
        <f>'F5'!D73</f>
        <v>7.0969243575593637E-4</v>
      </c>
      <c r="F71" s="970">
        <f t="shared" si="0"/>
        <v>28.633749570243246</v>
      </c>
      <c r="G71" s="983">
        <f ca="1">'F3'!H73</f>
        <v>4.8687018161356548</v>
      </c>
      <c r="H71" s="983">
        <f ca="1">'F4'!F73</f>
        <v>3.4020563076305117</v>
      </c>
      <c r="I71" s="983">
        <f ca="1">'F5'!F73</f>
        <v>3.6355692021604376E-3</v>
      </c>
      <c r="J71" s="983">
        <f t="shared" ca="1" si="1"/>
        <v>8.2743936929683262</v>
      </c>
      <c r="K71" s="983">
        <f ca="1">'F3'!K73</f>
        <v>3.5661412946938369</v>
      </c>
      <c r="L71" s="983">
        <f ca="1">'F4'!H73</f>
        <v>2.2599893642299467</v>
      </c>
      <c r="M71" s="983">
        <f ca="1">'F5'!H73</f>
        <v>2.1427728020375803E-3</v>
      </c>
      <c r="N71" s="983">
        <f t="shared" ca="1" si="2"/>
        <v>5.8282734317258216</v>
      </c>
      <c r="O71" s="983">
        <f ca="1">'F3'!N73</f>
        <v>1.8154172533870656</v>
      </c>
      <c r="P71" s="983">
        <f ca="1">'F4'!J73</f>
        <v>1.8154172533870656</v>
      </c>
      <c r="Q71" s="983">
        <f>'F5'!K73</f>
        <v>0</v>
      </c>
      <c r="R71" s="983">
        <f t="shared" ca="1" si="3"/>
        <v>3.6308345067741312</v>
      </c>
    </row>
    <row r="72" spans="2:18">
      <c r="B72" s="1369" t="s">
        <v>1425</v>
      </c>
      <c r="C72" s="970">
        <f>'F3'!E74</f>
        <v>412.1609333547874</v>
      </c>
      <c r="D72" s="970">
        <f>'F4'!D74</f>
        <v>307.09221441576079</v>
      </c>
      <c r="E72" s="970">
        <f>'F5'!D74</f>
        <v>0.24938162075835871</v>
      </c>
      <c r="F72" s="970">
        <f t="shared" si="0"/>
        <v>719.50252939130655</v>
      </c>
      <c r="G72" s="983">
        <f ca="1">'F3'!H74</f>
        <v>537.14423250765446</v>
      </c>
      <c r="H72" s="983">
        <f ca="1">'F4'!F74</f>
        <v>375.33514955747296</v>
      </c>
      <c r="I72" s="983">
        <f ca="1">'F5'!F74</f>
        <v>0.3643579778368588</v>
      </c>
      <c r="J72" s="983">
        <f t="shared" ca="1" si="1"/>
        <v>912.84374004296433</v>
      </c>
      <c r="K72" s="983">
        <f ca="1">'F3'!K74</f>
        <v>543.20375065877056</v>
      </c>
      <c r="L72" s="983">
        <f ca="1">'F4'!H74</f>
        <v>344.24735243252132</v>
      </c>
      <c r="M72" s="983">
        <f ca="1">'F5'!H74</f>
        <v>0.44075746992420461</v>
      </c>
      <c r="N72" s="983">
        <f t="shared" ca="1" si="2"/>
        <v>887.89186056121605</v>
      </c>
      <c r="O72" s="983">
        <f ca="1">'F3'!N74</f>
        <v>471.63555040161759</v>
      </c>
      <c r="P72" s="983">
        <f ca="1">'F4'!J74</f>
        <v>471.63555040161759</v>
      </c>
      <c r="Q72" s="983">
        <f>'F5'!K74</f>
        <v>0</v>
      </c>
      <c r="R72" s="983">
        <f t="shared" ca="1" si="3"/>
        <v>943.27110080323519</v>
      </c>
    </row>
    <row r="73" spans="2:18">
      <c r="B73" s="1369" t="s">
        <v>1446</v>
      </c>
      <c r="C73" s="970">
        <f>'F3'!E75</f>
        <v>0</v>
      </c>
      <c r="D73" s="970">
        <f>'F4'!D75</f>
        <v>0</v>
      </c>
      <c r="E73" s="970">
        <f>'F5'!D75</f>
        <v>0</v>
      </c>
      <c r="F73" s="970">
        <f t="shared" si="0"/>
        <v>0</v>
      </c>
      <c r="G73" s="983">
        <f ca="1">'F3'!H75</f>
        <v>0</v>
      </c>
      <c r="H73" s="983">
        <f ca="1">'F4'!F75</f>
        <v>0</v>
      </c>
      <c r="I73" s="983">
        <f>'F5'!F75</f>
        <v>0</v>
      </c>
      <c r="J73" s="983">
        <f t="shared" ca="1" si="1"/>
        <v>0</v>
      </c>
      <c r="K73" s="983">
        <f ca="1">'F3'!K75</f>
        <v>0</v>
      </c>
      <c r="L73" s="983">
        <f ca="1">'F4'!H75</f>
        <v>0</v>
      </c>
      <c r="M73" s="983">
        <f>'F5'!H75</f>
        <v>0</v>
      </c>
      <c r="N73" s="983">
        <f t="shared" ca="1" si="2"/>
        <v>0</v>
      </c>
      <c r="O73" s="983">
        <f ca="1">'F3'!N75</f>
        <v>0</v>
      </c>
      <c r="P73" s="983">
        <f ca="1">'F4'!J75</f>
        <v>0</v>
      </c>
      <c r="Q73" s="983">
        <f>'F5'!K75</f>
        <v>0</v>
      </c>
      <c r="R73" s="983">
        <f t="shared" ca="1" si="3"/>
        <v>0</v>
      </c>
    </row>
    <row r="74" spans="2:18">
      <c r="B74" s="1367" t="s">
        <v>1406</v>
      </c>
      <c r="C74" s="970">
        <f>'F3'!E76</f>
        <v>0</v>
      </c>
      <c r="D74" s="970">
        <f>'F4'!D76</f>
        <v>0</v>
      </c>
      <c r="E74" s="970">
        <f>'F5'!D76</f>
        <v>0</v>
      </c>
      <c r="F74" s="970">
        <f t="shared" si="0"/>
        <v>0</v>
      </c>
      <c r="G74" s="983">
        <f ca="1">'F3'!H76</f>
        <v>0</v>
      </c>
      <c r="H74" s="983">
        <f ca="1">'F4'!F76</f>
        <v>0</v>
      </c>
      <c r="I74" s="983">
        <f ca="1">'F5'!F76</f>
        <v>0</v>
      </c>
      <c r="J74" s="983">
        <f t="shared" ca="1" si="1"/>
        <v>0</v>
      </c>
      <c r="K74" s="983">
        <f ca="1">'F3'!K76</f>
        <v>0</v>
      </c>
      <c r="L74" s="983">
        <f ca="1">'F4'!H76</f>
        <v>0</v>
      </c>
      <c r="M74" s="983">
        <f ca="1">'F5'!H76</f>
        <v>0</v>
      </c>
      <c r="N74" s="983">
        <f t="shared" ca="1" si="2"/>
        <v>0</v>
      </c>
      <c r="O74" s="983">
        <f ca="1">'F3'!N76</f>
        <v>0</v>
      </c>
      <c r="P74" s="983">
        <f ca="1">'F4'!J76</f>
        <v>0</v>
      </c>
      <c r="Q74" s="983">
        <f>'F5'!K76</f>
        <v>0</v>
      </c>
      <c r="R74" s="983">
        <f t="shared" ca="1" si="3"/>
        <v>0</v>
      </c>
    </row>
    <row r="75" spans="2:18">
      <c r="B75" s="1377" t="s">
        <v>476</v>
      </c>
      <c r="C75" s="970">
        <f>'F3'!E77</f>
        <v>0</v>
      </c>
      <c r="D75" s="970">
        <f>'F4'!D77</f>
        <v>0</v>
      </c>
      <c r="E75" s="970">
        <f>'F5'!D77</f>
        <v>6.0646444510052732E-3</v>
      </c>
      <c r="F75" s="970">
        <f t="shared" si="0"/>
        <v>6.0646444510052732E-3</v>
      </c>
      <c r="G75" s="983">
        <f ca="1">'F3'!H77</f>
        <v>0</v>
      </c>
      <c r="H75" s="983">
        <f ca="1">'F4'!F77</f>
        <v>0</v>
      </c>
      <c r="I75" s="983">
        <f ca="1">'F5'!F77</f>
        <v>6.4177039390679591E-2</v>
      </c>
      <c r="J75" s="983">
        <f t="shared" ca="1" si="1"/>
        <v>6.4177039390679591E-2</v>
      </c>
      <c r="K75" s="983">
        <f ca="1">'F3'!K77</f>
        <v>0</v>
      </c>
      <c r="L75" s="983">
        <f ca="1">'F4'!H77</f>
        <v>0</v>
      </c>
      <c r="M75" s="983">
        <f ca="1">'F5'!H77</f>
        <v>7.6407283120520711E-2</v>
      </c>
      <c r="N75" s="983">
        <f t="shared" ca="1" si="2"/>
        <v>7.6407283120520711E-2</v>
      </c>
      <c r="O75" s="983">
        <f ca="1">'F3'!N77</f>
        <v>0</v>
      </c>
      <c r="P75" s="983">
        <f ca="1">'F4'!J77</f>
        <v>0</v>
      </c>
      <c r="Q75" s="983">
        <f>'F5'!K77</f>
        <v>0</v>
      </c>
      <c r="R75" s="983">
        <f t="shared" ca="1" si="3"/>
        <v>0</v>
      </c>
    </row>
    <row r="76" spans="2:18">
      <c r="B76" s="1378" t="s">
        <v>1104</v>
      </c>
      <c r="C76" s="970">
        <f>'F3'!E78</f>
        <v>0.58435400270485705</v>
      </c>
      <c r="D76" s="970">
        <f>'F4'!D78</f>
        <v>0.43538955337835789</v>
      </c>
      <c r="E76" s="970">
        <f>'F5'!D78</f>
        <v>3.7420146612585732E-3</v>
      </c>
      <c r="F76" s="970">
        <f t="shared" si="0"/>
        <v>1.0234855707444734</v>
      </c>
      <c r="G76" s="983">
        <f ca="1">'F3'!H78</f>
        <v>1.0195804695237503</v>
      </c>
      <c r="H76" s="983">
        <f ca="1">'F4'!F78</f>
        <v>0.71244251516583468</v>
      </c>
      <c r="I76" s="983">
        <f ca="1">'F5'!F78</f>
        <v>2.9854801329605628E-2</v>
      </c>
      <c r="J76" s="983">
        <f t="shared" ca="1" si="1"/>
        <v>1.7618777860191905</v>
      </c>
      <c r="K76" s="983">
        <f ca="1">'F3'!K78</f>
        <v>1.8041754420379483</v>
      </c>
      <c r="L76" s="983">
        <f ca="1">'F4'!H78</f>
        <v>1.1433695339771117</v>
      </c>
      <c r="M76" s="983">
        <f ca="1">'F5'!H78</f>
        <v>3.5544242603833209E-2</v>
      </c>
      <c r="N76" s="983">
        <f t="shared" ca="1" si="2"/>
        <v>2.9830892186188933</v>
      </c>
      <c r="O76" s="983">
        <f ca="1">'F3'!N78</f>
        <v>1.8920120565054321</v>
      </c>
      <c r="P76" s="983">
        <f ca="1">'F4'!J78</f>
        <v>1.8920120565054321</v>
      </c>
      <c r="Q76" s="983">
        <f>'F5'!K78</f>
        <v>0</v>
      </c>
      <c r="R76" s="983">
        <f t="shared" ca="1" si="3"/>
        <v>3.7840241130108643</v>
      </c>
    </row>
    <row r="77" spans="2:18">
      <c r="B77" s="1378" t="s">
        <v>1105</v>
      </c>
      <c r="C77" s="970">
        <f>'F3'!E79</f>
        <v>0</v>
      </c>
      <c r="D77" s="970">
        <f>'F4'!D79</f>
        <v>0</v>
      </c>
      <c r="E77" s="970">
        <f>'F5'!D79</f>
        <v>2.3226297897467004E-3</v>
      </c>
      <c r="F77" s="970">
        <f t="shared" ref="F77:F126" si="4">SUM(C77:E77)</f>
        <v>2.3226297897467004E-3</v>
      </c>
      <c r="G77" s="983">
        <f ca="1">'F3'!H79</f>
        <v>2.930389110940717</v>
      </c>
      <c r="H77" s="983">
        <f ca="1">'F4'!F79</f>
        <v>2.0476400353062538</v>
      </c>
      <c r="I77" s="983">
        <f ca="1">'F5'!F79</f>
        <v>3.4322238061073963E-2</v>
      </c>
      <c r="J77" s="983">
        <f t="shared" ref="J77:J126" ca="1" si="5">SUM(G77:I77)</f>
        <v>5.0123513843080456</v>
      </c>
      <c r="K77" s="983">
        <f ca="1">'F3'!K79</f>
        <v>2.3691192673225587</v>
      </c>
      <c r="L77" s="983">
        <f ca="1">'F4'!H79</f>
        <v>1.5013943375457022</v>
      </c>
      <c r="M77" s="983">
        <f ca="1">'F5'!H79</f>
        <v>4.0863040516687509E-2</v>
      </c>
      <c r="N77" s="983">
        <f t="shared" ref="N77:N126" ca="1" si="6">SUM(K77:M77)</f>
        <v>3.9113766453849488</v>
      </c>
      <c r="O77" s="983">
        <f ca="1">'F3'!N79</f>
        <v>2.4844602762192545</v>
      </c>
      <c r="P77" s="983">
        <f ca="1">'F4'!J79</f>
        <v>2.4844602762192545</v>
      </c>
      <c r="Q77" s="983">
        <f>'F5'!K79</f>
        <v>0</v>
      </c>
      <c r="R77" s="983">
        <f t="shared" ref="R77:R126" ca="1" si="7">SUM(O77:Q77)</f>
        <v>4.9689205524385089</v>
      </c>
    </row>
    <row r="78" spans="2:18">
      <c r="B78" s="1377" t="s">
        <v>1404</v>
      </c>
      <c r="C78" s="970">
        <f>'F3'!E80</f>
        <v>0</v>
      </c>
      <c r="D78" s="970">
        <f>'F4'!D80</f>
        <v>0</v>
      </c>
      <c r="E78" s="970">
        <f>'F5'!D80</f>
        <v>0</v>
      </c>
      <c r="F78" s="970">
        <f t="shared" si="4"/>
        <v>0</v>
      </c>
      <c r="G78" s="983">
        <f ca="1">'F3'!H80</f>
        <v>0</v>
      </c>
      <c r="H78" s="983">
        <f ca="1">'F4'!F80</f>
        <v>0</v>
      </c>
      <c r="I78" s="983">
        <f ca="1">'F5'!F80</f>
        <v>3.0809908492885067E-4</v>
      </c>
      <c r="J78" s="983">
        <f t="shared" ca="1" si="5"/>
        <v>3.0809908492885067E-4</v>
      </c>
      <c r="K78" s="983">
        <f ca="1">'F3'!K80</f>
        <v>0</v>
      </c>
      <c r="L78" s="983">
        <f ca="1">'F4'!H80</f>
        <v>0</v>
      </c>
      <c r="M78" s="983">
        <f ca="1">'F5'!H80</f>
        <v>1.8159091542691355E-4</v>
      </c>
      <c r="N78" s="983">
        <f t="shared" ca="1" si="6"/>
        <v>1.8159091542691355E-4</v>
      </c>
      <c r="O78" s="983">
        <f ca="1">'F3'!N80</f>
        <v>0</v>
      </c>
      <c r="P78" s="983">
        <f ca="1">'F4'!J80</f>
        <v>0</v>
      </c>
      <c r="Q78" s="983">
        <f>'F5'!K80</f>
        <v>0</v>
      </c>
      <c r="R78" s="983">
        <f t="shared" ca="1" si="7"/>
        <v>0</v>
      </c>
    </row>
    <row r="79" spans="2:18">
      <c r="B79" s="1378" t="s">
        <v>1106</v>
      </c>
      <c r="C79" s="970">
        <f>'F3'!E81</f>
        <v>0</v>
      </c>
      <c r="D79" s="970">
        <f>'F4'!D81</f>
        <v>0</v>
      </c>
      <c r="E79" s="970">
        <f>'F5'!D81</f>
        <v>0</v>
      </c>
      <c r="F79" s="970">
        <f t="shared" si="4"/>
        <v>0</v>
      </c>
      <c r="G79" s="983">
        <f ca="1">'F3'!H81</f>
        <v>4.825274347012542E-3</v>
      </c>
      <c r="H79" s="983">
        <f ca="1">'F4'!F81</f>
        <v>3.3717109094455024E-3</v>
      </c>
      <c r="I79" s="983">
        <f ca="1">'F5'!F81</f>
        <v>0</v>
      </c>
      <c r="J79" s="983">
        <f t="shared" ca="1" si="5"/>
        <v>8.1969852564580444E-3</v>
      </c>
      <c r="K79" s="983">
        <f ca="1">'F3'!K81</f>
        <v>0</v>
      </c>
      <c r="L79" s="983">
        <f ca="1">'F4'!H81</f>
        <v>0</v>
      </c>
      <c r="M79" s="983">
        <f ca="1">'F5'!H81</f>
        <v>0</v>
      </c>
      <c r="N79" s="983">
        <f t="shared" ca="1" si="6"/>
        <v>0</v>
      </c>
      <c r="O79" s="983">
        <f ca="1">'F3'!N81</f>
        <v>0</v>
      </c>
      <c r="P79" s="983">
        <f ca="1">'F4'!J81</f>
        <v>0</v>
      </c>
      <c r="Q79" s="983">
        <f>'F5'!K81</f>
        <v>0</v>
      </c>
      <c r="R79" s="983">
        <f t="shared" ca="1" si="7"/>
        <v>0</v>
      </c>
    </row>
    <row r="80" spans="2:18">
      <c r="B80" s="1378" t="s">
        <v>1107</v>
      </c>
      <c r="C80" s="970">
        <f>'F3'!E82</f>
        <v>0</v>
      </c>
      <c r="D80" s="970">
        <f>'F4'!D82</f>
        <v>0</v>
      </c>
      <c r="E80" s="970">
        <f>'F5'!D82</f>
        <v>0</v>
      </c>
      <c r="F80" s="970">
        <f t="shared" si="4"/>
        <v>0</v>
      </c>
      <c r="G80" s="983">
        <f ca="1">'F3'!H82</f>
        <v>1.9783624822751422E-2</v>
      </c>
      <c r="H80" s="983">
        <f ca="1">'F4'!F82</f>
        <v>1.3824014728726559E-2</v>
      </c>
      <c r="I80" s="983">
        <f ca="1">'F5'!F82</f>
        <v>3.0809908492885067E-4</v>
      </c>
      <c r="J80" s="983">
        <f t="shared" ca="1" si="5"/>
        <v>3.3915738636406831E-2</v>
      </c>
      <c r="K80" s="983">
        <f ca="1">'F3'!K82</f>
        <v>7.6038045449875219E-2</v>
      </c>
      <c r="L80" s="983">
        <f ca="1">'F4'!H82</f>
        <v>4.8187988022023863E-2</v>
      </c>
      <c r="M80" s="983">
        <f ca="1">'F5'!H82</f>
        <v>1.8159091542691355E-4</v>
      </c>
      <c r="N80" s="983">
        <f t="shared" ca="1" si="6"/>
        <v>0.124407624387326</v>
      </c>
      <c r="O80" s="983">
        <f ca="1">'F3'!N82</f>
        <v>7.7417448281664067E-2</v>
      </c>
      <c r="P80" s="983">
        <f ca="1">'F4'!J82</f>
        <v>7.7417448281664067E-2</v>
      </c>
      <c r="Q80" s="983">
        <f>'F5'!K82</f>
        <v>0</v>
      </c>
      <c r="R80" s="983">
        <f t="shared" ca="1" si="7"/>
        <v>0.15483489656332813</v>
      </c>
    </row>
    <row r="81" spans="2:18">
      <c r="B81" s="1369" t="s">
        <v>1425</v>
      </c>
      <c r="C81" s="970">
        <f>'F3'!E83</f>
        <v>0.58435400270485705</v>
      </c>
      <c r="D81" s="970">
        <f>'F4'!D83</f>
        <v>0.43538955337835789</v>
      </c>
      <c r="E81" s="970">
        <f>'F5'!D83</f>
        <v>6.0646444510052732E-3</v>
      </c>
      <c r="F81" s="970">
        <f t="shared" si="4"/>
        <v>1.0258082005342202</v>
      </c>
      <c r="G81" s="983">
        <f ca="1">'F3'!H83</f>
        <v>3.9745784796342307</v>
      </c>
      <c r="H81" s="983">
        <f ca="1">'F4'!F83</f>
        <v>2.7772782761102603</v>
      </c>
      <c r="I81" s="983">
        <f ca="1">'F5'!F83</f>
        <v>6.4485138475608453E-2</v>
      </c>
      <c r="J81" s="983">
        <f t="shared" ca="1" si="5"/>
        <v>6.8163418942200993</v>
      </c>
      <c r="K81" s="983">
        <f ca="1">'F3'!K83</f>
        <v>4.249332754810383</v>
      </c>
      <c r="L81" s="983">
        <f ca="1">'F4'!H83</f>
        <v>2.6929518595448378</v>
      </c>
      <c r="M81" s="983">
        <f ca="1">'F5'!H83</f>
        <v>7.6588874035947621E-2</v>
      </c>
      <c r="N81" s="983">
        <f t="shared" ca="1" si="6"/>
        <v>7.0188734883911685</v>
      </c>
      <c r="O81" s="983">
        <f ca="1">'F3'!N83</f>
        <v>4.4538897810063505</v>
      </c>
      <c r="P81" s="983">
        <f ca="1">'F4'!J83</f>
        <v>4.4538897810063505</v>
      </c>
      <c r="Q81" s="983">
        <f>'F5'!K83</f>
        <v>0</v>
      </c>
      <c r="R81" s="983">
        <f t="shared" ca="1" si="7"/>
        <v>8.9077795620127009</v>
      </c>
    </row>
    <row r="82" spans="2:18">
      <c r="B82" s="1369" t="s">
        <v>1446</v>
      </c>
      <c r="C82" s="970">
        <f>'F3'!E84</f>
        <v>0</v>
      </c>
      <c r="D82" s="970">
        <f>'F4'!D84</f>
        <v>0</v>
      </c>
      <c r="E82" s="970">
        <f>'F5'!D84</f>
        <v>0</v>
      </c>
      <c r="F82" s="970">
        <f t="shared" si="4"/>
        <v>0</v>
      </c>
      <c r="G82" s="983">
        <f ca="1">'F3'!H84</f>
        <v>0</v>
      </c>
      <c r="H82" s="983">
        <f ca="1">'F4'!F84</f>
        <v>0</v>
      </c>
      <c r="I82" s="983">
        <f>'F5'!F84</f>
        <v>0</v>
      </c>
      <c r="J82" s="983">
        <f t="shared" ca="1" si="5"/>
        <v>0</v>
      </c>
      <c r="K82" s="983">
        <f ca="1">'F3'!K84</f>
        <v>0</v>
      </c>
      <c r="L82" s="983">
        <f ca="1">'F4'!H84</f>
        <v>0</v>
      </c>
      <c r="M82" s="983">
        <f>'F5'!H84</f>
        <v>0</v>
      </c>
      <c r="N82" s="983">
        <f t="shared" ca="1" si="6"/>
        <v>0</v>
      </c>
      <c r="O82" s="983">
        <f ca="1">'F3'!N84</f>
        <v>0</v>
      </c>
      <c r="P82" s="983">
        <f ca="1">'F4'!J84</f>
        <v>0</v>
      </c>
      <c r="Q82" s="983">
        <f>'F5'!K84</f>
        <v>0</v>
      </c>
      <c r="R82" s="983">
        <f t="shared" ca="1" si="7"/>
        <v>0</v>
      </c>
    </row>
    <row r="83" spans="2:18">
      <c r="B83" s="1367" t="s">
        <v>1109</v>
      </c>
      <c r="C83" s="970">
        <f>'F3'!E85</f>
        <v>0</v>
      </c>
      <c r="D83" s="970">
        <f>'F4'!D85</f>
        <v>0</v>
      </c>
      <c r="E83" s="970">
        <f>'F5'!D85</f>
        <v>0</v>
      </c>
      <c r="F83" s="970">
        <f t="shared" si="4"/>
        <v>0</v>
      </c>
      <c r="G83" s="983">
        <f ca="1">'F3'!H85</f>
        <v>0</v>
      </c>
      <c r="H83" s="983">
        <f ca="1">'F4'!F85</f>
        <v>0</v>
      </c>
      <c r="I83" s="983">
        <f ca="1">'F5'!F85</f>
        <v>0</v>
      </c>
      <c r="J83" s="983">
        <f t="shared" ca="1" si="5"/>
        <v>0</v>
      </c>
      <c r="K83" s="983">
        <f ca="1">'F3'!K85</f>
        <v>0</v>
      </c>
      <c r="L83" s="983">
        <f ca="1">'F4'!H85</f>
        <v>0</v>
      </c>
      <c r="M83" s="983">
        <f ca="1">'F5'!H85</f>
        <v>0</v>
      </c>
      <c r="N83" s="983">
        <f t="shared" ca="1" si="6"/>
        <v>0</v>
      </c>
      <c r="O83" s="983">
        <f ca="1">'F3'!N85</f>
        <v>0</v>
      </c>
      <c r="P83" s="983">
        <f ca="1">'F4'!J85</f>
        <v>0</v>
      </c>
      <c r="Q83" s="983">
        <f>'F5'!K85</f>
        <v>0</v>
      </c>
      <c r="R83" s="983">
        <f t="shared" ca="1" si="7"/>
        <v>0</v>
      </c>
    </row>
    <row r="84" spans="2:18">
      <c r="B84" s="1369" t="s">
        <v>1429</v>
      </c>
      <c r="C84" s="970">
        <f>'F3'!E86</f>
        <v>46.06949263733236</v>
      </c>
      <c r="D84" s="970">
        <f>'F4'!D86</f>
        <v>34.325384494485235</v>
      </c>
      <c r="E84" s="970">
        <f>'F5'!D86</f>
        <v>0.63242198358408541</v>
      </c>
      <c r="F84" s="970">
        <f t="shared" si="4"/>
        <v>81.027299115401675</v>
      </c>
      <c r="G84" s="983">
        <f ca="1">'F3'!H86</f>
        <v>50.736312176532785</v>
      </c>
      <c r="H84" s="983">
        <f ca="1">'F4'!F86</f>
        <v>35.452528699546626</v>
      </c>
      <c r="I84" s="983">
        <f ca="1">'F5'!F86</f>
        <v>0.77009366277966229</v>
      </c>
      <c r="J84" s="983">
        <f t="shared" ca="1" si="5"/>
        <v>86.958934538859069</v>
      </c>
      <c r="K84" s="983">
        <f ca="1">'F3'!K86</f>
        <v>50.247951356793571</v>
      </c>
      <c r="L84" s="983">
        <f ca="1">'F4'!H86</f>
        <v>31.843896878025024</v>
      </c>
      <c r="M84" s="983">
        <f ca="1">'F5'!H86</f>
        <v>0.92592844594352375</v>
      </c>
      <c r="N84" s="983">
        <f t="shared" ca="1" si="6"/>
        <v>83.017776680762125</v>
      </c>
      <c r="O84" s="983">
        <f ca="1">'F3'!N86</f>
        <v>52.182687172676836</v>
      </c>
      <c r="P84" s="983">
        <f ca="1">'F4'!J86</f>
        <v>52.182687172676836</v>
      </c>
      <c r="Q84" s="983">
        <f>'F5'!K86</f>
        <v>0</v>
      </c>
      <c r="R84" s="983">
        <f t="shared" ca="1" si="7"/>
        <v>104.36537434535367</v>
      </c>
    </row>
    <row r="85" spans="2:18">
      <c r="B85" s="1369" t="s">
        <v>1446</v>
      </c>
      <c r="C85" s="970">
        <f>'F3'!E87</f>
        <v>0</v>
      </c>
      <c r="D85" s="970">
        <f>'F4'!D87</f>
        <v>0</v>
      </c>
      <c r="E85" s="970">
        <f>'F5'!D87</f>
        <v>0</v>
      </c>
      <c r="F85" s="970">
        <f t="shared" si="4"/>
        <v>0</v>
      </c>
      <c r="G85" s="983">
        <f ca="1">'F3'!H87</f>
        <v>0</v>
      </c>
      <c r="H85" s="983">
        <f ca="1">'F4'!F87</f>
        <v>0</v>
      </c>
      <c r="I85" s="983">
        <f>'F5'!F87</f>
        <v>0</v>
      </c>
      <c r="J85" s="983">
        <f t="shared" ca="1" si="5"/>
        <v>0</v>
      </c>
      <c r="K85" s="983">
        <f ca="1">'F3'!K87</f>
        <v>0</v>
      </c>
      <c r="L85" s="983">
        <f ca="1">'F4'!H87</f>
        <v>0</v>
      </c>
      <c r="M85" s="983">
        <f>'F5'!H87</f>
        <v>0</v>
      </c>
      <c r="N85" s="983">
        <f t="shared" ca="1" si="6"/>
        <v>0</v>
      </c>
      <c r="O85" s="983">
        <f ca="1">'F3'!N87</f>
        <v>0</v>
      </c>
      <c r="P85" s="983">
        <f ca="1">'F4'!J87</f>
        <v>0</v>
      </c>
      <c r="Q85" s="983">
        <f>'F5'!K87</f>
        <v>0</v>
      </c>
      <c r="R85" s="983">
        <f t="shared" ca="1" si="7"/>
        <v>0</v>
      </c>
    </row>
    <row r="86" spans="2:18">
      <c r="B86" s="1367" t="s">
        <v>1407</v>
      </c>
      <c r="C86" s="970">
        <f>'F3'!E88</f>
        <v>0</v>
      </c>
      <c r="D86" s="970">
        <f>'F4'!D88</f>
        <v>0</v>
      </c>
      <c r="E86" s="970">
        <f>'F5'!D88</f>
        <v>0</v>
      </c>
      <c r="F86" s="970">
        <f t="shared" si="4"/>
        <v>0</v>
      </c>
      <c r="G86" s="983">
        <f ca="1">'F3'!H88</f>
        <v>0</v>
      </c>
      <c r="H86" s="983">
        <f ca="1">'F4'!F88</f>
        <v>0</v>
      </c>
      <c r="I86" s="983">
        <f ca="1">'F5'!F88</f>
        <v>0</v>
      </c>
      <c r="J86" s="983">
        <f t="shared" ca="1" si="5"/>
        <v>0</v>
      </c>
      <c r="K86" s="983">
        <f ca="1">'F3'!K88</f>
        <v>0</v>
      </c>
      <c r="L86" s="983">
        <f ca="1">'F4'!H88</f>
        <v>0</v>
      </c>
      <c r="M86" s="983">
        <f ca="1">'F5'!H88</f>
        <v>0</v>
      </c>
      <c r="N86" s="983">
        <f t="shared" ca="1" si="6"/>
        <v>0</v>
      </c>
      <c r="O86" s="983">
        <f ca="1">'F3'!N88</f>
        <v>0</v>
      </c>
      <c r="P86" s="983">
        <f ca="1">'F4'!J88</f>
        <v>0</v>
      </c>
      <c r="Q86" s="983">
        <f>'F5'!K88</f>
        <v>0</v>
      </c>
      <c r="R86" s="983">
        <f t="shared" ca="1" si="7"/>
        <v>0</v>
      </c>
    </row>
    <row r="87" spans="2:18">
      <c r="B87" s="1377" t="s">
        <v>1146</v>
      </c>
      <c r="C87" s="970">
        <f>'F3'!E89</f>
        <v>0</v>
      </c>
      <c r="D87" s="970">
        <f>'F4'!D89</f>
        <v>0</v>
      </c>
      <c r="E87" s="970">
        <f>'F5'!D89</f>
        <v>0</v>
      </c>
      <c r="F87" s="970">
        <f t="shared" si="4"/>
        <v>0</v>
      </c>
      <c r="G87" s="983">
        <f ca="1">'F3'!H89</f>
        <v>0</v>
      </c>
      <c r="H87" s="983">
        <f ca="1">'F4'!F89</f>
        <v>0</v>
      </c>
      <c r="I87" s="983">
        <f ca="1">'F5'!F89</f>
        <v>0</v>
      </c>
      <c r="J87" s="983">
        <f t="shared" ca="1" si="5"/>
        <v>0</v>
      </c>
      <c r="K87" s="983">
        <f ca="1">'F3'!K89</f>
        <v>0</v>
      </c>
      <c r="L87" s="983">
        <f ca="1">'F4'!H89</f>
        <v>0</v>
      </c>
      <c r="M87" s="983">
        <f ca="1">'F5'!H89</f>
        <v>0</v>
      </c>
      <c r="N87" s="983">
        <f t="shared" ca="1" si="6"/>
        <v>0</v>
      </c>
      <c r="O87" s="983">
        <f ca="1">'F3'!N89</f>
        <v>0</v>
      </c>
      <c r="P87" s="983">
        <f ca="1">'F4'!J89</f>
        <v>0</v>
      </c>
      <c r="Q87" s="983">
        <f>'F5'!K89</f>
        <v>0</v>
      </c>
      <c r="R87" s="983">
        <f t="shared" ca="1" si="7"/>
        <v>0</v>
      </c>
    </row>
    <row r="88" spans="2:18">
      <c r="B88" s="1378" t="s">
        <v>1408</v>
      </c>
      <c r="C88" s="970">
        <f>'F3'!E90</f>
        <v>0</v>
      </c>
      <c r="D88" s="970">
        <f>'F4'!D90</f>
        <v>0</v>
      </c>
      <c r="E88" s="970">
        <f>'F5'!D90</f>
        <v>0</v>
      </c>
      <c r="F88" s="970">
        <f t="shared" si="4"/>
        <v>0</v>
      </c>
      <c r="G88" s="983">
        <f ca="1">'F3'!H90</f>
        <v>0</v>
      </c>
      <c r="H88" s="983">
        <f ca="1">'F4'!F90</f>
        <v>0</v>
      </c>
      <c r="I88" s="983">
        <f ca="1">'F5'!F90</f>
        <v>0</v>
      </c>
      <c r="J88" s="983">
        <f t="shared" ca="1" si="5"/>
        <v>0</v>
      </c>
      <c r="K88" s="983">
        <f ca="1">'F3'!K90</f>
        <v>0</v>
      </c>
      <c r="L88" s="983">
        <f ca="1">'F4'!H90</f>
        <v>0</v>
      </c>
      <c r="M88" s="983">
        <f ca="1">'F5'!H90</f>
        <v>0</v>
      </c>
      <c r="N88" s="983">
        <f t="shared" ca="1" si="6"/>
        <v>0</v>
      </c>
      <c r="O88" s="983">
        <f ca="1">'F3'!N90</f>
        <v>0</v>
      </c>
      <c r="P88" s="983">
        <f ca="1">'F4'!J90</f>
        <v>0</v>
      </c>
      <c r="Q88" s="983">
        <f>'F5'!K90</f>
        <v>0</v>
      </c>
      <c r="R88" s="983">
        <f t="shared" ca="1" si="7"/>
        <v>0</v>
      </c>
    </row>
    <row r="89" spans="2:18">
      <c r="B89" s="1378" t="s">
        <v>1409</v>
      </c>
      <c r="C89" s="970">
        <f>'F3'!E91</f>
        <v>0</v>
      </c>
      <c r="D89" s="970">
        <f>'F4'!D91</f>
        <v>0</v>
      </c>
      <c r="E89" s="970">
        <f>'F5'!D91</f>
        <v>0</v>
      </c>
      <c r="F89" s="970">
        <f t="shared" si="4"/>
        <v>0</v>
      </c>
      <c r="G89" s="983">
        <f ca="1">'F3'!H91</f>
        <v>0</v>
      </c>
      <c r="H89" s="983">
        <f ca="1">'F4'!F91</f>
        <v>0</v>
      </c>
      <c r="I89" s="983">
        <f ca="1">'F5'!F91</f>
        <v>0</v>
      </c>
      <c r="J89" s="983">
        <f t="shared" ca="1" si="5"/>
        <v>0</v>
      </c>
      <c r="K89" s="983">
        <f ca="1">'F3'!K91</f>
        <v>0</v>
      </c>
      <c r="L89" s="983">
        <f ca="1">'F4'!H91</f>
        <v>0</v>
      </c>
      <c r="M89" s="983">
        <f ca="1">'F5'!H91</f>
        <v>0</v>
      </c>
      <c r="N89" s="983">
        <f t="shared" ca="1" si="6"/>
        <v>0</v>
      </c>
      <c r="O89" s="983">
        <f ca="1">'F3'!N91</f>
        <v>0</v>
      </c>
      <c r="P89" s="983">
        <f ca="1">'F4'!J91</f>
        <v>0</v>
      </c>
      <c r="Q89" s="983">
        <f>'F5'!K91</f>
        <v>0</v>
      </c>
      <c r="R89" s="983">
        <f t="shared" ca="1" si="7"/>
        <v>0</v>
      </c>
    </row>
    <row r="90" spans="2:18">
      <c r="B90" s="1377" t="s">
        <v>1410</v>
      </c>
      <c r="C90" s="970">
        <f>'F3'!E92</f>
        <v>0</v>
      </c>
      <c r="D90" s="970">
        <f>'F4'!D92</f>
        <v>0</v>
      </c>
      <c r="E90" s="970">
        <f>'F5'!D92</f>
        <v>0</v>
      </c>
      <c r="F90" s="970">
        <f t="shared" si="4"/>
        <v>0</v>
      </c>
      <c r="G90" s="983">
        <f ca="1">'F3'!H92</f>
        <v>0</v>
      </c>
      <c r="H90" s="983">
        <f ca="1">'F4'!F92</f>
        <v>0</v>
      </c>
      <c r="I90" s="983">
        <f ca="1">'F5'!F92</f>
        <v>0</v>
      </c>
      <c r="J90" s="983">
        <f t="shared" ca="1" si="5"/>
        <v>0</v>
      </c>
      <c r="K90" s="983">
        <f ca="1">'F3'!K92</f>
        <v>1.239734347632346E-2</v>
      </c>
      <c r="L90" s="983">
        <f ca="1">'F4'!H92</f>
        <v>7.8566332867643553E-3</v>
      </c>
      <c r="M90" s="983">
        <f ca="1">'F5'!H92</f>
        <v>2.1790909851229627E-4</v>
      </c>
      <c r="N90" s="983">
        <f t="shared" ca="1" si="6"/>
        <v>2.0471885861600113E-2</v>
      </c>
      <c r="O90" s="983">
        <f ca="1">'F3'!N92</f>
        <v>1.3884467451824265E-2</v>
      </c>
      <c r="P90" s="983">
        <f ca="1">'F4'!J92</f>
        <v>1.3884467451824265E-2</v>
      </c>
      <c r="Q90" s="983">
        <f>'F5'!K92</f>
        <v>0</v>
      </c>
      <c r="R90" s="983">
        <f t="shared" ca="1" si="7"/>
        <v>2.776893490364853E-2</v>
      </c>
    </row>
    <row r="91" spans="2:18">
      <c r="B91" s="1378" t="s">
        <v>469</v>
      </c>
      <c r="C91" s="970">
        <f>'F3'!E93</f>
        <v>0</v>
      </c>
      <c r="D91" s="970">
        <f>'F4'!D93</f>
        <v>0</v>
      </c>
      <c r="E91" s="970">
        <f>'F5'!D93</f>
        <v>0</v>
      </c>
      <c r="F91" s="970">
        <f t="shared" si="4"/>
        <v>0</v>
      </c>
      <c r="G91" s="983">
        <f ca="1">'F3'!H93</f>
        <v>0</v>
      </c>
      <c r="H91" s="983">
        <f ca="1">'F4'!F93</f>
        <v>0</v>
      </c>
      <c r="I91" s="983">
        <f ca="1">'F5'!F93</f>
        <v>0</v>
      </c>
      <c r="J91" s="983">
        <f t="shared" ca="1" si="5"/>
        <v>0</v>
      </c>
      <c r="K91" s="983">
        <f ca="1">'F3'!K93</f>
        <v>1.239734347632346E-2</v>
      </c>
      <c r="L91" s="983">
        <f ca="1">'F4'!H93</f>
        <v>7.8566332867643553E-3</v>
      </c>
      <c r="M91" s="983">
        <f ca="1">'F5'!H93</f>
        <v>2.1790909851229627E-4</v>
      </c>
      <c r="N91" s="983">
        <f t="shared" ca="1" si="6"/>
        <v>2.0471885861600113E-2</v>
      </c>
      <c r="O91" s="983">
        <f ca="1">'F3'!N93</f>
        <v>1.3884467451824265E-2</v>
      </c>
      <c r="P91" s="983">
        <f ca="1">'F4'!J93</f>
        <v>1.3884467451824265E-2</v>
      </c>
      <c r="Q91" s="983">
        <f>'F5'!K93</f>
        <v>0</v>
      </c>
      <c r="R91" s="983">
        <f t="shared" ca="1" si="7"/>
        <v>2.776893490364853E-2</v>
      </c>
    </row>
    <row r="92" spans="2:18">
      <c r="B92" s="1378" t="s">
        <v>470</v>
      </c>
      <c r="C92" s="970">
        <f>'F3'!E94</f>
        <v>0</v>
      </c>
      <c r="D92" s="970">
        <f>'F4'!D94</f>
        <v>0</v>
      </c>
      <c r="E92" s="970">
        <f>'F5'!D94</f>
        <v>0</v>
      </c>
      <c r="F92" s="970">
        <f t="shared" si="4"/>
        <v>0</v>
      </c>
      <c r="G92" s="983">
        <f ca="1">'F3'!H94</f>
        <v>0</v>
      </c>
      <c r="H92" s="983">
        <f ca="1">'F4'!F94</f>
        <v>0</v>
      </c>
      <c r="I92" s="983">
        <f ca="1">'F5'!F94</f>
        <v>0</v>
      </c>
      <c r="J92" s="983">
        <f t="shared" ca="1" si="5"/>
        <v>0</v>
      </c>
      <c r="K92" s="983">
        <f ca="1">'F3'!K94</f>
        <v>0</v>
      </c>
      <c r="L92" s="983">
        <f ca="1">'F4'!H94</f>
        <v>0</v>
      </c>
      <c r="M92" s="983">
        <f ca="1">'F5'!H94</f>
        <v>0</v>
      </c>
      <c r="N92" s="983">
        <f t="shared" ca="1" si="6"/>
        <v>0</v>
      </c>
      <c r="O92" s="983">
        <f ca="1">'F3'!N94</f>
        <v>0</v>
      </c>
      <c r="P92" s="983">
        <f ca="1">'F4'!J94</f>
        <v>0</v>
      </c>
      <c r="Q92" s="983">
        <f>'F5'!K94</f>
        <v>0</v>
      </c>
      <c r="R92" s="983">
        <f t="shared" ca="1" si="7"/>
        <v>0</v>
      </c>
    </row>
    <row r="93" spans="2:18">
      <c r="B93" s="1369" t="s">
        <v>1425</v>
      </c>
      <c r="C93" s="970">
        <f>'F3'!E95</f>
        <v>0</v>
      </c>
      <c r="D93" s="970">
        <f>'F4'!D95</f>
        <v>0</v>
      </c>
      <c r="E93" s="970">
        <f>'F5'!D95</f>
        <v>0</v>
      </c>
      <c r="F93" s="970">
        <f t="shared" si="4"/>
        <v>0</v>
      </c>
      <c r="G93" s="983">
        <f ca="1">'F3'!H95</f>
        <v>0</v>
      </c>
      <c r="H93" s="983">
        <f ca="1">'F4'!F95</f>
        <v>0</v>
      </c>
      <c r="I93" s="983">
        <f ca="1">'F5'!F95</f>
        <v>0</v>
      </c>
      <c r="J93" s="983">
        <f t="shared" ca="1" si="5"/>
        <v>0</v>
      </c>
      <c r="K93" s="983">
        <f ca="1">'F3'!K95</f>
        <v>2.4794686952646919E-2</v>
      </c>
      <c r="L93" s="983">
        <f ca="1">'F4'!H95</f>
        <v>1.5713266573528711E-2</v>
      </c>
      <c r="M93" s="983">
        <f ca="1">'F5'!H95</f>
        <v>2.1790909851229627E-4</v>
      </c>
      <c r="N93" s="983">
        <f t="shared" ca="1" si="6"/>
        <v>4.0725862624687928E-2</v>
      </c>
      <c r="O93" s="983">
        <f ca="1">'F3'!N95</f>
        <v>2.776893490364853E-2</v>
      </c>
      <c r="P93" s="983">
        <f ca="1">'F4'!J95</f>
        <v>2.776893490364853E-2</v>
      </c>
      <c r="Q93" s="983">
        <f>'F5'!K95</f>
        <v>0</v>
      </c>
      <c r="R93" s="983">
        <f t="shared" ca="1" si="7"/>
        <v>5.5537869807297059E-2</v>
      </c>
    </row>
    <row r="94" spans="2:18">
      <c r="B94" s="1369" t="s">
        <v>1446</v>
      </c>
      <c r="C94" s="970">
        <f>'F3'!E96</f>
        <v>0</v>
      </c>
      <c r="D94" s="970">
        <f>'F4'!D96</f>
        <v>0</v>
      </c>
      <c r="E94" s="970">
        <f>'F5'!D96</f>
        <v>0</v>
      </c>
      <c r="F94" s="970">
        <f t="shared" si="4"/>
        <v>0</v>
      </c>
      <c r="G94" s="983">
        <f ca="1">'F3'!H96</f>
        <v>0</v>
      </c>
      <c r="H94" s="983">
        <f ca="1">'F4'!F96</f>
        <v>0</v>
      </c>
      <c r="I94" s="983">
        <f>'F5'!F96</f>
        <v>0</v>
      </c>
      <c r="J94" s="983">
        <f t="shared" ca="1" si="5"/>
        <v>0</v>
      </c>
      <c r="K94" s="983">
        <f ca="1">'F3'!K96</f>
        <v>0</v>
      </c>
      <c r="L94" s="983">
        <f ca="1">'F4'!H96</f>
        <v>0</v>
      </c>
      <c r="M94" s="983">
        <f>'F5'!H96</f>
        <v>0</v>
      </c>
      <c r="N94" s="983">
        <f t="shared" ca="1" si="6"/>
        <v>0</v>
      </c>
      <c r="O94" s="983">
        <f ca="1">'F3'!N96</f>
        <v>0</v>
      </c>
      <c r="P94" s="983">
        <f ca="1">'F4'!J96</f>
        <v>0</v>
      </c>
      <c r="Q94" s="983">
        <f>'F5'!K96</f>
        <v>0</v>
      </c>
      <c r="R94" s="983">
        <f t="shared" ca="1" si="7"/>
        <v>0</v>
      </c>
    </row>
    <row r="95" spans="2:18">
      <c r="B95" s="1367" t="s">
        <v>1119</v>
      </c>
      <c r="C95" s="970">
        <f>'F3'!E97</f>
        <v>0</v>
      </c>
      <c r="D95" s="970">
        <f>'F4'!D97</f>
        <v>0</v>
      </c>
      <c r="E95" s="970">
        <f>'F5'!D97</f>
        <v>0</v>
      </c>
      <c r="F95" s="970">
        <f t="shared" si="4"/>
        <v>0</v>
      </c>
      <c r="G95" s="983">
        <f ca="1">'F3'!H97</f>
        <v>0</v>
      </c>
      <c r="H95" s="983">
        <f ca="1">'F4'!F97</f>
        <v>0</v>
      </c>
      <c r="I95" s="983">
        <f ca="1">'F5'!F97</f>
        <v>0</v>
      </c>
      <c r="J95" s="983">
        <f t="shared" ca="1" si="5"/>
        <v>0</v>
      </c>
      <c r="K95" s="983">
        <f ca="1">'F3'!K97</f>
        <v>0</v>
      </c>
      <c r="L95" s="983">
        <f ca="1">'F4'!H97</f>
        <v>0</v>
      </c>
      <c r="M95" s="983">
        <f ca="1">'F5'!H97</f>
        <v>0</v>
      </c>
      <c r="N95" s="983">
        <f t="shared" ca="1" si="6"/>
        <v>0</v>
      </c>
      <c r="O95" s="983">
        <f ca="1">'F3'!N97</f>
        <v>0</v>
      </c>
      <c r="P95" s="983">
        <f ca="1">'F4'!J97</f>
        <v>0</v>
      </c>
      <c r="Q95" s="983">
        <f>'F5'!K97</f>
        <v>0</v>
      </c>
      <c r="R95" s="983">
        <f t="shared" ca="1" si="7"/>
        <v>0</v>
      </c>
    </row>
    <row r="96" spans="2:18">
      <c r="B96" s="1367" t="s">
        <v>475</v>
      </c>
      <c r="C96" s="970">
        <f>'F3'!E98</f>
        <v>0</v>
      </c>
      <c r="D96" s="970">
        <f>'F4'!D98</f>
        <v>0</v>
      </c>
      <c r="E96" s="970">
        <f>'F5'!D98</f>
        <v>2.1075714758812653E-3</v>
      </c>
      <c r="F96" s="970">
        <f t="shared" si="4"/>
        <v>2.1075714758812653E-3</v>
      </c>
      <c r="G96" s="983">
        <f ca="1">'F3'!H98</f>
        <v>0</v>
      </c>
      <c r="H96" s="983">
        <f ca="1">'F4'!F98</f>
        <v>0</v>
      </c>
      <c r="I96" s="983">
        <f ca="1">'F5'!F98</f>
        <v>2.5880323134023454E-3</v>
      </c>
      <c r="J96" s="983">
        <f t="shared" ca="1" si="5"/>
        <v>2.5880323134023454E-3</v>
      </c>
      <c r="K96" s="983">
        <f ca="1">'F3'!K98</f>
        <v>0</v>
      </c>
      <c r="L96" s="983">
        <f ca="1">'F4'!H98</f>
        <v>0</v>
      </c>
      <c r="M96" s="983">
        <f ca="1">'F5'!H98</f>
        <v>3.0507273791721477E-3</v>
      </c>
      <c r="N96" s="983">
        <f t="shared" ca="1" si="6"/>
        <v>3.0507273791721477E-3</v>
      </c>
      <c r="O96" s="983">
        <f ca="1">'F3'!N98</f>
        <v>0</v>
      </c>
      <c r="P96" s="983">
        <f ca="1">'F4'!J98</f>
        <v>0</v>
      </c>
      <c r="Q96" s="983">
        <f>'F5'!K98</f>
        <v>0</v>
      </c>
      <c r="R96" s="983">
        <f t="shared" ca="1" si="7"/>
        <v>0</v>
      </c>
    </row>
    <row r="97" spans="2:18">
      <c r="B97" s="1378" t="s">
        <v>1411</v>
      </c>
      <c r="C97" s="970">
        <f>'F3'!E99</f>
        <v>10.045004385892579</v>
      </c>
      <c r="D97" s="970">
        <f>'F4'!D99</f>
        <v>7.4843159335153207</v>
      </c>
      <c r="E97" s="970">
        <f>'F5'!D99</f>
        <v>2.1075714758812653E-3</v>
      </c>
      <c r="F97" s="970">
        <f t="shared" si="4"/>
        <v>17.531427890883784</v>
      </c>
      <c r="G97" s="983">
        <f ca="1">'F3'!H99</f>
        <v>15.602524601065054</v>
      </c>
      <c r="H97" s="983">
        <f ca="1">'F4'!F99</f>
        <v>10.902427225692032</v>
      </c>
      <c r="I97" s="983">
        <f ca="1">'F5'!F99</f>
        <v>2.4956025879236906E-3</v>
      </c>
      <c r="J97" s="983">
        <f t="shared" ca="1" si="5"/>
        <v>26.50744742934501</v>
      </c>
      <c r="K97" s="983">
        <f ca="1">'F3'!K99</f>
        <v>184.28228783616456</v>
      </c>
      <c r="L97" s="983">
        <f ca="1">'F4'!H99</f>
        <v>116.78617758230165</v>
      </c>
      <c r="M97" s="983">
        <f ca="1">'F5'!H99</f>
        <v>2.9417728299159997E-3</v>
      </c>
      <c r="N97" s="983">
        <f t="shared" ca="1" si="6"/>
        <v>301.07140719129609</v>
      </c>
      <c r="O97" s="983">
        <f ca="1">'F3'!N99</f>
        <v>187.62534469915695</v>
      </c>
      <c r="P97" s="983">
        <f ca="1">'F4'!J99</f>
        <v>187.62534469915695</v>
      </c>
      <c r="Q97" s="983">
        <f>'F5'!K99</f>
        <v>0</v>
      </c>
      <c r="R97" s="983">
        <f t="shared" ca="1" si="7"/>
        <v>375.25068939831391</v>
      </c>
    </row>
    <row r="98" spans="2:18">
      <c r="B98" s="1378" t="s">
        <v>1412</v>
      </c>
      <c r="C98" s="970">
        <f>'F3'!E100</f>
        <v>0</v>
      </c>
      <c r="D98" s="970">
        <f>'F4'!D100</f>
        <v>0</v>
      </c>
      <c r="E98" s="970">
        <f>'F5'!D100</f>
        <v>0</v>
      </c>
      <c r="F98" s="970">
        <f t="shared" si="4"/>
        <v>0</v>
      </c>
      <c r="G98" s="983">
        <f ca="1">'F3'!H100</f>
        <v>0.63259346689334428</v>
      </c>
      <c r="H98" s="983">
        <f ca="1">'F4'!F100</f>
        <v>0.44203130022830533</v>
      </c>
      <c r="I98" s="983">
        <f ca="1">'F5'!F100</f>
        <v>9.242972547865521E-5</v>
      </c>
      <c r="J98" s="983">
        <f t="shared" ca="1" si="5"/>
        <v>1.0747171968471283</v>
      </c>
      <c r="K98" s="983">
        <f ca="1">'F3'!K100</f>
        <v>37.061320400428443</v>
      </c>
      <c r="L98" s="983">
        <f ca="1">'F4'!H100</f>
        <v>23.487064310635368</v>
      </c>
      <c r="M98" s="983">
        <f ca="1">'F5'!H100</f>
        <v>1.0895454925614813E-4</v>
      </c>
      <c r="N98" s="983">
        <f t="shared" ca="1" si="6"/>
        <v>60.548493665613066</v>
      </c>
      <c r="O98" s="983">
        <f ca="1">'F3'!N100</f>
        <v>37.733648180656367</v>
      </c>
      <c r="P98" s="983">
        <f ca="1">'F4'!J100</f>
        <v>37.733648180656367</v>
      </c>
      <c r="Q98" s="983">
        <f>'F5'!K100</f>
        <v>0</v>
      </c>
      <c r="R98" s="983">
        <f t="shared" ca="1" si="7"/>
        <v>75.467296361312734</v>
      </c>
    </row>
    <row r="99" spans="2:18">
      <c r="B99" s="1367" t="s">
        <v>1403</v>
      </c>
      <c r="C99" s="970">
        <f>'F3'!E101</f>
        <v>0</v>
      </c>
      <c r="D99" s="970">
        <f>'F4'!D101</f>
        <v>0</v>
      </c>
      <c r="E99" s="970">
        <f>'F5'!D101</f>
        <v>1.6021844382974923E-2</v>
      </c>
      <c r="F99" s="970">
        <f t="shared" si="4"/>
        <v>1.6021844382974923E-2</v>
      </c>
      <c r="G99" s="983">
        <f ca="1">'F3'!H101</f>
        <v>0</v>
      </c>
      <c r="H99" s="983">
        <f ca="1">'F4'!F101</f>
        <v>0</v>
      </c>
      <c r="I99" s="983">
        <f ca="1">'F5'!F101</f>
        <v>2.4956025879236905E-2</v>
      </c>
      <c r="J99" s="983">
        <f t="shared" ca="1" si="5"/>
        <v>2.4956025879236905E-2</v>
      </c>
      <c r="K99" s="983">
        <f ca="1">'F3'!K101</f>
        <v>0</v>
      </c>
      <c r="L99" s="983">
        <f ca="1">'F4'!H101</f>
        <v>0</v>
      </c>
      <c r="M99" s="983">
        <f ca="1">'F5'!H101</f>
        <v>3.0006082865143197E-2</v>
      </c>
      <c r="N99" s="983">
        <f t="shared" ca="1" si="6"/>
        <v>3.0006082865143197E-2</v>
      </c>
      <c r="O99" s="983">
        <f ca="1">'F3'!N101</f>
        <v>0</v>
      </c>
      <c r="P99" s="983">
        <f ca="1">'F4'!J101</f>
        <v>0</v>
      </c>
      <c r="Q99" s="983">
        <f>'F5'!K101</f>
        <v>0</v>
      </c>
      <c r="R99" s="983">
        <f t="shared" ca="1" si="7"/>
        <v>0</v>
      </c>
    </row>
    <row r="100" spans="2:18">
      <c r="B100" s="1378" t="s">
        <v>1413</v>
      </c>
      <c r="C100" s="970">
        <f>'F3'!E102</f>
        <v>167.16278241652179</v>
      </c>
      <c r="D100" s="970">
        <f>'F4'!D102</f>
        <v>124.54938075366093</v>
      </c>
      <c r="E100" s="970">
        <f>'F5'!D102</f>
        <v>1.5290646115832444E-2</v>
      </c>
      <c r="F100" s="970">
        <f t="shared" si="4"/>
        <v>291.72745381629858</v>
      </c>
      <c r="G100" s="983">
        <f ca="1">'F3'!H102</f>
        <v>151.40987109773306</v>
      </c>
      <c r="H100" s="983">
        <f ca="1">'F4'!F102</f>
        <v>105.7992307720357</v>
      </c>
      <c r="I100" s="983">
        <f ca="1">'F5'!F102</f>
        <v>2.3785249356507273E-2</v>
      </c>
      <c r="J100" s="983">
        <f t="shared" ca="1" si="5"/>
        <v>257.23288711912528</v>
      </c>
      <c r="K100" s="983">
        <f ca="1">'F3'!K102</f>
        <v>16.263343935890667</v>
      </c>
      <c r="L100" s="983">
        <f ca="1">'F4'!H102</f>
        <v>10.306653967024609</v>
      </c>
      <c r="M100" s="983">
        <f ca="1">'F5'!H102</f>
        <v>2.8598390088753766E-2</v>
      </c>
      <c r="N100" s="983">
        <f t="shared" ca="1" si="6"/>
        <v>26.598596293004029</v>
      </c>
      <c r="O100" s="983">
        <f ca="1">'F3'!N102</f>
        <v>17.386295368644131</v>
      </c>
      <c r="P100" s="983">
        <f ca="1">'F4'!J102</f>
        <v>17.386295368644131</v>
      </c>
      <c r="Q100" s="983">
        <f>'F5'!K102</f>
        <v>0</v>
      </c>
      <c r="R100" s="983">
        <f t="shared" ca="1" si="7"/>
        <v>34.772590737288262</v>
      </c>
    </row>
    <row r="101" spans="2:18">
      <c r="B101" s="1378" t="s">
        <v>1414</v>
      </c>
      <c r="C101" s="970">
        <f>'F3'!E103</f>
        <v>29.664637878014577</v>
      </c>
      <c r="D101" s="970">
        <f>'F4'!D103</f>
        <v>22.102481333327798</v>
      </c>
      <c r="E101" s="970">
        <f>'F5'!D103</f>
        <v>7.3119826714247986E-4</v>
      </c>
      <c r="F101" s="970">
        <f t="shared" si="4"/>
        <v>51.767850409609515</v>
      </c>
      <c r="G101" s="983">
        <f ca="1">'F3'!H103</f>
        <v>30.49718145542337</v>
      </c>
      <c r="H101" s="983">
        <f ca="1">'F4'!F103</f>
        <v>21.31022446096841</v>
      </c>
      <c r="I101" s="983">
        <f ca="1">'F5'!F103</f>
        <v>1.1707765227296327E-3</v>
      </c>
      <c r="J101" s="983">
        <f t="shared" ca="1" si="5"/>
        <v>51.808576692914507</v>
      </c>
      <c r="K101" s="983">
        <f ca="1">'F3'!K103</f>
        <v>1.2291769991731896</v>
      </c>
      <c r="L101" s="983">
        <f ca="1">'F4'!H103</f>
        <v>0.77897276505023705</v>
      </c>
      <c r="M101" s="983">
        <f ca="1">'F5'!H103</f>
        <v>1.4076927763894337E-3</v>
      </c>
      <c r="N101" s="983">
        <f t="shared" ca="1" si="6"/>
        <v>2.0095574569998162</v>
      </c>
      <c r="O101" s="983">
        <f ca="1">'F3'!N103</f>
        <v>1.3140492171973694</v>
      </c>
      <c r="P101" s="983">
        <f ca="1">'F4'!J103</f>
        <v>1.3140492171973694</v>
      </c>
      <c r="Q101" s="983">
        <f>'F5'!K103</f>
        <v>0</v>
      </c>
      <c r="R101" s="983">
        <f t="shared" ca="1" si="7"/>
        <v>2.6280984343947389</v>
      </c>
    </row>
    <row r="102" spans="2:18">
      <c r="B102" s="1369" t="s">
        <v>1425</v>
      </c>
      <c r="C102" s="970">
        <f>'F3'!E104</f>
        <v>206.87242468042896</v>
      </c>
      <c r="D102" s="970">
        <f>'F4'!D104</f>
        <v>154.13617802050405</v>
      </c>
      <c r="E102" s="970">
        <f>'F5'!D104</f>
        <v>1.812941585885619E-2</v>
      </c>
      <c r="F102" s="970">
        <f t="shared" si="4"/>
        <v>361.02673211679189</v>
      </c>
      <c r="G102" s="983">
        <f ca="1">'F3'!H104</f>
        <v>198.14217062111481</v>
      </c>
      <c r="H102" s="983">
        <f ca="1">'F4'!F104</f>
        <v>138.45391375892444</v>
      </c>
      <c r="I102" s="983">
        <f ca="1">'F5'!F104</f>
        <v>2.7544058192639248E-2</v>
      </c>
      <c r="J102" s="983">
        <f t="shared" ca="1" si="5"/>
        <v>336.62362843823189</v>
      </c>
      <c r="K102" s="983">
        <f ca="1">'F3'!K104</f>
        <v>238.83612917165684</v>
      </c>
      <c r="L102" s="983">
        <f ca="1">'F4'!H104</f>
        <v>151.35886862501184</v>
      </c>
      <c r="M102" s="983">
        <f ca="1">'F5'!H104</f>
        <v>3.3056810244315345E-2</v>
      </c>
      <c r="N102" s="983">
        <f t="shared" ca="1" si="6"/>
        <v>390.22805460691296</v>
      </c>
      <c r="O102" s="983">
        <f ca="1">'F3'!N104</f>
        <v>244.05933746565481</v>
      </c>
      <c r="P102" s="983">
        <f ca="1">'F4'!J104</f>
        <v>244.05933746565481</v>
      </c>
      <c r="Q102" s="983">
        <f>'F5'!K104</f>
        <v>0</v>
      </c>
      <c r="R102" s="983">
        <f t="shared" ca="1" si="7"/>
        <v>488.11867493130961</v>
      </c>
    </row>
    <row r="103" spans="2:18">
      <c r="B103" s="1369" t="s">
        <v>1446</v>
      </c>
      <c r="C103" s="970">
        <f>'F3'!E105</f>
        <v>0</v>
      </c>
      <c r="D103" s="970">
        <f>'F4'!D105</f>
        <v>0</v>
      </c>
      <c r="E103" s="970">
        <f>'F5'!D105</f>
        <v>0</v>
      </c>
      <c r="F103" s="970">
        <f t="shared" si="4"/>
        <v>0</v>
      </c>
      <c r="G103" s="983">
        <f ca="1">'F3'!H105</f>
        <v>0</v>
      </c>
      <c r="H103" s="983">
        <f ca="1">'F4'!F105</f>
        <v>0</v>
      </c>
      <c r="I103" s="983">
        <f>'F5'!F105</f>
        <v>0</v>
      </c>
      <c r="J103" s="983">
        <f t="shared" ca="1" si="5"/>
        <v>0</v>
      </c>
      <c r="K103" s="983">
        <f ca="1">'F3'!K105</f>
        <v>0</v>
      </c>
      <c r="L103" s="983">
        <f ca="1">'F4'!H105</f>
        <v>0</v>
      </c>
      <c r="M103" s="983">
        <f>'F5'!H105</f>
        <v>0</v>
      </c>
      <c r="N103" s="983">
        <f t="shared" ca="1" si="6"/>
        <v>0</v>
      </c>
      <c r="O103" s="983">
        <f ca="1">'F3'!N105</f>
        <v>0</v>
      </c>
      <c r="P103" s="983">
        <f ca="1">'F4'!J105</f>
        <v>0</v>
      </c>
      <c r="Q103" s="983">
        <f>'F5'!K105</f>
        <v>0</v>
      </c>
      <c r="R103" s="983">
        <f t="shared" ca="1" si="7"/>
        <v>0</v>
      </c>
    </row>
    <row r="104" spans="2:18">
      <c r="B104" s="1367" t="s">
        <v>1125</v>
      </c>
      <c r="C104" s="970">
        <f>'F3'!E106</f>
        <v>0</v>
      </c>
      <c r="D104" s="970">
        <f>'F4'!D106</f>
        <v>0</v>
      </c>
      <c r="E104" s="970">
        <f>'F5'!D106</f>
        <v>0</v>
      </c>
      <c r="F104" s="970">
        <f t="shared" si="4"/>
        <v>0</v>
      </c>
      <c r="G104" s="983">
        <f ca="1">'F3'!H106</f>
        <v>0</v>
      </c>
      <c r="H104" s="983">
        <f ca="1">'F4'!F106</f>
        <v>0</v>
      </c>
      <c r="I104" s="983">
        <f ca="1">'F5'!F106</f>
        <v>0</v>
      </c>
      <c r="J104" s="983">
        <f t="shared" ca="1" si="5"/>
        <v>0</v>
      </c>
      <c r="K104" s="983">
        <f ca="1">'F3'!K106</f>
        <v>0</v>
      </c>
      <c r="L104" s="983">
        <f ca="1">'F4'!H106</f>
        <v>0</v>
      </c>
      <c r="M104" s="983">
        <f ca="1">'F5'!H106</f>
        <v>0</v>
      </c>
      <c r="N104" s="983">
        <f t="shared" ca="1" si="6"/>
        <v>0</v>
      </c>
      <c r="O104" s="983">
        <f ca="1">'F3'!N106</f>
        <v>0</v>
      </c>
      <c r="P104" s="983">
        <f ca="1">'F4'!J106</f>
        <v>0</v>
      </c>
      <c r="Q104" s="983">
        <f>'F5'!K106</f>
        <v>0</v>
      </c>
      <c r="R104" s="983">
        <f t="shared" ca="1" si="7"/>
        <v>0</v>
      </c>
    </row>
    <row r="105" spans="2:18">
      <c r="B105" s="1378" t="s">
        <v>1126</v>
      </c>
      <c r="C105" s="970">
        <f>'F3'!E107</f>
        <v>280.62932524742916</v>
      </c>
      <c r="D105" s="970">
        <f>'F4'!D107</f>
        <v>209.09085249486998</v>
      </c>
      <c r="E105" s="970">
        <f>'F5'!D107</f>
        <v>2.3376838717172811E-2</v>
      </c>
      <c r="F105" s="970">
        <f t="shared" si="4"/>
        <v>489.74355458101633</v>
      </c>
      <c r="G105" s="983">
        <f ca="1">'F3'!H107</f>
        <v>341.61977321979396</v>
      </c>
      <c r="H105" s="983">
        <f ca="1">'F4'!F107</f>
        <v>238.71038896692269</v>
      </c>
      <c r="I105" s="983">
        <f ca="1">'F5'!F107</f>
        <v>3.3860089433680685E-2</v>
      </c>
      <c r="J105" s="983">
        <f t="shared" ca="1" si="5"/>
        <v>580.36402227615031</v>
      </c>
      <c r="K105" s="983">
        <f ca="1">'F3'!K107</f>
        <v>364.23857645847011</v>
      </c>
      <c r="L105" s="983">
        <f ca="1">'F4'!H107</f>
        <v>230.83081706920154</v>
      </c>
      <c r="M105" s="983">
        <f ca="1">'F5'!H107</f>
        <v>4.1111093707160672E-2</v>
      </c>
      <c r="N105" s="983">
        <f t="shared" ca="1" si="6"/>
        <v>595.11050462137882</v>
      </c>
      <c r="O105" s="983">
        <f ca="1">'F3'!N107</f>
        <v>381.97159879604754</v>
      </c>
      <c r="P105" s="983">
        <f ca="1">'F4'!J107</f>
        <v>381.97159879604754</v>
      </c>
      <c r="Q105" s="983">
        <f>'F5'!K107</f>
        <v>0</v>
      </c>
      <c r="R105" s="983">
        <f t="shared" ca="1" si="7"/>
        <v>763.94319759209509</v>
      </c>
    </row>
    <row r="106" spans="2:18">
      <c r="B106" s="1378" t="s">
        <v>1127</v>
      </c>
      <c r="C106" s="970">
        <f>'F3'!E108</f>
        <v>158.0325473841084</v>
      </c>
      <c r="D106" s="970">
        <f>'F4'!D108</f>
        <v>117.74663971894314</v>
      </c>
      <c r="E106" s="970">
        <f>'F5'!D108</f>
        <v>7.0969243575593637E-4</v>
      </c>
      <c r="F106" s="970">
        <f t="shared" si="4"/>
        <v>275.77989679548728</v>
      </c>
      <c r="G106" s="983">
        <f ca="1">'F3'!H108</f>
        <v>135.58393629440133</v>
      </c>
      <c r="H106" s="983">
        <f ca="1">'F4'!F108</f>
        <v>94.740693331236358</v>
      </c>
      <c r="I106" s="983">
        <f ca="1">'F5'!F108</f>
        <v>1.1399666142367475E-3</v>
      </c>
      <c r="J106" s="983">
        <f t="shared" ca="1" si="5"/>
        <v>230.3257695922519</v>
      </c>
      <c r="K106" s="983">
        <f ca="1">'F3'!K108</f>
        <v>143.05584210315945</v>
      </c>
      <c r="L106" s="983">
        <f ca="1">'F4'!H108</f>
        <v>90.65952662199706</v>
      </c>
      <c r="M106" s="983">
        <f ca="1">'F5'!H108</f>
        <v>1.3840859573839353E-3</v>
      </c>
      <c r="N106" s="983">
        <f t="shared" ca="1" si="6"/>
        <v>233.71675281111391</v>
      </c>
      <c r="O106" s="983">
        <f ca="1">'F3'!N108</f>
        <v>152.93356242234779</v>
      </c>
      <c r="P106" s="983">
        <f ca="1">'F4'!J108</f>
        <v>152.93356242234779</v>
      </c>
      <c r="Q106" s="983">
        <f>'F5'!K108</f>
        <v>0</v>
      </c>
      <c r="R106" s="983">
        <f t="shared" ca="1" si="7"/>
        <v>305.86712484469558</v>
      </c>
    </row>
    <row r="107" spans="2:18">
      <c r="B107" s="1378" t="s">
        <v>1128</v>
      </c>
      <c r="C107" s="970">
        <f>'F3'!E109</f>
        <v>32.343448816954826</v>
      </c>
      <c r="D107" s="970">
        <f>'F4'!D109</f>
        <v>24.098405538332923</v>
      </c>
      <c r="E107" s="970">
        <f>'F5'!D109</f>
        <v>8.6023325546174083E-5</v>
      </c>
      <c r="F107" s="970">
        <f t="shared" si="4"/>
        <v>56.441940378613289</v>
      </c>
      <c r="G107" s="983">
        <f ca="1">'F3'!H109</f>
        <v>17.791269044869946</v>
      </c>
      <c r="H107" s="983">
        <f ca="1">'F4'!F109</f>
        <v>12.431835294216514</v>
      </c>
      <c r="I107" s="983">
        <f ca="1">'F5'!F109</f>
        <v>1.8485945095731042E-4</v>
      </c>
      <c r="J107" s="983">
        <f t="shared" ca="1" si="5"/>
        <v>30.223289198537419</v>
      </c>
      <c r="K107" s="983">
        <f ca="1">'F3'!K109</f>
        <v>24.492420011643695</v>
      </c>
      <c r="L107" s="983">
        <f ca="1">'F4'!H109</f>
        <v>15.521709364945291</v>
      </c>
      <c r="M107" s="983">
        <f ca="1">'F5'!H109</f>
        <v>2.2444637146766514E-4</v>
      </c>
      <c r="N107" s="983">
        <f t="shared" ca="1" si="6"/>
        <v>40.014353822960452</v>
      </c>
      <c r="O107" s="983">
        <f ca="1">'F3'!N109</f>
        <v>26.682307438448824</v>
      </c>
      <c r="P107" s="983">
        <f ca="1">'F4'!J109</f>
        <v>26.682307438448824</v>
      </c>
      <c r="Q107" s="983">
        <f>'F5'!K109</f>
        <v>0</v>
      </c>
      <c r="R107" s="983">
        <f t="shared" ca="1" si="7"/>
        <v>53.364614876897647</v>
      </c>
    </row>
    <row r="108" spans="2:18">
      <c r="B108" s="1378" t="s">
        <v>1129</v>
      </c>
      <c r="C108" s="970">
        <f>'F3'!E110</f>
        <v>0</v>
      </c>
      <c r="D108" s="970">
        <f>'F4'!D110</f>
        <v>0</v>
      </c>
      <c r="E108" s="970">
        <f>'F5'!D110</f>
        <v>0</v>
      </c>
      <c r="F108" s="970">
        <f t="shared" si="4"/>
        <v>0</v>
      </c>
      <c r="G108" s="983">
        <f ca="1">'F3'!H110</f>
        <v>0.60508940311537285</v>
      </c>
      <c r="H108" s="983">
        <f ca="1">'F4'!F110</f>
        <v>0.422812548044466</v>
      </c>
      <c r="I108" s="983">
        <f ca="1">'F5'!F110</f>
        <v>6.161981698577014E-5</v>
      </c>
      <c r="J108" s="983">
        <f t="shared" ca="1" si="5"/>
        <v>1.0279635709768247</v>
      </c>
      <c r="K108" s="983">
        <f ca="1">'F3'!K110</f>
        <v>1.5207609089975045</v>
      </c>
      <c r="L108" s="983">
        <f ca="1">'F4'!H110</f>
        <v>0.96375976044047729</v>
      </c>
      <c r="M108" s="983">
        <f ca="1">'F5'!H110</f>
        <v>7.4815457155888389E-5</v>
      </c>
      <c r="N108" s="983">
        <f t="shared" ca="1" si="6"/>
        <v>2.4845954848951375</v>
      </c>
      <c r="O108" s="983">
        <f ca="1">'F3'!N110</f>
        <v>1.6102829242586127</v>
      </c>
      <c r="P108" s="983">
        <f ca="1">'F4'!J110</f>
        <v>1.6102829242586127</v>
      </c>
      <c r="Q108" s="983">
        <f>'F5'!K110</f>
        <v>0</v>
      </c>
      <c r="R108" s="983">
        <f t="shared" ca="1" si="7"/>
        <v>3.2205658485172255</v>
      </c>
    </row>
    <row r="109" spans="2:18">
      <c r="B109" s="1377" t="s">
        <v>1130</v>
      </c>
      <c r="C109" s="970">
        <f>'F3'!E111</f>
        <v>2.0470537225920777</v>
      </c>
      <c r="D109" s="970">
        <f>'F4'!D111</f>
        <v>1.5252155404008179</v>
      </c>
      <c r="E109" s="970">
        <f>'F5'!D111</f>
        <v>5.1613995327704453E-4</v>
      </c>
      <c r="F109" s="970">
        <f t="shared" si="4"/>
        <v>3.5727854029461725</v>
      </c>
      <c r="G109" s="983">
        <f ca="1">'F3'!H111</f>
        <v>102.25287121497749</v>
      </c>
      <c r="H109" s="983">
        <f ca="1">'F4'!F111</f>
        <v>71.450263053150593</v>
      </c>
      <c r="I109" s="983">
        <f ca="1">'F5'!F111</f>
        <v>7.7024771232212666E-3</v>
      </c>
      <c r="J109" s="983">
        <f t="shared" ca="1" si="5"/>
        <v>173.7108367452513</v>
      </c>
      <c r="K109" s="983">
        <f ca="1">'F3'!K111</f>
        <v>94.804989163222956</v>
      </c>
      <c r="L109" s="983">
        <f ca="1">'F4'!H111</f>
        <v>60.081261363261234</v>
      </c>
      <c r="M109" s="983">
        <f ca="1">'F5'!H111</f>
        <v>9.3519321444860484E-3</v>
      </c>
      <c r="N109" s="983">
        <f t="shared" ca="1" si="6"/>
        <v>154.89560245862867</v>
      </c>
      <c r="O109" s="983">
        <f ca="1">'F3'!N111</f>
        <v>101.35108440862165</v>
      </c>
      <c r="P109" s="983">
        <f ca="1">'F4'!J111</f>
        <v>101.35108440862165</v>
      </c>
      <c r="Q109" s="983">
        <f>'F5'!K111</f>
        <v>0</v>
      </c>
      <c r="R109" s="983">
        <f t="shared" ca="1" si="7"/>
        <v>202.70216881724329</v>
      </c>
    </row>
    <row r="110" spans="2:18">
      <c r="B110" s="1369" t="s">
        <v>1425</v>
      </c>
      <c r="C110" s="970">
        <f>'F3'!E112</f>
        <v>473.05237517108446</v>
      </c>
      <c r="D110" s="970">
        <f>'F4'!D112</f>
        <v>352.46111329254688</v>
      </c>
      <c r="E110" s="970">
        <f>'F5'!D112</f>
        <v>2.4688694431751965E-2</v>
      </c>
      <c r="F110" s="970">
        <f t="shared" si="4"/>
        <v>825.53817715806315</v>
      </c>
      <c r="G110" s="983">
        <f ca="1">'F3'!H112</f>
        <v>597.85293917715808</v>
      </c>
      <c r="H110" s="983">
        <f ca="1">'F4'!F112</f>
        <v>417.75599319357059</v>
      </c>
      <c r="I110" s="983">
        <f ca="1">'F5'!F112</f>
        <v>4.294901243908178E-2</v>
      </c>
      <c r="J110" s="983">
        <f t="shared" ca="1" si="5"/>
        <v>1015.6518813831677</v>
      </c>
      <c r="K110" s="983">
        <f ca="1">'F3'!K112</f>
        <v>628.1125886454937</v>
      </c>
      <c r="L110" s="983">
        <f ca="1">'F4'!H112</f>
        <v>398.05707417984559</v>
      </c>
      <c r="M110" s="983">
        <f ca="1">'F5'!H112</f>
        <v>5.2146373637654203E-2</v>
      </c>
      <c r="N110" s="983">
        <f t="shared" ca="1" si="6"/>
        <v>1026.2218091989771</v>
      </c>
      <c r="O110" s="983">
        <f ca="1">'F3'!N112</f>
        <v>664.54883598972435</v>
      </c>
      <c r="P110" s="983">
        <f ca="1">'F4'!J112</f>
        <v>664.54883598972435</v>
      </c>
      <c r="Q110" s="983">
        <f>'F5'!K112</f>
        <v>0</v>
      </c>
      <c r="R110" s="983">
        <f t="shared" ca="1" si="7"/>
        <v>1329.0976719794487</v>
      </c>
    </row>
    <row r="111" spans="2:18">
      <c r="B111" s="1369" t="s">
        <v>1446</v>
      </c>
      <c r="C111" s="970">
        <f>'F3'!E113</f>
        <v>0</v>
      </c>
      <c r="D111" s="970">
        <f>'F4'!D113</f>
        <v>0</v>
      </c>
      <c r="E111" s="970">
        <f>'F5'!D113</f>
        <v>0</v>
      </c>
      <c r="F111" s="970">
        <f t="shared" si="4"/>
        <v>0</v>
      </c>
      <c r="G111" s="983">
        <f ca="1">'F3'!H113</f>
        <v>0</v>
      </c>
      <c r="H111" s="983">
        <f ca="1">'F4'!F113</f>
        <v>0</v>
      </c>
      <c r="I111" s="983">
        <f ca="1">'F5'!F113</f>
        <v>0</v>
      </c>
      <c r="J111" s="983">
        <f t="shared" ca="1" si="5"/>
        <v>0</v>
      </c>
      <c r="K111" s="983">
        <f ca="1">'F3'!K113</f>
        <v>0</v>
      </c>
      <c r="L111" s="983">
        <f ca="1">'F4'!H113</f>
        <v>0</v>
      </c>
      <c r="M111" s="983">
        <f ca="1">'F5'!H113</f>
        <v>0</v>
      </c>
      <c r="N111" s="983">
        <f t="shared" ca="1" si="6"/>
        <v>0</v>
      </c>
      <c r="O111" s="983">
        <f ca="1">'F3'!N113</f>
        <v>0</v>
      </c>
      <c r="P111" s="983">
        <f ca="1">'F4'!J113</f>
        <v>0</v>
      </c>
      <c r="Q111" s="983">
        <f>'F5'!K113</f>
        <v>0</v>
      </c>
      <c r="R111" s="983">
        <f t="shared" ca="1" si="7"/>
        <v>0</v>
      </c>
    </row>
    <row r="112" spans="2:18">
      <c r="B112" s="1367" t="s">
        <v>1133</v>
      </c>
      <c r="C112" s="970">
        <f>'F3'!E114</f>
        <v>0</v>
      </c>
      <c r="D112" s="970">
        <f>'F4'!D114</f>
        <v>0</v>
      </c>
      <c r="E112" s="970">
        <f>'F5'!D114</f>
        <v>0</v>
      </c>
      <c r="F112" s="970">
        <f t="shared" si="4"/>
        <v>0</v>
      </c>
      <c r="G112" s="983">
        <f ca="1">'F3'!H114</f>
        <v>0</v>
      </c>
      <c r="H112" s="983">
        <f ca="1">'F4'!F114</f>
        <v>0</v>
      </c>
      <c r="I112" s="983">
        <f>'F5'!F114</f>
        <v>0</v>
      </c>
      <c r="J112" s="983">
        <f t="shared" ca="1" si="5"/>
        <v>0</v>
      </c>
      <c r="K112" s="983">
        <f ca="1">'F3'!K114</f>
        <v>0</v>
      </c>
      <c r="L112" s="983">
        <f ca="1">'F4'!H114</f>
        <v>0</v>
      </c>
      <c r="M112" s="983">
        <f>'F5'!H114</f>
        <v>0</v>
      </c>
      <c r="N112" s="983">
        <f t="shared" ca="1" si="6"/>
        <v>0</v>
      </c>
      <c r="O112" s="983">
        <f ca="1">'F3'!N114</f>
        <v>0</v>
      </c>
      <c r="P112" s="983">
        <f ca="1">'F4'!J114</f>
        <v>0</v>
      </c>
      <c r="Q112" s="983">
        <f>'F5'!K114</f>
        <v>0</v>
      </c>
      <c r="R112" s="983">
        <f t="shared" ca="1" si="7"/>
        <v>0</v>
      </c>
    </row>
    <row r="113" spans="2:18">
      <c r="B113" s="1378" t="s">
        <v>1415</v>
      </c>
      <c r="C113" s="970">
        <f>'F3'!E115</f>
        <v>0</v>
      </c>
      <c r="D113" s="970">
        <f>'F4'!D115</f>
        <v>0</v>
      </c>
      <c r="E113" s="970">
        <f>'F5'!D115</f>
        <v>0</v>
      </c>
      <c r="F113" s="970">
        <f t="shared" si="4"/>
        <v>0</v>
      </c>
      <c r="G113" s="983">
        <f ca="1">'F3'!H115</f>
        <v>11.993701916934375</v>
      </c>
      <c r="H113" s="983">
        <f ca="1">'F4'!F115</f>
        <v>8.3807246365177406</v>
      </c>
      <c r="I113" s="983">
        <f ca="1">'F5'!F115</f>
        <v>3.080990849288507E-5</v>
      </c>
      <c r="J113" s="983">
        <f t="shared" ca="1" si="5"/>
        <v>20.374457363360609</v>
      </c>
      <c r="K113" s="983">
        <f ca="1">'F3'!K115</f>
        <v>3.7032413374885511</v>
      </c>
      <c r="L113" s="983">
        <f ca="1">'F4'!H115</f>
        <v>2.3468744910230299</v>
      </c>
      <c r="M113" s="983">
        <f ca="1">'F5'!H115</f>
        <v>3.6318183085382718E-5</v>
      </c>
      <c r="N113" s="983">
        <f t="shared" ca="1" si="6"/>
        <v>6.0501521466946668</v>
      </c>
      <c r="O113" s="983">
        <f ca="1">'F3'!N115</f>
        <v>3.7704216754036892</v>
      </c>
      <c r="P113" s="983">
        <f ca="1">'F4'!J115</f>
        <v>3.7704216754036892</v>
      </c>
      <c r="Q113" s="983">
        <f>'F5'!K115</f>
        <v>0</v>
      </c>
      <c r="R113" s="983">
        <f t="shared" ca="1" si="7"/>
        <v>7.5408433508073784</v>
      </c>
    </row>
    <row r="114" spans="2:18">
      <c r="B114" s="1378" t="s">
        <v>1134</v>
      </c>
      <c r="C114" s="970">
        <f>'F3'!E116</f>
        <v>0</v>
      </c>
      <c r="D114" s="970">
        <f>'F4'!D116</f>
        <v>0</v>
      </c>
      <c r="E114" s="970">
        <f>'F5'!D116</f>
        <v>0</v>
      </c>
      <c r="F114" s="970">
        <f t="shared" si="4"/>
        <v>0</v>
      </c>
      <c r="G114" s="983">
        <f ca="1">'F3'!H116</f>
        <v>0</v>
      </c>
      <c r="H114" s="983">
        <f ca="1">'F4'!F116</f>
        <v>0</v>
      </c>
      <c r="I114" s="983">
        <f ca="1">'F5'!F116</f>
        <v>0</v>
      </c>
      <c r="J114" s="983">
        <f t="shared" ca="1" si="5"/>
        <v>0</v>
      </c>
      <c r="K114" s="983">
        <f ca="1">'F3'!K116</f>
        <v>0</v>
      </c>
      <c r="L114" s="983">
        <f ca="1">'F4'!H116</f>
        <v>0</v>
      </c>
      <c r="M114" s="983">
        <f ca="1">'F5'!H116</f>
        <v>0</v>
      </c>
      <c r="N114" s="983">
        <f t="shared" ca="1" si="6"/>
        <v>0</v>
      </c>
      <c r="O114" s="983">
        <f ca="1">'F3'!N116</f>
        <v>0</v>
      </c>
      <c r="P114" s="983">
        <f ca="1">'F4'!J116</f>
        <v>0</v>
      </c>
      <c r="Q114" s="983">
        <f>'F5'!K116</f>
        <v>0</v>
      </c>
      <c r="R114" s="983">
        <f t="shared" ca="1" si="7"/>
        <v>0</v>
      </c>
    </row>
    <row r="115" spans="2:18">
      <c r="B115" s="1378" t="s">
        <v>1135</v>
      </c>
      <c r="C115" s="970">
        <f>'F3'!E117</f>
        <v>0</v>
      </c>
      <c r="D115" s="970">
        <f>'F4'!D117</f>
        <v>0</v>
      </c>
      <c r="E115" s="970">
        <f>'F5'!D117</f>
        <v>0</v>
      </c>
      <c r="F115" s="970">
        <f t="shared" si="4"/>
        <v>0</v>
      </c>
      <c r="G115" s="983">
        <f ca="1">'F3'!H117</f>
        <v>0</v>
      </c>
      <c r="H115" s="983">
        <f ca="1">'F4'!F117</f>
        <v>0</v>
      </c>
      <c r="I115" s="983">
        <f ca="1">'F5'!F117</f>
        <v>0</v>
      </c>
      <c r="J115" s="983">
        <f t="shared" ca="1" si="5"/>
        <v>0</v>
      </c>
      <c r="K115" s="983">
        <f ca="1">'F3'!K117</f>
        <v>0</v>
      </c>
      <c r="L115" s="983">
        <f ca="1">'F4'!H117</f>
        <v>0</v>
      </c>
      <c r="M115" s="983">
        <f ca="1">'F5'!H117</f>
        <v>0</v>
      </c>
      <c r="N115" s="983">
        <f t="shared" ca="1" si="6"/>
        <v>0</v>
      </c>
      <c r="O115" s="983">
        <f ca="1">'F3'!N117</f>
        <v>0</v>
      </c>
      <c r="P115" s="983">
        <f ca="1">'F4'!J117</f>
        <v>0</v>
      </c>
      <c r="Q115" s="983">
        <f>'F5'!K117</f>
        <v>0</v>
      </c>
      <c r="R115" s="983">
        <f t="shared" ca="1" si="7"/>
        <v>0</v>
      </c>
    </row>
    <row r="116" spans="2:18">
      <c r="B116" s="1369" t="s">
        <v>1425</v>
      </c>
      <c r="C116" s="970">
        <f>'F3'!E118</f>
        <v>0</v>
      </c>
      <c r="D116" s="970">
        <f>'F4'!D118</f>
        <v>0</v>
      </c>
      <c r="E116" s="970">
        <f>'F5'!D118</f>
        <v>0</v>
      </c>
      <c r="F116" s="970">
        <f t="shared" si="4"/>
        <v>0</v>
      </c>
      <c r="G116" s="983">
        <f ca="1">'F3'!H118</f>
        <v>11.993701916934375</v>
      </c>
      <c r="H116" s="983">
        <f ca="1">'F4'!F118</f>
        <v>8.3807246365177406</v>
      </c>
      <c r="I116" s="983">
        <f ca="1">'F5'!F118</f>
        <v>3.080990849288507E-5</v>
      </c>
      <c r="J116" s="983">
        <f t="shared" ca="1" si="5"/>
        <v>20.374457363360609</v>
      </c>
      <c r="K116" s="983">
        <f ca="1">'F3'!K118</f>
        <v>3.7032413374885511</v>
      </c>
      <c r="L116" s="983">
        <f ca="1">'F4'!H118</f>
        <v>2.3468744910230299</v>
      </c>
      <c r="M116" s="983">
        <f ca="1">'F5'!H118</f>
        <v>3.6318183085382718E-5</v>
      </c>
      <c r="N116" s="983">
        <f t="shared" ca="1" si="6"/>
        <v>6.0501521466946668</v>
      </c>
      <c r="O116" s="983">
        <f ca="1">'F3'!N118</f>
        <v>3.7704216754036892</v>
      </c>
      <c r="P116" s="983">
        <f ca="1">'F4'!J118</f>
        <v>3.7704216754036892</v>
      </c>
      <c r="Q116" s="983">
        <f>'F5'!K118</f>
        <v>0</v>
      </c>
      <c r="R116" s="983">
        <f t="shared" ca="1" si="7"/>
        <v>7.5408433508073784</v>
      </c>
    </row>
    <row r="117" spans="2:18">
      <c r="B117" s="1369" t="s">
        <v>1446</v>
      </c>
      <c r="C117" s="970">
        <f>'F3'!E119</f>
        <v>0</v>
      </c>
      <c r="D117" s="970">
        <f>'F4'!D119</f>
        <v>0</v>
      </c>
      <c r="E117" s="970">
        <f>'F5'!D119</f>
        <v>0</v>
      </c>
      <c r="F117" s="970">
        <f t="shared" si="4"/>
        <v>0</v>
      </c>
      <c r="G117" s="983">
        <f ca="1">'F3'!H119</f>
        <v>0</v>
      </c>
      <c r="H117" s="983">
        <f ca="1">'F4'!F119</f>
        <v>0</v>
      </c>
      <c r="I117" s="983">
        <f>'F5'!F119</f>
        <v>0</v>
      </c>
      <c r="J117" s="983">
        <f t="shared" ca="1" si="5"/>
        <v>0</v>
      </c>
      <c r="K117" s="983">
        <f ca="1">'F3'!K119</f>
        <v>0</v>
      </c>
      <c r="L117" s="983">
        <f ca="1">'F4'!H119</f>
        <v>0</v>
      </c>
      <c r="M117" s="983">
        <f>'F5'!H119</f>
        <v>0</v>
      </c>
      <c r="N117" s="983">
        <f t="shared" ca="1" si="6"/>
        <v>0</v>
      </c>
      <c r="O117" s="983">
        <f ca="1">'F3'!N119</f>
        <v>0</v>
      </c>
      <c r="P117" s="983">
        <f ca="1">'F4'!J119</f>
        <v>0</v>
      </c>
      <c r="Q117" s="983">
        <f>'F5'!K119</f>
        <v>0</v>
      </c>
      <c r="R117" s="983">
        <f t="shared" ca="1" si="7"/>
        <v>0</v>
      </c>
    </row>
    <row r="118" spans="2:18" ht="28">
      <c r="B118" s="1367" t="s">
        <v>1137</v>
      </c>
      <c r="C118" s="970">
        <f>'F3'!E120</f>
        <v>0</v>
      </c>
      <c r="D118" s="970">
        <f>'F4'!D120</f>
        <v>0</v>
      </c>
      <c r="E118" s="970">
        <f>'F5'!D120</f>
        <v>0</v>
      </c>
      <c r="F118" s="970">
        <f t="shared" si="4"/>
        <v>0</v>
      </c>
      <c r="G118" s="983">
        <f ca="1">'F3'!H120</f>
        <v>0</v>
      </c>
      <c r="H118" s="983">
        <f ca="1">'F4'!F120</f>
        <v>0</v>
      </c>
      <c r="I118" s="983">
        <f ca="1">'F5'!F120</f>
        <v>0</v>
      </c>
      <c r="J118" s="983">
        <f t="shared" ca="1" si="5"/>
        <v>0</v>
      </c>
      <c r="K118" s="983">
        <f ca="1">'F3'!K120</f>
        <v>0</v>
      </c>
      <c r="L118" s="983">
        <f ca="1">'F4'!H120</f>
        <v>0</v>
      </c>
      <c r="M118" s="983">
        <f ca="1">'F5'!H120</f>
        <v>0</v>
      </c>
      <c r="N118" s="983">
        <f t="shared" ca="1" si="6"/>
        <v>0</v>
      </c>
      <c r="O118" s="983">
        <f ca="1">'F3'!N120</f>
        <v>0</v>
      </c>
      <c r="P118" s="983">
        <f ca="1">'F4'!J120</f>
        <v>0</v>
      </c>
      <c r="Q118" s="983">
        <f>'F5'!K120</f>
        <v>0</v>
      </c>
      <c r="R118" s="983">
        <f t="shared" ca="1" si="7"/>
        <v>0</v>
      </c>
    </row>
    <row r="119" spans="2:18">
      <c r="B119" s="1378" t="s">
        <v>1138</v>
      </c>
      <c r="C119" s="970">
        <f>'F3'!E121</f>
        <v>87.065288929286254</v>
      </c>
      <c r="D119" s="970">
        <f>'F4'!D121</f>
        <v>64.870467364327595</v>
      </c>
      <c r="E119" s="970">
        <f>'F5'!D121</f>
        <v>5.5915161605013162E-4</v>
      </c>
      <c r="F119" s="970">
        <f t="shared" si="4"/>
        <v>151.93631544522989</v>
      </c>
      <c r="G119" s="983">
        <f ca="1">'F3'!H121</f>
        <v>74.820704024776475</v>
      </c>
      <c r="H119" s="983">
        <f ca="1">'F4'!F121</f>
        <v>52.281749361861962</v>
      </c>
      <c r="I119" s="983">
        <f ca="1">'F5'!F121</f>
        <v>1.2323963397154027E-3</v>
      </c>
      <c r="J119" s="983">
        <f t="shared" ca="1" si="5"/>
        <v>127.10368578297816</v>
      </c>
      <c r="K119" s="983">
        <f ca="1">'F3'!K121</f>
        <v>74.54298665706699</v>
      </c>
      <c r="L119" s="983">
        <f ca="1">'F4'!H121</f>
        <v>47.24051659803051</v>
      </c>
      <c r="M119" s="983">
        <f ca="1">'F5'!H121</f>
        <v>1.4672545966494615E-3</v>
      </c>
      <c r="N119" s="983">
        <f t="shared" ca="1" si="6"/>
        <v>121.78497050969415</v>
      </c>
      <c r="O119" s="983">
        <f ca="1">'F3'!N121</f>
        <v>76.654220370109016</v>
      </c>
      <c r="P119" s="983">
        <f ca="1">'F4'!J121</f>
        <v>76.654220370109016</v>
      </c>
      <c r="Q119" s="983">
        <f>'F5'!K121</f>
        <v>0</v>
      </c>
      <c r="R119" s="983">
        <f t="shared" ca="1" si="7"/>
        <v>153.30844074021803</v>
      </c>
    </row>
    <row r="120" spans="2:18">
      <c r="B120" s="1378" t="s">
        <v>1139</v>
      </c>
      <c r="C120" s="970">
        <f>'F3'!E122</f>
        <v>110.13149027545377</v>
      </c>
      <c r="D120" s="970">
        <f>'F4'!D122</f>
        <v>82.056596073564009</v>
      </c>
      <c r="E120" s="970">
        <f>'F5'!D122</f>
        <v>1.2903498831926113E-4</v>
      </c>
      <c r="F120" s="970">
        <f t="shared" si="4"/>
        <v>192.18821538400613</v>
      </c>
      <c r="G120" s="983">
        <f ca="1">'F3'!H122</f>
        <v>154.94872730383204</v>
      </c>
      <c r="H120" s="983">
        <f ca="1">'F4'!F122</f>
        <v>108.27204355302302</v>
      </c>
      <c r="I120" s="983">
        <f ca="1">'F5'!F122</f>
        <v>5.2376844437904612E-4</v>
      </c>
      <c r="J120" s="983">
        <f t="shared" ca="1" si="5"/>
        <v>263.22129462529949</v>
      </c>
      <c r="K120" s="983">
        <f ca="1">'F3'!K122</f>
        <v>154.37359301129041</v>
      </c>
      <c r="L120" s="983">
        <f ca="1">'F4'!H122</f>
        <v>97.831984067089877</v>
      </c>
      <c r="M120" s="983">
        <f ca="1">'F5'!H122</f>
        <v>6.235832035760212E-4</v>
      </c>
      <c r="N120" s="983">
        <f t="shared" ca="1" si="6"/>
        <v>252.20620066158386</v>
      </c>
      <c r="O120" s="983">
        <f ca="1">'F3'!N122</f>
        <v>158.7458183350254</v>
      </c>
      <c r="P120" s="983">
        <f ca="1">'F4'!J122</f>
        <v>158.7458183350254</v>
      </c>
      <c r="Q120" s="983">
        <f>'F5'!K122</f>
        <v>0</v>
      </c>
      <c r="R120" s="983">
        <f t="shared" ca="1" si="7"/>
        <v>317.49163667005081</v>
      </c>
    </row>
    <row r="121" spans="2:18">
      <c r="B121" s="1378" t="s">
        <v>1140</v>
      </c>
      <c r="C121" s="970">
        <f>'F3'!E123</f>
        <v>0</v>
      </c>
      <c r="D121" s="970">
        <f>'F4'!D123</f>
        <v>0</v>
      </c>
      <c r="E121" s="970">
        <f>'F5'!D123</f>
        <v>0</v>
      </c>
      <c r="F121" s="970">
        <f t="shared" si="4"/>
        <v>0</v>
      </c>
      <c r="G121" s="983">
        <f ca="1">'F3'!H123</f>
        <v>0</v>
      </c>
      <c r="H121" s="983">
        <f ca="1">'F4'!F123</f>
        <v>0</v>
      </c>
      <c r="I121" s="983">
        <f ca="1">'F5'!F123</f>
        <v>0</v>
      </c>
      <c r="J121" s="983">
        <f t="shared" ca="1" si="5"/>
        <v>0</v>
      </c>
      <c r="K121" s="983">
        <f ca="1">'F3'!K123</f>
        <v>0</v>
      </c>
      <c r="L121" s="983">
        <f ca="1">'F4'!H123</f>
        <v>0</v>
      </c>
      <c r="M121" s="983">
        <f ca="1">'F5'!H123</f>
        <v>0</v>
      </c>
      <c r="N121" s="983">
        <f t="shared" ca="1" si="6"/>
        <v>0</v>
      </c>
      <c r="O121" s="983">
        <f ca="1">'F3'!N123</f>
        <v>0</v>
      </c>
      <c r="P121" s="983">
        <f ca="1">'F4'!J123</f>
        <v>0</v>
      </c>
      <c r="Q121" s="983">
        <f>'F5'!K123</f>
        <v>0</v>
      </c>
      <c r="R121" s="983">
        <f t="shared" ca="1" si="7"/>
        <v>0</v>
      </c>
    </row>
    <row r="122" spans="2:18">
      <c r="B122" s="1369" t="s">
        <v>1425</v>
      </c>
      <c r="C122" s="970">
        <f>'F3'!E124</f>
        <v>197.19677920474001</v>
      </c>
      <c r="D122" s="970">
        <f>'F4'!D124</f>
        <v>146.92706343789158</v>
      </c>
      <c r="E122" s="970">
        <f>'F5'!D124</f>
        <v>6.8818660436939267E-4</v>
      </c>
      <c r="F122" s="970">
        <f t="shared" si="4"/>
        <v>344.12453082923594</v>
      </c>
      <c r="G122" s="983">
        <f ca="1">'F3'!H124</f>
        <v>229.76943132860853</v>
      </c>
      <c r="H122" s="983">
        <f ca="1">'F4'!F124</f>
        <v>160.55379291488498</v>
      </c>
      <c r="I122" s="983">
        <f ca="1">'F5'!F124</f>
        <v>1.7561647840944488E-3</v>
      </c>
      <c r="J122" s="983">
        <f t="shared" ca="1" si="5"/>
        <v>390.32498040827761</v>
      </c>
      <c r="K122" s="983">
        <f ca="1">'F3'!K124</f>
        <v>228.91657966835737</v>
      </c>
      <c r="L122" s="983">
        <f ca="1">'F4'!H124</f>
        <v>145.07250066512037</v>
      </c>
      <c r="M122" s="983">
        <f ca="1">'F5'!H124</f>
        <v>2.090837800225483E-3</v>
      </c>
      <c r="N122" s="983">
        <f t="shared" ca="1" si="6"/>
        <v>373.99117117127798</v>
      </c>
      <c r="O122" s="983">
        <f ca="1">'F3'!N124</f>
        <v>235.40003870513439</v>
      </c>
      <c r="P122" s="983">
        <f ca="1">'F4'!J124</f>
        <v>235.40003870513439</v>
      </c>
      <c r="Q122" s="983">
        <f>'F5'!K124</f>
        <v>0</v>
      </c>
      <c r="R122" s="983">
        <f t="shared" ca="1" si="7"/>
        <v>470.80007741026878</v>
      </c>
    </row>
    <row r="123" spans="2:18">
      <c r="B123" s="1369" t="s">
        <v>1446</v>
      </c>
      <c r="C123" s="970">
        <f>'F3'!E125</f>
        <v>0</v>
      </c>
      <c r="D123" s="970">
        <f>'F4'!D125</f>
        <v>0</v>
      </c>
      <c r="E123" s="970">
        <f>'F5'!D125</f>
        <v>0</v>
      </c>
      <c r="F123" s="970">
        <f t="shared" si="4"/>
        <v>0</v>
      </c>
      <c r="G123" s="983">
        <f ca="1">'F3'!H125</f>
        <v>0</v>
      </c>
      <c r="H123" s="983">
        <f ca="1">'F4'!F125</f>
        <v>0</v>
      </c>
      <c r="I123" s="983">
        <f>'F5'!F125</f>
        <v>0</v>
      </c>
      <c r="J123" s="983">
        <f t="shared" ca="1" si="5"/>
        <v>0</v>
      </c>
      <c r="K123" s="983">
        <f ca="1">'F3'!K125</f>
        <v>0</v>
      </c>
      <c r="L123" s="983">
        <f ca="1">'F4'!H125</f>
        <v>0</v>
      </c>
      <c r="M123" s="983">
        <f>'F5'!H125</f>
        <v>0</v>
      </c>
      <c r="N123" s="983">
        <f t="shared" ca="1" si="6"/>
        <v>0</v>
      </c>
      <c r="O123" s="983">
        <f ca="1">'F3'!N125</f>
        <v>0</v>
      </c>
      <c r="P123" s="983">
        <f ca="1">'F4'!J125</f>
        <v>0</v>
      </c>
      <c r="Q123" s="983">
        <f>'F5'!K125</f>
        <v>0</v>
      </c>
      <c r="R123" s="983">
        <f t="shared" ca="1" si="7"/>
        <v>0</v>
      </c>
    </row>
    <row r="124" spans="2:18">
      <c r="B124" s="1367" t="s">
        <v>1143</v>
      </c>
      <c r="C124" s="970">
        <f>'F3'!E126</f>
        <v>0</v>
      </c>
      <c r="D124" s="970">
        <f>'F4'!D126</f>
        <v>0</v>
      </c>
      <c r="E124" s="970">
        <f>'F5'!D126</f>
        <v>0</v>
      </c>
      <c r="F124" s="970">
        <f t="shared" si="4"/>
        <v>0</v>
      </c>
      <c r="G124" s="983">
        <f ca="1">'F3'!H126</f>
        <v>0</v>
      </c>
      <c r="H124" s="983">
        <f ca="1">'F4'!F126</f>
        <v>0</v>
      </c>
      <c r="I124" s="983">
        <f ca="1">'F5'!F126</f>
        <v>0</v>
      </c>
      <c r="J124" s="983">
        <f t="shared" ca="1" si="5"/>
        <v>0</v>
      </c>
      <c r="K124" s="983">
        <f ca="1">'F3'!K126</f>
        <v>0</v>
      </c>
      <c r="L124" s="983">
        <f ca="1">'F4'!H126</f>
        <v>0</v>
      </c>
      <c r="M124" s="983">
        <f ca="1">'F5'!H126</f>
        <v>0</v>
      </c>
      <c r="N124" s="983">
        <f t="shared" ca="1" si="6"/>
        <v>0</v>
      </c>
      <c r="O124" s="983">
        <f ca="1">'F3'!N126</f>
        <v>0</v>
      </c>
      <c r="P124" s="983">
        <f ca="1">'F4'!J126</f>
        <v>0</v>
      </c>
      <c r="Q124" s="983">
        <f>'F5'!K126</f>
        <v>0</v>
      </c>
      <c r="R124" s="983">
        <f t="shared" ca="1" si="7"/>
        <v>0</v>
      </c>
    </row>
    <row r="125" spans="2:18">
      <c r="B125" s="1367" t="s">
        <v>1434</v>
      </c>
      <c r="C125" s="970">
        <f>'F3'!E127</f>
        <v>0</v>
      </c>
      <c r="D125" s="970">
        <f>'F4'!D127</f>
        <v>0</v>
      </c>
      <c r="E125" s="970">
        <f>'F5'!D127</f>
        <v>0</v>
      </c>
      <c r="F125" s="970">
        <f t="shared" si="4"/>
        <v>0</v>
      </c>
      <c r="G125" s="983">
        <f ca="1">'F3'!H127</f>
        <v>1.3554195640758231</v>
      </c>
      <c r="H125" s="983">
        <f ca="1">'F4'!F127</f>
        <v>0.94711359446324161</v>
      </c>
      <c r="I125" s="983">
        <f ca="1">'F5'!F127</f>
        <v>3.080990849288507E-5</v>
      </c>
      <c r="J125" s="983">
        <f t="shared" ca="1" si="5"/>
        <v>2.3025639684475578</v>
      </c>
      <c r="K125" s="983">
        <f ca="1">'F3'!K127</f>
        <v>1.3239103491861541</v>
      </c>
      <c r="L125" s="983">
        <f ca="1">'F4'!H127</f>
        <v>0.83900862616032057</v>
      </c>
      <c r="M125" s="983">
        <f ca="1">'F5'!H127</f>
        <v>3.6318183085382718E-5</v>
      </c>
      <c r="N125" s="983">
        <f t="shared" ca="1" si="6"/>
        <v>2.16295529352956</v>
      </c>
      <c r="O125" s="983">
        <f ca="1">'F3'!N127</f>
        <v>1.3479273484908745</v>
      </c>
      <c r="P125" s="983">
        <f ca="1">'F4'!J127</f>
        <v>1.3479273484908745</v>
      </c>
      <c r="Q125" s="983">
        <f>'F5'!K127</f>
        <v>0</v>
      </c>
      <c r="R125" s="983">
        <f t="shared" ca="1" si="7"/>
        <v>2.695854696981749</v>
      </c>
    </row>
    <row r="126" spans="2:18">
      <c r="B126" s="1377" t="s">
        <v>126</v>
      </c>
      <c r="C126" s="970">
        <f>'F3'!E128</f>
        <v>8694.7640756000001</v>
      </c>
      <c r="D126" s="970">
        <f>'F4'!D128</f>
        <v>6478.2810250000011</v>
      </c>
      <c r="E126" s="970">
        <f>'F5'!D128</f>
        <v>179.55680999999998</v>
      </c>
      <c r="F126" s="970">
        <f t="shared" si="4"/>
        <v>15352.6019106</v>
      </c>
      <c r="G126" s="983">
        <f ca="1">'F3'!H128</f>
        <v>10568.837486983783</v>
      </c>
      <c r="H126" s="983">
        <f ca="1">'F4'!F128</f>
        <v>7385.085715816851</v>
      </c>
      <c r="I126" s="983">
        <f ca="1">'F5'!F128</f>
        <v>268.92983206367603</v>
      </c>
      <c r="J126" s="983">
        <f t="shared" ca="1" si="5"/>
        <v>18222.853034864311</v>
      </c>
      <c r="K126" s="983">
        <f ca="1">'F3'!K128</f>
        <v>10382.240436489048</v>
      </c>
      <c r="L126" s="983">
        <f ca="1">'F4'!H128</f>
        <v>6579.5915036388806</v>
      </c>
      <c r="M126" s="983">
        <f ca="1">'F5'!H128</f>
        <v>325.64686969303455</v>
      </c>
      <c r="N126" s="983">
        <f t="shared" ca="1" si="6"/>
        <v>17287.478809820965</v>
      </c>
      <c r="O126" s="983">
        <f ca="1">'F3'!N128</f>
        <v>10874.123821511885</v>
      </c>
      <c r="P126" s="983">
        <f ca="1">'F4'!J128</f>
        <v>10874.123821511885</v>
      </c>
      <c r="Q126" s="983">
        <f>'F5'!K128</f>
        <v>0</v>
      </c>
      <c r="R126" s="983">
        <f t="shared" ca="1" si="7"/>
        <v>21748.247643023769</v>
      </c>
    </row>
    <row r="127" spans="2:18">
      <c r="B127" s="1369" t="s">
        <v>1446</v>
      </c>
    </row>
  </sheetData>
  <mergeCells count="21">
    <mergeCell ref="A5:A8"/>
    <mergeCell ref="B5:B8"/>
    <mergeCell ref="G5:J5"/>
    <mergeCell ref="C7:F7"/>
    <mergeCell ref="G7:J7"/>
    <mergeCell ref="C5:F5"/>
    <mergeCell ref="C6:F6"/>
    <mergeCell ref="G6:J6"/>
    <mergeCell ref="O5:R5"/>
    <mergeCell ref="O3:P3"/>
    <mergeCell ref="O4:P4"/>
    <mergeCell ref="Q3:R3"/>
    <mergeCell ref="K7:N7"/>
    <mergeCell ref="O7:R7"/>
    <mergeCell ref="K5:N5"/>
    <mergeCell ref="K3:L3"/>
    <mergeCell ref="K4:L4"/>
    <mergeCell ref="M3:N3"/>
    <mergeCell ref="M4:N4"/>
    <mergeCell ref="K6:N6"/>
    <mergeCell ref="O6:R6"/>
  </mergeCells>
  <printOptions horizontalCentered="1"/>
  <pageMargins left="0.19685039370078741" right="0.19685039370078741" top="0.19685039370078741" bottom="0.19685039370078741" header="0.19685039370078741" footer="0.19685039370078741"/>
  <pageSetup paperSize="9" scale="50"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7"/>
  <sheetViews>
    <sheetView view="pageBreakPreview" topLeftCell="I1" zoomScale="96" zoomScaleSheetLayoutView="96" workbookViewId="0">
      <selection activeCell="C105" sqref="C105"/>
    </sheetView>
  </sheetViews>
  <sheetFormatPr defaultColWidth="20.81640625" defaultRowHeight="14.5"/>
  <cols>
    <col min="1" max="1" width="3.1796875" style="229" customWidth="1"/>
    <col min="2" max="2" width="50.81640625" style="229" bestFit="1" customWidth="1"/>
    <col min="3" max="3" width="10.1796875" style="229" bestFit="1" customWidth="1"/>
    <col min="4" max="4" width="11.1796875" style="229" customWidth="1"/>
    <col min="5" max="5" width="13" style="229" bestFit="1" customWidth="1"/>
    <col min="6" max="6" width="8.1796875" style="229" customWidth="1"/>
    <col min="7" max="7" width="10.26953125" style="229" customWidth="1"/>
    <col min="8" max="9" width="10.54296875" style="229" bestFit="1" customWidth="1"/>
    <col min="10" max="10" width="10.453125" style="229" customWidth="1"/>
    <col min="11" max="11" width="10.1796875" style="229" customWidth="1"/>
    <col min="12" max="12" width="9.1796875" style="229" customWidth="1"/>
    <col min="13" max="13" width="10.54296875" style="229" bestFit="1" customWidth="1"/>
    <col min="14" max="14" width="12.54296875" style="229" bestFit="1" customWidth="1"/>
    <col min="15" max="15" width="11.1796875" style="229" bestFit="1" customWidth="1"/>
    <col min="16" max="16" width="9.1796875" style="229" bestFit="1" customWidth="1"/>
    <col min="17" max="17" width="11.1796875" style="229" bestFit="1" customWidth="1"/>
    <col min="18" max="18" width="10" style="229" customWidth="1"/>
    <col min="19" max="19" width="10.1796875" style="229" bestFit="1" customWidth="1"/>
    <col min="20" max="20" width="11.1796875" style="229" bestFit="1" customWidth="1"/>
    <col min="21" max="21" width="9.1796875" style="229" bestFit="1" customWidth="1"/>
    <col min="22" max="22" width="11.1796875" style="229" bestFit="1" customWidth="1"/>
    <col min="23" max="16384" width="20.81640625" style="229"/>
  </cols>
  <sheetData>
    <row r="1" spans="1:22">
      <c r="A1" s="303" t="s">
        <v>275</v>
      </c>
      <c r="B1" s="303" t="s">
        <v>275</v>
      </c>
    </row>
    <row r="2" spans="1:22">
      <c r="A2" s="715" t="s">
        <v>1604</v>
      </c>
      <c r="B2" s="715" t="s">
        <v>1604</v>
      </c>
      <c r="C2" s="715"/>
      <c r="D2" s="715"/>
      <c r="E2" s="715"/>
      <c r="F2" s="715"/>
      <c r="G2" s="715"/>
      <c r="H2" s="715"/>
      <c r="I2" s="715"/>
      <c r="J2" s="715"/>
      <c r="K2" s="715"/>
      <c r="L2" s="715"/>
      <c r="M2" s="715"/>
      <c r="N2" s="715"/>
      <c r="O2" s="715"/>
      <c r="P2" s="715"/>
      <c r="Q2" s="715"/>
      <c r="R2" s="715"/>
      <c r="S2" s="715"/>
    </row>
    <row r="3" spans="1:22">
      <c r="A3" s="304" t="s">
        <v>505</v>
      </c>
      <c r="B3" s="304" t="s">
        <v>505</v>
      </c>
      <c r="C3" s="304"/>
      <c r="D3" s="304"/>
      <c r="E3" s="304"/>
      <c r="F3" s="304"/>
      <c r="G3" s="304"/>
      <c r="H3" s="221"/>
      <c r="I3" s="48"/>
      <c r="J3" s="48"/>
      <c r="K3" s="48"/>
      <c r="L3" s="48"/>
      <c r="M3" s="48"/>
      <c r="N3" s="48"/>
      <c r="O3" s="48"/>
      <c r="P3" s="48"/>
      <c r="Q3" s="48"/>
      <c r="R3" s="48"/>
      <c r="S3" s="48"/>
      <c r="T3" s="3060"/>
      <c r="U3" s="3060"/>
      <c r="V3" s="916"/>
    </row>
    <row r="4" spans="1:22">
      <c r="A4" s="225"/>
      <c r="B4" s="225"/>
      <c r="C4" s="225"/>
      <c r="D4" s="225"/>
      <c r="E4" s="225"/>
      <c r="F4" s="225"/>
      <c r="G4" s="225"/>
      <c r="H4" s="223"/>
      <c r="T4" s="961"/>
      <c r="V4" s="917" t="s">
        <v>141</v>
      </c>
    </row>
    <row r="5" spans="1:22" ht="15.75" customHeight="1">
      <c r="A5" s="2994" t="s">
        <v>1276</v>
      </c>
      <c r="B5" s="3018" t="s">
        <v>14</v>
      </c>
      <c r="C5" s="3053" t="s">
        <v>562</v>
      </c>
      <c r="D5" s="3053"/>
      <c r="E5" s="3053"/>
      <c r="F5" s="3053"/>
      <c r="G5" s="3053"/>
      <c r="H5" s="3053" t="s">
        <v>568</v>
      </c>
      <c r="I5" s="3053"/>
      <c r="J5" s="3053"/>
      <c r="K5" s="3053"/>
      <c r="L5" s="3053"/>
      <c r="M5" s="3040" t="s">
        <v>550</v>
      </c>
      <c r="N5" s="3040"/>
      <c r="O5" s="3040"/>
      <c r="P5" s="3040"/>
      <c r="Q5" s="3041"/>
      <c r="R5" s="3040" t="s">
        <v>952</v>
      </c>
      <c r="S5" s="3040"/>
      <c r="T5" s="3040"/>
      <c r="U5" s="3040"/>
      <c r="V5" s="3041"/>
    </row>
    <row r="6" spans="1:22" ht="15.75" customHeight="1">
      <c r="A6" s="2990"/>
      <c r="B6" s="2994"/>
      <c r="C6" s="3054" t="s">
        <v>551</v>
      </c>
      <c r="D6" s="3055"/>
      <c r="E6" s="3055"/>
      <c r="F6" s="3055"/>
      <c r="G6" s="3056"/>
      <c r="H6" s="3054" t="s">
        <v>545</v>
      </c>
      <c r="I6" s="3055"/>
      <c r="J6" s="3055"/>
      <c r="K6" s="3055"/>
      <c r="L6" s="3056"/>
      <c r="M6" s="3054" t="s">
        <v>546</v>
      </c>
      <c r="N6" s="3055"/>
      <c r="O6" s="3055"/>
      <c r="P6" s="3055"/>
      <c r="Q6" s="3056"/>
      <c r="R6" s="3054" t="s">
        <v>547</v>
      </c>
      <c r="S6" s="3055"/>
      <c r="T6" s="3055"/>
      <c r="U6" s="3055"/>
      <c r="V6" s="3056"/>
    </row>
    <row r="7" spans="1:22" ht="15.75" customHeight="1">
      <c r="A7" s="2990"/>
      <c r="B7" s="2994"/>
      <c r="C7" s="3039" t="s">
        <v>554</v>
      </c>
      <c r="D7" s="3040"/>
      <c r="E7" s="3040"/>
      <c r="F7" s="3040"/>
      <c r="G7" s="3041"/>
      <c r="H7" s="3057" t="s">
        <v>544</v>
      </c>
      <c r="I7" s="3058"/>
      <c r="J7" s="3058"/>
      <c r="K7" s="3058"/>
      <c r="L7" s="3059"/>
      <c r="M7" s="3039" t="s">
        <v>552</v>
      </c>
      <c r="N7" s="3040"/>
      <c r="O7" s="3040"/>
      <c r="P7" s="3040"/>
      <c r="Q7" s="3041"/>
      <c r="R7" s="2990" t="s">
        <v>283</v>
      </c>
      <c r="S7" s="2990"/>
      <c r="T7" s="2990"/>
      <c r="U7" s="2990"/>
      <c r="V7" s="2990"/>
    </row>
    <row r="8" spans="1:22" s="240" customFormat="1" ht="82.5" customHeight="1">
      <c r="A8" s="2990"/>
      <c r="B8" s="2994"/>
      <c r="C8" s="217" t="s">
        <v>1296</v>
      </c>
      <c r="D8" s="217" t="s">
        <v>1297</v>
      </c>
      <c r="E8" s="217" t="s">
        <v>1299</v>
      </c>
      <c r="F8" s="217" t="s">
        <v>1298</v>
      </c>
      <c r="G8" s="217" t="s">
        <v>1300</v>
      </c>
      <c r="H8" s="600" t="s">
        <v>1296</v>
      </c>
      <c r="I8" s="600" t="s">
        <v>1297</v>
      </c>
      <c r="J8" s="600" t="s">
        <v>1299</v>
      </c>
      <c r="K8" s="600" t="s">
        <v>1298</v>
      </c>
      <c r="L8" s="600" t="s">
        <v>1300</v>
      </c>
      <c r="M8" s="600" t="s">
        <v>1296</v>
      </c>
      <c r="N8" s="600" t="s">
        <v>1297</v>
      </c>
      <c r="O8" s="600" t="s">
        <v>1299</v>
      </c>
      <c r="P8" s="600" t="s">
        <v>1298</v>
      </c>
      <c r="Q8" s="600" t="s">
        <v>1300</v>
      </c>
      <c r="R8" s="600" t="s">
        <v>1296</v>
      </c>
      <c r="S8" s="600" t="s">
        <v>1297</v>
      </c>
      <c r="T8" s="600" t="s">
        <v>1299</v>
      </c>
      <c r="U8" s="600" t="s">
        <v>1298</v>
      </c>
      <c r="V8" s="600" t="s">
        <v>1300</v>
      </c>
    </row>
    <row r="9" spans="1:22">
      <c r="A9" s="263"/>
      <c r="B9" s="40"/>
      <c r="C9" s="1388"/>
      <c r="D9" s="1388"/>
      <c r="E9" s="1388"/>
      <c r="F9" s="1388"/>
      <c r="G9" s="1388"/>
      <c r="H9" s="1389"/>
      <c r="I9" s="1389"/>
      <c r="J9" s="1389"/>
      <c r="K9" s="1389"/>
      <c r="L9" s="1389"/>
      <c r="M9" s="1389"/>
      <c r="N9" s="1389"/>
      <c r="O9" s="1389"/>
      <c r="P9" s="1389"/>
      <c r="Q9" s="1389"/>
      <c r="R9" s="1389"/>
      <c r="S9" s="1389"/>
      <c r="T9" s="1390"/>
      <c r="U9" s="1390"/>
      <c r="V9" s="1390"/>
    </row>
    <row r="10" spans="1:22">
      <c r="A10" s="253">
        <v>1</v>
      </c>
      <c r="B10" s="1367" t="s">
        <v>1043</v>
      </c>
      <c r="C10" s="1390"/>
      <c r="D10" s="1390"/>
      <c r="E10" s="1390"/>
      <c r="F10" s="1390"/>
      <c r="G10" s="1390"/>
      <c r="H10" s="1389"/>
      <c r="I10" s="1389"/>
      <c r="J10" s="1389"/>
      <c r="K10" s="1389"/>
      <c r="L10" s="1389"/>
      <c r="M10" s="1389"/>
      <c r="N10" s="1389"/>
      <c r="O10" s="1389"/>
      <c r="P10" s="1389"/>
      <c r="Q10" s="1389"/>
      <c r="R10" s="1389"/>
      <c r="S10" s="1389"/>
      <c r="T10" s="1390"/>
      <c r="U10" s="1390"/>
      <c r="V10" s="1390"/>
    </row>
    <row r="11" spans="1:22">
      <c r="A11" s="253">
        <v>2</v>
      </c>
      <c r="B11" s="1369" t="s">
        <v>1395</v>
      </c>
      <c r="C11" s="1390"/>
      <c r="D11" s="1390"/>
      <c r="E11" s="1390"/>
      <c r="F11" s="1390"/>
      <c r="G11" s="1390"/>
      <c r="H11" s="1389"/>
      <c r="I11" s="1389"/>
      <c r="J11" s="1389"/>
      <c r="K11" s="1389"/>
      <c r="L11" s="1389"/>
      <c r="M11" s="1389"/>
      <c r="N11" s="1389"/>
      <c r="O11" s="1389"/>
      <c r="P11" s="1389"/>
      <c r="Q11" s="1389"/>
      <c r="R11" s="1389"/>
      <c r="S11" s="1389"/>
      <c r="T11" s="1390"/>
      <c r="U11" s="1390"/>
      <c r="V11" s="1390"/>
    </row>
    <row r="12" spans="1:22">
      <c r="A12" s="253">
        <v>3</v>
      </c>
      <c r="B12" s="1372" t="s">
        <v>1396</v>
      </c>
      <c r="C12" s="1390">
        <f>'F6'!F12</f>
        <v>204.0337312251022</v>
      </c>
      <c r="D12" s="1390"/>
      <c r="E12" s="1390"/>
      <c r="F12" s="1390"/>
      <c r="G12" s="1390"/>
      <c r="H12" s="1389">
        <f ca="1">'F6'!J12</f>
        <v>17.680050319282643</v>
      </c>
      <c r="I12" s="1389">
        <f>'F10'!H10</f>
        <v>0</v>
      </c>
      <c r="J12" s="1389"/>
      <c r="K12" s="1389"/>
      <c r="L12" s="1389"/>
      <c r="M12" s="1389">
        <f ca="1">'F6'!N12</f>
        <v>3702.1245385918874</v>
      </c>
      <c r="N12" s="1389">
        <f>'F10'!I8</f>
        <v>1536.0387820940848</v>
      </c>
      <c r="O12" s="1081"/>
      <c r="P12" s="1389"/>
      <c r="Q12" s="1389"/>
      <c r="R12" s="1389">
        <f ca="1">'F6'!R12</f>
        <v>4619.9567859063754</v>
      </c>
      <c r="S12" s="1389">
        <f>'F10'!J8</f>
        <v>1733.4595125987892</v>
      </c>
      <c r="T12" s="1390"/>
      <c r="U12" s="1390"/>
      <c r="V12" s="1390"/>
    </row>
    <row r="13" spans="1:22">
      <c r="A13" s="263"/>
      <c r="B13" s="1369" t="s">
        <v>1044</v>
      </c>
      <c r="C13" s="1390">
        <f>'F6'!F13</f>
        <v>1829.254860600335</v>
      </c>
      <c r="D13" s="1390"/>
      <c r="E13" s="1390"/>
      <c r="F13" s="1390"/>
      <c r="G13" s="1390"/>
      <c r="H13" s="1389">
        <f ca="1">'F6'!J13</f>
        <v>1548.8990953267194</v>
      </c>
      <c r="I13" s="1389">
        <f>'F10'!H11</f>
        <v>0</v>
      </c>
      <c r="J13" s="1389"/>
      <c r="K13" s="1389"/>
      <c r="L13" s="1389"/>
      <c r="M13" s="1389">
        <f ca="1">'F6'!N13</f>
        <v>1050.8119332919723</v>
      </c>
      <c r="N13" s="1389">
        <f>'F10'!I9</f>
        <v>467.41707000000002</v>
      </c>
      <c r="O13" s="1081"/>
      <c r="P13" s="1389"/>
      <c r="Q13" s="1389"/>
      <c r="R13" s="1389">
        <f ca="1">'F6'!R13</f>
        <v>601.41958753656172</v>
      </c>
      <c r="S13" s="1389">
        <f>'F10'!J9</f>
        <v>217.59070500000004</v>
      </c>
      <c r="T13" s="1390"/>
      <c r="U13" s="1390"/>
      <c r="V13" s="1390"/>
    </row>
    <row r="14" spans="1:22">
      <c r="A14" s="263"/>
      <c r="B14" s="1369" t="s">
        <v>1045</v>
      </c>
      <c r="C14" s="1390">
        <f>'F6'!F14</f>
        <v>4745.8273652680309</v>
      </c>
      <c r="D14" s="1390"/>
      <c r="E14" s="1390"/>
      <c r="F14" s="1390"/>
      <c r="G14" s="1390"/>
      <c r="H14" s="1389">
        <f ca="1">'F6'!J14</f>
        <v>4793.7198662098854</v>
      </c>
      <c r="I14" s="1389">
        <f>'F10'!H12</f>
        <v>0</v>
      </c>
      <c r="J14" s="1389"/>
      <c r="K14" s="1389"/>
      <c r="L14" s="1389"/>
      <c r="M14" s="1389">
        <f ca="1">'F6'!N14</f>
        <v>1358.9524276926522</v>
      </c>
      <c r="N14" s="1389">
        <f>'F10'!I10</f>
        <v>1062.9711158815762</v>
      </c>
      <c r="O14" s="1081"/>
      <c r="P14" s="1389"/>
      <c r="Q14" s="1389"/>
      <c r="R14" s="1389">
        <f ca="1">'F6'!R14</f>
        <v>2021.9541709868734</v>
      </c>
      <c r="S14" s="1389">
        <f>'F10'!J10</f>
        <v>1004.4745155671153</v>
      </c>
      <c r="T14" s="1390"/>
      <c r="U14" s="1390"/>
      <c r="V14" s="1390"/>
    </row>
    <row r="15" spans="1:22">
      <c r="A15" s="263"/>
      <c r="B15" s="1369" t="s">
        <v>1046</v>
      </c>
      <c r="C15" s="1390">
        <f>'F6'!F15</f>
        <v>27.869141226685382</v>
      </c>
      <c r="D15" s="1390"/>
      <c r="E15" s="1390"/>
      <c r="F15" s="1390"/>
      <c r="G15" s="1390"/>
      <c r="H15" s="1389">
        <f ca="1">'F6'!J15</f>
        <v>12.743433808500084</v>
      </c>
      <c r="I15" s="1389">
        <f>'F10'!H13</f>
        <v>0</v>
      </c>
      <c r="J15" s="1389"/>
      <c r="K15" s="1389"/>
      <c r="L15" s="1389"/>
      <c r="M15" s="1389">
        <f ca="1">'F6'!N15</f>
        <v>6.2373931321783553</v>
      </c>
      <c r="N15" s="1389">
        <f>'F10'!I16</f>
        <v>8.4710769599999995</v>
      </c>
      <c r="O15" s="1081"/>
      <c r="P15" s="1389"/>
      <c r="Q15" s="1389"/>
      <c r="R15" s="1389">
        <f ca="1">'F6'!R15</f>
        <v>7.7737355092745331</v>
      </c>
      <c r="S15" s="1389">
        <f>'F10'!J16</f>
        <v>10.903914971999999</v>
      </c>
      <c r="T15" s="1390"/>
      <c r="U15" s="1390"/>
      <c r="V15" s="1390"/>
    </row>
    <row r="16" spans="1:22">
      <c r="A16" s="263"/>
      <c r="B16" s="1369" t="s">
        <v>1047</v>
      </c>
      <c r="C16" s="1390">
        <f>'F6'!F16</f>
        <v>2391.0940504972295</v>
      </c>
      <c r="D16" s="1390"/>
      <c r="E16" s="1390"/>
      <c r="F16" s="1390"/>
      <c r="G16" s="1390"/>
      <c r="H16" s="1389">
        <f ca="1">'F6'!J16</f>
        <v>3799.2790449300282</v>
      </c>
      <c r="I16" s="1389">
        <f>'F10'!H14</f>
        <v>0</v>
      </c>
      <c r="J16" s="1389"/>
      <c r="K16" s="1389"/>
      <c r="L16" s="1389"/>
      <c r="M16" s="1389">
        <f ca="1">'F6'!N16</f>
        <v>3724.8445877513004</v>
      </c>
      <c r="N16" s="1389">
        <f>'F10'!I17</f>
        <v>3250.6898017347403</v>
      </c>
      <c r="O16" s="1081"/>
      <c r="P16" s="1389"/>
      <c r="Q16" s="1389"/>
      <c r="R16" s="1389">
        <f ca="1">'F6'!R16</f>
        <v>5160.5197983734652</v>
      </c>
      <c r="S16" s="1389">
        <f>'F10'!J17</f>
        <v>3660.0170616542641</v>
      </c>
      <c r="T16" s="1390"/>
      <c r="U16" s="1390"/>
      <c r="V16" s="1390"/>
    </row>
    <row r="17" spans="1:22">
      <c r="A17" s="263"/>
      <c r="B17" s="1369" t="s">
        <v>1425</v>
      </c>
      <c r="C17" s="1390">
        <f>'F6'!F17</f>
        <v>9204.4608752463519</v>
      </c>
      <c r="D17" s="1390"/>
      <c r="E17" s="1390"/>
      <c r="F17" s="1390"/>
      <c r="G17" s="1390"/>
      <c r="H17" s="1389">
        <f ca="1">'F6'!J17</f>
        <v>10692.337415565591</v>
      </c>
      <c r="I17" s="1389">
        <f>'F10'!H15</f>
        <v>0</v>
      </c>
      <c r="J17" s="1389"/>
      <c r="K17" s="1389"/>
      <c r="L17" s="1389"/>
      <c r="M17" s="1389">
        <f ca="1">'F6'!N17</f>
        <v>9842.9708804599904</v>
      </c>
      <c r="N17" s="1389">
        <f>SUM(N12:N16)</f>
        <v>6325.5878466704016</v>
      </c>
      <c r="O17" s="1081"/>
      <c r="P17" s="1389"/>
      <c r="Q17" s="1389"/>
      <c r="R17" s="1389">
        <f ca="1">'F6'!R17</f>
        <v>12411.62407831255</v>
      </c>
      <c r="S17" s="1389">
        <f>SUM(S12:S16)</f>
        <v>6626.4457097921695</v>
      </c>
      <c r="T17" s="1390"/>
      <c r="U17" s="1390"/>
      <c r="V17" s="1390"/>
    </row>
    <row r="18" spans="1:22">
      <c r="A18" s="263"/>
      <c r="B18" s="1369" t="s">
        <v>1446</v>
      </c>
      <c r="C18" s="1390">
        <f>'F6'!F18</f>
        <v>0</v>
      </c>
      <c r="D18" s="1390"/>
      <c r="E18" s="1390"/>
      <c r="F18" s="1390"/>
      <c r="G18" s="1390"/>
      <c r="H18" s="1389">
        <f ca="1">'F6'!J18</f>
        <v>0</v>
      </c>
      <c r="I18" s="1389">
        <f>'F10'!H16</f>
        <v>0</v>
      </c>
      <c r="J18" s="1389"/>
      <c r="K18" s="1389"/>
      <c r="L18" s="1389"/>
      <c r="M18" s="1389">
        <f ca="1">'F6'!N18</f>
        <v>0</v>
      </c>
      <c r="N18" s="1389"/>
      <c r="O18" s="1081"/>
      <c r="P18" s="1389"/>
      <c r="Q18" s="1389"/>
      <c r="R18" s="1389">
        <f ca="1">'F6'!R18</f>
        <v>0</v>
      </c>
      <c r="S18" s="1389"/>
      <c r="T18" s="1390"/>
      <c r="U18" s="1390"/>
      <c r="V18" s="1390"/>
    </row>
    <row r="19" spans="1:22">
      <c r="A19" s="263"/>
      <c r="B19" s="1367" t="s">
        <v>1398</v>
      </c>
      <c r="C19" s="1390">
        <f>'F6'!F19</f>
        <v>0</v>
      </c>
      <c r="D19" s="1390"/>
      <c r="E19" s="1390"/>
      <c r="F19" s="1390"/>
      <c r="G19" s="1390"/>
      <c r="H19" s="1389">
        <f ca="1">'F6'!J19</f>
        <v>0</v>
      </c>
      <c r="I19" s="1389">
        <f>'F10'!H17</f>
        <v>0</v>
      </c>
      <c r="J19" s="1389"/>
      <c r="K19" s="1389"/>
      <c r="L19" s="1389"/>
      <c r="M19" s="1389">
        <f ca="1">'F6'!N19</f>
        <v>0</v>
      </c>
      <c r="N19" s="1389"/>
      <c r="O19" s="1081"/>
      <c r="P19" s="1389"/>
      <c r="Q19" s="1389"/>
      <c r="R19" s="1389">
        <f ca="1">'F6'!R19</f>
        <v>0</v>
      </c>
      <c r="S19" s="1389"/>
      <c r="T19" s="1390"/>
      <c r="U19" s="1390"/>
      <c r="V19" s="1390"/>
    </row>
    <row r="20" spans="1:22">
      <c r="A20" s="263"/>
      <c r="B20" s="1377" t="s">
        <v>1051</v>
      </c>
      <c r="C20" s="1390">
        <f>'F6'!F20</f>
        <v>32.149603544024679</v>
      </c>
      <c r="D20" s="1390"/>
      <c r="E20" s="1390"/>
      <c r="F20" s="1390"/>
      <c r="G20" s="1390"/>
      <c r="H20" s="1389">
        <f ca="1">'F6'!J20</f>
        <v>31.804481092041726</v>
      </c>
      <c r="I20" s="1389">
        <f>'F10'!H18</f>
        <v>0</v>
      </c>
      <c r="J20" s="1389"/>
      <c r="K20" s="1389"/>
      <c r="L20" s="1389"/>
      <c r="M20" s="1389">
        <f ca="1">'F6'!N20</f>
        <v>0</v>
      </c>
      <c r="N20" s="1389">
        <f>'F10'!I25</f>
        <v>13.3194</v>
      </c>
      <c r="O20" s="1081"/>
      <c r="P20" s="1389"/>
      <c r="Q20" s="1389"/>
      <c r="R20" s="1389">
        <f ca="1">'F6'!R20</f>
        <v>0</v>
      </c>
      <c r="S20" s="1389">
        <f>'F10'!J25</f>
        <v>0</v>
      </c>
      <c r="T20" s="1390"/>
      <c r="U20" s="1390"/>
      <c r="V20" s="1390"/>
    </row>
    <row r="21" spans="1:22">
      <c r="A21" s="263"/>
      <c r="B21" s="1377" t="s">
        <v>1052</v>
      </c>
      <c r="C21" s="1390">
        <f>'F6'!F21</f>
        <v>134.92504894957901</v>
      </c>
      <c r="D21" s="1389"/>
      <c r="E21" s="1389"/>
      <c r="F21" s="1389"/>
      <c r="G21" s="1389"/>
      <c r="H21" s="1389">
        <f ca="1">'F6'!J21</f>
        <v>401.4749269414018</v>
      </c>
      <c r="I21" s="1389">
        <f>'F10'!H19</f>
        <v>0</v>
      </c>
      <c r="J21" s="1389"/>
      <c r="K21" s="1389"/>
      <c r="L21" s="1389"/>
      <c r="M21" s="1389">
        <f ca="1">'F6'!N21</f>
        <v>525.56611109097037</v>
      </c>
      <c r="N21" s="1389">
        <f>'F10'!I26</f>
        <v>412.73886353333313</v>
      </c>
      <c r="O21" s="1081"/>
      <c r="P21" s="1389"/>
      <c r="Q21" s="1389"/>
      <c r="R21" s="1389">
        <f ca="1">'F6'!R21</f>
        <v>675.11605279733158</v>
      </c>
      <c r="S21" s="1389">
        <f>'F10'!J26</f>
        <v>427.19995020999971</v>
      </c>
      <c r="T21" s="1389"/>
      <c r="U21" s="1389"/>
      <c r="V21" s="1389"/>
    </row>
    <row r="22" spans="1:22">
      <c r="A22" s="263"/>
      <c r="B22" s="1377" t="s">
        <v>1399</v>
      </c>
      <c r="C22" s="1390">
        <f>'F6'!F22</f>
        <v>0.72258305686269264</v>
      </c>
      <c r="D22" s="1390"/>
      <c r="E22" s="1390"/>
      <c r="F22" s="1390"/>
      <c r="G22" s="1390"/>
      <c r="H22" s="1389">
        <f ca="1">'F6'!J22</f>
        <v>29.913480027839299</v>
      </c>
      <c r="I22" s="1389">
        <f>'F10'!H20</f>
        <v>0</v>
      </c>
      <c r="J22" s="1390"/>
      <c r="K22" s="1390"/>
      <c r="L22" s="1390"/>
      <c r="M22" s="1389">
        <f ca="1">'F6'!N22</f>
        <v>40.824642509150301</v>
      </c>
      <c r="N22" s="1389">
        <f>'F10'!I27</f>
        <v>94.797600000000017</v>
      </c>
      <c r="O22" s="1081"/>
      <c r="P22" s="1390"/>
      <c r="Q22" s="1390"/>
      <c r="R22" s="1389">
        <f ca="1">'F6'!R22</f>
        <v>51.049436488830146</v>
      </c>
      <c r="S22" s="1389">
        <f>'F10'!J27</f>
        <v>95.745576</v>
      </c>
      <c r="T22" s="1390"/>
      <c r="U22" s="1390"/>
      <c r="V22" s="1390"/>
    </row>
    <row r="23" spans="1:22">
      <c r="A23" s="263"/>
      <c r="B23" s="1377" t="s">
        <v>1054</v>
      </c>
      <c r="C23" s="1390">
        <f>'F6'!F23</f>
        <v>1270.9451440063146</v>
      </c>
      <c r="D23" s="1391"/>
      <c r="E23" s="1391"/>
      <c r="F23" s="1391"/>
      <c r="G23" s="1391"/>
      <c r="H23" s="1389">
        <f ca="1">'F6'!J23</f>
        <v>1099.7727645490579</v>
      </c>
      <c r="I23" s="1389">
        <f>'F10'!H21</f>
        <v>0</v>
      </c>
      <c r="J23" s="1390"/>
      <c r="K23" s="1390"/>
      <c r="L23" s="1390"/>
      <c r="M23" s="1389">
        <f ca="1">'F6'!N23</f>
        <v>993.9994387309074</v>
      </c>
      <c r="N23" s="1389">
        <f>'F10'!I28</f>
        <v>1408.7533104744471</v>
      </c>
      <c r="O23" s="1081"/>
      <c r="P23" s="1390"/>
      <c r="Q23" s="1390"/>
      <c r="R23" s="1389">
        <f ca="1">'F6'!R23</f>
        <v>1269.0097158500175</v>
      </c>
      <c r="S23" s="1389">
        <f>'F10'!J28</f>
        <v>1460.3387938504186</v>
      </c>
      <c r="T23" s="1390"/>
      <c r="U23" s="1390"/>
      <c r="V23" s="1390"/>
    </row>
    <row r="24" spans="1:22">
      <c r="A24" s="263"/>
      <c r="B24" s="1369" t="s">
        <v>1425</v>
      </c>
      <c r="C24" s="1390">
        <f>'F6'!F24</f>
        <v>1438.7423795567811</v>
      </c>
      <c r="D24" s="1390"/>
      <c r="E24" s="1390"/>
      <c r="F24" s="1390"/>
      <c r="G24" s="1390"/>
      <c r="H24" s="1389">
        <f ca="1">'F6'!J24</f>
        <v>1562.9656526103406</v>
      </c>
      <c r="I24" s="1389">
        <f>'F10'!H22</f>
        <v>0</v>
      </c>
      <c r="J24" s="1390"/>
      <c r="K24" s="1390"/>
      <c r="L24" s="1390"/>
      <c r="M24" s="1389">
        <f ca="1">'F6'!N24</f>
        <v>1560.3901923310282</v>
      </c>
      <c r="N24" s="1389">
        <f>SUM(N20:N23)</f>
        <v>1929.6091740077802</v>
      </c>
      <c r="O24" s="1081"/>
      <c r="P24" s="1390"/>
      <c r="Q24" s="1390"/>
      <c r="R24" s="1389">
        <f ca="1">'F6'!R24</f>
        <v>1995.1752051361791</v>
      </c>
      <c r="S24" s="1389">
        <f>SUM(S20:S23)</f>
        <v>1983.2843200604184</v>
      </c>
      <c r="T24" s="1390"/>
      <c r="U24" s="1390"/>
      <c r="V24" s="1390"/>
    </row>
    <row r="25" spans="1:22">
      <c r="A25" s="263"/>
      <c r="B25" s="1369" t="s">
        <v>1446</v>
      </c>
      <c r="C25" s="1390">
        <f>'F6'!F25</f>
        <v>0</v>
      </c>
      <c r="D25" s="1390"/>
      <c r="E25" s="1390"/>
      <c r="F25" s="1390"/>
      <c r="G25" s="1390"/>
      <c r="H25" s="1389">
        <f ca="1">'F6'!J25</f>
        <v>0</v>
      </c>
      <c r="I25" s="1389">
        <f>'F10'!H23</f>
        <v>0</v>
      </c>
      <c r="J25" s="1390"/>
      <c r="K25" s="1390"/>
      <c r="L25" s="1390"/>
      <c r="M25" s="1389">
        <f ca="1">'F6'!N25</f>
        <v>0</v>
      </c>
      <c r="N25" s="1390"/>
      <c r="O25" s="1081"/>
      <c r="P25" s="1390"/>
      <c r="Q25" s="1390"/>
      <c r="R25" s="1389">
        <f ca="1">'F6'!R25</f>
        <v>0</v>
      </c>
      <c r="S25" s="1390"/>
      <c r="T25" s="1390"/>
      <c r="U25" s="1390"/>
      <c r="V25" s="1390"/>
    </row>
    <row r="26" spans="1:22">
      <c r="A26" s="263"/>
      <c r="B26" s="1367" t="s">
        <v>1400</v>
      </c>
      <c r="C26" s="1390">
        <f>'F6'!F26</f>
        <v>0</v>
      </c>
      <c r="D26" s="1390"/>
      <c r="E26" s="1390"/>
      <c r="F26" s="1390"/>
      <c r="G26" s="1390"/>
      <c r="H26" s="1389">
        <f ca="1">'F6'!J26</f>
        <v>0</v>
      </c>
      <c r="I26" s="1389">
        <f>'F10'!H24</f>
        <v>0</v>
      </c>
      <c r="J26" s="1390"/>
      <c r="K26" s="1390"/>
      <c r="L26" s="1390"/>
      <c r="M26" s="1389">
        <f ca="1">'F6'!N26</f>
        <v>0</v>
      </c>
      <c r="N26" s="1389"/>
      <c r="O26" s="1081"/>
      <c r="P26" s="1389"/>
      <c r="Q26" s="1389"/>
      <c r="R26" s="1389">
        <f ca="1">'F6'!R26</f>
        <v>0</v>
      </c>
      <c r="S26" s="1389"/>
      <c r="T26" s="1390"/>
      <c r="U26" s="1390"/>
      <c r="V26" s="1390"/>
    </row>
    <row r="27" spans="1:22">
      <c r="A27" s="263"/>
      <c r="B27" s="1377" t="s">
        <v>1401</v>
      </c>
      <c r="C27" s="1390">
        <f>'F6'!F27</f>
        <v>5.677539486047491E-3</v>
      </c>
      <c r="D27" s="1390"/>
      <c r="E27" s="1390"/>
      <c r="F27" s="1390"/>
      <c r="G27" s="1390"/>
      <c r="H27" s="1389">
        <f ca="1">'F6'!J27</f>
        <v>1.0074840077173417E-2</v>
      </c>
      <c r="I27" s="1389">
        <f>'F10'!H25</f>
        <v>0</v>
      </c>
      <c r="J27" s="1390"/>
      <c r="K27" s="1390"/>
      <c r="L27" s="1390"/>
      <c r="M27" s="1389">
        <f ca="1">'F6'!N27</f>
        <v>5.9380229344600738E-3</v>
      </c>
      <c r="N27" s="1390"/>
      <c r="O27" s="1081"/>
      <c r="P27" s="1390"/>
      <c r="Q27" s="1390"/>
      <c r="R27" s="1389">
        <f ca="1">'F6'!R27</f>
        <v>0</v>
      </c>
      <c r="S27" s="1390"/>
      <c r="T27" s="1390"/>
      <c r="U27" s="1390"/>
      <c r="V27" s="1390"/>
    </row>
    <row r="28" spans="1:22">
      <c r="A28" s="263"/>
      <c r="B28" s="1378" t="s">
        <v>1060</v>
      </c>
      <c r="C28" s="1390">
        <f>'F6'!F28</f>
        <v>2.1439852269059476</v>
      </c>
      <c r="D28" s="1390"/>
      <c r="E28" s="1390"/>
      <c r="F28" s="1390"/>
      <c r="G28" s="1390"/>
      <c r="H28" s="1389">
        <f ca="1">'F6'!J28</f>
        <v>3.8077396589915358</v>
      </c>
      <c r="I28" s="1389">
        <f>'F10'!H26</f>
        <v>0</v>
      </c>
      <c r="J28" s="1390"/>
      <c r="K28" s="1390"/>
      <c r="L28" s="1390"/>
      <c r="M28" s="1389">
        <f ca="1">'F6'!N28</f>
        <v>1.7886535932515446</v>
      </c>
      <c r="N28" s="1390">
        <f>'F10'!I45</f>
        <v>4.7231100000000001</v>
      </c>
      <c r="O28" s="1081"/>
      <c r="P28" s="1390"/>
      <c r="Q28" s="1390"/>
      <c r="R28" s="1389">
        <f ca="1">'F6'!R28</f>
        <v>1.1139954928877054</v>
      </c>
      <c r="S28" s="1390">
        <f>'F10'!J45</f>
        <v>2.3615550000000001</v>
      </c>
      <c r="T28" s="1390"/>
      <c r="U28" s="1390"/>
      <c r="V28" s="1390"/>
    </row>
    <row r="29" spans="1:22">
      <c r="A29" s="263"/>
      <c r="B29" s="1378" t="s">
        <v>1061</v>
      </c>
      <c r="C29" s="1390">
        <f>'F6'!F29</f>
        <v>23.624382097331591</v>
      </c>
      <c r="D29" s="1390"/>
      <c r="E29" s="1390"/>
      <c r="F29" s="1390"/>
      <c r="G29" s="1390"/>
      <c r="H29" s="1389">
        <f ca="1">'F6'!J29</f>
        <v>33.517335755421954</v>
      </c>
      <c r="I29" s="1389">
        <f>'F10'!H27</f>
        <v>0</v>
      </c>
      <c r="J29" s="1390"/>
      <c r="K29" s="1390"/>
      <c r="L29" s="1390"/>
      <c r="M29" s="1389">
        <f ca="1">'F6'!N29</f>
        <v>15.743372162436211</v>
      </c>
      <c r="N29" s="1390">
        <f>'F10'!I46</f>
        <v>35.622720000000001</v>
      </c>
      <c r="O29" s="1081"/>
      <c r="P29" s="1390"/>
      <c r="Q29" s="1390"/>
      <c r="R29" s="1389">
        <f ca="1">'F6'!R29</f>
        <v>9.8085827578596358</v>
      </c>
      <c r="S29" s="1390">
        <f>'F10'!J46</f>
        <v>17.811360000000001</v>
      </c>
      <c r="T29" s="1390"/>
      <c r="U29" s="1390"/>
      <c r="V29" s="1390"/>
    </row>
    <row r="30" spans="1:22">
      <c r="A30" s="263"/>
      <c r="B30" s="1378" t="s">
        <v>1062</v>
      </c>
      <c r="C30" s="1390">
        <f>'F6'!F30</f>
        <v>8.5739623711362274</v>
      </c>
      <c r="D30" s="1390"/>
      <c r="E30" s="1390"/>
      <c r="F30" s="1390"/>
      <c r="G30" s="1390"/>
      <c r="H30" s="1389">
        <f ca="1">'F6'!J30</f>
        <v>12.3349588225557</v>
      </c>
      <c r="I30" s="1389">
        <f>'F10'!H28</f>
        <v>0</v>
      </c>
      <c r="J30" s="1390"/>
      <c r="K30" s="1390"/>
      <c r="L30" s="1390"/>
      <c r="M30" s="1389">
        <f ca="1">'F6'!N30</f>
        <v>5.7936284038987704</v>
      </c>
      <c r="N30" s="1390">
        <f>'F10'!I47</f>
        <v>24.021899999999999</v>
      </c>
      <c r="O30" s="1081"/>
      <c r="P30" s="1390"/>
      <c r="Q30" s="1390"/>
      <c r="R30" s="1389">
        <f ca="1">'F6'!R30</f>
        <v>3.6102283397547499</v>
      </c>
      <c r="S30" s="1390">
        <f>'F10'!J47</f>
        <v>12.010949999999999</v>
      </c>
      <c r="T30" s="1390"/>
      <c r="U30" s="1390"/>
      <c r="V30" s="1390"/>
    </row>
    <row r="31" spans="1:22">
      <c r="A31" s="263"/>
      <c r="B31" s="1377" t="s">
        <v>476</v>
      </c>
      <c r="C31" s="1390">
        <f>'F6'!F31</f>
        <v>1.806489836469656E-3</v>
      </c>
      <c r="D31" s="1390"/>
      <c r="E31" s="1390"/>
      <c r="F31" s="1390"/>
      <c r="G31" s="1390"/>
      <c r="H31" s="1389">
        <f ca="1">'F6'!J31</f>
        <v>3.4507097512031276E-3</v>
      </c>
      <c r="I31" s="1389">
        <f>'F10'!H29</f>
        <v>0</v>
      </c>
      <c r="J31" s="1390"/>
      <c r="K31" s="1390"/>
      <c r="L31" s="1390"/>
      <c r="M31" s="1389">
        <f ca="1">'F6'!N31</f>
        <v>1.1389382215576019E-2</v>
      </c>
      <c r="N31" s="1390"/>
      <c r="O31" s="1081"/>
      <c r="P31" s="1390"/>
      <c r="Q31" s="1390"/>
      <c r="R31" s="1389">
        <f ca="1">'F6'!R31</f>
        <v>0</v>
      </c>
      <c r="S31" s="1390"/>
      <c r="T31" s="1390"/>
      <c r="U31" s="1390"/>
      <c r="V31" s="1390"/>
    </row>
    <row r="32" spans="1:22">
      <c r="A32" s="263"/>
      <c r="B32" s="1378" t="s">
        <v>1063</v>
      </c>
      <c r="C32" s="1390">
        <f>'F6'!F32</f>
        <v>0.21437916744234684</v>
      </c>
      <c r="D32" s="1390"/>
      <c r="E32" s="1390"/>
      <c r="F32" s="1390"/>
      <c r="G32" s="1390"/>
      <c r="H32" s="1389">
        <f ca="1">'F6'!J32</f>
        <v>1.2446412709237529</v>
      </c>
      <c r="I32" s="1389">
        <f>'F10'!H30</f>
        <v>0</v>
      </c>
      <c r="J32" s="1390"/>
      <c r="K32" s="1390"/>
      <c r="L32" s="1390"/>
      <c r="M32" s="1389">
        <f ca="1">'F6'!N32</f>
        <v>1.87128506757962</v>
      </c>
      <c r="N32" s="1390">
        <f>'F10'!I49</f>
        <v>1.9769784000000001</v>
      </c>
      <c r="O32" s="1081"/>
      <c r="P32" s="1390"/>
      <c r="Q32" s="1390"/>
      <c r="R32" s="1389">
        <f ca="1">'F6'!R32</f>
        <v>2.7971627859149613</v>
      </c>
      <c r="S32" s="1390">
        <f>'F10'!J49</f>
        <v>2.3506826400000005</v>
      </c>
      <c r="T32" s="1390"/>
      <c r="U32" s="1390"/>
      <c r="V32" s="1390"/>
    </row>
    <row r="33" spans="1:22">
      <c r="A33" s="263"/>
      <c r="B33" s="1378" t="s">
        <v>1064</v>
      </c>
      <c r="C33" s="1390">
        <f>'F6'!F33</f>
        <v>7.6456885027113506</v>
      </c>
      <c r="D33" s="1390"/>
      <c r="E33" s="1390"/>
      <c r="F33" s="1390"/>
      <c r="G33" s="1390"/>
      <c r="H33" s="1389">
        <f ca="1">'F6'!J33</f>
        <v>12.737504587468438</v>
      </c>
      <c r="I33" s="1389">
        <f>'F10'!H31</f>
        <v>0</v>
      </c>
      <c r="J33" s="1390"/>
      <c r="K33" s="1390"/>
      <c r="L33" s="1390"/>
      <c r="M33" s="1389">
        <f ca="1">'F6'!N33</f>
        <v>19.147587888340787</v>
      </c>
      <c r="N33" s="1390">
        <f>'F10'!I52</f>
        <v>21.93366</v>
      </c>
      <c r="O33" s="1081"/>
      <c r="P33" s="1390"/>
      <c r="Q33" s="1390"/>
      <c r="R33" s="1389">
        <f ca="1">'F6'!R33</f>
        <v>28.629458632912222</v>
      </c>
      <c r="S33" s="1390">
        <f>'F10'!J52</f>
        <v>27.031212</v>
      </c>
      <c r="T33" s="1390"/>
      <c r="U33" s="1390"/>
      <c r="V33" s="1390"/>
    </row>
    <row r="34" spans="1:22">
      <c r="A34" s="263"/>
      <c r="B34" s="1378" t="s">
        <v>1065</v>
      </c>
      <c r="C34" s="1390">
        <f>'F6'!F34</f>
        <v>29.293339154808887</v>
      </c>
      <c r="D34" s="1390"/>
      <c r="E34" s="1390"/>
      <c r="F34" s="1390"/>
      <c r="G34" s="1390"/>
      <c r="H34" s="1389">
        <f ca="1">'F6'!J34</f>
        <v>39.552536767183923</v>
      </c>
      <c r="I34" s="1389">
        <f>'F10'!H32</f>
        <v>0</v>
      </c>
      <c r="J34" s="1390"/>
      <c r="K34" s="1390"/>
      <c r="L34" s="1390"/>
      <c r="M34" s="1389">
        <f ca="1">'F6'!N34</f>
        <v>59.449098329592779</v>
      </c>
      <c r="N34" s="1390">
        <f>'F10'!I55</f>
        <v>71.907890000000009</v>
      </c>
      <c r="O34" s="1081"/>
      <c r="P34" s="1390"/>
      <c r="Q34" s="1390"/>
      <c r="R34" s="1389">
        <f ca="1">'F6'!R34</f>
        <v>88.910343598934631</v>
      </c>
      <c r="S34" s="1390">
        <f>'F10'!J55</f>
        <v>88.473209999999995</v>
      </c>
      <c r="T34" s="1390"/>
      <c r="U34" s="1390"/>
      <c r="V34" s="1390"/>
    </row>
    <row r="35" spans="1:22">
      <c r="A35" s="263"/>
      <c r="B35" s="1369" t="s">
        <v>1425</v>
      </c>
      <c r="C35" s="1390">
        <f>'F6'!F35</f>
        <v>71.495736520336351</v>
      </c>
      <c r="D35" s="1390"/>
      <c r="E35" s="1390"/>
      <c r="F35" s="1390"/>
      <c r="G35" s="1390"/>
      <c r="H35" s="1389">
        <f ca="1">'F6'!J35</f>
        <v>103.19471686254531</v>
      </c>
      <c r="I35" s="1389">
        <f>'F10'!H33</f>
        <v>0</v>
      </c>
      <c r="J35" s="1390"/>
      <c r="K35" s="1390"/>
      <c r="L35" s="1390"/>
      <c r="M35" s="1389">
        <f ca="1">'F6'!N35</f>
        <v>103.79362544509972</v>
      </c>
      <c r="N35" s="1390">
        <f>SUM(N28:N34)</f>
        <v>160.18625840000001</v>
      </c>
      <c r="O35" s="1081"/>
      <c r="P35" s="1390"/>
      <c r="Q35" s="1390"/>
      <c r="R35" s="1389">
        <f ca="1">'F6'!R35</f>
        <v>134.8697716082639</v>
      </c>
      <c r="S35" s="1390">
        <f>SUM(S28:S34)</f>
        <v>150.03896964</v>
      </c>
      <c r="T35" s="1390"/>
      <c r="U35" s="1390"/>
      <c r="V35" s="1390"/>
    </row>
    <row r="36" spans="1:22">
      <c r="A36" s="263"/>
      <c r="B36" s="1369" t="s">
        <v>1446</v>
      </c>
      <c r="C36" s="1390">
        <f>'F6'!F36</f>
        <v>0</v>
      </c>
      <c r="D36" s="1390"/>
      <c r="E36" s="1390"/>
      <c r="F36" s="1390"/>
      <c r="G36" s="1390"/>
      <c r="H36" s="1389">
        <f ca="1">'F6'!J36</f>
        <v>0</v>
      </c>
      <c r="I36" s="1389">
        <f>'F10'!H34</f>
        <v>0</v>
      </c>
      <c r="J36" s="1390"/>
      <c r="K36" s="1390"/>
      <c r="L36" s="1390"/>
      <c r="M36" s="1389">
        <f ca="1">'F6'!N36</f>
        <v>0</v>
      </c>
      <c r="N36" s="1390"/>
      <c r="O36" s="1081"/>
      <c r="P36" s="1390"/>
      <c r="Q36" s="1390"/>
      <c r="R36" s="1389">
        <f ca="1">'F6'!R36</f>
        <v>0</v>
      </c>
      <c r="S36" s="1390"/>
      <c r="T36" s="1390"/>
      <c r="U36" s="1390"/>
      <c r="V36" s="1390"/>
    </row>
    <row r="37" spans="1:22">
      <c r="A37" s="263"/>
      <c r="B37" s="1367" t="s">
        <v>1067</v>
      </c>
      <c r="C37" s="1390">
        <f>'F6'!F37</f>
        <v>0</v>
      </c>
      <c r="D37" s="1390"/>
      <c r="E37" s="1390"/>
      <c r="F37" s="1390"/>
      <c r="G37" s="1390"/>
      <c r="H37" s="1389">
        <f ca="1">'F6'!J37</f>
        <v>0</v>
      </c>
      <c r="I37" s="1389">
        <f>'F10'!H35</f>
        <v>0</v>
      </c>
      <c r="J37" s="1390"/>
      <c r="K37" s="1390"/>
      <c r="L37" s="1390"/>
      <c r="M37" s="1389">
        <f ca="1">'F6'!N37</f>
        <v>0</v>
      </c>
      <c r="N37" s="1390"/>
      <c r="O37" s="1081"/>
      <c r="P37" s="1390"/>
      <c r="Q37" s="1390"/>
      <c r="R37" s="1389">
        <f ca="1">'F6'!R37</f>
        <v>0</v>
      </c>
      <c r="S37" s="1390"/>
      <c r="T37" s="1390"/>
      <c r="U37" s="1390"/>
      <c r="V37" s="1390"/>
    </row>
    <row r="38" spans="1:22">
      <c r="A38" s="263"/>
      <c r="B38" s="1377" t="s">
        <v>1068</v>
      </c>
      <c r="C38" s="1390">
        <f>'F6'!F38</f>
        <v>110.43459011985107</v>
      </c>
      <c r="D38" s="1390"/>
      <c r="E38" s="1390"/>
      <c r="F38" s="1390"/>
      <c r="G38" s="1390"/>
      <c r="H38" s="1389">
        <f ca="1">'F6'!J38</f>
        <v>168.73987040713027</v>
      </c>
      <c r="I38" s="1389">
        <f>'F10'!H36</f>
        <v>0</v>
      </c>
      <c r="J38" s="1390"/>
      <c r="K38" s="1390"/>
      <c r="L38" s="1390"/>
      <c r="M38" s="1389">
        <f ca="1">'F6'!N38</f>
        <v>153.336284752078</v>
      </c>
      <c r="N38" s="1390">
        <f>'F10'!I61</f>
        <v>206.31930853333336</v>
      </c>
      <c r="O38" s="1081"/>
      <c r="P38" s="1390"/>
      <c r="Q38" s="1390"/>
      <c r="R38" s="1389">
        <f ca="1">'F6'!R38</f>
        <v>197.59236130520455</v>
      </c>
      <c r="S38" s="1390">
        <f>'F10'!J61</f>
        <v>213.95397527466665</v>
      </c>
      <c r="T38" s="1390"/>
      <c r="U38" s="1390"/>
      <c r="V38" s="1390"/>
    </row>
    <row r="39" spans="1:22">
      <c r="A39" s="263"/>
      <c r="B39" s="1377" t="s">
        <v>1072</v>
      </c>
      <c r="C39" s="1390">
        <f>'F6'!F39</f>
        <v>26.007068080281183</v>
      </c>
      <c r="D39" s="1390"/>
      <c r="E39" s="1390"/>
      <c r="F39" s="1390"/>
      <c r="G39" s="1390"/>
      <c r="H39" s="1389">
        <f ca="1">'F6'!J39</f>
        <v>54.336326864093472</v>
      </c>
      <c r="I39" s="1389">
        <f>'F10'!H37</f>
        <v>0</v>
      </c>
      <c r="J39" s="1390"/>
      <c r="K39" s="1390"/>
      <c r="L39" s="1390"/>
      <c r="M39" s="1389">
        <f ca="1">'F6'!N39</f>
        <v>46.24832938676704</v>
      </c>
      <c r="N39" s="1390">
        <f>'F10'!I65</f>
        <v>77.652075980000006</v>
      </c>
      <c r="O39" s="1081"/>
      <c r="P39" s="1390"/>
      <c r="Q39" s="1390"/>
      <c r="R39" s="1389">
        <f ca="1">'F6'!R39</f>
        <v>60.348180562801474</v>
      </c>
      <c r="S39" s="1390">
        <f>'F10'!J65</f>
        <v>81.077076482999999</v>
      </c>
      <c r="T39" s="1390"/>
      <c r="U39" s="1390"/>
      <c r="V39" s="1390"/>
    </row>
    <row r="40" spans="1:22">
      <c r="A40" s="263"/>
      <c r="B40" s="1369" t="s">
        <v>1425</v>
      </c>
      <c r="C40" s="1390">
        <f>'F6'!F40</f>
        <v>136.44165820013222</v>
      </c>
      <c r="D40" s="1390"/>
      <c r="E40" s="1390"/>
      <c r="F40" s="1390"/>
      <c r="G40" s="1390"/>
      <c r="H40" s="1389">
        <f ca="1">'F6'!J40</f>
        <v>223.07619727122378</v>
      </c>
      <c r="I40" s="1389">
        <f>'F10'!H38</f>
        <v>0</v>
      </c>
      <c r="J40" s="1390"/>
      <c r="K40" s="1390"/>
      <c r="L40" s="1390"/>
      <c r="M40" s="1389">
        <f ca="1">'F6'!N40</f>
        <v>199.58461413884507</v>
      </c>
      <c r="N40" s="1390">
        <f>SUM(N38:N39)</f>
        <v>283.97138451333336</v>
      </c>
      <c r="O40" s="1081"/>
      <c r="P40" s="1390"/>
      <c r="Q40" s="1390"/>
      <c r="R40" s="1389">
        <f ca="1">'F6'!R40</f>
        <v>257.94054186800605</v>
      </c>
      <c r="S40" s="1390">
        <f>SUM(S38:S39)</f>
        <v>295.03105175766666</v>
      </c>
      <c r="T40" s="1390"/>
      <c r="U40" s="1390"/>
      <c r="V40" s="1390"/>
    </row>
    <row r="41" spans="1:22">
      <c r="A41" s="263"/>
      <c r="B41" s="1369" t="s">
        <v>1446</v>
      </c>
      <c r="C41" s="1390">
        <f>'F6'!F41</f>
        <v>0</v>
      </c>
      <c r="D41" s="1390"/>
      <c r="E41" s="1390"/>
      <c r="F41" s="1390"/>
      <c r="G41" s="1390"/>
      <c r="H41" s="1389">
        <f ca="1">'F6'!J41</f>
        <v>0</v>
      </c>
      <c r="I41" s="1389">
        <f>'F10'!H39</f>
        <v>0</v>
      </c>
      <c r="J41" s="1390"/>
      <c r="K41" s="1390"/>
      <c r="L41" s="1390"/>
      <c r="M41" s="1389">
        <f ca="1">'F6'!N41</f>
        <v>0</v>
      </c>
      <c r="N41" s="1390"/>
      <c r="O41" s="1081"/>
      <c r="P41" s="1390"/>
      <c r="Q41" s="1390"/>
      <c r="R41" s="1389">
        <f ca="1">'F6'!R41</f>
        <v>0</v>
      </c>
      <c r="S41" s="1390"/>
      <c r="T41" s="1390"/>
      <c r="U41" s="1390"/>
      <c r="V41" s="1390"/>
    </row>
    <row r="42" spans="1:22">
      <c r="A42" s="263"/>
      <c r="B42" s="1367" t="s">
        <v>1076</v>
      </c>
      <c r="C42" s="1390">
        <f>'F6'!F42</f>
        <v>0</v>
      </c>
      <c r="D42" s="1390"/>
      <c r="E42" s="1390"/>
      <c r="F42" s="1390"/>
      <c r="G42" s="1390"/>
      <c r="H42" s="1389">
        <f ca="1">'F6'!J42</f>
        <v>0</v>
      </c>
      <c r="I42" s="1389">
        <f>'F10'!H40</f>
        <v>0</v>
      </c>
      <c r="J42" s="1390"/>
      <c r="K42" s="1390"/>
      <c r="L42" s="1390"/>
      <c r="M42" s="1389">
        <f ca="1">'F6'!N42</f>
        <v>0</v>
      </c>
      <c r="N42" s="1390"/>
      <c r="O42" s="1081"/>
      <c r="P42" s="1390"/>
      <c r="Q42" s="1390"/>
      <c r="R42" s="1389">
        <f ca="1">'F6'!R42</f>
        <v>0</v>
      </c>
      <c r="S42" s="1390"/>
      <c r="T42" s="1390"/>
      <c r="U42" s="1390"/>
      <c r="V42" s="1390"/>
    </row>
    <row r="43" spans="1:22">
      <c r="A43" s="263"/>
      <c r="B43" s="1377" t="s">
        <v>1401</v>
      </c>
      <c r="C43" s="1390">
        <f>'F6'!F43</f>
        <v>6.0463860001580976</v>
      </c>
      <c r="D43" s="1390"/>
      <c r="E43" s="1390"/>
      <c r="F43" s="1390"/>
      <c r="G43" s="1390"/>
      <c r="H43" s="1389">
        <f ca="1">'F6'!J43</f>
        <v>8.9221489707291095</v>
      </c>
      <c r="I43" s="1389">
        <f>'F10'!H41</f>
        <v>0</v>
      </c>
      <c r="J43" s="1390"/>
      <c r="K43" s="1390"/>
      <c r="L43" s="1390"/>
      <c r="M43" s="1389">
        <f ca="1">'F6'!N43</f>
        <v>10.517273685146725</v>
      </c>
      <c r="N43" s="1390"/>
      <c r="O43" s="1081"/>
      <c r="P43" s="1390"/>
      <c r="Q43" s="1390"/>
      <c r="R43" s="1389">
        <f ca="1">'F6'!R43</f>
        <v>0</v>
      </c>
      <c r="S43" s="1390"/>
      <c r="T43" s="1390"/>
      <c r="U43" s="1390"/>
      <c r="V43" s="1390"/>
    </row>
    <row r="44" spans="1:22">
      <c r="A44" s="263"/>
      <c r="B44" s="1378" t="s">
        <v>1077</v>
      </c>
      <c r="C44" s="1390">
        <f>'F6'!F44</f>
        <v>1429.3275177637081</v>
      </c>
      <c r="D44" s="1390"/>
      <c r="E44" s="1390"/>
      <c r="F44" s="1390"/>
      <c r="G44" s="1390"/>
      <c r="H44" s="1389">
        <f ca="1">'F6'!J44</f>
        <v>1807.1767745324951</v>
      </c>
      <c r="I44" s="1389">
        <f>'F10'!H42</f>
        <v>0</v>
      </c>
      <c r="J44" s="1390"/>
      <c r="K44" s="1390"/>
      <c r="L44" s="1390"/>
      <c r="M44" s="1389">
        <f ca="1">'F6'!N44</f>
        <v>1699.7378890581206</v>
      </c>
      <c r="N44" s="1390">
        <f>'F10'!I76</f>
        <v>363.61085790884721</v>
      </c>
      <c r="O44" s="1081"/>
      <c r="P44" s="1390"/>
      <c r="Q44" s="1390"/>
      <c r="R44" s="1389">
        <f ca="1">'F6'!R44</f>
        <v>2105.4387067190764</v>
      </c>
      <c r="S44" s="1390">
        <f>'F10'!J76</f>
        <v>363.61085790884721</v>
      </c>
      <c r="T44" s="1390"/>
      <c r="U44" s="1390"/>
      <c r="V44" s="1390"/>
    </row>
    <row r="45" spans="1:22">
      <c r="A45" s="263"/>
      <c r="B45" s="1377" t="s">
        <v>476</v>
      </c>
      <c r="C45" s="1390">
        <f>'F6'!F45</f>
        <v>0.53080693028266723</v>
      </c>
      <c r="D45" s="1390"/>
      <c r="E45" s="1390"/>
      <c r="F45" s="1390"/>
      <c r="G45" s="1390"/>
      <c r="H45" s="1389">
        <f ca="1">'F6'!J45</f>
        <v>0.88797237267344054</v>
      </c>
      <c r="I45" s="1389">
        <f>'F10'!H43</f>
        <v>0</v>
      </c>
      <c r="J45" s="1390"/>
      <c r="K45" s="1390"/>
      <c r="L45" s="1390"/>
      <c r="M45" s="1389">
        <f ca="1">'F6'!N45</f>
        <v>1.099062672439006</v>
      </c>
      <c r="N45" s="1390"/>
      <c r="O45" s="1081"/>
      <c r="P45" s="1390"/>
      <c r="Q45" s="1390"/>
      <c r="R45" s="1389">
        <f ca="1">'F6'!R45</f>
        <v>0</v>
      </c>
      <c r="S45" s="1390"/>
      <c r="T45" s="1390"/>
      <c r="U45" s="1390"/>
      <c r="V45" s="1390"/>
    </row>
    <row r="46" spans="1:22">
      <c r="A46" s="263"/>
      <c r="B46" s="1378" t="s">
        <v>1078</v>
      </c>
      <c r="C46" s="1390">
        <f>'F6'!F46</f>
        <v>73.481767430618575</v>
      </c>
      <c r="D46" s="1390"/>
      <c r="E46" s="1390"/>
      <c r="F46" s="1390"/>
      <c r="G46" s="1390"/>
      <c r="H46" s="1389">
        <f ca="1">'F6'!J46</f>
        <v>126.42624198360605</v>
      </c>
      <c r="I46" s="1389">
        <f>'F10'!H44</f>
        <v>0</v>
      </c>
      <c r="J46" s="1390"/>
      <c r="K46" s="1390"/>
      <c r="L46" s="1390"/>
      <c r="M46" s="1389">
        <f ca="1">'F6'!N46</f>
        <v>166.22031710065758</v>
      </c>
      <c r="N46" s="1390">
        <f>'F10'!I79</f>
        <v>50.679277667560314</v>
      </c>
      <c r="O46" s="1081"/>
      <c r="P46" s="1390"/>
      <c r="Q46" s="1390"/>
      <c r="R46" s="1389">
        <f ca="1">'F6'!R46</f>
        <v>237.23922496580474</v>
      </c>
      <c r="S46" s="1390">
        <f>'F10'!J79</f>
        <v>57.906113821715799</v>
      </c>
      <c r="T46" s="1390"/>
      <c r="U46" s="1390"/>
      <c r="V46" s="1390"/>
    </row>
    <row r="47" spans="1:22">
      <c r="A47" s="263"/>
      <c r="B47" s="1378" t="s">
        <v>1079</v>
      </c>
      <c r="C47" s="1390">
        <f>'F6'!F47</f>
        <v>37.203923156208845</v>
      </c>
      <c r="D47" s="1390"/>
      <c r="E47" s="1390"/>
      <c r="F47" s="1390"/>
      <c r="G47" s="1390"/>
      <c r="H47" s="1389">
        <f ca="1">'F6'!J47</f>
        <v>145.19667763051751</v>
      </c>
      <c r="I47" s="1389">
        <f>'F10'!H45</f>
        <v>0</v>
      </c>
      <c r="J47" s="1390"/>
      <c r="K47" s="1390"/>
      <c r="L47" s="1390"/>
      <c r="M47" s="1389">
        <f ca="1">'F6'!N47</f>
        <v>192.20453426402511</v>
      </c>
      <c r="N47" s="1390">
        <f>'F10'!I83</f>
        <v>157.51805137415548</v>
      </c>
      <c r="O47" s="1081"/>
      <c r="P47" s="1390"/>
      <c r="Q47" s="1390"/>
      <c r="R47" s="1389">
        <f ca="1">'F6'!R47</f>
        <v>274.93583997903033</v>
      </c>
      <c r="S47" s="1390">
        <f>'F10'!J83</f>
        <v>180.75293602397849</v>
      </c>
      <c r="T47" s="1390"/>
      <c r="U47" s="1390"/>
      <c r="V47" s="1390"/>
    </row>
    <row r="48" spans="1:22">
      <c r="A48" s="263"/>
      <c r="B48" s="1369" t="s">
        <v>1425</v>
      </c>
      <c r="C48" s="1390">
        <f>'F6'!F48</f>
        <v>1540.0132083505353</v>
      </c>
      <c r="D48" s="1390"/>
      <c r="E48" s="1390"/>
      <c r="F48" s="1390"/>
      <c r="G48" s="1390"/>
      <c r="H48" s="1389">
        <f ca="1">'F6'!J48</f>
        <v>2078.7996941466185</v>
      </c>
      <c r="I48" s="1389">
        <f>'F10'!H46</f>
        <v>0</v>
      </c>
      <c r="J48" s="1390"/>
      <c r="K48" s="1390"/>
      <c r="L48" s="1390"/>
      <c r="M48" s="1389">
        <f ca="1">'F6'!N48</f>
        <v>2058.1627404228034</v>
      </c>
      <c r="N48" s="1390">
        <f>SUM(N44:N47)</f>
        <v>571.80818695056303</v>
      </c>
      <c r="O48" s="1081"/>
      <c r="P48" s="1390"/>
      <c r="Q48" s="1390"/>
      <c r="R48" s="1389">
        <f ca="1">'F6'!R48</f>
        <v>2617.6137716639114</v>
      </c>
      <c r="S48" s="1390">
        <f>SUM(S44:S47)</f>
        <v>602.26990775454146</v>
      </c>
      <c r="T48" s="1390"/>
      <c r="U48" s="1390"/>
      <c r="V48" s="1390"/>
    </row>
    <row r="49" spans="1:22">
      <c r="A49" s="263"/>
      <c r="B49" s="1369" t="s">
        <v>1446</v>
      </c>
      <c r="C49" s="1390">
        <f>'F6'!F49</f>
        <v>0</v>
      </c>
      <c r="D49" s="1390"/>
      <c r="E49" s="1390"/>
      <c r="F49" s="1390"/>
      <c r="G49" s="1390"/>
      <c r="H49" s="1389">
        <f ca="1">'F6'!J49</f>
        <v>0</v>
      </c>
      <c r="I49" s="1389">
        <f>'F10'!H47</f>
        <v>0</v>
      </c>
      <c r="J49" s="1390"/>
      <c r="K49" s="1390"/>
      <c r="L49" s="1390"/>
      <c r="M49" s="1389">
        <f ca="1">'F6'!N49</f>
        <v>0</v>
      </c>
      <c r="N49" s="1390"/>
      <c r="O49" s="1081"/>
      <c r="P49" s="1390"/>
      <c r="Q49" s="1390"/>
      <c r="R49" s="1389">
        <f ca="1">'F6'!R49</f>
        <v>0</v>
      </c>
      <c r="S49" s="1390"/>
      <c r="T49" s="1390"/>
      <c r="U49" s="1390"/>
      <c r="V49" s="1390"/>
    </row>
    <row r="50" spans="1:22">
      <c r="A50" s="263"/>
      <c r="B50" s="1367" t="s">
        <v>1081</v>
      </c>
      <c r="C50" s="1390">
        <f>'F6'!F50</f>
        <v>0</v>
      </c>
      <c r="D50" s="1390"/>
      <c r="E50" s="1390"/>
      <c r="F50" s="1390"/>
      <c r="G50" s="1390"/>
      <c r="H50" s="1389">
        <f ca="1">'F6'!J50</f>
        <v>0</v>
      </c>
      <c r="I50" s="1389">
        <f>'F10'!H48</f>
        <v>0</v>
      </c>
      <c r="J50" s="1390"/>
      <c r="K50" s="1390"/>
      <c r="L50" s="1390"/>
      <c r="M50" s="1389">
        <f ca="1">'F6'!N50</f>
        <v>0</v>
      </c>
      <c r="N50" s="1390"/>
      <c r="O50" s="1081"/>
      <c r="P50" s="1390"/>
      <c r="Q50" s="1390"/>
      <c r="R50" s="1389">
        <f ca="1">'F6'!R50</f>
        <v>0</v>
      </c>
      <c r="S50" s="1390"/>
      <c r="T50" s="1390"/>
      <c r="U50" s="1390"/>
      <c r="V50" s="1390"/>
    </row>
    <row r="51" spans="1:22">
      <c r="A51" s="263"/>
      <c r="B51" s="1377" t="s">
        <v>1012</v>
      </c>
      <c r="C51" s="1390">
        <f>'F6'!F51</f>
        <v>74.203476953075992</v>
      </c>
      <c r="D51" s="1390"/>
      <c r="E51" s="1390"/>
      <c r="F51" s="1390"/>
      <c r="G51" s="1390"/>
      <c r="H51" s="1389">
        <f ca="1">'F6'!J51</f>
        <v>218.09100327120083</v>
      </c>
      <c r="I51" s="1389">
        <f>'F10'!H49</f>
        <v>0</v>
      </c>
      <c r="J51" s="1390"/>
      <c r="K51" s="1390"/>
      <c r="L51" s="1390"/>
      <c r="M51" s="1389">
        <f ca="1">'F6'!N51</f>
        <v>189.22653024521347</v>
      </c>
      <c r="N51" s="1390">
        <f>'F10'!I87</f>
        <v>207.76775837121752</v>
      </c>
      <c r="O51" s="1081"/>
      <c r="P51" s="1390"/>
      <c r="Q51" s="1390"/>
      <c r="R51" s="1389">
        <f ca="1">'F6'!R51</f>
        <v>242.01542725711175</v>
      </c>
      <c r="S51" s="1390">
        <f>'F10'!J87</f>
        <v>213.61036585510408</v>
      </c>
      <c r="T51" s="1390"/>
      <c r="U51" s="1390"/>
      <c r="V51" s="1390"/>
    </row>
    <row r="52" spans="1:22">
      <c r="A52" s="263"/>
      <c r="B52" s="1377" t="s">
        <v>1011</v>
      </c>
      <c r="C52" s="1390">
        <f>'F6'!F52</f>
        <v>317.53029136545507</v>
      </c>
      <c r="D52" s="1390"/>
      <c r="E52" s="1390"/>
      <c r="F52" s="1390"/>
      <c r="G52" s="1390"/>
      <c r="H52" s="1389">
        <f ca="1">'F6'!J52</f>
        <v>252.62843508654259</v>
      </c>
      <c r="I52" s="1389">
        <f>'F10'!H50</f>
        <v>0</v>
      </c>
      <c r="J52" s="1390"/>
      <c r="K52" s="1390"/>
      <c r="L52" s="1390"/>
      <c r="M52" s="1389">
        <f ca="1">'F6'!N52</f>
        <v>252.34328384927932</v>
      </c>
      <c r="N52" s="1390">
        <f>'F10'!I91</f>
        <v>298.95003760828627</v>
      </c>
      <c r="O52" s="1081"/>
      <c r="P52" s="1390"/>
      <c r="Q52" s="1390"/>
      <c r="R52" s="1389">
        <f ca="1">'F6'!R52</f>
        <v>329.6785565698201</v>
      </c>
      <c r="S52" s="1390">
        <f>'F10'!J91</f>
        <v>313.15677059370063</v>
      </c>
      <c r="T52" s="1390"/>
      <c r="U52" s="1390"/>
      <c r="V52" s="1390"/>
    </row>
    <row r="53" spans="1:22">
      <c r="A53" s="263"/>
      <c r="B53" s="1369" t="s">
        <v>1425</v>
      </c>
      <c r="C53" s="1390">
        <f>'F6'!F53</f>
        <v>391.73376831853102</v>
      </c>
      <c r="D53" s="1390"/>
      <c r="E53" s="1390"/>
      <c r="F53" s="1390"/>
      <c r="G53" s="1390"/>
      <c r="H53" s="1389">
        <f ca="1">'F6'!J53</f>
        <v>470.71943835774346</v>
      </c>
      <c r="I53" s="1389">
        <f>'F10'!H51</f>
        <v>0</v>
      </c>
      <c r="J53" s="1390"/>
      <c r="K53" s="1390"/>
      <c r="L53" s="1390"/>
      <c r="M53" s="1389">
        <f ca="1">'F6'!N53</f>
        <v>441.5698140944927</v>
      </c>
      <c r="N53" s="1390">
        <f>SUM(N51:N52)</f>
        <v>506.71779597950376</v>
      </c>
      <c r="O53" s="1081"/>
      <c r="P53" s="1390"/>
      <c r="Q53" s="1390"/>
      <c r="R53" s="1389">
        <f ca="1">'F6'!R53</f>
        <v>571.69398382693191</v>
      </c>
      <c r="S53" s="1390">
        <f>SUM(S51:S52)</f>
        <v>526.76713644880465</v>
      </c>
      <c r="T53" s="1390"/>
      <c r="U53" s="1390"/>
      <c r="V53" s="1390"/>
    </row>
    <row r="54" spans="1:22">
      <c r="A54" s="263"/>
      <c r="B54" s="1369" t="s">
        <v>1446</v>
      </c>
      <c r="C54" s="1390">
        <f>'F6'!F54</f>
        <v>0</v>
      </c>
      <c r="D54" s="1390"/>
      <c r="E54" s="1390"/>
      <c r="F54" s="1390"/>
      <c r="G54" s="1390"/>
      <c r="H54" s="1389">
        <f ca="1">'F6'!J54</f>
        <v>0</v>
      </c>
      <c r="I54" s="1389">
        <f>'F10'!H52</f>
        <v>0</v>
      </c>
      <c r="J54" s="1390"/>
      <c r="K54" s="1390"/>
      <c r="L54" s="1390"/>
      <c r="M54" s="1389">
        <f ca="1">'F6'!N54</f>
        <v>0</v>
      </c>
      <c r="N54" s="1390"/>
      <c r="O54" s="1081"/>
      <c r="P54" s="1390"/>
      <c r="Q54" s="1390"/>
      <c r="R54" s="1389">
        <f ca="1">'F6'!R54</f>
        <v>0</v>
      </c>
      <c r="S54" s="1390"/>
      <c r="T54" s="1390"/>
      <c r="U54" s="1390"/>
      <c r="V54" s="1390"/>
    </row>
    <row r="55" spans="1:22">
      <c r="A55" s="263"/>
      <c r="B55" s="1367" t="s">
        <v>1402</v>
      </c>
      <c r="C55" s="1390">
        <f>'F6'!F55</f>
        <v>0</v>
      </c>
      <c r="D55" s="1390"/>
      <c r="E55" s="1390"/>
      <c r="F55" s="1390"/>
      <c r="G55" s="1390"/>
      <c r="H55" s="1389">
        <f ca="1">'F6'!J55</f>
        <v>0</v>
      </c>
      <c r="I55" s="1389">
        <f>'F10'!H53</f>
        <v>0</v>
      </c>
      <c r="J55" s="1390"/>
      <c r="K55" s="1390"/>
      <c r="L55" s="1390"/>
      <c r="M55" s="1389">
        <f ca="1">'F6'!N55</f>
        <v>0</v>
      </c>
      <c r="N55" s="1390"/>
      <c r="O55" s="1081"/>
      <c r="P55" s="1390"/>
      <c r="Q55" s="1390"/>
      <c r="R55" s="1389">
        <f ca="1">'F6'!R55</f>
        <v>0</v>
      </c>
      <c r="S55" s="1390"/>
      <c r="T55" s="1390"/>
      <c r="U55" s="1390"/>
      <c r="V55" s="1390"/>
    </row>
    <row r="56" spans="1:22">
      <c r="A56" s="263"/>
      <c r="B56" s="1377" t="s">
        <v>475</v>
      </c>
      <c r="C56" s="1390">
        <f>'F6'!F56</f>
        <v>3.2387782068134544E-2</v>
      </c>
      <c r="D56" s="1390"/>
      <c r="E56" s="1390"/>
      <c r="F56" s="1390"/>
      <c r="G56" s="1390"/>
      <c r="H56" s="1389">
        <f ca="1">'F6'!J56</f>
        <v>5.2130365169961536E-2</v>
      </c>
      <c r="I56" s="1389">
        <f>'F10'!H54</f>
        <v>0</v>
      </c>
      <c r="J56" s="1390"/>
      <c r="K56" s="1390"/>
      <c r="L56" s="1390"/>
      <c r="M56" s="1389">
        <f ca="1">'F6'!N56</f>
        <v>6.8212811470965806E-2</v>
      </c>
      <c r="N56" s="1390"/>
      <c r="O56" s="1081"/>
      <c r="P56" s="1390"/>
      <c r="Q56" s="1390"/>
      <c r="R56" s="1389">
        <f ca="1">'F6'!R56</f>
        <v>0</v>
      </c>
      <c r="S56" s="1390"/>
      <c r="T56" s="1390"/>
      <c r="U56" s="1390"/>
      <c r="V56" s="1390"/>
    </row>
    <row r="57" spans="1:22">
      <c r="A57" s="263"/>
      <c r="B57" s="1378" t="s">
        <v>1091</v>
      </c>
      <c r="C57" s="1390">
        <f>'F6'!F57</f>
        <v>72.953807006167665</v>
      </c>
      <c r="D57" s="1390"/>
      <c r="E57" s="1390"/>
      <c r="F57" s="1390"/>
      <c r="G57" s="1390"/>
      <c r="H57" s="1389">
        <f ca="1">'F6'!J57</f>
        <v>80.043182787625469</v>
      </c>
      <c r="I57" s="1389">
        <f>'F10'!H55</f>
        <v>0</v>
      </c>
      <c r="J57" s="1390"/>
      <c r="K57" s="1390"/>
      <c r="L57" s="1390"/>
      <c r="M57" s="1389">
        <f ca="1">'F6'!N57</f>
        <v>74.124403259983055</v>
      </c>
      <c r="N57" s="1390">
        <f>'F10'!I128</f>
        <v>85.958477083333335</v>
      </c>
      <c r="O57" s="1081"/>
      <c r="P57" s="1390"/>
      <c r="Q57" s="1390"/>
      <c r="R57" s="1389">
        <f ca="1">'F6'!R57</f>
        <v>101.54776311607442</v>
      </c>
      <c r="S57" s="1390">
        <f>'F10'!J128</f>
        <v>94.554324791666687</v>
      </c>
      <c r="T57" s="1390"/>
      <c r="U57" s="1390"/>
      <c r="V57" s="1390"/>
    </row>
    <row r="58" spans="1:22">
      <c r="A58" s="263"/>
      <c r="B58" s="1378" t="s">
        <v>1092</v>
      </c>
      <c r="C58" s="1390">
        <f>'F6'!F58</f>
        <v>13.705435121319747</v>
      </c>
      <c r="D58" s="1390"/>
      <c r="E58" s="1390"/>
      <c r="F58" s="1390"/>
      <c r="G58" s="1390"/>
      <c r="H58" s="1389">
        <f ca="1">'F6'!J58</f>
        <v>9.0852668661841545</v>
      </c>
      <c r="I58" s="1389">
        <f>'F10'!H56</f>
        <v>0</v>
      </c>
      <c r="J58" s="1390"/>
      <c r="K58" s="1390"/>
      <c r="L58" s="1390"/>
      <c r="M58" s="1389">
        <f ca="1">'F6'!N58</f>
        <v>14.272403716428929</v>
      </c>
      <c r="N58" s="1390">
        <f>'F10'!I129</f>
        <v>15.378131937499999</v>
      </c>
      <c r="O58" s="1081"/>
      <c r="P58" s="1390"/>
      <c r="Q58" s="1390"/>
      <c r="R58" s="1389">
        <f ca="1">'F6'!R58</f>
        <v>19.564092975760893</v>
      </c>
      <c r="S58" s="1390">
        <f>'F10'!J129</f>
        <v>16.915945131249998</v>
      </c>
      <c r="T58" s="1390"/>
      <c r="U58" s="1390"/>
      <c r="V58" s="1390"/>
    </row>
    <row r="59" spans="1:22">
      <c r="A59" s="263"/>
      <c r="B59" s="1378" t="s">
        <v>1093</v>
      </c>
      <c r="C59" s="1390">
        <f>'F6'!F59</f>
        <v>10.742337491761326</v>
      </c>
      <c r="D59" s="1390"/>
      <c r="E59" s="1390"/>
      <c r="F59" s="1390"/>
      <c r="G59" s="1390"/>
      <c r="H59" s="1389">
        <f ca="1">'F6'!J59</f>
        <v>11.853979872653893</v>
      </c>
      <c r="I59" s="1389">
        <f>'F10'!H57</f>
        <v>0</v>
      </c>
      <c r="J59" s="1390"/>
      <c r="K59" s="1390"/>
      <c r="L59" s="1390"/>
      <c r="M59" s="1389">
        <f ca="1">'F6'!N59</f>
        <v>11.268858175078849</v>
      </c>
      <c r="N59" s="1390">
        <f>'F10'!I130</f>
        <v>13.960457666666665</v>
      </c>
      <c r="O59" s="1081"/>
      <c r="P59" s="1390"/>
      <c r="Q59" s="1390"/>
      <c r="R59" s="1389">
        <f ca="1">'F6'!R59</f>
        <v>16.843477491601448</v>
      </c>
      <c r="S59" s="1390">
        <f>'F10'!J130</f>
        <v>16.752549199999997</v>
      </c>
      <c r="T59" s="1390"/>
      <c r="U59" s="1390"/>
      <c r="V59" s="1390"/>
    </row>
    <row r="60" spans="1:22">
      <c r="A60" s="263"/>
      <c r="B60" s="1377" t="s">
        <v>1403</v>
      </c>
      <c r="C60" s="1390">
        <f>'F6'!F60</f>
        <v>3.9699764739559343E-2</v>
      </c>
      <c r="D60" s="1390"/>
      <c r="E60" s="1390"/>
      <c r="F60" s="1390"/>
      <c r="G60" s="1390"/>
      <c r="H60" s="1389">
        <f ca="1">'F6'!J60</f>
        <v>5.3424381326662704E-2</v>
      </c>
      <c r="I60" s="1389">
        <f>'F10'!H58</f>
        <v>0</v>
      </c>
      <c r="J60" s="1390"/>
      <c r="K60" s="1390"/>
      <c r="L60" s="1390"/>
      <c r="M60" s="1389">
        <f ca="1">'F6'!N60</f>
        <v>6.4235244059454702E-2</v>
      </c>
      <c r="N60" s="1390"/>
      <c r="O60" s="1081"/>
      <c r="P60" s="1390"/>
      <c r="Q60" s="1390"/>
      <c r="R60" s="1389">
        <f ca="1">'F6'!R60</f>
        <v>0</v>
      </c>
      <c r="S60" s="1390"/>
      <c r="T60" s="1390"/>
      <c r="U60" s="1390"/>
      <c r="V60" s="1390"/>
    </row>
    <row r="61" spans="1:22">
      <c r="A61" s="263"/>
      <c r="B61" s="1378" t="s">
        <v>1094</v>
      </c>
      <c r="C61" s="1390">
        <f>'F6'!F61</f>
        <v>22.04758896913081</v>
      </c>
      <c r="D61" s="1390"/>
      <c r="E61" s="1390"/>
      <c r="F61" s="1390"/>
      <c r="G61" s="1390"/>
      <c r="H61" s="1389">
        <f ca="1">'F6'!J61</f>
        <v>31.182587100316088</v>
      </c>
      <c r="I61" s="1389">
        <f>'F10'!H59</f>
        <v>0</v>
      </c>
      <c r="J61" s="1390"/>
      <c r="K61" s="1390"/>
      <c r="L61" s="1390"/>
      <c r="M61" s="1389">
        <f ca="1">'F6'!N61</f>
        <v>35.089223917551543</v>
      </c>
      <c r="N61" s="1390">
        <f>'F10'!I132</f>
        <v>43.426805166666661</v>
      </c>
      <c r="O61" s="1081"/>
      <c r="P61" s="1390"/>
      <c r="Q61" s="1390"/>
      <c r="R61" s="1389">
        <f ca="1">'F6'!R61</f>
        <v>44.592834098411814</v>
      </c>
      <c r="S61" s="1390">
        <f>'F10'!J132</f>
        <v>44.295341270000002</v>
      </c>
      <c r="T61" s="1390"/>
      <c r="U61" s="1390"/>
      <c r="V61" s="1390"/>
    </row>
    <row r="62" spans="1:22">
      <c r="A62" s="263"/>
      <c r="B62" s="1378" t="s">
        <v>1095</v>
      </c>
      <c r="C62" s="1390">
        <f>'F6'!F62</f>
        <v>101.61944031876273</v>
      </c>
      <c r="D62" s="1390"/>
      <c r="E62" s="1390"/>
      <c r="F62" s="1390"/>
      <c r="G62" s="1390"/>
      <c r="H62" s="1389">
        <f ca="1">'F6'!J62</f>
        <v>162.93377479026162</v>
      </c>
      <c r="I62" s="1389">
        <f>'F10'!H60</f>
        <v>0</v>
      </c>
      <c r="J62" s="1390"/>
      <c r="K62" s="1390"/>
      <c r="L62" s="1390"/>
      <c r="M62" s="1389">
        <f ca="1">'F6'!N62</f>
        <v>136.07084347246928</v>
      </c>
      <c r="N62" s="1390">
        <f>'F10'!I133</f>
        <v>178.00866966666666</v>
      </c>
      <c r="O62" s="1081"/>
      <c r="P62" s="1390"/>
      <c r="Q62" s="1390"/>
      <c r="R62" s="1389">
        <f ca="1">'F6'!R62</f>
        <v>178.02679675811271</v>
      </c>
      <c r="S62" s="1390">
        <f>'F10'!J133</f>
        <v>186.52182865</v>
      </c>
      <c r="T62" s="1390"/>
      <c r="U62" s="1390"/>
      <c r="V62" s="1390"/>
    </row>
    <row r="63" spans="1:22">
      <c r="A63" s="263"/>
      <c r="B63" s="1378" t="s">
        <v>1096</v>
      </c>
      <c r="C63" s="1390">
        <f>'F6'!F63</f>
        <v>16.400598688860658</v>
      </c>
      <c r="D63" s="1390"/>
      <c r="E63" s="1390"/>
      <c r="F63" s="1390"/>
      <c r="G63" s="1390"/>
      <c r="H63" s="1389">
        <f ca="1">'F6'!J63</f>
        <v>24.764600595678552</v>
      </c>
      <c r="I63" s="1389">
        <f>'F10'!H61</f>
        <v>0</v>
      </c>
      <c r="J63" s="1390"/>
      <c r="K63" s="1390"/>
      <c r="L63" s="1390"/>
      <c r="M63" s="1389">
        <f ca="1">'F6'!N63</f>
        <v>33.557831376806355</v>
      </c>
      <c r="N63" s="1390">
        <f>'F10'!I134</f>
        <v>42.863157333333326</v>
      </c>
      <c r="O63" s="1081"/>
      <c r="P63" s="1390"/>
      <c r="Q63" s="1390"/>
      <c r="R63" s="1389">
        <f ca="1">'F6'!R63</f>
        <v>43.902411218736233</v>
      </c>
      <c r="S63" s="1390">
        <f>'F10'!J134</f>
        <v>44.9261792</v>
      </c>
      <c r="T63" s="1390"/>
      <c r="U63" s="1390"/>
      <c r="V63" s="1390"/>
    </row>
    <row r="64" spans="1:22">
      <c r="A64" s="263"/>
      <c r="B64" s="1369" t="s">
        <v>1425</v>
      </c>
      <c r="C64" s="1390">
        <f>'F6'!F64</f>
        <v>237.46920759600295</v>
      </c>
      <c r="D64" s="1390"/>
      <c r="E64" s="1390"/>
      <c r="F64" s="1390"/>
      <c r="G64" s="1390"/>
      <c r="H64" s="1389">
        <f ca="1">'F6'!J64</f>
        <v>319.86339201271977</v>
      </c>
      <c r="I64" s="1389">
        <f>'F10'!H62</f>
        <v>0</v>
      </c>
      <c r="J64" s="1390"/>
      <c r="K64" s="1390"/>
      <c r="L64" s="1390"/>
      <c r="M64" s="1389">
        <f ca="1">'F6'!N64</f>
        <v>304.38356391831803</v>
      </c>
      <c r="N64" s="1390">
        <f>SUM(N57:N63)</f>
        <v>379.5956988541667</v>
      </c>
      <c r="O64" s="1081"/>
      <c r="P64" s="1390"/>
      <c r="Q64" s="1390"/>
      <c r="R64" s="1389">
        <f ca="1">'F6'!R64</f>
        <v>404.4773756586975</v>
      </c>
      <c r="S64" s="1390">
        <f>SUM(S57:S63)</f>
        <v>403.96616824291664</v>
      </c>
      <c r="T64" s="1390"/>
      <c r="U64" s="1390"/>
      <c r="V64" s="1390"/>
    </row>
    <row r="65" spans="1:22">
      <c r="A65" s="263"/>
      <c r="B65" s="1369" t="s">
        <v>1446</v>
      </c>
      <c r="C65" s="1390">
        <f>'F6'!F65</f>
        <v>0</v>
      </c>
      <c r="D65" s="1390"/>
      <c r="E65" s="1390"/>
      <c r="F65" s="1390"/>
      <c r="G65" s="1390"/>
      <c r="H65" s="1389">
        <f ca="1">'F6'!J65</f>
        <v>0</v>
      </c>
      <c r="I65" s="1389">
        <f>'F10'!H63</f>
        <v>0</v>
      </c>
      <c r="J65" s="1390"/>
      <c r="K65" s="1390"/>
      <c r="L65" s="1390"/>
      <c r="M65" s="1389">
        <f ca="1">'F6'!N65</f>
        <v>0</v>
      </c>
      <c r="N65" s="1390"/>
      <c r="O65" s="1081"/>
      <c r="P65" s="1390"/>
      <c r="Q65" s="1390"/>
      <c r="R65" s="1389">
        <f ca="1">'F6'!R65</f>
        <v>0</v>
      </c>
      <c r="S65" s="1390"/>
      <c r="T65" s="1390"/>
      <c r="U65" s="1390"/>
      <c r="V65" s="1390"/>
    </row>
    <row r="66" spans="1:22">
      <c r="A66" s="263"/>
      <c r="B66" s="1367" t="s">
        <v>1098</v>
      </c>
      <c r="C66" s="1390">
        <f>'F6'!F66</f>
        <v>0</v>
      </c>
      <c r="D66" s="1390"/>
      <c r="E66" s="1390"/>
      <c r="F66" s="1390"/>
      <c r="G66" s="1390"/>
      <c r="H66" s="1389">
        <f ca="1">'F6'!J66</f>
        <v>0</v>
      </c>
      <c r="I66" s="1389">
        <f>'F10'!H64</f>
        <v>0</v>
      </c>
      <c r="J66" s="1390"/>
      <c r="K66" s="1390"/>
      <c r="L66" s="1390"/>
      <c r="M66" s="1389">
        <f ca="1">'F6'!N66</f>
        <v>0</v>
      </c>
      <c r="N66" s="1390"/>
      <c r="O66" s="1081"/>
      <c r="P66" s="1390"/>
      <c r="Q66" s="1390"/>
      <c r="R66" s="1389">
        <f ca="1">'F6'!R66</f>
        <v>0</v>
      </c>
      <c r="S66" s="1390"/>
      <c r="T66" s="1390"/>
      <c r="U66" s="1390"/>
      <c r="V66" s="1390"/>
    </row>
    <row r="67" spans="1:22">
      <c r="A67" s="263"/>
      <c r="B67" s="1377" t="s">
        <v>476</v>
      </c>
      <c r="C67" s="1390">
        <f>'F6'!F67</f>
        <v>1.0172258245835087E-2</v>
      </c>
      <c r="D67" s="1390"/>
      <c r="E67" s="1390"/>
      <c r="F67" s="1390"/>
      <c r="G67" s="1390"/>
      <c r="H67" s="1389">
        <f ca="1">'F6'!J67</f>
        <v>5.4780017300349648E-2</v>
      </c>
      <c r="I67" s="1389">
        <f>'F10'!H65</f>
        <v>0</v>
      </c>
      <c r="J67" s="1390"/>
      <c r="K67" s="1390"/>
      <c r="L67" s="1390"/>
      <c r="M67" s="1389">
        <f ca="1">'F6'!N67</f>
        <v>0.25829491810324184</v>
      </c>
      <c r="N67" s="1390"/>
      <c r="O67" s="1081"/>
      <c r="P67" s="1390"/>
      <c r="Q67" s="1390"/>
      <c r="R67" s="1389">
        <f ca="1">'F6'!R67</f>
        <v>0</v>
      </c>
      <c r="S67" s="1390"/>
      <c r="T67" s="1390"/>
      <c r="U67" s="1390"/>
      <c r="V67" s="1390"/>
    </row>
    <row r="68" spans="1:22">
      <c r="A68" s="263"/>
      <c r="B68" s="1378" t="s">
        <v>1099</v>
      </c>
      <c r="C68" s="1390">
        <f>'F6'!F68</f>
        <v>13.826712389924127</v>
      </c>
      <c r="D68" s="1390"/>
      <c r="E68" s="1390"/>
      <c r="F68" s="1390"/>
      <c r="G68" s="1390"/>
      <c r="H68" s="1389">
        <f ca="1">'F6'!J68</f>
        <v>208.35574965588654</v>
      </c>
      <c r="I68" s="1389">
        <f>'F10'!H66</f>
        <v>0</v>
      </c>
      <c r="J68" s="1390"/>
      <c r="K68" s="1390"/>
      <c r="L68" s="1390"/>
      <c r="M68" s="1389">
        <f ca="1">'F6'!N68</f>
        <v>391.59956020544445</v>
      </c>
      <c r="N68" s="1390">
        <f>'F10'!I139</f>
        <v>460.02381996890301</v>
      </c>
      <c r="O68" s="1081"/>
      <c r="P68" s="1390"/>
      <c r="Q68" s="1390"/>
      <c r="R68" s="1389">
        <f ca="1">'F6'!R68</f>
        <v>634.09631161623111</v>
      </c>
      <c r="S68" s="1390">
        <f>'F10'!J139</f>
        <v>605.63607744694366</v>
      </c>
      <c r="T68" s="1390"/>
      <c r="U68" s="1390"/>
      <c r="V68" s="1390"/>
    </row>
    <row r="69" spans="1:22">
      <c r="A69" s="263"/>
      <c r="B69" s="1377" t="s">
        <v>1404</v>
      </c>
      <c r="C69" s="1390">
        <f>'F6'!F69</f>
        <v>0.23920936251252362</v>
      </c>
      <c r="D69" s="1390"/>
      <c r="E69" s="1390"/>
      <c r="F69" s="1390"/>
      <c r="G69" s="1390"/>
      <c r="H69" s="1389">
        <f ca="1">'F6'!J69</f>
        <v>0.30957796053650916</v>
      </c>
      <c r="I69" s="1389">
        <f>'F10'!H67</f>
        <v>0</v>
      </c>
      <c r="J69" s="1390"/>
      <c r="K69" s="1390"/>
      <c r="L69" s="1390"/>
      <c r="M69" s="1389">
        <f ca="1">'F6'!N69</f>
        <v>0.18246255182096274</v>
      </c>
      <c r="N69" s="1390"/>
      <c r="O69" s="1081"/>
      <c r="P69" s="1390"/>
      <c r="Q69" s="1390"/>
      <c r="R69" s="1389">
        <f ca="1">'F6'!R69</f>
        <v>0</v>
      </c>
      <c r="S69" s="1390"/>
      <c r="T69" s="1390"/>
      <c r="U69" s="1390"/>
      <c r="V69" s="1390"/>
    </row>
    <row r="70" spans="1:22">
      <c r="A70" s="263"/>
      <c r="B70" s="1378" t="s">
        <v>1405</v>
      </c>
      <c r="C70" s="1390">
        <f>'F6'!F70</f>
        <v>677.04206743113912</v>
      </c>
      <c r="D70" s="1390"/>
      <c r="E70" s="1390"/>
      <c r="F70" s="1390"/>
      <c r="G70" s="1390"/>
      <c r="H70" s="1389">
        <f ca="1">'F6'!J70</f>
        <v>696.21359669410936</v>
      </c>
      <c r="I70" s="1389">
        <f>'F10'!H68</f>
        <v>0</v>
      </c>
      <c r="J70" s="1390"/>
      <c r="K70" s="1390"/>
      <c r="L70" s="1390"/>
      <c r="M70" s="1389">
        <f ca="1">'F6'!N70</f>
        <v>490.46402692404587</v>
      </c>
      <c r="N70" s="1390">
        <f>'F10'!I141</f>
        <v>714.29694369973186</v>
      </c>
      <c r="O70" s="1081"/>
      <c r="P70" s="1390"/>
      <c r="Q70" s="1390"/>
      <c r="R70" s="1389">
        <f ca="1">'F6'!R70</f>
        <v>305.54395468022989</v>
      </c>
      <c r="S70" s="1390">
        <f>'F10'!J141</f>
        <v>357.14847184986593</v>
      </c>
      <c r="T70" s="1390"/>
      <c r="U70" s="1390"/>
      <c r="V70" s="1390"/>
    </row>
    <row r="71" spans="1:22">
      <c r="A71" s="263"/>
      <c r="B71" s="1378" t="s">
        <v>1101</v>
      </c>
      <c r="C71" s="1390">
        <f>'F6'!F71</f>
        <v>28.633749570243246</v>
      </c>
      <c r="D71" s="1390"/>
      <c r="E71" s="1390"/>
      <c r="F71" s="1390"/>
      <c r="G71" s="1390"/>
      <c r="H71" s="1389">
        <f ca="1">'F6'!J71</f>
        <v>8.2743936929683262</v>
      </c>
      <c r="I71" s="1389">
        <f>'F10'!H69</f>
        <v>0</v>
      </c>
      <c r="J71" s="1390"/>
      <c r="K71" s="1390"/>
      <c r="L71" s="1390"/>
      <c r="M71" s="1389">
        <f ca="1">'F6'!N71</f>
        <v>5.8282734317258216</v>
      </c>
      <c r="N71" s="1390">
        <f>'F10'!I142</f>
        <v>32.216139410187665</v>
      </c>
      <c r="O71" s="1081"/>
      <c r="P71" s="1390"/>
      <c r="Q71" s="1390"/>
      <c r="R71" s="1389">
        <f ca="1">'F6'!R71</f>
        <v>3.6308345067741312</v>
      </c>
      <c r="S71" s="1390">
        <f>'F10'!J142</f>
        <v>16.108069705093833</v>
      </c>
      <c r="T71" s="1390"/>
      <c r="U71" s="1390"/>
      <c r="V71" s="1390"/>
    </row>
    <row r="72" spans="1:22">
      <c r="A72" s="263"/>
      <c r="B72" s="1369" t="s">
        <v>1425</v>
      </c>
      <c r="C72" s="1390">
        <f>'F6'!F72</f>
        <v>719.50252939130655</v>
      </c>
      <c r="D72" s="1390"/>
      <c r="E72" s="1390"/>
      <c r="F72" s="1390"/>
      <c r="G72" s="1390"/>
      <c r="H72" s="1389">
        <f ca="1">'F6'!J72</f>
        <v>912.84374004296433</v>
      </c>
      <c r="I72" s="1389">
        <f>'F10'!H70</f>
        <v>0</v>
      </c>
      <c r="J72" s="1390"/>
      <c r="K72" s="1390"/>
      <c r="L72" s="1390"/>
      <c r="M72" s="1389">
        <f ca="1">'F6'!N72</f>
        <v>887.89186056121605</v>
      </c>
      <c r="N72" s="1390">
        <f>SUM(N68:N71)</f>
        <v>1206.5369030788224</v>
      </c>
      <c r="O72" s="1081"/>
      <c r="P72" s="1390"/>
      <c r="Q72" s="1390"/>
      <c r="R72" s="1389">
        <f ca="1">'F6'!R72</f>
        <v>943.27110080323519</v>
      </c>
      <c r="S72" s="1390">
        <f>SUM(S68:S71)</f>
        <v>978.89261900190343</v>
      </c>
      <c r="T72" s="1390"/>
      <c r="U72" s="1390"/>
      <c r="V72" s="1390"/>
    </row>
    <row r="73" spans="1:22">
      <c r="A73" s="263"/>
      <c r="B73" s="1369" t="s">
        <v>1446</v>
      </c>
      <c r="C73" s="1390">
        <f>'F6'!F73</f>
        <v>0</v>
      </c>
      <c r="D73" s="1390"/>
      <c r="E73" s="1390"/>
      <c r="F73" s="1390"/>
      <c r="G73" s="1390"/>
      <c r="H73" s="1389">
        <f ca="1">'F6'!J73</f>
        <v>0</v>
      </c>
      <c r="I73" s="1389">
        <f>'F10'!H71</f>
        <v>0</v>
      </c>
      <c r="J73" s="1390"/>
      <c r="K73" s="1390"/>
      <c r="L73" s="1390"/>
      <c r="M73" s="1389">
        <f ca="1">'F6'!N73</f>
        <v>0</v>
      </c>
      <c r="N73" s="1390"/>
      <c r="O73" s="1081"/>
      <c r="P73" s="1390"/>
      <c r="Q73" s="1390"/>
      <c r="R73" s="1389">
        <f ca="1">'F6'!R73</f>
        <v>0</v>
      </c>
      <c r="S73" s="1390"/>
      <c r="T73" s="1390"/>
      <c r="U73" s="1390"/>
      <c r="V73" s="1390"/>
    </row>
    <row r="74" spans="1:22">
      <c r="A74" s="263"/>
      <c r="B74" s="1367" t="s">
        <v>1406</v>
      </c>
      <c r="C74" s="1390">
        <f>'F6'!F74</f>
        <v>0</v>
      </c>
      <c r="D74" s="1390"/>
      <c r="E74" s="1390"/>
      <c r="F74" s="1390"/>
      <c r="G74" s="1390"/>
      <c r="H74" s="1389">
        <f ca="1">'F6'!J74</f>
        <v>0</v>
      </c>
      <c r="I74" s="1389">
        <f>'F10'!H72</f>
        <v>0</v>
      </c>
      <c r="J74" s="1390"/>
      <c r="K74" s="1390"/>
      <c r="L74" s="1390"/>
      <c r="M74" s="1389">
        <f ca="1">'F6'!N74</f>
        <v>0</v>
      </c>
      <c r="N74" s="1390"/>
      <c r="O74" s="1081"/>
      <c r="P74" s="1390"/>
      <c r="Q74" s="1390"/>
      <c r="R74" s="1389">
        <f ca="1">'F6'!R74</f>
        <v>0</v>
      </c>
      <c r="S74" s="1390"/>
      <c r="T74" s="1390"/>
      <c r="U74" s="1390"/>
      <c r="V74" s="1390"/>
    </row>
    <row r="75" spans="1:22">
      <c r="A75" s="263"/>
      <c r="B75" s="1377" t="s">
        <v>476</v>
      </c>
      <c r="C75" s="1390">
        <f>'F6'!F75</f>
        <v>6.0646444510052732E-3</v>
      </c>
      <c r="D75" s="1390"/>
      <c r="E75" s="1390"/>
      <c r="F75" s="1390"/>
      <c r="G75" s="1390"/>
      <c r="H75" s="1389">
        <f ca="1">'F6'!J75</f>
        <v>6.4177039390679591E-2</v>
      </c>
      <c r="I75" s="1389">
        <f>'F10'!H73</f>
        <v>0</v>
      </c>
      <c r="J75" s="1390"/>
      <c r="K75" s="1390"/>
      <c r="L75" s="1390"/>
      <c r="M75" s="1389">
        <f ca="1">'F6'!N75</f>
        <v>7.6407283120520711E-2</v>
      </c>
      <c r="N75" s="1390"/>
      <c r="O75" s="1081"/>
      <c r="P75" s="1390"/>
      <c r="Q75" s="1390"/>
      <c r="R75" s="1389">
        <f ca="1">'F6'!R75</f>
        <v>0</v>
      </c>
      <c r="S75" s="1390"/>
      <c r="T75" s="1390"/>
      <c r="U75" s="1390"/>
      <c r="V75" s="1390"/>
    </row>
    <row r="76" spans="1:22">
      <c r="A76" s="263"/>
      <c r="B76" s="1378" t="s">
        <v>1104</v>
      </c>
      <c r="C76" s="1390">
        <f>'F6'!F76</f>
        <v>1.0234855707444734</v>
      </c>
      <c r="D76" s="1390"/>
      <c r="E76" s="1390"/>
      <c r="F76" s="1390"/>
      <c r="G76" s="1390"/>
      <c r="H76" s="1389">
        <f ca="1">'F6'!J76</f>
        <v>1.7618777860191905</v>
      </c>
      <c r="I76" s="1389">
        <f>'F10'!H74</f>
        <v>0</v>
      </c>
      <c r="J76" s="1390"/>
      <c r="K76" s="1390"/>
      <c r="L76" s="1390"/>
      <c r="M76" s="1389">
        <f ca="1">'F6'!N76</f>
        <v>2.9830892186188933</v>
      </c>
      <c r="N76" s="1390">
        <f>'F10'!I147</f>
        <v>3.4758168</v>
      </c>
      <c r="O76" s="1081"/>
      <c r="P76" s="1390"/>
      <c r="Q76" s="1390"/>
      <c r="R76" s="1389">
        <f ca="1">'F6'!R76</f>
        <v>3.7840241130108643</v>
      </c>
      <c r="S76" s="1390">
        <f>'F10'!J147</f>
        <v>3.5759777039999996</v>
      </c>
      <c r="T76" s="1390"/>
      <c r="U76" s="1390"/>
      <c r="V76" s="1390"/>
    </row>
    <row r="77" spans="1:22">
      <c r="A77" s="263"/>
      <c r="B77" s="1378" t="s">
        <v>1105</v>
      </c>
      <c r="C77" s="1390">
        <f>'F6'!F77</f>
        <v>2.3226297897467004E-3</v>
      </c>
      <c r="D77" s="1390"/>
      <c r="E77" s="1390"/>
      <c r="F77" s="1390"/>
      <c r="G77" s="1390"/>
      <c r="H77" s="1389">
        <f ca="1">'F6'!J77</f>
        <v>5.0123513843080456</v>
      </c>
      <c r="I77" s="1389">
        <f>'F10'!H75</f>
        <v>0</v>
      </c>
      <c r="J77" s="1390"/>
      <c r="K77" s="1390"/>
      <c r="L77" s="1390"/>
      <c r="M77" s="1389">
        <f ca="1">'F6'!N77</f>
        <v>3.9113766453849488</v>
      </c>
      <c r="N77" s="1390">
        <f>'F10'!I148</f>
        <v>5.630746199999999</v>
      </c>
      <c r="O77" s="1081"/>
      <c r="P77" s="1390"/>
      <c r="Q77" s="1390"/>
      <c r="R77" s="1389">
        <f ca="1">'F6'!R77</f>
        <v>4.9689205524385089</v>
      </c>
      <c r="S77" s="1390">
        <f>'F10'!J148</f>
        <v>5.7886561860000008</v>
      </c>
      <c r="T77" s="1390"/>
      <c r="U77" s="1390"/>
      <c r="V77" s="1390"/>
    </row>
    <row r="78" spans="1:22">
      <c r="A78" s="263"/>
      <c r="B78" s="1377" t="s">
        <v>1404</v>
      </c>
      <c r="C78" s="1390">
        <f>'F6'!F78</f>
        <v>0</v>
      </c>
      <c r="D78" s="1390"/>
      <c r="E78" s="1390"/>
      <c r="F78" s="1390"/>
      <c r="G78" s="1390"/>
      <c r="H78" s="1389">
        <f ca="1">'F6'!J78</f>
        <v>3.0809908492885067E-4</v>
      </c>
      <c r="I78" s="1389">
        <f>'F10'!H76</f>
        <v>0</v>
      </c>
      <c r="J78" s="1390"/>
      <c r="K78" s="1390"/>
      <c r="L78" s="1390"/>
      <c r="M78" s="1389">
        <f ca="1">'F6'!N78</f>
        <v>1.8159091542691355E-4</v>
      </c>
      <c r="N78" s="1390"/>
      <c r="O78" s="1081"/>
      <c r="P78" s="1390"/>
      <c r="Q78" s="1390"/>
      <c r="R78" s="1389">
        <f ca="1">'F6'!R78</f>
        <v>0</v>
      </c>
      <c r="S78" s="1390"/>
      <c r="T78" s="1390"/>
      <c r="U78" s="1390"/>
      <c r="V78" s="1390"/>
    </row>
    <row r="79" spans="1:22">
      <c r="A79" s="263"/>
      <c r="B79" s="1378" t="s">
        <v>1106</v>
      </c>
      <c r="C79" s="1390">
        <f>'F6'!F79</f>
        <v>0</v>
      </c>
      <c r="D79" s="1390"/>
      <c r="E79" s="1390"/>
      <c r="F79" s="1390"/>
      <c r="G79" s="1390"/>
      <c r="H79" s="1389">
        <f ca="1">'F6'!J79</f>
        <v>8.1969852564580444E-3</v>
      </c>
      <c r="I79" s="1389">
        <f>'F10'!H77</f>
        <v>0</v>
      </c>
      <c r="J79" s="1390"/>
      <c r="K79" s="1390"/>
      <c r="L79" s="1390"/>
      <c r="M79" s="1389">
        <f ca="1">'F6'!N79</f>
        <v>0</v>
      </c>
      <c r="N79" s="1390">
        <f>'F10'!I150</f>
        <v>9.7740156250000015E-2</v>
      </c>
      <c r="O79" s="1081"/>
      <c r="P79" s="1390"/>
      <c r="Q79" s="1390"/>
      <c r="R79" s="1389">
        <f ca="1">'F6'!R79</f>
        <v>0</v>
      </c>
      <c r="S79" s="1390">
        <f>'F10'!J150</f>
        <v>0.10012406250000001</v>
      </c>
      <c r="T79" s="1390"/>
      <c r="U79" s="1390"/>
      <c r="V79" s="1390"/>
    </row>
    <row r="80" spans="1:22">
      <c r="A80" s="263"/>
      <c r="B80" s="1378" t="s">
        <v>1107</v>
      </c>
      <c r="C80" s="1390">
        <f>'F6'!F80</f>
        <v>0</v>
      </c>
      <c r="D80" s="1390"/>
      <c r="E80" s="1390"/>
      <c r="F80" s="1390"/>
      <c r="G80" s="1390"/>
      <c r="H80" s="1389">
        <f ca="1">'F6'!J80</f>
        <v>3.3915738636406831E-2</v>
      </c>
      <c r="I80" s="1389">
        <f>'F10'!H78</f>
        <v>0</v>
      </c>
      <c r="J80" s="1390"/>
      <c r="K80" s="1390"/>
      <c r="L80" s="1390"/>
      <c r="M80" s="1389">
        <f ca="1">'F6'!N80</f>
        <v>0.124407624387326</v>
      </c>
      <c r="N80" s="1390">
        <f>'F10'!I151</f>
        <v>6.5152500000000002E-2</v>
      </c>
      <c r="O80" s="1081"/>
      <c r="P80" s="1390"/>
      <c r="Q80" s="1390"/>
      <c r="R80" s="1389">
        <f ca="1">'F6'!R80</f>
        <v>0.15483489656332813</v>
      </c>
      <c r="S80" s="1390">
        <f>'F10'!J151</f>
        <v>3.2576250000000001E-2</v>
      </c>
      <c r="T80" s="1390"/>
      <c r="U80" s="1390"/>
      <c r="V80" s="1390"/>
    </row>
    <row r="81" spans="1:22">
      <c r="A81" s="263"/>
      <c r="B81" s="1369" t="s">
        <v>1425</v>
      </c>
      <c r="C81" s="1390">
        <f>'F6'!F81</f>
        <v>1.0258082005342202</v>
      </c>
      <c r="D81" s="1390"/>
      <c r="E81" s="1390"/>
      <c r="F81" s="1390"/>
      <c r="G81" s="1390"/>
      <c r="H81" s="1389">
        <f ca="1">'F6'!J81</f>
        <v>6.8163418942200993</v>
      </c>
      <c r="I81" s="1389">
        <f>'F10'!H79</f>
        <v>0</v>
      </c>
      <c r="J81" s="1390"/>
      <c r="K81" s="1390"/>
      <c r="L81" s="1390"/>
      <c r="M81" s="1389">
        <f ca="1">'F6'!N81</f>
        <v>7.0188734883911685</v>
      </c>
      <c r="N81" s="1390">
        <f>SUM(N76:N80)</f>
        <v>9.269455656249999</v>
      </c>
      <c r="O81" s="1081"/>
      <c r="P81" s="1390"/>
      <c r="Q81" s="1390"/>
      <c r="R81" s="1389">
        <f ca="1">'F6'!R81</f>
        <v>8.9077795620127009</v>
      </c>
      <c r="S81" s="1390">
        <f>SUM(S76:S80)</f>
        <v>9.4973342025000012</v>
      </c>
      <c r="T81" s="1390"/>
      <c r="U81" s="1390"/>
      <c r="V81" s="1390"/>
    </row>
    <row r="82" spans="1:22">
      <c r="A82" s="263"/>
      <c r="B82" s="1369" t="s">
        <v>1446</v>
      </c>
      <c r="C82" s="1390">
        <f>'F6'!F82</f>
        <v>0</v>
      </c>
      <c r="D82" s="1390"/>
      <c r="E82" s="1390"/>
      <c r="F82" s="1390"/>
      <c r="G82" s="1390"/>
      <c r="H82" s="1389">
        <f ca="1">'F6'!J82</f>
        <v>0</v>
      </c>
      <c r="I82" s="1389">
        <f>'F10'!H80</f>
        <v>0</v>
      </c>
      <c r="J82" s="1390"/>
      <c r="K82" s="1390"/>
      <c r="L82" s="1390"/>
      <c r="M82" s="1389">
        <f ca="1">'F6'!N82</f>
        <v>0</v>
      </c>
      <c r="N82" s="1390"/>
      <c r="O82" s="1081"/>
      <c r="P82" s="1390"/>
      <c r="Q82" s="1390"/>
      <c r="R82" s="1389">
        <f ca="1">'F6'!R82</f>
        <v>0</v>
      </c>
      <c r="S82" s="1390"/>
      <c r="T82" s="1390"/>
      <c r="U82" s="1390"/>
      <c r="V82" s="1390"/>
    </row>
    <row r="83" spans="1:22">
      <c r="A83" s="263"/>
      <c r="B83" s="1367" t="s">
        <v>1109</v>
      </c>
      <c r="C83" s="1390">
        <f>'F6'!F83</f>
        <v>0</v>
      </c>
      <c r="D83" s="1390"/>
      <c r="E83" s="1390"/>
      <c r="F83" s="1390"/>
      <c r="G83" s="1390"/>
      <c r="H83" s="1389">
        <f ca="1">'F6'!J83</f>
        <v>0</v>
      </c>
      <c r="I83" s="1389">
        <f>'F10'!H81</f>
        <v>0</v>
      </c>
      <c r="J83" s="1390"/>
      <c r="K83" s="1390"/>
      <c r="L83" s="1390"/>
      <c r="M83" s="1389">
        <f ca="1">'F6'!N83</f>
        <v>0</v>
      </c>
      <c r="N83" s="1390"/>
      <c r="O83" s="1081"/>
      <c r="P83" s="1390"/>
      <c r="Q83" s="1390"/>
      <c r="R83" s="1389">
        <f ca="1">'F6'!R83</f>
        <v>0</v>
      </c>
      <c r="S83" s="1390"/>
      <c r="T83" s="1390"/>
      <c r="U83" s="1390"/>
      <c r="V83" s="1390"/>
    </row>
    <row r="84" spans="1:22">
      <c r="A84" s="263"/>
      <c r="B84" s="1369" t="s">
        <v>1429</v>
      </c>
      <c r="C84" s="1390">
        <f>'F6'!F84</f>
        <v>81.027299115401675</v>
      </c>
      <c r="D84" s="1390"/>
      <c r="E84" s="1390"/>
      <c r="F84" s="1390"/>
      <c r="G84" s="1390"/>
      <c r="H84" s="1389">
        <f ca="1">'F6'!J84</f>
        <v>86.958934538859069</v>
      </c>
      <c r="I84" s="1389">
        <f>'F10'!H82</f>
        <v>0</v>
      </c>
      <c r="J84" s="1390"/>
      <c r="K84" s="1390"/>
      <c r="L84" s="1390"/>
      <c r="M84" s="1389">
        <f ca="1">'F6'!N84</f>
        <v>83.017776680762125</v>
      </c>
      <c r="N84" s="1390">
        <f>'F10'!I154</f>
        <v>54.37805986326034</v>
      </c>
      <c r="O84" s="1081"/>
      <c r="P84" s="1390"/>
      <c r="Q84" s="1390"/>
      <c r="R84" s="1389">
        <f ca="1">'F6'!R84</f>
        <v>104.36537434535367</v>
      </c>
      <c r="S84" s="1390">
        <f>'F10'!J154</f>
        <v>55.719661078846215</v>
      </c>
      <c r="T84" s="1390"/>
      <c r="U84" s="1390"/>
      <c r="V84" s="1390"/>
    </row>
    <row r="85" spans="1:22">
      <c r="A85" s="263"/>
      <c r="B85" s="1369" t="s">
        <v>1446</v>
      </c>
      <c r="C85" s="1390">
        <f>'F6'!F85</f>
        <v>0</v>
      </c>
      <c r="D85" s="1390"/>
      <c r="E85" s="1390"/>
      <c r="F85" s="1390"/>
      <c r="G85" s="1390"/>
      <c r="H85" s="1389">
        <f ca="1">'F6'!J85</f>
        <v>0</v>
      </c>
      <c r="I85" s="1389">
        <f>'F10'!H83</f>
        <v>0</v>
      </c>
      <c r="J85" s="1390"/>
      <c r="K85" s="1390"/>
      <c r="L85" s="1390"/>
      <c r="M85" s="1389">
        <f ca="1">'F6'!N85</f>
        <v>0</v>
      </c>
      <c r="N85" s="1390"/>
      <c r="O85" s="1081"/>
      <c r="P85" s="1390"/>
      <c r="Q85" s="1390"/>
      <c r="R85" s="1389">
        <f ca="1">'F6'!R85</f>
        <v>0</v>
      </c>
      <c r="S85" s="1390"/>
      <c r="T85" s="1390"/>
      <c r="U85" s="1390"/>
      <c r="V85" s="1390"/>
    </row>
    <row r="86" spans="1:22">
      <c r="A86" s="263"/>
      <c r="B86" s="1367" t="s">
        <v>1407</v>
      </c>
      <c r="C86" s="1390">
        <f>'F6'!F86</f>
        <v>0</v>
      </c>
      <c r="D86" s="1390"/>
      <c r="E86" s="1390"/>
      <c r="F86" s="1390"/>
      <c r="G86" s="1390"/>
      <c r="H86" s="1389">
        <f ca="1">'F6'!J86</f>
        <v>0</v>
      </c>
      <c r="I86" s="1389">
        <f>'F10'!H84</f>
        <v>0</v>
      </c>
      <c r="J86" s="1390"/>
      <c r="K86" s="1390"/>
      <c r="L86" s="1390"/>
      <c r="M86" s="1389">
        <f ca="1">'F6'!N86</f>
        <v>0</v>
      </c>
      <c r="N86" s="1390"/>
      <c r="O86" s="1081"/>
      <c r="P86" s="1390"/>
      <c r="Q86" s="1390"/>
      <c r="R86" s="1389">
        <f ca="1">'F6'!R86</f>
        <v>0</v>
      </c>
      <c r="S86" s="1390"/>
      <c r="T86" s="1390"/>
      <c r="U86" s="1390"/>
      <c r="V86" s="1390"/>
    </row>
    <row r="87" spans="1:22">
      <c r="A87" s="263"/>
      <c r="B87" s="1377" t="s">
        <v>1146</v>
      </c>
      <c r="C87" s="1390">
        <f>'F6'!F87</f>
        <v>0</v>
      </c>
      <c r="D87" s="1390"/>
      <c r="E87" s="1390"/>
      <c r="F87" s="1390"/>
      <c r="G87" s="1390"/>
      <c r="H87" s="1389">
        <f ca="1">'F6'!J87</f>
        <v>0</v>
      </c>
      <c r="I87" s="1389">
        <f>'F10'!H85</f>
        <v>0</v>
      </c>
      <c r="J87" s="1390"/>
      <c r="K87" s="1390"/>
      <c r="L87" s="1390"/>
      <c r="M87" s="1389">
        <f ca="1">'F6'!N87</f>
        <v>0</v>
      </c>
      <c r="N87" s="1390"/>
      <c r="O87" s="1081"/>
      <c r="P87" s="1390"/>
      <c r="Q87" s="1390"/>
      <c r="R87" s="1389">
        <f ca="1">'F6'!R87</f>
        <v>0</v>
      </c>
      <c r="S87" s="1390"/>
      <c r="T87" s="1390"/>
      <c r="U87" s="1390"/>
      <c r="V87" s="1390"/>
    </row>
    <row r="88" spans="1:22">
      <c r="A88" s="263"/>
      <c r="B88" s="1378" t="s">
        <v>1408</v>
      </c>
      <c r="C88" s="1390">
        <f>'F6'!F88</f>
        <v>0</v>
      </c>
      <c r="D88" s="1390"/>
      <c r="E88" s="1390"/>
      <c r="F88" s="1390"/>
      <c r="G88" s="1390"/>
      <c r="H88" s="1389">
        <f ca="1">'F6'!J88</f>
        <v>0</v>
      </c>
      <c r="I88" s="1389">
        <f>'F10'!H86</f>
        <v>0</v>
      </c>
      <c r="J88" s="1390"/>
      <c r="K88" s="1390"/>
      <c r="L88" s="1390"/>
      <c r="M88" s="1389">
        <f ca="1">'F6'!N88</f>
        <v>0</v>
      </c>
      <c r="N88" s="1390">
        <f>'F10'!I158</f>
        <v>0</v>
      </c>
      <c r="O88" s="1081"/>
      <c r="P88" s="1390"/>
      <c r="Q88" s="1390"/>
      <c r="R88" s="1389">
        <f ca="1">'F6'!R88</f>
        <v>0</v>
      </c>
      <c r="S88" s="1390">
        <f>'F10'!J158</f>
        <v>0</v>
      </c>
      <c r="T88" s="1390"/>
      <c r="U88" s="1390"/>
      <c r="V88" s="1390"/>
    </row>
    <row r="89" spans="1:22">
      <c r="A89" s="263"/>
      <c r="B89" s="1378" t="s">
        <v>1409</v>
      </c>
      <c r="C89" s="1390">
        <f>'F6'!F89</f>
        <v>0</v>
      </c>
      <c r="D89" s="1390"/>
      <c r="E89" s="1390"/>
      <c r="F89" s="1390"/>
      <c r="G89" s="1390"/>
      <c r="H89" s="1389">
        <f ca="1">'F6'!J89</f>
        <v>0</v>
      </c>
      <c r="I89" s="1389">
        <f>'F10'!H87</f>
        <v>0</v>
      </c>
      <c r="J89" s="1390"/>
      <c r="K89" s="1390"/>
      <c r="L89" s="1390"/>
      <c r="M89" s="1389">
        <f ca="1">'F6'!N89</f>
        <v>0</v>
      </c>
      <c r="N89" s="1390">
        <f>'F10'!I159</f>
        <v>0</v>
      </c>
      <c r="O89" s="1081"/>
      <c r="P89" s="1390"/>
      <c r="Q89" s="1390"/>
      <c r="R89" s="1389">
        <f ca="1">'F6'!R89</f>
        <v>0</v>
      </c>
      <c r="S89" s="1390">
        <f>'F10'!J159</f>
        <v>0</v>
      </c>
      <c r="T89" s="1390"/>
      <c r="U89" s="1390"/>
      <c r="V89" s="1390"/>
    </row>
    <row r="90" spans="1:22">
      <c r="A90" s="263"/>
      <c r="B90" s="1377" t="s">
        <v>1410</v>
      </c>
      <c r="C90" s="1390">
        <f>'F6'!F90</f>
        <v>0</v>
      </c>
      <c r="D90" s="1390"/>
      <c r="E90" s="1390"/>
      <c r="F90" s="1390"/>
      <c r="G90" s="1390"/>
      <c r="H90" s="1389">
        <f ca="1">'F6'!J90</f>
        <v>0</v>
      </c>
      <c r="I90" s="1389">
        <f>'F10'!H88</f>
        <v>0</v>
      </c>
      <c r="J90" s="1390"/>
      <c r="K90" s="1390"/>
      <c r="L90" s="1390"/>
      <c r="M90" s="1389">
        <f ca="1">'F6'!N90</f>
        <v>2.0471885861600113E-2</v>
      </c>
      <c r="N90" s="1390"/>
      <c r="O90" s="1081"/>
      <c r="P90" s="1390"/>
      <c r="Q90" s="1390"/>
      <c r="R90" s="1389">
        <f ca="1">'F6'!R90</f>
        <v>2.776893490364853E-2</v>
      </c>
      <c r="S90" s="1390"/>
      <c r="T90" s="1390"/>
      <c r="U90" s="1390"/>
      <c r="V90" s="1390"/>
    </row>
    <row r="91" spans="1:22">
      <c r="A91" s="263"/>
      <c r="B91" s="1378" t="s">
        <v>469</v>
      </c>
      <c r="C91" s="1390">
        <f>'F6'!F91</f>
        <v>0</v>
      </c>
      <c r="D91" s="1390"/>
      <c r="E91" s="1390"/>
      <c r="F91" s="1390"/>
      <c r="G91" s="1390"/>
      <c r="H91" s="1389">
        <f ca="1">'F6'!J91</f>
        <v>0</v>
      </c>
      <c r="I91" s="1389">
        <f>'F10'!H89</f>
        <v>0</v>
      </c>
      <c r="J91" s="1390"/>
      <c r="K91" s="1390"/>
      <c r="L91" s="1390"/>
      <c r="M91" s="1389">
        <f ca="1">'F6'!N91</f>
        <v>2.0471885861600113E-2</v>
      </c>
      <c r="N91" s="1390">
        <f>'F10'!I161</f>
        <v>2.0254080000000001E-2</v>
      </c>
      <c r="O91" s="1081"/>
      <c r="P91" s="1390"/>
      <c r="Q91" s="1390"/>
      <c r="R91" s="1389">
        <f ca="1">'F6'!R91</f>
        <v>2.776893490364853E-2</v>
      </c>
      <c r="S91" s="1390">
        <f>'F10'!J161</f>
        <v>2.2279488000000004E-2</v>
      </c>
      <c r="T91" s="1390"/>
      <c r="U91" s="1390"/>
      <c r="V91" s="1390"/>
    </row>
    <row r="92" spans="1:22">
      <c r="A92" s="263"/>
      <c r="B92" s="1378" t="s">
        <v>470</v>
      </c>
      <c r="C92" s="1390">
        <f>'F6'!F92</f>
        <v>0</v>
      </c>
      <c r="D92" s="1390"/>
      <c r="E92" s="1390"/>
      <c r="F92" s="1390"/>
      <c r="G92" s="1390"/>
      <c r="H92" s="1389">
        <f ca="1">'F6'!J92</f>
        <v>0</v>
      </c>
      <c r="I92" s="1389">
        <f>'F10'!H90</f>
        <v>0</v>
      </c>
      <c r="J92" s="1390"/>
      <c r="K92" s="1390"/>
      <c r="L92" s="1390"/>
      <c r="M92" s="1389">
        <f ca="1">'F6'!N92</f>
        <v>0</v>
      </c>
      <c r="N92" s="1390">
        <f>'F10'!I162</f>
        <v>0</v>
      </c>
      <c r="O92" s="1081"/>
      <c r="P92" s="1390"/>
      <c r="Q92" s="1390"/>
      <c r="R92" s="1389">
        <f ca="1">'F6'!R92</f>
        <v>0</v>
      </c>
      <c r="S92" s="1390">
        <f>'F10'!J162</f>
        <v>0</v>
      </c>
      <c r="T92" s="1390"/>
      <c r="U92" s="1390"/>
      <c r="V92" s="1390"/>
    </row>
    <row r="93" spans="1:22">
      <c r="A93" s="263"/>
      <c r="B93" s="1369" t="s">
        <v>1425</v>
      </c>
      <c r="C93" s="1390">
        <f>'F6'!F93</f>
        <v>0</v>
      </c>
      <c r="D93" s="1390"/>
      <c r="E93" s="1390"/>
      <c r="F93" s="1390"/>
      <c r="G93" s="1390"/>
      <c r="H93" s="1389">
        <f ca="1">'F6'!J93</f>
        <v>0</v>
      </c>
      <c r="I93" s="1389">
        <f>'F10'!H91</f>
        <v>0</v>
      </c>
      <c r="J93" s="1390"/>
      <c r="K93" s="1390"/>
      <c r="L93" s="1390"/>
      <c r="M93" s="1389">
        <f ca="1">'F6'!N93</f>
        <v>4.0725862624687928E-2</v>
      </c>
      <c r="N93" s="1390"/>
      <c r="O93" s="1081"/>
      <c r="P93" s="1390"/>
      <c r="Q93" s="1390"/>
      <c r="R93" s="1389">
        <f ca="1">'F6'!R93</f>
        <v>5.5537869807297059E-2</v>
      </c>
      <c r="S93" s="1390"/>
      <c r="T93" s="1390"/>
      <c r="U93" s="1390"/>
      <c r="V93" s="1390"/>
    </row>
    <row r="94" spans="1:22">
      <c r="A94" s="263"/>
      <c r="B94" s="1369" t="s">
        <v>1446</v>
      </c>
      <c r="C94" s="1390">
        <f>'F6'!F94</f>
        <v>0</v>
      </c>
      <c r="D94" s="1390"/>
      <c r="E94" s="1390"/>
      <c r="F94" s="1390"/>
      <c r="G94" s="1390"/>
      <c r="H94" s="1389">
        <f ca="1">'F6'!J94</f>
        <v>0</v>
      </c>
      <c r="I94" s="1389">
        <f>'F10'!H92</f>
        <v>0</v>
      </c>
      <c r="J94" s="1390"/>
      <c r="K94" s="1390"/>
      <c r="L94" s="1390"/>
      <c r="M94" s="1389">
        <f ca="1">'F6'!N94</f>
        <v>0</v>
      </c>
      <c r="N94" s="1390"/>
      <c r="O94" s="1081"/>
      <c r="P94" s="1390"/>
      <c r="Q94" s="1390"/>
      <c r="R94" s="1389">
        <f ca="1">'F6'!R94</f>
        <v>0</v>
      </c>
      <c r="S94" s="1390"/>
      <c r="T94" s="1390"/>
      <c r="U94" s="1390"/>
      <c r="V94" s="1390"/>
    </row>
    <row r="95" spans="1:22">
      <c r="A95" s="263"/>
      <c r="B95" s="1367" t="s">
        <v>1119</v>
      </c>
      <c r="C95" s="1390">
        <f>'F6'!F95</f>
        <v>0</v>
      </c>
      <c r="D95" s="1390"/>
      <c r="E95" s="1390"/>
      <c r="F95" s="1390"/>
      <c r="G95" s="1390"/>
      <c r="H95" s="1389">
        <f ca="1">'F6'!J95</f>
        <v>0</v>
      </c>
      <c r="I95" s="1389">
        <f>'F10'!H93</f>
        <v>0</v>
      </c>
      <c r="J95" s="1390"/>
      <c r="K95" s="1390"/>
      <c r="L95" s="1390"/>
      <c r="M95" s="1389">
        <f ca="1">'F6'!N95</f>
        <v>0</v>
      </c>
      <c r="N95" s="1390"/>
      <c r="O95" s="1081"/>
      <c r="P95" s="1390"/>
      <c r="Q95" s="1390"/>
      <c r="R95" s="1389">
        <f ca="1">'F6'!R95</f>
        <v>0</v>
      </c>
      <c r="S95" s="1390"/>
      <c r="T95" s="1390"/>
      <c r="U95" s="1390"/>
      <c r="V95" s="1390"/>
    </row>
    <row r="96" spans="1:22">
      <c r="A96" s="263"/>
      <c r="B96" s="1367" t="s">
        <v>475</v>
      </c>
      <c r="C96" s="1390">
        <f>'F6'!F96</f>
        <v>2.1075714758812653E-3</v>
      </c>
      <c r="D96" s="1390"/>
      <c r="E96" s="1390"/>
      <c r="F96" s="1390"/>
      <c r="G96" s="1390"/>
      <c r="H96" s="1389">
        <f ca="1">'F6'!J96</f>
        <v>2.5880323134023454E-3</v>
      </c>
      <c r="I96" s="1389">
        <f>'F10'!H94</f>
        <v>0</v>
      </c>
      <c r="J96" s="1390"/>
      <c r="K96" s="1390"/>
      <c r="L96" s="1390"/>
      <c r="M96" s="1389">
        <f ca="1">'F6'!N96</f>
        <v>3.0507273791721477E-3</v>
      </c>
      <c r="N96" s="1390"/>
      <c r="O96" s="1081"/>
      <c r="P96" s="1390"/>
      <c r="Q96" s="1390"/>
      <c r="R96" s="1389">
        <f ca="1">'F6'!R96</f>
        <v>0</v>
      </c>
      <c r="S96" s="1390"/>
      <c r="T96" s="1390"/>
      <c r="U96" s="1390"/>
      <c r="V96" s="1390"/>
    </row>
    <row r="97" spans="1:22">
      <c r="A97" s="263"/>
      <c r="B97" s="1378" t="s">
        <v>1411</v>
      </c>
      <c r="C97" s="1390">
        <f>'F6'!F97</f>
        <v>17.531427890883784</v>
      </c>
      <c r="D97" s="1390"/>
      <c r="E97" s="1390"/>
      <c r="F97" s="1390"/>
      <c r="G97" s="1390"/>
      <c r="H97" s="1389">
        <f ca="1">'F6'!J97</f>
        <v>26.50744742934501</v>
      </c>
      <c r="I97" s="1389">
        <f>'F10'!H95</f>
        <v>0</v>
      </c>
      <c r="J97" s="1390"/>
      <c r="K97" s="1390"/>
      <c r="L97" s="1390"/>
      <c r="M97" s="1389">
        <f ca="1">'F6'!N97</f>
        <v>301.07140719129609</v>
      </c>
      <c r="N97" s="1390">
        <f>'F10'!I187</f>
        <v>0</v>
      </c>
      <c r="O97" s="1081"/>
      <c r="P97" s="1390"/>
      <c r="Q97" s="1390"/>
      <c r="R97" s="1389">
        <f ca="1">'F6'!R97</f>
        <v>375.25068939831391</v>
      </c>
      <c r="S97" s="1390">
        <f>'F10'!J187</f>
        <v>0</v>
      </c>
      <c r="T97" s="1390"/>
      <c r="U97" s="1390"/>
      <c r="V97" s="1390"/>
    </row>
    <row r="98" spans="1:22">
      <c r="A98" s="263"/>
      <c r="B98" s="1378" t="s">
        <v>1412</v>
      </c>
      <c r="C98" s="1390">
        <f>'F6'!F98</f>
        <v>0</v>
      </c>
      <c r="D98" s="1390"/>
      <c r="E98" s="1390"/>
      <c r="F98" s="1390"/>
      <c r="G98" s="1390"/>
      <c r="H98" s="1389">
        <f ca="1">'F6'!J98</f>
        <v>1.0747171968471283</v>
      </c>
      <c r="I98" s="1389">
        <f>'F10'!H96</f>
        <v>0</v>
      </c>
      <c r="J98" s="1390"/>
      <c r="K98" s="1390"/>
      <c r="L98" s="1390"/>
      <c r="M98" s="1389">
        <f ca="1">'F6'!N98</f>
        <v>60.548493665613066</v>
      </c>
      <c r="N98" s="1390">
        <f>'F10'!I188</f>
        <v>0</v>
      </c>
      <c r="O98" s="1081"/>
      <c r="P98" s="1390"/>
      <c r="Q98" s="1390"/>
      <c r="R98" s="1389">
        <f ca="1">'F6'!R98</f>
        <v>75.467296361312734</v>
      </c>
      <c r="S98" s="1390">
        <f>'F10'!J188</f>
        <v>0</v>
      </c>
      <c r="T98" s="1390"/>
      <c r="U98" s="1390"/>
      <c r="V98" s="1390"/>
    </row>
    <row r="99" spans="1:22">
      <c r="A99" s="263"/>
      <c r="B99" s="1367" t="s">
        <v>1403</v>
      </c>
      <c r="C99" s="1390">
        <f>'F6'!F99</f>
        <v>1.6021844382974923E-2</v>
      </c>
      <c r="D99" s="1390"/>
      <c r="E99" s="1390"/>
      <c r="F99" s="1390"/>
      <c r="G99" s="1390"/>
      <c r="H99" s="1389">
        <f ca="1">'F6'!J99</f>
        <v>2.4956025879236905E-2</v>
      </c>
      <c r="I99" s="1389">
        <f>'F10'!H97</f>
        <v>0</v>
      </c>
      <c r="J99" s="1390"/>
      <c r="K99" s="1390"/>
      <c r="L99" s="1390"/>
      <c r="M99" s="1389">
        <f ca="1">'F6'!N99</f>
        <v>3.0006082865143197E-2</v>
      </c>
      <c r="N99" s="1390"/>
      <c r="O99" s="1081"/>
      <c r="P99" s="1390"/>
      <c r="Q99" s="1390"/>
      <c r="R99" s="1389">
        <f ca="1">'F6'!R99</f>
        <v>0</v>
      </c>
      <c r="S99" s="1390"/>
      <c r="T99" s="1390"/>
      <c r="U99" s="1390"/>
      <c r="V99" s="1390"/>
    </row>
    <row r="100" spans="1:22">
      <c r="A100" s="263"/>
      <c r="B100" s="1378" t="s">
        <v>1413</v>
      </c>
      <c r="C100" s="1390">
        <f>'F6'!F100</f>
        <v>291.72745381629858</v>
      </c>
      <c r="D100" s="1390"/>
      <c r="E100" s="1390"/>
      <c r="F100" s="1390"/>
      <c r="G100" s="1390"/>
      <c r="H100" s="1389">
        <f ca="1">'F6'!J100</f>
        <v>257.23288711912528</v>
      </c>
      <c r="I100" s="1389">
        <f>'F10'!H98</f>
        <v>0</v>
      </c>
      <c r="J100" s="1390"/>
      <c r="K100" s="1390"/>
      <c r="L100" s="1390"/>
      <c r="M100" s="1389">
        <f ca="1">'F6'!N100</f>
        <v>26.598596293004029</v>
      </c>
      <c r="N100" s="1390">
        <f>'F10'!I193</f>
        <v>266.61910947285668</v>
      </c>
      <c r="O100" s="1081"/>
      <c r="P100" s="1390"/>
      <c r="Q100" s="1390"/>
      <c r="R100" s="1389">
        <f ca="1">'F6'!R100</f>
        <v>34.772590737288262</v>
      </c>
      <c r="S100" s="1390">
        <f>'F10'!J193</f>
        <v>268.35970693513002</v>
      </c>
      <c r="T100" s="1390"/>
      <c r="U100" s="1390"/>
      <c r="V100" s="1390"/>
    </row>
    <row r="101" spans="1:22">
      <c r="A101" s="263"/>
      <c r="B101" s="1378" t="s">
        <v>1414</v>
      </c>
      <c r="C101" s="1390">
        <f>'F6'!F101</f>
        <v>51.767850409609515</v>
      </c>
      <c r="D101" s="1390"/>
      <c r="E101" s="1390"/>
      <c r="F101" s="1390"/>
      <c r="G101" s="1390"/>
      <c r="H101" s="1389">
        <f ca="1">'F6'!J101</f>
        <v>51.808576692914507</v>
      </c>
      <c r="I101" s="1389">
        <f>'F10'!H99</f>
        <v>0</v>
      </c>
      <c r="J101" s="1390"/>
      <c r="K101" s="1390"/>
      <c r="L101" s="1390"/>
      <c r="M101" s="1389">
        <f ca="1">'F6'!N101</f>
        <v>2.0095574569998162</v>
      </c>
      <c r="N101" s="1390">
        <f>'F10'!I200</f>
        <v>241.52317294608525</v>
      </c>
      <c r="O101" s="1081"/>
      <c r="P101" s="1390"/>
      <c r="Q101" s="1390"/>
      <c r="R101" s="1389">
        <f ca="1">'F6'!R101</f>
        <v>2.6280984343947389</v>
      </c>
      <c r="S101" s="1390">
        <f>'F10'!J200</f>
        <v>243.08478407825385</v>
      </c>
      <c r="T101" s="1390"/>
      <c r="U101" s="1390"/>
      <c r="V101" s="1390"/>
    </row>
    <row r="102" spans="1:22">
      <c r="A102" s="263"/>
      <c r="B102" s="1369" t="s">
        <v>1425</v>
      </c>
      <c r="C102" s="1390">
        <f>'F6'!F102</f>
        <v>361.02673211679189</v>
      </c>
      <c r="D102" s="1390"/>
      <c r="E102" s="1390"/>
      <c r="F102" s="1390"/>
      <c r="G102" s="1390"/>
      <c r="H102" s="1389">
        <f ca="1">'F6'!J102</f>
        <v>336.62362843823189</v>
      </c>
      <c r="I102" s="1389">
        <f>'F10'!H100</f>
        <v>0</v>
      </c>
      <c r="J102" s="1390"/>
      <c r="K102" s="1390"/>
      <c r="L102" s="1390"/>
      <c r="M102" s="1389">
        <f ca="1">'F6'!N102</f>
        <v>390.22805460691296</v>
      </c>
      <c r="N102" s="1390">
        <f>SUM(N100:N101)</f>
        <v>508.14228241894193</v>
      </c>
      <c r="O102" s="1081"/>
      <c r="P102" s="1390"/>
      <c r="Q102" s="1390"/>
      <c r="R102" s="1389">
        <f ca="1">'F6'!R102</f>
        <v>488.11867493130961</v>
      </c>
      <c r="S102" s="1390">
        <f>SUM(S100:S101)</f>
        <v>511.44449101338387</v>
      </c>
      <c r="T102" s="1390"/>
      <c r="U102" s="1390"/>
      <c r="V102" s="1390"/>
    </row>
    <row r="103" spans="1:22">
      <c r="A103" s="263"/>
      <c r="B103" s="1369" t="s">
        <v>1446</v>
      </c>
      <c r="C103" s="1390">
        <f>'F6'!F103</f>
        <v>0</v>
      </c>
      <c r="D103" s="1390"/>
      <c r="E103" s="1390"/>
      <c r="F103" s="1390"/>
      <c r="G103" s="1390"/>
      <c r="H103" s="1389">
        <f ca="1">'F6'!J103</f>
        <v>0</v>
      </c>
      <c r="I103" s="1389">
        <f>'F10'!H101</f>
        <v>0</v>
      </c>
      <c r="J103" s="1390"/>
      <c r="K103" s="1390"/>
      <c r="L103" s="1390"/>
      <c r="M103" s="1389">
        <f ca="1">'F6'!N103</f>
        <v>0</v>
      </c>
      <c r="N103" s="1390"/>
      <c r="O103" s="1081"/>
      <c r="P103" s="1390"/>
      <c r="Q103" s="1390"/>
      <c r="R103" s="1389">
        <f ca="1">'F6'!R103</f>
        <v>0</v>
      </c>
      <c r="S103" s="1390"/>
      <c r="T103" s="1390"/>
      <c r="U103" s="1390"/>
      <c r="V103" s="1390"/>
    </row>
    <row r="104" spans="1:22">
      <c r="A104" s="263"/>
      <c r="B104" s="1367" t="s">
        <v>1125</v>
      </c>
      <c r="C104" s="1390">
        <f>'F6'!F104</f>
        <v>0</v>
      </c>
      <c r="D104" s="1390"/>
      <c r="E104" s="1390"/>
      <c r="F104" s="1390"/>
      <c r="G104" s="1390"/>
      <c r="H104" s="1389">
        <f ca="1">'F6'!J104</f>
        <v>0</v>
      </c>
      <c r="I104" s="1389">
        <f>'F10'!H102</f>
        <v>0</v>
      </c>
      <c r="J104" s="1390"/>
      <c r="K104" s="1390"/>
      <c r="L104" s="1390"/>
      <c r="M104" s="1389">
        <f ca="1">'F6'!N104</f>
        <v>0</v>
      </c>
      <c r="N104" s="1390"/>
      <c r="O104" s="1081"/>
      <c r="P104" s="1390"/>
      <c r="Q104" s="1390"/>
      <c r="R104" s="1389">
        <f ca="1">'F6'!R104</f>
        <v>0</v>
      </c>
      <c r="S104" s="1390"/>
      <c r="T104" s="1390"/>
      <c r="U104" s="1390"/>
      <c r="V104" s="1390"/>
    </row>
    <row r="105" spans="1:22">
      <c r="A105" s="263"/>
      <c r="B105" s="1378" t="s">
        <v>1126</v>
      </c>
      <c r="C105" s="1390">
        <f>'F6'!F105</f>
        <v>489.74355458101633</v>
      </c>
      <c r="D105" s="1390"/>
      <c r="E105" s="1390"/>
      <c r="F105" s="1390"/>
      <c r="G105" s="1390"/>
      <c r="H105" s="1389">
        <f ca="1">'F6'!J105</f>
        <v>580.36402227615031</v>
      </c>
      <c r="I105" s="1389">
        <f>'F10'!H103</f>
        <v>0</v>
      </c>
      <c r="J105" s="1390"/>
      <c r="K105" s="1390"/>
      <c r="L105" s="1390"/>
      <c r="M105" s="1389">
        <f ca="1">'F6'!N105</f>
        <v>595.11050462137882</v>
      </c>
      <c r="N105" s="1390">
        <f>'F10'!I210</f>
        <v>637.31631556771833</v>
      </c>
      <c r="O105" s="1081"/>
      <c r="P105" s="1390"/>
      <c r="Q105" s="1390"/>
      <c r="R105" s="1389">
        <f ca="1">'F6'!R105</f>
        <v>763.94319759209509</v>
      </c>
      <c r="S105" s="1390">
        <f>'F10'!J210</f>
        <v>656.43580503474993</v>
      </c>
      <c r="T105" s="1390"/>
      <c r="U105" s="1390"/>
      <c r="V105" s="1390"/>
    </row>
    <row r="106" spans="1:22">
      <c r="A106" s="263"/>
      <c r="B106" s="1378" t="s">
        <v>1127</v>
      </c>
      <c r="C106" s="1390">
        <f>'F6'!F106</f>
        <v>275.77989679548728</v>
      </c>
      <c r="D106" s="1390"/>
      <c r="E106" s="1390"/>
      <c r="F106" s="1390"/>
      <c r="G106" s="1390"/>
      <c r="H106" s="1389">
        <f ca="1">'F6'!J106</f>
        <v>230.3257695922519</v>
      </c>
      <c r="I106" s="1389">
        <f>'F10'!H104</f>
        <v>0</v>
      </c>
      <c r="J106" s="1390"/>
      <c r="K106" s="1390"/>
      <c r="L106" s="1390"/>
      <c r="M106" s="1389">
        <f ca="1">'F6'!N106</f>
        <v>233.71675281111391</v>
      </c>
      <c r="N106" s="1390">
        <f>'F10'!I221</f>
        <v>228.54805305437532</v>
      </c>
      <c r="O106" s="1081"/>
      <c r="P106" s="1390"/>
      <c r="Q106" s="1390"/>
      <c r="R106" s="1389">
        <f ca="1">'F6'!R106</f>
        <v>305.86712484469558</v>
      </c>
      <c r="S106" s="1390">
        <f>'F10'!J221</f>
        <v>239.75369705709412</v>
      </c>
      <c r="T106" s="1390"/>
      <c r="U106" s="1390"/>
      <c r="V106" s="1390"/>
    </row>
    <row r="107" spans="1:22">
      <c r="A107" s="263"/>
      <c r="B107" s="1378" t="s">
        <v>1128</v>
      </c>
      <c r="C107" s="1390">
        <f>'F6'!F107</f>
        <v>56.441940378613289</v>
      </c>
      <c r="D107" s="1390"/>
      <c r="E107" s="1390"/>
      <c r="F107" s="1390"/>
      <c r="G107" s="1390"/>
      <c r="H107" s="1389">
        <f ca="1">'F6'!J107</f>
        <v>30.223289198537419</v>
      </c>
      <c r="I107" s="1389">
        <f>'F10'!H105</f>
        <v>0</v>
      </c>
      <c r="J107" s="1390"/>
      <c r="K107" s="1390"/>
      <c r="L107" s="1390"/>
      <c r="M107" s="1389">
        <f ca="1">'F6'!N107</f>
        <v>40.014353822960452</v>
      </c>
      <c r="N107" s="1390">
        <f>'F10'!I232</f>
        <v>49.124633777546677</v>
      </c>
      <c r="O107" s="1081"/>
      <c r="P107" s="1390"/>
      <c r="Q107" s="1390"/>
      <c r="R107" s="1389">
        <f ca="1">'F6'!R107</f>
        <v>53.364614876897647</v>
      </c>
      <c r="S107" s="1390">
        <f>'F10'!J232</f>
        <v>52.249586821974951</v>
      </c>
      <c r="T107" s="1390"/>
      <c r="U107" s="1390"/>
      <c r="V107" s="1390"/>
    </row>
    <row r="108" spans="1:22">
      <c r="A108" s="263"/>
      <c r="B108" s="1378" t="s">
        <v>1129</v>
      </c>
      <c r="C108" s="1390">
        <f>'F6'!F108</f>
        <v>0</v>
      </c>
      <c r="D108" s="1390"/>
      <c r="E108" s="1390"/>
      <c r="F108" s="1390"/>
      <c r="G108" s="1390"/>
      <c r="H108" s="1389">
        <f ca="1">'F6'!J108</f>
        <v>1.0279635709768247</v>
      </c>
      <c r="I108" s="1389">
        <f>'F10'!H106</f>
        <v>0</v>
      </c>
      <c r="J108" s="1390"/>
      <c r="K108" s="1390"/>
      <c r="L108" s="1390"/>
      <c r="M108" s="1389">
        <f ca="1">'F6'!N108</f>
        <v>2.4845954848951375</v>
      </c>
      <c r="N108" s="1390">
        <f>'F10'!I243</f>
        <v>2.4078129116724023</v>
      </c>
      <c r="O108" s="1081"/>
      <c r="P108" s="1390"/>
      <c r="Q108" s="1390"/>
      <c r="R108" s="1389">
        <f ca="1">'F6'!R108</f>
        <v>3.2205658485172255</v>
      </c>
      <c r="S108" s="1390">
        <f>'F10'!J243</f>
        <v>2.5019432881392989</v>
      </c>
      <c r="T108" s="1390"/>
      <c r="U108" s="1390"/>
      <c r="V108" s="1390"/>
    </row>
    <row r="109" spans="1:22">
      <c r="A109" s="263"/>
      <c r="B109" s="1377" t="s">
        <v>1130</v>
      </c>
      <c r="C109" s="1390">
        <f>'F6'!F109</f>
        <v>3.5727854029461725</v>
      </c>
      <c r="D109" s="1390"/>
      <c r="E109" s="1390"/>
      <c r="F109" s="1390"/>
      <c r="G109" s="1390"/>
      <c r="H109" s="1389">
        <f ca="1">'F6'!J109</f>
        <v>173.7108367452513</v>
      </c>
      <c r="I109" s="1389">
        <f>'F10'!H107</f>
        <v>0</v>
      </c>
      <c r="J109" s="1390"/>
      <c r="K109" s="1390"/>
      <c r="L109" s="1390"/>
      <c r="M109" s="1389">
        <f ca="1">'F6'!N109</f>
        <v>154.89560245862867</v>
      </c>
      <c r="N109" s="1390">
        <f>'F10'!I254</f>
        <v>153.65375725000001</v>
      </c>
      <c r="O109" s="1081"/>
      <c r="P109" s="1390"/>
      <c r="Q109" s="1390"/>
      <c r="R109" s="1389">
        <f ca="1">'F6'!R109</f>
        <v>202.70216881724329</v>
      </c>
      <c r="S109" s="1390">
        <f>'F10'!J254</f>
        <v>161.12415761250003</v>
      </c>
      <c r="T109" s="1390"/>
      <c r="U109" s="1390"/>
      <c r="V109" s="1390"/>
    </row>
    <row r="110" spans="1:22">
      <c r="A110" s="263"/>
      <c r="B110" s="1369" t="s">
        <v>1425</v>
      </c>
      <c r="C110" s="1390">
        <f>'F6'!F110</f>
        <v>825.53817715806315</v>
      </c>
      <c r="D110" s="1390"/>
      <c r="E110" s="1390"/>
      <c r="F110" s="1390"/>
      <c r="G110" s="1390"/>
      <c r="H110" s="1389">
        <f ca="1">'F6'!J110</f>
        <v>1015.6518813831677</v>
      </c>
      <c r="I110" s="1389">
        <f>'F10'!H108</f>
        <v>0</v>
      </c>
      <c r="J110" s="1390"/>
      <c r="K110" s="1390"/>
      <c r="L110" s="1390"/>
      <c r="M110" s="1389">
        <f ca="1">'F6'!N110</f>
        <v>1026.2218091989771</v>
      </c>
      <c r="N110" s="1390">
        <f>SUM(N105:N109)</f>
        <v>1071.0505725613129</v>
      </c>
      <c r="O110" s="1081"/>
      <c r="P110" s="1390"/>
      <c r="Q110" s="1390"/>
      <c r="R110" s="1389">
        <f ca="1">'F6'!R110</f>
        <v>1329.0976719794487</v>
      </c>
      <c r="S110" s="1390">
        <f>SUM(S105:S109)</f>
        <v>1112.0651898144583</v>
      </c>
      <c r="T110" s="1390"/>
      <c r="U110" s="1390"/>
      <c r="V110" s="1390"/>
    </row>
    <row r="111" spans="1:22">
      <c r="A111" s="263"/>
      <c r="B111" s="1369" t="s">
        <v>1446</v>
      </c>
      <c r="C111" s="1390">
        <f>'F6'!F111</f>
        <v>0</v>
      </c>
      <c r="D111" s="1390"/>
      <c r="E111" s="1390"/>
      <c r="F111" s="1390"/>
      <c r="G111" s="1390"/>
      <c r="H111" s="1389">
        <f ca="1">'F6'!J111</f>
        <v>0</v>
      </c>
      <c r="I111" s="1389">
        <f>'F10'!H109</f>
        <v>0</v>
      </c>
      <c r="J111" s="1390"/>
      <c r="K111" s="1390"/>
      <c r="L111" s="1390"/>
      <c r="M111" s="1389">
        <f ca="1">'F6'!N111</f>
        <v>0</v>
      </c>
      <c r="N111" s="1390"/>
      <c r="O111" s="1081"/>
      <c r="P111" s="1390"/>
      <c r="Q111" s="1390"/>
      <c r="R111" s="1389">
        <f ca="1">'F6'!R111</f>
        <v>0</v>
      </c>
      <c r="S111" s="1390"/>
      <c r="T111" s="1390"/>
      <c r="U111" s="1390"/>
      <c r="V111" s="1390"/>
    </row>
    <row r="112" spans="1:22">
      <c r="A112" s="263"/>
      <c r="B112" s="1367" t="s">
        <v>1133</v>
      </c>
      <c r="C112" s="1390">
        <f>'F6'!F112</f>
        <v>0</v>
      </c>
      <c r="D112" s="1390"/>
      <c r="E112" s="1390"/>
      <c r="F112" s="1390"/>
      <c r="G112" s="1390"/>
      <c r="H112" s="1389">
        <f ca="1">'F6'!J112</f>
        <v>0</v>
      </c>
      <c r="I112" s="1389">
        <f>'F10'!H110</f>
        <v>0</v>
      </c>
      <c r="J112" s="1390"/>
      <c r="K112" s="1390"/>
      <c r="L112" s="1390"/>
      <c r="M112" s="1389">
        <f ca="1">'F6'!N112</f>
        <v>0</v>
      </c>
      <c r="N112" s="1390"/>
      <c r="O112" s="1081"/>
      <c r="P112" s="1390"/>
      <c r="Q112" s="1390"/>
      <c r="R112" s="1389">
        <f ca="1">'F6'!R112</f>
        <v>0</v>
      </c>
      <c r="S112" s="1390"/>
      <c r="T112" s="1390"/>
      <c r="U112" s="1390"/>
      <c r="V112" s="1390"/>
    </row>
    <row r="113" spans="1:22">
      <c r="A113" s="263"/>
      <c r="B113" s="1378" t="s">
        <v>1415</v>
      </c>
      <c r="C113" s="1390">
        <f>'F6'!F113</f>
        <v>0</v>
      </c>
      <c r="D113" s="1081"/>
      <c r="E113" s="1081"/>
      <c r="F113" s="1081"/>
      <c r="G113" s="1081"/>
      <c r="H113" s="1389">
        <f ca="1">'F6'!J113</f>
        <v>20.374457363360609</v>
      </c>
      <c r="I113" s="1389">
        <f>'F10'!H111</f>
        <v>0</v>
      </c>
      <c r="J113" s="1081"/>
      <c r="K113" s="1081"/>
      <c r="L113" s="1081"/>
      <c r="M113" s="1389">
        <f ca="1">'F6'!N113</f>
        <v>6.0501521466946668</v>
      </c>
      <c r="N113" s="1081">
        <f>'F10'!I258</f>
        <v>10.566733333333334</v>
      </c>
      <c r="O113" s="1081"/>
      <c r="P113" s="1081"/>
      <c r="Q113" s="1081"/>
      <c r="R113" s="1389">
        <f ca="1">'F6'!R113</f>
        <v>7.5408433508073784</v>
      </c>
      <c r="S113" s="1081">
        <f>'F10'!J258</f>
        <v>10.566733333333334</v>
      </c>
      <c r="T113" s="1081"/>
      <c r="U113" s="1081"/>
      <c r="V113" s="1081"/>
    </row>
    <row r="114" spans="1:22">
      <c r="A114" s="263"/>
      <c r="B114" s="1378" t="s">
        <v>1134</v>
      </c>
      <c r="C114" s="1390">
        <f>'F6'!F114</f>
        <v>0</v>
      </c>
      <c r="D114" s="1081"/>
      <c r="E114" s="1081"/>
      <c r="F114" s="1081"/>
      <c r="G114" s="1081"/>
      <c r="H114" s="1389">
        <f ca="1">'F6'!J114</f>
        <v>0</v>
      </c>
      <c r="I114" s="1389">
        <f>'F10'!H112</f>
        <v>0</v>
      </c>
      <c r="J114" s="1081"/>
      <c r="K114" s="1081"/>
      <c r="L114" s="1081"/>
      <c r="M114" s="1389">
        <f ca="1">'F6'!N114</f>
        <v>0</v>
      </c>
      <c r="N114" s="1081">
        <f>'F10'!I259</f>
        <v>0</v>
      </c>
      <c r="O114" s="1081"/>
      <c r="P114" s="1081"/>
      <c r="Q114" s="1081"/>
      <c r="R114" s="1389">
        <f ca="1">'F6'!R114</f>
        <v>0</v>
      </c>
      <c r="S114" s="1081">
        <f>'F10'!J259</f>
        <v>0</v>
      </c>
      <c r="T114" s="1081"/>
      <c r="U114" s="1081"/>
      <c r="V114" s="1081"/>
    </row>
    <row r="115" spans="1:22">
      <c r="A115" s="263"/>
      <c r="B115" s="1378" t="s">
        <v>1135</v>
      </c>
      <c r="C115" s="1390">
        <f>'F6'!F115</f>
        <v>0</v>
      </c>
      <c r="D115" s="1081"/>
      <c r="E115" s="1081"/>
      <c r="F115" s="1081"/>
      <c r="G115" s="1081"/>
      <c r="H115" s="1389">
        <f ca="1">'F6'!J115</f>
        <v>0</v>
      </c>
      <c r="I115" s="1389">
        <f>'F10'!H113</f>
        <v>0</v>
      </c>
      <c r="J115" s="1081"/>
      <c r="K115" s="1081"/>
      <c r="L115" s="1081"/>
      <c r="M115" s="1389">
        <f ca="1">'F6'!N115</f>
        <v>0</v>
      </c>
      <c r="N115" s="1081">
        <f>'F10'!I260</f>
        <v>0</v>
      </c>
      <c r="O115" s="1081"/>
      <c r="P115" s="1081"/>
      <c r="Q115" s="1081"/>
      <c r="R115" s="1389">
        <f ca="1">'F6'!R115</f>
        <v>0</v>
      </c>
      <c r="S115" s="1081">
        <f>'F10'!J260</f>
        <v>0</v>
      </c>
      <c r="T115" s="1081"/>
      <c r="U115" s="1081"/>
      <c r="V115" s="1081"/>
    </row>
    <row r="116" spans="1:22">
      <c r="A116" s="263"/>
      <c r="B116" s="1369" t="s">
        <v>1425</v>
      </c>
      <c r="C116" s="1390">
        <f>'F6'!F116</f>
        <v>0</v>
      </c>
      <c r="D116" s="1081"/>
      <c r="E116" s="1081"/>
      <c r="F116" s="1081"/>
      <c r="G116" s="1081"/>
      <c r="H116" s="1389">
        <f ca="1">'F6'!J116</f>
        <v>20.374457363360609</v>
      </c>
      <c r="I116" s="1389">
        <f>'F10'!H114</f>
        <v>0</v>
      </c>
      <c r="J116" s="1081"/>
      <c r="K116" s="1081"/>
      <c r="L116" s="1081"/>
      <c r="M116" s="1389">
        <f ca="1">'F6'!N116</f>
        <v>6.0501521466946668</v>
      </c>
      <c r="N116" s="1081">
        <f>SUM(N113:N115)</f>
        <v>10.566733333333334</v>
      </c>
      <c r="O116" s="1081"/>
      <c r="P116" s="1081"/>
      <c r="Q116" s="1081"/>
      <c r="R116" s="1389">
        <f ca="1">'F6'!R116</f>
        <v>7.5408433508073784</v>
      </c>
      <c r="S116" s="1081">
        <f>SUM(S113:S115)</f>
        <v>10.566733333333334</v>
      </c>
      <c r="T116" s="1081"/>
      <c r="U116" s="1081"/>
      <c r="V116" s="1081"/>
    </row>
    <row r="117" spans="1:22">
      <c r="A117" s="263"/>
      <c r="B117" s="1369" t="s">
        <v>1446</v>
      </c>
      <c r="C117" s="1390">
        <f>'F6'!F117</f>
        <v>0</v>
      </c>
      <c r="D117" s="1081"/>
      <c r="E117" s="1081"/>
      <c r="F117" s="1081"/>
      <c r="G117" s="1081"/>
      <c r="H117" s="1389">
        <f ca="1">'F6'!J117</f>
        <v>0</v>
      </c>
      <c r="I117" s="1389">
        <f>'F10'!H115</f>
        <v>0</v>
      </c>
      <c r="J117" s="1081"/>
      <c r="K117" s="1081"/>
      <c r="L117" s="1081"/>
      <c r="M117" s="1389">
        <f ca="1">'F6'!N117</f>
        <v>0</v>
      </c>
      <c r="N117" s="1081"/>
      <c r="O117" s="1081"/>
      <c r="P117" s="1081"/>
      <c r="Q117" s="1081"/>
      <c r="R117" s="1389">
        <f ca="1">'F6'!R117</f>
        <v>0</v>
      </c>
      <c r="S117" s="1081"/>
      <c r="T117" s="1081"/>
      <c r="U117" s="1081"/>
      <c r="V117" s="1081"/>
    </row>
    <row r="118" spans="1:22" ht="28">
      <c r="A118" s="263"/>
      <c r="B118" s="1367" t="s">
        <v>1137</v>
      </c>
      <c r="C118" s="1390">
        <f>'F6'!F118</f>
        <v>0</v>
      </c>
      <c r="D118" s="1081"/>
      <c r="E118" s="1081"/>
      <c r="F118" s="1081"/>
      <c r="G118" s="1081"/>
      <c r="H118" s="1389">
        <f ca="1">'F6'!J118</f>
        <v>0</v>
      </c>
      <c r="I118" s="1389">
        <f>'F10'!H116</f>
        <v>0</v>
      </c>
      <c r="J118" s="1081"/>
      <c r="K118" s="1081"/>
      <c r="L118" s="1081"/>
      <c r="M118" s="1389">
        <f ca="1">'F6'!N118</f>
        <v>0</v>
      </c>
      <c r="N118" s="1081"/>
      <c r="O118" s="1081"/>
      <c r="P118" s="1081"/>
      <c r="Q118" s="1081"/>
      <c r="R118" s="1389">
        <f ca="1">'F6'!R118</f>
        <v>0</v>
      </c>
      <c r="S118" s="1081"/>
      <c r="T118" s="1081"/>
      <c r="U118" s="1081"/>
      <c r="V118" s="1081"/>
    </row>
    <row r="119" spans="1:22">
      <c r="A119" s="263"/>
      <c r="B119" s="1378" t="s">
        <v>1138</v>
      </c>
      <c r="C119" s="1390">
        <f>'F6'!F119</f>
        <v>151.93631544522989</v>
      </c>
      <c r="D119" s="1081"/>
      <c r="E119" s="1081"/>
      <c r="F119" s="1081"/>
      <c r="G119" s="1081"/>
      <c r="H119" s="1389">
        <f ca="1">'F6'!J119</f>
        <v>127.10368578297816</v>
      </c>
      <c r="I119" s="1389">
        <f>'F10'!H117</f>
        <v>0</v>
      </c>
      <c r="J119" s="1081"/>
      <c r="K119" s="1081"/>
      <c r="L119" s="1081"/>
      <c r="M119" s="1389">
        <f ca="1">'F6'!N119</f>
        <v>121.78497050969415</v>
      </c>
      <c r="N119" s="1081">
        <f>'F10'!I264</f>
        <v>146.52511980000003</v>
      </c>
      <c r="O119" s="1081"/>
      <c r="P119" s="1081"/>
      <c r="Q119" s="1081"/>
      <c r="R119" s="1389">
        <f ca="1">'F6'!R119</f>
        <v>153.30844074021803</v>
      </c>
      <c r="S119" s="1081">
        <f>'F10'!J264</f>
        <v>147.990370998</v>
      </c>
      <c r="T119" s="1081"/>
      <c r="U119" s="1081"/>
      <c r="V119" s="1081"/>
    </row>
    <row r="120" spans="1:22">
      <c r="A120" s="263"/>
      <c r="B120" s="1378" t="s">
        <v>1139</v>
      </c>
      <c r="C120" s="1390">
        <f>'F6'!F120</f>
        <v>192.18821538400613</v>
      </c>
      <c r="D120" s="1081"/>
      <c r="E120" s="1081"/>
      <c r="F120" s="1081"/>
      <c r="G120" s="1081"/>
      <c r="H120" s="1389">
        <f ca="1">'F6'!J120</f>
        <v>263.22129462529949</v>
      </c>
      <c r="I120" s="1389">
        <f>'F10'!H118</f>
        <v>0</v>
      </c>
      <c r="J120" s="1081"/>
      <c r="K120" s="1081"/>
      <c r="L120" s="1081"/>
      <c r="M120" s="1389">
        <f ca="1">'F6'!N120</f>
        <v>252.20620066158386</v>
      </c>
      <c r="N120" s="1081">
        <f>'F10'!I265</f>
        <v>303.10461270000002</v>
      </c>
      <c r="O120" s="1081"/>
      <c r="P120" s="1081"/>
      <c r="Q120" s="1081"/>
      <c r="R120" s="1389">
        <f ca="1">'F6'!R120</f>
        <v>317.49163667005081</v>
      </c>
      <c r="S120" s="1081">
        <f>'F10'!J265</f>
        <v>306.1356588270001</v>
      </c>
      <c r="T120" s="1081"/>
      <c r="U120" s="1081"/>
      <c r="V120" s="1081"/>
    </row>
    <row r="121" spans="1:22">
      <c r="A121" s="263"/>
      <c r="B121" s="1378" t="s">
        <v>1140</v>
      </c>
      <c r="C121" s="1390">
        <f>'F6'!F121</f>
        <v>0</v>
      </c>
      <c r="D121" s="1081"/>
      <c r="E121" s="1081"/>
      <c r="F121" s="1081"/>
      <c r="G121" s="1081"/>
      <c r="H121" s="1389">
        <f ca="1">'F6'!J121</f>
        <v>0</v>
      </c>
      <c r="I121" s="1389">
        <f>'F10'!H119</f>
        <v>0</v>
      </c>
      <c r="J121" s="1081"/>
      <c r="K121" s="1081"/>
      <c r="L121" s="1081"/>
      <c r="M121" s="1389">
        <f ca="1">'F6'!N121</f>
        <v>0</v>
      </c>
      <c r="N121" s="1081">
        <f>'F10'!I266</f>
        <v>0</v>
      </c>
      <c r="O121" s="1081"/>
      <c r="P121" s="1081"/>
      <c r="Q121" s="1081"/>
      <c r="R121" s="1389">
        <f ca="1">'F6'!R121</f>
        <v>0</v>
      </c>
      <c r="S121" s="1081">
        <f>'F10'!J266</f>
        <v>0</v>
      </c>
      <c r="T121" s="1081"/>
      <c r="U121" s="1081"/>
      <c r="V121" s="1081"/>
    </row>
    <row r="122" spans="1:22">
      <c r="A122" s="263"/>
      <c r="B122" s="1369" t="s">
        <v>1425</v>
      </c>
      <c r="C122" s="1390">
        <f>'F6'!F122</f>
        <v>344.12453082923594</v>
      </c>
      <c r="D122" s="1081"/>
      <c r="E122" s="1081"/>
      <c r="F122" s="1081"/>
      <c r="G122" s="1081"/>
      <c r="H122" s="1389">
        <f ca="1">'F6'!J122</f>
        <v>390.32498040827761</v>
      </c>
      <c r="I122" s="1389">
        <f>'F10'!H120</f>
        <v>0</v>
      </c>
      <c r="J122" s="1081"/>
      <c r="K122" s="1081"/>
      <c r="L122" s="1081"/>
      <c r="M122" s="1389">
        <f ca="1">'F6'!N122</f>
        <v>373.99117117127798</v>
      </c>
      <c r="N122" s="1081">
        <f>SUM(N119:N121)</f>
        <v>449.62973250000005</v>
      </c>
      <c r="O122" s="1081"/>
      <c r="P122" s="1081"/>
      <c r="Q122" s="1081"/>
      <c r="R122" s="1389">
        <f ca="1">'F6'!R122</f>
        <v>470.80007741026878</v>
      </c>
      <c r="S122" s="1081">
        <f>SUM(S119:S121)</f>
        <v>454.1260298250001</v>
      </c>
      <c r="T122" s="1081"/>
      <c r="U122" s="1081"/>
      <c r="V122" s="1081"/>
    </row>
    <row r="123" spans="1:22">
      <c r="A123" s="263"/>
      <c r="B123" s="1369" t="s">
        <v>1446</v>
      </c>
      <c r="C123" s="1390">
        <f>'F6'!F123</f>
        <v>0</v>
      </c>
      <c r="D123" s="1081"/>
      <c r="E123" s="1081"/>
      <c r="F123" s="1081"/>
      <c r="G123" s="1081"/>
      <c r="H123" s="1389">
        <f ca="1">'F6'!J123</f>
        <v>0</v>
      </c>
      <c r="I123" s="1389">
        <f>'F10'!H121</f>
        <v>0</v>
      </c>
      <c r="J123" s="1081"/>
      <c r="K123" s="1081"/>
      <c r="L123" s="1081"/>
      <c r="M123" s="1389">
        <f ca="1">'F6'!N123</f>
        <v>0</v>
      </c>
      <c r="N123" s="1081"/>
      <c r="O123" s="1081"/>
      <c r="P123" s="1081"/>
      <c r="Q123" s="1081"/>
      <c r="R123" s="1389">
        <f ca="1">'F6'!R123</f>
        <v>0</v>
      </c>
      <c r="S123" s="1081"/>
      <c r="T123" s="1081"/>
      <c r="U123" s="1081"/>
      <c r="V123" s="1081"/>
    </row>
    <row r="124" spans="1:22">
      <c r="A124" s="263"/>
      <c r="B124" s="1367" t="s">
        <v>1143</v>
      </c>
      <c r="C124" s="1390">
        <f>'F6'!F124</f>
        <v>0</v>
      </c>
      <c r="D124" s="1081"/>
      <c r="E124" s="1081"/>
      <c r="F124" s="1081"/>
      <c r="G124" s="1081"/>
      <c r="H124" s="1389">
        <f ca="1">'F6'!J124</f>
        <v>0</v>
      </c>
      <c r="I124" s="1389">
        <f>'F10'!H122</f>
        <v>0</v>
      </c>
      <c r="J124" s="1081"/>
      <c r="K124" s="1081"/>
      <c r="L124" s="1081"/>
      <c r="M124" s="1389">
        <f ca="1">'F6'!N124</f>
        <v>0</v>
      </c>
      <c r="N124" s="1081">
        <f>'F10'!I271</f>
        <v>0</v>
      </c>
      <c r="O124" s="1081"/>
      <c r="P124" s="1081"/>
      <c r="Q124" s="1081"/>
      <c r="R124" s="1389">
        <f ca="1">'F6'!R124</f>
        <v>0</v>
      </c>
      <c r="S124" s="1081">
        <f>'F10'!J271</f>
        <v>0</v>
      </c>
      <c r="T124" s="1081"/>
      <c r="U124" s="1081"/>
      <c r="V124" s="1081"/>
    </row>
    <row r="125" spans="1:22">
      <c r="A125" s="263"/>
      <c r="B125" s="1367" t="s">
        <v>1434</v>
      </c>
      <c r="C125" s="1390">
        <f>'F6'!F125</f>
        <v>0</v>
      </c>
      <c r="D125" s="1081"/>
      <c r="E125" s="1081"/>
      <c r="F125" s="1081"/>
      <c r="G125" s="1081"/>
      <c r="H125" s="1389">
        <f ca="1">'F6'!J125</f>
        <v>2.3025639684475578</v>
      </c>
      <c r="I125" s="1389">
        <f>'F10'!H123</f>
        <v>0</v>
      </c>
      <c r="J125" s="1081"/>
      <c r="K125" s="1081"/>
      <c r="L125" s="1081"/>
      <c r="M125" s="1389">
        <f ca="1">'F6'!N125</f>
        <v>2.16295529352956</v>
      </c>
      <c r="N125" s="1081">
        <f>'F10'!I269</f>
        <v>2.1994470000000002</v>
      </c>
      <c r="O125" s="1081"/>
      <c r="P125" s="1081"/>
      <c r="Q125" s="1081"/>
      <c r="R125" s="1389">
        <f ca="1">'F6'!R125</f>
        <v>2.695854696981749</v>
      </c>
      <c r="S125" s="1081">
        <f>'F10'!J269</f>
        <v>2.1994470000000002</v>
      </c>
      <c r="T125" s="1081"/>
      <c r="U125" s="1081"/>
      <c r="V125" s="1081"/>
    </row>
    <row r="126" spans="1:22">
      <c r="A126" s="263"/>
      <c r="B126" s="1377" t="s">
        <v>126</v>
      </c>
      <c r="C126" s="1390">
        <f>'F6'!F126</f>
        <v>15352.6019106</v>
      </c>
      <c r="D126" s="1081">
        <f>'F1'!D14</f>
        <v>11782.09</v>
      </c>
      <c r="E126" s="1081"/>
      <c r="F126" s="1081"/>
      <c r="G126" s="1081"/>
      <c r="H126" s="1389">
        <f ca="1">'F6'!J126</f>
        <v>18222.853034864311</v>
      </c>
      <c r="I126" s="1389">
        <f>'F1'!G14</f>
        <v>11690.8567296</v>
      </c>
      <c r="J126" s="1081"/>
      <c r="K126" s="1081"/>
      <c r="L126" s="1081"/>
      <c r="M126" s="1389">
        <f ca="1">'F6'!N126</f>
        <v>17287.478809820965</v>
      </c>
      <c r="N126" s="1081">
        <f>'F10'!I273</f>
        <v>13469.269785867667</v>
      </c>
      <c r="O126" s="1081">
        <f ca="1">M126-N126</f>
        <v>3818.2090239532972</v>
      </c>
      <c r="P126" s="1081">
        <f>'F1'!H48</f>
        <v>2982.910129337406</v>
      </c>
      <c r="Q126" s="1081">
        <f ca="1">O126-P126</f>
        <v>835.29889461589119</v>
      </c>
      <c r="R126" s="1389">
        <f ca="1">'F6'!R126</f>
        <v>21748.247643023769</v>
      </c>
      <c r="S126" s="1081">
        <f>'F10'!J273</f>
        <v>13722.337048453945</v>
      </c>
      <c r="T126" s="1081">
        <f ca="1">R126-S126</f>
        <v>8025.9105945698248</v>
      </c>
      <c r="U126" s="1081">
        <f>'F1'!I48</f>
        <v>3412.9922351703372</v>
      </c>
      <c r="V126" s="1081">
        <f ca="1">T126-U126</f>
        <v>4612.9183593994876</v>
      </c>
    </row>
    <row r="127" spans="1:22">
      <c r="B127" s="1387" t="s">
        <v>1446</v>
      </c>
    </row>
  </sheetData>
  <mergeCells count="15">
    <mergeCell ref="T3:U3"/>
    <mergeCell ref="H6:L6"/>
    <mergeCell ref="H7:L7"/>
    <mergeCell ref="A5:A8"/>
    <mergeCell ref="B5:B8"/>
    <mergeCell ref="C5:G5"/>
    <mergeCell ref="H5:L5"/>
    <mergeCell ref="M5:Q5"/>
    <mergeCell ref="C6:G6"/>
    <mergeCell ref="M6:Q6"/>
    <mergeCell ref="R5:V5"/>
    <mergeCell ref="C7:G7"/>
    <mergeCell ref="M7:Q7"/>
    <mergeCell ref="R7:V7"/>
    <mergeCell ref="R6:V6"/>
  </mergeCells>
  <printOptions horizontalCentered="1"/>
  <pageMargins left="0.19685039370078741" right="0.19685039370078741" top="0.19685039370078741" bottom="0.19685039370078741" header="0.19685039370078741" footer="0.19685039370078741"/>
  <pageSetup paperSize="9" scale="42" orientation="landscape" r:id="rId1"/>
  <rowBreaks count="1" manualBreakCount="1">
    <brk id="73" min="1" max="21" man="1"/>
  </rowBreaks>
  <ignoredErrors>
    <ignoredError sqref="U12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27"/>
  <sheetViews>
    <sheetView view="pageBreakPreview" topLeftCell="B1" zoomScaleSheetLayoutView="100" workbookViewId="0">
      <selection activeCell="C105" sqref="C105"/>
    </sheetView>
  </sheetViews>
  <sheetFormatPr defaultColWidth="20.81640625" defaultRowHeight="14.5"/>
  <cols>
    <col min="1" max="1" width="4" style="229" customWidth="1"/>
    <col min="2" max="2" width="50.81640625" style="229" bestFit="1" customWidth="1"/>
    <col min="3" max="3" width="14.26953125" style="611" bestFit="1" customWidth="1"/>
    <col min="4" max="4" width="9.26953125" style="611" bestFit="1" customWidth="1"/>
    <col min="5" max="5" width="9.7265625" style="229" bestFit="1" customWidth="1"/>
    <col min="6" max="6" width="9.7265625" style="611" customWidth="1"/>
    <col min="7" max="7" width="9.7265625" style="229" customWidth="1"/>
    <col min="8" max="8" width="8" style="333" customWidth="1"/>
    <col min="9" max="9" width="5.453125" style="229" bestFit="1" customWidth="1"/>
    <col min="10" max="10" width="15.26953125" style="611" customWidth="1"/>
    <col min="11" max="12" width="9.1796875" style="611" customWidth="1"/>
    <col min="13" max="13" width="9.54296875" style="229" customWidth="1"/>
    <col min="14" max="14" width="9.7265625" style="229" customWidth="1"/>
    <col min="15" max="15" width="10" style="333" bestFit="1" customWidth="1"/>
    <col min="16" max="16" width="7.54296875" style="229" customWidth="1"/>
    <col min="17" max="17" width="11.81640625" style="611" customWidth="1"/>
    <col min="18" max="18" width="11" style="611" customWidth="1"/>
    <col min="19" max="19" width="11.453125" style="611" customWidth="1"/>
    <col min="20" max="20" width="9.7265625" style="229" bestFit="1" customWidth="1"/>
    <col min="21" max="21" width="8.54296875" style="229" customWidth="1"/>
    <col min="22" max="22" width="10" style="333" bestFit="1" customWidth="1"/>
    <col min="23" max="23" width="8" style="229" customWidth="1"/>
    <col min="24" max="24" width="13.7265625" style="611" customWidth="1"/>
    <col min="25" max="25" width="15.1796875" style="611" customWidth="1"/>
    <col min="26" max="26" width="16.1796875" style="611" customWidth="1"/>
    <col min="27" max="27" width="9.7265625" style="229" bestFit="1" customWidth="1"/>
    <col min="28" max="28" width="10.54296875" style="229" customWidth="1"/>
    <col min="29" max="29" width="8.1796875" style="333" customWidth="1"/>
    <col min="30" max="30" width="10.7265625" style="229" customWidth="1"/>
    <col min="31" max="31" width="13.26953125" style="611" customWidth="1"/>
    <col min="32" max="32" width="13.453125" style="611" customWidth="1"/>
    <col min="33" max="33" width="14.7265625" style="611" customWidth="1"/>
    <col min="34" max="34" width="9.7265625" style="229" bestFit="1" customWidth="1"/>
    <col min="35" max="35" width="9.453125" style="229" customWidth="1"/>
    <col min="36" max="36" width="7.54296875" style="333" customWidth="1"/>
    <col min="37" max="37" width="3.81640625" style="229" customWidth="1"/>
    <col min="38" max="16384" width="20.81640625" style="229"/>
  </cols>
  <sheetData>
    <row r="1" spans="1:38">
      <c r="A1" s="303" t="s">
        <v>520</v>
      </c>
      <c r="B1" s="303" t="s">
        <v>520</v>
      </c>
    </row>
    <row r="2" spans="1:38">
      <c r="A2" s="715" t="s">
        <v>1604</v>
      </c>
      <c r="B2" s="715" t="s">
        <v>1604</v>
      </c>
      <c r="C2" s="715"/>
      <c r="D2" s="715"/>
      <c r="E2" s="715"/>
      <c r="F2" s="715"/>
      <c r="G2" s="715"/>
      <c r="H2" s="715"/>
      <c r="I2" s="715"/>
      <c r="J2" s="715"/>
      <c r="K2" s="715"/>
      <c r="L2" s="715"/>
      <c r="M2" s="715"/>
      <c r="N2" s="715"/>
      <c r="O2" s="715"/>
      <c r="P2" s="715"/>
      <c r="Q2" s="715"/>
      <c r="R2" s="715"/>
      <c r="S2" s="715"/>
      <c r="T2" s="715"/>
      <c r="U2" s="715"/>
      <c r="V2" s="715"/>
      <c r="W2" s="715"/>
      <c r="X2" s="605"/>
      <c r="Y2" s="605"/>
      <c r="Z2" s="605"/>
    </row>
    <row r="3" spans="1:38">
      <c r="A3" s="304" t="s">
        <v>506</v>
      </c>
      <c r="B3" s="304" t="s">
        <v>506</v>
      </c>
      <c r="C3" s="304"/>
      <c r="D3" s="304"/>
      <c r="E3" s="304"/>
      <c r="F3" s="304"/>
      <c r="G3" s="304"/>
      <c r="H3" s="304"/>
      <c r="I3" s="304"/>
      <c r="J3" s="304"/>
      <c r="K3" s="304"/>
      <c r="L3" s="304"/>
      <c r="M3" s="304"/>
      <c r="N3" s="3060"/>
      <c r="O3" s="3060"/>
      <c r="P3" s="3060"/>
      <c r="Q3" s="607"/>
      <c r="R3" s="607"/>
      <c r="S3" s="607"/>
      <c r="T3" s="221"/>
      <c r="U3" s="221"/>
      <c r="V3" s="325"/>
      <c r="W3" s="221"/>
      <c r="X3" s="607"/>
      <c r="Y3" s="607"/>
      <c r="Z3" s="607"/>
      <c r="AA3" s="3060"/>
      <c r="AB3" s="3060"/>
      <c r="AC3" s="325"/>
      <c r="AD3" s="3060"/>
      <c r="AE3" s="3060"/>
      <c r="AF3" s="3060"/>
      <c r="AG3" s="3060"/>
      <c r="AH3" s="3060"/>
      <c r="AI3" s="3060"/>
      <c r="AJ3" s="3060"/>
      <c r="AK3" s="3060"/>
      <c r="AL3" s="24"/>
    </row>
    <row r="4" spans="1:38">
      <c r="A4" s="225"/>
      <c r="B4" s="225"/>
      <c r="C4" s="608"/>
      <c r="D4" s="608"/>
      <c r="E4" s="225"/>
      <c r="F4" s="608"/>
      <c r="G4" s="225"/>
      <c r="H4" s="328"/>
      <c r="N4" s="3075"/>
      <c r="O4" s="3075"/>
      <c r="P4" s="3075"/>
      <c r="Q4" s="627"/>
      <c r="R4" s="627"/>
      <c r="S4" s="627"/>
      <c r="AA4" s="3075"/>
      <c r="AB4" s="3075"/>
      <c r="AC4" s="330"/>
      <c r="AD4" s="3075"/>
      <c r="AE4" s="3075"/>
      <c r="AF4" s="3075"/>
      <c r="AG4" s="3075"/>
      <c r="AH4" s="3075"/>
      <c r="AI4" s="198" t="s">
        <v>186</v>
      </c>
      <c r="AJ4" s="924"/>
      <c r="AK4" s="924"/>
    </row>
    <row r="5" spans="1:38" ht="15.75" customHeight="1">
      <c r="A5" s="3077" t="s">
        <v>1276</v>
      </c>
      <c r="B5" s="3032" t="s">
        <v>14</v>
      </c>
      <c r="C5" s="3062" t="s">
        <v>561</v>
      </c>
      <c r="D5" s="3063"/>
      <c r="E5" s="3063"/>
      <c r="F5" s="3063"/>
      <c r="G5" s="3063"/>
      <c r="H5" s="3063"/>
      <c r="I5" s="3064"/>
      <c r="J5" s="3062" t="s">
        <v>575</v>
      </c>
      <c r="K5" s="3063"/>
      <c r="L5" s="3063"/>
      <c r="M5" s="3063"/>
      <c r="N5" s="3063"/>
      <c r="O5" s="3063"/>
      <c r="P5" s="3063"/>
      <c r="Q5" s="3063"/>
      <c r="R5" s="3063"/>
      <c r="S5" s="3063"/>
      <c r="T5" s="3063"/>
      <c r="U5" s="3063"/>
      <c r="V5" s="3063"/>
      <c r="W5" s="3064"/>
      <c r="X5" s="3062" t="s">
        <v>550</v>
      </c>
      <c r="Y5" s="3063"/>
      <c r="Z5" s="3063"/>
      <c r="AA5" s="3063"/>
      <c r="AB5" s="3063"/>
      <c r="AC5" s="3063"/>
      <c r="AD5" s="3063"/>
      <c r="AE5" s="3070" t="s">
        <v>952</v>
      </c>
      <c r="AF5" s="3070"/>
      <c r="AG5" s="3070"/>
      <c r="AH5" s="3070"/>
      <c r="AI5" s="3070"/>
      <c r="AJ5" s="3070"/>
      <c r="AK5" s="3070"/>
    </row>
    <row r="6" spans="1:38" ht="15.75" customHeight="1">
      <c r="A6" s="3033"/>
      <c r="B6" s="3033"/>
      <c r="C6" s="3070" t="s">
        <v>551</v>
      </c>
      <c r="D6" s="3070"/>
      <c r="E6" s="3070"/>
      <c r="F6" s="3070"/>
      <c r="G6" s="3070"/>
      <c r="H6" s="3070"/>
      <c r="I6" s="3070"/>
      <c r="J6" s="3062" t="s">
        <v>545</v>
      </c>
      <c r="K6" s="3063"/>
      <c r="L6" s="3063"/>
      <c r="M6" s="3063"/>
      <c r="N6" s="3063"/>
      <c r="O6" s="3063"/>
      <c r="P6" s="3063"/>
      <c r="Q6" s="3063"/>
      <c r="R6" s="3063"/>
      <c r="S6" s="3063"/>
      <c r="T6" s="3063"/>
      <c r="U6" s="3063"/>
      <c r="V6" s="3063"/>
      <c r="W6" s="3064"/>
      <c r="X6" s="3062" t="s">
        <v>546</v>
      </c>
      <c r="Y6" s="3063"/>
      <c r="Z6" s="3063"/>
      <c r="AA6" s="3063"/>
      <c r="AB6" s="3063"/>
      <c r="AC6" s="3063"/>
      <c r="AD6" s="3064"/>
      <c r="AE6" s="3062" t="s">
        <v>547</v>
      </c>
      <c r="AF6" s="3063"/>
      <c r="AG6" s="3063"/>
      <c r="AH6" s="3063"/>
      <c r="AI6" s="3063"/>
      <c r="AJ6" s="3063"/>
      <c r="AK6" s="3064"/>
    </row>
    <row r="7" spans="1:38" ht="15.75" customHeight="1">
      <c r="A7" s="3033"/>
      <c r="B7" s="3033"/>
      <c r="C7" s="3070" t="s">
        <v>1291</v>
      </c>
      <c r="D7" s="3070"/>
      <c r="E7" s="3070"/>
      <c r="F7" s="3070"/>
      <c r="G7" s="3070"/>
      <c r="H7" s="3070"/>
      <c r="I7" s="3070"/>
      <c r="J7" s="3062" t="s">
        <v>543</v>
      </c>
      <c r="K7" s="3063"/>
      <c r="L7" s="3063"/>
      <c r="M7" s="3063"/>
      <c r="N7" s="3063"/>
      <c r="O7" s="3063"/>
      <c r="P7" s="3064"/>
      <c r="Q7" s="3070" t="s">
        <v>544</v>
      </c>
      <c r="R7" s="3070"/>
      <c r="S7" s="3070"/>
      <c r="T7" s="3070"/>
      <c r="U7" s="3070"/>
      <c r="V7" s="3070"/>
      <c r="W7" s="3070"/>
      <c r="X7" s="3062" t="s">
        <v>1418</v>
      </c>
      <c r="Y7" s="3063"/>
      <c r="Z7" s="3063"/>
      <c r="AA7" s="3063"/>
      <c r="AB7" s="3063"/>
      <c r="AC7" s="3063"/>
      <c r="AD7" s="3064"/>
      <c r="AE7" s="3062" t="s">
        <v>283</v>
      </c>
      <c r="AF7" s="3063"/>
      <c r="AG7" s="3063"/>
      <c r="AH7" s="3063"/>
      <c r="AI7" s="3063"/>
      <c r="AJ7" s="3063"/>
      <c r="AK7" s="3064"/>
    </row>
    <row r="8" spans="1:38" ht="58">
      <c r="A8" s="3034"/>
      <c r="B8" s="3034"/>
      <c r="C8" s="606" t="s">
        <v>301</v>
      </c>
      <c r="D8" s="606" t="s">
        <v>1328</v>
      </c>
      <c r="E8" s="200" t="s">
        <v>1327</v>
      </c>
      <c r="F8" s="200" t="s">
        <v>507</v>
      </c>
      <c r="G8" s="200" t="s">
        <v>508</v>
      </c>
      <c r="H8" s="200" t="s">
        <v>783</v>
      </c>
      <c r="I8" s="200" t="s">
        <v>22</v>
      </c>
      <c r="J8" s="606" t="s">
        <v>301</v>
      </c>
      <c r="K8" s="606" t="s">
        <v>1328</v>
      </c>
      <c r="L8" s="200" t="s">
        <v>1327</v>
      </c>
      <c r="M8" s="200" t="s">
        <v>507</v>
      </c>
      <c r="N8" s="200" t="s">
        <v>508</v>
      </c>
      <c r="O8" s="200" t="s">
        <v>783</v>
      </c>
      <c r="P8" s="200" t="s">
        <v>22</v>
      </c>
      <c r="Q8" s="606" t="s">
        <v>301</v>
      </c>
      <c r="R8" s="606" t="s">
        <v>1328</v>
      </c>
      <c r="S8" s="200" t="s">
        <v>1327</v>
      </c>
      <c r="T8" s="200" t="s">
        <v>507</v>
      </c>
      <c r="U8" s="200" t="s">
        <v>508</v>
      </c>
      <c r="V8" s="200" t="s">
        <v>783</v>
      </c>
      <c r="W8" s="200" t="s">
        <v>22</v>
      </c>
      <c r="X8" s="606" t="s">
        <v>301</v>
      </c>
      <c r="Y8" s="606" t="s">
        <v>1328</v>
      </c>
      <c r="Z8" s="200" t="s">
        <v>1327</v>
      </c>
      <c r="AA8" s="200" t="s">
        <v>507</v>
      </c>
      <c r="AB8" s="200" t="s">
        <v>508</v>
      </c>
      <c r="AC8" s="200" t="s">
        <v>783</v>
      </c>
      <c r="AD8" s="200" t="s">
        <v>22</v>
      </c>
      <c r="AE8" s="606" t="s">
        <v>301</v>
      </c>
      <c r="AF8" s="606" t="s">
        <v>1328</v>
      </c>
      <c r="AG8" s="200" t="s">
        <v>1327</v>
      </c>
      <c r="AH8" s="200" t="s">
        <v>507</v>
      </c>
      <c r="AI8" s="200" t="s">
        <v>508</v>
      </c>
      <c r="AJ8" s="200" t="s">
        <v>783</v>
      </c>
      <c r="AK8" s="200" t="s">
        <v>22</v>
      </c>
    </row>
    <row r="9" spans="1:38">
      <c r="A9" s="51"/>
      <c r="B9" s="1360"/>
      <c r="C9" s="40"/>
      <c r="D9" s="40"/>
      <c r="E9" s="40"/>
      <c r="F9" s="263"/>
      <c r="G9" s="40"/>
      <c r="H9" s="40"/>
      <c r="I9" s="40"/>
      <c r="J9" s="40"/>
      <c r="K9" s="40"/>
      <c r="L9" s="40"/>
      <c r="M9" s="40"/>
      <c r="N9" s="40"/>
      <c r="O9" s="40"/>
      <c r="P9" s="40"/>
      <c r="Q9" s="40"/>
      <c r="R9" s="40"/>
      <c r="S9" s="40"/>
      <c r="T9" s="40"/>
      <c r="U9" s="40"/>
      <c r="V9" s="40"/>
      <c r="W9" s="40"/>
      <c r="X9" s="40"/>
      <c r="Y9" s="40"/>
      <c r="Z9" s="40"/>
      <c r="AA9" s="263"/>
      <c r="AB9" s="263"/>
      <c r="AC9" s="263"/>
      <c r="AD9" s="263"/>
      <c r="AE9" s="263"/>
      <c r="AF9" s="263"/>
      <c r="AG9" s="263"/>
      <c r="AH9" s="263"/>
      <c r="AI9" s="263"/>
      <c r="AJ9" s="263"/>
      <c r="AK9" s="263"/>
    </row>
    <row r="10" spans="1:38">
      <c r="A10" s="153">
        <v>1</v>
      </c>
      <c r="B10" s="1367" t="s">
        <v>1043</v>
      </c>
      <c r="C10" s="561"/>
      <c r="D10" s="561"/>
      <c r="E10" s="183"/>
      <c r="F10" s="183"/>
      <c r="G10" s="183"/>
      <c r="H10" s="183"/>
      <c r="I10" s="183"/>
      <c r="J10" s="183"/>
      <c r="K10" s="183"/>
      <c r="L10" s="183"/>
      <c r="M10" s="253"/>
      <c r="N10" s="253"/>
      <c r="O10" s="253"/>
      <c r="P10" s="253"/>
      <c r="Q10" s="253"/>
      <c r="R10" s="253"/>
      <c r="S10" s="253"/>
      <c r="T10" s="253"/>
      <c r="U10" s="253"/>
      <c r="V10" s="253"/>
      <c r="W10" s="253"/>
      <c r="X10" s="253"/>
      <c r="Y10" s="253"/>
      <c r="Z10" s="253"/>
      <c r="AA10" s="263"/>
      <c r="AB10" s="263"/>
      <c r="AC10" s="263"/>
      <c r="AD10" s="263"/>
      <c r="AE10" s="263"/>
      <c r="AF10" s="263"/>
      <c r="AG10" s="263"/>
      <c r="AH10" s="263"/>
      <c r="AI10" s="263"/>
      <c r="AJ10" s="263"/>
      <c r="AK10" s="263"/>
    </row>
    <row r="11" spans="1:38">
      <c r="A11" s="153">
        <v>2</v>
      </c>
      <c r="B11" s="1369" t="s">
        <v>1395</v>
      </c>
      <c r="C11" s="561"/>
      <c r="D11" s="561"/>
      <c r="E11" s="183"/>
      <c r="F11" s="183"/>
      <c r="G11" s="183"/>
      <c r="H11" s="183"/>
      <c r="I11" s="183"/>
      <c r="J11" s="183"/>
      <c r="K11" s="183"/>
      <c r="L11" s="183"/>
      <c r="M11" s="253"/>
      <c r="N11" s="253"/>
      <c r="O11" s="253"/>
      <c r="P11" s="253"/>
      <c r="Q11" s="253"/>
      <c r="R11" s="253"/>
      <c r="S11" s="253"/>
      <c r="T11" s="253"/>
      <c r="U11" s="253"/>
      <c r="V11" s="253"/>
      <c r="W11" s="253"/>
      <c r="X11" s="253"/>
      <c r="Y11" s="253"/>
      <c r="Z11" s="253"/>
      <c r="AA11" s="263"/>
      <c r="AB11" s="263"/>
      <c r="AC11" s="263"/>
      <c r="AD11" s="263"/>
      <c r="AE11" s="263"/>
      <c r="AF11" s="263"/>
      <c r="AG11" s="263"/>
      <c r="AH11" s="263"/>
      <c r="AI11" s="263"/>
      <c r="AJ11" s="263"/>
      <c r="AK11" s="263"/>
    </row>
    <row r="12" spans="1:38">
      <c r="A12" s="153">
        <v>3</v>
      </c>
      <c r="B12" s="1372" t="s">
        <v>1396</v>
      </c>
      <c r="C12" s="561"/>
      <c r="D12" s="561"/>
      <c r="E12" s="183"/>
      <c r="F12" s="183"/>
      <c r="G12" s="183"/>
      <c r="H12" s="183"/>
      <c r="I12" s="183"/>
      <c r="J12" s="183"/>
      <c r="K12" s="183"/>
      <c r="L12" s="183"/>
      <c r="M12" s="253"/>
      <c r="N12" s="253"/>
      <c r="O12" s="253"/>
      <c r="P12" s="253"/>
      <c r="Q12" s="253"/>
      <c r="R12" s="253"/>
      <c r="S12" s="253"/>
      <c r="T12" s="253"/>
      <c r="U12" s="253"/>
      <c r="V12" s="253"/>
      <c r="W12" s="253"/>
      <c r="X12" s="253"/>
      <c r="Y12" s="253"/>
      <c r="Z12" s="253"/>
      <c r="AA12" s="263"/>
      <c r="AB12" s="263"/>
      <c r="AC12" s="263"/>
      <c r="AD12" s="263"/>
      <c r="AE12" s="263"/>
      <c r="AF12" s="263"/>
      <c r="AG12" s="263"/>
      <c r="AH12" s="263"/>
      <c r="AI12" s="263"/>
      <c r="AJ12" s="263"/>
      <c r="AK12" s="263"/>
    </row>
    <row r="13" spans="1:38">
      <c r="A13" s="53"/>
      <c r="B13" s="1369" t="s">
        <v>1044</v>
      </c>
      <c r="C13" s="40"/>
      <c r="D13" s="40"/>
      <c r="E13" s="40"/>
      <c r="F13" s="263"/>
      <c r="G13" s="40"/>
      <c r="H13" s="40"/>
      <c r="I13" s="40"/>
      <c r="J13" s="40"/>
      <c r="K13" s="40"/>
      <c r="L13" s="40"/>
      <c r="M13" s="40"/>
      <c r="N13" s="40"/>
      <c r="O13" s="40"/>
      <c r="P13" s="40"/>
      <c r="Q13" s="40"/>
      <c r="R13" s="40"/>
      <c r="S13" s="40"/>
      <c r="T13" s="40"/>
      <c r="U13" s="40"/>
      <c r="V13" s="40"/>
      <c r="W13" s="40"/>
      <c r="X13" s="40"/>
      <c r="Y13" s="40"/>
      <c r="Z13" s="40"/>
      <c r="AA13" s="263"/>
      <c r="AB13" s="263"/>
      <c r="AC13" s="263"/>
      <c r="AD13" s="263"/>
      <c r="AE13" s="263"/>
      <c r="AF13" s="263"/>
      <c r="AG13" s="263"/>
      <c r="AH13" s="263"/>
      <c r="AI13" s="263"/>
      <c r="AJ13" s="263"/>
      <c r="AK13" s="263"/>
    </row>
    <row r="14" spans="1:38">
      <c r="A14" s="53"/>
      <c r="B14" s="1369" t="s">
        <v>1045</v>
      </c>
      <c r="C14" s="561"/>
      <c r="D14" s="561"/>
      <c r="E14" s="183"/>
      <c r="F14" s="183"/>
      <c r="G14" s="183"/>
      <c r="H14" s="183"/>
      <c r="I14" s="183"/>
      <c r="J14" s="183"/>
      <c r="K14" s="183"/>
      <c r="L14" s="183"/>
      <c r="M14" s="253"/>
      <c r="N14" s="253"/>
      <c r="O14" s="253"/>
      <c r="P14" s="253"/>
      <c r="Q14" s="253"/>
      <c r="R14" s="253"/>
      <c r="S14" s="253"/>
      <c r="T14" s="253"/>
      <c r="U14" s="253"/>
      <c r="V14" s="253"/>
      <c r="W14" s="253"/>
      <c r="X14" s="253"/>
      <c r="Y14" s="253"/>
      <c r="Z14" s="253"/>
      <c r="AA14" s="263"/>
      <c r="AB14" s="263"/>
      <c r="AC14" s="263"/>
      <c r="AD14" s="263"/>
      <c r="AE14" s="263"/>
      <c r="AF14" s="263"/>
      <c r="AG14" s="263"/>
      <c r="AH14" s="263"/>
      <c r="AI14" s="263"/>
      <c r="AJ14" s="263"/>
      <c r="AK14" s="263"/>
    </row>
    <row r="15" spans="1:38">
      <c r="A15" s="53"/>
      <c r="B15" s="1369" t="s">
        <v>1046</v>
      </c>
      <c r="C15" s="561"/>
      <c r="D15" s="561"/>
      <c r="E15" s="183"/>
      <c r="F15" s="183"/>
      <c r="G15" s="183"/>
      <c r="H15" s="183"/>
      <c r="I15" s="183"/>
      <c r="J15" s="183"/>
      <c r="K15" s="183"/>
      <c r="L15" s="183"/>
      <c r="M15" s="253"/>
      <c r="N15" s="253"/>
      <c r="O15" s="253"/>
      <c r="P15" s="253"/>
      <c r="Q15" s="253"/>
      <c r="R15" s="253"/>
      <c r="S15" s="253"/>
      <c r="T15" s="253"/>
      <c r="U15" s="253"/>
      <c r="V15" s="253"/>
      <c r="W15" s="253"/>
      <c r="X15" s="253"/>
      <c r="Y15" s="253"/>
      <c r="Z15" s="253"/>
      <c r="AA15" s="263"/>
      <c r="AB15" s="263"/>
      <c r="AC15" s="263"/>
      <c r="AD15" s="263"/>
      <c r="AE15" s="263"/>
      <c r="AF15" s="263"/>
      <c r="AG15" s="263"/>
      <c r="AH15" s="263"/>
      <c r="AI15" s="263"/>
      <c r="AJ15" s="263"/>
      <c r="AK15" s="263"/>
    </row>
    <row r="16" spans="1:38">
      <c r="B16" s="1369" t="s">
        <v>1047</v>
      </c>
      <c r="C16" s="561"/>
      <c r="D16" s="561"/>
      <c r="E16" s="183"/>
      <c r="F16" s="183"/>
      <c r="G16" s="183"/>
      <c r="H16" s="183"/>
      <c r="I16" s="183"/>
      <c r="J16" s="183"/>
      <c r="K16" s="183"/>
      <c r="L16" s="183"/>
      <c r="M16" s="253"/>
      <c r="N16" s="253"/>
      <c r="O16" s="253"/>
      <c r="P16" s="253"/>
      <c r="Q16" s="253"/>
      <c r="R16" s="253"/>
      <c r="S16" s="253"/>
      <c r="T16" s="253"/>
      <c r="U16" s="253"/>
      <c r="V16" s="253"/>
      <c r="W16" s="253"/>
      <c r="X16" s="253"/>
      <c r="Y16" s="253"/>
      <c r="Z16" s="253"/>
      <c r="AA16" s="263"/>
      <c r="AB16" s="263"/>
      <c r="AC16" s="263"/>
      <c r="AD16" s="263"/>
      <c r="AE16" s="263"/>
      <c r="AF16" s="263"/>
      <c r="AG16" s="263"/>
      <c r="AH16" s="263"/>
      <c r="AI16" s="263"/>
      <c r="AJ16" s="263"/>
      <c r="AK16" s="263"/>
    </row>
    <row r="17" spans="2:37">
      <c r="B17" s="1369" t="s">
        <v>1425</v>
      </c>
      <c r="C17" s="955"/>
      <c r="D17" s="955"/>
      <c r="E17" s="955"/>
      <c r="F17" s="955"/>
      <c r="G17" s="955"/>
      <c r="H17" s="955"/>
      <c r="I17" s="955"/>
      <c r="J17" s="955"/>
      <c r="K17" s="955"/>
      <c r="L17" s="955"/>
      <c r="M17" s="955"/>
      <c r="N17" s="955"/>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row>
    <row r="18" spans="2:37">
      <c r="B18" s="1369" t="s">
        <v>1446</v>
      </c>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row>
    <row r="19" spans="2:37">
      <c r="B19" s="1367" t="s">
        <v>1398</v>
      </c>
      <c r="C19" s="263"/>
      <c r="D19" s="263"/>
      <c r="E19" s="263"/>
      <c r="F19" s="263"/>
      <c r="G19" s="263"/>
      <c r="H19" s="263"/>
      <c r="I19" s="263"/>
      <c r="J19" s="263"/>
      <c r="K19" s="263"/>
      <c r="L19" s="263"/>
      <c r="M19" s="263"/>
      <c r="N19" s="263"/>
      <c r="O19" s="263"/>
      <c r="P19" s="263"/>
      <c r="Q19" s="263"/>
      <c r="R19" s="263"/>
      <c r="S19" s="263"/>
      <c r="T19" s="35"/>
      <c r="U19" s="35"/>
      <c r="V19" s="35"/>
      <c r="W19" s="35"/>
      <c r="X19" s="35"/>
      <c r="Y19" s="35"/>
      <c r="Z19" s="35"/>
      <c r="AA19" s="263"/>
      <c r="AB19" s="263"/>
      <c r="AC19" s="263"/>
      <c r="AD19" s="263"/>
      <c r="AE19" s="263"/>
      <c r="AF19" s="263"/>
      <c r="AG19" s="263"/>
      <c r="AH19" s="263"/>
      <c r="AI19" s="263"/>
      <c r="AJ19" s="263"/>
      <c r="AK19" s="263"/>
    </row>
    <row r="20" spans="2:37">
      <c r="B20" s="1377" t="s">
        <v>1051</v>
      </c>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row>
    <row r="21" spans="2:37">
      <c r="B21" s="1377" t="s">
        <v>1052</v>
      </c>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row>
    <row r="22" spans="2:37">
      <c r="B22" s="1377" t="s">
        <v>1399</v>
      </c>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row>
    <row r="23" spans="2:37">
      <c r="B23" s="1377" t="s">
        <v>1054</v>
      </c>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row>
    <row r="24" spans="2:37">
      <c r="B24" s="1369" t="s">
        <v>1425</v>
      </c>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row>
    <row r="25" spans="2:37">
      <c r="B25" s="1369" t="s">
        <v>1446</v>
      </c>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row>
    <row r="26" spans="2:37">
      <c r="B26" s="1367" t="s">
        <v>1400</v>
      </c>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row>
    <row r="27" spans="2:37">
      <c r="B27" s="1377" t="s">
        <v>1401</v>
      </c>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row>
    <row r="28" spans="2:37">
      <c r="B28" s="1378" t="s">
        <v>1060</v>
      </c>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row>
    <row r="29" spans="2:37">
      <c r="B29" s="1378" t="s">
        <v>1061</v>
      </c>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row>
    <row r="30" spans="2:37">
      <c r="B30" s="1378" t="s">
        <v>1062</v>
      </c>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row>
    <row r="31" spans="2:37">
      <c r="B31" s="1377" t="s">
        <v>476</v>
      </c>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row>
    <row r="32" spans="2:37">
      <c r="B32" s="1378" t="s">
        <v>1063</v>
      </c>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row>
    <row r="33" spans="2:37">
      <c r="B33" s="1378" t="s">
        <v>1064</v>
      </c>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row>
    <row r="34" spans="2:37">
      <c r="B34" s="1378" t="s">
        <v>1065</v>
      </c>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row>
    <row r="35" spans="2:37">
      <c r="B35" s="1369" t="s">
        <v>1425</v>
      </c>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row>
    <row r="36" spans="2:37">
      <c r="B36" s="1369" t="s">
        <v>1446</v>
      </c>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row>
    <row r="37" spans="2:37">
      <c r="B37" s="1367" t="s">
        <v>1067</v>
      </c>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row>
    <row r="38" spans="2:37">
      <c r="B38" s="1377" t="s">
        <v>1068</v>
      </c>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row>
    <row r="39" spans="2:37">
      <c r="B39" s="1377" t="s">
        <v>1072</v>
      </c>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row>
    <row r="40" spans="2:37">
      <c r="B40" s="1369" t="s">
        <v>1425</v>
      </c>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row>
    <row r="41" spans="2:37">
      <c r="B41" s="1369" t="s">
        <v>1446</v>
      </c>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row>
    <row r="42" spans="2:37">
      <c r="B42" s="1367" t="s">
        <v>1076</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row>
    <row r="43" spans="2:37">
      <c r="B43" s="1377" t="s">
        <v>1401</v>
      </c>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263"/>
    </row>
    <row r="44" spans="2:37">
      <c r="B44" s="1378" t="s">
        <v>1077</v>
      </c>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263"/>
    </row>
    <row r="45" spans="2:37">
      <c r="B45" s="1377" t="s">
        <v>476</v>
      </c>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row>
    <row r="46" spans="2:37">
      <c r="B46" s="1378" t="s">
        <v>1078</v>
      </c>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row>
    <row r="47" spans="2:37">
      <c r="B47" s="1378" t="s">
        <v>1079</v>
      </c>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row>
    <row r="48" spans="2:37">
      <c r="B48" s="1369" t="s">
        <v>1425</v>
      </c>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row>
    <row r="49" spans="2:37">
      <c r="B49" s="1369" t="s">
        <v>1446</v>
      </c>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row>
    <row r="50" spans="2:37">
      <c r="B50" s="1367" t="s">
        <v>1081</v>
      </c>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row>
    <row r="51" spans="2:37">
      <c r="B51" s="1377" t="s">
        <v>1012</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row>
    <row r="52" spans="2:37">
      <c r="B52" s="1377" t="s">
        <v>1011</v>
      </c>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row>
    <row r="53" spans="2:37">
      <c r="B53" s="1369" t="s">
        <v>1425</v>
      </c>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row>
    <row r="54" spans="2:37">
      <c r="B54" s="1369" t="s">
        <v>1446</v>
      </c>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row>
    <row r="55" spans="2:37">
      <c r="B55" s="1367" t="s">
        <v>1402</v>
      </c>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row>
    <row r="56" spans="2:37">
      <c r="B56" s="1377" t="s">
        <v>475</v>
      </c>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row>
    <row r="57" spans="2:37">
      <c r="B57" s="1378" t="s">
        <v>1091</v>
      </c>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263"/>
    </row>
    <row r="58" spans="2:37">
      <c r="B58" s="1378" t="s">
        <v>1092</v>
      </c>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row>
    <row r="59" spans="2:37">
      <c r="B59" s="1378" t="s">
        <v>1093</v>
      </c>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row>
    <row r="60" spans="2:37">
      <c r="B60" s="1377" t="s">
        <v>1403</v>
      </c>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row>
    <row r="61" spans="2:37">
      <c r="B61" s="1378" t="s">
        <v>1094</v>
      </c>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row>
    <row r="62" spans="2:37">
      <c r="B62" s="1378" t="s">
        <v>1095</v>
      </c>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row>
    <row r="63" spans="2:37">
      <c r="B63" s="1378" t="s">
        <v>1096</v>
      </c>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row>
    <row r="64" spans="2:37">
      <c r="B64" s="1369" t="s">
        <v>1425</v>
      </c>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row>
    <row r="65" spans="2:37">
      <c r="B65" s="1369" t="s">
        <v>1446</v>
      </c>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row>
    <row r="66" spans="2:37">
      <c r="B66" s="1367" t="s">
        <v>1098</v>
      </c>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row>
    <row r="67" spans="2:37">
      <c r="B67" s="1377" t="s">
        <v>476</v>
      </c>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row>
    <row r="68" spans="2:37">
      <c r="B68" s="1378" t="s">
        <v>1099</v>
      </c>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row>
    <row r="69" spans="2:37">
      <c r="B69" s="1377" t="s">
        <v>1404</v>
      </c>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row>
    <row r="70" spans="2:37">
      <c r="B70" s="1378" t="s">
        <v>1405</v>
      </c>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row>
    <row r="71" spans="2:37">
      <c r="B71" s="1378" t="s">
        <v>1101</v>
      </c>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row>
    <row r="72" spans="2:37">
      <c r="B72" s="1369" t="s">
        <v>1425</v>
      </c>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row>
    <row r="73" spans="2:37">
      <c r="B73" s="1369" t="s">
        <v>1446</v>
      </c>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row>
    <row r="74" spans="2:37">
      <c r="B74" s="1367" t="s">
        <v>1406</v>
      </c>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row>
    <row r="75" spans="2:37">
      <c r="B75" s="1377" t="s">
        <v>476</v>
      </c>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row>
    <row r="76" spans="2:37">
      <c r="B76" s="1378" t="s">
        <v>1104</v>
      </c>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row>
    <row r="77" spans="2:37">
      <c r="B77" s="1378" t="s">
        <v>1105</v>
      </c>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row>
    <row r="78" spans="2:37">
      <c r="B78" s="1377" t="s">
        <v>1404</v>
      </c>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row>
    <row r="79" spans="2:37">
      <c r="B79" s="1378" t="s">
        <v>1106</v>
      </c>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row>
    <row r="80" spans="2:37">
      <c r="B80" s="1378" t="s">
        <v>1107</v>
      </c>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row>
    <row r="81" spans="2:37">
      <c r="B81" s="1369" t="s">
        <v>1425</v>
      </c>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row>
    <row r="82" spans="2:37">
      <c r="B82" s="1369" t="s">
        <v>1446</v>
      </c>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row>
    <row r="83" spans="2:37">
      <c r="B83" s="1367" t="s">
        <v>1109</v>
      </c>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row>
    <row r="84" spans="2:37">
      <c r="B84" s="1369" t="s">
        <v>1429</v>
      </c>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row>
    <row r="85" spans="2:37">
      <c r="B85" s="1369" t="s">
        <v>1446</v>
      </c>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row>
    <row r="86" spans="2:37">
      <c r="B86" s="1367" t="s">
        <v>1407</v>
      </c>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row>
    <row r="87" spans="2:37">
      <c r="B87" s="1377" t="s">
        <v>1146</v>
      </c>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row>
    <row r="88" spans="2:37">
      <c r="B88" s="1378" t="s">
        <v>1408</v>
      </c>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row>
    <row r="89" spans="2:37">
      <c r="B89" s="1378" t="s">
        <v>1409</v>
      </c>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row>
    <row r="90" spans="2:37">
      <c r="B90" s="1377" t="s">
        <v>1410</v>
      </c>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row>
    <row r="91" spans="2:37">
      <c r="B91" s="1378" t="s">
        <v>469</v>
      </c>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row>
    <row r="92" spans="2:37">
      <c r="B92" s="1378" t="s">
        <v>470</v>
      </c>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row>
    <row r="93" spans="2:37">
      <c r="B93" s="1369" t="s">
        <v>1425</v>
      </c>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row>
    <row r="94" spans="2:37">
      <c r="B94" s="1369" t="s">
        <v>1446</v>
      </c>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row>
    <row r="95" spans="2:37">
      <c r="B95" s="1367" t="s">
        <v>1119</v>
      </c>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row>
    <row r="96" spans="2:37">
      <c r="B96" s="1367" t="s">
        <v>475</v>
      </c>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row>
    <row r="97" spans="2:37">
      <c r="B97" s="1378" t="s">
        <v>1411</v>
      </c>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row>
    <row r="98" spans="2:37">
      <c r="B98" s="1378" t="s">
        <v>1412</v>
      </c>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row>
    <row r="99" spans="2:37">
      <c r="B99" s="1367" t="s">
        <v>1403</v>
      </c>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row>
    <row r="100" spans="2:37">
      <c r="B100" s="1378" t="s">
        <v>1413</v>
      </c>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row>
    <row r="101" spans="2:37">
      <c r="B101" s="1378" t="s">
        <v>1414</v>
      </c>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row>
    <row r="102" spans="2:37">
      <c r="B102" s="1369" t="s">
        <v>1425</v>
      </c>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row>
    <row r="103" spans="2:37">
      <c r="B103" s="1369" t="s">
        <v>1446</v>
      </c>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row>
    <row r="104" spans="2:37">
      <c r="B104" s="1367" t="s">
        <v>1125</v>
      </c>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row>
    <row r="105" spans="2:37">
      <c r="B105" s="1378" t="s">
        <v>1126</v>
      </c>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row>
    <row r="106" spans="2:37">
      <c r="B106" s="1378" t="s">
        <v>1127</v>
      </c>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row>
    <row r="107" spans="2:37">
      <c r="B107" s="1378" t="s">
        <v>1128</v>
      </c>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row>
    <row r="108" spans="2:37">
      <c r="B108" s="1378" t="s">
        <v>1129</v>
      </c>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row>
    <row r="109" spans="2:37">
      <c r="B109" s="1377" t="s">
        <v>1130</v>
      </c>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row>
    <row r="110" spans="2:37">
      <c r="B110" s="1369" t="s">
        <v>1425</v>
      </c>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row>
    <row r="111" spans="2:37">
      <c r="B111" s="1369" t="s">
        <v>1446</v>
      </c>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row>
    <row r="112" spans="2:37">
      <c r="B112" s="1367" t="s">
        <v>1133</v>
      </c>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row>
    <row r="113" spans="2:37">
      <c r="B113" s="1378" t="s">
        <v>1415</v>
      </c>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row>
    <row r="114" spans="2:37">
      <c r="B114" s="1378" t="s">
        <v>1134</v>
      </c>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row>
    <row r="115" spans="2:37">
      <c r="B115" s="1378" t="s">
        <v>1135</v>
      </c>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row>
    <row r="116" spans="2:37">
      <c r="B116" s="1369" t="s">
        <v>1425</v>
      </c>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row>
    <row r="117" spans="2:37">
      <c r="B117" s="1369" t="s">
        <v>1446</v>
      </c>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row>
    <row r="118" spans="2:37" ht="28">
      <c r="B118" s="1367" t="s">
        <v>1137</v>
      </c>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row>
    <row r="119" spans="2:37">
      <c r="B119" s="1378" t="s">
        <v>1138</v>
      </c>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row>
    <row r="120" spans="2:37">
      <c r="B120" s="1378" t="s">
        <v>1139</v>
      </c>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row>
    <row r="121" spans="2:37">
      <c r="B121" s="1378" t="s">
        <v>1140</v>
      </c>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row>
    <row r="122" spans="2:37">
      <c r="B122" s="1369" t="s">
        <v>1425</v>
      </c>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row>
    <row r="123" spans="2:37">
      <c r="B123" s="1369" t="s">
        <v>1446</v>
      </c>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row>
    <row r="124" spans="2:37">
      <c r="B124" s="1367" t="s">
        <v>1143</v>
      </c>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row>
    <row r="125" spans="2:37">
      <c r="B125" s="1367" t="s">
        <v>1434</v>
      </c>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row>
    <row r="126" spans="2:37">
      <c r="B126" s="1377" t="s">
        <v>126</v>
      </c>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row>
    <row r="127" spans="2:37">
      <c r="B127" s="1369" t="s">
        <v>1446</v>
      </c>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row>
  </sheetData>
  <mergeCells count="22">
    <mergeCell ref="A5:A8"/>
    <mergeCell ref="N3:P3"/>
    <mergeCell ref="N4:P4"/>
    <mergeCell ref="C5:I5"/>
    <mergeCell ref="C6:I6"/>
    <mergeCell ref="C7:I7"/>
    <mergeCell ref="B5:B8"/>
    <mergeCell ref="AA3:AB3"/>
    <mergeCell ref="AA4:AB4"/>
    <mergeCell ref="AI3:AK3"/>
    <mergeCell ref="AD3:AH3"/>
    <mergeCell ref="AD4:AH4"/>
    <mergeCell ref="X5:AD5"/>
    <mergeCell ref="AE5:AK5"/>
    <mergeCell ref="J5:W5"/>
    <mergeCell ref="J6:W6"/>
    <mergeCell ref="J7:P7"/>
    <mergeCell ref="Q7:W7"/>
    <mergeCell ref="X6:AD6"/>
    <mergeCell ref="X7:AD7"/>
    <mergeCell ref="AE6:AK6"/>
    <mergeCell ref="AE7:AK7"/>
  </mergeCells>
  <printOptions horizontalCentered="1"/>
  <pageMargins left="0.19685039370078741" right="0.19685039370078741" top="0.19685039370078741" bottom="0.19685039370078741" header="0.19685039370078741" footer="0.19685039370078741"/>
  <pageSetup paperSize="9" scale="29" orientation="landscape" r:id="rId1"/>
  <colBreaks count="1" manualBreakCount="1">
    <brk id="27" max="12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8"/>
  <sheetViews>
    <sheetView view="pageBreakPreview" zoomScaleNormal="80" zoomScaleSheetLayoutView="100" workbookViewId="0">
      <pane xSplit="2" ySplit="9" topLeftCell="F10"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4.1796875" customWidth="1"/>
    <col min="2" max="2" width="52.453125" bestFit="1" customWidth="1"/>
    <col min="3" max="3" width="11.26953125" bestFit="1" customWidth="1"/>
    <col min="4" max="4" width="10.54296875" customWidth="1"/>
    <col min="5" max="5" width="11.26953125" bestFit="1" customWidth="1"/>
    <col min="6" max="6" width="8" customWidth="1"/>
    <col min="7" max="7" width="10.54296875" customWidth="1"/>
    <col min="8" max="8" width="7.54296875" customWidth="1"/>
    <col min="9" max="9" width="10.54296875" bestFit="1" customWidth="1"/>
    <col min="10" max="10" width="10.453125" customWidth="1"/>
    <col min="11" max="11" width="10.54296875" bestFit="1" customWidth="1"/>
    <col min="12" max="12" width="10.81640625" customWidth="1"/>
    <col min="13" max="13" width="11.26953125" customWidth="1"/>
    <col min="14" max="15" width="10.453125" customWidth="1"/>
    <col min="16" max="16" width="11" customWidth="1"/>
    <col min="17" max="17" width="10.1796875" bestFit="1" customWidth="1"/>
  </cols>
  <sheetData>
    <row r="1" spans="1:17" s="220" customFormat="1">
      <c r="A1" s="307" t="s">
        <v>530</v>
      </c>
      <c r="B1" s="307" t="s">
        <v>530</v>
      </c>
    </row>
    <row r="2" spans="1:17">
      <c r="A2" s="344" t="s">
        <v>1604</v>
      </c>
      <c r="B2" s="344" t="s">
        <v>1604</v>
      </c>
      <c r="C2" s="344"/>
      <c r="D2" s="344"/>
      <c r="E2" s="344"/>
      <c r="F2" s="344"/>
      <c r="G2" s="344"/>
      <c r="H2" s="344"/>
      <c r="I2" s="344"/>
      <c r="J2" s="344"/>
      <c r="K2" s="344"/>
    </row>
    <row r="3" spans="1:17">
      <c r="A3" s="556" t="s">
        <v>514</v>
      </c>
      <c r="B3" s="556" t="s">
        <v>514</v>
      </c>
      <c r="C3" s="556"/>
      <c r="D3" s="556"/>
      <c r="E3" s="556"/>
      <c r="F3" s="556"/>
      <c r="G3" s="556"/>
      <c r="H3" s="556"/>
      <c r="I3" s="63"/>
      <c r="J3" s="63"/>
      <c r="K3" s="63"/>
      <c r="L3" s="63"/>
      <c r="M3" s="63"/>
      <c r="N3" s="63"/>
      <c r="O3" s="63"/>
      <c r="P3" s="63"/>
      <c r="Q3" s="63"/>
    </row>
    <row r="4" spans="1:17">
      <c r="A4" s="3078"/>
      <c r="B4" s="3078"/>
      <c r="C4" s="3078"/>
      <c r="D4" s="3078"/>
      <c r="E4" s="3078"/>
      <c r="F4" s="3078"/>
      <c r="G4" s="3078"/>
      <c r="H4" s="3078"/>
      <c r="I4" s="3078"/>
      <c r="J4" s="3078"/>
      <c r="K4" s="3078"/>
    </row>
    <row r="5" spans="1:17">
      <c r="A5" s="3029" t="s">
        <v>1276</v>
      </c>
      <c r="B5" s="3081" t="s">
        <v>179</v>
      </c>
      <c r="C5" s="3062" t="s">
        <v>561</v>
      </c>
      <c r="D5" s="3063"/>
      <c r="E5" s="3063"/>
      <c r="F5" s="3062" t="s">
        <v>575</v>
      </c>
      <c r="G5" s="3063"/>
      <c r="H5" s="3063"/>
      <c r="I5" s="3063"/>
      <c r="J5" s="3063"/>
      <c r="K5" s="3064"/>
      <c r="L5" s="3062" t="s">
        <v>550</v>
      </c>
      <c r="M5" s="3063"/>
      <c r="N5" s="3063"/>
      <c r="O5" s="3070" t="s">
        <v>952</v>
      </c>
      <c r="P5" s="3070"/>
      <c r="Q5" s="3070"/>
    </row>
    <row r="6" spans="1:17">
      <c r="A6" s="3079"/>
      <c r="B6" s="3079"/>
      <c r="C6" s="3062" t="s">
        <v>551</v>
      </c>
      <c r="D6" s="3063"/>
      <c r="E6" s="3064"/>
      <c r="F6" s="3062" t="s">
        <v>545</v>
      </c>
      <c r="G6" s="3063"/>
      <c r="H6" s="3063"/>
      <c r="I6" s="3063"/>
      <c r="J6" s="3063"/>
      <c r="K6" s="3064"/>
      <c r="L6" s="3062" t="s">
        <v>546</v>
      </c>
      <c r="M6" s="3063"/>
      <c r="N6" s="3064"/>
      <c r="O6" s="3062" t="s">
        <v>547</v>
      </c>
      <c r="P6" s="3063"/>
      <c r="Q6" s="3064"/>
    </row>
    <row r="7" spans="1:17">
      <c r="A7" s="3079"/>
      <c r="B7" s="3079"/>
      <c r="C7" s="3070" t="s">
        <v>1291</v>
      </c>
      <c r="D7" s="3070"/>
      <c r="E7" s="3070"/>
      <c r="F7" s="3062" t="s">
        <v>543</v>
      </c>
      <c r="G7" s="3063"/>
      <c r="H7" s="3064"/>
      <c r="I7" s="3062" t="s">
        <v>544</v>
      </c>
      <c r="J7" s="3063"/>
      <c r="K7" s="3064"/>
      <c r="L7" s="3062" t="s">
        <v>1418</v>
      </c>
      <c r="M7" s="3063"/>
      <c r="N7" s="3064"/>
      <c r="O7" s="3062" t="s">
        <v>283</v>
      </c>
      <c r="P7" s="3063"/>
      <c r="Q7" s="3064"/>
    </row>
    <row r="8" spans="1:17" ht="43.5">
      <c r="A8" s="3080"/>
      <c r="B8" s="3080"/>
      <c r="C8" s="205" t="s">
        <v>512</v>
      </c>
      <c r="D8" s="205" t="s">
        <v>513</v>
      </c>
      <c r="E8" s="205" t="s">
        <v>515</v>
      </c>
      <c r="F8" s="205" t="s">
        <v>512</v>
      </c>
      <c r="G8" s="205" t="s">
        <v>513</v>
      </c>
      <c r="H8" s="205" t="s">
        <v>515</v>
      </c>
      <c r="I8" s="205" t="s">
        <v>512</v>
      </c>
      <c r="J8" s="205" t="s">
        <v>513</v>
      </c>
      <c r="K8" s="205" t="s">
        <v>515</v>
      </c>
      <c r="L8" s="205" t="s">
        <v>512</v>
      </c>
      <c r="M8" s="205" t="s">
        <v>513</v>
      </c>
      <c r="N8" s="205" t="s">
        <v>515</v>
      </c>
      <c r="O8" s="205" t="s">
        <v>512</v>
      </c>
      <c r="P8" s="205" t="s">
        <v>513</v>
      </c>
      <c r="Q8" s="205" t="s">
        <v>515</v>
      </c>
    </row>
    <row r="9" spans="1:17">
      <c r="A9" s="13"/>
      <c r="B9" s="13"/>
      <c r="C9" s="73" t="s">
        <v>280</v>
      </c>
      <c r="D9" s="73" t="s">
        <v>280</v>
      </c>
      <c r="E9" s="73" t="s">
        <v>280</v>
      </c>
      <c r="F9" s="73" t="s">
        <v>280</v>
      </c>
      <c r="G9" s="73" t="s">
        <v>280</v>
      </c>
      <c r="H9" s="73" t="s">
        <v>280</v>
      </c>
      <c r="I9" s="73" t="s">
        <v>280</v>
      </c>
      <c r="J9" s="73" t="s">
        <v>280</v>
      </c>
      <c r="K9" s="73" t="s">
        <v>280</v>
      </c>
      <c r="L9" s="73" t="s">
        <v>280</v>
      </c>
      <c r="M9" s="73" t="s">
        <v>280</v>
      </c>
      <c r="N9" s="73" t="s">
        <v>280</v>
      </c>
      <c r="O9" s="73" t="s">
        <v>280</v>
      </c>
      <c r="P9" s="73" t="s">
        <v>280</v>
      </c>
      <c r="Q9" s="73" t="s">
        <v>280</v>
      </c>
    </row>
    <row r="10" spans="1:17">
      <c r="A10" s="153">
        <v>1</v>
      </c>
      <c r="B10" s="1367" t="s">
        <v>1043</v>
      </c>
      <c r="C10" s="1061"/>
      <c r="D10" s="1061"/>
      <c r="E10" s="1061"/>
      <c r="F10" s="1061"/>
      <c r="G10" s="1061"/>
      <c r="H10" s="1061"/>
      <c r="I10" s="1061"/>
      <c r="J10" s="1061"/>
      <c r="K10" s="1061"/>
      <c r="L10" s="1061"/>
      <c r="M10" s="1061"/>
      <c r="N10" s="1061"/>
      <c r="O10" s="1061"/>
      <c r="P10" s="1061"/>
      <c r="Q10" s="1061"/>
    </row>
    <row r="11" spans="1:17">
      <c r="A11" s="153"/>
      <c r="B11" s="1369" t="s">
        <v>1395</v>
      </c>
      <c r="C11" s="1061"/>
      <c r="D11" s="1061"/>
      <c r="E11" s="1061"/>
      <c r="F11" s="1061"/>
      <c r="G11" s="1061"/>
      <c r="H11" s="1061"/>
      <c r="I11" s="1061"/>
      <c r="J11" s="1061"/>
      <c r="K11" s="1061"/>
      <c r="L11" s="1061"/>
      <c r="M11" s="1061"/>
      <c r="N11" s="1061"/>
      <c r="O11" s="1061"/>
      <c r="P11" s="1061"/>
      <c r="Q11" s="1061"/>
    </row>
    <row r="12" spans="1:17">
      <c r="A12" s="153"/>
      <c r="B12" s="1372" t="s">
        <v>1396</v>
      </c>
      <c r="C12" s="1061"/>
      <c r="D12" s="1061">
        <v>285.58</v>
      </c>
      <c r="E12" s="1061">
        <f>SUM(C12:D12)</f>
        <v>285.58</v>
      </c>
      <c r="F12" s="1061"/>
      <c r="G12" s="1061"/>
      <c r="H12" s="1061"/>
      <c r="I12" s="1061"/>
      <c r="J12" s="1061">
        <v>634.399</v>
      </c>
      <c r="K12" s="1061">
        <f>SUM(I12:J12)</f>
        <v>634.399</v>
      </c>
      <c r="L12" s="1061"/>
      <c r="M12" s="1061">
        <v>4584.62557564695</v>
      </c>
      <c r="N12" s="1061">
        <f>SUM(L12:M12)</f>
        <v>4584.62557564695</v>
      </c>
      <c r="O12" s="1061">
        <v>4813.8568544292975</v>
      </c>
      <c r="P12" s="1061"/>
      <c r="Q12" s="1061">
        <f>SUM(O12:P12)</f>
        <v>4813.8568544292975</v>
      </c>
    </row>
    <row r="13" spans="1:17">
      <c r="A13" s="7"/>
      <c r="B13" s="1369" t="s">
        <v>1044</v>
      </c>
      <c r="C13" s="1484"/>
      <c r="D13" s="1061">
        <v>2523</v>
      </c>
      <c r="E13" s="1061">
        <f t="shared" ref="E13:E16" si="0">SUM(C13:D13)</f>
        <v>2523</v>
      </c>
      <c r="F13" s="1484"/>
      <c r="G13" s="1484"/>
      <c r="H13" s="1484"/>
      <c r="I13" s="1484"/>
      <c r="J13" s="1061">
        <v>1856.77</v>
      </c>
      <c r="K13" s="1061">
        <f t="shared" ref="K13:K16" si="1">SUM(I13:J13)</f>
        <v>1856.77</v>
      </c>
      <c r="L13" s="1484"/>
      <c r="M13" s="1061">
        <v>1346.1611616</v>
      </c>
      <c r="N13" s="1061">
        <f t="shared" ref="N13:N16" si="2">SUM(L13:M13)</f>
        <v>1346.1611616</v>
      </c>
      <c r="O13" s="1061">
        <v>626.66123040000014</v>
      </c>
      <c r="P13" s="1484"/>
      <c r="Q13" s="1061">
        <f t="shared" ref="Q13:Q16" si="3">SUM(O13:P13)</f>
        <v>626.66123040000014</v>
      </c>
    </row>
    <row r="14" spans="1:17">
      <c r="A14" s="7"/>
      <c r="B14" s="1369" t="s">
        <v>1045</v>
      </c>
      <c r="C14" s="1061">
        <v>6502.07</v>
      </c>
      <c r="D14" s="247"/>
      <c r="E14" s="1061">
        <f t="shared" si="0"/>
        <v>6502.07</v>
      </c>
      <c r="F14" s="247"/>
      <c r="G14" s="247"/>
      <c r="H14" s="247"/>
      <c r="I14" s="1061">
        <v>5681.1050000000005</v>
      </c>
      <c r="J14" s="247"/>
      <c r="K14" s="1061">
        <f t="shared" si="1"/>
        <v>5681.1050000000005</v>
      </c>
      <c r="L14" s="1061">
        <v>1721.021629948699</v>
      </c>
      <c r="M14" s="247"/>
      <c r="N14" s="1061">
        <f t="shared" si="2"/>
        <v>1721.021629948699</v>
      </c>
      <c r="O14" s="1061">
        <v>2106.8157985892294</v>
      </c>
      <c r="P14" s="247"/>
      <c r="Q14" s="1061">
        <f t="shared" si="3"/>
        <v>2106.8157985892294</v>
      </c>
    </row>
    <row r="15" spans="1:17">
      <c r="A15" s="7"/>
      <c r="B15" s="1369" t="s">
        <v>1046</v>
      </c>
      <c r="C15" s="1061">
        <v>39</v>
      </c>
      <c r="D15" s="1061"/>
      <c r="E15" s="1061">
        <f t="shared" si="0"/>
        <v>39</v>
      </c>
      <c r="F15" s="1061"/>
      <c r="G15" s="1061"/>
      <c r="H15" s="1061"/>
      <c r="I15" s="1061">
        <v>15.545999999999999</v>
      </c>
      <c r="J15" s="1061"/>
      <c r="K15" s="1061">
        <f t="shared" si="1"/>
        <v>15.545999999999999</v>
      </c>
      <c r="L15" s="1061">
        <v>8.1</v>
      </c>
      <c r="M15" s="1061"/>
      <c r="N15" s="1061">
        <f t="shared" si="2"/>
        <v>8.1</v>
      </c>
      <c r="O15" s="1061">
        <v>8.1</v>
      </c>
      <c r="P15" s="1061"/>
      <c r="Q15" s="1061">
        <f t="shared" si="3"/>
        <v>8.1</v>
      </c>
    </row>
    <row r="16" spans="1:17">
      <c r="A16" s="7"/>
      <c r="B16" s="1369" t="s">
        <v>1047</v>
      </c>
      <c r="C16" s="1061">
        <v>3307</v>
      </c>
      <c r="D16" s="1061"/>
      <c r="E16" s="1061">
        <f t="shared" si="0"/>
        <v>3307</v>
      </c>
      <c r="F16" s="1061"/>
      <c r="G16" s="1061"/>
      <c r="H16" s="1061"/>
      <c r="I16" s="1061">
        <v>4561.1000000000004</v>
      </c>
      <c r="J16" s="1061"/>
      <c r="K16" s="1061">
        <f t="shared" si="1"/>
        <v>4561.1000000000004</v>
      </c>
      <c r="L16" s="1061">
        <v>4742.0053333333335</v>
      </c>
      <c r="M16" s="1061"/>
      <c r="N16" s="1061">
        <f t="shared" si="2"/>
        <v>4742.0053333333335</v>
      </c>
      <c r="O16" s="1061">
        <v>5377.1073529521182</v>
      </c>
      <c r="P16" s="1061"/>
      <c r="Q16" s="1061">
        <f t="shared" si="3"/>
        <v>5377.1073529521182</v>
      </c>
    </row>
    <row r="17" spans="1:17">
      <c r="A17" s="7"/>
      <c r="B17" s="1369" t="s">
        <v>1425</v>
      </c>
      <c r="C17" s="1485">
        <f t="shared" ref="C17:E17" si="4">SUM(C11:C16)</f>
        <v>9848.07</v>
      </c>
      <c r="D17" s="1485">
        <f t="shared" si="4"/>
        <v>2808.58</v>
      </c>
      <c r="E17" s="1485">
        <f t="shared" si="4"/>
        <v>12656.65</v>
      </c>
      <c r="F17" s="1485"/>
      <c r="G17" s="1485"/>
      <c r="H17" s="1485"/>
      <c r="I17" s="1485">
        <f t="shared" ref="I17:Q17" si="5">SUM(I11:I16)</f>
        <v>10257.751</v>
      </c>
      <c r="J17" s="1485">
        <f t="shared" si="5"/>
        <v>2491.1689999999999</v>
      </c>
      <c r="K17" s="1485">
        <f t="shared" si="5"/>
        <v>12748.920000000002</v>
      </c>
      <c r="L17" s="1485">
        <f t="shared" si="5"/>
        <v>6471.1269632820322</v>
      </c>
      <c r="M17" s="1485">
        <f t="shared" si="5"/>
        <v>5930.78673724695</v>
      </c>
      <c r="N17" s="1485">
        <f t="shared" si="5"/>
        <v>12401.913700528983</v>
      </c>
      <c r="O17" s="1485">
        <f t="shared" si="5"/>
        <v>12932.541236370645</v>
      </c>
      <c r="P17" s="1485">
        <f t="shared" si="5"/>
        <v>0</v>
      </c>
      <c r="Q17" s="1485">
        <f t="shared" si="5"/>
        <v>12932.541236370645</v>
      </c>
    </row>
    <row r="18" spans="1:17">
      <c r="A18" s="7"/>
      <c r="B18" s="1369" t="s">
        <v>1446</v>
      </c>
      <c r="C18" s="1485"/>
      <c r="D18" s="1485"/>
      <c r="E18" s="1485"/>
      <c r="F18" s="1485"/>
      <c r="G18" s="1485"/>
      <c r="H18" s="1485"/>
      <c r="I18" s="1485"/>
      <c r="J18" s="1485"/>
      <c r="K18" s="1485"/>
      <c r="L18" s="1485"/>
      <c r="M18" s="1485"/>
      <c r="N18" s="1485"/>
      <c r="O18" s="1485"/>
      <c r="P18" s="1485"/>
      <c r="Q18" s="1485"/>
    </row>
    <row r="19" spans="1:17">
      <c r="A19" s="7"/>
      <c r="B19" s="1367" t="s">
        <v>1398</v>
      </c>
      <c r="C19" s="1061"/>
      <c r="D19" s="1061"/>
      <c r="E19" s="1061"/>
      <c r="F19" s="1061"/>
      <c r="G19" s="1061"/>
      <c r="H19" s="1061"/>
      <c r="I19" s="1061"/>
      <c r="J19" s="1061"/>
      <c r="K19" s="1061"/>
      <c r="L19" s="1061"/>
      <c r="M19" s="1061"/>
      <c r="N19" s="1061"/>
      <c r="O19" s="1061"/>
      <c r="P19" s="1061"/>
      <c r="Q19" s="1061"/>
    </row>
    <row r="20" spans="1:17">
      <c r="A20" s="7"/>
      <c r="B20" s="1377" t="s">
        <v>1051</v>
      </c>
      <c r="C20" s="1061"/>
      <c r="D20" s="1061">
        <v>44.2</v>
      </c>
      <c r="E20" s="1061">
        <f t="shared" ref="E20:E23" si="6">SUM(C20:D20)</f>
        <v>44.2</v>
      </c>
      <c r="F20" s="1061"/>
      <c r="G20" s="1061"/>
      <c r="H20" s="1061"/>
      <c r="I20" s="1061"/>
      <c r="J20" s="1061">
        <v>38.36</v>
      </c>
      <c r="K20" s="1061">
        <f t="shared" ref="K20:K23" si="7">SUM(I20:J20)</f>
        <v>38.36</v>
      </c>
      <c r="L20" s="1061"/>
      <c r="M20" s="1061">
        <v>0</v>
      </c>
      <c r="N20" s="1061">
        <f t="shared" ref="N20:N23" si="8">SUM(L20:M20)</f>
        <v>0</v>
      </c>
      <c r="O20" s="1061">
        <v>0</v>
      </c>
      <c r="P20" s="1061"/>
      <c r="Q20" s="1061">
        <f t="shared" ref="Q20:Q23" si="9">SUM(O20:P20)</f>
        <v>0</v>
      </c>
    </row>
    <row r="21" spans="1:17">
      <c r="A21" s="253"/>
      <c r="B21" s="1377" t="s">
        <v>1052</v>
      </c>
      <c r="C21" s="1061">
        <v>187</v>
      </c>
      <c r="D21" s="247"/>
      <c r="E21" s="1061">
        <f t="shared" si="6"/>
        <v>187</v>
      </c>
      <c r="F21" s="247"/>
      <c r="G21" s="247"/>
      <c r="H21" s="247"/>
      <c r="I21" s="1061">
        <v>486.60300000000001</v>
      </c>
      <c r="J21" s="247"/>
      <c r="K21" s="1061">
        <f t="shared" si="7"/>
        <v>486.60300000000001</v>
      </c>
      <c r="L21" s="1061">
        <v>677.93333333333294</v>
      </c>
      <c r="M21" s="247"/>
      <c r="N21" s="1061">
        <f t="shared" si="8"/>
        <v>677.93333333333294</v>
      </c>
      <c r="O21" s="1061">
        <v>703.45074399999953</v>
      </c>
      <c r="P21" s="247"/>
      <c r="Q21" s="1061">
        <f t="shared" si="9"/>
        <v>703.45074399999953</v>
      </c>
    </row>
    <row r="22" spans="1:17">
      <c r="A22" s="9"/>
      <c r="B22" s="1377" t="s">
        <v>1399</v>
      </c>
      <c r="C22" s="1061">
        <v>1</v>
      </c>
      <c r="D22" s="1061"/>
      <c r="E22" s="1061">
        <f t="shared" si="6"/>
        <v>1</v>
      </c>
      <c r="F22" s="1061"/>
      <c r="G22" s="1061"/>
      <c r="H22" s="1061"/>
      <c r="I22" s="1061">
        <v>36.213999999999999</v>
      </c>
      <c r="J22" s="1061"/>
      <c r="K22" s="1061">
        <f t="shared" si="7"/>
        <v>36.213999999999999</v>
      </c>
      <c r="L22" s="1061">
        <v>52.665333333333336</v>
      </c>
      <c r="M22" s="1061"/>
      <c r="N22" s="1061">
        <f t="shared" si="8"/>
        <v>52.665333333333336</v>
      </c>
      <c r="O22" s="1061">
        <v>53.191986666666672</v>
      </c>
      <c r="P22" s="1061"/>
      <c r="Q22" s="1061">
        <f t="shared" si="9"/>
        <v>53.191986666666672</v>
      </c>
    </row>
    <row r="23" spans="1:17">
      <c r="A23" s="427"/>
      <c r="B23" s="1377" t="s">
        <v>1054</v>
      </c>
      <c r="C23" s="1061">
        <v>1769</v>
      </c>
      <c r="D23" s="1392"/>
      <c r="E23" s="1061">
        <f t="shared" si="6"/>
        <v>1769</v>
      </c>
      <c r="F23" s="1392"/>
      <c r="G23" s="1392"/>
      <c r="H23" s="1392"/>
      <c r="I23" s="1061">
        <v>1328.703</v>
      </c>
      <c r="J23" s="1392"/>
      <c r="K23" s="1061">
        <f t="shared" si="7"/>
        <v>1328.703</v>
      </c>
      <c r="L23" s="1061">
        <v>1274.3053333333335</v>
      </c>
      <c r="M23" s="1392"/>
      <c r="N23" s="1061">
        <f t="shared" si="8"/>
        <v>1274.3053333333335</v>
      </c>
      <c r="O23" s="1061">
        <v>1322.27018608</v>
      </c>
      <c r="P23" s="1392"/>
      <c r="Q23" s="1061">
        <f t="shared" si="9"/>
        <v>1322.27018608</v>
      </c>
    </row>
    <row r="24" spans="1:17">
      <c r="A24" s="39"/>
      <c r="B24" s="1369" t="s">
        <v>1425</v>
      </c>
      <c r="C24" s="1485">
        <f t="shared" ref="C24:E24" si="10">SUM(C20:C23)</f>
        <v>1957</v>
      </c>
      <c r="D24" s="1485">
        <f t="shared" si="10"/>
        <v>44.2</v>
      </c>
      <c r="E24" s="1485">
        <f t="shared" si="10"/>
        <v>2001.2</v>
      </c>
      <c r="F24" s="1486"/>
      <c r="G24" s="1486"/>
      <c r="H24" s="1485"/>
      <c r="I24" s="1485">
        <f t="shared" ref="I24:Q24" si="11">SUM(I20:I23)</f>
        <v>1851.52</v>
      </c>
      <c r="J24" s="1485">
        <f t="shared" si="11"/>
        <v>38.36</v>
      </c>
      <c r="K24" s="1485">
        <f t="shared" si="11"/>
        <v>1889.8799999999999</v>
      </c>
      <c r="L24" s="1485">
        <f t="shared" si="11"/>
        <v>2004.9039999999998</v>
      </c>
      <c r="M24" s="1485">
        <f t="shared" si="11"/>
        <v>0</v>
      </c>
      <c r="N24" s="1485">
        <f t="shared" si="11"/>
        <v>2004.9039999999998</v>
      </c>
      <c r="O24" s="1485">
        <f t="shared" si="11"/>
        <v>2078.9129167466663</v>
      </c>
      <c r="P24" s="1485">
        <f t="shared" si="11"/>
        <v>0</v>
      </c>
      <c r="Q24" s="1485">
        <f t="shared" si="11"/>
        <v>2078.9129167466663</v>
      </c>
    </row>
    <row r="25" spans="1:17">
      <c r="B25" s="1369" t="s">
        <v>1446</v>
      </c>
      <c r="C25" s="1061"/>
      <c r="D25" s="1061"/>
      <c r="E25" s="1061"/>
      <c r="F25" s="1486"/>
      <c r="G25" s="1486"/>
      <c r="H25" s="1485"/>
      <c r="I25" s="1485"/>
      <c r="J25" s="1485"/>
      <c r="K25" s="1485"/>
      <c r="L25" s="1485"/>
      <c r="M25" s="1485"/>
      <c r="N25" s="1485"/>
      <c r="O25" s="1485"/>
      <c r="P25" s="1485"/>
      <c r="Q25" s="1485"/>
    </row>
    <row r="26" spans="1:17">
      <c r="B26" s="1367" t="s">
        <v>1400</v>
      </c>
      <c r="C26" s="1061"/>
      <c r="D26" s="1061"/>
      <c r="E26" s="1061"/>
      <c r="F26" s="1061"/>
      <c r="G26" s="1061"/>
      <c r="H26" s="1061"/>
      <c r="I26" s="1061"/>
      <c r="J26" s="1061"/>
      <c r="K26" s="1061"/>
      <c r="L26" s="1061"/>
      <c r="M26" s="1061"/>
      <c r="N26" s="1061"/>
      <c r="O26" s="1061"/>
      <c r="P26" s="1061"/>
      <c r="Q26" s="1061"/>
    </row>
    <row r="27" spans="1:17">
      <c r="B27" s="1377" t="s">
        <v>1401</v>
      </c>
      <c r="C27" s="1061"/>
      <c r="D27" s="1061"/>
      <c r="E27" s="1061"/>
      <c r="F27" s="1061"/>
      <c r="G27" s="1061"/>
      <c r="H27" s="1061"/>
      <c r="I27" s="1487"/>
      <c r="J27" s="1061"/>
      <c r="K27" s="1487"/>
      <c r="L27" s="1061"/>
      <c r="M27" s="1061"/>
      <c r="N27" s="1061"/>
      <c r="O27" s="1061"/>
      <c r="P27" s="1061"/>
      <c r="Q27" s="1061"/>
    </row>
    <row r="28" spans="1:17">
      <c r="B28" s="1378" t="s">
        <v>1060</v>
      </c>
      <c r="C28" s="1061"/>
      <c r="D28" s="1061">
        <v>3</v>
      </c>
      <c r="E28" s="1061">
        <f t="shared" ref="E28:E30" si="12">SUM(C28:D28)</f>
        <v>3</v>
      </c>
      <c r="F28" s="1061"/>
      <c r="G28" s="1061"/>
      <c r="H28" s="1061"/>
      <c r="I28" s="1061"/>
      <c r="J28" s="1061">
        <v>4.6429999999999998</v>
      </c>
      <c r="K28" s="1061">
        <f t="shared" ref="K28:K30" si="13">SUM(I28:J28)</f>
        <v>4.6429999999999998</v>
      </c>
      <c r="L28" s="1061"/>
      <c r="M28" s="1061">
        <v>2.3214999999999999</v>
      </c>
      <c r="N28" s="1061">
        <f t="shared" ref="N28:N30" si="14">SUM(L28:M28)</f>
        <v>2.3214999999999999</v>
      </c>
      <c r="O28" s="1061">
        <v>1.1607499999999999</v>
      </c>
      <c r="P28" s="1061"/>
      <c r="Q28" s="1061">
        <f t="shared" ref="Q28:Q30" si="15">SUM(O28:P28)</f>
        <v>1.1607499999999999</v>
      </c>
    </row>
    <row r="29" spans="1:17">
      <c r="B29" s="1378" t="s">
        <v>1061</v>
      </c>
      <c r="C29" s="1061"/>
      <c r="D29" s="1061">
        <v>33.06</v>
      </c>
      <c r="E29" s="1061">
        <f t="shared" si="12"/>
        <v>33.06</v>
      </c>
      <c r="F29" s="1061"/>
      <c r="G29" s="1061"/>
      <c r="H29" s="1061"/>
      <c r="I29" s="1061"/>
      <c r="J29" s="1061">
        <v>40.881</v>
      </c>
      <c r="K29" s="1061">
        <f t="shared" si="13"/>
        <v>40.881</v>
      </c>
      <c r="L29" s="1061"/>
      <c r="M29" s="1061">
        <v>20.4405</v>
      </c>
      <c r="N29" s="1061">
        <f t="shared" si="14"/>
        <v>20.4405</v>
      </c>
      <c r="O29" s="1061">
        <v>10.22025</v>
      </c>
      <c r="P29" s="1061"/>
      <c r="Q29" s="1061">
        <f t="shared" si="15"/>
        <v>10.22025</v>
      </c>
    </row>
    <row r="30" spans="1:17">
      <c r="B30" s="1378" t="s">
        <v>1062</v>
      </c>
      <c r="C30" s="1061"/>
      <c r="D30" s="1061">
        <v>12</v>
      </c>
      <c r="E30" s="1061">
        <f t="shared" si="12"/>
        <v>12</v>
      </c>
      <c r="F30" s="1061"/>
      <c r="G30" s="1061"/>
      <c r="H30" s="1061"/>
      <c r="I30" s="1061"/>
      <c r="J30" s="1061">
        <v>15.047000000000001</v>
      </c>
      <c r="K30" s="1061">
        <f t="shared" si="13"/>
        <v>15.047000000000001</v>
      </c>
      <c r="L30" s="1061"/>
      <c r="M30" s="1061">
        <v>7.5235000000000003</v>
      </c>
      <c r="N30" s="1061">
        <f t="shared" si="14"/>
        <v>7.5235000000000003</v>
      </c>
      <c r="O30" s="1061">
        <v>3.7617500000000001</v>
      </c>
      <c r="P30" s="1061"/>
      <c r="Q30" s="1061">
        <f t="shared" si="15"/>
        <v>3.7617500000000001</v>
      </c>
    </row>
    <row r="31" spans="1:17">
      <c r="B31" s="1377" t="s">
        <v>476</v>
      </c>
      <c r="C31" s="1061"/>
      <c r="D31" s="1061"/>
      <c r="E31" s="1061"/>
      <c r="F31" s="1061"/>
      <c r="G31" s="1061"/>
      <c r="H31" s="1061"/>
      <c r="I31" s="1061"/>
      <c r="J31" s="1061"/>
      <c r="K31" s="1061"/>
      <c r="L31" s="1061"/>
      <c r="M31" s="1061"/>
      <c r="N31" s="1061"/>
      <c r="O31" s="1061"/>
      <c r="P31" s="1061"/>
      <c r="Q31" s="1061"/>
    </row>
    <row r="32" spans="1:17">
      <c r="B32" s="1378" t="s">
        <v>1063</v>
      </c>
      <c r="C32" s="1061">
        <v>0.3</v>
      </c>
      <c r="D32" s="1061"/>
      <c r="E32" s="1061">
        <f t="shared" ref="E32:E34" si="16">SUM(C32:D32)</f>
        <v>0.3</v>
      </c>
      <c r="F32" s="1061"/>
      <c r="G32" s="1061"/>
      <c r="H32" s="1061"/>
      <c r="I32" s="1061">
        <v>1.518</v>
      </c>
      <c r="J32" s="1061"/>
      <c r="K32" s="1061">
        <f t="shared" ref="K32:K34" si="17">SUM(I32:J32)</f>
        <v>1.518</v>
      </c>
      <c r="L32" s="1061">
        <v>2.4288000000000003</v>
      </c>
      <c r="M32" s="1061"/>
      <c r="N32" s="1061">
        <f t="shared" ref="N32:N34" si="18">SUM(L32:M32)</f>
        <v>2.4288000000000003</v>
      </c>
      <c r="O32" s="1061">
        <v>2.9145600000000003</v>
      </c>
      <c r="P32" s="1061"/>
      <c r="Q32" s="1061">
        <f t="shared" ref="Q32:Q34" si="19">SUM(O32:P32)</f>
        <v>2.9145600000000003</v>
      </c>
    </row>
    <row r="33" spans="2:17">
      <c r="B33" s="1378" t="s">
        <v>1064</v>
      </c>
      <c r="C33" s="1061">
        <v>10.7</v>
      </c>
      <c r="D33" s="1061"/>
      <c r="E33" s="1061">
        <f t="shared" si="16"/>
        <v>10.7</v>
      </c>
      <c r="F33" s="1061"/>
      <c r="G33" s="1061"/>
      <c r="H33" s="1061"/>
      <c r="I33" s="1061">
        <v>15.537000000000001</v>
      </c>
      <c r="J33" s="1061"/>
      <c r="K33" s="1061">
        <f t="shared" si="17"/>
        <v>15.537000000000001</v>
      </c>
      <c r="L33" s="1061">
        <v>24.859200000000001</v>
      </c>
      <c r="M33" s="1061"/>
      <c r="N33" s="1061">
        <f t="shared" si="18"/>
        <v>24.859200000000001</v>
      </c>
      <c r="O33" s="1061">
        <v>29.831040000000002</v>
      </c>
      <c r="P33" s="1061"/>
      <c r="Q33" s="1061">
        <f t="shared" si="19"/>
        <v>29.831040000000002</v>
      </c>
    </row>
    <row r="34" spans="2:17">
      <c r="B34" s="1378" t="s">
        <v>1065</v>
      </c>
      <c r="C34" s="1061">
        <v>41</v>
      </c>
      <c r="D34" s="1061"/>
      <c r="E34" s="1061">
        <f t="shared" si="16"/>
        <v>41</v>
      </c>
      <c r="F34" s="1061"/>
      <c r="G34" s="1061"/>
      <c r="H34" s="1061"/>
      <c r="I34" s="1061">
        <v>48.250999999999998</v>
      </c>
      <c r="J34" s="1061"/>
      <c r="K34" s="1061">
        <f t="shared" si="17"/>
        <v>48.250999999999998</v>
      </c>
      <c r="L34" s="1061">
        <v>77.201599999999999</v>
      </c>
      <c r="M34" s="1061"/>
      <c r="N34" s="1061">
        <f t="shared" si="18"/>
        <v>77.201599999999999</v>
      </c>
      <c r="O34" s="1061">
        <v>92.641919999999999</v>
      </c>
      <c r="P34" s="1061"/>
      <c r="Q34" s="1061">
        <f t="shared" si="19"/>
        <v>92.641919999999999</v>
      </c>
    </row>
    <row r="35" spans="2:17">
      <c r="B35" s="1369" t="s">
        <v>1425</v>
      </c>
      <c r="C35" s="1485">
        <f t="shared" ref="C35:E35" si="20">SUM(C28:C34)</f>
        <v>52</v>
      </c>
      <c r="D35" s="1485">
        <f t="shared" si="20"/>
        <v>48.06</v>
      </c>
      <c r="E35" s="1485">
        <f t="shared" si="20"/>
        <v>100.06</v>
      </c>
      <c r="F35" s="1486"/>
      <c r="G35" s="1486"/>
      <c r="H35" s="1485"/>
      <c r="I35" s="1485">
        <f t="shared" ref="I35:Q35" si="21">SUM(I28:I34)</f>
        <v>65.305999999999997</v>
      </c>
      <c r="J35" s="1485">
        <f t="shared" si="21"/>
        <v>60.570999999999998</v>
      </c>
      <c r="K35" s="1485">
        <f t="shared" si="21"/>
        <v>125.87700000000001</v>
      </c>
      <c r="L35" s="1485">
        <f t="shared" si="21"/>
        <v>104.4896</v>
      </c>
      <c r="M35" s="1485">
        <f t="shared" si="21"/>
        <v>30.285499999999999</v>
      </c>
      <c r="N35" s="1485">
        <f t="shared" si="21"/>
        <v>134.77510000000001</v>
      </c>
      <c r="O35" s="1485">
        <f t="shared" si="21"/>
        <v>140.53027</v>
      </c>
      <c r="P35" s="1485">
        <f t="shared" si="21"/>
        <v>0</v>
      </c>
      <c r="Q35" s="1485">
        <f t="shared" si="21"/>
        <v>140.53027</v>
      </c>
    </row>
    <row r="36" spans="2:17">
      <c r="B36" s="1369" t="s">
        <v>1446</v>
      </c>
      <c r="C36" s="1486"/>
      <c r="D36" s="1486"/>
      <c r="E36" s="1486"/>
      <c r="F36" s="1486"/>
      <c r="G36" s="1486"/>
      <c r="H36" s="1485"/>
      <c r="I36" s="1485"/>
      <c r="J36" s="1485"/>
      <c r="K36" s="1485"/>
      <c r="L36" s="1485"/>
      <c r="M36" s="1485"/>
      <c r="N36" s="1485"/>
      <c r="O36" s="1485"/>
      <c r="P36" s="1485"/>
      <c r="Q36" s="1485"/>
    </row>
    <row r="37" spans="2:17">
      <c r="B37" s="1367" t="s">
        <v>1067</v>
      </c>
      <c r="C37" s="1061"/>
      <c r="D37" s="1061"/>
      <c r="E37" s="1061"/>
      <c r="F37" s="1061"/>
      <c r="G37" s="1061"/>
      <c r="H37" s="1061"/>
      <c r="I37" s="1061"/>
      <c r="J37" s="1061"/>
      <c r="K37" s="1061"/>
      <c r="L37" s="1061"/>
      <c r="M37" s="1061"/>
      <c r="N37" s="1061"/>
      <c r="O37" s="1061"/>
      <c r="P37" s="1061"/>
      <c r="Q37" s="1061"/>
    </row>
    <row r="38" spans="2:17">
      <c r="B38" s="1377" t="s">
        <v>1068</v>
      </c>
      <c r="C38" s="1061">
        <v>154</v>
      </c>
      <c r="D38" s="1061"/>
      <c r="E38" s="1061">
        <f t="shared" ref="E38:E40" si="22">SUM(C38:D38)</f>
        <v>154</v>
      </c>
      <c r="F38" s="1061"/>
      <c r="G38" s="1061"/>
      <c r="H38" s="1061"/>
      <c r="I38" s="1061">
        <v>204.93100000000001</v>
      </c>
      <c r="J38" s="1061"/>
      <c r="K38" s="1061">
        <f t="shared" ref="K38:K40" si="23">SUM(I38:J38)</f>
        <v>204.93100000000001</v>
      </c>
      <c r="L38" s="1061">
        <v>197.96666666666667</v>
      </c>
      <c r="M38" s="1061"/>
      <c r="N38" s="1061">
        <f t="shared" ref="N38:N40" si="24">SUM(L38:M38)</f>
        <v>197.96666666666667</v>
      </c>
      <c r="O38" s="1061">
        <v>205.88533333333334</v>
      </c>
      <c r="P38" s="1061"/>
      <c r="Q38" s="1061">
        <f t="shared" ref="Q38:Q39" si="25">SUM(O38:P38)</f>
        <v>205.88533333333334</v>
      </c>
    </row>
    <row r="39" spans="2:17">
      <c r="B39" s="1377" t="s">
        <v>1072</v>
      </c>
      <c r="C39" s="1061">
        <v>36.31</v>
      </c>
      <c r="D39" s="1061"/>
      <c r="E39" s="1061">
        <f t="shared" si="22"/>
        <v>36.31</v>
      </c>
      <c r="F39" s="1061"/>
      <c r="G39" s="1061"/>
      <c r="H39" s="1061"/>
      <c r="I39" s="1061">
        <v>66.149000000000001</v>
      </c>
      <c r="J39" s="1061"/>
      <c r="K39" s="1061">
        <f t="shared" si="23"/>
        <v>66.149000000000001</v>
      </c>
      <c r="L39" s="1061">
        <v>59.886666666666663</v>
      </c>
      <c r="M39" s="1061"/>
      <c r="N39" s="1061">
        <f t="shared" si="24"/>
        <v>59.886666666666663</v>
      </c>
      <c r="O39" s="1061">
        <v>62.881</v>
      </c>
      <c r="P39" s="1061"/>
      <c r="Q39" s="1061">
        <f t="shared" si="25"/>
        <v>62.881</v>
      </c>
    </row>
    <row r="40" spans="2:17">
      <c r="B40" s="1369" t="s">
        <v>1425</v>
      </c>
      <c r="C40" s="1485">
        <f>SUM(C38:C39)</f>
        <v>190.31</v>
      </c>
      <c r="D40" s="1485">
        <f>SUM(D38:D39)</f>
        <v>0</v>
      </c>
      <c r="E40" s="1485">
        <f t="shared" si="22"/>
        <v>190.31</v>
      </c>
      <c r="F40" s="1486"/>
      <c r="G40" s="1486"/>
      <c r="H40" s="1485"/>
      <c r="I40" s="1485">
        <f>SUM(I38:I39)</f>
        <v>271.08000000000004</v>
      </c>
      <c r="J40" s="1485">
        <f>SUM(J38:J39)</f>
        <v>0</v>
      </c>
      <c r="K40" s="1485">
        <f t="shared" si="23"/>
        <v>271.08000000000004</v>
      </c>
      <c r="L40" s="1485">
        <f>SUM(L38:L39)</f>
        <v>257.85333333333335</v>
      </c>
      <c r="M40" s="1485">
        <f>SUM(M38:M39)</f>
        <v>0</v>
      </c>
      <c r="N40" s="1485">
        <f t="shared" si="24"/>
        <v>257.85333333333335</v>
      </c>
      <c r="O40" s="1485">
        <f>SUM(O38:O39)</f>
        <v>268.76633333333336</v>
      </c>
      <c r="P40" s="1485">
        <f>SUM(P38:P39)</f>
        <v>0</v>
      </c>
      <c r="Q40" s="1485">
        <f t="shared" ref="Q40" si="26">SUM(O40:P40)</f>
        <v>268.76633333333336</v>
      </c>
    </row>
    <row r="41" spans="2:17">
      <c r="B41" s="1369" t="s">
        <v>1446</v>
      </c>
      <c r="C41" s="1486"/>
      <c r="D41" s="1486"/>
      <c r="E41" s="1486"/>
      <c r="F41" s="1486"/>
      <c r="G41" s="1486"/>
      <c r="H41" s="1485"/>
      <c r="I41" s="1485"/>
      <c r="J41" s="1485"/>
      <c r="K41" s="1485"/>
      <c r="L41" s="1485"/>
      <c r="M41" s="1485"/>
      <c r="N41" s="1485"/>
      <c r="O41" s="1485"/>
      <c r="P41" s="1485"/>
      <c r="Q41" s="1485"/>
    </row>
    <row r="42" spans="2:17">
      <c r="B42" s="1367" t="s">
        <v>1076</v>
      </c>
      <c r="C42" s="1061"/>
      <c r="D42" s="1061"/>
      <c r="E42" s="1061"/>
      <c r="F42" s="1061"/>
      <c r="G42" s="1061"/>
      <c r="H42" s="1061"/>
      <c r="I42" s="1061"/>
      <c r="J42" s="1061"/>
      <c r="K42" s="1061"/>
      <c r="L42" s="1061"/>
      <c r="M42" s="1061"/>
      <c r="N42" s="1061"/>
      <c r="O42" s="1061"/>
      <c r="P42" s="1061"/>
      <c r="Q42" s="1061"/>
    </row>
    <row r="43" spans="2:17">
      <c r="B43" s="1377" t="s">
        <v>1401</v>
      </c>
      <c r="C43" s="1061"/>
      <c r="D43" s="1061"/>
      <c r="E43" s="1061"/>
      <c r="F43" s="1061"/>
      <c r="G43" s="1061"/>
      <c r="H43" s="1061"/>
      <c r="I43" s="1061"/>
      <c r="J43" s="1061"/>
      <c r="K43" s="1061"/>
      <c r="L43" s="1061"/>
      <c r="M43" s="1061"/>
      <c r="N43" s="1061"/>
      <c r="O43" s="1061"/>
      <c r="P43" s="1061"/>
      <c r="Q43" s="1061"/>
    </row>
    <row r="44" spans="2:17">
      <c r="B44" s="1378" t="s">
        <v>1077</v>
      </c>
      <c r="C44" s="1061"/>
      <c r="D44" s="1061">
        <v>1992.1246510000001</v>
      </c>
      <c r="E44" s="1061">
        <f t="shared" ref="E44:E48" si="27">SUM(C44:D44)</f>
        <v>1992.1246510000001</v>
      </c>
      <c r="F44" s="1061"/>
      <c r="G44" s="1061"/>
      <c r="H44" s="1061"/>
      <c r="I44" s="1061"/>
      <c r="J44" s="1061">
        <v>2193.8000000000002</v>
      </c>
      <c r="K44" s="1061">
        <f t="shared" ref="K44:K48" si="28">SUM(I44:J44)</f>
        <v>2193.8000000000002</v>
      </c>
      <c r="L44" s="1061"/>
      <c r="M44" s="1061">
        <v>2193.804189</v>
      </c>
      <c r="N44" s="1061">
        <f t="shared" ref="N44:N48" si="29">SUM(L44:M44)</f>
        <v>2193.804189</v>
      </c>
      <c r="O44" s="1061"/>
      <c r="P44" s="1061">
        <v>2193.804189</v>
      </c>
      <c r="Q44" s="1061">
        <f t="shared" ref="Q44:Q47" si="30">SUM(O44:P44)</f>
        <v>2193.804189</v>
      </c>
    </row>
    <row r="45" spans="2:17">
      <c r="B45" s="1377" t="s">
        <v>476</v>
      </c>
      <c r="C45" s="1061"/>
      <c r="D45" s="1061"/>
      <c r="E45" s="1061">
        <f t="shared" si="27"/>
        <v>0</v>
      </c>
      <c r="F45" s="1061"/>
      <c r="G45" s="1061"/>
      <c r="H45" s="1061"/>
      <c r="I45" s="1061"/>
      <c r="J45" s="1061"/>
      <c r="K45" s="1061">
        <f t="shared" si="28"/>
        <v>0</v>
      </c>
      <c r="L45" s="1061"/>
      <c r="M45" s="1061"/>
      <c r="N45" s="1061">
        <f t="shared" si="29"/>
        <v>0</v>
      </c>
      <c r="O45" s="1061"/>
      <c r="P45" s="1061"/>
      <c r="Q45" s="1061">
        <f t="shared" si="30"/>
        <v>0</v>
      </c>
    </row>
    <row r="46" spans="2:17">
      <c r="B46" s="1378" t="s">
        <v>1078</v>
      </c>
      <c r="C46" s="1061">
        <v>102.157849</v>
      </c>
      <c r="D46" s="1061"/>
      <c r="E46" s="1061">
        <f t="shared" si="27"/>
        <v>102.157849</v>
      </c>
      <c r="F46" s="1061"/>
      <c r="G46" s="1061"/>
      <c r="H46" s="1061"/>
      <c r="I46" s="1061">
        <v>153.53799999999998</v>
      </c>
      <c r="J46" s="1061"/>
      <c r="K46" s="1061">
        <f t="shared" si="28"/>
        <v>153.53799999999998</v>
      </c>
      <c r="L46" s="1061">
        <v>214.95319999999995</v>
      </c>
      <c r="M46" s="1061"/>
      <c r="N46" s="1061">
        <f t="shared" si="29"/>
        <v>214.95319999999995</v>
      </c>
      <c r="O46" s="1061">
        <v>247.19617999999991</v>
      </c>
      <c r="P46" s="1061"/>
      <c r="Q46" s="1061">
        <f t="shared" si="30"/>
        <v>247.19617999999991</v>
      </c>
    </row>
    <row r="47" spans="2:17">
      <c r="B47" s="1378" t="s">
        <v>1079</v>
      </c>
      <c r="C47" s="1061">
        <v>52.022695000000006</v>
      </c>
      <c r="D47" s="1061"/>
      <c r="E47" s="1061">
        <f t="shared" si="27"/>
        <v>52.022695000000006</v>
      </c>
      <c r="F47" s="1061"/>
      <c r="G47" s="1061"/>
      <c r="H47" s="1061"/>
      <c r="I47" s="1061">
        <v>176.74799999999999</v>
      </c>
      <c r="J47" s="1061"/>
      <c r="K47" s="1061">
        <f t="shared" si="28"/>
        <v>176.74799999999999</v>
      </c>
      <c r="L47" s="1061">
        <v>249.10863119999999</v>
      </c>
      <c r="M47" s="1061"/>
      <c r="N47" s="1061">
        <f t="shared" si="29"/>
        <v>249.10863119999999</v>
      </c>
      <c r="O47" s="1061">
        <v>286.47492587999994</v>
      </c>
      <c r="P47" s="1061"/>
      <c r="Q47" s="1061">
        <f t="shared" si="30"/>
        <v>286.47492587999994</v>
      </c>
    </row>
    <row r="48" spans="2:17">
      <c r="B48" s="1369" t="s">
        <v>1425</v>
      </c>
      <c r="C48" s="1485">
        <f>SUM(C44:C47)</f>
        <v>154.180544</v>
      </c>
      <c r="D48" s="1485">
        <f>SUM(D44:D47)</f>
        <v>1992.1246510000001</v>
      </c>
      <c r="E48" s="1485">
        <f t="shared" si="27"/>
        <v>2146.3051949999999</v>
      </c>
      <c r="F48" s="1486"/>
      <c r="G48" s="1486"/>
      <c r="H48" s="1485"/>
      <c r="I48" s="1485">
        <f>SUM(I44:I47)</f>
        <v>330.28599999999994</v>
      </c>
      <c r="J48" s="1485">
        <f>SUM(J44:J47)</f>
        <v>2193.8000000000002</v>
      </c>
      <c r="K48" s="1485">
        <f t="shared" si="28"/>
        <v>2524.0860000000002</v>
      </c>
      <c r="L48" s="1485">
        <f>SUM(L44:L47)</f>
        <v>464.06183119999992</v>
      </c>
      <c r="M48" s="1485">
        <f>SUM(M44:M47)</f>
        <v>2193.804189</v>
      </c>
      <c r="N48" s="1485">
        <f t="shared" si="29"/>
        <v>2657.8660202000001</v>
      </c>
      <c r="O48" s="1485">
        <f>SUM(O44:O47)</f>
        <v>533.67110587999991</v>
      </c>
      <c r="P48" s="1485">
        <f>SUM(P44:P47)</f>
        <v>2193.804189</v>
      </c>
      <c r="Q48" s="1485">
        <f t="shared" ref="Q48" si="31">SUM(O48:P48)</f>
        <v>2727.4752948799996</v>
      </c>
    </row>
    <row r="49" spans="2:17">
      <c r="B49" s="1369" t="s">
        <v>1446</v>
      </c>
      <c r="C49" s="1486"/>
      <c r="D49" s="1486"/>
      <c r="E49" s="1486"/>
      <c r="F49" s="1486"/>
      <c r="G49" s="1486"/>
      <c r="H49" s="1485"/>
      <c r="I49" s="1485"/>
      <c r="J49" s="1485"/>
      <c r="K49" s="1485"/>
      <c r="L49" s="1485"/>
      <c r="M49" s="1485"/>
      <c r="N49" s="1485"/>
      <c r="O49" s="1485"/>
      <c r="P49" s="1485"/>
      <c r="Q49" s="1485"/>
    </row>
    <row r="50" spans="2:17">
      <c r="B50" s="1367" t="s">
        <v>1081</v>
      </c>
      <c r="C50" s="1061"/>
      <c r="D50" s="1061"/>
      <c r="E50" s="1061"/>
      <c r="F50" s="1061"/>
      <c r="G50" s="1061"/>
      <c r="H50" s="1061"/>
      <c r="I50" s="1061"/>
      <c r="J50" s="1061"/>
      <c r="K50" s="1061"/>
      <c r="L50" s="1061"/>
      <c r="M50" s="1061"/>
      <c r="N50" s="1061"/>
      <c r="O50" s="1061"/>
      <c r="P50" s="1061"/>
      <c r="Q50" s="1061"/>
    </row>
    <row r="51" spans="2:17">
      <c r="B51" s="1377" t="s">
        <v>1012</v>
      </c>
      <c r="C51" s="1061">
        <v>103.39</v>
      </c>
      <c r="D51" s="1061"/>
      <c r="E51" s="1061">
        <f t="shared" ref="E51:E53" si="32">SUM(C51:D51)</f>
        <v>103.39</v>
      </c>
      <c r="F51" s="1061"/>
      <c r="G51" s="1061"/>
      <c r="H51" s="1061"/>
      <c r="I51" s="1061">
        <v>265.33500000000004</v>
      </c>
      <c r="J51" s="1061"/>
      <c r="K51" s="1061">
        <f>SUM(I51:J51)</f>
        <v>265.33500000000004</v>
      </c>
      <c r="L51" s="1061">
        <v>244.828</v>
      </c>
      <c r="M51" s="1061"/>
      <c r="N51" s="1061">
        <f>SUM(L51:M51)</f>
        <v>244.828</v>
      </c>
      <c r="O51" s="1061">
        <v>252.17284000000001</v>
      </c>
      <c r="P51" s="1061"/>
      <c r="Q51" s="1061">
        <f>SUM(O51:P51)</f>
        <v>252.17284000000001</v>
      </c>
    </row>
    <row r="52" spans="2:17">
      <c r="B52" s="1377" t="s">
        <v>1011</v>
      </c>
      <c r="C52" s="1061">
        <v>444</v>
      </c>
      <c r="D52" s="1061"/>
      <c r="E52" s="1061">
        <f t="shared" si="32"/>
        <v>444</v>
      </c>
      <c r="F52" s="1061"/>
      <c r="G52" s="1061"/>
      <c r="H52" s="1061"/>
      <c r="I52" s="1061">
        <v>307.75700000000001</v>
      </c>
      <c r="J52" s="1061"/>
      <c r="K52" s="1061">
        <f>SUM(I52:J52)</f>
        <v>307.75700000000001</v>
      </c>
      <c r="L52" s="1061">
        <v>327.15733333333333</v>
      </c>
      <c r="M52" s="1061"/>
      <c r="N52" s="1061">
        <f>SUM(L52:M52)</f>
        <v>327.15733333333333</v>
      </c>
      <c r="O52" s="1061">
        <v>343.51519999999999</v>
      </c>
      <c r="P52" s="1061"/>
      <c r="Q52" s="1061">
        <f>SUM(O52:P52)</f>
        <v>343.51519999999999</v>
      </c>
    </row>
    <row r="53" spans="2:17">
      <c r="B53" s="1369" t="s">
        <v>1425</v>
      </c>
      <c r="C53" s="1485">
        <f>SUM(C51:C52)</f>
        <v>547.39</v>
      </c>
      <c r="D53" s="1485">
        <f>SUM(D51:D52)</f>
        <v>0</v>
      </c>
      <c r="E53" s="1485">
        <f t="shared" si="32"/>
        <v>547.39</v>
      </c>
      <c r="F53" s="1486"/>
      <c r="G53" s="1486"/>
      <c r="H53" s="1485"/>
      <c r="I53" s="1485">
        <f>SUM(I51:I52)</f>
        <v>573.0920000000001</v>
      </c>
      <c r="J53" s="1485">
        <f>SUM(J51:J52)</f>
        <v>0</v>
      </c>
      <c r="K53" s="1485">
        <f t="shared" ref="K53" si="33">SUM(I53:J53)</f>
        <v>573.0920000000001</v>
      </c>
      <c r="L53" s="1485">
        <f>SUM(L51:L52)</f>
        <v>571.9853333333333</v>
      </c>
      <c r="M53" s="1485">
        <f>SUM(M51:M52)</f>
        <v>0</v>
      </c>
      <c r="N53" s="1485">
        <f t="shared" ref="N53" si="34">SUM(L53:M53)</f>
        <v>571.9853333333333</v>
      </c>
      <c r="O53" s="1485">
        <f>SUM(O51:O52)</f>
        <v>595.68804</v>
      </c>
      <c r="P53" s="1485">
        <f>SUM(P51:P52)</f>
        <v>0</v>
      </c>
      <c r="Q53" s="1485">
        <f t="shared" ref="Q53" si="35">SUM(O53:P53)</f>
        <v>595.68804</v>
      </c>
    </row>
    <row r="54" spans="2:17">
      <c r="B54" s="1369" t="s">
        <v>1446</v>
      </c>
      <c r="C54" s="1486"/>
      <c r="D54" s="1486"/>
      <c r="E54" s="1486"/>
      <c r="F54" s="1486"/>
      <c r="G54" s="1486"/>
      <c r="H54" s="1485"/>
      <c r="I54" s="1485"/>
      <c r="J54" s="1485"/>
      <c r="K54" s="1485"/>
      <c r="L54" s="1485"/>
      <c r="M54" s="1485"/>
      <c r="N54" s="1485"/>
      <c r="O54" s="1485"/>
      <c r="P54" s="1485"/>
      <c r="Q54" s="1485"/>
    </row>
    <row r="55" spans="2:17">
      <c r="B55" s="1367" t="s">
        <v>1402</v>
      </c>
      <c r="C55" s="1061"/>
      <c r="D55" s="1061"/>
      <c r="E55" s="1061"/>
      <c r="F55" s="1061"/>
      <c r="G55" s="1061"/>
      <c r="H55" s="1061"/>
      <c r="I55" s="1061"/>
      <c r="J55" s="1061"/>
      <c r="K55" s="1061"/>
      <c r="L55" s="1061"/>
      <c r="M55" s="1061"/>
      <c r="N55" s="1061"/>
      <c r="O55" s="1061"/>
      <c r="P55" s="1061"/>
      <c r="Q55" s="1061"/>
    </row>
    <row r="56" spans="2:17">
      <c r="B56" s="1377" t="s">
        <v>475</v>
      </c>
      <c r="C56" s="1061"/>
      <c r="D56" s="1061"/>
      <c r="E56" s="1061"/>
      <c r="F56" s="1061"/>
      <c r="G56" s="1061"/>
      <c r="H56" s="1061"/>
      <c r="I56" s="1061"/>
      <c r="J56" s="1061"/>
      <c r="K56" s="1061"/>
      <c r="L56" s="1061"/>
      <c r="M56" s="1061"/>
      <c r="N56" s="1061"/>
      <c r="O56" s="1061"/>
      <c r="P56" s="1061"/>
      <c r="Q56" s="1061"/>
    </row>
    <row r="57" spans="2:17">
      <c r="B57" s="1378" t="s">
        <v>1091</v>
      </c>
      <c r="C57" s="1061">
        <v>102.073336</v>
      </c>
      <c r="D57" s="1061"/>
      <c r="E57" s="1061">
        <f t="shared" ref="E57:E64" si="36">SUM(C57:D57)</f>
        <v>102.073336</v>
      </c>
      <c r="F57" s="1061"/>
      <c r="G57" s="1061"/>
      <c r="H57" s="1061"/>
      <c r="I57" s="1061">
        <v>97.594999999999999</v>
      </c>
      <c r="J57" s="1061"/>
      <c r="K57" s="1061">
        <f>SUM(I57:J57)</f>
        <v>97.594999999999999</v>
      </c>
      <c r="L57" s="1061">
        <v>96.190666666666672</v>
      </c>
      <c r="M57" s="1061"/>
      <c r="N57" s="1061">
        <f>SUM(L57:M57)</f>
        <v>96.190666666666672</v>
      </c>
      <c r="O57" s="1061">
        <v>105.80973333333336</v>
      </c>
      <c r="P57" s="1061"/>
      <c r="Q57" s="1061">
        <f>SUM(O57:P57)</f>
        <v>105.80973333333336</v>
      </c>
    </row>
    <row r="58" spans="2:17">
      <c r="B58" s="1378" t="s">
        <v>1092</v>
      </c>
      <c r="C58" s="1061">
        <v>19.180535000000003</v>
      </c>
      <c r="D58" s="1061"/>
      <c r="E58" s="1061">
        <f t="shared" si="36"/>
        <v>19.180535000000003</v>
      </c>
      <c r="F58" s="1061"/>
      <c r="G58" s="1061"/>
      <c r="H58" s="1061"/>
      <c r="I58" s="1061">
        <v>11.081</v>
      </c>
      <c r="J58" s="1061"/>
      <c r="K58" s="1061">
        <f t="shared" ref="K58:K63" si="37">SUM(I58:J58)</f>
        <v>11.081</v>
      </c>
      <c r="L58" s="1061">
        <v>18.532</v>
      </c>
      <c r="M58" s="1061"/>
      <c r="N58" s="1061">
        <f t="shared" ref="N58:N63" si="38">SUM(L58:M58)</f>
        <v>18.532</v>
      </c>
      <c r="O58" s="1061">
        <v>20.385200000000001</v>
      </c>
      <c r="P58" s="1061"/>
      <c r="Q58" s="1061">
        <f t="shared" ref="Q58:Q63" si="39">SUM(O58:P58)</f>
        <v>20.385200000000001</v>
      </c>
    </row>
    <row r="59" spans="2:17">
      <c r="B59" s="1378" t="s">
        <v>1093</v>
      </c>
      <c r="C59" s="1061">
        <v>15.030917000000001</v>
      </c>
      <c r="D59" s="1061"/>
      <c r="E59" s="1061">
        <f t="shared" si="36"/>
        <v>15.030917000000001</v>
      </c>
      <c r="F59" s="1061"/>
      <c r="G59" s="1061"/>
      <c r="H59" s="1061"/>
      <c r="I59" s="1061">
        <v>14.455</v>
      </c>
      <c r="J59" s="1061"/>
      <c r="K59" s="1061">
        <f t="shared" si="37"/>
        <v>14.455</v>
      </c>
      <c r="L59" s="1061">
        <v>14.625333333333332</v>
      </c>
      <c r="M59" s="1061"/>
      <c r="N59" s="1061">
        <f t="shared" si="38"/>
        <v>14.625333333333332</v>
      </c>
      <c r="O59" s="1061">
        <v>17.550399999999996</v>
      </c>
      <c r="P59" s="1061"/>
      <c r="Q59" s="1061">
        <f t="shared" si="39"/>
        <v>17.550399999999996</v>
      </c>
    </row>
    <row r="60" spans="2:17">
      <c r="B60" s="1377" t="s">
        <v>1403</v>
      </c>
      <c r="C60" s="1061"/>
      <c r="D60" s="1061"/>
      <c r="E60" s="1061"/>
      <c r="F60" s="1061"/>
      <c r="G60" s="1061"/>
      <c r="H60" s="1061"/>
      <c r="I60" s="1061"/>
      <c r="J60" s="1061"/>
      <c r="K60" s="1061"/>
      <c r="L60" s="1061"/>
      <c r="M60" s="1061"/>
      <c r="N60" s="1061"/>
      <c r="O60" s="1061"/>
      <c r="P60" s="1061"/>
      <c r="Q60" s="1061"/>
    </row>
    <row r="61" spans="2:17">
      <c r="B61" s="1378" t="s">
        <v>1094</v>
      </c>
      <c r="C61" s="1061">
        <v>30.843738000000002</v>
      </c>
      <c r="D61" s="1061"/>
      <c r="E61" s="1061">
        <f t="shared" si="36"/>
        <v>30.843738000000002</v>
      </c>
      <c r="F61" s="1061"/>
      <c r="G61" s="1061"/>
      <c r="H61" s="1061"/>
      <c r="I61" s="1061">
        <v>38.027999999999999</v>
      </c>
      <c r="J61" s="1061"/>
      <c r="K61" s="1061">
        <f t="shared" si="37"/>
        <v>38.027999999999999</v>
      </c>
      <c r="L61" s="1061">
        <v>45.553333333333335</v>
      </c>
      <c r="M61" s="1061"/>
      <c r="N61" s="1061">
        <f t="shared" si="38"/>
        <v>45.553333333333335</v>
      </c>
      <c r="O61" s="1061">
        <v>46.464400000000005</v>
      </c>
      <c r="P61" s="1061"/>
      <c r="Q61" s="1061">
        <f t="shared" si="39"/>
        <v>46.464400000000005</v>
      </c>
    </row>
    <row r="62" spans="2:17">
      <c r="B62" s="1378" t="s">
        <v>1095</v>
      </c>
      <c r="C62" s="1061">
        <v>142.20498900000001</v>
      </c>
      <c r="D62" s="1061"/>
      <c r="E62" s="1061">
        <f t="shared" si="36"/>
        <v>142.20498900000001</v>
      </c>
      <c r="F62" s="1061"/>
      <c r="G62" s="1061"/>
      <c r="H62" s="1061"/>
      <c r="I62" s="1061">
        <v>198.733</v>
      </c>
      <c r="J62" s="1061"/>
      <c r="K62" s="1061">
        <f t="shared" si="37"/>
        <v>198.733</v>
      </c>
      <c r="L62" s="1061">
        <v>176.66533333333334</v>
      </c>
      <c r="M62" s="1061"/>
      <c r="N62" s="1061">
        <f t="shared" si="38"/>
        <v>176.66533333333334</v>
      </c>
      <c r="O62" s="1061">
        <v>185.49860000000001</v>
      </c>
      <c r="P62" s="1061"/>
      <c r="Q62" s="1061">
        <f t="shared" si="39"/>
        <v>185.49860000000001</v>
      </c>
    </row>
    <row r="63" spans="2:17">
      <c r="B63" s="1378" t="s">
        <v>1096</v>
      </c>
      <c r="C63" s="1061">
        <v>22.944237000000001</v>
      </c>
      <c r="D63" s="1061"/>
      <c r="E63" s="1061">
        <f t="shared" si="36"/>
        <v>22.944237000000001</v>
      </c>
      <c r="F63" s="1061"/>
      <c r="G63" s="1061"/>
      <c r="H63" s="1061"/>
      <c r="I63" s="1061">
        <v>30.2</v>
      </c>
      <c r="J63" s="1061"/>
      <c r="K63" s="1061">
        <f t="shared" si="37"/>
        <v>30.2</v>
      </c>
      <c r="L63" s="1061">
        <v>43.566666666666663</v>
      </c>
      <c r="M63" s="1061"/>
      <c r="N63" s="1061">
        <f t="shared" si="38"/>
        <v>43.566666666666663</v>
      </c>
      <c r="O63" s="1061">
        <v>45.744999999999997</v>
      </c>
      <c r="P63" s="1061"/>
      <c r="Q63" s="1061">
        <f t="shared" si="39"/>
        <v>45.744999999999997</v>
      </c>
    </row>
    <row r="64" spans="2:17">
      <c r="B64" s="1369" t="s">
        <v>1425</v>
      </c>
      <c r="C64" s="1485">
        <f>SUM(C57:C63)</f>
        <v>332.27775200000002</v>
      </c>
      <c r="D64" s="1485">
        <f>SUM(D57:D63)</f>
        <v>0</v>
      </c>
      <c r="E64" s="1485">
        <f t="shared" si="36"/>
        <v>332.27775200000002</v>
      </c>
      <c r="F64" s="1486"/>
      <c r="G64" s="1486"/>
      <c r="H64" s="1485"/>
      <c r="I64" s="1485">
        <f>SUM(I57:I63)</f>
        <v>390.09199999999998</v>
      </c>
      <c r="J64" s="1485">
        <f>SUM(J57:J63)</f>
        <v>0</v>
      </c>
      <c r="K64" s="1485">
        <f t="shared" ref="K64" si="40">SUM(I64:J64)</f>
        <v>390.09199999999998</v>
      </c>
      <c r="L64" s="1485">
        <f>SUM(L57:L63)</f>
        <v>395.13333333333338</v>
      </c>
      <c r="M64" s="1485">
        <f>SUM(M57:M63)</f>
        <v>0</v>
      </c>
      <c r="N64" s="1485">
        <f t="shared" ref="N64" si="41">SUM(L64:M64)</f>
        <v>395.13333333333338</v>
      </c>
      <c r="O64" s="1485">
        <f>SUM(O57:O63)</f>
        <v>421.45333333333338</v>
      </c>
      <c r="P64" s="1485">
        <f>SUM(P57:P63)</f>
        <v>0</v>
      </c>
      <c r="Q64" s="1485">
        <f t="shared" ref="Q64" si="42">SUM(O64:P64)</f>
        <v>421.45333333333338</v>
      </c>
    </row>
    <row r="65" spans="2:17">
      <c r="B65" s="1369" t="s">
        <v>1446</v>
      </c>
      <c r="C65" s="1486"/>
      <c r="D65" s="1486"/>
      <c r="E65" s="1486"/>
      <c r="F65" s="1486"/>
      <c r="G65" s="1486"/>
      <c r="H65" s="1485"/>
      <c r="I65" s="1485"/>
      <c r="J65" s="1485"/>
      <c r="K65" s="1485"/>
      <c r="L65" s="1485"/>
      <c r="M65" s="1485"/>
      <c r="N65" s="1485"/>
      <c r="O65" s="1485"/>
      <c r="P65" s="1485"/>
      <c r="Q65" s="1485"/>
    </row>
    <row r="66" spans="2:17">
      <c r="B66" s="1367" t="s">
        <v>1098</v>
      </c>
      <c r="C66" s="1061"/>
      <c r="D66" s="1061"/>
      <c r="E66" s="1061"/>
      <c r="F66" s="1061"/>
      <c r="G66" s="1061"/>
      <c r="H66" s="1061"/>
      <c r="I66" s="1061"/>
      <c r="J66" s="1061"/>
      <c r="K66" s="1061"/>
      <c r="L66" s="1061"/>
      <c r="M66" s="1061"/>
      <c r="N66" s="1061"/>
      <c r="O66" s="1061"/>
      <c r="P66" s="1061"/>
      <c r="Q66" s="1061"/>
    </row>
    <row r="67" spans="2:17">
      <c r="B67" s="1377" t="s">
        <v>476</v>
      </c>
      <c r="C67" s="1061"/>
      <c r="D67" s="1061"/>
      <c r="E67" s="1061"/>
      <c r="F67" s="1061"/>
      <c r="G67" s="1061"/>
      <c r="H67" s="1061"/>
      <c r="I67" s="1061"/>
      <c r="J67" s="1061"/>
      <c r="K67" s="1061"/>
      <c r="L67" s="1061"/>
      <c r="M67" s="1061"/>
      <c r="N67" s="1061"/>
      <c r="O67" s="1061"/>
      <c r="P67" s="1061"/>
      <c r="Q67" s="1061"/>
    </row>
    <row r="68" spans="2:17">
      <c r="B68" s="1378" t="s">
        <v>1099</v>
      </c>
      <c r="C68" s="1061">
        <v>19.338604</v>
      </c>
      <c r="D68" s="1061"/>
      <c r="E68" s="1061">
        <f t="shared" ref="E68:E72" si="43">SUM(C68:D68)</f>
        <v>19.338604</v>
      </c>
      <c r="F68" s="1061"/>
      <c r="G68" s="1061"/>
      <c r="H68" s="1061"/>
      <c r="I68" s="1061">
        <v>254.119</v>
      </c>
      <c r="J68" s="1061"/>
      <c r="K68" s="1061">
        <f>SUM(I68:J68)</f>
        <v>254.119</v>
      </c>
      <c r="L68" s="1061">
        <v>508.238</v>
      </c>
      <c r="M68" s="1061"/>
      <c r="N68" s="1061">
        <f>SUM(L68:M68)</f>
        <v>508.238</v>
      </c>
      <c r="O68" s="1061">
        <v>660.70940000000007</v>
      </c>
      <c r="P68" s="1061"/>
      <c r="Q68" s="1061">
        <f>SUM(O68:P68)</f>
        <v>660.70940000000007</v>
      </c>
    </row>
    <row r="69" spans="2:17">
      <c r="B69" s="1377" t="s">
        <v>1404</v>
      </c>
      <c r="C69" s="1061"/>
      <c r="D69" s="1061"/>
      <c r="E69" s="1061"/>
      <c r="F69" s="1061"/>
      <c r="G69" s="1061"/>
      <c r="H69" s="1061"/>
      <c r="I69" s="1061"/>
      <c r="J69" s="1061"/>
      <c r="K69" s="1061">
        <f t="shared" ref="K69:K72" si="44">SUM(I69:J69)</f>
        <v>0</v>
      </c>
      <c r="L69" s="1061"/>
      <c r="M69" s="1061"/>
      <c r="N69" s="1061">
        <f t="shared" ref="N69:N72" si="45">SUM(L69:M69)</f>
        <v>0</v>
      </c>
      <c r="O69" s="1061"/>
      <c r="P69" s="1061"/>
      <c r="Q69" s="1061">
        <f t="shared" ref="Q69:Q71" si="46">SUM(O69:P69)</f>
        <v>0</v>
      </c>
    </row>
    <row r="70" spans="2:17">
      <c r="B70" s="1378" t="s">
        <v>1405</v>
      </c>
      <c r="C70" s="1061">
        <v>947.30200600000001</v>
      </c>
      <c r="D70" s="1061"/>
      <c r="E70" s="1061">
        <f t="shared" si="43"/>
        <v>947.30200600000001</v>
      </c>
      <c r="F70" s="1061"/>
      <c r="G70" s="1061"/>
      <c r="H70" s="1061"/>
      <c r="I70" s="1061"/>
      <c r="J70" s="1061">
        <v>848.98</v>
      </c>
      <c r="K70" s="1061">
        <f t="shared" si="44"/>
        <v>848.98</v>
      </c>
      <c r="L70" s="1061"/>
      <c r="M70" s="1061">
        <v>636.73533270000007</v>
      </c>
      <c r="N70" s="1061">
        <f t="shared" si="45"/>
        <v>636.73533270000007</v>
      </c>
      <c r="O70" s="1061">
        <v>318.36766635000004</v>
      </c>
      <c r="P70" s="1061"/>
      <c r="Q70" s="1061">
        <f t="shared" si="46"/>
        <v>318.36766635000004</v>
      </c>
    </row>
    <row r="71" spans="2:17">
      <c r="B71" s="1378" t="s">
        <v>1101</v>
      </c>
      <c r="C71" s="1061">
        <v>40.076822</v>
      </c>
      <c r="D71" s="1061"/>
      <c r="E71" s="1061">
        <f t="shared" si="43"/>
        <v>40.076822</v>
      </c>
      <c r="F71" s="1061"/>
      <c r="G71" s="1061"/>
      <c r="H71" s="1061"/>
      <c r="I71" s="1061"/>
      <c r="J71" s="1061">
        <v>10.09</v>
      </c>
      <c r="K71" s="1061">
        <f t="shared" si="44"/>
        <v>10.09</v>
      </c>
      <c r="L71" s="1061"/>
      <c r="M71" s="1061">
        <v>7.5664420199999993</v>
      </c>
      <c r="N71" s="1061">
        <f t="shared" si="45"/>
        <v>7.5664420199999993</v>
      </c>
      <c r="O71" s="1061">
        <v>3.7832210099999997</v>
      </c>
      <c r="P71" s="1061"/>
      <c r="Q71" s="1061">
        <f t="shared" si="46"/>
        <v>3.7832210099999997</v>
      </c>
    </row>
    <row r="72" spans="2:17">
      <c r="B72" s="1369" t="s">
        <v>1425</v>
      </c>
      <c r="C72" s="1485">
        <f>SUM(C68:C71)</f>
        <v>1006.717432</v>
      </c>
      <c r="D72" s="1485">
        <f>SUM(D68:D71)</f>
        <v>0</v>
      </c>
      <c r="E72" s="1485">
        <f t="shared" si="43"/>
        <v>1006.717432</v>
      </c>
      <c r="F72" s="1486"/>
      <c r="G72" s="1486"/>
      <c r="H72" s="1485"/>
      <c r="I72" s="1485">
        <f>SUM(I68:I71)</f>
        <v>254.119</v>
      </c>
      <c r="J72" s="1485">
        <f>SUM(J68:J71)</f>
        <v>859.07</v>
      </c>
      <c r="K72" s="1485">
        <f t="shared" si="44"/>
        <v>1113.1890000000001</v>
      </c>
      <c r="L72" s="1485">
        <f>SUM(L68:L71)</f>
        <v>508.238</v>
      </c>
      <c r="M72" s="1485">
        <f>SUM(M68:M71)</f>
        <v>644.30177472000003</v>
      </c>
      <c r="N72" s="1485">
        <f t="shared" si="45"/>
        <v>1152.53977472</v>
      </c>
      <c r="O72" s="1485">
        <f>SUM(O68:O71)</f>
        <v>982.86028736000014</v>
      </c>
      <c r="P72" s="1485">
        <f>SUM(P68:P71)</f>
        <v>0</v>
      </c>
      <c r="Q72" s="1485">
        <f t="shared" ref="Q72" si="47">SUM(O72:P72)</f>
        <v>982.86028736000014</v>
      </c>
    </row>
    <row r="73" spans="2:17">
      <c r="B73" s="1369" t="s">
        <v>1446</v>
      </c>
      <c r="C73" s="1486"/>
      <c r="D73" s="1486"/>
      <c r="E73" s="1486"/>
      <c r="F73" s="1486"/>
      <c r="G73" s="1486"/>
      <c r="H73" s="1485"/>
      <c r="I73" s="1485"/>
      <c r="J73" s="1485"/>
      <c r="K73" s="1485"/>
      <c r="L73" s="1485"/>
      <c r="M73" s="1485"/>
      <c r="N73" s="1485"/>
      <c r="O73" s="1485"/>
      <c r="P73" s="1485"/>
      <c r="Q73" s="1485"/>
    </row>
    <row r="74" spans="2:17">
      <c r="B74" s="1367" t="s">
        <v>1406</v>
      </c>
      <c r="C74" s="1061"/>
      <c r="D74" s="1061"/>
      <c r="E74" s="1061"/>
      <c r="F74" s="1061"/>
      <c r="G74" s="1061"/>
      <c r="H74" s="1061"/>
      <c r="I74" s="1061"/>
      <c r="J74" s="1061"/>
      <c r="K74" s="1061"/>
      <c r="L74" s="1061"/>
      <c r="M74" s="1061"/>
      <c r="N74" s="1061"/>
      <c r="O74" s="1061"/>
      <c r="P74" s="1061"/>
      <c r="Q74" s="1061"/>
    </row>
    <row r="75" spans="2:17">
      <c r="B75" s="1377" t="s">
        <v>476</v>
      </c>
      <c r="C75" s="1061"/>
      <c r="D75" s="1061"/>
      <c r="E75" s="1061"/>
      <c r="F75" s="1061"/>
      <c r="G75" s="1061"/>
      <c r="H75" s="1061"/>
      <c r="I75" s="1061"/>
      <c r="J75" s="1061"/>
      <c r="K75" s="1061"/>
      <c r="L75" s="1061"/>
      <c r="M75" s="1061"/>
      <c r="N75" s="1061"/>
      <c r="O75" s="1061"/>
      <c r="P75" s="1061"/>
      <c r="Q75" s="1061"/>
    </row>
    <row r="76" spans="2:17">
      <c r="B76" s="1378" t="s">
        <v>1104</v>
      </c>
      <c r="C76" s="1061">
        <v>1.427305</v>
      </c>
      <c r="D76" s="1061"/>
      <c r="E76" s="1061">
        <f t="shared" ref="E76:E81" si="48">SUM(C76:D76)</f>
        <v>1.427305</v>
      </c>
      <c r="F76" s="1061"/>
      <c r="G76" s="1061"/>
      <c r="H76" s="1061"/>
      <c r="I76" s="1061">
        <v>2.113</v>
      </c>
      <c r="J76" s="1061"/>
      <c r="K76" s="1061">
        <f>SUM(I76:J76)</f>
        <v>2.113</v>
      </c>
      <c r="L76" s="1061">
        <v>3.8279999999999998</v>
      </c>
      <c r="M76" s="1061"/>
      <c r="N76" s="1061">
        <f>SUM(L76:M76)</f>
        <v>3.8279999999999998</v>
      </c>
      <c r="O76" s="1061">
        <v>3.9428399999999999</v>
      </c>
      <c r="P76" s="1061"/>
      <c r="Q76" s="1061">
        <f>SUM(O76:P76)</f>
        <v>3.9428399999999999</v>
      </c>
    </row>
    <row r="77" spans="2:17">
      <c r="B77" s="1378" t="s">
        <v>1105</v>
      </c>
      <c r="C77" s="1061">
        <v>0</v>
      </c>
      <c r="D77" s="1061"/>
      <c r="E77" s="1061">
        <f t="shared" si="48"/>
        <v>0</v>
      </c>
      <c r="F77" s="1061"/>
      <c r="G77" s="1061"/>
      <c r="H77" s="1061"/>
      <c r="I77" s="1061">
        <v>6.0730000000000004</v>
      </c>
      <c r="J77" s="1061"/>
      <c r="K77" s="1061">
        <f t="shared" ref="K77:K84" si="49">SUM(I77:J77)</f>
        <v>6.0730000000000004</v>
      </c>
      <c r="L77" s="1061">
        <v>5.0266666666666664</v>
      </c>
      <c r="M77" s="1061"/>
      <c r="N77" s="1061">
        <f t="shared" ref="N77:N84" si="50">SUM(L77:M77)</f>
        <v>5.0266666666666664</v>
      </c>
      <c r="O77" s="1061">
        <v>5.1774666666666667</v>
      </c>
      <c r="P77" s="1061"/>
      <c r="Q77" s="1061">
        <f t="shared" ref="Q77:Q80" si="51">SUM(O77:P77)</f>
        <v>5.1774666666666667</v>
      </c>
    </row>
    <row r="78" spans="2:17">
      <c r="B78" s="1377" t="s">
        <v>1404</v>
      </c>
      <c r="C78" s="1061"/>
      <c r="D78" s="1061"/>
      <c r="E78" s="1061"/>
      <c r="F78" s="1061"/>
      <c r="G78" s="1061"/>
      <c r="H78" s="1061"/>
      <c r="I78" s="1061"/>
      <c r="J78" s="1061"/>
      <c r="K78" s="1061"/>
      <c r="L78" s="1061"/>
      <c r="M78" s="1061"/>
      <c r="N78" s="1061">
        <f t="shared" si="50"/>
        <v>0</v>
      </c>
      <c r="O78" s="1061"/>
      <c r="P78" s="1061"/>
      <c r="Q78" s="1061">
        <f t="shared" si="51"/>
        <v>0</v>
      </c>
    </row>
    <row r="79" spans="2:17">
      <c r="B79" s="1378" t="s">
        <v>1106</v>
      </c>
      <c r="C79" s="1061">
        <v>0</v>
      </c>
      <c r="D79" s="1061"/>
      <c r="E79" s="1061">
        <f t="shared" si="48"/>
        <v>0</v>
      </c>
      <c r="F79" s="1061"/>
      <c r="G79" s="1061"/>
      <c r="H79" s="1061"/>
      <c r="I79" s="1061"/>
      <c r="J79" s="1061">
        <v>0.01</v>
      </c>
      <c r="K79" s="1061">
        <f t="shared" si="49"/>
        <v>0.01</v>
      </c>
      <c r="L79" s="1061"/>
      <c r="M79" s="1061">
        <v>0</v>
      </c>
      <c r="N79" s="1061">
        <f t="shared" si="50"/>
        <v>0</v>
      </c>
      <c r="O79" s="1061">
        <v>0</v>
      </c>
      <c r="P79" s="1061"/>
      <c r="Q79" s="1061">
        <f t="shared" si="51"/>
        <v>0</v>
      </c>
    </row>
    <row r="80" spans="2:17">
      <c r="B80" s="1378" t="s">
        <v>1107</v>
      </c>
      <c r="C80" s="1061">
        <v>0</v>
      </c>
      <c r="D80" s="1061"/>
      <c r="E80" s="1061">
        <f t="shared" si="48"/>
        <v>0</v>
      </c>
      <c r="F80" s="1061"/>
      <c r="G80" s="1061"/>
      <c r="H80" s="1061"/>
      <c r="I80" s="1061"/>
      <c r="J80" s="1061">
        <v>4.1000000000000002E-2</v>
      </c>
      <c r="K80" s="1061">
        <f t="shared" si="49"/>
        <v>4.1000000000000002E-2</v>
      </c>
      <c r="L80" s="1061"/>
      <c r="M80" s="1061">
        <v>0.16133333333333333</v>
      </c>
      <c r="N80" s="1061">
        <f t="shared" si="50"/>
        <v>0.16133333333333333</v>
      </c>
      <c r="O80" s="1061">
        <v>0.16133333333333333</v>
      </c>
      <c r="P80" s="1061"/>
      <c r="Q80" s="1061">
        <f t="shared" si="51"/>
        <v>0.16133333333333333</v>
      </c>
    </row>
    <row r="81" spans="2:17">
      <c r="B81" s="1369" t="s">
        <v>1425</v>
      </c>
      <c r="C81" s="1485">
        <f>SUM(C76:C80)</f>
        <v>1.427305</v>
      </c>
      <c r="D81" s="1485">
        <f>SUM(D76:D80)</f>
        <v>0</v>
      </c>
      <c r="E81" s="1485">
        <f t="shared" si="48"/>
        <v>1.427305</v>
      </c>
      <c r="F81" s="1486"/>
      <c r="G81" s="1486"/>
      <c r="H81" s="1485"/>
      <c r="I81" s="1485">
        <f>SUM(I76:I80)</f>
        <v>8.1859999999999999</v>
      </c>
      <c r="J81" s="1485">
        <f>SUM(J76:J80)</f>
        <v>5.1000000000000004E-2</v>
      </c>
      <c r="K81" s="1485">
        <f t="shared" si="49"/>
        <v>8.2370000000000001</v>
      </c>
      <c r="L81" s="1485">
        <f>SUM(L76:L80)</f>
        <v>8.8546666666666667</v>
      </c>
      <c r="M81" s="1485">
        <f>SUM(M76:M80)</f>
        <v>0.16133333333333333</v>
      </c>
      <c r="N81" s="1485">
        <f t="shared" si="50"/>
        <v>9.016</v>
      </c>
      <c r="O81" s="1485">
        <f>SUM(O76:O80)</f>
        <v>9.2816399999999994</v>
      </c>
      <c r="P81" s="1485">
        <f>SUM(P76:P80)</f>
        <v>0</v>
      </c>
      <c r="Q81" s="1485">
        <f t="shared" ref="Q81:Q84" si="52">SUM(O81:P81)</f>
        <v>9.2816399999999994</v>
      </c>
    </row>
    <row r="82" spans="2:17">
      <c r="B82" s="1369" t="s">
        <v>1446</v>
      </c>
      <c r="C82" s="1486"/>
      <c r="D82" s="1486"/>
      <c r="E82" s="1486"/>
      <c r="F82" s="1486"/>
      <c r="G82" s="1486"/>
      <c r="H82" s="1485"/>
      <c r="I82" s="1485"/>
      <c r="J82" s="1485"/>
      <c r="K82" s="1485"/>
      <c r="L82" s="1485"/>
      <c r="M82" s="1485"/>
      <c r="N82" s="1485"/>
      <c r="O82" s="1485"/>
      <c r="P82" s="1485"/>
      <c r="Q82" s="1485"/>
    </row>
    <row r="83" spans="2:17">
      <c r="B83" s="1367" t="s">
        <v>1109</v>
      </c>
      <c r="C83" s="1486"/>
      <c r="D83" s="1486"/>
      <c r="E83" s="1486"/>
      <c r="F83" s="1486"/>
      <c r="G83" s="1486"/>
      <c r="H83" s="1485"/>
      <c r="I83" s="1485"/>
      <c r="J83" s="1485"/>
      <c r="K83" s="1485"/>
      <c r="L83" s="1485"/>
      <c r="M83" s="1485"/>
      <c r="N83" s="1485"/>
      <c r="O83" s="1485"/>
      <c r="P83" s="1485"/>
      <c r="Q83" s="1485"/>
    </row>
    <row r="84" spans="2:17">
      <c r="B84" s="1369" t="s">
        <v>1429</v>
      </c>
      <c r="C84" s="1486"/>
      <c r="D84" s="1485">
        <v>112.52633999999999</v>
      </c>
      <c r="E84" s="1485">
        <f t="shared" ref="E84" si="53">SUM(C84:D84)</f>
        <v>112.52633999999999</v>
      </c>
      <c r="F84" s="1486"/>
      <c r="G84" s="1486"/>
      <c r="H84" s="1485"/>
      <c r="I84" s="1485"/>
      <c r="J84" s="1485">
        <v>105.14700000000001</v>
      </c>
      <c r="K84" s="1485">
        <f t="shared" si="49"/>
        <v>105.14700000000001</v>
      </c>
      <c r="L84" s="1485"/>
      <c r="M84" s="1485">
        <v>106.61333333333333</v>
      </c>
      <c r="N84" s="1485">
        <f t="shared" si="50"/>
        <v>106.61333333333333</v>
      </c>
      <c r="O84" s="1485"/>
      <c r="P84" s="1485">
        <v>108.7456</v>
      </c>
      <c r="Q84" s="1485">
        <f t="shared" si="52"/>
        <v>108.7456</v>
      </c>
    </row>
    <row r="85" spans="2:17">
      <c r="B85" s="1369" t="s">
        <v>1446</v>
      </c>
      <c r="C85" s="1486"/>
      <c r="D85" s="1486"/>
      <c r="E85" s="1486"/>
      <c r="F85" s="1486"/>
      <c r="G85" s="1486"/>
      <c r="H85" s="1485"/>
      <c r="I85" s="1485"/>
      <c r="J85" s="1485"/>
      <c r="K85" s="1485"/>
      <c r="L85" s="1485"/>
      <c r="M85" s="1485"/>
      <c r="N85" s="1485"/>
      <c r="O85" s="1485"/>
      <c r="P85" s="1485"/>
      <c r="Q85" s="1485"/>
    </row>
    <row r="86" spans="2:17">
      <c r="B86" s="1367" t="s">
        <v>1407</v>
      </c>
      <c r="C86" s="1061"/>
      <c r="D86" s="1061"/>
      <c r="E86" s="1061"/>
      <c r="F86" s="1061"/>
      <c r="G86" s="1061"/>
      <c r="H86" s="1061"/>
      <c r="I86" s="1061"/>
      <c r="J86" s="1061"/>
      <c r="K86" s="1061"/>
      <c r="L86" s="1061"/>
      <c r="M86" s="1061"/>
      <c r="N86" s="1061"/>
      <c r="O86" s="1061"/>
      <c r="P86" s="1061"/>
      <c r="Q86" s="1061"/>
    </row>
    <row r="87" spans="2:17">
      <c r="B87" s="1377" t="s">
        <v>1146</v>
      </c>
      <c r="C87" s="1061"/>
      <c r="D87" s="1061"/>
      <c r="E87" s="1061"/>
      <c r="F87" s="1061"/>
      <c r="G87" s="1061"/>
      <c r="H87" s="1061"/>
      <c r="I87" s="1061"/>
      <c r="J87" s="1061"/>
      <c r="K87" s="1061"/>
      <c r="L87" s="1061"/>
      <c r="M87" s="1061"/>
      <c r="N87" s="1061"/>
      <c r="O87" s="1061"/>
      <c r="P87" s="1061"/>
      <c r="Q87" s="1061"/>
    </row>
    <row r="88" spans="2:17">
      <c r="B88" s="1378" t="s">
        <v>1408</v>
      </c>
      <c r="C88" s="1061">
        <v>0</v>
      </c>
      <c r="D88" s="1061"/>
      <c r="E88" s="1061">
        <f t="shared" ref="E88:E92" si="54">SUM(C88:D88)</f>
        <v>0</v>
      </c>
      <c r="F88" s="1061"/>
      <c r="G88" s="1061"/>
      <c r="H88" s="1061"/>
      <c r="I88" s="1061">
        <v>0</v>
      </c>
      <c r="J88" s="1061"/>
      <c r="K88" s="1061">
        <f>SUM(I88:J88)</f>
        <v>0</v>
      </c>
      <c r="L88" s="1061">
        <v>0</v>
      </c>
      <c r="M88" s="1061"/>
      <c r="N88" s="1061">
        <f>SUM(L88:M88)</f>
        <v>0</v>
      </c>
      <c r="O88" s="1061">
        <v>0</v>
      </c>
      <c r="P88" s="1061"/>
      <c r="Q88" s="1061">
        <f>SUM(O88:P88)</f>
        <v>0</v>
      </c>
    </row>
    <row r="89" spans="2:17">
      <c r="B89" s="1378" t="s">
        <v>1409</v>
      </c>
      <c r="C89" s="1061">
        <v>0</v>
      </c>
      <c r="D89" s="1061"/>
      <c r="E89" s="1061">
        <f t="shared" si="54"/>
        <v>0</v>
      </c>
      <c r="F89" s="1061"/>
      <c r="G89" s="1061"/>
      <c r="H89" s="1061"/>
      <c r="I89" s="1061">
        <v>0</v>
      </c>
      <c r="J89" s="1061"/>
      <c r="K89" s="1061">
        <f t="shared" ref="K89:K93" si="55">SUM(I89:J89)</f>
        <v>0</v>
      </c>
      <c r="L89" s="1061">
        <v>0</v>
      </c>
      <c r="M89" s="1061"/>
      <c r="N89" s="1061">
        <f t="shared" ref="N89:N92" si="56">SUM(L89:M89)</f>
        <v>0</v>
      </c>
      <c r="O89" s="1061">
        <v>0</v>
      </c>
      <c r="P89" s="1061"/>
      <c r="Q89" s="1061">
        <f t="shared" ref="Q89:Q93" si="57">SUM(O89:P89)</f>
        <v>0</v>
      </c>
    </row>
    <row r="90" spans="2:17">
      <c r="B90" s="1377" t="s">
        <v>1410</v>
      </c>
      <c r="C90" s="1061">
        <v>0</v>
      </c>
      <c r="D90" s="1061"/>
      <c r="E90" s="1061">
        <f t="shared" si="54"/>
        <v>0</v>
      </c>
      <c r="F90" s="1061"/>
      <c r="G90" s="1061"/>
      <c r="H90" s="1061"/>
      <c r="I90" s="1061">
        <v>0</v>
      </c>
      <c r="J90" s="1061"/>
      <c r="K90" s="1061">
        <f t="shared" si="55"/>
        <v>0</v>
      </c>
      <c r="L90" s="1061">
        <v>2.6304000000000001E-2</v>
      </c>
      <c r="M90" s="1061"/>
      <c r="N90" s="1061">
        <f t="shared" si="56"/>
        <v>2.6304000000000001E-2</v>
      </c>
      <c r="O90" s="1061">
        <v>2.8934400000000002E-2</v>
      </c>
      <c r="P90" s="1061"/>
      <c r="Q90" s="1061">
        <f t="shared" si="57"/>
        <v>2.8934400000000002E-2</v>
      </c>
    </row>
    <row r="91" spans="2:17">
      <c r="B91" s="1378" t="s">
        <v>469</v>
      </c>
      <c r="C91" s="1061">
        <v>0</v>
      </c>
      <c r="D91" s="1061"/>
      <c r="E91" s="1061">
        <f t="shared" si="54"/>
        <v>0</v>
      </c>
      <c r="F91" s="1061"/>
      <c r="G91" s="1061"/>
      <c r="H91" s="1061"/>
      <c r="I91" s="1061">
        <v>0</v>
      </c>
      <c r="J91" s="1061"/>
      <c r="K91" s="1061">
        <f t="shared" si="55"/>
        <v>0</v>
      </c>
      <c r="L91" s="1061">
        <v>2.6304000000000001E-2</v>
      </c>
      <c r="M91" s="1061"/>
      <c r="N91" s="1061">
        <f t="shared" si="56"/>
        <v>2.6304000000000001E-2</v>
      </c>
      <c r="O91" s="1061">
        <v>2.8934400000000002E-2</v>
      </c>
      <c r="P91" s="1061"/>
      <c r="Q91" s="1061">
        <f t="shared" si="57"/>
        <v>2.8934400000000002E-2</v>
      </c>
    </row>
    <row r="92" spans="2:17">
      <c r="B92" s="1378" t="s">
        <v>470</v>
      </c>
      <c r="C92" s="1061">
        <v>0</v>
      </c>
      <c r="D92" s="1061"/>
      <c r="E92" s="1061">
        <f t="shared" si="54"/>
        <v>0</v>
      </c>
      <c r="F92" s="1061"/>
      <c r="G92" s="1061"/>
      <c r="H92" s="1061"/>
      <c r="I92" s="1061">
        <v>0</v>
      </c>
      <c r="J92" s="1061"/>
      <c r="K92" s="1061">
        <f t="shared" si="55"/>
        <v>0</v>
      </c>
      <c r="L92" s="1061">
        <v>0</v>
      </c>
      <c r="M92" s="1061"/>
      <c r="N92" s="1061">
        <f t="shared" si="56"/>
        <v>0</v>
      </c>
      <c r="O92" s="1061">
        <v>0</v>
      </c>
      <c r="P92" s="1061"/>
      <c r="Q92" s="1061">
        <f t="shared" si="57"/>
        <v>0</v>
      </c>
    </row>
    <row r="93" spans="2:17">
      <c r="B93" s="1369" t="s">
        <v>1425</v>
      </c>
      <c r="C93" s="1486">
        <v>0</v>
      </c>
      <c r="D93" s="1486">
        <v>0</v>
      </c>
      <c r="E93" s="1486">
        <v>0</v>
      </c>
      <c r="F93" s="1486"/>
      <c r="G93" s="1486"/>
      <c r="H93" s="1485"/>
      <c r="I93" s="1485">
        <f>SUM(I87:I92)</f>
        <v>0</v>
      </c>
      <c r="J93" s="1485">
        <f>SUM(J87:J92)</f>
        <v>0</v>
      </c>
      <c r="K93" s="1485">
        <f t="shared" si="55"/>
        <v>0</v>
      </c>
      <c r="L93" s="1485">
        <f>SUM(L87:L92)</f>
        <v>5.2608000000000002E-2</v>
      </c>
      <c r="M93" s="1485">
        <f>SUM(M87:M92)</f>
        <v>0</v>
      </c>
      <c r="N93" s="1485">
        <f t="shared" ref="N93" si="58">SUM(L93:M93)</f>
        <v>5.2608000000000002E-2</v>
      </c>
      <c r="O93" s="1485">
        <f>SUM(O87:O92)</f>
        <v>5.7868800000000005E-2</v>
      </c>
      <c r="P93" s="1485">
        <f>SUM(P87:P92)</f>
        <v>0</v>
      </c>
      <c r="Q93" s="1485">
        <f t="shared" si="57"/>
        <v>5.7868800000000005E-2</v>
      </c>
    </row>
    <row r="94" spans="2:17">
      <c r="B94" s="1369" t="s">
        <v>1446</v>
      </c>
      <c r="C94" s="1061"/>
      <c r="D94" s="1061"/>
      <c r="E94" s="1061"/>
      <c r="F94" s="1061"/>
      <c r="G94" s="1061"/>
      <c r="H94" s="1061"/>
      <c r="I94" s="1061"/>
      <c r="J94" s="1061"/>
      <c r="K94" s="1061"/>
      <c r="L94" s="1061"/>
      <c r="M94" s="1061"/>
      <c r="N94" s="1061"/>
      <c r="O94" s="1061"/>
      <c r="P94" s="1061"/>
      <c r="Q94" s="1061"/>
    </row>
    <row r="95" spans="2:17">
      <c r="B95" s="1367" t="s">
        <v>1119</v>
      </c>
      <c r="C95" s="1061"/>
      <c r="D95" s="1061"/>
      <c r="E95" s="1061"/>
      <c r="F95" s="1061"/>
      <c r="G95" s="1061"/>
      <c r="H95" s="1061"/>
      <c r="I95" s="1061"/>
      <c r="J95" s="1061"/>
      <c r="K95" s="1061"/>
      <c r="L95" s="1061"/>
      <c r="M95" s="1061"/>
      <c r="N95" s="1061"/>
      <c r="O95" s="1061"/>
      <c r="P95" s="1061"/>
      <c r="Q95" s="1061"/>
    </row>
    <row r="96" spans="2:17">
      <c r="B96" s="1367" t="s">
        <v>475</v>
      </c>
      <c r="C96" s="1061"/>
      <c r="D96" s="1061"/>
      <c r="E96" s="1061"/>
      <c r="F96" s="1061"/>
      <c r="G96" s="1061"/>
      <c r="H96" s="1061"/>
      <c r="I96" s="1061"/>
      <c r="J96" s="1061"/>
      <c r="K96" s="1061"/>
      <c r="L96" s="1061"/>
      <c r="M96" s="1061"/>
      <c r="N96" s="1061"/>
      <c r="O96" s="1061"/>
      <c r="P96" s="1061"/>
      <c r="Q96" s="1061"/>
    </row>
    <row r="97" spans="2:17">
      <c r="B97" s="1378" t="s">
        <v>1411</v>
      </c>
      <c r="C97" s="1061">
        <v>24.535273</v>
      </c>
      <c r="D97" s="1061"/>
      <c r="E97" s="1061">
        <f t="shared" ref="E97:E102" si="59">SUM(C97:D97)</f>
        <v>24.535273</v>
      </c>
      <c r="F97" s="1061"/>
      <c r="G97" s="1061"/>
      <c r="H97" s="1061"/>
      <c r="I97" s="1061">
        <v>32.335000000000001</v>
      </c>
      <c r="J97" s="1061"/>
      <c r="K97" s="1061">
        <f>SUM(I97:J97)</f>
        <v>32.335000000000001</v>
      </c>
      <c r="L97" s="1061">
        <v>391</v>
      </c>
      <c r="M97" s="1061"/>
      <c r="N97" s="1061">
        <f>SUM(L97:M97)</f>
        <v>391</v>
      </c>
      <c r="O97" s="1061">
        <v>391</v>
      </c>
      <c r="P97" s="1061"/>
      <c r="Q97" s="1061">
        <f>SUM(O97:P97)</f>
        <v>391</v>
      </c>
    </row>
    <row r="98" spans="2:17">
      <c r="B98" s="1378" t="s">
        <v>1412</v>
      </c>
      <c r="C98" s="1061">
        <v>0</v>
      </c>
      <c r="D98" s="1061"/>
      <c r="E98" s="1061">
        <f t="shared" si="59"/>
        <v>0</v>
      </c>
      <c r="F98" s="1061"/>
      <c r="G98" s="1061"/>
      <c r="H98" s="1061"/>
      <c r="I98" s="1061">
        <v>1.3109999999999999</v>
      </c>
      <c r="J98" s="1061"/>
      <c r="K98" s="1061">
        <f t="shared" ref="K98:K102" si="60">SUM(I98:J98)</f>
        <v>1.3109999999999999</v>
      </c>
      <c r="L98" s="1061">
        <v>78.634666666666661</v>
      </c>
      <c r="M98" s="1061"/>
      <c r="N98" s="1061">
        <f t="shared" ref="N98:N102" si="61">SUM(L98:M98)</f>
        <v>78.634666666666661</v>
      </c>
      <c r="O98" s="1061">
        <v>78.634666666666661</v>
      </c>
      <c r="P98" s="1061"/>
      <c r="Q98" s="1061">
        <f t="shared" ref="Q98" si="62">SUM(O98:P98)</f>
        <v>78.634666666666661</v>
      </c>
    </row>
    <row r="99" spans="2:17">
      <c r="B99" s="1367" t="s">
        <v>1403</v>
      </c>
      <c r="C99" s="1061"/>
      <c r="D99" s="1061"/>
      <c r="E99" s="1061"/>
      <c r="F99" s="1061"/>
      <c r="G99" s="1061"/>
      <c r="H99" s="1061"/>
      <c r="I99" s="1061"/>
      <c r="J99" s="1061"/>
      <c r="K99" s="1061"/>
      <c r="L99" s="1061"/>
      <c r="M99" s="1061"/>
      <c r="N99" s="1061"/>
      <c r="O99" s="1061"/>
      <c r="P99" s="1061"/>
      <c r="Q99" s="1061"/>
    </row>
    <row r="100" spans="2:17">
      <c r="B100" s="1378" t="s">
        <v>1413</v>
      </c>
      <c r="C100" s="1061">
        <v>408.30091700000003</v>
      </c>
      <c r="D100" s="1061"/>
      <c r="E100" s="1061">
        <f t="shared" si="59"/>
        <v>408.30091700000003</v>
      </c>
      <c r="F100" s="1061"/>
      <c r="G100" s="1061"/>
      <c r="H100" s="1061"/>
      <c r="I100" s="1061">
        <v>313.78500000000003</v>
      </c>
      <c r="J100" s="1061"/>
      <c r="K100" s="1061">
        <f t="shared" si="60"/>
        <v>313.78500000000003</v>
      </c>
      <c r="L100" s="1061">
        <v>34.506666666666668</v>
      </c>
      <c r="M100" s="1061"/>
      <c r="N100" s="1061">
        <f t="shared" si="61"/>
        <v>34.506666666666668</v>
      </c>
      <c r="O100" s="1061">
        <v>36.231999999999999</v>
      </c>
      <c r="P100" s="1061"/>
      <c r="Q100" s="1061">
        <f t="shared" ref="Q100:Q101" si="63">SUM(O100:P100)</f>
        <v>36.231999999999999</v>
      </c>
    </row>
    <row r="101" spans="2:17">
      <c r="B101" s="1378" t="s">
        <v>1414</v>
      </c>
      <c r="C101" s="1061">
        <v>72.456911000000005</v>
      </c>
      <c r="D101" s="1061"/>
      <c r="E101" s="1061">
        <f t="shared" si="59"/>
        <v>72.456911000000005</v>
      </c>
      <c r="F101" s="1061"/>
      <c r="G101" s="1061"/>
      <c r="H101" s="1061"/>
      <c r="I101" s="1061">
        <v>63.203000000000003</v>
      </c>
      <c r="J101" s="1061"/>
      <c r="K101" s="1061">
        <f t="shared" si="60"/>
        <v>63.203000000000003</v>
      </c>
      <c r="L101" s="1061">
        <v>2.6080000000000001</v>
      </c>
      <c r="M101" s="1061"/>
      <c r="N101" s="1061">
        <f t="shared" si="61"/>
        <v>2.6080000000000001</v>
      </c>
      <c r="O101" s="1061">
        <v>2.7384000000000004</v>
      </c>
      <c r="P101" s="1061"/>
      <c r="Q101" s="1061">
        <f t="shared" si="63"/>
        <v>2.7384000000000004</v>
      </c>
    </row>
    <row r="102" spans="2:17">
      <c r="B102" s="1369" t="s">
        <v>1425</v>
      </c>
      <c r="C102" s="1485">
        <f>SUM(C97:C101)</f>
        <v>505.29310100000004</v>
      </c>
      <c r="D102" s="1485">
        <f>SUM(D97:D101)</f>
        <v>0</v>
      </c>
      <c r="E102" s="1485">
        <f t="shared" si="59"/>
        <v>505.29310100000004</v>
      </c>
      <c r="F102" s="1486"/>
      <c r="G102" s="1486"/>
      <c r="H102" s="1485"/>
      <c r="I102" s="1485">
        <f>SUM(I97:I101)</f>
        <v>410.63400000000001</v>
      </c>
      <c r="J102" s="1485">
        <f>SUM(J97:J101)</f>
        <v>0</v>
      </c>
      <c r="K102" s="1485">
        <f t="shared" si="60"/>
        <v>410.63400000000001</v>
      </c>
      <c r="L102" s="1485">
        <f>SUM(L97:L101)</f>
        <v>506.74933333333331</v>
      </c>
      <c r="M102" s="1485">
        <f>SUM(M97:M101)</f>
        <v>0</v>
      </c>
      <c r="N102" s="1485">
        <f t="shared" si="61"/>
        <v>506.74933333333331</v>
      </c>
      <c r="O102" s="1485">
        <f>SUM(O97:O101)</f>
        <v>508.60506666666669</v>
      </c>
      <c r="P102" s="1485">
        <f>SUM(P97:P101)</f>
        <v>0</v>
      </c>
      <c r="Q102" s="1485">
        <f t="shared" ref="Q102" si="64">SUM(O102:P102)</f>
        <v>508.60506666666669</v>
      </c>
    </row>
    <row r="103" spans="2:17">
      <c r="B103" s="1369" t="s">
        <v>1446</v>
      </c>
      <c r="C103" s="1061"/>
      <c r="D103" s="1061"/>
      <c r="E103" s="1061"/>
      <c r="F103" s="1061"/>
      <c r="G103" s="1061"/>
      <c r="H103" s="1061"/>
      <c r="I103" s="1061"/>
      <c r="J103" s="1061"/>
      <c r="K103" s="1061"/>
      <c r="L103" s="1061"/>
      <c r="M103" s="1061"/>
      <c r="N103" s="1061"/>
      <c r="O103" s="1061"/>
      <c r="P103" s="1061"/>
      <c r="Q103" s="1061"/>
    </row>
    <row r="104" spans="2:17">
      <c r="B104" s="1367" t="s">
        <v>1125</v>
      </c>
      <c r="C104" s="1061"/>
      <c r="D104" s="1061"/>
      <c r="E104" s="1061"/>
      <c r="F104" s="1061"/>
      <c r="G104" s="1061"/>
      <c r="H104" s="1061"/>
      <c r="I104" s="1061"/>
      <c r="J104" s="1061"/>
      <c r="K104" s="1061"/>
      <c r="L104" s="1061"/>
      <c r="M104" s="1061"/>
      <c r="N104" s="1061"/>
      <c r="O104" s="1061"/>
      <c r="P104" s="1061"/>
      <c r="Q104" s="1061"/>
    </row>
    <row r="105" spans="2:17">
      <c r="B105" s="1378" t="s">
        <v>1126</v>
      </c>
      <c r="C105" s="1061">
        <v>685.44689900000003</v>
      </c>
      <c r="D105" s="1061"/>
      <c r="E105" s="1061">
        <f t="shared" ref="E105:E110" si="65">SUM(C105:D105)</f>
        <v>685.44689900000003</v>
      </c>
      <c r="F105" s="1061"/>
      <c r="G105" s="1061"/>
      <c r="H105" s="1061"/>
      <c r="I105" s="1061">
        <v>707.98</v>
      </c>
      <c r="J105" s="1061"/>
      <c r="K105" s="1061">
        <f>SUM(I105:J105)</f>
        <v>707.98</v>
      </c>
      <c r="L105" s="1061">
        <v>772.82133333333331</v>
      </c>
      <c r="M105" s="1061"/>
      <c r="N105" s="1061">
        <f>SUM(L105:M105)</f>
        <v>772.82133333333331</v>
      </c>
      <c r="O105" s="1061">
        <v>796.00597333333337</v>
      </c>
      <c r="P105" s="1061"/>
      <c r="Q105" s="1061">
        <f>SUM(O105:P105)</f>
        <v>796.00597333333337</v>
      </c>
    </row>
    <row r="106" spans="2:17">
      <c r="B106" s="1378" t="s">
        <v>1127</v>
      </c>
      <c r="C106" s="1061">
        <v>386</v>
      </c>
      <c r="D106" s="1061"/>
      <c r="E106" s="1061">
        <f t="shared" si="65"/>
        <v>386</v>
      </c>
      <c r="F106" s="1061"/>
      <c r="G106" s="1061"/>
      <c r="H106" s="1061"/>
      <c r="I106" s="1061">
        <v>280.98700000000002</v>
      </c>
      <c r="J106" s="1061"/>
      <c r="K106" s="1061">
        <f t="shared" ref="K106:K110" si="66">SUM(I106:J106)</f>
        <v>280.98700000000002</v>
      </c>
      <c r="L106" s="1061">
        <v>303.52799999999996</v>
      </c>
      <c r="M106" s="1061"/>
      <c r="N106" s="1061">
        <f t="shared" ref="N106:N110" si="67">SUM(L106:M106)</f>
        <v>303.52799999999996</v>
      </c>
      <c r="O106" s="1061">
        <v>318.70439999999996</v>
      </c>
      <c r="P106" s="1061"/>
      <c r="Q106" s="1061">
        <f t="shared" ref="Q106:Q110" si="68">SUM(O106:P106)</f>
        <v>318.70439999999996</v>
      </c>
    </row>
    <row r="107" spans="2:17">
      <c r="B107" s="1378" t="s">
        <v>1128</v>
      </c>
      <c r="C107" s="1061">
        <v>79</v>
      </c>
      <c r="D107" s="1061"/>
      <c r="E107" s="1061">
        <f t="shared" si="65"/>
        <v>79</v>
      </c>
      <c r="F107" s="1061"/>
      <c r="G107" s="1061"/>
      <c r="H107" s="1061"/>
      <c r="I107" s="1061">
        <v>36.871000000000002</v>
      </c>
      <c r="J107" s="1061"/>
      <c r="K107" s="1061">
        <f t="shared" si="66"/>
        <v>36.871000000000002</v>
      </c>
      <c r="L107" s="1061">
        <v>51.966666666666669</v>
      </c>
      <c r="M107" s="1061"/>
      <c r="N107" s="1061">
        <f t="shared" si="67"/>
        <v>51.966666666666669</v>
      </c>
      <c r="O107" s="1061">
        <v>55.604333333333336</v>
      </c>
      <c r="P107" s="1061"/>
      <c r="Q107" s="1061">
        <f t="shared" si="68"/>
        <v>55.604333333333336</v>
      </c>
    </row>
    <row r="108" spans="2:17">
      <c r="B108" s="1378" t="s">
        <v>1129</v>
      </c>
      <c r="C108" s="1061">
        <v>0</v>
      </c>
      <c r="D108" s="1061"/>
      <c r="E108" s="1061">
        <f t="shared" si="65"/>
        <v>0</v>
      </c>
      <c r="F108" s="1061"/>
      <c r="G108" s="1061"/>
      <c r="H108" s="1061"/>
      <c r="I108" s="1061">
        <v>1.254</v>
      </c>
      <c r="J108" s="1061"/>
      <c r="K108" s="1061">
        <f t="shared" si="66"/>
        <v>1.254</v>
      </c>
      <c r="L108" s="1061">
        <v>3.2266666666666666</v>
      </c>
      <c r="M108" s="1061"/>
      <c r="N108" s="1061">
        <f t="shared" si="67"/>
        <v>3.2266666666666666</v>
      </c>
      <c r="O108" s="1061">
        <v>3.3557333333333332</v>
      </c>
      <c r="P108" s="1061"/>
      <c r="Q108" s="1061">
        <f t="shared" si="68"/>
        <v>3.3557333333333332</v>
      </c>
    </row>
    <row r="109" spans="2:17">
      <c r="B109" s="1377" t="s">
        <v>1130</v>
      </c>
      <c r="C109" s="1061">
        <v>5</v>
      </c>
      <c r="D109" s="1061"/>
      <c r="E109" s="1061">
        <f t="shared" si="65"/>
        <v>5</v>
      </c>
      <c r="F109" s="1061"/>
      <c r="G109" s="1061"/>
      <c r="H109" s="1061"/>
      <c r="I109" s="1061">
        <v>211.911</v>
      </c>
      <c r="J109" s="1061"/>
      <c r="K109" s="1061">
        <f t="shared" si="66"/>
        <v>211.911</v>
      </c>
      <c r="L109" s="1061">
        <v>201.15200000000002</v>
      </c>
      <c r="M109" s="1061"/>
      <c r="N109" s="1061">
        <f t="shared" si="67"/>
        <v>201.15200000000002</v>
      </c>
      <c r="O109" s="1061">
        <v>211.20960000000002</v>
      </c>
      <c r="P109" s="1061"/>
      <c r="Q109" s="1061">
        <f t="shared" si="68"/>
        <v>211.20960000000002</v>
      </c>
    </row>
    <row r="110" spans="2:17">
      <c r="B110" s="1369" t="s">
        <v>1425</v>
      </c>
      <c r="C110" s="1485">
        <f>SUM(C105:C109)</f>
        <v>1155.446899</v>
      </c>
      <c r="D110" s="1485">
        <f>SUM(D105:D109)</f>
        <v>0</v>
      </c>
      <c r="E110" s="1485">
        <f t="shared" si="65"/>
        <v>1155.446899</v>
      </c>
      <c r="F110" s="1486"/>
      <c r="G110" s="1486"/>
      <c r="H110" s="1485"/>
      <c r="I110" s="1485">
        <f>SUM(I105:I109)</f>
        <v>1239.0030000000002</v>
      </c>
      <c r="J110" s="1485">
        <f>SUM(J105:J109)</f>
        <v>0</v>
      </c>
      <c r="K110" s="1485">
        <f t="shared" si="66"/>
        <v>1239.0030000000002</v>
      </c>
      <c r="L110" s="1485">
        <f>SUM(L105:L109)</f>
        <v>1332.6946666666668</v>
      </c>
      <c r="M110" s="1485">
        <f>SUM(M105:M109)</f>
        <v>0</v>
      </c>
      <c r="N110" s="1485">
        <f t="shared" si="67"/>
        <v>1332.6946666666668</v>
      </c>
      <c r="O110" s="1485">
        <f>SUM(O105:O109)</f>
        <v>1384.88004</v>
      </c>
      <c r="P110" s="1485">
        <f>SUM(P105:P109)</f>
        <v>0</v>
      </c>
      <c r="Q110" s="1485">
        <f t="shared" si="68"/>
        <v>1384.88004</v>
      </c>
    </row>
    <row r="111" spans="2:17">
      <c r="B111" s="1369" t="s">
        <v>1446</v>
      </c>
      <c r="C111" s="1486"/>
      <c r="D111" s="1486"/>
      <c r="E111" s="1486"/>
      <c r="F111" s="1486"/>
      <c r="G111" s="1486"/>
      <c r="H111" s="1485"/>
      <c r="I111" s="1485"/>
      <c r="J111" s="1485"/>
      <c r="K111" s="1485"/>
      <c r="L111" s="1485"/>
      <c r="M111" s="1485"/>
      <c r="N111" s="1485"/>
      <c r="O111" s="1485"/>
      <c r="P111" s="1485"/>
      <c r="Q111" s="1485"/>
    </row>
    <row r="112" spans="2:17">
      <c r="B112" s="1367" t="s">
        <v>1133</v>
      </c>
      <c r="C112" s="1061"/>
      <c r="D112" s="1061"/>
      <c r="E112" s="1061"/>
      <c r="F112" s="1061"/>
      <c r="G112" s="1061"/>
      <c r="H112" s="1061"/>
      <c r="I112" s="1061"/>
      <c r="J112" s="1061"/>
      <c r="K112" s="1061"/>
      <c r="L112" s="1061"/>
      <c r="M112" s="1061"/>
      <c r="N112" s="1061"/>
      <c r="O112" s="1061"/>
      <c r="P112" s="1061"/>
      <c r="Q112" s="1061"/>
    </row>
    <row r="113" spans="2:17">
      <c r="B113" s="1378" t="s">
        <v>1415</v>
      </c>
      <c r="C113" s="1061">
        <v>0</v>
      </c>
      <c r="D113" s="1061"/>
      <c r="E113" s="1061">
        <f t="shared" ref="E113:E116" si="69">SUM(C113:D113)</f>
        <v>0</v>
      </c>
      <c r="F113" s="1061"/>
      <c r="G113" s="1061"/>
      <c r="H113" s="1061"/>
      <c r="I113" s="1061">
        <v>24.856000000000002</v>
      </c>
      <c r="J113" s="1061"/>
      <c r="K113" s="1061">
        <f t="shared" ref="K113:K116" si="70">SUM(I113:J113)</f>
        <v>24.856000000000002</v>
      </c>
      <c r="L113" s="1061">
        <v>7.8573333333333331</v>
      </c>
      <c r="M113" s="1061"/>
      <c r="N113" s="1061">
        <f t="shared" ref="N113:N116" si="71">SUM(L113:M113)</f>
        <v>7.8573333333333331</v>
      </c>
      <c r="O113" s="1061">
        <v>7.8573333333333331</v>
      </c>
      <c r="P113" s="1061"/>
      <c r="Q113" s="1061">
        <f t="shared" ref="Q113:Q115" si="72">SUM(O113:P113)</f>
        <v>7.8573333333333331</v>
      </c>
    </row>
    <row r="114" spans="2:17">
      <c r="B114" s="1378" t="s">
        <v>1134</v>
      </c>
      <c r="C114" s="1061">
        <v>0</v>
      </c>
      <c r="D114" s="1061"/>
      <c r="E114" s="1061">
        <f t="shared" si="69"/>
        <v>0</v>
      </c>
      <c r="F114" s="1061"/>
      <c r="G114" s="1061"/>
      <c r="H114" s="1061"/>
      <c r="I114" s="1061">
        <v>0</v>
      </c>
      <c r="J114" s="1061"/>
      <c r="K114" s="1061">
        <f t="shared" si="70"/>
        <v>0</v>
      </c>
      <c r="L114" s="1061">
        <v>0</v>
      </c>
      <c r="M114" s="1061"/>
      <c r="N114" s="1061">
        <f t="shared" si="71"/>
        <v>0</v>
      </c>
      <c r="O114" s="1061">
        <v>0</v>
      </c>
      <c r="P114" s="1061"/>
      <c r="Q114" s="1061">
        <f t="shared" si="72"/>
        <v>0</v>
      </c>
    </row>
    <row r="115" spans="2:17">
      <c r="B115" s="1378" t="s">
        <v>1135</v>
      </c>
      <c r="C115" s="1061">
        <v>0</v>
      </c>
      <c r="D115" s="1061"/>
      <c r="E115" s="1061">
        <f t="shared" si="69"/>
        <v>0</v>
      </c>
      <c r="F115" s="1061"/>
      <c r="G115" s="1061"/>
      <c r="H115" s="1061"/>
      <c r="I115" s="1061">
        <v>0</v>
      </c>
      <c r="J115" s="1061"/>
      <c r="K115" s="1061">
        <f t="shared" si="70"/>
        <v>0</v>
      </c>
      <c r="L115" s="1061">
        <v>0</v>
      </c>
      <c r="M115" s="1061"/>
      <c r="N115" s="1061">
        <f t="shared" si="71"/>
        <v>0</v>
      </c>
      <c r="O115" s="1061">
        <v>0</v>
      </c>
      <c r="P115" s="1061"/>
      <c r="Q115" s="1061">
        <f t="shared" si="72"/>
        <v>0</v>
      </c>
    </row>
    <row r="116" spans="2:17">
      <c r="B116" s="1369" t="s">
        <v>1425</v>
      </c>
      <c r="C116" s="1485">
        <f>SUM(C113:C115)</f>
        <v>0</v>
      </c>
      <c r="D116" s="1485">
        <f>SUM(D113:D115)</f>
        <v>0</v>
      </c>
      <c r="E116" s="1485">
        <f t="shared" si="69"/>
        <v>0</v>
      </c>
      <c r="F116" s="1486"/>
      <c r="G116" s="1486"/>
      <c r="H116" s="1485"/>
      <c r="I116" s="1485">
        <f>SUM(I113:I115)</f>
        <v>24.856000000000002</v>
      </c>
      <c r="J116" s="1485">
        <f>SUM(J113:J115)</f>
        <v>0</v>
      </c>
      <c r="K116" s="1485">
        <f t="shared" si="70"/>
        <v>24.856000000000002</v>
      </c>
      <c r="L116" s="1485">
        <f>SUM(L113:L115)</f>
        <v>7.8573333333333331</v>
      </c>
      <c r="M116" s="1485">
        <f>SUM(M113:M115)</f>
        <v>0</v>
      </c>
      <c r="N116" s="1485">
        <f t="shared" si="71"/>
        <v>7.8573333333333331</v>
      </c>
      <c r="O116" s="1485">
        <f>SUM(O113:O115)</f>
        <v>7.8573333333333331</v>
      </c>
      <c r="P116" s="1485">
        <f>SUM(P113:P115)</f>
        <v>0</v>
      </c>
      <c r="Q116" s="1485">
        <f t="shared" ref="Q116" si="73">SUM(O116:P116)</f>
        <v>7.8573333333333331</v>
      </c>
    </row>
    <row r="117" spans="2:17">
      <c r="B117" s="1369" t="s">
        <v>1446</v>
      </c>
      <c r="C117" s="1486"/>
      <c r="D117" s="1486"/>
      <c r="E117" s="1486"/>
      <c r="F117" s="1486"/>
      <c r="G117" s="1486"/>
      <c r="H117" s="1485"/>
      <c r="I117" s="1485"/>
      <c r="J117" s="1485"/>
      <c r="K117" s="1485"/>
      <c r="L117" s="1485"/>
      <c r="M117" s="1485"/>
      <c r="N117" s="1485"/>
      <c r="O117" s="1485"/>
      <c r="P117" s="1485"/>
      <c r="Q117" s="1485"/>
    </row>
    <row r="118" spans="2:17">
      <c r="B118" s="1367" t="s">
        <v>1137</v>
      </c>
      <c r="C118" s="1061"/>
      <c r="D118" s="1061"/>
      <c r="E118" s="1061"/>
      <c r="F118" s="1061"/>
      <c r="G118" s="1061"/>
      <c r="H118" s="1061"/>
      <c r="I118" s="1061"/>
      <c r="J118" s="1061"/>
      <c r="K118" s="1061"/>
      <c r="L118" s="1061"/>
      <c r="M118" s="1061"/>
      <c r="N118" s="1061"/>
      <c r="O118" s="1061"/>
      <c r="P118" s="1061"/>
      <c r="Q118" s="1061"/>
    </row>
    <row r="119" spans="2:17">
      <c r="B119" s="1378" t="s">
        <v>1138</v>
      </c>
      <c r="C119" s="1061">
        <v>212.66</v>
      </c>
      <c r="D119" s="1061"/>
      <c r="E119" s="1061">
        <f t="shared" ref="E119:E122" si="74">SUM(C119:D119)</f>
        <v>212.66</v>
      </c>
      <c r="F119" s="1061"/>
      <c r="G119" s="1061"/>
      <c r="H119" s="1061"/>
      <c r="I119" s="1061">
        <v>155.06</v>
      </c>
      <c r="J119" s="1061"/>
      <c r="K119" s="1061">
        <f t="shared" ref="K119:K126" si="75">SUM(I119:J119)</f>
        <v>155.06</v>
      </c>
      <c r="L119" s="1061">
        <v>158.16120000000001</v>
      </c>
      <c r="M119" s="1061"/>
      <c r="N119" s="1061">
        <f t="shared" ref="N119:N126" si="76">SUM(L119:M119)</f>
        <v>158.16120000000001</v>
      </c>
      <c r="O119" s="1061">
        <v>159.74281200000001</v>
      </c>
      <c r="P119" s="1061"/>
      <c r="Q119" s="1061">
        <f t="shared" ref="Q119:Q126" si="77">SUM(O119:P119)</f>
        <v>159.74281200000001</v>
      </c>
    </row>
    <row r="120" spans="2:17">
      <c r="B120" s="1378" t="s">
        <v>1139</v>
      </c>
      <c r="C120" s="1061">
        <v>269</v>
      </c>
      <c r="D120" s="1061"/>
      <c r="E120" s="1061">
        <f t="shared" si="74"/>
        <v>269</v>
      </c>
      <c r="F120" s="1061"/>
      <c r="G120" s="1061"/>
      <c r="H120" s="1061"/>
      <c r="I120" s="1061">
        <v>321.11899999999997</v>
      </c>
      <c r="J120" s="1061"/>
      <c r="K120" s="1061">
        <f t="shared" si="75"/>
        <v>321.11899999999997</v>
      </c>
      <c r="L120" s="1061">
        <v>327.54138</v>
      </c>
      <c r="M120" s="1061"/>
      <c r="N120" s="1061">
        <f t="shared" si="76"/>
        <v>327.54138</v>
      </c>
      <c r="O120" s="1061">
        <v>330.81679380000003</v>
      </c>
      <c r="P120" s="1061"/>
      <c r="Q120" s="1061">
        <f t="shared" si="77"/>
        <v>330.81679380000003</v>
      </c>
    </row>
    <row r="121" spans="2:17">
      <c r="B121" s="1378" t="s">
        <v>1140</v>
      </c>
      <c r="C121" s="1061">
        <v>0</v>
      </c>
      <c r="D121" s="1061"/>
      <c r="E121" s="1061">
        <f t="shared" si="74"/>
        <v>0</v>
      </c>
      <c r="F121" s="1061"/>
      <c r="G121" s="1061"/>
      <c r="H121" s="1061"/>
      <c r="I121" s="1061">
        <v>0</v>
      </c>
      <c r="J121" s="1061"/>
      <c r="K121" s="1061">
        <f t="shared" si="75"/>
        <v>0</v>
      </c>
      <c r="L121" s="1061">
        <v>0</v>
      </c>
      <c r="M121" s="1061"/>
      <c r="N121" s="1061">
        <f t="shared" si="76"/>
        <v>0</v>
      </c>
      <c r="O121" s="1061">
        <v>0</v>
      </c>
      <c r="P121" s="1061"/>
      <c r="Q121" s="1061">
        <f t="shared" si="77"/>
        <v>0</v>
      </c>
    </row>
    <row r="122" spans="2:17">
      <c r="B122" s="1369" t="s">
        <v>1425</v>
      </c>
      <c r="C122" s="1485">
        <f>SUM(C119:C121)</f>
        <v>481.65999999999997</v>
      </c>
      <c r="D122" s="1485">
        <f>SUM(D119:D121)</f>
        <v>0</v>
      </c>
      <c r="E122" s="1485">
        <f t="shared" si="74"/>
        <v>481.65999999999997</v>
      </c>
      <c r="F122" s="1486"/>
      <c r="G122" s="1486"/>
      <c r="H122" s="1485"/>
      <c r="I122" s="1485">
        <f>SUM(I119:I121)</f>
        <v>476.17899999999997</v>
      </c>
      <c r="J122" s="1485">
        <f>SUM(J119:J121)</f>
        <v>0</v>
      </c>
      <c r="K122" s="1485">
        <f t="shared" si="75"/>
        <v>476.17899999999997</v>
      </c>
      <c r="L122" s="1485">
        <f>SUM(L119:L121)</f>
        <v>485.70258000000001</v>
      </c>
      <c r="M122" s="1485">
        <f>SUM(M119:M121)</f>
        <v>0</v>
      </c>
      <c r="N122" s="1485">
        <f t="shared" si="76"/>
        <v>485.70258000000001</v>
      </c>
      <c r="O122" s="1485">
        <f>SUM(O119:O121)</f>
        <v>490.55960580000004</v>
      </c>
      <c r="P122" s="1485">
        <f>SUM(P119:P121)</f>
        <v>0</v>
      </c>
      <c r="Q122" s="1485">
        <f t="shared" si="77"/>
        <v>490.55960580000004</v>
      </c>
    </row>
    <row r="123" spans="2:17">
      <c r="B123" s="1369" t="s">
        <v>1446</v>
      </c>
      <c r="C123" s="1486"/>
      <c r="D123" s="1486"/>
      <c r="E123" s="1486"/>
      <c r="F123" s="1486"/>
      <c r="G123" s="1486"/>
      <c r="H123" s="1485"/>
      <c r="I123" s="1485"/>
      <c r="J123" s="1485"/>
      <c r="K123" s="1485"/>
      <c r="L123" s="1485"/>
      <c r="M123" s="1485"/>
      <c r="N123" s="1485"/>
      <c r="O123" s="1485"/>
      <c r="P123" s="1485"/>
      <c r="Q123" s="1485"/>
    </row>
    <row r="124" spans="2:17">
      <c r="B124" s="1367" t="s">
        <v>1143</v>
      </c>
      <c r="C124" s="1061">
        <v>0</v>
      </c>
      <c r="D124" s="1061"/>
      <c r="E124" s="1061">
        <f t="shared" ref="E124:E126" si="78">SUM(C124:D124)</f>
        <v>0</v>
      </c>
      <c r="F124" s="1486"/>
      <c r="G124" s="1486"/>
      <c r="H124" s="1485"/>
      <c r="I124" s="1485">
        <v>0</v>
      </c>
      <c r="J124" s="1485"/>
      <c r="K124" s="1485">
        <f t="shared" si="75"/>
        <v>0</v>
      </c>
      <c r="L124" s="1485">
        <v>0</v>
      </c>
      <c r="M124" s="1485"/>
      <c r="N124" s="1485">
        <f t="shared" si="76"/>
        <v>0</v>
      </c>
      <c r="O124" s="1485">
        <v>0</v>
      </c>
      <c r="P124" s="1485"/>
      <c r="Q124" s="1485">
        <f t="shared" si="77"/>
        <v>0</v>
      </c>
    </row>
    <row r="125" spans="2:17">
      <c r="B125" s="1367" t="s">
        <v>1434</v>
      </c>
      <c r="C125" s="1061">
        <v>0</v>
      </c>
      <c r="D125" s="1061"/>
      <c r="E125" s="1061">
        <f t="shared" si="78"/>
        <v>0</v>
      </c>
      <c r="F125" s="1486"/>
      <c r="G125" s="1486"/>
      <c r="H125" s="1485"/>
      <c r="I125" s="1485">
        <v>2.8090000000000002</v>
      </c>
      <c r="J125" s="1485"/>
      <c r="K125" s="1485">
        <f t="shared" si="75"/>
        <v>2.8090000000000002</v>
      </c>
      <c r="L125" s="1485">
        <v>2.8090000000000002</v>
      </c>
      <c r="M125" s="1485"/>
      <c r="N125" s="1485">
        <f t="shared" si="76"/>
        <v>2.8090000000000002</v>
      </c>
      <c r="O125" s="1485">
        <v>2.8090000000000002</v>
      </c>
      <c r="P125" s="1485"/>
      <c r="Q125" s="1485">
        <f t="shared" si="77"/>
        <v>2.8090000000000002</v>
      </c>
    </row>
    <row r="126" spans="2:17">
      <c r="B126" s="1377" t="s">
        <v>126</v>
      </c>
      <c r="C126" s="1485">
        <f>C17+C24+C35+C40+C48+C53+C64+C72+C81+C84+C93+C102+C110+C116+C122+C124+C125</f>
        <v>16231.773032999998</v>
      </c>
      <c r="D126" s="1485">
        <f>D17+D24+D35+D40+D48+D53+D64+D72+D81+D84+D93+D102+D110+D116+D122+D124+D125</f>
        <v>5005.4909910000006</v>
      </c>
      <c r="E126" s="1485">
        <f t="shared" si="78"/>
        <v>21237.264023999996</v>
      </c>
      <c r="F126" s="1486"/>
      <c r="G126" s="1486"/>
      <c r="H126" s="1485"/>
      <c r="I126" s="1485">
        <f>I17+I24+I35+I40+I48+I53+I64+I72+I81+I84+I93+I102+I110+I116+I122+I124+I125</f>
        <v>16154.913000000002</v>
      </c>
      <c r="J126" s="1485">
        <f>J17+J24+J35+J40+J48+J53+J64+J72+J81+J84+J93+J102+J110+J116+J122+J124+J125</f>
        <v>5748.1679999999997</v>
      </c>
      <c r="K126" s="1485">
        <f t="shared" si="75"/>
        <v>21903.081000000002</v>
      </c>
      <c r="L126" s="1485">
        <f>L17+L24+L35+L40+L48+L53+L64+L72+L81+L84+L93+L102+L110+L116+L122+L124+L125</f>
        <v>13122.51258248203</v>
      </c>
      <c r="M126" s="1485">
        <f>M17+M24+M35+M40+M48+M53+M64+M72+M81+M84+M93+M102+M110+M116+M122+M124+M125</f>
        <v>8905.9528676336158</v>
      </c>
      <c r="N126" s="1485">
        <f t="shared" si="76"/>
        <v>22028.465450115647</v>
      </c>
      <c r="O126" s="1485">
        <f>O17+O24+O35+O40+O48+O53+O64+O72+O81+O84+O93+O102+O110+O116+O122+O124+O125</f>
        <v>20358.474077623981</v>
      </c>
      <c r="P126" s="1485">
        <f>P17+P24+P35+P40+P48+P53+P64+P72+P81+P84+P93+P102+P110+P116+P122+P124+P125</f>
        <v>2302.5497890000001</v>
      </c>
      <c r="Q126" s="1485">
        <f t="shared" si="77"/>
        <v>22661.023866623982</v>
      </c>
    </row>
    <row r="127" spans="2:17">
      <c r="B127" s="1369" t="s">
        <v>1446</v>
      </c>
      <c r="C127" s="245"/>
      <c r="D127" s="245"/>
      <c r="E127" s="245"/>
      <c r="F127" s="442"/>
      <c r="G127" s="442"/>
      <c r="H127" s="442"/>
      <c r="I127" s="442"/>
      <c r="J127" s="442"/>
      <c r="K127" s="442"/>
      <c r="L127" s="442"/>
      <c r="M127" s="442"/>
      <c r="N127" s="442"/>
      <c r="O127" s="442"/>
      <c r="P127" s="442"/>
      <c r="Q127" s="442"/>
    </row>
    <row r="128" spans="2:17">
      <c r="C128" s="1"/>
      <c r="D128" s="1"/>
      <c r="E128" s="1"/>
    </row>
  </sheetData>
  <mergeCells count="16">
    <mergeCell ref="L7:N7"/>
    <mergeCell ref="O7:Q7"/>
    <mergeCell ref="L6:N6"/>
    <mergeCell ref="O6:Q6"/>
    <mergeCell ref="L5:N5"/>
    <mergeCell ref="O5:Q5"/>
    <mergeCell ref="A4:K4"/>
    <mergeCell ref="A5:A8"/>
    <mergeCell ref="B5:B8"/>
    <mergeCell ref="F5:K5"/>
    <mergeCell ref="I7:K7"/>
    <mergeCell ref="C6:E6"/>
    <mergeCell ref="C7:E7"/>
    <mergeCell ref="F7:H7"/>
    <mergeCell ref="F6:K6"/>
    <mergeCell ref="C5:E5"/>
  </mergeCells>
  <hyperlinks>
    <hyperlink ref="C5" r:id="rId1" display="PY@"/>
  </hyperlinks>
  <printOptions horizontalCentered="1"/>
  <pageMargins left="0.19685039370078741" right="0.19685039370078741" top="0.19685039370078741" bottom="0.19685039370078741" header="0.19685039370078741" footer="0.19685039370078741"/>
  <pageSetup paperSize="9" scale="45" orientation="landscape" r:id="rId2"/>
  <rowBreaks count="1" manualBreakCount="1">
    <brk id="73" min="1"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7"/>
  <sheetViews>
    <sheetView view="pageBreakPreview" zoomScale="70" zoomScaleSheetLayoutView="70" workbookViewId="0">
      <pane xSplit="2" ySplit="9" topLeftCell="E12"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3.7265625" customWidth="1"/>
    <col min="2" max="2" width="65.7265625" bestFit="1" customWidth="1"/>
    <col min="3" max="3" width="13.54296875" style="1242" bestFit="1" customWidth="1"/>
    <col min="4" max="4" width="15" style="1176" bestFit="1" customWidth="1"/>
    <col min="5" max="5" width="12.26953125" style="1176" bestFit="1" customWidth="1"/>
    <col min="6" max="6" width="10.1796875" style="1249" customWidth="1"/>
    <col min="7" max="7" width="10.1796875" style="1176" customWidth="1"/>
    <col min="8" max="8" width="9.7265625" style="1176" customWidth="1"/>
    <col min="9" max="9" width="8.81640625" style="1176" customWidth="1"/>
    <col min="10" max="10" width="6.453125" style="1176" customWidth="1"/>
    <col min="11" max="11" width="6.26953125" style="1176" bestFit="1" customWidth="1"/>
    <col min="12" max="12" width="13.26953125" style="1242" bestFit="1" customWidth="1"/>
    <col min="13" max="13" width="21.54296875" style="1176" bestFit="1" customWidth="1"/>
    <col min="14" max="14" width="12" style="1176" bestFit="1" customWidth="1"/>
    <col min="15" max="15" width="8.81640625" style="1176" customWidth="1"/>
    <col min="16" max="16" width="11.81640625" style="1249" customWidth="1"/>
    <col min="17" max="17" width="13.26953125" style="1242" bestFit="1" customWidth="1"/>
    <col min="18" max="18" width="21.54296875" style="1176" bestFit="1" customWidth="1"/>
    <col min="19" max="19" width="15.26953125" style="1176" bestFit="1" customWidth="1"/>
    <col min="20" max="20" width="8.453125" style="1176" bestFit="1" customWidth="1"/>
    <col min="21" max="21" width="9.54296875" style="1249" bestFit="1" customWidth="1"/>
    <col min="22" max="22" width="13.26953125" style="1242" bestFit="1" customWidth="1"/>
    <col min="23" max="23" width="21.54296875" style="1176" bestFit="1" customWidth="1"/>
    <col min="24" max="24" width="15.26953125" style="1176" bestFit="1" customWidth="1"/>
    <col min="25" max="25" width="8.453125" style="1176" bestFit="1" customWidth="1"/>
    <col min="26" max="26" width="10.7265625" style="1249" bestFit="1" customWidth="1"/>
    <col min="27" max="28" width="9.1796875" style="1176"/>
  </cols>
  <sheetData>
    <row r="1" spans="1:28" s="220" customFormat="1">
      <c r="A1" s="2" t="s">
        <v>531</v>
      </c>
      <c r="B1" s="1317" t="s">
        <v>531</v>
      </c>
      <c r="C1" s="1242"/>
      <c r="D1" s="1176"/>
      <c r="E1" s="1176"/>
      <c r="F1" s="1249"/>
      <c r="G1" s="1176"/>
      <c r="H1" s="1176"/>
      <c r="I1" s="1176"/>
      <c r="J1" s="1176"/>
      <c r="K1" s="1176"/>
      <c r="L1" s="1242"/>
      <c r="M1" s="1176"/>
      <c r="N1" s="1176"/>
      <c r="O1" s="1176"/>
      <c r="P1" s="1249"/>
      <c r="Q1" s="1242"/>
      <c r="R1" s="1176"/>
      <c r="S1" s="1176"/>
      <c r="T1" s="1176"/>
      <c r="U1" s="1249"/>
      <c r="V1" s="1242"/>
      <c r="W1" s="1176"/>
      <c r="X1" s="1176"/>
      <c r="Y1" s="1176"/>
      <c r="Z1" s="1249"/>
      <c r="AA1" s="1176"/>
      <c r="AB1" s="1176"/>
    </row>
    <row r="2" spans="1:28">
      <c r="A2" s="206" t="s">
        <v>1604</v>
      </c>
      <c r="B2" s="1309" t="s">
        <v>1604</v>
      </c>
      <c r="C2" s="1243"/>
      <c r="D2" s="1233"/>
      <c r="E2" s="1233"/>
      <c r="F2" s="1250"/>
      <c r="G2" s="1233"/>
      <c r="H2" s="1233"/>
      <c r="I2" s="1233"/>
      <c r="J2" s="1233"/>
      <c r="K2" s="1233"/>
      <c r="L2" s="1243"/>
      <c r="M2" s="1233"/>
      <c r="N2" s="3082"/>
      <c r="O2" s="3082"/>
      <c r="P2" s="3082"/>
      <c r="Q2" s="3082"/>
      <c r="R2" s="3082"/>
      <c r="S2" s="3082"/>
      <c r="T2" s="3082"/>
      <c r="U2" s="3082"/>
    </row>
    <row r="3" spans="1:28">
      <c r="A3" s="556" t="s">
        <v>779</v>
      </c>
      <c r="B3" s="556" t="s">
        <v>779</v>
      </c>
      <c r="C3" s="1248"/>
      <c r="D3" s="1234"/>
      <c r="E3" s="1234"/>
      <c r="F3" s="1251"/>
      <c r="G3" s="1234"/>
      <c r="H3" s="1234"/>
      <c r="I3" s="1234"/>
      <c r="J3" s="1234"/>
      <c r="K3" s="1234"/>
      <c r="L3" s="1244"/>
      <c r="M3" s="1235"/>
      <c r="N3" s="1236"/>
      <c r="O3" s="1236"/>
      <c r="P3" s="1254"/>
      <c r="Q3" s="1256"/>
      <c r="R3" s="1236"/>
      <c r="S3" s="1236"/>
      <c r="T3" s="1236"/>
      <c r="U3" s="1254"/>
      <c r="V3" s="1256"/>
      <c r="W3" s="1236"/>
      <c r="X3" s="1236"/>
      <c r="Y3" s="1236"/>
      <c r="Z3" s="1254"/>
    </row>
    <row r="5" spans="1:28">
      <c r="A5" s="3029" t="s">
        <v>1276</v>
      </c>
      <c r="B5" s="3081" t="s">
        <v>179</v>
      </c>
      <c r="C5" s="3083" t="s">
        <v>562</v>
      </c>
      <c r="D5" s="3084"/>
      <c r="E5" s="3084"/>
      <c r="F5" s="3084"/>
      <c r="G5" s="3086" t="s">
        <v>575</v>
      </c>
      <c r="H5" s="3086"/>
      <c r="I5" s="3086"/>
      <c r="J5" s="3086"/>
      <c r="K5" s="3086"/>
      <c r="L5" s="3086"/>
      <c r="M5" s="3086"/>
      <c r="N5" s="3086"/>
      <c r="O5" s="3086"/>
      <c r="P5" s="3086"/>
      <c r="Q5" s="3083" t="s">
        <v>550</v>
      </c>
      <c r="R5" s="3084"/>
      <c r="S5" s="3084"/>
      <c r="T5" s="3084"/>
      <c r="U5" s="3085"/>
      <c r="V5" s="3083" t="s">
        <v>952</v>
      </c>
      <c r="W5" s="3084"/>
      <c r="X5" s="3084"/>
      <c r="Y5" s="3084"/>
      <c r="Z5" s="3085"/>
    </row>
    <row r="6" spans="1:28">
      <c r="A6" s="3079"/>
      <c r="B6" s="3079"/>
      <c r="C6" s="3083" t="s">
        <v>551</v>
      </c>
      <c r="D6" s="3084"/>
      <c r="E6" s="3084"/>
      <c r="F6" s="3085"/>
      <c r="G6" s="3083" t="s">
        <v>545</v>
      </c>
      <c r="H6" s="3084"/>
      <c r="I6" s="3084"/>
      <c r="J6" s="3084"/>
      <c r="K6" s="3084"/>
      <c r="L6" s="3084"/>
      <c r="M6" s="3084"/>
      <c r="N6" s="3084"/>
      <c r="O6" s="3084"/>
      <c r="P6" s="3085"/>
      <c r="Q6" s="3083" t="s">
        <v>546</v>
      </c>
      <c r="R6" s="3084"/>
      <c r="S6" s="3084"/>
      <c r="T6" s="3084"/>
      <c r="U6" s="3085"/>
      <c r="V6" s="3083" t="s">
        <v>547</v>
      </c>
      <c r="W6" s="3084"/>
      <c r="X6" s="3084"/>
      <c r="Y6" s="3084"/>
      <c r="Z6" s="3085"/>
    </row>
    <row r="7" spans="1:28">
      <c r="A7" s="3079"/>
      <c r="B7" s="3079"/>
      <c r="C7" s="3086" t="s">
        <v>1291</v>
      </c>
      <c r="D7" s="3086"/>
      <c r="E7" s="3086"/>
      <c r="F7" s="3086"/>
      <c r="G7" s="3083" t="s">
        <v>543</v>
      </c>
      <c r="H7" s="3084"/>
      <c r="I7" s="3084"/>
      <c r="J7" s="3084"/>
      <c r="K7" s="3085"/>
      <c r="L7" s="3083" t="s">
        <v>544</v>
      </c>
      <c r="M7" s="3084"/>
      <c r="N7" s="3084"/>
      <c r="O7" s="3084"/>
      <c r="P7" s="3085"/>
      <c r="Q7" s="3083" t="s">
        <v>1418</v>
      </c>
      <c r="R7" s="3084"/>
      <c r="S7" s="3084"/>
      <c r="T7" s="3084"/>
      <c r="U7" s="3085"/>
      <c r="V7" s="3083" t="s">
        <v>283</v>
      </c>
      <c r="W7" s="3084"/>
      <c r="X7" s="3084"/>
      <c r="Y7" s="3084"/>
      <c r="Z7" s="3085"/>
    </row>
    <row r="8" spans="1:28" ht="72.5">
      <c r="A8" s="3080"/>
      <c r="B8" s="3080"/>
      <c r="C8" s="1245" t="s">
        <v>277</v>
      </c>
      <c r="D8" s="1237" t="s">
        <v>278</v>
      </c>
      <c r="E8" s="1237" t="s">
        <v>1301</v>
      </c>
      <c r="F8" s="1252" t="s">
        <v>778</v>
      </c>
      <c r="G8" s="1237" t="s">
        <v>277</v>
      </c>
      <c r="H8" s="1237" t="s">
        <v>278</v>
      </c>
      <c r="I8" s="1237" t="s">
        <v>1301</v>
      </c>
      <c r="J8" s="1237" t="s">
        <v>282</v>
      </c>
      <c r="K8" s="1237" t="s">
        <v>778</v>
      </c>
      <c r="L8" s="1245" t="s">
        <v>277</v>
      </c>
      <c r="M8" s="1237" t="s">
        <v>278</v>
      </c>
      <c r="N8" s="1237" t="s">
        <v>1301</v>
      </c>
      <c r="O8" s="1237" t="s">
        <v>282</v>
      </c>
      <c r="P8" s="1255" t="s">
        <v>778</v>
      </c>
      <c r="Q8" s="1245" t="s">
        <v>277</v>
      </c>
      <c r="R8" s="1237" t="s">
        <v>278</v>
      </c>
      <c r="S8" s="1237" t="s">
        <v>1302</v>
      </c>
      <c r="T8" s="1237" t="s">
        <v>282</v>
      </c>
      <c r="U8" s="1255" t="s">
        <v>778</v>
      </c>
      <c r="V8" s="1245" t="s">
        <v>277</v>
      </c>
      <c r="W8" s="1237" t="s">
        <v>278</v>
      </c>
      <c r="X8" s="1237" t="s">
        <v>1302</v>
      </c>
      <c r="Y8" s="1237" t="s">
        <v>282</v>
      </c>
      <c r="Z8" s="1255" t="s">
        <v>778</v>
      </c>
    </row>
    <row r="9" spans="1:28" s="1329" customFormat="1">
      <c r="A9" s="1325"/>
      <c r="B9" s="1325"/>
      <c r="C9" s="1246"/>
      <c r="D9" s="1237" t="s">
        <v>279</v>
      </c>
      <c r="E9" s="1328" t="s">
        <v>280</v>
      </c>
      <c r="F9" s="1488"/>
      <c r="G9" s="1238"/>
      <c r="H9" s="1237" t="s">
        <v>279</v>
      </c>
      <c r="I9" s="1328" t="s">
        <v>280</v>
      </c>
      <c r="J9" s="1237"/>
      <c r="K9" s="1328"/>
      <c r="L9" s="1246"/>
      <c r="M9" s="1237" t="s">
        <v>279</v>
      </c>
      <c r="N9" s="1328" t="s">
        <v>280</v>
      </c>
      <c r="O9" s="1237"/>
      <c r="P9" s="1489"/>
      <c r="Q9" s="1246"/>
      <c r="R9" s="1237" t="s">
        <v>279</v>
      </c>
      <c r="S9" s="1328" t="s">
        <v>280</v>
      </c>
      <c r="T9" s="1237"/>
      <c r="U9" s="1489"/>
      <c r="V9" s="1246"/>
      <c r="W9" s="1237" t="s">
        <v>279</v>
      </c>
      <c r="X9" s="1328" t="s">
        <v>280</v>
      </c>
      <c r="Y9" s="1237"/>
      <c r="Z9" s="1489"/>
      <c r="AA9" s="1490"/>
      <c r="AB9" s="1490"/>
    </row>
    <row r="10" spans="1:28">
      <c r="A10" s="153">
        <v>1</v>
      </c>
      <c r="B10" s="1367" t="s">
        <v>1043</v>
      </c>
      <c r="C10" s="1247"/>
      <c r="D10" s="1239"/>
      <c r="E10" s="1239"/>
      <c r="F10" s="1253"/>
      <c r="G10" s="1239"/>
      <c r="H10" s="1239"/>
      <c r="I10" s="1239"/>
      <c r="J10" s="1239"/>
      <c r="K10" s="1239"/>
      <c r="L10" s="1247"/>
      <c r="M10" s="1239"/>
      <c r="N10" s="1239"/>
      <c r="O10" s="1239"/>
      <c r="P10" s="1253"/>
      <c r="Q10" s="1247"/>
      <c r="R10" s="1239"/>
      <c r="S10" s="1239"/>
      <c r="T10" s="1239"/>
      <c r="U10" s="1253"/>
      <c r="V10" s="1247"/>
      <c r="W10" s="1239"/>
      <c r="X10" s="1239"/>
      <c r="Y10" s="1239"/>
      <c r="Z10" s="1253"/>
    </row>
    <row r="11" spans="1:28">
      <c r="A11" s="153"/>
      <c r="B11" s="1369" t="s">
        <v>1395</v>
      </c>
      <c r="C11" s="1247"/>
      <c r="D11" s="1239"/>
      <c r="E11" s="1239"/>
      <c r="F11" s="1253"/>
      <c r="G11" s="1239"/>
      <c r="H11" s="1239"/>
      <c r="I11" s="1239"/>
      <c r="J11" s="1239"/>
      <c r="K11" s="1239"/>
      <c r="L11" s="1247"/>
      <c r="M11" s="1239"/>
      <c r="N11" s="1239"/>
      <c r="O11" s="1239"/>
      <c r="P11" s="1253"/>
      <c r="Q11" s="1247"/>
      <c r="R11" s="1239"/>
      <c r="S11" s="1239"/>
      <c r="T11" s="1239"/>
      <c r="U11" s="1253"/>
      <c r="V11" s="1247"/>
      <c r="W11" s="1239"/>
      <c r="X11" s="1239"/>
      <c r="Y11" s="1239"/>
      <c r="Z11" s="1253"/>
    </row>
    <row r="12" spans="1:28">
      <c r="A12" s="153"/>
      <c r="B12" s="1372" t="s">
        <v>1396</v>
      </c>
      <c r="C12" s="1247">
        <v>296744</v>
      </c>
      <c r="D12" s="1239">
        <v>354944</v>
      </c>
      <c r="E12" s="1239">
        <v>285.58</v>
      </c>
      <c r="F12" s="882">
        <f t="shared" ref="F12:F84" si="0">IFERROR(E12/(D12*24*365/10^6),0)</f>
        <v>9.1846760674936231E-2</v>
      </c>
      <c r="G12" s="1239"/>
      <c r="H12" s="1239"/>
      <c r="I12" s="1239"/>
      <c r="J12" s="1239"/>
      <c r="K12" s="1239"/>
      <c r="L12" s="1247">
        <v>573843</v>
      </c>
      <c r="M12" s="1239">
        <v>650932</v>
      </c>
      <c r="N12" s="1239">
        <v>634.399</v>
      </c>
      <c r="O12" s="1239"/>
      <c r="P12" s="882">
        <f>IFERROR(N12/(AVERAGE(M12,D12)*24*365/10^6),0)</f>
        <v>0.14399384649588967</v>
      </c>
      <c r="Q12" s="1247">
        <v>4735392.1449999996</v>
      </c>
      <c r="R12" s="1239">
        <v>4704104.9800000004</v>
      </c>
      <c r="S12" s="1239">
        <v>4584.62557564695</v>
      </c>
      <c r="T12" s="1239"/>
      <c r="U12" s="882">
        <f>IFERROR(S12/(AVERAGE(R12,D12)*24*365/10^6),0)</f>
        <v>0.20690018461847834</v>
      </c>
      <c r="V12" s="1247">
        <v>4972161.7522499999</v>
      </c>
      <c r="W12" s="1239">
        <v>4939310.2290000003</v>
      </c>
      <c r="X12" s="1239">
        <v>4813.8568544292975</v>
      </c>
      <c r="Y12" s="1239"/>
      <c r="Z12" s="882">
        <f>IFERROR(X12/(AVERAGE(W12,R12)*24*365/10^6),0)</f>
        <v>0.11396938247852237</v>
      </c>
    </row>
    <row r="13" spans="1:28">
      <c r="A13" s="7"/>
      <c r="B13" s="1369" t="s">
        <v>1044</v>
      </c>
      <c r="C13" s="1247">
        <v>1240956</v>
      </c>
      <c r="D13" s="1239">
        <v>2232349</v>
      </c>
      <c r="E13" s="1239">
        <v>2523</v>
      </c>
      <c r="F13" s="882">
        <f t="shared" si="0"/>
        <v>0.12901822189547288</v>
      </c>
      <c r="G13" s="1239"/>
      <c r="H13" s="1239"/>
      <c r="I13" s="1239"/>
      <c r="J13" s="1239"/>
      <c r="K13" s="1239"/>
      <c r="L13" s="1247">
        <v>873338</v>
      </c>
      <c r="M13" s="1239">
        <v>1074522</v>
      </c>
      <c r="N13" s="1239">
        <v>1856.77</v>
      </c>
      <c r="O13" s="1239"/>
      <c r="P13" s="882">
        <f t="shared" ref="P13:P76" si="1">IFERROR(N13/(AVERAGE(M13,D13)*24*365/10^6),0)</f>
        <v>0.12819371887327957</v>
      </c>
      <c r="Q13" s="1247">
        <v>393002.10000000003</v>
      </c>
      <c r="R13" s="1239">
        <v>483534.9</v>
      </c>
      <c r="S13" s="1239">
        <v>1346.1611616</v>
      </c>
      <c r="T13" s="1239"/>
      <c r="U13" s="882">
        <f t="shared" ref="U13:U76" si="2">IFERROR(S13/(AVERAGE(R13,D13)*24*365/10^6),0)</f>
        <v>0.11316490036960128</v>
      </c>
      <c r="V13" s="1247">
        <v>196501.05000000002</v>
      </c>
      <c r="W13" s="1239">
        <v>241767.45</v>
      </c>
      <c r="X13" s="1239">
        <v>626.66123040000014</v>
      </c>
      <c r="Y13" s="1239"/>
      <c r="Z13" s="882">
        <f t="shared" ref="Z13:Z76" si="3">IFERROR(X13/(AVERAGE(W13,R13)*24*365/10^6),0)</f>
        <v>0.19726027397260273</v>
      </c>
    </row>
    <row r="14" spans="1:28">
      <c r="A14" s="7"/>
      <c r="B14" s="1369" t="s">
        <v>1045</v>
      </c>
      <c r="C14" s="1247">
        <v>4668427</v>
      </c>
      <c r="D14" s="1239">
        <v>5246924</v>
      </c>
      <c r="E14" s="1239">
        <v>6502.07</v>
      </c>
      <c r="F14" s="882">
        <f t="shared" si="0"/>
        <v>0.14146296645233555</v>
      </c>
      <c r="G14" s="209"/>
      <c r="H14" s="209"/>
      <c r="I14" s="209"/>
      <c r="J14" s="209"/>
      <c r="K14" s="209"/>
      <c r="L14" s="1247">
        <v>4444235</v>
      </c>
      <c r="M14" s="1239">
        <v>4747607</v>
      </c>
      <c r="N14" s="1239">
        <v>5681.1050000000005</v>
      </c>
      <c r="O14" s="209"/>
      <c r="P14" s="882">
        <f t="shared" si="1"/>
        <v>0.12977656841257079</v>
      </c>
      <c r="Q14" s="1247">
        <v>929906.85000000056</v>
      </c>
      <c r="R14" s="1239">
        <v>1438229.7700000005</v>
      </c>
      <c r="S14" s="1239">
        <v>1721.021629948699</v>
      </c>
      <c r="T14" s="209"/>
      <c r="U14" s="882">
        <f t="shared" si="2"/>
        <v>5.8776106921722394E-2</v>
      </c>
      <c r="V14" s="1247">
        <v>1219398.5850000007</v>
      </c>
      <c r="W14" s="1239">
        <v>1582052.7470000007</v>
      </c>
      <c r="X14" s="1239">
        <v>2106.8157985892294</v>
      </c>
      <c r="Y14" s="209"/>
      <c r="Z14" s="882">
        <f t="shared" si="3"/>
        <v>0.15925933103492113</v>
      </c>
    </row>
    <row r="15" spans="1:28">
      <c r="A15" s="7"/>
      <c r="B15" s="1369" t="s">
        <v>1046</v>
      </c>
      <c r="C15" s="1247">
        <v>253</v>
      </c>
      <c r="D15" s="1239">
        <v>10517</v>
      </c>
      <c r="E15" s="1239">
        <v>39</v>
      </c>
      <c r="F15" s="882">
        <f t="shared" si="0"/>
        <v>0.42331984354098584</v>
      </c>
      <c r="G15" s="1239"/>
      <c r="H15" s="1239"/>
      <c r="I15" s="1239"/>
      <c r="J15" s="1239"/>
      <c r="K15" s="1239"/>
      <c r="L15" s="1247">
        <v>13</v>
      </c>
      <c r="M15" s="1239">
        <v>1773</v>
      </c>
      <c r="N15" s="1239">
        <v>15.545999999999999</v>
      </c>
      <c r="O15" s="1239"/>
      <c r="P15" s="882">
        <f t="shared" si="1"/>
        <v>0.28879699499537437</v>
      </c>
      <c r="Q15" s="1247">
        <v>11.700000000000001</v>
      </c>
      <c r="R15" s="1239">
        <v>40667.56</v>
      </c>
      <c r="S15" s="1239">
        <v>8.1</v>
      </c>
      <c r="T15" s="1239"/>
      <c r="U15" s="882">
        <f t="shared" si="2"/>
        <v>3.6130330484293517E-2</v>
      </c>
      <c r="V15" s="1247">
        <v>11.115</v>
      </c>
      <c r="W15" s="1239">
        <v>38634.181999999993</v>
      </c>
      <c r="X15" s="1239">
        <v>8.1</v>
      </c>
      <c r="Y15" s="1239"/>
      <c r="Z15" s="882">
        <f t="shared" si="3"/>
        <v>2.3319980392021537E-2</v>
      </c>
    </row>
    <row r="16" spans="1:28">
      <c r="A16" s="7"/>
      <c r="B16" s="1369" t="s">
        <v>1047</v>
      </c>
      <c r="C16" s="1247">
        <v>1320347</v>
      </c>
      <c r="D16" s="1239">
        <v>2813089</v>
      </c>
      <c r="E16" s="1239">
        <v>3307</v>
      </c>
      <c r="F16" s="882">
        <f t="shared" si="0"/>
        <v>0.13419817699515163</v>
      </c>
      <c r="G16" s="1239"/>
      <c r="H16" s="1239"/>
      <c r="I16" s="1239"/>
      <c r="J16" s="1239"/>
      <c r="K16" s="1239"/>
      <c r="L16" s="1247">
        <v>1965345</v>
      </c>
      <c r="M16" s="1239">
        <v>3292679</v>
      </c>
      <c r="N16" s="1239">
        <v>4561.1000000000004</v>
      </c>
      <c r="O16" s="1239"/>
      <c r="P16" s="882">
        <f t="shared" si="1"/>
        <v>0.17055135929885812</v>
      </c>
      <c r="Q16" s="1247">
        <v>2024305.35</v>
      </c>
      <c r="R16" s="1239">
        <v>3391459.37</v>
      </c>
      <c r="S16" s="1239">
        <v>4742.0053333333335</v>
      </c>
      <c r="T16" s="1239"/>
      <c r="U16" s="882">
        <f t="shared" si="2"/>
        <v>0.17449289697172532</v>
      </c>
      <c r="V16" s="1247">
        <v>2125520.6175000002</v>
      </c>
      <c r="W16" s="1239">
        <v>3561032.3385000001</v>
      </c>
      <c r="X16" s="1239">
        <v>5377.1073529521182</v>
      </c>
      <c r="Y16" s="1239"/>
      <c r="Z16" s="882">
        <f t="shared" si="3"/>
        <v>0.17657699312057731</v>
      </c>
    </row>
    <row r="17" spans="1:26">
      <c r="A17" s="7"/>
      <c r="B17" s="1369" t="s">
        <v>1425</v>
      </c>
      <c r="C17" s="1247">
        <v>7526727</v>
      </c>
      <c r="D17" s="1239">
        <v>10657823</v>
      </c>
      <c r="E17" s="1239">
        <v>12656.65</v>
      </c>
      <c r="F17" s="822">
        <f t="shared" si="0"/>
        <v>0.13556455754244845</v>
      </c>
      <c r="G17" s="1239"/>
      <c r="H17" s="1239"/>
      <c r="I17" s="1239"/>
      <c r="J17" s="1239"/>
      <c r="K17" s="1239"/>
      <c r="L17" s="1247">
        <v>7856774</v>
      </c>
      <c r="M17" s="1239">
        <v>9767513</v>
      </c>
      <c r="N17" s="1239">
        <v>12748.920000000002</v>
      </c>
      <c r="O17" s="1239"/>
      <c r="P17" s="882">
        <f t="shared" si="1"/>
        <v>0.14250499128959854</v>
      </c>
      <c r="Q17" s="1247">
        <v>8082618.1449999996</v>
      </c>
      <c r="R17" s="1239">
        <v>10057996.580000002</v>
      </c>
      <c r="S17" s="1239">
        <v>12401.913700528983</v>
      </c>
      <c r="T17" s="1239"/>
      <c r="U17" s="882">
        <f t="shared" si="2"/>
        <v>0.1366823617721184</v>
      </c>
      <c r="V17" s="1247">
        <v>8513593.1197500005</v>
      </c>
      <c r="W17" s="1239">
        <v>10362796.946500001</v>
      </c>
      <c r="X17" s="1239">
        <v>12932.541236370645</v>
      </c>
      <c r="Y17" s="1239"/>
      <c r="Z17" s="882">
        <f t="shared" si="3"/>
        <v>0.1445896302531596</v>
      </c>
    </row>
    <row r="18" spans="1:26">
      <c r="A18" s="7"/>
      <c r="B18" s="1369" t="s">
        <v>1446</v>
      </c>
      <c r="C18" s="1247"/>
      <c r="D18" s="956"/>
      <c r="E18" s="956"/>
      <c r="F18" s="822"/>
      <c r="G18" s="1239"/>
      <c r="H18" s="1239"/>
      <c r="I18" s="1239"/>
      <c r="J18" s="1239"/>
      <c r="K18" s="1239"/>
      <c r="L18" s="1247">
        <v>7856774</v>
      </c>
      <c r="M18" s="1239">
        <v>9767513</v>
      </c>
      <c r="N18" s="1239">
        <v>12748.92</v>
      </c>
      <c r="O18" s="1239"/>
      <c r="P18" s="882"/>
      <c r="Q18" s="1247">
        <v>8082618.1450000005</v>
      </c>
      <c r="R18" s="1239">
        <v>10057996.580000002</v>
      </c>
      <c r="S18" s="1239">
        <v>12401.913700528981</v>
      </c>
      <c r="T18" s="1239"/>
      <c r="U18" s="882"/>
      <c r="V18" s="1247">
        <v>8513593.1197500005</v>
      </c>
      <c r="W18" s="1239">
        <v>10362796.946500001</v>
      </c>
      <c r="X18" s="1239">
        <v>12932.541236370645</v>
      </c>
      <c r="Y18" s="1239"/>
      <c r="Z18" s="882"/>
    </row>
    <row r="19" spans="1:26">
      <c r="A19" s="7"/>
      <c r="B19" s="1367" t="s">
        <v>1398</v>
      </c>
      <c r="C19" s="1247">
        <v>0</v>
      </c>
      <c r="D19" s="1239"/>
      <c r="E19" s="1239"/>
      <c r="F19" s="882"/>
      <c r="G19" s="1239"/>
      <c r="H19" s="1239"/>
      <c r="I19" s="1239"/>
      <c r="J19" s="1239"/>
      <c r="K19" s="1239"/>
      <c r="L19" s="1247">
        <v>0</v>
      </c>
      <c r="M19" s="1239">
        <v>0</v>
      </c>
      <c r="N19" s="1239">
        <v>0</v>
      </c>
      <c r="O19" s="1239"/>
      <c r="P19" s="882">
        <f t="shared" si="1"/>
        <v>0</v>
      </c>
      <c r="Q19" s="1247">
        <v>0</v>
      </c>
      <c r="R19" s="1239">
        <v>0</v>
      </c>
      <c r="S19" s="1239">
        <v>0</v>
      </c>
      <c r="T19" s="1239"/>
      <c r="U19" s="882">
        <f t="shared" si="2"/>
        <v>0</v>
      </c>
      <c r="V19" s="1247">
        <v>0</v>
      </c>
      <c r="W19" s="1239">
        <v>0</v>
      </c>
      <c r="X19" s="1239">
        <v>0</v>
      </c>
      <c r="Y19" s="1239"/>
      <c r="Z19" s="882">
        <f t="shared" si="3"/>
        <v>0</v>
      </c>
    </row>
    <row r="20" spans="1:26">
      <c r="A20" s="7"/>
      <c r="B20" s="1377" t="s">
        <v>1051</v>
      </c>
      <c r="C20" s="1247">
        <v>26539</v>
      </c>
      <c r="D20" s="1239">
        <v>76743</v>
      </c>
      <c r="E20" s="1239">
        <v>44.2</v>
      </c>
      <c r="F20" s="882">
        <f t="shared" si="0"/>
        <v>6.5747522255536289E-2</v>
      </c>
      <c r="G20" s="209"/>
      <c r="H20" s="209"/>
      <c r="I20" s="209"/>
      <c r="J20" s="209"/>
      <c r="K20" s="209"/>
      <c r="L20" s="1247">
        <v>11712</v>
      </c>
      <c r="M20" s="1239">
        <v>22199</v>
      </c>
      <c r="N20" s="1239">
        <v>38.36</v>
      </c>
      <c r="O20" s="209"/>
      <c r="P20" s="882">
        <f t="shared" si="1"/>
        <v>8.8516412318124849E-2</v>
      </c>
      <c r="Q20" s="1247">
        <v>0</v>
      </c>
      <c r="R20" s="1239">
        <v>0</v>
      </c>
      <c r="S20" s="1239">
        <v>0</v>
      </c>
      <c r="T20" s="209"/>
      <c r="U20" s="882">
        <f t="shared" si="2"/>
        <v>0</v>
      </c>
      <c r="V20" s="1247">
        <v>0</v>
      </c>
      <c r="W20" s="1239">
        <v>0</v>
      </c>
      <c r="X20" s="1239">
        <v>0</v>
      </c>
      <c r="Y20" s="209"/>
      <c r="Z20" s="882">
        <f t="shared" si="3"/>
        <v>0</v>
      </c>
    </row>
    <row r="21" spans="1:26">
      <c r="A21" s="7"/>
      <c r="B21" s="1377" t="s">
        <v>1052</v>
      </c>
      <c r="C21" s="1247">
        <v>61480</v>
      </c>
      <c r="D21" s="1239">
        <v>139357</v>
      </c>
      <c r="E21" s="1239">
        <v>187</v>
      </c>
      <c r="F21" s="882">
        <f t="shared" si="0"/>
        <v>0.15318234436354342</v>
      </c>
      <c r="G21" s="1239"/>
      <c r="H21" s="1239"/>
      <c r="I21" s="1239"/>
      <c r="J21" s="1239"/>
      <c r="K21" s="1239"/>
      <c r="L21" s="1247">
        <v>84621</v>
      </c>
      <c r="M21" s="1239">
        <v>306303</v>
      </c>
      <c r="N21" s="1239">
        <v>486.60300000000001</v>
      </c>
      <c r="O21" s="1239"/>
      <c r="P21" s="882">
        <f t="shared" si="1"/>
        <v>0.24928549868165362</v>
      </c>
      <c r="Q21" s="1247">
        <v>98025.42</v>
      </c>
      <c r="R21" s="1239">
        <v>297871.7</v>
      </c>
      <c r="S21" s="1239">
        <v>677.93333333333294</v>
      </c>
      <c r="T21" s="1239"/>
      <c r="U21" s="882">
        <f t="shared" si="2"/>
        <v>0.35400077773438227</v>
      </c>
      <c r="V21" s="1247">
        <v>102926.69100000001</v>
      </c>
      <c r="W21" s="1239">
        <v>312765.28500000003</v>
      </c>
      <c r="X21" s="1239">
        <v>703.45074399999953</v>
      </c>
      <c r="Y21" s="1239"/>
      <c r="Z21" s="882">
        <f t="shared" si="3"/>
        <v>0.26301255351256486</v>
      </c>
    </row>
    <row r="22" spans="1:26">
      <c r="A22" s="9"/>
      <c r="B22" s="1377" t="s">
        <v>1399</v>
      </c>
      <c r="C22" s="1247">
        <v>378</v>
      </c>
      <c r="D22" s="1239">
        <v>4027</v>
      </c>
      <c r="E22" s="1239">
        <v>1</v>
      </c>
      <c r="F22" s="882">
        <f t="shared" si="0"/>
        <v>2.8347467380569286E-2</v>
      </c>
      <c r="G22" s="1239"/>
      <c r="H22" s="1239"/>
      <c r="I22" s="1239"/>
      <c r="J22" s="1239"/>
      <c r="K22" s="1239"/>
      <c r="L22" s="1247">
        <v>7430</v>
      </c>
      <c r="M22" s="1239">
        <v>25321</v>
      </c>
      <c r="N22" s="1239">
        <v>36.213999999999999</v>
      </c>
      <c r="O22" s="1239"/>
      <c r="P22" s="882">
        <f t="shared" si="1"/>
        <v>0.28172401968380689</v>
      </c>
      <c r="Q22" s="1247">
        <v>7504.3</v>
      </c>
      <c r="R22" s="1239">
        <v>25574.21</v>
      </c>
      <c r="S22" s="1239">
        <v>52.665333333333336</v>
      </c>
      <c r="T22" s="1239"/>
      <c r="U22" s="882">
        <f t="shared" si="2"/>
        <v>0.4062012568486385</v>
      </c>
      <c r="V22" s="1247">
        <v>7579.3429999999998</v>
      </c>
      <c r="W22" s="1239">
        <v>25829.952099999999</v>
      </c>
      <c r="X22" s="1239">
        <v>53.191986666666672</v>
      </c>
      <c r="Y22" s="1239"/>
      <c r="Z22" s="882">
        <f t="shared" si="3"/>
        <v>0.23625108740568099</v>
      </c>
    </row>
    <row r="23" spans="1:26">
      <c r="B23" s="1377" t="s">
        <v>1054</v>
      </c>
      <c r="C23" s="1247">
        <v>329040</v>
      </c>
      <c r="D23" s="1239">
        <v>1062981</v>
      </c>
      <c r="E23" s="1239">
        <v>1769</v>
      </c>
      <c r="F23" s="882">
        <f t="shared" si="0"/>
        <v>0.18997577498507159</v>
      </c>
      <c r="G23" s="1240"/>
      <c r="H23" s="1240"/>
      <c r="I23" s="1239"/>
      <c r="J23" s="1239"/>
      <c r="K23" s="1239"/>
      <c r="L23" s="1247">
        <v>345242</v>
      </c>
      <c r="M23" s="1239">
        <v>864426</v>
      </c>
      <c r="N23" s="1239">
        <v>1328.703</v>
      </c>
      <c r="O23" s="1239"/>
      <c r="P23" s="882">
        <f t="shared" si="1"/>
        <v>0.15739117338220132</v>
      </c>
      <c r="Q23" s="1247">
        <v>352146.84</v>
      </c>
      <c r="R23" s="1239">
        <v>881714.52</v>
      </c>
      <c r="S23" s="1239">
        <v>1274.3053333333335</v>
      </c>
      <c r="T23" s="1239"/>
      <c r="U23" s="882">
        <f t="shared" si="2"/>
        <v>0.14960557461220095</v>
      </c>
      <c r="V23" s="1247">
        <v>369754.18200000003</v>
      </c>
      <c r="W23" s="1239">
        <v>925800.24600000004</v>
      </c>
      <c r="X23" s="1239">
        <v>1322.27018608</v>
      </c>
      <c r="Y23" s="1239"/>
      <c r="Z23" s="882">
        <f t="shared" si="3"/>
        <v>0.16701837020450627</v>
      </c>
    </row>
    <row r="24" spans="1:26">
      <c r="A24" s="39"/>
      <c r="B24" s="1369" t="s">
        <v>1425</v>
      </c>
      <c r="C24" s="1247">
        <v>417437</v>
      </c>
      <c r="D24" s="1239">
        <v>1283108</v>
      </c>
      <c r="E24" s="1239">
        <v>2001.2</v>
      </c>
      <c r="F24" s="822">
        <f t="shared" si="0"/>
        <v>0.17804229151753001</v>
      </c>
      <c r="G24" s="1239"/>
      <c r="H24" s="1239"/>
      <c r="I24" s="1239"/>
      <c r="J24" s="1239"/>
      <c r="K24" s="1239"/>
      <c r="L24" s="1247">
        <v>449005</v>
      </c>
      <c r="M24" s="1239">
        <v>1218249</v>
      </c>
      <c r="N24" s="1239">
        <v>1889.8799999999999</v>
      </c>
      <c r="O24" s="1239"/>
      <c r="P24" s="882">
        <f t="shared" si="1"/>
        <v>0.17249814882673464</v>
      </c>
      <c r="Q24" s="1247">
        <v>457676.56000000006</v>
      </c>
      <c r="R24" s="1239">
        <v>1205160.4300000002</v>
      </c>
      <c r="S24" s="1239">
        <v>2004.9039999999998</v>
      </c>
      <c r="T24" s="1239"/>
      <c r="U24" s="882">
        <f t="shared" si="2"/>
        <v>0.18395950925174348</v>
      </c>
      <c r="V24" s="1247">
        <v>480260.21600000001</v>
      </c>
      <c r="W24" s="1239">
        <v>1264395.4831000001</v>
      </c>
      <c r="X24" s="1239">
        <v>2078.9129167466663</v>
      </c>
      <c r="Y24" s="1239"/>
      <c r="Z24" s="882">
        <f t="shared" si="3"/>
        <v>0.19219554807708727</v>
      </c>
    </row>
    <row r="25" spans="1:26">
      <c r="B25" s="1369" t="s">
        <v>1446</v>
      </c>
      <c r="C25" s="1247"/>
      <c r="D25" s="956"/>
      <c r="E25" s="956"/>
      <c r="F25" s="822"/>
      <c r="G25" s="1239"/>
      <c r="H25" s="1239"/>
      <c r="I25" s="1239"/>
      <c r="J25" s="1239"/>
      <c r="K25" s="1239"/>
      <c r="L25" s="1247">
        <v>449005</v>
      </c>
      <c r="M25" s="1239">
        <v>1218249</v>
      </c>
      <c r="N25" s="1239">
        <v>1889.8799999999999</v>
      </c>
      <c r="O25" s="1239"/>
      <c r="P25" s="882"/>
      <c r="Q25" s="1247">
        <v>457676.56000000006</v>
      </c>
      <c r="R25" s="1239">
        <v>1205160.4300000002</v>
      </c>
      <c r="S25" s="1239">
        <v>2004.9039999999998</v>
      </c>
      <c r="T25" s="1239"/>
      <c r="U25" s="882"/>
      <c r="V25" s="1247">
        <v>480260.21600000001</v>
      </c>
      <c r="W25" s="1239">
        <v>1264395.4831000001</v>
      </c>
      <c r="X25" s="1239">
        <v>2078.9129167466663</v>
      </c>
      <c r="Y25" s="1239"/>
      <c r="Z25" s="882">
        <f t="shared" si="3"/>
        <v>0.19219554807708727</v>
      </c>
    </row>
    <row r="26" spans="1:26">
      <c r="B26" s="1367" t="s">
        <v>1400</v>
      </c>
      <c r="C26" s="1247">
        <v>0</v>
      </c>
      <c r="D26" s="1239"/>
      <c r="E26" s="1239"/>
      <c r="F26" s="882"/>
      <c r="G26" s="1239"/>
      <c r="H26" s="1239"/>
      <c r="I26" s="1239"/>
      <c r="J26" s="1239"/>
      <c r="K26" s="1239"/>
      <c r="L26" s="1247">
        <v>0</v>
      </c>
      <c r="M26" s="1239">
        <v>0</v>
      </c>
      <c r="N26" s="1239">
        <v>0</v>
      </c>
      <c r="O26" s="1239"/>
      <c r="P26" s="882">
        <f t="shared" si="1"/>
        <v>0</v>
      </c>
      <c r="Q26" s="1247">
        <v>0</v>
      </c>
      <c r="R26" s="1239">
        <v>0</v>
      </c>
      <c r="S26" s="1239">
        <v>0</v>
      </c>
      <c r="T26" s="1241"/>
      <c r="U26" s="882">
        <f t="shared" si="2"/>
        <v>0</v>
      </c>
      <c r="V26" s="1247">
        <v>0</v>
      </c>
      <c r="W26" s="1239">
        <v>0</v>
      </c>
      <c r="X26" s="1239">
        <v>0</v>
      </c>
      <c r="Y26" s="1241"/>
      <c r="Z26" s="882">
        <f t="shared" si="3"/>
        <v>0</v>
      </c>
    </row>
    <row r="27" spans="1:26">
      <c r="B27" s="1377" t="s">
        <v>1401</v>
      </c>
      <c r="C27" s="1247">
        <v>264</v>
      </c>
      <c r="D27" s="1239">
        <v>24568</v>
      </c>
      <c r="E27" s="1239">
        <v>48.06</v>
      </c>
      <c r="F27" s="882">
        <f t="shared" si="0"/>
        <v>0.22331086656882995</v>
      </c>
      <c r="G27" s="1239"/>
      <c r="H27" s="1239"/>
      <c r="I27" s="1239"/>
      <c r="J27" s="1239"/>
      <c r="K27" s="1239"/>
      <c r="L27" s="1247">
        <v>327</v>
      </c>
      <c r="M27" s="1239">
        <v>21223</v>
      </c>
      <c r="N27" s="1239">
        <v>60.570999999999998</v>
      </c>
      <c r="O27" s="1239"/>
      <c r="P27" s="882">
        <f t="shared" si="1"/>
        <v>0.30200247720709206</v>
      </c>
      <c r="Q27" s="1247">
        <v>163.5</v>
      </c>
      <c r="R27" s="1239">
        <v>10611.5</v>
      </c>
      <c r="S27" s="1239">
        <v>30.285499999999999</v>
      </c>
      <c r="T27" s="1239"/>
      <c r="U27" s="882">
        <f t="shared" si="2"/>
        <v>0.19654906172330411</v>
      </c>
      <c r="V27" s="1247">
        <v>81.75</v>
      </c>
      <c r="W27" s="1239">
        <v>5305.75</v>
      </c>
      <c r="X27" s="1239">
        <v>15.142749999999999</v>
      </c>
      <c r="Y27" s="1239"/>
      <c r="Z27" s="882">
        <f t="shared" si="3"/>
        <v>0.21720139210274941</v>
      </c>
    </row>
    <row r="28" spans="1:26">
      <c r="B28" s="1378" t="s">
        <v>1060</v>
      </c>
      <c r="C28" s="1247">
        <v>29</v>
      </c>
      <c r="D28" s="1239">
        <v>1600</v>
      </c>
      <c r="E28" s="1239">
        <v>3</v>
      </c>
      <c r="F28" s="882">
        <f t="shared" si="0"/>
        <v>0.21404109589041095</v>
      </c>
      <c r="G28" s="1239"/>
      <c r="H28" s="1239"/>
      <c r="I28" s="1239"/>
      <c r="J28" s="1239"/>
      <c r="K28" s="1239"/>
      <c r="L28" s="1247">
        <v>61</v>
      </c>
      <c r="M28" s="1239">
        <v>2499</v>
      </c>
      <c r="N28" s="1239">
        <v>4.6429999999999998</v>
      </c>
      <c r="O28" s="1239"/>
      <c r="P28" s="882">
        <f t="shared" si="1"/>
        <v>0.25861079826798161</v>
      </c>
      <c r="Q28" s="1247">
        <v>30.5</v>
      </c>
      <c r="R28" s="1239">
        <v>1249.5</v>
      </c>
      <c r="S28" s="1239">
        <v>2.3214999999999999</v>
      </c>
      <c r="T28" s="1239"/>
      <c r="U28" s="882">
        <f t="shared" si="2"/>
        <v>0.18600555572915539</v>
      </c>
      <c r="V28" s="1247">
        <v>15.25</v>
      </c>
      <c r="W28" s="1239">
        <v>624.75</v>
      </c>
      <c r="X28" s="1239">
        <v>1.1607499999999999</v>
      </c>
      <c r="Y28" s="1239"/>
      <c r="Z28" s="882">
        <f t="shared" si="3"/>
        <v>0.14139598000539635</v>
      </c>
    </row>
    <row r="29" spans="1:26">
      <c r="B29" s="1378" t="s">
        <v>1061</v>
      </c>
      <c r="C29" s="1247">
        <v>211</v>
      </c>
      <c r="D29" s="1239">
        <v>18743</v>
      </c>
      <c r="E29" s="1239">
        <v>33.06</v>
      </c>
      <c r="F29" s="882">
        <f t="shared" si="0"/>
        <v>0.20135371086484161</v>
      </c>
      <c r="G29" s="1239"/>
      <c r="H29" s="1239"/>
      <c r="I29" s="1239"/>
      <c r="J29" s="1239"/>
      <c r="K29" s="1239"/>
      <c r="L29" s="1247">
        <v>235</v>
      </c>
      <c r="M29" s="1239">
        <v>12369</v>
      </c>
      <c r="N29" s="1239">
        <v>40.881</v>
      </c>
      <c r="O29" s="1239"/>
      <c r="P29" s="882">
        <f t="shared" si="1"/>
        <v>0.29999876715851176</v>
      </c>
      <c r="Q29" s="1247">
        <v>117.5</v>
      </c>
      <c r="R29" s="1239">
        <v>6184.5</v>
      </c>
      <c r="S29" s="1239">
        <v>20.4405</v>
      </c>
      <c r="T29" s="1239"/>
      <c r="U29" s="882">
        <f t="shared" si="2"/>
        <v>0.18721415392308929</v>
      </c>
      <c r="V29" s="1247">
        <v>58.75</v>
      </c>
      <c r="W29" s="1239">
        <v>3092.25</v>
      </c>
      <c r="X29" s="1239">
        <v>10.22025</v>
      </c>
      <c r="Y29" s="1239"/>
      <c r="Z29" s="882">
        <f t="shared" si="3"/>
        <v>0.25153102228247004</v>
      </c>
    </row>
    <row r="30" spans="1:26">
      <c r="B30" s="1378" t="s">
        <v>1062</v>
      </c>
      <c r="C30" s="1247">
        <v>24</v>
      </c>
      <c r="D30" s="1239">
        <v>4225</v>
      </c>
      <c r="E30" s="1239">
        <v>12</v>
      </c>
      <c r="F30" s="882">
        <f t="shared" si="0"/>
        <v>0.32422793223636215</v>
      </c>
      <c r="G30" s="1239"/>
      <c r="H30" s="1239"/>
      <c r="I30" s="1239"/>
      <c r="J30" s="1239"/>
      <c r="K30" s="1239"/>
      <c r="L30" s="1247">
        <v>31</v>
      </c>
      <c r="M30" s="1239">
        <v>6355</v>
      </c>
      <c r="N30" s="1239">
        <v>15.047000000000001</v>
      </c>
      <c r="O30" s="1239"/>
      <c r="P30" s="882">
        <f t="shared" si="1"/>
        <v>0.32470587219790936</v>
      </c>
      <c r="Q30" s="1247">
        <v>15.5</v>
      </c>
      <c r="R30" s="1239">
        <v>3177.5</v>
      </c>
      <c r="S30" s="1239">
        <v>7.5235000000000003</v>
      </c>
      <c r="T30" s="1239"/>
      <c r="U30" s="882">
        <f t="shared" si="2"/>
        <v>0.23204242673785083</v>
      </c>
      <c r="V30" s="1247">
        <v>7.75</v>
      </c>
      <c r="W30" s="1239">
        <v>1588.75</v>
      </c>
      <c r="X30" s="1239">
        <v>3.7617500000000001</v>
      </c>
      <c r="Y30" s="1239"/>
      <c r="Z30" s="882">
        <f t="shared" si="3"/>
        <v>0.1801934501890313</v>
      </c>
    </row>
    <row r="31" spans="1:26">
      <c r="B31" s="1377" t="s">
        <v>476</v>
      </c>
      <c r="C31" s="1247">
        <v>84</v>
      </c>
      <c r="D31" s="1239">
        <v>17753</v>
      </c>
      <c r="E31" s="1239">
        <v>52</v>
      </c>
      <c r="F31" s="882">
        <f t="shared" si="0"/>
        <v>0.33437013796883519</v>
      </c>
      <c r="G31" s="1239"/>
      <c r="H31" s="1239"/>
      <c r="I31" s="1239"/>
      <c r="J31" s="1239"/>
      <c r="K31" s="1239"/>
      <c r="L31" s="1247">
        <v>112</v>
      </c>
      <c r="M31" s="1239">
        <v>15260</v>
      </c>
      <c r="N31" s="1239">
        <v>65.305999999999997</v>
      </c>
      <c r="O31" s="1239"/>
      <c r="P31" s="882">
        <f t="shared" si="1"/>
        <v>0.45164164608186042</v>
      </c>
      <c r="Q31" s="1247">
        <v>313.60000000000002</v>
      </c>
      <c r="R31" s="1239">
        <v>41587.019999999997</v>
      </c>
      <c r="S31" s="1239">
        <v>104.4896</v>
      </c>
      <c r="T31" s="1239"/>
      <c r="U31" s="882">
        <f t="shared" si="2"/>
        <v>0.40202334039255011</v>
      </c>
      <c r="V31" s="1247">
        <v>406.6</v>
      </c>
      <c r="W31" s="1239">
        <v>45745.722000000002</v>
      </c>
      <c r="X31" s="1239">
        <v>125.38751999999999</v>
      </c>
      <c r="Y31" s="1239"/>
      <c r="Z31" s="882">
        <f t="shared" si="3"/>
        <v>0.32779558978272866</v>
      </c>
    </row>
    <row r="32" spans="1:26">
      <c r="B32" s="1378" t="s">
        <v>1063</v>
      </c>
      <c r="C32" s="1247">
        <v>2</v>
      </c>
      <c r="D32" s="1239">
        <v>132</v>
      </c>
      <c r="E32" s="1239">
        <v>0.3</v>
      </c>
      <c r="F32" s="882">
        <f t="shared" si="0"/>
        <v>0.25944375259443753</v>
      </c>
      <c r="G32" s="1239"/>
      <c r="H32" s="1239"/>
      <c r="I32" s="1239"/>
      <c r="J32" s="1239"/>
      <c r="K32" s="1239"/>
      <c r="L32" s="1247">
        <v>11</v>
      </c>
      <c r="M32" s="1239">
        <v>641</v>
      </c>
      <c r="N32" s="1239">
        <v>1.518</v>
      </c>
      <c r="O32" s="1239"/>
      <c r="P32" s="882">
        <f t="shared" si="1"/>
        <v>0.44835102518208719</v>
      </c>
      <c r="Q32" s="1247">
        <v>30.799999999999997</v>
      </c>
      <c r="R32" s="1239">
        <v>653.82000000000005</v>
      </c>
      <c r="S32" s="1239">
        <v>2.4288000000000003</v>
      </c>
      <c r="T32" s="1239"/>
      <c r="U32" s="882">
        <f t="shared" si="2"/>
        <v>0.70565848151638488</v>
      </c>
      <c r="V32" s="1247">
        <v>61.8</v>
      </c>
      <c r="W32" s="1239">
        <v>719.20200000000011</v>
      </c>
      <c r="X32" s="1239">
        <v>2.9145600000000003</v>
      </c>
      <c r="Y32" s="1239"/>
      <c r="Z32" s="882">
        <f t="shared" si="3"/>
        <v>0.48464238558030864</v>
      </c>
    </row>
    <row r="33" spans="2:26">
      <c r="B33" s="1378" t="s">
        <v>1064</v>
      </c>
      <c r="C33" s="1247">
        <v>48</v>
      </c>
      <c r="D33" s="1239">
        <v>3666</v>
      </c>
      <c r="E33" s="1239">
        <v>10.7</v>
      </c>
      <c r="F33" s="882">
        <f t="shared" si="0"/>
        <v>0.33318635766901578</v>
      </c>
      <c r="G33" s="1239"/>
      <c r="H33" s="1239"/>
      <c r="I33" s="1239"/>
      <c r="J33" s="1239"/>
      <c r="K33" s="1239"/>
      <c r="L33" s="1247">
        <v>60</v>
      </c>
      <c r="M33" s="1239">
        <v>3590</v>
      </c>
      <c r="N33" s="1239">
        <v>15.537000000000001</v>
      </c>
      <c r="O33" s="1239"/>
      <c r="P33" s="882">
        <f t="shared" si="1"/>
        <v>0.48887269486943263</v>
      </c>
      <c r="Q33" s="1247">
        <v>168</v>
      </c>
      <c r="R33" s="1239">
        <v>10052</v>
      </c>
      <c r="S33" s="1239">
        <v>24.859200000000001</v>
      </c>
      <c r="T33" s="1239"/>
      <c r="U33" s="882">
        <f t="shared" si="2"/>
        <v>0.4137349787400616</v>
      </c>
      <c r="V33" s="1247">
        <v>199</v>
      </c>
      <c r="W33" s="1239">
        <v>11057.2</v>
      </c>
      <c r="X33" s="1239">
        <v>29.831040000000002</v>
      </c>
      <c r="Y33" s="1239"/>
      <c r="Z33" s="882">
        <f t="shared" si="3"/>
        <v>0.32264319472208308</v>
      </c>
    </row>
    <row r="34" spans="2:26">
      <c r="B34" s="1378" t="s">
        <v>1065</v>
      </c>
      <c r="C34" s="1247">
        <v>34</v>
      </c>
      <c r="D34" s="1239">
        <v>13955</v>
      </c>
      <c r="E34" s="1239">
        <v>41</v>
      </c>
      <c r="F34" s="882">
        <f t="shared" si="0"/>
        <v>0.33538984570431046</v>
      </c>
      <c r="G34" s="1239"/>
      <c r="H34" s="1239"/>
      <c r="I34" s="1239"/>
      <c r="J34" s="1239"/>
      <c r="K34" s="1239"/>
      <c r="L34" s="1247">
        <v>41</v>
      </c>
      <c r="M34" s="1239">
        <v>11029</v>
      </c>
      <c r="N34" s="1239">
        <v>48.250999999999998</v>
      </c>
      <c r="O34" s="1239"/>
      <c r="P34" s="882">
        <f t="shared" si="1"/>
        <v>0.44093059740882568</v>
      </c>
      <c r="Q34" s="1247">
        <v>114.8</v>
      </c>
      <c r="R34" s="1239">
        <v>30881.199999999997</v>
      </c>
      <c r="S34" s="1239">
        <v>77.201599999999999</v>
      </c>
      <c r="T34" s="1239"/>
      <c r="U34" s="882">
        <f t="shared" si="2"/>
        <v>0.39311841933659331</v>
      </c>
      <c r="V34" s="1247">
        <v>145.80000000000001</v>
      </c>
      <c r="W34" s="1239">
        <v>33969.32</v>
      </c>
      <c r="X34" s="1239">
        <v>92.641919999999999</v>
      </c>
      <c r="Y34" s="1239"/>
      <c r="Z34" s="882">
        <f t="shared" si="3"/>
        <v>0.32615194585442386</v>
      </c>
    </row>
    <row r="35" spans="2:26">
      <c r="B35" s="1369" t="s">
        <v>1425</v>
      </c>
      <c r="C35" s="1247">
        <v>348</v>
      </c>
      <c r="D35" s="1239">
        <v>42321</v>
      </c>
      <c r="E35" s="1239">
        <v>100.06</v>
      </c>
      <c r="F35" s="822">
        <f t="shared" si="0"/>
        <v>0.26989850025339063</v>
      </c>
      <c r="G35" s="1239"/>
      <c r="H35" s="1239"/>
      <c r="I35" s="1239"/>
      <c r="J35" s="1239"/>
      <c r="K35" s="1239"/>
      <c r="L35" s="1247">
        <v>439</v>
      </c>
      <c r="M35" s="1239">
        <v>36483</v>
      </c>
      <c r="N35" s="1239">
        <v>125.877</v>
      </c>
      <c r="O35" s="1239"/>
      <c r="P35" s="882">
        <f t="shared" si="1"/>
        <v>0.36469013115946414</v>
      </c>
      <c r="Q35" s="1247">
        <v>477.1</v>
      </c>
      <c r="R35" s="1239">
        <v>52198.52</v>
      </c>
      <c r="S35" s="1239">
        <v>134.77510000000001</v>
      </c>
      <c r="T35" s="1239"/>
      <c r="U35" s="882">
        <f t="shared" si="2"/>
        <v>0.32554726025117053</v>
      </c>
      <c r="V35" s="1247">
        <v>488.35</v>
      </c>
      <c r="W35" s="1239">
        <v>51051.472000000002</v>
      </c>
      <c r="X35" s="1239">
        <v>140.53027</v>
      </c>
      <c r="Y35" s="1239"/>
      <c r="Z35" s="882">
        <f t="shared" si="3"/>
        <v>0.31074614058740424</v>
      </c>
    </row>
    <row r="36" spans="2:26">
      <c r="B36" s="1369" t="s">
        <v>1446</v>
      </c>
      <c r="C36" s="1247"/>
      <c r="D36" s="956"/>
      <c r="E36" s="956"/>
      <c r="F36" s="822"/>
      <c r="G36" s="1239"/>
      <c r="H36" s="1239"/>
      <c r="I36" s="1239"/>
      <c r="J36" s="1239"/>
      <c r="K36" s="1239"/>
      <c r="L36" s="1247">
        <v>439</v>
      </c>
      <c r="M36" s="1239">
        <v>36483</v>
      </c>
      <c r="N36" s="1239">
        <v>125.877</v>
      </c>
      <c r="O36" s="1239"/>
      <c r="P36" s="882"/>
      <c r="Q36" s="1247">
        <v>477.1</v>
      </c>
      <c r="R36" s="1239">
        <v>52198.52</v>
      </c>
      <c r="S36" s="1239">
        <v>134.77510000000001</v>
      </c>
      <c r="T36" s="1239"/>
      <c r="U36" s="882"/>
      <c r="V36" s="1247">
        <v>488.35</v>
      </c>
      <c r="W36" s="1239">
        <v>51051.472000000002</v>
      </c>
      <c r="X36" s="1239">
        <v>140.53027</v>
      </c>
      <c r="Y36" s="1239"/>
      <c r="Z36" s="882"/>
    </row>
    <row r="37" spans="2:26">
      <c r="B37" s="1367" t="s">
        <v>1067</v>
      </c>
      <c r="C37" s="1247"/>
      <c r="D37" s="1239"/>
      <c r="E37" s="1239"/>
      <c r="F37" s="882"/>
      <c r="G37" s="1239"/>
      <c r="H37" s="1239"/>
      <c r="I37" s="1239"/>
      <c r="J37" s="1239"/>
      <c r="K37" s="1239"/>
      <c r="L37" s="1247">
        <v>0</v>
      </c>
      <c r="M37" s="1239">
        <v>0</v>
      </c>
      <c r="N37" s="1239">
        <v>0</v>
      </c>
      <c r="O37" s="1239"/>
      <c r="P37" s="882"/>
      <c r="Q37" s="1247">
        <v>0</v>
      </c>
      <c r="R37" s="1239">
        <v>0</v>
      </c>
      <c r="S37" s="1239">
        <v>0</v>
      </c>
      <c r="T37" s="1239"/>
      <c r="U37" s="882"/>
      <c r="V37" s="1247">
        <v>0</v>
      </c>
      <c r="W37" s="1239">
        <v>0</v>
      </c>
      <c r="X37" s="1239">
        <v>0</v>
      </c>
      <c r="Y37" s="1239"/>
      <c r="Z37" s="882"/>
    </row>
    <row r="38" spans="2:26">
      <c r="B38" s="1377" t="s">
        <v>1068</v>
      </c>
      <c r="C38" s="1247">
        <v>19004</v>
      </c>
      <c r="D38" s="1239">
        <v>98483</v>
      </c>
      <c r="E38" s="1239">
        <v>154</v>
      </c>
      <c r="F38" s="882">
        <f t="shared" si="0"/>
        <v>0.17850703853252933</v>
      </c>
      <c r="G38" s="1239"/>
      <c r="H38" s="1239"/>
      <c r="I38" s="1239"/>
      <c r="J38" s="1239"/>
      <c r="K38" s="1239"/>
      <c r="L38" s="1247">
        <v>24610</v>
      </c>
      <c r="M38" s="1239">
        <v>114464</v>
      </c>
      <c r="N38" s="1239">
        <v>204.93100000000001</v>
      </c>
      <c r="O38" s="1239"/>
      <c r="P38" s="882">
        <f t="shared" si="1"/>
        <v>0.21971617136366794</v>
      </c>
      <c r="Q38" s="1247">
        <v>24856.1</v>
      </c>
      <c r="R38" s="1239">
        <v>115608.64</v>
      </c>
      <c r="S38" s="1239">
        <v>197.96666666666667</v>
      </c>
      <c r="T38" s="1239"/>
      <c r="U38" s="882">
        <f t="shared" si="2"/>
        <v>0.21111459140571157</v>
      </c>
      <c r="V38" s="1247">
        <v>25850.344000000001</v>
      </c>
      <c r="W38" s="1239">
        <v>120232.9856</v>
      </c>
      <c r="X38" s="1239">
        <v>205.88533333333334</v>
      </c>
      <c r="Y38" s="1239"/>
      <c r="Z38" s="882">
        <f t="shared" si="3"/>
        <v>0.19931080336845269</v>
      </c>
    </row>
    <row r="39" spans="2:26">
      <c r="B39" s="1377" t="s">
        <v>1072</v>
      </c>
      <c r="C39" s="1247">
        <v>3034</v>
      </c>
      <c r="D39" s="1239">
        <v>28917</v>
      </c>
      <c r="E39" s="1239">
        <v>36.31</v>
      </c>
      <c r="F39" s="882">
        <f t="shared" si="0"/>
        <v>0.14334049759483253</v>
      </c>
      <c r="G39" s="1239"/>
      <c r="H39" s="1239"/>
      <c r="I39" s="1239"/>
      <c r="J39" s="1239"/>
      <c r="K39" s="1239"/>
      <c r="L39" s="1247">
        <v>3703</v>
      </c>
      <c r="M39" s="1239">
        <v>48952</v>
      </c>
      <c r="N39" s="1239">
        <v>66.149000000000001</v>
      </c>
      <c r="O39" s="1239"/>
      <c r="P39" s="882">
        <f t="shared" si="1"/>
        <v>0.19394767385641418</v>
      </c>
      <c r="Q39" s="1247">
        <v>3740.03</v>
      </c>
      <c r="R39" s="1239">
        <v>49441.520000000004</v>
      </c>
      <c r="S39" s="1239">
        <v>59.886666666666663</v>
      </c>
      <c r="T39" s="1239"/>
      <c r="U39" s="882">
        <f t="shared" si="2"/>
        <v>0.17448970382196535</v>
      </c>
      <c r="V39" s="1247">
        <v>3927.0315000000005</v>
      </c>
      <c r="W39" s="1239">
        <v>51913.596000000005</v>
      </c>
      <c r="X39" s="1239">
        <v>62.881</v>
      </c>
      <c r="Y39" s="1239"/>
      <c r="Z39" s="882">
        <f t="shared" si="3"/>
        <v>0.14164447992999116</v>
      </c>
    </row>
    <row r="40" spans="2:26">
      <c r="B40" s="1369" t="s">
        <v>1425</v>
      </c>
      <c r="C40" s="1247">
        <v>22038</v>
      </c>
      <c r="D40" s="1239">
        <v>127400</v>
      </c>
      <c r="E40" s="1239">
        <v>190.31</v>
      </c>
      <c r="F40" s="822">
        <f t="shared" si="0"/>
        <v>0.17052500663068179</v>
      </c>
      <c r="G40" s="1239"/>
      <c r="H40" s="1239"/>
      <c r="I40" s="1239"/>
      <c r="J40" s="1239"/>
      <c r="K40" s="1239"/>
      <c r="L40" s="1247">
        <v>28313</v>
      </c>
      <c r="M40" s="1239">
        <v>163416</v>
      </c>
      <c r="N40" s="1239">
        <v>271.08000000000004</v>
      </c>
      <c r="O40" s="1239"/>
      <c r="P40" s="882">
        <f t="shared" si="1"/>
        <v>0.21281638891568594</v>
      </c>
      <c r="Q40" s="1247">
        <v>28596.129999999997</v>
      </c>
      <c r="R40" s="1239">
        <v>165050.16</v>
      </c>
      <c r="S40" s="1239">
        <v>257.85333333333335</v>
      </c>
      <c r="T40" s="1239"/>
      <c r="U40" s="882">
        <f t="shared" si="2"/>
        <v>0.20130139114543905</v>
      </c>
      <c r="V40" s="1247">
        <v>29777.375500000002</v>
      </c>
      <c r="W40" s="1239">
        <v>172146.5816</v>
      </c>
      <c r="X40" s="1239">
        <v>268.76633333333336</v>
      </c>
      <c r="Y40" s="1239"/>
      <c r="Z40" s="882">
        <f t="shared" si="3"/>
        <v>0.18197737104148154</v>
      </c>
    </row>
    <row r="41" spans="2:26">
      <c r="B41" s="1369" t="s">
        <v>1446</v>
      </c>
      <c r="C41" s="1247"/>
      <c r="D41" s="956"/>
      <c r="E41" s="956"/>
      <c r="F41" s="822"/>
      <c r="G41" s="1239"/>
      <c r="H41" s="1239"/>
      <c r="I41" s="1239"/>
      <c r="J41" s="1239"/>
      <c r="K41" s="1239"/>
      <c r="L41" s="1247">
        <v>28313</v>
      </c>
      <c r="M41" s="1239">
        <v>163416</v>
      </c>
      <c r="N41" s="1239">
        <v>271.08000000000004</v>
      </c>
      <c r="O41" s="1239"/>
      <c r="P41" s="882"/>
      <c r="Q41" s="1247">
        <v>28596.129999999997</v>
      </c>
      <c r="R41" s="1239">
        <v>165050.16</v>
      </c>
      <c r="S41" s="1239">
        <v>257.85333333333335</v>
      </c>
      <c r="T41" s="1239"/>
      <c r="U41" s="882"/>
      <c r="V41" s="1247">
        <v>29777.375500000002</v>
      </c>
      <c r="W41" s="1239">
        <v>172146.5816</v>
      </c>
      <c r="X41" s="1239">
        <v>268.76633333333336</v>
      </c>
      <c r="Y41" s="1239"/>
      <c r="Z41" s="882">
        <f t="shared" si="3"/>
        <v>0.18197737104148154</v>
      </c>
    </row>
    <row r="42" spans="2:26">
      <c r="B42" s="1367" t="s">
        <v>1076</v>
      </c>
      <c r="C42" s="1247"/>
      <c r="D42" s="1239"/>
      <c r="E42" s="1239"/>
      <c r="F42" s="882"/>
      <c r="G42" s="1239"/>
      <c r="H42" s="1239"/>
      <c r="I42" s="1239"/>
      <c r="J42" s="1239"/>
      <c r="K42" s="1239"/>
      <c r="L42" s="1247">
        <v>0</v>
      </c>
      <c r="M42" s="1239">
        <v>0</v>
      </c>
      <c r="N42" s="1239">
        <v>0</v>
      </c>
      <c r="O42" s="1239"/>
      <c r="P42" s="882">
        <f t="shared" si="1"/>
        <v>0</v>
      </c>
      <c r="Q42" s="1247">
        <v>0</v>
      </c>
      <c r="R42" s="1239">
        <v>0</v>
      </c>
      <c r="S42" s="1239">
        <v>0</v>
      </c>
      <c r="T42" s="1239"/>
      <c r="U42" s="882">
        <f t="shared" si="2"/>
        <v>0</v>
      </c>
      <c r="V42" s="1247">
        <v>0</v>
      </c>
      <c r="W42" s="1239">
        <v>0</v>
      </c>
      <c r="X42" s="1239">
        <v>0</v>
      </c>
      <c r="Y42" s="1239"/>
      <c r="Z42" s="882">
        <f t="shared" si="3"/>
        <v>0</v>
      </c>
    </row>
    <row r="43" spans="2:26">
      <c r="B43" s="1377" t="s">
        <v>1401</v>
      </c>
      <c r="C43" s="1247">
        <v>281151</v>
      </c>
      <c r="D43" s="1239">
        <v>1240106</v>
      </c>
      <c r="E43" s="1239">
        <v>1992.1246510000001</v>
      </c>
      <c r="F43" s="882">
        <f t="shared" si="0"/>
        <v>0.18338068668338245</v>
      </c>
      <c r="G43" s="1239"/>
      <c r="H43" s="1239"/>
      <c r="I43" s="1239"/>
      <c r="J43" s="1239"/>
      <c r="K43" s="1239"/>
      <c r="L43" s="1247">
        <v>289587</v>
      </c>
      <c r="M43" s="1239">
        <v>1329675</v>
      </c>
      <c r="N43" s="1239">
        <v>2193.8000000000002</v>
      </c>
      <c r="O43" s="1239"/>
      <c r="P43" s="882">
        <f t="shared" si="1"/>
        <v>0.19490671769644022</v>
      </c>
      <c r="Q43" s="1247">
        <v>289587</v>
      </c>
      <c r="R43" s="1239">
        <v>1329675</v>
      </c>
      <c r="S43" s="1239">
        <v>2193.804189</v>
      </c>
      <c r="T43" s="1239"/>
      <c r="U43" s="882">
        <f t="shared" si="2"/>
        <v>0.19490708986538927</v>
      </c>
      <c r="V43" s="1247">
        <v>289587</v>
      </c>
      <c r="W43" s="1239">
        <v>1329675</v>
      </c>
      <c r="X43" s="1239">
        <v>2193.804189</v>
      </c>
      <c r="Y43" s="1239"/>
      <c r="Z43" s="882">
        <f t="shared" si="3"/>
        <v>0.18834246575342467</v>
      </c>
    </row>
    <row r="44" spans="2:26">
      <c r="B44" s="1378" t="s">
        <v>1077</v>
      </c>
      <c r="C44" s="1247">
        <v>281151</v>
      </c>
      <c r="D44" s="1239">
        <v>1240106</v>
      </c>
      <c r="E44" s="1239">
        <v>1992.1246510000001</v>
      </c>
      <c r="F44" s="882">
        <f t="shared" si="0"/>
        <v>0.18338068668338245</v>
      </c>
      <c r="G44" s="1239"/>
      <c r="H44" s="1239"/>
      <c r="I44" s="1239"/>
      <c r="J44" s="1239"/>
      <c r="K44" s="1239"/>
      <c r="L44" s="1247">
        <v>289587</v>
      </c>
      <c r="M44" s="1239">
        <v>1329675</v>
      </c>
      <c r="N44" s="1239">
        <v>2193.8000000000002</v>
      </c>
      <c r="O44" s="1239"/>
      <c r="P44" s="882">
        <f t="shared" si="1"/>
        <v>0.19490671769644022</v>
      </c>
      <c r="Q44" s="1247">
        <v>289587</v>
      </c>
      <c r="R44" s="1239">
        <v>1329675</v>
      </c>
      <c r="S44" s="1239">
        <v>2193.804189</v>
      </c>
      <c r="T44" s="1239"/>
      <c r="U44" s="882">
        <f t="shared" si="2"/>
        <v>0.19490708986538927</v>
      </c>
      <c r="V44" s="1247">
        <v>289587</v>
      </c>
      <c r="W44" s="1239">
        <v>1329675</v>
      </c>
      <c r="X44" s="1239">
        <v>2193.804189</v>
      </c>
      <c r="Y44" s="1239"/>
      <c r="Z44" s="882">
        <f t="shared" si="3"/>
        <v>0.18834246575342467</v>
      </c>
    </row>
    <row r="45" spans="2:26">
      <c r="B45" s="1377" t="s">
        <v>476</v>
      </c>
      <c r="C45" s="1247">
        <v>24682</v>
      </c>
      <c r="D45" s="1239">
        <v>68549</v>
      </c>
      <c r="E45" s="1239">
        <v>154.180544</v>
      </c>
      <c r="F45" s="882">
        <f t="shared" si="0"/>
        <v>0.25675821268670856</v>
      </c>
      <c r="G45" s="1239"/>
      <c r="H45" s="1239"/>
      <c r="I45" s="1239"/>
      <c r="J45" s="1239"/>
      <c r="K45" s="1239"/>
      <c r="L45" s="1247">
        <v>28821</v>
      </c>
      <c r="M45" s="1239">
        <v>104187</v>
      </c>
      <c r="N45" s="1239">
        <v>330.28599999999994</v>
      </c>
      <c r="O45" s="1239"/>
      <c r="P45" s="882">
        <f t="shared" si="1"/>
        <v>0.43654919968667572</v>
      </c>
      <c r="Q45" s="1247">
        <v>30262.050000000003</v>
      </c>
      <c r="R45" s="1239">
        <v>109396.35</v>
      </c>
      <c r="S45" s="1239">
        <v>464.06183119999992</v>
      </c>
      <c r="T45" s="1239"/>
      <c r="U45" s="882">
        <f t="shared" si="2"/>
        <v>0.59540858905101746</v>
      </c>
      <c r="V45" s="1247">
        <v>34801.357499999998</v>
      </c>
      <c r="W45" s="1239">
        <v>125805.80249999999</v>
      </c>
      <c r="X45" s="1239">
        <v>533.67110587999991</v>
      </c>
      <c r="Y45" s="1239"/>
      <c r="Z45" s="882">
        <f t="shared" si="3"/>
        <v>0.51803402707993029</v>
      </c>
    </row>
    <row r="46" spans="2:26">
      <c r="B46" s="1378" t="s">
        <v>1078</v>
      </c>
      <c r="C46" s="1247">
        <v>23003</v>
      </c>
      <c r="D46" s="1239">
        <v>58909</v>
      </c>
      <c r="E46" s="1239">
        <v>102.157849</v>
      </c>
      <c r="F46" s="882">
        <f t="shared" si="0"/>
        <v>0.19796389191253969</v>
      </c>
      <c r="G46" s="1239"/>
      <c r="H46" s="1239"/>
      <c r="I46" s="1239"/>
      <c r="J46" s="1239"/>
      <c r="K46" s="1239"/>
      <c r="L46" s="1247">
        <v>18545</v>
      </c>
      <c r="M46" s="1239">
        <v>66617</v>
      </c>
      <c r="N46" s="1239">
        <v>153.53799999999998</v>
      </c>
      <c r="O46" s="1239"/>
      <c r="P46" s="882">
        <f t="shared" si="1"/>
        <v>0.27925957888838465</v>
      </c>
      <c r="Q46" s="1247">
        <v>19472.25</v>
      </c>
      <c r="R46" s="1239">
        <v>69947.850000000006</v>
      </c>
      <c r="S46" s="1239">
        <v>214.95319999999995</v>
      </c>
      <c r="T46" s="1239"/>
      <c r="U46" s="882">
        <f t="shared" si="2"/>
        <v>0.38085730839579507</v>
      </c>
      <c r="V46" s="1247">
        <v>22393.087499999998</v>
      </c>
      <c r="W46" s="1239">
        <v>80440.027499999997</v>
      </c>
      <c r="X46" s="1239">
        <v>247.19617999999991</v>
      </c>
      <c r="Y46" s="1239"/>
      <c r="Z46" s="882">
        <f t="shared" si="3"/>
        <v>0.37527947701944803</v>
      </c>
    </row>
    <row r="47" spans="2:26">
      <c r="B47" s="1378" t="s">
        <v>1079</v>
      </c>
      <c r="C47" s="1247">
        <v>1679</v>
      </c>
      <c r="D47" s="1239">
        <v>9640</v>
      </c>
      <c r="E47" s="1239">
        <v>52.022695000000006</v>
      </c>
      <c r="F47" s="882">
        <f t="shared" si="0"/>
        <v>0.61604396398188688</v>
      </c>
      <c r="G47" s="1239"/>
      <c r="H47" s="1239"/>
      <c r="I47" s="1239"/>
      <c r="J47" s="1239"/>
      <c r="K47" s="1239"/>
      <c r="L47" s="1247">
        <v>10276</v>
      </c>
      <c r="M47" s="1239">
        <v>37570</v>
      </c>
      <c r="N47" s="1239">
        <v>176.74799999999999</v>
      </c>
      <c r="O47" s="1239"/>
      <c r="P47" s="882">
        <f t="shared" si="1"/>
        <v>0.85476434351904773</v>
      </c>
      <c r="Q47" s="1247">
        <v>10789.800000000001</v>
      </c>
      <c r="R47" s="1239">
        <v>39448.5</v>
      </c>
      <c r="S47" s="1239">
        <v>249.10863119999999</v>
      </c>
      <c r="T47" s="1239"/>
      <c r="U47" s="882">
        <f t="shared" si="2"/>
        <v>1.1586036793205896</v>
      </c>
      <c r="V47" s="1247">
        <v>12408.27</v>
      </c>
      <c r="W47" s="1239">
        <v>45365.774999999994</v>
      </c>
      <c r="X47" s="1239">
        <v>286.47492587999994</v>
      </c>
      <c r="Y47" s="1239"/>
      <c r="Z47" s="882">
        <f t="shared" si="3"/>
        <v>0.77115832469449364</v>
      </c>
    </row>
    <row r="48" spans="2:26">
      <c r="B48" s="1369" t="s">
        <v>1425</v>
      </c>
      <c r="C48" s="1247">
        <v>305833</v>
      </c>
      <c r="D48" s="1239">
        <v>1308655</v>
      </c>
      <c r="E48" s="1239">
        <v>2146.3051949999999</v>
      </c>
      <c r="F48" s="822">
        <f t="shared" si="0"/>
        <v>0.18722429407417832</v>
      </c>
      <c r="G48" s="1239"/>
      <c r="H48" s="1239"/>
      <c r="I48" s="1239"/>
      <c r="J48" s="1239"/>
      <c r="K48" s="1239"/>
      <c r="L48" s="1247">
        <v>318408</v>
      </c>
      <c r="M48" s="1239">
        <v>1433862</v>
      </c>
      <c r="N48" s="1239">
        <v>2524.0860000000002</v>
      </c>
      <c r="O48" s="1239"/>
      <c r="P48" s="882">
        <f t="shared" si="1"/>
        <v>0.21012644314173931</v>
      </c>
      <c r="Q48" s="1247">
        <v>319849.05</v>
      </c>
      <c r="R48" s="1239">
        <v>1439071.35</v>
      </c>
      <c r="S48" s="1239">
        <v>2657.8660202000001</v>
      </c>
      <c r="T48" s="1239"/>
      <c r="U48" s="882">
        <f t="shared" si="2"/>
        <v>0.22084394469378629</v>
      </c>
      <c r="V48" s="1247">
        <v>324388.35749999998</v>
      </c>
      <c r="W48" s="1239">
        <v>1455480.8025</v>
      </c>
      <c r="X48" s="1239">
        <v>2727.4752948799996</v>
      </c>
      <c r="Y48" s="1239"/>
      <c r="Z48" s="882">
        <f t="shared" si="3"/>
        <v>0.21513215921882162</v>
      </c>
    </row>
    <row r="49" spans="2:26">
      <c r="B49" s="1369" t="s">
        <v>1446</v>
      </c>
      <c r="C49" s="1247"/>
      <c r="D49" s="956"/>
      <c r="E49" s="956"/>
      <c r="F49" s="822"/>
      <c r="G49" s="1239"/>
      <c r="H49" s="1239"/>
      <c r="I49" s="1239"/>
      <c r="J49" s="1239"/>
      <c r="K49" s="1239"/>
      <c r="L49" s="1247">
        <v>318408</v>
      </c>
      <c r="M49" s="1239">
        <v>1433862</v>
      </c>
      <c r="N49" s="1239">
        <v>2524.0860000000002</v>
      </c>
      <c r="O49" s="1239"/>
      <c r="P49" s="882"/>
      <c r="Q49" s="1247">
        <v>319849.05</v>
      </c>
      <c r="R49" s="1239">
        <v>1439071.35</v>
      </c>
      <c r="S49" s="1239">
        <v>2657.8660202000001</v>
      </c>
      <c r="T49" s="1239"/>
      <c r="U49" s="882"/>
      <c r="V49" s="1247">
        <v>324388.35749999998</v>
      </c>
      <c r="W49" s="1239">
        <v>1455480.8025</v>
      </c>
      <c r="X49" s="1239">
        <v>2727.4752948799996</v>
      </c>
      <c r="Y49" s="1239"/>
      <c r="Z49" s="882"/>
    </row>
    <row r="50" spans="2:26">
      <c r="B50" s="1367" t="s">
        <v>1081</v>
      </c>
      <c r="C50" s="1247" t="e">
        <f>#REF!</f>
        <v>#REF!</v>
      </c>
      <c r="D50" s="1239"/>
      <c r="E50" s="1239"/>
      <c r="F50" s="882"/>
      <c r="G50" s="1239"/>
      <c r="H50" s="1239"/>
      <c r="I50" s="1239"/>
      <c r="J50" s="1239"/>
      <c r="K50" s="1239"/>
      <c r="L50" s="1247">
        <v>0</v>
      </c>
      <c r="M50" s="1239">
        <v>0</v>
      </c>
      <c r="N50" s="1239">
        <v>0</v>
      </c>
      <c r="O50" s="1239"/>
      <c r="P50" s="882">
        <f t="shared" si="1"/>
        <v>0</v>
      </c>
      <c r="Q50" s="1247">
        <v>0</v>
      </c>
      <c r="R50" s="1239">
        <v>0</v>
      </c>
      <c r="S50" s="1239">
        <v>0</v>
      </c>
      <c r="T50" s="1239"/>
      <c r="U50" s="882">
        <f t="shared" si="2"/>
        <v>0</v>
      </c>
      <c r="V50" s="1247">
        <v>0</v>
      </c>
      <c r="W50" s="1239">
        <v>0</v>
      </c>
      <c r="X50" s="1239">
        <v>0</v>
      </c>
      <c r="Y50" s="1239"/>
      <c r="Z50" s="882">
        <f t="shared" si="3"/>
        <v>0</v>
      </c>
    </row>
    <row r="51" spans="2:26">
      <c r="B51" s="1377" t="s">
        <v>1012</v>
      </c>
      <c r="C51" s="1247">
        <v>15628</v>
      </c>
      <c r="D51" s="1239">
        <v>163473</v>
      </c>
      <c r="E51" s="1239">
        <v>103.39</v>
      </c>
      <c r="F51" s="882">
        <f t="shared" si="0"/>
        <v>7.2198536856392881E-2</v>
      </c>
      <c r="G51" s="1239"/>
      <c r="H51" s="1239"/>
      <c r="I51" s="1239"/>
      <c r="J51" s="1239"/>
      <c r="K51" s="1239"/>
      <c r="L51" s="1247">
        <v>19354</v>
      </c>
      <c r="M51" s="1239">
        <v>161717</v>
      </c>
      <c r="N51" s="1239">
        <v>265.33500000000004</v>
      </c>
      <c r="O51" s="1239"/>
      <c r="P51" s="882">
        <f t="shared" si="1"/>
        <v>0.18628730011158914</v>
      </c>
      <c r="Q51" s="1247">
        <v>19547.54</v>
      </c>
      <c r="R51" s="1239">
        <v>163334.17000000001</v>
      </c>
      <c r="S51" s="1239">
        <v>244.828</v>
      </c>
      <c r="T51" s="1239"/>
      <c r="U51" s="882">
        <f t="shared" si="2"/>
        <v>0.17103909823327326</v>
      </c>
      <c r="V51" s="1247">
        <v>20133.966200000003</v>
      </c>
      <c r="W51" s="1239">
        <v>168234.19510000001</v>
      </c>
      <c r="X51" s="1239">
        <v>252.17284000000001</v>
      </c>
      <c r="Y51" s="1239"/>
      <c r="Z51" s="882">
        <f t="shared" si="3"/>
        <v>0.17364053336389018</v>
      </c>
    </row>
    <row r="52" spans="2:26">
      <c r="B52" s="1377" t="s">
        <v>1011</v>
      </c>
      <c r="C52" s="1247">
        <v>14544</v>
      </c>
      <c r="D52" s="1239">
        <v>174023</v>
      </c>
      <c r="E52" s="1239">
        <v>444</v>
      </c>
      <c r="F52" s="882">
        <f t="shared" si="0"/>
        <v>0.291254210689675</v>
      </c>
      <c r="G52" s="1239"/>
      <c r="H52" s="1239"/>
      <c r="I52" s="1239"/>
      <c r="J52" s="1239"/>
      <c r="K52" s="1239"/>
      <c r="L52" s="1247">
        <v>11700</v>
      </c>
      <c r="M52" s="1239">
        <v>189213</v>
      </c>
      <c r="N52" s="1239">
        <v>307.75700000000001</v>
      </c>
      <c r="O52" s="1239"/>
      <c r="P52" s="882">
        <f t="shared" si="1"/>
        <v>0.19343940372413954</v>
      </c>
      <c r="Q52" s="1247">
        <v>11934</v>
      </c>
      <c r="R52" s="1239">
        <v>192997.26</v>
      </c>
      <c r="S52" s="1239">
        <v>327.15733333333333</v>
      </c>
      <c r="T52" s="1239"/>
      <c r="U52" s="882">
        <f t="shared" si="2"/>
        <v>0.20351316600052147</v>
      </c>
      <c r="V52" s="1247">
        <v>12530.7</v>
      </c>
      <c r="W52" s="1239">
        <v>202647.12300000002</v>
      </c>
      <c r="X52" s="1239">
        <v>343.51519999999999</v>
      </c>
      <c r="Y52" s="1239"/>
      <c r="Z52" s="882">
        <f t="shared" si="3"/>
        <v>0.19822884191908588</v>
      </c>
    </row>
    <row r="53" spans="2:26">
      <c r="B53" s="1369" t="s">
        <v>1425</v>
      </c>
      <c r="C53" s="1247">
        <v>30172</v>
      </c>
      <c r="D53" s="1239">
        <v>337496</v>
      </c>
      <c r="E53" s="1239">
        <v>547.39</v>
      </c>
      <c r="F53" s="822">
        <f t="shared" si="0"/>
        <v>0.18515017340168308</v>
      </c>
      <c r="G53" s="1239"/>
      <c r="H53" s="1239"/>
      <c r="I53" s="1239"/>
      <c r="J53" s="1239"/>
      <c r="K53" s="1239"/>
      <c r="L53" s="1247">
        <v>31054</v>
      </c>
      <c r="M53" s="1239">
        <v>350930</v>
      </c>
      <c r="N53" s="1239">
        <v>573.0920000000001</v>
      </c>
      <c r="O53" s="1239"/>
      <c r="P53" s="882">
        <f t="shared" si="1"/>
        <v>0.19006098313316064</v>
      </c>
      <c r="Q53" s="1247">
        <v>31481.54</v>
      </c>
      <c r="R53" s="1239">
        <v>356331.43000000005</v>
      </c>
      <c r="S53" s="1239">
        <v>571.9853333333333</v>
      </c>
      <c r="T53" s="1239"/>
      <c r="U53" s="882">
        <f t="shared" si="2"/>
        <v>0.18821720373883544</v>
      </c>
      <c r="V53" s="1247">
        <v>32664.666200000003</v>
      </c>
      <c r="W53" s="1239">
        <v>370881.31810000003</v>
      </c>
      <c r="X53" s="1239">
        <v>595.68804</v>
      </c>
      <c r="Y53" s="1239"/>
      <c r="Z53" s="882">
        <f t="shared" si="3"/>
        <v>0.18701794759755302</v>
      </c>
    </row>
    <row r="54" spans="2:26">
      <c r="B54" s="1369" t="s">
        <v>1446</v>
      </c>
      <c r="C54" s="1247"/>
      <c r="D54" s="956"/>
      <c r="E54" s="956"/>
      <c r="F54" s="822"/>
      <c r="G54" s="1239"/>
      <c r="H54" s="1239"/>
      <c r="I54" s="1239"/>
      <c r="J54" s="1239"/>
      <c r="K54" s="1239"/>
      <c r="L54" s="1247">
        <v>31054</v>
      </c>
      <c r="M54" s="1239">
        <v>350930</v>
      </c>
      <c r="N54" s="1239">
        <v>573.0920000000001</v>
      </c>
      <c r="O54" s="1239"/>
      <c r="P54" s="882"/>
      <c r="Q54" s="1247">
        <v>31481.54</v>
      </c>
      <c r="R54" s="1239">
        <v>356331.43000000005</v>
      </c>
      <c r="S54" s="1239">
        <v>571.9853333333333</v>
      </c>
      <c r="T54" s="1239"/>
      <c r="U54" s="882"/>
      <c r="V54" s="1247">
        <v>32664.666200000003</v>
      </c>
      <c r="W54" s="1239">
        <v>370881.31810000003</v>
      </c>
      <c r="X54" s="1239">
        <v>595.68804</v>
      </c>
      <c r="Y54" s="1239"/>
      <c r="Z54" s="882"/>
    </row>
    <row r="55" spans="2:26">
      <c r="B55" s="1367" t="s">
        <v>1402</v>
      </c>
      <c r="C55" s="1247" t="e">
        <f>#REF!</f>
        <v>#REF!</v>
      </c>
      <c r="D55" s="1239"/>
      <c r="E55" s="1239"/>
      <c r="F55" s="882"/>
      <c r="G55" s="1239"/>
      <c r="H55" s="1239"/>
      <c r="I55" s="1239"/>
      <c r="J55" s="1239"/>
      <c r="K55" s="1239"/>
      <c r="L55" s="1247">
        <v>0</v>
      </c>
      <c r="M55" s="1239">
        <v>0</v>
      </c>
      <c r="N55" s="1239">
        <v>0</v>
      </c>
      <c r="O55" s="1239"/>
      <c r="P55" s="882">
        <f t="shared" si="1"/>
        <v>0</v>
      </c>
      <c r="Q55" s="1247">
        <v>0</v>
      </c>
      <c r="R55" s="1239">
        <v>0</v>
      </c>
      <c r="S55" s="1239">
        <v>0</v>
      </c>
      <c r="T55" s="1239"/>
      <c r="U55" s="882">
        <f t="shared" si="2"/>
        <v>0</v>
      </c>
      <c r="V55" s="1247">
        <v>0</v>
      </c>
      <c r="W55" s="1239">
        <v>0</v>
      </c>
      <c r="X55" s="1239">
        <v>0</v>
      </c>
      <c r="Y55" s="1239"/>
      <c r="Z55" s="882">
        <f t="shared" si="3"/>
        <v>0</v>
      </c>
    </row>
    <row r="56" spans="2:26">
      <c r="B56" s="1377" t="s">
        <v>475</v>
      </c>
      <c r="C56" s="1247">
        <v>1506</v>
      </c>
      <c r="D56" s="1239">
        <v>33153</v>
      </c>
      <c r="E56" s="1239">
        <v>136.28478799999999</v>
      </c>
      <c r="F56" s="882">
        <f t="shared" si="0"/>
        <v>0.46926746300223937</v>
      </c>
      <c r="G56" s="1239"/>
      <c r="H56" s="1239"/>
      <c r="I56" s="1239"/>
      <c r="J56" s="1239"/>
      <c r="K56" s="1239"/>
      <c r="L56" s="1247">
        <v>1692</v>
      </c>
      <c r="M56" s="1239">
        <v>28131</v>
      </c>
      <c r="N56" s="1239">
        <v>123.131</v>
      </c>
      <c r="O56" s="1239"/>
      <c r="P56" s="882">
        <f t="shared" si="1"/>
        <v>0.45871843314112987</v>
      </c>
      <c r="Q56" s="1247">
        <v>1878.2</v>
      </c>
      <c r="R56" s="1239">
        <v>31452.100000000002</v>
      </c>
      <c r="S56" s="1239">
        <v>129.34800000000001</v>
      </c>
      <c r="T56" s="1239"/>
      <c r="U56" s="882">
        <f t="shared" si="2"/>
        <v>0.45710798140263026</v>
      </c>
      <c r="V56" s="1247">
        <v>2086.4200000000005</v>
      </c>
      <c r="W56" s="1239">
        <v>35206.910000000003</v>
      </c>
      <c r="X56" s="1239">
        <v>143.74533333333335</v>
      </c>
      <c r="Y56" s="1239"/>
      <c r="Z56" s="882">
        <f t="shared" si="3"/>
        <v>0.49233508349712513</v>
      </c>
    </row>
    <row r="57" spans="2:26">
      <c r="B57" s="1378" t="s">
        <v>1091</v>
      </c>
      <c r="C57" s="1247">
        <v>1261</v>
      </c>
      <c r="D57" s="1239">
        <v>23857</v>
      </c>
      <c r="E57" s="1239">
        <v>102.073336</v>
      </c>
      <c r="F57" s="882">
        <f t="shared" si="0"/>
        <v>0.48841879976258845</v>
      </c>
      <c r="G57" s="1239"/>
      <c r="H57" s="1239"/>
      <c r="I57" s="1239"/>
      <c r="J57" s="1239"/>
      <c r="K57" s="1239"/>
      <c r="L57" s="1247">
        <v>1451</v>
      </c>
      <c r="M57" s="1239">
        <v>21596</v>
      </c>
      <c r="N57" s="1239">
        <v>97.594999999999999</v>
      </c>
      <c r="O57" s="1239"/>
      <c r="P57" s="882">
        <f t="shared" si="1"/>
        <v>0.49021986382240196</v>
      </c>
      <c r="Q57" s="1247">
        <v>1596.1000000000001</v>
      </c>
      <c r="R57" s="1239">
        <v>23755.600000000002</v>
      </c>
      <c r="S57" s="1239">
        <v>96.190666666666672</v>
      </c>
      <c r="T57" s="1239"/>
      <c r="U57" s="882">
        <f t="shared" si="2"/>
        <v>0.46125058118257334</v>
      </c>
      <c r="V57" s="1247">
        <v>1755.7100000000003</v>
      </c>
      <c r="W57" s="1239">
        <v>26131.160000000003</v>
      </c>
      <c r="X57" s="1239">
        <v>105.80973333333336</v>
      </c>
      <c r="Y57" s="1239"/>
      <c r="Z57" s="882">
        <f t="shared" si="3"/>
        <v>0.48424618804217262</v>
      </c>
    </row>
    <row r="58" spans="2:26">
      <c r="B58" s="1378" t="s">
        <v>1092</v>
      </c>
      <c r="C58" s="1247">
        <v>85</v>
      </c>
      <c r="D58" s="1239">
        <v>1858</v>
      </c>
      <c r="E58" s="1239">
        <v>19.180535000000003</v>
      </c>
      <c r="F58" s="882">
        <f t="shared" si="0"/>
        <v>1.1784492949162209</v>
      </c>
      <c r="G58" s="1239"/>
      <c r="H58" s="1239"/>
      <c r="I58" s="1239"/>
      <c r="J58" s="1239"/>
      <c r="K58" s="1239"/>
      <c r="L58" s="1247">
        <v>71</v>
      </c>
      <c r="M58" s="1239">
        <v>1455</v>
      </c>
      <c r="N58" s="1239">
        <v>11.081</v>
      </c>
      <c r="O58" s="1239"/>
      <c r="P58" s="882">
        <f t="shared" si="1"/>
        <v>0.76363075031665761</v>
      </c>
      <c r="Q58" s="1247">
        <v>78.100000000000009</v>
      </c>
      <c r="R58" s="1239">
        <v>1600.5000000000002</v>
      </c>
      <c r="S58" s="1239">
        <v>18.532</v>
      </c>
      <c r="T58" s="1239"/>
      <c r="U58" s="882">
        <f t="shared" si="2"/>
        <v>1.2233772526559208</v>
      </c>
      <c r="V58" s="1247">
        <v>85.910000000000011</v>
      </c>
      <c r="W58" s="1239">
        <v>1760.5500000000004</v>
      </c>
      <c r="X58" s="1239">
        <v>20.385200000000001</v>
      </c>
      <c r="Y58" s="1239"/>
      <c r="Z58" s="882">
        <f t="shared" si="3"/>
        <v>1.3847325244020625</v>
      </c>
    </row>
    <row r="59" spans="2:26">
      <c r="B59" s="1378" t="s">
        <v>1093</v>
      </c>
      <c r="C59" s="1247">
        <v>160</v>
      </c>
      <c r="D59" s="1239">
        <v>7438</v>
      </c>
      <c r="E59" s="1239">
        <v>15.030917000000001</v>
      </c>
      <c r="F59" s="882">
        <f t="shared" si="0"/>
        <v>0.23068810231551909</v>
      </c>
      <c r="G59" s="1239"/>
      <c r="H59" s="1239"/>
      <c r="I59" s="1239"/>
      <c r="J59" s="1239"/>
      <c r="K59" s="1239"/>
      <c r="L59" s="1247">
        <v>170</v>
      </c>
      <c r="M59" s="1239">
        <v>5080</v>
      </c>
      <c r="N59" s="1239">
        <v>14.455</v>
      </c>
      <c r="O59" s="1239"/>
      <c r="P59" s="882">
        <f t="shared" si="1"/>
        <v>0.26363862521986603</v>
      </c>
      <c r="Q59" s="1247">
        <v>204</v>
      </c>
      <c r="R59" s="1239">
        <v>6096</v>
      </c>
      <c r="S59" s="1239">
        <v>14.625333333333332</v>
      </c>
      <c r="T59" s="1239"/>
      <c r="U59" s="882">
        <f t="shared" si="2"/>
        <v>0.24672064425825119</v>
      </c>
      <c r="V59" s="1247">
        <v>244.79999999999998</v>
      </c>
      <c r="W59" s="1239">
        <v>7315.2</v>
      </c>
      <c r="X59" s="1239">
        <v>17.550399999999996</v>
      </c>
      <c r="Y59" s="1239"/>
      <c r="Z59" s="882">
        <f t="shared" si="3"/>
        <v>0.29877569786964664</v>
      </c>
    </row>
    <row r="60" spans="2:26">
      <c r="B60" s="1377" t="s">
        <v>1403</v>
      </c>
      <c r="C60" s="1247">
        <v>1846</v>
      </c>
      <c r="D60" s="1239">
        <v>76964</v>
      </c>
      <c r="E60" s="1239">
        <v>195.99296400000003</v>
      </c>
      <c r="F60" s="882">
        <f t="shared" si="0"/>
        <v>0.29070248463433895</v>
      </c>
      <c r="G60" s="1239"/>
      <c r="H60" s="1239"/>
      <c r="I60" s="1239"/>
      <c r="J60" s="1239"/>
      <c r="K60" s="1239"/>
      <c r="L60" s="1247">
        <v>1734</v>
      </c>
      <c r="M60" s="1239">
        <v>78599</v>
      </c>
      <c r="N60" s="1239">
        <v>266.96100000000001</v>
      </c>
      <c r="O60" s="1239"/>
      <c r="P60" s="882">
        <f t="shared" si="1"/>
        <v>0.39180267801469504</v>
      </c>
      <c r="Q60" s="1247">
        <v>1768.68</v>
      </c>
      <c r="R60" s="1239">
        <v>80170.98000000001</v>
      </c>
      <c r="S60" s="1239">
        <v>265.78533333333337</v>
      </c>
      <c r="T60" s="1239"/>
      <c r="U60" s="882">
        <f t="shared" si="2"/>
        <v>0.38617488577537495</v>
      </c>
      <c r="V60" s="1247">
        <v>1846.0980000000002</v>
      </c>
      <c r="W60" s="1239">
        <v>83893.3272</v>
      </c>
      <c r="X60" s="1239">
        <v>277.70800000000003</v>
      </c>
      <c r="Y60" s="1239"/>
      <c r="Z60" s="882">
        <f t="shared" si="3"/>
        <v>0.38645610401258884</v>
      </c>
    </row>
    <row r="61" spans="2:26">
      <c r="B61" s="1378" t="s">
        <v>1094</v>
      </c>
      <c r="C61" s="1247">
        <v>519</v>
      </c>
      <c r="D61" s="1239">
        <v>9974</v>
      </c>
      <c r="E61" s="1239">
        <v>30.843738000000002</v>
      </c>
      <c r="F61" s="882">
        <f t="shared" si="0"/>
        <v>0.35301530554784905</v>
      </c>
      <c r="G61" s="1239"/>
      <c r="H61" s="1239"/>
      <c r="I61" s="1239"/>
      <c r="J61" s="1239"/>
      <c r="K61" s="1239"/>
      <c r="L61" s="1247">
        <v>360</v>
      </c>
      <c r="M61" s="1239">
        <v>9353</v>
      </c>
      <c r="N61" s="1239">
        <v>38.027999999999999</v>
      </c>
      <c r="O61" s="1239"/>
      <c r="P61" s="882">
        <f t="shared" si="1"/>
        <v>0.44922604547120182</v>
      </c>
      <c r="Q61" s="1247">
        <v>367.2</v>
      </c>
      <c r="R61" s="1239">
        <v>9540.06</v>
      </c>
      <c r="S61" s="1239">
        <v>45.553333333333335</v>
      </c>
      <c r="T61" s="1239"/>
      <c r="U61" s="882">
        <f t="shared" si="2"/>
        <v>0.53296466311997837</v>
      </c>
      <c r="V61" s="1247">
        <v>374.54399999999998</v>
      </c>
      <c r="W61" s="1239">
        <v>9730.8611999999994</v>
      </c>
      <c r="X61" s="1239">
        <v>46.464400000000005</v>
      </c>
      <c r="Y61" s="1239"/>
      <c r="Z61" s="882">
        <f t="shared" si="3"/>
        <v>0.55048279177661241</v>
      </c>
    </row>
    <row r="62" spans="2:26">
      <c r="B62" s="1378" t="s">
        <v>1095</v>
      </c>
      <c r="C62" s="1247">
        <v>955</v>
      </c>
      <c r="D62" s="1239">
        <v>52696</v>
      </c>
      <c r="E62" s="1239">
        <v>142.20498900000001</v>
      </c>
      <c r="F62" s="882">
        <f t="shared" si="0"/>
        <v>0.30805841492478964</v>
      </c>
      <c r="G62" s="1239"/>
      <c r="H62" s="1239"/>
      <c r="I62" s="1239"/>
      <c r="J62" s="1239"/>
      <c r="K62" s="1239"/>
      <c r="L62" s="1247">
        <v>1059</v>
      </c>
      <c r="M62" s="1239">
        <v>57374</v>
      </c>
      <c r="N62" s="1239">
        <v>198.733</v>
      </c>
      <c r="O62" s="1239"/>
      <c r="P62" s="882">
        <f t="shared" si="1"/>
        <v>0.41221796175368686</v>
      </c>
      <c r="Q62" s="1247">
        <v>1080.18</v>
      </c>
      <c r="R62" s="1239">
        <v>58521.48</v>
      </c>
      <c r="S62" s="1239">
        <v>176.66533333333334</v>
      </c>
      <c r="T62" s="1239"/>
      <c r="U62" s="882">
        <f t="shared" si="2"/>
        <v>0.3626637736203473</v>
      </c>
      <c r="V62" s="1247">
        <v>1134.1890000000001</v>
      </c>
      <c r="W62" s="1239">
        <v>61447.554000000004</v>
      </c>
      <c r="X62" s="1239">
        <v>185.49860000000001</v>
      </c>
      <c r="Y62" s="1239"/>
      <c r="Z62" s="882">
        <f t="shared" si="3"/>
        <v>0.35301841755942437</v>
      </c>
    </row>
    <row r="63" spans="2:26">
      <c r="B63" s="1378" t="s">
        <v>1096</v>
      </c>
      <c r="C63" s="1247">
        <v>372</v>
      </c>
      <c r="D63" s="1239">
        <v>14294</v>
      </c>
      <c r="E63" s="1239">
        <v>22.944237000000001</v>
      </c>
      <c r="F63" s="882">
        <f t="shared" si="0"/>
        <v>0.18323808150177007</v>
      </c>
      <c r="G63" s="1239"/>
      <c r="H63" s="1239"/>
      <c r="I63" s="1239"/>
      <c r="J63" s="1239"/>
      <c r="K63" s="1239"/>
      <c r="L63" s="1247">
        <v>315</v>
      </c>
      <c r="M63" s="1239">
        <v>11872</v>
      </c>
      <c r="N63" s="1239">
        <v>30.2</v>
      </c>
      <c r="O63" s="1239"/>
      <c r="P63" s="882">
        <f t="shared" si="1"/>
        <v>0.26350902579491597</v>
      </c>
      <c r="Q63" s="1247">
        <v>321.3</v>
      </c>
      <c r="R63" s="1239">
        <v>12109.44</v>
      </c>
      <c r="S63" s="1239">
        <v>43.566666666666663</v>
      </c>
      <c r="T63" s="1239"/>
      <c r="U63" s="882">
        <f t="shared" si="2"/>
        <v>0.3767208950601616</v>
      </c>
      <c r="V63" s="1247">
        <v>337.36500000000001</v>
      </c>
      <c r="W63" s="1239">
        <v>12714.912</v>
      </c>
      <c r="X63" s="1239">
        <v>45.744999999999997</v>
      </c>
      <c r="Y63" s="1239"/>
      <c r="Z63" s="882">
        <f t="shared" si="3"/>
        <v>0.42071849154171836</v>
      </c>
    </row>
    <row r="64" spans="2:26">
      <c r="B64" s="1369" t="s">
        <v>1425</v>
      </c>
      <c r="C64" s="1247">
        <v>3352</v>
      </c>
      <c r="D64" s="1239">
        <v>110117</v>
      </c>
      <c r="E64" s="1239">
        <v>332.27775200000002</v>
      </c>
      <c r="F64" s="822">
        <f t="shared" si="0"/>
        <v>0.34446316398295002</v>
      </c>
      <c r="G64" s="1239"/>
      <c r="H64" s="1239"/>
      <c r="I64" s="1239"/>
      <c r="J64" s="1239"/>
      <c r="K64" s="1239"/>
      <c r="L64" s="1247">
        <v>3426</v>
      </c>
      <c r="M64" s="1239">
        <v>106730</v>
      </c>
      <c r="N64" s="1239">
        <v>390.09199999999998</v>
      </c>
      <c r="O64" s="1239"/>
      <c r="P64" s="882">
        <f t="shared" si="1"/>
        <v>0.41071400783326956</v>
      </c>
      <c r="Q64" s="1247">
        <v>3646.88</v>
      </c>
      <c r="R64" s="1239">
        <v>111623.08000000002</v>
      </c>
      <c r="S64" s="1239">
        <v>395.13333333333338</v>
      </c>
      <c r="T64" s="1239"/>
      <c r="U64" s="882">
        <f t="shared" si="2"/>
        <v>0.40684160392713359</v>
      </c>
      <c r="V64" s="1247">
        <v>3932.5180000000009</v>
      </c>
      <c r="W64" s="1239">
        <v>119100.2372</v>
      </c>
      <c r="X64" s="1239">
        <v>421.45333333333338</v>
      </c>
      <c r="Y64" s="1239"/>
      <c r="Z64" s="882">
        <f t="shared" si="3"/>
        <v>0.41704593792231687</v>
      </c>
    </row>
    <row r="65" spans="2:26">
      <c r="B65" s="1369" t="s">
        <v>1446</v>
      </c>
      <c r="C65" s="1247"/>
      <c r="D65" s="956"/>
      <c r="E65" s="956"/>
      <c r="F65" s="822"/>
      <c r="G65" s="1239"/>
      <c r="H65" s="1239"/>
      <c r="I65" s="1239"/>
      <c r="J65" s="1239"/>
      <c r="K65" s="1239"/>
      <c r="L65" s="1247">
        <v>3426</v>
      </c>
      <c r="M65" s="1239">
        <v>106730</v>
      </c>
      <c r="N65" s="1239">
        <v>390.09199999999998</v>
      </c>
      <c r="O65" s="1239"/>
      <c r="P65" s="882"/>
      <c r="Q65" s="1247">
        <v>3646.88</v>
      </c>
      <c r="R65" s="1239">
        <v>111623.08000000002</v>
      </c>
      <c r="S65" s="1239">
        <v>395.13333333333338</v>
      </c>
      <c r="T65" s="1239"/>
      <c r="U65" s="882"/>
      <c r="V65" s="1247">
        <v>3932.5180000000009</v>
      </c>
      <c r="W65" s="1239">
        <v>119100.2372</v>
      </c>
      <c r="X65" s="1239">
        <v>421.45333333333338</v>
      </c>
      <c r="Y65" s="1239"/>
      <c r="Z65" s="882"/>
    </row>
    <row r="66" spans="2:26">
      <c r="B66" s="1367" t="s">
        <v>1098</v>
      </c>
      <c r="C66" s="1247"/>
      <c r="D66" s="1239"/>
      <c r="E66" s="1239"/>
      <c r="F66" s="882"/>
      <c r="G66" s="1239"/>
      <c r="H66" s="1239"/>
      <c r="I66" s="1239"/>
      <c r="J66" s="1239"/>
      <c r="K66" s="1239"/>
      <c r="L66" s="1247">
        <v>0</v>
      </c>
      <c r="M66" s="1239">
        <v>0</v>
      </c>
      <c r="N66" s="1239">
        <v>0</v>
      </c>
      <c r="O66" s="1239"/>
      <c r="P66" s="882">
        <f t="shared" si="1"/>
        <v>0</v>
      </c>
      <c r="Q66" s="1247">
        <v>0</v>
      </c>
      <c r="R66" s="1239">
        <v>0</v>
      </c>
      <c r="S66" s="1239">
        <v>0</v>
      </c>
      <c r="T66" s="1239"/>
      <c r="U66" s="882">
        <f t="shared" si="2"/>
        <v>0</v>
      </c>
      <c r="V66" s="1247">
        <v>0</v>
      </c>
      <c r="W66" s="1239">
        <v>0</v>
      </c>
      <c r="X66" s="1239">
        <v>0</v>
      </c>
      <c r="Y66" s="1239"/>
      <c r="Z66" s="882">
        <f t="shared" si="3"/>
        <v>0</v>
      </c>
    </row>
    <row r="67" spans="2:26">
      <c r="B67" s="1377" t="s">
        <v>476</v>
      </c>
      <c r="C67" s="1247">
        <v>473</v>
      </c>
      <c r="D67" s="1239">
        <v>6911</v>
      </c>
      <c r="E67" s="1239">
        <v>19.338604</v>
      </c>
      <c r="F67" s="882">
        <f t="shared" si="0"/>
        <v>0.31943325080987295</v>
      </c>
      <c r="G67" s="1239"/>
      <c r="H67" s="1239"/>
      <c r="I67" s="1239"/>
      <c r="J67" s="1239"/>
      <c r="K67" s="1239"/>
      <c r="L67" s="1247">
        <v>1778</v>
      </c>
      <c r="M67" s="1239">
        <v>35575</v>
      </c>
      <c r="N67" s="1239">
        <v>254.119</v>
      </c>
      <c r="O67" s="1239"/>
      <c r="P67" s="882">
        <f t="shared" si="1"/>
        <v>1.3655801094402946</v>
      </c>
      <c r="Q67" s="1247">
        <v>7112</v>
      </c>
      <c r="R67" s="1239">
        <v>70001.029781826481</v>
      </c>
      <c r="S67" s="1239">
        <v>508.238</v>
      </c>
      <c r="T67" s="1239"/>
      <c r="U67" s="882">
        <f t="shared" si="2"/>
        <v>1.5086856163920777</v>
      </c>
      <c r="V67" s="1247">
        <v>9743.44</v>
      </c>
      <c r="W67" s="1239">
        <v>95901.410801102291</v>
      </c>
      <c r="X67" s="1239">
        <v>660.70940000000007</v>
      </c>
      <c r="Y67" s="1239"/>
      <c r="Z67" s="882">
        <f t="shared" si="3"/>
        <v>0.90925060805097635</v>
      </c>
    </row>
    <row r="68" spans="2:26">
      <c r="B68" s="1378" t="s">
        <v>1099</v>
      </c>
      <c r="C68" s="1247">
        <v>473</v>
      </c>
      <c r="D68" s="1239">
        <v>6911</v>
      </c>
      <c r="E68" s="1239">
        <v>19.338604</v>
      </c>
      <c r="F68" s="882">
        <f t="shared" si="0"/>
        <v>0.31943325080987295</v>
      </c>
      <c r="G68" s="1239"/>
      <c r="H68" s="1239"/>
      <c r="I68" s="1239"/>
      <c r="J68" s="1239"/>
      <c r="K68" s="1239"/>
      <c r="L68" s="1247">
        <v>1778</v>
      </c>
      <c r="M68" s="1239">
        <v>35575</v>
      </c>
      <c r="N68" s="1239">
        <v>254.119</v>
      </c>
      <c r="O68" s="1239"/>
      <c r="P68" s="882">
        <f t="shared" si="1"/>
        <v>1.3655801094402946</v>
      </c>
      <c r="Q68" s="1247">
        <v>7112</v>
      </c>
      <c r="R68" s="1239">
        <v>70001.029781826481</v>
      </c>
      <c r="S68" s="1239">
        <v>508.238</v>
      </c>
      <c r="T68" s="1239"/>
      <c r="U68" s="882">
        <f t="shared" si="2"/>
        <v>1.5086856163920777</v>
      </c>
      <c r="V68" s="1247">
        <v>9743.44</v>
      </c>
      <c r="W68" s="1239">
        <v>95901.410801102291</v>
      </c>
      <c r="X68" s="1239">
        <v>660.70940000000007</v>
      </c>
      <c r="Y68" s="1239"/>
      <c r="Z68" s="882">
        <f t="shared" si="3"/>
        <v>0.90925060805097635</v>
      </c>
    </row>
    <row r="69" spans="2:26">
      <c r="B69" s="1377" t="s">
        <v>1404</v>
      </c>
      <c r="C69" s="1247">
        <v>11123</v>
      </c>
      <c r="D69" s="1239">
        <v>197798</v>
      </c>
      <c r="E69" s="1239">
        <v>987.378828</v>
      </c>
      <c r="F69" s="882">
        <f t="shared" si="0"/>
        <v>0.56984639926688729</v>
      </c>
      <c r="G69" s="1239"/>
      <c r="H69" s="1239"/>
      <c r="I69" s="1239"/>
      <c r="J69" s="1239"/>
      <c r="K69" s="1239"/>
      <c r="L69" s="1247">
        <v>10048</v>
      </c>
      <c r="M69" s="1239">
        <v>187508</v>
      </c>
      <c r="N69" s="1239">
        <v>859.07</v>
      </c>
      <c r="O69" s="1239"/>
      <c r="P69" s="882">
        <f t="shared" si="1"/>
        <v>0.50903620290456686</v>
      </c>
      <c r="Q69" s="1247">
        <v>5024</v>
      </c>
      <c r="R69" s="1239">
        <v>93754</v>
      </c>
      <c r="S69" s="1239">
        <v>644.30177472000003</v>
      </c>
      <c r="T69" s="1239"/>
      <c r="U69" s="882">
        <f t="shared" si="2"/>
        <v>0.50454416985038408</v>
      </c>
      <c r="V69" s="1247">
        <v>2512</v>
      </c>
      <c r="W69" s="1239">
        <v>46877</v>
      </c>
      <c r="X69" s="1239">
        <v>322.15088736000001</v>
      </c>
      <c r="Y69" s="1239"/>
      <c r="Z69" s="882">
        <f t="shared" si="3"/>
        <v>0.52300297163576726</v>
      </c>
    </row>
    <row r="70" spans="2:26">
      <c r="B70" s="1378" t="s">
        <v>1405</v>
      </c>
      <c r="C70" s="1247">
        <v>11090</v>
      </c>
      <c r="D70" s="1239">
        <v>190122</v>
      </c>
      <c r="E70" s="1239">
        <v>947.30200600000001</v>
      </c>
      <c r="F70" s="882">
        <f t="shared" si="0"/>
        <v>0.56879003167348585</v>
      </c>
      <c r="G70" s="1239"/>
      <c r="H70" s="1239"/>
      <c r="I70" s="1239"/>
      <c r="J70" s="1239"/>
      <c r="K70" s="1239"/>
      <c r="L70" s="1247">
        <v>9930</v>
      </c>
      <c r="M70" s="1239">
        <v>179416</v>
      </c>
      <c r="N70" s="1239">
        <v>848.98</v>
      </c>
      <c r="O70" s="1239"/>
      <c r="P70" s="882">
        <f t="shared" si="1"/>
        <v>0.52452264781513813</v>
      </c>
      <c r="Q70" s="1247">
        <v>4965</v>
      </c>
      <c r="R70" s="1239">
        <v>89708</v>
      </c>
      <c r="S70" s="1239">
        <v>636.73533270000007</v>
      </c>
      <c r="T70" s="1239"/>
      <c r="U70" s="882">
        <f t="shared" si="2"/>
        <v>0.51950599874973014</v>
      </c>
      <c r="V70" s="1247">
        <v>2482.5</v>
      </c>
      <c r="W70" s="1239">
        <v>44854</v>
      </c>
      <c r="X70" s="1239">
        <v>318.36766635000004</v>
      </c>
      <c r="Y70" s="1239"/>
      <c r="Z70" s="882">
        <f t="shared" si="3"/>
        <v>0.54017242471922611</v>
      </c>
    </row>
    <row r="71" spans="2:26">
      <c r="B71" s="1378" t="s">
        <v>1101</v>
      </c>
      <c r="C71" s="1247">
        <v>33</v>
      </c>
      <c r="D71" s="1239">
        <v>7676</v>
      </c>
      <c r="E71" s="1239">
        <v>40.076822</v>
      </c>
      <c r="F71" s="882"/>
      <c r="G71" s="1239"/>
      <c r="H71" s="1239"/>
      <c r="I71" s="1239"/>
      <c r="J71" s="1239"/>
      <c r="K71" s="1239"/>
      <c r="L71" s="1247">
        <v>118</v>
      </c>
      <c r="M71" s="1239">
        <v>8092</v>
      </c>
      <c r="N71" s="1239">
        <v>10.09</v>
      </c>
      <c r="O71" s="1239"/>
      <c r="P71" s="882">
        <f t="shared" si="1"/>
        <v>0.1460967128384405</v>
      </c>
      <c r="Q71" s="1247">
        <v>59</v>
      </c>
      <c r="R71" s="1239">
        <v>4046</v>
      </c>
      <c r="S71" s="1239">
        <v>7.5664420199999993</v>
      </c>
      <c r="T71" s="1239"/>
      <c r="U71" s="882">
        <f t="shared" si="2"/>
        <v>0.14737230660998052</v>
      </c>
      <c r="V71" s="1247">
        <v>29.5</v>
      </c>
      <c r="W71" s="1239">
        <v>2023</v>
      </c>
      <c r="X71" s="1239">
        <v>3.7832210099999997</v>
      </c>
      <c r="Y71" s="1239"/>
      <c r="Z71" s="882">
        <f t="shared" si="3"/>
        <v>0.14232148443583717</v>
      </c>
    </row>
    <row r="72" spans="2:26">
      <c r="B72" s="1369" t="s">
        <v>1425</v>
      </c>
      <c r="C72" s="1247">
        <v>11596</v>
      </c>
      <c r="D72" s="1239">
        <v>204709</v>
      </c>
      <c r="E72" s="1239">
        <v>1006.717432</v>
      </c>
      <c r="F72" s="822">
        <f t="shared" si="0"/>
        <v>0.56139242182092053</v>
      </c>
      <c r="G72" s="1239"/>
      <c r="H72" s="1239"/>
      <c r="I72" s="1239"/>
      <c r="J72" s="1239"/>
      <c r="K72" s="1239"/>
      <c r="L72" s="1247">
        <v>11826</v>
      </c>
      <c r="M72" s="1239">
        <v>223083</v>
      </c>
      <c r="N72" s="1239">
        <v>1113.1890000000001</v>
      </c>
      <c r="O72" s="1239"/>
      <c r="P72" s="882">
        <f t="shared" si="1"/>
        <v>0.5941035356575799</v>
      </c>
      <c r="Q72" s="1247">
        <v>12136</v>
      </c>
      <c r="R72" s="1239">
        <v>163755.02978182648</v>
      </c>
      <c r="S72" s="1239">
        <v>1152.53977472</v>
      </c>
      <c r="T72" s="1239"/>
      <c r="U72" s="882">
        <f t="shared" si="2"/>
        <v>0.71414551651999125</v>
      </c>
      <c r="V72" s="1247">
        <v>12255.44</v>
      </c>
      <c r="W72" s="1239">
        <v>142778.41080110229</v>
      </c>
      <c r="X72" s="1239">
        <v>982.86028736000003</v>
      </c>
      <c r="Y72" s="1239"/>
      <c r="Z72" s="882">
        <f t="shared" si="3"/>
        <v>0.73204843639423622</v>
      </c>
    </row>
    <row r="73" spans="2:26">
      <c r="B73" s="1369" t="s">
        <v>1446</v>
      </c>
      <c r="C73" s="1247"/>
      <c r="D73" s="956"/>
      <c r="E73" s="956"/>
      <c r="F73" s="822"/>
      <c r="G73" s="1239"/>
      <c r="H73" s="1239"/>
      <c r="I73" s="1239"/>
      <c r="J73" s="1239"/>
      <c r="K73" s="1239"/>
      <c r="L73" s="1247">
        <v>11826</v>
      </c>
      <c r="M73" s="1239">
        <v>223083</v>
      </c>
      <c r="N73" s="1239">
        <v>1113.1890000000001</v>
      </c>
      <c r="O73" s="1239"/>
      <c r="P73" s="882"/>
      <c r="Q73" s="1247">
        <v>12136</v>
      </c>
      <c r="R73" s="1239">
        <v>163755.02978182648</v>
      </c>
      <c r="S73" s="1239">
        <v>1152.53977472</v>
      </c>
      <c r="T73" s="1239"/>
      <c r="U73" s="882"/>
      <c r="V73" s="1247">
        <v>12255.44</v>
      </c>
      <c r="W73" s="1239">
        <v>142778.41080110229</v>
      </c>
      <c r="X73" s="1239">
        <v>982.86028736000003</v>
      </c>
      <c r="Y73" s="1239"/>
      <c r="Z73" s="882"/>
    </row>
    <row r="74" spans="2:26">
      <c r="B74" s="1367" t="s">
        <v>1406</v>
      </c>
      <c r="C74" s="1247"/>
      <c r="D74" s="1239"/>
      <c r="E74" s="1239"/>
      <c r="F74" s="882"/>
      <c r="G74" s="1239"/>
      <c r="H74" s="1239"/>
      <c r="I74" s="1239"/>
      <c r="J74" s="1239"/>
      <c r="K74" s="1239"/>
      <c r="L74" s="1247">
        <v>0</v>
      </c>
      <c r="M74" s="1239">
        <v>0</v>
      </c>
      <c r="N74" s="1239">
        <v>0</v>
      </c>
      <c r="O74" s="1239"/>
      <c r="P74" s="882">
        <f t="shared" si="1"/>
        <v>0</v>
      </c>
      <c r="Q74" s="1247">
        <v>0</v>
      </c>
      <c r="R74" s="1239">
        <v>0</v>
      </c>
      <c r="S74" s="1239">
        <v>0</v>
      </c>
      <c r="T74" s="1239"/>
      <c r="U74" s="882">
        <f t="shared" si="2"/>
        <v>0</v>
      </c>
      <c r="V74" s="1247">
        <v>0</v>
      </c>
      <c r="W74" s="1239">
        <v>0</v>
      </c>
      <c r="X74" s="1239">
        <v>0</v>
      </c>
      <c r="Y74" s="1239"/>
      <c r="Z74" s="882">
        <f t="shared" si="3"/>
        <v>0</v>
      </c>
    </row>
    <row r="75" spans="2:26">
      <c r="B75" s="1377" t="s">
        <v>476</v>
      </c>
      <c r="C75" s="1247">
        <v>282</v>
      </c>
      <c r="D75" s="1239">
        <v>3628</v>
      </c>
      <c r="E75" s="1239">
        <v>1.427305</v>
      </c>
      <c r="F75" s="882">
        <f t="shared" si="0"/>
        <v>4.491024275925954E-2</v>
      </c>
      <c r="G75" s="1239"/>
      <c r="H75" s="1239"/>
      <c r="I75" s="1239"/>
      <c r="J75" s="1239"/>
      <c r="K75" s="1239"/>
      <c r="L75" s="1247">
        <v>2083</v>
      </c>
      <c r="M75" s="1239">
        <v>4773</v>
      </c>
      <c r="N75" s="1239">
        <v>8.1859999999999999</v>
      </c>
      <c r="O75" s="1239"/>
      <c r="P75" s="882">
        <f t="shared" si="1"/>
        <v>0.22246753620872489</v>
      </c>
      <c r="Q75" s="1247">
        <v>2103.83</v>
      </c>
      <c r="R75" s="1239">
        <v>4820.7300000000005</v>
      </c>
      <c r="S75" s="1239">
        <v>8.8546666666666667</v>
      </c>
      <c r="T75" s="1239"/>
      <c r="U75" s="882">
        <f t="shared" si="2"/>
        <v>0.23928015148029752</v>
      </c>
      <c r="V75" s="1247">
        <v>2166.9449000000004</v>
      </c>
      <c r="W75" s="1239">
        <v>4965.3519000000006</v>
      </c>
      <c r="X75" s="1239">
        <v>9.1203066666666661</v>
      </c>
      <c r="Y75" s="1239"/>
      <c r="Z75" s="882">
        <f t="shared" si="3"/>
        <v>0.21277788366379988</v>
      </c>
    </row>
    <row r="76" spans="2:26">
      <c r="B76" s="1378" t="s">
        <v>1104</v>
      </c>
      <c r="C76" s="1247">
        <v>174</v>
      </c>
      <c r="D76" s="1239">
        <v>315</v>
      </c>
      <c r="E76" s="1239">
        <v>1.427305</v>
      </c>
      <c r="F76" s="882">
        <f t="shared" si="0"/>
        <v>0.51725193882728138</v>
      </c>
      <c r="G76" s="1239"/>
      <c r="H76" s="1239"/>
      <c r="I76" s="1239"/>
      <c r="J76" s="1239"/>
      <c r="K76" s="1239"/>
      <c r="L76" s="1247">
        <v>969</v>
      </c>
      <c r="M76" s="1239">
        <v>1714</v>
      </c>
      <c r="N76" s="1239">
        <v>2.113</v>
      </c>
      <c r="O76" s="1239"/>
      <c r="P76" s="882">
        <f t="shared" si="1"/>
        <v>0.23776248956343071</v>
      </c>
      <c r="Q76" s="1247">
        <v>978.69</v>
      </c>
      <c r="R76" s="1239">
        <v>1731.14</v>
      </c>
      <c r="S76" s="1239">
        <v>3.8279999999999998</v>
      </c>
      <c r="T76" s="1239"/>
      <c r="U76" s="882">
        <f t="shared" si="2"/>
        <v>0.42713235787371634</v>
      </c>
      <c r="V76" s="1247">
        <v>1008.0507000000001</v>
      </c>
      <c r="W76" s="1239">
        <v>1783.0742000000002</v>
      </c>
      <c r="X76" s="1239">
        <v>3.9428399999999999</v>
      </c>
      <c r="Y76" s="1239"/>
      <c r="Z76" s="882">
        <f t="shared" si="3"/>
        <v>0.25615734545205515</v>
      </c>
    </row>
    <row r="77" spans="2:26">
      <c r="B77" s="1378" t="s">
        <v>1105</v>
      </c>
      <c r="C77" s="1247">
        <v>108</v>
      </c>
      <c r="D77" s="1239">
        <v>3313</v>
      </c>
      <c r="E77" s="1239">
        <v>0</v>
      </c>
      <c r="F77" s="882">
        <f t="shared" si="0"/>
        <v>0</v>
      </c>
      <c r="G77" s="1239"/>
      <c r="H77" s="1239"/>
      <c r="I77" s="1239"/>
      <c r="J77" s="1239"/>
      <c r="K77" s="1239"/>
      <c r="L77" s="1247">
        <v>1114</v>
      </c>
      <c r="M77" s="1239">
        <v>3059</v>
      </c>
      <c r="N77" s="1239">
        <v>6.0730000000000004</v>
      </c>
      <c r="O77" s="1239"/>
      <c r="P77" s="882">
        <f t="shared" ref="P77:P125" si="4">IFERROR(N77/(AVERAGE(M77,D77)*24*365/10^6),0)</f>
        <v>0.21759725052813825</v>
      </c>
      <c r="Q77" s="1247">
        <v>1125.1400000000001</v>
      </c>
      <c r="R77" s="1239">
        <v>3089.59</v>
      </c>
      <c r="S77" s="1239">
        <v>5.0266666666666664</v>
      </c>
      <c r="T77" s="1239"/>
      <c r="U77" s="882">
        <f t="shared" ref="U77:U125" si="5">IFERROR(S77/(AVERAGE(R77,D77)*24*365/10^6),0)</f>
        <v>0.17924633491702699</v>
      </c>
      <c r="V77" s="1247">
        <v>1158.8942000000002</v>
      </c>
      <c r="W77" s="1239">
        <v>3182.2777000000001</v>
      </c>
      <c r="X77" s="1239">
        <v>5.1774666666666667</v>
      </c>
      <c r="Y77" s="1239"/>
      <c r="Z77" s="882">
        <f t="shared" ref="Z77:Z125" si="6">IFERROR(X77/(AVERAGE(W77,R77)*24*365/10^6),0)</f>
        <v>0.18847177137054408</v>
      </c>
    </row>
    <row r="78" spans="2:26">
      <c r="B78" s="1377" t="s">
        <v>1404</v>
      </c>
      <c r="C78" s="1247">
        <v>0</v>
      </c>
      <c r="D78" s="1239">
        <v>0</v>
      </c>
      <c r="E78" s="1239">
        <v>0</v>
      </c>
      <c r="F78" s="882">
        <f t="shared" si="0"/>
        <v>0</v>
      </c>
      <c r="G78" s="1239"/>
      <c r="H78" s="1239"/>
      <c r="I78" s="1239"/>
      <c r="J78" s="1239"/>
      <c r="K78" s="1239"/>
      <c r="L78" s="1247">
        <v>10</v>
      </c>
      <c r="M78" s="1239">
        <v>19.2</v>
      </c>
      <c r="N78" s="1239">
        <v>5.1000000000000004E-2</v>
      </c>
      <c r="O78" s="1239"/>
      <c r="P78" s="882">
        <f t="shared" si="4"/>
        <v>0.60644977168949787</v>
      </c>
      <c r="Q78" s="1247">
        <v>5</v>
      </c>
      <c r="R78" s="1239">
        <v>10.81</v>
      </c>
      <c r="S78" s="1239">
        <v>0.16133333333333333</v>
      </c>
      <c r="T78" s="1239"/>
      <c r="U78" s="882">
        <f t="shared" si="5"/>
        <v>3.4074092847678945</v>
      </c>
      <c r="V78" s="1247">
        <v>2.5</v>
      </c>
      <c r="W78" s="1239">
        <v>6.5600000000000005</v>
      </c>
      <c r="X78" s="1239">
        <v>0.16133333333333333</v>
      </c>
      <c r="Y78" s="1239"/>
      <c r="Z78" s="882">
        <f t="shared" si="6"/>
        <v>2.1205581098641875</v>
      </c>
    </row>
    <row r="79" spans="2:26">
      <c r="B79" s="1378" t="s">
        <v>1106</v>
      </c>
      <c r="C79" s="1247">
        <v>0</v>
      </c>
      <c r="D79" s="1239">
        <v>0</v>
      </c>
      <c r="E79" s="1239">
        <v>0</v>
      </c>
      <c r="F79" s="882">
        <f t="shared" si="0"/>
        <v>0</v>
      </c>
      <c r="G79" s="1239"/>
      <c r="H79" s="1239"/>
      <c r="I79" s="1239"/>
      <c r="J79" s="1239"/>
      <c r="K79" s="1239"/>
      <c r="L79" s="1247">
        <v>0</v>
      </c>
      <c r="M79" s="1239">
        <v>2.2000000000000002</v>
      </c>
      <c r="N79" s="1239">
        <v>0.01</v>
      </c>
      <c r="O79" s="1239"/>
      <c r="P79" s="882">
        <f t="shared" si="4"/>
        <v>1.0377750103777501</v>
      </c>
      <c r="Q79" s="1247">
        <v>0</v>
      </c>
      <c r="R79" s="1239">
        <v>2.3100000000000005</v>
      </c>
      <c r="S79" s="1239">
        <v>0</v>
      </c>
      <c r="T79" s="1239"/>
      <c r="U79" s="882">
        <f t="shared" si="5"/>
        <v>0</v>
      </c>
      <c r="V79" s="1247">
        <v>0</v>
      </c>
      <c r="W79" s="1239">
        <v>2.3100000000000005</v>
      </c>
      <c r="X79" s="1239">
        <v>0</v>
      </c>
      <c r="Y79" s="1239"/>
      <c r="Z79" s="882">
        <f t="shared" si="6"/>
        <v>0</v>
      </c>
    </row>
    <row r="80" spans="2:26">
      <c r="B80" s="1378" t="s">
        <v>1107</v>
      </c>
      <c r="C80" s="1247">
        <v>0</v>
      </c>
      <c r="D80" s="1239">
        <v>0</v>
      </c>
      <c r="E80" s="1239">
        <v>0</v>
      </c>
      <c r="F80" s="882">
        <f t="shared" si="0"/>
        <v>0</v>
      </c>
      <c r="G80" s="1239"/>
      <c r="H80" s="1239"/>
      <c r="I80" s="1239"/>
      <c r="J80" s="1239"/>
      <c r="K80" s="1239"/>
      <c r="L80" s="1247">
        <v>10</v>
      </c>
      <c r="M80" s="1239">
        <v>17</v>
      </c>
      <c r="N80" s="1239">
        <v>4.1000000000000002E-2</v>
      </c>
      <c r="O80" s="1239"/>
      <c r="P80" s="882">
        <f t="shared" si="4"/>
        <v>0.55063121138866511</v>
      </c>
      <c r="Q80" s="1247">
        <v>5</v>
      </c>
      <c r="R80" s="1239">
        <v>8.5</v>
      </c>
      <c r="S80" s="1239">
        <v>0.16133333333333333</v>
      </c>
      <c r="T80" s="1239"/>
      <c r="U80" s="882">
        <f t="shared" si="5"/>
        <v>4.3334228668636401</v>
      </c>
      <c r="V80" s="1247">
        <v>2.5</v>
      </c>
      <c r="W80" s="1239">
        <v>4.25</v>
      </c>
      <c r="X80" s="1239">
        <v>0.16133333333333333</v>
      </c>
      <c r="Y80" s="1239"/>
      <c r="Z80" s="882">
        <f t="shared" si="6"/>
        <v>2.8889485779090935</v>
      </c>
    </row>
    <row r="81" spans="2:26">
      <c r="B81" s="1369" t="s">
        <v>1425</v>
      </c>
      <c r="C81" s="1247">
        <v>282</v>
      </c>
      <c r="D81" s="1239">
        <v>3628</v>
      </c>
      <c r="E81" s="1239">
        <v>1.427305</v>
      </c>
      <c r="F81" s="822">
        <f t="shared" si="0"/>
        <v>4.491024275925954E-2</v>
      </c>
      <c r="G81" s="1239"/>
      <c r="H81" s="1239"/>
      <c r="I81" s="1239"/>
      <c r="J81" s="1239"/>
      <c r="K81" s="1239"/>
      <c r="L81" s="1247">
        <v>2093</v>
      </c>
      <c r="M81" s="1239">
        <v>4792.2</v>
      </c>
      <c r="N81" s="1239">
        <v>8.2370000000000001</v>
      </c>
      <c r="O81" s="1239"/>
      <c r="P81" s="882">
        <f t="shared" si="4"/>
        <v>0.22334310435689603</v>
      </c>
      <c r="Q81" s="1247">
        <v>2108.83</v>
      </c>
      <c r="R81" s="1239">
        <v>4831.5400000000009</v>
      </c>
      <c r="S81" s="1239">
        <v>9.016</v>
      </c>
      <c r="T81" s="1239"/>
      <c r="U81" s="882">
        <f t="shared" si="5"/>
        <v>0.24332853660890247</v>
      </c>
      <c r="V81" s="1247">
        <v>2169.4449000000004</v>
      </c>
      <c r="W81" s="1239">
        <v>4971.911900000001</v>
      </c>
      <c r="X81" s="1239">
        <v>9.2816399999999994</v>
      </c>
      <c r="Y81" s="1239"/>
      <c r="Z81" s="882">
        <f t="shared" si="6"/>
        <v>0.21615813613681914</v>
      </c>
    </row>
    <row r="82" spans="2:26">
      <c r="B82" s="1369" t="s">
        <v>1446</v>
      </c>
      <c r="C82" s="1247"/>
      <c r="D82" s="956"/>
      <c r="E82" s="956"/>
      <c r="F82" s="822"/>
      <c r="G82" s="1239"/>
      <c r="H82" s="1239"/>
      <c r="I82" s="1239"/>
      <c r="J82" s="1239"/>
      <c r="K82" s="1239"/>
      <c r="L82" s="1247">
        <v>2093</v>
      </c>
      <c r="M82" s="1239">
        <v>4792.2</v>
      </c>
      <c r="N82" s="1239">
        <v>8.2370000000000001</v>
      </c>
      <c r="O82" s="1239"/>
      <c r="P82" s="882"/>
      <c r="Q82" s="1247">
        <v>2108.83</v>
      </c>
      <c r="R82" s="1239">
        <v>4831.5400000000009</v>
      </c>
      <c r="S82" s="1239">
        <v>9.016</v>
      </c>
      <c r="T82" s="1239"/>
      <c r="U82" s="882"/>
      <c r="V82" s="1247">
        <v>2169.4449000000004</v>
      </c>
      <c r="W82" s="1239">
        <v>4971.911900000001</v>
      </c>
      <c r="X82" s="1239">
        <v>9.2816399999999994</v>
      </c>
      <c r="Y82" s="1239"/>
      <c r="Z82" s="882"/>
    </row>
    <row r="83" spans="2:26">
      <c r="B83" s="1367" t="s">
        <v>1109</v>
      </c>
      <c r="C83" s="1247"/>
      <c r="D83" s="1239"/>
      <c r="E83" s="956"/>
      <c r="F83" s="822"/>
      <c r="G83" s="1239"/>
      <c r="H83" s="1239"/>
      <c r="I83" s="1239"/>
      <c r="J83" s="1239"/>
      <c r="K83" s="1239"/>
      <c r="L83" s="1247">
        <v>0</v>
      </c>
      <c r="M83" s="1239">
        <v>0</v>
      </c>
      <c r="N83" s="1239">
        <v>0</v>
      </c>
      <c r="O83" s="1239"/>
      <c r="P83" s="882">
        <f t="shared" si="4"/>
        <v>0</v>
      </c>
      <c r="Q83" s="1247">
        <v>0</v>
      </c>
      <c r="R83" s="1239">
        <v>0</v>
      </c>
      <c r="S83" s="1239">
        <v>0</v>
      </c>
      <c r="T83" s="1239"/>
      <c r="U83" s="882">
        <f t="shared" si="5"/>
        <v>0</v>
      </c>
      <c r="V83" s="1247">
        <v>0</v>
      </c>
      <c r="W83" s="1239">
        <v>0</v>
      </c>
      <c r="X83" s="1239">
        <v>0</v>
      </c>
      <c r="Y83" s="1239"/>
      <c r="Z83" s="882">
        <f t="shared" si="6"/>
        <v>0</v>
      </c>
    </row>
    <row r="84" spans="2:26">
      <c r="B84" s="1369" t="s">
        <v>1429</v>
      </c>
      <c r="C84" s="1247">
        <v>29407</v>
      </c>
      <c r="D84" s="1239">
        <v>97646</v>
      </c>
      <c r="E84" s="1239">
        <v>112.52633999999999</v>
      </c>
      <c r="F84" s="822">
        <f t="shared" si="0"/>
        <v>0.13155144709194155</v>
      </c>
      <c r="G84" s="1239"/>
      <c r="H84" s="1239"/>
      <c r="I84" s="1239"/>
      <c r="J84" s="1239"/>
      <c r="K84" s="1239"/>
      <c r="L84" s="1247">
        <v>24995</v>
      </c>
      <c r="M84" s="1239">
        <v>87418</v>
      </c>
      <c r="N84" s="1239">
        <v>105.14700000000001</v>
      </c>
      <c r="O84" s="1239"/>
      <c r="P84" s="882">
        <f t="shared" si="4"/>
        <v>0.12971817524511328</v>
      </c>
      <c r="Q84" s="1247">
        <v>25494.9</v>
      </c>
      <c r="R84" s="1239">
        <v>89166.36</v>
      </c>
      <c r="S84" s="1239">
        <v>106.61333333333333</v>
      </c>
      <c r="T84" s="1239"/>
      <c r="U84" s="882">
        <f t="shared" si="5"/>
        <v>0.13029621639279881</v>
      </c>
      <c r="V84" s="1247">
        <v>26004.798000000003</v>
      </c>
      <c r="W84" s="1239">
        <v>90949.6872</v>
      </c>
      <c r="X84" s="1239">
        <v>108.7456</v>
      </c>
      <c r="Y84" s="1239"/>
      <c r="Z84" s="882">
        <f t="shared" si="6"/>
        <v>0.13784314581092821</v>
      </c>
    </row>
    <row r="85" spans="2:26">
      <c r="B85" s="1369" t="s">
        <v>1446</v>
      </c>
      <c r="C85" s="1247"/>
      <c r="D85" s="1239"/>
      <c r="E85" s="1239"/>
      <c r="F85" s="882"/>
      <c r="G85" s="1239"/>
      <c r="H85" s="1239"/>
      <c r="I85" s="1239"/>
      <c r="J85" s="1239"/>
      <c r="K85" s="1239"/>
      <c r="L85" s="1247">
        <v>24995</v>
      </c>
      <c r="M85" s="1239">
        <v>87418</v>
      </c>
      <c r="N85" s="1239">
        <v>105.14700000000001</v>
      </c>
      <c r="O85" s="1239"/>
      <c r="P85" s="882"/>
      <c r="Q85" s="1247">
        <v>25494.9</v>
      </c>
      <c r="R85" s="1239">
        <v>89166.36</v>
      </c>
      <c r="S85" s="1239">
        <v>106.61333333333333</v>
      </c>
      <c r="T85" s="1239"/>
      <c r="U85" s="882"/>
      <c r="V85" s="1247">
        <v>26004.798000000003</v>
      </c>
      <c r="W85" s="1239">
        <v>90949.6872</v>
      </c>
      <c r="X85" s="1239">
        <v>108.7456</v>
      </c>
      <c r="Y85" s="1239"/>
      <c r="Z85" s="882"/>
    </row>
    <row r="86" spans="2:26">
      <c r="B86" s="1367" t="s">
        <v>1407</v>
      </c>
      <c r="C86" s="1247"/>
      <c r="D86" s="1239"/>
      <c r="E86" s="1239"/>
      <c r="F86" s="882"/>
      <c r="G86" s="1239"/>
      <c r="H86" s="1239"/>
      <c r="I86" s="1239"/>
      <c r="J86" s="1239"/>
      <c r="K86" s="1239"/>
      <c r="L86" s="1247">
        <v>0</v>
      </c>
      <c r="M86" s="1239">
        <v>0</v>
      </c>
      <c r="N86" s="1239">
        <v>0</v>
      </c>
      <c r="O86" s="1239"/>
      <c r="P86" s="882"/>
      <c r="Q86" s="1247">
        <v>0</v>
      </c>
      <c r="R86" s="1239">
        <v>0</v>
      </c>
      <c r="S86" s="1239">
        <v>0</v>
      </c>
      <c r="T86" s="1239"/>
      <c r="U86" s="882"/>
      <c r="V86" s="1247">
        <v>0</v>
      </c>
      <c r="W86" s="1239">
        <v>0</v>
      </c>
      <c r="X86" s="1239">
        <v>0</v>
      </c>
      <c r="Y86" s="1239"/>
      <c r="Z86" s="882"/>
    </row>
    <row r="87" spans="2:26">
      <c r="B87" s="1377" t="s">
        <v>1146</v>
      </c>
      <c r="C87" s="1247"/>
      <c r="D87" s="1239">
        <v>0</v>
      </c>
      <c r="E87" s="1239">
        <v>0</v>
      </c>
      <c r="F87" s="882">
        <f t="shared" ref="F87:F126" si="7">IFERROR(E87/(D87*24*365/10^6),0)</f>
        <v>0</v>
      </c>
      <c r="G87" s="1239"/>
      <c r="H87" s="1239"/>
      <c r="I87" s="1239"/>
      <c r="J87" s="1239"/>
      <c r="K87" s="1239"/>
      <c r="L87" s="1247">
        <v>0</v>
      </c>
      <c r="M87" s="1239">
        <v>0</v>
      </c>
      <c r="N87" s="1239">
        <v>0</v>
      </c>
      <c r="O87" s="1239"/>
      <c r="P87" s="882">
        <f t="shared" si="4"/>
        <v>0</v>
      </c>
      <c r="Q87" s="1247">
        <v>0</v>
      </c>
      <c r="R87" s="1239">
        <v>0</v>
      </c>
      <c r="S87" s="1239">
        <v>0</v>
      </c>
      <c r="T87" s="1239"/>
      <c r="U87" s="882">
        <f t="shared" si="5"/>
        <v>0</v>
      </c>
      <c r="V87" s="1247">
        <v>0</v>
      </c>
      <c r="W87" s="1239">
        <v>0</v>
      </c>
      <c r="X87" s="1239">
        <v>0</v>
      </c>
      <c r="Y87" s="1239"/>
      <c r="Z87" s="882">
        <f t="shared" si="6"/>
        <v>0</v>
      </c>
    </row>
    <row r="88" spans="2:26">
      <c r="B88" s="1378" t="s">
        <v>1408</v>
      </c>
      <c r="C88" s="1247">
        <v>0</v>
      </c>
      <c r="D88" s="1239">
        <v>0</v>
      </c>
      <c r="E88" s="1239">
        <v>0</v>
      </c>
      <c r="F88" s="882">
        <f t="shared" si="7"/>
        <v>0</v>
      </c>
      <c r="G88" s="1239"/>
      <c r="H88" s="1239"/>
      <c r="I88" s="1239"/>
      <c r="J88" s="1239"/>
      <c r="K88" s="1239"/>
      <c r="L88" s="1247">
        <v>0</v>
      </c>
      <c r="M88" s="1239">
        <v>0</v>
      </c>
      <c r="N88" s="1239">
        <v>0</v>
      </c>
      <c r="O88" s="1239"/>
      <c r="P88" s="882">
        <f t="shared" si="4"/>
        <v>0</v>
      </c>
      <c r="Q88" s="1247">
        <v>0</v>
      </c>
      <c r="R88" s="1239">
        <v>0</v>
      </c>
      <c r="S88" s="1239">
        <v>0</v>
      </c>
      <c r="T88" s="1239"/>
      <c r="U88" s="882">
        <f t="shared" si="5"/>
        <v>0</v>
      </c>
      <c r="V88" s="1247">
        <v>0</v>
      </c>
      <c r="W88" s="1239">
        <v>0</v>
      </c>
      <c r="X88" s="1239">
        <v>0</v>
      </c>
      <c r="Y88" s="1239"/>
      <c r="Z88" s="882">
        <f t="shared" si="6"/>
        <v>0</v>
      </c>
    </row>
    <row r="89" spans="2:26">
      <c r="B89" s="1378" t="s">
        <v>1409</v>
      </c>
      <c r="C89" s="1247">
        <v>0</v>
      </c>
      <c r="D89" s="1239">
        <v>0</v>
      </c>
      <c r="E89" s="1239">
        <v>0</v>
      </c>
      <c r="F89" s="882">
        <f t="shared" si="7"/>
        <v>0</v>
      </c>
      <c r="G89" s="1239"/>
      <c r="H89" s="1239"/>
      <c r="I89" s="1239"/>
      <c r="J89" s="1239"/>
      <c r="K89" s="1239"/>
      <c r="L89" s="1247">
        <v>0</v>
      </c>
      <c r="M89" s="1239">
        <v>0</v>
      </c>
      <c r="N89" s="1239">
        <v>0</v>
      </c>
      <c r="O89" s="1239"/>
      <c r="P89" s="882">
        <f t="shared" si="4"/>
        <v>0</v>
      </c>
      <c r="Q89" s="1247">
        <v>0</v>
      </c>
      <c r="R89" s="1239">
        <v>0</v>
      </c>
      <c r="S89" s="1239">
        <v>0</v>
      </c>
      <c r="T89" s="1239"/>
      <c r="U89" s="882">
        <f t="shared" si="5"/>
        <v>0</v>
      </c>
      <c r="V89" s="1247">
        <v>0</v>
      </c>
      <c r="W89" s="1239">
        <v>0</v>
      </c>
      <c r="X89" s="1239">
        <v>0</v>
      </c>
      <c r="Y89" s="1239"/>
      <c r="Z89" s="882">
        <f t="shared" si="6"/>
        <v>0</v>
      </c>
    </row>
    <row r="90" spans="2:26">
      <c r="B90" s="1377" t="s">
        <v>1410</v>
      </c>
      <c r="C90" s="1247">
        <v>0</v>
      </c>
      <c r="D90" s="1239">
        <v>0</v>
      </c>
      <c r="E90" s="1239">
        <v>0</v>
      </c>
      <c r="F90" s="882">
        <f t="shared" si="7"/>
        <v>0</v>
      </c>
      <c r="G90" s="1239"/>
      <c r="H90" s="1239"/>
      <c r="I90" s="1239"/>
      <c r="J90" s="1239"/>
      <c r="K90" s="1239"/>
      <c r="L90" s="1247">
        <v>0</v>
      </c>
      <c r="M90" s="1239">
        <v>0</v>
      </c>
      <c r="N90" s="1239">
        <v>0</v>
      </c>
      <c r="O90" s="1239"/>
      <c r="P90" s="882">
        <f t="shared" si="4"/>
        <v>0</v>
      </c>
      <c r="Q90" s="1247">
        <v>6</v>
      </c>
      <c r="R90" s="1239">
        <v>24</v>
      </c>
      <c r="S90" s="1239">
        <v>2.6304000000000001E-2</v>
      </c>
      <c r="T90" s="1239"/>
      <c r="U90" s="882">
        <f t="shared" si="5"/>
        <v>0.25022831050228311</v>
      </c>
      <c r="V90" s="1247">
        <v>6.6000000000000005</v>
      </c>
      <c r="W90" s="1239">
        <v>0</v>
      </c>
      <c r="X90" s="1239">
        <v>2.8934400000000002E-2</v>
      </c>
      <c r="Y90" s="1239"/>
      <c r="Z90" s="882">
        <f t="shared" si="6"/>
        <v>0.2752511415525114</v>
      </c>
    </row>
    <row r="91" spans="2:26">
      <c r="B91" s="1378" t="s">
        <v>469</v>
      </c>
      <c r="C91" s="1247">
        <v>0</v>
      </c>
      <c r="D91" s="1239">
        <v>0</v>
      </c>
      <c r="E91" s="1239">
        <v>0</v>
      </c>
      <c r="F91" s="882">
        <f t="shared" si="7"/>
        <v>0</v>
      </c>
      <c r="G91" s="1239"/>
      <c r="H91" s="1239"/>
      <c r="I91" s="1239"/>
      <c r="J91" s="1239"/>
      <c r="K91" s="1239"/>
      <c r="L91" s="1247">
        <v>0</v>
      </c>
      <c r="M91" s="1239">
        <v>0</v>
      </c>
      <c r="N91" s="1239">
        <v>0</v>
      </c>
      <c r="O91" s="1239"/>
      <c r="P91" s="882">
        <f t="shared" si="4"/>
        <v>0</v>
      </c>
      <c r="Q91" s="1247">
        <v>6</v>
      </c>
      <c r="R91" s="1239">
        <v>24</v>
      </c>
      <c r="S91" s="1239">
        <v>2.6304000000000001E-2</v>
      </c>
      <c r="T91" s="1239"/>
      <c r="U91" s="882">
        <f t="shared" si="5"/>
        <v>0.25022831050228311</v>
      </c>
      <c r="V91" s="1247">
        <v>6.6000000000000005</v>
      </c>
      <c r="W91" s="1239">
        <v>26.400000000000002</v>
      </c>
      <c r="X91" s="1239">
        <v>2.8934400000000002E-2</v>
      </c>
      <c r="Y91" s="1239"/>
      <c r="Z91" s="882">
        <f t="shared" si="6"/>
        <v>0.13107197216786257</v>
      </c>
    </row>
    <row r="92" spans="2:26">
      <c r="B92" s="1378" t="s">
        <v>470</v>
      </c>
      <c r="C92" s="1247">
        <v>0</v>
      </c>
      <c r="D92" s="1239">
        <v>0</v>
      </c>
      <c r="E92" s="1239">
        <v>0</v>
      </c>
      <c r="F92" s="882">
        <f t="shared" si="7"/>
        <v>0</v>
      </c>
      <c r="G92" s="1239"/>
      <c r="H92" s="1239"/>
      <c r="I92" s="1239"/>
      <c r="J92" s="1239"/>
      <c r="K92" s="1239"/>
      <c r="L92" s="1247">
        <v>0</v>
      </c>
      <c r="M92" s="1239">
        <v>0</v>
      </c>
      <c r="N92" s="1239">
        <v>0</v>
      </c>
      <c r="O92" s="1239"/>
      <c r="P92" s="882">
        <f t="shared" si="4"/>
        <v>0</v>
      </c>
      <c r="Q92" s="1247">
        <v>0</v>
      </c>
      <c r="R92" s="1239">
        <v>0</v>
      </c>
      <c r="S92" s="1239">
        <v>0</v>
      </c>
      <c r="T92" s="1239"/>
      <c r="U92" s="882">
        <f t="shared" si="5"/>
        <v>0</v>
      </c>
      <c r="V92" s="1247">
        <v>0</v>
      </c>
      <c r="W92" s="1239">
        <v>0</v>
      </c>
      <c r="X92" s="1239">
        <v>0</v>
      </c>
      <c r="Y92" s="1239"/>
      <c r="Z92" s="882">
        <f t="shared" si="6"/>
        <v>0</v>
      </c>
    </row>
    <row r="93" spans="2:26">
      <c r="B93" s="1369" t="s">
        <v>1425</v>
      </c>
      <c r="C93" s="1247">
        <v>0</v>
      </c>
      <c r="D93" s="1239">
        <v>0</v>
      </c>
      <c r="E93" s="1239">
        <v>0</v>
      </c>
      <c r="F93" s="882">
        <f t="shared" si="7"/>
        <v>0</v>
      </c>
      <c r="G93" s="1239"/>
      <c r="H93" s="1239"/>
      <c r="I93" s="1239"/>
      <c r="J93" s="1239"/>
      <c r="K93" s="1239"/>
      <c r="L93" s="1247">
        <v>0</v>
      </c>
      <c r="M93" s="1239">
        <v>0</v>
      </c>
      <c r="N93" s="1239">
        <v>0</v>
      </c>
      <c r="O93" s="1239"/>
      <c r="P93" s="882">
        <f t="shared" si="4"/>
        <v>0</v>
      </c>
      <c r="Q93" s="1247">
        <v>6</v>
      </c>
      <c r="R93" s="1239">
        <v>24</v>
      </c>
      <c r="S93" s="1239">
        <v>2.6304000000000001E-2</v>
      </c>
      <c r="T93" s="1239"/>
      <c r="U93" s="882">
        <f t="shared" si="5"/>
        <v>0.25022831050228311</v>
      </c>
      <c r="V93" s="1247">
        <v>6.6000000000000005</v>
      </c>
      <c r="W93" s="1239">
        <v>0</v>
      </c>
      <c r="X93" s="1239">
        <v>2.8934400000000002E-2</v>
      </c>
      <c r="Y93" s="1239"/>
      <c r="Z93" s="882">
        <f t="shared" si="6"/>
        <v>0.2752511415525114</v>
      </c>
    </row>
    <row r="94" spans="2:26">
      <c r="B94" s="1369" t="s">
        <v>1446</v>
      </c>
      <c r="C94" s="1247"/>
      <c r="D94" s="1239"/>
      <c r="E94" s="1239"/>
      <c r="F94" s="882"/>
      <c r="G94" s="1239"/>
      <c r="H94" s="1239"/>
      <c r="I94" s="1239"/>
      <c r="J94" s="1239"/>
      <c r="K94" s="1239"/>
      <c r="L94" s="1247">
        <v>0</v>
      </c>
      <c r="M94" s="1239">
        <v>0</v>
      </c>
      <c r="N94" s="1239">
        <v>0</v>
      </c>
      <c r="O94" s="1239"/>
      <c r="P94" s="882">
        <f t="shared" si="4"/>
        <v>0</v>
      </c>
      <c r="Q94" s="1247">
        <v>6</v>
      </c>
      <c r="R94" s="1239">
        <v>24</v>
      </c>
      <c r="S94" s="1239">
        <v>2.6304000000000001E-2</v>
      </c>
      <c r="T94" s="1239"/>
      <c r="U94" s="882">
        <f t="shared" si="5"/>
        <v>0.12511415525114156</v>
      </c>
      <c r="V94" s="1247">
        <v>6.6000000000000005</v>
      </c>
      <c r="W94" s="1239">
        <v>0</v>
      </c>
      <c r="X94" s="1239">
        <v>2.8934400000000002E-2</v>
      </c>
      <c r="Y94" s="1239"/>
      <c r="Z94" s="882">
        <f t="shared" si="6"/>
        <v>0.2752511415525114</v>
      </c>
    </row>
    <row r="95" spans="2:26">
      <c r="B95" s="1367" t="s">
        <v>1119</v>
      </c>
      <c r="C95" s="1247">
        <v>0</v>
      </c>
      <c r="D95" s="1239">
        <v>0</v>
      </c>
      <c r="E95" s="1239">
        <v>0</v>
      </c>
      <c r="F95" s="882"/>
      <c r="G95" s="1239"/>
      <c r="H95" s="1239"/>
      <c r="I95" s="1239"/>
      <c r="J95" s="1239"/>
      <c r="K95" s="1239"/>
      <c r="L95" s="1247">
        <v>0</v>
      </c>
      <c r="M95" s="1239">
        <v>0</v>
      </c>
      <c r="N95" s="1239">
        <v>0</v>
      </c>
      <c r="O95" s="1239"/>
      <c r="P95" s="882">
        <f t="shared" si="4"/>
        <v>0</v>
      </c>
      <c r="Q95" s="1247">
        <v>0</v>
      </c>
      <c r="R95" s="1239">
        <v>0</v>
      </c>
      <c r="S95" s="1239">
        <v>0</v>
      </c>
      <c r="T95" s="1239"/>
      <c r="U95" s="882">
        <f t="shared" si="5"/>
        <v>0</v>
      </c>
      <c r="V95" s="1247">
        <v>0</v>
      </c>
      <c r="W95" s="1239">
        <v>0</v>
      </c>
      <c r="X95" s="1239">
        <v>0</v>
      </c>
      <c r="Y95" s="1239"/>
      <c r="Z95" s="882">
        <f t="shared" si="6"/>
        <v>0</v>
      </c>
    </row>
    <row r="96" spans="2:26">
      <c r="B96" s="1367" t="s">
        <v>475</v>
      </c>
      <c r="C96" s="1239">
        <f t="shared" ref="C96:E96" si="8">SUM(C97:C98)</f>
        <v>98</v>
      </c>
      <c r="D96" s="1239">
        <f t="shared" si="8"/>
        <v>28638</v>
      </c>
      <c r="E96" s="1239">
        <f t="shared" si="8"/>
        <v>24.535273</v>
      </c>
      <c r="F96" s="882">
        <f t="shared" si="7"/>
        <v>9.7801182035810896E-2</v>
      </c>
      <c r="G96" s="1239"/>
      <c r="H96" s="1239"/>
      <c r="I96" s="1239"/>
      <c r="J96" s="1239"/>
      <c r="K96" s="1239"/>
      <c r="L96" s="1247">
        <v>84</v>
      </c>
      <c r="M96" s="1239">
        <v>20063</v>
      </c>
      <c r="N96" s="1239">
        <v>33.646000000000001</v>
      </c>
      <c r="O96" s="1239"/>
      <c r="P96" s="882">
        <f t="shared" si="4"/>
        <v>0.15773259604150533</v>
      </c>
      <c r="Q96" s="1247">
        <v>84</v>
      </c>
      <c r="R96" s="1239">
        <v>13332.966059082339</v>
      </c>
      <c r="S96" s="1239">
        <v>469.63466666666665</v>
      </c>
      <c r="T96" s="1239"/>
      <c r="U96" s="882">
        <f t="shared" si="5"/>
        <v>2.5546833133478173</v>
      </c>
      <c r="V96" s="1247">
        <v>84</v>
      </c>
      <c r="W96" s="1239">
        <v>13332.966059082339</v>
      </c>
      <c r="X96" s="1239">
        <v>469.63466666666665</v>
      </c>
      <c r="Y96" s="1239"/>
      <c r="Z96" s="882">
        <f t="shared" si="6"/>
        <v>4.0209555083651436</v>
      </c>
    </row>
    <row r="97" spans="2:26">
      <c r="B97" s="1378" t="s">
        <v>1411</v>
      </c>
      <c r="C97" s="1247">
        <v>98</v>
      </c>
      <c r="D97" s="1239">
        <v>28638</v>
      </c>
      <c r="E97" s="1239">
        <v>24.535273</v>
      </c>
      <c r="F97" s="882">
        <f t="shared" si="7"/>
        <v>9.7801182035810896E-2</v>
      </c>
      <c r="G97" s="1239"/>
      <c r="H97" s="1239"/>
      <c r="I97" s="1239"/>
      <c r="J97" s="1239"/>
      <c r="K97" s="1239"/>
      <c r="L97" s="1247">
        <v>81</v>
      </c>
      <c r="M97" s="1239">
        <v>17826</v>
      </c>
      <c r="N97" s="1239">
        <v>32.335000000000001</v>
      </c>
      <c r="O97" s="1239"/>
      <c r="P97" s="882">
        <f t="shared" si="4"/>
        <v>0.15888472992691549</v>
      </c>
      <c r="Q97" s="1247">
        <v>81</v>
      </c>
      <c r="R97" s="1239">
        <v>11095.966059082339</v>
      </c>
      <c r="S97" s="1239">
        <v>391</v>
      </c>
      <c r="T97" s="1239"/>
      <c r="U97" s="882">
        <f t="shared" si="5"/>
        <v>2.2466774713592672</v>
      </c>
      <c r="V97" s="1247">
        <v>81</v>
      </c>
      <c r="W97" s="1239">
        <v>11095.966059082339</v>
      </c>
      <c r="X97" s="1239">
        <v>391</v>
      </c>
      <c r="Y97" s="1239"/>
      <c r="Z97" s="882">
        <f t="shared" si="6"/>
        <v>4.0226063200519944</v>
      </c>
    </row>
    <row r="98" spans="2:26">
      <c r="B98" s="1378" t="s">
        <v>1412</v>
      </c>
      <c r="C98" s="1247">
        <v>0</v>
      </c>
      <c r="D98" s="1239">
        <v>0</v>
      </c>
      <c r="E98" s="1239">
        <v>0</v>
      </c>
      <c r="F98" s="882">
        <f t="shared" si="7"/>
        <v>0</v>
      </c>
      <c r="G98" s="1239"/>
      <c r="H98" s="1239"/>
      <c r="I98" s="1239"/>
      <c r="J98" s="1239"/>
      <c r="K98" s="1239"/>
      <c r="L98" s="1247">
        <v>3</v>
      </c>
      <c r="M98" s="1239">
        <v>2237</v>
      </c>
      <c r="N98" s="1239">
        <v>1.3109999999999999</v>
      </c>
      <c r="O98" s="1239"/>
      <c r="P98" s="882">
        <f t="shared" si="4"/>
        <v>0.1338019975382882</v>
      </c>
      <c r="Q98" s="1247">
        <v>3</v>
      </c>
      <c r="R98" s="1239">
        <v>2237</v>
      </c>
      <c r="S98" s="1239">
        <v>78.634666666666661</v>
      </c>
      <c r="T98" s="1239"/>
      <c r="U98" s="882">
        <f t="shared" si="5"/>
        <v>8.0255343064511404</v>
      </c>
      <c r="V98" s="1247">
        <v>3</v>
      </c>
      <c r="W98" s="1239">
        <v>2237</v>
      </c>
      <c r="X98" s="1239">
        <v>78.634666666666661</v>
      </c>
      <c r="Y98" s="1239"/>
      <c r="Z98" s="882">
        <f t="shared" si="6"/>
        <v>4.0127671532255702</v>
      </c>
    </row>
    <row r="99" spans="2:26">
      <c r="B99" s="1367" t="s">
        <v>1403</v>
      </c>
      <c r="C99" s="1247">
        <v>745</v>
      </c>
      <c r="D99" s="1239">
        <v>226902</v>
      </c>
      <c r="E99" s="1239">
        <v>480.75782800000002</v>
      </c>
      <c r="F99" s="882">
        <f t="shared" si="7"/>
        <v>0.24187107470893737</v>
      </c>
      <c r="G99" s="1239"/>
      <c r="H99" s="1239"/>
      <c r="I99" s="1239"/>
      <c r="J99" s="1239"/>
      <c r="K99" s="1239"/>
      <c r="L99" s="1247">
        <v>810</v>
      </c>
      <c r="M99" s="1239">
        <v>235437</v>
      </c>
      <c r="N99" s="1239">
        <v>376.98800000000006</v>
      </c>
      <c r="O99" s="1239"/>
      <c r="P99" s="882">
        <f t="shared" si="4"/>
        <v>0.18616279317709128</v>
      </c>
      <c r="Q99" s="1247">
        <v>826.2</v>
      </c>
      <c r="R99" s="1239">
        <v>240145.74</v>
      </c>
      <c r="S99" s="1239">
        <v>37.114666666666665</v>
      </c>
      <c r="T99" s="1239"/>
      <c r="U99" s="882">
        <f t="shared" si="5"/>
        <v>1.8143045053031798E-2</v>
      </c>
      <c r="V99" s="1247">
        <v>867.5100000000001</v>
      </c>
      <c r="W99" s="1239">
        <v>252153.027</v>
      </c>
      <c r="X99" s="1239">
        <v>38.970399999999998</v>
      </c>
      <c r="Y99" s="1239"/>
      <c r="Z99" s="882">
        <f t="shared" si="6"/>
        <v>1.8073073090133323E-2</v>
      </c>
    </row>
    <row r="100" spans="2:26">
      <c r="B100" s="1378" t="s">
        <v>1413</v>
      </c>
      <c r="C100" s="1247">
        <v>711</v>
      </c>
      <c r="D100" s="1239">
        <v>191786</v>
      </c>
      <c r="E100" s="1239">
        <v>408.30091700000003</v>
      </c>
      <c r="F100" s="882">
        <f t="shared" si="7"/>
        <v>0.24302969831719307</v>
      </c>
      <c r="G100" s="1239"/>
      <c r="H100" s="1239"/>
      <c r="I100" s="1239"/>
      <c r="J100" s="1239"/>
      <c r="K100" s="1239"/>
      <c r="L100" s="1247">
        <v>772</v>
      </c>
      <c r="M100" s="1239">
        <v>194423</v>
      </c>
      <c r="N100" s="1239">
        <v>313.78500000000003</v>
      </c>
      <c r="O100" s="1239"/>
      <c r="P100" s="882">
        <f t="shared" si="4"/>
        <v>0.18549648236810667</v>
      </c>
      <c r="Q100" s="1247">
        <v>787.44</v>
      </c>
      <c r="R100" s="1239">
        <v>198311.46</v>
      </c>
      <c r="S100" s="1239">
        <v>34.506666666666668</v>
      </c>
      <c r="T100" s="1239"/>
      <c r="U100" s="882">
        <f t="shared" si="5"/>
        <v>2.0195554205306398E-2</v>
      </c>
      <c r="V100" s="1247">
        <v>826.81200000000013</v>
      </c>
      <c r="W100" s="1239">
        <v>208227.033</v>
      </c>
      <c r="X100" s="1239">
        <v>36.231999999999999</v>
      </c>
      <c r="Y100" s="1239"/>
      <c r="Z100" s="882">
        <f t="shared" si="6"/>
        <v>2.0347756144020193E-2</v>
      </c>
    </row>
    <row r="101" spans="2:26">
      <c r="B101" s="1378" t="s">
        <v>1414</v>
      </c>
      <c r="C101" s="1247">
        <v>34</v>
      </c>
      <c r="D101" s="1239">
        <v>35116</v>
      </c>
      <c r="E101" s="1239">
        <v>72.456911000000005</v>
      </c>
      <c r="F101" s="882">
        <f t="shared" si="7"/>
        <v>0.23554325299425105</v>
      </c>
      <c r="G101" s="1239"/>
      <c r="H101" s="1239"/>
      <c r="I101" s="1239"/>
      <c r="J101" s="1239"/>
      <c r="K101" s="1239"/>
      <c r="L101" s="1247">
        <v>38</v>
      </c>
      <c r="M101" s="1239">
        <v>41014</v>
      </c>
      <c r="N101" s="1239">
        <v>63.203000000000003</v>
      </c>
      <c r="O101" s="1239"/>
      <c r="P101" s="882">
        <f t="shared" si="4"/>
        <v>0.18954300112700756</v>
      </c>
      <c r="Q101" s="1247">
        <v>38.76</v>
      </c>
      <c r="R101" s="1239">
        <v>41834.28</v>
      </c>
      <c r="S101" s="1239">
        <v>2.6080000000000001</v>
      </c>
      <c r="T101" s="1239"/>
      <c r="U101" s="882">
        <f t="shared" si="5"/>
        <v>7.7379028374469578E-3</v>
      </c>
      <c r="V101" s="1247">
        <v>40.698</v>
      </c>
      <c r="W101" s="1239">
        <v>43925.993999999999</v>
      </c>
      <c r="X101" s="1239">
        <v>2.7384000000000004</v>
      </c>
      <c r="Y101" s="1239"/>
      <c r="Z101" s="882">
        <f t="shared" si="6"/>
        <v>7.290152541397605E-3</v>
      </c>
    </row>
    <row r="102" spans="2:26">
      <c r="B102" s="1369" t="s">
        <v>1425</v>
      </c>
      <c r="C102" s="1247">
        <v>843</v>
      </c>
      <c r="D102" s="1239">
        <v>255540</v>
      </c>
      <c r="E102" s="1239">
        <v>505.29310100000004</v>
      </c>
      <c r="F102" s="822">
        <f t="shared" si="7"/>
        <v>0.22572536919757713</v>
      </c>
      <c r="G102" s="1239"/>
      <c r="H102" s="1239"/>
      <c r="I102" s="1239"/>
      <c r="J102" s="1239"/>
      <c r="K102" s="1239"/>
      <c r="L102" s="1247">
        <v>894</v>
      </c>
      <c r="M102" s="1239">
        <v>255500</v>
      </c>
      <c r="N102" s="1239">
        <v>410.63400000000007</v>
      </c>
      <c r="O102" s="1239"/>
      <c r="P102" s="882">
        <f t="shared" si="4"/>
        <v>0.18345345725289716</v>
      </c>
      <c r="Q102" s="1247">
        <v>910.2</v>
      </c>
      <c r="R102" s="1239">
        <v>253478.70605908232</v>
      </c>
      <c r="S102" s="1239">
        <v>506.74933333333331</v>
      </c>
      <c r="T102" s="1239"/>
      <c r="U102" s="882">
        <f t="shared" si="5"/>
        <v>0.22729261900943379</v>
      </c>
      <c r="V102" s="1247">
        <v>951.5100000000001</v>
      </c>
      <c r="W102" s="1239">
        <v>265485.99305908236</v>
      </c>
      <c r="X102" s="1239">
        <v>508.60506666666663</v>
      </c>
      <c r="Y102" s="1239"/>
      <c r="Z102" s="882">
        <f t="shared" si="6"/>
        <v>0.22375294202421095</v>
      </c>
    </row>
    <row r="103" spans="2:26">
      <c r="B103" s="1369" t="s">
        <v>1446</v>
      </c>
      <c r="C103" s="1247"/>
      <c r="D103" s="1239"/>
      <c r="E103" s="1239"/>
      <c r="F103" s="882"/>
      <c r="G103" s="1239"/>
      <c r="H103" s="1239"/>
      <c r="I103" s="1239"/>
      <c r="J103" s="1239"/>
      <c r="K103" s="1239"/>
      <c r="L103" s="1247">
        <v>894</v>
      </c>
      <c r="M103" s="1239">
        <v>255500</v>
      </c>
      <c r="N103" s="1239">
        <v>410.63400000000007</v>
      </c>
      <c r="O103" s="1239"/>
      <c r="P103" s="882"/>
      <c r="Q103" s="1247">
        <v>910.2</v>
      </c>
      <c r="R103" s="1239">
        <v>253478.70605908232</v>
      </c>
      <c r="S103" s="1239">
        <v>506.74933333333331</v>
      </c>
      <c r="T103" s="1239"/>
      <c r="U103" s="882"/>
      <c r="V103" s="1247">
        <v>951.5100000000001</v>
      </c>
      <c r="W103" s="1239">
        <v>265485.99305908236</v>
      </c>
      <c r="X103" s="1239">
        <v>508.60506666666663</v>
      </c>
      <c r="Y103" s="1239"/>
      <c r="Z103" s="882"/>
    </row>
    <row r="104" spans="2:26">
      <c r="B104" s="1367" t="s">
        <v>1125</v>
      </c>
      <c r="C104" s="1247"/>
      <c r="D104" s="1239"/>
      <c r="E104" s="1239"/>
      <c r="F104" s="882"/>
      <c r="G104" s="1239"/>
      <c r="H104" s="1239"/>
      <c r="I104" s="1239"/>
      <c r="J104" s="1239"/>
      <c r="K104" s="1239"/>
      <c r="L104" s="1247">
        <v>0</v>
      </c>
      <c r="M104" s="1239">
        <v>0</v>
      </c>
      <c r="N104" s="1239">
        <v>0</v>
      </c>
      <c r="O104" s="1239"/>
      <c r="P104" s="882">
        <f t="shared" si="4"/>
        <v>0</v>
      </c>
      <c r="Q104" s="1247">
        <v>0</v>
      </c>
      <c r="R104" s="1239">
        <v>0</v>
      </c>
      <c r="S104" s="1239">
        <v>0</v>
      </c>
      <c r="T104" s="1239"/>
      <c r="U104" s="882">
        <f t="shared" si="5"/>
        <v>0</v>
      </c>
      <c r="V104" s="1247">
        <v>0</v>
      </c>
      <c r="W104" s="1239">
        <v>0</v>
      </c>
      <c r="X104" s="1239">
        <v>0</v>
      </c>
      <c r="Y104" s="1239"/>
      <c r="Z104" s="882">
        <f t="shared" si="6"/>
        <v>0</v>
      </c>
    </row>
    <row r="105" spans="2:26">
      <c r="B105" s="1378" t="s">
        <v>1126</v>
      </c>
      <c r="C105" s="1247">
        <v>1087</v>
      </c>
      <c r="D105" s="1239">
        <v>134282</v>
      </c>
      <c r="E105" s="1239">
        <v>685.44689900000003</v>
      </c>
      <c r="F105" s="882">
        <f t="shared" si="7"/>
        <v>0.58270924546509117</v>
      </c>
      <c r="G105" s="1239"/>
      <c r="H105" s="1239"/>
      <c r="I105" s="1239"/>
      <c r="J105" s="1239"/>
      <c r="K105" s="1239"/>
      <c r="L105" s="1247">
        <v>1099</v>
      </c>
      <c r="M105" s="1239">
        <v>326834</v>
      </c>
      <c r="N105" s="1239">
        <v>707.98</v>
      </c>
      <c r="O105" s="1239"/>
      <c r="P105" s="882">
        <f t="shared" si="4"/>
        <v>0.35053927733236911</v>
      </c>
      <c r="Q105" s="1247">
        <v>1131.97</v>
      </c>
      <c r="R105" s="1239">
        <v>336639.02</v>
      </c>
      <c r="S105" s="1239">
        <v>772.82133333333331</v>
      </c>
      <c r="T105" s="1239"/>
      <c r="U105" s="882">
        <f t="shared" si="5"/>
        <v>0.37467689760043471</v>
      </c>
      <c r="V105" s="1247">
        <v>1165.9291000000001</v>
      </c>
      <c r="W105" s="1239">
        <v>346738.19060000003</v>
      </c>
      <c r="X105" s="1239">
        <v>796.00597333333337</v>
      </c>
      <c r="Y105" s="1239"/>
      <c r="Z105" s="882">
        <f t="shared" si="6"/>
        <v>0.26593881208377135</v>
      </c>
    </row>
    <row r="106" spans="2:26">
      <c r="B106" s="1378" t="s">
        <v>1127</v>
      </c>
      <c r="C106" s="1247">
        <v>33</v>
      </c>
      <c r="D106" s="1239">
        <v>80527</v>
      </c>
      <c r="E106" s="1239">
        <v>386</v>
      </c>
      <c r="F106" s="882">
        <f t="shared" si="7"/>
        <v>0.54719444336234146</v>
      </c>
      <c r="G106" s="1239"/>
      <c r="H106" s="1239"/>
      <c r="I106" s="1239"/>
      <c r="J106" s="1239"/>
      <c r="K106" s="1239"/>
      <c r="L106" s="1247">
        <v>37</v>
      </c>
      <c r="M106" s="1239">
        <v>84965</v>
      </c>
      <c r="N106" s="1239">
        <v>280.98700000000002</v>
      </c>
      <c r="O106" s="1239"/>
      <c r="P106" s="882">
        <f t="shared" si="4"/>
        <v>0.38764582641470785</v>
      </c>
      <c r="Q106" s="1247">
        <v>38.11</v>
      </c>
      <c r="R106" s="1239">
        <v>87513.95</v>
      </c>
      <c r="S106" s="1239">
        <v>303.52799999999996</v>
      </c>
      <c r="T106" s="1239"/>
      <c r="U106" s="882">
        <f t="shared" si="5"/>
        <v>0.4123913256678583</v>
      </c>
      <c r="V106" s="1247">
        <v>40.015500000000003</v>
      </c>
      <c r="W106" s="1239">
        <v>91889.647500000006</v>
      </c>
      <c r="X106" s="1239">
        <v>318.70439999999996</v>
      </c>
      <c r="Y106" s="1239"/>
      <c r="Z106" s="882">
        <f t="shared" si="6"/>
        <v>0.40558585590144375</v>
      </c>
    </row>
    <row r="107" spans="2:26">
      <c r="B107" s="1378" t="s">
        <v>1128</v>
      </c>
      <c r="C107" s="1247">
        <v>4</v>
      </c>
      <c r="D107" s="1239">
        <v>32363</v>
      </c>
      <c r="E107" s="1239">
        <v>79</v>
      </c>
      <c r="F107" s="882">
        <f t="shared" si="7"/>
        <v>0.27865972994415372</v>
      </c>
      <c r="G107" s="1239"/>
      <c r="H107" s="1239"/>
      <c r="I107" s="1239"/>
      <c r="J107" s="1239"/>
      <c r="K107" s="1239"/>
      <c r="L107" s="1247">
        <v>6</v>
      </c>
      <c r="M107" s="1239">
        <v>64562</v>
      </c>
      <c r="N107" s="1239">
        <v>36.871000000000002</v>
      </c>
      <c r="O107" s="1239"/>
      <c r="P107" s="882">
        <f t="shared" si="4"/>
        <v>8.6851034611094821E-2</v>
      </c>
      <c r="Q107" s="1247">
        <v>6.18</v>
      </c>
      <c r="R107" s="1239">
        <v>66498.86</v>
      </c>
      <c r="S107" s="1239">
        <v>51.966666666666669</v>
      </c>
      <c r="T107" s="1239"/>
      <c r="U107" s="882">
        <f t="shared" si="5"/>
        <v>0.12001125377011274</v>
      </c>
      <c r="V107" s="1247">
        <v>6.6126000000000005</v>
      </c>
      <c r="W107" s="1239">
        <v>71153.780200000008</v>
      </c>
      <c r="X107" s="1239">
        <v>55.604333333333336</v>
      </c>
      <c r="Y107" s="1239"/>
      <c r="Z107" s="882">
        <f t="shared" si="6"/>
        <v>9.2225279907493796E-2</v>
      </c>
    </row>
    <row r="108" spans="2:26">
      <c r="B108" s="1378" t="s">
        <v>1129</v>
      </c>
      <c r="C108" s="1247">
        <v>0</v>
      </c>
      <c r="D108" s="1239">
        <v>0</v>
      </c>
      <c r="E108" s="1239">
        <v>0</v>
      </c>
      <c r="F108" s="882">
        <f t="shared" si="7"/>
        <v>0</v>
      </c>
      <c r="G108" s="1239"/>
      <c r="H108" s="1239"/>
      <c r="I108" s="1239"/>
      <c r="J108" s="1239"/>
      <c r="K108" s="1239"/>
      <c r="L108" s="1247">
        <v>2</v>
      </c>
      <c r="M108" s="1239">
        <v>1796</v>
      </c>
      <c r="N108" s="1239">
        <v>1.254</v>
      </c>
      <c r="O108" s="1239"/>
      <c r="P108" s="882">
        <f t="shared" si="4"/>
        <v>0.1594105622845288</v>
      </c>
      <c r="Q108" s="1247">
        <v>2.06</v>
      </c>
      <c r="R108" s="1239">
        <v>1849.88</v>
      </c>
      <c r="S108" s="1239">
        <v>3.2266666666666666</v>
      </c>
      <c r="T108" s="1239"/>
      <c r="U108" s="882">
        <f t="shared" si="5"/>
        <v>0.39823225688521352</v>
      </c>
      <c r="V108" s="1247">
        <v>2.1424000000000003</v>
      </c>
      <c r="W108" s="1239">
        <v>1923.8752000000002</v>
      </c>
      <c r="X108" s="1239">
        <v>3.3557333333333332</v>
      </c>
      <c r="Y108" s="1239"/>
      <c r="Z108" s="882">
        <f t="shared" si="6"/>
        <v>0.20302036625520684</v>
      </c>
    </row>
    <row r="109" spans="2:26">
      <c r="B109" s="1377" t="s">
        <v>1130</v>
      </c>
      <c r="C109" s="1247">
        <v>24</v>
      </c>
      <c r="D109" s="1239">
        <v>5822</v>
      </c>
      <c r="E109" s="1239">
        <v>5</v>
      </c>
      <c r="F109" s="882">
        <f t="shared" si="7"/>
        <v>9.8037831622769245E-2</v>
      </c>
      <c r="G109" s="1239"/>
      <c r="H109" s="1239"/>
      <c r="I109" s="1239"/>
      <c r="J109" s="1239"/>
      <c r="K109" s="1239"/>
      <c r="L109" s="1247">
        <v>250</v>
      </c>
      <c r="M109" s="1239">
        <v>85000</v>
      </c>
      <c r="N109" s="1239">
        <v>211.911</v>
      </c>
      <c r="O109" s="1239"/>
      <c r="P109" s="882">
        <f t="shared" si="4"/>
        <v>0.532706908560867</v>
      </c>
      <c r="Q109" s="1247">
        <v>257.5</v>
      </c>
      <c r="R109" s="1239">
        <v>87550</v>
      </c>
      <c r="S109" s="1239">
        <v>201.15200000000002</v>
      </c>
      <c r="T109" s="1239"/>
      <c r="U109" s="882">
        <f t="shared" si="5"/>
        <v>0.49185102766622912</v>
      </c>
      <c r="V109" s="1247">
        <v>270.375</v>
      </c>
      <c r="W109" s="1239">
        <v>91927.5</v>
      </c>
      <c r="X109" s="1239">
        <v>211.20960000000002</v>
      </c>
      <c r="Y109" s="1239"/>
      <c r="Z109" s="882">
        <f t="shared" si="6"/>
        <v>0.26867640714303298</v>
      </c>
    </row>
    <row r="110" spans="2:26">
      <c r="B110" s="1369" t="s">
        <v>1425</v>
      </c>
      <c r="C110" s="1247">
        <v>1148</v>
      </c>
      <c r="D110" s="1239">
        <v>252994</v>
      </c>
      <c r="E110" s="1239">
        <v>1155.446899</v>
      </c>
      <c r="F110" s="822">
        <f t="shared" si="7"/>
        <v>0.52135754577607796</v>
      </c>
      <c r="G110" s="1239"/>
      <c r="H110" s="1239"/>
      <c r="I110" s="1239"/>
      <c r="J110" s="1239"/>
      <c r="K110" s="1239"/>
      <c r="L110" s="1247">
        <v>1394</v>
      </c>
      <c r="M110" s="1239">
        <v>563157</v>
      </c>
      <c r="N110" s="1239">
        <v>1239.0030000000002</v>
      </c>
      <c r="O110" s="1239"/>
      <c r="P110" s="882">
        <f t="shared" si="4"/>
        <v>0.34659933916674002</v>
      </c>
      <c r="Q110" s="1247">
        <v>1435.82</v>
      </c>
      <c r="R110" s="1239">
        <v>580051.71</v>
      </c>
      <c r="S110" s="1239">
        <v>1332.6946666666668</v>
      </c>
      <c r="T110" s="1239"/>
      <c r="U110" s="882">
        <f t="shared" si="5"/>
        <v>0.36524789106312294</v>
      </c>
      <c r="V110" s="1247">
        <v>1485.0745999999999</v>
      </c>
      <c r="W110" s="1239">
        <v>603632.9935000001</v>
      </c>
      <c r="X110" s="1239">
        <v>1384.88004</v>
      </c>
      <c r="Y110" s="1239"/>
      <c r="Z110" s="882">
        <f t="shared" si="6"/>
        <v>0.26711729618481678</v>
      </c>
    </row>
    <row r="111" spans="2:26">
      <c r="B111" s="1369" t="s">
        <v>1446</v>
      </c>
      <c r="C111" s="1247"/>
      <c r="D111" s="956"/>
      <c r="E111" s="956"/>
      <c r="F111" s="822"/>
      <c r="G111" s="1239"/>
      <c r="H111" s="1239"/>
      <c r="I111" s="1239"/>
      <c r="J111" s="1239"/>
      <c r="K111" s="1239"/>
      <c r="L111" s="1247">
        <v>1394</v>
      </c>
      <c r="M111" s="1239">
        <v>563157</v>
      </c>
      <c r="N111" s="1239">
        <v>1239.0030000000002</v>
      </c>
      <c r="O111" s="1239"/>
      <c r="P111" s="882"/>
      <c r="Q111" s="1247">
        <v>1435.82</v>
      </c>
      <c r="R111" s="1239">
        <v>580051.71</v>
      </c>
      <c r="S111" s="1239">
        <v>1332.6946666666668</v>
      </c>
      <c r="T111" s="1239"/>
      <c r="U111" s="882"/>
      <c r="V111" s="1247">
        <v>1485.0745999999999</v>
      </c>
      <c r="W111" s="1239">
        <v>603632.9935000001</v>
      </c>
      <c r="X111" s="1239">
        <v>1384.88004</v>
      </c>
      <c r="Y111" s="1239"/>
      <c r="Z111" s="882"/>
    </row>
    <row r="112" spans="2:26">
      <c r="B112" s="1367" t="s">
        <v>1133</v>
      </c>
      <c r="C112" s="1247"/>
      <c r="D112" s="1239"/>
      <c r="E112" s="1239"/>
      <c r="F112" s="882"/>
      <c r="G112" s="1239"/>
      <c r="H112" s="1239"/>
      <c r="I112" s="1239"/>
      <c r="J112" s="1239"/>
      <c r="K112" s="1239"/>
      <c r="L112" s="1247">
        <v>0</v>
      </c>
      <c r="M112" s="1239">
        <v>0</v>
      </c>
      <c r="N112" s="1239">
        <v>0</v>
      </c>
      <c r="O112" s="1239"/>
      <c r="P112" s="882">
        <f t="shared" si="4"/>
        <v>0</v>
      </c>
      <c r="Q112" s="1247">
        <v>0</v>
      </c>
      <c r="R112" s="1239">
        <v>0</v>
      </c>
      <c r="S112" s="1239">
        <v>0</v>
      </c>
      <c r="T112" s="1239"/>
      <c r="U112" s="882">
        <f t="shared" si="5"/>
        <v>0</v>
      </c>
      <c r="V112" s="1247">
        <v>0</v>
      </c>
      <c r="W112" s="1239">
        <v>0</v>
      </c>
      <c r="X112" s="1239">
        <v>0</v>
      </c>
      <c r="Y112" s="1239"/>
      <c r="Z112" s="882">
        <f t="shared" si="6"/>
        <v>0</v>
      </c>
    </row>
    <row r="113" spans="2:26">
      <c r="B113" s="1378" t="s">
        <v>1415</v>
      </c>
      <c r="C113" s="1247">
        <v>0</v>
      </c>
      <c r="D113" s="1239">
        <v>0</v>
      </c>
      <c r="E113" s="1239">
        <v>0</v>
      </c>
      <c r="F113" s="882">
        <f t="shared" si="7"/>
        <v>0</v>
      </c>
      <c r="G113" s="1239"/>
      <c r="H113" s="1239"/>
      <c r="I113" s="1239"/>
      <c r="J113" s="1239"/>
      <c r="K113" s="1239"/>
      <c r="L113" s="1247">
        <v>1</v>
      </c>
      <c r="M113" s="1239">
        <v>10800</v>
      </c>
      <c r="N113" s="1239">
        <v>24.856000000000002</v>
      </c>
      <c r="O113" s="1239"/>
      <c r="P113" s="882">
        <f t="shared" si="4"/>
        <v>0.52545239303230173</v>
      </c>
      <c r="Q113" s="1247">
        <v>1</v>
      </c>
      <c r="R113" s="1239">
        <v>10800</v>
      </c>
      <c r="S113" s="1239">
        <v>7.8573333333333331</v>
      </c>
      <c r="T113" s="1239"/>
      <c r="U113" s="882">
        <f t="shared" si="5"/>
        <v>0.16610293703139972</v>
      </c>
      <c r="V113" s="1247">
        <v>1</v>
      </c>
      <c r="W113" s="1239">
        <v>10800</v>
      </c>
      <c r="X113" s="1239">
        <v>7.8573333333333331</v>
      </c>
      <c r="Y113" s="1239"/>
      <c r="Z113" s="882">
        <f t="shared" si="6"/>
        <v>8.3051468515699861E-2</v>
      </c>
    </row>
    <row r="114" spans="2:26">
      <c r="B114" s="1378" t="s">
        <v>1134</v>
      </c>
      <c r="C114" s="1247">
        <v>0</v>
      </c>
      <c r="D114" s="1239">
        <v>0</v>
      </c>
      <c r="E114" s="1239">
        <v>0</v>
      </c>
      <c r="F114" s="882">
        <f t="shared" si="7"/>
        <v>0</v>
      </c>
      <c r="G114" s="1239"/>
      <c r="H114" s="1239"/>
      <c r="I114" s="1239"/>
      <c r="J114" s="1239"/>
      <c r="K114" s="1239"/>
      <c r="L114" s="1247">
        <v>0</v>
      </c>
      <c r="M114" s="1239">
        <v>0</v>
      </c>
      <c r="N114" s="1239">
        <v>0</v>
      </c>
      <c r="O114" s="1239"/>
      <c r="P114" s="882">
        <f t="shared" si="4"/>
        <v>0</v>
      </c>
      <c r="Q114" s="1247">
        <v>0</v>
      </c>
      <c r="R114" s="1239">
        <v>0</v>
      </c>
      <c r="S114" s="1239">
        <v>0</v>
      </c>
      <c r="T114" s="1239"/>
      <c r="U114" s="882">
        <f t="shared" si="5"/>
        <v>0</v>
      </c>
      <c r="V114" s="1247">
        <v>0</v>
      </c>
      <c r="W114" s="1239">
        <v>0</v>
      </c>
      <c r="X114" s="1239">
        <v>0</v>
      </c>
      <c r="Y114" s="1239"/>
      <c r="Z114" s="882">
        <f t="shared" si="6"/>
        <v>0</v>
      </c>
    </row>
    <row r="115" spans="2:26">
      <c r="B115" s="1378" t="s">
        <v>1135</v>
      </c>
      <c r="C115" s="1247">
        <v>0</v>
      </c>
      <c r="D115" s="1239">
        <v>0</v>
      </c>
      <c r="E115" s="1239">
        <v>0</v>
      </c>
      <c r="F115" s="882">
        <f t="shared" si="7"/>
        <v>0</v>
      </c>
      <c r="G115" s="1239"/>
      <c r="H115" s="1239"/>
      <c r="I115" s="1239"/>
      <c r="J115" s="1239"/>
      <c r="K115" s="1239"/>
      <c r="L115" s="1247">
        <v>0</v>
      </c>
      <c r="M115" s="1239">
        <v>0</v>
      </c>
      <c r="N115" s="1239">
        <v>0</v>
      </c>
      <c r="O115" s="1239"/>
      <c r="P115" s="882">
        <f t="shared" si="4"/>
        <v>0</v>
      </c>
      <c r="Q115" s="1247">
        <v>0</v>
      </c>
      <c r="R115" s="1239">
        <v>0</v>
      </c>
      <c r="S115" s="1239">
        <v>0</v>
      </c>
      <c r="T115" s="1239"/>
      <c r="U115" s="882">
        <f t="shared" si="5"/>
        <v>0</v>
      </c>
      <c r="V115" s="1247">
        <v>0</v>
      </c>
      <c r="W115" s="1239">
        <v>0</v>
      </c>
      <c r="X115" s="1239">
        <v>0</v>
      </c>
      <c r="Y115" s="1239"/>
      <c r="Z115" s="882">
        <f t="shared" si="6"/>
        <v>0</v>
      </c>
    </row>
    <row r="116" spans="2:26">
      <c r="B116" s="1369" t="s">
        <v>1425</v>
      </c>
      <c r="C116" s="1247">
        <v>0</v>
      </c>
      <c r="D116" s="1239">
        <v>0</v>
      </c>
      <c r="E116" s="1239">
        <v>0</v>
      </c>
      <c r="F116" s="822">
        <f t="shared" si="7"/>
        <v>0</v>
      </c>
      <c r="G116" s="1239"/>
      <c r="H116" s="1239"/>
      <c r="I116" s="1239"/>
      <c r="J116" s="1239"/>
      <c r="K116" s="1239"/>
      <c r="L116" s="1247">
        <v>1</v>
      </c>
      <c r="M116" s="1239">
        <v>10800</v>
      </c>
      <c r="N116" s="1239">
        <v>24.856000000000002</v>
      </c>
      <c r="O116" s="1239"/>
      <c r="P116" s="882">
        <f t="shared" si="4"/>
        <v>0.52545239303230173</v>
      </c>
      <c r="Q116" s="1247">
        <v>1</v>
      </c>
      <c r="R116" s="1239">
        <v>10800</v>
      </c>
      <c r="S116" s="1239">
        <v>7.8573333333333331</v>
      </c>
      <c r="T116" s="1239"/>
      <c r="U116" s="882">
        <f t="shared" si="5"/>
        <v>0.16610293703139972</v>
      </c>
      <c r="V116" s="1247">
        <v>1</v>
      </c>
      <c r="W116" s="1239">
        <v>10800</v>
      </c>
      <c r="X116" s="1239">
        <v>7.8573333333333331</v>
      </c>
      <c r="Y116" s="1239"/>
      <c r="Z116" s="882">
        <f t="shared" si="6"/>
        <v>8.3051468515699861E-2</v>
      </c>
    </row>
    <row r="117" spans="2:26">
      <c r="B117" s="1369" t="s">
        <v>1446</v>
      </c>
      <c r="C117" s="1247"/>
      <c r="D117" s="956"/>
      <c r="E117" s="956"/>
      <c r="F117" s="822"/>
      <c r="G117" s="1239"/>
      <c r="H117" s="1239"/>
      <c r="I117" s="1239"/>
      <c r="J117" s="1239"/>
      <c r="K117" s="1239"/>
      <c r="L117" s="1247">
        <v>1</v>
      </c>
      <c r="M117" s="1239">
        <v>10800</v>
      </c>
      <c r="N117" s="1239">
        <v>24.856000000000002</v>
      </c>
      <c r="O117" s="1239"/>
      <c r="P117" s="882"/>
      <c r="Q117" s="1247">
        <v>1</v>
      </c>
      <c r="R117" s="1239">
        <v>10800</v>
      </c>
      <c r="S117" s="1239">
        <v>7.8573333333333331</v>
      </c>
      <c r="T117" s="1239"/>
      <c r="U117" s="882"/>
      <c r="V117" s="1247">
        <v>1</v>
      </c>
      <c r="W117" s="1239">
        <v>10800</v>
      </c>
      <c r="X117" s="1239">
        <v>7.8573333333333331</v>
      </c>
      <c r="Y117" s="1239"/>
      <c r="Z117" s="882"/>
    </row>
    <row r="118" spans="2:26">
      <c r="B118" s="1367" t="s">
        <v>1137</v>
      </c>
      <c r="C118" s="1247"/>
      <c r="D118" s="1239"/>
      <c r="E118" s="1239"/>
      <c r="F118" s="882"/>
      <c r="G118" s="1239"/>
      <c r="H118" s="1239"/>
      <c r="I118" s="1239"/>
      <c r="J118" s="1239"/>
      <c r="K118" s="1239"/>
      <c r="L118" s="1247">
        <v>0</v>
      </c>
      <c r="M118" s="1239">
        <v>0</v>
      </c>
      <c r="N118" s="1239">
        <v>0</v>
      </c>
      <c r="O118" s="1239"/>
      <c r="P118" s="882">
        <f t="shared" si="4"/>
        <v>0</v>
      </c>
      <c r="Q118" s="1247">
        <v>0</v>
      </c>
      <c r="R118" s="1239">
        <v>0</v>
      </c>
      <c r="S118" s="1239">
        <v>0</v>
      </c>
      <c r="T118" s="1239"/>
      <c r="U118" s="882">
        <f t="shared" si="5"/>
        <v>0</v>
      </c>
      <c r="V118" s="1247">
        <v>0</v>
      </c>
      <c r="W118" s="1239">
        <v>0</v>
      </c>
      <c r="X118" s="1239">
        <v>0</v>
      </c>
      <c r="Y118" s="1239"/>
      <c r="Z118" s="882">
        <f t="shared" si="6"/>
        <v>0</v>
      </c>
    </row>
    <row r="119" spans="2:26">
      <c r="B119" s="1378" t="s">
        <v>1138</v>
      </c>
      <c r="C119" s="1247">
        <v>26</v>
      </c>
      <c r="D119" s="1239">
        <v>23977</v>
      </c>
      <c r="E119" s="1239">
        <v>212.66</v>
      </c>
      <c r="F119" s="882">
        <f t="shared" si="7"/>
        <v>1.012480948732642</v>
      </c>
      <c r="G119" s="1239"/>
      <c r="H119" s="1239"/>
      <c r="I119" s="1239"/>
      <c r="J119" s="1239"/>
      <c r="K119" s="1239"/>
      <c r="L119" s="1247">
        <v>40</v>
      </c>
      <c r="M119" s="1239">
        <v>38184</v>
      </c>
      <c r="N119" s="1239">
        <v>155.06</v>
      </c>
      <c r="O119" s="1239"/>
      <c r="P119" s="882">
        <f t="shared" si="4"/>
        <v>0.56951829095442907</v>
      </c>
      <c r="Q119" s="1247">
        <v>40.4</v>
      </c>
      <c r="R119" s="1239">
        <v>38565.840000000004</v>
      </c>
      <c r="S119" s="1239">
        <v>158.16120000000001</v>
      </c>
      <c r="T119" s="1239"/>
      <c r="U119" s="882">
        <f t="shared" si="5"/>
        <v>0.57736206116797106</v>
      </c>
      <c r="V119" s="1247">
        <v>40.804000000000002</v>
      </c>
      <c r="W119" s="1239">
        <v>38951.498400000004</v>
      </c>
      <c r="X119" s="1239">
        <v>159.74281200000001</v>
      </c>
      <c r="Y119" s="1239"/>
      <c r="Z119" s="882">
        <f t="shared" si="6"/>
        <v>0.47048779533219387</v>
      </c>
    </row>
    <row r="120" spans="2:26">
      <c r="B120" s="1378" t="s">
        <v>1139</v>
      </c>
      <c r="C120" s="1247">
        <v>6</v>
      </c>
      <c r="D120" s="1239">
        <v>115269</v>
      </c>
      <c r="E120" s="1239">
        <v>269</v>
      </c>
      <c r="F120" s="882">
        <f t="shared" si="7"/>
        <v>0.26640087583893002</v>
      </c>
      <c r="G120" s="1239"/>
      <c r="H120" s="1239"/>
      <c r="I120" s="1239"/>
      <c r="J120" s="1239"/>
      <c r="K120" s="1239"/>
      <c r="L120" s="1247">
        <v>17</v>
      </c>
      <c r="M120" s="1239">
        <v>90950</v>
      </c>
      <c r="N120" s="1239">
        <v>321.11899999999997</v>
      </c>
      <c r="O120" s="1239"/>
      <c r="P120" s="882">
        <f t="shared" si="4"/>
        <v>0.35551932742690245</v>
      </c>
      <c r="Q120" s="1247">
        <v>17.170000000000002</v>
      </c>
      <c r="R120" s="1239">
        <v>91859.5</v>
      </c>
      <c r="S120" s="1239">
        <v>327.54138</v>
      </c>
      <c r="T120" s="1239"/>
      <c r="U120" s="882">
        <f t="shared" si="5"/>
        <v>0.36103740907842891</v>
      </c>
      <c r="V120" s="1247">
        <v>17.341700000000003</v>
      </c>
      <c r="W120" s="1239">
        <v>92778.095000000001</v>
      </c>
      <c r="X120" s="1239">
        <v>330.81679380000003</v>
      </c>
      <c r="Y120" s="1239"/>
      <c r="Z120" s="882">
        <f t="shared" si="6"/>
        <v>0.40906592374193562</v>
      </c>
    </row>
    <row r="121" spans="2:26">
      <c r="B121" s="1378" t="s">
        <v>1140</v>
      </c>
      <c r="C121" s="1247">
        <v>0</v>
      </c>
      <c r="D121" s="1239">
        <v>0</v>
      </c>
      <c r="E121" s="1239">
        <v>0</v>
      </c>
      <c r="F121" s="882">
        <f t="shared" si="7"/>
        <v>0</v>
      </c>
      <c r="G121" s="1239"/>
      <c r="H121" s="1239"/>
      <c r="I121" s="1239"/>
      <c r="J121" s="1239"/>
      <c r="K121" s="1239"/>
      <c r="L121" s="1247">
        <v>0</v>
      </c>
      <c r="M121" s="1239">
        <v>0</v>
      </c>
      <c r="N121" s="1239">
        <v>0</v>
      </c>
      <c r="O121" s="1239"/>
      <c r="P121" s="882">
        <f t="shared" si="4"/>
        <v>0</v>
      </c>
      <c r="Q121" s="1247">
        <v>0</v>
      </c>
      <c r="R121" s="1239">
        <v>0</v>
      </c>
      <c r="S121" s="1239">
        <v>0</v>
      </c>
      <c r="T121" s="1239"/>
      <c r="U121" s="882">
        <f t="shared" si="5"/>
        <v>0</v>
      </c>
      <c r="V121" s="1247">
        <v>0</v>
      </c>
      <c r="W121" s="1239">
        <v>0</v>
      </c>
      <c r="X121" s="1239">
        <v>0</v>
      </c>
      <c r="Y121" s="1239"/>
      <c r="Z121" s="882">
        <f t="shared" si="6"/>
        <v>0</v>
      </c>
    </row>
    <row r="122" spans="2:26">
      <c r="B122" s="1369" t="s">
        <v>1425</v>
      </c>
      <c r="C122" s="1247">
        <v>32</v>
      </c>
      <c r="D122" s="1239">
        <v>139246</v>
      </c>
      <c r="E122" s="1239">
        <v>481.65999999999997</v>
      </c>
      <c r="F122" s="822">
        <f t="shared" si="7"/>
        <v>0.39486964268158642</v>
      </c>
      <c r="G122" s="1239"/>
      <c r="H122" s="1239"/>
      <c r="I122" s="1239"/>
      <c r="J122" s="1239"/>
      <c r="K122" s="1239"/>
      <c r="L122" s="1247">
        <v>57</v>
      </c>
      <c r="M122" s="1239">
        <v>129134</v>
      </c>
      <c r="N122" s="1239">
        <v>476.17899999999997</v>
      </c>
      <c r="O122" s="1239"/>
      <c r="P122" s="882">
        <f t="shared" si="4"/>
        <v>0.40508482996745904</v>
      </c>
      <c r="Q122" s="1247">
        <v>57.57</v>
      </c>
      <c r="R122" s="1239">
        <v>130425.34</v>
      </c>
      <c r="S122" s="1239">
        <v>485.70258000000001</v>
      </c>
      <c r="T122" s="1239"/>
      <c r="U122" s="882">
        <f t="shared" si="5"/>
        <v>0.41120795409701311</v>
      </c>
      <c r="V122" s="1247">
        <v>58.145700000000005</v>
      </c>
      <c r="W122" s="1239">
        <v>131729.59340000001</v>
      </c>
      <c r="X122" s="1239">
        <v>490.55960580000004</v>
      </c>
      <c r="Y122" s="1239"/>
      <c r="Z122" s="882">
        <f t="shared" si="6"/>
        <v>0.42722793177082369</v>
      </c>
    </row>
    <row r="123" spans="2:26">
      <c r="B123" s="1369" t="s">
        <v>1446</v>
      </c>
      <c r="C123" s="1247"/>
      <c r="D123" s="956"/>
      <c r="E123" s="956"/>
      <c r="F123" s="822"/>
      <c r="G123" s="1239"/>
      <c r="H123" s="1239"/>
      <c r="I123" s="1239"/>
      <c r="J123" s="1239"/>
      <c r="K123" s="1239"/>
      <c r="L123" s="1247">
        <v>57</v>
      </c>
      <c r="M123" s="1239">
        <v>129134</v>
      </c>
      <c r="N123" s="1239">
        <v>476.17899999999997</v>
      </c>
      <c r="O123" s="1239"/>
      <c r="P123" s="882"/>
      <c r="Q123" s="1247">
        <v>57.57</v>
      </c>
      <c r="R123" s="1239">
        <v>130425.34</v>
      </c>
      <c r="S123" s="1239">
        <v>485.70258000000001</v>
      </c>
      <c r="T123" s="1239"/>
      <c r="U123" s="882"/>
      <c r="V123" s="1247">
        <v>58.145700000000005</v>
      </c>
      <c r="W123" s="1239">
        <v>131729.59340000001</v>
      </c>
      <c r="X123" s="1239">
        <v>490.55960580000004</v>
      </c>
      <c r="Y123" s="1239"/>
      <c r="Z123" s="882"/>
    </row>
    <row r="124" spans="2:26">
      <c r="B124" s="1367" t="s">
        <v>1143</v>
      </c>
      <c r="C124" s="1247">
        <v>0</v>
      </c>
      <c r="D124" s="1239">
        <v>0</v>
      </c>
      <c r="E124" s="1239">
        <v>0</v>
      </c>
      <c r="F124" s="882">
        <f t="shared" si="7"/>
        <v>0</v>
      </c>
      <c r="G124" s="1239"/>
      <c r="H124" s="1239"/>
      <c r="I124" s="1239"/>
      <c r="J124" s="1239"/>
      <c r="K124" s="1239"/>
      <c r="L124" s="1247">
        <v>0</v>
      </c>
      <c r="M124" s="1239">
        <v>0</v>
      </c>
      <c r="N124" s="1239">
        <v>0</v>
      </c>
      <c r="O124" s="1239"/>
      <c r="P124" s="882">
        <f t="shared" si="4"/>
        <v>0</v>
      </c>
      <c r="Q124" s="1247">
        <v>0</v>
      </c>
      <c r="R124" s="1239">
        <v>0</v>
      </c>
      <c r="S124" s="1239">
        <v>0</v>
      </c>
      <c r="T124" s="1239"/>
      <c r="U124" s="882">
        <f t="shared" si="5"/>
        <v>0</v>
      </c>
      <c r="V124" s="1247">
        <v>0</v>
      </c>
      <c r="W124" s="1239">
        <v>0</v>
      </c>
      <c r="X124" s="1239">
        <v>0</v>
      </c>
      <c r="Y124" s="1239"/>
      <c r="Z124" s="882">
        <f t="shared" si="6"/>
        <v>0</v>
      </c>
    </row>
    <row r="125" spans="2:26">
      <c r="B125" s="1367" t="s">
        <v>1434</v>
      </c>
      <c r="C125" s="1247">
        <v>0</v>
      </c>
      <c r="D125" s="1239">
        <v>0</v>
      </c>
      <c r="E125" s="1239">
        <v>0</v>
      </c>
      <c r="F125" s="882">
        <f t="shared" si="7"/>
        <v>0</v>
      </c>
      <c r="G125" s="1239"/>
      <c r="H125" s="1239"/>
      <c r="I125" s="1239"/>
      <c r="J125" s="1239"/>
      <c r="K125" s="1239"/>
      <c r="L125" s="1247">
        <v>1</v>
      </c>
      <c r="M125" s="1239">
        <v>410</v>
      </c>
      <c r="N125" s="1239">
        <v>2.8090000000000002</v>
      </c>
      <c r="O125" s="1239"/>
      <c r="P125" s="882">
        <f t="shared" si="4"/>
        <v>1.5642053680810781</v>
      </c>
      <c r="Q125" s="1247">
        <v>1</v>
      </c>
      <c r="R125" s="1239">
        <v>410</v>
      </c>
      <c r="S125" s="1239">
        <v>2.8090000000000002</v>
      </c>
      <c r="T125" s="1239"/>
      <c r="U125" s="882">
        <f t="shared" si="5"/>
        <v>1.5642053680810781</v>
      </c>
      <c r="V125" s="1247">
        <v>1</v>
      </c>
      <c r="W125" s="1239">
        <v>410</v>
      </c>
      <c r="X125" s="1239">
        <v>2.8090000000000002</v>
      </c>
      <c r="Y125" s="1239"/>
      <c r="Z125" s="882">
        <f t="shared" si="6"/>
        <v>0.78210268404053906</v>
      </c>
    </row>
    <row r="126" spans="2:26">
      <c r="B126" s="1377" t="s">
        <v>126</v>
      </c>
      <c r="C126" s="1247">
        <v>8349215</v>
      </c>
      <c r="D126" s="1239">
        <v>14820683</v>
      </c>
      <c r="E126" s="1239">
        <v>21237.264024</v>
      </c>
      <c r="F126" s="822">
        <f t="shared" si="7"/>
        <v>0.16357850769894869</v>
      </c>
      <c r="G126" s="1239"/>
      <c r="H126" s="1239"/>
      <c r="I126" s="1239"/>
      <c r="J126" s="1239"/>
      <c r="K126" s="1239"/>
      <c r="L126" s="1247">
        <v>8728680</v>
      </c>
      <c r="M126" s="1239">
        <v>14351477.199999999</v>
      </c>
      <c r="N126" s="1239">
        <v>21903.081000000006</v>
      </c>
      <c r="O126" s="1239"/>
      <c r="P126" s="882">
        <f>IFERROR(N127/(AVERAGE(M127,D126)*24*365/10^6),0)</f>
        <v>0.17142040186168786</v>
      </c>
      <c r="Q126" s="1247">
        <v>8966496.7250000015</v>
      </c>
      <c r="R126" s="1239">
        <v>14620374.235840905</v>
      </c>
      <c r="S126" s="1239">
        <v>22028.439146115656</v>
      </c>
      <c r="T126" s="1239"/>
      <c r="U126" s="882">
        <f>IFERROR(S127/(AVERAGE(R127,D126)*24*365/10^6),0)</f>
        <v>0.17082688184987757</v>
      </c>
      <c r="V126" s="1247">
        <v>9428037.6161499992</v>
      </c>
      <c r="W126" s="1239">
        <v>15046611.430860184</v>
      </c>
      <c r="X126" s="1239">
        <v>22660.994932223985</v>
      </c>
      <c r="Y126" s="1239"/>
      <c r="Z126" s="882">
        <f>IFERROR(X127/(AVERAGE(W127,R127)*24*365/10^6),0)</f>
        <v>0.17439396079319525</v>
      </c>
    </row>
    <row r="127" spans="2:26">
      <c r="B127" s="1369" t="s">
        <v>1446</v>
      </c>
      <c r="C127" s="1247"/>
      <c r="D127" s="956"/>
      <c r="E127" s="1239"/>
      <c r="F127" s="1253"/>
      <c r="G127" s="1239"/>
      <c r="H127" s="1239"/>
      <c r="I127" s="1239"/>
      <c r="J127" s="1239"/>
      <c r="K127" s="1239"/>
      <c r="L127" s="1247">
        <v>8728680</v>
      </c>
      <c r="M127" s="1239">
        <v>14351477.199999999</v>
      </c>
      <c r="N127" s="1239">
        <v>21903.081000000006</v>
      </c>
      <c r="O127" s="1239"/>
      <c r="P127" s="1253"/>
      <c r="Q127" s="1247">
        <v>8966496.7250000015</v>
      </c>
      <c r="R127" s="1239">
        <v>14620374.235840905</v>
      </c>
      <c r="S127" s="1239">
        <v>22028.439146115652</v>
      </c>
      <c r="T127" s="1239"/>
      <c r="U127" s="1253"/>
      <c r="V127" s="1247">
        <v>9428037.6161499992</v>
      </c>
      <c r="W127" s="1239">
        <v>15046611.430860184</v>
      </c>
      <c r="X127" s="1239">
        <v>22660.994932223985</v>
      </c>
      <c r="Y127" s="1239"/>
      <c r="Z127" s="1253"/>
    </row>
  </sheetData>
  <mergeCells count="16">
    <mergeCell ref="A5:A8"/>
    <mergeCell ref="C7:F7"/>
    <mergeCell ref="V6:Z6"/>
    <mergeCell ref="V7:Z7"/>
    <mergeCell ref="C5:F5"/>
    <mergeCell ref="C6:F6"/>
    <mergeCell ref="G6:P6"/>
    <mergeCell ref="B5:B8"/>
    <mergeCell ref="G7:K7"/>
    <mergeCell ref="V5:Z5"/>
    <mergeCell ref="N2:U2"/>
    <mergeCell ref="Q6:U6"/>
    <mergeCell ref="Q7:U7"/>
    <mergeCell ref="L7:P7"/>
    <mergeCell ref="G5:P5"/>
    <mergeCell ref="Q5:U5"/>
  </mergeCells>
  <hyperlinks>
    <hyperlink ref="C5" r:id="rId1" display="PY@"/>
  </hyperlinks>
  <printOptions horizontalCentered="1"/>
  <pageMargins left="0.19685039370078741" right="0.19685039370078741" top="0.19685039370078741" bottom="0.19685039370078741" header="0.19685039370078741" footer="0.19685039370078741"/>
  <pageSetup paperSize="9" scale="49" orientation="landscape" r:id="rId2"/>
  <colBreaks count="1" manualBreakCount="1">
    <brk id="16" max="12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8"/>
  <sheetViews>
    <sheetView view="pageBreakPreview" zoomScale="80" zoomScaleSheetLayoutView="80" workbookViewId="0">
      <pane xSplit="2" ySplit="9" topLeftCell="I10" activePane="bottomRight" state="frozen"/>
      <selection activeCell="C105" sqref="C105"/>
      <selection pane="topRight" activeCell="C105" sqref="C105"/>
      <selection pane="bottomLeft" activeCell="C105" sqref="C105"/>
      <selection pane="bottomRight" activeCell="C105" sqref="C105"/>
    </sheetView>
  </sheetViews>
  <sheetFormatPr defaultRowHeight="14.5"/>
  <cols>
    <col min="1" max="1" width="3.81640625" style="229" customWidth="1"/>
    <col min="2" max="2" width="50.81640625" style="229" bestFit="1" customWidth="1"/>
    <col min="3" max="4" width="11.26953125" style="229" bestFit="1" customWidth="1"/>
    <col min="5" max="5" width="10.453125" style="229" bestFit="1" customWidth="1"/>
    <col min="6" max="6" width="11.26953125" style="229" bestFit="1" customWidth="1"/>
    <col min="7" max="7" width="14" style="229" bestFit="1" customWidth="1"/>
    <col min="8" max="8" width="10.453125" style="229" bestFit="1" customWidth="1"/>
    <col min="9" max="10" width="11.26953125" style="229" bestFit="1" customWidth="1"/>
    <col min="11" max="11" width="10.453125" style="229" bestFit="1" customWidth="1"/>
    <col min="12" max="12" width="11.26953125" style="229" bestFit="1" customWidth="1"/>
    <col min="13" max="13" width="13" style="229" bestFit="1" customWidth="1"/>
    <col min="14" max="14" width="10.453125" style="229" bestFit="1" customWidth="1"/>
    <col min="15" max="15" width="11.26953125" style="229" bestFit="1" customWidth="1"/>
    <col min="16" max="16" width="13" style="229" bestFit="1" customWidth="1"/>
    <col min="17" max="17" width="10.453125" style="229" bestFit="1" customWidth="1"/>
    <col min="18" max="18" width="11.26953125" style="229" bestFit="1" customWidth="1"/>
    <col min="19" max="19" width="13" style="229" bestFit="1" customWidth="1"/>
    <col min="20" max="20" width="10.453125" style="229" bestFit="1" customWidth="1"/>
    <col min="21" max="21" width="12.81640625" style="229" bestFit="1" customWidth="1"/>
    <col min="22" max="22" width="14.54296875" style="696" bestFit="1" customWidth="1"/>
    <col min="23" max="23" width="11.26953125" style="696" bestFit="1" customWidth="1"/>
    <col min="24" max="24" width="9.26953125" style="229" customWidth="1"/>
    <col min="25" max="25" width="10.26953125" style="229" customWidth="1"/>
    <col min="26" max="26" width="8.81640625" style="229" bestFit="1" customWidth="1"/>
    <col min="27" max="27" width="33.81640625" style="229" customWidth="1"/>
    <col min="28" max="246" width="9.1796875" style="229"/>
    <col min="247" max="247" width="3.81640625" style="229" customWidth="1"/>
    <col min="248" max="248" width="44.81640625" style="229" customWidth="1"/>
    <col min="249" max="250" width="0" style="229" hidden="1" customWidth="1"/>
    <col min="251" max="251" width="9.7265625" style="229" customWidth="1"/>
    <col min="252" max="252" width="10.81640625" style="229" customWidth="1"/>
    <col min="253" max="253" width="12.81640625" style="229" customWidth="1"/>
    <col min="254" max="254" width="10.1796875" style="229" customWidth="1"/>
    <col min="255" max="255" width="10.81640625" style="229" customWidth="1"/>
    <col min="256" max="256" width="12" style="229" customWidth="1"/>
    <col min="257" max="257" width="8.1796875" style="229" customWidth="1"/>
    <col min="258" max="258" width="12.1796875" style="229" customWidth="1"/>
    <col min="259" max="259" width="12.453125" style="229" customWidth="1"/>
    <col min="260" max="260" width="8.1796875" style="229" customWidth="1"/>
    <col min="261" max="261" width="11.453125" style="229" customWidth="1"/>
    <col min="262" max="262" width="13" style="229" customWidth="1"/>
    <col min="263" max="263" width="8" style="229" customWidth="1"/>
    <col min="264" max="264" width="12.1796875" style="229" customWidth="1"/>
    <col min="265" max="265" width="12.453125" style="229" customWidth="1"/>
    <col min="266" max="266" width="9.26953125" style="229" customWidth="1"/>
    <col min="267" max="267" width="11.453125" style="229" customWidth="1"/>
    <col min="268" max="268" width="12.54296875" style="229" customWidth="1"/>
    <col min="269" max="269" width="10.26953125" style="229" customWidth="1"/>
    <col min="270" max="271" width="12" style="229" bestFit="1" customWidth="1"/>
    <col min="272" max="273" width="11" style="229" customWidth="1"/>
    <col min="274" max="274" width="12.453125" style="229" customWidth="1"/>
    <col min="275" max="275" width="9.54296875" style="229" customWidth="1"/>
    <col min="276" max="276" width="11.1796875" style="229" customWidth="1"/>
    <col min="277" max="280" width="12" style="229" customWidth="1"/>
    <col min="281" max="281" width="9.1796875" style="229"/>
    <col min="282" max="282" width="20.26953125" style="229" customWidth="1"/>
    <col min="283" max="283" width="33.81640625" style="229" customWidth="1"/>
    <col min="284" max="502" width="9.1796875" style="229"/>
    <col min="503" max="503" width="3.81640625" style="229" customWidth="1"/>
    <col min="504" max="504" width="44.81640625" style="229" customWidth="1"/>
    <col min="505" max="506" width="0" style="229" hidden="1" customWidth="1"/>
    <col min="507" max="507" width="9.7265625" style="229" customWidth="1"/>
    <col min="508" max="508" width="10.81640625" style="229" customWidth="1"/>
    <col min="509" max="509" width="12.81640625" style="229" customWidth="1"/>
    <col min="510" max="510" width="10.1796875" style="229" customWidth="1"/>
    <col min="511" max="511" width="10.81640625" style="229" customWidth="1"/>
    <col min="512" max="512" width="12" style="229" customWidth="1"/>
    <col min="513" max="513" width="8.1796875" style="229" customWidth="1"/>
    <col min="514" max="514" width="12.1796875" style="229" customWidth="1"/>
    <col min="515" max="515" width="12.453125" style="229" customWidth="1"/>
    <col min="516" max="516" width="8.1796875" style="229" customWidth="1"/>
    <col min="517" max="517" width="11.453125" style="229" customWidth="1"/>
    <col min="518" max="518" width="13" style="229" customWidth="1"/>
    <col min="519" max="519" width="8" style="229" customWidth="1"/>
    <col min="520" max="520" width="12.1796875" style="229" customWidth="1"/>
    <col min="521" max="521" width="12.453125" style="229" customWidth="1"/>
    <col min="522" max="522" width="9.26953125" style="229" customWidth="1"/>
    <col min="523" max="523" width="11.453125" style="229" customWidth="1"/>
    <col min="524" max="524" width="12.54296875" style="229" customWidth="1"/>
    <col min="525" max="525" width="10.26953125" style="229" customWidth="1"/>
    <col min="526" max="527" width="12" style="229" bestFit="1" customWidth="1"/>
    <col min="528" max="529" width="11" style="229" customWidth="1"/>
    <col min="530" max="530" width="12.453125" style="229" customWidth="1"/>
    <col min="531" max="531" width="9.54296875" style="229" customWidth="1"/>
    <col min="532" max="532" width="11.1796875" style="229" customWidth="1"/>
    <col min="533" max="536" width="12" style="229" customWidth="1"/>
    <col min="537" max="537" width="9.1796875" style="229"/>
    <col min="538" max="538" width="20.26953125" style="229" customWidth="1"/>
    <col min="539" max="539" width="33.81640625" style="229" customWidth="1"/>
    <col min="540" max="758" width="9.1796875" style="229"/>
    <col min="759" max="759" width="3.81640625" style="229" customWidth="1"/>
    <col min="760" max="760" width="44.81640625" style="229" customWidth="1"/>
    <col min="761" max="762" width="0" style="229" hidden="1" customWidth="1"/>
    <col min="763" max="763" width="9.7265625" style="229" customWidth="1"/>
    <col min="764" max="764" width="10.81640625" style="229" customWidth="1"/>
    <col min="765" max="765" width="12.81640625" style="229" customWidth="1"/>
    <col min="766" max="766" width="10.1796875" style="229" customWidth="1"/>
    <col min="767" max="767" width="10.81640625" style="229" customWidth="1"/>
    <col min="768" max="768" width="12" style="229" customWidth="1"/>
    <col min="769" max="769" width="8.1796875" style="229" customWidth="1"/>
    <col min="770" max="770" width="12.1796875" style="229" customWidth="1"/>
    <col min="771" max="771" width="12.453125" style="229" customWidth="1"/>
    <col min="772" max="772" width="8.1796875" style="229" customWidth="1"/>
    <col min="773" max="773" width="11.453125" style="229" customWidth="1"/>
    <col min="774" max="774" width="13" style="229" customWidth="1"/>
    <col min="775" max="775" width="8" style="229" customWidth="1"/>
    <col min="776" max="776" width="12.1796875" style="229" customWidth="1"/>
    <col min="777" max="777" width="12.453125" style="229" customWidth="1"/>
    <col min="778" max="778" width="9.26953125" style="229" customWidth="1"/>
    <col min="779" max="779" width="11.453125" style="229" customWidth="1"/>
    <col min="780" max="780" width="12.54296875" style="229" customWidth="1"/>
    <col min="781" max="781" width="10.26953125" style="229" customWidth="1"/>
    <col min="782" max="783" width="12" style="229" bestFit="1" customWidth="1"/>
    <col min="784" max="785" width="11" style="229" customWidth="1"/>
    <col min="786" max="786" width="12.453125" style="229" customWidth="1"/>
    <col min="787" max="787" width="9.54296875" style="229" customWidth="1"/>
    <col min="788" max="788" width="11.1796875" style="229" customWidth="1"/>
    <col min="789" max="792" width="12" style="229" customWidth="1"/>
    <col min="793" max="793" width="9.1796875" style="229"/>
    <col min="794" max="794" width="20.26953125" style="229" customWidth="1"/>
    <col min="795" max="795" width="33.81640625" style="229" customWidth="1"/>
    <col min="796" max="1014" width="9.1796875" style="229"/>
    <col min="1015" max="1015" width="3.81640625" style="229" customWidth="1"/>
    <col min="1016" max="1016" width="44.81640625" style="229" customWidth="1"/>
    <col min="1017" max="1018" width="0" style="229" hidden="1" customWidth="1"/>
    <col min="1019" max="1019" width="9.7265625" style="229" customWidth="1"/>
    <col min="1020" max="1020" width="10.81640625" style="229" customWidth="1"/>
    <col min="1021" max="1021" width="12.81640625" style="229" customWidth="1"/>
    <col min="1022" max="1022" width="10.1796875" style="229" customWidth="1"/>
    <col min="1023" max="1023" width="10.81640625" style="229" customWidth="1"/>
    <col min="1024" max="1024" width="12" style="229" customWidth="1"/>
    <col min="1025" max="1025" width="8.1796875" style="229" customWidth="1"/>
    <col min="1026" max="1026" width="12.1796875" style="229" customWidth="1"/>
    <col min="1027" max="1027" width="12.453125" style="229" customWidth="1"/>
    <col min="1028" max="1028" width="8.1796875" style="229" customWidth="1"/>
    <col min="1029" max="1029" width="11.453125" style="229" customWidth="1"/>
    <col min="1030" max="1030" width="13" style="229" customWidth="1"/>
    <col min="1031" max="1031" width="8" style="229" customWidth="1"/>
    <col min="1032" max="1032" width="12.1796875" style="229" customWidth="1"/>
    <col min="1033" max="1033" width="12.453125" style="229" customWidth="1"/>
    <col min="1034" max="1034" width="9.26953125" style="229" customWidth="1"/>
    <col min="1035" max="1035" width="11.453125" style="229" customWidth="1"/>
    <col min="1036" max="1036" width="12.54296875" style="229" customWidth="1"/>
    <col min="1037" max="1037" width="10.26953125" style="229" customWidth="1"/>
    <col min="1038" max="1039" width="12" style="229" bestFit="1" customWidth="1"/>
    <col min="1040" max="1041" width="11" style="229" customWidth="1"/>
    <col min="1042" max="1042" width="12.453125" style="229" customWidth="1"/>
    <col min="1043" max="1043" width="9.54296875" style="229" customWidth="1"/>
    <col min="1044" max="1044" width="11.1796875" style="229" customWidth="1"/>
    <col min="1045" max="1048" width="12" style="229" customWidth="1"/>
    <col min="1049" max="1049" width="9.1796875" style="229"/>
    <col min="1050" max="1050" width="20.26953125" style="229" customWidth="1"/>
    <col min="1051" max="1051" width="33.81640625" style="229" customWidth="1"/>
    <col min="1052" max="1270" width="9.1796875" style="229"/>
    <col min="1271" max="1271" width="3.81640625" style="229" customWidth="1"/>
    <col min="1272" max="1272" width="44.81640625" style="229" customWidth="1"/>
    <col min="1273" max="1274" width="0" style="229" hidden="1" customWidth="1"/>
    <col min="1275" max="1275" width="9.7265625" style="229" customWidth="1"/>
    <col min="1276" max="1276" width="10.81640625" style="229" customWidth="1"/>
    <col min="1277" max="1277" width="12.81640625" style="229" customWidth="1"/>
    <col min="1278" max="1278" width="10.1796875" style="229" customWidth="1"/>
    <col min="1279" max="1279" width="10.81640625" style="229" customWidth="1"/>
    <col min="1280" max="1280" width="12" style="229" customWidth="1"/>
    <col min="1281" max="1281" width="8.1796875" style="229" customWidth="1"/>
    <col min="1282" max="1282" width="12.1796875" style="229" customWidth="1"/>
    <col min="1283" max="1283" width="12.453125" style="229" customWidth="1"/>
    <col min="1284" max="1284" width="8.1796875" style="229" customWidth="1"/>
    <col min="1285" max="1285" width="11.453125" style="229" customWidth="1"/>
    <col min="1286" max="1286" width="13" style="229" customWidth="1"/>
    <col min="1287" max="1287" width="8" style="229" customWidth="1"/>
    <col min="1288" max="1288" width="12.1796875" style="229" customWidth="1"/>
    <col min="1289" max="1289" width="12.453125" style="229" customWidth="1"/>
    <col min="1290" max="1290" width="9.26953125" style="229" customWidth="1"/>
    <col min="1291" max="1291" width="11.453125" style="229" customWidth="1"/>
    <col min="1292" max="1292" width="12.54296875" style="229" customWidth="1"/>
    <col min="1293" max="1293" width="10.26953125" style="229" customWidth="1"/>
    <col min="1294" max="1295" width="12" style="229" bestFit="1" customWidth="1"/>
    <col min="1296" max="1297" width="11" style="229" customWidth="1"/>
    <col min="1298" max="1298" width="12.453125" style="229" customWidth="1"/>
    <col min="1299" max="1299" width="9.54296875" style="229" customWidth="1"/>
    <col min="1300" max="1300" width="11.1796875" style="229" customWidth="1"/>
    <col min="1301" max="1304" width="12" style="229" customWidth="1"/>
    <col min="1305" max="1305" width="9.1796875" style="229"/>
    <col min="1306" max="1306" width="20.26953125" style="229" customWidth="1"/>
    <col min="1307" max="1307" width="33.81640625" style="229" customWidth="1"/>
    <col min="1308" max="1526" width="9.1796875" style="229"/>
    <col min="1527" max="1527" width="3.81640625" style="229" customWidth="1"/>
    <col min="1528" max="1528" width="44.81640625" style="229" customWidth="1"/>
    <col min="1529" max="1530" width="0" style="229" hidden="1" customWidth="1"/>
    <col min="1531" max="1531" width="9.7265625" style="229" customWidth="1"/>
    <col min="1532" max="1532" width="10.81640625" style="229" customWidth="1"/>
    <col min="1533" max="1533" width="12.81640625" style="229" customWidth="1"/>
    <col min="1534" max="1534" width="10.1796875" style="229" customWidth="1"/>
    <col min="1535" max="1535" width="10.81640625" style="229" customWidth="1"/>
    <col min="1536" max="1536" width="12" style="229" customWidth="1"/>
    <col min="1537" max="1537" width="8.1796875" style="229" customWidth="1"/>
    <col min="1538" max="1538" width="12.1796875" style="229" customWidth="1"/>
    <col min="1539" max="1539" width="12.453125" style="229" customWidth="1"/>
    <col min="1540" max="1540" width="8.1796875" style="229" customWidth="1"/>
    <col min="1541" max="1541" width="11.453125" style="229" customWidth="1"/>
    <col min="1542" max="1542" width="13" style="229" customWidth="1"/>
    <col min="1543" max="1543" width="8" style="229" customWidth="1"/>
    <col min="1544" max="1544" width="12.1796875" style="229" customWidth="1"/>
    <col min="1545" max="1545" width="12.453125" style="229" customWidth="1"/>
    <col min="1546" max="1546" width="9.26953125" style="229" customWidth="1"/>
    <col min="1547" max="1547" width="11.453125" style="229" customWidth="1"/>
    <col min="1548" max="1548" width="12.54296875" style="229" customWidth="1"/>
    <col min="1549" max="1549" width="10.26953125" style="229" customWidth="1"/>
    <col min="1550" max="1551" width="12" style="229" bestFit="1" customWidth="1"/>
    <col min="1552" max="1553" width="11" style="229" customWidth="1"/>
    <col min="1554" max="1554" width="12.453125" style="229" customWidth="1"/>
    <col min="1555" max="1555" width="9.54296875" style="229" customWidth="1"/>
    <col min="1556" max="1556" width="11.1796875" style="229" customWidth="1"/>
    <col min="1557" max="1560" width="12" style="229" customWidth="1"/>
    <col min="1561" max="1561" width="9.1796875" style="229"/>
    <col min="1562" max="1562" width="20.26953125" style="229" customWidth="1"/>
    <col min="1563" max="1563" width="33.81640625" style="229" customWidth="1"/>
    <col min="1564" max="1782" width="9.1796875" style="229"/>
    <col min="1783" max="1783" width="3.81640625" style="229" customWidth="1"/>
    <col min="1784" max="1784" width="44.81640625" style="229" customWidth="1"/>
    <col min="1785" max="1786" width="0" style="229" hidden="1" customWidth="1"/>
    <col min="1787" max="1787" width="9.7265625" style="229" customWidth="1"/>
    <col min="1788" max="1788" width="10.81640625" style="229" customWidth="1"/>
    <col min="1789" max="1789" width="12.81640625" style="229" customWidth="1"/>
    <col min="1790" max="1790" width="10.1796875" style="229" customWidth="1"/>
    <col min="1791" max="1791" width="10.81640625" style="229" customWidth="1"/>
    <col min="1792" max="1792" width="12" style="229" customWidth="1"/>
    <col min="1793" max="1793" width="8.1796875" style="229" customWidth="1"/>
    <col min="1794" max="1794" width="12.1796875" style="229" customWidth="1"/>
    <col min="1795" max="1795" width="12.453125" style="229" customWidth="1"/>
    <col min="1796" max="1796" width="8.1796875" style="229" customWidth="1"/>
    <col min="1797" max="1797" width="11.453125" style="229" customWidth="1"/>
    <col min="1798" max="1798" width="13" style="229" customWidth="1"/>
    <col min="1799" max="1799" width="8" style="229" customWidth="1"/>
    <col min="1800" max="1800" width="12.1796875" style="229" customWidth="1"/>
    <col min="1801" max="1801" width="12.453125" style="229" customWidth="1"/>
    <col min="1802" max="1802" width="9.26953125" style="229" customWidth="1"/>
    <col min="1803" max="1803" width="11.453125" style="229" customWidth="1"/>
    <col min="1804" max="1804" width="12.54296875" style="229" customWidth="1"/>
    <col min="1805" max="1805" width="10.26953125" style="229" customWidth="1"/>
    <col min="1806" max="1807" width="12" style="229" bestFit="1" customWidth="1"/>
    <col min="1808" max="1809" width="11" style="229" customWidth="1"/>
    <col min="1810" max="1810" width="12.453125" style="229" customWidth="1"/>
    <col min="1811" max="1811" width="9.54296875" style="229" customWidth="1"/>
    <col min="1812" max="1812" width="11.1796875" style="229" customWidth="1"/>
    <col min="1813" max="1816" width="12" style="229" customWidth="1"/>
    <col min="1817" max="1817" width="9.1796875" style="229"/>
    <col min="1818" max="1818" width="20.26953125" style="229" customWidth="1"/>
    <col min="1819" max="1819" width="33.81640625" style="229" customWidth="1"/>
    <col min="1820" max="2038" width="9.1796875" style="229"/>
    <col min="2039" max="2039" width="3.81640625" style="229" customWidth="1"/>
    <col min="2040" max="2040" width="44.81640625" style="229" customWidth="1"/>
    <col min="2041" max="2042" width="0" style="229" hidden="1" customWidth="1"/>
    <col min="2043" max="2043" width="9.7265625" style="229" customWidth="1"/>
    <col min="2044" max="2044" width="10.81640625" style="229" customWidth="1"/>
    <col min="2045" max="2045" width="12.81640625" style="229" customWidth="1"/>
    <col min="2046" max="2046" width="10.1796875" style="229" customWidth="1"/>
    <col min="2047" max="2047" width="10.81640625" style="229" customWidth="1"/>
    <col min="2048" max="2048" width="12" style="229" customWidth="1"/>
    <col min="2049" max="2049" width="8.1796875" style="229" customWidth="1"/>
    <col min="2050" max="2050" width="12.1796875" style="229" customWidth="1"/>
    <col min="2051" max="2051" width="12.453125" style="229" customWidth="1"/>
    <col min="2052" max="2052" width="8.1796875" style="229" customWidth="1"/>
    <col min="2053" max="2053" width="11.453125" style="229" customWidth="1"/>
    <col min="2054" max="2054" width="13" style="229" customWidth="1"/>
    <col min="2055" max="2055" width="8" style="229" customWidth="1"/>
    <col min="2056" max="2056" width="12.1796875" style="229" customWidth="1"/>
    <col min="2057" max="2057" width="12.453125" style="229" customWidth="1"/>
    <col min="2058" max="2058" width="9.26953125" style="229" customWidth="1"/>
    <col min="2059" max="2059" width="11.453125" style="229" customWidth="1"/>
    <col min="2060" max="2060" width="12.54296875" style="229" customWidth="1"/>
    <col min="2061" max="2061" width="10.26953125" style="229" customWidth="1"/>
    <col min="2062" max="2063" width="12" style="229" bestFit="1" customWidth="1"/>
    <col min="2064" max="2065" width="11" style="229" customWidth="1"/>
    <col min="2066" max="2066" width="12.453125" style="229" customWidth="1"/>
    <col min="2067" max="2067" width="9.54296875" style="229" customWidth="1"/>
    <col min="2068" max="2068" width="11.1796875" style="229" customWidth="1"/>
    <col min="2069" max="2072" width="12" style="229" customWidth="1"/>
    <col min="2073" max="2073" width="9.1796875" style="229"/>
    <col min="2074" max="2074" width="20.26953125" style="229" customWidth="1"/>
    <col min="2075" max="2075" width="33.81640625" style="229" customWidth="1"/>
    <col min="2076" max="2294" width="9.1796875" style="229"/>
    <col min="2295" max="2295" width="3.81640625" style="229" customWidth="1"/>
    <col min="2296" max="2296" width="44.81640625" style="229" customWidth="1"/>
    <col min="2297" max="2298" width="0" style="229" hidden="1" customWidth="1"/>
    <col min="2299" max="2299" width="9.7265625" style="229" customWidth="1"/>
    <col min="2300" max="2300" width="10.81640625" style="229" customWidth="1"/>
    <col min="2301" max="2301" width="12.81640625" style="229" customWidth="1"/>
    <col min="2302" max="2302" width="10.1796875" style="229" customWidth="1"/>
    <col min="2303" max="2303" width="10.81640625" style="229" customWidth="1"/>
    <col min="2304" max="2304" width="12" style="229" customWidth="1"/>
    <col min="2305" max="2305" width="8.1796875" style="229" customWidth="1"/>
    <col min="2306" max="2306" width="12.1796875" style="229" customWidth="1"/>
    <col min="2307" max="2307" width="12.453125" style="229" customWidth="1"/>
    <col min="2308" max="2308" width="8.1796875" style="229" customWidth="1"/>
    <col min="2309" max="2309" width="11.453125" style="229" customWidth="1"/>
    <col min="2310" max="2310" width="13" style="229" customWidth="1"/>
    <col min="2311" max="2311" width="8" style="229" customWidth="1"/>
    <col min="2312" max="2312" width="12.1796875" style="229" customWidth="1"/>
    <col min="2313" max="2313" width="12.453125" style="229" customWidth="1"/>
    <col min="2314" max="2314" width="9.26953125" style="229" customWidth="1"/>
    <col min="2315" max="2315" width="11.453125" style="229" customWidth="1"/>
    <col min="2316" max="2316" width="12.54296875" style="229" customWidth="1"/>
    <col min="2317" max="2317" width="10.26953125" style="229" customWidth="1"/>
    <col min="2318" max="2319" width="12" style="229" bestFit="1" customWidth="1"/>
    <col min="2320" max="2321" width="11" style="229" customWidth="1"/>
    <col min="2322" max="2322" width="12.453125" style="229" customWidth="1"/>
    <col min="2323" max="2323" width="9.54296875" style="229" customWidth="1"/>
    <col min="2324" max="2324" width="11.1796875" style="229" customWidth="1"/>
    <col min="2325" max="2328" width="12" style="229" customWidth="1"/>
    <col min="2329" max="2329" width="9.1796875" style="229"/>
    <col min="2330" max="2330" width="20.26953125" style="229" customWidth="1"/>
    <col min="2331" max="2331" width="33.81640625" style="229" customWidth="1"/>
    <col min="2332" max="2550" width="9.1796875" style="229"/>
    <col min="2551" max="2551" width="3.81640625" style="229" customWidth="1"/>
    <col min="2552" max="2552" width="44.81640625" style="229" customWidth="1"/>
    <col min="2553" max="2554" width="0" style="229" hidden="1" customWidth="1"/>
    <col min="2555" max="2555" width="9.7265625" style="229" customWidth="1"/>
    <col min="2556" max="2556" width="10.81640625" style="229" customWidth="1"/>
    <col min="2557" max="2557" width="12.81640625" style="229" customWidth="1"/>
    <col min="2558" max="2558" width="10.1796875" style="229" customWidth="1"/>
    <col min="2559" max="2559" width="10.81640625" style="229" customWidth="1"/>
    <col min="2560" max="2560" width="12" style="229" customWidth="1"/>
    <col min="2561" max="2561" width="8.1796875" style="229" customWidth="1"/>
    <col min="2562" max="2562" width="12.1796875" style="229" customWidth="1"/>
    <col min="2563" max="2563" width="12.453125" style="229" customWidth="1"/>
    <col min="2564" max="2564" width="8.1796875" style="229" customWidth="1"/>
    <col min="2565" max="2565" width="11.453125" style="229" customWidth="1"/>
    <col min="2566" max="2566" width="13" style="229" customWidth="1"/>
    <col min="2567" max="2567" width="8" style="229" customWidth="1"/>
    <col min="2568" max="2568" width="12.1796875" style="229" customWidth="1"/>
    <col min="2569" max="2569" width="12.453125" style="229" customWidth="1"/>
    <col min="2570" max="2570" width="9.26953125" style="229" customWidth="1"/>
    <col min="2571" max="2571" width="11.453125" style="229" customWidth="1"/>
    <col min="2572" max="2572" width="12.54296875" style="229" customWidth="1"/>
    <col min="2573" max="2573" width="10.26953125" style="229" customWidth="1"/>
    <col min="2574" max="2575" width="12" style="229" bestFit="1" customWidth="1"/>
    <col min="2576" max="2577" width="11" style="229" customWidth="1"/>
    <col min="2578" max="2578" width="12.453125" style="229" customWidth="1"/>
    <col min="2579" max="2579" width="9.54296875" style="229" customWidth="1"/>
    <col min="2580" max="2580" width="11.1796875" style="229" customWidth="1"/>
    <col min="2581" max="2584" width="12" style="229" customWidth="1"/>
    <col min="2585" max="2585" width="9.1796875" style="229"/>
    <col min="2586" max="2586" width="20.26953125" style="229" customWidth="1"/>
    <col min="2587" max="2587" width="33.81640625" style="229" customWidth="1"/>
    <col min="2588" max="2806" width="9.1796875" style="229"/>
    <col min="2807" max="2807" width="3.81640625" style="229" customWidth="1"/>
    <col min="2808" max="2808" width="44.81640625" style="229" customWidth="1"/>
    <col min="2809" max="2810" width="0" style="229" hidden="1" customWidth="1"/>
    <col min="2811" max="2811" width="9.7265625" style="229" customWidth="1"/>
    <col min="2812" max="2812" width="10.81640625" style="229" customWidth="1"/>
    <col min="2813" max="2813" width="12.81640625" style="229" customWidth="1"/>
    <col min="2814" max="2814" width="10.1796875" style="229" customWidth="1"/>
    <col min="2815" max="2815" width="10.81640625" style="229" customWidth="1"/>
    <col min="2816" max="2816" width="12" style="229" customWidth="1"/>
    <col min="2817" max="2817" width="8.1796875" style="229" customWidth="1"/>
    <col min="2818" max="2818" width="12.1796875" style="229" customWidth="1"/>
    <col min="2819" max="2819" width="12.453125" style="229" customWidth="1"/>
    <col min="2820" max="2820" width="8.1796875" style="229" customWidth="1"/>
    <col min="2821" max="2821" width="11.453125" style="229" customWidth="1"/>
    <col min="2822" max="2822" width="13" style="229" customWidth="1"/>
    <col min="2823" max="2823" width="8" style="229" customWidth="1"/>
    <col min="2824" max="2824" width="12.1796875" style="229" customWidth="1"/>
    <col min="2825" max="2825" width="12.453125" style="229" customWidth="1"/>
    <col min="2826" max="2826" width="9.26953125" style="229" customWidth="1"/>
    <col min="2827" max="2827" width="11.453125" style="229" customWidth="1"/>
    <col min="2828" max="2828" width="12.54296875" style="229" customWidth="1"/>
    <col min="2829" max="2829" width="10.26953125" style="229" customWidth="1"/>
    <col min="2830" max="2831" width="12" style="229" bestFit="1" customWidth="1"/>
    <col min="2832" max="2833" width="11" style="229" customWidth="1"/>
    <col min="2834" max="2834" width="12.453125" style="229" customWidth="1"/>
    <col min="2835" max="2835" width="9.54296875" style="229" customWidth="1"/>
    <col min="2836" max="2836" width="11.1796875" style="229" customWidth="1"/>
    <col min="2837" max="2840" width="12" style="229" customWidth="1"/>
    <col min="2841" max="2841" width="9.1796875" style="229"/>
    <col min="2842" max="2842" width="20.26953125" style="229" customWidth="1"/>
    <col min="2843" max="2843" width="33.81640625" style="229" customWidth="1"/>
    <col min="2844" max="3062" width="9.1796875" style="229"/>
    <col min="3063" max="3063" width="3.81640625" style="229" customWidth="1"/>
    <col min="3064" max="3064" width="44.81640625" style="229" customWidth="1"/>
    <col min="3065" max="3066" width="0" style="229" hidden="1" customWidth="1"/>
    <col min="3067" max="3067" width="9.7265625" style="229" customWidth="1"/>
    <col min="3068" max="3068" width="10.81640625" style="229" customWidth="1"/>
    <col min="3069" max="3069" width="12.81640625" style="229" customWidth="1"/>
    <col min="3070" max="3070" width="10.1796875" style="229" customWidth="1"/>
    <col min="3071" max="3071" width="10.81640625" style="229" customWidth="1"/>
    <col min="3072" max="3072" width="12" style="229" customWidth="1"/>
    <col min="3073" max="3073" width="8.1796875" style="229" customWidth="1"/>
    <col min="3074" max="3074" width="12.1796875" style="229" customWidth="1"/>
    <col min="3075" max="3075" width="12.453125" style="229" customWidth="1"/>
    <col min="3076" max="3076" width="8.1796875" style="229" customWidth="1"/>
    <col min="3077" max="3077" width="11.453125" style="229" customWidth="1"/>
    <col min="3078" max="3078" width="13" style="229" customWidth="1"/>
    <col min="3079" max="3079" width="8" style="229" customWidth="1"/>
    <col min="3080" max="3080" width="12.1796875" style="229" customWidth="1"/>
    <col min="3081" max="3081" width="12.453125" style="229" customWidth="1"/>
    <col min="3082" max="3082" width="9.26953125" style="229" customWidth="1"/>
    <col min="3083" max="3083" width="11.453125" style="229" customWidth="1"/>
    <col min="3084" max="3084" width="12.54296875" style="229" customWidth="1"/>
    <col min="3085" max="3085" width="10.26953125" style="229" customWidth="1"/>
    <col min="3086" max="3087" width="12" style="229" bestFit="1" customWidth="1"/>
    <col min="3088" max="3089" width="11" style="229" customWidth="1"/>
    <col min="3090" max="3090" width="12.453125" style="229" customWidth="1"/>
    <col min="3091" max="3091" width="9.54296875" style="229" customWidth="1"/>
    <col min="3092" max="3092" width="11.1796875" style="229" customWidth="1"/>
    <col min="3093" max="3096" width="12" style="229" customWidth="1"/>
    <col min="3097" max="3097" width="9.1796875" style="229"/>
    <col min="3098" max="3098" width="20.26953125" style="229" customWidth="1"/>
    <col min="3099" max="3099" width="33.81640625" style="229" customWidth="1"/>
    <col min="3100" max="3318" width="9.1796875" style="229"/>
    <col min="3319" max="3319" width="3.81640625" style="229" customWidth="1"/>
    <col min="3320" max="3320" width="44.81640625" style="229" customWidth="1"/>
    <col min="3321" max="3322" width="0" style="229" hidden="1" customWidth="1"/>
    <col min="3323" max="3323" width="9.7265625" style="229" customWidth="1"/>
    <col min="3324" max="3324" width="10.81640625" style="229" customWidth="1"/>
    <col min="3325" max="3325" width="12.81640625" style="229" customWidth="1"/>
    <col min="3326" max="3326" width="10.1796875" style="229" customWidth="1"/>
    <col min="3327" max="3327" width="10.81640625" style="229" customWidth="1"/>
    <col min="3328" max="3328" width="12" style="229" customWidth="1"/>
    <col min="3329" max="3329" width="8.1796875" style="229" customWidth="1"/>
    <col min="3330" max="3330" width="12.1796875" style="229" customWidth="1"/>
    <col min="3331" max="3331" width="12.453125" style="229" customWidth="1"/>
    <col min="3332" max="3332" width="8.1796875" style="229" customWidth="1"/>
    <col min="3333" max="3333" width="11.453125" style="229" customWidth="1"/>
    <col min="3334" max="3334" width="13" style="229" customWidth="1"/>
    <col min="3335" max="3335" width="8" style="229" customWidth="1"/>
    <col min="3336" max="3336" width="12.1796875" style="229" customWidth="1"/>
    <col min="3337" max="3337" width="12.453125" style="229" customWidth="1"/>
    <col min="3338" max="3338" width="9.26953125" style="229" customWidth="1"/>
    <col min="3339" max="3339" width="11.453125" style="229" customWidth="1"/>
    <col min="3340" max="3340" width="12.54296875" style="229" customWidth="1"/>
    <col min="3341" max="3341" width="10.26953125" style="229" customWidth="1"/>
    <col min="3342" max="3343" width="12" style="229" bestFit="1" customWidth="1"/>
    <col min="3344" max="3345" width="11" style="229" customWidth="1"/>
    <col min="3346" max="3346" width="12.453125" style="229" customWidth="1"/>
    <col min="3347" max="3347" width="9.54296875" style="229" customWidth="1"/>
    <col min="3348" max="3348" width="11.1796875" style="229" customWidth="1"/>
    <col min="3349" max="3352" width="12" style="229" customWidth="1"/>
    <col min="3353" max="3353" width="9.1796875" style="229"/>
    <col min="3354" max="3354" width="20.26953125" style="229" customWidth="1"/>
    <col min="3355" max="3355" width="33.81640625" style="229" customWidth="1"/>
    <col min="3356" max="3574" width="9.1796875" style="229"/>
    <col min="3575" max="3575" width="3.81640625" style="229" customWidth="1"/>
    <col min="3576" max="3576" width="44.81640625" style="229" customWidth="1"/>
    <col min="3577" max="3578" width="0" style="229" hidden="1" customWidth="1"/>
    <col min="3579" max="3579" width="9.7265625" style="229" customWidth="1"/>
    <col min="3580" max="3580" width="10.81640625" style="229" customWidth="1"/>
    <col min="3581" max="3581" width="12.81640625" style="229" customWidth="1"/>
    <col min="3582" max="3582" width="10.1796875" style="229" customWidth="1"/>
    <col min="3583" max="3583" width="10.81640625" style="229" customWidth="1"/>
    <col min="3584" max="3584" width="12" style="229" customWidth="1"/>
    <col min="3585" max="3585" width="8.1796875" style="229" customWidth="1"/>
    <col min="3586" max="3586" width="12.1796875" style="229" customWidth="1"/>
    <col min="3587" max="3587" width="12.453125" style="229" customWidth="1"/>
    <col min="3588" max="3588" width="8.1796875" style="229" customWidth="1"/>
    <col min="3589" max="3589" width="11.453125" style="229" customWidth="1"/>
    <col min="3590" max="3590" width="13" style="229" customWidth="1"/>
    <col min="3591" max="3591" width="8" style="229" customWidth="1"/>
    <col min="3592" max="3592" width="12.1796875" style="229" customWidth="1"/>
    <col min="3593" max="3593" width="12.453125" style="229" customWidth="1"/>
    <col min="3594" max="3594" width="9.26953125" style="229" customWidth="1"/>
    <col min="3595" max="3595" width="11.453125" style="229" customWidth="1"/>
    <col min="3596" max="3596" width="12.54296875" style="229" customWidth="1"/>
    <col min="3597" max="3597" width="10.26953125" style="229" customWidth="1"/>
    <col min="3598" max="3599" width="12" style="229" bestFit="1" customWidth="1"/>
    <col min="3600" max="3601" width="11" style="229" customWidth="1"/>
    <col min="3602" max="3602" width="12.453125" style="229" customWidth="1"/>
    <col min="3603" max="3603" width="9.54296875" style="229" customWidth="1"/>
    <col min="3604" max="3604" width="11.1796875" style="229" customWidth="1"/>
    <col min="3605" max="3608" width="12" style="229" customWidth="1"/>
    <col min="3609" max="3609" width="9.1796875" style="229"/>
    <col min="3610" max="3610" width="20.26953125" style="229" customWidth="1"/>
    <col min="3611" max="3611" width="33.81640625" style="229" customWidth="1"/>
    <col min="3612" max="3830" width="9.1796875" style="229"/>
    <col min="3831" max="3831" width="3.81640625" style="229" customWidth="1"/>
    <col min="3832" max="3832" width="44.81640625" style="229" customWidth="1"/>
    <col min="3833" max="3834" width="0" style="229" hidden="1" customWidth="1"/>
    <col min="3835" max="3835" width="9.7265625" style="229" customWidth="1"/>
    <col min="3836" max="3836" width="10.81640625" style="229" customWidth="1"/>
    <col min="3837" max="3837" width="12.81640625" style="229" customWidth="1"/>
    <col min="3838" max="3838" width="10.1796875" style="229" customWidth="1"/>
    <col min="3839" max="3839" width="10.81640625" style="229" customWidth="1"/>
    <col min="3840" max="3840" width="12" style="229" customWidth="1"/>
    <col min="3841" max="3841" width="8.1796875" style="229" customWidth="1"/>
    <col min="3842" max="3842" width="12.1796875" style="229" customWidth="1"/>
    <col min="3843" max="3843" width="12.453125" style="229" customWidth="1"/>
    <col min="3844" max="3844" width="8.1796875" style="229" customWidth="1"/>
    <col min="3845" max="3845" width="11.453125" style="229" customWidth="1"/>
    <col min="3846" max="3846" width="13" style="229" customWidth="1"/>
    <col min="3847" max="3847" width="8" style="229" customWidth="1"/>
    <col min="3848" max="3848" width="12.1796875" style="229" customWidth="1"/>
    <col min="3849" max="3849" width="12.453125" style="229" customWidth="1"/>
    <col min="3850" max="3850" width="9.26953125" style="229" customWidth="1"/>
    <col min="3851" max="3851" width="11.453125" style="229" customWidth="1"/>
    <col min="3852" max="3852" width="12.54296875" style="229" customWidth="1"/>
    <col min="3853" max="3853" width="10.26953125" style="229" customWidth="1"/>
    <col min="3854" max="3855" width="12" style="229" bestFit="1" customWidth="1"/>
    <col min="3856" max="3857" width="11" style="229" customWidth="1"/>
    <col min="3858" max="3858" width="12.453125" style="229" customWidth="1"/>
    <col min="3859" max="3859" width="9.54296875" style="229" customWidth="1"/>
    <col min="3860" max="3860" width="11.1796875" style="229" customWidth="1"/>
    <col min="3861" max="3864" width="12" style="229" customWidth="1"/>
    <col min="3865" max="3865" width="9.1796875" style="229"/>
    <col min="3866" max="3866" width="20.26953125" style="229" customWidth="1"/>
    <col min="3867" max="3867" width="33.81640625" style="229" customWidth="1"/>
    <col min="3868" max="4086" width="9.1796875" style="229"/>
    <col min="4087" max="4087" width="3.81640625" style="229" customWidth="1"/>
    <col min="4088" max="4088" width="44.81640625" style="229" customWidth="1"/>
    <col min="4089" max="4090" width="0" style="229" hidden="1" customWidth="1"/>
    <col min="4091" max="4091" width="9.7265625" style="229" customWidth="1"/>
    <col min="4092" max="4092" width="10.81640625" style="229" customWidth="1"/>
    <col min="4093" max="4093" width="12.81640625" style="229" customWidth="1"/>
    <col min="4094" max="4094" width="10.1796875" style="229" customWidth="1"/>
    <col min="4095" max="4095" width="10.81640625" style="229" customWidth="1"/>
    <col min="4096" max="4096" width="12" style="229" customWidth="1"/>
    <col min="4097" max="4097" width="8.1796875" style="229" customWidth="1"/>
    <col min="4098" max="4098" width="12.1796875" style="229" customWidth="1"/>
    <col min="4099" max="4099" width="12.453125" style="229" customWidth="1"/>
    <col min="4100" max="4100" width="8.1796875" style="229" customWidth="1"/>
    <col min="4101" max="4101" width="11.453125" style="229" customWidth="1"/>
    <col min="4102" max="4102" width="13" style="229" customWidth="1"/>
    <col min="4103" max="4103" width="8" style="229" customWidth="1"/>
    <col min="4104" max="4104" width="12.1796875" style="229" customWidth="1"/>
    <col min="4105" max="4105" width="12.453125" style="229" customWidth="1"/>
    <col min="4106" max="4106" width="9.26953125" style="229" customWidth="1"/>
    <col min="4107" max="4107" width="11.453125" style="229" customWidth="1"/>
    <col min="4108" max="4108" width="12.54296875" style="229" customWidth="1"/>
    <col min="4109" max="4109" width="10.26953125" style="229" customWidth="1"/>
    <col min="4110" max="4111" width="12" style="229" bestFit="1" customWidth="1"/>
    <col min="4112" max="4113" width="11" style="229" customWidth="1"/>
    <col min="4114" max="4114" width="12.453125" style="229" customWidth="1"/>
    <col min="4115" max="4115" width="9.54296875" style="229" customWidth="1"/>
    <col min="4116" max="4116" width="11.1796875" style="229" customWidth="1"/>
    <col min="4117" max="4120" width="12" style="229" customWidth="1"/>
    <col min="4121" max="4121" width="9.1796875" style="229"/>
    <col min="4122" max="4122" width="20.26953125" style="229" customWidth="1"/>
    <col min="4123" max="4123" width="33.81640625" style="229" customWidth="1"/>
    <col min="4124" max="4342" width="9.1796875" style="229"/>
    <col min="4343" max="4343" width="3.81640625" style="229" customWidth="1"/>
    <col min="4344" max="4344" width="44.81640625" style="229" customWidth="1"/>
    <col min="4345" max="4346" width="0" style="229" hidden="1" customWidth="1"/>
    <col min="4347" max="4347" width="9.7265625" style="229" customWidth="1"/>
    <col min="4348" max="4348" width="10.81640625" style="229" customWidth="1"/>
    <col min="4349" max="4349" width="12.81640625" style="229" customWidth="1"/>
    <col min="4350" max="4350" width="10.1796875" style="229" customWidth="1"/>
    <col min="4351" max="4351" width="10.81640625" style="229" customWidth="1"/>
    <col min="4352" max="4352" width="12" style="229" customWidth="1"/>
    <col min="4353" max="4353" width="8.1796875" style="229" customWidth="1"/>
    <col min="4354" max="4354" width="12.1796875" style="229" customWidth="1"/>
    <col min="4355" max="4355" width="12.453125" style="229" customWidth="1"/>
    <col min="4356" max="4356" width="8.1796875" style="229" customWidth="1"/>
    <col min="4357" max="4357" width="11.453125" style="229" customWidth="1"/>
    <col min="4358" max="4358" width="13" style="229" customWidth="1"/>
    <col min="4359" max="4359" width="8" style="229" customWidth="1"/>
    <col min="4360" max="4360" width="12.1796875" style="229" customWidth="1"/>
    <col min="4361" max="4361" width="12.453125" style="229" customWidth="1"/>
    <col min="4362" max="4362" width="9.26953125" style="229" customWidth="1"/>
    <col min="4363" max="4363" width="11.453125" style="229" customWidth="1"/>
    <col min="4364" max="4364" width="12.54296875" style="229" customWidth="1"/>
    <col min="4365" max="4365" width="10.26953125" style="229" customWidth="1"/>
    <col min="4366" max="4367" width="12" style="229" bestFit="1" customWidth="1"/>
    <col min="4368" max="4369" width="11" style="229" customWidth="1"/>
    <col min="4370" max="4370" width="12.453125" style="229" customWidth="1"/>
    <col min="4371" max="4371" width="9.54296875" style="229" customWidth="1"/>
    <col min="4372" max="4372" width="11.1796875" style="229" customWidth="1"/>
    <col min="4373" max="4376" width="12" style="229" customWidth="1"/>
    <col min="4377" max="4377" width="9.1796875" style="229"/>
    <col min="4378" max="4378" width="20.26953125" style="229" customWidth="1"/>
    <col min="4379" max="4379" width="33.81640625" style="229" customWidth="1"/>
    <col min="4380" max="4598" width="9.1796875" style="229"/>
    <col min="4599" max="4599" width="3.81640625" style="229" customWidth="1"/>
    <col min="4600" max="4600" width="44.81640625" style="229" customWidth="1"/>
    <col min="4601" max="4602" width="0" style="229" hidden="1" customWidth="1"/>
    <col min="4603" max="4603" width="9.7265625" style="229" customWidth="1"/>
    <col min="4604" max="4604" width="10.81640625" style="229" customWidth="1"/>
    <col min="4605" max="4605" width="12.81640625" style="229" customWidth="1"/>
    <col min="4606" max="4606" width="10.1796875" style="229" customWidth="1"/>
    <col min="4607" max="4607" width="10.81640625" style="229" customWidth="1"/>
    <col min="4608" max="4608" width="12" style="229" customWidth="1"/>
    <col min="4609" max="4609" width="8.1796875" style="229" customWidth="1"/>
    <col min="4610" max="4610" width="12.1796875" style="229" customWidth="1"/>
    <col min="4611" max="4611" width="12.453125" style="229" customWidth="1"/>
    <col min="4612" max="4612" width="8.1796875" style="229" customWidth="1"/>
    <col min="4613" max="4613" width="11.453125" style="229" customWidth="1"/>
    <col min="4614" max="4614" width="13" style="229" customWidth="1"/>
    <col min="4615" max="4615" width="8" style="229" customWidth="1"/>
    <col min="4616" max="4616" width="12.1796875" style="229" customWidth="1"/>
    <col min="4617" max="4617" width="12.453125" style="229" customWidth="1"/>
    <col min="4618" max="4618" width="9.26953125" style="229" customWidth="1"/>
    <col min="4619" max="4619" width="11.453125" style="229" customWidth="1"/>
    <col min="4620" max="4620" width="12.54296875" style="229" customWidth="1"/>
    <col min="4621" max="4621" width="10.26953125" style="229" customWidth="1"/>
    <col min="4622" max="4623" width="12" style="229" bestFit="1" customWidth="1"/>
    <col min="4624" max="4625" width="11" style="229" customWidth="1"/>
    <col min="4626" max="4626" width="12.453125" style="229" customWidth="1"/>
    <col min="4627" max="4627" width="9.54296875" style="229" customWidth="1"/>
    <col min="4628" max="4628" width="11.1796875" style="229" customWidth="1"/>
    <col min="4629" max="4632" width="12" style="229" customWidth="1"/>
    <col min="4633" max="4633" width="9.1796875" style="229"/>
    <col min="4634" max="4634" width="20.26953125" style="229" customWidth="1"/>
    <col min="4635" max="4635" width="33.81640625" style="229" customWidth="1"/>
    <col min="4636" max="4854" width="9.1796875" style="229"/>
    <col min="4855" max="4855" width="3.81640625" style="229" customWidth="1"/>
    <col min="4856" max="4856" width="44.81640625" style="229" customWidth="1"/>
    <col min="4857" max="4858" width="0" style="229" hidden="1" customWidth="1"/>
    <col min="4859" max="4859" width="9.7265625" style="229" customWidth="1"/>
    <col min="4860" max="4860" width="10.81640625" style="229" customWidth="1"/>
    <col min="4861" max="4861" width="12.81640625" style="229" customWidth="1"/>
    <col min="4862" max="4862" width="10.1796875" style="229" customWidth="1"/>
    <col min="4863" max="4863" width="10.81640625" style="229" customWidth="1"/>
    <col min="4864" max="4864" width="12" style="229" customWidth="1"/>
    <col min="4865" max="4865" width="8.1796875" style="229" customWidth="1"/>
    <col min="4866" max="4866" width="12.1796875" style="229" customWidth="1"/>
    <col min="4867" max="4867" width="12.453125" style="229" customWidth="1"/>
    <col min="4868" max="4868" width="8.1796875" style="229" customWidth="1"/>
    <col min="4869" max="4869" width="11.453125" style="229" customWidth="1"/>
    <col min="4870" max="4870" width="13" style="229" customWidth="1"/>
    <col min="4871" max="4871" width="8" style="229" customWidth="1"/>
    <col min="4872" max="4872" width="12.1796875" style="229" customWidth="1"/>
    <col min="4873" max="4873" width="12.453125" style="229" customWidth="1"/>
    <col min="4874" max="4874" width="9.26953125" style="229" customWidth="1"/>
    <col min="4875" max="4875" width="11.453125" style="229" customWidth="1"/>
    <col min="4876" max="4876" width="12.54296875" style="229" customWidth="1"/>
    <col min="4877" max="4877" width="10.26953125" style="229" customWidth="1"/>
    <col min="4878" max="4879" width="12" style="229" bestFit="1" customWidth="1"/>
    <col min="4880" max="4881" width="11" style="229" customWidth="1"/>
    <col min="4882" max="4882" width="12.453125" style="229" customWidth="1"/>
    <col min="4883" max="4883" width="9.54296875" style="229" customWidth="1"/>
    <col min="4884" max="4884" width="11.1796875" style="229" customWidth="1"/>
    <col min="4885" max="4888" width="12" style="229" customWidth="1"/>
    <col min="4889" max="4889" width="9.1796875" style="229"/>
    <col min="4890" max="4890" width="20.26953125" style="229" customWidth="1"/>
    <col min="4891" max="4891" width="33.81640625" style="229" customWidth="1"/>
    <col min="4892" max="5110" width="9.1796875" style="229"/>
    <col min="5111" max="5111" width="3.81640625" style="229" customWidth="1"/>
    <col min="5112" max="5112" width="44.81640625" style="229" customWidth="1"/>
    <col min="5113" max="5114" width="0" style="229" hidden="1" customWidth="1"/>
    <col min="5115" max="5115" width="9.7265625" style="229" customWidth="1"/>
    <col min="5116" max="5116" width="10.81640625" style="229" customWidth="1"/>
    <col min="5117" max="5117" width="12.81640625" style="229" customWidth="1"/>
    <col min="5118" max="5118" width="10.1796875" style="229" customWidth="1"/>
    <col min="5119" max="5119" width="10.81640625" style="229" customWidth="1"/>
    <col min="5120" max="5120" width="12" style="229" customWidth="1"/>
    <col min="5121" max="5121" width="8.1796875" style="229" customWidth="1"/>
    <col min="5122" max="5122" width="12.1796875" style="229" customWidth="1"/>
    <col min="5123" max="5123" width="12.453125" style="229" customWidth="1"/>
    <col min="5124" max="5124" width="8.1796875" style="229" customWidth="1"/>
    <col min="5125" max="5125" width="11.453125" style="229" customWidth="1"/>
    <col min="5126" max="5126" width="13" style="229" customWidth="1"/>
    <col min="5127" max="5127" width="8" style="229" customWidth="1"/>
    <col min="5128" max="5128" width="12.1796875" style="229" customWidth="1"/>
    <col min="5129" max="5129" width="12.453125" style="229" customWidth="1"/>
    <col min="5130" max="5130" width="9.26953125" style="229" customWidth="1"/>
    <col min="5131" max="5131" width="11.453125" style="229" customWidth="1"/>
    <col min="5132" max="5132" width="12.54296875" style="229" customWidth="1"/>
    <col min="5133" max="5133" width="10.26953125" style="229" customWidth="1"/>
    <col min="5134" max="5135" width="12" style="229" bestFit="1" customWidth="1"/>
    <col min="5136" max="5137" width="11" style="229" customWidth="1"/>
    <col min="5138" max="5138" width="12.453125" style="229" customWidth="1"/>
    <col min="5139" max="5139" width="9.54296875" style="229" customWidth="1"/>
    <col min="5140" max="5140" width="11.1796875" style="229" customWidth="1"/>
    <col min="5141" max="5144" width="12" style="229" customWidth="1"/>
    <col min="5145" max="5145" width="9.1796875" style="229"/>
    <col min="5146" max="5146" width="20.26953125" style="229" customWidth="1"/>
    <col min="5147" max="5147" width="33.81640625" style="229" customWidth="1"/>
    <col min="5148" max="5366" width="9.1796875" style="229"/>
    <col min="5367" max="5367" width="3.81640625" style="229" customWidth="1"/>
    <col min="5368" max="5368" width="44.81640625" style="229" customWidth="1"/>
    <col min="5369" max="5370" width="0" style="229" hidden="1" customWidth="1"/>
    <col min="5371" max="5371" width="9.7265625" style="229" customWidth="1"/>
    <col min="5372" max="5372" width="10.81640625" style="229" customWidth="1"/>
    <col min="5373" max="5373" width="12.81640625" style="229" customWidth="1"/>
    <col min="5374" max="5374" width="10.1796875" style="229" customWidth="1"/>
    <col min="5375" max="5375" width="10.81640625" style="229" customWidth="1"/>
    <col min="5376" max="5376" width="12" style="229" customWidth="1"/>
    <col min="5377" max="5377" width="8.1796875" style="229" customWidth="1"/>
    <col min="5378" max="5378" width="12.1796875" style="229" customWidth="1"/>
    <col min="5379" max="5379" width="12.453125" style="229" customWidth="1"/>
    <col min="5380" max="5380" width="8.1796875" style="229" customWidth="1"/>
    <col min="5381" max="5381" width="11.453125" style="229" customWidth="1"/>
    <col min="5382" max="5382" width="13" style="229" customWidth="1"/>
    <col min="5383" max="5383" width="8" style="229" customWidth="1"/>
    <col min="5384" max="5384" width="12.1796875" style="229" customWidth="1"/>
    <col min="5385" max="5385" width="12.453125" style="229" customWidth="1"/>
    <col min="5386" max="5386" width="9.26953125" style="229" customWidth="1"/>
    <col min="5387" max="5387" width="11.453125" style="229" customWidth="1"/>
    <col min="5388" max="5388" width="12.54296875" style="229" customWidth="1"/>
    <col min="5389" max="5389" width="10.26953125" style="229" customWidth="1"/>
    <col min="5390" max="5391" width="12" style="229" bestFit="1" customWidth="1"/>
    <col min="5392" max="5393" width="11" style="229" customWidth="1"/>
    <col min="5394" max="5394" width="12.453125" style="229" customWidth="1"/>
    <col min="5395" max="5395" width="9.54296875" style="229" customWidth="1"/>
    <col min="5396" max="5396" width="11.1796875" style="229" customWidth="1"/>
    <col min="5397" max="5400" width="12" style="229" customWidth="1"/>
    <col min="5401" max="5401" width="9.1796875" style="229"/>
    <col min="5402" max="5402" width="20.26953125" style="229" customWidth="1"/>
    <col min="5403" max="5403" width="33.81640625" style="229" customWidth="1"/>
    <col min="5404" max="5622" width="9.1796875" style="229"/>
    <col min="5623" max="5623" width="3.81640625" style="229" customWidth="1"/>
    <col min="5624" max="5624" width="44.81640625" style="229" customWidth="1"/>
    <col min="5625" max="5626" width="0" style="229" hidden="1" customWidth="1"/>
    <col min="5627" max="5627" width="9.7265625" style="229" customWidth="1"/>
    <col min="5628" max="5628" width="10.81640625" style="229" customWidth="1"/>
    <col min="5629" max="5629" width="12.81640625" style="229" customWidth="1"/>
    <col min="5630" max="5630" width="10.1796875" style="229" customWidth="1"/>
    <col min="5631" max="5631" width="10.81640625" style="229" customWidth="1"/>
    <col min="5632" max="5632" width="12" style="229" customWidth="1"/>
    <col min="5633" max="5633" width="8.1796875" style="229" customWidth="1"/>
    <col min="5634" max="5634" width="12.1796875" style="229" customWidth="1"/>
    <col min="5635" max="5635" width="12.453125" style="229" customWidth="1"/>
    <col min="5636" max="5636" width="8.1796875" style="229" customWidth="1"/>
    <col min="5637" max="5637" width="11.453125" style="229" customWidth="1"/>
    <col min="5638" max="5638" width="13" style="229" customWidth="1"/>
    <col min="5639" max="5639" width="8" style="229" customWidth="1"/>
    <col min="5640" max="5640" width="12.1796875" style="229" customWidth="1"/>
    <col min="5641" max="5641" width="12.453125" style="229" customWidth="1"/>
    <col min="5642" max="5642" width="9.26953125" style="229" customWidth="1"/>
    <col min="5643" max="5643" width="11.453125" style="229" customWidth="1"/>
    <col min="5644" max="5644" width="12.54296875" style="229" customWidth="1"/>
    <col min="5645" max="5645" width="10.26953125" style="229" customWidth="1"/>
    <col min="5646" max="5647" width="12" style="229" bestFit="1" customWidth="1"/>
    <col min="5648" max="5649" width="11" style="229" customWidth="1"/>
    <col min="5650" max="5650" width="12.453125" style="229" customWidth="1"/>
    <col min="5651" max="5651" width="9.54296875" style="229" customWidth="1"/>
    <col min="5652" max="5652" width="11.1796875" style="229" customWidth="1"/>
    <col min="5653" max="5656" width="12" style="229" customWidth="1"/>
    <col min="5657" max="5657" width="9.1796875" style="229"/>
    <col min="5658" max="5658" width="20.26953125" style="229" customWidth="1"/>
    <col min="5659" max="5659" width="33.81640625" style="229" customWidth="1"/>
    <col min="5660" max="5878" width="9.1796875" style="229"/>
    <col min="5879" max="5879" width="3.81640625" style="229" customWidth="1"/>
    <col min="5880" max="5880" width="44.81640625" style="229" customWidth="1"/>
    <col min="5881" max="5882" width="0" style="229" hidden="1" customWidth="1"/>
    <col min="5883" max="5883" width="9.7265625" style="229" customWidth="1"/>
    <col min="5884" max="5884" width="10.81640625" style="229" customWidth="1"/>
    <col min="5885" max="5885" width="12.81640625" style="229" customWidth="1"/>
    <col min="5886" max="5886" width="10.1796875" style="229" customWidth="1"/>
    <col min="5887" max="5887" width="10.81640625" style="229" customWidth="1"/>
    <col min="5888" max="5888" width="12" style="229" customWidth="1"/>
    <col min="5889" max="5889" width="8.1796875" style="229" customWidth="1"/>
    <col min="5890" max="5890" width="12.1796875" style="229" customWidth="1"/>
    <col min="5891" max="5891" width="12.453125" style="229" customWidth="1"/>
    <col min="5892" max="5892" width="8.1796875" style="229" customWidth="1"/>
    <col min="5893" max="5893" width="11.453125" style="229" customWidth="1"/>
    <col min="5894" max="5894" width="13" style="229" customWidth="1"/>
    <col min="5895" max="5895" width="8" style="229" customWidth="1"/>
    <col min="5896" max="5896" width="12.1796875" style="229" customWidth="1"/>
    <col min="5897" max="5897" width="12.453125" style="229" customWidth="1"/>
    <col min="5898" max="5898" width="9.26953125" style="229" customWidth="1"/>
    <col min="5899" max="5899" width="11.453125" style="229" customWidth="1"/>
    <col min="5900" max="5900" width="12.54296875" style="229" customWidth="1"/>
    <col min="5901" max="5901" width="10.26953125" style="229" customWidth="1"/>
    <col min="5902" max="5903" width="12" style="229" bestFit="1" customWidth="1"/>
    <col min="5904" max="5905" width="11" style="229" customWidth="1"/>
    <col min="5906" max="5906" width="12.453125" style="229" customWidth="1"/>
    <col min="5907" max="5907" width="9.54296875" style="229" customWidth="1"/>
    <col min="5908" max="5908" width="11.1796875" style="229" customWidth="1"/>
    <col min="5909" max="5912" width="12" style="229" customWidth="1"/>
    <col min="5913" max="5913" width="9.1796875" style="229"/>
    <col min="5914" max="5914" width="20.26953125" style="229" customWidth="1"/>
    <col min="5915" max="5915" width="33.81640625" style="229" customWidth="1"/>
    <col min="5916" max="6134" width="9.1796875" style="229"/>
    <col min="6135" max="6135" width="3.81640625" style="229" customWidth="1"/>
    <col min="6136" max="6136" width="44.81640625" style="229" customWidth="1"/>
    <col min="6137" max="6138" width="0" style="229" hidden="1" customWidth="1"/>
    <col min="6139" max="6139" width="9.7265625" style="229" customWidth="1"/>
    <col min="6140" max="6140" width="10.81640625" style="229" customWidth="1"/>
    <col min="6141" max="6141" width="12.81640625" style="229" customWidth="1"/>
    <col min="6142" max="6142" width="10.1796875" style="229" customWidth="1"/>
    <col min="6143" max="6143" width="10.81640625" style="229" customWidth="1"/>
    <col min="6144" max="6144" width="12" style="229" customWidth="1"/>
    <col min="6145" max="6145" width="8.1796875" style="229" customWidth="1"/>
    <col min="6146" max="6146" width="12.1796875" style="229" customWidth="1"/>
    <col min="6147" max="6147" width="12.453125" style="229" customWidth="1"/>
    <col min="6148" max="6148" width="8.1796875" style="229" customWidth="1"/>
    <col min="6149" max="6149" width="11.453125" style="229" customWidth="1"/>
    <col min="6150" max="6150" width="13" style="229" customWidth="1"/>
    <col min="6151" max="6151" width="8" style="229" customWidth="1"/>
    <col min="6152" max="6152" width="12.1796875" style="229" customWidth="1"/>
    <col min="6153" max="6153" width="12.453125" style="229" customWidth="1"/>
    <col min="6154" max="6154" width="9.26953125" style="229" customWidth="1"/>
    <col min="6155" max="6155" width="11.453125" style="229" customWidth="1"/>
    <col min="6156" max="6156" width="12.54296875" style="229" customWidth="1"/>
    <col min="6157" max="6157" width="10.26953125" style="229" customWidth="1"/>
    <col min="6158" max="6159" width="12" style="229" bestFit="1" customWidth="1"/>
    <col min="6160" max="6161" width="11" style="229" customWidth="1"/>
    <col min="6162" max="6162" width="12.453125" style="229" customWidth="1"/>
    <col min="6163" max="6163" width="9.54296875" style="229" customWidth="1"/>
    <col min="6164" max="6164" width="11.1796875" style="229" customWidth="1"/>
    <col min="6165" max="6168" width="12" style="229" customWidth="1"/>
    <col min="6169" max="6169" width="9.1796875" style="229"/>
    <col min="6170" max="6170" width="20.26953125" style="229" customWidth="1"/>
    <col min="6171" max="6171" width="33.81640625" style="229" customWidth="1"/>
    <col min="6172" max="6390" width="9.1796875" style="229"/>
    <col min="6391" max="6391" width="3.81640625" style="229" customWidth="1"/>
    <col min="6392" max="6392" width="44.81640625" style="229" customWidth="1"/>
    <col min="6393" max="6394" width="0" style="229" hidden="1" customWidth="1"/>
    <col min="6395" max="6395" width="9.7265625" style="229" customWidth="1"/>
    <col min="6396" max="6396" width="10.81640625" style="229" customWidth="1"/>
    <col min="6397" max="6397" width="12.81640625" style="229" customWidth="1"/>
    <col min="6398" max="6398" width="10.1796875" style="229" customWidth="1"/>
    <col min="6399" max="6399" width="10.81640625" style="229" customWidth="1"/>
    <col min="6400" max="6400" width="12" style="229" customWidth="1"/>
    <col min="6401" max="6401" width="8.1796875" style="229" customWidth="1"/>
    <col min="6402" max="6402" width="12.1796875" style="229" customWidth="1"/>
    <col min="6403" max="6403" width="12.453125" style="229" customWidth="1"/>
    <col min="6404" max="6404" width="8.1796875" style="229" customWidth="1"/>
    <col min="6405" max="6405" width="11.453125" style="229" customWidth="1"/>
    <col min="6406" max="6406" width="13" style="229" customWidth="1"/>
    <col min="6407" max="6407" width="8" style="229" customWidth="1"/>
    <col min="6408" max="6408" width="12.1796875" style="229" customWidth="1"/>
    <col min="6409" max="6409" width="12.453125" style="229" customWidth="1"/>
    <col min="6410" max="6410" width="9.26953125" style="229" customWidth="1"/>
    <col min="6411" max="6411" width="11.453125" style="229" customWidth="1"/>
    <col min="6412" max="6412" width="12.54296875" style="229" customWidth="1"/>
    <col min="6413" max="6413" width="10.26953125" style="229" customWidth="1"/>
    <col min="6414" max="6415" width="12" style="229" bestFit="1" customWidth="1"/>
    <col min="6416" max="6417" width="11" style="229" customWidth="1"/>
    <col min="6418" max="6418" width="12.453125" style="229" customWidth="1"/>
    <col min="6419" max="6419" width="9.54296875" style="229" customWidth="1"/>
    <col min="6420" max="6420" width="11.1796875" style="229" customWidth="1"/>
    <col min="6421" max="6424" width="12" style="229" customWidth="1"/>
    <col min="6425" max="6425" width="9.1796875" style="229"/>
    <col min="6426" max="6426" width="20.26953125" style="229" customWidth="1"/>
    <col min="6427" max="6427" width="33.81640625" style="229" customWidth="1"/>
    <col min="6428" max="6646" width="9.1796875" style="229"/>
    <col min="6647" max="6647" width="3.81640625" style="229" customWidth="1"/>
    <col min="6648" max="6648" width="44.81640625" style="229" customWidth="1"/>
    <col min="6649" max="6650" width="0" style="229" hidden="1" customWidth="1"/>
    <col min="6651" max="6651" width="9.7265625" style="229" customWidth="1"/>
    <col min="6652" max="6652" width="10.81640625" style="229" customWidth="1"/>
    <col min="6653" max="6653" width="12.81640625" style="229" customWidth="1"/>
    <col min="6654" max="6654" width="10.1796875" style="229" customWidth="1"/>
    <col min="6655" max="6655" width="10.81640625" style="229" customWidth="1"/>
    <col min="6656" max="6656" width="12" style="229" customWidth="1"/>
    <col min="6657" max="6657" width="8.1796875" style="229" customWidth="1"/>
    <col min="6658" max="6658" width="12.1796875" style="229" customWidth="1"/>
    <col min="6659" max="6659" width="12.453125" style="229" customWidth="1"/>
    <col min="6660" max="6660" width="8.1796875" style="229" customWidth="1"/>
    <col min="6661" max="6661" width="11.453125" style="229" customWidth="1"/>
    <col min="6662" max="6662" width="13" style="229" customWidth="1"/>
    <col min="6663" max="6663" width="8" style="229" customWidth="1"/>
    <col min="6664" max="6664" width="12.1796875" style="229" customWidth="1"/>
    <col min="6665" max="6665" width="12.453125" style="229" customWidth="1"/>
    <col min="6666" max="6666" width="9.26953125" style="229" customWidth="1"/>
    <col min="6667" max="6667" width="11.453125" style="229" customWidth="1"/>
    <col min="6668" max="6668" width="12.54296875" style="229" customWidth="1"/>
    <col min="6669" max="6669" width="10.26953125" style="229" customWidth="1"/>
    <col min="6670" max="6671" width="12" style="229" bestFit="1" customWidth="1"/>
    <col min="6672" max="6673" width="11" style="229" customWidth="1"/>
    <col min="6674" max="6674" width="12.453125" style="229" customWidth="1"/>
    <col min="6675" max="6675" width="9.54296875" style="229" customWidth="1"/>
    <col min="6676" max="6676" width="11.1796875" style="229" customWidth="1"/>
    <col min="6677" max="6680" width="12" style="229" customWidth="1"/>
    <col min="6681" max="6681" width="9.1796875" style="229"/>
    <col min="6682" max="6682" width="20.26953125" style="229" customWidth="1"/>
    <col min="6683" max="6683" width="33.81640625" style="229" customWidth="1"/>
    <col min="6684" max="6902" width="9.1796875" style="229"/>
    <col min="6903" max="6903" width="3.81640625" style="229" customWidth="1"/>
    <col min="6904" max="6904" width="44.81640625" style="229" customWidth="1"/>
    <col min="6905" max="6906" width="0" style="229" hidden="1" customWidth="1"/>
    <col min="6907" max="6907" width="9.7265625" style="229" customWidth="1"/>
    <col min="6908" max="6908" width="10.81640625" style="229" customWidth="1"/>
    <col min="6909" max="6909" width="12.81640625" style="229" customWidth="1"/>
    <col min="6910" max="6910" width="10.1796875" style="229" customWidth="1"/>
    <col min="6911" max="6911" width="10.81640625" style="229" customWidth="1"/>
    <col min="6912" max="6912" width="12" style="229" customWidth="1"/>
    <col min="6913" max="6913" width="8.1796875" style="229" customWidth="1"/>
    <col min="6914" max="6914" width="12.1796875" style="229" customWidth="1"/>
    <col min="6915" max="6915" width="12.453125" style="229" customWidth="1"/>
    <col min="6916" max="6916" width="8.1796875" style="229" customWidth="1"/>
    <col min="6917" max="6917" width="11.453125" style="229" customWidth="1"/>
    <col min="6918" max="6918" width="13" style="229" customWidth="1"/>
    <col min="6919" max="6919" width="8" style="229" customWidth="1"/>
    <col min="6920" max="6920" width="12.1796875" style="229" customWidth="1"/>
    <col min="6921" max="6921" width="12.453125" style="229" customWidth="1"/>
    <col min="6922" max="6922" width="9.26953125" style="229" customWidth="1"/>
    <col min="6923" max="6923" width="11.453125" style="229" customWidth="1"/>
    <col min="6924" max="6924" width="12.54296875" style="229" customWidth="1"/>
    <col min="6925" max="6925" width="10.26953125" style="229" customWidth="1"/>
    <col min="6926" max="6927" width="12" style="229" bestFit="1" customWidth="1"/>
    <col min="6928" max="6929" width="11" style="229" customWidth="1"/>
    <col min="6930" max="6930" width="12.453125" style="229" customWidth="1"/>
    <col min="6931" max="6931" width="9.54296875" style="229" customWidth="1"/>
    <col min="6932" max="6932" width="11.1796875" style="229" customWidth="1"/>
    <col min="6933" max="6936" width="12" style="229" customWidth="1"/>
    <col min="6937" max="6937" width="9.1796875" style="229"/>
    <col min="6938" max="6938" width="20.26953125" style="229" customWidth="1"/>
    <col min="6939" max="6939" width="33.81640625" style="229" customWidth="1"/>
    <col min="6940" max="7158" width="9.1796875" style="229"/>
    <col min="7159" max="7159" width="3.81640625" style="229" customWidth="1"/>
    <col min="7160" max="7160" width="44.81640625" style="229" customWidth="1"/>
    <col min="7161" max="7162" width="0" style="229" hidden="1" customWidth="1"/>
    <col min="7163" max="7163" width="9.7265625" style="229" customWidth="1"/>
    <col min="7164" max="7164" width="10.81640625" style="229" customWidth="1"/>
    <col min="7165" max="7165" width="12.81640625" style="229" customWidth="1"/>
    <col min="7166" max="7166" width="10.1796875" style="229" customWidth="1"/>
    <col min="7167" max="7167" width="10.81640625" style="229" customWidth="1"/>
    <col min="7168" max="7168" width="12" style="229" customWidth="1"/>
    <col min="7169" max="7169" width="8.1796875" style="229" customWidth="1"/>
    <col min="7170" max="7170" width="12.1796875" style="229" customWidth="1"/>
    <col min="7171" max="7171" width="12.453125" style="229" customWidth="1"/>
    <col min="7172" max="7172" width="8.1796875" style="229" customWidth="1"/>
    <col min="7173" max="7173" width="11.453125" style="229" customWidth="1"/>
    <col min="7174" max="7174" width="13" style="229" customWidth="1"/>
    <col min="7175" max="7175" width="8" style="229" customWidth="1"/>
    <col min="7176" max="7176" width="12.1796875" style="229" customWidth="1"/>
    <col min="7177" max="7177" width="12.453125" style="229" customWidth="1"/>
    <col min="7178" max="7178" width="9.26953125" style="229" customWidth="1"/>
    <col min="7179" max="7179" width="11.453125" style="229" customWidth="1"/>
    <col min="7180" max="7180" width="12.54296875" style="229" customWidth="1"/>
    <col min="7181" max="7181" width="10.26953125" style="229" customWidth="1"/>
    <col min="7182" max="7183" width="12" style="229" bestFit="1" customWidth="1"/>
    <col min="7184" max="7185" width="11" style="229" customWidth="1"/>
    <col min="7186" max="7186" width="12.453125" style="229" customWidth="1"/>
    <col min="7187" max="7187" width="9.54296875" style="229" customWidth="1"/>
    <col min="7188" max="7188" width="11.1796875" style="229" customWidth="1"/>
    <col min="7189" max="7192" width="12" style="229" customWidth="1"/>
    <col min="7193" max="7193" width="9.1796875" style="229"/>
    <col min="7194" max="7194" width="20.26953125" style="229" customWidth="1"/>
    <col min="7195" max="7195" width="33.81640625" style="229" customWidth="1"/>
    <col min="7196" max="7414" width="9.1796875" style="229"/>
    <col min="7415" max="7415" width="3.81640625" style="229" customWidth="1"/>
    <col min="7416" max="7416" width="44.81640625" style="229" customWidth="1"/>
    <col min="7417" max="7418" width="0" style="229" hidden="1" customWidth="1"/>
    <col min="7419" max="7419" width="9.7265625" style="229" customWidth="1"/>
    <col min="7420" max="7420" width="10.81640625" style="229" customWidth="1"/>
    <col min="7421" max="7421" width="12.81640625" style="229" customWidth="1"/>
    <col min="7422" max="7422" width="10.1796875" style="229" customWidth="1"/>
    <col min="7423" max="7423" width="10.81640625" style="229" customWidth="1"/>
    <col min="7424" max="7424" width="12" style="229" customWidth="1"/>
    <col min="7425" max="7425" width="8.1796875" style="229" customWidth="1"/>
    <col min="7426" max="7426" width="12.1796875" style="229" customWidth="1"/>
    <col min="7427" max="7427" width="12.453125" style="229" customWidth="1"/>
    <col min="7428" max="7428" width="8.1796875" style="229" customWidth="1"/>
    <col min="7429" max="7429" width="11.453125" style="229" customWidth="1"/>
    <col min="7430" max="7430" width="13" style="229" customWidth="1"/>
    <col min="7431" max="7431" width="8" style="229" customWidth="1"/>
    <col min="7432" max="7432" width="12.1796875" style="229" customWidth="1"/>
    <col min="7433" max="7433" width="12.453125" style="229" customWidth="1"/>
    <col min="7434" max="7434" width="9.26953125" style="229" customWidth="1"/>
    <col min="7435" max="7435" width="11.453125" style="229" customWidth="1"/>
    <col min="7436" max="7436" width="12.54296875" style="229" customWidth="1"/>
    <col min="7437" max="7437" width="10.26953125" style="229" customWidth="1"/>
    <col min="7438" max="7439" width="12" style="229" bestFit="1" customWidth="1"/>
    <col min="7440" max="7441" width="11" style="229" customWidth="1"/>
    <col min="7442" max="7442" width="12.453125" style="229" customWidth="1"/>
    <col min="7443" max="7443" width="9.54296875" style="229" customWidth="1"/>
    <col min="7444" max="7444" width="11.1796875" style="229" customWidth="1"/>
    <col min="7445" max="7448" width="12" style="229" customWidth="1"/>
    <col min="7449" max="7449" width="9.1796875" style="229"/>
    <col min="7450" max="7450" width="20.26953125" style="229" customWidth="1"/>
    <col min="7451" max="7451" width="33.81640625" style="229" customWidth="1"/>
    <col min="7452" max="7670" width="9.1796875" style="229"/>
    <col min="7671" max="7671" width="3.81640625" style="229" customWidth="1"/>
    <col min="7672" max="7672" width="44.81640625" style="229" customWidth="1"/>
    <col min="7673" max="7674" width="0" style="229" hidden="1" customWidth="1"/>
    <col min="7675" max="7675" width="9.7265625" style="229" customWidth="1"/>
    <col min="7676" max="7676" width="10.81640625" style="229" customWidth="1"/>
    <col min="7677" max="7677" width="12.81640625" style="229" customWidth="1"/>
    <col min="7678" max="7678" width="10.1796875" style="229" customWidth="1"/>
    <col min="7679" max="7679" width="10.81640625" style="229" customWidth="1"/>
    <col min="7680" max="7680" width="12" style="229" customWidth="1"/>
    <col min="7681" max="7681" width="8.1796875" style="229" customWidth="1"/>
    <col min="7682" max="7682" width="12.1796875" style="229" customWidth="1"/>
    <col min="7683" max="7683" width="12.453125" style="229" customWidth="1"/>
    <col min="7684" max="7684" width="8.1796875" style="229" customWidth="1"/>
    <col min="7685" max="7685" width="11.453125" style="229" customWidth="1"/>
    <col min="7686" max="7686" width="13" style="229" customWidth="1"/>
    <col min="7687" max="7687" width="8" style="229" customWidth="1"/>
    <col min="7688" max="7688" width="12.1796875" style="229" customWidth="1"/>
    <col min="7689" max="7689" width="12.453125" style="229" customWidth="1"/>
    <col min="7690" max="7690" width="9.26953125" style="229" customWidth="1"/>
    <col min="7691" max="7691" width="11.453125" style="229" customWidth="1"/>
    <col min="7692" max="7692" width="12.54296875" style="229" customWidth="1"/>
    <col min="7693" max="7693" width="10.26953125" style="229" customWidth="1"/>
    <col min="7694" max="7695" width="12" style="229" bestFit="1" customWidth="1"/>
    <col min="7696" max="7697" width="11" style="229" customWidth="1"/>
    <col min="7698" max="7698" width="12.453125" style="229" customWidth="1"/>
    <col min="7699" max="7699" width="9.54296875" style="229" customWidth="1"/>
    <col min="7700" max="7700" width="11.1796875" style="229" customWidth="1"/>
    <col min="7701" max="7704" width="12" style="229" customWidth="1"/>
    <col min="7705" max="7705" width="9.1796875" style="229"/>
    <col min="7706" max="7706" width="20.26953125" style="229" customWidth="1"/>
    <col min="7707" max="7707" width="33.81640625" style="229" customWidth="1"/>
    <col min="7708" max="7926" width="9.1796875" style="229"/>
    <col min="7927" max="7927" width="3.81640625" style="229" customWidth="1"/>
    <col min="7928" max="7928" width="44.81640625" style="229" customWidth="1"/>
    <col min="7929" max="7930" width="0" style="229" hidden="1" customWidth="1"/>
    <col min="7931" max="7931" width="9.7265625" style="229" customWidth="1"/>
    <col min="7932" max="7932" width="10.81640625" style="229" customWidth="1"/>
    <col min="7933" max="7933" width="12.81640625" style="229" customWidth="1"/>
    <col min="7934" max="7934" width="10.1796875" style="229" customWidth="1"/>
    <col min="7935" max="7935" width="10.81640625" style="229" customWidth="1"/>
    <col min="7936" max="7936" width="12" style="229" customWidth="1"/>
    <col min="7937" max="7937" width="8.1796875" style="229" customWidth="1"/>
    <col min="7938" max="7938" width="12.1796875" style="229" customWidth="1"/>
    <col min="7939" max="7939" width="12.453125" style="229" customWidth="1"/>
    <col min="7940" max="7940" width="8.1796875" style="229" customWidth="1"/>
    <col min="7941" max="7941" width="11.453125" style="229" customWidth="1"/>
    <col min="7942" max="7942" width="13" style="229" customWidth="1"/>
    <col min="7943" max="7943" width="8" style="229" customWidth="1"/>
    <col min="7944" max="7944" width="12.1796875" style="229" customWidth="1"/>
    <col min="7945" max="7945" width="12.453125" style="229" customWidth="1"/>
    <col min="7946" max="7946" width="9.26953125" style="229" customWidth="1"/>
    <col min="7947" max="7947" width="11.453125" style="229" customWidth="1"/>
    <col min="7948" max="7948" width="12.54296875" style="229" customWidth="1"/>
    <col min="7949" max="7949" width="10.26953125" style="229" customWidth="1"/>
    <col min="7950" max="7951" width="12" style="229" bestFit="1" customWidth="1"/>
    <col min="7952" max="7953" width="11" style="229" customWidth="1"/>
    <col min="7954" max="7954" width="12.453125" style="229" customWidth="1"/>
    <col min="7955" max="7955" width="9.54296875" style="229" customWidth="1"/>
    <col min="7956" max="7956" width="11.1796875" style="229" customWidth="1"/>
    <col min="7957" max="7960" width="12" style="229" customWidth="1"/>
    <col min="7961" max="7961" width="9.1796875" style="229"/>
    <col min="7962" max="7962" width="20.26953125" style="229" customWidth="1"/>
    <col min="7963" max="7963" width="33.81640625" style="229" customWidth="1"/>
    <col min="7964" max="8182" width="9.1796875" style="229"/>
    <col min="8183" max="8183" width="3.81640625" style="229" customWidth="1"/>
    <col min="8184" max="8184" width="44.81640625" style="229" customWidth="1"/>
    <col min="8185" max="8186" width="0" style="229" hidden="1" customWidth="1"/>
    <col min="8187" max="8187" width="9.7265625" style="229" customWidth="1"/>
    <col min="8188" max="8188" width="10.81640625" style="229" customWidth="1"/>
    <col min="8189" max="8189" width="12.81640625" style="229" customWidth="1"/>
    <col min="8190" max="8190" width="10.1796875" style="229" customWidth="1"/>
    <col min="8191" max="8191" width="10.81640625" style="229" customWidth="1"/>
    <col min="8192" max="8192" width="12" style="229" customWidth="1"/>
    <col min="8193" max="8193" width="8.1796875" style="229" customWidth="1"/>
    <col min="8194" max="8194" width="12.1796875" style="229" customWidth="1"/>
    <col min="8195" max="8195" width="12.453125" style="229" customWidth="1"/>
    <col min="8196" max="8196" width="8.1796875" style="229" customWidth="1"/>
    <col min="8197" max="8197" width="11.453125" style="229" customWidth="1"/>
    <col min="8198" max="8198" width="13" style="229" customWidth="1"/>
    <col min="8199" max="8199" width="8" style="229" customWidth="1"/>
    <col min="8200" max="8200" width="12.1796875" style="229" customWidth="1"/>
    <col min="8201" max="8201" width="12.453125" style="229" customWidth="1"/>
    <col min="8202" max="8202" width="9.26953125" style="229" customWidth="1"/>
    <col min="8203" max="8203" width="11.453125" style="229" customWidth="1"/>
    <col min="8204" max="8204" width="12.54296875" style="229" customWidth="1"/>
    <col min="8205" max="8205" width="10.26953125" style="229" customWidth="1"/>
    <col min="8206" max="8207" width="12" style="229" bestFit="1" customWidth="1"/>
    <col min="8208" max="8209" width="11" style="229" customWidth="1"/>
    <col min="8210" max="8210" width="12.453125" style="229" customWidth="1"/>
    <col min="8211" max="8211" width="9.54296875" style="229" customWidth="1"/>
    <col min="8212" max="8212" width="11.1796875" style="229" customWidth="1"/>
    <col min="8213" max="8216" width="12" style="229" customWidth="1"/>
    <col min="8217" max="8217" width="9.1796875" style="229"/>
    <col min="8218" max="8218" width="20.26953125" style="229" customWidth="1"/>
    <col min="8219" max="8219" width="33.81640625" style="229" customWidth="1"/>
    <col min="8220" max="8438" width="9.1796875" style="229"/>
    <col min="8439" max="8439" width="3.81640625" style="229" customWidth="1"/>
    <col min="8440" max="8440" width="44.81640625" style="229" customWidth="1"/>
    <col min="8441" max="8442" width="0" style="229" hidden="1" customWidth="1"/>
    <col min="8443" max="8443" width="9.7265625" style="229" customWidth="1"/>
    <col min="8444" max="8444" width="10.81640625" style="229" customWidth="1"/>
    <col min="8445" max="8445" width="12.81640625" style="229" customWidth="1"/>
    <col min="8446" max="8446" width="10.1796875" style="229" customWidth="1"/>
    <col min="8447" max="8447" width="10.81640625" style="229" customWidth="1"/>
    <col min="8448" max="8448" width="12" style="229" customWidth="1"/>
    <col min="8449" max="8449" width="8.1796875" style="229" customWidth="1"/>
    <col min="8450" max="8450" width="12.1796875" style="229" customWidth="1"/>
    <col min="8451" max="8451" width="12.453125" style="229" customWidth="1"/>
    <col min="8452" max="8452" width="8.1796875" style="229" customWidth="1"/>
    <col min="8453" max="8453" width="11.453125" style="229" customWidth="1"/>
    <col min="8454" max="8454" width="13" style="229" customWidth="1"/>
    <col min="8455" max="8455" width="8" style="229" customWidth="1"/>
    <col min="8456" max="8456" width="12.1796875" style="229" customWidth="1"/>
    <col min="8457" max="8457" width="12.453125" style="229" customWidth="1"/>
    <col min="8458" max="8458" width="9.26953125" style="229" customWidth="1"/>
    <col min="8459" max="8459" width="11.453125" style="229" customWidth="1"/>
    <col min="8460" max="8460" width="12.54296875" style="229" customWidth="1"/>
    <col min="8461" max="8461" width="10.26953125" style="229" customWidth="1"/>
    <col min="8462" max="8463" width="12" style="229" bestFit="1" customWidth="1"/>
    <col min="8464" max="8465" width="11" style="229" customWidth="1"/>
    <col min="8466" max="8466" width="12.453125" style="229" customWidth="1"/>
    <col min="8467" max="8467" width="9.54296875" style="229" customWidth="1"/>
    <col min="8468" max="8468" width="11.1796875" style="229" customWidth="1"/>
    <col min="8469" max="8472" width="12" style="229" customWidth="1"/>
    <col min="8473" max="8473" width="9.1796875" style="229"/>
    <col min="8474" max="8474" width="20.26953125" style="229" customWidth="1"/>
    <col min="8475" max="8475" width="33.81640625" style="229" customWidth="1"/>
    <col min="8476" max="8694" width="9.1796875" style="229"/>
    <col min="8695" max="8695" width="3.81640625" style="229" customWidth="1"/>
    <col min="8696" max="8696" width="44.81640625" style="229" customWidth="1"/>
    <col min="8697" max="8698" width="0" style="229" hidden="1" customWidth="1"/>
    <col min="8699" max="8699" width="9.7265625" style="229" customWidth="1"/>
    <col min="8700" max="8700" width="10.81640625" style="229" customWidth="1"/>
    <col min="8701" max="8701" width="12.81640625" style="229" customWidth="1"/>
    <col min="8702" max="8702" width="10.1796875" style="229" customWidth="1"/>
    <col min="8703" max="8703" width="10.81640625" style="229" customWidth="1"/>
    <col min="8704" max="8704" width="12" style="229" customWidth="1"/>
    <col min="8705" max="8705" width="8.1796875" style="229" customWidth="1"/>
    <col min="8706" max="8706" width="12.1796875" style="229" customWidth="1"/>
    <col min="8707" max="8707" width="12.453125" style="229" customWidth="1"/>
    <col min="8708" max="8708" width="8.1796875" style="229" customWidth="1"/>
    <col min="8709" max="8709" width="11.453125" style="229" customWidth="1"/>
    <col min="8710" max="8710" width="13" style="229" customWidth="1"/>
    <col min="8711" max="8711" width="8" style="229" customWidth="1"/>
    <col min="8712" max="8712" width="12.1796875" style="229" customWidth="1"/>
    <col min="8713" max="8713" width="12.453125" style="229" customWidth="1"/>
    <col min="8714" max="8714" width="9.26953125" style="229" customWidth="1"/>
    <col min="8715" max="8715" width="11.453125" style="229" customWidth="1"/>
    <col min="8716" max="8716" width="12.54296875" style="229" customWidth="1"/>
    <col min="8717" max="8717" width="10.26953125" style="229" customWidth="1"/>
    <col min="8718" max="8719" width="12" style="229" bestFit="1" customWidth="1"/>
    <col min="8720" max="8721" width="11" style="229" customWidth="1"/>
    <col min="8722" max="8722" width="12.453125" style="229" customWidth="1"/>
    <col min="8723" max="8723" width="9.54296875" style="229" customWidth="1"/>
    <col min="8724" max="8724" width="11.1796875" style="229" customWidth="1"/>
    <col min="8725" max="8728" width="12" style="229" customWidth="1"/>
    <col min="8729" max="8729" width="9.1796875" style="229"/>
    <col min="8730" max="8730" width="20.26953125" style="229" customWidth="1"/>
    <col min="8731" max="8731" width="33.81640625" style="229" customWidth="1"/>
    <col min="8732" max="8950" width="9.1796875" style="229"/>
    <col min="8951" max="8951" width="3.81640625" style="229" customWidth="1"/>
    <col min="8952" max="8952" width="44.81640625" style="229" customWidth="1"/>
    <col min="8953" max="8954" width="0" style="229" hidden="1" customWidth="1"/>
    <col min="8955" max="8955" width="9.7265625" style="229" customWidth="1"/>
    <col min="8956" max="8956" width="10.81640625" style="229" customWidth="1"/>
    <col min="8957" max="8957" width="12.81640625" style="229" customWidth="1"/>
    <col min="8958" max="8958" width="10.1796875" style="229" customWidth="1"/>
    <col min="8959" max="8959" width="10.81640625" style="229" customWidth="1"/>
    <col min="8960" max="8960" width="12" style="229" customWidth="1"/>
    <col min="8961" max="8961" width="8.1796875" style="229" customWidth="1"/>
    <col min="8962" max="8962" width="12.1796875" style="229" customWidth="1"/>
    <col min="8963" max="8963" width="12.453125" style="229" customWidth="1"/>
    <col min="8964" max="8964" width="8.1796875" style="229" customWidth="1"/>
    <col min="8965" max="8965" width="11.453125" style="229" customWidth="1"/>
    <col min="8966" max="8966" width="13" style="229" customWidth="1"/>
    <col min="8967" max="8967" width="8" style="229" customWidth="1"/>
    <col min="8968" max="8968" width="12.1796875" style="229" customWidth="1"/>
    <col min="8969" max="8969" width="12.453125" style="229" customWidth="1"/>
    <col min="8970" max="8970" width="9.26953125" style="229" customWidth="1"/>
    <col min="8971" max="8971" width="11.453125" style="229" customWidth="1"/>
    <col min="8972" max="8972" width="12.54296875" style="229" customWidth="1"/>
    <col min="8973" max="8973" width="10.26953125" style="229" customWidth="1"/>
    <col min="8974" max="8975" width="12" style="229" bestFit="1" customWidth="1"/>
    <col min="8976" max="8977" width="11" style="229" customWidth="1"/>
    <col min="8978" max="8978" width="12.453125" style="229" customWidth="1"/>
    <col min="8979" max="8979" width="9.54296875" style="229" customWidth="1"/>
    <col min="8980" max="8980" width="11.1796875" style="229" customWidth="1"/>
    <col min="8981" max="8984" width="12" style="229" customWidth="1"/>
    <col min="8985" max="8985" width="9.1796875" style="229"/>
    <col min="8986" max="8986" width="20.26953125" style="229" customWidth="1"/>
    <col min="8987" max="8987" width="33.81640625" style="229" customWidth="1"/>
    <col min="8988" max="9206" width="9.1796875" style="229"/>
    <col min="9207" max="9207" width="3.81640625" style="229" customWidth="1"/>
    <col min="9208" max="9208" width="44.81640625" style="229" customWidth="1"/>
    <col min="9209" max="9210" width="0" style="229" hidden="1" customWidth="1"/>
    <col min="9211" max="9211" width="9.7265625" style="229" customWidth="1"/>
    <col min="9212" max="9212" width="10.81640625" style="229" customWidth="1"/>
    <col min="9213" max="9213" width="12.81640625" style="229" customWidth="1"/>
    <col min="9214" max="9214" width="10.1796875" style="229" customWidth="1"/>
    <col min="9215" max="9215" width="10.81640625" style="229" customWidth="1"/>
    <col min="9216" max="9216" width="12" style="229" customWidth="1"/>
    <col min="9217" max="9217" width="8.1796875" style="229" customWidth="1"/>
    <col min="9218" max="9218" width="12.1796875" style="229" customWidth="1"/>
    <col min="9219" max="9219" width="12.453125" style="229" customWidth="1"/>
    <col min="9220" max="9220" width="8.1796875" style="229" customWidth="1"/>
    <col min="9221" max="9221" width="11.453125" style="229" customWidth="1"/>
    <col min="9222" max="9222" width="13" style="229" customWidth="1"/>
    <col min="9223" max="9223" width="8" style="229" customWidth="1"/>
    <col min="9224" max="9224" width="12.1796875" style="229" customWidth="1"/>
    <col min="9225" max="9225" width="12.453125" style="229" customWidth="1"/>
    <col min="9226" max="9226" width="9.26953125" style="229" customWidth="1"/>
    <col min="9227" max="9227" width="11.453125" style="229" customWidth="1"/>
    <col min="9228" max="9228" width="12.54296875" style="229" customWidth="1"/>
    <col min="9229" max="9229" width="10.26953125" style="229" customWidth="1"/>
    <col min="9230" max="9231" width="12" style="229" bestFit="1" customWidth="1"/>
    <col min="9232" max="9233" width="11" style="229" customWidth="1"/>
    <col min="9234" max="9234" width="12.453125" style="229" customWidth="1"/>
    <col min="9235" max="9235" width="9.54296875" style="229" customWidth="1"/>
    <col min="9236" max="9236" width="11.1796875" style="229" customWidth="1"/>
    <col min="9237" max="9240" width="12" style="229" customWidth="1"/>
    <col min="9241" max="9241" width="9.1796875" style="229"/>
    <col min="9242" max="9242" width="20.26953125" style="229" customWidth="1"/>
    <col min="9243" max="9243" width="33.81640625" style="229" customWidth="1"/>
    <col min="9244" max="9462" width="9.1796875" style="229"/>
    <col min="9463" max="9463" width="3.81640625" style="229" customWidth="1"/>
    <col min="9464" max="9464" width="44.81640625" style="229" customWidth="1"/>
    <col min="9465" max="9466" width="0" style="229" hidden="1" customWidth="1"/>
    <col min="9467" max="9467" width="9.7265625" style="229" customWidth="1"/>
    <col min="9468" max="9468" width="10.81640625" style="229" customWidth="1"/>
    <col min="9469" max="9469" width="12.81640625" style="229" customWidth="1"/>
    <col min="9470" max="9470" width="10.1796875" style="229" customWidth="1"/>
    <col min="9471" max="9471" width="10.81640625" style="229" customWidth="1"/>
    <col min="9472" max="9472" width="12" style="229" customWidth="1"/>
    <col min="9473" max="9473" width="8.1796875" style="229" customWidth="1"/>
    <col min="9474" max="9474" width="12.1796875" style="229" customWidth="1"/>
    <col min="9475" max="9475" width="12.453125" style="229" customWidth="1"/>
    <col min="9476" max="9476" width="8.1796875" style="229" customWidth="1"/>
    <col min="9477" max="9477" width="11.453125" style="229" customWidth="1"/>
    <col min="9478" max="9478" width="13" style="229" customWidth="1"/>
    <col min="9479" max="9479" width="8" style="229" customWidth="1"/>
    <col min="9480" max="9480" width="12.1796875" style="229" customWidth="1"/>
    <col min="9481" max="9481" width="12.453125" style="229" customWidth="1"/>
    <col min="9482" max="9482" width="9.26953125" style="229" customWidth="1"/>
    <col min="9483" max="9483" width="11.453125" style="229" customWidth="1"/>
    <col min="9484" max="9484" width="12.54296875" style="229" customWidth="1"/>
    <col min="9485" max="9485" width="10.26953125" style="229" customWidth="1"/>
    <col min="9486" max="9487" width="12" style="229" bestFit="1" customWidth="1"/>
    <col min="9488" max="9489" width="11" style="229" customWidth="1"/>
    <col min="9490" max="9490" width="12.453125" style="229" customWidth="1"/>
    <col min="9491" max="9491" width="9.54296875" style="229" customWidth="1"/>
    <col min="9492" max="9492" width="11.1796875" style="229" customWidth="1"/>
    <col min="9493" max="9496" width="12" style="229" customWidth="1"/>
    <col min="9497" max="9497" width="9.1796875" style="229"/>
    <col min="9498" max="9498" width="20.26953125" style="229" customWidth="1"/>
    <col min="9499" max="9499" width="33.81640625" style="229" customWidth="1"/>
    <col min="9500" max="9718" width="9.1796875" style="229"/>
    <col min="9719" max="9719" width="3.81640625" style="229" customWidth="1"/>
    <col min="9720" max="9720" width="44.81640625" style="229" customWidth="1"/>
    <col min="9721" max="9722" width="0" style="229" hidden="1" customWidth="1"/>
    <col min="9723" max="9723" width="9.7265625" style="229" customWidth="1"/>
    <col min="9724" max="9724" width="10.81640625" style="229" customWidth="1"/>
    <col min="9725" max="9725" width="12.81640625" style="229" customWidth="1"/>
    <col min="9726" max="9726" width="10.1796875" style="229" customWidth="1"/>
    <col min="9727" max="9727" width="10.81640625" style="229" customWidth="1"/>
    <col min="9728" max="9728" width="12" style="229" customWidth="1"/>
    <col min="9729" max="9729" width="8.1796875" style="229" customWidth="1"/>
    <col min="9730" max="9730" width="12.1796875" style="229" customWidth="1"/>
    <col min="9731" max="9731" width="12.453125" style="229" customWidth="1"/>
    <col min="9732" max="9732" width="8.1796875" style="229" customWidth="1"/>
    <col min="9733" max="9733" width="11.453125" style="229" customWidth="1"/>
    <col min="9734" max="9734" width="13" style="229" customWidth="1"/>
    <col min="9735" max="9735" width="8" style="229" customWidth="1"/>
    <col min="9736" max="9736" width="12.1796875" style="229" customWidth="1"/>
    <col min="9737" max="9737" width="12.453125" style="229" customWidth="1"/>
    <col min="9738" max="9738" width="9.26953125" style="229" customWidth="1"/>
    <col min="9739" max="9739" width="11.453125" style="229" customWidth="1"/>
    <col min="9740" max="9740" width="12.54296875" style="229" customWidth="1"/>
    <col min="9741" max="9741" width="10.26953125" style="229" customWidth="1"/>
    <col min="9742" max="9743" width="12" style="229" bestFit="1" customWidth="1"/>
    <col min="9744" max="9745" width="11" style="229" customWidth="1"/>
    <col min="9746" max="9746" width="12.453125" style="229" customWidth="1"/>
    <col min="9747" max="9747" width="9.54296875" style="229" customWidth="1"/>
    <col min="9748" max="9748" width="11.1796875" style="229" customWidth="1"/>
    <col min="9749" max="9752" width="12" style="229" customWidth="1"/>
    <col min="9753" max="9753" width="9.1796875" style="229"/>
    <col min="9754" max="9754" width="20.26953125" style="229" customWidth="1"/>
    <col min="9755" max="9755" width="33.81640625" style="229" customWidth="1"/>
    <col min="9756" max="9974" width="9.1796875" style="229"/>
    <col min="9975" max="9975" width="3.81640625" style="229" customWidth="1"/>
    <col min="9976" max="9976" width="44.81640625" style="229" customWidth="1"/>
    <col min="9977" max="9978" width="0" style="229" hidden="1" customWidth="1"/>
    <col min="9979" max="9979" width="9.7265625" style="229" customWidth="1"/>
    <col min="9980" max="9980" width="10.81640625" style="229" customWidth="1"/>
    <col min="9981" max="9981" width="12.81640625" style="229" customWidth="1"/>
    <col min="9982" max="9982" width="10.1796875" style="229" customWidth="1"/>
    <col min="9983" max="9983" width="10.81640625" style="229" customWidth="1"/>
    <col min="9984" max="9984" width="12" style="229" customWidth="1"/>
    <col min="9985" max="9985" width="8.1796875" style="229" customWidth="1"/>
    <col min="9986" max="9986" width="12.1796875" style="229" customWidth="1"/>
    <col min="9987" max="9987" width="12.453125" style="229" customWidth="1"/>
    <col min="9988" max="9988" width="8.1796875" style="229" customWidth="1"/>
    <col min="9989" max="9989" width="11.453125" style="229" customWidth="1"/>
    <col min="9990" max="9990" width="13" style="229" customWidth="1"/>
    <col min="9991" max="9991" width="8" style="229" customWidth="1"/>
    <col min="9992" max="9992" width="12.1796875" style="229" customWidth="1"/>
    <col min="9993" max="9993" width="12.453125" style="229" customWidth="1"/>
    <col min="9994" max="9994" width="9.26953125" style="229" customWidth="1"/>
    <col min="9995" max="9995" width="11.453125" style="229" customWidth="1"/>
    <col min="9996" max="9996" width="12.54296875" style="229" customWidth="1"/>
    <col min="9997" max="9997" width="10.26953125" style="229" customWidth="1"/>
    <col min="9998" max="9999" width="12" style="229" bestFit="1" customWidth="1"/>
    <col min="10000" max="10001" width="11" style="229" customWidth="1"/>
    <col min="10002" max="10002" width="12.453125" style="229" customWidth="1"/>
    <col min="10003" max="10003" width="9.54296875" style="229" customWidth="1"/>
    <col min="10004" max="10004" width="11.1796875" style="229" customWidth="1"/>
    <col min="10005" max="10008" width="12" style="229" customWidth="1"/>
    <col min="10009" max="10009" width="9.1796875" style="229"/>
    <col min="10010" max="10010" width="20.26953125" style="229" customWidth="1"/>
    <col min="10011" max="10011" width="33.81640625" style="229" customWidth="1"/>
    <col min="10012" max="10230" width="9.1796875" style="229"/>
    <col min="10231" max="10231" width="3.81640625" style="229" customWidth="1"/>
    <col min="10232" max="10232" width="44.81640625" style="229" customWidth="1"/>
    <col min="10233" max="10234" width="0" style="229" hidden="1" customWidth="1"/>
    <col min="10235" max="10235" width="9.7265625" style="229" customWidth="1"/>
    <col min="10236" max="10236" width="10.81640625" style="229" customWidth="1"/>
    <col min="10237" max="10237" width="12.81640625" style="229" customWidth="1"/>
    <col min="10238" max="10238" width="10.1796875" style="229" customWidth="1"/>
    <col min="10239" max="10239" width="10.81640625" style="229" customWidth="1"/>
    <col min="10240" max="10240" width="12" style="229" customWidth="1"/>
    <col min="10241" max="10241" width="8.1796875" style="229" customWidth="1"/>
    <col min="10242" max="10242" width="12.1796875" style="229" customWidth="1"/>
    <col min="10243" max="10243" width="12.453125" style="229" customWidth="1"/>
    <col min="10244" max="10244" width="8.1796875" style="229" customWidth="1"/>
    <col min="10245" max="10245" width="11.453125" style="229" customWidth="1"/>
    <col min="10246" max="10246" width="13" style="229" customWidth="1"/>
    <col min="10247" max="10247" width="8" style="229" customWidth="1"/>
    <col min="10248" max="10248" width="12.1796875" style="229" customWidth="1"/>
    <col min="10249" max="10249" width="12.453125" style="229" customWidth="1"/>
    <col min="10250" max="10250" width="9.26953125" style="229" customWidth="1"/>
    <col min="10251" max="10251" width="11.453125" style="229" customWidth="1"/>
    <col min="10252" max="10252" width="12.54296875" style="229" customWidth="1"/>
    <col min="10253" max="10253" width="10.26953125" style="229" customWidth="1"/>
    <col min="10254" max="10255" width="12" style="229" bestFit="1" customWidth="1"/>
    <col min="10256" max="10257" width="11" style="229" customWidth="1"/>
    <col min="10258" max="10258" width="12.453125" style="229" customWidth="1"/>
    <col min="10259" max="10259" width="9.54296875" style="229" customWidth="1"/>
    <col min="10260" max="10260" width="11.1796875" style="229" customWidth="1"/>
    <col min="10261" max="10264" width="12" style="229" customWidth="1"/>
    <col min="10265" max="10265" width="9.1796875" style="229"/>
    <col min="10266" max="10266" width="20.26953125" style="229" customWidth="1"/>
    <col min="10267" max="10267" width="33.81640625" style="229" customWidth="1"/>
    <col min="10268" max="10486" width="9.1796875" style="229"/>
    <col min="10487" max="10487" width="3.81640625" style="229" customWidth="1"/>
    <col min="10488" max="10488" width="44.81640625" style="229" customWidth="1"/>
    <col min="10489" max="10490" width="0" style="229" hidden="1" customWidth="1"/>
    <col min="10491" max="10491" width="9.7265625" style="229" customWidth="1"/>
    <col min="10492" max="10492" width="10.81640625" style="229" customWidth="1"/>
    <col min="10493" max="10493" width="12.81640625" style="229" customWidth="1"/>
    <col min="10494" max="10494" width="10.1796875" style="229" customWidth="1"/>
    <col min="10495" max="10495" width="10.81640625" style="229" customWidth="1"/>
    <col min="10496" max="10496" width="12" style="229" customWidth="1"/>
    <col min="10497" max="10497" width="8.1796875" style="229" customWidth="1"/>
    <col min="10498" max="10498" width="12.1796875" style="229" customWidth="1"/>
    <col min="10499" max="10499" width="12.453125" style="229" customWidth="1"/>
    <col min="10500" max="10500" width="8.1796875" style="229" customWidth="1"/>
    <col min="10501" max="10501" width="11.453125" style="229" customWidth="1"/>
    <col min="10502" max="10502" width="13" style="229" customWidth="1"/>
    <col min="10503" max="10503" width="8" style="229" customWidth="1"/>
    <col min="10504" max="10504" width="12.1796875" style="229" customWidth="1"/>
    <col min="10505" max="10505" width="12.453125" style="229" customWidth="1"/>
    <col min="10506" max="10506" width="9.26953125" style="229" customWidth="1"/>
    <col min="10507" max="10507" width="11.453125" style="229" customWidth="1"/>
    <col min="10508" max="10508" width="12.54296875" style="229" customWidth="1"/>
    <col min="10509" max="10509" width="10.26953125" style="229" customWidth="1"/>
    <col min="10510" max="10511" width="12" style="229" bestFit="1" customWidth="1"/>
    <col min="10512" max="10513" width="11" style="229" customWidth="1"/>
    <col min="10514" max="10514" width="12.453125" style="229" customWidth="1"/>
    <col min="10515" max="10515" width="9.54296875" style="229" customWidth="1"/>
    <col min="10516" max="10516" width="11.1796875" style="229" customWidth="1"/>
    <col min="10517" max="10520" width="12" style="229" customWidth="1"/>
    <col min="10521" max="10521" width="9.1796875" style="229"/>
    <col min="10522" max="10522" width="20.26953125" style="229" customWidth="1"/>
    <col min="10523" max="10523" width="33.81640625" style="229" customWidth="1"/>
    <col min="10524" max="10742" width="9.1796875" style="229"/>
    <col min="10743" max="10743" width="3.81640625" style="229" customWidth="1"/>
    <col min="10744" max="10744" width="44.81640625" style="229" customWidth="1"/>
    <col min="10745" max="10746" width="0" style="229" hidden="1" customWidth="1"/>
    <col min="10747" max="10747" width="9.7265625" style="229" customWidth="1"/>
    <col min="10748" max="10748" width="10.81640625" style="229" customWidth="1"/>
    <col min="10749" max="10749" width="12.81640625" style="229" customWidth="1"/>
    <col min="10750" max="10750" width="10.1796875" style="229" customWidth="1"/>
    <col min="10751" max="10751" width="10.81640625" style="229" customWidth="1"/>
    <col min="10752" max="10752" width="12" style="229" customWidth="1"/>
    <col min="10753" max="10753" width="8.1796875" style="229" customWidth="1"/>
    <col min="10754" max="10754" width="12.1796875" style="229" customWidth="1"/>
    <col min="10755" max="10755" width="12.453125" style="229" customWidth="1"/>
    <col min="10756" max="10756" width="8.1796875" style="229" customWidth="1"/>
    <col min="10757" max="10757" width="11.453125" style="229" customWidth="1"/>
    <col min="10758" max="10758" width="13" style="229" customWidth="1"/>
    <col min="10759" max="10759" width="8" style="229" customWidth="1"/>
    <col min="10760" max="10760" width="12.1796875" style="229" customWidth="1"/>
    <col min="10761" max="10761" width="12.453125" style="229" customWidth="1"/>
    <col min="10762" max="10762" width="9.26953125" style="229" customWidth="1"/>
    <col min="10763" max="10763" width="11.453125" style="229" customWidth="1"/>
    <col min="10764" max="10764" width="12.54296875" style="229" customWidth="1"/>
    <col min="10765" max="10765" width="10.26953125" style="229" customWidth="1"/>
    <col min="10766" max="10767" width="12" style="229" bestFit="1" customWidth="1"/>
    <col min="10768" max="10769" width="11" style="229" customWidth="1"/>
    <col min="10770" max="10770" width="12.453125" style="229" customWidth="1"/>
    <col min="10771" max="10771" width="9.54296875" style="229" customWidth="1"/>
    <col min="10772" max="10772" width="11.1796875" style="229" customWidth="1"/>
    <col min="10773" max="10776" width="12" style="229" customWidth="1"/>
    <col min="10777" max="10777" width="9.1796875" style="229"/>
    <col min="10778" max="10778" width="20.26953125" style="229" customWidth="1"/>
    <col min="10779" max="10779" width="33.81640625" style="229" customWidth="1"/>
    <col min="10780" max="10998" width="9.1796875" style="229"/>
    <col min="10999" max="10999" width="3.81640625" style="229" customWidth="1"/>
    <col min="11000" max="11000" width="44.81640625" style="229" customWidth="1"/>
    <col min="11001" max="11002" width="0" style="229" hidden="1" customWidth="1"/>
    <col min="11003" max="11003" width="9.7265625" style="229" customWidth="1"/>
    <col min="11004" max="11004" width="10.81640625" style="229" customWidth="1"/>
    <col min="11005" max="11005" width="12.81640625" style="229" customWidth="1"/>
    <col min="11006" max="11006" width="10.1796875" style="229" customWidth="1"/>
    <col min="11007" max="11007" width="10.81640625" style="229" customWidth="1"/>
    <col min="11008" max="11008" width="12" style="229" customWidth="1"/>
    <col min="11009" max="11009" width="8.1796875" style="229" customWidth="1"/>
    <col min="11010" max="11010" width="12.1796875" style="229" customWidth="1"/>
    <col min="11011" max="11011" width="12.453125" style="229" customWidth="1"/>
    <col min="11012" max="11012" width="8.1796875" style="229" customWidth="1"/>
    <col min="11013" max="11013" width="11.453125" style="229" customWidth="1"/>
    <col min="11014" max="11014" width="13" style="229" customWidth="1"/>
    <col min="11015" max="11015" width="8" style="229" customWidth="1"/>
    <col min="11016" max="11016" width="12.1796875" style="229" customWidth="1"/>
    <col min="11017" max="11017" width="12.453125" style="229" customWidth="1"/>
    <col min="11018" max="11018" width="9.26953125" style="229" customWidth="1"/>
    <col min="11019" max="11019" width="11.453125" style="229" customWidth="1"/>
    <col min="11020" max="11020" width="12.54296875" style="229" customWidth="1"/>
    <col min="11021" max="11021" width="10.26953125" style="229" customWidth="1"/>
    <col min="11022" max="11023" width="12" style="229" bestFit="1" customWidth="1"/>
    <col min="11024" max="11025" width="11" style="229" customWidth="1"/>
    <col min="11026" max="11026" width="12.453125" style="229" customWidth="1"/>
    <col min="11027" max="11027" width="9.54296875" style="229" customWidth="1"/>
    <col min="11028" max="11028" width="11.1796875" style="229" customWidth="1"/>
    <col min="11029" max="11032" width="12" style="229" customWidth="1"/>
    <col min="11033" max="11033" width="9.1796875" style="229"/>
    <col min="11034" max="11034" width="20.26953125" style="229" customWidth="1"/>
    <col min="11035" max="11035" width="33.81640625" style="229" customWidth="1"/>
    <col min="11036" max="11254" width="9.1796875" style="229"/>
    <col min="11255" max="11255" width="3.81640625" style="229" customWidth="1"/>
    <col min="11256" max="11256" width="44.81640625" style="229" customWidth="1"/>
    <col min="11257" max="11258" width="0" style="229" hidden="1" customWidth="1"/>
    <col min="11259" max="11259" width="9.7265625" style="229" customWidth="1"/>
    <col min="11260" max="11260" width="10.81640625" style="229" customWidth="1"/>
    <col min="11261" max="11261" width="12.81640625" style="229" customWidth="1"/>
    <col min="11262" max="11262" width="10.1796875" style="229" customWidth="1"/>
    <col min="11263" max="11263" width="10.81640625" style="229" customWidth="1"/>
    <col min="11264" max="11264" width="12" style="229" customWidth="1"/>
    <col min="11265" max="11265" width="8.1796875" style="229" customWidth="1"/>
    <col min="11266" max="11266" width="12.1796875" style="229" customWidth="1"/>
    <col min="11267" max="11267" width="12.453125" style="229" customWidth="1"/>
    <col min="11268" max="11268" width="8.1796875" style="229" customWidth="1"/>
    <col min="11269" max="11269" width="11.453125" style="229" customWidth="1"/>
    <col min="11270" max="11270" width="13" style="229" customWidth="1"/>
    <col min="11271" max="11271" width="8" style="229" customWidth="1"/>
    <col min="11272" max="11272" width="12.1796875" style="229" customWidth="1"/>
    <col min="11273" max="11273" width="12.453125" style="229" customWidth="1"/>
    <col min="11274" max="11274" width="9.26953125" style="229" customWidth="1"/>
    <col min="11275" max="11275" width="11.453125" style="229" customWidth="1"/>
    <col min="11276" max="11276" width="12.54296875" style="229" customWidth="1"/>
    <col min="11277" max="11277" width="10.26953125" style="229" customWidth="1"/>
    <col min="11278" max="11279" width="12" style="229" bestFit="1" customWidth="1"/>
    <col min="11280" max="11281" width="11" style="229" customWidth="1"/>
    <col min="11282" max="11282" width="12.453125" style="229" customWidth="1"/>
    <col min="11283" max="11283" width="9.54296875" style="229" customWidth="1"/>
    <col min="11284" max="11284" width="11.1796875" style="229" customWidth="1"/>
    <col min="11285" max="11288" width="12" style="229" customWidth="1"/>
    <col min="11289" max="11289" width="9.1796875" style="229"/>
    <col min="11290" max="11290" width="20.26953125" style="229" customWidth="1"/>
    <col min="11291" max="11291" width="33.81640625" style="229" customWidth="1"/>
    <col min="11292" max="11510" width="9.1796875" style="229"/>
    <col min="11511" max="11511" width="3.81640625" style="229" customWidth="1"/>
    <col min="11512" max="11512" width="44.81640625" style="229" customWidth="1"/>
    <col min="11513" max="11514" width="0" style="229" hidden="1" customWidth="1"/>
    <col min="11515" max="11515" width="9.7265625" style="229" customWidth="1"/>
    <col min="11516" max="11516" width="10.81640625" style="229" customWidth="1"/>
    <col min="11517" max="11517" width="12.81640625" style="229" customWidth="1"/>
    <col min="11518" max="11518" width="10.1796875" style="229" customWidth="1"/>
    <col min="11519" max="11519" width="10.81640625" style="229" customWidth="1"/>
    <col min="11520" max="11520" width="12" style="229" customWidth="1"/>
    <col min="11521" max="11521" width="8.1796875" style="229" customWidth="1"/>
    <col min="11522" max="11522" width="12.1796875" style="229" customWidth="1"/>
    <col min="11523" max="11523" width="12.453125" style="229" customWidth="1"/>
    <col min="11524" max="11524" width="8.1796875" style="229" customWidth="1"/>
    <col min="11525" max="11525" width="11.453125" style="229" customWidth="1"/>
    <col min="11526" max="11526" width="13" style="229" customWidth="1"/>
    <col min="11527" max="11527" width="8" style="229" customWidth="1"/>
    <col min="11528" max="11528" width="12.1796875" style="229" customWidth="1"/>
    <col min="11529" max="11529" width="12.453125" style="229" customWidth="1"/>
    <col min="11530" max="11530" width="9.26953125" style="229" customWidth="1"/>
    <col min="11531" max="11531" width="11.453125" style="229" customWidth="1"/>
    <col min="11532" max="11532" width="12.54296875" style="229" customWidth="1"/>
    <col min="11533" max="11533" width="10.26953125" style="229" customWidth="1"/>
    <col min="11534" max="11535" width="12" style="229" bestFit="1" customWidth="1"/>
    <col min="11536" max="11537" width="11" style="229" customWidth="1"/>
    <col min="11538" max="11538" width="12.453125" style="229" customWidth="1"/>
    <col min="11539" max="11539" width="9.54296875" style="229" customWidth="1"/>
    <col min="11540" max="11540" width="11.1796875" style="229" customWidth="1"/>
    <col min="11541" max="11544" width="12" style="229" customWidth="1"/>
    <col min="11545" max="11545" width="9.1796875" style="229"/>
    <col min="11546" max="11546" width="20.26953125" style="229" customWidth="1"/>
    <col min="11547" max="11547" width="33.81640625" style="229" customWidth="1"/>
    <col min="11548" max="11766" width="9.1796875" style="229"/>
    <col min="11767" max="11767" width="3.81640625" style="229" customWidth="1"/>
    <col min="11768" max="11768" width="44.81640625" style="229" customWidth="1"/>
    <col min="11769" max="11770" width="0" style="229" hidden="1" customWidth="1"/>
    <col min="11771" max="11771" width="9.7265625" style="229" customWidth="1"/>
    <col min="11772" max="11772" width="10.81640625" style="229" customWidth="1"/>
    <col min="11773" max="11773" width="12.81640625" style="229" customWidth="1"/>
    <col min="11774" max="11774" width="10.1796875" style="229" customWidth="1"/>
    <col min="11775" max="11775" width="10.81640625" style="229" customWidth="1"/>
    <col min="11776" max="11776" width="12" style="229" customWidth="1"/>
    <col min="11777" max="11777" width="8.1796875" style="229" customWidth="1"/>
    <col min="11778" max="11778" width="12.1796875" style="229" customWidth="1"/>
    <col min="11779" max="11779" width="12.453125" style="229" customWidth="1"/>
    <col min="11780" max="11780" width="8.1796875" style="229" customWidth="1"/>
    <col min="11781" max="11781" width="11.453125" style="229" customWidth="1"/>
    <col min="11782" max="11782" width="13" style="229" customWidth="1"/>
    <col min="11783" max="11783" width="8" style="229" customWidth="1"/>
    <col min="11784" max="11784" width="12.1796875" style="229" customWidth="1"/>
    <col min="11785" max="11785" width="12.453125" style="229" customWidth="1"/>
    <col min="11786" max="11786" width="9.26953125" style="229" customWidth="1"/>
    <col min="11787" max="11787" width="11.453125" style="229" customWidth="1"/>
    <col min="11788" max="11788" width="12.54296875" style="229" customWidth="1"/>
    <col min="11789" max="11789" width="10.26953125" style="229" customWidth="1"/>
    <col min="11790" max="11791" width="12" style="229" bestFit="1" customWidth="1"/>
    <col min="11792" max="11793" width="11" style="229" customWidth="1"/>
    <col min="11794" max="11794" width="12.453125" style="229" customWidth="1"/>
    <col min="11795" max="11795" width="9.54296875" style="229" customWidth="1"/>
    <col min="11796" max="11796" width="11.1796875" style="229" customWidth="1"/>
    <col min="11797" max="11800" width="12" style="229" customWidth="1"/>
    <col min="11801" max="11801" width="9.1796875" style="229"/>
    <col min="11802" max="11802" width="20.26953125" style="229" customWidth="1"/>
    <col min="11803" max="11803" width="33.81640625" style="229" customWidth="1"/>
    <col min="11804" max="12022" width="9.1796875" style="229"/>
    <col min="12023" max="12023" width="3.81640625" style="229" customWidth="1"/>
    <col min="12024" max="12024" width="44.81640625" style="229" customWidth="1"/>
    <col min="12025" max="12026" width="0" style="229" hidden="1" customWidth="1"/>
    <col min="12027" max="12027" width="9.7265625" style="229" customWidth="1"/>
    <col min="12028" max="12028" width="10.81640625" style="229" customWidth="1"/>
    <col min="12029" max="12029" width="12.81640625" style="229" customWidth="1"/>
    <col min="12030" max="12030" width="10.1796875" style="229" customWidth="1"/>
    <col min="12031" max="12031" width="10.81640625" style="229" customWidth="1"/>
    <col min="12032" max="12032" width="12" style="229" customWidth="1"/>
    <col min="12033" max="12033" width="8.1796875" style="229" customWidth="1"/>
    <col min="12034" max="12034" width="12.1796875" style="229" customWidth="1"/>
    <col min="12035" max="12035" width="12.453125" style="229" customWidth="1"/>
    <col min="12036" max="12036" width="8.1796875" style="229" customWidth="1"/>
    <col min="12037" max="12037" width="11.453125" style="229" customWidth="1"/>
    <col min="12038" max="12038" width="13" style="229" customWidth="1"/>
    <col min="12039" max="12039" width="8" style="229" customWidth="1"/>
    <col min="12040" max="12040" width="12.1796875" style="229" customWidth="1"/>
    <col min="12041" max="12041" width="12.453125" style="229" customWidth="1"/>
    <col min="12042" max="12042" width="9.26953125" style="229" customWidth="1"/>
    <col min="12043" max="12043" width="11.453125" style="229" customWidth="1"/>
    <col min="12044" max="12044" width="12.54296875" style="229" customWidth="1"/>
    <col min="12045" max="12045" width="10.26953125" style="229" customWidth="1"/>
    <col min="12046" max="12047" width="12" style="229" bestFit="1" customWidth="1"/>
    <col min="12048" max="12049" width="11" style="229" customWidth="1"/>
    <col min="12050" max="12050" width="12.453125" style="229" customWidth="1"/>
    <col min="12051" max="12051" width="9.54296875" style="229" customWidth="1"/>
    <col min="12052" max="12052" width="11.1796875" style="229" customWidth="1"/>
    <col min="12053" max="12056" width="12" style="229" customWidth="1"/>
    <col min="12057" max="12057" width="9.1796875" style="229"/>
    <col min="12058" max="12058" width="20.26953125" style="229" customWidth="1"/>
    <col min="12059" max="12059" width="33.81640625" style="229" customWidth="1"/>
    <col min="12060" max="12278" width="9.1796875" style="229"/>
    <col min="12279" max="12279" width="3.81640625" style="229" customWidth="1"/>
    <col min="12280" max="12280" width="44.81640625" style="229" customWidth="1"/>
    <col min="12281" max="12282" width="0" style="229" hidden="1" customWidth="1"/>
    <col min="12283" max="12283" width="9.7265625" style="229" customWidth="1"/>
    <col min="12284" max="12284" width="10.81640625" style="229" customWidth="1"/>
    <col min="12285" max="12285" width="12.81640625" style="229" customWidth="1"/>
    <col min="12286" max="12286" width="10.1796875" style="229" customWidth="1"/>
    <col min="12287" max="12287" width="10.81640625" style="229" customWidth="1"/>
    <col min="12288" max="12288" width="12" style="229" customWidth="1"/>
    <col min="12289" max="12289" width="8.1796875" style="229" customWidth="1"/>
    <col min="12290" max="12290" width="12.1796875" style="229" customWidth="1"/>
    <col min="12291" max="12291" width="12.453125" style="229" customWidth="1"/>
    <col min="12292" max="12292" width="8.1796875" style="229" customWidth="1"/>
    <col min="12293" max="12293" width="11.453125" style="229" customWidth="1"/>
    <col min="12294" max="12294" width="13" style="229" customWidth="1"/>
    <col min="12295" max="12295" width="8" style="229" customWidth="1"/>
    <col min="12296" max="12296" width="12.1796875" style="229" customWidth="1"/>
    <col min="12297" max="12297" width="12.453125" style="229" customWidth="1"/>
    <col min="12298" max="12298" width="9.26953125" style="229" customWidth="1"/>
    <col min="12299" max="12299" width="11.453125" style="229" customWidth="1"/>
    <col min="12300" max="12300" width="12.54296875" style="229" customWidth="1"/>
    <col min="12301" max="12301" width="10.26953125" style="229" customWidth="1"/>
    <col min="12302" max="12303" width="12" style="229" bestFit="1" customWidth="1"/>
    <col min="12304" max="12305" width="11" style="229" customWidth="1"/>
    <col min="12306" max="12306" width="12.453125" style="229" customWidth="1"/>
    <col min="12307" max="12307" width="9.54296875" style="229" customWidth="1"/>
    <col min="12308" max="12308" width="11.1796875" style="229" customWidth="1"/>
    <col min="12309" max="12312" width="12" style="229" customWidth="1"/>
    <col min="12313" max="12313" width="9.1796875" style="229"/>
    <col min="12314" max="12314" width="20.26953125" style="229" customWidth="1"/>
    <col min="12315" max="12315" width="33.81640625" style="229" customWidth="1"/>
    <col min="12316" max="12534" width="9.1796875" style="229"/>
    <col min="12535" max="12535" width="3.81640625" style="229" customWidth="1"/>
    <col min="12536" max="12536" width="44.81640625" style="229" customWidth="1"/>
    <col min="12537" max="12538" width="0" style="229" hidden="1" customWidth="1"/>
    <col min="12539" max="12539" width="9.7265625" style="229" customWidth="1"/>
    <col min="12540" max="12540" width="10.81640625" style="229" customWidth="1"/>
    <col min="12541" max="12541" width="12.81640625" style="229" customWidth="1"/>
    <col min="12542" max="12542" width="10.1796875" style="229" customWidth="1"/>
    <col min="12543" max="12543" width="10.81640625" style="229" customWidth="1"/>
    <col min="12544" max="12544" width="12" style="229" customWidth="1"/>
    <col min="12545" max="12545" width="8.1796875" style="229" customWidth="1"/>
    <col min="12546" max="12546" width="12.1796875" style="229" customWidth="1"/>
    <col min="12547" max="12547" width="12.453125" style="229" customWidth="1"/>
    <col min="12548" max="12548" width="8.1796875" style="229" customWidth="1"/>
    <col min="12549" max="12549" width="11.453125" style="229" customWidth="1"/>
    <col min="12550" max="12550" width="13" style="229" customWidth="1"/>
    <col min="12551" max="12551" width="8" style="229" customWidth="1"/>
    <col min="12552" max="12552" width="12.1796875" style="229" customWidth="1"/>
    <col min="12553" max="12553" width="12.453125" style="229" customWidth="1"/>
    <col min="12554" max="12554" width="9.26953125" style="229" customWidth="1"/>
    <col min="12555" max="12555" width="11.453125" style="229" customWidth="1"/>
    <col min="12556" max="12556" width="12.54296875" style="229" customWidth="1"/>
    <col min="12557" max="12557" width="10.26953125" style="229" customWidth="1"/>
    <col min="12558" max="12559" width="12" style="229" bestFit="1" customWidth="1"/>
    <col min="12560" max="12561" width="11" style="229" customWidth="1"/>
    <col min="12562" max="12562" width="12.453125" style="229" customWidth="1"/>
    <col min="12563" max="12563" width="9.54296875" style="229" customWidth="1"/>
    <col min="12564" max="12564" width="11.1796875" style="229" customWidth="1"/>
    <col min="12565" max="12568" width="12" style="229" customWidth="1"/>
    <col min="12569" max="12569" width="9.1796875" style="229"/>
    <col min="12570" max="12570" width="20.26953125" style="229" customWidth="1"/>
    <col min="12571" max="12571" width="33.81640625" style="229" customWidth="1"/>
    <col min="12572" max="12790" width="9.1796875" style="229"/>
    <col min="12791" max="12791" width="3.81640625" style="229" customWidth="1"/>
    <col min="12792" max="12792" width="44.81640625" style="229" customWidth="1"/>
    <col min="12793" max="12794" width="0" style="229" hidden="1" customWidth="1"/>
    <col min="12795" max="12795" width="9.7265625" style="229" customWidth="1"/>
    <col min="12796" max="12796" width="10.81640625" style="229" customWidth="1"/>
    <col min="12797" max="12797" width="12.81640625" style="229" customWidth="1"/>
    <col min="12798" max="12798" width="10.1796875" style="229" customWidth="1"/>
    <col min="12799" max="12799" width="10.81640625" style="229" customWidth="1"/>
    <col min="12800" max="12800" width="12" style="229" customWidth="1"/>
    <col min="12801" max="12801" width="8.1796875" style="229" customWidth="1"/>
    <col min="12802" max="12802" width="12.1796875" style="229" customWidth="1"/>
    <col min="12803" max="12803" width="12.453125" style="229" customWidth="1"/>
    <col min="12804" max="12804" width="8.1796875" style="229" customWidth="1"/>
    <col min="12805" max="12805" width="11.453125" style="229" customWidth="1"/>
    <col min="12806" max="12806" width="13" style="229" customWidth="1"/>
    <col min="12807" max="12807" width="8" style="229" customWidth="1"/>
    <col min="12808" max="12808" width="12.1796875" style="229" customWidth="1"/>
    <col min="12809" max="12809" width="12.453125" style="229" customWidth="1"/>
    <col min="12810" max="12810" width="9.26953125" style="229" customWidth="1"/>
    <col min="12811" max="12811" width="11.453125" style="229" customWidth="1"/>
    <col min="12812" max="12812" width="12.54296875" style="229" customWidth="1"/>
    <col min="12813" max="12813" width="10.26953125" style="229" customWidth="1"/>
    <col min="12814" max="12815" width="12" style="229" bestFit="1" customWidth="1"/>
    <col min="12816" max="12817" width="11" style="229" customWidth="1"/>
    <col min="12818" max="12818" width="12.453125" style="229" customWidth="1"/>
    <col min="12819" max="12819" width="9.54296875" style="229" customWidth="1"/>
    <col min="12820" max="12820" width="11.1796875" style="229" customWidth="1"/>
    <col min="12821" max="12824" width="12" style="229" customWidth="1"/>
    <col min="12825" max="12825" width="9.1796875" style="229"/>
    <col min="12826" max="12826" width="20.26953125" style="229" customWidth="1"/>
    <col min="12827" max="12827" width="33.81640625" style="229" customWidth="1"/>
    <col min="12828" max="13046" width="9.1796875" style="229"/>
    <col min="13047" max="13047" width="3.81640625" style="229" customWidth="1"/>
    <col min="13048" max="13048" width="44.81640625" style="229" customWidth="1"/>
    <col min="13049" max="13050" width="0" style="229" hidden="1" customWidth="1"/>
    <col min="13051" max="13051" width="9.7265625" style="229" customWidth="1"/>
    <col min="13052" max="13052" width="10.81640625" style="229" customWidth="1"/>
    <col min="13053" max="13053" width="12.81640625" style="229" customWidth="1"/>
    <col min="13054" max="13054" width="10.1796875" style="229" customWidth="1"/>
    <col min="13055" max="13055" width="10.81640625" style="229" customWidth="1"/>
    <col min="13056" max="13056" width="12" style="229" customWidth="1"/>
    <col min="13057" max="13057" width="8.1796875" style="229" customWidth="1"/>
    <col min="13058" max="13058" width="12.1796875" style="229" customWidth="1"/>
    <col min="13059" max="13059" width="12.453125" style="229" customWidth="1"/>
    <col min="13060" max="13060" width="8.1796875" style="229" customWidth="1"/>
    <col min="13061" max="13061" width="11.453125" style="229" customWidth="1"/>
    <col min="13062" max="13062" width="13" style="229" customWidth="1"/>
    <col min="13063" max="13063" width="8" style="229" customWidth="1"/>
    <col min="13064" max="13064" width="12.1796875" style="229" customWidth="1"/>
    <col min="13065" max="13065" width="12.453125" style="229" customWidth="1"/>
    <col min="13066" max="13066" width="9.26953125" style="229" customWidth="1"/>
    <col min="13067" max="13067" width="11.453125" style="229" customWidth="1"/>
    <col min="13068" max="13068" width="12.54296875" style="229" customWidth="1"/>
    <col min="13069" max="13069" width="10.26953125" style="229" customWidth="1"/>
    <col min="13070" max="13071" width="12" style="229" bestFit="1" customWidth="1"/>
    <col min="13072" max="13073" width="11" style="229" customWidth="1"/>
    <col min="13074" max="13074" width="12.453125" style="229" customWidth="1"/>
    <col min="13075" max="13075" width="9.54296875" style="229" customWidth="1"/>
    <col min="13076" max="13076" width="11.1796875" style="229" customWidth="1"/>
    <col min="13077" max="13080" width="12" style="229" customWidth="1"/>
    <col min="13081" max="13081" width="9.1796875" style="229"/>
    <col min="13082" max="13082" width="20.26953125" style="229" customWidth="1"/>
    <col min="13083" max="13083" width="33.81640625" style="229" customWidth="1"/>
    <col min="13084" max="13302" width="9.1796875" style="229"/>
    <col min="13303" max="13303" width="3.81640625" style="229" customWidth="1"/>
    <col min="13304" max="13304" width="44.81640625" style="229" customWidth="1"/>
    <col min="13305" max="13306" width="0" style="229" hidden="1" customWidth="1"/>
    <col min="13307" max="13307" width="9.7265625" style="229" customWidth="1"/>
    <col min="13308" max="13308" width="10.81640625" style="229" customWidth="1"/>
    <col min="13309" max="13309" width="12.81640625" style="229" customWidth="1"/>
    <col min="13310" max="13310" width="10.1796875" style="229" customWidth="1"/>
    <col min="13311" max="13311" width="10.81640625" style="229" customWidth="1"/>
    <col min="13312" max="13312" width="12" style="229" customWidth="1"/>
    <col min="13313" max="13313" width="8.1796875" style="229" customWidth="1"/>
    <col min="13314" max="13314" width="12.1796875" style="229" customWidth="1"/>
    <col min="13315" max="13315" width="12.453125" style="229" customWidth="1"/>
    <col min="13316" max="13316" width="8.1796875" style="229" customWidth="1"/>
    <col min="13317" max="13317" width="11.453125" style="229" customWidth="1"/>
    <col min="13318" max="13318" width="13" style="229" customWidth="1"/>
    <col min="13319" max="13319" width="8" style="229" customWidth="1"/>
    <col min="13320" max="13320" width="12.1796875" style="229" customWidth="1"/>
    <col min="13321" max="13321" width="12.453125" style="229" customWidth="1"/>
    <col min="13322" max="13322" width="9.26953125" style="229" customWidth="1"/>
    <col min="13323" max="13323" width="11.453125" style="229" customWidth="1"/>
    <col min="13324" max="13324" width="12.54296875" style="229" customWidth="1"/>
    <col min="13325" max="13325" width="10.26953125" style="229" customWidth="1"/>
    <col min="13326" max="13327" width="12" style="229" bestFit="1" customWidth="1"/>
    <col min="13328" max="13329" width="11" style="229" customWidth="1"/>
    <col min="13330" max="13330" width="12.453125" style="229" customWidth="1"/>
    <col min="13331" max="13331" width="9.54296875" style="229" customWidth="1"/>
    <col min="13332" max="13332" width="11.1796875" style="229" customWidth="1"/>
    <col min="13333" max="13336" width="12" style="229" customWidth="1"/>
    <col min="13337" max="13337" width="9.1796875" style="229"/>
    <col min="13338" max="13338" width="20.26953125" style="229" customWidth="1"/>
    <col min="13339" max="13339" width="33.81640625" style="229" customWidth="1"/>
    <col min="13340" max="13558" width="9.1796875" style="229"/>
    <col min="13559" max="13559" width="3.81640625" style="229" customWidth="1"/>
    <col min="13560" max="13560" width="44.81640625" style="229" customWidth="1"/>
    <col min="13561" max="13562" width="0" style="229" hidden="1" customWidth="1"/>
    <col min="13563" max="13563" width="9.7265625" style="229" customWidth="1"/>
    <col min="13564" max="13564" width="10.81640625" style="229" customWidth="1"/>
    <col min="13565" max="13565" width="12.81640625" style="229" customWidth="1"/>
    <col min="13566" max="13566" width="10.1796875" style="229" customWidth="1"/>
    <col min="13567" max="13567" width="10.81640625" style="229" customWidth="1"/>
    <col min="13568" max="13568" width="12" style="229" customWidth="1"/>
    <col min="13569" max="13569" width="8.1796875" style="229" customWidth="1"/>
    <col min="13570" max="13570" width="12.1796875" style="229" customWidth="1"/>
    <col min="13571" max="13571" width="12.453125" style="229" customWidth="1"/>
    <col min="13572" max="13572" width="8.1796875" style="229" customWidth="1"/>
    <col min="13573" max="13573" width="11.453125" style="229" customWidth="1"/>
    <col min="13574" max="13574" width="13" style="229" customWidth="1"/>
    <col min="13575" max="13575" width="8" style="229" customWidth="1"/>
    <col min="13576" max="13576" width="12.1796875" style="229" customWidth="1"/>
    <col min="13577" max="13577" width="12.453125" style="229" customWidth="1"/>
    <col min="13578" max="13578" width="9.26953125" style="229" customWidth="1"/>
    <col min="13579" max="13579" width="11.453125" style="229" customWidth="1"/>
    <col min="13580" max="13580" width="12.54296875" style="229" customWidth="1"/>
    <col min="13581" max="13581" width="10.26953125" style="229" customWidth="1"/>
    <col min="13582" max="13583" width="12" style="229" bestFit="1" customWidth="1"/>
    <col min="13584" max="13585" width="11" style="229" customWidth="1"/>
    <col min="13586" max="13586" width="12.453125" style="229" customWidth="1"/>
    <col min="13587" max="13587" width="9.54296875" style="229" customWidth="1"/>
    <col min="13588" max="13588" width="11.1796875" style="229" customWidth="1"/>
    <col min="13589" max="13592" width="12" style="229" customWidth="1"/>
    <col min="13593" max="13593" width="9.1796875" style="229"/>
    <col min="13594" max="13594" width="20.26953125" style="229" customWidth="1"/>
    <col min="13595" max="13595" width="33.81640625" style="229" customWidth="1"/>
    <col min="13596" max="13814" width="9.1796875" style="229"/>
    <col min="13815" max="13815" width="3.81640625" style="229" customWidth="1"/>
    <col min="13816" max="13816" width="44.81640625" style="229" customWidth="1"/>
    <col min="13817" max="13818" width="0" style="229" hidden="1" customWidth="1"/>
    <col min="13819" max="13819" width="9.7265625" style="229" customWidth="1"/>
    <col min="13820" max="13820" width="10.81640625" style="229" customWidth="1"/>
    <col min="13821" max="13821" width="12.81640625" style="229" customWidth="1"/>
    <col min="13822" max="13822" width="10.1796875" style="229" customWidth="1"/>
    <col min="13823" max="13823" width="10.81640625" style="229" customWidth="1"/>
    <col min="13824" max="13824" width="12" style="229" customWidth="1"/>
    <col min="13825" max="13825" width="8.1796875" style="229" customWidth="1"/>
    <col min="13826" max="13826" width="12.1796875" style="229" customWidth="1"/>
    <col min="13827" max="13827" width="12.453125" style="229" customWidth="1"/>
    <col min="13828" max="13828" width="8.1796875" style="229" customWidth="1"/>
    <col min="13829" max="13829" width="11.453125" style="229" customWidth="1"/>
    <col min="13830" max="13830" width="13" style="229" customWidth="1"/>
    <col min="13831" max="13831" width="8" style="229" customWidth="1"/>
    <col min="13832" max="13832" width="12.1796875" style="229" customWidth="1"/>
    <col min="13833" max="13833" width="12.453125" style="229" customWidth="1"/>
    <col min="13834" max="13834" width="9.26953125" style="229" customWidth="1"/>
    <col min="13835" max="13835" width="11.453125" style="229" customWidth="1"/>
    <col min="13836" max="13836" width="12.54296875" style="229" customWidth="1"/>
    <col min="13837" max="13837" width="10.26953125" style="229" customWidth="1"/>
    <col min="13838" max="13839" width="12" style="229" bestFit="1" customWidth="1"/>
    <col min="13840" max="13841" width="11" style="229" customWidth="1"/>
    <col min="13842" max="13842" width="12.453125" style="229" customWidth="1"/>
    <col min="13843" max="13843" width="9.54296875" style="229" customWidth="1"/>
    <col min="13844" max="13844" width="11.1796875" style="229" customWidth="1"/>
    <col min="13845" max="13848" width="12" style="229" customWidth="1"/>
    <col min="13849" max="13849" width="9.1796875" style="229"/>
    <col min="13850" max="13850" width="20.26953125" style="229" customWidth="1"/>
    <col min="13851" max="13851" width="33.81640625" style="229" customWidth="1"/>
    <col min="13852" max="14070" width="9.1796875" style="229"/>
    <col min="14071" max="14071" width="3.81640625" style="229" customWidth="1"/>
    <col min="14072" max="14072" width="44.81640625" style="229" customWidth="1"/>
    <col min="14073" max="14074" width="0" style="229" hidden="1" customWidth="1"/>
    <col min="14075" max="14075" width="9.7265625" style="229" customWidth="1"/>
    <col min="14076" max="14076" width="10.81640625" style="229" customWidth="1"/>
    <col min="14077" max="14077" width="12.81640625" style="229" customWidth="1"/>
    <col min="14078" max="14078" width="10.1796875" style="229" customWidth="1"/>
    <col min="14079" max="14079" width="10.81640625" style="229" customWidth="1"/>
    <col min="14080" max="14080" width="12" style="229" customWidth="1"/>
    <col min="14081" max="14081" width="8.1796875" style="229" customWidth="1"/>
    <col min="14082" max="14082" width="12.1796875" style="229" customWidth="1"/>
    <col min="14083" max="14083" width="12.453125" style="229" customWidth="1"/>
    <col min="14084" max="14084" width="8.1796875" style="229" customWidth="1"/>
    <col min="14085" max="14085" width="11.453125" style="229" customWidth="1"/>
    <col min="14086" max="14086" width="13" style="229" customWidth="1"/>
    <col min="14087" max="14087" width="8" style="229" customWidth="1"/>
    <col min="14088" max="14088" width="12.1796875" style="229" customWidth="1"/>
    <col min="14089" max="14089" width="12.453125" style="229" customWidth="1"/>
    <col min="14090" max="14090" width="9.26953125" style="229" customWidth="1"/>
    <col min="14091" max="14091" width="11.453125" style="229" customWidth="1"/>
    <col min="14092" max="14092" width="12.54296875" style="229" customWidth="1"/>
    <col min="14093" max="14093" width="10.26953125" style="229" customWidth="1"/>
    <col min="14094" max="14095" width="12" style="229" bestFit="1" customWidth="1"/>
    <col min="14096" max="14097" width="11" style="229" customWidth="1"/>
    <col min="14098" max="14098" width="12.453125" style="229" customWidth="1"/>
    <col min="14099" max="14099" width="9.54296875" style="229" customWidth="1"/>
    <col min="14100" max="14100" width="11.1796875" style="229" customWidth="1"/>
    <col min="14101" max="14104" width="12" style="229" customWidth="1"/>
    <col min="14105" max="14105" width="9.1796875" style="229"/>
    <col min="14106" max="14106" width="20.26953125" style="229" customWidth="1"/>
    <col min="14107" max="14107" width="33.81640625" style="229" customWidth="1"/>
    <col min="14108" max="14326" width="9.1796875" style="229"/>
    <col min="14327" max="14327" width="3.81640625" style="229" customWidth="1"/>
    <col min="14328" max="14328" width="44.81640625" style="229" customWidth="1"/>
    <col min="14329" max="14330" width="0" style="229" hidden="1" customWidth="1"/>
    <col min="14331" max="14331" width="9.7265625" style="229" customWidth="1"/>
    <col min="14332" max="14332" width="10.81640625" style="229" customWidth="1"/>
    <col min="14333" max="14333" width="12.81640625" style="229" customWidth="1"/>
    <col min="14334" max="14334" width="10.1796875" style="229" customWidth="1"/>
    <col min="14335" max="14335" width="10.81640625" style="229" customWidth="1"/>
    <col min="14336" max="14336" width="12" style="229" customWidth="1"/>
    <col min="14337" max="14337" width="8.1796875" style="229" customWidth="1"/>
    <col min="14338" max="14338" width="12.1796875" style="229" customWidth="1"/>
    <col min="14339" max="14339" width="12.453125" style="229" customWidth="1"/>
    <col min="14340" max="14340" width="8.1796875" style="229" customWidth="1"/>
    <col min="14341" max="14341" width="11.453125" style="229" customWidth="1"/>
    <col min="14342" max="14342" width="13" style="229" customWidth="1"/>
    <col min="14343" max="14343" width="8" style="229" customWidth="1"/>
    <col min="14344" max="14344" width="12.1796875" style="229" customWidth="1"/>
    <col min="14345" max="14345" width="12.453125" style="229" customWidth="1"/>
    <col min="14346" max="14346" width="9.26953125" style="229" customWidth="1"/>
    <col min="14347" max="14347" width="11.453125" style="229" customWidth="1"/>
    <col min="14348" max="14348" width="12.54296875" style="229" customWidth="1"/>
    <col min="14349" max="14349" width="10.26953125" style="229" customWidth="1"/>
    <col min="14350" max="14351" width="12" style="229" bestFit="1" customWidth="1"/>
    <col min="14352" max="14353" width="11" style="229" customWidth="1"/>
    <col min="14354" max="14354" width="12.453125" style="229" customWidth="1"/>
    <col min="14355" max="14355" width="9.54296875" style="229" customWidth="1"/>
    <col min="14356" max="14356" width="11.1796875" style="229" customWidth="1"/>
    <col min="14357" max="14360" width="12" style="229" customWidth="1"/>
    <col min="14361" max="14361" width="9.1796875" style="229"/>
    <col min="14362" max="14362" width="20.26953125" style="229" customWidth="1"/>
    <col min="14363" max="14363" width="33.81640625" style="229" customWidth="1"/>
    <col min="14364" max="14582" width="9.1796875" style="229"/>
    <col min="14583" max="14583" width="3.81640625" style="229" customWidth="1"/>
    <col min="14584" max="14584" width="44.81640625" style="229" customWidth="1"/>
    <col min="14585" max="14586" width="0" style="229" hidden="1" customWidth="1"/>
    <col min="14587" max="14587" width="9.7265625" style="229" customWidth="1"/>
    <col min="14588" max="14588" width="10.81640625" style="229" customWidth="1"/>
    <col min="14589" max="14589" width="12.81640625" style="229" customWidth="1"/>
    <col min="14590" max="14590" width="10.1796875" style="229" customWidth="1"/>
    <col min="14591" max="14591" width="10.81640625" style="229" customWidth="1"/>
    <col min="14592" max="14592" width="12" style="229" customWidth="1"/>
    <col min="14593" max="14593" width="8.1796875" style="229" customWidth="1"/>
    <col min="14594" max="14594" width="12.1796875" style="229" customWidth="1"/>
    <col min="14595" max="14595" width="12.453125" style="229" customWidth="1"/>
    <col min="14596" max="14596" width="8.1796875" style="229" customWidth="1"/>
    <col min="14597" max="14597" width="11.453125" style="229" customWidth="1"/>
    <col min="14598" max="14598" width="13" style="229" customWidth="1"/>
    <col min="14599" max="14599" width="8" style="229" customWidth="1"/>
    <col min="14600" max="14600" width="12.1796875" style="229" customWidth="1"/>
    <col min="14601" max="14601" width="12.453125" style="229" customWidth="1"/>
    <col min="14602" max="14602" width="9.26953125" style="229" customWidth="1"/>
    <col min="14603" max="14603" width="11.453125" style="229" customWidth="1"/>
    <col min="14604" max="14604" width="12.54296875" style="229" customWidth="1"/>
    <col min="14605" max="14605" width="10.26953125" style="229" customWidth="1"/>
    <col min="14606" max="14607" width="12" style="229" bestFit="1" customWidth="1"/>
    <col min="14608" max="14609" width="11" style="229" customWidth="1"/>
    <col min="14610" max="14610" width="12.453125" style="229" customWidth="1"/>
    <col min="14611" max="14611" width="9.54296875" style="229" customWidth="1"/>
    <col min="14612" max="14612" width="11.1796875" style="229" customWidth="1"/>
    <col min="14613" max="14616" width="12" style="229" customWidth="1"/>
    <col min="14617" max="14617" width="9.1796875" style="229"/>
    <col min="14618" max="14618" width="20.26953125" style="229" customWidth="1"/>
    <col min="14619" max="14619" width="33.81640625" style="229" customWidth="1"/>
    <col min="14620" max="14838" width="9.1796875" style="229"/>
    <col min="14839" max="14839" width="3.81640625" style="229" customWidth="1"/>
    <col min="14840" max="14840" width="44.81640625" style="229" customWidth="1"/>
    <col min="14841" max="14842" width="0" style="229" hidden="1" customWidth="1"/>
    <col min="14843" max="14843" width="9.7265625" style="229" customWidth="1"/>
    <col min="14844" max="14844" width="10.81640625" style="229" customWidth="1"/>
    <col min="14845" max="14845" width="12.81640625" style="229" customWidth="1"/>
    <col min="14846" max="14846" width="10.1796875" style="229" customWidth="1"/>
    <col min="14847" max="14847" width="10.81640625" style="229" customWidth="1"/>
    <col min="14848" max="14848" width="12" style="229" customWidth="1"/>
    <col min="14849" max="14849" width="8.1796875" style="229" customWidth="1"/>
    <col min="14850" max="14850" width="12.1796875" style="229" customWidth="1"/>
    <col min="14851" max="14851" width="12.453125" style="229" customWidth="1"/>
    <col min="14852" max="14852" width="8.1796875" style="229" customWidth="1"/>
    <col min="14853" max="14853" width="11.453125" style="229" customWidth="1"/>
    <col min="14854" max="14854" width="13" style="229" customWidth="1"/>
    <col min="14855" max="14855" width="8" style="229" customWidth="1"/>
    <col min="14856" max="14856" width="12.1796875" style="229" customWidth="1"/>
    <col min="14857" max="14857" width="12.453125" style="229" customWidth="1"/>
    <col min="14858" max="14858" width="9.26953125" style="229" customWidth="1"/>
    <col min="14859" max="14859" width="11.453125" style="229" customWidth="1"/>
    <col min="14860" max="14860" width="12.54296875" style="229" customWidth="1"/>
    <col min="14861" max="14861" width="10.26953125" style="229" customWidth="1"/>
    <col min="14862" max="14863" width="12" style="229" bestFit="1" customWidth="1"/>
    <col min="14864" max="14865" width="11" style="229" customWidth="1"/>
    <col min="14866" max="14866" width="12.453125" style="229" customWidth="1"/>
    <col min="14867" max="14867" width="9.54296875" style="229" customWidth="1"/>
    <col min="14868" max="14868" width="11.1796875" style="229" customWidth="1"/>
    <col min="14869" max="14872" width="12" style="229" customWidth="1"/>
    <col min="14873" max="14873" width="9.1796875" style="229"/>
    <col min="14874" max="14874" width="20.26953125" style="229" customWidth="1"/>
    <col min="14875" max="14875" width="33.81640625" style="229" customWidth="1"/>
    <col min="14876" max="15094" width="9.1796875" style="229"/>
    <col min="15095" max="15095" width="3.81640625" style="229" customWidth="1"/>
    <col min="15096" max="15096" width="44.81640625" style="229" customWidth="1"/>
    <col min="15097" max="15098" width="0" style="229" hidden="1" customWidth="1"/>
    <col min="15099" max="15099" width="9.7265625" style="229" customWidth="1"/>
    <col min="15100" max="15100" width="10.81640625" style="229" customWidth="1"/>
    <col min="15101" max="15101" width="12.81640625" style="229" customWidth="1"/>
    <col min="15102" max="15102" width="10.1796875" style="229" customWidth="1"/>
    <col min="15103" max="15103" width="10.81640625" style="229" customWidth="1"/>
    <col min="15104" max="15104" width="12" style="229" customWidth="1"/>
    <col min="15105" max="15105" width="8.1796875" style="229" customWidth="1"/>
    <col min="15106" max="15106" width="12.1796875" style="229" customWidth="1"/>
    <col min="15107" max="15107" width="12.453125" style="229" customWidth="1"/>
    <col min="15108" max="15108" width="8.1796875" style="229" customWidth="1"/>
    <col min="15109" max="15109" width="11.453125" style="229" customWidth="1"/>
    <col min="15110" max="15110" width="13" style="229" customWidth="1"/>
    <col min="15111" max="15111" width="8" style="229" customWidth="1"/>
    <col min="15112" max="15112" width="12.1796875" style="229" customWidth="1"/>
    <col min="15113" max="15113" width="12.453125" style="229" customWidth="1"/>
    <col min="15114" max="15114" width="9.26953125" style="229" customWidth="1"/>
    <col min="15115" max="15115" width="11.453125" style="229" customWidth="1"/>
    <col min="15116" max="15116" width="12.54296875" style="229" customWidth="1"/>
    <col min="15117" max="15117" width="10.26953125" style="229" customWidth="1"/>
    <col min="15118" max="15119" width="12" style="229" bestFit="1" customWidth="1"/>
    <col min="15120" max="15121" width="11" style="229" customWidth="1"/>
    <col min="15122" max="15122" width="12.453125" style="229" customWidth="1"/>
    <col min="15123" max="15123" width="9.54296875" style="229" customWidth="1"/>
    <col min="15124" max="15124" width="11.1796875" style="229" customWidth="1"/>
    <col min="15125" max="15128" width="12" style="229" customWidth="1"/>
    <col min="15129" max="15129" width="9.1796875" style="229"/>
    <col min="15130" max="15130" width="20.26953125" style="229" customWidth="1"/>
    <col min="15131" max="15131" width="33.81640625" style="229" customWidth="1"/>
    <col min="15132" max="15350" width="9.1796875" style="229"/>
    <col min="15351" max="15351" width="3.81640625" style="229" customWidth="1"/>
    <col min="15352" max="15352" width="44.81640625" style="229" customWidth="1"/>
    <col min="15353" max="15354" width="0" style="229" hidden="1" customWidth="1"/>
    <col min="15355" max="15355" width="9.7265625" style="229" customWidth="1"/>
    <col min="15356" max="15356" width="10.81640625" style="229" customWidth="1"/>
    <col min="15357" max="15357" width="12.81640625" style="229" customWidth="1"/>
    <col min="15358" max="15358" width="10.1796875" style="229" customWidth="1"/>
    <col min="15359" max="15359" width="10.81640625" style="229" customWidth="1"/>
    <col min="15360" max="15360" width="12" style="229" customWidth="1"/>
    <col min="15361" max="15361" width="8.1796875" style="229" customWidth="1"/>
    <col min="15362" max="15362" width="12.1796875" style="229" customWidth="1"/>
    <col min="15363" max="15363" width="12.453125" style="229" customWidth="1"/>
    <col min="15364" max="15364" width="8.1796875" style="229" customWidth="1"/>
    <col min="15365" max="15365" width="11.453125" style="229" customWidth="1"/>
    <col min="15366" max="15366" width="13" style="229" customWidth="1"/>
    <col min="15367" max="15367" width="8" style="229" customWidth="1"/>
    <col min="15368" max="15368" width="12.1796875" style="229" customWidth="1"/>
    <col min="15369" max="15369" width="12.453125" style="229" customWidth="1"/>
    <col min="15370" max="15370" width="9.26953125" style="229" customWidth="1"/>
    <col min="15371" max="15371" width="11.453125" style="229" customWidth="1"/>
    <col min="15372" max="15372" width="12.54296875" style="229" customWidth="1"/>
    <col min="15373" max="15373" width="10.26953125" style="229" customWidth="1"/>
    <col min="15374" max="15375" width="12" style="229" bestFit="1" customWidth="1"/>
    <col min="15376" max="15377" width="11" style="229" customWidth="1"/>
    <col min="15378" max="15378" width="12.453125" style="229" customWidth="1"/>
    <col min="15379" max="15379" width="9.54296875" style="229" customWidth="1"/>
    <col min="15380" max="15380" width="11.1796875" style="229" customWidth="1"/>
    <col min="15381" max="15384" width="12" style="229" customWidth="1"/>
    <col min="15385" max="15385" width="9.1796875" style="229"/>
    <col min="15386" max="15386" width="20.26953125" style="229" customWidth="1"/>
    <col min="15387" max="15387" width="33.81640625" style="229" customWidth="1"/>
    <col min="15388" max="15606" width="9.1796875" style="229"/>
    <col min="15607" max="15607" width="3.81640625" style="229" customWidth="1"/>
    <col min="15608" max="15608" width="44.81640625" style="229" customWidth="1"/>
    <col min="15609" max="15610" width="0" style="229" hidden="1" customWidth="1"/>
    <col min="15611" max="15611" width="9.7265625" style="229" customWidth="1"/>
    <col min="15612" max="15612" width="10.81640625" style="229" customWidth="1"/>
    <col min="15613" max="15613" width="12.81640625" style="229" customWidth="1"/>
    <col min="15614" max="15614" width="10.1796875" style="229" customWidth="1"/>
    <col min="15615" max="15615" width="10.81640625" style="229" customWidth="1"/>
    <col min="15616" max="15616" width="12" style="229" customWidth="1"/>
    <col min="15617" max="15617" width="8.1796875" style="229" customWidth="1"/>
    <col min="15618" max="15618" width="12.1796875" style="229" customWidth="1"/>
    <col min="15619" max="15619" width="12.453125" style="229" customWidth="1"/>
    <col min="15620" max="15620" width="8.1796875" style="229" customWidth="1"/>
    <col min="15621" max="15621" width="11.453125" style="229" customWidth="1"/>
    <col min="15622" max="15622" width="13" style="229" customWidth="1"/>
    <col min="15623" max="15623" width="8" style="229" customWidth="1"/>
    <col min="15624" max="15624" width="12.1796875" style="229" customWidth="1"/>
    <col min="15625" max="15625" width="12.453125" style="229" customWidth="1"/>
    <col min="15626" max="15626" width="9.26953125" style="229" customWidth="1"/>
    <col min="15627" max="15627" width="11.453125" style="229" customWidth="1"/>
    <col min="15628" max="15628" width="12.54296875" style="229" customWidth="1"/>
    <col min="15629" max="15629" width="10.26953125" style="229" customWidth="1"/>
    <col min="15630" max="15631" width="12" style="229" bestFit="1" customWidth="1"/>
    <col min="15632" max="15633" width="11" style="229" customWidth="1"/>
    <col min="15634" max="15634" width="12.453125" style="229" customWidth="1"/>
    <col min="15635" max="15635" width="9.54296875" style="229" customWidth="1"/>
    <col min="15636" max="15636" width="11.1796875" style="229" customWidth="1"/>
    <col min="15637" max="15640" width="12" style="229" customWidth="1"/>
    <col min="15641" max="15641" width="9.1796875" style="229"/>
    <col min="15642" max="15642" width="20.26953125" style="229" customWidth="1"/>
    <col min="15643" max="15643" width="33.81640625" style="229" customWidth="1"/>
    <col min="15644" max="15862" width="9.1796875" style="229"/>
    <col min="15863" max="15863" width="3.81640625" style="229" customWidth="1"/>
    <col min="15864" max="15864" width="44.81640625" style="229" customWidth="1"/>
    <col min="15865" max="15866" width="0" style="229" hidden="1" customWidth="1"/>
    <col min="15867" max="15867" width="9.7265625" style="229" customWidth="1"/>
    <col min="15868" max="15868" width="10.81640625" style="229" customWidth="1"/>
    <col min="15869" max="15869" width="12.81640625" style="229" customWidth="1"/>
    <col min="15870" max="15870" width="10.1796875" style="229" customWidth="1"/>
    <col min="15871" max="15871" width="10.81640625" style="229" customWidth="1"/>
    <col min="15872" max="15872" width="12" style="229" customWidth="1"/>
    <col min="15873" max="15873" width="8.1796875" style="229" customWidth="1"/>
    <col min="15874" max="15874" width="12.1796875" style="229" customWidth="1"/>
    <col min="15875" max="15875" width="12.453125" style="229" customWidth="1"/>
    <col min="15876" max="15876" width="8.1796875" style="229" customWidth="1"/>
    <col min="15877" max="15877" width="11.453125" style="229" customWidth="1"/>
    <col min="15878" max="15878" width="13" style="229" customWidth="1"/>
    <col min="15879" max="15879" width="8" style="229" customWidth="1"/>
    <col min="15880" max="15880" width="12.1796875" style="229" customWidth="1"/>
    <col min="15881" max="15881" width="12.453125" style="229" customWidth="1"/>
    <col min="15882" max="15882" width="9.26953125" style="229" customWidth="1"/>
    <col min="15883" max="15883" width="11.453125" style="229" customWidth="1"/>
    <col min="15884" max="15884" width="12.54296875" style="229" customWidth="1"/>
    <col min="15885" max="15885" width="10.26953125" style="229" customWidth="1"/>
    <col min="15886" max="15887" width="12" style="229" bestFit="1" customWidth="1"/>
    <col min="15888" max="15889" width="11" style="229" customWidth="1"/>
    <col min="15890" max="15890" width="12.453125" style="229" customWidth="1"/>
    <col min="15891" max="15891" width="9.54296875" style="229" customWidth="1"/>
    <col min="15892" max="15892" width="11.1796875" style="229" customWidth="1"/>
    <col min="15893" max="15896" width="12" style="229" customWidth="1"/>
    <col min="15897" max="15897" width="9.1796875" style="229"/>
    <col min="15898" max="15898" width="20.26953125" style="229" customWidth="1"/>
    <col min="15899" max="15899" width="33.81640625" style="229" customWidth="1"/>
    <col min="15900" max="16118" width="9.1796875" style="229"/>
    <col min="16119" max="16119" width="3.81640625" style="229" customWidth="1"/>
    <col min="16120" max="16120" width="44.81640625" style="229" customWidth="1"/>
    <col min="16121" max="16122" width="0" style="229" hidden="1" customWidth="1"/>
    <col min="16123" max="16123" width="9.7265625" style="229" customWidth="1"/>
    <col min="16124" max="16124" width="10.81640625" style="229" customWidth="1"/>
    <col min="16125" max="16125" width="12.81640625" style="229" customWidth="1"/>
    <col min="16126" max="16126" width="10.1796875" style="229" customWidth="1"/>
    <col min="16127" max="16127" width="10.81640625" style="229" customWidth="1"/>
    <col min="16128" max="16128" width="12" style="229" customWidth="1"/>
    <col min="16129" max="16129" width="8.1796875" style="229" customWidth="1"/>
    <col min="16130" max="16130" width="12.1796875" style="229" customWidth="1"/>
    <col min="16131" max="16131" width="12.453125" style="229" customWidth="1"/>
    <col min="16132" max="16132" width="8.1796875" style="229" customWidth="1"/>
    <col min="16133" max="16133" width="11.453125" style="229" customWidth="1"/>
    <col min="16134" max="16134" width="13" style="229" customWidth="1"/>
    <col min="16135" max="16135" width="8" style="229" customWidth="1"/>
    <col min="16136" max="16136" width="12.1796875" style="229" customWidth="1"/>
    <col min="16137" max="16137" width="12.453125" style="229" customWidth="1"/>
    <col min="16138" max="16138" width="9.26953125" style="229" customWidth="1"/>
    <col min="16139" max="16139" width="11.453125" style="229" customWidth="1"/>
    <col min="16140" max="16140" width="12.54296875" style="229" customWidth="1"/>
    <col min="16141" max="16141" width="10.26953125" style="229" customWidth="1"/>
    <col min="16142" max="16143" width="12" style="229" bestFit="1" customWidth="1"/>
    <col min="16144" max="16145" width="11" style="229" customWidth="1"/>
    <col min="16146" max="16146" width="12.453125" style="229" customWidth="1"/>
    <col min="16147" max="16147" width="9.54296875" style="229" customWidth="1"/>
    <col min="16148" max="16148" width="11.1796875" style="229" customWidth="1"/>
    <col min="16149" max="16152" width="12" style="229" customWidth="1"/>
    <col min="16153" max="16153" width="9.1796875" style="229"/>
    <col min="16154" max="16154" width="20.26953125" style="229" customWidth="1"/>
    <col min="16155" max="16155" width="33.81640625" style="229" customWidth="1"/>
    <col min="16156" max="16384" width="9.1796875" style="229"/>
  </cols>
  <sheetData>
    <row r="1" spans="1:27">
      <c r="A1" s="307" t="s">
        <v>749</v>
      </c>
      <c r="B1" s="307" t="s">
        <v>749</v>
      </c>
    </row>
    <row r="2" spans="1:27">
      <c r="A2" s="344" t="s">
        <v>1604</v>
      </c>
      <c r="B2" s="344" t="s">
        <v>1604</v>
      </c>
      <c r="C2" s="344"/>
      <c r="D2" s="344"/>
      <c r="E2" s="344"/>
      <c r="F2" s="344"/>
      <c r="G2" s="344"/>
      <c r="H2" s="344"/>
      <c r="I2" s="344"/>
      <c r="J2" s="344"/>
      <c r="K2" s="344"/>
      <c r="L2" s="344"/>
      <c r="M2" s="344"/>
      <c r="N2" s="344"/>
      <c r="O2" s="344"/>
      <c r="P2" s="344"/>
      <c r="Q2" s="344"/>
      <c r="R2" s="344"/>
      <c r="S2" s="344"/>
      <c r="T2" s="344"/>
      <c r="U2" s="344"/>
      <c r="V2" s="344"/>
      <c r="W2" s="344"/>
      <c r="X2" s="344"/>
      <c r="Y2" s="344"/>
      <c r="Z2" s="344"/>
    </row>
    <row r="3" spans="1:27">
      <c r="A3" s="304" t="s">
        <v>756</v>
      </c>
      <c r="B3" s="304" t="s">
        <v>756</v>
      </c>
      <c r="C3" s="304"/>
      <c r="D3" s="304"/>
      <c r="E3" s="304"/>
      <c r="F3" s="304"/>
      <c r="G3" s="304"/>
      <c r="H3" s="304"/>
      <c r="I3" s="304"/>
      <c r="J3" s="304"/>
      <c r="K3" s="304"/>
      <c r="L3" s="304"/>
      <c r="M3" s="304"/>
      <c r="N3" s="304"/>
      <c r="O3" s="304"/>
      <c r="P3" s="304"/>
      <c r="Q3" s="304"/>
      <c r="R3" s="304"/>
      <c r="S3" s="304"/>
      <c r="T3" s="304"/>
      <c r="U3" s="290"/>
      <c r="V3" s="290"/>
      <c r="W3" s="304"/>
      <c r="X3" s="1384"/>
      <c r="Y3" s="290"/>
      <c r="Z3" s="290"/>
    </row>
    <row r="5" spans="1:27">
      <c r="X5" s="229" t="s">
        <v>1447</v>
      </c>
      <c r="Y5" s="229">
        <v>7</v>
      </c>
    </row>
    <row r="6" spans="1:27" ht="15" customHeight="1">
      <c r="A6" s="2994" t="s">
        <v>1276</v>
      </c>
      <c r="B6" s="3081" t="s">
        <v>179</v>
      </c>
      <c r="C6" s="3070" t="s">
        <v>1291</v>
      </c>
      <c r="D6" s="3070"/>
      <c r="E6" s="3070"/>
      <c r="F6" s="3070" t="s">
        <v>1291</v>
      </c>
      <c r="G6" s="3070"/>
      <c r="H6" s="3070"/>
      <c r="I6" s="3070" t="s">
        <v>1291</v>
      </c>
      <c r="J6" s="3070"/>
      <c r="K6" s="3070"/>
      <c r="L6" s="3070" t="s">
        <v>1291</v>
      </c>
      <c r="M6" s="3070"/>
      <c r="N6" s="3070"/>
      <c r="O6" s="3070" t="s">
        <v>1291</v>
      </c>
      <c r="P6" s="3070"/>
      <c r="Q6" s="3070"/>
      <c r="R6" s="3070" t="s">
        <v>1291</v>
      </c>
      <c r="S6" s="3070"/>
      <c r="T6" s="3070"/>
      <c r="U6" s="3070" t="s">
        <v>1291</v>
      </c>
      <c r="V6" s="3070"/>
      <c r="W6" s="3070"/>
      <c r="X6" s="3011" t="s">
        <v>303</v>
      </c>
      <c r="Y6" s="3088"/>
      <c r="Z6" s="3012"/>
      <c r="AA6" s="3087"/>
    </row>
    <row r="7" spans="1:27" ht="15" customHeight="1">
      <c r="A7" s="2990"/>
      <c r="B7" s="3079"/>
      <c r="C7" s="3062" t="s">
        <v>812</v>
      </c>
      <c r="D7" s="3063"/>
      <c r="E7" s="3064"/>
      <c r="F7" s="3062" t="s">
        <v>557</v>
      </c>
      <c r="G7" s="3063"/>
      <c r="H7" s="3064"/>
      <c r="I7" s="3062" t="s">
        <v>556</v>
      </c>
      <c r="J7" s="3063"/>
      <c r="K7" s="3064"/>
      <c r="L7" s="3062" t="s">
        <v>555</v>
      </c>
      <c r="M7" s="3063"/>
      <c r="N7" s="3064"/>
      <c r="O7" s="3062" t="s">
        <v>553</v>
      </c>
      <c r="P7" s="3063"/>
      <c r="Q7" s="3064"/>
      <c r="R7" s="3062" t="s">
        <v>551</v>
      </c>
      <c r="S7" s="3063"/>
      <c r="T7" s="3064"/>
      <c r="U7" s="3062" t="s">
        <v>545</v>
      </c>
      <c r="V7" s="3063"/>
      <c r="W7" s="3064"/>
      <c r="X7" s="3054"/>
      <c r="Y7" s="3055"/>
      <c r="Z7" s="3056"/>
      <c r="AA7" s="3087"/>
    </row>
    <row r="8" spans="1:27" ht="58">
      <c r="A8" s="2990"/>
      <c r="B8" s="3080"/>
      <c r="C8" s="322" t="s">
        <v>277</v>
      </c>
      <c r="D8" s="322" t="s">
        <v>278</v>
      </c>
      <c r="E8" s="322" t="s">
        <v>515</v>
      </c>
      <c r="F8" s="322" t="s">
        <v>277</v>
      </c>
      <c r="G8" s="322" t="s">
        <v>278</v>
      </c>
      <c r="H8" s="600" t="s">
        <v>515</v>
      </c>
      <c r="I8" s="322" t="s">
        <v>277</v>
      </c>
      <c r="J8" s="322" t="s">
        <v>278</v>
      </c>
      <c r="K8" s="600" t="s">
        <v>515</v>
      </c>
      <c r="L8" s="322" t="s">
        <v>277</v>
      </c>
      <c r="M8" s="322" t="s">
        <v>278</v>
      </c>
      <c r="N8" s="600" t="s">
        <v>515</v>
      </c>
      <c r="O8" s="322" t="s">
        <v>277</v>
      </c>
      <c r="P8" s="322" t="s">
        <v>278</v>
      </c>
      <c r="Q8" s="600" t="s">
        <v>515</v>
      </c>
      <c r="R8" s="322" t="s">
        <v>277</v>
      </c>
      <c r="S8" s="322" t="s">
        <v>278</v>
      </c>
      <c r="T8" s="600" t="s">
        <v>515</v>
      </c>
      <c r="U8" s="322" t="s">
        <v>277</v>
      </c>
      <c r="V8" s="1226" t="s">
        <v>278</v>
      </c>
      <c r="W8" s="1226" t="s">
        <v>515</v>
      </c>
      <c r="X8" s="322" t="s">
        <v>277</v>
      </c>
      <c r="Y8" s="322" t="s">
        <v>278</v>
      </c>
      <c r="Z8" s="600" t="s">
        <v>515</v>
      </c>
    </row>
    <row r="9" spans="1:27">
      <c r="A9" s="243"/>
      <c r="B9" s="237"/>
      <c r="C9" s="1257"/>
      <c r="D9" s="244" t="s">
        <v>279</v>
      </c>
      <c r="E9" s="73" t="s">
        <v>280</v>
      </c>
      <c r="F9" s="142"/>
      <c r="G9" s="244" t="s">
        <v>279</v>
      </c>
      <c r="H9" s="73" t="s">
        <v>280</v>
      </c>
      <c r="I9" s="142"/>
      <c r="J9" s="244" t="s">
        <v>279</v>
      </c>
      <c r="K9" s="73" t="s">
        <v>280</v>
      </c>
      <c r="L9" s="142"/>
      <c r="M9" s="244" t="s">
        <v>279</v>
      </c>
      <c r="N9" s="73" t="s">
        <v>280</v>
      </c>
      <c r="O9" s="142"/>
      <c r="P9" s="244" t="s">
        <v>279</v>
      </c>
      <c r="Q9" s="73" t="s">
        <v>280</v>
      </c>
      <c r="R9" s="142"/>
      <c r="S9" s="244" t="s">
        <v>279</v>
      </c>
      <c r="T9" s="73" t="s">
        <v>280</v>
      </c>
      <c r="U9" s="142"/>
      <c r="V9" s="712" t="s">
        <v>279</v>
      </c>
      <c r="W9" s="713" t="s">
        <v>280</v>
      </c>
      <c r="X9" s="142"/>
      <c r="Y9" s="244" t="s">
        <v>279</v>
      </c>
      <c r="Z9" s="73" t="s">
        <v>280</v>
      </c>
    </row>
    <row r="10" spans="1:27">
      <c r="A10" s="228"/>
      <c r="B10" s="50"/>
      <c r="C10" s="99"/>
      <c r="D10" s="99"/>
      <c r="E10" s="1491"/>
      <c r="F10" s="99"/>
      <c r="G10" s="1493"/>
      <c r="H10" s="1491"/>
      <c r="I10" s="99"/>
      <c r="J10" s="99"/>
      <c r="K10" s="1491"/>
      <c r="L10" s="99"/>
      <c r="M10" s="99"/>
      <c r="N10" s="1491"/>
      <c r="O10" s="99"/>
      <c r="P10" s="99"/>
      <c r="Q10" s="1491"/>
      <c r="R10" s="99"/>
      <c r="S10" s="99"/>
      <c r="T10" s="1491"/>
      <c r="U10" s="1493"/>
      <c r="V10" s="1496"/>
      <c r="W10" s="1491"/>
      <c r="X10" s="99"/>
      <c r="Y10" s="99"/>
      <c r="Z10" s="99"/>
    </row>
    <row r="11" spans="1:27">
      <c r="A11" s="153">
        <v>1</v>
      </c>
      <c r="B11" s="1367" t="s">
        <v>1043</v>
      </c>
      <c r="C11" s="1393"/>
      <c r="D11" s="1393"/>
      <c r="E11" s="1485"/>
      <c r="F11" s="1393"/>
      <c r="G11" s="1494"/>
      <c r="H11" s="1485"/>
      <c r="I11" s="1393"/>
      <c r="J11" s="1393"/>
      <c r="K11" s="1485"/>
      <c r="L11" s="1393"/>
      <c r="M11" s="1393"/>
      <c r="N11" s="1485"/>
      <c r="O11" s="1393"/>
      <c r="P11" s="1393"/>
      <c r="Q11" s="1485"/>
      <c r="R11" s="1393"/>
      <c r="S11" s="1393"/>
      <c r="T11" s="1485"/>
      <c r="U11" s="1497">
        <v>120000</v>
      </c>
      <c r="V11" s="1495"/>
      <c r="W11" s="1485"/>
      <c r="X11" s="1395"/>
      <c r="Y11" s="1394"/>
      <c r="Z11" s="1396"/>
    </row>
    <row r="12" spans="1:27">
      <c r="A12" s="153">
        <v>2</v>
      </c>
      <c r="B12" s="1369" t="s">
        <v>1395</v>
      </c>
      <c r="C12" s="1258">
        <f>C13</f>
        <v>50586</v>
      </c>
      <c r="D12" s="1258">
        <f t="shared" ref="D12:W12" si="0">D13</f>
        <v>50685</v>
      </c>
      <c r="E12" s="981">
        <f t="shared" si="0"/>
        <v>55.497</v>
      </c>
      <c r="F12" s="1258">
        <f t="shared" si="0"/>
        <v>57486</v>
      </c>
      <c r="G12" s="1481">
        <f t="shared" si="0"/>
        <v>57641</v>
      </c>
      <c r="H12" s="981">
        <f t="shared" si="0"/>
        <v>59.384999999999998</v>
      </c>
      <c r="I12" s="1258">
        <f t="shared" si="0"/>
        <v>92050</v>
      </c>
      <c r="J12" s="1258">
        <f t="shared" si="0"/>
        <v>134137</v>
      </c>
      <c r="K12" s="981">
        <f t="shared" si="0"/>
        <v>62.094000000000001</v>
      </c>
      <c r="L12" s="1258">
        <f t="shared" si="0"/>
        <v>196612</v>
      </c>
      <c r="M12" s="1258">
        <f t="shared" si="0"/>
        <v>197256.432</v>
      </c>
      <c r="N12" s="981">
        <f t="shared" si="0"/>
        <v>320.85428971999988</v>
      </c>
      <c r="O12" s="1258">
        <f t="shared" si="0"/>
        <v>221822</v>
      </c>
      <c r="P12" s="1258">
        <f t="shared" si="0"/>
        <v>222446.58199999999</v>
      </c>
      <c r="Q12" s="981">
        <f t="shared" si="0"/>
        <v>236.14495448292547</v>
      </c>
      <c r="R12" s="1258">
        <f t="shared" si="0"/>
        <v>296744</v>
      </c>
      <c r="S12" s="1258">
        <f t="shared" si="0"/>
        <v>354944</v>
      </c>
      <c r="T12" s="981">
        <f t="shared" si="0"/>
        <v>285.58</v>
      </c>
      <c r="U12" s="1481">
        <f t="shared" si="0"/>
        <v>573843</v>
      </c>
      <c r="V12" s="1481">
        <f t="shared" si="0"/>
        <v>650932</v>
      </c>
      <c r="W12" s="981">
        <f t="shared" si="0"/>
        <v>634.399</v>
      </c>
      <c r="X12" s="1397">
        <f>IFERROR((U12/C12)^(1/$Y$5)-1,)</f>
        <v>0.41475224789615051</v>
      </c>
      <c r="Y12" s="1397">
        <f>IFERROR((V12/D12)^(1/$Y$5)-1,)</f>
        <v>0.44005623888243828</v>
      </c>
      <c r="Z12" s="1397">
        <f>IFERROR((W12/E12)^(1/$Y$5)-1,)</f>
        <v>0.41630288685167893</v>
      </c>
    </row>
    <row r="13" spans="1:27">
      <c r="A13" s="153">
        <v>3</v>
      </c>
      <c r="B13" s="1372" t="s">
        <v>1396</v>
      </c>
      <c r="C13" s="1258">
        <v>50586</v>
      </c>
      <c r="D13" s="1258">
        <v>50685</v>
      </c>
      <c r="E13" s="981">
        <v>55.497</v>
      </c>
      <c r="F13" s="1258">
        <v>57486</v>
      </c>
      <c r="G13" s="1481">
        <v>57641</v>
      </c>
      <c r="H13" s="981">
        <v>59.384999999999998</v>
      </c>
      <c r="I13" s="1258">
        <v>92050</v>
      </c>
      <c r="J13" s="1258">
        <v>134137</v>
      </c>
      <c r="K13" s="981">
        <v>62.094000000000001</v>
      </c>
      <c r="L13" s="1258">
        <v>196612</v>
      </c>
      <c r="M13" s="1258">
        <v>197256.432</v>
      </c>
      <c r="N13" s="981">
        <v>320.85428971999988</v>
      </c>
      <c r="O13" s="1258">
        <v>221822</v>
      </c>
      <c r="P13" s="1258">
        <v>222446.58199999999</v>
      </c>
      <c r="Q13" s="981">
        <v>236.14495448292547</v>
      </c>
      <c r="R13" s="1258">
        <v>296744</v>
      </c>
      <c r="S13" s="1258">
        <v>354944</v>
      </c>
      <c r="T13" s="981">
        <v>285.58</v>
      </c>
      <c r="U13" s="1495">
        <v>573843</v>
      </c>
      <c r="V13" s="1495">
        <f>'F9'!M12</f>
        <v>650932</v>
      </c>
      <c r="W13" s="981">
        <f>'F9'!N12</f>
        <v>634.399</v>
      </c>
      <c r="X13" s="1397">
        <f t="shared" ref="X13:X76" si="1">IFERROR((U13/C13)^(1/$Y$5)-1,)</f>
        <v>0.41475224789615051</v>
      </c>
      <c r="Y13" s="1397">
        <f t="shared" ref="Y13:Y76" si="2">IFERROR((V13/D13)^(1/$Y$5)-1,)</f>
        <v>0.44005623888243828</v>
      </c>
      <c r="Z13" s="1397">
        <f t="shared" ref="Z13:Z76" si="3">IFERROR((W13/E13)^(1/$Y$5)-1,)</f>
        <v>0.41630288685167893</v>
      </c>
    </row>
    <row r="14" spans="1:27">
      <c r="A14" s="228"/>
      <c r="B14" s="1369" t="s">
        <v>1044</v>
      </c>
      <c r="C14" s="1258">
        <v>2333334</v>
      </c>
      <c r="D14" s="1258">
        <v>3472635</v>
      </c>
      <c r="E14" s="981">
        <v>3114.221</v>
      </c>
      <c r="F14" s="1258">
        <v>2606942</v>
      </c>
      <c r="G14" s="1481">
        <v>3527091</v>
      </c>
      <c r="H14" s="981">
        <v>3804.4520000000002</v>
      </c>
      <c r="I14" s="1258">
        <v>2653583</v>
      </c>
      <c r="J14" s="1258">
        <v>3636439</v>
      </c>
      <c r="K14" s="981">
        <v>4969.1909999999998</v>
      </c>
      <c r="L14" s="1258">
        <v>2242122</v>
      </c>
      <c r="M14" s="1258">
        <v>2846853.3024400002</v>
      </c>
      <c r="N14" s="981">
        <v>5272.6000643830757</v>
      </c>
      <c r="O14" s="1258">
        <v>1652522</v>
      </c>
      <c r="P14" s="1258">
        <v>2087321.1677999999</v>
      </c>
      <c r="Q14" s="981">
        <v>3457.9457116981516</v>
      </c>
      <c r="R14" s="1258">
        <v>1240956</v>
      </c>
      <c r="S14" s="1258">
        <v>2232349</v>
      </c>
      <c r="T14" s="981">
        <v>2523</v>
      </c>
      <c r="U14" s="1495">
        <v>873338</v>
      </c>
      <c r="V14" s="1495">
        <f>'F9'!M13</f>
        <v>1074522</v>
      </c>
      <c r="W14" s="981">
        <f>'F9'!N13</f>
        <v>1856.77</v>
      </c>
      <c r="X14" s="1397">
        <f t="shared" si="1"/>
        <v>-0.13098084423344492</v>
      </c>
      <c r="Y14" s="1397">
        <f t="shared" si="2"/>
        <v>-0.15428835522192685</v>
      </c>
      <c r="Z14" s="1397">
        <f t="shared" si="3"/>
        <v>-7.1214287686783506E-2</v>
      </c>
    </row>
    <row r="15" spans="1:27">
      <c r="A15" s="228"/>
      <c r="B15" s="1369" t="s">
        <v>1045</v>
      </c>
      <c r="C15" s="1258">
        <v>565817</v>
      </c>
      <c r="D15" s="1258">
        <v>797500</v>
      </c>
      <c r="E15" s="981">
        <v>674.55700000000002</v>
      </c>
      <c r="F15" s="1258">
        <v>492431</v>
      </c>
      <c r="G15" s="1481">
        <v>681224</v>
      </c>
      <c r="H15" s="981">
        <v>916.46299999999997</v>
      </c>
      <c r="I15" s="1258">
        <v>527760</v>
      </c>
      <c r="J15" s="1258">
        <v>726707</v>
      </c>
      <c r="K15" s="981">
        <v>962.1</v>
      </c>
      <c r="L15" s="1258">
        <v>1222559</v>
      </c>
      <c r="M15" s="1258">
        <v>1237085.4783999999</v>
      </c>
      <c r="N15" s="981">
        <v>1330.6777864969245</v>
      </c>
      <c r="O15" s="1258">
        <v>4140088</v>
      </c>
      <c r="P15" s="1258">
        <v>4323119.4558199998</v>
      </c>
      <c r="Q15" s="981">
        <v>4096.4548724676906</v>
      </c>
      <c r="R15" s="1258">
        <v>4668427</v>
      </c>
      <c r="S15" s="1258">
        <v>5246924</v>
      </c>
      <c r="T15" s="981">
        <v>6502.07</v>
      </c>
      <c r="U15" s="1495">
        <v>4444235</v>
      </c>
      <c r="V15" s="1495">
        <f>'F9'!M14</f>
        <v>4747607</v>
      </c>
      <c r="W15" s="981">
        <f>'F9'!N14</f>
        <v>5681.1050000000005</v>
      </c>
      <c r="X15" s="1397">
        <f t="shared" si="1"/>
        <v>0.34237678208204536</v>
      </c>
      <c r="Y15" s="1397">
        <f t="shared" si="2"/>
        <v>0.29026145740166753</v>
      </c>
      <c r="Z15" s="1397">
        <f t="shared" si="3"/>
        <v>0.35581996020066731</v>
      </c>
    </row>
    <row r="16" spans="1:27">
      <c r="A16" s="228"/>
      <c r="B16" s="1369" t="s">
        <v>1046</v>
      </c>
      <c r="C16" s="1258">
        <v>8</v>
      </c>
      <c r="D16" s="1258">
        <v>2637</v>
      </c>
      <c r="E16" s="981">
        <v>12.151999999999999</v>
      </c>
      <c r="F16" s="1258">
        <v>8</v>
      </c>
      <c r="G16" s="1481">
        <v>1195</v>
      </c>
      <c r="H16" s="981">
        <v>50.533999999999999</v>
      </c>
      <c r="I16" s="1258">
        <v>7</v>
      </c>
      <c r="J16" s="1258">
        <v>1020</v>
      </c>
      <c r="K16" s="981">
        <v>4.7880000000000003</v>
      </c>
      <c r="L16" s="1258">
        <v>879</v>
      </c>
      <c r="M16" s="1258">
        <v>58068.700000000004</v>
      </c>
      <c r="N16" s="981">
        <v>141.21824524000002</v>
      </c>
      <c r="O16" s="1258">
        <v>1081</v>
      </c>
      <c r="P16" s="1258">
        <v>58747.15</v>
      </c>
      <c r="Q16" s="981">
        <v>143.28892488702112</v>
      </c>
      <c r="R16" s="1258">
        <v>253</v>
      </c>
      <c r="S16" s="1258">
        <v>10517</v>
      </c>
      <c r="T16" s="981">
        <v>39</v>
      </c>
      <c r="U16" s="1495">
        <v>13</v>
      </c>
      <c r="V16" s="1495">
        <f>'F9'!M15</f>
        <v>1773</v>
      </c>
      <c r="W16" s="981">
        <f>'F9'!N15</f>
        <v>15.545999999999999</v>
      </c>
      <c r="X16" s="1397">
        <f t="shared" si="1"/>
        <v>7.1820130006494232E-2</v>
      </c>
      <c r="Y16" s="1397">
        <f t="shared" si="2"/>
        <v>-5.5131807488111528E-2</v>
      </c>
      <c r="Z16" s="1397">
        <f t="shared" si="3"/>
        <v>3.5813477393606075E-2</v>
      </c>
    </row>
    <row r="17" spans="1:26">
      <c r="A17" s="228"/>
      <c r="B17" s="1369" t="s">
        <v>1047</v>
      </c>
      <c r="C17" s="1258">
        <v>868864</v>
      </c>
      <c r="D17" s="1258">
        <v>1676292</v>
      </c>
      <c r="E17" s="981">
        <v>2373.5349999999999</v>
      </c>
      <c r="F17" s="1258">
        <v>996356</v>
      </c>
      <c r="G17" s="1481">
        <v>1953840</v>
      </c>
      <c r="H17" s="981">
        <v>2544.942</v>
      </c>
      <c r="I17" s="1258">
        <v>1007179</v>
      </c>
      <c r="J17" s="1258">
        <v>1941641</v>
      </c>
      <c r="K17" s="981">
        <v>2712.578</v>
      </c>
      <c r="L17" s="1258">
        <v>1315238</v>
      </c>
      <c r="M17" s="1258">
        <v>2629384.1600000006</v>
      </c>
      <c r="N17" s="981">
        <v>3369.4674439200007</v>
      </c>
      <c r="O17" s="1258">
        <v>1329148</v>
      </c>
      <c r="P17" s="1258">
        <v>2645112.1090000006</v>
      </c>
      <c r="Q17" s="981">
        <v>3140.3619705581204</v>
      </c>
      <c r="R17" s="1258">
        <v>1320347</v>
      </c>
      <c r="S17" s="1258">
        <v>2813089</v>
      </c>
      <c r="T17" s="981">
        <v>3307</v>
      </c>
      <c r="U17" s="1495">
        <v>1965345</v>
      </c>
      <c r="V17" s="1495">
        <f>'F9'!M16</f>
        <v>3292679</v>
      </c>
      <c r="W17" s="981">
        <f>'F9'!N16</f>
        <v>4561.1000000000004</v>
      </c>
      <c r="X17" s="1397">
        <f t="shared" si="1"/>
        <v>0.12367572619073885</v>
      </c>
      <c r="Y17" s="1397">
        <f t="shared" si="2"/>
        <v>0.10124937386636446</v>
      </c>
      <c r="Z17" s="1397">
        <f t="shared" si="3"/>
        <v>9.7804105389818652E-2</v>
      </c>
    </row>
    <row r="18" spans="1:26">
      <c r="A18" s="228"/>
      <c r="B18" s="1369" t="s">
        <v>1425</v>
      </c>
      <c r="C18" s="1258">
        <v>3818609</v>
      </c>
      <c r="D18" s="1258">
        <v>5999749</v>
      </c>
      <c r="E18" s="981">
        <v>6229.9619999999995</v>
      </c>
      <c r="F18" s="1258">
        <v>4153223</v>
      </c>
      <c r="G18" s="1481">
        <v>6220991</v>
      </c>
      <c r="H18" s="981">
        <v>7375.7759999999998</v>
      </c>
      <c r="I18" s="1258">
        <v>4280579</v>
      </c>
      <c r="J18" s="1258">
        <v>6439944</v>
      </c>
      <c r="K18" s="981">
        <v>8710.7510000000002</v>
      </c>
      <c r="L18" s="1258">
        <v>4977410</v>
      </c>
      <c r="M18" s="1258">
        <v>6968648.0728400014</v>
      </c>
      <c r="N18" s="981">
        <v>10434.817829760001</v>
      </c>
      <c r="O18" s="1258">
        <v>7344661</v>
      </c>
      <c r="P18" s="1258">
        <v>9336746.4646200016</v>
      </c>
      <c r="Q18" s="981">
        <v>11074.19643409391</v>
      </c>
      <c r="R18" s="1258">
        <v>7526727</v>
      </c>
      <c r="S18" s="1258">
        <v>10657823</v>
      </c>
      <c r="T18" s="981">
        <v>12656.65</v>
      </c>
      <c r="U18" s="1495">
        <v>7856774</v>
      </c>
      <c r="V18" s="1495">
        <f>'F9'!M17</f>
        <v>9767513</v>
      </c>
      <c r="W18" s="981">
        <f>'F9'!N17</f>
        <v>12748.920000000002</v>
      </c>
      <c r="X18" s="1397">
        <f t="shared" si="1"/>
        <v>0.10856898551434702</v>
      </c>
      <c r="Y18" s="1397">
        <f t="shared" si="2"/>
        <v>7.2101355550401536E-2</v>
      </c>
      <c r="Z18" s="1397">
        <f t="shared" si="3"/>
        <v>0.1077119907728894</v>
      </c>
    </row>
    <row r="19" spans="1:26">
      <c r="A19" s="228"/>
      <c r="B19" s="1369" t="s">
        <v>1446</v>
      </c>
      <c r="C19" s="1258">
        <v>3818609</v>
      </c>
      <c r="D19" s="1258">
        <v>5999749</v>
      </c>
      <c r="E19" s="981">
        <v>6229.9620000000004</v>
      </c>
      <c r="F19" s="1258">
        <v>4153223</v>
      </c>
      <c r="G19" s="1481">
        <v>6220991</v>
      </c>
      <c r="H19" s="981">
        <v>7375.7759999999998</v>
      </c>
      <c r="I19" s="1258">
        <v>4280579</v>
      </c>
      <c r="J19" s="1258">
        <v>6439944</v>
      </c>
      <c r="K19" s="981">
        <v>8710.7509999999984</v>
      </c>
      <c r="L19" s="1258">
        <v>4977410</v>
      </c>
      <c r="M19" s="1258">
        <v>6968648.0728400014</v>
      </c>
      <c r="N19" s="981">
        <v>10434.817829760001</v>
      </c>
      <c r="O19" s="1258">
        <v>7344661</v>
      </c>
      <c r="P19" s="1258">
        <v>9336746.4646200016</v>
      </c>
      <c r="Q19" s="981">
        <v>11074.196434093908</v>
      </c>
      <c r="R19" s="1258">
        <v>7526727</v>
      </c>
      <c r="S19" s="1258">
        <v>10657823</v>
      </c>
      <c r="T19" s="981">
        <v>12656.65</v>
      </c>
      <c r="U19" s="1495">
        <v>7856774</v>
      </c>
      <c r="V19" s="1495">
        <f>'F9'!M18</f>
        <v>9767513</v>
      </c>
      <c r="W19" s="981">
        <f>'F9'!N18</f>
        <v>12748.92</v>
      </c>
      <c r="X19" s="1397">
        <f t="shared" si="1"/>
        <v>0.10856898551434702</v>
      </c>
      <c r="Y19" s="1397">
        <f t="shared" si="2"/>
        <v>7.2101355550401536E-2</v>
      </c>
      <c r="Z19" s="1397">
        <f t="shared" si="3"/>
        <v>0.1077119907728894</v>
      </c>
    </row>
    <row r="20" spans="1:26">
      <c r="A20" s="243"/>
      <c r="B20" s="1367" t="s">
        <v>1398</v>
      </c>
      <c r="C20" s="1258">
        <v>0</v>
      </c>
      <c r="D20" s="1258">
        <v>0</v>
      </c>
      <c r="E20" s="981">
        <v>0</v>
      </c>
      <c r="F20" s="1258">
        <v>0</v>
      </c>
      <c r="G20" s="1481">
        <v>0</v>
      </c>
      <c r="H20" s="981">
        <v>0</v>
      </c>
      <c r="I20" s="1258">
        <v>0</v>
      </c>
      <c r="J20" s="1258">
        <v>0</v>
      </c>
      <c r="K20" s="981">
        <v>0</v>
      </c>
      <c r="L20" s="1258">
        <v>0</v>
      </c>
      <c r="M20" s="1258">
        <v>0</v>
      </c>
      <c r="N20" s="981">
        <v>0</v>
      </c>
      <c r="O20" s="1258">
        <v>0</v>
      </c>
      <c r="P20" s="1258">
        <v>0</v>
      </c>
      <c r="Q20" s="981">
        <v>0</v>
      </c>
      <c r="R20" s="1258">
        <v>0</v>
      </c>
      <c r="S20" s="1258">
        <v>0</v>
      </c>
      <c r="T20" s="981">
        <v>0</v>
      </c>
      <c r="U20" s="1495">
        <v>0</v>
      </c>
      <c r="V20" s="1495">
        <f>'F9'!M19</f>
        <v>0</v>
      </c>
      <c r="W20" s="981">
        <f>'F9'!N19</f>
        <v>0</v>
      </c>
      <c r="X20" s="1397">
        <f t="shared" si="1"/>
        <v>0</v>
      </c>
      <c r="Y20" s="1397">
        <f t="shared" si="2"/>
        <v>0</v>
      </c>
      <c r="Z20" s="1397">
        <f t="shared" si="3"/>
        <v>0</v>
      </c>
    </row>
    <row r="21" spans="1:26">
      <c r="B21" s="1377" t="s">
        <v>1051</v>
      </c>
      <c r="C21" s="1258">
        <v>75913</v>
      </c>
      <c r="D21" s="1258">
        <v>158472</v>
      </c>
      <c r="E21" s="981">
        <v>150.65600000000001</v>
      </c>
      <c r="F21" s="1258">
        <v>75164</v>
      </c>
      <c r="G21" s="1481">
        <v>165857</v>
      </c>
      <c r="H21" s="981">
        <v>168.09100000000001</v>
      </c>
      <c r="I21" s="1258">
        <v>65345</v>
      </c>
      <c r="J21" s="1258">
        <v>134270</v>
      </c>
      <c r="K21" s="981">
        <v>190.96899999999999</v>
      </c>
      <c r="L21" s="1258">
        <v>33892</v>
      </c>
      <c r="M21" s="1258">
        <v>60412.792999999998</v>
      </c>
      <c r="N21" s="981">
        <v>124.25943468000001</v>
      </c>
      <c r="O21" s="1258">
        <v>30174</v>
      </c>
      <c r="P21" s="1258">
        <v>53637.853999999999</v>
      </c>
      <c r="Q21" s="981">
        <v>100.06276688020365</v>
      </c>
      <c r="R21" s="1258">
        <v>26539</v>
      </c>
      <c r="S21" s="1258">
        <v>76743</v>
      </c>
      <c r="T21" s="981">
        <v>44.2</v>
      </c>
      <c r="U21" s="1495">
        <v>11712</v>
      </c>
      <c r="V21" s="1495">
        <f>'F9'!M20</f>
        <v>22199</v>
      </c>
      <c r="W21" s="981">
        <f>'F9'!N20</f>
        <v>38.36</v>
      </c>
      <c r="X21" s="1397">
        <f t="shared" si="1"/>
        <v>-0.23432408356314838</v>
      </c>
      <c r="Y21" s="1397">
        <f t="shared" si="2"/>
        <v>-0.24481316514506635</v>
      </c>
      <c r="Z21" s="1397">
        <f t="shared" si="3"/>
        <v>-0.17751601130880401</v>
      </c>
    </row>
    <row r="22" spans="1:26">
      <c r="B22" s="1377" t="s">
        <v>1052</v>
      </c>
      <c r="C22" s="1258">
        <v>122587</v>
      </c>
      <c r="D22" s="1258">
        <v>268729</v>
      </c>
      <c r="E22" s="981">
        <v>367.14499999999998</v>
      </c>
      <c r="F22" s="1258">
        <v>100883</v>
      </c>
      <c r="G22" s="1481">
        <v>243563</v>
      </c>
      <c r="H22" s="981">
        <v>473.5</v>
      </c>
      <c r="I22" s="1258">
        <v>107623</v>
      </c>
      <c r="J22" s="1258">
        <v>269172</v>
      </c>
      <c r="K22" s="981">
        <v>566.495</v>
      </c>
      <c r="L22" s="1258">
        <v>37866</v>
      </c>
      <c r="M22" s="1258">
        <v>75207.221619999997</v>
      </c>
      <c r="N22" s="981">
        <v>124.02536156000001</v>
      </c>
      <c r="O22" s="1258">
        <v>46996</v>
      </c>
      <c r="P22" s="1258">
        <v>93726.041999999987</v>
      </c>
      <c r="Q22" s="981">
        <v>181.98198181170929</v>
      </c>
      <c r="R22" s="1258">
        <v>61480</v>
      </c>
      <c r="S22" s="1258">
        <v>139357</v>
      </c>
      <c r="T22" s="981">
        <v>187</v>
      </c>
      <c r="U22" s="1495">
        <v>84621</v>
      </c>
      <c r="V22" s="1495">
        <f>'F9'!M21</f>
        <v>306303</v>
      </c>
      <c r="W22" s="981">
        <f>'F9'!N21</f>
        <v>486.60300000000001</v>
      </c>
      <c r="X22" s="1397">
        <f t="shared" si="1"/>
        <v>-5.1571011805196409E-2</v>
      </c>
      <c r="Y22" s="1397">
        <f t="shared" si="2"/>
        <v>1.8871772970171063E-2</v>
      </c>
      <c r="Z22" s="1397">
        <f t="shared" si="3"/>
        <v>4.1062343302170845E-2</v>
      </c>
    </row>
    <row r="23" spans="1:26">
      <c r="B23" s="1377" t="s">
        <v>1399</v>
      </c>
      <c r="C23" s="1258">
        <v>8</v>
      </c>
      <c r="D23" s="1258">
        <v>86</v>
      </c>
      <c r="E23" s="981">
        <v>2.976</v>
      </c>
      <c r="F23" s="1258">
        <v>2597</v>
      </c>
      <c r="G23" s="1481">
        <v>7177</v>
      </c>
      <c r="H23" s="981">
        <v>2.6419999999999999</v>
      </c>
      <c r="I23" s="1258">
        <v>2249</v>
      </c>
      <c r="J23" s="1258">
        <v>6624</v>
      </c>
      <c r="K23" s="981">
        <v>15.98</v>
      </c>
      <c r="L23" s="1258">
        <v>369</v>
      </c>
      <c r="M23" s="1258">
        <v>913.74300000000005</v>
      </c>
      <c r="N23" s="981">
        <v>12.413513999999999</v>
      </c>
      <c r="O23" s="1258">
        <v>363</v>
      </c>
      <c r="P23" s="1258">
        <v>832.74</v>
      </c>
      <c r="Q23" s="981">
        <v>2.1624314549096364</v>
      </c>
      <c r="R23" s="1258">
        <v>378</v>
      </c>
      <c r="S23" s="1258">
        <v>4027</v>
      </c>
      <c r="T23" s="981">
        <v>1</v>
      </c>
      <c r="U23" s="1495">
        <v>7430</v>
      </c>
      <c r="V23" s="1495">
        <f>'F9'!M22</f>
        <v>25321</v>
      </c>
      <c r="W23" s="981">
        <f>'F9'!N22</f>
        <v>36.213999999999999</v>
      </c>
      <c r="X23" s="1397">
        <f t="shared" si="1"/>
        <v>1.6545172181822094</v>
      </c>
      <c r="Y23" s="1397">
        <f t="shared" si="2"/>
        <v>1.2527436372017084</v>
      </c>
      <c r="Z23" s="1397">
        <f t="shared" si="3"/>
        <v>0.42900844639351932</v>
      </c>
    </row>
    <row r="24" spans="1:26">
      <c r="B24" s="1377" t="s">
        <v>1054</v>
      </c>
      <c r="C24" s="1258">
        <v>159522</v>
      </c>
      <c r="D24" s="1258">
        <v>420126</v>
      </c>
      <c r="E24" s="981">
        <v>617.88699999999994</v>
      </c>
      <c r="F24" s="1258">
        <v>180989</v>
      </c>
      <c r="G24" s="1481">
        <v>501406</v>
      </c>
      <c r="H24" s="981">
        <v>880.18600000000004</v>
      </c>
      <c r="I24" s="1258">
        <v>190157</v>
      </c>
      <c r="J24" s="1258">
        <v>540618</v>
      </c>
      <c r="K24" s="981">
        <v>915.79499999999996</v>
      </c>
      <c r="L24" s="1258">
        <v>326289</v>
      </c>
      <c r="M24" s="1258">
        <v>933625.64524000022</v>
      </c>
      <c r="N24" s="981">
        <v>1986.4100420638019</v>
      </c>
      <c r="O24" s="1258">
        <v>332346</v>
      </c>
      <c r="P24" s="1258">
        <v>947692.08332000021</v>
      </c>
      <c r="Q24" s="981">
        <v>2046.2011187193602</v>
      </c>
      <c r="R24" s="1258">
        <v>329040</v>
      </c>
      <c r="S24" s="1258">
        <v>1062981</v>
      </c>
      <c r="T24" s="981">
        <v>1769</v>
      </c>
      <c r="U24" s="1495">
        <v>345242</v>
      </c>
      <c r="V24" s="1495">
        <f>'F9'!M23</f>
        <v>864426</v>
      </c>
      <c r="W24" s="981">
        <f>'F9'!N23</f>
        <v>1328.703</v>
      </c>
      <c r="X24" s="1397">
        <f t="shared" si="1"/>
        <v>0.11660722592474015</v>
      </c>
      <c r="Y24" s="1397">
        <f t="shared" si="2"/>
        <v>0.10857233769262975</v>
      </c>
      <c r="Z24" s="1397">
        <f t="shared" si="3"/>
        <v>0.11558507133190288</v>
      </c>
    </row>
    <row r="25" spans="1:26">
      <c r="B25" s="1369" t="s">
        <v>1425</v>
      </c>
      <c r="C25" s="1258">
        <v>358030</v>
      </c>
      <c r="D25" s="1258">
        <v>847413</v>
      </c>
      <c r="E25" s="981">
        <v>1138.6639999999998</v>
      </c>
      <c r="F25" s="1258">
        <v>359633</v>
      </c>
      <c r="G25" s="1481">
        <v>918003</v>
      </c>
      <c r="H25" s="981">
        <v>1524.4190000000001</v>
      </c>
      <c r="I25" s="1258">
        <v>365374</v>
      </c>
      <c r="J25" s="1258">
        <v>950684</v>
      </c>
      <c r="K25" s="981">
        <v>1689.239</v>
      </c>
      <c r="L25" s="1258">
        <v>398416</v>
      </c>
      <c r="M25" s="1258">
        <v>1070159.4028600003</v>
      </c>
      <c r="N25" s="981">
        <v>2247.1083523038019</v>
      </c>
      <c r="O25" s="1258">
        <v>409879</v>
      </c>
      <c r="P25" s="1258">
        <v>1095888.7193200001</v>
      </c>
      <c r="Q25" s="981">
        <v>2330.408298866183</v>
      </c>
      <c r="R25" s="1258">
        <v>417437</v>
      </c>
      <c r="S25" s="1258">
        <v>1283108</v>
      </c>
      <c r="T25" s="981">
        <v>2001.2</v>
      </c>
      <c r="U25" s="1495">
        <v>449005</v>
      </c>
      <c r="V25" s="1495">
        <f>'F9'!M24</f>
        <v>1218249</v>
      </c>
      <c r="W25" s="981">
        <f>'F9'!N24</f>
        <v>1889.8799999999999</v>
      </c>
      <c r="X25" s="1397">
        <f t="shared" si="1"/>
        <v>3.2874116079348203E-2</v>
      </c>
      <c r="Y25" s="1397">
        <f t="shared" si="2"/>
        <v>5.3222514839433188E-2</v>
      </c>
      <c r="Z25" s="1397">
        <f t="shared" si="3"/>
        <v>7.5063435870871498E-2</v>
      </c>
    </row>
    <row r="26" spans="1:26">
      <c r="B26" s="1369" t="s">
        <v>1446</v>
      </c>
      <c r="C26" s="1258">
        <v>358030</v>
      </c>
      <c r="D26" s="1258">
        <v>847413</v>
      </c>
      <c r="E26" s="981">
        <v>1138.6639999999998</v>
      </c>
      <c r="F26" s="1258">
        <v>359633</v>
      </c>
      <c r="G26" s="1481">
        <v>918003</v>
      </c>
      <c r="H26" s="981">
        <v>1524.4190000000001</v>
      </c>
      <c r="I26" s="1258">
        <v>365374</v>
      </c>
      <c r="J26" s="1258">
        <v>950684</v>
      </c>
      <c r="K26" s="981">
        <v>1689.239</v>
      </c>
      <c r="L26" s="1258">
        <v>398416</v>
      </c>
      <c r="M26" s="1258">
        <v>1070159.4028600003</v>
      </c>
      <c r="N26" s="981">
        <v>2247.1083523038019</v>
      </c>
      <c r="O26" s="1258">
        <v>409879</v>
      </c>
      <c r="P26" s="1258">
        <v>1095888.7193200001</v>
      </c>
      <c r="Q26" s="981">
        <v>2330.408298866183</v>
      </c>
      <c r="R26" s="1258">
        <v>417437</v>
      </c>
      <c r="S26" s="1258">
        <v>1283108</v>
      </c>
      <c r="T26" s="981">
        <v>2001.2</v>
      </c>
      <c r="U26" s="1495">
        <v>449005</v>
      </c>
      <c r="V26" s="1495">
        <f>'F9'!M25</f>
        <v>1218249</v>
      </c>
      <c r="W26" s="981">
        <f>'F9'!N25</f>
        <v>1889.8799999999999</v>
      </c>
      <c r="X26" s="1397">
        <f t="shared" si="1"/>
        <v>3.2874116079348203E-2</v>
      </c>
      <c r="Y26" s="1397">
        <f t="shared" si="2"/>
        <v>5.3222514839433188E-2</v>
      </c>
      <c r="Z26" s="1397">
        <f t="shared" si="3"/>
        <v>7.5063435870871498E-2</v>
      </c>
    </row>
    <row r="27" spans="1:26">
      <c r="B27" s="1367" t="s">
        <v>1400</v>
      </c>
      <c r="C27" s="1258">
        <v>0</v>
      </c>
      <c r="D27" s="1258">
        <v>0</v>
      </c>
      <c r="E27" s="981">
        <v>0</v>
      </c>
      <c r="F27" s="1258">
        <v>0</v>
      </c>
      <c r="G27" s="1481">
        <v>0</v>
      </c>
      <c r="H27" s="981">
        <v>0</v>
      </c>
      <c r="I27" s="1258">
        <v>0</v>
      </c>
      <c r="J27" s="1258">
        <v>0</v>
      </c>
      <c r="K27" s="981">
        <v>0</v>
      </c>
      <c r="L27" s="1258">
        <v>0</v>
      </c>
      <c r="M27" s="1258">
        <v>0</v>
      </c>
      <c r="N27" s="981">
        <v>0</v>
      </c>
      <c r="O27" s="1258">
        <v>0</v>
      </c>
      <c r="P27" s="1258">
        <v>0</v>
      </c>
      <c r="Q27" s="981">
        <v>0</v>
      </c>
      <c r="R27" s="1258">
        <v>0</v>
      </c>
      <c r="S27" s="1258">
        <v>0</v>
      </c>
      <c r="T27" s="981">
        <v>0</v>
      </c>
      <c r="U27" s="1495">
        <v>0</v>
      </c>
      <c r="V27" s="1495">
        <f>'F9'!M26</f>
        <v>0</v>
      </c>
      <c r="W27" s="981">
        <f>'F9'!N26</f>
        <v>0</v>
      </c>
      <c r="X27" s="1397">
        <f t="shared" si="1"/>
        <v>0</v>
      </c>
      <c r="Y27" s="1397">
        <f t="shared" si="2"/>
        <v>0</v>
      </c>
      <c r="Z27" s="1397">
        <f t="shared" si="3"/>
        <v>0</v>
      </c>
    </row>
    <row r="28" spans="1:26">
      <c r="B28" s="1377" t="s">
        <v>1401</v>
      </c>
      <c r="C28" s="1258">
        <v>1289</v>
      </c>
      <c r="D28" s="1258">
        <v>22169</v>
      </c>
      <c r="E28" s="981">
        <v>68.009999999999991</v>
      </c>
      <c r="F28" s="1258">
        <v>1068</v>
      </c>
      <c r="G28" s="1481">
        <v>28260</v>
      </c>
      <c r="H28" s="981">
        <v>78.308999999999997</v>
      </c>
      <c r="I28" s="1258">
        <v>527</v>
      </c>
      <c r="J28" s="1258">
        <v>30006</v>
      </c>
      <c r="K28" s="981">
        <v>98.12</v>
      </c>
      <c r="L28" s="1258">
        <v>271</v>
      </c>
      <c r="M28" s="1258">
        <v>28572</v>
      </c>
      <c r="N28" s="981">
        <v>102.590107</v>
      </c>
      <c r="O28" s="1258">
        <v>216</v>
      </c>
      <c r="P28" s="1258">
        <v>22784</v>
      </c>
      <c r="Q28" s="981">
        <v>77.7164997476048</v>
      </c>
      <c r="R28" s="1258">
        <v>264</v>
      </c>
      <c r="S28" s="1258">
        <v>24568</v>
      </c>
      <c r="T28" s="981">
        <v>48.06</v>
      </c>
      <c r="U28" s="1495">
        <v>327</v>
      </c>
      <c r="V28" s="1495">
        <f>'F9'!M27</f>
        <v>21223</v>
      </c>
      <c r="W28" s="981">
        <f>'F9'!N27</f>
        <v>60.570999999999998</v>
      </c>
      <c r="X28" s="1397">
        <f t="shared" si="1"/>
        <v>-0.17794805319130813</v>
      </c>
      <c r="Y28" s="1397">
        <f t="shared" si="2"/>
        <v>-6.2105510704464351E-3</v>
      </c>
      <c r="Z28" s="1397">
        <f t="shared" si="3"/>
        <v>-1.6412188418438389E-2</v>
      </c>
    </row>
    <row r="29" spans="1:26">
      <c r="B29" s="1378" t="s">
        <v>1060</v>
      </c>
      <c r="C29" s="1258">
        <v>306</v>
      </c>
      <c r="D29" s="1258">
        <v>3227</v>
      </c>
      <c r="E29" s="981">
        <v>10.3</v>
      </c>
      <c r="F29" s="1258">
        <v>298</v>
      </c>
      <c r="G29" s="1481">
        <v>3778</v>
      </c>
      <c r="H29" s="981">
        <v>14.173</v>
      </c>
      <c r="I29" s="1258">
        <v>300</v>
      </c>
      <c r="J29" s="1258">
        <v>5820</v>
      </c>
      <c r="K29" s="981">
        <v>18.538</v>
      </c>
      <c r="L29" s="1258">
        <v>29</v>
      </c>
      <c r="M29" s="1258">
        <v>3930</v>
      </c>
      <c r="N29" s="981">
        <v>16.998730999999999</v>
      </c>
      <c r="O29" s="1258">
        <v>34</v>
      </c>
      <c r="P29" s="1258">
        <v>2155</v>
      </c>
      <c r="Q29" s="981">
        <v>7.0008873200058321</v>
      </c>
      <c r="R29" s="1258">
        <v>29</v>
      </c>
      <c r="S29" s="1258">
        <v>1600</v>
      </c>
      <c r="T29" s="981">
        <v>3</v>
      </c>
      <c r="U29" s="1495">
        <v>61</v>
      </c>
      <c r="V29" s="1495">
        <f>'F9'!M28</f>
        <v>2499</v>
      </c>
      <c r="W29" s="981">
        <f>'F9'!N28</f>
        <v>4.6429999999999998</v>
      </c>
      <c r="X29" s="1397">
        <f t="shared" si="1"/>
        <v>-0.20577407641060519</v>
      </c>
      <c r="Y29" s="1397">
        <f t="shared" si="2"/>
        <v>-3.5864255196890626E-2</v>
      </c>
      <c r="Z29" s="1397">
        <f t="shared" si="3"/>
        <v>-0.10758692895098609</v>
      </c>
    </row>
    <row r="30" spans="1:26">
      <c r="B30" s="1378" t="s">
        <v>1061</v>
      </c>
      <c r="C30" s="1258">
        <v>406</v>
      </c>
      <c r="D30" s="1258">
        <v>13995</v>
      </c>
      <c r="E30" s="981">
        <v>38.156999999999996</v>
      </c>
      <c r="F30" s="1258">
        <v>765</v>
      </c>
      <c r="G30" s="1481">
        <v>20340</v>
      </c>
      <c r="H30" s="981">
        <v>50.345999999999997</v>
      </c>
      <c r="I30" s="1258">
        <v>223</v>
      </c>
      <c r="J30" s="1258">
        <v>19998</v>
      </c>
      <c r="K30" s="981">
        <v>63.713000000000001</v>
      </c>
      <c r="L30" s="1258">
        <v>235</v>
      </c>
      <c r="M30" s="1258">
        <v>20212</v>
      </c>
      <c r="N30" s="981">
        <v>72.646294999999995</v>
      </c>
      <c r="O30" s="1258">
        <v>170</v>
      </c>
      <c r="P30" s="1258">
        <v>16866</v>
      </c>
      <c r="Q30" s="981">
        <v>58.189850752970635</v>
      </c>
      <c r="R30" s="1258">
        <v>211</v>
      </c>
      <c r="S30" s="1258">
        <v>18743</v>
      </c>
      <c r="T30" s="981">
        <v>33.06</v>
      </c>
      <c r="U30" s="1495">
        <v>235</v>
      </c>
      <c r="V30" s="1495">
        <f>'F9'!M29</f>
        <v>12369</v>
      </c>
      <c r="W30" s="981">
        <f>'F9'!N29</f>
        <v>40.881</v>
      </c>
      <c r="X30" s="1397">
        <f t="shared" si="1"/>
        <v>-7.5137002857722401E-2</v>
      </c>
      <c r="Y30" s="1397">
        <f t="shared" si="2"/>
        <v>-1.7489084912253761E-2</v>
      </c>
      <c r="Z30" s="1397">
        <f t="shared" si="3"/>
        <v>9.8995625612918747E-3</v>
      </c>
    </row>
    <row r="31" spans="1:26">
      <c r="B31" s="1378" t="s">
        <v>1062</v>
      </c>
      <c r="C31" s="1258">
        <v>577</v>
      </c>
      <c r="D31" s="1258">
        <v>4947</v>
      </c>
      <c r="E31" s="981">
        <v>19.553000000000001</v>
      </c>
      <c r="F31" s="1258">
        <v>5</v>
      </c>
      <c r="G31" s="1481">
        <v>4142</v>
      </c>
      <c r="H31" s="981">
        <v>13.79</v>
      </c>
      <c r="I31" s="1258">
        <v>4</v>
      </c>
      <c r="J31" s="1258">
        <v>4188</v>
      </c>
      <c r="K31" s="981">
        <v>15.869</v>
      </c>
      <c r="L31" s="1258">
        <v>7</v>
      </c>
      <c r="M31" s="1258">
        <v>4430</v>
      </c>
      <c r="N31" s="981">
        <v>12.945081</v>
      </c>
      <c r="O31" s="1258">
        <v>12</v>
      </c>
      <c r="P31" s="1258">
        <v>3763</v>
      </c>
      <c r="Q31" s="981">
        <v>12.525761674628328</v>
      </c>
      <c r="R31" s="1258">
        <v>24</v>
      </c>
      <c r="S31" s="1258">
        <v>4225</v>
      </c>
      <c r="T31" s="981">
        <v>12</v>
      </c>
      <c r="U31" s="1495">
        <v>31</v>
      </c>
      <c r="V31" s="1495">
        <f>'F9'!M30</f>
        <v>6355</v>
      </c>
      <c r="W31" s="981">
        <f>'F9'!N30</f>
        <v>15.047000000000001</v>
      </c>
      <c r="X31" s="1397">
        <f t="shared" si="1"/>
        <v>-0.34143600550042874</v>
      </c>
      <c r="Y31" s="1397">
        <f t="shared" si="2"/>
        <v>3.6427892039498477E-2</v>
      </c>
      <c r="Z31" s="1397">
        <f t="shared" si="3"/>
        <v>-3.6729912345173088E-2</v>
      </c>
    </row>
    <row r="32" spans="1:26">
      <c r="B32" s="1377" t="s">
        <v>476</v>
      </c>
      <c r="C32" s="1258">
        <v>70</v>
      </c>
      <c r="D32" s="1258">
        <v>22304</v>
      </c>
      <c r="E32" s="981">
        <v>88.842999999999989</v>
      </c>
      <c r="F32" s="1258">
        <v>75</v>
      </c>
      <c r="G32" s="1481">
        <v>28619</v>
      </c>
      <c r="H32" s="981">
        <v>87.418999999999997</v>
      </c>
      <c r="I32" s="1258">
        <v>68</v>
      </c>
      <c r="J32" s="1258">
        <v>21812</v>
      </c>
      <c r="K32" s="981">
        <v>79.19</v>
      </c>
      <c r="L32" s="1258">
        <v>51</v>
      </c>
      <c r="M32" s="1258">
        <v>20523</v>
      </c>
      <c r="N32" s="981">
        <v>79.448459</v>
      </c>
      <c r="O32" s="1258">
        <v>57</v>
      </c>
      <c r="P32" s="1258">
        <v>17732</v>
      </c>
      <c r="Q32" s="981">
        <v>71.416395987491811</v>
      </c>
      <c r="R32" s="1258">
        <v>84</v>
      </c>
      <c r="S32" s="1258">
        <v>17753</v>
      </c>
      <c r="T32" s="981">
        <v>52</v>
      </c>
      <c r="U32" s="1495">
        <v>112</v>
      </c>
      <c r="V32" s="1495">
        <f>'F9'!M31</f>
        <v>15260</v>
      </c>
      <c r="W32" s="981">
        <f>'F9'!N31</f>
        <v>65.305999999999997</v>
      </c>
      <c r="X32" s="1397">
        <f t="shared" si="1"/>
        <v>6.9448800053393267E-2</v>
      </c>
      <c r="Y32" s="1397">
        <f t="shared" si="2"/>
        <v>-5.2775088955853366E-2</v>
      </c>
      <c r="Z32" s="1397">
        <f t="shared" si="3"/>
        <v>-4.3016903020319464E-2</v>
      </c>
    </row>
    <row r="33" spans="2:26">
      <c r="B33" s="1378" t="s">
        <v>1063</v>
      </c>
      <c r="C33" s="1258">
        <v>0</v>
      </c>
      <c r="D33" s="1258">
        <v>0</v>
      </c>
      <c r="E33" s="981">
        <v>0.71899999999999997</v>
      </c>
      <c r="F33" s="1258">
        <v>3</v>
      </c>
      <c r="G33" s="1481">
        <v>395</v>
      </c>
      <c r="H33" s="981">
        <v>8.8999999999999996E-2</v>
      </c>
      <c r="I33" s="1258">
        <v>0</v>
      </c>
      <c r="J33" s="1258">
        <v>0</v>
      </c>
      <c r="K33" s="981">
        <v>0.85799999999999998</v>
      </c>
      <c r="L33" s="1258">
        <v>0</v>
      </c>
      <c r="M33" s="1258">
        <v>0</v>
      </c>
      <c r="N33" s="981">
        <v>0</v>
      </c>
      <c r="O33" s="1258">
        <v>0</v>
      </c>
      <c r="P33" s="1258">
        <v>0</v>
      </c>
      <c r="Q33" s="981">
        <v>0</v>
      </c>
      <c r="R33" s="1258">
        <v>2</v>
      </c>
      <c r="S33" s="1258">
        <v>132</v>
      </c>
      <c r="T33" s="981">
        <v>0.3</v>
      </c>
      <c r="U33" s="1495">
        <v>11</v>
      </c>
      <c r="V33" s="1495">
        <f>'F9'!M32</f>
        <v>641</v>
      </c>
      <c r="W33" s="981">
        <f>'F9'!N32</f>
        <v>1.518</v>
      </c>
      <c r="X33" s="1397">
        <f t="shared" si="1"/>
        <v>0</v>
      </c>
      <c r="Y33" s="1397">
        <f t="shared" si="2"/>
        <v>0</v>
      </c>
      <c r="Z33" s="1397">
        <f t="shared" si="3"/>
        <v>0.11266203229786087</v>
      </c>
    </row>
    <row r="34" spans="2:26">
      <c r="B34" s="1378" t="s">
        <v>1064</v>
      </c>
      <c r="C34" s="1258">
        <v>48</v>
      </c>
      <c r="D34" s="1258">
        <v>2893</v>
      </c>
      <c r="E34" s="981">
        <v>14.539</v>
      </c>
      <c r="F34" s="1258">
        <v>55</v>
      </c>
      <c r="G34" s="1481">
        <v>3300</v>
      </c>
      <c r="H34" s="981">
        <v>12.866</v>
      </c>
      <c r="I34" s="1258">
        <v>51</v>
      </c>
      <c r="J34" s="1258">
        <v>2888</v>
      </c>
      <c r="K34" s="981">
        <v>10.587</v>
      </c>
      <c r="L34" s="1258">
        <v>34</v>
      </c>
      <c r="M34" s="1258">
        <v>3590</v>
      </c>
      <c r="N34" s="981">
        <v>13.152393</v>
      </c>
      <c r="O34" s="1258">
        <v>38</v>
      </c>
      <c r="P34" s="1258">
        <v>3409</v>
      </c>
      <c r="Q34" s="981">
        <v>13.074675709501891</v>
      </c>
      <c r="R34" s="1258">
        <v>48</v>
      </c>
      <c r="S34" s="1258">
        <v>3666</v>
      </c>
      <c r="T34" s="981">
        <v>10.7</v>
      </c>
      <c r="U34" s="1495">
        <v>60</v>
      </c>
      <c r="V34" s="1495">
        <f>'F9'!M33</f>
        <v>3590</v>
      </c>
      <c r="W34" s="981">
        <f>'F9'!N33</f>
        <v>15.537000000000001</v>
      </c>
      <c r="X34" s="1397">
        <f t="shared" si="1"/>
        <v>3.2391184710001797E-2</v>
      </c>
      <c r="Y34" s="1397">
        <f t="shared" si="2"/>
        <v>3.1317264125209077E-2</v>
      </c>
      <c r="Z34" s="1397">
        <f t="shared" si="3"/>
        <v>9.5293438175498846E-3</v>
      </c>
    </row>
    <row r="35" spans="2:26">
      <c r="B35" s="1378" t="s">
        <v>1065</v>
      </c>
      <c r="C35" s="1258">
        <v>22</v>
      </c>
      <c r="D35" s="1258">
        <v>19411</v>
      </c>
      <c r="E35" s="981">
        <v>73.584999999999994</v>
      </c>
      <c r="F35" s="1258">
        <v>17</v>
      </c>
      <c r="G35" s="1481">
        <v>24924</v>
      </c>
      <c r="H35" s="981">
        <v>74.463999999999999</v>
      </c>
      <c r="I35" s="1258">
        <v>17</v>
      </c>
      <c r="J35" s="1258">
        <v>18924</v>
      </c>
      <c r="K35" s="981">
        <v>67.745000000000005</v>
      </c>
      <c r="L35" s="1258">
        <v>17</v>
      </c>
      <c r="M35" s="1258">
        <v>16933</v>
      </c>
      <c r="N35" s="981">
        <v>66.296065999999996</v>
      </c>
      <c r="O35" s="1258">
        <v>19</v>
      </c>
      <c r="P35" s="1258">
        <v>14323</v>
      </c>
      <c r="Q35" s="981">
        <v>58.341720277989914</v>
      </c>
      <c r="R35" s="1258">
        <v>34</v>
      </c>
      <c r="S35" s="1258">
        <v>13955</v>
      </c>
      <c r="T35" s="981">
        <v>41</v>
      </c>
      <c r="U35" s="1495">
        <v>41</v>
      </c>
      <c r="V35" s="1495">
        <f>'F9'!M34</f>
        <v>11029</v>
      </c>
      <c r="W35" s="981">
        <f>'F9'!N34</f>
        <v>48.250999999999998</v>
      </c>
      <c r="X35" s="1397">
        <f t="shared" si="1"/>
        <v>9.3007205858153474E-2</v>
      </c>
      <c r="Y35" s="1397">
        <f t="shared" si="2"/>
        <v>-7.7583868160027269E-2</v>
      </c>
      <c r="Z35" s="1397">
        <f t="shared" si="3"/>
        <v>-5.8507818649273347E-2</v>
      </c>
    </row>
    <row r="36" spans="2:26">
      <c r="B36" s="1369" t="s">
        <v>1425</v>
      </c>
      <c r="C36" s="1258">
        <v>1359</v>
      </c>
      <c r="D36" s="1258">
        <v>44473</v>
      </c>
      <c r="E36" s="981">
        <v>156.85299999999998</v>
      </c>
      <c r="F36" s="1258">
        <v>1143</v>
      </c>
      <c r="G36" s="1481">
        <v>56879</v>
      </c>
      <c r="H36" s="981">
        <v>165.72800000000001</v>
      </c>
      <c r="I36" s="1258">
        <v>595</v>
      </c>
      <c r="J36" s="1258">
        <v>51818</v>
      </c>
      <c r="K36" s="981">
        <v>177.31</v>
      </c>
      <c r="L36" s="1258">
        <v>322</v>
      </c>
      <c r="M36" s="1258">
        <v>49095</v>
      </c>
      <c r="N36" s="981">
        <v>182.038566</v>
      </c>
      <c r="O36" s="1258">
        <v>273</v>
      </c>
      <c r="P36" s="1258">
        <v>40516</v>
      </c>
      <c r="Q36" s="981">
        <v>149.13289573509661</v>
      </c>
      <c r="R36" s="1258">
        <v>348</v>
      </c>
      <c r="S36" s="1258">
        <v>42321</v>
      </c>
      <c r="T36" s="981">
        <v>100.06</v>
      </c>
      <c r="U36" s="1495">
        <v>439</v>
      </c>
      <c r="V36" s="1495">
        <f>'F9'!M35</f>
        <v>36483</v>
      </c>
      <c r="W36" s="981">
        <f>'F9'!N35</f>
        <v>125.877</v>
      </c>
      <c r="X36" s="1397">
        <f t="shared" si="1"/>
        <v>-0.14907329811897851</v>
      </c>
      <c r="Y36" s="1397">
        <f t="shared" si="2"/>
        <v>-2.7894399396950487E-2</v>
      </c>
      <c r="Z36" s="1397">
        <f t="shared" si="3"/>
        <v>-3.094035644666282E-2</v>
      </c>
    </row>
    <row r="37" spans="2:26">
      <c r="B37" s="1369" t="s">
        <v>1446</v>
      </c>
      <c r="C37" s="1258">
        <v>1359</v>
      </c>
      <c r="D37" s="1258">
        <v>44473</v>
      </c>
      <c r="E37" s="981">
        <v>156.85299999999998</v>
      </c>
      <c r="F37" s="1258">
        <v>1143</v>
      </c>
      <c r="G37" s="1481">
        <v>56879</v>
      </c>
      <c r="H37" s="981">
        <v>165.72800000000001</v>
      </c>
      <c r="I37" s="1258">
        <v>595</v>
      </c>
      <c r="J37" s="1258">
        <v>51818</v>
      </c>
      <c r="K37" s="981">
        <v>177.31</v>
      </c>
      <c r="L37" s="1258">
        <v>322</v>
      </c>
      <c r="M37" s="1258">
        <v>49095</v>
      </c>
      <c r="N37" s="981">
        <v>182.038566</v>
      </c>
      <c r="O37" s="1258">
        <v>273</v>
      </c>
      <c r="P37" s="1258">
        <v>40516</v>
      </c>
      <c r="Q37" s="981">
        <v>149.13289573509661</v>
      </c>
      <c r="R37" s="1258">
        <v>348</v>
      </c>
      <c r="S37" s="1258">
        <v>42321</v>
      </c>
      <c r="T37" s="981">
        <v>100.06</v>
      </c>
      <c r="U37" s="1495">
        <v>439</v>
      </c>
      <c r="V37" s="1495">
        <f>'F9'!M36</f>
        <v>36483</v>
      </c>
      <c r="W37" s="981">
        <f>'F9'!N36</f>
        <v>125.877</v>
      </c>
      <c r="X37" s="1397">
        <f t="shared" si="1"/>
        <v>-0.14907329811897851</v>
      </c>
      <c r="Y37" s="1397">
        <f t="shared" si="2"/>
        <v>-2.7894399396950487E-2</v>
      </c>
      <c r="Z37" s="1397">
        <f t="shared" si="3"/>
        <v>-3.094035644666282E-2</v>
      </c>
    </row>
    <row r="38" spans="2:26">
      <c r="B38" s="1367" t="s">
        <v>1067</v>
      </c>
      <c r="C38" s="1258">
        <v>0</v>
      </c>
      <c r="D38" s="1258">
        <v>0</v>
      </c>
      <c r="E38" s="981">
        <v>0</v>
      </c>
      <c r="F38" s="1258">
        <v>0</v>
      </c>
      <c r="G38" s="1481">
        <v>0</v>
      </c>
      <c r="H38" s="981">
        <v>0</v>
      </c>
      <c r="I38" s="1258">
        <v>0</v>
      </c>
      <c r="J38" s="1258">
        <v>0</v>
      </c>
      <c r="K38" s="981">
        <v>0</v>
      </c>
      <c r="L38" s="1258">
        <v>0</v>
      </c>
      <c r="M38" s="1258">
        <v>0</v>
      </c>
      <c r="N38" s="981">
        <v>0</v>
      </c>
      <c r="O38" s="1258">
        <v>0</v>
      </c>
      <c r="P38" s="1258">
        <v>0</v>
      </c>
      <c r="Q38" s="981">
        <v>0</v>
      </c>
      <c r="R38" s="1258">
        <v>0</v>
      </c>
      <c r="S38" s="1258">
        <v>0</v>
      </c>
      <c r="T38" s="981">
        <v>0</v>
      </c>
      <c r="U38" s="1495">
        <v>0</v>
      </c>
      <c r="V38" s="1495">
        <f>'F9'!M37</f>
        <v>0</v>
      </c>
      <c r="W38" s="981">
        <f>'F9'!N37</f>
        <v>0</v>
      </c>
      <c r="X38" s="1397">
        <f t="shared" si="1"/>
        <v>0</v>
      </c>
      <c r="Y38" s="1397">
        <f t="shared" si="2"/>
        <v>0</v>
      </c>
      <c r="Z38" s="1397">
        <f t="shared" si="3"/>
        <v>0</v>
      </c>
    </row>
    <row r="39" spans="2:26">
      <c r="B39" s="1377" t="s">
        <v>1068</v>
      </c>
      <c r="C39" s="1258">
        <v>15557</v>
      </c>
      <c r="D39" s="1258">
        <v>132338</v>
      </c>
      <c r="E39" s="981">
        <v>343.673</v>
      </c>
      <c r="F39" s="1258">
        <v>15638</v>
      </c>
      <c r="G39" s="1481">
        <v>131953</v>
      </c>
      <c r="H39" s="981">
        <v>350.642</v>
      </c>
      <c r="I39" s="1258">
        <v>15809</v>
      </c>
      <c r="J39" s="1258">
        <v>119603</v>
      </c>
      <c r="K39" s="981">
        <v>428.31200000000001</v>
      </c>
      <c r="L39" s="1258">
        <v>15235</v>
      </c>
      <c r="M39" s="1258">
        <v>72742.377000000008</v>
      </c>
      <c r="N39" s="981">
        <v>189.66183414</v>
      </c>
      <c r="O39" s="1258">
        <v>16067</v>
      </c>
      <c r="P39" s="1258">
        <v>77061.649000000005</v>
      </c>
      <c r="Q39" s="981">
        <v>164.09123709549374</v>
      </c>
      <c r="R39" s="1258">
        <v>19004</v>
      </c>
      <c r="S39" s="1258">
        <v>98483</v>
      </c>
      <c r="T39" s="981">
        <v>154</v>
      </c>
      <c r="U39" s="1495">
        <v>24610</v>
      </c>
      <c r="V39" s="1495">
        <f>'F9'!M38</f>
        <v>114464</v>
      </c>
      <c r="W39" s="981">
        <f>'F9'!N38</f>
        <v>204.93100000000001</v>
      </c>
      <c r="X39" s="1397">
        <f t="shared" si="1"/>
        <v>6.7714421808532377E-2</v>
      </c>
      <c r="Y39" s="1397">
        <f t="shared" si="2"/>
        <v>-2.0515056425462919E-2</v>
      </c>
      <c r="Z39" s="1397">
        <f t="shared" si="3"/>
        <v>-7.1197923013108899E-2</v>
      </c>
    </row>
    <row r="40" spans="2:26">
      <c r="B40" s="1377" t="s">
        <v>1072</v>
      </c>
      <c r="C40" s="1258">
        <v>3324</v>
      </c>
      <c r="D40" s="1258">
        <v>28510</v>
      </c>
      <c r="E40" s="981">
        <v>82.010999999999996</v>
      </c>
      <c r="F40" s="1258">
        <v>3846</v>
      </c>
      <c r="G40" s="1481">
        <v>31554</v>
      </c>
      <c r="H40" s="981">
        <v>87.385000000000005</v>
      </c>
      <c r="I40" s="1258">
        <v>3625</v>
      </c>
      <c r="J40" s="1258">
        <v>31688</v>
      </c>
      <c r="K40" s="981">
        <v>63.402000000000001</v>
      </c>
      <c r="L40" s="1258">
        <v>2710</v>
      </c>
      <c r="M40" s="1258">
        <v>23642.827000000001</v>
      </c>
      <c r="N40" s="981">
        <v>41.668416280000002</v>
      </c>
      <c r="O40" s="1258">
        <v>2883</v>
      </c>
      <c r="P40" s="1258">
        <v>24958.942000000003</v>
      </c>
      <c r="Q40" s="981">
        <v>45.314572066860002</v>
      </c>
      <c r="R40" s="1258">
        <v>3034</v>
      </c>
      <c r="S40" s="1258">
        <v>28917</v>
      </c>
      <c r="T40" s="981">
        <v>36.31</v>
      </c>
      <c r="U40" s="1495">
        <v>3703</v>
      </c>
      <c r="V40" s="1495">
        <f>'F9'!M39</f>
        <v>48952</v>
      </c>
      <c r="W40" s="981">
        <f>'F9'!N39</f>
        <v>66.149000000000001</v>
      </c>
      <c r="X40" s="1397">
        <f t="shared" si="1"/>
        <v>1.5544495929883384E-2</v>
      </c>
      <c r="Y40" s="1397">
        <f t="shared" si="2"/>
        <v>8.0286706349836479E-2</v>
      </c>
      <c r="Z40" s="1397">
        <f t="shared" si="3"/>
        <v>-3.0239582430403145E-2</v>
      </c>
    </row>
    <row r="41" spans="2:26">
      <c r="B41" s="1369" t="s">
        <v>1425</v>
      </c>
      <c r="C41" s="1258">
        <v>18881</v>
      </c>
      <c r="D41" s="1258">
        <v>160848</v>
      </c>
      <c r="E41" s="981">
        <v>425.68399999999997</v>
      </c>
      <c r="F41" s="1258">
        <v>19484</v>
      </c>
      <c r="G41" s="1481">
        <v>163507</v>
      </c>
      <c r="H41" s="981">
        <v>438.02699999999999</v>
      </c>
      <c r="I41" s="1258">
        <v>19434</v>
      </c>
      <c r="J41" s="1258">
        <v>151291</v>
      </c>
      <c r="K41" s="981">
        <v>491.714</v>
      </c>
      <c r="L41" s="1258">
        <v>17945</v>
      </c>
      <c r="M41" s="1258">
        <v>96385.204000000012</v>
      </c>
      <c r="N41" s="981">
        <v>231.33025042</v>
      </c>
      <c r="O41" s="1258">
        <v>18950</v>
      </c>
      <c r="P41" s="1258">
        <v>102020.59100000001</v>
      </c>
      <c r="Q41" s="981">
        <v>209.40580916235373</v>
      </c>
      <c r="R41" s="1258">
        <v>22038</v>
      </c>
      <c r="S41" s="1258">
        <v>127400</v>
      </c>
      <c r="T41" s="981">
        <v>190.31</v>
      </c>
      <c r="U41" s="1495">
        <v>28313</v>
      </c>
      <c r="V41" s="1495">
        <f>'F9'!M40</f>
        <v>163416</v>
      </c>
      <c r="W41" s="981">
        <f>'F9'!N40</f>
        <v>271.08000000000004</v>
      </c>
      <c r="X41" s="1397">
        <f t="shared" si="1"/>
        <v>5.9588584961113522E-2</v>
      </c>
      <c r="Y41" s="1397">
        <f t="shared" si="2"/>
        <v>2.2653158432388576E-3</v>
      </c>
      <c r="Z41" s="1397">
        <f t="shared" si="3"/>
        <v>-6.2434862747467457E-2</v>
      </c>
    </row>
    <row r="42" spans="2:26">
      <c r="B42" s="1369" t="s">
        <v>1446</v>
      </c>
      <c r="C42" s="1258">
        <v>18881</v>
      </c>
      <c r="D42" s="1258">
        <v>160848</v>
      </c>
      <c r="E42" s="981">
        <v>425.68399999999997</v>
      </c>
      <c r="F42" s="1258">
        <v>19484</v>
      </c>
      <c r="G42" s="1481">
        <v>163507</v>
      </c>
      <c r="H42" s="981">
        <v>438.02699999999999</v>
      </c>
      <c r="I42" s="1258">
        <v>19434</v>
      </c>
      <c r="J42" s="1258">
        <v>151291</v>
      </c>
      <c r="K42" s="981">
        <v>491.714</v>
      </c>
      <c r="L42" s="1258">
        <v>17945</v>
      </c>
      <c r="M42" s="1258">
        <v>96385.204000000012</v>
      </c>
      <c r="N42" s="981">
        <v>231.33025042</v>
      </c>
      <c r="O42" s="1258">
        <v>18950</v>
      </c>
      <c r="P42" s="1258">
        <v>102020.59100000001</v>
      </c>
      <c r="Q42" s="981">
        <v>209.40580916235373</v>
      </c>
      <c r="R42" s="1258">
        <v>22038</v>
      </c>
      <c r="S42" s="1258">
        <v>127400</v>
      </c>
      <c r="T42" s="981">
        <v>190.31</v>
      </c>
      <c r="U42" s="1495">
        <v>28313</v>
      </c>
      <c r="V42" s="1495">
        <f>'F9'!M41</f>
        <v>163416</v>
      </c>
      <c r="W42" s="981">
        <f>'F9'!N41</f>
        <v>271.08000000000004</v>
      </c>
      <c r="X42" s="1397">
        <f t="shared" si="1"/>
        <v>5.9588584961113522E-2</v>
      </c>
      <c r="Y42" s="1397">
        <f t="shared" si="2"/>
        <v>2.2653158432388576E-3</v>
      </c>
      <c r="Z42" s="1397">
        <f t="shared" si="3"/>
        <v>-6.2434862747467457E-2</v>
      </c>
    </row>
    <row r="43" spans="2:26">
      <c r="B43" s="1367" t="s">
        <v>1076</v>
      </c>
      <c r="C43" s="1258">
        <v>0</v>
      </c>
      <c r="D43" s="1258">
        <v>0</v>
      </c>
      <c r="E43" s="981">
        <v>0</v>
      </c>
      <c r="F43" s="1258">
        <v>0</v>
      </c>
      <c r="G43" s="1481">
        <v>0</v>
      </c>
      <c r="H43" s="981">
        <v>0</v>
      </c>
      <c r="I43" s="1258">
        <v>0</v>
      </c>
      <c r="J43" s="1258">
        <v>0</v>
      </c>
      <c r="K43" s="981">
        <v>0</v>
      </c>
      <c r="L43" s="1258">
        <v>0</v>
      </c>
      <c r="M43" s="1258">
        <v>0</v>
      </c>
      <c r="N43" s="981">
        <v>0</v>
      </c>
      <c r="O43" s="1258">
        <v>0</v>
      </c>
      <c r="P43" s="1258">
        <v>0</v>
      </c>
      <c r="Q43" s="981">
        <v>0</v>
      </c>
      <c r="R43" s="1258">
        <v>0</v>
      </c>
      <c r="S43" s="1258">
        <v>0</v>
      </c>
      <c r="T43" s="981">
        <v>0</v>
      </c>
      <c r="U43" s="1495">
        <v>0</v>
      </c>
      <c r="V43" s="1495">
        <f>'F9'!M42</f>
        <v>0</v>
      </c>
      <c r="W43" s="981">
        <f>'F9'!N42</f>
        <v>0</v>
      </c>
      <c r="X43" s="1397">
        <f t="shared" si="1"/>
        <v>0</v>
      </c>
      <c r="Y43" s="1397">
        <f t="shared" si="2"/>
        <v>0</v>
      </c>
      <c r="Z43" s="1397">
        <f t="shared" si="3"/>
        <v>0</v>
      </c>
    </row>
    <row r="44" spans="2:26">
      <c r="B44" s="1377" t="s">
        <v>1401</v>
      </c>
      <c r="C44" s="1258">
        <v>213080</v>
      </c>
      <c r="D44" s="1258">
        <v>1103535</v>
      </c>
      <c r="E44" s="981">
        <v>1230.4100000000001</v>
      </c>
      <c r="F44" s="1258">
        <v>233540</v>
      </c>
      <c r="G44" s="1481">
        <v>1118979</v>
      </c>
      <c r="H44" s="981">
        <v>1475.9829999999999</v>
      </c>
      <c r="I44" s="1258">
        <v>250085</v>
      </c>
      <c r="J44" s="1258">
        <v>1220738</v>
      </c>
      <c r="K44" s="981">
        <v>2056.5439999999999</v>
      </c>
      <c r="L44" s="1258">
        <v>257260</v>
      </c>
      <c r="M44" s="1258">
        <v>990463.40756000008</v>
      </c>
      <c r="N44" s="981">
        <v>1886.9147938789481</v>
      </c>
      <c r="O44" s="1258">
        <v>275148</v>
      </c>
      <c r="P44" s="1258">
        <v>1051427.3858999999</v>
      </c>
      <c r="Q44" s="981">
        <v>1994.3027917806205</v>
      </c>
      <c r="R44" s="1258">
        <v>281151</v>
      </c>
      <c r="S44" s="1258">
        <v>1240106</v>
      </c>
      <c r="T44" s="981">
        <v>1992.1246510000001</v>
      </c>
      <c r="U44" s="1495">
        <v>289587</v>
      </c>
      <c r="V44" s="1495">
        <f>'F9'!M43</f>
        <v>1329675</v>
      </c>
      <c r="W44" s="981">
        <f>'F9'!N43</f>
        <v>2193.8000000000002</v>
      </c>
      <c r="X44" s="1397">
        <f t="shared" si="1"/>
        <v>4.4801452447973178E-2</v>
      </c>
      <c r="Y44" s="1397">
        <f t="shared" si="2"/>
        <v>2.6988610834230098E-2</v>
      </c>
      <c r="Z44" s="1397">
        <f t="shared" si="3"/>
        <v>8.6120894390095293E-2</v>
      </c>
    </row>
    <row r="45" spans="2:26">
      <c r="B45" s="1378" t="s">
        <v>1077</v>
      </c>
      <c r="C45" s="1258">
        <v>213080</v>
      </c>
      <c r="D45" s="1258">
        <v>1103535</v>
      </c>
      <c r="E45" s="981">
        <v>1230.4100000000001</v>
      </c>
      <c r="F45" s="1258">
        <v>233540</v>
      </c>
      <c r="G45" s="1481">
        <v>1118979</v>
      </c>
      <c r="H45" s="981">
        <v>1475.9829999999999</v>
      </c>
      <c r="I45" s="1258">
        <v>250085</v>
      </c>
      <c r="J45" s="1258">
        <v>1220738</v>
      </c>
      <c r="K45" s="981">
        <v>2056.5439999999999</v>
      </c>
      <c r="L45" s="1258">
        <v>257260</v>
      </c>
      <c r="M45" s="1258">
        <v>990463.40756000008</v>
      </c>
      <c r="N45" s="981">
        <v>1886.9147938789481</v>
      </c>
      <c r="O45" s="1258">
        <v>275148</v>
      </c>
      <c r="P45" s="1258">
        <v>1051427.3858999999</v>
      </c>
      <c r="Q45" s="981">
        <v>1994.3027917806205</v>
      </c>
      <c r="R45" s="1258">
        <v>281151</v>
      </c>
      <c r="S45" s="1258">
        <v>1240106</v>
      </c>
      <c r="T45" s="981">
        <v>1992.1246510000001</v>
      </c>
      <c r="U45" s="1495">
        <v>289587</v>
      </c>
      <c r="V45" s="1495">
        <f>'F9'!M44</f>
        <v>1329675</v>
      </c>
      <c r="W45" s="981">
        <f>'F9'!N44</f>
        <v>2193.8000000000002</v>
      </c>
      <c r="X45" s="1397">
        <f t="shared" si="1"/>
        <v>4.4801452447973178E-2</v>
      </c>
      <c r="Y45" s="1397">
        <f t="shared" si="2"/>
        <v>2.6988610834230098E-2</v>
      </c>
      <c r="Z45" s="1397">
        <f t="shared" si="3"/>
        <v>8.6120894390095293E-2</v>
      </c>
    </row>
    <row r="46" spans="2:26">
      <c r="B46" s="1377" t="s">
        <v>476</v>
      </c>
      <c r="C46" s="1258">
        <v>5751</v>
      </c>
      <c r="D46" s="1258">
        <v>35503</v>
      </c>
      <c r="E46" s="981">
        <v>66.966000000000008</v>
      </c>
      <c r="F46" s="1258">
        <v>6332</v>
      </c>
      <c r="G46" s="1481">
        <v>38106</v>
      </c>
      <c r="H46" s="981">
        <v>97.772999999999996</v>
      </c>
      <c r="I46" s="1258">
        <v>6517</v>
      </c>
      <c r="J46" s="1258">
        <v>38332</v>
      </c>
      <c r="K46" s="981">
        <v>166.511</v>
      </c>
      <c r="L46" s="1258">
        <v>19953</v>
      </c>
      <c r="M46" s="1258">
        <v>62947.253060000003</v>
      </c>
      <c r="N46" s="981">
        <v>90.848156010000011</v>
      </c>
      <c r="O46" s="1258">
        <v>24712</v>
      </c>
      <c r="P46" s="1258">
        <v>74178.164700000008</v>
      </c>
      <c r="Q46" s="981">
        <v>119.12973237245846</v>
      </c>
      <c r="R46" s="1258">
        <v>24682</v>
      </c>
      <c r="S46" s="1258">
        <v>68549</v>
      </c>
      <c r="T46" s="981">
        <v>154.180544</v>
      </c>
      <c r="U46" s="1495">
        <v>28821</v>
      </c>
      <c r="V46" s="1495">
        <f>'F9'!M45</f>
        <v>104187</v>
      </c>
      <c r="W46" s="981">
        <f>'F9'!N45</f>
        <v>330.28599999999994</v>
      </c>
      <c r="X46" s="1397">
        <f t="shared" si="1"/>
        <v>0.25891119865474699</v>
      </c>
      <c r="Y46" s="1397">
        <f t="shared" si="2"/>
        <v>0.16625264060129585</v>
      </c>
      <c r="Z46" s="1397">
        <f t="shared" si="3"/>
        <v>0.25604475774108271</v>
      </c>
    </row>
    <row r="47" spans="2:26">
      <c r="B47" s="1378" t="s">
        <v>1078</v>
      </c>
      <c r="C47" s="1258">
        <v>259</v>
      </c>
      <c r="D47" s="1258">
        <v>1086</v>
      </c>
      <c r="E47" s="981">
        <v>7.0620000000000003</v>
      </c>
      <c r="F47" s="1258">
        <v>361</v>
      </c>
      <c r="G47" s="1481">
        <v>1216</v>
      </c>
      <c r="H47" s="981">
        <v>2.3479999999999999</v>
      </c>
      <c r="I47" s="1258">
        <v>430</v>
      </c>
      <c r="J47" s="1258">
        <v>1271</v>
      </c>
      <c r="K47" s="981">
        <v>1.962</v>
      </c>
      <c r="L47" s="1258">
        <v>15492</v>
      </c>
      <c r="M47" s="1258">
        <v>42038.253860000004</v>
      </c>
      <c r="N47" s="981">
        <v>46.773202020000006</v>
      </c>
      <c r="O47" s="1258">
        <v>19760</v>
      </c>
      <c r="P47" s="1258">
        <v>52010.73290000001</v>
      </c>
      <c r="Q47" s="981">
        <v>94.939595856452939</v>
      </c>
      <c r="R47" s="1258">
        <v>23003</v>
      </c>
      <c r="S47" s="1258">
        <v>58909</v>
      </c>
      <c r="T47" s="981">
        <v>102.157849</v>
      </c>
      <c r="U47" s="1495">
        <v>18545</v>
      </c>
      <c r="V47" s="1495">
        <f>'F9'!M46</f>
        <v>66617</v>
      </c>
      <c r="W47" s="981">
        <f>'F9'!N46</f>
        <v>153.53799999999998</v>
      </c>
      <c r="X47" s="1397">
        <f t="shared" si="1"/>
        <v>0.84072784469733253</v>
      </c>
      <c r="Y47" s="1397">
        <f t="shared" si="2"/>
        <v>0.80050199340415906</v>
      </c>
      <c r="Z47" s="1397">
        <f t="shared" si="3"/>
        <v>0.55253416693291801</v>
      </c>
    </row>
    <row r="48" spans="2:26">
      <c r="B48" s="1378" t="s">
        <v>1079</v>
      </c>
      <c r="C48" s="1258">
        <v>5492</v>
      </c>
      <c r="D48" s="1258">
        <v>34417</v>
      </c>
      <c r="E48" s="981">
        <v>59.904000000000003</v>
      </c>
      <c r="F48" s="1258">
        <v>5971</v>
      </c>
      <c r="G48" s="1481">
        <v>36890</v>
      </c>
      <c r="H48" s="981">
        <v>95.424999999999997</v>
      </c>
      <c r="I48" s="1258">
        <v>6087</v>
      </c>
      <c r="J48" s="1258">
        <v>37061</v>
      </c>
      <c r="K48" s="981">
        <v>164.54900000000001</v>
      </c>
      <c r="L48" s="1258">
        <v>4461</v>
      </c>
      <c r="M48" s="1258">
        <v>20908.999199999998</v>
      </c>
      <c r="N48" s="981">
        <v>44.074953990000004</v>
      </c>
      <c r="O48" s="1258">
        <v>4952</v>
      </c>
      <c r="P48" s="1258">
        <v>22167.431800000002</v>
      </c>
      <c r="Q48" s="981">
        <v>24.190136516005527</v>
      </c>
      <c r="R48" s="1258">
        <v>1679</v>
      </c>
      <c r="S48" s="1258">
        <v>9640</v>
      </c>
      <c r="T48" s="981">
        <v>52.022695000000006</v>
      </c>
      <c r="U48" s="1495">
        <v>10276</v>
      </c>
      <c r="V48" s="1495">
        <f>'F9'!M47</f>
        <v>37570</v>
      </c>
      <c r="W48" s="981">
        <f>'F9'!N47</f>
        <v>176.74799999999999</v>
      </c>
      <c r="X48" s="1397">
        <f t="shared" si="1"/>
        <v>9.3630237887590617E-2</v>
      </c>
      <c r="Y48" s="1397">
        <f t="shared" si="2"/>
        <v>1.2600906617931784E-2</v>
      </c>
      <c r="Z48" s="1397">
        <f t="shared" si="3"/>
        <v>0.16715459361096463</v>
      </c>
    </row>
    <row r="49" spans="2:26">
      <c r="B49" s="1369" t="s">
        <v>1425</v>
      </c>
      <c r="C49" s="1258">
        <v>218831</v>
      </c>
      <c r="D49" s="1258">
        <v>1139038</v>
      </c>
      <c r="E49" s="981">
        <v>1297.3760000000002</v>
      </c>
      <c r="F49" s="1258">
        <v>239872</v>
      </c>
      <c r="G49" s="1481">
        <v>1157085</v>
      </c>
      <c r="H49" s="981">
        <v>1573.7559999999999</v>
      </c>
      <c r="I49" s="1258">
        <v>256602</v>
      </c>
      <c r="J49" s="1258">
        <v>1259070</v>
      </c>
      <c r="K49" s="981">
        <v>2223.0549999999998</v>
      </c>
      <c r="L49" s="1258">
        <v>277213</v>
      </c>
      <c r="M49" s="1258">
        <v>1053410.66062</v>
      </c>
      <c r="N49" s="981">
        <v>1977.762949888948</v>
      </c>
      <c r="O49" s="1258">
        <v>299860</v>
      </c>
      <c r="P49" s="1258">
        <v>1125605.5506</v>
      </c>
      <c r="Q49" s="981">
        <v>2113.4325241530792</v>
      </c>
      <c r="R49" s="1258">
        <v>305833</v>
      </c>
      <c r="S49" s="1258">
        <v>1308655</v>
      </c>
      <c r="T49" s="981">
        <v>2146.3051949999999</v>
      </c>
      <c r="U49" s="1495">
        <v>318408</v>
      </c>
      <c r="V49" s="1495">
        <f>'F9'!M48</f>
        <v>1433862</v>
      </c>
      <c r="W49" s="981">
        <f>'F9'!N48</f>
        <v>2524.0860000000002</v>
      </c>
      <c r="X49" s="1397">
        <f t="shared" si="1"/>
        <v>5.5037448398031596E-2</v>
      </c>
      <c r="Y49" s="1397">
        <f t="shared" si="2"/>
        <v>3.3430574127616852E-2</v>
      </c>
      <c r="Z49" s="1397">
        <f t="shared" si="3"/>
        <v>9.974294358385194E-2</v>
      </c>
    </row>
    <row r="50" spans="2:26">
      <c r="B50" s="1369" t="s">
        <v>1446</v>
      </c>
      <c r="C50" s="1258">
        <v>218831</v>
      </c>
      <c r="D50" s="1258">
        <v>1139038</v>
      </c>
      <c r="E50" s="981">
        <v>1297.3760000000002</v>
      </c>
      <c r="F50" s="1258">
        <v>239872</v>
      </c>
      <c r="G50" s="1481">
        <v>1157085</v>
      </c>
      <c r="H50" s="981">
        <v>1573.7559999999999</v>
      </c>
      <c r="I50" s="1258">
        <v>256602</v>
      </c>
      <c r="J50" s="1258">
        <v>1259070</v>
      </c>
      <c r="K50" s="981">
        <v>2223.0549999999998</v>
      </c>
      <c r="L50" s="1258">
        <v>277213</v>
      </c>
      <c r="M50" s="1258">
        <v>1053410.66062</v>
      </c>
      <c r="N50" s="981">
        <v>1977.762949888948</v>
      </c>
      <c r="O50" s="1258">
        <v>299860</v>
      </c>
      <c r="P50" s="1258">
        <v>1125605.5506</v>
      </c>
      <c r="Q50" s="981">
        <v>2113.4325241530792</v>
      </c>
      <c r="R50" s="1258">
        <v>305833</v>
      </c>
      <c r="S50" s="1258">
        <v>1308655</v>
      </c>
      <c r="T50" s="981">
        <v>2146.3051949999999</v>
      </c>
      <c r="U50" s="1495">
        <v>318408</v>
      </c>
      <c r="V50" s="1495">
        <f>'F9'!M49</f>
        <v>1433862</v>
      </c>
      <c r="W50" s="981">
        <f>'F9'!N49</f>
        <v>2524.0860000000002</v>
      </c>
      <c r="X50" s="1397">
        <f t="shared" si="1"/>
        <v>5.5037448398031596E-2</v>
      </c>
      <c r="Y50" s="1397">
        <f t="shared" si="2"/>
        <v>3.3430574127616852E-2</v>
      </c>
      <c r="Z50" s="1397">
        <f t="shared" si="3"/>
        <v>9.974294358385194E-2</v>
      </c>
    </row>
    <row r="51" spans="2:26">
      <c r="B51" s="1367" t="s">
        <v>1081</v>
      </c>
      <c r="C51" s="1258">
        <v>0</v>
      </c>
      <c r="D51" s="1258">
        <v>0</v>
      </c>
      <c r="E51" s="981">
        <v>0</v>
      </c>
      <c r="F51" s="1258">
        <v>0</v>
      </c>
      <c r="G51" s="1481">
        <v>0</v>
      </c>
      <c r="H51" s="981">
        <v>0</v>
      </c>
      <c r="I51" s="1258">
        <v>0</v>
      </c>
      <c r="J51" s="1258">
        <v>0</v>
      </c>
      <c r="K51" s="981">
        <v>0</v>
      </c>
      <c r="L51" s="1258">
        <v>0</v>
      </c>
      <c r="M51" s="1258">
        <v>0</v>
      </c>
      <c r="N51" s="981">
        <v>0</v>
      </c>
      <c r="O51" s="1258">
        <v>0</v>
      </c>
      <c r="P51" s="1258">
        <v>0</v>
      </c>
      <c r="Q51" s="981">
        <v>0</v>
      </c>
      <c r="R51" s="1258">
        <v>0</v>
      </c>
      <c r="S51" s="1258">
        <v>0</v>
      </c>
      <c r="T51" s="981">
        <v>0</v>
      </c>
      <c r="U51" s="1495">
        <v>0</v>
      </c>
      <c r="V51" s="1495">
        <f>'F9'!M50</f>
        <v>0</v>
      </c>
      <c r="W51" s="981">
        <f>'F9'!N50</f>
        <v>0</v>
      </c>
      <c r="X51" s="1397">
        <f t="shared" si="1"/>
        <v>0</v>
      </c>
      <c r="Y51" s="1397">
        <f t="shared" si="2"/>
        <v>0</v>
      </c>
      <c r="Z51" s="1397">
        <f t="shared" si="3"/>
        <v>0</v>
      </c>
    </row>
    <row r="52" spans="2:26">
      <c r="B52" s="1377" t="s">
        <v>1012</v>
      </c>
      <c r="C52" s="1258">
        <v>23328</v>
      </c>
      <c r="D52" s="1258">
        <v>168599</v>
      </c>
      <c r="E52" s="981">
        <v>215.678</v>
      </c>
      <c r="F52" s="1258">
        <v>25563</v>
      </c>
      <c r="G52" s="1481">
        <v>175671</v>
      </c>
      <c r="H52" s="981">
        <v>222.214</v>
      </c>
      <c r="I52" s="1258">
        <v>26683</v>
      </c>
      <c r="J52" s="1258">
        <v>176500</v>
      </c>
      <c r="K52" s="981">
        <v>252.21099999999998</v>
      </c>
      <c r="L52" s="1258">
        <v>16826</v>
      </c>
      <c r="M52" s="1258">
        <v>107203.28465999999</v>
      </c>
      <c r="N52" s="981">
        <v>202.86990649000001</v>
      </c>
      <c r="O52" s="1258">
        <v>16065</v>
      </c>
      <c r="P52" s="1258">
        <v>103625.39678000001</v>
      </c>
      <c r="Q52" s="981">
        <v>157.52318323226314</v>
      </c>
      <c r="R52" s="1258">
        <v>15628</v>
      </c>
      <c r="S52" s="1258">
        <v>163473</v>
      </c>
      <c r="T52" s="981">
        <v>103.39</v>
      </c>
      <c r="U52" s="1495">
        <v>19354</v>
      </c>
      <c r="V52" s="1495">
        <f>'F9'!M51</f>
        <v>161717</v>
      </c>
      <c r="W52" s="981">
        <f>'F9'!N51</f>
        <v>265.33500000000004</v>
      </c>
      <c r="X52" s="1397">
        <f t="shared" si="1"/>
        <v>-2.6326570851278097E-2</v>
      </c>
      <c r="Y52" s="1397">
        <f t="shared" si="2"/>
        <v>-5.9359153299206602E-3</v>
      </c>
      <c r="Z52" s="1397">
        <f t="shared" si="3"/>
        <v>3.0043409262502818E-2</v>
      </c>
    </row>
    <row r="53" spans="2:26">
      <c r="B53" s="1377" t="s">
        <v>1011</v>
      </c>
      <c r="C53" s="1258">
        <v>16824</v>
      </c>
      <c r="D53" s="1258">
        <v>163290</v>
      </c>
      <c r="E53" s="981">
        <v>260.19600000000003</v>
      </c>
      <c r="F53" s="1258">
        <v>13283</v>
      </c>
      <c r="G53" s="1481">
        <v>149909</v>
      </c>
      <c r="H53" s="981">
        <v>292.02999999999997</v>
      </c>
      <c r="I53" s="1258">
        <v>12217</v>
      </c>
      <c r="J53" s="1258">
        <v>149195</v>
      </c>
      <c r="K53" s="981">
        <v>317.16499999999996</v>
      </c>
      <c r="L53" s="1258">
        <v>16183</v>
      </c>
      <c r="M53" s="1258">
        <v>184886.60626</v>
      </c>
      <c r="N53" s="981">
        <v>956.92397169000003</v>
      </c>
      <c r="O53" s="1258">
        <v>15808</v>
      </c>
      <c r="P53" s="1258">
        <v>190224.51516000001</v>
      </c>
      <c r="Q53" s="981">
        <v>831.17778880072831</v>
      </c>
      <c r="R53" s="1258">
        <v>14544</v>
      </c>
      <c r="S53" s="1258">
        <v>174023</v>
      </c>
      <c r="T53" s="981">
        <v>444</v>
      </c>
      <c r="U53" s="1495">
        <v>11700</v>
      </c>
      <c r="V53" s="1495">
        <f>'F9'!M52</f>
        <v>189213</v>
      </c>
      <c r="W53" s="981">
        <f>'F9'!N52</f>
        <v>307.75700000000001</v>
      </c>
      <c r="X53" s="1397">
        <f t="shared" si="1"/>
        <v>-5.0565018921742366E-2</v>
      </c>
      <c r="Y53" s="1397">
        <f t="shared" si="2"/>
        <v>2.1272472584764612E-2</v>
      </c>
      <c r="Z53" s="1397">
        <f t="shared" si="3"/>
        <v>2.427207359457273E-2</v>
      </c>
    </row>
    <row r="54" spans="2:26">
      <c r="B54" s="1369" t="s">
        <v>1425</v>
      </c>
      <c r="C54" s="1258">
        <v>40152</v>
      </c>
      <c r="D54" s="1258">
        <v>331889</v>
      </c>
      <c r="E54" s="981">
        <v>475.87400000000002</v>
      </c>
      <c r="F54" s="1258">
        <v>38846</v>
      </c>
      <c r="G54" s="1481">
        <v>325580</v>
      </c>
      <c r="H54" s="981">
        <v>514.24399999999991</v>
      </c>
      <c r="I54" s="1258">
        <v>38900</v>
      </c>
      <c r="J54" s="1258">
        <v>325695</v>
      </c>
      <c r="K54" s="981">
        <v>569.37599999999998</v>
      </c>
      <c r="L54" s="1258">
        <v>33009</v>
      </c>
      <c r="M54" s="1258">
        <v>292089.89091999998</v>
      </c>
      <c r="N54" s="981">
        <v>1159.7938781800001</v>
      </c>
      <c r="O54" s="1258">
        <v>31873</v>
      </c>
      <c r="P54" s="1258">
        <v>293849.91194000002</v>
      </c>
      <c r="Q54" s="981">
        <v>988.70097203299144</v>
      </c>
      <c r="R54" s="1258">
        <v>30172</v>
      </c>
      <c r="S54" s="1258">
        <v>337496</v>
      </c>
      <c r="T54" s="981">
        <v>547.39</v>
      </c>
      <c r="U54" s="1495">
        <v>31054</v>
      </c>
      <c r="V54" s="1495">
        <f>'F9'!M53</f>
        <v>350930</v>
      </c>
      <c r="W54" s="981">
        <f>'F9'!N53</f>
        <v>573.0920000000001</v>
      </c>
      <c r="X54" s="1397">
        <f t="shared" si="1"/>
        <v>-3.6040864084370572E-2</v>
      </c>
      <c r="Y54" s="1397">
        <f t="shared" si="2"/>
        <v>8.0012974652361457E-3</v>
      </c>
      <c r="Z54" s="1397">
        <f t="shared" si="3"/>
        <v>2.6911921267349426E-2</v>
      </c>
    </row>
    <row r="55" spans="2:26">
      <c r="B55" s="1369" t="s">
        <v>1446</v>
      </c>
      <c r="C55" s="1258">
        <v>40152</v>
      </c>
      <c r="D55" s="1258">
        <v>331889</v>
      </c>
      <c r="E55" s="981">
        <v>475.87400000000002</v>
      </c>
      <c r="F55" s="1258">
        <v>38846</v>
      </c>
      <c r="G55" s="1481">
        <v>325580</v>
      </c>
      <c r="H55" s="981">
        <v>514.24399999999991</v>
      </c>
      <c r="I55" s="1258">
        <v>38900</v>
      </c>
      <c r="J55" s="1258">
        <v>325695</v>
      </c>
      <c r="K55" s="981">
        <v>569.37599999999998</v>
      </c>
      <c r="L55" s="1258">
        <v>33009</v>
      </c>
      <c r="M55" s="1258">
        <v>292089.89091999998</v>
      </c>
      <c r="N55" s="981">
        <v>1159.7938781800001</v>
      </c>
      <c r="O55" s="1258">
        <v>31873</v>
      </c>
      <c r="P55" s="1258">
        <v>293849.91194000002</v>
      </c>
      <c r="Q55" s="981">
        <v>988.70097203299144</v>
      </c>
      <c r="R55" s="1258">
        <v>30172</v>
      </c>
      <c r="S55" s="1258">
        <v>337496</v>
      </c>
      <c r="T55" s="981">
        <v>547.39</v>
      </c>
      <c r="U55" s="1495">
        <v>31054</v>
      </c>
      <c r="V55" s="1495">
        <f>'F9'!M54</f>
        <v>350930</v>
      </c>
      <c r="W55" s="981">
        <f>'F9'!N54</f>
        <v>573.0920000000001</v>
      </c>
      <c r="X55" s="1397">
        <f t="shared" si="1"/>
        <v>-3.6040864084370572E-2</v>
      </c>
      <c r="Y55" s="1397">
        <f t="shared" si="2"/>
        <v>8.0012974652361457E-3</v>
      </c>
      <c r="Z55" s="1397">
        <f t="shared" si="3"/>
        <v>2.6911921267349426E-2</v>
      </c>
    </row>
    <row r="56" spans="2:26">
      <c r="B56" s="1367" t="s">
        <v>1402</v>
      </c>
      <c r="C56" s="1258">
        <v>0</v>
      </c>
      <c r="D56" s="1258">
        <v>0</v>
      </c>
      <c r="E56" s="981">
        <v>0</v>
      </c>
      <c r="F56" s="1258">
        <v>0</v>
      </c>
      <c r="G56" s="1481">
        <v>0</v>
      </c>
      <c r="H56" s="981">
        <v>0</v>
      </c>
      <c r="I56" s="1258">
        <v>0</v>
      </c>
      <c r="J56" s="1258">
        <v>0</v>
      </c>
      <c r="K56" s="981">
        <v>0</v>
      </c>
      <c r="L56" s="1258">
        <v>0</v>
      </c>
      <c r="M56" s="1258">
        <v>0</v>
      </c>
      <c r="N56" s="981">
        <v>0</v>
      </c>
      <c r="O56" s="1258">
        <v>0</v>
      </c>
      <c r="P56" s="1258">
        <v>0</v>
      </c>
      <c r="Q56" s="981">
        <v>0</v>
      </c>
      <c r="R56" s="1258">
        <v>0</v>
      </c>
      <c r="S56" s="1258">
        <v>0</v>
      </c>
      <c r="T56" s="981">
        <v>0</v>
      </c>
      <c r="U56" s="1495">
        <v>0</v>
      </c>
      <c r="V56" s="1495">
        <f>'F9'!M55</f>
        <v>0</v>
      </c>
      <c r="W56" s="981">
        <f>'F9'!N55</f>
        <v>0</v>
      </c>
      <c r="X56" s="1397">
        <f t="shared" si="1"/>
        <v>0</v>
      </c>
      <c r="Y56" s="1397">
        <f t="shared" si="2"/>
        <v>0</v>
      </c>
      <c r="Z56" s="1397">
        <f t="shared" si="3"/>
        <v>0</v>
      </c>
    </row>
    <row r="57" spans="2:26">
      <c r="B57" s="1377" t="s">
        <v>475</v>
      </c>
      <c r="C57" s="1258">
        <v>1447</v>
      </c>
      <c r="D57" s="1258">
        <v>59578</v>
      </c>
      <c r="E57" s="981">
        <v>235.39700000000002</v>
      </c>
      <c r="F57" s="1258">
        <v>1384</v>
      </c>
      <c r="G57" s="1481">
        <v>134608</v>
      </c>
      <c r="H57" s="981">
        <v>194.643</v>
      </c>
      <c r="I57" s="1258">
        <v>1361</v>
      </c>
      <c r="J57" s="1258">
        <v>31346</v>
      </c>
      <c r="K57" s="981">
        <v>203.84899999999999</v>
      </c>
      <c r="L57" s="1258">
        <v>1432</v>
      </c>
      <c r="M57" s="1258">
        <v>46930</v>
      </c>
      <c r="N57" s="981">
        <v>223.30277699999999</v>
      </c>
      <c r="O57" s="1258">
        <v>4402</v>
      </c>
      <c r="P57" s="1258">
        <v>146146</v>
      </c>
      <c r="Q57" s="981">
        <v>208.63065894861018</v>
      </c>
      <c r="R57" s="1258">
        <v>1506</v>
      </c>
      <c r="S57" s="1258">
        <v>33153</v>
      </c>
      <c r="T57" s="981">
        <v>136.28478799999999</v>
      </c>
      <c r="U57" s="1495">
        <v>1692</v>
      </c>
      <c r="V57" s="1495">
        <f>'F9'!M56</f>
        <v>28131</v>
      </c>
      <c r="W57" s="981">
        <f>'F9'!N56</f>
        <v>123.131</v>
      </c>
      <c r="X57" s="1397">
        <f t="shared" si="1"/>
        <v>2.2597076520554538E-2</v>
      </c>
      <c r="Y57" s="1397">
        <f t="shared" si="2"/>
        <v>-0.10165583746956297</v>
      </c>
      <c r="Z57" s="1397">
        <f t="shared" si="3"/>
        <v>-8.8419110834228931E-2</v>
      </c>
    </row>
    <row r="58" spans="2:26">
      <c r="B58" s="1378" t="s">
        <v>1091</v>
      </c>
      <c r="C58" s="1258">
        <v>1065</v>
      </c>
      <c r="D58" s="1258">
        <v>38526</v>
      </c>
      <c r="E58" s="981">
        <v>153.804</v>
      </c>
      <c r="F58" s="1258">
        <v>1217</v>
      </c>
      <c r="G58" s="1481">
        <v>32819</v>
      </c>
      <c r="H58" s="981">
        <v>125.105</v>
      </c>
      <c r="I58" s="1258">
        <v>1200</v>
      </c>
      <c r="J58" s="1258">
        <v>25766</v>
      </c>
      <c r="K58" s="981">
        <v>142.89599999999999</v>
      </c>
      <c r="L58" s="1258">
        <v>1111</v>
      </c>
      <c r="M58" s="1258">
        <v>31787</v>
      </c>
      <c r="N58" s="981">
        <v>157.79621399999999</v>
      </c>
      <c r="O58" s="1258">
        <v>3148</v>
      </c>
      <c r="P58" s="1258">
        <v>123418</v>
      </c>
      <c r="Q58" s="981">
        <v>118.05289504054707</v>
      </c>
      <c r="R58" s="1258">
        <v>1261</v>
      </c>
      <c r="S58" s="1258">
        <v>23857</v>
      </c>
      <c r="T58" s="981">
        <v>102.073336</v>
      </c>
      <c r="U58" s="1495">
        <v>1451</v>
      </c>
      <c r="V58" s="1495">
        <f>'F9'!M57</f>
        <v>21596</v>
      </c>
      <c r="W58" s="981">
        <f>'F9'!N57</f>
        <v>97.594999999999999</v>
      </c>
      <c r="X58" s="1397">
        <f t="shared" si="1"/>
        <v>4.5173182317321592E-2</v>
      </c>
      <c r="Y58" s="1397">
        <f t="shared" si="2"/>
        <v>-7.9362871780917166E-2</v>
      </c>
      <c r="Z58" s="1397">
        <f t="shared" si="3"/>
        <v>-6.2912831484642662E-2</v>
      </c>
    </row>
    <row r="59" spans="2:26">
      <c r="B59" s="1378" t="s">
        <v>1092</v>
      </c>
      <c r="C59" s="1258">
        <v>218</v>
      </c>
      <c r="D59" s="1258">
        <v>17489</v>
      </c>
      <c r="E59" s="981">
        <v>62.33</v>
      </c>
      <c r="F59" s="1258">
        <v>62</v>
      </c>
      <c r="G59" s="1481">
        <v>9248</v>
      </c>
      <c r="H59" s="981">
        <v>52.726999999999997</v>
      </c>
      <c r="I59" s="1258">
        <v>58</v>
      </c>
      <c r="J59" s="1258">
        <v>2020</v>
      </c>
      <c r="K59" s="981">
        <v>37.905999999999999</v>
      </c>
      <c r="L59" s="1258">
        <v>173</v>
      </c>
      <c r="M59" s="1258">
        <v>10949</v>
      </c>
      <c r="N59" s="981">
        <v>47.353099</v>
      </c>
      <c r="O59" s="1258">
        <v>1180</v>
      </c>
      <c r="P59" s="1258">
        <v>21134</v>
      </c>
      <c r="Q59" s="981">
        <v>82.811348793518476</v>
      </c>
      <c r="R59" s="1258">
        <v>85</v>
      </c>
      <c r="S59" s="1258">
        <v>1858</v>
      </c>
      <c r="T59" s="981">
        <v>19.180535000000003</v>
      </c>
      <c r="U59" s="1495">
        <v>71</v>
      </c>
      <c r="V59" s="1495">
        <f>'F9'!M58</f>
        <v>1455</v>
      </c>
      <c r="W59" s="981">
        <f>'F9'!N58</f>
        <v>11.081</v>
      </c>
      <c r="X59" s="1397">
        <f t="shared" si="1"/>
        <v>-0.14807715370894881</v>
      </c>
      <c r="Y59" s="1397">
        <f t="shared" si="2"/>
        <v>-0.29898342291759039</v>
      </c>
      <c r="Z59" s="1397">
        <f t="shared" si="3"/>
        <v>-0.21865963487982387</v>
      </c>
    </row>
    <row r="60" spans="2:26">
      <c r="B60" s="1378" t="s">
        <v>1093</v>
      </c>
      <c r="C60" s="1258">
        <v>164</v>
      </c>
      <c r="D60" s="1258">
        <v>3563</v>
      </c>
      <c r="E60" s="981">
        <v>19.263000000000002</v>
      </c>
      <c r="F60" s="1258">
        <v>105</v>
      </c>
      <c r="G60" s="1481">
        <v>92541</v>
      </c>
      <c r="H60" s="981">
        <v>16.811</v>
      </c>
      <c r="I60" s="1258">
        <v>103</v>
      </c>
      <c r="J60" s="1258">
        <v>3560</v>
      </c>
      <c r="K60" s="981">
        <v>23.047000000000001</v>
      </c>
      <c r="L60" s="1258">
        <v>148</v>
      </c>
      <c r="M60" s="1258">
        <v>4194</v>
      </c>
      <c r="N60" s="981">
        <v>18.153464</v>
      </c>
      <c r="O60" s="1258">
        <v>74</v>
      </c>
      <c r="P60" s="1258">
        <v>1594</v>
      </c>
      <c r="Q60" s="981">
        <v>7.766415114544639</v>
      </c>
      <c r="R60" s="1258">
        <v>160</v>
      </c>
      <c r="S60" s="1258">
        <v>7438</v>
      </c>
      <c r="T60" s="981">
        <v>15.030917000000001</v>
      </c>
      <c r="U60" s="1495">
        <v>170</v>
      </c>
      <c r="V60" s="1495">
        <f>'F9'!M59</f>
        <v>5080</v>
      </c>
      <c r="W60" s="981">
        <f>'F9'!N59</f>
        <v>14.455</v>
      </c>
      <c r="X60" s="1397">
        <f t="shared" si="1"/>
        <v>5.1463413310186557E-3</v>
      </c>
      <c r="Y60" s="1397">
        <f t="shared" si="2"/>
        <v>5.1978445455888922E-2</v>
      </c>
      <c r="Z60" s="1397">
        <f t="shared" si="3"/>
        <v>-4.0190859247119071E-2</v>
      </c>
    </row>
    <row r="61" spans="2:26">
      <c r="B61" s="1377" t="s">
        <v>1403</v>
      </c>
      <c r="C61" s="1258">
        <v>1294</v>
      </c>
      <c r="D61" s="1258">
        <v>53009</v>
      </c>
      <c r="E61" s="981">
        <v>369.35900000000004</v>
      </c>
      <c r="F61" s="1258">
        <v>1386</v>
      </c>
      <c r="G61" s="1481">
        <v>48659</v>
      </c>
      <c r="H61" s="981">
        <v>327.53500000000003</v>
      </c>
      <c r="I61" s="1258">
        <v>1478</v>
      </c>
      <c r="J61" s="1258">
        <v>54397</v>
      </c>
      <c r="K61" s="981">
        <v>318.67199999999997</v>
      </c>
      <c r="L61" s="1258">
        <v>1610</v>
      </c>
      <c r="M61" s="1258">
        <v>59531</v>
      </c>
      <c r="N61" s="981">
        <v>320.34411699999998</v>
      </c>
      <c r="O61" s="1258">
        <v>1687</v>
      </c>
      <c r="P61" s="1258">
        <v>88834</v>
      </c>
      <c r="Q61" s="981">
        <v>215.49501516629937</v>
      </c>
      <c r="R61" s="1258">
        <v>1846</v>
      </c>
      <c r="S61" s="1258">
        <v>76964</v>
      </c>
      <c r="T61" s="981">
        <v>195.99296400000003</v>
      </c>
      <c r="U61" s="1495">
        <v>1734</v>
      </c>
      <c r="V61" s="1495">
        <f>'F9'!M60</f>
        <v>78599</v>
      </c>
      <c r="W61" s="981">
        <f>'F9'!N60</f>
        <v>266.96100000000001</v>
      </c>
      <c r="X61" s="1397">
        <f t="shared" si="1"/>
        <v>4.2699726304061825E-2</v>
      </c>
      <c r="Y61" s="1397">
        <f t="shared" si="2"/>
        <v>5.7884371785519084E-2</v>
      </c>
      <c r="Z61" s="1397">
        <f t="shared" si="3"/>
        <v>-4.5321770000463779E-2</v>
      </c>
    </row>
    <row r="62" spans="2:26">
      <c r="B62" s="1378" t="s">
        <v>1094</v>
      </c>
      <c r="C62" s="1258">
        <v>499</v>
      </c>
      <c r="D62" s="1258">
        <v>11813</v>
      </c>
      <c r="E62" s="981">
        <v>112.72</v>
      </c>
      <c r="F62" s="1258">
        <v>581</v>
      </c>
      <c r="G62" s="1481">
        <v>20193</v>
      </c>
      <c r="H62" s="981">
        <v>113.07299999999999</v>
      </c>
      <c r="I62" s="1258">
        <v>578</v>
      </c>
      <c r="J62" s="1258">
        <v>21547</v>
      </c>
      <c r="K62" s="981">
        <v>93.57</v>
      </c>
      <c r="L62" s="1258">
        <v>585</v>
      </c>
      <c r="M62" s="1258">
        <v>17364</v>
      </c>
      <c r="N62" s="981">
        <v>97.668659000000005</v>
      </c>
      <c r="O62" s="1258">
        <v>158</v>
      </c>
      <c r="P62" s="1258">
        <v>3498</v>
      </c>
      <c r="Q62" s="981">
        <v>14.237589721187092</v>
      </c>
      <c r="R62" s="1258">
        <v>519</v>
      </c>
      <c r="S62" s="1258">
        <v>9974</v>
      </c>
      <c r="T62" s="981">
        <v>30.843738000000002</v>
      </c>
      <c r="U62" s="1495">
        <v>360</v>
      </c>
      <c r="V62" s="1495">
        <f>'F9'!M61</f>
        <v>9353</v>
      </c>
      <c r="W62" s="981">
        <f>'F9'!N61</f>
        <v>38.027999999999999</v>
      </c>
      <c r="X62" s="1397">
        <f t="shared" si="1"/>
        <v>-4.5572077516856213E-2</v>
      </c>
      <c r="Y62" s="1397">
        <f t="shared" si="2"/>
        <v>-3.2807407997275329E-2</v>
      </c>
      <c r="Z62" s="1397">
        <f t="shared" si="3"/>
        <v>-0.14377861188066632</v>
      </c>
    </row>
    <row r="63" spans="2:26">
      <c r="B63" s="1378" t="s">
        <v>1095</v>
      </c>
      <c r="C63" s="1258">
        <v>638</v>
      </c>
      <c r="D63" s="1258">
        <v>36890</v>
      </c>
      <c r="E63" s="981">
        <v>242.13499999999999</v>
      </c>
      <c r="F63" s="1258">
        <v>636</v>
      </c>
      <c r="G63" s="1481">
        <v>22299</v>
      </c>
      <c r="H63" s="981">
        <v>199.636</v>
      </c>
      <c r="I63" s="1258">
        <v>731</v>
      </c>
      <c r="J63" s="1258">
        <v>26683</v>
      </c>
      <c r="K63" s="981">
        <v>203.38</v>
      </c>
      <c r="L63" s="1258">
        <v>845</v>
      </c>
      <c r="M63" s="1258">
        <v>38020</v>
      </c>
      <c r="N63" s="981">
        <v>206.561059</v>
      </c>
      <c r="O63" s="1258">
        <v>594</v>
      </c>
      <c r="P63" s="1258">
        <v>24362</v>
      </c>
      <c r="Q63" s="981">
        <v>112.89345298112738</v>
      </c>
      <c r="R63" s="1258">
        <v>955</v>
      </c>
      <c r="S63" s="1258">
        <v>52696</v>
      </c>
      <c r="T63" s="981">
        <v>142.20498900000001</v>
      </c>
      <c r="U63" s="1495">
        <v>1059</v>
      </c>
      <c r="V63" s="1495">
        <f>'F9'!M62</f>
        <v>57374</v>
      </c>
      <c r="W63" s="981">
        <f>'F9'!N62</f>
        <v>198.733</v>
      </c>
      <c r="X63" s="1397">
        <f t="shared" si="1"/>
        <v>7.5076393934187857E-2</v>
      </c>
      <c r="Y63" s="1397">
        <f t="shared" si="2"/>
        <v>6.5125849858167939E-2</v>
      </c>
      <c r="Z63" s="1397">
        <f t="shared" si="3"/>
        <v>-2.7824591623355821E-2</v>
      </c>
    </row>
    <row r="64" spans="2:26">
      <c r="B64" s="1378" t="s">
        <v>1096</v>
      </c>
      <c r="C64" s="1258">
        <v>157</v>
      </c>
      <c r="D64" s="1258">
        <v>4306</v>
      </c>
      <c r="E64" s="981">
        <v>14.504</v>
      </c>
      <c r="F64" s="1258">
        <v>169</v>
      </c>
      <c r="G64" s="1481">
        <v>6167</v>
      </c>
      <c r="H64" s="981">
        <v>14.826000000000001</v>
      </c>
      <c r="I64" s="1258">
        <v>169</v>
      </c>
      <c r="J64" s="1258">
        <v>6167</v>
      </c>
      <c r="K64" s="981">
        <v>21.722000000000001</v>
      </c>
      <c r="L64" s="1258">
        <v>180</v>
      </c>
      <c r="M64" s="1258">
        <v>4147</v>
      </c>
      <c r="N64" s="981">
        <v>16.114398999999999</v>
      </c>
      <c r="O64" s="1258">
        <v>935</v>
      </c>
      <c r="P64" s="1258">
        <v>60974</v>
      </c>
      <c r="Q64" s="981">
        <v>88.363972463984908</v>
      </c>
      <c r="R64" s="1258">
        <v>372</v>
      </c>
      <c r="S64" s="1258">
        <v>14294</v>
      </c>
      <c r="T64" s="981">
        <v>22.944237000000001</v>
      </c>
      <c r="U64" s="1495">
        <v>315</v>
      </c>
      <c r="V64" s="1495">
        <f>'F9'!M63</f>
        <v>11872</v>
      </c>
      <c r="W64" s="981">
        <f>'F9'!N63</f>
        <v>30.2</v>
      </c>
      <c r="X64" s="1397">
        <f t="shared" si="1"/>
        <v>0.10459114494373956</v>
      </c>
      <c r="Y64" s="1397">
        <f t="shared" si="2"/>
        <v>0.15590304798950605</v>
      </c>
      <c r="Z64" s="1397">
        <f t="shared" si="3"/>
        <v>0.11045953101781913</v>
      </c>
    </row>
    <row r="65" spans="2:26">
      <c r="B65" s="1369" t="s">
        <v>1425</v>
      </c>
      <c r="C65" s="1258">
        <v>2741</v>
      </c>
      <c r="D65" s="1258">
        <v>112587</v>
      </c>
      <c r="E65" s="981">
        <v>604.75600000000009</v>
      </c>
      <c r="F65" s="1258">
        <v>2770</v>
      </c>
      <c r="G65" s="1481">
        <v>183267</v>
      </c>
      <c r="H65" s="981">
        <v>522.178</v>
      </c>
      <c r="I65" s="1258">
        <v>2839</v>
      </c>
      <c r="J65" s="1258">
        <v>85743</v>
      </c>
      <c r="K65" s="981">
        <v>522.52099999999996</v>
      </c>
      <c r="L65" s="1258">
        <v>3042</v>
      </c>
      <c r="M65" s="1258">
        <v>106461</v>
      </c>
      <c r="N65" s="981">
        <v>543.64689399999997</v>
      </c>
      <c r="O65" s="1258">
        <v>6089</v>
      </c>
      <c r="P65" s="1258">
        <v>234980</v>
      </c>
      <c r="Q65" s="981">
        <v>424.12567411490954</v>
      </c>
      <c r="R65" s="1258">
        <v>3352</v>
      </c>
      <c r="S65" s="1258">
        <v>110117</v>
      </c>
      <c r="T65" s="981">
        <v>332.27775200000002</v>
      </c>
      <c r="U65" s="1495">
        <v>3426</v>
      </c>
      <c r="V65" s="1495">
        <f>'F9'!M64</f>
        <v>106730</v>
      </c>
      <c r="W65" s="981">
        <f>'F9'!N64</f>
        <v>390.09199999999998</v>
      </c>
      <c r="X65" s="1397">
        <f t="shared" si="1"/>
        <v>3.2380423012287052E-2</v>
      </c>
      <c r="Y65" s="1397">
        <f t="shared" si="2"/>
        <v>-7.6029467193540201E-3</v>
      </c>
      <c r="Z65" s="1397">
        <f t="shared" si="3"/>
        <v>-6.0713408852487771E-2</v>
      </c>
    </row>
    <row r="66" spans="2:26">
      <c r="B66" s="1369" t="s">
        <v>1446</v>
      </c>
      <c r="C66" s="1258">
        <v>2741</v>
      </c>
      <c r="D66" s="1258">
        <v>112587</v>
      </c>
      <c r="E66" s="981">
        <v>604.75600000000009</v>
      </c>
      <c r="F66" s="1258">
        <v>2770</v>
      </c>
      <c r="G66" s="1481">
        <v>183267</v>
      </c>
      <c r="H66" s="981">
        <v>522.178</v>
      </c>
      <c r="I66" s="1258">
        <v>2839</v>
      </c>
      <c r="J66" s="1258">
        <v>85743</v>
      </c>
      <c r="K66" s="981">
        <v>522.52099999999996</v>
      </c>
      <c r="L66" s="1258">
        <v>3042</v>
      </c>
      <c r="M66" s="1258">
        <v>106461</v>
      </c>
      <c r="N66" s="981">
        <v>543.64689399999997</v>
      </c>
      <c r="O66" s="1258">
        <v>6089</v>
      </c>
      <c r="P66" s="1258">
        <v>234980</v>
      </c>
      <c r="Q66" s="981">
        <v>424.12567411490954</v>
      </c>
      <c r="R66" s="1258">
        <v>3352</v>
      </c>
      <c r="S66" s="1258">
        <v>110117</v>
      </c>
      <c r="T66" s="981">
        <v>332.27775200000002</v>
      </c>
      <c r="U66" s="1495">
        <v>3426</v>
      </c>
      <c r="V66" s="1495">
        <f>'F9'!M65</f>
        <v>106730</v>
      </c>
      <c r="W66" s="981">
        <f>'F9'!N65</f>
        <v>390.09199999999998</v>
      </c>
      <c r="X66" s="1397">
        <f t="shared" si="1"/>
        <v>3.2380423012287052E-2</v>
      </c>
      <c r="Y66" s="1397">
        <f t="shared" si="2"/>
        <v>-7.6029467193540201E-3</v>
      </c>
      <c r="Z66" s="1397">
        <f t="shared" si="3"/>
        <v>-6.0713408852487771E-2</v>
      </c>
    </row>
    <row r="67" spans="2:26">
      <c r="B67" s="1367" t="s">
        <v>1098</v>
      </c>
      <c r="C67" s="1258">
        <v>0</v>
      </c>
      <c r="D67" s="1258">
        <v>0</v>
      </c>
      <c r="E67" s="981">
        <v>0</v>
      </c>
      <c r="F67" s="1258">
        <v>0</v>
      </c>
      <c r="G67" s="1481">
        <v>0</v>
      </c>
      <c r="H67" s="981">
        <v>0</v>
      </c>
      <c r="I67" s="1258">
        <v>0</v>
      </c>
      <c r="J67" s="1258">
        <v>0</v>
      </c>
      <c r="K67" s="981">
        <v>0</v>
      </c>
      <c r="L67" s="1258">
        <v>0</v>
      </c>
      <c r="M67" s="1258">
        <v>0</v>
      </c>
      <c r="N67" s="981">
        <v>0</v>
      </c>
      <c r="O67" s="1258">
        <v>0</v>
      </c>
      <c r="P67" s="1258">
        <v>0</v>
      </c>
      <c r="Q67" s="981">
        <v>0</v>
      </c>
      <c r="R67" s="1258">
        <v>0</v>
      </c>
      <c r="S67" s="1258">
        <v>0</v>
      </c>
      <c r="T67" s="981">
        <v>0</v>
      </c>
      <c r="U67" s="1495">
        <v>0</v>
      </c>
      <c r="V67" s="1495">
        <f>'F9'!M66</f>
        <v>0</v>
      </c>
      <c r="W67" s="981">
        <f>'F9'!N66</f>
        <v>0</v>
      </c>
      <c r="X67" s="1397">
        <f t="shared" si="1"/>
        <v>0</v>
      </c>
      <c r="Y67" s="1397">
        <f t="shared" si="2"/>
        <v>0</v>
      </c>
      <c r="Z67" s="1397">
        <f t="shared" si="3"/>
        <v>0</v>
      </c>
    </row>
    <row r="68" spans="2:26">
      <c r="B68" s="1377" t="s">
        <v>476</v>
      </c>
      <c r="C68" s="1258">
        <v>112</v>
      </c>
      <c r="D68" s="1258">
        <v>1125</v>
      </c>
      <c r="E68" s="981">
        <v>6.6040000000000001</v>
      </c>
      <c r="F68" s="1258">
        <v>120</v>
      </c>
      <c r="G68" s="1481">
        <v>1206</v>
      </c>
      <c r="H68" s="981">
        <v>11.956</v>
      </c>
      <c r="I68" s="1258">
        <v>136</v>
      </c>
      <c r="J68" s="1258">
        <v>2227</v>
      </c>
      <c r="K68" s="981">
        <v>3.3660000000000001</v>
      </c>
      <c r="L68" s="1258">
        <v>201</v>
      </c>
      <c r="M68" s="1258">
        <v>4679</v>
      </c>
      <c r="N68" s="981">
        <v>21.757023</v>
      </c>
      <c r="O68" s="1258">
        <v>289</v>
      </c>
      <c r="P68" s="1258">
        <v>4655</v>
      </c>
      <c r="Q68" s="981">
        <v>22.061778190053822</v>
      </c>
      <c r="R68" s="1258">
        <v>473</v>
      </c>
      <c r="S68" s="1258">
        <v>6911</v>
      </c>
      <c r="T68" s="981">
        <v>19.338604</v>
      </c>
      <c r="U68" s="1495">
        <v>1778</v>
      </c>
      <c r="V68" s="1495">
        <f>'F9'!M67</f>
        <v>35575</v>
      </c>
      <c r="W68" s="981">
        <f>'F9'!N67</f>
        <v>254.119</v>
      </c>
      <c r="X68" s="1397">
        <f t="shared" si="1"/>
        <v>0.4843302334290871</v>
      </c>
      <c r="Y68" s="1397">
        <f t="shared" si="2"/>
        <v>0.63788960493126723</v>
      </c>
      <c r="Z68" s="1397">
        <f t="shared" si="3"/>
        <v>0.68446285673515028</v>
      </c>
    </row>
    <row r="69" spans="2:26">
      <c r="B69" s="1378" t="s">
        <v>1099</v>
      </c>
      <c r="C69" s="1258">
        <v>112</v>
      </c>
      <c r="D69" s="1258">
        <v>1125</v>
      </c>
      <c r="E69" s="981">
        <v>6.6040000000000001</v>
      </c>
      <c r="F69" s="1258">
        <v>120</v>
      </c>
      <c r="G69" s="1481">
        <v>1206</v>
      </c>
      <c r="H69" s="981">
        <v>11.956</v>
      </c>
      <c r="I69" s="1258">
        <v>136</v>
      </c>
      <c r="J69" s="1258">
        <v>2227</v>
      </c>
      <c r="K69" s="981">
        <v>3.3660000000000001</v>
      </c>
      <c r="L69" s="1258">
        <v>201</v>
      </c>
      <c r="M69" s="1258">
        <v>4679</v>
      </c>
      <c r="N69" s="981">
        <v>21.757023</v>
      </c>
      <c r="O69" s="1258">
        <v>289</v>
      </c>
      <c r="P69" s="1258">
        <v>4655</v>
      </c>
      <c r="Q69" s="981">
        <v>22.061778190053822</v>
      </c>
      <c r="R69" s="1258">
        <v>473</v>
      </c>
      <c r="S69" s="1258">
        <v>6911</v>
      </c>
      <c r="T69" s="981">
        <v>19.338604</v>
      </c>
      <c r="U69" s="1495">
        <v>1778</v>
      </c>
      <c r="V69" s="1495">
        <f>'F9'!M68</f>
        <v>35575</v>
      </c>
      <c r="W69" s="981">
        <f>'F9'!N68</f>
        <v>254.119</v>
      </c>
      <c r="X69" s="1397">
        <f t="shared" si="1"/>
        <v>0.4843302334290871</v>
      </c>
      <c r="Y69" s="1397">
        <f t="shared" si="2"/>
        <v>0.63788960493126723</v>
      </c>
      <c r="Z69" s="1397">
        <f t="shared" si="3"/>
        <v>0.68446285673515028</v>
      </c>
    </row>
    <row r="70" spans="2:26">
      <c r="B70" s="1377" t="s">
        <v>1404</v>
      </c>
      <c r="C70" s="1258">
        <v>10985</v>
      </c>
      <c r="D70" s="1258">
        <v>197195</v>
      </c>
      <c r="E70" s="981">
        <v>1036.7440000000001</v>
      </c>
      <c r="F70" s="1258">
        <v>11292</v>
      </c>
      <c r="G70" s="1481">
        <v>247158</v>
      </c>
      <c r="H70" s="981">
        <v>1058.3</v>
      </c>
      <c r="I70" s="1258">
        <v>11116</v>
      </c>
      <c r="J70" s="1258">
        <v>200139</v>
      </c>
      <c r="K70" s="981">
        <v>1159.923</v>
      </c>
      <c r="L70" s="1258">
        <v>11168</v>
      </c>
      <c r="M70" s="1258">
        <v>193995</v>
      </c>
      <c r="N70" s="981">
        <v>1180.5471540000001</v>
      </c>
      <c r="O70" s="1258">
        <v>10966</v>
      </c>
      <c r="P70" s="1258">
        <v>188964</v>
      </c>
      <c r="Q70" s="981">
        <v>1001.6579337927642</v>
      </c>
      <c r="R70" s="1258">
        <v>11123</v>
      </c>
      <c r="S70" s="1258">
        <v>197798</v>
      </c>
      <c r="T70" s="981">
        <v>987.378828</v>
      </c>
      <c r="U70" s="1495">
        <v>10048</v>
      </c>
      <c r="V70" s="1495">
        <f>'F9'!M69</f>
        <v>187508</v>
      </c>
      <c r="W70" s="981">
        <f>'F9'!N69</f>
        <v>859.07</v>
      </c>
      <c r="X70" s="1397">
        <f t="shared" si="1"/>
        <v>-1.2655959169473707E-2</v>
      </c>
      <c r="Y70" s="1397">
        <f t="shared" si="2"/>
        <v>-7.1701106066406339E-3</v>
      </c>
      <c r="Z70" s="1397">
        <f t="shared" si="3"/>
        <v>-2.6498292734774553E-2</v>
      </c>
    </row>
    <row r="71" spans="2:26">
      <c r="B71" s="1378" t="s">
        <v>1405</v>
      </c>
      <c r="C71" s="1258">
        <v>10765</v>
      </c>
      <c r="D71" s="1258">
        <v>185304</v>
      </c>
      <c r="E71" s="981">
        <v>973.14700000000005</v>
      </c>
      <c r="F71" s="1258">
        <v>11255</v>
      </c>
      <c r="G71" s="1481">
        <v>237389</v>
      </c>
      <c r="H71" s="981">
        <v>981.07500000000005</v>
      </c>
      <c r="I71" s="1258">
        <v>11051</v>
      </c>
      <c r="J71" s="1258">
        <v>190517</v>
      </c>
      <c r="K71" s="981">
        <v>1064.8430000000001</v>
      </c>
      <c r="L71" s="1258">
        <v>11132</v>
      </c>
      <c r="M71" s="1258">
        <v>184854</v>
      </c>
      <c r="N71" s="981">
        <v>1110.440382</v>
      </c>
      <c r="O71" s="1258">
        <v>10932</v>
      </c>
      <c r="P71" s="1258">
        <v>180629</v>
      </c>
      <c r="Q71" s="981">
        <v>959.91763708305689</v>
      </c>
      <c r="R71" s="1258">
        <v>11090</v>
      </c>
      <c r="S71" s="1258">
        <v>190122</v>
      </c>
      <c r="T71" s="981">
        <v>947.30200600000001</v>
      </c>
      <c r="U71" s="1495">
        <v>9930</v>
      </c>
      <c r="V71" s="1495">
        <f>'F9'!M70</f>
        <v>179416</v>
      </c>
      <c r="W71" s="981">
        <f>'F9'!N70</f>
        <v>848.98</v>
      </c>
      <c r="X71" s="1397">
        <f t="shared" si="1"/>
        <v>-1.1467971821164769E-2</v>
      </c>
      <c r="Y71" s="1397">
        <f t="shared" si="2"/>
        <v>-4.6023178497439643E-3</v>
      </c>
      <c r="Z71" s="1397">
        <f t="shared" si="3"/>
        <v>-1.9311037704688561E-2</v>
      </c>
    </row>
    <row r="72" spans="2:26">
      <c r="B72" s="1378" t="s">
        <v>1101</v>
      </c>
      <c r="C72" s="1258">
        <v>220</v>
      </c>
      <c r="D72" s="1258">
        <v>11891</v>
      </c>
      <c r="E72" s="981">
        <v>63.597000000000001</v>
      </c>
      <c r="F72" s="1258">
        <v>37</v>
      </c>
      <c r="G72" s="1481">
        <v>9769</v>
      </c>
      <c r="H72" s="981">
        <v>77.224999999999994</v>
      </c>
      <c r="I72" s="1258">
        <v>65</v>
      </c>
      <c r="J72" s="1258">
        <v>9622</v>
      </c>
      <c r="K72" s="981">
        <v>95.08</v>
      </c>
      <c r="L72" s="1258">
        <v>36</v>
      </c>
      <c r="M72" s="1258">
        <v>9141</v>
      </c>
      <c r="N72" s="981">
        <v>70.106772000000007</v>
      </c>
      <c r="O72" s="1258">
        <v>34</v>
      </c>
      <c r="P72" s="1258">
        <v>8335</v>
      </c>
      <c r="Q72" s="981">
        <v>41.740296709707259</v>
      </c>
      <c r="R72" s="1258">
        <v>33</v>
      </c>
      <c r="S72" s="1258">
        <v>7676</v>
      </c>
      <c r="T72" s="981">
        <v>40.076822</v>
      </c>
      <c r="U72" s="1495">
        <v>118</v>
      </c>
      <c r="V72" s="1495">
        <f>'F9'!M71</f>
        <v>8092</v>
      </c>
      <c r="W72" s="981">
        <f>'F9'!N71</f>
        <v>10.09</v>
      </c>
      <c r="X72" s="1397">
        <f t="shared" si="1"/>
        <v>-8.5146966729520046E-2</v>
      </c>
      <c r="Y72" s="1397">
        <f t="shared" si="2"/>
        <v>-5.3502127434926661E-2</v>
      </c>
      <c r="Z72" s="1397">
        <f t="shared" si="3"/>
        <v>-0.23126045998357103</v>
      </c>
    </row>
    <row r="73" spans="2:26">
      <c r="B73" s="1369" t="s">
        <v>1425</v>
      </c>
      <c r="C73" s="1258">
        <v>11097</v>
      </c>
      <c r="D73" s="1258">
        <v>198320</v>
      </c>
      <c r="E73" s="981">
        <v>1043.3480000000002</v>
      </c>
      <c r="F73" s="1258">
        <v>11412</v>
      </c>
      <c r="G73" s="1481">
        <v>248364</v>
      </c>
      <c r="H73" s="981">
        <v>1070.2559999999999</v>
      </c>
      <c r="I73" s="1258">
        <v>11252</v>
      </c>
      <c r="J73" s="1258">
        <v>202366</v>
      </c>
      <c r="K73" s="981">
        <v>1163.289</v>
      </c>
      <c r="L73" s="1258">
        <v>11369</v>
      </c>
      <c r="M73" s="1258">
        <v>198674</v>
      </c>
      <c r="N73" s="981">
        <v>1202.304177</v>
      </c>
      <c r="O73" s="1258">
        <v>11255</v>
      </c>
      <c r="P73" s="1258">
        <v>193619</v>
      </c>
      <c r="Q73" s="981">
        <v>1023.719711982818</v>
      </c>
      <c r="R73" s="1258">
        <v>11596</v>
      </c>
      <c r="S73" s="1258">
        <v>204709</v>
      </c>
      <c r="T73" s="981">
        <v>1006.717432</v>
      </c>
      <c r="U73" s="1495">
        <v>11826</v>
      </c>
      <c r="V73" s="1495">
        <f>'F9'!M72</f>
        <v>223083</v>
      </c>
      <c r="W73" s="981">
        <f>'F9'!N72</f>
        <v>1113.1890000000001</v>
      </c>
      <c r="X73" s="1397">
        <f t="shared" si="1"/>
        <v>9.1308190278127643E-3</v>
      </c>
      <c r="Y73" s="1397">
        <f t="shared" si="2"/>
        <v>1.6950922555491355E-2</v>
      </c>
      <c r="Z73" s="1397">
        <f t="shared" si="3"/>
        <v>9.2992714393622666E-3</v>
      </c>
    </row>
    <row r="74" spans="2:26">
      <c r="B74" s="1369" t="s">
        <v>1446</v>
      </c>
      <c r="C74" s="1258">
        <v>11097</v>
      </c>
      <c r="D74" s="1258">
        <v>198320</v>
      </c>
      <c r="E74" s="981">
        <v>1043.3480000000002</v>
      </c>
      <c r="F74" s="1258">
        <v>11412</v>
      </c>
      <c r="G74" s="1481">
        <v>248364</v>
      </c>
      <c r="H74" s="981">
        <v>1070.2559999999999</v>
      </c>
      <c r="I74" s="1258">
        <v>11252</v>
      </c>
      <c r="J74" s="1258">
        <v>202366</v>
      </c>
      <c r="K74" s="981">
        <v>1163.289</v>
      </c>
      <c r="L74" s="1258">
        <v>11369</v>
      </c>
      <c r="M74" s="1258">
        <v>198674</v>
      </c>
      <c r="N74" s="981">
        <v>1202.304177</v>
      </c>
      <c r="O74" s="1258">
        <v>11255</v>
      </c>
      <c r="P74" s="1258">
        <v>193619</v>
      </c>
      <c r="Q74" s="981">
        <v>1023.719711982818</v>
      </c>
      <c r="R74" s="1258">
        <v>11596</v>
      </c>
      <c r="S74" s="1258">
        <v>204709</v>
      </c>
      <c r="T74" s="981">
        <v>1006.717432</v>
      </c>
      <c r="U74" s="1495">
        <v>11826</v>
      </c>
      <c r="V74" s="1495">
        <f>'F9'!M73</f>
        <v>223083</v>
      </c>
      <c r="W74" s="981">
        <f>'F9'!N73</f>
        <v>1113.1890000000001</v>
      </c>
      <c r="X74" s="1397">
        <f t="shared" si="1"/>
        <v>9.1308190278127643E-3</v>
      </c>
      <c r="Y74" s="1397">
        <f t="shared" si="2"/>
        <v>1.6950922555491355E-2</v>
      </c>
      <c r="Z74" s="1397">
        <f t="shared" si="3"/>
        <v>9.2992714393622666E-3</v>
      </c>
    </row>
    <row r="75" spans="2:26">
      <c r="B75" s="1367" t="s">
        <v>1406</v>
      </c>
      <c r="C75" s="1258">
        <v>0</v>
      </c>
      <c r="D75" s="1258">
        <v>0</v>
      </c>
      <c r="E75" s="981">
        <v>0</v>
      </c>
      <c r="F75" s="1258">
        <v>0</v>
      </c>
      <c r="G75" s="1481">
        <v>0</v>
      </c>
      <c r="H75" s="981">
        <v>0</v>
      </c>
      <c r="I75" s="1258">
        <v>0</v>
      </c>
      <c r="J75" s="1258">
        <v>0</v>
      </c>
      <c r="K75" s="981">
        <v>0</v>
      </c>
      <c r="L75" s="1258">
        <v>0</v>
      </c>
      <c r="M75" s="1258">
        <v>0</v>
      </c>
      <c r="N75" s="981">
        <v>0</v>
      </c>
      <c r="O75" s="1258">
        <v>0</v>
      </c>
      <c r="P75" s="1258">
        <v>0</v>
      </c>
      <c r="Q75" s="981">
        <v>0</v>
      </c>
      <c r="R75" s="1258">
        <v>0</v>
      </c>
      <c r="S75" s="1258">
        <v>0</v>
      </c>
      <c r="T75" s="981">
        <v>0</v>
      </c>
      <c r="U75" s="1495">
        <v>0</v>
      </c>
      <c r="V75" s="1495">
        <f>'F9'!M74</f>
        <v>0</v>
      </c>
      <c r="W75" s="981">
        <f>'F9'!N74</f>
        <v>0</v>
      </c>
      <c r="X75" s="1397">
        <f t="shared" si="1"/>
        <v>0</v>
      </c>
      <c r="Y75" s="1397">
        <f t="shared" si="2"/>
        <v>0</v>
      </c>
      <c r="Z75" s="1397">
        <f t="shared" si="3"/>
        <v>0</v>
      </c>
    </row>
    <row r="76" spans="2:26">
      <c r="B76" s="1377" t="s">
        <v>476</v>
      </c>
      <c r="C76" s="1258">
        <v>109</v>
      </c>
      <c r="D76" s="1258">
        <v>2013</v>
      </c>
      <c r="E76" s="981">
        <v>14.607999999999999</v>
      </c>
      <c r="F76" s="1258">
        <v>96</v>
      </c>
      <c r="G76" s="1481">
        <v>741</v>
      </c>
      <c r="H76" s="981">
        <v>6.9860000000000007</v>
      </c>
      <c r="I76" s="1258">
        <v>71</v>
      </c>
      <c r="J76" s="1258">
        <v>219</v>
      </c>
      <c r="K76" s="981">
        <v>6.8010000000000002</v>
      </c>
      <c r="L76" s="1258">
        <v>113</v>
      </c>
      <c r="M76" s="1258">
        <v>240</v>
      </c>
      <c r="N76" s="981">
        <v>0.10179099999999999</v>
      </c>
      <c r="O76" s="1258">
        <v>114</v>
      </c>
      <c r="P76" s="1258">
        <v>242</v>
      </c>
      <c r="Q76" s="981">
        <v>0.10480783926623789</v>
      </c>
      <c r="R76" s="1258">
        <v>282</v>
      </c>
      <c r="S76" s="1258">
        <v>3628</v>
      </c>
      <c r="T76" s="981">
        <v>1.427305</v>
      </c>
      <c r="U76" s="1495">
        <v>2083</v>
      </c>
      <c r="V76" s="1495">
        <f>'F9'!M75</f>
        <v>4773</v>
      </c>
      <c r="W76" s="981">
        <f>'F9'!N75</f>
        <v>8.1859999999999999</v>
      </c>
      <c r="X76" s="1397">
        <f t="shared" si="1"/>
        <v>0.52418449314737381</v>
      </c>
      <c r="Y76" s="1397">
        <f t="shared" si="2"/>
        <v>0.13126395957248893</v>
      </c>
      <c r="Z76" s="1397">
        <f t="shared" si="3"/>
        <v>-7.9404788763234757E-2</v>
      </c>
    </row>
    <row r="77" spans="2:26">
      <c r="B77" s="1378" t="s">
        <v>1104</v>
      </c>
      <c r="C77" s="1258">
        <v>51</v>
      </c>
      <c r="D77" s="1258">
        <v>102</v>
      </c>
      <c r="E77" s="981">
        <v>0.6</v>
      </c>
      <c r="F77" s="1258">
        <v>51</v>
      </c>
      <c r="G77" s="1481">
        <v>102</v>
      </c>
      <c r="H77" s="981">
        <v>1.19</v>
      </c>
      <c r="I77" s="1258">
        <v>51</v>
      </c>
      <c r="J77" s="1258">
        <v>102</v>
      </c>
      <c r="K77" s="981">
        <v>2.1579999999999999</v>
      </c>
      <c r="L77" s="1258">
        <v>61</v>
      </c>
      <c r="M77" s="1258">
        <v>118</v>
      </c>
      <c r="N77" s="981">
        <v>4.7682000000000002E-2</v>
      </c>
      <c r="O77" s="1258">
        <v>61</v>
      </c>
      <c r="P77" s="1258">
        <v>118</v>
      </c>
      <c r="Q77" s="981">
        <v>4.7329690797181079E-2</v>
      </c>
      <c r="R77" s="1258">
        <v>174</v>
      </c>
      <c r="S77" s="1258">
        <v>315</v>
      </c>
      <c r="T77" s="981">
        <v>1.427305</v>
      </c>
      <c r="U77" s="1495">
        <v>969</v>
      </c>
      <c r="V77" s="1495">
        <f>'F9'!M76</f>
        <v>1714</v>
      </c>
      <c r="W77" s="981">
        <f>'F9'!N76</f>
        <v>2.113</v>
      </c>
      <c r="X77" s="1397">
        <f t="shared" ref="X77:X127" si="4">IFERROR((U77/C77)^(1/$Y$5)-1,)</f>
        <v>0.52292699821875344</v>
      </c>
      <c r="Y77" s="1397">
        <f t="shared" ref="Y77:Y127" si="5">IFERROR((V77/D77)^(1/$Y$5)-1,)</f>
        <v>0.49643777846952619</v>
      </c>
      <c r="Z77" s="1397">
        <f t="shared" ref="Z77:Z127" si="6">IFERROR((W77/E77)^(1/$Y$5)-1,)</f>
        <v>0.19703511987430589</v>
      </c>
    </row>
    <row r="78" spans="2:26">
      <c r="B78" s="1378" t="s">
        <v>1105</v>
      </c>
      <c r="C78" s="1258">
        <v>58</v>
      </c>
      <c r="D78" s="1258">
        <v>1911</v>
      </c>
      <c r="E78" s="981">
        <v>14.007999999999999</v>
      </c>
      <c r="F78" s="1258">
        <v>45</v>
      </c>
      <c r="G78" s="1481">
        <v>639</v>
      </c>
      <c r="H78" s="981">
        <v>5.7960000000000003</v>
      </c>
      <c r="I78" s="1258">
        <v>20</v>
      </c>
      <c r="J78" s="1258">
        <v>117</v>
      </c>
      <c r="K78" s="981">
        <v>4.6429999999999998</v>
      </c>
      <c r="L78" s="1258">
        <v>52</v>
      </c>
      <c r="M78" s="1258">
        <v>122</v>
      </c>
      <c r="N78" s="981">
        <v>5.4108999999999997E-2</v>
      </c>
      <c r="O78" s="1258">
        <v>53</v>
      </c>
      <c r="P78" s="1258">
        <v>124</v>
      </c>
      <c r="Q78" s="981">
        <v>5.7478148469056814E-2</v>
      </c>
      <c r="R78" s="1258">
        <v>108</v>
      </c>
      <c r="S78" s="1258">
        <v>3313</v>
      </c>
      <c r="T78" s="981">
        <v>0</v>
      </c>
      <c r="U78" s="1495">
        <v>1114</v>
      </c>
      <c r="V78" s="1495">
        <f>'F9'!M77</f>
        <v>3059</v>
      </c>
      <c r="W78" s="981">
        <f>'F9'!N77</f>
        <v>6.0730000000000004</v>
      </c>
      <c r="X78" s="1397">
        <f t="shared" si="4"/>
        <v>0.52528510132903938</v>
      </c>
      <c r="Y78" s="1397">
        <f t="shared" si="5"/>
        <v>6.9518739810004782E-2</v>
      </c>
      <c r="Z78" s="1397">
        <f t="shared" si="6"/>
        <v>-0.11254419318439379</v>
      </c>
    </row>
    <row r="79" spans="2:26">
      <c r="B79" s="1377" t="s">
        <v>1404</v>
      </c>
      <c r="C79" s="1258">
        <v>0</v>
      </c>
      <c r="D79" s="1258">
        <v>0</v>
      </c>
      <c r="E79" s="981">
        <v>9.0999999999999998E-2</v>
      </c>
      <c r="F79" s="1258">
        <v>0</v>
      </c>
      <c r="G79" s="1481">
        <v>0</v>
      </c>
      <c r="H79" s="981">
        <v>0</v>
      </c>
      <c r="I79" s="1258">
        <v>0</v>
      </c>
      <c r="J79" s="1258">
        <v>0</v>
      </c>
      <c r="K79" s="981">
        <v>0.05</v>
      </c>
      <c r="L79" s="1258">
        <v>0</v>
      </c>
      <c r="M79" s="1258">
        <v>0</v>
      </c>
      <c r="N79" s="981">
        <v>0</v>
      </c>
      <c r="O79" s="1258">
        <v>0</v>
      </c>
      <c r="P79" s="1258">
        <v>0</v>
      </c>
      <c r="Q79" s="981">
        <v>0</v>
      </c>
      <c r="R79" s="1258">
        <v>0</v>
      </c>
      <c r="S79" s="1258">
        <v>0</v>
      </c>
      <c r="T79" s="981">
        <v>0</v>
      </c>
      <c r="U79" s="1495">
        <v>10</v>
      </c>
      <c r="V79" s="1495">
        <f>'F9'!M78</f>
        <v>19.2</v>
      </c>
      <c r="W79" s="981">
        <f>'F9'!N78</f>
        <v>5.1000000000000004E-2</v>
      </c>
      <c r="X79" s="1397">
        <f t="shared" si="4"/>
        <v>0</v>
      </c>
      <c r="Y79" s="1397">
        <f t="shared" si="5"/>
        <v>0</v>
      </c>
      <c r="Z79" s="1397">
        <f t="shared" si="6"/>
        <v>-7.9390312685595377E-2</v>
      </c>
    </row>
    <row r="80" spans="2:26">
      <c r="B80" s="1378" t="s">
        <v>1106</v>
      </c>
      <c r="C80" s="1258">
        <v>0</v>
      </c>
      <c r="D80" s="1258">
        <v>0</v>
      </c>
      <c r="E80" s="981">
        <v>9.0999999999999998E-2</v>
      </c>
      <c r="F80" s="1258">
        <v>0</v>
      </c>
      <c r="G80" s="1481">
        <v>0</v>
      </c>
      <c r="H80" s="981">
        <v>0</v>
      </c>
      <c r="I80" s="1258">
        <v>0</v>
      </c>
      <c r="J80" s="1258">
        <v>0</v>
      </c>
      <c r="K80" s="981">
        <v>0</v>
      </c>
      <c r="L80" s="1258">
        <v>0</v>
      </c>
      <c r="M80" s="1258">
        <v>0</v>
      </c>
      <c r="N80" s="981">
        <v>0</v>
      </c>
      <c r="O80" s="1258">
        <v>0</v>
      </c>
      <c r="P80" s="1258">
        <v>0</v>
      </c>
      <c r="Q80" s="981">
        <v>0</v>
      </c>
      <c r="R80" s="1258">
        <v>0</v>
      </c>
      <c r="S80" s="1258">
        <v>0</v>
      </c>
      <c r="T80" s="981">
        <v>0</v>
      </c>
      <c r="U80" s="1495">
        <v>0</v>
      </c>
      <c r="V80" s="1495">
        <f>'F9'!M79</f>
        <v>2.2000000000000002</v>
      </c>
      <c r="W80" s="981">
        <f>'F9'!N79</f>
        <v>0.01</v>
      </c>
      <c r="X80" s="1397">
        <f t="shared" si="4"/>
        <v>0</v>
      </c>
      <c r="Y80" s="1397">
        <f t="shared" si="5"/>
        <v>0</v>
      </c>
      <c r="Z80" s="1397">
        <f t="shared" si="6"/>
        <v>-0.27055242169423988</v>
      </c>
    </row>
    <row r="81" spans="2:26">
      <c r="B81" s="1378" t="s">
        <v>1107</v>
      </c>
      <c r="C81" s="1258">
        <v>0</v>
      </c>
      <c r="D81" s="1258">
        <v>0</v>
      </c>
      <c r="E81" s="981">
        <v>0</v>
      </c>
      <c r="F81" s="1258">
        <v>0</v>
      </c>
      <c r="G81" s="1481">
        <v>0</v>
      </c>
      <c r="H81" s="981">
        <v>0</v>
      </c>
      <c r="I81" s="1258">
        <v>0</v>
      </c>
      <c r="J81" s="1258">
        <v>0</v>
      </c>
      <c r="K81" s="981">
        <v>0.05</v>
      </c>
      <c r="L81" s="1258">
        <v>0</v>
      </c>
      <c r="M81" s="1258">
        <v>0</v>
      </c>
      <c r="N81" s="981">
        <v>0</v>
      </c>
      <c r="O81" s="1258">
        <v>0</v>
      </c>
      <c r="P81" s="1258">
        <v>0</v>
      </c>
      <c r="Q81" s="981">
        <v>0</v>
      </c>
      <c r="R81" s="1258">
        <v>0</v>
      </c>
      <c r="S81" s="1258">
        <v>0</v>
      </c>
      <c r="T81" s="981">
        <v>0</v>
      </c>
      <c r="U81" s="1495">
        <v>10</v>
      </c>
      <c r="V81" s="1495">
        <f>'F9'!M80</f>
        <v>17</v>
      </c>
      <c r="W81" s="981">
        <f>'F9'!N80</f>
        <v>4.1000000000000002E-2</v>
      </c>
      <c r="X81" s="1397">
        <f t="shared" si="4"/>
        <v>0</v>
      </c>
      <c r="Y81" s="1397">
        <f t="shared" si="5"/>
        <v>0</v>
      </c>
      <c r="Z81" s="1397">
        <f t="shared" si="6"/>
        <v>0</v>
      </c>
    </row>
    <row r="82" spans="2:26">
      <c r="B82" s="1369" t="s">
        <v>1425</v>
      </c>
      <c r="C82" s="1258">
        <v>109</v>
      </c>
      <c r="D82" s="1258">
        <v>2013</v>
      </c>
      <c r="E82" s="981">
        <v>14.698999999999998</v>
      </c>
      <c r="F82" s="1258">
        <v>96</v>
      </c>
      <c r="G82" s="1481">
        <v>741</v>
      </c>
      <c r="H82" s="981">
        <v>6.9860000000000007</v>
      </c>
      <c r="I82" s="1258">
        <v>71</v>
      </c>
      <c r="J82" s="1258">
        <v>219</v>
      </c>
      <c r="K82" s="981">
        <v>6.851</v>
      </c>
      <c r="L82" s="1258">
        <v>113</v>
      </c>
      <c r="M82" s="1258">
        <v>240</v>
      </c>
      <c r="N82" s="981">
        <v>0.10179099999999999</v>
      </c>
      <c r="O82" s="1258">
        <v>114</v>
      </c>
      <c r="P82" s="1258">
        <v>242</v>
      </c>
      <c r="Q82" s="981">
        <v>0.10480783926623789</v>
      </c>
      <c r="R82" s="1258">
        <v>282</v>
      </c>
      <c r="S82" s="1258">
        <v>3628</v>
      </c>
      <c r="T82" s="981">
        <v>1.427305</v>
      </c>
      <c r="U82" s="1495">
        <v>2093</v>
      </c>
      <c r="V82" s="1495">
        <f>'F9'!M81</f>
        <v>4792.2</v>
      </c>
      <c r="W82" s="981">
        <f>'F9'!N81</f>
        <v>8.2370000000000001</v>
      </c>
      <c r="X82" s="1397">
        <f t="shared" si="4"/>
        <v>0.52522767112837787</v>
      </c>
      <c r="Y82" s="1397">
        <f t="shared" si="5"/>
        <v>0.1319129349287389</v>
      </c>
      <c r="Z82" s="1397">
        <f t="shared" si="6"/>
        <v>-7.9404699139122514E-2</v>
      </c>
    </row>
    <row r="83" spans="2:26">
      <c r="B83" s="1369" t="s">
        <v>1446</v>
      </c>
      <c r="C83" s="1258">
        <v>109</v>
      </c>
      <c r="D83" s="1258">
        <v>2013</v>
      </c>
      <c r="E83" s="981">
        <v>14.698999999999998</v>
      </c>
      <c r="F83" s="1258">
        <v>96</v>
      </c>
      <c r="G83" s="1481">
        <v>741</v>
      </c>
      <c r="H83" s="981">
        <v>6.9860000000000007</v>
      </c>
      <c r="I83" s="1258">
        <v>71</v>
      </c>
      <c r="J83" s="1258">
        <v>219</v>
      </c>
      <c r="K83" s="981">
        <v>6.851</v>
      </c>
      <c r="L83" s="1258">
        <v>113</v>
      </c>
      <c r="M83" s="1258">
        <v>240</v>
      </c>
      <c r="N83" s="981">
        <v>0.10179099999999999</v>
      </c>
      <c r="O83" s="1258">
        <v>114</v>
      </c>
      <c r="P83" s="1258">
        <v>242</v>
      </c>
      <c r="Q83" s="981">
        <v>0.10480783926623789</v>
      </c>
      <c r="R83" s="1258">
        <v>282</v>
      </c>
      <c r="S83" s="1258">
        <v>3628</v>
      </c>
      <c r="T83" s="981">
        <v>1.427305</v>
      </c>
      <c r="U83" s="1495">
        <v>2093</v>
      </c>
      <c r="V83" s="1495">
        <f>'F9'!M82</f>
        <v>4792.2</v>
      </c>
      <c r="W83" s="981">
        <f>'F9'!N82</f>
        <v>8.2370000000000001</v>
      </c>
      <c r="X83" s="1397">
        <f t="shared" si="4"/>
        <v>0.52522767112837787</v>
      </c>
      <c r="Y83" s="1397">
        <f t="shared" si="5"/>
        <v>0.1319129349287389</v>
      </c>
      <c r="Z83" s="1397">
        <f t="shared" si="6"/>
        <v>-7.9404699139122514E-2</v>
      </c>
    </row>
    <row r="84" spans="2:26">
      <c r="B84" s="1367" t="s">
        <v>1109</v>
      </c>
      <c r="C84" s="1258">
        <v>0</v>
      </c>
      <c r="D84" s="1258">
        <v>0</v>
      </c>
      <c r="E84" s="981">
        <v>0</v>
      </c>
      <c r="F84" s="1258">
        <v>0</v>
      </c>
      <c r="G84" s="1481">
        <v>0</v>
      </c>
      <c r="H84" s="981">
        <v>0</v>
      </c>
      <c r="I84" s="1258">
        <v>0</v>
      </c>
      <c r="J84" s="1258">
        <v>0</v>
      </c>
      <c r="K84" s="981">
        <v>0</v>
      </c>
      <c r="L84" s="1258">
        <v>0</v>
      </c>
      <c r="M84" s="1258">
        <v>0</v>
      </c>
      <c r="N84" s="981">
        <v>0</v>
      </c>
      <c r="O84" s="1258">
        <v>0</v>
      </c>
      <c r="P84" s="1258">
        <v>0</v>
      </c>
      <c r="Q84" s="981">
        <v>0</v>
      </c>
      <c r="R84" s="1258">
        <v>0</v>
      </c>
      <c r="S84" s="1258">
        <v>0</v>
      </c>
      <c r="T84" s="981">
        <v>0</v>
      </c>
      <c r="U84" s="1495">
        <v>0</v>
      </c>
      <c r="V84" s="1495">
        <f>'F9'!M83</f>
        <v>0</v>
      </c>
      <c r="W84" s="981">
        <f>'F9'!N83</f>
        <v>0</v>
      </c>
      <c r="X84" s="1397">
        <f t="shared" si="4"/>
        <v>0</v>
      </c>
      <c r="Y84" s="1397">
        <f t="shared" si="5"/>
        <v>0</v>
      </c>
      <c r="Z84" s="1397">
        <f t="shared" si="6"/>
        <v>0</v>
      </c>
    </row>
    <row r="85" spans="2:26">
      <c r="B85" s="1369" t="s">
        <v>1429</v>
      </c>
      <c r="C85" s="1258">
        <v>25450</v>
      </c>
      <c r="D85" s="1258">
        <v>64213</v>
      </c>
      <c r="E85" s="981">
        <v>81.721000000000004</v>
      </c>
      <c r="F85" s="1258">
        <v>24696</v>
      </c>
      <c r="G85" s="1481">
        <v>62980</v>
      </c>
      <c r="H85" s="981">
        <v>80.016000000000005</v>
      </c>
      <c r="I85" s="1258">
        <v>25256</v>
      </c>
      <c r="J85" s="1258">
        <v>69302</v>
      </c>
      <c r="K85" s="981">
        <v>80.019000000000005</v>
      </c>
      <c r="L85" s="1258">
        <v>25539</v>
      </c>
      <c r="M85" s="1258">
        <v>64818</v>
      </c>
      <c r="N85" s="981">
        <v>87.405951000000002</v>
      </c>
      <c r="O85" s="1258">
        <v>24797</v>
      </c>
      <c r="P85" s="1258">
        <v>90395</v>
      </c>
      <c r="Q85" s="981">
        <v>105.48666080545334</v>
      </c>
      <c r="R85" s="1258">
        <v>29407</v>
      </c>
      <c r="S85" s="1258">
        <v>97646</v>
      </c>
      <c r="T85" s="981">
        <v>112.52633999999999</v>
      </c>
      <c r="U85" s="1495">
        <v>24995</v>
      </c>
      <c r="V85" s="1495">
        <f>'F9'!M84</f>
        <v>87418</v>
      </c>
      <c r="W85" s="981">
        <f>'F9'!N84</f>
        <v>105.14700000000001</v>
      </c>
      <c r="X85" s="1397">
        <f t="shared" si="4"/>
        <v>-2.5738160597258419E-3</v>
      </c>
      <c r="Y85" s="1397">
        <f t="shared" si="5"/>
        <v>4.505633161432554E-2</v>
      </c>
      <c r="Z85" s="1397">
        <f t="shared" si="6"/>
        <v>3.6663008961976606E-2</v>
      </c>
    </row>
    <row r="86" spans="2:26">
      <c r="B86" s="1369" t="s">
        <v>1446</v>
      </c>
      <c r="C86" s="1258">
        <v>25450</v>
      </c>
      <c r="D86" s="1258">
        <v>64213</v>
      </c>
      <c r="E86" s="981">
        <v>81.721000000000004</v>
      </c>
      <c r="F86" s="1258">
        <v>24696</v>
      </c>
      <c r="G86" s="1481">
        <v>62980</v>
      </c>
      <c r="H86" s="981">
        <v>80.016000000000005</v>
      </c>
      <c r="I86" s="1258">
        <v>25256</v>
      </c>
      <c r="J86" s="1258">
        <v>69302</v>
      </c>
      <c r="K86" s="981">
        <v>80.019000000000005</v>
      </c>
      <c r="L86" s="1258">
        <v>25539</v>
      </c>
      <c r="M86" s="1258">
        <v>64818</v>
      </c>
      <c r="N86" s="981">
        <v>87.405951000000002</v>
      </c>
      <c r="O86" s="1258">
        <v>24797</v>
      </c>
      <c r="P86" s="1258">
        <v>90395</v>
      </c>
      <c r="Q86" s="981">
        <v>105.48666080545334</v>
      </c>
      <c r="R86" s="1258">
        <v>29407</v>
      </c>
      <c r="S86" s="1258">
        <v>97646</v>
      </c>
      <c r="T86" s="981">
        <v>112.52633999999999</v>
      </c>
      <c r="U86" s="1495">
        <v>24995</v>
      </c>
      <c r="V86" s="1495">
        <f>'F9'!M85</f>
        <v>87418</v>
      </c>
      <c r="W86" s="981">
        <f>'F9'!N85</f>
        <v>105.14700000000001</v>
      </c>
      <c r="X86" s="1397">
        <f t="shared" si="4"/>
        <v>-2.5738160597258419E-3</v>
      </c>
      <c r="Y86" s="1397">
        <f t="shared" si="5"/>
        <v>4.505633161432554E-2</v>
      </c>
      <c r="Z86" s="1397">
        <f t="shared" si="6"/>
        <v>3.6663008961976606E-2</v>
      </c>
    </row>
    <row r="87" spans="2:26">
      <c r="B87" s="1367" t="s">
        <v>1407</v>
      </c>
      <c r="C87" s="1258">
        <v>0</v>
      </c>
      <c r="D87" s="1258">
        <v>0</v>
      </c>
      <c r="E87" s="981">
        <v>0</v>
      </c>
      <c r="F87" s="1258">
        <v>0</v>
      </c>
      <c r="G87" s="1481">
        <v>0</v>
      </c>
      <c r="H87" s="981">
        <v>0</v>
      </c>
      <c r="I87" s="1258">
        <v>0</v>
      </c>
      <c r="J87" s="1258">
        <v>0</v>
      </c>
      <c r="K87" s="981">
        <v>0</v>
      </c>
      <c r="L87" s="1258">
        <v>0</v>
      </c>
      <c r="M87" s="1258">
        <v>0</v>
      </c>
      <c r="N87" s="981">
        <v>0</v>
      </c>
      <c r="O87" s="1258">
        <v>0</v>
      </c>
      <c r="P87" s="1258">
        <v>0</v>
      </c>
      <c r="Q87" s="981">
        <v>0</v>
      </c>
      <c r="R87" s="1258">
        <v>0</v>
      </c>
      <c r="S87" s="1258">
        <v>0</v>
      </c>
      <c r="T87" s="981">
        <v>0</v>
      </c>
      <c r="U87" s="1495">
        <v>0</v>
      </c>
      <c r="V87" s="1495">
        <f>'F9'!M86</f>
        <v>0</v>
      </c>
      <c r="W87" s="981">
        <f>'F9'!N86</f>
        <v>0</v>
      </c>
      <c r="X87" s="1397">
        <f t="shared" si="4"/>
        <v>0</v>
      </c>
      <c r="Y87" s="1397">
        <f t="shared" si="5"/>
        <v>0</v>
      </c>
      <c r="Z87" s="1397">
        <f t="shared" si="6"/>
        <v>0</v>
      </c>
    </row>
    <row r="88" spans="2:26">
      <c r="B88" s="1377" t="s">
        <v>1146</v>
      </c>
      <c r="C88" s="1258">
        <v>0</v>
      </c>
      <c r="D88" s="1258">
        <v>0</v>
      </c>
      <c r="E88" s="981">
        <v>0</v>
      </c>
      <c r="F88" s="1258">
        <v>0</v>
      </c>
      <c r="G88" s="1481">
        <v>0</v>
      </c>
      <c r="H88" s="981">
        <v>0</v>
      </c>
      <c r="I88" s="1258">
        <v>0</v>
      </c>
      <c r="J88" s="1258">
        <v>0</v>
      </c>
      <c r="K88" s="981">
        <v>0</v>
      </c>
      <c r="L88" s="1258">
        <v>0</v>
      </c>
      <c r="M88" s="1258">
        <v>0</v>
      </c>
      <c r="N88" s="981">
        <v>0</v>
      </c>
      <c r="O88" s="1258">
        <v>0</v>
      </c>
      <c r="P88" s="1258">
        <v>0</v>
      </c>
      <c r="Q88" s="981">
        <v>0</v>
      </c>
      <c r="R88" s="1258">
        <v>0</v>
      </c>
      <c r="S88" s="1258">
        <v>0</v>
      </c>
      <c r="T88" s="981">
        <v>0</v>
      </c>
      <c r="U88" s="1495">
        <v>0</v>
      </c>
      <c r="V88" s="1495">
        <f>'F9'!M87</f>
        <v>0</v>
      </c>
      <c r="W88" s="981">
        <f>'F9'!N87</f>
        <v>0</v>
      </c>
      <c r="X88" s="1397">
        <f t="shared" si="4"/>
        <v>0</v>
      </c>
      <c r="Y88" s="1397">
        <f t="shared" si="5"/>
        <v>0</v>
      </c>
      <c r="Z88" s="1397">
        <f t="shared" si="6"/>
        <v>0</v>
      </c>
    </row>
    <row r="89" spans="2:26">
      <c r="B89" s="1378" t="s">
        <v>1408</v>
      </c>
      <c r="C89" s="1258">
        <v>0</v>
      </c>
      <c r="D89" s="1258">
        <v>0</v>
      </c>
      <c r="E89" s="981">
        <v>0</v>
      </c>
      <c r="F89" s="1258">
        <v>0</v>
      </c>
      <c r="G89" s="1481">
        <v>0</v>
      </c>
      <c r="H89" s="981">
        <v>0</v>
      </c>
      <c r="I89" s="1258">
        <v>0</v>
      </c>
      <c r="J89" s="1258">
        <v>0</v>
      </c>
      <c r="K89" s="981">
        <v>0</v>
      </c>
      <c r="L89" s="1258">
        <v>0</v>
      </c>
      <c r="M89" s="1258">
        <v>0</v>
      </c>
      <c r="N89" s="981">
        <v>0</v>
      </c>
      <c r="O89" s="1258">
        <v>0</v>
      </c>
      <c r="P89" s="1258">
        <v>0</v>
      </c>
      <c r="Q89" s="981">
        <v>0</v>
      </c>
      <c r="R89" s="1258">
        <v>0</v>
      </c>
      <c r="S89" s="1258">
        <v>0</v>
      </c>
      <c r="T89" s="981">
        <v>0</v>
      </c>
      <c r="U89" s="1495">
        <v>0</v>
      </c>
      <c r="V89" s="1495">
        <f>'F9'!M88</f>
        <v>0</v>
      </c>
      <c r="W89" s="981">
        <f>'F9'!N88</f>
        <v>0</v>
      </c>
      <c r="X89" s="1397">
        <f t="shared" si="4"/>
        <v>0</v>
      </c>
      <c r="Y89" s="1397">
        <f t="shared" si="5"/>
        <v>0</v>
      </c>
      <c r="Z89" s="1397">
        <f t="shared" si="6"/>
        <v>0</v>
      </c>
    </row>
    <row r="90" spans="2:26">
      <c r="B90" s="1378" t="s">
        <v>1409</v>
      </c>
      <c r="C90" s="1258">
        <v>0</v>
      </c>
      <c r="D90" s="1258">
        <v>0</v>
      </c>
      <c r="E90" s="981">
        <v>0</v>
      </c>
      <c r="F90" s="1258">
        <v>0</v>
      </c>
      <c r="G90" s="1481">
        <v>0</v>
      </c>
      <c r="H90" s="981">
        <v>0</v>
      </c>
      <c r="I90" s="1258">
        <v>0</v>
      </c>
      <c r="J90" s="1258">
        <v>0</v>
      </c>
      <c r="K90" s="981">
        <v>0</v>
      </c>
      <c r="L90" s="1258">
        <v>0</v>
      </c>
      <c r="M90" s="1258">
        <v>0</v>
      </c>
      <c r="N90" s="981">
        <v>0</v>
      </c>
      <c r="O90" s="1258">
        <v>0</v>
      </c>
      <c r="P90" s="1258">
        <v>0</v>
      </c>
      <c r="Q90" s="981">
        <v>0</v>
      </c>
      <c r="R90" s="1258">
        <v>0</v>
      </c>
      <c r="S90" s="1258">
        <v>0</v>
      </c>
      <c r="T90" s="981">
        <v>0</v>
      </c>
      <c r="U90" s="1495">
        <v>0</v>
      </c>
      <c r="V90" s="1495">
        <f>'F9'!M89</f>
        <v>0</v>
      </c>
      <c r="W90" s="981">
        <f>'F9'!N89</f>
        <v>0</v>
      </c>
      <c r="X90" s="1397">
        <f t="shared" si="4"/>
        <v>0</v>
      </c>
      <c r="Y90" s="1397">
        <f t="shared" si="5"/>
        <v>0</v>
      </c>
      <c r="Z90" s="1397">
        <f t="shared" si="6"/>
        <v>0</v>
      </c>
    </row>
    <row r="91" spans="2:26">
      <c r="B91" s="1377" t="s">
        <v>1410</v>
      </c>
      <c r="C91" s="1258">
        <v>0</v>
      </c>
      <c r="D91" s="1258">
        <v>0</v>
      </c>
      <c r="E91" s="981">
        <v>0</v>
      </c>
      <c r="F91" s="1258">
        <v>0</v>
      </c>
      <c r="G91" s="1481">
        <v>0</v>
      </c>
      <c r="H91" s="981">
        <v>0</v>
      </c>
      <c r="I91" s="1258">
        <v>0</v>
      </c>
      <c r="J91" s="1258">
        <v>0</v>
      </c>
      <c r="K91" s="981">
        <v>0</v>
      </c>
      <c r="L91" s="1258">
        <v>0</v>
      </c>
      <c r="M91" s="1258">
        <v>0</v>
      </c>
      <c r="N91" s="981">
        <v>0</v>
      </c>
      <c r="O91" s="1258">
        <v>0</v>
      </c>
      <c r="P91" s="1258">
        <v>0</v>
      </c>
      <c r="Q91" s="981">
        <v>0</v>
      </c>
      <c r="R91" s="1258">
        <v>0</v>
      </c>
      <c r="S91" s="1258">
        <v>0</v>
      </c>
      <c r="T91" s="981">
        <v>0</v>
      </c>
      <c r="U91" s="1495">
        <v>0</v>
      </c>
      <c r="V91" s="1495">
        <f>'F9'!M90</f>
        <v>0</v>
      </c>
      <c r="W91" s="981">
        <f>'F9'!N90</f>
        <v>0</v>
      </c>
      <c r="X91" s="1397">
        <f t="shared" si="4"/>
        <v>0</v>
      </c>
      <c r="Y91" s="1397">
        <f t="shared" si="5"/>
        <v>0</v>
      </c>
      <c r="Z91" s="1397">
        <f t="shared" si="6"/>
        <v>0</v>
      </c>
    </row>
    <row r="92" spans="2:26">
      <c r="B92" s="1378" t="s">
        <v>469</v>
      </c>
      <c r="C92" s="1258">
        <v>0</v>
      </c>
      <c r="D92" s="1258">
        <v>0</v>
      </c>
      <c r="E92" s="981">
        <v>0</v>
      </c>
      <c r="F92" s="1258">
        <v>0</v>
      </c>
      <c r="G92" s="1481">
        <v>0</v>
      </c>
      <c r="H92" s="981">
        <v>0</v>
      </c>
      <c r="I92" s="1258">
        <v>0</v>
      </c>
      <c r="J92" s="1258">
        <v>0</v>
      </c>
      <c r="K92" s="981">
        <v>0</v>
      </c>
      <c r="L92" s="1258">
        <v>0</v>
      </c>
      <c r="M92" s="1258">
        <v>0</v>
      </c>
      <c r="N92" s="981">
        <v>0</v>
      </c>
      <c r="O92" s="1258">
        <v>0</v>
      </c>
      <c r="P92" s="1258">
        <v>0</v>
      </c>
      <c r="Q92" s="981">
        <v>0</v>
      </c>
      <c r="R92" s="1258">
        <v>0</v>
      </c>
      <c r="S92" s="1258">
        <v>0</v>
      </c>
      <c r="T92" s="981">
        <v>0</v>
      </c>
      <c r="U92" s="1495">
        <v>0</v>
      </c>
      <c r="V92" s="1495">
        <f>'F9'!M91</f>
        <v>0</v>
      </c>
      <c r="W92" s="981">
        <f>'F9'!N91</f>
        <v>0</v>
      </c>
      <c r="X92" s="1397">
        <f t="shared" si="4"/>
        <v>0</v>
      </c>
      <c r="Y92" s="1397">
        <f t="shared" si="5"/>
        <v>0</v>
      </c>
      <c r="Z92" s="1397">
        <f t="shared" si="6"/>
        <v>0</v>
      </c>
    </row>
    <row r="93" spans="2:26">
      <c r="B93" s="1378" t="s">
        <v>470</v>
      </c>
      <c r="C93" s="1258">
        <v>0</v>
      </c>
      <c r="D93" s="1258">
        <v>0</v>
      </c>
      <c r="E93" s="981">
        <v>0</v>
      </c>
      <c r="F93" s="1258">
        <v>0</v>
      </c>
      <c r="G93" s="1481">
        <v>0</v>
      </c>
      <c r="H93" s="981">
        <v>0</v>
      </c>
      <c r="I93" s="1258">
        <v>0</v>
      </c>
      <c r="J93" s="1258">
        <v>0</v>
      </c>
      <c r="K93" s="981">
        <v>0</v>
      </c>
      <c r="L93" s="1258">
        <v>0</v>
      </c>
      <c r="M93" s="1258">
        <v>0</v>
      </c>
      <c r="N93" s="981">
        <v>0</v>
      </c>
      <c r="O93" s="1258">
        <v>0</v>
      </c>
      <c r="P93" s="1258">
        <v>0</v>
      </c>
      <c r="Q93" s="981">
        <v>0</v>
      </c>
      <c r="R93" s="1258">
        <v>0</v>
      </c>
      <c r="S93" s="1258">
        <v>0</v>
      </c>
      <c r="T93" s="981">
        <v>0</v>
      </c>
      <c r="U93" s="1495">
        <v>0</v>
      </c>
      <c r="V93" s="1495">
        <f>'F9'!M92</f>
        <v>0</v>
      </c>
      <c r="W93" s="981">
        <f>'F9'!N92</f>
        <v>0</v>
      </c>
      <c r="X93" s="1397">
        <f t="shared" si="4"/>
        <v>0</v>
      </c>
      <c r="Y93" s="1397">
        <f t="shared" si="5"/>
        <v>0</v>
      </c>
      <c r="Z93" s="1397">
        <f t="shared" si="6"/>
        <v>0</v>
      </c>
    </row>
    <row r="94" spans="2:26">
      <c r="B94" s="1369" t="s">
        <v>1425</v>
      </c>
      <c r="C94" s="1258">
        <v>0</v>
      </c>
      <c r="D94" s="1258">
        <v>0</v>
      </c>
      <c r="E94" s="981">
        <v>0</v>
      </c>
      <c r="F94" s="1258">
        <v>0</v>
      </c>
      <c r="G94" s="1481">
        <v>0</v>
      </c>
      <c r="H94" s="981">
        <v>0</v>
      </c>
      <c r="I94" s="1258">
        <v>0</v>
      </c>
      <c r="J94" s="1258">
        <v>0</v>
      </c>
      <c r="K94" s="981">
        <v>0</v>
      </c>
      <c r="L94" s="1258">
        <v>0</v>
      </c>
      <c r="M94" s="1258">
        <v>0</v>
      </c>
      <c r="N94" s="981">
        <v>0</v>
      </c>
      <c r="O94" s="1258">
        <v>0</v>
      </c>
      <c r="P94" s="1258">
        <v>0</v>
      </c>
      <c r="Q94" s="981">
        <v>0</v>
      </c>
      <c r="R94" s="1258">
        <v>0</v>
      </c>
      <c r="S94" s="1258">
        <v>0</v>
      </c>
      <c r="T94" s="981">
        <v>0</v>
      </c>
      <c r="U94" s="1495">
        <v>0</v>
      </c>
      <c r="V94" s="1495">
        <f>'F9'!M93</f>
        <v>0</v>
      </c>
      <c r="W94" s="981">
        <f>'F9'!N93</f>
        <v>0</v>
      </c>
      <c r="X94" s="1397">
        <f t="shared" si="4"/>
        <v>0</v>
      </c>
      <c r="Y94" s="1397">
        <f t="shared" si="5"/>
        <v>0</v>
      </c>
      <c r="Z94" s="1397">
        <f t="shared" si="6"/>
        <v>0</v>
      </c>
    </row>
    <row r="95" spans="2:26">
      <c r="B95" s="1369" t="s">
        <v>1446</v>
      </c>
      <c r="C95" s="1258">
        <v>0</v>
      </c>
      <c r="D95" s="1258">
        <v>0</v>
      </c>
      <c r="E95" s="981">
        <v>0</v>
      </c>
      <c r="F95" s="1258">
        <v>0</v>
      </c>
      <c r="G95" s="1481">
        <v>0</v>
      </c>
      <c r="H95" s="981">
        <v>0</v>
      </c>
      <c r="I95" s="1258">
        <v>0</v>
      </c>
      <c r="J95" s="1258">
        <v>0</v>
      </c>
      <c r="K95" s="981">
        <v>0</v>
      </c>
      <c r="L95" s="1258">
        <v>0</v>
      </c>
      <c r="M95" s="1258">
        <v>0</v>
      </c>
      <c r="N95" s="981">
        <v>0</v>
      </c>
      <c r="O95" s="1258">
        <v>0</v>
      </c>
      <c r="P95" s="1258">
        <v>0</v>
      </c>
      <c r="Q95" s="981">
        <v>0</v>
      </c>
      <c r="R95" s="1258">
        <v>0</v>
      </c>
      <c r="S95" s="1258">
        <v>0</v>
      </c>
      <c r="T95" s="981">
        <v>0</v>
      </c>
      <c r="U95" s="1495">
        <v>0</v>
      </c>
      <c r="V95" s="1495">
        <f>'F9'!M94</f>
        <v>0</v>
      </c>
      <c r="W95" s="981">
        <f>'F9'!N94</f>
        <v>0</v>
      </c>
      <c r="X95" s="1397">
        <f t="shared" si="4"/>
        <v>0</v>
      </c>
      <c r="Y95" s="1397">
        <f t="shared" si="5"/>
        <v>0</v>
      </c>
      <c r="Z95" s="1397">
        <f t="shared" si="6"/>
        <v>0</v>
      </c>
    </row>
    <row r="96" spans="2:26">
      <c r="B96" s="1367" t="s">
        <v>1119</v>
      </c>
      <c r="C96" s="1258">
        <v>0</v>
      </c>
      <c r="D96" s="1258">
        <v>0</v>
      </c>
      <c r="E96" s="981">
        <v>0</v>
      </c>
      <c r="F96" s="1258">
        <v>0</v>
      </c>
      <c r="G96" s="1481">
        <v>0</v>
      </c>
      <c r="H96" s="981">
        <v>0</v>
      </c>
      <c r="I96" s="1258">
        <v>0</v>
      </c>
      <c r="J96" s="1258">
        <v>0</v>
      </c>
      <c r="K96" s="981">
        <v>0</v>
      </c>
      <c r="L96" s="1258">
        <v>0</v>
      </c>
      <c r="M96" s="1258">
        <v>0</v>
      </c>
      <c r="N96" s="981">
        <v>0</v>
      </c>
      <c r="O96" s="1258">
        <v>0</v>
      </c>
      <c r="P96" s="1258">
        <v>0</v>
      </c>
      <c r="Q96" s="981">
        <v>0</v>
      </c>
      <c r="R96" s="1258">
        <v>0</v>
      </c>
      <c r="S96" s="1258">
        <v>0</v>
      </c>
      <c r="T96" s="981">
        <v>0</v>
      </c>
      <c r="U96" s="1495">
        <v>0</v>
      </c>
      <c r="V96" s="1495">
        <f>'F9'!M95</f>
        <v>0</v>
      </c>
      <c r="W96" s="981">
        <f>'F9'!N95</f>
        <v>0</v>
      </c>
      <c r="X96" s="1397">
        <f t="shared" si="4"/>
        <v>0</v>
      </c>
      <c r="Y96" s="1397">
        <f t="shared" si="5"/>
        <v>0</v>
      </c>
      <c r="Z96" s="1397">
        <f t="shared" si="6"/>
        <v>0</v>
      </c>
    </row>
    <row r="97" spans="2:26">
      <c r="B97" s="1367" t="s">
        <v>475</v>
      </c>
      <c r="C97" s="1258">
        <v>21</v>
      </c>
      <c r="D97" s="1258">
        <v>5024</v>
      </c>
      <c r="E97" s="981">
        <v>6.1280000000000001</v>
      </c>
      <c r="F97" s="1258">
        <v>26</v>
      </c>
      <c r="G97" s="1481">
        <v>5861</v>
      </c>
      <c r="H97" s="981">
        <v>9.6300000000000008</v>
      </c>
      <c r="I97" s="1258">
        <v>28</v>
      </c>
      <c r="J97" s="1258">
        <v>6089</v>
      </c>
      <c r="K97" s="981">
        <v>11.875</v>
      </c>
      <c r="L97" s="1258">
        <v>0</v>
      </c>
      <c r="M97" s="1258">
        <v>0</v>
      </c>
      <c r="N97" s="981">
        <v>0</v>
      </c>
      <c r="O97" s="1258">
        <v>0</v>
      </c>
      <c r="P97" s="1258">
        <v>0</v>
      </c>
      <c r="Q97" s="981">
        <v>0</v>
      </c>
      <c r="R97" s="1258">
        <v>98</v>
      </c>
      <c r="S97" s="1258">
        <v>28638</v>
      </c>
      <c r="T97" s="981">
        <v>24.535273</v>
      </c>
      <c r="U97" s="1495">
        <v>84</v>
      </c>
      <c r="V97" s="1495">
        <f>'F9'!M96</f>
        <v>20063</v>
      </c>
      <c r="W97" s="981">
        <f>'F9'!N96</f>
        <v>33.646000000000001</v>
      </c>
      <c r="X97" s="1397">
        <f t="shared" si="4"/>
        <v>0.21901365420447538</v>
      </c>
      <c r="Y97" s="1397">
        <f t="shared" si="5"/>
        <v>0.21872748645208051</v>
      </c>
      <c r="Z97" s="1397">
        <f t="shared" si="6"/>
        <v>0.27543767251359363</v>
      </c>
    </row>
    <row r="98" spans="2:26">
      <c r="B98" s="1378" t="s">
        <v>1411</v>
      </c>
      <c r="C98" s="1258">
        <v>15</v>
      </c>
      <c r="D98" s="1258">
        <v>4342</v>
      </c>
      <c r="E98" s="981">
        <v>5.3419999999999996</v>
      </c>
      <c r="F98" s="1258">
        <v>26</v>
      </c>
      <c r="G98" s="1481">
        <v>5861</v>
      </c>
      <c r="H98" s="981">
        <v>8.9390000000000001</v>
      </c>
      <c r="I98" s="1258">
        <v>28</v>
      </c>
      <c r="J98" s="1258">
        <v>6089</v>
      </c>
      <c r="K98" s="981">
        <v>11.875</v>
      </c>
      <c r="L98" s="1258">
        <v>0</v>
      </c>
      <c r="M98" s="1258">
        <v>0</v>
      </c>
      <c r="N98" s="981">
        <v>0</v>
      </c>
      <c r="O98" s="1258">
        <v>0</v>
      </c>
      <c r="P98" s="1258">
        <v>0</v>
      </c>
      <c r="Q98" s="981">
        <v>0</v>
      </c>
      <c r="R98" s="1258">
        <v>98</v>
      </c>
      <c r="S98" s="1258">
        <v>28638</v>
      </c>
      <c r="T98" s="981">
        <v>24.535273</v>
      </c>
      <c r="U98" s="1495">
        <v>81</v>
      </c>
      <c r="V98" s="1495">
        <f>'F9'!M97</f>
        <v>17826</v>
      </c>
      <c r="W98" s="981">
        <f>'F9'!N97</f>
        <v>32.335000000000001</v>
      </c>
      <c r="X98" s="1397">
        <f t="shared" si="4"/>
        <v>0.27241177653825566</v>
      </c>
      <c r="Y98" s="1397">
        <f t="shared" si="5"/>
        <v>0.22355484320931063</v>
      </c>
      <c r="Z98" s="1397">
        <f t="shared" si="6"/>
        <v>0.29333149780664391</v>
      </c>
    </row>
    <row r="99" spans="2:26">
      <c r="B99" s="1378" t="s">
        <v>1412</v>
      </c>
      <c r="C99" s="1258">
        <v>6</v>
      </c>
      <c r="D99" s="1258">
        <v>682</v>
      </c>
      <c r="E99" s="981">
        <v>0.78600000000000003</v>
      </c>
      <c r="F99" s="1258">
        <v>0</v>
      </c>
      <c r="G99" s="1481">
        <v>0</v>
      </c>
      <c r="H99" s="981">
        <v>0.69099999999999995</v>
      </c>
      <c r="I99" s="1258">
        <v>0</v>
      </c>
      <c r="J99" s="1258">
        <v>0</v>
      </c>
      <c r="K99" s="981">
        <v>0</v>
      </c>
      <c r="L99" s="1258">
        <v>0</v>
      </c>
      <c r="M99" s="1258">
        <v>0</v>
      </c>
      <c r="N99" s="981">
        <v>0</v>
      </c>
      <c r="O99" s="1258">
        <v>0</v>
      </c>
      <c r="P99" s="1258">
        <v>0</v>
      </c>
      <c r="Q99" s="981">
        <v>0</v>
      </c>
      <c r="R99" s="1258">
        <v>0</v>
      </c>
      <c r="S99" s="1258">
        <v>0</v>
      </c>
      <c r="T99" s="981">
        <v>0</v>
      </c>
      <c r="U99" s="1495">
        <v>3</v>
      </c>
      <c r="V99" s="1495">
        <f>'F9'!M98</f>
        <v>2237</v>
      </c>
      <c r="W99" s="981">
        <f>'F9'!N98</f>
        <v>1.3109999999999999</v>
      </c>
      <c r="X99" s="1397">
        <f t="shared" si="4"/>
        <v>-9.4276335736093286E-2</v>
      </c>
      <c r="Y99" s="1397">
        <f t="shared" si="5"/>
        <v>0.18494276275684496</v>
      </c>
      <c r="Z99" s="1397">
        <f t="shared" si="6"/>
        <v>7.5821008325392958E-2</v>
      </c>
    </row>
    <row r="100" spans="2:26">
      <c r="B100" s="1367" t="s">
        <v>1403</v>
      </c>
      <c r="C100" s="1258">
        <v>351</v>
      </c>
      <c r="D100" s="1258">
        <v>106680</v>
      </c>
      <c r="E100" s="981">
        <v>282.85599999999999</v>
      </c>
      <c r="F100" s="1258">
        <v>439</v>
      </c>
      <c r="G100" s="1481">
        <v>156526</v>
      </c>
      <c r="H100" s="981">
        <v>370.61599999999999</v>
      </c>
      <c r="I100" s="1258">
        <v>459</v>
      </c>
      <c r="J100" s="1258">
        <v>150235</v>
      </c>
      <c r="K100" s="981">
        <v>399.86599999999999</v>
      </c>
      <c r="L100" s="1258">
        <v>698</v>
      </c>
      <c r="M100" s="1258">
        <v>202508.11</v>
      </c>
      <c r="N100" s="981">
        <v>395.97648358999999</v>
      </c>
      <c r="O100" s="1258">
        <v>765</v>
      </c>
      <c r="P100" s="1258">
        <v>215933.598</v>
      </c>
      <c r="Q100" s="981">
        <v>418.4227928842804</v>
      </c>
      <c r="R100" s="1258">
        <v>745</v>
      </c>
      <c r="S100" s="1258">
        <v>226902</v>
      </c>
      <c r="T100" s="981">
        <v>480.75782800000002</v>
      </c>
      <c r="U100" s="1495">
        <v>810</v>
      </c>
      <c r="V100" s="1495">
        <f>'F9'!M99</f>
        <v>235437</v>
      </c>
      <c r="W100" s="981">
        <f>'F9'!N99</f>
        <v>376.98800000000006</v>
      </c>
      <c r="X100" s="1397">
        <f t="shared" si="4"/>
        <v>0.12689267909659185</v>
      </c>
      <c r="Y100" s="1397">
        <f t="shared" si="5"/>
        <v>0.11972945112736655</v>
      </c>
      <c r="Z100" s="1397">
        <f t="shared" si="6"/>
        <v>4.1893099136570688E-2</v>
      </c>
    </row>
    <row r="101" spans="2:26">
      <c r="B101" s="1378" t="s">
        <v>1413</v>
      </c>
      <c r="C101" s="1258">
        <v>339</v>
      </c>
      <c r="D101" s="1258">
        <v>88196</v>
      </c>
      <c r="E101" s="981">
        <v>234.346</v>
      </c>
      <c r="F101" s="1258">
        <v>431</v>
      </c>
      <c r="G101" s="1481">
        <v>140454</v>
      </c>
      <c r="H101" s="981">
        <v>317.16899999999998</v>
      </c>
      <c r="I101" s="1258">
        <v>444</v>
      </c>
      <c r="J101" s="1258">
        <v>128725</v>
      </c>
      <c r="K101" s="981">
        <v>345.85899999999998</v>
      </c>
      <c r="L101" s="1258">
        <v>656</v>
      </c>
      <c r="M101" s="1258">
        <v>142943.10999999999</v>
      </c>
      <c r="N101" s="981">
        <v>291.65653832999999</v>
      </c>
      <c r="O101" s="1258">
        <v>718</v>
      </c>
      <c r="P101" s="1258">
        <v>153731.598</v>
      </c>
      <c r="Q101" s="981">
        <v>307.4755579560611</v>
      </c>
      <c r="R101" s="1258">
        <v>711</v>
      </c>
      <c r="S101" s="1258">
        <v>191786</v>
      </c>
      <c r="T101" s="981">
        <v>408.30091700000003</v>
      </c>
      <c r="U101" s="1495">
        <v>772</v>
      </c>
      <c r="V101" s="1495">
        <f>'F9'!M100</f>
        <v>194423</v>
      </c>
      <c r="W101" s="981">
        <f>'F9'!N100</f>
        <v>313.78500000000003</v>
      </c>
      <c r="X101" s="1397">
        <f t="shared" si="4"/>
        <v>0.12475946745752187</v>
      </c>
      <c r="Y101" s="1397">
        <f t="shared" si="5"/>
        <v>0.11954789769311125</v>
      </c>
      <c r="Z101" s="1397">
        <f t="shared" si="6"/>
        <v>4.2583054731662573E-2</v>
      </c>
    </row>
    <row r="102" spans="2:26">
      <c r="B102" s="1378" t="s">
        <v>1414</v>
      </c>
      <c r="C102" s="1258">
        <v>12</v>
      </c>
      <c r="D102" s="1258">
        <v>18484</v>
      </c>
      <c r="E102" s="981">
        <v>48.51</v>
      </c>
      <c r="F102" s="1258">
        <v>8</v>
      </c>
      <c r="G102" s="1481">
        <v>16072</v>
      </c>
      <c r="H102" s="981">
        <v>53.447000000000003</v>
      </c>
      <c r="I102" s="1258">
        <v>15</v>
      </c>
      <c r="J102" s="1258">
        <v>21510</v>
      </c>
      <c r="K102" s="981">
        <v>54.006999999999998</v>
      </c>
      <c r="L102" s="1258">
        <v>42</v>
      </c>
      <c r="M102" s="1258">
        <v>59565</v>
      </c>
      <c r="N102" s="981">
        <v>104.31994526000001</v>
      </c>
      <c r="O102" s="1258">
        <v>47</v>
      </c>
      <c r="P102" s="1258">
        <v>62202</v>
      </c>
      <c r="Q102" s="981">
        <v>110.94723492821927</v>
      </c>
      <c r="R102" s="1258">
        <v>34</v>
      </c>
      <c r="S102" s="1258">
        <v>35116</v>
      </c>
      <c r="T102" s="981">
        <v>72.456911000000005</v>
      </c>
      <c r="U102" s="1495">
        <v>38</v>
      </c>
      <c r="V102" s="1495">
        <f>'F9'!M101</f>
        <v>41014</v>
      </c>
      <c r="W102" s="981">
        <f>'F9'!N101</f>
        <v>63.203000000000003</v>
      </c>
      <c r="X102" s="1397">
        <f t="shared" si="4"/>
        <v>0.17900221636237057</v>
      </c>
      <c r="Y102" s="1397">
        <f t="shared" si="5"/>
        <v>0.12059330616107333</v>
      </c>
      <c r="Z102" s="1397">
        <f t="shared" si="6"/>
        <v>3.852080815604042E-2</v>
      </c>
    </row>
    <row r="103" spans="2:26">
      <c r="B103" s="1369" t="s">
        <v>1425</v>
      </c>
      <c r="C103" s="1258">
        <v>372</v>
      </c>
      <c r="D103" s="1258">
        <v>111704</v>
      </c>
      <c r="E103" s="981">
        <v>288.98399999999998</v>
      </c>
      <c r="F103" s="1258">
        <v>465</v>
      </c>
      <c r="G103" s="1481">
        <v>162387</v>
      </c>
      <c r="H103" s="981">
        <v>380.24599999999998</v>
      </c>
      <c r="I103" s="1258">
        <v>487</v>
      </c>
      <c r="J103" s="1258">
        <v>156324</v>
      </c>
      <c r="K103" s="981">
        <v>411.74099999999999</v>
      </c>
      <c r="L103" s="1258">
        <v>698</v>
      </c>
      <c r="M103" s="1258">
        <v>202508.11</v>
      </c>
      <c r="N103" s="981">
        <v>395.97648358999999</v>
      </c>
      <c r="O103" s="1258">
        <v>765</v>
      </c>
      <c r="P103" s="1258">
        <v>215933.598</v>
      </c>
      <c r="Q103" s="981">
        <v>418.4227928842804</v>
      </c>
      <c r="R103" s="1258">
        <v>843</v>
      </c>
      <c r="S103" s="1258">
        <v>255540</v>
      </c>
      <c r="T103" s="981">
        <v>505.29310100000004</v>
      </c>
      <c r="U103" s="1495">
        <v>894</v>
      </c>
      <c r="V103" s="1495">
        <f>'F9'!M102</f>
        <v>255500</v>
      </c>
      <c r="W103" s="981">
        <f>'F9'!N102</f>
        <v>410.63400000000007</v>
      </c>
      <c r="X103" s="1397">
        <f t="shared" si="4"/>
        <v>0.13344180179771414</v>
      </c>
      <c r="Y103" s="1397">
        <f t="shared" si="5"/>
        <v>0.12546434222485559</v>
      </c>
      <c r="Z103" s="1397">
        <f t="shared" si="6"/>
        <v>5.1471004599987991E-2</v>
      </c>
    </row>
    <row r="104" spans="2:26">
      <c r="B104" s="1369" t="s">
        <v>1446</v>
      </c>
      <c r="C104" s="1258">
        <v>372</v>
      </c>
      <c r="D104" s="1258">
        <v>111704</v>
      </c>
      <c r="E104" s="981">
        <v>288.98399999999998</v>
      </c>
      <c r="F104" s="1258">
        <v>465</v>
      </c>
      <c r="G104" s="1481">
        <v>162387</v>
      </c>
      <c r="H104" s="981">
        <v>380.24599999999998</v>
      </c>
      <c r="I104" s="1258">
        <v>487</v>
      </c>
      <c r="J104" s="1258">
        <v>156324</v>
      </c>
      <c r="K104" s="981">
        <v>411.74099999999999</v>
      </c>
      <c r="L104" s="1258">
        <v>698</v>
      </c>
      <c r="M104" s="1258">
        <v>202508.11</v>
      </c>
      <c r="N104" s="981">
        <v>395.97648358999999</v>
      </c>
      <c r="O104" s="1258">
        <v>765</v>
      </c>
      <c r="P104" s="1258">
        <v>215933.598</v>
      </c>
      <c r="Q104" s="981">
        <v>418.4227928842804</v>
      </c>
      <c r="R104" s="1258">
        <v>843</v>
      </c>
      <c r="S104" s="1258">
        <v>255540</v>
      </c>
      <c r="T104" s="981">
        <v>505.29310100000004</v>
      </c>
      <c r="U104" s="1495">
        <v>894</v>
      </c>
      <c r="V104" s="1495">
        <f>'F9'!M103</f>
        <v>255500</v>
      </c>
      <c r="W104" s="981">
        <f>'F9'!N103</f>
        <v>410.63400000000007</v>
      </c>
      <c r="X104" s="1397">
        <f t="shared" si="4"/>
        <v>0.13344180179771414</v>
      </c>
      <c r="Y104" s="1397">
        <f t="shared" si="5"/>
        <v>0.12546434222485559</v>
      </c>
      <c r="Z104" s="1397">
        <f t="shared" si="6"/>
        <v>5.1471004599987991E-2</v>
      </c>
    </row>
    <row r="105" spans="2:26">
      <c r="B105" s="1367" t="s">
        <v>1125</v>
      </c>
      <c r="C105" s="1258">
        <v>0</v>
      </c>
      <c r="D105" s="1258">
        <v>0</v>
      </c>
      <c r="E105" s="981">
        <v>0</v>
      </c>
      <c r="F105" s="1258">
        <v>0</v>
      </c>
      <c r="G105" s="1481">
        <v>0</v>
      </c>
      <c r="H105" s="981">
        <v>0</v>
      </c>
      <c r="I105" s="1258">
        <v>0</v>
      </c>
      <c r="J105" s="1258">
        <v>0</v>
      </c>
      <c r="K105" s="981">
        <v>0</v>
      </c>
      <c r="L105" s="1258">
        <v>0</v>
      </c>
      <c r="M105" s="1258">
        <v>0</v>
      </c>
      <c r="N105" s="981">
        <v>0</v>
      </c>
      <c r="O105" s="1258">
        <v>0</v>
      </c>
      <c r="P105" s="1258">
        <v>0</v>
      </c>
      <c r="Q105" s="981">
        <v>0</v>
      </c>
      <c r="R105" s="1258">
        <v>0</v>
      </c>
      <c r="S105" s="1258">
        <v>0</v>
      </c>
      <c r="T105" s="981">
        <v>0</v>
      </c>
      <c r="U105" s="1495">
        <v>0</v>
      </c>
      <c r="V105" s="1495">
        <f>'F9'!M104</f>
        <v>0</v>
      </c>
      <c r="W105" s="981">
        <f>'F9'!N104</f>
        <v>0</v>
      </c>
      <c r="X105" s="1397">
        <f t="shared" si="4"/>
        <v>0</v>
      </c>
      <c r="Y105" s="1397">
        <f t="shared" si="5"/>
        <v>0</v>
      </c>
      <c r="Z105" s="1397">
        <f t="shared" si="6"/>
        <v>0</v>
      </c>
    </row>
    <row r="106" spans="2:26">
      <c r="B106" s="1378" t="s">
        <v>1126</v>
      </c>
      <c r="C106" s="1258">
        <v>706</v>
      </c>
      <c r="D106" s="1258">
        <v>181597</v>
      </c>
      <c r="E106" s="981">
        <v>543.26099999999997</v>
      </c>
      <c r="F106" s="1258">
        <v>812</v>
      </c>
      <c r="G106" s="1481">
        <v>228437</v>
      </c>
      <c r="H106" s="981">
        <v>605.60799999999995</v>
      </c>
      <c r="I106" s="1258">
        <v>874</v>
      </c>
      <c r="J106" s="1258">
        <v>271864</v>
      </c>
      <c r="K106" s="981">
        <v>683.53099999999995</v>
      </c>
      <c r="L106" s="1258">
        <v>783</v>
      </c>
      <c r="M106" s="1258">
        <v>214644.44200000001</v>
      </c>
      <c r="N106" s="981">
        <v>1186.07049674</v>
      </c>
      <c r="O106" s="1258">
        <v>1117</v>
      </c>
      <c r="P106" s="1258">
        <v>289287.10200000001</v>
      </c>
      <c r="Q106" s="981">
        <v>994.6166595022604</v>
      </c>
      <c r="R106" s="1258">
        <v>1087</v>
      </c>
      <c r="S106" s="1258">
        <v>134282</v>
      </c>
      <c r="T106" s="981">
        <v>685.44689900000003</v>
      </c>
      <c r="U106" s="1495">
        <v>1099</v>
      </c>
      <c r="V106" s="1495">
        <f>'F9'!M105</f>
        <v>326834</v>
      </c>
      <c r="W106" s="981">
        <f>'F9'!N105</f>
        <v>707.98</v>
      </c>
      <c r="X106" s="1397">
        <f t="shared" si="4"/>
        <v>6.5261280011023048E-2</v>
      </c>
      <c r="Y106" s="1397">
        <f t="shared" si="5"/>
        <v>8.757644813742993E-2</v>
      </c>
      <c r="Z106" s="1397">
        <f t="shared" si="6"/>
        <v>3.8557034047508765E-2</v>
      </c>
    </row>
    <row r="107" spans="2:26">
      <c r="B107" s="1378" t="s">
        <v>1127</v>
      </c>
      <c r="C107" s="1258">
        <v>40</v>
      </c>
      <c r="D107" s="1258">
        <v>91078</v>
      </c>
      <c r="E107" s="981">
        <v>313.08</v>
      </c>
      <c r="F107" s="1258">
        <v>47</v>
      </c>
      <c r="G107" s="1481">
        <v>106505</v>
      </c>
      <c r="H107" s="981">
        <v>296.16899999999998</v>
      </c>
      <c r="I107" s="1258">
        <v>30</v>
      </c>
      <c r="J107" s="1258">
        <v>74050</v>
      </c>
      <c r="K107" s="981">
        <v>264.72000000000003</v>
      </c>
      <c r="L107" s="1258">
        <v>5</v>
      </c>
      <c r="M107" s="1258">
        <v>1134.9000000000001</v>
      </c>
      <c r="N107" s="981">
        <v>2.5961400000000001</v>
      </c>
      <c r="O107" s="1258">
        <v>27</v>
      </c>
      <c r="P107" s="1258">
        <v>52956.9</v>
      </c>
      <c r="Q107" s="981">
        <v>309.09339377617471</v>
      </c>
      <c r="R107" s="1258">
        <v>33</v>
      </c>
      <c r="S107" s="1258">
        <v>80527</v>
      </c>
      <c r="T107" s="981">
        <v>386</v>
      </c>
      <c r="U107" s="1495">
        <v>37</v>
      </c>
      <c r="V107" s="1495">
        <f>'F9'!M106</f>
        <v>84965</v>
      </c>
      <c r="W107" s="981">
        <f>'F9'!N106</f>
        <v>280.98700000000002</v>
      </c>
      <c r="X107" s="1397">
        <f t="shared" si="4"/>
        <v>-1.1075572247402188E-2</v>
      </c>
      <c r="Y107" s="1397">
        <f t="shared" si="5"/>
        <v>-9.8761749759598283E-3</v>
      </c>
      <c r="Z107" s="1397">
        <f t="shared" si="6"/>
        <v>-1.5331309434138296E-2</v>
      </c>
    </row>
    <row r="108" spans="2:26">
      <c r="B108" s="1378" t="s">
        <v>1128</v>
      </c>
      <c r="C108" s="1258">
        <v>13</v>
      </c>
      <c r="D108" s="1258">
        <v>92175</v>
      </c>
      <c r="E108" s="981">
        <v>113.871</v>
      </c>
      <c r="F108" s="1258">
        <v>5</v>
      </c>
      <c r="G108" s="1481">
        <v>75200</v>
      </c>
      <c r="H108" s="981">
        <v>67.257000000000005</v>
      </c>
      <c r="I108" s="1258">
        <v>6</v>
      </c>
      <c r="J108" s="1258">
        <v>80480</v>
      </c>
      <c r="K108" s="981">
        <v>85.034000000000006</v>
      </c>
      <c r="L108" s="1258">
        <v>1</v>
      </c>
      <c r="M108" s="1258">
        <v>282.60000000000002</v>
      </c>
      <c r="N108" s="981">
        <v>0.18105399999999999</v>
      </c>
      <c r="O108" s="1258">
        <v>3</v>
      </c>
      <c r="P108" s="1258">
        <v>13782.6</v>
      </c>
      <c r="Q108" s="981">
        <v>57.899166526416117</v>
      </c>
      <c r="R108" s="1258">
        <v>4</v>
      </c>
      <c r="S108" s="1258">
        <v>32363</v>
      </c>
      <c r="T108" s="981">
        <v>79</v>
      </c>
      <c r="U108" s="1495">
        <v>6</v>
      </c>
      <c r="V108" s="1495">
        <f>'F9'!M107</f>
        <v>64562</v>
      </c>
      <c r="W108" s="981">
        <f>'F9'!N107</f>
        <v>36.871000000000002</v>
      </c>
      <c r="X108" s="1397">
        <f t="shared" si="4"/>
        <v>-0.10457400181233079</v>
      </c>
      <c r="Y108" s="1397">
        <f t="shared" si="5"/>
        <v>-4.9594111451040646E-2</v>
      </c>
      <c r="Z108" s="1397">
        <f t="shared" si="6"/>
        <v>-0.14878586652929471</v>
      </c>
    </row>
    <row r="109" spans="2:26">
      <c r="B109" s="1378" t="s">
        <v>1129</v>
      </c>
      <c r="C109" s="1258">
        <v>0</v>
      </c>
      <c r="D109" s="1258">
        <v>0</v>
      </c>
      <c r="E109" s="981">
        <v>0</v>
      </c>
      <c r="F109" s="1258">
        <v>0</v>
      </c>
      <c r="G109" s="1481">
        <v>0</v>
      </c>
      <c r="H109" s="981">
        <v>0.90200000000000002</v>
      </c>
      <c r="I109" s="1258">
        <v>0</v>
      </c>
      <c r="J109" s="1258">
        <v>0</v>
      </c>
      <c r="K109" s="981">
        <v>0.8</v>
      </c>
      <c r="L109" s="1258">
        <v>6</v>
      </c>
      <c r="M109" s="1258">
        <v>1026.9000000000001</v>
      </c>
      <c r="N109" s="981">
        <v>2.7216879999999999</v>
      </c>
      <c r="O109" s="1258">
        <v>14</v>
      </c>
      <c r="P109" s="1258">
        <v>2293.2000000000003</v>
      </c>
      <c r="Q109" s="981">
        <v>6.4722761561436712</v>
      </c>
      <c r="R109" s="1258">
        <v>0</v>
      </c>
      <c r="S109" s="1258">
        <v>0</v>
      </c>
      <c r="T109" s="981">
        <v>0</v>
      </c>
      <c r="U109" s="1495">
        <v>2</v>
      </c>
      <c r="V109" s="1495">
        <f>'F9'!M108</f>
        <v>1796</v>
      </c>
      <c r="W109" s="981">
        <f>'F9'!N108</f>
        <v>1.254</v>
      </c>
      <c r="X109" s="1397">
        <f t="shared" si="4"/>
        <v>0</v>
      </c>
      <c r="Y109" s="1397">
        <f t="shared" si="5"/>
        <v>0</v>
      </c>
      <c r="Z109" s="1397">
        <f t="shared" si="6"/>
        <v>0</v>
      </c>
    </row>
    <row r="110" spans="2:26">
      <c r="B110" s="1377" t="s">
        <v>1130</v>
      </c>
      <c r="C110" s="1258">
        <v>166</v>
      </c>
      <c r="D110" s="1258">
        <v>67960</v>
      </c>
      <c r="E110" s="981">
        <v>140.28100000000001</v>
      </c>
      <c r="F110" s="1258">
        <v>171</v>
      </c>
      <c r="G110" s="1481">
        <v>60896</v>
      </c>
      <c r="H110" s="981">
        <v>133.39499999999998</v>
      </c>
      <c r="I110" s="1258">
        <v>176</v>
      </c>
      <c r="J110" s="1258">
        <v>61846</v>
      </c>
      <c r="K110" s="981">
        <v>137.52499999999998</v>
      </c>
      <c r="L110" s="1258">
        <v>1</v>
      </c>
      <c r="M110" s="1258">
        <v>115.2</v>
      </c>
      <c r="N110" s="981">
        <v>1.438E-2</v>
      </c>
      <c r="O110" s="1258">
        <v>1</v>
      </c>
      <c r="P110" s="1258">
        <v>115.2</v>
      </c>
      <c r="Q110" s="981">
        <v>0.28362080472421758</v>
      </c>
      <c r="R110" s="1258">
        <v>24</v>
      </c>
      <c r="S110" s="1258">
        <v>5822</v>
      </c>
      <c r="T110" s="981">
        <v>5</v>
      </c>
      <c r="U110" s="1495">
        <v>250</v>
      </c>
      <c r="V110" s="1495">
        <f>'F9'!M109</f>
        <v>85000</v>
      </c>
      <c r="W110" s="981">
        <f>'F9'!N109</f>
        <v>211.911</v>
      </c>
      <c r="X110" s="1397">
        <f t="shared" si="4"/>
        <v>6.0240915801431427E-2</v>
      </c>
      <c r="Y110" s="1397">
        <f t="shared" si="5"/>
        <v>3.2477969445533716E-2</v>
      </c>
      <c r="Z110" s="1397">
        <f t="shared" si="6"/>
        <v>6.0702325762207687E-2</v>
      </c>
    </row>
    <row r="111" spans="2:26">
      <c r="B111" s="1369" t="s">
        <v>1425</v>
      </c>
      <c r="C111" s="1258">
        <v>925</v>
      </c>
      <c r="D111" s="1258">
        <v>432810</v>
      </c>
      <c r="E111" s="981">
        <v>1110.4929999999999</v>
      </c>
      <c r="F111" s="1258">
        <v>1035</v>
      </c>
      <c r="G111" s="1481">
        <v>471038</v>
      </c>
      <c r="H111" s="981">
        <v>1103.3309999999999</v>
      </c>
      <c r="I111" s="1258">
        <v>1086</v>
      </c>
      <c r="J111" s="1258">
        <v>488240</v>
      </c>
      <c r="K111" s="981">
        <v>1171.6100000000001</v>
      </c>
      <c r="L111" s="1258">
        <v>796</v>
      </c>
      <c r="M111" s="1258">
        <v>217204.04200000002</v>
      </c>
      <c r="N111" s="981">
        <v>1191.5837587400001</v>
      </c>
      <c r="O111" s="1258">
        <v>1162</v>
      </c>
      <c r="P111" s="1258">
        <v>358435.00200000004</v>
      </c>
      <c r="Q111" s="981">
        <v>1368.3651167657192</v>
      </c>
      <c r="R111" s="1258">
        <v>1148</v>
      </c>
      <c r="S111" s="1258">
        <v>252994</v>
      </c>
      <c r="T111" s="981">
        <v>1155.446899</v>
      </c>
      <c r="U111" s="1495">
        <v>1394</v>
      </c>
      <c r="V111" s="1495">
        <f>'F9'!M110</f>
        <v>563157</v>
      </c>
      <c r="W111" s="981">
        <f>'F9'!N110</f>
        <v>1239.0030000000002</v>
      </c>
      <c r="X111" s="1397">
        <f t="shared" si="4"/>
        <v>6.0341753188346114E-2</v>
      </c>
      <c r="Y111" s="1397">
        <f t="shared" si="5"/>
        <v>3.8324666975559474E-2</v>
      </c>
      <c r="Z111" s="1397">
        <f t="shared" si="6"/>
        <v>1.5766277072319257E-2</v>
      </c>
    </row>
    <row r="112" spans="2:26">
      <c r="B112" s="1369" t="s">
        <v>1446</v>
      </c>
      <c r="C112" s="1258">
        <v>925</v>
      </c>
      <c r="D112" s="1258">
        <v>432810</v>
      </c>
      <c r="E112" s="981">
        <v>1110.4929999999999</v>
      </c>
      <c r="F112" s="1258">
        <v>1035</v>
      </c>
      <c r="G112" s="1481">
        <v>471038</v>
      </c>
      <c r="H112" s="981">
        <v>1103.3309999999999</v>
      </c>
      <c r="I112" s="1258">
        <v>1086</v>
      </c>
      <c r="J112" s="1258">
        <v>488240</v>
      </c>
      <c r="K112" s="981">
        <v>1171.6100000000001</v>
      </c>
      <c r="L112" s="1258">
        <v>796</v>
      </c>
      <c r="M112" s="1258">
        <v>217204.04200000002</v>
      </c>
      <c r="N112" s="981">
        <v>1191.5837587400001</v>
      </c>
      <c r="O112" s="1258">
        <v>1162</v>
      </c>
      <c r="P112" s="1258">
        <v>358435.00200000004</v>
      </c>
      <c r="Q112" s="981">
        <v>1368.3651167657192</v>
      </c>
      <c r="R112" s="1258">
        <v>1148</v>
      </c>
      <c r="S112" s="1258">
        <v>252994</v>
      </c>
      <c r="T112" s="981">
        <v>1155.446899</v>
      </c>
      <c r="U112" s="1495">
        <v>1394</v>
      </c>
      <c r="V112" s="1495">
        <f>'F9'!M111</f>
        <v>563157</v>
      </c>
      <c r="W112" s="981">
        <f>'F9'!N111</f>
        <v>1239.0030000000002</v>
      </c>
      <c r="X112" s="1397">
        <f t="shared" si="4"/>
        <v>6.0341753188346114E-2</v>
      </c>
      <c r="Y112" s="1397">
        <f t="shared" si="5"/>
        <v>3.8324666975559474E-2</v>
      </c>
      <c r="Z112" s="1397">
        <f t="shared" si="6"/>
        <v>1.5766277072319257E-2</v>
      </c>
    </row>
    <row r="113" spans="2:26">
      <c r="B113" s="1367" t="s">
        <v>1133</v>
      </c>
      <c r="C113" s="1258">
        <v>0</v>
      </c>
      <c r="D113" s="1258">
        <v>0</v>
      </c>
      <c r="E113" s="981">
        <v>0</v>
      </c>
      <c r="F113" s="1258">
        <v>0</v>
      </c>
      <c r="G113" s="1481">
        <v>0</v>
      </c>
      <c r="H113" s="981">
        <v>0</v>
      </c>
      <c r="I113" s="1258">
        <v>0</v>
      </c>
      <c r="J113" s="1258">
        <v>0</v>
      </c>
      <c r="K113" s="981">
        <v>0</v>
      </c>
      <c r="L113" s="1258">
        <v>0</v>
      </c>
      <c r="M113" s="1258">
        <v>0</v>
      </c>
      <c r="N113" s="981">
        <v>0</v>
      </c>
      <c r="O113" s="1258">
        <v>0</v>
      </c>
      <c r="P113" s="1258">
        <v>0</v>
      </c>
      <c r="Q113" s="981">
        <v>0</v>
      </c>
      <c r="R113" s="1258">
        <v>0</v>
      </c>
      <c r="S113" s="1258">
        <v>0</v>
      </c>
      <c r="T113" s="981">
        <v>0</v>
      </c>
      <c r="U113" s="1495">
        <v>0</v>
      </c>
      <c r="V113" s="1495">
        <f>'F9'!M112</f>
        <v>0</v>
      </c>
      <c r="W113" s="981">
        <f>'F9'!N112</f>
        <v>0</v>
      </c>
      <c r="X113" s="1397">
        <f t="shared" si="4"/>
        <v>0</v>
      </c>
      <c r="Y113" s="1397">
        <f t="shared" si="5"/>
        <v>0</v>
      </c>
      <c r="Z113" s="1397">
        <f t="shared" si="6"/>
        <v>0</v>
      </c>
    </row>
    <row r="114" spans="2:26">
      <c r="B114" s="1378" t="s">
        <v>1415</v>
      </c>
      <c r="C114" s="1258">
        <v>4</v>
      </c>
      <c r="D114" s="1258">
        <v>80975</v>
      </c>
      <c r="E114" s="981">
        <v>263.04899999999998</v>
      </c>
      <c r="F114" s="1258">
        <v>4</v>
      </c>
      <c r="G114" s="1481">
        <v>86000</v>
      </c>
      <c r="H114" s="981">
        <v>273.78500000000003</v>
      </c>
      <c r="I114" s="1258">
        <v>7</v>
      </c>
      <c r="J114" s="1258">
        <v>103255</v>
      </c>
      <c r="K114" s="981">
        <v>284.92099999999999</v>
      </c>
      <c r="L114" s="1258">
        <v>7</v>
      </c>
      <c r="M114" s="1258">
        <v>102511</v>
      </c>
      <c r="N114" s="981">
        <v>318.60435000000001</v>
      </c>
      <c r="O114" s="1258">
        <v>0</v>
      </c>
      <c r="P114" s="1258">
        <v>0</v>
      </c>
      <c r="Q114" s="981">
        <v>0</v>
      </c>
      <c r="R114" s="1258">
        <v>0</v>
      </c>
      <c r="S114" s="1258">
        <v>0</v>
      </c>
      <c r="T114" s="981">
        <v>0</v>
      </c>
      <c r="U114" s="1495">
        <v>1</v>
      </c>
      <c r="V114" s="1495">
        <f>'F9'!M113</f>
        <v>10800</v>
      </c>
      <c r="W114" s="981">
        <f>'F9'!N113</f>
        <v>24.856000000000002</v>
      </c>
      <c r="X114" s="1397">
        <f t="shared" si="4"/>
        <v>-0.17966464399236204</v>
      </c>
      <c r="Y114" s="1397">
        <f t="shared" si="5"/>
        <v>-0.25008783311700333</v>
      </c>
      <c r="Z114" s="1397">
        <f t="shared" si="6"/>
        <v>-0.28611575429417113</v>
      </c>
    </row>
    <row r="115" spans="2:26">
      <c r="B115" s="1378" t="s">
        <v>1134</v>
      </c>
      <c r="C115" s="1258">
        <v>1</v>
      </c>
      <c r="D115" s="1258">
        <v>78000</v>
      </c>
      <c r="E115" s="981">
        <v>195.98099999999999</v>
      </c>
      <c r="F115" s="1258">
        <v>3</v>
      </c>
      <c r="G115" s="1481">
        <v>83700</v>
      </c>
      <c r="H115" s="981">
        <v>197.66300000000001</v>
      </c>
      <c r="I115" s="1258">
        <v>3</v>
      </c>
      <c r="J115" s="1258">
        <v>83700</v>
      </c>
      <c r="K115" s="981">
        <v>216.643</v>
      </c>
      <c r="L115" s="1258">
        <v>3</v>
      </c>
      <c r="M115" s="1258">
        <v>88500</v>
      </c>
      <c r="N115" s="981">
        <v>171.83</v>
      </c>
      <c r="O115" s="1258">
        <v>3</v>
      </c>
      <c r="P115" s="1258">
        <v>8139</v>
      </c>
      <c r="Q115" s="981">
        <v>24.422207725404775</v>
      </c>
      <c r="R115" s="1258">
        <v>0</v>
      </c>
      <c r="S115" s="1258">
        <v>0</v>
      </c>
      <c r="T115" s="981">
        <v>0</v>
      </c>
      <c r="U115" s="1495">
        <v>0</v>
      </c>
      <c r="V115" s="1495">
        <f>'F9'!M114</f>
        <v>0</v>
      </c>
      <c r="W115" s="981">
        <f>'F9'!N114</f>
        <v>0</v>
      </c>
      <c r="X115" s="1397">
        <f t="shared" si="4"/>
        <v>-1</v>
      </c>
      <c r="Y115" s="1397">
        <f t="shared" si="5"/>
        <v>-1</v>
      </c>
      <c r="Z115" s="1397">
        <f t="shared" si="6"/>
        <v>-1</v>
      </c>
    </row>
    <row r="116" spans="2:26">
      <c r="B116" s="1378" t="s">
        <v>1135</v>
      </c>
      <c r="C116" s="1258">
        <v>0</v>
      </c>
      <c r="D116" s="1258">
        <v>0</v>
      </c>
      <c r="E116" s="981">
        <v>0</v>
      </c>
      <c r="F116" s="1258">
        <v>0</v>
      </c>
      <c r="G116" s="1481">
        <v>0</v>
      </c>
      <c r="H116" s="981">
        <v>0</v>
      </c>
      <c r="I116" s="1258">
        <v>0</v>
      </c>
      <c r="J116" s="1258">
        <v>0</v>
      </c>
      <c r="K116" s="981">
        <v>0</v>
      </c>
      <c r="L116" s="1258">
        <v>0</v>
      </c>
      <c r="M116" s="1258">
        <v>0</v>
      </c>
      <c r="N116" s="981">
        <v>0</v>
      </c>
      <c r="O116" s="1258">
        <v>0</v>
      </c>
      <c r="P116" s="1258">
        <v>0</v>
      </c>
      <c r="Q116" s="981">
        <v>0</v>
      </c>
      <c r="R116" s="1258">
        <v>0</v>
      </c>
      <c r="S116" s="1258">
        <v>0</v>
      </c>
      <c r="T116" s="981">
        <v>0</v>
      </c>
      <c r="U116" s="1495">
        <v>0</v>
      </c>
      <c r="V116" s="1495">
        <f>'F9'!M115</f>
        <v>0</v>
      </c>
      <c r="W116" s="981">
        <f>'F9'!N115</f>
        <v>0</v>
      </c>
      <c r="X116" s="1397">
        <f t="shared" si="4"/>
        <v>0</v>
      </c>
      <c r="Y116" s="1397">
        <f t="shared" si="5"/>
        <v>0</v>
      </c>
      <c r="Z116" s="1397">
        <f t="shared" si="6"/>
        <v>0</v>
      </c>
    </row>
    <row r="117" spans="2:26">
      <c r="B117" s="1369" t="s">
        <v>1425</v>
      </c>
      <c r="C117" s="1258">
        <v>5</v>
      </c>
      <c r="D117" s="1258">
        <v>158975</v>
      </c>
      <c r="E117" s="981">
        <v>459.03</v>
      </c>
      <c r="F117" s="1258">
        <v>7</v>
      </c>
      <c r="G117" s="1481">
        <v>169700</v>
      </c>
      <c r="H117" s="981">
        <v>471.44800000000004</v>
      </c>
      <c r="I117" s="1258">
        <v>10</v>
      </c>
      <c r="J117" s="1258">
        <v>186955</v>
      </c>
      <c r="K117" s="981">
        <v>501.56399999999996</v>
      </c>
      <c r="L117" s="1258">
        <v>10</v>
      </c>
      <c r="M117" s="1258">
        <v>191011</v>
      </c>
      <c r="N117" s="981">
        <v>490.43434999999999</v>
      </c>
      <c r="O117" s="1258">
        <v>3</v>
      </c>
      <c r="P117" s="1258">
        <v>8139</v>
      </c>
      <c r="Q117" s="981">
        <v>24.422207725404775</v>
      </c>
      <c r="R117" s="1258">
        <v>0</v>
      </c>
      <c r="S117" s="1258">
        <v>0</v>
      </c>
      <c r="T117" s="981">
        <v>0</v>
      </c>
      <c r="U117" s="1495">
        <v>1</v>
      </c>
      <c r="V117" s="1495">
        <f>'F9'!M116</f>
        <v>10800</v>
      </c>
      <c r="W117" s="981">
        <f>'F9'!N116</f>
        <v>24.856000000000002</v>
      </c>
      <c r="X117" s="1397">
        <f t="shared" si="4"/>
        <v>-0.20540259529814775</v>
      </c>
      <c r="Y117" s="1397">
        <f t="shared" si="5"/>
        <v>-0.31898540827020916</v>
      </c>
      <c r="Z117" s="1397">
        <f t="shared" si="6"/>
        <v>-0.34069812619806672</v>
      </c>
    </row>
    <row r="118" spans="2:26">
      <c r="B118" s="1369" t="s">
        <v>1446</v>
      </c>
      <c r="C118" s="1258">
        <v>5</v>
      </c>
      <c r="D118" s="1258">
        <v>158975</v>
      </c>
      <c r="E118" s="981">
        <v>459.03</v>
      </c>
      <c r="F118" s="1258">
        <v>7</v>
      </c>
      <c r="G118" s="1481">
        <v>169700</v>
      </c>
      <c r="H118" s="981">
        <v>471.44800000000004</v>
      </c>
      <c r="I118" s="1258">
        <v>10</v>
      </c>
      <c r="J118" s="1258">
        <v>186955</v>
      </c>
      <c r="K118" s="981">
        <v>501.56399999999996</v>
      </c>
      <c r="L118" s="1258">
        <v>10</v>
      </c>
      <c r="M118" s="1258">
        <v>191011</v>
      </c>
      <c r="N118" s="981">
        <v>490.43434999999999</v>
      </c>
      <c r="O118" s="1258">
        <v>3</v>
      </c>
      <c r="P118" s="1258">
        <v>8139</v>
      </c>
      <c r="Q118" s="981">
        <v>24.422207725404775</v>
      </c>
      <c r="R118" s="1258">
        <v>0</v>
      </c>
      <c r="S118" s="1258">
        <v>0</v>
      </c>
      <c r="T118" s="981">
        <v>0</v>
      </c>
      <c r="U118" s="1495">
        <v>1</v>
      </c>
      <c r="V118" s="1495">
        <f>'F9'!M117</f>
        <v>10800</v>
      </c>
      <c r="W118" s="981">
        <f>'F9'!N117</f>
        <v>24.856000000000002</v>
      </c>
      <c r="X118" s="1397">
        <f t="shared" si="4"/>
        <v>-0.20540259529814775</v>
      </c>
      <c r="Y118" s="1397">
        <f t="shared" si="5"/>
        <v>-0.31898540827020916</v>
      </c>
      <c r="Z118" s="1397">
        <f t="shared" si="6"/>
        <v>-0.34069812619806672</v>
      </c>
    </row>
    <row r="119" spans="2:26" ht="28">
      <c r="B119" s="1367" t="s">
        <v>1137</v>
      </c>
      <c r="C119" s="1258">
        <v>0</v>
      </c>
      <c r="D119" s="1258">
        <v>0</v>
      </c>
      <c r="E119" s="981">
        <v>0</v>
      </c>
      <c r="F119" s="1258">
        <v>0</v>
      </c>
      <c r="G119" s="1481">
        <v>0</v>
      </c>
      <c r="H119" s="981">
        <v>0</v>
      </c>
      <c r="I119" s="1258">
        <v>0</v>
      </c>
      <c r="J119" s="1258">
        <v>0</v>
      </c>
      <c r="K119" s="981">
        <v>0</v>
      </c>
      <c r="L119" s="1258">
        <v>0</v>
      </c>
      <c r="M119" s="1258">
        <v>0</v>
      </c>
      <c r="N119" s="981">
        <v>0</v>
      </c>
      <c r="O119" s="1258">
        <v>0</v>
      </c>
      <c r="P119" s="1258">
        <v>0</v>
      </c>
      <c r="Q119" s="981">
        <v>0</v>
      </c>
      <c r="R119" s="1258">
        <v>0</v>
      </c>
      <c r="S119" s="1258">
        <v>0</v>
      </c>
      <c r="T119" s="981">
        <v>0</v>
      </c>
      <c r="U119" s="1495">
        <v>0</v>
      </c>
      <c r="V119" s="1495">
        <f>'F9'!M118</f>
        <v>0</v>
      </c>
      <c r="W119" s="981">
        <f>'F9'!N118</f>
        <v>0</v>
      </c>
      <c r="X119" s="1397">
        <f t="shared" si="4"/>
        <v>0</v>
      </c>
      <c r="Y119" s="1397">
        <f t="shared" si="5"/>
        <v>0</v>
      </c>
      <c r="Z119" s="1397">
        <f t="shared" si="6"/>
        <v>0</v>
      </c>
    </row>
    <row r="120" spans="2:26">
      <c r="B120" s="1378" t="s">
        <v>1138</v>
      </c>
      <c r="C120" s="1258">
        <v>49</v>
      </c>
      <c r="D120" s="1258">
        <v>50115</v>
      </c>
      <c r="E120" s="981">
        <v>199.54300000000001</v>
      </c>
      <c r="F120" s="1258">
        <v>55</v>
      </c>
      <c r="G120" s="1481">
        <v>52303</v>
      </c>
      <c r="H120" s="981">
        <v>199.126</v>
      </c>
      <c r="I120" s="1258">
        <v>51</v>
      </c>
      <c r="J120" s="1258">
        <v>51480</v>
      </c>
      <c r="K120" s="981">
        <v>160.24100000000001</v>
      </c>
      <c r="L120" s="1258">
        <v>52</v>
      </c>
      <c r="M120" s="1258">
        <v>50355</v>
      </c>
      <c r="N120" s="981">
        <v>211.78948099999999</v>
      </c>
      <c r="O120" s="1258">
        <v>52</v>
      </c>
      <c r="P120" s="1258">
        <v>50355</v>
      </c>
      <c r="Q120" s="981">
        <v>226.36698640322842</v>
      </c>
      <c r="R120" s="1258">
        <v>26</v>
      </c>
      <c r="S120" s="1258">
        <v>23977</v>
      </c>
      <c r="T120" s="981">
        <v>212.66</v>
      </c>
      <c r="U120" s="1495">
        <v>40</v>
      </c>
      <c r="V120" s="1495">
        <f>'F9'!M119</f>
        <v>38184</v>
      </c>
      <c r="W120" s="981">
        <f>'F9'!N119</f>
        <v>155.06</v>
      </c>
      <c r="X120" s="1397">
        <f t="shared" si="4"/>
        <v>-2.8575326196480511E-2</v>
      </c>
      <c r="Y120" s="1397">
        <f t="shared" si="5"/>
        <v>-3.8098666806811732E-2</v>
      </c>
      <c r="Z120" s="1397">
        <f t="shared" si="6"/>
        <v>-3.5389694396970928E-2</v>
      </c>
    </row>
    <row r="121" spans="2:26">
      <c r="B121" s="1378" t="s">
        <v>1139</v>
      </c>
      <c r="C121" s="1258">
        <v>17</v>
      </c>
      <c r="D121" s="1258">
        <v>76771</v>
      </c>
      <c r="E121" s="981">
        <v>355.48899999999998</v>
      </c>
      <c r="F121" s="1258">
        <v>17</v>
      </c>
      <c r="G121" s="1481">
        <v>86831</v>
      </c>
      <c r="H121" s="981">
        <v>462.14800000000002</v>
      </c>
      <c r="I121" s="1258">
        <v>16</v>
      </c>
      <c r="J121" s="1258">
        <v>76181</v>
      </c>
      <c r="K121" s="981">
        <v>407.44</v>
      </c>
      <c r="L121" s="1258">
        <v>16</v>
      </c>
      <c r="M121" s="1258">
        <v>73571</v>
      </c>
      <c r="N121" s="981">
        <v>399.88924900000001</v>
      </c>
      <c r="O121" s="1258">
        <v>16</v>
      </c>
      <c r="P121" s="1258">
        <v>73571</v>
      </c>
      <c r="Q121" s="981">
        <v>338.91010743544331</v>
      </c>
      <c r="R121" s="1258">
        <v>6</v>
      </c>
      <c r="S121" s="1258">
        <v>115269</v>
      </c>
      <c r="T121" s="981">
        <v>269</v>
      </c>
      <c r="U121" s="1495">
        <v>17</v>
      </c>
      <c r="V121" s="1495">
        <f>'F9'!M120</f>
        <v>90950</v>
      </c>
      <c r="W121" s="981">
        <f>'F9'!N120</f>
        <v>321.11899999999997</v>
      </c>
      <c r="X121" s="1397">
        <f t="shared" si="4"/>
        <v>0</v>
      </c>
      <c r="Y121" s="1397">
        <f t="shared" si="5"/>
        <v>2.450733535988836E-2</v>
      </c>
      <c r="Z121" s="1397">
        <f t="shared" si="6"/>
        <v>-1.4421082049575262E-2</v>
      </c>
    </row>
    <row r="122" spans="2:26">
      <c r="B122" s="1378" t="s">
        <v>1140</v>
      </c>
      <c r="C122" s="1258">
        <v>0</v>
      </c>
      <c r="D122" s="1258">
        <v>0</v>
      </c>
      <c r="E122" s="981">
        <v>10.858000000000001</v>
      </c>
      <c r="F122" s="1258">
        <v>0</v>
      </c>
      <c r="G122" s="1481">
        <v>0</v>
      </c>
      <c r="H122" s="981">
        <v>0</v>
      </c>
      <c r="I122" s="1258">
        <v>0</v>
      </c>
      <c r="J122" s="1258">
        <v>0</v>
      </c>
      <c r="K122" s="981">
        <v>4.7039999999999997</v>
      </c>
      <c r="L122" s="1258">
        <v>0</v>
      </c>
      <c r="M122" s="1258">
        <v>0</v>
      </c>
      <c r="N122" s="981">
        <v>2.371</v>
      </c>
      <c r="O122" s="1258">
        <v>0</v>
      </c>
      <c r="P122" s="1258">
        <v>0</v>
      </c>
      <c r="Q122" s="981">
        <v>0</v>
      </c>
      <c r="R122" s="1258">
        <v>0</v>
      </c>
      <c r="S122" s="1258">
        <v>0</v>
      </c>
      <c r="T122" s="981">
        <v>0</v>
      </c>
      <c r="U122" s="1495">
        <v>0</v>
      </c>
      <c r="V122" s="1495">
        <f>'F9'!M121</f>
        <v>0</v>
      </c>
      <c r="W122" s="981">
        <f>'F9'!N121</f>
        <v>0</v>
      </c>
      <c r="X122" s="1397">
        <f t="shared" si="4"/>
        <v>0</v>
      </c>
      <c r="Y122" s="1397">
        <f t="shared" si="5"/>
        <v>0</v>
      </c>
      <c r="Z122" s="1397">
        <f t="shared" si="6"/>
        <v>-1</v>
      </c>
    </row>
    <row r="123" spans="2:26">
      <c r="B123" s="1369" t="s">
        <v>1425</v>
      </c>
      <c r="C123" s="1258">
        <v>66</v>
      </c>
      <c r="D123" s="1258">
        <v>126886</v>
      </c>
      <c r="E123" s="981">
        <v>565.88999999999987</v>
      </c>
      <c r="F123" s="1258">
        <v>72</v>
      </c>
      <c r="G123" s="1481">
        <v>139134</v>
      </c>
      <c r="H123" s="981">
        <v>661.274</v>
      </c>
      <c r="I123" s="1258">
        <v>67</v>
      </c>
      <c r="J123" s="1258">
        <v>127661</v>
      </c>
      <c r="K123" s="981">
        <v>572.38499999999999</v>
      </c>
      <c r="L123" s="1258">
        <v>68</v>
      </c>
      <c r="M123" s="1258">
        <v>123926</v>
      </c>
      <c r="N123" s="981">
        <v>614.04972999999995</v>
      </c>
      <c r="O123" s="1258">
        <v>68</v>
      </c>
      <c r="P123" s="1258">
        <v>123926</v>
      </c>
      <c r="Q123" s="981">
        <v>565.2770938386717</v>
      </c>
      <c r="R123" s="1258">
        <v>32</v>
      </c>
      <c r="S123" s="1258">
        <v>139246</v>
      </c>
      <c r="T123" s="981">
        <v>481.65999999999997</v>
      </c>
      <c r="U123" s="1495">
        <v>57</v>
      </c>
      <c r="V123" s="1495">
        <f>'F9'!M122</f>
        <v>129134</v>
      </c>
      <c r="W123" s="981">
        <f>'F9'!N122</f>
        <v>476.17899999999997</v>
      </c>
      <c r="X123" s="1397">
        <f t="shared" si="4"/>
        <v>-2.0725564489257109E-2</v>
      </c>
      <c r="Y123" s="1397">
        <f t="shared" si="5"/>
        <v>2.5119467174194998E-3</v>
      </c>
      <c r="Z123" s="1397">
        <f t="shared" si="6"/>
        <v>-2.435645808131659E-2</v>
      </c>
    </row>
    <row r="124" spans="2:26">
      <c r="B124" s="1369" t="s">
        <v>1446</v>
      </c>
      <c r="C124" s="1258">
        <v>66</v>
      </c>
      <c r="D124" s="1258">
        <v>126886</v>
      </c>
      <c r="E124" s="981">
        <v>565.88999999999987</v>
      </c>
      <c r="F124" s="1258">
        <v>72</v>
      </c>
      <c r="G124" s="1481">
        <v>139134</v>
      </c>
      <c r="H124" s="981">
        <v>661.274</v>
      </c>
      <c r="I124" s="1258">
        <v>67</v>
      </c>
      <c r="J124" s="1258">
        <v>127661</v>
      </c>
      <c r="K124" s="981">
        <v>572.38499999999999</v>
      </c>
      <c r="L124" s="1258">
        <v>68</v>
      </c>
      <c r="M124" s="1258">
        <v>123926</v>
      </c>
      <c r="N124" s="981">
        <v>614.04972999999995</v>
      </c>
      <c r="O124" s="1258">
        <v>68</v>
      </c>
      <c r="P124" s="1258">
        <v>123926</v>
      </c>
      <c r="Q124" s="981">
        <v>565.2770938386717</v>
      </c>
      <c r="R124" s="1258">
        <v>32</v>
      </c>
      <c r="S124" s="1258">
        <v>139246</v>
      </c>
      <c r="T124" s="981">
        <v>481.65999999999997</v>
      </c>
      <c r="U124" s="1495">
        <v>57</v>
      </c>
      <c r="V124" s="1495">
        <f>'F9'!M123</f>
        <v>129134</v>
      </c>
      <c r="W124" s="981">
        <f>'F9'!N123</f>
        <v>476.17899999999997</v>
      </c>
      <c r="X124" s="1397">
        <f t="shared" si="4"/>
        <v>-2.0725564489257109E-2</v>
      </c>
      <c r="Y124" s="1397">
        <f t="shared" si="5"/>
        <v>2.5119467174194998E-3</v>
      </c>
      <c r="Z124" s="1397">
        <f t="shared" si="6"/>
        <v>-2.435645808131659E-2</v>
      </c>
    </row>
    <row r="125" spans="2:26">
      <c r="B125" s="1367" t="s">
        <v>1143</v>
      </c>
      <c r="C125" s="1258">
        <v>0</v>
      </c>
      <c r="D125" s="1258">
        <v>0</v>
      </c>
      <c r="E125" s="981">
        <v>0</v>
      </c>
      <c r="F125" s="1258">
        <v>0</v>
      </c>
      <c r="G125" s="1481">
        <v>0</v>
      </c>
      <c r="H125" s="981">
        <v>0</v>
      </c>
      <c r="I125" s="1258">
        <v>0</v>
      </c>
      <c r="J125" s="1258">
        <v>0</v>
      </c>
      <c r="K125" s="981">
        <v>0</v>
      </c>
      <c r="L125" s="1258">
        <v>0</v>
      </c>
      <c r="M125" s="1258">
        <v>0</v>
      </c>
      <c r="N125" s="981">
        <v>0</v>
      </c>
      <c r="O125" s="1258">
        <v>0</v>
      </c>
      <c r="P125" s="1258">
        <v>0</v>
      </c>
      <c r="Q125" s="981">
        <v>0</v>
      </c>
      <c r="R125" s="1258">
        <v>0</v>
      </c>
      <c r="S125" s="1258">
        <v>0</v>
      </c>
      <c r="T125" s="981">
        <v>0</v>
      </c>
      <c r="U125" s="1495">
        <v>0</v>
      </c>
      <c r="V125" s="1495">
        <f>'F9'!M124</f>
        <v>0</v>
      </c>
      <c r="W125" s="981">
        <f>'F9'!N124</f>
        <v>0</v>
      </c>
      <c r="X125" s="1397">
        <f t="shared" si="4"/>
        <v>0</v>
      </c>
      <c r="Y125" s="1397">
        <f t="shared" si="5"/>
        <v>0</v>
      </c>
      <c r="Z125" s="1397">
        <f t="shared" si="6"/>
        <v>0</v>
      </c>
    </row>
    <row r="126" spans="2:26">
      <c r="B126" s="1367" t="s">
        <v>1434</v>
      </c>
      <c r="C126" s="1258">
        <v>2</v>
      </c>
      <c r="D126" s="1258">
        <v>3000</v>
      </c>
      <c r="E126" s="981">
        <v>0</v>
      </c>
      <c r="F126" s="1258">
        <v>0</v>
      </c>
      <c r="G126" s="1481">
        <v>0</v>
      </c>
      <c r="H126" s="981">
        <v>0</v>
      </c>
      <c r="I126" s="1258">
        <v>0</v>
      </c>
      <c r="J126" s="1258">
        <v>0</v>
      </c>
      <c r="K126" s="981">
        <v>0</v>
      </c>
      <c r="L126" s="1258">
        <v>0</v>
      </c>
      <c r="M126" s="1258">
        <v>0</v>
      </c>
      <c r="N126" s="981">
        <v>0</v>
      </c>
      <c r="O126" s="1258">
        <v>0</v>
      </c>
      <c r="P126" s="1258">
        <v>0</v>
      </c>
      <c r="Q126" s="981">
        <v>0</v>
      </c>
      <c r="R126" s="1258">
        <v>0</v>
      </c>
      <c r="S126" s="1258">
        <v>0</v>
      </c>
      <c r="T126" s="981">
        <v>0</v>
      </c>
      <c r="U126" s="1495">
        <v>1</v>
      </c>
      <c r="V126" s="1495">
        <f>'F9'!M125</f>
        <v>410</v>
      </c>
      <c r="W126" s="981">
        <f>'F9'!N125</f>
        <v>2.8090000000000002</v>
      </c>
      <c r="X126" s="1397">
        <f t="shared" si="4"/>
        <v>-9.4276335736093286E-2</v>
      </c>
      <c r="Y126" s="1397">
        <f t="shared" si="5"/>
        <v>-0.24747102082161354</v>
      </c>
      <c r="Z126" s="1397">
        <f t="shared" si="6"/>
        <v>0</v>
      </c>
    </row>
    <row r="127" spans="2:26">
      <c r="B127" s="1377" t="s">
        <v>126</v>
      </c>
      <c r="C127" s="1258">
        <v>4496629</v>
      </c>
      <c r="D127" s="1258">
        <v>9733918</v>
      </c>
      <c r="E127" s="981">
        <v>13893.334000000001</v>
      </c>
      <c r="F127" s="1258">
        <v>4852754</v>
      </c>
      <c r="G127" s="1481">
        <v>10279656</v>
      </c>
      <c r="H127" s="981">
        <v>15887.684999999998</v>
      </c>
      <c r="I127" s="1258">
        <v>5002552</v>
      </c>
      <c r="J127" s="1258">
        <v>10495312</v>
      </c>
      <c r="K127" s="981">
        <v>18291.424999999999</v>
      </c>
      <c r="L127" s="1258">
        <v>5745950</v>
      </c>
      <c r="M127" s="1258">
        <v>10634630.383240001</v>
      </c>
      <c r="N127" s="981">
        <v>20758.354961882749</v>
      </c>
      <c r="O127" s="1258">
        <v>8149749</v>
      </c>
      <c r="P127" s="1258">
        <v>13220296.837479999</v>
      </c>
      <c r="Q127" s="981">
        <v>20795.201000000139</v>
      </c>
      <c r="R127" s="1258">
        <v>8349215</v>
      </c>
      <c r="S127" s="1258">
        <v>14820683</v>
      </c>
      <c r="T127" s="981">
        <v>21237.264024</v>
      </c>
      <c r="U127" s="1495">
        <v>8728680</v>
      </c>
      <c r="V127" s="1495">
        <f>'F9'!M127</f>
        <v>14351477.199999999</v>
      </c>
      <c r="W127" s="981">
        <f>'F9'!N127</f>
        <v>21903.081000000006</v>
      </c>
      <c r="X127" s="1397">
        <f t="shared" si="4"/>
        <v>9.9389652435883047E-2</v>
      </c>
      <c r="Y127" s="1397">
        <f t="shared" si="5"/>
        <v>5.7029210170096212E-2</v>
      </c>
      <c r="Z127" s="1397">
        <f t="shared" si="6"/>
        <v>6.7192282928242308E-2</v>
      </c>
    </row>
    <row r="128" spans="2:26">
      <c r="B128" s="1369" t="s">
        <v>1446</v>
      </c>
      <c r="C128" s="1356"/>
      <c r="D128" s="1356"/>
      <c r="E128" s="1356"/>
      <c r="F128" s="1356"/>
      <c r="G128" s="1356"/>
      <c r="H128" s="1356"/>
      <c r="I128" s="1356"/>
      <c r="J128" s="1356"/>
      <c r="K128" s="1356"/>
      <c r="L128" s="1356"/>
      <c r="M128" s="1356"/>
      <c r="N128" s="1356"/>
      <c r="O128" s="1356"/>
      <c r="P128" s="1356"/>
      <c r="Q128" s="1356"/>
      <c r="R128" s="1356"/>
      <c r="S128" s="1356"/>
      <c r="T128" s="1356"/>
      <c r="U128" s="1356"/>
      <c r="V128" s="1356"/>
      <c r="W128" s="1356"/>
      <c r="X128" s="1356"/>
      <c r="Y128" s="1356"/>
      <c r="Z128" s="1356"/>
    </row>
  </sheetData>
  <mergeCells count="18">
    <mergeCell ref="I6:K6"/>
    <mergeCell ref="I7:K7"/>
    <mergeCell ref="L6:N6"/>
    <mergeCell ref="L7:N7"/>
    <mergeCell ref="A6:A8"/>
    <mergeCell ref="B6:B8"/>
    <mergeCell ref="C6:E6"/>
    <mergeCell ref="C7:E7"/>
    <mergeCell ref="F6:H6"/>
    <mergeCell ref="F7:H7"/>
    <mergeCell ref="AA6:AA7"/>
    <mergeCell ref="O7:Q7"/>
    <mergeCell ref="R7:T7"/>
    <mergeCell ref="U7:W7"/>
    <mergeCell ref="R6:T6"/>
    <mergeCell ref="O6:Q6"/>
    <mergeCell ref="U6:W6"/>
    <mergeCell ref="X6:Z7"/>
  </mergeCells>
  <pageMargins left="0.19685039370078741" right="0.19685039370078741" top="0.19685039370078741" bottom="0.19685039370078741" header="0.19685039370078741" footer="0.19685039370078741"/>
  <pageSetup paperSize="9" scale="40" orientation="landscape" r:id="rId1"/>
  <colBreaks count="1" manualBreakCount="1">
    <brk id="2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
  <sheetViews>
    <sheetView view="pageBreakPreview" zoomScaleSheetLayoutView="100" workbookViewId="0">
      <selection activeCell="C105" sqref="C105"/>
    </sheetView>
  </sheetViews>
  <sheetFormatPr defaultRowHeight="14.5"/>
  <cols>
    <col min="2" max="2" width="20" customWidth="1"/>
    <col min="3" max="3" width="24.1796875" customWidth="1"/>
    <col min="4" max="4" width="24.81640625" customWidth="1"/>
    <col min="5" max="5" width="29.7265625" customWidth="1"/>
    <col min="6" max="6" width="33.7265625" customWidth="1"/>
    <col min="7" max="7" width="32.26953125" bestFit="1" customWidth="1"/>
  </cols>
  <sheetData>
    <row r="2" spans="1:14" ht="18.5">
      <c r="B2" s="320" t="s">
        <v>1231</v>
      </c>
    </row>
    <row r="3" spans="1:14" ht="15.75" customHeight="1">
      <c r="C3" s="319"/>
      <c r="D3" s="319"/>
      <c r="E3" s="319"/>
      <c r="F3" s="319"/>
      <c r="G3" s="319"/>
    </row>
    <row r="4" spans="1:14" ht="28.5" customHeight="1">
      <c r="A4" s="3">
        <v>1</v>
      </c>
      <c r="B4" s="2986" t="s">
        <v>923</v>
      </c>
      <c r="C4" s="2986"/>
      <c r="D4" s="2986"/>
      <c r="E4" s="2986"/>
      <c r="F4" s="426"/>
      <c r="G4" s="426"/>
    </row>
    <row r="5" spans="1:14" ht="15.5">
      <c r="A5" s="3"/>
      <c r="B5" s="341" t="s">
        <v>567</v>
      </c>
      <c r="C5" s="342" t="s">
        <v>575</v>
      </c>
      <c r="D5" s="342" t="s">
        <v>550</v>
      </c>
      <c r="E5" s="342" t="s">
        <v>772</v>
      </c>
      <c r="F5" s="426"/>
      <c r="G5" s="426"/>
    </row>
    <row r="6" spans="1:14" ht="15.75" customHeight="1">
      <c r="A6" s="3"/>
      <c r="B6" s="1302" t="s">
        <v>773</v>
      </c>
      <c r="C6" s="2987" t="s">
        <v>774</v>
      </c>
      <c r="D6" s="2987"/>
      <c r="E6" s="2987"/>
      <c r="F6" s="426"/>
      <c r="G6" s="426"/>
    </row>
    <row r="7" spans="1:14" ht="38.25" customHeight="1">
      <c r="A7" s="3"/>
      <c r="B7" s="1302" t="s">
        <v>569</v>
      </c>
      <c r="C7" s="343" t="s">
        <v>775</v>
      </c>
      <c r="D7" s="343" t="s">
        <v>776</v>
      </c>
      <c r="E7" s="343" t="s">
        <v>545</v>
      </c>
      <c r="F7" s="426"/>
      <c r="G7" s="426"/>
    </row>
    <row r="8" spans="1:14" ht="54.75" customHeight="1">
      <c r="A8" s="3"/>
      <c r="B8" s="1302" t="s">
        <v>570</v>
      </c>
      <c r="C8" s="343" t="s">
        <v>776</v>
      </c>
      <c r="D8" s="343" t="s">
        <v>545</v>
      </c>
      <c r="E8" s="343" t="s">
        <v>546</v>
      </c>
      <c r="F8" s="426"/>
      <c r="G8" s="426"/>
    </row>
    <row r="9" spans="1:14" ht="15.5">
      <c r="A9" s="3"/>
      <c r="B9" s="1302" t="s">
        <v>571</v>
      </c>
      <c r="C9" s="343" t="s">
        <v>545</v>
      </c>
      <c r="D9" s="343" t="s">
        <v>546</v>
      </c>
      <c r="E9" s="343" t="s">
        <v>547</v>
      </c>
      <c r="F9" s="426"/>
      <c r="G9" s="426"/>
    </row>
    <row r="10" spans="1:14" ht="15.5">
      <c r="A10" s="3"/>
      <c r="B10" s="1302" t="s">
        <v>572</v>
      </c>
      <c r="C10" s="343" t="s">
        <v>546</v>
      </c>
      <c r="D10" s="343" t="s">
        <v>547</v>
      </c>
      <c r="E10" s="343" t="s">
        <v>548</v>
      </c>
      <c r="F10" s="426"/>
      <c r="G10" s="426"/>
    </row>
    <row r="11" spans="1:14" ht="15.5">
      <c r="A11" s="3"/>
      <c r="B11" s="1302" t="s">
        <v>573</v>
      </c>
      <c r="C11" s="343" t="s">
        <v>547</v>
      </c>
      <c r="D11" s="343" t="s">
        <v>548</v>
      </c>
      <c r="E11" s="343" t="s">
        <v>549</v>
      </c>
      <c r="F11" s="426"/>
      <c r="G11" s="426"/>
    </row>
    <row r="12" spans="1:14" ht="53.25" customHeight="1">
      <c r="A12" s="3"/>
      <c r="B12" s="2988" t="s">
        <v>777</v>
      </c>
      <c r="C12" s="2988"/>
      <c r="D12" s="2988"/>
      <c r="E12" s="2988"/>
      <c r="F12" s="426"/>
      <c r="G12" s="426"/>
    </row>
    <row r="13" spans="1:14" ht="39" customHeight="1">
      <c r="A13" s="1320">
        <v>2</v>
      </c>
      <c r="B13" s="2989" t="s">
        <v>960</v>
      </c>
      <c r="C13" s="2989"/>
      <c r="D13" s="2989"/>
      <c r="E13" s="2989"/>
      <c r="F13" s="426"/>
      <c r="G13" s="426"/>
      <c r="H13" s="215"/>
      <c r="I13" s="215"/>
      <c r="J13" s="215"/>
      <c r="K13" s="215"/>
      <c r="L13" s="215"/>
      <c r="M13" s="215"/>
      <c r="N13" s="215"/>
    </row>
    <row r="14" spans="1:14" ht="41.25" customHeight="1">
      <c r="A14" s="1320">
        <v>3</v>
      </c>
      <c r="B14" s="2989" t="s">
        <v>961</v>
      </c>
      <c r="C14" s="2989"/>
      <c r="D14" s="2989"/>
      <c r="E14" s="2989"/>
      <c r="F14" s="426"/>
      <c r="G14" s="426"/>
      <c r="H14" s="215"/>
      <c r="I14" s="215"/>
      <c r="J14" s="215"/>
      <c r="K14" s="215"/>
      <c r="L14" s="215"/>
      <c r="M14" s="215"/>
      <c r="N14" s="215"/>
    </row>
    <row r="15" spans="1:14" ht="39.75" customHeight="1">
      <c r="A15" s="1320">
        <v>4</v>
      </c>
      <c r="B15" s="2985" t="s">
        <v>962</v>
      </c>
      <c r="C15" s="2985"/>
      <c r="D15" s="2985"/>
      <c r="E15" s="2985"/>
      <c r="F15" s="584"/>
      <c r="G15" s="584"/>
      <c r="H15" s="584"/>
      <c r="I15" s="584"/>
      <c r="J15" s="584"/>
      <c r="K15" s="584"/>
      <c r="L15" s="584"/>
      <c r="M15" s="584"/>
      <c r="N15" s="585"/>
    </row>
    <row r="16" spans="1:14" ht="33.75" customHeight="1">
      <c r="A16" s="1320">
        <v>5</v>
      </c>
      <c r="B16" s="2985" t="s">
        <v>1232</v>
      </c>
      <c r="C16" s="2985"/>
      <c r="D16" s="2985"/>
      <c r="E16" s="2985"/>
      <c r="F16" s="586"/>
      <c r="G16" s="586"/>
      <c r="H16" s="586"/>
      <c r="I16" s="586"/>
      <c r="J16" s="585"/>
      <c r="K16" s="585"/>
      <c r="L16" s="585"/>
      <c r="M16" s="585"/>
      <c r="N16" s="585"/>
    </row>
    <row r="17" spans="1:14" ht="37.5" customHeight="1">
      <c r="A17" s="1320">
        <v>6</v>
      </c>
      <c r="B17" s="2985" t="s">
        <v>1233</v>
      </c>
      <c r="C17" s="2985"/>
      <c r="D17" s="2985"/>
      <c r="E17" s="2985"/>
      <c r="F17" s="586"/>
      <c r="G17" s="586"/>
      <c r="H17" s="586"/>
      <c r="I17" s="586"/>
      <c r="J17" s="585"/>
      <c r="K17" s="585"/>
      <c r="L17" s="585"/>
      <c r="M17" s="585"/>
      <c r="N17" s="585"/>
    </row>
    <row r="18" spans="1:14" ht="69.75" customHeight="1">
      <c r="A18" s="1320">
        <v>7</v>
      </c>
      <c r="B18" s="2985" t="s">
        <v>1250</v>
      </c>
      <c r="C18" s="2985"/>
      <c r="D18" s="2985"/>
      <c r="E18" s="2985"/>
      <c r="F18" s="585"/>
      <c r="G18" s="585"/>
      <c r="H18" s="585"/>
      <c r="I18" s="585"/>
      <c r="J18" s="585"/>
      <c r="K18" s="585"/>
      <c r="L18" s="585"/>
      <c r="M18" s="585"/>
      <c r="N18" s="585"/>
    </row>
  </sheetData>
  <mergeCells count="9">
    <mergeCell ref="B16:E16"/>
    <mergeCell ref="B17:E17"/>
    <mergeCell ref="B18:E18"/>
    <mergeCell ref="B15:E15"/>
    <mergeCell ref="B4:E4"/>
    <mergeCell ref="C6:E6"/>
    <mergeCell ref="B12:E12"/>
    <mergeCell ref="B13:E13"/>
    <mergeCell ref="B14:E14"/>
  </mergeCells>
  <printOptions horizontalCentered="1" verticalCentered="1"/>
  <pageMargins left="0.19685039370078741" right="0.19685039370078741" top="0.19685039370078741" bottom="0.19685039370078741" header="0.19685039370078741" footer="0.19685039370078741"/>
  <pageSetup paperSize="9" scale="8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view="pageBreakPreview" zoomScaleSheetLayoutView="100" workbookViewId="0">
      <selection activeCell="C105" sqref="C105"/>
    </sheetView>
  </sheetViews>
  <sheetFormatPr defaultRowHeight="14.5"/>
  <cols>
    <col min="1" max="1" width="4.1796875" style="4" bestFit="1" customWidth="1"/>
    <col min="2" max="2" width="79.453125" style="4" bestFit="1" customWidth="1"/>
    <col min="3" max="3" width="9" style="4" customWidth="1"/>
    <col min="4" max="5" width="10.453125" style="4" bestFit="1" customWidth="1"/>
    <col min="6" max="6" width="9.7265625" style="4" bestFit="1" customWidth="1"/>
    <col min="7" max="8" width="10.1796875" style="4" bestFit="1" customWidth="1"/>
    <col min="9" max="9" width="10.54296875" style="4" bestFit="1" customWidth="1"/>
    <col min="10" max="10" width="11.453125" style="4" bestFit="1" customWidth="1"/>
    <col min="11" max="251" width="9.1796875" style="4"/>
    <col min="252" max="252" width="5.453125" style="4" customWidth="1"/>
    <col min="253" max="253" width="42.1796875" style="4" customWidth="1"/>
    <col min="254" max="254" width="14.26953125" style="4" customWidth="1"/>
    <col min="255" max="255" width="13.81640625" style="4" customWidth="1"/>
    <col min="256" max="258" width="12.81640625" style="4" customWidth="1"/>
    <col min="259" max="259" width="14" style="4" customWidth="1"/>
    <col min="260" max="261" width="16" style="4" customWidth="1"/>
    <col min="262" max="262" width="15.7265625" style="4" customWidth="1"/>
    <col min="263" max="507" width="9.1796875" style="4"/>
    <col min="508" max="508" width="5.453125" style="4" customWidth="1"/>
    <col min="509" max="509" width="42.1796875" style="4" customWidth="1"/>
    <col min="510" max="510" width="14.26953125" style="4" customWidth="1"/>
    <col min="511" max="511" width="13.81640625" style="4" customWidth="1"/>
    <col min="512" max="514" width="12.81640625" style="4" customWidth="1"/>
    <col min="515" max="515" width="14" style="4" customWidth="1"/>
    <col min="516" max="517" width="16" style="4" customWidth="1"/>
    <col min="518" max="518" width="15.7265625" style="4" customWidth="1"/>
    <col min="519" max="763" width="9.1796875" style="4"/>
    <col min="764" max="764" width="5.453125" style="4" customWidth="1"/>
    <col min="765" max="765" width="42.1796875" style="4" customWidth="1"/>
    <col min="766" max="766" width="14.26953125" style="4" customWidth="1"/>
    <col min="767" max="767" width="13.81640625" style="4" customWidth="1"/>
    <col min="768" max="770" width="12.81640625" style="4" customWidth="1"/>
    <col min="771" max="771" width="14" style="4" customWidth="1"/>
    <col min="772" max="773" width="16" style="4" customWidth="1"/>
    <col min="774" max="774" width="15.7265625" style="4" customWidth="1"/>
    <col min="775" max="1019" width="9.1796875" style="4"/>
    <col min="1020" max="1020" width="5.453125" style="4" customWidth="1"/>
    <col min="1021" max="1021" width="42.1796875" style="4" customWidth="1"/>
    <col min="1022" max="1022" width="14.26953125" style="4" customWidth="1"/>
    <col min="1023" max="1023" width="13.81640625" style="4" customWidth="1"/>
    <col min="1024" max="1026" width="12.81640625" style="4" customWidth="1"/>
    <col min="1027" max="1027" width="14" style="4" customWidth="1"/>
    <col min="1028" max="1029" width="16" style="4" customWidth="1"/>
    <col min="1030" max="1030" width="15.7265625" style="4" customWidth="1"/>
    <col min="1031" max="1275" width="9.1796875" style="4"/>
    <col min="1276" max="1276" width="5.453125" style="4" customWidth="1"/>
    <col min="1277" max="1277" width="42.1796875" style="4" customWidth="1"/>
    <col min="1278" max="1278" width="14.26953125" style="4" customWidth="1"/>
    <col min="1279" max="1279" width="13.81640625" style="4" customWidth="1"/>
    <col min="1280" max="1282" width="12.81640625" style="4" customWidth="1"/>
    <col min="1283" max="1283" width="14" style="4" customWidth="1"/>
    <col min="1284" max="1285" width="16" style="4" customWidth="1"/>
    <col min="1286" max="1286" width="15.7265625" style="4" customWidth="1"/>
    <col min="1287" max="1531" width="9.1796875" style="4"/>
    <col min="1532" max="1532" width="5.453125" style="4" customWidth="1"/>
    <col min="1533" max="1533" width="42.1796875" style="4" customWidth="1"/>
    <col min="1534" max="1534" width="14.26953125" style="4" customWidth="1"/>
    <col min="1535" max="1535" width="13.81640625" style="4" customWidth="1"/>
    <col min="1536" max="1538" width="12.81640625" style="4" customWidth="1"/>
    <col min="1539" max="1539" width="14" style="4" customWidth="1"/>
    <col min="1540" max="1541" width="16" style="4" customWidth="1"/>
    <col min="1542" max="1542" width="15.7265625" style="4" customWidth="1"/>
    <col min="1543" max="1787" width="9.1796875" style="4"/>
    <col min="1788" max="1788" width="5.453125" style="4" customWidth="1"/>
    <col min="1789" max="1789" width="42.1796875" style="4" customWidth="1"/>
    <col min="1790" max="1790" width="14.26953125" style="4" customWidth="1"/>
    <col min="1791" max="1791" width="13.81640625" style="4" customWidth="1"/>
    <col min="1792" max="1794" width="12.81640625" style="4" customWidth="1"/>
    <col min="1795" max="1795" width="14" style="4" customWidth="1"/>
    <col min="1796" max="1797" width="16" style="4" customWidth="1"/>
    <col min="1798" max="1798" width="15.7265625" style="4" customWidth="1"/>
    <col min="1799" max="2043" width="9.1796875" style="4"/>
    <col min="2044" max="2044" width="5.453125" style="4" customWidth="1"/>
    <col min="2045" max="2045" width="42.1796875" style="4" customWidth="1"/>
    <col min="2046" max="2046" width="14.26953125" style="4" customWidth="1"/>
    <col min="2047" max="2047" width="13.81640625" style="4" customWidth="1"/>
    <col min="2048" max="2050" width="12.81640625" style="4" customWidth="1"/>
    <col min="2051" max="2051" width="14" style="4" customWidth="1"/>
    <col min="2052" max="2053" width="16" style="4" customWidth="1"/>
    <col min="2054" max="2054" width="15.7265625" style="4" customWidth="1"/>
    <col min="2055" max="2299" width="9.1796875" style="4"/>
    <col min="2300" max="2300" width="5.453125" style="4" customWidth="1"/>
    <col min="2301" max="2301" width="42.1796875" style="4" customWidth="1"/>
    <col min="2302" max="2302" width="14.26953125" style="4" customWidth="1"/>
    <col min="2303" max="2303" width="13.81640625" style="4" customWidth="1"/>
    <col min="2304" max="2306" width="12.81640625" style="4" customWidth="1"/>
    <col min="2307" max="2307" width="14" style="4" customWidth="1"/>
    <col min="2308" max="2309" width="16" style="4" customWidth="1"/>
    <col min="2310" max="2310" width="15.7265625" style="4" customWidth="1"/>
    <col min="2311" max="2555" width="9.1796875" style="4"/>
    <col min="2556" max="2556" width="5.453125" style="4" customWidth="1"/>
    <col min="2557" max="2557" width="42.1796875" style="4" customWidth="1"/>
    <col min="2558" max="2558" width="14.26953125" style="4" customWidth="1"/>
    <col min="2559" max="2559" width="13.81640625" style="4" customWidth="1"/>
    <col min="2560" max="2562" width="12.81640625" style="4" customWidth="1"/>
    <col min="2563" max="2563" width="14" style="4" customWidth="1"/>
    <col min="2564" max="2565" width="16" style="4" customWidth="1"/>
    <col min="2566" max="2566" width="15.7265625" style="4" customWidth="1"/>
    <col min="2567" max="2811" width="9.1796875" style="4"/>
    <col min="2812" max="2812" width="5.453125" style="4" customWidth="1"/>
    <col min="2813" max="2813" width="42.1796875" style="4" customWidth="1"/>
    <col min="2814" max="2814" width="14.26953125" style="4" customWidth="1"/>
    <col min="2815" max="2815" width="13.81640625" style="4" customWidth="1"/>
    <col min="2816" max="2818" width="12.81640625" style="4" customWidth="1"/>
    <col min="2819" max="2819" width="14" style="4" customWidth="1"/>
    <col min="2820" max="2821" width="16" style="4" customWidth="1"/>
    <col min="2822" max="2822" width="15.7265625" style="4" customWidth="1"/>
    <col min="2823" max="3067" width="9.1796875" style="4"/>
    <col min="3068" max="3068" width="5.453125" style="4" customWidth="1"/>
    <col min="3069" max="3069" width="42.1796875" style="4" customWidth="1"/>
    <col min="3070" max="3070" width="14.26953125" style="4" customWidth="1"/>
    <col min="3071" max="3071" width="13.81640625" style="4" customWidth="1"/>
    <col min="3072" max="3074" width="12.81640625" style="4" customWidth="1"/>
    <col min="3075" max="3075" width="14" style="4" customWidth="1"/>
    <col min="3076" max="3077" width="16" style="4" customWidth="1"/>
    <col min="3078" max="3078" width="15.7265625" style="4" customWidth="1"/>
    <col min="3079" max="3323" width="9.1796875" style="4"/>
    <col min="3324" max="3324" width="5.453125" style="4" customWidth="1"/>
    <col min="3325" max="3325" width="42.1796875" style="4" customWidth="1"/>
    <col min="3326" max="3326" width="14.26953125" style="4" customWidth="1"/>
    <col min="3327" max="3327" width="13.81640625" style="4" customWidth="1"/>
    <col min="3328" max="3330" width="12.81640625" style="4" customWidth="1"/>
    <col min="3331" max="3331" width="14" style="4" customWidth="1"/>
    <col min="3332" max="3333" width="16" style="4" customWidth="1"/>
    <col min="3334" max="3334" width="15.7265625" style="4" customWidth="1"/>
    <col min="3335" max="3579" width="9.1796875" style="4"/>
    <col min="3580" max="3580" width="5.453125" style="4" customWidth="1"/>
    <col min="3581" max="3581" width="42.1796875" style="4" customWidth="1"/>
    <col min="3582" max="3582" width="14.26953125" style="4" customWidth="1"/>
    <col min="3583" max="3583" width="13.81640625" style="4" customWidth="1"/>
    <col min="3584" max="3586" width="12.81640625" style="4" customWidth="1"/>
    <col min="3587" max="3587" width="14" style="4" customWidth="1"/>
    <col min="3588" max="3589" width="16" style="4" customWidth="1"/>
    <col min="3590" max="3590" width="15.7265625" style="4" customWidth="1"/>
    <col min="3591" max="3835" width="9.1796875" style="4"/>
    <col min="3836" max="3836" width="5.453125" style="4" customWidth="1"/>
    <col min="3837" max="3837" width="42.1796875" style="4" customWidth="1"/>
    <col min="3838" max="3838" width="14.26953125" style="4" customWidth="1"/>
    <col min="3839" max="3839" width="13.81640625" style="4" customWidth="1"/>
    <col min="3840" max="3842" width="12.81640625" style="4" customWidth="1"/>
    <col min="3843" max="3843" width="14" style="4" customWidth="1"/>
    <col min="3844" max="3845" width="16" style="4" customWidth="1"/>
    <col min="3846" max="3846" width="15.7265625" style="4" customWidth="1"/>
    <col min="3847" max="4091" width="9.1796875" style="4"/>
    <col min="4092" max="4092" width="5.453125" style="4" customWidth="1"/>
    <col min="4093" max="4093" width="42.1796875" style="4" customWidth="1"/>
    <col min="4094" max="4094" width="14.26953125" style="4" customWidth="1"/>
    <col min="4095" max="4095" width="13.81640625" style="4" customWidth="1"/>
    <col min="4096" max="4098" width="12.81640625" style="4" customWidth="1"/>
    <col min="4099" max="4099" width="14" style="4" customWidth="1"/>
    <col min="4100" max="4101" width="16" style="4" customWidth="1"/>
    <col min="4102" max="4102" width="15.7265625" style="4" customWidth="1"/>
    <col min="4103" max="4347" width="9.1796875" style="4"/>
    <col min="4348" max="4348" width="5.453125" style="4" customWidth="1"/>
    <col min="4349" max="4349" width="42.1796875" style="4" customWidth="1"/>
    <col min="4350" max="4350" width="14.26953125" style="4" customWidth="1"/>
    <col min="4351" max="4351" width="13.81640625" style="4" customWidth="1"/>
    <col min="4352" max="4354" width="12.81640625" style="4" customWidth="1"/>
    <col min="4355" max="4355" width="14" style="4" customWidth="1"/>
    <col min="4356" max="4357" width="16" style="4" customWidth="1"/>
    <col min="4358" max="4358" width="15.7265625" style="4" customWidth="1"/>
    <col min="4359" max="4603" width="9.1796875" style="4"/>
    <col min="4604" max="4604" width="5.453125" style="4" customWidth="1"/>
    <col min="4605" max="4605" width="42.1796875" style="4" customWidth="1"/>
    <col min="4606" max="4606" width="14.26953125" style="4" customWidth="1"/>
    <col min="4607" max="4607" width="13.81640625" style="4" customWidth="1"/>
    <col min="4608" max="4610" width="12.81640625" style="4" customWidth="1"/>
    <col min="4611" max="4611" width="14" style="4" customWidth="1"/>
    <col min="4612" max="4613" width="16" style="4" customWidth="1"/>
    <col min="4614" max="4614" width="15.7265625" style="4" customWidth="1"/>
    <col min="4615" max="4859" width="9.1796875" style="4"/>
    <col min="4860" max="4860" width="5.453125" style="4" customWidth="1"/>
    <col min="4861" max="4861" width="42.1796875" style="4" customWidth="1"/>
    <col min="4862" max="4862" width="14.26953125" style="4" customWidth="1"/>
    <col min="4863" max="4863" width="13.81640625" style="4" customWidth="1"/>
    <col min="4864" max="4866" width="12.81640625" style="4" customWidth="1"/>
    <col min="4867" max="4867" width="14" style="4" customWidth="1"/>
    <col min="4868" max="4869" width="16" style="4" customWidth="1"/>
    <col min="4870" max="4870" width="15.7265625" style="4" customWidth="1"/>
    <col min="4871" max="5115" width="9.1796875" style="4"/>
    <col min="5116" max="5116" width="5.453125" style="4" customWidth="1"/>
    <col min="5117" max="5117" width="42.1796875" style="4" customWidth="1"/>
    <col min="5118" max="5118" width="14.26953125" style="4" customWidth="1"/>
    <col min="5119" max="5119" width="13.81640625" style="4" customWidth="1"/>
    <col min="5120" max="5122" width="12.81640625" style="4" customWidth="1"/>
    <col min="5123" max="5123" width="14" style="4" customWidth="1"/>
    <col min="5124" max="5125" width="16" style="4" customWidth="1"/>
    <col min="5126" max="5126" width="15.7265625" style="4" customWidth="1"/>
    <col min="5127" max="5371" width="9.1796875" style="4"/>
    <col min="5372" max="5372" width="5.453125" style="4" customWidth="1"/>
    <col min="5373" max="5373" width="42.1796875" style="4" customWidth="1"/>
    <col min="5374" max="5374" width="14.26953125" style="4" customWidth="1"/>
    <col min="5375" max="5375" width="13.81640625" style="4" customWidth="1"/>
    <col min="5376" max="5378" width="12.81640625" style="4" customWidth="1"/>
    <col min="5379" max="5379" width="14" style="4" customWidth="1"/>
    <col min="5380" max="5381" width="16" style="4" customWidth="1"/>
    <col min="5382" max="5382" width="15.7265625" style="4" customWidth="1"/>
    <col min="5383" max="5627" width="9.1796875" style="4"/>
    <col min="5628" max="5628" width="5.453125" style="4" customWidth="1"/>
    <col min="5629" max="5629" width="42.1796875" style="4" customWidth="1"/>
    <col min="5630" max="5630" width="14.26953125" style="4" customWidth="1"/>
    <col min="5631" max="5631" width="13.81640625" style="4" customWidth="1"/>
    <col min="5632" max="5634" width="12.81640625" style="4" customWidth="1"/>
    <col min="5635" max="5635" width="14" style="4" customWidth="1"/>
    <col min="5636" max="5637" width="16" style="4" customWidth="1"/>
    <col min="5638" max="5638" width="15.7265625" style="4" customWidth="1"/>
    <col min="5639" max="5883" width="9.1796875" style="4"/>
    <col min="5884" max="5884" width="5.453125" style="4" customWidth="1"/>
    <col min="5885" max="5885" width="42.1796875" style="4" customWidth="1"/>
    <col min="5886" max="5886" width="14.26953125" style="4" customWidth="1"/>
    <col min="5887" max="5887" width="13.81640625" style="4" customWidth="1"/>
    <col min="5888" max="5890" width="12.81640625" style="4" customWidth="1"/>
    <col min="5891" max="5891" width="14" style="4" customWidth="1"/>
    <col min="5892" max="5893" width="16" style="4" customWidth="1"/>
    <col min="5894" max="5894" width="15.7265625" style="4" customWidth="1"/>
    <col min="5895" max="6139" width="9.1796875" style="4"/>
    <col min="6140" max="6140" width="5.453125" style="4" customWidth="1"/>
    <col min="6141" max="6141" width="42.1796875" style="4" customWidth="1"/>
    <col min="6142" max="6142" width="14.26953125" style="4" customWidth="1"/>
    <col min="6143" max="6143" width="13.81640625" style="4" customWidth="1"/>
    <col min="6144" max="6146" width="12.81640625" style="4" customWidth="1"/>
    <col min="6147" max="6147" width="14" style="4" customWidth="1"/>
    <col min="6148" max="6149" width="16" style="4" customWidth="1"/>
    <col min="6150" max="6150" width="15.7265625" style="4" customWidth="1"/>
    <col min="6151" max="6395" width="9.1796875" style="4"/>
    <col min="6396" max="6396" width="5.453125" style="4" customWidth="1"/>
    <col min="6397" max="6397" width="42.1796875" style="4" customWidth="1"/>
    <col min="6398" max="6398" width="14.26953125" style="4" customWidth="1"/>
    <col min="6399" max="6399" width="13.81640625" style="4" customWidth="1"/>
    <col min="6400" max="6402" width="12.81640625" style="4" customWidth="1"/>
    <col min="6403" max="6403" width="14" style="4" customWidth="1"/>
    <col min="6404" max="6405" width="16" style="4" customWidth="1"/>
    <col min="6406" max="6406" width="15.7265625" style="4" customWidth="1"/>
    <col min="6407" max="6651" width="9.1796875" style="4"/>
    <col min="6652" max="6652" width="5.453125" style="4" customWidth="1"/>
    <col min="6653" max="6653" width="42.1796875" style="4" customWidth="1"/>
    <col min="6654" max="6654" width="14.26953125" style="4" customWidth="1"/>
    <col min="6655" max="6655" width="13.81640625" style="4" customWidth="1"/>
    <col min="6656" max="6658" width="12.81640625" style="4" customWidth="1"/>
    <col min="6659" max="6659" width="14" style="4" customWidth="1"/>
    <col min="6660" max="6661" width="16" style="4" customWidth="1"/>
    <col min="6662" max="6662" width="15.7265625" style="4" customWidth="1"/>
    <col min="6663" max="6907" width="9.1796875" style="4"/>
    <col min="6908" max="6908" width="5.453125" style="4" customWidth="1"/>
    <col min="6909" max="6909" width="42.1796875" style="4" customWidth="1"/>
    <col min="6910" max="6910" width="14.26953125" style="4" customWidth="1"/>
    <col min="6911" max="6911" width="13.81640625" style="4" customWidth="1"/>
    <col min="6912" max="6914" width="12.81640625" style="4" customWidth="1"/>
    <col min="6915" max="6915" width="14" style="4" customWidth="1"/>
    <col min="6916" max="6917" width="16" style="4" customWidth="1"/>
    <col min="6918" max="6918" width="15.7265625" style="4" customWidth="1"/>
    <col min="6919" max="7163" width="9.1796875" style="4"/>
    <col min="7164" max="7164" width="5.453125" style="4" customWidth="1"/>
    <col min="7165" max="7165" width="42.1796875" style="4" customWidth="1"/>
    <col min="7166" max="7166" width="14.26953125" style="4" customWidth="1"/>
    <col min="7167" max="7167" width="13.81640625" style="4" customWidth="1"/>
    <col min="7168" max="7170" width="12.81640625" style="4" customWidth="1"/>
    <col min="7171" max="7171" width="14" style="4" customWidth="1"/>
    <col min="7172" max="7173" width="16" style="4" customWidth="1"/>
    <col min="7174" max="7174" width="15.7265625" style="4" customWidth="1"/>
    <col min="7175" max="7419" width="9.1796875" style="4"/>
    <col min="7420" max="7420" width="5.453125" style="4" customWidth="1"/>
    <col min="7421" max="7421" width="42.1796875" style="4" customWidth="1"/>
    <col min="7422" max="7422" width="14.26953125" style="4" customWidth="1"/>
    <col min="7423" max="7423" width="13.81640625" style="4" customWidth="1"/>
    <col min="7424" max="7426" width="12.81640625" style="4" customWidth="1"/>
    <col min="7427" max="7427" width="14" style="4" customWidth="1"/>
    <col min="7428" max="7429" width="16" style="4" customWidth="1"/>
    <col min="7430" max="7430" width="15.7265625" style="4" customWidth="1"/>
    <col min="7431" max="7675" width="9.1796875" style="4"/>
    <col min="7676" max="7676" width="5.453125" style="4" customWidth="1"/>
    <col min="7677" max="7677" width="42.1796875" style="4" customWidth="1"/>
    <col min="7678" max="7678" width="14.26953125" style="4" customWidth="1"/>
    <col min="7679" max="7679" width="13.81640625" style="4" customWidth="1"/>
    <col min="7680" max="7682" width="12.81640625" style="4" customWidth="1"/>
    <col min="7683" max="7683" width="14" style="4" customWidth="1"/>
    <col min="7684" max="7685" width="16" style="4" customWidth="1"/>
    <col min="7686" max="7686" width="15.7265625" style="4" customWidth="1"/>
    <col min="7687" max="7931" width="9.1796875" style="4"/>
    <col min="7932" max="7932" width="5.453125" style="4" customWidth="1"/>
    <col min="7933" max="7933" width="42.1796875" style="4" customWidth="1"/>
    <col min="7934" max="7934" width="14.26953125" style="4" customWidth="1"/>
    <col min="7935" max="7935" width="13.81640625" style="4" customWidth="1"/>
    <col min="7936" max="7938" width="12.81640625" style="4" customWidth="1"/>
    <col min="7939" max="7939" width="14" style="4" customWidth="1"/>
    <col min="7940" max="7941" width="16" style="4" customWidth="1"/>
    <col min="7942" max="7942" width="15.7265625" style="4" customWidth="1"/>
    <col min="7943" max="8187" width="9.1796875" style="4"/>
    <col min="8188" max="8188" width="5.453125" style="4" customWidth="1"/>
    <col min="8189" max="8189" width="42.1796875" style="4" customWidth="1"/>
    <col min="8190" max="8190" width="14.26953125" style="4" customWidth="1"/>
    <col min="8191" max="8191" width="13.81640625" style="4" customWidth="1"/>
    <col min="8192" max="8194" width="12.81640625" style="4" customWidth="1"/>
    <col min="8195" max="8195" width="14" style="4" customWidth="1"/>
    <col min="8196" max="8197" width="16" style="4" customWidth="1"/>
    <col min="8198" max="8198" width="15.7265625" style="4" customWidth="1"/>
    <col min="8199" max="8443" width="9.1796875" style="4"/>
    <col min="8444" max="8444" width="5.453125" style="4" customWidth="1"/>
    <col min="8445" max="8445" width="42.1796875" style="4" customWidth="1"/>
    <col min="8446" max="8446" width="14.26953125" style="4" customWidth="1"/>
    <col min="8447" max="8447" width="13.81640625" style="4" customWidth="1"/>
    <col min="8448" max="8450" width="12.81640625" style="4" customWidth="1"/>
    <col min="8451" max="8451" width="14" style="4" customWidth="1"/>
    <col min="8452" max="8453" width="16" style="4" customWidth="1"/>
    <col min="8454" max="8454" width="15.7265625" style="4" customWidth="1"/>
    <col min="8455" max="8699" width="9.1796875" style="4"/>
    <col min="8700" max="8700" width="5.453125" style="4" customWidth="1"/>
    <col min="8701" max="8701" width="42.1796875" style="4" customWidth="1"/>
    <col min="8702" max="8702" width="14.26953125" style="4" customWidth="1"/>
    <col min="8703" max="8703" width="13.81640625" style="4" customWidth="1"/>
    <col min="8704" max="8706" width="12.81640625" style="4" customWidth="1"/>
    <col min="8707" max="8707" width="14" style="4" customWidth="1"/>
    <col min="8708" max="8709" width="16" style="4" customWidth="1"/>
    <col min="8710" max="8710" width="15.7265625" style="4" customWidth="1"/>
    <col min="8711" max="8955" width="9.1796875" style="4"/>
    <col min="8956" max="8956" width="5.453125" style="4" customWidth="1"/>
    <col min="8957" max="8957" width="42.1796875" style="4" customWidth="1"/>
    <col min="8958" max="8958" width="14.26953125" style="4" customWidth="1"/>
    <col min="8959" max="8959" width="13.81640625" style="4" customWidth="1"/>
    <col min="8960" max="8962" width="12.81640625" style="4" customWidth="1"/>
    <col min="8963" max="8963" width="14" style="4" customWidth="1"/>
    <col min="8964" max="8965" width="16" style="4" customWidth="1"/>
    <col min="8966" max="8966" width="15.7265625" style="4" customWidth="1"/>
    <col min="8967" max="9211" width="9.1796875" style="4"/>
    <col min="9212" max="9212" width="5.453125" style="4" customWidth="1"/>
    <col min="9213" max="9213" width="42.1796875" style="4" customWidth="1"/>
    <col min="9214" max="9214" width="14.26953125" style="4" customWidth="1"/>
    <col min="9215" max="9215" width="13.81640625" style="4" customWidth="1"/>
    <col min="9216" max="9218" width="12.81640625" style="4" customWidth="1"/>
    <col min="9219" max="9219" width="14" style="4" customWidth="1"/>
    <col min="9220" max="9221" width="16" style="4" customWidth="1"/>
    <col min="9222" max="9222" width="15.7265625" style="4" customWidth="1"/>
    <col min="9223" max="9467" width="9.1796875" style="4"/>
    <col min="9468" max="9468" width="5.453125" style="4" customWidth="1"/>
    <col min="9469" max="9469" width="42.1796875" style="4" customWidth="1"/>
    <col min="9470" max="9470" width="14.26953125" style="4" customWidth="1"/>
    <col min="9471" max="9471" width="13.81640625" style="4" customWidth="1"/>
    <col min="9472" max="9474" width="12.81640625" style="4" customWidth="1"/>
    <col min="9475" max="9475" width="14" style="4" customWidth="1"/>
    <col min="9476" max="9477" width="16" style="4" customWidth="1"/>
    <col min="9478" max="9478" width="15.7265625" style="4" customWidth="1"/>
    <col min="9479" max="9723" width="9.1796875" style="4"/>
    <col min="9724" max="9724" width="5.453125" style="4" customWidth="1"/>
    <col min="9725" max="9725" width="42.1796875" style="4" customWidth="1"/>
    <col min="9726" max="9726" width="14.26953125" style="4" customWidth="1"/>
    <col min="9727" max="9727" width="13.81640625" style="4" customWidth="1"/>
    <col min="9728" max="9730" width="12.81640625" style="4" customWidth="1"/>
    <col min="9731" max="9731" width="14" style="4" customWidth="1"/>
    <col min="9732" max="9733" width="16" style="4" customWidth="1"/>
    <col min="9734" max="9734" width="15.7265625" style="4" customWidth="1"/>
    <col min="9735" max="9979" width="9.1796875" style="4"/>
    <col min="9980" max="9980" width="5.453125" style="4" customWidth="1"/>
    <col min="9981" max="9981" width="42.1796875" style="4" customWidth="1"/>
    <col min="9982" max="9982" width="14.26953125" style="4" customWidth="1"/>
    <col min="9983" max="9983" width="13.81640625" style="4" customWidth="1"/>
    <col min="9984" max="9986" width="12.81640625" style="4" customWidth="1"/>
    <col min="9987" max="9987" width="14" style="4" customWidth="1"/>
    <col min="9988" max="9989" width="16" style="4" customWidth="1"/>
    <col min="9990" max="9990" width="15.7265625" style="4" customWidth="1"/>
    <col min="9991" max="10235" width="9.1796875" style="4"/>
    <col min="10236" max="10236" width="5.453125" style="4" customWidth="1"/>
    <col min="10237" max="10237" width="42.1796875" style="4" customWidth="1"/>
    <col min="10238" max="10238" width="14.26953125" style="4" customWidth="1"/>
    <col min="10239" max="10239" width="13.81640625" style="4" customWidth="1"/>
    <col min="10240" max="10242" width="12.81640625" style="4" customWidth="1"/>
    <col min="10243" max="10243" width="14" style="4" customWidth="1"/>
    <col min="10244" max="10245" width="16" style="4" customWidth="1"/>
    <col min="10246" max="10246" width="15.7265625" style="4" customWidth="1"/>
    <col min="10247" max="10491" width="9.1796875" style="4"/>
    <col min="10492" max="10492" width="5.453125" style="4" customWidth="1"/>
    <col min="10493" max="10493" width="42.1796875" style="4" customWidth="1"/>
    <col min="10494" max="10494" width="14.26953125" style="4" customWidth="1"/>
    <col min="10495" max="10495" width="13.81640625" style="4" customWidth="1"/>
    <col min="10496" max="10498" width="12.81640625" style="4" customWidth="1"/>
    <col min="10499" max="10499" width="14" style="4" customWidth="1"/>
    <col min="10500" max="10501" width="16" style="4" customWidth="1"/>
    <col min="10502" max="10502" width="15.7265625" style="4" customWidth="1"/>
    <col min="10503" max="10747" width="9.1796875" style="4"/>
    <col min="10748" max="10748" width="5.453125" style="4" customWidth="1"/>
    <col min="10749" max="10749" width="42.1796875" style="4" customWidth="1"/>
    <col min="10750" max="10750" width="14.26953125" style="4" customWidth="1"/>
    <col min="10751" max="10751" width="13.81640625" style="4" customWidth="1"/>
    <col min="10752" max="10754" width="12.81640625" style="4" customWidth="1"/>
    <col min="10755" max="10755" width="14" style="4" customWidth="1"/>
    <col min="10756" max="10757" width="16" style="4" customWidth="1"/>
    <col min="10758" max="10758" width="15.7265625" style="4" customWidth="1"/>
    <col min="10759" max="11003" width="9.1796875" style="4"/>
    <col min="11004" max="11004" width="5.453125" style="4" customWidth="1"/>
    <col min="11005" max="11005" width="42.1796875" style="4" customWidth="1"/>
    <col min="11006" max="11006" width="14.26953125" style="4" customWidth="1"/>
    <col min="11007" max="11007" width="13.81640625" style="4" customWidth="1"/>
    <col min="11008" max="11010" width="12.81640625" style="4" customWidth="1"/>
    <col min="11011" max="11011" width="14" style="4" customWidth="1"/>
    <col min="11012" max="11013" width="16" style="4" customWidth="1"/>
    <col min="11014" max="11014" width="15.7265625" style="4" customWidth="1"/>
    <col min="11015" max="11259" width="9.1796875" style="4"/>
    <col min="11260" max="11260" width="5.453125" style="4" customWidth="1"/>
    <col min="11261" max="11261" width="42.1796875" style="4" customWidth="1"/>
    <col min="11262" max="11262" width="14.26953125" style="4" customWidth="1"/>
    <col min="11263" max="11263" width="13.81640625" style="4" customWidth="1"/>
    <col min="11264" max="11266" width="12.81640625" style="4" customWidth="1"/>
    <col min="11267" max="11267" width="14" style="4" customWidth="1"/>
    <col min="11268" max="11269" width="16" style="4" customWidth="1"/>
    <col min="11270" max="11270" width="15.7265625" style="4" customWidth="1"/>
    <col min="11271" max="11515" width="9.1796875" style="4"/>
    <col min="11516" max="11516" width="5.453125" style="4" customWidth="1"/>
    <col min="11517" max="11517" width="42.1796875" style="4" customWidth="1"/>
    <col min="11518" max="11518" width="14.26953125" style="4" customWidth="1"/>
    <col min="11519" max="11519" width="13.81640625" style="4" customWidth="1"/>
    <col min="11520" max="11522" width="12.81640625" style="4" customWidth="1"/>
    <col min="11523" max="11523" width="14" style="4" customWidth="1"/>
    <col min="11524" max="11525" width="16" style="4" customWidth="1"/>
    <col min="11526" max="11526" width="15.7265625" style="4" customWidth="1"/>
    <col min="11527" max="11771" width="9.1796875" style="4"/>
    <col min="11772" max="11772" width="5.453125" style="4" customWidth="1"/>
    <col min="11773" max="11773" width="42.1796875" style="4" customWidth="1"/>
    <col min="11774" max="11774" width="14.26953125" style="4" customWidth="1"/>
    <col min="11775" max="11775" width="13.81640625" style="4" customWidth="1"/>
    <col min="11776" max="11778" width="12.81640625" style="4" customWidth="1"/>
    <col min="11779" max="11779" width="14" style="4" customWidth="1"/>
    <col min="11780" max="11781" width="16" style="4" customWidth="1"/>
    <col min="11782" max="11782" width="15.7265625" style="4" customWidth="1"/>
    <col min="11783" max="12027" width="9.1796875" style="4"/>
    <col min="12028" max="12028" width="5.453125" style="4" customWidth="1"/>
    <col min="12029" max="12029" width="42.1796875" style="4" customWidth="1"/>
    <col min="12030" max="12030" width="14.26953125" style="4" customWidth="1"/>
    <col min="12031" max="12031" width="13.81640625" style="4" customWidth="1"/>
    <col min="12032" max="12034" width="12.81640625" style="4" customWidth="1"/>
    <col min="12035" max="12035" width="14" style="4" customWidth="1"/>
    <col min="12036" max="12037" width="16" style="4" customWidth="1"/>
    <col min="12038" max="12038" width="15.7265625" style="4" customWidth="1"/>
    <col min="12039" max="12283" width="9.1796875" style="4"/>
    <col min="12284" max="12284" width="5.453125" style="4" customWidth="1"/>
    <col min="12285" max="12285" width="42.1796875" style="4" customWidth="1"/>
    <col min="12286" max="12286" width="14.26953125" style="4" customWidth="1"/>
    <col min="12287" max="12287" width="13.81640625" style="4" customWidth="1"/>
    <col min="12288" max="12290" width="12.81640625" style="4" customWidth="1"/>
    <col min="12291" max="12291" width="14" style="4" customWidth="1"/>
    <col min="12292" max="12293" width="16" style="4" customWidth="1"/>
    <col min="12294" max="12294" width="15.7265625" style="4" customWidth="1"/>
    <col min="12295" max="12539" width="9.1796875" style="4"/>
    <col min="12540" max="12540" width="5.453125" style="4" customWidth="1"/>
    <col min="12541" max="12541" width="42.1796875" style="4" customWidth="1"/>
    <col min="12542" max="12542" width="14.26953125" style="4" customWidth="1"/>
    <col min="12543" max="12543" width="13.81640625" style="4" customWidth="1"/>
    <col min="12544" max="12546" width="12.81640625" style="4" customWidth="1"/>
    <col min="12547" max="12547" width="14" style="4" customWidth="1"/>
    <col min="12548" max="12549" width="16" style="4" customWidth="1"/>
    <col min="12550" max="12550" width="15.7265625" style="4" customWidth="1"/>
    <col min="12551" max="12795" width="9.1796875" style="4"/>
    <col min="12796" max="12796" width="5.453125" style="4" customWidth="1"/>
    <col min="12797" max="12797" width="42.1796875" style="4" customWidth="1"/>
    <col min="12798" max="12798" width="14.26953125" style="4" customWidth="1"/>
    <col min="12799" max="12799" width="13.81640625" style="4" customWidth="1"/>
    <col min="12800" max="12802" width="12.81640625" style="4" customWidth="1"/>
    <col min="12803" max="12803" width="14" style="4" customWidth="1"/>
    <col min="12804" max="12805" width="16" style="4" customWidth="1"/>
    <col min="12806" max="12806" width="15.7265625" style="4" customWidth="1"/>
    <col min="12807" max="13051" width="9.1796875" style="4"/>
    <col min="13052" max="13052" width="5.453125" style="4" customWidth="1"/>
    <col min="13053" max="13053" width="42.1796875" style="4" customWidth="1"/>
    <col min="13054" max="13054" width="14.26953125" style="4" customWidth="1"/>
    <col min="13055" max="13055" width="13.81640625" style="4" customWidth="1"/>
    <col min="13056" max="13058" width="12.81640625" style="4" customWidth="1"/>
    <col min="13059" max="13059" width="14" style="4" customWidth="1"/>
    <col min="13060" max="13061" width="16" style="4" customWidth="1"/>
    <col min="13062" max="13062" width="15.7265625" style="4" customWidth="1"/>
    <col min="13063" max="13307" width="9.1796875" style="4"/>
    <col min="13308" max="13308" width="5.453125" style="4" customWidth="1"/>
    <col min="13309" max="13309" width="42.1796875" style="4" customWidth="1"/>
    <col min="13310" max="13310" width="14.26953125" style="4" customWidth="1"/>
    <col min="13311" max="13311" width="13.81640625" style="4" customWidth="1"/>
    <col min="13312" max="13314" width="12.81640625" style="4" customWidth="1"/>
    <col min="13315" max="13315" width="14" style="4" customWidth="1"/>
    <col min="13316" max="13317" width="16" style="4" customWidth="1"/>
    <col min="13318" max="13318" width="15.7265625" style="4" customWidth="1"/>
    <col min="13319" max="13563" width="9.1796875" style="4"/>
    <col min="13564" max="13564" width="5.453125" style="4" customWidth="1"/>
    <col min="13565" max="13565" width="42.1796875" style="4" customWidth="1"/>
    <col min="13566" max="13566" width="14.26953125" style="4" customWidth="1"/>
    <col min="13567" max="13567" width="13.81640625" style="4" customWidth="1"/>
    <col min="13568" max="13570" width="12.81640625" style="4" customWidth="1"/>
    <col min="13571" max="13571" width="14" style="4" customWidth="1"/>
    <col min="13572" max="13573" width="16" style="4" customWidth="1"/>
    <col min="13574" max="13574" width="15.7265625" style="4" customWidth="1"/>
    <col min="13575" max="13819" width="9.1796875" style="4"/>
    <col min="13820" max="13820" width="5.453125" style="4" customWidth="1"/>
    <col min="13821" max="13821" width="42.1796875" style="4" customWidth="1"/>
    <col min="13822" max="13822" width="14.26953125" style="4" customWidth="1"/>
    <col min="13823" max="13823" width="13.81640625" style="4" customWidth="1"/>
    <col min="13824" max="13826" width="12.81640625" style="4" customWidth="1"/>
    <col min="13827" max="13827" width="14" style="4" customWidth="1"/>
    <col min="13828" max="13829" width="16" style="4" customWidth="1"/>
    <col min="13830" max="13830" width="15.7265625" style="4" customWidth="1"/>
    <col min="13831" max="14075" width="9.1796875" style="4"/>
    <col min="14076" max="14076" width="5.453125" style="4" customWidth="1"/>
    <col min="14077" max="14077" width="42.1796875" style="4" customWidth="1"/>
    <col min="14078" max="14078" width="14.26953125" style="4" customWidth="1"/>
    <col min="14079" max="14079" width="13.81640625" style="4" customWidth="1"/>
    <col min="14080" max="14082" width="12.81640625" style="4" customWidth="1"/>
    <col min="14083" max="14083" width="14" style="4" customWidth="1"/>
    <col min="14084" max="14085" width="16" style="4" customWidth="1"/>
    <col min="14086" max="14086" width="15.7265625" style="4" customWidth="1"/>
    <col min="14087" max="14331" width="9.1796875" style="4"/>
    <col min="14332" max="14332" width="5.453125" style="4" customWidth="1"/>
    <col min="14333" max="14333" width="42.1796875" style="4" customWidth="1"/>
    <col min="14334" max="14334" width="14.26953125" style="4" customWidth="1"/>
    <col min="14335" max="14335" width="13.81640625" style="4" customWidth="1"/>
    <col min="14336" max="14338" width="12.81640625" style="4" customWidth="1"/>
    <col min="14339" max="14339" width="14" style="4" customWidth="1"/>
    <col min="14340" max="14341" width="16" style="4" customWidth="1"/>
    <col min="14342" max="14342" width="15.7265625" style="4" customWidth="1"/>
    <col min="14343" max="14587" width="9.1796875" style="4"/>
    <col min="14588" max="14588" width="5.453125" style="4" customWidth="1"/>
    <col min="14589" max="14589" width="42.1796875" style="4" customWidth="1"/>
    <col min="14590" max="14590" width="14.26953125" style="4" customWidth="1"/>
    <col min="14591" max="14591" width="13.81640625" style="4" customWidth="1"/>
    <col min="14592" max="14594" width="12.81640625" style="4" customWidth="1"/>
    <col min="14595" max="14595" width="14" style="4" customWidth="1"/>
    <col min="14596" max="14597" width="16" style="4" customWidth="1"/>
    <col min="14598" max="14598" width="15.7265625" style="4" customWidth="1"/>
    <col min="14599" max="14843" width="9.1796875" style="4"/>
    <col min="14844" max="14844" width="5.453125" style="4" customWidth="1"/>
    <col min="14845" max="14845" width="42.1796875" style="4" customWidth="1"/>
    <col min="14846" max="14846" width="14.26953125" style="4" customWidth="1"/>
    <col min="14847" max="14847" width="13.81640625" style="4" customWidth="1"/>
    <col min="14848" max="14850" width="12.81640625" style="4" customWidth="1"/>
    <col min="14851" max="14851" width="14" style="4" customWidth="1"/>
    <col min="14852" max="14853" width="16" style="4" customWidth="1"/>
    <col min="14854" max="14854" width="15.7265625" style="4" customWidth="1"/>
    <col min="14855" max="15099" width="9.1796875" style="4"/>
    <col min="15100" max="15100" width="5.453125" style="4" customWidth="1"/>
    <col min="15101" max="15101" width="42.1796875" style="4" customWidth="1"/>
    <col min="15102" max="15102" width="14.26953125" style="4" customWidth="1"/>
    <col min="15103" max="15103" width="13.81640625" style="4" customWidth="1"/>
    <col min="15104" max="15106" width="12.81640625" style="4" customWidth="1"/>
    <col min="15107" max="15107" width="14" style="4" customWidth="1"/>
    <col min="15108" max="15109" width="16" style="4" customWidth="1"/>
    <col min="15110" max="15110" width="15.7265625" style="4" customWidth="1"/>
    <col min="15111" max="15355" width="9.1796875" style="4"/>
    <col min="15356" max="15356" width="5.453125" style="4" customWidth="1"/>
    <col min="15357" max="15357" width="42.1796875" style="4" customWidth="1"/>
    <col min="15358" max="15358" width="14.26953125" style="4" customWidth="1"/>
    <col min="15359" max="15359" width="13.81640625" style="4" customWidth="1"/>
    <col min="15360" max="15362" width="12.81640625" style="4" customWidth="1"/>
    <col min="15363" max="15363" width="14" style="4" customWidth="1"/>
    <col min="15364" max="15365" width="16" style="4" customWidth="1"/>
    <col min="15366" max="15366" width="15.7265625" style="4" customWidth="1"/>
    <col min="15367" max="15611" width="9.1796875" style="4"/>
    <col min="15612" max="15612" width="5.453125" style="4" customWidth="1"/>
    <col min="15613" max="15613" width="42.1796875" style="4" customWidth="1"/>
    <col min="15614" max="15614" width="14.26953125" style="4" customWidth="1"/>
    <col min="15615" max="15615" width="13.81640625" style="4" customWidth="1"/>
    <col min="15616" max="15618" width="12.81640625" style="4" customWidth="1"/>
    <col min="15619" max="15619" width="14" style="4" customWidth="1"/>
    <col min="15620" max="15621" width="16" style="4" customWidth="1"/>
    <col min="15622" max="15622" width="15.7265625" style="4" customWidth="1"/>
    <col min="15623" max="15867" width="9.1796875" style="4"/>
    <col min="15868" max="15868" width="5.453125" style="4" customWidth="1"/>
    <col min="15869" max="15869" width="42.1796875" style="4" customWidth="1"/>
    <col min="15870" max="15870" width="14.26953125" style="4" customWidth="1"/>
    <col min="15871" max="15871" width="13.81640625" style="4" customWidth="1"/>
    <col min="15872" max="15874" width="12.81640625" style="4" customWidth="1"/>
    <col min="15875" max="15875" width="14" style="4" customWidth="1"/>
    <col min="15876" max="15877" width="16" style="4" customWidth="1"/>
    <col min="15878" max="15878" width="15.7265625" style="4" customWidth="1"/>
    <col min="15879" max="16123" width="9.1796875" style="4"/>
    <col min="16124" max="16124" width="5.453125" style="4" customWidth="1"/>
    <col min="16125" max="16125" width="42.1796875" style="4" customWidth="1"/>
    <col min="16126" max="16126" width="14.26953125" style="4" customWidth="1"/>
    <col min="16127" max="16127" width="13.81640625" style="4" customWidth="1"/>
    <col min="16128" max="16130" width="12.81640625" style="4" customWidth="1"/>
    <col min="16131" max="16131" width="14" style="4" customWidth="1"/>
    <col min="16132" max="16133" width="16" style="4" customWidth="1"/>
    <col min="16134" max="16134" width="15.7265625" style="4" customWidth="1"/>
    <col min="16135" max="16384" width="9.1796875" style="4"/>
  </cols>
  <sheetData>
    <row r="1" spans="1:10" s="229" customFormat="1">
      <c r="A1" s="307" t="s">
        <v>502</v>
      </c>
      <c r="B1" s="307" t="s">
        <v>502</v>
      </c>
    </row>
    <row r="2" spans="1:10">
      <c r="A2" s="344" t="str">
        <f>'F9'!A2</f>
        <v>Name of Distribution Licensee: PUVVNL</v>
      </c>
      <c r="B2" s="344" t="str">
        <f>'F9'!B2</f>
        <v>Name of Distribution Licensee: PUVVNL</v>
      </c>
      <c r="C2" s="344"/>
      <c r="D2" s="344"/>
      <c r="E2" s="344"/>
      <c r="F2" s="344"/>
      <c r="G2" s="344"/>
      <c r="H2" s="344"/>
    </row>
    <row r="3" spans="1:10" ht="15" customHeight="1">
      <c r="A3" s="304" t="s">
        <v>521</v>
      </c>
      <c r="B3" s="304" t="s">
        <v>521</v>
      </c>
      <c r="C3" s="304"/>
      <c r="D3" s="304"/>
      <c r="E3" s="304"/>
      <c r="F3" s="304"/>
      <c r="G3" s="304"/>
      <c r="H3" s="304"/>
      <c r="I3" s="304"/>
      <c r="J3" s="304"/>
    </row>
    <row r="4" spans="1:10">
      <c r="G4" s="3061"/>
      <c r="H4" s="3061"/>
      <c r="I4" s="3061" t="s">
        <v>186</v>
      </c>
      <c r="J4" s="3061"/>
    </row>
    <row r="5" spans="1:10" ht="15" customHeight="1">
      <c r="A5" s="3029" t="s">
        <v>1276</v>
      </c>
      <c r="B5" s="3029" t="s">
        <v>14</v>
      </c>
      <c r="C5" s="3029" t="s">
        <v>290</v>
      </c>
      <c r="D5" s="2994" t="s">
        <v>558</v>
      </c>
      <c r="E5" s="2994"/>
      <c r="F5" s="3026" t="s">
        <v>542</v>
      </c>
      <c r="G5" s="3026"/>
      <c r="H5" s="3026"/>
      <c r="I5" s="194" t="s">
        <v>550</v>
      </c>
      <c r="J5" s="920" t="s">
        <v>952</v>
      </c>
    </row>
    <row r="6" spans="1:10" ht="15" customHeight="1">
      <c r="A6" s="3079"/>
      <c r="B6" s="3030"/>
      <c r="C6" s="3030"/>
      <c r="D6" s="193" t="s">
        <v>553</v>
      </c>
      <c r="E6" s="921" t="s">
        <v>551</v>
      </c>
      <c r="F6" s="3018" t="s">
        <v>545</v>
      </c>
      <c r="G6" s="3019"/>
      <c r="H6" s="3022"/>
      <c r="I6" s="193" t="s">
        <v>546</v>
      </c>
      <c r="J6" s="193" t="s">
        <v>547</v>
      </c>
    </row>
    <row r="7" spans="1:10" ht="29">
      <c r="A7" s="3079"/>
      <c r="B7" s="3089"/>
      <c r="C7" s="3030"/>
      <c r="D7" s="598" t="s">
        <v>554</v>
      </c>
      <c r="E7" s="193" t="s">
        <v>554</v>
      </c>
      <c r="F7" s="196" t="s">
        <v>543</v>
      </c>
      <c r="G7" s="599" t="s">
        <v>281</v>
      </c>
      <c r="H7" s="599" t="s">
        <v>544</v>
      </c>
      <c r="I7" s="200" t="s">
        <v>552</v>
      </c>
      <c r="J7" s="200" t="s">
        <v>283</v>
      </c>
    </row>
    <row r="8" spans="1:10">
      <c r="A8" s="1401">
        <v>1</v>
      </c>
      <c r="B8" s="1402" t="s">
        <v>1448</v>
      </c>
      <c r="C8" s="1364"/>
      <c r="D8" s="1055"/>
      <c r="E8" s="1055"/>
      <c r="F8" s="1055"/>
      <c r="G8" s="1055"/>
      <c r="H8" s="1055"/>
      <c r="I8" s="1055">
        <v>1536.0387820940848</v>
      </c>
      <c r="J8" s="1055">
        <v>1733.4595125987892</v>
      </c>
    </row>
    <row r="9" spans="1:10">
      <c r="A9" s="1401">
        <v>2</v>
      </c>
      <c r="B9" s="1402" t="s">
        <v>1044</v>
      </c>
      <c r="C9" s="1403"/>
      <c r="D9" s="1055"/>
      <c r="E9" s="1055"/>
      <c r="F9" s="1055"/>
      <c r="G9" s="1055"/>
      <c r="H9" s="1055"/>
      <c r="I9" s="1055">
        <v>467.41707000000002</v>
      </c>
      <c r="J9" s="1055">
        <v>217.59070500000004</v>
      </c>
    </row>
    <row r="10" spans="1:10">
      <c r="A10" s="1401">
        <v>3</v>
      </c>
      <c r="B10" s="1402" t="s">
        <v>1045</v>
      </c>
      <c r="C10" s="1404"/>
      <c r="D10" s="1055"/>
      <c r="E10" s="1055"/>
      <c r="F10" s="1055"/>
      <c r="G10" s="1055"/>
      <c r="H10" s="1055"/>
      <c r="I10" s="1055">
        <v>1062.9711158815762</v>
      </c>
      <c r="J10" s="1055">
        <v>1004.4745155671153</v>
      </c>
    </row>
    <row r="11" spans="1:10">
      <c r="A11" s="1405"/>
      <c r="B11" s="1406" t="s">
        <v>1419</v>
      </c>
      <c r="C11" s="1364"/>
      <c r="D11" s="247"/>
      <c r="E11" s="1498"/>
      <c r="F11" s="1498"/>
      <c r="G11" s="247"/>
      <c r="H11" s="1055"/>
      <c r="I11" s="1055">
        <v>362.99004019415861</v>
      </c>
      <c r="J11" s="1055">
        <v>434.06609378747481</v>
      </c>
    </row>
    <row r="12" spans="1:10" ht="16" customHeight="1">
      <c r="A12" s="1407"/>
      <c r="B12" s="1406" t="s">
        <v>1420</v>
      </c>
      <c r="C12" s="1408"/>
      <c r="D12" s="1055"/>
      <c r="E12" s="1055"/>
      <c r="F12" s="1055"/>
      <c r="G12" s="1055"/>
      <c r="H12" s="1055"/>
      <c r="I12" s="1055">
        <v>244.13931335295965</v>
      </c>
      <c r="J12" s="1055">
        <v>204.66591687608098</v>
      </c>
    </row>
    <row r="13" spans="1:10">
      <c r="A13" s="1065"/>
      <c r="B13" s="1406" t="s">
        <v>1421</v>
      </c>
      <c r="C13" s="1065"/>
      <c r="D13" s="1055"/>
      <c r="E13" s="1055"/>
      <c r="F13" s="1055"/>
      <c r="G13" s="1055"/>
      <c r="H13" s="1055"/>
      <c r="I13" s="1055">
        <v>231.87748372613081</v>
      </c>
      <c r="J13" s="1055">
        <v>207.79476173747972</v>
      </c>
    </row>
    <row r="14" spans="1:10">
      <c r="A14" s="1029" t="s">
        <v>1289</v>
      </c>
      <c r="B14" s="1406" t="s">
        <v>1422</v>
      </c>
      <c r="C14" s="1029"/>
      <c r="D14" s="1486"/>
      <c r="E14" s="1486"/>
      <c r="F14" s="1486"/>
      <c r="G14" s="1486"/>
      <c r="H14" s="1055"/>
      <c r="I14" s="1055">
        <v>137.05906399639537</v>
      </c>
      <c r="J14" s="1055">
        <v>117.83888968749622</v>
      </c>
    </row>
    <row r="15" spans="1:10">
      <c r="A15" s="1065"/>
      <c r="B15" s="1409" t="s">
        <v>1423</v>
      </c>
      <c r="C15" s="1065"/>
      <c r="D15" s="934"/>
      <c r="E15" s="934"/>
      <c r="F15" s="934"/>
      <c r="G15" s="934"/>
      <c r="H15" s="1055"/>
      <c r="I15" s="1055">
        <v>86.905214611931811</v>
      </c>
      <c r="J15" s="1055">
        <v>40.108853478583576</v>
      </c>
    </row>
    <row r="16" spans="1:10">
      <c r="A16" s="1065"/>
      <c r="B16" s="1402" t="s">
        <v>1046</v>
      </c>
      <c r="C16" s="1065"/>
      <c r="D16" s="934"/>
      <c r="E16" s="934"/>
      <c r="F16" s="1470"/>
      <c r="G16" s="1470"/>
      <c r="H16" s="1055"/>
      <c r="I16" s="1055">
        <v>8.4710769599999995</v>
      </c>
      <c r="J16" s="1055">
        <v>10.903914971999999</v>
      </c>
    </row>
    <row r="17" spans="1:10">
      <c r="A17" s="1065"/>
      <c r="B17" s="1402" t="s">
        <v>1047</v>
      </c>
      <c r="C17" s="1065"/>
      <c r="D17" s="934"/>
      <c r="E17" s="934"/>
      <c r="F17" s="934"/>
      <c r="G17" s="934"/>
      <c r="H17" s="1055"/>
      <c r="I17" s="1055">
        <v>3250.6898017347403</v>
      </c>
      <c r="J17" s="1055">
        <v>3660.0170616542641</v>
      </c>
    </row>
    <row r="18" spans="1:10">
      <c r="A18" s="1065"/>
      <c r="B18" s="1406" t="s">
        <v>1424</v>
      </c>
      <c r="C18" s="1065"/>
      <c r="D18" s="934"/>
      <c r="E18" s="934"/>
      <c r="F18" s="934"/>
      <c r="G18" s="934"/>
      <c r="H18" s="1055"/>
      <c r="I18" s="1055">
        <v>1714.1582160796245</v>
      </c>
      <c r="J18" s="1055">
        <v>1873.917667584446</v>
      </c>
    </row>
    <row r="19" spans="1:10">
      <c r="A19" s="1065"/>
      <c r="B19" s="1406" t="s">
        <v>1421</v>
      </c>
      <c r="C19" s="1065"/>
      <c r="D19" s="934"/>
      <c r="E19" s="934"/>
      <c r="F19" s="934"/>
      <c r="G19" s="934"/>
      <c r="H19" s="1055"/>
      <c r="I19" s="1055">
        <v>555.54350437474125</v>
      </c>
      <c r="J19" s="1055">
        <v>604.16306023458537</v>
      </c>
    </row>
    <row r="20" spans="1:10">
      <c r="A20" s="1065"/>
      <c r="B20" s="1406" t="s">
        <v>1422</v>
      </c>
      <c r="C20" s="1065"/>
      <c r="D20" s="934"/>
      <c r="E20" s="934"/>
      <c r="F20" s="934"/>
      <c r="G20" s="934"/>
      <c r="H20" s="1055"/>
      <c r="I20" s="1055">
        <v>471.06230879319821</v>
      </c>
      <c r="J20" s="1055">
        <v>532.84485181203775</v>
      </c>
    </row>
    <row r="21" spans="1:10">
      <c r="A21" s="1065"/>
      <c r="B21" s="1406" t="s">
        <v>1423</v>
      </c>
      <c r="C21" s="1065"/>
      <c r="D21" s="934"/>
      <c r="E21" s="934"/>
      <c r="F21" s="934"/>
      <c r="G21" s="934"/>
      <c r="H21" s="1055"/>
      <c r="I21" s="1055">
        <v>509.92577248717635</v>
      </c>
      <c r="J21" s="1055">
        <v>649.09148202319511</v>
      </c>
    </row>
    <row r="22" spans="1:10">
      <c r="A22" s="1065"/>
      <c r="B22" s="1402" t="s">
        <v>1425</v>
      </c>
      <c r="C22" s="1065"/>
      <c r="D22" s="934"/>
      <c r="E22" s="934"/>
      <c r="F22" s="934"/>
      <c r="G22" s="934"/>
      <c r="H22" s="1055"/>
      <c r="I22" s="1055">
        <v>6325.5878466704016</v>
      </c>
      <c r="J22" s="1055">
        <v>6626.4457097921695</v>
      </c>
    </row>
    <row r="23" spans="1:10">
      <c r="A23" s="1065"/>
      <c r="B23" s="1409"/>
      <c r="C23" s="1065"/>
      <c r="D23" s="934"/>
      <c r="E23" s="934"/>
      <c r="F23" s="934"/>
      <c r="G23" s="934"/>
      <c r="H23" s="1055"/>
      <c r="I23" s="1055">
        <v>0</v>
      </c>
      <c r="J23" s="1055">
        <v>0</v>
      </c>
    </row>
    <row r="24" spans="1:10">
      <c r="A24" s="1065"/>
      <c r="B24" s="1402" t="s">
        <v>1398</v>
      </c>
      <c r="C24" s="1065"/>
      <c r="D24" s="934"/>
      <c r="E24" s="934"/>
      <c r="F24" s="934"/>
      <c r="G24" s="934"/>
      <c r="H24" s="1055"/>
      <c r="I24" s="1055">
        <v>0</v>
      </c>
      <c r="J24" s="1055">
        <v>0</v>
      </c>
    </row>
    <row r="25" spans="1:10">
      <c r="A25" s="1065"/>
      <c r="B25" s="1402" t="s">
        <v>1051</v>
      </c>
      <c r="C25" s="1065"/>
      <c r="D25" s="934"/>
      <c r="E25" s="934"/>
      <c r="F25" s="934"/>
      <c r="G25" s="934"/>
      <c r="H25" s="1055"/>
      <c r="I25" s="1055">
        <v>13.3194</v>
      </c>
      <c r="J25" s="1055">
        <v>0</v>
      </c>
    </row>
    <row r="26" spans="1:10">
      <c r="A26" s="1065"/>
      <c r="B26" s="1402" t="s">
        <v>1052</v>
      </c>
      <c r="C26" s="1065"/>
      <c r="D26" s="934"/>
      <c r="E26" s="934"/>
      <c r="F26" s="934"/>
      <c r="G26" s="934"/>
      <c r="H26" s="1055"/>
      <c r="I26" s="1055">
        <v>412.73886353333313</v>
      </c>
      <c r="J26" s="1055">
        <v>427.19995020999971</v>
      </c>
    </row>
    <row r="27" spans="1:10">
      <c r="A27" s="1065"/>
      <c r="B27" s="1402" t="s">
        <v>1399</v>
      </c>
      <c r="C27" s="1065"/>
      <c r="D27" s="934"/>
      <c r="E27" s="934"/>
      <c r="F27" s="934"/>
      <c r="G27" s="934"/>
      <c r="H27" s="1055"/>
      <c r="I27" s="1055">
        <v>94.797600000000017</v>
      </c>
      <c r="J27" s="1055">
        <v>95.745576</v>
      </c>
    </row>
    <row r="28" spans="1:10">
      <c r="A28" s="1065"/>
      <c r="B28" s="1402" t="s">
        <v>1054</v>
      </c>
      <c r="C28" s="1065"/>
      <c r="D28" s="934"/>
      <c r="E28" s="934"/>
      <c r="F28" s="934"/>
      <c r="G28" s="934"/>
      <c r="H28" s="1055"/>
      <c r="I28" s="1055">
        <v>1408.7533104744471</v>
      </c>
      <c r="J28" s="1055">
        <v>1460.3387938504186</v>
      </c>
    </row>
    <row r="29" spans="1:10">
      <c r="A29" s="1065"/>
      <c r="B29" s="1410" t="s">
        <v>1449</v>
      </c>
      <c r="C29" s="1065"/>
      <c r="D29" s="934"/>
      <c r="E29" s="934"/>
      <c r="F29" s="934"/>
      <c r="G29" s="934"/>
      <c r="H29" s="1055"/>
      <c r="I29" s="1055">
        <v>605.87144149679989</v>
      </c>
      <c r="J29" s="1055">
        <v>628.03809224134568</v>
      </c>
    </row>
    <row r="30" spans="1:10">
      <c r="A30" s="1065"/>
      <c r="B30" s="1406" t="s">
        <v>1055</v>
      </c>
      <c r="C30" s="1065"/>
      <c r="D30" s="934"/>
      <c r="E30" s="934"/>
      <c r="F30" s="934"/>
      <c r="G30" s="934"/>
      <c r="H30" s="1055"/>
      <c r="I30" s="1055">
        <v>542.06466723171604</v>
      </c>
      <c r="J30" s="1055">
        <v>564.19433803719198</v>
      </c>
    </row>
    <row r="31" spans="1:10">
      <c r="A31" s="1065"/>
      <c r="B31" s="1406" t="s">
        <v>1056</v>
      </c>
      <c r="C31" s="1065"/>
      <c r="D31" s="934"/>
      <c r="E31" s="934"/>
      <c r="F31" s="934"/>
      <c r="G31" s="934"/>
      <c r="H31" s="1055"/>
      <c r="I31" s="1055">
        <v>76.521405248016023</v>
      </c>
      <c r="J31" s="1055">
        <v>77.99846371320244</v>
      </c>
    </row>
    <row r="32" spans="1:10">
      <c r="A32" s="1065"/>
      <c r="B32" s="1406" t="s">
        <v>1057</v>
      </c>
      <c r="C32" s="1065"/>
      <c r="D32" s="934"/>
      <c r="E32" s="934"/>
      <c r="F32" s="934"/>
      <c r="G32" s="934"/>
      <c r="H32" s="1055"/>
      <c r="I32" s="1055">
        <v>-12.714630982932078</v>
      </c>
      <c r="J32" s="1055">
        <v>-14.154709509048706</v>
      </c>
    </row>
    <row r="33" spans="1:10">
      <c r="A33" s="1065"/>
      <c r="B33" s="1410" t="s">
        <v>1450</v>
      </c>
      <c r="C33" s="1065"/>
      <c r="D33" s="934"/>
      <c r="E33" s="934"/>
      <c r="F33" s="934"/>
      <c r="G33" s="934"/>
      <c r="H33" s="1055"/>
      <c r="I33" s="1055">
        <v>381.51444033492697</v>
      </c>
      <c r="J33" s="1055">
        <v>395.52674363422636</v>
      </c>
    </row>
    <row r="34" spans="1:10">
      <c r="A34" s="1065"/>
      <c r="B34" s="1406" t="s">
        <v>1055</v>
      </c>
      <c r="C34" s="1065"/>
      <c r="D34" s="934"/>
      <c r="E34" s="934"/>
      <c r="F34" s="934"/>
      <c r="G34" s="934"/>
      <c r="H34" s="1055"/>
      <c r="I34" s="1055">
        <v>224.5214329283296</v>
      </c>
      <c r="J34" s="1055">
        <v>233.42703956478772</v>
      </c>
    </row>
    <row r="35" spans="1:10">
      <c r="A35" s="1065"/>
      <c r="B35" s="1406" t="s">
        <v>1056</v>
      </c>
      <c r="C35" s="1065"/>
      <c r="D35" s="934"/>
      <c r="E35" s="934"/>
      <c r="F35" s="934"/>
      <c r="G35" s="934"/>
      <c r="H35" s="1055"/>
      <c r="I35" s="1055">
        <v>105.01899784264958</v>
      </c>
      <c r="J35" s="1055">
        <v>108.85940426858302</v>
      </c>
    </row>
    <row r="36" spans="1:10">
      <c r="A36" s="1065"/>
      <c r="B36" s="1406" t="s">
        <v>1057</v>
      </c>
      <c r="C36" s="1065"/>
      <c r="D36" s="934"/>
      <c r="E36" s="934"/>
      <c r="F36" s="934"/>
      <c r="G36" s="934"/>
      <c r="H36" s="1055"/>
      <c r="I36" s="1055">
        <v>51.974009563947796</v>
      </c>
      <c r="J36" s="1055">
        <v>53.240299800855581</v>
      </c>
    </row>
    <row r="37" spans="1:10">
      <c r="A37" s="1065"/>
      <c r="B37" s="1410" t="s">
        <v>1451</v>
      </c>
      <c r="C37" s="1065"/>
      <c r="D37" s="934"/>
      <c r="E37" s="934"/>
      <c r="F37" s="934"/>
      <c r="G37" s="934"/>
      <c r="H37" s="1055"/>
      <c r="I37" s="1055">
        <v>421.36742864272003</v>
      </c>
      <c r="J37" s="1055">
        <v>436.7739579748465</v>
      </c>
    </row>
    <row r="38" spans="1:10">
      <c r="A38" s="1065"/>
      <c r="B38" s="1406" t="s">
        <v>1055</v>
      </c>
      <c r="C38" s="1065"/>
      <c r="D38" s="934"/>
      <c r="E38" s="934"/>
      <c r="F38" s="934"/>
      <c r="G38" s="934"/>
      <c r="H38" s="1055"/>
      <c r="I38" s="1055">
        <v>94.674495442800037</v>
      </c>
      <c r="J38" s="1055">
        <v>98.429641170372037</v>
      </c>
    </row>
    <row r="39" spans="1:10">
      <c r="A39" s="1065"/>
      <c r="B39" s="1406" t="s">
        <v>1056</v>
      </c>
      <c r="C39" s="1065"/>
      <c r="D39" s="934"/>
      <c r="E39" s="934"/>
      <c r="F39" s="934"/>
      <c r="G39" s="934"/>
      <c r="H39" s="1055"/>
      <c r="I39" s="1055">
        <v>64.490103260520016</v>
      </c>
      <c r="J39" s="1055">
        <v>66.742323709748419</v>
      </c>
    </row>
    <row r="40" spans="1:10">
      <c r="A40" s="1065"/>
      <c r="B40" s="1406" t="s">
        <v>1057</v>
      </c>
      <c r="C40" s="1065"/>
      <c r="D40" s="934"/>
      <c r="E40" s="934"/>
      <c r="F40" s="934"/>
      <c r="G40" s="934"/>
      <c r="H40" s="1055"/>
      <c r="I40" s="1055">
        <v>262.20282993939998</v>
      </c>
      <c r="J40" s="1055">
        <v>271.60199309472603</v>
      </c>
    </row>
    <row r="41" spans="1:10">
      <c r="A41" s="1065"/>
      <c r="B41" s="1402" t="s">
        <v>1425</v>
      </c>
      <c r="C41" s="1065"/>
      <c r="D41" s="934"/>
      <c r="E41" s="934"/>
      <c r="F41" s="934"/>
      <c r="G41" s="934"/>
      <c r="H41" s="1055"/>
      <c r="I41" s="1055">
        <v>1929.60917400778</v>
      </c>
      <c r="J41" s="1055">
        <v>1983.2843200604182</v>
      </c>
    </row>
    <row r="42" spans="1:10">
      <c r="A42" s="1065"/>
      <c r="B42" s="1409"/>
      <c r="C42" s="1065"/>
      <c r="D42" s="934"/>
      <c r="E42" s="934"/>
      <c r="F42" s="934"/>
      <c r="G42" s="934"/>
      <c r="H42" s="1055"/>
      <c r="I42" s="1055">
        <v>0</v>
      </c>
      <c r="J42" s="1055">
        <v>0</v>
      </c>
    </row>
    <row r="43" spans="1:10">
      <c r="A43" s="1065"/>
      <c r="B43" s="1402" t="s">
        <v>1400</v>
      </c>
      <c r="C43" s="1065"/>
      <c r="D43" s="934"/>
      <c r="E43" s="934"/>
      <c r="F43" s="934"/>
      <c r="G43" s="934"/>
      <c r="H43" s="1055"/>
      <c r="I43" s="1055">
        <v>0</v>
      </c>
      <c r="J43" s="1055">
        <v>0</v>
      </c>
    </row>
    <row r="44" spans="1:10">
      <c r="A44" s="1065"/>
      <c r="B44" s="1402" t="s">
        <v>1404</v>
      </c>
      <c r="C44" s="1065"/>
      <c r="D44" s="934"/>
      <c r="E44" s="934"/>
      <c r="F44" s="934"/>
      <c r="G44" s="934"/>
      <c r="H44" s="1055"/>
      <c r="I44" s="1055">
        <v>64.367729999999995</v>
      </c>
      <c r="J44" s="1055">
        <v>32.183864999999997</v>
      </c>
    </row>
    <row r="45" spans="1:10">
      <c r="A45" s="1065"/>
      <c r="B45" s="1409" t="s">
        <v>1060</v>
      </c>
      <c r="C45" s="1065"/>
      <c r="D45" s="934"/>
      <c r="E45" s="934"/>
      <c r="F45" s="934"/>
      <c r="G45" s="934"/>
      <c r="H45" s="1055"/>
      <c r="I45" s="1055">
        <v>4.7231100000000001</v>
      </c>
      <c r="J45" s="1055">
        <v>2.3615550000000001</v>
      </c>
    </row>
    <row r="46" spans="1:10">
      <c r="A46" s="1065"/>
      <c r="B46" s="1409" t="s">
        <v>1061</v>
      </c>
      <c r="C46" s="1065"/>
      <c r="D46" s="934"/>
      <c r="E46" s="934"/>
      <c r="F46" s="934"/>
      <c r="G46" s="934"/>
      <c r="H46" s="1055"/>
      <c r="I46" s="1055">
        <v>35.622720000000001</v>
      </c>
      <c r="J46" s="1055">
        <v>17.811360000000001</v>
      </c>
    </row>
    <row r="47" spans="1:10">
      <c r="A47" s="1065"/>
      <c r="B47" s="1409" t="s">
        <v>1062</v>
      </c>
      <c r="C47" s="1065"/>
      <c r="D47" s="934"/>
      <c r="E47" s="934"/>
      <c r="F47" s="934"/>
      <c r="G47" s="934"/>
      <c r="H47" s="1055"/>
      <c r="I47" s="1055">
        <v>24.021899999999999</v>
      </c>
      <c r="J47" s="1055">
        <v>12.010949999999999</v>
      </c>
    </row>
    <row r="48" spans="1:10">
      <c r="A48" s="1065"/>
      <c r="B48" s="1402" t="s">
        <v>476</v>
      </c>
      <c r="C48" s="1065"/>
      <c r="D48" s="934"/>
      <c r="E48" s="934"/>
      <c r="F48" s="934"/>
      <c r="G48" s="934"/>
      <c r="H48" s="1055"/>
      <c r="I48" s="1055">
        <v>95.818528400000005</v>
      </c>
      <c r="J48" s="1055">
        <v>117.85510463999999</v>
      </c>
    </row>
    <row r="49" spans="1:10">
      <c r="A49" s="1065"/>
      <c r="B49" s="1402" t="s">
        <v>1063</v>
      </c>
      <c r="C49" s="1065"/>
      <c r="D49" s="934"/>
      <c r="E49" s="934"/>
      <c r="F49" s="934"/>
      <c r="G49" s="934"/>
      <c r="H49" s="1055"/>
      <c r="I49" s="1055">
        <v>1.9769784000000001</v>
      </c>
      <c r="J49" s="1055">
        <v>2.3506826400000005</v>
      </c>
    </row>
    <row r="50" spans="1:10">
      <c r="A50" s="1065"/>
      <c r="B50" s="1406" t="s">
        <v>1452</v>
      </c>
      <c r="C50" s="1065"/>
      <c r="D50" s="934"/>
      <c r="E50" s="934"/>
      <c r="F50" s="934"/>
      <c r="G50" s="934"/>
      <c r="H50" s="1055"/>
      <c r="I50" s="1055">
        <v>1.9769784000000001</v>
      </c>
      <c r="J50" s="1055">
        <v>2.3506826400000005</v>
      </c>
    </row>
    <row r="51" spans="1:10">
      <c r="A51" s="1065"/>
      <c r="B51" s="1406" t="s">
        <v>1453</v>
      </c>
      <c r="C51" s="1065"/>
      <c r="D51" s="934"/>
      <c r="E51" s="934"/>
      <c r="F51" s="934"/>
      <c r="G51" s="934"/>
      <c r="H51" s="1055"/>
      <c r="I51" s="1055">
        <v>0</v>
      </c>
      <c r="J51" s="1055">
        <v>0</v>
      </c>
    </row>
    <row r="52" spans="1:10">
      <c r="A52" s="1065"/>
      <c r="B52" s="1402" t="s">
        <v>1064</v>
      </c>
      <c r="C52" s="1065"/>
      <c r="D52" s="934"/>
      <c r="E52" s="934"/>
      <c r="F52" s="934"/>
      <c r="G52" s="934"/>
      <c r="H52" s="1055"/>
      <c r="I52" s="1055">
        <v>21.93366</v>
      </c>
      <c r="J52" s="1055">
        <v>27.031212</v>
      </c>
    </row>
    <row r="53" spans="1:10">
      <c r="A53" s="1065"/>
      <c r="B53" s="1406" t="s">
        <v>1452</v>
      </c>
      <c r="C53" s="1065"/>
      <c r="D53" s="934"/>
      <c r="E53" s="934"/>
      <c r="F53" s="934"/>
      <c r="G53" s="934"/>
      <c r="H53" s="1055"/>
      <c r="I53" s="1055">
        <v>21.93366</v>
      </c>
      <c r="J53" s="1055">
        <v>27.031212</v>
      </c>
    </row>
    <row r="54" spans="1:10">
      <c r="A54" s="1065"/>
      <c r="B54" s="1406" t="s">
        <v>1453</v>
      </c>
      <c r="C54" s="1065"/>
      <c r="D54" s="934"/>
      <c r="E54" s="934"/>
      <c r="F54" s="934"/>
      <c r="G54" s="934"/>
      <c r="H54" s="1055"/>
      <c r="I54" s="1055">
        <v>0</v>
      </c>
      <c r="J54" s="1055">
        <v>0</v>
      </c>
    </row>
    <row r="55" spans="1:10">
      <c r="A55" s="1065"/>
      <c r="B55" s="1402" t="s">
        <v>1065</v>
      </c>
      <c r="C55" s="1065"/>
      <c r="D55" s="934"/>
      <c r="E55" s="934"/>
      <c r="F55" s="934"/>
      <c r="G55" s="934"/>
      <c r="H55" s="1055"/>
      <c r="I55" s="1055">
        <v>71.907890000000009</v>
      </c>
      <c r="J55" s="1055">
        <v>88.473209999999995</v>
      </c>
    </row>
    <row r="56" spans="1:10">
      <c r="A56" s="1065"/>
      <c r="B56" s="1406" t="s">
        <v>1452</v>
      </c>
      <c r="C56" s="1065"/>
      <c r="D56" s="934"/>
      <c r="E56" s="934"/>
      <c r="F56" s="934"/>
      <c r="G56" s="934"/>
      <c r="H56" s="1055"/>
      <c r="I56" s="1055">
        <v>71.907890000000009</v>
      </c>
      <c r="J56" s="1055">
        <v>88.473209999999995</v>
      </c>
    </row>
    <row r="57" spans="1:10">
      <c r="A57" s="1065"/>
      <c r="B57" s="1406" t="s">
        <v>1453</v>
      </c>
      <c r="C57" s="1065"/>
      <c r="D57" s="934"/>
      <c r="E57" s="934"/>
      <c r="F57" s="934"/>
      <c r="G57" s="934"/>
      <c r="H57" s="1055"/>
      <c r="I57" s="1055">
        <v>0</v>
      </c>
      <c r="J57" s="1055">
        <v>0</v>
      </c>
    </row>
    <row r="58" spans="1:10">
      <c r="A58" s="1065"/>
      <c r="B58" s="1402" t="s">
        <v>1425</v>
      </c>
      <c r="C58" s="1065"/>
      <c r="D58" s="934"/>
      <c r="E58" s="934"/>
      <c r="F58" s="934"/>
      <c r="G58" s="934"/>
      <c r="H58" s="1055"/>
      <c r="I58" s="1055">
        <v>160.18625839999999</v>
      </c>
      <c r="J58" s="1055">
        <v>150.03896964</v>
      </c>
    </row>
    <row r="59" spans="1:10">
      <c r="A59" s="1065"/>
      <c r="B59" s="1409"/>
      <c r="C59" s="1065"/>
      <c r="D59" s="934"/>
      <c r="E59" s="934"/>
      <c r="F59" s="934"/>
      <c r="G59" s="934"/>
      <c r="H59" s="1055"/>
      <c r="I59" s="1055">
        <v>0</v>
      </c>
      <c r="J59" s="1055">
        <v>0</v>
      </c>
    </row>
    <row r="60" spans="1:10">
      <c r="A60" s="1065"/>
      <c r="B60" s="1402" t="s">
        <v>1067</v>
      </c>
      <c r="C60" s="1065"/>
      <c r="D60" s="934"/>
      <c r="E60" s="934"/>
      <c r="F60" s="934"/>
      <c r="G60" s="934"/>
      <c r="H60" s="1055"/>
      <c r="I60" s="1055">
        <v>0</v>
      </c>
      <c r="J60" s="1055">
        <v>0</v>
      </c>
    </row>
    <row r="61" spans="1:10">
      <c r="A61" s="1065"/>
      <c r="B61" s="1402" t="s">
        <v>1068</v>
      </c>
      <c r="C61" s="1065"/>
      <c r="D61" s="934"/>
      <c r="E61" s="934"/>
      <c r="F61" s="934"/>
      <c r="G61" s="934"/>
      <c r="H61" s="1055"/>
      <c r="I61" s="1055">
        <v>206.31930853333336</v>
      </c>
      <c r="J61" s="1055">
        <v>213.95397527466665</v>
      </c>
    </row>
    <row r="62" spans="1:10">
      <c r="A62" s="1065"/>
      <c r="B62" s="1409" t="s">
        <v>1069</v>
      </c>
      <c r="C62" s="1065"/>
      <c r="D62" s="934"/>
      <c r="E62" s="934"/>
      <c r="F62" s="934"/>
      <c r="G62" s="934"/>
      <c r="H62" s="1055"/>
      <c r="I62" s="1055">
        <v>159.76364268</v>
      </c>
      <c r="J62" s="1055">
        <v>165.59789334719997</v>
      </c>
    </row>
    <row r="63" spans="1:10">
      <c r="A63" s="1065"/>
      <c r="B63" s="1409" t="s">
        <v>1070</v>
      </c>
      <c r="C63" s="1065"/>
      <c r="D63" s="934"/>
      <c r="E63" s="934"/>
      <c r="F63" s="934"/>
      <c r="G63" s="934"/>
      <c r="H63" s="1055"/>
      <c r="I63" s="1055">
        <v>34.016076768000005</v>
      </c>
      <c r="J63" s="1055">
        <v>35.321090334719997</v>
      </c>
    </row>
    <row r="64" spans="1:10">
      <c r="A64" s="1065"/>
      <c r="B64" s="1409" t="s">
        <v>1071</v>
      </c>
      <c r="C64" s="1065"/>
      <c r="D64" s="934"/>
      <c r="E64" s="934"/>
      <c r="F64" s="934"/>
      <c r="G64" s="934"/>
      <c r="H64" s="1055"/>
      <c r="I64" s="1055">
        <v>12.539589085333345</v>
      </c>
      <c r="J64" s="1055">
        <v>13.034991592746678</v>
      </c>
    </row>
    <row r="65" spans="1:10">
      <c r="A65" s="1065"/>
      <c r="B65" s="1402" t="s">
        <v>1072</v>
      </c>
      <c r="C65" s="1065"/>
      <c r="D65" s="934"/>
      <c r="E65" s="934"/>
      <c r="F65" s="934"/>
      <c r="G65" s="934"/>
      <c r="H65" s="1055"/>
      <c r="I65" s="1055">
        <v>77.652075980000006</v>
      </c>
      <c r="J65" s="1055">
        <v>81.077076482999999</v>
      </c>
    </row>
    <row r="66" spans="1:10">
      <c r="A66" s="1065"/>
      <c r="B66" s="1402" t="s">
        <v>1454</v>
      </c>
      <c r="C66" s="1065"/>
      <c r="D66" s="934"/>
      <c r="E66" s="934"/>
      <c r="F66" s="934"/>
      <c r="G66" s="934"/>
      <c r="H66" s="1055"/>
      <c r="I66" s="1055">
        <v>31.495054207999999</v>
      </c>
      <c r="J66" s="1055">
        <v>32.983455590399998</v>
      </c>
    </row>
    <row r="67" spans="1:10">
      <c r="A67" s="1065"/>
      <c r="B67" s="1409" t="s">
        <v>1073</v>
      </c>
      <c r="C67" s="1065"/>
      <c r="D67" s="934"/>
      <c r="E67" s="934"/>
      <c r="F67" s="934"/>
      <c r="G67" s="934"/>
      <c r="H67" s="1055"/>
      <c r="I67" s="1055">
        <v>23.345493259200001</v>
      </c>
      <c r="J67" s="1055">
        <v>24.46095712536</v>
      </c>
    </row>
    <row r="68" spans="1:10">
      <c r="A68" s="1065"/>
      <c r="B68" s="1409" t="s">
        <v>1074</v>
      </c>
      <c r="C68" s="1065"/>
      <c r="D68" s="934"/>
      <c r="E68" s="934"/>
      <c r="F68" s="934"/>
      <c r="G68" s="934"/>
      <c r="H68" s="1055"/>
      <c r="I68" s="1055">
        <v>8.1495609487999978</v>
      </c>
      <c r="J68" s="1055">
        <v>8.5224984650399964</v>
      </c>
    </row>
    <row r="69" spans="1:10">
      <c r="A69" s="1065"/>
      <c r="B69" s="1402" t="s">
        <v>1455</v>
      </c>
      <c r="C69" s="1065"/>
      <c r="D69" s="934"/>
      <c r="E69" s="934"/>
      <c r="F69" s="934"/>
      <c r="G69" s="934"/>
      <c r="H69" s="1055"/>
      <c r="I69" s="1055">
        <v>46.157021772</v>
      </c>
      <c r="J69" s="1055">
        <v>48.093620892600001</v>
      </c>
    </row>
    <row r="70" spans="1:10">
      <c r="A70" s="1065"/>
      <c r="B70" s="1409" t="s">
        <v>1073</v>
      </c>
      <c r="C70" s="1065"/>
      <c r="D70" s="934"/>
      <c r="E70" s="934"/>
      <c r="F70" s="934"/>
      <c r="G70" s="934"/>
      <c r="H70" s="1055"/>
      <c r="I70" s="1055">
        <v>17.832853156800002</v>
      </c>
      <c r="J70" s="1055">
        <v>18.575995027440001</v>
      </c>
    </row>
    <row r="71" spans="1:10">
      <c r="A71" s="1065"/>
      <c r="B71" s="1409" t="s">
        <v>1074</v>
      </c>
      <c r="C71" s="1065"/>
      <c r="D71" s="934"/>
      <c r="E71" s="934"/>
      <c r="F71" s="934"/>
      <c r="G71" s="934"/>
      <c r="H71" s="1055"/>
      <c r="I71" s="1055">
        <v>28.324168615199998</v>
      </c>
      <c r="J71" s="1055">
        <v>29.517625865159999</v>
      </c>
    </row>
    <row r="72" spans="1:10">
      <c r="A72" s="1065"/>
      <c r="B72" s="1402" t="s">
        <v>1425</v>
      </c>
      <c r="C72" s="1065"/>
      <c r="D72" s="934"/>
      <c r="E72" s="934"/>
      <c r="F72" s="934"/>
      <c r="G72" s="934"/>
      <c r="H72" s="1055"/>
      <c r="I72" s="1055">
        <v>283.97138451333336</v>
      </c>
      <c r="J72" s="1055">
        <v>295.03105175766666</v>
      </c>
    </row>
    <row r="73" spans="1:10">
      <c r="A73" s="1065"/>
      <c r="B73" s="1409"/>
      <c r="C73" s="1065"/>
      <c r="D73" s="934"/>
      <c r="E73" s="934"/>
      <c r="F73" s="934"/>
      <c r="G73" s="934"/>
      <c r="H73" s="1055"/>
      <c r="I73" s="1055">
        <v>0</v>
      </c>
      <c r="J73" s="1055">
        <v>0</v>
      </c>
    </row>
    <row r="74" spans="1:10">
      <c r="A74" s="1065"/>
      <c r="B74" s="1402" t="s">
        <v>1076</v>
      </c>
      <c r="C74" s="1065"/>
      <c r="D74" s="934"/>
      <c r="E74" s="934"/>
      <c r="F74" s="934"/>
      <c r="G74" s="934"/>
      <c r="H74" s="1055"/>
      <c r="I74" s="1055">
        <v>0</v>
      </c>
      <c r="J74" s="1055">
        <v>0</v>
      </c>
    </row>
    <row r="75" spans="1:10">
      <c r="A75" s="1065"/>
      <c r="B75" s="1402" t="s">
        <v>1012</v>
      </c>
      <c r="C75" s="1065"/>
      <c r="D75" s="934"/>
      <c r="E75" s="934"/>
      <c r="F75" s="934"/>
      <c r="G75" s="934"/>
      <c r="H75" s="1055"/>
      <c r="I75" s="1055">
        <v>414.29013557640752</v>
      </c>
      <c r="J75" s="1055">
        <v>421.516971730563</v>
      </c>
    </row>
    <row r="76" spans="1:10">
      <c r="A76" s="1065"/>
      <c r="B76" s="1402" t="s">
        <v>1456</v>
      </c>
      <c r="C76" s="1065"/>
      <c r="D76" s="934"/>
      <c r="E76" s="934"/>
      <c r="F76" s="934"/>
      <c r="G76" s="934"/>
      <c r="H76" s="1055"/>
      <c r="I76" s="1055">
        <v>363.61085790884721</v>
      </c>
      <c r="J76" s="1055">
        <v>363.61085790884721</v>
      </c>
    </row>
    <row r="77" spans="1:10">
      <c r="A77" s="1065"/>
      <c r="B77" s="1409" t="s">
        <v>1077</v>
      </c>
      <c r="C77" s="1065"/>
      <c r="D77" s="934"/>
      <c r="E77" s="934"/>
      <c r="F77" s="934"/>
      <c r="G77" s="934"/>
      <c r="H77" s="1055"/>
      <c r="I77" s="1055">
        <v>363.61085790884721</v>
      </c>
      <c r="J77" s="1055">
        <v>363.61085790884721</v>
      </c>
    </row>
    <row r="78" spans="1:10">
      <c r="A78" s="1065"/>
      <c r="B78" s="1406" t="s">
        <v>1457</v>
      </c>
      <c r="C78" s="1065"/>
      <c r="D78" s="934"/>
      <c r="E78" s="934"/>
      <c r="F78" s="934"/>
      <c r="G78" s="934"/>
      <c r="H78" s="1055"/>
      <c r="I78" s="1055">
        <v>0</v>
      </c>
      <c r="J78" s="1055">
        <v>0</v>
      </c>
    </row>
    <row r="79" spans="1:10">
      <c r="A79" s="1065"/>
      <c r="B79" s="1402" t="s">
        <v>1458</v>
      </c>
      <c r="C79" s="1065"/>
      <c r="D79" s="934"/>
      <c r="E79" s="934"/>
      <c r="F79" s="934"/>
      <c r="G79" s="934"/>
      <c r="H79" s="1055"/>
      <c r="I79" s="1055">
        <v>50.679277667560314</v>
      </c>
      <c r="J79" s="1055">
        <v>57.906113821715799</v>
      </c>
    </row>
    <row r="80" spans="1:10">
      <c r="A80" s="1065"/>
      <c r="B80" s="1409" t="s">
        <v>1078</v>
      </c>
      <c r="C80" s="1065"/>
      <c r="D80" s="934"/>
      <c r="E80" s="934"/>
      <c r="F80" s="934"/>
      <c r="G80" s="934"/>
      <c r="H80" s="1055"/>
      <c r="I80" s="1055">
        <v>50.679277667560314</v>
      </c>
      <c r="J80" s="1055">
        <v>57.906113821715799</v>
      </c>
    </row>
    <row r="81" spans="1:10">
      <c r="A81" s="1065"/>
      <c r="B81" s="1406" t="s">
        <v>1459</v>
      </c>
      <c r="C81" s="1065"/>
      <c r="D81" s="934"/>
      <c r="E81" s="934"/>
      <c r="F81" s="934"/>
      <c r="G81" s="934"/>
      <c r="H81" s="1055"/>
      <c r="I81" s="1055">
        <v>0</v>
      </c>
      <c r="J81" s="1055">
        <v>0</v>
      </c>
    </row>
    <row r="82" spans="1:10">
      <c r="A82" s="1065"/>
      <c r="B82" s="1402" t="s">
        <v>1460</v>
      </c>
      <c r="C82" s="1065"/>
      <c r="D82" s="934"/>
      <c r="E82" s="934"/>
      <c r="F82" s="934"/>
      <c r="G82" s="934"/>
      <c r="H82" s="1055"/>
      <c r="I82" s="1055">
        <v>157.51805137415548</v>
      </c>
      <c r="J82" s="1055">
        <v>180.75293602397849</v>
      </c>
    </row>
    <row r="83" spans="1:10">
      <c r="A83" s="1065"/>
      <c r="B83" s="1409" t="s">
        <v>1079</v>
      </c>
      <c r="C83" s="1065"/>
      <c r="D83" s="934"/>
      <c r="E83" s="934"/>
      <c r="F83" s="934"/>
      <c r="G83" s="934"/>
      <c r="H83" s="1055"/>
      <c r="I83" s="1055">
        <v>157.51805137415548</v>
      </c>
      <c r="J83" s="1055">
        <v>180.75293602397849</v>
      </c>
    </row>
    <row r="84" spans="1:10">
      <c r="A84" s="1065"/>
      <c r="B84" s="1402" t="s">
        <v>1425</v>
      </c>
      <c r="C84" s="1065"/>
      <c r="D84" s="934"/>
      <c r="E84" s="934"/>
      <c r="F84" s="934"/>
      <c r="G84" s="934"/>
      <c r="H84" s="1055"/>
      <c r="I84" s="1055">
        <v>571.80818695056303</v>
      </c>
      <c r="J84" s="1055">
        <v>602.26990775454146</v>
      </c>
    </row>
    <row r="85" spans="1:10">
      <c r="A85" s="1065"/>
      <c r="B85" s="1409"/>
      <c r="C85" s="1065"/>
      <c r="D85" s="934"/>
      <c r="E85" s="934"/>
      <c r="F85" s="934"/>
      <c r="G85" s="934"/>
      <c r="H85" s="1055"/>
      <c r="I85" s="1055">
        <v>0</v>
      </c>
      <c r="J85" s="1055">
        <v>0</v>
      </c>
    </row>
    <row r="86" spans="1:10">
      <c r="A86" s="1065"/>
      <c r="B86" s="1402" t="s">
        <v>1081</v>
      </c>
      <c r="C86" s="1065"/>
      <c r="D86" s="934"/>
      <c r="E86" s="934"/>
      <c r="F86" s="934"/>
      <c r="G86" s="934"/>
      <c r="H86" s="1055"/>
      <c r="I86" s="1055">
        <v>0</v>
      </c>
      <c r="J86" s="1055">
        <v>0</v>
      </c>
    </row>
    <row r="87" spans="1:10">
      <c r="A87" s="1065"/>
      <c r="B87" s="1402" t="s">
        <v>1012</v>
      </c>
      <c r="C87" s="1065"/>
      <c r="D87" s="934"/>
      <c r="E87" s="934"/>
      <c r="F87" s="934"/>
      <c r="G87" s="934"/>
      <c r="H87" s="1055"/>
      <c r="I87" s="1055">
        <v>207.76775837121752</v>
      </c>
      <c r="J87" s="1055">
        <v>213.61036585510408</v>
      </c>
    </row>
    <row r="88" spans="1:10">
      <c r="A88" s="1065"/>
      <c r="B88" s="1406" t="s">
        <v>1426</v>
      </c>
      <c r="C88" s="1065"/>
      <c r="D88" s="934"/>
      <c r="E88" s="934"/>
      <c r="F88" s="934"/>
      <c r="G88" s="934"/>
      <c r="H88" s="1055"/>
      <c r="I88" s="1055">
        <v>130.06336929823539</v>
      </c>
      <c r="J88" s="1055">
        <v>133.60506085137973</v>
      </c>
    </row>
    <row r="89" spans="1:10">
      <c r="A89" s="1065"/>
      <c r="B89" s="1406" t="s">
        <v>1427</v>
      </c>
      <c r="C89" s="1065"/>
      <c r="D89" s="934"/>
      <c r="E89" s="934"/>
      <c r="F89" s="934"/>
      <c r="G89" s="934"/>
      <c r="H89" s="1055"/>
      <c r="I89" s="1055">
        <v>41.073529783466377</v>
      </c>
      <c r="J89" s="1055">
        <v>42.289255827913252</v>
      </c>
    </row>
    <row r="90" spans="1:10">
      <c r="A90" s="1065"/>
      <c r="B90" s="1406" t="s">
        <v>1428</v>
      </c>
      <c r="C90" s="1065"/>
      <c r="D90" s="934"/>
      <c r="E90" s="934"/>
      <c r="F90" s="934"/>
      <c r="G90" s="934"/>
      <c r="H90" s="1055"/>
      <c r="I90" s="1055">
        <v>36.630859289515776</v>
      </c>
      <c r="J90" s="1055">
        <v>37.716049175811094</v>
      </c>
    </row>
    <row r="91" spans="1:10">
      <c r="A91" s="1065"/>
      <c r="B91" s="1402" t="s">
        <v>1011</v>
      </c>
      <c r="C91" s="1065"/>
      <c r="D91" s="934"/>
      <c r="E91" s="934"/>
      <c r="F91" s="934"/>
      <c r="G91" s="934"/>
      <c r="H91" s="1055"/>
      <c r="I91" s="1055">
        <v>298.95003760828627</v>
      </c>
      <c r="J91" s="1055">
        <v>313.15677059370063</v>
      </c>
    </row>
    <row r="92" spans="1:10">
      <c r="A92" s="1065"/>
      <c r="B92" s="1402" t="s">
        <v>1013</v>
      </c>
      <c r="C92" s="1065"/>
      <c r="D92" s="934"/>
      <c r="E92" s="934"/>
      <c r="F92" s="934"/>
      <c r="G92" s="934"/>
      <c r="H92" s="1055"/>
      <c r="I92" s="1055">
        <v>174.14765500265818</v>
      </c>
      <c r="J92" s="1055">
        <v>182.1142688577911</v>
      </c>
    </row>
    <row r="93" spans="1:10">
      <c r="A93" s="1065"/>
      <c r="B93" s="1410" t="s">
        <v>1426</v>
      </c>
      <c r="C93" s="1065"/>
      <c r="D93" s="934"/>
      <c r="E93" s="934"/>
      <c r="F93" s="934"/>
      <c r="G93" s="934"/>
      <c r="H93" s="1055"/>
      <c r="I93" s="1055">
        <v>75.390114633541785</v>
      </c>
      <c r="J93" s="1055">
        <v>78.642016940323302</v>
      </c>
    </row>
    <row r="94" spans="1:10">
      <c r="A94" s="1065"/>
      <c r="B94" s="1406" t="s">
        <v>1430</v>
      </c>
      <c r="C94" s="1065"/>
      <c r="D94" s="934"/>
      <c r="E94" s="934"/>
      <c r="F94" s="934"/>
      <c r="G94" s="934"/>
      <c r="H94" s="1055"/>
      <c r="I94" s="1055">
        <v>13.573329831710421</v>
      </c>
      <c r="J94" s="1055">
        <v>14.150498514546507</v>
      </c>
    </row>
    <row r="95" spans="1:10">
      <c r="A95" s="1065"/>
      <c r="B95" s="1406" t="s">
        <v>1431</v>
      </c>
      <c r="C95" s="1065"/>
      <c r="D95" s="934"/>
      <c r="E95" s="934"/>
      <c r="F95" s="934"/>
      <c r="G95" s="934"/>
      <c r="H95" s="1055"/>
      <c r="I95" s="1055">
        <v>31.838826374172626</v>
      </c>
      <c r="J95" s="1055">
        <v>33.211864980633152</v>
      </c>
    </row>
    <row r="96" spans="1:10">
      <c r="A96" s="1065"/>
      <c r="B96" s="1406" t="s">
        <v>1432</v>
      </c>
      <c r="C96" s="1065"/>
      <c r="D96" s="934"/>
      <c r="E96" s="934"/>
      <c r="F96" s="934"/>
      <c r="G96" s="934"/>
      <c r="H96" s="1055"/>
      <c r="I96" s="1055">
        <v>17.374348566324418</v>
      </c>
      <c r="J96" s="1055">
        <v>18.132517176239972</v>
      </c>
    </row>
    <row r="97" spans="1:10">
      <c r="A97" s="1065"/>
      <c r="B97" s="1406" t="s">
        <v>1433</v>
      </c>
      <c r="C97" s="1065"/>
      <c r="D97" s="934"/>
      <c r="E97" s="934"/>
      <c r="F97" s="934"/>
      <c r="G97" s="934"/>
      <c r="H97" s="1055"/>
      <c r="I97" s="1055">
        <v>12.603609861334322</v>
      </c>
      <c r="J97" s="1055">
        <v>13.147136268903681</v>
      </c>
    </row>
    <row r="98" spans="1:10">
      <c r="A98" s="1065"/>
      <c r="B98" s="1410" t="s">
        <v>1427</v>
      </c>
      <c r="C98" s="1065"/>
      <c r="D98" s="934"/>
      <c r="E98" s="934"/>
      <c r="F98" s="934"/>
      <c r="G98" s="934"/>
      <c r="H98" s="1055"/>
      <c r="I98" s="1055">
        <v>35.929846356351206</v>
      </c>
      <c r="J98" s="1055">
        <v>37.624634694562857</v>
      </c>
    </row>
    <row r="99" spans="1:10">
      <c r="A99" s="1065"/>
      <c r="B99" s="1406" t="s">
        <v>1430</v>
      </c>
      <c r="C99" s="1065"/>
      <c r="D99" s="934"/>
      <c r="E99" s="934"/>
      <c r="F99" s="934"/>
      <c r="G99" s="934"/>
      <c r="H99" s="1055"/>
      <c r="I99" s="1055">
        <v>6.1774638317682156</v>
      </c>
      <c r="J99" s="1055">
        <v>6.4663937027088139</v>
      </c>
    </row>
    <row r="100" spans="1:10">
      <c r="A100" s="1065"/>
      <c r="B100" s="1406" t="s">
        <v>1431</v>
      </c>
      <c r="C100" s="1065"/>
      <c r="D100" s="934"/>
      <c r="E100" s="934"/>
      <c r="F100" s="934"/>
      <c r="G100" s="934"/>
      <c r="H100" s="1055"/>
      <c r="I100" s="1055">
        <v>15.163127155716705</v>
      </c>
      <c r="J100" s="1055">
        <v>15.878271284619681</v>
      </c>
    </row>
    <row r="101" spans="1:10">
      <c r="A101" s="1065"/>
      <c r="B101" s="1406" t="s">
        <v>1432</v>
      </c>
      <c r="C101" s="1065"/>
      <c r="D101" s="934"/>
      <c r="E101" s="934"/>
      <c r="F101" s="934"/>
      <c r="G101" s="934"/>
      <c r="H101" s="1055"/>
      <c r="I101" s="1055">
        <v>8.5868312624462071</v>
      </c>
      <c r="J101" s="1055">
        <v>8.9944510705891183</v>
      </c>
    </row>
    <row r="102" spans="1:10">
      <c r="A102" s="1065"/>
      <c r="B102" s="1406" t="s">
        <v>1433</v>
      </c>
      <c r="C102" s="1065"/>
      <c r="D102" s="934"/>
      <c r="E102" s="934"/>
      <c r="F102" s="934"/>
      <c r="G102" s="934"/>
      <c r="H102" s="1055"/>
      <c r="I102" s="1055">
        <v>6.0024241064200829</v>
      </c>
      <c r="J102" s="1055">
        <v>6.2855186366452447</v>
      </c>
    </row>
    <row r="103" spans="1:10">
      <c r="A103" s="1065"/>
      <c r="B103" s="1410" t="s">
        <v>1428</v>
      </c>
      <c r="C103" s="1065"/>
      <c r="D103" s="934"/>
      <c r="E103" s="934"/>
      <c r="F103" s="934"/>
      <c r="G103" s="934"/>
      <c r="H103" s="1055"/>
      <c r="I103" s="1055">
        <v>62.827694012765193</v>
      </c>
      <c r="J103" s="1055">
        <v>65.847617222904944</v>
      </c>
    </row>
    <row r="104" spans="1:10">
      <c r="A104" s="1065"/>
      <c r="B104" s="1406" t="s">
        <v>1430</v>
      </c>
      <c r="C104" s="1065"/>
      <c r="D104" s="934"/>
      <c r="E104" s="934"/>
      <c r="F104" s="934"/>
      <c r="G104" s="934"/>
      <c r="H104" s="1055"/>
      <c r="I104" s="1055">
        <v>10.688726733847925</v>
      </c>
      <c r="J104" s="1055">
        <v>11.199345463198316</v>
      </c>
    </row>
    <row r="105" spans="1:10">
      <c r="A105" s="1065"/>
      <c r="B105" s="1406" t="s">
        <v>1431</v>
      </c>
      <c r="C105" s="1065"/>
      <c r="D105" s="934"/>
      <c r="E105" s="934"/>
      <c r="F105" s="934"/>
      <c r="G105" s="934"/>
      <c r="H105" s="1055"/>
      <c r="I105" s="1055">
        <v>26.510366704107696</v>
      </c>
      <c r="J105" s="1055">
        <v>27.784517045159667</v>
      </c>
    </row>
    <row r="106" spans="1:10">
      <c r="A106" s="1065"/>
      <c r="B106" s="1406" t="s">
        <v>1432</v>
      </c>
      <c r="C106" s="1065"/>
      <c r="D106" s="934"/>
      <c r="E106" s="934"/>
      <c r="F106" s="934"/>
      <c r="G106" s="934"/>
      <c r="H106" s="1055"/>
      <c r="I106" s="1055">
        <v>15.134296692725487</v>
      </c>
      <c r="J106" s="1055">
        <v>15.865069998364916</v>
      </c>
    </row>
    <row r="107" spans="1:10">
      <c r="A107" s="1065"/>
      <c r="B107" s="1406" t="s">
        <v>1433</v>
      </c>
      <c r="C107" s="1065"/>
      <c r="D107" s="934"/>
      <c r="E107" s="934"/>
      <c r="F107" s="934"/>
      <c r="G107" s="934"/>
      <c r="H107" s="1055"/>
      <c r="I107" s="1055">
        <v>10.494303882084079</v>
      </c>
      <c r="J107" s="1055">
        <v>10.998684716182034</v>
      </c>
    </row>
    <row r="108" spans="1:10">
      <c r="A108" s="1065"/>
      <c r="B108" s="1402" t="s">
        <v>1014</v>
      </c>
      <c r="C108" s="1065"/>
      <c r="D108" s="934"/>
      <c r="E108" s="934"/>
      <c r="F108" s="934"/>
      <c r="G108" s="934"/>
      <c r="H108" s="1055"/>
      <c r="I108" s="1055">
        <v>124.80238260562811</v>
      </c>
      <c r="J108" s="1055">
        <v>131.04250173590952</v>
      </c>
    </row>
    <row r="109" spans="1:10">
      <c r="A109" s="1065"/>
      <c r="B109" s="1410" t="s">
        <v>1426</v>
      </c>
      <c r="C109" s="1065"/>
      <c r="D109" s="934"/>
      <c r="E109" s="934"/>
      <c r="F109" s="934"/>
      <c r="G109" s="934"/>
      <c r="H109" s="1055"/>
      <c r="I109" s="1055">
        <v>40.712076188293167</v>
      </c>
      <c r="J109" s="1055">
        <v>42.74767999770782</v>
      </c>
    </row>
    <row r="110" spans="1:10">
      <c r="A110" s="1065"/>
      <c r="B110" s="1406" t="s">
        <v>1430</v>
      </c>
      <c r="C110" s="1065"/>
      <c r="D110" s="934"/>
      <c r="E110" s="934"/>
      <c r="F110" s="934"/>
      <c r="G110" s="934"/>
      <c r="H110" s="1055"/>
      <c r="I110" s="1055">
        <v>7.928404755978514</v>
      </c>
      <c r="J110" s="1055">
        <v>8.3248249937774403</v>
      </c>
    </row>
    <row r="111" spans="1:10">
      <c r="A111" s="1065"/>
      <c r="B111" s="1406" t="s">
        <v>1431</v>
      </c>
      <c r="C111" s="1065"/>
      <c r="D111" s="934"/>
      <c r="E111" s="934"/>
      <c r="F111" s="934"/>
      <c r="G111" s="934"/>
      <c r="H111" s="1055"/>
      <c r="I111" s="1055">
        <v>17.099377082799897</v>
      </c>
      <c r="J111" s="1055">
        <v>17.954345936939887</v>
      </c>
    </row>
    <row r="112" spans="1:10">
      <c r="A112" s="1065"/>
      <c r="B112" s="1406" t="s">
        <v>1432</v>
      </c>
      <c r="C112" s="1065"/>
      <c r="D112" s="934"/>
      <c r="E112" s="934"/>
      <c r="F112" s="934"/>
      <c r="G112" s="934"/>
      <c r="H112" s="1055"/>
      <c r="I112" s="1055">
        <v>9.9307281273460699</v>
      </c>
      <c r="J112" s="1055">
        <v>10.427264533713373</v>
      </c>
    </row>
    <row r="113" spans="1:10">
      <c r="A113" s="1065"/>
      <c r="B113" s="1406" t="s">
        <v>1433</v>
      </c>
      <c r="C113" s="1065"/>
      <c r="D113" s="934"/>
      <c r="E113" s="934"/>
      <c r="F113" s="934"/>
      <c r="G113" s="934"/>
      <c r="H113" s="1055"/>
      <c r="I113" s="1055">
        <v>5.7535662221686881</v>
      </c>
      <c r="J113" s="1055">
        <v>6.0412445332771245</v>
      </c>
    </row>
    <row r="114" spans="1:10">
      <c r="A114" s="1065"/>
      <c r="B114" s="1410" t="s">
        <v>1427</v>
      </c>
      <c r="C114" s="1065"/>
      <c r="D114" s="934"/>
      <c r="E114" s="934"/>
      <c r="F114" s="934"/>
      <c r="G114" s="934"/>
      <c r="H114" s="1055"/>
      <c r="I114" s="1055">
        <v>29.206551300162854</v>
      </c>
      <c r="J114" s="1055">
        <v>30.666878865171</v>
      </c>
    </row>
    <row r="115" spans="1:10">
      <c r="A115" s="1065"/>
      <c r="B115" s="1406" t="s">
        <v>1430</v>
      </c>
      <c r="C115" s="1065"/>
      <c r="D115" s="934"/>
      <c r="E115" s="934"/>
      <c r="F115" s="934"/>
      <c r="G115" s="934"/>
      <c r="H115" s="1055"/>
      <c r="I115" s="1055">
        <v>5.6877806762536851</v>
      </c>
      <c r="J115" s="1055">
        <v>5.9721697100663684</v>
      </c>
    </row>
    <row r="116" spans="1:10">
      <c r="A116" s="1065"/>
      <c r="B116" s="1406" t="s">
        <v>1431</v>
      </c>
      <c r="C116" s="1065"/>
      <c r="D116" s="934"/>
      <c r="E116" s="934"/>
      <c r="F116" s="934"/>
      <c r="G116" s="934"/>
      <c r="H116" s="1055"/>
      <c r="I116" s="1055">
        <v>12.266970410937468</v>
      </c>
      <c r="J116" s="1055">
        <v>12.880318931484343</v>
      </c>
    </row>
    <row r="117" spans="1:10">
      <c r="A117" s="1065"/>
      <c r="B117" s="1406" t="s">
        <v>1432</v>
      </c>
      <c r="C117" s="1065"/>
      <c r="D117" s="934"/>
      <c r="E117" s="934"/>
      <c r="F117" s="934"/>
      <c r="G117" s="934"/>
      <c r="H117" s="1055"/>
      <c r="I117" s="1055">
        <v>7.1242330938333582</v>
      </c>
      <c r="J117" s="1055">
        <v>7.4804447485250254</v>
      </c>
    </row>
    <row r="118" spans="1:10">
      <c r="A118" s="1065"/>
      <c r="B118" s="1406" t="s">
        <v>1433</v>
      </c>
      <c r="C118" s="1065"/>
      <c r="D118" s="934"/>
      <c r="E118" s="934"/>
      <c r="F118" s="934"/>
      <c r="G118" s="934"/>
      <c r="H118" s="1055"/>
      <c r="I118" s="1055">
        <v>4.1275671191383436</v>
      </c>
      <c r="J118" s="1055">
        <v>4.3339454750952608</v>
      </c>
    </row>
    <row r="119" spans="1:10">
      <c r="A119" s="1065"/>
      <c r="B119" s="1410" t="s">
        <v>1428</v>
      </c>
      <c r="C119" s="1065"/>
      <c r="D119" s="934"/>
      <c r="E119" s="934"/>
      <c r="F119" s="934"/>
      <c r="G119" s="934"/>
      <c r="H119" s="1055"/>
      <c r="I119" s="1055">
        <v>54.883755117172079</v>
      </c>
      <c r="J119" s="1055">
        <v>57.62794287303069</v>
      </c>
    </row>
    <row r="120" spans="1:10">
      <c r="A120" s="1065"/>
      <c r="B120" s="1406" t="s">
        <v>1430</v>
      </c>
      <c r="C120" s="1065"/>
      <c r="D120" s="934"/>
      <c r="E120" s="934"/>
      <c r="F120" s="934"/>
      <c r="G120" s="934"/>
      <c r="H120" s="1055"/>
      <c r="I120" s="1055">
        <v>10.688244517042653</v>
      </c>
      <c r="J120" s="1055">
        <v>11.222656742894788</v>
      </c>
    </row>
    <row r="121" spans="1:10">
      <c r="A121" s="1065"/>
      <c r="B121" s="1406" t="s">
        <v>1431</v>
      </c>
      <c r="C121" s="1065"/>
      <c r="D121" s="934"/>
      <c r="E121" s="934"/>
      <c r="F121" s="934"/>
      <c r="G121" s="934"/>
      <c r="H121" s="1055"/>
      <c r="I121" s="1055">
        <v>23.051588431111131</v>
      </c>
      <c r="J121" s="1055">
        <v>24.204167852666689</v>
      </c>
    </row>
    <row r="122" spans="1:10">
      <c r="A122" s="1065"/>
      <c r="B122" s="1406" t="s">
        <v>1432</v>
      </c>
      <c r="C122" s="1065"/>
      <c r="D122" s="934"/>
      <c r="E122" s="934"/>
      <c r="F122" s="934"/>
      <c r="G122" s="934"/>
      <c r="H122" s="1055"/>
      <c r="I122" s="1055">
        <v>13.387567073604577</v>
      </c>
      <c r="J122" s="1055">
        <v>14.056945427284807</v>
      </c>
    </row>
    <row r="123" spans="1:10">
      <c r="A123" s="1065"/>
      <c r="B123" s="1406" t="s">
        <v>1433</v>
      </c>
      <c r="C123" s="1065"/>
      <c r="D123" s="934"/>
      <c r="E123" s="934"/>
      <c r="F123" s="934"/>
      <c r="G123" s="934"/>
      <c r="H123" s="1055"/>
      <c r="I123" s="1055">
        <v>7.7563550954137188</v>
      </c>
      <c r="J123" s="1055">
        <v>8.144172850184404</v>
      </c>
    </row>
    <row r="124" spans="1:10">
      <c r="A124" s="1065"/>
      <c r="B124" s="1402" t="s">
        <v>1425</v>
      </c>
      <c r="C124" s="1065"/>
      <c r="D124" s="934"/>
      <c r="E124" s="934"/>
      <c r="F124" s="934"/>
      <c r="G124" s="934"/>
      <c r="H124" s="1055"/>
      <c r="I124" s="1055">
        <v>506.71779597950376</v>
      </c>
      <c r="J124" s="1055">
        <v>526.76713644880465</v>
      </c>
    </row>
    <row r="125" spans="1:10">
      <c r="A125" s="1065"/>
      <c r="B125" s="1409"/>
      <c r="C125" s="1065"/>
      <c r="D125" s="934"/>
      <c r="E125" s="934"/>
      <c r="F125" s="934"/>
      <c r="G125" s="934"/>
      <c r="H125" s="1055"/>
      <c r="I125" s="1055">
        <v>0</v>
      </c>
      <c r="J125" s="1055">
        <v>0</v>
      </c>
    </row>
    <row r="126" spans="1:10">
      <c r="A126" s="1065"/>
      <c r="B126" s="1402" t="s">
        <v>1402</v>
      </c>
      <c r="C126" s="1065"/>
      <c r="D126" s="934"/>
      <c r="E126" s="934"/>
      <c r="F126" s="934"/>
      <c r="G126" s="934"/>
      <c r="H126" s="1055"/>
      <c r="I126" s="1055">
        <v>0</v>
      </c>
      <c r="J126" s="1055">
        <v>0</v>
      </c>
    </row>
    <row r="127" spans="1:10">
      <c r="A127" s="1065"/>
      <c r="B127" s="1402" t="s">
        <v>1012</v>
      </c>
      <c r="C127" s="1065"/>
      <c r="D127" s="934"/>
      <c r="E127" s="934"/>
      <c r="F127" s="934"/>
      <c r="G127" s="934"/>
      <c r="H127" s="1055"/>
      <c r="I127" s="1055">
        <v>115.29706668750001</v>
      </c>
      <c r="J127" s="1055">
        <v>128.22281912291669</v>
      </c>
    </row>
    <row r="128" spans="1:10">
      <c r="A128" s="1065"/>
      <c r="B128" s="1409" t="s">
        <v>1091</v>
      </c>
      <c r="C128" s="1065"/>
      <c r="D128" s="934"/>
      <c r="E128" s="934"/>
      <c r="F128" s="934"/>
      <c r="G128" s="934"/>
      <c r="H128" s="1055"/>
      <c r="I128" s="1055">
        <v>85.958477083333335</v>
      </c>
      <c r="J128" s="1055">
        <v>94.554324791666687</v>
      </c>
    </row>
    <row r="129" spans="1:10">
      <c r="A129" s="1065"/>
      <c r="B129" s="1409" t="s">
        <v>1092</v>
      </c>
      <c r="C129" s="1065"/>
      <c r="D129" s="934"/>
      <c r="E129" s="934"/>
      <c r="F129" s="934"/>
      <c r="G129" s="934"/>
      <c r="H129" s="1055"/>
      <c r="I129" s="1055">
        <v>15.378131937499999</v>
      </c>
      <c r="J129" s="1055">
        <v>16.915945131249998</v>
      </c>
    </row>
    <row r="130" spans="1:10">
      <c r="A130" s="1065"/>
      <c r="B130" s="1409" t="s">
        <v>1093</v>
      </c>
      <c r="C130" s="1065"/>
      <c r="D130" s="934"/>
      <c r="E130" s="934"/>
      <c r="F130" s="934"/>
      <c r="G130" s="934"/>
      <c r="H130" s="1055"/>
      <c r="I130" s="1055">
        <v>13.960457666666665</v>
      </c>
      <c r="J130" s="1055">
        <v>16.752549199999997</v>
      </c>
    </row>
    <row r="131" spans="1:10">
      <c r="A131" s="1065"/>
      <c r="B131" s="1402" t="s">
        <v>1011</v>
      </c>
      <c r="C131" s="1065"/>
      <c r="D131" s="934"/>
      <c r="E131" s="934"/>
      <c r="F131" s="934"/>
      <c r="G131" s="934"/>
      <c r="H131" s="1055"/>
      <c r="I131" s="1055">
        <v>264.29863216666666</v>
      </c>
      <c r="J131" s="1055">
        <v>275.74334912</v>
      </c>
    </row>
    <row r="132" spans="1:10">
      <c r="A132" s="1065"/>
      <c r="B132" s="1409" t="s">
        <v>1094</v>
      </c>
      <c r="C132" s="1065"/>
      <c r="D132" s="934"/>
      <c r="E132" s="934"/>
      <c r="F132" s="934"/>
      <c r="G132" s="934"/>
      <c r="H132" s="1055"/>
      <c r="I132" s="1055">
        <v>43.426805166666661</v>
      </c>
      <c r="J132" s="1055">
        <v>44.295341270000002</v>
      </c>
    </row>
    <row r="133" spans="1:10">
      <c r="A133" s="1065"/>
      <c r="B133" s="1409" t="s">
        <v>1095</v>
      </c>
      <c r="C133" s="1065"/>
      <c r="D133" s="934"/>
      <c r="E133" s="934"/>
      <c r="F133" s="934"/>
      <c r="G133" s="934"/>
      <c r="H133" s="1055"/>
      <c r="I133" s="1055">
        <v>178.00866966666666</v>
      </c>
      <c r="J133" s="1055">
        <v>186.52182865</v>
      </c>
    </row>
    <row r="134" spans="1:10">
      <c r="A134" s="1065"/>
      <c r="B134" s="1409" t="s">
        <v>1096</v>
      </c>
      <c r="C134" s="1065"/>
      <c r="D134" s="934"/>
      <c r="E134" s="934"/>
      <c r="F134" s="934"/>
      <c r="G134" s="934"/>
      <c r="H134" s="1055"/>
      <c r="I134" s="1055">
        <v>42.863157333333326</v>
      </c>
      <c r="J134" s="1055">
        <v>44.9261792</v>
      </c>
    </row>
    <row r="135" spans="1:10">
      <c r="A135" s="1065"/>
      <c r="B135" s="1402" t="s">
        <v>1425</v>
      </c>
      <c r="C135" s="1065"/>
      <c r="D135" s="934"/>
      <c r="E135" s="934"/>
      <c r="F135" s="934"/>
      <c r="G135" s="934"/>
      <c r="H135" s="1055"/>
      <c r="I135" s="1055">
        <v>379.5956988541667</v>
      </c>
      <c r="J135" s="1055">
        <v>403.96616824291669</v>
      </c>
    </row>
    <row r="136" spans="1:10">
      <c r="A136" s="1065"/>
      <c r="B136" s="1409"/>
      <c r="C136" s="1065"/>
      <c r="D136" s="934"/>
      <c r="E136" s="934"/>
      <c r="F136" s="934"/>
      <c r="G136" s="934"/>
      <c r="H136" s="1055"/>
      <c r="I136" s="1055">
        <v>0</v>
      </c>
      <c r="J136" s="1055">
        <v>0</v>
      </c>
    </row>
    <row r="137" spans="1:10">
      <c r="A137" s="1065"/>
      <c r="B137" s="1402" t="s">
        <v>1098</v>
      </c>
      <c r="C137" s="1065"/>
      <c r="D137" s="934"/>
      <c r="E137" s="934"/>
      <c r="F137" s="934"/>
      <c r="G137" s="934"/>
      <c r="H137" s="1055"/>
      <c r="I137" s="1055">
        <v>0</v>
      </c>
      <c r="J137" s="1055">
        <v>0</v>
      </c>
    </row>
    <row r="138" spans="1:10">
      <c r="A138" s="1065"/>
      <c r="B138" s="1402" t="s">
        <v>476</v>
      </c>
      <c r="C138" s="1065"/>
      <c r="D138" s="934"/>
      <c r="E138" s="934"/>
      <c r="F138" s="934"/>
      <c r="G138" s="934"/>
      <c r="H138" s="1055"/>
      <c r="I138" s="1055">
        <v>460.02381996890301</v>
      </c>
      <c r="J138" s="1055">
        <v>605.63607744694366</v>
      </c>
    </row>
    <row r="139" spans="1:10">
      <c r="A139" s="1065"/>
      <c r="B139" s="1409" t="s">
        <v>1099</v>
      </c>
      <c r="C139" s="1065"/>
      <c r="D139" s="934"/>
      <c r="E139" s="934"/>
      <c r="F139" s="934"/>
      <c r="G139" s="934"/>
      <c r="H139" s="1055"/>
      <c r="I139" s="1055">
        <v>460.02381996890301</v>
      </c>
      <c r="J139" s="1055">
        <v>605.63607744694366</v>
      </c>
    </row>
    <row r="140" spans="1:10">
      <c r="A140" s="1065"/>
      <c r="B140" s="1402" t="s">
        <v>1404</v>
      </c>
      <c r="C140" s="1065"/>
      <c r="D140" s="934"/>
      <c r="E140" s="934"/>
      <c r="F140" s="934"/>
      <c r="G140" s="934"/>
      <c r="H140" s="1055"/>
      <c r="I140" s="1055">
        <v>746.51308310991953</v>
      </c>
      <c r="J140" s="1055">
        <v>373.25654155495977</v>
      </c>
    </row>
    <row r="141" spans="1:10">
      <c r="A141" s="1065"/>
      <c r="B141" s="1409" t="s">
        <v>1405</v>
      </c>
      <c r="C141" s="1065"/>
      <c r="D141" s="934"/>
      <c r="E141" s="934"/>
      <c r="F141" s="934"/>
      <c r="G141" s="934"/>
      <c r="H141" s="1055"/>
      <c r="I141" s="1055">
        <v>714.29694369973186</v>
      </c>
      <c r="J141" s="1055">
        <v>357.14847184986593</v>
      </c>
    </row>
    <row r="142" spans="1:10">
      <c r="A142" s="1065"/>
      <c r="B142" s="1409" t="s">
        <v>1101</v>
      </c>
      <c r="C142" s="1065"/>
      <c r="D142" s="934"/>
      <c r="E142" s="934"/>
      <c r="F142" s="934"/>
      <c r="G142" s="934"/>
      <c r="H142" s="1055"/>
      <c r="I142" s="1055">
        <v>32.216139410187665</v>
      </c>
      <c r="J142" s="1055">
        <v>16.108069705093833</v>
      </c>
    </row>
    <row r="143" spans="1:10">
      <c r="A143" s="1065"/>
      <c r="B143" s="1402" t="s">
        <v>1425</v>
      </c>
      <c r="C143" s="1065"/>
      <c r="D143" s="934"/>
      <c r="E143" s="934"/>
      <c r="F143" s="934"/>
      <c r="G143" s="934"/>
      <c r="H143" s="1055"/>
      <c r="I143" s="1055">
        <v>1206.5369030788224</v>
      </c>
      <c r="J143" s="1055">
        <v>978.89261900190343</v>
      </c>
    </row>
    <row r="144" spans="1:10">
      <c r="A144" s="1065"/>
      <c r="B144" s="1409"/>
      <c r="C144" s="1065"/>
      <c r="D144" s="934"/>
      <c r="E144" s="934"/>
      <c r="F144" s="934"/>
      <c r="G144" s="934"/>
      <c r="H144" s="1055"/>
      <c r="I144" s="1055">
        <v>0</v>
      </c>
      <c r="J144" s="1055">
        <v>0</v>
      </c>
    </row>
    <row r="145" spans="1:10">
      <c r="A145" s="1065"/>
      <c r="B145" s="1402" t="s">
        <v>1406</v>
      </c>
      <c r="C145" s="1065"/>
      <c r="D145" s="934"/>
      <c r="E145" s="934"/>
      <c r="F145" s="934"/>
      <c r="G145" s="934"/>
      <c r="H145" s="1055"/>
      <c r="I145" s="1055">
        <v>0</v>
      </c>
      <c r="J145" s="1055">
        <v>0</v>
      </c>
    </row>
    <row r="146" spans="1:10">
      <c r="A146" s="1065"/>
      <c r="B146" s="1402" t="s">
        <v>476</v>
      </c>
      <c r="C146" s="1065"/>
      <c r="D146" s="934"/>
      <c r="E146" s="934"/>
      <c r="F146" s="934"/>
      <c r="G146" s="934"/>
      <c r="H146" s="1055"/>
      <c r="I146" s="1055">
        <v>9.1065629999999995</v>
      </c>
      <c r="J146" s="1055">
        <v>9.3646338900000003</v>
      </c>
    </row>
    <row r="147" spans="1:10">
      <c r="A147" s="1065"/>
      <c r="B147" s="1409" t="s">
        <v>1104</v>
      </c>
      <c r="C147" s="1065"/>
      <c r="D147" s="934"/>
      <c r="E147" s="934"/>
      <c r="F147" s="934"/>
      <c r="G147" s="934"/>
      <c r="H147" s="1055"/>
      <c r="I147" s="1055">
        <v>3.4758168</v>
      </c>
      <c r="J147" s="1055">
        <v>3.5759777039999996</v>
      </c>
    </row>
    <row r="148" spans="1:10">
      <c r="A148" s="1065"/>
      <c r="B148" s="1409" t="s">
        <v>1105</v>
      </c>
      <c r="C148" s="1065"/>
      <c r="D148" s="934"/>
      <c r="E148" s="934"/>
      <c r="F148" s="934"/>
      <c r="G148" s="934"/>
      <c r="H148" s="1055"/>
      <c r="I148" s="1055">
        <v>5.630746199999999</v>
      </c>
      <c r="J148" s="1055">
        <v>5.7886561860000008</v>
      </c>
    </row>
    <row r="149" spans="1:10">
      <c r="A149" s="1065"/>
      <c r="B149" s="1402" t="s">
        <v>1404</v>
      </c>
      <c r="C149" s="1065"/>
      <c r="D149" s="934"/>
      <c r="E149" s="934"/>
      <c r="F149" s="934"/>
      <c r="G149" s="934"/>
      <c r="H149" s="1055"/>
      <c r="I149" s="1055">
        <v>0.16289265625000002</v>
      </c>
      <c r="J149" s="1055">
        <v>0.13270031250000003</v>
      </c>
    </row>
    <row r="150" spans="1:10">
      <c r="A150" s="1065"/>
      <c r="B150" s="1409" t="s">
        <v>1106</v>
      </c>
      <c r="C150" s="1065"/>
      <c r="D150" s="934"/>
      <c r="E150" s="934"/>
      <c r="F150" s="934"/>
      <c r="G150" s="934"/>
      <c r="H150" s="1055"/>
      <c r="I150" s="1055">
        <v>9.7740156250000015E-2</v>
      </c>
      <c r="J150" s="1055">
        <v>0.10012406250000001</v>
      </c>
    </row>
    <row r="151" spans="1:10">
      <c r="A151" s="1065"/>
      <c r="B151" s="1409" t="s">
        <v>1107</v>
      </c>
      <c r="C151" s="1065"/>
      <c r="D151" s="934"/>
      <c r="E151" s="934"/>
      <c r="F151" s="934"/>
      <c r="G151" s="934"/>
      <c r="H151" s="1055"/>
      <c r="I151" s="1055">
        <v>6.5152500000000002E-2</v>
      </c>
      <c r="J151" s="1055">
        <v>3.2576250000000001E-2</v>
      </c>
    </row>
    <row r="152" spans="1:10">
      <c r="A152" s="1065"/>
      <c r="B152" s="1402" t="s">
        <v>1425</v>
      </c>
      <c r="C152" s="1065"/>
      <c r="D152" s="934"/>
      <c r="E152" s="934"/>
      <c r="F152" s="934"/>
      <c r="G152" s="934"/>
      <c r="H152" s="1055"/>
      <c r="I152" s="1055">
        <v>9.269455656249999</v>
      </c>
      <c r="J152" s="1055">
        <v>9.4973342025000012</v>
      </c>
    </row>
    <row r="153" spans="1:10">
      <c r="A153" s="1065"/>
      <c r="B153" s="1409"/>
      <c r="C153" s="1065"/>
      <c r="D153" s="934"/>
      <c r="E153" s="934"/>
      <c r="F153" s="934"/>
      <c r="G153" s="934"/>
      <c r="H153" s="1055"/>
      <c r="I153" s="1055">
        <v>0</v>
      </c>
      <c r="J153" s="1055">
        <v>0</v>
      </c>
    </row>
    <row r="154" spans="1:10">
      <c r="A154" s="1065"/>
      <c r="B154" s="1402" t="s">
        <v>1109</v>
      </c>
      <c r="C154" s="1065"/>
      <c r="D154" s="934"/>
      <c r="E154" s="934"/>
      <c r="F154" s="934"/>
      <c r="G154" s="934"/>
      <c r="H154" s="1055"/>
      <c r="I154" s="1055">
        <v>54.37805986326034</v>
      </c>
      <c r="J154" s="1055">
        <v>55.719661078846215</v>
      </c>
    </row>
    <row r="155" spans="1:10">
      <c r="A155" s="1065"/>
      <c r="B155" s="1409"/>
      <c r="C155" s="1065"/>
      <c r="D155" s="934"/>
      <c r="E155" s="934"/>
      <c r="F155" s="934"/>
      <c r="G155" s="934"/>
      <c r="H155" s="1055"/>
      <c r="I155" s="1055">
        <v>0</v>
      </c>
      <c r="J155" s="1055">
        <v>0</v>
      </c>
    </row>
    <row r="156" spans="1:10">
      <c r="A156" s="1065"/>
      <c r="B156" s="1402" t="s">
        <v>1407</v>
      </c>
      <c r="C156" s="1065"/>
      <c r="D156" s="934"/>
      <c r="E156" s="934"/>
      <c r="F156" s="934"/>
      <c r="G156" s="934"/>
      <c r="H156" s="1055"/>
      <c r="I156" s="1055">
        <v>0</v>
      </c>
      <c r="J156" s="1055">
        <v>0</v>
      </c>
    </row>
    <row r="157" spans="1:10">
      <c r="A157" s="1065"/>
      <c r="B157" s="1402" t="s">
        <v>1146</v>
      </c>
      <c r="C157" s="1065"/>
      <c r="D157" s="934"/>
      <c r="E157" s="934"/>
      <c r="F157" s="934"/>
      <c r="G157" s="934"/>
      <c r="H157" s="1055"/>
      <c r="I157" s="1055">
        <v>0</v>
      </c>
      <c r="J157" s="1055">
        <v>0</v>
      </c>
    </row>
    <row r="158" spans="1:10">
      <c r="A158" s="1065"/>
      <c r="B158" s="1409" t="s">
        <v>1408</v>
      </c>
      <c r="C158" s="1065"/>
      <c r="D158" s="934"/>
      <c r="E158" s="934"/>
      <c r="F158" s="934"/>
      <c r="G158" s="934"/>
      <c r="H158" s="1055"/>
      <c r="I158" s="1055">
        <v>0</v>
      </c>
      <c r="J158" s="1055">
        <v>0</v>
      </c>
    </row>
    <row r="159" spans="1:10">
      <c r="A159" s="1065"/>
      <c r="B159" s="1409" t="s">
        <v>1409</v>
      </c>
      <c r="C159" s="1065"/>
      <c r="D159" s="934"/>
      <c r="E159" s="934"/>
      <c r="F159" s="934"/>
      <c r="G159" s="934"/>
      <c r="H159" s="1055"/>
      <c r="I159" s="1055">
        <v>0</v>
      </c>
      <c r="J159" s="1055">
        <v>0</v>
      </c>
    </row>
    <row r="160" spans="1:10">
      <c r="A160" s="1065"/>
      <c r="B160" s="1402" t="s">
        <v>1461</v>
      </c>
      <c r="C160" s="1065"/>
      <c r="D160" s="934"/>
      <c r="E160" s="934"/>
      <c r="F160" s="934"/>
      <c r="G160" s="934"/>
      <c r="H160" s="1055"/>
      <c r="I160" s="1055">
        <v>2.0254080000000001E-2</v>
      </c>
      <c r="J160" s="1055">
        <v>2.2279488000000004E-2</v>
      </c>
    </row>
    <row r="161" spans="1:10">
      <c r="A161" s="1065"/>
      <c r="B161" s="1402" t="s">
        <v>469</v>
      </c>
      <c r="C161" s="1065"/>
      <c r="D161" s="934"/>
      <c r="E161" s="934"/>
      <c r="F161" s="934"/>
      <c r="G161" s="934"/>
      <c r="H161" s="1055"/>
      <c r="I161" s="1055">
        <v>2.0254080000000001E-2</v>
      </c>
      <c r="J161" s="1055">
        <v>2.2279488000000004E-2</v>
      </c>
    </row>
    <row r="162" spans="1:10">
      <c r="A162" s="1065"/>
      <c r="B162" s="1411" t="s">
        <v>1013</v>
      </c>
      <c r="C162" s="1065"/>
      <c r="D162" s="934"/>
      <c r="E162" s="934"/>
      <c r="F162" s="934"/>
      <c r="G162" s="934"/>
      <c r="H162" s="1055"/>
      <c r="I162" s="1055">
        <v>0</v>
      </c>
      <c r="J162" s="1055">
        <v>0</v>
      </c>
    </row>
    <row r="163" spans="1:10">
      <c r="A163" s="1065"/>
      <c r="B163" s="1412" t="s">
        <v>1430</v>
      </c>
      <c r="C163" s="1065"/>
      <c r="D163" s="934"/>
      <c r="E163" s="934"/>
      <c r="F163" s="934"/>
      <c r="G163" s="934"/>
      <c r="H163" s="1055"/>
      <c r="I163" s="1055">
        <v>0</v>
      </c>
      <c r="J163" s="1055">
        <v>0</v>
      </c>
    </row>
    <row r="164" spans="1:10">
      <c r="A164" s="1065"/>
      <c r="B164" s="1412" t="s">
        <v>1431</v>
      </c>
      <c r="C164" s="1065"/>
      <c r="D164" s="934"/>
      <c r="E164" s="934"/>
      <c r="F164" s="934"/>
      <c r="G164" s="934"/>
      <c r="H164" s="1055"/>
      <c r="I164" s="1055">
        <v>0</v>
      </c>
      <c r="J164" s="1055">
        <v>0</v>
      </c>
    </row>
    <row r="165" spans="1:10">
      <c r="A165" s="1065"/>
      <c r="B165" s="1412" t="s">
        <v>1432</v>
      </c>
      <c r="C165" s="1065"/>
      <c r="D165" s="934"/>
      <c r="E165" s="934"/>
      <c r="F165" s="934"/>
      <c r="G165" s="934"/>
      <c r="H165" s="1055"/>
      <c r="I165" s="1055">
        <v>0</v>
      </c>
      <c r="J165" s="1055">
        <v>0</v>
      </c>
    </row>
    <row r="166" spans="1:10">
      <c r="A166" s="1065"/>
      <c r="B166" s="1412" t="s">
        <v>1433</v>
      </c>
      <c r="C166" s="1065"/>
      <c r="D166" s="934"/>
      <c r="E166" s="934"/>
      <c r="F166" s="934"/>
      <c r="G166" s="934"/>
      <c r="H166" s="1055"/>
      <c r="I166" s="1055">
        <v>0</v>
      </c>
      <c r="J166" s="1055">
        <v>0</v>
      </c>
    </row>
    <row r="167" spans="1:10">
      <c r="A167" s="1065"/>
      <c r="B167" s="1411" t="s">
        <v>1014</v>
      </c>
      <c r="C167" s="1065"/>
      <c r="D167" s="934"/>
      <c r="E167" s="934"/>
      <c r="F167" s="934"/>
      <c r="G167" s="934"/>
      <c r="H167" s="1055"/>
      <c r="I167" s="1055">
        <v>0</v>
      </c>
      <c r="J167" s="1055">
        <v>0</v>
      </c>
    </row>
    <row r="168" spans="1:10">
      <c r="A168" s="1065"/>
      <c r="B168" s="1412" t="s">
        <v>1430</v>
      </c>
      <c r="C168" s="1065"/>
      <c r="D168" s="934"/>
      <c r="E168" s="934"/>
      <c r="F168" s="934"/>
      <c r="G168" s="934"/>
      <c r="H168" s="1055"/>
      <c r="I168" s="1055">
        <v>0</v>
      </c>
      <c r="J168" s="1055">
        <v>0</v>
      </c>
    </row>
    <row r="169" spans="1:10">
      <c r="A169" s="1065"/>
      <c r="B169" s="1412" t="s">
        <v>1431</v>
      </c>
      <c r="C169" s="1065"/>
      <c r="D169" s="934"/>
      <c r="E169" s="934"/>
      <c r="F169" s="934"/>
      <c r="G169" s="934"/>
      <c r="H169" s="1055"/>
      <c r="I169" s="1055">
        <v>0</v>
      </c>
      <c r="J169" s="1055">
        <v>0</v>
      </c>
    </row>
    <row r="170" spans="1:10">
      <c r="A170" s="1065"/>
      <c r="B170" s="1412" t="s">
        <v>1432</v>
      </c>
      <c r="C170" s="1065"/>
      <c r="D170" s="934"/>
      <c r="E170" s="934"/>
      <c r="F170" s="934"/>
      <c r="G170" s="934"/>
      <c r="H170" s="1055"/>
      <c r="I170" s="1055">
        <v>0</v>
      </c>
      <c r="J170" s="1055">
        <v>0</v>
      </c>
    </row>
    <row r="171" spans="1:10">
      <c r="A171" s="1065"/>
      <c r="B171" s="1412" t="s">
        <v>1433</v>
      </c>
      <c r="C171" s="1065"/>
      <c r="D171" s="934"/>
      <c r="E171" s="934"/>
      <c r="F171" s="934"/>
      <c r="G171" s="934"/>
      <c r="H171" s="1055"/>
      <c r="I171" s="1055">
        <v>0</v>
      </c>
      <c r="J171" s="1055">
        <v>0</v>
      </c>
    </row>
    <row r="172" spans="1:10">
      <c r="A172" s="1065"/>
      <c r="B172" s="1402" t="s">
        <v>470</v>
      </c>
      <c r="C172" s="1065"/>
      <c r="D172" s="934"/>
      <c r="E172" s="934"/>
      <c r="F172" s="934"/>
      <c r="G172" s="934"/>
      <c r="H172" s="1055"/>
      <c r="I172" s="1055">
        <v>0</v>
      </c>
      <c r="J172" s="1055">
        <v>0</v>
      </c>
    </row>
    <row r="173" spans="1:10">
      <c r="A173" s="1065"/>
      <c r="B173" s="1411" t="s">
        <v>1013</v>
      </c>
      <c r="C173" s="1065"/>
      <c r="D173" s="934"/>
      <c r="E173" s="934"/>
      <c r="F173" s="934"/>
      <c r="G173" s="934"/>
      <c r="H173" s="1055"/>
      <c r="I173" s="1055">
        <v>0</v>
      </c>
      <c r="J173" s="1055">
        <v>0</v>
      </c>
    </row>
    <row r="174" spans="1:10">
      <c r="A174" s="1065"/>
      <c r="B174" s="1412" t="s">
        <v>1430</v>
      </c>
      <c r="C174" s="1065"/>
      <c r="D174" s="934"/>
      <c r="E174" s="934"/>
      <c r="F174" s="934"/>
      <c r="G174" s="934"/>
      <c r="H174" s="1055"/>
      <c r="I174" s="1055">
        <v>0</v>
      </c>
      <c r="J174" s="1055">
        <v>0</v>
      </c>
    </row>
    <row r="175" spans="1:10">
      <c r="A175" s="1065"/>
      <c r="B175" s="1412" t="s">
        <v>1431</v>
      </c>
      <c r="C175" s="1065"/>
      <c r="D175" s="934"/>
      <c r="E175" s="934"/>
      <c r="F175" s="934"/>
      <c r="G175" s="934"/>
      <c r="H175" s="1055"/>
      <c r="I175" s="1055">
        <v>0</v>
      </c>
      <c r="J175" s="1055">
        <v>0</v>
      </c>
    </row>
    <row r="176" spans="1:10">
      <c r="A176" s="1065"/>
      <c r="B176" s="1412" t="s">
        <v>1432</v>
      </c>
      <c r="C176" s="1065"/>
      <c r="D176" s="934"/>
      <c r="E176" s="934"/>
      <c r="F176" s="934"/>
      <c r="G176" s="934"/>
      <c r="H176" s="1055"/>
      <c r="I176" s="1055">
        <v>0</v>
      </c>
      <c r="J176" s="1055">
        <v>0</v>
      </c>
    </row>
    <row r="177" spans="1:10">
      <c r="A177" s="1065"/>
      <c r="B177" s="1412" t="s">
        <v>1433</v>
      </c>
      <c r="C177" s="1065"/>
      <c r="D177" s="934"/>
      <c r="E177" s="934"/>
      <c r="F177" s="934"/>
      <c r="G177" s="934"/>
      <c r="H177" s="1055"/>
      <c r="I177" s="1055">
        <v>0</v>
      </c>
      <c r="J177" s="1055">
        <v>0</v>
      </c>
    </row>
    <row r="178" spans="1:10">
      <c r="A178" s="1065"/>
      <c r="B178" s="1411" t="s">
        <v>1014</v>
      </c>
      <c r="C178" s="1065"/>
      <c r="D178" s="934"/>
      <c r="E178" s="934"/>
      <c r="F178" s="934"/>
      <c r="G178" s="934"/>
      <c r="H178" s="1055"/>
      <c r="I178" s="1055">
        <v>0</v>
      </c>
      <c r="J178" s="1055">
        <v>0</v>
      </c>
    </row>
    <row r="179" spans="1:10">
      <c r="A179" s="1065"/>
      <c r="B179" s="1412" t="s">
        <v>1430</v>
      </c>
      <c r="C179" s="1065"/>
      <c r="D179" s="934"/>
      <c r="E179" s="934"/>
      <c r="F179" s="934"/>
      <c r="G179" s="934"/>
      <c r="H179" s="1055"/>
      <c r="I179" s="1055">
        <v>0</v>
      </c>
      <c r="J179" s="1055">
        <v>0</v>
      </c>
    </row>
    <row r="180" spans="1:10">
      <c r="A180" s="1065"/>
      <c r="B180" s="1412" t="s">
        <v>1431</v>
      </c>
      <c r="C180" s="1065"/>
      <c r="D180" s="934"/>
      <c r="E180" s="934"/>
      <c r="F180" s="934"/>
      <c r="G180" s="934"/>
      <c r="H180" s="1055"/>
      <c r="I180" s="1055">
        <v>0</v>
      </c>
      <c r="J180" s="1055">
        <v>0</v>
      </c>
    </row>
    <row r="181" spans="1:10">
      <c r="A181" s="1065"/>
      <c r="B181" s="1412" t="s">
        <v>1432</v>
      </c>
      <c r="C181" s="1065"/>
      <c r="D181" s="934"/>
      <c r="E181" s="934"/>
      <c r="F181" s="934"/>
      <c r="G181" s="934"/>
      <c r="H181" s="1055"/>
      <c r="I181" s="1055">
        <v>0</v>
      </c>
      <c r="J181" s="1055">
        <v>0</v>
      </c>
    </row>
    <row r="182" spans="1:10">
      <c r="A182" s="1065"/>
      <c r="B182" s="1412" t="s">
        <v>1433</v>
      </c>
      <c r="C182" s="1065"/>
      <c r="D182" s="934"/>
      <c r="E182" s="934"/>
      <c r="F182" s="934"/>
      <c r="G182" s="934"/>
      <c r="H182" s="1055"/>
      <c r="I182" s="1055">
        <v>0</v>
      </c>
      <c r="J182" s="1055">
        <v>0</v>
      </c>
    </row>
    <row r="183" spans="1:10">
      <c r="A183" s="1065"/>
      <c r="B183" s="1402" t="s">
        <v>1425</v>
      </c>
      <c r="C183" s="1065"/>
      <c r="D183" s="934"/>
      <c r="E183" s="934"/>
      <c r="F183" s="934"/>
      <c r="G183" s="934"/>
      <c r="H183" s="1055"/>
      <c r="I183" s="1055">
        <v>2.0254080000000001E-2</v>
      </c>
      <c r="J183" s="1055">
        <v>2.2279488000000004E-2</v>
      </c>
    </row>
    <row r="184" spans="1:10">
      <c r="A184" s="1065"/>
      <c r="B184" s="1409"/>
      <c r="C184" s="1065"/>
      <c r="D184" s="934"/>
      <c r="E184" s="934"/>
      <c r="F184" s="934"/>
      <c r="G184" s="934"/>
      <c r="H184" s="1055"/>
      <c r="I184" s="1055"/>
      <c r="J184" s="1055"/>
    </row>
    <row r="185" spans="1:10">
      <c r="A185" s="1065"/>
      <c r="B185" s="1402" t="s">
        <v>1119</v>
      </c>
      <c r="C185" s="1065"/>
      <c r="D185" s="934"/>
      <c r="E185" s="934"/>
      <c r="F185" s="934"/>
      <c r="G185" s="934"/>
      <c r="H185" s="1055"/>
      <c r="I185" s="1055">
        <v>0</v>
      </c>
      <c r="J185" s="1055">
        <v>0</v>
      </c>
    </row>
    <row r="186" spans="1:10">
      <c r="A186" s="1065"/>
      <c r="B186" s="1402" t="s">
        <v>475</v>
      </c>
      <c r="C186" s="1065"/>
      <c r="D186" s="934"/>
      <c r="E186" s="934"/>
      <c r="F186" s="934"/>
      <c r="G186" s="934"/>
      <c r="H186" s="1055"/>
      <c r="I186" s="1055">
        <v>0</v>
      </c>
      <c r="J186" s="1055">
        <v>0</v>
      </c>
    </row>
    <row r="187" spans="1:10">
      <c r="A187" s="1065"/>
      <c r="B187" s="1409" t="s">
        <v>1411</v>
      </c>
      <c r="C187" s="1065"/>
      <c r="D187" s="934"/>
      <c r="E187" s="934"/>
      <c r="F187" s="934"/>
      <c r="G187" s="934"/>
      <c r="H187" s="1055"/>
      <c r="I187" s="1055">
        <v>0</v>
      </c>
      <c r="J187" s="1055">
        <v>0</v>
      </c>
    </row>
    <row r="188" spans="1:10">
      <c r="A188" s="1065"/>
      <c r="B188" s="1409" t="s">
        <v>1462</v>
      </c>
      <c r="C188" s="1065"/>
      <c r="D188" s="934"/>
      <c r="E188" s="934"/>
      <c r="F188" s="934"/>
      <c r="G188" s="934"/>
      <c r="H188" s="1055"/>
      <c r="I188" s="1055">
        <v>0</v>
      </c>
      <c r="J188" s="1055">
        <v>0</v>
      </c>
    </row>
    <row r="189" spans="1:10">
      <c r="A189" s="1065"/>
      <c r="B189" s="1402" t="s">
        <v>1403</v>
      </c>
      <c r="C189" s="1065"/>
      <c r="D189" s="934"/>
      <c r="E189" s="934"/>
      <c r="F189" s="934"/>
      <c r="G189" s="934"/>
      <c r="H189" s="1055"/>
      <c r="I189" s="1055">
        <v>0</v>
      </c>
      <c r="J189" s="1055">
        <v>0</v>
      </c>
    </row>
    <row r="190" spans="1:10">
      <c r="A190" s="1065"/>
      <c r="B190" s="1409" t="s">
        <v>1413</v>
      </c>
      <c r="C190" s="1065"/>
      <c r="D190" s="934"/>
      <c r="E190" s="934"/>
      <c r="F190" s="934"/>
      <c r="G190" s="934"/>
      <c r="H190" s="1055"/>
      <c r="I190" s="1055">
        <v>0</v>
      </c>
      <c r="J190" s="1055">
        <v>0</v>
      </c>
    </row>
    <row r="191" spans="1:10">
      <c r="A191" s="1065"/>
      <c r="B191" s="1409" t="s">
        <v>1463</v>
      </c>
      <c r="C191" s="1065"/>
      <c r="D191" s="934"/>
      <c r="E191" s="934"/>
      <c r="F191" s="934"/>
      <c r="G191" s="934"/>
      <c r="H191" s="1055"/>
      <c r="I191" s="1055">
        <v>0</v>
      </c>
      <c r="J191" s="1055">
        <v>0</v>
      </c>
    </row>
    <row r="192" spans="1:10">
      <c r="A192" s="1065"/>
      <c r="B192" s="1402" t="s">
        <v>1425</v>
      </c>
      <c r="C192" s="1065"/>
      <c r="D192" s="934"/>
      <c r="E192" s="934"/>
      <c r="F192" s="934"/>
      <c r="G192" s="934"/>
      <c r="H192" s="1055"/>
      <c r="I192" s="1055">
        <v>0</v>
      </c>
      <c r="J192" s="1055">
        <v>0</v>
      </c>
    </row>
    <row r="193" spans="1:10" ht="58">
      <c r="A193" s="1065"/>
      <c r="B193" s="1413" t="s">
        <v>1464</v>
      </c>
      <c r="C193" s="1065"/>
      <c r="D193" s="934"/>
      <c r="E193" s="934"/>
      <c r="F193" s="934"/>
      <c r="G193" s="934"/>
      <c r="H193" s="1055"/>
      <c r="I193" s="1055">
        <v>266.61910947285668</v>
      </c>
      <c r="J193" s="1055">
        <v>268.35970693513002</v>
      </c>
    </row>
    <row r="194" spans="1:10">
      <c r="A194" s="1065"/>
      <c r="B194" s="1402" t="s">
        <v>1465</v>
      </c>
      <c r="C194" s="1065"/>
      <c r="D194" s="934"/>
      <c r="E194" s="934"/>
      <c r="F194" s="934"/>
      <c r="G194" s="934"/>
      <c r="H194" s="1055"/>
      <c r="I194" s="1055">
        <v>214.00812295606303</v>
      </c>
      <c r="J194" s="1055">
        <v>215.33539553060942</v>
      </c>
    </row>
    <row r="195" spans="1:10">
      <c r="A195" s="1065"/>
      <c r="B195" s="1409" t="s">
        <v>1466</v>
      </c>
      <c r="C195" s="1065"/>
      <c r="D195" s="934"/>
      <c r="E195" s="934"/>
      <c r="F195" s="934"/>
      <c r="G195" s="934"/>
      <c r="H195" s="1055"/>
      <c r="I195" s="1055">
        <v>5.6931338512685583</v>
      </c>
      <c r="J195" s="1055">
        <v>5.7384655419142829</v>
      </c>
    </row>
    <row r="196" spans="1:10">
      <c r="A196" s="1065"/>
      <c r="B196" s="1409" t="s">
        <v>1467</v>
      </c>
      <c r="C196" s="1065"/>
      <c r="D196" s="934"/>
      <c r="E196" s="934"/>
      <c r="F196" s="934"/>
      <c r="G196" s="934"/>
      <c r="H196" s="1055"/>
      <c r="I196" s="1055">
        <v>208.31498910479448</v>
      </c>
      <c r="J196" s="1055">
        <v>209.59692998869514</v>
      </c>
    </row>
    <row r="197" spans="1:10">
      <c r="A197" s="1065"/>
      <c r="B197" s="1402" t="s">
        <v>1468</v>
      </c>
      <c r="C197" s="1065"/>
      <c r="D197" s="934"/>
      <c r="E197" s="934"/>
      <c r="F197" s="934"/>
      <c r="G197" s="934"/>
      <c r="H197" s="1055"/>
      <c r="I197" s="1055">
        <v>52.610986516793631</v>
      </c>
      <c r="J197" s="1055">
        <v>53.024311404520589</v>
      </c>
    </row>
    <row r="198" spans="1:10">
      <c r="A198" s="1065"/>
      <c r="B198" s="1409" t="s">
        <v>1466</v>
      </c>
      <c r="C198" s="1065"/>
      <c r="D198" s="934"/>
      <c r="E198" s="934"/>
      <c r="F198" s="934"/>
      <c r="G198" s="934"/>
      <c r="H198" s="1055"/>
      <c r="I198" s="1055">
        <v>4.1391332585438088</v>
      </c>
      <c r="J198" s="1055">
        <v>4.1828596718476172</v>
      </c>
    </row>
    <row r="199" spans="1:10">
      <c r="A199" s="1065"/>
      <c r="B199" s="1409" t="s">
        <v>1467</v>
      </c>
      <c r="C199" s="1065"/>
      <c r="D199" s="934"/>
      <c r="E199" s="934"/>
      <c r="F199" s="934"/>
      <c r="G199" s="934"/>
      <c r="H199" s="1055"/>
      <c r="I199" s="1055">
        <v>48.471853258249823</v>
      </c>
      <c r="J199" s="1055">
        <v>48.841451732672972</v>
      </c>
    </row>
    <row r="200" spans="1:10" ht="72.5">
      <c r="A200" s="1065"/>
      <c r="B200" s="1413" t="s">
        <v>1469</v>
      </c>
      <c r="C200" s="1065"/>
      <c r="D200" s="934"/>
      <c r="E200" s="934"/>
      <c r="F200" s="934"/>
      <c r="G200" s="934"/>
      <c r="H200" s="1055"/>
      <c r="I200" s="1055">
        <v>241.52317294608525</v>
      </c>
      <c r="J200" s="1055">
        <v>243.08478407825385</v>
      </c>
    </row>
    <row r="201" spans="1:10">
      <c r="A201" s="1065"/>
      <c r="B201" s="1402" t="s">
        <v>1465</v>
      </c>
      <c r="C201" s="1065"/>
      <c r="D201" s="934"/>
      <c r="E201" s="934"/>
      <c r="F201" s="934"/>
      <c r="G201" s="934"/>
      <c r="H201" s="1055"/>
      <c r="I201" s="1055">
        <v>189.71951844402577</v>
      </c>
      <c r="J201" s="1055">
        <v>190.82730422530153</v>
      </c>
    </row>
    <row r="202" spans="1:10">
      <c r="A202" s="1065"/>
      <c r="B202" s="1409" t="s">
        <v>1466</v>
      </c>
      <c r="C202" s="1065"/>
      <c r="D202" s="934"/>
      <c r="E202" s="934"/>
      <c r="F202" s="934"/>
      <c r="G202" s="934"/>
      <c r="H202" s="1055"/>
      <c r="I202" s="1055">
        <v>5.2768546606943643</v>
      </c>
      <c r="J202" s="1055">
        <v>5.3178811224920608</v>
      </c>
    </row>
    <row r="203" spans="1:10">
      <c r="A203" s="1065"/>
      <c r="B203" s="1409" t="s">
        <v>1467</v>
      </c>
      <c r="C203" s="1065"/>
      <c r="D203" s="934"/>
      <c r="E203" s="934"/>
      <c r="F203" s="934"/>
      <c r="G203" s="934"/>
      <c r="H203" s="1055"/>
      <c r="I203" s="1055">
        <v>184.4426637833314</v>
      </c>
      <c r="J203" s="1055">
        <v>185.50942310280948</v>
      </c>
    </row>
    <row r="204" spans="1:10">
      <c r="A204" s="1065"/>
      <c r="B204" s="1402" t="s">
        <v>1468</v>
      </c>
      <c r="C204" s="1065"/>
      <c r="D204" s="934"/>
      <c r="E204" s="934"/>
      <c r="F204" s="934"/>
      <c r="G204" s="934"/>
      <c r="H204" s="1055"/>
      <c r="I204" s="1055">
        <v>51.803654502059501</v>
      </c>
      <c r="J204" s="1055">
        <v>52.257479852952329</v>
      </c>
    </row>
    <row r="205" spans="1:10">
      <c r="A205" s="1065"/>
      <c r="B205" s="1409" t="s">
        <v>1466</v>
      </c>
      <c r="C205" s="1065"/>
      <c r="D205" s="934"/>
      <c r="E205" s="934"/>
      <c r="F205" s="934"/>
      <c r="G205" s="934"/>
      <c r="H205" s="1055"/>
      <c r="I205" s="1055">
        <v>5.6859343234701765</v>
      </c>
      <c r="J205" s="1055">
        <v>5.7628703861428514</v>
      </c>
    </row>
    <row r="206" spans="1:10">
      <c r="A206" s="1065"/>
      <c r="B206" s="1409" t="s">
        <v>1467</v>
      </c>
      <c r="C206" s="1065"/>
      <c r="D206" s="934"/>
      <c r="E206" s="934"/>
      <c r="F206" s="934"/>
      <c r="G206" s="934"/>
      <c r="H206" s="1055"/>
      <c r="I206" s="1055">
        <v>46.117720178589323</v>
      </c>
      <c r="J206" s="1055">
        <v>46.494609466809479</v>
      </c>
    </row>
    <row r="207" spans="1:10">
      <c r="A207" s="1065"/>
      <c r="B207" s="1402" t="s">
        <v>1425</v>
      </c>
      <c r="C207" s="1065"/>
      <c r="D207" s="934"/>
      <c r="E207" s="934"/>
      <c r="F207" s="934"/>
      <c r="G207" s="934"/>
      <c r="H207" s="1055"/>
      <c r="I207" s="1055">
        <v>508.14228241894193</v>
      </c>
      <c r="J207" s="1055">
        <v>511.44449101338387</v>
      </c>
    </row>
    <row r="208" spans="1:10">
      <c r="A208" s="1065"/>
      <c r="B208" s="1409"/>
      <c r="C208" s="1065"/>
      <c r="D208" s="934"/>
      <c r="E208" s="934"/>
      <c r="F208" s="934"/>
      <c r="G208" s="934"/>
      <c r="H208" s="1055"/>
      <c r="I208" s="1055">
        <v>0</v>
      </c>
      <c r="J208" s="1055">
        <v>0</v>
      </c>
    </row>
    <row r="209" spans="1:10">
      <c r="A209" s="1065"/>
      <c r="B209" s="1402" t="s">
        <v>1125</v>
      </c>
      <c r="C209" s="1065"/>
      <c r="D209" s="934"/>
      <c r="E209" s="934"/>
      <c r="F209" s="934"/>
      <c r="G209" s="934"/>
      <c r="H209" s="1055"/>
      <c r="I209" s="1055">
        <v>0</v>
      </c>
      <c r="J209" s="1055">
        <v>0</v>
      </c>
    </row>
    <row r="210" spans="1:10">
      <c r="A210" s="1065"/>
      <c r="B210" s="1402" t="s">
        <v>1126</v>
      </c>
      <c r="C210" s="1065"/>
      <c r="D210" s="934"/>
      <c r="E210" s="934"/>
      <c r="F210" s="934"/>
      <c r="G210" s="934"/>
      <c r="H210" s="1055"/>
      <c r="I210" s="1055">
        <v>637.31631556771833</v>
      </c>
      <c r="J210" s="1055">
        <v>656.43580503474993</v>
      </c>
    </row>
    <row r="211" spans="1:10">
      <c r="A211" s="1065"/>
      <c r="B211" s="1410" t="s">
        <v>1013</v>
      </c>
      <c r="C211" s="1065"/>
      <c r="D211" s="934"/>
      <c r="E211" s="934"/>
      <c r="F211" s="934"/>
      <c r="G211" s="934"/>
      <c r="H211" s="1055"/>
      <c r="I211" s="1055">
        <v>362.84618198795283</v>
      </c>
      <c r="J211" s="1055">
        <v>373.73156744759149</v>
      </c>
    </row>
    <row r="212" spans="1:10">
      <c r="A212" s="1065"/>
      <c r="B212" s="1406" t="s">
        <v>1430</v>
      </c>
      <c r="C212" s="1065"/>
      <c r="D212" s="934"/>
      <c r="E212" s="934"/>
      <c r="F212" s="934"/>
      <c r="G212" s="934"/>
      <c r="H212" s="1055"/>
      <c r="I212" s="1055">
        <v>74.30109567062766</v>
      </c>
      <c r="J212" s="1055">
        <v>76.530128540746517</v>
      </c>
    </row>
    <row r="213" spans="1:10">
      <c r="A213" s="1065"/>
      <c r="B213" s="1406" t="s">
        <v>1431</v>
      </c>
      <c r="C213" s="1065"/>
      <c r="D213" s="934"/>
      <c r="E213" s="934"/>
      <c r="F213" s="934"/>
      <c r="G213" s="934"/>
      <c r="H213" s="1055"/>
      <c r="I213" s="1055">
        <v>132.64504588624246</v>
      </c>
      <c r="J213" s="1055">
        <v>136.62439726282972</v>
      </c>
    </row>
    <row r="214" spans="1:10">
      <c r="A214" s="1065"/>
      <c r="B214" s="1406" t="s">
        <v>1432</v>
      </c>
      <c r="C214" s="1065"/>
      <c r="D214" s="934"/>
      <c r="E214" s="934"/>
      <c r="F214" s="934"/>
      <c r="G214" s="934"/>
      <c r="H214" s="1055"/>
      <c r="I214" s="1055">
        <v>82.673797744533118</v>
      </c>
      <c r="J214" s="1055">
        <v>85.154011676869132</v>
      </c>
    </row>
    <row r="215" spans="1:10">
      <c r="A215" s="1065"/>
      <c r="B215" s="1406" t="s">
        <v>1433</v>
      </c>
      <c r="C215" s="1065"/>
      <c r="D215" s="934"/>
      <c r="E215" s="934"/>
      <c r="F215" s="934"/>
      <c r="G215" s="934"/>
      <c r="H215" s="1055"/>
      <c r="I215" s="1055">
        <v>73.226242686549611</v>
      </c>
      <c r="J215" s="1055">
        <v>75.423029967146107</v>
      </c>
    </row>
    <row r="216" spans="1:10">
      <c r="A216" s="1065"/>
      <c r="B216" s="1411" t="s">
        <v>1014</v>
      </c>
      <c r="C216" s="1065"/>
      <c r="D216" s="934"/>
      <c r="E216" s="934"/>
      <c r="F216" s="934"/>
      <c r="G216" s="934"/>
      <c r="H216" s="1055"/>
      <c r="I216" s="1055">
        <v>274.4701335797655</v>
      </c>
      <c r="J216" s="1055">
        <v>282.70423758715845</v>
      </c>
    </row>
    <row r="217" spans="1:10">
      <c r="A217" s="1065"/>
      <c r="B217" s="1406" t="s">
        <v>1430</v>
      </c>
      <c r="C217" s="1065"/>
      <c r="D217" s="934"/>
      <c r="E217" s="934"/>
      <c r="F217" s="934"/>
      <c r="G217" s="934"/>
      <c r="H217" s="1055"/>
      <c r="I217" s="1055">
        <v>63.155708614277628</v>
      </c>
      <c r="J217" s="1055">
        <v>65.05037987270596</v>
      </c>
    </row>
    <row r="218" spans="1:10">
      <c r="A218" s="1065"/>
      <c r="B218" s="1406" t="s">
        <v>1431</v>
      </c>
      <c r="C218" s="1065"/>
      <c r="D218" s="934"/>
      <c r="E218" s="934"/>
      <c r="F218" s="934"/>
      <c r="G218" s="934"/>
      <c r="H218" s="1055"/>
      <c r="I218" s="1055">
        <v>99.99816973845455</v>
      </c>
      <c r="J218" s="1055">
        <v>102.99811483060819</v>
      </c>
    </row>
    <row r="219" spans="1:10">
      <c r="A219" s="1065"/>
      <c r="B219" s="1406" t="s">
        <v>1432</v>
      </c>
      <c r="C219" s="1065"/>
      <c r="D219" s="934"/>
      <c r="E219" s="934"/>
      <c r="F219" s="934"/>
      <c r="G219" s="934"/>
      <c r="H219" s="1055"/>
      <c r="I219" s="1055">
        <v>64.393155558502286</v>
      </c>
      <c r="J219" s="1055">
        <v>66.324950225257368</v>
      </c>
    </row>
    <row r="220" spans="1:10">
      <c r="A220" s="1065"/>
      <c r="B220" s="1406" t="s">
        <v>1433</v>
      </c>
      <c r="C220" s="1065"/>
      <c r="D220" s="934"/>
      <c r="E220" s="934"/>
      <c r="F220" s="934"/>
      <c r="G220" s="934"/>
      <c r="H220" s="1055"/>
      <c r="I220" s="1055">
        <v>46.923099668531023</v>
      </c>
      <c r="J220" s="1055">
        <v>48.330792658586958</v>
      </c>
    </row>
    <row r="221" spans="1:10">
      <c r="A221" s="1065"/>
      <c r="B221" s="1402" t="s">
        <v>1127</v>
      </c>
      <c r="C221" s="1065"/>
      <c r="D221" s="934"/>
      <c r="E221" s="934"/>
      <c r="F221" s="934"/>
      <c r="G221" s="934"/>
      <c r="H221" s="1055"/>
      <c r="I221" s="1055">
        <v>228.54805305437532</v>
      </c>
      <c r="J221" s="1055">
        <v>239.75369705709412</v>
      </c>
    </row>
    <row r="222" spans="1:10">
      <c r="A222" s="1065"/>
      <c r="B222" s="1410" t="s">
        <v>1013</v>
      </c>
      <c r="C222" s="1065"/>
      <c r="D222" s="934"/>
      <c r="E222" s="934"/>
      <c r="F222" s="934"/>
      <c r="G222" s="934"/>
      <c r="H222" s="1055"/>
      <c r="I222" s="1055">
        <v>125.3039356774614</v>
      </c>
      <c r="J222" s="1055">
        <v>131.34737381133448</v>
      </c>
    </row>
    <row r="223" spans="1:10">
      <c r="A223" s="1065"/>
      <c r="B223" s="1406" t="s">
        <v>1430</v>
      </c>
      <c r="C223" s="1065"/>
      <c r="D223" s="934"/>
      <c r="E223" s="934"/>
      <c r="F223" s="934"/>
      <c r="G223" s="934"/>
      <c r="H223" s="1055"/>
      <c r="I223" s="1055">
        <v>25.37449799454896</v>
      </c>
      <c r="J223" s="1055">
        <v>26.592174072095681</v>
      </c>
    </row>
    <row r="224" spans="1:10">
      <c r="A224" s="1065"/>
      <c r="B224" s="1406" t="s">
        <v>1431</v>
      </c>
      <c r="C224" s="1065"/>
      <c r="D224" s="934"/>
      <c r="E224" s="934"/>
      <c r="F224" s="934"/>
      <c r="G224" s="934"/>
      <c r="H224" s="1055"/>
      <c r="I224" s="1055">
        <v>45.819209513577398</v>
      </c>
      <c r="J224" s="1055">
        <v>48.029341369051025</v>
      </c>
    </row>
    <row r="225" spans="1:10">
      <c r="A225" s="1065"/>
      <c r="B225" s="1406" t="s">
        <v>1432</v>
      </c>
      <c r="C225" s="1065"/>
      <c r="D225" s="934"/>
      <c r="E225" s="934"/>
      <c r="F225" s="934"/>
      <c r="G225" s="934"/>
      <c r="H225" s="1055"/>
      <c r="I225" s="1055">
        <v>28.815890690463036</v>
      </c>
      <c r="J225" s="1055">
        <v>30.211425179961555</v>
      </c>
    </row>
    <row r="226" spans="1:10">
      <c r="A226" s="1065"/>
      <c r="B226" s="1406" t="s">
        <v>1433</v>
      </c>
      <c r="C226" s="1065"/>
      <c r="D226" s="934"/>
      <c r="E226" s="934"/>
      <c r="F226" s="934"/>
      <c r="G226" s="934"/>
      <c r="H226" s="1055"/>
      <c r="I226" s="1055">
        <v>25.294337478872016</v>
      </c>
      <c r="J226" s="1055">
        <v>26.514433190226221</v>
      </c>
    </row>
    <row r="227" spans="1:10">
      <c r="A227" s="1065"/>
      <c r="B227" s="1411" t="s">
        <v>1014</v>
      </c>
      <c r="C227" s="1065"/>
      <c r="D227" s="934"/>
      <c r="E227" s="934"/>
      <c r="F227" s="934"/>
      <c r="G227" s="934"/>
      <c r="H227" s="1055"/>
      <c r="I227" s="1055">
        <v>103.24411737691392</v>
      </c>
      <c r="J227" s="1055">
        <v>108.40632324575964</v>
      </c>
    </row>
    <row r="228" spans="1:10">
      <c r="A228" s="1065"/>
      <c r="B228" s="1406" t="s">
        <v>1430</v>
      </c>
      <c r="C228" s="1065"/>
      <c r="D228" s="934"/>
      <c r="E228" s="934"/>
      <c r="F228" s="934"/>
      <c r="G228" s="934"/>
      <c r="H228" s="1055"/>
      <c r="I228" s="1055">
        <v>23.756520639065101</v>
      </c>
      <c r="J228" s="1055">
        <v>24.944346671018355</v>
      </c>
    </row>
    <row r="229" spans="1:10">
      <c r="A229" s="1065"/>
      <c r="B229" s="1406" t="s">
        <v>1431</v>
      </c>
      <c r="C229" s="1065"/>
      <c r="D229" s="934"/>
      <c r="E229" s="934"/>
      <c r="F229" s="934"/>
      <c r="G229" s="934"/>
      <c r="H229" s="1055"/>
      <c r="I229" s="1055">
        <v>37.615104562745358</v>
      </c>
      <c r="J229" s="1055">
        <v>39.495859790882626</v>
      </c>
    </row>
    <row r="230" spans="1:10">
      <c r="A230" s="1065"/>
      <c r="B230" s="1406" t="s">
        <v>1432</v>
      </c>
      <c r="C230" s="1065"/>
      <c r="D230" s="934"/>
      <c r="E230" s="934"/>
      <c r="F230" s="934"/>
      <c r="G230" s="934"/>
      <c r="H230" s="1055"/>
      <c r="I230" s="1055">
        <v>24.221996120462443</v>
      </c>
      <c r="J230" s="1055">
        <v>25.433095926485571</v>
      </c>
    </row>
    <row r="231" spans="1:10">
      <c r="A231" s="1065"/>
      <c r="B231" s="1406" t="s">
        <v>1433</v>
      </c>
      <c r="C231" s="1065"/>
      <c r="D231" s="934"/>
      <c r="E231" s="934"/>
      <c r="F231" s="934"/>
      <c r="G231" s="934"/>
      <c r="H231" s="1055"/>
      <c r="I231" s="1055">
        <v>17.650496054641032</v>
      </c>
      <c r="J231" s="1055">
        <v>18.533020857373085</v>
      </c>
    </row>
    <row r="232" spans="1:10">
      <c r="A232" s="1065"/>
      <c r="B232" s="1402" t="s">
        <v>1128</v>
      </c>
      <c r="C232" s="1065"/>
      <c r="D232" s="934"/>
      <c r="E232" s="934"/>
      <c r="F232" s="934"/>
      <c r="G232" s="934"/>
      <c r="H232" s="1055"/>
      <c r="I232" s="1055">
        <v>49.124633777546677</v>
      </c>
      <c r="J232" s="1055">
        <v>52.249586821974951</v>
      </c>
    </row>
    <row r="233" spans="1:10">
      <c r="A233" s="1065"/>
      <c r="B233" s="1410" t="s">
        <v>1013</v>
      </c>
      <c r="C233" s="1065"/>
      <c r="D233" s="934"/>
      <c r="E233" s="934"/>
      <c r="F233" s="934"/>
      <c r="G233" s="934"/>
      <c r="H233" s="1055"/>
      <c r="I233" s="1055">
        <v>32.488114125454359</v>
      </c>
      <c r="J233" s="1055">
        <v>34.448510794236171</v>
      </c>
    </row>
    <row r="234" spans="1:10">
      <c r="A234" s="1065"/>
      <c r="B234" s="1406" t="s">
        <v>1430</v>
      </c>
      <c r="C234" s="1065"/>
      <c r="D234" s="934"/>
      <c r="E234" s="934"/>
      <c r="F234" s="934"/>
      <c r="G234" s="934"/>
      <c r="H234" s="1055"/>
      <c r="I234" s="1055">
        <v>6.9195395828500246</v>
      </c>
      <c r="J234" s="1055">
        <v>7.331677222738775</v>
      </c>
    </row>
    <row r="235" spans="1:10">
      <c r="A235" s="1065"/>
      <c r="B235" s="1406" t="s">
        <v>1431</v>
      </c>
      <c r="C235" s="1065"/>
      <c r="D235" s="934"/>
      <c r="E235" s="934"/>
      <c r="F235" s="934"/>
      <c r="G235" s="934"/>
      <c r="H235" s="1055"/>
      <c r="I235" s="1055">
        <v>11.865298098572115</v>
      </c>
      <c r="J235" s="1055">
        <v>12.581502726069203</v>
      </c>
    </row>
    <row r="236" spans="1:10">
      <c r="A236" s="1065"/>
      <c r="B236" s="1406" t="s">
        <v>1432</v>
      </c>
      <c r="C236" s="1065"/>
      <c r="D236" s="934"/>
      <c r="E236" s="934"/>
      <c r="F236" s="934"/>
      <c r="G236" s="934"/>
      <c r="H236" s="1055"/>
      <c r="I236" s="1055">
        <v>7.1530793197503897</v>
      </c>
      <c r="J236" s="1055">
        <v>7.5897554126997022</v>
      </c>
    </row>
    <row r="237" spans="1:10">
      <c r="A237" s="1065"/>
      <c r="B237" s="1406" t="s">
        <v>1433</v>
      </c>
      <c r="C237" s="1065"/>
      <c r="D237" s="934"/>
      <c r="E237" s="934"/>
      <c r="F237" s="934"/>
      <c r="G237" s="934"/>
      <c r="H237" s="1055"/>
      <c r="I237" s="1055">
        <v>6.5501971242818335</v>
      </c>
      <c r="J237" s="1055">
        <v>6.945575432728492</v>
      </c>
    </row>
    <row r="238" spans="1:10">
      <c r="A238" s="1065"/>
      <c r="B238" s="1411" t="s">
        <v>1014</v>
      </c>
      <c r="C238" s="1065"/>
      <c r="D238" s="934"/>
      <c r="E238" s="934"/>
      <c r="F238" s="934"/>
      <c r="G238" s="934"/>
      <c r="H238" s="1055"/>
      <c r="I238" s="1055">
        <v>16.636519652092321</v>
      </c>
      <c r="J238" s="1055">
        <v>17.80107602773878</v>
      </c>
    </row>
    <row r="239" spans="1:10">
      <c r="A239" s="1065"/>
      <c r="B239" s="1406" t="s">
        <v>1430</v>
      </c>
      <c r="C239" s="1065"/>
      <c r="D239" s="934"/>
      <c r="E239" s="934"/>
      <c r="F239" s="934"/>
      <c r="G239" s="934"/>
      <c r="H239" s="1055"/>
      <c r="I239" s="1055">
        <v>3.8280711048581102</v>
      </c>
      <c r="J239" s="1055">
        <v>4.0960360821981778</v>
      </c>
    </row>
    <row r="240" spans="1:10">
      <c r="A240" s="1065"/>
      <c r="B240" s="1406" t="s">
        <v>1431</v>
      </c>
      <c r="C240" s="1065"/>
      <c r="D240" s="934"/>
      <c r="E240" s="934"/>
      <c r="F240" s="934"/>
      <c r="G240" s="934"/>
      <c r="H240" s="1055"/>
      <c r="I240" s="1055">
        <v>6.061211448871858</v>
      </c>
      <c r="J240" s="1055">
        <v>6.4854962502928881</v>
      </c>
    </row>
    <row r="241" spans="1:10">
      <c r="A241" s="1065"/>
      <c r="B241" s="1406" t="s">
        <v>1432</v>
      </c>
      <c r="C241" s="1065"/>
      <c r="D241" s="934"/>
      <c r="E241" s="934"/>
      <c r="F241" s="934"/>
      <c r="G241" s="934"/>
      <c r="H241" s="1055"/>
      <c r="I241" s="1055">
        <v>3.9030767535147151</v>
      </c>
      <c r="J241" s="1055">
        <v>4.1762921262607451</v>
      </c>
    </row>
    <row r="242" spans="1:10">
      <c r="A242" s="1065"/>
      <c r="B242" s="1406" t="s">
        <v>1433</v>
      </c>
      <c r="C242" s="1065"/>
      <c r="D242" s="934"/>
      <c r="E242" s="934"/>
      <c r="F242" s="934"/>
      <c r="G242" s="934"/>
      <c r="H242" s="1055"/>
      <c r="I242" s="1055">
        <v>2.844160344847638</v>
      </c>
      <c r="J242" s="1055">
        <v>3.0432515689869728</v>
      </c>
    </row>
    <row r="243" spans="1:10">
      <c r="A243" s="1065"/>
      <c r="B243" s="1402" t="s">
        <v>1129</v>
      </c>
      <c r="C243" s="1065"/>
      <c r="D243" s="934"/>
      <c r="E243" s="934"/>
      <c r="F243" s="934"/>
      <c r="G243" s="934"/>
      <c r="H243" s="1055"/>
      <c r="I243" s="1055">
        <v>2.4078129116724023</v>
      </c>
      <c r="J243" s="1055">
        <v>2.5019432881392989</v>
      </c>
    </row>
    <row r="244" spans="1:10">
      <c r="A244" s="1065"/>
      <c r="B244" s="1410" t="s">
        <v>1013</v>
      </c>
      <c r="C244" s="1065"/>
      <c r="D244" s="934"/>
      <c r="E244" s="934"/>
      <c r="F244" s="934"/>
      <c r="G244" s="934"/>
      <c r="H244" s="1055"/>
      <c r="I244" s="1055">
        <v>1.4232542879384913</v>
      </c>
      <c r="J244" s="1055">
        <v>1.4780023194560312</v>
      </c>
    </row>
    <row r="245" spans="1:10">
      <c r="A245" s="1065"/>
      <c r="B245" s="1406" t="s">
        <v>1430</v>
      </c>
      <c r="C245" s="1065"/>
      <c r="D245" s="934"/>
      <c r="E245" s="934"/>
      <c r="F245" s="934"/>
      <c r="G245" s="934"/>
      <c r="H245" s="1055"/>
      <c r="I245" s="1055">
        <v>0.29453797090814349</v>
      </c>
      <c r="J245" s="1055">
        <v>0.30581716130391712</v>
      </c>
    </row>
    <row r="246" spans="1:10">
      <c r="A246" s="1065"/>
      <c r="B246" s="1406" t="s">
        <v>1431</v>
      </c>
      <c r="C246" s="1065"/>
      <c r="D246" s="934"/>
      <c r="E246" s="934"/>
      <c r="F246" s="934"/>
      <c r="G246" s="934"/>
      <c r="H246" s="1055"/>
      <c r="I246" s="1055">
        <v>0.52016528142706431</v>
      </c>
      <c r="J246" s="1055">
        <v>0.54017652634648805</v>
      </c>
    </row>
    <row r="247" spans="1:10">
      <c r="A247" s="1065"/>
      <c r="B247" s="1406" t="s">
        <v>1432</v>
      </c>
      <c r="C247" s="1065"/>
      <c r="D247" s="934"/>
      <c r="E247" s="934"/>
      <c r="F247" s="934"/>
      <c r="G247" s="934"/>
      <c r="H247" s="1055"/>
      <c r="I247" s="1055">
        <v>0.32139557585425022</v>
      </c>
      <c r="J247" s="1055">
        <v>0.33380603292569427</v>
      </c>
    </row>
    <row r="248" spans="1:10">
      <c r="A248" s="1065"/>
      <c r="B248" s="1406" t="s">
        <v>1433</v>
      </c>
      <c r="C248" s="1065"/>
      <c r="D248" s="934"/>
      <c r="E248" s="934"/>
      <c r="F248" s="934"/>
      <c r="G248" s="934"/>
      <c r="H248" s="1055"/>
      <c r="I248" s="1055">
        <v>0.28715545974903339</v>
      </c>
      <c r="J248" s="1055">
        <v>0.29820259887993172</v>
      </c>
    </row>
    <row r="249" spans="1:10">
      <c r="A249" s="1065"/>
      <c r="B249" s="1411" t="s">
        <v>1014</v>
      </c>
      <c r="C249" s="1065"/>
      <c r="D249" s="934"/>
      <c r="E249" s="934"/>
      <c r="F249" s="934"/>
      <c r="G249" s="934"/>
      <c r="H249" s="1055"/>
      <c r="I249" s="1055">
        <v>0.98455862373391112</v>
      </c>
      <c r="J249" s="1055">
        <v>1.0239409686832677</v>
      </c>
    </row>
    <row r="250" spans="1:10">
      <c r="A250" s="1065"/>
      <c r="B250" s="1406" t="s">
        <v>1430</v>
      </c>
      <c r="C250" s="1065"/>
      <c r="D250" s="934"/>
      <c r="E250" s="934"/>
      <c r="F250" s="934"/>
      <c r="G250" s="934"/>
      <c r="H250" s="1055"/>
      <c r="I250" s="1055">
        <v>0.22654740879536325</v>
      </c>
      <c r="J250" s="1055">
        <v>0.23560930514717779</v>
      </c>
    </row>
    <row r="251" spans="1:10">
      <c r="A251" s="1065"/>
      <c r="B251" s="1406" t="s">
        <v>1431</v>
      </c>
      <c r="C251" s="1065"/>
      <c r="D251" s="934"/>
      <c r="E251" s="934"/>
      <c r="F251" s="934"/>
      <c r="G251" s="934"/>
      <c r="H251" s="1055"/>
      <c r="I251" s="1055">
        <v>0.35870591488232179</v>
      </c>
      <c r="J251" s="1055">
        <v>0.37305415147761473</v>
      </c>
    </row>
    <row r="252" spans="1:10">
      <c r="A252" s="1065"/>
      <c r="B252" s="1406" t="s">
        <v>1432</v>
      </c>
      <c r="C252" s="1065"/>
      <c r="D252" s="934"/>
      <c r="E252" s="934"/>
      <c r="F252" s="934"/>
      <c r="G252" s="934"/>
      <c r="H252" s="1055"/>
      <c r="I252" s="1055">
        <v>0.23098628542087959</v>
      </c>
      <c r="J252" s="1055">
        <v>0.24022573683771481</v>
      </c>
    </row>
    <row r="253" spans="1:10">
      <c r="A253" s="1065"/>
      <c r="B253" s="1406" t="s">
        <v>1433</v>
      </c>
      <c r="C253" s="1065"/>
      <c r="D253" s="934"/>
      <c r="E253" s="934"/>
      <c r="F253" s="934"/>
      <c r="G253" s="934"/>
      <c r="H253" s="1055"/>
      <c r="I253" s="1055">
        <v>0.16831901463534646</v>
      </c>
      <c r="J253" s="1055">
        <v>0.17505177522076035</v>
      </c>
    </row>
    <row r="254" spans="1:10">
      <c r="A254" s="1065"/>
      <c r="B254" s="1402" t="s">
        <v>1130</v>
      </c>
      <c r="C254" s="1065"/>
      <c r="D254" s="934"/>
      <c r="E254" s="934"/>
      <c r="F254" s="934"/>
      <c r="G254" s="934"/>
      <c r="H254" s="1055"/>
      <c r="I254" s="1055">
        <v>153.65375725000001</v>
      </c>
      <c r="J254" s="1055">
        <v>161.12415761250003</v>
      </c>
    </row>
    <row r="255" spans="1:10">
      <c r="A255" s="1065"/>
      <c r="B255" s="1402" t="s">
        <v>1425</v>
      </c>
      <c r="C255" s="1065"/>
      <c r="D255" s="934"/>
      <c r="E255" s="934"/>
      <c r="F255" s="934"/>
      <c r="G255" s="934"/>
      <c r="H255" s="1055"/>
      <c r="I255" s="1055">
        <v>1071.0505725613129</v>
      </c>
      <c r="J255" s="1055">
        <v>1112.0651898144583</v>
      </c>
    </row>
    <row r="256" spans="1:10">
      <c r="A256" s="1065"/>
      <c r="B256" s="1409"/>
      <c r="C256" s="1065"/>
      <c r="D256" s="934"/>
      <c r="E256" s="934"/>
      <c r="F256" s="934"/>
      <c r="G256" s="934"/>
      <c r="H256" s="1055"/>
      <c r="I256" s="1055">
        <v>0</v>
      </c>
      <c r="J256" s="1055">
        <v>0</v>
      </c>
    </row>
    <row r="257" spans="1:10">
      <c r="A257" s="1065"/>
      <c r="B257" s="1402" t="s">
        <v>1133</v>
      </c>
      <c r="C257" s="1065"/>
      <c r="D257" s="934"/>
      <c r="E257" s="934"/>
      <c r="F257" s="934"/>
      <c r="G257" s="934"/>
      <c r="H257" s="1055"/>
      <c r="I257" s="1055">
        <v>0</v>
      </c>
      <c r="J257" s="1055">
        <v>0</v>
      </c>
    </row>
    <row r="258" spans="1:10">
      <c r="A258" s="1065"/>
      <c r="B258" s="1409" t="s">
        <v>1415</v>
      </c>
      <c r="C258" s="1065"/>
      <c r="D258" s="934"/>
      <c r="E258" s="934"/>
      <c r="F258" s="934"/>
      <c r="G258" s="934"/>
      <c r="H258" s="1055"/>
      <c r="I258" s="1055">
        <v>10.566733333333334</v>
      </c>
      <c r="J258" s="1055">
        <v>10.566733333333334</v>
      </c>
    </row>
    <row r="259" spans="1:10">
      <c r="A259" s="1065"/>
      <c r="B259" s="1409" t="s">
        <v>1134</v>
      </c>
      <c r="C259" s="1065"/>
      <c r="D259" s="934"/>
      <c r="E259" s="934"/>
      <c r="F259" s="934"/>
      <c r="G259" s="934"/>
      <c r="H259" s="1055"/>
      <c r="I259" s="1055">
        <v>0</v>
      </c>
      <c r="J259" s="1055">
        <v>0</v>
      </c>
    </row>
    <row r="260" spans="1:10">
      <c r="A260" s="1065"/>
      <c r="B260" s="1409" t="s">
        <v>1135</v>
      </c>
      <c r="C260" s="1065"/>
      <c r="D260" s="934"/>
      <c r="E260" s="934"/>
      <c r="F260" s="934"/>
      <c r="G260" s="934"/>
      <c r="H260" s="1055"/>
      <c r="I260" s="1055">
        <v>0</v>
      </c>
      <c r="J260" s="1055">
        <v>0</v>
      </c>
    </row>
    <row r="261" spans="1:10">
      <c r="A261" s="1065"/>
      <c r="B261" s="1402" t="s">
        <v>1425</v>
      </c>
      <c r="C261" s="1065"/>
      <c r="D261" s="934"/>
      <c r="E261" s="934"/>
      <c r="F261" s="934"/>
      <c r="G261" s="934"/>
      <c r="H261" s="1055"/>
      <c r="I261" s="1055">
        <v>10.566733333333334</v>
      </c>
      <c r="J261" s="1055">
        <v>10.566733333333334</v>
      </c>
    </row>
    <row r="262" spans="1:10">
      <c r="A262" s="1065"/>
      <c r="B262" s="1409"/>
      <c r="C262" s="1065"/>
      <c r="D262" s="934"/>
      <c r="E262" s="934"/>
      <c r="F262" s="934"/>
      <c r="G262" s="934"/>
      <c r="H262" s="1055"/>
      <c r="I262" s="1055">
        <v>0</v>
      </c>
      <c r="J262" s="1055">
        <v>0</v>
      </c>
    </row>
    <row r="263" spans="1:10">
      <c r="A263" s="1065"/>
      <c r="B263" s="1402" t="s">
        <v>1137</v>
      </c>
      <c r="C263" s="1065"/>
      <c r="D263" s="934"/>
      <c r="E263" s="934"/>
      <c r="F263" s="934"/>
      <c r="G263" s="934"/>
      <c r="H263" s="1055"/>
      <c r="I263" s="1055">
        <v>0</v>
      </c>
      <c r="J263" s="1055">
        <v>0</v>
      </c>
    </row>
    <row r="264" spans="1:10">
      <c r="A264" s="1065"/>
      <c r="B264" s="1409" t="s">
        <v>1138</v>
      </c>
      <c r="C264" s="1065"/>
      <c r="D264" s="934"/>
      <c r="E264" s="934"/>
      <c r="F264" s="934"/>
      <c r="G264" s="934"/>
      <c r="H264" s="1055"/>
      <c r="I264" s="1055">
        <v>146.52511980000003</v>
      </c>
      <c r="J264" s="1055">
        <v>147.990370998</v>
      </c>
    </row>
    <row r="265" spans="1:10">
      <c r="A265" s="1065"/>
      <c r="B265" s="1409" t="s">
        <v>1139</v>
      </c>
      <c r="C265" s="1065"/>
      <c r="D265" s="934"/>
      <c r="E265" s="934"/>
      <c r="F265" s="934"/>
      <c r="G265" s="934"/>
      <c r="H265" s="1055"/>
      <c r="I265" s="1055">
        <v>303.10461270000002</v>
      </c>
      <c r="J265" s="1055">
        <v>306.1356588270001</v>
      </c>
    </row>
    <row r="266" spans="1:10">
      <c r="A266" s="1065"/>
      <c r="B266" s="1409" t="s">
        <v>1140</v>
      </c>
      <c r="C266" s="1065"/>
      <c r="D266" s="934"/>
      <c r="E266" s="934"/>
      <c r="F266" s="934"/>
      <c r="G266" s="934"/>
      <c r="H266" s="1055"/>
      <c r="I266" s="1055">
        <v>0</v>
      </c>
      <c r="J266" s="1055">
        <v>0</v>
      </c>
    </row>
    <row r="267" spans="1:10">
      <c r="A267" s="1065"/>
      <c r="B267" s="1402" t="s">
        <v>1425</v>
      </c>
      <c r="C267" s="1065"/>
      <c r="D267" s="934"/>
      <c r="E267" s="934"/>
      <c r="F267" s="934"/>
      <c r="G267" s="934"/>
      <c r="H267" s="1055"/>
      <c r="I267" s="1055">
        <v>449.62973250000005</v>
      </c>
      <c r="J267" s="1055">
        <v>454.1260298250001</v>
      </c>
    </row>
    <row r="268" spans="1:10">
      <c r="A268" s="1065"/>
      <c r="B268" s="1409"/>
      <c r="C268" s="1065"/>
      <c r="D268" s="934"/>
      <c r="E268" s="934"/>
      <c r="F268" s="934"/>
      <c r="G268" s="934"/>
      <c r="H268" s="1055"/>
      <c r="I268" s="1055">
        <v>0</v>
      </c>
      <c r="J268" s="1055">
        <v>0</v>
      </c>
    </row>
    <row r="269" spans="1:10">
      <c r="A269" s="1065"/>
      <c r="B269" s="1402" t="s">
        <v>1434</v>
      </c>
      <c r="C269" s="1065"/>
      <c r="D269" s="934"/>
      <c r="E269" s="934"/>
      <c r="F269" s="934"/>
      <c r="G269" s="934"/>
      <c r="H269" s="1055"/>
      <c r="I269" s="1055">
        <v>2.1994470000000002</v>
      </c>
      <c r="J269" s="1055">
        <v>2.1994470000000002</v>
      </c>
    </row>
    <row r="270" spans="1:10">
      <c r="A270" s="1065"/>
      <c r="B270" s="1409"/>
      <c r="C270" s="1065"/>
      <c r="D270" s="934"/>
      <c r="E270" s="934"/>
      <c r="F270" s="934"/>
      <c r="G270" s="934"/>
      <c r="H270" s="1055"/>
      <c r="I270" s="1055">
        <v>0</v>
      </c>
      <c r="J270" s="1055">
        <v>0</v>
      </c>
    </row>
    <row r="271" spans="1:10">
      <c r="A271" s="1065"/>
      <c r="B271" s="1402" t="s">
        <v>1470</v>
      </c>
      <c r="C271" s="1065"/>
      <c r="D271" s="934"/>
      <c r="E271" s="934"/>
      <c r="F271" s="934"/>
      <c r="G271" s="934"/>
      <c r="H271" s="1055"/>
      <c r="I271" s="1055">
        <v>0</v>
      </c>
      <c r="J271" s="1055">
        <v>0</v>
      </c>
    </row>
    <row r="272" spans="1:10">
      <c r="A272" s="1065"/>
      <c r="B272" s="1409"/>
      <c r="C272" s="1065"/>
      <c r="D272" s="934"/>
      <c r="E272" s="934"/>
      <c r="F272" s="934"/>
      <c r="G272" s="934"/>
      <c r="H272" s="1055"/>
      <c r="I272" s="1055">
        <v>0</v>
      </c>
      <c r="J272" s="1055">
        <v>0</v>
      </c>
    </row>
    <row r="273" spans="1:10">
      <c r="A273" s="1065"/>
      <c r="B273" s="1402" t="s">
        <v>126</v>
      </c>
      <c r="C273" s="1065"/>
      <c r="D273" s="934">
        <f>'F1'!C14</f>
        <v>11132.08</v>
      </c>
      <c r="E273" s="934">
        <f>'F1'!D14</f>
        <v>11782.09</v>
      </c>
      <c r="F273" s="934"/>
      <c r="G273" s="934">
        <f>'F1'!F13</f>
        <v>11690.8567296</v>
      </c>
      <c r="H273" s="1055">
        <f>'F1'!G14</f>
        <v>11690.8567296</v>
      </c>
      <c r="I273" s="1055">
        <v>13469.269785867667</v>
      </c>
      <c r="J273" s="1055">
        <v>13722.337048453945</v>
      </c>
    </row>
  </sheetData>
  <mergeCells count="8">
    <mergeCell ref="I4:J4"/>
    <mergeCell ref="D5:E5"/>
    <mergeCell ref="A5:A7"/>
    <mergeCell ref="B5:B7"/>
    <mergeCell ref="C5:C7"/>
    <mergeCell ref="G4:H4"/>
    <mergeCell ref="F5:H5"/>
    <mergeCell ref="F6:H6"/>
  </mergeCells>
  <printOptions horizontalCentered="1"/>
  <pageMargins left="0.19685039370078741" right="0.19685039370078741" top="0.19685039370078741" bottom="0.19685039370078741" header="0.19685039370078741" footer="0.19685039370078741"/>
  <pageSetup paperSize="9"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4"/>
  <sheetViews>
    <sheetView view="pageBreakPreview" topLeftCell="C1" zoomScaleSheetLayoutView="100" workbookViewId="0">
      <pane ySplit="8" topLeftCell="A36" activePane="bottomLeft" state="frozen"/>
      <selection pane="bottomLeft" activeCell="H43" sqref="H43"/>
    </sheetView>
  </sheetViews>
  <sheetFormatPr defaultRowHeight="14.5"/>
  <cols>
    <col min="1" max="1" width="5.453125" style="229" customWidth="1"/>
    <col min="2" max="2" width="79.453125" style="229" bestFit="1" customWidth="1"/>
    <col min="3" max="3" width="12.54296875" style="229" bestFit="1" customWidth="1"/>
    <col min="4" max="4" width="14.26953125" style="229" bestFit="1" customWidth="1"/>
    <col min="5" max="5" width="18" style="229" customWidth="1"/>
    <col min="6" max="6" width="13.26953125" style="333" bestFit="1" customWidth="1"/>
    <col min="7" max="7" width="11.81640625" style="229" customWidth="1"/>
    <col min="8" max="8" width="14" style="229" customWidth="1"/>
    <col min="9" max="9" width="13.1796875" style="229" customWidth="1"/>
    <col min="10" max="10" width="10" style="229" bestFit="1" customWidth="1"/>
    <col min="11" max="11" width="11.1796875" style="229" customWidth="1"/>
    <col min="12" max="12" width="9.7265625" style="229" bestFit="1" customWidth="1"/>
    <col min="13" max="13" width="11.7265625" style="229" bestFit="1" customWidth="1"/>
    <col min="14" max="93" width="9.1796875" style="229"/>
    <col min="94" max="94" width="5.453125" style="229" customWidth="1"/>
    <col min="95" max="95" width="54.1796875" style="229" customWidth="1"/>
    <col min="96" max="96" width="10.453125" style="229" customWidth="1"/>
    <col min="97" max="97" width="10.54296875" style="229" customWidth="1"/>
    <col min="98" max="100" width="7.7265625" style="229" customWidth="1"/>
    <col min="101" max="101" width="13.1796875" style="229" customWidth="1"/>
    <col min="102" max="102" width="11.54296875" style="229" customWidth="1"/>
    <col min="103" max="119" width="9.453125" style="229" customWidth="1"/>
    <col min="120" max="120" width="10.54296875" style="229" customWidth="1"/>
    <col min="121" max="121" width="10" style="229" customWidth="1"/>
    <col min="122" max="126" width="9.453125" style="229" customWidth="1"/>
    <col min="127" max="127" width="12.7265625" style="229" customWidth="1"/>
    <col min="128" max="128" width="10.7265625" style="229" customWidth="1"/>
    <col min="129" max="129" width="11.26953125" style="229" customWidth="1"/>
    <col min="130" max="132" width="9.81640625" style="229" customWidth="1"/>
    <col min="133" max="134" width="12.453125" style="229" customWidth="1"/>
    <col min="135" max="135" width="12.81640625" style="229" customWidth="1"/>
    <col min="136" max="136" width="10.54296875" style="229" customWidth="1"/>
    <col min="137" max="137" width="10" style="229" customWidth="1"/>
    <col min="138" max="140" width="10.453125" style="229" customWidth="1"/>
    <col min="141" max="141" width="13" style="229" customWidth="1"/>
    <col min="142" max="142" width="12.453125" style="229" customWidth="1"/>
    <col min="143" max="151" width="13" style="229" customWidth="1"/>
    <col min="152" max="152" width="11.26953125" style="229" customWidth="1"/>
    <col min="153" max="156" width="10" style="229" customWidth="1"/>
    <col min="157" max="157" width="12.81640625" style="229" customWidth="1"/>
    <col min="158" max="158" width="14.1796875" style="229" customWidth="1"/>
    <col min="159" max="159" width="13.54296875" style="229" customWidth="1"/>
    <col min="160" max="349" width="9.1796875" style="229"/>
    <col min="350" max="350" width="5.453125" style="229" customWidth="1"/>
    <col min="351" max="351" width="54.1796875" style="229" customWidth="1"/>
    <col min="352" max="352" width="10.453125" style="229" customWidth="1"/>
    <col min="353" max="353" width="10.54296875" style="229" customWidth="1"/>
    <col min="354" max="356" width="7.7265625" style="229" customWidth="1"/>
    <col min="357" max="357" width="13.1796875" style="229" customWidth="1"/>
    <col min="358" max="358" width="11.54296875" style="229" customWidth="1"/>
    <col min="359" max="375" width="9.453125" style="229" customWidth="1"/>
    <col min="376" max="376" width="10.54296875" style="229" customWidth="1"/>
    <col min="377" max="377" width="10" style="229" customWidth="1"/>
    <col min="378" max="382" width="9.453125" style="229" customWidth="1"/>
    <col min="383" max="383" width="12.7265625" style="229" customWidth="1"/>
    <col min="384" max="384" width="10.7265625" style="229" customWidth="1"/>
    <col min="385" max="385" width="11.26953125" style="229" customWidth="1"/>
    <col min="386" max="388" width="9.81640625" style="229" customWidth="1"/>
    <col min="389" max="390" width="12.453125" style="229" customWidth="1"/>
    <col min="391" max="391" width="12.81640625" style="229" customWidth="1"/>
    <col min="392" max="392" width="10.54296875" style="229" customWidth="1"/>
    <col min="393" max="393" width="10" style="229" customWidth="1"/>
    <col min="394" max="396" width="10.453125" style="229" customWidth="1"/>
    <col min="397" max="397" width="13" style="229" customWidth="1"/>
    <col min="398" max="398" width="12.453125" style="229" customWidth="1"/>
    <col min="399" max="407" width="13" style="229" customWidth="1"/>
    <col min="408" max="408" width="11.26953125" style="229" customWidth="1"/>
    <col min="409" max="412" width="10" style="229" customWidth="1"/>
    <col min="413" max="413" width="12.81640625" style="229" customWidth="1"/>
    <col min="414" max="414" width="14.1796875" style="229" customWidth="1"/>
    <col min="415" max="415" width="13.54296875" style="229" customWidth="1"/>
    <col min="416" max="605" width="9.1796875" style="229"/>
    <col min="606" max="606" width="5.453125" style="229" customWidth="1"/>
    <col min="607" max="607" width="54.1796875" style="229" customWidth="1"/>
    <col min="608" max="608" width="10.453125" style="229" customWidth="1"/>
    <col min="609" max="609" width="10.54296875" style="229" customWidth="1"/>
    <col min="610" max="612" width="7.7265625" style="229" customWidth="1"/>
    <col min="613" max="613" width="13.1796875" style="229" customWidth="1"/>
    <col min="614" max="614" width="11.54296875" style="229" customWidth="1"/>
    <col min="615" max="631" width="9.453125" style="229" customWidth="1"/>
    <col min="632" max="632" width="10.54296875" style="229" customWidth="1"/>
    <col min="633" max="633" width="10" style="229" customWidth="1"/>
    <col min="634" max="638" width="9.453125" style="229" customWidth="1"/>
    <col min="639" max="639" width="12.7265625" style="229" customWidth="1"/>
    <col min="640" max="640" width="10.7265625" style="229" customWidth="1"/>
    <col min="641" max="641" width="11.26953125" style="229" customWidth="1"/>
    <col min="642" max="644" width="9.81640625" style="229" customWidth="1"/>
    <col min="645" max="646" width="12.453125" style="229" customWidth="1"/>
    <col min="647" max="647" width="12.81640625" style="229" customWidth="1"/>
    <col min="648" max="648" width="10.54296875" style="229" customWidth="1"/>
    <col min="649" max="649" width="10" style="229" customWidth="1"/>
    <col min="650" max="652" width="10.453125" style="229" customWidth="1"/>
    <col min="653" max="653" width="13" style="229" customWidth="1"/>
    <col min="654" max="654" width="12.453125" style="229" customWidth="1"/>
    <col min="655" max="663" width="13" style="229" customWidth="1"/>
    <col min="664" max="664" width="11.26953125" style="229" customWidth="1"/>
    <col min="665" max="668" width="10" style="229" customWidth="1"/>
    <col min="669" max="669" width="12.81640625" style="229" customWidth="1"/>
    <col min="670" max="670" width="14.1796875" style="229" customWidth="1"/>
    <col min="671" max="671" width="13.54296875" style="229" customWidth="1"/>
    <col min="672" max="861" width="9.1796875" style="229"/>
    <col min="862" max="862" width="5.453125" style="229" customWidth="1"/>
    <col min="863" max="863" width="54.1796875" style="229" customWidth="1"/>
    <col min="864" max="864" width="10.453125" style="229" customWidth="1"/>
    <col min="865" max="865" width="10.54296875" style="229" customWidth="1"/>
    <col min="866" max="868" width="7.7265625" style="229" customWidth="1"/>
    <col min="869" max="869" width="13.1796875" style="229" customWidth="1"/>
    <col min="870" max="870" width="11.54296875" style="229" customWidth="1"/>
    <col min="871" max="887" width="9.453125" style="229" customWidth="1"/>
    <col min="888" max="888" width="10.54296875" style="229" customWidth="1"/>
    <col min="889" max="889" width="10" style="229" customWidth="1"/>
    <col min="890" max="894" width="9.453125" style="229" customWidth="1"/>
    <col min="895" max="895" width="12.7265625" style="229" customWidth="1"/>
    <col min="896" max="896" width="10.7265625" style="229" customWidth="1"/>
    <col min="897" max="897" width="11.26953125" style="229" customWidth="1"/>
    <col min="898" max="900" width="9.81640625" style="229" customWidth="1"/>
    <col min="901" max="902" width="12.453125" style="229" customWidth="1"/>
    <col min="903" max="903" width="12.81640625" style="229" customWidth="1"/>
    <col min="904" max="904" width="10.54296875" style="229" customWidth="1"/>
    <col min="905" max="905" width="10" style="229" customWidth="1"/>
    <col min="906" max="908" width="10.453125" style="229" customWidth="1"/>
    <col min="909" max="909" width="13" style="229" customWidth="1"/>
    <col min="910" max="910" width="12.453125" style="229" customWidth="1"/>
    <col min="911" max="919" width="13" style="229" customWidth="1"/>
    <col min="920" max="920" width="11.26953125" style="229" customWidth="1"/>
    <col min="921" max="924" width="10" style="229" customWidth="1"/>
    <col min="925" max="925" width="12.81640625" style="229" customWidth="1"/>
    <col min="926" max="926" width="14.1796875" style="229" customWidth="1"/>
    <col min="927" max="927" width="13.54296875" style="229" customWidth="1"/>
    <col min="928" max="1117" width="9.1796875" style="229"/>
    <col min="1118" max="1118" width="5.453125" style="229" customWidth="1"/>
    <col min="1119" max="1119" width="54.1796875" style="229" customWidth="1"/>
    <col min="1120" max="1120" width="10.453125" style="229" customWidth="1"/>
    <col min="1121" max="1121" width="10.54296875" style="229" customWidth="1"/>
    <col min="1122" max="1124" width="7.7265625" style="229" customWidth="1"/>
    <col min="1125" max="1125" width="13.1796875" style="229" customWidth="1"/>
    <col min="1126" max="1126" width="11.54296875" style="229" customWidth="1"/>
    <col min="1127" max="1143" width="9.453125" style="229" customWidth="1"/>
    <col min="1144" max="1144" width="10.54296875" style="229" customWidth="1"/>
    <col min="1145" max="1145" width="10" style="229" customWidth="1"/>
    <col min="1146" max="1150" width="9.453125" style="229" customWidth="1"/>
    <col min="1151" max="1151" width="12.7265625" style="229" customWidth="1"/>
    <col min="1152" max="1152" width="10.7265625" style="229" customWidth="1"/>
    <col min="1153" max="1153" width="11.26953125" style="229" customWidth="1"/>
    <col min="1154" max="1156" width="9.81640625" style="229" customWidth="1"/>
    <col min="1157" max="1158" width="12.453125" style="229" customWidth="1"/>
    <col min="1159" max="1159" width="12.81640625" style="229" customWidth="1"/>
    <col min="1160" max="1160" width="10.54296875" style="229" customWidth="1"/>
    <col min="1161" max="1161" width="10" style="229" customWidth="1"/>
    <col min="1162" max="1164" width="10.453125" style="229" customWidth="1"/>
    <col min="1165" max="1165" width="13" style="229" customWidth="1"/>
    <col min="1166" max="1166" width="12.453125" style="229" customWidth="1"/>
    <col min="1167" max="1175" width="13" style="229" customWidth="1"/>
    <col min="1176" max="1176" width="11.26953125" style="229" customWidth="1"/>
    <col min="1177" max="1180" width="10" style="229" customWidth="1"/>
    <col min="1181" max="1181" width="12.81640625" style="229" customWidth="1"/>
    <col min="1182" max="1182" width="14.1796875" style="229" customWidth="1"/>
    <col min="1183" max="1183" width="13.54296875" style="229" customWidth="1"/>
    <col min="1184" max="1373" width="9.1796875" style="229"/>
    <col min="1374" max="1374" width="5.453125" style="229" customWidth="1"/>
    <col min="1375" max="1375" width="54.1796875" style="229" customWidth="1"/>
    <col min="1376" max="1376" width="10.453125" style="229" customWidth="1"/>
    <col min="1377" max="1377" width="10.54296875" style="229" customWidth="1"/>
    <col min="1378" max="1380" width="7.7265625" style="229" customWidth="1"/>
    <col min="1381" max="1381" width="13.1796875" style="229" customWidth="1"/>
    <col min="1382" max="1382" width="11.54296875" style="229" customWidth="1"/>
    <col min="1383" max="1399" width="9.453125" style="229" customWidth="1"/>
    <col min="1400" max="1400" width="10.54296875" style="229" customWidth="1"/>
    <col min="1401" max="1401" width="10" style="229" customWidth="1"/>
    <col min="1402" max="1406" width="9.453125" style="229" customWidth="1"/>
    <col min="1407" max="1407" width="12.7265625" style="229" customWidth="1"/>
    <col min="1408" max="1408" width="10.7265625" style="229" customWidth="1"/>
    <col min="1409" max="1409" width="11.26953125" style="229" customWidth="1"/>
    <col min="1410" max="1412" width="9.81640625" style="229" customWidth="1"/>
    <col min="1413" max="1414" width="12.453125" style="229" customWidth="1"/>
    <col min="1415" max="1415" width="12.81640625" style="229" customWidth="1"/>
    <col min="1416" max="1416" width="10.54296875" style="229" customWidth="1"/>
    <col min="1417" max="1417" width="10" style="229" customWidth="1"/>
    <col min="1418" max="1420" width="10.453125" style="229" customWidth="1"/>
    <col min="1421" max="1421" width="13" style="229" customWidth="1"/>
    <col min="1422" max="1422" width="12.453125" style="229" customWidth="1"/>
    <col min="1423" max="1431" width="13" style="229" customWidth="1"/>
    <col min="1432" max="1432" width="11.26953125" style="229" customWidth="1"/>
    <col min="1433" max="1436" width="10" style="229" customWidth="1"/>
    <col min="1437" max="1437" width="12.81640625" style="229" customWidth="1"/>
    <col min="1438" max="1438" width="14.1796875" style="229" customWidth="1"/>
    <col min="1439" max="1439" width="13.54296875" style="229" customWidth="1"/>
    <col min="1440" max="1629" width="9.1796875" style="229"/>
    <col min="1630" max="1630" width="5.453125" style="229" customWidth="1"/>
    <col min="1631" max="1631" width="54.1796875" style="229" customWidth="1"/>
    <col min="1632" max="1632" width="10.453125" style="229" customWidth="1"/>
    <col min="1633" max="1633" width="10.54296875" style="229" customWidth="1"/>
    <col min="1634" max="1636" width="7.7265625" style="229" customWidth="1"/>
    <col min="1637" max="1637" width="13.1796875" style="229" customWidth="1"/>
    <col min="1638" max="1638" width="11.54296875" style="229" customWidth="1"/>
    <col min="1639" max="1655" width="9.453125" style="229" customWidth="1"/>
    <col min="1656" max="1656" width="10.54296875" style="229" customWidth="1"/>
    <col min="1657" max="1657" width="10" style="229" customWidth="1"/>
    <col min="1658" max="1662" width="9.453125" style="229" customWidth="1"/>
    <col min="1663" max="1663" width="12.7265625" style="229" customWidth="1"/>
    <col min="1664" max="1664" width="10.7265625" style="229" customWidth="1"/>
    <col min="1665" max="1665" width="11.26953125" style="229" customWidth="1"/>
    <col min="1666" max="1668" width="9.81640625" style="229" customWidth="1"/>
    <col min="1669" max="1670" width="12.453125" style="229" customWidth="1"/>
    <col min="1671" max="1671" width="12.81640625" style="229" customWidth="1"/>
    <col min="1672" max="1672" width="10.54296875" style="229" customWidth="1"/>
    <col min="1673" max="1673" width="10" style="229" customWidth="1"/>
    <col min="1674" max="1676" width="10.453125" style="229" customWidth="1"/>
    <col min="1677" max="1677" width="13" style="229" customWidth="1"/>
    <col min="1678" max="1678" width="12.453125" style="229" customWidth="1"/>
    <col min="1679" max="1687" width="13" style="229" customWidth="1"/>
    <col min="1688" max="1688" width="11.26953125" style="229" customWidth="1"/>
    <col min="1689" max="1692" width="10" style="229" customWidth="1"/>
    <col min="1693" max="1693" width="12.81640625" style="229" customWidth="1"/>
    <col min="1694" max="1694" width="14.1796875" style="229" customWidth="1"/>
    <col min="1695" max="1695" width="13.54296875" style="229" customWidth="1"/>
    <col min="1696" max="1885" width="9.1796875" style="229"/>
    <col min="1886" max="1886" width="5.453125" style="229" customWidth="1"/>
    <col min="1887" max="1887" width="54.1796875" style="229" customWidth="1"/>
    <col min="1888" max="1888" width="10.453125" style="229" customWidth="1"/>
    <col min="1889" max="1889" width="10.54296875" style="229" customWidth="1"/>
    <col min="1890" max="1892" width="7.7265625" style="229" customWidth="1"/>
    <col min="1893" max="1893" width="13.1796875" style="229" customWidth="1"/>
    <col min="1894" max="1894" width="11.54296875" style="229" customWidth="1"/>
    <col min="1895" max="1911" width="9.453125" style="229" customWidth="1"/>
    <col min="1912" max="1912" width="10.54296875" style="229" customWidth="1"/>
    <col min="1913" max="1913" width="10" style="229" customWidth="1"/>
    <col min="1914" max="1918" width="9.453125" style="229" customWidth="1"/>
    <col min="1919" max="1919" width="12.7265625" style="229" customWidth="1"/>
    <col min="1920" max="1920" width="10.7265625" style="229" customWidth="1"/>
    <col min="1921" max="1921" width="11.26953125" style="229" customWidth="1"/>
    <col min="1922" max="1924" width="9.81640625" style="229" customWidth="1"/>
    <col min="1925" max="1926" width="12.453125" style="229" customWidth="1"/>
    <col min="1927" max="1927" width="12.81640625" style="229" customWidth="1"/>
    <col min="1928" max="1928" width="10.54296875" style="229" customWidth="1"/>
    <col min="1929" max="1929" width="10" style="229" customWidth="1"/>
    <col min="1930" max="1932" width="10.453125" style="229" customWidth="1"/>
    <col min="1933" max="1933" width="13" style="229" customWidth="1"/>
    <col min="1934" max="1934" width="12.453125" style="229" customWidth="1"/>
    <col min="1935" max="1943" width="13" style="229" customWidth="1"/>
    <col min="1944" max="1944" width="11.26953125" style="229" customWidth="1"/>
    <col min="1945" max="1948" width="10" style="229" customWidth="1"/>
    <col min="1949" max="1949" width="12.81640625" style="229" customWidth="1"/>
    <col min="1950" max="1950" width="14.1796875" style="229" customWidth="1"/>
    <col min="1951" max="1951" width="13.54296875" style="229" customWidth="1"/>
    <col min="1952" max="2141" width="9.1796875" style="229"/>
    <col min="2142" max="2142" width="5.453125" style="229" customWidth="1"/>
    <col min="2143" max="2143" width="54.1796875" style="229" customWidth="1"/>
    <col min="2144" max="2144" width="10.453125" style="229" customWidth="1"/>
    <col min="2145" max="2145" width="10.54296875" style="229" customWidth="1"/>
    <col min="2146" max="2148" width="7.7265625" style="229" customWidth="1"/>
    <col min="2149" max="2149" width="13.1796875" style="229" customWidth="1"/>
    <col min="2150" max="2150" width="11.54296875" style="229" customWidth="1"/>
    <col min="2151" max="2167" width="9.453125" style="229" customWidth="1"/>
    <col min="2168" max="2168" width="10.54296875" style="229" customWidth="1"/>
    <col min="2169" max="2169" width="10" style="229" customWidth="1"/>
    <col min="2170" max="2174" width="9.453125" style="229" customWidth="1"/>
    <col min="2175" max="2175" width="12.7265625" style="229" customWidth="1"/>
    <col min="2176" max="2176" width="10.7265625" style="229" customWidth="1"/>
    <col min="2177" max="2177" width="11.26953125" style="229" customWidth="1"/>
    <col min="2178" max="2180" width="9.81640625" style="229" customWidth="1"/>
    <col min="2181" max="2182" width="12.453125" style="229" customWidth="1"/>
    <col min="2183" max="2183" width="12.81640625" style="229" customWidth="1"/>
    <col min="2184" max="2184" width="10.54296875" style="229" customWidth="1"/>
    <col min="2185" max="2185" width="10" style="229" customWidth="1"/>
    <col min="2186" max="2188" width="10.453125" style="229" customWidth="1"/>
    <col min="2189" max="2189" width="13" style="229" customWidth="1"/>
    <col min="2190" max="2190" width="12.453125" style="229" customWidth="1"/>
    <col min="2191" max="2199" width="13" style="229" customWidth="1"/>
    <col min="2200" max="2200" width="11.26953125" style="229" customWidth="1"/>
    <col min="2201" max="2204" width="10" style="229" customWidth="1"/>
    <col min="2205" max="2205" width="12.81640625" style="229" customWidth="1"/>
    <col min="2206" max="2206" width="14.1796875" style="229" customWidth="1"/>
    <col min="2207" max="2207" width="13.54296875" style="229" customWidth="1"/>
    <col min="2208" max="2397" width="9.1796875" style="229"/>
    <col min="2398" max="2398" width="5.453125" style="229" customWidth="1"/>
    <col min="2399" max="2399" width="54.1796875" style="229" customWidth="1"/>
    <col min="2400" max="2400" width="10.453125" style="229" customWidth="1"/>
    <col min="2401" max="2401" width="10.54296875" style="229" customWidth="1"/>
    <col min="2402" max="2404" width="7.7265625" style="229" customWidth="1"/>
    <col min="2405" max="2405" width="13.1796875" style="229" customWidth="1"/>
    <col min="2406" max="2406" width="11.54296875" style="229" customWidth="1"/>
    <col min="2407" max="2423" width="9.453125" style="229" customWidth="1"/>
    <col min="2424" max="2424" width="10.54296875" style="229" customWidth="1"/>
    <col min="2425" max="2425" width="10" style="229" customWidth="1"/>
    <col min="2426" max="2430" width="9.453125" style="229" customWidth="1"/>
    <col min="2431" max="2431" width="12.7265625" style="229" customWidth="1"/>
    <col min="2432" max="2432" width="10.7265625" style="229" customWidth="1"/>
    <col min="2433" max="2433" width="11.26953125" style="229" customWidth="1"/>
    <col min="2434" max="2436" width="9.81640625" style="229" customWidth="1"/>
    <col min="2437" max="2438" width="12.453125" style="229" customWidth="1"/>
    <col min="2439" max="2439" width="12.81640625" style="229" customWidth="1"/>
    <col min="2440" max="2440" width="10.54296875" style="229" customWidth="1"/>
    <col min="2441" max="2441" width="10" style="229" customWidth="1"/>
    <col min="2442" max="2444" width="10.453125" style="229" customWidth="1"/>
    <col min="2445" max="2445" width="13" style="229" customWidth="1"/>
    <col min="2446" max="2446" width="12.453125" style="229" customWidth="1"/>
    <col min="2447" max="2455" width="13" style="229" customWidth="1"/>
    <col min="2456" max="2456" width="11.26953125" style="229" customWidth="1"/>
    <col min="2457" max="2460" width="10" style="229" customWidth="1"/>
    <col min="2461" max="2461" width="12.81640625" style="229" customWidth="1"/>
    <col min="2462" max="2462" width="14.1796875" style="229" customWidth="1"/>
    <col min="2463" max="2463" width="13.54296875" style="229" customWidth="1"/>
    <col min="2464" max="2653" width="9.1796875" style="229"/>
    <col min="2654" max="2654" width="5.453125" style="229" customWidth="1"/>
    <col min="2655" max="2655" width="54.1796875" style="229" customWidth="1"/>
    <col min="2656" max="2656" width="10.453125" style="229" customWidth="1"/>
    <col min="2657" max="2657" width="10.54296875" style="229" customWidth="1"/>
    <col min="2658" max="2660" width="7.7265625" style="229" customWidth="1"/>
    <col min="2661" max="2661" width="13.1796875" style="229" customWidth="1"/>
    <col min="2662" max="2662" width="11.54296875" style="229" customWidth="1"/>
    <col min="2663" max="2679" width="9.453125" style="229" customWidth="1"/>
    <col min="2680" max="2680" width="10.54296875" style="229" customWidth="1"/>
    <col min="2681" max="2681" width="10" style="229" customWidth="1"/>
    <col min="2682" max="2686" width="9.453125" style="229" customWidth="1"/>
    <col min="2687" max="2687" width="12.7265625" style="229" customWidth="1"/>
    <col min="2688" max="2688" width="10.7265625" style="229" customWidth="1"/>
    <col min="2689" max="2689" width="11.26953125" style="229" customWidth="1"/>
    <col min="2690" max="2692" width="9.81640625" style="229" customWidth="1"/>
    <col min="2693" max="2694" width="12.453125" style="229" customWidth="1"/>
    <col min="2695" max="2695" width="12.81640625" style="229" customWidth="1"/>
    <col min="2696" max="2696" width="10.54296875" style="229" customWidth="1"/>
    <col min="2697" max="2697" width="10" style="229" customWidth="1"/>
    <col min="2698" max="2700" width="10.453125" style="229" customWidth="1"/>
    <col min="2701" max="2701" width="13" style="229" customWidth="1"/>
    <col min="2702" max="2702" width="12.453125" style="229" customWidth="1"/>
    <col min="2703" max="2711" width="13" style="229" customWidth="1"/>
    <col min="2712" max="2712" width="11.26953125" style="229" customWidth="1"/>
    <col min="2713" max="2716" width="10" style="229" customWidth="1"/>
    <col min="2717" max="2717" width="12.81640625" style="229" customWidth="1"/>
    <col min="2718" max="2718" width="14.1796875" style="229" customWidth="1"/>
    <col min="2719" max="2719" width="13.54296875" style="229" customWidth="1"/>
    <col min="2720" max="2909" width="9.1796875" style="229"/>
    <col min="2910" max="2910" width="5.453125" style="229" customWidth="1"/>
    <col min="2911" max="2911" width="54.1796875" style="229" customWidth="1"/>
    <col min="2912" max="2912" width="10.453125" style="229" customWidth="1"/>
    <col min="2913" max="2913" width="10.54296875" style="229" customWidth="1"/>
    <col min="2914" max="2916" width="7.7265625" style="229" customWidth="1"/>
    <col min="2917" max="2917" width="13.1796875" style="229" customWidth="1"/>
    <col min="2918" max="2918" width="11.54296875" style="229" customWidth="1"/>
    <col min="2919" max="2935" width="9.453125" style="229" customWidth="1"/>
    <col min="2936" max="2936" width="10.54296875" style="229" customWidth="1"/>
    <col min="2937" max="2937" width="10" style="229" customWidth="1"/>
    <col min="2938" max="2942" width="9.453125" style="229" customWidth="1"/>
    <col min="2943" max="2943" width="12.7265625" style="229" customWidth="1"/>
    <col min="2944" max="2944" width="10.7265625" style="229" customWidth="1"/>
    <col min="2945" max="2945" width="11.26953125" style="229" customWidth="1"/>
    <col min="2946" max="2948" width="9.81640625" style="229" customWidth="1"/>
    <col min="2949" max="2950" width="12.453125" style="229" customWidth="1"/>
    <col min="2951" max="2951" width="12.81640625" style="229" customWidth="1"/>
    <col min="2952" max="2952" width="10.54296875" style="229" customWidth="1"/>
    <col min="2953" max="2953" width="10" style="229" customWidth="1"/>
    <col min="2954" max="2956" width="10.453125" style="229" customWidth="1"/>
    <col min="2957" max="2957" width="13" style="229" customWidth="1"/>
    <col min="2958" max="2958" width="12.453125" style="229" customWidth="1"/>
    <col min="2959" max="2967" width="13" style="229" customWidth="1"/>
    <col min="2968" max="2968" width="11.26953125" style="229" customWidth="1"/>
    <col min="2969" max="2972" width="10" style="229" customWidth="1"/>
    <col min="2973" max="2973" width="12.81640625" style="229" customWidth="1"/>
    <col min="2974" max="2974" width="14.1796875" style="229" customWidth="1"/>
    <col min="2975" max="2975" width="13.54296875" style="229" customWidth="1"/>
    <col min="2976" max="3165" width="9.1796875" style="229"/>
    <col min="3166" max="3166" width="5.453125" style="229" customWidth="1"/>
    <col min="3167" max="3167" width="54.1796875" style="229" customWidth="1"/>
    <col min="3168" max="3168" width="10.453125" style="229" customWidth="1"/>
    <col min="3169" max="3169" width="10.54296875" style="229" customWidth="1"/>
    <col min="3170" max="3172" width="7.7265625" style="229" customWidth="1"/>
    <col min="3173" max="3173" width="13.1796875" style="229" customWidth="1"/>
    <col min="3174" max="3174" width="11.54296875" style="229" customWidth="1"/>
    <col min="3175" max="3191" width="9.453125" style="229" customWidth="1"/>
    <col min="3192" max="3192" width="10.54296875" style="229" customWidth="1"/>
    <col min="3193" max="3193" width="10" style="229" customWidth="1"/>
    <col min="3194" max="3198" width="9.453125" style="229" customWidth="1"/>
    <col min="3199" max="3199" width="12.7265625" style="229" customWidth="1"/>
    <col min="3200" max="3200" width="10.7265625" style="229" customWidth="1"/>
    <col min="3201" max="3201" width="11.26953125" style="229" customWidth="1"/>
    <col min="3202" max="3204" width="9.81640625" style="229" customWidth="1"/>
    <col min="3205" max="3206" width="12.453125" style="229" customWidth="1"/>
    <col min="3207" max="3207" width="12.81640625" style="229" customWidth="1"/>
    <col min="3208" max="3208" width="10.54296875" style="229" customWidth="1"/>
    <col min="3209" max="3209" width="10" style="229" customWidth="1"/>
    <col min="3210" max="3212" width="10.453125" style="229" customWidth="1"/>
    <col min="3213" max="3213" width="13" style="229" customWidth="1"/>
    <col min="3214" max="3214" width="12.453125" style="229" customWidth="1"/>
    <col min="3215" max="3223" width="13" style="229" customWidth="1"/>
    <col min="3224" max="3224" width="11.26953125" style="229" customWidth="1"/>
    <col min="3225" max="3228" width="10" style="229" customWidth="1"/>
    <col min="3229" max="3229" width="12.81640625" style="229" customWidth="1"/>
    <col min="3230" max="3230" width="14.1796875" style="229" customWidth="1"/>
    <col min="3231" max="3231" width="13.54296875" style="229" customWidth="1"/>
    <col min="3232" max="3421" width="9.1796875" style="229"/>
    <col min="3422" max="3422" width="5.453125" style="229" customWidth="1"/>
    <col min="3423" max="3423" width="54.1796875" style="229" customWidth="1"/>
    <col min="3424" max="3424" width="10.453125" style="229" customWidth="1"/>
    <col min="3425" max="3425" width="10.54296875" style="229" customWidth="1"/>
    <col min="3426" max="3428" width="7.7265625" style="229" customWidth="1"/>
    <col min="3429" max="3429" width="13.1796875" style="229" customWidth="1"/>
    <col min="3430" max="3430" width="11.54296875" style="229" customWidth="1"/>
    <col min="3431" max="3447" width="9.453125" style="229" customWidth="1"/>
    <col min="3448" max="3448" width="10.54296875" style="229" customWidth="1"/>
    <col min="3449" max="3449" width="10" style="229" customWidth="1"/>
    <col min="3450" max="3454" width="9.453125" style="229" customWidth="1"/>
    <col min="3455" max="3455" width="12.7265625" style="229" customWidth="1"/>
    <col min="3456" max="3456" width="10.7265625" style="229" customWidth="1"/>
    <col min="3457" max="3457" width="11.26953125" style="229" customWidth="1"/>
    <col min="3458" max="3460" width="9.81640625" style="229" customWidth="1"/>
    <col min="3461" max="3462" width="12.453125" style="229" customWidth="1"/>
    <col min="3463" max="3463" width="12.81640625" style="229" customWidth="1"/>
    <col min="3464" max="3464" width="10.54296875" style="229" customWidth="1"/>
    <col min="3465" max="3465" width="10" style="229" customWidth="1"/>
    <col min="3466" max="3468" width="10.453125" style="229" customWidth="1"/>
    <col min="3469" max="3469" width="13" style="229" customWidth="1"/>
    <col min="3470" max="3470" width="12.453125" style="229" customWidth="1"/>
    <col min="3471" max="3479" width="13" style="229" customWidth="1"/>
    <col min="3480" max="3480" width="11.26953125" style="229" customWidth="1"/>
    <col min="3481" max="3484" width="10" style="229" customWidth="1"/>
    <col min="3485" max="3485" width="12.81640625" style="229" customWidth="1"/>
    <col min="3486" max="3486" width="14.1796875" style="229" customWidth="1"/>
    <col min="3487" max="3487" width="13.54296875" style="229" customWidth="1"/>
    <col min="3488" max="3677" width="9.1796875" style="229"/>
    <col min="3678" max="3678" width="5.453125" style="229" customWidth="1"/>
    <col min="3679" max="3679" width="54.1796875" style="229" customWidth="1"/>
    <col min="3680" max="3680" width="10.453125" style="229" customWidth="1"/>
    <col min="3681" max="3681" width="10.54296875" style="229" customWidth="1"/>
    <col min="3682" max="3684" width="7.7265625" style="229" customWidth="1"/>
    <col min="3685" max="3685" width="13.1796875" style="229" customWidth="1"/>
    <col min="3686" max="3686" width="11.54296875" style="229" customWidth="1"/>
    <col min="3687" max="3703" width="9.453125" style="229" customWidth="1"/>
    <col min="3704" max="3704" width="10.54296875" style="229" customWidth="1"/>
    <col min="3705" max="3705" width="10" style="229" customWidth="1"/>
    <col min="3706" max="3710" width="9.453125" style="229" customWidth="1"/>
    <col min="3711" max="3711" width="12.7265625" style="229" customWidth="1"/>
    <col min="3712" max="3712" width="10.7265625" style="229" customWidth="1"/>
    <col min="3713" max="3713" width="11.26953125" style="229" customWidth="1"/>
    <col min="3714" max="3716" width="9.81640625" style="229" customWidth="1"/>
    <col min="3717" max="3718" width="12.453125" style="229" customWidth="1"/>
    <col min="3719" max="3719" width="12.81640625" style="229" customWidth="1"/>
    <col min="3720" max="3720" width="10.54296875" style="229" customWidth="1"/>
    <col min="3721" max="3721" width="10" style="229" customWidth="1"/>
    <col min="3722" max="3724" width="10.453125" style="229" customWidth="1"/>
    <col min="3725" max="3725" width="13" style="229" customWidth="1"/>
    <col min="3726" max="3726" width="12.453125" style="229" customWidth="1"/>
    <col min="3727" max="3735" width="13" style="229" customWidth="1"/>
    <col min="3736" max="3736" width="11.26953125" style="229" customWidth="1"/>
    <col min="3737" max="3740" width="10" style="229" customWidth="1"/>
    <col min="3741" max="3741" width="12.81640625" style="229" customWidth="1"/>
    <col min="3742" max="3742" width="14.1796875" style="229" customWidth="1"/>
    <col min="3743" max="3743" width="13.54296875" style="229" customWidth="1"/>
    <col min="3744" max="3933" width="9.1796875" style="229"/>
    <col min="3934" max="3934" width="5.453125" style="229" customWidth="1"/>
    <col min="3935" max="3935" width="54.1796875" style="229" customWidth="1"/>
    <col min="3936" max="3936" width="10.453125" style="229" customWidth="1"/>
    <col min="3937" max="3937" width="10.54296875" style="229" customWidth="1"/>
    <col min="3938" max="3940" width="7.7265625" style="229" customWidth="1"/>
    <col min="3941" max="3941" width="13.1796875" style="229" customWidth="1"/>
    <col min="3942" max="3942" width="11.54296875" style="229" customWidth="1"/>
    <col min="3943" max="3959" width="9.453125" style="229" customWidth="1"/>
    <col min="3960" max="3960" width="10.54296875" style="229" customWidth="1"/>
    <col min="3961" max="3961" width="10" style="229" customWidth="1"/>
    <col min="3962" max="3966" width="9.453125" style="229" customWidth="1"/>
    <col min="3967" max="3967" width="12.7265625" style="229" customWidth="1"/>
    <col min="3968" max="3968" width="10.7265625" style="229" customWidth="1"/>
    <col min="3969" max="3969" width="11.26953125" style="229" customWidth="1"/>
    <col min="3970" max="3972" width="9.81640625" style="229" customWidth="1"/>
    <col min="3973" max="3974" width="12.453125" style="229" customWidth="1"/>
    <col min="3975" max="3975" width="12.81640625" style="229" customWidth="1"/>
    <col min="3976" max="3976" width="10.54296875" style="229" customWidth="1"/>
    <col min="3977" max="3977" width="10" style="229" customWidth="1"/>
    <col min="3978" max="3980" width="10.453125" style="229" customWidth="1"/>
    <col min="3981" max="3981" width="13" style="229" customWidth="1"/>
    <col min="3982" max="3982" width="12.453125" style="229" customWidth="1"/>
    <col min="3983" max="3991" width="13" style="229" customWidth="1"/>
    <col min="3992" max="3992" width="11.26953125" style="229" customWidth="1"/>
    <col min="3993" max="3996" width="10" style="229" customWidth="1"/>
    <col min="3997" max="3997" width="12.81640625" style="229" customWidth="1"/>
    <col min="3998" max="3998" width="14.1796875" style="229" customWidth="1"/>
    <col min="3999" max="3999" width="13.54296875" style="229" customWidth="1"/>
    <col min="4000" max="4189" width="9.1796875" style="229"/>
    <col min="4190" max="4190" width="5.453125" style="229" customWidth="1"/>
    <col min="4191" max="4191" width="54.1796875" style="229" customWidth="1"/>
    <col min="4192" max="4192" width="10.453125" style="229" customWidth="1"/>
    <col min="4193" max="4193" width="10.54296875" style="229" customWidth="1"/>
    <col min="4194" max="4196" width="7.7265625" style="229" customWidth="1"/>
    <col min="4197" max="4197" width="13.1796875" style="229" customWidth="1"/>
    <col min="4198" max="4198" width="11.54296875" style="229" customWidth="1"/>
    <col min="4199" max="4215" width="9.453125" style="229" customWidth="1"/>
    <col min="4216" max="4216" width="10.54296875" style="229" customWidth="1"/>
    <col min="4217" max="4217" width="10" style="229" customWidth="1"/>
    <col min="4218" max="4222" width="9.453125" style="229" customWidth="1"/>
    <col min="4223" max="4223" width="12.7265625" style="229" customWidth="1"/>
    <col min="4224" max="4224" width="10.7265625" style="229" customWidth="1"/>
    <col min="4225" max="4225" width="11.26953125" style="229" customWidth="1"/>
    <col min="4226" max="4228" width="9.81640625" style="229" customWidth="1"/>
    <col min="4229" max="4230" width="12.453125" style="229" customWidth="1"/>
    <col min="4231" max="4231" width="12.81640625" style="229" customWidth="1"/>
    <col min="4232" max="4232" width="10.54296875" style="229" customWidth="1"/>
    <col min="4233" max="4233" width="10" style="229" customWidth="1"/>
    <col min="4234" max="4236" width="10.453125" style="229" customWidth="1"/>
    <col min="4237" max="4237" width="13" style="229" customWidth="1"/>
    <col min="4238" max="4238" width="12.453125" style="229" customWidth="1"/>
    <col min="4239" max="4247" width="13" style="229" customWidth="1"/>
    <col min="4248" max="4248" width="11.26953125" style="229" customWidth="1"/>
    <col min="4249" max="4252" width="10" style="229" customWidth="1"/>
    <col min="4253" max="4253" width="12.81640625" style="229" customWidth="1"/>
    <col min="4254" max="4254" width="14.1796875" style="229" customWidth="1"/>
    <col min="4255" max="4255" width="13.54296875" style="229" customWidth="1"/>
    <col min="4256" max="4445" width="9.1796875" style="229"/>
    <col min="4446" max="4446" width="5.453125" style="229" customWidth="1"/>
    <col min="4447" max="4447" width="54.1796875" style="229" customWidth="1"/>
    <col min="4448" max="4448" width="10.453125" style="229" customWidth="1"/>
    <col min="4449" max="4449" width="10.54296875" style="229" customWidth="1"/>
    <col min="4450" max="4452" width="7.7265625" style="229" customWidth="1"/>
    <col min="4453" max="4453" width="13.1796875" style="229" customWidth="1"/>
    <col min="4454" max="4454" width="11.54296875" style="229" customWidth="1"/>
    <col min="4455" max="4471" width="9.453125" style="229" customWidth="1"/>
    <col min="4472" max="4472" width="10.54296875" style="229" customWidth="1"/>
    <col min="4473" max="4473" width="10" style="229" customWidth="1"/>
    <col min="4474" max="4478" width="9.453125" style="229" customWidth="1"/>
    <col min="4479" max="4479" width="12.7265625" style="229" customWidth="1"/>
    <col min="4480" max="4480" width="10.7265625" style="229" customWidth="1"/>
    <col min="4481" max="4481" width="11.26953125" style="229" customWidth="1"/>
    <col min="4482" max="4484" width="9.81640625" style="229" customWidth="1"/>
    <col min="4485" max="4486" width="12.453125" style="229" customWidth="1"/>
    <col min="4487" max="4487" width="12.81640625" style="229" customWidth="1"/>
    <col min="4488" max="4488" width="10.54296875" style="229" customWidth="1"/>
    <col min="4489" max="4489" width="10" style="229" customWidth="1"/>
    <col min="4490" max="4492" width="10.453125" style="229" customWidth="1"/>
    <col min="4493" max="4493" width="13" style="229" customWidth="1"/>
    <col min="4494" max="4494" width="12.453125" style="229" customWidth="1"/>
    <col min="4495" max="4503" width="13" style="229" customWidth="1"/>
    <col min="4504" max="4504" width="11.26953125" style="229" customWidth="1"/>
    <col min="4505" max="4508" width="10" style="229" customWidth="1"/>
    <col min="4509" max="4509" width="12.81640625" style="229" customWidth="1"/>
    <col min="4510" max="4510" width="14.1796875" style="229" customWidth="1"/>
    <col min="4511" max="4511" width="13.54296875" style="229" customWidth="1"/>
    <col min="4512" max="4701" width="9.1796875" style="229"/>
    <col min="4702" max="4702" width="5.453125" style="229" customWidth="1"/>
    <col min="4703" max="4703" width="54.1796875" style="229" customWidth="1"/>
    <col min="4704" max="4704" width="10.453125" style="229" customWidth="1"/>
    <col min="4705" max="4705" width="10.54296875" style="229" customWidth="1"/>
    <col min="4706" max="4708" width="7.7265625" style="229" customWidth="1"/>
    <col min="4709" max="4709" width="13.1796875" style="229" customWidth="1"/>
    <col min="4710" max="4710" width="11.54296875" style="229" customWidth="1"/>
    <col min="4711" max="4727" width="9.453125" style="229" customWidth="1"/>
    <col min="4728" max="4728" width="10.54296875" style="229" customWidth="1"/>
    <col min="4729" max="4729" width="10" style="229" customWidth="1"/>
    <col min="4730" max="4734" width="9.453125" style="229" customWidth="1"/>
    <col min="4735" max="4735" width="12.7265625" style="229" customWidth="1"/>
    <col min="4736" max="4736" width="10.7265625" style="229" customWidth="1"/>
    <col min="4737" max="4737" width="11.26953125" style="229" customWidth="1"/>
    <col min="4738" max="4740" width="9.81640625" style="229" customWidth="1"/>
    <col min="4741" max="4742" width="12.453125" style="229" customWidth="1"/>
    <col min="4743" max="4743" width="12.81640625" style="229" customWidth="1"/>
    <col min="4744" max="4744" width="10.54296875" style="229" customWidth="1"/>
    <col min="4745" max="4745" width="10" style="229" customWidth="1"/>
    <col min="4746" max="4748" width="10.453125" style="229" customWidth="1"/>
    <col min="4749" max="4749" width="13" style="229" customWidth="1"/>
    <col min="4750" max="4750" width="12.453125" style="229" customWidth="1"/>
    <col min="4751" max="4759" width="13" style="229" customWidth="1"/>
    <col min="4760" max="4760" width="11.26953125" style="229" customWidth="1"/>
    <col min="4761" max="4764" width="10" style="229" customWidth="1"/>
    <col min="4765" max="4765" width="12.81640625" style="229" customWidth="1"/>
    <col min="4766" max="4766" width="14.1796875" style="229" customWidth="1"/>
    <col min="4767" max="4767" width="13.54296875" style="229" customWidth="1"/>
    <col min="4768" max="4957" width="9.1796875" style="229"/>
    <col min="4958" max="4958" width="5.453125" style="229" customWidth="1"/>
    <col min="4959" max="4959" width="54.1796875" style="229" customWidth="1"/>
    <col min="4960" max="4960" width="10.453125" style="229" customWidth="1"/>
    <col min="4961" max="4961" width="10.54296875" style="229" customWidth="1"/>
    <col min="4962" max="4964" width="7.7265625" style="229" customWidth="1"/>
    <col min="4965" max="4965" width="13.1796875" style="229" customWidth="1"/>
    <col min="4966" max="4966" width="11.54296875" style="229" customWidth="1"/>
    <col min="4967" max="4983" width="9.453125" style="229" customWidth="1"/>
    <col min="4984" max="4984" width="10.54296875" style="229" customWidth="1"/>
    <col min="4985" max="4985" width="10" style="229" customWidth="1"/>
    <col min="4986" max="4990" width="9.453125" style="229" customWidth="1"/>
    <col min="4991" max="4991" width="12.7265625" style="229" customWidth="1"/>
    <col min="4992" max="4992" width="10.7265625" style="229" customWidth="1"/>
    <col min="4993" max="4993" width="11.26953125" style="229" customWidth="1"/>
    <col min="4994" max="4996" width="9.81640625" style="229" customWidth="1"/>
    <col min="4997" max="4998" width="12.453125" style="229" customWidth="1"/>
    <col min="4999" max="4999" width="12.81640625" style="229" customWidth="1"/>
    <col min="5000" max="5000" width="10.54296875" style="229" customWidth="1"/>
    <col min="5001" max="5001" width="10" style="229" customWidth="1"/>
    <col min="5002" max="5004" width="10.453125" style="229" customWidth="1"/>
    <col min="5005" max="5005" width="13" style="229" customWidth="1"/>
    <col min="5006" max="5006" width="12.453125" style="229" customWidth="1"/>
    <col min="5007" max="5015" width="13" style="229" customWidth="1"/>
    <col min="5016" max="5016" width="11.26953125" style="229" customWidth="1"/>
    <col min="5017" max="5020" width="10" style="229" customWidth="1"/>
    <col min="5021" max="5021" width="12.81640625" style="229" customWidth="1"/>
    <col min="5022" max="5022" width="14.1796875" style="229" customWidth="1"/>
    <col min="5023" max="5023" width="13.54296875" style="229" customWidth="1"/>
    <col min="5024" max="5213" width="9.1796875" style="229"/>
    <col min="5214" max="5214" width="5.453125" style="229" customWidth="1"/>
    <col min="5215" max="5215" width="54.1796875" style="229" customWidth="1"/>
    <col min="5216" max="5216" width="10.453125" style="229" customWidth="1"/>
    <col min="5217" max="5217" width="10.54296875" style="229" customWidth="1"/>
    <col min="5218" max="5220" width="7.7265625" style="229" customWidth="1"/>
    <col min="5221" max="5221" width="13.1796875" style="229" customWidth="1"/>
    <col min="5222" max="5222" width="11.54296875" style="229" customWidth="1"/>
    <col min="5223" max="5239" width="9.453125" style="229" customWidth="1"/>
    <col min="5240" max="5240" width="10.54296875" style="229" customWidth="1"/>
    <col min="5241" max="5241" width="10" style="229" customWidth="1"/>
    <col min="5242" max="5246" width="9.453125" style="229" customWidth="1"/>
    <col min="5247" max="5247" width="12.7265625" style="229" customWidth="1"/>
    <col min="5248" max="5248" width="10.7265625" style="229" customWidth="1"/>
    <col min="5249" max="5249" width="11.26953125" style="229" customWidth="1"/>
    <col min="5250" max="5252" width="9.81640625" style="229" customWidth="1"/>
    <col min="5253" max="5254" width="12.453125" style="229" customWidth="1"/>
    <col min="5255" max="5255" width="12.81640625" style="229" customWidth="1"/>
    <col min="5256" max="5256" width="10.54296875" style="229" customWidth="1"/>
    <col min="5257" max="5257" width="10" style="229" customWidth="1"/>
    <col min="5258" max="5260" width="10.453125" style="229" customWidth="1"/>
    <col min="5261" max="5261" width="13" style="229" customWidth="1"/>
    <col min="5262" max="5262" width="12.453125" style="229" customWidth="1"/>
    <col min="5263" max="5271" width="13" style="229" customWidth="1"/>
    <col min="5272" max="5272" width="11.26953125" style="229" customWidth="1"/>
    <col min="5273" max="5276" width="10" style="229" customWidth="1"/>
    <col min="5277" max="5277" width="12.81640625" style="229" customWidth="1"/>
    <col min="5278" max="5278" width="14.1796875" style="229" customWidth="1"/>
    <col min="5279" max="5279" width="13.54296875" style="229" customWidth="1"/>
    <col min="5280" max="5469" width="9.1796875" style="229"/>
    <col min="5470" max="5470" width="5.453125" style="229" customWidth="1"/>
    <col min="5471" max="5471" width="54.1796875" style="229" customWidth="1"/>
    <col min="5472" max="5472" width="10.453125" style="229" customWidth="1"/>
    <col min="5473" max="5473" width="10.54296875" style="229" customWidth="1"/>
    <col min="5474" max="5476" width="7.7265625" style="229" customWidth="1"/>
    <col min="5477" max="5477" width="13.1796875" style="229" customWidth="1"/>
    <col min="5478" max="5478" width="11.54296875" style="229" customWidth="1"/>
    <col min="5479" max="5495" width="9.453125" style="229" customWidth="1"/>
    <col min="5496" max="5496" width="10.54296875" style="229" customWidth="1"/>
    <col min="5497" max="5497" width="10" style="229" customWidth="1"/>
    <col min="5498" max="5502" width="9.453125" style="229" customWidth="1"/>
    <col min="5503" max="5503" width="12.7265625" style="229" customWidth="1"/>
    <col min="5504" max="5504" width="10.7265625" style="229" customWidth="1"/>
    <col min="5505" max="5505" width="11.26953125" style="229" customWidth="1"/>
    <col min="5506" max="5508" width="9.81640625" style="229" customWidth="1"/>
    <col min="5509" max="5510" width="12.453125" style="229" customWidth="1"/>
    <col min="5511" max="5511" width="12.81640625" style="229" customWidth="1"/>
    <col min="5512" max="5512" width="10.54296875" style="229" customWidth="1"/>
    <col min="5513" max="5513" width="10" style="229" customWidth="1"/>
    <col min="5514" max="5516" width="10.453125" style="229" customWidth="1"/>
    <col min="5517" max="5517" width="13" style="229" customWidth="1"/>
    <col min="5518" max="5518" width="12.453125" style="229" customWidth="1"/>
    <col min="5519" max="5527" width="13" style="229" customWidth="1"/>
    <col min="5528" max="5528" width="11.26953125" style="229" customWidth="1"/>
    <col min="5529" max="5532" width="10" style="229" customWidth="1"/>
    <col min="5533" max="5533" width="12.81640625" style="229" customWidth="1"/>
    <col min="5534" max="5534" width="14.1796875" style="229" customWidth="1"/>
    <col min="5535" max="5535" width="13.54296875" style="229" customWidth="1"/>
    <col min="5536" max="5725" width="9.1796875" style="229"/>
    <col min="5726" max="5726" width="5.453125" style="229" customWidth="1"/>
    <col min="5727" max="5727" width="54.1796875" style="229" customWidth="1"/>
    <col min="5728" max="5728" width="10.453125" style="229" customWidth="1"/>
    <col min="5729" max="5729" width="10.54296875" style="229" customWidth="1"/>
    <col min="5730" max="5732" width="7.7265625" style="229" customWidth="1"/>
    <col min="5733" max="5733" width="13.1796875" style="229" customWidth="1"/>
    <col min="5734" max="5734" width="11.54296875" style="229" customWidth="1"/>
    <col min="5735" max="5751" width="9.453125" style="229" customWidth="1"/>
    <col min="5752" max="5752" width="10.54296875" style="229" customWidth="1"/>
    <col min="5753" max="5753" width="10" style="229" customWidth="1"/>
    <col min="5754" max="5758" width="9.453125" style="229" customWidth="1"/>
    <col min="5759" max="5759" width="12.7265625" style="229" customWidth="1"/>
    <col min="5760" max="5760" width="10.7265625" style="229" customWidth="1"/>
    <col min="5761" max="5761" width="11.26953125" style="229" customWidth="1"/>
    <col min="5762" max="5764" width="9.81640625" style="229" customWidth="1"/>
    <col min="5765" max="5766" width="12.453125" style="229" customWidth="1"/>
    <col min="5767" max="5767" width="12.81640625" style="229" customWidth="1"/>
    <col min="5768" max="5768" width="10.54296875" style="229" customWidth="1"/>
    <col min="5769" max="5769" width="10" style="229" customWidth="1"/>
    <col min="5770" max="5772" width="10.453125" style="229" customWidth="1"/>
    <col min="5773" max="5773" width="13" style="229" customWidth="1"/>
    <col min="5774" max="5774" width="12.453125" style="229" customWidth="1"/>
    <col min="5775" max="5783" width="13" style="229" customWidth="1"/>
    <col min="5784" max="5784" width="11.26953125" style="229" customWidth="1"/>
    <col min="5785" max="5788" width="10" style="229" customWidth="1"/>
    <col min="5789" max="5789" width="12.81640625" style="229" customWidth="1"/>
    <col min="5790" max="5790" width="14.1796875" style="229" customWidth="1"/>
    <col min="5791" max="5791" width="13.54296875" style="229" customWidth="1"/>
    <col min="5792" max="5981" width="9.1796875" style="229"/>
    <col min="5982" max="5982" width="5.453125" style="229" customWidth="1"/>
    <col min="5983" max="5983" width="54.1796875" style="229" customWidth="1"/>
    <col min="5984" max="5984" width="10.453125" style="229" customWidth="1"/>
    <col min="5985" max="5985" width="10.54296875" style="229" customWidth="1"/>
    <col min="5986" max="5988" width="7.7265625" style="229" customWidth="1"/>
    <col min="5989" max="5989" width="13.1796875" style="229" customWidth="1"/>
    <col min="5990" max="5990" width="11.54296875" style="229" customWidth="1"/>
    <col min="5991" max="6007" width="9.453125" style="229" customWidth="1"/>
    <col min="6008" max="6008" width="10.54296875" style="229" customWidth="1"/>
    <col min="6009" max="6009" width="10" style="229" customWidth="1"/>
    <col min="6010" max="6014" width="9.453125" style="229" customWidth="1"/>
    <col min="6015" max="6015" width="12.7265625" style="229" customWidth="1"/>
    <col min="6016" max="6016" width="10.7265625" style="229" customWidth="1"/>
    <col min="6017" max="6017" width="11.26953125" style="229" customWidth="1"/>
    <col min="6018" max="6020" width="9.81640625" style="229" customWidth="1"/>
    <col min="6021" max="6022" width="12.453125" style="229" customWidth="1"/>
    <col min="6023" max="6023" width="12.81640625" style="229" customWidth="1"/>
    <col min="6024" max="6024" width="10.54296875" style="229" customWidth="1"/>
    <col min="6025" max="6025" width="10" style="229" customWidth="1"/>
    <col min="6026" max="6028" width="10.453125" style="229" customWidth="1"/>
    <col min="6029" max="6029" width="13" style="229" customWidth="1"/>
    <col min="6030" max="6030" width="12.453125" style="229" customWidth="1"/>
    <col min="6031" max="6039" width="13" style="229" customWidth="1"/>
    <col min="6040" max="6040" width="11.26953125" style="229" customWidth="1"/>
    <col min="6041" max="6044" width="10" style="229" customWidth="1"/>
    <col min="6045" max="6045" width="12.81640625" style="229" customWidth="1"/>
    <col min="6046" max="6046" width="14.1796875" style="229" customWidth="1"/>
    <col min="6047" max="6047" width="13.54296875" style="229" customWidth="1"/>
    <col min="6048" max="6237" width="9.1796875" style="229"/>
    <col min="6238" max="6238" width="5.453125" style="229" customWidth="1"/>
    <col min="6239" max="6239" width="54.1796875" style="229" customWidth="1"/>
    <col min="6240" max="6240" width="10.453125" style="229" customWidth="1"/>
    <col min="6241" max="6241" width="10.54296875" style="229" customWidth="1"/>
    <col min="6242" max="6244" width="7.7265625" style="229" customWidth="1"/>
    <col min="6245" max="6245" width="13.1796875" style="229" customWidth="1"/>
    <col min="6246" max="6246" width="11.54296875" style="229" customWidth="1"/>
    <col min="6247" max="6263" width="9.453125" style="229" customWidth="1"/>
    <col min="6264" max="6264" width="10.54296875" style="229" customWidth="1"/>
    <col min="6265" max="6265" width="10" style="229" customWidth="1"/>
    <col min="6266" max="6270" width="9.453125" style="229" customWidth="1"/>
    <col min="6271" max="6271" width="12.7265625" style="229" customWidth="1"/>
    <col min="6272" max="6272" width="10.7265625" style="229" customWidth="1"/>
    <col min="6273" max="6273" width="11.26953125" style="229" customWidth="1"/>
    <col min="6274" max="6276" width="9.81640625" style="229" customWidth="1"/>
    <col min="6277" max="6278" width="12.453125" style="229" customWidth="1"/>
    <col min="6279" max="6279" width="12.81640625" style="229" customWidth="1"/>
    <col min="6280" max="6280" width="10.54296875" style="229" customWidth="1"/>
    <col min="6281" max="6281" width="10" style="229" customWidth="1"/>
    <col min="6282" max="6284" width="10.453125" style="229" customWidth="1"/>
    <col min="6285" max="6285" width="13" style="229" customWidth="1"/>
    <col min="6286" max="6286" width="12.453125" style="229" customWidth="1"/>
    <col min="6287" max="6295" width="13" style="229" customWidth="1"/>
    <col min="6296" max="6296" width="11.26953125" style="229" customWidth="1"/>
    <col min="6297" max="6300" width="10" style="229" customWidth="1"/>
    <col min="6301" max="6301" width="12.81640625" style="229" customWidth="1"/>
    <col min="6302" max="6302" width="14.1796875" style="229" customWidth="1"/>
    <col min="6303" max="6303" width="13.54296875" style="229" customWidth="1"/>
    <col min="6304" max="6493" width="9.1796875" style="229"/>
    <col min="6494" max="6494" width="5.453125" style="229" customWidth="1"/>
    <col min="6495" max="6495" width="54.1796875" style="229" customWidth="1"/>
    <col min="6496" max="6496" width="10.453125" style="229" customWidth="1"/>
    <col min="6497" max="6497" width="10.54296875" style="229" customWidth="1"/>
    <col min="6498" max="6500" width="7.7265625" style="229" customWidth="1"/>
    <col min="6501" max="6501" width="13.1796875" style="229" customWidth="1"/>
    <col min="6502" max="6502" width="11.54296875" style="229" customWidth="1"/>
    <col min="6503" max="6519" width="9.453125" style="229" customWidth="1"/>
    <col min="6520" max="6520" width="10.54296875" style="229" customWidth="1"/>
    <col min="6521" max="6521" width="10" style="229" customWidth="1"/>
    <col min="6522" max="6526" width="9.453125" style="229" customWidth="1"/>
    <col min="6527" max="6527" width="12.7265625" style="229" customWidth="1"/>
    <col min="6528" max="6528" width="10.7265625" style="229" customWidth="1"/>
    <col min="6529" max="6529" width="11.26953125" style="229" customWidth="1"/>
    <col min="6530" max="6532" width="9.81640625" style="229" customWidth="1"/>
    <col min="6533" max="6534" width="12.453125" style="229" customWidth="1"/>
    <col min="6535" max="6535" width="12.81640625" style="229" customWidth="1"/>
    <col min="6536" max="6536" width="10.54296875" style="229" customWidth="1"/>
    <col min="6537" max="6537" width="10" style="229" customWidth="1"/>
    <col min="6538" max="6540" width="10.453125" style="229" customWidth="1"/>
    <col min="6541" max="6541" width="13" style="229" customWidth="1"/>
    <col min="6542" max="6542" width="12.453125" style="229" customWidth="1"/>
    <col min="6543" max="6551" width="13" style="229" customWidth="1"/>
    <col min="6552" max="6552" width="11.26953125" style="229" customWidth="1"/>
    <col min="6553" max="6556" width="10" style="229" customWidth="1"/>
    <col min="6557" max="6557" width="12.81640625" style="229" customWidth="1"/>
    <col min="6558" max="6558" width="14.1796875" style="229" customWidth="1"/>
    <col min="6559" max="6559" width="13.54296875" style="229" customWidth="1"/>
    <col min="6560" max="6749" width="9.1796875" style="229"/>
    <col min="6750" max="6750" width="5.453125" style="229" customWidth="1"/>
    <col min="6751" max="6751" width="54.1796875" style="229" customWidth="1"/>
    <col min="6752" max="6752" width="10.453125" style="229" customWidth="1"/>
    <col min="6753" max="6753" width="10.54296875" style="229" customWidth="1"/>
    <col min="6754" max="6756" width="7.7265625" style="229" customWidth="1"/>
    <col min="6757" max="6757" width="13.1796875" style="229" customWidth="1"/>
    <col min="6758" max="6758" width="11.54296875" style="229" customWidth="1"/>
    <col min="6759" max="6775" width="9.453125" style="229" customWidth="1"/>
    <col min="6776" max="6776" width="10.54296875" style="229" customWidth="1"/>
    <col min="6777" max="6777" width="10" style="229" customWidth="1"/>
    <col min="6778" max="6782" width="9.453125" style="229" customWidth="1"/>
    <col min="6783" max="6783" width="12.7265625" style="229" customWidth="1"/>
    <col min="6784" max="6784" width="10.7265625" style="229" customWidth="1"/>
    <col min="6785" max="6785" width="11.26953125" style="229" customWidth="1"/>
    <col min="6786" max="6788" width="9.81640625" style="229" customWidth="1"/>
    <col min="6789" max="6790" width="12.453125" style="229" customWidth="1"/>
    <col min="6791" max="6791" width="12.81640625" style="229" customWidth="1"/>
    <col min="6792" max="6792" width="10.54296875" style="229" customWidth="1"/>
    <col min="6793" max="6793" width="10" style="229" customWidth="1"/>
    <col min="6794" max="6796" width="10.453125" style="229" customWidth="1"/>
    <col min="6797" max="6797" width="13" style="229" customWidth="1"/>
    <col min="6798" max="6798" width="12.453125" style="229" customWidth="1"/>
    <col min="6799" max="6807" width="13" style="229" customWidth="1"/>
    <col min="6808" max="6808" width="11.26953125" style="229" customWidth="1"/>
    <col min="6809" max="6812" width="10" style="229" customWidth="1"/>
    <col min="6813" max="6813" width="12.81640625" style="229" customWidth="1"/>
    <col min="6814" max="6814" width="14.1796875" style="229" customWidth="1"/>
    <col min="6815" max="6815" width="13.54296875" style="229" customWidth="1"/>
    <col min="6816" max="7005" width="9.1796875" style="229"/>
    <col min="7006" max="7006" width="5.453125" style="229" customWidth="1"/>
    <col min="7007" max="7007" width="54.1796875" style="229" customWidth="1"/>
    <col min="7008" max="7008" width="10.453125" style="229" customWidth="1"/>
    <col min="7009" max="7009" width="10.54296875" style="229" customWidth="1"/>
    <col min="7010" max="7012" width="7.7265625" style="229" customWidth="1"/>
    <col min="7013" max="7013" width="13.1796875" style="229" customWidth="1"/>
    <col min="7014" max="7014" width="11.54296875" style="229" customWidth="1"/>
    <col min="7015" max="7031" width="9.453125" style="229" customWidth="1"/>
    <col min="7032" max="7032" width="10.54296875" style="229" customWidth="1"/>
    <col min="7033" max="7033" width="10" style="229" customWidth="1"/>
    <col min="7034" max="7038" width="9.453125" style="229" customWidth="1"/>
    <col min="7039" max="7039" width="12.7265625" style="229" customWidth="1"/>
    <col min="7040" max="7040" width="10.7265625" style="229" customWidth="1"/>
    <col min="7041" max="7041" width="11.26953125" style="229" customWidth="1"/>
    <col min="7042" max="7044" width="9.81640625" style="229" customWidth="1"/>
    <col min="7045" max="7046" width="12.453125" style="229" customWidth="1"/>
    <col min="7047" max="7047" width="12.81640625" style="229" customWidth="1"/>
    <col min="7048" max="7048" width="10.54296875" style="229" customWidth="1"/>
    <col min="7049" max="7049" width="10" style="229" customWidth="1"/>
    <col min="7050" max="7052" width="10.453125" style="229" customWidth="1"/>
    <col min="7053" max="7053" width="13" style="229" customWidth="1"/>
    <col min="7054" max="7054" width="12.453125" style="229" customWidth="1"/>
    <col min="7055" max="7063" width="13" style="229" customWidth="1"/>
    <col min="7064" max="7064" width="11.26953125" style="229" customWidth="1"/>
    <col min="7065" max="7068" width="10" style="229" customWidth="1"/>
    <col min="7069" max="7069" width="12.81640625" style="229" customWidth="1"/>
    <col min="7070" max="7070" width="14.1796875" style="229" customWidth="1"/>
    <col min="7071" max="7071" width="13.54296875" style="229" customWidth="1"/>
    <col min="7072" max="7261" width="9.1796875" style="229"/>
    <col min="7262" max="7262" width="5.453125" style="229" customWidth="1"/>
    <col min="7263" max="7263" width="54.1796875" style="229" customWidth="1"/>
    <col min="7264" max="7264" width="10.453125" style="229" customWidth="1"/>
    <col min="7265" max="7265" width="10.54296875" style="229" customWidth="1"/>
    <col min="7266" max="7268" width="7.7265625" style="229" customWidth="1"/>
    <col min="7269" max="7269" width="13.1796875" style="229" customWidth="1"/>
    <col min="7270" max="7270" width="11.54296875" style="229" customWidth="1"/>
    <col min="7271" max="7287" width="9.453125" style="229" customWidth="1"/>
    <col min="7288" max="7288" width="10.54296875" style="229" customWidth="1"/>
    <col min="7289" max="7289" width="10" style="229" customWidth="1"/>
    <col min="7290" max="7294" width="9.453125" style="229" customWidth="1"/>
    <col min="7295" max="7295" width="12.7265625" style="229" customWidth="1"/>
    <col min="7296" max="7296" width="10.7265625" style="229" customWidth="1"/>
    <col min="7297" max="7297" width="11.26953125" style="229" customWidth="1"/>
    <col min="7298" max="7300" width="9.81640625" style="229" customWidth="1"/>
    <col min="7301" max="7302" width="12.453125" style="229" customWidth="1"/>
    <col min="7303" max="7303" width="12.81640625" style="229" customWidth="1"/>
    <col min="7304" max="7304" width="10.54296875" style="229" customWidth="1"/>
    <col min="7305" max="7305" width="10" style="229" customWidth="1"/>
    <col min="7306" max="7308" width="10.453125" style="229" customWidth="1"/>
    <col min="7309" max="7309" width="13" style="229" customWidth="1"/>
    <col min="7310" max="7310" width="12.453125" style="229" customWidth="1"/>
    <col min="7311" max="7319" width="13" style="229" customWidth="1"/>
    <col min="7320" max="7320" width="11.26953125" style="229" customWidth="1"/>
    <col min="7321" max="7324" width="10" style="229" customWidth="1"/>
    <col min="7325" max="7325" width="12.81640625" style="229" customWidth="1"/>
    <col min="7326" max="7326" width="14.1796875" style="229" customWidth="1"/>
    <col min="7327" max="7327" width="13.54296875" style="229" customWidth="1"/>
    <col min="7328" max="7517" width="9.1796875" style="229"/>
    <col min="7518" max="7518" width="5.453125" style="229" customWidth="1"/>
    <col min="7519" max="7519" width="54.1796875" style="229" customWidth="1"/>
    <col min="7520" max="7520" width="10.453125" style="229" customWidth="1"/>
    <col min="7521" max="7521" width="10.54296875" style="229" customWidth="1"/>
    <col min="7522" max="7524" width="7.7265625" style="229" customWidth="1"/>
    <col min="7525" max="7525" width="13.1796875" style="229" customWidth="1"/>
    <col min="7526" max="7526" width="11.54296875" style="229" customWidth="1"/>
    <col min="7527" max="7543" width="9.453125" style="229" customWidth="1"/>
    <col min="7544" max="7544" width="10.54296875" style="229" customWidth="1"/>
    <col min="7545" max="7545" width="10" style="229" customWidth="1"/>
    <col min="7546" max="7550" width="9.453125" style="229" customWidth="1"/>
    <col min="7551" max="7551" width="12.7265625" style="229" customWidth="1"/>
    <col min="7552" max="7552" width="10.7265625" style="229" customWidth="1"/>
    <col min="7553" max="7553" width="11.26953125" style="229" customWidth="1"/>
    <col min="7554" max="7556" width="9.81640625" style="229" customWidth="1"/>
    <col min="7557" max="7558" width="12.453125" style="229" customWidth="1"/>
    <col min="7559" max="7559" width="12.81640625" style="229" customWidth="1"/>
    <col min="7560" max="7560" width="10.54296875" style="229" customWidth="1"/>
    <col min="7561" max="7561" width="10" style="229" customWidth="1"/>
    <col min="7562" max="7564" width="10.453125" style="229" customWidth="1"/>
    <col min="7565" max="7565" width="13" style="229" customWidth="1"/>
    <col min="7566" max="7566" width="12.453125" style="229" customWidth="1"/>
    <col min="7567" max="7575" width="13" style="229" customWidth="1"/>
    <col min="7576" max="7576" width="11.26953125" style="229" customWidth="1"/>
    <col min="7577" max="7580" width="10" style="229" customWidth="1"/>
    <col min="7581" max="7581" width="12.81640625" style="229" customWidth="1"/>
    <col min="7582" max="7582" width="14.1796875" style="229" customWidth="1"/>
    <col min="7583" max="7583" width="13.54296875" style="229" customWidth="1"/>
    <col min="7584" max="7773" width="9.1796875" style="229"/>
    <col min="7774" max="7774" width="5.453125" style="229" customWidth="1"/>
    <col min="7775" max="7775" width="54.1796875" style="229" customWidth="1"/>
    <col min="7776" max="7776" width="10.453125" style="229" customWidth="1"/>
    <col min="7777" max="7777" width="10.54296875" style="229" customWidth="1"/>
    <col min="7778" max="7780" width="7.7265625" style="229" customWidth="1"/>
    <col min="7781" max="7781" width="13.1796875" style="229" customWidth="1"/>
    <col min="7782" max="7782" width="11.54296875" style="229" customWidth="1"/>
    <col min="7783" max="7799" width="9.453125" style="229" customWidth="1"/>
    <col min="7800" max="7800" width="10.54296875" style="229" customWidth="1"/>
    <col min="7801" max="7801" width="10" style="229" customWidth="1"/>
    <col min="7802" max="7806" width="9.453125" style="229" customWidth="1"/>
    <col min="7807" max="7807" width="12.7265625" style="229" customWidth="1"/>
    <col min="7808" max="7808" width="10.7265625" style="229" customWidth="1"/>
    <col min="7809" max="7809" width="11.26953125" style="229" customWidth="1"/>
    <col min="7810" max="7812" width="9.81640625" style="229" customWidth="1"/>
    <col min="7813" max="7814" width="12.453125" style="229" customWidth="1"/>
    <col min="7815" max="7815" width="12.81640625" style="229" customWidth="1"/>
    <col min="7816" max="7816" width="10.54296875" style="229" customWidth="1"/>
    <col min="7817" max="7817" width="10" style="229" customWidth="1"/>
    <col min="7818" max="7820" width="10.453125" style="229" customWidth="1"/>
    <col min="7821" max="7821" width="13" style="229" customWidth="1"/>
    <col min="7822" max="7822" width="12.453125" style="229" customWidth="1"/>
    <col min="7823" max="7831" width="13" style="229" customWidth="1"/>
    <col min="7832" max="7832" width="11.26953125" style="229" customWidth="1"/>
    <col min="7833" max="7836" width="10" style="229" customWidth="1"/>
    <col min="7837" max="7837" width="12.81640625" style="229" customWidth="1"/>
    <col min="7838" max="7838" width="14.1796875" style="229" customWidth="1"/>
    <col min="7839" max="7839" width="13.54296875" style="229" customWidth="1"/>
    <col min="7840" max="8029" width="9.1796875" style="229"/>
    <col min="8030" max="8030" width="5.453125" style="229" customWidth="1"/>
    <col min="8031" max="8031" width="54.1796875" style="229" customWidth="1"/>
    <col min="8032" max="8032" width="10.453125" style="229" customWidth="1"/>
    <col min="8033" max="8033" width="10.54296875" style="229" customWidth="1"/>
    <col min="8034" max="8036" width="7.7265625" style="229" customWidth="1"/>
    <col min="8037" max="8037" width="13.1796875" style="229" customWidth="1"/>
    <col min="8038" max="8038" width="11.54296875" style="229" customWidth="1"/>
    <col min="8039" max="8055" width="9.453125" style="229" customWidth="1"/>
    <col min="8056" max="8056" width="10.54296875" style="229" customWidth="1"/>
    <col min="8057" max="8057" width="10" style="229" customWidth="1"/>
    <col min="8058" max="8062" width="9.453125" style="229" customWidth="1"/>
    <col min="8063" max="8063" width="12.7265625" style="229" customWidth="1"/>
    <col min="8064" max="8064" width="10.7265625" style="229" customWidth="1"/>
    <col min="8065" max="8065" width="11.26953125" style="229" customWidth="1"/>
    <col min="8066" max="8068" width="9.81640625" style="229" customWidth="1"/>
    <col min="8069" max="8070" width="12.453125" style="229" customWidth="1"/>
    <col min="8071" max="8071" width="12.81640625" style="229" customWidth="1"/>
    <col min="8072" max="8072" width="10.54296875" style="229" customWidth="1"/>
    <col min="8073" max="8073" width="10" style="229" customWidth="1"/>
    <col min="8074" max="8076" width="10.453125" style="229" customWidth="1"/>
    <col min="8077" max="8077" width="13" style="229" customWidth="1"/>
    <col min="8078" max="8078" width="12.453125" style="229" customWidth="1"/>
    <col min="8079" max="8087" width="13" style="229" customWidth="1"/>
    <col min="8088" max="8088" width="11.26953125" style="229" customWidth="1"/>
    <col min="8089" max="8092" width="10" style="229" customWidth="1"/>
    <col min="8093" max="8093" width="12.81640625" style="229" customWidth="1"/>
    <col min="8094" max="8094" width="14.1796875" style="229" customWidth="1"/>
    <col min="8095" max="8095" width="13.54296875" style="229" customWidth="1"/>
    <col min="8096" max="8285" width="9.1796875" style="229"/>
    <col min="8286" max="8286" width="5.453125" style="229" customWidth="1"/>
    <col min="8287" max="8287" width="54.1796875" style="229" customWidth="1"/>
    <col min="8288" max="8288" width="10.453125" style="229" customWidth="1"/>
    <col min="8289" max="8289" width="10.54296875" style="229" customWidth="1"/>
    <col min="8290" max="8292" width="7.7265625" style="229" customWidth="1"/>
    <col min="8293" max="8293" width="13.1796875" style="229" customWidth="1"/>
    <col min="8294" max="8294" width="11.54296875" style="229" customWidth="1"/>
    <col min="8295" max="8311" width="9.453125" style="229" customWidth="1"/>
    <col min="8312" max="8312" width="10.54296875" style="229" customWidth="1"/>
    <col min="8313" max="8313" width="10" style="229" customWidth="1"/>
    <col min="8314" max="8318" width="9.453125" style="229" customWidth="1"/>
    <col min="8319" max="8319" width="12.7265625" style="229" customWidth="1"/>
    <col min="8320" max="8320" width="10.7265625" style="229" customWidth="1"/>
    <col min="8321" max="8321" width="11.26953125" style="229" customWidth="1"/>
    <col min="8322" max="8324" width="9.81640625" style="229" customWidth="1"/>
    <col min="8325" max="8326" width="12.453125" style="229" customWidth="1"/>
    <col min="8327" max="8327" width="12.81640625" style="229" customWidth="1"/>
    <col min="8328" max="8328" width="10.54296875" style="229" customWidth="1"/>
    <col min="8329" max="8329" width="10" style="229" customWidth="1"/>
    <col min="8330" max="8332" width="10.453125" style="229" customWidth="1"/>
    <col min="8333" max="8333" width="13" style="229" customWidth="1"/>
    <col min="8334" max="8334" width="12.453125" style="229" customWidth="1"/>
    <col min="8335" max="8343" width="13" style="229" customWidth="1"/>
    <col min="8344" max="8344" width="11.26953125" style="229" customWidth="1"/>
    <col min="8345" max="8348" width="10" style="229" customWidth="1"/>
    <col min="8349" max="8349" width="12.81640625" style="229" customWidth="1"/>
    <col min="8350" max="8350" width="14.1796875" style="229" customWidth="1"/>
    <col min="8351" max="8351" width="13.54296875" style="229" customWidth="1"/>
    <col min="8352" max="8541" width="9.1796875" style="229"/>
    <col min="8542" max="8542" width="5.453125" style="229" customWidth="1"/>
    <col min="8543" max="8543" width="54.1796875" style="229" customWidth="1"/>
    <col min="8544" max="8544" width="10.453125" style="229" customWidth="1"/>
    <col min="8545" max="8545" width="10.54296875" style="229" customWidth="1"/>
    <col min="8546" max="8548" width="7.7265625" style="229" customWidth="1"/>
    <col min="8549" max="8549" width="13.1796875" style="229" customWidth="1"/>
    <col min="8550" max="8550" width="11.54296875" style="229" customWidth="1"/>
    <col min="8551" max="8567" width="9.453125" style="229" customWidth="1"/>
    <col min="8568" max="8568" width="10.54296875" style="229" customWidth="1"/>
    <col min="8569" max="8569" width="10" style="229" customWidth="1"/>
    <col min="8570" max="8574" width="9.453125" style="229" customWidth="1"/>
    <col min="8575" max="8575" width="12.7265625" style="229" customWidth="1"/>
    <col min="8576" max="8576" width="10.7265625" style="229" customWidth="1"/>
    <col min="8577" max="8577" width="11.26953125" style="229" customWidth="1"/>
    <col min="8578" max="8580" width="9.81640625" style="229" customWidth="1"/>
    <col min="8581" max="8582" width="12.453125" style="229" customWidth="1"/>
    <col min="8583" max="8583" width="12.81640625" style="229" customWidth="1"/>
    <col min="8584" max="8584" width="10.54296875" style="229" customWidth="1"/>
    <col min="8585" max="8585" width="10" style="229" customWidth="1"/>
    <col min="8586" max="8588" width="10.453125" style="229" customWidth="1"/>
    <col min="8589" max="8589" width="13" style="229" customWidth="1"/>
    <col min="8590" max="8590" width="12.453125" style="229" customWidth="1"/>
    <col min="8591" max="8599" width="13" style="229" customWidth="1"/>
    <col min="8600" max="8600" width="11.26953125" style="229" customWidth="1"/>
    <col min="8601" max="8604" width="10" style="229" customWidth="1"/>
    <col min="8605" max="8605" width="12.81640625" style="229" customWidth="1"/>
    <col min="8606" max="8606" width="14.1796875" style="229" customWidth="1"/>
    <col min="8607" max="8607" width="13.54296875" style="229" customWidth="1"/>
    <col min="8608" max="8797" width="9.1796875" style="229"/>
    <col min="8798" max="8798" width="5.453125" style="229" customWidth="1"/>
    <col min="8799" max="8799" width="54.1796875" style="229" customWidth="1"/>
    <col min="8800" max="8800" width="10.453125" style="229" customWidth="1"/>
    <col min="8801" max="8801" width="10.54296875" style="229" customWidth="1"/>
    <col min="8802" max="8804" width="7.7265625" style="229" customWidth="1"/>
    <col min="8805" max="8805" width="13.1796875" style="229" customWidth="1"/>
    <col min="8806" max="8806" width="11.54296875" style="229" customWidth="1"/>
    <col min="8807" max="8823" width="9.453125" style="229" customWidth="1"/>
    <col min="8824" max="8824" width="10.54296875" style="229" customWidth="1"/>
    <col min="8825" max="8825" width="10" style="229" customWidth="1"/>
    <col min="8826" max="8830" width="9.453125" style="229" customWidth="1"/>
    <col min="8831" max="8831" width="12.7265625" style="229" customWidth="1"/>
    <col min="8832" max="8832" width="10.7265625" style="229" customWidth="1"/>
    <col min="8833" max="8833" width="11.26953125" style="229" customWidth="1"/>
    <col min="8834" max="8836" width="9.81640625" style="229" customWidth="1"/>
    <col min="8837" max="8838" width="12.453125" style="229" customWidth="1"/>
    <col min="8839" max="8839" width="12.81640625" style="229" customWidth="1"/>
    <col min="8840" max="8840" width="10.54296875" style="229" customWidth="1"/>
    <col min="8841" max="8841" width="10" style="229" customWidth="1"/>
    <col min="8842" max="8844" width="10.453125" style="229" customWidth="1"/>
    <col min="8845" max="8845" width="13" style="229" customWidth="1"/>
    <col min="8846" max="8846" width="12.453125" style="229" customWidth="1"/>
    <col min="8847" max="8855" width="13" style="229" customWidth="1"/>
    <col min="8856" max="8856" width="11.26953125" style="229" customWidth="1"/>
    <col min="8857" max="8860" width="10" style="229" customWidth="1"/>
    <col min="8861" max="8861" width="12.81640625" style="229" customWidth="1"/>
    <col min="8862" max="8862" width="14.1796875" style="229" customWidth="1"/>
    <col min="8863" max="8863" width="13.54296875" style="229" customWidth="1"/>
    <col min="8864" max="9053" width="9.1796875" style="229"/>
    <col min="9054" max="9054" width="5.453125" style="229" customWidth="1"/>
    <col min="9055" max="9055" width="54.1796875" style="229" customWidth="1"/>
    <col min="9056" max="9056" width="10.453125" style="229" customWidth="1"/>
    <col min="9057" max="9057" width="10.54296875" style="229" customWidth="1"/>
    <col min="9058" max="9060" width="7.7265625" style="229" customWidth="1"/>
    <col min="9061" max="9061" width="13.1796875" style="229" customWidth="1"/>
    <col min="9062" max="9062" width="11.54296875" style="229" customWidth="1"/>
    <col min="9063" max="9079" width="9.453125" style="229" customWidth="1"/>
    <col min="9080" max="9080" width="10.54296875" style="229" customWidth="1"/>
    <col min="9081" max="9081" width="10" style="229" customWidth="1"/>
    <col min="9082" max="9086" width="9.453125" style="229" customWidth="1"/>
    <col min="9087" max="9087" width="12.7265625" style="229" customWidth="1"/>
    <col min="9088" max="9088" width="10.7265625" style="229" customWidth="1"/>
    <col min="9089" max="9089" width="11.26953125" style="229" customWidth="1"/>
    <col min="9090" max="9092" width="9.81640625" style="229" customWidth="1"/>
    <col min="9093" max="9094" width="12.453125" style="229" customWidth="1"/>
    <col min="9095" max="9095" width="12.81640625" style="229" customWidth="1"/>
    <col min="9096" max="9096" width="10.54296875" style="229" customWidth="1"/>
    <col min="9097" max="9097" width="10" style="229" customWidth="1"/>
    <col min="9098" max="9100" width="10.453125" style="229" customWidth="1"/>
    <col min="9101" max="9101" width="13" style="229" customWidth="1"/>
    <col min="9102" max="9102" width="12.453125" style="229" customWidth="1"/>
    <col min="9103" max="9111" width="13" style="229" customWidth="1"/>
    <col min="9112" max="9112" width="11.26953125" style="229" customWidth="1"/>
    <col min="9113" max="9116" width="10" style="229" customWidth="1"/>
    <col min="9117" max="9117" width="12.81640625" style="229" customWidth="1"/>
    <col min="9118" max="9118" width="14.1796875" style="229" customWidth="1"/>
    <col min="9119" max="9119" width="13.54296875" style="229" customWidth="1"/>
    <col min="9120" max="9309" width="9.1796875" style="229"/>
    <col min="9310" max="9310" width="5.453125" style="229" customWidth="1"/>
    <col min="9311" max="9311" width="54.1796875" style="229" customWidth="1"/>
    <col min="9312" max="9312" width="10.453125" style="229" customWidth="1"/>
    <col min="9313" max="9313" width="10.54296875" style="229" customWidth="1"/>
    <col min="9314" max="9316" width="7.7265625" style="229" customWidth="1"/>
    <col min="9317" max="9317" width="13.1796875" style="229" customWidth="1"/>
    <col min="9318" max="9318" width="11.54296875" style="229" customWidth="1"/>
    <col min="9319" max="9335" width="9.453125" style="229" customWidth="1"/>
    <col min="9336" max="9336" width="10.54296875" style="229" customWidth="1"/>
    <col min="9337" max="9337" width="10" style="229" customWidth="1"/>
    <col min="9338" max="9342" width="9.453125" style="229" customWidth="1"/>
    <col min="9343" max="9343" width="12.7265625" style="229" customWidth="1"/>
    <col min="9344" max="9344" width="10.7265625" style="229" customWidth="1"/>
    <col min="9345" max="9345" width="11.26953125" style="229" customWidth="1"/>
    <col min="9346" max="9348" width="9.81640625" style="229" customWidth="1"/>
    <col min="9349" max="9350" width="12.453125" style="229" customWidth="1"/>
    <col min="9351" max="9351" width="12.81640625" style="229" customWidth="1"/>
    <col min="9352" max="9352" width="10.54296875" style="229" customWidth="1"/>
    <col min="9353" max="9353" width="10" style="229" customWidth="1"/>
    <col min="9354" max="9356" width="10.453125" style="229" customWidth="1"/>
    <col min="9357" max="9357" width="13" style="229" customWidth="1"/>
    <col min="9358" max="9358" width="12.453125" style="229" customWidth="1"/>
    <col min="9359" max="9367" width="13" style="229" customWidth="1"/>
    <col min="9368" max="9368" width="11.26953125" style="229" customWidth="1"/>
    <col min="9369" max="9372" width="10" style="229" customWidth="1"/>
    <col min="9373" max="9373" width="12.81640625" style="229" customWidth="1"/>
    <col min="9374" max="9374" width="14.1796875" style="229" customWidth="1"/>
    <col min="9375" max="9375" width="13.54296875" style="229" customWidth="1"/>
    <col min="9376" max="9565" width="9.1796875" style="229"/>
    <col min="9566" max="9566" width="5.453125" style="229" customWidth="1"/>
    <col min="9567" max="9567" width="54.1796875" style="229" customWidth="1"/>
    <col min="9568" max="9568" width="10.453125" style="229" customWidth="1"/>
    <col min="9569" max="9569" width="10.54296875" style="229" customWidth="1"/>
    <col min="9570" max="9572" width="7.7265625" style="229" customWidth="1"/>
    <col min="9573" max="9573" width="13.1796875" style="229" customWidth="1"/>
    <col min="9574" max="9574" width="11.54296875" style="229" customWidth="1"/>
    <col min="9575" max="9591" width="9.453125" style="229" customWidth="1"/>
    <col min="9592" max="9592" width="10.54296875" style="229" customWidth="1"/>
    <col min="9593" max="9593" width="10" style="229" customWidth="1"/>
    <col min="9594" max="9598" width="9.453125" style="229" customWidth="1"/>
    <col min="9599" max="9599" width="12.7265625" style="229" customWidth="1"/>
    <col min="9600" max="9600" width="10.7265625" style="229" customWidth="1"/>
    <col min="9601" max="9601" width="11.26953125" style="229" customWidth="1"/>
    <col min="9602" max="9604" width="9.81640625" style="229" customWidth="1"/>
    <col min="9605" max="9606" width="12.453125" style="229" customWidth="1"/>
    <col min="9607" max="9607" width="12.81640625" style="229" customWidth="1"/>
    <col min="9608" max="9608" width="10.54296875" style="229" customWidth="1"/>
    <col min="9609" max="9609" width="10" style="229" customWidth="1"/>
    <col min="9610" max="9612" width="10.453125" style="229" customWidth="1"/>
    <col min="9613" max="9613" width="13" style="229" customWidth="1"/>
    <col min="9614" max="9614" width="12.453125" style="229" customWidth="1"/>
    <col min="9615" max="9623" width="13" style="229" customWidth="1"/>
    <col min="9624" max="9624" width="11.26953125" style="229" customWidth="1"/>
    <col min="9625" max="9628" width="10" style="229" customWidth="1"/>
    <col min="9629" max="9629" width="12.81640625" style="229" customWidth="1"/>
    <col min="9630" max="9630" width="14.1796875" style="229" customWidth="1"/>
    <col min="9631" max="9631" width="13.54296875" style="229" customWidth="1"/>
    <col min="9632" max="9821" width="9.1796875" style="229"/>
    <col min="9822" max="9822" width="5.453125" style="229" customWidth="1"/>
    <col min="9823" max="9823" width="54.1796875" style="229" customWidth="1"/>
    <col min="9824" max="9824" width="10.453125" style="229" customWidth="1"/>
    <col min="9825" max="9825" width="10.54296875" style="229" customWidth="1"/>
    <col min="9826" max="9828" width="7.7265625" style="229" customWidth="1"/>
    <col min="9829" max="9829" width="13.1796875" style="229" customWidth="1"/>
    <col min="9830" max="9830" width="11.54296875" style="229" customWidth="1"/>
    <col min="9831" max="9847" width="9.453125" style="229" customWidth="1"/>
    <col min="9848" max="9848" width="10.54296875" style="229" customWidth="1"/>
    <col min="9849" max="9849" width="10" style="229" customWidth="1"/>
    <col min="9850" max="9854" width="9.453125" style="229" customWidth="1"/>
    <col min="9855" max="9855" width="12.7265625" style="229" customWidth="1"/>
    <col min="9856" max="9856" width="10.7265625" style="229" customWidth="1"/>
    <col min="9857" max="9857" width="11.26953125" style="229" customWidth="1"/>
    <col min="9858" max="9860" width="9.81640625" style="229" customWidth="1"/>
    <col min="9861" max="9862" width="12.453125" style="229" customWidth="1"/>
    <col min="9863" max="9863" width="12.81640625" style="229" customWidth="1"/>
    <col min="9864" max="9864" width="10.54296875" style="229" customWidth="1"/>
    <col min="9865" max="9865" width="10" style="229" customWidth="1"/>
    <col min="9866" max="9868" width="10.453125" style="229" customWidth="1"/>
    <col min="9869" max="9869" width="13" style="229" customWidth="1"/>
    <col min="9870" max="9870" width="12.453125" style="229" customWidth="1"/>
    <col min="9871" max="9879" width="13" style="229" customWidth="1"/>
    <col min="9880" max="9880" width="11.26953125" style="229" customWidth="1"/>
    <col min="9881" max="9884" width="10" style="229" customWidth="1"/>
    <col min="9885" max="9885" width="12.81640625" style="229" customWidth="1"/>
    <col min="9886" max="9886" width="14.1796875" style="229" customWidth="1"/>
    <col min="9887" max="9887" width="13.54296875" style="229" customWidth="1"/>
    <col min="9888" max="10077" width="9.1796875" style="229"/>
    <col min="10078" max="10078" width="5.453125" style="229" customWidth="1"/>
    <col min="10079" max="10079" width="54.1796875" style="229" customWidth="1"/>
    <col min="10080" max="10080" width="10.453125" style="229" customWidth="1"/>
    <col min="10081" max="10081" width="10.54296875" style="229" customWidth="1"/>
    <col min="10082" max="10084" width="7.7265625" style="229" customWidth="1"/>
    <col min="10085" max="10085" width="13.1796875" style="229" customWidth="1"/>
    <col min="10086" max="10086" width="11.54296875" style="229" customWidth="1"/>
    <col min="10087" max="10103" width="9.453125" style="229" customWidth="1"/>
    <col min="10104" max="10104" width="10.54296875" style="229" customWidth="1"/>
    <col min="10105" max="10105" width="10" style="229" customWidth="1"/>
    <col min="10106" max="10110" width="9.453125" style="229" customWidth="1"/>
    <col min="10111" max="10111" width="12.7265625" style="229" customWidth="1"/>
    <col min="10112" max="10112" width="10.7265625" style="229" customWidth="1"/>
    <col min="10113" max="10113" width="11.26953125" style="229" customWidth="1"/>
    <col min="10114" max="10116" width="9.81640625" style="229" customWidth="1"/>
    <col min="10117" max="10118" width="12.453125" style="229" customWidth="1"/>
    <col min="10119" max="10119" width="12.81640625" style="229" customWidth="1"/>
    <col min="10120" max="10120" width="10.54296875" style="229" customWidth="1"/>
    <col min="10121" max="10121" width="10" style="229" customWidth="1"/>
    <col min="10122" max="10124" width="10.453125" style="229" customWidth="1"/>
    <col min="10125" max="10125" width="13" style="229" customWidth="1"/>
    <col min="10126" max="10126" width="12.453125" style="229" customWidth="1"/>
    <col min="10127" max="10135" width="13" style="229" customWidth="1"/>
    <col min="10136" max="10136" width="11.26953125" style="229" customWidth="1"/>
    <col min="10137" max="10140" width="10" style="229" customWidth="1"/>
    <col min="10141" max="10141" width="12.81640625" style="229" customWidth="1"/>
    <col min="10142" max="10142" width="14.1796875" style="229" customWidth="1"/>
    <col min="10143" max="10143" width="13.54296875" style="229" customWidth="1"/>
    <col min="10144" max="10333" width="9.1796875" style="229"/>
    <col min="10334" max="10334" width="5.453125" style="229" customWidth="1"/>
    <col min="10335" max="10335" width="54.1796875" style="229" customWidth="1"/>
    <col min="10336" max="10336" width="10.453125" style="229" customWidth="1"/>
    <col min="10337" max="10337" width="10.54296875" style="229" customWidth="1"/>
    <col min="10338" max="10340" width="7.7265625" style="229" customWidth="1"/>
    <col min="10341" max="10341" width="13.1796875" style="229" customWidth="1"/>
    <col min="10342" max="10342" width="11.54296875" style="229" customWidth="1"/>
    <col min="10343" max="10359" width="9.453125" style="229" customWidth="1"/>
    <col min="10360" max="10360" width="10.54296875" style="229" customWidth="1"/>
    <col min="10361" max="10361" width="10" style="229" customWidth="1"/>
    <col min="10362" max="10366" width="9.453125" style="229" customWidth="1"/>
    <col min="10367" max="10367" width="12.7265625" style="229" customWidth="1"/>
    <col min="10368" max="10368" width="10.7265625" style="229" customWidth="1"/>
    <col min="10369" max="10369" width="11.26953125" style="229" customWidth="1"/>
    <col min="10370" max="10372" width="9.81640625" style="229" customWidth="1"/>
    <col min="10373" max="10374" width="12.453125" style="229" customWidth="1"/>
    <col min="10375" max="10375" width="12.81640625" style="229" customWidth="1"/>
    <col min="10376" max="10376" width="10.54296875" style="229" customWidth="1"/>
    <col min="10377" max="10377" width="10" style="229" customWidth="1"/>
    <col min="10378" max="10380" width="10.453125" style="229" customWidth="1"/>
    <col min="10381" max="10381" width="13" style="229" customWidth="1"/>
    <col min="10382" max="10382" width="12.453125" style="229" customWidth="1"/>
    <col min="10383" max="10391" width="13" style="229" customWidth="1"/>
    <col min="10392" max="10392" width="11.26953125" style="229" customWidth="1"/>
    <col min="10393" max="10396" width="10" style="229" customWidth="1"/>
    <col min="10397" max="10397" width="12.81640625" style="229" customWidth="1"/>
    <col min="10398" max="10398" width="14.1796875" style="229" customWidth="1"/>
    <col min="10399" max="10399" width="13.54296875" style="229" customWidth="1"/>
    <col min="10400" max="10589" width="9.1796875" style="229"/>
    <col min="10590" max="10590" width="5.453125" style="229" customWidth="1"/>
    <col min="10591" max="10591" width="54.1796875" style="229" customWidth="1"/>
    <col min="10592" max="10592" width="10.453125" style="229" customWidth="1"/>
    <col min="10593" max="10593" width="10.54296875" style="229" customWidth="1"/>
    <col min="10594" max="10596" width="7.7265625" style="229" customWidth="1"/>
    <col min="10597" max="10597" width="13.1796875" style="229" customWidth="1"/>
    <col min="10598" max="10598" width="11.54296875" style="229" customWidth="1"/>
    <col min="10599" max="10615" width="9.453125" style="229" customWidth="1"/>
    <col min="10616" max="10616" width="10.54296875" style="229" customWidth="1"/>
    <col min="10617" max="10617" width="10" style="229" customWidth="1"/>
    <col min="10618" max="10622" width="9.453125" style="229" customWidth="1"/>
    <col min="10623" max="10623" width="12.7265625" style="229" customWidth="1"/>
    <col min="10624" max="10624" width="10.7265625" style="229" customWidth="1"/>
    <col min="10625" max="10625" width="11.26953125" style="229" customWidth="1"/>
    <col min="10626" max="10628" width="9.81640625" style="229" customWidth="1"/>
    <col min="10629" max="10630" width="12.453125" style="229" customWidth="1"/>
    <col min="10631" max="10631" width="12.81640625" style="229" customWidth="1"/>
    <col min="10632" max="10632" width="10.54296875" style="229" customWidth="1"/>
    <col min="10633" max="10633" width="10" style="229" customWidth="1"/>
    <col min="10634" max="10636" width="10.453125" style="229" customWidth="1"/>
    <col min="10637" max="10637" width="13" style="229" customWidth="1"/>
    <col min="10638" max="10638" width="12.453125" style="229" customWidth="1"/>
    <col min="10639" max="10647" width="13" style="229" customWidth="1"/>
    <col min="10648" max="10648" width="11.26953125" style="229" customWidth="1"/>
    <col min="10649" max="10652" width="10" style="229" customWidth="1"/>
    <col min="10653" max="10653" width="12.81640625" style="229" customWidth="1"/>
    <col min="10654" max="10654" width="14.1796875" style="229" customWidth="1"/>
    <col min="10655" max="10655" width="13.54296875" style="229" customWidth="1"/>
    <col min="10656" max="10845" width="9.1796875" style="229"/>
    <col min="10846" max="10846" width="5.453125" style="229" customWidth="1"/>
    <col min="10847" max="10847" width="54.1796875" style="229" customWidth="1"/>
    <col min="10848" max="10848" width="10.453125" style="229" customWidth="1"/>
    <col min="10849" max="10849" width="10.54296875" style="229" customWidth="1"/>
    <col min="10850" max="10852" width="7.7265625" style="229" customWidth="1"/>
    <col min="10853" max="10853" width="13.1796875" style="229" customWidth="1"/>
    <col min="10854" max="10854" width="11.54296875" style="229" customWidth="1"/>
    <col min="10855" max="10871" width="9.453125" style="229" customWidth="1"/>
    <col min="10872" max="10872" width="10.54296875" style="229" customWidth="1"/>
    <col min="10873" max="10873" width="10" style="229" customWidth="1"/>
    <col min="10874" max="10878" width="9.453125" style="229" customWidth="1"/>
    <col min="10879" max="10879" width="12.7265625" style="229" customWidth="1"/>
    <col min="10880" max="10880" width="10.7265625" style="229" customWidth="1"/>
    <col min="10881" max="10881" width="11.26953125" style="229" customWidth="1"/>
    <col min="10882" max="10884" width="9.81640625" style="229" customWidth="1"/>
    <col min="10885" max="10886" width="12.453125" style="229" customWidth="1"/>
    <col min="10887" max="10887" width="12.81640625" style="229" customWidth="1"/>
    <col min="10888" max="10888" width="10.54296875" style="229" customWidth="1"/>
    <col min="10889" max="10889" width="10" style="229" customWidth="1"/>
    <col min="10890" max="10892" width="10.453125" style="229" customWidth="1"/>
    <col min="10893" max="10893" width="13" style="229" customWidth="1"/>
    <col min="10894" max="10894" width="12.453125" style="229" customWidth="1"/>
    <col min="10895" max="10903" width="13" style="229" customWidth="1"/>
    <col min="10904" max="10904" width="11.26953125" style="229" customWidth="1"/>
    <col min="10905" max="10908" width="10" style="229" customWidth="1"/>
    <col min="10909" max="10909" width="12.81640625" style="229" customWidth="1"/>
    <col min="10910" max="10910" width="14.1796875" style="229" customWidth="1"/>
    <col min="10911" max="10911" width="13.54296875" style="229" customWidth="1"/>
    <col min="10912" max="11101" width="9.1796875" style="229"/>
    <col min="11102" max="11102" width="5.453125" style="229" customWidth="1"/>
    <col min="11103" max="11103" width="54.1796875" style="229" customWidth="1"/>
    <col min="11104" max="11104" width="10.453125" style="229" customWidth="1"/>
    <col min="11105" max="11105" width="10.54296875" style="229" customWidth="1"/>
    <col min="11106" max="11108" width="7.7265625" style="229" customWidth="1"/>
    <col min="11109" max="11109" width="13.1796875" style="229" customWidth="1"/>
    <col min="11110" max="11110" width="11.54296875" style="229" customWidth="1"/>
    <col min="11111" max="11127" width="9.453125" style="229" customWidth="1"/>
    <col min="11128" max="11128" width="10.54296875" style="229" customWidth="1"/>
    <col min="11129" max="11129" width="10" style="229" customWidth="1"/>
    <col min="11130" max="11134" width="9.453125" style="229" customWidth="1"/>
    <col min="11135" max="11135" width="12.7265625" style="229" customWidth="1"/>
    <col min="11136" max="11136" width="10.7265625" style="229" customWidth="1"/>
    <col min="11137" max="11137" width="11.26953125" style="229" customWidth="1"/>
    <col min="11138" max="11140" width="9.81640625" style="229" customWidth="1"/>
    <col min="11141" max="11142" width="12.453125" style="229" customWidth="1"/>
    <col min="11143" max="11143" width="12.81640625" style="229" customWidth="1"/>
    <col min="11144" max="11144" width="10.54296875" style="229" customWidth="1"/>
    <col min="11145" max="11145" width="10" style="229" customWidth="1"/>
    <col min="11146" max="11148" width="10.453125" style="229" customWidth="1"/>
    <col min="11149" max="11149" width="13" style="229" customWidth="1"/>
    <col min="11150" max="11150" width="12.453125" style="229" customWidth="1"/>
    <col min="11151" max="11159" width="13" style="229" customWidth="1"/>
    <col min="11160" max="11160" width="11.26953125" style="229" customWidth="1"/>
    <col min="11161" max="11164" width="10" style="229" customWidth="1"/>
    <col min="11165" max="11165" width="12.81640625" style="229" customWidth="1"/>
    <col min="11166" max="11166" width="14.1796875" style="229" customWidth="1"/>
    <col min="11167" max="11167" width="13.54296875" style="229" customWidth="1"/>
    <col min="11168" max="11357" width="9.1796875" style="229"/>
    <col min="11358" max="11358" width="5.453125" style="229" customWidth="1"/>
    <col min="11359" max="11359" width="54.1796875" style="229" customWidth="1"/>
    <col min="11360" max="11360" width="10.453125" style="229" customWidth="1"/>
    <col min="11361" max="11361" width="10.54296875" style="229" customWidth="1"/>
    <col min="11362" max="11364" width="7.7265625" style="229" customWidth="1"/>
    <col min="11365" max="11365" width="13.1796875" style="229" customWidth="1"/>
    <col min="11366" max="11366" width="11.54296875" style="229" customWidth="1"/>
    <col min="11367" max="11383" width="9.453125" style="229" customWidth="1"/>
    <col min="11384" max="11384" width="10.54296875" style="229" customWidth="1"/>
    <col min="11385" max="11385" width="10" style="229" customWidth="1"/>
    <col min="11386" max="11390" width="9.453125" style="229" customWidth="1"/>
    <col min="11391" max="11391" width="12.7265625" style="229" customWidth="1"/>
    <col min="11392" max="11392" width="10.7265625" style="229" customWidth="1"/>
    <col min="11393" max="11393" width="11.26953125" style="229" customWidth="1"/>
    <col min="11394" max="11396" width="9.81640625" style="229" customWidth="1"/>
    <col min="11397" max="11398" width="12.453125" style="229" customWidth="1"/>
    <col min="11399" max="11399" width="12.81640625" style="229" customWidth="1"/>
    <col min="11400" max="11400" width="10.54296875" style="229" customWidth="1"/>
    <col min="11401" max="11401" width="10" style="229" customWidth="1"/>
    <col min="11402" max="11404" width="10.453125" style="229" customWidth="1"/>
    <col min="11405" max="11405" width="13" style="229" customWidth="1"/>
    <col min="11406" max="11406" width="12.453125" style="229" customWidth="1"/>
    <col min="11407" max="11415" width="13" style="229" customWidth="1"/>
    <col min="11416" max="11416" width="11.26953125" style="229" customWidth="1"/>
    <col min="11417" max="11420" width="10" style="229" customWidth="1"/>
    <col min="11421" max="11421" width="12.81640625" style="229" customWidth="1"/>
    <col min="11422" max="11422" width="14.1796875" style="229" customWidth="1"/>
    <col min="11423" max="11423" width="13.54296875" style="229" customWidth="1"/>
    <col min="11424" max="11613" width="9.1796875" style="229"/>
    <col min="11614" max="11614" width="5.453125" style="229" customWidth="1"/>
    <col min="11615" max="11615" width="54.1796875" style="229" customWidth="1"/>
    <col min="11616" max="11616" width="10.453125" style="229" customWidth="1"/>
    <col min="11617" max="11617" width="10.54296875" style="229" customWidth="1"/>
    <col min="11618" max="11620" width="7.7265625" style="229" customWidth="1"/>
    <col min="11621" max="11621" width="13.1796875" style="229" customWidth="1"/>
    <col min="11622" max="11622" width="11.54296875" style="229" customWidth="1"/>
    <col min="11623" max="11639" width="9.453125" style="229" customWidth="1"/>
    <col min="11640" max="11640" width="10.54296875" style="229" customWidth="1"/>
    <col min="11641" max="11641" width="10" style="229" customWidth="1"/>
    <col min="11642" max="11646" width="9.453125" style="229" customWidth="1"/>
    <col min="11647" max="11647" width="12.7265625" style="229" customWidth="1"/>
    <col min="11648" max="11648" width="10.7265625" style="229" customWidth="1"/>
    <col min="11649" max="11649" width="11.26953125" style="229" customWidth="1"/>
    <col min="11650" max="11652" width="9.81640625" style="229" customWidth="1"/>
    <col min="11653" max="11654" width="12.453125" style="229" customWidth="1"/>
    <col min="11655" max="11655" width="12.81640625" style="229" customWidth="1"/>
    <col min="11656" max="11656" width="10.54296875" style="229" customWidth="1"/>
    <col min="11657" max="11657" width="10" style="229" customWidth="1"/>
    <col min="11658" max="11660" width="10.453125" style="229" customWidth="1"/>
    <col min="11661" max="11661" width="13" style="229" customWidth="1"/>
    <col min="11662" max="11662" width="12.453125" style="229" customWidth="1"/>
    <col min="11663" max="11671" width="13" style="229" customWidth="1"/>
    <col min="11672" max="11672" width="11.26953125" style="229" customWidth="1"/>
    <col min="11673" max="11676" width="10" style="229" customWidth="1"/>
    <col min="11677" max="11677" width="12.81640625" style="229" customWidth="1"/>
    <col min="11678" max="11678" width="14.1796875" style="229" customWidth="1"/>
    <col min="11679" max="11679" width="13.54296875" style="229" customWidth="1"/>
    <col min="11680" max="11869" width="9.1796875" style="229"/>
    <col min="11870" max="11870" width="5.453125" style="229" customWidth="1"/>
    <col min="11871" max="11871" width="54.1796875" style="229" customWidth="1"/>
    <col min="11872" max="11872" width="10.453125" style="229" customWidth="1"/>
    <col min="11873" max="11873" width="10.54296875" style="229" customWidth="1"/>
    <col min="11874" max="11876" width="7.7265625" style="229" customWidth="1"/>
    <col min="11877" max="11877" width="13.1796875" style="229" customWidth="1"/>
    <col min="11878" max="11878" width="11.54296875" style="229" customWidth="1"/>
    <col min="11879" max="11895" width="9.453125" style="229" customWidth="1"/>
    <col min="11896" max="11896" width="10.54296875" style="229" customWidth="1"/>
    <col min="11897" max="11897" width="10" style="229" customWidth="1"/>
    <col min="11898" max="11902" width="9.453125" style="229" customWidth="1"/>
    <col min="11903" max="11903" width="12.7265625" style="229" customWidth="1"/>
    <col min="11904" max="11904" width="10.7265625" style="229" customWidth="1"/>
    <col min="11905" max="11905" width="11.26953125" style="229" customWidth="1"/>
    <col min="11906" max="11908" width="9.81640625" style="229" customWidth="1"/>
    <col min="11909" max="11910" width="12.453125" style="229" customWidth="1"/>
    <col min="11911" max="11911" width="12.81640625" style="229" customWidth="1"/>
    <col min="11912" max="11912" width="10.54296875" style="229" customWidth="1"/>
    <col min="11913" max="11913" width="10" style="229" customWidth="1"/>
    <col min="11914" max="11916" width="10.453125" style="229" customWidth="1"/>
    <col min="11917" max="11917" width="13" style="229" customWidth="1"/>
    <col min="11918" max="11918" width="12.453125" style="229" customWidth="1"/>
    <col min="11919" max="11927" width="13" style="229" customWidth="1"/>
    <col min="11928" max="11928" width="11.26953125" style="229" customWidth="1"/>
    <col min="11929" max="11932" width="10" style="229" customWidth="1"/>
    <col min="11933" max="11933" width="12.81640625" style="229" customWidth="1"/>
    <col min="11934" max="11934" width="14.1796875" style="229" customWidth="1"/>
    <col min="11935" max="11935" width="13.54296875" style="229" customWidth="1"/>
    <col min="11936" max="12125" width="9.1796875" style="229"/>
    <col min="12126" max="12126" width="5.453125" style="229" customWidth="1"/>
    <col min="12127" max="12127" width="54.1796875" style="229" customWidth="1"/>
    <col min="12128" max="12128" width="10.453125" style="229" customWidth="1"/>
    <col min="12129" max="12129" width="10.54296875" style="229" customWidth="1"/>
    <col min="12130" max="12132" width="7.7265625" style="229" customWidth="1"/>
    <col min="12133" max="12133" width="13.1796875" style="229" customWidth="1"/>
    <col min="12134" max="12134" width="11.54296875" style="229" customWidth="1"/>
    <col min="12135" max="12151" width="9.453125" style="229" customWidth="1"/>
    <col min="12152" max="12152" width="10.54296875" style="229" customWidth="1"/>
    <col min="12153" max="12153" width="10" style="229" customWidth="1"/>
    <col min="12154" max="12158" width="9.453125" style="229" customWidth="1"/>
    <col min="12159" max="12159" width="12.7265625" style="229" customWidth="1"/>
    <col min="12160" max="12160" width="10.7265625" style="229" customWidth="1"/>
    <col min="12161" max="12161" width="11.26953125" style="229" customWidth="1"/>
    <col min="12162" max="12164" width="9.81640625" style="229" customWidth="1"/>
    <col min="12165" max="12166" width="12.453125" style="229" customWidth="1"/>
    <col min="12167" max="12167" width="12.81640625" style="229" customWidth="1"/>
    <col min="12168" max="12168" width="10.54296875" style="229" customWidth="1"/>
    <col min="12169" max="12169" width="10" style="229" customWidth="1"/>
    <col min="12170" max="12172" width="10.453125" style="229" customWidth="1"/>
    <col min="12173" max="12173" width="13" style="229" customWidth="1"/>
    <col min="12174" max="12174" width="12.453125" style="229" customWidth="1"/>
    <col min="12175" max="12183" width="13" style="229" customWidth="1"/>
    <col min="12184" max="12184" width="11.26953125" style="229" customWidth="1"/>
    <col min="12185" max="12188" width="10" style="229" customWidth="1"/>
    <col min="12189" max="12189" width="12.81640625" style="229" customWidth="1"/>
    <col min="12190" max="12190" width="14.1796875" style="229" customWidth="1"/>
    <col min="12191" max="12191" width="13.54296875" style="229" customWidth="1"/>
    <col min="12192" max="12381" width="9.1796875" style="229"/>
    <col min="12382" max="12382" width="5.453125" style="229" customWidth="1"/>
    <col min="12383" max="12383" width="54.1796875" style="229" customWidth="1"/>
    <col min="12384" max="12384" width="10.453125" style="229" customWidth="1"/>
    <col min="12385" max="12385" width="10.54296875" style="229" customWidth="1"/>
    <col min="12386" max="12388" width="7.7265625" style="229" customWidth="1"/>
    <col min="12389" max="12389" width="13.1796875" style="229" customWidth="1"/>
    <col min="12390" max="12390" width="11.54296875" style="229" customWidth="1"/>
    <col min="12391" max="12407" width="9.453125" style="229" customWidth="1"/>
    <col min="12408" max="12408" width="10.54296875" style="229" customWidth="1"/>
    <col min="12409" max="12409" width="10" style="229" customWidth="1"/>
    <col min="12410" max="12414" width="9.453125" style="229" customWidth="1"/>
    <col min="12415" max="12415" width="12.7265625" style="229" customWidth="1"/>
    <col min="12416" max="12416" width="10.7265625" style="229" customWidth="1"/>
    <col min="12417" max="12417" width="11.26953125" style="229" customWidth="1"/>
    <col min="12418" max="12420" width="9.81640625" style="229" customWidth="1"/>
    <col min="12421" max="12422" width="12.453125" style="229" customWidth="1"/>
    <col min="12423" max="12423" width="12.81640625" style="229" customWidth="1"/>
    <col min="12424" max="12424" width="10.54296875" style="229" customWidth="1"/>
    <col min="12425" max="12425" width="10" style="229" customWidth="1"/>
    <col min="12426" max="12428" width="10.453125" style="229" customWidth="1"/>
    <col min="12429" max="12429" width="13" style="229" customWidth="1"/>
    <col min="12430" max="12430" width="12.453125" style="229" customWidth="1"/>
    <col min="12431" max="12439" width="13" style="229" customWidth="1"/>
    <col min="12440" max="12440" width="11.26953125" style="229" customWidth="1"/>
    <col min="12441" max="12444" width="10" style="229" customWidth="1"/>
    <col min="12445" max="12445" width="12.81640625" style="229" customWidth="1"/>
    <col min="12446" max="12446" width="14.1796875" style="229" customWidth="1"/>
    <col min="12447" max="12447" width="13.54296875" style="229" customWidth="1"/>
    <col min="12448" max="12637" width="9.1796875" style="229"/>
    <col min="12638" max="12638" width="5.453125" style="229" customWidth="1"/>
    <col min="12639" max="12639" width="54.1796875" style="229" customWidth="1"/>
    <col min="12640" max="12640" width="10.453125" style="229" customWidth="1"/>
    <col min="12641" max="12641" width="10.54296875" style="229" customWidth="1"/>
    <col min="12642" max="12644" width="7.7265625" style="229" customWidth="1"/>
    <col min="12645" max="12645" width="13.1796875" style="229" customWidth="1"/>
    <col min="12646" max="12646" width="11.54296875" style="229" customWidth="1"/>
    <col min="12647" max="12663" width="9.453125" style="229" customWidth="1"/>
    <col min="12664" max="12664" width="10.54296875" style="229" customWidth="1"/>
    <col min="12665" max="12665" width="10" style="229" customWidth="1"/>
    <col min="12666" max="12670" width="9.453125" style="229" customWidth="1"/>
    <col min="12671" max="12671" width="12.7265625" style="229" customWidth="1"/>
    <col min="12672" max="12672" width="10.7265625" style="229" customWidth="1"/>
    <col min="12673" max="12673" width="11.26953125" style="229" customWidth="1"/>
    <col min="12674" max="12676" width="9.81640625" style="229" customWidth="1"/>
    <col min="12677" max="12678" width="12.453125" style="229" customWidth="1"/>
    <col min="12679" max="12679" width="12.81640625" style="229" customWidth="1"/>
    <col min="12680" max="12680" width="10.54296875" style="229" customWidth="1"/>
    <col min="12681" max="12681" width="10" style="229" customWidth="1"/>
    <col min="12682" max="12684" width="10.453125" style="229" customWidth="1"/>
    <col min="12685" max="12685" width="13" style="229" customWidth="1"/>
    <col min="12686" max="12686" width="12.453125" style="229" customWidth="1"/>
    <col min="12687" max="12695" width="13" style="229" customWidth="1"/>
    <col min="12696" max="12696" width="11.26953125" style="229" customWidth="1"/>
    <col min="12697" max="12700" width="10" style="229" customWidth="1"/>
    <col min="12701" max="12701" width="12.81640625" style="229" customWidth="1"/>
    <col min="12702" max="12702" width="14.1796875" style="229" customWidth="1"/>
    <col min="12703" max="12703" width="13.54296875" style="229" customWidth="1"/>
    <col min="12704" max="12893" width="9.1796875" style="229"/>
    <col min="12894" max="12894" width="5.453125" style="229" customWidth="1"/>
    <col min="12895" max="12895" width="54.1796875" style="229" customWidth="1"/>
    <col min="12896" max="12896" width="10.453125" style="229" customWidth="1"/>
    <col min="12897" max="12897" width="10.54296875" style="229" customWidth="1"/>
    <col min="12898" max="12900" width="7.7265625" style="229" customWidth="1"/>
    <col min="12901" max="12901" width="13.1796875" style="229" customWidth="1"/>
    <col min="12902" max="12902" width="11.54296875" style="229" customWidth="1"/>
    <col min="12903" max="12919" width="9.453125" style="229" customWidth="1"/>
    <col min="12920" max="12920" width="10.54296875" style="229" customWidth="1"/>
    <col min="12921" max="12921" width="10" style="229" customWidth="1"/>
    <col min="12922" max="12926" width="9.453125" style="229" customWidth="1"/>
    <col min="12927" max="12927" width="12.7265625" style="229" customWidth="1"/>
    <col min="12928" max="12928" width="10.7265625" style="229" customWidth="1"/>
    <col min="12929" max="12929" width="11.26953125" style="229" customWidth="1"/>
    <col min="12930" max="12932" width="9.81640625" style="229" customWidth="1"/>
    <col min="12933" max="12934" width="12.453125" style="229" customWidth="1"/>
    <col min="12935" max="12935" width="12.81640625" style="229" customWidth="1"/>
    <col min="12936" max="12936" width="10.54296875" style="229" customWidth="1"/>
    <col min="12937" max="12937" width="10" style="229" customWidth="1"/>
    <col min="12938" max="12940" width="10.453125" style="229" customWidth="1"/>
    <col min="12941" max="12941" width="13" style="229" customWidth="1"/>
    <col min="12942" max="12942" width="12.453125" style="229" customWidth="1"/>
    <col min="12943" max="12951" width="13" style="229" customWidth="1"/>
    <col min="12952" max="12952" width="11.26953125" style="229" customWidth="1"/>
    <col min="12953" max="12956" width="10" style="229" customWidth="1"/>
    <col min="12957" max="12957" width="12.81640625" style="229" customWidth="1"/>
    <col min="12958" max="12958" width="14.1796875" style="229" customWidth="1"/>
    <col min="12959" max="12959" width="13.54296875" style="229" customWidth="1"/>
    <col min="12960" max="13149" width="9.1796875" style="229"/>
    <col min="13150" max="13150" width="5.453125" style="229" customWidth="1"/>
    <col min="13151" max="13151" width="54.1796875" style="229" customWidth="1"/>
    <col min="13152" max="13152" width="10.453125" style="229" customWidth="1"/>
    <col min="13153" max="13153" width="10.54296875" style="229" customWidth="1"/>
    <col min="13154" max="13156" width="7.7265625" style="229" customWidth="1"/>
    <col min="13157" max="13157" width="13.1796875" style="229" customWidth="1"/>
    <col min="13158" max="13158" width="11.54296875" style="229" customWidth="1"/>
    <col min="13159" max="13175" width="9.453125" style="229" customWidth="1"/>
    <col min="13176" max="13176" width="10.54296875" style="229" customWidth="1"/>
    <col min="13177" max="13177" width="10" style="229" customWidth="1"/>
    <col min="13178" max="13182" width="9.453125" style="229" customWidth="1"/>
    <col min="13183" max="13183" width="12.7265625" style="229" customWidth="1"/>
    <col min="13184" max="13184" width="10.7265625" style="229" customWidth="1"/>
    <col min="13185" max="13185" width="11.26953125" style="229" customWidth="1"/>
    <col min="13186" max="13188" width="9.81640625" style="229" customWidth="1"/>
    <col min="13189" max="13190" width="12.453125" style="229" customWidth="1"/>
    <col min="13191" max="13191" width="12.81640625" style="229" customWidth="1"/>
    <col min="13192" max="13192" width="10.54296875" style="229" customWidth="1"/>
    <col min="13193" max="13193" width="10" style="229" customWidth="1"/>
    <col min="13194" max="13196" width="10.453125" style="229" customWidth="1"/>
    <col min="13197" max="13197" width="13" style="229" customWidth="1"/>
    <col min="13198" max="13198" width="12.453125" style="229" customWidth="1"/>
    <col min="13199" max="13207" width="13" style="229" customWidth="1"/>
    <col min="13208" max="13208" width="11.26953125" style="229" customWidth="1"/>
    <col min="13209" max="13212" width="10" style="229" customWidth="1"/>
    <col min="13213" max="13213" width="12.81640625" style="229" customWidth="1"/>
    <col min="13214" max="13214" width="14.1796875" style="229" customWidth="1"/>
    <col min="13215" max="13215" width="13.54296875" style="229" customWidth="1"/>
    <col min="13216" max="13405" width="9.1796875" style="229"/>
    <col min="13406" max="13406" width="5.453125" style="229" customWidth="1"/>
    <col min="13407" max="13407" width="54.1796875" style="229" customWidth="1"/>
    <col min="13408" max="13408" width="10.453125" style="229" customWidth="1"/>
    <col min="13409" max="13409" width="10.54296875" style="229" customWidth="1"/>
    <col min="13410" max="13412" width="7.7265625" style="229" customWidth="1"/>
    <col min="13413" max="13413" width="13.1796875" style="229" customWidth="1"/>
    <col min="13414" max="13414" width="11.54296875" style="229" customWidth="1"/>
    <col min="13415" max="13431" width="9.453125" style="229" customWidth="1"/>
    <col min="13432" max="13432" width="10.54296875" style="229" customWidth="1"/>
    <col min="13433" max="13433" width="10" style="229" customWidth="1"/>
    <col min="13434" max="13438" width="9.453125" style="229" customWidth="1"/>
    <col min="13439" max="13439" width="12.7265625" style="229" customWidth="1"/>
    <col min="13440" max="13440" width="10.7265625" style="229" customWidth="1"/>
    <col min="13441" max="13441" width="11.26953125" style="229" customWidth="1"/>
    <col min="13442" max="13444" width="9.81640625" style="229" customWidth="1"/>
    <col min="13445" max="13446" width="12.453125" style="229" customWidth="1"/>
    <col min="13447" max="13447" width="12.81640625" style="229" customWidth="1"/>
    <col min="13448" max="13448" width="10.54296875" style="229" customWidth="1"/>
    <col min="13449" max="13449" width="10" style="229" customWidth="1"/>
    <col min="13450" max="13452" width="10.453125" style="229" customWidth="1"/>
    <col min="13453" max="13453" width="13" style="229" customWidth="1"/>
    <col min="13454" max="13454" width="12.453125" style="229" customWidth="1"/>
    <col min="13455" max="13463" width="13" style="229" customWidth="1"/>
    <col min="13464" max="13464" width="11.26953125" style="229" customWidth="1"/>
    <col min="13465" max="13468" width="10" style="229" customWidth="1"/>
    <col min="13469" max="13469" width="12.81640625" style="229" customWidth="1"/>
    <col min="13470" max="13470" width="14.1796875" style="229" customWidth="1"/>
    <col min="13471" max="13471" width="13.54296875" style="229" customWidth="1"/>
    <col min="13472" max="13661" width="9.1796875" style="229"/>
    <col min="13662" max="13662" width="5.453125" style="229" customWidth="1"/>
    <col min="13663" max="13663" width="54.1796875" style="229" customWidth="1"/>
    <col min="13664" max="13664" width="10.453125" style="229" customWidth="1"/>
    <col min="13665" max="13665" width="10.54296875" style="229" customWidth="1"/>
    <col min="13666" max="13668" width="7.7265625" style="229" customWidth="1"/>
    <col min="13669" max="13669" width="13.1796875" style="229" customWidth="1"/>
    <col min="13670" max="13670" width="11.54296875" style="229" customWidth="1"/>
    <col min="13671" max="13687" width="9.453125" style="229" customWidth="1"/>
    <col min="13688" max="13688" width="10.54296875" style="229" customWidth="1"/>
    <col min="13689" max="13689" width="10" style="229" customWidth="1"/>
    <col min="13690" max="13694" width="9.453125" style="229" customWidth="1"/>
    <col min="13695" max="13695" width="12.7265625" style="229" customWidth="1"/>
    <col min="13696" max="13696" width="10.7265625" style="229" customWidth="1"/>
    <col min="13697" max="13697" width="11.26953125" style="229" customWidth="1"/>
    <col min="13698" max="13700" width="9.81640625" style="229" customWidth="1"/>
    <col min="13701" max="13702" width="12.453125" style="229" customWidth="1"/>
    <col min="13703" max="13703" width="12.81640625" style="229" customWidth="1"/>
    <col min="13704" max="13704" width="10.54296875" style="229" customWidth="1"/>
    <col min="13705" max="13705" width="10" style="229" customWidth="1"/>
    <col min="13706" max="13708" width="10.453125" style="229" customWidth="1"/>
    <col min="13709" max="13709" width="13" style="229" customWidth="1"/>
    <col min="13710" max="13710" width="12.453125" style="229" customWidth="1"/>
    <col min="13711" max="13719" width="13" style="229" customWidth="1"/>
    <col min="13720" max="13720" width="11.26953125" style="229" customWidth="1"/>
    <col min="13721" max="13724" width="10" style="229" customWidth="1"/>
    <col min="13725" max="13725" width="12.81640625" style="229" customWidth="1"/>
    <col min="13726" max="13726" width="14.1796875" style="229" customWidth="1"/>
    <col min="13727" max="13727" width="13.54296875" style="229" customWidth="1"/>
    <col min="13728" max="13917" width="9.1796875" style="229"/>
    <col min="13918" max="13918" width="5.453125" style="229" customWidth="1"/>
    <col min="13919" max="13919" width="54.1796875" style="229" customWidth="1"/>
    <col min="13920" max="13920" width="10.453125" style="229" customWidth="1"/>
    <col min="13921" max="13921" width="10.54296875" style="229" customWidth="1"/>
    <col min="13922" max="13924" width="7.7265625" style="229" customWidth="1"/>
    <col min="13925" max="13925" width="13.1796875" style="229" customWidth="1"/>
    <col min="13926" max="13926" width="11.54296875" style="229" customWidth="1"/>
    <col min="13927" max="13943" width="9.453125" style="229" customWidth="1"/>
    <col min="13944" max="13944" width="10.54296875" style="229" customWidth="1"/>
    <col min="13945" max="13945" width="10" style="229" customWidth="1"/>
    <col min="13946" max="13950" width="9.453125" style="229" customWidth="1"/>
    <col min="13951" max="13951" width="12.7265625" style="229" customWidth="1"/>
    <col min="13952" max="13952" width="10.7265625" style="229" customWidth="1"/>
    <col min="13953" max="13953" width="11.26953125" style="229" customWidth="1"/>
    <col min="13954" max="13956" width="9.81640625" style="229" customWidth="1"/>
    <col min="13957" max="13958" width="12.453125" style="229" customWidth="1"/>
    <col min="13959" max="13959" width="12.81640625" style="229" customWidth="1"/>
    <col min="13960" max="13960" width="10.54296875" style="229" customWidth="1"/>
    <col min="13961" max="13961" width="10" style="229" customWidth="1"/>
    <col min="13962" max="13964" width="10.453125" style="229" customWidth="1"/>
    <col min="13965" max="13965" width="13" style="229" customWidth="1"/>
    <col min="13966" max="13966" width="12.453125" style="229" customWidth="1"/>
    <col min="13967" max="13975" width="13" style="229" customWidth="1"/>
    <col min="13976" max="13976" width="11.26953125" style="229" customWidth="1"/>
    <col min="13977" max="13980" width="10" style="229" customWidth="1"/>
    <col min="13981" max="13981" width="12.81640625" style="229" customWidth="1"/>
    <col min="13982" max="13982" width="14.1796875" style="229" customWidth="1"/>
    <col min="13983" max="13983" width="13.54296875" style="229" customWidth="1"/>
    <col min="13984" max="14173" width="9.1796875" style="229"/>
    <col min="14174" max="14174" width="5.453125" style="229" customWidth="1"/>
    <col min="14175" max="14175" width="54.1796875" style="229" customWidth="1"/>
    <col min="14176" max="14176" width="10.453125" style="229" customWidth="1"/>
    <col min="14177" max="14177" width="10.54296875" style="229" customWidth="1"/>
    <col min="14178" max="14180" width="7.7265625" style="229" customWidth="1"/>
    <col min="14181" max="14181" width="13.1796875" style="229" customWidth="1"/>
    <col min="14182" max="14182" width="11.54296875" style="229" customWidth="1"/>
    <col min="14183" max="14199" width="9.453125" style="229" customWidth="1"/>
    <col min="14200" max="14200" width="10.54296875" style="229" customWidth="1"/>
    <col min="14201" max="14201" width="10" style="229" customWidth="1"/>
    <col min="14202" max="14206" width="9.453125" style="229" customWidth="1"/>
    <col min="14207" max="14207" width="12.7265625" style="229" customWidth="1"/>
    <col min="14208" max="14208" width="10.7265625" style="229" customWidth="1"/>
    <col min="14209" max="14209" width="11.26953125" style="229" customWidth="1"/>
    <col min="14210" max="14212" width="9.81640625" style="229" customWidth="1"/>
    <col min="14213" max="14214" width="12.453125" style="229" customWidth="1"/>
    <col min="14215" max="14215" width="12.81640625" style="229" customWidth="1"/>
    <col min="14216" max="14216" width="10.54296875" style="229" customWidth="1"/>
    <col min="14217" max="14217" width="10" style="229" customWidth="1"/>
    <col min="14218" max="14220" width="10.453125" style="229" customWidth="1"/>
    <col min="14221" max="14221" width="13" style="229" customWidth="1"/>
    <col min="14222" max="14222" width="12.453125" style="229" customWidth="1"/>
    <col min="14223" max="14231" width="13" style="229" customWidth="1"/>
    <col min="14232" max="14232" width="11.26953125" style="229" customWidth="1"/>
    <col min="14233" max="14236" width="10" style="229" customWidth="1"/>
    <col min="14237" max="14237" width="12.81640625" style="229" customWidth="1"/>
    <col min="14238" max="14238" width="14.1796875" style="229" customWidth="1"/>
    <col min="14239" max="14239" width="13.54296875" style="229" customWidth="1"/>
    <col min="14240" max="14429" width="9.1796875" style="229"/>
    <col min="14430" max="14430" width="5.453125" style="229" customWidth="1"/>
    <col min="14431" max="14431" width="54.1796875" style="229" customWidth="1"/>
    <col min="14432" max="14432" width="10.453125" style="229" customWidth="1"/>
    <col min="14433" max="14433" width="10.54296875" style="229" customWidth="1"/>
    <col min="14434" max="14436" width="7.7265625" style="229" customWidth="1"/>
    <col min="14437" max="14437" width="13.1796875" style="229" customWidth="1"/>
    <col min="14438" max="14438" width="11.54296875" style="229" customWidth="1"/>
    <col min="14439" max="14455" width="9.453125" style="229" customWidth="1"/>
    <col min="14456" max="14456" width="10.54296875" style="229" customWidth="1"/>
    <col min="14457" max="14457" width="10" style="229" customWidth="1"/>
    <col min="14458" max="14462" width="9.453125" style="229" customWidth="1"/>
    <col min="14463" max="14463" width="12.7265625" style="229" customWidth="1"/>
    <col min="14464" max="14464" width="10.7265625" style="229" customWidth="1"/>
    <col min="14465" max="14465" width="11.26953125" style="229" customWidth="1"/>
    <col min="14466" max="14468" width="9.81640625" style="229" customWidth="1"/>
    <col min="14469" max="14470" width="12.453125" style="229" customWidth="1"/>
    <col min="14471" max="14471" width="12.81640625" style="229" customWidth="1"/>
    <col min="14472" max="14472" width="10.54296875" style="229" customWidth="1"/>
    <col min="14473" max="14473" width="10" style="229" customWidth="1"/>
    <col min="14474" max="14476" width="10.453125" style="229" customWidth="1"/>
    <col min="14477" max="14477" width="13" style="229" customWidth="1"/>
    <col min="14478" max="14478" width="12.453125" style="229" customWidth="1"/>
    <col min="14479" max="14487" width="13" style="229" customWidth="1"/>
    <col min="14488" max="14488" width="11.26953125" style="229" customWidth="1"/>
    <col min="14489" max="14492" width="10" style="229" customWidth="1"/>
    <col min="14493" max="14493" width="12.81640625" style="229" customWidth="1"/>
    <col min="14494" max="14494" width="14.1796875" style="229" customWidth="1"/>
    <col min="14495" max="14495" width="13.54296875" style="229" customWidth="1"/>
    <col min="14496" max="14685" width="9.1796875" style="229"/>
    <col min="14686" max="14686" width="5.453125" style="229" customWidth="1"/>
    <col min="14687" max="14687" width="54.1796875" style="229" customWidth="1"/>
    <col min="14688" max="14688" width="10.453125" style="229" customWidth="1"/>
    <col min="14689" max="14689" width="10.54296875" style="229" customWidth="1"/>
    <col min="14690" max="14692" width="7.7265625" style="229" customWidth="1"/>
    <col min="14693" max="14693" width="13.1796875" style="229" customWidth="1"/>
    <col min="14694" max="14694" width="11.54296875" style="229" customWidth="1"/>
    <col min="14695" max="14711" width="9.453125" style="229" customWidth="1"/>
    <col min="14712" max="14712" width="10.54296875" style="229" customWidth="1"/>
    <col min="14713" max="14713" width="10" style="229" customWidth="1"/>
    <col min="14714" max="14718" width="9.453125" style="229" customWidth="1"/>
    <col min="14719" max="14719" width="12.7265625" style="229" customWidth="1"/>
    <col min="14720" max="14720" width="10.7265625" style="229" customWidth="1"/>
    <col min="14721" max="14721" width="11.26953125" style="229" customWidth="1"/>
    <col min="14722" max="14724" width="9.81640625" style="229" customWidth="1"/>
    <col min="14725" max="14726" width="12.453125" style="229" customWidth="1"/>
    <col min="14727" max="14727" width="12.81640625" style="229" customWidth="1"/>
    <col min="14728" max="14728" width="10.54296875" style="229" customWidth="1"/>
    <col min="14729" max="14729" width="10" style="229" customWidth="1"/>
    <col min="14730" max="14732" width="10.453125" style="229" customWidth="1"/>
    <col min="14733" max="14733" width="13" style="229" customWidth="1"/>
    <col min="14734" max="14734" width="12.453125" style="229" customWidth="1"/>
    <col min="14735" max="14743" width="13" style="229" customWidth="1"/>
    <col min="14744" max="14744" width="11.26953125" style="229" customWidth="1"/>
    <col min="14745" max="14748" width="10" style="229" customWidth="1"/>
    <col min="14749" max="14749" width="12.81640625" style="229" customWidth="1"/>
    <col min="14750" max="14750" width="14.1796875" style="229" customWidth="1"/>
    <col min="14751" max="14751" width="13.54296875" style="229" customWidth="1"/>
    <col min="14752" max="14941" width="9.1796875" style="229"/>
    <col min="14942" max="14942" width="5.453125" style="229" customWidth="1"/>
    <col min="14943" max="14943" width="54.1796875" style="229" customWidth="1"/>
    <col min="14944" max="14944" width="10.453125" style="229" customWidth="1"/>
    <col min="14945" max="14945" width="10.54296875" style="229" customWidth="1"/>
    <col min="14946" max="14948" width="7.7265625" style="229" customWidth="1"/>
    <col min="14949" max="14949" width="13.1796875" style="229" customWidth="1"/>
    <col min="14950" max="14950" width="11.54296875" style="229" customWidth="1"/>
    <col min="14951" max="14967" width="9.453125" style="229" customWidth="1"/>
    <col min="14968" max="14968" width="10.54296875" style="229" customWidth="1"/>
    <col min="14969" max="14969" width="10" style="229" customWidth="1"/>
    <col min="14970" max="14974" width="9.453125" style="229" customWidth="1"/>
    <col min="14975" max="14975" width="12.7265625" style="229" customWidth="1"/>
    <col min="14976" max="14976" width="10.7265625" style="229" customWidth="1"/>
    <col min="14977" max="14977" width="11.26953125" style="229" customWidth="1"/>
    <col min="14978" max="14980" width="9.81640625" style="229" customWidth="1"/>
    <col min="14981" max="14982" width="12.453125" style="229" customWidth="1"/>
    <col min="14983" max="14983" width="12.81640625" style="229" customWidth="1"/>
    <col min="14984" max="14984" width="10.54296875" style="229" customWidth="1"/>
    <col min="14985" max="14985" width="10" style="229" customWidth="1"/>
    <col min="14986" max="14988" width="10.453125" style="229" customWidth="1"/>
    <col min="14989" max="14989" width="13" style="229" customWidth="1"/>
    <col min="14990" max="14990" width="12.453125" style="229" customWidth="1"/>
    <col min="14991" max="14999" width="13" style="229" customWidth="1"/>
    <col min="15000" max="15000" width="11.26953125" style="229" customWidth="1"/>
    <col min="15001" max="15004" width="10" style="229" customWidth="1"/>
    <col min="15005" max="15005" width="12.81640625" style="229" customWidth="1"/>
    <col min="15006" max="15006" width="14.1796875" style="229" customWidth="1"/>
    <col min="15007" max="15007" width="13.54296875" style="229" customWidth="1"/>
    <col min="15008" max="15197" width="9.1796875" style="229"/>
    <col min="15198" max="15198" width="5.453125" style="229" customWidth="1"/>
    <col min="15199" max="15199" width="54.1796875" style="229" customWidth="1"/>
    <col min="15200" max="15200" width="10.453125" style="229" customWidth="1"/>
    <col min="15201" max="15201" width="10.54296875" style="229" customWidth="1"/>
    <col min="15202" max="15204" width="7.7265625" style="229" customWidth="1"/>
    <col min="15205" max="15205" width="13.1796875" style="229" customWidth="1"/>
    <col min="15206" max="15206" width="11.54296875" style="229" customWidth="1"/>
    <col min="15207" max="15223" width="9.453125" style="229" customWidth="1"/>
    <col min="15224" max="15224" width="10.54296875" style="229" customWidth="1"/>
    <col min="15225" max="15225" width="10" style="229" customWidth="1"/>
    <col min="15226" max="15230" width="9.453125" style="229" customWidth="1"/>
    <col min="15231" max="15231" width="12.7265625" style="229" customWidth="1"/>
    <col min="15232" max="15232" width="10.7265625" style="229" customWidth="1"/>
    <col min="15233" max="15233" width="11.26953125" style="229" customWidth="1"/>
    <col min="15234" max="15236" width="9.81640625" style="229" customWidth="1"/>
    <col min="15237" max="15238" width="12.453125" style="229" customWidth="1"/>
    <col min="15239" max="15239" width="12.81640625" style="229" customWidth="1"/>
    <col min="15240" max="15240" width="10.54296875" style="229" customWidth="1"/>
    <col min="15241" max="15241" width="10" style="229" customWidth="1"/>
    <col min="15242" max="15244" width="10.453125" style="229" customWidth="1"/>
    <col min="15245" max="15245" width="13" style="229" customWidth="1"/>
    <col min="15246" max="15246" width="12.453125" style="229" customWidth="1"/>
    <col min="15247" max="15255" width="13" style="229" customWidth="1"/>
    <col min="15256" max="15256" width="11.26953125" style="229" customWidth="1"/>
    <col min="15257" max="15260" width="10" style="229" customWidth="1"/>
    <col min="15261" max="15261" width="12.81640625" style="229" customWidth="1"/>
    <col min="15262" max="15262" width="14.1796875" style="229" customWidth="1"/>
    <col min="15263" max="15263" width="13.54296875" style="229" customWidth="1"/>
    <col min="15264" max="15453" width="9.1796875" style="229"/>
    <col min="15454" max="15454" width="5.453125" style="229" customWidth="1"/>
    <col min="15455" max="15455" width="54.1796875" style="229" customWidth="1"/>
    <col min="15456" max="15456" width="10.453125" style="229" customWidth="1"/>
    <col min="15457" max="15457" width="10.54296875" style="229" customWidth="1"/>
    <col min="15458" max="15460" width="7.7265625" style="229" customWidth="1"/>
    <col min="15461" max="15461" width="13.1796875" style="229" customWidth="1"/>
    <col min="15462" max="15462" width="11.54296875" style="229" customWidth="1"/>
    <col min="15463" max="15479" width="9.453125" style="229" customWidth="1"/>
    <col min="15480" max="15480" width="10.54296875" style="229" customWidth="1"/>
    <col min="15481" max="15481" width="10" style="229" customWidth="1"/>
    <col min="15482" max="15486" width="9.453125" style="229" customWidth="1"/>
    <col min="15487" max="15487" width="12.7265625" style="229" customWidth="1"/>
    <col min="15488" max="15488" width="10.7265625" style="229" customWidth="1"/>
    <col min="15489" max="15489" width="11.26953125" style="229" customWidth="1"/>
    <col min="15490" max="15492" width="9.81640625" style="229" customWidth="1"/>
    <col min="15493" max="15494" width="12.453125" style="229" customWidth="1"/>
    <col min="15495" max="15495" width="12.81640625" style="229" customWidth="1"/>
    <col min="15496" max="15496" width="10.54296875" style="229" customWidth="1"/>
    <col min="15497" max="15497" width="10" style="229" customWidth="1"/>
    <col min="15498" max="15500" width="10.453125" style="229" customWidth="1"/>
    <col min="15501" max="15501" width="13" style="229" customWidth="1"/>
    <col min="15502" max="15502" width="12.453125" style="229" customWidth="1"/>
    <col min="15503" max="15511" width="13" style="229" customWidth="1"/>
    <col min="15512" max="15512" width="11.26953125" style="229" customWidth="1"/>
    <col min="15513" max="15516" width="10" style="229" customWidth="1"/>
    <col min="15517" max="15517" width="12.81640625" style="229" customWidth="1"/>
    <col min="15518" max="15518" width="14.1796875" style="229" customWidth="1"/>
    <col min="15519" max="15519" width="13.54296875" style="229" customWidth="1"/>
    <col min="15520" max="15709" width="9.1796875" style="229"/>
    <col min="15710" max="15710" width="5.453125" style="229" customWidth="1"/>
    <col min="15711" max="15711" width="54.1796875" style="229" customWidth="1"/>
    <col min="15712" max="15712" width="10.453125" style="229" customWidth="1"/>
    <col min="15713" max="15713" width="10.54296875" style="229" customWidth="1"/>
    <col min="15714" max="15716" width="7.7265625" style="229" customWidth="1"/>
    <col min="15717" max="15717" width="13.1796875" style="229" customWidth="1"/>
    <col min="15718" max="15718" width="11.54296875" style="229" customWidth="1"/>
    <col min="15719" max="15735" width="9.453125" style="229" customWidth="1"/>
    <col min="15736" max="15736" width="10.54296875" style="229" customWidth="1"/>
    <col min="15737" max="15737" width="10" style="229" customWidth="1"/>
    <col min="15738" max="15742" width="9.453125" style="229" customWidth="1"/>
    <col min="15743" max="15743" width="12.7265625" style="229" customWidth="1"/>
    <col min="15744" max="15744" width="10.7265625" style="229" customWidth="1"/>
    <col min="15745" max="15745" width="11.26953125" style="229" customWidth="1"/>
    <col min="15746" max="15748" width="9.81640625" style="229" customWidth="1"/>
    <col min="15749" max="15750" width="12.453125" style="229" customWidth="1"/>
    <col min="15751" max="15751" width="12.81640625" style="229" customWidth="1"/>
    <col min="15752" max="15752" width="10.54296875" style="229" customWidth="1"/>
    <col min="15753" max="15753" width="10" style="229" customWidth="1"/>
    <col min="15754" max="15756" width="10.453125" style="229" customWidth="1"/>
    <col min="15757" max="15757" width="13" style="229" customWidth="1"/>
    <col min="15758" max="15758" width="12.453125" style="229" customWidth="1"/>
    <col min="15759" max="15767" width="13" style="229" customWidth="1"/>
    <col min="15768" max="15768" width="11.26953125" style="229" customWidth="1"/>
    <col min="15769" max="15772" width="10" style="229" customWidth="1"/>
    <col min="15773" max="15773" width="12.81640625" style="229" customWidth="1"/>
    <col min="15774" max="15774" width="14.1796875" style="229" customWidth="1"/>
    <col min="15775" max="15775" width="13.54296875" style="229" customWidth="1"/>
    <col min="15776" max="15965" width="9.1796875" style="229"/>
    <col min="15966" max="15966" width="5.453125" style="229" customWidth="1"/>
    <col min="15967" max="15967" width="54.1796875" style="229" customWidth="1"/>
    <col min="15968" max="15968" width="10.453125" style="229" customWidth="1"/>
    <col min="15969" max="15969" width="10.54296875" style="229" customWidth="1"/>
    <col min="15970" max="15972" width="7.7265625" style="229" customWidth="1"/>
    <col min="15973" max="15973" width="13.1796875" style="229" customWidth="1"/>
    <col min="15974" max="15974" width="11.54296875" style="229" customWidth="1"/>
    <col min="15975" max="15991" width="9.453125" style="229" customWidth="1"/>
    <col min="15992" max="15992" width="10.54296875" style="229" customWidth="1"/>
    <col min="15993" max="15993" width="10" style="229" customWidth="1"/>
    <col min="15994" max="15998" width="9.453125" style="229" customWidth="1"/>
    <col min="15999" max="15999" width="12.7265625" style="229" customWidth="1"/>
    <col min="16000" max="16000" width="10.7265625" style="229" customWidth="1"/>
    <col min="16001" max="16001" width="11.26953125" style="229" customWidth="1"/>
    <col min="16002" max="16004" width="9.81640625" style="229" customWidth="1"/>
    <col min="16005" max="16006" width="12.453125" style="229" customWidth="1"/>
    <col min="16007" max="16007" width="12.81640625" style="229" customWidth="1"/>
    <col min="16008" max="16008" width="10.54296875" style="229" customWidth="1"/>
    <col min="16009" max="16009" width="10" style="229" customWidth="1"/>
    <col min="16010" max="16012" width="10.453125" style="229" customWidth="1"/>
    <col min="16013" max="16013" width="13" style="229" customWidth="1"/>
    <col min="16014" max="16014" width="12.453125" style="229" customWidth="1"/>
    <col min="16015" max="16023" width="13" style="229" customWidth="1"/>
    <col min="16024" max="16024" width="11.26953125" style="229" customWidth="1"/>
    <col min="16025" max="16028" width="10" style="229" customWidth="1"/>
    <col min="16029" max="16029" width="12.81640625" style="229" customWidth="1"/>
    <col min="16030" max="16030" width="14.1796875" style="229" customWidth="1"/>
    <col min="16031" max="16031" width="13.54296875" style="229" customWidth="1"/>
    <col min="16032" max="16384" width="9.1796875" style="229"/>
  </cols>
  <sheetData>
    <row r="1" spans="1:13">
      <c r="A1" s="307" t="s">
        <v>532</v>
      </c>
      <c r="B1" s="307" t="s">
        <v>532</v>
      </c>
      <c r="C1" s="307"/>
    </row>
    <row r="2" spans="1:13">
      <c r="A2" s="344" t="str">
        <f>'F10'!A2:H2</f>
        <v>Name of Distribution Licensee: PUVVNL</v>
      </c>
      <c r="B2" s="344" t="str">
        <f>'F10'!B2:I2</f>
        <v>Name of Distribution Licensee: PUVVNL</v>
      </c>
      <c r="C2" s="333"/>
    </row>
    <row r="3" spans="1:13">
      <c r="A3" s="242" t="s">
        <v>284</v>
      </c>
      <c r="B3" s="556" t="s">
        <v>284</v>
      </c>
      <c r="C3" s="221"/>
      <c r="D3" s="221"/>
      <c r="E3" s="221"/>
      <c r="F3" s="325"/>
      <c r="G3" s="221"/>
      <c r="H3" s="221"/>
      <c r="I3" s="221"/>
      <c r="J3" s="221"/>
      <c r="K3" s="221"/>
      <c r="L3" s="221"/>
      <c r="M3" s="221"/>
    </row>
    <row r="4" spans="1:13">
      <c r="A4" s="24"/>
    </row>
    <row r="5" spans="1:13" ht="16.5" customHeight="1">
      <c r="A5" s="3029" t="s">
        <v>117</v>
      </c>
      <c r="B5" s="3029" t="s">
        <v>14</v>
      </c>
      <c r="C5" s="3062" t="s">
        <v>952</v>
      </c>
      <c r="D5" s="3063"/>
      <c r="E5" s="3063"/>
      <c r="F5" s="3063"/>
      <c r="G5" s="3063"/>
      <c r="H5" s="3063"/>
      <c r="I5" s="3063"/>
      <c r="J5" s="3063"/>
      <c r="K5" s="3063"/>
      <c r="L5" s="3063"/>
      <c r="M5" s="3063"/>
    </row>
    <row r="6" spans="1:13" ht="18" customHeight="1">
      <c r="A6" s="3030"/>
      <c r="B6" s="3030"/>
      <c r="C6" s="3090" t="s">
        <v>547</v>
      </c>
      <c r="D6" s="3090"/>
      <c r="E6" s="3090"/>
      <c r="F6" s="3090"/>
      <c r="G6" s="3090"/>
      <c r="H6" s="3090"/>
      <c r="I6" s="3090"/>
      <c r="J6" s="3090"/>
      <c r="K6" s="3090"/>
      <c r="L6" s="3090"/>
      <c r="M6" s="3090"/>
    </row>
    <row r="7" spans="1:13" ht="18.75" customHeight="1">
      <c r="A7" s="3030"/>
      <c r="B7" s="3030"/>
      <c r="C7" s="3090" t="s">
        <v>283</v>
      </c>
      <c r="D7" s="3090"/>
      <c r="E7" s="3090"/>
      <c r="F7" s="3090"/>
      <c r="G7" s="3090"/>
      <c r="H7" s="3090"/>
      <c r="I7" s="3090"/>
      <c r="J7" s="3090"/>
      <c r="K7" s="3090"/>
      <c r="L7" s="3090"/>
      <c r="M7" s="3090"/>
    </row>
    <row r="8" spans="1:13" ht="87">
      <c r="A8" s="3089"/>
      <c r="B8" s="3089"/>
      <c r="C8" s="598" t="s">
        <v>285</v>
      </c>
      <c r="D8" s="598" t="s">
        <v>286</v>
      </c>
      <c r="E8" s="598" t="s">
        <v>287</v>
      </c>
      <c r="F8" s="598" t="s">
        <v>780</v>
      </c>
      <c r="G8" s="598" t="s">
        <v>288</v>
      </c>
      <c r="H8" s="598" t="s">
        <v>1305</v>
      </c>
      <c r="I8" s="598" t="s">
        <v>1304</v>
      </c>
      <c r="J8" s="598" t="s">
        <v>289</v>
      </c>
      <c r="K8" s="598" t="s">
        <v>1303</v>
      </c>
      <c r="L8" s="598" t="s">
        <v>1306</v>
      </c>
      <c r="M8" s="598" t="s">
        <v>750</v>
      </c>
    </row>
    <row r="9" spans="1:13" ht="12.75" customHeight="1">
      <c r="A9" s="1423"/>
      <c r="B9" s="1402" t="s">
        <v>1448</v>
      </c>
      <c r="C9" s="1415">
        <v>4972161.7522499999</v>
      </c>
      <c r="D9" s="1416">
        <v>4813.8568544292975</v>
      </c>
      <c r="E9" s="1416">
        <v>4939310.2290000003</v>
      </c>
      <c r="F9" s="516">
        <f>IFERROR(D9/(E9*24*365/10^6),0)</f>
        <v>0.11125582575284328</v>
      </c>
      <c r="G9" s="1416">
        <v>3</v>
      </c>
      <c r="H9" s="1416">
        <v>50</v>
      </c>
      <c r="I9" s="1416"/>
      <c r="J9" s="1416">
        <v>1444.1570563287892</v>
      </c>
      <c r="K9" s="1392">
        <v>289.30245627000005</v>
      </c>
      <c r="L9" s="1416"/>
      <c r="M9" s="1416">
        <f>SUM(J9:L9)</f>
        <v>1733.4595125987892</v>
      </c>
    </row>
    <row r="10" spans="1:13">
      <c r="A10" s="223">
        <v>1</v>
      </c>
      <c r="B10" s="1402" t="s">
        <v>1044</v>
      </c>
      <c r="C10" s="1415">
        <v>196501.05000000002</v>
      </c>
      <c r="D10" s="1416">
        <v>626.66123040000014</v>
      </c>
      <c r="E10" s="1416">
        <v>241767.45</v>
      </c>
      <c r="F10" s="516">
        <f t="shared" ref="F10:F73" si="0">IFERROR(D10/(E10*24*365/10^6),0)</f>
        <v>0.29589041095890412</v>
      </c>
      <c r="G10" s="1416">
        <v>0</v>
      </c>
      <c r="H10" s="1416">
        <v>500</v>
      </c>
      <c r="I10" s="1416"/>
      <c r="J10" s="1416">
        <v>0</v>
      </c>
      <c r="K10" s="1392">
        <v>217.59070500000004</v>
      </c>
      <c r="L10" s="1416"/>
      <c r="M10" s="1416">
        <f t="shared" ref="M10:M73" si="1">SUM(J10:L10)</f>
        <v>217.59070500000004</v>
      </c>
    </row>
    <row r="11" spans="1:13">
      <c r="A11" s="1424">
        <v>2</v>
      </c>
      <c r="B11" s="1402" t="s">
        <v>1045</v>
      </c>
      <c r="C11" s="1415">
        <v>1219398.5850000007</v>
      </c>
      <c r="D11" s="1416">
        <v>2106.8157985892299</v>
      </c>
      <c r="E11" s="1416">
        <v>1582052.7470000007</v>
      </c>
      <c r="F11" s="516">
        <f t="shared" si="0"/>
        <v>0.15202027053333381</v>
      </c>
      <c r="G11" s="1416">
        <v>0</v>
      </c>
      <c r="H11" s="1416">
        <v>0</v>
      </c>
      <c r="I11" s="1416"/>
      <c r="J11" s="1416">
        <v>841.37925964911528</v>
      </c>
      <c r="K11" s="1392">
        <v>163.09525591800008</v>
      </c>
      <c r="L11" s="1416"/>
      <c r="M11" s="1416">
        <f t="shared" si="1"/>
        <v>1004.4745155671153</v>
      </c>
    </row>
    <row r="12" spans="1:13">
      <c r="A12" s="601">
        <v>3</v>
      </c>
      <c r="B12" s="1406" t="s">
        <v>1419</v>
      </c>
      <c r="C12" s="1415">
        <v>617015.68401000032</v>
      </c>
      <c r="D12" s="1416">
        <v>1081.0181669481694</v>
      </c>
      <c r="E12" s="1415">
        <v>697685</v>
      </c>
      <c r="F12" s="516">
        <f t="shared" si="0"/>
        <v>0.17687624119272885</v>
      </c>
      <c r="G12" s="1416">
        <v>3.35</v>
      </c>
      <c r="H12" s="1416">
        <v>90</v>
      </c>
      <c r="I12" s="1416"/>
      <c r="J12" s="1416">
        <v>362.14108592763677</v>
      </c>
      <c r="K12" s="1392">
        <v>71.925007859838033</v>
      </c>
      <c r="L12" s="1416"/>
      <c r="M12" s="1416">
        <f t="shared" si="1"/>
        <v>434.06609378747481</v>
      </c>
    </row>
    <row r="13" spans="1:13">
      <c r="A13" s="1424"/>
      <c r="B13" s="1406" t="s">
        <v>1420</v>
      </c>
      <c r="C13" s="1415">
        <v>341431.60380000022</v>
      </c>
      <c r="D13" s="1416">
        <v>421.03390930255313</v>
      </c>
      <c r="E13" s="1416">
        <v>412915.76696700021</v>
      </c>
      <c r="F13" s="516">
        <f t="shared" si="0"/>
        <v>0.11639960374626179</v>
      </c>
      <c r="G13" s="1416">
        <v>3.85</v>
      </c>
      <c r="H13" s="1416">
        <v>90</v>
      </c>
      <c r="I13" s="1416"/>
      <c r="J13" s="1416">
        <v>162.09805508148295</v>
      </c>
      <c r="K13" s="1392">
        <v>42.567861794598016</v>
      </c>
      <c r="L13" s="1416"/>
      <c r="M13" s="1416">
        <f t="shared" si="1"/>
        <v>204.66591687608098</v>
      </c>
    </row>
    <row r="14" spans="1:13" s="278" customFormat="1">
      <c r="A14" s="1424"/>
      <c r="B14" s="1406" t="s">
        <v>1421</v>
      </c>
      <c r="C14" s="1415">
        <v>181690.38916500009</v>
      </c>
      <c r="D14" s="1416">
        <v>363.39904158119941</v>
      </c>
      <c r="E14" s="1416">
        <v>253128.4395200001</v>
      </c>
      <c r="F14" s="516">
        <f t="shared" si="0"/>
        <v>0.16388482042936781</v>
      </c>
      <c r="G14" s="1416">
        <v>5</v>
      </c>
      <c r="H14" s="1416">
        <v>90</v>
      </c>
      <c r="I14" s="1416"/>
      <c r="J14" s="1416">
        <v>181.69952079059971</v>
      </c>
      <c r="K14" s="1392">
        <v>26.095240946880011</v>
      </c>
      <c r="L14" s="1416"/>
      <c r="M14" s="1416">
        <f t="shared" si="1"/>
        <v>207.79476173747972</v>
      </c>
    </row>
    <row r="15" spans="1:13">
      <c r="A15" s="1425"/>
      <c r="B15" s="1406" t="s">
        <v>1422</v>
      </c>
      <c r="C15" s="1415">
        <v>66457.222882500035</v>
      </c>
      <c r="D15" s="1416">
        <v>187.56421209977492</v>
      </c>
      <c r="E15" s="1416">
        <v>142384.74723000007</v>
      </c>
      <c r="F15" s="516">
        <f t="shared" si="0"/>
        <v>0.15037734135125042</v>
      </c>
      <c r="G15" s="1416">
        <v>5.5</v>
      </c>
      <c r="H15" s="1416">
        <v>90</v>
      </c>
      <c r="I15" s="1416"/>
      <c r="J15" s="1416">
        <v>103.16031665487621</v>
      </c>
      <c r="K15" s="1392">
        <v>14.678573032620006</v>
      </c>
      <c r="L15" s="1416"/>
      <c r="M15" s="1416">
        <f t="shared" si="1"/>
        <v>117.83888968749622</v>
      </c>
    </row>
    <row r="16" spans="1:13">
      <c r="A16" s="223"/>
      <c r="B16" s="1409" t="s">
        <v>1423</v>
      </c>
      <c r="C16" s="1415">
        <v>12803.685142499951</v>
      </c>
      <c r="D16" s="1416">
        <v>53.800468657532619</v>
      </c>
      <c r="E16" s="1416">
        <v>75938.531856000103</v>
      </c>
      <c r="F16" s="516">
        <f t="shared" si="0"/>
        <v>8.0876017234307332E-2</v>
      </c>
      <c r="G16" s="1416">
        <v>6</v>
      </c>
      <c r="H16" s="1416">
        <v>90</v>
      </c>
      <c r="I16" s="1416"/>
      <c r="J16" s="1416">
        <v>32.280281194519567</v>
      </c>
      <c r="K16" s="1392">
        <v>7.82857228406401</v>
      </c>
      <c r="L16" s="1416"/>
      <c r="M16" s="1416">
        <f t="shared" si="1"/>
        <v>40.108853478583576</v>
      </c>
    </row>
    <row r="17" spans="1:13">
      <c r="A17" s="1424"/>
      <c r="B17" s="1402" t="s">
        <v>1046</v>
      </c>
      <c r="C17" s="1415">
        <v>11.115</v>
      </c>
      <c r="D17" s="1416">
        <v>8.1</v>
      </c>
      <c r="E17" s="1416">
        <v>38634.181999999993</v>
      </c>
      <c r="F17" s="516">
        <f t="shared" si="0"/>
        <v>2.3933664086548422E-2</v>
      </c>
      <c r="G17" s="1416">
        <v>7</v>
      </c>
      <c r="H17" s="1416">
        <v>110</v>
      </c>
      <c r="I17" s="1416"/>
      <c r="J17" s="1416">
        <v>5.67</v>
      </c>
      <c r="K17" s="1392">
        <v>5.233914972</v>
      </c>
      <c r="L17" s="1416"/>
      <c r="M17" s="1416">
        <f t="shared" si="1"/>
        <v>10.903914971999999</v>
      </c>
    </row>
    <row r="18" spans="1:13">
      <c r="A18" s="1424"/>
      <c r="B18" s="1402" t="s">
        <v>1047</v>
      </c>
      <c r="C18" s="1415">
        <v>2125520.6175000002</v>
      </c>
      <c r="D18" s="1416">
        <v>5377.1073529521191</v>
      </c>
      <c r="E18" s="1416">
        <v>3561032.3385000001</v>
      </c>
      <c r="F18" s="516">
        <f t="shared" si="0"/>
        <v>0.17237277899865885</v>
      </c>
      <c r="G18" s="1416">
        <v>0</v>
      </c>
      <c r="H18" s="1416">
        <v>0</v>
      </c>
      <c r="I18" s="1416"/>
      <c r="J18" s="1416">
        <v>3201.1526088932642</v>
      </c>
      <c r="K18" s="1392">
        <v>458.86445276099994</v>
      </c>
      <c r="L18" s="1416"/>
      <c r="M18" s="1416">
        <f t="shared" si="1"/>
        <v>3660.0170616542641</v>
      </c>
    </row>
    <row r="19" spans="1:13">
      <c r="A19" s="1424"/>
      <c r="B19" s="1406" t="s">
        <v>1424</v>
      </c>
      <c r="C19" s="1415">
        <v>1551630.0507750001</v>
      </c>
      <c r="D19" s="1416">
        <v>2914.9905936382415</v>
      </c>
      <c r="E19" s="1416">
        <v>2100565.2855697237</v>
      </c>
      <c r="F19" s="516">
        <f t="shared" si="0"/>
        <v>0.15841520641039433</v>
      </c>
      <c r="G19" s="1416">
        <v>5.5</v>
      </c>
      <c r="H19" s="1416">
        <v>110</v>
      </c>
      <c r="I19" s="1416"/>
      <c r="J19" s="1416">
        <v>1603.244826501033</v>
      </c>
      <c r="K19" s="1392">
        <v>270.67284108341295</v>
      </c>
      <c r="L19" s="1416"/>
      <c r="M19" s="1416">
        <f t="shared" si="1"/>
        <v>1873.917667584446</v>
      </c>
    </row>
    <row r="20" spans="1:13" s="278" customFormat="1">
      <c r="A20" s="1424"/>
      <c r="B20" s="1406" t="s">
        <v>1421</v>
      </c>
      <c r="C20" s="1415">
        <v>173424.12331973464</v>
      </c>
      <c r="D20" s="1416">
        <v>892.6158379196462</v>
      </c>
      <c r="E20" s="1416">
        <v>532322.50818135671</v>
      </c>
      <c r="F20" s="516">
        <f t="shared" si="0"/>
        <v>0.19141926855350888</v>
      </c>
      <c r="G20" s="1416">
        <v>6</v>
      </c>
      <c r="H20" s="1416">
        <v>110</v>
      </c>
      <c r="I20" s="1416"/>
      <c r="J20" s="1416">
        <v>535.5695027517877</v>
      </c>
      <c r="K20" s="1392">
        <v>68.593557482797664</v>
      </c>
      <c r="L20" s="1416"/>
      <c r="M20" s="1416">
        <f t="shared" si="1"/>
        <v>604.16306023458537</v>
      </c>
    </row>
    <row r="21" spans="1:13">
      <c r="A21" s="1426"/>
      <c r="B21" s="1406" t="s">
        <v>1422</v>
      </c>
      <c r="C21" s="1415">
        <v>173573.04340084933</v>
      </c>
      <c r="D21" s="1416">
        <v>726.24730671035888</v>
      </c>
      <c r="E21" s="1416">
        <v>471716.9813216537</v>
      </c>
      <c r="F21" s="516">
        <f t="shared" si="0"/>
        <v>0.17575145049074678</v>
      </c>
      <c r="G21" s="1416">
        <v>6.5</v>
      </c>
      <c r="H21" s="1416">
        <v>110</v>
      </c>
      <c r="I21" s="1416"/>
      <c r="J21" s="1416">
        <v>472.06074936173326</v>
      </c>
      <c r="K21" s="1392">
        <v>60.784102450304509</v>
      </c>
      <c r="L21" s="1416"/>
      <c r="M21" s="1416">
        <f t="shared" si="1"/>
        <v>532.84485181203775</v>
      </c>
    </row>
    <row r="22" spans="1:13">
      <c r="A22" s="1426"/>
      <c r="B22" s="1406" t="s">
        <v>1423</v>
      </c>
      <c r="C22" s="1415">
        <v>226893.40000441615</v>
      </c>
      <c r="D22" s="1416">
        <v>843.25361468387189</v>
      </c>
      <c r="E22" s="1416">
        <v>456427.56342726585</v>
      </c>
      <c r="F22" s="516">
        <f t="shared" si="0"/>
        <v>0.21090274968812039</v>
      </c>
      <c r="G22" s="1416">
        <v>7</v>
      </c>
      <c r="H22" s="1416">
        <v>110</v>
      </c>
      <c r="I22" s="1416"/>
      <c r="J22" s="1416">
        <v>590.27753027871029</v>
      </c>
      <c r="K22" s="1392">
        <v>58.813951744484832</v>
      </c>
      <c r="L22" s="1416"/>
      <c r="M22" s="1416">
        <f t="shared" si="1"/>
        <v>649.09148202319511</v>
      </c>
    </row>
    <row r="23" spans="1:13">
      <c r="A23" s="1426"/>
      <c r="B23" s="1402" t="s">
        <v>1425</v>
      </c>
      <c r="C23" s="1415">
        <v>8513593.1197500005</v>
      </c>
      <c r="D23" s="1416">
        <v>12932.541236370645</v>
      </c>
      <c r="E23" s="1416">
        <v>10362796.946500001</v>
      </c>
      <c r="F23" s="516">
        <f t="shared" si="0"/>
        <v>0.14246322690275198</v>
      </c>
      <c r="G23" s="1416">
        <v>0</v>
      </c>
      <c r="H23" s="1416">
        <v>0</v>
      </c>
      <c r="I23" s="1416"/>
      <c r="J23" s="1416">
        <v>5492.3589248711687</v>
      </c>
      <c r="K23" s="1392">
        <v>1134.0867849209999</v>
      </c>
      <c r="L23" s="1416"/>
      <c r="M23" s="1416">
        <f t="shared" si="1"/>
        <v>6626.4457097921686</v>
      </c>
    </row>
    <row r="24" spans="1:13">
      <c r="A24" s="1426"/>
      <c r="B24" s="1409"/>
      <c r="C24" s="1415">
        <v>0</v>
      </c>
      <c r="D24" s="1416">
        <v>0</v>
      </c>
      <c r="E24" s="1416">
        <v>0</v>
      </c>
      <c r="F24" s="516">
        <f t="shared" si="0"/>
        <v>0</v>
      </c>
      <c r="G24" s="1416">
        <v>0</v>
      </c>
      <c r="H24" s="1416">
        <v>0</v>
      </c>
      <c r="I24" s="1416"/>
      <c r="J24" s="1416">
        <v>0</v>
      </c>
      <c r="K24" s="1392">
        <v>0</v>
      </c>
      <c r="L24" s="1416"/>
      <c r="M24" s="1416">
        <f t="shared" si="1"/>
        <v>0</v>
      </c>
    </row>
    <row r="25" spans="1:13">
      <c r="A25" s="1426"/>
      <c r="B25" s="1402" t="s">
        <v>1398</v>
      </c>
      <c r="C25" s="1415">
        <v>0</v>
      </c>
      <c r="D25" s="1416">
        <v>0</v>
      </c>
      <c r="E25" s="1416">
        <v>0</v>
      </c>
      <c r="F25" s="516">
        <f t="shared" si="0"/>
        <v>0</v>
      </c>
      <c r="G25" s="1416">
        <v>0</v>
      </c>
      <c r="H25" s="1416">
        <v>0</v>
      </c>
      <c r="I25" s="1416"/>
      <c r="J25" s="1416">
        <v>0</v>
      </c>
      <c r="K25" s="1392">
        <v>0</v>
      </c>
      <c r="L25" s="1416"/>
      <c r="M25" s="1416">
        <f t="shared" si="1"/>
        <v>0</v>
      </c>
    </row>
    <row r="26" spans="1:13" s="278" customFormat="1">
      <c r="A26" s="1424"/>
      <c r="B26" s="1402" t="s">
        <v>1051</v>
      </c>
      <c r="C26" s="1415">
        <v>0</v>
      </c>
      <c r="D26" s="1416">
        <v>0</v>
      </c>
      <c r="E26" s="1416">
        <v>0</v>
      </c>
      <c r="F26" s="516">
        <f t="shared" si="0"/>
        <v>0</v>
      </c>
      <c r="G26" s="1416">
        <v>0</v>
      </c>
      <c r="H26" s="1416">
        <v>1000</v>
      </c>
      <c r="I26" s="1416"/>
      <c r="J26" s="1416">
        <v>0</v>
      </c>
      <c r="K26" s="1392">
        <v>0</v>
      </c>
      <c r="L26" s="1416"/>
      <c r="M26" s="1416">
        <f t="shared" si="1"/>
        <v>0</v>
      </c>
    </row>
    <row r="27" spans="1:13">
      <c r="A27" s="1426"/>
      <c r="B27" s="1402" t="s">
        <v>1052</v>
      </c>
      <c r="C27" s="1415">
        <v>102926.69100000001</v>
      </c>
      <c r="D27" s="1416">
        <v>703.45074399999953</v>
      </c>
      <c r="E27" s="1416">
        <v>312765.28500000003</v>
      </c>
      <c r="F27" s="516">
        <f t="shared" si="0"/>
        <v>0.25675034985750383</v>
      </c>
      <c r="G27" s="1416">
        <v>5.5</v>
      </c>
      <c r="H27" s="1416">
        <v>110</v>
      </c>
      <c r="I27" s="1416"/>
      <c r="J27" s="1416">
        <v>386.89790919999973</v>
      </c>
      <c r="K27" s="1392">
        <v>40.302041010000003</v>
      </c>
      <c r="L27" s="1416"/>
      <c r="M27" s="1416">
        <f t="shared" si="1"/>
        <v>427.19995020999971</v>
      </c>
    </row>
    <row r="28" spans="1:13">
      <c r="A28" s="1426"/>
      <c r="B28" s="1402" t="s">
        <v>1399</v>
      </c>
      <c r="C28" s="1415">
        <v>7579.3429999999998</v>
      </c>
      <c r="D28" s="1416">
        <v>53.191986666666672</v>
      </c>
      <c r="E28" s="1416">
        <v>25829.952099999999</v>
      </c>
      <c r="F28" s="516">
        <f t="shared" si="0"/>
        <v>0.23508152756703898</v>
      </c>
      <c r="G28" s="1416">
        <v>18</v>
      </c>
      <c r="H28" s="1416">
        <v>0</v>
      </c>
      <c r="I28" s="1416"/>
      <c r="J28" s="1416">
        <v>95.745576</v>
      </c>
      <c r="K28" s="1392">
        <v>0</v>
      </c>
      <c r="L28" s="1416"/>
      <c r="M28" s="1416">
        <f t="shared" si="1"/>
        <v>95.745576</v>
      </c>
    </row>
    <row r="29" spans="1:13">
      <c r="A29" s="229" t="s">
        <v>790</v>
      </c>
      <c r="B29" s="1402" t="s">
        <v>1054</v>
      </c>
      <c r="C29" s="1415">
        <v>369754.18200000003</v>
      </c>
      <c r="D29" s="1416">
        <v>1322.2701860800003</v>
      </c>
      <c r="E29" s="1416">
        <v>925800.24600000004</v>
      </c>
      <c r="F29" s="516">
        <f t="shared" si="0"/>
        <v>0.16304174234249424</v>
      </c>
      <c r="G29" s="1416">
        <v>0</v>
      </c>
      <c r="H29" s="1416">
        <v>0</v>
      </c>
      <c r="I29" s="1416"/>
      <c r="J29" s="1416">
        <v>1041.2845705009784</v>
      </c>
      <c r="K29" s="1392">
        <v>419.05422334944006</v>
      </c>
      <c r="L29" s="1416"/>
      <c r="M29" s="1416">
        <f t="shared" si="1"/>
        <v>1460.3387938504184</v>
      </c>
    </row>
    <row r="30" spans="1:13">
      <c r="A30" s="427" t="s">
        <v>1289</v>
      </c>
      <c r="B30" s="1410" t="s">
        <v>1449</v>
      </c>
      <c r="C30" s="1415">
        <v>258827.92740000002</v>
      </c>
      <c r="D30" s="1416">
        <v>634.68968931840004</v>
      </c>
      <c r="E30" s="1416">
        <v>379578.10086000001</v>
      </c>
      <c r="F30" s="516">
        <f t="shared" si="0"/>
        <v>0.1908781373765786</v>
      </c>
      <c r="G30" s="1416">
        <v>0</v>
      </c>
      <c r="H30" s="1416">
        <v>0</v>
      </c>
      <c r="I30" s="1416"/>
      <c r="J30" s="1416">
        <v>481.30404353746565</v>
      </c>
      <c r="K30" s="1392">
        <v>146.73404870388001</v>
      </c>
      <c r="L30" s="1416"/>
      <c r="M30" s="1416">
        <f t="shared" si="1"/>
        <v>628.03809224134568</v>
      </c>
    </row>
    <row r="31" spans="1:13">
      <c r="B31" s="1406" t="s">
        <v>1055</v>
      </c>
      <c r="C31" s="1415">
        <v>194120.94555</v>
      </c>
      <c r="D31" s="1416">
        <v>569.33066999875211</v>
      </c>
      <c r="E31" s="1416">
        <v>354905.52430410002</v>
      </c>
      <c r="F31" s="516">
        <f t="shared" si="0"/>
        <v>0.18312503234130439</v>
      </c>
      <c r="G31" s="1416">
        <v>7.5</v>
      </c>
      <c r="H31" s="1416">
        <v>330</v>
      </c>
      <c r="I31" s="1416"/>
      <c r="J31" s="1416">
        <v>426.99800249906411</v>
      </c>
      <c r="K31" s="1392">
        <v>137.19633553812781</v>
      </c>
      <c r="L31" s="1416"/>
      <c r="M31" s="1416">
        <f t="shared" si="1"/>
        <v>564.19433803719198</v>
      </c>
    </row>
    <row r="32" spans="1:13">
      <c r="B32" s="1406" t="s">
        <v>1056</v>
      </c>
      <c r="C32" s="1415">
        <v>56942.144028000002</v>
      </c>
      <c r="D32" s="1416">
        <v>82.374310465440061</v>
      </c>
      <c r="E32" s="1416">
        <v>22774.686051599998</v>
      </c>
      <c r="F32" s="516">
        <f t="shared" si="0"/>
        <v>0.41289087706804645</v>
      </c>
      <c r="G32" s="1416">
        <v>8.4</v>
      </c>
      <c r="H32" s="1416">
        <v>330</v>
      </c>
      <c r="I32" s="1416"/>
      <c r="J32" s="1416">
        <v>69.194420790969644</v>
      </c>
      <c r="K32" s="1392">
        <v>8.8040429222327994</v>
      </c>
      <c r="L32" s="1416"/>
      <c r="M32" s="1416">
        <f t="shared" si="1"/>
        <v>77.99846371320244</v>
      </c>
    </row>
    <row r="33" spans="2:13">
      <c r="B33" s="1406" t="s">
        <v>1057</v>
      </c>
      <c r="C33" s="1415">
        <v>7764.8378220000077</v>
      </c>
      <c r="D33" s="1416">
        <v>-17.015291145792105</v>
      </c>
      <c r="E33" s="1416">
        <v>1897.8905042999595</v>
      </c>
      <c r="F33" s="516">
        <f t="shared" si="0"/>
        <v>-1.0234440973247743</v>
      </c>
      <c r="G33" s="1416">
        <v>8.75</v>
      </c>
      <c r="H33" s="1416">
        <v>330</v>
      </c>
      <c r="I33" s="1416"/>
      <c r="J33" s="1416">
        <v>-14.88837975256809</v>
      </c>
      <c r="K33" s="1392">
        <v>0.73367024351938437</v>
      </c>
      <c r="L33" s="1416"/>
      <c r="M33" s="1416">
        <f t="shared" si="1"/>
        <v>-14.154709509048706</v>
      </c>
    </row>
    <row r="34" spans="2:13">
      <c r="B34" s="1410" t="s">
        <v>1450</v>
      </c>
      <c r="C34" s="1415">
        <v>81345.920040000012</v>
      </c>
      <c r="D34" s="1416">
        <v>370.23565210240002</v>
      </c>
      <c r="E34" s="1416">
        <v>222192.05903999999</v>
      </c>
      <c r="F34" s="516">
        <f t="shared" si="0"/>
        <v>0.19021536606624326</v>
      </c>
      <c r="G34" s="1416">
        <v>0</v>
      </c>
      <c r="H34" s="1416">
        <v>0</v>
      </c>
      <c r="I34" s="1416"/>
      <c r="J34" s="1416">
        <v>294.01671437566631</v>
      </c>
      <c r="K34" s="1392">
        <v>101.51002925856001</v>
      </c>
      <c r="L34" s="1416"/>
      <c r="M34" s="1416">
        <f t="shared" si="1"/>
        <v>395.52674363422631</v>
      </c>
    </row>
    <row r="35" spans="2:13">
      <c r="B35" s="1406" t="s">
        <v>1055</v>
      </c>
      <c r="C35" s="1415">
        <v>61253.477790120007</v>
      </c>
      <c r="D35" s="1416">
        <v>209.319983377456</v>
      </c>
      <c r="E35" s="1416">
        <v>167310.62045712001</v>
      </c>
      <c r="F35" s="516">
        <f t="shared" si="0"/>
        <v>0.14281804231024964</v>
      </c>
      <c r="G35" s="1416">
        <v>7.5</v>
      </c>
      <c r="H35" s="1416">
        <v>390</v>
      </c>
      <c r="I35" s="1416"/>
      <c r="J35" s="1416">
        <v>156.98998753309201</v>
      </c>
      <c r="K35" s="1392">
        <v>76.4370520316957</v>
      </c>
      <c r="L35" s="1416"/>
      <c r="M35" s="1416">
        <f t="shared" si="1"/>
        <v>233.42703956478772</v>
      </c>
    </row>
    <row r="36" spans="2:13">
      <c r="B36" s="1406" t="s">
        <v>1056</v>
      </c>
      <c r="C36" s="1415">
        <v>14642.265607200001</v>
      </c>
      <c r="D36" s="1416">
        <v>107.84237976433597</v>
      </c>
      <c r="E36" s="1416">
        <v>39994.570627199995</v>
      </c>
      <c r="F36" s="516">
        <f t="shared" si="0"/>
        <v>0.30781112917681858</v>
      </c>
      <c r="G36" s="1416">
        <v>8.4</v>
      </c>
      <c r="H36" s="1416">
        <v>390</v>
      </c>
      <c r="I36" s="1416"/>
      <c r="J36" s="1416">
        <v>90.587599002042225</v>
      </c>
      <c r="K36" s="1392">
        <v>18.271805266540799</v>
      </c>
      <c r="L36" s="1416"/>
      <c r="M36" s="1416">
        <f t="shared" si="1"/>
        <v>108.85940426858302</v>
      </c>
    </row>
    <row r="37" spans="2:13">
      <c r="B37" s="1406" t="s">
        <v>1057</v>
      </c>
      <c r="C37" s="1415">
        <v>5450.1766426799968</v>
      </c>
      <c r="D37" s="1416">
        <v>53.073288960608075</v>
      </c>
      <c r="E37" s="1416">
        <v>14886.867955679989</v>
      </c>
      <c r="F37" s="516">
        <f t="shared" si="0"/>
        <v>0.40697577544474584</v>
      </c>
      <c r="G37" s="1416">
        <v>8.75</v>
      </c>
      <c r="H37" s="1416">
        <v>390</v>
      </c>
      <c r="I37" s="1416"/>
      <c r="J37" s="1416">
        <v>46.439127840532066</v>
      </c>
      <c r="K37" s="1392">
        <v>6.8011719603235159</v>
      </c>
      <c r="L37" s="1416"/>
      <c r="M37" s="1416">
        <f t="shared" si="1"/>
        <v>53.240299800855581</v>
      </c>
    </row>
    <row r="38" spans="2:13">
      <c r="B38" s="1410" t="s">
        <v>1451</v>
      </c>
      <c r="C38" s="1415">
        <v>29580.334560000018</v>
      </c>
      <c r="D38" s="1416">
        <v>317.34484465920002</v>
      </c>
      <c r="E38" s="1416">
        <v>324030.08610000007</v>
      </c>
      <c r="F38" s="516">
        <f t="shared" si="0"/>
        <v>0.11180005189199603</v>
      </c>
      <c r="G38" s="1416">
        <v>0</v>
      </c>
      <c r="H38" s="1416">
        <v>0</v>
      </c>
      <c r="I38" s="1416"/>
      <c r="J38" s="1416">
        <v>265.96381258784641</v>
      </c>
      <c r="K38" s="1392">
        <v>170.81014538700003</v>
      </c>
      <c r="L38" s="1416"/>
      <c r="M38" s="1416">
        <f t="shared" si="1"/>
        <v>436.77395797484644</v>
      </c>
    </row>
    <row r="39" spans="2:13">
      <c r="B39" s="1406" t="s">
        <v>1055</v>
      </c>
      <c r="C39" s="1415">
        <v>20706.234192000011</v>
      </c>
      <c r="D39" s="1416">
        <v>81.135212246976025</v>
      </c>
      <c r="E39" s="1416">
        <v>71286.618942000016</v>
      </c>
      <c r="F39" s="516">
        <f t="shared" si="0"/>
        <v>0.12992635459415522</v>
      </c>
      <c r="G39" s="1416">
        <v>7.5</v>
      </c>
      <c r="H39" s="1416">
        <v>450</v>
      </c>
      <c r="I39" s="1416"/>
      <c r="J39" s="1416">
        <v>60.851409185232022</v>
      </c>
      <c r="K39" s="1392">
        <v>37.578231985140008</v>
      </c>
      <c r="L39" s="1416"/>
      <c r="M39" s="1416">
        <f t="shared" si="1"/>
        <v>98.429641170372037</v>
      </c>
    </row>
    <row r="40" spans="2:13">
      <c r="B40" s="1406" t="s">
        <v>1056</v>
      </c>
      <c r="C40" s="1415">
        <v>7099.2802944000041</v>
      </c>
      <c r="D40" s="1416">
        <v>44.886427373760007</v>
      </c>
      <c r="E40" s="1416">
        <v>55085.114637000013</v>
      </c>
      <c r="F40" s="516">
        <f t="shared" si="0"/>
        <v>9.3020073089888564E-2</v>
      </c>
      <c r="G40" s="1416">
        <v>8.4</v>
      </c>
      <c r="H40" s="1416">
        <v>450</v>
      </c>
      <c r="I40" s="1416"/>
      <c r="J40" s="1416">
        <v>37.704598993958413</v>
      </c>
      <c r="K40" s="1392">
        <v>29.037724715790009</v>
      </c>
      <c r="L40" s="1416"/>
      <c r="M40" s="1416">
        <f t="shared" si="1"/>
        <v>66.742323709748419</v>
      </c>
    </row>
    <row r="41" spans="2:13">
      <c r="B41" s="1406" t="s">
        <v>1057</v>
      </c>
      <c r="C41" s="1415">
        <v>1774.8200736000026</v>
      </c>
      <c r="D41" s="1416">
        <v>191.32320503846401</v>
      </c>
      <c r="E41" s="1416">
        <v>197658.35252100005</v>
      </c>
      <c r="F41" s="516">
        <f t="shared" si="0"/>
        <v>0.11049646140328005</v>
      </c>
      <c r="G41" s="1416">
        <v>8.75</v>
      </c>
      <c r="H41" s="1416">
        <v>450</v>
      </c>
      <c r="I41" s="1416"/>
      <c r="J41" s="1416">
        <v>167.40780440865601</v>
      </c>
      <c r="K41" s="1392">
        <v>104.19418868607004</v>
      </c>
      <c r="L41" s="1416"/>
      <c r="M41" s="1416">
        <f t="shared" si="1"/>
        <v>271.60199309472603</v>
      </c>
    </row>
    <row r="42" spans="2:13">
      <c r="B42" s="1402" t="s">
        <v>1425</v>
      </c>
      <c r="C42" s="1415">
        <v>480260.21600000001</v>
      </c>
      <c r="D42" s="1416">
        <v>2078.9129167466663</v>
      </c>
      <c r="E42" s="1416">
        <v>1264395.4831000001</v>
      </c>
      <c r="F42" s="516">
        <f t="shared" si="0"/>
        <v>0.18769350989042072</v>
      </c>
      <c r="G42" s="1416">
        <v>0</v>
      </c>
      <c r="H42" s="1416">
        <v>0</v>
      </c>
      <c r="I42" s="1416"/>
      <c r="J42" s="1416">
        <v>1523.9280557009781</v>
      </c>
      <c r="K42" s="1392">
        <v>459.35626435944005</v>
      </c>
      <c r="L42" s="1416"/>
      <c r="M42" s="1416">
        <f t="shared" si="1"/>
        <v>1983.2843200604182</v>
      </c>
    </row>
    <row r="43" spans="2:13">
      <c r="B43" s="1409"/>
      <c r="C43" s="1415">
        <v>0</v>
      </c>
      <c r="D43" s="1416">
        <v>0</v>
      </c>
      <c r="E43" s="1416">
        <v>0</v>
      </c>
      <c r="F43" s="516">
        <f t="shared" si="0"/>
        <v>0</v>
      </c>
      <c r="G43" s="1416">
        <v>0</v>
      </c>
      <c r="H43" s="1416">
        <v>0</v>
      </c>
      <c r="I43" s="1416"/>
      <c r="J43" s="1416">
        <v>0</v>
      </c>
      <c r="K43" s="1392">
        <v>0</v>
      </c>
      <c r="L43" s="1416"/>
      <c r="M43" s="1416">
        <f t="shared" si="1"/>
        <v>0</v>
      </c>
    </row>
    <row r="44" spans="2:13">
      <c r="B44" s="1402" t="s">
        <v>1400</v>
      </c>
      <c r="C44" s="1415">
        <v>0</v>
      </c>
      <c r="D44" s="1416">
        <v>0</v>
      </c>
      <c r="E44" s="1416">
        <v>0</v>
      </c>
      <c r="F44" s="516">
        <f t="shared" si="0"/>
        <v>0</v>
      </c>
      <c r="G44" s="1416">
        <v>0</v>
      </c>
      <c r="H44" s="1416">
        <v>0</v>
      </c>
      <c r="I44" s="1416"/>
      <c r="J44" s="1416">
        <v>0</v>
      </c>
      <c r="K44" s="1392">
        <v>0</v>
      </c>
      <c r="L44" s="1416"/>
      <c r="M44" s="1416">
        <f t="shared" si="1"/>
        <v>0</v>
      </c>
    </row>
    <row r="45" spans="2:13">
      <c r="B45" s="1402" t="s">
        <v>1404</v>
      </c>
      <c r="C45" s="1415">
        <v>81.75</v>
      </c>
      <c r="D45" s="1416">
        <v>15.142749999999999</v>
      </c>
      <c r="E45" s="1416">
        <v>5305.75</v>
      </c>
      <c r="F45" s="516">
        <f t="shared" si="0"/>
        <v>0.32580208815412415</v>
      </c>
      <c r="G45" s="1416">
        <v>0</v>
      </c>
      <c r="H45" s="1416">
        <v>0</v>
      </c>
      <c r="I45" s="1416"/>
      <c r="J45" s="1416">
        <v>0</v>
      </c>
      <c r="K45" s="1392">
        <v>32.183864999999997</v>
      </c>
      <c r="L45" s="1416"/>
      <c r="M45" s="1416">
        <f t="shared" si="1"/>
        <v>32.183864999999997</v>
      </c>
    </row>
    <row r="46" spans="2:13">
      <c r="B46" s="1409" t="s">
        <v>1060</v>
      </c>
      <c r="C46" s="1415">
        <v>15.25</v>
      </c>
      <c r="D46" s="1416">
        <v>1.1607499999999999</v>
      </c>
      <c r="E46" s="1416">
        <v>624.75</v>
      </c>
      <c r="F46" s="516">
        <f t="shared" si="0"/>
        <v>0.21209397000809455</v>
      </c>
      <c r="G46" s="1416">
        <v>0</v>
      </c>
      <c r="H46" s="1416">
        <v>2100</v>
      </c>
      <c r="I46" s="1416"/>
      <c r="J46" s="1416">
        <v>0</v>
      </c>
      <c r="K46" s="1392">
        <v>2.3615550000000001</v>
      </c>
      <c r="L46" s="1416"/>
      <c r="M46" s="1416">
        <f t="shared" si="1"/>
        <v>2.3615550000000001</v>
      </c>
    </row>
    <row r="47" spans="2:13">
      <c r="B47" s="1409" t="s">
        <v>1061</v>
      </c>
      <c r="C47" s="1415">
        <v>58.75</v>
      </c>
      <c r="D47" s="1416">
        <v>10.22025</v>
      </c>
      <c r="E47" s="1416">
        <v>3092.25</v>
      </c>
      <c r="F47" s="516">
        <f t="shared" si="0"/>
        <v>0.37729653342370506</v>
      </c>
      <c r="G47" s="1416">
        <v>0</v>
      </c>
      <c r="H47" s="1416">
        <v>3200</v>
      </c>
      <c r="I47" s="1416"/>
      <c r="J47" s="1416">
        <v>0</v>
      </c>
      <c r="K47" s="1392">
        <v>17.811360000000001</v>
      </c>
      <c r="L47" s="1416"/>
      <c r="M47" s="1416">
        <f t="shared" si="1"/>
        <v>17.811360000000001</v>
      </c>
    </row>
    <row r="48" spans="2:13">
      <c r="B48" s="1409" t="s">
        <v>1062</v>
      </c>
      <c r="C48" s="1415">
        <v>7.75</v>
      </c>
      <c r="D48" s="1416">
        <v>3.7617500000000001</v>
      </c>
      <c r="E48" s="1416">
        <v>1588.75</v>
      </c>
      <c r="F48" s="516">
        <f t="shared" si="0"/>
        <v>0.27029017528354693</v>
      </c>
      <c r="G48" s="1416">
        <v>0</v>
      </c>
      <c r="H48" s="1416">
        <v>4200</v>
      </c>
      <c r="I48" s="1416"/>
      <c r="J48" s="1416">
        <v>0</v>
      </c>
      <c r="K48" s="1392">
        <v>12.010949999999999</v>
      </c>
      <c r="L48" s="1416"/>
      <c r="M48" s="1416">
        <f t="shared" si="1"/>
        <v>12.010949999999999</v>
      </c>
    </row>
    <row r="49" spans="2:13">
      <c r="B49" s="1402" t="s">
        <v>476</v>
      </c>
      <c r="C49" s="1415">
        <v>406.6</v>
      </c>
      <c r="D49" s="1416">
        <v>125.38751999999999</v>
      </c>
      <c r="E49" s="1416">
        <v>45745.722000000002</v>
      </c>
      <c r="F49" s="516">
        <f t="shared" si="0"/>
        <v>0.31289579024715009</v>
      </c>
      <c r="G49" s="1416">
        <v>0</v>
      </c>
      <c r="H49" s="1416">
        <v>0</v>
      </c>
      <c r="I49" s="1416"/>
      <c r="J49" s="1416">
        <v>104.796384</v>
      </c>
      <c r="K49" s="1392">
        <v>13.058720640000001</v>
      </c>
      <c r="L49" s="1416"/>
      <c r="M49" s="1416">
        <f t="shared" si="1"/>
        <v>117.85510464000001</v>
      </c>
    </row>
    <row r="50" spans="2:13">
      <c r="B50" s="1402" t="s">
        <v>1063</v>
      </c>
      <c r="C50" s="1415">
        <v>61.8</v>
      </c>
      <c r="D50" s="1416">
        <v>2.9145600000000003</v>
      </c>
      <c r="E50" s="1416">
        <v>719.20200000000011</v>
      </c>
      <c r="F50" s="516">
        <f t="shared" si="0"/>
        <v>0.46261318623574921</v>
      </c>
      <c r="G50" s="1416">
        <v>7.5</v>
      </c>
      <c r="H50" s="1416">
        <v>0</v>
      </c>
      <c r="I50" s="1416"/>
      <c r="J50" s="1416">
        <v>2.1859200000000003</v>
      </c>
      <c r="K50" s="1392">
        <v>0.16476264000000002</v>
      </c>
      <c r="L50" s="1416"/>
      <c r="M50" s="1416">
        <f t="shared" si="1"/>
        <v>2.3506826400000005</v>
      </c>
    </row>
    <row r="51" spans="2:13">
      <c r="B51" s="1406" t="s">
        <v>1452</v>
      </c>
      <c r="C51" s="1415">
        <v>61.8</v>
      </c>
      <c r="D51" s="1416">
        <v>2.9145600000000003</v>
      </c>
      <c r="E51" s="1416">
        <v>719.20200000000011</v>
      </c>
      <c r="F51" s="516">
        <f t="shared" si="0"/>
        <v>0.46261318623574921</v>
      </c>
      <c r="G51" s="1416">
        <v>7.5</v>
      </c>
      <c r="H51" s="1416">
        <v>200</v>
      </c>
      <c r="I51" s="1416"/>
      <c r="J51" s="1416">
        <v>2.1859200000000003</v>
      </c>
      <c r="K51" s="1392">
        <v>0.16476264000000002</v>
      </c>
      <c r="L51" s="1416"/>
      <c r="M51" s="1416">
        <f t="shared" si="1"/>
        <v>2.3506826400000005</v>
      </c>
    </row>
    <row r="52" spans="2:13">
      <c r="B52" s="1406" t="s">
        <v>1453</v>
      </c>
      <c r="C52" s="1415">
        <v>0</v>
      </c>
      <c r="D52" s="1416">
        <v>0</v>
      </c>
      <c r="E52" s="1416">
        <v>0</v>
      </c>
      <c r="F52" s="516">
        <f t="shared" si="0"/>
        <v>0</v>
      </c>
      <c r="G52" s="1416">
        <v>9</v>
      </c>
      <c r="H52" s="1416">
        <v>200</v>
      </c>
      <c r="I52" s="1416"/>
      <c r="J52" s="1416">
        <v>0</v>
      </c>
      <c r="K52" s="1392">
        <v>0</v>
      </c>
      <c r="L52" s="1416"/>
      <c r="M52" s="1416">
        <f t="shared" si="1"/>
        <v>0</v>
      </c>
    </row>
    <row r="53" spans="2:13">
      <c r="B53" s="1402" t="s">
        <v>1064</v>
      </c>
      <c r="C53" s="1415">
        <v>199</v>
      </c>
      <c r="D53" s="1416">
        <v>29.831040000000002</v>
      </c>
      <c r="E53" s="1416">
        <v>11057.2</v>
      </c>
      <c r="F53" s="516">
        <f t="shared" si="0"/>
        <v>0.3079775949619884</v>
      </c>
      <c r="G53" s="1416">
        <v>8</v>
      </c>
      <c r="H53" s="1416">
        <v>0</v>
      </c>
      <c r="I53" s="1416"/>
      <c r="J53" s="1416">
        <v>23.864832</v>
      </c>
      <c r="K53" s="1392">
        <v>3.1663800000000002</v>
      </c>
      <c r="L53" s="1416"/>
      <c r="M53" s="1416">
        <f t="shared" si="1"/>
        <v>27.031212</v>
      </c>
    </row>
    <row r="54" spans="2:13">
      <c r="B54" s="1406" t="s">
        <v>1452</v>
      </c>
      <c r="C54" s="1415">
        <v>199</v>
      </c>
      <c r="D54" s="1416">
        <v>29.831040000000002</v>
      </c>
      <c r="E54" s="1416">
        <v>11057.2</v>
      </c>
      <c r="F54" s="516">
        <f t="shared" si="0"/>
        <v>0.3079775949619884</v>
      </c>
      <c r="G54" s="1416">
        <v>8</v>
      </c>
      <c r="H54" s="1416">
        <v>250</v>
      </c>
      <c r="I54" s="1416"/>
      <c r="J54" s="1416">
        <v>23.864832</v>
      </c>
      <c r="K54" s="1392">
        <v>3.1663800000000002</v>
      </c>
      <c r="L54" s="1416"/>
      <c r="M54" s="1416">
        <f t="shared" si="1"/>
        <v>27.031212</v>
      </c>
    </row>
    <row r="55" spans="2:13">
      <c r="B55" s="1406" t="s">
        <v>1453</v>
      </c>
      <c r="C55" s="1415">
        <v>0</v>
      </c>
      <c r="D55" s="1416">
        <v>0</v>
      </c>
      <c r="E55" s="1416">
        <v>0</v>
      </c>
      <c r="F55" s="516">
        <f t="shared" si="0"/>
        <v>0</v>
      </c>
      <c r="G55" s="1416">
        <v>9.6</v>
      </c>
      <c r="H55" s="1416">
        <v>250</v>
      </c>
      <c r="I55" s="1416"/>
      <c r="J55" s="1416">
        <v>0</v>
      </c>
      <c r="K55" s="1392">
        <v>0</v>
      </c>
      <c r="L55" s="1416"/>
      <c r="M55" s="1416">
        <f t="shared" si="1"/>
        <v>0</v>
      </c>
    </row>
    <row r="56" spans="2:13">
      <c r="B56" s="1402" t="s">
        <v>1065</v>
      </c>
      <c r="C56" s="1415">
        <v>145.80000000000001</v>
      </c>
      <c r="D56" s="1416">
        <v>92.641919999999999</v>
      </c>
      <c r="E56" s="1416">
        <v>33969.32</v>
      </c>
      <c r="F56" s="516">
        <f t="shared" si="0"/>
        <v>0.31132685740649557</v>
      </c>
      <c r="G56" s="1416">
        <v>8.5</v>
      </c>
      <c r="H56" s="1416">
        <v>0</v>
      </c>
      <c r="I56" s="1416"/>
      <c r="J56" s="1416">
        <v>78.745632000000001</v>
      </c>
      <c r="K56" s="1392">
        <v>9.7275779999999994</v>
      </c>
      <c r="L56" s="1416"/>
      <c r="M56" s="1416">
        <f t="shared" si="1"/>
        <v>88.473209999999995</v>
      </c>
    </row>
    <row r="57" spans="2:13">
      <c r="B57" s="1406" t="s">
        <v>1452</v>
      </c>
      <c r="C57" s="1415">
        <v>145.80000000000001</v>
      </c>
      <c r="D57" s="1416">
        <v>92.641919999999999</v>
      </c>
      <c r="E57" s="1416">
        <v>33969.32</v>
      </c>
      <c r="F57" s="516">
        <f t="shared" si="0"/>
        <v>0.31132685740649557</v>
      </c>
      <c r="G57" s="1416">
        <v>8.5</v>
      </c>
      <c r="H57" s="1416">
        <v>250</v>
      </c>
      <c r="I57" s="1416"/>
      <c r="J57" s="1416">
        <v>78.745632000000001</v>
      </c>
      <c r="K57" s="1392">
        <v>9.7275779999999994</v>
      </c>
      <c r="L57" s="1416"/>
      <c r="M57" s="1416">
        <f t="shared" si="1"/>
        <v>88.473209999999995</v>
      </c>
    </row>
    <row r="58" spans="2:13">
      <c r="B58" s="1406" t="s">
        <v>1453</v>
      </c>
      <c r="C58" s="1415">
        <v>0</v>
      </c>
      <c r="D58" s="1416">
        <v>0</v>
      </c>
      <c r="E58" s="1416">
        <v>0</v>
      </c>
      <c r="F58" s="516">
        <f t="shared" si="0"/>
        <v>0</v>
      </c>
      <c r="G58" s="1416">
        <v>10.199999999999999</v>
      </c>
      <c r="H58" s="1416">
        <v>250</v>
      </c>
      <c r="I58" s="1416"/>
      <c r="J58" s="1416">
        <v>0</v>
      </c>
      <c r="K58" s="1392">
        <v>0</v>
      </c>
      <c r="L58" s="1416"/>
      <c r="M58" s="1416">
        <f t="shared" si="1"/>
        <v>0</v>
      </c>
    </row>
    <row r="59" spans="2:13">
      <c r="B59" s="1402" t="s">
        <v>1425</v>
      </c>
      <c r="C59" s="1415">
        <v>488.35</v>
      </c>
      <c r="D59" s="1416">
        <v>140.53027</v>
      </c>
      <c r="E59" s="1416">
        <v>51051.472000000002</v>
      </c>
      <c r="F59" s="516">
        <f t="shared" si="0"/>
        <v>0.31423713433454348</v>
      </c>
      <c r="G59" s="1416">
        <v>0</v>
      </c>
      <c r="H59" s="1416">
        <v>0</v>
      </c>
      <c r="I59" s="1416"/>
      <c r="J59" s="1416">
        <v>104.796384</v>
      </c>
      <c r="K59" s="1392">
        <v>45.242585640000001</v>
      </c>
      <c r="L59" s="1416"/>
      <c r="M59" s="1416">
        <f t="shared" si="1"/>
        <v>150.03896964</v>
      </c>
    </row>
    <row r="60" spans="2:13">
      <c r="B60" s="1409"/>
      <c r="C60" s="1415">
        <v>0</v>
      </c>
      <c r="D60" s="1416">
        <v>0</v>
      </c>
      <c r="E60" s="1416">
        <v>0</v>
      </c>
      <c r="F60" s="516">
        <f t="shared" si="0"/>
        <v>0</v>
      </c>
      <c r="G60" s="1416">
        <v>0</v>
      </c>
      <c r="H60" s="1416">
        <v>0</v>
      </c>
      <c r="I60" s="1416"/>
      <c r="J60" s="1416">
        <v>0</v>
      </c>
      <c r="K60" s="1392">
        <v>0</v>
      </c>
      <c r="L60" s="1416"/>
      <c r="M60" s="1416">
        <f t="shared" si="1"/>
        <v>0</v>
      </c>
    </row>
    <row r="61" spans="2:13">
      <c r="B61" s="1402" t="s">
        <v>1067</v>
      </c>
      <c r="C61" s="1415">
        <v>0</v>
      </c>
      <c r="D61" s="1416">
        <v>0</v>
      </c>
      <c r="E61" s="1416">
        <v>0</v>
      </c>
      <c r="F61" s="516">
        <f t="shared" si="0"/>
        <v>0</v>
      </c>
      <c r="G61" s="1416">
        <v>0</v>
      </c>
      <c r="H61" s="1416">
        <v>0</v>
      </c>
      <c r="I61" s="1416"/>
      <c r="J61" s="1416">
        <v>0</v>
      </c>
      <c r="K61" s="1392">
        <v>0</v>
      </c>
      <c r="L61" s="1416"/>
      <c r="M61" s="1416">
        <f t="shared" si="1"/>
        <v>0</v>
      </c>
    </row>
    <row r="62" spans="2:13">
      <c r="B62" s="1402" t="s">
        <v>1068</v>
      </c>
      <c r="C62" s="1415">
        <v>25850.344000000001</v>
      </c>
      <c r="D62" s="1416">
        <v>205.88533333333334</v>
      </c>
      <c r="E62" s="1416">
        <v>120232.9856</v>
      </c>
      <c r="F62" s="516">
        <f t="shared" si="0"/>
        <v>0.19547790330367476</v>
      </c>
      <c r="G62" s="1416">
        <v>0</v>
      </c>
      <c r="H62" s="1416">
        <v>0</v>
      </c>
      <c r="I62" s="1416"/>
      <c r="J62" s="1416">
        <v>171.50248266666665</v>
      </c>
      <c r="K62" s="1392">
        <v>42.451492607999995</v>
      </c>
      <c r="L62" s="1416"/>
      <c r="M62" s="1416">
        <f t="shared" si="1"/>
        <v>213.95397527466665</v>
      </c>
    </row>
    <row r="63" spans="2:13">
      <c r="B63" s="1409" t="s">
        <v>1069</v>
      </c>
      <c r="C63" s="1415">
        <v>23265.309600000001</v>
      </c>
      <c r="D63" s="1416">
        <v>154.41399999999999</v>
      </c>
      <c r="E63" s="1416">
        <v>108209.68704</v>
      </c>
      <c r="F63" s="516">
        <f t="shared" si="0"/>
        <v>0.16289825275306224</v>
      </c>
      <c r="G63" s="1416">
        <v>8.25</v>
      </c>
      <c r="H63" s="1416">
        <v>300</v>
      </c>
      <c r="I63" s="1416"/>
      <c r="J63" s="1416">
        <v>127.39154999999998</v>
      </c>
      <c r="K63" s="1392">
        <v>38.206343347199997</v>
      </c>
      <c r="L63" s="1416"/>
      <c r="M63" s="1416">
        <f t="shared" si="1"/>
        <v>165.59789334719997</v>
      </c>
    </row>
    <row r="64" spans="2:13">
      <c r="B64" s="1409" t="s">
        <v>1070</v>
      </c>
      <c r="C64" s="1415">
        <v>2326.5309600000001</v>
      </c>
      <c r="D64" s="1416">
        <v>37.059359999999998</v>
      </c>
      <c r="E64" s="1416">
        <v>10820.968703999999</v>
      </c>
      <c r="F64" s="516">
        <f t="shared" si="0"/>
        <v>0.39095580660734947</v>
      </c>
      <c r="G64" s="1416">
        <v>8.5</v>
      </c>
      <c r="H64" s="1416">
        <v>300</v>
      </c>
      <c r="I64" s="1416"/>
      <c r="J64" s="1416">
        <v>31.500455999999996</v>
      </c>
      <c r="K64" s="1392">
        <v>3.8206343347200007</v>
      </c>
      <c r="L64" s="1416"/>
      <c r="M64" s="1416">
        <f t="shared" si="1"/>
        <v>35.321090334719997</v>
      </c>
    </row>
    <row r="65" spans="2:13">
      <c r="B65" s="1409" t="s">
        <v>1071</v>
      </c>
      <c r="C65" s="1415">
        <v>258.50344000000024</v>
      </c>
      <c r="D65" s="1416">
        <v>14.411973333333346</v>
      </c>
      <c r="E65" s="1416">
        <v>1202.329856000001</v>
      </c>
      <c r="F65" s="516">
        <f t="shared" si="0"/>
        <v>1.3683453231257234</v>
      </c>
      <c r="G65" s="1416">
        <v>8.75</v>
      </c>
      <c r="H65" s="1416">
        <v>300</v>
      </c>
      <c r="I65" s="1416"/>
      <c r="J65" s="1416">
        <v>12.610476666666678</v>
      </c>
      <c r="K65" s="1392">
        <v>0.42451492608000041</v>
      </c>
      <c r="L65" s="1416"/>
      <c r="M65" s="1416">
        <f t="shared" si="1"/>
        <v>13.034991592746678</v>
      </c>
    </row>
    <row r="66" spans="2:13">
      <c r="B66" s="1402" t="s">
        <v>1072</v>
      </c>
      <c r="C66" s="1415">
        <v>3927.0315000000005</v>
      </c>
      <c r="D66" s="1416">
        <v>62.881</v>
      </c>
      <c r="E66" s="1416">
        <v>51913.596000000005</v>
      </c>
      <c r="F66" s="516">
        <f t="shared" si="0"/>
        <v>0.13827199231261045</v>
      </c>
      <c r="G66" s="1416">
        <v>0</v>
      </c>
      <c r="H66" s="1416">
        <v>0</v>
      </c>
      <c r="I66" s="1416"/>
      <c r="J66" s="1416">
        <v>57.3903858738</v>
      </c>
      <c r="K66" s="1392">
        <v>23.686690609200006</v>
      </c>
      <c r="L66" s="1416"/>
      <c r="M66" s="1416">
        <f t="shared" si="1"/>
        <v>81.077076483000013</v>
      </c>
    </row>
    <row r="67" spans="2:13">
      <c r="B67" s="1402" t="s">
        <v>1454</v>
      </c>
      <c r="C67" s="1415">
        <v>2748.9220500000001</v>
      </c>
      <c r="D67" s="1416">
        <v>31.4405</v>
      </c>
      <c r="E67" s="1416">
        <v>10901.855160000001</v>
      </c>
      <c r="F67" s="516">
        <f t="shared" si="0"/>
        <v>0.3292190293157391</v>
      </c>
      <c r="G67" s="1416">
        <v>0</v>
      </c>
      <c r="H67" s="1416">
        <v>0</v>
      </c>
      <c r="I67" s="1416"/>
      <c r="J67" s="1416">
        <v>28.513694974799996</v>
      </c>
      <c r="K67" s="1392">
        <v>4.4697606156000003</v>
      </c>
      <c r="L67" s="1416"/>
      <c r="M67" s="1416">
        <f t="shared" si="1"/>
        <v>32.983455590399998</v>
      </c>
    </row>
    <row r="68" spans="2:13">
      <c r="B68" s="1409" t="s">
        <v>1073</v>
      </c>
      <c r="C68" s="1415">
        <v>1649.3532299999999</v>
      </c>
      <c r="D68" s="1416">
        <v>24.199000840000004</v>
      </c>
      <c r="E68" s="1416">
        <v>6541.113096</v>
      </c>
      <c r="F68" s="516">
        <f t="shared" si="0"/>
        <v>0.42232002072462571</v>
      </c>
      <c r="G68" s="1416">
        <v>9</v>
      </c>
      <c r="H68" s="1416">
        <v>350</v>
      </c>
      <c r="I68" s="1416"/>
      <c r="J68" s="1416">
        <v>21.779100756000002</v>
      </c>
      <c r="K68" s="1392">
        <v>2.6818563693599997</v>
      </c>
      <c r="L68" s="1416"/>
      <c r="M68" s="1416">
        <f t="shared" si="1"/>
        <v>24.46095712536</v>
      </c>
    </row>
    <row r="69" spans="2:13">
      <c r="B69" s="1409" t="s">
        <v>1074</v>
      </c>
      <c r="C69" s="1415">
        <v>1099.5688200000002</v>
      </c>
      <c r="D69" s="1416">
        <v>7.2414991599999965</v>
      </c>
      <c r="E69" s="1416">
        <v>4360.7420640000009</v>
      </c>
      <c r="F69" s="516">
        <f t="shared" si="0"/>
        <v>0.18956754220240918</v>
      </c>
      <c r="G69" s="1416">
        <v>9.3000000000000007</v>
      </c>
      <c r="H69" s="1416">
        <v>350</v>
      </c>
      <c r="I69" s="1416"/>
      <c r="J69" s="1416">
        <v>6.7345942187999963</v>
      </c>
      <c r="K69" s="1392">
        <v>1.7879042462400003</v>
      </c>
      <c r="L69" s="1416"/>
      <c r="M69" s="1416">
        <f t="shared" si="1"/>
        <v>8.5224984650399964</v>
      </c>
    </row>
    <row r="70" spans="2:13">
      <c r="B70" s="1402" t="s">
        <v>1455</v>
      </c>
      <c r="C70" s="1415">
        <v>1178.1094500000004</v>
      </c>
      <c r="D70" s="1416">
        <v>31.4405</v>
      </c>
      <c r="E70" s="1416">
        <v>41011.740840000006</v>
      </c>
      <c r="F70" s="516">
        <f t="shared" si="0"/>
        <v>8.7513919185196465E-2</v>
      </c>
      <c r="G70" s="1416">
        <v>0</v>
      </c>
      <c r="H70" s="1416">
        <v>0</v>
      </c>
      <c r="I70" s="1416"/>
      <c r="J70" s="1416">
        <v>28.876690899000003</v>
      </c>
      <c r="K70" s="1392">
        <v>19.216929993600004</v>
      </c>
      <c r="L70" s="1416"/>
      <c r="M70" s="1416">
        <f t="shared" si="1"/>
        <v>48.093620892600008</v>
      </c>
    </row>
    <row r="71" spans="2:13">
      <c r="B71" s="1409" t="s">
        <v>1073</v>
      </c>
      <c r="C71" s="1415">
        <v>589.05472500000019</v>
      </c>
      <c r="D71" s="1416">
        <v>12.099136700000003</v>
      </c>
      <c r="E71" s="1416">
        <v>16404.696336000005</v>
      </c>
      <c r="F71" s="516">
        <f t="shared" si="0"/>
        <v>8.4194181976626051E-2</v>
      </c>
      <c r="G71" s="1416">
        <v>9</v>
      </c>
      <c r="H71" s="1416">
        <v>400</v>
      </c>
      <c r="I71" s="1416"/>
      <c r="J71" s="1416">
        <v>10.889223030000002</v>
      </c>
      <c r="K71" s="1392">
        <v>7.6867719974400011</v>
      </c>
      <c r="L71" s="1416"/>
      <c r="M71" s="1416">
        <f t="shared" si="1"/>
        <v>18.575995027440001</v>
      </c>
    </row>
    <row r="72" spans="2:13">
      <c r="B72" s="1409" t="s">
        <v>1074</v>
      </c>
      <c r="C72" s="1415">
        <v>589.05472500000019</v>
      </c>
      <c r="D72" s="1416">
        <v>19.341363299999998</v>
      </c>
      <c r="E72" s="1416">
        <v>24607.044504000001</v>
      </c>
      <c r="F72" s="516">
        <f t="shared" si="0"/>
        <v>8.9727077324243398E-2</v>
      </c>
      <c r="G72" s="1416">
        <v>9.3000000000000007</v>
      </c>
      <c r="H72" s="1416">
        <v>400</v>
      </c>
      <c r="I72" s="1416"/>
      <c r="J72" s="1416">
        <v>17.987467869</v>
      </c>
      <c r="K72" s="1392">
        <v>11.530157996160002</v>
      </c>
      <c r="L72" s="1416"/>
      <c r="M72" s="1416">
        <f t="shared" si="1"/>
        <v>29.517625865159999</v>
      </c>
    </row>
    <row r="73" spans="2:13">
      <c r="B73" s="1402" t="s">
        <v>1425</v>
      </c>
      <c r="C73" s="1415">
        <v>29777.375500000002</v>
      </c>
      <c r="D73" s="1416">
        <v>268.76633333333336</v>
      </c>
      <c r="E73" s="1416">
        <v>172146.5816</v>
      </c>
      <c r="F73" s="516">
        <f t="shared" si="0"/>
        <v>0.17822653226627236</v>
      </c>
      <c r="G73" s="1416">
        <v>0</v>
      </c>
      <c r="H73" s="1416">
        <v>0</v>
      </c>
      <c r="I73" s="1416"/>
      <c r="J73" s="1416">
        <v>228.89286854046665</v>
      </c>
      <c r="K73" s="1392">
        <v>66.138183217200009</v>
      </c>
      <c r="L73" s="1416"/>
      <c r="M73" s="1416">
        <f t="shared" si="1"/>
        <v>295.03105175766666</v>
      </c>
    </row>
    <row r="74" spans="2:13">
      <c r="B74" s="1409"/>
      <c r="C74" s="1415">
        <v>0</v>
      </c>
      <c r="D74" s="1416">
        <v>0</v>
      </c>
      <c r="E74" s="1416">
        <v>0</v>
      </c>
      <c r="F74" s="516">
        <f t="shared" ref="F74:F137" si="2">IFERROR(D74/(E74*24*365/10^6),0)</f>
        <v>0</v>
      </c>
      <c r="G74" s="1416">
        <v>0</v>
      </c>
      <c r="H74" s="1416">
        <v>0</v>
      </c>
      <c r="I74" s="1416"/>
      <c r="J74" s="1416">
        <v>0</v>
      </c>
      <c r="K74" s="1392">
        <v>0</v>
      </c>
      <c r="L74" s="1416"/>
      <c r="M74" s="1416">
        <f t="shared" ref="M74:M137" si="3">SUM(J74:L74)</f>
        <v>0</v>
      </c>
    </row>
    <row r="75" spans="2:13">
      <c r="B75" s="1402" t="s">
        <v>1076</v>
      </c>
      <c r="C75" s="1415">
        <v>0</v>
      </c>
      <c r="D75" s="1416">
        <v>0</v>
      </c>
      <c r="E75" s="1416">
        <v>0</v>
      </c>
      <c r="F75" s="516">
        <f t="shared" si="2"/>
        <v>0</v>
      </c>
      <c r="G75" s="1416">
        <v>0</v>
      </c>
      <c r="H75" s="1416">
        <v>0</v>
      </c>
      <c r="I75" s="1416"/>
      <c r="J75" s="1416">
        <v>0</v>
      </c>
      <c r="K75" s="1392">
        <v>0</v>
      </c>
      <c r="L75" s="1416"/>
      <c r="M75" s="1416">
        <f t="shared" si="3"/>
        <v>0</v>
      </c>
    </row>
    <row r="76" spans="2:13">
      <c r="B76" s="1402" t="s">
        <v>1012</v>
      </c>
      <c r="C76" s="1415">
        <v>311980.08750000002</v>
      </c>
      <c r="D76" s="1416">
        <v>2441.0003689999999</v>
      </c>
      <c r="E76" s="1416">
        <v>1410115.0275000001</v>
      </c>
      <c r="F76" s="516">
        <f t="shared" si="2"/>
        <v>0.19761012734815162</v>
      </c>
      <c r="G76" s="1416">
        <v>0</v>
      </c>
      <c r="H76" s="1416">
        <v>0</v>
      </c>
      <c r="I76" s="1416"/>
      <c r="J76" s="1416">
        <v>49.43923599999998</v>
      </c>
      <c r="K76" s="1392">
        <v>372.07773573056301</v>
      </c>
      <c r="L76" s="1416"/>
      <c r="M76" s="1416">
        <f t="shared" si="3"/>
        <v>421.516971730563</v>
      </c>
    </row>
    <row r="77" spans="2:13">
      <c r="B77" s="1402" t="s">
        <v>1456</v>
      </c>
      <c r="C77" s="1415">
        <v>289587</v>
      </c>
      <c r="D77" s="1416">
        <v>2193.804189</v>
      </c>
      <c r="E77" s="1416">
        <v>1329675</v>
      </c>
      <c r="F77" s="516">
        <f t="shared" si="2"/>
        <v>0.18834246575342467</v>
      </c>
      <c r="G77" s="1416">
        <v>0</v>
      </c>
      <c r="H77" s="1416">
        <v>0</v>
      </c>
      <c r="I77" s="1416"/>
      <c r="J77" s="1416">
        <v>0</v>
      </c>
      <c r="K77" s="1392">
        <v>363.61085790884721</v>
      </c>
      <c r="L77" s="1416"/>
      <c r="M77" s="1416">
        <f t="shared" si="3"/>
        <v>363.61085790884721</v>
      </c>
    </row>
    <row r="78" spans="2:13">
      <c r="B78" s="1409" t="s">
        <v>1077</v>
      </c>
      <c r="C78" s="1415">
        <v>289587</v>
      </c>
      <c r="D78" s="1416">
        <v>2193.804189</v>
      </c>
      <c r="E78" s="1416">
        <v>1329675</v>
      </c>
      <c r="F78" s="516">
        <f t="shared" si="2"/>
        <v>0.18834246575342467</v>
      </c>
      <c r="G78" s="1416">
        <v>0</v>
      </c>
      <c r="H78" s="1416">
        <v>170</v>
      </c>
      <c r="I78" s="1416"/>
      <c r="J78" s="1416">
        <v>0</v>
      </c>
      <c r="K78" s="1392">
        <v>363.61085790884721</v>
      </c>
      <c r="L78" s="1416"/>
      <c r="M78" s="1416">
        <f t="shared" si="3"/>
        <v>363.61085790884721</v>
      </c>
    </row>
    <row r="79" spans="2:13">
      <c r="B79" s="1406" t="s">
        <v>1457</v>
      </c>
      <c r="C79" s="1415">
        <v>0</v>
      </c>
      <c r="D79" s="1416">
        <v>0</v>
      </c>
      <c r="E79" s="1416">
        <v>0</v>
      </c>
      <c r="F79" s="516">
        <f t="shared" si="2"/>
        <v>0</v>
      </c>
      <c r="G79" s="1416">
        <v>1.65</v>
      </c>
      <c r="H79" s="1416">
        <v>70</v>
      </c>
      <c r="I79" s="1416"/>
      <c r="J79" s="1416">
        <v>0</v>
      </c>
      <c r="K79" s="1392">
        <v>0</v>
      </c>
      <c r="L79" s="1416"/>
      <c r="M79" s="1416">
        <f t="shared" si="3"/>
        <v>0</v>
      </c>
    </row>
    <row r="80" spans="2:13">
      <c r="B80" s="1402" t="s">
        <v>1458</v>
      </c>
      <c r="C80" s="1415">
        <v>22393.087499999998</v>
      </c>
      <c r="D80" s="1416">
        <v>247.19617999999991</v>
      </c>
      <c r="E80" s="1416">
        <v>80440.027499999997</v>
      </c>
      <c r="F80" s="516">
        <f t="shared" si="2"/>
        <v>0.35080472851817973</v>
      </c>
      <c r="G80" s="1416">
        <v>0</v>
      </c>
      <c r="H80" s="1416">
        <v>0</v>
      </c>
      <c r="I80" s="1416"/>
      <c r="J80" s="1416">
        <v>49.43923599999998</v>
      </c>
      <c r="K80" s="1392">
        <v>8.4668778217158192</v>
      </c>
      <c r="L80" s="1416"/>
      <c r="M80" s="1416">
        <f t="shared" si="3"/>
        <v>57.906113821715799</v>
      </c>
    </row>
    <row r="81" spans="2:13">
      <c r="B81" s="1409" t="s">
        <v>1078</v>
      </c>
      <c r="C81" s="1415">
        <v>22393.087499999998</v>
      </c>
      <c r="D81" s="1416">
        <v>247.19617999999991</v>
      </c>
      <c r="E81" s="1416">
        <v>80440.027499999997</v>
      </c>
      <c r="F81" s="516">
        <f t="shared" si="2"/>
        <v>0.35080472851817973</v>
      </c>
      <c r="G81" s="1416">
        <v>2</v>
      </c>
      <c r="H81" s="1416">
        <v>70</v>
      </c>
      <c r="I81" s="1416"/>
      <c r="J81" s="1416">
        <v>49.43923599999998</v>
      </c>
      <c r="K81" s="1392">
        <v>8.4668778217158192</v>
      </c>
      <c r="L81" s="1416"/>
      <c r="M81" s="1416">
        <f t="shared" si="3"/>
        <v>57.906113821715799</v>
      </c>
    </row>
    <row r="82" spans="2:13">
      <c r="B82" s="1406" t="s">
        <v>1459</v>
      </c>
      <c r="C82" s="1415">
        <v>0</v>
      </c>
      <c r="D82" s="1416">
        <v>0</v>
      </c>
      <c r="E82" s="1416">
        <v>0</v>
      </c>
      <c r="F82" s="516">
        <f t="shared" si="2"/>
        <v>0</v>
      </c>
      <c r="G82" s="1416">
        <v>1.65</v>
      </c>
      <c r="H82" s="1416">
        <v>70</v>
      </c>
      <c r="I82" s="1416"/>
      <c r="J82" s="1416">
        <v>0</v>
      </c>
      <c r="K82" s="1392">
        <v>0</v>
      </c>
      <c r="L82" s="1416"/>
      <c r="M82" s="1416">
        <f t="shared" si="3"/>
        <v>0</v>
      </c>
    </row>
    <row r="83" spans="2:13">
      <c r="B83" s="1402" t="s">
        <v>1460</v>
      </c>
      <c r="C83" s="1415">
        <v>12408.27</v>
      </c>
      <c r="D83" s="1416">
        <v>286.47492587999994</v>
      </c>
      <c r="E83" s="1416">
        <v>45365.774999999994</v>
      </c>
      <c r="F83" s="516">
        <f t="shared" si="2"/>
        <v>0.72086539047528764</v>
      </c>
      <c r="G83" s="1416">
        <v>0</v>
      </c>
      <c r="H83" s="1416">
        <v>0</v>
      </c>
      <c r="I83" s="1416"/>
      <c r="J83" s="1416">
        <v>171.88495552799995</v>
      </c>
      <c r="K83" s="1392">
        <v>8.8679804959785518</v>
      </c>
      <c r="L83" s="1416"/>
      <c r="M83" s="1416">
        <f t="shared" si="3"/>
        <v>180.75293602397849</v>
      </c>
    </row>
    <row r="84" spans="2:13">
      <c r="B84" s="1409" t="s">
        <v>1079</v>
      </c>
      <c r="C84" s="1415">
        <v>12408.27</v>
      </c>
      <c r="D84" s="1416">
        <v>286.47492587999994</v>
      </c>
      <c r="E84" s="1416">
        <v>45365.774999999994</v>
      </c>
      <c r="F84" s="516">
        <f t="shared" si="2"/>
        <v>0.72086539047528764</v>
      </c>
      <c r="G84" s="1416">
        <v>6</v>
      </c>
      <c r="H84" s="1416">
        <v>130</v>
      </c>
      <c r="I84" s="1416"/>
      <c r="J84" s="1416">
        <v>171.88495552799995</v>
      </c>
      <c r="K84" s="1392">
        <v>8.8679804959785518</v>
      </c>
      <c r="L84" s="1416"/>
      <c r="M84" s="1416">
        <f t="shared" si="3"/>
        <v>180.75293602397849</v>
      </c>
    </row>
    <row r="85" spans="2:13">
      <c r="B85" s="1402" t="s">
        <v>1425</v>
      </c>
      <c r="C85" s="1415">
        <v>324388.35750000004</v>
      </c>
      <c r="D85" s="1416">
        <v>2727.4752948799996</v>
      </c>
      <c r="E85" s="1416">
        <v>1455480.8025</v>
      </c>
      <c r="F85" s="516">
        <f t="shared" si="2"/>
        <v>0.21391943248898079</v>
      </c>
      <c r="G85" s="1416">
        <v>0</v>
      </c>
      <c r="H85" s="1416">
        <v>0</v>
      </c>
      <c r="I85" s="1416"/>
      <c r="J85" s="1416">
        <v>221.32419152799991</v>
      </c>
      <c r="K85" s="1392">
        <v>380.94571622654155</v>
      </c>
      <c r="L85" s="1416"/>
      <c r="M85" s="1416">
        <f t="shared" si="3"/>
        <v>602.26990775454146</v>
      </c>
    </row>
    <row r="86" spans="2:13">
      <c r="B86" s="1409"/>
      <c r="C86" s="1415">
        <v>0</v>
      </c>
      <c r="D86" s="1416">
        <v>0</v>
      </c>
      <c r="E86" s="1416">
        <v>0</v>
      </c>
      <c r="F86" s="516">
        <f t="shared" si="2"/>
        <v>0</v>
      </c>
      <c r="G86" s="1416">
        <v>0</v>
      </c>
      <c r="H86" s="1416">
        <v>0</v>
      </c>
      <c r="I86" s="1416"/>
      <c r="J86" s="1416">
        <v>0</v>
      </c>
      <c r="K86" s="1392">
        <v>0</v>
      </c>
      <c r="L86" s="1416"/>
      <c r="M86" s="1416">
        <f t="shared" si="3"/>
        <v>0</v>
      </c>
    </row>
    <row r="87" spans="2:13">
      <c r="B87" s="1402" t="s">
        <v>1081</v>
      </c>
      <c r="C87" s="1415">
        <v>0</v>
      </c>
      <c r="D87" s="1416">
        <v>0</v>
      </c>
      <c r="E87" s="1416">
        <v>0</v>
      </c>
      <c r="F87" s="516">
        <f t="shared" si="2"/>
        <v>0</v>
      </c>
      <c r="G87" s="1416">
        <v>0</v>
      </c>
      <c r="H87" s="1416">
        <v>0</v>
      </c>
      <c r="I87" s="1416"/>
      <c r="J87" s="1416">
        <v>0</v>
      </c>
      <c r="K87" s="1392">
        <v>0</v>
      </c>
      <c r="L87" s="1416"/>
      <c r="M87" s="1416">
        <f t="shared" si="3"/>
        <v>0</v>
      </c>
    </row>
    <row r="88" spans="2:13">
      <c r="B88" s="1402" t="s">
        <v>1012</v>
      </c>
      <c r="C88" s="1415">
        <v>20133.966200000003</v>
      </c>
      <c r="D88" s="1416">
        <v>252.17284000000001</v>
      </c>
      <c r="E88" s="1416">
        <v>168234.19510000001</v>
      </c>
      <c r="F88" s="516">
        <f t="shared" si="2"/>
        <v>0.17111178773237723</v>
      </c>
      <c r="G88" s="1416">
        <v>0</v>
      </c>
      <c r="H88" s="1416">
        <v>290</v>
      </c>
      <c r="I88" s="1416"/>
      <c r="J88" s="1416">
        <v>173.58591958297029</v>
      </c>
      <c r="K88" s="1392">
        <v>40.024446272133751</v>
      </c>
      <c r="L88" s="1416"/>
      <c r="M88" s="1416">
        <f t="shared" si="3"/>
        <v>213.61036585510405</v>
      </c>
    </row>
    <row r="89" spans="2:13">
      <c r="B89" s="1406" t="s">
        <v>1426</v>
      </c>
      <c r="C89" s="1415">
        <v>17522.279753663515</v>
      </c>
      <c r="D89" s="1416">
        <v>143.17390790627829</v>
      </c>
      <c r="E89" s="1416">
        <v>155214.23617792866</v>
      </c>
      <c r="F89" s="516">
        <f t="shared" si="2"/>
        <v>0.1052999635627677</v>
      </c>
      <c r="G89" s="1416">
        <v>6.7525000000000004</v>
      </c>
      <c r="H89" s="1416">
        <v>268.25</v>
      </c>
      <c r="I89" s="1416"/>
      <c r="J89" s="1416">
        <v>96.678181313714418</v>
      </c>
      <c r="K89" s="1392">
        <v>36.926879537665307</v>
      </c>
      <c r="L89" s="1416"/>
      <c r="M89" s="1416">
        <f t="shared" si="3"/>
        <v>133.60506085137973</v>
      </c>
    </row>
    <row r="90" spans="2:13">
      <c r="B90" s="1406" t="s">
        <v>1427</v>
      </c>
      <c r="C90" s="1415">
        <v>1659.2343469603793</v>
      </c>
      <c r="D90" s="1416">
        <v>59.313110448243378</v>
      </c>
      <c r="E90" s="1416">
        <v>7101.1647402389808</v>
      </c>
      <c r="F90" s="516">
        <f t="shared" si="2"/>
        <v>0.95349189420128821</v>
      </c>
      <c r="G90" s="1416">
        <v>6.8450000000000006</v>
      </c>
      <c r="H90" s="1416">
        <v>268.25</v>
      </c>
      <c r="I90" s="1416"/>
      <c r="J90" s="1416">
        <v>40.599824101822591</v>
      </c>
      <c r="K90" s="1392">
        <v>1.6894317260906591</v>
      </c>
      <c r="L90" s="1416"/>
      <c r="M90" s="1416">
        <f t="shared" si="3"/>
        <v>42.289255827913252</v>
      </c>
    </row>
    <row r="91" spans="2:13">
      <c r="B91" s="1406" t="s">
        <v>1428</v>
      </c>
      <c r="C91" s="1415">
        <v>952.45209937610582</v>
      </c>
      <c r="D91" s="1416">
        <v>49.685821645478349</v>
      </c>
      <c r="E91" s="1416">
        <v>5918.7941818323743</v>
      </c>
      <c r="F91" s="516">
        <f t="shared" si="2"/>
        <v>0.958285974113401</v>
      </c>
      <c r="G91" s="1416">
        <v>7.307500000000001</v>
      </c>
      <c r="H91" s="1416">
        <v>268.25</v>
      </c>
      <c r="I91" s="1416"/>
      <c r="J91" s="1416">
        <v>36.30791416743331</v>
      </c>
      <c r="K91" s="1392">
        <v>1.4081350083777808</v>
      </c>
      <c r="L91" s="1416"/>
      <c r="M91" s="1416">
        <f t="shared" si="3"/>
        <v>37.716049175811094</v>
      </c>
    </row>
    <row r="92" spans="2:13">
      <c r="B92" s="1402" t="s">
        <v>1011</v>
      </c>
      <c r="C92" s="1415">
        <v>12530.7</v>
      </c>
      <c r="D92" s="1416">
        <v>343.51519999999999</v>
      </c>
      <c r="E92" s="1416">
        <v>202647.12300000002</v>
      </c>
      <c r="F92" s="516">
        <f t="shared" si="2"/>
        <v>0.19350910758767909</v>
      </c>
      <c r="G92" s="1416">
        <v>0</v>
      </c>
      <c r="H92" s="1416">
        <v>0</v>
      </c>
      <c r="I92" s="1416"/>
      <c r="J92" s="1416">
        <v>261.52517861220065</v>
      </c>
      <c r="K92" s="1392">
        <v>51.631591981500009</v>
      </c>
      <c r="L92" s="1416"/>
      <c r="M92" s="1416">
        <f t="shared" si="3"/>
        <v>313.15677059370068</v>
      </c>
    </row>
    <row r="93" spans="2:13">
      <c r="B93" s="1402" t="s">
        <v>1013</v>
      </c>
      <c r="C93" s="1415">
        <v>12530.7</v>
      </c>
      <c r="D93" s="1416">
        <v>171.7576</v>
      </c>
      <c r="E93" s="1416">
        <v>202647.12300000002</v>
      </c>
      <c r="F93" s="516">
        <f t="shared" si="2"/>
        <v>9.6754553793839543E-2</v>
      </c>
      <c r="G93" s="1416">
        <v>0</v>
      </c>
      <c r="H93" s="1416">
        <v>0</v>
      </c>
      <c r="I93" s="1416"/>
      <c r="J93" s="1416">
        <v>130.48267687629109</v>
      </c>
      <c r="K93" s="1392">
        <v>51.631591981500009</v>
      </c>
      <c r="L93" s="1416"/>
      <c r="M93" s="1416">
        <f t="shared" si="3"/>
        <v>182.1142688577911</v>
      </c>
    </row>
    <row r="94" spans="2:13">
      <c r="B94" s="1410" t="s">
        <v>1426</v>
      </c>
      <c r="C94" s="1415">
        <v>7868.9923346490568</v>
      </c>
      <c r="D94" s="1416">
        <v>58.155758892479767</v>
      </c>
      <c r="E94" s="1416">
        <v>141597.25876453603</v>
      </c>
      <c r="F94" s="516">
        <f t="shared" si="2"/>
        <v>4.6884984353675434E-2</v>
      </c>
      <c r="G94" s="1416">
        <v>7.3</v>
      </c>
      <c r="H94" s="1416">
        <v>290</v>
      </c>
      <c r="I94" s="1416"/>
      <c r="J94" s="1416">
        <v>42.565058225101879</v>
      </c>
      <c r="K94" s="1392">
        <v>36.076958715221437</v>
      </c>
      <c r="L94" s="1416"/>
      <c r="M94" s="1416">
        <f t="shared" si="3"/>
        <v>78.642016940323316</v>
      </c>
    </row>
    <row r="95" spans="2:13">
      <c r="B95" s="1406" t="s">
        <v>1430</v>
      </c>
      <c r="C95" s="1415">
        <v>1543.0451975740364</v>
      </c>
      <c r="D95" s="1416">
        <v>11.403869854489644</v>
      </c>
      <c r="E95" s="1416">
        <v>27766.067221110054</v>
      </c>
      <c r="F95" s="516">
        <f t="shared" si="2"/>
        <v>4.6884984353675427E-2</v>
      </c>
      <c r="G95" s="1416">
        <v>6.2050000000000001</v>
      </c>
      <c r="H95" s="1416">
        <v>290</v>
      </c>
      <c r="I95" s="1416"/>
      <c r="J95" s="1416">
        <v>7.0761012447108245</v>
      </c>
      <c r="K95" s="1392">
        <v>7.074397269835683</v>
      </c>
      <c r="L95" s="1416"/>
      <c r="M95" s="1416">
        <f t="shared" si="3"/>
        <v>14.150498514546507</v>
      </c>
    </row>
    <row r="96" spans="2:13">
      <c r="B96" s="1406" t="s">
        <v>1431</v>
      </c>
      <c r="C96" s="1415">
        <v>3327.9218835574566</v>
      </c>
      <c r="D96" s="1416">
        <v>24.594994434164231</v>
      </c>
      <c r="E96" s="1416">
        <v>59883.730477069155</v>
      </c>
      <c r="F96" s="516">
        <f t="shared" si="2"/>
        <v>4.6884984353675434E-2</v>
      </c>
      <c r="G96" s="1416">
        <v>7.3</v>
      </c>
      <c r="H96" s="1416">
        <v>290</v>
      </c>
      <c r="I96" s="1416"/>
      <c r="J96" s="1416">
        <v>17.954345936939887</v>
      </c>
      <c r="K96" s="1392">
        <v>15.257519043693264</v>
      </c>
      <c r="L96" s="1416"/>
      <c r="M96" s="1416">
        <f t="shared" si="3"/>
        <v>33.211864980633152</v>
      </c>
    </row>
    <row r="97" spans="2:13">
      <c r="B97" s="1406" t="s">
        <v>1432</v>
      </c>
      <c r="C97" s="1415">
        <v>1680.6453797613033</v>
      </c>
      <c r="D97" s="1416">
        <v>12.420803494596038</v>
      </c>
      <c r="E97" s="1416">
        <v>30242.090550987486</v>
      </c>
      <c r="F97" s="516">
        <f t="shared" si="2"/>
        <v>4.6884984353675427E-2</v>
      </c>
      <c r="G97" s="1416">
        <v>8.3949999999999996</v>
      </c>
      <c r="H97" s="1416">
        <v>290</v>
      </c>
      <c r="I97" s="1416"/>
      <c r="J97" s="1416">
        <v>10.427264533713373</v>
      </c>
      <c r="K97" s="1392">
        <v>7.705252642526597</v>
      </c>
      <c r="L97" s="1416"/>
      <c r="M97" s="1416">
        <f t="shared" si="3"/>
        <v>18.132517176239972</v>
      </c>
    </row>
    <row r="98" spans="2:13">
      <c r="B98" s="1406" t="s">
        <v>1433</v>
      </c>
      <c r="C98" s="1415">
        <v>1317.3798737562608</v>
      </c>
      <c r="D98" s="1416">
        <v>9.7360911092298537</v>
      </c>
      <c r="E98" s="1416">
        <v>23705.370515369341</v>
      </c>
      <c r="F98" s="516">
        <f t="shared" si="2"/>
        <v>4.6884984353675441E-2</v>
      </c>
      <c r="G98" s="1416">
        <v>7.3</v>
      </c>
      <c r="H98" s="1416">
        <v>290</v>
      </c>
      <c r="I98" s="1416"/>
      <c r="J98" s="1416">
        <v>7.107346509737793</v>
      </c>
      <c r="K98" s="1392">
        <v>6.0397897591658882</v>
      </c>
      <c r="L98" s="1416"/>
      <c r="M98" s="1416">
        <f t="shared" si="3"/>
        <v>13.147136268903681</v>
      </c>
    </row>
    <row r="99" spans="2:13">
      <c r="B99" s="1410" t="s">
        <v>1427</v>
      </c>
      <c r="C99" s="1415">
        <v>2365.800799411516</v>
      </c>
      <c r="D99" s="1416">
        <v>41.156733226960164</v>
      </c>
      <c r="E99" s="1416">
        <v>27822.467984146035</v>
      </c>
      <c r="F99" s="516">
        <f t="shared" si="2"/>
        <v>0.16886558088113193</v>
      </c>
      <c r="G99" s="1416">
        <v>7.4</v>
      </c>
      <c r="H99" s="1416">
        <v>290</v>
      </c>
      <c r="I99" s="1416"/>
      <c r="J99" s="1416">
        <v>30.535867316030789</v>
      </c>
      <c r="K99" s="1392">
        <v>7.0887673785320633</v>
      </c>
      <c r="L99" s="1416"/>
      <c r="M99" s="1416">
        <f t="shared" si="3"/>
        <v>37.62463469456285</v>
      </c>
    </row>
    <row r="100" spans="2:13">
      <c r="B100" s="1406" t="s">
        <v>1430</v>
      </c>
      <c r="C100" s="1415">
        <v>463.91423535572216</v>
      </c>
      <c r="D100" s="1416">
        <v>8.0704996081977942</v>
      </c>
      <c r="E100" s="1416">
        <v>5455.7589818148654</v>
      </c>
      <c r="F100" s="516">
        <f t="shared" si="2"/>
        <v>0.16886558088113199</v>
      </c>
      <c r="G100" s="1416">
        <v>6.29</v>
      </c>
      <c r="H100" s="1416">
        <v>290</v>
      </c>
      <c r="I100" s="1416"/>
      <c r="J100" s="1416">
        <v>5.0763442535564121</v>
      </c>
      <c r="K100" s="1392">
        <v>1.3900494491524016</v>
      </c>
      <c r="L100" s="1416"/>
      <c r="M100" s="1416">
        <f t="shared" si="3"/>
        <v>6.4663937027088139</v>
      </c>
    </row>
    <row r="101" spans="2:13">
      <c r="B101" s="1406" t="s">
        <v>1431</v>
      </c>
      <c r="C101" s="1415">
        <v>1000.5347467212191</v>
      </c>
      <c r="D101" s="1416">
        <v>17.405836393897758</v>
      </c>
      <c r="E101" s="1416">
        <v>11766.56376335709</v>
      </c>
      <c r="F101" s="516">
        <f t="shared" si="2"/>
        <v>0.16886558088113196</v>
      </c>
      <c r="G101" s="1416">
        <v>7.4</v>
      </c>
      <c r="H101" s="1416">
        <v>290</v>
      </c>
      <c r="I101" s="1416"/>
      <c r="J101" s="1416">
        <v>12.880318931484343</v>
      </c>
      <c r="K101" s="1392">
        <v>2.997952353135338</v>
      </c>
      <c r="L101" s="1416"/>
      <c r="M101" s="1416">
        <f t="shared" si="3"/>
        <v>15.878271284619681</v>
      </c>
    </row>
    <row r="102" spans="2:13">
      <c r="B102" s="1406" t="s">
        <v>1432</v>
      </c>
      <c r="C102" s="1415">
        <v>505.28352473530373</v>
      </c>
      <c r="D102" s="1416">
        <v>8.7901818431551408</v>
      </c>
      <c r="E102" s="1416">
        <v>5942.2732012608085</v>
      </c>
      <c r="F102" s="516">
        <f t="shared" si="2"/>
        <v>0.16886558088113199</v>
      </c>
      <c r="G102" s="1416">
        <v>8.51</v>
      </c>
      <c r="H102" s="1416">
        <v>290</v>
      </c>
      <c r="I102" s="1416"/>
      <c r="J102" s="1416">
        <v>7.4804447485250254</v>
      </c>
      <c r="K102" s="1392">
        <v>1.5140063220640929</v>
      </c>
      <c r="L102" s="1416"/>
      <c r="M102" s="1416">
        <f t="shared" si="3"/>
        <v>8.9944510705891183</v>
      </c>
    </row>
    <row r="103" spans="2:13">
      <c r="B103" s="1406" t="s">
        <v>1433</v>
      </c>
      <c r="C103" s="1415">
        <v>396.0682925992711</v>
      </c>
      <c r="D103" s="1416">
        <v>6.8902153817094769</v>
      </c>
      <c r="E103" s="1416">
        <v>4657.8720377132713</v>
      </c>
      <c r="F103" s="516">
        <f t="shared" si="2"/>
        <v>0.16886558088113196</v>
      </c>
      <c r="G103" s="1416">
        <v>7.4</v>
      </c>
      <c r="H103" s="1416">
        <v>290</v>
      </c>
      <c r="I103" s="1416"/>
      <c r="J103" s="1416">
        <v>5.0987593824650137</v>
      </c>
      <c r="K103" s="1392">
        <v>1.1867592541802312</v>
      </c>
      <c r="L103" s="1416"/>
      <c r="M103" s="1416">
        <f t="shared" si="3"/>
        <v>6.2855186366452447</v>
      </c>
    </row>
    <row r="104" spans="2:13">
      <c r="B104" s="1410" t="s">
        <v>1428</v>
      </c>
      <c r="C104" s="1415">
        <v>2295.9068659394279</v>
      </c>
      <c r="D104" s="1416">
        <v>72.445107880560073</v>
      </c>
      <c r="E104" s="1416">
        <v>33227.39625131795</v>
      </c>
      <c r="F104" s="516">
        <f t="shared" si="2"/>
        <v>0.24889068711648374</v>
      </c>
      <c r="G104" s="1416">
        <v>7.9</v>
      </c>
      <c r="H104" s="1416">
        <v>290</v>
      </c>
      <c r="I104" s="1416"/>
      <c r="J104" s="1416">
        <v>57.381751335158427</v>
      </c>
      <c r="K104" s="1392">
        <v>8.4658658877465101</v>
      </c>
      <c r="L104" s="1416"/>
      <c r="M104" s="1416">
        <f t="shared" si="3"/>
        <v>65.847617222904944</v>
      </c>
    </row>
    <row r="105" spans="2:13">
      <c r="B105" s="1406" t="s">
        <v>1430</v>
      </c>
      <c r="C105" s="1415">
        <v>450.208605232183</v>
      </c>
      <c r="D105" s="1416">
        <v>14.205894611259223</v>
      </c>
      <c r="E105" s="1416">
        <v>6515.6213188473412</v>
      </c>
      <c r="F105" s="516">
        <f t="shared" si="2"/>
        <v>0.24889068711648366</v>
      </c>
      <c r="G105" s="1416">
        <v>6.7149999999999999</v>
      </c>
      <c r="H105" s="1416">
        <v>290</v>
      </c>
      <c r="I105" s="1416"/>
      <c r="J105" s="1416">
        <v>9.5392582314605683</v>
      </c>
      <c r="K105" s="1392">
        <v>1.6600872317377475</v>
      </c>
      <c r="L105" s="1416"/>
      <c r="M105" s="1416">
        <f t="shared" si="3"/>
        <v>11.199345463198316</v>
      </c>
    </row>
    <row r="106" spans="2:13">
      <c r="B106" s="1406" t="s">
        <v>1431</v>
      </c>
      <c r="C106" s="1415">
        <v>970.97549175721679</v>
      </c>
      <c r="D106" s="1416">
        <v>30.638187155274288</v>
      </c>
      <c r="E106" s="1416">
        <v>14052.393802888053</v>
      </c>
      <c r="F106" s="516">
        <f t="shared" si="2"/>
        <v>0.24889068711648366</v>
      </c>
      <c r="G106" s="1416">
        <v>7.9</v>
      </c>
      <c r="H106" s="1416">
        <v>290</v>
      </c>
      <c r="I106" s="1416"/>
      <c r="J106" s="1416">
        <v>24.204167852666689</v>
      </c>
      <c r="K106" s="1392">
        <v>3.580349192492978</v>
      </c>
      <c r="L106" s="1416"/>
      <c r="M106" s="1416">
        <f t="shared" si="3"/>
        <v>27.784517045159667</v>
      </c>
    </row>
    <row r="107" spans="2:13">
      <c r="B107" s="1406" t="s">
        <v>1432</v>
      </c>
      <c r="C107" s="1415">
        <v>490.3557028023767</v>
      </c>
      <c r="D107" s="1416">
        <v>15.472697223208375</v>
      </c>
      <c r="E107" s="1416">
        <v>7096.64816235535</v>
      </c>
      <c r="F107" s="516">
        <f t="shared" si="2"/>
        <v>0.24889068711648366</v>
      </c>
      <c r="G107" s="1416">
        <v>9.0849999999999991</v>
      </c>
      <c r="H107" s="1416">
        <v>290</v>
      </c>
      <c r="I107" s="1416"/>
      <c r="J107" s="1416">
        <v>14.056945427284807</v>
      </c>
      <c r="K107" s="1392">
        <v>1.8081245710801097</v>
      </c>
      <c r="L107" s="1416"/>
      <c r="M107" s="1416">
        <f t="shared" si="3"/>
        <v>15.865069998364916</v>
      </c>
    </row>
    <row r="108" spans="2:13">
      <c r="B108" s="1406" t="s">
        <v>1433</v>
      </c>
      <c r="C108" s="1415">
        <v>384.36706614765143</v>
      </c>
      <c r="D108" s="1416">
        <v>12.128328890818175</v>
      </c>
      <c r="E108" s="1416">
        <v>5562.7329672272072</v>
      </c>
      <c r="F108" s="516">
        <f t="shared" si="2"/>
        <v>0.24889068711648368</v>
      </c>
      <c r="G108" s="1416">
        <v>7.9</v>
      </c>
      <c r="H108" s="1416">
        <v>290</v>
      </c>
      <c r="I108" s="1416"/>
      <c r="J108" s="1416">
        <v>9.5813798237463583</v>
      </c>
      <c r="K108" s="1392">
        <v>1.417304892435675</v>
      </c>
      <c r="L108" s="1416"/>
      <c r="M108" s="1416">
        <f t="shared" si="3"/>
        <v>10.998684716182034</v>
      </c>
    </row>
    <row r="109" spans="2:13">
      <c r="B109" s="1402" t="s">
        <v>1014</v>
      </c>
      <c r="C109" s="1415">
        <v>12530.7</v>
      </c>
      <c r="D109" s="1416">
        <v>171.7576</v>
      </c>
      <c r="E109" s="1416">
        <v>202647.12300000002</v>
      </c>
      <c r="F109" s="516">
        <f t="shared" si="2"/>
        <v>9.6754553793839543E-2</v>
      </c>
      <c r="G109" s="1416">
        <v>0</v>
      </c>
      <c r="H109" s="1416">
        <v>0</v>
      </c>
      <c r="I109" s="1416"/>
      <c r="J109" s="1416">
        <v>131.04250173590952</v>
      </c>
      <c r="K109" s="1392">
        <v>0</v>
      </c>
      <c r="L109" s="1416"/>
      <c r="M109" s="1416">
        <f t="shared" si="3"/>
        <v>131.04250173590952</v>
      </c>
    </row>
    <row r="110" spans="2:13">
      <c r="B110" s="1410" t="s">
        <v>1426</v>
      </c>
      <c r="C110" s="1415">
        <v>7868.9923346490568</v>
      </c>
      <c r="D110" s="1416">
        <v>58.155758892479767</v>
      </c>
      <c r="E110" s="1416">
        <v>141597.25876453603</v>
      </c>
      <c r="F110" s="516">
        <f t="shared" si="2"/>
        <v>4.6884984353675434E-2</v>
      </c>
      <c r="G110" s="1416">
        <v>7.3</v>
      </c>
      <c r="H110" s="1416">
        <v>290</v>
      </c>
      <c r="I110" s="1416"/>
      <c r="J110" s="1416">
        <v>42.74767999770782</v>
      </c>
      <c r="K110" s="1392">
        <v>0</v>
      </c>
      <c r="L110" s="1416"/>
      <c r="M110" s="1416">
        <f t="shared" si="3"/>
        <v>42.74767999770782</v>
      </c>
    </row>
    <row r="111" spans="2:13">
      <c r="B111" s="1406" t="s">
        <v>1430</v>
      </c>
      <c r="C111" s="1415">
        <v>1543.0451975740364</v>
      </c>
      <c r="D111" s="1416">
        <v>11.403869854489644</v>
      </c>
      <c r="E111" s="1416">
        <v>27766.067221110054</v>
      </c>
      <c r="F111" s="516">
        <f t="shared" si="2"/>
        <v>4.6884984353675427E-2</v>
      </c>
      <c r="G111" s="1416">
        <v>7.3</v>
      </c>
      <c r="H111" s="1416">
        <v>290</v>
      </c>
      <c r="I111" s="1416"/>
      <c r="J111" s="1416">
        <v>8.3248249937774403</v>
      </c>
      <c r="K111" s="1392">
        <v>0</v>
      </c>
      <c r="L111" s="1416"/>
      <c r="M111" s="1416">
        <f t="shared" si="3"/>
        <v>8.3248249937774403</v>
      </c>
    </row>
    <row r="112" spans="2:13">
      <c r="B112" s="1406" t="s">
        <v>1431</v>
      </c>
      <c r="C112" s="1415">
        <v>3327.9218835574566</v>
      </c>
      <c r="D112" s="1416">
        <v>24.594994434164231</v>
      </c>
      <c r="E112" s="1416">
        <v>59883.730477069155</v>
      </c>
      <c r="F112" s="516">
        <f t="shared" si="2"/>
        <v>4.6884984353675434E-2</v>
      </c>
      <c r="G112" s="1416">
        <v>7.3</v>
      </c>
      <c r="H112" s="1416">
        <v>290</v>
      </c>
      <c r="I112" s="1416"/>
      <c r="J112" s="1416">
        <v>17.954345936939887</v>
      </c>
      <c r="K112" s="1392">
        <v>0</v>
      </c>
      <c r="L112" s="1416"/>
      <c r="M112" s="1416">
        <f t="shared" si="3"/>
        <v>17.954345936939887</v>
      </c>
    </row>
    <row r="113" spans="2:13">
      <c r="B113" s="1406" t="s">
        <v>1432</v>
      </c>
      <c r="C113" s="1415">
        <v>1680.6453797613033</v>
      </c>
      <c r="D113" s="1416">
        <v>12.420803494596038</v>
      </c>
      <c r="E113" s="1416">
        <v>30242.090550987486</v>
      </c>
      <c r="F113" s="516">
        <f t="shared" si="2"/>
        <v>4.6884984353675427E-2</v>
      </c>
      <c r="G113" s="1416">
        <v>8.3949999999999996</v>
      </c>
      <c r="H113" s="1416">
        <v>290</v>
      </c>
      <c r="I113" s="1416"/>
      <c r="J113" s="1416">
        <v>10.427264533713373</v>
      </c>
      <c r="K113" s="1392">
        <v>0</v>
      </c>
      <c r="L113" s="1416"/>
      <c r="M113" s="1416">
        <f t="shared" si="3"/>
        <v>10.427264533713373</v>
      </c>
    </row>
    <row r="114" spans="2:13">
      <c r="B114" s="1406" t="s">
        <v>1433</v>
      </c>
      <c r="C114" s="1415">
        <v>1317.3798737562608</v>
      </c>
      <c r="D114" s="1416">
        <v>9.7360911092298537</v>
      </c>
      <c r="E114" s="1416">
        <v>23705.370515369341</v>
      </c>
      <c r="F114" s="516">
        <f t="shared" si="2"/>
        <v>4.6884984353675441E-2</v>
      </c>
      <c r="G114" s="1416">
        <v>6.2050000000000001</v>
      </c>
      <c r="H114" s="1416">
        <v>290</v>
      </c>
      <c r="I114" s="1416"/>
      <c r="J114" s="1416">
        <v>6.0412445332771245</v>
      </c>
      <c r="K114" s="1392">
        <v>0</v>
      </c>
      <c r="L114" s="1416"/>
      <c r="M114" s="1416">
        <f t="shared" si="3"/>
        <v>6.0412445332771245</v>
      </c>
    </row>
    <row r="115" spans="2:13">
      <c r="B115" s="1410" t="s">
        <v>1427</v>
      </c>
      <c r="C115" s="1415">
        <v>2365.800799411516</v>
      </c>
      <c r="D115" s="1416">
        <v>41.156733226960164</v>
      </c>
      <c r="E115" s="1416">
        <v>27822.467984146035</v>
      </c>
      <c r="F115" s="516">
        <f t="shared" si="2"/>
        <v>0.16886558088113193</v>
      </c>
      <c r="G115" s="1416">
        <v>7.4</v>
      </c>
      <c r="H115" s="1416">
        <v>290</v>
      </c>
      <c r="I115" s="1416"/>
      <c r="J115" s="1416">
        <v>30.666878865171</v>
      </c>
      <c r="K115" s="1392">
        <v>0</v>
      </c>
      <c r="L115" s="1416"/>
      <c r="M115" s="1416">
        <f t="shared" si="3"/>
        <v>30.666878865171</v>
      </c>
    </row>
    <row r="116" spans="2:13">
      <c r="B116" s="1406" t="s">
        <v>1430</v>
      </c>
      <c r="C116" s="1415">
        <v>463.91423535572216</v>
      </c>
      <c r="D116" s="1416">
        <v>8.0704996081977942</v>
      </c>
      <c r="E116" s="1416">
        <v>5455.7589818148654</v>
      </c>
      <c r="F116" s="516">
        <f t="shared" si="2"/>
        <v>0.16886558088113199</v>
      </c>
      <c r="G116" s="1416">
        <v>7.4</v>
      </c>
      <c r="H116" s="1416">
        <v>290</v>
      </c>
      <c r="I116" s="1416"/>
      <c r="J116" s="1416">
        <v>5.9721697100663684</v>
      </c>
      <c r="K116" s="1392">
        <v>0</v>
      </c>
      <c r="L116" s="1416"/>
      <c r="M116" s="1416">
        <f t="shared" si="3"/>
        <v>5.9721697100663684</v>
      </c>
    </row>
    <row r="117" spans="2:13">
      <c r="B117" s="1406" t="s">
        <v>1431</v>
      </c>
      <c r="C117" s="1415">
        <v>1000.5347467212191</v>
      </c>
      <c r="D117" s="1416">
        <v>17.405836393897758</v>
      </c>
      <c r="E117" s="1416">
        <v>11766.56376335709</v>
      </c>
      <c r="F117" s="516">
        <f t="shared" si="2"/>
        <v>0.16886558088113196</v>
      </c>
      <c r="G117" s="1416">
        <v>7.4</v>
      </c>
      <c r="H117" s="1416">
        <v>290</v>
      </c>
      <c r="I117" s="1416"/>
      <c r="J117" s="1416">
        <v>12.880318931484343</v>
      </c>
      <c r="K117" s="1392">
        <v>0</v>
      </c>
      <c r="L117" s="1416"/>
      <c r="M117" s="1416">
        <f t="shared" si="3"/>
        <v>12.880318931484343</v>
      </c>
    </row>
    <row r="118" spans="2:13">
      <c r="B118" s="1406" t="s">
        <v>1432</v>
      </c>
      <c r="C118" s="1415">
        <v>505.28352473530373</v>
      </c>
      <c r="D118" s="1416">
        <v>8.7901818431551408</v>
      </c>
      <c r="E118" s="1416">
        <v>5942.2732012608085</v>
      </c>
      <c r="F118" s="516">
        <f t="shared" si="2"/>
        <v>0.16886558088113199</v>
      </c>
      <c r="G118" s="1416">
        <v>8.51</v>
      </c>
      <c r="H118" s="1416">
        <v>290</v>
      </c>
      <c r="I118" s="1416"/>
      <c r="J118" s="1416">
        <v>7.4804447485250254</v>
      </c>
      <c r="K118" s="1392">
        <v>0</v>
      </c>
      <c r="L118" s="1416"/>
      <c r="M118" s="1416">
        <f t="shared" si="3"/>
        <v>7.4804447485250254</v>
      </c>
    </row>
    <row r="119" spans="2:13">
      <c r="B119" s="1406" t="s">
        <v>1433</v>
      </c>
      <c r="C119" s="1415">
        <v>396.0682925992711</v>
      </c>
      <c r="D119" s="1416">
        <v>6.8902153817094769</v>
      </c>
      <c r="E119" s="1416">
        <v>4657.8720377132713</v>
      </c>
      <c r="F119" s="516">
        <f t="shared" si="2"/>
        <v>0.16886558088113196</v>
      </c>
      <c r="G119" s="1416">
        <v>6.29</v>
      </c>
      <c r="H119" s="1416">
        <v>290</v>
      </c>
      <c r="I119" s="1416"/>
      <c r="J119" s="1416">
        <v>4.3339454750952608</v>
      </c>
      <c r="K119" s="1392">
        <v>0</v>
      </c>
      <c r="L119" s="1416"/>
      <c r="M119" s="1416">
        <f t="shared" si="3"/>
        <v>4.3339454750952608</v>
      </c>
    </row>
    <row r="120" spans="2:13">
      <c r="B120" s="1410" t="s">
        <v>1428</v>
      </c>
      <c r="C120" s="1415">
        <v>2295.9068659394279</v>
      </c>
      <c r="D120" s="1416">
        <v>72.445107880560073</v>
      </c>
      <c r="E120" s="1416">
        <v>33227.39625131795</v>
      </c>
      <c r="F120" s="516">
        <f t="shared" si="2"/>
        <v>0.24889068711648374</v>
      </c>
      <c r="G120" s="1416">
        <v>7.9</v>
      </c>
      <c r="H120" s="1416">
        <v>290</v>
      </c>
      <c r="I120" s="1416"/>
      <c r="J120" s="1416">
        <v>57.62794287303069</v>
      </c>
      <c r="K120" s="1392">
        <v>0</v>
      </c>
      <c r="L120" s="1416"/>
      <c r="M120" s="1416">
        <f t="shared" si="3"/>
        <v>57.62794287303069</v>
      </c>
    </row>
    <row r="121" spans="2:13">
      <c r="B121" s="1406" t="s">
        <v>1430</v>
      </c>
      <c r="C121" s="1415">
        <v>450.208605232183</v>
      </c>
      <c r="D121" s="1416">
        <v>14.205894611259223</v>
      </c>
      <c r="E121" s="1416">
        <v>6515.6213188473412</v>
      </c>
      <c r="F121" s="516">
        <f t="shared" si="2"/>
        <v>0.24889068711648366</v>
      </c>
      <c r="G121" s="1416">
        <v>7.9</v>
      </c>
      <c r="H121" s="1416">
        <v>290</v>
      </c>
      <c r="I121" s="1416"/>
      <c r="J121" s="1416">
        <v>11.222656742894788</v>
      </c>
      <c r="K121" s="1392">
        <v>0</v>
      </c>
      <c r="L121" s="1416"/>
      <c r="M121" s="1416">
        <f t="shared" si="3"/>
        <v>11.222656742894788</v>
      </c>
    </row>
    <row r="122" spans="2:13">
      <c r="B122" s="1406" t="s">
        <v>1431</v>
      </c>
      <c r="C122" s="1415">
        <v>970.97549175721679</v>
      </c>
      <c r="D122" s="1416">
        <v>30.638187155274288</v>
      </c>
      <c r="E122" s="1416">
        <v>14052.393802888053</v>
      </c>
      <c r="F122" s="516">
        <f t="shared" si="2"/>
        <v>0.24889068711648366</v>
      </c>
      <c r="G122" s="1416">
        <v>7.9</v>
      </c>
      <c r="H122" s="1416">
        <v>290</v>
      </c>
      <c r="I122" s="1416"/>
      <c r="J122" s="1416">
        <v>24.204167852666689</v>
      </c>
      <c r="K122" s="1392">
        <v>0</v>
      </c>
      <c r="L122" s="1416"/>
      <c r="M122" s="1416">
        <f t="shared" si="3"/>
        <v>24.204167852666689</v>
      </c>
    </row>
    <row r="123" spans="2:13">
      <c r="B123" s="1406" t="s">
        <v>1432</v>
      </c>
      <c r="C123" s="1415">
        <v>490.3557028023767</v>
      </c>
      <c r="D123" s="1416">
        <v>15.472697223208375</v>
      </c>
      <c r="E123" s="1416">
        <v>7096.64816235535</v>
      </c>
      <c r="F123" s="516">
        <f t="shared" si="2"/>
        <v>0.24889068711648366</v>
      </c>
      <c r="G123" s="1416">
        <v>9.0849999999999991</v>
      </c>
      <c r="H123" s="1416">
        <v>290</v>
      </c>
      <c r="I123" s="1416"/>
      <c r="J123" s="1416">
        <v>14.056945427284807</v>
      </c>
      <c r="K123" s="1392">
        <v>0</v>
      </c>
      <c r="L123" s="1416"/>
      <c r="M123" s="1416">
        <f t="shared" si="3"/>
        <v>14.056945427284807</v>
      </c>
    </row>
    <row r="124" spans="2:13">
      <c r="B124" s="1406" t="s">
        <v>1433</v>
      </c>
      <c r="C124" s="1415">
        <v>384.36706614765143</v>
      </c>
      <c r="D124" s="1416">
        <v>12.128328890818175</v>
      </c>
      <c r="E124" s="1416">
        <v>5562.7329672272072</v>
      </c>
      <c r="F124" s="516">
        <f t="shared" si="2"/>
        <v>0.24889068711648368</v>
      </c>
      <c r="G124" s="1416">
        <v>6.7149999999999999</v>
      </c>
      <c r="H124" s="1416">
        <v>290</v>
      </c>
      <c r="I124" s="1416"/>
      <c r="J124" s="1416">
        <v>8.144172850184404</v>
      </c>
      <c r="K124" s="1392">
        <v>0</v>
      </c>
      <c r="L124" s="1416"/>
      <c r="M124" s="1416">
        <f t="shared" si="3"/>
        <v>8.144172850184404</v>
      </c>
    </row>
    <row r="125" spans="2:13">
      <c r="B125" s="1402" t="s">
        <v>1425</v>
      </c>
      <c r="C125" s="1415">
        <v>32664.666200000003</v>
      </c>
      <c r="D125" s="1416">
        <v>595.68804</v>
      </c>
      <c r="E125" s="1416">
        <v>370881.31810000003</v>
      </c>
      <c r="F125" s="516">
        <f t="shared" si="2"/>
        <v>0.18334953660266118</v>
      </c>
      <c r="G125" s="1416">
        <v>0</v>
      </c>
      <c r="H125" s="1416">
        <v>0</v>
      </c>
      <c r="I125" s="1416"/>
      <c r="J125" s="1416">
        <v>435.11109819517094</v>
      </c>
      <c r="K125" s="1392">
        <v>91.656038253633767</v>
      </c>
      <c r="L125" s="1416"/>
      <c r="M125" s="1416">
        <f t="shared" si="3"/>
        <v>526.76713644880465</v>
      </c>
    </row>
    <row r="126" spans="2:13">
      <c r="B126" s="1409"/>
      <c r="C126" s="1415">
        <v>0</v>
      </c>
      <c r="D126" s="1416">
        <v>0</v>
      </c>
      <c r="E126" s="1416">
        <v>0</v>
      </c>
      <c r="F126" s="516">
        <f t="shared" si="2"/>
        <v>0</v>
      </c>
      <c r="G126" s="1416">
        <v>0</v>
      </c>
      <c r="H126" s="1416">
        <v>0</v>
      </c>
      <c r="I126" s="1416"/>
      <c r="J126" s="1416">
        <v>0</v>
      </c>
      <c r="K126" s="1392">
        <v>0</v>
      </c>
      <c r="L126" s="1416"/>
      <c r="M126" s="1416">
        <f t="shared" si="3"/>
        <v>0</v>
      </c>
    </row>
    <row r="127" spans="2:13">
      <c r="B127" s="1402" t="s">
        <v>1402</v>
      </c>
      <c r="C127" s="1415">
        <v>0</v>
      </c>
      <c r="D127" s="1416">
        <v>0</v>
      </c>
      <c r="E127" s="1416">
        <v>0</v>
      </c>
      <c r="F127" s="516">
        <f t="shared" si="2"/>
        <v>0</v>
      </c>
      <c r="G127" s="1416">
        <v>0</v>
      </c>
      <c r="H127" s="1416">
        <v>0</v>
      </c>
      <c r="I127" s="1416"/>
      <c r="J127" s="1416">
        <v>0</v>
      </c>
      <c r="K127" s="1392">
        <v>0</v>
      </c>
      <c r="L127" s="1416"/>
      <c r="M127" s="1416">
        <f t="shared" si="3"/>
        <v>0</v>
      </c>
    </row>
    <row r="128" spans="2:13">
      <c r="B128" s="1402" t="s">
        <v>1012</v>
      </c>
      <c r="C128" s="1415">
        <v>2086.4200000000005</v>
      </c>
      <c r="D128" s="1416">
        <v>143.74533333333335</v>
      </c>
      <c r="E128" s="1416">
        <v>35206.910000000003</v>
      </c>
      <c r="F128" s="516">
        <f t="shared" si="2"/>
        <v>0.46608136377469217</v>
      </c>
      <c r="G128" s="1416">
        <v>0</v>
      </c>
      <c r="H128" s="1416">
        <v>0</v>
      </c>
      <c r="I128" s="1416"/>
      <c r="J128" s="1416">
        <v>114.34941266666668</v>
      </c>
      <c r="K128" s="1392">
        <v>13.873406456250002</v>
      </c>
      <c r="L128" s="1416"/>
      <c r="M128" s="1416">
        <f t="shared" si="3"/>
        <v>128.22281912291669</v>
      </c>
    </row>
    <row r="129" spans="2:13">
      <c r="B129" s="1409" t="s">
        <v>1091</v>
      </c>
      <c r="C129" s="1415">
        <v>1755.7100000000003</v>
      </c>
      <c r="D129" s="1416">
        <v>105.80973333333336</v>
      </c>
      <c r="E129" s="1416">
        <v>26131.160000000003</v>
      </c>
      <c r="F129" s="516">
        <f t="shared" si="2"/>
        <v>0.46223499767661935</v>
      </c>
      <c r="G129" s="1416">
        <v>7.9550000000000001</v>
      </c>
      <c r="H129" s="1416">
        <v>346.875</v>
      </c>
      <c r="I129" s="1416"/>
      <c r="J129" s="1416">
        <v>84.171642866666687</v>
      </c>
      <c r="K129" s="1392">
        <v>10.382681925000004</v>
      </c>
      <c r="L129" s="1416"/>
      <c r="M129" s="1416">
        <f t="shared" si="3"/>
        <v>94.554324791666687</v>
      </c>
    </row>
    <row r="130" spans="2:13">
      <c r="B130" s="1409" t="s">
        <v>1092</v>
      </c>
      <c r="C130" s="1415">
        <v>85.910000000000011</v>
      </c>
      <c r="D130" s="1416">
        <v>20.385200000000001</v>
      </c>
      <c r="E130" s="1416">
        <v>1760.5500000000004</v>
      </c>
      <c r="F130" s="516">
        <f t="shared" si="2"/>
        <v>1.3217901369292413</v>
      </c>
      <c r="G130" s="1416">
        <v>7.9550000000000001</v>
      </c>
      <c r="H130" s="1416">
        <v>346.875</v>
      </c>
      <c r="I130" s="1416"/>
      <c r="J130" s="1416">
        <v>16.216426599999998</v>
      </c>
      <c r="K130" s="1392">
        <v>0.69951853125000019</v>
      </c>
      <c r="L130" s="1416"/>
      <c r="M130" s="1416">
        <f t="shared" si="3"/>
        <v>16.915945131249998</v>
      </c>
    </row>
    <row r="131" spans="2:13">
      <c r="B131" s="1409" t="s">
        <v>1093</v>
      </c>
      <c r="C131" s="1415">
        <v>244.79999999999998</v>
      </c>
      <c r="D131" s="1416">
        <v>17.550399999999996</v>
      </c>
      <c r="E131" s="1416">
        <v>7315.2</v>
      </c>
      <c r="F131" s="516">
        <f t="shared" si="2"/>
        <v>0.27387772304717617</v>
      </c>
      <c r="G131" s="1416">
        <v>7.9550000000000001</v>
      </c>
      <c r="H131" s="1416">
        <v>346.875</v>
      </c>
      <c r="I131" s="1416"/>
      <c r="J131" s="1416">
        <v>13.961343199999996</v>
      </c>
      <c r="K131" s="1392">
        <v>2.7912059999999999</v>
      </c>
      <c r="L131" s="1416"/>
      <c r="M131" s="1416">
        <f t="shared" si="3"/>
        <v>16.752549199999997</v>
      </c>
    </row>
    <row r="132" spans="2:13">
      <c r="B132" s="1402" t="s">
        <v>1011</v>
      </c>
      <c r="C132" s="1415">
        <v>1846.0980000000002</v>
      </c>
      <c r="D132" s="1416">
        <v>277.70800000000003</v>
      </c>
      <c r="E132" s="1416">
        <v>83893.3272</v>
      </c>
      <c r="F132" s="516">
        <f t="shared" si="2"/>
        <v>0.37788257471826997</v>
      </c>
      <c r="G132" s="1416">
        <v>0</v>
      </c>
      <c r="H132" s="1416">
        <v>0</v>
      </c>
      <c r="I132" s="1416"/>
      <c r="J132" s="1416">
        <v>238.82888</v>
      </c>
      <c r="K132" s="1392">
        <v>36.914469120000007</v>
      </c>
      <c r="L132" s="1416"/>
      <c r="M132" s="1416">
        <f t="shared" si="3"/>
        <v>275.74334912</v>
      </c>
    </row>
    <row r="133" spans="2:13">
      <c r="B133" s="1409" t="s">
        <v>1094</v>
      </c>
      <c r="C133" s="1415">
        <v>374.54399999999998</v>
      </c>
      <c r="D133" s="1416">
        <v>46.464400000000005</v>
      </c>
      <c r="E133" s="1416">
        <v>9730.8611999999994</v>
      </c>
      <c r="F133" s="516">
        <f t="shared" si="2"/>
        <v>0.54508590166115556</v>
      </c>
      <c r="G133" s="1416">
        <v>8.6</v>
      </c>
      <c r="H133" s="1416">
        <v>375</v>
      </c>
      <c r="I133" s="1416"/>
      <c r="J133" s="1416">
        <v>39.959384</v>
      </c>
      <c r="K133" s="1392">
        <v>4.3359572699999998</v>
      </c>
      <c r="L133" s="1416"/>
      <c r="M133" s="1416">
        <f t="shared" si="3"/>
        <v>44.295341270000002</v>
      </c>
    </row>
    <row r="134" spans="2:13">
      <c r="B134" s="1409" t="s">
        <v>1095</v>
      </c>
      <c r="C134" s="1415">
        <v>1134.1890000000001</v>
      </c>
      <c r="D134" s="1416">
        <v>185.49860000000001</v>
      </c>
      <c r="E134" s="1416">
        <v>61447.554000000004</v>
      </c>
      <c r="F134" s="516">
        <f t="shared" si="2"/>
        <v>0.34461321714134291</v>
      </c>
      <c r="G134" s="1416">
        <v>8.6</v>
      </c>
      <c r="H134" s="1416">
        <v>375</v>
      </c>
      <c r="I134" s="1416"/>
      <c r="J134" s="1416">
        <v>159.528796</v>
      </c>
      <c r="K134" s="1392">
        <v>26.993032650000007</v>
      </c>
      <c r="L134" s="1416"/>
      <c r="M134" s="1416">
        <f t="shared" si="3"/>
        <v>186.52182865</v>
      </c>
    </row>
    <row r="135" spans="2:13">
      <c r="B135" s="1409" t="s">
        <v>1096</v>
      </c>
      <c r="C135" s="1415">
        <v>337.36500000000001</v>
      </c>
      <c r="D135" s="1416">
        <v>45.744999999999997</v>
      </c>
      <c r="E135" s="1416">
        <v>12714.912</v>
      </c>
      <c r="F135" s="516">
        <f t="shared" si="2"/>
        <v>0.4107013846002488</v>
      </c>
      <c r="G135" s="1416">
        <v>8.6</v>
      </c>
      <c r="H135" s="1416">
        <v>375</v>
      </c>
      <c r="I135" s="1416"/>
      <c r="J135" s="1416">
        <v>39.340699999999998</v>
      </c>
      <c r="K135" s="1392">
        <v>5.5854792</v>
      </c>
      <c r="L135" s="1416"/>
      <c r="M135" s="1416">
        <f t="shared" si="3"/>
        <v>44.9261792</v>
      </c>
    </row>
    <row r="136" spans="2:13">
      <c r="B136" s="1402" t="s">
        <v>1425</v>
      </c>
      <c r="C136" s="1415">
        <v>3932.5180000000009</v>
      </c>
      <c r="D136" s="1416">
        <v>421.45333333333338</v>
      </c>
      <c r="E136" s="1416">
        <v>119100.2372</v>
      </c>
      <c r="F136" s="516">
        <f t="shared" si="2"/>
        <v>0.40395478835462062</v>
      </c>
      <c r="G136" s="1416">
        <v>0</v>
      </c>
      <c r="H136" s="1416">
        <v>0</v>
      </c>
      <c r="I136" s="1416"/>
      <c r="J136" s="1416">
        <v>353.17829266666666</v>
      </c>
      <c r="K136" s="1392">
        <v>50.787875576250009</v>
      </c>
      <c r="L136" s="1416"/>
      <c r="M136" s="1416">
        <f t="shared" si="3"/>
        <v>403.96616824291669</v>
      </c>
    </row>
    <row r="137" spans="2:13">
      <c r="B137" s="1409"/>
      <c r="C137" s="1415">
        <v>0</v>
      </c>
      <c r="D137" s="1416">
        <v>0</v>
      </c>
      <c r="E137" s="1416">
        <v>0</v>
      </c>
      <c r="F137" s="516">
        <f t="shared" si="2"/>
        <v>0</v>
      </c>
      <c r="G137" s="1416">
        <v>0</v>
      </c>
      <c r="H137" s="1416">
        <v>0</v>
      </c>
      <c r="I137" s="1416"/>
      <c r="J137" s="1416">
        <v>0</v>
      </c>
      <c r="K137" s="1392">
        <v>0</v>
      </c>
      <c r="L137" s="1416"/>
      <c r="M137" s="1416">
        <f t="shared" si="3"/>
        <v>0</v>
      </c>
    </row>
    <row r="138" spans="2:13">
      <c r="B138" s="1402" t="s">
        <v>1098</v>
      </c>
      <c r="C138" s="1415">
        <v>0</v>
      </c>
      <c r="D138" s="1416">
        <v>0</v>
      </c>
      <c r="E138" s="1416">
        <v>0</v>
      </c>
      <c r="F138" s="516">
        <f t="shared" ref="F138:F201" si="4">IFERROR(D138/(E138*24*365/10^6),0)</f>
        <v>0</v>
      </c>
      <c r="G138" s="1416">
        <v>0</v>
      </c>
      <c r="H138" s="1416">
        <v>0</v>
      </c>
      <c r="I138" s="1416"/>
      <c r="J138" s="1416">
        <v>0</v>
      </c>
      <c r="K138" s="1392">
        <v>0</v>
      </c>
      <c r="L138" s="1416"/>
      <c r="M138" s="1416">
        <f t="shared" ref="M138:M201" si="5">SUM(J138:L138)</f>
        <v>0</v>
      </c>
    </row>
    <row r="139" spans="2:13">
      <c r="B139" s="1402" t="s">
        <v>476</v>
      </c>
      <c r="C139" s="1415">
        <v>9743.44</v>
      </c>
      <c r="D139" s="1416">
        <v>660.70940000000007</v>
      </c>
      <c r="E139" s="1416">
        <v>95901.410801102291</v>
      </c>
      <c r="F139" s="516">
        <f t="shared" si="4"/>
        <v>0.78646859163533345</v>
      </c>
      <c r="G139" s="1416">
        <v>0</v>
      </c>
      <c r="H139" s="1416">
        <v>0</v>
      </c>
      <c r="I139" s="1416"/>
      <c r="J139" s="1416">
        <v>561.60299000000009</v>
      </c>
      <c r="K139" s="1392">
        <v>44.033087446943568</v>
      </c>
      <c r="L139" s="1416"/>
      <c r="M139" s="1416">
        <f t="shared" si="5"/>
        <v>605.63607744694366</v>
      </c>
    </row>
    <row r="140" spans="2:13">
      <c r="B140" s="1409" t="s">
        <v>1099</v>
      </c>
      <c r="C140" s="1415">
        <v>9743.44</v>
      </c>
      <c r="D140" s="1416">
        <v>660.70940000000007</v>
      </c>
      <c r="E140" s="1416">
        <v>95901.410801102291</v>
      </c>
      <c r="F140" s="516">
        <f t="shared" si="4"/>
        <v>0.78646859163533345</v>
      </c>
      <c r="G140" s="1416">
        <v>8.5</v>
      </c>
      <c r="H140" s="1416">
        <v>330</v>
      </c>
      <c r="I140" s="1416"/>
      <c r="J140" s="1416">
        <v>561.60299000000009</v>
      </c>
      <c r="K140" s="1392">
        <v>44.033087446943568</v>
      </c>
      <c r="L140" s="1416"/>
      <c r="M140" s="1416">
        <f t="shared" si="5"/>
        <v>605.63607744694366</v>
      </c>
    </row>
    <row r="141" spans="2:13">
      <c r="B141" s="1402" t="s">
        <v>1404</v>
      </c>
      <c r="C141" s="1415">
        <v>2512</v>
      </c>
      <c r="D141" s="1416">
        <v>322.15088736000001</v>
      </c>
      <c r="E141" s="1416">
        <v>46877</v>
      </c>
      <c r="F141" s="516">
        <f t="shared" si="4"/>
        <v>0.78450445745365094</v>
      </c>
      <c r="G141" s="1416">
        <v>0</v>
      </c>
      <c r="H141" s="1416">
        <v>0</v>
      </c>
      <c r="I141" s="1416"/>
      <c r="J141" s="1416">
        <v>0</v>
      </c>
      <c r="K141" s="1392">
        <v>373.25654155495977</v>
      </c>
      <c r="L141" s="1416"/>
      <c r="M141" s="1416">
        <f t="shared" si="5"/>
        <v>373.25654155495977</v>
      </c>
    </row>
    <row r="142" spans="2:13">
      <c r="B142" s="1409" t="s">
        <v>1405</v>
      </c>
      <c r="C142" s="1415">
        <v>2482.5</v>
      </c>
      <c r="D142" s="1416">
        <v>318.36766635000004</v>
      </c>
      <c r="E142" s="1416">
        <v>44854</v>
      </c>
      <c r="F142" s="516">
        <f t="shared" si="4"/>
        <v>0.81025863707883916</v>
      </c>
      <c r="G142" s="1416">
        <v>0</v>
      </c>
      <c r="H142" s="1416">
        <v>3300</v>
      </c>
      <c r="I142" s="1416"/>
      <c r="J142" s="1416">
        <v>0</v>
      </c>
      <c r="K142" s="1392">
        <v>357.14847184986593</v>
      </c>
      <c r="L142" s="1416"/>
      <c r="M142" s="1416">
        <f t="shared" si="5"/>
        <v>357.14847184986593</v>
      </c>
    </row>
    <row r="143" spans="2:13">
      <c r="B143" s="1409" t="s">
        <v>1101</v>
      </c>
      <c r="C143" s="1415">
        <v>29.5</v>
      </c>
      <c r="D143" s="1416">
        <v>3.7832210099999997</v>
      </c>
      <c r="E143" s="1416">
        <v>2023</v>
      </c>
      <c r="F143" s="516">
        <f t="shared" si="4"/>
        <v>0.21348222665375577</v>
      </c>
      <c r="G143" s="1416">
        <v>0</v>
      </c>
      <c r="H143" s="1416">
        <v>3300</v>
      </c>
      <c r="I143" s="1416"/>
      <c r="J143" s="1416">
        <v>0</v>
      </c>
      <c r="K143" s="1392">
        <v>16.108069705093833</v>
      </c>
      <c r="L143" s="1416"/>
      <c r="M143" s="1416">
        <f t="shared" si="5"/>
        <v>16.108069705093833</v>
      </c>
    </row>
    <row r="144" spans="2:13">
      <c r="B144" s="1402" t="s">
        <v>1425</v>
      </c>
      <c r="C144" s="1415">
        <v>12255.44</v>
      </c>
      <c r="D144" s="1416">
        <v>982.86028736000003</v>
      </c>
      <c r="E144" s="1416">
        <v>142778.41080110229</v>
      </c>
      <c r="F144" s="516">
        <f t="shared" si="4"/>
        <v>0.78582372720857518</v>
      </c>
      <c r="G144" s="1416">
        <v>0</v>
      </c>
      <c r="H144" s="1416">
        <v>0</v>
      </c>
      <c r="I144" s="1416"/>
      <c r="J144" s="1416">
        <v>561.60299000000009</v>
      </c>
      <c r="K144" s="1392">
        <v>417.28962900190334</v>
      </c>
      <c r="L144" s="1416"/>
      <c r="M144" s="1416">
        <f t="shared" si="5"/>
        <v>978.89261900190343</v>
      </c>
    </row>
    <row r="145" spans="2:13">
      <c r="B145" s="1409"/>
      <c r="C145" s="1415">
        <v>0</v>
      </c>
      <c r="D145" s="1416">
        <v>0</v>
      </c>
      <c r="E145" s="1416">
        <v>0</v>
      </c>
      <c r="F145" s="516">
        <f t="shared" si="4"/>
        <v>0</v>
      </c>
      <c r="G145" s="1416">
        <v>0</v>
      </c>
      <c r="H145" s="1416">
        <v>0</v>
      </c>
      <c r="I145" s="1416"/>
      <c r="J145" s="1416">
        <v>0</v>
      </c>
      <c r="K145" s="1392">
        <v>0</v>
      </c>
      <c r="L145" s="1416"/>
      <c r="M145" s="1416">
        <f t="shared" si="5"/>
        <v>0</v>
      </c>
    </row>
    <row r="146" spans="2:13">
      <c r="B146" s="1402" t="s">
        <v>1406</v>
      </c>
      <c r="C146" s="1415">
        <v>0</v>
      </c>
      <c r="D146" s="1416">
        <v>0</v>
      </c>
      <c r="E146" s="1416">
        <v>0</v>
      </c>
      <c r="F146" s="516">
        <f t="shared" si="4"/>
        <v>0</v>
      </c>
      <c r="G146" s="1416">
        <v>0</v>
      </c>
      <c r="H146" s="1416">
        <v>0</v>
      </c>
      <c r="I146" s="1416"/>
      <c r="J146" s="1416">
        <v>0</v>
      </c>
      <c r="K146" s="1392">
        <v>0</v>
      </c>
      <c r="L146" s="1416"/>
      <c r="M146" s="1416">
        <f t="shared" si="5"/>
        <v>0</v>
      </c>
    </row>
    <row r="147" spans="2:13">
      <c r="B147" s="1402" t="s">
        <v>476</v>
      </c>
      <c r="C147" s="1415">
        <v>2166.9449000000004</v>
      </c>
      <c r="D147" s="1416">
        <v>9.1203066666666661</v>
      </c>
      <c r="E147" s="1416">
        <v>4965.3519000000006</v>
      </c>
      <c r="F147" s="516">
        <f t="shared" si="4"/>
        <v>0.20967917662015231</v>
      </c>
      <c r="G147" s="1416">
        <v>0</v>
      </c>
      <c r="H147" s="1416">
        <v>0</v>
      </c>
      <c r="I147" s="1416"/>
      <c r="J147" s="1416">
        <v>7.8139919999999998</v>
      </c>
      <c r="K147" s="1392">
        <v>1.5506418900000003</v>
      </c>
      <c r="L147" s="1416"/>
      <c r="M147" s="1416">
        <f t="shared" si="5"/>
        <v>9.3646338900000003</v>
      </c>
    </row>
    <row r="148" spans="2:13">
      <c r="B148" s="1409" t="s">
        <v>1104</v>
      </c>
      <c r="C148" s="1415">
        <v>1008.0507000000001</v>
      </c>
      <c r="D148" s="1416">
        <v>3.9428399999999999</v>
      </c>
      <c r="E148" s="1416">
        <v>1783.0742000000002</v>
      </c>
      <c r="F148" s="516">
        <f t="shared" si="4"/>
        <v>0.25242689867362716</v>
      </c>
      <c r="G148" s="1416">
        <v>8</v>
      </c>
      <c r="H148" s="1416">
        <v>200</v>
      </c>
      <c r="I148" s="1416"/>
      <c r="J148" s="1416">
        <v>3.1542719999999997</v>
      </c>
      <c r="K148" s="1392">
        <v>0.42170570400000007</v>
      </c>
      <c r="L148" s="1416"/>
      <c r="M148" s="1416">
        <f t="shared" si="5"/>
        <v>3.5759777039999996</v>
      </c>
    </row>
    <row r="149" spans="2:13">
      <c r="B149" s="1409" t="s">
        <v>1105</v>
      </c>
      <c r="C149" s="1415">
        <v>1158.8942000000002</v>
      </c>
      <c r="D149" s="1416">
        <v>5.1774666666666667</v>
      </c>
      <c r="E149" s="1416">
        <v>3182.2777000000001</v>
      </c>
      <c r="F149" s="516">
        <f t="shared" si="4"/>
        <v>0.1857270368360216</v>
      </c>
      <c r="G149" s="1416">
        <v>9</v>
      </c>
      <c r="H149" s="1416">
        <v>300</v>
      </c>
      <c r="I149" s="1416"/>
      <c r="J149" s="1416">
        <v>4.6597200000000001</v>
      </c>
      <c r="K149" s="1392">
        <v>1.1289361860000002</v>
      </c>
      <c r="L149" s="1416"/>
      <c r="M149" s="1416">
        <f t="shared" si="5"/>
        <v>5.7886561860000008</v>
      </c>
    </row>
    <row r="150" spans="2:13">
      <c r="B150" s="1402" t="s">
        <v>1404</v>
      </c>
      <c r="C150" s="1415">
        <v>2.5</v>
      </c>
      <c r="D150" s="1416">
        <v>0.16133333333333333</v>
      </c>
      <c r="E150" s="1416">
        <v>6.5600000000000005</v>
      </c>
      <c r="F150" s="516">
        <f t="shared" si="4"/>
        <v>2.8074767049040354</v>
      </c>
      <c r="G150" s="1416">
        <v>0</v>
      </c>
      <c r="H150" s="1416">
        <v>0</v>
      </c>
      <c r="I150" s="1416"/>
      <c r="J150" s="1416">
        <v>0</v>
      </c>
      <c r="K150" s="1392">
        <v>0.13270031250000003</v>
      </c>
      <c r="L150" s="1416"/>
      <c r="M150" s="1416">
        <f t="shared" si="5"/>
        <v>0.13270031250000003</v>
      </c>
    </row>
    <row r="151" spans="2:13">
      <c r="B151" s="1409" t="s">
        <v>1106</v>
      </c>
      <c r="C151" s="1415">
        <v>0</v>
      </c>
      <c r="D151" s="1416">
        <v>0</v>
      </c>
      <c r="E151" s="1416">
        <v>2.3100000000000005</v>
      </c>
      <c r="F151" s="516">
        <f t="shared" si="4"/>
        <v>0</v>
      </c>
      <c r="G151" s="1416">
        <v>0</v>
      </c>
      <c r="H151" s="1416">
        <v>4750</v>
      </c>
      <c r="I151" s="1416"/>
      <c r="J151" s="1416">
        <v>0</v>
      </c>
      <c r="K151" s="1392">
        <v>0.10012406250000001</v>
      </c>
      <c r="L151" s="1416"/>
      <c r="M151" s="1416">
        <f t="shared" si="5"/>
        <v>0.10012406250000001</v>
      </c>
    </row>
    <row r="152" spans="2:13">
      <c r="B152" s="1409" t="s">
        <v>1107</v>
      </c>
      <c r="C152" s="1415">
        <v>2.5</v>
      </c>
      <c r="D152" s="1416">
        <v>0.16133333333333333</v>
      </c>
      <c r="E152" s="1416">
        <v>4.25</v>
      </c>
      <c r="F152" s="516">
        <f t="shared" si="4"/>
        <v>4.3334228668636401</v>
      </c>
      <c r="G152" s="1416">
        <v>0</v>
      </c>
      <c r="H152" s="1416">
        <v>560</v>
      </c>
      <c r="I152" s="1416"/>
      <c r="J152" s="1416">
        <v>0</v>
      </c>
      <c r="K152" s="1392">
        <v>3.2576250000000001E-2</v>
      </c>
      <c r="L152" s="1416"/>
      <c r="M152" s="1416">
        <f t="shared" si="5"/>
        <v>3.2576250000000001E-2</v>
      </c>
    </row>
    <row r="153" spans="2:13">
      <c r="B153" s="1402" t="s">
        <v>1425</v>
      </c>
      <c r="C153" s="1415">
        <v>2169.4449000000004</v>
      </c>
      <c r="D153" s="1416">
        <v>9.2816399999999994</v>
      </c>
      <c r="E153" s="1416">
        <v>4971.911900000001</v>
      </c>
      <c r="F153" s="516">
        <f t="shared" si="4"/>
        <v>0.21310674173560459</v>
      </c>
      <c r="G153" s="1416">
        <v>0</v>
      </c>
      <c r="H153" s="1416">
        <v>0</v>
      </c>
      <c r="I153" s="1416"/>
      <c r="J153" s="1416">
        <v>7.8139919999999998</v>
      </c>
      <c r="K153" s="1392">
        <v>1.6833422025000004</v>
      </c>
      <c r="L153" s="1416"/>
      <c r="M153" s="1416">
        <f t="shared" si="5"/>
        <v>9.4973342024999994</v>
      </c>
    </row>
    <row r="154" spans="2:13">
      <c r="B154" s="1409"/>
      <c r="C154" s="1415">
        <v>0</v>
      </c>
      <c r="D154" s="1416">
        <v>0</v>
      </c>
      <c r="E154" s="1416">
        <v>0</v>
      </c>
      <c r="F154" s="516">
        <f t="shared" si="4"/>
        <v>0</v>
      </c>
      <c r="G154" s="1416">
        <v>0</v>
      </c>
      <c r="H154" s="1416">
        <v>0</v>
      </c>
      <c r="I154" s="1416"/>
      <c r="J154" s="1416">
        <v>0</v>
      </c>
      <c r="K154" s="1392">
        <v>0</v>
      </c>
      <c r="L154" s="1416"/>
      <c r="M154" s="1416">
        <f t="shared" si="5"/>
        <v>0</v>
      </c>
    </row>
    <row r="155" spans="2:13">
      <c r="B155" s="1402" t="s">
        <v>1109</v>
      </c>
      <c r="C155" s="1415">
        <v>26004.798000000003</v>
      </c>
      <c r="D155" s="1416">
        <v>108.7456</v>
      </c>
      <c r="E155" s="1416">
        <v>90949.6872</v>
      </c>
      <c r="F155" s="516">
        <f t="shared" si="4"/>
        <v>0.13649174242062495</v>
      </c>
      <c r="G155" s="1416">
        <v>7</v>
      </c>
      <c r="H155" s="1416">
        <v>110</v>
      </c>
      <c r="I155" s="1416"/>
      <c r="J155" s="1416">
        <v>0</v>
      </c>
      <c r="K155" s="1392">
        <v>55.719661078846215</v>
      </c>
      <c r="L155" s="1416"/>
      <c r="M155" s="1416">
        <f t="shared" si="5"/>
        <v>55.719661078846215</v>
      </c>
    </row>
    <row r="156" spans="2:13">
      <c r="B156" s="1409"/>
      <c r="C156" s="1415">
        <v>0</v>
      </c>
      <c r="D156" s="1416">
        <v>0</v>
      </c>
      <c r="E156" s="1416">
        <v>0</v>
      </c>
      <c r="F156" s="516">
        <f t="shared" si="4"/>
        <v>0</v>
      </c>
      <c r="G156" s="1416">
        <v>0</v>
      </c>
      <c r="H156" s="1416">
        <v>0</v>
      </c>
      <c r="I156" s="1416"/>
      <c r="J156" s="1416">
        <v>0</v>
      </c>
      <c r="K156" s="1392">
        <v>0</v>
      </c>
      <c r="L156" s="1416"/>
      <c r="M156" s="1416">
        <f t="shared" si="5"/>
        <v>0</v>
      </c>
    </row>
    <row r="157" spans="2:13">
      <c r="B157" s="1402" t="s">
        <v>1407</v>
      </c>
      <c r="C157" s="1415">
        <v>0</v>
      </c>
      <c r="D157" s="1416">
        <v>0</v>
      </c>
      <c r="E157" s="1416">
        <v>0</v>
      </c>
      <c r="F157" s="516">
        <f t="shared" si="4"/>
        <v>0</v>
      </c>
      <c r="G157" s="1416">
        <v>0</v>
      </c>
      <c r="H157" s="1416">
        <v>0</v>
      </c>
      <c r="I157" s="1416"/>
      <c r="J157" s="1416">
        <v>0</v>
      </c>
      <c r="K157" s="1392">
        <v>0</v>
      </c>
      <c r="L157" s="1416"/>
      <c r="M157" s="1416">
        <f t="shared" si="5"/>
        <v>0</v>
      </c>
    </row>
    <row r="158" spans="2:13">
      <c r="B158" s="1402" t="s">
        <v>1146</v>
      </c>
      <c r="C158" s="1415">
        <v>0</v>
      </c>
      <c r="D158" s="1416">
        <v>0</v>
      </c>
      <c r="E158" s="1416">
        <v>0</v>
      </c>
      <c r="F158" s="516">
        <f t="shared" si="4"/>
        <v>0</v>
      </c>
      <c r="G158" s="1416">
        <v>0</v>
      </c>
      <c r="H158" s="1416">
        <v>0</v>
      </c>
      <c r="I158" s="1416"/>
      <c r="J158" s="1416">
        <v>0</v>
      </c>
      <c r="K158" s="1392">
        <v>0</v>
      </c>
      <c r="L158" s="1416"/>
      <c r="M158" s="1416">
        <f t="shared" si="5"/>
        <v>0</v>
      </c>
    </row>
    <row r="159" spans="2:13">
      <c r="B159" s="1409" t="s">
        <v>1408</v>
      </c>
      <c r="C159" s="1415">
        <v>0</v>
      </c>
      <c r="D159" s="1416">
        <v>0</v>
      </c>
      <c r="E159" s="1416">
        <v>0</v>
      </c>
      <c r="F159" s="516">
        <f t="shared" si="4"/>
        <v>0</v>
      </c>
      <c r="G159" s="1416">
        <v>6.2</v>
      </c>
      <c r="H159" s="1416">
        <v>0</v>
      </c>
      <c r="I159" s="1416"/>
      <c r="J159" s="1416">
        <v>0</v>
      </c>
      <c r="K159" s="1392">
        <v>0</v>
      </c>
      <c r="L159" s="1416"/>
      <c r="M159" s="1416">
        <f t="shared" si="5"/>
        <v>0</v>
      </c>
    </row>
    <row r="160" spans="2:13">
      <c r="B160" s="1409" t="s">
        <v>1409</v>
      </c>
      <c r="C160" s="1415">
        <v>0</v>
      </c>
      <c r="D160" s="1416">
        <v>0</v>
      </c>
      <c r="E160" s="1416">
        <v>0</v>
      </c>
      <c r="F160" s="516">
        <f t="shared" si="4"/>
        <v>0</v>
      </c>
      <c r="G160" s="1416">
        <v>5.9</v>
      </c>
      <c r="H160" s="1416">
        <v>0</v>
      </c>
      <c r="I160" s="1416"/>
      <c r="J160" s="1416">
        <v>0</v>
      </c>
      <c r="K160" s="1392">
        <v>0</v>
      </c>
      <c r="L160" s="1416"/>
      <c r="M160" s="1416">
        <f t="shared" si="5"/>
        <v>0</v>
      </c>
    </row>
    <row r="161" spans="2:13">
      <c r="B161" s="1402" t="s">
        <v>1461</v>
      </c>
      <c r="C161" s="1415">
        <v>6.6000000000000005</v>
      </c>
      <c r="D161" s="1416">
        <v>2.8934400000000002E-2</v>
      </c>
      <c r="E161" s="1416">
        <v>26.400000000000002</v>
      </c>
      <c r="F161" s="516">
        <f t="shared" si="4"/>
        <v>0.12511415525114156</v>
      </c>
      <c r="G161" s="1416">
        <v>7.7</v>
      </c>
      <c r="H161" s="1416">
        <v>0</v>
      </c>
      <c r="I161" s="1416"/>
      <c r="J161" s="1416">
        <v>2.2279488000000004E-2</v>
      </c>
      <c r="K161" s="1392">
        <v>0</v>
      </c>
      <c r="L161" s="1416"/>
      <c r="M161" s="1416">
        <f t="shared" si="5"/>
        <v>2.2279488000000004E-2</v>
      </c>
    </row>
    <row r="162" spans="2:13">
      <c r="B162" s="1402" t="s">
        <v>469</v>
      </c>
      <c r="C162" s="1415">
        <v>6.6000000000000005</v>
      </c>
      <c r="D162" s="1416">
        <v>2.8934400000000002E-2</v>
      </c>
      <c r="E162" s="1416">
        <v>26.400000000000002</v>
      </c>
      <c r="F162" s="516">
        <f t="shared" si="4"/>
        <v>0.12511415525114156</v>
      </c>
      <c r="G162" s="1416">
        <v>7.7</v>
      </c>
      <c r="H162" s="1416">
        <v>0</v>
      </c>
      <c r="I162" s="1416"/>
      <c r="J162" s="1416">
        <v>2.2279488000000004E-2</v>
      </c>
      <c r="K162" s="1392">
        <v>0</v>
      </c>
      <c r="L162" s="1416"/>
      <c r="M162" s="1416">
        <f t="shared" si="5"/>
        <v>2.2279488000000004E-2</v>
      </c>
    </row>
    <row r="163" spans="2:13">
      <c r="B163" s="1411" t="s">
        <v>1013</v>
      </c>
      <c r="C163" s="1415">
        <v>6.6000000000000005</v>
      </c>
      <c r="D163" s="1416">
        <v>0</v>
      </c>
      <c r="E163" s="1416">
        <v>26.400000000000002</v>
      </c>
      <c r="F163" s="516">
        <f t="shared" si="4"/>
        <v>0</v>
      </c>
      <c r="G163" s="1416">
        <v>0</v>
      </c>
      <c r="H163" s="1416">
        <v>0</v>
      </c>
      <c r="I163" s="1416"/>
      <c r="J163" s="1416">
        <v>0</v>
      </c>
      <c r="K163" s="1392">
        <v>0</v>
      </c>
      <c r="L163" s="1416"/>
      <c r="M163" s="1416">
        <f t="shared" si="5"/>
        <v>0</v>
      </c>
    </row>
    <row r="164" spans="2:13">
      <c r="B164" s="1412" t="s">
        <v>1430</v>
      </c>
      <c r="C164" s="1415">
        <v>0</v>
      </c>
      <c r="D164" s="1416">
        <v>0</v>
      </c>
      <c r="E164" s="1416">
        <v>0</v>
      </c>
      <c r="F164" s="516">
        <f t="shared" si="4"/>
        <v>0</v>
      </c>
      <c r="G164" s="1416">
        <v>7.7</v>
      </c>
      <c r="H164" s="1416">
        <v>0</v>
      </c>
      <c r="I164" s="1416"/>
      <c r="J164" s="1416">
        <v>0</v>
      </c>
      <c r="K164" s="1392">
        <v>0</v>
      </c>
      <c r="L164" s="1416"/>
      <c r="M164" s="1416">
        <f t="shared" si="5"/>
        <v>0</v>
      </c>
    </row>
    <row r="165" spans="2:13">
      <c r="B165" s="1412" t="s">
        <v>1431</v>
      </c>
      <c r="C165" s="1415">
        <v>0</v>
      </c>
      <c r="D165" s="1416">
        <v>0</v>
      </c>
      <c r="E165" s="1416">
        <v>0</v>
      </c>
      <c r="F165" s="516">
        <f t="shared" si="4"/>
        <v>0</v>
      </c>
      <c r="G165" s="1416">
        <v>7.7</v>
      </c>
      <c r="H165" s="1416">
        <v>0</v>
      </c>
      <c r="I165" s="1416"/>
      <c r="J165" s="1416">
        <v>0</v>
      </c>
      <c r="K165" s="1392">
        <v>0</v>
      </c>
      <c r="L165" s="1416"/>
      <c r="M165" s="1416">
        <f t="shared" si="5"/>
        <v>0</v>
      </c>
    </row>
    <row r="166" spans="2:13">
      <c r="B166" s="1412" t="s">
        <v>1432</v>
      </c>
      <c r="C166" s="1415">
        <v>0</v>
      </c>
      <c r="D166" s="1416">
        <v>0</v>
      </c>
      <c r="E166" s="1416">
        <v>0</v>
      </c>
      <c r="F166" s="516">
        <f t="shared" si="4"/>
        <v>0</v>
      </c>
      <c r="G166" s="1416">
        <v>7.7</v>
      </c>
      <c r="H166" s="1416">
        <v>0</v>
      </c>
      <c r="I166" s="1416"/>
      <c r="J166" s="1416">
        <v>0</v>
      </c>
      <c r="K166" s="1392">
        <v>0</v>
      </c>
      <c r="L166" s="1416"/>
      <c r="M166" s="1416">
        <f t="shared" si="5"/>
        <v>0</v>
      </c>
    </row>
    <row r="167" spans="2:13">
      <c r="B167" s="1412" t="s">
        <v>1433</v>
      </c>
      <c r="C167" s="1415">
        <v>0</v>
      </c>
      <c r="D167" s="1416">
        <v>0</v>
      </c>
      <c r="E167" s="1416">
        <v>0</v>
      </c>
      <c r="F167" s="516">
        <f t="shared" si="4"/>
        <v>0</v>
      </c>
      <c r="G167" s="1416">
        <v>7.7</v>
      </c>
      <c r="H167" s="1416">
        <v>0</v>
      </c>
      <c r="I167" s="1416"/>
      <c r="J167" s="1416">
        <v>0</v>
      </c>
      <c r="K167" s="1392">
        <v>0</v>
      </c>
      <c r="L167" s="1416"/>
      <c r="M167" s="1416">
        <f t="shared" si="5"/>
        <v>0</v>
      </c>
    </row>
    <row r="168" spans="2:13">
      <c r="B168" s="1411" t="s">
        <v>1014</v>
      </c>
      <c r="C168" s="1415">
        <v>6.6000000000000005</v>
      </c>
      <c r="D168" s="1416">
        <v>0</v>
      </c>
      <c r="E168" s="1416">
        <v>26.400000000000002</v>
      </c>
      <c r="F168" s="516">
        <f t="shared" si="4"/>
        <v>0</v>
      </c>
      <c r="G168" s="1416">
        <v>0</v>
      </c>
      <c r="H168" s="1416">
        <v>0</v>
      </c>
      <c r="I168" s="1416"/>
      <c r="J168" s="1416">
        <v>0</v>
      </c>
      <c r="K168" s="1392">
        <v>0</v>
      </c>
      <c r="L168" s="1416"/>
      <c r="M168" s="1416">
        <f t="shared" si="5"/>
        <v>0</v>
      </c>
    </row>
    <row r="169" spans="2:13">
      <c r="B169" s="1412" t="s">
        <v>1430</v>
      </c>
      <c r="C169" s="1415">
        <v>0</v>
      </c>
      <c r="D169" s="1416">
        <v>0</v>
      </c>
      <c r="E169" s="1416">
        <v>0</v>
      </c>
      <c r="F169" s="516">
        <f t="shared" si="4"/>
        <v>0</v>
      </c>
      <c r="G169" s="1416">
        <v>7.7</v>
      </c>
      <c r="H169" s="1416">
        <v>0</v>
      </c>
      <c r="I169" s="1416"/>
      <c r="J169" s="1416">
        <v>0</v>
      </c>
      <c r="K169" s="1392">
        <v>0</v>
      </c>
      <c r="L169" s="1416"/>
      <c r="M169" s="1416">
        <f t="shared" si="5"/>
        <v>0</v>
      </c>
    </row>
    <row r="170" spans="2:13">
      <c r="B170" s="1412" t="s">
        <v>1431</v>
      </c>
      <c r="C170" s="1415">
        <v>0</v>
      </c>
      <c r="D170" s="1416">
        <v>0</v>
      </c>
      <c r="E170" s="1416">
        <v>0</v>
      </c>
      <c r="F170" s="516">
        <f t="shared" si="4"/>
        <v>0</v>
      </c>
      <c r="G170" s="1416">
        <v>7.7</v>
      </c>
      <c r="H170" s="1416">
        <v>0</v>
      </c>
      <c r="I170" s="1416"/>
      <c r="J170" s="1416">
        <v>0</v>
      </c>
      <c r="K170" s="1392">
        <v>0</v>
      </c>
      <c r="L170" s="1416"/>
      <c r="M170" s="1416">
        <f t="shared" si="5"/>
        <v>0</v>
      </c>
    </row>
    <row r="171" spans="2:13">
      <c r="B171" s="1412" t="s">
        <v>1432</v>
      </c>
      <c r="C171" s="1415">
        <v>0</v>
      </c>
      <c r="D171" s="1416">
        <v>0</v>
      </c>
      <c r="E171" s="1416">
        <v>0</v>
      </c>
      <c r="F171" s="516">
        <f t="shared" si="4"/>
        <v>0</v>
      </c>
      <c r="G171" s="1416">
        <v>7.7</v>
      </c>
      <c r="H171" s="1416">
        <v>0</v>
      </c>
      <c r="I171" s="1416"/>
      <c r="J171" s="1416">
        <v>0</v>
      </c>
      <c r="K171" s="1392">
        <v>0</v>
      </c>
      <c r="L171" s="1416"/>
      <c r="M171" s="1416">
        <f t="shared" si="5"/>
        <v>0</v>
      </c>
    </row>
    <row r="172" spans="2:13">
      <c r="B172" s="1412" t="s">
        <v>1433</v>
      </c>
      <c r="C172" s="1415">
        <v>0</v>
      </c>
      <c r="D172" s="1416">
        <v>0</v>
      </c>
      <c r="E172" s="1416">
        <v>0</v>
      </c>
      <c r="F172" s="516">
        <f t="shared" si="4"/>
        <v>0</v>
      </c>
      <c r="G172" s="1416">
        <v>7.7</v>
      </c>
      <c r="H172" s="1416">
        <v>0</v>
      </c>
      <c r="I172" s="1416"/>
      <c r="J172" s="1416">
        <v>0</v>
      </c>
      <c r="K172" s="1392">
        <v>0</v>
      </c>
      <c r="L172" s="1416"/>
      <c r="M172" s="1416">
        <f t="shared" si="5"/>
        <v>0</v>
      </c>
    </row>
    <row r="173" spans="2:13">
      <c r="B173" s="1402" t="s">
        <v>470</v>
      </c>
      <c r="C173" s="1415">
        <v>0</v>
      </c>
      <c r="D173" s="1416">
        <v>0</v>
      </c>
      <c r="E173" s="1416">
        <v>0</v>
      </c>
      <c r="F173" s="516">
        <f t="shared" si="4"/>
        <v>0</v>
      </c>
      <c r="G173" s="1416">
        <v>7.3</v>
      </c>
      <c r="H173" s="1416">
        <v>0</v>
      </c>
      <c r="I173" s="1416"/>
      <c r="J173" s="1416">
        <v>0</v>
      </c>
      <c r="K173" s="1392">
        <v>0</v>
      </c>
      <c r="L173" s="1416"/>
      <c r="M173" s="1416">
        <f t="shared" si="5"/>
        <v>0</v>
      </c>
    </row>
    <row r="174" spans="2:13">
      <c r="B174" s="1411" t="s">
        <v>1013</v>
      </c>
      <c r="C174" s="1415">
        <v>0</v>
      </c>
      <c r="D174" s="1416">
        <v>0</v>
      </c>
      <c r="E174" s="1416">
        <v>0</v>
      </c>
      <c r="F174" s="516">
        <f t="shared" si="4"/>
        <v>0</v>
      </c>
      <c r="G174" s="1416">
        <v>0</v>
      </c>
      <c r="H174" s="1416">
        <v>0</v>
      </c>
      <c r="I174" s="1416"/>
      <c r="J174" s="1416">
        <v>0</v>
      </c>
      <c r="K174" s="1392">
        <v>0</v>
      </c>
      <c r="L174" s="1416"/>
      <c r="M174" s="1416">
        <f t="shared" si="5"/>
        <v>0</v>
      </c>
    </row>
    <row r="175" spans="2:13">
      <c r="B175" s="1412" t="s">
        <v>1430</v>
      </c>
      <c r="C175" s="1415">
        <v>0</v>
      </c>
      <c r="D175" s="1416">
        <v>0</v>
      </c>
      <c r="E175" s="1416">
        <v>0</v>
      </c>
      <c r="F175" s="516">
        <f t="shared" si="4"/>
        <v>0</v>
      </c>
      <c r="G175" s="1416">
        <v>7.3</v>
      </c>
      <c r="H175" s="1416">
        <v>0</v>
      </c>
      <c r="I175" s="1416"/>
      <c r="J175" s="1416">
        <v>0</v>
      </c>
      <c r="K175" s="1392">
        <v>0</v>
      </c>
      <c r="L175" s="1416"/>
      <c r="M175" s="1416">
        <f t="shared" si="5"/>
        <v>0</v>
      </c>
    </row>
    <row r="176" spans="2:13">
      <c r="B176" s="1412" t="s">
        <v>1431</v>
      </c>
      <c r="C176" s="1415">
        <v>0</v>
      </c>
      <c r="D176" s="1416">
        <v>0</v>
      </c>
      <c r="E176" s="1416">
        <v>0</v>
      </c>
      <c r="F176" s="516">
        <f t="shared" si="4"/>
        <v>0</v>
      </c>
      <c r="G176" s="1416">
        <v>7.3</v>
      </c>
      <c r="H176" s="1416">
        <v>0</v>
      </c>
      <c r="I176" s="1416"/>
      <c r="J176" s="1416">
        <v>0</v>
      </c>
      <c r="K176" s="1392">
        <v>0</v>
      </c>
      <c r="L176" s="1416"/>
      <c r="M176" s="1416">
        <f t="shared" si="5"/>
        <v>0</v>
      </c>
    </row>
    <row r="177" spans="2:13">
      <c r="B177" s="1412" t="s">
        <v>1432</v>
      </c>
      <c r="C177" s="1415">
        <v>0</v>
      </c>
      <c r="D177" s="1416">
        <v>0</v>
      </c>
      <c r="E177" s="1416">
        <v>0</v>
      </c>
      <c r="F177" s="516">
        <f t="shared" si="4"/>
        <v>0</v>
      </c>
      <c r="G177" s="1416">
        <v>7.3</v>
      </c>
      <c r="H177" s="1416">
        <v>0</v>
      </c>
      <c r="I177" s="1416"/>
      <c r="J177" s="1416">
        <v>0</v>
      </c>
      <c r="K177" s="1392">
        <v>0</v>
      </c>
      <c r="L177" s="1416"/>
      <c r="M177" s="1416">
        <f t="shared" si="5"/>
        <v>0</v>
      </c>
    </row>
    <row r="178" spans="2:13">
      <c r="B178" s="1412" t="s">
        <v>1433</v>
      </c>
      <c r="C178" s="1415">
        <v>0</v>
      </c>
      <c r="D178" s="1416">
        <v>0</v>
      </c>
      <c r="E178" s="1416">
        <v>0</v>
      </c>
      <c r="F178" s="516">
        <f t="shared" si="4"/>
        <v>0</v>
      </c>
      <c r="G178" s="1416">
        <v>7.3</v>
      </c>
      <c r="H178" s="1416">
        <v>0</v>
      </c>
      <c r="I178" s="1416"/>
      <c r="J178" s="1416">
        <v>0</v>
      </c>
      <c r="K178" s="1392">
        <v>0</v>
      </c>
      <c r="L178" s="1416"/>
      <c r="M178" s="1416">
        <f t="shared" si="5"/>
        <v>0</v>
      </c>
    </row>
    <row r="179" spans="2:13">
      <c r="B179" s="1411" t="s">
        <v>1014</v>
      </c>
      <c r="C179" s="1415">
        <v>0</v>
      </c>
      <c r="D179" s="1416">
        <v>0</v>
      </c>
      <c r="E179" s="1416">
        <v>0</v>
      </c>
      <c r="F179" s="516">
        <f t="shared" si="4"/>
        <v>0</v>
      </c>
      <c r="G179" s="1416">
        <v>0</v>
      </c>
      <c r="H179" s="1416">
        <v>0</v>
      </c>
      <c r="I179" s="1416"/>
      <c r="J179" s="1416">
        <v>0</v>
      </c>
      <c r="K179" s="1392">
        <v>0</v>
      </c>
      <c r="L179" s="1416"/>
      <c r="M179" s="1416">
        <f t="shared" si="5"/>
        <v>0</v>
      </c>
    </row>
    <row r="180" spans="2:13">
      <c r="B180" s="1412" t="s">
        <v>1430</v>
      </c>
      <c r="C180" s="1415">
        <v>0</v>
      </c>
      <c r="D180" s="1416">
        <v>0</v>
      </c>
      <c r="E180" s="1416">
        <v>0</v>
      </c>
      <c r="F180" s="516">
        <f t="shared" si="4"/>
        <v>0</v>
      </c>
      <c r="G180" s="1416">
        <v>7.3</v>
      </c>
      <c r="H180" s="1416">
        <v>0</v>
      </c>
      <c r="I180" s="1416"/>
      <c r="J180" s="1416">
        <v>0</v>
      </c>
      <c r="K180" s="1392">
        <v>0</v>
      </c>
      <c r="L180" s="1416"/>
      <c r="M180" s="1416">
        <f t="shared" si="5"/>
        <v>0</v>
      </c>
    </row>
    <row r="181" spans="2:13">
      <c r="B181" s="1412" t="s">
        <v>1431</v>
      </c>
      <c r="C181" s="1415">
        <v>0</v>
      </c>
      <c r="D181" s="1416">
        <v>0</v>
      </c>
      <c r="E181" s="1416">
        <v>0</v>
      </c>
      <c r="F181" s="516">
        <f t="shared" si="4"/>
        <v>0</v>
      </c>
      <c r="G181" s="1416">
        <v>7.3</v>
      </c>
      <c r="H181" s="1416">
        <v>0</v>
      </c>
      <c r="I181" s="1416"/>
      <c r="J181" s="1416">
        <v>0</v>
      </c>
      <c r="K181" s="1392">
        <v>0</v>
      </c>
      <c r="L181" s="1416"/>
      <c r="M181" s="1416">
        <f t="shared" si="5"/>
        <v>0</v>
      </c>
    </row>
    <row r="182" spans="2:13">
      <c r="B182" s="1412" t="s">
        <v>1432</v>
      </c>
      <c r="C182" s="1415">
        <v>0</v>
      </c>
      <c r="D182" s="1416">
        <v>0</v>
      </c>
      <c r="E182" s="1416">
        <v>0</v>
      </c>
      <c r="F182" s="516">
        <f t="shared" si="4"/>
        <v>0</v>
      </c>
      <c r="G182" s="1416">
        <v>7.3</v>
      </c>
      <c r="H182" s="1416">
        <v>0</v>
      </c>
      <c r="I182" s="1416"/>
      <c r="J182" s="1416">
        <v>0</v>
      </c>
      <c r="K182" s="1392">
        <v>0</v>
      </c>
      <c r="L182" s="1416"/>
      <c r="M182" s="1416">
        <f t="shared" si="5"/>
        <v>0</v>
      </c>
    </row>
    <row r="183" spans="2:13">
      <c r="B183" s="1412" t="s">
        <v>1433</v>
      </c>
      <c r="C183" s="1415">
        <v>0</v>
      </c>
      <c r="D183" s="1416">
        <v>0</v>
      </c>
      <c r="E183" s="1416">
        <v>0</v>
      </c>
      <c r="F183" s="516">
        <f t="shared" si="4"/>
        <v>0</v>
      </c>
      <c r="G183" s="1416">
        <v>7.3</v>
      </c>
      <c r="H183" s="1416">
        <v>0</v>
      </c>
      <c r="I183" s="1416"/>
      <c r="J183" s="1416">
        <v>0</v>
      </c>
      <c r="K183" s="1392">
        <v>0</v>
      </c>
      <c r="L183" s="1416"/>
      <c r="M183" s="1416">
        <f t="shared" si="5"/>
        <v>0</v>
      </c>
    </row>
    <row r="184" spans="2:13">
      <c r="B184" s="1402" t="s">
        <v>1425</v>
      </c>
      <c r="C184" s="1415">
        <v>6.6000000000000005</v>
      </c>
      <c r="D184" s="1416">
        <v>2.8934400000000002E-2</v>
      </c>
      <c r="E184" s="1416">
        <v>26.400000000000002</v>
      </c>
      <c r="F184" s="516">
        <f t="shared" si="4"/>
        <v>0.12511415525114156</v>
      </c>
      <c r="G184" s="1416">
        <v>0</v>
      </c>
      <c r="H184" s="1416">
        <v>0</v>
      </c>
      <c r="I184" s="1416"/>
      <c r="J184" s="1416">
        <v>2.2279488000000004E-2</v>
      </c>
      <c r="K184" s="1392">
        <v>0</v>
      </c>
      <c r="L184" s="1416"/>
      <c r="M184" s="1416">
        <f t="shared" si="5"/>
        <v>2.2279488000000004E-2</v>
      </c>
    </row>
    <row r="185" spans="2:13">
      <c r="B185" s="1409"/>
      <c r="C185" s="1415">
        <v>0</v>
      </c>
      <c r="D185" s="1416">
        <v>0</v>
      </c>
      <c r="E185" s="1416">
        <v>0</v>
      </c>
      <c r="F185" s="516">
        <f t="shared" si="4"/>
        <v>0</v>
      </c>
      <c r="G185" s="1416">
        <v>0</v>
      </c>
      <c r="H185" s="1416">
        <v>0</v>
      </c>
      <c r="I185" s="1416"/>
      <c r="J185" s="1416">
        <v>0</v>
      </c>
      <c r="K185" s="1392">
        <v>0</v>
      </c>
      <c r="L185" s="1416"/>
      <c r="M185" s="1416">
        <f t="shared" si="5"/>
        <v>0</v>
      </c>
    </row>
    <row r="186" spans="2:13">
      <c r="B186" s="1402" t="s">
        <v>1119</v>
      </c>
      <c r="C186" s="1415">
        <v>0</v>
      </c>
      <c r="D186" s="1416">
        <v>0</v>
      </c>
      <c r="E186" s="1416">
        <v>0</v>
      </c>
      <c r="F186" s="516">
        <f t="shared" si="4"/>
        <v>0</v>
      </c>
      <c r="G186" s="1416">
        <v>0</v>
      </c>
      <c r="H186" s="1416">
        <v>0</v>
      </c>
      <c r="I186" s="1416"/>
      <c r="J186" s="1416">
        <v>0</v>
      </c>
      <c r="K186" s="1392">
        <v>0</v>
      </c>
      <c r="L186" s="1416"/>
      <c r="M186" s="1416">
        <f t="shared" si="5"/>
        <v>0</v>
      </c>
    </row>
    <row r="187" spans="2:13">
      <c r="B187" s="1402" t="s">
        <v>475</v>
      </c>
      <c r="C187" s="1415">
        <v>84</v>
      </c>
      <c r="D187" s="1416">
        <v>0</v>
      </c>
      <c r="E187" s="1416">
        <v>13332.966059082339</v>
      </c>
      <c r="F187" s="516">
        <f t="shared" si="4"/>
        <v>0</v>
      </c>
      <c r="G187" s="1416">
        <v>0</v>
      </c>
      <c r="H187" s="1416">
        <v>0</v>
      </c>
      <c r="I187" s="1416"/>
      <c r="J187" s="1416">
        <v>0</v>
      </c>
      <c r="K187" s="1392">
        <v>0</v>
      </c>
      <c r="L187" s="1416"/>
      <c r="M187" s="1416">
        <f t="shared" si="5"/>
        <v>0</v>
      </c>
    </row>
    <row r="188" spans="2:13">
      <c r="B188" s="1409" t="s">
        <v>1411</v>
      </c>
      <c r="C188" s="1415">
        <v>81</v>
      </c>
      <c r="D188" s="1416">
        <v>0</v>
      </c>
      <c r="E188" s="1416">
        <v>11095.966059082339</v>
      </c>
      <c r="F188" s="516">
        <f t="shared" si="4"/>
        <v>0</v>
      </c>
      <c r="G188" s="1416">
        <v>0</v>
      </c>
      <c r="H188" s="1416">
        <v>0</v>
      </c>
      <c r="I188" s="1416"/>
      <c r="J188" s="1416">
        <v>0</v>
      </c>
      <c r="K188" s="1392">
        <v>0</v>
      </c>
      <c r="L188" s="1416"/>
      <c r="M188" s="1416">
        <f t="shared" si="5"/>
        <v>0</v>
      </c>
    </row>
    <row r="189" spans="2:13">
      <c r="B189" s="1409" t="s">
        <v>1462</v>
      </c>
      <c r="C189" s="1415">
        <v>3</v>
      </c>
      <c r="D189" s="1416">
        <v>0</v>
      </c>
      <c r="E189" s="1416">
        <v>2237</v>
      </c>
      <c r="F189" s="516">
        <f t="shared" si="4"/>
        <v>0</v>
      </c>
      <c r="G189" s="1416">
        <v>0</v>
      </c>
      <c r="H189" s="1416">
        <v>0</v>
      </c>
      <c r="I189" s="1416"/>
      <c r="J189" s="1416">
        <v>0</v>
      </c>
      <c r="K189" s="1392">
        <v>0</v>
      </c>
      <c r="L189" s="1416"/>
      <c r="M189" s="1416">
        <f t="shared" si="5"/>
        <v>0</v>
      </c>
    </row>
    <row r="190" spans="2:13">
      <c r="B190" s="1402" t="s">
        <v>1403</v>
      </c>
      <c r="C190" s="1415">
        <v>867.5100000000001</v>
      </c>
      <c r="D190" s="1416">
        <v>0</v>
      </c>
      <c r="E190" s="1416">
        <v>252153.027</v>
      </c>
      <c r="F190" s="516">
        <f t="shared" si="4"/>
        <v>0</v>
      </c>
      <c r="G190" s="1416">
        <v>0</v>
      </c>
      <c r="H190" s="1416">
        <v>0</v>
      </c>
      <c r="I190" s="1416"/>
      <c r="J190" s="1416">
        <v>0</v>
      </c>
      <c r="K190" s="1392">
        <v>0</v>
      </c>
      <c r="L190" s="1416"/>
      <c r="M190" s="1416">
        <f t="shared" si="5"/>
        <v>0</v>
      </c>
    </row>
    <row r="191" spans="2:13">
      <c r="B191" s="1409" t="s">
        <v>1413</v>
      </c>
      <c r="C191" s="1415">
        <v>826.81200000000013</v>
      </c>
      <c r="D191" s="1416">
        <v>0</v>
      </c>
      <c r="E191" s="1416">
        <v>208227.033</v>
      </c>
      <c r="F191" s="516">
        <f t="shared" si="4"/>
        <v>0</v>
      </c>
      <c r="G191" s="1416">
        <v>0</v>
      </c>
      <c r="H191" s="1416">
        <v>0</v>
      </c>
      <c r="I191" s="1416"/>
      <c r="J191" s="1416">
        <v>0</v>
      </c>
      <c r="K191" s="1392">
        <v>0</v>
      </c>
      <c r="L191" s="1416"/>
      <c r="M191" s="1416">
        <f t="shared" si="5"/>
        <v>0</v>
      </c>
    </row>
    <row r="192" spans="2:13">
      <c r="B192" s="1409" t="s">
        <v>1463</v>
      </c>
      <c r="C192" s="1415">
        <v>40.698</v>
      </c>
      <c r="D192" s="1416">
        <v>0</v>
      </c>
      <c r="E192" s="1416">
        <v>43925.993999999999</v>
      </c>
      <c r="F192" s="516">
        <f t="shared" si="4"/>
        <v>0</v>
      </c>
      <c r="G192" s="1416">
        <v>0</v>
      </c>
      <c r="H192" s="1416">
        <v>0</v>
      </c>
      <c r="I192" s="1416"/>
      <c r="J192" s="1416">
        <v>0</v>
      </c>
      <c r="K192" s="1392">
        <v>0</v>
      </c>
      <c r="L192" s="1416"/>
      <c r="M192" s="1416">
        <f t="shared" si="5"/>
        <v>0</v>
      </c>
    </row>
    <row r="193" spans="2:13">
      <c r="B193" s="1402" t="s">
        <v>1425</v>
      </c>
      <c r="C193" s="1415">
        <v>951.5100000000001</v>
      </c>
      <c r="D193" s="1416">
        <v>0</v>
      </c>
      <c r="E193" s="1416">
        <v>265485.99305908236</v>
      </c>
      <c r="F193" s="516">
        <f t="shared" si="4"/>
        <v>0</v>
      </c>
      <c r="G193" s="1416">
        <v>0</v>
      </c>
      <c r="H193" s="1416">
        <v>0</v>
      </c>
      <c r="I193" s="1416"/>
      <c r="J193" s="1416">
        <v>0</v>
      </c>
      <c r="K193" s="1392">
        <v>0</v>
      </c>
      <c r="L193" s="1416"/>
      <c r="M193" s="1416">
        <f t="shared" si="5"/>
        <v>0</v>
      </c>
    </row>
    <row r="194" spans="2:13" ht="58">
      <c r="B194" s="1413" t="s">
        <v>1464</v>
      </c>
      <c r="C194" s="1415">
        <v>475.75500000000005</v>
      </c>
      <c r="D194" s="1416">
        <v>254.30253333333329</v>
      </c>
      <c r="E194" s="1416">
        <v>132742.99652954118</v>
      </c>
      <c r="F194" s="516">
        <f t="shared" si="4"/>
        <v>0.21869304081996704</v>
      </c>
      <c r="G194" s="1416">
        <v>0</v>
      </c>
      <c r="H194" s="1416">
        <v>0</v>
      </c>
      <c r="I194" s="1416"/>
      <c r="J194" s="1416">
        <v>219.55107698306659</v>
      </c>
      <c r="K194" s="1392">
        <v>48.808629952063384</v>
      </c>
      <c r="L194" s="1416"/>
      <c r="M194" s="1416">
        <f t="shared" si="5"/>
        <v>268.35970693512996</v>
      </c>
    </row>
    <row r="195" spans="2:13">
      <c r="B195" s="1402" t="s">
        <v>1465</v>
      </c>
      <c r="C195" s="1415">
        <v>237.87750000000003</v>
      </c>
      <c r="D195" s="1416">
        <v>213.61599999999996</v>
      </c>
      <c r="E195" s="1416">
        <v>79645.797917724703</v>
      </c>
      <c r="F195" s="516">
        <f t="shared" si="4"/>
        <v>0.30617294026038067</v>
      </c>
      <c r="G195" s="1416">
        <v>0</v>
      </c>
      <c r="H195" s="1416">
        <v>0</v>
      </c>
      <c r="I195" s="1416"/>
      <c r="J195" s="1416">
        <v>185.20949474679995</v>
      </c>
      <c r="K195" s="1392">
        <v>30.125900783809456</v>
      </c>
      <c r="L195" s="1416"/>
      <c r="M195" s="1416">
        <f t="shared" si="5"/>
        <v>215.33539553060939</v>
      </c>
    </row>
    <row r="196" spans="2:13">
      <c r="B196" s="1409" t="s">
        <v>1466</v>
      </c>
      <c r="C196" s="1415">
        <v>216.46852500000003</v>
      </c>
      <c r="D196" s="1416">
        <v>5.8109236999999991</v>
      </c>
      <c r="E196" s="1416">
        <v>2389.3739375317409</v>
      </c>
      <c r="F196" s="516">
        <f t="shared" si="4"/>
        <v>0.27762395994958716</v>
      </c>
      <c r="G196" s="1416">
        <v>8.32</v>
      </c>
      <c r="H196" s="1416">
        <v>430</v>
      </c>
      <c r="I196" s="1416"/>
      <c r="J196" s="1416">
        <v>4.8346885183999992</v>
      </c>
      <c r="K196" s="1392">
        <v>0.90377702351428391</v>
      </c>
      <c r="L196" s="1416"/>
      <c r="M196" s="1416">
        <f t="shared" si="5"/>
        <v>5.7384655419142829</v>
      </c>
    </row>
    <row r="197" spans="2:13">
      <c r="B197" s="1409" t="s">
        <v>1467</v>
      </c>
      <c r="C197" s="1415">
        <v>21.408974999999995</v>
      </c>
      <c r="D197" s="1416">
        <v>207.80507629999997</v>
      </c>
      <c r="E197" s="1416">
        <v>77256.423980192965</v>
      </c>
      <c r="F197" s="516">
        <f t="shared" si="4"/>
        <v>0.30705589841432279</v>
      </c>
      <c r="G197" s="1416">
        <v>8.68</v>
      </c>
      <c r="H197" s="1416">
        <v>430</v>
      </c>
      <c r="I197" s="1416"/>
      <c r="J197" s="1416">
        <v>180.37480622839996</v>
      </c>
      <c r="K197" s="1392">
        <v>29.222123760295172</v>
      </c>
      <c r="L197" s="1416"/>
      <c r="M197" s="1416">
        <f t="shared" si="5"/>
        <v>209.59692998869514</v>
      </c>
    </row>
    <row r="198" spans="2:13">
      <c r="B198" s="1402" t="s">
        <v>1468</v>
      </c>
      <c r="C198" s="1415">
        <v>237.87750000000003</v>
      </c>
      <c r="D198" s="1416">
        <v>40.686533333333323</v>
      </c>
      <c r="E198" s="1416">
        <v>53097.198611816479</v>
      </c>
      <c r="F198" s="516">
        <f t="shared" si="4"/>
        <v>8.7473191659346569E-2</v>
      </c>
      <c r="G198" s="1416">
        <v>0</v>
      </c>
      <c r="H198" s="1416">
        <v>0</v>
      </c>
      <c r="I198" s="1416"/>
      <c r="J198" s="1416">
        <v>34.34158223626666</v>
      </c>
      <c r="K198" s="1392">
        <v>18.682729168253932</v>
      </c>
      <c r="L198" s="1416"/>
      <c r="M198" s="1416">
        <f t="shared" si="5"/>
        <v>53.024311404520589</v>
      </c>
    </row>
    <row r="199" spans="2:13">
      <c r="B199" s="1409" t="s">
        <v>1466</v>
      </c>
      <c r="C199" s="1415">
        <v>171.27180000000001</v>
      </c>
      <c r="D199" s="1416">
        <v>4.4610563999999995</v>
      </c>
      <c r="E199" s="1416">
        <v>1592.9159583544943</v>
      </c>
      <c r="F199" s="516">
        <f t="shared" si="4"/>
        <v>0.31969860746746231</v>
      </c>
      <c r="G199" s="1416">
        <v>8.1199999999999992</v>
      </c>
      <c r="H199" s="1416">
        <v>400</v>
      </c>
      <c r="I199" s="1416"/>
      <c r="J199" s="1416">
        <v>3.6223777967999995</v>
      </c>
      <c r="K199" s="1392">
        <v>0.56048187504761793</v>
      </c>
      <c r="L199" s="1416"/>
      <c r="M199" s="1416">
        <f t="shared" si="5"/>
        <v>4.1828596718476172</v>
      </c>
    </row>
    <row r="200" spans="2:13">
      <c r="B200" s="1409" t="s">
        <v>1467</v>
      </c>
      <c r="C200" s="1415">
        <v>66.605700000000013</v>
      </c>
      <c r="D200" s="1416">
        <v>36.225476933333326</v>
      </c>
      <c r="E200" s="1416">
        <v>51504.282653461982</v>
      </c>
      <c r="F200" s="516">
        <f t="shared" si="4"/>
        <v>8.0290962304456384E-2</v>
      </c>
      <c r="G200" s="1416">
        <v>8.48</v>
      </c>
      <c r="H200" s="1416">
        <v>400</v>
      </c>
      <c r="I200" s="1416"/>
      <c r="J200" s="1416">
        <v>30.719204439466658</v>
      </c>
      <c r="K200" s="1392">
        <v>18.122247293206314</v>
      </c>
      <c r="L200" s="1416"/>
      <c r="M200" s="1416">
        <f t="shared" si="5"/>
        <v>48.841451732672972</v>
      </c>
    </row>
    <row r="201" spans="2:13" ht="72.5">
      <c r="B201" s="1413" t="s">
        <v>1469</v>
      </c>
      <c r="C201" s="1415">
        <v>475.75500000000005</v>
      </c>
      <c r="D201" s="1416">
        <v>254.30253333333332</v>
      </c>
      <c r="E201" s="1416">
        <v>132742.99652954118</v>
      </c>
      <c r="F201" s="516">
        <f t="shared" si="4"/>
        <v>0.21869304081996707</v>
      </c>
      <c r="G201" s="1416">
        <v>0</v>
      </c>
      <c r="H201" s="1416">
        <v>0</v>
      </c>
      <c r="I201" s="1416"/>
      <c r="J201" s="1416">
        <v>199.88097287666665</v>
      </c>
      <c r="K201" s="1392">
        <v>43.203811201587214</v>
      </c>
      <c r="L201" s="1416"/>
      <c r="M201" s="1416">
        <f t="shared" si="5"/>
        <v>243.08478407825385</v>
      </c>
    </row>
    <row r="202" spans="2:13">
      <c r="B202" s="1402" t="s">
        <v>1465</v>
      </c>
      <c r="C202" s="1415">
        <v>237.87750000000003</v>
      </c>
      <c r="D202" s="1416">
        <v>213.61599999999999</v>
      </c>
      <c r="E202" s="1416">
        <v>66371.498264770591</v>
      </c>
      <c r="F202" s="516">
        <f t="shared" ref="F202:F265" si="6">IFERROR(D202/(E202*24*365/10^6),0)</f>
        <v>0.36740752831245688</v>
      </c>
      <c r="G202" s="1416">
        <v>0</v>
      </c>
      <c r="H202" s="1416">
        <v>0</v>
      </c>
      <c r="I202" s="1416"/>
      <c r="J202" s="1416">
        <v>168.641563338</v>
      </c>
      <c r="K202" s="1392">
        <v>22.185740887301542</v>
      </c>
      <c r="L202" s="1416"/>
      <c r="M202" s="1416">
        <f t="shared" ref="M202:M265" si="7">SUM(J202:L202)</f>
        <v>190.82730422530153</v>
      </c>
    </row>
    <row r="203" spans="2:13">
      <c r="B203" s="1409" t="s">
        <v>1466</v>
      </c>
      <c r="C203" s="1415">
        <v>221.22607500000004</v>
      </c>
      <c r="D203" s="1416">
        <v>5.7538330999999987</v>
      </c>
      <c r="E203" s="1416">
        <v>2654.8599305908238</v>
      </c>
      <c r="F203" s="516">
        <f t="shared" si="6"/>
        <v>0.24740674827651027</v>
      </c>
      <c r="G203" s="1416">
        <v>7.7</v>
      </c>
      <c r="H203" s="1416">
        <v>380</v>
      </c>
      <c r="I203" s="1416"/>
      <c r="J203" s="1416">
        <v>4.4304514869999991</v>
      </c>
      <c r="K203" s="1392">
        <v>0.88742963549206166</v>
      </c>
      <c r="L203" s="1416"/>
      <c r="M203" s="1416">
        <f t="shared" si="7"/>
        <v>5.3178811224920608</v>
      </c>
    </row>
    <row r="204" spans="2:13">
      <c r="B204" s="1409" t="s">
        <v>1467</v>
      </c>
      <c r="C204" s="1415">
        <v>16.651424999999989</v>
      </c>
      <c r="D204" s="1416">
        <v>207.86216689999998</v>
      </c>
      <c r="E204" s="1416">
        <v>63716.638334179763</v>
      </c>
      <c r="F204" s="516">
        <f t="shared" si="6"/>
        <v>0.37240756081395454</v>
      </c>
      <c r="G204" s="1416">
        <v>7.9</v>
      </c>
      <c r="H204" s="1416">
        <v>380</v>
      </c>
      <c r="I204" s="1416"/>
      <c r="J204" s="1416">
        <v>164.211111851</v>
      </c>
      <c r="K204" s="1392">
        <v>21.29831125180948</v>
      </c>
      <c r="L204" s="1416"/>
      <c r="M204" s="1416">
        <f t="shared" si="7"/>
        <v>185.50942310280948</v>
      </c>
    </row>
    <row r="205" spans="2:13">
      <c r="B205" s="1402" t="s">
        <v>1468</v>
      </c>
      <c r="C205" s="1415">
        <v>237.87750000000003</v>
      </c>
      <c r="D205" s="1416">
        <v>40.686533333333323</v>
      </c>
      <c r="E205" s="1416">
        <v>66371.498264770591</v>
      </c>
      <c r="F205" s="516">
        <f t="shared" si="6"/>
        <v>6.9978553327477266E-2</v>
      </c>
      <c r="G205" s="1416">
        <v>0</v>
      </c>
      <c r="H205" s="1416">
        <v>0</v>
      </c>
      <c r="I205" s="1416"/>
      <c r="J205" s="1416">
        <v>31.23940953866666</v>
      </c>
      <c r="K205" s="1392">
        <v>21.018070314285669</v>
      </c>
      <c r="L205" s="1416"/>
      <c r="M205" s="1416">
        <f t="shared" si="7"/>
        <v>52.257479852952329</v>
      </c>
    </row>
    <row r="206" spans="2:13">
      <c r="B206" s="1409" t="s">
        <v>1466</v>
      </c>
      <c r="C206" s="1415">
        <v>171.27180000000001</v>
      </c>
      <c r="D206" s="1416">
        <v>4.4610563999999995</v>
      </c>
      <c r="E206" s="1416">
        <v>7632.7223004486186</v>
      </c>
      <c r="F206" s="516">
        <f t="shared" si="6"/>
        <v>6.6719709384513881E-2</v>
      </c>
      <c r="G206" s="1416">
        <v>7.5</v>
      </c>
      <c r="H206" s="1416">
        <v>360</v>
      </c>
      <c r="I206" s="1416"/>
      <c r="J206" s="1416">
        <v>3.3457922999999994</v>
      </c>
      <c r="K206" s="1392">
        <v>2.417078086142852</v>
      </c>
      <c r="L206" s="1416"/>
      <c r="M206" s="1416">
        <f t="shared" si="7"/>
        <v>5.7628703861428514</v>
      </c>
    </row>
    <row r="207" spans="2:13">
      <c r="B207" s="1409" t="s">
        <v>1467</v>
      </c>
      <c r="C207" s="1415">
        <v>66.605700000000013</v>
      </c>
      <c r="D207" s="1416">
        <v>36.225476933333326</v>
      </c>
      <c r="E207" s="1416">
        <v>58738.775964321976</v>
      </c>
      <c r="F207" s="516">
        <f t="shared" si="6"/>
        <v>7.0402018924585488E-2</v>
      </c>
      <c r="G207" s="1416">
        <v>7.7</v>
      </c>
      <c r="H207" s="1416">
        <v>360</v>
      </c>
      <c r="I207" s="1416"/>
      <c r="J207" s="1416">
        <v>27.893617238666661</v>
      </c>
      <c r="K207" s="1392">
        <v>18.600992228142818</v>
      </c>
      <c r="L207" s="1416"/>
      <c r="M207" s="1416">
        <f t="shared" si="7"/>
        <v>46.494609466809479</v>
      </c>
    </row>
    <row r="208" spans="2:13">
      <c r="B208" s="1402" t="s">
        <v>1425</v>
      </c>
      <c r="C208" s="1415">
        <v>951.5100000000001</v>
      </c>
      <c r="D208" s="1416">
        <v>508.60506666666663</v>
      </c>
      <c r="E208" s="1416">
        <v>265485.99305908236</v>
      </c>
      <c r="F208" s="516">
        <f t="shared" si="6"/>
        <v>0.21869304081996707</v>
      </c>
      <c r="G208" s="1416">
        <v>0</v>
      </c>
      <c r="H208" s="1416">
        <v>0</v>
      </c>
      <c r="I208" s="1416"/>
      <c r="J208" s="1416">
        <v>419.43204985973324</v>
      </c>
      <c r="K208" s="1392">
        <v>92.012441153650599</v>
      </c>
      <c r="L208" s="1416"/>
      <c r="M208" s="1416">
        <f t="shared" si="7"/>
        <v>511.44449101338387</v>
      </c>
    </row>
    <row r="209" spans="2:13">
      <c r="B209" s="1409"/>
      <c r="C209" s="1415">
        <v>0</v>
      </c>
      <c r="D209" s="1416">
        <v>0</v>
      </c>
      <c r="E209" s="1416">
        <v>0</v>
      </c>
      <c r="F209" s="516">
        <f t="shared" si="6"/>
        <v>0</v>
      </c>
      <c r="G209" s="1416">
        <v>0</v>
      </c>
      <c r="H209" s="1416">
        <v>0</v>
      </c>
      <c r="I209" s="1416"/>
      <c r="J209" s="1416">
        <v>0</v>
      </c>
      <c r="K209" s="1392">
        <v>0</v>
      </c>
      <c r="L209" s="1416"/>
      <c r="M209" s="1416">
        <f t="shared" si="7"/>
        <v>0</v>
      </c>
    </row>
    <row r="210" spans="2:13">
      <c r="B210" s="1402" t="s">
        <v>1125</v>
      </c>
      <c r="C210" s="1415">
        <v>0</v>
      </c>
      <c r="D210" s="1416">
        <v>0</v>
      </c>
      <c r="E210" s="1416">
        <v>0</v>
      </c>
      <c r="F210" s="516">
        <f t="shared" si="6"/>
        <v>0</v>
      </c>
      <c r="G210" s="1416">
        <v>0</v>
      </c>
      <c r="H210" s="1416">
        <v>0</v>
      </c>
      <c r="I210" s="1416"/>
      <c r="J210" s="1416">
        <v>0</v>
      </c>
      <c r="K210" s="1392">
        <v>0</v>
      </c>
      <c r="L210" s="1416"/>
      <c r="M210" s="1416">
        <f t="shared" si="7"/>
        <v>0</v>
      </c>
    </row>
    <row r="211" spans="2:13">
      <c r="B211" s="1402" t="s">
        <v>1126</v>
      </c>
      <c r="C211" s="1415">
        <v>1165.9291000000001</v>
      </c>
      <c r="D211" s="1416">
        <v>796.00597333333349</v>
      </c>
      <c r="E211" s="1416">
        <v>346738.19060000003</v>
      </c>
      <c r="F211" s="516">
        <f t="shared" si="6"/>
        <v>0.26206591676216306</v>
      </c>
      <c r="G211" s="1416">
        <v>7.1</v>
      </c>
      <c r="H211" s="1416">
        <v>300</v>
      </c>
      <c r="I211" s="1416"/>
      <c r="J211" s="1416">
        <v>564.17988160374989</v>
      </c>
      <c r="K211" s="1392">
        <v>92.255923431000014</v>
      </c>
      <c r="L211" s="1416"/>
      <c r="M211" s="1416">
        <f t="shared" si="7"/>
        <v>656.43580503474993</v>
      </c>
    </row>
    <row r="212" spans="2:13">
      <c r="B212" s="1410" t="s">
        <v>1013</v>
      </c>
      <c r="C212" s="1415">
        <v>1165.9291000000001</v>
      </c>
      <c r="D212" s="1416">
        <v>398.00298666666674</v>
      </c>
      <c r="E212" s="1416">
        <v>346738.19060000003</v>
      </c>
      <c r="F212" s="516">
        <f t="shared" si="6"/>
        <v>0.13103295838108153</v>
      </c>
      <c r="G212" s="1416">
        <v>0</v>
      </c>
      <c r="H212" s="1416">
        <v>0</v>
      </c>
      <c r="I212" s="1416"/>
      <c r="J212" s="1416">
        <v>281.47564401659145</v>
      </c>
      <c r="K212" s="1392">
        <v>92.255923431000014</v>
      </c>
      <c r="L212" s="1416"/>
      <c r="M212" s="1416">
        <f t="shared" si="7"/>
        <v>373.73156744759149</v>
      </c>
    </row>
    <row r="213" spans="2:13">
      <c r="B213" s="1406" t="s">
        <v>1430</v>
      </c>
      <c r="C213" s="1415">
        <v>268.39677866560424</v>
      </c>
      <c r="D213" s="1416">
        <v>91.620253341839387</v>
      </c>
      <c r="E213" s="1416">
        <v>79819.101690986456</v>
      </c>
      <c r="F213" s="516">
        <f t="shared" si="6"/>
        <v>0.1310329583810815</v>
      </c>
      <c r="G213" s="1416">
        <v>6.0349999999999993</v>
      </c>
      <c r="H213" s="1416">
        <v>300</v>
      </c>
      <c r="I213" s="1416"/>
      <c r="J213" s="1416">
        <v>55.292822891800064</v>
      </c>
      <c r="K213" s="1392">
        <v>21.237305648946446</v>
      </c>
      <c r="L213" s="1416"/>
      <c r="M213" s="1416">
        <f t="shared" si="7"/>
        <v>76.530128540746517</v>
      </c>
    </row>
    <row r="214" spans="2:13">
      <c r="B214" s="1406" t="s">
        <v>1431</v>
      </c>
      <c r="C214" s="1415">
        <v>424.96849800510313</v>
      </c>
      <c r="D214" s="1416">
        <v>145.06776736705379</v>
      </c>
      <c r="E214" s="1416">
        <v>126382.30580254765</v>
      </c>
      <c r="F214" s="516">
        <f t="shared" si="6"/>
        <v>0.13103295838108153</v>
      </c>
      <c r="G214" s="1416">
        <v>7.1</v>
      </c>
      <c r="H214" s="1416">
        <v>300</v>
      </c>
      <c r="I214" s="1416"/>
      <c r="J214" s="1416">
        <v>102.99811483060819</v>
      </c>
      <c r="K214" s="1392">
        <v>33.626282432221537</v>
      </c>
      <c r="L214" s="1416"/>
      <c r="M214" s="1416">
        <f t="shared" si="7"/>
        <v>136.62439726282972</v>
      </c>
    </row>
    <row r="215" spans="2:13">
      <c r="B215" s="1406" t="s">
        <v>1432</v>
      </c>
      <c r="C215" s="1415">
        <v>237.96142139904694</v>
      </c>
      <c r="D215" s="1416">
        <v>81.230802480413189</v>
      </c>
      <c r="E215" s="1416">
        <v>70767.864605583352</v>
      </c>
      <c r="F215" s="516">
        <f t="shared" si="6"/>
        <v>0.1310329583810815</v>
      </c>
      <c r="G215" s="1416">
        <v>8.1649999999999991</v>
      </c>
      <c r="H215" s="1416">
        <v>300</v>
      </c>
      <c r="I215" s="1416"/>
      <c r="J215" s="1416">
        <v>66.324950225257368</v>
      </c>
      <c r="K215" s="1392">
        <v>18.829061451611764</v>
      </c>
      <c r="L215" s="1416"/>
      <c r="M215" s="1416">
        <f t="shared" si="7"/>
        <v>85.154011676869132</v>
      </c>
    </row>
    <row r="216" spans="2:13">
      <c r="B216" s="1406" t="s">
        <v>1433</v>
      </c>
      <c r="C216" s="1415">
        <v>234.60240193024583</v>
      </c>
      <c r="D216" s="1416">
        <v>80.084163477360335</v>
      </c>
      <c r="E216" s="1416">
        <v>69768.918500882588</v>
      </c>
      <c r="F216" s="516">
        <f t="shared" si="6"/>
        <v>0.1310329583810815</v>
      </c>
      <c r="G216" s="1416">
        <v>7.1</v>
      </c>
      <c r="H216" s="1416">
        <v>300</v>
      </c>
      <c r="I216" s="1416"/>
      <c r="J216" s="1416">
        <v>56.859756068925833</v>
      </c>
      <c r="K216" s="1392">
        <v>18.563273898220267</v>
      </c>
      <c r="L216" s="1416"/>
      <c r="M216" s="1416">
        <f t="shared" si="7"/>
        <v>75.423029967146107</v>
      </c>
    </row>
    <row r="217" spans="2:13">
      <c r="B217" s="1411" t="s">
        <v>1014</v>
      </c>
      <c r="C217" s="1415">
        <v>1165.9291000000001</v>
      </c>
      <c r="D217" s="1416">
        <v>398.00298666666674</v>
      </c>
      <c r="E217" s="1416">
        <v>346738.19060000003</v>
      </c>
      <c r="F217" s="516">
        <f t="shared" si="6"/>
        <v>0.13103295838108153</v>
      </c>
      <c r="G217" s="1416">
        <v>0</v>
      </c>
      <c r="H217" s="1416">
        <v>0</v>
      </c>
      <c r="I217" s="1416"/>
      <c r="J217" s="1416">
        <v>282.70423758715845</v>
      </c>
      <c r="K217" s="1392">
        <v>0</v>
      </c>
      <c r="L217" s="1416"/>
      <c r="M217" s="1416">
        <f t="shared" si="7"/>
        <v>282.70423758715845</v>
      </c>
    </row>
    <row r="218" spans="2:13">
      <c r="B218" s="1406" t="s">
        <v>1430</v>
      </c>
      <c r="C218" s="1415">
        <v>268.39677866560424</v>
      </c>
      <c r="D218" s="1416">
        <v>91.620253341839387</v>
      </c>
      <c r="E218" s="1416">
        <v>79819.101690986456</v>
      </c>
      <c r="F218" s="516">
        <f t="shared" si="6"/>
        <v>0.1310329583810815</v>
      </c>
      <c r="G218" s="1416">
        <v>7.1</v>
      </c>
      <c r="H218" s="1416">
        <v>300</v>
      </c>
      <c r="I218" s="1416"/>
      <c r="J218" s="1416">
        <v>65.05037987270596</v>
      </c>
      <c r="K218" s="1392">
        <v>0</v>
      </c>
      <c r="L218" s="1416"/>
      <c r="M218" s="1416">
        <f t="shared" si="7"/>
        <v>65.05037987270596</v>
      </c>
    </row>
    <row r="219" spans="2:13">
      <c r="B219" s="1406" t="s">
        <v>1431</v>
      </c>
      <c r="C219" s="1415">
        <v>424.96849800510313</v>
      </c>
      <c r="D219" s="1416">
        <v>145.06776736705379</v>
      </c>
      <c r="E219" s="1416">
        <v>126382.30580254765</v>
      </c>
      <c r="F219" s="516">
        <f t="shared" si="6"/>
        <v>0.13103295838108153</v>
      </c>
      <c r="G219" s="1416">
        <v>7.1</v>
      </c>
      <c r="H219" s="1416">
        <v>300</v>
      </c>
      <c r="I219" s="1416"/>
      <c r="J219" s="1416">
        <v>102.99811483060819</v>
      </c>
      <c r="K219" s="1392">
        <v>0</v>
      </c>
      <c r="L219" s="1416"/>
      <c r="M219" s="1416">
        <f t="shared" si="7"/>
        <v>102.99811483060819</v>
      </c>
    </row>
    <row r="220" spans="2:13">
      <c r="B220" s="1406" t="s">
        <v>1432</v>
      </c>
      <c r="C220" s="1415">
        <v>237.96142139904694</v>
      </c>
      <c r="D220" s="1416">
        <v>81.230802480413189</v>
      </c>
      <c r="E220" s="1416">
        <v>70767.864605583352</v>
      </c>
      <c r="F220" s="516">
        <f t="shared" si="6"/>
        <v>0.1310329583810815</v>
      </c>
      <c r="G220" s="1416">
        <v>8.1649999999999991</v>
      </c>
      <c r="H220" s="1416">
        <v>300</v>
      </c>
      <c r="I220" s="1416"/>
      <c r="J220" s="1416">
        <v>66.324950225257368</v>
      </c>
      <c r="K220" s="1392">
        <v>0</v>
      </c>
      <c r="L220" s="1416"/>
      <c r="M220" s="1416">
        <f t="shared" si="7"/>
        <v>66.324950225257368</v>
      </c>
    </row>
    <row r="221" spans="2:13">
      <c r="B221" s="1406" t="s">
        <v>1433</v>
      </c>
      <c r="C221" s="1415">
        <v>234.60240193024583</v>
      </c>
      <c r="D221" s="1416">
        <v>80.084163477360335</v>
      </c>
      <c r="E221" s="1416">
        <v>69768.918500882588</v>
      </c>
      <c r="F221" s="516">
        <f t="shared" si="6"/>
        <v>0.1310329583810815</v>
      </c>
      <c r="G221" s="1416">
        <v>6.0349999999999993</v>
      </c>
      <c r="H221" s="1416">
        <v>300</v>
      </c>
      <c r="I221" s="1416"/>
      <c r="J221" s="1416">
        <v>48.330792658586958</v>
      </c>
      <c r="K221" s="1392">
        <v>0</v>
      </c>
      <c r="L221" s="1416"/>
      <c r="M221" s="1416">
        <f t="shared" si="7"/>
        <v>48.330792658586958</v>
      </c>
    </row>
    <row r="222" spans="2:13">
      <c r="B222" s="1402" t="s">
        <v>1127</v>
      </c>
      <c r="C222" s="1415">
        <v>40.015500000000003</v>
      </c>
      <c r="D222" s="1416">
        <v>318.70439999999996</v>
      </c>
      <c r="E222" s="1416">
        <v>91889.647500000006</v>
      </c>
      <c r="F222" s="516">
        <f t="shared" si="6"/>
        <v>0.39592904980855215</v>
      </c>
      <c r="G222" s="1416">
        <v>6.8</v>
      </c>
      <c r="H222" s="1416">
        <v>290</v>
      </c>
      <c r="I222" s="1416"/>
      <c r="J222" s="1416">
        <v>216.34152758334412</v>
      </c>
      <c r="K222" s="1392">
        <v>23.412169473750001</v>
      </c>
      <c r="L222" s="1416"/>
      <c r="M222" s="1416">
        <f t="shared" si="7"/>
        <v>239.75369705709412</v>
      </c>
    </row>
    <row r="223" spans="2:13">
      <c r="B223" s="1410" t="s">
        <v>1013</v>
      </c>
      <c r="C223" s="1415">
        <v>40.015500000000003</v>
      </c>
      <c r="D223" s="1416">
        <v>159.35219999999998</v>
      </c>
      <c r="E223" s="1416">
        <v>91889.647500000006</v>
      </c>
      <c r="F223" s="516">
        <f t="shared" si="6"/>
        <v>0.19796452490427607</v>
      </c>
      <c r="G223" s="1416">
        <v>0</v>
      </c>
      <c r="H223" s="1416">
        <v>0</v>
      </c>
      <c r="I223" s="1416"/>
      <c r="J223" s="1416">
        <v>107.93520433758448</v>
      </c>
      <c r="K223" s="1392">
        <v>23.412169473750001</v>
      </c>
      <c r="L223" s="1416"/>
      <c r="M223" s="1416">
        <f t="shared" si="7"/>
        <v>131.34737381133448</v>
      </c>
    </row>
    <row r="224" spans="2:13">
      <c r="B224" s="1406" t="s">
        <v>1430</v>
      </c>
      <c r="C224" s="1415">
        <v>9.211564662631277</v>
      </c>
      <c r="D224" s="1416">
        <v>36.682862751497581</v>
      </c>
      <c r="E224" s="1416">
        <v>21152.988961093688</v>
      </c>
      <c r="F224" s="516">
        <f t="shared" si="6"/>
        <v>0.19796452490427607</v>
      </c>
      <c r="G224" s="1416">
        <v>5.7799999999999994</v>
      </c>
      <c r="H224" s="1416">
        <v>290</v>
      </c>
      <c r="I224" s="1416"/>
      <c r="J224" s="1416">
        <v>21.202694670365599</v>
      </c>
      <c r="K224" s="1392">
        <v>5.3894794017300836</v>
      </c>
      <c r="L224" s="1416"/>
      <c r="M224" s="1416">
        <f t="shared" si="7"/>
        <v>26.592174072095681</v>
      </c>
    </row>
    <row r="225" spans="2:13">
      <c r="B225" s="1406" t="s">
        <v>1431</v>
      </c>
      <c r="C225" s="1415">
        <v>14.585215286180956</v>
      </c>
      <c r="D225" s="1416">
        <v>58.082146751297984</v>
      </c>
      <c r="E225" s="1416">
        <v>33492.778832172022</v>
      </c>
      <c r="F225" s="516">
        <f t="shared" si="6"/>
        <v>0.19796452490427605</v>
      </c>
      <c r="G225" s="1416">
        <v>6.8</v>
      </c>
      <c r="H225" s="1416">
        <v>290</v>
      </c>
      <c r="I225" s="1416"/>
      <c r="J225" s="1416">
        <v>39.495859790882626</v>
      </c>
      <c r="K225" s="1392">
        <v>8.5334815781684004</v>
      </c>
      <c r="L225" s="1416"/>
      <c r="M225" s="1416">
        <f t="shared" si="7"/>
        <v>48.029341369051025</v>
      </c>
    </row>
    <row r="226" spans="2:13">
      <c r="B226" s="1406" t="s">
        <v>1432</v>
      </c>
      <c r="C226" s="1415">
        <v>8.1670019712121107</v>
      </c>
      <c r="D226" s="1416">
        <v>32.523140570953416</v>
      </c>
      <c r="E226" s="1416">
        <v>18754.306013082081</v>
      </c>
      <c r="F226" s="516">
        <f t="shared" si="6"/>
        <v>0.1979645249042761</v>
      </c>
      <c r="G226" s="1416">
        <v>7.8199999999999994</v>
      </c>
      <c r="H226" s="1416">
        <v>290</v>
      </c>
      <c r="I226" s="1416"/>
      <c r="J226" s="1416">
        <v>25.433095926485571</v>
      </c>
      <c r="K226" s="1392">
        <v>4.7783292534759845</v>
      </c>
      <c r="L226" s="1416"/>
      <c r="M226" s="1416">
        <f t="shared" si="7"/>
        <v>30.211425179961555</v>
      </c>
    </row>
    <row r="227" spans="2:13">
      <c r="B227" s="1406" t="s">
        <v>1433</v>
      </c>
      <c r="C227" s="1415">
        <v>8.0517180799756627</v>
      </c>
      <c r="D227" s="1416">
        <v>32.064049926251016</v>
      </c>
      <c r="E227" s="1416">
        <v>18489.573693652219</v>
      </c>
      <c r="F227" s="516">
        <f t="shared" si="6"/>
        <v>0.1979645249042761</v>
      </c>
      <c r="G227" s="1416">
        <v>6.8</v>
      </c>
      <c r="H227" s="1416">
        <v>290</v>
      </c>
      <c r="I227" s="1416"/>
      <c r="J227" s="1416">
        <v>21.803553949850688</v>
      </c>
      <c r="K227" s="1392">
        <v>4.7108792403755331</v>
      </c>
      <c r="L227" s="1416"/>
      <c r="M227" s="1416">
        <f t="shared" si="7"/>
        <v>26.514433190226221</v>
      </c>
    </row>
    <row r="228" spans="2:13">
      <c r="B228" s="1411" t="s">
        <v>1014</v>
      </c>
      <c r="C228" s="1415">
        <v>40.015500000000003</v>
      </c>
      <c r="D228" s="1416">
        <v>159.35219999999998</v>
      </c>
      <c r="E228" s="1416">
        <v>91889.647500000006</v>
      </c>
      <c r="F228" s="516">
        <f t="shared" si="6"/>
        <v>0.19796452490427607</v>
      </c>
      <c r="G228" s="1416">
        <v>0</v>
      </c>
      <c r="H228" s="1416">
        <v>0</v>
      </c>
      <c r="I228" s="1416"/>
      <c r="J228" s="1416">
        <v>108.40632324575964</v>
      </c>
      <c r="K228" s="1392">
        <v>0</v>
      </c>
      <c r="L228" s="1416"/>
      <c r="M228" s="1416">
        <f t="shared" si="7"/>
        <v>108.40632324575964</v>
      </c>
    </row>
    <row r="229" spans="2:13">
      <c r="B229" s="1406" t="s">
        <v>1430</v>
      </c>
      <c r="C229" s="1415">
        <v>9.211564662631277</v>
      </c>
      <c r="D229" s="1416">
        <v>36.682862751497581</v>
      </c>
      <c r="E229" s="1416">
        <v>21152.988961093688</v>
      </c>
      <c r="F229" s="516">
        <f t="shared" si="6"/>
        <v>0.19796452490427607</v>
      </c>
      <c r="G229" s="1416">
        <v>6.8</v>
      </c>
      <c r="H229" s="1416">
        <v>290</v>
      </c>
      <c r="I229" s="1416"/>
      <c r="J229" s="1416">
        <v>24.944346671018355</v>
      </c>
      <c r="K229" s="1392">
        <v>0</v>
      </c>
      <c r="L229" s="1416"/>
      <c r="M229" s="1416">
        <f t="shared" si="7"/>
        <v>24.944346671018355</v>
      </c>
    </row>
    <row r="230" spans="2:13">
      <c r="B230" s="1406" t="s">
        <v>1431</v>
      </c>
      <c r="C230" s="1415">
        <v>14.585215286180956</v>
      </c>
      <c r="D230" s="1416">
        <v>58.082146751297984</v>
      </c>
      <c r="E230" s="1416">
        <v>33492.778832172022</v>
      </c>
      <c r="F230" s="516">
        <f t="shared" si="6"/>
        <v>0.19796452490427605</v>
      </c>
      <c r="G230" s="1416">
        <v>6.8</v>
      </c>
      <c r="H230" s="1416">
        <v>290</v>
      </c>
      <c r="I230" s="1416"/>
      <c r="J230" s="1416">
        <v>39.495859790882626</v>
      </c>
      <c r="K230" s="1392">
        <v>0</v>
      </c>
      <c r="L230" s="1416"/>
      <c r="M230" s="1416">
        <f t="shared" si="7"/>
        <v>39.495859790882626</v>
      </c>
    </row>
    <row r="231" spans="2:13">
      <c r="B231" s="1406" t="s">
        <v>1432</v>
      </c>
      <c r="C231" s="1415">
        <v>8.1670019712121107</v>
      </c>
      <c r="D231" s="1416">
        <v>32.523140570953416</v>
      </c>
      <c r="E231" s="1416">
        <v>18754.306013082081</v>
      </c>
      <c r="F231" s="516">
        <f t="shared" si="6"/>
        <v>0.1979645249042761</v>
      </c>
      <c r="G231" s="1416">
        <v>7.8199999999999994</v>
      </c>
      <c r="H231" s="1416">
        <v>290</v>
      </c>
      <c r="I231" s="1416"/>
      <c r="J231" s="1416">
        <v>25.433095926485571</v>
      </c>
      <c r="K231" s="1392">
        <v>0</v>
      </c>
      <c r="L231" s="1416"/>
      <c r="M231" s="1416">
        <f t="shared" si="7"/>
        <v>25.433095926485571</v>
      </c>
    </row>
    <row r="232" spans="2:13">
      <c r="B232" s="1406" t="s">
        <v>1433</v>
      </c>
      <c r="C232" s="1415">
        <v>8.0517180799756627</v>
      </c>
      <c r="D232" s="1416">
        <v>32.064049926251016</v>
      </c>
      <c r="E232" s="1416">
        <v>18489.573693652219</v>
      </c>
      <c r="F232" s="516">
        <f t="shared" si="6"/>
        <v>0.1979645249042761</v>
      </c>
      <c r="G232" s="1416">
        <v>5.7799999999999994</v>
      </c>
      <c r="H232" s="1416">
        <v>290</v>
      </c>
      <c r="I232" s="1416"/>
      <c r="J232" s="1416">
        <v>18.533020857373085</v>
      </c>
      <c r="K232" s="1392">
        <v>0</v>
      </c>
      <c r="L232" s="1416"/>
      <c r="M232" s="1416">
        <f t="shared" si="7"/>
        <v>18.533020857373085</v>
      </c>
    </row>
    <row r="233" spans="2:13">
      <c r="B233" s="1402" t="s">
        <v>1128</v>
      </c>
      <c r="C233" s="1415">
        <v>6.6126000000000005</v>
      </c>
      <c r="D233" s="1416">
        <v>55.604333333333344</v>
      </c>
      <c r="E233" s="1416">
        <v>71153.780200000008</v>
      </c>
      <c r="F233" s="516">
        <f t="shared" si="6"/>
        <v>8.9208565144164573E-2</v>
      </c>
      <c r="G233" s="1416">
        <v>6.4</v>
      </c>
      <c r="H233" s="1416">
        <v>270</v>
      </c>
      <c r="I233" s="1416"/>
      <c r="J233" s="1416">
        <v>35.524791037674952</v>
      </c>
      <c r="K233" s="1392">
        <v>16.724795784300003</v>
      </c>
      <c r="L233" s="1416"/>
      <c r="M233" s="1416">
        <f t="shared" si="7"/>
        <v>52.249586821974958</v>
      </c>
    </row>
    <row r="234" spans="2:13">
      <c r="B234" s="1410" t="s">
        <v>1013</v>
      </c>
      <c r="C234" s="1415">
        <v>6.6126000000000005</v>
      </c>
      <c r="D234" s="1416">
        <v>27.802166666666672</v>
      </c>
      <c r="E234" s="1416">
        <v>71153.780200000008</v>
      </c>
      <c r="F234" s="516">
        <f t="shared" si="6"/>
        <v>4.4604282572082286E-2</v>
      </c>
      <c r="G234" s="1416">
        <v>0</v>
      </c>
      <c r="H234" s="1416">
        <v>0</v>
      </c>
      <c r="I234" s="1416"/>
      <c r="J234" s="1416">
        <v>17.723715009936171</v>
      </c>
      <c r="K234" s="1392">
        <v>16.724795784300003</v>
      </c>
      <c r="L234" s="1416"/>
      <c r="M234" s="1416">
        <f t="shared" si="7"/>
        <v>34.448510794236171</v>
      </c>
    </row>
    <row r="235" spans="2:13">
      <c r="B235" s="1406" t="s">
        <v>1430</v>
      </c>
      <c r="C235" s="1415">
        <v>1.5222199519715005</v>
      </c>
      <c r="D235" s="1416">
        <v>6.4000563784346527</v>
      </c>
      <c r="E235" s="1416">
        <v>16379.594089864004</v>
      </c>
      <c r="F235" s="516">
        <f t="shared" si="6"/>
        <v>4.4604282572082272E-2</v>
      </c>
      <c r="G235" s="1416">
        <v>5.44</v>
      </c>
      <c r="H235" s="1416">
        <v>270</v>
      </c>
      <c r="I235" s="1416"/>
      <c r="J235" s="1416">
        <v>3.4816306698684514</v>
      </c>
      <c r="K235" s="1392">
        <v>3.8500465528703236</v>
      </c>
      <c r="L235" s="1416"/>
      <c r="M235" s="1416">
        <f t="shared" si="7"/>
        <v>7.331677222738775</v>
      </c>
    </row>
    <row r="236" spans="2:13">
      <c r="B236" s="1406" t="s">
        <v>1431</v>
      </c>
      <c r="C236" s="1415">
        <v>2.4102209044345364</v>
      </c>
      <c r="D236" s="1416">
        <v>10.133587891082637</v>
      </c>
      <c r="E236" s="1416">
        <v>25934.780338683755</v>
      </c>
      <c r="F236" s="516">
        <f t="shared" si="6"/>
        <v>4.4604282572082272E-2</v>
      </c>
      <c r="G236" s="1416">
        <v>6.4</v>
      </c>
      <c r="H236" s="1416">
        <v>270</v>
      </c>
      <c r="I236" s="1416"/>
      <c r="J236" s="1416">
        <v>6.4854962502928881</v>
      </c>
      <c r="K236" s="1392">
        <v>6.0960064757763153</v>
      </c>
      <c r="L236" s="1416"/>
      <c r="M236" s="1416">
        <f t="shared" si="7"/>
        <v>12.581502726069203</v>
      </c>
    </row>
    <row r="237" spans="2:13">
      <c r="B237" s="1406" t="s">
        <v>1432</v>
      </c>
      <c r="C237" s="1415">
        <v>1.3496049589493373</v>
      </c>
      <c r="D237" s="1416">
        <v>5.6743099541586215</v>
      </c>
      <c r="E237" s="1416">
        <v>14522.199226614519</v>
      </c>
      <c r="F237" s="516">
        <f t="shared" si="6"/>
        <v>4.4604282572082272E-2</v>
      </c>
      <c r="G237" s="1416">
        <v>7.3599999999999994</v>
      </c>
      <c r="H237" s="1416">
        <v>270</v>
      </c>
      <c r="I237" s="1416"/>
      <c r="J237" s="1416">
        <v>4.1762921262607451</v>
      </c>
      <c r="K237" s="1392">
        <v>3.4134632864389571</v>
      </c>
      <c r="L237" s="1416"/>
      <c r="M237" s="1416">
        <f t="shared" si="7"/>
        <v>7.5897554126997022</v>
      </c>
    </row>
    <row r="238" spans="2:13">
      <c r="B238" s="1406" t="s">
        <v>1433</v>
      </c>
      <c r="C238" s="1415">
        <v>1.3305541846446267</v>
      </c>
      <c r="D238" s="1416">
        <v>5.5942124429907585</v>
      </c>
      <c r="E238" s="1416">
        <v>14317.206544837734</v>
      </c>
      <c r="F238" s="516">
        <f t="shared" si="6"/>
        <v>4.4604282572082272E-2</v>
      </c>
      <c r="G238" s="1416">
        <v>6.4</v>
      </c>
      <c r="H238" s="1416">
        <v>270</v>
      </c>
      <c r="I238" s="1416"/>
      <c r="J238" s="1416">
        <v>3.5802959635140859</v>
      </c>
      <c r="K238" s="1392">
        <v>3.3652794692144061</v>
      </c>
      <c r="L238" s="1416"/>
      <c r="M238" s="1416">
        <f t="shared" si="7"/>
        <v>6.945575432728492</v>
      </c>
    </row>
    <row r="239" spans="2:13">
      <c r="B239" s="1411" t="s">
        <v>1014</v>
      </c>
      <c r="C239" s="1415">
        <v>6.6126000000000005</v>
      </c>
      <c r="D239" s="1416">
        <v>27.802166666666672</v>
      </c>
      <c r="E239" s="1416">
        <v>71153.780200000008</v>
      </c>
      <c r="F239" s="516">
        <f t="shared" si="6"/>
        <v>4.4604282572082286E-2</v>
      </c>
      <c r="G239" s="1416">
        <v>0</v>
      </c>
      <c r="H239" s="1416">
        <v>0</v>
      </c>
      <c r="I239" s="1416"/>
      <c r="J239" s="1416">
        <v>17.80107602773878</v>
      </c>
      <c r="K239" s="1392">
        <v>0</v>
      </c>
      <c r="L239" s="1416"/>
      <c r="M239" s="1416">
        <f t="shared" si="7"/>
        <v>17.80107602773878</v>
      </c>
    </row>
    <row r="240" spans="2:13">
      <c r="B240" s="1406" t="s">
        <v>1430</v>
      </c>
      <c r="C240" s="1415">
        <v>1.5222199519715005</v>
      </c>
      <c r="D240" s="1416">
        <v>6.4000563784346527</v>
      </c>
      <c r="E240" s="1416">
        <v>16379.594089864004</v>
      </c>
      <c r="F240" s="516">
        <f t="shared" si="6"/>
        <v>4.4604282572082272E-2</v>
      </c>
      <c r="G240" s="1416">
        <v>6.4</v>
      </c>
      <c r="H240" s="1416">
        <v>270</v>
      </c>
      <c r="I240" s="1416"/>
      <c r="J240" s="1416">
        <v>4.0960360821981778</v>
      </c>
      <c r="K240" s="1392">
        <v>0</v>
      </c>
      <c r="L240" s="1416"/>
      <c r="M240" s="1416">
        <f t="shared" si="7"/>
        <v>4.0960360821981778</v>
      </c>
    </row>
    <row r="241" spans="2:13">
      <c r="B241" s="1406" t="s">
        <v>1431</v>
      </c>
      <c r="C241" s="1415">
        <v>2.4102209044345364</v>
      </c>
      <c r="D241" s="1416">
        <v>10.133587891082637</v>
      </c>
      <c r="E241" s="1416">
        <v>25934.780338683755</v>
      </c>
      <c r="F241" s="516">
        <f t="shared" si="6"/>
        <v>4.4604282572082272E-2</v>
      </c>
      <c r="G241" s="1416">
        <v>6.4</v>
      </c>
      <c r="H241" s="1416">
        <v>270</v>
      </c>
      <c r="I241" s="1416"/>
      <c r="J241" s="1416">
        <v>6.4854962502928881</v>
      </c>
      <c r="K241" s="1392">
        <v>0</v>
      </c>
      <c r="L241" s="1416"/>
      <c r="M241" s="1416">
        <f t="shared" si="7"/>
        <v>6.4854962502928881</v>
      </c>
    </row>
    <row r="242" spans="2:13">
      <c r="B242" s="1406" t="s">
        <v>1432</v>
      </c>
      <c r="C242" s="1415">
        <v>1.3496049589493373</v>
      </c>
      <c r="D242" s="1416">
        <v>5.6743099541586215</v>
      </c>
      <c r="E242" s="1416">
        <v>14522.199226614519</v>
      </c>
      <c r="F242" s="516">
        <f t="shared" si="6"/>
        <v>4.4604282572082272E-2</v>
      </c>
      <c r="G242" s="1416">
        <v>7.3599999999999994</v>
      </c>
      <c r="H242" s="1416">
        <v>270</v>
      </c>
      <c r="I242" s="1416"/>
      <c r="J242" s="1416">
        <v>4.1762921262607451</v>
      </c>
      <c r="K242" s="1392">
        <v>0</v>
      </c>
      <c r="L242" s="1416"/>
      <c r="M242" s="1416">
        <f t="shared" si="7"/>
        <v>4.1762921262607451</v>
      </c>
    </row>
    <row r="243" spans="2:13">
      <c r="B243" s="1406" t="s">
        <v>1433</v>
      </c>
      <c r="C243" s="1415">
        <v>1.3305541846446267</v>
      </c>
      <c r="D243" s="1416">
        <v>5.5942124429907585</v>
      </c>
      <c r="E243" s="1416">
        <v>14317.206544837734</v>
      </c>
      <c r="F243" s="516">
        <f t="shared" si="6"/>
        <v>4.4604282572082272E-2</v>
      </c>
      <c r="G243" s="1416">
        <v>5.44</v>
      </c>
      <c r="H243" s="1416">
        <v>270</v>
      </c>
      <c r="I243" s="1416"/>
      <c r="J243" s="1416">
        <v>3.0432515689869728</v>
      </c>
      <c r="K243" s="1392">
        <v>0</v>
      </c>
      <c r="L243" s="1416"/>
      <c r="M243" s="1416">
        <f t="shared" si="7"/>
        <v>3.0432515689869728</v>
      </c>
    </row>
    <row r="244" spans="2:13">
      <c r="B244" s="1402" t="s">
        <v>1129</v>
      </c>
      <c r="C244" s="1415">
        <v>2.1424000000000003</v>
      </c>
      <c r="D244" s="1416">
        <v>3.3557333333333337</v>
      </c>
      <c r="E244" s="1416">
        <v>1923.8752000000002</v>
      </c>
      <c r="F244" s="516">
        <f t="shared" si="6"/>
        <v>0.19911612844260679</v>
      </c>
      <c r="G244" s="1416">
        <v>6.1</v>
      </c>
      <c r="H244" s="1416">
        <v>270</v>
      </c>
      <c r="I244" s="1416"/>
      <c r="J244" s="1416">
        <v>2.0434320313392984</v>
      </c>
      <c r="K244" s="1392">
        <v>0.45851125680000004</v>
      </c>
      <c r="L244" s="1416"/>
      <c r="M244" s="1416">
        <f t="shared" si="7"/>
        <v>2.5019432881392984</v>
      </c>
    </row>
    <row r="245" spans="2:13">
      <c r="B245" s="1410" t="s">
        <v>1013</v>
      </c>
      <c r="C245" s="1415">
        <v>2.1424000000000003</v>
      </c>
      <c r="D245" s="1416">
        <v>1.6778666666666668</v>
      </c>
      <c r="E245" s="1416">
        <v>1923.8752000000002</v>
      </c>
      <c r="F245" s="516">
        <f t="shared" si="6"/>
        <v>9.9558064221303394E-2</v>
      </c>
      <c r="G245" s="1416">
        <v>0</v>
      </c>
      <c r="H245" s="1416">
        <v>0</v>
      </c>
      <c r="I245" s="1416"/>
      <c r="J245" s="1416">
        <v>1.019491062656031</v>
      </c>
      <c r="K245" s="1392">
        <v>0.45851125680000004</v>
      </c>
      <c r="L245" s="1416"/>
      <c r="M245" s="1416">
        <f t="shared" si="7"/>
        <v>1.478002319456031</v>
      </c>
    </row>
    <row r="246" spans="2:13">
      <c r="B246" s="1406" t="s">
        <v>1430</v>
      </c>
      <c r="C246" s="1415">
        <v>0.49318029596584445</v>
      </c>
      <c r="D246" s="1416">
        <v>0.38624476253635709</v>
      </c>
      <c r="E246" s="1416">
        <v>442.87590577732828</v>
      </c>
      <c r="F246" s="516">
        <f t="shared" si="6"/>
        <v>9.955806422130338E-2</v>
      </c>
      <c r="G246" s="1416">
        <v>5.1849999999999996</v>
      </c>
      <c r="H246" s="1416">
        <v>270</v>
      </c>
      <c r="I246" s="1416"/>
      <c r="J246" s="1416">
        <v>0.20026790937510114</v>
      </c>
      <c r="K246" s="1392">
        <v>0.10554925192881595</v>
      </c>
      <c r="L246" s="1416"/>
      <c r="M246" s="1416">
        <f t="shared" si="7"/>
        <v>0.30581716130391712</v>
      </c>
    </row>
    <row r="247" spans="2:13">
      <c r="B247" s="1406" t="s">
        <v>1431</v>
      </c>
      <c r="C247" s="1415">
        <v>0.78088153913143854</v>
      </c>
      <c r="D247" s="1416">
        <v>0.61156418275018809</v>
      </c>
      <c r="E247" s="1416">
        <v>701.23162214003185</v>
      </c>
      <c r="F247" s="516">
        <f t="shared" si="6"/>
        <v>9.9558064221303394E-2</v>
      </c>
      <c r="G247" s="1416">
        <v>6.1</v>
      </c>
      <c r="H247" s="1416">
        <v>270</v>
      </c>
      <c r="I247" s="1416"/>
      <c r="J247" s="1416">
        <v>0.37305415147761473</v>
      </c>
      <c r="K247" s="1392">
        <v>0.16712237486887335</v>
      </c>
      <c r="L247" s="1416"/>
      <c r="M247" s="1416">
        <f t="shared" si="7"/>
        <v>0.54017652634648805</v>
      </c>
    </row>
    <row r="248" spans="2:13">
      <c r="B248" s="1406" t="s">
        <v>1432</v>
      </c>
      <c r="C248" s="1415">
        <v>0.43725518919230866</v>
      </c>
      <c r="D248" s="1416">
        <v>0.34244581160044879</v>
      </c>
      <c r="E248" s="1416">
        <v>392.65515989469316</v>
      </c>
      <c r="F248" s="516">
        <f t="shared" si="6"/>
        <v>9.955806422130338E-2</v>
      </c>
      <c r="G248" s="1416">
        <v>7.0149999999999988</v>
      </c>
      <c r="H248" s="1416">
        <v>270</v>
      </c>
      <c r="I248" s="1416"/>
      <c r="J248" s="1416">
        <v>0.24022573683771481</v>
      </c>
      <c r="K248" s="1392">
        <v>9.3580296087979478E-2</v>
      </c>
      <c r="L248" s="1416"/>
      <c r="M248" s="1416">
        <f t="shared" si="7"/>
        <v>0.33380603292569427</v>
      </c>
    </row>
    <row r="249" spans="2:13">
      <c r="B249" s="1406" t="s">
        <v>1433</v>
      </c>
      <c r="C249" s="1415">
        <v>0.43108297571040871</v>
      </c>
      <c r="D249" s="1416">
        <v>0.33761190977967281</v>
      </c>
      <c r="E249" s="1416">
        <v>387.112512187947</v>
      </c>
      <c r="F249" s="516">
        <f t="shared" si="6"/>
        <v>9.955806422130338E-2</v>
      </c>
      <c r="G249" s="1416">
        <v>6.1</v>
      </c>
      <c r="H249" s="1416">
        <v>270</v>
      </c>
      <c r="I249" s="1416"/>
      <c r="J249" s="1416">
        <v>0.20594326496560042</v>
      </c>
      <c r="K249" s="1392">
        <v>9.2259333914331276E-2</v>
      </c>
      <c r="L249" s="1416"/>
      <c r="M249" s="1416">
        <f t="shared" si="7"/>
        <v>0.29820259887993172</v>
      </c>
    </row>
    <row r="250" spans="2:13">
      <c r="B250" s="1411" t="s">
        <v>1014</v>
      </c>
      <c r="C250" s="1415">
        <v>2.1424000000000003</v>
      </c>
      <c r="D250" s="1416">
        <v>1.6778666666666668</v>
      </c>
      <c r="E250" s="1416">
        <v>1923.8752000000002</v>
      </c>
      <c r="F250" s="516">
        <f t="shared" si="6"/>
        <v>9.9558064221303394E-2</v>
      </c>
      <c r="G250" s="1416">
        <v>0</v>
      </c>
      <c r="H250" s="1416">
        <v>0</v>
      </c>
      <c r="I250" s="1416"/>
      <c r="J250" s="1416">
        <v>1.0239409686832677</v>
      </c>
      <c r="K250" s="1392">
        <v>0</v>
      </c>
      <c r="L250" s="1416"/>
      <c r="M250" s="1416">
        <f t="shared" si="7"/>
        <v>1.0239409686832677</v>
      </c>
    </row>
    <row r="251" spans="2:13">
      <c r="B251" s="1406" t="s">
        <v>1430</v>
      </c>
      <c r="C251" s="1415">
        <v>0.49318029596584445</v>
      </c>
      <c r="D251" s="1416">
        <v>0.38624476253635709</v>
      </c>
      <c r="E251" s="1416">
        <v>442.87590577732828</v>
      </c>
      <c r="F251" s="516">
        <f t="shared" si="6"/>
        <v>9.955806422130338E-2</v>
      </c>
      <c r="G251" s="1416">
        <v>6.1</v>
      </c>
      <c r="H251" s="1416">
        <v>270</v>
      </c>
      <c r="I251" s="1416"/>
      <c r="J251" s="1416">
        <v>0.23560930514717779</v>
      </c>
      <c r="K251" s="1392">
        <v>0</v>
      </c>
      <c r="L251" s="1416"/>
      <c r="M251" s="1416">
        <f t="shared" si="7"/>
        <v>0.23560930514717779</v>
      </c>
    </row>
    <row r="252" spans="2:13">
      <c r="B252" s="1406" t="s">
        <v>1431</v>
      </c>
      <c r="C252" s="1415">
        <v>0.78088153913143854</v>
      </c>
      <c r="D252" s="1416">
        <v>0.61156418275018809</v>
      </c>
      <c r="E252" s="1416">
        <v>701.23162214003185</v>
      </c>
      <c r="F252" s="516">
        <f t="shared" si="6"/>
        <v>9.9558064221303394E-2</v>
      </c>
      <c r="G252" s="1416">
        <v>6.1</v>
      </c>
      <c r="H252" s="1416">
        <v>270</v>
      </c>
      <c r="I252" s="1416"/>
      <c r="J252" s="1416">
        <v>0.37305415147761473</v>
      </c>
      <c r="K252" s="1392">
        <v>0</v>
      </c>
      <c r="L252" s="1416"/>
      <c r="M252" s="1416">
        <f t="shared" si="7"/>
        <v>0.37305415147761473</v>
      </c>
    </row>
    <row r="253" spans="2:13">
      <c r="B253" s="1406" t="s">
        <v>1432</v>
      </c>
      <c r="C253" s="1415">
        <v>0.43725518919230866</v>
      </c>
      <c r="D253" s="1416">
        <v>0.34244581160044879</v>
      </c>
      <c r="E253" s="1416">
        <v>392.65515989469316</v>
      </c>
      <c r="F253" s="516">
        <f t="shared" si="6"/>
        <v>9.955806422130338E-2</v>
      </c>
      <c r="G253" s="1416">
        <v>7.0149999999999988</v>
      </c>
      <c r="H253" s="1416">
        <v>270</v>
      </c>
      <c r="I253" s="1416"/>
      <c r="J253" s="1416">
        <v>0.24022573683771481</v>
      </c>
      <c r="K253" s="1392">
        <v>0</v>
      </c>
      <c r="L253" s="1416"/>
      <c r="M253" s="1416">
        <f t="shared" si="7"/>
        <v>0.24022573683771481</v>
      </c>
    </row>
    <row r="254" spans="2:13">
      <c r="B254" s="1406" t="s">
        <v>1433</v>
      </c>
      <c r="C254" s="1415">
        <v>0.43108297571040871</v>
      </c>
      <c r="D254" s="1416">
        <v>0.33761190977967281</v>
      </c>
      <c r="E254" s="1416">
        <v>387.112512187947</v>
      </c>
      <c r="F254" s="516">
        <f t="shared" si="6"/>
        <v>9.955806422130338E-2</v>
      </c>
      <c r="G254" s="1416">
        <v>5.1849999999999996</v>
      </c>
      <c r="H254" s="1416">
        <v>270</v>
      </c>
      <c r="I254" s="1416"/>
      <c r="J254" s="1416">
        <v>0.17505177522076035</v>
      </c>
      <c r="K254" s="1392">
        <v>0</v>
      </c>
      <c r="L254" s="1416"/>
      <c r="M254" s="1416">
        <f t="shared" si="7"/>
        <v>0.17505177522076035</v>
      </c>
    </row>
    <row r="255" spans="2:13">
      <c r="B255" s="1402" t="s">
        <v>1130</v>
      </c>
      <c r="C255" s="1415">
        <v>270.375</v>
      </c>
      <c r="D255" s="1416">
        <v>211.20960000000002</v>
      </c>
      <c r="E255" s="1416">
        <v>91927.5</v>
      </c>
      <c r="F255" s="516">
        <f t="shared" si="6"/>
        <v>0.26227934983010365</v>
      </c>
      <c r="G255" s="1416">
        <v>6.5674999999999999</v>
      </c>
      <c r="H255" s="1416">
        <v>277.5</v>
      </c>
      <c r="I255" s="1416"/>
      <c r="J255" s="1416">
        <v>138.71190480000001</v>
      </c>
      <c r="K255" s="1392">
        <v>22.4122528125</v>
      </c>
      <c r="L255" s="1416"/>
      <c r="M255" s="1416">
        <f t="shared" si="7"/>
        <v>161.12415761250003</v>
      </c>
    </row>
    <row r="256" spans="2:13">
      <c r="B256" s="1402" t="s">
        <v>1425</v>
      </c>
      <c r="C256" s="1415">
        <v>1485.0745999999999</v>
      </c>
      <c r="D256" s="1416">
        <v>1384.88004</v>
      </c>
      <c r="E256" s="1416">
        <v>603632.9935000001</v>
      </c>
      <c r="F256" s="516">
        <f t="shared" si="6"/>
        <v>0.2618997478094664</v>
      </c>
      <c r="G256" s="1416">
        <v>0</v>
      </c>
      <c r="H256" s="1416">
        <v>0</v>
      </c>
      <c r="I256" s="1416"/>
      <c r="J256" s="1416">
        <v>956.80153705610837</v>
      </c>
      <c r="K256" s="1392">
        <v>155.26365275835002</v>
      </c>
      <c r="L256" s="1416"/>
      <c r="M256" s="1416">
        <f t="shared" si="7"/>
        <v>1112.0651898144583</v>
      </c>
    </row>
    <row r="257" spans="2:13">
      <c r="B257" s="1409"/>
      <c r="C257" s="1415">
        <v>0</v>
      </c>
      <c r="D257" s="1416">
        <v>0</v>
      </c>
      <c r="E257" s="1416">
        <v>0</v>
      </c>
      <c r="F257" s="516">
        <f t="shared" si="6"/>
        <v>0</v>
      </c>
      <c r="G257" s="1416">
        <v>0</v>
      </c>
      <c r="H257" s="1416">
        <v>0</v>
      </c>
      <c r="I257" s="1416"/>
      <c r="J257" s="1416">
        <v>0</v>
      </c>
      <c r="K257" s="1392">
        <v>0</v>
      </c>
      <c r="L257" s="1416"/>
      <c r="M257" s="1416">
        <f t="shared" si="7"/>
        <v>0</v>
      </c>
    </row>
    <row r="258" spans="2:13">
      <c r="B258" s="1402" t="s">
        <v>1133</v>
      </c>
      <c r="C258" s="1415">
        <v>0</v>
      </c>
      <c r="D258" s="1416">
        <v>0</v>
      </c>
      <c r="E258" s="1416">
        <v>0</v>
      </c>
      <c r="F258" s="516">
        <f t="shared" si="6"/>
        <v>0</v>
      </c>
      <c r="G258" s="1416">
        <v>0</v>
      </c>
      <c r="H258" s="1416">
        <v>0</v>
      </c>
      <c r="I258" s="1416"/>
      <c r="J258" s="1416">
        <v>0</v>
      </c>
      <c r="K258" s="1392">
        <v>0</v>
      </c>
      <c r="L258" s="1416"/>
      <c r="M258" s="1416">
        <f t="shared" si="7"/>
        <v>0</v>
      </c>
    </row>
    <row r="259" spans="2:13">
      <c r="B259" s="1409" t="s">
        <v>1415</v>
      </c>
      <c r="C259" s="1415">
        <v>1</v>
      </c>
      <c r="D259" s="1416">
        <v>7.8573333333333331</v>
      </c>
      <c r="E259" s="1416">
        <v>10800</v>
      </c>
      <c r="F259" s="516">
        <f t="shared" si="6"/>
        <v>8.3051468515699861E-2</v>
      </c>
      <c r="G259" s="1416">
        <v>8.5</v>
      </c>
      <c r="H259" s="1416">
        <v>400</v>
      </c>
      <c r="I259" s="1416"/>
      <c r="J259" s="1416">
        <v>6.6787333333333336</v>
      </c>
      <c r="K259" s="1392">
        <v>3.8879999999999999</v>
      </c>
      <c r="L259" s="1416"/>
      <c r="M259" s="1416">
        <f t="shared" si="7"/>
        <v>10.566733333333334</v>
      </c>
    </row>
    <row r="260" spans="2:13">
      <c r="B260" s="1409" t="s">
        <v>1134</v>
      </c>
      <c r="C260" s="1415">
        <v>0</v>
      </c>
      <c r="D260" s="1416">
        <v>0</v>
      </c>
      <c r="E260" s="1416">
        <v>0</v>
      </c>
      <c r="F260" s="516">
        <f t="shared" si="6"/>
        <v>0</v>
      </c>
      <c r="G260" s="1416">
        <v>8.8000000000000007</v>
      </c>
      <c r="H260" s="1416">
        <v>400</v>
      </c>
      <c r="I260" s="1416"/>
      <c r="J260" s="1416">
        <v>0</v>
      </c>
      <c r="K260" s="1392">
        <v>0</v>
      </c>
      <c r="L260" s="1416"/>
      <c r="M260" s="1416">
        <f t="shared" si="7"/>
        <v>0</v>
      </c>
    </row>
    <row r="261" spans="2:13">
      <c r="B261" s="1409" t="s">
        <v>1135</v>
      </c>
      <c r="C261" s="1415">
        <v>0</v>
      </c>
      <c r="D261" s="1416">
        <v>0</v>
      </c>
      <c r="E261" s="1416">
        <v>0</v>
      </c>
      <c r="F261" s="516">
        <f t="shared" si="6"/>
        <v>0</v>
      </c>
      <c r="G261" s="1416">
        <v>7.3</v>
      </c>
      <c r="H261" s="1416">
        <v>300</v>
      </c>
      <c r="I261" s="1416"/>
      <c r="J261" s="1416">
        <v>0</v>
      </c>
      <c r="K261" s="1392">
        <v>0</v>
      </c>
      <c r="L261" s="1416"/>
      <c r="M261" s="1416">
        <f t="shared" si="7"/>
        <v>0</v>
      </c>
    </row>
    <row r="262" spans="2:13">
      <c r="B262" s="1402" t="s">
        <v>1425</v>
      </c>
      <c r="C262" s="1415">
        <v>1</v>
      </c>
      <c r="D262" s="1416">
        <v>7.8573333333333331</v>
      </c>
      <c r="E262" s="1416">
        <v>10800</v>
      </c>
      <c r="F262" s="516">
        <f t="shared" si="6"/>
        <v>8.3051468515699861E-2</v>
      </c>
      <c r="G262" s="1416">
        <v>0</v>
      </c>
      <c r="H262" s="1416">
        <v>0</v>
      </c>
      <c r="I262" s="1416"/>
      <c r="J262" s="1416">
        <v>6.6787333333333336</v>
      </c>
      <c r="K262" s="1392">
        <v>3.8879999999999999</v>
      </c>
      <c r="L262" s="1416"/>
      <c r="M262" s="1416">
        <f t="shared" si="7"/>
        <v>10.566733333333334</v>
      </c>
    </row>
    <row r="263" spans="2:13">
      <c r="B263" s="1409"/>
      <c r="C263" s="1415">
        <v>0</v>
      </c>
      <c r="D263" s="1416">
        <v>0</v>
      </c>
      <c r="E263" s="1416">
        <v>0</v>
      </c>
      <c r="F263" s="516">
        <f t="shared" si="6"/>
        <v>0</v>
      </c>
      <c r="G263" s="1416">
        <v>0</v>
      </c>
      <c r="H263" s="1416">
        <v>0</v>
      </c>
      <c r="I263" s="1416"/>
      <c r="J263" s="1416">
        <v>0</v>
      </c>
      <c r="K263" s="1392">
        <v>0</v>
      </c>
      <c r="L263" s="1416"/>
      <c r="M263" s="1416">
        <f t="shared" si="7"/>
        <v>0</v>
      </c>
    </row>
    <row r="264" spans="2:13">
      <c r="B264" s="1402" t="s">
        <v>1137</v>
      </c>
      <c r="C264" s="1415">
        <v>0</v>
      </c>
      <c r="D264" s="1416">
        <v>0</v>
      </c>
      <c r="E264" s="1416">
        <v>0</v>
      </c>
      <c r="F264" s="516">
        <f t="shared" si="6"/>
        <v>0</v>
      </c>
      <c r="G264" s="1416">
        <v>0</v>
      </c>
      <c r="H264" s="1416">
        <v>0</v>
      </c>
      <c r="I264" s="1416"/>
      <c r="J264" s="1416">
        <v>0</v>
      </c>
      <c r="K264" s="1392">
        <v>0</v>
      </c>
      <c r="L264" s="1416"/>
      <c r="M264" s="1416">
        <f t="shared" si="7"/>
        <v>0</v>
      </c>
    </row>
    <row r="265" spans="2:13">
      <c r="B265" s="1409" t="s">
        <v>1138</v>
      </c>
      <c r="C265" s="1415">
        <v>40.804000000000002</v>
      </c>
      <c r="D265" s="1416">
        <v>159.74281200000001</v>
      </c>
      <c r="E265" s="1416">
        <v>38951.498400000004</v>
      </c>
      <c r="F265" s="516">
        <f t="shared" si="6"/>
        <v>0.46815864783054939</v>
      </c>
      <c r="G265" s="1416">
        <v>8.5</v>
      </c>
      <c r="H265" s="1416">
        <v>350</v>
      </c>
      <c r="I265" s="1416"/>
      <c r="J265" s="1416">
        <v>135.7813902</v>
      </c>
      <c r="K265" s="1392">
        <v>12.208980798000002</v>
      </c>
      <c r="L265" s="1416"/>
      <c r="M265" s="1416">
        <f t="shared" si="7"/>
        <v>147.990370998</v>
      </c>
    </row>
    <row r="266" spans="2:13">
      <c r="B266" s="1409" t="s">
        <v>1139</v>
      </c>
      <c r="C266" s="1415">
        <v>17.341700000000003</v>
      </c>
      <c r="D266" s="1416">
        <v>330.81679380000003</v>
      </c>
      <c r="E266" s="1416">
        <v>92778.095000000001</v>
      </c>
      <c r="F266" s="516">
        <f t="shared" ref="F266:F274" si="8">IFERROR(D266/(E266*24*365/10^6),0)</f>
        <v>0.40704084491152992</v>
      </c>
      <c r="G266" s="1416">
        <v>8.4</v>
      </c>
      <c r="H266" s="1416">
        <v>340</v>
      </c>
      <c r="I266" s="1416"/>
      <c r="J266" s="1416">
        <v>277.88610679200008</v>
      </c>
      <c r="K266" s="1392">
        <v>28.249552034999997</v>
      </c>
      <c r="L266" s="1416"/>
      <c r="M266" s="1416">
        <f t="shared" ref="M266:M274" si="9">SUM(J266:L266)</f>
        <v>306.1356588270001</v>
      </c>
    </row>
    <row r="267" spans="2:13">
      <c r="B267" s="1409" t="s">
        <v>1140</v>
      </c>
      <c r="C267" s="1415">
        <v>0</v>
      </c>
      <c r="D267" s="1416">
        <v>0</v>
      </c>
      <c r="E267" s="1416">
        <v>0</v>
      </c>
      <c r="F267" s="516">
        <f t="shared" si="8"/>
        <v>0</v>
      </c>
      <c r="G267" s="1416">
        <v>8.25</v>
      </c>
      <c r="H267" s="1416">
        <v>330</v>
      </c>
      <c r="I267" s="1416"/>
      <c r="J267" s="1416">
        <v>0</v>
      </c>
      <c r="K267" s="1392">
        <v>0</v>
      </c>
      <c r="L267" s="1416"/>
      <c r="M267" s="1416">
        <f t="shared" si="9"/>
        <v>0</v>
      </c>
    </row>
    <row r="268" spans="2:13">
      <c r="B268" s="1402" t="s">
        <v>1425</v>
      </c>
      <c r="C268" s="1415">
        <v>58.145700000000005</v>
      </c>
      <c r="D268" s="1416">
        <v>490.55960580000004</v>
      </c>
      <c r="E268" s="1416">
        <v>131729.59340000001</v>
      </c>
      <c r="F268" s="516">
        <f t="shared" si="8"/>
        <v>0.42511294200958194</v>
      </c>
      <c r="G268" s="1416">
        <v>0</v>
      </c>
      <c r="H268" s="1416">
        <v>0</v>
      </c>
      <c r="I268" s="1416"/>
      <c r="J268" s="1416">
        <v>413.66749699200011</v>
      </c>
      <c r="K268" s="1392">
        <v>40.458532833</v>
      </c>
      <c r="L268" s="1416"/>
      <c r="M268" s="1416">
        <f t="shared" si="9"/>
        <v>454.1260298250001</v>
      </c>
    </row>
    <row r="269" spans="2:13">
      <c r="B269" s="1409"/>
      <c r="C269" s="1415">
        <v>0</v>
      </c>
      <c r="D269" s="1416">
        <v>0</v>
      </c>
      <c r="E269" s="1416">
        <v>0</v>
      </c>
      <c r="F269" s="516">
        <f t="shared" si="8"/>
        <v>0</v>
      </c>
      <c r="G269" s="1416">
        <v>0</v>
      </c>
      <c r="H269" s="1416">
        <v>0</v>
      </c>
      <c r="I269" s="1416"/>
      <c r="J269" s="1416">
        <v>0</v>
      </c>
      <c r="K269" s="1392">
        <v>0</v>
      </c>
      <c r="L269" s="1416"/>
      <c r="M269" s="1416">
        <f t="shared" si="9"/>
        <v>0</v>
      </c>
    </row>
    <row r="270" spans="2:13">
      <c r="B270" s="1402" t="s">
        <v>1434</v>
      </c>
      <c r="C270" s="1415">
        <v>1</v>
      </c>
      <c r="D270" s="1416">
        <v>2.8090000000000002</v>
      </c>
      <c r="E270" s="1416">
        <v>410</v>
      </c>
      <c r="F270" s="516">
        <f t="shared" si="8"/>
        <v>0.78210268404053906</v>
      </c>
      <c r="G270" s="1416">
        <v>7.83</v>
      </c>
      <c r="H270" s="1416">
        <v>0</v>
      </c>
      <c r="I270" s="1416"/>
      <c r="J270" s="1416">
        <v>2.1994470000000002</v>
      </c>
      <c r="K270" s="1392">
        <v>0</v>
      </c>
      <c r="L270" s="1416"/>
      <c r="M270" s="1416">
        <f t="shared" si="9"/>
        <v>2.1994470000000002</v>
      </c>
    </row>
    <row r="271" spans="2:13">
      <c r="B271" s="1409"/>
      <c r="C271" s="1415">
        <v>0</v>
      </c>
      <c r="D271" s="1416">
        <v>0</v>
      </c>
      <c r="E271" s="1416">
        <v>0</v>
      </c>
      <c r="F271" s="516">
        <f t="shared" si="8"/>
        <v>0</v>
      </c>
      <c r="G271" s="1416">
        <v>0</v>
      </c>
      <c r="H271" s="1416">
        <v>0</v>
      </c>
      <c r="I271" s="1416"/>
      <c r="J271" s="1416">
        <v>0</v>
      </c>
      <c r="K271" s="1392">
        <v>0</v>
      </c>
      <c r="L271" s="1416"/>
      <c r="M271" s="1416">
        <f t="shared" si="9"/>
        <v>0</v>
      </c>
    </row>
    <row r="272" spans="2:13">
      <c r="B272" s="1402" t="s">
        <v>1470</v>
      </c>
      <c r="C272" s="1415">
        <v>0</v>
      </c>
      <c r="D272" s="1416">
        <v>0</v>
      </c>
      <c r="E272" s="1416">
        <v>0</v>
      </c>
      <c r="F272" s="516">
        <f t="shared" si="8"/>
        <v>0</v>
      </c>
      <c r="G272" s="1416">
        <v>4.9814121205105115</v>
      </c>
      <c r="H272" s="1416">
        <v>0</v>
      </c>
      <c r="I272" s="1416"/>
      <c r="J272" s="1416">
        <v>0</v>
      </c>
      <c r="K272" s="1392">
        <v>0</v>
      </c>
      <c r="L272" s="1416"/>
      <c r="M272" s="1416">
        <f t="shared" si="9"/>
        <v>0</v>
      </c>
    </row>
    <row r="273" spans="2:13">
      <c r="B273" s="1409"/>
      <c r="C273" s="1415">
        <v>0</v>
      </c>
      <c r="D273" s="1416">
        <v>0</v>
      </c>
      <c r="E273" s="1416">
        <v>0</v>
      </c>
      <c r="F273" s="516">
        <f t="shared" si="8"/>
        <v>0</v>
      </c>
      <c r="G273" s="1416">
        <v>0</v>
      </c>
      <c r="H273" s="1416">
        <v>0</v>
      </c>
      <c r="I273" s="1416"/>
      <c r="J273" s="1416">
        <v>0</v>
      </c>
      <c r="K273" s="1392">
        <v>0</v>
      </c>
      <c r="L273" s="1416"/>
      <c r="M273" s="1416">
        <f t="shared" si="9"/>
        <v>0</v>
      </c>
    </row>
    <row r="274" spans="2:13">
      <c r="B274" s="1402" t="s">
        <v>126</v>
      </c>
      <c r="C274" s="1415">
        <v>9428037.6161499992</v>
      </c>
      <c r="D274" s="1416">
        <v>22660.994932223985</v>
      </c>
      <c r="E274" s="1416">
        <v>15046637.830860185</v>
      </c>
      <c r="F274" s="516">
        <f t="shared" si="8"/>
        <v>0.17192356170757861</v>
      </c>
      <c r="G274" s="1416">
        <v>0</v>
      </c>
      <c r="H274" s="1416">
        <v>0</v>
      </c>
      <c r="I274" s="1416"/>
      <c r="J274" s="1416">
        <v>10727.808341231625</v>
      </c>
      <c r="K274" s="1392">
        <v>2994.5287072223155</v>
      </c>
      <c r="L274" s="1416"/>
      <c r="M274" s="1416">
        <f t="shared" si="9"/>
        <v>13722.337048453941</v>
      </c>
    </row>
  </sheetData>
  <mergeCells count="5">
    <mergeCell ref="A5:A8"/>
    <mergeCell ref="B5:B8"/>
    <mergeCell ref="C5:M5"/>
    <mergeCell ref="C6:M6"/>
    <mergeCell ref="C7:M7"/>
  </mergeCells>
  <printOptions horizontalCentered="1"/>
  <pageMargins left="0.19685039370078741" right="0.19685039370078741" top="0.19685039370078741" bottom="0.19685039370078741" header="0.19685039370078741" footer="0.19685039370078741"/>
  <pageSetup paperSize="9" scale="6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7"/>
  <sheetViews>
    <sheetView tabSelected="1" view="pageBreakPreview" zoomScale="90" zoomScaleSheetLayoutView="90" workbookViewId="0">
      <pane xSplit="2" ySplit="9" topLeftCell="S10" activePane="bottomRight" state="frozen"/>
      <selection activeCell="C105" sqref="C105"/>
      <selection pane="topRight" activeCell="C105" sqref="C105"/>
      <selection pane="bottomLeft" activeCell="C105" sqref="C105"/>
      <selection pane="bottomRight" activeCell="W1" sqref="W1"/>
    </sheetView>
  </sheetViews>
  <sheetFormatPr defaultRowHeight="14.5"/>
  <cols>
    <col min="1" max="1" width="5.7265625" style="229" customWidth="1"/>
    <col min="2" max="2" width="82" style="229" bestFit="1" customWidth="1"/>
    <col min="3" max="6" width="13.81640625" style="229" customWidth="1"/>
    <col min="7" max="7" width="13.81640625" style="1025" customWidth="1"/>
    <col min="8" max="10" width="13.81640625" style="229" customWidth="1"/>
    <col min="11" max="11" width="13.81640625" style="1025" customWidth="1"/>
    <col min="12" max="12" width="13.81640625" style="229" customWidth="1"/>
    <col min="13" max="13" width="13.81640625" style="1025" customWidth="1"/>
    <col min="14" max="16" width="13.81640625" style="229" customWidth="1"/>
    <col min="17" max="17" width="13.81640625" style="1025" customWidth="1"/>
    <col min="18" max="18" width="13.81640625" style="229" customWidth="1"/>
    <col min="19" max="19" width="13.81640625" style="1025" customWidth="1"/>
    <col min="20" max="22" width="13.81640625" style="229" customWidth="1"/>
    <col min="23" max="23" width="13.81640625" style="1025" customWidth="1"/>
    <col min="24" max="24" width="13.81640625" style="229" customWidth="1"/>
    <col min="25" max="222" width="9.1796875" style="229"/>
    <col min="223" max="223" width="4.81640625" style="229" customWidth="1"/>
    <col min="224" max="224" width="33.7265625" style="229" customWidth="1"/>
    <col min="225" max="226" width="11.453125" style="229" customWidth="1"/>
    <col min="227" max="227" width="11" style="229" customWidth="1"/>
    <col min="228" max="236" width="11.1796875" style="229" customWidth="1"/>
    <col min="237" max="237" width="15.26953125" style="229" customWidth="1"/>
    <col min="238" max="238" width="11.453125" style="229" customWidth="1"/>
    <col min="239" max="239" width="10.26953125" style="229" customWidth="1"/>
    <col min="240" max="240" width="9.54296875" style="229" customWidth="1"/>
    <col min="241" max="241" width="15.1796875" style="229" customWidth="1"/>
    <col min="242" max="242" width="12.26953125" style="229" customWidth="1"/>
    <col min="243" max="243" width="11.26953125" style="229" customWidth="1"/>
    <col min="244" max="244" width="9.1796875" style="229"/>
    <col min="245" max="245" width="15.1796875" style="229" customWidth="1"/>
    <col min="246" max="246" width="12.26953125" style="229" customWidth="1"/>
    <col min="247" max="247" width="10.7265625" style="229" customWidth="1"/>
    <col min="248" max="252" width="9.1796875" style="229"/>
    <col min="253" max="253" width="15.1796875" style="229" customWidth="1"/>
    <col min="254" max="254" width="11.453125" style="229" customWidth="1"/>
    <col min="255" max="255" width="11.26953125" style="229" customWidth="1"/>
    <col min="256" max="478" width="9.1796875" style="229"/>
    <col min="479" max="479" width="4.81640625" style="229" customWidth="1"/>
    <col min="480" max="480" width="33.7265625" style="229" customWidth="1"/>
    <col min="481" max="482" width="11.453125" style="229" customWidth="1"/>
    <col min="483" max="483" width="11" style="229" customWidth="1"/>
    <col min="484" max="492" width="11.1796875" style="229" customWidth="1"/>
    <col min="493" max="493" width="15.26953125" style="229" customWidth="1"/>
    <col min="494" max="494" width="11.453125" style="229" customWidth="1"/>
    <col min="495" max="495" width="10.26953125" style="229" customWidth="1"/>
    <col min="496" max="496" width="9.54296875" style="229" customWidth="1"/>
    <col min="497" max="497" width="15.1796875" style="229" customWidth="1"/>
    <col min="498" max="498" width="12.26953125" style="229" customWidth="1"/>
    <col min="499" max="499" width="11.26953125" style="229" customWidth="1"/>
    <col min="500" max="500" width="9.1796875" style="229"/>
    <col min="501" max="501" width="15.1796875" style="229" customWidth="1"/>
    <col min="502" max="502" width="12.26953125" style="229" customWidth="1"/>
    <col min="503" max="503" width="10.7265625" style="229" customWidth="1"/>
    <col min="504" max="508" width="9.1796875" style="229"/>
    <col min="509" max="509" width="15.1796875" style="229" customWidth="1"/>
    <col min="510" max="510" width="11.453125" style="229" customWidth="1"/>
    <col min="511" max="511" width="11.26953125" style="229" customWidth="1"/>
    <col min="512" max="734" width="9.1796875" style="229"/>
    <col min="735" max="735" width="4.81640625" style="229" customWidth="1"/>
    <col min="736" max="736" width="33.7265625" style="229" customWidth="1"/>
    <col min="737" max="738" width="11.453125" style="229" customWidth="1"/>
    <col min="739" max="739" width="11" style="229" customWidth="1"/>
    <col min="740" max="748" width="11.1796875" style="229" customWidth="1"/>
    <col min="749" max="749" width="15.26953125" style="229" customWidth="1"/>
    <col min="750" max="750" width="11.453125" style="229" customWidth="1"/>
    <col min="751" max="751" width="10.26953125" style="229" customWidth="1"/>
    <col min="752" max="752" width="9.54296875" style="229" customWidth="1"/>
    <col min="753" max="753" width="15.1796875" style="229" customWidth="1"/>
    <col min="754" max="754" width="12.26953125" style="229" customWidth="1"/>
    <col min="755" max="755" width="11.26953125" style="229" customWidth="1"/>
    <col min="756" max="756" width="9.1796875" style="229"/>
    <col min="757" max="757" width="15.1796875" style="229" customWidth="1"/>
    <col min="758" max="758" width="12.26953125" style="229" customWidth="1"/>
    <col min="759" max="759" width="10.7265625" style="229" customWidth="1"/>
    <col min="760" max="764" width="9.1796875" style="229"/>
    <col min="765" max="765" width="15.1796875" style="229" customWidth="1"/>
    <col min="766" max="766" width="11.453125" style="229" customWidth="1"/>
    <col min="767" max="767" width="11.26953125" style="229" customWidth="1"/>
    <col min="768" max="990" width="9.1796875" style="229"/>
    <col min="991" max="991" width="4.81640625" style="229" customWidth="1"/>
    <col min="992" max="992" width="33.7265625" style="229" customWidth="1"/>
    <col min="993" max="994" width="11.453125" style="229" customWidth="1"/>
    <col min="995" max="995" width="11" style="229" customWidth="1"/>
    <col min="996" max="1004" width="11.1796875" style="229" customWidth="1"/>
    <col min="1005" max="1005" width="15.26953125" style="229" customWidth="1"/>
    <col min="1006" max="1006" width="11.453125" style="229" customWidth="1"/>
    <col min="1007" max="1007" width="10.26953125" style="229" customWidth="1"/>
    <col min="1008" max="1008" width="9.54296875" style="229" customWidth="1"/>
    <col min="1009" max="1009" width="15.1796875" style="229" customWidth="1"/>
    <col min="1010" max="1010" width="12.26953125" style="229" customWidth="1"/>
    <col min="1011" max="1011" width="11.26953125" style="229" customWidth="1"/>
    <col min="1012" max="1012" width="9.1796875" style="229"/>
    <col min="1013" max="1013" width="15.1796875" style="229" customWidth="1"/>
    <col min="1014" max="1014" width="12.26953125" style="229" customWidth="1"/>
    <col min="1015" max="1015" width="10.7265625" style="229" customWidth="1"/>
    <col min="1016" max="1020" width="9.1796875" style="229"/>
    <col min="1021" max="1021" width="15.1796875" style="229" customWidth="1"/>
    <col min="1022" max="1022" width="11.453125" style="229" customWidth="1"/>
    <col min="1023" max="1023" width="11.26953125" style="229" customWidth="1"/>
    <col min="1024" max="1246" width="9.1796875" style="229"/>
    <col min="1247" max="1247" width="4.81640625" style="229" customWidth="1"/>
    <col min="1248" max="1248" width="33.7265625" style="229" customWidth="1"/>
    <col min="1249" max="1250" width="11.453125" style="229" customWidth="1"/>
    <col min="1251" max="1251" width="11" style="229" customWidth="1"/>
    <col min="1252" max="1260" width="11.1796875" style="229" customWidth="1"/>
    <col min="1261" max="1261" width="15.26953125" style="229" customWidth="1"/>
    <col min="1262" max="1262" width="11.453125" style="229" customWidth="1"/>
    <col min="1263" max="1263" width="10.26953125" style="229" customWidth="1"/>
    <col min="1264" max="1264" width="9.54296875" style="229" customWidth="1"/>
    <col min="1265" max="1265" width="15.1796875" style="229" customWidth="1"/>
    <col min="1266" max="1266" width="12.26953125" style="229" customWidth="1"/>
    <col min="1267" max="1267" width="11.26953125" style="229" customWidth="1"/>
    <col min="1268" max="1268" width="9.1796875" style="229"/>
    <col min="1269" max="1269" width="15.1796875" style="229" customWidth="1"/>
    <col min="1270" max="1270" width="12.26953125" style="229" customWidth="1"/>
    <col min="1271" max="1271" width="10.7265625" style="229" customWidth="1"/>
    <col min="1272" max="1276" width="9.1796875" style="229"/>
    <col min="1277" max="1277" width="15.1796875" style="229" customWidth="1"/>
    <col min="1278" max="1278" width="11.453125" style="229" customWidth="1"/>
    <col min="1279" max="1279" width="11.26953125" style="229" customWidth="1"/>
    <col min="1280" max="1502" width="9.1796875" style="229"/>
    <col min="1503" max="1503" width="4.81640625" style="229" customWidth="1"/>
    <col min="1504" max="1504" width="33.7265625" style="229" customWidth="1"/>
    <col min="1505" max="1506" width="11.453125" style="229" customWidth="1"/>
    <col min="1507" max="1507" width="11" style="229" customWidth="1"/>
    <col min="1508" max="1516" width="11.1796875" style="229" customWidth="1"/>
    <col min="1517" max="1517" width="15.26953125" style="229" customWidth="1"/>
    <col min="1518" max="1518" width="11.453125" style="229" customWidth="1"/>
    <col min="1519" max="1519" width="10.26953125" style="229" customWidth="1"/>
    <col min="1520" max="1520" width="9.54296875" style="229" customWidth="1"/>
    <col min="1521" max="1521" width="15.1796875" style="229" customWidth="1"/>
    <col min="1522" max="1522" width="12.26953125" style="229" customWidth="1"/>
    <col min="1523" max="1523" width="11.26953125" style="229" customWidth="1"/>
    <col min="1524" max="1524" width="9.1796875" style="229"/>
    <col min="1525" max="1525" width="15.1796875" style="229" customWidth="1"/>
    <col min="1526" max="1526" width="12.26953125" style="229" customWidth="1"/>
    <col min="1527" max="1527" width="10.7265625" style="229" customWidth="1"/>
    <col min="1528" max="1532" width="9.1796875" style="229"/>
    <col min="1533" max="1533" width="15.1796875" style="229" customWidth="1"/>
    <col min="1534" max="1534" width="11.453125" style="229" customWidth="1"/>
    <col min="1535" max="1535" width="11.26953125" style="229" customWidth="1"/>
    <col min="1536" max="1758" width="9.1796875" style="229"/>
    <col min="1759" max="1759" width="4.81640625" style="229" customWidth="1"/>
    <col min="1760" max="1760" width="33.7265625" style="229" customWidth="1"/>
    <col min="1761" max="1762" width="11.453125" style="229" customWidth="1"/>
    <col min="1763" max="1763" width="11" style="229" customWidth="1"/>
    <col min="1764" max="1772" width="11.1796875" style="229" customWidth="1"/>
    <col min="1773" max="1773" width="15.26953125" style="229" customWidth="1"/>
    <col min="1774" max="1774" width="11.453125" style="229" customWidth="1"/>
    <col min="1775" max="1775" width="10.26953125" style="229" customWidth="1"/>
    <col min="1776" max="1776" width="9.54296875" style="229" customWidth="1"/>
    <col min="1777" max="1777" width="15.1796875" style="229" customWidth="1"/>
    <col min="1778" max="1778" width="12.26953125" style="229" customWidth="1"/>
    <col min="1779" max="1779" width="11.26953125" style="229" customWidth="1"/>
    <col min="1780" max="1780" width="9.1796875" style="229"/>
    <col min="1781" max="1781" width="15.1796875" style="229" customWidth="1"/>
    <col min="1782" max="1782" width="12.26953125" style="229" customWidth="1"/>
    <col min="1783" max="1783" width="10.7265625" style="229" customWidth="1"/>
    <col min="1784" max="1788" width="9.1796875" style="229"/>
    <col min="1789" max="1789" width="15.1796875" style="229" customWidth="1"/>
    <col min="1790" max="1790" width="11.453125" style="229" customWidth="1"/>
    <col min="1791" max="1791" width="11.26953125" style="229" customWidth="1"/>
    <col min="1792" max="2014" width="9.1796875" style="229"/>
    <col min="2015" max="2015" width="4.81640625" style="229" customWidth="1"/>
    <col min="2016" max="2016" width="33.7265625" style="229" customWidth="1"/>
    <col min="2017" max="2018" width="11.453125" style="229" customWidth="1"/>
    <col min="2019" max="2019" width="11" style="229" customWidth="1"/>
    <col min="2020" max="2028" width="11.1796875" style="229" customWidth="1"/>
    <col min="2029" max="2029" width="15.26953125" style="229" customWidth="1"/>
    <col min="2030" max="2030" width="11.453125" style="229" customWidth="1"/>
    <col min="2031" max="2031" width="10.26953125" style="229" customWidth="1"/>
    <col min="2032" max="2032" width="9.54296875" style="229" customWidth="1"/>
    <col min="2033" max="2033" width="15.1796875" style="229" customWidth="1"/>
    <col min="2034" max="2034" width="12.26953125" style="229" customWidth="1"/>
    <col min="2035" max="2035" width="11.26953125" style="229" customWidth="1"/>
    <col min="2036" max="2036" width="9.1796875" style="229"/>
    <col min="2037" max="2037" width="15.1796875" style="229" customWidth="1"/>
    <col min="2038" max="2038" width="12.26953125" style="229" customWidth="1"/>
    <col min="2039" max="2039" width="10.7265625" style="229" customWidth="1"/>
    <col min="2040" max="2044" width="9.1796875" style="229"/>
    <col min="2045" max="2045" width="15.1796875" style="229" customWidth="1"/>
    <col min="2046" max="2046" width="11.453125" style="229" customWidth="1"/>
    <col min="2047" max="2047" width="11.26953125" style="229" customWidth="1"/>
    <col min="2048" max="2270" width="9.1796875" style="229"/>
    <col min="2271" max="2271" width="4.81640625" style="229" customWidth="1"/>
    <col min="2272" max="2272" width="33.7265625" style="229" customWidth="1"/>
    <col min="2273" max="2274" width="11.453125" style="229" customWidth="1"/>
    <col min="2275" max="2275" width="11" style="229" customWidth="1"/>
    <col min="2276" max="2284" width="11.1796875" style="229" customWidth="1"/>
    <col min="2285" max="2285" width="15.26953125" style="229" customWidth="1"/>
    <col min="2286" max="2286" width="11.453125" style="229" customWidth="1"/>
    <col min="2287" max="2287" width="10.26953125" style="229" customWidth="1"/>
    <col min="2288" max="2288" width="9.54296875" style="229" customWidth="1"/>
    <col min="2289" max="2289" width="15.1796875" style="229" customWidth="1"/>
    <col min="2290" max="2290" width="12.26953125" style="229" customWidth="1"/>
    <col min="2291" max="2291" width="11.26953125" style="229" customWidth="1"/>
    <col min="2292" max="2292" width="9.1796875" style="229"/>
    <col min="2293" max="2293" width="15.1796875" style="229" customWidth="1"/>
    <col min="2294" max="2294" width="12.26953125" style="229" customWidth="1"/>
    <col min="2295" max="2295" width="10.7265625" style="229" customWidth="1"/>
    <col min="2296" max="2300" width="9.1796875" style="229"/>
    <col min="2301" max="2301" width="15.1796875" style="229" customWidth="1"/>
    <col min="2302" max="2302" width="11.453125" style="229" customWidth="1"/>
    <col min="2303" max="2303" width="11.26953125" style="229" customWidth="1"/>
    <col min="2304" max="2526" width="9.1796875" style="229"/>
    <col min="2527" max="2527" width="4.81640625" style="229" customWidth="1"/>
    <col min="2528" max="2528" width="33.7265625" style="229" customWidth="1"/>
    <col min="2529" max="2530" width="11.453125" style="229" customWidth="1"/>
    <col min="2531" max="2531" width="11" style="229" customWidth="1"/>
    <col min="2532" max="2540" width="11.1796875" style="229" customWidth="1"/>
    <col min="2541" max="2541" width="15.26953125" style="229" customWidth="1"/>
    <col min="2542" max="2542" width="11.453125" style="229" customWidth="1"/>
    <col min="2543" max="2543" width="10.26953125" style="229" customWidth="1"/>
    <col min="2544" max="2544" width="9.54296875" style="229" customWidth="1"/>
    <col min="2545" max="2545" width="15.1796875" style="229" customWidth="1"/>
    <col min="2546" max="2546" width="12.26953125" style="229" customWidth="1"/>
    <col min="2547" max="2547" width="11.26953125" style="229" customWidth="1"/>
    <col min="2548" max="2548" width="9.1796875" style="229"/>
    <col min="2549" max="2549" width="15.1796875" style="229" customWidth="1"/>
    <col min="2550" max="2550" width="12.26953125" style="229" customWidth="1"/>
    <col min="2551" max="2551" width="10.7265625" style="229" customWidth="1"/>
    <col min="2552" max="2556" width="9.1796875" style="229"/>
    <col min="2557" max="2557" width="15.1796875" style="229" customWidth="1"/>
    <col min="2558" max="2558" width="11.453125" style="229" customWidth="1"/>
    <col min="2559" max="2559" width="11.26953125" style="229" customWidth="1"/>
    <col min="2560" max="2782" width="9.1796875" style="229"/>
    <col min="2783" max="2783" width="4.81640625" style="229" customWidth="1"/>
    <col min="2784" max="2784" width="33.7265625" style="229" customWidth="1"/>
    <col min="2785" max="2786" width="11.453125" style="229" customWidth="1"/>
    <col min="2787" max="2787" width="11" style="229" customWidth="1"/>
    <col min="2788" max="2796" width="11.1796875" style="229" customWidth="1"/>
    <col min="2797" max="2797" width="15.26953125" style="229" customWidth="1"/>
    <col min="2798" max="2798" width="11.453125" style="229" customWidth="1"/>
    <col min="2799" max="2799" width="10.26953125" style="229" customWidth="1"/>
    <col min="2800" max="2800" width="9.54296875" style="229" customWidth="1"/>
    <col min="2801" max="2801" width="15.1796875" style="229" customWidth="1"/>
    <col min="2802" max="2802" width="12.26953125" style="229" customWidth="1"/>
    <col min="2803" max="2803" width="11.26953125" style="229" customWidth="1"/>
    <col min="2804" max="2804" width="9.1796875" style="229"/>
    <col min="2805" max="2805" width="15.1796875" style="229" customWidth="1"/>
    <col min="2806" max="2806" width="12.26953125" style="229" customWidth="1"/>
    <col min="2807" max="2807" width="10.7265625" style="229" customWidth="1"/>
    <col min="2808" max="2812" width="9.1796875" style="229"/>
    <col min="2813" max="2813" width="15.1796875" style="229" customWidth="1"/>
    <col min="2814" max="2814" width="11.453125" style="229" customWidth="1"/>
    <col min="2815" max="2815" width="11.26953125" style="229" customWidth="1"/>
    <col min="2816" max="3038" width="9.1796875" style="229"/>
    <col min="3039" max="3039" width="4.81640625" style="229" customWidth="1"/>
    <col min="3040" max="3040" width="33.7265625" style="229" customWidth="1"/>
    <col min="3041" max="3042" width="11.453125" style="229" customWidth="1"/>
    <col min="3043" max="3043" width="11" style="229" customWidth="1"/>
    <col min="3044" max="3052" width="11.1796875" style="229" customWidth="1"/>
    <col min="3053" max="3053" width="15.26953125" style="229" customWidth="1"/>
    <col min="3054" max="3054" width="11.453125" style="229" customWidth="1"/>
    <col min="3055" max="3055" width="10.26953125" style="229" customWidth="1"/>
    <col min="3056" max="3056" width="9.54296875" style="229" customWidth="1"/>
    <col min="3057" max="3057" width="15.1796875" style="229" customWidth="1"/>
    <col min="3058" max="3058" width="12.26953125" style="229" customWidth="1"/>
    <col min="3059" max="3059" width="11.26953125" style="229" customWidth="1"/>
    <col min="3060" max="3060" width="9.1796875" style="229"/>
    <col min="3061" max="3061" width="15.1796875" style="229" customWidth="1"/>
    <col min="3062" max="3062" width="12.26953125" style="229" customWidth="1"/>
    <col min="3063" max="3063" width="10.7265625" style="229" customWidth="1"/>
    <col min="3064" max="3068" width="9.1796875" style="229"/>
    <col min="3069" max="3069" width="15.1796875" style="229" customWidth="1"/>
    <col min="3070" max="3070" width="11.453125" style="229" customWidth="1"/>
    <col min="3071" max="3071" width="11.26953125" style="229" customWidth="1"/>
    <col min="3072" max="3294" width="9.1796875" style="229"/>
    <col min="3295" max="3295" width="4.81640625" style="229" customWidth="1"/>
    <col min="3296" max="3296" width="33.7265625" style="229" customWidth="1"/>
    <col min="3297" max="3298" width="11.453125" style="229" customWidth="1"/>
    <col min="3299" max="3299" width="11" style="229" customWidth="1"/>
    <col min="3300" max="3308" width="11.1796875" style="229" customWidth="1"/>
    <col min="3309" max="3309" width="15.26953125" style="229" customWidth="1"/>
    <col min="3310" max="3310" width="11.453125" style="229" customWidth="1"/>
    <col min="3311" max="3311" width="10.26953125" style="229" customWidth="1"/>
    <col min="3312" max="3312" width="9.54296875" style="229" customWidth="1"/>
    <col min="3313" max="3313" width="15.1796875" style="229" customWidth="1"/>
    <col min="3314" max="3314" width="12.26953125" style="229" customWidth="1"/>
    <col min="3315" max="3315" width="11.26953125" style="229" customWidth="1"/>
    <col min="3316" max="3316" width="9.1796875" style="229"/>
    <col min="3317" max="3317" width="15.1796875" style="229" customWidth="1"/>
    <col min="3318" max="3318" width="12.26953125" style="229" customWidth="1"/>
    <col min="3319" max="3319" width="10.7265625" style="229" customWidth="1"/>
    <col min="3320" max="3324" width="9.1796875" style="229"/>
    <col min="3325" max="3325" width="15.1796875" style="229" customWidth="1"/>
    <col min="3326" max="3326" width="11.453125" style="229" customWidth="1"/>
    <col min="3327" max="3327" width="11.26953125" style="229" customWidth="1"/>
    <col min="3328" max="3550" width="9.1796875" style="229"/>
    <col min="3551" max="3551" width="4.81640625" style="229" customWidth="1"/>
    <col min="3552" max="3552" width="33.7265625" style="229" customWidth="1"/>
    <col min="3553" max="3554" width="11.453125" style="229" customWidth="1"/>
    <col min="3555" max="3555" width="11" style="229" customWidth="1"/>
    <col min="3556" max="3564" width="11.1796875" style="229" customWidth="1"/>
    <col min="3565" max="3565" width="15.26953125" style="229" customWidth="1"/>
    <col min="3566" max="3566" width="11.453125" style="229" customWidth="1"/>
    <col min="3567" max="3567" width="10.26953125" style="229" customWidth="1"/>
    <col min="3568" max="3568" width="9.54296875" style="229" customWidth="1"/>
    <col min="3569" max="3569" width="15.1796875" style="229" customWidth="1"/>
    <col min="3570" max="3570" width="12.26953125" style="229" customWidth="1"/>
    <col min="3571" max="3571" width="11.26953125" style="229" customWidth="1"/>
    <col min="3572" max="3572" width="9.1796875" style="229"/>
    <col min="3573" max="3573" width="15.1796875" style="229" customWidth="1"/>
    <col min="3574" max="3574" width="12.26953125" style="229" customWidth="1"/>
    <col min="3575" max="3575" width="10.7265625" style="229" customWidth="1"/>
    <col min="3576" max="3580" width="9.1796875" style="229"/>
    <col min="3581" max="3581" width="15.1796875" style="229" customWidth="1"/>
    <col min="3582" max="3582" width="11.453125" style="229" customWidth="1"/>
    <col min="3583" max="3583" width="11.26953125" style="229" customWidth="1"/>
    <col min="3584" max="3806" width="9.1796875" style="229"/>
    <col min="3807" max="3807" width="4.81640625" style="229" customWidth="1"/>
    <col min="3808" max="3808" width="33.7265625" style="229" customWidth="1"/>
    <col min="3809" max="3810" width="11.453125" style="229" customWidth="1"/>
    <col min="3811" max="3811" width="11" style="229" customWidth="1"/>
    <col min="3812" max="3820" width="11.1796875" style="229" customWidth="1"/>
    <col min="3821" max="3821" width="15.26953125" style="229" customWidth="1"/>
    <col min="3822" max="3822" width="11.453125" style="229" customWidth="1"/>
    <col min="3823" max="3823" width="10.26953125" style="229" customWidth="1"/>
    <col min="3824" max="3824" width="9.54296875" style="229" customWidth="1"/>
    <col min="3825" max="3825" width="15.1796875" style="229" customWidth="1"/>
    <col min="3826" max="3826" width="12.26953125" style="229" customWidth="1"/>
    <col min="3827" max="3827" width="11.26953125" style="229" customWidth="1"/>
    <col min="3828" max="3828" width="9.1796875" style="229"/>
    <col min="3829" max="3829" width="15.1796875" style="229" customWidth="1"/>
    <col min="3830" max="3830" width="12.26953125" style="229" customWidth="1"/>
    <col min="3831" max="3831" width="10.7265625" style="229" customWidth="1"/>
    <col min="3832" max="3836" width="9.1796875" style="229"/>
    <col min="3837" max="3837" width="15.1796875" style="229" customWidth="1"/>
    <col min="3838" max="3838" width="11.453125" style="229" customWidth="1"/>
    <col min="3839" max="3839" width="11.26953125" style="229" customWidth="1"/>
    <col min="3840" max="4062" width="9.1796875" style="229"/>
    <col min="4063" max="4063" width="4.81640625" style="229" customWidth="1"/>
    <col min="4064" max="4064" width="33.7265625" style="229" customWidth="1"/>
    <col min="4065" max="4066" width="11.453125" style="229" customWidth="1"/>
    <col min="4067" max="4067" width="11" style="229" customWidth="1"/>
    <col min="4068" max="4076" width="11.1796875" style="229" customWidth="1"/>
    <col min="4077" max="4077" width="15.26953125" style="229" customWidth="1"/>
    <col min="4078" max="4078" width="11.453125" style="229" customWidth="1"/>
    <col min="4079" max="4079" width="10.26953125" style="229" customWidth="1"/>
    <col min="4080" max="4080" width="9.54296875" style="229" customWidth="1"/>
    <col min="4081" max="4081" width="15.1796875" style="229" customWidth="1"/>
    <col min="4082" max="4082" width="12.26953125" style="229" customWidth="1"/>
    <col min="4083" max="4083" width="11.26953125" style="229" customWidth="1"/>
    <col min="4084" max="4084" width="9.1796875" style="229"/>
    <col min="4085" max="4085" width="15.1796875" style="229" customWidth="1"/>
    <col min="4086" max="4086" width="12.26953125" style="229" customWidth="1"/>
    <col min="4087" max="4087" width="10.7265625" style="229" customWidth="1"/>
    <col min="4088" max="4092" width="9.1796875" style="229"/>
    <col min="4093" max="4093" width="15.1796875" style="229" customWidth="1"/>
    <col min="4094" max="4094" width="11.453125" style="229" customWidth="1"/>
    <col min="4095" max="4095" width="11.26953125" style="229" customWidth="1"/>
    <col min="4096" max="4318" width="9.1796875" style="229"/>
    <col min="4319" max="4319" width="4.81640625" style="229" customWidth="1"/>
    <col min="4320" max="4320" width="33.7265625" style="229" customWidth="1"/>
    <col min="4321" max="4322" width="11.453125" style="229" customWidth="1"/>
    <col min="4323" max="4323" width="11" style="229" customWidth="1"/>
    <col min="4324" max="4332" width="11.1796875" style="229" customWidth="1"/>
    <col min="4333" max="4333" width="15.26953125" style="229" customWidth="1"/>
    <col min="4334" max="4334" width="11.453125" style="229" customWidth="1"/>
    <col min="4335" max="4335" width="10.26953125" style="229" customWidth="1"/>
    <col min="4336" max="4336" width="9.54296875" style="229" customWidth="1"/>
    <col min="4337" max="4337" width="15.1796875" style="229" customWidth="1"/>
    <col min="4338" max="4338" width="12.26953125" style="229" customWidth="1"/>
    <col min="4339" max="4339" width="11.26953125" style="229" customWidth="1"/>
    <col min="4340" max="4340" width="9.1796875" style="229"/>
    <col min="4341" max="4341" width="15.1796875" style="229" customWidth="1"/>
    <col min="4342" max="4342" width="12.26953125" style="229" customWidth="1"/>
    <col min="4343" max="4343" width="10.7265625" style="229" customWidth="1"/>
    <col min="4344" max="4348" width="9.1796875" style="229"/>
    <col min="4349" max="4349" width="15.1796875" style="229" customWidth="1"/>
    <col min="4350" max="4350" width="11.453125" style="229" customWidth="1"/>
    <col min="4351" max="4351" width="11.26953125" style="229" customWidth="1"/>
    <col min="4352" max="4574" width="9.1796875" style="229"/>
    <col min="4575" max="4575" width="4.81640625" style="229" customWidth="1"/>
    <col min="4576" max="4576" width="33.7265625" style="229" customWidth="1"/>
    <col min="4577" max="4578" width="11.453125" style="229" customWidth="1"/>
    <col min="4579" max="4579" width="11" style="229" customWidth="1"/>
    <col min="4580" max="4588" width="11.1796875" style="229" customWidth="1"/>
    <col min="4589" max="4589" width="15.26953125" style="229" customWidth="1"/>
    <col min="4590" max="4590" width="11.453125" style="229" customWidth="1"/>
    <col min="4591" max="4591" width="10.26953125" style="229" customWidth="1"/>
    <col min="4592" max="4592" width="9.54296875" style="229" customWidth="1"/>
    <col min="4593" max="4593" width="15.1796875" style="229" customWidth="1"/>
    <col min="4594" max="4594" width="12.26953125" style="229" customWidth="1"/>
    <col min="4595" max="4595" width="11.26953125" style="229" customWidth="1"/>
    <col min="4596" max="4596" width="9.1796875" style="229"/>
    <col min="4597" max="4597" width="15.1796875" style="229" customWidth="1"/>
    <col min="4598" max="4598" width="12.26953125" style="229" customWidth="1"/>
    <col min="4599" max="4599" width="10.7265625" style="229" customWidth="1"/>
    <col min="4600" max="4604" width="9.1796875" style="229"/>
    <col min="4605" max="4605" width="15.1796875" style="229" customWidth="1"/>
    <col min="4606" max="4606" width="11.453125" style="229" customWidth="1"/>
    <col min="4607" max="4607" width="11.26953125" style="229" customWidth="1"/>
    <col min="4608" max="4830" width="9.1796875" style="229"/>
    <col min="4831" max="4831" width="4.81640625" style="229" customWidth="1"/>
    <col min="4832" max="4832" width="33.7265625" style="229" customWidth="1"/>
    <col min="4833" max="4834" width="11.453125" style="229" customWidth="1"/>
    <col min="4835" max="4835" width="11" style="229" customWidth="1"/>
    <col min="4836" max="4844" width="11.1796875" style="229" customWidth="1"/>
    <col min="4845" max="4845" width="15.26953125" style="229" customWidth="1"/>
    <col min="4846" max="4846" width="11.453125" style="229" customWidth="1"/>
    <col min="4847" max="4847" width="10.26953125" style="229" customWidth="1"/>
    <col min="4848" max="4848" width="9.54296875" style="229" customWidth="1"/>
    <col min="4849" max="4849" width="15.1796875" style="229" customWidth="1"/>
    <col min="4850" max="4850" width="12.26953125" style="229" customWidth="1"/>
    <col min="4851" max="4851" width="11.26953125" style="229" customWidth="1"/>
    <col min="4852" max="4852" width="9.1796875" style="229"/>
    <col min="4853" max="4853" width="15.1796875" style="229" customWidth="1"/>
    <col min="4854" max="4854" width="12.26953125" style="229" customWidth="1"/>
    <col min="4855" max="4855" width="10.7265625" style="229" customWidth="1"/>
    <col min="4856" max="4860" width="9.1796875" style="229"/>
    <col min="4861" max="4861" width="15.1796875" style="229" customWidth="1"/>
    <col min="4862" max="4862" width="11.453125" style="229" customWidth="1"/>
    <col min="4863" max="4863" width="11.26953125" style="229" customWidth="1"/>
    <col min="4864" max="5086" width="9.1796875" style="229"/>
    <col min="5087" max="5087" width="4.81640625" style="229" customWidth="1"/>
    <col min="5088" max="5088" width="33.7265625" style="229" customWidth="1"/>
    <col min="5089" max="5090" width="11.453125" style="229" customWidth="1"/>
    <col min="5091" max="5091" width="11" style="229" customWidth="1"/>
    <col min="5092" max="5100" width="11.1796875" style="229" customWidth="1"/>
    <col min="5101" max="5101" width="15.26953125" style="229" customWidth="1"/>
    <col min="5102" max="5102" width="11.453125" style="229" customWidth="1"/>
    <col min="5103" max="5103" width="10.26953125" style="229" customWidth="1"/>
    <col min="5104" max="5104" width="9.54296875" style="229" customWidth="1"/>
    <col min="5105" max="5105" width="15.1796875" style="229" customWidth="1"/>
    <col min="5106" max="5106" width="12.26953125" style="229" customWidth="1"/>
    <col min="5107" max="5107" width="11.26953125" style="229" customWidth="1"/>
    <col min="5108" max="5108" width="9.1796875" style="229"/>
    <col min="5109" max="5109" width="15.1796875" style="229" customWidth="1"/>
    <col min="5110" max="5110" width="12.26953125" style="229" customWidth="1"/>
    <col min="5111" max="5111" width="10.7265625" style="229" customWidth="1"/>
    <col min="5112" max="5116" width="9.1796875" style="229"/>
    <col min="5117" max="5117" width="15.1796875" style="229" customWidth="1"/>
    <col min="5118" max="5118" width="11.453125" style="229" customWidth="1"/>
    <col min="5119" max="5119" width="11.26953125" style="229" customWidth="1"/>
    <col min="5120" max="5342" width="9.1796875" style="229"/>
    <col min="5343" max="5343" width="4.81640625" style="229" customWidth="1"/>
    <col min="5344" max="5344" width="33.7265625" style="229" customWidth="1"/>
    <col min="5345" max="5346" width="11.453125" style="229" customWidth="1"/>
    <col min="5347" max="5347" width="11" style="229" customWidth="1"/>
    <col min="5348" max="5356" width="11.1796875" style="229" customWidth="1"/>
    <col min="5357" max="5357" width="15.26953125" style="229" customWidth="1"/>
    <col min="5358" max="5358" width="11.453125" style="229" customWidth="1"/>
    <col min="5359" max="5359" width="10.26953125" style="229" customWidth="1"/>
    <col min="5360" max="5360" width="9.54296875" style="229" customWidth="1"/>
    <col min="5361" max="5361" width="15.1796875" style="229" customWidth="1"/>
    <col min="5362" max="5362" width="12.26953125" style="229" customWidth="1"/>
    <col min="5363" max="5363" width="11.26953125" style="229" customWidth="1"/>
    <col min="5364" max="5364" width="9.1796875" style="229"/>
    <col min="5365" max="5365" width="15.1796875" style="229" customWidth="1"/>
    <col min="5366" max="5366" width="12.26953125" style="229" customWidth="1"/>
    <col min="5367" max="5367" width="10.7265625" style="229" customWidth="1"/>
    <col min="5368" max="5372" width="9.1796875" style="229"/>
    <col min="5373" max="5373" width="15.1796875" style="229" customWidth="1"/>
    <col min="5374" max="5374" width="11.453125" style="229" customWidth="1"/>
    <col min="5375" max="5375" width="11.26953125" style="229" customWidth="1"/>
    <col min="5376" max="5598" width="9.1796875" style="229"/>
    <col min="5599" max="5599" width="4.81640625" style="229" customWidth="1"/>
    <col min="5600" max="5600" width="33.7265625" style="229" customWidth="1"/>
    <col min="5601" max="5602" width="11.453125" style="229" customWidth="1"/>
    <col min="5603" max="5603" width="11" style="229" customWidth="1"/>
    <col min="5604" max="5612" width="11.1796875" style="229" customWidth="1"/>
    <col min="5613" max="5613" width="15.26953125" style="229" customWidth="1"/>
    <col min="5614" max="5614" width="11.453125" style="229" customWidth="1"/>
    <col min="5615" max="5615" width="10.26953125" style="229" customWidth="1"/>
    <col min="5616" max="5616" width="9.54296875" style="229" customWidth="1"/>
    <col min="5617" max="5617" width="15.1796875" style="229" customWidth="1"/>
    <col min="5618" max="5618" width="12.26953125" style="229" customWidth="1"/>
    <col min="5619" max="5619" width="11.26953125" style="229" customWidth="1"/>
    <col min="5620" max="5620" width="9.1796875" style="229"/>
    <col min="5621" max="5621" width="15.1796875" style="229" customWidth="1"/>
    <col min="5622" max="5622" width="12.26953125" style="229" customWidth="1"/>
    <col min="5623" max="5623" width="10.7265625" style="229" customWidth="1"/>
    <col min="5624" max="5628" width="9.1796875" style="229"/>
    <col min="5629" max="5629" width="15.1796875" style="229" customWidth="1"/>
    <col min="5630" max="5630" width="11.453125" style="229" customWidth="1"/>
    <col min="5631" max="5631" width="11.26953125" style="229" customWidth="1"/>
    <col min="5632" max="5854" width="9.1796875" style="229"/>
    <col min="5855" max="5855" width="4.81640625" style="229" customWidth="1"/>
    <col min="5856" max="5856" width="33.7265625" style="229" customWidth="1"/>
    <col min="5857" max="5858" width="11.453125" style="229" customWidth="1"/>
    <col min="5859" max="5859" width="11" style="229" customWidth="1"/>
    <col min="5860" max="5868" width="11.1796875" style="229" customWidth="1"/>
    <col min="5869" max="5869" width="15.26953125" style="229" customWidth="1"/>
    <col min="5870" max="5870" width="11.453125" style="229" customWidth="1"/>
    <col min="5871" max="5871" width="10.26953125" style="229" customWidth="1"/>
    <col min="5872" max="5872" width="9.54296875" style="229" customWidth="1"/>
    <col min="5873" max="5873" width="15.1796875" style="229" customWidth="1"/>
    <col min="5874" max="5874" width="12.26953125" style="229" customWidth="1"/>
    <col min="5875" max="5875" width="11.26953125" style="229" customWidth="1"/>
    <col min="5876" max="5876" width="9.1796875" style="229"/>
    <col min="5877" max="5877" width="15.1796875" style="229" customWidth="1"/>
    <col min="5878" max="5878" width="12.26953125" style="229" customWidth="1"/>
    <col min="5879" max="5879" width="10.7265625" style="229" customWidth="1"/>
    <col min="5880" max="5884" width="9.1796875" style="229"/>
    <col min="5885" max="5885" width="15.1796875" style="229" customWidth="1"/>
    <col min="5886" max="5886" width="11.453125" style="229" customWidth="1"/>
    <col min="5887" max="5887" width="11.26953125" style="229" customWidth="1"/>
    <col min="5888" max="6110" width="9.1796875" style="229"/>
    <col min="6111" max="6111" width="4.81640625" style="229" customWidth="1"/>
    <col min="6112" max="6112" width="33.7265625" style="229" customWidth="1"/>
    <col min="6113" max="6114" width="11.453125" style="229" customWidth="1"/>
    <col min="6115" max="6115" width="11" style="229" customWidth="1"/>
    <col min="6116" max="6124" width="11.1796875" style="229" customWidth="1"/>
    <col min="6125" max="6125" width="15.26953125" style="229" customWidth="1"/>
    <col min="6126" max="6126" width="11.453125" style="229" customWidth="1"/>
    <col min="6127" max="6127" width="10.26953125" style="229" customWidth="1"/>
    <col min="6128" max="6128" width="9.54296875" style="229" customWidth="1"/>
    <col min="6129" max="6129" width="15.1796875" style="229" customWidth="1"/>
    <col min="6130" max="6130" width="12.26953125" style="229" customWidth="1"/>
    <col min="6131" max="6131" width="11.26953125" style="229" customWidth="1"/>
    <col min="6132" max="6132" width="9.1796875" style="229"/>
    <col min="6133" max="6133" width="15.1796875" style="229" customWidth="1"/>
    <col min="6134" max="6134" width="12.26953125" style="229" customWidth="1"/>
    <col min="6135" max="6135" width="10.7265625" style="229" customWidth="1"/>
    <col min="6136" max="6140" width="9.1796875" style="229"/>
    <col min="6141" max="6141" width="15.1796875" style="229" customWidth="1"/>
    <col min="6142" max="6142" width="11.453125" style="229" customWidth="1"/>
    <col min="6143" max="6143" width="11.26953125" style="229" customWidth="1"/>
    <col min="6144" max="6366" width="9.1796875" style="229"/>
    <col min="6367" max="6367" width="4.81640625" style="229" customWidth="1"/>
    <col min="6368" max="6368" width="33.7265625" style="229" customWidth="1"/>
    <col min="6369" max="6370" width="11.453125" style="229" customWidth="1"/>
    <col min="6371" max="6371" width="11" style="229" customWidth="1"/>
    <col min="6372" max="6380" width="11.1796875" style="229" customWidth="1"/>
    <col min="6381" max="6381" width="15.26953125" style="229" customWidth="1"/>
    <col min="6382" max="6382" width="11.453125" style="229" customWidth="1"/>
    <col min="6383" max="6383" width="10.26953125" style="229" customWidth="1"/>
    <col min="6384" max="6384" width="9.54296875" style="229" customWidth="1"/>
    <col min="6385" max="6385" width="15.1796875" style="229" customWidth="1"/>
    <col min="6386" max="6386" width="12.26953125" style="229" customWidth="1"/>
    <col min="6387" max="6387" width="11.26953125" style="229" customWidth="1"/>
    <col min="6388" max="6388" width="9.1796875" style="229"/>
    <col min="6389" max="6389" width="15.1796875" style="229" customWidth="1"/>
    <col min="6390" max="6390" width="12.26953125" style="229" customWidth="1"/>
    <col min="6391" max="6391" width="10.7265625" style="229" customWidth="1"/>
    <col min="6392" max="6396" width="9.1796875" style="229"/>
    <col min="6397" max="6397" width="15.1796875" style="229" customWidth="1"/>
    <col min="6398" max="6398" width="11.453125" style="229" customWidth="1"/>
    <col min="6399" max="6399" width="11.26953125" style="229" customWidth="1"/>
    <col min="6400" max="6622" width="9.1796875" style="229"/>
    <col min="6623" max="6623" width="4.81640625" style="229" customWidth="1"/>
    <col min="6624" max="6624" width="33.7265625" style="229" customWidth="1"/>
    <col min="6625" max="6626" width="11.453125" style="229" customWidth="1"/>
    <col min="6627" max="6627" width="11" style="229" customWidth="1"/>
    <col min="6628" max="6636" width="11.1796875" style="229" customWidth="1"/>
    <col min="6637" max="6637" width="15.26953125" style="229" customWidth="1"/>
    <col min="6638" max="6638" width="11.453125" style="229" customWidth="1"/>
    <col min="6639" max="6639" width="10.26953125" style="229" customWidth="1"/>
    <col min="6640" max="6640" width="9.54296875" style="229" customWidth="1"/>
    <col min="6641" max="6641" width="15.1796875" style="229" customWidth="1"/>
    <col min="6642" max="6642" width="12.26953125" style="229" customWidth="1"/>
    <col min="6643" max="6643" width="11.26953125" style="229" customWidth="1"/>
    <col min="6644" max="6644" width="9.1796875" style="229"/>
    <col min="6645" max="6645" width="15.1796875" style="229" customWidth="1"/>
    <col min="6646" max="6646" width="12.26953125" style="229" customWidth="1"/>
    <col min="6647" max="6647" width="10.7265625" style="229" customWidth="1"/>
    <col min="6648" max="6652" width="9.1796875" style="229"/>
    <col min="6653" max="6653" width="15.1796875" style="229" customWidth="1"/>
    <col min="6654" max="6654" width="11.453125" style="229" customWidth="1"/>
    <col min="6655" max="6655" width="11.26953125" style="229" customWidth="1"/>
    <col min="6656" max="6878" width="9.1796875" style="229"/>
    <col min="6879" max="6879" width="4.81640625" style="229" customWidth="1"/>
    <col min="6880" max="6880" width="33.7265625" style="229" customWidth="1"/>
    <col min="6881" max="6882" width="11.453125" style="229" customWidth="1"/>
    <col min="6883" max="6883" width="11" style="229" customWidth="1"/>
    <col min="6884" max="6892" width="11.1796875" style="229" customWidth="1"/>
    <col min="6893" max="6893" width="15.26953125" style="229" customWidth="1"/>
    <col min="6894" max="6894" width="11.453125" style="229" customWidth="1"/>
    <col min="6895" max="6895" width="10.26953125" style="229" customWidth="1"/>
    <col min="6896" max="6896" width="9.54296875" style="229" customWidth="1"/>
    <col min="6897" max="6897" width="15.1796875" style="229" customWidth="1"/>
    <col min="6898" max="6898" width="12.26953125" style="229" customWidth="1"/>
    <col min="6899" max="6899" width="11.26953125" style="229" customWidth="1"/>
    <col min="6900" max="6900" width="9.1796875" style="229"/>
    <col min="6901" max="6901" width="15.1796875" style="229" customWidth="1"/>
    <col min="6902" max="6902" width="12.26953125" style="229" customWidth="1"/>
    <col min="6903" max="6903" width="10.7265625" style="229" customWidth="1"/>
    <col min="6904" max="6908" width="9.1796875" style="229"/>
    <col min="6909" max="6909" width="15.1796875" style="229" customWidth="1"/>
    <col min="6910" max="6910" width="11.453125" style="229" customWidth="1"/>
    <col min="6911" max="6911" width="11.26953125" style="229" customWidth="1"/>
    <col min="6912" max="7134" width="9.1796875" style="229"/>
    <col min="7135" max="7135" width="4.81640625" style="229" customWidth="1"/>
    <col min="7136" max="7136" width="33.7265625" style="229" customWidth="1"/>
    <col min="7137" max="7138" width="11.453125" style="229" customWidth="1"/>
    <col min="7139" max="7139" width="11" style="229" customWidth="1"/>
    <col min="7140" max="7148" width="11.1796875" style="229" customWidth="1"/>
    <col min="7149" max="7149" width="15.26953125" style="229" customWidth="1"/>
    <col min="7150" max="7150" width="11.453125" style="229" customWidth="1"/>
    <col min="7151" max="7151" width="10.26953125" style="229" customWidth="1"/>
    <col min="7152" max="7152" width="9.54296875" style="229" customWidth="1"/>
    <col min="7153" max="7153" width="15.1796875" style="229" customWidth="1"/>
    <col min="7154" max="7154" width="12.26953125" style="229" customWidth="1"/>
    <col min="7155" max="7155" width="11.26953125" style="229" customWidth="1"/>
    <col min="7156" max="7156" width="9.1796875" style="229"/>
    <col min="7157" max="7157" width="15.1796875" style="229" customWidth="1"/>
    <col min="7158" max="7158" width="12.26953125" style="229" customWidth="1"/>
    <col min="7159" max="7159" width="10.7265625" style="229" customWidth="1"/>
    <col min="7160" max="7164" width="9.1796875" style="229"/>
    <col min="7165" max="7165" width="15.1796875" style="229" customWidth="1"/>
    <col min="7166" max="7166" width="11.453125" style="229" customWidth="1"/>
    <col min="7167" max="7167" width="11.26953125" style="229" customWidth="1"/>
    <col min="7168" max="7390" width="9.1796875" style="229"/>
    <col min="7391" max="7391" width="4.81640625" style="229" customWidth="1"/>
    <col min="7392" max="7392" width="33.7265625" style="229" customWidth="1"/>
    <col min="7393" max="7394" width="11.453125" style="229" customWidth="1"/>
    <col min="7395" max="7395" width="11" style="229" customWidth="1"/>
    <col min="7396" max="7404" width="11.1796875" style="229" customWidth="1"/>
    <col min="7405" max="7405" width="15.26953125" style="229" customWidth="1"/>
    <col min="7406" max="7406" width="11.453125" style="229" customWidth="1"/>
    <col min="7407" max="7407" width="10.26953125" style="229" customWidth="1"/>
    <col min="7408" max="7408" width="9.54296875" style="229" customWidth="1"/>
    <col min="7409" max="7409" width="15.1796875" style="229" customWidth="1"/>
    <col min="7410" max="7410" width="12.26953125" style="229" customWidth="1"/>
    <col min="7411" max="7411" width="11.26953125" style="229" customWidth="1"/>
    <col min="7412" max="7412" width="9.1796875" style="229"/>
    <col min="7413" max="7413" width="15.1796875" style="229" customWidth="1"/>
    <col min="7414" max="7414" width="12.26953125" style="229" customWidth="1"/>
    <col min="7415" max="7415" width="10.7265625" style="229" customWidth="1"/>
    <col min="7416" max="7420" width="9.1796875" style="229"/>
    <col min="7421" max="7421" width="15.1796875" style="229" customWidth="1"/>
    <col min="7422" max="7422" width="11.453125" style="229" customWidth="1"/>
    <col min="7423" max="7423" width="11.26953125" style="229" customWidth="1"/>
    <col min="7424" max="7646" width="9.1796875" style="229"/>
    <col min="7647" max="7647" width="4.81640625" style="229" customWidth="1"/>
    <col min="7648" max="7648" width="33.7265625" style="229" customWidth="1"/>
    <col min="7649" max="7650" width="11.453125" style="229" customWidth="1"/>
    <col min="7651" max="7651" width="11" style="229" customWidth="1"/>
    <col min="7652" max="7660" width="11.1796875" style="229" customWidth="1"/>
    <col min="7661" max="7661" width="15.26953125" style="229" customWidth="1"/>
    <col min="7662" max="7662" width="11.453125" style="229" customWidth="1"/>
    <col min="7663" max="7663" width="10.26953125" style="229" customWidth="1"/>
    <col min="7664" max="7664" width="9.54296875" style="229" customWidth="1"/>
    <col min="7665" max="7665" width="15.1796875" style="229" customWidth="1"/>
    <col min="7666" max="7666" width="12.26953125" style="229" customWidth="1"/>
    <col min="7667" max="7667" width="11.26953125" style="229" customWidth="1"/>
    <col min="7668" max="7668" width="9.1796875" style="229"/>
    <col min="7669" max="7669" width="15.1796875" style="229" customWidth="1"/>
    <col min="7670" max="7670" width="12.26953125" style="229" customWidth="1"/>
    <col min="7671" max="7671" width="10.7265625" style="229" customWidth="1"/>
    <col min="7672" max="7676" width="9.1796875" style="229"/>
    <col min="7677" max="7677" width="15.1796875" style="229" customWidth="1"/>
    <col min="7678" max="7678" width="11.453125" style="229" customWidth="1"/>
    <col min="7679" max="7679" width="11.26953125" style="229" customWidth="1"/>
    <col min="7680" max="7902" width="9.1796875" style="229"/>
    <col min="7903" max="7903" width="4.81640625" style="229" customWidth="1"/>
    <col min="7904" max="7904" width="33.7265625" style="229" customWidth="1"/>
    <col min="7905" max="7906" width="11.453125" style="229" customWidth="1"/>
    <col min="7907" max="7907" width="11" style="229" customWidth="1"/>
    <col min="7908" max="7916" width="11.1796875" style="229" customWidth="1"/>
    <col min="7917" max="7917" width="15.26953125" style="229" customWidth="1"/>
    <col min="7918" max="7918" width="11.453125" style="229" customWidth="1"/>
    <col min="7919" max="7919" width="10.26953125" style="229" customWidth="1"/>
    <col min="7920" max="7920" width="9.54296875" style="229" customWidth="1"/>
    <col min="7921" max="7921" width="15.1796875" style="229" customWidth="1"/>
    <col min="7922" max="7922" width="12.26953125" style="229" customWidth="1"/>
    <col min="7923" max="7923" width="11.26953125" style="229" customWidth="1"/>
    <col min="7924" max="7924" width="9.1796875" style="229"/>
    <col min="7925" max="7925" width="15.1796875" style="229" customWidth="1"/>
    <col min="7926" max="7926" width="12.26953125" style="229" customWidth="1"/>
    <col min="7927" max="7927" width="10.7265625" style="229" customWidth="1"/>
    <col min="7928" max="7932" width="9.1796875" style="229"/>
    <col min="7933" max="7933" width="15.1796875" style="229" customWidth="1"/>
    <col min="7934" max="7934" width="11.453125" style="229" customWidth="1"/>
    <col min="7935" max="7935" width="11.26953125" style="229" customWidth="1"/>
    <col min="7936" max="8158" width="9.1796875" style="229"/>
    <col min="8159" max="8159" width="4.81640625" style="229" customWidth="1"/>
    <col min="8160" max="8160" width="33.7265625" style="229" customWidth="1"/>
    <col min="8161" max="8162" width="11.453125" style="229" customWidth="1"/>
    <col min="8163" max="8163" width="11" style="229" customWidth="1"/>
    <col min="8164" max="8172" width="11.1796875" style="229" customWidth="1"/>
    <col min="8173" max="8173" width="15.26953125" style="229" customWidth="1"/>
    <col min="8174" max="8174" width="11.453125" style="229" customWidth="1"/>
    <col min="8175" max="8175" width="10.26953125" style="229" customWidth="1"/>
    <col min="8176" max="8176" width="9.54296875" style="229" customWidth="1"/>
    <col min="8177" max="8177" width="15.1796875" style="229" customWidth="1"/>
    <col min="8178" max="8178" width="12.26953125" style="229" customWidth="1"/>
    <col min="8179" max="8179" width="11.26953125" style="229" customWidth="1"/>
    <col min="8180" max="8180" width="9.1796875" style="229"/>
    <col min="8181" max="8181" width="15.1796875" style="229" customWidth="1"/>
    <col min="8182" max="8182" width="12.26953125" style="229" customWidth="1"/>
    <col min="8183" max="8183" width="10.7265625" style="229" customWidth="1"/>
    <col min="8184" max="8188" width="9.1796875" style="229"/>
    <col min="8189" max="8189" width="15.1796875" style="229" customWidth="1"/>
    <col min="8190" max="8190" width="11.453125" style="229" customWidth="1"/>
    <col min="8191" max="8191" width="11.26953125" style="229" customWidth="1"/>
    <col min="8192" max="8414" width="9.1796875" style="229"/>
    <col min="8415" max="8415" width="4.81640625" style="229" customWidth="1"/>
    <col min="8416" max="8416" width="33.7265625" style="229" customWidth="1"/>
    <col min="8417" max="8418" width="11.453125" style="229" customWidth="1"/>
    <col min="8419" max="8419" width="11" style="229" customWidth="1"/>
    <col min="8420" max="8428" width="11.1796875" style="229" customWidth="1"/>
    <col min="8429" max="8429" width="15.26953125" style="229" customWidth="1"/>
    <col min="8430" max="8430" width="11.453125" style="229" customWidth="1"/>
    <col min="8431" max="8431" width="10.26953125" style="229" customWidth="1"/>
    <col min="8432" max="8432" width="9.54296875" style="229" customWidth="1"/>
    <col min="8433" max="8433" width="15.1796875" style="229" customWidth="1"/>
    <col min="8434" max="8434" width="12.26953125" style="229" customWidth="1"/>
    <col min="8435" max="8435" width="11.26953125" style="229" customWidth="1"/>
    <col min="8436" max="8436" width="9.1796875" style="229"/>
    <col min="8437" max="8437" width="15.1796875" style="229" customWidth="1"/>
    <col min="8438" max="8438" width="12.26953125" style="229" customWidth="1"/>
    <col min="8439" max="8439" width="10.7265625" style="229" customWidth="1"/>
    <col min="8440" max="8444" width="9.1796875" style="229"/>
    <col min="8445" max="8445" width="15.1796875" style="229" customWidth="1"/>
    <col min="8446" max="8446" width="11.453125" style="229" customWidth="1"/>
    <col min="8447" max="8447" width="11.26953125" style="229" customWidth="1"/>
    <col min="8448" max="8670" width="9.1796875" style="229"/>
    <col min="8671" max="8671" width="4.81640625" style="229" customWidth="1"/>
    <col min="8672" max="8672" width="33.7265625" style="229" customWidth="1"/>
    <col min="8673" max="8674" width="11.453125" style="229" customWidth="1"/>
    <col min="8675" max="8675" width="11" style="229" customWidth="1"/>
    <col min="8676" max="8684" width="11.1796875" style="229" customWidth="1"/>
    <col min="8685" max="8685" width="15.26953125" style="229" customWidth="1"/>
    <col min="8686" max="8686" width="11.453125" style="229" customWidth="1"/>
    <col min="8687" max="8687" width="10.26953125" style="229" customWidth="1"/>
    <col min="8688" max="8688" width="9.54296875" style="229" customWidth="1"/>
    <col min="8689" max="8689" width="15.1796875" style="229" customWidth="1"/>
    <col min="8690" max="8690" width="12.26953125" style="229" customWidth="1"/>
    <col min="8691" max="8691" width="11.26953125" style="229" customWidth="1"/>
    <col min="8692" max="8692" width="9.1796875" style="229"/>
    <col min="8693" max="8693" width="15.1796875" style="229" customWidth="1"/>
    <col min="8694" max="8694" width="12.26953125" style="229" customWidth="1"/>
    <col min="8695" max="8695" width="10.7265625" style="229" customWidth="1"/>
    <col min="8696" max="8700" width="9.1796875" style="229"/>
    <col min="8701" max="8701" width="15.1796875" style="229" customWidth="1"/>
    <col min="8702" max="8702" width="11.453125" style="229" customWidth="1"/>
    <col min="8703" max="8703" width="11.26953125" style="229" customWidth="1"/>
    <col min="8704" max="8926" width="9.1796875" style="229"/>
    <col min="8927" max="8927" width="4.81640625" style="229" customWidth="1"/>
    <col min="8928" max="8928" width="33.7265625" style="229" customWidth="1"/>
    <col min="8929" max="8930" width="11.453125" style="229" customWidth="1"/>
    <col min="8931" max="8931" width="11" style="229" customWidth="1"/>
    <col min="8932" max="8940" width="11.1796875" style="229" customWidth="1"/>
    <col min="8941" max="8941" width="15.26953125" style="229" customWidth="1"/>
    <col min="8942" max="8942" width="11.453125" style="229" customWidth="1"/>
    <col min="8943" max="8943" width="10.26953125" style="229" customWidth="1"/>
    <col min="8944" max="8944" width="9.54296875" style="229" customWidth="1"/>
    <col min="8945" max="8945" width="15.1796875" style="229" customWidth="1"/>
    <col min="8946" max="8946" width="12.26953125" style="229" customWidth="1"/>
    <col min="8947" max="8947" width="11.26953125" style="229" customWidth="1"/>
    <col min="8948" max="8948" width="9.1796875" style="229"/>
    <col min="8949" max="8949" width="15.1796875" style="229" customWidth="1"/>
    <col min="8950" max="8950" width="12.26953125" style="229" customWidth="1"/>
    <col min="8951" max="8951" width="10.7265625" style="229" customWidth="1"/>
    <col min="8952" max="8956" width="9.1796875" style="229"/>
    <col min="8957" max="8957" width="15.1796875" style="229" customWidth="1"/>
    <col min="8958" max="8958" width="11.453125" style="229" customWidth="1"/>
    <col min="8959" max="8959" width="11.26953125" style="229" customWidth="1"/>
    <col min="8960" max="9182" width="9.1796875" style="229"/>
    <col min="9183" max="9183" width="4.81640625" style="229" customWidth="1"/>
    <col min="9184" max="9184" width="33.7265625" style="229" customWidth="1"/>
    <col min="9185" max="9186" width="11.453125" style="229" customWidth="1"/>
    <col min="9187" max="9187" width="11" style="229" customWidth="1"/>
    <col min="9188" max="9196" width="11.1796875" style="229" customWidth="1"/>
    <col min="9197" max="9197" width="15.26953125" style="229" customWidth="1"/>
    <col min="9198" max="9198" width="11.453125" style="229" customWidth="1"/>
    <col min="9199" max="9199" width="10.26953125" style="229" customWidth="1"/>
    <col min="9200" max="9200" width="9.54296875" style="229" customWidth="1"/>
    <col min="9201" max="9201" width="15.1796875" style="229" customWidth="1"/>
    <col min="9202" max="9202" width="12.26953125" style="229" customWidth="1"/>
    <col min="9203" max="9203" width="11.26953125" style="229" customWidth="1"/>
    <col min="9204" max="9204" width="9.1796875" style="229"/>
    <col min="9205" max="9205" width="15.1796875" style="229" customWidth="1"/>
    <col min="9206" max="9206" width="12.26953125" style="229" customWidth="1"/>
    <col min="9207" max="9207" width="10.7265625" style="229" customWidth="1"/>
    <col min="9208" max="9212" width="9.1796875" style="229"/>
    <col min="9213" max="9213" width="15.1796875" style="229" customWidth="1"/>
    <col min="9214" max="9214" width="11.453125" style="229" customWidth="1"/>
    <col min="9215" max="9215" width="11.26953125" style="229" customWidth="1"/>
    <col min="9216" max="9438" width="9.1796875" style="229"/>
    <col min="9439" max="9439" width="4.81640625" style="229" customWidth="1"/>
    <col min="9440" max="9440" width="33.7265625" style="229" customWidth="1"/>
    <col min="9441" max="9442" width="11.453125" style="229" customWidth="1"/>
    <col min="9443" max="9443" width="11" style="229" customWidth="1"/>
    <col min="9444" max="9452" width="11.1796875" style="229" customWidth="1"/>
    <col min="9453" max="9453" width="15.26953125" style="229" customWidth="1"/>
    <col min="9454" max="9454" width="11.453125" style="229" customWidth="1"/>
    <col min="9455" max="9455" width="10.26953125" style="229" customWidth="1"/>
    <col min="9456" max="9456" width="9.54296875" style="229" customWidth="1"/>
    <col min="9457" max="9457" width="15.1796875" style="229" customWidth="1"/>
    <col min="9458" max="9458" width="12.26953125" style="229" customWidth="1"/>
    <col min="9459" max="9459" width="11.26953125" style="229" customWidth="1"/>
    <col min="9460" max="9460" width="9.1796875" style="229"/>
    <col min="9461" max="9461" width="15.1796875" style="229" customWidth="1"/>
    <col min="9462" max="9462" width="12.26953125" style="229" customWidth="1"/>
    <col min="9463" max="9463" width="10.7265625" style="229" customWidth="1"/>
    <col min="9464" max="9468" width="9.1796875" style="229"/>
    <col min="9469" max="9469" width="15.1796875" style="229" customWidth="1"/>
    <col min="9470" max="9470" width="11.453125" style="229" customWidth="1"/>
    <col min="9471" max="9471" width="11.26953125" style="229" customWidth="1"/>
    <col min="9472" max="9694" width="9.1796875" style="229"/>
    <col min="9695" max="9695" width="4.81640625" style="229" customWidth="1"/>
    <col min="9696" max="9696" width="33.7265625" style="229" customWidth="1"/>
    <col min="9697" max="9698" width="11.453125" style="229" customWidth="1"/>
    <col min="9699" max="9699" width="11" style="229" customWidth="1"/>
    <col min="9700" max="9708" width="11.1796875" style="229" customWidth="1"/>
    <col min="9709" max="9709" width="15.26953125" style="229" customWidth="1"/>
    <col min="9710" max="9710" width="11.453125" style="229" customWidth="1"/>
    <col min="9711" max="9711" width="10.26953125" style="229" customWidth="1"/>
    <col min="9712" max="9712" width="9.54296875" style="229" customWidth="1"/>
    <col min="9713" max="9713" width="15.1796875" style="229" customWidth="1"/>
    <col min="9714" max="9714" width="12.26953125" style="229" customWidth="1"/>
    <col min="9715" max="9715" width="11.26953125" style="229" customWidth="1"/>
    <col min="9716" max="9716" width="9.1796875" style="229"/>
    <col min="9717" max="9717" width="15.1796875" style="229" customWidth="1"/>
    <col min="9718" max="9718" width="12.26953125" style="229" customWidth="1"/>
    <col min="9719" max="9719" width="10.7265625" style="229" customWidth="1"/>
    <col min="9720" max="9724" width="9.1796875" style="229"/>
    <col min="9725" max="9725" width="15.1796875" style="229" customWidth="1"/>
    <col min="9726" max="9726" width="11.453125" style="229" customWidth="1"/>
    <col min="9727" max="9727" width="11.26953125" style="229" customWidth="1"/>
    <col min="9728" max="9950" width="9.1796875" style="229"/>
    <col min="9951" max="9951" width="4.81640625" style="229" customWidth="1"/>
    <col min="9952" max="9952" width="33.7265625" style="229" customWidth="1"/>
    <col min="9953" max="9954" width="11.453125" style="229" customWidth="1"/>
    <col min="9955" max="9955" width="11" style="229" customWidth="1"/>
    <col min="9956" max="9964" width="11.1796875" style="229" customWidth="1"/>
    <col min="9965" max="9965" width="15.26953125" style="229" customWidth="1"/>
    <col min="9966" max="9966" width="11.453125" style="229" customWidth="1"/>
    <col min="9967" max="9967" width="10.26953125" style="229" customWidth="1"/>
    <col min="9968" max="9968" width="9.54296875" style="229" customWidth="1"/>
    <col min="9969" max="9969" width="15.1796875" style="229" customWidth="1"/>
    <col min="9970" max="9970" width="12.26953125" style="229" customWidth="1"/>
    <col min="9971" max="9971" width="11.26953125" style="229" customWidth="1"/>
    <col min="9972" max="9972" width="9.1796875" style="229"/>
    <col min="9973" max="9973" width="15.1796875" style="229" customWidth="1"/>
    <col min="9974" max="9974" width="12.26953125" style="229" customWidth="1"/>
    <col min="9975" max="9975" width="10.7265625" style="229" customWidth="1"/>
    <col min="9976" max="9980" width="9.1796875" style="229"/>
    <col min="9981" max="9981" width="15.1796875" style="229" customWidth="1"/>
    <col min="9982" max="9982" width="11.453125" style="229" customWidth="1"/>
    <col min="9983" max="9983" width="11.26953125" style="229" customWidth="1"/>
    <col min="9984" max="10206" width="9.1796875" style="229"/>
    <col min="10207" max="10207" width="4.81640625" style="229" customWidth="1"/>
    <col min="10208" max="10208" width="33.7265625" style="229" customWidth="1"/>
    <col min="10209" max="10210" width="11.453125" style="229" customWidth="1"/>
    <col min="10211" max="10211" width="11" style="229" customWidth="1"/>
    <col min="10212" max="10220" width="11.1796875" style="229" customWidth="1"/>
    <col min="10221" max="10221" width="15.26953125" style="229" customWidth="1"/>
    <col min="10222" max="10222" width="11.453125" style="229" customWidth="1"/>
    <col min="10223" max="10223" width="10.26953125" style="229" customWidth="1"/>
    <col min="10224" max="10224" width="9.54296875" style="229" customWidth="1"/>
    <col min="10225" max="10225" width="15.1796875" style="229" customWidth="1"/>
    <col min="10226" max="10226" width="12.26953125" style="229" customWidth="1"/>
    <col min="10227" max="10227" width="11.26953125" style="229" customWidth="1"/>
    <col min="10228" max="10228" width="9.1796875" style="229"/>
    <col min="10229" max="10229" width="15.1796875" style="229" customWidth="1"/>
    <col min="10230" max="10230" width="12.26953125" style="229" customWidth="1"/>
    <col min="10231" max="10231" width="10.7265625" style="229" customWidth="1"/>
    <col min="10232" max="10236" width="9.1796875" style="229"/>
    <col min="10237" max="10237" width="15.1796875" style="229" customWidth="1"/>
    <col min="10238" max="10238" width="11.453125" style="229" customWidth="1"/>
    <col min="10239" max="10239" width="11.26953125" style="229" customWidth="1"/>
    <col min="10240" max="10462" width="9.1796875" style="229"/>
    <col min="10463" max="10463" width="4.81640625" style="229" customWidth="1"/>
    <col min="10464" max="10464" width="33.7265625" style="229" customWidth="1"/>
    <col min="10465" max="10466" width="11.453125" style="229" customWidth="1"/>
    <col min="10467" max="10467" width="11" style="229" customWidth="1"/>
    <col min="10468" max="10476" width="11.1796875" style="229" customWidth="1"/>
    <col min="10477" max="10477" width="15.26953125" style="229" customWidth="1"/>
    <col min="10478" max="10478" width="11.453125" style="229" customWidth="1"/>
    <col min="10479" max="10479" width="10.26953125" style="229" customWidth="1"/>
    <col min="10480" max="10480" width="9.54296875" style="229" customWidth="1"/>
    <col min="10481" max="10481" width="15.1796875" style="229" customWidth="1"/>
    <col min="10482" max="10482" width="12.26953125" style="229" customWidth="1"/>
    <col min="10483" max="10483" width="11.26953125" style="229" customWidth="1"/>
    <col min="10484" max="10484" width="9.1796875" style="229"/>
    <col min="10485" max="10485" width="15.1796875" style="229" customWidth="1"/>
    <col min="10486" max="10486" width="12.26953125" style="229" customWidth="1"/>
    <col min="10487" max="10487" width="10.7265625" style="229" customWidth="1"/>
    <col min="10488" max="10492" width="9.1796875" style="229"/>
    <col min="10493" max="10493" width="15.1796875" style="229" customWidth="1"/>
    <col min="10494" max="10494" width="11.453125" style="229" customWidth="1"/>
    <col min="10495" max="10495" width="11.26953125" style="229" customWidth="1"/>
    <col min="10496" max="10718" width="9.1796875" style="229"/>
    <col min="10719" max="10719" width="4.81640625" style="229" customWidth="1"/>
    <col min="10720" max="10720" width="33.7265625" style="229" customWidth="1"/>
    <col min="10721" max="10722" width="11.453125" style="229" customWidth="1"/>
    <col min="10723" max="10723" width="11" style="229" customWidth="1"/>
    <col min="10724" max="10732" width="11.1796875" style="229" customWidth="1"/>
    <col min="10733" max="10733" width="15.26953125" style="229" customWidth="1"/>
    <col min="10734" max="10734" width="11.453125" style="229" customWidth="1"/>
    <col min="10735" max="10735" width="10.26953125" style="229" customWidth="1"/>
    <col min="10736" max="10736" width="9.54296875" style="229" customWidth="1"/>
    <col min="10737" max="10737" width="15.1796875" style="229" customWidth="1"/>
    <col min="10738" max="10738" width="12.26953125" style="229" customWidth="1"/>
    <col min="10739" max="10739" width="11.26953125" style="229" customWidth="1"/>
    <col min="10740" max="10740" width="9.1796875" style="229"/>
    <col min="10741" max="10741" width="15.1796875" style="229" customWidth="1"/>
    <col min="10742" max="10742" width="12.26953125" style="229" customWidth="1"/>
    <col min="10743" max="10743" width="10.7265625" style="229" customWidth="1"/>
    <col min="10744" max="10748" width="9.1796875" style="229"/>
    <col min="10749" max="10749" width="15.1796875" style="229" customWidth="1"/>
    <col min="10750" max="10750" width="11.453125" style="229" customWidth="1"/>
    <col min="10751" max="10751" width="11.26953125" style="229" customWidth="1"/>
    <col min="10752" max="10974" width="9.1796875" style="229"/>
    <col min="10975" max="10975" width="4.81640625" style="229" customWidth="1"/>
    <col min="10976" max="10976" width="33.7265625" style="229" customWidth="1"/>
    <col min="10977" max="10978" width="11.453125" style="229" customWidth="1"/>
    <col min="10979" max="10979" width="11" style="229" customWidth="1"/>
    <col min="10980" max="10988" width="11.1796875" style="229" customWidth="1"/>
    <col min="10989" max="10989" width="15.26953125" style="229" customWidth="1"/>
    <col min="10990" max="10990" width="11.453125" style="229" customWidth="1"/>
    <col min="10991" max="10991" width="10.26953125" style="229" customWidth="1"/>
    <col min="10992" max="10992" width="9.54296875" style="229" customWidth="1"/>
    <col min="10993" max="10993" width="15.1796875" style="229" customWidth="1"/>
    <col min="10994" max="10994" width="12.26953125" style="229" customWidth="1"/>
    <col min="10995" max="10995" width="11.26953125" style="229" customWidth="1"/>
    <col min="10996" max="10996" width="9.1796875" style="229"/>
    <col min="10997" max="10997" width="15.1796875" style="229" customWidth="1"/>
    <col min="10998" max="10998" width="12.26953125" style="229" customWidth="1"/>
    <col min="10999" max="10999" width="10.7265625" style="229" customWidth="1"/>
    <col min="11000" max="11004" width="9.1796875" style="229"/>
    <col min="11005" max="11005" width="15.1796875" style="229" customWidth="1"/>
    <col min="11006" max="11006" width="11.453125" style="229" customWidth="1"/>
    <col min="11007" max="11007" width="11.26953125" style="229" customWidth="1"/>
    <col min="11008" max="11230" width="9.1796875" style="229"/>
    <col min="11231" max="11231" width="4.81640625" style="229" customWidth="1"/>
    <col min="11232" max="11232" width="33.7265625" style="229" customWidth="1"/>
    <col min="11233" max="11234" width="11.453125" style="229" customWidth="1"/>
    <col min="11235" max="11235" width="11" style="229" customWidth="1"/>
    <col min="11236" max="11244" width="11.1796875" style="229" customWidth="1"/>
    <col min="11245" max="11245" width="15.26953125" style="229" customWidth="1"/>
    <col min="11246" max="11246" width="11.453125" style="229" customWidth="1"/>
    <col min="11247" max="11247" width="10.26953125" style="229" customWidth="1"/>
    <col min="11248" max="11248" width="9.54296875" style="229" customWidth="1"/>
    <col min="11249" max="11249" width="15.1796875" style="229" customWidth="1"/>
    <col min="11250" max="11250" width="12.26953125" style="229" customWidth="1"/>
    <col min="11251" max="11251" width="11.26953125" style="229" customWidth="1"/>
    <col min="11252" max="11252" width="9.1796875" style="229"/>
    <col min="11253" max="11253" width="15.1796875" style="229" customWidth="1"/>
    <col min="11254" max="11254" width="12.26953125" style="229" customWidth="1"/>
    <col min="11255" max="11255" width="10.7265625" style="229" customWidth="1"/>
    <col min="11256" max="11260" width="9.1796875" style="229"/>
    <col min="11261" max="11261" width="15.1796875" style="229" customWidth="1"/>
    <col min="11262" max="11262" width="11.453125" style="229" customWidth="1"/>
    <col min="11263" max="11263" width="11.26953125" style="229" customWidth="1"/>
    <col min="11264" max="11486" width="9.1796875" style="229"/>
    <col min="11487" max="11487" width="4.81640625" style="229" customWidth="1"/>
    <col min="11488" max="11488" width="33.7265625" style="229" customWidth="1"/>
    <col min="11489" max="11490" width="11.453125" style="229" customWidth="1"/>
    <col min="11491" max="11491" width="11" style="229" customWidth="1"/>
    <col min="11492" max="11500" width="11.1796875" style="229" customWidth="1"/>
    <col min="11501" max="11501" width="15.26953125" style="229" customWidth="1"/>
    <col min="11502" max="11502" width="11.453125" style="229" customWidth="1"/>
    <col min="11503" max="11503" width="10.26953125" style="229" customWidth="1"/>
    <col min="11504" max="11504" width="9.54296875" style="229" customWidth="1"/>
    <col min="11505" max="11505" width="15.1796875" style="229" customWidth="1"/>
    <col min="11506" max="11506" width="12.26953125" style="229" customWidth="1"/>
    <col min="11507" max="11507" width="11.26953125" style="229" customWidth="1"/>
    <col min="11508" max="11508" width="9.1796875" style="229"/>
    <col min="11509" max="11509" width="15.1796875" style="229" customWidth="1"/>
    <col min="11510" max="11510" width="12.26953125" style="229" customWidth="1"/>
    <col min="11511" max="11511" width="10.7265625" style="229" customWidth="1"/>
    <col min="11512" max="11516" width="9.1796875" style="229"/>
    <col min="11517" max="11517" width="15.1796875" style="229" customWidth="1"/>
    <col min="11518" max="11518" width="11.453125" style="229" customWidth="1"/>
    <col min="11519" max="11519" width="11.26953125" style="229" customWidth="1"/>
    <col min="11520" max="11742" width="9.1796875" style="229"/>
    <col min="11743" max="11743" width="4.81640625" style="229" customWidth="1"/>
    <col min="11744" max="11744" width="33.7265625" style="229" customWidth="1"/>
    <col min="11745" max="11746" width="11.453125" style="229" customWidth="1"/>
    <col min="11747" max="11747" width="11" style="229" customWidth="1"/>
    <col min="11748" max="11756" width="11.1796875" style="229" customWidth="1"/>
    <col min="11757" max="11757" width="15.26953125" style="229" customWidth="1"/>
    <col min="11758" max="11758" width="11.453125" style="229" customWidth="1"/>
    <col min="11759" max="11759" width="10.26953125" style="229" customWidth="1"/>
    <col min="11760" max="11760" width="9.54296875" style="229" customWidth="1"/>
    <col min="11761" max="11761" width="15.1796875" style="229" customWidth="1"/>
    <col min="11762" max="11762" width="12.26953125" style="229" customWidth="1"/>
    <col min="11763" max="11763" width="11.26953125" style="229" customWidth="1"/>
    <col min="11764" max="11764" width="9.1796875" style="229"/>
    <col min="11765" max="11765" width="15.1796875" style="229" customWidth="1"/>
    <col min="11766" max="11766" width="12.26953125" style="229" customWidth="1"/>
    <col min="11767" max="11767" width="10.7265625" style="229" customWidth="1"/>
    <col min="11768" max="11772" width="9.1796875" style="229"/>
    <col min="11773" max="11773" width="15.1796875" style="229" customWidth="1"/>
    <col min="11774" max="11774" width="11.453125" style="229" customWidth="1"/>
    <col min="11775" max="11775" width="11.26953125" style="229" customWidth="1"/>
    <col min="11776" max="11998" width="9.1796875" style="229"/>
    <col min="11999" max="11999" width="4.81640625" style="229" customWidth="1"/>
    <col min="12000" max="12000" width="33.7265625" style="229" customWidth="1"/>
    <col min="12001" max="12002" width="11.453125" style="229" customWidth="1"/>
    <col min="12003" max="12003" width="11" style="229" customWidth="1"/>
    <col min="12004" max="12012" width="11.1796875" style="229" customWidth="1"/>
    <col min="12013" max="12013" width="15.26953125" style="229" customWidth="1"/>
    <col min="12014" max="12014" width="11.453125" style="229" customWidth="1"/>
    <col min="12015" max="12015" width="10.26953125" style="229" customWidth="1"/>
    <col min="12016" max="12016" width="9.54296875" style="229" customWidth="1"/>
    <col min="12017" max="12017" width="15.1796875" style="229" customWidth="1"/>
    <col min="12018" max="12018" width="12.26953125" style="229" customWidth="1"/>
    <col min="12019" max="12019" width="11.26953125" style="229" customWidth="1"/>
    <col min="12020" max="12020" width="9.1796875" style="229"/>
    <col min="12021" max="12021" width="15.1796875" style="229" customWidth="1"/>
    <col min="12022" max="12022" width="12.26953125" style="229" customWidth="1"/>
    <col min="12023" max="12023" width="10.7265625" style="229" customWidth="1"/>
    <col min="12024" max="12028" width="9.1796875" style="229"/>
    <col min="12029" max="12029" width="15.1796875" style="229" customWidth="1"/>
    <col min="12030" max="12030" width="11.453125" style="229" customWidth="1"/>
    <col min="12031" max="12031" width="11.26953125" style="229" customWidth="1"/>
    <col min="12032" max="12254" width="9.1796875" style="229"/>
    <col min="12255" max="12255" width="4.81640625" style="229" customWidth="1"/>
    <col min="12256" max="12256" width="33.7265625" style="229" customWidth="1"/>
    <col min="12257" max="12258" width="11.453125" style="229" customWidth="1"/>
    <col min="12259" max="12259" width="11" style="229" customWidth="1"/>
    <col min="12260" max="12268" width="11.1796875" style="229" customWidth="1"/>
    <col min="12269" max="12269" width="15.26953125" style="229" customWidth="1"/>
    <col min="12270" max="12270" width="11.453125" style="229" customWidth="1"/>
    <col min="12271" max="12271" width="10.26953125" style="229" customWidth="1"/>
    <col min="12272" max="12272" width="9.54296875" style="229" customWidth="1"/>
    <col min="12273" max="12273" width="15.1796875" style="229" customWidth="1"/>
    <col min="12274" max="12274" width="12.26953125" style="229" customWidth="1"/>
    <col min="12275" max="12275" width="11.26953125" style="229" customWidth="1"/>
    <col min="12276" max="12276" width="9.1796875" style="229"/>
    <col min="12277" max="12277" width="15.1796875" style="229" customWidth="1"/>
    <col min="12278" max="12278" width="12.26953125" style="229" customWidth="1"/>
    <col min="12279" max="12279" width="10.7265625" style="229" customWidth="1"/>
    <col min="12280" max="12284" width="9.1796875" style="229"/>
    <col min="12285" max="12285" width="15.1796875" style="229" customWidth="1"/>
    <col min="12286" max="12286" width="11.453125" style="229" customWidth="1"/>
    <col min="12287" max="12287" width="11.26953125" style="229" customWidth="1"/>
    <col min="12288" max="12510" width="9.1796875" style="229"/>
    <col min="12511" max="12511" width="4.81640625" style="229" customWidth="1"/>
    <col min="12512" max="12512" width="33.7265625" style="229" customWidth="1"/>
    <col min="12513" max="12514" width="11.453125" style="229" customWidth="1"/>
    <col min="12515" max="12515" width="11" style="229" customWidth="1"/>
    <col min="12516" max="12524" width="11.1796875" style="229" customWidth="1"/>
    <col min="12525" max="12525" width="15.26953125" style="229" customWidth="1"/>
    <col min="12526" max="12526" width="11.453125" style="229" customWidth="1"/>
    <col min="12527" max="12527" width="10.26953125" style="229" customWidth="1"/>
    <col min="12528" max="12528" width="9.54296875" style="229" customWidth="1"/>
    <col min="12529" max="12529" width="15.1796875" style="229" customWidth="1"/>
    <col min="12530" max="12530" width="12.26953125" style="229" customWidth="1"/>
    <col min="12531" max="12531" width="11.26953125" style="229" customWidth="1"/>
    <col min="12532" max="12532" width="9.1796875" style="229"/>
    <col min="12533" max="12533" width="15.1796875" style="229" customWidth="1"/>
    <col min="12534" max="12534" width="12.26953125" style="229" customWidth="1"/>
    <col min="12535" max="12535" width="10.7265625" style="229" customWidth="1"/>
    <col min="12536" max="12540" width="9.1796875" style="229"/>
    <col min="12541" max="12541" width="15.1796875" style="229" customWidth="1"/>
    <col min="12542" max="12542" width="11.453125" style="229" customWidth="1"/>
    <col min="12543" max="12543" width="11.26953125" style="229" customWidth="1"/>
    <col min="12544" max="12766" width="9.1796875" style="229"/>
    <col min="12767" max="12767" width="4.81640625" style="229" customWidth="1"/>
    <col min="12768" max="12768" width="33.7265625" style="229" customWidth="1"/>
    <col min="12769" max="12770" width="11.453125" style="229" customWidth="1"/>
    <col min="12771" max="12771" width="11" style="229" customWidth="1"/>
    <col min="12772" max="12780" width="11.1796875" style="229" customWidth="1"/>
    <col min="12781" max="12781" width="15.26953125" style="229" customWidth="1"/>
    <col min="12782" max="12782" width="11.453125" style="229" customWidth="1"/>
    <col min="12783" max="12783" width="10.26953125" style="229" customWidth="1"/>
    <col min="12784" max="12784" width="9.54296875" style="229" customWidth="1"/>
    <col min="12785" max="12785" width="15.1796875" style="229" customWidth="1"/>
    <col min="12786" max="12786" width="12.26953125" style="229" customWidth="1"/>
    <col min="12787" max="12787" width="11.26953125" style="229" customWidth="1"/>
    <col min="12788" max="12788" width="9.1796875" style="229"/>
    <col min="12789" max="12789" width="15.1796875" style="229" customWidth="1"/>
    <col min="12790" max="12790" width="12.26953125" style="229" customWidth="1"/>
    <col min="12791" max="12791" width="10.7265625" style="229" customWidth="1"/>
    <col min="12792" max="12796" width="9.1796875" style="229"/>
    <col min="12797" max="12797" width="15.1796875" style="229" customWidth="1"/>
    <col min="12798" max="12798" width="11.453125" style="229" customWidth="1"/>
    <col min="12799" max="12799" width="11.26953125" style="229" customWidth="1"/>
    <col min="12800" max="13022" width="9.1796875" style="229"/>
    <col min="13023" max="13023" width="4.81640625" style="229" customWidth="1"/>
    <col min="13024" max="13024" width="33.7265625" style="229" customWidth="1"/>
    <col min="13025" max="13026" width="11.453125" style="229" customWidth="1"/>
    <col min="13027" max="13027" width="11" style="229" customWidth="1"/>
    <col min="13028" max="13036" width="11.1796875" style="229" customWidth="1"/>
    <col min="13037" max="13037" width="15.26953125" style="229" customWidth="1"/>
    <col min="13038" max="13038" width="11.453125" style="229" customWidth="1"/>
    <col min="13039" max="13039" width="10.26953125" style="229" customWidth="1"/>
    <col min="13040" max="13040" width="9.54296875" style="229" customWidth="1"/>
    <col min="13041" max="13041" width="15.1796875" style="229" customWidth="1"/>
    <col min="13042" max="13042" width="12.26953125" style="229" customWidth="1"/>
    <col min="13043" max="13043" width="11.26953125" style="229" customWidth="1"/>
    <col min="13044" max="13044" width="9.1796875" style="229"/>
    <col min="13045" max="13045" width="15.1796875" style="229" customWidth="1"/>
    <col min="13046" max="13046" width="12.26953125" style="229" customWidth="1"/>
    <col min="13047" max="13047" width="10.7265625" style="229" customWidth="1"/>
    <col min="13048" max="13052" width="9.1796875" style="229"/>
    <col min="13053" max="13053" width="15.1796875" style="229" customWidth="1"/>
    <col min="13054" max="13054" width="11.453125" style="229" customWidth="1"/>
    <col min="13055" max="13055" width="11.26953125" style="229" customWidth="1"/>
    <col min="13056" max="13278" width="9.1796875" style="229"/>
    <col min="13279" max="13279" width="4.81640625" style="229" customWidth="1"/>
    <col min="13280" max="13280" width="33.7265625" style="229" customWidth="1"/>
    <col min="13281" max="13282" width="11.453125" style="229" customWidth="1"/>
    <col min="13283" max="13283" width="11" style="229" customWidth="1"/>
    <col min="13284" max="13292" width="11.1796875" style="229" customWidth="1"/>
    <col min="13293" max="13293" width="15.26953125" style="229" customWidth="1"/>
    <col min="13294" max="13294" width="11.453125" style="229" customWidth="1"/>
    <col min="13295" max="13295" width="10.26953125" style="229" customWidth="1"/>
    <col min="13296" max="13296" width="9.54296875" style="229" customWidth="1"/>
    <col min="13297" max="13297" width="15.1796875" style="229" customWidth="1"/>
    <col min="13298" max="13298" width="12.26953125" style="229" customWidth="1"/>
    <col min="13299" max="13299" width="11.26953125" style="229" customWidth="1"/>
    <col min="13300" max="13300" width="9.1796875" style="229"/>
    <col min="13301" max="13301" width="15.1796875" style="229" customWidth="1"/>
    <col min="13302" max="13302" width="12.26953125" style="229" customWidth="1"/>
    <col min="13303" max="13303" width="10.7265625" style="229" customWidth="1"/>
    <col min="13304" max="13308" width="9.1796875" style="229"/>
    <col min="13309" max="13309" width="15.1796875" style="229" customWidth="1"/>
    <col min="13310" max="13310" width="11.453125" style="229" customWidth="1"/>
    <col min="13311" max="13311" width="11.26953125" style="229" customWidth="1"/>
    <col min="13312" max="13534" width="9.1796875" style="229"/>
    <col min="13535" max="13535" width="4.81640625" style="229" customWidth="1"/>
    <col min="13536" max="13536" width="33.7265625" style="229" customWidth="1"/>
    <col min="13537" max="13538" width="11.453125" style="229" customWidth="1"/>
    <col min="13539" max="13539" width="11" style="229" customWidth="1"/>
    <col min="13540" max="13548" width="11.1796875" style="229" customWidth="1"/>
    <col min="13549" max="13549" width="15.26953125" style="229" customWidth="1"/>
    <col min="13550" max="13550" width="11.453125" style="229" customWidth="1"/>
    <col min="13551" max="13551" width="10.26953125" style="229" customWidth="1"/>
    <col min="13552" max="13552" width="9.54296875" style="229" customWidth="1"/>
    <col min="13553" max="13553" width="15.1796875" style="229" customWidth="1"/>
    <col min="13554" max="13554" width="12.26953125" style="229" customWidth="1"/>
    <col min="13555" max="13555" width="11.26953125" style="229" customWidth="1"/>
    <col min="13556" max="13556" width="9.1796875" style="229"/>
    <col min="13557" max="13557" width="15.1796875" style="229" customWidth="1"/>
    <col min="13558" max="13558" width="12.26953125" style="229" customWidth="1"/>
    <col min="13559" max="13559" width="10.7265625" style="229" customWidth="1"/>
    <col min="13560" max="13564" width="9.1796875" style="229"/>
    <col min="13565" max="13565" width="15.1796875" style="229" customWidth="1"/>
    <col min="13566" max="13566" width="11.453125" style="229" customWidth="1"/>
    <col min="13567" max="13567" width="11.26953125" style="229" customWidth="1"/>
    <col min="13568" max="13790" width="9.1796875" style="229"/>
    <col min="13791" max="13791" width="4.81640625" style="229" customWidth="1"/>
    <col min="13792" max="13792" width="33.7265625" style="229" customWidth="1"/>
    <col min="13793" max="13794" width="11.453125" style="229" customWidth="1"/>
    <col min="13795" max="13795" width="11" style="229" customWidth="1"/>
    <col min="13796" max="13804" width="11.1796875" style="229" customWidth="1"/>
    <col min="13805" max="13805" width="15.26953125" style="229" customWidth="1"/>
    <col min="13806" max="13806" width="11.453125" style="229" customWidth="1"/>
    <col min="13807" max="13807" width="10.26953125" style="229" customWidth="1"/>
    <col min="13808" max="13808" width="9.54296875" style="229" customWidth="1"/>
    <col min="13809" max="13809" width="15.1796875" style="229" customWidth="1"/>
    <col min="13810" max="13810" width="12.26953125" style="229" customWidth="1"/>
    <col min="13811" max="13811" width="11.26953125" style="229" customWidth="1"/>
    <col min="13812" max="13812" width="9.1796875" style="229"/>
    <col min="13813" max="13813" width="15.1796875" style="229" customWidth="1"/>
    <col min="13814" max="13814" width="12.26953125" style="229" customWidth="1"/>
    <col min="13815" max="13815" width="10.7265625" style="229" customWidth="1"/>
    <col min="13816" max="13820" width="9.1796875" style="229"/>
    <col min="13821" max="13821" width="15.1796875" style="229" customWidth="1"/>
    <col min="13822" max="13822" width="11.453125" style="229" customWidth="1"/>
    <col min="13823" max="13823" width="11.26953125" style="229" customWidth="1"/>
    <col min="13824" max="14046" width="9.1796875" style="229"/>
    <col min="14047" max="14047" width="4.81640625" style="229" customWidth="1"/>
    <col min="14048" max="14048" width="33.7265625" style="229" customWidth="1"/>
    <col min="14049" max="14050" width="11.453125" style="229" customWidth="1"/>
    <col min="14051" max="14051" width="11" style="229" customWidth="1"/>
    <col min="14052" max="14060" width="11.1796875" style="229" customWidth="1"/>
    <col min="14061" max="14061" width="15.26953125" style="229" customWidth="1"/>
    <col min="14062" max="14062" width="11.453125" style="229" customWidth="1"/>
    <col min="14063" max="14063" width="10.26953125" style="229" customWidth="1"/>
    <col min="14064" max="14064" width="9.54296875" style="229" customWidth="1"/>
    <col min="14065" max="14065" width="15.1796875" style="229" customWidth="1"/>
    <col min="14066" max="14066" width="12.26953125" style="229" customWidth="1"/>
    <col min="14067" max="14067" width="11.26953125" style="229" customWidth="1"/>
    <col min="14068" max="14068" width="9.1796875" style="229"/>
    <col min="14069" max="14069" width="15.1796875" style="229" customWidth="1"/>
    <col min="14070" max="14070" width="12.26953125" style="229" customWidth="1"/>
    <col min="14071" max="14071" width="10.7265625" style="229" customWidth="1"/>
    <col min="14072" max="14076" width="9.1796875" style="229"/>
    <col min="14077" max="14077" width="15.1796875" style="229" customWidth="1"/>
    <col min="14078" max="14078" width="11.453125" style="229" customWidth="1"/>
    <col min="14079" max="14079" width="11.26953125" style="229" customWidth="1"/>
    <col min="14080" max="14302" width="9.1796875" style="229"/>
    <col min="14303" max="14303" width="4.81640625" style="229" customWidth="1"/>
    <col min="14304" max="14304" width="33.7265625" style="229" customWidth="1"/>
    <col min="14305" max="14306" width="11.453125" style="229" customWidth="1"/>
    <col min="14307" max="14307" width="11" style="229" customWidth="1"/>
    <col min="14308" max="14316" width="11.1796875" style="229" customWidth="1"/>
    <col min="14317" max="14317" width="15.26953125" style="229" customWidth="1"/>
    <col min="14318" max="14318" width="11.453125" style="229" customWidth="1"/>
    <col min="14319" max="14319" width="10.26953125" style="229" customWidth="1"/>
    <col min="14320" max="14320" width="9.54296875" style="229" customWidth="1"/>
    <col min="14321" max="14321" width="15.1796875" style="229" customWidth="1"/>
    <col min="14322" max="14322" width="12.26953125" style="229" customWidth="1"/>
    <col min="14323" max="14323" width="11.26953125" style="229" customWidth="1"/>
    <col min="14324" max="14324" width="9.1796875" style="229"/>
    <col min="14325" max="14325" width="15.1796875" style="229" customWidth="1"/>
    <col min="14326" max="14326" width="12.26953125" style="229" customWidth="1"/>
    <col min="14327" max="14327" width="10.7265625" style="229" customWidth="1"/>
    <col min="14328" max="14332" width="9.1796875" style="229"/>
    <col min="14333" max="14333" width="15.1796875" style="229" customWidth="1"/>
    <col min="14334" max="14334" width="11.453125" style="229" customWidth="1"/>
    <col min="14335" max="14335" width="11.26953125" style="229" customWidth="1"/>
    <col min="14336" max="14558" width="9.1796875" style="229"/>
    <col min="14559" max="14559" width="4.81640625" style="229" customWidth="1"/>
    <col min="14560" max="14560" width="33.7265625" style="229" customWidth="1"/>
    <col min="14561" max="14562" width="11.453125" style="229" customWidth="1"/>
    <col min="14563" max="14563" width="11" style="229" customWidth="1"/>
    <col min="14564" max="14572" width="11.1796875" style="229" customWidth="1"/>
    <col min="14573" max="14573" width="15.26953125" style="229" customWidth="1"/>
    <col min="14574" max="14574" width="11.453125" style="229" customWidth="1"/>
    <col min="14575" max="14575" width="10.26953125" style="229" customWidth="1"/>
    <col min="14576" max="14576" width="9.54296875" style="229" customWidth="1"/>
    <col min="14577" max="14577" width="15.1796875" style="229" customWidth="1"/>
    <col min="14578" max="14578" width="12.26953125" style="229" customWidth="1"/>
    <col min="14579" max="14579" width="11.26953125" style="229" customWidth="1"/>
    <col min="14580" max="14580" width="9.1796875" style="229"/>
    <col min="14581" max="14581" width="15.1796875" style="229" customWidth="1"/>
    <col min="14582" max="14582" width="12.26953125" style="229" customWidth="1"/>
    <col min="14583" max="14583" width="10.7265625" style="229" customWidth="1"/>
    <col min="14584" max="14588" width="9.1796875" style="229"/>
    <col min="14589" max="14589" width="15.1796875" style="229" customWidth="1"/>
    <col min="14590" max="14590" width="11.453125" style="229" customWidth="1"/>
    <col min="14591" max="14591" width="11.26953125" style="229" customWidth="1"/>
    <col min="14592" max="14814" width="9.1796875" style="229"/>
    <col min="14815" max="14815" width="4.81640625" style="229" customWidth="1"/>
    <col min="14816" max="14816" width="33.7265625" style="229" customWidth="1"/>
    <col min="14817" max="14818" width="11.453125" style="229" customWidth="1"/>
    <col min="14819" max="14819" width="11" style="229" customWidth="1"/>
    <col min="14820" max="14828" width="11.1796875" style="229" customWidth="1"/>
    <col min="14829" max="14829" width="15.26953125" style="229" customWidth="1"/>
    <col min="14830" max="14830" width="11.453125" style="229" customWidth="1"/>
    <col min="14831" max="14831" width="10.26953125" style="229" customWidth="1"/>
    <col min="14832" max="14832" width="9.54296875" style="229" customWidth="1"/>
    <col min="14833" max="14833" width="15.1796875" style="229" customWidth="1"/>
    <col min="14834" max="14834" width="12.26953125" style="229" customWidth="1"/>
    <col min="14835" max="14835" width="11.26953125" style="229" customWidth="1"/>
    <col min="14836" max="14836" width="9.1796875" style="229"/>
    <col min="14837" max="14837" width="15.1796875" style="229" customWidth="1"/>
    <col min="14838" max="14838" width="12.26953125" style="229" customWidth="1"/>
    <col min="14839" max="14839" width="10.7265625" style="229" customWidth="1"/>
    <col min="14840" max="14844" width="9.1796875" style="229"/>
    <col min="14845" max="14845" width="15.1796875" style="229" customWidth="1"/>
    <col min="14846" max="14846" width="11.453125" style="229" customWidth="1"/>
    <col min="14847" max="14847" width="11.26953125" style="229" customWidth="1"/>
    <col min="14848" max="15070" width="9.1796875" style="229"/>
    <col min="15071" max="15071" width="4.81640625" style="229" customWidth="1"/>
    <col min="15072" max="15072" width="33.7265625" style="229" customWidth="1"/>
    <col min="15073" max="15074" width="11.453125" style="229" customWidth="1"/>
    <col min="15075" max="15075" width="11" style="229" customWidth="1"/>
    <col min="15076" max="15084" width="11.1796875" style="229" customWidth="1"/>
    <col min="15085" max="15085" width="15.26953125" style="229" customWidth="1"/>
    <col min="15086" max="15086" width="11.453125" style="229" customWidth="1"/>
    <col min="15087" max="15087" width="10.26953125" style="229" customWidth="1"/>
    <col min="15088" max="15088" width="9.54296875" style="229" customWidth="1"/>
    <col min="15089" max="15089" width="15.1796875" style="229" customWidth="1"/>
    <col min="15090" max="15090" width="12.26953125" style="229" customWidth="1"/>
    <col min="15091" max="15091" width="11.26953125" style="229" customWidth="1"/>
    <col min="15092" max="15092" width="9.1796875" style="229"/>
    <col min="15093" max="15093" width="15.1796875" style="229" customWidth="1"/>
    <col min="15094" max="15094" width="12.26953125" style="229" customWidth="1"/>
    <col min="15095" max="15095" width="10.7265625" style="229" customWidth="1"/>
    <col min="15096" max="15100" width="9.1796875" style="229"/>
    <col min="15101" max="15101" width="15.1796875" style="229" customWidth="1"/>
    <col min="15102" max="15102" width="11.453125" style="229" customWidth="1"/>
    <col min="15103" max="15103" width="11.26953125" style="229" customWidth="1"/>
    <col min="15104" max="15326" width="9.1796875" style="229"/>
    <col min="15327" max="15327" width="4.81640625" style="229" customWidth="1"/>
    <col min="15328" max="15328" width="33.7265625" style="229" customWidth="1"/>
    <col min="15329" max="15330" width="11.453125" style="229" customWidth="1"/>
    <col min="15331" max="15331" width="11" style="229" customWidth="1"/>
    <col min="15332" max="15340" width="11.1796875" style="229" customWidth="1"/>
    <col min="15341" max="15341" width="15.26953125" style="229" customWidth="1"/>
    <col min="15342" max="15342" width="11.453125" style="229" customWidth="1"/>
    <col min="15343" max="15343" width="10.26953125" style="229" customWidth="1"/>
    <col min="15344" max="15344" width="9.54296875" style="229" customWidth="1"/>
    <col min="15345" max="15345" width="15.1796875" style="229" customWidth="1"/>
    <col min="15346" max="15346" width="12.26953125" style="229" customWidth="1"/>
    <col min="15347" max="15347" width="11.26953125" style="229" customWidth="1"/>
    <col min="15348" max="15348" width="9.1796875" style="229"/>
    <col min="15349" max="15349" width="15.1796875" style="229" customWidth="1"/>
    <col min="15350" max="15350" width="12.26953125" style="229" customWidth="1"/>
    <col min="15351" max="15351" width="10.7265625" style="229" customWidth="1"/>
    <col min="15352" max="15356" width="9.1796875" style="229"/>
    <col min="15357" max="15357" width="15.1796875" style="229" customWidth="1"/>
    <col min="15358" max="15358" width="11.453125" style="229" customWidth="1"/>
    <col min="15359" max="15359" width="11.26953125" style="229" customWidth="1"/>
    <col min="15360" max="15582" width="9.1796875" style="229"/>
    <col min="15583" max="15583" width="4.81640625" style="229" customWidth="1"/>
    <col min="15584" max="15584" width="33.7265625" style="229" customWidth="1"/>
    <col min="15585" max="15586" width="11.453125" style="229" customWidth="1"/>
    <col min="15587" max="15587" width="11" style="229" customWidth="1"/>
    <col min="15588" max="15596" width="11.1796875" style="229" customWidth="1"/>
    <col min="15597" max="15597" width="15.26953125" style="229" customWidth="1"/>
    <col min="15598" max="15598" width="11.453125" style="229" customWidth="1"/>
    <col min="15599" max="15599" width="10.26953125" style="229" customWidth="1"/>
    <col min="15600" max="15600" width="9.54296875" style="229" customWidth="1"/>
    <col min="15601" max="15601" width="15.1796875" style="229" customWidth="1"/>
    <col min="15602" max="15602" width="12.26953125" style="229" customWidth="1"/>
    <col min="15603" max="15603" width="11.26953125" style="229" customWidth="1"/>
    <col min="15604" max="15604" width="9.1796875" style="229"/>
    <col min="15605" max="15605" width="15.1796875" style="229" customWidth="1"/>
    <col min="15606" max="15606" width="12.26953125" style="229" customWidth="1"/>
    <col min="15607" max="15607" width="10.7265625" style="229" customWidth="1"/>
    <col min="15608" max="15612" width="9.1796875" style="229"/>
    <col min="15613" max="15613" width="15.1796875" style="229" customWidth="1"/>
    <col min="15614" max="15614" width="11.453125" style="229" customWidth="1"/>
    <col min="15615" max="15615" width="11.26953125" style="229" customWidth="1"/>
    <col min="15616" max="15838" width="9.1796875" style="229"/>
    <col min="15839" max="15839" width="4.81640625" style="229" customWidth="1"/>
    <col min="15840" max="15840" width="33.7265625" style="229" customWidth="1"/>
    <col min="15841" max="15842" width="11.453125" style="229" customWidth="1"/>
    <col min="15843" max="15843" width="11" style="229" customWidth="1"/>
    <col min="15844" max="15852" width="11.1796875" style="229" customWidth="1"/>
    <col min="15853" max="15853" width="15.26953125" style="229" customWidth="1"/>
    <col min="15854" max="15854" width="11.453125" style="229" customWidth="1"/>
    <col min="15855" max="15855" width="10.26953125" style="229" customWidth="1"/>
    <col min="15856" max="15856" width="9.54296875" style="229" customWidth="1"/>
    <col min="15857" max="15857" width="15.1796875" style="229" customWidth="1"/>
    <col min="15858" max="15858" width="12.26953125" style="229" customWidth="1"/>
    <col min="15859" max="15859" width="11.26953125" style="229" customWidth="1"/>
    <col min="15860" max="15860" width="9.1796875" style="229"/>
    <col min="15861" max="15861" width="15.1796875" style="229" customWidth="1"/>
    <col min="15862" max="15862" width="12.26953125" style="229" customWidth="1"/>
    <col min="15863" max="15863" width="10.7265625" style="229" customWidth="1"/>
    <col min="15864" max="15868" width="9.1796875" style="229"/>
    <col min="15869" max="15869" width="15.1796875" style="229" customWidth="1"/>
    <col min="15870" max="15870" width="11.453125" style="229" customWidth="1"/>
    <col min="15871" max="15871" width="11.26953125" style="229" customWidth="1"/>
    <col min="15872" max="16094" width="9.1796875" style="229"/>
    <col min="16095" max="16095" width="4.81640625" style="229" customWidth="1"/>
    <col min="16096" max="16096" width="33.7265625" style="229" customWidth="1"/>
    <col min="16097" max="16098" width="11.453125" style="229" customWidth="1"/>
    <col min="16099" max="16099" width="11" style="229" customWidth="1"/>
    <col min="16100" max="16108" width="11.1796875" style="229" customWidth="1"/>
    <col min="16109" max="16109" width="15.26953125" style="229" customWidth="1"/>
    <col min="16110" max="16110" width="11.453125" style="229" customWidth="1"/>
    <col min="16111" max="16111" width="10.26953125" style="229" customWidth="1"/>
    <col min="16112" max="16112" width="9.54296875" style="229" customWidth="1"/>
    <col min="16113" max="16113" width="15.1796875" style="229" customWidth="1"/>
    <col min="16114" max="16114" width="12.26953125" style="229" customWidth="1"/>
    <col min="16115" max="16115" width="11.26953125" style="229" customWidth="1"/>
    <col min="16116" max="16116" width="9.1796875" style="229"/>
    <col min="16117" max="16117" width="15.1796875" style="229" customWidth="1"/>
    <col min="16118" max="16118" width="12.26953125" style="229" customWidth="1"/>
    <col min="16119" max="16119" width="10.7265625" style="229" customWidth="1"/>
    <col min="16120" max="16124" width="9.1796875" style="229"/>
    <col min="16125" max="16125" width="15.1796875" style="229" customWidth="1"/>
    <col min="16126" max="16126" width="11.453125" style="229" customWidth="1"/>
    <col min="16127" max="16127" width="11.26953125" style="229" customWidth="1"/>
    <col min="16128" max="16384" width="9.1796875" style="229"/>
  </cols>
  <sheetData>
    <row r="1" spans="1:26">
      <c r="A1" s="307" t="s">
        <v>533</v>
      </c>
      <c r="B1" s="307" t="s">
        <v>533</v>
      </c>
    </row>
    <row r="2" spans="1:26">
      <c r="A2" s="344" t="str">
        <f>'F10'!A2:H2</f>
        <v>Name of Distribution Licensee: PUVVNL</v>
      </c>
      <c r="B2" s="344" t="str">
        <f>'F10'!B2:I2</f>
        <v>Name of Distribution Licensee: PUVVNL</v>
      </c>
      <c r="C2" s="344"/>
      <c r="D2" s="344"/>
      <c r="E2" s="344"/>
      <c r="F2" s="344"/>
      <c r="G2" s="1020"/>
      <c r="H2" s="3091"/>
      <c r="I2" s="3091"/>
      <c r="J2" s="3091"/>
      <c r="K2" s="3091"/>
      <c r="L2" s="3091"/>
      <c r="M2" s="1020"/>
    </row>
    <row r="3" spans="1:26">
      <c r="A3" s="234" t="s">
        <v>789</v>
      </c>
      <c r="B3" s="549" t="s">
        <v>789</v>
      </c>
      <c r="C3" s="234"/>
      <c r="D3" s="234"/>
      <c r="E3" s="234"/>
      <c r="F3" s="234"/>
      <c r="G3" s="549"/>
      <c r="H3" s="48"/>
      <c r="I3" s="48"/>
      <c r="J3" s="48"/>
      <c r="K3" s="48"/>
      <c r="L3" s="48"/>
      <c r="M3" s="48"/>
      <c r="N3" s="48"/>
      <c r="O3" s="48"/>
      <c r="P3" s="48"/>
      <c r="Q3" s="48"/>
      <c r="R3" s="48"/>
      <c r="S3" s="48"/>
      <c r="T3" s="48"/>
      <c r="U3" s="48"/>
      <c r="V3" s="48"/>
      <c r="W3" s="48"/>
      <c r="X3" s="48"/>
    </row>
    <row r="4" spans="1:26">
      <c r="A4" s="216"/>
      <c r="B4" s="216"/>
      <c r="C4" s="216"/>
      <c r="D4" s="216"/>
      <c r="E4" s="34"/>
      <c r="X4" s="1428" t="s">
        <v>141</v>
      </c>
    </row>
    <row r="5" spans="1:26" ht="12.75" customHeight="1">
      <c r="A5" s="3044" t="s">
        <v>106</v>
      </c>
      <c r="B5" s="2994" t="s">
        <v>788</v>
      </c>
      <c r="C5" s="3070" t="s">
        <v>559</v>
      </c>
      <c r="D5" s="3070"/>
      <c r="E5" s="3070"/>
      <c r="F5" s="3070"/>
      <c r="G5" s="3070" t="s">
        <v>568</v>
      </c>
      <c r="H5" s="3070"/>
      <c r="I5" s="3070"/>
      <c r="J5" s="3070"/>
      <c r="K5" s="3070"/>
      <c r="L5" s="3070"/>
      <c r="M5" s="3070" t="s">
        <v>550</v>
      </c>
      <c r="N5" s="3070"/>
      <c r="O5" s="3070"/>
      <c r="P5" s="3070"/>
      <c r="Q5" s="3070"/>
      <c r="R5" s="3070"/>
      <c r="S5" s="3070" t="s">
        <v>952</v>
      </c>
      <c r="T5" s="3070"/>
      <c r="U5" s="3070"/>
      <c r="V5" s="3070"/>
      <c r="W5" s="3070"/>
      <c r="X5" s="3070"/>
    </row>
    <row r="6" spans="1:26" ht="12.75" customHeight="1">
      <c r="A6" s="3046"/>
      <c r="B6" s="2994"/>
      <c r="C6" s="3070" t="s">
        <v>551</v>
      </c>
      <c r="D6" s="3070"/>
      <c r="E6" s="3070"/>
      <c r="F6" s="3070"/>
      <c r="G6" s="3070" t="s">
        <v>545</v>
      </c>
      <c r="H6" s="3070"/>
      <c r="I6" s="3070"/>
      <c r="J6" s="3070"/>
      <c r="K6" s="3070"/>
      <c r="L6" s="3070"/>
      <c r="M6" s="3070" t="s">
        <v>546</v>
      </c>
      <c r="N6" s="3070"/>
      <c r="O6" s="3070"/>
      <c r="P6" s="3070"/>
      <c r="Q6" s="3070"/>
      <c r="R6" s="3070"/>
      <c r="S6" s="3070" t="s">
        <v>547</v>
      </c>
      <c r="T6" s="3070"/>
      <c r="U6" s="3070"/>
      <c r="V6" s="3070"/>
      <c r="W6" s="3070"/>
      <c r="X6" s="3070"/>
    </row>
    <row r="7" spans="1:26" ht="15.75" customHeight="1">
      <c r="A7" s="3046"/>
      <c r="B7" s="2994"/>
      <c r="C7" s="3070" t="s">
        <v>554</v>
      </c>
      <c r="D7" s="3070"/>
      <c r="E7" s="3070"/>
      <c r="F7" s="3070"/>
      <c r="G7" s="3070" t="s">
        <v>544</v>
      </c>
      <c r="H7" s="3070"/>
      <c r="I7" s="3070"/>
      <c r="J7" s="3070"/>
      <c r="K7" s="3070"/>
      <c r="L7" s="3070"/>
      <c r="M7" s="3070" t="s">
        <v>1418</v>
      </c>
      <c r="N7" s="3070"/>
      <c r="O7" s="3070"/>
      <c r="P7" s="3070"/>
      <c r="Q7" s="3070"/>
      <c r="R7" s="3070"/>
      <c r="S7" s="3070" t="s">
        <v>283</v>
      </c>
      <c r="T7" s="3070"/>
      <c r="U7" s="3070"/>
      <c r="V7" s="3070"/>
      <c r="W7" s="3070"/>
      <c r="X7" s="3070"/>
    </row>
    <row r="8" spans="1:26" ht="87">
      <c r="A8" s="3049"/>
      <c r="B8" s="2994"/>
      <c r="C8" s="1305" t="s">
        <v>294</v>
      </c>
      <c r="D8" s="1305" t="s">
        <v>291</v>
      </c>
      <c r="E8" s="1305" t="s">
        <v>292</v>
      </c>
      <c r="F8" s="1305" t="s">
        <v>293</v>
      </c>
      <c r="G8" s="1305" t="s">
        <v>1472</v>
      </c>
      <c r="H8" s="1305" t="s">
        <v>294</v>
      </c>
      <c r="I8" s="1305" t="s">
        <v>291</v>
      </c>
      <c r="J8" s="1305" t="s">
        <v>1473</v>
      </c>
      <c r="K8" s="1305" t="s">
        <v>1474</v>
      </c>
      <c r="L8" s="1305" t="s">
        <v>293</v>
      </c>
      <c r="M8" s="1305" t="s">
        <v>1472</v>
      </c>
      <c r="N8" s="1305" t="s">
        <v>294</v>
      </c>
      <c r="O8" s="1305" t="s">
        <v>291</v>
      </c>
      <c r="P8" s="1305" t="s">
        <v>1473</v>
      </c>
      <c r="Q8" s="1305" t="s">
        <v>1474</v>
      </c>
      <c r="R8" s="1305" t="s">
        <v>293</v>
      </c>
      <c r="S8" s="1305" t="s">
        <v>1472</v>
      </c>
      <c r="T8" s="1305" t="s">
        <v>294</v>
      </c>
      <c r="U8" s="1305" t="s">
        <v>291</v>
      </c>
      <c r="V8" s="1305" t="s">
        <v>1473</v>
      </c>
      <c r="W8" s="1305" t="s">
        <v>1474</v>
      </c>
      <c r="X8" s="1305" t="s">
        <v>293</v>
      </c>
    </row>
    <row r="9" spans="1:26" s="223" customFormat="1" ht="12.75" customHeight="1">
      <c r="A9" s="1313"/>
      <c r="B9" s="65"/>
      <c r="C9" s="1303" t="s">
        <v>57</v>
      </c>
      <c r="D9" s="1303" t="s">
        <v>58</v>
      </c>
      <c r="E9" s="1303" t="s">
        <v>67</v>
      </c>
      <c r="F9" s="236" t="s">
        <v>295</v>
      </c>
      <c r="G9" s="236"/>
      <c r="H9" s="1303" t="s">
        <v>57</v>
      </c>
      <c r="I9" s="1303" t="s">
        <v>58</v>
      </c>
      <c r="J9" s="253"/>
      <c r="K9" s="1303" t="s">
        <v>67</v>
      </c>
      <c r="L9" s="236" t="s">
        <v>295</v>
      </c>
      <c r="M9" s="236"/>
      <c r="N9" s="1303" t="s">
        <v>57</v>
      </c>
      <c r="O9" s="1303" t="s">
        <v>58</v>
      </c>
      <c r="P9" s="253"/>
      <c r="Q9" s="1303" t="s">
        <v>67</v>
      </c>
      <c r="R9" s="236" t="s">
        <v>295</v>
      </c>
      <c r="S9" s="236"/>
      <c r="T9" s="1303" t="s">
        <v>57</v>
      </c>
      <c r="U9" s="1303" t="s">
        <v>58</v>
      </c>
      <c r="V9" s="253"/>
      <c r="W9" s="1303" t="s">
        <v>67</v>
      </c>
      <c r="X9" s="236" t="s">
        <v>295</v>
      </c>
    </row>
    <row r="10" spans="1:26" s="1019" customFormat="1" ht="12.75" customHeight="1">
      <c r="A10" s="1313"/>
      <c r="B10" s="1402" t="s">
        <v>1395</v>
      </c>
      <c r="C10" s="1433"/>
      <c r="D10" s="972"/>
      <c r="E10" s="972"/>
      <c r="F10" s="1434"/>
      <c r="G10" s="1434"/>
      <c r="H10" s="972"/>
      <c r="I10" s="972"/>
      <c r="J10" s="972"/>
      <c r="K10" s="972"/>
      <c r="L10" s="1434"/>
      <c r="M10" s="1434"/>
      <c r="N10" s="972"/>
      <c r="O10" s="972"/>
      <c r="P10" s="972"/>
      <c r="Q10" s="972"/>
      <c r="R10" s="1434"/>
      <c r="S10" s="1434"/>
      <c r="T10" s="972"/>
      <c r="U10" s="972"/>
      <c r="V10" s="972"/>
      <c r="W10" s="972"/>
      <c r="X10" s="1434"/>
    </row>
    <row r="11" spans="1:26">
      <c r="A11" s="1424">
        <v>1</v>
      </c>
      <c r="B11" s="1402" t="s">
        <v>1396</v>
      </c>
      <c r="C11" s="1435"/>
      <c r="D11" s="1435"/>
      <c r="E11" s="1435"/>
      <c r="F11" s="1435"/>
      <c r="G11" s="1500"/>
      <c r="H11" s="1500"/>
      <c r="I11" s="1500"/>
      <c r="J11" s="1500"/>
      <c r="K11" s="1500"/>
      <c r="L11" s="1500"/>
      <c r="M11" s="1500">
        <v>4584.62557564695</v>
      </c>
      <c r="N11" s="1500">
        <v>1536.0387820940848</v>
      </c>
      <c r="O11" s="1500">
        <f>IFERROR(N11/M11*10,0)</f>
        <v>3.3504127147336997</v>
      </c>
      <c r="P11" s="1500">
        <f ca="1">_xlfn.IFNA(INDEX('F7'!$M$10:$M$126,MATCH(B11,'F7'!$B$10:$B$126,0)),0)</f>
        <v>3702.1245385918874</v>
      </c>
      <c r="Q11" s="1500">
        <f ca="1">IFERROR((P11/M11)*10,0)</f>
        <v>8.0750859094299532</v>
      </c>
      <c r="R11" s="1500">
        <f ca="1">O11-Q11</f>
        <v>-4.724673194696253</v>
      </c>
      <c r="S11" s="1500">
        <v>4813.8568544292975</v>
      </c>
      <c r="T11" s="1501">
        <v>1733.4595125987892</v>
      </c>
      <c r="U11" s="1500">
        <f>IFERROR(T11/S11*10,0)</f>
        <v>3.600978518926687</v>
      </c>
      <c r="V11" s="1500">
        <f ca="1">_xlfn.IFNA(INDEX('F7'!$R$10:$R$126,MATCH(B11,'F7'!$B$10:$B$126,0)),0)</f>
        <v>4619.9567859063754</v>
      </c>
      <c r="W11" s="1500">
        <f ca="1">IFERROR((V11/S11)*10,0)</f>
        <v>9.5972043324376966</v>
      </c>
      <c r="X11" s="1500">
        <f ca="1">U11-W11</f>
        <v>-5.9962258135110096</v>
      </c>
      <c r="Z11" s="1571">
        <v>0</v>
      </c>
    </row>
    <row r="12" spans="1:26">
      <c r="A12" s="1424">
        <v>2</v>
      </c>
      <c r="B12" s="1402" t="s">
        <v>1044</v>
      </c>
      <c r="C12" s="1435"/>
      <c r="D12" s="1435"/>
      <c r="E12" s="1435"/>
      <c r="F12" s="1435"/>
      <c r="G12" s="1500"/>
      <c r="H12" s="1500"/>
      <c r="I12" s="1500"/>
      <c r="J12" s="1500"/>
      <c r="K12" s="1500"/>
      <c r="L12" s="1500"/>
      <c r="M12" s="1500">
        <v>1346.1611616</v>
      </c>
      <c r="N12" s="1500">
        <v>467.41707000000002</v>
      </c>
      <c r="O12" s="1500">
        <f t="shared" ref="O12:O75" si="0">IFERROR(N12/M12*10,0)</f>
        <v>3.4722222222222223</v>
      </c>
      <c r="P12" s="1500">
        <f ca="1">_xlfn.IFNA(INDEX('F7'!$M$10:$M$126,MATCH(B12,'F7'!$B$10:$B$126,0)),0)</f>
        <v>1050.8119332919723</v>
      </c>
      <c r="Q12" s="1500">
        <f t="shared" ref="Q12:Q75" ca="1" si="1">IFERROR((P12/M12)*10,0)</f>
        <v>7.8059890841228405</v>
      </c>
      <c r="R12" s="1500">
        <f t="shared" ref="R12:R75" ca="1" si="2">O12-Q12</f>
        <v>-4.3337668619006182</v>
      </c>
      <c r="S12" s="1500">
        <v>626.66123040000014</v>
      </c>
      <c r="T12" s="1501">
        <v>217.59070500000004</v>
      </c>
      <c r="U12" s="1500">
        <f t="shared" ref="U12:U75" si="3">IFERROR(T12/S12*10,0)</f>
        <v>3.4722222222222223</v>
      </c>
      <c r="V12" s="1500">
        <f ca="1">_xlfn.IFNA(INDEX('F7'!$R$10:$R$126,MATCH(B12,'F7'!$B$10:$B$126,0)),0)</f>
        <v>601.41958753656172</v>
      </c>
      <c r="W12" s="1500">
        <f t="shared" ref="W12:W75" ca="1" si="4">IFERROR((V12/S12)*10,0)</f>
        <v>9.5972043324376948</v>
      </c>
      <c r="X12" s="1500">
        <f ca="1">U12-W12</f>
        <v>-6.1249821102154725</v>
      </c>
      <c r="Z12" s="1571">
        <v>0</v>
      </c>
    </row>
    <row r="13" spans="1:26">
      <c r="A13" s="1424">
        <v>3</v>
      </c>
      <c r="B13" s="1402" t="s">
        <v>1045</v>
      </c>
      <c r="C13" s="1435"/>
      <c r="D13" s="1435"/>
      <c r="E13" s="1435"/>
      <c r="F13" s="1435"/>
      <c r="G13" s="1500"/>
      <c r="H13" s="1500"/>
      <c r="I13" s="1500"/>
      <c r="J13" s="1500"/>
      <c r="K13" s="1500"/>
      <c r="L13" s="1500"/>
      <c r="M13" s="1500">
        <v>1721.0216299486992</v>
      </c>
      <c r="N13" s="1500">
        <v>1062.9711158815762</v>
      </c>
      <c r="O13" s="1500">
        <f t="shared" si="0"/>
        <v>6.1763960277086207</v>
      </c>
      <c r="P13" s="1500">
        <f ca="1">_xlfn.IFNA(INDEX('F7'!$M$10:$M$126,MATCH(B13,'F7'!$B$10:$B$126,0)),0)</f>
        <v>1358.9524276926522</v>
      </c>
      <c r="Q13" s="1500">
        <f t="shared" ca="1" si="1"/>
        <v>7.8961960968100104</v>
      </c>
      <c r="R13" s="1500">
        <f t="shared" ca="1" si="2"/>
        <v>-1.7198000691013897</v>
      </c>
      <c r="S13" s="1500">
        <v>2106.8157985892299</v>
      </c>
      <c r="T13" s="1501">
        <v>1004.4745155671153</v>
      </c>
      <c r="U13" s="1500">
        <f t="shared" si="3"/>
        <v>4.7677377217302697</v>
      </c>
      <c r="V13" s="1500">
        <f ca="1">_xlfn.IFNA(INDEX('F7'!$R$10:$R$126,MATCH(B13,'F7'!$B$10:$B$126,0)),0)</f>
        <v>2021.9541709868734</v>
      </c>
      <c r="W13" s="1500">
        <f t="shared" ca="1" si="4"/>
        <v>9.5972043324376912</v>
      </c>
      <c r="X13" s="1500">
        <f ca="1">U13-W13</f>
        <v>-4.8294666107074216</v>
      </c>
      <c r="Z13" s="1571">
        <v>0</v>
      </c>
    </row>
    <row r="14" spans="1:26">
      <c r="A14" s="1427"/>
      <c r="B14" s="1406" t="s">
        <v>1419</v>
      </c>
      <c r="C14" s="1435"/>
      <c r="D14" s="1435"/>
      <c r="E14" s="1435"/>
      <c r="F14" s="1435"/>
      <c r="G14" s="1500"/>
      <c r="H14" s="1500"/>
      <c r="I14" s="1500"/>
      <c r="J14" s="1500"/>
      <c r="K14" s="1500"/>
      <c r="L14" s="1500"/>
      <c r="M14" s="1500">
        <v>643.82245777127923</v>
      </c>
      <c r="N14" s="1500">
        <v>362.99004019415861</v>
      </c>
      <c r="O14" s="1500">
        <f t="shared" si="0"/>
        <v>5.6380456415068458</v>
      </c>
      <c r="P14" s="1500">
        <f>_xlfn.IFNA(INDEX('F7'!$M$10:$M$126,MATCH(B14,'F7'!$B$10:$B$126,0)),0)</f>
        <v>0</v>
      </c>
      <c r="Q14" s="1500">
        <f t="shared" si="1"/>
        <v>0</v>
      </c>
      <c r="R14" s="1500">
        <f t="shared" si="2"/>
        <v>5.6380456415068458</v>
      </c>
      <c r="S14" s="1500">
        <v>1081.0181669481694</v>
      </c>
      <c r="T14" s="1501">
        <v>434.06609378747481</v>
      </c>
      <c r="U14" s="1500">
        <f t="shared" si="3"/>
        <v>4.015345042839475</v>
      </c>
      <c r="V14" s="1500">
        <f>_xlfn.IFNA(INDEX('F7'!$R$10:$R$126,MATCH(B14,'F7'!$B$10:$B$126,0)),0)</f>
        <v>0</v>
      </c>
      <c r="W14" s="1500">
        <f t="shared" si="4"/>
        <v>0</v>
      </c>
      <c r="X14" s="1500">
        <f>U14-W14</f>
        <v>4.015345042839475</v>
      </c>
      <c r="Z14" s="1571">
        <v>0</v>
      </c>
    </row>
    <row r="15" spans="1:26">
      <c r="A15" s="1427"/>
      <c r="B15" s="1406" t="s">
        <v>1420</v>
      </c>
      <c r="C15" s="1065"/>
      <c r="D15" s="1065"/>
      <c r="E15" s="1065"/>
      <c r="F15" s="1065"/>
      <c r="G15" s="1500"/>
      <c r="H15" s="1500"/>
      <c r="I15" s="1500"/>
      <c r="J15" s="1500"/>
      <c r="K15" s="1500"/>
      <c r="L15" s="1500"/>
      <c r="M15" s="1500">
        <v>407.67825952358345</v>
      </c>
      <c r="N15" s="1500">
        <v>244.13931335295965</v>
      </c>
      <c r="O15" s="1500">
        <f t="shared" si="0"/>
        <v>5.9885291317291012</v>
      </c>
      <c r="P15" s="1500">
        <f>_xlfn.IFNA(INDEX('F7'!$M$10:$M$126,MATCH(B15,'F7'!$B$10:$B$126,0)),0)</f>
        <v>0</v>
      </c>
      <c r="Q15" s="1500">
        <f t="shared" si="1"/>
        <v>0</v>
      </c>
      <c r="R15" s="1500">
        <f t="shared" si="2"/>
        <v>5.9885291317291012</v>
      </c>
      <c r="S15" s="1500">
        <v>421.03390930255313</v>
      </c>
      <c r="T15" s="1501">
        <v>204.66591687608098</v>
      </c>
      <c r="U15" s="1500">
        <f t="shared" si="3"/>
        <v>4.8610316735559875</v>
      </c>
      <c r="V15" s="1500">
        <f>_xlfn.IFNA(INDEX('F7'!$R$10:$R$126,MATCH(B15,'F7'!$B$10:$B$126,0)),0)</f>
        <v>0</v>
      </c>
      <c r="W15" s="1500">
        <f t="shared" si="4"/>
        <v>0</v>
      </c>
      <c r="X15" s="1500">
        <f>U15-W15</f>
        <v>4.8610316735559875</v>
      </c>
      <c r="Z15" s="1571">
        <v>0</v>
      </c>
    </row>
    <row r="16" spans="1:26">
      <c r="B16" s="1406" t="s">
        <v>1421</v>
      </c>
      <c r="C16" s="1065"/>
      <c r="D16" s="1065"/>
      <c r="E16" s="1065"/>
      <c r="F16" s="1065"/>
      <c r="G16" s="1500"/>
      <c r="H16" s="1500"/>
      <c r="I16" s="1500"/>
      <c r="J16" s="1500"/>
      <c r="K16" s="1500"/>
      <c r="L16" s="1500"/>
      <c r="M16" s="1500">
        <v>356.86370806666162</v>
      </c>
      <c r="N16" s="1500">
        <v>231.87748372613081</v>
      </c>
      <c r="O16" s="1500">
        <f t="shared" si="0"/>
        <v>6.4976482193256935</v>
      </c>
      <c r="P16" s="1500">
        <f>_xlfn.IFNA(INDEX('F7'!$M$10:$M$126,MATCH(B16,'F7'!$B$10:$B$126,0)),0)</f>
        <v>0</v>
      </c>
      <c r="Q16" s="1500">
        <f t="shared" si="1"/>
        <v>0</v>
      </c>
      <c r="R16" s="1500">
        <f t="shared" si="2"/>
        <v>6.4976482193256935</v>
      </c>
      <c r="S16" s="1500">
        <v>363.39904158119941</v>
      </c>
      <c r="T16" s="1501">
        <v>207.79476173747972</v>
      </c>
      <c r="U16" s="1500">
        <f t="shared" si="3"/>
        <v>5.7180877757226876</v>
      </c>
      <c r="V16" s="1500">
        <f>_xlfn.IFNA(INDEX('F7'!$R$10:$R$126,MATCH(B16,'F7'!$B$10:$B$126,0)),0)</f>
        <v>0</v>
      </c>
      <c r="W16" s="1500">
        <f t="shared" si="4"/>
        <v>0</v>
      </c>
      <c r="X16" s="1500">
        <f>U16-W16</f>
        <v>5.7180877757226876</v>
      </c>
      <c r="Z16" s="1571">
        <v>0</v>
      </c>
    </row>
    <row r="17" spans="1:26">
      <c r="A17" s="427" t="s">
        <v>1289</v>
      </c>
      <c r="B17" s="1406" t="s">
        <v>1422</v>
      </c>
      <c r="C17" s="1029"/>
      <c r="D17" s="1029"/>
      <c r="E17" s="1029"/>
      <c r="F17" s="1029"/>
      <c r="G17" s="1500"/>
      <c r="H17" s="1500"/>
      <c r="I17" s="1500"/>
      <c r="J17" s="1500"/>
      <c r="K17" s="1500"/>
      <c r="L17" s="1500"/>
      <c r="M17" s="1500">
        <v>194.53799508035522</v>
      </c>
      <c r="N17" s="1500">
        <v>137.05906399639537</v>
      </c>
      <c r="O17" s="1500">
        <f t="shared" si="0"/>
        <v>7.0453622152208473</v>
      </c>
      <c r="P17" s="1500">
        <f>_xlfn.IFNA(INDEX('F7'!$M$10:$M$126,MATCH(B17,'F7'!$B$10:$B$126,0)),0)</f>
        <v>0</v>
      </c>
      <c r="Q17" s="1500">
        <f t="shared" si="1"/>
        <v>0</v>
      </c>
      <c r="R17" s="1500">
        <f t="shared" si="2"/>
        <v>7.0453622152208473</v>
      </c>
      <c r="S17" s="1500">
        <v>187.56421209977492</v>
      </c>
      <c r="T17" s="1501">
        <v>117.83888968749622</v>
      </c>
      <c r="U17" s="1500">
        <f t="shared" si="3"/>
        <v>6.2825892193555424</v>
      </c>
      <c r="V17" s="1500">
        <f>_xlfn.IFNA(INDEX('F7'!$R$10:$R$126,MATCH(B17,'F7'!$B$10:$B$126,0)),0)</f>
        <v>0</v>
      </c>
      <c r="W17" s="1500">
        <f t="shared" si="4"/>
        <v>0</v>
      </c>
      <c r="X17" s="1500">
        <f>U17-W17</f>
        <v>6.2825892193555424</v>
      </c>
      <c r="Z17" s="1571">
        <v>0</v>
      </c>
    </row>
    <row r="18" spans="1:26">
      <c r="B18" s="1409" t="s">
        <v>1423</v>
      </c>
      <c r="C18" s="1065"/>
      <c r="D18" s="1065"/>
      <c r="E18" s="1065"/>
      <c r="F18" s="1065"/>
      <c r="G18" s="1500"/>
      <c r="H18" s="1500"/>
      <c r="I18" s="1500"/>
      <c r="J18" s="1500"/>
      <c r="K18" s="1500"/>
      <c r="L18" s="1500"/>
      <c r="M18" s="1500">
        <v>118.11920950681967</v>
      </c>
      <c r="N18" s="1500">
        <v>86.905214611931811</v>
      </c>
      <c r="O18" s="1500">
        <f t="shared" si="0"/>
        <v>7.3574158661224605</v>
      </c>
      <c r="P18" s="1500">
        <f>_xlfn.IFNA(INDEX('F7'!$M$10:$M$126,MATCH(B18,'F7'!$B$10:$B$126,0)),0)</f>
        <v>0</v>
      </c>
      <c r="Q18" s="1500">
        <f t="shared" si="1"/>
        <v>0</v>
      </c>
      <c r="R18" s="1500">
        <f t="shared" si="2"/>
        <v>7.3574158661224605</v>
      </c>
      <c r="S18" s="1500">
        <v>53.800468657532619</v>
      </c>
      <c r="T18" s="1501">
        <v>40.108853478583576</v>
      </c>
      <c r="U18" s="1500">
        <f t="shared" si="3"/>
        <v>7.4551122842250415</v>
      </c>
      <c r="V18" s="1500">
        <f>_xlfn.IFNA(INDEX('F7'!$R$10:$R$126,MATCH(B18,'F7'!$B$10:$B$126,0)),0)</f>
        <v>0</v>
      </c>
      <c r="W18" s="1500">
        <f t="shared" si="4"/>
        <v>0</v>
      </c>
      <c r="X18" s="1500">
        <f>U18-W18</f>
        <v>7.4551122842250415</v>
      </c>
      <c r="Z18" s="1571">
        <v>0</v>
      </c>
    </row>
    <row r="19" spans="1:26">
      <c r="B19" s="1402" t="s">
        <v>1046</v>
      </c>
      <c r="C19" s="1065"/>
      <c r="D19" s="1065"/>
      <c r="E19" s="1065"/>
      <c r="F19" s="1065"/>
      <c r="G19" s="1500"/>
      <c r="H19" s="1500"/>
      <c r="I19" s="1500"/>
      <c r="J19" s="1500"/>
      <c r="K19" s="1500"/>
      <c r="L19" s="1500"/>
      <c r="M19" s="1500">
        <v>8.1</v>
      </c>
      <c r="N19" s="1500">
        <v>8.4710769599999995</v>
      </c>
      <c r="O19" s="1500">
        <f t="shared" si="0"/>
        <v>10.458119703703703</v>
      </c>
      <c r="P19" s="1500">
        <f ca="1">_xlfn.IFNA(INDEX('F7'!$M$10:$M$126,MATCH(B19,'F7'!$B$10:$B$126,0)),0)</f>
        <v>6.2373931321783553</v>
      </c>
      <c r="Q19" s="1500">
        <f t="shared" ca="1" si="1"/>
        <v>7.70048534836834</v>
      </c>
      <c r="R19" s="1500">
        <f t="shared" ca="1" si="2"/>
        <v>2.7576343553353633</v>
      </c>
      <c r="S19" s="1500">
        <v>8.1</v>
      </c>
      <c r="T19" s="1501">
        <v>10.903914971999999</v>
      </c>
      <c r="U19" s="1500">
        <f t="shared" si="3"/>
        <v>13.461623422222221</v>
      </c>
      <c r="V19" s="1500">
        <f ca="1">_xlfn.IFNA(INDEX('F7'!$R$10:$R$126,MATCH(B19,'F7'!$B$10:$B$126,0)),0)</f>
        <v>7.7737355092745331</v>
      </c>
      <c r="W19" s="1500">
        <f t="shared" ca="1" si="4"/>
        <v>9.5972043324376948</v>
      </c>
      <c r="X19" s="1500">
        <f ca="1">U19-W19</f>
        <v>3.8644190897845263</v>
      </c>
      <c r="Z19" s="1571">
        <v>0</v>
      </c>
    </row>
    <row r="20" spans="1:26">
      <c r="B20" s="1402" t="s">
        <v>1047</v>
      </c>
      <c r="C20" s="1065"/>
      <c r="D20" s="1065"/>
      <c r="E20" s="1065"/>
      <c r="F20" s="1065"/>
      <c r="G20" s="1500"/>
      <c r="H20" s="1500"/>
      <c r="I20" s="1500"/>
      <c r="J20" s="1500"/>
      <c r="K20" s="1500"/>
      <c r="L20" s="1500"/>
      <c r="M20" s="1500">
        <v>4742.0053333333335</v>
      </c>
      <c r="N20" s="1500">
        <v>3250.6898017347403</v>
      </c>
      <c r="O20" s="1500">
        <f t="shared" si="0"/>
        <v>6.8550952038885802</v>
      </c>
      <c r="P20" s="1500">
        <f ca="1">_xlfn.IFNA(INDEX('F7'!$M$10:$M$126,MATCH(B20,'F7'!$B$10:$B$126,0)),0)</f>
        <v>3724.8445877513004</v>
      </c>
      <c r="Q20" s="1500">
        <f t="shared" ca="1" si="1"/>
        <v>7.8549987313763046</v>
      </c>
      <c r="R20" s="1500">
        <f t="shared" ca="1" si="2"/>
        <v>-0.99990352748772438</v>
      </c>
      <c r="S20" s="1500">
        <v>5377.1073529521191</v>
      </c>
      <c r="T20" s="1501">
        <v>3660.0170616542641</v>
      </c>
      <c r="U20" s="1500">
        <f t="shared" si="3"/>
        <v>6.8066654083907316</v>
      </c>
      <c r="V20" s="1500">
        <f ca="1">_xlfn.IFNA(INDEX('F7'!$R$10:$R$126,MATCH(B20,'F7'!$B$10:$B$126,0)),0)</f>
        <v>5160.5197983734652</v>
      </c>
      <c r="W20" s="1500">
        <f t="shared" ca="1" si="4"/>
        <v>9.597204332437693</v>
      </c>
      <c r="X20" s="1500">
        <f ca="1">U20-W20</f>
        <v>-2.7905389240469614</v>
      </c>
      <c r="Z20" s="1571">
        <v>0</v>
      </c>
    </row>
    <row r="21" spans="1:26">
      <c r="B21" s="1406" t="s">
        <v>1424</v>
      </c>
      <c r="C21" s="1065"/>
      <c r="D21" s="1065"/>
      <c r="E21" s="1065"/>
      <c r="F21" s="1065"/>
      <c r="G21" s="1500"/>
      <c r="H21" s="1500"/>
      <c r="I21" s="1500"/>
      <c r="J21" s="1500"/>
      <c r="K21" s="1500"/>
      <c r="L21" s="1500"/>
      <c r="M21" s="1500">
        <v>2643.5142667666664</v>
      </c>
      <c r="N21" s="1500">
        <v>1714.1582160796245</v>
      </c>
      <c r="O21" s="1500">
        <f t="shared" si="0"/>
        <v>6.4843917720793867</v>
      </c>
      <c r="P21" s="1500">
        <f>_xlfn.IFNA(INDEX('F7'!$M$10:$M$126,MATCH(B21,'F7'!$B$10:$B$126,0)),0)</f>
        <v>0</v>
      </c>
      <c r="Q21" s="1500">
        <f t="shared" si="1"/>
        <v>0</v>
      </c>
      <c r="R21" s="1500">
        <f t="shared" si="2"/>
        <v>6.4843917720793867</v>
      </c>
      <c r="S21" s="1500">
        <v>2914.9905936382415</v>
      </c>
      <c r="T21" s="1501">
        <v>1873.917667584446</v>
      </c>
      <c r="U21" s="1500">
        <f t="shared" si="3"/>
        <v>6.4285547667774203</v>
      </c>
      <c r="V21" s="1500">
        <f>_xlfn.IFNA(INDEX('F7'!$R$10:$R$126,MATCH(B21,'F7'!$B$10:$B$126,0)),0)</f>
        <v>0</v>
      </c>
      <c r="W21" s="1500">
        <f t="shared" si="4"/>
        <v>0</v>
      </c>
      <c r="X21" s="1500">
        <f>U21-W21</f>
        <v>6.4285547667774203</v>
      </c>
      <c r="Z21" s="1571">
        <v>0</v>
      </c>
    </row>
    <row r="22" spans="1:26">
      <c r="B22" s="1406" t="s">
        <v>1421</v>
      </c>
      <c r="C22" s="1065"/>
      <c r="D22" s="1065"/>
      <c r="E22" s="1065"/>
      <c r="F22" s="1065"/>
      <c r="G22" s="1500"/>
      <c r="H22" s="1500"/>
      <c r="I22" s="1500"/>
      <c r="J22" s="1500"/>
      <c r="K22" s="1500"/>
      <c r="L22" s="1500"/>
      <c r="M22" s="1500">
        <v>815.99588586090999</v>
      </c>
      <c r="N22" s="1500">
        <v>555.54350437474125</v>
      </c>
      <c r="O22" s="1500">
        <f t="shared" si="0"/>
        <v>6.8081655067245777</v>
      </c>
      <c r="P22" s="1500">
        <f>_xlfn.IFNA(INDEX('F7'!$M$10:$M$126,MATCH(B22,'F7'!$B$10:$B$126,0)),0)</f>
        <v>0</v>
      </c>
      <c r="Q22" s="1500">
        <f t="shared" si="1"/>
        <v>0</v>
      </c>
      <c r="R22" s="1500">
        <f t="shared" si="2"/>
        <v>6.8081655067245777</v>
      </c>
      <c r="S22" s="1500">
        <v>892.6158379196462</v>
      </c>
      <c r="T22" s="1501">
        <v>604.16306023458537</v>
      </c>
      <c r="U22" s="1500">
        <f t="shared" si="3"/>
        <v>6.7684555277740044</v>
      </c>
      <c r="V22" s="1500">
        <f>_xlfn.IFNA(INDEX('F7'!$R$10:$R$126,MATCH(B22,'F7'!$B$10:$B$126,0)),0)</f>
        <v>0</v>
      </c>
      <c r="W22" s="1500">
        <f t="shared" si="4"/>
        <v>0</v>
      </c>
      <c r="X22" s="1500">
        <f>U22-W22</f>
        <v>6.7684555277740044</v>
      </c>
      <c r="Z22" s="1571">
        <v>0</v>
      </c>
    </row>
    <row r="23" spans="1:26">
      <c r="B23" s="1406" t="s">
        <v>1422</v>
      </c>
      <c r="C23" s="1065"/>
      <c r="D23" s="1065"/>
      <c r="E23" s="1065"/>
      <c r="F23" s="1065"/>
      <c r="G23" s="1500"/>
      <c r="H23" s="1500"/>
      <c r="I23" s="1500"/>
      <c r="J23" s="1500"/>
      <c r="K23" s="1500"/>
      <c r="L23" s="1500"/>
      <c r="M23" s="1500">
        <v>634.80670835003912</v>
      </c>
      <c r="N23" s="1500">
        <v>471.06230879319821</v>
      </c>
      <c r="O23" s="1500">
        <f t="shared" si="0"/>
        <v>7.4205628673578774</v>
      </c>
      <c r="P23" s="1500">
        <f>_xlfn.IFNA(INDEX('F7'!$M$10:$M$126,MATCH(B23,'F7'!$B$10:$B$126,0)),0)</f>
        <v>0</v>
      </c>
      <c r="Q23" s="1500">
        <f t="shared" si="1"/>
        <v>0</v>
      </c>
      <c r="R23" s="1500">
        <f t="shared" si="2"/>
        <v>7.4205628673578774</v>
      </c>
      <c r="S23" s="1500">
        <v>726.24730671035888</v>
      </c>
      <c r="T23" s="1501">
        <v>532.84485181203775</v>
      </c>
      <c r="U23" s="1500">
        <f t="shared" si="3"/>
        <v>7.3369614852774436</v>
      </c>
      <c r="V23" s="1500">
        <f>_xlfn.IFNA(INDEX('F7'!$R$10:$R$126,MATCH(B23,'F7'!$B$10:$B$126,0)),0)</f>
        <v>0</v>
      </c>
      <c r="W23" s="1500">
        <f t="shared" si="4"/>
        <v>0</v>
      </c>
      <c r="X23" s="1500">
        <f>U23-W23</f>
        <v>7.3369614852774436</v>
      </c>
      <c r="Z23" s="1571">
        <v>0</v>
      </c>
    </row>
    <row r="24" spans="1:26">
      <c r="B24" s="1406" t="s">
        <v>1423</v>
      </c>
      <c r="C24" s="1065"/>
      <c r="D24" s="1065"/>
      <c r="E24" s="1065"/>
      <c r="F24" s="1065"/>
      <c r="G24" s="1500"/>
      <c r="H24" s="1500"/>
      <c r="I24" s="1500"/>
      <c r="J24" s="1500"/>
      <c r="K24" s="1500"/>
      <c r="L24" s="1500"/>
      <c r="M24" s="1500">
        <v>647.68847235571775</v>
      </c>
      <c r="N24" s="1500">
        <v>509.92577248717635</v>
      </c>
      <c r="O24" s="1500">
        <f t="shared" si="0"/>
        <v>7.8730098535259927</v>
      </c>
      <c r="P24" s="1500">
        <f>_xlfn.IFNA(INDEX('F7'!$M$10:$M$126,MATCH(B24,'F7'!$B$10:$B$126,0)),0)</f>
        <v>0</v>
      </c>
      <c r="Q24" s="1500">
        <f t="shared" si="1"/>
        <v>0</v>
      </c>
      <c r="R24" s="1500">
        <f t="shared" si="2"/>
        <v>7.8730098535259927</v>
      </c>
      <c r="S24" s="1500">
        <v>843.25361468387189</v>
      </c>
      <c r="T24" s="1501">
        <v>649.09148202319511</v>
      </c>
      <c r="U24" s="1500">
        <f t="shared" si="3"/>
        <v>7.6974645672468718</v>
      </c>
      <c r="V24" s="1500">
        <f>_xlfn.IFNA(INDEX('F7'!$R$10:$R$126,MATCH(B24,'F7'!$B$10:$B$126,0)),0)</f>
        <v>0</v>
      </c>
      <c r="W24" s="1500">
        <f t="shared" si="4"/>
        <v>0</v>
      </c>
      <c r="X24" s="1500">
        <f>U24-W24</f>
        <v>7.6974645672468718</v>
      </c>
      <c r="Z24" s="1571">
        <v>0</v>
      </c>
    </row>
    <row r="25" spans="1:26">
      <c r="B25" s="1402" t="s">
        <v>1425</v>
      </c>
      <c r="C25" s="1065"/>
      <c r="D25" s="1065"/>
      <c r="E25" s="1065"/>
      <c r="F25" s="1065"/>
      <c r="G25" s="1500"/>
      <c r="H25" s="1500"/>
      <c r="I25" s="1500"/>
      <c r="J25" s="1500"/>
      <c r="K25" s="1500"/>
      <c r="L25" s="1500"/>
      <c r="M25" s="1500">
        <v>12401.913700528983</v>
      </c>
      <c r="N25" s="1500">
        <v>6325.5878466704016</v>
      </c>
      <c r="O25" s="1500">
        <f t="shared" si="0"/>
        <v>5.1004933588600876</v>
      </c>
      <c r="P25" s="1500">
        <f ca="1">_xlfn.IFNA(INDEX('F7'!$M$10:$M$126,MATCH(B25,'F7'!$B$10:$B$126,0)),0)</f>
        <v>9842.9708804599904</v>
      </c>
      <c r="Q25" s="1500">
        <f t="shared" ca="1" si="1"/>
        <v>7.9366548729009088</v>
      </c>
      <c r="R25" s="1500">
        <f t="shared" ca="1" si="2"/>
        <v>-2.8361615140408212</v>
      </c>
      <c r="S25" s="1500">
        <v>12932.541236370645</v>
      </c>
      <c r="T25" s="1501">
        <v>6626.4457097921695</v>
      </c>
      <c r="U25" s="1500">
        <f t="shared" si="3"/>
        <v>5.1238543057232864</v>
      </c>
      <c r="V25" s="1500">
        <f ca="1">_xlfn.IFNA(INDEX('F7'!$R$10:$R$126,MATCH(B25,'F7'!$B$10:$B$126,0)),0)</f>
        <v>12411.62407831255</v>
      </c>
      <c r="W25" s="1500">
        <f t="shared" ca="1" si="4"/>
        <v>9.5972043324376948</v>
      </c>
      <c r="X25" s="1500">
        <f ca="1">U25-W25</f>
        <v>-4.4733500267144084</v>
      </c>
      <c r="Z25" s="1571">
        <v>0</v>
      </c>
    </row>
    <row r="26" spans="1:26">
      <c r="B26" s="1409"/>
      <c r="C26" s="1065"/>
      <c r="D26" s="1065"/>
      <c r="E26" s="1065"/>
      <c r="F26" s="1065"/>
      <c r="G26" s="1500"/>
      <c r="H26" s="1500"/>
      <c r="I26" s="1500"/>
      <c r="J26" s="1500"/>
      <c r="K26" s="1500"/>
      <c r="L26" s="1500"/>
      <c r="M26" s="1500">
        <v>0</v>
      </c>
      <c r="N26" s="1500">
        <v>0</v>
      </c>
      <c r="O26" s="1500">
        <f t="shared" si="0"/>
        <v>0</v>
      </c>
      <c r="P26" s="1500">
        <f>_xlfn.IFNA(INDEX('F7'!$M$10:$M$126,MATCH(B26,'F7'!$B$10:$B$126,0)),0)</f>
        <v>0</v>
      </c>
      <c r="Q26" s="1500">
        <f t="shared" si="1"/>
        <v>0</v>
      </c>
      <c r="R26" s="1500">
        <f t="shared" si="2"/>
        <v>0</v>
      </c>
      <c r="S26" s="1500">
        <v>0</v>
      </c>
      <c r="T26" s="1501">
        <v>0</v>
      </c>
      <c r="U26" s="1500">
        <f t="shared" si="3"/>
        <v>0</v>
      </c>
      <c r="V26" s="1500">
        <f>_xlfn.IFNA(INDEX('F7'!$R$10:$R$126,MATCH(B26,'F7'!$B$10:$B$126,0)),0)</f>
        <v>0</v>
      </c>
      <c r="W26" s="1500">
        <f t="shared" si="4"/>
        <v>0</v>
      </c>
      <c r="X26" s="1500">
        <f>U26-W26</f>
        <v>0</v>
      </c>
      <c r="Z26" s="1571">
        <v>0</v>
      </c>
    </row>
    <row r="27" spans="1:26">
      <c r="B27" s="1402" t="s">
        <v>1398</v>
      </c>
      <c r="C27" s="1065"/>
      <c r="D27" s="1065"/>
      <c r="E27" s="1065"/>
      <c r="F27" s="1065"/>
      <c r="G27" s="1500"/>
      <c r="H27" s="1500"/>
      <c r="I27" s="1500"/>
      <c r="J27" s="1500"/>
      <c r="K27" s="1500"/>
      <c r="L27" s="1500"/>
      <c r="M27" s="1500">
        <v>0</v>
      </c>
      <c r="N27" s="1500">
        <v>0</v>
      </c>
      <c r="O27" s="1500">
        <f t="shared" si="0"/>
        <v>0</v>
      </c>
      <c r="P27" s="1500">
        <f ca="1">_xlfn.IFNA(INDEX('F7'!$M$10:$M$126,MATCH(B27,'F7'!$B$10:$B$126,0)),0)</f>
        <v>0</v>
      </c>
      <c r="Q27" s="1500">
        <f t="shared" ca="1" si="1"/>
        <v>0</v>
      </c>
      <c r="R27" s="1500">
        <f t="shared" ca="1" si="2"/>
        <v>0</v>
      </c>
      <c r="S27" s="1500">
        <v>0</v>
      </c>
      <c r="T27" s="1501">
        <v>0</v>
      </c>
      <c r="U27" s="1500">
        <f t="shared" si="3"/>
        <v>0</v>
      </c>
      <c r="V27" s="1500">
        <f ca="1">_xlfn.IFNA(INDEX('F7'!$R$10:$R$126,MATCH(B27,'F7'!$B$10:$B$126,0)),0)</f>
        <v>0</v>
      </c>
      <c r="W27" s="1500">
        <f t="shared" ca="1" si="4"/>
        <v>0</v>
      </c>
      <c r="X27" s="1500">
        <f ca="1">U27-W27</f>
        <v>0</v>
      </c>
      <c r="Z27" s="1571">
        <v>0</v>
      </c>
    </row>
    <row r="28" spans="1:26">
      <c r="B28" s="1402" t="s">
        <v>1051</v>
      </c>
      <c r="C28" s="1065"/>
      <c r="D28" s="1065"/>
      <c r="E28" s="1065"/>
      <c r="F28" s="1065"/>
      <c r="G28" s="1500"/>
      <c r="H28" s="1500"/>
      <c r="I28" s="1500"/>
      <c r="J28" s="1500"/>
      <c r="K28" s="1500"/>
      <c r="L28" s="1500"/>
      <c r="M28" s="1500">
        <v>0</v>
      </c>
      <c r="N28" s="1500">
        <v>13.3194</v>
      </c>
      <c r="O28" s="1500">
        <f t="shared" si="0"/>
        <v>0</v>
      </c>
      <c r="P28" s="1500">
        <f ca="1">_xlfn.IFNA(INDEX('F7'!$M$10:$M$126,MATCH(B28,'F7'!$B$10:$B$126,0)),0)</f>
        <v>0</v>
      </c>
      <c r="Q28" s="1500">
        <f t="shared" ca="1" si="1"/>
        <v>0</v>
      </c>
      <c r="R28" s="1500">
        <f t="shared" ca="1" si="2"/>
        <v>0</v>
      </c>
      <c r="S28" s="1500">
        <v>0</v>
      </c>
      <c r="T28" s="1501">
        <v>0</v>
      </c>
      <c r="U28" s="1500">
        <f t="shared" si="3"/>
        <v>0</v>
      </c>
      <c r="V28" s="1500">
        <f ca="1">_xlfn.IFNA(INDEX('F7'!$R$10:$R$126,MATCH(B28,'F7'!$B$10:$B$126,0)),0)</f>
        <v>0</v>
      </c>
      <c r="W28" s="1500">
        <f t="shared" ca="1" si="4"/>
        <v>0</v>
      </c>
      <c r="X28" s="1500">
        <f ca="1">U28-W28</f>
        <v>0</v>
      </c>
      <c r="Z28" s="1571">
        <v>0</v>
      </c>
    </row>
    <row r="29" spans="1:26">
      <c r="B29" s="1402" t="s">
        <v>1052</v>
      </c>
      <c r="C29" s="1065"/>
      <c r="D29" s="1065"/>
      <c r="E29" s="1065"/>
      <c r="F29" s="1065"/>
      <c r="G29" s="1500"/>
      <c r="H29" s="1500"/>
      <c r="I29" s="1500"/>
      <c r="J29" s="1500"/>
      <c r="K29" s="1500"/>
      <c r="L29" s="1500"/>
      <c r="M29" s="1500">
        <v>677.93333333333294</v>
      </c>
      <c r="N29" s="1500">
        <v>412.73886353333313</v>
      </c>
      <c r="O29" s="1500">
        <f t="shared" si="0"/>
        <v>6.0881924997541557</v>
      </c>
      <c r="P29" s="1500">
        <f ca="1">_xlfn.IFNA(INDEX('F7'!$M$10:$M$126,MATCH(B29,'F7'!$B$10:$B$126,0)),0)</f>
        <v>525.56611109097037</v>
      </c>
      <c r="Q29" s="1500">
        <f t="shared" ca="1" si="1"/>
        <v>7.752474841542492</v>
      </c>
      <c r="R29" s="1500">
        <f t="shared" ca="1" si="2"/>
        <v>-1.6642823417883363</v>
      </c>
      <c r="S29" s="1500">
        <v>703.45074399999953</v>
      </c>
      <c r="T29" s="1501">
        <v>427.19995020999971</v>
      </c>
      <c r="U29" s="1500">
        <f t="shared" si="3"/>
        <v>6.0729191610606925</v>
      </c>
      <c r="V29" s="1500">
        <f ca="1">_xlfn.IFNA(INDEX('F7'!$R$10:$R$126,MATCH(B29,'F7'!$B$10:$B$126,0)),0)</f>
        <v>675.11605279733158</v>
      </c>
      <c r="W29" s="1500">
        <f t="shared" ca="1" si="4"/>
        <v>9.5972043324376948</v>
      </c>
      <c r="X29" s="1500">
        <f ca="1">U29-W29</f>
        <v>-3.5242851713770023</v>
      </c>
      <c r="Z29" s="1571">
        <v>0</v>
      </c>
    </row>
    <row r="30" spans="1:26">
      <c r="B30" s="1402" t="s">
        <v>1399</v>
      </c>
      <c r="C30" s="1065"/>
      <c r="D30" s="1065"/>
      <c r="E30" s="1065"/>
      <c r="F30" s="1065"/>
      <c r="G30" s="1500"/>
      <c r="H30" s="1500"/>
      <c r="I30" s="1500"/>
      <c r="J30" s="1500"/>
      <c r="K30" s="1500"/>
      <c r="L30" s="1500"/>
      <c r="M30" s="1500">
        <v>52.665333333333336</v>
      </c>
      <c r="N30" s="1500">
        <v>94.797600000000017</v>
      </c>
      <c r="O30" s="1500">
        <f t="shared" si="0"/>
        <v>18.000000000000004</v>
      </c>
      <c r="P30" s="1500">
        <f ca="1">_xlfn.IFNA(INDEX('F7'!$M$10:$M$126,MATCH(B30,'F7'!$B$10:$B$126,0)),0)</f>
        <v>40.824642509150301</v>
      </c>
      <c r="Q30" s="1500">
        <f t="shared" ca="1" si="1"/>
        <v>7.7517106463107233</v>
      </c>
      <c r="R30" s="1500">
        <f t="shared" ca="1" si="2"/>
        <v>10.24828935368928</v>
      </c>
      <c r="S30" s="1500">
        <v>53.191986666666672</v>
      </c>
      <c r="T30" s="1501">
        <v>95.745576</v>
      </c>
      <c r="U30" s="1500">
        <f t="shared" si="3"/>
        <v>18</v>
      </c>
      <c r="V30" s="1500">
        <f ca="1">_xlfn.IFNA(INDEX('F7'!$R$10:$R$126,MATCH(B30,'F7'!$B$10:$B$126,0)),0)</f>
        <v>51.049436488830146</v>
      </c>
      <c r="W30" s="1500">
        <f t="shared" ca="1" si="4"/>
        <v>9.5972043324376948</v>
      </c>
      <c r="X30" s="1500">
        <f ca="1">U30-W30</f>
        <v>8.4027956675623052</v>
      </c>
      <c r="Z30" s="1571">
        <v>0</v>
      </c>
    </row>
    <row r="31" spans="1:26">
      <c r="B31" s="1402" t="s">
        <v>1054</v>
      </c>
      <c r="C31" s="1065"/>
      <c r="D31" s="1065"/>
      <c r="E31" s="1065"/>
      <c r="F31" s="1065"/>
      <c r="G31" s="1500"/>
      <c r="H31" s="1500"/>
      <c r="I31" s="1500"/>
      <c r="J31" s="1500"/>
      <c r="K31" s="1500"/>
      <c r="L31" s="1500"/>
      <c r="M31" s="1500">
        <v>1274.3053333333332</v>
      </c>
      <c r="N31" s="1500">
        <v>1408.7533104744471</v>
      </c>
      <c r="O31" s="1500">
        <f t="shared" si="0"/>
        <v>11.055068778449073</v>
      </c>
      <c r="P31" s="1500">
        <f ca="1">_xlfn.IFNA(INDEX('F7'!$M$10:$M$126,MATCH(B31,'F7'!$B$10:$B$126,0)),0)</f>
        <v>993.9994387309074</v>
      </c>
      <c r="Q31" s="1500">
        <f t="shared" ca="1" si="1"/>
        <v>7.8003239312418131</v>
      </c>
      <c r="R31" s="1500">
        <f t="shared" ca="1" si="2"/>
        <v>3.2547448472072595</v>
      </c>
      <c r="S31" s="1500">
        <v>1322.2701860800003</v>
      </c>
      <c r="T31" s="1501">
        <v>1460.3387938504186</v>
      </c>
      <c r="U31" s="1500">
        <f t="shared" si="3"/>
        <v>11.044178483519591</v>
      </c>
      <c r="V31" s="1500">
        <f ca="1">_xlfn.IFNA(INDEX('F7'!$R$10:$R$126,MATCH(B31,'F7'!$B$10:$B$126,0)),0)</f>
        <v>1269.0097158500175</v>
      </c>
      <c r="W31" s="1500">
        <f t="shared" ca="1" si="4"/>
        <v>9.5972043324376948</v>
      </c>
      <c r="X31" s="1500">
        <f ca="1">U31-W31</f>
        <v>1.4469741510818963</v>
      </c>
      <c r="Z31" s="1571">
        <v>0</v>
      </c>
    </row>
    <row r="32" spans="1:26">
      <c r="B32" s="1410" t="s">
        <v>1449</v>
      </c>
      <c r="C32" s="1065"/>
      <c r="D32" s="1065"/>
      <c r="E32" s="1065"/>
      <c r="F32" s="1065"/>
      <c r="G32" s="1500"/>
      <c r="H32" s="1500"/>
      <c r="I32" s="1500"/>
      <c r="J32" s="1500"/>
      <c r="K32" s="1500"/>
      <c r="L32" s="1500"/>
      <c r="M32" s="1500">
        <v>611.66655999999989</v>
      </c>
      <c r="N32" s="1500">
        <v>605.87144149679989</v>
      </c>
      <c r="O32" s="1500">
        <f t="shared" si="0"/>
        <v>9.9052569016818577</v>
      </c>
      <c r="P32" s="1500">
        <f>_xlfn.IFNA(INDEX('F7'!$M$10:$M$126,MATCH(B32,'F7'!$B$10:$B$126,0)),0)</f>
        <v>0</v>
      </c>
      <c r="Q32" s="1500">
        <f t="shared" si="1"/>
        <v>0</v>
      </c>
      <c r="R32" s="1500">
        <f t="shared" si="2"/>
        <v>9.9052569016818577</v>
      </c>
      <c r="S32" s="1500">
        <v>634.68968931840004</v>
      </c>
      <c r="T32" s="1501">
        <v>628.03809224134568</v>
      </c>
      <c r="U32" s="1500">
        <f t="shared" si="3"/>
        <v>9.8951992258737089</v>
      </c>
      <c r="V32" s="1500">
        <f>_xlfn.IFNA(INDEX('F7'!$R$10:$R$126,MATCH(B32,'F7'!$B$10:$B$126,0)),0)</f>
        <v>0</v>
      </c>
      <c r="W32" s="1500">
        <f t="shared" si="4"/>
        <v>0</v>
      </c>
      <c r="X32" s="1500">
        <f>U32-W32</f>
        <v>9.8951992258737089</v>
      </c>
      <c r="Z32" s="1571">
        <v>0</v>
      </c>
    </row>
    <row r="33" spans="2:26">
      <c r="B33" s="1406" t="s">
        <v>1055</v>
      </c>
      <c r="C33" s="1065"/>
      <c r="D33" s="1065"/>
      <c r="E33" s="1065"/>
      <c r="F33" s="1065"/>
      <c r="G33" s="1500"/>
      <c r="H33" s="1500"/>
      <c r="I33" s="1500"/>
      <c r="J33" s="1500"/>
      <c r="K33" s="1500"/>
      <c r="L33" s="1500"/>
      <c r="M33" s="1500">
        <v>546.03578600000003</v>
      </c>
      <c r="N33" s="1500">
        <v>542.06466723171604</v>
      </c>
      <c r="O33" s="1500">
        <f t="shared" si="0"/>
        <v>9.9272736536670152</v>
      </c>
      <c r="P33" s="1500">
        <f>_xlfn.IFNA(INDEX('F7'!$M$10:$M$126,MATCH(B33,'F7'!$B$10:$B$126,0)),0)</f>
        <v>0</v>
      </c>
      <c r="Q33" s="1500">
        <f t="shared" si="1"/>
        <v>0</v>
      </c>
      <c r="R33" s="1500">
        <f t="shared" si="2"/>
        <v>9.9272736536670152</v>
      </c>
      <c r="S33" s="1500">
        <v>569.33066999875211</v>
      </c>
      <c r="T33" s="1501">
        <v>564.19433803719198</v>
      </c>
      <c r="U33" s="1500">
        <f t="shared" si="3"/>
        <v>9.909782974425541</v>
      </c>
      <c r="V33" s="1500">
        <f>_xlfn.IFNA(INDEX('F7'!$R$10:$R$126,MATCH(B33,'F7'!$B$10:$B$126,0)),0)</f>
        <v>0</v>
      </c>
      <c r="W33" s="1500">
        <f t="shared" si="4"/>
        <v>0</v>
      </c>
      <c r="X33" s="1500">
        <f>U33-W33</f>
        <v>9.909782974425541</v>
      </c>
      <c r="Z33" s="1571">
        <v>0</v>
      </c>
    </row>
    <row r="34" spans="2:26">
      <c r="B34" s="1406" t="s">
        <v>1056</v>
      </c>
      <c r="C34" s="1065"/>
      <c r="D34" s="1065"/>
      <c r="E34" s="1065"/>
      <c r="F34" s="1065"/>
      <c r="G34" s="1500"/>
      <c r="H34" s="1500"/>
      <c r="I34" s="1500"/>
      <c r="J34" s="1500"/>
      <c r="K34" s="1500"/>
      <c r="L34" s="1500"/>
      <c r="M34" s="1500">
        <v>80.971790480000024</v>
      </c>
      <c r="N34" s="1500">
        <v>76.521405248016023</v>
      </c>
      <c r="O34" s="1500">
        <f t="shared" si="0"/>
        <v>9.4503783100753775</v>
      </c>
      <c r="P34" s="1500">
        <f>_xlfn.IFNA(INDEX('F7'!$M$10:$M$126,MATCH(B34,'F7'!$B$10:$B$126,0)),0)</f>
        <v>0</v>
      </c>
      <c r="Q34" s="1500">
        <f t="shared" si="1"/>
        <v>0</v>
      </c>
      <c r="R34" s="1500">
        <f t="shared" si="2"/>
        <v>9.4503783100753775</v>
      </c>
      <c r="S34" s="1500">
        <v>82.374310465440061</v>
      </c>
      <c r="T34" s="1501">
        <v>77.99846371320244</v>
      </c>
      <c r="U34" s="1500">
        <f t="shared" si="3"/>
        <v>9.4687850219913532</v>
      </c>
      <c r="V34" s="1500">
        <f>_xlfn.IFNA(INDEX('F7'!$R$10:$R$126,MATCH(B34,'F7'!$B$10:$B$126,0)),0)</f>
        <v>0</v>
      </c>
      <c r="W34" s="1500">
        <f t="shared" si="4"/>
        <v>0</v>
      </c>
      <c r="X34" s="1500">
        <f>U34-W34</f>
        <v>9.4687850219913532</v>
      </c>
      <c r="Z34" s="1571">
        <v>0</v>
      </c>
    </row>
    <row r="35" spans="2:26">
      <c r="B35" s="1406" t="s">
        <v>1057</v>
      </c>
      <c r="C35" s="1065"/>
      <c r="D35" s="1065"/>
      <c r="E35" s="1065"/>
      <c r="F35" s="1065"/>
      <c r="G35" s="1500"/>
      <c r="H35" s="1500"/>
      <c r="I35" s="1500"/>
      <c r="J35" s="1500"/>
      <c r="K35" s="1500"/>
      <c r="L35" s="1500"/>
      <c r="M35" s="1500">
        <v>-15.341016480000071</v>
      </c>
      <c r="N35" s="1500">
        <v>-12.714630982932078</v>
      </c>
      <c r="O35" s="1500">
        <f t="shared" si="0"/>
        <v>8.287997734379605</v>
      </c>
      <c r="P35" s="1500">
        <f>_xlfn.IFNA(INDEX('F7'!$M$10:$M$126,MATCH(B35,'F7'!$B$10:$B$126,0)),0)</f>
        <v>0</v>
      </c>
      <c r="Q35" s="1500">
        <f t="shared" si="1"/>
        <v>0</v>
      </c>
      <c r="R35" s="1500">
        <f t="shared" si="2"/>
        <v>8.287997734379605</v>
      </c>
      <c r="S35" s="1500">
        <v>-17.015291145792105</v>
      </c>
      <c r="T35" s="1501">
        <v>-14.154709509048706</v>
      </c>
      <c r="U35" s="1500">
        <f t="shared" si="3"/>
        <v>8.3188171085448488</v>
      </c>
      <c r="V35" s="1500">
        <f>_xlfn.IFNA(INDEX('F7'!$R$10:$R$126,MATCH(B35,'F7'!$B$10:$B$126,0)),0)</f>
        <v>0</v>
      </c>
      <c r="W35" s="1500">
        <f t="shared" si="4"/>
        <v>0</v>
      </c>
      <c r="X35" s="1500">
        <f>U35-W35</f>
        <v>8.3188171085448488</v>
      </c>
      <c r="Z35" s="1571">
        <v>0</v>
      </c>
    </row>
    <row r="36" spans="2:26">
      <c r="B36" s="1410" t="s">
        <v>1450</v>
      </c>
      <c r="C36" s="1065"/>
      <c r="D36" s="1065"/>
      <c r="E36" s="1065"/>
      <c r="F36" s="1065"/>
      <c r="G36" s="1500"/>
      <c r="H36" s="1500"/>
      <c r="I36" s="1500"/>
      <c r="J36" s="1500"/>
      <c r="K36" s="1500"/>
      <c r="L36" s="1500"/>
      <c r="M36" s="1500">
        <v>356.8054933333334</v>
      </c>
      <c r="N36" s="1500">
        <v>381.51444033492697</v>
      </c>
      <c r="O36" s="1500">
        <f t="shared" si="0"/>
        <v>10.6925046688816</v>
      </c>
      <c r="P36" s="1500">
        <f>_xlfn.IFNA(INDEX('F7'!$M$10:$M$126,MATCH(B36,'F7'!$B$10:$B$126,0)),0)</f>
        <v>0</v>
      </c>
      <c r="Q36" s="1500">
        <f t="shared" si="1"/>
        <v>0</v>
      </c>
      <c r="R36" s="1500">
        <f t="shared" si="2"/>
        <v>10.6925046688816</v>
      </c>
      <c r="S36" s="1500">
        <v>370.23565210240002</v>
      </c>
      <c r="T36" s="1501">
        <v>395.52674363422636</v>
      </c>
      <c r="U36" s="1500">
        <f t="shared" si="3"/>
        <v>10.683107944580964</v>
      </c>
      <c r="V36" s="1500">
        <f>_xlfn.IFNA(INDEX('F7'!$R$10:$R$126,MATCH(B36,'F7'!$B$10:$B$126,0)),0)</f>
        <v>0</v>
      </c>
      <c r="W36" s="1500">
        <f t="shared" si="4"/>
        <v>0</v>
      </c>
      <c r="X36" s="1500">
        <f>U36-W36</f>
        <v>10.683107944580964</v>
      </c>
      <c r="Z36" s="1571">
        <v>0</v>
      </c>
    </row>
    <row r="37" spans="2:26">
      <c r="B37" s="1406" t="s">
        <v>1055</v>
      </c>
      <c r="C37" s="1065"/>
      <c r="D37" s="1065"/>
      <c r="E37" s="1065"/>
      <c r="F37" s="1065"/>
      <c r="G37" s="1500"/>
      <c r="H37" s="1500"/>
      <c r="I37" s="1500"/>
      <c r="J37" s="1500"/>
      <c r="K37" s="1500"/>
      <c r="L37" s="1500"/>
      <c r="M37" s="1500">
        <v>200.90640596149336</v>
      </c>
      <c r="N37" s="1500">
        <v>224.5214329283296</v>
      </c>
      <c r="O37" s="1500">
        <f t="shared" si="0"/>
        <v>11.175424290421203</v>
      </c>
      <c r="P37" s="1500">
        <f>_xlfn.IFNA(INDEX('F7'!$M$10:$M$126,MATCH(B37,'F7'!$B$10:$B$126,0)),0)</f>
        <v>0</v>
      </c>
      <c r="Q37" s="1500">
        <f t="shared" si="1"/>
        <v>0</v>
      </c>
      <c r="R37" s="1500">
        <f t="shared" si="2"/>
        <v>11.175424290421203</v>
      </c>
      <c r="S37" s="1500">
        <v>209.319983377456</v>
      </c>
      <c r="T37" s="1501">
        <v>233.42703956478772</v>
      </c>
      <c r="U37" s="1500">
        <f t="shared" si="3"/>
        <v>11.15168441150985</v>
      </c>
      <c r="V37" s="1500">
        <f>_xlfn.IFNA(INDEX('F7'!$R$10:$R$126,MATCH(B37,'F7'!$B$10:$B$126,0)),0)</f>
        <v>0</v>
      </c>
      <c r="W37" s="1500">
        <f t="shared" si="4"/>
        <v>0</v>
      </c>
      <c r="X37" s="1500">
        <f>U37-W37</f>
        <v>11.15168441150985</v>
      </c>
      <c r="Z37" s="1571">
        <v>0</v>
      </c>
    </row>
    <row r="38" spans="2:26">
      <c r="B38" s="1406" t="s">
        <v>1056</v>
      </c>
      <c r="C38" s="1065"/>
      <c r="D38" s="1065"/>
      <c r="E38" s="1065"/>
      <c r="F38" s="1065"/>
      <c r="G38" s="1500"/>
      <c r="H38" s="1500"/>
      <c r="I38" s="1500"/>
      <c r="J38" s="1500"/>
      <c r="K38" s="1500"/>
      <c r="L38" s="1500"/>
      <c r="M38" s="1500">
        <v>104.00906256437332</v>
      </c>
      <c r="N38" s="1500">
        <v>105.01899784264958</v>
      </c>
      <c r="O38" s="1500">
        <f t="shared" si="0"/>
        <v>10.097100700013634</v>
      </c>
      <c r="P38" s="1500">
        <f>_xlfn.IFNA(INDEX('F7'!$M$10:$M$126,MATCH(B38,'F7'!$B$10:$B$126,0)),0)</f>
        <v>0</v>
      </c>
      <c r="Q38" s="1500">
        <f t="shared" si="1"/>
        <v>0</v>
      </c>
      <c r="R38" s="1500">
        <f t="shared" si="2"/>
        <v>10.097100700013634</v>
      </c>
      <c r="S38" s="1500">
        <v>107.84237976433597</v>
      </c>
      <c r="T38" s="1501">
        <v>108.85940426858302</v>
      </c>
      <c r="U38" s="1500">
        <f t="shared" si="3"/>
        <v>10.094306570985314</v>
      </c>
      <c r="V38" s="1500">
        <f>_xlfn.IFNA(INDEX('F7'!$R$10:$R$126,MATCH(B38,'F7'!$B$10:$B$126,0)),0)</f>
        <v>0</v>
      </c>
      <c r="W38" s="1500">
        <f t="shared" si="4"/>
        <v>0</v>
      </c>
      <c r="X38" s="1500">
        <f>U38-W38</f>
        <v>10.094306570985314</v>
      </c>
      <c r="Z38" s="1571">
        <v>0</v>
      </c>
    </row>
    <row r="39" spans="2:26">
      <c r="B39" s="1406" t="s">
        <v>1057</v>
      </c>
      <c r="C39" s="1065"/>
      <c r="D39" s="1065"/>
      <c r="E39" s="1065"/>
      <c r="F39" s="1065"/>
      <c r="G39" s="1500"/>
      <c r="H39" s="1500"/>
      <c r="I39" s="1500"/>
      <c r="J39" s="1500"/>
      <c r="K39" s="1500"/>
      <c r="L39" s="1500"/>
      <c r="M39" s="1500">
        <v>51.890024807466745</v>
      </c>
      <c r="N39" s="1500">
        <v>51.974009563947796</v>
      </c>
      <c r="O39" s="1500">
        <f t="shared" si="0"/>
        <v>10.016185144792793</v>
      </c>
      <c r="P39" s="1500">
        <f>_xlfn.IFNA(INDEX('F7'!$M$10:$M$126,MATCH(B39,'F7'!$B$10:$B$126,0)),0)</f>
        <v>0</v>
      </c>
      <c r="Q39" s="1500">
        <f t="shared" si="1"/>
        <v>0</v>
      </c>
      <c r="R39" s="1500">
        <f t="shared" si="2"/>
        <v>10.016185144792793</v>
      </c>
      <c r="S39" s="1500">
        <v>53.073288960608075</v>
      </c>
      <c r="T39" s="1501">
        <v>53.240299800855581</v>
      </c>
      <c r="U39" s="1500">
        <f t="shared" si="3"/>
        <v>10.031467965057049</v>
      </c>
      <c r="V39" s="1500">
        <f>_xlfn.IFNA(INDEX('F7'!$R$10:$R$126,MATCH(B39,'F7'!$B$10:$B$126,0)),0)</f>
        <v>0</v>
      </c>
      <c r="W39" s="1500">
        <f t="shared" si="4"/>
        <v>0</v>
      </c>
      <c r="X39" s="1500">
        <f>U39-W39</f>
        <v>10.031467965057049</v>
      </c>
      <c r="Z39" s="1571">
        <v>0</v>
      </c>
    </row>
    <row r="40" spans="2:26">
      <c r="B40" s="1410" t="s">
        <v>1451</v>
      </c>
      <c r="C40" s="1065"/>
      <c r="D40" s="1065"/>
      <c r="E40" s="1065"/>
      <c r="F40" s="1065"/>
      <c r="G40" s="1500"/>
      <c r="H40" s="1500"/>
      <c r="I40" s="1500"/>
      <c r="J40" s="1500"/>
      <c r="K40" s="1500"/>
      <c r="L40" s="1500"/>
      <c r="M40" s="1500">
        <v>305.83328</v>
      </c>
      <c r="N40" s="1500">
        <v>421.36742864272003</v>
      </c>
      <c r="O40" s="1500">
        <f t="shared" si="0"/>
        <v>13.777683993145546</v>
      </c>
      <c r="P40" s="1500">
        <f>_xlfn.IFNA(INDEX('F7'!$M$10:$M$126,MATCH(B40,'F7'!$B$10:$B$126,0)),0)</f>
        <v>0</v>
      </c>
      <c r="Q40" s="1500">
        <f t="shared" si="1"/>
        <v>0</v>
      </c>
      <c r="R40" s="1500">
        <f t="shared" si="2"/>
        <v>13.777683993145546</v>
      </c>
      <c r="S40" s="1500">
        <v>317.34484465920002</v>
      </c>
      <c r="T40" s="1501">
        <v>436.7739579748465</v>
      </c>
      <c r="U40" s="1500">
        <f t="shared" si="3"/>
        <v>13.76338596090643</v>
      </c>
      <c r="V40" s="1500">
        <f>_xlfn.IFNA(INDEX('F7'!$R$10:$R$126,MATCH(B40,'F7'!$B$10:$B$126,0)),0)</f>
        <v>0</v>
      </c>
      <c r="W40" s="1500">
        <f t="shared" si="4"/>
        <v>0</v>
      </c>
      <c r="X40" s="1500">
        <f>U40-W40</f>
        <v>13.76338596090643</v>
      </c>
      <c r="Z40" s="1571">
        <v>0</v>
      </c>
    </row>
    <row r="41" spans="2:26">
      <c r="B41" s="1406" t="s">
        <v>1055</v>
      </c>
      <c r="C41" s="1065"/>
      <c r="D41" s="1065"/>
      <c r="E41" s="1065"/>
      <c r="F41" s="1065"/>
      <c r="G41" s="1500"/>
      <c r="H41" s="1500"/>
      <c r="I41" s="1500"/>
      <c r="J41" s="1500"/>
      <c r="K41" s="1500"/>
      <c r="L41" s="1500"/>
      <c r="M41" s="1500">
        <v>77.829645376000016</v>
      </c>
      <c r="N41" s="1500">
        <v>94.674495442800037</v>
      </c>
      <c r="O41" s="1500">
        <f t="shared" si="0"/>
        <v>12.164323116907633</v>
      </c>
      <c r="P41" s="1500">
        <f>_xlfn.IFNA(INDEX('F7'!$M$10:$M$126,MATCH(B41,'F7'!$B$10:$B$126,0)),0)</f>
        <v>0</v>
      </c>
      <c r="Q41" s="1500">
        <f t="shared" si="1"/>
        <v>0</v>
      </c>
      <c r="R41" s="1500">
        <f t="shared" si="2"/>
        <v>12.164323116907633</v>
      </c>
      <c r="S41" s="1500">
        <v>81.135212246976025</v>
      </c>
      <c r="T41" s="1501">
        <v>98.429641170372037</v>
      </c>
      <c r="U41" s="1500">
        <f t="shared" si="3"/>
        <v>12.131556502342246</v>
      </c>
      <c r="V41" s="1500">
        <f>_xlfn.IFNA(INDEX('F7'!$R$10:$R$126,MATCH(B41,'F7'!$B$10:$B$126,0)),0)</f>
        <v>0</v>
      </c>
      <c r="W41" s="1500">
        <f t="shared" si="4"/>
        <v>0</v>
      </c>
      <c r="X41" s="1500">
        <f>U41-W41</f>
        <v>12.131556502342246</v>
      </c>
      <c r="Z41" s="1571">
        <v>0</v>
      </c>
    </row>
    <row r="42" spans="2:26">
      <c r="B42" s="1406" t="s">
        <v>1056</v>
      </c>
      <c r="C42" s="1065"/>
      <c r="D42" s="1065"/>
      <c r="E42" s="1065"/>
      <c r="F42" s="1065"/>
      <c r="G42" s="1500"/>
      <c r="H42" s="1500"/>
      <c r="I42" s="1500"/>
      <c r="J42" s="1500"/>
      <c r="K42" s="1500"/>
      <c r="L42" s="1500"/>
      <c r="M42" s="1500">
        <v>43.378995008000011</v>
      </c>
      <c r="N42" s="1500">
        <v>64.490103260520016</v>
      </c>
      <c r="O42" s="1500">
        <f t="shared" si="0"/>
        <v>14.866666055455333</v>
      </c>
      <c r="P42" s="1500">
        <f>_xlfn.IFNA(INDEX('F7'!$M$10:$M$126,MATCH(B42,'F7'!$B$10:$B$126,0)),0)</f>
        <v>0</v>
      </c>
      <c r="Q42" s="1500">
        <f t="shared" si="1"/>
        <v>0</v>
      </c>
      <c r="R42" s="1500">
        <f t="shared" si="2"/>
        <v>14.866666055455333</v>
      </c>
      <c r="S42" s="1500">
        <v>44.886427373760007</v>
      </c>
      <c r="T42" s="1501">
        <v>66.742323709748419</v>
      </c>
      <c r="U42" s="1500">
        <f t="shared" si="3"/>
        <v>14.869154801294137</v>
      </c>
      <c r="V42" s="1500">
        <f>_xlfn.IFNA(INDEX('F7'!$R$10:$R$126,MATCH(B42,'F7'!$B$10:$B$126,0)),0)</f>
        <v>0</v>
      </c>
      <c r="W42" s="1500">
        <f t="shared" si="4"/>
        <v>0</v>
      </c>
      <c r="X42" s="1500">
        <f>U42-W42</f>
        <v>14.869154801294137</v>
      </c>
      <c r="Z42" s="1571">
        <v>0</v>
      </c>
    </row>
    <row r="43" spans="2:26">
      <c r="B43" s="1406" t="s">
        <v>1057</v>
      </c>
      <c r="C43" s="1065"/>
      <c r="D43" s="1065"/>
      <c r="E43" s="1065"/>
      <c r="F43" s="1065"/>
      <c r="G43" s="1500"/>
      <c r="H43" s="1500"/>
      <c r="I43" s="1500"/>
      <c r="J43" s="1500"/>
      <c r="K43" s="1500"/>
      <c r="L43" s="1500"/>
      <c r="M43" s="1500">
        <v>184.62463961599997</v>
      </c>
      <c r="N43" s="1500">
        <v>262.20282993939998</v>
      </c>
      <c r="O43" s="1500">
        <f t="shared" si="0"/>
        <v>14.201941327265665</v>
      </c>
      <c r="P43" s="1500">
        <f>_xlfn.IFNA(INDEX('F7'!$M$10:$M$126,MATCH(B43,'F7'!$B$10:$B$126,0)),0)</f>
        <v>0</v>
      </c>
      <c r="Q43" s="1500">
        <f t="shared" si="1"/>
        <v>0</v>
      </c>
      <c r="R43" s="1500">
        <f t="shared" si="2"/>
        <v>14.201941327265665</v>
      </c>
      <c r="S43" s="1500">
        <v>191.32320503846401</v>
      </c>
      <c r="T43" s="1501">
        <v>271.60199309472603</v>
      </c>
      <c r="U43" s="1500">
        <f t="shared" si="3"/>
        <v>14.195977588820059</v>
      </c>
      <c r="V43" s="1500">
        <f>_xlfn.IFNA(INDEX('F7'!$R$10:$R$126,MATCH(B43,'F7'!$B$10:$B$126,0)),0)</f>
        <v>0</v>
      </c>
      <c r="W43" s="1500">
        <f t="shared" si="4"/>
        <v>0</v>
      </c>
      <c r="X43" s="1500">
        <f>U43-W43</f>
        <v>14.195977588820059</v>
      </c>
      <c r="Z43" s="1571">
        <v>0</v>
      </c>
    </row>
    <row r="44" spans="2:26">
      <c r="B44" s="1402" t="s">
        <v>1425</v>
      </c>
      <c r="C44" s="1065"/>
      <c r="D44" s="1065"/>
      <c r="E44" s="1065"/>
      <c r="F44" s="1065"/>
      <c r="G44" s="1500"/>
      <c r="H44" s="1500"/>
      <c r="I44" s="1500"/>
      <c r="J44" s="1500"/>
      <c r="K44" s="1500"/>
      <c r="L44" s="1500"/>
      <c r="M44" s="1500">
        <v>2004.9039999999998</v>
      </c>
      <c r="N44" s="1500">
        <v>1929.60917400778</v>
      </c>
      <c r="O44" s="1500">
        <f t="shared" si="0"/>
        <v>9.6244467266651181</v>
      </c>
      <c r="P44" s="1500">
        <f ca="1">_xlfn.IFNA(INDEX('F7'!$M$10:$M$126,MATCH(B44,'F7'!$B$10:$B$126,0)),0)</f>
        <v>9842.9708804599904</v>
      </c>
      <c r="Q44" s="1500">
        <f t="shared" ca="1" si="1"/>
        <v>49.094474750212441</v>
      </c>
      <c r="R44" s="1500">
        <f t="shared" ca="1" si="2"/>
        <v>-39.470028023547322</v>
      </c>
      <c r="S44" s="1500">
        <v>2078.9129167466663</v>
      </c>
      <c r="T44" s="1501">
        <v>1983.2843200604182</v>
      </c>
      <c r="U44" s="1500">
        <f t="shared" si="3"/>
        <v>9.5400067221868099</v>
      </c>
      <c r="V44" s="1500">
        <f ca="1">_xlfn.IFNA(INDEX('F7'!$R$10:$R$126,MATCH(B44,'F7'!$B$10:$B$126,0)),0)</f>
        <v>12411.62407831255</v>
      </c>
      <c r="W44" s="1500"/>
      <c r="X44" s="1500">
        <f>U44-W44</f>
        <v>9.5400067221868099</v>
      </c>
      <c r="Z44" s="1571">
        <v>0</v>
      </c>
    </row>
    <row r="45" spans="2:26">
      <c r="B45" s="1409"/>
      <c r="C45" s="1065"/>
      <c r="D45" s="1065"/>
      <c r="E45" s="1065"/>
      <c r="F45" s="1065"/>
      <c r="G45" s="1500"/>
      <c r="H45" s="1500"/>
      <c r="I45" s="1500"/>
      <c r="J45" s="1500"/>
      <c r="K45" s="1500"/>
      <c r="L45" s="1500"/>
      <c r="M45" s="1500">
        <v>0</v>
      </c>
      <c r="N45" s="1500">
        <v>0</v>
      </c>
      <c r="O45" s="1500">
        <f t="shared" si="0"/>
        <v>0</v>
      </c>
      <c r="P45" s="1500">
        <f>_xlfn.IFNA(INDEX('F7'!$M$10:$M$126,MATCH(B45,'F7'!$B$10:$B$126,0)),0)</f>
        <v>0</v>
      </c>
      <c r="Q45" s="1500">
        <f t="shared" si="1"/>
        <v>0</v>
      </c>
      <c r="R45" s="1500">
        <f t="shared" si="2"/>
        <v>0</v>
      </c>
      <c r="S45" s="1500">
        <v>0</v>
      </c>
      <c r="T45" s="1501">
        <v>0</v>
      </c>
      <c r="U45" s="1500">
        <f t="shared" si="3"/>
        <v>0</v>
      </c>
      <c r="V45" s="1500">
        <f>_xlfn.IFNA(INDEX('F7'!$R$10:$R$126,MATCH(B45,'F7'!$B$10:$B$126,0)),0)</f>
        <v>0</v>
      </c>
      <c r="W45" s="1500">
        <f t="shared" si="4"/>
        <v>0</v>
      </c>
      <c r="X45" s="1500">
        <f>U45-W45</f>
        <v>0</v>
      </c>
      <c r="Z45" s="1571">
        <v>0</v>
      </c>
    </row>
    <row r="46" spans="2:26">
      <c r="B46" s="1402" t="s">
        <v>1400</v>
      </c>
      <c r="C46" s="1065"/>
      <c r="D46" s="1065"/>
      <c r="E46" s="1065"/>
      <c r="F46" s="1065"/>
      <c r="G46" s="1500"/>
      <c r="H46" s="1500"/>
      <c r="I46" s="1500"/>
      <c r="J46" s="1500"/>
      <c r="K46" s="1500"/>
      <c r="L46" s="1500"/>
      <c r="M46" s="1500">
        <v>0</v>
      </c>
      <c r="N46" s="1500">
        <v>0</v>
      </c>
      <c r="O46" s="1500">
        <f t="shared" si="0"/>
        <v>0</v>
      </c>
      <c r="P46" s="1500">
        <f ca="1">_xlfn.IFNA(INDEX('F7'!$M$10:$M$126,MATCH(B46,'F7'!$B$10:$B$126,0)),0)</f>
        <v>0</v>
      </c>
      <c r="Q46" s="1500">
        <f t="shared" ca="1" si="1"/>
        <v>0</v>
      </c>
      <c r="R46" s="1500">
        <f t="shared" ca="1" si="2"/>
        <v>0</v>
      </c>
      <c r="S46" s="1500">
        <v>0</v>
      </c>
      <c r="T46" s="1501">
        <v>0</v>
      </c>
      <c r="U46" s="1500">
        <f t="shared" si="3"/>
        <v>0</v>
      </c>
      <c r="V46" s="1500">
        <f ca="1">_xlfn.IFNA(INDEX('F7'!$R$10:$R$126,MATCH(B46,'F7'!$B$10:$B$126,0)),0)</f>
        <v>0</v>
      </c>
      <c r="W46" s="1500">
        <f t="shared" ca="1" si="4"/>
        <v>0</v>
      </c>
      <c r="X46" s="1500">
        <f ca="1">U46-W46</f>
        <v>0</v>
      </c>
      <c r="Z46" s="1571">
        <v>0</v>
      </c>
    </row>
    <row r="47" spans="2:26">
      <c r="B47" s="1402" t="s">
        <v>1404</v>
      </c>
      <c r="C47" s="1065"/>
      <c r="D47" s="1065"/>
      <c r="E47" s="1065"/>
      <c r="F47" s="1065"/>
      <c r="G47" s="1500"/>
      <c r="H47" s="1500"/>
      <c r="I47" s="1500"/>
      <c r="J47" s="1500"/>
      <c r="K47" s="1500"/>
      <c r="L47" s="1500"/>
      <c r="M47" s="1500">
        <v>30.285499999999999</v>
      </c>
      <c r="N47" s="1500">
        <v>64.367729999999995</v>
      </c>
      <c r="O47" s="1500">
        <f t="shared" si="0"/>
        <v>21.253646134288683</v>
      </c>
      <c r="P47" s="1500">
        <f ca="1">_xlfn.IFNA(INDEX('F7'!$M$10:$M$126,MATCH(B47,'F7'!$B$10:$B$126,0)),0)</f>
        <v>0.18246255182096274</v>
      </c>
      <c r="Q47" s="1500">
        <f t="shared" ca="1" si="1"/>
        <v>6.024749527693541E-2</v>
      </c>
      <c r="R47" s="1500">
        <f t="shared" ca="1" si="2"/>
        <v>21.193398639011747</v>
      </c>
      <c r="S47" s="1500">
        <v>15.142749999999999</v>
      </c>
      <c r="T47" s="1501">
        <v>32.183864999999997</v>
      </c>
      <c r="U47" s="1500">
        <f t="shared" si="3"/>
        <v>21.253646134288683</v>
      </c>
      <c r="V47" s="1500">
        <f ca="1">_xlfn.IFNA(INDEX('F7'!$R$10:$R$126,MATCH(B47,'F7'!$B$10:$B$126,0)),0)</f>
        <v>0</v>
      </c>
      <c r="W47" s="1500">
        <f t="shared" ca="1" si="4"/>
        <v>0</v>
      </c>
      <c r="X47" s="1500">
        <f ca="1">U47-W47</f>
        <v>21.253646134288683</v>
      </c>
      <c r="Z47" s="1571">
        <v>0</v>
      </c>
    </row>
    <row r="48" spans="2:26">
      <c r="B48" s="1409" t="s">
        <v>1060</v>
      </c>
      <c r="C48" s="1065"/>
      <c r="D48" s="1065"/>
      <c r="E48" s="1065"/>
      <c r="F48" s="1065"/>
      <c r="G48" s="1500"/>
      <c r="H48" s="1500"/>
      <c r="I48" s="1500"/>
      <c r="J48" s="1500"/>
      <c r="K48" s="1500"/>
      <c r="L48" s="1500"/>
      <c r="M48" s="1500">
        <v>2.3214999999999999</v>
      </c>
      <c r="N48" s="1500">
        <v>4.7231100000000001</v>
      </c>
      <c r="O48" s="1500">
        <f t="shared" si="0"/>
        <v>20.345078612965754</v>
      </c>
      <c r="P48" s="1500">
        <f ca="1">_xlfn.IFNA(INDEX('F7'!$M$10:$M$126,MATCH(B48,'F7'!$B$10:$B$126,0)),0)</f>
        <v>1.7886535932515446</v>
      </c>
      <c r="Q48" s="1500">
        <f t="shared" ca="1" si="1"/>
        <v>7.7047322560910825</v>
      </c>
      <c r="R48" s="1500">
        <f t="shared" ca="1" si="2"/>
        <v>12.640346356874671</v>
      </c>
      <c r="S48" s="1500">
        <v>1.1607499999999999</v>
      </c>
      <c r="T48" s="1501">
        <v>2.3615550000000001</v>
      </c>
      <c r="U48" s="1500">
        <f t="shared" si="3"/>
        <v>20.345078612965754</v>
      </c>
      <c r="V48" s="1500">
        <f ca="1">_xlfn.IFNA(INDEX('F7'!$R$10:$R$126,MATCH(B48,'F7'!$B$10:$B$126,0)),0)</f>
        <v>1.1139954928877054</v>
      </c>
      <c r="W48" s="1500">
        <f t="shared" ca="1" si="4"/>
        <v>9.5972043324376948</v>
      </c>
      <c r="X48" s="1500">
        <f ca="1">U48-W48</f>
        <v>10.747874280528059</v>
      </c>
      <c r="Z48" s="1571">
        <v>0</v>
      </c>
    </row>
    <row r="49" spans="2:26">
      <c r="B49" s="1409" t="s">
        <v>1061</v>
      </c>
      <c r="C49" s="1065"/>
      <c r="D49" s="1065"/>
      <c r="E49" s="1065"/>
      <c r="F49" s="1065"/>
      <c r="G49" s="1500"/>
      <c r="H49" s="1500"/>
      <c r="I49" s="1500"/>
      <c r="J49" s="1500"/>
      <c r="K49" s="1500"/>
      <c r="L49" s="1500"/>
      <c r="M49" s="1500">
        <v>20.4405</v>
      </c>
      <c r="N49" s="1500">
        <v>35.622720000000001</v>
      </c>
      <c r="O49" s="1500">
        <f t="shared" si="0"/>
        <v>17.427518896308801</v>
      </c>
      <c r="P49" s="1500">
        <f ca="1">_xlfn.IFNA(INDEX('F7'!$M$10:$M$126,MATCH(B49,'F7'!$B$10:$B$126,0)),0)</f>
        <v>15.743372162436211</v>
      </c>
      <c r="Q49" s="1500">
        <f t="shared" ca="1" si="1"/>
        <v>7.7020484638028472</v>
      </c>
      <c r="R49" s="1500">
        <f t="shared" ca="1" si="2"/>
        <v>9.7254704325059542</v>
      </c>
      <c r="S49" s="1500">
        <v>10.22025</v>
      </c>
      <c r="T49" s="1501">
        <v>17.811360000000001</v>
      </c>
      <c r="U49" s="1500">
        <f t="shared" si="3"/>
        <v>17.427518896308801</v>
      </c>
      <c r="V49" s="1500">
        <f ca="1">_xlfn.IFNA(INDEX('F7'!$R$10:$R$126,MATCH(B49,'F7'!$B$10:$B$126,0)),0)</f>
        <v>9.8085827578596358</v>
      </c>
      <c r="W49" s="1500">
        <f t="shared" ca="1" si="4"/>
        <v>9.5972043324376948</v>
      </c>
      <c r="X49" s="1500">
        <f ca="1">U49-W49</f>
        <v>7.8303145638711058</v>
      </c>
      <c r="Z49" s="1571">
        <v>0</v>
      </c>
    </row>
    <row r="50" spans="2:26">
      <c r="B50" s="1409" t="s">
        <v>1062</v>
      </c>
      <c r="C50" s="1065"/>
      <c r="D50" s="1065"/>
      <c r="E50" s="1065"/>
      <c r="F50" s="1065"/>
      <c r="G50" s="1500"/>
      <c r="H50" s="1500"/>
      <c r="I50" s="1500"/>
      <c r="J50" s="1500"/>
      <c r="K50" s="1500"/>
      <c r="L50" s="1500"/>
      <c r="M50" s="1500">
        <v>7.5235000000000003</v>
      </c>
      <c r="N50" s="1500">
        <v>24.021899999999999</v>
      </c>
      <c r="O50" s="1500">
        <f t="shared" si="0"/>
        <v>31.929155313351494</v>
      </c>
      <c r="P50" s="1500">
        <f ca="1">_xlfn.IFNA(INDEX('F7'!$M$10:$M$126,MATCH(B50,'F7'!$B$10:$B$126,0)),0)</f>
        <v>5.7936284038987704</v>
      </c>
      <c r="Q50" s="1500">
        <f t="shared" ca="1" si="1"/>
        <v>7.7007089837160505</v>
      </c>
      <c r="R50" s="1500">
        <f t="shared" ca="1" si="2"/>
        <v>24.228446329635442</v>
      </c>
      <c r="S50" s="1500">
        <v>3.7617500000000001</v>
      </c>
      <c r="T50" s="1501">
        <v>12.010949999999999</v>
      </c>
      <c r="U50" s="1500">
        <f t="shared" si="3"/>
        <v>31.929155313351494</v>
      </c>
      <c r="V50" s="1500">
        <f ca="1">_xlfn.IFNA(INDEX('F7'!$R$10:$R$126,MATCH(B50,'F7'!$B$10:$B$126,0)),0)</f>
        <v>3.6102283397547499</v>
      </c>
      <c r="W50" s="1500">
        <f t="shared" ca="1" si="4"/>
        <v>9.5972043324376948</v>
      </c>
      <c r="X50" s="1500">
        <f ca="1">U50-W50</f>
        <v>22.331950980913799</v>
      </c>
      <c r="Z50" s="1571">
        <v>0</v>
      </c>
    </row>
    <row r="51" spans="2:26">
      <c r="B51" s="1402" t="s">
        <v>476</v>
      </c>
      <c r="C51" s="1065"/>
      <c r="D51" s="1065"/>
      <c r="E51" s="1065"/>
      <c r="F51" s="1065"/>
      <c r="G51" s="1500"/>
      <c r="H51" s="1500"/>
      <c r="I51" s="1500"/>
      <c r="J51" s="1500"/>
      <c r="K51" s="1500"/>
      <c r="L51" s="1500"/>
      <c r="M51" s="1500">
        <v>104.4896</v>
      </c>
      <c r="N51" s="1500">
        <v>95.818528400000005</v>
      </c>
      <c r="O51" s="1500">
        <f t="shared" si="0"/>
        <v>9.1701497948121151</v>
      </c>
      <c r="P51" s="1500">
        <f ca="1">_xlfn.IFNA(INDEX('F7'!$M$10:$M$126,MATCH(B51,'F7'!$B$10:$B$126,0)),0)</f>
        <v>1.1389382215576019E-2</v>
      </c>
      <c r="Q51" s="1500">
        <f t="shared" ca="1" si="1"/>
        <v>1.0900015136028867E-3</v>
      </c>
      <c r="R51" s="1500">
        <f t="shared" ca="1" si="2"/>
        <v>9.1690597932985121</v>
      </c>
      <c r="S51" s="1500">
        <v>125.38751999999999</v>
      </c>
      <c r="T51" s="1501">
        <v>117.85510463999999</v>
      </c>
      <c r="U51" s="1500">
        <f t="shared" si="3"/>
        <v>9.3992691330046245</v>
      </c>
      <c r="V51" s="1500">
        <f ca="1">_xlfn.IFNA(INDEX('F7'!$R$10:$R$126,MATCH(B51,'F7'!$B$10:$B$126,0)),0)</f>
        <v>0</v>
      </c>
      <c r="W51" s="1500">
        <f t="shared" ca="1" si="4"/>
        <v>0</v>
      </c>
      <c r="X51" s="1500">
        <f ca="1">U51-W51</f>
        <v>9.3992691330046245</v>
      </c>
      <c r="Z51" s="1571">
        <v>0</v>
      </c>
    </row>
    <row r="52" spans="2:26">
      <c r="B52" s="1402" t="s">
        <v>1063</v>
      </c>
      <c r="C52" s="1065"/>
      <c r="D52" s="1065"/>
      <c r="E52" s="1065"/>
      <c r="F52" s="1065"/>
      <c r="G52" s="1500"/>
      <c r="H52" s="1500"/>
      <c r="I52" s="1500"/>
      <c r="J52" s="1500"/>
      <c r="K52" s="1500"/>
      <c r="L52" s="1500"/>
      <c r="M52" s="1500">
        <v>2.4288000000000003</v>
      </c>
      <c r="N52" s="1500">
        <v>1.9769784000000001</v>
      </c>
      <c r="O52" s="1500">
        <f t="shared" si="0"/>
        <v>8.1397332015810271</v>
      </c>
      <c r="P52" s="1500">
        <f ca="1">_xlfn.IFNA(INDEX('F7'!$M$10:$M$126,MATCH(B52,'F7'!$B$10:$B$126,0)),0)</f>
        <v>1.87128506757962</v>
      </c>
      <c r="Q52" s="1500">
        <f t="shared" ca="1" si="1"/>
        <v>7.7045663190860498</v>
      </c>
      <c r="R52" s="1500">
        <f t="shared" ca="1" si="2"/>
        <v>0.43516688249497726</v>
      </c>
      <c r="S52" s="1500">
        <v>2.9145600000000003</v>
      </c>
      <c r="T52" s="1501">
        <v>2.3506826400000005</v>
      </c>
      <c r="U52" s="1500">
        <f t="shared" si="3"/>
        <v>8.0653087944664037</v>
      </c>
      <c r="V52" s="1500">
        <f ca="1">_xlfn.IFNA(INDEX('F7'!$R$10:$R$126,MATCH(B52,'F7'!$B$10:$B$126,0)),0)</f>
        <v>2.7971627859149613</v>
      </c>
      <c r="W52" s="1500">
        <f t="shared" ca="1" si="4"/>
        <v>9.5972043324376948</v>
      </c>
      <c r="X52" s="1500">
        <f ca="1">U52-W52</f>
        <v>-1.5318955379712911</v>
      </c>
      <c r="Z52" s="1571">
        <v>0</v>
      </c>
    </row>
    <row r="53" spans="2:26">
      <c r="B53" s="1406" t="s">
        <v>1452</v>
      </c>
      <c r="C53" s="1065"/>
      <c r="D53" s="1065"/>
      <c r="E53" s="1065"/>
      <c r="F53" s="1065"/>
      <c r="G53" s="1500"/>
      <c r="H53" s="1500"/>
      <c r="I53" s="1500"/>
      <c r="J53" s="1500"/>
      <c r="K53" s="1500"/>
      <c r="L53" s="1500"/>
      <c r="M53" s="1500">
        <v>2.4288000000000003</v>
      </c>
      <c r="N53" s="1500">
        <v>1.9769784000000001</v>
      </c>
      <c r="O53" s="1500">
        <f t="shared" si="0"/>
        <v>8.1397332015810271</v>
      </c>
      <c r="P53" s="1500">
        <f>_xlfn.IFNA(INDEX('F7'!$M$10:$M$126,MATCH(B53,'F7'!$B$10:$B$126,0)),0)</f>
        <v>0</v>
      </c>
      <c r="Q53" s="1500">
        <f t="shared" si="1"/>
        <v>0</v>
      </c>
      <c r="R53" s="1500">
        <f t="shared" si="2"/>
        <v>8.1397332015810271</v>
      </c>
      <c r="S53" s="1500">
        <v>2.9145600000000003</v>
      </c>
      <c r="T53" s="1501">
        <v>2.3506826400000005</v>
      </c>
      <c r="U53" s="1500">
        <f t="shared" si="3"/>
        <v>8.0653087944664037</v>
      </c>
      <c r="V53" s="1500">
        <f>_xlfn.IFNA(INDEX('F7'!$R$10:$R$126,MATCH(B53,'F7'!$B$10:$B$126,0)),0)</f>
        <v>0</v>
      </c>
      <c r="W53" s="1500">
        <f t="shared" si="4"/>
        <v>0</v>
      </c>
      <c r="X53" s="1500">
        <f>U53-W53</f>
        <v>8.0653087944664037</v>
      </c>
      <c r="Z53" s="1571">
        <v>0</v>
      </c>
    </row>
    <row r="54" spans="2:26">
      <c r="B54" s="1406" t="s">
        <v>1453</v>
      </c>
      <c r="C54" s="1065"/>
      <c r="D54" s="1065"/>
      <c r="E54" s="1065"/>
      <c r="F54" s="1065"/>
      <c r="G54" s="1500"/>
      <c r="H54" s="1500"/>
      <c r="I54" s="1500"/>
      <c r="J54" s="1500"/>
      <c r="K54" s="1500"/>
      <c r="L54" s="1500"/>
      <c r="M54" s="1500">
        <v>0</v>
      </c>
      <c r="N54" s="1500">
        <v>0</v>
      </c>
      <c r="O54" s="1500">
        <f t="shared" si="0"/>
        <v>0</v>
      </c>
      <c r="P54" s="1500">
        <f>_xlfn.IFNA(INDEX('F7'!$M$10:$M$126,MATCH(B54,'F7'!$B$10:$B$126,0)),0)</f>
        <v>0</v>
      </c>
      <c r="Q54" s="1500">
        <f t="shared" si="1"/>
        <v>0</v>
      </c>
      <c r="R54" s="1500">
        <f t="shared" si="2"/>
        <v>0</v>
      </c>
      <c r="S54" s="1500">
        <v>0</v>
      </c>
      <c r="T54" s="1501">
        <v>0</v>
      </c>
      <c r="U54" s="1500">
        <f t="shared" si="3"/>
        <v>0</v>
      </c>
      <c r="V54" s="1500">
        <f>_xlfn.IFNA(INDEX('F7'!$R$10:$R$126,MATCH(B54,'F7'!$B$10:$B$126,0)),0)</f>
        <v>0</v>
      </c>
      <c r="W54" s="1500">
        <f t="shared" si="4"/>
        <v>0</v>
      </c>
      <c r="X54" s="1500">
        <f>U54-W54</f>
        <v>0</v>
      </c>
      <c r="Z54" s="1571">
        <v>0</v>
      </c>
    </row>
    <row r="55" spans="2:26">
      <c r="B55" s="1402" t="s">
        <v>1064</v>
      </c>
      <c r="C55" s="1065"/>
      <c r="D55" s="1065"/>
      <c r="E55" s="1065"/>
      <c r="F55" s="1065"/>
      <c r="G55" s="1500"/>
      <c r="H55" s="1500"/>
      <c r="I55" s="1500"/>
      <c r="J55" s="1500"/>
      <c r="K55" s="1500"/>
      <c r="L55" s="1500"/>
      <c r="M55" s="1500">
        <v>24.859200000000001</v>
      </c>
      <c r="N55" s="1500">
        <v>21.93366</v>
      </c>
      <c r="O55" s="1500">
        <f t="shared" si="0"/>
        <v>8.8231560146746464</v>
      </c>
      <c r="P55" s="1500">
        <f ca="1">_xlfn.IFNA(INDEX('F7'!$M$10:$M$126,MATCH(B55,'F7'!$B$10:$B$126,0)),0)</f>
        <v>19.147587888340787</v>
      </c>
      <c r="Q55" s="1500">
        <f t="shared" ca="1" si="1"/>
        <v>7.7024151575033741</v>
      </c>
      <c r="R55" s="1500">
        <f t="shared" ca="1" si="2"/>
        <v>1.1207408571712723</v>
      </c>
      <c r="S55" s="1500">
        <v>29.831040000000002</v>
      </c>
      <c r="T55" s="1501">
        <v>27.031212</v>
      </c>
      <c r="U55" s="1500">
        <f t="shared" si="3"/>
        <v>9.0614380189225727</v>
      </c>
      <c r="V55" s="1500">
        <f ca="1">_xlfn.IFNA(INDEX('F7'!$R$10:$R$126,MATCH(B55,'F7'!$B$10:$B$126,0)),0)</f>
        <v>28.629458632912222</v>
      </c>
      <c r="W55" s="1500">
        <f t="shared" ca="1" si="4"/>
        <v>9.5972043324376948</v>
      </c>
      <c r="X55" s="1500">
        <f ca="1">U55-W55</f>
        <v>-0.53576631351512205</v>
      </c>
      <c r="Z55" s="1571">
        <v>0</v>
      </c>
    </row>
    <row r="56" spans="2:26">
      <c r="B56" s="1406" t="s">
        <v>1452</v>
      </c>
      <c r="C56" s="1065"/>
      <c r="D56" s="1065"/>
      <c r="E56" s="1065"/>
      <c r="F56" s="1065"/>
      <c r="G56" s="1500"/>
      <c r="H56" s="1500"/>
      <c r="I56" s="1500"/>
      <c r="J56" s="1500"/>
      <c r="K56" s="1500"/>
      <c r="L56" s="1500"/>
      <c r="M56" s="1500">
        <v>24.859200000000001</v>
      </c>
      <c r="N56" s="1500">
        <v>21.93366</v>
      </c>
      <c r="O56" s="1500">
        <f t="shared" si="0"/>
        <v>8.8231560146746464</v>
      </c>
      <c r="P56" s="1500">
        <f>_xlfn.IFNA(INDEX('F7'!$M$10:$M$126,MATCH(B56,'F7'!$B$10:$B$126,0)),0)</f>
        <v>0</v>
      </c>
      <c r="Q56" s="1500">
        <f t="shared" si="1"/>
        <v>0</v>
      </c>
      <c r="R56" s="1500">
        <f t="shared" si="2"/>
        <v>8.8231560146746464</v>
      </c>
      <c r="S56" s="1500">
        <v>29.831040000000002</v>
      </c>
      <c r="T56" s="1501">
        <v>27.031212</v>
      </c>
      <c r="U56" s="1500">
        <f t="shared" si="3"/>
        <v>9.0614380189225727</v>
      </c>
      <c r="V56" s="1500">
        <f>_xlfn.IFNA(INDEX('F7'!$R$10:$R$126,MATCH(B56,'F7'!$B$10:$B$126,0)),0)</f>
        <v>0</v>
      </c>
      <c r="W56" s="1500">
        <f t="shared" si="4"/>
        <v>0</v>
      </c>
      <c r="X56" s="1500">
        <f>U56-W56</f>
        <v>9.0614380189225727</v>
      </c>
      <c r="Z56" s="1571">
        <v>0</v>
      </c>
    </row>
    <row r="57" spans="2:26">
      <c r="B57" s="1406" t="s">
        <v>1453</v>
      </c>
      <c r="C57" s="1065"/>
      <c r="D57" s="1065"/>
      <c r="E57" s="1065"/>
      <c r="F57" s="1065"/>
      <c r="G57" s="1500"/>
      <c r="H57" s="1500"/>
      <c r="I57" s="1500"/>
      <c r="J57" s="1500"/>
      <c r="K57" s="1500"/>
      <c r="L57" s="1500"/>
      <c r="M57" s="1500">
        <v>0</v>
      </c>
      <c r="N57" s="1500">
        <v>0</v>
      </c>
      <c r="O57" s="1500">
        <f t="shared" si="0"/>
        <v>0</v>
      </c>
      <c r="P57" s="1500">
        <f>_xlfn.IFNA(INDEX('F7'!$M$10:$M$126,MATCH(B57,'F7'!$B$10:$B$126,0)),0)</f>
        <v>0</v>
      </c>
      <c r="Q57" s="1500">
        <f t="shared" si="1"/>
        <v>0</v>
      </c>
      <c r="R57" s="1500">
        <f t="shared" si="2"/>
        <v>0</v>
      </c>
      <c r="S57" s="1500">
        <v>0</v>
      </c>
      <c r="T57" s="1501">
        <v>0</v>
      </c>
      <c r="U57" s="1500">
        <f t="shared" si="3"/>
        <v>0</v>
      </c>
      <c r="V57" s="1500">
        <f>_xlfn.IFNA(INDEX('F7'!$R$10:$R$126,MATCH(B57,'F7'!$B$10:$B$126,0)),0)</f>
        <v>0</v>
      </c>
      <c r="W57" s="1500">
        <f t="shared" si="4"/>
        <v>0</v>
      </c>
      <c r="X57" s="1500">
        <f>U57-W57</f>
        <v>0</v>
      </c>
      <c r="Z57" s="1571">
        <v>0</v>
      </c>
    </row>
    <row r="58" spans="2:26">
      <c r="B58" s="1402" t="s">
        <v>1065</v>
      </c>
      <c r="C58" s="1065"/>
      <c r="D58" s="1065"/>
      <c r="E58" s="1065"/>
      <c r="F58" s="1065"/>
      <c r="G58" s="1500"/>
      <c r="H58" s="1500"/>
      <c r="I58" s="1500"/>
      <c r="J58" s="1500"/>
      <c r="K58" s="1500"/>
      <c r="L58" s="1500"/>
      <c r="M58" s="1500">
        <v>77.201599999999999</v>
      </c>
      <c r="N58" s="1500">
        <v>71.907890000000009</v>
      </c>
      <c r="O58" s="1500">
        <f t="shared" si="0"/>
        <v>9.3143004808190515</v>
      </c>
      <c r="P58" s="1500">
        <f ca="1">_xlfn.IFNA(INDEX('F7'!$M$10:$M$126,MATCH(B58,'F7'!$B$10:$B$126,0)),0)</f>
        <v>59.449098329592779</v>
      </c>
      <c r="Q58" s="1500">
        <f t="shared" ca="1" si="1"/>
        <v>7.7005008095159653</v>
      </c>
      <c r="R58" s="1500">
        <f t="shared" ca="1" si="2"/>
        <v>1.6137996713030862</v>
      </c>
      <c r="S58" s="1500">
        <v>92.641919999999999</v>
      </c>
      <c r="T58" s="1501">
        <v>88.473209999999995</v>
      </c>
      <c r="U58" s="1500">
        <f t="shared" si="3"/>
        <v>9.5500190410561441</v>
      </c>
      <c r="V58" s="1500">
        <f ca="1">_xlfn.IFNA(INDEX('F7'!$R$10:$R$126,MATCH(B58,'F7'!$B$10:$B$126,0)),0)</f>
        <v>88.910343598934631</v>
      </c>
      <c r="W58" s="1500">
        <f t="shared" ca="1" si="4"/>
        <v>9.5972043324376948</v>
      </c>
      <c r="X58" s="1500">
        <f ca="1">U58-W58</f>
        <v>-4.7185291381550698E-2</v>
      </c>
      <c r="Z58" s="1571">
        <v>0</v>
      </c>
    </row>
    <row r="59" spans="2:26">
      <c r="B59" s="1406" t="s">
        <v>1452</v>
      </c>
      <c r="C59" s="1065"/>
      <c r="D59" s="1065"/>
      <c r="E59" s="1065"/>
      <c r="F59" s="1065"/>
      <c r="G59" s="1500"/>
      <c r="H59" s="1500"/>
      <c r="I59" s="1500"/>
      <c r="J59" s="1500"/>
      <c r="K59" s="1500"/>
      <c r="L59" s="1500"/>
      <c r="M59" s="1500">
        <v>77.201599999999999</v>
      </c>
      <c r="N59" s="1500">
        <v>71.907890000000009</v>
      </c>
      <c r="O59" s="1500">
        <f t="shared" si="0"/>
        <v>9.3143004808190515</v>
      </c>
      <c r="P59" s="1500">
        <f>_xlfn.IFNA(INDEX('F7'!$M$10:$M$126,MATCH(B59,'F7'!$B$10:$B$126,0)),0)</f>
        <v>0</v>
      </c>
      <c r="Q59" s="1500">
        <f t="shared" si="1"/>
        <v>0</v>
      </c>
      <c r="R59" s="1500">
        <f t="shared" si="2"/>
        <v>9.3143004808190515</v>
      </c>
      <c r="S59" s="1500">
        <v>92.641919999999999</v>
      </c>
      <c r="T59" s="1501">
        <v>88.473209999999995</v>
      </c>
      <c r="U59" s="1500">
        <f t="shared" si="3"/>
        <v>9.5500190410561441</v>
      </c>
      <c r="V59" s="1500">
        <f>_xlfn.IFNA(INDEX('F7'!$R$10:$R$126,MATCH(B59,'F7'!$B$10:$B$126,0)),0)</f>
        <v>0</v>
      </c>
      <c r="W59" s="1500">
        <f t="shared" si="4"/>
        <v>0</v>
      </c>
      <c r="X59" s="1500">
        <f>U59-W59</f>
        <v>9.5500190410561441</v>
      </c>
      <c r="Z59" s="1571">
        <v>0</v>
      </c>
    </row>
    <row r="60" spans="2:26">
      <c r="B60" s="1406" t="s">
        <v>1453</v>
      </c>
      <c r="C60" s="1065"/>
      <c r="D60" s="1065"/>
      <c r="E60" s="1065"/>
      <c r="F60" s="1065"/>
      <c r="G60" s="1500"/>
      <c r="H60" s="1500"/>
      <c r="I60" s="1500"/>
      <c r="J60" s="1500"/>
      <c r="K60" s="1500"/>
      <c r="L60" s="1500"/>
      <c r="M60" s="1500">
        <v>0</v>
      </c>
      <c r="N60" s="1500">
        <v>0</v>
      </c>
      <c r="O60" s="1500">
        <f t="shared" si="0"/>
        <v>0</v>
      </c>
      <c r="P60" s="1500">
        <f>_xlfn.IFNA(INDEX('F7'!$M$10:$M$126,MATCH(B60,'F7'!$B$10:$B$126,0)),0)</f>
        <v>0</v>
      </c>
      <c r="Q60" s="1500">
        <f t="shared" si="1"/>
        <v>0</v>
      </c>
      <c r="R60" s="1500">
        <f t="shared" si="2"/>
        <v>0</v>
      </c>
      <c r="S60" s="1500">
        <v>0</v>
      </c>
      <c r="T60" s="1501">
        <v>0</v>
      </c>
      <c r="U60" s="1500">
        <f t="shared" si="3"/>
        <v>0</v>
      </c>
      <c r="V60" s="1500">
        <f>_xlfn.IFNA(INDEX('F7'!$R$10:$R$126,MATCH(B60,'F7'!$B$10:$B$126,0)),0)</f>
        <v>0</v>
      </c>
      <c r="W60" s="1500">
        <f t="shared" si="4"/>
        <v>0</v>
      </c>
      <c r="X60" s="1500">
        <f>U60-W60</f>
        <v>0</v>
      </c>
      <c r="Z60" s="1571">
        <v>0</v>
      </c>
    </row>
    <row r="61" spans="2:26">
      <c r="B61" s="1402" t="s">
        <v>1425</v>
      </c>
      <c r="C61" s="1065"/>
      <c r="D61" s="1065"/>
      <c r="E61" s="1065"/>
      <c r="F61" s="1065"/>
      <c r="G61" s="1500"/>
      <c r="H61" s="1500"/>
      <c r="I61" s="1500"/>
      <c r="J61" s="1500"/>
      <c r="K61" s="1500"/>
      <c r="L61" s="1500"/>
      <c r="M61" s="1500">
        <v>134.77510000000001</v>
      </c>
      <c r="N61" s="1500">
        <v>160.18625839999999</v>
      </c>
      <c r="O61" s="1500">
        <f t="shared" si="0"/>
        <v>11.885449048080838</v>
      </c>
      <c r="P61" s="1500">
        <f ca="1">_xlfn.IFNA(INDEX('F7'!$M$10:$M$126,MATCH(B61,'F7'!$B$10:$B$126,0)),0)</f>
        <v>9842.9708804599904</v>
      </c>
      <c r="Q61" s="1500">
        <f t="shared" ca="1" si="1"/>
        <v>730.32562249703324</v>
      </c>
      <c r="R61" s="1500">
        <f t="shared" ca="1" si="2"/>
        <v>-718.44017344895235</v>
      </c>
      <c r="S61" s="1500">
        <v>140.53027</v>
      </c>
      <c r="T61" s="1501">
        <v>150.03896964</v>
      </c>
      <c r="U61" s="1500">
        <f t="shared" si="3"/>
        <v>10.676629998647266</v>
      </c>
      <c r="V61" s="1500">
        <f ca="1">_xlfn.IFNA(INDEX('F7'!$R$10:$R$126,MATCH(B61,'F7'!$B$10:$B$126,0)),0)</f>
        <v>12411.62407831255</v>
      </c>
      <c r="W61" s="1500"/>
      <c r="X61" s="1500">
        <f>U61-W61</f>
        <v>10.676629998647266</v>
      </c>
      <c r="Z61" s="1571">
        <v>0</v>
      </c>
    </row>
    <row r="62" spans="2:26">
      <c r="B62" s="1409"/>
      <c r="C62" s="1065"/>
      <c r="D62" s="1065"/>
      <c r="E62" s="1065"/>
      <c r="F62" s="1065"/>
      <c r="G62" s="1500"/>
      <c r="H62" s="1500"/>
      <c r="I62" s="1500"/>
      <c r="J62" s="1500"/>
      <c r="K62" s="1500"/>
      <c r="L62" s="1500"/>
      <c r="M62" s="1500">
        <v>0</v>
      </c>
      <c r="N62" s="1500">
        <v>0</v>
      </c>
      <c r="O62" s="1500">
        <f t="shared" si="0"/>
        <v>0</v>
      </c>
      <c r="P62" s="1500">
        <f>_xlfn.IFNA(INDEX('F7'!$M$10:$M$126,MATCH(B62,'F7'!$B$10:$B$126,0)),0)</f>
        <v>0</v>
      </c>
      <c r="Q62" s="1500">
        <f t="shared" si="1"/>
        <v>0</v>
      </c>
      <c r="R62" s="1500">
        <f t="shared" si="2"/>
        <v>0</v>
      </c>
      <c r="S62" s="1500">
        <v>0</v>
      </c>
      <c r="T62" s="1501">
        <v>0</v>
      </c>
      <c r="U62" s="1500">
        <f t="shared" si="3"/>
        <v>0</v>
      </c>
      <c r="V62" s="1500">
        <f>_xlfn.IFNA(INDEX('F7'!$R$10:$R$126,MATCH(B62,'F7'!$B$10:$B$126,0)),0)</f>
        <v>0</v>
      </c>
      <c r="W62" s="1500">
        <f t="shared" si="4"/>
        <v>0</v>
      </c>
      <c r="X62" s="1500">
        <f>U62-W62</f>
        <v>0</v>
      </c>
      <c r="Z62" s="1571">
        <v>0</v>
      </c>
    </row>
    <row r="63" spans="2:26">
      <c r="B63" s="1402" t="s">
        <v>1067</v>
      </c>
      <c r="C63" s="1065"/>
      <c r="D63" s="1065"/>
      <c r="E63" s="1065"/>
      <c r="F63" s="1065"/>
      <c r="G63" s="1500"/>
      <c r="H63" s="1500"/>
      <c r="I63" s="1500"/>
      <c r="J63" s="1500"/>
      <c r="K63" s="1500"/>
      <c r="L63" s="1500"/>
      <c r="M63" s="1500">
        <v>0</v>
      </c>
      <c r="N63" s="1500">
        <v>0</v>
      </c>
      <c r="O63" s="1500">
        <f t="shared" si="0"/>
        <v>0</v>
      </c>
      <c r="P63" s="1500">
        <f ca="1">_xlfn.IFNA(INDEX('F7'!$M$10:$M$126,MATCH(B63,'F7'!$B$10:$B$126,0)),0)</f>
        <v>0</v>
      </c>
      <c r="Q63" s="1500">
        <f t="shared" ca="1" si="1"/>
        <v>0</v>
      </c>
      <c r="R63" s="1500">
        <f t="shared" ca="1" si="2"/>
        <v>0</v>
      </c>
      <c r="S63" s="1500">
        <v>0</v>
      </c>
      <c r="T63" s="1501">
        <v>0</v>
      </c>
      <c r="U63" s="1500">
        <f t="shared" si="3"/>
        <v>0</v>
      </c>
      <c r="V63" s="1500">
        <f ca="1">_xlfn.IFNA(INDEX('F7'!$R$10:$R$126,MATCH(B63,'F7'!$B$10:$B$126,0)),0)</f>
        <v>0</v>
      </c>
      <c r="W63" s="1500">
        <f t="shared" ca="1" si="4"/>
        <v>0</v>
      </c>
      <c r="X63" s="1500">
        <f ca="1">U63-W63</f>
        <v>0</v>
      </c>
      <c r="Z63" s="1571">
        <v>0</v>
      </c>
    </row>
    <row r="64" spans="2:26">
      <c r="B64" s="1402" t="s">
        <v>1068</v>
      </c>
      <c r="C64" s="1065"/>
      <c r="D64" s="1065"/>
      <c r="E64" s="1065"/>
      <c r="F64" s="1065"/>
      <c r="G64" s="1500"/>
      <c r="H64" s="1500"/>
      <c r="I64" s="1500"/>
      <c r="J64" s="1500"/>
      <c r="K64" s="1500"/>
      <c r="L64" s="1500"/>
      <c r="M64" s="1500">
        <v>197.96666666666667</v>
      </c>
      <c r="N64" s="1500">
        <v>206.31930853333336</v>
      </c>
      <c r="O64" s="1500">
        <f t="shared" si="0"/>
        <v>10.421921629904025</v>
      </c>
      <c r="P64" s="1500">
        <f ca="1">_xlfn.IFNA(INDEX('F7'!$M$10:$M$126,MATCH(B64,'F7'!$B$10:$B$126,0)),0)</f>
        <v>153.336284752078</v>
      </c>
      <c r="Q64" s="1500">
        <f t="shared" ca="1" si="1"/>
        <v>7.7455607721204576</v>
      </c>
      <c r="R64" s="1500">
        <f t="shared" ca="1" si="2"/>
        <v>2.6763608577835676</v>
      </c>
      <c r="S64" s="1500">
        <v>205.88533333333334</v>
      </c>
      <c r="T64" s="1501">
        <v>213.95397527466665</v>
      </c>
      <c r="U64" s="1500">
        <f t="shared" si="3"/>
        <v>10.391899792505859</v>
      </c>
      <c r="V64" s="1500">
        <f ca="1">_xlfn.IFNA(INDEX('F7'!$R$10:$R$126,MATCH(B64,'F7'!$B$10:$B$126,0)),0)</f>
        <v>197.59236130520455</v>
      </c>
      <c r="W64" s="1500">
        <f t="shared" ca="1" si="4"/>
        <v>9.5972043324376948</v>
      </c>
      <c r="X64" s="1500">
        <f ca="1">U64-W64</f>
        <v>0.79469546006816394</v>
      </c>
      <c r="Z64" s="1571">
        <v>0</v>
      </c>
    </row>
    <row r="65" spans="2:26">
      <c r="B65" s="1409" t="s">
        <v>1069</v>
      </c>
      <c r="C65" s="1065"/>
      <c r="D65" s="1065"/>
      <c r="E65" s="1065"/>
      <c r="F65" s="1065"/>
      <c r="G65" s="1500"/>
      <c r="H65" s="1500"/>
      <c r="I65" s="1500"/>
      <c r="J65" s="1500"/>
      <c r="K65" s="1500"/>
      <c r="L65" s="1500"/>
      <c r="M65" s="1500">
        <v>148.47499999999999</v>
      </c>
      <c r="N65" s="1500">
        <v>159.76364268</v>
      </c>
      <c r="O65" s="1500">
        <f t="shared" si="0"/>
        <v>10.76030595588483</v>
      </c>
      <c r="P65" s="1500">
        <f>_xlfn.IFNA(INDEX('F7'!$M$10:$M$126,MATCH(B65,'F7'!$B$10:$B$126,0)),0)</f>
        <v>0</v>
      </c>
      <c r="Q65" s="1500">
        <f t="shared" si="1"/>
        <v>0</v>
      </c>
      <c r="R65" s="1500">
        <f t="shared" si="2"/>
        <v>10.76030595588483</v>
      </c>
      <c r="S65" s="1500">
        <v>154.41399999999999</v>
      </c>
      <c r="T65" s="1501">
        <v>165.59789334719997</v>
      </c>
      <c r="U65" s="1500">
        <f t="shared" si="3"/>
        <v>10.724279751007034</v>
      </c>
      <c r="V65" s="1500">
        <f>_xlfn.IFNA(INDEX('F7'!$R$10:$R$126,MATCH(B65,'F7'!$B$10:$B$126,0)),0)</f>
        <v>0</v>
      </c>
      <c r="W65" s="1500">
        <f t="shared" si="4"/>
        <v>0</v>
      </c>
      <c r="X65" s="1500">
        <f>U65-W65</f>
        <v>10.724279751007034</v>
      </c>
      <c r="Z65" s="1571">
        <v>0</v>
      </c>
    </row>
    <row r="66" spans="2:26">
      <c r="B66" s="1409" t="s">
        <v>1070</v>
      </c>
      <c r="C66" s="1065"/>
      <c r="D66" s="1065"/>
      <c r="E66" s="1065"/>
      <c r="F66" s="1065"/>
      <c r="G66" s="1500"/>
      <c r="H66" s="1500"/>
      <c r="I66" s="1500"/>
      <c r="J66" s="1500"/>
      <c r="K66" s="1500"/>
      <c r="L66" s="1500"/>
      <c r="M66" s="1500">
        <v>35.634</v>
      </c>
      <c r="N66" s="1500">
        <v>34.016076768000005</v>
      </c>
      <c r="O66" s="1500">
        <f t="shared" si="0"/>
        <v>9.5459608149520143</v>
      </c>
      <c r="P66" s="1500">
        <f>_xlfn.IFNA(INDEX('F7'!$M$10:$M$126,MATCH(B66,'F7'!$B$10:$B$126,0)),0)</f>
        <v>0</v>
      </c>
      <c r="Q66" s="1500">
        <f t="shared" si="1"/>
        <v>0</v>
      </c>
      <c r="R66" s="1500">
        <f t="shared" si="2"/>
        <v>9.5459608149520143</v>
      </c>
      <c r="S66" s="1500">
        <v>37.059359999999998</v>
      </c>
      <c r="T66" s="1501">
        <v>35.321090334719997</v>
      </c>
      <c r="U66" s="1500">
        <f t="shared" si="3"/>
        <v>9.5309498962529311</v>
      </c>
      <c r="V66" s="1500">
        <f>_xlfn.IFNA(INDEX('F7'!$R$10:$R$126,MATCH(B66,'F7'!$B$10:$B$126,0)),0)</f>
        <v>0</v>
      </c>
      <c r="W66" s="1500">
        <f t="shared" si="4"/>
        <v>0</v>
      </c>
      <c r="X66" s="1500">
        <f>U66-W66</f>
        <v>9.5309498962529311</v>
      </c>
      <c r="Z66" s="1571">
        <v>0</v>
      </c>
    </row>
    <row r="67" spans="2:26">
      <c r="B67" s="1409" t="s">
        <v>1071</v>
      </c>
      <c r="C67" s="1065"/>
      <c r="D67" s="1065"/>
      <c r="E67" s="1065"/>
      <c r="F67" s="1065"/>
      <c r="G67" s="1500"/>
      <c r="H67" s="1500"/>
      <c r="I67" s="1500"/>
      <c r="J67" s="1500"/>
      <c r="K67" s="1500"/>
      <c r="L67" s="1500"/>
      <c r="M67" s="1500">
        <v>13.857666666666679</v>
      </c>
      <c r="N67" s="1500">
        <v>12.539589085333345</v>
      </c>
      <c r="O67" s="1500">
        <f t="shared" si="0"/>
        <v>9.0488459471291467</v>
      </c>
      <c r="P67" s="1500">
        <f>_xlfn.IFNA(INDEX('F7'!$M$10:$M$126,MATCH(B67,'F7'!$B$10:$B$126,0)),0)</f>
        <v>0</v>
      </c>
      <c r="Q67" s="1500">
        <f t="shared" si="1"/>
        <v>0</v>
      </c>
      <c r="R67" s="1500">
        <f t="shared" si="2"/>
        <v>9.0488459471291467</v>
      </c>
      <c r="S67" s="1500">
        <v>14.411973333333346</v>
      </c>
      <c r="T67" s="1501">
        <v>13.034991592746678</v>
      </c>
      <c r="U67" s="1500">
        <f t="shared" si="3"/>
        <v>9.0445571132151219</v>
      </c>
      <c r="V67" s="1500">
        <f>_xlfn.IFNA(INDEX('F7'!$R$10:$R$126,MATCH(B67,'F7'!$B$10:$B$126,0)),0)</f>
        <v>0</v>
      </c>
      <c r="W67" s="1500">
        <f t="shared" si="4"/>
        <v>0</v>
      </c>
      <c r="X67" s="1500">
        <f>U67-W67</f>
        <v>9.0445571132151219</v>
      </c>
      <c r="Z67" s="1571">
        <v>0</v>
      </c>
    </row>
    <row r="68" spans="2:26">
      <c r="B68" s="1402" t="s">
        <v>1072</v>
      </c>
      <c r="C68" s="1065"/>
      <c r="D68" s="1065"/>
      <c r="E68" s="1065"/>
      <c r="F68" s="1065"/>
      <c r="G68" s="1500"/>
      <c r="H68" s="1500"/>
      <c r="I68" s="1500"/>
      <c r="J68" s="1500"/>
      <c r="K68" s="1500"/>
      <c r="L68" s="1500"/>
      <c r="M68" s="1500">
        <v>59.886666666666663</v>
      </c>
      <c r="N68" s="1500">
        <v>77.652075980000006</v>
      </c>
      <c r="O68" s="1500">
        <f t="shared" si="0"/>
        <v>12.966504950461985</v>
      </c>
      <c r="P68" s="1500">
        <f ca="1">_xlfn.IFNA(INDEX('F7'!$M$10:$M$126,MATCH(B68,'F7'!$B$10:$B$126,0)),0)</f>
        <v>46.24832938676704</v>
      </c>
      <c r="Q68" s="1500">
        <f t="shared" ca="1" si="1"/>
        <v>7.7226421106702166</v>
      </c>
      <c r="R68" s="1500">
        <f t="shared" ca="1" si="2"/>
        <v>5.2438628397917686</v>
      </c>
      <c r="S68" s="1500">
        <v>62.881</v>
      </c>
      <c r="T68" s="1501">
        <v>81.077076482999999</v>
      </c>
      <c r="U68" s="1500">
        <f t="shared" si="3"/>
        <v>12.893732046723176</v>
      </c>
      <c r="V68" s="1500">
        <f ca="1">_xlfn.IFNA(INDEX('F7'!$R$10:$R$126,MATCH(B68,'F7'!$B$10:$B$126,0)),0)</f>
        <v>60.348180562801474</v>
      </c>
      <c r="W68" s="1500">
        <f t="shared" ca="1" si="4"/>
        <v>9.5972043324376948</v>
      </c>
      <c r="X68" s="1500">
        <f ca="1">U68-W68</f>
        <v>3.2965277142854816</v>
      </c>
      <c r="Z68" s="1571">
        <v>0</v>
      </c>
    </row>
    <row r="69" spans="2:26">
      <c r="B69" s="1402" t="s">
        <v>1454</v>
      </c>
      <c r="C69" s="1065"/>
      <c r="D69" s="1065"/>
      <c r="E69" s="1065"/>
      <c r="F69" s="1065"/>
      <c r="G69" s="1500"/>
      <c r="H69" s="1500"/>
      <c r="I69" s="1500"/>
      <c r="J69" s="1500"/>
      <c r="K69" s="1500"/>
      <c r="L69" s="1500"/>
      <c r="M69" s="1500">
        <v>29.943333333333335</v>
      </c>
      <c r="N69" s="1500">
        <v>31.495054207999999</v>
      </c>
      <c r="O69" s="1500">
        <f t="shared" si="0"/>
        <v>10.518219149949903</v>
      </c>
      <c r="P69" s="1500">
        <f>_xlfn.IFNA(INDEX('F7'!$M$10:$M$126,MATCH(B69,'F7'!$B$10:$B$126,0)),0)</f>
        <v>0</v>
      </c>
      <c r="Q69" s="1500">
        <f t="shared" si="1"/>
        <v>0</v>
      </c>
      <c r="R69" s="1500">
        <f t="shared" si="2"/>
        <v>10.518219149949903</v>
      </c>
      <c r="S69" s="1500">
        <v>31.4405</v>
      </c>
      <c r="T69" s="1501">
        <v>32.983455590399998</v>
      </c>
      <c r="U69" s="1500">
        <f t="shared" si="3"/>
        <v>10.490754151619726</v>
      </c>
      <c r="V69" s="1500">
        <f>_xlfn.IFNA(INDEX('F7'!$R$10:$R$126,MATCH(B69,'F7'!$B$10:$B$126,0)),0)</f>
        <v>0</v>
      </c>
      <c r="W69" s="1500">
        <f t="shared" si="4"/>
        <v>0</v>
      </c>
      <c r="X69" s="1500">
        <f>U69-W69</f>
        <v>10.490754151619726</v>
      </c>
      <c r="Z69" s="1571">
        <v>0</v>
      </c>
    </row>
    <row r="70" spans="2:26">
      <c r="B70" s="1409" t="s">
        <v>1073</v>
      </c>
      <c r="C70" s="1065"/>
      <c r="D70" s="1065"/>
      <c r="E70" s="1065"/>
      <c r="F70" s="1065"/>
      <c r="G70" s="1500"/>
      <c r="H70" s="1500"/>
      <c r="I70" s="1500"/>
      <c r="J70" s="1500"/>
      <c r="K70" s="1500"/>
      <c r="L70" s="1500"/>
      <c r="M70" s="1500">
        <v>23.046667466666669</v>
      </c>
      <c r="N70" s="1500">
        <v>23.345493259200001</v>
      </c>
      <c r="O70" s="1500">
        <f t="shared" si="0"/>
        <v>10.129661172473432</v>
      </c>
      <c r="P70" s="1500">
        <f>_xlfn.IFNA(INDEX('F7'!$M$10:$M$126,MATCH(B70,'F7'!$B$10:$B$126,0)),0)</f>
        <v>0</v>
      </c>
      <c r="Q70" s="1500">
        <f t="shared" si="1"/>
        <v>0</v>
      </c>
      <c r="R70" s="1500">
        <f t="shared" si="2"/>
        <v>10.129661172473432</v>
      </c>
      <c r="S70" s="1500">
        <v>24.199000840000004</v>
      </c>
      <c r="T70" s="1501">
        <v>24.46095712536</v>
      </c>
      <c r="U70" s="1500">
        <f t="shared" si="3"/>
        <v>10.108250868328</v>
      </c>
      <c r="V70" s="1500">
        <f>_xlfn.IFNA(INDEX('F7'!$R$10:$R$126,MATCH(B70,'F7'!$B$10:$B$126,0)),0)</f>
        <v>0</v>
      </c>
      <c r="W70" s="1500">
        <f t="shared" si="4"/>
        <v>0</v>
      </c>
      <c r="X70" s="1500">
        <f>U70-W70</f>
        <v>10.108250868328</v>
      </c>
      <c r="Z70" s="1571">
        <v>0</v>
      </c>
    </row>
    <row r="71" spans="2:26">
      <c r="B71" s="1409" t="s">
        <v>1074</v>
      </c>
      <c r="C71" s="1065"/>
      <c r="D71" s="1065"/>
      <c r="E71" s="1065"/>
      <c r="F71" s="1065"/>
      <c r="G71" s="1500"/>
      <c r="H71" s="1500"/>
      <c r="I71" s="1500"/>
      <c r="J71" s="1500"/>
      <c r="K71" s="1500"/>
      <c r="L71" s="1500"/>
      <c r="M71" s="1500">
        <v>6.8966658666666643</v>
      </c>
      <c r="N71" s="1500">
        <v>8.1495609487999978</v>
      </c>
      <c r="O71" s="1500">
        <f t="shared" si="0"/>
        <v>11.816667802030098</v>
      </c>
      <c r="P71" s="1500">
        <f>_xlfn.IFNA(INDEX('F7'!$M$10:$M$126,MATCH(B71,'F7'!$B$10:$B$126,0)),0)</f>
        <v>0</v>
      </c>
      <c r="Q71" s="1500">
        <f t="shared" si="1"/>
        <v>0</v>
      </c>
      <c r="R71" s="1500">
        <f t="shared" si="2"/>
        <v>11.816667802030098</v>
      </c>
      <c r="S71" s="1500">
        <v>7.2414991599999965</v>
      </c>
      <c r="T71" s="1501">
        <v>8.5224984650399964</v>
      </c>
      <c r="U71" s="1500">
        <f t="shared" si="3"/>
        <v>11.768969762664449</v>
      </c>
      <c r="V71" s="1500">
        <f>_xlfn.IFNA(INDEX('F7'!$R$10:$R$126,MATCH(B71,'F7'!$B$10:$B$126,0)),0)</f>
        <v>0</v>
      </c>
      <c r="W71" s="1500">
        <f t="shared" si="4"/>
        <v>0</v>
      </c>
      <c r="X71" s="1500">
        <f>U71-W71</f>
        <v>11.768969762664449</v>
      </c>
      <c r="Z71" s="1571">
        <v>0</v>
      </c>
    </row>
    <row r="72" spans="2:26">
      <c r="B72" s="1402" t="s">
        <v>1455</v>
      </c>
      <c r="C72" s="1065"/>
      <c r="D72" s="1065"/>
      <c r="E72" s="1065"/>
      <c r="F72" s="1065"/>
      <c r="G72" s="1500"/>
      <c r="H72" s="1500"/>
      <c r="I72" s="1500"/>
      <c r="J72" s="1500"/>
      <c r="K72" s="1500"/>
      <c r="L72" s="1500"/>
      <c r="M72" s="1500">
        <v>29.943333333333328</v>
      </c>
      <c r="N72" s="1500">
        <v>46.157021772</v>
      </c>
      <c r="O72" s="1500">
        <f t="shared" si="0"/>
        <v>15.414790750974065</v>
      </c>
      <c r="P72" s="1500">
        <f>_xlfn.IFNA(INDEX('F7'!$M$10:$M$126,MATCH(B72,'F7'!$B$10:$B$126,0)),0)</f>
        <v>0</v>
      </c>
      <c r="Q72" s="1500">
        <f t="shared" si="1"/>
        <v>0</v>
      </c>
      <c r="R72" s="1500">
        <f t="shared" si="2"/>
        <v>15.414790750974065</v>
      </c>
      <c r="S72" s="1500">
        <v>31.4405</v>
      </c>
      <c r="T72" s="1501">
        <v>48.093620892600001</v>
      </c>
      <c r="U72" s="1500">
        <f t="shared" si="3"/>
        <v>15.296709941826625</v>
      </c>
      <c r="V72" s="1500">
        <f>_xlfn.IFNA(INDEX('F7'!$R$10:$R$126,MATCH(B72,'F7'!$B$10:$B$126,0)),0)</f>
        <v>0</v>
      </c>
      <c r="W72" s="1500">
        <f t="shared" si="4"/>
        <v>0</v>
      </c>
      <c r="X72" s="1500">
        <f>U72-W72</f>
        <v>15.296709941826625</v>
      </c>
      <c r="Z72" s="1571">
        <v>0</v>
      </c>
    </row>
    <row r="73" spans="2:26">
      <c r="B73" s="1409" t="s">
        <v>1073</v>
      </c>
      <c r="C73" s="1065"/>
      <c r="D73" s="1065"/>
      <c r="E73" s="1065"/>
      <c r="F73" s="1065"/>
      <c r="G73" s="1500"/>
      <c r="H73" s="1500"/>
      <c r="I73" s="1500"/>
      <c r="J73" s="1500"/>
      <c r="K73" s="1500"/>
      <c r="L73" s="1500"/>
      <c r="M73" s="1500">
        <v>11.522987333333335</v>
      </c>
      <c r="N73" s="1500">
        <v>17.832853156800002</v>
      </c>
      <c r="O73" s="1500">
        <f t="shared" si="0"/>
        <v>15.475894089732865</v>
      </c>
      <c r="P73" s="1500">
        <f>_xlfn.IFNA(INDEX('F7'!$M$10:$M$126,MATCH(B73,'F7'!$B$10:$B$126,0)),0)</f>
        <v>0</v>
      </c>
      <c r="Q73" s="1500">
        <f t="shared" si="1"/>
        <v>0</v>
      </c>
      <c r="R73" s="1500">
        <f t="shared" si="2"/>
        <v>15.475894089732865</v>
      </c>
      <c r="S73" s="1500">
        <v>12.099136700000003</v>
      </c>
      <c r="T73" s="1501">
        <v>18.575995027440001</v>
      </c>
      <c r="U73" s="1500">
        <f t="shared" si="3"/>
        <v>15.353157409519969</v>
      </c>
      <c r="V73" s="1500">
        <f>_xlfn.IFNA(INDEX('F7'!$R$10:$R$126,MATCH(B73,'F7'!$B$10:$B$126,0)),0)</f>
        <v>0</v>
      </c>
      <c r="W73" s="1500">
        <f t="shared" si="4"/>
        <v>0</v>
      </c>
      <c r="X73" s="1500">
        <f>U73-W73</f>
        <v>15.353157409519969</v>
      </c>
      <c r="Z73" s="1571">
        <v>0</v>
      </c>
    </row>
    <row r="74" spans="2:26">
      <c r="B74" s="1409" t="s">
        <v>1074</v>
      </c>
      <c r="C74" s="1065"/>
      <c r="D74" s="1065"/>
      <c r="E74" s="1065"/>
      <c r="F74" s="1065"/>
      <c r="G74" s="1500"/>
      <c r="H74" s="1500"/>
      <c r="I74" s="1500"/>
      <c r="J74" s="1500"/>
      <c r="K74" s="1500"/>
      <c r="L74" s="1500"/>
      <c r="M74" s="1500">
        <v>18.420345999999995</v>
      </c>
      <c r="N74" s="1500">
        <v>28.324168615199998</v>
      </c>
      <c r="O74" s="1500">
        <f t="shared" si="0"/>
        <v>15.376567093365132</v>
      </c>
      <c r="P74" s="1500">
        <f>_xlfn.IFNA(INDEX('F7'!$M$10:$M$126,MATCH(B74,'F7'!$B$10:$B$126,0)),0)</f>
        <v>0</v>
      </c>
      <c r="Q74" s="1500">
        <f t="shared" si="1"/>
        <v>0</v>
      </c>
      <c r="R74" s="1500">
        <f t="shared" si="2"/>
        <v>15.376567093365132</v>
      </c>
      <c r="S74" s="1500">
        <v>19.341363299999998</v>
      </c>
      <c r="T74" s="1501">
        <v>29.517625865159999</v>
      </c>
      <c r="U74" s="1500">
        <f t="shared" si="3"/>
        <v>15.261398799721633</v>
      </c>
      <c r="V74" s="1500">
        <f>_xlfn.IFNA(INDEX('F7'!$R$10:$R$126,MATCH(B74,'F7'!$B$10:$B$126,0)),0)</f>
        <v>0</v>
      </c>
      <c r="W74" s="1500">
        <f t="shared" si="4"/>
        <v>0</v>
      </c>
      <c r="X74" s="1500">
        <f>U74-W74</f>
        <v>15.261398799721633</v>
      </c>
      <c r="Z74" s="1571">
        <v>0</v>
      </c>
    </row>
    <row r="75" spans="2:26">
      <c r="B75" s="1402" t="s">
        <v>1425</v>
      </c>
      <c r="C75" s="1065"/>
      <c r="D75" s="1065"/>
      <c r="E75" s="1065"/>
      <c r="F75" s="1065"/>
      <c r="G75" s="1500"/>
      <c r="H75" s="1500"/>
      <c r="I75" s="1500"/>
      <c r="J75" s="1500"/>
      <c r="K75" s="1500"/>
      <c r="L75" s="1500"/>
      <c r="M75" s="1500">
        <v>257.85333333333335</v>
      </c>
      <c r="N75" s="1500">
        <v>283.97138451333336</v>
      </c>
      <c r="O75" s="1500">
        <f t="shared" si="0"/>
        <v>11.01290337582088</v>
      </c>
      <c r="P75" s="1500">
        <f ca="1">_xlfn.IFNA(INDEX('F7'!$M$10:$M$126,MATCH(B75,'F7'!$B$10:$B$126,0)),0)</f>
        <v>9842.9708804599904</v>
      </c>
      <c r="Q75" s="1500">
        <f t="shared" ca="1" si="1"/>
        <v>381.72750195692601</v>
      </c>
      <c r="R75" s="1500">
        <f t="shared" ca="1" si="2"/>
        <v>-370.71459858110512</v>
      </c>
      <c r="S75" s="1500">
        <v>268.76633333333336</v>
      </c>
      <c r="T75" s="1501">
        <v>295.03105175766666</v>
      </c>
      <c r="U75" s="1500">
        <f t="shared" si="3"/>
        <v>10.977232456855335</v>
      </c>
      <c r="V75" s="1500">
        <f ca="1">_xlfn.IFNA(INDEX('F7'!$R$10:$R$126,MATCH(B75,'F7'!$B$10:$B$126,0)),0)</f>
        <v>12411.62407831255</v>
      </c>
      <c r="W75" s="1500"/>
      <c r="X75" s="1500">
        <f>U75-W75</f>
        <v>10.977232456855335</v>
      </c>
      <c r="Z75" s="1571">
        <v>0</v>
      </c>
    </row>
    <row r="76" spans="2:26">
      <c r="B76" s="1409"/>
      <c r="C76" s="1065"/>
      <c r="D76" s="1065"/>
      <c r="E76" s="1065"/>
      <c r="F76" s="1065"/>
      <c r="G76" s="1500"/>
      <c r="H76" s="1500"/>
      <c r="I76" s="1500"/>
      <c r="J76" s="1500"/>
      <c r="K76" s="1500"/>
      <c r="L76" s="1500"/>
      <c r="M76" s="1500">
        <v>0</v>
      </c>
      <c r="N76" s="1500">
        <v>0</v>
      </c>
      <c r="O76" s="1500">
        <f t="shared" ref="O76:O139" si="5">IFERROR(N76/M76*10,0)</f>
        <v>0</v>
      </c>
      <c r="P76" s="1500">
        <f>_xlfn.IFNA(INDEX('F7'!$M$10:$M$126,MATCH(B76,'F7'!$B$10:$B$126,0)),0)</f>
        <v>0</v>
      </c>
      <c r="Q76" s="1500">
        <f t="shared" ref="Q76:Q139" si="6">IFERROR((P76/M76)*10,0)</f>
        <v>0</v>
      </c>
      <c r="R76" s="1500">
        <f t="shared" ref="R76:R139" si="7">O76-Q76</f>
        <v>0</v>
      </c>
      <c r="S76" s="1500">
        <v>0</v>
      </c>
      <c r="T76" s="1501">
        <v>0</v>
      </c>
      <c r="U76" s="1500">
        <f t="shared" ref="U76:U139" si="8">IFERROR(T76/S76*10,0)</f>
        <v>0</v>
      </c>
      <c r="V76" s="1500">
        <f>_xlfn.IFNA(INDEX('F7'!$R$10:$R$126,MATCH(B76,'F7'!$B$10:$B$126,0)),0)</f>
        <v>0</v>
      </c>
      <c r="W76" s="1500">
        <f t="shared" ref="W76:W139" si="9">IFERROR((V76/S76)*10,0)</f>
        <v>0</v>
      </c>
      <c r="X76" s="1500">
        <f>U76-W76</f>
        <v>0</v>
      </c>
      <c r="Z76" s="1571">
        <v>0</v>
      </c>
    </row>
    <row r="77" spans="2:26">
      <c r="B77" s="1402" t="s">
        <v>1076</v>
      </c>
      <c r="C77" s="1065"/>
      <c r="D77" s="1065"/>
      <c r="E77" s="1065"/>
      <c r="F77" s="1065"/>
      <c r="G77" s="1500"/>
      <c r="H77" s="1500"/>
      <c r="I77" s="1500"/>
      <c r="J77" s="1500"/>
      <c r="K77" s="1500"/>
      <c r="L77" s="1500"/>
      <c r="M77" s="1500">
        <v>0</v>
      </c>
      <c r="N77" s="1500">
        <v>0</v>
      </c>
      <c r="O77" s="1500">
        <f t="shared" si="5"/>
        <v>0</v>
      </c>
      <c r="P77" s="1500">
        <f ca="1">_xlfn.IFNA(INDEX('F7'!$M$10:$M$126,MATCH(B77,'F7'!$B$10:$B$126,0)),0)</f>
        <v>0</v>
      </c>
      <c r="Q77" s="1500">
        <f t="shared" ca="1" si="6"/>
        <v>0</v>
      </c>
      <c r="R77" s="1500">
        <f t="shared" ca="1" si="7"/>
        <v>0</v>
      </c>
      <c r="S77" s="1500">
        <v>0</v>
      </c>
      <c r="T77" s="1501">
        <v>0</v>
      </c>
      <c r="U77" s="1500">
        <f t="shared" si="8"/>
        <v>0</v>
      </c>
      <c r="V77" s="1500">
        <f ca="1">_xlfn.IFNA(INDEX('F7'!$R$10:$R$126,MATCH(B77,'F7'!$B$10:$B$126,0)),0)</f>
        <v>0</v>
      </c>
      <c r="W77" s="1500">
        <f t="shared" ca="1" si="9"/>
        <v>0</v>
      </c>
      <c r="X77" s="1500">
        <f ca="1">U77-W77</f>
        <v>0</v>
      </c>
      <c r="Z77" s="1571">
        <v>0</v>
      </c>
    </row>
    <row r="78" spans="2:26">
      <c r="B78" s="1402" t="s">
        <v>1012</v>
      </c>
      <c r="C78" s="1065"/>
      <c r="D78" s="1065"/>
      <c r="E78" s="1065"/>
      <c r="F78" s="1065"/>
      <c r="G78" s="1500"/>
      <c r="H78" s="1500"/>
      <c r="I78" s="1500"/>
      <c r="J78" s="1500"/>
      <c r="K78" s="1500"/>
      <c r="L78" s="1500"/>
      <c r="M78" s="1500">
        <v>2408.7573889999999</v>
      </c>
      <c r="N78" s="1500">
        <v>414.29013557640752</v>
      </c>
      <c r="O78" s="1500">
        <f t="shared" si="5"/>
        <v>1.7199330138781674</v>
      </c>
      <c r="P78" s="1500">
        <f ca="1">_xlfn.IFNA(INDEX('F7'!$M$10:$M$126,MATCH(B78,'F7'!$B$10:$B$126,0)),0)</f>
        <v>189.22653024521347</v>
      </c>
      <c r="Q78" s="1500">
        <f t="shared" ca="1" si="6"/>
        <v>0.78557737325207</v>
      </c>
      <c r="R78" s="1500">
        <f t="shared" ca="1" si="7"/>
        <v>0.93435564062609744</v>
      </c>
      <c r="S78" s="1500">
        <v>2441.0003689999999</v>
      </c>
      <c r="T78" s="1501">
        <v>421.516971730563</v>
      </c>
      <c r="U78" s="1500">
        <f t="shared" si="8"/>
        <v>1.7268205981601104</v>
      </c>
      <c r="V78" s="1500">
        <f ca="1">_xlfn.IFNA(INDEX('F7'!$R$10:$R$126,MATCH(B78,'F7'!$B$10:$B$126,0)),0)</f>
        <v>242.01542725711175</v>
      </c>
      <c r="W78" s="1500">
        <f t="shared" ca="1" si="9"/>
        <v>0.99146001914066806</v>
      </c>
      <c r="X78" s="1500">
        <f ca="1">U78-W78</f>
        <v>0.7353605790194423</v>
      </c>
      <c r="Z78" s="1571">
        <v>0</v>
      </c>
    </row>
    <row r="79" spans="2:26">
      <c r="B79" s="1402" t="s">
        <v>1456</v>
      </c>
      <c r="C79" s="1065"/>
      <c r="D79" s="1065"/>
      <c r="E79" s="1065"/>
      <c r="F79" s="1065"/>
      <c r="G79" s="1500"/>
      <c r="H79" s="1500"/>
      <c r="I79" s="1500"/>
      <c r="J79" s="1500"/>
      <c r="K79" s="1500"/>
      <c r="L79" s="1500"/>
      <c r="M79" s="1500">
        <v>2193.804189</v>
      </c>
      <c r="N79" s="1500">
        <v>363.61085790884721</v>
      </c>
      <c r="O79" s="1500">
        <f t="shared" si="5"/>
        <v>1.6574444507492334</v>
      </c>
      <c r="P79" s="1500">
        <f>_xlfn.IFNA(INDEX('F7'!$M$10:$M$126,MATCH(B79,'F7'!$B$10:$B$126,0)),0)</f>
        <v>0</v>
      </c>
      <c r="Q79" s="1500">
        <f t="shared" si="6"/>
        <v>0</v>
      </c>
      <c r="R79" s="1500">
        <f t="shared" si="7"/>
        <v>1.6574444507492334</v>
      </c>
      <c r="S79" s="1500">
        <v>2193.804189</v>
      </c>
      <c r="T79" s="1501">
        <v>363.61085790884721</v>
      </c>
      <c r="U79" s="1500">
        <f t="shared" si="8"/>
        <v>1.6574444507492334</v>
      </c>
      <c r="V79" s="1500">
        <f>_xlfn.IFNA(INDEX('F7'!$R$10:$R$126,MATCH(B79,'F7'!$B$10:$B$126,0)),0)</f>
        <v>0</v>
      </c>
      <c r="W79" s="1500">
        <f t="shared" si="9"/>
        <v>0</v>
      </c>
      <c r="X79" s="1500">
        <f>U79-W79</f>
        <v>1.6574444507492334</v>
      </c>
      <c r="Z79" s="1571">
        <v>0</v>
      </c>
    </row>
    <row r="80" spans="2:26">
      <c r="B80" s="1409" t="s">
        <v>1077</v>
      </c>
      <c r="C80" s="1065"/>
      <c r="D80" s="1065"/>
      <c r="E80" s="1065"/>
      <c r="F80" s="1065"/>
      <c r="G80" s="1500"/>
      <c r="H80" s="1500"/>
      <c r="I80" s="1500"/>
      <c r="J80" s="1500"/>
      <c r="K80" s="1500"/>
      <c r="L80" s="1500"/>
      <c r="M80" s="1500">
        <v>2193.804189</v>
      </c>
      <c r="N80" s="1500">
        <v>363.61085790884721</v>
      </c>
      <c r="O80" s="1500">
        <f t="shared" si="5"/>
        <v>1.6574444507492334</v>
      </c>
      <c r="P80" s="1500">
        <f ca="1">_xlfn.IFNA(INDEX('F7'!$M$10:$M$126,MATCH(B80,'F7'!$B$10:$B$126,0)),0)</f>
        <v>1699.7378890581206</v>
      </c>
      <c r="Q80" s="1500">
        <f t="shared" ca="1" si="6"/>
        <v>7.747901556487184</v>
      </c>
      <c r="R80" s="1500">
        <f t="shared" ca="1" si="7"/>
        <v>-6.0904571057379506</v>
      </c>
      <c r="S80" s="1500">
        <v>2193.804189</v>
      </c>
      <c r="T80" s="1501">
        <v>363.61085790884721</v>
      </c>
      <c r="U80" s="1500">
        <f t="shared" si="8"/>
        <v>1.6574444507492334</v>
      </c>
      <c r="V80" s="1500">
        <f ca="1">_xlfn.IFNA(INDEX('F7'!$R$10:$R$126,MATCH(B80,'F7'!$B$10:$B$126,0)),0)</f>
        <v>2105.4387067190764</v>
      </c>
      <c r="W80" s="1500">
        <f t="shared" ca="1" si="9"/>
        <v>9.5972043324376948</v>
      </c>
      <c r="X80" s="1500">
        <f ca="1">U80-W80</f>
        <v>-7.9397598816884614</v>
      </c>
      <c r="Z80" s="1571">
        <v>0</v>
      </c>
    </row>
    <row r="81" spans="2:26">
      <c r="B81" s="1406" t="s">
        <v>1457</v>
      </c>
      <c r="C81" s="1065"/>
      <c r="D81" s="1065"/>
      <c r="E81" s="1065"/>
      <c r="F81" s="1065"/>
      <c r="G81" s="1500"/>
      <c r="H81" s="1500"/>
      <c r="I81" s="1500"/>
      <c r="J81" s="1500"/>
      <c r="K81" s="1500"/>
      <c r="L81" s="1500"/>
      <c r="M81" s="1500">
        <v>0</v>
      </c>
      <c r="N81" s="1500">
        <v>0</v>
      </c>
      <c r="O81" s="1500">
        <f t="shared" si="5"/>
        <v>0</v>
      </c>
      <c r="P81" s="1500">
        <f>_xlfn.IFNA(INDEX('F7'!$M$10:$M$126,MATCH(B81,'F7'!$B$10:$B$126,0)),0)</f>
        <v>0</v>
      </c>
      <c r="Q81" s="1500">
        <f t="shared" si="6"/>
        <v>0</v>
      </c>
      <c r="R81" s="1500">
        <f t="shared" si="7"/>
        <v>0</v>
      </c>
      <c r="S81" s="1500">
        <v>0</v>
      </c>
      <c r="T81" s="1501">
        <v>0</v>
      </c>
      <c r="U81" s="1500">
        <f t="shared" si="8"/>
        <v>0</v>
      </c>
      <c r="V81" s="1500">
        <f>_xlfn.IFNA(INDEX('F7'!$R$10:$R$126,MATCH(B81,'F7'!$B$10:$B$126,0)),0)</f>
        <v>0</v>
      </c>
      <c r="W81" s="1500">
        <f t="shared" si="9"/>
        <v>0</v>
      </c>
      <c r="X81" s="1500">
        <f>U81-W81</f>
        <v>0</v>
      </c>
      <c r="Z81" s="1571">
        <v>0</v>
      </c>
    </row>
    <row r="82" spans="2:26">
      <c r="B82" s="1402" t="s">
        <v>1458</v>
      </c>
      <c r="C82" s="1065"/>
      <c r="D82" s="1065"/>
      <c r="E82" s="1065"/>
      <c r="F82" s="1065"/>
      <c r="G82" s="1500"/>
      <c r="H82" s="1500"/>
      <c r="I82" s="1500"/>
      <c r="J82" s="1500"/>
      <c r="K82" s="1500"/>
      <c r="L82" s="1500"/>
      <c r="M82" s="1500">
        <v>214.95319999999995</v>
      </c>
      <c r="N82" s="1500">
        <v>50.679277667560314</v>
      </c>
      <c r="O82" s="1500">
        <f t="shared" si="5"/>
        <v>2.3576889140315345</v>
      </c>
      <c r="P82" s="1500">
        <f>_xlfn.IFNA(INDEX('F7'!$M$10:$M$126,MATCH(B82,'F7'!$B$10:$B$126,0)),0)</f>
        <v>0</v>
      </c>
      <c r="Q82" s="1500">
        <f t="shared" si="6"/>
        <v>0</v>
      </c>
      <c r="R82" s="1500">
        <f t="shared" si="7"/>
        <v>2.3576889140315345</v>
      </c>
      <c r="S82" s="1500">
        <v>247.19617999999991</v>
      </c>
      <c r="T82" s="1501">
        <v>57.906113821715799</v>
      </c>
      <c r="U82" s="1500">
        <f t="shared" si="8"/>
        <v>2.3425165316760079</v>
      </c>
      <c r="V82" s="1500">
        <f>_xlfn.IFNA(INDEX('F7'!$R$10:$R$126,MATCH(B82,'F7'!$B$10:$B$126,0)),0)</f>
        <v>0</v>
      </c>
      <c r="W82" s="1500">
        <f t="shared" si="9"/>
        <v>0</v>
      </c>
      <c r="X82" s="1500">
        <f>U82-W82</f>
        <v>2.3425165316760079</v>
      </c>
      <c r="Z82" s="1571">
        <v>0</v>
      </c>
    </row>
    <row r="83" spans="2:26">
      <c r="B83" s="1409" t="s">
        <v>1078</v>
      </c>
      <c r="C83" s="1065"/>
      <c r="D83" s="1065"/>
      <c r="E83" s="1065"/>
      <c r="F83" s="1065"/>
      <c r="G83" s="1500"/>
      <c r="H83" s="1500"/>
      <c r="I83" s="1500"/>
      <c r="J83" s="1500"/>
      <c r="K83" s="1500"/>
      <c r="L83" s="1500"/>
      <c r="M83" s="1500">
        <v>214.95319999999995</v>
      </c>
      <c r="N83" s="1500">
        <v>50.679277667560314</v>
      </c>
      <c r="O83" s="1500">
        <f t="shared" si="5"/>
        <v>2.3576889140315345</v>
      </c>
      <c r="P83" s="1500">
        <f ca="1">_xlfn.IFNA(INDEX('F7'!$M$10:$M$126,MATCH(B83,'F7'!$B$10:$B$126,0)),0)</f>
        <v>166.22031710065758</v>
      </c>
      <c r="Q83" s="1500">
        <f t="shared" ca="1" si="6"/>
        <v>7.7328607855411136</v>
      </c>
      <c r="R83" s="1500">
        <f t="shared" ca="1" si="7"/>
        <v>-5.3751718715095791</v>
      </c>
      <c r="S83" s="1500">
        <v>247.19617999999991</v>
      </c>
      <c r="T83" s="1501">
        <v>57.906113821715799</v>
      </c>
      <c r="U83" s="1500">
        <f t="shared" si="8"/>
        <v>2.3425165316760079</v>
      </c>
      <c r="V83" s="1500">
        <f ca="1">_xlfn.IFNA(INDEX('F7'!$R$10:$R$126,MATCH(B83,'F7'!$B$10:$B$126,0)),0)</f>
        <v>237.23922496580474</v>
      </c>
      <c r="W83" s="1500">
        <f t="shared" ca="1" si="9"/>
        <v>9.5972043324376948</v>
      </c>
      <c r="X83" s="1500">
        <f ca="1">U83-W83</f>
        <v>-7.2546878007616868</v>
      </c>
      <c r="Z83" s="1571">
        <v>0</v>
      </c>
    </row>
    <row r="84" spans="2:26">
      <c r="B84" s="1406" t="s">
        <v>1459</v>
      </c>
      <c r="C84" s="1065"/>
      <c r="D84" s="1065"/>
      <c r="E84" s="1065"/>
      <c r="F84" s="1065"/>
      <c r="G84" s="1500"/>
      <c r="H84" s="1500"/>
      <c r="I84" s="1500"/>
      <c r="J84" s="1500"/>
      <c r="K84" s="1500"/>
      <c r="L84" s="1500"/>
      <c r="M84" s="1500">
        <v>0</v>
      </c>
      <c r="N84" s="1500">
        <v>0</v>
      </c>
      <c r="O84" s="1500">
        <f t="shared" si="5"/>
        <v>0</v>
      </c>
      <c r="P84" s="1500">
        <f>_xlfn.IFNA(INDEX('F7'!$M$10:$M$126,MATCH(B84,'F7'!$B$10:$B$126,0)),0)</f>
        <v>0</v>
      </c>
      <c r="Q84" s="1500">
        <f t="shared" si="6"/>
        <v>0</v>
      </c>
      <c r="R84" s="1500">
        <f t="shared" si="7"/>
        <v>0</v>
      </c>
      <c r="S84" s="1500">
        <v>0</v>
      </c>
      <c r="T84" s="1501">
        <v>0</v>
      </c>
      <c r="U84" s="1500">
        <f t="shared" si="8"/>
        <v>0</v>
      </c>
      <c r="V84" s="1500">
        <f>_xlfn.IFNA(INDEX('F7'!$R$10:$R$126,MATCH(B84,'F7'!$B$10:$B$126,0)),0)</f>
        <v>0</v>
      </c>
      <c r="W84" s="1500">
        <f t="shared" si="9"/>
        <v>0</v>
      </c>
      <c r="X84" s="1500">
        <f>U84-W84</f>
        <v>0</v>
      </c>
      <c r="Z84" s="1571">
        <v>0</v>
      </c>
    </row>
    <row r="85" spans="2:26">
      <c r="B85" s="1402" t="s">
        <v>1460</v>
      </c>
      <c r="C85" s="1065"/>
      <c r="D85" s="1065"/>
      <c r="E85" s="1065"/>
      <c r="F85" s="1065"/>
      <c r="G85" s="1500"/>
      <c r="H85" s="1500"/>
      <c r="I85" s="1500"/>
      <c r="J85" s="1500"/>
      <c r="K85" s="1500"/>
      <c r="L85" s="1500"/>
      <c r="M85" s="1500">
        <v>249.10863119999999</v>
      </c>
      <c r="N85" s="1500">
        <v>157.51805137415548</v>
      </c>
      <c r="O85" s="1500">
        <f t="shared" si="5"/>
        <v>6.3232675084505647</v>
      </c>
      <c r="P85" s="1500">
        <f>_xlfn.IFNA(INDEX('F7'!$M$10:$M$126,MATCH(B85,'F7'!$B$10:$B$126,0)),0)</f>
        <v>0</v>
      </c>
      <c r="Q85" s="1500">
        <f t="shared" si="6"/>
        <v>0</v>
      </c>
      <c r="R85" s="1500">
        <f t="shared" si="7"/>
        <v>6.3232675084505647</v>
      </c>
      <c r="S85" s="1500">
        <v>286.47492587999994</v>
      </c>
      <c r="T85" s="1501">
        <v>180.75293602397849</v>
      </c>
      <c r="U85" s="1500">
        <f t="shared" si="8"/>
        <v>6.3095552069256211</v>
      </c>
      <c r="V85" s="1500">
        <f>_xlfn.IFNA(INDEX('F7'!$R$10:$R$126,MATCH(B85,'F7'!$B$10:$B$126,0)),0)</f>
        <v>0</v>
      </c>
      <c r="W85" s="1500">
        <f t="shared" si="9"/>
        <v>0</v>
      </c>
      <c r="X85" s="1500">
        <f>U85-W85</f>
        <v>6.3095552069256211</v>
      </c>
      <c r="Z85" s="1571">
        <v>0</v>
      </c>
    </row>
    <row r="86" spans="2:26">
      <c r="B86" s="1409" t="s">
        <v>1079</v>
      </c>
      <c r="C86" s="1065"/>
      <c r="D86" s="1065"/>
      <c r="E86" s="1065"/>
      <c r="F86" s="1065"/>
      <c r="G86" s="1500"/>
      <c r="H86" s="1500"/>
      <c r="I86" s="1500"/>
      <c r="J86" s="1500"/>
      <c r="K86" s="1500"/>
      <c r="L86" s="1500"/>
      <c r="M86" s="1500">
        <v>249.10863119999999</v>
      </c>
      <c r="N86" s="1500">
        <v>157.51805137415548</v>
      </c>
      <c r="O86" s="1500">
        <f t="shared" si="5"/>
        <v>6.3232675084505647</v>
      </c>
      <c r="P86" s="1500">
        <f ca="1">_xlfn.IFNA(INDEX('F7'!$M$10:$M$126,MATCH(B86,'F7'!$B$10:$B$126,0)),0)</f>
        <v>192.20453426402511</v>
      </c>
      <c r="Q86" s="1500">
        <f t="shared" ca="1" si="6"/>
        <v>7.7156914771737197</v>
      </c>
      <c r="R86" s="1500">
        <f t="shared" ca="1" si="7"/>
        <v>-1.392423968723155</v>
      </c>
      <c r="S86" s="1500">
        <v>286.47492587999994</v>
      </c>
      <c r="T86" s="1501">
        <v>180.75293602397849</v>
      </c>
      <c r="U86" s="1500">
        <f t="shared" si="8"/>
        <v>6.3095552069256211</v>
      </c>
      <c r="V86" s="1500">
        <f ca="1">_xlfn.IFNA(INDEX('F7'!$R$10:$R$126,MATCH(B86,'F7'!$B$10:$B$126,0)),0)</f>
        <v>274.93583997903033</v>
      </c>
      <c r="W86" s="1500">
        <f t="shared" ca="1" si="9"/>
        <v>9.5972043324376966</v>
      </c>
      <c r="X86" s="1500">
        <f ca="1">U86-W86</f>
        <v>-3.2876491255120754</v>
      </c>
      <c r="Z86" s="1571">
        <v>0</v>
      </c>
    </row>
    <row r="87" spans="2:26">
      <c r="B87" s="1402" t="s">
        <v>1425</v>
      </c>
      <c r="C87" s="1065"/>
      <c r="D87" s="1065"/>
      <c r="E87" s="1065"/>
      <c r="F87" s="1065"/>
      <c r="G87" s="1500"/>
      <c r="H87" s="1500"/>
      <c r="I87" s="1500"/>
      <c r="J87" s="1500"/>
      <c r="K87" s="1500"/>
      <c r="L87" s="1500"/>
      <c r="M87" s="1500">
        <v>2657.8660202000001</v>
      </c>
      <c r="N87" s="1500">
        <v>571.80818695056303</v>
      </c>
      <c r="O87" s="1500">
        <f t="shared" si="5"/>
        <v>2.1513807791844055</v>
      </c>
      <c r="P87" s="1500">
        <f ca="1">_xlfn.IFNA(INDEX('F7'!$M$10:$M$126,MATCH(B87,'F7'!$B$10:$B$126,0)),0)</f>
        <v>9842.9708804599904</v>
      </c>
      <c r="Q87" s="1500">
        <f t="shared" ca="1" si="6"/>
        <v>37.033359867098653</v>
      </c>
      <c r="R87" s="1500">
        <f t="shared" ca="1" si="7"/>
        <v>-34.881979087914246</v>
      </c>
      <c r="S87" s="1500">
        <v>2727.4752948799996</v>
      </c>
      <c r="T87" s="1501">
        <v>602.26990775454146</v>
      </c>
      <c r="U87" s="1500">
        <f t="shared" si="8"/>
        <v>2.2081589845565932</v>
      </c>
      <c r="V87" s="1500">
        <f ca="1">_xlfn.IFNA(INDEX('F7'!$R$10:$R$126,MATCH(B87,'F7'!$B$10:$B$126,0)),0)</f>
        <v>12411.62407831255</v>
      </c>
      <c r="W87" s="1500"/>
      <c r="X87" s="1500">
        <f>U87-W87</f>
        <v>2.2081589845565932</v>
      </c>
      <c r="Z87" s="1571">
        <v>0</v>
      </c>
    </row>
    <row r="88" spans="2:26">
      <c r="B88" s="1409"/>
      <c r="C88" s="1065"/>
      <c r="D88" s="1065"/>
      <c r="E88" s="1065"/>
      <c r="F88" s="1065"/>
      <c r="G88" s="1500"/>
      <c r="H88" s="1500"/>
      <c r="I88" s="1500"/>
      <c r="J88" s="1500"/>
      <c r="K88" s="1500"/>
      <c r="L88" s="1500"/>
      <c r="M88" s="1500">
        <v>0</v>
      </c>
      <c r="N88" s="1500">
        <v>0</v>
      </c>
      <c r="O88" s="1500">
        <f t="shared" si="5"/>
        <v>0</v>
      </c>
      <c r="P88" s="1500">
        <f>_xlfn.IFNA(INDEX('F7'!$M$10:$M$126,MATCH(B88,'F7'!$B$10:$B$126,0)),0)</f>
        <v>0</v>
      </c>
      <c r="Q88" s="1500">
        <f t="shared" si="6"/>
        <v>0</v>
      </c>
      <c r="R88" s="1500">
        <f t="shared" si="7"/>
        <v>0</v>
      </c>
      <c r="S88" s="1500">
        <v>0</v>
      </c>
      <c r="T88" s="1501">
        <v>0</v>
      </c>
      <c r="U88" s="1500">
        <f t="shared" si="8"/>
        <v>0</v>
      </c>
      <c r="V88" s="1500">
        <f>_xlfn.IFNA(INDEX('F7'!$R$10:$R$126,MATCH(B88,'F7'!$B$10:$B$126,0)),0)</f>
        <v>0</v>
      </c>
      <c r="W88" s="1500">
        <f t="shared" si="9"/>
        <v>0</v>
      </c>
      <c r="X88" s="1500">
        <f>U88-W88</f>
        <v>0</v>
      </c>
      <c r="Z88" s="1571">
        <v>0</v>
      </c>
    </row>
    <row r="89" spans="2:26">
      <c r="B89" s="1402" t="s">
        <v>1081</v>
      </c>
      <c r="C89" s="1065"/>
      <c r="D89" s="1065"/>
      <c r="E89" s="1065"/>
      <c r="F89" s="1065"/>
      <c r="G89" s="1500"/>
      <c r="H89" s="1500"/>
      <c r="I89" s="1500"/>
      <c r="J89" s="1500"/>
      <c r="K89" s="1500"/>
      <c r="L89" s="1500"/>
      <c r="M89" s="1500">
        <v>0</v>
      </c>
      <c r="N89" s="1500">
        <v>0</v>
      </c>
      <c r="O89" s="1500">
        <f t="shared" si="5"/>
        <v>0</v>
      </c>
      <c r="P89" s="1500">
        <f ca="1">_xlfn.IFNA(INDEX('F7'!$M$10:$M$126,MATCH(B89,'F7'!$B$10:$B$126,0)),0)</f>
        <v>0</v>
      </c>
      <c r="Q89" s="1500">
        <f t="shared" ca="1" si="6"/>
        <v>0</v>
      </c>
      <c r="R89" s="1500">
        <f t="shared" ca="1" si="7"/>
        <v>0</v>
      </c>
      <c r="S89" s="1500">
        <v>0</v>
      </c>
      <c r="T89" s="1501">
        <v>0</v>
      </c>
      <c r="U89" s="1500">
        <f t="shared" si="8"/>
        <v>0</v>
      </c>
      <c r="V89" s="1500">
        <f ca="1">_xlfn.IFNA(INDEX('F7'!$R$10:$R$126,MATCH(B89,'F7'!$B$10:$B$126,0)),0)</f>
        <v>0</v>
      </c>
      <c r="W89" s="1500">
        <f t="shared" ca="1" si="9"/>
        <v>0</v>
      </c>
      <c r="X89" s="1500">
        <f ca="1">U89-W89</f>
        <v>0</v>
      </c>
      <c r="Z89" s="1571">
        <v>0</v>
      </c>
    </row>
    <row r="90" spans="2:26">
      <c r="B90" s="1402" t="s">
        <v>1012</v>
      </c>
      <c r="C90" s="1065"/>
      <c r="D90" s="1065"/>
      <c r="E90" s="1065"/>
      <c r="F90" s="1065"/>
      <c r="G90" s="1500"/>
      <c r="H90" s="1500"/>
      <c r="I90" s="1500"/>
      <c r="J90" s="1500"/>
      <c r="K90" s="1500"/>
      <c r="L90" s="1500"/>
      <c r="M90" s="1500">
        <v>244.82799999999997</v>
      </c>
      <c r="N90" s="1500">
        <v>207.76775837121752</v>
      </c>
      <c r="O90" s="1500">
        <f t="shared" si="5"/>
        <v>8.4862743792057103</v>
      </c>
      <c r="P90" s="1500">
        <f ca="1">_xlfn.IFNA(INDEX('F7'!$M$10:$M$126,MATCH(B90,'F7'!$B$10:$B$126,0)),0)</f>
        <v>189.22653024521347</v>
      </c>
      <c r="Q90" s="1500">
        <f t="shared" ca="1" si="6"/>
        <v>7.7289578906503129</v>
      </c>
      <c r="R90" s="1500">
        <f t="shared" ca="1" si="7"/>
        <v>0.75731648855539735</v>
      </c>
      <c r="S90" s="1500">
        <v>252.17284000000001</v>
      </c>
      <c r="T90" s="1501">
        <v>213.61036585510408</v>
      </c>
      <c r="U90" s="1500">
        <f t="shared" si="8"/>
        <v>8.4707919320377272</v>
      </c>
      <c r="V90" s="1500">
        <f ca="1">_xlfn.IFNA(INDEX('F7'!$R$10:$R$126,MATCH(B90,'F7'!$B$10:$B$126,0)),0)</f>
        <v>242.01542725711175</v>
      </c>
      <c r="W90" s="1500">
        <f t="shared" ca="1" si="9"/>
        <v>9.5972043324376948</v>
      </c>
      <c r="X90" s="1500">
        <f ca="1">U90-W90</f>
        <v>-1.1264124003999676</v>
      </c>
      <c r="Z90" s="1571">
        <v>0</v>
      </c>
    </row>
    <row r="91" spans="2:26">
      <c r="B91" s="1406" t="s">
        <v>1426</v>
      </c>
      <c r="C91" s="1065"/>
      <c r="D91" s="1065"/>
      <c r="E91" s="1065"/>
      <c r="F91" s="1065"/>
      <c r="G91" s="1500"/>
      <c r="H91" s="1500"/>
      <c r="I91" s="1500"/>
      <c r="J91" s="1500"/>
      <c r="K91" s="1500"/>
      <c r="L91" s="1500"/>
      <c r="M91" s="1500">
        <v>139.00379408376531</v>
      </c>
      <c r="N91" s="1500">
        <v>130.06336929823539</v>
      </c>
      <c r="O91" s="1500">
        <f t="shared" si="5"/>
        <v>9.3568215281848826</v>
      </c>
      <c r="P91" s="1500">
        <f>_xlfn.IFNA(INDEX('F7'!$M$10:$M$126,MATCH(B91,'F7'!$B$10:$B$126,0)),0)</f>
        <v>0</v>
      </c>
      <c r="Q91" s="1500">
        <f t="shared" si="6"/>
        <v>0</v>
      </c>
      <c r="R91" s="1500">
        <f t="shared" si="7"/>
        <v>9.3568215281848826</v>
      </c>
      <c r="S91" s="1500">
        <v>143.17390790627829</v>
      </c>
      <c r="T91" s="1501">
        <v>133.60506085137973</v>
      </c>
      <c r="U91" s="1500">
        <f t="shared" si="8"/>
        <v>9.331662647557101</v>
      </c>
      <c r="V91" s="1500">
        <f>_xlfn.IFNA(INDEX('F7'!$R$10:$R$126,MATCH(B91,'F7'!$B$10:$B$126,0)),0)</f>
        <v>0</v>
      </c>
      <c r="W91" s="1500">
        <f t="shared" si="9"/>
        <v>0</v>
      </c>
      <c r="X91" s="1500">
        <f>U91-W91</f>
        <v>9.331662647557101</v>
      </c>
      <c r="Z91" s="1571">
        <v>0</v>
      </c>
    </row>
    <row r="92" spans="2:26">
      <c r="B92" s="1406" t="s">
        <v>1427</v>
      </c>
      <c r="C92" s="1065"/>
      <c r="D92" s="1065"/>
      <c r="E92" s="1065"/>
      <c r="F92" s="1065"/>
      <c r="G92" s="1500"/>
      <c r="H92" s="1500"/>
      <c r="I92" s="1500"/>
      <c r="J92" s="1500"/>
      <c r="K92" s="1500"/>
      <c r="L92" s="1500"/>
      <c r="M92" s="1500">
        <v>57.585544124508132</v>
      </c>
      <c r="N92" s="1500">
        <v>41.073529783466377</v>
      </c>
      <c r="O92" s="1500">
        <f t="shared" si="5"/>
        <v>7.1326112148318979</v>
      </c>
      <c r="P92" s="1500">
        <f>_xlfn.IFNA(INDEX('F7'!$M$10:$M$126,MATCH(B92,'F7'!$B$10:$B$126,0)),0)</f>
        <v>0</v>
      </c>
      <c r="Q92" s="1500">
        <f t="shared" si="6"/>
        <v>0</v>
      </c>
      <c r="R92" s="1500">
        <f t="shared" si="7"/>
        <v>7.1326112148318979</v>
      </c>
      <c r="S92" s="1500">
        <v>59.313110448243378</v>
      </c>
      <c r="T92" s="1501">
        <v>42.289255827913252</v>
      </c>
      <c r="U92" s="1500">
        <f t="shared" si="8"/>
        <v>7.1298327651885431</v>
      </c>
      <c r="V92" s="1500">
        <f>_xlfn.IFNA(INDEX('F7'!$R$10:$R$126,MATCH(B92,'F7'!$B$10:$B$126,0)),0)</f>
        <v>0</v>
      </c>
      <c r="W92" s="1500">
        <f t="shared" si="9"/>
        <v>0</v>
      </c>
      <c r="X92" s="1500">
        <f>U92-W92</f>
        <v>7.1298327651885431</v>
      </c>
      <c r="Z92" s="1571">
        <v>0</v>
      </c>
    </row>
    <row r="93" spans="2:26">
      <c r="B93" s="1406" t="s">
        <v>1428</v>
      </c>
      <c r="C93" s="1065"/>
      <c r="D93" s="1065"/>
      <c r="E93" s="1065"/>
      <c r="F93" s="1065"/>
      <c r="G93" s="1500"/>
      <c r="H93" s="1500"/>
      <c r="I93" s="1500"/>
      <c r="J93" s="1500"/>
      <c r="K93" s="1500"/>
      <c r="L93" s="1500"/>
      <c r="M93" s="1500">
        <v>48.23866179172655</v>
      </c>
      <c r="N93" s="1500">
        <v>36.630859289515776</v>
      </c>
      <c r="O93" s="1500">
        <f t="shared" si="5"/>
        <v>7.5936723633984311</v>
      </c>
      <c r="P93" s="1500">
        <f>_xlfn.IFNA(INDEX('F7'!$M$10:$M$126,MATCH(B93,'F7'!$B$10:$B$126,0)),0)</f>
        <v>0</v>
      </c>
      <c r="Q93" s="1500">
        <f t="shared" si="6"/>
        <v>0</v>
      </c>
      <c r="R93" s="1500">
        <f t="shared" si="7"/>
        <v>7.5936723633984311</v>
      </c>
      <c r="S93" s="1500">
        <v>49.685821645478349</v>
      </c>
      <c r="T93" s="1501">
        <v>37.716049175811094</v>
      </c>
      <c r="U93" s="1500">
        <f t="shared" si="8"/>
        <v>7.5909078136868127</v>
      </c>
      <c r="V93" s="1500">
        <f>_xlfn.IFNA(INDEX('F7'!$R$10:$R$126,MATCH(B93,'F7'!$B$10:$B$126,0)),0)</f>
        <v>0</v>
      </c>
      <c r="W93" s="1500">
        <f t="shared" si="9"/>
        <v>0</v>
      </c>
      <c r="X93" s="1500">
        <f>U93-W93</f>
        <v>7.5909078136868127</v>
      </c>
      <c r="Z93" s="1571">
        <v>0</v>
      </c>
    </row>
    <row r="94" spans="2:26">
      <c r="B94" s="1402" t="s">
        <v>1011</v>
      </c>
      <c r="C94" s="1065"/>
      <c r="D94" s="1065"/>
      <c r="E94" s="1065"/>
      <c r="F94" s="1065"/>
      <c r="G94" s="1500"/>
      <c r="H94" s="1500"/>
      <c r="I94" s="1500"/>
      <c r="J94" s="1500"/>
      <c r="K94" s="1500"/>
      <c r="L94" s="1500"/>
      <c r="M94" s="1500">
        <v>327.15733333333333</v>
      </c>
      <c r="N94" s="1500">
        <v>298.95003760828627</v>
      </c>
      <c r="O94" s="1500">
        <f t="shared" si="5"/>
        <v>9.1378064053264776</v>
      </c>
      <c r="P94" s="1500">
        <f ca="1">_xlfn.IFNA(INDEX('F7'!$M$10:$M$126,MATCH(B94,'F7'!$B$10:$B$126,0)),0)</f>
        <v>252.34328384927932</v>
      </c>
      <c r="Q94" s="1500">
        <f t="shared" ca="1" si="6"/>
        <v>7.7132088490332684</v>
      </c>
      <c r="R94" s="1500">
        <f t="shared" ca="1" si="7"/>
        <v>1.4245975562932092</v>
      </c>
      <c r="S94" s="1500">
        <v>343.51519999999999</v>
      </c>
      <c r="T94" s="1501">
        <v>313.15677059370063</v>
      </c>
      <c r="U94" s="1500">
        <f t="shared" si="8"/>
        <v>9.1162420351035607</v>
      </c>
      <c r="V94" s="1500">
        <f ca="1">_xlfn.IFNA(INDEX('F7'!$R$10:$R$126,MATCH(B94,'F7'!$B$10:$B$126,0)),0)</f>
        <v>329.6785565698201</v>
      </c>
      <c r="W94" s="1500">
        <f t="shared" ca="1" si="9"/>
        <v>9.5972043324376948</v>
      </c>
      <c r="X94" s="1500">
        <f ca="1">U94-W94</f>
        <v>-0.48096229733413409</v>
      </c>
      <c r="Z94" s="1571">
        <v>0</v>
      </c>
    </row>
    <row r="95" spans="2:26">
      <c r="B95" s="1402" t="s">
        <v>1013</v>
      </c>
      <c r="C95" s="1065"/>
      <c r="D95" s="1065"/>
      <c r="E95" s="1065"/>
      <c r="F95" s="1065"/>
      <c r="G95" s="1500"/>
      <c r="H95" s="1500"/>
      <c r="I95" s="1500"/>
      <c r="J95" s="1500"/>
      <c r="K95" s="1500"/>
      <c r="L95" s="1500"/>
      <c r="M95" s="1500">
        <v>163.57866666666666</v>
      </c>
      <c r="N95" s="1500">
        <v>174.14765500265818</v>
      </c>
      <c r="O95" s="1500">
        <f t="shared" si="5"/>
        <v>10.646110434285941</v>
      </c>
      <c r="P95" s="1500">
        <f>_xlfn.IFNA(INDEX('F7'!$M$10:$M$126,MATCH(B95,'F7'!$B$10:$B$126,0)),0)</f>
        <v>0</v>
      </c>
      <c r="Q95" s="1500">
        <f t="shared" si="6"/>
        <v>0</v>
      </c>
      <c r="R95" s="1500">
        <f t="shared" si="7"/>
        <v>10.646110434285941</v>
      </c>
      <c r="S95" s="1500">
        <v>171.7576</v>
      </c>
      <c r="T95" s="1501">
        <v>182.1142688577911</v>
      </c>
      <c r="U95" s="1500">
        <f t="shared" si="8"/>
        <v>10.602981693840103</v>
      </c>
      <c r="V95" s="1500">
        <f>_xlfn.IFNA(INDEX('F7'!$R$10:$R$126,MATCH(B95,'F7'!$B$10:$B$126,0)),0)</f>
        <v>0</v>
      </c>
      <c r="W95" s="1500">
        <f t="shared" si="9"/>
        <v>0</v>
      </c>
      <c r="X95" s="1500">
        <f>U95-W95</f>
        <v>10.602981693840103</v>
      </c>
      <c r="Z95" s="1571">
        <v>0</v>
      </c>
    </row>
    <row r="96" spans="2:26">
      <c r="B96" s="1410" t="s">
        <v>1426</v>
      </c>
      <c r="C96" s="1065"/>
      <c r="D96" s="1065"/>
      <c r="E96" s="1065"/>
      <c r="F96" s="1065"/>
      <c r="G96" s="1500"/>
      <c r="H96" s="1500"/>
      <c r="I96" s="1500"/>
      <c r="J96" s="1500"/>
      <c r="K96" s="1500"/>
      <c r="L96" s="1500"/>
      <c r="M96" s="1500">
        <v>55.386437040456919</v>
      </c>
      <c r="N96" s="1500">
        <v>75.390114633541785</v>
      </c>
      <c r="O96" s="1500">
        <f t="shared" si="5"/>
        <v>13.611656329955512</v>
      </c>
      <c r="P96" s="1500">
        <f>_xlfn.IFNA(INDEX('F7'!$M$10:$M$126,MATCH(B96,'F7'!$B$10:$B$126,0)),0)</f>
        <v>0</v>
      </c>
      <c r="Q96" s="1500">
        <f t="shared" si="6"/>
        <v>0</v>
      </c>
      <c r="R96" s="1500">
        <f t="shared" si="7"/>
        <v>13.611656329955512</v>
      </c>
      <c r="S96" s="1500">
        <v>58.155758892479767</v>
      </c>
      <c r="T96" s="1501">
        <v>78.642016940323302</v>
      </c>
      <c r="U96" s="1500">
        <f t="shared" si="8"/>
        <v>13.522653377409997</v>
      </c>
      <c r="V96" s="1500">
        <f>_xlfn.IFNA(INDEX('F7'!$R$10:$R$126,MATCH(B96,'F7'!$B$10:$B$126,0)),0)</f>
        <v>0</v>
      </c>
      <c r="W96" s="1500">
        <f t="shared" si="9"/>
        <v>0</v>
      </c>
      <c r="X96" s="1500">
        <f>U96-W96</f>
        <v>13.522653377409997</v>
      </c>
      <c r="Z96" s="1571">
        <v>0</v>
      </c>
    </row>
    <row r="97" spans="2:26">
      <c r="B97" s="1406" t="s">
        <v>1430</v>
      </c>
      <c r="C97" s="1065"/>
      <c r="D97" s="1065"/>
      <c r="E97" s="1065"/>
      <c r="F97" s="1065"/>
      <c r="G97" s="1500"/>
      <c r="H97" s="1500"/>
      <c r="I97" s="1500"/>
      <c r="J97" s="1500"/>
      <c r="K97" s="1500"/>
      <c r="L97" s="1500"/>
      <c r="M97" s="1500">
        <v>10.86082843284728</v>
      </c>
      <c r="N97" s="1500">
        <v>13.573329831710421</v>
      </c>
      <c r="O97" s="1500">
        <f t="shared" si="5"/>
        <v>12.497508744967838</v>
      </c>
      <c r="P97" s="1500">
        <f>_xlfn.IFNA(INDEX('F7'!$M$10:$M$126,MATCH(B97,'F7'!$B$10:$B$126,0)),0)</f>
        <v>0</v>
      </c>
      <c r="Q97" s="1500">
        <f t="shared" si="6"/>
        <v>0</v>
      </c>
      <c r="R97" s="1500">
        <f t="shared" si="7"/>
        <v>12.497508744967838</v>
      </c>
      <c r="S97" s="1500">
        <v>11.403869854489644</v>
      </c>
      <c r="T97" s="1501">
        <v>14.150498514546507</v>
      </c>
      <c r="U97" s="1500">
        <f t="shared" si="8"/>
        <v>12.408505792422325</v>
      </c>
      <c r="V97" s="1500">
        <f>_xlfn.IFNA(INDEX('F7'!$R$10:$R$126,MATCH(B97,'F7'!$B$10:$B$126,0)),0)</f>
        <v>0</v>
      </c>
      <c r="W97" s="1500">
        <f t="shared" si="9"/>
        <v>0</v>
      </c>
      <c r="X97" s="1500">
        <f>U97-W97</f>
        <v>12.408505792422325</v>
      </c>
      <c r="Z97" s="1571">
        <v>0</v>
      </c>
    </row>
    <row r="98" spans="2:26">
      <c r="B98" s="1406" t="s">
        <v>1431</v>
      </c>
      <c r="C98" s="1065"/>
      <c r="D98" s="1065"/>
      <c r="E98" s="1065"/>
      <c r="F98" s="1065"/>
      <c r="G98" s="1500"/>
      <c r="H98" s="1500"/>
      <c r="I98" s="1500"/>
      <c r="J98" s="1500"/>
      <c r="K98" s="1500"/>
      <c r="L98" s="1500"/>
      <c r="M98" s="1500">
        <v>23.423804223013555</v>
      </c>
      <c r="N98" s="1500">
        <v>31.838826374172626</v>
      </c>
      <c r="O98" s="1500">
        <f t="shared" si="5"/>
        <v>13.592508744967835</v>
      </c>
      <c r="P98" s="1500">
        <f>_xlfn.IFNA(INDEX('F7'!$M$10:$M$126,MATCH(B98,'F7'!$B$10:$B$126,0)),0)</f>
        <v>0</v>
      </c>
      <c r="Q98" s="1500">
        <f t="shared" si="6"/>
        <v>0</v>
      </c>
      <c r="R98" s="1500">
        <f t="shared" si="7"/>
        <v>13.592508744967835</v>
      </c>
      <c r="S98" s="1500">
        <v>24.594994434164231</v>
      </c>
      <c r="T98" s="1501">
        <v>33.211864980633152</v>
      </c>
      <c r="U98" s="1500">
        <f t="shared" si="8"/>
        <v>13.503505792422324</v>
      </c>
      <c r="V98" s="1500">
        <f>_xlfn.IFNA(INDEX('F7'!$R$10:$R$126,MATCH(B98,'F7'!$B$10:$B$126,0)),0)</f>
        <v>0</v>
      </c>
      <c r="W98" s="1500">
        <f t="shared" si="9"/>
        <v>0</v>
      </c>
      <c r="X98" s="1500">
        <f>U98-W98</f>
        <v>13.503505792422324</v>
      </c>
      <c r="Z98" s="1571">
        <v>0</v>
      </c>
    </row>
    <row r="99" spans="2:26">
      <c r="B99" s="1406" t="s">
        <v>1432</v>
      </c>
      <c r="C99" s="1065"/>
      <c r="D99" s="1065"/>
      <c r="E99" s="1065"/>
      <c r="F99" s="1065"/>
      <c r="G99" s="1500"/>
      <c r="H99" s="1500"/>
      <c r="I99" s="1500"/>
      <c r="J99" s="1500"/>
      <c r="K99" s="1500"/>
      <c r="L99" s="1500"/>
      <c r="M99" s="1500">
        <v>11.829336661520037</v>
      </c>
      <c r="N99" s="1500">
        <v>17.374348566324418</v>
      </c>
      <c r="O99" s="1500">
        <f t="shared" si="5"/>
        <v>14.687508744967836</v>
      </c>
      <c r="P99" s="1500">
        <f>_xlfn.IFNA(INDEX('F7'!$M$10:$M$126,MATCH(B99,'F7'!$B$10:$B$126,0)),0)</f>
        <v>0</v>
      </c>
      <c r="Q99" s="1500">
        <f t="shared" si="6"/>
        <v>0</v>
      </c>
      <c r="R99" s="1500">
        <f t="shared" si="7"/>
        <v>14.687508744967836</v>
      </c>
      <c r="S99" s="1500">
        <v>12.420803494596038</v>
      </c>
      <c r="T99" s="1501">
        <v>18.132517176239972</v>
      </c>
      <c r="U99" s="1500">
        <f t="shared" si="8"/>
        <v>14.598505792422324</v>
      </c>
      <c r="V99" s="1500">
        <f>_xlfn.IFNA(INDEX('F7'!$R$10:$R$126,MATCH(B99,'F7'!$B$10:$B$126,0)),0)</f>
        <v>0</v>
      </c>
      <c r="W99" s="1500">
        <f t="shared" si="9"/>
        <v>0</v>
      </c>
      <c r="X99" s="1500">
        <f>U99-W99</f>
        <v>14.598505792422324</v>
      </c>
      <c r="Z99" s="1571">
        <v>0</v>
      </c>
    </row>
    <row r="100" spans="2:26">
      <c r="B100" s="1406" t="s">
        <v>1433</v>
      </c>
      <c r="C100" s="1065"/>
      <c r="D100" s="1065"/>
      <c r="E100" s="1065"/>
      <c r="F100" s="1065"/>
      <c r="G100" s="1500"/>
      <c r="H100" s="1500"/>
      <c r="I100" s="1500"/>
      <c r="J100" s="1500"/>
      <c r="K100" s="1500"/>
      <c r="L100" s="1500"/>
      <c r="M100" s="1500">
        <v>9.2724677230760495</v>
      </c>
      <c r="N100" s="1500">
        <v>12.603609861334322</v>
      </c>
      <c r="O100" s="1500">
        <f t="shared" si="5"/>
        <v>13.592508744967837</v>
      </c>
      <c r="P100" s="1500">
        <f>_xlfn.IFNA(INDEX('F7'!$M$10:$M$126,MATCH(B100,'F7'!$B$10:$B$126,0)),0)</f>
        <v>0</v>
      </c>
      <c r="Q100" s="1500">
        <f t="shared" si="6"/>
        <v>0</v>
      </c>
      <c r="R100" s="1500">
        <f t="shared" si="7"/>
        <v>13.592508744967837</v>
      </c>
      <c r="S100" s="1500">
        <v>9.7360911092298537</v>
      </c>
      <c r="T100" s="1501">
        <v>13.147136268903681</v>
      </c>
      <c r="U100" s="1500">
        <f t="shared" si="8"/>
        <v>13.503505792422324</v>
      </c>
      <c r="V100" s="1500">
        <f>_xlfn.IFNA(INDEX('F7'!$R$10:$R$126,MATCH(B100,'F7'!$B$10:$B$126,0)),0)</f>
        <v>0</v>
      </c>
      <c r="W100" s="1500">
        <f t="shared" si="9"/>
        <v>0</v>
      </c>
      <c r="X100" s="1500">
        <f>U100-W100</f>
        <v>13.503505792422324</v>
      </c>
      <c r="Z100" s="1571">
        <v>0</v>
      </c>
    </row>
    <row r="101" spans="2:26">
      <c r="B101" s="1410" t="s">
        <v>1427</v>
      </c>
      <c r="C101" s="1065"/>
      <c r="D101" s="1065"/>
      <c r="E101" s="1065"/>
      <c r="F101" s="1065"/>
      <c r="G101" s="1500"/>
      <c r="H101" s="1500"/>
      <c r="I101" s="1500"/>
      <c r="J101" s="1500"/>
      <c r="K101" s="1500"/>
      <c r="L101" s="1500"/>
      <c r="M101" s="1500">
        <v>39.196888787581116</v>
      </c>
      <c r="N101" s="1500">
        <v>35.929846356351206</v>
      </c>
      <c r="O101" s="1500">
        <f t="shared" si="5"/>
        <v>9.1665046557815018</v>
      </c>
      <c r="P101" s="1500">
        <f>_xlfn.IFNA(INDEX('F7'!$M$10:$M$126,MATCH(B101,'F7'!$B$10:$B$126,0)),0)</f>
        <v>0</v>
      </c>
      <c r="Q101" s="1500">
        <f t="shared" si="6"/>
        <v>0</v>
      </c>
      <c r="R101" s="1500">
        <f t="shared" si="7"/>
        <v>9.1665046557815018</v>
      </c>
      <c r="S101" s="1500">
        <v>41.156733226960164</v>
      </c>
      <c r="T101" s="1501">
        <v>37.624634694562857</v>
      </c>
      <c r="U101" s="1500">
        <f t="shared" si="8"/>
        <v>9.1417932728238096</v>
      </c>
      <c r="V101" s="1500">
        <f>_xlfn.IFNA(INDEX('F7'!$R$10:$R$126,MATCH(B101,'F7'!$B$10:$B$126,0)),0)</f>
        <v>0</v>
      </c>
      <c r="W101" s="1500">
        <f t="shared" si="9"/>
        <v>0</v>
      </c>
      <c r="X101" s="1500">
        <f>U101-W101</f>
        <v>9.1417932728238096</v>
      </c>
      <c r="Z101" s="1571">
        <v>0</v>
      </c>
    </row>
    <row r="102" spans="2:26">
      <c r="B102" s="1406" t="s">
        <v>1430</v>
      </c>
      <c r="C102" s="1065"/>
      <c r="D102" s="1065"/>
      <c r="E102" s="1065"/>
      <c r="F102" s="1065"/>
      <c r="G102" s="1500"/>
      <c r="H102" s="1500"/>
      <c r="I102" s="1500"/>
      <c r="J102" s="1500"/>
      <c r="K102" s="1500"/>
      <c r="L102" s="1500"/>
      <c r="M102" s="1500">
        <v>7.6861901030455195</v>
      </c>
      <c r="N102" s="1500">
        <v>6.1774638317682156</v>
      </c>
      <c r="O102" s="1500">
        <f t="shared" si="5"/>
        <v>8.0370947751090664</v>
      </c>
      <c r="P102" s="1500">
        <f>_xlfn.IFNA(INDEX('F7'!$M$10:$M$126,MATCH(B102,'F7'!$B$10:$B$126,0)),0)</f>
        <v>0</v>
      </c>
      <c r="Q102" s="1500">
        <f t="shared" si="6"/>
        <v>0</v>
      </c>
      <c r="R102" s="1500">
        <f t="shared" si="7"/>
        <v>8.0370947751090664</v>
      </c>
      <c r="S102" s="1500">
        <v>8.0704996081977942</v>
      </c>
      <c r="T102" s="1501">
        <v>6.4663937027088139</v>
      </c>
      <c r="U102" s="1500">
        <f t="shared" si="8"/>
        <v>8.012383392151369</v>
      </c>
      <c r="V102" s="1500">
        <f>_xlfn.IFNA(INDEX('F7'!$R$10:$R$126,MATCH(B102,'F7'!$B$10:$B$126,0)),0)</f>
        <v>0</v>
      </c>
      <c r="W102" s="1500">
        <f t="shared" si="9"/>
        <v>0</v>
      </c>
      <c r="X102" s="1500">
        <f>U102-W102</f>
        <v>8.012383392151369</v>
      </c>
      <c r="Z102" s="1571">
        <v>0</v>
      </c>
    </row>
    <row r="103" spans="2:26">
      <c r="B103" s="1406" t="s">
        <v>1431</v>
      </c>
      <c r="C103" s="1065"/>
      <c r="D103" s="1065"/>
      <c r="E103" s="1065"/>
      <c r="F103" s="1065"/>
      <c r="G103" s="1500"/>
      <c r="H103" s="1500"/>
      <c r="I103" s="1500"/>
      <c r="J103" s="1500"/>
      <c r="K103" s="1500"/>
      <c r="L103" s="1500"/>
      <c r="M103" s="1500">
        <v>16.576987041807389</v>
      </c>
      <c r="N103" s="1500">
        <v>15.163127155716705</v>
      </c>
      <c r="O103" s="1500">
        <f t="shared" si="5"/>
        <v>9.1470947751090659</v>
      </c>
      <c r="P103" s="1500">
        <f>_xlfn.IFNA(INDEX('F7'!$M$10:$M$126,MATCH(B103,'F7'!$B$10:$B$126,0)),0)</f>
        <v>0</v>
      </c>
      <c r="Q103" s="1500">
        <f t="shared" si="6"/>
        <v>0</v>
      </c>
      <c r="R103" s="1500">
        <f t="shared" si="7"/>
        <v>9.1470947751090659</v>
      </c>
      <c r="S103" s="1500">
        <v>17.405836393897758</v>
      </c>
      <c r="T103" s="1501">
        <v>15.878271284619681</v>
      </c>
      <c r="U103" s="1500">
        <f t="shared" si="8"/>
        <v>9.1223833921513702</v>
      </c>
      <c r="V103" s="1500">
        <f>_xlfn.IFNA(INDEX('F7'!$R$10:$R$126,MATCH(B103,'F7'!$B$10:$B$126,0)),0)</f>
        <v>0</v>
      </c>
      <c r="W103" s="1500">
        <f t="shared" si="9"/>
        <v>0</v>
      </c>
      <c r="X103" s="1500">
        <f>U103-W103</f>
        <v>9.1223833921513702</v>
      </c>
      <c r="Z103" s="1571">
        <v>0</v>
      </c>
    </row>
    <row r="104" spans="2:26">
      <c r="B104" s="1406" t="s">
        <v>1432</v>
      </c>
      <c r="C104" s="1065"/>
      <c r="D104" s="1065"/>
      <c r="E104" s="1065"/>
      <c r="F104" s="1065"/>
      <c r="G104" s="1500"/>
      <c r="H104" s="1500"/>
      <c r="I104" s="1500"/>
      <c r="J104" s="1500"/>
      <c r="K104" s="1500"/>
      <c r="L104" s="1500"/>
      <c r="M104" s="1500">
        <v>8.3716017553858499</v>
      </c>
      <c r="N104" s="1500">
        <v>8.5868312624462071</v>
      </c>
      <c r="O104" s="1500">
        <f t="shared" si="5"/>
        <v>10.257094775109064</v>
      </c>
      <c r="P104" s="1500">
        <f>_xlfn.IFNA(INDEX('F7'!$M$10:$M$126,MATCH(B104,'F7'!$B$10:$B$126,0)),0)</f>
        <v>0</v>
      </c>
      <c r="Q104" s="1500">
        <f t="shared" si="6"/>
        <v>0</v>
      </c>
      <c r="R104" s="1500">
        <f t="shared" si="7"/>
        <v>10.257094775109064</v>
      </c>
      <c r="S104" s="1500">
        <v>8.7901818431551408</v>
      </c>
      <c r="T104" s="1501">
        <v>8.9944510705891183</v>
      </c>
      <c r="U104" s="1500">
        <f t="shared" si="8"/>
        <v>10.23238339215137</v>
      </c>
      <c r="V104" s="1500">
        <f>_xlfn.IFNA(INDEX('F7'!$R$10:$R$126,MATCH(B104,'F7'!$B$10:$B$126,0)),0)</f>
        <v>0</v>
      </c>
      <c r="W104" s="1500">
        <f t="shared" si="9"/>
        <v>0</v>
      </c>
      <c r="X104" s="1500">
        <f>U104-W104</f>
        <v>10.23238339215137</v>
      </c>
      <c r="Z104" s="1571">
        <v>0</v>
      </c>
    </row>
    <row r="105" spans="2:26">
      <c r="B105" s="1406" t="s">
        <v>1433</v>
      </c>
      <c r="C105" s="1065"/>
      <c r="D105" s="1065"/>
      <c r="E105" s="1065"/>
      <c r="F105" s="1065"/>
      <c r="G105" s="1500"/>
      <c r="H105" s="1500"/>
      <c r="I105" s="1500"/>
      <c r="J105" s="1500"/>
      <c r="K105" s="1500"/>
      <c r="L105" s="1500"/>
      <c r="M105" s="1500">
        <v>6.5621098873423591</v>
      </c>
      <c r="N105" s="1500">
        <v>6.0024241064200829</v>
      </c>
      <c r="O105" s="1500">
        <f t="shared" si="5"/>
        <v>9.1470947751090641</v>
      </c>
      <c r="P105" s="1500">
        <f>_xlfn.IFNA(INDEX('F7'!$M$10:$M$126,MATCH(B105,'F7'!$B$10:$B$126,0)),0)</f>
        <v>0</v>
      </c>
      <c r="Q105" s="1500">
        <f t="shared" si="6"/>
        <v>0</v>
      </c>
      <c r="R105" s="1500">
        <f t="shared" si="7"/>
        <v>9.1470947751090641</v>
      </c>
      <c r="S105" s="1500">
        <v>6.8902153817094769</v>
      </c>
      <c r="T105" s="1501">
        <v>6.2855186366452447</v>
      </c>
      <c r="U105" s="1500">
        <f t="shared" si="8"/>
        <v>9.1223833921513702</v>
      </c>
      <c r="V105" s="1500">
        <f>_xlfn.IFNA(INDEX('F7'!$R$10:$R$126,MATCH(B105,'F7'!$B$10:$B$126,0)),0)</f>
        <v>0</v>
      </c>
      <c r="W105" s="1500">
        <f t="shared" si="9"/>
        <v>0</v>
      </c>
      <c r="X105" s="1500">
        <f>U105-W105</f>
        <v>9.1223833921513702</v>
      </c>
      <c r="Z105" s="1571">
        <v>0</v>
      </c>
    </row>
    <row r="106" spans="2:26">
      <c r="B106" s="1410" t="s">
        <v>1428</v>
      </c>
      <c r="C106" s="1065"/>
      <c r="D106" s="1065"/>
      <c r="E106" s="1065"/>
      <c r="F106" s="1065"/>
      <c r="G106" s="1500"/>
      <c r="H106" s="1500"/>
      <c r="I106" s="1500"/>
      <c r="J106" s="1500"/>
      <c r="K106" s="1500"/>
      <c r="L106" s="1500"/>
      <c r="M106" s="1500">
        <v>68.995340838628621</v>
      </c>
      <c r="N106" s="1500">
        <v>62.827694012765193</v>
      </c>
      <c r="O106" s="1500">
        <f t="shared" si="5"/>
        <v>9.1060777799056343</v>
      </c>
      <c r="P106" s="1500">
        <f>_xlfn.IFNA(INDEX('F7'!$M$10:$M$126,MATCH(B106,'F7'!$B$10:$B$126,0)),0)</f>
        <v>0</v>
      </c>
      <c r="Q106" s="1500">
        <f t="shared" si="6"/>
        <v>0</v>
      </c>
      <c r="R106" s="1500">
        <f t="shared" si="7"/>
        <v>9.1060777799056343</v>
      </c>
      <c r="S106" s="1500">
        <v>72.445107880560073</v>
      </c>
      <c r="T106" s="1501">
        <v>65.847617222904944</v>
      </c>
      <c r="U106" s="1500">
        <f t="shared" si="8"/>
        <v>9.0893117767824467</v>
      </c>
      <c r="V106" s="1500">
        <f>_xlfn.IFNA(INDEX('F7'!$R$10:$R$126,MATCH(B106,'F7'!$B$10:$B$126,0)),0)</f>
        <v>0</v>
      </c>
      <c r="W106" s="1500">
        <f t="shared" si="9"/>
        <v>0</v>
      </c>
      <c r="X106" s="1500">
        <f>U106-W106</f>
        <v>9.0893117767824467</v>
      </c>
      <c r="Z106" s="1571">
        <v>0</v>
      </c>
    </row>
    <row r="107" spans="2:26">
      <c r="B107" s="1406" t="s">
        <v>1430</v>
      </c>
      <c r="C107" s="1065"/>
      <c r="D107" s="1065"/>
      <c r="E107" s="1065"/>
      <c r="F107" s="1065"/>
      <c r="G107" s="1500"/>
      <c r="H107" s="1500"/>
      <c r="I107" s="1500"/>
      <c r="J107" s="1500"/>
      <c r="K107" s="1500"/>
      <c r="L107" s="1500"/>
      <c r="M107" s="1500">
        <v>13.529423439294497</v>
      </c>
      <c r="N107" s="1500">
        <v>10.688726733847925</v>
      </c>
      <c r="O107" s="1500">
        <f t="shared" si="5"/>
        <v>7.9003564208093833</v>
      </c>
      <c r="P107" s="1500">
        <f>_xlfn.IFNA(INDEX('F7'!$M$10:$M$126,MATCH(B107,'F7'!$B$10:$B$126,0)),0)</f>
        <v>0</v>
      </c>
      <c r="Q107" s="1500">
        <f t="shared" si="6"/>
        <v>0</v>
      </c>
      <c r="R107" s="1500">
        <f t="shared" si="7"/>
        <v>7.9003564208093833</v>
      </c>
      <c r="S107" s="1500">
        <v>14.205894611259223</v>
      </c>
      <c r="T107" s="1501">
        <v>11.199345463198316</v>
      </c>
      <c r="U107" s="1500">
        <f t="shared" si="8"/>
        <v>7.8835904176861948</v>
      </c>
      <c r="V107" s="1500">
        <f>_xlfn.IFNA(INDEX('F7'!$R$10:$R$126,MATCH(B107,'F7'!$B$10:$B$126,0)),0)</f>
        <v>0</v>
      </c>
      <c r="W107" s="1500">
        <f t="shared" si="9"/>
        <v>0</v>
      </c>
      <c r="X107" s="1500">
        <f>U107-W107</f>
        <v>7.8835904176861948</v>
      </c>
      <c r="Z107" s="1571">
        <v>0</v>
      </c>
    </row>
    <row r="108" spans="2:26">
      <c r="B108" s="1406" t="s">
        <v>1431</v>
      </c>
      <c r="C108" s="1065"/>
      <c r="D108" s="1065"/>
      <c r="E108" s="1065"/>
      <c r="F108" s="1065"/>
      <c r="G108" s="1500"/>
      <c r="H108" s="1500"/>
      <c r="I108" s="1500"/>
      <c r="J108" s="1500"/>
      <c r="K108" s="1500"/>
      <c r="L108" s="1500"/>
      <c r="M108" s="1500">
        <v>29.179225862165985</v>
      </c>
      <c r="N108" s="1500">
        <v>26.510366704107696</v>
      </c>
      <c r="O108" s="1500">
        <f t="shared" si="5"/>
        <v>9.0853564208093847</v>
      </c>
      <c r="P108" s="1500">
        <f>_xlfn.IFNA(INDEX('F7'!$M$10:$M$126,MATCH(B108,'F7'!$B$10:$B$126,0)),0)</f>
        <v>0</v>
      </c>
      <c r="Q108" s="1500">
        <f t="shared" si="6"/>
        <v>0</v>
      </c>
      <c r="R108" s="1500">
        <f t="shared" si="7"/>
        <v>9.0853564208093847</v>
      </c>
      <c r="S108" s="1500">
        <v>30.638187155274288</v>
      </c>
      <c r="T108" s="1501">
        <v>27.784517045159667</v>
      </c>
      <c r="U108" s="1500">
        <f t="shared" si="8"/>
        <v>9.0685904176861953</v>
      </c>
      <c r="V108" s="1500">
        <f>_xlfn.IFNA(INDEX('F7'!$R$10:$R$126,MATCH(B108,'F7'!$B$10:$B$126,0)),0)</f>
        <v>0</v>
      </c>
      <c r="W108" s="1500">
        <f t="shared" si="9"/>
        <v>0</v>
      </c>
      <c r="X108" s="1500">
        <f>U108-W108</f>
        <v>9.0685904176861953</v>
      </c>
      <c r="Z108" s="1571">
        <v>0</v>
      </c>
    </row>
    <row r="109" spans="2:26">
      <c r="B109" s="1406" t="s">
        <v>1432</v>
      </c>
      <c r="C109" s="1065"/>
      <c r="D109" s="1065"/>
      <c r="E109" s="1065"/>
      <c r="F109" s="1065"/>
      <c r="G109" s="1500"/>
      <c r="H109" s="1500"/>
      <c r="I109" s="1500"/>
      <c r="J109" s="1500"/>
      <c r="K109" s="1500"/>
      <c r="L109" s="1500"/>
      <c r="M109" s="1500">
        <v>14.735902117341308</v>
      </c>
      <c r="N109" s="1500">
        <v>15.134296692725487</v>
      </c>
      <c r="O109" s="1500">
        <f t="shared" si="5"/>
        <v>10.270356420809382</v>
      </c>
      <c r="P109" s="1500">
        <f>_xlfn.IFNA(INDEX('F7'!$M$10:$M$126,MATCH(B109,'F7'!$B$10:$B$126,0)),0)</f>
        <v>0</v>
      </c>
      <c r="Q109" s="1500">
        <f t="shared" si="6"/>
        <v>0</v>
      </c>
      <c r="R109" s="1500">
        <f t="shared" si="7"/>
        <v>10.270356420809382</v>
      </c>
      <c r="S109" s="1500">
        <v>15.472697223208375</v>
      </c>
      <c r="T109" s="1501">
        <v>15.865069998364916</v>
      </c>
      <c r="U109" s="1500">
        <f t="shared" si="8"/>
        <v>10.253590417686194</v>
      </c>
      <c r="V109" s="1500">
        <f>_xlfn.IFNA(INDEX('F7'!$R$10:$R$126,MATCH(B109,'F7'!$B$10:$B$126,0)),0)</f>
        <v>0</v>
      </c>
      <c r="W109" s="1500">
        <f t="shared" si="9"/>
        <v>0</v>
      </c>
      <c r="X109" s="1500">
        <f>U109-W109</f>
        <v>10.253590417686194</v>
      </c>
      <c r="Z109" s="1571">
        <v>0</v>
      </c>
    </row>
    <row r="110" spans="2:26">
      <c r="B110" s="1406" t="s">
        <v>1433</v>
      </c>
      <c r="C110" s="1065"/>
      <c r="D110" s="1065"/>
      <c r="E110" s="1065"/>
      <c r="F110" s="1065"/>
      <c r="G110" s="1500"/>
      <c r="H110" s="1500"/>
      <c r="I110" s="1500"/>
      <c r="J110" s="1500"/>
      <c r="K110" s="1500"/>
      <c r="L110" s="1500"/>
      <c r="M110" s="1500">
        <v>11.550789419826833</v>
      </c>
      <c r="N110" s="1500">
        <v>10.494303882084079</v>
      </c>
      <c r="O110" s="1500">
        <f t="shared" si="5"/>
        <v>9.0853564208093811</v>
      </c>
      <c r="P110" s="1500">
        <f>_xlfn.IFNA(INDEX('F7'!$M$10:$M$126,MATCH(B110,'F7'!$B$10:$B$126,0)),0)</f>
        <v>0</v>
      </c>
      <c r="Q110" s="1500">
        <f t="shared" si="6"/>
        <v>0</v>
      </c>
      <c r="R110" s="1500">
        <f t="shared" si="7"/>
        <v>9.0853564208093811</v>
      </c>
      <c r="S110" s="1500">
        <v>12.128328890818175</v>
      </c>
      <c r="T110" s="1501">
        <v>10.998684716182034</v>
      </c>
      <c r="U110" s="1500">
        <f t="shared" si="8"/>
        <v>9.0685904176861953</v>
      </c>
      <c r="V110" s="1500">
        <f>_xlfn.IFNA(INDEX('F7'!$R$10:$R$126,MATCH(B110,'F7'!$B$10:$B$126,0)),0)</f>
        <v>0</v>
      </c>
      <c r="W110" s="1500">
        <f t="shared" si="9"/>
        <v>0</v>
      </c>
      <c r="X110" s="1500">
        <f>U110-W110</f>
        <v>9.0685904176861953</v>
      </c>
      <c r="Z110" s="1571">
        <v>0</v>
      </c>
    </row>
    <row r="111" spans="2:26">
      <c r="B111" s="1402" t="s">
        <v>1014</v>
      </c>
      <c r="C111" s="1065"/>
      <c r="D111" s="1065"/>
      <c r="E111" s="1065"/>
      <c r="F111" s="1065"/>
      <c r="G111" s="1500"/>
      <c r="H111" s="1500"/>
      <c r="I111" s="1500"/>
      <c r="J111" s="1500"/>
      <c r="K111" s="1500"/>
      <c r="L111" s="1500"/>
      <c r="M111" s="1500">
        <v>163.57866666666666</v>
      </c>
      <c r="N111" s="1500">
        <v>124.80238260562811</v>
      </c>
      <c r="O111" s="1500">
        <f t="shared" si="5"/>
        <v>7.6295023763670144</v>
      </c>
      <c r="P111" s="1500">
        <f>_xlfn.IFNA(INDEX('F7'!$M$10:$M$126,MATCH(B111,'F7'!$B$10:$B$126,0)),0)</f>
        <v>0</v>
      </c>
      <c r="Q111" s="1500">
        <f t="shared" si="6"/>
        <v>0</v>
      </c>
      <c r="R111" s="1500">
        <f t="shared" si="7"/>
        <v>7.6295023763670144</v>
      </c>
      <c r="S111" s="1500">
        <v>171.7576</v>
      </c>
      <c r="T111" s="1501">
        <v>131.04250173590952</v>
      </c>
      <c r="U111" s="1500">
        <f t="shared" si="8"/>
        <v>7.6295023763670153</v>
      </c>
      <c r="V111" s="1500">
        <f>_xlfn.IFNA(INDEX('F7'!$R$10:$R$126,MATCH(B111,'F7'!$B$10:$B$126,0)),0)</f>
        <v>0</v>
      </c>
      <c r="W111" s="1500">
        <f t="shared" si="9"/>
        <v>0</v>
      </c>
      <c r="X111" s="1500">
        <f>U111-W111</f>
        <v>7.6295023763670153</v>
      </c>
      <c r="Z111" s="1571">
        <v>0</v>
      </c>
    </row>
    <row r="112" spans="2:26">
      <c r="B112" s="1410" t="s">
        <v>1426</v>
      </c>
      <c r="C112" s="1065"/>
      <c r="D112" s="1065"/>
      <c r="E112" s="1065"/>
      <c r="F112" s="1065"/>
      <c r="G112" s="1500"/>
      <c r="H112" s="1500"/>
      <c r="I112" s="1500"/>
      <c r="J112" s="1500"/>
      <c r="K112" s="1500"/>
      <c r="L112" s="1500"/>
      <c r="M112" s="1500">
        <v>55.386437040456919</v>
      </c>
      <c r="N112" s="1500">
        <v>40.712076188293167</v>
      </c>
      <c r="O112" s="1500">
        <f t="shared" si="5"/>
        <v>7.3505497670043498</v>
      </c>
      <c r="P112" s="1500">
        <f>_xlfn.IFNA(INDEX('F7'!$M$10:$M$126,MATCH(B112,'F7'!$B$10:$B$126,0)),0)</f>
        <v>0</v>
      </c>
      <c r="Q112" s="1500">
        <f t="shared" si="6"/>
        <v>0</v>
      </c>
      <c r="R112" s="1500">
        <f t="shared" si="7"/>
        <v>7.3505497670043498</v>
      </c>
      <c r="S112" s="1500">
        <v>58.155758892479767</v>
      </c>
      <c r="T112" s="1501">
        <v>42.74767999770782</v>
      </c>
      <c r="U112" s="1500">
        <f t="shared" si="8"/>
        <v>7.3505497670043489</v>
      </c>
      <c r="V112" s="1500">
        <f>_xlfn.IFNA(INDEX('F7'!$R$10:$R$126,MATCH(B112,'F7'!$B$10:$B$126,0)),0)</f>
        <v>0</v>
      </c>
      <c r="W112" s="1500">
        <f t="shared" si="9"/>
        <v>0</v>
      </c>
      <c r="X112" s="1500">
        <f>U112-W112</f>
        <v>7.3505497670043489</v>
      </c>
      <c r="Z112" s="1571">
        <v>0</v>
      </c>
    </row>
    <row r="113" spans="2:26">
      <c r="B113" s="1406" t="s">
        <v>1430</v>
      </c>
      <c r="C113" s="1065"/>
      <c r="D113" s="1065"/>
      <c r="E113" s="1065"/>
      <c r="F113" s="1065"/>
      <c r="G113" s="1500"/>
      <c r="H113" s="1500"/>
      <c r="I113" s="1500"/>
      <c r="J113" s="1500"/>
      <c r="K113" s="1500"/>
      <c r="L113" s="1500"/>
      <c r="M113" s="1500">
        <v>10.86082843284728</v>
      </c>
      <c r="N113" s="1500">
        <v>7.928404755978514</v>
      </c>
      <c r="O113" s="1500">
        <f t="shared" si="5"/>
        <v>7.3</v>
      </c>
      <c r="P113" s="1500">
        <f>_xlfn.IFNA(INDEX('F7'!$M$10:$M$126,MATCH(B113,'F7'!$B$10:$B$126,0)),0)</f>
        <v>0</v>
      </c>
      <c r="Q113" s="1500">
        <f t="shared" si="6"/>
        <v>0</v>
      </c>
      <c r="R113" s="1500">
        <f t="shared" si="7"/>
        <v>7.3</v>
      </c>
      <c r="S113" s="1500">
        <v>11.403869854489644</v>
      </c>
      <c r="T113" s="1501">
        <v>8.3248249937774403</v>
      </c>
      <c r="U113" s="1500">
        <f t="shared" si="8"/>
        <v>7.3</v>
      </c>
      <c r="V113" s="1500">
        <f>_xlfn.IFNA(INDEX('F7'!$R$10:$R$126,MATCH(B113,'F7'!$B$10:$B$126,0)),0)</f>
        <v>0</v>
      </c>
      <c r="W113" s="1500">
        <f t="shared" si="9"/>
        <v>0</v>
      </c>
      <c r="X113" s="1500">
        <f>U113-W113</f>
        <v>7.3</v>
      </c>
      <c r="Z113" s="1571">
        <v>0</v>
      </c>
    </row>
    <row r="114" spans="2:26">
      <c r="B114" s="1406" t="s">
        <v>1431</v>
      </c>
      <c r="C114" s="1065"/>
      <c r="D114" s="1065"/>
      <c r="E114" s="1065"/>
      <c r="F114" s="1065"/>
      <c r="G114" s="1500"/>
      <c r="H114" s="1500"/>
      <c r="I114" s="1500"/>
      <c r="J114" s="1500"/>
      <c r="K114" s="1500"/>
      <c r="L114" s="1500"/>
      <c r="M114" s="1500">
        <v>23.423804223013555</v>
      </c>
      <c r="N114" s="1500">
        <v>17.099377082799897</v>
      </c>
      <c r="O114" s="1500">
        <f t="shared" si="5"/>
        <v>7.3000000000000007</v>
      </c>
      <c r="P114" s="1500">
        <f>_xlfn.IFNA(INDEX('F7'!$M$10:$M$126,MATCH(B114,'F7'!$B$10:$B$126,0)),0)</f>
        <v>0</v>
      </c>
      <c r="Q114" s="1500">
        <f t="shared" si="6"/>
        <v>0</v>
      </c>
      <c r="R114" s="1500">
        <f t="shared" si="7"/>
        <v>7.3000000000000007</v>
      </c>
      <c r="S114" s="1500">
        <v>24.594994434164231</v>
      </c>
      <c r="T114" s="1501">
        <v>17.954345936939887</v>
      </c>
      <c r="U114" s="1500">
        <f t="shared" si="8"/>
        <v>7.3</v>
      </c>
      <c r="V114" s="1500">
        <f>_xlfn.IFNA(INDEX('F7'!$R$10:$R$126,MATCH(B114,'F7'!$B$10:$B$126,0)),0)</f>
        <v>0</v>
      </c>
      <c r="W114" s="1500">
        <f t="shared" si="9"/>
        <v>0</v>
      </c>
      <c r="X114" s="1500">
        <f>U114-W114</f>
        <v>7.3</v>
      </c>
      <c r="Z114" s="1571">
        <v>0</v>
      </c>
    </row>
    <row r="115" spans="2:26">
      <c r="B115" s="1406" t="s">
        <v>1432</v>
      </c>
      <c r="C115" s="1065"/>
      <c r="D115" s="1065"/>
      <c r="E115" s="1065"/>
      <c r="F115" s="1065"/>
      <c r="G115" s="1500"/>
      <c r="H115" s="1500"/>
      <c r="I115" s="1500"/>
      <c r="J115" s="1500"/>
      <c r="K115" s="1500"/>
      <c r="L115" s="1500"/>
      <c r="M115" s="1500">
        <v>11.829336661520037</v>
      </c>
      <c r="N115" s="1500">
        <v>9.9307281273460699</v>
      </c>
      <c r="O115" s="1500">
        <f t="shared" si="5"/>
        <v>8.3949999999999996</v>
      </c>
      <c r="P115" s="1500">
        <f>_xlfn.IFNA(INDEX('F7'!$M$10:$M$126,MATCH(B115,'F7'!$B$10:$B$126,0)),0)</f>
        <v>0</v>
      </c>
      <c r="Q115" s="1500">
        <f t="shared" si="6"/>
        <v>0</v>
      </c>
      <c r="R115" s="1500">
        <f t="shared" si="7"/>
        <v>8.3949999999999996</v>
      </c>
      <c r="S115" s="1500">
        <v>12.420803494596038</v>
      </c>
      <c r="T115" s="1501">
        <v>10.427264533713373</v>
      </c>
      <c r="U115" s="1500">
        <f t="shared" si="8"/>
        <v>8.3949999999999996</v>
      </c>
      <c r="V115" s="1500">
        <f>_xlfn.IFNA(INDEX('F7'!$R$10:$R$126,MATCH(B115,'F7'!$B$10:$B$126,0)),0)</f>
        <v>0</v>
      </c>
      <c r="W115" s="1500">
        <f t="shared" si="9"/>
        <v>0</v>
      </c>
      <c r="X115" s="1500">
        <f>U115-W115</f>
        <v>8.3949999999999996</v>
      </c>
      <c r="Z115" s="1571">
        <v>0</v>
      </c>
    </row>
    <row r="116" spans="2:26">
      <c r="B116" s="1406" t="s">
        <v>1433</v>
      </c>
      <c r="C116" s="1065"/>
      <c r="D116" s="1065"/>
      <c r="E116" s="1065"/>
      <c r="F116" s="1065"/>
      <c r="G116" s="1500"/>
      <c r="H116" s="1500"/>
      <c r="I116" s="1500"/>
      <c r="J116" s="1500"/>
      <c r="K116" s="1500"/>
      <c r="L116" s="1500"/>
      <c r="M116" s="1500">
        <v>9.2724677230760495</v>
      </c>
      <c r="N116" s="1500">
        <v>5.7535662221686881</v>
      </c>
      <c r="O116" s="1500">
        <f t="shared" si="5"/>
        <v>6.2049999999999992</v>
      </c>
      <c r="P116" s="1500">
        <f>_xlfn.IFNA(INDEX('F7'!$M$10:$M$126,MATCH(B116,'F7'!$B$10:$B$126,0)),0)</f>
        <v>0</v>
      </c>
      <c r="Q116" s="1500">
        <f t="shared" si="6"/>
        <v>0</v>
      </c>
      <c r="R116" s="1500">
        <f t="shared" si="7"/>
        <v>6.2049999999999992</v>
      </c>
      <c r="S116" s="1500">
        <v>9.7360911092298537</v>
      </c>
      <c r="T116" s="1501">
        <v>6.0412445332771245</v>
      </c>
      <c r="U116" s="1500">
        <f t="shared" si="8"/>
        <v>6.2050000000000001</v>
      </c>
      <c r="V116" s="1500">
        <f>_xlfn.IFNA(INDEX('F7'!$R$10:$R$126,MATCH(B116,'F7'!$B$10:$B$126,0)),0)</f>
        <v>0</v>
      </c>
      <c r="W116" s="1500">
        <f t="shared" si="9"/>
        <v>0</v>
      </c>
      <c r="X116" s="1500">
        <f>U116-W116</f>
        <v>6.2050000000000001</v>
      </c>
      <c r="Z116" s="1571">
        <v>0</v>
      </c>
    </row>
    <row r="117" spans="2:26">
      <c r="B117" s="1410" t="s">
        <v>1427</v>
      </c>
      <c r="C117" s="1065"/>
      <c r="D117" s="1065"/>
      <c r="E117" s="1065"/>
      <c r="F117" s="1065"/>
      <c r="G117" s="1500"/>
      <c r="H117" s="1500"/>
      <c r="I117" s="1500"/>
      <c r="J117" s="1500"/>
      <c r="K117" s="1500"/>
      <c r="L117" s="1500"/>
      <c r="M117" s="1500">
        <v>39.196888787581116</v>
      </c>
      <c r="N117" s="1500">
        <v>29.206551300162854</v>
      </c>
      <c r="O117" s="1500">
        <f t="shared" si="5"/>
        <v>7.451242229566053</v>
      </c>
      <c r="P117" s="1500">
        <f>_xlfn.IFNA(INDEX('F7'!$M$10:$M$126,MATCH(B117,'F7'!$B$10:$B$126,0)),0)</f>
        <v>0</v>
      </c>
      <c r="Q117" s="1500">
        <f t="shared" si="6"/>
        <v>0</v>
      </c>
      <c r="R117" s="1500">
        <f t="shared" si="7"/>
        <v>7.451242229566053</v>
      </c>
      <c r="S117" s="1500">
        <v>41.156733226960164</v>
      </c>
      <c r="T117" s="1501">
        <v>30.666878865171</v>
      </c>
      <c r="U117" s="1500">
        <f t="shared" si="8"/>
        <v>7.4512422295660556</v>
      </c>
      <c r="V117" s="1500">
        <f>_xlfn.IFNA(INDEX('F7'!$R$10:$R$126,MATCH(B117,'F7'!$B$10:$B$126,0)),0)</f>
        <v>0</v>
      </c>
      <c r="W117" s="1500">
        <f t="shared" si="9"/>
        <v>0</v>
      </c>
      <c r="X117" s="1500">
        <f>U117-W117</f>
        <v>7.4512422295660556</v>
      </c>
      <c r="Z117" s="1571">
        <v>0</v>
      </c>
    </row>
    <row r="118" spans="2:26">
      <c r="B118" s="1406" t="s">
        <v>1430</v>
      </c>
      <c r="C118" s="1065"/>
      <c r="D118" s="1065"/>
      <c r="E118" s="1065"/>
      <c r="F118" s="1065"/>
      <c r="G118" s="1500"/>
      <c r="H118" s="1500"/>
      <c r="I118" s="1500"/>
      <c r="J118" s="1500"/>
      <c r="K118" s="1500"/>
      <c r="L118" s="1500"/>
      <c r="M118" s="1500">
        <v>7.6861901030455195</v>
      </c>
      <c r="N118" s="1500">
        <v>5.6877806762536851</v>
      </c>
      <c r="O118" s="1500">
        <f t="shared" si="5"/>
        <v>7.4000000000000012</v>
      </c>
      <c r="P118" s="1500">
        <f>_xlfn.IFNA(INDEX('F7'!$M$10:$M$126,MATCH(B118,'F7'!$B$10:$B$126,0)),0)</f>
        <v>0</v>
      </c>
      <c r="Q118" s="1500">
        <f t="shared" si="6"/>
        <v>0</v>
      </c>
      <c r="R118" s="1500">
        <f t="shared" si="7"/>
        <v>7.4000000000000012</v>
      </c>
      <c r="S118" s="1500">
        <v>8.0704996081977942</v>
      </c>
      <c r="T118" s="1501">
        <v>5.9721697100663684</v>
      </c>
      <c r="U118" s="1500">
        <f t="shared" si="8"/>
        <v>7.4000000000000012</v>
      </c>
      <c r="V118" s="1500">
        <f>_xlfn.IFNA(INDEX('F7'!$R$10:$R$126,MATCH(B118,'F7'!$B$10:$B$126,0)),0)</f>
        <v>0</v>
      </c>
      <c r="W118" s="1500">
        <f t="shared" si="9"/>
        <v>0</v>
      </c>
      <c r="X118" s="1500">
        <f>U118-W118</f>
        <v>7.4000000000000012</v>
      </c>
      <c r="Z118" s="1571">
        <v>0</v>
      </c>
    </row>
    <row r="119" spans="2:26">
      <c r="B119" s="1406" t="s">
        <v>1431</v>
      </c>
      <c r="C119" s="1065"/>
      <c r="D119" s="1065"/>
      <c r="E119" s="1065"/>
      <c r="F119" s="1065"/>
      <c r="G119" s="1500"/>
      <c r="H119" s="1500"/>
      <c r="I119" s="1500"/>
      <c r="J119" s="1500"/>
      <c r="K119" s="1500"/>
      <c r="L119" s="1500"/>
      <c r="M119" s="1500">
        <v>16.576987041807389</v>
      </c>
      <c r="N119" s="1500">
        <v>12.266970410937468</v>
      </c>
      <c r="O119" s="1500">
        <f t="shared" si="5"/>
        <v>7.4</v>
      </c>
      <c r="P119" s="1500">
        <f>_xlfn.IFNA(INDEX('F7'!$M$10:$M$126,MATCH(B119,'F7'!$B$10:$B$126,0)),0)</f>
        <v>0</v>
      </c>
      <c r="Q119" s="1500">
        <f t="shared" si="6"/>
        <v>0</v>
      </c>
      <c r="R119" s="1500">
        <f t="shared" si="7"/>
        <v>7.4</v>
      </c>
      <c r="S119" s="1500">
        <v>17.405836393897758</v>
      </c>
      <c r="T119" s="1501">
        <v>12.880318931484343</v>
      </c>
      <c r="U119" s="1500">
        <f t="shared" si="8"/>
        <v>7.4000000000000012</v>
      </c>
      <c r="V119" s="1500">
        <f>_xlfn.IFNA(INDEX('F7'!$R$10:$R$126,MATCH(B119,'F7'!$B$10:$B$126,0)),0)</f>
        <v>0</v>
      </c>
      <c r="W119" s="1500">
        <f t="shared" si="9"/>
        <v>0</v>
      </c>
      <c r="X119" s="1500">
        <f>U119-W119</f>
        <v>7.4000000000000012</v>
      </c>
      <c r="Z119" s="1571">
        <v>0</v>
      </c>
    </row>
    <row r="120" spans="2:26">
      <c r="B120" s="1406" t="s">
        <v>1432</v>
      </c>
      <c r="C120" s="1065"/>
      <c r="D120" s="1065"/>
      <c r="E120" s="1065"/>
      <c r="F120" s="1065"/>
      <c r="G120" s="1500"/>
      <c r="H120" s="1500"/>
      <c r="I120" s="1500"/>
      <c r="J120" s="1500"/>
      <c r="K120" s="1500"/>
      <c r="L120" s="1500"/>
      <c r="M120" s="1500">
        <v>8.3716017553858499</v>
      </c>
      <c r="N120" s="1500">
        <v>7.1242330938333582</v>
      </c>
      <c r="O120" s="1500">
        <f t="shared" si="5"/>
        <v>8.51</v>
      </c>
      <c r="P120" s="1500">
        <f>_xlfn.IFNA(INDEX('F7'!$M$10:$M$126,MATCH(B120,'F7'!$B$10:$B$126,0)),0)</f>
        <v>0</v>
      </c>
      <c r="Q120" s="1500">
        <f t="shared" si="6"/>
        <v>0</v>
      </c>
      <c r="R120" s="1500">
        <f t="shared" si="7"/>
        <v>8.51</v>
      </c>
      <c r="S120" s="1500">
        <v>8.7901818431551408</v>
      </c>
      <c r="T120" s="1501">
        <v>7.4804447485250254</v>
      </c>
      <c r="U120" s="1500">
        <f t="shared" si="8"/>
        <v>8.5100000000000016</v>
      </c>
      <c r="V120" s="1500">
        <f>_xlfn.IFNA(INDEX('F7'!$R$10:$R$126,MATCH(B120,'F7'!$B$10:$B$126,0)),0)</f>
        <v>0</v>
      </c>
      <c r="W120" s="1500">
        <f t="shared" si="9"/>
        <v>0</v>
      </c>
      <c r="X120" s="1500">
        <f>U120-W120</f>
        <v>8.5100000000000016</v>
      </c>
      <c r="Z120" s="1571">
        <v>0</v>
      </c>
    </row>
    <row r="121" spans="2:26">
      <c r="B121" s="1406" t="s">
        <v>1433</v>
      </c>
      <c r="C121" s="1065"/>
      <c r="D121" s="1065"/>
      <c r="E121" s="1065"/>
      <c r="F121" s="1065"/>
      <c r="G121" s="1500"/>
      <c r="H121" s="1500"/>
      <c r="I121" s="1500"/>
      <c r="J121" s="1500"/>
      <c r="K121" s="1500"/>
      <c r="L121" s="1500"/>
      <c r="M121" s="1500">
        <v>6.5621098873423591</v>
      </c>
      <c r="N121" s="1500">
        <v>4.1275671191383436</v>
      </c>
      <c r="O121" s="1500">
        <f t="shared" si="5"/>
        <v>6.29</v>
      </c>
      <c r="P121" s="1500">
        <f>_xlfn.IFNA(INDEX('F7'!$M$10:$M$126,MATCH(B121,'F7'!$B$10:$B$126,0)),0)</f>
        <v>0</v>
      </c>
      <c r="Q121" s="1500">
        <f t="shared" si="6"/>
        <v>0</v>
      </c>
      <c r="R121" s="1500">
        <f t="shared" si="7"/>
        <v>6.29</v>
      </c>
      <c r="S121" s="1500">
        <v>6.8902153817094769</v>
      </c>
      <c r="T121" s="1501">
        <v>4.3339454750952608</v>
      </c>
      <c r="U121" s="1500">
        <f t="shared" si="8"/>
        <v>6.29</v>
      </c>
      <c r="V121" s="1500">
        <f>_xlfn.IFNA(INDEX('F7'!$R$10:$R$126,MATCH(B121,'F7'!$B$10:$B$126,0)),0)</f>
        <v>0</v>
      </c>
      <c r="W121" s="1500">
        <f t="shared" si="9"/>
        <v>0</v>
      </c>
      <c r="X121" s="1500">
        <f>U121-W121</f>
        <v>6.29</v>
      </c>
      <c r="Z121" s="1571">
        <v>0</v>
      </c>
    </row>
    <row r="122" spans="2:26">
      <c r="B122" s="1410" t="s">
        <v>1428</v>
      </c>
      <c r="C122" s="1065"/>
      <c r="D122" s="1065"/>
      <c r="E122" s="1065"/>
      <c r="F122" s="1065"/>
      <c r="G122" s="1500"/>
      <c r="H122" s="1500"/>
      <c r="I122" s="1500"/>
      <c r="J122" s="1500"/>
      <c r="K122" s="1500"/>
      <c r="L122" s="1500"/>
      <c r="M122" s="1500">
        <v>68.995340838628621</v>
      </c>
      <c r="N122" s="1500">
        <v>54.883755117172079</v>
      </c>
      <c r="O122" s="1500">
        <f t="shared" si="5"/>
        <v>7.9547045423745697</v>
      </c>
      <c r="P122" s="1500">
        <f>_xlfn.IFNA(INDEX('F7'!$M$10:$M$126,MATCH(B122,'F7'!$B$10:$B$126,0)),0)</f>
        <v>0</v>
      </c>
      <c r="Q122" s="1500">
        <f t="shared" si="6"/>
        <v>0</v>
      </c>
      <c r="R122" s="1500">
        <f t="shared" si="7"/>
        <v>7.9547045423745697</v>
      </c>
      <c r="S122" s="1500">
        <v>72.445107880560073</v>
      </c>
      <c r="T122" s="1501">
        <v>57.62794287303069</v>
      </c>
      <c r="U122" s="1500">
        <f t="shared" si="8"/>
        <v>7.9547045423745688</v>
      </c>
      <c r="V122" s="1500">
        <f>_xlfn.IFNA(INDEX('F7'!$R$10:$R$126,MATCH(B122,'F7'!$B$10:$B$126,0)),0)</f>
        <v>0</v>
      </c>
      <c r="W122" s="1500">
        <f t="shared" si="9"/>
        <v>0</v>
      </c>
      <c r="X122" s="1500">
        <f>U122-W122</f>
        <v>7.9547045423745688</v>
      </c>
      <c r="Z122" s="1571">
        <v>0</v>
      </c>
    </row>
    <row r="123" spans="2:26">
      <c r="B123" s="1406" t="s">
        <v>1430</v>
      </c>
      <c r="C123" s="1065"/>
      <c r="D123" s="1065"/>
      <c r="E123" s="1065"/>
      <c r="F123" s="1065"/>
      <c r="G123" s="1500"/>
      <c r="H123" s="1500"/>
      <c r="I123" s="1500"/>
      <c r="J123" s="1500"/>
      <c r="K123" s="1500"/>
      <c r="L123" s="1500"/>
      <c r="M123" s="1500">
        <v>13.529423439294497</v>
      </c>
      <c r="N123" s="1500">
        <v>10.688244517042653</v>
      </c>
      <c r="O123" s="1500">
        <f t="shared" si="5"/>
        <v>7.9</v>
      </c>
      <c r="P123" s="1500">
        <f>_xlfn.IFNA(INDEX('F7'!$M$10:$M$126,MATCH(B123,'F7'!$B$10:$B$126,0)),0)</f>
        <v>0</v>
      </c>
      <c r="Q123" s="1500">
        <f t="shared" si="6"/>
        <v>0</v>
      </c>
      <c r="R123" s="1500">
        <f t="shared" si="7"/>
        <v>7.9</v>
      </c>
      <c r="S123" s="1500">
        <v>14.205894611259223</v>
      </c>
      <c r="T123" s="1501">
        <v>11.222656742894788</v>
      </c>
      <c r="U123" s="1500">
        <f t="shared" si="8"/>
        <v>7.9000000000000012</v>
      </c>
      <c r="V123" s="1500">
        <f>_xlfn.IFNA(INDEX('F7'!$R$10:$R$126,MATCH(B123,'F7'!$B$10:$B$126,0)),0)</f>
        <v>0</v>
      </c>
      <c r="W123" s="1500">
        <f t="shared" si="9"/>
        <v>0</v>
      </c>
      <c r="X123" s="1500">
        <f>U123-W123</f>
        <v>7.9000000000000012</v>
      </c>
      <c r="Z123" s="1571">
        <v>0</v>
      </c>
    </row>
    <row r="124" spans="2:26">
      <c r="B124" s="1406" t="s">
        <v>1431</v>
      </c>
      <c r="C124" s="1065"/>
      <c r="D124" s="1065"/>
      <c r="E124" s="1065"/>
      <c r="F124" s="1065"/>
      <c r="G124" s="1500"/>
      <c r="H124" s="1500"/>
      <c r="I124" s="1500"/>
      <c r="J124" s="1500"/>
      <c r="K124" s="1500"/>
      <c r="L124" s="1500"/>
      <c r="M124" s="1500">
        <v>29.179225862165985</v>
      </c>
      <c r="N124" s="1500">
        <v>23.051588431111131</v>
      </c>
      <c r="O124" s="1500">
        <f t="shared" si="5"/>
        <v>7.9000000000000012</v>
      </c>
      <c r="P124" s="1500">
        <f>_xlfn.IFNA(INDEX('F7'!$M$10:$M$126,MATCH(B124,'F7'!$B$10:$B$126,0)),0)</f>
        <v>0</v>
      </c>
      <c r="Q124" s="1500">
        <f t="shared" si="6"/>
        <v>0</v>
      </c>
      <c r="R124" s="1500">
        <f t="shared" si="7"/>
        <v>7.9000000000000012</v>
      </c>
      <c r="S124" s="1500">
        <v>30.638187155274288</v>
      </c>
      <c r="T124" s="1501">
        <v>24.204167852666689</v>
      </c>
      <c r="U124" s="1500">
        <f t="shared" si="8"/>
        <v>7.9</v>
      </c>
      <c r="V124" s="1500">
        <f>_xlfn.IFNA(INDEX('F7'!$R$10:$R$126,MATCH(B124,'F7'!$B$10:$B$126,0)),0)</f>
        <v>0</v>
      </c>
      <c r="W124" s="1500">
        <f t="shared" si="9"/>
        <v>0</v>
      </c>
      <c r="X124" s="1500">
        <f>U124-W124</f>
        <v>7.9</v>
      </c>
      <c r="Z124" s="1571">
        <v>0</v>
      </c>
    </row>
    <row r="125" spans="2:26">
      <c r="B125" s="1406" t="s">
        <v>1432</v>
      </c>
      <c r="C125" s="1065"/>
      <c r="D125" s="1065"/>
      <c r="E125" s="1065"/>
      <c r="F125" s="1065"/>
      <c r="G125" s="1500"/>
      <c r="H125" s="1500"/>
      <c r="I125" s="1500"/>
      <c r="J125" s="1500"/>
      <c r="K125" s="1500"/>
      <c r="L125" s="1500"/>
      <c r="M125" s="1500">
        <v>14.735902117341308</v>
      </c>
      <c r="N125" s="1500">
        <v>13.387567073604577</v>
      </c>
      <c r="O125" s="1500">
        <f t="shared" si="5"/>
        <v>9.0849999999999991</v>
      </c>
      <c r="P125" s="1500">
        <f>_xlfn.IFNA(INDEX('F7'!$M$10:$M$126,MATCH(B125,'F7'!$B$10:$B$126,0)),0)</f>
        <v>0</v>
      </c>
      <c r="Q125" s="1500">
        <f t="shared" si="6"/>
        <v>0</v>
      </c>
      <c r="R125" s="1500">
        <f t="shared" si="7"/>
        <v>9.0849999999999991</v>
      </c>
      <c r="S125" s="1500">
        <v>15.472697223208375</v>
      </c>
      <c r="T125" s="1501">
        <v>14.056945427284807</v>
      </c>
      <c r="U125" s="1500">
        <f t="shared" si="8"/>
        <v>9.0849999999999991</v>
      </c>
      <c r="V125" s="1500">
        <f>_xlfn.IFNA(INDEX('F7'!$R$10:$R$126,MATCH(B125,'F7'!$B$10:$B$126,0)),0)</f>
        <v>0</v>
      </c>
      <c r="W125" s="1500">
        <f t="shared" si="9"/>
        <v>0</v>
      </c>
      <c r="X125" s="1500">
        <f>U125-W125</f>
        <v>9.0849999999999991</v>
      </c>
      <c r="Z125" s="1571">
        <v>0</v>
      </c>
    </row>
    <row r="126" spans="2:26">
      <c r="B126" s="1406" t="s">
        <v>1433</v>
      </c>
      <c r="C126" s="1065"/>
      <c r="D126" s="1065"/>
      <c r="E126" s="1065"/>
      <c r="F126" s="1065"/>
      <c r="G126" s="1500"/>
      <c r="H126" s="1500"/>
      <c r="I126" s="1500"/>
      <c r="J126" s="1500"/>
      <c r="K126" s="1500"/>
      <c r="L126" s="1500"/>
      <c r="M126" s="1500">
        <v>11.550789419826833</v>
      </c>
      <c r="N126" s="1500">
        <v>7.7563550954137188</v>
      </c>
      <c r="O126" s="1500">
        <f t="shared" si="5"/>
        <v>6.7150000000000007</v>
      </c>
      <c r="P126" s="1500">
        <f>_xlfn.IFNA(INDEX('F7'!$M$10:$M$126,MATCH(B126,'F7'!$B$10:$B$126,0)),0)</f>
        <v>0</v>
      </c>
      <c r="Q126" s="1500">
        <f t="shared" si="6"/>
        <v>0</v>
      </c>
      <c r="R126" s="1500">
        <f t="shared" si="7"/>
        <v>6.7150000000000007</v>
      </c>
      <c r="S126" s="1500">
        <v>12.128328890818175</v>
      </c>
      <c r="T126" s="1501">
        <v>8.144172850184404</v>
      </c>
      <c r="U126" s="1500">
        <f t="shared" si="8"/>
        <v>6.7149999999999999</v>
      </c>
      <c r="V126" s="1500">
        <f>_xlfn.IFNA(INDEX('F7'!$R$10:$R$126,MATCH(B126,'F7'!$B$10:$B$126,0)),0)</f>
        <v>0</v>
      </c>
      <c r="W126" s="1500">
        <f t="shared" si="9"/>
        <v>0</v>
      </c>
      <c r="X126" s="1500">
        <f>U126-W126</f>
        <v>6.7149999999999999</v>
      </c>
      <c r="Z126" s="1571">
        <v>0</v>
      </c>
    </row>
    <row r="127" spans="2:26">
      <c r="B127" s="1402" t="s">
        <v>1425</v>
      </c>
      <c r="C127" s="1065"/>
      <c r="D127" s="1065"/>
      <c r="E127" s="1065"/>
      <c r="F127" s="1065"/>
      <c r="G127" s="1500"/>
      <c r="H127" s="1500"/>
      <c r="I127" s="1500"/>
      <c r="J127" s="1500"/>
      <c r="K127" s="1500"/>
      <c r="L127" s="1500"/>
      <c r="M127" s="1500">
        <v>571.9853333333333</v>
      </c>
      <c r="N127" s="1500">
        <v>506.71779597950376</v>
      </c>
      <c r="O127" s="1500">
        <f t="shared" si="5"/>
        <v>8.8589298789625808</v>
      </c>
      <c r="P127" s="1500">
        <f ca="1">_xlfn.IFNA(INDEX('F7'!$M$10:$M$126,MATCH(B127,'F7'!$B$10:$B$126,0)),0)</f>
        <v>9842.9708804599904</v>
      </c>
      <c r="Q127" s="1500">
        <f t="shared" ca="1" si="6"/>
        <v>172.08432291608861</v>
      </c>
      <c r="R127" s="1500">
        <f t="shared" ca="1" si="7"/>
        <v>-163.22539303712603</v>
      </c>
      <c r="S127" s="1500">
        <v>595.68804</v>
      </c>
      <c r="T127" s="1501">
        <v>526.76713644880465</v>
      </c>
      <c r="U127" s="1500">
        <f t="shared" si="8"/>
        <v>8.8430034023984199</v>
      </c>
      <c r="V127" s="1500">
        <f ca="1">_xlfn.IFNA(INDEX('F7'!$R$10:$R$126,MATCH(B127,'F7'!$B$10:$B$126,0)),0)</f>
        <v>12411.62407831255</v>
      </c>
      <c r="W127" s="1500"/>
      <c r="X127" s="1500">
        <f>U127-W127</f>
        <v>8.8430034023984199</v>
      </c>
      <c r="Z127" s="1571">
        <v>0</v>
      </c>
    </row>
    <row r="128" spans="2:26">
      <c r="B128" s="1409"/>
      <c r="C128" s="1065"/>
      <c r="D128" s="1065"/>
      <c r="E128" s="1065"/>
      <c r="F128" s="1065"/>
      <c r="G128" s="1500"/>
      <c r="H128" s="1500"/>
      <c r="I128" s="1500"/>
      <c r="J128" s="1500"/>
      <c r="K128" s="1500"/>
      <c r="L128" s="1500"/>
      <c r="M128" s="1500">
        <v>0</v>
      </c>
      <c r="N128" s="1500">
        <v>0</v>
      </c>
      <c r="O128" s="1500">
        <f t="shared" si="5"/>
        <v>0</v>
      </c>
      <c r="P128" s="1500">
        <f>_xlfn.IFNA(INDEX('F7'!$M$10:$M$126,MATCH(B128,'F7'!$B$10:$B$126,0)),0)</f>
        <v>0</v>
      </c>
      <c r="Q128" s="1500">
        <f t="shared" si="6"/>
        <v>0</v>
      </c>
      <c r="R128" s="1500">
        <f t="shared" si="7"/>
        <v>0</v>
      </c>
      <c r="S128" s="1500">
        <v>0</v>
      </c>
      <c r="T128" s="1501">
        <v>0</v>
      </c>
      <c r="U128" s="1500">
        <f t="shared" si="8"/>
        <v>0</v>
      </c>
      <c r="V128" s="1500">
        <f>_xlfn.IFNA(INDEX('F7'!$R$10:$R$126,MATCH(B128,'F7'!$B$10:$B$126,0)),0)</f>
        <v>0</v>
      </c>
      <c r="W128" s="1500">
        <f t="shared" si="9"/>
        <v>0</v>
      </c>
      <c r="X128" s="1500">
        <f>U128-W128</f>
        <v>0</v>
      </c>
      <c r="Z128" s="1571">
        <v>0</v>
      </c>
    </row>
    <row r="129" spans="2:26">
      <c r="B129" s="1402" t="s">
        <v>1402</v>
      </c>
      <c r="C129" s="1065"/>
      <c r="D129" s="1065"/>
      <c r="E129" s="1065"/>
      <c r="F129" s="1065"/>
      <c r="G129" s="1500"/>
      <c r="H129" s="1500"/>
      <c r="I129" s="1500"/>
      <c r="J129" s="1500"/>
      <c r="K129" s="1500"/>
      <c r="L129" s="1500"/>
      <c r="M129" s="1500">
        <v>0</v>
      </c>
      <c r="N129" s="1500">
        <v>0</v>
      </c>
      <c r="O129" s="1500">
        <f t="shared" si="5"/>
        <v>0</v>
      </c>
      <c r="P129" s="1500">
        <f ca="1">_xlfn.IFNA(INDEX('F7'!$M$10:$M$126,MATCH(B129,'F7'!$B$10:$B$126,0)),0)</f>
        <v>0</v>
      </c>
      <c r="Q129" s="1500">
        <f t="shared" ca="1" si="6"/>
        <v>0</v>
      </c>
      <c r="R129" s="1500">
        <f t="shared" ca="1" si="7"/>
        <v>0</v>
      </c>
      <c r="S129" s="1500">
        <v>0</v>
      </c>
      <c r="T129" s="1501">
        <v>0</v>
      </c>
      <c r="U129" s="1500">
        <f t="shared" si="8"/>
        <v>0</v>
      </c>
      <c r="V129" s="1500">
        <f ca="1">_xlfn.IFNA(INDEX('F7'!$R$10:$R$126,MATCH(B129,'F7'!$B$10:$B$126,0)),0)</f>
        <v>0</v>
      </c>
      <c r="W129" s="1500">
        <f t="shared" ca="1" si="9"/>
        <v>0</v>
      </c>
      <c r="X129" s="1500">
        <f ca="1">U129-W129</f>
        <v>0</v>
      </c>
      <c r="Z129" s="1571">
        <v>0</v>
      </c>
    </row>
    <row r="130" spans="2:26">
      <c r="B130" s="1402" t="s">
        <v>1012</v>
      </c>
      <c r="C130" s="1065"/>
      <c r="D130" s="1065"/>
      <c r="E130" s="1065"/>
      <c r="F130" s="1065"/>
      <c r="G130" s="1500"/>
      <c r="H130" s="1500"/>
      <c r="I130" s="1500"/>
      <c r="J130" s="1500"/>
      <c r="K130" s="1500"/>
      <c r="L130" s="1500"/>
      <c r="M130" s="1500">
        <v>129.34800000000001</v>
      </c>
      <c r="N130" s="1500">
        <v>115.29706668750001</v>
      </c>
      <c r="O130" s="1500">
        <f t="shared" si="5"/>
        <v>8.9137108179098252</v>
      </c>
      <c r="P130" s="1500">
        <f ca="1">_xlfn.IFNA(INDEX('F7'!$M$10:$M$126,MATCH(B130,'F7'!$B$10:$B$126,0)),0)</f>
        <v>189.22653024521347</v>
      </c>
      <c r="Q130" s="1500">
        <f t="shared" ca="1" si="6"/>
        <v>14.629258298946519</v>
      </c>
      <c r="R130" s="1500">
        <f t="shared" ca="1" si="7"/>
        <v>-5.715547481036694</v>
      </c>
      <c r="S130" s="1500">
        <v>143.74533333333335</v>
      </c>
      <c r="T130" s="1501">
        <v>128.22281912291669</v>
      </c>
      <c r="U130" s="1500">
        <f t="shared" si="8"/>
        <v>8.920137868098907</v>
      </c>
      <c r="V130" s="1500">
        <f ca="1">_xlfn.IFNA(INDEX('F7'!$R$10:$R$126,MATCH(B130,'F7'!$B$10:$B$126,0)),0)</f>
        <v>242.01542725711175</v>
      </c>
      <c r="W130" s="1500"/>
      <c r="X130" s="1500">
        <f>U130-W130</f>
        <v>8.920137868098907</v>
      </c>
      <c r="Z130" s="1571">
        <v>0</v>
      </c>
    </row>
    <row r="131" spans="2:26">
      <c r="B131" s="1409" t="s">
        <v>1091</v>
      </c>
      <c r="C131" s="1065"/>
      <c r="D131" s="1065"/>
      <c r="E131" s="1065"/>
      <c r="F131" s="1065"/>
      <c r="G131" s="1500"/>
      <c r="H131" s="1500"/>
      <c r="I131" s="1500"/>
      <c r="J131" s="1500"/>
      <c r="K131" s="1500"/>
      <c r="L131" s="1500"/>
      <c r="M131" s="1500">
        <v>96.190666666666672</v>
      </c>
      <c r="N131" s="1500">
        <v>85.958477083333335</v>
      </c>
      <c r="O131" s="1500">
        <f t="shared" si="5"/>
        <v>8.9362596249809396</v>
      </c>
      <c r="P131" s="1500">
        <f ca="1">_xlfn.IFNA(INDEX('F7'!$M$10:$M$126,MATCH(B131,'F7'!$B$10:$B$126,0)),0)</f>
        <v>74.124403259983055</v>
      </c>
      <c r="Q131" s="1500">
        <f t="shared" ca="1" si="6"/>
        <v>7.7059870597268318</v>
      </c>
      <c r="R131" s="1500">
        <f t="shared" ca="1" si="7"/>
        <v>1.2302725652541078</v>
      </c>
      <c r="S131" s="1500">
        <v>105.80973333333336</v>
      </c>
      <c r="T131" s="1501">
        <v>94.554324791666687</v>
      </c>
      <c r="U131" s="1500">
        <f t="shared" si="8"/>
        <v>8.9362596249809414</v>
      </c>
      <c r="V131" s="1500">
        <f ca="1">_xlfn.IFNA(INDEX('F7'!$R$10:$R$126,MATCH(B131,'F7'!$B$10:$B$126,0)),0)</f>
        <v>101.54776311607442</v>
      </c>
      <c r="W131" s="1500">
        <f t="shared" ca="1" si="9"/>
        <v>9.5972043324376966</v>
      </c>
      <c r="X131" s="1500">
        <f ca="1">U131-W131</f>
        <v>-0.66094470745675515</v>
      </c>
      <c r="Z131" s="1571">
        <v>0</v>
      </c>
    </row>
    <row r="132" spans="2:26">
      <c r="B132" s="1409" t="s">
        <v>1092</v>
      </c>
      <c r="C132" s="1065"/>
      <c r="D132" s="1065"/>
      <c r="E132" s="1065"/>
      <c r="F132" s="1065"/>
      <c r="G132" s="1500"/>
      <c r="H132" s="1500"/>
      <c r="I132" s="1500"/>
      <c r="J132" s="1500"/>
      <c r="K132" s="1500"/>
      <c r="L132" s="1500"/>
      <c r="M132" s="1500">
        <v>18.532</v>
      </c>
      <c r="N132" s="1500">
        <v>15.378131937499999</v>
      </c>
      <c r="O132" s="1500">
        <f t="shared" si="5"/>
        <v>8.2981501929095618</v>
      </c>
      <c r="P132" s="1500">
        <f ca="1">_xlfn.IFNA(INDEX('F7'!$M$10:$M$126,MATCH(B132,'F7'!$B$10:$B$126,0)),0)</f>
        <v>14.272403716428929</v>
      </c>
      <c r="Q132" s="1500">
        <f t="shared" ca="1" si="6"/>
        <v>7.7014913211897955</v>
      </c>
      <c r="R132" s="1500">
        <f t="shared" ca="1" si="7"/>
        <v>0.59665887171976628</v>
      </c>
      <c r="S132" s="1500">
        <v>20.385200000000001</v>
      </c>
      <c r="T132" s="1501">
        <v>16.915945131249998</v>
      </c>
      <c r="U132" s="1500">
        <f t="shared" si="8"/>
        <v>8.29815019290956</v>
      </c>
      <c r="V132" s="1500">
        <f ca="1">_xlfn.IFNA(INDEX('F7'!$R$10:$R$126,MATCH(B132,'F7'!$B$10:$B$126,0)),0)</f>
        <v>19.564092975760893</v>
      </c>
      <c r="W132" s="1500">
        <f t="shared" ca="1" si="9"/>
        <v>9.5972043324376948</v>
      </c>
      <c r="X132" s="1500">
        <f ca="1">U132-W132</f>
        <v>-1.2990541395281348</v>
      </c>
      <c r="Z132" s="1571">
        <v>0</v>
      </c>
    </row>
    <row r="133" spans="2:26">
      <c r="B133" s="1409" t="s">
        <v>1093</v>
      </c>
      <c r="C133" s="1065"/>
      <c r="D133" s="1065"/>
      <c r="E133" s="1065"/>
      <c r="F133" s="1065"/>
      <c r="G133" s="1500"/>
      <c r="H133" s="1500"/>
      <c r="I133" s="1500"/>
      <c r="J133" s="1500"/>
      <c r="K133" s="1500"/>
      <c r="L133" s="1500"/>
      <c r="M133" s="1500">
        <v>14.625333333333332</v>
      </c>
      <c r="N133" s="1500">
        <v>13.960457666666665</v>
      </c>
      <c r="O133" s="1500">
        <f t="shared" si="5"/>
        <v>9.5453945209225992</v>
      </c>
      <c r="P133" s="1500">
        <f ca="1">_xlfn.IFNA(INDEX('F7'!$M$10:$M$126,MATCH(B133,'F7'!$B$10:$B$126,0)),0)</f>
        <v>11.268858175078849</v>
      </c>
      <c r="Q133" s="1500">
        <f t="shared" ca="1" si="6"/>
        <v>7.7050265578531665</v>
      </c>
      <c r="R133" s="1500">
        <f t="shared" ca="1" si="7"/>
        <v>1.8403679630694327</v>
      </c>
      <c r="S133" s="1500">
        <v>17.550399999999996</v>
      </c>
      <c r="T133" s="1501">
        <v>16.752549199999997</v>
      </c>
      <c r="U133" s="1500">
        <f t="shared" si="8"/>
        <v>9.545394520922601</v>
      </c>
      <c r="V133" s="1500">
        <f ca="1">_xlfn.IFNA(INDEX('F7'!$R$10:$R$126,MATCH(B133,'F7'!$B$10:$B$126,0)),0)</f>
        <v>16.843477491601448</v>
      </c>
      <c r="W133" s="1500">
        <f t="shared" ca="1" si="9"/>
        <v>9.5972043324376948</v>
      </c>
      <c r="X133" s="1500">
        <f ca="1">U133-W133</f>
        <v>-5.1809811515093784E-2</v>
      </c>
      <c r="Z133" s="1571">
        <v>0</v>
      </c>
    </row>
    <row r="134" spans="2:26">
      <c r="B134" s="1402" t="s">
        <v>1011</v>
      </c>
      <c r="C134" s="1065"/>
      <c r="D134" s="1065"/>
      <c r="E134" s="1065"/>
      <c r="F134" s="1065"/>
      <c r="G134" s="1500"/>
      <c r="H134" s="1500"/>
      <c r="I134" s="1500"/>
      <c r="J134" s="1500"/>
      <c r="K134" s="1500"/>
      <c r="L134" s="1500"/>
      <c r="M134" s="1500">
        <v>265.78533333333337</v>
      </c>
      <c r="N134" s="1500">
        <v>264.29863216666666</v>
      </c>
      <c r="O134" s="1500">
        <f t="shared" si="5"/>
        <v>9.9440638372320507</v>
      </c>
      <c r="P134" s="1500">
        <f ca="1">_xlfn.IFNA(INDEX('F7'!$M$10:$M$126,MATCH(B134,'F7'!$B$10:$B$126,0)),0)</f>
        <v>252.34328384927932</v>
      </c>
      <c r="Q134" s="1500">
        <f t="shared" ca="1" si="6"/>
        <v>9.4942516460381281</v>
      </c>
      <c r="R134" s="1500">
        <f t="shared" ca="1" si="7"/>
        <v>0.44981219119392257</v>
      </c>
      <c r="S134" s="1500">
        <v>277.70800000000003</v>
      </c>
      <c r="T134" s="1501">
        <v>275.74334912</v>
      </c>
      <c r="U134" s="1500">
        <f t="shared" si="8"/>
        <v>9.9292547971250364</v>
      </c>
      <c r="V134" s="1500">
        <f ca="1">_xlfn.IFNA(INDEX('F7'!$R$10:$R$126,MATCH(B134,'F7'!$B$10:$B$126,0)),0)</f>
        <v>329.6785565698201</v>
      </c>
      <c r="W134" s="1500">
        <f t="shared" ca="1" si="9"/>
        <v>11.871410134739369</v>
      </c>
      <c r="X134" s="1500">
        <f ca="1">U134-W134</f>
        <v>-1.9421553376143326</v>
      </c>
      <c r="Z134" s="1571">
        <v>0</v>
      </c>
    </row>
    <row r="135" spans="2:26">
      <c r="B135" s="1409" t="s">
        <v>1094</v>
      </c>
      <c r="C135" s="1065"/>
      <c r="D135" s="1065"/>
      <c r="E135" s="1065"/>
      <c r="F135" s="1065"/>
      <c r="G135" s="1500"/>
      <c r="H135" s="1500"/>
      <c r="I135" s="1500"/>
      <c r="J135" s="1500"/>
      <c r="K135" s="1500"/>
      <c r="L135" s="1500"/>
      <c r="M135" s="1500">
        <v>45.553333333333335</v>
      </c>
      <c r="N135" s="1500">
        <v>43.426805166666661</v>
      </c>
      <c r="O135" s="1500">
        <f t="shared" si="5"/>
        <v>9.5331783623591377</v>
      </c>
      <c r="P135" s="1500">
        <f ca="1">_xlfn.IFNA(INDEX('F7'!$M$10:$M$126,MATCH(B135,'F7'!$B$10:$B$126,0)),0)</f>
        <v>35.089223917551543</v>
      </c>
      <c r="Q135" s="1500">
        <f t="shared" ca="1" si="6"/>
        <v>7.7028883179170657</v>
      </c>
      <c r="R135" s="1500">
        <f t="shared" ca="1" si="7"/>
        <v>1.830290044442072</v>
      </c>
      <c r="S135" s="1500">
        <v>46.464400000000005</v>
      </c>
      <c r="T135" s="1501">
        <v>44.295341270000002</v>
      </c>
      <c r="U135" s="1500">
        <f t="shared" si="8"/>
        <v>9.5331783623591395</v>
      </c>
      <c r="V135" s="1500">
        <f ca="1">_xlfn.IFNA(INDEX('F7'!$R$10:$R$126,MATCH(B135,'F7'!$B$10:$B$126,0)),0)</f>
        <v>44.592834098411814</v>
      </c>
      <c r="W135" s="1500">
        <f t="shared" ca="1" si="9"/>
        <v>9.5972043324376966</v>
      </c>
      <c r="X135" s="1500">
        <f ca="1">U135-W135</f>
        <v>-6.4025970078557037E-2</v>
      </c>
      <c r="Z135" s="1571">
        <v>0</v>
      </c>
    </row>
    <row r="136" spans="2:26">
      <c r="B136" s="1409" t="s">
        <v>1095</v>
      </c>
      <c r="C136" s="1065"/>
      <c r="D136" s="1065"/>
      <c r="E136" s="1065"/>
      <c r="F136" s="1065"/>
      <c r="G136" s="1500"/>
      <c r="H136" s="1500"/>
      <c r="I136" s="1500"/>
      <c r="J136" s="1500"/>
      <c r="K136" s="1500"/>
      <c r="L136" s="1500"/>
      <c r="M136" s="1500">
        <v>176.66533333333334</v>
      </c>
      <c r="N136" s="1500">
        <v>178.00866966666666</v>
      </c>
      <c r="O136" s="1500">
        <f t="shared" si="5"/>
        <v>10.076038479535693</v>
      </c>
      <c r="P136" s="1500">
        <f ca="1">_xlfn.IFNA(INDEX('F7'!$M$10:$M$126,MATCH(B136,'F7'!$B$10:$B$126,0)),0)</f>
        <v>136.07084347246928</v>
      </c>
      <c r="Q136" s="1500">
        <f t="shared" ca="1" si="6"/>
        <v>7.7021813450933188</v>
      </c>
      <c r="R136" s="1500">
        <f t="shared" ca="1" si="7"/>
        <v>2.3738571344423747</v>
      </c>
      <c r="S136" s="1500">
        <v>185.49860000000001</v>
      </c>
      <c r="T136" s="1501">
        <v>186.52182865</v>
      </c>
      <c r="U136" s="1500">
        <f t="shared" si="8"/>
        <v>10.055160990433352</v>
      </c>
      <c r="V136" s="1500">
        <f ca="1">_xlfn.IFNA(INDEX('F7'!$R$10:$R$126,MATCH(B136,'F7'!$B$10:$B$126,0)),0)</f>
        <v>178.02679675811271</v>
      </c>
      <c r="W136" s="1500">
        <f t="shared" ca="1" si="9"/>
        <v>9.5972043324376948</v>
      </c>
      <c r="X136" s="1500">
        <f ca="1">U136-W136</f>
        <v>0.45795665799565732</v>
      </c>
      <c r="Z136" s="1571">
        <v>0</v>
      </c>
    </row>
    <row r="137" spans="2:26">
      <c r="B137" s="1409" t="s">
        <v>1096</v>
      </c>
      <c r="C137" s="1065"/>
      <c r="D137" s="1065"/>
      <c r="E137" s="1065"/>
      <c r="F137" s="1065"/>
      <c r="G137" s="1500"/>
      <c r="H137" s="1500"/>
      <c r="I137" s="1500"/>
      <c r="J137" s="1500"/>
      <c r="K137" s="1500"/>
      <c r="L137" s="1500"/>
      <c r="M137" s="1500">
        <v>43.566666666666663</v>
      </c>
      <c r="N137" s="1500">
        <v>42.863157333333326</v>
      </c>
      <c r="O137" s="1500">
        <f t="shared" si="5"/>
        <v>9.838521193573067</v>
      </c>
      <c r="P137" s="1500">
        <f ca="1">_xlfn.IFNA(INDEX('F7'!$M$10:$M$126,MATCH(B137,'F7'!$B$10:$B$126,0)),0)</f>
        <v>33.557831376806355</v>
      </c>
      <c r="Q137" s="1500">
        <f t="shared" ca="1" si="6"/>
        <v>7.7026391836586896</v>
      </c>
      <c r="R137" s="1500">
        <f t="shared" ca="1" si="7"/>
        <v>2.1358820099143774</v>
      </c>
      <c r="S137" s="1500">
        <v>45.744999999999997</v>
      </c>
      <c r="T137" s="1501">
        <v>44.9261792</v>
      </c>
      <c r="U137" s="1500">
        <f t="shared" si="8"/>
        <v>9.8210032134659535</v>
      </c>
      <c r="V137" s="1500">
        <f ca="1">_xlfn.IFNA(INDEX('F7'!$R$10:$R$126,MATCH(B137,'F7'!$B$10:$B$126,0)),0)</f>
        <v>43.902411218736233</v>
      </c>
      <c r="W137" s="1500">
        <f t="shared" ca="1" si="9"/>
        <v>9.5972043324376948</v>
      </c>
      <c r="X137" s="1500">
        <f ca="1">U137-W137</f>
        <v>0.22379888102825873</v>
      </c>
      <c r="Z137" s="1571">
        <v>0</v>
      </c>
    </row>
    <row r="138" spans="2:26">
      <c r="B138" s="1402" t="s">
        <v>1425</v>
      </c>
      <c r="C138" s="1065"/>
      <c r="D138" s="1065"/>
      <c r="E138" s="1065"/>
      <c r="F138" s="1065"/>
      <c r="G138" s="1500"/>
      <c r="H138" s="1500"/>
      <c r="I138" s="1500"/>
      <c r="J138" s="1500"/>
      <c r="K138" s="1500"/>
      <c r="L138" s="1500"/>
      <c r="M138" s="1500">
        <v>395.13333333333338</v>
      </c>
      <c r="N138" s="1500">
        <v>379.5956988541667</v>
      </c>
      <c r="O138" s="1500">
        <f t="shared" si="5"/>
        <v>9.6067748992955959</v>
      </c>
      <c r="P138" s="1500">
        <f ca="1">_xlfn.IFNA(INDEX('F7'!$M$10:$M$126,MATCH(B138,'F7'!$B$10:$B$126,0)),0)</f>
        <v>9842.9708804599904</v>
      </c>
      <c r="Q138" s="1500">
        <f t="shared" ca="1" si="6"/>
        <v>249.10505012130898</v>
      </c>
      <c r="R138" s="1500">
        <f t="shared" ca="1" si="7"/>
        <v>-239.49827522201338</v>
      </c>
      <c r="S138" s="1500">
        <v>421.45333333333338</v>
      </c>
      <c r="T138" s="1501">
        <v>403.96616824291669</v>
      </c>
      <c r="U138" s="1500">
        <f t="shared" si="8"/>
        <v>9.5850746996800744</v>
      </c>
      <c r="V138" s="1500">
        <f ca="1">_xlfn.IFNA(INDEX('F7'!$R$10:$R$126,MATCH(B138,'F7'!$B$10:$B$126,0)),0)</f>
        <v>12411.62407831255</v>
      </c>
      <c r="W138" s="1500"/>
      <c r="X138" s="1500">
        <f>U138-W138</f>
        <v>9.5850746996800744</v>
      </c>
      <c r="Z138" s="1571">
        <v>0</v>
      </c>
    </row>
    <row r="139" spans="2:26">
      <c r="B139" s="1409"/>
      <c r="C139" s="1065"/>
      <c r="D139" s="1065"/>
      <c r="E139" s="1065"/>
      <c r="F139" s="1065"/>
      <c r="G139" s="1500"/>
      <c r="H139" s="1500"/>
      <c r="I139" s="1500"/>
      <c r="J139" s="1500"/>
      <c r="K139" s="1500"/>
      <c r="L139" s="1500"/>
      <c r="M139" s="1500">
        <v>0</v>
      </c>
      <c r="N139" s="1500">
        <v>0</v>
      </c>
      <c r="O139" s="1500">
        <f t="shared" si="5"/>
        <v>0</v>
      </c>
      <c r="P139" s="1500">
        <f>_xlfn.IFNA(INDEX('F7'!$M$10:$M$126,MATCH(B139,'F7'!$B$10:$B$126,0)),0)</f>
        <v>0</v>
      </c>
      <c r="Q139" s="1500">
        <f t="shared" si="6"/>
        <v>0</v>
      </c>
      <c r="R139" s="1500">
        <f t="shared" si="7"/>
        <v>0</v>
      </c>
      <c r="S139" s="1500">
        <v>0</v>
      </c>
      <c r="T139" s="1501">
        <v>0</v>
      </c>
      <c r="U139" s="1500">
        <f t="shared" si="8"/>
        <v>0</v>
      </c>
      <c r="V139" s="1500">
        <f>_xlfn.IFNA(INDEX('F7'!$R$10:$R$126,MATCH(B139,'F7'!$B$10:$B$126,0)),0)</f>
        <v>0</v>
      </c>
      <c r="W139" s="1500">
        <f t="shared" si="9"/>
        <v>0</v>
      </c>
      <c r="X139" s="1500">
        <f>U139-W139</f>
        <v>0</v>
      </c>
      <c r="Z139" s="1571">
        <v>0</v>
      </c>
    </row>
    <row r="140" spans="2:26">
      <c r="B140" s="1402" t="s">
        <v>1098</v>
      </c>
      <c r="C140" s="1065"/>
      <c r="D140" s="1065"/>
      <c r="E140" s="1065"/>
      <c r="F140" s="1065"/>
      <c r="G140" s="1500"/>
      <c r="H140" s="1500"/>
      <c r="I140" s="1500"/>
      <c r="J140" s="1500"/>
      <c r="K140" s="1500"/>
      <c r="L140" s="1500"/>
      <c r="M140" s="1500">
        <v>0</v>
      </c>
      <c r="N140" s="1500">
        <v>0</v>
      </c>
      <c r="O140" s="1500">
        <f t="shared" ref="O140:O203" si="10">IFERROR(N140/M140*10,0)</f>
        <v>0</v>
      </c>
      <c r="P140" s="1500">
        <f ca="1">_xlfn.IFNA(INDEX('F7'!$M$10:$M$126,MATCH(B140,'F7'!$B$10:$B$126,0)),0)</f>
        <v>0</v>
      </c>
      <c r="Q140" s="1500">
        <f t="shared" ref="Q140:Q203" ca="1" si="11">IFERROR((P140/M140)*10,0)</f>
        <v>0</v>
      </c>
      <c r="R140" s="1500">
        <f t="shared" ref="R140:R203" ca="1" si="12">O140-Q140</f>
        <v>0</v>
      </c>
      <c r="S140" s="1500">
        <v>0</v>
      </c>
      <c r="T140" s="1501">
        <v>0</v>
      </c>
      <c r="U140" s="1500">
        <f t="shared" ref="U140:U203" si="13">IFERROR(T140/S140*10,0)</f>
        <v>0</v>
      </c>
      <c r="V140" s="1500">
        <f ca="1">_xlfn.IFNA(INDEX('F7'!$R$10:$R$126,MATCH(B140,'F7'!$B$10:$B$126,0)),0)</f>
        <v>0</v>
      </c>
      <c r="W140" s="1500">
        <f t="shared" ref="W140:W203" ca="1" si="14">IFERROR((V140/S140)*10,0)</f>
        <v>0</v>
      </c>
      <c r="X140" s="1500">
        <f ca="1">U140-W140</f>
        <v>0</v>
      </c>
      <c r="Z140" s="1571">
        <v>0</v>
      </c>
    </row>
    <row r="141" spans="2:26">
      <c r="B141" s="1402" t="s">
        <v>476</v>
      </c>
      <c r="C141" s="1065"/>
      <c r="D141" s="1065"/>
      <c r="E141" s="1065"/>
      <c r="F141" s="1065"/>
      <c r="G141" s="1500"/>
      <c r="H141" s="1500"/>
      <c r="I141" s="1500"/>
      <c r="J141" s="1500"/>
      <c r="K141" s="1500"/>
      <c r="L141" s="1500"/>
      <c r="M141" s="1500">
        <v>508.238</v>
      </c>
      <c r="N141" s="1500">
        <v>460.02381996890301</v>
      </c>
      <c r="O141" s="1500">
        <f t="shared" si="10"/>
        <v>9.0513464158308317</v>
      </c>
      <c r="P141" s="1500">
        <f ca="1">_xlfn.IFNA(INDEX('F7'!$M$10:$M$126,MATCH(B141,'F7'!$B$10:$B$126,0)),0)</f>
        <v>1.1389382215576019E-2</v>
      </c>
      <c r="Q141" s="1500">
        <f t="shared" ca="1" si="11"/>
        <v>2.2409544771496856E-4</v>
      </c>
      <c r="R141" s="1500">
        <f t="shared" ca="1" si="12"/>
        <v>9.0511223203831168</v>
      </c>
      <c r="S141" s="1500">
        <v>660.70940000000007</v>
      </c>
      <c r="T141" s="1501">
        <v>605.63607744694366</v>
      </c>
      <c r="U141" s="1500">
        <f t="shared" si="13"/>
        <v>9.1664516570665349</v>
      </c>
      <c r="V141" s="1500">
        <f ca="1">_xlfn.IFNA(INDEX('F7'!$R$10:$R$126,MATCH(B141,'F7'!$B$10:$B$126,0)),0)</f>
        <v>0</v>
      </c>
      <c r="W141" s="1500">
        <f t="shared" ca="1" si="14"/>
        <v>0</v>
      </c>
      <c r="X141" s="1500">
        <f ca="1">U141-W141</f>
        <v>9.1664516570665349</v>
      </c>
      <c r="Z141" s="1571">
        <v>0</v>
      </c>
    </row>
    <row r="142" spans="2:26">
      <c r="B142" s="1409" t="s">
        <v>1099</v>
      </c>
      <c r="C142" s="1065"/>
      <c r="D142" s="1065"/>
      <c r="E142" s="1065"/>
      <c r="F142" s="1065"/>
      <c r="G142" s="1500"/>
      <c r="H142" s="1500"/>
      <c r="I142" s="1500"/>
      <c r="J142" s="1500"/>
      <c r="K142" s="1500"/>
      <c r="L142" s="1500"/>
      <c r="M142" s="1500">
        <v>508.238</v>
      </c>
      <c r="N142" s="1500">
        <v>460.02381996890301</v>
      </c>
      <c r="O142" s="1500">
        <f t="shared" si="10"/>
        <v>9.0513464158308317</v>
      </c>
      <c r="P142" s="1500">
        <f ca="1">_xlfn.IFNA(INDEX('F7'!$M$10:$M$126,MATCH(B142,'F7'!$B$10:$B$126,0)),0)</f>
        <v>391.59956020544445</v>
      </c>
      <c r="Q142" s="1500">
        <f t="shared" ca="1" si="11"/>
        <v>7.705042917008261</v>
      </c>
      <c r="R142" s="1500">
        <f t="shared" ca="1" si="12"/>
        <v>1.3463034988225706</v>
      </c>
      <c r="S142" s="1500">
        <v>660.70940000000007</v>
      </c>
      <c r="T142" s="1501">
        <v>605.63607744694366</v>
      </c>
      <c r="U142" s="1500">
        <f t="shared" si="13"/>
        <v>9.1664516570665349</v>
      </c>
      <c r="V142" s="1500">
        <f ca="1">_xlfn.IFNA(INDEX('F7'!$R$10:$R$126,MATCH(B142,'F7'!$B$10:$B$126,0)),0)</f>
        <v>634.09631161623111</v>
      </c>
      <c r="W142" s="1500">
        <f t="shared" ca="1" si="14"/>
        <v>9.5972043324376948</v>
      </c>
      <c r="X142" s="1500">
        <f ca="1">U142-W142</f>
        <v>-0.43075267537115991</v>
      </c>
      <c r="Z142" s="1571">
        <v>0</v>
      </c>
    </row>
    <row r="143" spans="2:26">
      <c r="B143" s="1402" t="s">
        <v>1404</v>
      </c>
      <c r="C143" s="1065"/>
      <c r="D143" s="1065"/>
      <c r="E143" s="1065"/>
      <c r="F143" s="1065"/>
      <c r="G143" s="1500"/>
      <c r="H143" s="1500"/>
      <c r="I143" s="1500"/>
      <c r="J143" s="1500"/>
      <c r="K143" s="1500"/>
      <c r="L143" s="1500"/>
      <c r="M143" s="1500">
        <v>644.30177472000003</v>
      </c>
      <c r="N143" s="1500">
        <v>746.51308310991953</v>
      </c>
      <c r="O143" s="1500">
        <f t="shared" si="10"/>
        <v>11.586388745154991</v>
      </c>
      <c r="P143" s="1500">
        <f ca="1">_xlfn.IFNA(INDEX('F7'!$M$10:$M$126,MATCH(B143,'F7'!$B$10:$B$126,0)),0)</f>
        <v>0.18246255182096274</v>
      </c>
      <c r="Q143" s="1500">
        <f t="shared" ca="1" si="11"/>
        <v>2.831942406184697E-3</v>
      </c>
      <c r="R143" s="1500">
        <f t="shared" ca="1" si="12"/>
        <v>11.583556802748806</v>
      </c>
      <c r="S143" s="1500">
        <v>322.15088736000001</v>
      </c>
      <c r="T143" s="1501">
        <v>373.25654155495977</v>
      </c>
      <c r="U143" s="1500">
        <f t="shared" si="13"/>
        <v>11.586388745154991</v>
      </c>
      <c r="V143" s="1500">
        <f ca="1">_xlfn.IFNA(INDEX('F7'!$R$10:$R$126,MATCH(B143,'F7'!$B$10:$B$126,0)),0)</f>
        <v>0</v>
      </c>
      <c r="W143" s="1500">
        <f t="shared" ca="1" si="14"/>
        <v>0</v>
      </c>
      <c r="X143" s="1500">
        <f ca="1">U143-W143</f>
        <v>11.586388745154991</v>
      </c>
      <c r="Z143" s="1571">
        <v>0</v>
      </c>
    </row>
    <row r="144" spans="2:26">
      <c r="B144" s="1409" t="s">
        <v>1405</v>
      </c>
      <c r="C144" s="1065"/>
      <c r="D144" s="1065"/>
      <c r="E144" s="1065"/>
      <c r="F144" s="1065"/>
      <c r="G144" s="1500"/>
      <c r="H144" s="1500"/>
      <c r="I144" s="1500"/>
      <c r="J144" s="1500"/>
      <c r="K144" s="1500"/>
      <c r="L144" s="1500"/>
      <c r="M144" s="1500">
        <v>636.73533270000007</v>
      </c>
      <c r="N144" s="1500">
        <v>714.29694369973186</v>
      </c>
      <c r="O144" s="1500">
        <f t="shared" si="10"/>
        <v>11.218113822439239</v>
      </c>
      <c r="P144" s="1500">
        <f ca="1">_xlfn.IFNA(INDEX('F7'!$M$10:$M$126,MATCH(B144,'F7'!$B$10:$B$126,0)),0)</f>
        <v>490.46402692404587</v>
      </c>
      <c r="Q144" s="1500">
        <f t="shared" ca="1" si="11"/>
        <v>7.7027926947966243</v>
      </c>
      <c r="R144" s="1500">
        <f t="shared" ca="1" si="12"/>
        <v>3.5153211276426148</v>
      </c>
      <c r="S144" s="1500">
        <v>318.36766635000004</v>
      </c>
      <c r="T144" s="1501">
        <v>357.14847184986593</v>
      </c>
      <c r="U144" s="1500">
        <f t="shared" si="13"/>
        <v>11.218113822439239</v>
      </c>
      <c r="V144" s="1500">
        <f ca="1">_xlfn.IFNA(INDEX('F7'!$R$10:$R$126,MATCH(B144,'F7'!$B$10:$B$126,0)),0)</f>
        <v>305.54395468022989</v>
      </c>
      <c r="W144" s="1500">
        <f t="shared" ca="1" si="14"/>
        <v>9.5972043324376948</v>
      </c>
      <c r="X144" s="1500">
        <f ca="1">U144-W144</f>
        <v>1.6209094900015444</v>
      </c>
      <c r="Z144" s="1571">
        <v>0</v>
      </c>
    </row>
    <row r="145" spans="2:26">
      <c r="B145" s="1409" t="s">
        <v>1101</v>
      </c>
      <c r="C145" s="1065"/>
      <c r="D145" s="1065"/>
      <c r="E145" s="1065"/>
      <c r="F145" s="1065"/>
      <c r="G145" s="1500"/>
      <c r="H145" s="1500"/>
      <c r="I145" s="1500"/>
      <c r="J145" s="1500"/>
      <c r="K145" s="1500"/>
      <c r="L145" s="1500"/>
      <c r="M145" s="1500">
        <v>7.5664420199999993</v>
      </c>
      <c r="N145" s="1500">
        <v>32.216139410187665</v>
      </c>
      <c r="O145" s="1500">
        <f t="shared" si="10"/>
        <v>42.577659783861883</v>
      </c>
      <c r="P145" s="1500">
        <f ca="1">_xlfn.IFNA(INDEX('F7'!$M$10:$M$126,MATCH(B145,'F7'!$B$10:$B$126,0)),0)</f>
        <v>5.8282734317258216</v>
      </c>
      <c r="Q145" s="1500">
        <f t="shared" ca="1" si="11"/>
        <v>7.7027926947966252</v>
      </c>
      <c r="R145" s="1500">
        <f t="shared" ca="1" si="12"/>
        <v>34.874867089065255</v>
      </c>
      <c r="S145" s="1500">
        <v>3.7832210099999997</v>
      </c>
      <c r="T145" s="1501">
        <v>16.108069705093833</v>
      </c>
      <c r="U145" s="1500">
        <f t="shared" si="13"/>
        <v>42.577659783861883</v>
      </c>
      <c r="V145" s="1500">
        <f ca="1">_xlfn.IFNA(INDEX('F7'!$R$10:$R$126,MATCH(B145,'F7'!$B$10:$B$126,0)),0)</f>
        <v>3.6308345067741312</v>
      </c>
      <c r="W145" s="1500">
        <f t="shared" ca="1" si="14"/>
        <v>9.5972043324376948</v>
      </c>
      <c r="X145" s="1500">
        <f ca="1">U145-W145</f>
        <v>32.980455451424191</v>
      </c>
      <c r="Z145" s="1571">
        <v>0</v>
      </c>
    </row>
    <row r="146" spans="2:26">
      <c r="B146" s="1402" t="s">
        <v>1425</v>
      </c>
      <c r="C146" s="1065"/>
      <c r="D146" s="1065"/>
      <c r="E146" s="1065"/>
      <c r="F146" s="1065"/>
      <c r="G146" s="1500"/>
      <c r="H146" s="1500"/>
      <c r="I146" s="1500"/>
      <c r="J146" s="1500"/>
      <c r="K146" s="1500"/>
      <c r="L146" s="1500"/>
      <c r="M146" s="1500">
        <v>1152.53977472</v>
      </c>
      <c r="N146" s="1500">
        <v>1206.5369030788224</v>
      </c>
      <c r="O146" s="1500">
        <f t="shared" si="10"/>
        <v>10.468505552200494</v>
      </c>
      <c r="P146" s="1500">
        <f ca="1">_xlfn.IFNA(INDEX('F7'!$M$10:$M$126,MATCH(B146,'F7'!$B$10:$B$126,0)),0)</f>
        <v>9842.9708804599904</v>
      </c>
      <c r="Q146" s="1500">
        <f t="shared" ca="1" si="11"/>
        <v>85.402439866782558</v>
      </c>
      <c r="R146" s="1500">
        <f t="shared" ca="1" si="12"/>
        <v>-74.933934314582061</v>
      </c>
      <c r="S146" s="1500">
        <v>982.86028736000003</v>
      </c>
      <c r="T146" s="1501">
        <v>978.89261900190343</v>
      </c>
      <c r="U146" s="1500">
        <f t="shared" si="13"/>
        <v>9.9596314103934969</v>
      </c>
      <c r="V146" s="1500">
        <f ca="1">_xlfn.IFNA(INDEX('F7'!$R$10:$R$126,MATCH(B146,'F7'!$B$10:$B$126,0)),0)</f>
        <v>12411.62407831255</v>
      </c>
      <c r="W146" s="1500"/>
      <c r="X146" s="1500">
        <f>U146-W146</f>
        <v>9.9596314103934969</v>
      </c>
      <c r="Z146" s="1571">
        <v>0</v>
      </c>
    </row>
    <row r="147" spans="2:26">
      <c r="B147" s="1409"/>
      <c r="C147" s="1065"/>
      <c r="D147" s="1065"/>
      <c r="E147" s="1065"/>
      <c r="F147" s="1065"/>
      <c r="G147" s="1500"/>
      <c r="H147" s="1500"/>
      <c r="I147" s="1500"/>
      <c r="J147" s="1500"/>
      <c r="K147" s="1500"/>
      <c r="L147" s="1500"/>
      <c r="M147" s="1500">
        <v>0</v>
      </c>
      <c r="N147" s="1500">
        <v>0</v>
      </c>
      <c r="O147" s="1500">
        <f t="shared" si="10"/>
        <v>0</v>
      </c>
      <c r="P147" s="1500">
        <f>_xlfn.IFNA(INDEX('F7'!$M$10:$M$126,MATCH(B147,'F7'!$B$10:$B$126,0)),0)</f>
        <v>0</v>
      </c>
      <c r="Q147" s="1500">
        <f t="shared" si="11"/>
        <v>0</v>
      </c>
      <c r="R147" s="1500">
        <f t="shared" si="12"/>
        <v>0</v>
      </c>
      <c r="S147" s="1500">
        <v>0</v>
      </c>
      <c r="T147" s="1501">
        <v>0</v>
      </c>
      <c r="U147" s="1500">
        <f t="shared" si="13"/>
        <v>0</v>
      </c>
      <c r="V147" s="1500">
        <f>_xlfn.IFNA(INDEX('F7'!$R$10:$R$126,MATCH(B147,'F7'!$B$10:$B$126,0)),0)</f>
        <v>0</v>
      </c>
      <c r="W147" s="1500">
        <f t="shared" si="14"/>
        <v>0</v>
      </c>
      <c r="X147" s="1500">
        <f>U147-W147</f>
        <v>0</v>
      </c>
      <c r="Z147" s="1571">
        <v>0</v>
      </c>
    </row>
    <row r="148" spans="2:26">
      <c r="B148" s="1402" t="s">
        <v>1406</v>
      </c>
      <c r="C148" s="1065"/>
      <c r="D148" s="1065"/>
      <c r="E148" s="1065"/>
      <c r="F148" s="1065"/>
      <c r="G148" s="1500"/>
      <c r="H148" s="1500"/>
      <c r="I148" s="1500"/>
      <c r="J148" s="1500"/>
      <c r="K148" s="1500"/>
      <c r="L148" s="1500"/>
      <c r="M148" s="1500">
        <v>0</v>
      </c>
      <c r="N148" s="1500">
        <v>0</v>
      </c>
      <c r="O148" s="1500">
        <f t="shared" si="10"/>
        <v>0</v>
      </c>
      <c r="P148" s="1500">
        <f ca="1">_xlfn.IFNA(INDEX('F7'!$M$10:$M$126,MATCH(B148,'F7'!$B$10:$B$126,0)),0)</f>
        <v>0</v>
      </c>
      <c r="Q148" s="1500">
        <f t="shared" ca="1" si="11"/>
        <v>0</v>
      </c>
      <c r="R148" s="1500">
        <f t="shared" ca="1" si="12"/>
        <v>0</v>
      </c>
      <c r="S148" s="1500">
        <v>0</v>
      </c>
      <c r="T148" s="1501">
        <v>0</v>
      </c>
      <c r="U148" s="1500">
        <f t="shared" si="13"/>
        <v>0</v>
      </c>
      <c r="V148" s="1500">
        <f ca="1">_xlfn.IFNA(INDEX('F7'!$R$10:$R$126,MATCH(B148,'F7'!$B$10:$B$126,0)),0)</f>
        <v>0</v>
      </c>
      <c r="W148" s="1500">
        <f t="shared" ca="1" si="14"/>
        <v>0</v>
      </c>
      <c r="X148" s="1500">
        <f ca="1">U148-W148</f>
        <v>0</v>
      </c>
      <c r="Z148" s="1571">
        <v>0</v>
      </c>
    </row>
    <row r="149" spans="2:26">
      <c r="B149" s="1402" t="s">
        <v>476</v>
      </c>
      <c r="C149" s="1065"/>
      <c r="D149" s="1065"/>
      <c r="E149" s="1065"/>
      <c r="F149" s="1065"/>
      <c r="G149" s="1500"/>
      <c r="H149" s="1500"/>
      <c r="I149" s="1500"/>
      <c r="J149" s="1500"/>
      <c r="K149" s="1500"/>
      <c r="L149" s="1500"/>
      <c r="M149" s="1500">
        <v>8.8546666666666667</v>
      </c>
      <c r="N149" s="1500">
        <v>9.1065629999999995</v>
      </c>
      <c r="O149" s="1500">
        <f t="shared" si="10"/>
        <v>10.284478617678058</v>
      </c>
      <c r="P149" s="1500">
        <f ca="1">_xlfn.IFNA(INDEX('F7'!$M$10:$M$126,MATCH(B149,'F7'!$B$10:$B$126,0)),0)</f>
        <v>1.1389382215576019E-2</v>
      </c>
      <c r="Q149" s="1500">
        <f t="shared" ca="1" si="11"/>
        <v>1.2862575909775659E-2</v>
      </c>
      <c r="R149" s="1500">
        <f t="shared" ca="1" si="12"/>
        <v>10.271616041768283</v>
      </c>
      <c r="S149" s="1500">
        <v>9.1203066666666661</v>
      </c>
      <c r="T149" s="1501">
        <v>9.3646338900000003</v>
      </c>
      <c r="U149" s="1500">
        <f t="shared" si="13"/>
        <v>10.267893649043966</v>
      </c>
      <c r="V149" s="1500">
        <f ca="1">_xlfn.IFNA(INDEX('F7'!$R$10:$R$126,MATCH(B149,'F7'!$B$10:$B$126,0)),0)</f>
        <v>0</v>
      </c>
      <c r="W149" s="1500">
        <f t="shared" ca="1" si="14"/>
        <v>0</v>
      </c>
      <c r="X149" s="1500">
        <f ca="1">U149-W149</f>
        <v>10.267893649043966</v>
      </c>
      <c r="Z149" s="1571">
        <v>0</v>
      </c>
    </row>
    <row r="150" spans="2:26">
      <c r="B150" s="1409" t="s">
        <v>1104</v>
      </c>
      <c r="C150" s="1065"/>
      <c r="D150" s="1065"/>
      <c r="E150" s="1065"/>
      <c r="F150" s="1065"/>
      <c r="G150" s="1500"/>
      <c r="H150" s="1500"/>
      <c r="I150" s="1500"/>
      <c r="J150" s="1500"/>
      <c r="K150" s="1500"/>
      <c r="L150" s="1500"/>
      <c r="M150" s="1500">
        <v>3.8279999999999998</v>
      </c>
      <c r="N150" s="1500">
        <v>3.4758168</v>
      </c>
      <c r="O150" s="1500">
        <f t="shared" si="10"/>
        <v>9.0799811912225721</v>
      </c>
      <c r="P150" s="1500">
        <f ca="1">_xlfn.IFNA(INDEX('F7'!$M$10:$M$126,MATCH(B150,'F7'!$B$10:$B$126,0)),0)</f>
        <v>2.9830892186188933</v>
      </c>
      <c r="Q150" s="1500">
        <f t="shared" ca="1" si="11"/>
        <v>7.7928140507285617</v>
      </c>
      <c r="R150" s="1500">
        <f t="shared" ca="1" si="12"/>
        <v>1.2871671404940104</v>
      </c>
      <c r="S150" s="1500">
        <v>3.9428399999999999</v>
      </c>
      <c r="T150" s="1501">
        <v>3.5759777039999996</v>
      </c>
      <c r="U150" s="1500">
        <f t="shared" si="13"/>
        <v>9.0695481023830524</v>
      </c>
      <c r="V150" s="1500">
        <f ca="1">_xlfn.IFNA(INDEX('F7'!$R$10:$R$126,MATCH(B150,'F7'!$B$10:$B$126,0)),0)</f>
        <v>3.7840241130108643</v>
      </c>
      <c r="W150" s="1500">
        <f t="shared" ca="1" si="14"/>
        <v>9.5972043324376948</v>
      </c>
      <c r="X150" s="1500">
        <f ca="1">U150-W150</f>
        <v>-0.52765623005464235</v>
      </c>
      <c r="Z150" s="1571">
        <v>0</v>
      </c>
    </row>
    <row r="151" spans="2:26">
      <c r="B151" s="1409" t="s">
        <v>1105</v>
      </c>
      <c r="C151" s="1065"/>
      <c r="D151" s="1065"/>
      <c r="E151" s="1065"/>
      <c r="F151" s="1065"/>
      <c r="G151" s="1500"/>
      <c r="H151" s="1500"/>
      <c r="I151" s="1500"/>
      <c r="J151" s="1500"/>
      <c r="K151" s="1500"/>
      <c r="L151" s="1500"/>
      <c r="M151" s="1500">
        <v>5.0266666666666664</v>
      </c>
      <c r="N151" s="1500">
        <v>5.630746199999999</v>
      </c>
      <c r="O151" s="1500">
        <f t="shared" si="10"/>
        <v>11.20174973474801</v>
      </c>
      <c r="P151" s="1500">
        <f ca="1">_xlfn.IFNA(INDEX('F7'!$M$10:$M$126,MATCH(B151,'F7'!$B$10:$B$126,0)),0)</f>
        <v>3.9113766453849488</v>
      </c>
      <c r="Q151" s="1500">
        <f t="shared" ca="1" si="11"/>
        <v>7.7812532733122328</v>
      </c>
      <c r="R151" s="1500">
        <f t="shared" ca="1" si="12"/>
        <v>3.4204964614357767</v>
      </c>
      <c r="S151" s="1500">
        <v>5.1774666666666667</v>
      </c>
      <c r="T151" s="1501">
        <v>5.7886561860000008</v>
      </c>
      <c r="U151" s="1500">
        <f t="shared" si="13"/>
        <v>11.180479873039584</v>
      </c>
      <c r="V151" s="1500">
        <f ca="1">_xlfn.IFNA(INDEX('F7'!$R$10:$R$126,MATCH(B151,'F7'!$B$10:$B$126,0)),0)</f>
        <v>4.9689205524385089</v>
      </c>
      <c r="W151" s="1500">
        <f t="shared" ca="1" si="14"/>
        <v>9.5972043324376948</v>
      </c>
      <c r="X151" s="1500">
        <f ca="1">U151-W151</f>
        <v>1.583275540601889</v>
      </c>
      <c r="Z151" s="1571">
        <v>0</v>
      </c>
    </row>
    <row r="152" spans="2:26">
      <c r="B152" s="1402" t="s">
        <v>1404</v>
      </c>
      <c r="C152" s="1065"/>
      <c r="D152" s="1065"/>
      <c r="E152" s="1065"/>
      <c r="F152" s="1065"/>
      <c r="G152" s="1500"/>
      <c r="H152" s="1500"/>
      <c r="I152" s="1500"/>
      <c r="J152" s="1500"/>
      <c r="K152" s="1500"/>
      <c r="L152" s="1500"/>
      <c r="M152" s="1500">
        <v>0.16133333333333333</v>
      </c>
      <c r="N152" s="1500">
        <v>0.16289265625000002</v>
      </c>
      <c r="O152" s="1500">
        <f t="shared" si="10"/>
        <v>10.096652246900828</v>
      </c>
      <c r="P152" s="1500">
        <f ca="1">_xlfn.IFNA(INDEX('F7'!$M$10:$M$126,MATCH(B152,'F7'!$B$10:$B$126,0)),0)</f>
        <v>0.18246255182096274</v>
      </c>
      <c r="Q152" s="1500">
        <f t="shared" ca="1" si="11"/>
        <v>11.309662302952237</v>
      </c>
      <c r="R152" s="1500">
        <f t="shared" ca="1" si="12"/>
        <v>-1.2130100560514094</v>
      </c>
      <c r="S152" s="1500">
        <v>0.16133333333333333</v>
      </c>
      <c r="T152" s="1501">
        <v>0.13270031250000003</v>
      </c>
      <c r="U152" s="1500">
        <f t="shared" si="13"/>
        <v>8.2252259814049609</v>
      </c>
      <c r="V152" s="1500">
        <f ca="1">_xlfn.IFNA(INDEX('F7'!$R$10:$R$126,MATCH(B152,'F7'!$B$10:$B$126,0)),0)</f>
        <v>0</v>
      </c>
      <c r="W152" s="1500">
        <f t="shared" ca="1" si="14"/>
        <v>0</v>
      </c>
      <c r="X152" s="1500">
        <f ca="1">U152-W152</f>
        <v>8.2252259814049609</v>
      </c>
      <c r="Z152" s="1571">
        <v>0</v>
      </c>
    </row>
    <row r="153" spans="2:26">
      <c r="B153" s="1409" t="s">
        <v>1106</v>
      </c>
      <c r="C153" s="1065"/>
      <c r="D153" s="1065"/>
      <c r="E153" s="1065"/>
      <c r="F153" s="1065"/>
      <c r="G153" s="1500"/>
      <c r="H153" s="1500"/>
      <c r="I153" s="1500"/>
      <c r="J153" s="1500"/>
      <c r="K153" s="1500"/>
      <c r="L153" s="1500"/>
      <c r="M153" s="1500">
        <v>0</v>
      </c>
      <c r="N153" s="1500">
        <v>9.7740156250000015E-2</v>
      </c>
      <c r="O153" s="1500">
        <f t="shared" si="10"/>
        <v>0</v>
      </c>
      <c r="P153" s="1500">
        <f ca="1">_xlfn.IFNA(INDEX('F7'!$M$10:$M$126,MATCH(B153,'F7'!$B$10:$B$126,0)),0)</f>
        <v>0</v>
      </c>
      <c r="Q153" s="1500">
        <f t="shared" ca="1" si="11"/>
        <v>0</v>
      </c>
      <c r="R153" s="1500">
        <f t="shared" ca="1" si="12"/>
        <v>0</v>
      </c>
      <c r="S153" s="1500">
        <v>0</v>
      </c>
      <c r="T153" s="1501">
        <v>0.10012406250000001</v>
      </c>
      <c r="U153" s="1500">
        <f t="shared" si="13"/>
        <v>0</v>
      </c>
      <c r="V153" s="1500">
        <f ca="1">_xlfn.IFNA(INDEX('F7'!$R$10:$R$126,MATCH(B153,'F7'!$B$10:$B$126,0)),0)</f>
        <v>0</v>
      </c>
      <c r="W153" s="1500">
        <f t="shared" ca="1" si="14"/>
        <v>0</v>
      </c>
      <c r="X153" s="1500">
        <f ca="1">U153-W153</f>
        <v>0</v>
      </c>
      <c r="Z153" s="1571">
        <v>0</v>
      </c>
    </row>
    <row r="154" spans="2:26">
      <c r="B154" s="1409" t="s">
        <v>1107</v>
      </c>
      <c r="C154" s="1065"/>
      <c r="D154" s="1065"/>
      <c r="E154" s="1065"/>
      <c r="F154" s="1065"/>
      <c r="G154" s="1500"/>
      <c r="H154" s="1500"/>
      <c r="I154" s="1500"/>
      <c r="J154" s="1500"/>
      <c r="K154" s="1500"/>
      <c r="L154" s="1500"/>
      <c r="M154" s="1500">
        <v>0.16133333333333333</v>
      </c>
      <c r="N154" s="1500">
        <v>6.5152500000000002E-2</v>
      </c>
      <c r="O154" s="1500">
        <f t="shared" si="10"/>
        <v>4.0383780991735545</v>
      </c>
      <c r="P154" s="1500">
        <f ca="1">_xlfn.IFNA(INDEX('F7'!$M$10:$M$126,MATCH(B154,'F7'!$B$10:$B$126,0)),0)</f>
        <v>0.124407624387326</v>
      </c>
      <c r="Q154" s="1500">
        <f t="shared" ca="1" si="11"/>
        <v>7.7112163876441739</v>
      </c>
      <c r="R154" s="1500">
        <f t="shared" ca="1" si="12"/>
        <v>-3.6728382884706194</v>
      </c>
      <c r="S154" s="1500">
        <v>0.16133333333333333</v>
      </c>
      <c r="T154" s="1501">
        <v>3.2576250000000001E-2</v>
      </c>
      <c r="U154" s="1500">
        <f t="shared" si="13"/>
        <v>2.0191890495867773</v>
      </c>
      <c r="V154" s="1500">
        <f ca="1">_xlfn.IFNA(INDEX('F7'!$R$10:$R$126,MATCH(B154,'F7'!$B$10:$B$126,0)),0)</f>
        <v>0.15483489656332813</v>
      </c>
      <c r="W154" s="1500">
        <f t="shared" ca="1" si="14"/>
        <v>9.5972043324376948</v>
      </c>
      <c r="X154" s="1500">
        <f ca="1">U154-W154</f>
        <v>-7.5780152828509175</v>
      </c>
      <c r="Z154" s="1571">
        <v>0</v>
      </c>
    </row>
    <row r="155" spans="2:26">
      <c r="B155" s="1402" t="s">
        <v>1425</v>
      </c>
      <c r="C155" s="1065"/>
      <c r="D155" s="1065"/>
      <c r="E155" s="1065"/>
      <c r="F155" s="1065"/>
      <c r="G155" s="1500"/>
      <c r="H155" s="1500"/>
      <c r="I155" s="1500"/>
      <c r="J155" s="1500"/>
      <c r="K155" s="1500"/>
      <c r="L155" s="1500"/>
      <c r="M155" s="1500">
        <v>9.016</v>
      </c>
      <c r="N155" s="1500">
        <v>9.269455656249999</v>
      </c>
      <c r="O155" s="1500">
        <f t="shared" si="10"/>
        <v>10.281117631155723</v>
      </c>
      <c r="P155" s="1500">
        <f ca="1">_xlfn.IFNA(INDEX('F7'!$M$10:$M$126,MATCH(B155,'F7'!$B$10:$B$126,0)),0)</f>
        <v>9842.9708804599904</v>
      </c>
      <c r="Q155" s="1500">
        <f t="shared" ca="1" si="11"/>
        <v>10917.225910004427</v>
      </c>
      <c r="R155" s="1500">
        <f t="shared" ca="1" si="12"/>
        <v>-10906.944792373271</v>
      </c>
      <c r="S155" s="1500">
        <v>9.2816399999999994</v>
      </c>
      <c r="T155" s="1501">
        <v>9.4973342025000012</v>
      </c>
      <c r="U155" s="1500">
        <f t="shared" si="13"/>
        <v>10.232388028947472</v>
      </c>
      <c r="V155" s="1500">
        <f ca="1">_xlfn.IFNA(INDEX('F7'!$R$10:$R$126,MATCH(B155,'F7'!$B$10:$B$126,0)),0)</f>
        <v>12411.62407831255</v>
      </c>
      <c r="W155" s="1500"/>
      <c r="X155" s="1500">
        <f>U155-W155</f>
        <v>10.232388028947472</v>
      </c>
      <c r="Z155" s="1571">
        <v>0</v>
      </c>
    </row>
    <row r="156" spans="2:26">
      <c r="B156" s="1409"/>
      <c r="C156" s="1065"/>
      <c r="D156" s="1065"/>
      <c r="E156" s="1065"/>
      <c r="F156" s="1065"/>
      <c r="G156" s="1500"/>
      <c r="H156" s="1500"/>
      <c r="I156" s="1500"/>
      <c r="J156" s="1500"/>
      <c r="K156" s="1500"/>
      <c r="L156" s="1500"/>
      <c r="M156" s="1500">
        <v>0</v>
      </c>
      <c r="N156" s="1500">
        <v>0</v>
      </c>
      <c r="O156" s="1500">
        <f t="shared" si="10"/>
        <v>0</v>
      </c>
      <c r="P156" s="1500">
        <f>_xlfn.IFNA(INDEX('F7'!$M$10:$M$126,MATCH(B156,'F7'!$B$10:$B$126,0)),0)</f>
        <v>0</v>
      </c>
      <c r="Q156" s="1500">
        <f t="shared" si="11"/>
        <v>0</v>
      </c>
      <c r="R156" s="1500">
        <f t="shared" si="12"/>
        <v>0</v>
      </c>
      <c r="S156" s="1500">
        <v>0</v>
      </c>
      <c r="T156" s="1501">
        <v>0</v>
      </c>
      <c r="U156" s="1500">
        <f t="shared" si="13"/>
        <v>0</v>
      </c>
      <c r="V156" s="1500">
        <f>_xlfn.IFNA(INDEX('F7'!$R$10:$R$126,MATCH(B156,'F7'!$B$10:$B$126,0)),0)</f>
        <v>0</v>
      </c>
      <c r="W156" s="1500">
        <f t="shared" si="14"/>
        <v>0</v>
      </c>
      <c r="X156" s="1500">
        <f>U156-W156</f>
        <v>0</v>
      </c>
      <c r="Z156" s="1571">
        <v>0</v>
      </c>
    </row>
    <row r="157" spans="2:26">
      <c r="B157" s="1402" t="s">
        <v>1109</v>
      </c>
      <c r="C157" s="1065"/>
      <c r="D157" s="1065"/>
      <c r="E157" s="1065"/>
      <c r="F157" s="1065"/>
      <c r="G157" s="1500"/>
      <c r="H157" s="1500"/>
      <c r="I157" s="1500"/>
      <c r="J157" s="1500"/>
      <c r="K157" s="1500"/>
      <c r="L157" s="1500"/>
      <c r="M157" s="1500">
        <v>106.61333333333333</v>
      </c>
      <c r="N157" s="1500">
        <v>54.37805986326034</v>
      </c>
      <c r="O157" s="1500">
        <f t="shared" si="10"/>
        <v>5.1004933588600876</v>
      </c>
      <c r="P157" s="1500">
        <f ca="1">_xlfn.IFNA(INDEX('F7'!$M$10:$M$126,MATCH(B157,'F7'!$B$10:$B$126,0)),0)</f>
        <v>0</v>
      </c>
      <c r="Q157" s="1500">
        <f t="shared" ca="1" si="11"/>
        <v>0</v>
      </c>
      <c r="R157" s="1500">
        <f t="shared" ca="1" si="12"/>
        <v>5.1004933588600876</v>
      </c>
      <c r="S157" s="1500">
        <v>108.7456</v>
      </c>
      <c r="T157" s="1501">
        <v>55.719661078846215</v>
      </c>
      <c r="U157" s="1500">
        <f t="shared" si="13"/>
        <v>5.1238543057232855</v>
      </c>
      <c r="V157" s="1500">
        <f ca="1">_xlfn.IFNA(INDEX('F7'!$R$10:$R$126,MATCH(B157,'F7'!$B$10:$B$126,0)),0)</f>
        <v>0</v>
      </c>
      <c r="W157" s="1500">
        <f t="shared" ca="1" si="14"/>
        <v>0</v>
      </c>
      <c r="X157" s="1500">
        <f ca="1">U157-W157</f>
        <v>5.1238543057232855</v>
      </c>
      <c r="Z157" s="1571">
        <v>0</v>
      </c>
    </row>
    <row r="158" spans="2:26">
      <c r="B158" s="1409"/>
      <c r="C158" s="1065"/>
      <c r="D158" s="1065"/>
      <c r="E158" s="1065"/>
      <c r="F158" s="1065"/>
      <c r="G158" s="1500"/>
      <c r="H158" s="1500"/>
      <c r="I158" s="1500"/>
      <c r="J158" s="1500"/>
      <c r="K158" s="1500"/>
      <c r="L158" s="1500"/>
      <c r="M158" s="1500">
        <v>0</v>
      </c>
      <c r="N158" s="1500">
        <v>0</v>
      </c>
      <c r="O158" s="1500">
        <f t="shared" si="10"/>
        <v>0</v>
      </c>
      <c r="P158" s="1500">
        <f>_xlfn.IFNA(INDEX('F7'!$M$10:$M$126,MATCH(B158,'F7'!$B$10:$B$126,0)),0)</f>
        <v>0</v>
      </c>
      <c r="Q158" s="1500">
        <f t="shared" si="11"/>
        <v>0</v>
      </c>
      <c r="R158" s="1500">
        <f t="shared" si="12"/>
        <v>0</v>
      </c>
      <c r="S158" s="1500">
        <v>0</v>
      </c>
      <c r="T158" s="1501">
        <v>0</v>
      </c>
      <c r="U158" s="1500">
        <f t="shared" si="13"/>
        <v>0</v>
      </c>
      <c r="V158" s="1500">
        <f>_xlfn.IFNA(INDEX('F7'!$R$10:$R$126,MATCH(B158,'F7'!$B$10:$B$126,0)),0)</f>
        <v>0</v>
      </c>
      <c r="W158" s="1500">
        <f t="shared" si="14"/>
        <v>0</v>
      </c>
      <c r="X158" s="1500">
        <f>U158-W158</f>
        <v>0</v>
      </c>
      <c r="Z158" s="1571">
        <v>0</v>
      </c>
    </row>
    <row r="159" spans="2:26">
      <c r="B159" s="1402" t="s">
        <v>1407</v>
      </c>
      <c r="C159" s="1065"/>
      <c r="D159" s="1065"/>
      <c r="E159" s="1065"/>
      <c r="F159" s="1065"/>
      <c r="G159" s="1500"/>
      <c r="H159" s="1500"/>
      <c r="I159" s="1500"/>
      <c r="J159" s="1500"/>
      <c r="K159" s="1500"/>
      <c r="L159" s="1500"/>
      <c r="M159" s="1500">
        <v>0</v>
      </c>
      <c r="N159" s="1500">
        <v>0</v>
      </c>
      <c r="O159" s="1500">
        <f t="shared" si="10"/>
        <v>0</v>
      </c>
      <c r="P159" s="1500">
        <f ca="1">_xlfn.IFNA(INDEX('F7'!$M$10:$M$126,MATCH(B159,'F7'!$B$10:$B$126,0)),0)</f>
        <v>0</v>
      </c>
      <c r="Q159" s="1500">
        <f t="shared" ca="1" si="11"/>
        <v>0</v>
      </c>
      <c r="R159" s="1500">
        <f t="shared" ca="1" si="12"/>
        <v>0</v>
      </c>
      <c r="S159" s="1500">
        <v>0</v>
      </c>
      <c r="T159" s="1501">
        <v>0</v>
      </c>
      <c r="U159" s="1500">
        <f t="shared" si="13"/>
        <v>0</v>
      </c>
      <c r="V159" s="1500">
        <f ca="1">_xlfn.IFNA(INDEX('F7'!$R$10:$R$126,MATCH(B159,'F7'!$B$10:$B$126,0)),0)</f>
        <v>0</v>
      </c>
      <c r="W159" s="1500">
        <f t="shared" ca="1" si="14"/>
        <v>0</v>
      </c>
      <c r="X159" s="1500">
        <f ca="1">U159-W159</f>
        <v>0</v>
      </c>
      <c r="Z159" s="1571">
        <v>0</v>
      </c>
    </row>
    <row r="160" spans="2:26">
      <c r="B160" s="1402" t="s">
        <v>1146</v>
      </c>
      <c r="C160" s="1065"/>
      <c r="D160" s="1065"/>
      <c r="E160" s="1065"/>
      <c r="F160" s="1065"/>
      <c r="G160" s="1500"/>
      <c r="H160" s="1500"/>
      <c r="I160" s="1500"/>
      <c r="J160" s="1500"/>
      <c r="K160" s="1500"/>
      <c r="L160" s="1500"/>
      <c r="M160" s="1500">
        <v>0</v>
      </c>
      <c r="N160" s="1500">
        <v>0</v>
      </c>
      <c r="O160" s="1500">
        <f t="shared" si="10"/>
        <v>0</v>
      </c>
      <c r="P160" s="1500">
        <f ca="1">_xlfn.IFNA(INDEX('F7'!$M$10:$M$126,MATCH(B160,'F7'!$B$10:$B$126,0)),0)</f>
        <v>0</v>
      </c>
      <c r="Q160" s="1500">
        <f t="shared" ca="1" si="11"/>
        <v>0</v>
      </c>
      <c r="R160" s="1500">
        <f t="shared" ca="1" si="12"/>
        <v>0</v>
      </c>
      <c r="S160" s="1500">
        <v>0</v>
      </c>
      <c r="T160" s="1501">
        <v>0</v>
      </c>
      <c r="U160" s="1500">
        <f t="shared" si="13"/>
        <v>0</v>
      </c>
      <c r="V160" s="1500">
        <f ca="1">_xlfn.IFNA(INDEX('F7'!$R$10:$R$126,MATCH(B160,'F7'!$B$10:$B$126,0)),0)</f>
        <v>0</v>
      </c>
      <c r="W160" s="1500">
        <f t="shared" ca="1" si="14"/>
        <v>0</v>
      </c>
      <c r="X160" s="1500">
        <f ca="1">U160-W160</f>
        <v>0</v>
      </c>
      <c r="Z160" s="1571">
        <v>0</v>
      </c>
    </row>
    <row r="161" spans="2:26">
      <c r="B161" s="1409" t="s">
        <v>1408</v>
      </c>
      <c r="C161" s="1065"/>
      <c r="D161" s="1065"/>
      <c r="E161" s="1065"/>
      <c r="F161" s="1065"/>
      <c r="G161" s="1500"/>
      <c r="H161" s="1500"/>
      <c r="I161" s="1500"/>
      <c r="J161" s="1500"/>
      <c r="K161" s="1500"/>
      <c r="L161" s="1500"/>
      <c r="M161" s="1500">
        <v>0</v>
      </c>
      <c r="N161" s="1500">
        <v>0</v>
      </c>
      <c r="O161" s="1500">
        <f t="shared" si="10"/>
        <v>0</v>
      </c>
      <c r="P161" s="1500">
        <f ca="1">_xlfn.IFNA(INDEX('F7'!$M$10:$M$126,MATCH(B161,'F7'!$B$10:$B$126,0)),0)</f>
        <v>0</v>
      </c>
      <c r="Q161" s="1500">
        <f t="shared" ca="1" si="11"/>
        <v>0</v>
      </c>
      <c r="R161" s="1500">
        <f t="shared" ca="1" si="12"/>
        <v>0</v>
      </c>
      <c r="S161" s="1500">
        <v>0</v>
      </c>
      <c r="T161" s="1501">
        <v>0</v>
      </c>
      <c r="U161" s="1500">
        <f t="shared" si="13"/>
        <v>0</v>
      </c>
      <c r="V161" s="1500">
        <f ca="1">_xlfn.IFNA(INDEX('F7'!$R$10:$R$126,MATCH(B161,'F7'!$B$10:$B$126,0)),0)</f>
        <v>0</v>
      </c>
      <c r="W161" s="1500">
        <f t="shared" ca="1" si="14"/>
        <v>0</v>
      </c>
      <c r="X161" s="1500">
        <f ca="1">U161-W161</f>
        <v>0</v>
      </c>
      <c r="Z161" s="1571">
        <v>0</v>
      </c>
    </row>
    <row r="162" spans="2:26">
      <c r="B162" s="1409" t="s">
        <v>1409</v>
      </c>
      <c r="C162" s="1065"/>
      <c r="D162" s="1065"/>
      <c r="E162" s="1065"/>
      <c r="F162" s="1065"/>
      <c r="G162" s="1500"/>
      <c r="H162" s="1500"/>
      <c r="I162" s="1500"/>
      <c r="J162" s="1500"/>
      <c r="K162" s="1500"/>
      <c r="L162" s="1500"/>
      <c r="M162" s="1500">
        <v>0</v>
      </c>
      <c r="N162" s="1500">
        <v>0</v>
      </c>
      <c r="O162" s="1500">
        <f t="shared" si="10"/>
        <v>0</v>
      </c>
      <c r="P162" s="1500">
        <f ca="1">_xlfn.IFNA(INDEX('F7'!$M$10:$M$126,MATCH(B162,'F7'!$B$10:$B$126,0)),0)</f>
        <v>0</v>
      </c>
      <c r="Q162" s="1500">
        <f t="shared" ca="1" si="11"/>
        <v>0</v>
      </c>
      <c r="R162" s="1500">
        <f t="shared" ca="1" si="12"/>
        <v>0</v>
      </c>
      <c r="S162" s="1500">
        <v>0</v>
      </c>
      <c r="T162" s="1501">
        <v>0</v>
      </c>
      <c r="U162" s="1500">
        <f t="shared" si="13"/>
        <v>0</v>
      </c>
      <c r="V162" s="1500">
        <f ca="1">_xlfn.IFNA(INDEX('F7'!$R$10:$R$126,MATCH(B162,'F7'!$B$10:$B$126,0)),0)</f>
        <v>0</v>
      </c>
      <c r="W162" s="1500">
        <f t="shared" ca="1" si="14"/>
        <v>0</v>
      </c>
      <c r="X162" s="1500">
        <f ca="1">U162-W162</f>
        <v>0</v>
      </c>
      <c r="Z162" s="1571">
        <v>0</v>
      </c>
    </row>
    <row r="163" spans="2:26">
      <c r="B163" s="1402" t="s">
        <v>1461</v>
      </c>
      <c r="C163" s="1065"/>
      <c r="D163" s="1065"/>
      <c r="E163" s="1065"/>
      <c r="F163" s="1065"/>
      <c r="G163" s="1500"/>
      <c r="H163" s="1500"/>
      <c r="I163" s="1500"/>
      <c r="J163" s="1500"/>
      <c r="K163" s="1500"/>
      <c r="L163" s="1500"/>
      <c r="M163" s="1500">
        <v>2.6304000000000001E-2</v>
      </c>
      <c r="N163" s="1500">
        <v>2.0254080000000001E-2</v>
      </c>
      <c r="O163" s="1500">
        <f t="shared" si="10"/>
        <v>7.7</v>
      </c>
      <c r="P163" s="1500">
        <f>_xlfn.IFNA(INDEX('F7'!$M$10:$M$126,MATCH(B163,'F7'!$B$10:$B$126,0)),0)</f>
        <v>0</v>
      </c>
      <c r="Q163" s="1500">
        <f t="shared" si="11"/>
        <v>0</v>
      </c>
      <c r="R163" s="1500">
        <f t="shared" si="12"/>
        <v>7.7</v>
      </c>
      <c r="S163" s="1500">
        <v>2.8934400000000002E-2</v>
      </c>
      <c r="T163" s="1501">
        <v>2.2279488000000004E-2</v>
      </c>
      <c r="U163" s="1500">
        <f t="shared" si="13"/>
        <v>7.7</v>
      </c>
      <c r="V163" s="1500">
        <f>_xlfn.IFNA(INDEX('F7'!$R$10:$R$126,MATCH(B163,'F7'!$B$10:$B$126,0)),0)</f>
        <v>0</v>
      </c>
      <c r="W163" s="1500">
        <f t="shared" si="14"/>
        <v>0</v>
      </c>
      <c r="X163" s="1500">
        <f>U163-W163</f>
        <v>7.7</v>
      </c>
      <c r="Z163" s="1571">
        <v>0</v>
      </c>
    </row>
    <row r="164" spans="2:26">
      <c r="B164" s="1402" t="s">
        <v>469</v>
      </c>
      <c r="C164" s="1065"/>
      <c r="D164" s="1065"/>
      <c r="E164" s="1065"/>
      <c r="F164" s="1065"/>
      <c r="G164" s="1500"/>
      <c r="H164" s="1500"/>
      <c r="I164" s="1500"/>
      <c r="J164" s="1500"/>
      <c r="K164" s="1500"/>
      <c r="L164" s="1500"/>
      <c r="M164" s="1500">
        <v>2.6304000000000001E-2</v>
      </c>
      <c r="N164" s="1500">
        <v>2.0254080000000001E-2</v>
      </c>
      <c r="O164" s="1500">
        <f t="shared" si="10"/>
        <v>7.7</v>
      </c>
      <c r="P164" s="1500">
        <f ca="1">_xlfn.IFNA(INDEX('F7'!$M$10:$M$126,MATCH(B164,'F7'!$B$10:$B$126,0)),0)</f>
        <v>2.0471885861600113E-2</v>
      </c>
      <c r="Q164" s="1500">
        <f t="shared" ca="1" si="11"/>
        <v>7.7828033232968794</v>
      </c>
      <c r="R164" s="1500">
        <f t="shared" ca="1" si="12"/>
        <v>-8.2803323296879228E-2</v>
      </c>
      <c r="S164" s="1500">
        <v>2.8934400000000002E-2</v>
      </c>
      <c r="T164" s="1501">
        <v>2.2279488000000004E-2</v>
      </c>
      <c r="U164" s="1500">
        <f t="shared" si="13"/>
        <v>7.7</v>
      </c>
      <c r="V164" s="1500">
        <f ca="1">_xlfn.IFNA(INDEX('F7'!$R$10:$R$126,MATCH(B164,'F7'!$B$10:$B$126,0)),0)</f>
        <v>2.776893490364853E-2</v>
      </c>
      <c r="W164" s="1500">
        <f t="shared" ca="1" si="14"/>
        <v>9.5972043324376966</v>
      </c>
      <c r="X164" s="1500">
        <f ca="1">U164-W164</f>
        <v>-1.8972043324376964</v>
      </c>
      <c r="Z164" s="1571">
        <v>0</v>
      </c>
    </row>
    <row r="165" spans="2:26">
      <c r="B165" s="1411" t="s">
        <v>1013</v>
      </c>
      <c r="C165" s="1065"/>
      <c r="D165" s="1065"/>
      <c r="E165" s="1065"/>
      <c r="F165" s="1065"/>
      <c r="G165" s="1500"/>
      <c r="H165" s="1500"/>
      <c r="I165" s="1500"/>
      <c r="J165" s="1500"/>
      <c r="K165" s="1500"/>
      <c r="L165" s="1500"/>
      <c r="M165" s="1500">
        <v>0</v>
      </c>
      <c r="N165" s="1500">
        <v>0</v>
      </c>
      <c r="O165" s="1500">
        <f t="shared" si="10"/>
        <v>0</v>
      </c>
      <c r="P165" s="1500">
        <f>_xlfn.IFNA(INDEX('F7'!$M$10:$M$126,MATCH(B165,'F7'!$B$10:$B$126,0)),0)</f>
        <v>0</v>
      </c>
      <c r="Q165" s="1500">
        <f t="shared" si="11"/>
        <v>0</v>
      </c>
      <c r="R165" s="1500">
        <f t="shared" si="12"/>
        <v>0</v>
      </c>
      <c r="S165" s="1500">
        <v>0</v>
      </c>
      <c r="T165" s="1501">
        <v>0</v>
      </c>
      <c r="U165" s="1500">
        <f t="shared" si="13"/>
        <v>0</v>
      </c>
      <c r="V165" s="1500">
        <f>_xlfn.IFNA(INDEX('F7'!$R$10:$R$126,MATCH(B165,'F7'!$B$10:$B$126,0)),0)</f>
        <v>0</v>
      </c>
      <c r="W165" s="1500">
        <f t="shared" si="14"/>
        <v>0</v>
      </c>
      <c r="X165" s="1500">
        <f>U165-W165</f>
        <v>0</v>
      </c>
      <c r="Z165" s="1571">
        <v>0</v>
      </c>
    </row>
    <row r="166" spans="2:26">
      <c r="B166" s="1412" t="s">
        <v>1430</v>
      </c>
      <c r="C166" s="1065"/>
      <c r="D166" s="1065"/>
      <c r="E166" s="1065"/>
      <c r="F166" s="1065"/>
      <c r="G166" s="1500"/>
      <c r="H166" s="1500"/>
      <c r="I166" s="1500"/>
      <c r="J166" s="1500"/>
      <c r="K166" s="1500"/>
      <c r="L166" s="1500"/>
      <c r="M166" s="1500">
        <v>0</v>
      </c>
      <c r="N166" s="1500">
        <v>0</v>
      </c>
      <c r="O166" s="1500">
        <f t="shared" si="10"/>
        <v>0</v>
      </c>
      <c r="P166" s="1500">
        <f>_xlfn.IFNA(INDEX('F7'!$M$10:$M$126,MATCH(B166,'F7'!$B$10:$B$126,0)),0)</f>
        <v>0</v>
      </c>
      <c r="Q166" s="1500">
        <f t="shared" si="11"/>
        <v>0</v>
      </c>
      <c r="R166" s="1500">
        <f t="shared" si="12"/>
        <v>0</v>
      </c>
      <c r="S166" s="1500">
        <v>0</v>
      </c>
      <c r="T166" s="1501">
        <v>0</v>
      </c>
      <c r="U166" s="1500">
        <f t="shared" si="13"/>
        <v>0</v>
      </c>
      <c r="V166" s="1500">
        <f>_xlfn.IFNA(INDEX('F7'!$R$10:$R$126,MATCH(B166,'F7'!$B$10:$B$126,0)),0)</f>
        <v>0</v>
      </c>
      <c r="W166" s="1500">
        <f t="shared" si="14"/>
        <v>0</v>
      </c>
      <c r="X166" s="1500">
        <f>U166-W166</f>
        <v>0</v>
      </c>
      <c r="Z166" s="1571">
        <v>0</v>
      </c>
    </row>
    <row r="167" spans="2:26">
      <c r="B167" s="1412" t="s">
        <v>1431</v>
      </c>
      <c r="C167" s="1065"/>
      <c r="D167" s="1065"/>
      <c r="E167" s="1065"/>
      <c r="F167" s="1065"/>
      <c r="G167" s="1500"/>
      <c r="H167" s="1500"/>
      <c r="I167" s="1500"/>
      <c r="J167" s="1500"/>
      <c r="K167" s="1500"/>
      <c r="L167" s="1500"/>
      <c r="M167" s="1500">
        <v>0</v>
      </c>
      <c r="N167" s="1500">
        <v>0</v>
      </c>
      <c r="O167" s="1500">
        <f t="shared" si="10"/>
        <v>0</v>
      </c>
      <c r="P167" s="1500">
        <f>_xlfn.IFNA(INDEX('F7'!$M$10:$M$126,MATCH(B167,'F7'!$B$10:$B$126,0)),0)</f>
        <v>0</v>
      </c>
      <c r="Q167" s="1500">
        <f t="shared" si="11"/>
        <v>0</v>
      </c>
      <c r="R167" s="1500">
        <f t="shared" si="12"/>
        <v>0</v>
      </c>
      <c r="S167" s="1500">
        <v>0</v>
      </c>
      <c r="T167" s="1501">
        <v>0</v>
      </c>
      <c r="U167" s="1500">
        <f t="shared" si="13"/>
        <v>0</v>
      </c>
      <c r="V167" s="1500">
        <f>_xlfn.IFNA(INDEX('F7'!$R$10:$R$126,MATCH(B167,'F7'!$B$10:$B$126,0)),0)</f>
        <v>0</v>
      </c>
      <c r="W167" s="1500">
        <f t="shared" si="14"/>
        <v>0</v>
      </c>
      <c r="X167" s="1500">
        <f>U167-W167</f>
        <v>0</v>
      </c>
      <c r="Z167" s="1571">
        <v>0</v>
      </c>
    </row>
    <row r="168" spans="2:26">
      <c r="B168" s="1412" t="s">
        <v>1432</v>
      </c>
      <c r="C168" s="1065"/>
      <c r="D168" s="1065"/>
      <c r="E168" s="1065"/>
      <c r="F168" s="1065"/>
      <c r="G168" s="1500"/>
      <c r="H168" s="1500"/>
      <c r="I168" s="1500"/>
      <c r="J168" s="1500"/>
      <c r="K168" s="1500"/>
      <c r="L168" s="1500"/>
      <c r="M168" s="1500">
        <v>0</v>
      </c>
      <c r="N168" s="1500">
        <v>0</v>
      </c>
      <c r="O168" s="1500">
        <f t="shared" si="10"/>
        <v>0</v>
      </c>
      <c r="P168" s="1500">
        <f>_xlfn.IFNA(INDEX('F7'!$M$10:$M$126,MATCH(B168,'F7'!$B$10:$B$126,0)),0)</f>
        <v>0</v>
      </c>
      <c r="Q168" s="1500">
        <f t="shared" si="11"/>
        <v>0</v>
      </c>
      <c r="R168" s="1500">
        <f t="shared" si="12"/>
        <v>0</v>
      </c>
      <c r="S168" s="1500">
        <v>0</v>
      </c>
      <c r="T168" s="1501">
        <v>0</v>
      </c>
      <c r="U168" s="1500">
        <f t="shared" si="13"/>
        <v>0</v>
      </c>
      <c r="V168" s="1500">
        <f>_xlfn.IFNA(INDEX('F7'!$R$10:$R$126,MATCH(B168,'F7'!$B$10:$B$126,0)),0)</f>
        <v>0</v>
      </c>
      <c r="W168" s="1500">
        <f t="shared" si="14"/>
        <v>0</v>
      </c>
      <c r="X168" s="1500">
        <f>U168-W168</f>
        <v>0</v>
      </c>
      <c r="Z168" s="1571">
        <v>0</v>
      </c>
    </row>
    <row r="169" spans="2:26">
      <c r="B169" s="1412" t="s">
        <v>1433</v>
      </c>
      <c r="C169" s="1065"/>
      <c r="D169" s="1065"/>
      <c r="E169" s="1065"/>
      <c r="F169" s="1065"/>
      <c r="G169" s="1500"/>
      <c r="H169" s="1500"/>
      <c r="I169" s="1500"/>
      <c r="J169" s="1500"/>
      <c r="K169" s="1500"/>
      <c r="L169" s="1500"/>
      <c r="M169" s="1500">
        <v>0</v>
      </c>
      <c r="N169" s="1500">
        <v>0</v>
      </c>
      <c r="O169" s="1500">
        <f t="shared" si="10"/>
        <v>0</v>
      </c>
      <c r="P169" s="1500">
        <f>_xlfn.IFNA(INDEX('F7'!$M$10:$M$126,MATCH(B169,'F7'!$B$10:$B$126,0)),0)</f>
        <v>0</v>
      </c>
      <c r="Q169" s="1500">
        <f t="shared" si="11"/>
        <v>0</v>
      </c>
      <c r="R169" s="1500">
        <f t="shared" si="12"/>
        <v>0</v>
      </c>
      <c r="S169" s="1500">
        <v>0</v>
      </c>
      <c r="T169" s="1501">
        <v>0</v>
      </c>
      <c r="U169" s="1500">
        <f t="shared" si="13"/>
        <v>0</v>
      </c>
      <c r="V169" s="1500">
        <f>_xlfn.IFNA(INDEX('F7'!$R$10:$R$126,MATCH(B169,'F7'!$B$10:$B$126,0)),0)</f>
        <v>0</v>
      </c>
      <c r="W169" s="1500">
        <f t="shared" si="14"/>
        <v>0</v>
      </c>
      <c r="X169" s="1500">
        <f>U169-W169</f>
        <v>0</v>
      </c>
      <c r="Z169" s="1571">
        <v>0</v>
      </c>
    </row>
    <row r="170" spans="2:26">
      <c r="B170" s="1411" t="s">
        <v>1014</v>
      </c>
      <c r="C170" s="1065"/>
      <c r="D170" s="1065"/>
      <c r="E170" s="1065"/>
      <c r="F170" s="1065"/>
      <c r="G170" s="1500"/>
      <c r="H170" s="1500"/>
      <c r="I170" s="1500"/>
      <c r="J170" s="1500"/>
      <c r="K170" s="1500"/>
      <c r="L170" s="1500"/>
      <c r="M170" s="1500">
        <v>0</v>
      </c>
      <c r="N170" s="1500">
        <v>0</v>
      </c>
      <c r="O170" s="1500">
        <f t="shared" si="10"/>
        <v>0</v>
      </c>
      <c r="P170" s="1500">
        <f>_xlfn.IFNA(INDEX('F7'!$M$10:$M$126,MATCH(B170,'F7'!$B$10:$B$126,0)),0)</f>
        <v>0</v>
      </c>
      <c r="Q170" s="1500">
        <f t="shared" si="11"/>
        <v>0</v>
      </c>
      <c r="R170" s="1500">
        <f t="shared" si="12"/>
        <v>0</v>
      </c>
      <c r="S170" s="1500">
        <v>0</v>
      </c>
      <c r="T170" s="1501">
        <v>0</v>
      </c>
      <c r="U170" s="1500">
        <f t="shared" si="13"/>
        <v>0</v>
      </c>
      <c r="V170" s="1500">
        <f>_xlfn.IFNA(INDEX('F7'!$R$10:$R$126,MATCH(B170,'F7'!$B$10:$B$126,0)),0)</f>
        <v>0</v>
      </c>
      <c r="W170" s="1500">
        <f t="shared" si="14"/>
        <v>0</v>
      </c>
      <c r="X170" s="1500">
        <f>U170-W170</f>
        <v>0</v>
      </c>
      <c r="Z170" s="1571">
        <v>0</v>
      </c>
    </row>
    <row r="171" spans="2:26">
      <c r="B171" s="1412" t="s">
        <v>1430</v>
      </c>
      <c r="C171" s="1065"/>
      <c r="D171" s="1065"/>
      <c r="E171" s="1065"/>
      <c r="F171" s="1065"/>
      <c r="G171" s="1500"/>
      <c r="H171" s="1500"/>
      <c r="I171" s="1500"/>
      <c r="J171" s="1500"/>
      <c r="K171" s="1500"/>
      <c r="L171" s="1500"/>
      <c r="M171" s="1500">
        <v>0</v>
      </c>
      <c r="N171" s="1500">
        <v>0</v>
      </c>
      <c r="O171" s="1500">
        <f t="shared" si="10"/>
        <v>0</v>
      </c>
      <c r="P171" s="1500">
        <f>_xlfn.IFNA(INDEX('F7'!$M$10:$M$126,MATCH(B171,'F7'!$B$10:$B$126,0)),0)</f>
        <v>0</v>
      </c>
      <c r="Q171" s="1500">
        <f t="shared" si="11"/>
        <v>0</v>
      </c>
      <c r="R171" s="1500">
        <f t="shared" si="12"/>
        <v>0</v>
      </c>
      <c r="S171" s="1500">
        <v>0</v>
      </c>
      <c r="T171" s="1501">
        <v>0</v>
      </c>
      <c r="U171" s="1500">
        <f t="shared" si="13"/>
        <v>0</v>
      </c>
      <c r="V171" s="1500">
        <f>_xlfn.IFNA(INDEX('F7'!$R$10:$R$126,MATCH(B171,'F7'!$B$10:$B$126,0)),0)</f>
        <v>0</v>
      </c>
      <c r="W171" s="1500">
        <f t="shared" si="14"/>
        <v>0</v>
      </c>
      <c r="X171" s="1500">
        <f>U171-W171</f>
        <v>0</v>
      </c>
      <c r="Z171" s="1571">
        <v>0</v>
      </c>
    </row>
    <row r="172" spans="2:26">
      <c r="B172" s="1412" t="s">
        <v>1431</v>
      </c>
      <c r="C172" s="1065"/>
      <c r="D172" s="1065"/>
      <c r="E172" s="1065"/>
      <c r="F172" s="1065"/>
      <c r="G172" s="1500"/>
      <c r="H172" s="1500"/>
      <c r="I172" s="1500"/>
      <c r="J172" s="1500"/>
      <c r="K172" s="1500"/>
      <c r="L172" s="1500"/>
      <c r="M172" s="1500">
        <v>0</v>
      </c>
      <c r="N172" s="1500">
        <v>0</v>
      </c>
      <c r="O172" s="1500">
        <f t="shared" si="10"/>
        <v>0</v>
      </c>
      <c r="P172" s="1500">
        <f>_xlfn.IFNA(INDEX('F7'!$M$10:$M$126,MATCH(B172,'F7'!$B$10:$B$126,0)),0)</f>
        <v>0</v>
      </c>
      <c r="Q172" s="1500">
        <f t="shared" si="11"/>
        <v>0</v>
      </c>
      <c r="R172" s="1500">
        <f t="shared" si="12"/>
        <v>0</v>
      </c>
      <c r="S172" s="1500">
        <v>0</v>
      </c>
      <c r="T172" s="1501">
        <v>0</v>
      </c>
      <c r="U172" s="1500">
        <f t="shared" si="13"/>
        <v>0</v>
      </c>
      <c r="V172" s="1500">
        <f>_xlfn.IFNA(INDEX('F7'!$R$10:$R$126,MATCH(B172,'F7'!$B$10:$B$126,0)),0)</f>
        <v>0</v>
      </c>
      <c r="W172" s="1500">
        <f t="shared" si="14"/>
        <v>0</v>
      </c>
      <c r="X172" s="1500">
        <f>U172-W172</f>
        <v>0</v>
      </c>
      <c r="Z172" s="1571">
        <v>0</v>
      </c>
    </row>
    <row r="173" spans="2:26">
      <c r="B173" s="1412" t="s">
        <v>1432</v>
      </c>
      <c r="C173" s="1065"/>
      <c r="D173" s="1065"/>
      <c r="E173" s="1065"/>
      <c r="F173" s="1065"/>
      <c r="G173" s="1500"/>
      <c r="H173" s="1500"/>
      <c r="I173" s="1500"/>
      <c r="J173" s="1500"/>
      <c r="K173" s="1500"/>
      <c r="L173" s="1500"/>
      <c r="M173" s="1500">
        <v>0</v>
      </c>
      <c r="N173" s="1500">
        <v>0</v>
      </c>
      <c r="O173" s="1500">
        <f t="shared" si="10"/>
        <v>0</v>
      </c>
      <c r="P173" s="1500">
        <f>_xlfn.IFNA(INDEX('F7'!$M$10:$M$126,MATCH(B173,'F7'!$B$10:$B$126,0)),0)</f>
        <v>0</v>
      </c>
      <c r="Q173" s="1500">
        <f t="shared" si="11"/>
        <v>0</v>
      </c>
      <c r="R173" s="1500">
        <f t="shared" si="12"/>
        <v>0</v>
      </c>
      <c r="S173" s="1500">
        <v>0</v>
      </c>
      <c r="T173" s="1501">
        <v>0</v>
      </c>
      <c r="U173" s="1500">
        <f t="shared" si="13"/>
        <v>0</v>
      </c>
      <c r="V173" s="1500">
        <f>_xlfn.IFNA(INDEX('F7'!$R$10:$R$126,MATCH(B173,'F7'!$B$10:$B$126,0)),0)</f>
        <v>0</v>
      </c>
      <c r="W173" s="1500">
        <f t="shared" si="14"/>
        <v>0</v>
      </c>
      <c r="X173" s="1500">
        <f>U173-W173</f>
        <v>0</v>
      </c>
      <c r="Z173" s="1571">
        <v>0</v>
      </c>
    </row>
    <row r="174" spans="2:26">
      <c r="B174" s="1412" t="s">
        <v>1433</v>
      </c>
      <c r="C174" s="1065"/>
      <c r="D174" s="1065"/>
      <c r="E174" s="1065"/>
      <c r="F174" s="1065"/>
      <c r="G174" s="1500"/>
      <c r="H174" s="1500"/>
      <c r="I174" s="1500"/>
      <c r="J174" s="1500"/>
      <c r="K174" s="1500"/>
      <c r="L174" s="1500"/>
      <c r="M174" s="1500">
        <v>0</v>
      </c>
      <c r="N174" s="1500">
        <v>0</v>
      </c>
      <c r="O174" s="1500">
        <f t="shared" si="10"/>
        <v>0</v>
      </c>
      <c r="P174" s="1500">
        <f>_xlfn.IFNA(INDEX('F7'!$M$10:$M$126,MATCH(B174,'F7'!$B$10:$B$126,0)),0)</f>
        <v>0</v>
      </c>
      <c r="Q174" s="1500">
        <f t="shared" si="11"/>
        <v>0</v>
      </c>
      <c r="R174" s="1500">
        <f t="shared" si="12"/>
        <v>0</v>
      </c>
      <c r="S174" s="1500">
        <v>0</v>
      </c>
      <c r="T174" s="1501">
        <v>0</v>
      </c>
      <c r="U174" s="1500">
        <f t="shared" si="13"/>
        <v>0</v>
      </c>
      <c r="V174" s="1500">
        <f>_xlfn.IFNA(INDEX('F7'!$R$10:$R$126,MATCH(B174,'F7'!$B$10:$B$126,0)),0)</f>
        <v>0</v>
      </c>
      <c r="W174" s="1500">
        <f t="shared" si="14"/>
        <v>0</v>
      </c>
      <c r="X174" s="1500">
        <f>U174-W174</f>
        <v>0</v>
      </c>
      <c r="Z174" s="1571">
        <v>0</v>
      </c>
    </row>
    <row r="175" spans="2:26">
      <c r="B175" s="1402" t="s">
        <v>470</v>
      </c>
      <c r="C175" s="1065"/>
      <c r="D175" s="1065"/>
      <c r="E175" s="1065"/>
      <c r="F175" s="1065"/>
      <c r="G175" s="1500"/>
      <c r="H175" s="1500"/>
      <c r="I175" s="1500"/>
      <c r="J175" s="1500"/>
      <c r="K175" s="1500"/>
      <c r="L175" s="1500"/>
      <c r="M175" s="1500">
        <v>0</v>
      </c>
      <c r="N175" s="1500">
        <v>0</v>
      </c>
      <c r="O175" s="1500">
        <f t="shared" si="10"/>
        <v>0</v>
      </c>
      <c r="P175" s="1500">
        <f ca="1">_xlfn.IFNA(INDEX('F7'!$M$10:$M$126,MATCH(B175,'F7'!$B$10:$B$126,0)),0)</f>
        <v>0</v>
      </c>
      <c r="Q175" s="1500">
        <f t="shared" ca="1" si="11"/>
        <v>0</v>
      </c>
      <c r="R175" s="1500">
        <f t="shared" ca="1" si="12"/>
        <v>0</v>
      </c>
      <c r="S175" s="1500">
        <v>0</v>
      </c>
      <c r="T175" s="1501">
        <v>0</v>
      </c>
      <c r="U175" s="1500">
        <f t="shared" si="13"/>
        <v>0</v>
      </c>
      <c r="V175" s="1500">
        <f ca="1">_xlfn.IFNA(INDEX('F7'!$R$10:$R$126,MATCH(B175,'F7'!$B$10:$B$126,0)),0)</f>
        <v>0</v>
      </c>
      <c r="W175" s="1500">
        <f t="shared" ca="1" si="14"/>
        <v>0</v>
      </c>
      <c r="X175" s="1500">
        <f ca="1">U175-W175</f>
        <v>0</v>
      </c>
      <c r="Z175" s="1571">
        <v>0</v>
      </c>
    </row>
    <row r="176" spans="2:26">
      <c r="B176" s="1411" t="s">
        <v>1013</v>
      </c>
      <c r="C176" s="1065"/>
      <c r="D176" s="1065"/>
      <c r="E176" s="1065"/>
      <c r="F176" s="1065"/>
      <c r="G176" s="1500"/>
      <c r="H176" s="1500"/>
      <c r="I176" s="1500"/>
      <c r="J176" s="1500"/>
      <c r="K176" s="1500"/>
      <c r="L176" s="1500"/>
      <c r="M176" s="1500">
        <v>0</v>
      </c>
      <c r="N176" s="1500">
        <v>0</v>
      </c>
      <c r="O176" s="1500">
        <f t="shared" si="10"/>
        <v>0</v>
      </c>
      <c r="P176" s="1500">
        <f>_xlfn.IFNA(INDEX('F7'!$M$10:$M$126,MATCH(B176,'F7'!$B$10:$B$126,0)),0)</f>
        <v>0</v>
      </c>
      <c r="Q176" s="1500">
        <f t="shared" si="11"/>
        <v>0</v>
      </c>
      <c r="R176" s="1500">
        <f t="shared" si="12"/>
        <v>0</v>
      </c>
      <c r="S176" s="1500">
        <v>0</v>
      </c>
      <c r="T176" s="1501">
        <v>0</v>
      </c>
      <c r="U176" s="1500">
        <f t="shared" si="13"/>
        <v>0</v>
      </c>
      <c r="V176" s="1500">
        <f>_xlfn.IFNA(INDEX('F7'!$R$10:$R$126,MATCH(B176,'F7'!$B$10:$B$126,0)),0)</f>
        <v>0</v>
      </c>
      <c r="W176" s="1500">
        <f t="shared" si="14"/>
        <v>0</v>
      </c>
      <c r="X176" s="1500">
        <f>U176-W176</f>
        <v>0</v>
      </c>
      <c r="Z176" s="1571">
        <v>0</v>
      </c>
    </row>
    <row r="177" spans="2:26">
      <c r="B177" s="1412" t="s">
        <v>1430</v>
      </c>
      <c r="C177" s="1065"/>
      <c r="D177" s="1065"/>
      <c r="E177" s="1065"/>
      <c r="F177" s="1065"/>
      <c r="G177" s="1500"/>
      <c r="H177" s="1500"/>
      <c r="I177" s="1500"/>
      <c r="J177" s="1500"/>
      <c r="K177" s="1500"/>
      <c r="L177" s="1500"/>
      <c r="M177" s="1500">
        <v>0</v>
      </c>
      <c r="N177" s="1500">
        <v>0</v>
      </c>
      <c r="O177" s="1500">
        <f t="shared" si="10"/>
        <v>0</v>
      </c>
      <c r="P177" s="1500">
        <f>_xlfn.IFNA(INDEX('F7'!$M$10:$M$126,MATCH(B177,'F7'!$B$10:$B$126,0)),0)</f>
        <v>0</v>
      </c>
      <c r="Q177" s="1500">
        <f t="shared" si="11"/>
        <v>0</v>
      </c>
      <c r="R177" s="1500">
        <f t="shared" si="12"/>
        <v>0</v>
      </c>
      <c r="S177" s="1500">
        <v>0</v>
      </c>
      <c r="T177" s="1501">
        <v>0</v>
      </c>
      <c r="U177" s="1500">
        <f t="shared" si="13"/>
        <v>0</v>
      </c>
      <c r="V177" s="1500">
        <f>_xlfn.IFNA(INDEX('F7'!$R$10:$R$126,MATCH(B177,'F7'!$B$10:$B$126,0)),0)</f>
        <v>0</v>
      </c>
      <c r="W177" s="1500">
        <f t="shared" si="14"/>
        <v>0</v>
      </c>
      <c r="X177" s="1500">
        <f>U177-W177</f>
        <v>0</v>
      </c>
      <c r="Z177" s="1571">
        <v>0</v>
      </c>
    </row>
    <row r="178" spans="2:26">
      <c r="B178" s="1412" t="s">
        <v>1431</v>
      </c>
      <c r="C178" s="1065"/>
      <c r="D178" s="1065"/>
      <c r="E178" s="1065"/>
      <c r="F178" s="1065"/>
      <c r="G178" s="1500"/>
      <c r="H178" s="1500"/>
      <c r="I178" s="1500"/>
      <c r="J178" s="1500"/>
      <c r="K178" s="1500"/>
      <c r="L178" s="1500"/>
      <c r="M178" s="1500">
        <v>0</v>
      </c>
      <c r="N178" s="1500">
        <v>0</v>
      </c>
      <c r="O178" s="1500">
        <f t="shared" si="10"/>
        <v>0</v>
      </c>
      <c r="P178" s="1500">
        <f>_xlfn.IFNA(INDEX('F7'!$M$10:$M$126,MATCH(B178,'F7'!$B$10:$B$126,0)),0)</f>
        <v>0</v>
      </c>
      <c r="Q178" s="1500">
        <f t="shared" si="11"/>
        <v>0</v>
      </c>
      <c r="R178" s="1500">
        <f t="shared" si="12"/>
        <v>0</v>
      </c>
      <c r="S178" s="1500">
        <v>0</v>
      </c>
      <c r="T178" s="1501">
        <v>0</v>
      </c>
      <c r="U178" s="1500">
        <f t="shared" si="13"/>
        <v>0</v>
      </c>
      <c r="V178" s="1500">
        <f>_xlfn.IFNA(INDEX('F7'!$R$10:$R$126,MATCH(B178,'F7'!$B$10:$B$126,0)),0)</f>
        <v>0</v>
      </c>
      <c r="W178" s="1500">
        <f t="shared" si="14"/>
        <v>0</v>
      </c>
      <c r="X178" s="1500">
        <f>U178-W178</f>
        <v>0</v>
      </c>
      <c r="Z178" s="1571">
        <v>0</v>
      </c>
    </row>
    <row r="179" spans="2:26">
      <c r="B179" s="1412" t="s">
        <v>1432</v>
      </c>
      <c r="C179" s="1065"/>
      <c r="D179" s="1065"/>
      <c r="E179" s="1065"/>
      <c r="F179" s="1065"/>
      <c r="G179" s="1500"/>
      <c r="H179" s="1500"/>
      <c r="I179" s="1500"/>
      <c r="J179" s="1500"/>
      <c r="K179" s="1500"/>
      <c r="L179" s="1500"/>
      <c r="M179" s="1500">
        <v>0</v>
      </c>
      <c r="N179" s="1500">
        <v>0</v>
      </c>
      <c r="O179" s="1500">
        <f t="shared" si="10"/>
        <v>0</v>
      </c>
      <c r="P179" s="1500">
        <f>_xlfn.IFNA(INDEX('F7'!$M$10:$M$126,MATCH(B179,'F7'!$B$10:$B$126,0)),0)</f>
        <v>0</v>
      </c>
      <c r="Q179" s="1500">
        <f t="shared" si="11"/>
        <v>0</v>
      </c>
      <c r="R179" s="1500">
        <f t="shared" si="12"/>
        <v>0</v>
      </c>
      <c r="S179" s="1500">
        <v>0</v>
      </c>
      <c r="T179" s="1501">
        <v>0</v>
      </c>
      <c r="U179" s="1500">
        <f t="shared" si="13"/>
        <v>0</v>
      </c>
      <c r="V179" s="1500">
        <f>_xlfn.IFNA(INDEX('F7'!$R$10:$R$126,MATCH(B179,'F7'!$B$10:$B$126,0)),0)</f>
        <v>0</v>
      </c>
      <c r="W179" s="1500">
        <f t="shared" si="14"/>
        <v>0</v>
      </c>
      <c r="X179" s="1500">
        <f>U179-W179</f>
        <v>0</v>
      </c>
      <c r="Z179" s="1571">
        <v>0</v>
      </c>
    </row>
    <row r="180" spans="2:26">
      <c r="B180" s="1412" t="s">
        <v>1433</v>
      </c>
      <c r="C180" s="1065"/>
      <c r="D180" s="1065"/>
      <c r="E180" s="1065"/>
      <c r="F180" s="1065"/>
      <c r="G180" s="1500"/>
      <c r="H180" s="1500"/>
      <c r="I180" s="1500"/>
      <c r="J180" s="1500"/>
      <c r="K180" s="1500"/>
      <c r="L180" s="1500"/>
      <c r="M180" s="1500">
        <v>0</v>
      </c>
      <c r="N180" s="1500">
        <v>0</v>
      </c>
      <c r="O180" s="1500">
        <f t="shared" si="10"/>
        <v>0</v>
      </c>
      <c r="P180" s="1500">
        <f>_xlfn.IFNA(INDEX('F7'!$M$10:$M$126,MATCH(B180,'F7'!$B$10:$B$126,0)),0)</f>
        <v>0</v>
      </c>
      <c r="Q180" s="1500">
        <f t="shared" si="11"/>
        <v>0</v>
      </c>
      <c r="R180" s="1500">
        <f t="shared" si="12"/>
        <v>0</v>
      </c>
      <c r="S180" s="1500">
        <v>0</v>
      </c>
      <c r="T180" s="1501">
        <v>0</v>
      </c>
      <c r="U180" s="1500">
        <f t="shared" si="13"/>
        <v>0</v>
      </c>
      <c r="V180" s="1500">
        <f>_xlfn.IFNA(INDEX('F7'!$R$10:$R$126,MATCH(B180,'F7'!$B$10:$B$126,0)),0)</f>
        <v>0</v>
      </c>
      <c r="W180" s="1500">
        <f t="shared" si="14"/>
        <v>0</v>
      </c>
      <c r="X180" s="1500">
        <f>U180-W180</f>
        <v>0</v>
      </c>
      <c r="Z180" s="1571">
        <v>0</v>
      </c>
    </row>
    <row r="181" spans="2:26">
      <c r="B181" s="1411" t="s">
        <v>1014</v>
      </c>
      <c r="C181" s="1065"/>
      <c r="D181" s="1065"/>
      <c r="E181" s="1065"/>
      <c r="F181" s="1065"/>
      <c r="G181" s="1500"/>
      <c r="H181" s="1500"/>
      <c r="I181" s="1500"/>
      <c r="J181" s="1500"/>
      <c r="K181" s="1500"/>
      <c r="L181" s="1500"/>
      <c r="M181" s="1500">
        <v>0</v>
      </c>
      <c r="N181" s="1500">
        <v>0</v>
      </c>
      <c r="O181" s="1500">
        <f t="shared" si="10"/>
        <v>0</v>
      </c>
      <c r="P181" s="1500">
        <f>_xlfn.IFNA(INDEX('F7'!$M$10:$M$126,MATCH(B181,'F7'!$B$10:$B$126,0)),0)</f>
        <v>0</v>
      </c>
      <c r="Q181" s="1500">
        <f t="shared" si="11"/>
        <v>0</v>
      </c>
      <c r="R181" s="1500">
        <f t="shared" si="12"/>
        <v>0</v>
      </c>
      <c r="S181" s="1500">
        <v>0</v>
      </c>
      <c r="T181" s="1501">
        <v>0</v>
      </c>
      <c r="U181" s="1500">
        <f t="shared" si="13"/>
        <v>0</v>
      </c>
      <c r="V181" s="1500">
        <f>_xlfn.IFNA(INDEX('F7'!$R$10:$R$126,MATCH(B181,'F7'!$B$10:$B$126,0)),0)</f>
        <v>0</v>
      </c>
      <c r="W181" s="1500">
        <f t="shared" si="14"/>
        <v>0</v>
      </c>
      <c r="X181" s="1500">
        <f>U181-W181</f>
        <v>0</v>
      </c>
      <c r="Z181" s="1571">
        <v>0</v>
      </c>
    </row>
    <row r="182" spans="2:26">
      <c r="B182" s="1412" t="s">
        <v>1430</v>
      </c>
      <c r="C182" s="1065"/>
      <c r="D182" s="1065"/>
      <c r="E182" s="1065"/>
      <c r="F182" s="1065"/>
      <c r="G182" s="1500"/>
      <c r="H182" s="1500"/>
      <c r="I182" s="1500"/>
      <c r="J182" s="1500"/>
      <c r="K182" s="1500"/>
      <c r="L182" s="1500"/>
      <c r="M182" s="1500">
        <v>0</v>
      </c>
      <c r="N182" s="1500">
        <v>0</v>
      </c>
      <c r="O182" s="1500">
        <f t="shared" si="10"/>
        <v>0</v>
      </c>
      <c r="P182" s="1500">
        <f>_xlfn.IFNA(INDEX('F7'!$M$10:$M$126,MATCH(B182,'F7'!$B$10:$B$126,0)),0)</f>
        <v>0</v>
      </c>
      <c r="Q182" s="1500">
        <f t="shared" si="11"/>
        <v>0</v>
      </c>
      <c r="R182" s="1500">
        <f t="shared" si="12"/>
        <v>0</v>
      </c>
      <c r="S182" s="1500">
        <v>0</v>
      </c>
      <c r="T182" s="1501">
        <v>0</v>
      </c>
      <c r="U182" s="1500">
        <f t="shared" si="13"/>
        <v>0</v>
      </c>
      <c r="V182" s="1500">
        <f>_xlfn.IFNA(INDEX('F7'!$R$10:$R$126,MATCH(B182,'F7'!$B$10:$B$126,0)),0)</f>
        <v>0</v>
      </c>
      <c r="W182" s="1500">
        <f t="shared" si="14"/>
        <v>0</v>
      </c>
      <c r="X182" s="1500">
        <f>U182-W182</f>
        <v>0</v>
      </c>
      <c r="Z182" s="1571">
        <v>0</v>
      </c>
    </row>
    <row r="183" spans="2:26">
      <c r="B183" s="1412" t="s">
        <v>1431</v>
      </c>
      <c r="C183" s="1065"/>
      <c r="D183" s="1065"/>
      <c r="E183" s="1065"/>
      <c r="F183" s="1065"/>
      <c r="G183" s="1500"/>
      <c r="H183" s="1500"/>
      <c r="I183" s="1500"/>
      <c r="J183" s="1500"/>
      <c r="K183" s="1500"/>
      <c r="L183" s="1500"/>
      <c r="M183" s="1500">
        <v>0</v>
      </c>
      <c r="N183" s="1500">
        <v>0</v>
      </c>
      <c r="O183" s="1500">
        <f t="shared" si="10"/>
        <v>0</v>
      </c>
      <c r="P183" s="1500">
        <f>_xlfn.IFNA(INDEX('F7'!$M$10:$M$126,MATCH(B183,'F7'!$B$10:$B$126,0)),0)</f>
        <v>0</v>
      </c>
      <c r="Q183" s="1500">
        <f t="shared" si="11"/>
        <v>0</v>
      </c>
      <c r="R183" s="1500">
        <f t="shared" si="12"/>
        <v>0</v>
      </c>
      <c r="S183" s="1500">
        <v>0</v>
      </c>
      <c r="T183" s="1501">
        <v>0</v>
      </c>
      <c r="U183" s="1500">
        <f t="shared" si="13"/>
        <v>0</v>
      </c>
      <c r="V183" s="1500">
        <f>_xlfn.IFNA(INDEX('F7'!$R$10:$R$126,MATCH(B183,'F7'!$B$10:$B$126,0)),0)</f>
        <v>0</v>
      </c>
      <c r="W183" s="1500">
        <f t="shared" si="14"/>
        <v>0</v>
      </c>
      <c r="X183" s="1500">
        <f>U183-W183</f>
        <v>0</v>
      </c>
      <c r="Z183" s="1571">
        <v>0</v>
      </c>
    </row>
    <row r="184" spans="2:26">
      <c r="B184" s="1412" t="s">
        <v>1432</v>
      </c>
      <c r="C184" s="1065"/>
      <c r="D184" s="1065"/>
      <c r="E184" s="1065"/>
      <c r="F184" s="1065"/>
      <c r="G184" s="1500"/>
      <c r="H184" s="1500"/>
      <c r="I184" s="1500"/>
      <c r="J184" s="1500"/>
      <c r="K184" s="1500"/>
      <c r="L184" s="1500"/>
      <c r="M184" s="1500">
        <v>0</v>
      </c>
      <c r="N184" s="1500">
        <v>0</v>
      </c>
      <c r="O184" s="1500">
        <f t="shared" si="10"/>
        <v>0</v>
      </c>
      <c r="P184" s="1500">
        <f>_xlfn.IFNA(INDEX('F7'!$M$10:$M$126,MATCH(B184,'F7'!$B$10:$B$126,0)),0)</f>
        <v>0</v>
      </c>
      <c r="Q184" s="1500">
        <f t="shared" si="11"/>
        <v>0</v>
      </c>
      <c r="R184" s="1500">
        <f t="shared" si="12"/>
        <v>0</v>
      </c>
      <c r="S184" s="1500">
        <v>0</v>
      </c>
      <c r="T184" s="1501">
        <v>0</v>
      </c>
      <c r="U184" s="1500">
        <f t="shared" si="13"/>
        <v>0</v>
      </c>
      <c r="V184" s="1500">
        <f>_xlfn.IFNA(INDEX('F7'!$R$10:$R$126,MATCH(B184,'F7'!$B$10:$B$126,0)),0)</f>
        <v>0</v>
      </c>
      <c r="W184" s="1500">
        <f t="shared" si="14"/>
        <v>0</v>
      </c>
      <c r="X184" s="1500">
        <f>U184-W184</f>
        <v>0</v>
      </c>
      <c r="Z184" s="1571">
        <v>0</v>
      </c>
    </row>
    <row r="185" spans="2:26">
      <c r="B185" s="1412" t="s">
        <v>1433</v>
      </c>
      <c r="C185" s="1065"/>
      <c r="D185" s="1065"/>
      <c r="E185" s="1065"/>
      <c r="F185" s="1065"/>
      <c r="G185" s="1500"/>
      <c r="H185" s="1500"/>
      <c r="I185" s="1500"/>
      <c r="J185" s="1500"/>
      <c r="K185" s="1500"/>
      <c r="L185" s="1500"/>
      <c r="M185" s="1500">
        <v>0</v>
      </c>
      <c r="N185" s="1500">
        <v>0</v>
      </c>
      <c r="O185" s="1500">
        <f t="shared" si="10"/>
        <v>0</v>
      </c>
      <c r="P185" s="1500">
        <f>_xlfn.IFNA(INDEX('F7'!$M$10:$M$126,MATCH(B185,'F7'!$B$10:$B$126,0)),0)</f>
        <v>0</v>
      </c>
      <c r="Q185" s="1500">
        <f t="shared" si="11"/>
        <v>0</v>
      </c>
      <c r="R185" s="1500">
        <f t="shared" si="12"/>
        <v>0</v>
      </c>
      <c r="S185" s="1500">
        <v>0</v>
      </c>
      <c r="T185" s="1501">
        <v>0</v>
      </c>
      <c r="U185" s="1500">
        <f t="shared" si="13"/>
        <v>0</v>
      </c>
      <c r="V185" s="1500">
        <f>_xlfn.IFNA(INDEX('F7'!$R$10:$R$126,MATCH(B185,'F7'!$B$10:$B$126,0)),0)</f>
        <v>0</v>
      </c>
      <c r="W185" s="1500">
        <f t="shared" si="14"/>
        <v>0</v>
      </c>
      <c r="X185" s="1500">
        <f>U185-W185</f>
        <v>0</v>
      </c>
      <c r="Z185" s="1571">
        <v>0</v>
      </c>
    </row>
    <row r="186" spans="2:26">
      <c r="B186" s="1402" t="s">
        <v>1425</v>
      </c>
      <c r="C186" s="1065"/>
      <c r="D186" s="1065"/>
      <c r="E186" s="1065"/>
      <c r="F186" s="1065"/>
      <c r="G186" s="1500"/>
      <c r="H186" s="1500"/>
      <c r="I186" s="1500"/>
      <c r="J186" s="1500"/>
      <c r="K186" s="1500"/>
      <c r="L186" s="1500"/>
      <c r="M186" s="1500">
        <v>2.6304000000000001E-2</v>
      </c>
      <c r="N186" s="1500">
        <v>2.0254080000000001E-2</v>
      </c>
      <c r="O186" s="1500">
        <f t="shared" si="10"/>
        <v>7.7</v>
      </c>
      <c r="P186" s="1500">
        <f ca="1">_xlfn.IFNA(INDEX('F7'!$M$10:$M$126,MATCH(B186,'F7'!$B$10:$B$126,0)),0)</f>
        <v>9842.9708804599904</v>
      </c>
      <c r="Q186" s="1500">
        <f t="shared" ca="1" si="11"/>
        <v>3742005.352972928</v>
      </c>
      <c r="R186" s="1500">
        <f t="shared" ca="1" si="12"/>
        <v>-3741997.6529729278</v>
      </c>
      <c r="S186" s="1500">
        <v>2.8934400000000002E-2</v>
      </c>
      <c r="T186" s="1501">
        <v>2.2279488000000004E-2</v>
      </c>
      <c r="U186" s="1500">
        <f t="shared" si="13"/>
        <v>7.7</v>
      </c>
      <c r="V186" s="1500">
        <f ca="1">_xlfn.IFNA(INDEX('F7'!$R$10:$R$126,MATCH(B186,'F7'!$B$10:$B$126,0)),0)</f>
        <v>12411.62407831255</v>
      </c>
      <c r="W186" s="1500"/>
      <c r="X186" s="1500">
        <f>U186-W186</f>
        <v>7.7</v>
      </c>
      <c r="Z186" s="1571">
        <v>0</v>
      </c>
    </row>
    <row r="187" spans="2:26">
      <c r="B187" s="1409"/>
      <c r="C187" s="1065"/>
      <c r="D187" s="1065"/>
      <c r="E187" s="1065"/>
      <c r="F187" s="1065"/>
      <c r="G187" s="1500"/>
      <c r="H187" s="1500"/>
      <c r="I187" s="1500"/>
      <c r="J187" s="1500"/>
      <c r="K187" s="1500"/>
      <c r="L187" s="1500"/>
      <c r="M187" s="1500">
        <v>0</v>
      </c>
      <c r="N187" s="1500">
        <v>0</v>
      </c>
      <c r="O187" s="1500">
        <f t="shared" si="10"/>
        <v>0</v>
      </c>
      <c r="P187" s="1500">
        <f>_xlfn.IFNA(INDEX('F7'!$M$10:$M$126,MATCH(B187,'F7'!$B$10:$B$126,0)),0)</f>
        <v>0</v>
      </c>
      <c r="Q187" s="1500">
        <f t="shared" si="11"/>
        <v>0</v>
      </c>
      <c r="R187" s="1500">
        <f t="shared" si="12"/>
        <v>0</v>
      </c>
      <c r="S187" s="1500">
        <v>0</v>
      </c>
      <c r="T187" s="1501">
        <v>0</v>
      </c>
      <c r="U187" s="1500">
        <f t="shared" si="13"/>
        <v>0</v>
      </c>
      <c r="V187" s="1500">
        <f>_xlfn.IFNA(INDEX('F7'!$R$10:$R$126,MATCH(B187,'F7'!$B$10:$B$126,0)),0)</f>
        <v>0</v>
      </c>
      <c r="W187" s="1500">
        <f t="shared" si="14"/>
        <v>0</v>
      </c>
      <c r="X187" s="1500">
        <f>U187-W187</f>
        <v>0</v>
      </c>
      <c r="Z187" s="1571">
        <v>0</v>
      </c>
    </row>
    <row r="188" spans="2:26">
      <c r="B188" s="1402" t="s">
        <v>1119</v>
      </c>
      <c r="C188" s="1065"/>
      <c r="D188" s="1065"/>
      <c r="E188" s="1065"/>
      <c r="F188" s="1065"/>
      <c r="G188" s="1500"/>
      <c r="H188" s="1500"/>
      <c r="I188" s="1500"/>
      <c r="J188" s="1500"/>
      <c r="K188" s="1500"/>
      <c r="L188" s="1500"/>
      <c r="M188" s="1500">
        <v>0</v>
      </c>
      <c r="N188" s="1500">
        <v>0</v>
      </c>
      <c r="O188" s="1500">
        <f t="shared" si="10"/>
        <v>0</v>
      </c>
      <c r="P188" s="1500">
        <f ca="1">_xlfn.IFNA(INDEX('F7'!$M$10:$M$126,MATCH(B188,'F7'!$B$10:$B$126,0)),0)</f>
        <v>0</v>
      </c>
      <c r="Q188" s="1500">
        <f t="shared" ca="1" si="11"/>
        <v>0</v>
      </c>
      <c r="R188" s="1500">
        <f t="shared" ca="1" si="12"/>
        <v>0</v>
      </c>
      <c r="S188" s="1500">
        <v>0</v>
      </c>
      <c r="T188" s="1501">
        <v>0</v>
      </c>
      <c r="U188" s="1500">
        <f t="shared" si="13"/>
        <v>0</v>
      </c>
      <c r="V188" s="1500">
        <f ca="1">_xlfn.IFNA(INDEX('F7'!$R$10:$R$126,MATCH(B188,'F7'!$B$10:$B$126,0)),0)</f>
        <v>0</v>
      </c>
      <c r="W188" s="1500">
        <f t="shared" ca="1" si="14"/>
        <v>0</v>
      </c>
      <c r="X188" s="1500">
        <f ca="1">U188-W188</f>
        <v>0</v>
      </c>
      <c r="Z188" s="1571">
        <v>0</v>
      </c>
    </row>
    <row r="189" spans="2:26">
      <c r="B189" s="1402" t="s">
        <v>475</v>
      </c>
      <c r="C189" s="1065"/>
      <c r="D189" s="1065"/>
      <c r="E189" s="1065"/>
      <c r="F189" s="1065"/>
      <c r="G189" s="1500"/>
      <c r="H189" s="1500"/>
      <c r="I189" s="1500"/>
      <c r="J189" s="1500"/>
      <c r="K189" s="1500"/>
      <c r="L189" s="1500"/>
      <c r="M189" s="1500">
        <v>0</v>
      </c>
      <c r="N189" s="1500">
        <v>0</v>
      </c>
      <c r="O189" s="1500">
        <f t="shared" si="10"/>
        <v>0</v>
      </c>
      <c r="P189" s="1500">
        <f ca="1">_xlfn.IFNA(INDEX('F7'!$M$10:$M$126,MATCH(B189,'F7'!$B$10:$B$126,0)),0)</f>
        <v>6.8212811470965806E-2</v>
      </c>
      <c r="Q189" s="1500">
        <f t="shared" ca="1" si="11"/>
        <v>0</v>
      </c>
      <c r="R189" s="1500">
        <f t="shared" ca="1" si="12"/>
        <v>0</v>
      </c>
      <c r="S189" s="1500">
        <v>0</v>
      </c>
      <c r="T189" s="1501">
        <v>0</v>
      </c>
      <c r="U189" s="1500">
        <f t="shared" si="13"/>
        <v>0</v>
      </c>
      <c r="V189" s="1500">
        <f ca="1">_xlfn.IFNA(INDEX('F7'!$R$10:$R$126,MATCH(B189,'F7'!$B$10:$B$126,0)),0)</f>
        <v>0</v>
      </c>
      <c r="W189" s="1500">
        <f t="shared" ca="1" si="14"/>
        <v>0</v>
      </c>
      <c r="X189" s="1500">
        <f ca="1">U189-W189</f>
        <v>0</v>
      </c>
      <c r="Z189" s="1571">
        <v>0</v>
      </c>
    </row>
    <row r="190" spans="2:26">
      <c r="B190" s="1409" t="s">
        <v>1411</v>
      </c>
      <c r="C190" s="1065"/>
      <c r="D190" s="1065"/>
      <c r="E190" s="1065"/>
      <c r="F190" s="1065"/>
      <c r="G190" s="1500"/>
      <c r="H190" s="1500"/>
      <c r="I190" s="1500"/>
      <c r="J190" s="1500"/>
      <c r="K190" s="1500"/>
      <c r="L190" s="1500"/>
      <c r="M190" s="1500">
        <v>0</v>
      </c>
      <c r="N190" s="1500">
        <v>0</v>
      </c>
      <c r="O190" s="1500">
        <f t="shared" si="10"/>
        <v>0</v>
      </c>
      <c r="P190" s="1500">
        <f ca="1">_xlfn.IFNA(INDEX('F7'!$M$10:$M$126,MATCH(B190,'F7'!$B$10:$B$126,0)),0)</f>
        <v>301.07140719129609</v>
      </c>
      <c r="Q190" s="1500">
        <f t="shared" ca="1" si="11"/>
        <v>0</v>
      </c>
      <c r="R190" s="1500">
        <f t="shared" ca="1" si="12"/>
        <v>0</v>
      </c>
      <c r="S190" s="1500">
        <v>0</v>
      </c>
      <c r="T190" s="1501">
        <v>0</v>
      </c>
      <c r="U190" s="1500">
        <f t="shared" si="13"/>
        <v>0</v>
      </c>
      <c r="V190" s="1500">
        <f ca="1">_xlfn.IFNA(INDEX('F7'!$R$10:$R$126,MATCH(B190,'F7'!$B$10:$B$126,0)),0)</f>
        <v>375.25068939831391</v>
      </c>
      <c r="W190" s="1500">
        <f t="shared" ca="1" si="14"/>
        <v>0</v>
      </c>
      <c r="X190" s="1500">
        <f ca="1">U190-W190</f>
        <v>0</v>
      </c>
      <c r="Z190" s="1571">
        <v>0</v>
      </c>
    </row>
    <row r="191" spans="2:26">
      <c r="B191" s="1409" t="s">
        <v>1462</v>
      </c>
      <c r="C191" s="1065"/>
      <c r="D191" s="1065"/>
      <c r="E191" s="1065"/>
      <c r="F191" s="1065"/>
      <c r="G191" s="1500"/>
      <c r="H191" s="1500"/>
      <c r="I191" s="1500"/>
      <c r="J191" s="1500"/>
      <c r="K191" s="1500"/>
      <c r="L191" s="1500"/>
      <c r="M191" s="1500">
        <v>0</v>
      </c>
      <c r="N191" s="1500">
        <v>0</v>
      </c>
      <c r="O191" s="1500">
        <f t="shared" si="10"/>
        <v>0</v>
      </c>
      <c r="P191" s="1500">
        <f>_xlfn.IFNA(INDEX('F7'!$M$10:$M$126,MATCH(B191,'F7'!$B$10:$B$126,0)),0)</f>
        <v>0</v>
      </c>
      <c r="Q191" s="1500">
        <f t="shared" si="11"/>
        <v>0</v>
      </c>
      <c r="R191" s="1500">
        <f t="shared" si="12"/>
        <v>0</v>
      </c>
      <c r="S191" s="1500">
        <v>0</v>
      </c>
      <c r="T191" s="1501">
        <v>0</v>
      </c>
      <c r="U191" s="1500">
        <f t="shared" si="13"/>
        <v>0</v>
      </c>
      <c r="V191" s="1500">
        <f>_xlfn.IFNA(INDEX('F7'!$R$10:$R$126,MATCH(B191,'F7'!$B$10:$B$126,0)),0)</f>
        <v>0</v>
      </c>
      <c r="W191" s="1500">
        <f t="shared" si="14"/>
        <v>0</v>
      </c>
      <c r="X191" s="1500">
        <f>U191-W191</f>
        <v>0</v>
      </c>
      <c r="Z191" s="1571">
        <v>0</v>
      </c>
    </row>
    <row r="192" spans="2:26">
      <c r="B192" s="1402" t="s">
        <v>1403</v>
      </c>
      <c r="C192" s="1065"/>
      <c r="D192" s="1065"/>
      <c r="E192" s="1065"/>
      <c r="F192" s="1065"/>
      <c r="G192" s="1500"/>
      <c r="H192" s="1500"/>
      <c r="I192" s="1500"/>
      <c r="J192" s="1500"/>
      <c r="K192" s="1500"/>
      <c r="L192" s="1500"/>
      <c r="M192" s="1500">
        <v>0</v>
      </c>
      <c r="N192" s="1500">
        <v>0</v>
      </c>
      <c r="O192" s="1500">
        <f t="shared" si="10"/>
        <v>0</v>
      </c>
      <c r="P192" s="1500">
        <f ca="1">_xlfn.IFNA(INDEX('F7'!$M$10:$M$126,MATCH(B192,'F7'!$B$10:$B$126,0)),0)</f>
        <v>6.4235244059454702E-2</v>
      </c>
      <c r="Q192" s="1500">
        <f t="shared" ca="1" si="11"/>
        <v>0</v>
      </c>
      <c r="R192" s="1500">
        <f t="shared" ca="1" si="12"/>
        <v>0</v>
      </c>
      <c r="S192" s="1500">
        <v>0</v>
      </c>
      <c r="T192" s="1501">
        <v>0</v>
      </c>
      <c r="U192" s="1500">
        <f t="shared" si="13"/>
        <v>0</v>
      </c>
      <c r="V192" s="1500">
        <f ca="1">_xlfn.IFNA(INDEX('F7'!$R$10:$R$126,MATCH(B192,'F7'!$B$10:$B$126,0)),0)</f>
        <v>0</v>
      </c>
      <c r="W192" s="1500">
        <f t="shared" ca="1" si="14"/>
        <v>0</v>
      </c>
      <c r="X192" s="1500">
        <f ca="1">U192-W192</f>
        <v>0</v>
      </c>
      <c r="Z192" s="1571">
        <v>0</v>
      </c>
    </row>
    <row r="193" spans="2:26">
      <c r="B193" s="1409" t="s">
        <v>1413</v>
      </c>
      <c r="C193" s="1065"/>
      <c r="D193" s="1065"/>
      <c r="E193" s="1065"/>
      <c r="F193" s="1065"/>
      <c r="G193" s="1500"/>
      <c r="H193" s="1500"/>
      <c r="I193" s="1500"/>
      <c r="J193" s="1500"/>
      <c r="K193" s="1500"/>
      <c r="L193" s="1500"/>
      <c r="M193" s="1500">
        <v>0</v>
      </c>
      <c r="N193" s="1500">
        <v>0</v>
      </c>
      <c r="O193" s="1500">
        <f t="shared" si="10"/>
        <v>0</v>
      </c>
      <c r="P193" s="1500">
        <f ca="1">_xlfn.IFNA(INDEX('F7'!$M$10:$M$126,MATCH(B193,'F7'!$B$10:$B$126,0)),0)</f>
        <v>26.598596293004029</v>
      </c>
      <c r="Q193" s="1500">
        <f t="shared" ca="1" si="11"/>
        <v>0</v>
      </c>
      <c r="R193" s="1500">
        <f t="shared" ca="1" si="12"/>
        <v>0</v>
      </c>
      <c r="S193" s="1500">
        <v>0</v>
      </c>
      <c r="T193" s="1501">
        <v>0</v>
      </c>
      <c r="U193" s="1500">
        <f t="shared" si="13"/>
        <v>0</v>
      </c>
      <c r="V193" s="1500">
        <f ca="1">_xlfn.IFNA(INDEX('F7'!$R$10:$R$126,MATCH(B193,'F7'!$B$10:$B$126,0)),0)</f>
        <v>34.772590737288262</v>
      </c>
      <c r="W193" s="1500">
        <f t="shared" ca="1" si="14"/>
        <v>0</v>
      </c>
      <c r="X193" s="1500">
        <f ca="1">U193-W193</f>
        <v>0</v>
      </c>
      <c r="Z193" s="1571">
        <v>0</v>
      </c>
    </row>
    <row r="194" spans="2:26">
      <c r="B194" s="1409" t="s">
        <v>1463</v>
      </c>
      <c r="C194" s="1065"/>
      <c r="D194" s="1065"/>
      <c r="E194" s="1065"/>
      <c r="F194" s="1065"/>
      <c r="G194" s="1500"/>
      <c r="H194" s="1500"/>
      <c r="I194" s="1500"/>
      <c r="J194" s="1500"/>
      <c r="K194" s="1500"/>
      <c r="L194" s="1500"/>
      <c r="M194" s="1500">
        <v>0</v>
      </c>
      <c r="N194" s="1500">
        <v>0</v>
      </c>
      <c r="O194" s="1500">
        <f t="shared" si="10"/>
        <v>0</v>
      </c>
      <c r="P194" s="1500">
        <f>_xlfn.IFNA(INDEX('F7'!$M$10:$M$126,MATCH(B194,'F7'!$B$10:$B$126,0)),0)</f>
        <v>0</v>
      </c>
      <c r="Q194" s="1500">
        <f t="shared" si="11"/>
        <v>0</v>
      </c>
      <c r="R194" s="1500">
        <f t="shared" si="12"/>
        <v>0</v>
      </c>
      <c r="S194" s="1500">
        <v>0</v>
      </c>
      <c r="T194" s="1501">
        <v>0</v>
      </c>
      <c r="U194" s="1500">
        <f t="shared" si="13"/>
        <v>0</v>
      </c>
      <c r="V194" s="1500">
        <f>_xlfn.IFNA(INDEX('F7'!$R$10:$R$126,MATCH(B194,'F7'!$B$10:$B$126,0)),0)</f>
        <v>0</v>
      </c>
      <c r="W194" s="1500">
        <f t="shared" si="14"/>
        <v>0</v>
      </c>
      <c r="X194" s="1500">
        <f>U194-W194</f>
        <v>0</v>
      </c>
      <c r="Z194" s="1571">
        <v>0</v>
      </c>
    </row>
    <row r="195" spans="2:26">
      <c r="B195" s="1402" t="s">
        <v>1425</v>
      </c>
      <c r="C195" s="1065"/>
      <c r="D195" s="1065"/>
      <c r="E195" s="1065"/>
      <c r="F195" s="1065"/>
      <c r="G195" s="1500"/>
      <c r="H195" s="1500"/>
      <c r="I195" s="1500"/>
      <c r="J195" s="1500"/>
      <c r="K195" s="1500"/>
      <c r="L195" s="1500"/>
      <c r="M195" s="1500">
        <v>0</v>
      </c>
      <c r="N195" s="1500">
        <v>0</v>
      </c>
      <c r="O195" s="1500">
        <f t="shared" si="10"/>
        <v>0</v>
      </c>
      <c r="P195" s="1500">
        <f ca="1">_xlfn.IFNA(INDEX('F7'!$M$10:$M$126,MATCH(B195,'F7'!$B$10:$B$126,0)),0)</f>
        <v>9842.9708804599904</v>
      </c>
      <c r="Q195" s="1500">
        <f t="shared" ca="1" si="11"/>
        <v>0</v>
      </c>
      <c r="R195" s="1500">
        <f t="shared" ca="1" si="12"/>
        <v>0</v>
      </c>
      <c r="S195" s="1500">
        <v>0</v>
      </c>
      <c r="T195" s="1501">
        <v>0</v>
      </c>
      <c r="U195" s="1500">
        <f t="shared" si="13"/>
        <v>0</v>
      </c>
      <c r="V195" s="1500">
        <f ca="1">_xlfn.IFNA(INDEX('F7'!$R$10:$R$126,MATCH(B195,'F7'!$B$10:$B$126,0)),0)</f>
        <v>12411.62407831255</v>
      </c>
      <c r="W195" s="1500">
        <f t="shared" ca="1" si="14"/>
        <v>0</v>
      </c>
      <c r="X195" s="1500">
        <f ca="1">U195-W195</f>
        <v>0</v>
      </c>
      <c r="Z195" s="1571">
        <v>0</v>
      </c>
    </row>
    <row r="196" spans="2:26" ht="43.5">
      <c r="B196" s="1413" t="s">
        <v>1464</v>
      </c>
      <c r="C196" s="1065"/>
      <c r="D196" s="1065"/>
      <c r="E196" s="1065"/>
      <c r="F196" s="1065"/>
      <c r="G196" s="1500"/>
      <c r="H196" s="1500"/>
      <c r="I196" s="1500"/>
      <c r="J196" s="1500"/>
      <c r="K196" s="1500"/>
      <c r="L196" s="1500"/>
      <c r="M196" s="1500">
        <v>253.37466666666666</v>
      </c>
      <c r="N196" s="1500">
        <v>266.61910947285668</v>
      </c>
      <c r="O196" s="1500">
        <f t="shared" si="10"/>
        <v>10.522721666709248</v>
      </c>
      <c r="P196" s="1500">
        <f>_xlfn.IFNA(INDEX('F7'!$M$10:$M$126,MATCH(B196,'F7'!$B$10:$B$126,0)),0)</f>
        <v>0</v>
      </c>
      <c r="Q196" s="1500">
        <f t="shared" si="11"/>
        <v>0</v>
      </c>
      <c r="R196" s="1500">
        <f t="shared" si="12"/>
        <v>10.522721666709248</v>
      </c>
      <c r="S196" s="1500">
        <v>254.30253333333329</v>
      </c>
      <c r="T196" s="1501">
        <v>268.35970693513002</v>
      </c>
      <c r="U196" s="1500">
        <f t="shared" si="13"/>
        <v>10.552773636091581</v>
      </c>
      <c r="V196" s="1500">
        <f>_xlfn.IFNA(INDEX('F7'!$R$10:$R$126,MATCH(B196,'F7'!$B$10:$B$126,0)),0)</f>
        <v>0</v>
      </c>
      <c r="W196" s="1500">
        <f t="shared" si="14"/>
        <v>0</v>
      </c>
      <c r="X196" s="1500">
        <f>U196-W196</f>
        <v>10.552773636091581</v>
      </c>
      <c r="Z196" s="1571">
        <v>0</v>
      </c>
    </row>
    <row r="197" spans="2:26">
      <c r="B197" s="1402" t="s">
        <v>1465</v>
      </c>
      <c r="C197" s="1065"/>
      <c r="D197" s="1065"/>
      <c r="E197" s="1065"/>
      <c r="F197" s="1065"/>
      <c r="G197" s="1500"/>
      <c r="H197" s="1500"/>
      <c r="I197" s="1500"/>
      <c r="J197" s="1500"/>
      <c r="K197" s="1500"/>
      <c r="L197" s="1500"/>
      <c r="M197" s="1500">
        <v>212.75333333333333</v>
      </c>
      <c r="N197" s="1500">
        <v>214.00812295606303</v>
      </c>
      <c r="O197" s="1500">
        <f t="shared" si="10"/>
        <v>10.058978611665921</v>
      </c>
      <c r="P197" s="1500">
        <f>_xlfn.IFNA(INDEX('F7'!$M$10:$M$126,MATCH(B197,'F7'!$B$10:$B$126,0)),0)</f>
        <v>0</v>
      </c>
      <c r="Q197" s="1500">
        <f t="shared" si="11"/>
        <v>0</v>
      </c>
      <c r="R197" s="1500">
        <f t="shared" si="12"/>
        <v>10.058978611665921</v>
      </c>
      <c r="S197" s="1500">
        <v>213.61599999999996</v>
      </c>
      <c r="T197" s="1501">
        <v>215.33539553060942</v>
      </c>
      <c r="U197" s="1500">
        <f t="shared" si="13"/>
        <v>10.080490016225818</v>
      </c>
      <c r="V197" s="1500">
        <f>_xlfn.IFNA(INDEX('F7'!$R$10:$R$126,MATCH(B197,'F7'!$B$10:$B$126,0)),0)</f>
        <v>0</v>
      </c>
      <c r="W197" s="1500">
        <f t="shared" si="14"/>
        <v>0</v>
      </c>
      <c r="X197" s="1500">
        <f>U197-W197</f>
        <v>10.080490016225818</v>
      </c>
      <c r="Z197" s="1571">
        <v>0</v>
      </c>
    </row>
    <row r="198" spans="2:26">
      <c r="B198" s="1409" t="s">
        <v>1466</v>
      </c>
      <c r="C198" s="1065"/>
      <c r="D198" s="1065"/>
      <c r="E198" s="1065"/>
      <c r="F198" s="1065"/>
      <c r="G198" s="1500"/>
      <c r="H198" s="1500"/>
      <c r="I198" s="1500"/>
      <c r="J198" s="1500"/>
      <c r="K198" s="1500"/>
      <c r="L198" s="1500"/>
      <c r="M198" s="1500">
        <v>5.7773406666666665</v>
      </c>
      <c r="N198" s="1500">
        <v>5.6931338512685583</v>
      </c>
      <c r="O198" s="1500">
        <f t="shared" si="10"/>
        <v>9.8542464080680698</v>
      </c>
      <c r="P198" s="1500">
        <f>_xlfn.IFNA(INDEX('F7'!$M$10:$M$126,MATCH(B198,'F7'!$B$10:$B$126,0)),0)</f>
        <v>0</v>
      </c>
      <c r="Q198" s="1500">
        <f t="shared" si="11"/>
        <v>0</v>
      </c>
      <c r="R198" s="1500">
        <f t="shared" si="12"/>
        <v>9.8542464080680698</v>
      </c>
      <c r="S198" s="1500">
        <v>5.8109236999999991</v>
      </c>
      <c r="T198" s="1501">
        <v>5.7384655419142829</v>
      </c>
      <c r="U198" s="1500">
        <f t="shared" si="13"/>
        <v>9.8753069876210624</v>
      </c>
      <c r="V198" s="1500">
        <f>_xlfn.IFNA(INDEX('F7'!$R$10:$R$126,MATCH(B198,'F7'!$B$10:$B$126,0)),0)</f>
        <v>0</v>
      </c>
      <c r="W198" s="1500">
        <f t="shared" si="14"/>
        <v>0</v>
      </c>
      <c r="X198" s="1500">
        <f>U198-W198</f>
        <v>9.8753069876210624</v>
      </c>
      <c r="Z198" s="1571">
        <v>0</v>
      </c>
    </row>
    <row r="199" spans="2:26">
      <c r="B199" s="1409" t="s">
        <v>1467</v>
      </c>
      <c r="C199" s="1065"/>
      <c r="D199" s="1065"/>
      <c r="E199" s="1065"/>
      <c r="F199" s="1065"/>
      <c r="G199" s="1500"/>
      <c r="H199" s="1500"/>
      <c r="I199" s="1500"/>
      <c r="J199" s="1500"/>
      <c r="K199" s="1500"/>
      <c r="L199" s="1500"/>
      <c r="M199" s="1500">
        <v>206.97599266666666</v>
      </c>
      <c r="N199" s="1500">
        <v>208.31498910479448</v>
      </c>
      <c r="O199" s="1500">
        <f t="shared" si="10"/>
        <v>10.064693321233843</v>
      </c>
      <c r="P199" s="1500">
        <f>_xlfn.IFNA(INDEX('F7'!$M$10:$M$126,MATCH(B199,'F7'!$B$10:$B$126,0)),0)</f>
        <v>0</v>
      </c>
      <c r="Q199" s="1500">
        <f t="shared" si="11"/>
        <v>0</v>
      </c>
      <c r="R199" s="1500">
        <f t="shared" si="12"/>
        <v>10.064693321233843</v>
      </c>
      <c r="S199" s="1500">
        <v>207.80507629999997</v>
      </c>
      <c r="T199" s="1501">
        <v>209.59692998869514</v>
      </c>
      <c r="U199" s="1500">
        <f t="shared" si="13"/>
        <v>10.086227618718436</v>
      </c>
      <c r="V199" s="1500">
        <f>_xlfn.IFNA(INDEX('F7'!$R$10:$R$126,MATCH(B199,'F7'!$B$10:$B$126,0)),0)</f>
        <v>0</v>
      </c>
      <c r="W199" s="1500">
        <f t="shared" si="14"/>
        <v>0</v>
      </c>
      <c r="X199" s="1500">
        <f>U199-W199</f>
        <v>10.086227618718436</v>
      </c>
      <c r="Z199" s="1571">
        <v>0</v>
      </c>
    </row>
    <row r="200" spans="2:26">
      <c r="B200" s="1402" t="s">
        <v>1468</v>
      </c>
      <c r="C200" s="1065"/>
      <c r="D200" s="1065"/>
      <c r="E200" s="1065"/>
      <c r="F200" s="1065"/>
      <c r="G200" s="1500"/>
      <c r="H200" s="1500"/>
      <c r="I200" s="1500"/>
      <c r="J200" s="1500"/>
      <c r="K200" s="1500"/>
      <c r="L200" s="1500"/>
      <c r="M200" s="1500">
        <v>40.621333333333332</v>
      </c>
      <c r="N200" s="1500">
        <v>52.610986516793631</v>
      </c>
      <c r="O200" s="1500">
        <f t="shared" si="10"/>
        <v>12.951565642879022</v>
      </c>
      <c r="P200" s="1500">
        <f>_xlfn.IFNA(INDEX('F7'!$M$10:$M$126,MATCH(B200,'F7'!$B$10:$B$126,0)),0)</f>
        <v>0</v>
      </c>
      <c r="Q200" s="1500">
        <f t="shared" si="11"/>
        <v>0</v>
      </c>
      <c r="R200" s="1500">
        <f t="shared" si="12"/>
        <v>12.951565642879022</v>
      </c>
      <c r="S200" s="1500">
        <v>40.686533333333323</v>
      </c>
      <c r="T200" s="1501">
        <v>53.024311404520589</v>
      </c>
      <c r="U200" s="1500">
        <f t="shared" si="13"/>
        <v>13.032398452359487</v>
      </c>
      <c r="V200" s="1500">
        <f>_xlfn.IFNA(INDEX('F7'!$R$10:$R$126,MATCH(B200,'F7'!$B$10:$B$126,0)),0)</f>
        <v>0</v>
      </c>
      <c r="W200" s="1500">
        <f t="shared" si="14"/>
        <v>0</v>
      </c>
      <c r="X200" s="1500">
        <f>U200-W200</f>
        <v>13.032398452359487</v>
      </c>
      <c r="Z200" s="1571">
        <v>0</v>
      </c>
    </row>
    <row r="201" spans="2:26">
      <c r="B201" s="1409" t="s">
        <v>1466</v>
      </c>
      <c r="C201" s="1065"/>
      <c r="D201" s="1065"/>
      <c r="E201" s="1065"/>
      <c r="F201" s="1065"/>
      <c r="G201" s="1500"/>
      <c r="H201" s="1500"/>
      <c r="I201" s="1500"/>
      <c r="J201" s="1500"/>
      <c r="K201" s="1500"/>
      <c r="L201" s="1500"/>
      <c r="M201" s="1500">
        <v>4.4204879999999998</v>
      </c>
      <c r="N201" s="1500">
        <v>4.1391332585438088</v>
      </c>
      <c r="O201" s="1500">
        <f t="shared" si="10"/>
        <v>9.3635210830655105</v>
      </c>
      <c r="P201" s="1500">
        <f>_xlfn.IFNA(INDEX('F7'!$M$10:$M$126,MATCH(B201,'F7'!$B$10:$B$126,0)),0)</f>
        <v>0</v>
      </c>
      <c r="Q201" s="1500">
        <f t="shared" si="11"/>
        <v>0</v>
      </c>
      <c r="R201" s="1500">
        <f t="shared" si="12"/>
        <v>9.3635210830655105</v>
      </c>
      <c r="S201" s="1500">
        <v>4.4610563999999995</v>
      </c>
      <c r="T201" s="1501">
        <v>4.1828596718476172</v>
      </c>
      <c r="U201" s="1500">
        <f t="shared" si="13"/>
        <v>9.3763882291369764</v>
      </c>
      <c r="V201" s="1500">
        <f>_xlfn.IFNA(INDEX('F7'!$R$10:$R$126,MATCH(B201,'F7'!$B$10:$B$126,0)),0)</f>
        <v>0</v>
      </c>
      <c r="W201" s="1500">
        <f t="shared" si="14"/>
        <v>0</v>
      </c>
      <c r="X201" s="1500">
        <f>U201-W201</f>
        <v>9.3763882291369764</v>
      </c>
      <c r="Z201" s="1571">
        <v>0</v>
      </c>
    </row>
    <row r="202" spans="2:26">
      <c r="B202" s="1409" t="s">
        <v>1467</v>
      </c>
      <c r="C202" s="1065"/>
      <c r="D202" s="1065"/>
      <c r="E202" s="1065"/>
      <c r="F202" s="1065"/>
      <c r="G202" s="1500"/>
      <c r="H202" s="1500"/>
      <c r="I202" s="1500"/>
      <c r="J202" s="1500"/>
      <c r="K202" s="1500"/>
      <c r="L202" s="1500"/>
      <c r="M202" s="1500">
        <v>36.200845333333334</v>
      </c>
      <c r="N202" s="1500">
        <v>48.471853258249823</v>
      </c>
      <c r="O202" s="1500">
        <f t="shared" si="10"/>
        <v>13.389702039255278</v>
      </c>
      <c r="P202" s="1500">
        <f>_xlfn.IFNA(INDEX('F7'!$M$10:$M$126,MATCH(B202,'F7'!$B$10:$B$126,0)),0)</f>
        <v>0</v>
      </c>
      <c r="Q202" s="1500">
        <f t="shared" si="11"/>
        <v>0</v>
      </c>
      <c r="R202" s="1500">
        <f t="shared" si="12"/>
        <v>13.389702039255278</v>
      </c>
      <c r="S202" s="1500">
        <v>36.225476933333326</v>
      </c>
      <c r="T202" s="1501">
        <v>48.841451732672972</v>
      </c>
      <c r="U202" s="1500">
        <f t="shared" si="13"/>
        <v>13.482624900303492</v>
      </c>
      <c r="V202" s="1500">
        <f>_xlfn.IFNA(INDEX('F7'!$R$10:$R$126,MATCH(B202,'F7'!$B$10:$B$126,0)),0)</f>
        <v>0</v>
      </c>
      <c r="W202" s="1500">
        <f t="shared" si="14"/>
        <v>0</v>
      </c>
      <c r="X202" s="1500">
        <f>U202-W202</f>
        <v>13.482624900303492</v>
      </c>
      <c r="Z202" s="1571">
        <v>0</v>
      </c>
    </row>
    <row r="203" spans="2:26" ht="58">
      <c r="B203" s="1413" t="s">
        <v>1469</v>
      </c>
      <c r="C203" s="1065"/>
      <c r="D203" s="1065"/>
      <c r="E203" s="1065"/>
      <c r="F203" s="1065"/>
      <c r="G203" s="1500"/>
      <c r="H203" s="1500"/>
      <c r="I203" s="1500"/>
      <c r="J203" s="1500"/>
      <c r="K203" s="1500"/>
      <c r="L203" s="1500"/>
      <c r="M203" s="1500">
        <v>253.37466666666663</v>
      </c>
      <c r="N203" s="1500">
        <v>241.52317294608525</v>
      </c>
      <c r="O203" s="1500">
        <f t="shared" si="10"/>
        <v>9.5322541958714098</v>
      </c>
      <c r="P203" s="1500" t="e">
        <f>_xlfn.IFNA(INDEX('F7'!$M$10:$M$126,MATCH(B203,'F7'!$B$10:$B$126,0)),0)</f>
        <v>#VALUE!</v>
      </c>
      <c r="Q203" s="1500">
        <f t="shared" si="11"/>
        <v>0</v>
      </c>
      <c r="R203" s="1500">
        <f t="shared" si="12"/>
        <v>9.5322541958714098</v>
      </c>
      <c r="S203" s="1500">
        <v>254.30253333333332</v>
      </c>
      <c r="T203" s="1501">
        <v>243.08478407825385</v>
      </c>
      <c r="U203" s="1500">
        <f t="shared" si="13"/>
        <v>9.5588817339709493</v>
      </c>
      <c r="V203" s="1500" t="e">
        <f>_xlfn.IFNA(INDEX('F7'!$R$10:$R$126,MATCH(B203,'F7'!$B$10:$B$126,0)),0)</f>
        <v>#VALUE!</v>
      </c>
      <c r="W203" s="1500">
        <f t="shared" si="14"/>
        <v>0</v>
      </c>
      <c r="X203" s="1500">
        <f>U203-W203</f>
        <v>9.5588817339709493</v>
      </c>
      <c r="Z203" s="1571">
        <v>0</v>
      </c>
    </row>
    <row r="204" spans="2:26">
      <c r="B204" s="1402" t="s">
        <v>1465</v>
      </c>
      <c r="C204" s="1065"/>
      <c r="D204" s="1065"/>
      <c r="E204" s="1065"/>
      <c r="F204" s="1065"/>
      <c r="G204" s="1500"/>
      <c r="H204" s="1500"/>
      <c r="I204" s="1500"/>
      <c r="J204" s="1500"/>
      <c r="K204" s="1500"/>
      <c r="L204" s="1500"/>
      <c r="M204" s="1500">
        <v>212.7533333333333</v>
      </c>
      <c r="N204" s="1500">
        <v>189.71951844402577</v>
      </c>
      <c r="O204" s="1500">
        <f t="shared" ref="O204:O267" si="15">IFERROR(N204/M204*10,0)</f>
        <v>8.9173464627593351</v>
      </c>
      <c r="P204" s="1500">
        <f>_xlfn.IFNA(INDEX('F7'!$M$10:$M$126,MATCH(B204,'F7'!$B$10:$B$126,0)),0)</f>
        <v>0</v>
      </c>
      <c r="Q204" s="1500">
        <f t="shared" ref="Q204:Q267" si="16">IFERROR((P204/M204)*10,0)</f>
        <v>0</v>
      </c>
      <c r="R204" s="1500">
        <f t="shared" ref="R204:R267" si="17">O204-Q204</f>
        <v>8.9173464627593351</v>
      </c>
      <c r="S204" s="1500">
        <v>213.61599999999999</v>
      </c>
      <c r="T204" s="1501">
        <v>190.82730422530153</v>
      </c>
      <c r="U204" s="1500">
        <f t="shared" ref="U204:U267" si="18">IFERROR(T204/S204*10,0)</f>
        <v>8.9331934043003116</v>
      </c>
      <c r="V204" s="1500">
        <f>_xlfn.IFNA(INDEX('F7'!$R$10:$R$126,MATCH(B204,'F7'!$B$10:$B$126,0)),0)</f>
        <v>0</v>
      </c>
      <c r="W204" s="1500">
        <f t="shared" ref="W204:W267" si="19">IFERROR((V204/S204)*10,0)</f>
        <v>0</v>
      </c>
      <c r="X204" s="1500">
        <f>U204-W204</f>
        <v>8.9331934043003116</v>
      </c>
      <c r="Z204" s="1571">
        <v>0</v>
      </c>
    </row>
    <row r="205" spans="2:26">
      <c r="B205" s="1409" t="s">
        <v>1466</v>
      </c>
      <c r="C205" s="1065"/>
      <c r="D205" s="1065"/>
      <c r="E205" s="1065"/>
      <c r="F205" s="1065"/>
      <c r="G205" s="1500"/>
      <c r="H205" s="1500"/>
      <c r="I205" s="1500"/>
      <c r="J205" s="1500"/>
      <c r="K205" s="1500"/>
      <c r="L205" s="1500"/>
      <c r="M205" s="1500">
        <v>5.7227286666666668</v>
      </c>
      <c r="N205" s="1500">
        <v>5.2768546606943643</v>
      </c>
      <c r="O205" s="1500">
        <f t="shared" si="15"/>
        <v>9.2208716646494242</v>
      </c>
      <c r="P205" s="1500">
        <f>_xlfn.IFNA(INDEX('F7'!$M$10:$M$126,MATCH(B205,'F7'!$B$10:$B$126,0)),0)</f>
        <v>0</v>
      </c>
      <c r="Q205" s="1500">
        <f t="shared" si="16"/>
        <v>0</v>
      </c>
      <c r="R205" s="1500">
        <f t="shared" si="17"/>
        <v>9.2208716646494242</v>
      </c>
      <c r="S205" s="1500">
        <v>5.7538330999999987</v>
      </c>
      <c r="T205" s="1501">
        <v>5.3178811224920608</v>
      </c>
      <c r="U205" s="1500">
        <f t="shared" si="18"/>
        <v>9.2423277319115531</v>
      </c>
      <c r="V205" s="1500">
        <f>_xlfn.IFNA(INDEX('F7'!$R$10:$R$126,MATCH(B205,'F7'!$B$10:$B$126,0)),0)</f>
        <v>0</v>
      </c>
      <c r="W205" s="1500">
        <f t="shared" si="19"/>
        <v>0</v>
      </c>
      <c r="X205" s="1500">
        <f>U205-W205</f>
        <v>9.2423277319115531</v>
      </c>
      <c r="Z205" s="1571">
        <v>0</v>
      </c>
    </row>
    <row r="206" spans="2:26">
      <c r="B206" s="1409" t="s">
        <v>1467</v>
      </c>
      <c r="C206" s="1065"/>
      <c r="D206" s="1065"/>
      <c r="E206" s="1065"/>
      <c r="F206" s="1065"/>
      <c r="G206" s="1500"/>
      <c r="H206" s="1500"/>
      <c r="I206" s="1500"/>
      <c r="J206" s="1500"/>
      <c r="K206" s="1500"/>
      <c r="L206" s="1500"/>
      <c r="M206" s="1500">
        <v>207.03060466666665</v>
      </c>
      <c r="N206" s="1500">
        <v>184.4426637833314</v>
      </c>
      <c r="O206" s="1500">
        <f t="shared" si="15"/>
        <v>8.9089564357065285</v>
      </c>
      <c r="P206" s="1500">
        <f>_xlfn.IFNA(INDEX('F7'!$M$10:$M$126,MATCH(B206,'F7'!$B$10:$B$126,0)),0)</f>
        <v>0</v>
      </c>
      <c r="Q206" s="1500">
        <f t="shared" si="16"/>
        <v>0</v>
      </c>
      <c r="R206" s="1500">
        <f t="shared" si="17"/>
        <v>8.9089564357065285</v>
      </c>
      <c r="S206" s="1500">
        <v>207.86216689999998</v>
      </c>
      <c r="T206" s="1501">
        <v>185.50942310280948</v>
      </c>
      <c r="U206" s="1500">
        <f t="shared" si="18"/>
        <v>8.9246362562965036</v>
      </c>
      <c r="V206" s="1500">
        <f>_xlfn.IFNA(INDEX('F7'!$R$10:$R$126,MATCH(B206,'F7'!$B$10:$B$126,0)),0)</f>
        <v>0</v>
      </c>
      <c r="W206" s="1500">
        <f t="shared" si="19"/>
        <v>0</v>
      </c>
      <c r="X206" s="1500">
        <f>U206-W206</f>
        <v>8.9246362562965036</v>
      </c>
      <c r="Z206" s="1571">
        <v>0</v>
      </c>
    </row>
    <row r="207" spans="2:26">
      <c r="B207" s="1402" t="s">
        <v>1468</v>
      </c>
      <c r="C207" s="1065"/>
      <c r="D207" s="1065"/>
      <c r="E207" s="1065"/>
      <c r="F207" s="1065"/>
      <c r="G207" s="1500"/>
      <c r="H207" s="1500"/>
      <c r="I207" s="1500"/>
      <c r="J207" s="1500"/>
      <c r="K207" s="1500"/>
      <c r="L207" s="1500"/>
      <c r="M207" s="1500">
        <v>40.621333333333332</v>
      </c>
      <c r="N207" s="1500">
        <v>51.803654502059501</v>
      </c>
      <c r="O207" s="1500">
        <f t="shared" si="15"/>
        <v>12.752819824244938</v>
      </c>
      <c r="P207" s="1500">
        <f>_xlfn.IFNA(INDEX('F7'!$M$10:$M$126,MATCH(B207,'F7'!$B$10:$B$126,0)),0)</f>
        <v>0</v>
      </c>
      <c r="Q207" s="1500">
        <f t="shared" si="16"/>
        <v>0</v>
      </c>
      <c r="R207" s="1500">
        <f t="shared" si="17"/>
        <v>12.752819824244938</v>
      </c>
      <c r="S207" s="1500">
        <v>40.686533333333323</v>
      </c>
      <c r="T207" s="1501">
        <v>52.257479852952329</v>
      </c>
      <c r="U207" s="1500">
        <f t="shared" si="18"/>
        <v>12.843925390453272</v>
      </c>
      <c r="V207" s="1500">
        <f>_xlfn.IFNA(INDEX('F7'!$R$10:$R$126,MATCH(B207,'F7'!$B$10:$B$126,0)),0)</f>
        <v>0</v>
      </c>
      <c r="W207" s="1500">
        <f t="shared" si="19"/>
        <v>0</v>
      </c>
      <c r="X207" s="1500">
        <f>U207-W207</f>
        <v>12.843925390453272</v>
      </c>
      <c r="Z207" s="1571">
        <v>0</v>
      </c>
    </row>
    <row r="208" spans="2:26">
      <c r="B208" s="1409" t="s">
        <v>1466</v>
      </c>
      <c r="C208" s="1065"/>
      <c r="D208" s="1065"/>
      <c r="E208" s="1065"/>
      <c r="F208" s="1065"/>
      <c r="G208" s="1500"/>
      <c r="H208" s="1500"/>
      <c r="I208" s="1500"/>
      <c r="J208" s="1500"/>
      <c r="K208" s="1500"/>
      <c r="L208" s="1500"/>
      <c r="M208" s="1500">
        <v>4.4204879999999998</v>
      </c>
      <c r="N208" s="1500">
        <v>5.6859343234701765</v>
      </c>
      <c r="O208" s="1500">
        <f t="shared" si="15"/>
        <v>12.862684670720013</v>
      </c>
      <c r="P208" s="1500">
        <f>_xlfn.IFNA(INDEX('F7'!$M$10:$M$126,MATCH(B208,'F7'!$B$10:$B$126,0)),0)</f>
        <v>0</v>
      </c>
      <c r="Q208" s="1500">
        <f t="shared" si="16"/>
        <v>0</v>
      </c>
      <c r="R208" s="1500">
        <f t="shared" si="17"/>
        <v>12.862684670720013</v>
      </c>
      <c r="S208" s="1500">
        <v>4.4610563999999995</v>
      </c>
      <c r="T208" s="1501">
        <v>5.7628703861428514</v>
      </c>
      <c r="U208" s="1500">
        <f t="shared" si="18"/>
        <v>12.918174238153215</v>
      </c>
      <c r="V208" s="1500">
        <f>_xlfn.IFNA(INDEX('F7'!$R$10:$R$126,MATCH(B208,'F7'!$B$10:$B$126,0)),0)</f>
        <v>0</v>
      </c>
      <c r="W208" s="1500">
        <f t="shared" si="19"/>
        <v>0</v>
      </c>
      <c r="X208" s="1500">
        <f>U208-W208</f>
        <v>12.918174238153215</v>
      </c>
      <c r="Z208" s="1571">
        <v>0</v>
      </c>
    </row>
    <row r="209" spans="2:26">
      <c r="B209" s="1409" t="s">
        <v>1467</v>
      </c>
      <c r="C209" s="1065"/>
      <c r="D209" s="1065"/>
      <c r="E209" s="1065"/>
      <c r="F209" s="1065"/>
      <c r="G209" s="1500"/>
      <c r="H209" s="1500"/>
      <c r="I209" s="1500"/>
      <c r="J209" s="1500"/>
      <c r="K209" s="1500"/>
      <c r="L209" s="1500"/>
      <c r="M209" s="1500">
        <v>36.200845333333334</v>
      </c>
      <c r="N209" s="1500">
        <v>46.117720178589323</v>
      </c>
      <c r="O209" s="1500">
        <f t="shared" si="15"/>
        <v>12.739404219416015</v>
      </c>
      <c r="P209" s="1500">
        <f>_xlfn.IFNA(INDEX('F7'!$M$10:$M$126,MATCH(B209,'F7'!$B$10:$B$126,0)),0)</f>
        <v>0</v>
      </c>
      <c r="Q209" s="1500">
        <f t="shared" si="16"/>
        <v>0</v>
      </c>
      <c r="R209" s="1500">
        <f t="shared" si="17"/>
        <v>12.739404219416015</v>
      </c>
      <c r="S209" s="1500">
        <v>36.225476933333326</v>
      </c>
      <c r="T209" s="1501">
        <v>46.494609466809479</v>
      </c>
      <c r="U209" s="1500">
        <f t="shared" si="18"/>
        <v>12.834781872540892</v>
      </c>
      <c r="V209" s="1500">
        <f>_xlfn.IFNA(INDEX('F7'!$R$10:$R$126,MATCH(B209,'F7'!$B$10:$B$126,0)),0)</f>
        <v>0</v>
      </c>
      <c r="W209" s="1500">
        <f t="shared" si="19"/>
        <v>0</v>
      </c>
      <c r="X209" s="1500">
        <f>U209-W209</f>
        <v>12.834781872540892</v>
      </c>
      <c r="Z209" s="1571">
        <v>0</v>
      </c>
    </row>
    <row r="210" spans="2:26">
      <c r="B210" s="1402" t="s">
        <v>1425</v>
      </c>
      <c r="C210" s="1065"/>
      <c r="D210" s="1065"/>
      <c r="E210" s="1065"/>
      <c r="F210" s="1065"/>
      <c r="G210" s="1500"/>
      <c r="H210" s="1500"/>
      <c r="I210" s="1500"/>
      <c r="J210" s="1500"/>
      <c r="K210" s="1500"/>
      <c r="L210" s="1500"/>
      <c r="M210" s="1500">
        <v>506.74933333333331</v>
      </c>
      <c r="N210" s="1500">
        <v>508.14228241894193</v>
      </c>
      <c r="O210" s="1500">
        <f t="shared" si="15"/>
        <v>10.027487931290329</v>
      </c>
      <c r="P210" s="1500">
        <f ca="1">_xlfn.IFNA(INDEX('F7'!$M$10:$M$126,MATCH(B210,'F7'!$B$10:$B$126,0)),0)</f>
        <v>9842.9708804599904</v>
      </c>
      <c r="Q210" s="1500">
        <f t="shared" ca="1" si="16"/>
        <v>194.23747073753736</v>
      </c>
      <c r="R210" s="1500">
        <f t="shared" ca="1" si="17"/>
        <v>-184.20998280624704</v>
      </c>
      <c r="S210" s="1500">
        <v>508.60506666666663</v>
      </c>
      <c r="T210" s="1501">
        <v>511.44449101338387</v>
      </c>
      <c r="U210" s="1500">
        <f t="shared" si="18"/>
        <v>10.055827685031264</v>
      </c>
      <c r="V210" s="1500">
        <f ca="1">_xlfn.IFNA(INDEX('F7'!$R$10:$R$126,MATCH(B210,'F7'!$B$10:$B$126,0)),0)</f>
        <v>12411.62407831255</v>
      </c>
      <c r="W210" s="1500"/>
      <c r="X210" s="1500">
        <f>U210-W210</f>
        <v>10.055827685031264</v>
      </c>
      <c r="Z210" s="1571">
        <v>0</v>
      </c>
    </row>
    <row r="211" spans="2:26">
      <c r="B211" s="1409"/>
      <c r="C211" s="1065"/>
      <c r="D211" s="1065"/>
      <c r="E211" s="1065"/>
      <c r="F211" s="1065"/>
      <c r="G211" s="1500"/>
      <c r="H211" s="1500"/>
      <c r="I211" s="1500"/>
      <c r="J211" s="1500"/>
      <c r="K211" s="1500"/>
      <c r="L211" s="1500"/>
      <c r="M211" s="1500">
        <v>0</v>
      </c>
      <c r="N211" s="1500">
        <v>0</v>
      </c>
      <c r="O211" s="1500">
        <f t="shared" si="15"/>
        <v>0</v>
      </c>
      <c r="P211" s="1500">
        <f>_xlfn.IFNA(INDEX('F7'!$M$10:$M$126,MATCH(B211,'F7'!$B$10:$B$126,0)),0)</f>
        <v>0</v>
      </c>
      <c r="Q211" s="1500">
        <f t="shared" si="16"/>
        <v>0</v>
      </c>
      <c r="R211" s="1500">
        <f t="shared" si="17"/>
        <v>0</v>
      </c>
      <c r="S211" s="1500">
        <v>0</v>
      </c>
      <c r="T211" s="1501">
        <v>0</v>
      </c>
      <c r="U211" s="1500">
        <f t="shared" si="18"/>
        <v>0</v>
      </c>
      <c r="V211" s="1500">
        <f>_xlfn.IFNA(INDEX('F7'!$R$10:$R$126,MATCH(B211,'F7'!$B$10:$B$126,0)),0)</f>
        <v>0</v>
      </c>
      <c r="W211" s="1500">
        <f t="shared" si="19"/>
        <v>0</v>
      </c>
      <c r="X211" s="1500">
        <f>U211-W211</f>
        <v>0</v>
      </c>
      <c r="Z211" s="1571">
        <v>0</v>
      </c>
    </row>
    <row r="212" spans="2:26">
      <c r="B212" s="1402" t="s">
        <v>1125</v>
      </c>
      <c r="C212" s="1065"/>
      <c r="D212" s="1065"/>
      <c r="E212" s="1065"/>
      <c r="F212" s="1065"/>
      <c r="G212" s="1500"/>
      <c r="H212" s="1500"/>
      <c r="I212" s="1500"/>
      <c r="J212" s="1500"/>
      <c r="K212" s="1500"/>
      <c r="L212" s="1500"/>
      <c r="M212" s="1500">
        <v>0</v>
      </c>
      <c r="N212" s="1500">
        <v>0</v>
      </c>
      <c r="O212" s="1500">
        <f t="shared" si="15"/>
        <v>0</v>
      </c>
      <c r="P212" s="1500">
        <f ca="1">_xlfn.IFNA(INDEX('F7'!$M$10:$M$126,MATCH(B212,'F7'!$B$10:$B$126,0)),0)</f>
        <v>0</v>
      </c>
      <c r="Q212" s="1500">
        <f t="shared" ca="1" si="16"/>
        <v>0</v>
      </c>
      <c r="R212" s="1500">
        <f t="shared" ca="1" si="17"/>
        <v>0</v>
      </c>
      <c r="S212" s="1500">
        <v>0</v>
      </c>
      <c r="T212" s="1501">
        <v>0</v>
      </c>
      <c r="U212" s="1500">
        <f t="shared" si="18"/>
        <v>0</v>
      </c>
      <c r="V212" s="1500">
        <f ca="1">_xlfn.IFNA(INDEX('F7'!$R$10:$R$126,MATCH(B212,'F7'!$B$10:$B$126,0)),0)</f>
        <v>0</v>
      </c>
      <c r="W212" s="1500">
        <f t="shared" ca="1" si="19"/>
        <v>0</v>
      </c>
      <c r="X212" s="1500">
        <f ca="1">U212-W212</f>
        <v>0</v>
      </c>
      <c r="Z212" s="1571">
        <v>0</v>
      </c>
    </row>
    <row r="213" spans="2:26">
      <c r="B213" s="1402" t="s">
        <v>1126</v>
      </c>
      <c r="C213" s="1065"/>
      <c r="D213" s="1065"/>
      <c r="E213" s="1065"/>
      <c r="F213" s="1065"/>
      <c r="G213" s="1500"/>
      <c r="H213" s="1500"/>
      <c r="I213" s="1500"/>
      <c r="J213" s="1500"/>
      <c r="K213" s="1500"/>
      <c r="L213" s="1500"/>
      <c r="M213" s="1500">
        <v>772.82133333333331</v>
      </c>
      <c r="N213" s="1500">
        <v>637.31631556771833</v>
      </c>
      <c r="O213" s="1500">
        <f t="shared" si="15"/>
        <v>8.2466190835965332</v>
      </c>
      <c r="P213" s="1500">
        <f ca="1">_xlfn.IFNA(INDEX('F7'!$M$10:$M$126,MATCH(B213,'F7'!$B$10:$B$126,0)),0)</f>
        <v>595.11050462137882</v>
      </c>
      <c r="Q213" s="1500">
        <f t="shared" ca="1" si="16"/>
        <v>7.7004927135557697</v>
      </c>
      <c r="R213" s="1500">
        <f t="shared" ca="1" si="17"/>
        <v>0.54612637004076348</v>
      </c>
      <c r="S213" s="1500">
        <v>796.00597333333349</v>
      </c>
      <c r="T213" s="1501">
        <v>656.43580503474993</v>
      </c>
      <c r="U213" s="1500">
        <f t="shared" si="18"/>
        <v>8.2466190835965314</v>
      </c>
      <c r="V213" s="1500">
        <f ca="1">_xlfn.IFNA(INDEX('F7'!$R$10:$R$126,MATCH(B213,'F7'!$B$10:$B$126,0)),0)</f>
        <v>763.94319759209509</v>
      </c>
      <c r="W213" s="1500">
        <f t="shared" ca="1" si="19"/>
        <v>9.597204332437693</v>
      </c>
      <c r="X213" s="1500">
        <f ca="1">U213-W213</f>
        <v>-1.3505852488411616</v>
      </c>
      <c r="Z213" s="1571">
        <v>0</v>
      </c>
    </row>
    <row r="214" spans="2:26">
      <c r="B214" s="1410" t="s">
        <v>1013</v>
      </c>
      <c r="C214" s="1065"/>
      <c r="D214" s="1065"/>
      <c r="E214" s="1065"/>
      <c r="F214" s="1065"/>
      <c r="G214" s="1500"/>
      <c r="H214" s="1500"/>
      <c r="I214" s="1500"/>
      <c r="J214" s="1500"/>
      <c r="K214" s="1500"/>
      <c r="L214" s="1500"/>
      <c r="M214" s="1500">
        <v>386.41066666666666</v>
      </c>
      <c r="N214" s="1500">
        <v>362.84618198795283</v>
      </c>
      <c r="O214" s="1500">
        <f t="shared" si="15"/>
        <v>9.3901699225336994</v>
      </c>
      <c r="P214" s="1500">
        <f>_xlfn.IFNA(INDEX('F7'!$M$10:$M$126,MATCH(B214,'F7'!$B$10:$B$126,0)),0)</f>
        <v>0</v>
      </c>
      <c r="Q214" s="1500">
        <f t="shared" si="16"/>
        <v>0</v>
      </c>
      <c r="R214" s="1500">
        <f t="shared" si="17"/>
        <v>9.3901699225336994</v>
      </c>
      <c r="S214" s="1500">
        <v>398.00298666666674</v>
      </c>
      <c r="T214" s="1501">
        <v>373.73156744759149</v>
      </c>
      <c r="U214" s="1500">
        <f t="shared" si="18"/>
        <v>9.3901699225336994</v>
      </c>
      <c r="V214" s="1500">
        <f>_xlfn.IFNA(INDEX('F7'!$R$10:$R$126,MATCH(B214,'F7'!$B$10:$B$126,0)),0)</f>
        <v>0</v>
      </c>
      <c r="W214" s="1500">
        <f t="shared" si="19"/>
        <v>0</v>
      </c>
      <c r="X214" s="1500">
        <f>U214-W214</f>
        <v>9.3901699225336994</v>
      </c>
      <c r="Z214" s="1571">
        <v>0</v>
      </c>
    </row>
    <row r="215" spans="2:26">
      <c r="B215" s="1406" t="s">
        <v>1430</v>
      </c>
      <c r="C215" s="1065"/>
      <c r="D215" s="1065"/>
      <c r="E215" s="1065"/>
      <c r="F215" s="1065"/>
      <c r="G215" s="1500"/>
      <c r="H215" s="1500"/>
      <c r="I215" s="1500"/>
      <c r="J215" s="1500"/>
      <c r="K215" s="1500"/>
      <c r="L215" s="1500"/>
      <c r="M215" s="1500">
        <v>88.95170227363046</v>
      </c>
      <c r="N215" s="1500">
        <v>74.30109567062766</v>
      </c>
      <c r="O215" s="1500">
        <f t="shared" si="15"/>
        <v>8.3529706314180405</v>
      </c>
      <c r="P215" s="1500">
        <f>_xlfn.IFNA(INDEX('F7'!$M$10:$M$126,MATCH(B215,'F7'!$B$10:$B$126,0)),0)</f>
        <v>0</v>
      </c>
      <c r="Q215" s="1500">
        <f t="shared" si="16"/>
        <v>0</v>
      </c>
      <c r="R215" s="1500">
        <f t="shared" si="17"/>
        <v>8.3529706314180405</v>
      </c>
      <c r="S215" s="1500">
        <v>91.620253341839387</v>
      </c>
      <c r="T215" s="1501">
        <v>76.530128540746517</v>
      </c>
      <c r="U215" s="1500">
        <f t="shared" si="18"/>
        <v>8.3529706314180423</v>
      </c>
      <c r="V215" s="1500">
        <f>_xlfn.IFNA(INDEX('F7'!$R$10:$R$126,MATCH(B215,'F7'!$B$10:$B$126,0)),0)</f>
        <v>0</v>
      </c>
      <c r="W215" s="1500">
        <f t="shared" si="19"/>
        <v>0</v>
      </c>
      <c r="X215" s="1500">
        <f>U215-W215</f>
        <v>8.3529706314180423</v>
      </c>
      <c r="Z215" s="1571">
        <v>0</v>
      </c>
    </row>
    <row r="216" spans="2:26">
      <c r="B216" s="1406" t="s">
        <v>1431</v>
      </c>
      <c r="C216" s="1065"/>
      <c r="D216" s="1065"/>
      <c r="E216" s="1065"/>
      <c r="F216" s="1065"/>
      <c r="G216" s="1500"/>
      <c r="H216" s="1500"/>
      <c r="I216" s="1500"/>
      <c r="J216" s="1500"/>
      <c r="K216" s="1500"/>
      <c r="L216" s="1500"/>
      <c r="M216" s="1500">
        <v>140.84249258937263</v>
      </c>
      <c r="N216" s="1500">
        <v>132.64504588624246</v>
      </c>
      <c r="O216" s="1500">
        <f t="shared" si="15"/>
        <v>9.4179706314180418</v>
      </c>
      <c r="P216" s="1500">
        <f>_xlfn.IFNA(INDEX('F7'!$M$10:$M$126,MATCH(B216,'F7'!$B$10:$B$126,0)),0)</f>
        <v>0</v>
      </c>
      <c r="Q216" s="1500">
        <f t="shared" si="16"/>
        <v>0</v>
      </c>
      <c r="R216" s="1500">
        <f t="shared" si="17"/>
        <v>9.4179706314180418</v>
      </c>
      <c r="S216" s="1500">
        <v>145.06776736705379</v>
      </c>
      <c r="T216" s="1501">
        <v>136.62439726282972</v>
      </c>
      <c r="U216" s="1500">
        <f t="shared" si="18"/>
        <v>9.4179706314180418</v>
      </c>
      <c r="V216" s="1500">
        <f>_xlfn.IFNA(INDEX('F7'!$R$10:$R$126,MATCH(B216,'F7'!$B$10:$B$126,0)),0)</f>
        <v>0</v>
      </c>
      <c r="W216" s="1500">
        <f t="shared" si="19"/>
        <v>0</v>
      </c>
      <c r="X216" s="1500">
        <f>U216-W216</f>
        <v>9.4179706314180418</v>
      </c>
      <c r="Z216" s="1571">
        <v>0</v>
      </c>
    </row>
    <row r="217" spans="2:26">
      <c r="B217" s="1406" t="s">
        <v>1432</v>
      </c>
      <c r="C217" s="1065"/>
      <c r="D217" s="1065"/>
      <c r="E217" s="1065"/>
      <c r="F217" s="1065"/>
      <c r="G217" s="1500"/>
      <c r="H217" s="1500"/>
      <c r="I217" s="1500"/>
      <c r="J217" s="1500"/>
      <c r="K217" s="1500"/>
      <c r="L217" s="1500"/>
      <c r="M217" s="1500">
        <v>78.864856777100186</v>
      </c>
      <c r="N217" s="1500">
        <v>82.673797744533118</v>
      </c>
      <c r="O217" s="1500">
        <f t="shared" si="15"/>
        <v>10.482970631418041</v>
      </c>
      <c r="P217" s="1500">
        <f>_xlfn.IFNA(INDEX('F7'!$M$10:$M$126,MATCH(B217,'F7'!$B$10:$B$126,0)),0)</f>
        <v>0</v>
      </c>
      <c r="Q217" s="1500">
        <f t="shared" si="16"/>
        <v>0</v>
      </c>
      <c r="R217" s="1500">
        <f t="shared" si="17"/>
        <v>10.482970631418041</v>
      </c>
      <c r="S217" s="1500">
        <v>81.230802480413189</v>
      </c>
      <c r="T217" s="1501">
        <v>85.154011676869132</v>
      </c>
      <c r="U217" s="1500">
        <f t="shared" si="18"/>
        <v>10.482970631418043</v>
      </c>
      <c r="V217" s="1500">
        <f>_xlfn.IFNA(INDEX('F7'!$R$10:$R$126,MATCH(B217,'F7'!$B$10:$B$126,0)),0)</f>
        <v>0</v>
      </c>
      <c r="W217" s="1500">
        <f t="shared" si="19"/>
        <v>0</v>
      </c>
      <c r="X217" s="1500">
        <f>U217-W217</f>
        <v>10.482970631418043</v>
      </c>
      <c r="Z217" s="1571">
        <v>0</v>
      </c>
    </row>
    <row r="218" spans="2:26">
      <c r="B218" s="1406" t="s">
        <v>1433</v>
      </c>
      <c r="C218" s="1065"/>
      <c r="D218" s="1065"/>
      <c r="E218" s="1065"/>
      <c r="F218" s="1065"/>
      <c r="G218" s="1500"/>
      <c r="H218" s="1500"/>
      <c r="I218" s="1500"/>
      <c r="J218" s="1500"/>
      <c r="K218" s="1500"/>
      <c r="L218" s="1500"/>
      <c r="M218" s="1500">
        <v>77.751615026563428</v>
      </c>
      <c r="N218" s="1500">
        <v>73.226242686549611</v>
      </c>
      <c r="O218" s="1500">
        <f t="shared" si="15"/>
        <v>9.4179706314180418</v>
      </c>
      <c r="P218" s="1500">
        <f>_xlfn.IFNA(INDEX('F7'!$M$10:$M$126,MATCH(B218,'F7'!$B$10:$B$126,0)),0)</f>
        <v>0</v>
      </c>
      <c r="Q218" s="1500">
        <f t="shared" si="16"/>
        <v>0</v>
      </c>
      <c r="R218" s="1500">
        <f t="shared" si="17"/>
        <v>9.4179706314180418</v>
      </c>
      <c r="S218" s="1500">
        <v>80.084163477360335</v>
      </c>
      <c r="T218" s="1501">
        <v>75.423029967146107</v>
      </c>
      <c r="U218" s="1500">
        <f t="shared" si="18"/>
        <v>9.4179706314180418</v>
      </c>
      <c r="V218" s="1500">
        <f>_xlfn.IFNA(INDEX('F7'!$R$10:$R$126,MATCH(B218,'F7'!$B$10:$B$126,0)),0)</f>
        <v>0</v>
      </c>
      <c r="W218" s="1500">
        <f t="shared" si="19"/>
        <v>0</v>
      </c>
      <c r="X218" s="1500">
        <f>U218-W218</f>
        <v>9.4179706314180418</v>
      </c>
      <c r="Z218" s="1571">
        <v>0</v>
      </c>
    </row>
    <row r="219" spans="2:26">
      <c r="B219" s="1411" t="s">
        <v>1014</v>
      </c>
      <c r="C219" s="1065"/>
      <c r="D219" s="1065"/>
      <c r="E219" s="1065"/>
      <c r="F219" s="1065"/>
      <c r="G219" s="1500"/>
      <c r="H219" s="1500"/>
      <c r="I219" s="1500"/>
      <c r="J219" s="1500"/>
      <c r="K219" s="1500"/>
      <c r="L219" s="1500"/>
      <c r="M219" s="1500">
        <v>386.41066666666666</v>
      </c>
      <c r="N219" s="1500">
        <v>274.4701335797655</v>
      </c>
      <c r="O219" s="1500">
        <f t="shared" si="15"/>
        <v>7.1030682446593651</v>
      </c>
      <c r="P219" s="1500">
        <f>_xlfn.IFNA(INDEX('F7'!$M$10:$M$126,MATCH(B219,'F7'!$B$10:$B$126,0)),0)</f>
        <v>0</v>
      </c>
      <c r="Q219" s="1500">
        <f t="shared" si="16"/>
        <v>0</v>
      </c>
      <c r="R219" s="1500">
        <f t="shared" si="17"/>
        <v>7.1030682446593651</v>
      </c>
      <c r="S219" s="1500">
        <v>398.00298666666674</v>
      </c>
      <c r="T219" s="1501">
        <v>282.70423758715845</v>
      </c>
      <c r="U219" s="1500">
        <f t="shared" si="18"/>
        <v>7.1030682446593634</v>
      </c>
      <c r="V219" s="1500">
        <f>_xlfn.IFNA(INDEX('F7'!$R$10:$R$126,MATCH(B219,'F7'!$B$10:$B$126,0)),0)</f>
        <v>0</v>
      </c>
      <c r="W219" s="1500">
        <f t="shared" si="19"/>
        <v>0</v>
      </c>
      <c r="X219" s="1500">
        <f>U219-W219</f>
        <v>7.1030682446593634</v>
      </c>
      <c r="Z219" s="1571">
        <v>0</v>
      </c>
    </row>
    <row r="220" spans="2:26">
      <c r="B220" s="1406" t="s">
        <v>1430</v>
      </c>
      <c r="C220" s="1065"/>
      <c r="D220" s="1065"/>
      <c r="E220" s="1065"/>
      <c r="F220" s="1065"/>
      <c r="G220" s="1500"/>
      <c r="H220" s="1500"/>
      <c r="I220" s="1500"/>
      <c r="J220" s="1500"/>
      <c r="K220" s="1500"/>
      <c r="L220" s="1500"/>
      <c r="M220" s="1500">
        <v>88.95170227363046</v>
      </c>
      <c r="N220" s="1500">
        <v>63.155708614277628</v>
      </c>
      <c r="O220" s="1500">
        <f t="shared" si="15"/>
        <v>7.1000000000000005</v>
      </c>
      <c r="P220" s="1500">
        <f>_xlfn.IFNA(INDEX('F7'!$M$10:$M$126,MATCH(B220,'F7'!$B$10:$B$126,0)),0)</f>
        <v>0</v>
      </c>
      <c r="Q220" s="1500">
        <f t="shared" si="16"/>
        <v>0</v>
      </c>
      <c r="R220" s="1500">
        <f t="shared" si="17"/>
        <v>7.1000000000000005</v>
      </c>
      <c r="S220" s="1500">
        <v>91.620253341839387</v>
      </c>
      <c r="T220" s="1501">
        <v>65.05037987270596</v>
      </c>
      <c r="U220" s="1500">
        <f t="shared" si="18"/>
        <v>7.1</v>
      </c>
      <c r="V220" s="1500">
        <f>_xlfn.IFNA(INDEX('F7'!$R$10:$R$126,MATCH(B220,'F7'!$B$10:$B$126,0)),0)</f>
        <v>0</v>
      </c>
      <c r="W220" s="1500">
        <f t="shared" si="19"/>
        <v>0</v>
      </c>
      <c r="X220" s="1500">
        <f>U220-W220</f>
        <v>7.1</v>
      </c>
      <c r="Z220" s="1571">
        <v>0</v>
      </c>
    </row>
    <row r="221" spans="2:26">
      <c r="B221" s="1406" t="s">
        <v>1431</v>
      </c>
      <c r="C221" s="1065"/>
      <c r="D221" s="1065"/>
      <c r="E221" s="1065"/>
      <c r="F221" s="1065"/>
      <c r="G221" s="1500"/>
      <c r="H221" s="1500"/>
      <c r="I221" s="1500"/>
      <c r="J221" s="1500"/>
      <c r="K221" s="1500"/>
      <c r="L221" s="1500"/>
      <c r="M221" s="1500">
        <v>140.84249258937263</v>
      </c>
      <c r="N221" s="1500">
        <v>99.99816973845455</v>
      </c>
      <c r="O221" s="1500">
        <f t="shared" si="15"/>
        <v>7.0999999999999988</v>
      </c>
      <c r="P221" s="1500">
        <f>_xlfn.IFNA(INDEX('F7'!$M$10:$M$126,MATCH(B221,'F7'!$B$10:$B$126,0)),0)</f>
        <v>0</v>
      </c>
      <c r="Q221" s="1500">
        <f t="shared" si="16"/>
        <v>0</v>
      </c>
      <c r="R221" s="1500">
        <f t="shared" si="17"/>
        <v>7.0999999999999988</v>
      </c>
      <c r="S221" s="1500">
        <v>145.06776736705379</v>
      </c>
      <c r="T221" s="1501">
        <v>102.99811483060819</v>
      </c>
      <c r="U221" s="1500">
        <f t="shared" si="18"/>
        <v>7.1</v>
      </c>
      <c r="V221" s="1500">
        <f>_xlfn.IFNA(INDEX('F7'!$R$10:$R$126,MATCH(B221,'F7'!$B$10:$B$126,0)),0)</f>
        <v>0</v>
      </c>
      <c r="W221" s="1500">
        <f t="shared" si="19"/>
        <v>0</v>
      </c>
      <c r="X221" s="1500">
        <f>U221-W221</f>
        <v>7.1</v>
      </c>
      <c r="Z221" s="1571">
        <v>0</v>
      </c>
    </row>
    <row r="222" spans="2:26">
      <c r="B222" s="1406" t="s">
        <v>1432</v>
      </c>
      <c r="C222" s="1065"/>
      <c r="D222" s="1065"/>
      <c r="E222" s="1065"/>
      <c r="F222" s="1065"/>
      <c r="G222" s="1500"/>
      <c r="H222" s="1500"/>
      <c r="I222" s="1500"/>
      <c r="J222" s="1500"/>
      <c r="K222" s="1500"/>
      <c r="L222" s="1500"/>
      <c r="M222" s="1500">
        <v>78.864856777100186</v>
      </c>
      <c r="N222" s="1500">
        <v>64.393155558502286</v>
      </c>
      <c r="O222" s="1500">
        <f t="shared" si="15"/>
        <v>8.1649999999999974</v>
      </c>
      <c r="P222" s="1500">
        <f>_xlfn.IFNA(INDEX('F7'!$M$10:$M$126,MATCH(B222,'F7'!$B$10:$B$126,0)),0)</f>
        <v>0</v>
      </c>
      <c r="Q222" s="1500">
        <f t="shared" si="16"/>
        <v>0</v>
      </c>
      <c r="R222" s="1500">
        <f t="shared" si="17"/>
        <v>8.1649999999999974</v>
      </c>
      <c r="S222" s="1500">
        <v>81.230802480413189</v>
      </c>
      <c r="T222" s="1501">
        <v>66.324950225257368</v>
      </c>
      <c r="U222" s="1500">
        <f t="shared" si="18"/>
        <v>8.1649999999999991</v>
      </c>
      <c r="V222" s="1500">
        <f>_xlfn.IFNA(INDEX('F7'!$R$10:$R$126,MATCH(B222,'F7'!$B$10:$B$126,0)),0)</f>
        <v>0</v>
      </c>
      <c r="W222" s="1500">
        <f t="shared" si="19"/>
        <v>0</v>
      </c>
      <c r="X222" s="1500">
        <f>U222-W222</f>
        <v>8.1649999999999991</v>
      </c>
      <c r="Z222" s="1571">
        <v>0</v>
      </c>
    </row>
    <row r="223" spans="2:26">
      <c r="B223" s="1406" t="s">
        <v>1433</v>
      </c>
      <c r="C223" s="1065"/>
      <c r="D223" s="1065"/>
      <c r="E223" s="1065"/>
      <c r="F223" s="1065"/>
      <c r="G223" s="1500"/>
      <c r="H223" s="1500"/>
      <c r="I223" s="1500"/>
      <c r="J223" s="1500"/>
      <c r="K223" s="1500"/>
      <c r="L223" s="1500"/>
      <c r="M223" s="1500">
        <v>77.751615026563428</v>
      </c>
      <c r="N223" s="1500">
        <v>46.923099668531023</v>
      </c>
      <c r="O223" s="1500">
        <f t="shared" si="15"/>
        <v>6.0349999999999993</v>
      </c>
      <c r="P223" s="1500">
        <f>_xlfn.IFNA(INDEX('F7'!$M$10:$M$126,MATCH(B223,'F7'!$B$10:$B$126,0)),0)</f>
        <v>0</v>
      </c>
      <c r="Q223" s="1500">
        <f t="shared" si="16"/>
        <v>0</v>
      </c>
      <c r="R223" s="1500">
        <f t="shared" si="17"/>
        <v>6.0349999999999993</v>
      </c>
      <c r="S223" s="1500">
        <v>80.084163477360335</v>
      </c>
      <c r="T223" s="1501">
        <v>48.330792658586958</v>
      </c>
      <c r="U223" s="1500">
        <f t="shared" si="18"/>
        <v>6.0349999999999993</v>
      </c>
      <c r="V223" s="1500">
        <f>_xlfn.IFNA(INDEX('F7'!$R$10:$R$126,MATCH(B223,'F7'!$B$10:$B$126,0)),0)</f>
        <v>0</v>
      </c>
      <c r="W223" s="1500">
        <f t="shared" si="19"/>
        <v>0</v>
      </c>
      <c r="X223" s="1500">
        <f>U223-W223</f>
        <v>6.0349999999999993</v>
      </c>
      <c r="Z223" s="1571">
        <v>0</v>
      </c>
    </row>
    <row r="224" spans="2:26">
      <c r="B224" s="1402" t="s">
        <v>1127</v>
      </c>
      <c r="C224" s="1065"/>
      <c r="D224" s="1065"/>
      <c r="E224" s="1065"/>
      <c r="F224" s="1065"/>
      <c r="G224" s="1500"/>
      <c r="H224" s="1500"/>
      <c r="I224" s="1500"/>
      <c r="J224" s="1500"/>
      <c r="K224" s="1500"/>
      <c r="L224" s="1500"/>
      <c r="M224" s="1500">
        <v>303.52800000000002</v>
      </c>
      <c r="N224" s="1500">
        <v>228.54805305437532</v>
      </c>
      <c r="O224" s="1500">
        <f t="shared" si="15"/>
        <v>7.5297189404066609</v>
      </c>
      <c r="P224" s="1500">
        <f ca="1">_xlfn.IFNA(INDEX('F7'!$M$10:$M$126,MATCH(B224,'F7'!$B$10:$B$126,0)),0)</f>
        <v>233.71675281111391</v>
      </c>
      <c r="Q224" s="1500">
        <f t="shared" ca="1" si="16"/>
        <v>7.7000063523336859</v>
      </c>
      <c r="R224" s="1500">
        <f t="shared" ca="1" si="17"/>
        <v>-0.17028741192702501</v>
      </c>
      <c r="S224" s="1500">
        <v>318.70439999999996</v>
      </c>
      <c r="T224" s="1501">
        <v>239.75369705709412</v>
      </c>
      <c r="U224" s="1500">
        <f t="shared" si="18"/>
        <v>7.5227608108671902</v>
      </c>
      <c r="V224" s="1500">
        <f ca="1">_xlfn.IFNA(INDEX('F7'!$R$10:$R$126,MATCH(B224,'F7'!$B$10:$B$126,0)),0)</f>
        <v>305.86712484469558</v>
      </c>
      <c r="W224" s="1500">
        <f t="shared" ca="1" si="19"/>
        <v>9.5972043324376948</v>
      </c>
      <c r="X224" s="1500">
        <f ca="1">U224-W224</f>
        <v>-2.0744435215705046</v>
      </c>
      <c r="Z224" s="1571">
        <v>0</v>
      </c>
    </row>
    <row r="225" spans="2:26">
      <c r="B225" s="1410" t="s">
        <v>1013</v>
      </c>
      <c r="C225" s="1065"/>
      <c r="D225" s="1065"/>
      <c r="E225" s="1065"/>
      <c r="F225" s="1065"/>
      <c r="G225" s="1500"/>
      <c r="H225" s="1500"/>
      <c r="I225" s="1500"/>
      <c r="J225" s="1500"/>
      <c r="K225" s="1500"/>
      <c r="L225" s="1500"/>
      <c r="M225" s="1500">
        <v>151.76400000000001</v>
      </c>
      <c r="N225" s="1500">
        <v>125.3039356774614</v>
      </c>
      <c r="O225" s="1500">
        <f t="shared" si="15"/>
        <v>8.256499280294495</v>
      </c>
      <c r="P225" s="1500">
        <f>_xlfn.IFNA(INDEX('F7'!$M$10:$M$126,MATCH(B225,'F7'!$B$10:$B$126,0)),0)</f>
        <v>0</v>
      </c>
      <c r="Q225" s="1500">
        <f t="shared" si="16"/>
        <v>0</v>
      </c>
      <c r="R225" s="1500">
        <f t="shared" si="17"/>
        <v>8.256499280294495</v>
      </c>
      <c r="S225" s="1500">
        <v>159.35219999999998</v>
      </c>
      <c r="T225" s="1501">
        <v>131.34737381133448</v>
      </c>
      <c r="U225" s="1500">
        <f t="shared" si="18"/>
        <v>8.2425830212155518</v>
      </c>
      <c r="V225" s="1500">
        <f>_xlfn.IFNA(INDEX('F7'!$R$10:$R$126,MATCH(B225,'F7'!$B$10:$B$126,0)),0)</f>
        <v>0</v>
      </c>
      <c r="W225" s="1500">
        <f t="shared" si="19"/>
        <v>0</v>
      </c>
      <c r="X225" s="1500">
        <f>U225-W225</f>
        <v>8.2425830212155518</v>
      </c>
      <c r="Z225" s="1571">
        <v>0</v>
      </c>
    </row>
    <row r="226" spans="2:26">
      <c r="B226" s="1406" t="s">
        <v>1430</v>
      </c>
      <c r="C226" s="1065"/>
      <c r="D226" s="1065"/>
      <c r="E226" s="1065"/>
      <c r="F226" s="1065"/>
      <c r="G226" s="1500"/>
      <c r="H226" s="1500"/>
      <c r="I226" s="1500"/>
      <c r="J226" s="1500"/>
      <c r="K226" s="1500"/>
      <c r="L226" s="1500"/>
      <c r="M226" s="1500">
        <v>34.936059763331031</v>
      </c>
      <c r="N226" s="1500">
        <v>25.37449799454896</v>
      </c>
      <c r="O226" s="1500">
        <f t="shared" si="15"/>
        <v>7.2631253113386567</v>
      </c>
      <c r="P226" s="1500">
        <f>_xlfn.IFNA(INDEX('F7'!$M$10:$M$126,MATCH(B226,'F7'!$B$10:$B$126,0)),0)</f>
        <v>0</v>
      </c>
      <c r="Q226" s="1500">
        <f t="shared" si="16"/>
        <v>0</v>
      </c>
      <c r="R226" s="1500">
        <f t="shared" si="17"/>
        <v>7.2631253113386567</v>
      </c>
      <c r="S226" s="1500">
        <v>36.682862751497581</v>
      </c>
      <c r="T226" s="1501">
        <v>26.592174072095681</v>
      </c>
      <c r="U226" s="1500">
        <f t="shared" si="18"/>
        <v>7.2492090522597108</v>
      </c>
      <c r="V226" s="1500">
        <f>_xlfn.IFNA(INDEX('F7'!$R$10:$R$126,MATCH(B226,'F7'!$B$10:$B$126,0)),0)</f>
        <v>0</v>
      </c>
      <c r="W226" s="1500">
        <f t="shared" si="19"/>
        <v>0</v>
      </c>
      <c r="X226" s="1500">
        <f>U226-W226</f>
        <v>7.2492090522597108</v>
      </c>
      <c r="Z226" s="1571">
        <v>0</v>
      </c>
    </row>
    <row r="227" spans="2:26">
      <c r="B227" s="1406" t="s">
        <v>1431</v>
      </c>
      <c r="C227" s="1065"/>
      <c r="D227" s="1065"/>
      <c r="E227" s="1065"/>
      <c r="F227" s="1065"/>
      <c r="G227" s="1500"/>
      <c r="H227" s="1500"/>
      <c r="I227" s="1500"/>
      <c r="J227" s="1500"/>
      <c r="K227" s="1500"/>
      <c r="L227" s="1500"/>
      <c r="M227" s="1500">
        <v>55.316330239331414</v>
      </c>
      <c r="N227" s="1500">
        <v>45.819209513577398</v>
      </c>
      <c r="O227" s="1500">
        <f t="shared" si="15"/>
        <v>8.283125311338658</v>
      </c>
      <c r="P227" s="1500">
        <f>_xlfn.IFNA(INDEX('F7'!$M$10:$M$126,MATCH(B227,'F7'!$B$10:$B$126,0)),0)</f>
        <v>0</v>
      </c>
      <c r="Q227" s="1500">
        <f t="shared" si="16"/>
        <v>0</v>
      </c>
      <c r="R227" s="1500">
        <f t="shared" si="17"/>
        <v>8.283125311338658</v>
      </c>
      <c r="S227" s="1500">
        <v>58.082146751297984</v>
      </c>
      <c r="T227" s="1501">
        <v>48.029341369051025</v>
      </c>
      <c r="U227" s="1500">
        <f t="shared" si="18"/>
        <v>8.2692090522597113</v>
      </c>
      <c r="V227" s="1500">
        <f>_xlfn.IFNA(INDEX('F7'!$R$10:$R$126,MATCH(B227,'F7'!$B$10:$B$126,0)),0)</f>
        <v>0</v>
      </c>
      <c r="W227" s="1500">
        <f t="shared" si="19"/>
        <v>0</v>
      </c>
      <c r="X227" s="1500">
        <f>U227-W227</f>
        <v>8.2692090522597113</v>
      </c>
      <c r="Z227" s="1571">
        <v>0</v>
      </c>
    </row>
    <row r="228" spans="2:26">
      <c r="B228" s="1406" t="s">
        <v>1432</v>
      </c>
      <c r="C228" s="1065"/>
      <c r="D228" s="1065"/>
      <c r="E228" s="1065"/>
      <c r="F228" s="1065"/>
      <c r="G228" s="1500"/>
      <c r="H228" s="1500"/>
      <c r="I228" s="1500"/>
      <c r="J228" s="1500"/>
      <c r="K228" s="1500"/>
      <c r="L228" s="1500"/>
      <c r="M228" s="1500">
        <v>30.974419591384201</v>
      </c>
      <c r="N228" s="1500">
        <v>28.815890690463036</v>
      </c>
      <c r="O228" s="1500">
        <f t="shared" si="15"/>
        <v>9.3031253113386576</v>
      </c>
      <c r="P228" s="1500">
        <f>_xlfn.IFNA(INDEX('F7'!$M$10:$M$126,MATCH(B228,'F7'!$B$10:$B$126,0)),0)</f>
        <v>0</v>
      </c>
      <c r="Q228" s="1500">
        <f t="shared" si="16"/>
        <v>0</v>
      </c>
      <c r="R228" s="1500">
        <f t="shared" si="17"/>
        <v>9.3031253113386576</v>
      </c>
      <c r="S228" s="1500">
        <v>32.523140570953416</v>
      </c>
      <c r="T228" s="1501">
        <v>30.211425179961555</v>
      </c>
      <c r="U228" s="1500">
        <f t="shared" si="18"/>
        <v>9.2892090522597108</v>
      </c>
      <c r="V228" s="1500">
        <f>_xlfn.IFNA(INDEX('F7'!$R$10:$R$126,MATCH(B228,'F7'!$B$10:$B$126,0)),0)</f>
        <v>0</v>
      </c>
      <c r="W228" s="1500">
        <f t="shared" si="19"/>
        <v>0</v>
      </c>
      <c r="X228" s="1500">
        <f>U228-W228</f>
        <v>9.2892090522597108</v>
      </c>
      <c r="Z228" s="1571">
        <v>0</v>
      </c>
    </row>
    <row r="229" spans="2:26">
      <c r="B229" s="1406" t="s">
        <v>1433</v>
      </c>
      <c r="C229" s="1065"/>
      <c r="D229" s="1065"/>
      <c r="E229" s="1065"/>
      <c r="F229" s="1065"/>
      <c r="G229" s="1500"/>
      <c r="H229" s="1500"/>
      <c r="I229" s="1500"/>
      <c r="J229" s="1500"/>
      <c r="K229" s="1500"/>
      <c r="L229" s="1500"/>
      <c r="M229" s="1500">
        <v>30.537190405953346</v>
      </c>
      <c r="N229" s="1500">
        <v>25.294337478872016</v>
      </c>
      <c r="O229" s="1500">
        <f t="shared" si="15"/>
        <v>8.283125311338658</v>
      </c>
      <c r="P229" s="1500">
        <f>_xlfn.IFNA(INDEX('F7'!$M$10:$M$126,MATCH(B229,'F7'!$B$10:$B$126,0)),0)</f>
        <v>0</v>
      </c>
      <c r="Q229" s="1500">
        <f t="shared" si="16"/>
        <v>0</v>
      </c>
      <c r="R229" s="1500">
        <f t="shared" si="17"/>
        <v>8.283125311338658</v>
      </c>
      <c r="S229" s="1500">
        <v>32.064049926251016</v>
      </c>
      <c r="T229" s="1501">
        <v>26.514433190226221</v>
      </c>
      <c r="U229" s="1500">
        <f t="shared" si="18"/>
        <v>8.2692090522597113</v>
      </c>
      <c r="V229" s="1500">
        <f>_xlfn.IFNA(INDEX('F7'!$R$10:$R$126,MATCH(B229,'F7'!$B$10:$B$126,0)),0)</f>
        <v>0</v>
      </c>
      <c r="W229" s="1500">
        <f t="shared" si="19"/>
        <v>0</v>
      </c>
      <c r="X229" s="1500">
        <f>U229-W229</f>
        <v>8.2692090522597113</v>
      </c>
      <c r="Z229" s="1571">
        <v>0</v>
      </c>
    </row>
    <row r="230" spans="2:26">
      <c r="B230" s="1411" t="s">
        <v>1014</v>
      </c>
      <c r="C230" s="1065"/>
      <c r="D230" s="1065"/>
      <c r="E230" s="1065"/>
      <c r="F230" s="1065"/>
      <c r="G230" s="1500"/>
      <c r="H230" s="1500"/>
      <c r="I230" s="1500"/>
      <c r="J230" s="1500"/>
      <c r="K230" s="1500"/>
      <c r="L230" s="1500"/>
      <c r="M230" s="1500">
        <v>151.76400000000001</v>
      </c>
      <c r="N230" s="1500">
        <v>103.24411737691392</v>
      </c>
      <c r="O230" s="1500">
        <f t="shared" si="15"/>
        <v>6.8029386005188268</v>
      </c>
      <c r="P230" s="1500">
        <f>_xlfn.IFNA(INDEX('F7'!$M$10:$M$126,MATCH(B230,'F7'!$B$10:$B$126,0)),0)</f>
        <v>0</v>
      </c>
      <c r="Q230" s="1500">
        <f t="shared" si="16"/>
        <v>0</v>
      </c>
      <c r="R230" s="1500">
        <f t="shared" si="17"/>
        <v>6.8029386005188268</v>
      </c>
      <c r="S230" s="1500">
        <v>159.35219999999998</v>
      </c>
      <c r="T230" s="1501">
        <v>108.40632324575964</v>
      </c>
      <c r="U230" s="1500">
        <f t="shared" si="18"/>
        <v>6.8029386005188286</v>
      </c>
      <c r="V230" s="1500">
        <f>_xlfn.IFNA(INDEX('F7'!$R$10:$R$126,MATCH(B230,'F7'!$B$10:$B$126,0)),0)</f>
        <v>0</v>
      </c>
      <c r="W230" s="1500">
        <f t="shared" si="19"/>
        <v>0</v>
      </c>
      <c r="X230" s="1500">
        <f>U230-W230</f>
        <v>6.8029386005188286</v>
      </c>
      <c r="Z230" s="1571">
        <v>0</v>
      </c>
    </row>
    <row r="231" spans="2:26">
      <c r="B231" s="1406" t="s">
        <v>1430</v>
      </c>
      <c r="C231" s="1065"/>
      <c r="D231" s="1065"/>
      <c r="E231" s="1065"/>
      <c r="F231" s="1065"/>
      <c r="G231" s="1500"/>
      <c r="H231" s="1500"/>
      <c r="I231" s="1500"/>
      <c r="J231" s="1500"/>
      <c r="K231" s="1500"/>
      <c r="L231" s="1500"/>
      <c r="M231" s="1500">
        <v>34.936059763331031</v>
      </c>
      <c r="N231" s="1500">
        <v>23.756520639065101</v>
      </c>
      <c r="O231" s="1500">
        <f t="shared" si="15"/>
        <v>6.8000000000000007</v>
      </c>
      <c r="P231" s="1500">
        <f>_xlfn.IFNA(INDEX('F7'!$M$10:$M$126,MATCH(B231,'F7'!$B$10:$B$126,0)),0)</f>
        <v>0</v>
      </c>
      <c r="Q231" s="1500">
        <f t="shared" si="16"/>
        <v>0</v>
      </c>
      <c r="R231" s="1500">
        <f t="shared" si="17"/>
        <v>6.8000000000000007</v>
      </c>
      <c r="S231" s="1500">
        <v>36.682862751497581</v>
      </c>
      <c r="T231" s="1501">
        <v>24.944346671018355</v>
      </c>
      <c r="U231" s="1500">
        <f t="shared" si="18"/>
        <v>6.8000000000000007</v>
      </c>
      <c r="V231" s="1500">
        <f>_xlfn.IFNA(INDEX('F7'!$R$10:$R$126,MATCH(B231,'F7'!$B$10:$B$126,0)),0)</f>
        <v>0</v>
      </c>
      <c r="W231" s="1500">
        <f t="shared" si="19"/>
        <v>0</v>
      </c>
      <c r="X231" s="1500">
        <f>U231-W231</f>
        <v>6.8000000000000007</v>
      </c>
      <c r="Z231" s="1571">
        <v>0</v>
      </c>
    </row>
    <row r="232" spans="2:26">
      <c r="B232" s="1406" t="s">
        <v>1431</v>
      </c>
      <c r="C232" s="1065"/>
      <c r="D232" s="1065"/>
      <c r="E232" s="1065"/>
      <c r="F232" s="1065"/>
      <c r="G232" s="1500"/>
      <c r="H232" s="1500"/>
      <c r="I232" s="1500"/>
      <c r="J232" s="1500"/>
      <c r="K232" s="1500"/>
      <c r="L232" s="1500"/>
      <c r="M232" s="1500">
        <v>55.316330239331414</v>
      </c>
      <c r="N232" s="1500">
        <v>37.615104562745358</v>
      </c>
      <c r="O232" s="1500">
        <f t="shared" si="15"/>
        <v>6.7999999999999989</v>
      </c>
      <c r="P232" s="1500">
        <f>_xlfn.IFNA(INDEX('F7'!$M$10:$M$126,MATCH(B232,'F7'!$B$10:$B$126,0)),0)</f>
        <v>0</v>
      </c>
      <c r="Q232" s="1500">
        <f t="shared" si="16"/>
        <v>0</v>
      </c>
      <c r="R232" s="1500">
        <f t="shared" si="17"/>
        <v>6.7999999999999989</v>
      </c>
      <c r="S232" s="1500">
        <v>58.082146751297984</v>
      </c>
      <c r="T232" s="1501">
        <v>39.495859790882626</v>
      </c>
      <c r="U232" s="1500">
        <f t="shared" si="18"/>
        <v>6.7999999999999989</v>
      </c>
      <c r="V232" s="1500">
        <f>_xlfn.IFNA(INDEX('F7'!$R$10:$R$126,MATCH(B232,'F7'!$B$10:$B$126,0)),0)</f>
        <v>0</v>
      </c>
      <c r="W232" s="1500">
        <f t="shared" si="19"/>
        <v>0</v>
      </c>
      <c r="X232" s="1500">
        <f>U232-W232</f>
        <v>6.7999999999999989</v>
      </c>
      <c r="Z232" s="1571">
        <v>0</v>
      </c>
    </row>
    <row r="233" spans="2:26">
      <c r="B233" s="1406" t="s">
        <v>1432</v>
      </c>
      <c r="C233" s="1065"/>
      <c r="D233" s="1065"/>
      <c r="E233" s="1065"/>
      <c r="F233" s="1065"/>
      <c r="G233" s="1500"/>
      <c r="H233" s="1500"/>
      <c r="I233" s="1500"/>
      <c r="J233" s="1500"/>
      <c r="K233" s="1500"/>
      <c r="L233" s="1500"/>
      <c r="M233" s="1500">
        <v>30.974419591384201</v>
      </c>
      <c r="N233" s="1500">
        <v>24.221996120462443</v>
      </c>
      <c r="O233" s="1500">
        <f t="shared" si="15"/>
        <v>7.8199999999999994</v>
      </c>
      <c r="P233" s="1500">
        <f>_xlfn.IFNA(INDEX('F7'!$M$10:$M$126,MATCH(B233,'F7'!$B$10:$B$126,0)),0)</f>
        <v>0</v>
      </c>
      <c r="Q233" s="1500">
        <f t="shared" si="16"/>
        <v>0</v>
      </c>
      <c r="R233" s="1500">
        <f t="shared" si="17"/>
        <v>7.8199999999999994</v>
      </c>
      <c r="S233" s="1500">
        <v>32.523140570953416</v>
      </c>
      <c r="T233" s="1501">
        <v>25.433095926485571</v>
      </c>
      <c r="U233" s="1500">
        <f t="shared" si="18"/>
        <v>7.82</v>
      </c>
      <c r="V233" s="1500">
        <f>_xlfn.IFNA(INDEX('F7'!$R$10:$R$126,MATCH(B233,'F7'!$B$10:$B$126,0)),0)</f>
        <v>0</v>
      </c>
      <c r="W233" s="1500">
        <f t="shared" si="19"/>
        <v>0</v>
      </c>
      <c r="X233" s="1500">
        <f>U233-W233</f>
        <v>7.82</v>
      </c>
      <c r="Z233" s="1571">
        <v>0</v>
      </c>
    </row>
    <row r="234" spans="2:26">
      <c r="B234" s="1406" t="s">
        <v>1433</v>
      </c>
      <c r="C234" s="1065"/>
      <c r="D234" s="1065"/>
      <c r="E234" s="1065"/>
      <c r="F234" s="1065"/>
      <c r="G234" s="1500"/>
      <c r="H234" s="1500"/>
      <c r="I234" s="1500"/>
      <c r="J234" s="1500"/>
      <c r="K234" s="1500"/>
      <c r="L234" s="1500"/>
      <c r="M234" s="1500">
        <v>30.537190405953346</v>
      </c>
      <c r="N234" s="1500">
        <v>17.650496054641032</v>
      </c>
      <c r="O234" s="1500">
        <f t="shared" si="15"/>
        <v>5.7799999999999994</v>
      </c>
      <c r="P234" s="1500">
        <f>_xlfn.IFNA(INDEX('F7'!$M$10:$M$126,MATCH(B234,'F7'!$B$10:$B$126,0)),0)</f>
        <v>0</v>
      </c>
      <c r="Q234" s="1500">
        <f t="shared" si="16"/>
        <v>0</v>
      </c>
      <c r="R234" s="1500">
        <f t="shared" si="17"/>
        <v>5.7799999999999994</v>
      </c>
      <c r="S234" s="1500">
        <v>32.064049926251016</v>
      </c>
      <c r="T234" s="1501">
        <v>18.533020857373085</v>
      </c>
      <c r="U234" s="1500">
        <f t="shared" si="18"/>
        <v>5.7799999999999994</v>
      </c>
      <c r="V234" s="1500">
        <f>_xlfn.IFNA(INDEX('F7'!$R$10:$R$126,MATCH(B234,'F7'!$B$10:$B$126,0)),0)</f>
        <v>0</v>
      </c>
      <c r="W234" s="1500">
        <f t="shared" si="19"/>
        <v>0</v>
      </c>
      <c r="X234" s="1500">
        <f>U234-W234</f>
        <v>5.7799999999999994</v>
      </c>
      <c r="Z234" s="1571">
        <v>0</v>
      </c>
    </row>
    <row r="235" spans="2:26">
      <c r="B235" s="1402" t="s">
        <v>1128</v>
      </c>
      <c r="C235" s="1065"/>
      <c r="D235" s="1065"/>
      <c r="E235" s="1065"/>
      <c r="F235" s="1065"/>
      <c r="G235" s="1500"/>
      <c r="H235" s="1500"/>
      <c r="I235" s="1500"/>
      <c r="J235" s="1500"/>
      <c r="K235" s="1500"/>
      <c r="L235" s="1500"/>
      <c r="M235" s="1500">
        <v>51.966666666666669</v>
      </c>
      <c r="N235" s="1500">
        <v>49.124633777546677</v>
      </c>
      <c r="O235" s="1500">
        <f t="shared" si="15"/>
        <v>9.4531046396818486</v>
      </c>
      <c r="P235" s="1500">
        <f ca="1">_xlfn.IFNA(INDEX('F7'!$M$10:$M$126,MATCH(B235,'F7'!$B$10:$B$126,0)),0)</f>
        <v>40.014353822960452</v>
      </c>
      <c r="Q235" s="1500">
        <f t="shared" ca="1" si="16"/>
        <v>7.700003942840369</v>
      </c>
      <c r="R235" s="1500">
        <f t="shared" ca="1" si="17"/>
        <v>1.7531006968414795</v>
      </c>
      <c r="S235" s="1500">
        <v>55.604333333333344</v>
      </c>
      <c r="T235" s="1501">
        <v>52.249586821974951</v>
      </c>
      <c r="U235" s="1500">
        <f t="shared" si="18"/>
        <v>9.3966753470008229</v>
      </c>
      <c r="V235" s="1500">
        <f ca="1">_xlfn.IFNA(INDEX('F7'!$R$10:$R$126,MATCH(B235,'F7'!$B$10:$B$126,0)),0)</f>
        <v>53.364614876897647</v>
      </c>
      <c r="W235" s="1500">
        <f t="shared" ca="1" si="19"/>
        <v>9.5972043324376948</v>
      </c>
      <c r="X235" s="1500">
        <f ca="1">U235-W235</f>
        <v>-0.20052898543687192</v>
      </c>
      <c r="Z235" s="1571">
        <v>0</v>
      </c>
    </row>
    <row r="236" spans="2:26">
      <c r="B236" s="1410" t="s">
        <v>1013</v>
      </c>
      <c r="C236" s="1065"/>
      <c r="D236" s="1065"/>
      <c r="E236" s="1065"/>
      <c r="F236" s="1065"/>
      <c r="G236" s="1500"/>
      <c r="H236" s="1500"/>
      <c r="I236" s="1500"/>
      <c r="J236" s="1500"/>
      <c r="K236" s="1500"/>
      <c r="L236" s="1500"/>
      <c r="M236" s="1500">
        <v>25.983333333333334</v>
      </c>
      <c r="N236" s="1500">
        <v>32.488114125454359</v>
      </c>
      <c r="O236" s="1500">
        <f t="shared" si="15"/>
        <v>12.503443537698919</v>
      </c>
      <c r="P236" s="1500">
        <f>_xlfn.IFNA(INDEX('F7'!$M$10:$M$126,MATCH(B236,'F7'!$B$10:$B$126,0)),0)</f>
        <v>0</v>
      </c>
      <c r="Q236" s="1500">
        <f t="shared" si="16"/>
        <v>0</v>
      </c>
      <c r="R236" s="1500">
        <f t="shared" si="17"/>
        <v>12.503443537698919</v>
      </c>
      <c r="S236" s="1500">
        <v>27.802166666666672</v>
      </c>
      <c r="T236" s="1501">
        <v>34.448510794236171</v>
      </c>
      <c r="U236" s="1500">
        <f t="shared" si="18"/>
        <v>12.390584952336868</v>
      </c>
      <c r="V236" s="1500">
        <f>_xlfn.IFNA(INDEX('F7'!$R$10:$R$126,MATCH(B236,'F7'!$B$10:$B$126,0)),0)</f>
        <v>0</v>
      </c>
      <c r="W236" s="1500">
        <f t="shared" si="19"/>
        <v>0</v>
      </c>
      <c r="X236" s="1500">
        <f>U236-W236</f>
        <v>12.390584952336868</v>
      </c>
      <c r="Z236" s="1571">
        <v>0</v>
      </c>
    </row>
    <row r="237" spans="2:26">
      <c r="B237" s="1406" t="s">
        <v>1430</v>
      </c>
      <c r="C237" s="1065"/>
      <c r="D237" s="1065"/>
      <c r="E237" s="1065"/>
      <c r="F237" s="1065"/>
      <c r="G237" s="1500"/>
      <c r="H237" s="1500"/>
      <c r="I237" s="1500"/>
      <c r="J237" s="1500"/>
      <c r="K237" s="1500"/>
      <c r="L237" s="1500"/>
      <c r="M237" s="1500">
        <v>5.9813611013407968</v>
      </c>
      <c r="N237" s="1500">
        <v>6.9195395828500246</v>
      </c>
      <c r="O237" s="1500">
        <f t="shared" si="15"/>
        <v>11.568503331622837</v>
      </c>
      <c r="P237" s="1500">
        <f>_xlfn.IFNA(INDEX('F7'!$M$10:$M$126,MATCH(B237,'F7'!$B$10:$B$126,0)),0)</f>
        <v>0</v>
      </c>
      <c r="Q237" s="1500">
        <f t="shared" si="16"/>
        <v>0</v>
      </c>
      <c r="R237" s="1500">
        <f t="shared" si="17"/>
        <v>11.568503331622837</v>
      </c>
      <c r="S237" s="1500">
        <v>6.4000563784346527</v>
      </c>
      <c r="T237" s="1501">
        <v>7.331677222738775</v>
      </c>
      <c r="U237" s="1500">
        <f t="shared" si="18"/>
        <v>11.455644746260784</v>
      </c>
      <c r="V237" s="1500">
        <f>_xlfn.IFNA(INDEX('F7'!$R$10:$R$126,MATCH(B237,'F7'!$B$10:$B$126,0)),0)</f>
        <v>0</v>
      </c>
      <c r="W237" s="1500">
        <f t="shared" si="19"/>
        <v>0</v>
      </c>
      <c r="X237" s="1500">
        <f>U237-W237</f>
        <v>11.455644746260784</v>
      </c>
      <c r="Z237" s="1571">
        <v>0</v>
      </c>
    </row>
    <row r="238" spans="2:26">
      <c r="B238" s="1406" t="s">
        <v>1431</v>
      </c>
      <c r="C238" s="1065"/>
      <c r="D238" s="1065"/>
      <c r="E238" s="1065"/>
      <c r="F238" s="1065"/>
      <c r="G238" s="1500"/>
      <c r="H238" s="1500"/>
      <c r="I238" s="1500"/>
      <c r="J238" s="1500"/>
      <c r="K238" s="1500"/>
      <c r="L238" s="1500"/>
      <c r="M238" s="1500">
        <v>9.4706428888622778</v>
      </c>
      <c r="N238" s="1500">
        <v>11.865298098572115</v>
      </c>
      <c r="O238" s="1500">
        <f t="shared" si="15"/>
        <v>12.528503331622833</v>
      </c>
      <c r="P238" s="1500">
        <f>_xlfn.IFNA(INDEX('F7'!$M$10:$M$126,MATCH(B238,'F7'!$B$10:$B$126,0)),0)</f>
        <v>0</v>
      </c>
      <c r="Q238" s="1500">
        <f t="shared" si="16"/>
        <v>0</v>
      </c>
      <c r="R238" s="1500">
        <f t="shared" si="17"/>
        <v>12.528503331622833</v>
      </c>
      <c r="S238" s="1500">
        <v>10.133587891082637</v>
      </c>
      <c r="T238" s="1501">
        <v>12.581502726069203</v>
      </c>
      <c r="U238" s="1500">
        <f t="shared" si="18"/>
        <v>12.415644746260783</v>
      </c>
      <c r="V238" s="1500">
        <f>_xlfn.IFNA(INDEX('F7'!$R$10:$R$126,MATCH(B238,'F7'!$B$10:$B$126,0)),0)</f>
        <v>0</v>
      </c>
      <c r="W238" s="1500">
        <f t="shared" si="19"/>
        <v>0</v>
      </c>
      <c r="X238" s="1500">
        <f>U238-W238</f>
        <v>12.415644746260783</v>
      </c>
      <c r="Z238" s="1571">
        <v>0</v>
      </c>
    </row>
    <row r="239" spans="2:26">
      <c r="B239" s="1406" t="s">
        <v>1432</v>
      </c>
      <c r="C239" s="1065"/>
      <c r="D239" s="1065"/>
      <c r="E239" s="1065"/>
      <c r="F239" s="1065"/>
      <c r="G239" s="1500"/>
      <c r="H239" s="1500"/>
      <c r="I239" s="1500"/>
      <c r="J239" s="1500"/>
      <c r="K239" s="1500"/>
      <c r="L239" s="1500"/>
      <c r="M239" s="1500">
        <v>5.3030934151015154</v>
      </c>
      <c r="N239" s="1500">
        <v>7.1530793197503897</v>
      </c>
      <c r="O239" s="1500">
        <f t="shared" si="15"/>
        <v>13.488503331622832</v>
      </c>
      <c r="P239" s="1500">
        <f>_xlfn.IFNA(INDEX('F7'!$M$10:$M$126,MATCH(B239,'F7'!$B$10:$B$126,0)),0)</f>
        <v>0</v>
      </c>
      <c r="Q239" s="1500">
        <f t="shared" si="16"/>
        <v>0</v>
      </c>
      <c r="R239" s="1500">
        <f t="shared" si="17"/>
        <v>13.488503331622832</v>
      </c>
      <c r="S239" s="1500">
        <v>5.6743099541586215</v>
      </c>
      <c r="T239" s="1501">
        <v>7.5897554126997022</v>
      </c>
      <c r="U239" s="1500">
        <f t="shared" si="18"/>
        <v>13.375644746260782</v>
      </c>
      <c r="V239" s="1500">
        <f>_xlfn.IFNA(INDEX('F7'!$R$10:$R$126,MATCH(B239,'F7'!$B$10:$B$126,0)),0)</f>
        <v>0</v>
      </c>
      <c r="W239" s="1500">
        <f t="shared" si="19"/>
        <v>0</v>
      </c>
      <c r="X239" s="1500">
        <f>U239-W239</f>
        <v>13.375644746260782</v>
      </c>
      <c r="Z239" s="1571">
        <v>0</v>
      </c>
    </row>
    <row r="240" spans="2:26">
      <c r="B240" s="1406" t="s">
        <v>1433</v>
      </c>
      <c r="C240" s="1065"/>
      <c r="D240" s="1065"/>
      <c r="E240" s="1065"/>
      <c r="F240" s="1065"/>
      <c r="G240" s="1500"/>
      <c r="H240" s="1500"/>
      <c r="I240" s="1500"/>
      <c r="J240" s="1500"/>
      <c r="K240" s="1500"/>
      <c r="L240" s="1500"/>
      <c r="M240" s="1500">
        <v>5.228235928028746</v>
      </c>
      <c r="N240" s="1500">
        <v>6.5501971242818335</v>
      </c>
      <c r="O240" s="1500">
        <f t="shared" si="15"/>
        <v>12.528503331622833</v>
      </c>
      <c r="P240" s="1500">
        <f>_xlfn.IFNA(INDEX('F7'!$M$10:$M$126,MATCH(B240,'F7'!$B$10:$B$126,0)),0)</f>
        <v>0</v>
      </c>
      <c r="Q240" s="1500">
        <f t="shared" si="16"/>
        <v>0</v>
      </c>
      <c r="R240" s="1500">
        <f t="shared" si="17"/>
        <v>12.528503331622833</v>
      </c>
      <c r="S240" s="1500">
        <v>5.5942124429907585</v>
      </c>
      <c r="T240" s="1501">
        <v>6.945575432728492</v>
      </c>
      <c r="U240" s="1500">
        <f t="shared" si="18"/>
        <v>12.415644746260785</v>
      </c>
      <c r="V240" s="1500">
        <f>_xlfn.IFNA(INDEX('F7'!$R$10:$R$126,MATCH(B240,'F7'!$B$10:$B$126,0)),0)</f>
        <v>0</v>
      </c>
      <c r="W240" s="1500">
        <f t="shared" si="19"/>
        <v>0</v>
      </c>
      <c r="X240" s="1500">
        <f>U240-W240</f>
        <v>12.415644746260785</v>
      </c>
      <c r="Z240" s="1571">
        <v>0</v>
      </c>
    </row>
    <row r="241" spans="2:26">
      <c r="B241" s="1411" t="s">
        <v>1014</v>
      </c>
      <c r="C241" s="1065"/>
      <c r="D241" s="1065"/>
      <c r="E241" s="1065"/>
      <c r="F241" s="1065"/>
      <c r="G241" s="1500"/>
      <c r="H241" s="1500"/>
      <c r="I241" s="1500"/>
      <c r="J241" s="1500"/>
      <c r="K241" s="1500"/>
      <c r="L241" s="1500"/>
      <c r="M241" s="1500">
        <v>25.983333333333334</v>
      </c>
      <c r="N241" s="1500">
        <v>16.636519652092321</v>
      </c>
      <c r="O241" s="1500">
        <f t="shared" si="15"/>
        <v>6.4027657416647799</v>
      </c>
      <c r="P241" s="1500">
        <f>_xlfn.IFNA(INDEX('F7'!$M$10:$M$126,MATCH(B241,'F7'!$B$10:$B$126,0)),0)</f>
        <v>0</v>
      </c>
      <c r="Q241" s="1500">
        <f t="shared" si="16"/>
        <v>0</v>
      </c>
      <c r="R241" s="1500">
        <f t="shared" si="17"/>
        <v>6.4027657416647799</v>
      </c>
      <c r="S241" s="1500">
        <v>27.802166666666672</v>
      </c>
      <c r="T241" s="1501">
        <v>17.80107602773878</v>
      </c>
      <c r="U241" s="1500">
        <f t="shared" si="18"/>
        <v>6.4027657416647781</v>
      </c>
      <c r="V241" s="1500">
        <f>_xlfn.IFNA(INDEX('F7'!$R$10:$R$126,MATCH(B241,'F7'!$B$10:$B$126,0)),0)</f>
        <v>0</v>
      </c>
      <c r="W241" s="1500">
        <f t="shared" si="19"/>
        <v>0</v>
      </c>
      <c r="X241" s="1500">
        <f>U241-W241</f>
        <v>6.4027657416647781</v>
      </c>
      <c r="Z241" s="1571">
        <v>0</v>
      </c>
    </row>
    <row r="242" spans="2:26">
      <c r="B242" s="1406" t="s">
        <v>1430</v>
      </c>
      <c r="C242" s="1065"/>
      <c r="D242" s="1065"/>
      <c r="E242" s="1065"/>
      <c r="F242" s="1065"/>
      <c r="G242" s="1500"/>
      <c r="H242" s="1500"/>
      <c r="I242" s="1500"/>
      <c r="J242" s="1500"/>
      <c r="K242" s="1500"/>
      <c r="L242" s="1500"/>
      <c r="M242" s="1500">
        <v>5.9813611013407968</v>
      </c>
      <c r="N242" s="1500">
        <v>3.8280711048581102</v>
      </c>
      <c r="O242" s="1500">
        <f t="shared" si="15"/>
        <v>6.4</v>
      </c>
      <c r="P242" s="1500">
        <f>_xlfn.IFNA(INDEX('F7'!$M$10:$M$126,MATCH(B242,'F7'!$B$10:$B$126,0)),0)</f>
        <v>0</v>
      </c>
      <c r="Q242" s="1500">
        <f t="shared" si="16"/>
        <v>0</v>
      </c>
      <c r="R242" s="1500">
        <f t="shared" si="17"/>
        <v>6.4</v>
      </c>
      <c r="S242" s="1500">
        <v>6.4000563784346527</v>
      </c>
      <c r="T242" s="1501">
        <v>4.0960360821981778</v>
      </c>
      <c r="U242" s="1500">
        <f t="shared" si="18"/>
        <v>6.4</v>
      </c>
      <c r="V242" s="1500">
        <f>_xlfn.IFNA(INDEX('F7'!$R$10:$R$126,MATCH(B242,'F7'!$B$10:$B$126,0)),0)</f>
        <v>0</v>
      </c>
      <c r="W242" s="1500">
        <f t="shared" si="19"/>
        <v>0</v>
      </c>
      <c r="X242" s="1500">
        <f>U242-W242</f>
        <v>6.4</v>
      </c>
      <c r="Z242" s="1571">
        <v>0</v>
      </c>
    </row>
    <row r="243" spans="2:26">
      <c r="B243" s="1406" t="s">
        <v>1431</v>
      </c>
      <c r="C243" s="1065"/>
      <c r="D243" s="1065"/>
      <c r="E243" s="1065"/>
      <c r="F243" s="1065"/>
      <c r="G243" s="1500"/>
      <c r="H243" s="1500"/>
      <c r="I243" s="1500"/>
      <c r="J243" s="1500"/>
      <c r="K243" s="1500"/>
      <c r="L243" s="1500"/>
      <c r="M243" s="1500">
        <v>9.4706428888622778</v>
      </c>
      <c r="N243" s="1500">
        <v>6.061211448871858</v>
      </c>
      <c r="O243" s="1500">
        <f t="shared" si="15"/>
        <v>6.4</v>
      </c>
      <c r="P243" s="1500">
        <f>_xlfn.IFNA(INDEX('F7'!$M$10:$M$126,MATCH(B243,'F7'!$B$10:$B$126,0)),0)</f>
        <v>0</v>
      </c>
      <c r="Q243" s="1500">
        <f t="shared" si="16"/>
        <v>0</v>
      </c>
      <c r="R243" s="1500">
        <f t="shared" si="17"/>
        <v>6.4</v>
      </c>
      <c r="S243" s="1500">
        <v>10.133587891082637</v>
      </c>
      <c r="T243" s="1501">
        <v>6.4854962502928881</v>
      </c>
      <c r="U243" s="1500">
        <f t="shared" si="18"/>
        <v>6.4</v>
      </c>
      <c r="V243" s="1500">
        <f>_xlfn.IFNA(INDEX('F7'!$R$10:$R$126,MATCH(B243,'F7'!$B$10:$B$126,0)),0)</f>
        <v>0</v>
      </c>
      <c r="W243" s="1500">
        <f t="shared" si="19"/>
        <v>0</v>
      </c>
      <c r="X243" s="1500">
        <f>U243-W243</f>
        <v>6.4</v>
      </c>
      <c r="Z243" s="1571">
        <v>0</v>
      </c>
    </row>
    <row r="244" spans="2:26">
      <c r="B244" s="1406" t="s">
        <v>1432</v>
      </c>
      <c r="C244" s="1065"/>
      <c r="D244" s="1065"/>
      <c r="E244" s="1065"/>
      <c r="F244" s="1065"/>
      <c r="G244" s="1500"/>
      <c r="H244" s="1500"/>
      <c r="I244" s="1500"/>
      <c r="J244" s="1500"/>
      <c r="K244" s="1500"/>
      <c r="L244" s="1500"/>
      <c r="M244" s="1500">
        <v>5.3030934151015154</v>
      </c>
      <c r="N244" s="1500">
        <v>3.9030767535147151</v>
      </c>
      <c r="O244" s="1500">
        <f t="shared" si="15"/>
        <v>7.3599999999999994</v>
      </c>
      <c r="P244" s="1500">
        <f>_xlfn.IFNA(INDEX('F7'!$M$10:$M$126,MATCH(B244,'F7'!$B$10:$B$126,0)),0)</f>
        <v>0</v>
      </c>
      <c r="Q244" s="1500">
        <f t="shared" si="16"/>
        <v>0</v>
      </c>
      <c r="R244" s="1500">
        <f t="shared" si="17"/>
        <v>7.3599999999999994</v>
      </c>
      <c r="S244" s="1500">
        <v>5.6743099541586215</v>
      </c>
      <c r="T244" s="1501">
        <v>4.1762921262607451</v>
      </c>
      <c r="U244" s="1500">
        <f t="shared" si="18"/>
        <v>7.3599999999999994</v>
      </c>
      <c r="V244" s="1500">
        <f>_xlfn.IFNA(INDEX('F7'!$R$10:$R$126,MATCH(B244,'F7'!$B$10:$B$126,0)),0)</f>
        <v>0</v>
      </c>
      <c r="W244" s="1500">
        <f t="shared" si="19"/>
        <v>0</v>
      </c>
      <c r="X244" s="1500">
        <f>U244-W244</f>
        <v>7.3599999999999994</v>
      </c>
      <c r="Z244" s="1571">
        <v>0</v>
      </c>
    </row>
    <row r="245" spans="2:26">
      <c r="B245" s="1406" t="s">
        <v>1433</v>
      </c>
      <c r="C245" s="1065"/>
      <c r="D245" s="1065"/>
      <c r="E245" s="1065"/>
      <c r="F245" s="1065"/>
      <c r="G245" s="1500"/>
      <c r="H245" s="1500"/>
      <c r="I245" s="1500"/>
      <c r="J245" s="1500"/>
      <c r="K245" s="1500"/>
      <c r="L245" s="1500"/>
      <c r="M245" s="1500">
        <v>5.228235928028746</v>
      </c>
      <c r="N245" s="1500">
        <v>2.844160344847638</v>
      </c>
      <c r="O245" s="1500">
        <f t="shared" si="15"/>
        <v>5.44</v>
      </c>
      <c r="P245" s="1500">
        <f>_xlfn.IFNA(INDEX('F7'!$M$10:$M$126,MATCH(B245,'F7'!$B$10:$B$126,0)),0)</f>
        <v>0</v>
      </c>
      <c r="Q245" s="1500">
        <f t="shared" si="16"/>
        <v>0</v>
      </c>
      <c r="R245" s="1500">
        <f t="shared" si="17"/>
        <v>5.44</v>
      </c>
      <c r="S245" s="1500">
        <v>5.5942124429907585</v>
      </c>
      <c r="T245" s="1501">
        <v>3.0432515689869728</v>
      </c>
      <c r="U245" s="1500">
        <f t="shared" si="18"/>
        <v>5.44</v>
      </c>
      <c r="V245" s="1500">
        <f>_xlfn.IFNA(INDEX('F7'!$R$10:$R$126,MATCH(B245,'F7'!$B$10:$B$126,0)),0)</f>
        <v>0</v>
      </c>
      <c r="W245" s="1500">
        <f t="shared" si="19"/>
        <v>0</v>
      </c>
      <c r="X245" s="1500">
        <f>U245-W245</f>
        <v>5.44</v>
      </c>
      <c r="Z245" s="1571">
        <v>0</v>
      </c>
    </row>
    <row r="246" spans="2:26">
      <c r="B246" s="1402" t="s">
        <v>1129</v>
      </c>
      <c r="C246" s="1065"/>
      <c r="D246" s="1065"/>
      <c r="E246" s="1065"/>
      <c r="F246" s="1065"/>
      <c r="G246" s="1500"/>
      <c r="H246" s="1500"/>
      <c r="I246" s="1500"/>
      <c r="J246" s="1500"/>
      <c r="K246" s="1500"/>
      <c r="L246" s="1500"/>
      <c r="M246" s="1500">
        <v>3.226666666666667</v>
      </c>
      <c r="N246" s="1500">
        <v>2.4078129116724023</v>
      </c>
      <c r="O246" s="1500">
        <f t="shared" si="15"/>
        <v>7.4622300981582708</v>
      </c>
      <c r="P246" s="1500">
        <f ca="1">_xlfn.IFNA(INDEX('F7'!$M$10:$M$126,MATCH(B246,'F7'!$B$10:$B$126,0)),0)</f>
        <v>2.4845954848951375</v>
      </c>
      <c r="Q246" s="1500">
        <f t="shared" ca="1" si="16"/>
        <v>7.7001926184766649</v>
      </c>
      <c r="R246" s="1500">
        <f t="shared" ca="1" si="17"/>
        <v>-0.23796252031839416</v>
      </c>
      <c r="S246" s="1500">
        <v>3.3557333333333337</v>
      </c>
      <c r="T246" s="1501">
        <v>2.5019432881392989</v>
      </c>
      <c r="U246" s="1500">
        <f t="shared" si="18"/>
        <v>7.4557273764481646</v>
      </c>
      <c r="V246" s="1500">
        <f ca="1">_xlfn.IFNA(INDEX('F7'!$R$10:$R$126,MATCH(B246,'F7'!$B$10:$B$126,0)),0)</f>
        <v>3.2205658485172255</v>
      </c>
      <c r="W246" s="1500">
        <f t="shared" ca="1" si="19"/>
        <v>9.5972043324376948</v>
      </c>
      <c r="X246" s="1500">
        <f ca="1">U246-W246</f>
        <v>-2.1414769559895301</v>
      </c>
      <c r="Z246" s="1571">
        <v>0</v>
      </c>
    </row>
    <row r="247" spans="2:26">
      <c r="B247" s="1410" t="s">
        <v>1013</v>
      </c>
      <c r="C247" s="1065"/>
      <c r="D247" s="1065"/>
      <c r="E247" s="1065"/>
      <c r="F247" s="1065"/>
      <c r="G247" s="1500"/>
      <c r="H247" s="1500"/>
      <c r="I247" s="1500"/>
      <c r="J247" s="1500"/>
      <c r="K247" s="1500"/>
      <c r="L247" s="1500"/>
      <c r="M247" s="1500">
        <v>1.6133333333333335</v>
      </c>
      <c r="N247" s="1500">
        <v>1.4232542879384913</v>
      </c>
      <c r="O247" s="1500">
        <f t="shared" si="15"/>
        <v>8.8218240987923</v>
      </c>
      <c r="P247" s="1500">
        <f>_xlfn.IFNA(INDEX('F7'!$M$10:$M$126,MATCH(B247,'F7'!$B$10:$B$126,0)),0)</f>
        <v>0</v>
      </c>
      <c r="Q247" s="1500">
        <f t="shared" si="16"/>
        <v>0</v>
      </c>
      <c r="R247" s="1500">
        <f t="shared" si="17"/>
        <v>8.8218240987923</v>
      </c>
      <c r="S247" s="1500">
        <v>1.6778666666666668</v>
      </c>
      <c r="T247" s="1501">
        <v>1.4780023194560312</v>
      </c>
      <c r="U247" s="1500">
        <f t="shared" si="18"/>
        <v>8.808818655372086</v>
      </c>
      <c r="V247" s="1500">
        <f>_xlfn.IFNA(INDEX('F7'!$R$10:$R$126,MATCH(B247,'F7'!$B$10:$B$126,0)),0)</f>
        <v>0</v>
      </c>
      <c r="W247" s="1500">
        <f t="shared" si="19"/>
        <v>0</v>
      </c>
      <c r="X247" s="1500">
        <f>U247-W247</f>
        <v>8.808818655372086</v>
      </c>
      <c r="Z247" s="1571">
        <v>0</v>
      </c>
    </row>
    <row r="248" spans="2:26">
      <c r="B248" s="1406" t="s">
        <v>1430</v>
      </c>
      <c r="C248" s="1065"/>
      <c r="D248" s="1065"/>
      <c r="E248" s="1065"/>
      <c r="F248" s="1065"/>
      <c r="G248" s="1500"/>
      <c r="H248" s="1500"/>
      <c r="I248" s="1500"/>
      <c r="J248" s="1500"/>
      <c r="K248" s="1500"/>
      <c r="L248" s="1500"/>
      <c r="M248" s="1500">
        <v>0.37138919474649718</v>
      </c>
      <c r="N248" s="1500">
        <v>0.29453797090814349</v>
      </c>
      <c r="O248" s="1500">
        <f t="shared" si="15"/>
        <v>7.9307092148760336</v>
      </c>
      <c r="P248" s="1500">
        <f>_xlfn.IFNA(INDEX('F7'!$M$10:$M$126,MATCH(B248,'F7'!$B$10:$B$126,0)),0)</f>
        <v>0</v>
      </c>
      <c r="Q248" s="1500">
        <f t="shared" si="16"/>
        <v>0</v>
      </c>
      <c r="R248" s="1500">
        <f t="shared" si="17"/>
        <v>7.9307092148760336</v>
      </c>
      <c r="S248" s="1500">
        <v>0.38624476253635709</v>
      </c>
      <c r="T248" s="1501">
        <v>0.30581716130391712</v>
      </c>
      <c r="U248" s="1500">
        <f t="shared" si="18"/>
        <v>7.9177037714558178</v>
      </c>
      <c r="V248" s="1500">
        <f>_xlfn.IFNA(INDEX('F7'!$R$10:$R$126,MATCH(B248,'F7'!$B$10:$B$126,0)),0)</f>
        <v>0</v>
      </c>
      <c r="W248" s="1500">
        <f t="shared" si="19"/>
        <v>0</v>
      </c>
      <c r="X248" s="1500">
        <f>U248-W248</f>
        <v>7.9177037714558178</v>
      </c>
      <c r="Z248" s="1571">
        <v>0</v>
      </c>
    </row>
    <row r="249" spans="2:26">
      <c r="B249" s="1406" t="s">
        <v>1431</v>
      </c>
      <c r="C249" s="1065"/>
      <c r="D249" s="1065"/>
      <c r="E249" s="1065"/>
      <c r="F249" s="1065"/>
      <c r="G249" s="1500"/>
      <c r="H249" s="1500"/>
      <c r="I249" s="1500"/>
      <c r="J249" s="1500"/>
      <c r="K249" s="1500"/>
      <c r="L249" s="1500"/>
      <c r="M249" s="1500">
        <v>0.58804248341364229</v>
      </c>
      <c r="N249" s="1500">
        <v>0.52016528142706431</v>
      </c>
      <c r="O249" s="1500">
        <f t="shared" si="15"/>
        <v>8.8457092148760346</v>
      </c>
      <c r="P249" s="1500">
        <f>_xlfn.IFNA(INDEX('F7'!$M$10:$M$126,MATCH(B249,'F7'!$B$10:$B$126,0)),0)</f>
        <v>0</v>
      </c>
      <c r="Q249" s="1500">
        <f t="shared" si="16"/>
        <v>0</v>
      </c>
      <c r="R249" s="1500">
        <f t="shared" si="17"/>
        <v>8.8457092148760346</v>
      </c>
      <c r="S249" s="1500">
        <v>0.61156418275018809</v>
      </c>
      <c r="T249" s="1501">
        <v>0.54017652634648805</v>
      </c>
      <c r="U249" s="1500">
        <f t="shared" si="18"/>
        <v>8.832703771455817</v>
      </c>
      <c r="V249" s="1500">
        <f>_xlfn.IFNA(INDEX('F7'!$R$10:$R$126,MATCH(B249,'F7'!$B$10:$B$126,0)),0)</f>
        <v>0</v>
      </c>
      <c r="W249" s="1500">
        <f t="shared" si="19"/>
        <v>0</v>
      </c>
      <c r="X249" s="1500">
        <f>U249-W249</f>
        <v>8.832703771455817</v>
      </c>
      <c r="Z249" s="1571">
        <v>0</v>
      </c>
    </row>
    <row r="250" spans="2:26">
      <c r="B250" s="1406" t="s">
        <v>1432</v>
      </c>
      <c r="C250" s="1065"/>
      <c r="D250" s="1065"/>
      <c r="E250" s="1065"/>
      <c r="F250" s="1065"/>
      <c r="G250" s="1500"/>
      <c r="H250" s="1500"/>
      <c r="I250" s="1500"/>
      <c r="J250" s="1500"/>
      <c r="K250" s="1500"/>
      <c r="L250" s="1500"/>
      <c r="M250" s="1500">
        <v>0.32927481884658538</v>
      </c>
      <c r="N250" s="1500">
        <v>0.32139557585425022</v>
      </c>
      <c r="O250" s="1500">
        <f t="shared" si="15"/>
        <v>9.7607092148760319</v>
      </c>
      <c r="P250" s="1500">
        <f>_xlfn.IFNA(INDEX('F7'!$M$10:$M$126,MATCH(B250,'F7'!$B$10:$B$126,0)),0)</f>
        <v>0</v>
      </c>
      <c r="Q250" s="1500">
        <f t="shared" si="16"/>
        <v>0</v>
      </c>
      <c r="R250" s="1500">
        <f t="shared" si="17"/>
        <v>9.7607092148760319</v>
      </c>
      <c r="S250" s="1500">
        <v>0.34244581160044879</v>
      </c>
      <c r="T250" s="1501">
        <v>0.33380603292569427</v>
      </c>
      <c r="U250" s="1500">
        <f t="shared" si="18"/>
        <v>9.7477037714558161</v>
      </c>
      <c r="V250" s="1500">
        <f>_xlfn.IFNA(INDEX('F7'!$R$10:$R$126,MATCH(B250,'F7'!$B$10:$B$126,0)),0)</f>
        <v>0</v>
      </c>
      <c r="W250" s="1500">
        <f t="shared" si="19"/>
        <v>0</v>
      </c>
      <c r="X250" s="1500">
        <f>U250-W250</f>
        <v>9.7477037714558161</v>
      </c>
      <c r="Z250" s="1571">
        <v>0</v>
      </c>
    </row>
    <row r="251" spans="2:26">
      <c r="B251" s="1406" t="s">
        <v>1433</v>
      </c>
      <c r="C251" s="1065"/>
      <c r="D251" s="1065"/>
      <c r="E251" s="1065"/>
      <c r="F251" s="1065"/>
      <c r="G251" s="1500"/>
      <c r="H251" s="1500"/>
      <c r="I251" s="1500"/>
      <c r="J251" s="1500"/>
      <c r="K251" s="1500"/>
      <c r="L251" s="1500"/>
      <c r="M251" s="1500">
        <v>0.32462683632660844</v>
      </c>
      <c r="N251" s="1500">
        <v>0.28715545974903339</v>
      </c>
      <c r="O251" s="1500">
        <f t="shared" si="15"/>
        <v>8.8457092148760328</v>
      </c>
      <c r="P251" s="1500">
        <f>_xlfn.IFNA(INDEX('F7'!$M$10:$M$126,MATCH(B251,'F7'!$B$10:$B$126,0)),0)</f>
        <v>0</v>
      </c>
      <c r="Q251" s="1500">
        <f t="shared" si="16"/>
        <v>0</v>
      </c>
      <c r="R251" s="1500">
        <f t="shared" si="17"/>
        <v>8.8457092148760328</v>
      </c>
      <c r="S251" s="1500">
        <v>0.33761190977967281</v>
      </c>
      <c r="T251" s="1501">
        <v>0.29820259887993172</v>
      </c>
      <c r="U251" s="1500">
        <f t="shared" si="18"/>
        <v>8.832703771455817</v>
      </c>
      <c r="V251" s="1500">
        <f>_xlfn.IFNA(INDEX('F7'!$R$10:$R$126,MATCH(B251,'F7'!$B$10:$B$126,0)),0)</f>
        <v>0</v>
      </c>
      <c r="W251" s="1500">
        <f t="shared" si="19"/>
        <v>0</v>
      </c>
      <c r="X251" s="1500">
        <f>U251-W251</f>
        <v>8.832703771455817</v>
      </c>
      <c r="Z251" s="1571">
        <v>0</v>
      </c>
    </row>
    <row r="252" spans="2:26">
      <c r="B252" s="1411" t="s">
        <v>1014</v>
      </c>
      <c r="C252" s="1065"/>
      <c r="D252" s="1065"/>
      <c r="E252" s="1065"/>
      <c r="F252" s="1065"/>
      <c r="G252" s="1500"/>
      <c r="H252" s="1500"/>
      <c r="I252" s="1500"/>
      <c r="J252" s="1500"/>
      <c r="K252" s="1500"/>
      <c r="L252" s="1500"/>
      <c r="M252" s="1500">
        <v>1.6133333333333335</v>
      </c>
      <c r="N252" s="1500">
        <v>0.98455862373391112</v>
      </c>
      <c r="O252" s="1500">
        <f t="shared" si="15"/>
        <v>6.1026360975242424</v>
      </c>
      <c r="P252" s="1500">
        <f>_xlfn.IFNA(INDEX('F7'!$M$10:$M$126,MATCH(B252,'F7'!$B$10:$B$126,0)),0)</f>
        <v>0</v>
      </c>
      <c r="Q252" s="1500">
        <f t="shared" si="16"/>
        <v>0</v>
      </c>
      <c r="R252" s="1500">
        <f t="shared" si="17"/>
        <v>6.1026360975242424</v>
      </c>
      <c r="S252" s="1500">
        <v>1.6778666666666668</v>
      </c>
      <c r="T252" s="1501">
        <v>1.0239409686832677</v>
      </c>
      <c r="U252" s="1500">
        <f t="shared" si="18"/>
        <v>6.1026360975242424</v>
      </c>
      <c r="V252" s="1500">
        <f>_xlfn.IFNA(INDEX('F7'!$R$10:$R$126,MATCH(B252,'F7'!$B$10:$B$126,0)),0)</f>
        <v>0</v>
      </c>
      <c r="W252" s="1500">
        <f t="shared" si="19"/>
        <v>0</v>
      </c>
      <c r="X252" s="1500">
        <f>U252-W252</f>
        <v>6.1026360975242424</v>
      </c>
      <c r="Z252" s="1571">
        <v>0</v>
      </c>
    </row>
    <row r="253" spans="2:26">
      <c r="B253" s="1406" t="s">
        <v>1430</v>
      </c>
      <c r="C253" s="1065"/>
      <c r="D253" s="1065"/>
      <c r="E253" s="1065"/>
      <c r="F253" s="1065"/>
      <c r="G253" s="1500"/>
      <c r="H253" s="1500"/>
      <c r="I253" s="1500"/>
      <c r="J253" s="1500"/>
      <c r="K253" s="1500"/>
      <c r="L253" s="1500"/>
      <c r="M253" s="1500">
        <v>0.37138919474649718</v>
      </c>
      <c r="N253" s="1500">
        <v>0.22654740879536325</v>
      </c>
      <c r="O253" s="1500">
        <f t="shared" si="15"/>
        <v>6.1</v>
      </c>
      <c r="P253" s="1500">
        <f>_xlfn.IFNA(INDEX('F7'!$M$10:$M$126,MATCH(B253,'F7'!$B$10:$B$126,0)),0)</f>
        <v>0</v>
      </c>
      <c r="Q253" s="1500">
        <f t="shared" si="16"/>
        <v>0</v>
      </c>
      <c r="R253" s="1500">
        <f t="shared" si="17"/>
        <v>6.1</v>
      </c>
      <c r="S253" s="1500">
        <v>0.38624476253635709</v>
      </c>
      <c r="T253" s="1501">
        <v>0.23560930514717779</v>
      </c>
      <c r="U253" s="1500">
        <f t="shared" si="18"/>
        <v>6.0999999999999988</v>
      </c>
      <c r="V253" s="1500">
        <f>_xlfn.IFNA(INDEX('F7'!$R$10:$R$126,MATCH(B253,'F7'!$B$10:$B$126,0)),0)</f>
        <v>0</v>
      </c>
      <c r="W253" s="1500">
        <f t="shared" si="19"/>
        <v>0</v>
      </c>
      <c r="X253" s="1500">
        <f>U253-W253</f>
        <v>6.0999999999999988</v>
      </c>
      <c r="Z253" s="1571">
        <v>0</v>
      </c>
    </row>
    <row r="254" spans="2:26">
      <c r="B254" s="1406" t="s">
        <v>1431</v>
      </c>
      <c r="C254" s="1065"/>
      <c r="D254" s="1065"/>
      <c r="E254" s="1065"/>
      <c r="F254" s="1065"/>
      <c r="G254" s="1500"/>
      <c r="H254" s="1500"/>
      <c r="I254" s="1500"/>
      <c r="J254" s="1500"/>
      <c r="K254" s="1500"/>
      <c r="L254" s="1500"/>
      <c r="M254" s="1500">
        <v>0.58804248341364229</v>
      </c>
      <c r="N254" s="1500">
        <v>0.35870591488232179</v>
      </c>
      <c r="O254" s="1500">
        <f t="shared" si="15"/>
        <v>6.1</v>
      </c>
      <c r="P254" s="1500">
        <f>_xlfn.IFNA(INDEX('F7'!$M$10:$M$126,MATCH(B254,'F7'!$B$10:$B$126,0)),0)</f>
        <v>0</v>
      </c>
      <c r="Q254" s="1500">
        <f t="shared" si="16"/>
        <v>0</v>
      </c>
      <c r="R254" s="1500">
        <f t="shared" si="17"/>
        <v>6.1</v>
      </c>
      <c r="S254" s="1500">
        <v>0.61156418275018809</v>
      </c>
      <c r="T254" s="1501">
        <v>0.37305415147761473</v>
      </c>
      <c r="U254" s="1500">
        <f t="shared" si="18"/>
        <v>6.1</v>
      </c>
      <c r="V254" s="1500">
        <f>_xlfn.IFNA(INDEX('F7'!$R$10:$R$126,MATCH(B254,'F7'!$B$10:$B$126,0)),0)</f>
        <v>0</v>
      </c>
      <c r="W254" s="1500">
        <f t="shared" si="19"/>
        <v>0</v>
      </c>
      <c r="X254" s="1500">
        <f>U254-W254</f>
        <v>6.1</v>
      </c>
      <c r="Z254" s="1571">
        <v>0</v>
      </c>
    </row>
    <row r="255" spans="2:26">
      <c r="B255" s="1406" t="s">
        <v>1432</v>
      </c>
      <c r="C255" s="1065"/>
      <c r="D255" s="1065"/>
      <c r="E255" s="1065"/>
      <c r="F255" s="1065"/>
      <c r="G255" s="1500"/>
      <c r="H255" s="1500"/>
      <c r="I255" s="1500"/>
      <c r="J255" s="1500"/>
      <c r="K255" s="1500"/>
      <c r="L255" s="1500"/>
      <c r="M255" s="1500">
        <v>0.32927481884658538</v>
      </c>
      <c r="N255" s="1500">
        <v>0.23098628542087959</v>
      </c>
      <c r="O255" s="1500">
        <f t="shared" si="15"/>
        <v>7.0149999999999979</v>
      </c>
      <c r="P255" s="1500">
        <f>_xlfn.IFNA(INDEX('F7'!$M$10:$M$126,MATCH(B255,'F7'!$B$10:$B$126,0)),0)</f>
        <v>0</v>
      </c>
      <c r="Q255" s="1500">
        <f t="shared" si="16"/>
        <v>0</v>
      </c>
      <c r="R255" s="1500">
        <f t="shared" si="17"/>
        <v>7.0149999999999979</v>
      </c>
      <c r="S255" s="1500">
        <v>0.34244581160044879</v>
      </c>
      <c r="T255" s="1501">
        <v>0.24022573683771481</v>
      </c>
      <c r="U255" s="1500">
        <f t="shared" si="18"/>
        <v>7.0149999999999988</v>
      </c>
      <c r="V255" s="1500">
        <f>_xlfn.IFNA(INDEX('F7'!$R$10:$R$126,MATCH(B255,'F7'!$B$10:$B$126,0)),0)</f>
        <v>0</v>
      </c>
      <c r="W255" s="1500">
        <f t="shared" si="19"/>
        <v>0</v>
      </c>
      <c r="X255" s="1500">
        <f>U255-W255</f>
        <v>7.0149999999999988</v>
      </c>
      <c r="Z255" s="1571">
        <v>0</v>
      </c>
    </row>
    <row r="256" spans="2:26">
      <c r="B256" s="1406" t="s">
        <v>1433</v>
      </c>
      <c r="C256" s="1065"/>
      <c r="D256" s="1065"/>
      <c r="E256" s="1065"/>
      <c r="F256" s="1065"/>
      <c r="G256" s="1500"/>
      <c r="H256" s="1500"/>
      <c r="I256" s="1500"/>
      <c r="J256" s="1500"/>
      <c r="K256" s="1500"/>
      <c r="L256" s="1500"/>
      <c r="M256" s="1500">
        <v>0.32462683632660844</v>
      </c>
      <c r="N256" s="1500">
        <v>0.16831901463534646</v>
      </c>
      <c r="O256" s="1500">
        <f t="shared" si="15"/>
        <v>5.1849999999999996</v>
      </c>
      <c r="P256" s="1500">
        <f>_xlfn.IFNA(INDEX('F7'!$M$10:$M$126,MATCH(B256,'F7'!$B$10:$B$126,0)),0)</f>
        <v>0</v>
      </c>
      <c r="Q256" s="1500">
        <f t="shared" si="16"/>
        <v>0</v>
      </c>
      <c r="R256" s="1500">
        <f t="shared" si="17"/>
        <v>5.1849999999999996</v>
      </c>
      <c r="S256" s="1500">
        <v>0.33761190977967281</v>
      </c>
      <c r="T256" s="1501">
        <v>0.17505177522076035</v>
      </c>
      <c r="U256" s="1500">
        <f t="shared" si="18"/>
        <v>5.1849999999999996</v>
      </c>
      <c r="V256" s="1500">
        <f>_xlfn.IFNA(INDEX('F7'!$R$10:$R$126,MATCH(B256,'F7'!$B$10:$B$126,0)),0)</f>
        <v>0</v>
      </c>
      <c r="W256" s="1500">
        <f t="shared" si="19"/>
        <v>0</v>
      </c>
      <c r="X256" s="1500">
        <f>U256-W256</f>
        <v>5.1849999999999996</v>
      </c>
      <c r="Z256" s="1571">
        <v>0</v>
      </c>
    </row>
    <row r="257" spans="2:26">
      <c r="B257" s="1402" t="s">
        <v>1130</v>
      </c>
      <c r="C257" s="1065"/>
      <c r="D257" s="1065"/>
      <c r="E257" s="1065"/>
      <c r="F257" s="1065"/>
      <c r="G257" s="1500"/>
      <c r="H257" s="1500"/>
      <c r="I257" s="1500"/>
      <c r="J257" s="1500"/>
      <c r="K257" s="1500"/>
      <c r="L257" s="1500"/>
      <c r="M257" s="1500">
        <v>201.15200000000002</v>
      </c>
      <c r="N257" s="1500">
        <v>153.65375725000001</v>
      </c>
      <c r="O257" s="1500">
        <f t="shared" si="15"/>
        <v>7.638689013780624</v>
      </c>
      <c r="P257" s="1500">
        <f ca="1">_xlfn.IFNA(INDEX('F7'!$M$10:$M$126,MATCH(B257,'F7'!$B$10:$B$126,0)),0)</f>
        <v>154.89560245862867</v>
      </c>
      <c r="Q257" s="1500">
        <f t="shared" ca="1" si="16"/>
        <v>7.7004256710660925</v>
      </c>
      <c r="R257" s="1500">
        <f t="shared" ca="1" si="17"/>
        <v>-6.173665728546851E-2</v>
      </c>
      <c r="S257" s="1500">
        <v>211.20960000000002</v>
      </c>
      <c r="T257" s="1501">
        <v>161.12415761250003</v>
      </c>
      <c r="U257" s="1500">
        <f t="shared" si="18"/>
        <v>7.6286379791685608</v>
      </c>
      <c r="V257" s="1500">
        <f ca="1">_xlfn.IFNA(INDEX('F7'!$R$10:$R$126,MATCH(B257,'F7'!$B$10:$B$126,0)),0)</f>
        <v>202.70216881724329</v>
      </c>
      <c r="W257" s="1500">
        <f t="shared" ca="1" si="19"/>
        <v>9.5972043324376948</v>
      </c>
      <c r="X257" s="1500">
        <f ca="1">U257-W257</f>
        <v>-1.968566353269134</v>
      </c>
      <c r="Z257" s="1571">
        <v>0</v>
      </c>
    </row>
    <row r="258" spans="2:26">
      <c r="B258" s="1402" t="s">
        <v>1425</v>
      </c>
      <c r="C258" s="1065"/>
      <c r="D258" s="1065"/>
      <c r="E258" s="1065"/>
      <c r="F258" s="1065"/>
      <c r="G258" s="1500"/>
      <c r="H258" s="1500"/>
      <c r="I258" s="1500"/>
      <c r="J258" s="1500"/>
      <c r="K258" s="1500"/>
      <c r="L258" s="1500"/>
      <c r="M258" s="1500">
        <v>1332.6946666666668</v>
      </c>
      <c r="N258" s="1500">
        <v>1071.0505725613129</v>
      </c>
      <c r="O258" s="1500">
        <f t="shared" si="15"/>
        <v>8.0367288873468858</v>
      </c>
      <c r="P258" s="1500">
        <f ca="1">_xlfn.IFNA(INDEX('F7'!$M$10:$M$126,MATCH(B258,'F7'!$B$10:$B$126,0)),0)</f>
        <v>9842.9708804599904</v>
      </c>
      <c r="Q258" s="1500">
        <f t="shared" ca="1" si="16"/>
        <v>73.857659422313219</v>
      </c>
      <c r="R258" s="1500">
        <f t="shared" ca="1" si="17"/>
        <v>-65.820930534966337</v>
      </c>
      <c r="S258" s="1500">
        <v>1384.88004</v>
      </c>
      <c r="T258" s="1501">
        <v>1112.0651898144583</v>
      </c>
      <c r="U258" s="1500">
        <f t="shared" si="18"/>
        <v>8.0300470632420868</v>
      </c>
      <c r="V258" s="1500">
        <f ca="1">_xlfn.IFNA(INDEX('F7'!$R$10:$R$126,MATCH(B258,'F7'!$B$10:$B$126,0)),0)</f>
        <v>12411.62407831255</v>
      </c>
      <c r="W258" s="1500"/>
      <c r="X258" s="1500">
        <f>U258-W258</f>
        <v>8.0300470632420868</v>
      </c>
      <c r="Z258" s="1571">
        <v>0</v>
      </c>
    </row>
    <row r="259" spans="2:26">
      <c r="B259" s="1409"/>
      <c r="C259" s="1065"/>
      <c r="D259" s="1065"/>
      <c r="E259" s="1065"/>
      <c r="F259" s="1065"/>
      <c r="G259" s="1500"/>
      <c r="H259" s="1500"/>
      <c r="I259" s="1500"/>
      <c r="J259" s="1500"/>
      <c r="K259" s="1500"/>
      <c r="L259" s="1500"/>
      <c r="M259" s="1500">
        <v>0</v>
      </c>
      <c r="N259" s="1500">
        <v>0</v>
      </c>
      <c r="O259" s="1500">
        <f t="shared" si="15"/>
        <v>0</v>
      </c>
      <c r="P259" s="1500">
        <f>_xlfn.IFNA(INDEX('F7'!$M$10:$M$126,MATCH(B259,'F7'!$B$10:$B$126,0)),0)</f>
        <v>0</v>
      </c>
      <c r="Q259" s="1500">
        <f t="shared" si="16"/>
        <v>0</v>
      </c>
      <c r="R259" s="1500">
        <f t="shared" si="17"/>
        <v>0</v>
      </c>
      <c r="S259" s="1500">
        <v>0</v>
      </c>
      <c r="T259" s="1501">
        <v>0</v>
      </c>
      <c r="U259" s="1500">
        <f t="shared" si="18"/>
        <v>0</v>
      </c>
      <c r="V259" s="1500">
        <f>_xlfn.IFNA(INDEX('F7'!$R$10:$R$126,MATCH(B259,'F7'!$B$10:$B$126,0)),0)</f>
        <v>0</v>
      </c>
      <c r="W259" s="1500">
        <f t="shared" si="19"/>
        <v>0</v>
      </c>
      <c r="X259" s="1500">
        <f>U259-W259</f>
        <v>0</v>
      </c>
      <c r="Z259" s="1571">
        <v>0</v>
      </c>
    </row>
    <row r="260" spans="2:26">
      <c r="B260" s="1402" t="s">
        <v>1133</v>
      </c>
      <c r="C260" s="1065"/>
      <c r="D260" s="1065"/>
      <c r="E260" s="1065"/>
      <c r="F260" s="1065"/>
      <c r="G260" s="1500"/>
      <c r="H260" s="1500"/>
      <c r="I260" s="1500"/>
      <c r="J260" s="1500"/>
      <c r="K260" s="1500"/>
      <c r="L260" s="1500"/>
      <c r="M260" s="1500">
        <v>0</v>
      </c>
      <c r="N260" s="1500">
        <v>0</v>
      </c>
      <c r="O260" s="1500">
        <f t="shared" si="15"/>
        <v>0</v>
      </c>
      <c r="P260" s="1500">
        <f ca="1">_xlfn.IFNA(INDEX('F7'!$M$10:$M$126,MATCH(B260,'F7'!$B$10:$B$126,0)),0)</f>
        <v>0</v>
      </c>
      <c r="Q260" s="1500">
        <f t="shared" ca="1" si="16"/>
        <v>0</v>
      </c>
      <c r="R260" s="1500">
        <f t="shared" ca="1" si="17"/>
        <v>0</v>
      </c>
      <c r="S260" s="1500">
        <v>0</v>
      </c>
      <c r="T260" s="1501">
        <v>0</v>
      </c>
      <c r="U260" s="1500">
        <f t="shared" si="18"/>
        <v>0</v>
      </c>
      <c r="V260" s="1500">
        <f ca="1">_xlfn.IFNA(INDEX('F7'!$R$10:$R$126,MATCH(B260,'F7'!$B$10:$B$126,0)),0)</f>
        <v>0</v>
      </c>
      <c r="W260" s="1500">
        <f t="shared" ca="1" si="19"/>
        <v>0</v>
      </c>
      <c r="X260" s="1500">
        <f ca="1">U260-W260</f>
        <v>0</v>
      </c>
      <c r="Z260" s="1571">
        <v>0</v>
      </c>
    </row>
    <row r="261" spans="2:26" s="1180" customFormat="1">
      <c r="B261" s="1409" t="s">
        <v>1415</v>
      </c>
      <c r="C261" s="1065"/>
      <c r="D261" s="1065"/>
      <c r="E261" s="1065"/>
      <c r="F261" s="1065"/>
      <c r="G261" s="1500"/>
      <c r="H261" s="1500"/>
      <c r="I261" s="1500"/>
      <c r="J261" s="1500"/>
      <c r="K261" s="1500"/>
      <c r="L261" s="1500"/>
      <c r="M261" s="1500">
        <v>7.8573333333333331</v>
      </c>
      <c r="N261" s="1500">
        <v>10.566733333333334</v>
      </c>
      <c r="O261" s="1500">
        <f t="shared" si="15"/>
        <v>13.448243678941116</v>
      </c>
      <c r="P261" s="1500">
        <f ca="1">_xlfn.IFNA(INDEX('F7'!$M$10:$M$126,MATCH(B261,'F7'!$B$10:$B$126,0)),0)</f>
        <v>6.0501521466946668</v>
      </c>
      <c r="Q261" s="1500">
        <f t="shared" ca="1" si="16"/>
        <v>7.7000069744120143</v>
      </c>
      <c r="R261" s="1500">
        <f t="shared" ca="1" si="17"/>
        <v>5.7482367045291021</v>
      </c>
      <c r="S261" s="1500">
        <v>7.8573333333333331</v>
      </c>
      <c r="T261" s="1501">
        <v>10.566733333333334</v>
      </c>
      <c r="U261" s="1500">
        <f t="shared" si="18"/>
        <v>13.448243678941116</v>
      </c>
      <c r="V261" s="1500">
        <f ca="1">_xlfn.IFNA(INDEX('F7'!$R$10:$R$126,MATCH(B261,'F7'!$B$10:$B$126,0)),0)</f>
        <v>7.5408433508073784</v>
      </c>
      <c r="W261" s="1500">
        <f t="shared" ca="1" si="19"/>
        <v>9.5972043324376948</v>
      </c>
      <c r="X261" s="1500">
        <f ca="1">U261-W261</f>
        <v>3.8510393465034216</v>
      </c>
      <c r="Z261" s="1571">
        <v>0</v>
      </c>
    </row>
    <row r="262" spans="2:26">
      <c r="B262" s="1409" t="s">
        <v>1134</v>
      </c>
      <c r="C262" s="1065"/>
      <c r="D262" s="1065"/>
      <c r="E262" s="1065"/>
      <c r="F262" s="1065"/>
      <c r="G262" s="1500"/>
      <c r="H262" s="1500"/>
      <c r="I262" s="1500"/>
      <c r="J262" s="1500"/>
      <c r="K262" s="1500"/>
      <c r="L262" s="1500"/>
      <c r="M262" s="1500">
        <v>0</v>
      </c>
      <c r="N262" s="1500">
        <v>0</v>
      </c>
      <c r="O262" s="1500">
        <f t="shared" si="15"/>
        <v>0</v>
      </c>
      <c r="P262" s="1500">
        <f ca="1">_xlfn.IFNA(INDEX('F7'!$M$10:$M$126,MATCH(B262,'F7'!$B$10:$B$126,0)),0)</f>
        <v>0</v>
      </c>
      <c r="Q262" s="1500">
        <f t="shared" ca="1" si="16"/>
        <v>0</v>
      </c>
      <c r="R262" s="1500">
        <f t="shared" ca="1" si="17"/>
        <v>0</v>
      </c>
      <c r="S262" s="1500">
        <v>0</v>
      </c>
      <c r="T262" s="1501">
        <v>0</v>
      </c>
      <c r="U262" s="1500">
        <f t="shared" si="18"/>
        <v>0</v>
      </c>
      <c r="V262" s="1500">
        <f ca="1">_xlfn.IFNA(INDEX('F7'!$R$10:$R$126,MATCH(B262,'F7'!$B$10:$B$126,0)),0)</f>
        <v>0</v>
      </c>
      <c r="W262" s="1500">
        <f t="shared" ca="1" si="19"/>
        <v>0</v>
      </c>
      <c r="X262" s="1500">
        <f ca="1">U262-W262</f>
        <v>0</v>
      </c>
      <c r="Z262" s="1571">
        <v>0</v>
      </c>
    </row>
    <row r="263" spans="2:26">
      <c r="B263" s="1409" t="s">
        <v>1135</v>
      </c>
      <c r="C263" s="1065"/>
      <c r="D263" s="1065"/>
      <c r="E263" s="1065"/>
      <c r="F263" s="1065"/>
      <c r="G263" s="1500"/>
      <c r="H263" s="1500"/>
      <c r="I263" s="1500"/>
      <c r="J263" s="1500"/>
      <c r="K263" s="1500"/>
      <c r="L263" s="1500"/>
      <c r="M263" s="1500">
        <v>0</v>
      </c>
      <c r="N263" s="1500">
        <v>0</v>
      </c>
      <c r="O263" s="1500">
        <f t="shared" si="15"/>
        <v>0</v>
      </c>
      <c r="P263" s="1500">
        <f ca="1">_xlfn.IFNA(INDEX('F7'!$M$10:$M$126,MATCH(B263,'F7'!$B$10:$B$126,0)),0)</f>
        <v>0</v>
      </c>
      <c r="Q263" s="1500">
        <f t="shared" ca="1" si="16"/>
        <v>0</v>
      </c>
      <c r="R263" s="1500">
        <f t="shared" ca="1" si="17"/>
        <v>0</v>
      </c>
      <c r="S263" s="1500">
        <v>0</v>
      </c>
      <c r="T263" s="1501">
        <v>0</v>
      </c>
      <c r="U263" s="1500">
        <f t="shared" si="18"/>
        <v>0</v>
      </c>
      <c r="V263" s="1500">
        <f ca="1">_xlfn.IFNA(INDEX('F7'!$R$10:$R$126,MATCH(B263,'F7'!$B$10:$B$126,0)),0)</f>
        <v>0</v>
      </c>
      <c r="W263" s="1500">
        <f t="shared" ca="1" si="19"/>
        <v>0</v>
      </c>
      <c r="X263" s="1500">
        <f ca="1">U263-W263</f>
        <v>0</v>
      </c>
      <c r="Z263" s="1571">
        <v>0</v>
      </c>
    </row>
    <row r="264" spans="2:26">
      <c r="B264" s="1402" t="s">
        <v>1425</v>
      </c>
      <c r="C264" s="1065"/>
      <c r="D264" s="1065"/>
      <c r="E264" s="1065"/>
      <c r="F264" s="1065"/>
      <c r="G264" s="1500"/>
      <c r="H264" s="1500"/>
      <c r="I264" s="1500"/>
      <c r="J264" s="1500"/>
      <c r="K264" s="1500"/>
      <c r="L264" s="1500"/>
      <c r="M264" s="1500">
        <v>7.8573333333333331</v>
      </c>
      <c r="N264" s="1500">
        <v>10.566733333333334</v>
      </c>
      <c r="O264" s="1500">
        <f t="shared" si="15"/>
        <v>13.448243678941116</v>
      </c>
      <c r="P264" s="1500">
        <f ca="1">_xlfn.IFNA(INDEX('F7'!$M$10:$M$126,MATCH(B264,'F7'!$B$10:$B$126,0)),0)</f>
        <v>9842.9708804599904</v>
      </c>
      <c r="Q264" s="1500">
        <f t="shared" ca="1" si="16"/>
        <v>12527.113796614614</v>
      </c>
      <c r="R264" s="1500">
        <f t="shared" ca="1" si="17"/>
        <v>-12513.665552935674</v>
      </c>
      <c r="S264" s="1500">
        <v>7.8573333333333331</v>
      </c>
      <c r="T264" s="1501">
        <v>10.566733333333334</v>
      </c>
      <c r="U264" s="1500">
        <f t="shared" si="18"/>
        <v>13.448243678941116</v>
      </c>
      <c r="V264" s="1500">
        <f ca="1">_xlfn.IFNA(INDEX('F7'!$R$10:$R$126,MATCH(B264,'F7'!$B$10:$B$126,0)),0)</f>
        <v>12411.62407831255</v>
      </c>
      <c r="W264" s="1500"/>
      <c r="X264" s="1500">
        <f>U264-W264</f>
        <v>13.448243678941116</v>
      </c>
      <c r="Z264" s="1571">
        <v>0</v>
      </c>
    </row>
    <row r="265" spans="2:26">
      <c r="B265" s="1409"/>
      <c r="C265" s="1065"/>
      <c r="D265" s="1065"/>
      <c r="E265" s="1065"/>
      <c r="F265" s="1065"/>
      <c r="G265" s="1500"/>
      <c r="H265" s="1500"/>
      <c r="I265" s="1500"/>
      <c r="J265" s="1500"/>
      <c r="K265" s="1500"/>
      <c r="L265" s="1500"/>
      <c r="M265" s="1500">
        <v>0</v>
      </c>
      <c r="N265" s="1500">
        <v>0</v>
      </c>
      <c r="O265" s="1500">
        <f t="shared" si="15"/>
        <v>0</v>
      </c>
      <c r="P265" s="1500">
        <f>_xlfn.IFNA(INDEX('F7'!$M$10:$M$126,MATCH(B265,'F7'!$B$10:$B$126,0)),0)</f>
        <v>0</v>
      </c>
      <c r="Q265" s="1500">
        <f t="shared" si="16"/>
        <v>0</v>
      </c>
      <c r="R265" s="1500">
        <f t="shared" si="17"/>
        <v>0</v>
      </c>
      <c r="S265" s="1500">
        <v>0</v>
      </c>
      <c r="T265" s="1501">
        <v>0</v>
      </c>
      <c r="U265" s="1500">
        <f t="shared" si="18"/>
        <v>0</v>
      </c>
      <c r="V265" s="1500">
        <f>_xlfn.IFNA(INDEX('F7'!$R$10:$R$126,MATCH(B265,'F7'!$B$10:$B$126,0)),0)</f>
        <v>0</v>
      </c>
      <c r="W265" s="1500">
        <f t="shared" si="19"/>
        <v>0</v>
      </c>
      <c r="X265" s="1500">
        <f>U265-W265</f>
        <v>0</v>
      </c>
      <c r="Z265" s="1571">
        <v>0</v>
      </c>
    </row>
    <row r="266" spans="2:26">
      <c r="B266" s="1402" t="s">
        <v>1137</v>
      </c>
      <c r="C266" s="1065"/>
      <c r="D266" s="1065"/>
      <c r="E266" s="1065"/>
      <c r="F266" s="1065"/>
      <c r="G266" s="1500"/>
      <c r="H266" s="1500"/>
      <c r="I266" s="1500"/>
      <c r="J266" s="1500"/>
      <c r="K266" s="1500"/>
      <c r="L266" s="1500"/>
      <c r="M266" s="1500">
        <v>0</v>
      </c>
      <c r="N266" s="1500">
        <v>0</v>
      </c>
      <c r="O266" s="1500">
        <f t="shared" si="15"/>
        <v>0</v>
      </c>
      <c r="P266" s="1500">
        <f ca="1">_xlfn.IFNA(INDEX('F7'!$M$10:$M$126,MATCH(B266,'F7'!$B$10:$B$126,0)),0)</f>
        <v>0</v>
      </c>
      <c r="Q266" s="1500">
        <f t="shared" ca="1" si="16"/>
        <v>0</v>
      </c>
      <c r="R266" s="1500">
        <f t="shared" ca="1" si="17"/>
        <v>0</v>
      </c>
      <c r="S266" s="1500">
        <v>0</v>
      </c>
      <c r="T266" s="1501">
        <v>0</v>
      </c>
      <c r="U266" s="1500">
        <f t="shared" si="18"/>
        <v>0</v>
      </c>
      <c r="V266" s="1500">
        <f ca="1">_xlfn.IFNA(INDEX('F7'!$R$10:$R$126,MATCH(B266,'F7'!$B$10:$B$126,0)),0)</f>
        <v>0</v>
      </c>
      <c r="W266" s="1500">
        <f t="shared" ca="1" si="19"/>
        <v>0</v>
      </c>
      <c r="X266" s="1500">
        <f ca="1">U266-W266</f>
        <v>0</v>
      </c>
      <c r="Z266" s="1571">
        <v>0</v>
      </c>
    </row>
    <row r="267" spans="2:26">
      <c r="B267" s="1409" t="s">
        <v>1138</v>
      </c>
      <c r="C267" s="1065"/>
      <c r="D267" s="1065"/>
      <c r="E267" s="1065"/>
      <c r="F267" s="1065"/>
      <c r="G267" s="1500"/>
      <c r="H267" s="1500"/>
      <c r="I267" s="1500"/>
      <c r="J267" s="1500"/>
      <c r="K267" s="1500"/>
      <c r="L267" s="1500"/>
      <c r="M267" s="1500">
        <v>158.16120000000001</v>
      </c>
      <c r="N267" s="1500">
        <v>146.52511980000003</v>
      </c>
      <c r="O267" s="1500">
        <f t="shared" si="15"/>
        <v>9.264289838468601</v>
      </c>
      <c r="P267" s="1500">
        <f ca="1">_xlfn.IFNA(INDEX('F7'!$M$10:$M$126,MATCH(B267,'F7'!$B$10:$B$126,0)),0)</f>
        <v>121.78497050969415</v>
      </c>
      <c r="Q267" s="1500">
        <f t="shared" ca="1" si="16"/>
        <v>7.7000535219569741</v>
      </c>
      <c r="R267" s="1500">
        <f t="shared" ca="1" si="17"/>
        <v>1.5642363165116269</v>
      </c>
      <c r="S267" s="1500">
        <v>159.74281200000001</v>
      </c>
      <c r="T267" s="1501">
        <v>147.990370998</v>
      </c>
      <c r="U267" s="1500">
        <f t="shared" si="18"/>
        <v>9.2642898384685992</v>
      </c>
      <c r="V267" s="1500">
        <f ca="1">_xlfn.IFNA(INDEX('F7'!$R$10:$R$126,MATCH(B267,'F7'!$B$10:$B$126,0)),0)</f>
        <v>153.30844074021803</v>
      </c>
      <c r="W267" s="1500">
        <f t="shared" ca="1" si="19"/>
        <v>9.5972043324376948</v>
      </c>
      <c r="X267" s="1500">
        <f ca="1">U267-W267</f>
        <v>-0.33291449396909556</v>
      </c>
      <c r="Z267" s="1571">
        <v>0</v>
      </c>
    </row>
    <row r="268" spans="2:26">
      <c r="B268" s="1409" t="s">
        <v>1139</v>
      </c>
      <c r="C268" s="1065"/>
      <c r="D268" s="1065"/>
      <c r="E268" s="1065"/>
      <c r="F268" s="1065"/>
      <c r="G268" s="1500"/>
      <c r="H268" s="1500"/>
      <c r="I268" s="1500"/>
      <c r="J268" s="1500"/>
      <c r="K268" s="1500"/>
      <c r="L268" s="1500"/>
      <c r="M268" s="1500">
        <v>327.54138</v>
      </c>
      <c r="N268" s="1500">
        <v>303.10461270000002</v>
      </c>
      <c r="O268" s="1500">
        <f t="shared" ref="O268:O276" si="20">IFERROR(N268/M268*10,0)</f>
        <v>9.2539334327772576</v>
      </c>
      <c r="P268" s="1500">
        <f ca="1">_xlfn.IFNA(INDEX('F7'!$M$10:$M$126,MATCH(B268,'F7'!$B$10:$B$126,0)),0)</f>
        <v>252.20620066158386</v>
      </c>
      <c r="Q268" s="1500">
        <f t="shared" ref="Q268:Q276" ca="1" si="21">IFERROR((P268/M268)*10,0)</f>
        <v>7.6999797906934342</v>
      </c>
      <c r="R268" s="1500">
        <f t="shared" ref="R268:R276" ca="1" si="22">O268-Q268</f>
        <v>1.5539536420838234</v>
      </c>
      <c r="S268" s="1500">
        <v>330.81679380000003</v>
      </c>
      <c r="T268" s="1501">
        <v>306.1356588270001</v>
      </c>
      <c r="U268" s="1500">
        <f t="shared" ref="U268:U276" si="23">IFERROR(T268/S268*10,0)</f>
        <v>9.2539334327772593</v>
      </c>
      <c r="V268" s="1500">
        <f ca="1">_xlfn.IFNA(INDEX('F7'!$R$10:$R$126,MATCH(B268,'F7'!$B$10:$B$126,0)),0)</f>
        <v>317.49163667005081</v>
      </c>
      <c r="W268" s="1500">
        <f t="shared" ref="W268:W276" ca="1" si="24">IFERROR((V268/S268)*10,0)</f>
        <v>9.5972043324376948</v>
      </c>
      <c r="X268" s="1500">
        <f ca="1">U268-W268</f>
        <v>-0.34327089966043545</v>
      </c>
      <c r="Z268" s="1571">
        <v>0</v>
      </c>
    </row>
    <row r="269" spans="2:26">
      <c r="B269" s="1409" t="s">
        <v>1140</v>
      </c>
      <c r="C269" s="1065"/>
      <c r="D269" s="1065"/>
      <c r="E269" s="1065"/>
      <c r="F269" s="1065"/>
      <c r="G269" s="1500"/>
      <c r="H269" s="1500"/>
      <c r="I269" s="1500"/>
      <c r="J269" s="1500"/>
      <c r="K269" s="1500"/>
      <c r="L269" s="1500"/>
      <c r="M269" s="1500">
        <v>0</v>
      </c>
      <c r="N269" s="1500">
        <v>0</v>
      </c>
      <c r="O269" s="1500">
        <f t="shared" si="20"/>
        <v>0</v>
      </c>
      <c r="P269" s="1500">
        <f ca="1">_xlfn.IFNA(INDEX('F7'!$M$10:$M$126,MATCH(B269,'F7'!$B$10:$B$126,0)),0)</f>
        <v>0</v>
      </c>
      <c r="Q269" s="1500">
        <f t="shared" ca="1" si="21"/>
        <v>0</v>
      </c>
      <c r="R269" s="1500">
        <f t="shared" ca="1" si="22"/>
        <v>0</v>
      </c>
      <c r="S269" s="1500">
        <v>0</v>
      </c>
      <c r="T269" s="1501">
        <v>0</v>
      </c>
      <c r="U269" s="1500">
        <f t="shared" si="23"/>
        <v>0</v>
      </c>
      <c r="V269" s="1500">
        <f ca="1">_xlfn.IFNA(INDEX('F7'!$R$10:$R$126,MATCH(B269,'F7'!$B$10:$B$126,0)),0)</f>
        <v>0</v>
      </c>
      <c r="W269" s="1500">
        <f t="shared" ca="1" si="24"/>
        <v>0</v>
      </c>
      <c r="X269" s="1500">
        <f ca="1">U269-W269</f>
        <v>0</v>
      </c>
      <c r="Z269" s="1571">
        <v>0</v>
      </c>
    </row>
    <row r="270" spans="2:26">
      <c r="B270" s="1402" t="s">
        <v>1425</v>
      </c>
      <c r="C270" s="1065"/>
      <c r="D270" s="1065"/>
      <c r="E270" s="1065"/>
      <c r="F270" s="1065"/>
      <c r="G270" s="1500"/>
      <c r="H270" s="1500"/>
      <c r="I270" s="1500"/>
      <c r="J270" s="1500"/>
      <c r="K270" s="1500"/>
      <c r="L270" s="1500"/>
      <c r="M270" s="1500">
        <v>485.70258000000001</v>
      </c>
      <c r="N270" s="1500">
        <v>449.62973250000005</v>
      </c>
      <c r="O270" s="1500">
        <f t="shared" si="20"/>
        <v>9.2573058290116563</v>
      </c>
      <c r="P270" s="1500">
        <f ca="1">_xlfn.IFNA(INDEX('F7'!$M$10:$M$126,MATCH(B270,'F7'!$B$10:$B$126,0)),0)</f>
        <v>9842.9708804599904</v>
      </c>
      <c r="Q270" s="1500">
        <f t="shared" ca="1" si="21"/>
        <v>202.65428444831383</v>
      </c>
      <c r="R270" s="1500">
        <f t="shared" ca="1" si="22"/>
        <v>-193.39697861930216</v>
      </c>
      <c r="S270" s="1500">
        <v>490.55960580000004</v>
      </c>
      <c r="T270" s="1501">
        <v>454.1260298250001</v>
      </c>
      <c r="U270" s="1500">
        <f t="shared" si="23"/>
        <v>9.2573058290116563</v>
      </c>
      <c r="V270" s="1500">
        <f ca="1">_xlfn.IFNA(INDEX('F7'!$R$10:$R$126,MATCH(B270,'F7'!$B$10:$B$126,0)),0)</f>
        <v>12411.62407831255</v>
      </c>
      <c r="W270" s="1500"/>
      <c r="X270" s="1500">
        <f>U270-W270</f>
        <v>9.2573058290116563</v>
      </c>
      <c r="Z270" s="1571">
        <v>0</v>
      </c>
    </row>
    <row r="271" spans="2:26">
      <c r="B271" s="1409"/>
      <c r="C271" s="1065"/>
      <c r="D271" s="1065"/>
      <c r="E271" s="1065"/>
      <c r="F271" s="1065"/>
      <c r="G271" s="1500"/>
      <c r="H271" s="1500"/>
      <c r="I271" s="1500"/>
      <c r="J271" s="1500"/>
      <c r="K271" s="1500"/>
      <c r="L271" s="1500"/>
      <c r="M271" s="1500">
        <v>0</v>
      </c>
      <c r="N271" s="1500">
        <v>0</v>
      </c>
      <c r="O271" s="1500">
        <f t="shared" si="20"/>
        <v>0</v>
      </c>
      <c r="P271" s="1500">
        <f>_xlfn.IFNA(INDEX('F7'!$M$10:$M$126,MATCH(B271,'F7'!$B$10:$B$126,0)),0)</f>
        <v>0</v>
      </c>
      <c r="Q271" s="1500">
        <f t="shared" si="21"/>
        <v>0</v>
      </c>
      <c r="R271" s="1500">
        <f t="shared" si="22"/>
        <v>0</v>
      </c>
      <c r="S271" s="1500">
        <v>0</v>
      </c>
      <c r="T271" s="1501">
        <v>0</v>
      </c>
      <c r="U271" s="1500">
        <f t="shared" si="23"/>
        <v>0</v>
      </c>
      <c r="V271" s="1500">
        <f>_xlfn.IFNA(INDEX('F7'!$R$10:$R$126,MATCH(B271,'F7'!$B$10:$B$126,0)),0)</f>
        <v>0</v>
      </c>
      <c r="W271" s="1500">
        <f t="shared" si="24"/>
        <v>0</v>
      </c>
      <c r="X271" s="1500">
        <f>U271-W271</f>
        <v>0</v>
      </c>
      <c r="Z271" s="1571">
        <v>0</v>
      </c>
    </row>
    <row r="272" spans="2:26">
      <c r="B272" s="1402" t="s">
        <v>1434</v>
      </c>
      <c r="C272" s="1065"/>
      <c r="D272" s="1065"/>
      <c r="E272" s="1065"/>
      <c r="F272" s="1065"/>
      <c r="G272" s="1500"/>
      <c r="H272" s="1500"/>
      <c r="I272" s="1500"/>
      <c r="J272" s="1500"/>
      <c r="K272" s="1500"/>
      <c r="L272" s="1500"/>
      <c r="M272" s="1500">
        <v>2.8090000000000002</v>
      </c>
      <c r="N272" s="1500">
        <v>2.1994470000000002</v>
      </c>
      <c r="O272" s="1500">
        <f t="shared" si="20"/>
        <v>7.83</v>
      </c>
      <c r="P272" s="1500">
        <f ca="1">_xlfn.IFNA(INDEX('F7'!$M$10:$M$126,MATCH(B272,'F7'!$B$10:$B$126,0)),0)</f>
        <v>2.16295529352956</v>
      </c>
      <c r="Q272" s="1500">
        <f t="shared" ca="1" si="21"/>
        <v>7.7000900446050551</v>
      </c>
      <c r="R272" s="1500">
        <f t="shared" ca="1" si="22"/>
        <v>0.12990995539494499</v>
      </c>
      <c r="S272" s="1500">
        <v>2.8090000000000002</v>
      </c>
      <c r="T272" s="1501">
        <v>2.1994470000000002</v>
      </c>
      <c r="U272" s="1500">
        <f t="shared" si="23"/>
        <v>7.83</v>
      </c>
      <c r="V272" s="1500">
        <f ca="1">_xlfn.IFNA(INDEX('F7'!$R$10:$R$126,MATCH(B272,'F7'!$B$10:$B$126,0)),0)</f>
        <v>2.695854696981749</v>
      </c>
      <c r="W272" s="1500">
        <f t="shared" ca="1" si="24"/>
        <v>9.5972043324376948</v>
      </c>
      <c r="X272" s="1500">
        <f ca="1">U272-W272</f>
        <v>-1.7672043324376947</v>
      </c>
      <c r="Z272" s="1571">
        <v>0</v>
      </c>
    </row>
    <row r="273" spans="2:26">
      <c r="B273" s="1409"/>
      <c r="C273" s="1065"/>
      <c r="D273" s="1065"/>
      <c r="E273" s="1065"/>
      <c r="F273" s="1065"/>
      <c r="G273" s="1500"/>
      <c r="H273" s="1500"/>
      <c r="I273" s="1500"/>
      <c r="J273" s="1500"/>
      <c r="K273" s="1500"/>
      <c r="L273" s="1500"/>
      <c r="M273" s="1500">
        <v>0</v>
      </c>
      <c r="N273" s="1500">
        <v>0</v>
      </c>
      <c r="O273" s="1500">
        <f t="shared" si="20"/>
        <v>0</v>
      </c>
      <c r="P273" s="1500">
        <f>_xlfn.IFNA(INDEX('F7'!$M$10:$M$126,MATCH(B273,'F7'!$B$10:$B$126,0)),0)</f>
        <v>0</v>
      </c>
      <c r="Q273" s="1500">
        <f t="shared" si="21"/>
        <v>0</v>
      </c>
      <c r="R273" s="1500">
        <f t="shared" si="22"/>
        <v>0</v>
      </c>
      <c r="S273" s="1500">
        <v>0</v>
      </c>
      <c r="T273" s="1501">
        <v>0</v>
      </c>
      <c r="U273" s="1500">
        <f t="shared" si="23"/>
        <v>0</v>
      </c>
      <c r="V273" s="1500">
        <f>_xlfn.IFNA(INDEX('F7'!$R$10:$R$126,MATCH(B273,'F7'!$B$10:$B$126,0)),0)</f>
        <v>0</v>
      </c>
      <c r="W273" s="1500">
        <f t="shared" si="24"/>
        <v>0</v>
      </c>
      <c r="X273" s="1500">
        <f>U273-W273</f>
        <v>0</v>
      </c>
      <c r="Z273" s="1571">
        <v>0</v>
      </c>
    </row>
    <row r="274" spans="2:26">
      <c r="B274" s="1402" t="s">
        <v>1470</v>
      </c>
      <c r="C274" s="1065"/>
      <c r="D274" s="1065"/>
      <c r="E274" s="1065"/>
      <c r="F274" s="1065"/>
      <c r="G274" s="1500"/>
      <c r="H274" s="1500"/>
      <c r="I274" s="1500"/>
      <c r="J274" s="1500"/>
      <c r="K274" s="1500"/>
      <c r="L274" s="1500"/>
      <c r="M274" s="1500">
        <v>0</v>
      </c>
      <c r="N274" s="1500">
        <v>0</v>
      </c>
      <c r="O274" s="1500">
        <f t="shared" si="20"/>
        <v>0</v>
      </c>
      <c r="P274" s="1500">
        <f>_xlfn.IFNA(INDEX('F7'!$M$10:$M$126,MATCH(B274,'F7'!$B$10:$B$126,0)),0)</f>
        <v>0</v>
      </c>
      <c r="Q274" s="1500">
        <f t="shared" si="21"/>
        <v>0</v>
      </c>
      <c r="R274" s="1500">
        <f t="shared" si="22"/>
        <v>0</v>
      </c>
      <c r="S274" s="1500">
        <v>0</v>
      </c>
      <c r="T274" s="1501">
        <v>0</v>
      </c>
      <c r="U274" s="1500">
        <f t="shared" si="23"/>
        <v>0</v>
      </c>
      <c r="V274" s="1500">
        <f>_xlfn.IFNA(INDEX('F7'!$R$10:$R$126,MATCH(B274,'F7'!$B$10:$B$126,0)),0)</f>
        <v>0</v>
      </c>
      <c r="W274" s="1500">
        <f t="shared" si="24"/>
        <v>0</v>
      </c>
      <c r="X274" s="1500">
        <f>U274-W274</f>
        <v>0</v>
      </c>
      <c r="Z274" s="1571">
        <v>0</v>
      </c>
    </row>
    <row r="275" spans="2:26">
      <c r="B275" s="1409"/>
      <c r="C275" s="1065"/>
      <c r="D275" s="1065"/>
      <c r="E275" s="1065"/>
      <c r="F275" s="1065"/>
      <c r="G275" s="1500"/>
      <c r="H275" s="1500"/>
      <c r="I275" s="1500"/>
      <c r="J275" s="1500"/>
      <c r="K275" s="1500"/>
      <c r="L275" s="1500"/>
      <c r="M275" s="1500">
        <v>0</v>
      </c>
      <c r="N275" s="1500">
        <v>0</v>
      </c>
      <c r="O275" s="1500">
        <f t="shared" si="20"/>
        <v>0</v>
      </c>
      <c r="P275" s="1500">
        <f>_xlfn.IFNA(INDEX('F7'!$M$10:$M$126,MATCH(B275,'F7'!$B$10:$B$126,0)),0)</f>
        <v>0</v>
      </c>
      <c r="Q275" s="1500">
        <f t="shared" si="21"/>
        <v>0</v>
      </c>
      <c r="R275" s="1500">
        <f t="shared" si="22"/>
        <v>0</v>
      </c>
      <c r="S275" s="1500">
        <v>0</v>
      </c>
      <c r="T275" s="1501">
        <v>0</v>
      </c>
      <c r="U275" s="1500">
        <f t="shared" si="23"/>
        <v>0</v>
      </c>
      <c r="V275" s="1500">
        <f>_xlfn.IFNA(INDEX('F7'!$R$10:$R$126,MATCH(B275,'F7'!$B$10:$B$126,0)),0)</f>
        <v>0</v>
      </c>
      <c r="W275" s="1500">
        <f t="shared" si="24"/>
        <v>0</v>
      </c>
      <c r="X275" s="1500">
        <f>U275-W275</f>
        <v>0</v>
      </c>
      <c r="Z275" s="1571">
        <v>0</v>
      </c>
    </row>
    <row r="276" spans="2:26">
      <c r="B276" s="1402" t="s">
        <v>126</v>
      </c>
      <c r="C276" s="1065"/>
      <c r="D276" s="1065"/>
      <c r="E276" s="1065"/>
      <c r="F276" s="1065"/>
      <c r="G276" s="1500"/>
      <c r="H276" s="1500"/>
      <c r="I276" s="1500"/>
      <c r="J276" s="1500"/>
      <c r="K276" s="1500"/>
      <c r="L276" s="1500"/>
      <c r="M276" s="1500">
        <v>22028.439146115656</v>
      </c>
      <c r="N276" s="1500">
        <v>13469.269785867667</v>
      </c>
      <c r="O276" s="1500">
        <f t="shared" si="20"/>
        <v>6.1144912249684955</v>
      </c>
      <c r="P276" s="1500">
        <f ca="1">_xlfn.IFNA(INDEX('F7'!$M$10:$M$126,MATCH(B276,'F7'!$B$10:$B$126,0)),0)</f>
        <v>17287.478809820965</v>
      </c>
      <c r="Q276" s="1500">
        <f t="shared" ca="1" si="21"/>
        <v>7.8478001528625416</v>
      </c>
      <c r="R276" s="1500">
        <f t="shared" ca="1" si="22"/>
        <v>-1.7333089278940461</v>
      </c>
      <c r="S276" s="1500">
        <v>22660.994932223985</v>
      </c>
      <c r="T276" s="1501">
        <v>13722.337048453945</v>
      </c>
      <c r="U276" s="1500">
        <f t="shared" si="23"/>
        <v>6.0554874529982587</v>
      </c>
      <c r="V276" s="1500">
        <f ca="1">_xlfn.IFNA(INDEX('F7'!$R$10:$R$126,MATCH(B276,'F7'!$B$10:$B$126,0)),0)</f>
        <v>21748.247643023769</v>
      </c>
      <c r="W276" s="1500">
        <f t="shared" ca="1" si="24"/>
        <v>9.5972165865046435</v>
      </c>
      <c r="X276" s="1500">
        <f ca="1">U276-W276</f>
        <v>-3.5417291335063847</v>
      </c>
      <c r="Z276" s="1571">
        <v>0</v>
      </c>
    </row>
    <row r="277" spans="2:26">
      <c r="G277" s="1429"/>
      <c r="H277" s="1429"/>
      <c r="I277" s="1430"/>
      <c r="J277" s="1431"/>
      <c r="K277" s="1030"/>
      <c r="L277" s="1432"/>
    </row>
  </sheetData>
  <mergeCells count="15">
    <mergeCell ref="S5:X5"/>
    <mergeCell ref="S6:X6"/>
    <mergeCell ref="S7:X7"/>
    <mergeCell ref="G5:L5"/>
    <mergeCell ref="G6:L6"/>
    <mergeCell ref="G7:L7"/>
    <mergeCell ref="M5:R5"/>
    <mergeCell ref="M6:R6"/>
    <mergeCell ref="M7:R7"/>
    <mergeCell ref="C7:F7"/>
    <mergeCell ref="H2:L2"/>
    <mergeCell ref="A5:A8"/>
    <mergeCell ref="B5:B8"/>
    <mergeCell ref="C5:F5"/>
    <mergeCell ref="C6:F6"/>
  </mergeCells>
  <printOptions horizontalCentered="1"/>
  <pageMargins left="0.19685039370078741" right="0.19685039370078741" top="0.19685039370078741" bottom="0.19685039370078741" header="0.19685039370078741" footer="0.19685039370078741"/>
  <pageSetup paperSize="9" scale="56" orientation="landscape" r:id="rId1"/>
  <rowBreaks count="1" manualBreakCount="1">
    <brk id="222" min="1" max="23" man="1"/>
  </rowBreaks>
  <colBreaks count="1" manualBreakCount="1">
    <brk id="12" max="276"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4"/>
  <sheetViews>
    <sheetView view="pageBreakPreview" zoomScaleSheetLayoutView="112" workbookViewId="0">
      <selection activeCell="C105" sqref="C105"/>
    </sheetView>
  </sheetViews>
  <sheetFormatPr defaultColWidth="9.1796875" defaultRowHeight="14.5"/>
  <cols>
    <col min="1" max="1" width="6.7265625" style="278" customWidth="1"/>
    <col min="2" max="2" width="79.453125" style="278" bestFit="1" customWidth="1"/>
    <col min="3" max="3" width="15.26953125" style="278" customWidth="1"/>
    <col min="4" max="16384" width="9.1796875" style="278"/>
  </cols>
  <sheetData>
    <row r="1" spans="1:4">
      <c r="A1" s="307" t="s">
        <v>534</v>
      </c>
      <c r="B1" s="307" t="s">
        <v>534</v>
      </c>
    </row>
    <row r="2" spans="1:4">
      <c r="A2" s="344" t="s">
        <v>1604</v>
      </c>
      <c r="B2" s="344" t="s">
        <v>1604</v>
      </c>
      <c r="C2" s="344"/>
      <c r="D2" s="230"/>
    </row>
    <row r="3" spans="1:4">
      <c r="A3" s="304" t="s">
        <v>1326</v>
      </c>
      <c r="B3" s="304" t="s">
        <v>1326</v>
      </c>
      <c r="C3" s="304"/>
    </row>
    <row r="4" spans="1:4">
      <c r="A4" s="229"/>
      <c r="B4" s="229"/>
      <c r="C4" s="246" t="s">
        <v>186</v>
      </c>
    </row>
    <row r="5" spans="1:4">
      <c r="A5" s="229"/>
      <c r="B5" s="229"/>
      <c r="C5" s="229"/>
      <c r="D5" s="223"/>
    </row>
    <row r="6" spans="1:4" ht="15.75" customHeight="1">
      <c r="A6" s="3029" t="s">
        <v>1308</v>
      </c>
      <c r="B6" s="3081" t="s">
        <v>14</v>
      </c>
      <c r="C6" s="1306" t="s">
        <v>952</v>
      </c>
    </row>
    <row r="7" spans="1:4" ht="15.75" customHeight="1">
      <c r="A7" s="3079"/>
      <c r="B7" s="3079"/>
      <c r="C7" s="218" t="s">
        <v>547</v>
      </c>
    </row>
    <row r="8" spans="1:4">
      <c r="A8" s="3080"/>
      <c r="B8" s="3080"/>
      <c r="C8" s="218" t="s">
        <v>283</v>
      </c>
    </row>
    <row r="9" spans="1:4">
      <c r="A9" s="1436">
        <v>1</v>
      </c>
      <c r="B9" s="1402" t="s">
        <v>1448</v>
      </c>
      <c r="C9" s="1502">
        <v>1733.4595125987892</v>
      </c>
    </row>
    <row r="10" spans="1:4" ht="15" customHeight="1">
      <c r="A10" s="1436">
        <v>2</v>
      </c>
      <c r="B10" s="1402" t="s">
        <v>1044</v>
      </c>
      <c r="C10" s="1502">
        <v>217.59070500000004</v>
      </c>
    </row>
    <row r="11" spans="1:4">
      <c r="A11" s="1436">
        <v>3</v>
      </c>
      <c r="B11" s="1402" t="s">
        <v>1045</v>
      </c>
      <c r="C11" s="1502">
        <v>1004.4745155671153</v>
      </c>
    </row>
    <row r="12" spans="1:4">
      <c r="A12" s="1437"/>
      <c r="B12" s="1406" t="s">
        <v>1419</v>
      </c>
      <c r="C12" s="1502">
        <v>434.06609378747481</v>
      </c>
    </row>
    <row r="13" spans="1:4">
      <c r="A13" s="1438"/>
      <c r="B13" s="1406" t="s">
        <v>1420</v>
      </c>
      <c r="C13" s="1502">
        <v>204.66591687608098</v>
      </c>
    </row>
    <row r="14" spans="1:4">
      <c r="A14" s="229"/>
      <c r="B14" s="1406" t="s">
        <v>1421</v>
      </c>
      <c r="C14" s="1502">
        <v>207.79476173747972</v>
      </c>
      <c r="D14" s="229"/>
    </row>
    <row r="15" spans="1:4">
      <c r="A15" s="427" t="s">
        <v>1289</v>
      </c>
      <c r="B15" s="1406" t="s">
        <v>1422</v>
      </c>
      <c r="C15" s="1502">
        <v>117.83888968749622</v>
      </c>
      <c r="D15" s="229"/>
    </row>
    <row r="16" spans="1:4" ht="15" customHeight="1">
      <c r="A16" s="229"/>
      <c r="B16" s="1409" t="s">
        <v>1423</v>
      </c>
      <c r="C16" s="1502">
        <v>40.108853478583576</v>
      </c>
    </row>
    <row r="17" spans="1:4">
      <c r="A17" s="229"/>
      <c r="B17" s="1402" t="s">
        <v>1046</v>
      </c>
      <c r="C17" s="1502">
        <v>10.903914971999999</v>
      </c>
      <c r="D17" s="229"/>
    </row>
    <row r="18" spans="1:4">
      <c r="B18" s="1402" t="s">
        <v>1047</v>
      </c>
      <c r="C18" s="1502">
        <v>3660.0170616542641</v>
      </c>
    </row>
    <row r="19" spans="1:4">
      <c r="B19" s="1406" t="s">
        <v>1424</v>
      </c>
      <c r="C19" s="1502">
        <v>1873.917667584446</v>
      </c>
    </row>
    <row r="20" spans="1:4">
      <c r="B20" s="1406" t="s">
        <v>1421</v>
      </c>
      <c r="C20" s="1502">
        <v>604.16306023458537</v>
      </c>
    </row>
    <row r="21" spans="1:4">
      <c r="B21" s="1406" t="s">
        <v>1422</v>
      </c>
      <c r="C21" s="1502">
        <v>532.84485181203775</v>
      </c>
    </row>
    <row r="22" spans="1:4">
      <c r="B22" s="1406" t="s">
        <v>1423</v>
      </c>
      <c r="C22" s="1502">
        <v>649.09148202319511</v>
      </c>
    </row>
    <row r="23" spans="1:4">
      <c r="B23" s="1402" t="s">
        <v>1425</v>
      </c>
      <c r="C23" s="1502">
        <v>6626.4457097921695</v>
      </c>
    </row>
    <row r="24" spans="1:4">
      <c r="B24" s="1409"/>
      <c r="C24" s="1502">
        <v>0</v>
      </c>
    </row>
    <row r="25" spans="1:4">
      <c r="B25" s="1402" t="s">
        <v>1398</v>
      </c>
      <c r="C25" s="1502">
        <v>0</v>
      </c>
    </row>
    <row r="26" spans="1:4">
      <c r="B26" s="1402" t="s">
        <v>1051</v>
      </c>
      <c r="C26" s="1502">
        <v>0</v>
      </c>
    </row>
    <row r="27" spans="1:4">
      <c r="B27" s="1402" t="s">
        <v>1052</v>
      </c>
      <c r="C27" s="1502">
        <v>427.19995020999971</v>
      </c>
    </row>
    <row r="28" spans="1:4">
      <c r="B28" s="1402" t="s">
        <v>1399</v>
      </c>
      <c r="C28" s="1502">
        <v>95.745576</v>
      </c>
    </row>
    <row r="29" spans="1:4">
      <c r="B29" s="1402" t="s">
        <v>1054</v>
      </c>
      <c r="C29" s="1502">
        <v>1460.3387938504186</v>
      </c>
    </row>
    <row r="30" spans="1:4">
      <c r="B30" s="1410" t="s">
        <v>1449</v>
      </c>
      <c r="C30" s="1502">
        <v>628.03809224134568</v>
      </c>
    </row>
    <row r="31" spans="1:4">
      <c r="B31" s="1406" t="s">
        <v>1055</v>
      </c>
      <c r="C31" s="1502">
        <v>564.19433803719198</v>
      </c>
    </row>
    <row r="32" spans="1:4">
      <c r="B32" s="1406" t="s">
        <v>1056</v>
      </c>
      <c r="C32" s="1502">
        <v>77.99846371320244</v>
      </c>
    </row>
    <row r="33" spans="2:3">
      <c r="B33" s="1406" t="s">
        <v>1057</v>
      </c>
      <c r="C33" s="1502">
        <v>-14.154709509048706</v>
      </c>
    </row>
    <row r="34" spans="2:3">
      <c r="B34" s="1410" t="s">
        <v>1450</v>
      </c>
      <c r="C34" s="1502">
        <v>395.52674363422636</v>
      </c>
    </row>
    <row r="35" spans="2:3">
      <c r="B35" s="1406" t="s">
        <v>1055</v>
      </c>
      <c r="C35" s="1502">
        <v>233.42703956478772</v>
      </c>
    </row>
    <row r="36" spans="2:3">
      <c r="B36" s="1406" t="s">
        <v>1056</v>
      </c>
      <c r="C36" s="1502">
        <v>108.85940426858302</v>
      </c>
    </row>
    <row r="37" spans="2:3">
      <c r="B37" s="1406" t="s">
        <v>1057</v>
      </c>
      <c r="C37" s="1502">
        <v>53.240299800855581</v>
      </c>
    </row>
    <row r="38" spans="2:3">
      <c r="B38" s="1410" t="s">
        <v>1451</v>
      </c>
      <c r="C38" s="1502">
        <v>436.7739579748465</v>
      </c>
    </row>
    <row r="39" spans="2:3">
      <c r="B39" s="1406" t="s">
        <v>1055</v>
      </c>
      <c r="C39" s="1502">
        <v>98.429641170372037</v>
      </c>
    </row>
    <row r="40" spans="2:3">
      <c r="B40" s="1406" t="s">
        <v>1056</v>
      </c>
      <c r="C40" s="1502">
        <v>66.742323709748419</v>
      </c>
    </row>
    <row r="41" spans="2:3">
      <c r="B41" s="1406" t="s">
        <v>1057</v>
      </c>
      <c r="C41" s="1502">
        <v>271.60199309472603</v>
      </c>
    </row>
    <row r="42" spans="2:3">
      <c r="B42" s="1402" t="s">
        <v>1425</v>
      </c>
      <c r="C42" s="1502">
        <v>1983.2843200604182</v>
      </c>
    </row>
    <row r="43" spans="2:3">
      <c r="B43" s="1409"/>
      <c r="C43" s="1502">
        <v>0</v>
      </c>
    </row>
    <row r="44" spans="2:3">
      <c r="B44" s="1402" t="s">
        <v>1400</v>
      </c>
      <c r="C44" s="1502">
        <v>0</v>
      </c>
    </row>
    <row r="45" spans="2:3">
      <c r="B45" s="1402" t="s">
        <v>1404</v>
      </c>
      <c r="C45" s="1502">
        <v>32.183864999999997</v>
      </c>
    </row>
    <row r="46" spans="2:3">
      <c r="B46" s="1409" t="s">
        <v>1060</v>
      </c>
      <c r="C46" s="1502">
        <v>2.3615550000000001</v>
      </c>
    </row>
    <row r="47" spans="2:3">
      <c r="B47" s="1409" t="s">
        <v>1061</v>
      </c>
      <c r="C47" s="1502">
        <v>17.811360000000001</v>
      </c>
    </row>
    <row r="48" spans="2:3">
      <c r="B48" s="1409" t="s">
        <v>1062</v>
      </c>
      <c r="C48" s="1502">
        <v>12.010949999999999</v>
      </c>
    </row>
    <row r="49" spans="2:3">
      <c r="B49" s="1402" t="s">
        <v>476</v>
      </c>
      <c r="C49" s="1502">
        <v>117.85510463999999</v>
      </c>
    </row>
    <row r="50" spans="2:3">
      <c r="B50" s="1402" t="s">
        <v>1063</v>
      </c>
      <c r="C50" s="1502">
        <v>2.3506826400000005</v>
      </c>
    </row>
    <row r="51" spans="2:3">
      <c r="B51" s="1406" t="s">
        <v>1452</v>
      </c>
      <c r="C51" s="1502">
        <v>2.3506826400000005</v>
      </c>
    </row>
    <row r="52" spans="2:3">
      <c r="B52" s="1406" t="s">
        <v>1453</v>
      </c>
      <c r="C52" s="1502">
        <v>0</v>
      </c>
    </row>
    <row r="53" spans="2:3">
      <c r="B53" s="1402" t="s">
        <v>1064</v>
      </c>
      <c r="C53" s="1502">
        <v>27.031212</v>
      </c>
    </row>
    <row r="54" spans="2:3">
      <c r="B54" s="1406" t="s">
        <v>1452</v>
      </c>
      <c r="C54" s="1502">
        <v>27.031212</v>
      </c>
    </row>
    <row r="55" spans="2:3">
      <c r="B55" s="1406" t="s">
        <v>1453</v>
      </c>
      <c r="C55" s="1502">
        <v>0</v>
      </c>
    </row>
    <row r="56" spans="2:3">
      <c r="B56" s="1402" t="s">
        <v>1065</v>
      </c>
      <c r="C56" s="1502">
        <v>88.473209999999995</v>
      </c>
    </row>
    <row r="57" spans="2:3">
      <c r="B57" s="1406" t="s">
        <v>1452</v>
      </c>
      <c r="C57" s="1502">
        <v>88.473209999999995</v>
      </c>
    </row>
    <row r="58" spans="2:3">
      <c r="B58" s="1406" t="s">
        <v>1453</v>
      </c>
      <c r="C58" s="1502">
        <v>0</v>
      </c>
    </row>
    <row r="59" spans="2:3">
      <c r="B59" s="1402" t="s">
        <v>1425</v>
      </c>
      <c r="C59" s="1502">
        <v>150.03896964</v>
      </c>
    </row>
    <row r="60" spans="2:3">
      <c r="B60" s="1409"/>
      <c r="C60" s="1502">
        <v>0</v>
      </c>
    </row>
    <row r="61" spans="2:3">
      <c r="B61" s="1402" t="s">
        <v>1067</v>
      </c>
      <c r="C61" s="1502">
        <v>0</v>
      </c>
    </row>
    <row r="62" spans="2:3">
      <c r="B62" s="1402" t="s">
        <v>1068</v>
      </c>
      <c r="C62" s="1502">
        <v>213.95397527466665</v>
      </c>
    </row>
    <row r="63" spans="2:3">
      <c r="B63" s="1409" t="s">
        <v>1069</v>
      </c>
      <c r="C63" s="1502">
        <v>165.59789334719997</v>
      </c>
    </row>
    <row r="64" spans="2:3">
      <c r="B64" s="1409" t="s">
        <v>1070</v>
      </c>
      <c r="C64" s="1502">
        <v>35.321090334719997</v>
      </c>
    </row>
    <row r="65" spans="2:3">
      <c r="B65" s="1409" t="s">
        <v>1071</v>
      </c>
      <c r="C65" s="1502">
        <v>13.034991592746678</v>
      </c>
    </row>
    <row r="66" spans="2:3">
      <c r="B66" s="1402" t="s">
        <v>1072</v>
      </c>
      <c r="C66" s="1502">
        <v>81.077076482999999</v>
      </c>
    </row>
    <row r="67" spans="2:3">
      <c r="B67" s="1402" t="s">
        <v>1454</v>
      </c>
      <c r="C67" s="1502">
        <v>32.983455590399998</v>
      </c>
    </row>
    <row r="68" spans="2:3">
      <c r="B68" s="1409" t="s">
        <v>1073</v>
      </c>
      <c r="C68" s="1502">
        <v>24.46095712536</v>
      </c>
    </row>
    <row r="69" spans="2:3">
      <c r="B69" s="1409" t="s">
        <v>1074</v>
      </c>
      <c r="C69" s="1502">
        <v>8.5224984650399964</v>
      </c>
    </row>
    <row r="70" spans="2:3">
      <c r="B70" s="1402" t="s">
        <v>1455</v>
      </c>
      <c r="C70" s="1502">
        <v>48.093620892600001</v>
      </c>
    </row>
    <row r="71" spans="2:3">
      <c r="B71" s="1409" t="s">
        <v>1073</v>
      </c>
      <c r="C71" s="1502">
        <v>18.575995027440001</v>
      </c>
    </row>
    <row r="72" spans="2:3">
      <c r="B72" s="1409" t="s">
        <v>1074</v>
      </c>
      <c r="C72" s="1502">
        <v>29.517625865159999</v>
      </c>
    </row>
    <row r="73" spans="2:3">
      <c r="B73" s="1402" t="s">
        <v>1425</v>
      </c>
      <c r="C73" s="1502">
        <v>295.03105175766666</v>
      </c>
    </row>
    <row r="74" spans="2:3">
      <c r="B74" s="1409"/>
      <c r="C74" s="1502">
        <v>0</v>
      </c>
    </row>
    <row r="75" spans="2:3">
      <c r="B75" s="1402" t="s">
        <v>1076</v>
      </c>
      <c r="C75" s="1502">
        <v>0</v>
      </c>
    </row>
    <row r="76" spans="2:3">
      <c r="B76" s="1402" t="s">
        <v>1012</v>
      </c>
      <c r="C76" s="1502">
        <v>421.516971730563</v>
      </c>
    </row>
    <row r="77" spans="2:3">
      <c r="B77" s="1402" t="s">
        <v>1456</v>
      </c>
      <c r="C77" s="1502">
        <v>363.61085790884721</v>
      </c>
    </row>
    <row r="78" spans="2:3">
      <c r="B78" s="1409" t="s">
        <v>1077</v>
      </c>
      <c r="C78" s="1502">
        <v>363.61085790884721</v>
      </c>
    </row>
    <row r="79" spans="2:3">
      <c r="B79" s="1406" t="s">
        <v>1457</v>
      </c>
      <c r="C79" s="1502">
        <v>0</v>
      </c>
    </row>
    <row r="80" spans="2:3">
      <c r="B80" s="1402" t="s">
        <v>1458</v>
      </c>
      <c r="C80" s="1502">
        <v>57.906113821715799</v>
      </c>
    </row>
    <row r="81" spans="2:3">
      <c r="B81" s="1409" t="s">
        <v>1078</v>
      </c>
      <c r="C81" s="1502">
        <v>57.906113821715799</v>
      </c>
    </row>
    <row r="82" spans="2:3">
      <c r="B82" s="1406" t="s">
        <v>1459</v>
      </c>
      <c r="C82" s="1502">
        <v>0</v>
      </c>
    </row>
    <row r="83" spans="2:3">
      <c r="B83" s="1402" t="s">
        <v>1460</v>
      </c>
      <c r="C83" s="1502">
        <v>180.75293602397849</v>
      </c>
    </row>
    <row r="84" spans="2:3">
      <c r="B84" s="1409" t="s">
        <v>1079</v>
      </c>
      <c r="C84" s="1502">
        <v>180.75293602397849</v>
      </c>
    </row>
    <row r="85" spans="2:3">
      <c r="B85" s="1402" t="s">
        <v>1425</v>
      </c>
      <c r="C85" s="1502">
        <v>602.26990775454146</v>
      </c>
    </row>
    <row r="86" spans="2:3">
      <c r="B86" s="1409"/>
      <c r="C86" s="1502">
        <v>0</v>
      </c>
    </row>
    <row r="87" spans="2:3">
      <c r="B87" s="1402" t="s">
        <v>1081</v>
      </c>
      <c r="C87" s="1502">
        <v>0</v>
      </c>
    </row>
    <row r="88" spans="2:3">
      <c r="B88" s="1402" t="s">
        <v>1012</v>
      </c>
      <c r="C88" s="1502">
        <v>213.61036585510408</v>
      </c>
    </row>
    <row r="89" spans="2:3">
      <c r="B89" s="1406" t="s">
        <v>1426</v>
      </c>
      <c r="C89" s="1502">
        <v>133.60506085137973</v>
      </c>
    </row>
    <row r="90" spans="2:3">
      <c r="B90" s="1406" t="s">
        <v>1427</v>
      </c>
      <c r="C90" s="1502">
        <v>42.289255827913252</v>
      </c>
    </row>
    <row r="91" spans="2:3">
      <c r="B91" s="1406" t="s">
        <v>1428</v>
      </c>
      <c r="C91" s="1502">
        <v>37.716049175811094</v>
      </c>
    </row>
    <row r="92" spans="2:3">
      <c r="B92" s="1402" t="s">
        <v>1011</v>
      </c>
      <c r="C92" s="1502">
        <v>313.15677059370063</v>
      </c>
    </row>
    <row r="93" spans="2:3">
      <c r="B93" s="1402" t="s">
        <v>1013</v>
      </c>
      <c r="C93" s="1502">
        <v>182.1142688577911</v>
      </c>
    </row>
    <row r="94" spans="2:3">
      <c r="B94" s="1410" t="s">
        <v>1426</v>
      </c>
      <c r="C94" s="1502">
        <v>78.642016940323302</v>
      </c>
    </row>
    <row r="95" spans="2:3">
      <c r="B95" s="1406" t="s">
        <v>1430</v>
      </c>
      <c r="C95" s="1502">
        <v>14.150498514546507</v>
      </c>
    </row>
    <row r="96" spans="2:3">
      <c r="B96" s="1406" t="s">
        <v>1431</v>
      </c>
      <c r="C96" s="1502">
        <v>33.211864980633152</v>
      </c>
    </row>
    <row r="97" spans="2:3">
      <c r="B97" s="1406" t="s">
        <v>1432</v>
      </c>
      <c r="C97" s="1502">
        <v>18.132517176239972</v>
      </c>
    </row>
    <row r="98" spans="2:3">
      <c r="B98" s="1406" t="s">
        <v>1433</v>
      </c>
      <c r="C98" s="1502">
        <v>13.147136268903681</v>
      </c>
    </row>
    <row r="99" spans="2:3">
      <c r="B99" s="1410" t="s">
        <v>1427</v>
      </c>
      <c r="C99" s="1502">
        <v>37.624634694562857</v>
      </c>
    </row>
    <row r="100" spans="2:3">
      <c r="B100" s="1406" t="s">
        <v>1430</v>
      </c>
      <c r="C100" s="1502">
        <v>6.4663937027088139</v>
      </c>
    </row>
    <row r="101" spans="2:3">
      <c r="B101" s="1406" t="s">
        <v>1431</v>
      </c>
      <c r="C101" s="1502">
        <v>15.878271284619681</v>
      </c>
    </row>
    <row r="102" spans="2:3">
      <c r="B102" s="1406" t="s">
        <v>1432</v>
      </c>
      <c r="C102" s="1502">
        <v>8.9944510705891183</v>
      </c>
    </row>
    <row r="103" spans="2:3">
      <c r="B103" s="1406" t="s">
        <v>1433</v>
      </c>
      <c r="C103" s="1502">
        <v>6.2855186366452447</v>
      </c>
    </row>
    <row r="104" spans="2:3">
      <c r="B104" s="1410" t="s">
        <v>1428</v>
      </c>
      <c r="C104" s="1502">
        <v>65.847617222904944</v>
      </c>
    </row>
    <row r="105" spans="2:3">
      <c r="B105" s="1406" t="s">
        <v>1430</v>
      </c>
      <c r="C105" s="1502">
        <v>11.199345463198316</v>
      </c>
    </row>
    <row r="106" spans="2:3">
      <c r="B106" s="1406" t="s">
        <v>1431</v>
      </c>
      <c r="C106" s="1502">
        <v>27.784517045159667</v>
      </c>
    </row>
    <row r="107" spans="2:3">
      <c r="B107" s="1406" t="s">
        <v>1432</v>
      </c>
      <c r="C107" s="1502">
        <v>15.865069998364916</v>
      </c>
    </row>
    <row r="108" spans="2:3">
      <c r="B108" s="1406" t="s">
        <v>1433</v>
      </c>
      <c r="C108" s="1502">
        <v>10.998684716182034</v>
      </c>
    </row>
    <row r="109" spans="2:3">
      <c r="B109" s="1402" t="s">
        <v>1014</v>
      </c>
      <c r="C109" s="1502">
        <v>131.04250173590952</v>
      </c>
    </row>
    <row r="110" spans="2:3">
      <c r="B110" s="1410" t="s">
        <v>1426</v>
      </c>
      <c r="C110" s="1502">
        <v>42.74767999770782</v>
      </c>
    </row>
    <row r="111" spans="2:3">
      <c r="B111" s="1406" t="s">
        <v>1430</v>
      </c>
      <c r="C111" s="1502">
        <v>8.3248249937774403</v>
      </c>
    </row>
    <row r="112" spans="2:3">
      <c r="B112" s="1406" t="s">
        <v>1431</v>
      </c>
      <c r="C112" s="1502">
        <v>17.954345936939887</v>
      </c>
    </row>
    <row r="113" spans="2:3">
      <c r="B113" s="1406" t="s">
        <v>1432</v>
      </c>
      <c r="C113" s="1502">
        <v>10.427264533713373</v>
      </c>
    </row>
    <row r="114" spans="2:3">
      <c r="B114" s="1406" t="s">
        <v>1433</v>
      </c>
      <c r="C114" s="1502">
        <v>6.0412445332771245</v>
      </c>
    </row>
    <row r="115" spans="2:3">
      <c r="B115" s="1410" t="s">
        <v>1427</v>
      </c>
      <c r="C115" s="1502">
        <v>30.666878865171</v>
      </c>
    </row>
    <row r="116" spans="2:3">
      <c r="B116" s="1406" t="s">
        <v>1430</v>
      </c>
      <c r="C116" s="1502">
        <v>5.9721697100663684</v>
      </c>
    </row>
    <row r="117" spans="2:3">
      <c r="B117" s="1406" t="s">
        <v>1431</v>
      </c>
      <c r="C117" s="1502">
        <v>12.880318931484343</v>
      </c>
    </row>
    <row r="118" spans="2:3">
      <c r="B118" s="1406" t="s">
        <v>1432</v>
      </c>
      <c r="C118" s="1502">
        <v>7.4804447485250254</v>
      </c>
    </row>
    <row r="119" spans="2:3">
      <c r="B119" s="1406" t="s">
        <v>1433</v>
      </c>
      <c r="C119" s="1502">
        <v>4.3339454750952608</v>
      </c>
    </row>
    <row r="120" spans="2:3">
      <c r="B120" s="1410" t="s">
        <v>1428</v>
      </c>
      <c r="C120" s="1502">
        <v>57.62794287303069</v>
      </c>
    </row>
    <row r="121" spans="2:3">
      <c r="B121" s="1406" t="s">
        <v>1430</v>
      </c>
      <c r="C121" s="1502">
        <v>11.222656742894788</v>
      </c>
    </row>
    <row r="122" spans="2:3">
      <c r="B122" s="1406" t="s">
        <v>1431</v>
      </c>
      <c r="C122" s="1502">
        <v>24.204167852666689</v>
      </c>
    </row>
    <row r="123" spans="2:3">
      <c r="B123" s="1406" t="s">
        <v>1432</v>
      </c>
      <c r="C123" s="1502">
        <v>14.056945427284807</v>
      </c>
    </row>
    <row r="124" spans="2:3">
      <c r="B124" s="1406" t="s">
        <v>1433</v>
      </c>
      <c r="C124" s="1502">
        <v>8.144172850184404</v>
      </c>
    </row>
    <row r="125" spans="2:3">
      <c r="B125" s="1402" t="s">
        <v>1425</v>
      </c>
      <c r="C125" s="1502">
        <v>526.76713644880465</v>
      </c>
    </row>
    <row r="126" spans="2:3">
      <c r="B126" s="1409"/>
      <c r="C126" s="1502">
        <v>0</v>
      </c>
    </row>
    <row r="127" spans="2:3">
      <c r="B127" s="1402" t="s">
        <v>1402</v>
      </c>
      <c r="C127" s="1502">
        <v>0</v>
      </c>
    </row>
    <row r="128" spans="2:3">
      <c r="B128" s="1402" t="s">
        <v>1012</v>
      </c>
      <c r="C128" s="1502">
        <v>128.22281912291669</v>
      </c>
    </row>
    <row r="129" spans="2:3">
      <c r="B129" s="1409" t="s">
        <v>1091</v>
      </c>
      <c r="C129" s="1502">
        <v>94.554324791666687</v>
      </c>
    </row>
    <row r="130" spans="2:3">
      <c r="B130" s="1409" t="s">
        <v>1092</v>
      </c>
      <c r="C130" s="1502">
        <v>16.915945131249998</v>
      </c>
    </row>
    <row r="131" spans="2:3">
      <c r="B131" s="1409" t="s">
        <v>1093</v>
      </c>
      <c r="C131" s="1502">
        <v>16.752549199999997</v>
      </c>
    </row>
    <row r="132" spans="2:3">
      <c r="B132" s="1402" t="s">
        <v>1011</v>
      </c>
      <c r="C132" s="1502">
        <v>275.74334912</v>
      </c>
    </row>
    <row r="133" spans="2:3">
      <c r="B133" s="1409" t="s">
        <v>1094</v>
      </c>
      <c r="C133" s="1502">
        <v>44.295341270000002</v>
      </c>
    </row>
    <row r="134" spans="2:3">
      <c r="B134" s="1409" t="s">
        <v>1095</v>
      </c>
      <c r="C134" s="1502">
        <v>186.52182865</v>
      </c>
    </row>
    <row r="135" spans="2:3">
      <c r="B135" s="1409" t="s">
        <v>1096</v>
      </c>
      <c r="C135" s="1502">
        <v>44.9261792</v>
      </c>
    </row>
    <row r="136" spans="2:3">
      <c r="B136" s="1402" t="s">
        <v>1425</v>
      </c>
      <c r="C136" s="1502">
        <v>403.96616824291669</v>
      </c>
    </row>
    <row r="137" spans="2:3">
      <c r="B137" s="1409"/>
      <c r="C137" s="1502">
        <v>0</v>
      </c>
    </row>
    <row r="138" spans="2:3">
      <c r="B138" s="1402" t="s">
        <v>1098</v>
      </c>
      <c r="C138" s="1502">
        <v>0</v>
      </c>
    </row>
    <row r="139" spans="2:3">
      <c r="B139" s="1402" t="s">
        <v>476</v>
      </c>
      <c r="C139" s="1502">
        <v>605.63607744694366</v>
      </c>
    </row>
    <row r="140" spans="2:3">
      <c r="B140" s="1409" t="s">
        <v>1099</v>
      </c>
      <c r="C140" s="1502">
        <v>605.63607744694366</v>
      </c>
    </row>
    <row r="141" spans="2:3">
      <c r="B141" s="1402" t="s">
        <v>1404</v>
      </c>
      <c r="C141" s="1502">
        <v>373.25654155495977</v>
      </c>
    </row>
    <row r="142" spans="2:3">
      <c r="B142" s="1409" t="s">
        <v>1405</v>
      </c>
      <c r="C142" s="1502">
        <v>357.14847184986593</v>
      </c>
    </row>
    <row r="143" spans="2:3">
      <c r="B143" s="1409" t="s">
        <v>1101</v>
      </c>
      <c r="C143" s="1502">
        <v>16.108069705093833</v>
      </c>
    </row>
    <row r="144" spans="2:3">
      <c r="B144" s="1402" t="s">
        <v>1425</v>
      </c>
      <c r="C144" s="1502">
        <v>978.89261900190343</v>
      </c>
    </row>
    <row r="145" spans="2:3">
      <c r="B145" s="1409"/>
      <c r="C145" s="1502">
        <v>0</v>
      </c>
    </row>
    <row r="146" spans="2:3">
      <c r="B146" s="1402" t="s">
        <v>1406</v>
      </c>
      <c r="C146" s="1502">
        <v>0</v>
      </c>
    </row>
    <row r="147" spans="2:3">
      <c r="B147" s="1402" t="s">
        <v>476</v>
      </c>
      <c r="C147" s="1502">
        <v>9.3646338900000003</v>
      </c>
    </row>
    <row r="148" spans="2:3">
      <c r="B148" s="1409" t="s">
        <v>1104</v>
      </c>
      <c r="C148" s="1502">
        <v>3.5759777039999996</v>
      </c>
    </row>
    <row r="149" spans="2:3">
      <c r="B149" s="1409" t="s">
        <v>1105</v>
      </c>
      <c r="C149" s="1502">
        <v>5.7886561860000008</v>
      </c>
    </row>
    <row r="150" spans="2:3">
      <c r="B150" s="1402" t="s">
        <v>1404</v>
      </c>
      <c r="C150" s="1502">
        <v>0.13270031250000003</v>
      </c>
    </row>
    <row r="151" spans="2:3">
      <c r="B151" s="1409" t="s">
        <v>1106</v>
      </c>
      <c r="C151" s="1502">
        <v>0.10012406250000001</v>
      </c>
    </row>
    <row r="152" spans="2:3">
      <c r="B152" s="1409" t="s">
        <v>1107</v>
      </c>
      <c r="C152" s="1502">
        <v>3.2576250000000001E-2</v>
      </c>
    </row>
    <row r="153" spans="2:3">
      <c r="B153" s="1402" t="s">
        <v>1425</v>
      </c>
      <c r="C153" s="1502">
        <v>9.4973342025000012</v>
      </c>
    </row>
    <row r="154" spans="2:3">
      <c r="B154" s="1409"/>
      <c r="C154" s="1502">
        <v>0</v>
      </c>
    </row>
    <row r="155" spans="2:3">
      <c r="B155" s="1402" t="s">
        <v>1109</v>
      </c>
      <c r="C155" s="1502">
        <v>55.719661078846215</v>
      </c>
    </row>
    <row r="156" spans="2:3">
      <c r="B156" s="1409"/>
      <c r="C156" s="1502">
        <v>0</v>
      </c>
    </row>
    <row r="157" spans="2:3">
      <c r="B157" s="1402" t="s">
        <v>1407</v>
      </c>
      <c r="C157" s="1502">
        <v>0</v>
      </c>
    </row>
    <row r="158" spans="2:3">
      <c r="B158" s="1402" t="s">
        <v>1146</v>
      </c>
      <c r="C158" s="1502">
        <v>0</v>
      </c>
    </row>
    <row r="159" spans="2:3">
      <c r="B159" s="1409" t="s">
        <v>1408</v>
      </c>
      <c r="C159" s="1502">
        <v>0</v>
      </c>
    </row>
    <row r="160" spans="2:3">
      <c r="B160" s="1409" t="s">
        <v>1409</v>
      </c>
      <c r="C160" s="1502">
        <v>0</v>
      </c>
    </row>
    <row r="161" spans="2:3">
      <c r="B161" s="1402" t="s">
        <v>1461</v>
      </c>
      <c r="C161" s="1502">
        <v>2.2279488000000004E-2</v>
      </c>
    </row>
    <row r="162" spans="2:3">
      <c r="B162" s="1402" t="s">
        <v>469</v>
      </c>
      <c r="C162" s="1502">
        <v>2.2279488000000004E-2</v>
      </c>
    </row>
    <row r="163" spans="2:3">
      <c r="B163" s="1411" t="s">
        <v>1013</v>
      </c>
      <c r="C163" s="1502">
        <v>0</v>
      </c>
    </row>
    <row r="164" spans="2:3">
      <c r="B164" s="1412" t="s">
        <v>1430</v>
      </c>
      <c r="C164" s="1502">
        <v>0</v>
      </c>
    </row>
    <row r="165" spans="2:3">
      <c r="B165" s="1412" t="s">
        <v>1431</v>
      </c>
      <c r="C165" s="1502">
        <v>0</v>
      </c>
    </row>
    <row r="166" spans="2:3">
      <c r="B166" s="1412" t="s">
        <v>1432</v>
      </c>
      <c r="C166" s="1502">
        <v>0</v>
      </c>
    </row>
    <row r="167" spans="2:3">
      <c r="B167" s="1412" t="s">
        <v>1433</v>
      </c>
      <c r="C167" s="1502">
        <v>0</v>
      </c>
    </row>
    <row r="168" spans="2:3">
      <c r="B168" s="1411" t="s">
        <v>1014</v>
      </c>
      <c r="C168" s="1502">
        <v>0</v>
      </c>
    </row>
    <row r="169" spans="2:3">
      <c r="B169" s="1412" t="s">
        <v>1430</v>
      </c>
      <c r="C169" s="1502">
        <v>0</v>
      </c>
    </row>
    <row r="170" spans="2:3">
      <c r="B170" s="1412" t="s">
        <v>1431</v>
      </c>
      <c r="C170" s="1502">
        <v>0</v>
      </c>
    </row>
    <row r="171" spans="2:3">
      <c r="B171" s="1412" t="s">
        <v>1432</v>
      </c>
      <c r="C171" s="1502">
        <v>0</v>
      </c>
    </row>
    <row r="172" spans="2:3">
      <c r="B172" s="1412" t="s">
        <v>1433</v>
      </c>
      <c r="C172" s="1502">
        <v>0</v>
      </c>
    </row>
    <row r="173" spans="2:3">
      <c r="B173" s="1402" t="s">
        <v>470</v>
      </c>
      <c r="C173" s="1502">
        <v>0</v>
      </c>
    </row>
    <row r="174" spans="2:3">
      <c r="B174" s="1411" t="s">
        <v>1013</v>
      </c>
      <c r="C174" s="1502">
        <v>0</v>
      </c>
    </row>
    <row r="175" spans="2:3">
      <c r="B175" s="1412" t="s">
        <v>1430</v>
      </c>
      <c r="C175" s="1502">
        <v>0</v>
      </c>
    </row>
    <row r="176" spans="2:3">
      <c r="B176" s="1412" t="s">
        <v>1431</v>
      </c>
      <c r="C176" s="1502">
        <v>0</v>
      </c>
    </row>
    <row r="177" spans="2:3">
      <c r="B177" s="1412" t="s">
        <v>1432</v>
      </c>
      <c r="C177" s="1502">
        <v>0</v>
      </c>
    </row>
    <row r="178" spans="2:3">
      <c r="B178" s="1412" t="s">
        <v>1433</v>
      </c>
      <c r="C178" s="1502">
        <v>0</v>
      </c>
    </row>
    <row r="179" spans="2:3">
      <c r="B179" s="1411" t="s">
        <v>1014</v>
      </c>
      <c r="C179" s="1502">
        <v>0</v>
      </c>
    </row>
    <row r="180" spans="2:3">
      <c r="B180" s="1412" t="s">
        <v>1430</v>
      </c>
      <c r="C180" s="1502">
        <v>0</v>
      </c>
    </row>
    <row r="181" spans="2:3">
      <c r="B181" s="1412" t="s">
        <v>1431</v>
      </c>
      <c r="C181" s="1502">
        <v>0</v>
      </c>
    </row>
    <row r="182" spans="2:3">
      <c r="B182" s="1412" t="s">
        <v>1432</v>
      </c>
      <c r="C182" s="1502">
        <v>0</v>
      </c>
    </row>
    <row r="183" spans="2:3">
      <c r="B183" s="1412" t="s">
        <v>1433</v>
      </c>
      <c r="C183" s="1502">
        <v>0</v>
      </c>
    </row>
    <row r="184" spans="2:3">
      <c r="B184" s="1402" t="s">
        <v>1425</v>
      </c>
      <c r="C184" s="1502">
        <v>2.2279488000000004E-2</v>
      </c>
    </row>
    <row r="185" spans="2:3">
      <c r="B185" s="1409"/>
      <c r="C185" s="1502">
        <v>0</v>
      </c>
    </row>
    <row r="186" spans="2:3">
      <c r="B186" s="1402" t="s">
        <v>1119</v>
      </c>
      <c r="C186" s="1502">
        <v>0</v>
      </c>
    </row>
    <row r="187" spans="2:3">
      <c r="B187" s="1402" t="s">
        <v>475</v>
      </c>
      <c r="C187" s="1502">
        <v>0</v>
      </c>
    </row>
    <row r="188" spans="2:3">
      <c r="B188" s="1409" t="s">
        <v>1411</v>
      </c>
      <c r="C188" s="1502">
        <v>0</v>
      </c>
    </row>
    <row r="189" spans="2:3">
      <c r="B189" s="1409" t="s">
        <v>1462</v>
      </c>
      <c r="C189" s="1502">
        <v>0</v>
      </c>
    </row>
    <row r="190" spans="2:3">
      <c r="B190" s="1402" t="s">
        <v>1403</v>
      </c>
      <c r="C190" s="1502">
        <v>0</v>
      </c>
    </row>
    <row r="191" spans="2:3">
      <c r="B191" s="1409" t="s">
        <v>1413</v>
      </c>
      <c r="C191" s="1502">
        <v>0</v>
      </c>
    </row>
    <row r="192" spans="2:3">
      <c r="B192" s="1409" t="s">
        <v>1463</v>
      </c>
      <c r="C192" s="1502">
        <v>0</v>
      </c>
    </row>
    <row r="193" spans="2:3">
      <c r="B193" s="1402" t="s">
        <v>1425</v>
      </c>
      <c r="C193" s="1502">
        <v>0</v>
      </c>
    </row>
    <row r="194" spans="2:3" ht="58">
      <c r="B194" s="1413" t="s">
        <v>1464</v>
      </c>
      <c r="C194" s="1502">
        <v>268.35970693513002</v>
      </c>
    </row>
    <row r="195" spans="2:3">
      <c r="B195" s="1402" t="s">
        <v>1465</v>
      </c>
      <c r="C195" s="1502">
        <v>215.33539553060942</v>
      </c>
    </row>
    <row r="196" spans="2:3">
      <c r="B196" s="1409" t="s">
        <v>1466</v>
      </c>
      <c r="C196" s="1502">
        <v>5.7384655419142829</v>
      </c>
    </row>
    <row r="197" spans="2:3">
      <c r="B197" s="1409" t="s">
        <v>1467</v>
      </c>
      <c r="C197" s="1502">
        <v>209.59692998869514</v>
      </c>
    </row>
    <row r="198" spans="2:3">
      <c r="B198" s="1402" t="s">
        <v>1468</v>
      </c>
      <c r="C198" s="1502">
        <v>53.024311404520589</v>
      </c>
    </row>
    <row r="199" spans="2:3">
      <c r="B199" s="1409" t="s">
        <v>1466</v>
      </c>
      <c r="C199" s="1502">
        <v>4.1828596718476172</v>
      </c>
    </row>
    <row r="200" spans="2:3">
      <c r="B200" s="1409" t="s">
        <v>1467</v>
      </c>
      <c r="C200" s="1502">
        <v>48.841451732672972</v>
      </c>
    </row>
    <row r="201" spans="2:3" ht="72.5">
      <c r="B201" s="1413" t="s">
        <v>1469</v>
      </c>
      <c r="C201" s="1502">
        <v>243.08478407825385</v>
      </c>
    </row>
    <row r="202" spans="2:3">
      <c r="B202" s="1402" t="s">
        <v>1465</v>
      </c>
      <c r="C202" s="1502">
        <v>190.82730422530153</v>
      </c>
    </row>
    <row r="203" spans="2:3">
      <c r="B203" s="1409" t="s">
        <v>1466</v>
      </c>
      <c r="C203" s="1502">
        <v>5.3178811224920608</v>
      </c>
    </row>
    <row r="204" spans="2:3">
      <c r="B204" s="1409" t="s">
        <v>1467</v>
      </c>
      <c r="C204" s="1502">
        <v>185.50942310280948</v>
      </c>
    </row>
    <row r="205" spans="2:3">
      <c r="B205" s="1402" t="s">
        <v>1468</v>
      </c>
      <c r="C205" s="1502">
        <v>52.257479852952329</v>
      </c>
    </row>
    <row r="206" spans="2:3">
      <c r="B206" s="1409" t="s">
        <v>1466</v>
      </c>
      <c r="C206" s="1502">
        <v>5.7628703861428514</v>
      </c>
    </row>
    <row r="207" spans="2:3">
      <c r="B207" s="1409" t="s">
        <v>1467</v>
      </c>
      <c r="C207" s="1502">
        <v>46.494609466809479</v>
      </c>
    </row>
    <row r="208" spans="2:3">
      <c r="B208" s="1402" t="s">
        <v>1425</v>
      </c>
      <c r="C208" s="1502">
        <v>511.44449101338387</v>
      </c>
    </row>
    <row r="209" spans="2:3">
      <c r="B209" s="1409"/>
      <c r="C209" s="1502">
        <v>0</v>
      </c>
    </row>
    <row r="210" spans="2:3">
      <c r="B210" s="1402" t="s">
        <v>1125</v>
      </c>
      <c r="C210" s="1502">
        <v>0</v>
      </c>
    </row>
    <row r="211" spans="2:3">
      <c r="B211" s="1402" t="s">
        <v>1126</v>
      </c>
      <c r="C211" s="1502">
        <v>656.43580503474993</v>
      </c>
    </row>
    <row r="212" spans="2:3">
      <c r="B212" s="1410" t="s">
        <v>1013</v>
      </c>
      <c r="C212" s="1502">
        <v>373.73156744759149</v>
      </c>
    </row>
    <row r="213" spans="2:3">
      <c r="B213" s="1406" t="s">
        <v>1430</v>
      </c>
      <c r="C213" s="1502">
        <v>76.530128540746517</v>
      </c>
    </row>
    <row r="214" spans="2:3">
      <c r="B214" s="1406" t="s">
        <v>1431</v>
      </c>
      <c r="C214" s="1502">
        <v>136.62439726282972</v>
      </c>
    </row>
    <row r="215" spans="2:3">
      <c r="B215" s="1406" t="s">
        <v>1432</v>
      </c>
      <c r="C215" s="1502">
        <v>85.154011676869132</v>
      </c>
    </row>
    <row r="216" spans="2:3">
      <c r="B216" s="1406" t="s">
        <v>1433</v>
      </c>
      <c r="C216" s="1502">
        <v>75.423029967146107</v>
      </c>
    </row>
    <row r="217" spans="2:3">
      <c r="B217" s="1411" t="s">
        <v>1014</v>
      </c>
      <c r="C217" s="1502">
        <v>282.70423758715845</v>
      </c>
    </row>
    <row r="218" spans="2:3">
      <c r="B218" s="1406" t="s">
        <v>1430</v>
      </c>
      <c r="C218" s="1502">
        <v>65.05037987270596</v>
      </c>
    </row>
    <row r="219" spans="2:3">
      <c r="B219" s="1406" t="s">
        <v>1431</v>
      </c>
      <c r="C219" s="1502">
        <v>102.99811483060819</v>
      </c>
    </row>
    <row r="220" spans="2:3">
      <c r="B220" s="1406" t="s">
        <v>1432</v>
      </c>
      <c r="C220" s="1502">
        <v>66.324950225257368</v>
      </c>
    </row>
    <row r="221" spans="2:3">
      <c r="B221" s="1406" t="s">
        <v>1433</v>
      </c>
      <c r="C221" s="1502">
        <v>48.330792658586958</v>
      </c>
    </row>
    <row r="222" spans="2:3">
      <c r="B222" s="1402" t="s">
        <v>1127</v>
      </c>
      <c r="C222" s="1502">
        <v>239.75369705709412</v>
      </c>
    </row>
    <row r="223" spans="2:3">
      <c r="B223" s="1410" t="s">
        <v>1013</v>
      </c>
      <c r="C223" s="1502">
        <v>131.34737381133448</v>
      </c>
    </row>
    <row r="224" spans="2:3">
      <c r="B224" s="1406" t="s">
        <v>1430</v>
      </c>
      <c r="C224" s="1502">
        <v>26.592174072095681</v>
      </c>
    </row>
    <row r="225" spans="2:3">
      <c r="B225" s="1406" t="s">
        <v>1431</v>
      </c>
      <c r="C225" s="1502">
        <v>48.029341369051025</v>
      </c>
    </row>
    <row r="226" spans="2:3">
      <c r="B226" s="1406" t="s">
        <v>1432</v>
      </c>
      <c r="C226" s="1502">
        <v>30.211425179961555</v>
      </c>
    </row>
    <row r="227" spans="2:3">
      <c r="B227" s="1406" t="s">
        <v>1433</v>
      </c>
      <c r="C227" s="1502">
        <v>26.514433190226221</v>
      </c>
    </row>
    <row r="228" spans="2:3">
      <c r="B228" s="1411" t="s">
        <v>1014</v>
      </c>
      <c r="C228" s="1502">
        <v>108.40632324575964</v>
      </c>
    </row>
    <row r="229" spans="2:3">
      <c r="B229" s="1406" t="s">
        <v>1430</v>
      </c>
      <c r="C229" s="1502">
        <v>24.944346671018355</v>
      </c>
    </row>
    <row r="230" spans="2:3">
      <c r="B230" s="1406" t="s">
        <v>1431</v>
      </c>
      <c r="C230" s="1502">
        <v>39.495859790882626</v>
      </c>
    </row>
    <row r="231" spans="2:3">
      <c r="B231" s="1406" t="s">
        <v>1432</v>
      </c>
      <c r="C231" s="1502">
        <v>25.433095926485571</v>
      </c>
    </row>
    <row r="232" spans="2:3">
      <c r="B232" s="1406" t="s">
        <v>1433</v>
      </c>
      <c r="C232" s="1502">
        <v>18.533020857373085</v>
      </c>
    </row>
    <row r="233" spans="2:3">
      <c r="B233" s="1402" t="s">
        <v>1128</v>
      </c>
      <c r="C233" s="1502">
        <v>52.249586821974951</v>
      </c>
    </row>
    <row r="234" spans="2:3">
      <c r="B234" s="1410" t="s">
        <v>1013</v>
      </c>
      <c r="C234" s="1502">
        <v>34.448510794236171</v>
      </c>
    </row>
    <row r="235" spans="2:3">
      <c r="B235" s="1406" t="s">
        <v>1430</v>
      </c>
      <c r="C235" s="1502">
        <v>7.331677222738775</v>
      </c>
    </row>
    <row r="236" spans="2:3">
      <c r="B236" s="1406" t="s">
        <v>1431</v>
      </c>
      <c r="C236" s="1502">
        <v>12.581502726069203</v>
      </c>
    </row>
    <row r="237" spans="2:3">
      <c r="B237" s="1406" t="s">
        <v>1432</v>
      </c>
      <c r="C237" s="1502">
        <v>7.5897554126997022</v>
      </c>
    </row>
    <row r="238" spans="2:3">
      <c r="B238" s="1406" t="s">
        <v>1433</v>
      </c>
      <c r="C238" s="1502">
        <v>6.945575432728492</v>
      </c>
    </row>
    <row r="239" spans="2:3">
      <c r="B239" s="1411" t="s">
        <v>1014</v>
      </c>
      <c r="C239" s="1502">
        <v>17.80107602773878</v>
      </c>
    </row>
    <row r="240" spans="2:3">
      <c r="B240" s="1406" t="s">
        <v>1430</v>
      </c>
      <c r="C240" s="1502">
        <v>4.0960360821981778</v>
      </c>
    </row>
    <row r="241" spans="2:3">
      <c r="B241" s="1406" t="s">
        <v>1431</v>
      </c>
      <c r="C241" s="1502">
        <v>6.4854962502928881</v>
      </c>
    </row>
    <row r="242" spans="2:3">
      <c r="B242" s="1406" t="s">
        <v>1432</v>
      </c>
      <c r="C242" s="1502">
        <v>4.1762921262607451</v>
      </c>
    </row>
    <row r="243" spans="2:3">
      <c r="B243" s="1406" t="s">
        <v>1433</v>
      </c>
      <c r="C243" s="1502">
        <v>3.0432515689869728</v>
      </c>
    </row>
    <row r="244" spans="2:3">
      <c r="B244" s="1402" t="s">
        <v>1129</v>
      </c>
      <c r="C244" s="1502">
        <v>2.5019432881392989</v>
      </c>
    </row>
    <row r="245" spans="2:3">
      <c r="B245" s="1410" t="s">
        <v>1013</v>
      </c>
      <c r="C245" s="1502">
        <v>1.4780023194560312</v>
      </c>
    </row>
    <row r="246" spans="2:3">
      <c r="B246" s="1406" t="s">
        <v>1430</v>
      </c>
      <c r="C246" s="1502">
        <v>0.30581716130391712</v>
      </c>
    </row>
    <row r="247" spans="2:3">
      <c r="B247" s="1406" t="s">
        <v>1431</v>
      </c>
      <c r="C247" s="1502">
        <v>0.54017652634648805</v>
      </c>
    </row>
    <row r="248" spans="2:3">
      <c r="B248" s="1406" t="s">
        <v>1432</v>
      </c>
      <c r="C248" s="1502">
        <v>0.33380603292569427</v>
      </c>
    </row>
    <row r="249" spans="2:3">
      <c r="B249" s="1406" t="s">
        <v>1433</v>
      </c>
      <c r="C249" s="1502">
        <v>0.29820259887993172</v>
      </c>
    </row>
    <row r="250" spans="2:3">
      <c r="B250" s="1411" t="s">
        <v>1014</v>
      </c>
      <c r="C250" s="1502">
        <v>1.0239409686832677</v>
      </c>
    </row>
    <row r="251" spans="2:3">
      <c r="B251" s="1406" t="s">
        <v>1430</v>
      </c>
      <c r="C251" s="1502">
        <v>0.23560930514717779</v>
      </c>
    </row>
    <row r="252" spans="2:3">
      <c r="B252" s="1406" t="s">
        <v>1431</v>
      </c>
      <c r="C252" s="1502">
        <v>0.37305415147761473</v>
      </c>
    </row>
    <row r="253" spans="2:3">
      <c r="B253" s="1406" t="s">
        <v>1432</v>
      </c>
      <c r="C253" s="1502">
        <v>0.24022573683771481</v>
      </c>
    </row>
    <row r="254" spans="2:3">
      <c r="B254" s="1406" t="s">
        <v>1433</v>
      </c>
      <c r="C254" s="1502">
        <v>0.17505177522076035</v>
      </c>
    </row>
    <row r="255" spans="2:3">
      <c r="B255" s="1402" t="s">
        <v>1130</v>
      </c>
      <c r="C255" s="1502">
        <v>161.12415761250003</v>
      </c>
    </row>
    <row r="256" spans="2:3">
      <c r="B256" s="1402" t="s">
        <v>1425</v>
      </c>
      <c r="C256" s="1502">
        <v>1112.0651898144583</v>
      </c>
    </row>
    <row r="257" spans="2:3">
      <c r="B257" s="1409"/>
      <c r="C257" s="1502">
        <v>0</v>
      </c>
    </row>
    <row r="258" spans="2:3">
      <c r="B258" s="1402" t="s">
        <v>1133</v>
      </c>
      <c r="C258" s="1502">
        <v>0</v>
      </c>
    </row>
    <row r="259" spans="2:3">
      <c r="B259" s="1409" t="s">
        <v>1415</v>
      </c>
      <c r="C259" s="1502">
        <v>10.566733333333334</v>
      </c>
    </row>
    <row r="260" spans="2:3">
      <c r="B260" s="1409" t="s">
        <v>1134</v>
      </c>
      <c r="C260" s="1502">
        <v>0</v>
      </c>
    </row>
    <row r="261" spans="2:3">
      <c r="B261" s="1409" t="s">
        <v>1135</v>
      </c>
      <c r="C261" s="1502">
        <v>0</v>
      </c>
    </row>
    <row r="262" spans="2:3">
      <c r="B262" s="1402" t="s">
        <v>1425</v>
      </c>
      <c r="C262" s="1502">
        <v>10.566733333333334</v>
      </c>
    </row>
    <row r="263" spans="2:3">
      <c r="B263" s="1409"/>
      <c r="C263" s="1502">
        <v>0</v>
      </c>
    </row>
    <row r="264" spans="2:3">
      <c r="B264" s="1402" t="s">
        <v>1137</v>
      </c>
      <c r="C264" s="1502">
        <v>0</v>
      </c>
    </row>
    <row r="265" spans="2:3">
      <c r="B265" s="1409" t="s">
        <v>1138</v>
      </c>
      <c r="C265" s="1502">
        <v>147.990370998</v>
      </c>
    </row>
    <row r="266" spans="2:3">
      <c r="B266" s="1409" t="s">
        <v>1139</v>
      </c>
      <c r="C266" s="1502">
        <v>306.1356588270001</v>
      </c>
    </row>
    <row r="267" spans="2:3">
      <c r="B267" s="1409" t="s">
        <v>1140</v>
      </c>
      <c r="C267" s="1502">
        <v>0</v>
      </c>
    </row>
    <row r="268" spans="2:3">
      <c r="B268" s="1402" t="s">
        <v>1425</v>
      </c>
      <c r="C268" s="1502">
        <v>454.1260298250001</v>
      </c>
    </row>
    <row r="269" spans="2:3">
      <c r="B269" s="1409"/>
      <c r="C269" s="1502">
        <v>0</v>
      </c>
    </row>
    <row r="270" spans="2:3">
      <c r="B270" s="1402" t="s">
        <v>1434</v>
      </c>
      <c r="C270" s="1502">
        <v>2.1994470000000002</v>
      </c>
    </row>
    <row r="271" spans="2:3">
      <c r="B271" s="1409"/>
      <c r="C271" s="1502">
        <v>0</v>
      </c>
    </row>
    <row r="272" spans="2:3">
      <c r="B272" s="1402" t="s">
        <v>1470</v>
      </c>
      <c r="C272" s="1502">
        <v>0</v>
      </c>
    </row>
    <row r="273" spans="2:3">
      <c r="B273" s="1409"/>
      <c r="C273" s="1502">
        <v>0</v>
      </c>
    </row>
    <row r="274" spans="2:3">
      <c r="B274" s="1402" t="s">
        <v>126</v>
      </c>
      <c r="C274" s="1502">
        <v>13722.337048453945</v>
      </c>
    </row>
  </sheetData>
  <mergeCells count="2">
    <mergeCell ref="A6:A8"/>
    <mergeCell ref="B6:B8"/>
  </mergeCells>
  <printOptions horizontalCentered="1"/>
  <pageMargins left="0.19685039370078741" right="0.19685039370078741" top="0.19685039370078741" bottom="0.19685039370078741" header="0.19685039370078741" footer="0.19685039370078741"/>
  <pageSetup paperSize="9" scale="6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4"/>
  <sheetViews>
    <sheetView view="pageBreakPreview" topLeftCell="C1" zoomScale="85" zoomScaleNormal="55" zoomScaleSheetLayoutView="85" workbookViewId="0">
      <selection activeCell="C105" sqref="C105"/>
    </sheetView>
  </sheetViews>
  <sheetFormatPr defaultRowHeight="14.5"/>
  <cols>
    <col min="1" max="1" width="5.453125" style="229" customWidth="1"/>
    <col min="2" max="2" width="79.453125" style="229" bestFit="1" customWidth="1"/>
    <col min="3" max="3" width="10.453125" style="229" bestFit="1" customWidth="1"/>
    <col min="4" max="4" width="12.26953125" style="229" customWidth="1"/>
    <col min="5" max="5" width="15.26953125" style="229" bestFit="1" customWidth="1"/>
    <col min="6" max="6" width="11.7265625" style="333" bestFit="1" customWidth="1"/>
    <col min="7" max="7" width="14.26953125" style="229" bestFit="1" customWidth="1"/>
    <col min="8" max="8" width="15.54296875" style="229" bestFit="1" customWidth="1"/>
    <col min="9" max="9" width="14.1796875" style="229" bestFit="1" customWidth="1"/>
    <col min="10" max="11" width="10.7265625" style="229" bestFit="1" customWidth="1"/>
    <col min="12" max="12" width="11.26953125" style="229" bestFit="1" customWidth="1"/>
    <col min="13" max="13" width="11.7265625" style="229" bestFit="1" customWidth="1"/>
    <col min="14" max="163" width="9.1796875" style="229"/>
    <col min="164" max="164" width="5.453125" style="229" customWidth="1"/>
    <col min="165" max="165" width="54.1796875" style="229" customWidth="1"/>
    <col min="166" max="166" width="10.453125" style="229" customWidth="1"/>
    <col min="167" max="167" width="10.54296875" style="229" customWidth="1"/>
    <col min="168" max="170" width="7.7265625" style="229" customWidth="1"/>
    <col min="171" max="171" width="13.1796875" style="229" customWidth="1"/>
    <col min="172" max="172" width="11.54296875" style="229" customWidth="1"/>
    <col min="173" max="189" width="9.453125" style="229" customWidth="1"/>
    <col min="190" max="190" width="10.54296875" style="229" customWidth="1"/>
    <col min="191" max="191" width="10" style="229" customWidth="1"/>
    <col min="192" max="196" width="9.453125" style="229" customWidth="1"/>
    <col min="197" max="197" width="12.7265625" style="229" customWidth="1"/>
    <col min="198" max="198" width="10.7265625" style="229" customWidth="1"/>
    <col min="199" max="199" width="11.26953125" style="229" customWidth="1"/>
    <col min="200" max="202" width="9.81640625" style="229" customWidth="1"/>
    <col min="203" max="204" width="12.453125" style="229" customWidth="1"/>
    <col min="205" max="205" width="12.81640625" style="229" customWidth="1"/>
    <col min="206" max="206" width="10.54296875" style="229" customWidth="1"/>
    <col min="207" max="207" width="10" style="229" customWidth="1"/>
    <col min="208" max="210" width="10.453125" style="229" customWidth="1"/>
    <col min="211" max="211" width="13" style="229" customWidth="1"/>
    <col min="212" max="212" width="12.453125" style="229" customWidth="1"/>
    <col min="213" max="221" width="13" style="229" customWidth="1"/>
    <col min="222" max="222" width="11.26953125" style="229" customWidth="1"/>
    <col min="223" max="226" width="10" style="229" customWidth="1"/>
    <col min="227" max="227" width="12.81640625" style="229" customWidth="1"/>
    <col min="228" max="228" width="14.1796875" style="229" customWidth="1"/>
    <col min="229" max="229" width="13.54296875" style="229" customWidth="1"/>
    <col min="230" max="419" width="9.1796875" style="229"/>
    <col min="420" max="420" width="5.453125" style="229" customWidth="1"/>
    <col min="421" max="421" width="54.1796875" style="229" customWidth="1"/>
    <col min="422" max="422" width="10.453125" style="229" customWidth="1"/>
    <col min="423" max="423" width="10.54296875" style="229" customWidth="1"/>
    <col min="424" max="426" width="7.7265625" style="229" customWidth="1"/>
    <col min="427" max="427" width="13.1796875" style="229" customWidth="1"/>
    <col min="428" max="428" width="11.54296875" style="229" customWidth="1"/>
    <col min="429" max="445" width="9.453125" style="229" customWidth="1"/>
    <col min="446" max="446" width="10.54296875" style="229" customWidth="1"/>
    <col min="447" max="447" width="10" style="229" customWidth="1"/>
    <col min="448" max="452" width="9.453125" style="229" customWidth="1"/>
    <col min="453" max="453" width="12.7265625" style="229" customWidth="1"/>
    <col min="454" max="454" width="10.7265625" style="229" customWidth="1"/>
    <col min="455" max="455" width="11.26953125" style="229" customWidth="1"/>
    <col min="456" max="458" width="9.81640625" style="229" customWidth="1"/>
    <col min="459" max="460" width="12.453125" style="229" customWidth="1"/>
    <col min="461" max="461" width="12.81640625" style="229" customWidth="1"/>
    <col min="462" max="462" width="10.54296875" style="229" customWidth="1"/>
    <col min="463" max="463" width="10" style="229" customWidth="1"/>
    <col min="464" max="466" width="10.453125" style="229" customWidth="1"/>
    <col min="467" max="467" width="13" style="229" customWidth="1"/>
    <col min="468" max="468" width="12.453125" style="229" customWidth="1"/>
    <col min="469" max="477" width="13" style="229" customWidth="1"/>
    <col min="478" max="478" width="11.26953125" style="229" customWidth="1"/>
    <col min="479" max="482" width="10" style="229" customWidth="1"/>
    <col min="483" max="483" width="12.81640625" style="229" customWidth="1"/>
    <col min="484" max="484" width="14.1796875" style="229" customWidth="1"/>
    <col min="485" max="485" width="13.54296875" style="229" customWidth="1"/>
    <col min="486" max="675" width="9.1796875" style="229"/>
    <col min="676" max="676" width="5.453125" style="229" customWidth="1"/>
    <col min="677" max="677" width="54.1796875" style="229" customWidth="1"/>
    <col min="678" max="678" width="10.453125" style="229" customWidth="1"/>
    <col min="679" max="679" width="10.54296875" style="229" customWidth="1"/>
    <col min="680" max="682" width="7.7265625" style="229" customWidth="1"/>
    <col min="683" max="683" width="13.1796875" style="229" customWidth="1"/>
    <col min="684" max="684" width="11.54296875" style="229" customWidth="1"/>
    <col min="685" max="701" width="9.453125" style="229" customWidth="1"/>
    <col min="702" max="702" width="10.54296875" style="229" customWidth="1"/>
    <col min="703" max="703" width="10" style="229" customWidth="1"/>
    <col min="704" max="708" width="9.453125" style="229" customWidth="1"/>
    <col min="709" max="709" width="12.7265625" style="229" customWidth="1"/>
    <col min="710" max="710" width="10.7265625" style="229" customWidth="1"/>
    <col min="711" max="711" width="11.26953125" style="229" customWidth="1"/>
    <col min="712" max="714" width="9.81640625" style="229" customWidth="1"/>
    <col min="715" max="716" width="12.453125" style="229" customWidth="1"/>
    <col min="717" max="717" width="12.81640625" style="229" customWidth="1"/>
    <col min="718" max="718" width="10.54296875" style="229" customWidth="1"/>
    <col min="719" max="719" width="10" style="229" customWidth="1"/>
    <col min="720" max="722" width="10.453125" style="229" customWidth="1"/>
    <col min="723" max="723" width="13" style="229" customWidth="1"/>
    <col min="724" max="724" width="12.453125" style="229" customWidth="1"/>
    <col min="725" max="733" width="13" style="229" customWidth="1"/>
    <col min="734" max="734" width="11.26953125" style="229" customWidth="1"/>
    <col min="735" max="738" width="10" style="229" customWidth="1"/>
    <col min="739" max="739" width="12.81640625" style="229" customWidth="1"/>
    <col min="740" max="740" width="14.1796875" style="229" customWidth="1"/>
    <col min="741" max="741" width="13.54296875" style="229" customWidth="1"/>
    <col min="742" max="931" width="9.1796875" style="229"/>
    <col min="932" max="932" width="5.453125" style="229" customWidth="1"/>
    <col min="933" max="933" width="54.1796875" style="229" customWidth="1"/>
    <col min="934" max="934" width="10.453125" style="229" customWidth="1"/>
    <col min="935" max="935" width="10.54296875" style="229" customWidth="1"/>
    <col min="936" max="938" width="7.7265625" style="229" customWidth="1"/>
    <col min="939" max="939" width="13.1796875" style="229" customWidth="1"/>
    <col min="940" max="940" width="11.54296875" style="229" customWidth="1"/>
    <col min="941" max="957" width="9.453125" style="229" customWidth="1"/>
    <col min="958" max="958" width="10.54296875" style="229" customWidth="1"/>
    <col min="959" max="959" width="10" style="229" customWidth="1"/>
    <col min="960" max="964" width="9.453125" style="229" customWidth="1"/>
    <col min="965" max="965" width="12.7265625" style="229" customWidth="1"/>
    <col min="966" max="966" width="10.7265625" style="229" customWidth="1"/>
    <col min="967" max="967" width="11.26953125" style="229" customWidth="1"/>
    <col min="968" max="970" width="9.81640625" style="229" customWidth="1"/>
    <col min="971" max="972" width="12.453125" style="229" customWidth="1"/>
    <col min="973" max="973" width="12.81640625" style="229" customWidth="1"/>
    <col min="974" max="974" width="10.54296875" style="229" customWidth="1"/>
    <col min="975" max="975" width="10" style="229" customWidth="1"/>
    <col min="976" max="978" width="10.453125" style="229" customWidth="1"/>
    <col min="979" max="979" width="13" style="229" customWidth="1"/>
    <col min="980" max="980" width="12.453125" style="229" customWidth="1"/>
    <col min="981" max="989" width="13" style="229" customWidth="1"/>
    <col min="990" max="990" width="11.26953125" style="229" customWidth="1"/>
    <col min="991" max="994" width="10" style="229" customWidth="1"/>
    <col min="995" max="995" width="12.81640625" style="229" customWidth="1"/>
    <col min="996" max="996" width="14.1796875" style="229" customWidth="1"/>
    <col min="997" max="997" width="13.54296875" style="229" customWidth="1"/>
    <col min="998" max="1187" width="9.1796875" style="229"/>
    <col min="1188" max="1188" width="5.453125" style="229" customWidth="1"/>
    <col min="1189" max="1189" width="54.1796875" style="229" customWidth="1"/>
    <col min="1190" max="1190" width="10.453125" style="229" customWidth="1"/>
    <col min="1191" max="1191" width="10.54296875" style="229" customWidth="1"/>
    <col min="1192" max="1194" width="7.7265625" style="229" customWidth="1"/>
    <col min="1195" max="1195" width="13.1796875" style="229" customWidth="1"/>
    <col min="1196" max="1196" width="11.54296875" style="229" customWidth="1"/>
    <col min="1197" max="1213" width="9.453125" style="229" customWidth="1"/>
    <col min="1214" max="1214" width="10.54296875" style="229" customWidth="1"/>
    <col min="1215" max="1215" width="10" style="229" customWidth="1"/>
    <col min="1216" max="1220" width="9.453125" style="229" customWidth="1"/>
    <col min="1221" max="1221" width="12.7265625" style="229" customWidth="1"/>
    <col min="1222" max="1222" width="10.7265625" style="229" customWidth="1"/>
    <col min="1223" max="1223" width="11.26953125" style="229" customWidth="1"/>
    <col min="1224" max="1226" width="9.81640625" style="229" customWidth="1"/>
    <col min="1227" max="1228" width="12.453125" style="229" customWidth="1"/>
    <col min="1229" max="1229" width="12.81640625" style="229" customWidth="1"/>
    <col min="1230" max="1230" width="10.54296875" style="229" customWidth="1"/>
    <col min="1231" max="1231" width="10" style="229" customWidth="1"/>
    <col min="1232" max="1234" width="10.453125" style="229" customWidth="1"/>
    <col min="1235" max="1235" width="13" style="229" customWidth="1"/>
    <col min="1236" max="1236" width="12.453125" style="229" customWidth="1"/>
    <col min="1237" max="1245" width="13" style="229" customWidth="1"/>
    <col min="1246" max="1246" width="11.26953125" style="229" customWidth="1"/>
    <col min="1247" max="1250" width="10" style="229" customWidth="1"/>
    <col min="1251" max="1251" width="12.81640625" style="229" customWidth="1"/>
    <col min="1252" max="1252" width="14.1796875" style="229" customWidth="1"/>
    <col min="1253" max="1253" width="13.54296875" style="229" customWidth="1"/>
    <col min="1254" max="1443" width="9.1796875" style="229"/>
    <col min="1444" max="1444" width="5.453125" style="229" customWidth="1"/>
    <col min="1445" max="1445" width="54.1796875" style="229" customWidth="1"/>
    <col min="1446" max="1446" width="10.453125" style="229" customWidth="1"/>
    <col min="1447" max="1447" width="10.54296875" style="229" customWidth="1"/>
    <col min="1448" max="1450" width="7.7265625" style="229" customWidth="1"/>
    <col min="1451" max="1451" width="13.1796875" style="229" customWidth="1"/>
    <col min="1452" max="1452" width="11.54296875" style="229" customWidth="1"/>
    <col min="1453" max="1469" width="9.453125" style="229" customWidth="1"/>
    <col min="1470" max="1470" width="10.54296875" style="229" customWidth="1"/>
    <col min="1471" max="1471" width="10" style="229" customWidth="1"/>
    <col min="1472" max="1476" width="9.453125" style="229" customWidth="1"/>
    <col min="1477" max="1477" width="12.7265625" style="229" customWidth="1"/>
    <col min="1478" max="1478" width="10.7265625" style="229" customWidth="1"/>
    <col min="1479" max="1479" width="11.26953125" style="229" customWidth="1"/>
    <col min="1480" max="1482" width="9.81640625" style="229" customWidth="1"/>
    <col min="1483" max="1484" width="12.453125" style="229" customWidth="1"/>
    <col min="1485" max="1485" width="12.81640625" style="229" customWidth="1"/>
    <col min="1486" max="1486" width="10.54296875" style="229" customWidth="1"/>
    <col min="1487" max="1487" width="10" style="229" customWidth="1"/>
    <col min="1488" max="1490" width="10.453125" style="229" customWidth="1"/>
    <col min="1491" max="1491" width="13" style="229" customWidth="1"/>
    <col min="1492" max="1492" width="12.453125" style="229" customWidth="1"/>
    <col min="1493" max="1501" width="13" style="229" customWidth="1"/>
    <col min="1502" max="1502" width="11.26953125" style="229" customWidth="1"/>
    <col min="1503" max="1506" width="10" style="229" customWidth="1"/>
    <col min="1507" max="1507" width="12.81640625" style="229" customWidth="1"/>
    <col min="1508" max="1508" width="14.1796875" style="229" customWidth="1"/>
    <col min="1509" max="1509" width="13.54296875" style="229" customWidth="1"/>
    <col min="1510" max="1699" width="9.1796875" style="229"/>
    <col min="1700" max="1700" width="5.453125" style="229" customWidth="1"/>
    <col min="1701" max="1701" width="54.1796875" style="229" customWidth="1"/>
    <col min="1702" max="1702" width="10.453125" style="229" customWidth="1"/>
    <col min="1703" max="1703" width="10.54296875" style="229" customWidth="1"/>
    <col min="1704" max="1706" width="7.7265625" style="229" customWidth="1"/>
    <col min="1707" max="1707" width="13.1796875" style="229" customWidth="1"/>
    <col min="1708" max="1708" width="11.54296875" style="229" customWidth="1"/>
    <col min="1709" max="1725" width="9.453125" style="229" customWidth="1"/>
    <col min="1726" max="1726" width="10.54296875" style="229" customWidth="1"/>
    <col min="1727" max="1727" width="10" style="229" customWidth="1"/>
    <col min="1728" max="1732" width="9.453125" style="229" customWidth="1"/>
    <col min="1733" max="1733" width="12.7265625" style="229" customWidth="1"/>
    <col min="1734" max="1734" width="10.7265625" style="229" customWidth="1"/>
    <col min="1735" max="1735" width="11.26953125" style="229" customWidth="1"/>
    <col min="1736" max="1738" width="9.81640625" style="229" customWidth="1"/>
    <col min="1739" max="1740" width="12.453125" style="229" customWidth="1"/>
    <col min="1741" max="1741" width="12.81640625" style="229" customWidth="1"/>
    <col min="1742" max="1742" width="10.54296875" style="229" customWidth="1"/>
    <col min="1743" max="1743" width="10" style="229" customWidth="1"/>
    <col min="1744" max="1746" width="10.453125" style="229" customWidth="1"/>
    <col min="1747" max="1747" width="13" style="229" customWidth="1"/>
    <col min="1748" max="1748" width="12.453125" style="229" customWidth="1"/>
    <col min="1749" max="1757" width="13" style="229" customWidth="1"/>
    <col min="1758" max="1758" width="11.26953125" style="229" customWidth="1"/>
    <col min="1759" max="1762" width="10" style="229" customWidth="1"/>
    <col min="1763" max="1763" width="12.81640625" style="229" customWidth="1"/>
    <col min="1764" max="1764" width="14.1796875" style="229" customWidth="1"/>
    <col min="1765" max="1765" width="13.54296875" style="229" customWidth="1"/>
    <col min="1766" max="1955" width="9.1796875" style="229"/>
    <col min="1956" max="1956" width="5.453125" style="229" customWidth="1"/>
    <col min="1957" max="1957" width="54.1796875" style="229" customWidth="1"/>
    <col min="1958" max="1958" width="10.453125" style="229" customWidth="1"/>
    <col min="1959" max="1959" width="10.54296875" style="229" customWidth="1"/>
    <col min="1960" max="1962" width="7.7265625" style="229" customWidth="1"/>
    <col min="1963" max="1963" width="13.1796875" style="229" customWidth="1"/>
    <col min="1964" max="1964" width="11.54296875" style="229" customWidth="1"/>
    <col min="1965" max="1981" width="9.453125" style="229" customWidth="1"/>
    <col min="1982" max="1982" width="10.54296875" style="229" customWidth="1"/>
    <col min="1983" max="1983" width="10" style="229" customWidth="1"/>
    <col min="1984" max="1988" width="9.453125" style="229" customWidth="1"/>
    <col min="1989" max="1989" width="12.7265625" style="229" customWidth="1"/>
    <col min="1990" max="1990" width="10.7265625" style="229" customWidth="1"/>
    <col min="1991" max="1991" width="11.26953125" style="229" customWidth="1"/>
    <col min="1992" max="1994" width="9.81640625" style="229" customWidth="1"/>
    <col min="1995" max="1996" width="12.453125" style="229" customWidth="1"/>
    <col min="1997" max="1997" width="12.81640625" style="229" customWidth="1"/>
    <col min="1998" max="1998" width="10.54296875" style="229" customWidth="1"/>
    <col min="1999" max="1999" width="10" style="229" customWidth="1"/>
    <col min="2000" max="2002" width="10.453125" style="229" customWidth="1"/>
    <col min="2003" max="2003" width="13" style="229" customWidth="1"/>
    <col min="2004" max="2004" width="12.453125" style="229" customWidth="1"/>
    <col min="2005" max="2013" width="13" style="229" customWidth="1"/>
    <col min="2014" max="2014" width="11.26953125" style="229" customWidth="1"/>
    <col min="2015" max="2018" width="10" style="229" customWidth="1"/>
    <col min="2019" max="2019" width="12.81640625" style="229" customWidth="1"/>
    <col min="2020" max="2020" width="14.1796875" style="229" customWidth="1"/>
    <col min="2021" max="2021" width="13.54296875" style="229" customWidth="1"/>
    <col min="2022" max="2211" width="9.1796875" style="229"/>
    <col min="2212" max="2212" width="5.453125" style="229" customWidth="1"/>
    <col min="2213" max="2213" width="54.1796875" style="229" customWidth="1"/>
    <col min="2214" max="2214" width="10.453125" style="229" customWidth="1"/>
    <col min="2215" max="2215" width="10.54296875" style="229" customWidth="1"/>
    <col min="2216" max="2218" width="7.7265625" style="229" customWidth="1"/>
    <col min="2219" max="2219" width="13.1796875" style="229" customWidth="1"/>
    <col min="2220" max="2220" width="11.54296875" style="229" customWidth="1"/>
    <col min="2221" max="2237" width="9.453125" style="229" customWidth="1"/>
    <col min="2238" max="2238" width="10.54296875" style="229" customWidth="1"/>
    <col min="2239" max="2239" width="10" style="229" customWidth="1"/>
    <col min="2240" max="2244" width="9.453125" style="229" customWidth="1"/>
    <col min="2245" max="2245" width="12.7265625" style="229" customWidth="1"/>
    <col min="2246" max="2246" width="10.7265625" style="229" customWidth="1"/>
    <col min="2247" max="2247" width="11.26953125" style="229" customWidth="1"/>
    <col min="2248" max="2250" width="9.81640625" style="229" customWidth="1"/>
    <col min="2251" max="2252" width="12.453125" style="229" customWidth="1"/>
    <col min="2253" max="2253" width="12.81640625" style="229" customWidth="1"/>
    <col min="2254" max="2254" width="10.54296875" style="229" customWidth="1"/>
    <col min="2255" max="2255" width="10" style="229" customWidth="1"/>
    <col min="2256" max="2258" width="10.453125" style="229" customWidth="1"/>
    <col min="2259" max="2259" width="13" style="229" customWidth="1"/>
    <col min="2260" max="2260" width="12.453125" style="229" customWidth="1"/>
    <col min="2261" max="2269" width="13" style="229" customWidth="1"/>
    <col min="2270" max="2270" width="11.26953125" style="229" customWidth="1"/>
    <col min="2271" max="2274" width="10" style="229" customWidth="1"/>
    <col min="2275" max="2275" width="12.81640625" style="229" customWidth="1"/>
    <col min="2276" max="2276" width="14.1796875" style="229" customWidth="1"/>
    <col min="2277" max="2277" width="13.54296875" style="229" customWidth="1"/>
    <col min="2278" max="2467" width="9.1796875" style="229"/>
    <col min="2468" max="2468" width="5.453125" style="229" customWidth="1"/>
    <col min="2469" max="2469" width="54.1796875" style="229" customWidth="1"/>
    <col min="2470" max="2470" width="10.453125" style="229" customWidth="1"/>
    <col min="2471" max="2471" width="10.54296875" style="229" customWidth="1"/>
    <col min="2472" max="2474" width="7.7265625" style="229" customWidth="1"/>
    <col min="2475" max="2475" width="13.1796875" style="229" customWidth="1"/>
    <col min="2476" max="2476" width="11.54296875" style="229" customWidth="1"/>
    <col min="2477" max="2493" width="9.453125" style="229" customWidth="1"/>
    <col min="2494" max="2494" width="10.54296875" style="229" customWidth="1"/>
    <col min="2495" max="2495" width="10" style="229" customWidth="1"/>
    <col min="2496" max="2500" width="9.453125" style="229" customWidth="1"/>
    <col min="2501" max="2501" width="12.7265625" style="229" customWidth="1"/>
    <col min="2502" max="2502" width="10.7265625" style="229" customWidth="1"/>
    <col min="2503" max="2503" width="11.26953125" style="229" customWidth="1"/>
    <col min="2504" max="2506" width="9.81640625" style="229" customWidth="1"/>
    <col min="2507" max="2508" width="12.453125" style="229" customWidth="1"/>
    <col min="2509" max="2509" width="12.81640625" style="229" customWidth="1"/>
    <col min="2510" max="2510" width="10.54296875" style="229" customWidth="1"/>
    <col min="2511" max="2511" width="10" style="229" customWidth="1"/>
    <col min="2512" max="2514" width="10.453125" style="229" customWidth="1"/>
    <col min="2515" max="2515" width="13" style="229" customWidth="1"/>
    <col min="2516" max="2516" width="12.453125" style="229" customWidth="1"/>
    <col min="2517" max="2525" width="13" style="229" customWidth="1"/>
    <col min="2526" max="2526" width="11.26953125" style="229" customWidth="1"/>
    <col min="2527" max="2530" width="10" style="229" customWidth="1"/>
    <col min="2531" max="2531" width="12.81640625" style="229" customWidth="1"/>
    <col min="2532" max="2532" width="14.1796875" style="229" customWidth="1"/>
    <col min="2533" max="2533" width="13.54296875" style="229" customWidth="1"/>
    <col min="2534" max="2723" width="9.1796875" style="229"/>
    <col min="2724" max="2724" width="5.453125" style="229" customWidth="1"/>
    <col min="2725" max="2725" width="54.1796875" style="229" customWidth="1"/>
    <col min="2726" max="2726" width="10.453125" style="229" customWidth="1"/>
    <col min="2727" max="2727" width="10.54296875" style="229" customWidth="1"/>
    <col min="2728" max="2730" width="7.7265625" style="229" customWidth="1"/>
    <col min="2731" max="2731" width="13.1796875" style="229" customWidth="1"/>
    <col min="2732" max="2732" width="11.54296875" style="229" customWidth="1"/>
    <col min="2733" max="2749" width="9.453125" style="229" customWidth="1"/>
    <col min="2750" max="2750" width="10.54296875" style="229" customWidth="1"/>
    <col min="2751" max="2751" width="10" style="229" customWidth="1"/>
    <col min="2752" max="2756" width="9.453125" style="229" customWidth="1"/>
    <col min="2757" max="2757" width="12.7265625" style="229" customWidth="1"/>
    <col min="2758" max="2758" width="10.7265625" style="229" customWidth="1"/>
    <col min="2759" max="2759" width="11.26953125" style="229" customWidth="1"/>
    <col min="2760" max="2762" width="9.81640625" style="229" customWidth="1"/>
    <col min="2763" max="2764" width="12.453125" style="229" customWidth="1"/>
    <col min="2765" max="2765" width="12.81640625" style="229" customWidth="1"/>
    <col min="2766" max="2766" width="10.54296875" style="229" customWidth="1"/>
    <col min="2767" max="2767" width="10" style="229" customWidth="1"/>
    <col min="2768" max="2770" width="10.453125" style="229" customWidth="1"/>
    <col min="2771" max="2771" width="13" style="229" customWidth="1"/>
    <col min="2772" max="2772" width="12.453125" style="229" customWidth="1"/>
    <col min="2773" max="2781" width="13" style="229" customWidth="1"/>
    <col min="2782" max="2782" width="11.26953125" style="229" customWidth="1"/>
    <col min="2783" max="2786" width="10" style="229" customWidth="1"/>
    <col min="2787" max="2787" width="12.81640625" style="229" customWidth="1"/>
    <col min="2788" max="2788" width="14.1796875" style="229" customWidth="1"/>
    <col min="2789" max="2789" width="13.54296875" style="229" customWidth="1"/>
    <col min="2790" max="2979" width="9.1796875" style="229"/>
    <col min="2980" max="2980" width="5.453125" style="229" customWidth="1"/>
    <col min="2981" max="2981" width="54.1796875" style="229" customWidth="1"/>
    <col min="2982" max="2982" width="10.453125" style="229" customWidth="1"/>
    <col min="2983" max="2983" width="10.54296875" style="229" customWidth="1"/>
    <col min="2984" max="2986" width="7.7265625" style="229" customWidth="1"/>
    <col min="2987" max="2987" width="13.1796875" style="229" customWidth="1"/>
    <col min="2988" max="2988" width="11.54296875" style="229" customWidth="1"/>
    <col min="2989" max="3005" width="9.453125" style="229" customWidth="1"/>
    <col min="3006" max="3006" width="10.54296875" style="229" customWidth="1"/>
    <col min="3007" max="3007" width="10" style="229" customWidth="1"/>
    <col min="3008" max="3012" width="9.453125" style="229" customWidth="1"/>
    <col min="3013" max="3013" width="12.7265625" style="229" customWidth="1"/>
    <col min="3014" max="3014" width="10.7265625" style="229" customWidth="1"/>
    <col min="3015" max="3015" width="11.26953125" style="229" customWidth="1"/>
    <col min="3016" max="3018" width="9.81640625" style="229" customWidth="1"/>
    <col min="3019" max="3020" width="12.453125" style="229" customWidth="1"/>
    <col min="3021" max="3021" width="12.81640625" style="229" customWidth="1"/>
    <col min="3022" max="3022" width="10.54296875" style="229" customWidth="1"/>
    <col min="3023" max="3023" width="10" style="229" customWidth="1"/>
    <col min="3024" max="3026" width="10.453125" style="229" customWidth="1"/>
    <col min="3027" max="3027" width="13" style="229" customWidth="1"/>
    <col min="3028" max="3028" width="12.453125" style="229" customWidth="1"/>
    <col min="3029" max="3037" width="13" style="229" customWidth="1"/>
    <col min="3038" max="3038" width="11.26953125" style="229" customWidth="1"/>
    <col min="3039" max="3042" width="10" style="229" customWidth="1"/>
    <col min="3043" max="3043" width="12.81640625" style="229" customWidth="1"/>
    <col min="3044" max="3044" width="14.1796875" style="229" customWidth="1"/>
    <col min="3045" max="3045" width="13.54296875" style="229" customWidth="1"/>
    <col min="3046" max="3235" width="9.1796875" style="229"/>
    <col min="3236" max="3236" width="5.453125" style="229" customWidth="1"/>
    <col min="3237" max="3237" width="54.1796875" style="229" customWidth="1"/>
    <col min="3238" max="3238" width="10.453125" style="229" customWidth="1"/>
    <col min="3239" max="3239" width="10.54296875" style="229" customWidth="1"/>
    <col min="3240" max="3242" width="7.7265625" style="229" customWidth="1"/>
    <col min="3243" max="3243" width="13.1796875" style="229" customWidth="1"/>
    <col min="3244" max="3244" width="11.54296875" style="229" customWidth="1"/>
    <col min="3245" max="3261" width="9.453125" style="229" customWidth="1"/>
    <col min="3262" max="3262" width="10.54296875" style="229" customWidth="1"/>
    <col min="3263" max="3263" width="10" style="229" customWidth="1"/>
    <col min="3264" max="3268" width="9.453125" style="229" customWidth="1"/>
    <col min="3269" max="3269" width="12.7265625" style="229" customWidth="1"/>
    <col min="3270" max="3270" width="10.7265625" style="229" customWidth="1"/>
    <col min="3271" max="3271" width="11.26953125" style="229" customWidth="1"/>
    <col min="3272" max="3274" width="9.81640625" style="229" customWidth="1"/>
    <col min="3275" max="3276" width="12.453125" style="229" customWidth="1"/>
    <col min="3277" max="3277" width="12.81640625" style="229" customWidth="1"/>
    <col min="3278" max="3278" width="10.54296875" style="229" customWidth="1"/>
    <col min="3279" max="3279" width="10" style="229" customWidth="1"/>
    <col min="3280" max="3282" width="10.453125" style="229" customWidth="1"/>
    <col min="3283" max="3283" width="13" style="229" customWidth="1"/>
    <col min="3284" max="3284" width="12.453125" style="229" customWidth="1"/>
    <col min="3285" max="3293" width="13" style="229" customWidth="1"/>
    <col min="3294" max="3294" width="11.26953125" style="229" customWidth="1"/>
    <col min="3295" max="3298" width="10" style="229" customWidth="1"/>
    <col min="3299" max="3299" width="12.81640625" style="229" customWidth="1"/>
    <col min="3300" max="3300" width="14.1796875" style="229" customWidth="1"/>
    <col min="3301" max="3301" width="13.54296875" style="229" customWidth="1"/>
    <col min="3302" max="3491" width="9.1796875" style="229"/>
    <col min="3492" max="3492" width="5.453125" style="229" customWidth="1"/>
    <col min="3493" max="3493" width="54.1796875" style="229" customWidth="1"/>
    <col min="3494" max="3494" width="10.453125" style="229" customWidth="1"/>
    <col min="3495" max="3495" width="10.54296875" style="229" customWidth="1"/>
    <col min="3496" max="3498" width="7.7265625" style="229" customWidth="1"/>
    <col min="3499" max="3499" width="13.1796875" style="229" customWidth="1"/>
    <col min="3500" max="3500" width="11.54296875" style="229" customWidth="1"/>
    <col min="3501" max="3517" width="9.453125" style="229" customWidth="1"/>
    <col min="3518" max="3518" width="10.54296875" style="229" customWidth="1"/>
    <col min="3519" max="3519" width="10" style="229" customWidth="1"/>
    <col min="3520" max="3524" width="9.453125" style="229" customWidth="1"/>
    <col min="3525" max="3525" width="12.7265625" style="229" customWidth="1"/>
    <col min="3526" max="3526" width="10.7265625" style="229" customWidth="1"/>
    <col min="3527" max="3527" width="11.26953125" style="229" customWidth="1"/>
    <col min="3528" max="3530" width="9.81640625" style="229" customWidth="1"/>
    <col min="3531" max="3532" width="12.453125" style="229" customWidth="1"/>
    <col min="3533" max="3533" width="12.81640625" style="229" customWidth="1"/>
    <col min="3534" max="3534" width="10.54296875" style="229" customWidth="1"/>
    <col min="3535" max="3535" width="10" style="229" customWidth="1"/>
    <col min="3536" max="3538" width="10.453125" style="229" customWidth="1"/>
    <col min="3539" max="3539" width="13" style="229" customWidth="1"/>
    <col min="3540" max="3540" width="12.453125" style="229" customWidth="1"/>
    <col min="3541" max="3549" width="13" style="229" customWidth="1"/>
    <col min="3550" max="3550" width="11.26953125" style="229" customWidth="1"/>
    <col min="3551" max="3554" width="10" style="229" customWidth="1"/>
    <col min="3555" max="3555" width="12.81640625" style="229" customWidth="1"/>
    <col min="3556" max="3556" width="14.1796875" style="229" customWidth="1"/>
    <col min="3557" max="3557" width="13.54296875" style="229" customWidth="1"/>
    <col min="3558" max="3747" width="9.1796875" style="229"/>
    <col min="3748" max="3748" width="5.453125" style="229" customWidth="1"/>
    <col min="3749" max="3749" width="54.1796875" style="229" customWidth="1"/>
    <col min="3750" max="3750" width="10.453125" style="229" customWidth="1"/>
    <col min="3751" max="3751" width="10.54296875" style="229" customWidth="1"/>
    <col min="3752" max="3754" width="7.7265625" style="229" customWidth="1"/>
    <col min="3755" max="3755" width="13.1796875" style="229" customWidth="1"/>
    <col min="3756" max="3756" width="11.54296875" style="229" customWidth="1"/>
    <col min="3757" max="3773" width="9.453125" style="229" customWidth="1"/>
    <col min="3774" max="3774" width="10.54296875" style="229" customWidth="1"/>
    <col min="3775" max="3775" width="10" style="229" customWidth="1"/>
    <col min="3776" max="3780" width="9.453125" style="229" customWidth="1"/>
    <col min="3781" max="3781" width="12.7265625" style="229" customWidth="1"/>
    <col min="3782" max="3782" width="10.7265625" style="229" customWidth="1"/>
    <col min="3783" max="3783" width="11.26953125" style="229" customWidth="1"/>
    <col min="3784" max="3786" width="9.81640625" style="229" customWidth="1"/>
    <col min="3787" max="3788" width="12.453125" style="229" customWidth="1"/>
    <col min="3789" max="3789" width="12.81640625" style="229" customWidth="1"/>
    <col min="3790" max="3790" width="10.54296875" style="229" customWidth="1"/>
    <col min="3791" max="3791" width="10" style="229" customWidth="1"/>
    <col min="3792" max="3794" width="10.453125" style="229" customWidth="1"/>
    <col min="3795" max="3795" width="13" style="229" customWidth="1"/>
    <col min="3796" max="3796" width="12.453125" style="229" customWidth="1"/>
    <col min="3797" max="3805" width="13" style="229" customWidth="1"/>
    <col min="3806" max="3806" width="11.26953125" style="229" customWidth="1"/>
    <col min="3807" max="3810" width="10" style="229" customWidth="1"/>
    <col min="3811" max="3811" width="12.81640625" style="229" customWidth="1"/>
    <col min="3812" max="3812" width="14.1796875" style="229" customWidth="1"/>
    <col min="3813" max="3813" width="13.54296875" style="229" customWidth="1"/>
    <col min="3814" max="4003" width="9.1796875" style="229"/>
    <col min="4004" max="4004" width="5.453125" style="229" customWidth="1"/>
    <col min="4005" max="4005" width="54.1796875" style="229" customWidth="1"/>
    <col min="4006" max="4006" width="10.453125" style="229" customWidth="1"/>
    <col min="4007" max="4007" width="10.54296875" style="229" customWidth="1"/>
    <col min="4008" max="4010" width="7.7265625" style="229" customWidth="1"/>
    <col min="4011" max="4011" width="13.1796875" style="229" customWidth="1"/>
    <col min="4012" max="4012" width="11.54296875" style="229" customWidth="1"/>
    <col min="4013" max="4029" width="9.453125" style="229" customWidth="1"/>
    <col min="4030" max="4030" width="10.54296875" style="229" customWidth="1"/>
    <col min="4031" max="4031" width="10" style="229" customWidth="1"/>
    <col min="4032" max="4036" width="9.453125" style="229" customWidth="1"/>
    <col min="4037" max="4037" width="12.7265625" style="229" customWidth="1"/>
    <col min="4038" max="4038" width="10.7265625" style="229" customWidth="1"/>
    <col min="4039" max="4039" width="11.26953125" style="229" customWidth="1"/>
    <col min="4040" max="4042" width="9.81640625" style="229" customWidth="1"/>
    <col min="4043" max="4044" width="12.453125" style="229" customWidth="1"/>
    <col min="4045" max="4045" width="12.81640625" style="229" customWidth="1"/>
    <col min="4046" max="4046" width="10.54296875" style="229" customWidth="1"/>
    <col min="4047" max="4047" width="10" style="229" customWidth="1"/>
    <col min="4048" max="4050" width="10.453125" style="229" customWidth="1"/>
    <col min="4051" max="4051" width="13" style="229" customWidth="1"/>
    <col min="4052" max="4052" width="12.453125" style="229" customWidth="1"/>
    <col min="4053" max="4061" width="13" style="229" customWidth="1"/>
    <col min="4062" max="4062" width="11.26953125" style="229" customWidth="1"/>
    <col min="4063" max="4066" width="10" style="229" customWidth="1"/>
    <col min="4067" max="4067" width="12.81640625" style="229" customWidth="1"/>
    <col min="4068" max="4068" width="14.1796875" style="229" customWidth="1"/>
    <col min="4069" max="4069" width="13.54296875" style="229" customWidth="1"/>
    <col min="4070" max="4259" width="9.1796875" style="229"/>
    <col min="4260" max="4260" width="5.453125" style="229" customWidth="1"/>
    <col min="4261" max="4261" width="54.1796875" style="229" customWidth="1"/>
    <col min="4262" max="4262" width="10.453125" style="229" customWidth="1"/>
    <col min="4263" max="4263" width="10.54296875" style="229" customWidth="1"/>
    <col min="4264" max="4266" width="7.7265625" style="229" customWidth="1"/>
    <col min="4267" max="4267" width="13.1796875" style="229" customWidth="1"/>
    <col min="4268" max="4268" width="11.54296875" style="229" customWidth="1"/>
    <col min="4269" max="4285" width="9.453125" style="229" customWidth="1"/>
    <col min="4286" max="4286" width="10.54296875" style="229" customWidth="1"/>
    <col min="4287" max="4287" width="10" style="229" customWidth="1"/>
    <col min="4288" max="4292" width="9.453125" style="229" customWidth="1"/>
    <col min="4293" max="4293" width="12.7265625" style="229" customWidth="1"/>
    <col min="4294" max="4294" width="10.7265625" style="229" customWidth="1"/>
    <col min="4295" max="4295" width="11.26953125" style="229" customWidth="1"/>
    <col min="4296" max="4298" width="9.81640625" style="229" customWidth="1"/>
    <col min="4299" max="4300" width="12.453125" style="229" customWidth="1"/>
    <col min="4301" max="4301" width="12.81640625" style="229" customWidth="1"/>
    <col min="4302" max="4302" width="10.54296875" style="229" customWidth="1"/>
    <col min="4303" max="4303" width="10" style="229" customWidth="1"/>
    <col min="4304" max="4306" width="10.453125" style="229" customWidth="1"/>
    <col min="4307" max="4307" width="13" style="229" customWidth="1"/>
    <col min="4308" max="4308" width="12.453125" style="229" customWidth="1"/>
    <col min="4309" max="4317" width="13" style="229" customWidth="1"/>
    <col min="4318" max="4318" width="11.26953125" style="229" customWidth="1"/>
    <col min="4319" max="4322" width="10" style="229" customWidth="1"/>
    <col min="4323" max="4323" width="12.81640625" style="229" customWidth="1"/>
    <col min="4324" max="4324" width="14.1796875" style="229" customWidth="1"/>
    <col min="4325" max="4325" width="13.54296875" style="229" customWidth="1"/>
    <col min="4326" max="4515" width="9.1796875" style="229"/>
    <col min="4516" max="4516" width="5.453125" style="229" customWidth="1"/>
    <col min="4517" max="4517" width="54.1796875" style="229" customWidth="1"/>
    <col min="4518" max="4518" width="10.453125" style="229" customWidth="1"/>
    <col min="4519" max="4519" width="10.54296875" style="229" customWidth="1"/>
    <col min="4520" max="4522" width="7.7265625" style="229" customWidth="1"/>
    <col min="4523" max="4523" width="13.1796875" style="229" customWidth="1"/>
    <col min="4524" max="4524" width="11.54296875" style="229" customWidth="1"/>
    <col min="4525" max="4541" width="9.453125" style="229" customWidth="1"/>
    <col min="4542" max="4542" width="10.54296875" style="229" customWidth="1"/>
    <col min="4543" max="4543" width="10" style="229" customWidth="1"/>
    <col min="4544" max="4548" width="9.453125" style="229" customWidth="1"/>
    <col min="4549" max="4549" width="12.7265625" style="229" customWidth="1"/>
    <col min="4550" max="4550" width="10.7265625" style="229" customWidth="1"/>
    <col min="4551" max="4551" width="11.26953125" style="229" customWidth="1"/>
    <col min="4552" max="4554" width="9.81640625" style="229" customWidth="1"/>
    <col min="4555" max="4556" width="12.453125" style="229" customWidth="1"/>
    <col min="4557" max="4557" width="12.81640625" style="229" customWidth="1"/>
    <col min="4558" max="4558" width="10.54296875" style="229" customWidth="1"/>
    <col min="4559" max="4559" width="10" style="229" customWidth="1"/>
    <col min="4560" max="4562" width="10.453125" style="229" customWidth="1"/>
    <col min="4563" max="4563" width="13" style="229" customWidth="1"/>
    <col min="4564" max="4564" width="12.453125" style="229" customWidth="1"/>
    <col min="4565" max="4573" width="13" style="229" customWidth="1"/>
    <col min="4574" max="4574" width="11.26953125" style="229" customWidth="1"/>
    <col min="4575" max="4578" width="10" style="229" customWidth="1"/>
    <col min="4579" max="4579" width="12.81640625" style="229" customWidth="1"/>
    <col min="4580" max="4580" width="14.1796875" style="229" customWidth="1"/>
    <col min="4581" max="4581" width="13.54296875" style="229" customWidth="1"/>
    <col min="4582" max="4771" width="9.1796875" style="229"/>
    <col min="4772" max="4772" width="5.453125" style="229" customWidth="1"/>
    <col min="4773" max="4773" width="54.1796875" style="229" customWidth="1"/>
    <col min="4774" max="4774" width="10.453125" style="229" customWidth="1"/>
    <col min="4775" max="4775" width="10.54296875" style="229" customWidth="1"/>
    <col min="4776" max="4778" width="7.7265625" style="229" customWidth="1"/>
    <col min="4779" max="4779" width="13.1796875" style="229" customWidth="1"/>
    <col min="4780" max="4780" width="11.54296875" style="229" customWidth="1"/>
    <col min="4781" max="4797" width="9.453125" style="229" customWidth="1"/>
    <col min="4798" max="4798" width="10.54296875" style="229" customWidth="1"/>
    <col min="4799" max="4799" width="10" style="229" customWidth="1"/>
    <col min="4800" max="4804" width="9.453125" style="229" customWidth="1"/>
    <col min="4805" max="4805" width="12.7265625" style="229" customWidth="1"/>
    <col min="4806" max="4806" width="10.7265625" style="229" customWidth="1"/>
    <col min="4807" max="4807" width="11.26953125" style="229" customWidth="1"/>
    <col min="4808" max="4810" width="9.81640625" style="229" customWidth="1"/>
    <col min="4811" max="4812" width="12.453125" style="229" customWidth="1"/>
    <col min="4813" max="4813" width="12.81640625" style="229" customWidth="1"/>
    <col min="4814" max="4814" width="10.54296875" style="229" customWidth="1"/>
    <col min="4815" max="4815" width="10" style="229" customWidth="1"/>
    <col min="4816" max="4818" width="10.453125" style="229" customWidth="1"/>
    <col min="4819" max="4819" width="13" style="229" customWidth="1"/>
    <col min="4820" max="4820" width="12.453125" style="229" customWidth="1"/>
    <col min="4821" max="4829" width="13" style="229" customWidth="1"/>
    <col min="4830" max="4830" width="11.26953125" style="229" customWidth="1"/>
    <col min="4831" max="4834" width="10" style="229" customWidth="1"/>
    <col min="4835" max="4835" width="12.81640625" style="229" customWidth="1"/>
    <col min="4836" max="4836" width="14.1796875" style="229" customWidth="1"/>
    <col min="4837" max="4837" width="13.54296875" style="229" customWidth="1"/>
    <col min="4838" max="5027" width="9.1796875" style="229"/>
    <col min="5028" max="5028" width="5.453125" style="229" customWidth="1"/>
    <col min="5029" max="5029" width="54.1796875" style="229" customWidth="1"/>
    <col min="5030" max="5030" width="10.453125" style="229" customWidth="1"/>
    <col min="5031" max="5031" width="10.54296875" style="229" customWidth="1"/>
    <col min="5032" max="5034" width="7.7265625" style="229" customWidth="1"/>
    <col min="5035" max="5035" width="13.1796875" style="229" customWidth="1"/>
    <col min="5036" max="5036" width="11.54296875" style="229" customWidth="1"/>
    <col min="5037" max="5053" width="9.453125" style="229" customWidth="1"/>
    <col min="5054" max="5054" width="10.54296875" style="229" customWidth="1"/>
    <col min="5055" max="5055" width="10" style="229" customWidth="1"/>
    <col min="5056" max="5060" width="9.453125" style="229" customWidth="1"/>
    <col min="5061" max="5061" width="12.7265625" style="229" customWidth="1"/>
    <col min="5062" max="5062" width="10.7265625" style="229" customWidth="1"/>
    <col min="5063" max="5063" width="11.26953125" style="229" customWidth="1"/>
    <col min="5064" max="5066" width="9.81640625" style="229" customWidth="1"/>
    <col min="5067" max="5068" width="12.453125" style="229" customWidth="1"/>
    <col min="5069" max="5069" width="12.81640625" style="229" customWidth="1"/>
    <col min="5070" max="5070" width="10.54296875" style="229" customWidth="1"/>
    <col min="5071" max="5071" width="10" style="229" customWidth="1"/>
    <col min="5072" max="5074" width="10.453125" style="229" customWidth="1"/>
    <col min="5075" max="5075" width="13" style="229" customWidth="1"/>
    <col min="5076" max="5076" width="12.453125" style="229" customWidth="1"/>
    <col min="5077" max="5085" width="13" style="229" customWidth="1"/>
    <col min="5086" max="5086" width="11.26953125" style="229" customWidth="1"/>
    <col min="5087" max="5090" width="10" style="229" customWidth="1"/>
    <col min="5091" max="5091" width="12.81640625" style="229" customWidth="1"/>
    <col min="5092" max="5092" width="14.1796875" style="229" customWidth="1"/>
    <col min="5093" max="5093" width="13.54296875" style="229" customWidth="1"/>
    <col min="5094" max="5283" width="9.1796875" style="229"/>
    <col min="5284" max="5284" width="5.453125" style="229" customWidth="1"/>
    <col min="5285" max="5285" width="54.1796875" style="229" customWidth="1"/>
    <col min="5286" max="5286" width="10.453125" style="229" customWidth="1"/>
    <col min="5287" max="5287" width="10.54296875" style="229" customWidth="1"/>
    <col min="5288" max="5290" width="7.7265625" style="229" customWidth="1"/>
    <col min="5291" max="5291" width="13.1796875" style="229" customWidth="1"/>
    <col min="5292" max="5292" width="11.54296875" style="229" customWidth="1"/>
    <col min="5293" max="5309" width="9.453125" style="229" customWidth="1"/>
    <col min="5310" max="5310" width="10.54296875" style="229" customWidth="1"/>
    <col min="5311" max="5311" width="10" style="229" customWidth="1"/>
    <col min="5312" max="5316" width="9.453125" style="229" customWidth="1"/>
    <col min="5317" max="5317" width="12.7265625" style="229" customWidth="1"/>
    <col min="5318" max="5318" width="10.7265625" style="229" customWidth="1"/>
    <col min="5319" max="5319" width="11.26953125" style="229" customWidth="1"/>
    <col min="5320" max="5322" width="9.81640625" style="229" customWidth="1"/>
    <col min="5323" max="5324" width="12.453125" style="229" customWidth="1"/>
    <col min="5325" max="5325" width="12.81640625" style="229" customWidth="1"/>
    <col min="5326" max="5326" width="10.54296875" style="229" customWidth="1"/>
    <col min="5327" max="5327" width="10" style="229" customWidth="1"/>
    <col min="5328" max="5330" width="10.453125" style="229" customWidth="1"/>
    <col min="5331" max="5331" width="13" style="229" customWidth="1"/>
    <col min="5332" max="5332" width="12.453125" style="229" customWidth="1"/>
    <col min="5333" max="5341" width="13" style="229" customWidth="1"/>
    <col min="5342" max="5342" width="11.26953125" style="229" customWidth="1"/>
    <col min="5343" max="5346" width="10" style="229" customWidth="1"/>
    <col min="5347" max="5347" width="12.81640625" style="229" customWidth="1"/>
    <col min="5348" max="5348" width="14.1796875" style="229" customWidth="1"/>
    <col min="5349" max="5349" width="13.54296875" style="229" customWidth="1"/>
    <col min="5350" max="5539" width="9.1796875" style="229"/>
    <col min="5540" max="5540" width="5.453125" style="229" customWidth="1"/>
    <col min="5541" max="5541" width="54.1796875" style="229" customWidth="1"/>
    <col min="5542" max="5542" width="10.453125" style="229" customWidth="1"/>
    <col min="5543" max="5543" width="10.54296875" style="229" customWidth="1"/>
    <col min="5544" max="5546" width="7.7265625" style="229" customWidth="1"/>
    <col min="5547" max="5547" width="13.1796875" style="229" customWidth="1"/>
    <col min="5548" max="5548" width="11.54296875" style="229" customWidth="1"/>
    <col min="5549" max="5565" width="9.453125" style="229" customWidth="1"/>
    <col min="5566" max="5566" width="10.54296875" style="229" customWidth="1"/>
    <col min="5567" max="5567" width="10" style="229" customWidth="1"/>
    <col min="5568" max="5572" width="9.453125" style="229" customWidth="1"/>
    <col min="5573" max="5573" width="12.7265625" style="229" customWidth="1"/>
    <col min="5574" max="5574" width="10.7265625" style="229" customWidth="1"/>
    <col min="5575" max="5575" width="11.26953125" style="229" customWidth="1"/>
    <col min="5576" max="5578" width="9.81640625" style="229" customWidth="1"/>
    <col min="5579" max="5580" width="12.453125" style="229" customWidth="1"/>
    <col min="5581" max="5581" width="12.81640625" style="229" customWidth="1"/>
    <col min="5582" max="5582" width="10.54296875" style="229" customWidth="1"/>
    <col min="5583" max="5583" width="10" style="229" customWidth="1"/>
    <col min="5584" max="5586" width="10.453125" style="229" customWidth="1"/>
    <col min="5587" max="5587" width="13" style="229" customWidth="1"/>
    <col min="5588" max="5588" width="12.453125" style="229" customWidth="1"/>
    <col min="5589" max="5597" width="13" style="229" customWidth="1"/>
    <col min="5598" max="5598" width="11.26953125" style="229" customWidth="1"/>
    <col min="5599" max="5602" width="10" style="229" customWidth="1"/>
    <col min="5603" max="5603" width="12.81640625" style="229" customWidth="1"/>
    <col min="5604" max="5604" width="14.1796875" style="229" customWidth="1"/>
    <col min="5605" max="5605" width="13.54296875" style="229" customWidth="1"/>
    <col min="5606" max="5795" width="9.1796875" style="229"/>
    <col min="5796" max="5796" width="5.453125" style="229" customWidth="1"/>
    <col min="5797" max="5797" width="54.1796875" style="229" customWidth="1"/>
    <col min="5798" max="5798" width="10.453125" style="229" customWidth="1"/>
    <col min="5799" max="5799" width="10.54296875" style="229" customWidth="1"/>
    <col min="5800" max="5802" width="7.7265625" style="229" customWidth="1"/>
    <col min="5803" max="5803" width="13.1796875" style="229" customWidth="1"/>
    <col min="5804" max="5804" width="11.54296875" style="229" customWidth="1"/>
    <col min="5805" max="5821" width="9.453125" style="229" customWidth="1"/>
    <col min="5822" max="5822" width="10.54296875" style="229" customWidth="1"/>
    <col min="5823" max="5823" width="10" style="229" customWidth="1"/>
    <col min="5824" max="5828" width="9.453125" style="229" customWidth="1"/>
    <col min="5829" max="5829" width="12.7265625" style="229" customWidth="1"/>
    <col min="5830" max="5830" width="10.7265625" style="229" customWidth="1"/>
    <col min="5831" max="5831" width="11.26953125" style="229" customWidth="1"/>
    <col min="5832" max="5834" width="9.81640625" style="229" customWidth="1"/>
    <col min="5835" max="5836" width="12.453125" style="229" customWidth="1"/>
    <col min="5837" max="5837" width="12.81640625" style="229" customWidth="1"/>
    <col min="5838" max="5838" width="10.54296875" style="229" customWidth="1"/>
    <col min="5839" max="5839" width="10" style="229" customWidth="1"/>
    <col min="5840" max="5842" width="10.453125" style="229" customWidth="1"/>
    <col min="5843" max="5843" width="13" style="229" customWidth="1"/>
    <col min="5844" max="5844" width="12.453125" style="229" customWidth="1"/>
    <col min="5845" max="5853" width="13" style="229" customWidth="1"/>
    <col min="5854" max="5854" width="11.26953125" style="229" customWidth="1"/>
    <col min="5855" max="5858" width="10" style="229" customWidth="1"/>
    <col min="5859" max="5859" width="12.81640625" style="229" customWidth="1"/>
    <col min="5860" max="5860" width="14.1796875" style="229" customWidth="1"/>
    <col min="5861" max="5861" width="13.54296875" style="229" customWidth="1"/>
    <col min="5862" max="6051" width="9.1796875" style="229"/>
    <col min="6052" max="6052" width="5.453125" style="229" customWidth="1"/>
    <col min="6053" max="6053" width="54.1796875" style="229" customWidth="1"/>
    <col min="6054" max="6054" width="10.453125" style="229" customWidth="1"/>
    <col min="6055" max="6055" width="10.54296875" style="229" customWidth="1"/>
    <col min="6056" max="6058" width="7.7265625" style="229" customWidth="1"/>
    <col min="6059" max="6059" width="13.1796875" style="229" customWidth="1"/>
    <col min="6060" max="6060" width="11.54296875" style="229" customWidth="1"/>
    <col min="6061" max="6077" width="9.453125" style="229" customWidth="1"/>
    <col min="6078" max="6078" width="10.54296875" style="229" customWidth="1"/>
    <col min="6079" max="6079" width="10" style="229" customWidth="1"/>
    <col min="6080" max="6084" width="9.453125" style="229" customWidth="1"/>
    <col min="6085" max="6085" width="12.7265625" style="229" customWidth="1"/>
    <col min="6086" max="6086" width="10.7265625" style="229" customWidth="1"/>
    <col min="6087" max="6087" width="11.26953125" style="229" customWidth="1"/>
    <col min="6088" max="6090" width="9.81640625" style="229" customWidth="1"/>
    <col min="6091" max="6092" width="12.453125" style="229" customWidth="1"/>
    <col min="6093" max="6093" width="12.81640625" style="229" customWidth="1"/>
    <col min="6094" max="6094" width="10.54296875" style="229" customWidth="1"/>
    <col min="6095" max="6095" width="10" style="229" customWidth="1"/>
    <col min="6096" max="6098" width="10.453125" style="229" customWidth="1"/>
    <col min="6099" max="6099" width="13" style="229" customWidth="1"/>
    <col min="6100" max="6100" width="12.453125" style="229" customWidth="1"/>
    <col min="6101" max="6109" width="13" style="229" customWidth="1"/>
    <col min="6110" max="6110" width="11.26953125" style="229" customWidth="1"/>
    <col min="6111" max="6114" width="10" style="229" customWidth="1"/>
    <col min="6115" max="6115" width="12.81640625" style="229" customWidth="1"/>
    <col min="6116" max="6116" width="14.1796875" style="229" customWidth="1"/>
    <col min="6117" max="6117" width="13.54296875" style="229" customWidth="1"/>
    <col min="6118" max="6307" width="9.1796875" style="229"/>
    <col min="6308" max="6308" width="5.453125" style="229" customWidth="1"/>
    <col min="6309" max="6309" width="54.1796875" style="229" customWidth="1"/>
    <col min="6310" max="6310" width="10.453125" style="229" customWidth="1"/>
    <col min="6311" max="6311" width="10.54296875" style="229" customWidth="1"/>
    <col min="6312" max="6314" width="7.7265625" style="229" customWidth="1"/>
    <col min="6315" max="6315" width="13.1796875" style="229" customWidth="1"/>
    <col min="6316" max="6316" width="11.54296875" style="229" customWidth="1"/>
    <col min="6317" max="6333" width="9.453125" style="229" customWidth="1"/>
    <col min="6334" max="6334" width="10.54296875" style="229" customWidth="1"/>
    <col min="6335" max="6335" width="10" style="229" customWidth="1"/>
    <col min="6336" max="6340" width="9.453125" style="229" customWidth="1"/>
    <col min="6341" max="6341" width="12.7265625" style="229" customWidth="1"/>
    <col min="6342" max="6342" width="10.7265625" style="229" customWidth="1"/>
    <col min="6343" max="6343" width="11.26953125" style="229" customWidth="1"/>
    <col min="6344" max="6346" width="9.81640625" style="229" customWidth="1"/>
    <col min="6347" max="6348" width="12.453125" style="229" customWidth="1"/>
    <col min="6349" max="6349" width="12.81640625" style="229" customWidth="1"/>
    <col min="6350" max="6350" width="10.54296875" style="229" customWidth="1"/>
    <col min="6351" max="6351" width="10" style="229" customWidth="1"/>
    <col min="6352" max="6354" width="10.453125" style="229" customWidth="1"/>
    <col min="6355" max="6355" width="13" style="229" customWidth="1"/>
    <col min="6356" max="6356" width="12.453125" style="229" customWidth="1"/>
    <col min="6357" max="6365" width="13" style="229" customWidth="1"/>
    <col min="6366" max="6366" width="11.26953125" style="229" customWidth="1"/>
    <col min="6367" max="6370" width="10" style="229" customWidth="1"/>
    <col min="6371" max="6371" width="12.81640625" style="229" customWidth="1"/>
    <col min="6372" max="6372" width="14.1796875" style="229" customWidth="1"/>
    <col min="6373" max="6373" width="13.54296875" style="229" customWidth="1"/>
    <col min="6374" max="6563" width="9.1796875" style="229"/>
    <col min="6564" max="6564" width="5.453125" style="229" customWidth="1"/>
    <col min="6565" max="6565" width="54.1796875" style="229" customWidth="1"/>
    <col min="6566" max="6566" width="10.453125" style="229" customWidth="1"/>
    <col min="6567" max="6567" width="10.54296875" style="229" customWidth="1"/>
    <col min="6568" max="6570" width="7.7265625" style="229" customWidth="1"/>
    <col min="6571" max="6571" width="13.1796875" style="229" customWidth="1"/>
    <col min="6572" max="6572" width="11.54296875" style="229" customWidth="1"/>
    <col min="6573" max="6589" width="9.453125" style="229" customWidth="1"/>
    <col min="6590" max="6590" width="10.54296875" style="229" customWidth="1"/>
    <col min="6591" max="6591" width="10" style="229" customWidth="1"/>
    <col min="6592" max="6596" width="9.453125" style="229" customWidth="1"/>
    <col min="6597" max="6597" width="12.7265625" style="229" customWidth="1"/>
    <col min="6598" max="6598" width="10.7265625" style="229" customWidth="1"/>
    <col min="6599" max="6599" width="11.26953125" style="229" customWidth="1"/>
    <col min="6600" max="6602" width="9.81640625" style="229" customWidth="1"/>
    <col min="6603" max="6604" width="12.453125" style="229" customWidth="1"/>
    <col min="6605" max="6605" width="12.81640625" style="229" customWidth="1"/>
    <col min="6606" max="6606" width="10.54296875" style="229" customWidth="1"/>
    <col min="6607" max="6607" width="10" style="229" customWidth="1"/>
    <col min="6608" max="6610" width="10.453125" style="229" customWidth="1"/>
    <col min="6611" max="6611" width="13" style="229" customWidth="1"/>
    <col min="6612" max="6612" width="12.453125" style="229" customWidth="1"/>
    <col min="6613" max="6621" width="13" style="229" customWidth="1"/>
    <col min="6622" max="6622" width="11.26953125" style="229" customWidth="1"/>
    <col min="6623" max="6626" width="10" style="229" customWidth="1"/>
    <col min="6627" max="6627" width="12.81640625" style="229" customWidth="1"/>
    <col min="6628" max="6628" width="14.1796875" style="229" customWidth="1"/>
    <col min="6629" max="6629" width="13.54296875" style="229" customWidth="1"/>
    <col min="6630" max="6819" width="9.1796875" style="229"/>
    <col min="6820" max="6820" width="5.453125" style="229" customWidth="1"/>
    <col min="6821" max="6821" width="54.1796875" style="229" customWidth="1"/>
    <col min="6822" max="6822" width="10.453125" style="229" customWidth="1"/>
    <col min="6823" max="6823" width="10.54296875" style="229" customWidth="1"/>
    <col min="6824" max="6826" width="7.7265625" style="229" customWidth="1"/>
    <col min="6827" max="6827" width="13.1796875" style="229" customWidth="1"/>
    <col min="6828" max="6828" width="11.54296875" style="229" customWidth="1"/>
    <col min="6829" max="6845" width="9.453125" style="229" customWidth="1"/>
    <col min="6846" max="6846" width="10.54296875" style="229" customWidth="1"/>
    <col min="6847" max="6847" width="10" style="229" customWidth="1"/>
    <col min="6848" max="6852" width="9.453125" style="229" customWidth="1"/>
    <col min="6853" max="6853" width="12.7265625" style="229" customWidth="1"/>
    <col min="6854" max="6854" width="10.7265625" style="229" customWidth="1"/>
    <col min="6855" max="6855" width="11.26953125" style="229" customWidth="1"/>
    <col min="6856" max="6858" width="9.81640625" style="229" customWidth="1"/>
    <col min="6859" max="6860" width="12.453125" style="229" customWidth="1"/>
    <col min="6861" max="6861" width="12.81640625" style="229" customWidth="1"/>
    <col min="6862" max="6862" width="10.54296875" style="229" customWidth="1"/>
    <col min="6863" max="6863" width="10" style="229" customWidth="1"/>
    <col min="6864" max="6866" width="10.453125" style="229" customWidth="1"/>
    <col min="6867" max="6867" width="13" style="229" customWidth="1"/>
    <col min="6868" max="6868" width="12.453125" style="229" customWidth="1"/>
    <col min="6869" max="6877" width="13" style="229" customWidth="1"/>
    <col min="6878" max="6878" width="11.26953125" style="229" customWidth="1"/>
    <col min="6879" max="6882" width="10" style="229" customWidth="1"/>
    <col min="6883" max="6883" width="12.81640625" style="229" customWidth="1"/>
    <col min="6884" max="6884" width="14.1796875" style="229" customWidth="1"/>
    <col min="6885" max="6885" width="13.54296875" style="229" customWidth="1"/>
    <col min="6886" max="7075" width="9.1796875" style="229"/>
    <col min="7076" max="7076" width="5.453125" style="229" customWidth="1"/>
    <col min="7077" max="7077" width="54.1796875" style="229" customWidth="1"/>
    <col min="7078" max="7078" width="10.453125" style="229" customWidth="1"/>
    <col min="7079" max="7079" width="10.54296875" style="229" customWidth="1"/>
    <col min="7080" max="7082" width="7.7265625" style="229" customWidth="1"/>
    <col min="7083" max="7083" width="13.1796875" style="229" customWidth="1"/>
    <col min="7084" max="7084" width="11.54296875" style="229" customWidth="1"/>
    <col min="7085" max="7101" width="9.453125" style="229" customWidth="1"/>
    <col min="7102" max="7102" width="10.54296875" style="229" customWidth="1"/>
    <col min="7103" max="7103" width="10" style="229" customWidth="1"/>
    <col min="7104" max="7108" width="9.453125" style="229" customWidth="1"/>
    <col min="7109" max="7109" width="12.7265625" style="229" customWidth="1"/>
    <col min="7110" max="7110" width="10.7265625" style="229" customWidth="1"/>
    <col min="7111" max="7111" width="11.26953125" style="229" customWidth="1"/>
    <col min="7112" max="7114" width="9.81640625" style="229" customWidth="1"/>
    <col min="7115" max="7116" width="12.453125" style="229" customWidth="1"/>
    <col min="7117" max="7117" width="12.81640625" style="229" customWidth="1"/>
    <col min="7118" max="7118" width="10.54296875" style="229" customWidth="1"/>
    <col min="7119" max="7119" width="10" style="229" customWidth="1"/>
    <col min="7120" max="7122" width="10.453125" style="229" customWidth="1"/>
    <col min="7123" max="7123" width="13" style="229" customWidth="1"/>
    <col min="7124" max="7124" width="12.453125" style="229" customWidth="1"/>
    <col min="7125" max="7133" width="13" style="229" customWidth="1"/>
    <col min="7134" max="7134" width="11.26953125" style="229" customWidth="1"/>
    <col min="7135" max="7138" width="10" style="229" customWidth="1"/>
    <col min="7139" max="7139" width="12.81640625" style="229" customWidth="1"/>
    <col min="7140" max="7140" width="14.1796875" style="229" customWidth="1"/>
    <col min="7141" max="7141" width="13.54296875" style="229" customWidth="1"/>
    <col min="7142" max="7331" width="9.1796875" style="229"/>
    <col min="7332" max="7332" width="5.453125" style="229" customWidth="1"/>
    <col min="7333" max="7333" width="54.1796875" style="229" customWidth="1"/>
    <col min="7334" max="7334" width="10.453125" style="229" customWidth="1"/>
    <col min="7335" max="7335" width="10.54296875" style="229" customWidth="1"/>
    <col min="7336" max="7338" width="7.7265625" style="229" customWidth="1"/>
    <col min="7339" max="7339" width="13.1796875" style="229" customWidth="1"/>
    <col min="7340" max="7340" width="11.54296875" style="229" customWidth="1"/>
    <col min="7341" max="7357" width="9.453125" style="229" customWidth="1"/>
    <col min="7358" max="7358" width="10.54296875" style="229" customWidth="1"/>
    <col min="7359" max="7359" width="10" style="229" customWidth="1"/>
    <col min="7360" max="7364" width="9.453125" style="229" customWidth="1"/>
    <col min="7365" max="7365" width="12.7265625" style="229" customWidth="1"/>
    <col min="7366" max="7366" width="10.7265625" style="229" customWidth="1"/>
    <col min="7367" max="7367" width="11.26953125" style="229" customWidth="1"/>
    <col min="7368" max="7370" width="9.81640625" style="229" customWidth="1"/>
    <col min="7371" max="7372" width="12.453125" style="229" customWidth="1"/>
    <col min="7373" max="7373" width="12.81640625" style="229" customWidth="1"/>
    <col min="7374" max="7374" width="10.54296875" style="229" customWidth="1"/>
    <col min="7375" max="7375" width="10" style="229" customWidth="1"/>
    <col min="7376" max="7378" width="10.453125" style="229" customWidth="1"/>
    <col min="7379" max="7379" width="13" style="229" customWidth="1"/>
    <col min="7380" max="7380" width="12.453125" style="229" customWidth="1"/>
    <col min="7381" max="7389" width="13" style="229" customWidth="1"/>
    <col min="7390" max="7390" width="11.26953125" style="229" customWidth="1"/>
    <col min="7391" max="7394" width="10" style="229" customWidth="1"/>
    <col min="7395" max="7395" width="12.81640625" style="229" customWidth="1"/>
    <col min="7396" max="7396" width="14.1796875" style="229" customWidth="1"/>
    <col min="7397" max="7397" width="13.54296875" style="229" customWidth="1"/>
    <col min="7398" max="7587" width="9.1796875" style="229"/>
    <col min="7588" max="7588" width="5.453125" style="229" customWidth="1"/>
    <col min="7589" max="7589" width="54.1796875" style="229" customWidth="1"/>
    <col min="7590" max="7590" width="10.453125" style="229" customWidth="1"/>
    <col min="7591" max="7591" width="10.54296875" style="229" customWidth="1"/>
    <col min="7592" max="7594" width="7.7265625" style="229" customWidth="1"/>
    <col min="7595" max="7595" width="13.1796875" style="229" customWidth="1"/>
    <col min="7596" max="7596" width="11.54296875" style="229" customWidth="1"/>
    <col min="7597" max="7613" width="9.453125" style="229" customWidth="1"/>
    <col min="7614" max="7614" width="10.54296875" style="229" customWidth="1"/>
    <col min="7615" max="7615" width="10" style="229" customWidth="1"/>
    <col min="7616" max="7620" width="9.453125" style="229" customWidth="1"/>
    <col min="7621" max="7621" width="12.7265625" style="229" customWidth="1"/>
    <col min="7622" max="7622" width="10.7265625" style="229" customWidth="1"/>
    <col min="7623" max="7623" width="11.26953125" style="229" customWidth="1"/>
    <col min="7624" max="7626" width="9.81640625" style="229" customWidth="1"/>
    <col min="7627" max="7628" width="12.453125" style="229" customWidth="1"/>
    <col min="7629" max="7629" width="12.81640625" style="229" customWidth="1"/>
    <col min="7630" max="7630" width="10.54296875" style="229" customWidth="1"/>
    <col min="7631" max="7631" width="10" style="229" customWidth="1"/>
    <col min="7632" max="7634" width="10.453125" style="229" customWidth="1"/>
    <col min="7635" max="7635" width="13" style="229" customWidth="1"/>
    <col min="7636" max="7636" width="12.453125" style="229" customWidth="1"/>
    <col min="7637" max="7645" width="13" style="229" customWidth="1"/>
    <col min="7646" max="7646" width="11.26953125" style="229" customWidth="1"/>
    <col min="7647" max="7650" width="10" style="229" customWidth="1"/>
    <col min="7651" max="7651" width="12.81640625" style="229" customWidth="1"/>
    <col min="7652" max="7652" width="14.1796875" style="229" customWidth="1"/>
    <col min="7653" max="7653" width="13.54296875" style="229" customWidth="1"/>
    <col min="7654" max="7843" width="9.1796875" style="229"/>
    <col min="7844" max="7844" width="5.453125" style="229" customWidth="1"/>
    <col min="7845" max="7845" width="54.1796875" style="229" customWidth="1"/>
    <col min="7846" max="7846" width="10.453125" style="229" customWidth="1"/>
    <col min="7847" max="7847" width="10.54296875" style="229" customWidth="1"/>
    <col min="7848" max="7850" width="7.7265625" style="229" customWidth="1"/>
    <col min="7851" max="7851" width="13.1796875" style="229" customWidth="1"/>
    <col min="7852" max="7852" width="11.54296875" style="229" customWidth="1"/>
    <col min="7853" max="7869" width="9.453125" style="229" customWidth="1"/>
    <col min="7870" max="7870" width="10.54296875" style="229" customWidth="1"/>
    <col min="7871" max="7871" width="10" style="229" customWidth="1"/>
    <col min="7872" max="7876" width="9.453125" style="229" customWidth="1"/>
    <col min="7877" max="7877" width="12.7265625" style="229" customWidth="1"/>
    <col min="7878" max="7878" width="10.7265625" style="229" customWidth="1"/>
    <col min="7879" max="7879" width="11.26953125" style="229" customWidth="1"/>
    <col min="7880" max="7882" width="9.81640625" style="229" customWidth="1"/>
    <col min="7883" max="7884" width="12.453125" style="229" customWidth="1"/>
    <col min="7885" max="7885" width="12.81640625" style="229" customWidth="1"/>
    <col min="7886" max="7886" width="10.54296875" style="229" customWidth="1"/>
    <col min="7887" max="7887" width="10" style="229" customWidth="1"/>
    <col min="7888" max="7890" width="10.453125" style="229" customWidth="1"/>
    <col min="7891" max="7891" width="13" style="229" customWidth="1"/>
    <col min="7892" max="7892" width="12.453125" style="229" customWidth="1"/>
    <col min="7893" max="7901" width="13" style="229" customWidth="1"/>
    <col min="7902" max="7902" width="11.26953125" style="229" customWidth="1"/>
    <col min="7903" max="7906" width="10" style="229" customWidth="1"/>
    <col min="7907" max="7907" width="12.81640625" style="229" customWidth="1"/>
    <col min="7908" max="7908" width="14.1796875" style="229" customWidth="1"/>
    <col min="7909" max="7909" width="13.54296875" style="229" customWidth="1"/>
    <col min="7910" max="8099" width="9.1796875" style="229"/>
    <col min="8100" max="8100" width="5.453125" style="229" customWidth="1"/>
    <col min="8101" max="8101" width="54.1796875" style="229" customWidth="1"/>
    <col min="8102" max="8102" width="10.453125" style="229" customWidth="1"/>
    <col min="8103" max="8103" width="10.54296875" style="229" customWidth="1"/>
    <col min="8104" max="8106" width="7.7265625" style="229" customWidth="1"/>
    <col min="8107" max="8107" width="13.1796875" style="229" customWidth="1"/>
    <col min="8108" max="8108" width="11.54296875" style="229" customWidth="1"/>
    <col min="8109" max="8125" width="9.453125" style="229" customWidth="1"/>
    <col min="8126" max="8126" width="10.54296875" style="229" customWidth="1"/>
    <col min="8127" max="8127" width="10" style="229" customWidth="1"/>
    <col min="8128" max="8132" width="9.453125" style="229" customWidth="1"/>
    <col min="8133" max="8133" width="12.7265625" style="229" customWidth="1"/>
    <col min="8134" max="8134" width="10.7265625" style="229" customWidth="1"/>
    <col min="8135" max="8135" width="11.26953125" style="229" customWidth="1"/>
    <col min="8136" max="8138" width="9.81640625" style="229" customWidth="1"/>
    <col min="8139" max="8140" width="12.453125" style="229" customWidth="1"/>
    <col min="8141" max="8141" width="12.81640625" style="229" customWidth="1"/>
    <col min="8142" max="8142" width="10.54296875" style="229" customWidth="1"/>
    <col min="8143" max="8143" width="10" style="229" customWidth="1"/>
    <col min="8144" max="8146" width="10.453125" style="229" customWidth="1"/>
    <col min="8147" max="8147" width="13" style="229" customWidth="1"/>
    <col min="8148" max="8148" width="12.453125" style="229" customWidth="1"/>
    <col min="8149" max="8157" width="13" style="229" customWidth="1"/>
    <col min="8158" max="8158" width="11.26953125" style="229" customWidth="1"/>
    <col min="8159" max="8162" width="10" style="229" customWidth="1"/>
    <col min="8163" max="8163" width="12.81640625" style="229" customWidth="1"/>
    <col min="8164" max="8164" width="14.1796875" style="229" customWidth="1"/>
    <col min="8165" max="8165" width="13.54296875" style="229" customWidth="1"/>
    <col min="8166" max="8355" width="9.1796875" style="229"/>
    <col min="8356" max="8356" width="5.453125" style="229" customWidth="1"/>
    <col min="8357" max="8357" width="54.1796875" style="229" customWidth="1"/>
    <col min="8358" max="8358" width="10.453125" style="229" customWidth="1"/>
    <col min="8359" max="8359" width="10.54296875" style="229" customWidth="1"/>
    <col min="8360" max="8362" width="7.7265625" style="229" customWidth="1"/>
    <col min="8363" max="8363" width="13.1796875" style="229" customWidth="1"/>
    <col min="8364" max="8364" width="11.54296875" style="229" customWidth="1"/>
    <col min="8365" max="8381" width="9.453125" style="229" customWidth="1"/>
    <col min="8382" max="8382" width="10.54296875" style="229" customWidth="1"/>
    <col min="8383" max="8383" width="10" style="229" customWidth="1"/>
    <col min="8384" max="8388" width="9.453125" style="229" customWidth="1"/>
    <col min="8389" max="8389" width="12.7265625" style="229" customWidth="1"/>
    <col min="8390" max="8390" width="10.7265625" style="229" customWidth="1"/>
    <col min="8391" max="8391" width="11.26953125" style="229" customWidth="1"/>
    <col min="8392" max="8394" width="9.81640625" style="229" customWidth="1"/>
    <col min="8395" max="8396" width="12.453125" style="229" customWidth="1"/>
    <col min="8397" max="8397" width="12.81640625" style="229" customWidth="1"/>
    <col min="8398" max="8398" width="10.54296875" style="229" customWidth="1"/>
    <col min="8399" max="8399" width="10" style="229" customWidth="1"/>
    <col min="8400" max="8402" width="10.453125" style="229" customWidth="1"/>
    <col min="8403" max="8403" width="13" style="229" customWidth="1"/>
    <col min="8404" max="8404" width="12.453125" style="229" customWidth="1"/>
    <col min="8405" max="8413" width="13" style="229" customWidth="1"/>
    <col min="8414" max="8414" width="11.26953125" style="229" customWidth="1"/>
    <col min="8415" max="8418" width="10" style="229" customWidth="1"/>
    <col min="8419" max="8419" width="12.81640625" style="229" customWidth="1"/>
    <col min="8420" max="8420" width="14.1796875" style="229" customWidth="1"/>
    <col min="8421" max="8421" width="13.54296875" style="229" customWidth="1"/>
    <col min="8422" max="8611" width="9.1796875" style="229"/>
    <col min="8612" max="8612" width="5.453125" style="229" customWidth="1"/>
    <col min="8613" max="8613" width="54.1796875" style="229" customWidth="1"/>
    <col min="8614" max="8614" width="10.453125" style="229" customWidth="1"/>
    <col min="8615" max="8615" width="10.54296875" style="229" customWidth="1"/>
    <col min="8616" max="8618" width="7.7265625" style="229" customWidth="1"/>
    <col min="8619" max="8619" width="13.1796875" style="229" customWidth="1"/>
    <col min="8620" max="8620" width="11.54296875" style="229" customWidth="1"/>
    <col min="8621" max="8637" width="9.453125" style="229" customWidth="1"/>
    <col min="8638" max="8638" width="10.54296875" style="229" customWidth="1"/>
    <col min="8639" max="8639" width="10" style="229" customWidth="1"/>
    <col min="8640" max="8644" width="9.453125" style="229" customWidth="1"/>
    <col min="8645" max="8645" width="12.7265625" style="229" customWidth="1"/>
    <col min="8646" max="8646" width="10.7265625" style="229" customWidth="1"/>
    <col min="8647" max="8647" width="11.26953125" style="229" customWidth="1"/>
    <col min="8648" max="8650" width="9.81640625" style="229" customWidth="1"/>
    <col min="8651" max="8652" width="12.453125" style="229" customWidth="1"/>
    <col min="8653" max="8653" width="12.81640625" style="229" customWidth="1"/>
    <col min="8654" max="8654" width="10.54296875" style="229" customWidth="1"/>
    <col min="8655" max="8655" width="10" style="229" customWidth="1"/>
    <col min="8656" max="8658" width="10.453125" style="229" customWidth="1"/>
    <col min="8659" max="8659" width="13" style="229" customWidth="1"/>
    <col min="8660" max="8660" width="12.453125" style="229" customWidth="1"/>
    <col min="8661" max="8669" width="13" style="229" customWidth="1"/>
    <col min="8670" max="8670" width="11.26953125" style="229" customWidth="1"/>
    <col min="8671" max="8674" width="10" style="229" customWidth="1"/>
    <col min="8675" max="8675" width="12.81640625" style="229" customWidth="1"/>
    <col min="8676" max="8676" width="14.1796875" style="229" customWidth="1"/>
    <col min="8677" max="8677" width="13.54296875" style="229" customWidth="1"/>
    <col min="8678" max="8867" width="9.1796875" style="229"/>
    <col min="8868" max="8868" width="5.453125" style="229" customWidth="1"/>
    <col min="8869" max="8869" width="54.1796875" style="229" customWidth="1"/>
    <col min="8870" max="8870" width="10.453125" style="229" customWidth="1"/>
    <col min="8871" max="8871" width="10.54296875" style="229" customWidth="1"/>
    <col min="8872" max="8874" width="7.7265625" style="229" customWidth="1"/>
    <col min="8875" max="8875" width="13.1796875" style="229" customWidth="1"/>
    <col min="8876" max="8876" width="11.54296875" style="229" customWidth="1"/>
    <col min="8877" max="8893" width="9.453125" style="229" customWidth="1"/>
    <col min="8894" max="8894" width="10.54296875" style="229" customWidth="1"/>
    <col min="8895" max="8895" width="10" style="229" customWidth="1"/>
    <col min="8896" max="8900" width="9.453125" style="229" customWidth="1"/>
    <col min="8901" max="8901" width="12.7265625" style="229" customWidth="1"/>
    <col min="8902" max="8902" width="10.7265625" style="229" customWidth="1"/>
    <col min="8903" max="8903" width="11.26953125" style="229" customWidth="1"/>
    <col min="8904" max="8906" width="9.81640625" style="229" customWidth="1"/>
    <col min="8907" max="8908" width="12.453125" style="229" customWidth="1"/>
    <col min="8909" max="8909" width="12.81640625" style="229" customWidth="1"/>
    <col min="8910" max="8910" width="10.54296875" style="229" customWidth="1"/>
    <col min="8911" max="8911" width="10" style="229" customWidth="1"/>
    <col min="8912" max="8914" width="10.453125" style="229" customWidth="1"/>
    <col min="8915" max="8915" width="13" style="229" customWidth="1"/>
    <col min="8916" max="8916" width="12.453125" style="229" customWidth="1"/>
    <col min="8917" max="8925" width="13" style="229" customWidth="1"/>
    <col min="8926" max="8926" width="11.26953125" style="229" customWidth="1"/>
    <col min="8927" max="8930" width="10" style="229" customWidth="1"/>
    <col min="8931" max="8931" width="12.81640625" style="229" customWidth="1"/>
    <col min="8932" max="8932" width="14.1796875" style="229" customWidth="1"/>
    <col min="8933" max="8933" width="13.54296875" style="229" customWidth="1"/>
    <col min="8934" max="9123" width="9.1796875" style="229"/>
    <col min="9124" max="9124" width="5.453125" style="229" customWidth="1"/>
    <col min="9125" max="9125" width="54.1796875" style="229" customWidth="1"/>
    <col min="9126" max="9126" width="10.453125" style="229" customWidth="1"/>
    <col min="9127" max="9127" width="10.54296875" style="229" customWidth="1"/>
    <col min="9128" max="9130" width="7.7265625" style="229" customWidth="1"/>
    <col min="9131" max="9131" width="13.1796875" style="229" customWidth="1"/>
    <col min="9132" max="9132" width="11.54296875" style="229" customWidth="1"/>
    <col min="9133" max="9149" width="9.453125" style="229" customWidth="1"/>
    <col min="9150" max="9150" width="10.54296875" style="229" customWidth="1"/>
    <col min="9151" max="9151" width="10" style="229" customWidth="1"/>
    <col min="9152" max="9156" width="9.453125" style="229" customWidth="1"/>
    <col min="9157" max="9157" width="12.7265625" style="229" customWidth="1"/>
    <col min="9158" max="9158" width="10.7265625" style="229" customWidth="1"/>
    <col min="9159" max="9159" width="11.26953125" style="229" customWidth="1"/>
    <col min="9160" max="9162" width="9.81640625" style="229" customWidth="1"/>
    <col min="9163" max="9164" width="12.453125" style="229" customWidth="1"/>
    <col min="9165" max="9165" width="12.81640625" style="229" customWidth="1"/>
    <col min="9166" max="9166" width="10.54296875" style="229" customWidth="1"/>
    <col min="9167" max="9167" width="10" style="229" customWidth="1"/>
    <col min="9168" max="9170" width="10.453125" style="229" customWidth="1"/>
    <col min="9171" max="9171" width="13" style="229" customWidth="1"/>
    <col min="9172" max="9172" width="12.453125" style="229" customWidth="1"/>
    <col min="9173" max="9181" width="13" style="229" customWidth="1"/>
    <col min="9182" max="9182" width="11.26953125" style="229" customWidth="1"/>
    <col min="9183" max="9186" width="10" style="229" customWidth="1"/>
    <col min="9187" max="9187" width="12.81640625" style="229" customWidth="1"/>
    <col min="9188" max="9188" width="14.1796875" style="229" customWidth="1"/>
    <col min="9189" max="9189" width="13.54296875" style="229" customWidth="1"/>
    <col min="9190" max="9379" width="9.1796875" style="229"/>
    <col min="9380" max="9380" width="5.453125" style="229" customWidth="1"/>
    <col min="9381" max="9381" width="54.1796875" style="229" customWidth="1"/>
    <col min="9382" max="9382" width="10.453125" style="229" customWidth="1"/>
    <col min="9383" max="9383" width="10.54296875" style="229" customWidth="1"/>
    <col min="9384" max="9386" width="7.7265625" style="229" customWidth="1"/>
    <col min="9387" max="9387" width="13.1796875" style="229" customWidth="1"/>
    <col min="9388" max="9388" width="11.54296875" style="229" customWidth="1"/>
    <col min="9389" max="9405" width="9.453125" style="229" customWidth="1"/>
    <col min="9406" max="9406" width="10.54296875" style="229" customWidth="1"/>
    <col min="9407" max="9407" width="10" style="229" customWidth="1"/>
    <col min="9408" max="9412" width="9.453125" style="229" customWidth="1"/>
    <col min="9413" max="9413" width="12.7265625" style="229" customWidth="1"/>
    <col min="9414" max="9414" width="10.7265625" style="229" customWidth="1"/>
    <col min="9415" max="9415" width="11.26953125" style="229" customWidth="1"/>
    <col min="9416" max="9418" width="9.81640625" style="229" customWidth="1"/>
    <col min="9419" max="9420" width="12.453125" style="229" customWidth="1"/>
    <col min="9421" max="9421" width="12.81640625" style="229" customWidth="1"/>
    <col min="9422" max="9422" width="10.54296875" style="229" customWidth="1"/>
    <col min="9423" max="9423" width="10" style="229" customWidth="1"/>
    <col min="9424" max="9426" width="10.453125" style="229" customWidth="1"/>
    <col min="9427" max="9427" width="13" style="229" customWidth="1"/>
    <col min="9428" max="9428" width="12.453125" style="229" customWidth="1"/>
    <col min="9429" max="9437" width="13" style="229" customWidth="1"/>
    <col min="9438" max="9438" width="11.26953125" style="229" customWidth="1"/>
    <col min="9439" max="9442" width="10" style="229" customWidth="1"/>
    <col min="9443" max="9443" width="12.81640625" style="229" customWidth="1"/>
    <col min="9444" max="9444" width="14.1796875" style="229" customWidth="1"/>
    <col min="9445" max="9445" width="13.54296875" style="229" customWidth="1"/>
    <col min="9446" max="9635" width="9.1796875" style="229"/>
    <col min="9636" max="9636" width="5.453125" style="229" customWidth="1"/>
    <col min="9637" max="9637" width="54.1796875" style="229" customWidth="1"/>
    <col min="9638" max="9638" width="10.453125" style="229" customWidth="1"/>
    <col min="9639" max="9639" width="10.54296875" style="229" customWidth="1"/>
    <col min="9640" max="9642" width="7.7265625" style="229" customWidth="1"/>
    <col min="9643" max="9643" width="13.1796875" style="229" customWidth="1"/>
    <col min="9644" max="9644" width="11.54296875" style="229" customWidth="1"/>
    <col min="9645" max="9661" width="9.453125" style="229" customWidth="1"/>
    <col min="9662" max="9662" width="10.54296875" style="229" customWidth="1"/>
    <col min="9663" max="9663" width="10" style="229" customWidth="1"/>
    <col min="9664" max="9668" width="9.453125" style="229" customWidth="1"/>
    <col min="9669" max="9669" width="12.7265625" style="229" customWidth="1"/>
    <col min="9670" max="9670" width="10.7265625" style="229" customWidth="1"/>
    <col min="9671" max="9671" width="11.26953125" style="229" customWidth="1"/>
    <col min="9672" max="9674" width="9.81640625" style="229" customWidth="1"/>
    <col min="9675" max="9676" width="12.453125" style="229" customWidth="1"/>
    <col min="9677" max="9677" width="12.81640625" style="229" customWidth="1"/>
    <col min="9678" max="9678" width="10.54296875" style="229" customWidth="1"/>
    <col min="9679" max="9679" width="10" style="229" customWidth="1"/>
    <col min="9680" max="9682" width="10.453125" style="229" customWidth="1"/>
    <col min="9683" max="9683" width="13" style="229" customWidth="1"/>
    <col min="9684" max="9684" width="12.453125" style="229" customWidth="1"/>
    <col min="9685" max="9693" width="13" style="229" customWidth="1"/>
    <col min="9694" max="9694" width="11.26953125" style="229" customWidth="1"/>
    <col min="9695" max="9698" width="10" style="229" customWidth="1"/>
    <col min="9699" max="9699" width="12.81640625" style="229" customWidth="1"/>
    <col min="9700" max="9700" width="14.1796875" style="229" customWidth="1"/>
    <col min="9701" max="9701" width="13.54296875" style="229" customWidth="1"/>
    <col min="9702" max="9891" width="9.1796875" style="229"/>
    <col min="9892" max="9892" width="5.453125" style="229" customWidth="1"/>
    <col min="9893" max="9893" width="54.1796875" style="229" customWidth="1"/>
    <col min="9894" max="9894" width="10.453125" style="229" customWidth="1"/>
    <col min="9895" max="9895" width="10.54296875" style="229" customWidth="1"/>
    <col min="9896" max="9898" width="7.7265625" style="229" customWidth="1"/>
    <col min="9899" max="9899" width="13.1796875" style="229" customWidth="1"/>
    <col min="9900" max="9900" width="11.54296875" style="229" customWidth="1"/>
    <col min="9901" max="9917" width="9.453125" style="229" customWidth="1"/>
    <col min="9918" max="9918" width="10.54296875" style="229" customWidth="1"/>
    <col min="9919" max="9919" width="10" style="229" customWidth="1"/>
    <col min="9920" max="9924" width="9.453125" style="229" customWidth="1"/>
    <col min="9925" max="9925" width="12.7265625" style="229" customWidth="1"/>
    <col min="9926" max="9926" width="10.7265625" style="229" customWidth="1"/>
    <col min="9927" max="9927" width="11.26953125" style="229" customWidth="1"/>
    <col min="9928" max="9930" width="9.81640625" style="229" customWidth="1"/>
    <col min="9931" max="9932" width="12.453125" style="229" customWidth="1"/>
    <col min="9933" max="9933" width="12.81640625" style="229" customWidth="1"/>
    <col min="9934" max="9934" width="10.54296875" style="229" customWidth="1"/>
    <col min="9935" max="9935" width="10" style="229" customWidth="1"/>
    <col min="9936" max="9938" width="10.453125" style="229" customWidth="1"/>
    <col min="9939" max="9939" width="13" style="229" customWidth="1"/>
    <col min="9940" max="9940" width="12.453125" style="229" customWidth="1"/>
    <col min="9941" max="9949" width="13" style="229" customWidth="1"/>
    <col min="9950" max="9950" width="11.26953125" style="229" customWidth="1"/>
    <col min="9951" max="9954" width="10" style="229" customWidth="1"/>
    <col min="9955" max="9955" width="12.81640625" style="229" customWidth="1"/>
    <col min="9956" max="9956" width="14.1796875" style="229" customWidth="1"/>
    <col min="9957" max="9957" width="13.54296875" style="229" customWidth="1"/>
    <col min="9958" max="10147" width="9.1796875" style="229"/>
    <col min="10148" max="10148" width="5.453125" style="229" customWidth="1"/>
    <col min="10149" max="10149" width="54.1796875" style="229" customWidth="1"/>
    <col min="10150" max="10150" width="10.453125" style="229" customWidth="1"/>
    <col min="10151" max="10151" width="10.54296875" style="229" customWidth="1"/>
    <col min="10152" max="10154" width="7.7265625" style="229" customWidth="1"/>
    <col min="10155" max="10155" width="13.1796875" style="229" customWidth="1"/>
    <col min="10156" max="10156" width="11.54296875" style="229" customWidth="1"/>
    <col min="10157" max="10173" width="9.453125" style="229" customWidth="1"/>
    <col min="10174" max="10174" width="10.54296875" style="229" customWidth="1"/>
    <col min="10175" max="10175" width="10" style="229" customWidth="1"/>
    <col min="10176" max="10180" width="9.453125" style="229" customWidth="1"/>
    <col min="10181" max="10181" width="12.7265625" style="229" customWidth="1"/>
    <col min="10182" max="10182" width="10.7265625" style="229" customWidth="1"/>
    <col min="10183" max="10183" width="11.26953125" style="229" customWidth="1"/>
    <col min="10184" max="10186" width="9.81640625" style="229" customWidth="1"/>
    <col min="10187" max="10188" width="12.453125" style="229" customWidth="1"/>
    <col min="10189" max="10189" width="12.81640625" style="229" customWidth="1"/>
    <col min="10190" max="10190" width="10.54296875" style="229" customWidth="1"/>
    <col min="10191" max="10191" width="10" style="229" customWidth="1"/>
    <col min="10192" max="10194" width="10.453125" style="229" customWidth="1"/>
    <col min="10195" max="10195" width="13" style="229" customWidth="1"/>
    <col min="10196" max="10196" width="12.453125" style="229" customWidth="1"/>
    <col min="10197" max="10205" width="13" style="229" customWidth="1"/>
    <col min="10206" max="10206" width="11.26953125" style="229" customWidth="1"/>
    <col min="10207" max="10210" width="10" style="229" customWidth="1"/>
    <col min="10211" max="10211" width="12.81640625" style="229" customWidth="1"/>
    <col min="10212" max="10212" width="14.1796875" style="229" customWidth="1"/>
    <col min="10213" max="10213" width="13.54296875" style="229" customWidth="1"/>
    <col min="10214" max="10403" width="9.1796875" style="229"/>
    <col min="10404" max="10404" width="5.453125" style="229" customWidth="1"/>
    <col min="10405" max="10405" width="54.1796875" style="229" customWidth="1"/>
    <col min="10406" max="10406" width="10.453125" style="229" customWidth="1"/>
    <col min="10407" max="10407" width="10.54296875" style="229" customWidth="1"/>
    <col min="10408" max="10410" width="7.7265625" style="229" customWidth="1"/>
    <col min="10411" max="10411" width="13.1796875" style="229" customWidth="1"/>
    <col min="10412" max="10412" width="11.54296875" style="229" customWidth="1"/>
    <col min="10413" max="10429" width="9.453125" style="229" customWidth="1"/>
    <col min="10430" max="10430" width="10.54296875" style="229" customWidth="1"/>
    <col min="10431" max="10431" width="10" style="229" customWidth="1"/>
    <col min="10432" max="10436" width="9.453125" style="229" customWidth="1"/>
    <col min="10437" max="10437" width="12.7265625" style="229" customWidth="1"/>
    <col min="10438" max="10438" width="10.7265625" style="229" customWidth="1"/>
    <col min="10439" max="10439" width="11.26953125" style="229" customWidth="1"/>
    <col min="10440" max="10442" width="9.81640625" style="229" customWidth="1"/>
    <col min="10443" max="10444" width="12.453125" style="229" customWidth="1"/>
    <col min="10445" max="10445" width="12.81640625" style="229" customWidth="1"/>
    <col min="10446" max="10446" width="10.54296875" style="229" customWidth="1"/>
    <col min="10447" max="10447" width="10" style="229" customWidth="1"/>
    <col min="10448" max="10450" width="10.453125" style="229" customWidth="1"/>
    <col min="10451" max="10451" width="13" style="229" customWidth="1"/>
    <col min="10452" max="10452" width="12.453125" style="229" customWidth="1"/>
    <col min="10453" max="10461" width="13" style="229" customWidth="1"/>
    <col min="10462" max="10462" width="11.26953125" style="229" customWidth="1"/>
    <col min="10463" max="10466" width="10" style="229" customWidth="1"/>
    <col min="10467" max="10467" width="12.81640625" style="229" customWidth="1"/>
    <col min="10468" max="10468" width="14.1796875" style="229" customWidth="1"/>
    <col min="10469" max="10469" width="13.54296875" style="229" customWidth="1"/>
    <col min="10470" max="10659" width="9.1796875" style="229"/>
    <col min="10660" max="10660" width="5.453125" style="229" customWidth="1"/>
    <col min="10661" max="10661" width="54.1796875" style="229" customWidth="1"/>
    <col min="10662" max="10662" width="10.453125" style="229" customWidth="1"/>
    <col min="10663" max="10663" width="10.54296875" style="229" customWidth="1"/>
    <col min="10664" max="10666" width="7.7265625" style="229" customWidth="1"/>
    <col min="10667" max="10667" width="13.1796875" style="229" customWidth="1"/>
    <col min="10668" max="10668" width="11.54296875" style="229" customWidth="1"/>
    <col min="10669" max="10685" width="9.453125" style="229" customWidth="1"/>
    <col min="10686" max="10686" width="10.54296875" style="229" customWidth="1"/>
    <col min="10687" max="10687" width="10" style="229" customWidth="1"/>
    <col min="10688" max="10692" width="9.453125" style="229" customWidth="1"/>
    <col min="10693" max="10693" width="12.7265625" style="229" customWidth="1"/>
    <col min="10694" max="10694" width="10.7265625" style="229" customWidth="1"/>
    <col min="10695" max="10695" width="11.26953125" style="229" customWidth="1"/>
    <col min="10696" max="10698" width="9.81640625" style="229" customWidth="1"/>
    <col min="10699" max="10700" width="12.453125" style="229" customWidth="1"/>
    <col min="10701" max="10701" width="12.81640625" style="229" customWidth="1"/>
    <col min="10702" max="10702" width="10.54296875" style="229" customWidth="1"/>
    <col min="10703" max="10703" width="10" style="229" customWidth="1"/>
    <col min="10704" max="10706" width="10.453125" style="229" customWidth="1"/>
    <col min="10707" max="10707" width="13" style="229" customWidth="1"/>
    <col min="10708" max="10708" width="12.453125" style="229" customWidth="1"/>
    <col min="10709" max="10717" width="13" style="229" customWidth="1"/>
    <col min="10718" max="10718" width="11.26953125" style="229" customWidth="1"/>
    <col min="10719" max="10722" width="10" style="229" customWidth="1"/>
    <col min="10723" max="10723" width="12.81640625" style="229" customWidth="1"/>
    <col min="10724" max="10724" width="14.1796875" style="229" customWidth="1"/>
    <col min="10725" max="10725" width="13.54296875" style="229" customWidth="1"/>
    <col min="10726" max="10915" width="9.1796875" style="229"/>
    <col min="10916" max="10916" width="5.453125" style="229" customWidth="1"/>
    <col min="10917" max="10917" width="54.1796875" style="229" customWidth="1"/>
    <col min="10918" max="10918" width="10.453125" style="229" customWidth="1"/>
    <col min="10919" max="10919" width="10.54296875" style="229" customWidth="1"/>
    <col min="10920" max="10922" width="7.7265625" style="229" customWidth="1"/>
    <col min="10923" max="10923" width="13.1796875" style="229" customWidth="1"/>
    <col min="10924" max="10924" width="11.54296875" style="229" customWidth="1"/>
    <col min="10925" max="10941" width="9.453125" style="229" customWidth="1"/>
    <col min="10942" max="10942" width="10.54296875" style="229" customWidth="1"/>
    <col min="10943" max="10943" width="10" style="229" customWidth="1"/>
    <col min="10944" max="10948" width="9.453125" style="229" customWidth="1"/>
    <col min="10949" max="10949" width="12.7265625" style="229" customWidth="1"/>
    <col min="10950" max="10950" width="10.7265625" style="229" customWidth="1"/>
    <col min="10951" max="10951" width="11.26953125" style="229" customWidth="1"/>
    <col min="10952" max="10954" width="9.81640625" style="229" customWidth="1"/>
    <col min="10955" max="10956" width="12.453125" style="229" customWidth="1"/>
    <col min="10957" max="10957" width="12.81640625" style="229" customWidth="1"/>
    <col min="10958" max="10958" width="10.54296875" style="229" customWidth="1"/>
    <col min="10959" max="10959" width="10" style="229" customWidth="1"/>
    <col min="10960" max="10962" width="10.453125" style="229" customWidth="1"/>
    <col min="10963" max="10963" width="13" style="229" customWidth="1"/>
    <col min="10964" max="10964" width="12.453125" style="229" customWidth="1"/>
    <col min="10965" max="10973" width="13" style="229" customWidth="1"/>
    <col min="10974" max="10974" width="11.26953125" style="229" customWidth="1"/>
    <col min="10975" max="10978" width="10" style="229" customWidth="1"/>
    <col min="10979" max="10979" width="12.81640625" style="229" customWidth="1"/>
    <col min="10980" max="10980" width="14.1796875" style="229" customWidth="1"/>
    <col min="10981" max="10981" width="13.54296875" style="229" customWidth="1"/>
    <col min="10982" max="11171" width="9.1796875" style="229"/>
    <col min="11172" max="11172" width="5.453125" style="229" customWidth="1"/>
    <col min="11173" max="11173" width="54.1796875" style="229" customWidth="1"/>
    <col min="11174" max="11174" width="10.453125" style="229" customWidth="1"/>
    <col min="11175" max="11175" width="10.54296875" style="229" customWidth="1"/>
    <col min="11176" max="11178" width="7.7265625" style="229" customWidth="1"/>
    <col min="11179" max="11179" width="13.1796875" style="229" customWidth="1"/>
    <col min="11180" max="11180" width="11.54296875" style="229" customWidth="1"/>
    <col min="11181" max="11197" width="9.453125" style="229" customWidth="1"/>
    <col min="11198" max="11198" width="10.54296875" style="229" customWidth="1"/>
    <col min="11199" max="11199" width="10" style="229" customWidth="1"/>
    <col min="11200" max="11204" width="9.453125" style="229" customWidth="1"/>
    <col min="11205" max="11205" width="12.7265625" style="229" customWidth="1"/>
    <col min="11206" max="11206" width="10.7265625" style="229" customWidth="1"/>
    <col min="11207" max="11207" width="11.26953125" style="229" customWidth="1"/>
    <col min="11208" max="11210" width="9.81640625" style="229" customWidth="1"/>
    <col min="11211" max="11212" width="12.453125" style="229" customWidth="1"/>
    <col min="11213" max="11213" width="12.81640625" style="229" customWidth="1"/>
    <col min="11214" max="11214" width="10.54296875" style="229" customWidth="1"/>
    <col min="11215" max="11215" width="10" style="229" customWidth="1"/>
    <col min="11216" max="11218" width="10.453125" style="229" customWidth="1"/>
    <col min="11219" max="11219" width="13" style="229" customWidth="1"/>
    <col min="11220" max="11220" width="12.453125" style="229" customWidth="1"/>
    <col min="11221" max="11229" width="13" style="229" customWidth="1"/>
    <col min="11230" max="11230" width="11.26953125" style="229" customWidth="1"/>
    <col min="11231" max="11234" width="10" style="229" customWidth="1"/>
    <col min="11235" max="11235" width="12.81640625" style="229" customWidth="1"/>
    <col min="11236" max="11236" width="14.1796875" style="229" customWidth="1"/>
    <col min="11237" max="11237" width="13.54296875" style="229" customWidth="1"/>
    <col min="11238" max="11427" width="9.1796875" style="229"/>
    <col min="11428" max="11428" width="5.453125" style="229" customWidth="1"/>
    <col min="11429" max="11429" width="54.1796875" style="229" customWidth="1"/>
    <col min="11430" max="11430" width="10.453125" style="229" customWidth="1"/>
    <col min="11431" max="11431" width="10.54296875" style="229" customWidth="1"/>
    <col min="11432" max="11434" width="7.7265625" style="229" customWidth="1"/>
    <col min="11435" max="11435" width="13.1796875" style="229" customWidth="1"/>
    <col min="11436" max="11436" width="11.54296875" style="229" customWidth="1"/>
    <col min="11437" max="11453" width="9.453125" style="229" customWidth="1"/>
    <col min="11454" max="11454" width="10.54296875" style="229" customWidth="1"/>
    <col min="11455" max="11455" width="10" style="229" customWidth="1"/>
    <col min="11456" max="11460" width="9.453125" style="229" customWidth="1"/>
    <col min="11461" max="11461" width="12.7265625" style="229" customWidth="1"/>
    <col min="11462" max="11462" width="10.7265625" style="229" customWidth="1"/>
    <col min="11463" max="11463" width="11.26953125" style="229" customWidth="1"/>
    <col min="11464" max="11466" width="9.81640625" style="229" customWidth="1"/>
    <col min="11467" max="11468" width="12.453125" style="229" customWidth="1"/>
    <col min="11469" max="11469" width="12.81640625" style="229" customWidth="1"/>
    <col min="11470" max="11470" width="10.54296875" style="229" customWidth="1"/>
    <col min="11471" max="11471" width="10" style="229" customWidth="1"/>
    <col min="11472" max="11474" width="10.453125" style="229" customWidth="1"/>
    <col min="11475" max="11475" width="13" style="229" customWidth="1"/>
    <col min="11476" max="11476" width="12.453125" style="229" customWidth="1"/>
    <col min="11477" max="11485" width="13" style="229" customWidth="1"/>
    <col min="11486" max="11486" width="11.26953125" style="229" customWidth="1"/>
    <col min="11487" max="11490" width="10" style="229" customWidth="1"/>
    <col min="11491" max="11491" width="12.81640625" style="229" customWidth="1"/>
    <col min="11492" max="11492" width="14.1796875" style="229" customWidth="1"/>
    <col min="11493" max="11493" width="13.54296875" style="229" customWidth="1"/>
    <col min="11494" max="11683" width="9.1796875" style="229"/>
    <col min="11684" max="11684" width="5.453125" style="229" customWidth="1"/>
    <col min="11685" max="11685" width="54.1796875" style="229" customWidth="1"/>
    <col min="11686" max="11686" width="10.453125" style="229" customWidth="1"/>
    <col min="11687" max="11687" width="10.54296875" style="229" customWidth="1"/>
    <col min="11688" max="11690" width="7.7265625" style="229" customWidth="1"/>
    <col min="11691" max="11691" width="13.1796875" style="229" customWidth="1"/>
    <col min="11692" max="11692" width="11.54296875" style="229" customWidth="1"/>
    <col min="11693" max="11709" width="9.453125" style="229" customWidth="1"/>
    <col min="11710" max="11710" width="10.54296875" style="229" customWidth="1"/>
    <col min="11711" max="11711" width="10" style="229" customWidth="1"/>
    <col min="11712" max="11716" width="9.453125" style="229" customWidth="1"/>
    <col min="11717" max="11717" width="12.7265625" style="229" customWidth="1"/>
    <col min="11718" max="11718" width="10.7265625" style="229" customWidth="1"/>
    <col min="11719" max="11719" width="11.26953125" style="229" customWidth="1"/>
    <col min="11720" max="11722" width="9.81640625" style="229" customWidth="1"/>
    <col min="11723" max="11724" width="12.453125" style="229" customWidth="1"/>
    <col min="11725" max="11725" width="12.81640625" style="229" customWidth="1"/>
    <col min="11726" max="11726" width="10.54296875" style="229" customWidth="1"/>
    <col min="11727" max="11727" width="10" style="229" customWidth="1"/>
    <col min="11728" max="11730" width="10.453125" style="229" customWidth="1"/>
    <col min="11731" max="11731" width="13" style="229" customWidth="1"/>
    <col min="11732" max="11732" width="12.453125" style="229" customWidth="1"/>
    <col min="11733" max="11741" width="13" style="229" customWidth="1"/>
    <col min="11742" max="11742" width="11.26953125" style="229" customWidth="1"/>
    <col min="11743" max="11746" width="10" style="229" customWidth="1"/>
    <col min="11747" max="11747" width="12.81640625" style="229" customWidth="1"/>
    <col min="11748" max="11748" width="14.1796875" style="229" customWidth="1"/>
    <col min="11749" max="11749" width="13.54296875" style="229" customWidth="1"/>
    <col min="11750" max="11939" width="9.1796875" style="229"/>
    <col min="11940" max="11940" width="5.453125" style="229" customWidth="1"/>
    <col min="11941" max="11941" width="54.1796875" style="229" customWidth="1"/>
    <col min="11942" max="11942" width="10.453125" style="229" customWidth="1"/>
    <col min="11943" max="11943" width="10.54296875" style="229" customWidth="1"/>
    <col min="11944" max="11946" width="7.7265625" style="229" customWidth="1"/>
    <col min="11947" max="11947" width="13.1796875" style="229" customWidth="1"/>
    <col min="11948" max="11948" width="11.54296875" style="229" customWidth="1"/>
    <col min="11949" max="11965" width="9.453125" style="229" customWidth="1"/>
    <col min="11966" max="11966" width="10.54296875" style="229" customWidth="1"/>
    <col min="11967" max="11967" width="10" style="229" customWidth="1"/>
    <col min="11968" max="11972" width="9.453125" style="229" customWidth="1"/>
    <col min="11973" max="11973" width="12.7265625" style="229" customWidth="1"/>
    <col min="11974" max="11974" width="10.7265625" style="229" customWidth="1"/>
    <col min="11975" max="11975" width="11.26953125" style="229" customWidth="1"/>
    <col min="11976" max="11978" width="9.81640625" style="229" customWidth="1"/>
    <col min="11979" max="11980" width="12.453125" style="229" customWidth="1"/>
    <col min="11981" max="11981" width="12.81640625" style="229" customWidth="1"/>
    <col min="11982" max="11982" width="10.54296875" style="229" customWidth="1"/>
    <col min="11983" max="11983" width="10" style="229" customWidth="1"/>
    <col min="11984" max="11986" width="10.453125" style="229" customWidth="1"/>
    <col min="11987" max="11987" width="13" style="229" customWidth="1"/>
    <col min="11988" max="11988" width="12.453125" style="229" customWidth="1"/>
    <col min="11989" max="11997" width="13" style="229" customWidth="1"/>
    <col min="11998" max="11998" width="11.26953125" style="229" customWidth="1"/>
    <col min="11999" max="12002" width="10" style="229" customWidth="1"/>
    <col min="12003" max="12003" width="12.81640625" style="229" customWidth="1"/>
    <col min="12004" max="12004" width="14.1796875" style="229" customWidth="1"/>
    <col min="12005" max="12005" width="13.54296875" style="229" customWidth="1"/>
    <col min="12006" max="12195" width="9.1796875" style="229"/>
    <col min="12196" max="12196" width="5.453125" style="229" customWidth="1"/>
    <col min="12197" max="12197" width="54.1796875" style="229" customWidth="1"/>
    <col min="12198" max="12198" width="10.453125" style="229" customWidth="1"/>
    <col min="12199" max="12199" width="10.54296875" style="229" customWidth="1"/>
    <col min="12200" max="12202" width="7.7265625" style="229" customWidth="1"/>
    <col min="12203" max="12203" width="13.1796875" style="229" customWidth="1"/>
    <col min="12204" max="12204" width="11.54296875" style="229" customWidth="1"/>
    <col min="12205" max="12221" width="9.453125" style="229" customWidth="1"/>
    <col min="12222" max="12222" width="10.54296875" style="229" customWidth="1"/>
    <col min="12223" max="12223" width="10" style="229" customWidth="1"/>
    <col min="12224" max="12228" width="9.453125" style="229" customWidth="1"/>
    <col min="12229" max="12229" width="12.7265625" style="229" customWidth="1"/>
    <col min="12230" max="12230" width="10.7265625" style="229" customWidth="1"/>
    <col min="12231" max="12231" width="11.26953125" style="229" customWidth="1"/>
    <col min="12232" max="12234" width="9.81640625" style="229" customWidth="1"/>
    <col min="12235" max="12236" width="12.453125" style="229" customWidth="1"/>
    <col min="12237" max="12237" width="12.81640625" style="229" customWidth="1"/>
    <col min="12238" max="12238" width="10.54296875" style="229" customWidth="1"/>
    <col min="12239" max="12239" width="10" style="229" customWidth="1"/>
    <col min="12240" max="12242" width="10.453125" style="229" customWidth="1"/>
    <col min="12243" max="12243" width="13" style="229" customWidth="1"/>
    <col min="12244" max="12244" width="12.453125" style="229" customWidth="1"/>
    <col min="12245" max="12253" width="13" style="229" customWidth="1"/>
    <col min="12254" max="12254" width="11.26953125" style="229" customWidth="1"/>
    <col min="12255" max="12258" width="10" style="229" customWidth="1"/>
    <col min="12259" max="12259" width="12.81640625" style="229" customWidth="1"/>
    <col min="12260" max="12260" width="14.1796875" style="229" customWidth="1"/>
    <col min="12261" max="12261" width="13.54296875" style="229" customWidth="1"/>
    <col min="12262" max="12451" width="9.1796875" style="229"/>
    <col min="12452" max="12452" width="5.453125" style="229" customWidth="1"/>
    <col min="12453" max="12453" width="54.1796875" style="229" customWidth="1"/>
    <col min="12454" max="12454" width="10.453125" style="229" customWidth="1"/>
    <col min="12455" max="12455" width="10.54296875" style="229" customWidth="1"/>
    <col min="12456" max="12458" width="7.7265625" style="229" customWidth="1"/>
    <col min="12459" max="12459" width="13.1796875" style="229" customWidth="1"/>
    <col min="12460" max="12460" width="11.54296875" style="229" customWidth="1"/>
    <col min="12461" max="12477" width="9.453125" style="229" customWidth="1"/>
    <col min="12478" max="12478" width="10.54296875" style="229" customWidth="1"/>
    <col min="12479" max="12479" width="10" style="229" customWidth="1"/>
    <col min="12480" max="12484" width="9.453125" style="229" customWidth="1"/>
    <col min="12485" max="12485" width="12.7265625" style="229" customWidth="1"/>
    <col min="12486" max="12486" width="10.7265625" style="229" customWidth="1"/>
    <col min="12487" max="12487" width="11.26953125" style="229" customWidth="1"/>
    <col min="12488" max="12490" width="9.81640625" style="229" customWidth="1"/>
    <col min="12491" max="12492" width="12.453125" style="229" customWidth="1"/>
    <col min="12493" max="12493" width="12.81640625" style="229" customWidth="1"/>
    <col min="12494" max="12494" width="10.54296875" style="229" customWidth="1"/>
    <col min="12495" max="12495" width="10" style="229" customWidth="1"/>
    <col min="12496" max="12498" width="10.453125" style="229" customWidth="1"/>
    <col min="12499" max="12499" width="13" style="229" customWidth="1"/>
    <col min="12500" max="12500" width="12.453125" style="229" customWidth="1"/>
    <col min="12501" max="12509" width="13" style="229" customWidth="1"/>
    <col min="12510" max="12510" width="11.26953125" style="229" customWidth="1"/>
    <col min="12511" max="12514" width="10" style="229" customWidth="1"/>
    <col min="12515" max="12515" width="12.81640625" style="229" customWidth="1"/>
    <col min="12516" max="12516" width="14.1796875" style="229" customWidth="1"/>
    <col min="12517" max="12517" width="13.54296875" style="229" customWidth="1"/>
    <col min="12518" max="12707" width="9.1796875" style="229"/>
    <col min="12708" max="12708" width="5.453125" style="229" customWidth="1"/>
    <col min="12709" max="12709" width="54.1796875" style="229" customWidth="1"/>
    <col min="12710" max="12710" width="10.453125" style="229" customWidth="1"/>
    <col min="12711" max="12711" width="10.54296875" style="229" customWidth="1"/>
    <col min="12712" max="12714" width="7.7265625" style="229" customWidth="1"/>
    <col min="12715" max="12715" width="13.1796875" style="229" customWidth="1"/>
    <col min="12716" max="12716" width="11.54296875" style="229" customWidth="1"/>
    <col min="12717" max="12733" width="9.453125" style="229" customWidth="1"/>
    <col min="12734" max="12734" width="10.54296875" style="229" customWidth="1"/>
    <col min="12735" max="12735" width="10" style="229" customWidth="1"/>
    <col min="12736" max="12740" width="9.453125" style="229" customWidth="1"/>
    <col min="12741" max="12741" width="12.7265625" style="229" customWidth="1"/>
    <col min="12742" max="12742" width="10.7265625" style="229" customWidth="1"/>
    <col min="12743" max="12743" width="11.26953125" style="229" customWidth="1"/>
    <col min="12744" max="12746" width="9.81640625" style="229" customWidth="1"/>
    <col min="12747" max="12748" width="12.453125" style="229" customWidth="1"/>
    <col min="12749" max="12749" width="12.81640625" style="229" customWidth="1"/>
    <col min="12750" max="12750" width="10.54296875" style="229" customWidth="1"/>
    <col min="12751" max="12751" width="10" style="229" customWidth="1"/>
    <col min="12752" max="12754" width="10.453125" style="229" customWidth="1"/>
    <col min="12755" max="12755" width="13" style="229" customWidth="1"/>
    <col min="12756" max="12756" width="12.453125" style="229" customWidth="1"/>
    <col min="12757" max="12765" width="13" style="229" customWidth="1"/>
    <col min="12766" max="12766" width="11.26953125" style="229" customWidth="1"/>
    <col min="12767" max="12770" width="10" style="229" customWidth="1"/>
    <col min="12771" max="12771" width="12.81640625" style="229" customWidth="1"/>
    <col min="12772" max="12772" width="14.1796875" style="229" customWidth="1"/>
    <col min="12773" max="12773" width="13.54296875" style="229" customWidth="1"/>
    <col min="12774" max="12963" width="9.1796875" style="229"/>
    <col min="12964" max="12964" width="5.453125" style="229" customWidth="1"/>
    <col min="12965" max="12965" width="54.1796875" style="229" customWidth="1"/>
    <col min="12966" max="12966" width="10.453125" style="229" customWidth="1"/>
    <col min="12967" max="12967" width="10.54296875" style="229" customWidth="1"/>
    <col min="12968" max="12970" width="7.7265625" style="229" customWidth="1"/>
    <col min="12971" max="12971" width="13.1796875" style="229" customWidth="1"/>
    <col min="12972" max="12972" width="11.54296875" style="229" customWidth="1"/>
    <col min="12973" max="12989" width="9.453125" style="229" customWidth="1"/>
    <col min="12990" max="12990" width="10.54296875" style="229" customWidth="1"/>
    <col min="12991" max="12991" width="10" style="229" customWidth="1"/>
    <col min="12992" max="12996" width="9.453125" style="229" customWidth="1"/>
    <col min="12997" max="12997" width="12.7265625" style="229" customWidth="1"/>
    <col min="12998" max="12998" width="10.7265625" style="229" customWidth="1"/>
    <col min="12999" max="12999" width="11.26953125" style="229" customWidth="1"/>
    <col min="13000" max="13002" width="9.81640625" style="229" customWidth="1"/>
    <col min="13003" max="13004" width="12.453125" style="229" customWidth="1"/>
    <col min="13005" max="13005" width="12.81640625" style="229" customWidth="1"/>
    <col min="13006" max="13006" width="10.54296875" style="229" customWidth="1"/>
    <col min="13007" max="13007" width="10" style="229" customWidth="1"/>
    <col min="13008" max="13010" width="10.453125" style="229" customWidth="1"/>
    <col min="13011" max="13011" width="13" style="229" customWidth="1"/>
    <col min="13012" max="13012" width="12.453125" style="229" customWidth="1"/>
    <col min="13013" max="13021" width="13" style="229" customWidth="1"/>
    <col min="13022" max="13022" width="11.26953125" style="229" customWidth="1"/>
    <col min="13023" max="13026" width="10" style="229" customWidth="1"/>
    <col min="13027" max="13027" width="12.81640625" style="229" customWidth="1"/>
    <col min="13028" max="13028" width="14.1796875" style="229" customWidth="1"/>
    <col min="13029" max="13029" width="13.54296875" style="229" customWidth="1"/>
    <col min="13030" max="13219" width="9.1796875" style="229"/>
    <col min="13220" max="13220" width="5.453125" style="229" customWidth="1"/>
    <col min="13221" max="13221" width="54.1796875" style="229" customWidth="1"/>
    <col min="13222" max="13222" width="10.453125" style="229" customWidth="1"/>
    <col min="13223" max="13223" width="10.54296875" style="229" customWidth="1"/>
    <col min="13224" max="13226" width="7.7265625" style="229" customWidth="1"/>
    <col min="13227" max="13227" width="13.1796875" style="229" customWidth="1"/>
    <col min="13228" max="13228" width="11.54296875" style="229" customWidth="1"/>
    <col min="13229" max="13245" width="9.453125" style="229" customWidth="1"/>
    <col min="13246" max="13246" width="10.54296875" style="229" customWidth="1"/>
    <col min="13247" max="13247" width="10" style="229" customWidth="1"/>
    <col min="13248" max="13252" width="9.453125" style="229" customWidth="1"/>
    <col min="13253" max="13253" width="12.7265625" style="229" customWidth="1"/>
    <col min="13254" max="13254" width="10.7265625" style="229" customWidth="1"/>
    <col min="13255" max="13255" width="11.26953125" style="229" customWidth="1"/>
    <col min="13256" max="13258" width="9.81640625" style="229" customWidth="1"/>
    <col min="13259" max="13260" width="12.453125" style="229" customWidth="1"/>
    <col min="13261" max="13261" width="12.81640625" style="229" customWidth="1"/>
    <col min="13262" max="13262" width="10.54296875" style="229" customWidth="1"/>
    <col min="13263" max="13263" width="10" style="229" customWidth="1"/>
    <col min="13264" max="13266" width="10.453125" style="229" customWidth="1"/>
    <col min="13267" max="13267" width="13" style="229" customWidth="1"/>
    <col min="13268" max="13268" width="12.453125" style="229" customWidth="1"/>
    <col min="13269" max="13277" width="13" style="229" customWidth="1"/>
    <col min="13278" max="13278" width="11.26953125" style="229" customWidth="1"/>
    <col min="13279" max="13282" width="10" style="229" customWidth="1"/>
    <col min="13283" max="13283" width="12.81640625" style="229" customWidth="1"/>
    <col min="13284" max="13284" width="14.1796875" style="229" customWidth="1"/>
    <col min="13285" max="13285" width="13.54296875" style="229" customWidth="1"/>
    <col min="13286" max="13475" width="9.1796875" style="229"/>
    <col min="13476" max="13476" width="5.453125" style="229" customWidth="1"/>
    <col min="13477" max="13477" width="54.1796875" style="229" customWidth="1"/>
    <col min="13478" max="13478" width="10.453125" style="229" customWidth="1"/>
    <col min="13479" max="13479" width="10.54296875" style="229" customWidth="1"/>
    <col min="13480" max="13482" width="7.7265625" style="229" customWidth="1"/>
    <col min="13483" max="13483" width="13.1796875" style="229" customWidth="1"/>
    <col min="13484" max="13484" width="11.54296875" style="229" customWidth="1"/>
    <col min="13485" max="13501" width="9.453125" style="229" customWidth="1"/>
    <col min="13502" max="13502" width="10.54296875" style="229" customWidth="1"/>
    <col min="13503" max="13503" width="10" style="229" customWidth="1"/>
    <col min="13504" max="13508" width="9.453125" style="229" customWidth="1"/>
    <col min="13509" max="13509" width="12.7265625" style="229" customWidth="1"/>
    <col min="13510" max="13510" width="10.7265625" style="229" customWidth="1"/>
    <col min="13511" max="13511" width="11.26953125" style="229" customWidth="1"/>
    <col min="13512" max="13514" width="9.81640625" style="229" customWidth="1"/>
    <col min="13515" max="13516" width="12.453125" style="229" customWidth="1"/>
    <col min="13517" max="13517" width="12.81640625" style="229" customWidth="1"/>
    <col min="13518" max="13518" width="10.54296875" style="229" customWidth="1"/>
    <col min="13519" max="13519" width="10" style="229" customWidth="1"/>
    <col min="13520" max="13522" width="10.453125" style="229" customWidth="1"/>
    <col min="13523" max="13523" width="13" style="229" customWidth="1"/>
    <col min="13524" max="13524" width="12.453125" style="229" customWidth="1"/>
    <col min="13525" max="13533" width="13" style="229" customWidth="1"/>
    <col min="13534" max="13534" width="11.26953125" style="229" customWidth="1"/>
    <col min="13535" max="13538" width="10" style="229" customWidth="1"/>
    <col min="13539" max="13539" width="12.81640625" style="229" customWidth="1"/>
    <col min="13540" max="13540" width="14.1796875" style="229" customWidth="1"/>
    <col min="13541" max="13541" width="13.54296875" style="229" customWidth="1"/>
    <col min="13542" max="13731" width="9.1796875" style="229"/>
    <col min="13732" max="13732" width="5.453125" style="229" customWidth="1"/>
    <col min="13733" max="13733" width="54.1796875" style="229" customWidth="1"/>
    <col min="13734" max="13734" width="10.453125" style="229" customWidth="1"/>
    <col min="13735" max="13735" width="10.54296875" style="229" customWidth="1"/>
    <col min="13736" max="13738" width="7.7265625" style="229" customWidth="1"/>
    <col min="13739" max="13739" width="13.1796875" style="229" customWidth="1"/>
    <col min="13740" max="13740" width="11.54296875" style="229" customWidth="1"/>
    <col min="13741" max="13757" width="9.453125" style="229" customWidth="1"/>
    <col min="13758" max="13758" width="10.54296875" style="229" customWidth="1"/>
    <col min="13759" max="13759" width="10" style="229" customWidth="1"/>
    <col min="13760" max="13764" width="9.453125" style="229" customWidth="1"/>
    <col min="13765" max="13765" width="12.7265625" style="229" customWidth="1"/>
    <col min="13766" max="13766" width="10.7265625" style="229" customWidth="1"/>
    <col min="13767" max="13767" width="11.26953125" style="229" customWidth="1"/>
    <col min="13768" max="13770" width="9.81640625" style="229" customWidth="1"/>
    <col min="13771" max="13772" width="12.453125" style="229" customWidth="1"/>
    <col min="13773" max="13773" width="12.81640625" style="229" customWidth="1"/>
    <col min="13774" max="13774" width="10.54296875" style="229" customWidth="1"/>
    <col min="13775" max="13775" width="10" style="229" customWidth="1"/>
    <col min="13776" max="13778" width="10.453125" style="229" customWidth="1"/>
    <col min="13779" max="13779" width="13" style="229" customWidth="1"/>
    <col min="13780" max="13780" width="12.453125" style="229" customWidth="1"/>
    <col min="13781" max="13789" width="13" style="229" customWidth="1"/>
    <col min="13790" max="13790" width="11.26953125" style="229" customWidth="1"/>
    <col min="13791" max="13794" width="10" style="229" customWidth="1"/>
    <col min="13795" max="13795" width="12.81640625" style="229" customWidth="1"/>
    <col min="13796" max="13796" width="14.1796875" style="229" customWidth="1"/>
    <col min="13797" max="13797" width="13.54296875" style="229" customWidth="1"/>
    <col min="13798" max="13987" width="9.1796875" style="229"/>
    <col min="13988" max="13988" width="5.453125" style="229" customWidth="1"/>
    <col min="13989" max="13989" width="54.1796875" style="229" customWidth="1"/>
    <col min="13990" max="13990" width="10.453125" style="229" customWidth="1"/>
    <col min="13991" max="13991" width="10.54296875" style="229" customWidth="1"/>
    <col min="13992" max="13994" width="7.7265625" style="229" customWidth="1"/>
    <col min="13995" max="13995" width="13.1796875" style="229" customWidth="1"/>
    <col min="13996" max="13996" width="11.54296875" style="229" customWidth="1"/>
    <col min="13997" max="14013" width="9.453125" style="229" customWidth="1"/>
    <col min="14014" max="14014" width="10.54296875" style="229" customWidth="1"/>
    <col min="14015" max="14015" width="10" style="229" customWidth="1"/>
    <col min="14016" max="14020" width="9.453125" style="229" customWidth="1"/>
    <col min="14021" max="14021" width="12.7265625" style="229" customWidth="1"/>
    <col min="14022" max="14022" width="10.7265625" style="229" customWidth="1"/>
    <col min="14023" max="14023" width="11.26953125" style="229" customWidth="1"/>
    <col min="14024" max="14026" width="9.81640625" style="229" customWidth="1"/>
    <col min="14027" max="14028" width="12.453125" style="229" customWidth="1"/>
    <col min="14029" max="14029" width="12.81640625" style="229" customWidth="1"/>
    <col min="14030" max="14030" width="10.54296875" style="229" customWidth="1"/>
    <col min="14031" max="14031" width="10" style="229" customWidth="1"/>
    <col min="14032" max="14034" width="10.453125" style="229" customWidth="1"/>
    <col min="14035" max="14035" width="13" style="229" customWidth="1"/>
    <col min="14036" max="14036" width="12.453125" style="229" customWidth="1"/>
    <col min="14037" max="14045" width="13" style="229" customWidth="1"/>
    <col min="14046" max="14046" width="11.26953125" style="229" customWidth="1"/>
    <col min="14047" max="14050" width="10" style="229" customWidth="1"/>
    <col min="14051" max="14051" width="12.81640625" style="229" customWidth="1"/>
    <col min="14052" max="14052" width="14.1796875" style="229" customWidth="1"/>
    <col min="14053" max="14053" width="13.54296875" style="229" customWidth="1"/>
    <col min="14054" max="14243" width="9.1796875" style="229"/>
    <col min="14244" max="14244" width="5.453125" style="229" customWidth="1"/>
    <col min="14245" max="14245" width="54.1796875" style="229" customWidth="1"/>
    <col min="14246" max="14246" width="10.453125" style="229" customWidth="1"/>
    <col min="14247" max="14247" width="10.54296875" style="229" customWidth="1"/>
    <col min="14248" max="14250" width="7.7265625" style="229" customWidth="1"/>
    <col min="14251" max="14251" width="13.1796875" style="229" customWidth="1"/>
    <col min="14252" max="14252" width="11.54296875" style="229" customWidth="1"/>
    <col min="14253" max="14269" width="9.453125" style="229" customWidth="1"/>
    <col min="14270" max="14270" width="10.54296875" style="229" customWidth="1"/>
    <col min="14271" max="14271" width="10" style="229" customWidth="1"/>
    <col min="14272" max="14276" width="9.453125" style="229" customWidth="1"/>
    <col min="14277" max="14277" width="12.7265625" style="229" customWidth="1"/>
    <col min="14278" max="14278" width="10.7265625" style="229" customWidth="1"/>
    <col min="14279" max="14279" width="11.26953125" style="229" customWidth="1"/>
    <col min="14280" max="14282" width="9.81640625" style="229" customWidth="1"/>
    <col min="14283" max="14284" width="12.453125" style="229" customWidth="1"/>
    <col min="14285" max="14285" width="12.81640625" style="229" customWidth="1"/>
    <col min="14286" max="14286" width="10.54296875" style="229" customWidth="1"/>
    <col min="14287" max="14287" width="10" style="229" customWidth="1"/>
    <col min="14288" max="14290" width="10.453125" style="229" customWidth="1"/>
    <col min="14291" max="14291" width="13" style="229" customWidth="1"/>
    <col min="14292" max="14292" width="12.453125" style="229" customWidth="1"/>
    <col min="14293" max="14301" width="13" style="229" customWidth="1"/>
    <col min="14302" max="14302" width="11.26953125" style="229" customWidth="1"/>
    <col min="14303" max="14306" width="10" style="229" customWidth="1"/>
    <col min="14307" max="14307" width="12.81640625" style="229" customWidth="1"/>
    <col min="14308" max="14308" width="14.1796875" style="229" customWidth="1"/>
    <col min="14309" max="14309" width="13.54296875" style="229" customWidth="1"/>
    <col min="14310" max="14499" width="9.1796875" style="229"/>
    <col min="14500" max="14500" width="5.453125" style="229" customWidth="1"/>
    <col min="14501" max="14501" width="54.1796875" style="229" customWidth="1"/>
    <col min="14502" max="14502" width="10.453125" style="229" customWidth="1"/>
    <col min="14503" max="14503" width="10.54296875" style="229" customWidth="1"/>
    <col min="14504" max="14506" width="7.7265625" style="229" customWidth="1"/>
    <col min="14507" max="14507" width="13.1796875" style="229" customWidth="1"/>
    <col min="14508" max="14508" width="11.54296875" style="229" customWidth="1"/>
    <col min="14509" max="14525" width="9.453125" style="229" customWidth="1"/>
    <col min="14526" max="14526" width="10.54296875" style="229" customWidth="1"/>
    <col min="14527" max="14527" width="10" style="229" customWidth="1"/>
    <col min="14528" max="14532" width="9.453125" style="229" customWidth="1"/>
    <col min="14533" max="14533" width="12.7265625" style="229" customWidth="1"/>
    <col min="14534" max="14534" width="10.7265625" style="229" customWidth="1"/>
    <col min="14535" max="14535" width="11.26953125" style="229" customWidth="1"/>
    <col min="14536" max="14538" width="9.81640625" style="229" customWidth="1"/>
    <col min="14539" max="14540" width="12.453125" style="229" customWidth="1"/>
    <col min="14541" max="14541" width="12.81640625" style="229" customWidth="1"/>
    <col min="14542" max="14542" width="10.54296875" style="229" customWidth="1"/>
    <col min="14543" max="14543" width="10" style="229" customWidth="1"/>
    <col min="14544" max="14546" width="10.453125" style="229" customWidth="1"/>
    <col min="14547" max="14547" width="13" style="229" customWidth="1"/>
    <col min="14548" max="14548" width="12.453125" style="229" customWidth="1"/>
    <col min="14549" max="14557" width="13" style="229" customWidth="1"/>
    <col min="14558" max="14558" width="11.26953125" style="229" customWidth="1"/>
    <col min="14559" max="14562" width="10" style="229" customWidth="1"/>
    <col min="14563" max="14563" width="12.81640625" style="229" customWidth="1"/>
    <col min="14564" max="14564" width="14.1796875" style="229" customWidth="1"/>
    <col min="14565" max="14565" width="13.54296875" style="229" customWidth="1"/>
    <col min="14566" max="14755" width="9.1796875" style="229"/>
    <col min="14756" max="14756" width="5.453125" style="229" customWidth="1"/>
    <col min="14757" max="14757" width="54.1796875" style="229" customWidth="1"/>
    <col min="14758" max="14758" width="10.453125" style="229" customWidth="1"/>
    <col min="14759" max="14759" width="10.54296875" style="229" customWidth="1"/>
    <col min="14760" max="14762" width="7.7265625" style="229" customWidth="1"/>
    <col min="14763" max="14763" width="13.1796875" style="229" customWidth="1"/>
    <col min="14764" max="14764" width="11.54296875" style="229" customWidth="1"/>
    <col min="14765" max="14781" width="9.453125" style="229" customWidth="1"/>
    <col min="14782" max="14782" width="10.54296875" style="229" customWidth="1"/>
    <col min="14783" max="14783" width="10" style="229" customWidth="1"/>
    <col min="14784" max="14788" width="9.453125" style="229" customWidth="1"/>
    <col min="14789" max="14789" width="12.7265625" style="229" customWidth="1"/>
    <col min="14790" max="14790" width="10.7265625" style="229" customWidth="1"/>
    <col min="14791" max="14791" width="11.26953125" style="229" customWidth="1"/>
    <col min="14792" max="14794" width="9.81640625" style="229" customWidth="1"/>
    <col min="14795" max="14796" width="12.453125" style="229" customWidth="1"/>
    <col min="14797" max="14797" width="12.81640625" style="229" customWidth="1"/>
    <col min="14798" max="14798" width="10.54296875" style="229" customWidth="1"/>
    <col min="14799" max="14799" width="10" style="229" customWidth="1"/>
    <col min="14800" max="14802" width="10.453125" style="229" customWidth="1"/>
    <col min="14803" max="14803" width="13" style="229" customWidth="1"/>
    <col min="14804" max="14804" width="12.453125" style="229" customWidth="1"/>
    <col min="14805" max="14813" width="13" style="229" customWidth="1"/>
    <col min="14814" max="14814" width="11.26953125" style="229" customWidth="1"/>
    <col min="14815" max="14818" width="10" style="229" customWidth="1"/>
    <col min="14819" max="14819" width="12.81640625" style="229" customWidth="1"/>
    <col min="14820" max="14820" width="14.1796875" style="229" customWidth="1"/>
    <col min="14821" max="14821" width="13.54296875" style="229" customWidth="1"/>
    <col min="14822" max="15011" width="9.1796875" style="229"/>
    <col min="15012" max="15012" width="5.453125" style="229" customWidth="1"/>
    <col min="15013" max="15013" width="54.1796875" style="229" customWidth="1"/>
    <col min="15014" max="15014" width="10.453125" style="229" customWidth="1"/>
    <col min="15015" max="15015" width="10.54296875" style="229" customWidth="1"/>
    <col min="15016" max="15018" width="7.7265625" style="229" customWidth="1"/>
    <col min="15019" max="15019" width="13.1796875" style="229" customWidth="1"/>
    <col min="15020" max="15020" width="11.54296875" style="229" customWidth="1"/>
    <col min="15021" max="15037" width="9.453125" style="229" customWidth="1"/>
    <col min="15038" max="15038" width="10.54296875" style="229" customWidth="1"/>
    <col min="15039" max="15039" width="10" style="229" customWidth="1"/>
    <col min="15040" max="15044" width="9.453125" style="229" customWidth="1"/>
    <col min="15045" max="15045" width="12.7265625" style="229" customWidth="1"/>
    <col min="15046" max="15046" width="10.7265625" style="229" customWidth="1"/>
    <col min="15047" max="15047" width="11.26953125" style="229" customWidth="1"/>
    <col min="15048" max="15050" width="9.81640625" style="229" customWidth="1"/>
    <col min="15051" max="15052" width="12.453125" style="229" customWidth="1"/>
    <col min="15053" max="15053" width="12.81640625" style="229" customWidth="1"/>
    <col min="15054" max="15054" width="10.54296875" style="229" customWidth="1"/>
    <col min="15055" max="15055" width="10" style="229" customWidth="1"/>
    <col min="15056" max="15058" width="10.453125" style="229" customWidth="1"/>
    <col min="15059" max="15059" width="13" style="229" customWidth="1"/>
    <col min="15060" max="15060" width="12.453125" style="229" customWidth="1"/>
    <col min="15061" max="15069" width="13" style="229" customWidth="1"/>
    <col min="15070" max="15070" width="11.26953125" style="229" customWidth="1"/>
    <col min="15071" max="15074" width="10" style="229" customWidth="1"/>
    <col min="15075" max="15075" width="12.81640625" style="229" customWidth="1"/>
    <col min="15076" max="15076" width="14.1796875" style="229" customWidth="1"/>
    <col min="15077" max="15077" width="13.54296875" style="229" customWidth="1"/>
    <col min="15078" max="15267" width="9.1796875" style="229"/>
    <col min="15268" max="15268" width="5.453125" style="229" customWidth="1"/>
    <col min="15269" max="15269" width="54.1796875" style="229" customWidth="1"/>
    <col min="15270" max="15270" width="10.453125" style="229" customWidth="1"/>
    <col min="15271" max="15271" width="10.54296875" style="229" customWidth="1"/>
    <col min="15272" max="15274" width="7.7265625" style="229" customWidth="1"/>
    <col min="15275" max="15275" width="13.1796875" style="229" customWidth="1"/>
    <col min="15276" max="15276" width="11.54296875" style="229" customWidth="1"/>
    <col min="15277" max="15293" width="9.453125" style="229" customWidth="1"/>
    <col min="15294" max="15294" width="10.54296875" style="229" customWidth="1"/>
    <col min="15295" max="15295" width="10" style="229" customWidth="1"/>
    <col min="15296" max="15300" width="9.453125" style="229" customWidth="1"/>
    <col min="15301" max="15301" width="12.7265625" style="229" customWidth="1"/>
    <col min="15302" max="15302" width="10.7265625" style="229" customWidth="1"/>
    <col min="15303" max="15303" width="11.26953125" style="229" customWidth="1"/>
    <col min="15304" max="15306" width="9.81640625" style="229" customWidth="1"/>
    <col min="15307" max="15308" width="12.453125" style="229" customWidth="1"/>
    <col min="15309" max="15309" width="12.81640625" style="229" customWidth="1"/>
    <col min="15310" max="15310" width="10.54296875" style="229" customWidth="1"/>
    <col min="15311" max="15311" width="10" style="229" customWidth="1"/>
    <col min="15312" max="15314" width="10.453125" style="229" customWidth="1"/>
    <col min="15315" max="15315" width="13" style="229" customWidth="1"/>
    <col min="15316" max="15316" width="12.453125" style="229" customWidth="1"/>
    <col min="15317" max="15325" width="13" style="229" customWidth="1"/>
    <col min="15326" max="15326" width="11.26953125" style="229" customWidth="1"/>
    <col min="15327" max="15330" width="10" style="229" customWidth="1"/>
    <col min="15331" max="15331" width="12.81640625" style="229" customWidth="1"/>
    <col min="15332" max="15332" width="14.1796875" style="229" customWidth="1"/>
    <col min="15333" max="15333" width="13.54296875" style="229" customWidth="1"/>
    <col min="15334" max="15523" width="9.1796875" style="229"/>
    <col min="15524" max="15524" width="5.453125" style="229" customWidth="1"/>
    <col min="15525" max="15525" width="54.1796875" style="229" customWidth="1"/>
    <col min="15526" max="15526" width="10.453125" style="229" customWidth="1"/>
    <col min="15527" max="15527" width="10.54296875" style="229" customWidth="1"/>
    <col min="15528" max="15530" width="7.7265625" style="229" customWidth="1"/>
    <col min="15531" max="15531" width="13.1796875" style="229" customWidth="1"/>
    <col min="15532" max="15532" width="11.54296875" style="229" customWidth="1"/>
    <col min="15533" max="15549" width="9.453125" style="229" customWidth="1"/>
    <col min="15550" max="15550" width="10.54296875" style="229" customWidth="1"/>
    <col min="15551" max="15551" width="10" style="229" customWidth="1"/>
    <col min="15552" max="15556" width="9.453125" style="229" customWidth="1"/>
    <col min="15557" max="15557" width="12.7265625" style="229" customWidth="1"/>
    <col min="15558" max="15558" width="10.7265625" style="229" customWidth="1"/>
    <col min="15559" max="15559" width="11.26953125" style="229" customWidth="1"/>
    <col min="15560" max="15562" width="9.81640625" style="229" customWidth="1"/>
    <col min="15563" max="15564" width="12.453125" style="229" customWidth="1"/>
    <col min="15565" max="15565" width="12.81640625" style="229" customWidth="1"/>
    <col min="15566" max="15566" width="10.54296875" style="229" customWidth="1"/>
    <col min="15567" max="15567" width="10" style="229" customWidth="1"/>
    <col min="15568" max="15570" width="10.453125" style="229" customWidth="1"/>
    <col min="15571" max="15571" width="13" style="229" customWidth="1"/>
    <col min="15572" max="15572" width="12.453125" style="229" customWidth="1"/>
    <col min="15573" max="15581" width="13" style="229" customWidth="1"/>
    <col min="15582" max="15582" width="11.26953125" style="229" customWidth="1"/>
    <col min="15583" max="15586" width="10" style="229" customWidth="1"/>
    <col min="15587" max="15587" width="12.81640625" style="229" customWidth="1"/>
    <col min="15588" max="15588" width="14.1796875" style="229" customWidth="1"/>
    <col min="15589" max="15589" width="13.54296875" style="229" customWidth="1"/>
    <col min="15590" max="15779" width="9.1796875" style="229"/>
    <col min="15780" max="15780" width="5.453125" style="229" customWidth="1"/>
    <col min="15781" max="15781" width="54.1796875" style="229" customWidth="1"/>
    <col min="15782" max="15782" width="10.453125" style="229" customWidth="1"/>
    <col min="15783" max="15783" width="10.54296875" style="229" customWidth="1"/>
    <col min="15784" max="15786" width="7.7265625" style="229" customWidth="1"/>
    <col min="15787" max="15787" width="13.1796875" style="229" customWidth="1"/>
    <col min="15788" max="15788" width="11.54296875" style="229" customWidth="1"/>
    <col min="15789" max="15805" width="9.453125" style="229" customWidth="1"/>
    <col min="15806" max="15806" width="10.54296875" style="229" customWidth="1"/>
    <col min="15807" max="15807" width="10" style="229" customWidth="1"/>
    <col min="15808" max="15812" width="9.453125" style="229" customWidth="1"/>
    <col min="15813" max="15813" width="12.7265625" style="229" customWidth="1"/>
    <col min="15814" max="15814" width="10.7265625" style="229" customWidth="1"/>
    <col min="15815" max="15815" width="11.26953125" style="229" customWidth="1"/>
    <col min="15816" max="15818" width="9.81640625" style="229" customWidth="1"/>
    <col min="15819" max="15820" width="12.453125" style="229" customWidth="1"/>
    <col min="15821" max="15821" width="12.81640625" style="229" customWidth="1"/>
    <col min="15822" max="15822" width="10.54296875" style="229" customWidth="1"/>
    <col min="15823" max="15823" width="10" style="229" customWidth="1"/>
    <col min="15824" max="15826" width="10.453125" style="229" customWidth="1"/>
    <col min="15827" max="15827" width="13" style="229" customWidth="1"/>
    <col min="15828" max="15828" width="12.453125" style="229" customWidth="1"/>
    <col min="15829" max="15837" width="13" style="229" customWidth="1"/>
    <col min="15838" max="15838" width="11.26953125" style="229" customWidth="1"/>
    <col min="15839" max="15842" width="10" style="229" customWidth="1"/>
    <col min="15843" max="15843" width="12.81640625" style="229" customWidth="1"/>
    <col min="15844" max="15844" width="14.1796875" style="229" customWidth="1"/>
    <col min="15845" max="15845" width="13.54296875" style="229" customWidth="1"/>
    <col min="15846" max="16035" width="9.1796875" style="229"/>
    <col min="16036" max="16036" width="5.453125" style="229" customWidth="1"/>
    <col min="16037" max="16037" width="54.1796875" style="229" customWidth="1"/>
    <col min="16038" max="16038" width="10.453125" style="229" customWidth="1"/>
    <col min="16039" max="16039" width="10.54296875" style="229" customWidth="1"/>
    <col min="16040" max="16042" width="7.7265625" style="229" customWidth="1"/>
    <col min="16043" max="16043" width="13.1796875" style="229" customWidth="1"/>
    <col min="16044" max="16044" width="11.54296875" style="229" customWidth="1"/>
    <col min="16045" max="16061" width="9.453125" style="229" customWidth="1"/>
    <col min="16062" max="16062" width="10.54296875" style="229" customWidth="1"/>
    <col min="16063" max="16063" width="10" style="229" customWidth="1"/>
    <col min="16064" max="16068" width="9.453125" style="229" customWidth="1"/>
    <col min="16069" max="16069" width="12.7265625" style="229" customWidth="1"/>
    <col min="16070" max="16070" width="10.7265625" style="229" customWidth="1"/>
    <col min="16071" max="16071" width="11.26953125" style="229" customWidth="1"/>
    <col min="16072" max="16074" width="9.81640625" style="229" customWidth="1"/>
    <col min="16075" max="16076" width="12.453125" style="229" customWidth="1"/>
    <col min="16077" max="16077" width="12.81640625" style="229" customWidth="1"/>
    <col min="16078" max="16078" width="10.54296875" style="229" customWidth="1"/>
    <col min="16079" max="16079" width="10" style="229" customWidth="1"/>
    <col min="16080" max="16082" width="10.453125" style="229" customWidth="1"/>
    <col min="16083" max="16083" width="13" style="229" customWidth="1"/>
    <col min="16084" max="16084" width="12.453125" style="229" customWidth="1"/>
    <col min="16085" max="16093" width="13" style="229" customWidth="1"/>
    <col min="16094" max="16094" width="11.26953125" style="229" customWidth="1"/>
    <col min="16095" max="16098" width="10" style="229" customWidth="1"/>
    <col min="16099" max="16099" width="12.81640625" style="229" customWidth="1"/>
    <col min="16100" max="16100" width="14.1796875" style="229" customWidth="1"/>
    <col min="16101" max="16101" width="13.54296875" style="229" customWidth="1"/>
    <col min="16102" max="16384" width="9.1796875" style="229"/>
  </cols>
  <sheetData>
    <row r="1" spans="1:13">
      <c r="A1" s="307" t="s">
        <v>535</v>
      </c>
      <c r="B1" s="307" t="s">
        <v>535</v>
      </c>
      <c r="C1" s="307"/>
    </row>
    <row r="2" spans="1:13">
      <c r="A2" s="344" t="s">
        <v>1604</v>
      </c>
      <c r="B2" s="344" t="s">
        <v>1604</v>
      </c>
      <c r="C2" s="344"/>
      <c r="D2" s="344"/>
      <c r="E2" s="344"/>
      <c r="F2" s="344"/>
      <c r="G2" s="344"/>
      <c r="H2" s="344"/>
      <c r="I2" s="344"/>
      <c r="J2" s="344"/>
      <c r="K2" s="344"/>
      <c r="L2" s="344"/>
      <c r="M2" s="344"/>
    </row>
    <row r="3" spans="1:13">
      <c r="A3" s="572" t="s">
        <v>524</v>
      </c>
      <c r="B3" s="572" t="s">
        <v>524</v>
      </c>
      <c r="C3" s="572"/>
      <c r="D3" s="572"/>
      <c r="E3" s="572"/>
      <c r="F3" s="572"/>
      <c r="G3" s="572"/>
      <c r="H3" s="572"/>
      <c r="I3" s="572"/>
      <c r="J3" s="572"/>
      <c r="K3" s="572"/>
      <c r="L3" s="572"/>
      <c r="M3" s="572"/>
    </row>
    <row r="4" spans="1:13">
      <c r="A4" s="24"/>
    </row>
    <row r="5" spans="1:13" ht="12.75" customHeight="1">
      <c r="A5" s="3029" t="s">
        <v>1276</v>
      </c>
      <c r="B5" s="3029" t="s">
        <v>14</v>
      </c>
      <c r="C5" s="3092" t="s">
        <v>952</v>
      </c>
      <c r="D5" s="3092"/>
      <c r="E5" s="3092"/>
      <c r="F5" s="3092"/>
      <c r="G5" s="3092"/>
      <c r="H5" s="3092"/>
      <c r="I5" s="3092"/>
      <c r="J5" s="3092"/>
      <c r="K5" s="3092"/>
      <c r="L5" s="3092"/>
      <c r="M5" s="3092"/>
    </row>
    <row r="6" spans="1:13" ht="15" customHeight="1">
      <c r="A6" s="3030"/>
      <c r="B6" s="3030"/>
      <c r="C6" s="3092" t="s">
        <v>547</v>
      </c>
      <c r="D6" s="3092"/>
      <c r="E6" s="3092"/>
      <c r="F6" s="3092"/>
      <c r="G6" s="3092"/>
      <c r="H6" s="3092"/>
      <c r="I6" s="3092"/>
      <c r="J6" s="3092"/>
      <c r="K6" s="3092"/>
      <c r="L6" s="3092"/>
      <c r="M6" s="3092"/>
    </row>
    <row r="7" spans="1:13">
      <c r="A7" s="3030"/>
      <c r="B7" s="3030"/>
      <c r="C7" s="3092" t="s">
        <v>283</v>
      </c>
      <c r="D7" s="3092"/>
      <c r="E7" s="3092"/>
      <c r="F7" s="3092"/>
      <c r="G7" s="3092"/>
      <c r="H7" s="3092"/>
      <c r="I7" s="3092"/>
      <c r="J7" s="3092"/>
      <c r="K7" s="3092"/>
      <c r="L7" s="3092"/>
      <c r="M7" s="3092"/>
    </row>
    <row r="8" spans="1:13" ht="87">
      <c r="A8" s="3089"/>
      <c r="B8" s="3089"/>
      <c r="C8" s="322" t="s">
        <v>285</v>
      </c>
      <c r="D8" s="322" t="s">
        <v>286</v>
      </c>
      <c r="E8" s="322" t="s">
        <v>287</v>
      </c>
      <c r="F8" s="322" t="s">
        <v>780</v>
      </c>
      <c r="G8" s="322" t="s">
        <v>288</v>
      </c>
      <c r="H8" s="322" t="s">
        <v>1305</v>
      </c>
      <c r="I8" s="322" t="s">
        <v>1304</v>
      </c>
      <c r="J8" s="322" t="s">
        <v>751</v>
      </c>
      <c r="K8" s="322" t="s">
        <v>1319</v>
      </c>
      <c r="L8" s="322" t="s">
        <v>1320</v>
      </c>
      <c r="M8" s="322" t="s">
        <v>750</v>
      </c>
    </row>
    <row r="9" spans="1:13" ht="12.75" customHeight="1">
      <c r="A9" s="1439">
        <v>1</v>
      </c>
      <c r="B9" s="1402" t="s">
        <v>1448</v>
      </c>
      <c r="C9" s="1503">
        <f>F10A!C9</f>
        <v>4972161.7522499999</v>
      </c>
      <c r="D9" s="1503">
        <f>F10A!D9</f>
        <v>4813.8568544292975</v>
      </c>
      <c r="E9" s="1503">
        <f>F10A!E9</f>
        <v>4939310.2290000003</v>
      </c>
      <c r="F9" s="1031">
        <f>IFERROR(D9/(E9*24*365/10^6),0)</f>
        <v>0.11125582575284328</v>
      </c>
      <c r="G9" s="1280">
        <v>3</v>
      </c>
      <c r="H9" s="1280">
        <v>50</v>
      </c>
      <c r="I9" s="1280"/>
      <c r="J9" s="1280">
        <v>1444.1570563287892</v>
      </c>
      <c r="K9" s="209">
        <v>289.30245627000005</v>
      </c>
      <c r="L9" s="1280"/>
      <c r="M9" s="1280">
        <v>1733.4595125987892</v>
      </c>
    </row>
    <row r="10" spans="1:13">
      <c r="A10" s="1440"/>
      <c r="B10" s="1402" t="s">
        <v>1044</v>
      </c>
      <c r="C10" s="1503">
        <f>F10A!C10</f>
        <v>196501.05000000002</v>
      </c>
      <c r="D10" s="1503">
        <f>F10A!D10</f>
        <v>626.66123040000014</v>
      </c>
      <c r="E10" s="1503">
        <f>F10A!E10</f>
        <v>241767.45</v>
      </c>
      <c r="F10" s="1031">
        <f t="shared" ref="F10:F73" si="0">IFERROR(D10/(E10*24*365/10^6),0)</f>
        <v>0.29589041095890412</v>
      </c>
      <c r="G10" s="1280">
        <v>0</v>
      </c>
      <c r="H10" s="1280">
        <v>500</v>
      </c>
      <c r="I10" s="1280"/>
      <c r="J10" s="1280">
        <v>0</v>
      </c>
      <c r="K10" s="209">
        <v>217.59070500000004</v>
      </c>
      <c r="L10" s="1280"/>
      <c r="M10" s="1280">
        <v>217.59070500000004</v>
      </c>
    </row>
    <row r="11" spans="1:13">
      <c r="A11" s="1441"/>
      <c r="B11" s="1402" t="s">
        <v>1045</v>
      </c>
      <c r="C11" s="1503">
        <f>F10A!C11</f>
        <v>1219398.5850000007</v>
      </c>
      <c r="D11" s="1503">
        <f>F10A!D11</f>
        <v>2106.8157985892299</v>
      </c>
      <c r="E11" s="1503">
        <f>F10A!E11</f>
        <v>1582052.7470000007</v>
      </c>
      <c r="F11" s="1031">
        <f t="shared" si="0"/>
        <v>0.15202027053333381</v>
      </c>
      <c r="G11" s="1280">
        <v>0</v>
      </c>
      <c r="H11" s="1280">
        <v>0</v>
      </c>
      <c r="I11" s="1280"/>
      <c r="J11" s="1280">
        <v>841.37925964911528</v>
      </c>
      <c r="K11" s="209">
        <v>163.09525591800008</v>
      </c>
      <c r="L11" s="1280"/>
      <c r="M11" s="1280">
        <v>1004.4745155671153</v>
      </c>
    </row>
    <row r="12" spans="1:13" ht="12.75" customHeight="1">
      <c r="A12" s="1440"/>
      <c r="B12" s="1406" t="s">
        <v>1419</v>
      </c>
      <c r="C12" s="1503">
        <f>F10A!C12</f>
        <v>617015.68401000032</v>
      </c>
      <c r="D12" s="1503">
        <f>F10A!D12</f>
        <v>1081.0181669481694</v>
      </c>
      <c r="E12" s="1503">
        <f>F10A!E12</f>
        <v>697685</v>
      </c>
      <c r="F12" s="1031">
        <f t="shared" si="0"/>
        <v>0.17687624119272885</v>
      </c>
      <c r="G12" s="1280">
        <v>3.35</v>
      </c>
      <c r="H12" s="1280">
        <v>90</v>
      </c>
      <c r="I12" s="1280"/>
      <c r="J12" s="1280">
        <v>362.14108592763677</v>
      </c>
      <c r="K12" s="209">
        <v>71.925007859838033</v>
      </c>
      <c r="L12" s="1280"/>
      <c r="M12" s="1280">
        <v>434.06609378747481</v>
      </c>
    </row>
    <row r="13" spans="1:13">
      <c r="A13" s="1440"/>
      <c r="B13" s="1406" t="s">
        <v>1420</v>
      </c>
      <c r="C13" s="1503">
        <f>F10A!C13</f>
        <v>341431.60380000022</v>
      </c>
      <c r="D13" s="1503">
        <f>F10A!D13</f>
        <v>421.03390930255313</v>
      </c>
      <c r="E13" s="1503">
        <f>F10A!E13</f>
        <v>412915.76696700021</v>
      </c>
      <c r="F13" s="1031">
        <f t="shared" si="0"/>
        <v>0.11639960374626179</v>
      </c>
      <c r="G13" s="1280">
        <v>3.85</v>
      </c>
      <c r="H13" s="1280">
        <v>90</v>
      </c>
      <c r="I13" s="1280"/>
      <c r="J13" s="1280">
        <v>162.09805508148295</v>
      </c>
      <c r="K13" s="209">
        <v>42.567861794598016</v>
      </c>
      <c r="L13" s="1280"/>
      <c r="M13" s="1280">
        <v>204.66591687608098</v>
      </c>
    </row>
    <row r="14" spans="1:13">
      <c r="A14" s="1441"/>
      <c r="B14" s="1406" t="s">
        <v>1421</v>
      </c>
      <c r="C14" s="1503">
        <f>F10A!C14</f>
        <v>181690.38916500009</v>
      </c>
      <c r="D14" s="1503">
        <f>F10A!D14</f>
        <v>363.39904158119941</v>
      </c>
      <c r="E14" s="1503">
        <f>F10A!E14</f>
        <v>253128.4395200001</v>
      </c>
      <c r="F14" s="1031">
        <f t="shared" si="0"/>
        <v>0.16388482042936781</v>
      </c>
      <c r="G14" s="1280">
        <v>5</v>
      </c>
      <c r="H14" s="1280">
        <v>90</v>
      </c>
      <c r="I14" s="1280"/>
      <c r="J14" s="1280">
        <v>181.69952079059971</v>
      </c>
      <c r="K14" s="209">
        <v>26.095240946880011</v>
      </c>
      <c r="L14" s="1280"/>
      <c r="M14" s="1280">
        <v>207.79476173747972</v>
      </c>
    </row>
    <row r="15" spans="1:13">
      <c r="A15" s="1441"/>
      <c r="B15" s="1406" t="s">
        <v>1422</v>
      </c>
      <c r="C15" s="1503">
        <f>F10A!C15</f>
        <v>66457.222882500035</v>
      </c>
      <c r="D15" s="1503">
        <f>F10A!D15</f>
        <v>187.56421209977492</v>
      </c>
      <c r="E15" s="1503">
        <f>F10A!E15</f>
        <v>142384.74723000007</v>
      </c>
      <c r="F15" s="1031">
        <f t="shared" si="0"/>
        <v>0.15037734135125042</v>
      </c>
      <c r="G15" s="1280">
        <v>5.5</v>
      </c>
      <c r="H15" s="1280">
        <v>90</v>
      </c>
      <c r="I15" s="1280"/>
      <c r="J15" s="1280">
        <v>103.16031665487621</v>
      </c>
      <c r="K15" s="209">
        <v>14.678573032620006</v>
      </c>
      <c r="L15" s="1280"/>
      <c r="M15" s="1280">
        <v>117.83888968749622</v>
      </c>
    </row>
    <row r="16" spans="1:13">
      <c r="A16" s="1441"/>
      <c r="B16" s="1409" t="s">
        <v>1423</v>
      </c>
      <c r="C16" s="1503">
        <f>F10A!C16</f>
        <v>12803.685142499951</v>
      </c>
      <c r="D16" s="1503">
        <f>F10A!D16</f>
        <v>53.800468657532619</v>
      </c>
      <c r="E16" s="1503">
        <f>F10A!E16</f>
        <v>75938.531856000103</v>
      </c>
      <c r="F16" s="1031">
        <f t="shared" si="0"/>
        <v>8.0876017234307332E-2</v>
      </c>
      <c r="G16" s="1280">
        <v>6</v>
      </c>
      <c r="H16" s="1280">
        <v>90</v>
      </c>
      <c r="I16" s="1280"/>
      <c r="J16" s="1280">
        <v>32.280281194519567</v>
      </c>
      <c r="K16" s="209">
        <v>7.82857228406401</v>
      </c>
      <c r="L16" s="1280"/>
      <c r="M16" s="1280">
        <v>40.108853478583576</v>
      </c>
    </row>
    <row r="17" spans="1:13">
      <c r="A17" s="1441"/>
      <c r="B17" s="1402" t="s">
        <v>1046</v>
      </c>
      <c r="C17" s="1503">
        <f>F10A!C17</f>
        <v>11.115</v>
      </c>
      <c r="D17" s="1503">
        <f>F10A!D17</f>
        <v>8.1</v>
      </c>
      <c r="E17" s="1503">
        <f>F10A!E17</f>
        <v>38634.181999999993</v>
      </c>
      <c r="F17" s="1031">
        <f t="shared" si="0"/>
        <v>2.3933664086548422E-2</v>
      </c>
      <c r="G17" s="1280">
        <v>7</v>
      </c>
      <c r="H17" s="1280">
        <v>110</v>
      </c>
      <c r="I17" s="1280"/>
      <c r="J17" s="1280">
        <v>5.67</v>
      </c>
      <c r="K17" s="209">
        <v>5.233914972</v>
      </c>
      <c r="L17" s="1280"/>
      <c r="M17" s="1280">
        <v>10.903914971999999</v>
      </c>
    </row>
    <row r="18" spans="1:13">
      <c r="A18" s="1441"/>
      <c r="B18" s="1402" t="s">
        <v>1047</v>
      </c>
      <c r="C18" s="1503">
        <f>F10A!C18</f>
        <v>2125520.6175000002</v>
      </c>
      <c r="D18" s="1503">
        <f>F10A!D18</f>
        <v>5377.1073529521191</v>
      </c>
      <c r="E18" s="1503">
        <f>F10A!E18</f>
        <v>3561032.3385000001</v>
      </c>
      <c r="F18" s="1031">
        <f t="shared" si="0"/>
        <v>0.17237277899865885</v>
      </c>
      <c r="G18" s="1280">
        <v>0</v>
      </c>
      <c r="H18" s="1280">
        <v>0</v>
      </c>
      <c r="I18" s="1280"/>
      <c r="J18" s="1280">
        <v>3201.1526088932642</v>
      </c>
      <c r="K18" s="209">
        <v>458.86445276099994</v>
      </c>
      <c r="L18" s="1280"/>
      <c r="M18" s="1280">
        <v>3660.0170616542641</v>
      </c>
    </row>
    <row r="19" spans="1:13">
      <c r="A19" s="1440"/>
      <c r="B19" s="1406" t="s">
        <v>1424</v>
      </c>
      <c r="C19" s="1503">
        <f>F10A!C19</f>
        <v>1551630.0507750001</v>
      </c>
      <c r="D19" s="1503">
        <f>F10A!D19</f>
        <v>2914.9905936382415</v>
      </c>
      <c r="E19" s="1503">
        <f>F10A!E19</f>
        <v>2100565.2855697237</v>
      </c>
      <c r="F19" s="1031">
        <f t="shared" si="0"/>
        <v>0.15841520641039433</v>
      </c>
      <c r="G19" s="1280">
        <v>5.5</v>
      </c>
      <c r="H19" s="1280">
        <v>110</v>
      </c>
      <c r="I19" s="1280"/>
      <c r="J19" s="1280">
        <v>1603.244826501033</v>
      </c>
      <c r="K19" s="209">
        <v>270.67284108341295</v>
      </c>
      <c r="L19" s="1280"/>
      <c r="M19" s="1280">
        <v>1873.917667584446</v>
      </c>
    </row>
    <row r="20" spans="1:13">
      <c r="A20" s="1440"/>
      <c r="B20" s="1406" t="s">
        <v>1421</v>
      </c>
      <c r="C20" s="1503">
        <f>F10A!C20</f>
        <v>173424.12331973464</v>
      </c>
      <c r="D20" s="1503">
        <f>F10A!D20</f>
        <v>892.6158379196462</v>
      </c>
      <c r="E20" s="1503">
        <f>F10A!E20</f>
        <v>532322.50818135671</v>
      </c>
      <c r="F20" s="1031">
        <f t="shared" si="0"/>
        <v>0.19141926855350888</v>
      </c>
      <c r="G20" s="1280">
        <v>6</v>
      </c>
      <c r="H20" s="1280">
        <v>110</v>
      </c>
      <c r="I20" s="1280"/>
      <c r="J20" s="1280">
        <v>535.5695027517877</v>
      </c>
      <c r="K20" s="209">
        <v>68.593557482797664</v>
      </c>
      <c r="L20" s="1280"/>
      <c r="M20" s="1280">
        <v>604.16306023458537</v>
      </c>
    </row>
    <row r="21" spans="1:13">
      <c r="A21" s="1441"/>
      <c r="B21" s="1406" t="s">
        <v>1422</v>
      </c>
      <c r="C21" s="1503">
        <f>F10A!C21</f>
        <v>173573.04340084933</v>
      </c>
      <c r="D21" s="1503">
        <f>F10A!D21</f>
        <v>726.24730671035888</v>
      </c>
      <c r="E21" s="1503">
        <f>F10A!E21</f>
        <v>471716.9813216537</v>
      </c>
      <c r="F21" s="1031">
        <f t="shared" si="0"/>
        <v>0.17575145049074678</v>
      </c>
      <c r="G21" s="1280">
        <v>6.5</v>
      </c>
      <c r="H21" s="1280">
        <v>110</v>
      </c>
      <c r="I21" s="1280"/>
      <c r="J21" s="1280">
        <v>472.06074936173326</v>
      </c>
      <c r="K21" s="209">
        <v>60.784102450304509</v>
      </c>
      <c r="L21" s="1280"/>
      <c r="M21" s="1280">
        <v>532.84485181203775</v>
      </c>
    </row>
    <row r="22" spans="1:13">
      <c r="A22" s="1441"/>
      <c r="B22" s="1406" t="s">
        <v>1423</v>
      </c>
      <c r="C22" s="1503">
        <f>F10A!C22</f>
        <v>226893.40000441615</v>
      </c>
      <c r="D22" s="1503">
        <f>F10A!D22</f>
        <v>843.25361468387189</v>
      </c>
      <c r="E22" s="1503">
        <f>F10A!E22</f>
        <v>456427.56342726585</v>
      </c>
      <c r="F22" s="1031">
        <f t="shared" si="0"/>
        <v>0.21090274968812039</v>
      </c>
      <c r="G22" s="1280">
        <v>7</v>
      </c>
      <c r="H22" s="1280">
        <v>110</v>
      </c>
      <c r="I22" s="1280"/>
      <c r="J22" s="1280">
        <v>590.27753027871029</v>
      </c>
      <c r="K22" s="209">
        <v>58.813951744484832</v>
      </c>
      <c r="L22" s="1280"/>
      <c r="M22" s="1280">
        <v>649.09148202319511</v>
      </c>
    </row>
    <row r="23" spans="1:13">
      <c r="A23" s="1441"/>
      <c r="B23" s="1402" t="s">
        <v>1425</v>
      </c>
      <c r="C23" s="1503">
        <f>F10A!C23</f>
        <v>8513593.1197500005</v>
      </c>
      <c r="D23" s="1503">
        <f>F10A!D23</f>
        <v>12932.541236370645</v>
      </c>
      <c r="E23" s="1503">
        <f>F10A!E23</f>
        <v>10362796.946500001</v>
      </c>
      <c r="F23" s="1031">
        <f t="shared" si="0"/>
        <v>0.14246322690275198</v>
      </c>
      <c r="G23" s="1280">
        <v>0</v>
      </c>
      <c r="H23" s="1280">
        <v>0</v>
      </c>
      <c r="I23" s="1280"/>
      <c r="J23" s="1280">
        <v>5492.3589248711687</v>
      </c>
      <c r="K23" s="209">
        <v>1134.0867849209999</v>
      </c>
      <c r="L23" s="1280"/>
      <c r="M23" s="1280">
        <v>6626.4457097921695</v>
      </c>
    </row>
    <row r="24" spans="1:13">
      <c r="A24" s="1441"/>
      <c r="B24" s="1409"/>
      <c r="C24" s="1503">
        <f>F10A!C24</f>
        <v>0</v>
      </c>
      <c r="D24" s="1503">
        <f>F10A!D24</f>
        <v>0</v>
      </c>
      <c r="E24" s="1503">
        <f>F10A!E24</f>
        <v>0</v>
      </c>
      <c r="F24" s="1031">
        <f t="shared" si="0"/>
        <v>0</v>
      </c>
      <c r="G24" s="1280">
        <v>0</v>
      </c>
      <c r="H24" s="1280">
        <v>0</v>
      </c>
      <c r="I24" s="1280"/>
      <c r="J24" s="1280">
        <v>0</v>
      </c>
      <c r="K24" s="209">
        <v>0</v>
      </c>
      <c r="L24" s="1280"/>
      <c r="M24" s="1280">
        <v>0</v>
      </c>
    </row>
    <row r="25" spans="1:13">
      <c r="A25" s="1440"/>
      <c r="B25" s="1402" t="s">
        <v>1398</v>
      </c>
      <c r="C25" s="1503">
        <f>F10A!C25</f>
        <v>0</v>
      </c>
      <c r="D25" s="1503">
        <f>F10A!D25</f>
        <v>0</v>
      </c>
      <c r="E25" s="1503">
        <f>F10A!E25</f>
        <v>0</v>
      </c>
      <c r="F25" s="1031">
        <f t="shared" si="0"/>
        <v>0</v>
      </c>
      <c r="G25" s="1280">
        <v>0</v>
      </c>
      <c r="H25" s="1280">
        <v>0</v>
      </c>
      <c r="I25" s="1280"/>
      <c r="J25" s="1280">
        <v>0</v>
      </c>
      <c r="K25" s="209">
        <v>0</v>
      </c>
      <c r="L25" s="1280"/>
      <c r="M25" s="1280">
        <v>0</v>
      </c>
    </row>
    <row r="26" spans="1:13">
      <c r="A26" s="1441"/>
      <c r="B26" s="1402" t="s">
        <v>1051</v>
      </c>
      <c r="C26" s="1503">
        <f>F10A!C26</f>
        <v>0</v>
      </c>
      <c r="D26" s="1503">
        <f>F10A!D26</f>
        <v>0</v>
      </c>
      <c r="E26" s="1503">
        <f>F10A!E26</f>
        <v>0</v>
      </c>
      <c r="F26" s="1031">
        <f t="shared" si="0"/>
        <v>0</v>
      </c>
      <c r="G26" s="1280">
        <v>0</v>
      </c>
      <c r="H26" s="1280">
        <v>1000</v>
      </c>
      <c r="I26" s="1280"/>
      <c r="J26" s="1280">
        <v>0</v>
      </c>
      <c r="K26" s="209">
        <v>0</v>
      </c>
      <c r="L26" s="1280"/>
      <c r="M26" s="1280">
        <v>0</v>
      </c>
    </row>
    <row r="27" spans="1:13">
      <c r="A27" s="1441">
        <v>2</v>
      </c>
      <c r="B27" s="1402" t="s">
        <v>1052</v>
      </c>
      <c r="C27" s="1503">
        <f>F10A!C27</f>
        <v>102926.69100000001</v>
      </c>
      <c r="D27" s="1503">
        <f>F10A!D27</f>
        <v>703.45074399999953</v>
      </c>
      <c r="E27" s="1503">
        <f>F10A!E27</f>
        <v>312765.28500000003</v>
      </c>
      <c r="F27" s="1031">
        <f t="shared" si="0"/>
        <v>0.25675034985750383</v>
      </c>
      <c r="G27" s="1280">
        <v>5.5</v>
      </c>
      <c r="H27" s="1280">
        <v>110</v>
      </c>
      <c r="I27" s="1280"/>
      <c r="J27" s="1280">
        <v>386.89790919999973</v>
      </c>
      <c r="K27" s="209">
        <v>40.302041010000003</v>
      </c>
      <c r="L27" s="1280"/>
      <c r="M27" s="1280">
        <v>427.19995020999971</v>
      </c>
    </row>
    <row r="28" spans="1:13">
      <c r="A28" s="1440"/>
      <c r="B28" s="1402" t="s">
        <v>1399</v>
      </c>
      <c r="C28" s="1503">
        <f>F10A!C28</f>
        <v>7579.3429999999998</v>
      </c>
      <c r="D28" s="1503">
        <f>F10A!D28</f>
        <v>53.191986666666672</v>
      </c>
      <c r="E28" s="1503">
        <f>F10A!E28</f>
        <v>25829.952099999999</v>
      </c>
      <c r="F28" s="1031">
        <f t="shared" si="0"/>
        <v>0.23508152756703898</v>
      </c>
      <c r="G28" s="1280">
        <v>18</v>
      </c>
      <c r="H28" s="1280">
        <v>0</v>
      </c>
      <c r="I28" s="1280"/>
      <c r="J28" s="1280">
        <v>95.745576</v>
      </c>
      <c r="K28" s="209">
        <v>0</v>
      </c>
      <c r="L28" s="1280"/>
      <c r="M28" s="1280">
        <v>95.745576</v>
      </c>
    </row>
    <row r="29" spans="1:13">
      <c r="A29" s="1440"/>
      <c r="B29" s="1402" t="s">
        <v>1054</v>
      </c>
      <c r="C29" s="1503">
        <f>F10A!C29</f>
        <v>369754.18200000003</v>
      </c>
      <c r="D29" s="1503">
        <f>F10A!D29</f>
        <v>1322.2701860800003</v>
      </c>
      <c r="E29" s="1503">
        <f>F10A!E29</f>
        <v>925800.24600000004</v>
      </c>
      <c r="F29" s="1031">
        <f t="shared" si="0"/>
        <v>0.16304174234249424</v>
      </c>
      <c r="G29" s="1280">
        <v>0</v>
      </c>
      <c r="H29" s="1280">
        <v>0</v>
      </c>
      <c r="I29" s="1280"/>
      <c r="J29" s="1280">
        <v>1041.2845705009784</v>
      </c>
      <c r="K29" s="209">
        <v>419.05422334944006</v>
      </c>
      <c r="L29" s="1280"/>
      <c r="M29" s="1280">
        <v>1460.3387938504186</v>
      </c>
    </row>
    <row r="30" spans="1:13">
      <c r="A30" s="1440"/>
      <c r="B30" s="1410" t="s">
        <v>1449</v>
      </c>
      <c r="C30" s="1503">
        <f>F10A!C30</f>
        <v>258827.92740000002</v>
      </c>
      <c r="D30" s="1503">
        <f>F10A!D30</f>
        <v>634.68968931840004</v>
      </c>
      <c r="E30" s="1503">
        <f>F10A!E30</f>
        <v>379578.10086000001</v>
      </c>
      <c r="F30" s="1031">
        <f t="shared" si="0"/>
        <v>0.1908781373765786</v>
      </c>
      <c r="G30" s="1280">
        <v>0</v>
      </c>
      <c r="H30" s="1280">
        <v>0</v>
      </c>
      <c r="I30" s="1280"/>
      <c r="J30" s="1280">
        <v>481.30404353746565</v>
      </c>
      <c r="K30" s="209">
        <v>146.73404870388001</v>
      </c>
      <c r="L30" s="1280"/>
      <c r="M30" s="1280">
        <v>628.03809224134568</v>
      </c>
    </row>
    <row r="31" spans="1:13">
      <c r="A31" s="1440"/>
      <c r="B31" s="1406" t="s">
        <v>1055</v>
      </c>
      <c r="C31" s="1503">
        <f>F10A!C31</f>
        <v>194120.94555</v>
      </c>
      <c r="D31" s="1503">
        <f>F10A!D31</f>
        <v>569.33066999875211</v>
      </c>
      <c r="E31" s="1503">
        <f>F10A!E31</f>
        <v>354905.52430410002</v>
      </c>
      <c r="F31" s="1031">
        <f t="shared" si="0"/>
        <v>0.18312503234130439</v>
      </c>
      <c r="G31" s="1280">
        <v>7.5</v>
      </c>
      <c r="H31" s="1280">
        <v>330</v>
      </c>
      <c r="I31" s="1280"/>
      <c r="J31" s="1280">
        <v>426.99800249906411</v>
      </c>
      <c r="K31" s="209">
        <v>137.19633553812781</v>
      </c>
      <c r="L31" s="1280"/>
      <c r="M31" s="1280">
        <v>564.19433803719198</v>
      </c>
    </row>
    <row r="32" spans="1:13">
      <c r="A32" s="1441"/>
      <c r="B32" s="1406" t="s">
        <v>1056</v>
      </c>
      <c r="C32" s="1503">
        <f>F10A!C32</f>
        <v>56942.144028000002</v>
      </c>
      <c r="D32" s="1503">
        <f>F10A!D32</f>
        <v>82.374310465440061</v>
      </c>
      <c r="E32" s="1503">
        <f>F10A!E32</f>
        <v>22774.686051599998</v>
      </c>
      <c r="F32" s="1031">
        <f t="shared" si="0"/>
        <v>0.41289087706804645</v>
      </c>
      <c r="G32" s="1280">
        <v>8.4</v>
      </c>
      <c r="H32" s="1280">
        <v>330</v>
      </c>
      <c r="I32" s="1280"/>
      <c r="J32" s="1280">
        <v>69.194420790969644</v>
      </c>
      <c r="K32" s="209">
        <v>8.8040429222327994</v>
      </c>
      <c r="L32" s="1280"/>
      <c r="M32" s="1280">
        <v>77.99846371320244</v>
      </c>
    </row>
    <row r="33" spans="1:13">
      <c r="A33" s="1441"/>
      <c r="B33" s="1406" t="s">
        <v>1057</v>
      </c>
      <c r="C33" s="1503">
        <f>F10A!C33</f>
        <v>7764.8378220000077</v>
      </c>
      <c r="D33" s="1503">
        <f>F10A!D33</f>
        <v>-17.015291145792105</v>
      </c>
      <c r="E33" s="1503">
        <f>F10A!E33</f>
        <v>1897.8905042999595</v>
      </c>
      <c r="F33" s="1031">
        <f t="shared" si="0"/>
        <v>-1.0234440973247743</v>
      </c>
      <c r="G33" s="1280">
        <v>8.75</v>
      </c>
      <c r="H33" s="1280">
        <v>330</v>
      </c>
      <c r="I33" s="1280"/>
      <c r="J33" s="1280">
        <v>-14.88837975256809</v>
      </c>
      <c r="K33" s="209">
        <v>0.73367024351938437</v>
      </c>
      <c r="L33" s="1280"/>
      <c r="M33" s="1280">
        <v>-14.154709509048706</v>
      </c>
    </row>
    <row r="34" spans="1:13">
      <c r="A34" s="1441"/>
      <c r="B34" s="1410" t="s">
        <v>1450</v>
      </c>
      <c r="C34" s="1503">
        <f>F10A!C34</f>
        <v>81345.920040000012</v>
      </c>
      <c r="D34" s="1503">
        <f>F10A!D34</f>
        <v>370.23565210240002</v>
      </c>
      <c r="E34" s="1503">
        <f>F10A!E34</f>
        <v>222192.05903999999</v>
      </c>
      <c r="F34" s="1031">
        <f t="shared" si="0"/>
        <v>0.19021536606624326</v>
      </c>
      <c r="G34" s="1280">
        <v>0</v>
      </c>
      <c r="H34" s="1280">
        <v>0</v>
      </c>
      <c r="I34" s="1280"/>
      <c r="J34" s="1280">
        <v>294.01671437566631</v>
      </c>
      <c r="K34" s="209">
        <v>101.51002925856001</v>
      </c>
      <c r="L34" s="1280"/>
      <c r="M34" s="1280">
        <v>395.52674363422636</v>
      </c>
    </row>
    <row r="35" spans="1:13">
      <c r="A35" s="1440"/>
      <c r="B35" s="1406" t="s">
        <v>1055</v>
      </c>
      <c r="C35" s="1503">
        <f>F10A!C35</f>
        <v>61253.477790120007</v>
      </c>
      <c r="D35" s="1503">
        <f>F10A!D35</f>
        <v>209.319983377456</v>
      </c>
      <c r="E35" s="1503">
        <f>F10A!E35</f>
        <v>167310.62045712001</v>
      </c>
      <c r="F35" s="1031">
        <f t="shared" si="0"/>
        <v>0.14281804231024964</v>
      </c>
      <c r="G35" s="1280">
        <v>7.5</v>
      </c>
      <c r="H35" s="1280">
        <v>390</v>
      </c>
      <c r="I35" s="1280"/>
      <c r="J35" s="1280">
        <v>156.98998753309201</v>
      </c>
      <c r="K35" s="209">
        <v>76.4370520316957</v>
      </c>
      <c r="L35" s="1280"/>
      <c r="M35" s="1280">
        <v>233.42703956478772</v>
      </c>
    </row>
    <row r="36" spans="1:13">
      <c r="A36" s="1441"/>
      <c r="B36" s="1406" t="s">
        <v>1056</v>
      </c>
      <c r="C36" s="1503">
        <f>F10A!C36</f>
        <v>14642.265607200001</v>
      </c>
      <c r="D36" s="1503">
        <f>F10A!D36</f>
        <v>107.84237976433597</v>
      </c>
      <c r="E36" s="1503">
        <f>F10A!E36</f>
        <v>39994.570627199995</v>
      </c>
      <c r="F36" s="1031">
        <f t="shared" si="0"/>
        <v>0.30781112917681858</v>
      </c>
      <c r="G36" s="1280">
        <v>8.4</v>
      </c>
      <c r="H36" s="1280">
        <v>390</v>
      </c>
      <c r="I36" s="1280"/>
      <c r="J36" s="1280">
        <v>90.587599002042225</v>
      </c>
      <c r="K36" s="209">
        <v>18.271805266540799</v>
      </c>
      <c r="L36" s="1280"/>
      <c r="M36" s="1280">
        <v>108.85940426858302</v>
      </c>
    </row>
    <row r="37" spans="1:13">
      <c r="A37" s="1440">
        <v>3</v>
      </c>
      <c r="B37" s="1406" t="s">
        <v>1057</v>
      </c>
      <c r="C37" s="1503">
        <f>F10A!C37</f>
        <v>5450.1766426799968</v>
      </c>
      <c r="D37" s="1503">
        <f>F10A!D37</f>
        <v>53.073288960608075</v>
      </c>
      <c r="E37" s="1503">
        <f>F10A!E37</f>
        <v>14886.867955679989</v>
      </c>
      <c r="F37" s="1031">
        <f t="shared" si="0"/>
        <v>0.40697577544474584</v>
      </c>
      <c r="G37" s="1280">
        <v>8.75</v>
      </c>
      <c r="H37" s="1280">
        <v>390</v>
      </c>
      <c r="I37" s="1280"/>
      <c r="J37" s="1280">
        <v>46.439127840532066</v>
      </c>
      <c r="K37" s="209">
        <v>6.8011719603235159</v>
      </c>
      <c r="L37" s="1280"/>
      <c r="M37" s="1280">
        <v>53.240299800855581</v>
      </c>
    </row>
    <row r="38" spans="1:13">
      <c r="A38" s="1440"/>
      <c r="B38" s="1410" t="s">
        <v>1451</v>
      </c>
      <c r="C38" s="1503">
        <f>F10A!C38</f>
        <v>29580.334560000018</v>
      </c>
      <c r="D38" s="1503">
        <f>F10A!D38</f>
        <v>317.34484465920002</v>
      </c>
      <c r="E38" s="1503">
        <f>F10A!E38</f>
        <v>324030.08610000007</v>
      </c>
      <c r="F38" s="1031">
        <f t="shared" si="0"/>
        <v>0.11180005189199603</v>
      </c>
      <c r="G38" s="1280">
        <v>0</v>
      </c>
      <c r="H38" s="1280">
        <v>0</v>
      </c>
      <c r="I38" s="1280"/>
      <c r="J38" s="1280">
        <v>265.96381258784641</v>
      </c>
      <c r="K38" s="209">
        <v>170.81014538700003</v>
      </c>
      <c r="L38" s="1280"/>
      <c r="M38" s="1280">
        <v>436.7739579748465</v>
      </c>
    </row>
    <row r="39" spans="1:13">
      <c r="A39" s="1441"/>
      <c r="B39" s="1406" t="s">
        <v>1055</v>
      </c>
      <c r="C39" s="1503">
        <f>F10A!C39</f>
        <v>20706.234192000011</v>
      </c>
      <c r="D39" s="1503">
        <f>F10A!D39</f>
        <v>81.135212246976025</v>
      </c>
      <c r="E39" s="1503">
        <f>F10A!E39</f>
        <v>71286.618942000016</v>
      </c>
      <c r="F39" s="1031">
        <f t="shared" si="0"/>
        <v>0.12992635459415522</v>
      </c>
      <c r="G39" s="1280">
        <v>7.5</v>
      </c>
      <c r="H39" s="1280">
        <v>450</v>
      </c>
      <c r="I39" s="1280"/>
      <c r="J39" s="1280">
        <v>60.851409185232022</v>
      </c>
      <c r="K39" s="209">
        <v>37.578231985140008</v>
      </c>
      <c r="L39" s="1280"/>
      <c r="M39" s="1280">
        <v>98.429641170372037</v>
      </c>
    </row>
    <row r="40" spans="1:13">
      <c r="A40" s="1441"/>
      <c r="B40" s="1406" t="s">
        <v>1056</v>
      </c>
      <c r="C40" s="1503">
        <f>F10A!C40</f>
        <v>7099.2802944000041</v>
      </c>
      <c r="D40" s="1503">
        <f>F10A!D40</f>
        <v>44.886427373760007</v>
      </c>
      <c r="E40" s="1503">
        <f>F10A!E40</f>
        <v>55085.114637000013</v>
      </c>
      <c r="F40" s="1031">
        <f t="shared" si="0"/>
        <v>9.3020073089888564E-2</v>
      </c>
      <c r="G40" s="1280">
        <v>8.4</v>
      </c>
      <c r="H40" s="1280">
        <v>450</v>
      </c>
      <c r="I40" s="1280"/>
      <c r="J40" s="1280">
        <v>37.704598993958413</v>
      </c>
      <c r="K40" s="209">
        <v>29.037724715790009</v>
      </c>
      <c r="L40" s="1280"/>
      <c r="M40" s="1280">
        <v>66.742323709748419</v>
      </c>
    </row>
    <row r="41" spans="1:13">
      <c r="A41" s="1441"/>
      <c r="B41" s="1406" t="s">
        <v>1057</v>
      </c>
      <c r="C41" s="1503">
        <f>F10A!C41</f>
        <v>1774.8200736000026</v>
      </c>
      <c r="D41" s="1503">
        <f>F10A!D41</f>
        <v>191.32320503846401</v>
      </c>
      <c r="E41" s="1503">
        <f>F10A!E41</f>
        <v>197658.35252100005</v>
      </c>
      <c r="F41" s="1031">
        <f t="shared" si="0"/>
        <v>0.11049646140328005</v>
      </c>
      <c r="G41" s="1280">
        <v>8.75</v>
      </c>
      <c r="H41" s="1280">
        <v>450</v>
      </c>
      <c r="I41" s="1280"/>
      <c r="J41" s="1280">
        <v>167.40780440865601</v>
      </c>
      <c r="K41" s="209">
        <v>104.19418868607004</v>
      </c>
      <c r="L41" s="1280"/>
      <c r="M41" s="1280">
        <v>271.60199309472603</v>
      </c>
    </row>
    <row r="42" spans="1:13">
      <c r="A42" s="1440"/>
      <c r="B42" s="1402" t="s">
        <v>1425</v>
      </c>
      <c r="C42" s="1503">
        <f>F10A!C42</f>
        <v>480260.21600000001</v>
      </c>
      <c r="D42" s="1503">
        <f>F10A!D42</f>
        <v>2078.9129167466663</v>
      </c>
      <c r="E42" s="1503">
        <f>F10A!E42</f>
        <v>1264395.4831000001</v>
      </c>
      <c r="F42" s="1031">
        <f t="shared" si="0"/>
        <v>0.18769350989042072</v>
      </c>
      <c r="G42" s="1280">
        <v>0</v>
      </c>
      <c r="H42" s="1280">
        <v>0</v>
      </c>
      <c r="I42" s="1280"/>
      <c r="J42" s="1280">
        <v>1523.9280557009781</v>
      </c>
      <c r="K42" s="209">
        <v>459.35626435944005</v>
      </c>
      <c r="L42" s="1280"/>
      <c r="M42" s="1280">
        <v>1983.2843200604182</v>
      </c>
    </row>
    <row r="43" spans="1:13">
      <c r="A43" s="1441"/>
      <c r="B43" s="1409"/>
      <c r="C43" s="1503">
        <f>F10A!C43</f>
        <v>0</v>
      </c>
      <c r="D43" s="1503">
        <f>F10A!D43</f>
        <v>0</v>
      </c>
      <c r="E43" s="1503">
        <f>F10A!E43</f>
        <v>0</v>
      </c>
      <c r="F43" s="1031">
        <f t="shared" si="0"/>
        <v>0</v>
      </c>
      <c r="G43" s="1280">
        <v>0</v>
      </c>
      <c r="H43" s="1280">
        <v>0</v>
      </c>
      <c r="I43" s="1280"/>
      <c r="J43" s="1280">
        <v>0</v>
      </c>
      <c r="K43" s="209">
        <v>0</v>
      </c>
      <c r="L43" s="1280"/>
      <c r="M43" s="1280">
        <v>0</v>
      </c>
    </row>
    <row r="44" spans="1:13">
      <c r="A44" s="1441"/>
      <c r="B44" s="1402" t="s">
        <v>1400</v>
      </c>
      <c r="C44" s="1503">
        <f>F10A!C44</f>
        <v>0</v>
      </c>
      <c r="D44" s="1503">
        <f>F10A!D44</f>
        <v>0</v>
      </c>
      <c r="E44" s="1503">
        <f>F10A!E44</f>
        <v>0</v>
      </c>
      <c r="F44" s="1031">
        <f t="shared" si="0"/>
        <v>0</v>
      </c>
      <c r="G44" s="1280">
        <v>0</v>
      </c>
      <c r="H44" s="1280">
        <v>0</v>
      </c>
      <c r="I44" s="1280"/>
      <c r="J44" s="1280">
        <v>0</v>
      </c>
      <c r="K44" s="209">
        <v>0</v>
      </c>
      <c r="L44" s="1280"/>
      <c r="M44" s="1280">
        <v>0</v>
      </c>
    </row>
    <row r="45" spans="1:13">
      <c r="A45" s="1441"/>
      <c r="B45" s="1402" t="s">
        <v>1404</v>
      </c>
      <c r="C45" s="1503">
        <f>F10A!C45</f>
        <v>81.75</v>
      </c>
      <c r="D45" s="1503">
        <f>F10A!D45</f>
        <v>15.142749999999999</v>
      </c>
      <c r="E45" s="1503">
        <f>F10A!E45</f>
        <v>5305.75</v>
      </c>
      <c r="F45" s="1031">
        <f t="shared" si="0"/>
        <v>0.32580208815412415</v>
      </c>
      <c r="G45" s="1280">
        <v>0</v>
      </c>
      <c r="H45" s="1280">
        <v>0</v>
      </c>
      <c r="I45" s="1280"/>
      <c r="J45" s="1280">
        <v>0</v>
      </c>
      <c r="K45" s="209">
        <v>32.183864999999997</v>
      </c>
      <c r="L45" s="1280"/>
      <c r="M45" s="1280">
        <v>32.183864999999997</v>
      </c>
    </row>
    <row r="46" spans="1:13">
      <c r="A46" s="1440"/>
      <c r="B46" s="1409" t="s">
        <v>1060</v>
      </c>
      <c r="C46" s="1503">
        <f>F10A!C46</f>
        <v>15.25</v>
      </c>
      <c r="D46" s="1503">
        <f>F10A!D46</f>
        <v>1.1607499999999999</v>
      </c>
      <c r="E46" s="1503">
        <f>F10A!E46</f>
        <v>624.75</v>
      </c>
      <c r="F46" s="1031">
        <f t="shared" si="0"/>
        <v>0.21209397000809455</v>
      </c>
      <c r="G46" s="1280">
        <v>0</v>
      </c>
      <c r="H46" s="1280">
        <v>2100</v>
      </c>
      <c r="I46" s="1280"/>
      <c r="J46" s="1280">
        <v>0</v>
      </c>
      <c r="K46" s="209">
        <v>2.3615550000000001</v>
      </c>
      <c r="L46" s="1280"/>
      <c r="M46" s="1280">
        <v>2.3615550000000001</v>
      </c>
    </row>
    <row r="47" spans="1:13">
      <c r="A47" s="1441"/>
      <c r="B47" s="1409" t="s">
        <v>1061</v>
      </c>
      <c r="C47" s="1503">
        <f>F10A!C47</f>
        <v>58.75</v>
      </c>
      <c r="D47" s="1503">
        <f>F10A!D47</f>
        <v>10.22025</v>
      </c>
      <c r="E47" s="1503">
        <f>F10A!E47</f>
        <v>3092.25</v>
      </c>
      <c r="F47" s="1031">
        <f t="shared" si="0"/>
        <v>0.37729653342370506</v>
      </c>
      <c r="G47" s="1280">
        <v>0</v>
      </c>
      <c r="H47" s="1280">
        <v>3200</v>
      </c>
      <c r="I47" s="1280"/>
      <c r="J47" s="1280">
        <v>0</v>
      </c>
      <c r="K47" s="209">
        <v>17.811360000000001</v>
      </c>
      <c r="L47" s="1280"/>
      <c r="M47" s="1280">
        <v>17.811360000000001</v>
      </c>
    </row>
    <row r="48" spans="1:13">
      <c r="A48" s="1440">
        <v>4</v>
      </c>
      <c r="B48" s="1409" t="s">
        <v>1062</v>
      </c>
      <c r="C48" s="1503">
        <f>F10A!C48</f>
        <v>7.75</v>
      </c>
      <c r="D48" s="1503">
        <f>F10A!D48</f>
        <v>3.7617500000000001</v>
      </c>
      <c r="E48" s="1503">
        <f>F10A!E48</f>
        <v>1588.75</v>
      </c>
      <c r="F48" s="1031">
        <f t="shared" si="0"/>
        <v>0.27029017528354693</v>
      </c>
      <c r="G48" s="1280">
        <v>0</v>
      </c>
      <c r="H48" s="1280">
        <v>4200</v>
      </c>
      <c r="I48" s="1280"/>
      <c r="J48" s="1280">
        <v>0</v>
      </c>
      <c r="K48" s="209">
        <v>12.010949999999999</v>
      </c>
      <c r="L48" s="1280"/>
      <c r="M48" s="1280">
        <v>12.010949999999999</v>
      </c>
    </row>
    <row r="49" spans="1:13">
      <c r="A49" s="1442"/>
      <c r="B49" s="1402" t="s">
        <v>476</v>
      </c>
      <c r="C49" s="1503">
        <f>F10A!C49</f>
        <v>406.6</v>
      </c>
      <c r="D49" s="1503">
        <f>F10A!D49</f>
        <v>125.38751999999999</v>
      </c>
      <c r="E49" s="1503">
        <f>F10A!E49</f>
        <v>45745.722000000002</v>
      </c>
      <c r="F49" s="1031">
        <f t="shared" si="0"/>
        <v>0.31289579024715009</v>
      </c>
      <c r="G49" s="1280">
        <v>0</v>
      </c>
      <c r="H49" s="1280">
        <v>0</v>
      </c>
      <c r="I49" s="1280"/>
      <c r="J49" s="1280">
        <v>104.796384</v>
      </c>
      <c r="K49" s="209">
        <v>13.058720640000001</v>
      </c>
      <c r="L49" s="1280"/>
      <c r="M49" s="1280">
        <v>117.85510463999999</v>
      </c>
    </row>
    <row r="50" spans="1:13">
      <c r="A50" s="1441"/>
      <c r="B50" s="1402" t="s">
        <v>1063</v>
      </c>
      <c r="C50" s="1503">
        <f>F10A!C50</f>
        <v>61.8</v>
      </c>
      <c r="D50" s="1503">
        <f>F10A!D50</f>
        <v>2.9145600000000003</v>
      </c>
      <c r="E50" s="1503">
        <f>F10A!E50</f>
        <v>719.20200000000011</v>
      </c>
      <c r="F50" s="1031">
        <f t="shared" si="0"/>
        <v>0.46261318623574921</v>
      </c>
      <c r="G50" s="1280">
        <v>7.5</v>
      </c>
      <c r="H50" s="1280">
        <v>0</v>
      </c>
      <c r="I50" s="1280"/>
      <c r="J50" s="1280">
        <v>2.1859200000000003</v>
      </c>
      <c r="K50" s="209">
        <v>0.16476264000000002</v>
      </c>
      <c r="L50" s="1280"/>
      <c r="M50" s="1280">
        <v>2.3506826400000005</v>
      </c>
    </row>
    <row r="51" spans="1:13">
      <c r="A51" s="1441"/>
      <c r="B51" s="1406" t="s">
        <v>1452</v>
      </c>
      <c r="C51" s="1503">
        <f>F10A!C51</f>
        <v>61.8</v>
      </c>
      <c r="D51" s="1503">
        <f>F10A!D51</f>
        <v>2.9145600000000003</v>
      </c>
      <c r="E51" s="1503">
        <f>F10A!E51</f>
        <v>719.20200000000011</v>
      </c>
      <c r="F51" s="1031">
        <f t="shared" si="0"/>
        <v>0.46261318623574921</v>
      </c>
      <c r="G51" s="1280">
        <v>7.5</v>
      </c>
      <c r="H51" s="1280">
        <v>200</v>
      </c>
      <c r="I51" s="1280"/>
      <c r="J51" s="1280">
        <v>2.1859200000000003</v>
      </c>
      <c r="K51" s="209">
        <v>0.16476264000000002</v>
      </c>
      <c r="L51" s="1280"/>
      <c r="M51" s="1280">
        <v>2.3506826400000005</v>
      </c>
    </row>
    <row r="52" spans="1:13">
      <c r="A52" s="1441"/>
      <c r="B52" s="1406" t="s">
        <v>1453</v>
      </c>
      <c r="C52" s="1503">
        <f>F10A!C52</f>
        <v>0</v>
      </c>
      <c r="D52" s="1503">
        <f>F10A!D52</f>
        <v>0</v>
      </c>
      <c r="E52" s="1503">
        <f>F10A!E52</f>
        <v>0</v>
      </c>
      <c r="F52" s="1031">
        <f t="shared" si="0"/>
        <v>0</v>
      </c>
      <c r="G52" s="1280">
        <v>9</v>
      </c>
      <c r="H52" s="1280">
        <v>200</v>
      </c>
      <c r="I52" s="1280"/>
      <c r="J52" s="1280">
        <v>0</v>
      </c>
      <c r="K52" s="209">
        <v>0</v>
      </c>
      <c r="L52" s="1280"/>
      <c r="M52" s="1280">
        <v>0</v>
      </c>
    </row>
    <row r="53" spans="1:13">
      <c r="A53" s="1440"/>
      <c r="B53" s="1402" t="s">
        <v>1064</v>
      </c>
      <c r="C53" s="1503">
        <f>F10A!C53</f>
        <v>199</v>
      </c>
      <c r="D53" s="1503">
        <f>F10A!D53</f>
        <v>29.831040000000002</v>
      </c>
      <c r="E53" s="1503">
        <f>F10A!E53</f>
        <v>11057.2</v>
      </c>
      <c r="F53" s="1031">
        <f t="shared" si="0"/>
        <v>0.3079775949619884</v>
      </c>
      <c r="G53" s="1280">
        <v>8</v>
      </c>
      <c r="H53" s="1280">
        <v>0</v>
      </c>
      <c r="I53" s="1280"/>
      <c r="J53" s="1280">
        <v>23.864832</v>
      </c>
      <c r="K53" s="209">
        <v>3.1663800000000002</v>
      </c>
      <c r="L53" s="1280"/>
      <c r="M53" s="1280">
        <v>27.031212</v>
      </c>
    </row>
    <row r="54" spans="1:13">
      <c r="A54" s="1441"/>
      <c r="B54" s="1406" t="s">
        <v>1452</v>
      </c>
      <c r="C54" s="1503">
        <f>F10A!C54</f>
        <v>199</v>
      </c>
      <c r="D54" s="1503">
        <f>F10A!D54</f>
        <v>29.831040000000002</v>
      </c>
      <c r="E54" s="1503">
        <f>F10A!E54</f>
        <v>11057.2</v>
      </c>
      <c r="F54" s="1031">
        <f t="shared" si="0"/>
        <v>0.3079775949619884</v>
      </c>
      <c r="G54" s="1280">
        <v>8</v>
      </c>
      <c r="H54" s="1280">
        <v>250</v>
      </c>
      <c r="I54" s="1280"/>
      <c r="J54" s="1280">
        <v>23.864832</v>
      </c>
      <c r="K54" s="209">
        <v>3.1663800000000002</v>
      </c>
      <c r="L54" s="1280"/>
      <c r="M54" s="1280">
        <v>27.031212</v>
      </c>
    </row>
    <row r="55" spans="1:13">
      <c r="A55" s="1441"/>
      <c r="B55" s="1406" t="s">
        <v>1453</v>
      </c>
      <c r="C55" s="1503">
        <f>F10A!C55</f>
        <v>0</v>
      </c>
      <c r="D55" s="1503">
        <f>F10A!D55</f>
        <v>0</v>
      </c>
      <c r="E55" s="1503">
        <f>F10A!E55</f>
        <v>0</v>
      </c>
      <c r="F55" s="1031">
        <f t="shared" si="0"/>
        <v>0</v>
      </c>
      <c r="G55" s="1280">
        <v>9.6</v>
      </c>
      <c r="H55" s="1280">
        <v>250</v>
      </c>
      <c r="I55" s="1280"/>
      <c r="J55" s="1280">
        <v>0</v>
      </c>
      <c r="K55" s="209">
        <v>0</v>
      </c>
      <c r="L55" s="1280"/>
      <c r="M55" s="1280">
        <v>0</v>
      </c>
    </row>
    <row r="56" spans="1:13">
      <c r="A56" s="1440"/>
      <c r="B56" s="1402" t="s">
        <v>1065</v>
      </c>
      <c r="C56" s="1503">
        <f>F10A!C56</f>
        <v>145.80000000000001</v>
      </c>
      <c r="D56" s="1503">
        <f>F10A!D56</f>
        <v>92.641919999999999</v>
      </c>
      <c r="E56" s="1503">
        <f>F10A!E56</f>
        <v>33969.32</v>
      </c>
      <c r="F56" s="1031">
        <f t="shared" si="0"/>
        <v>0.31132685740649557</v>
      </c>
      <c r="G56" s="1280">
        <v>8.5</v>
      </c>
      <c r="H56" s="1280">
        <v>0</v>
      </c>
      <c r="I56" s="1280"/>
      <c r="J56" s="1280">
        <v>78.745632000000001</v>
      </c>
      <c r="K56" s="209">
        <v>9.7275779999999994</v>
      </c>
      <c r="L56" s="1280"/>
      <c r="M56" s="1280">
        <v>88.473209999999995</v>
      </c>
    </row>
    <row r="57" spans="1:13">
      <c r="A57" s="1441"/>
      <c r="B57" s="1406" t="s">
        <v>1452</v>
      </c>
      <c r="C57" s="1503">
        <f>F10A!C57</f>
        <v>145.80000000000001</v>
      </c>
      <c r="D57" s="1503">
        <f>F10A!D57</f>
        <v>92.641919999999999</v>
      </c>
      <c r="E57" s="1503">
        <f>F10A!E57</f>
        <v>33969.32</v>
      </c>
      <c r="F57" s="1031">
        <f t="shared" si="0"/>
        <v>0.31132685740649557</v>
      </c>
      <c r="G57" s="1280">
        <v>8.5</v>
      </c>
      <c r="H57" s="1280">
        <v>250</v>
      </c>
      <c r="I57" s="1280"/>
      <c r="J57" s="1280">
        <v>78.745632000000001</v>
      </c>
      <c r="K57" s="209">
        <v>9.7275779999999994</v>
      </c>
      <c r="L57" s="1280"/>
      <c r="M57" s="1280">
        <v>88.473209999999995</v>
      </c>
    </row>
    <row r="58" spans="1:13">
      <c r="A58" s="1440">
        <v>5</v>
      </c>
      <c r="B58" s="1406" t="s">
        <v>1453</v>
      </c>
      <c r="C58" s="1503">
        <f>F10A!C58</f>
        <v>0</v>
      </c>
      <c r="D58" s="1503">
        <f>F10A!D58</f>
        <v>0</v>
      </c>
      <c r="E58" s="1503">
        <f>F10A!E58</f>
        <v>0</v>
      </c>
      <c r="F58" s="1031">
        <f t="shared" si="0"/>
        <v>0</v>
      </c>
      <c r="G58" s="1280">
        <v>10.199999999999999</v>
      </c>
      <c r="H58" s="1280">
        <v>250</v>
      </c>
      <c r="I58" s="1280"/>
      <c r="J58" s="1280">
        <v>0</v>
      </c>
      <c r="K58" s="209">
        <v>0</v>
      </c>
      <c r="L58" s="1280"/>
      <c r="M58" s="1280">
        <v>0</v>
      </c>
    </row>
    <row r="59" spans="1:13">
      <c r="A59" s="1440"/>
      <c r="B59" s="1402" t="s">
        <v>1425</v>
      </c>
      <c r="C59" s="1503">
        <f>F10A!C59</f>
        <v>488.35</v>
      </c>
      <c r="D59" s="1503">
        <f>F10A!D59</f>
        <v>140.53027</v>
      </c>
      <c r="E59" s="1503">
        <f>F10A!E59</f>
        <v>51051.472000000002</v>
      </c>
      <c r="F59" s="1031">
        <f t="shared" si="0"/>
        <v>0.31423713433454348</v>
      </c>
      <c r="G59" s="1280">
        <v>0</v>
      </c>
      <c r="H59" s="1280">
        <v>0</v>
      </c>
      <c r="I59" s="1280"/>
      <c r="J59" s="1280">
        <v>104.796384</v>
      </c>
      <c r="K59" s="209">
        <v>45.242585640000001</v>
      </c>
      <c r="L59" s="1280"/>
      <c r="M59" s="1280">
        <v>150.03896964</v>
      </c>
    </row>
    <row r="60" spans="1:13">
      <c r="A60" s="1441"/>
      <c r="B60" s="1409"/>
      <c r="C60" s="1503">
        <f>F10A!C60</f>
        <v>0</v>
      </c>
      <c r="D60" s="1503">
        <f>F10A!D60</f>
        <v>0</v>
      </c>
      <c r="E60" s="1503">
        <f>F10A!E60</f>
        <v>0</v>
      </c>
      <c r="F60" s="1031">
        <f t="shared" si="0"/>
        <v>0</v>
      </c>
      <c r="G60" s="1280">
        <v>0</v>
      </c>
      <c r="H60" s="1280">
        <v>0</v>
      </c>
      <c r="I60" s="1280"/>
      <c r="J60" s="1280">
        <v>0</v>
      </c>
      <c r="K60" s="209">
        <v>0</v>
      </c>
      <c r="L60" s="1280"/>
      <c r="M60" s="1280">
        <v>0</v>
      </c>
    </row>
    <row r="61" spans="1:13">
      <c r="A61" s="1440"/>
      <c r="B61" s="1402" t="s">
        <v>1067</v>
      </c>
      <c r="C61" s="1503">
        <f>F10A!C61</f>
        <v>0</v>
      </c>
      <c r="D61" s="1503">
        <f>F10A!D61</f>
        <v>0</v>
      </c>
      <c r="E61" s="1503">
        <f>F10A!E61</f>
        <v>0</v>
      </c>
      <c r="F61" s="1031">
        <f t="shared" si="0"/>
        <v>0</v>
      </c>
      <c r="G61" s="1280">
        <v>0</v>
      </c>
      <c r="H61" s="1280">
        <v>0</v>
      </c>
      <c r="I61" s="1280"/>
      <c r="J61" s="1280">
        <v>0</v>
      </c>
      <c r="K61" s="209">
        <v>0</v>
      </c>
      <c r="L61" s="1280"/>
      <c r="M61" s="1280">
        <v>0</v>
      </c>
    </row>
    <row r="62" spans="1:13">
      <c r="A62" s="1441"/>
      <c r="B62" s="1402" t="s">
        <v>1068</v>
      </c>
      <c r="C62" s="1503">
        <f>F10A!C62</f>
        <v>25850.344000000001</v>
      </c>
      <c r="D62" s="1503">
        <f>F10A!D62</f>
        <v>205.88533333333334</v>
      </c>
      <c r="E62" s="1503">
        <f>F10A!E62</f>
        <v>120232.9856</v>
      </c>
      <c r="F62" s="1031">
        <f t="shared" si="0"/>
        <v>0.19547790330367476</v>
      </c>
      <c r="G62" s="1280">
        <v>0</v>
      </c>
      <c r="H62" s="1280">
        <v>0</v>
      </c>
      <c r="I62" s="1280"/>
      <c r="J62" s="1280">
        <v>171.50248266666665</v>
      </c>
      <c r="K62" s="209">
        <v>42.451492607999995</v>
      </c>
      <c r="L62" s="1280"/>
      <c r="M62" s="1280">
        <v>213.95397527466665</v>
      </c>
    </row>
    <row r="63" spans="1:13">
      <c r="A63" s="1441"/>
      <c r="B63" s="1409" t="s">
        <v>1069</v>
      </c>
      <c r="C63" s="1503">
        <f>F10A!C63</f>
        <v>23265.309600000001</v>
      </c>
      <c r="D63" s="1503">
        <f>F10A!D63</f>
        <v>154.41399999999999</v>
      </c>
      <c r="E63" s="1503">
        <f>F10A!E63</f>
        <v>108209.68704</v>
      </c>
      <c r="F63" s="1031">
        <f t="shared" si="0"/>
        <v>0.16289825275306224</v>
      </c>
      <c r="G63" s="1280">
        <v>8.25</v>
      </c>
      <c r="H63" s="1280">
        <v>300</v>
      </c>
      <c r="I63" s="1280"/>
      <c r="J63" s="1280">
        <v>127.39154999999998</v>
      </c>
      <c r="K63" s="209">
        <v>38.206343347199997</v>
      </c>
      <c r="L63" s="1280"/>
      <c r="M63" s="1280">
        <v>165.59789334719997</v>
      </c>
    </row>
    <row r="64" spans="1:13">
      <c r="A64" s="1440"/>
      <c r="B64" s="1409" t="s">
        <v>1070</v>
      </c>
      <c r="C64" s="1503">
        <f>F10A!C64</f>
        <v>2326.5309600000001</v>
      </c>
      <c r="D64" s="1503">
        <f>F10A!D64</f>
        <v>37.059359999999998</v>
      </c>
      <c r="E64" s="1503">
        <f>F10A!E64</f>
        <v>10820.968703999999</v>
      </c>
      <c r="F64" s="1031">
        <f t="shared" si="0"/>
        <v>0.39095580660734947</v>
      </c>
      <c r="G64" s="1280">
        <v>8.5</v>
      </c>
      <c r="H64" s="1280">
        <v>300</v>
      </c>
      <c r="I64" s="1280"/>
      <c r="J64" s="1280">
        <v>31.500455999999996</v>
      </c>
      <c r="K64" s="209">
        <v>3.8206343347200007</v>
      </c>
      <c r="L64" s="1280"/>
      <c r="M64" s="1280">
        <v>35.321090334719997</v>
      </c>
    </row>
    <row r="65" spans="1:13">
      <c r="A65" s="1441"/>
      <c r="B65" s="1409" t="s">
        <v>1071</v>
      </c>
      <c r="C65" s="1503">
        <f>F10A!C65</f>
        <v>258.50344000000024</v>
      </c>
      <c r="D65" s="1503">
        <f>F10A!D65</f>
        <v>14.411973333333346</v>
      </c>
      <c r="E65" s="1503">
        <f>F10A!E65</f>
        <v>1202.329856000001</v>
      </c>
      <c r="F65" s="1031">
        <f t="shared" si="0"/>
        <v>1.3683453231257234</v>
      </c>
      <c r="G65" s="1280">
        <v>8.75</v>
      </c>
      <c r="H65" s="1280">
        <v>300</v>
      </c>
      <c r="I65" s="1280"/>
      <c r="J65" s="1280">
        <v>12.610476666666678</v>
      </c>
      <c r="K65" s="209">
        <v>0.42451492608000041</v>
      </c>
      <c r="L65" s="1280"/>
      <c r="M65" s="1280">
        <v>13.034991592746678</v>
      </c>
    </row>
    <row r="66" spans="1:13">
      <c r="A66" s="1440">
        <v>6</v>
      </c>
      <c r="B66" s="1402" t="s">
        <v>1072</v>
      </c>
      <c r="C66" s="1503">
        <f>F10A!C66</f>
        <v>3927.0315000000005</v>
      </c>
      <c r="D66" s="1503">
        <f>F10A!D66</f>
        <v>62.881</v>
      </c>
      <c r="E66" s="1503">
        <f>F10A!E66</f>
        <v>51913.596000000005</v>
      </c>
      <c r="F66" s="1031">
        <f t="shared" si="0"/>
        <v>0.13827199231261045</v>
      </c>
      <c r="G66" s="1280">
        <v>0</v>
      </c>
      <c r="H66" s="1280">
        <v>0</v>
      </c>
      <c r="I66" s="1280"/>
      <c r="J66" s="1280">
        <v>57.3903858738</v>
      </c>
      <c r="K66" s="209">
        <v>23.686690609200006</v>
      </c>
      <c r="L66" s="1280"/>
      <c r="M66" s="1280">
        <v>81.077076482999999</v>
      </c>
    </row>
    <row r="67" spans="1:13">
      <c r="A67" s="1440"/>
      <c r="B67" s="1402" t="s">
        <v>1454</v>
      </c>
      <c r="C67" s="1503">
        <f>F10A!C67</f>
        <v>2748.9220500000001</v>
      </c>
      <c r="D67" s="1503">
        <f>F10A!D67</f>
        <v>31.4405</v>
      </c>
      <c r="E67" s="1503">
        <f>F10A!E67</f>
        <v>10901.855160000001</v>
      </c>
      <c r="F67" s="1031">
        <f t="shared" si="0"/>
        <v>0.3292190293157391</v>
      </c>
      <c r="G67" s="1280">
        <v>0</v>
      </c>
      <c r="H67" s="1280">
        <v>0</v>
      </c>
      <c r="I67" s="1280"/>
      <c r="J67" s="1280">
        <v>28.513694974799996</v>
      </c>
      <c r="K67" s="209">
        <v>4.4697606156000003</v>
      </c>
      <c r="L67" s="1280"/>
      <c r="M67" s="1280">
        <v>32.983455590399998</v>
      </c>
    </row>
    <row r="68" spans="1:13">
      <c r="A68" s="1441"/>
      <c r="B68" s="1409" t="s">
        <v>1073</v>
      </c>
      <c r="C68" s="1503">
        <f>F10A!C68</f>
        <v>1649.3532299999999</v>
      </c>
      <c r="D68" s="1503">
        <f>F10A!D68</f>
        <v>24.199000840000004</v>
      </c>
      <c r="E68" s="1503">
        <f>F10A!E68</f>
        <v>6541.113096</v>
      </c>
      <c r="F68" s="1031">
        <f t="shared" si="0"/>
        <v>0.42232002072462571</v>
      </c>
      <c r="G68" s="1280">
        <v>9</v>
      </c>
      <c r="H68" s="1280">
        <v>350</v>
      </c>
      <c r="I68" s="1280"/>
      <c r="J68" s="1280">
        <v>21.779100756000002</v>
      </c>
      <c r="K68" s="209">
        <v>2.6818563693599997</v>
      </c>
      <c r="L68" s="1280"/>
      <c r="M68" s="1280">
        <v>24.46095712536</v>
      </c>
    </row>
    <row r="69" spans="1:13">
      <c r="A69" s="1441"/>
      <c r="B69" s="1409" t="s">
        <v>1074</v>
      </c>
      <c r="C69" s="1503">
        <f>F10A!C69</f>
        <v>1099.5688200000002</v>
      </c>
      <c r="D69" s="1503">
        <f>F10A!D69</f>
        <v>7.2414991599999965</v>
      </c>
      <c r="E69" s="1503">
        <f>F10A!E69</f>
        <v>4360.7420640000009</v>
      </c>
      <c r="F69" s="1031">
        <f t="shared" si="0"/>
        <v>0.18956754220240918</v>
      </c>
      <c r="G69" s="1280">
        <v>9.3000000000000007</v>
      </c>
      <c r="H69" s="1280">
        <v>350</v>
      </c>
      <c r="I69" s="1280"/>
      <c r="J69" s="1280">
        <v>6.7345942187999963</v>
      </c>
      <c r="K69" s="209">
        <v>1.7879042462400003</v>
      </c>
      <c r="L69" s="1280"/>
      <c r="M69" s="1280">
        <v>8.5224984650399964</v>
      </c>
    </row>
    <row r="70" spans="1:13">
      <c r="A70" s="1441"/>
      <c r="B70" s="1402" t="s">
        <v>1455</v>
      </c>
      <c r="C70" s="1503">
        <f>F10A!C70</f>
        <v>1178.1094500000004</v>
      </c>
      <c r="D70" s="1503">
        <f>F10A!D70</f>
        <v>31.4405</v>
      </c>
      <c r="E70" s="1503">
        <f>F10A!E70</f>
        <v>41011.740840000006</v>
      </c>
      <c r="F70" s="1031">
        <f t="shared" si="0"/>
        <v>8.7513919185196465E-2</v>
      </c>
      <c r="G70" s="1280">
        <v>0</v>
      </c>
      <c r="H70" s="1280">
        <v>0</v>
      </c>
      <c r="I70" s="1280"/>
      <c r="J70" s="1280">
        <v>28.876690899000003</v>
      </c>
      <c r="K70" s="209">
        <v>19.216929993600004</v>
      </c>
      <c r="L70" s="1280"/>
      <c r="M70" s="1280">
        <v>48.093620892600001</v>
      </c>
    </row>
    <row r="71" spans="1:13">
      <c r="A71" s="1440"/>
      <c r="B71" s="1409" t="s">
        <v>1073</v>
      </c>
      <c r="C71" s="1503">
        <f>F10A!C71</f>
        <v>589.05472500000019</v>
      </c>
      <c r="D71" s="1503">
        <f>F10A!D71</f>
        <v>12.099136700000003</v>
      </c>
      <c r="E71" s="1503">
        <f>F10A!E71</f>
        <v>16404.696336000005</v>
      </c>
      <c r="F71" s="1031">
        <f t="shared" si="0"/>
        <v>8.4194181976626051E-2</v>
      </c>
      <c r="G71" s="1280">
        <v>9</v>
      </c>
      <c r="H71" s="1280">
        <v>400</v>
      </c>
      <c r="I71" s="1280"/>
      <c r="J71" s="1280">
        <v>10.889223030000002</v>
      </c>
      <c r="K71" s="209">
        <v>7.6867719974400011</v>
      </c>
      <c r="L71" s="1280"/>
      <c r="M71" s="1280">
        <v>18.575995027440001</v>
      </c>
    </row>
    <row r="72" spans="1:13">
      <c r="A72" s="1441"/>
      <c r="B72" s="1409" t="s">
        <v>1074</v>
      </c>
      <c r="C72" s="1503">
        <f>F10A!C72</f>
        <v>589.05472500000019</v>
      </c>
      <c r="D72" s="1503">
        <f>F10A!D72</f>
        <v>19.341363299999998</v>
      </c>
      <c r="E72" s="1503">
        <f>F10A!E72</f>
        <v>24607.044504000001</v>
      </c>
      <c r="F72" s="1031">
        <f t="shared" si="0"/>
        <v>8.9727077324243398E-2</v>
      </c>
      <c r="G72" s="1280">
        <v>9.3000000000000007</v>
      </c>
      <c r="H72" s="1280">
        <v>400</v>
      </c>
      <c r="I72" s="1280"/>
      <c r="J72" s="1280">
        <v>17.987467869</v>
      </c>
      <c r="K72" s="209">
        <v>11.530157996160002</v>
      </c>
      <c r="L72" s="1280"/>
      <c r="M72" s="1280">
        <v>29.517625865159999</v>
      </c>
    </row>
    <row r="73" spans="1:13">
      <c r="A73" s="1441"/>
      <c r="B73" s="1402" t="s">
        <v>1425</v>
      </c>
      <c r="C73" s="1503">
        <f>F10A!C73</f>
        <v>29777.375500000002</v>
      </c>
      <c r="D73" s="1503">
        <f>F10A!D73</f>
        <v>268.76633333333336</v>
      </c>
      <c r="E73" s="1503">
        <f>F10A!E73</f>
        <v>172146.5816</v>
      </c>
      <c r="F73" s="1031">
        <f t="shared" si="0"/>
        <v>0.17822653226627236</v>
      </c>
      <c r="G73" s="1280">
        <v>0</v>
      </c>
      <c r="H73" s="1280">
        <v>0</v>
      </c>
      <c r="I73" s="1280"/>
      <c r="J73" s="1280">
        <v>228.89286854046665</v>
      </c>
      <c r="K73" s="209">
        <v>66.138183217200009</v>
      </c>
      <c r="L73" s="1280"/>
      <c r="M73" s="1280">
        <v>295.03105175766666</v>
      </c>
    </row>
    <row r="74" spans="1:13">
      <c r="A74" s="1441"/>
      <c r="B74" s="1409"/>
      <c r="C74" s="1503">
        <f>F10A!C74</f>
        <v>0</v>
      </c>
      <c r="D74" s="1503">
        <f>F10A!D74</f>
        <v>0</v>
      </c>
      <c r="E74" s="1503">
        <f>F10A!E74</f>
        <v>0</v>
      </c>
      <c r="F74" s="1031">
        <f t="shared" ref="F74:F137" si="1">IFERROR(D74/(E74*24*365/10^6),0)</f>
        <v>0</v>
      </c>
      <c r="G74" s="1280">
        <v>0</v>
      </c>
      <c r="H74" s="1280">
        <v>0</v>
      </c>
      <c r="I74" s="1280"/>
      <c r="J74" s="1280">
        <v>0</v>
      </c>
      <c r="K74" s="209">
        <v>0</v>
      </c>
      <c r="L74" s="1280"/>
      <c r="M74" s="1280">
        <v>0</v>
      </c>
    </row>
    <row r="75" spans="1:13">
      <c r="A75" s="1440"/>
      <c r="B75" s="1402" t="s">
        <v>1076</v>
      </c>
      <c r="C75" s="1503">
        <f>F10A!C75</f>
        <v>0</v>
      </c>
      <c r="D75" s="1503">
        <f>F10A!D75</f>
        <v>0</v>
      </c>
      <c r="E75" s="1503">
        <f>F10A!E75</f>
        <v>0</v>
      </c>
      <c r="F75" s="1031">
        <f t="shared" si="1"/>
        <v>0</v>
      </c>
      <c r="G75" s="1280">
        <v>0</v>
      </c>
      <c r="H75" s="1280">
        <v>0</v>
      </c>
      <c r="I75" s="1280"/>
      <c r="J75" s="1280">
        <v>0</v>
      </c>
      <c r="K75" s="209">
        <v>0</v>
      </c>
      <c r="L75" s="1280"/>
      <c r="M75" s="1280">
        <v>0</v>
      </c>
    </row>
    <row r="76" spans="1:13">
      <c r="A76" s="1441"/>
      <c r="B76" s="1402" t="s">
        <v>1012</v>
      </c>
      <c r="C76" s="1503">
        <f>F10A!C76</f>
        <v>311980.08750000002</v>
      </c>
      <c r="D76" s="1503">
        <f>F10A!D76</f>
        <v>2441.0003689999999</v>
      </c>
      <c r="E76" s="1503">
        <f>F10A!E76</f>
        <v>1410115.0275000001</v>
      </c>
      <c r="F76" s="1031">
        <f t="shared" si="1"/>
        <v>0.19761012734815162</v>
      </c>
      <c r="G76" s="1280">
        <v>0</v>
      </c>
      <c r="H76" s="1280">
        <v>0</v>
      </c>
      <c r="I76" s="1280"/>
      <c r="J76" s="1280">
        <v>49.43923599999998</v>
      </c>
      <c r="K76" s="209">
        <v>372.07773573056301</v>
      </c>
      <c r="L76" s="1280"/>
      <c r="M76" s="1280">
        <v>421.516971730563</v>
      </c>
    </row>
    <row r="77" spans="1:13">
      <c r="A77" s="1440">
        <v>7</v>
      </c>
      <c r="B77" s="1402" t="s">
        <v>1456</v>
      </c>
      <c r="C77" s="1503">
        <f>F10A!C77</f>
        <v>289587</v>
      </c>
      <c r="D77" s="1503">
        <f>F10A!D77</f>
        <v>2193.804189</v>
      </c>
      <c r="E77" s="1503">
        <f>F10A!E77</f>
        <v>1329675</v>
      </c>
      <c r="F77" s="1031">
        <f t="shared" si="1"/>
        <v>0.18834246575342467</v>
      </c>
      <c r="G77" s="1280">
        <v>0</v>
      </c>
      <c r="H77" s="1280">
        <v>0</v>
      </c>
      <c r="I77" s="1280"/>
      <c r="J77" s="1280">
        <v>0</v>
      </c>
      <c r="K77" s="209">
        <v>363.61085790884721</v>
      </c>
      <c r="L77" s="1280"/>
      <c r="M77" s="1280">
        <v>363.61085790884721</v>
      </c>
    </row>
    <row r="78" spans="1:13">
      <c r="A78" s="1440"/>
      <c r="B78" s="1409" t="s">
        <v>1077</v>
      </c>
      <c r="C78" s="1503">
        <f>F10A!C78</f>
        <v>289587</v>
      </c>
      <c r="D78" s="1503">
        <f>F10A!D78</f>
        <v>2193.804189</v>
      </c>
      <c r="E78" s="1503">
        <f>F10A!E78</f>
        <v>1329675</v>
      </c>
      <c r="F78" s="1031">
        <f t="shared" si="1"/>
        <v>0.18834246575342467</v>
      </c>
      <c r="G78" s="1280">
        <v>0</v>
      </c>
      <c r="H78" s="1280">
        <v>170</v>
      </c>
      <c r="I78" s="1280"/>
      <c r="J78" s="1280">
        <v>0</v>
      </c>
      <c r="K78" s="209">
        <v>363.61085790884721</v>
      </c>
      <c r="L78" s="1280"/>
      <c r="M78" s="1280">
        <v>363.61085790884721</v>
      </c>
    </row>
    <row r="79" spans="1:13">
      <c r="A79" s="1441"/>
      <c r="B79" s="1406" t="s">
        <v>1457</v>
      </c>
      <c r="C79" s="1503">
        <f>F10A!C79</f>
        <v>0</v>
      </c>
      <c r="D79" s="1503">
        <f>F10A!D79</f>
        <v>0</v>
      </c>
      <c r="E79" s="1503">
        <f>F10A!E79</f>
        <v>0</v>
      </c>
      <c r="F79" s="1031">
        <f t="shared" si="1"/>
        <v>0</v>
      </c>
      <c r="G79" s="1280">
        <v>1.65</v>
      </c>
      <c r="H79" s="1280">
        <v>70</v>
      </c>
      <c r="I79" s="1280"/>
      <c r="J79" s="1280">
        <v>0</v>
      </c>
      <c r="K79" s="209">
        <v>0</v>
      </c>
      <c r="L79" s="1280"/>
      <c r="M79" s="1280">
        <v>0</v>
      </c>
    </row>
    <row r="80" spans="1:13">
      <c r="A80" s="1441"/>
      <c r="B80" s="1402" t="s">
        <v>1458</v>
      </c>
      <c r="C80" s="1503">
        <f>F10A!C80</f>
        <v>22393.087499999998</v>
      </c>
      <c r="D80" s="1503">
        <f>F10A!D80</f>
        <v>247.19617999999991</v>
      </c>
      <c r="E80" s="1503">
        <f>F10A!E80</f>
        <v>80440.027499999997</v>
      </c>
      <c r="F80" s="1031">
        <f t="shared" si="1"/>
        <v>0.35080472851817973</v>
      </c>
      <c r="G80" s="1280">
        <v>0</v>
      </c>
      <c r="H80" s="1280">
        <v>0</v>
      </c>
      <c r="I80" s="1280"/>
      <c r="J80" s="1280">
        <v>49.43923599999998</v>
      </c>
      <c r="K80" s="209">
        <v>8.4668778217158192</v>
      </c>
      <c r="L80" s="1280"/>
      <c r="M80" s="1280">
        <v>57.906113821715799</v>
      </c>
    </row>
    <row r="81" spans="1:13">
      <c r="A81" s="1441"/>
      <c r="B81" s="1409" t="s">
        <v>1078</v>
      </c>
      <c r="C81" s="1503">
        <f>F10A!C81</f>
        <v>22393.087499999998</v>
      </c>
      <c r="D81" s="1503">
        <f>F10A!D81</f>
        <v>247.19617999999991</v>
      </c>
      <c r="E81" s="1503">
        <f>F10A!E81</f>
        <v>80440.027499999997</v>
      </c>
      <c r="F81" s="1031">
        <f t="shared" si="1"/>
        <v>0.35080472851817973</v>
      </c>
      <c r="G81" s="1280">
        <v>2</v>
      </c>
      <c r="H81" s="1280">
        <v>70</v>
      </c>
      <c r="I81" s="1280"/>
      <c r="J81" s="1280">
        <v>49.43923599999998</v>
      </c>
      <c r="K81" s="209">
        <v>8.4668778217158192</v>
      </c>
      <c r="L81" s="1280"/>
      <c r="M81" s="1280">
        <v>57.906113821715799</v>
      </c>
    </row>
    <row r="82" spans="1:13">
      <c r="A82" s="1440"/>
      <c r="B82" s="1406" t="s">
        <v>1459</v>
      </c>
      <c r="C82" s="1503">
        <f>F10A!C82</f>
        <v>0</v>
      </c>
      <c r="D82" s="1503">
        <f>F10A!D82</f>
        <v>0</v>
      </c>
      <c r="E82" s="1503">
        <f>F10A!E82</f>
        <v>0</v>
      </c>
      <c r="F82" s="1031">
        <f t="shared" si="1"/>
        <v>0</v>
      </c>
      <c r="G82" s="1280">
        <v>1.65</v>
      </c>
      <c r="H82" s="1280">
        <v>70</v>
      </c>
      <c r="I82" s="1280"/>
      <c r="J82" s="1280">
        <v>0</v>
      </c>
      <c r="K82" s="209">
        <v>0</v>
      </c>
      <c r="L82" s="1280"/>
      <c r="M82" s="1280">
        <v>0</v>
      </c>
    </row>
    <row r="83" spans="1:13">
      <c r="A83" s="1441"/>
      <c r="B83" s="1402" t="s">
        <v>1460</v>
      </c>
      <c r="C83" s="1503">
        <f>F10A!C83</f>
        <v>12408.27</v>
      </c>
      <c r="D83" s="1503">
        <f>F10A!D83</f>
        <v>286.47492587999994</v>
      </c>
      <c r="E83" s="1503">
        <f>F10A!E83</f>
        <v>45365.774999999994</v>
      </c>
      <c r="F83" s="1031">
        <f t="shared" si="1"/>
        <v>0.72086539047528764</v>
      </c>
      <c r="G83" s="1280">
        <v>0</v>
      </c>
      <c r="H83" s="1280">
        <v>0</v>
      </c>
      <c r="I83" s="1280"/>
      <c r="J83" s="1280">
        <v>171.88495552799995</v>
      </c>
      <c r="K83" s="209">
        <v>8.8679804959785518</v>
      </c>
      <c r="L83" s="1280"/>
      <c r="M83" s="1280">
        <v>180.75293602397849</v>
      </c>
    </row>
    <row r="84" spans="1:13">
      <c r="A84" s="1441"/>
      <c r="B84" s="1409" t="s">
        <v>1079</v>
      </c>
      <c r="C84" s="1503">
        <f>F10A!C84</f>
        <v>12408.27</v>
      </c>
      <c r="D84" s="1503">
        <f>F10A!D84</f>
        <v>286.47492587999994</v>
      </c>
      <c r="E84" s="1503">
        <f>F10A!E84</f>
        <v>45365.774999999994</v>
      </c>
      <c r="F84" s="1031">
        <f t="shared" si="1"/>
        <v>0.72086539047528764</v>
      </c>
      <c r="G84" s="1280">
        <v>6</v>
      </c>
      <c r="H84" s="1280">
        <v>130</v>
      </c>
      <c r="I84" s="1280"/>
      <c r="J84" s="1280">
        <v>171.88495552799995</v>
      </c>
      <c r="K84" s="209">
        <v>8.8679804959785518</v>
      </c>
      <c r="L84" s="1280"/>
      <c r="M84" s="1280">
        <v>180.75293602397849</v>
      </c>
    </row>
    <row r="85" spans="1:13">
      <c r="A85" s="1441"/>
      <c r="B85" s="1402" t="s">
        <v>1425</v>
      </c>
      <c r="C85" s="1503">
        <f>F10A!C85</f>
        <v>324388.35750000004</v>
      </c>
      <c r="D85" s="1503">
        <f>F10A!D85</f>
        <v>2727.4752948799996</v>
      </c>
      <c r="E85" s="1503">
        <f>F10A!E85</f>
        <v>1455480.8025</v>
      </c>
      <c r="F85" s="1031">
        <f t="shared" si="1"/>
        <v>0.21391943248898079</v>
      </c>
      <c r="G85" s="1280">
        <v>0</v>
      </c>
      <c r="H85" s="1280">
        <v>0</v>
      </c>
      <c r="I85" s="1280"/>
      <c r="J85" s="1280">
        <v>221.32419152799991</v>
      </c>
      <c r="K85" s="209">
        <v>380.94571622654155</v>
      </c>
      <c r="L85" s="1280"/>
      <c r="M85" s="1280">
        <v>602.26990775454146</v>
      </c>
    </row>
    <row r="86" spans="1:13">
      <c r="A86" s="1440"/>
      <c r="B86" s="1409"/>
      <c r="C86" s="1503">
        <f>F10A!C86</f>
        <v>0</v>
      </c>
      <c r="D86" s="1503">
        <f>F10A!D86</f>
        <v>0</v>
      </c>
      <c r="E86" s="1503">
        <f>F10A!E86</f>
        <v>0</v>
      </c>
      <c r="F86" s="1031">
        <f t="shared" si="1"/>
        <v>0</v>
      </c>
      <c r="G86" s="1280">
        <v>0</v>
      </c>
      <c r="H86" s="1280">
        <v>0</v>
      </c>
      <c r="I86" s="1280"/>
      <c r="J86" s="1280">
        <v>0</v>
      </c>
      <c r="K86" s="209">
        <v>0</v>
      </c>
      <c r="L86" s="1280"/>
      <c r="M86" s="1280">
        <v>0</v>
      </c>
    </row>
    <row r="87" spans="1:13">
      <c r="A87" s="1441"/>
      <c r="B87" s="1402" t="s">
        <v>1081</v>
      </c>
      <c r="C87" s="1503">
        <f>F10A!C87</f>
        <v>0</v>
      </c>
      <c r="D87" s="1503">
        <f>F10A!D87</f>
        <v>0</v>
      </c>
      <c r="E87" s="1503">
        <f>F10A!E87</f>
        <v>0</v>
      </c>
      <c r="F87" s="1031">
        <f t="shared" si="1"/>
        <v>0</v>
      </c>
      <c r="G87" s="1280">
        <v>0</v>
      </c>
      <c r="H87" s="1280">
        <v>0</v>
      </c>
      <c r="I87" s="1280"/>
      <c r="J87" s="1280">
        <v>0</v>
      </c>
      <c r="K87" s="209">
        <v>0</v>
      </c>
      <c r="L87" s="1280"/>
      <c r="M87" s="1280">
        <v>0</v>
      </c>
    </row>
    <row r="88" spans="1:13">
      <c r="A88" s="1440">
        <v>8</v>
      </c>
      <c r="B88" s="1402" t="s">
        <v>1012</v>
      </c>
      <c r="C88" s="1503">
        <f>F10A!C88</f>
        <v>20133.966200000003</v>
      </c>
      <c r="D88" s="1503">
        <f>F10A!D88</f>
        <v>252.17284000000001</v>
      </c>
      <c r="E88" s="1503">
        <f>F10A!E88</f>
        <v>168234.19510000001</v>
      </c>
      <c r="F88" s="1031">
        <f t="shared" si="1"/>
        <v>0.17111178773237723</v>
      </c>
      <c r="G88" s="1280">
        <v>0</v>
      </c>
      <c r="H88" s="1280">
        <v>290</v>
      </c>
      <c r="I88" s="1280"/>
      <c r="J88" s="1280">
        <v>173.58591958297029</v>
      </c>
      <c r="K88" s="209">
        <v>40.024446272133751</v>
      </c>
      <c r="L88" s="1280"/>
      <c r="M88" s="1280">
        <v>213.61036585510408</v>
      </c>
    </row>
    <row r="89" spans="1:13">
      <c r="A89" s="1440"/>
      <c r="B89" s="1406" t="s">
        <v>1426</v>
      </c>
      <c r="C89" s="1503">
        <f>F10A!C89</f>
        <v>17522.279753663515</v>
      </c>
      <c r="D89" s="1503">
        <f>F10A!D89</f>
        <v>143.17390790627829</v>
      </c>
      <c r="E89" s="1503">
        <f>F10A!E89</f>
        <v>155214.23617792866</v>
      </c>
      <c r="F89" s="1031">
        <f t="shared" si="1"/>
        <v>0.1052999635627677</v>
      </c>
      <c r="G89" s="1280">
        <v>6.7525000000000004</v>
      </c>
      <c r="H89" s="1280">
        <v>268.25</v>
      </c>
      <c r="I89" s="1280"/>
      <c r="J89" s="1280">
        <v>96.678181313714418</v>
      </c>
      <c r="K89" s="209">
        <v>36.926879537665307</v>
      </c>
      <c r="L89" s="1280"/>
      <c r="M89" s="1280">
        <v>133.60506085137973</v>
      </c>
    </row>
    <row r="90" spans="1:13">
      <c r="A90" s="1441"/>
      <c r="B90" s="1406" t="s">
        <v>1427</v>
      </c>
      <c r="C90" s="1503">
        <f>F10A!C90</f>
        <v>1659.2343469603793</v>
      </c>
      <c r="D90" s="1503">
        <f>F10A!D90</f>
        <v>59.313110448243378</v>
      </c>
      <c r="E90" s="1503">
        <f>F10A!E90</f>
        <v>7101.1647402389808</v>
      </c>
      <c r="F90" s="1031">
        <f t="shared" si="1"/>
        <v>0.95349189420128821</v>
      </c>
      <c r="G90" s="1280">
        <v>6.8450000000000006</v>
      </c>
      <c r="H90" s="1280">
        <v>268.25</v>
      </c>
      <c r="I90" s="1280"/>
      <c r="J90" s="1280">
        <v>40.599824101822591</v>
      </c>
      <c r="K90" s="209">
        <v>1.6894317260906591</v>
      </c>
      <c r="L90" s="1280"/>
      <c r="M90" s="1280">
        <v>42.289255827913252</v>
      </c>
    </row>
    <row r="91" spans="1:13">
      <c r="A91" s="1440"/>
      <c r="B91" s="1406" t="s">
        <v>1428</v>
      </c>
      <c r="C91" s="1503">
        <f>F10A!C91</f>
        <v>952.45209937610582</v>
      </c>
      <c r="D91" s="1503">
        <f>F10A!D91</f>
        <v>49.685821645478349</v>
      </c>
      <c r="E91" s="1503">
        <f>F10A!E91</f>
        <v>5918.7941818323743</v>
      </c>
      <c r="F91" s="1031">
        <f t="shared" si="1"/>
        <v>0.958285974113401</v>
      </c>
      <c r="G91" s="1280">
        <v>7.307500000000001</v>
      </c>
      <c r="H91" s="1280">
        <v>268.25</v>
      </c>
      <c r="I91" s="1280"/>
      <c r="J91" s="1280">
        <v>36.30791416743331</v>
      </c>
      <c r="K91" s="209">
        <v>1.4081350083777808</v>
      </c>
      <c r="L91" s="1280"/>
      <c r="M91" s="1280">
        <v>37.716049175811094</v>
      </c>
    </row>
    <row r="92" spans="1:13">
      <c r="A92" s="1441"/>
      <c r="B92" s="1402" t="s">
        <v>1011</v>
      </c>
      <c r="C92" s="1503">
        <f>F10A!C92</f>
        <v>12530.7</v>
      </c>
      <c r="D92" s="1503">
        <f>F10A!D92</f>
        <v>343.51519999999999</v>
      </c>
      <c r="E92" s="1503">
        <f>F10A!E92</f>
        <v>202647.12300000002</v>
      </c>
      <c r="F92" s="1031">
        <f t="shared" si="1"/>
        <v>0.19350910758767909</v>
      </c>
      <c r="G92" s="1280">
        <v>0</v>
      </c>
      <c r="H92" s="1280">
        <v>0</v>
      </c>
      <c r="I92" s="1280"/>
      <c r="J92" s="1280">
        <v>261.52517861220065</v>
      </c>
      <c r="K92" s="209">
        <v>51.631591981500009</v>
      </c>
      <c r="L92" s="1280"/>
      <c r="M92" s="1280">
        <v>313.15677059370063</v>
      </c>
    </row>
    <row r="93" spans="1:13">
      <c r="A93" s="1441"/>
      <c r="B93" s="1402" t="s">
        <v>1013</v>
      </c>
      <c r="C93" s="1503">
        <f>F10A!C93</f>
        <v>12530.7</v>
      </c>
      <c r="D93" s="1503">
        <f>F10A!D93</f>
        <v>171.7576</v>
      </c>
      <c r="E93" s="1503">
        <f>F10A!E93</f>
        <v>202647.12300000002</v>
      </c>
      <c r="F93" s="1031">
        <f t="shared" si="1"/>
        <v>9.6754553793839543E-2</v>
      </c>
      <c r="G93" s="1280">
        <v>0</v>
      </c>
      <c r="H93" s="1280">
        <v>0</v>
      </c>
      <c r="I93" s="1280"/>
      <c r="J93" s="1280">
        <v>130.48267687629109</v>
      </c>
      <c r="K93" s="209">
        <v>51.631591981500009</v>
      </c>
      <c r="L93" s="1280"/>
      <c r="M93" s="1280">
        <v>182.1142688577911</v>
      </c>
    </row>
    <row r="94" spans="1:13">
      <c r="A94" s="1440"/>
      <c r="B94" s="1410" t="s">
        <v>1426</v>
      </c>
      <c r="C94" s="1503">
        <f>F10A!C94</f>
        <v>7868.9923346490568</v>
      </c>
      <c r="D94" s="1503">
        <f>F10A!D94</f>
        <v>58.155758892479767</v>
      </c>
      <c r="E94" s="1503">
        <f>F10A!E94</f>
        <v>141597.25876453603</v>
      </c>
      <c r="F94" s="1031">
        <f t="shared" si="1"/>
        <v>4.6884984353675434E-2</v>
      </c>
      <c r="G94" s="1280">
        <v>7.3</v>
      </c>
      <c r="H94" s="1280">
        <v>290</v>
      </c>
      <c r="I94" s="1280"/>
      <c r="J94" s="1280">
        <v>42.565058225101879</v>
      </c>
      <c r="K94" s="209">
        <v>36.076958715221437</v>
      </c>
      <c r="L94" s="1280"/>
      <c r="M94" s="1280">
        <v>78.642016940323302</v>
      </c>
    </row>
    <row r="95" spans="1:13">
      <c r="A95" s="1441"/>
      <c r="B95" s="1406" t="s">
        <v>1430</v>
      </c>
      <c r="C95" s="1503">
        <f>F10A!C95</f>
        <v>1543.0451975740364</v>
      </c>
      <c r="D95" s="1503">
        <f>F10A!D95</f>
        <v>11.403869854489644</v>
      </c>
      <c r="E95" s="1503">
        <f>F10A!E95</f>
        <v>27766.067221110054</v>
      </c>
      <c r="F95" s="1031">
        <f t="shared" si="1"/>
        <v>4.6884984353675427E-2</v>
      </c>
      <c r="G95" s="1280">
        <v>6.2050000000000001</v>
      </c>
      <c r="H95" s="1280">
        <v>290</v>
      </c>
      <c r="I95" s="1280"/>
      <c r="J95" s="1280">
        <v>7.0761012447108245</v>
      </c>
      <c r="K95" s="209">
        <v>7.074397269835683</v>
      </c>
      <c r="L95" s="1280"/>
      <c r="M95" s="1280">
        <v>14.150498514546507</v>
      </c>
    </row>
    <row r="96" spans="1:13">
      <c r="A96" s="1440">
        <v>9</v>
      </c>
      <c r="B96" s="1406" t="s">
        <v>1431</v>
      </c>
      <c r="C96" s="1503">
        <f>F10A!C96</f>
        <v>3327.9218835574566</v>
      </c>
      <c r="D96" s="1503">
        <f>F10A!D96</f>
        <v>24.594994434164231</v>
      </c>
      <c r="E96" s="1503">
        <f>F10A!E96</f>
        <v>59883.730477069155</v>
      </c>
      <c r="F96" s="1031">
        <f t="shared" si="1"/>
        <v>4.6884984353675434E-2</v>
      </c>
      <c r="G96" s="1280">
        <v>7.3</v>
      </c>
      <c r="H96" s="1280">
        <v>290</v>
      </c>
      <c r="I96" s="1280"/>
      <c r="J96" s="1280">
        <v>17.954345936939887</v>
      </c>
      <c r="K96" s="209">
        <v>15.257519043693264</v>
      </c>
      <c r="L96" s="1280"/>
      <c r="M96" s="1280">
        <v>33.211864980633152</v>
      </c>
    </row>
    <row r="97" spans="1:13">
      <c r="A97" s="1440"/>
      <c r="B97" s="1406" t="s">
        <v>1432</v>
      </c>
      <c r="C97" s="1503">
        <f>F10A!C97</f>
        <v>1680.6453797613033</v>
      </c>
      <c r="D97" s="1503">
        <f>F10A!D97</f>
        <v>12.420803494596038</v>
      </c>
      <c r="E97" s="1503">
        <f>F10A!E97</f>
        <v>30242.090550987486</v>
      </c>
      <c r="F97" s="1031">
        <f t="shared" si="1"/>
        <v>4.6884984353675427E-2</v>
      </c>
      <c r="G97" s="1280">
        <v>8.3949999999999996</v>
      </c>
      <c r="H97" s="1280">
        <v>290</v>
      </c>
      <c r="I97" s="1280"/>
      <c r="J97" s="1280">
        <v>10.427264533713373</v>
      </c>
      <c r="K97" s="209">
        <v>7.705252642526597</v>
      </c>
      <c r="L97" s="1280"/>
      <c r="M97" s="1280">
        <v>18.132517176239972</v>
      </c>
    </row>
    <row r="98" spans="1:13">
      <c r="A98" s="1441"/>
      <c r="B98" s="1406" t="s">
        <v>1433</v>
      </c>
      <c r="C98" s="1503">
        <f>F10A!C98</f>
        <v>1317.3798737562608</v>
      </c>
      <c r="D98" s="1503">
        <f>F10A!D98</f>
        <v>9.7360911092298537</v>
      </c>
      <c r="E98" s="1503">
        <f>F10A!E98</f>
        <v>23705.370515369341</v>
      </c>
      <c r="F98" s="1031">
        <f t="shared" si="1"/>
        <v>4.6884984353675441E-2</v>
      </c>
      <c r="G98" s="1280">
        <v>7.3</v>
      </c>
      <c r="H98" s="1280">
        <v>290</v>
      </c>
      <c r="I98" s="1280"/>
      <c r="J98" s="1280">
        <v>7.107346509737793</v>
      </c>
      <c r="K98" s="209">
        <v>6.0397897591658882</v>
      </c>
      <c r="L98" s="1280"/>
      <c r="M98" s="1280">
        <v>13.147136268903681</v>
      </c>
    </row>
    <row r="99" spans="1:13">
      <c r="A99" s="1441"/>
      <c r="B99" s="1410" t="s">
        <v>1427</v>
      </c>
      <c r="C99" s="1503">
        <f>F10A!C99</f>
        <v>2365.800799411516</v>
      </c>
      <c r="D99" s="1503">
        <f>F10A!D99</f>
        <v>41.156733226960164</v>
      </c>
      <c r="E99" s="1503">
        <f>F10A!E99</f>
        <v>27822.467984146035</v>
      </c>
      <c r="F99" s="1031">
        <f t="shared" si="1"/>
        <v>0.16886558088113193</v>
      </c>
      <c r="G99" s="1280">
        <v>7.4</v>
      </c>
      <c r="H99" s="1280">
        <v>290</v>
      </c>
      <c r="I99" s="1280"/>
      <c r="J99" s="1280">
        <v>30.535867316030789</v>
      </c>
      <c r="K99" s="209">
        <v>7.0887673785320633</v>
      </c>
      <c r="L99" s="1280"/>
      <c r="M99" s="1280">
        <v>37.624634694562857</v>
      </c>
    </row>
    <row r="100" spans="1:13">
      <c r="A100" s="1440"/>
      <c r="B100" s="1406" t="s">
        <v>1430</v>
      </c>
      <c r="C100" s="1503">
        <f>F10A!C100</f>
        <v>463.91423535572216</v>
      </c>
      <c r="D100" s="1503">
        <f>F10A!D100</f>
        <v>8.0704996081977942</v>
      </c>
      <c r="E100" s="1503">
        <f>F10A!E100</f>
        <v>5455.7589818148654</v>
      </c>
      <c r="F100" s="1031">
        <f t="shared" si="1"/>
        <v>0.16886558088113199</v>
      </c>
      <c r="G100" s="1280">
        <v>6.29</v>
      </c>
      <c r="H100" s="1280">
        <v>290</v>
      </c>
      <c r="I100" s="1280"/>
      <c r="J100" s="1280">
        <v>5.0763442535564121</v>
      </c>
      <c r="K100" s="209">
        <v>1.3900494491524016</v>
      </c>
      <c r="L100" s="1280"/>
      <c r="M100" s="1280">
        <v>6.4663937027088139</v>
      </c>
    </row>
    <row r="101" spans="1:13">
      <c r="A101" s="1441"/>
      <c r="B101" s="1406" t="s">
        <v>1431</v>
      </c>
      <c r="C101" s="1503">
        <f>F10A!C101</f>
        <v>1000.5347467212191</v>
      </c>
      <c r="D101" s="1503">
        <f>F10A!D101</f>
        <v>17.405836393897758</v>
      </c>
      <c r="E101" s="1503">
        <f>F10A!E101</f>
        <v>11766.56376335709</v>
      </c>
      <c r="F101" s="1031">
        <f t="shared" si="1"/>
        <v>0.16886558088113196</v>
      </c>
      <c r="G101" s="1280">
        <v>7.4</v>
      </c>
      <c r="H101" s="1280">
        <v>290</v>
      </c>
      <c r="I101" s="1280"/>
      <c r="J101" s="1280">
        <v>12.880318931484343</v>
      </c>
      <c r="K101" s="209">
        <v>2.997952353135338</v>
      </c>
      <c r="L101" s="1280"/>
      <c r="M101" s="1280">
        <v>15.878271284619681</v>
      </c>
    </row>
    <row r="102" spans="1:13">
      <c r="A102" s="1441"/>
      <c r="B102" s="1406" t="s">
        <v>1432</v>
      </c>
      <c r="C102" s="1503">
        <f>F10A!C102</f>
        <v>505.28352473530373</v>
      </c>
      <c r="D102" s="1503">
        <f>F10A!D102</f>
        <v>8.7901818431551408</v>
      </c>
      <c r="E102" s="1503">
        <f>F10A!E102</f>
        <v>5942.2732012608085</v>
      </c>
      <c r="F102" s="1031">
        <f t="shared" si="1"/>
        <v>0.16886558088113199</v>
      </c>
      <c r="G102" s="1280">
        <v>8.51</v>
      </c>
      <c r="H102" s="1280">
        <v>290</v>
      </c>
      <c r="I102" s="1280"/>
      <c r="J102" s="1280">
        <v>7.4804447485250254</v>
      </c>
      <c r="K102" s="209">
        <v>1.5140063220640929</v>
      </c>
      <c r="L102" s="1280"/>
      <c r="M102" s="1280">
        <v>8.9944510705891183</v>
      </c>
    </row>
    <row r="103" spans="1:13">
      <c r="A103" s="1440"/>
      <c r="B103" s="1406" t="s">
        <v>1433</v>
      </c>
      <c r="C103" s="1503">
        <f>F10A!C103</f>
        <v>396.0682925992711</v>
      </c>
      <c r="D103" s="1503">
        <f>F10A!D103</f>
        <v>6.8902153817094769</v>
      </c>
      <c r="E103" s="1503">
        <f>F10A!E103</f>
        <v>4657.8720377132713</v>
      </c>
      <c r="F103" s="1031">
        <f t="shared" si="1"/>
        <v>0.16886558088113196</v>
      </c>
      <c r="G103" s="1280">
        <v>7.4</v>
      </c>
      <c r="H103" s="1280">
        <v>290</v>
      </c>
      <c r="I103" s="1280"/>
      <c r="J103" s="1280">
        <v>5.0987593824650137</v>
      </c>
      <c r="K103" s="209">
        <v>1.1867592541802312</v>
      </c>
      <c r="L103" s="1280"/>
      <c r="M103" s="1280">
        <v>6.2855186366452447</v>
      </c>
    </row>
    <row r="104" spans="1:13">
      <c r="A104" s="1441"/>
      <c r="B104" s="1410" t="s">
        <v>1428</v>
      </c>
      <c r="C104" s="1503">
        <f>F10A!C104</f>
        <v>2295.9068659394279</v>
      </c>
      <c r="D104" s="1503">
        <f>F10A!D104</f>
        <v>72.445107880560073</v>
      </c>
      <c r="E104" s="1503">
        <f>F10A!E104</f>
        <v>33227.39625131795</v>
      </c>
      <c r="F104" s="1031">
        <f t="shared" si="1"/>
        <v>0.24889068711648374</v>
      </c>
      <c r="G104" s="1280">
        <v>7.9</v>
      </c>
      <c r="H104" s="1280">
        <v>290</v>
      </c>
      <c r="I104" s="1280"/>
      <c r="J104" s="1280">
        <v>57.381751335158427</v>
      </c>
      <c r="K104" s="209">
        <v>8.4658658877465101</v>
      </c>
      <c r="L104" s="1280"/>
      <c r="M104" s="1280">
        <v>65.847617222904944</v>
      </c>
    </row>
    <row r="105" spans="1:13">
      <c r="A105" s="1440">
        <v>10</v>
      </c>
      <c r="B105" s="1406" t="s">
        <v>1430</v>
      </c>
      <c r="C105" s="1503">
        <f>F10A!C105</f>
        <v>450.208605232183</v>
      </c>
      <c r="D105" s="1503">
        <f>F10A!D105</f>
        <v>14.205894611259223</v>
      </c>
      <c r="E105" s="1503">
        <f>F10A!E105</f>
        <v>6515.6213188473412</v>
      </c>
      <c r="F105" s="1031">
        <f t="shared" si="1"/>
        <v>0.24889068711648366</v>
      </c>
      <c r="G105" s="1280">
        <v>6.7149999999999999</v>
      </c>
      <c r="H105" s="1280">
        <v>290</v>
      </c>
      <c r="I105" s="1280"/>
      <c r="J105" s="1280">
        <v>9.5392582314605683</v>
      </c>
      <c r="K105" s="209">
        <v>1.6600872317377475</v>
      </c>
      <c r="L105" s="1280"/>
      <c r="M105" s="1280">
        <v>11.199345463198316</v>
      </c>
    </row>
    <row r="106" spans="1:13">
      <c r="A106" s="1440"/>
      <c r="B106" s="1406" t="s">
        <v>1431</v>
      </c>
      <c r="C106" s="1503">
        <f>F10A!C106</f>
        <v>970.97549175721679</v>
      </c>
      <c r="D106" s="1503">
        <f>F10A!D106</f>
        <v>30.638187155274288</v>
      </c>
      <c r="E106" s="1503">
        <f>F10A!E106</f>
        <v>14052.393802888053</v>
      </c>
      <c r="F106" s="1031">
        <f t="shared" si="1"/>
        <v>0.24889068711648366</v>
      </c>
      <c r="G106" s="1280">
        <v>7.9</v>
      </c>
      <c r="H106" s="1280">
        <v>290</v>
      </c>
      <c r="I106" s="1280"/>
      <c r="J106" s="1280">
        <v>24.204167852666689</v>
      </c>
      <c r="K106" s="209">
        <v>3.580349192492978</v>
      </c>
      <c r="L106" s="1280"/>
      <c r="M106" s="1280">
        <v>27.784517045159667</v>
      </c>
    </row>
    <row r="107" spans="1:13">
      <c r="A107" s="1441"/>
      <c r="B107" s="1406" t="s">
        <v>1432</v>
      </c>
      <c r="C107" s="1503">
        <f>F10A!C107</f>
        <v>490.3557028023767</v>
      </c>
      <c r="D107" s="1503">
        <f>F10A!D107</f>
        <v>15.472697223208375</v>
      </c>
      <c r="E107" s="1503">
        <f>F10A!E107</f>
        <v>7096.64816235535</v>
      </c>
      <c r="F107" s="1031">
        <f t="shared" si="1"/>
        <v>0.24889068711648366</v>
      </c>
      <c r="G107" s="1280">
        <v>9.0849999999999991</v>
      </c>
      <c r="H107" s="1280">
        <v>290</v>
      </c>
      <c r="I107" s="1280"/>
      <c r="J107" s="1280">
        <v>14.056945427284807</v>
      </c>
      <c r="K107" s="209">
        <v>1.8081245710801097</v>
      </c>
      <c r="L107" s="1280"/>
      <c r="M107" s="1280">
        <v>15.865069998364916</v>
      </c>
    </row>
    <row r="108" spans="1:13">
      <c r="A108" s="1440">
        <v>11</v>
      </c>
      <c r="B108" s="1406" t="s">
        <v>1433</v>
      </c>
      <c r="C108" s="1503">
        <f>F10A!C108</f>
        <v>384.36706614765143</v>
      </c>
      <c r="D108" s="1503">
        <f>F10A!D108</f>
        <v>12.128328890818175</v>
      </c>
      <c r="E108" s="1503">
        <f>F10A!E108</f>
        <v>5562.7329672272072</v>
      </c>
      <c r="F108" s="1031">
        <f t="shared" si="1"/>
        <v>0.24889068711648368</v>
      </c>
      <c r="G108" s="1280">
        <v>7.9</v>
      </c>
      <c r="H108" s="1280">
        <v>290</v>
      </c>
      <c r="I108" s="1280"/>
      <c r="J108" s="1280">
        <v>9.5813798237463583</v>
      </c>
      <c r="K108" s="209">
        <v>1.417304892435675</v>
      </c>
      <c r="L108" s="1280"/>
      <c r="M108" s="1280">
        <v>10.998684716182034</v>
      </c>
    </row>
    <row r="109" spans="1:13">
      <c r="A109" s="1440"/>
      <c r="B109" s="1402" t="s">
        <v>1014</v>
      </c>
      <c r="C109" s="1503">
        <f>F10A!C109</f>
        <v>12530.7</v>
      </c>
      <c r="D109" s="1503">
        <f>F10A!D109</f>
        <v>171.7576</v>
      </c>
      <c r="E109" s="1503">
        <f>F10A!E109</f>
        <v>202647.12300000002</v>
      </c>
      <c r="F109" s="1031">
        <f t="shared" si="1"/>
        <v>9.6754553793839543E-2</v>
      </c>
      <c r="G109" s="1280">
        <v>0</v>
      </c>
      <c r="H109" s="1280">
        <v>0</v>
      </c>
      <c r="I109" s="1280"/>
      <c r="J109" s="1280">
        <v>131.04250173590952</v>
      </c>
      <c r="K109" s="209">
        <v>0</v>
      </c>
      <c r="L109" s="1280"/>
      <c r="M109" s="1280">
        <v>131.04250173590952</v>
      </c>
    </row>
    <row r="110" spans="1:13">
      <c r="A110" s="1441"/>
      <c r="B110" s="1410" t="s">
        <v>1426</v>
      </c>
      <c r="C110" s="1503">
        <f>F10A!C110</f>
        <v>7868.9923346490568</v>
      </c>
      <c r="D110" s="1503">
        <f>F10A!D110</f>
        <v>58.155758892479767</v>
      </c>
      <c r="E110" s="1503">
        <f>F10A!E110</f>
        <v>141597.25876453603</v>
      </c>
      <c r="F110" s="1031">
        <f t="shared" si="1"/>
        <v>4.6884984353675434E-2</v>
      </c>
      <c r="G110" s="1280">
        <v>7.3</v>
      </c>
      <c r="H110" s="1280">
        <v>290</v>
      </c>
      <c r="I110" s="1280"/>
      <c r="J110" s="1280">
        <v>42.74767999770782</v>
      </c>
      <c r="K110" s="209">
        <v>0</v>
      </c>
      <c r="L110" s="1280"/>
      <c r="M110" s="1280">
        <v>42.74767999770782</v>
      </c>
    </row>
    <row r="111" spans="1:13">
      <c r="A111" s="1441"/>
      <c r="B111" s="1406" t="s">
        <v>1430</v>
      </c>
      <c r="C111" s="1503">
        <f>F10A!C111</f>
        <v>1543.0451975740364</v>
      </c>
      <c r="D111" s="1503">
        <f>F10A!D111</f>
        <v>11.403869854489644</v>
      </c>
      <c r="E111" s="1503">
        <f>F10A!E111</f>
        <v>27766.067221110054</v>
      </c>
      <c r="F111" s="1031">
        <f t="shared" si="1"/>
        <v>4.6884984353675427E-2</v>
      </c>
      <c r="G111" s="1280">
        <v>7.3</v>
      </c>
      <c r="H111" s="1280">
        <v>290</v>
      </c>
      <c r="I111" s="1280"/>
      <c r="J111" s="1280">
        <v>8.3248249937774403</v>
      </c>
      <c r="K111" s="209">
        <v>0</v>
      </c>
      <c r="L111" s="1280"/>
      <c r="M111" s="1280">
        <v>8.3248249937774403</v>
      </c>
    </row>
    <row r="112" spans="1:13">
      <c r="A112" s="1440"/>
      <c r="B112" s="1406" t="s">
        <v>1431</v>
      </c>
      <c r="C112" s="1503">
        <f>F10A!C112</f>
        <v>3327.9218835574566</v>
      </c>
      <c r="D112" s="1503">
        <f>F10A!D112</f>
        <v>24.594994434164231</v>
      </c>
      <c r="E112" s="1503">
        <f>F10A!E112</f>
        <v>59883.730477069155</v>
      </c>
      <c r="F112" s="1031">
        <f t="shared" si="1"/>
        <v>4.6884984353675434E-2</v>
      </c>
      <c r="G112" s="1280">
        <v>7.3</v>
      </c>
      <c r="H112" s="1280">
        <v>290</v>
      </c>
      <c r="I112" s="1280"/>
      <c r="J112" s="1280">
        <v>17.954345936939887</v>
      </c>
      <c r="K112" s="209">
        <v>0</v>
      </c>
      <c r="L112" s="1280"/>
      <c r="M112" s="1280">
        <v>17.954345936939887</v>
      </c>
    </row>
    <row r="113" spans="1:13">
      <c r="A113" s="1441"/>
      <c r="B113" s="1406" t="s">
        <v>1432</v>
      </c>
      <c r="C113" s="1503">
        <f>F10A!C113</f>
        <v>1680.6453797613033</v>
      </c>
      <c r="D113" s="1503">
        <f>F10A!D113</f>
        <v>12.420803494596038</v>
      </c>
      <c r="E113" s="1503">
        <f>F10A!E113</f>
        <v>30242.090550987486</v>
      </c>
      <c r="F113" s="1031">
        <f t="shared" si="1"/>
        <v>4.6884984353675427E-2</v>
      </c>
      <c r="G113" s="1280">
        <v>8.3949999999999996</v>
      </c>
      <c r="H113" s="1280">
        <v>290</v>
      </c>
      <c r="I113" s="1280"/>
      <c r="J113" s="1280">
        <v>10.427264533713373</v>
      </c>
      <c r="K113" s="209">
        <v>0</v>
      </c>
      <c r="L113" s="1280"/>
      <c r="M113" s="1280">
        <v>10.427264533713373</v>
      </c>
    </row>
    <row r="114" spans="1:13">
      <c r="A114" s="1441"/>
      <c r="B114" s="1406" t="s">
        <v>1433</v>
      </c>
      <c r="C114" s="1503">
        <f>F10A!C114</f>
        <v>1317.3798737562608</v>
      </c>
      <c r="D114" s="1503">
        <f>F10A!D114</f>
        <v>9.7360911092298537</v>
      </c>
      <c r="E114" s="1503">
        <f>F10A!E114</f>
        <v>23705.370515369341</v>
      </c>
      <c r="F114" s="1031">
        <f t="shared" si="1"/>
        <v>4.6884984353675441E-2</v>
      </c>
      <c r="G114" s="1280">
        <v>6.2050000000000001</v>
      </c>
      <c r="H114" s="1280">
        <v>290</v>
      </c>
      <c r="I114" s="1280"/>
      <c r="J114" s="1280">
        <v>6.0412445332771245</v>
      </c>
      <c r="K114" s="209">
        <v>0</v>
      </c>
      <c r="L114" s="1280"/>
      <c r="M114" s="1280">
        <v>6.0412445332771245</v>
      </c>
    </row>
    <row r="115" spans="1:13">
      <c r="A115" s="1440"/>
      <c r="B115" s="1410" t="s">
        <v>1427</v>
      </c>
      <c r="C115" s="1503">
        <f>F10A!C115</f>
        <v>2365.800799411516</v>
      </c>
      <c r="D115" s="1503">
        <f>F10A!D115</f>
        <v>41.156733226960164</v>
      </c>
      <c r="E115" s="1503">
        <f>F10A!E115</f>
        <v>27822.467984146035</v>
      </c>
      <c r="F115" s="1031">
        <f t="shared" si="1"/>
        <v>0.16886558088113193</v>
      </c>
      <c r="G115" s="1280">
        <v>7.4</v>
      </c>
      <c r="H115" s="1280">
        <v>290</v>
      </c>
      <c r="I115" s="1280"/>
      <c r="J115" s="1280">
        <v>30.666878865171</v>
      </c>
      <c r="K115" s="209">
        <v>0</v>
      </c>
      <c r="L115" s="1280"/>
      <c r="M115" s="1280">
        <v>30.666878865171</v>
      </c>
    </row>
    <row r="116" spans="1:13">
      <c r="A116" s="1441"/>
      <c r="B116" s="1406" t="s">
        <v>1430</v>
      </c>
      <c r="C116" s="1503">
        <f>F10A!C116</f>
        <v>463.91423535572216</v>
      </c>
      <c r="D116" s="1503">
        <f>F10A!D116</f>
        <v>8.0704996081977942</v>
      </c>
      <c r="E116" s="1503">
        <f>F10A!E116</f>
        <v>5455.7589818148654</v>
      </c>
      <c r="F116" s="1031">
        <f t="shared" si="1"/>
        <v>0.16886558088113199</v>
      </c>
      <c r="G116" s="1280">
        <v>7.4</v>
      </c>
      <c r="H116" s="1280">
        <v>290</v>
      </c>
      <c r="I116" s="1280"/>
      <c r="J116" s="1280">
        <v>5.9721697100663684</v>
      </c>
      <c r="K116" s="209">
        <v>0</v>
      </c>
      <c r="L116" s="1280"/>
      <c r="M116" s="1280">
        <v>5.9721697100663684</v>
      </c>
    </row>
    <row r="117" spans="1:13">
      <c r="A117" s="1440">
        <v>12</v>
      </c>
      <c r="B117" s="1406" t="s">
        <v>1431</v>
      </c>
      <c r="C117" s="1503">
        <f>F10A!C117</f>
        <v>1000.5347467212191</v>
      </c>
      <c r="D117" s="1503">
        <f>F10A!D117</f>
        <v>17.405836393897758</v>
      </c>
      <c r="E117" s="1503">
        <f>F10A!E117</f>
        <v>11766.56376335709</v>
      </c>
      <c r="F117" s="1031">
        <f t="shared" si="1"/>
        <v>0.16886558088113196</v>
      </c>
      <c r="G117" s="1280">
        <v>7.4</v>
      </c>
      <c r="H117" s="1280">
        <v>290</v>
      </c>
      <c r="I117" s="1280"/>
      <c r="J117" s="1280">
        <v>12.880318931484343</v>
      </c>
      <c r="K117" s="209">
        <v>0</v>
      </c>
      <c r="L117" s="1280"/>
      <c r="M117" s="1280">
        <v>12.880318931484343</v>
      </c>
    </row>
    <row r="118" spans="1:13">
      <c r="A118" s="1440"/>
      <c r="B118" s="1406" t="s">
        <v>1432</v>
      </c>
      <c r="C118" s="1503">
        <f>F10A!C118</f>
        <v>505.28352473530373</v>
      </c>
      <c r="D118" s="1503">
        <f>F10A!D118</f>
        <v>8.7901818431551408</v>
      </c>
      <c r="E118" s="1503">
        <f>F10A!E118</f>
        <v>5942.2732012608085</v>
      </c>
      <c r="F118" s="1031">
        <f t="shared" si="1"/>
        <v>0.16886558088113199</v>
      </c>
      <c r="G118" s="1280">
        <v>8.51</v>
      </c>
      <c r="H118" s="1280">
        <v>290</v>
      </c>
      <c r="I118" s="1280"/>
      <c r="J118" s="1280">
        <v>7.4804447485250254</v>
      </c>
      <c r="K118" s="209">
        <v>0</v>
      </c>
      <c r="L118" s="1280"/>
      <c r="M118" s="1280">
        <v>7.4804447485250254</v>
      </c>
    </row>
    <row r="119" spans="1:13">
      <c r="A119" s="1441"/>
      <c r="B119" s="1406" t="s">
        <v>1433</v>
      </c>
      <c r="C119" s="1503">
        <f>F10A!C119</f>
        <v>396.0682925992711</v>
      </c>
      <c r="D119" s="1503">
        <f>F10A!D119</f>
        <v>6.8902153817094769</v>
      </c>
      <c r="E119" s="1503">
        <f>F10A!E119</f>
        <v>4657.8720377132713</v>
      </c>
      <c r="F119" s="1031">
        <f t="shared" si="1"/>
        <v>0.16886558088113196</v>
      </c>
      <c r="G119" s="1280">
        <v>6.29</v>
      </c>
      <c r="H119" s="1280">
        <v>290</v>
      </c>
      <c r="I119" s="1280"/>
      <c r="J119" s="1280">
        <v>4.3339454750952608</v>
      </c>
      <c r="K119" s="209">
        <v>0</v>
      </c>
      <c r="L119" s="1280"/>
      <c r="M119" s="1280">
        <v>4.3339454750952608</v>
      </c>
    </row>
    <row r="120" spans="1:13">
      <c r="A120" s="1441"/>
      <c r="B120" s="1410" t="s">
        <v>1428</v>
      </c>
      <c r="C120" s="1503">
        <f>F10A!C120</f>
        <v>2295.9068659394279</v>
      </c>
      <c r="D120" s="1503">
        <f>F10A!D120</f>
        <v>72.445107880560073</v>
      </c>
      <c r="E120" s="1503">
        <f>F10A!E120</f>
        <v>33227.39625131795</v>
      </c>
      <c r="F120" s="1031">
        <f t="shared" si="1"/>
        <v>0.24889068711648374</v>
      </c>
      <c r="G120" s="1280">
        <v>7.9</v>
      </c>
      <c r="H120" s="1280">
        <v>290</v>
      </c>
      <c r="I120" s="1280"/>
      <c r="J120" s="1280">
        <v>57.62794287303069</v>
      </c>
      <c r="K120" s="209">
        <v>0</v>
      </c>
      <c r="L120" s="1280"/>
      <c r="M120" s="1280">
        <v>57.62794287303069</v>
      </c>
    </row>
    <row r="121" spans="1:13">
      <c r="A121" s="1440"/>
      <c r="B121" s="1406" t="s">
        <v>1430</v>
      </c>
      <c r="C121" s="1503">
        <f>F10A!C121</f>
        <v>450.208605232183</v>
      </c>
      <c r="D121" s="1503">
        <f>F10A!D121</f>
        <v>14.205894611259223</v>
      </c>
      <c r="E121" s="1503">
        <f>F10A!E121</f>
        <v>6515.6213188473412</v>
      </c>
      <c r="F121" s="1031">
        <f t="shared" si="1"/>
        <v>0.24889068711648366</v>
      </c>
      <c r="G121" s="1280">
        <v>7.9</v>
      </c>
      <c r="H121" s="1280">
        <v>290</v>
      </c>
      <c r="I121" s="1280"/>
      <c r="J121" s="1280">
        <v>11.222656742894788</v>
      </c>
      <c r="K121" s="209">
        <v>0</v>
      </c>
      <c r="L121" s="1280"/>
      <c r="M121" s="1280">
        <v>11.222656742894788</v>
      </c>
    </row>
    <row r="122" spans="1:13">
      <c r="A122" s="1441"/>
      <c r="B122" s="1406" t="s">
        <v>1431</v>
      </c>
      <c r="C122" s="1503">
        <f>F10A!C122</f>
        <v>970.97549175721679</v>
      </c>
      <c r="D122" s="1503">
        <f>F10A!D122</f>
        <v>30.638187155274288</v>
      </c>
      <c r="E122" s="1503">
        <f>F10A!E122</f>
        <v>14052.393802888053</v>
      </c>
      <c r="F122" s="1031">
        <f t="shared" si="1"/>
        <v>0.24889068711648366</v>
      </c>
      <c r="G122" s="1280">
        <v>7.9</v>
      </c>
      <c r="H122" s="1280">
        <v>290</v>
      </c>
      <c r="I122" s="1280"/>
      <c r="J122" s="1280">
        <v>24.204167852666689</v>
      </c>
      <c r="K122" s="209">
        <v>0</v>
      </c>
      <c r="L122" s="1280"/>
      <c r="M122" s="1280">
        <v>24.204167852666689</v>
      </c>
    </row>
    <row r="123" spans="1:13">
      <c r="A123" s="1441"/>
      <c r="B123" s="1406" t="s">
        <v>1432</v>
      </c>
      <c r="C123" s="1503">
        <f>F10A!C123</f>
        <v>490.3557028023767</v>
      </c>
      <c r="D123" s="1503">
        <f>F10A!D123</f>
        <v>15.472697223208375</v>
      </c>
      <c r="E123" s="1503">
        <f>F10A!E123</f>
        <v>7096.64816235535</v>
      </c>
      <c r="F123" s="1031">
        <f t="shared" si="1"/>
        <v>0.24889068711648366</v>
      </c>
      <c r="G123" s="1280">
        <v>9.0849999999999991</v>
      </c>
      <c r="H123" s="1280">
        <v>290</v>
      </c>
      <c r="I123" s="1280"/>
      <c r="J123" s="1280">
        <v>14.056945427284807</v>
      </c>
      <c r="K123" s="209">
        <v>0</v>
      </c>
      <c r="L123" s="1280"/>
      <c r="M123" s="1280">
        <v>14.056945427284807</v>
      </c>
    </row>
    <row r="124" spans="1:13">
      <c r="A124" s="1440"/>
      <c r="B124" s="1406" t="s">
        <v>1433</v>
      </c>
      <c r="C124" s="1503">
        <f>F10A!C124</f>
        <v>384.36706614765143</v>
      </c>
      <c r="D124" s="1503">
        <f>F10A!D124</f>
        <v>12.128328890818175</v>
      </c>
      <c r="E124" s="1503">
        <f>F10A!E124</f>
        <v>5562.7329672272072</v>
      </c>
      <c r="F124" s="1031">
        <f t="shared" si="1"/>
        <v>0.24889068711648368</v>
      </c>
      <c r="G124" s="1280">
        <v>6.7149999999999999</v>
      </c>
      <c r="H124" s="1280">
        <v>290</v>
      </c>
      <c r="I124" s="1280"/>
      <c r="J124" s="1280">
        <v>8.144172850184404</v>
      </c>
      <c r="K124" s="209">
        <v>0</v>
      </c>
      <c r="L124" s="1280"/>
      <c r="M124" s="1280">
        <v>8.144172850184404</v>
      </c>
    </row>
    <row r="125" spans="1:13">
      <c r="A125" s="1441"/>
      <c r="B125" s="1402" t="s">
        <v>1425</v>
      </c>
      <c r="C125" s="1503">
        <f>F10A!C125</f>
        <v>32664.666200000003</v>
      </c>
      <c r="D125" s="1503">
        <f>F10A!D125</f>
        <v>595.68804</v>
      </c>
      <c r="E125" s="1503">
        <f>F10A!E125</f>
        <v>370881.31810000003</v>
      </c>
      <c r="F125" s="1031">
        <f t="shared" si="1"/>
        <v>0.18334953660266118</v>
      </c>
      <c r="G125" s="1280">
        <v>0</v>
      </c>
      <c r="H125" s="1280">
        <v>0</v>
      </c>
      <c r="I125" s="1280"/>
      <c r="J125" s="1280">
        <v>435.11109819517094</v>
      </c>
      <c r="K125" s="209">
        <v>91.656038253633767</v>
      </c>
      <c r="L125" s="1280"/>
      <c r="M125" s="1280">
        <v>526.76713644880465</v>
      </c>
    </row>
    <row r="126" spans="1:13">
      <c r="A126" s="1440">
        <v>13</v>
      </c>
      <c r="B126" s="1409"/>
      <c r="C126" s="1503">
        <f>F10A!C126</f>
        <v>0</v>
      </c>
      <c r="D126" s="1503">
        <f>F10A!D126</f>
        <v>0</v>
      </c>
      <c r="E126" s="1503">
        <f>F10A!E126</f>
        <v>0</v>
      </c>
      <c r="F126" s="1031">
        <f t="shared" si="1"/>
        <v>0</v>
      </c>
      <c r="G126" s="1280">
        <v>0</v>
      </c>
      <c r="H126" s="1280">
        <v>0</v>
      </c>
      <c r="I126" s="1280"/>
      <c r="J126" s="1280">
        <v>0</v>
      </c>
      <c r="K126" s="209">
        <v>0</v>
      </c>
      <c r="L126" s="1280"/>
      <c r="M126" s="1280">
        <v>0</v>
      </c>
    </row>
    <row r="127" spans="1:13">
      <c r="A127" s="1440"/>
      <c r="B127" s="1402" t="s">
        <v>1402</v>
      </c>
      <c r="C127" s="1503">
        <f>F10A!C127</f>
        <v>0</v>
      </c>
      <c r="D127" s="1503">
        <f>F10A!D127</f>
        <v>0</v>
      </c>
      <c r="E127" s="1503">
        <f>F10A!E127</f>
        <v>0</v>
      </c>
      <c r="F127" s="1031">
        <f t="shared" si="1"/>
        <v>0</v>
      </c>
      <c r="G127" s="1280">
        <v>0</v>
      </c>
      <c r="H127" s="1280">
        <v>0</v>
      </c>
      <c r="I127" s="1280"/>
      <c r="J127" s="1280">
        <v>0</v>
      </c>
      <c r="K127" s="209">
        <v>0</v>
      </c>
      <c r="L127" s="1280"/>
      <c r="M127" s="1280">
        <v>0</v>
      </c>
    </row>
    <row r="128" spans="1:13">
      <c r="A128" s="1441"/>
      <c r="B128" s="1402" t="s">
        <v>1012</v>
      </c>
      <c r="C128" s="1503">
        <f>F10A!C128</f>
        <v>2086.4200000000005</v>
      </c>
      <c r="D128" s="1503">
        <f>F10A!D128</f>
        <v>143.74533333333335</v>
      </c>
      <c r="E128" s="1503">
        <f>F10A!E128</f>
        <v>35206.910000000003</v>
      </c>
      <c r="F128" s="1031">
        <f t="shared" si="1"/>
        <v>0.46608136377469217</v>
      </c>
      <c r="G128" s="1280">
        <v>0</v>
      </c>
      <c r="H128" s="1280">
        <v>0</v>
      </c>
      <c r="I128" s="1280"/>
      <c r="J128" s="1280">
        <v>114.34941266666668</v>
      </c>
      <c r="K128" s="209">
        <v>13.873406456250002</v>
      </c>
      <c r="L128" s="1280"/>
      <c r="M128" s="1280">
        <v>128.22281912291669</v>
      </c>
    </row>
    <row r="129" spans="1:13">
      <c r="A129" s="1441"/>
      <c r="B129" s="1409" t="s">
        <v>1091</v>
      </c>
      <c r="C129" s="1503">
        <f>F10A!C129</f>
        <v>1755.7100000000003</v>
      </c>
      <c r="D129" s="1503">
        <f>F10A!D129</f>
        <v>105.80973333333336</v>
      </c>
      <c r="E129" s="1503">
        <f>F10A!E129</f>
        <v>26131.160000000003</v>
      </c>
      <c r="F129" s="1031">
        <f t="shared" si="1"/>
        <v>0.46223499767661935</v>
      </c>
      <c r="G129" s="1280">
        <v>7.9550000000000001</v>
      </c>
      <c r="H129" s="1280">
        <v>346.875</v>
      </c>
      <c r="I129" s="1280"/>
      <c r="J129" s="1280">
        <v>84.171642866666687</v>
      </c>
      <c r="K129" s="209">
        <v>10.382681925000004</v>
      </c>
      <c r="L129" s="1280"/>
      <c r="M129" s="1280">
        <v>94.554324791666687</v>
      </c>
    </row>
    <row r="130" spans="1:13">
      <c r="A130" s="1441"/>
      <c r="B130" s="1409" t="s">
        <v>1092</v>
      </c>
      <c r="C130" s="1503">
        <f>F10A!C130</f>
        <v>85.910000000000011</v>
      </c>
      <c r="D130" s="1503">
        <f>F10A!D130</f>
        <v>20.385200000000001</v>
      </c>
      <c r="E130" s="1503">
        <f>F10A!E130</f>
        <v>1760.5500000000004</v>
      </c>
      <c r="F130" s="1031">
        <f t="shared" si="1"/>
        <v>1.3217901369292413</v>
      </c>
      <c r="G130" s="1280">
        <v>7.9550000000000001</v>
      </c>
      <c r="H130" s="1280">
        <v>346.875</v>
      </c>
      <c r="I130" s="1280"/>
      <c r="J130" s="1280">
        <v>16.216426599999998</v>
      </c>
      <c r="K130" s="209">
        <v>0.69951853125000019</v>
      </c>
      <c r="L130" s="1280"/>
      <c r="M130" s="1280">
        <v>16.915945131249998</v>
      </c>
    </row>
    <row r="131" spans="1:13">
      <c r="A131" s="1441"/>
      <c r="B131" s="1409" t="s">
        <v>1093</v>
      </c>
      <c r="C131" s="1503">
        <f>F10A!C131</f>
        <v>244.79999999999998</v>
      </c>
      <c r="D131" s="1503">
        <f>F10A!D131</f>
        <v>17.550399999999996</v>
      </c>
      <c r="E131" s="1503">
        <f>F10A!E131</f>
        <v>7315.2</v>
      </c>
      <c r="F131" s="1031">
        <f t="shared" si="1"/>
        <v>0.27387772304717617</v>
      </c>
      <c r="G131" s="1280">
        <v>7.9550000000000001</v>
      </c>
      <c r="H131" s="1280">
        <v>346.875</v>
      </c>
      <c r="I131" s="1280"/>
      <c r="J131" s="1280">
        <v>13.961343199999996</v>
      </c>
      <c r="K131" s="209">
        <v>2.7912059999999999</v>
      </c>
      <c r="L131" s="1280"/>
      <c r="M131" s="1280">
        <v>16.752549199999997</v>
      </c>
    </row>
    <row r="132" spans="1:13">
      <c r="A132" s="1440"/>
      <c r="B132" s="1402" t="s">
        <v>1011</v>
      </c>
      <c r="C132" s="1503">
        <f>F10A!C132</f>
        <v>1846.0980000000002</v>
      </c>
      <c r="D132" s="1503">
        <f>F10A!D132</f>
        <v>277.70800000000003</v>
      </c>
      <c r="E132" s="1503">
        <f>F10A!E132</f>
        <v>83893.3272</v>
      </c>
      <c r="F132" s="1031">
        <f t="shared" si="1"/>
        <v>0.37788257471826997</v>
      </c>
      <c r="G132" s="1280">
        <v>0</v>
      </c>
      <c r="H132" s="1280">
        <v>0</v>
      </c>
      <c r="I132" s="1280"/>
      <c r="J132" s="1280">
        <v>238.82888</v>
      </c>
      <c r="K132" s="209">
        <v>36.914469120000007</v>
      </c>
      <c r="L132" s="1280"/>
      <c r="M132" s="1280">
        <v>275.74334912</v>
      </c>
    </row>
    <row r="133" spans="1:13">
      <c r="A133" s="1441"/>
      <c r="B133" s="1409" t="s">
        <v>1094</v>
      </c>
      <c r="C133" s="1503">
        <f>F10A!C133</f>
        <v>374.54399999999998</v>
      </c>
      <c r="D133" s="1503">
        <f>F10A!D133</f>
        <v>46.464400000000005</v>
      </c>
      <c r="E133" s="1503">
        <f>F10A!E133</f>
        <v>9730.8611999999994</v>
      </c>
      <c r="F133" s="1031">
        <f t="shared" si="1"/>
        <v>0.54508590166115556</v>
      </c>
      <c r="G133" s="1280">
        <v>8.6</v>
      </c>
      <c r="H133" s="1280">
        <v>375</v>
      </c>
      <c r="I133" s="1280"/>
      <c r="J133" s="1280">
        <v>39.959384</v>
      </c>
      <c r="K133" s="209">
        <v>4.3359572699999998</v>
      </c>
      <c r="L133" s="1280"/>
      <c r="M133" s="1280">
        <v>44.295341270000002</v>
      </c>
    </row>
    <row r="134" spans="1:13">
      <c r="A134" s="1441"/>
      <c r="B134" s="1409" t="s">
        <v>1095</v>
      </c>
      <c r="C134" s="1503">
        <f>F10A!C134</f>
        <v>1134.1890000000001</v>
      </c>
      <c r="D134" s="1503">
        <f>F10A!D134</f>
        <v>185.49860000000001</v>
      </c>
      <c r="E134" s="1503">
        <f>F10A!E134</f>
        <v>61447.554000000004</v>
      </c>
      <c r="F134" s="1031">
        <f t="shared" si="1"/>
        <v>0.34461321714134291</v>
      </c>
      <c r="G134" s="1280">
        <v>8.6</v>
      </c>
      <c r="H134" s="1280">
        <v>375</v>
      </c>
      <c r="I134" s="1280"/>
      <c r="J134" s="1280">
        <v>159.528796</v>
      </c>
      <c r="K134" s="209">
        <v>26.993032650000007</v>
      </c>
      <c r="L134" s="1280"/>
      <c r="M134" s="1280">
        <v>186.52182865</v>
      </c>
    </row>
    <row r="135" spans="1:13">
      <c r="A135" s="1441"/>
      <c r="B135" s="1409" t="s">
        <v>1096</v>
      </c>
      <c r="C135" s="1503">
        <f>F10A!C135</f>
        <v>337.36500000000001</v>
      </c>
      <c r="D135" s="1503">
        <f>F10A!D135</f>
        <v>45.744999999999997</v>
      </c>
      <c r="E135" s="1503">
        <f>F10A!E135</f>
        <v>12714.912</v>
      </c>
      <c r="F135" s="1031">
        <f t="shared" si="1"/>
        <v>0.4107013846002488</v>
      </c>
      <c r="G135" s="1280">
        <v>8.6</v>
      </c>
      <c r="H135" s="1280">
        <v>375</v>
      </c>
      <c r="I135" s="1280"/>
      <c r="J135" s="1280">
        <v>39.340699999999998</v>
      </c>
      <c r="K135" s="209">
        <v>5.5854792</v>
      </c>
      <c r="L135" s="1280"/>
      <c r="M135" s="1280">
        <v>44.9261792</v>
      </c>
    </row>
    <row r="136" spans="1:13">
      <c r="A136" s="1441"/>
      <c r="B136" s="1402" t="s">
        <v>1425</v>
      </c>
      <c r="C136" s="1503">
        <f>F10A!C136</f>
        <v>3932.5180000000009</v>
      </c>
      <c r="D136" s="1503">
        <f>F10A!D136</f>
        <v>421.45333333333338</v>
      </c>
      <c r="E136" s="1503">
        <f>F10A!E136</f>
        <v>119100.2372</v>
      </c>
      <c r="F136" s="1031">
        <f t="shared" si="1"/>
        <v>0.40395478835462062</v>
      </c>
      <c r="G136" s="1280">
        <v>0</v>
      </c>
      <c r="H136" s="1280">
        <v>0</v>
      </c>
      <c r="I136" s="1280"/>
      <c r="J136" s="1280">
        <v>353.17829266666666</v>
      </c>
      <c r="K136" s="209">
        <v>50.787875576250009</v>
      </c>
      <c r="L136" s="1280"/>
      <c r="M136" s="1280">
        <v>403.96616824291669</v>
      </c>
    </row>
    <row r="137" spans="1:13">
      <c r="A137" s="1440"/>
      <c r="B137" s="1409"/>
      <c r="C137" s="1503">
        <f>F10A!C137</f>
        <v>0</v>
      </c>
      <c r="D137" s="1503">
        <f>F10A!D137</f>
        <v>0</v>
      </c>
      <c r="E137" s="1503">
        <f>F10A!E137</f>
        <v>0</v>
      </c>
      <c r="F137" s="1031">
        <f t="shared" si="1"/>
        <v>0</v>
      </c>
      <c r="G137" s="1280">
        <v>0</v>
      </c>
      <c r="H137" s="1280">
        <v>0</v>
      </c>
      <c r="I137" s="1280"/>
      <c r="J137" s="1280">
        <v>0</v>
      </c>
      <c r="K137" s="209">
        <v>0</v>
      </c>
      <c r="L137" s="1280"/>
      <c r="M137" s="1280">
        <v>0</v>
      </c>
    </row>
    <row r="138" spans="1:13">
      <c r="A138" s="1441"/>
      <c r="B138" s="1402" t="s">
        <v>1098</v>
      </c>
      <c r="C138" s="1503">
        <f>F10A!C138</f>
        <v>0</v>
      </c>
      <c r="D138" s="1503">
        <f>F10A!D138</f>
        <v>0</v>
      </c>
      <c r="E138" s="1503">
        <f>F10A!E138</f>
        <v>0</v>
      </c>
      <c r="F138" s="1031">
        <f t="shared" ref="F138:F201" si="2">IFERROR(D138/(E138*24*365/10^6),0)</f>
        <v>0</v>
      </c>
      <c r="G138" s="1280">
        <v>0</v>
      </c>
      <c r="H138" s="1280">
        <v>0</v>
      </c>
      <c r="I138" s="1280"/>
      <c r="J138" s="1280">
        <v>0</v>
      </c>
      <c r="K138" s="209">
        <v>0</v>
      </c>
      <c r="L138" s="1280"/>
      <c r="M138" s="1280">
        <v>0</v>
      </c>
    </row>
    <row r="139" spans="1:13">
      <c r="A139" s="1441"/>
      <c r="B139" s="1402" t="s">
        <v>476</v>
      </c>
      <c r="C139" s="1503">
        <f>F10A!C139</f>
        <v>9743.44</v>
      </c>
      <c r="D139" s="1503">
        <f>F10A!D139</f>
        <v>660.70940000000007</v>
      </c>
      <c r="E139" s="1503">
        <f>F10A!E139</f>
        <v>95901.410801102291</v>
      </c>
      <c r="F139" s="1031">
        <f t="shared" si="2"/>
        <v>0.78646859163533345</v>
      </c>
      <c r="G139" s="1280">
        <v>0</v>
      </c>
      <c r="H139" s="1280">
        <v>0</v>
      </c>
      <c r="I139" s="1280"/>
      <c r="J139" s="1280">
        <v>561.60299000000009</v>
      </c>
      <c r="K139" s="209">
        <v>44.033087446943568</v>
      </c>
      <c r="L139" s="1280"/>
      <c r="M139" s="1280">
        <v>605.63607744694366</v>
      </c>
    </row>
    <row r="140" spans="1:13">
      <c r="A140" s="1441"/>
      <c r="B140" s="1409" t="s">
        <v>1099</v>
      </c>
      <c r="C140" s="1503">
        <f>F10A!C140</f>
        <v>9743.44</v>
      </c>
      <c r="D140" s="1503">
        <f>F10A!D140</f>
        <v>660.70940000000007</v>
      </c>
      <c r="E140" s="1503">
        <f>F10A!E140</f>
        <v>95901.410801102291</v>
      </c>
      <c r="F140" s="1031">
        <f t="shared" si="2"/>
        <v>0.78646859163533345</v>
      </c>
      <c r="G140" s="1280">
        <v>8.5</v>
      </c>
      <c r="H140" s="1280">
        <v>330</v>
      </c>
      <c r="I140" s="1280"/>
      <c r="J140" s="1280">
        <v>561.60299000000009</v>
      </c>
      <c r="K140" s="209">
        <v>44.033087446943568</v>
      </c>
      <c r="L140" s="1280"/>
      <c r="M140" s="1280">
        <v>605.63607744694366</v>
      </c>
    </row>
    <row r="141" spans="1:13">
      <c r="A141" s="1441"/>
      <c r="B141" s="1402" t="s">
        <v>1404</v>
      </c>
      <c r="C141" s="1503">
        <f>F10A!C141</f>
        <v>2512</v>
      </c>
      <c r="D141" s="1503">
        <f>F10A!D141</f>
        <v>322.15088736000001</v>
      </c>
      <c r="E141" s="1503">
        <f>F10A!E141</f>
        <v>46877</v>
      </c>
      <c r="F141" s="1031">
        <f t="shared" si="2"/>
        <v>0.78450445745365094</v>
      </c>
      <c r="G141" s="1280">
        <v>0</v>
      </c>
      <c r="H141" s="1280">
        <v>0</v>
      </c>
      <c r="I141" s="1280"/>
      <c r="J141" s="1280">
        <v>0</v>
      </c>
      <c r="K141" s="209">
        <v>373.25654155495977</v>
      </c>
      <c r="L141" s="1280"/>
      <c r="M141" s="1280">
        <v>373.25654155495977</v>
      </c>
    </row>
    <row r="142" spans="1:13">
      <c r="A142" s="1440"/>
      <c r="B142" s="1409" t="s">
        <v>1405</v>
      </c>
      <c r="C142" s="1503">
        <f>F10A!C142</f>
        <v>2482.5</v>
      </c>
      <c r="D142" s="1503">
        <f>F10A!D142</f>
        <v>318.36766635000004</v>
      </c>
      <c r="E142" s="1503">
        <f>F10A!E142</f>
        <v>44854</v>
      </c>
      <c r="F142" s="1031">
        <f t="shared" si="2"/>
        <v>0.81025863707883916</v>
      </c>
      <c r="G142" s="1280">
        <v>0</v>
      </c>
      <c r="H142" s="1280">
        <v>3300</v>
      </c>
      <c r="I142" s="1280"/>
      <c r="J142" s="1280">
        <v>0</v>
      </c>
      <c r="K142" s="209">
        <v>357.14847184986593</v>
      </c>
      <c r="L142" s="1280"/>
      <c r="M142" s="1280">
        <v>357.14847184986593</v>
      </c>
    </row>
    <row r="143" spans="1:13">
      <c r="A143" s="1441"/>
      <c r="B143" s="1409" t="s">
        <v>1101</v>
      </c>
      <c r="C143" s="1503">
        <f>F10A!C143</f>
        <v>29.5</v>
      </c>
      <c r="D143" s="1503">
        <f>F10A!D143</f>
        <v>3.7832210099999997</v>
      </c>
      <c r="E143" s="1503">
        <f>F10A!E143</f>
        <v>2023</v>
      </c>
      <c r="F143" s="1031">
        <f t="shared" si="2"/>
        <v>0.21348222665375577</v>
      </c>
      <c r="G143" s="1280">
        <v>0</v>
      </c>
      <c r="H143" s="1280">
        <v>3300</v>
      </c>
      <c r="I143" s="1280"/>
      <c r="J143" s="1280">
        <v>0</v>
      </c>
      <c r="K143" s="209">
        <v>16.108069705093833</v>
      </c>
      <c r="L143" s="1280"/>
      <c r="M143" s="1280">
        <v>16.108069705093833</v>
      </c>
    </row>
    <row r="144" spans="1:13">
      <c r="A144" s="1441"/>
      <c r="B144" s="1402" t="s">
        <v>1425</v>
      </c>
      <c r="C144" s="1503">
        <f>F10A!C144</f>
        <v>12255.44</v>
      </c>
      <c r="D144" s="1503">
        <f>F10A!D144</f>
        <v>982.86028736000003</v>
      </c>
      <c r="E144" s="1503">
        <f>F10A!E144</f>
        <v>142778.41080110229</v>
      </c>
      <c r="F144" s="1031">
        <f t="shared" si="2"/>
        <v>0.78582372720857518</v>
      </c>
      <c r="G144" s="1280">
        <v>0</v>
      </c>
      <c r="H144" s="1280">
        <v>0</v>
      </c>
      <c r="I144" s="1280"/>
      <c r="J144" s="1280">
        <v>561.60299000000009</v>
      </c>
      <c r="K144" s="209">
        <v>417.28962900190334</v>
      </c>
      <c r="L144" s="1280"/>
      <c r="M144" s="1280">
        <v>978.89261900190343</v>
      </c>
    </row>
    <row r="145" spans="1:13">
      <c r="A145" s="1441"/>
      <c r="B145" s="1409"/>
      <c r="C145" s="1503">
        <f>F10A!C145</f>
        <v>0</v>
      </c>
      <c r="D145" s="1503">
        <f>F10A!D145</f>
        <v>0</v>
      </c>
      <c r="E145" s="1503">
        <f>F10A!E145</f>
        <v>0</v>
      </c>
      <c r="F145" s="1031">
        <f t="shared" si="2"/>
        <v>0</v>
      </c>
      <c r="G145" s="1280">
        <v>0</v>
      </c>
      <c r="H145" s="1280">
        <v>0</v>
      </c>
      <c r="I145" s="1280"/>
      <c r="J145" s="1280">
        <v>0</v>
      </c>
      <c r="K145" s="209">
        <v>0</v>
      </c>
      <c r="L145" s="1280"/>
      <c r="M145" s="1280">
        <v>0</v>
      </c>
    </row>
    <row r="146" spans="1:13">
      <c r="A146" s="1441"/>
      <c r="B146" s="1402" t="s">
        <v>1406</v>
      </c>
      <c r="C146" s="1503">
        <f>F10A!C146</f>
        <v>0</v>
      </c>
      <c r="D146" s="1503">
        <f>F10A!D146</f>
        <v>0</v>
      </c>
      <c r="E146" s="1503">
        <f>F10A!E146</f>
        <v>0</v>
      </c>
      <c r="F146" s="1031">
        <f t="shared" si="2"/>
        <v>0</v>
      </c>
      <c r="G146" s="1280">
        <v>0</v>
      </c>
      <c r="H146" s="1280">
        <v>0</v>
      </c>
      <c r="I146" s="1280"/>
      <c r="J146" s="1280">
        <v>0</v>
      </c>
      <c r="K146" s="209">
        <v>0</v>
      </c>
      <c r="L146" s="1280"/>
      <c r="M146" s="1280">
        <v>0</v>
      </c>
    </row>
    <row r="147" spans="1:13">
      <c r="A147" s="1440"/>
      <c r="B147" s="1402" t="s">
        <v>476</v>
      </c>
      <c r="C147" s="1503">
        <f>F10A!C147</f>
        <v>2166.9449000000004</v>
      </c>
      <c r="D147" s="1503">
        <f>F10A!D147</f>
        <v>9.1203066666666661</v>
      </c>
      <c r="E147" s="1503">
        <f>F10A!E147</f>
        <v>4965.3519000000006</v>
      </c>
      <c r="F147" s="1031">
        <f t="shared" si="2"/>
        <v>0.20967917662015231</v>
      </c>
      <c r="G147" s="1280">
        <v>0</v>
      </c>
      <c r="H147" s="1280">
        <v>0</v>
      </c>
      <c r="I147" s="1280"/>
      <c r="J147" s="1280">
        <v>7.8139919999999998</v>
      </c>
      <c r="K147" s="209">
        <v>1.5506418900000003</v>
      </c>
      <c r="L147" s="1280"/>
      <c r="M147" s="1280">
        <v>9.3646338900000003</v>
      </c>
    </row>
    <row r="148" spans="1:13">
      <c r="A148" s="1440"/>
      <c r="B148" s="1409" t="s">
        <v>1104</v>
      </c>
      <c r="C148" s="1503">
        <f>F10A!C148</f>
        <v>1008.0507000000001</v>
      </c>
      <c r="D148" s="1503">
        <f>F10A!D148</f>
        <v>3.9428399999999999</v>
      </c>
      <c r="E148" s="1503">
        <f>F10A!E148</f>
        <v>1783.0742000000002</v>
      </c>
      <c r="F148" s="1031">
        <f t="shared" si="2"/>
        <v>0.25242689867362716</v>
      </c>
      <c r="G148" s="1280">
        <v>8</v>
      </c>
      <c r="H148" s="1280">
        <v>200</v>
      </c>
      <c r="I148" s="1280"/>
      <c r="J148" s="1280">
        <v>3.1542719999999997</v>
      </c>
      <c r="K148" s="209">
        <v>0.42170570400000007</v>
      </c>
      <c r="L148" s="1280"/>
      <c r="M148" s="1280">
        <v>3.5759777039999996</v>
      </c>
    </row>
    <row r="149" spans="1:13">
      <c r="A149" s="1441"/>
      <c r="B149" s="1409" t="s">
        <v>1105</v>
      </c>
      <c r="C149" s="1503">
        <f>F10A!C149</f>
        <v>1158.8942000000002</v>
      </c>
      <c r="D149" s="1503">
        <f>F10A!D149</f>
        <v>5.1774666666666667</v>
      </c>
      <c r="E149" s="1503">
        <f>F10A!E149</f>
        <v>3182.2777000000001</v>
      </c>
      <c r="F149" s="1031">
        <f t="shared" si="2"/>
        <v>0.1857270368360216</v>
      </c>
      <c r="G149" s="1280">
        <v>9</v>
      </c>
      <c r="H149" s="1280">
        <v>300</v>
      </c>
      <c r="I149" s="1280"/>
      <c r="J149" s="1280">
        <v>4.6597200000000001</v>
      </c>
      <c r="K149" s="209">
        <v>1.1289361860000002</v>
      </c>
      <c r="L149" s="1280"/>
      <c r="M149" s="1280">
        <v>5.7886561860000008</v>
      </c>
    </row>
    <row r="150" spans="1:13">
      <c r="A150" s="1440">
        <v>14</v>
      </c>
      <c r="B150" s="1402" t="s">
        <v>1404</v>
      </c>
      <c r="C150" s="1503">
        <f>F10A!C150</f>
        <v>2.5</v>
      </c>
      <c r="D150" s="1503">
        <f>F10A!D150</f>
        <v>0.16133333333333333</v>
      </c>
      <c r="E150" s="1503">
        <f>F10A!E150</f>
        <v>6.5600000000000005</v>
      </c>
      <c r="F150" s="1031">
        <f t="shared" si="2"/>
        <v>2.8074767049040354</v>
      </c>
      <c r="G150" s="1280">
        <v>0</v>
      </c>
      <c r="H150" s="1280">
        <v>0</v>
      </c>
      <c r="I150" s="1280"/>
      <c r="J150" s="1280">
        <v>0</v>
      </c>
      <c r="K150" s="209">
        <v>0.13270031250000003</v>
      </c>
      <c r="L150" s="1280"/>
      <c r="M150" s="1280">
        <v>0.13270031250000003</v>
      </c>
    </row>
    <row r="151" spans="1:13">
      <c r="A151" s="1441"/>
      <c r="B151" s="1409" t="s">
        <v>1106</v>
      </c>
      <c r="C151" s="1503">
        <f>F10A!C151</f>
        <v>0</v>
      </c>
      <c r="D151" s="1503">
        <f>F10A!D151</f>
        <v>0</v>
      </c>
      <c r="E151" s="1503">
        <f>F10A!E151</f>
        <v>2.3100000000000005</v>
      </c>
      <c r="F151" s="1031">
        <f t="shared" si="2"/>
        <v>0</v>
      </c>
      <c r="G151" s="1280">
        <v>0</v>
      </c>
      <c r="H151" s="1280">
        <v>4750</v>
      </c>
      <c r="I151" s="1280"/>
      <c r="J151" s="1280">
        <v>0</v>
      </c>
      <c r="K151" s="209">
        <v>0.10012406250000001</v>
      </c>
      <c r="L151" s="1280"/>
      <c r="M151" s="1280">
        <v>0.10012406250000001</v>
      </c>
    </row>
    <row r="152" spans="1:13">
      <c r="A152" s="1441"/>
      <c r="B152" s="1409" t="s">
        <v>1107</v>
      </c>
      <c r="C152" s="1503">
        <f>F10A!C152</f>
        <v>2.5</v>
      </c>
      <c r="D152" s="1503">
        <f>F10A!D152</f>
        <v>0.16133333333333333</v>
      </c>
      <c r="E152" s="1503">
        <f>F10A!E152</f>
        <v>4.25</v>
      </c>
      <c r="F152" s="1031">
        <f t="shared" si="2"/>
        <v>4.3334228668636401</v>
      </c>
      <c r="G152" s="1280">
        <v>0</v>
      </c>
      <c r="H152" s="1280">
        <v>560</v>
      </c>
      <c r="I152" s="1280"/>
      <c r="J152" s="1280">
        <v>0</v>
      </c>
      <c r="K152" s="209">
        <v>3.2576250000000001E-2</v>
      </c>
      <c r="L152" s="1280"/>
      <c r="M152" s="1280">
        <v>3.2576250000000001E-2</v>
      </c>
    </row>
    <row r="153" spans="1:13">
      <c r="A153" s="1441"/>
      <c r="B153" s="1402" t="s">
        <v>1425</v>
      </c>
      <c r="C153" s="1503">
        <f>F10A!C153</f>
        <v>2169.4449000000004</v>
      </c>
      <c r="D153" s="1503">
        <f>F10A!D153</f>
        <v>9.2816399999999994</v>
      </c>
      <c r="E153" s="1503">
        <f>F10A!E153</f>
        <v>4971.911900000001</v>
      </c>
      <c r="F153" s="1031">
        <f t="shared" si="2"/>
        <v>0.21310674173560459</v>
      </c>
      <c r="G153" s="1280">
        <v>0</v>
      </c>
      <c r="H153" s="1280">
        <v>0</v>
      </c>
      <c r="I153" s="1280"/>
      <c r="J153" s="1280">
        <v>7.8139919999999998</v>
      </c>
      <c r="K153" s="209">
        <v>1.6833422025000004</v>
      </c>
      <c r="L153" s="1280"/>
      <c r="M153" s="1280">
        <v>9.4973342025000012</v>
      </c>
    </row>
    <row r="154" spans="1:13">
      <c r="A154" s="1440"/>
      <c r="B154" s="1409"/>
      <c r="C154" s="1503">
        <f>F10A!C154</f>
        <v>0</v>
      </c>
      <c r="D154" s="1503">
        <f>F10A!D154</f>
        <v>0</v>
      </c>
      <c r="E154" s="1503">
        <f>F10A!E154</f>
        <v>0</v>
      </c>
      <c r="F154" s="1031">
        <f t="shared" si="2"/>
        <v>0</v>
      </c>
      <c r="G154" s="1280">
        <v>0</v>
      </c>
      <c r="H154" s="1280">
        <v>0</v>
      </c>
      <c r="I154" s="1280"/>
      <c r="J154" s="1280">
        <v>0</v>
      </c>
      <c r="K154" s="209">
        <v>0</v>
      </c>
      <c r="L154" s="1280"/>
      <c r="M154" s="1280">
        <v>0</v>
      </c>
    </row>
    <row r="155" spans="1:13">
      <c r="A155" s="1441"/>
      <c r="B155" s="1402" t="s">
        <v>1109</v>
      </c>
      <c r="C155" s="1503">
        <f>F10A!C155</f>
        <v>26004.798000000003</v>
      </c>
      <c r="D155" s="1503">
        <f>F10A!D155</f>
        <v>108.7456</v>
      </c>
      <c r="E155" s="1503">
        <f>F10A!E155</f>
        <v>90949.6872</v>
      </c>
      <c r="F155" s="1031">
        <f t="shared" si="2"/>
        <v>0.13649174242062495</v>
      </c>
      <c r="G155" s="1280">
        <v>7</v>
      </c>
      <c r="H155" s="1280">
        <v>110</v>
      </c>
      <c r="I155" s="1280"/>
      <c r="J155" s="1280">
        <v>0</v>
      </c>
      <c r="K155" s="209">
        <v>55.719661078846215</v>
      </c>
      <c r="L155" s="1280"/>
      <c r="M155" s="1280">
        <v>55.719661078846215</v>
      </c>
    </row>
    <row r="156" spans="1:13">
      <c r="A156" s="1440">
        <v>15</v>
      </c>
      <c r="B156" s="1409"/>
      <c r="C156" s="1503">
        <f>F10A!C156</f>
        <v>0</v>
      </c>
      <c r="D156" s="1503">
        <f>F10A!D156</f>
        <v>0</v>
      </c>
      <c r="E156" s="1503">
        <f>F10A!E156</f>
        <v>0</v>
      </c>
      <c r="F156" s="1031">
        <f t="shared" si="2"/>
        <v>0</v>
      </c>
      <c r="G156" s="1280">
        <v>0</v>
      </c>
      <c r="H156" s="1280">
        <v>0</v>
      </c>
      <c r="I156" s="1280"/>
      <c r="J156" s="1280">
        <v>0</v>
      </c>
      <c r="K156" s="209">
        <v>0</v>
      </c>
      <c r="L156" s="1280"/>
      <c r="M156" s="1280">
        <v>0</v>
      </c>
    </row>
    <row r="157" spans="1:13">
      <c r="A157" s="1441"/>
      <c r="B157" s="1402" t="s">
        <v>1407</v>
      </c>
      <c r="C157" s="1503">
        <f>F10A!C157</f>
        <v>0</v>
      </c>
      <c r="D157" s="1503">
        <f>F10A!D157</f>
        <v>0</v>
      </c>
      <c r="E157" s="1503">
        <f>F10A!E157</f>
        <v>0</v>
      </c>
      <c r="F157" s="1031">
        <f t="shared" si="2"/>
        <v>0</v>
      </c>
      <c r="G157" s="1280">
        <v>0</v>
      </c>
      <c r="H157" s="1280">
        <v>0</v>
      </c>
      <c r="I157" s="1280"/>
      <c r="J157" s="1280">
        <v>0</v>
      </c>
      <c r="K157" s="209">
        <v>0</v>
      </c>
      <c r="L157" s="1280"/>
      <c r="M157" s="1280">
        <v>0</v>
      </c>
    </row>
    <row r="158" spans="1:13">
      <c r="A158" s="1441"/>
      <c r="B158" s="1402" t="s">
        <v>1146</v>
      </c>
      <c r="C158" s="1503">
        <f>F10A!C158</f>
        <v>0</v>
      </c>
      <c r="D158" s="1503">
        <f>F10A!D158</f>
        <v>0</v>
      </c>
      <c r="E158" s="1503">
        <f>F10A!E158</f>
        <v>0</v>
      </c>
      <c r="F158" s="1031">
        <f t="shared" si="2"/>
        <v>0</v>
      </c>
      <c r="G158" s="1280">
        <v>0</v>
      </c>
      <c r="H158" s="1280">
        <v>0</v>
      </c>
      <c r="I158" s="1280"/>
      <c r="J158" s="1280">
        <v>0</v>
      </c>
      <c r="K158" s="209">
        <v>0</v>
      </c>
      <c r="L158" s="1280"/>
      <c r="M158" s="1280">
        <v>0</v>
      </c>
    </row>
    <row r="159" spans="1:13">
      <c r="A159" s="1441"/>
      <c r="B159" s="1409" t="s">
        <v>1408</v>
      </c>
      <c r="C159" s="1503">
        <f>F10A!C159</f>
        <v>0</v>
      </c>
      <c r="D159" s="1503">
        <f>F10A!D159</f>
        <v>0</v>
      </c>
      <c r="E159" s="1503">
        <f>F10A!E159</f>
        <v>0</v>
      </c>
      <c r="F159" s="1031">
        <f t="shared" si="2"/>
        <v>0</v>
      </c>
      <c r="G159" s="1280">
        <v>6.2</v>
      </c>
      <c r="H159" s="1280">
        <v>0</v>
      </c>
      <c r="I159" s="1280"/>
      <c r="J159" s="1280">
        <v>0</v>
      </c>
      <c r="K159" s="209">
        <v>0</v>
      </c>
      <c r="L159" s="1280"/>
      <c r="M159" s="1280">
        <v>0</v>
      </c>
    </row>
    <row r="160" spans="1:13">
      <c r="A160" s="1440"/>
      <c r="B160" s="1409" t="s">
        <v>1409</v>
      </c>
      <c r="C160" s="1503">
        <f>F10A!C160</f>
        <v>0</v>
      </c>
      <c r="D160" s="1503">
        <f>F10A!D160</f>
        <v>0</v>
      </c>
      <c r="E160" s="1503">
        <f>F10A!E160</f>
        <v>0</v>
      </c>
      <c r="F160" s="1031">
        <f t="shared" si="2"/>
        <v>0</v>
      </c>
      <c r="G160" s="1280">
        <v>5.9</v>
      </c>
      <c r="H160" s="1280">
        <v>0</v>
      </c>
      <c r="I160" s="1280"/>
      <c r="J160" s="1280">
        <v>0</v>
      </c>
      <c r="K160" s="209">
        <v>0</v>
      </c>
      <c r="L160" s="1280"/>
      <c r="M160" s="1280">
        <v>0</v>
      </c>
    </row>
    <row r="161" spans="1:13">
      <c r="A161" s="1441"/>
      <c r="B161" s="1402" t="s">
        <v>1461</v>
      </c>
      <c r="C161" s="1503">
        <f>F10A!C161</f>
        <v>6.6000000000000005</v>
      </c>
      <c r="D161" s="1503">
        <f>F10A!D161</f>
        <v>2.8934400000000002E-2</v>
      </c>
      <c r="E161" s="1503">
        <f>F10A!E161</f>
        <v>26.400000000000002</v>
      </c>
      <c r="F161" s="1031">
        <f t="shared" si="2"/>
        <v>0.12511415525114156</v>
      </c>
      <c r="G161" s="1280">
        <v>7.7</v>
      </c>
      <c r="H161" s="1280">
        <v>0</v>
      </c>
      <c r="I161" s="1280"/>
      <c r="J161" s="1280">
        <v>2.2279488000000004E-2</v>
      </c>
      <c r="K161" s="209">
        <v>0</v>
      </c>
      <c r="L161" s="1280"/>
      <c r="M161" s="1280">
        <v>2.2279488000000004E-2</v>
      </c>
    </row>
    <row r="162" spans="1:13">
      <c r="A162" s="1440">
        <v>16</v>
      </c>
      <c r="B162" s="1402" t="s">
        <v>469</v>
      </c>
      <c r="C162" s="1503">
        <f>F10A!C162</f>
        <v>6.6000000000000005</v>
      </c>
      <c r="D162" s="1503">
        <f>F10A!D162</f>
        <v>2.8934400000000002E-2</v>
      </c>
      <c r="E162" s="1503">
        <f>F10A!E162</f>
        <v>26.400000000000002</v>
      </c>
      <c r="F162" s="1031">
        <f t="shared" si="2"/>
        <v>0.12511415525114156</v>
      </c>
      <c r="G162" s="1280">
        <v>7.7</v>
      </c>
      <c r="H162" s="1280">
        <v>0</v>
      </c>
      <c r="I162" s="1280"/>
      <c r="J162" s="1280">
        <v>2.2279488000000004E-2</v>
      </c>
      <c r="K162" s="209">
        <v>0</v>
      </c>
      <c r="L162" s="1280"/>
      <c r="M162" s="1280">
        <v>2.2279488000000004E-2</v>
      </c>
    </row>
    <row r="163" spans="1:13">
      <c r="A163" s="1440">
        <v>17</v>
      </c>
      <c r="B163" s="1411" t="s">
        <v>1013</v>
      </c>
      <c r="C163" s="1503">
        <f>F10A!C163</f>
        <v>6.6000000000000005</v>
      </c>
      <c r="D163" s="1503">
        <f>F10A!D163</f>
        <v>0</v>
      </c>
      <c r="E163" s="1503">
        <f>F10A!E163</f>
        <v>26.400000000000002</v>
      </c>
      <c r="F163" s="1031">
        <f t="shared" si="2"/>
        <v>0</v>
      </c>
      <c r="G163" s="1280">
        <v>0</v>
      </c>
      <c r="H163" s="1280">
        <v>0</v>
      </c>
      <c r="I163" s="1280"/>
      <c r="J163" s="1280">
        <v>0</v>
      </c>
      <c r="K163" s="209">
        <v>0</v>
      </c>
      <c r="L163" s="1280"/>
      <c r="M163" s="1280">
        <v>0</v>
      </c>
    </row>
    <row r="164" spans="1:13">
      <c r="A164" s="1440"/>
      <c r="B164" s="1412" t="s">
        <v>1430</v>
      </c>
      <c r="C164" s="1503">
        <f>F10A!C164</f>
        <v>0</v>
      </c>
      <c r="D164" s="1503">
        <f>F10A!D164</f>
        <v>0</v>
      </c>
      <c r="E164" s="1503">
        <f>F10A!E164</f>
        <v>0</v>
      </c>
      <c r="F164" s="1031">
        <f t="shared" si="2"/>
        <v>0</v>
      </c>
      <c r="G164" s="1280">
        <v>7.7</v>
      </c>
      <c r="H164" s="1280">
        <v>0</v>
      </c>
      <c r="I164" s="1280"/>
      <c r="J164" s="1280">
        <v>0</v>
      </c>
      <c r="K164" s="209">
        <v>0</v>
      </c>
      <c r="L164" s="1280"/>
      <c r="M164" s="1280">
        <v>0</v>
      </c>
    </row>
    <row r="165" spans="1:13">
      <c r="B165" s="1412" t="s">
        <v>1431</v>
      </c>
      <c r="C165" s="1503">
        <f>F10A!C165</f>
        <v>0</v>
      </c>
      <c r="D165" s="1503">
        <f>F10A!D165</f>
        <v>0</v>
      </c>
      <c r="E165" s="1503">
        <f>F10A!E165</f>
        <v>0</v>
      </c>
      <c r="F165" s="1031">
        <f t="shared" si="2"/>
        <v>0</v>
      </c>
      <c r="G165" s="1280">
        <v>7.7</v>
      </c>
      <c r="H165" s="1280">
        <v>0</v>
      </c>
      <c r="I165" s="1280"/>
      <c r="J165" s="1280">
        <v>0</v>
      </c>
      <c r="K165" s="209">
        <v>0</v>
      </c>
      <c r="L165" s="1280"/>
      <c r="M165" s="1280">
        <v>0</v>
      </c>
    </row>
    <row r="166" spans="1:13">
      <c r="B166" s="1412" t="s">
        <v>1432</v>
      </c>
      <c r="C166" s="1503">
        <f>F10A!C166</f>
        <v>0</v>
      </c>
      <c r="D166" s="1503">
        <f>F10A!D166</f>
        <v>0</v>
      </c>
      <c r="E166" s="1503">
        <f>F10A!E166</f>
        <v>0</v>
      </c>
      <c r="F166" s="1031">
        <f t="shared" si="2"/>
        <v>0</v>
      </c>
      <c r="G166" s="1280">
        <v>7.7</v>
      </c>
      <c r="H166" s="1280">
        <v>0</v>
      </c>
      <c r="I166" s="1280"/>
      <c r="J166" s="1280">
        <v>0</v>
      </c>
      <c r="K166" s="209">
        <v>0</v>
      </c>
      <c r="L166" s="1280"/>
      <c r="M166" s="1280">
        <v>0</v>
      </c>
    </row>
    <row r="167" spans="1:13">
      <c r="B167" s="1412" t="s">
        <v>1433</v>
      </c>
      <c r="C167" s="1503">
        <f>F10A!C167</f>
        <v>0</v>
      </c>
      <c r="D167" s="1503">
        <f>F10A!D167</f>
        <v>0</v>
      </c>
      <c r="E167" s="1503">
        <f>F10A!E167</f>
        <v>0</v>
      </c>
      <c r="F167" s="1031">
        <f t="shared" si="2"/>
        <v>0</v>
      </c>
      <c r="G167" s="1280">
        <v>7.7</v>
      </c>
      <c r="H167" s="1280">
        <v>0</v>
      </c>
      <c r="I167" s="1280"/>
      <c r="J167" s="1280">
        <v>0</v>
      </c>
      <c r="K167" s="209">
        <v>0</v>
      </c>
      <c r="L167" s="1280"/>
      <c r="M167" s="1280">
        <v>0</v>
      </c>
    </row>
    <row r="168" spans="1:13">
      <c r="B168" s="1411" t="s">
        <v>1014</v>
      </c>
      <c r="C168" s="1503">
        <f>F10A!C168</f>
        <v>6.6000000000000005</v>
      </c>
      <c r="D168" s="1503">
        <f>F10A!D168</f>
        <v>0</v>
      </c>
      <c r="E168" s="1503">
        <f>F10A!E168</f>
        <v>26.400000000000002</v>
      </c>
      <c r="F168" s="1031">
        <f t="shared" si="2"/>
        <v>0</v>
      </c>
      <c r="G168" s="1280">
        <v>0</v>
      </c>
      <c r="H168" s="1280">
        <v>0</v>
      </c>
      <c r="I168" s="1280"/>
      <c r="J168" s="1280">
        <v>0</v>
      </c>
      <c r="K168" s="209">
        <v>0</v>
      </c>
      <c r="L168" s="1280"/>
      <c r="M168" s="1280">
        <v>0</v>
      </c>
    </row>
    <row r="169" spans="1:13">
      <c r="B169" s="1412" t="s">
        <v>1430</v>
      </c>
      <c r="C169" s="1503">
        <f>F10A!C169</f>
        <v>0</v>
      </c>
      <c r="D169" s="1503">
        <f>F10A!D169</f>
        <v>0</v>
      </c>
      <c r="E169" s="1503">
        <f>F10A!E169</f>
        <v>0</v>
      </c>
      <c r="F169" s="1031">
        <f t="shared" si="2"/>
        <v>0</v>
      </c>
      <c r="G169" s="1280">
        <v>7.7</v>
      </c>
      <c r="H169" s="1280">
        <v>0</v>
      </c>
      <c r="I169" s="1280"/>
      <c r="J169" s="1280">
        <v>0</v>
      </c>
      <c r="K169" s="209">
        <v>0</v>
      </c>
      <c r="L169" s="1280"/>
      <c r="M169" s="1280">
        <v>0</v>
      </c>
    </row>
    <row r="170" spans="1:13">
      <c r="B170" s="1412" t="s">
        <v>1431</v>
      </c>
      <c r="C170" s="1503">
        <f>F10A!C170</f>
        <v>0</v>
      </c>
      <c r="D170" s="1503">
        <f>F10A!D170</f>
        <v>0</v>
      </c>
      <c r="E170" s="1503">
        <f>F10A!E170</f>
        <v>0</v>
      </c>
      <c r="F170" s="1031">
        <f t="shared" si="2"/>
        <v>0</v>
      </c>
      <c r="G170" s="1280">
        <v>7.7</v>
      </c>
      <c r="H170" s="1280">
        <v>0</v>
      </c>
      <c r="I170" s="1280"/>
      <c r="J170" s="1280">
        <v>0</v>
      </c>
      <c r="K170" s="209">
        <v>0</v>
      </c>
      <c r="L170" s="1280"/>
      <c r="M170" s="1280">
        <v>0</v>
      </c>
    </row>
    <row r="171" spans="1:13">
      <c r="B171" s="1412" t="s">
        <v>1432</v>
      </c>
      <c r="C171" s="1503">
        <f>F10A!C171</f>
        <v>0</v>
      </c>
      <c r="D171" s="1503">
        <f>F10A!D171</f>
        <v>0</v>
      </c>
      <c r="E171" s="1503">
        <f>F10A!E171</f>
        <v>0</v>
      </c>
      <c r="F171" s="1031">
        <f t="shared" si="2"/>
        <v>0</v>
      </c>
      <c r="G171" s="1280">
        <v>7.7</v>
      </c>
      <c r="H171" s="1280">
        <v>0</v>
      </c>
      <c r="I171" s="1280"/>
      <c r="J171" s="1280">
        <v>0</v>
      </c>
      <c r="K171" s="209">
        <v>0</v>
      </c>
      <c r="L171" s="1280"/>
      <c r="M171" s="1280">
        <v>0</v>
      </c>
    </row>
    <row r="172" spans="1:13">
      <c r="B172" s="1412" t="s">
        <v>1433</v>
      </c>
      <c r="C172" s="1503">
        <f>F10A!C172</f>
        <v>0</v>
      </c>
      <c r="D172" s="1503">
        <f>F10A!D172</f>
        <v>0</v>
      </c>
      <c r="E172" s="1503">
        <f>F10A!E172</f>
        <v>0</v>
      </c>
      <c r="F172" s="1031">
        <f t="shared" si="2"/>
        <v>0</v>
      </c>
      <c r="G172" s="1280">
        <v>7.7</v>
      </c>
      <c r="H172" s="1280">
        <v>0</v>
      </c>
      <c r="I172" s="1280"/>
      <c r="J172" s="1280">
        <v>0</v>
      </c>
      <c r="K172" s="209">
        <v>0</v>
      </c>
      <c r="L172" s="1280"/>
      <c r="M172" s="1280">
        <v>0</v>
      </c>
    </row>
    <row r="173" spans="1:13">
      <c r="B173" s="1402" t="s">
        <v>470</v>
      </c>
      <c r="C173" s="1503">
        <f>F10A!C173</f>
        <v>0</v>
      </c>
      <c r="D173" s="1503">
        <f>F10A!D173</f>
        <v>0</v>
      </c>
      <c r="E173" s="1503">
        <f>F10A!E173</f>
        <v>0</v>
      </c>
      <c r="F173" s="1031">
        <f t="shared" si="2"/>
        <v>0</v>
      </c>
      <c r="G173" s="1280">
        <v>7.3</v>
      </c>
      <c r="H173" s="1280">
        <v>0</v>
      </c>
      <c r="I173" s="1280"/>
      <c r="J173" s="1280">
        <v>0</v>
      </c>
      <c r="K173" s="209">
        <v>0</v>
      </c>
      <c r="L173" s="1280"/>
      <c r="M173" s="1280">
        <v>0</v>
      </c>
    </row>
    <row r="174" spans="1:13">
      <c r="B174" s="1411" t="s">
        <v>1013</v>
      </c>
      <c r="C174" s="1503">
        <f>F10A!C174</f>
        <v>0</v>
      </c>
      <c r="D174" s="1503">
        <f>F10A!D174</f>
        <v>0</v>
      </c>
      <c r="E174" s="1503">
        <f>F10A!E174</f>
        <v>0</v>
      </c>
      <c r="F174" s="1031">
        <f t="shared" si="2"/>
        <v>0</v>
      </c>
      <c r="G174" s="1280">
        <v>0</v>
      </c>
      <c r="H174" s="1280">
        <v>0</v>
      </c>
      <c r="I174" s="1280"/>
      <c r="J174" s="1280">
        <v>0</v>
      </c>
      <c r="K174" s="209">
        <v>0</v>
      </c>
      <c r="L174" s="1280"/>
      <c r="M174" s="1280">
        <v>0</v>
      </c>
    </row>
    <row r="175" spans="1:13">
      <c r="B175" s="1412" t="s">
        <v>1430</v>
      </c>
      <c r="C175" s="1503">
        <f>F10A!C175</f>
        <v>0</v>
      </c>
      <c r="D175" s="1503">
        <f>F10A!D175</f>
        <v>0</v>
      </c>
      <c r="E175" s="1503">
        <f>F10A!E175</f>
        <v>0</v>
      </c>
      <c r="F175" s="1031">
        <f t="shared" si="2"/>
        <v>0</v>
      </c>
      <c r="G175" s="1280">
        <v>7.3</v>
      </c>
      <c r="H175" s="1280">
        <v>0</v>
      </c>
      <c r="I175" s="1280"/>
      <c r="J175" s="1280">
        <v>0</v>
      </c>
      <c r="K175" s="209">
        <v>0</v>
      </c>
      <c r="L175" s="1280"/>
      <c r="M175" s="1280">
        <v>0</v>
      </c>
    </row>
    <row r="176" spans="1:13">
      <c r="B176" s="1412" t="s">
        <v>1431</v>
      </c>
      <c r="C176" s="1503">
        <f>F10A!C176</f>
        <v>0</v>
      </c>
      <c r="D176" s="1503">
        <f>F10A!D176</f>
        <v>0</v>
      </c>
      <c r="E176" s="1503">
        <f>F10A!E176</f>
        <v>0</v>
      </c>
      <c r="F176" s="1031">
        <f t="shared" si="2"/>
        <v>0</v>
      </c>
      <c r="G176" s="1280">
        <v>7.3</v>
      </c>
      <c r="H176" s="1280">
        <v>0</v>
      </c>
      <c r="I176" s="1280"/>
      <c r="J176" s="1280">
        <v>0</v>
      </c>
      <c r="K176" s="209">
        <v>0</v>
      </c>
      <c r="L176" s="1280"/>
      <c r="M176" s="1280">
        <v>0</v>
      </c>
    </row>
    <row r="177" spans="2:13">
      <c r="B177" s="1412" t="s">
        <v>1432</v>
      </c>
      <c r="C177" s="1503">
        <f>F10A!C177</f>
        <v>0</v>
      </c>
      <c r="D177" s="1503">
        <f>F10A!D177</f>
        <v>0</v>
      </c>
      <c r="E177" s="1503">
        <f>F10A!E177</f>
        <v>0</v>
      </c>
      <c r="F177" s="1031">
        <f t="shared" si="2"/>
        <v>0</v>
      </c>
      <c r="G177" s="1280">
        <v>7.3</v>
      </c>
      <c r="H177" s="1280">
        <v>0</v>
      </c>
      <c r="I177" s="1280"/>
      <c r="J177" s="1280">
        <v>0</v>
      </c>
      <c r="K177" s="209">
        <v>0</v>
      </c>
      <c r="L177" s="1280"/>
      <c r="M177" s="1280">
        <v>0</v>
      </c>
    </row>
    <row r="178" spans="2:13">
      <c r="B178" s="1412" t="s">
        <v>1433</v>
      </c>
      <c r="C178" s="1503">
        <f>F10A!C178</f>
        <v>0</v>
      </c>
      <c r="D178" s="1503">
        <f>F10A!D178</f>
        <v>0</v>
      </c>
      <c r="E178" s="1503">
        <f>F10A!E178</f>
        <v>0</v>
      </c>
      <c r="F178" s="1031">
        <f t="shared" si="2"/>
        <v>0</v>
      </c>
      <c r="G178" s="1280">
        <v>7.3</v>
      </c>
      <c r="H178" s="1280">
        <v>0</v>
      </c>
      <c r="I178" s="1280"/>
      <c r="J178" s="1280">
        <v>0</v>
      </c>
      <c r="K178" s="209">
        <v>0</v>
      </c>
      <c r="L178" s="1280"/>
      <c r="M178" s="1280">
        <v>0</v>
      </c>
    </row>
    <row r="179" spans="2:13">
      <c r="B179" s="1411" t="s">
        <v>1014</v>
      </c>
      <c r="C179" s="1503">
        <f>F10A!C179</f>
        <v>0</v>
      </c>
      <c r="D179" s="1503">
        <f>F10A!D179</f>
        <v>0</v>
      </c>
      <c r="E179" s="1503">
        <f>F10A!E179</f>
        <v>0</v>
      </c>
      <c r="F179" s="1031">
        <f t="shared" si="2"/>
        <v>0</v>
      </c>
      <c r="G179" s="1280">
        <v>0</v>
      </c>
      <c r="H179" s="1280">
        <v>0</v>
      </c>
      <c r="I179" s="1280"/>
      <c r="J179" s="1280">
        <v>0</v>
      </c>
      <c r="K179" s="209">
        <v>0</v>
      </c>
      <c r="L179" s="1280"/>
      <c r="M179" s="1280">
        <v>0</v>
      </c>
    </row>
    <row r="180" spans="2:13">
      <c r="B180" s="1412" t="s">
        <v>1430</v>
      </c>
      <c r="C180" s="1503">
        <f>F10A!C180</f>
        <v>0</v>
      </c>
      <c r="D180" s="1503">
        <f>F10A!D180</f>
        <v>0</v>
      </c>
      <c r="E180" s="1503">
        <f>F10A!E180</f>
        <v>0</v>
      </c>
      <c r="F180" s="1031">
        <f t="shared" si="2"/>
        <v>0</v>
      </c>
      <c r="G180" s="1280">
        <v>7.3</v>
      </c>
      <c r="H180" s="1280">
        <v>0</v>
      </c>
      <c r="I180" s="1280"/>
      <c r="J180" s="1280">
        <v>0</v>
      </c>
      <c r="K180" s="209">
        <v>0</v>
      </c>
      <c r="L180" s="1280"/>
      <c r="M180" s="1280">
        <v>0</v>
      </c>
    </row>
    <row r="181" spans="2:13">
      <c r="B181" s="1412" t="s">
        <v>1431</v>
      </c>
      <c r="C181" s="1503">
        <f>F10A!C181</f>
        <v>0</v>
      </c>
      <c r="D181" s="1503">
        <f>F10A!D181</f>
        <v>0</v>
      </c>
      <c r="E181" s="1503">
        <f>F10A!E181</f>
        <v>0</v>
      </c>
      <c r="F181" s="1031">
        <f t="shared" si="2"/>
        <v>0</v>
      </c>
      <c r="G181" s="1280">
        <v>7.3</v>
      </c>
      <c r="H181" s="1280">
        <v>0</v>
      </c>
      <c r="I181" s="1280"/>
      <c r="J181" s="1280">
        <v>0</v>
      </c>
      <c r="K181" s="209">
        <v>0</v>
      </c>
      <c r="L181" s="1280"/>
      <c r="M181" s="1280">
        <v>0</v>
      </c>
    </row>
    <row r="182" spans="2:13">
      <c r="B182" s="1412" t="s">
        <v>1432</v>
      </c>
      <c r="C182" s="1503">
        <f>F10A!C182</f>
        <v>0</v>
      </c>
      <c r="D182" s="1503">
        <f>F10A!D182</f>
        <v>0</v>
      </c>
      <c r="E182" s="1503">
        <f>F10A!E182</f>
        <v>0</v>
      </c>
      <c r="F182" s="1031">
        <f t="shared" si="2"/>
        <v>0</v>
      </c>
      <c r="G182" s="1280">
        <v>7.3</v>
      </c>
      <c r="H182" s="1280">
        <v>0</v>
      </c>
      <c r="I182" s="1280"/>
      <c r="J182" s="1280">
        <v>0</v>
      </c>
      <c r="K182" s="209">
        <v>0</v>
      </c>
      <c r="L182" s="1280"/>
      <c r="M182" s="1280">
        <v>0</v>
      </c>
    </row>
    <row r="183" spans="2:13">
      <c r="B183" s="1412" t="s">
        <v>1433</v>
      </c>
      <c r="C183" s="1503">
        <f>F10A!C183</f>
        <v>0</v>
      </c>
      <c r="D183" s="1503">
        <f>F10A!D183</f>
        <v>0</v>
      </c>
      <c r="E183" s="1503">
        <f>F10A!E183</f>
        <v>0</v>
      </c>
      <c r="F183" s="1031">
        <f t="shared" si="2"/>
        <v>0</v>
      </c>
      <c r="G183" s="1280">
        <v>7.3</v>
      </c>
      <c r="H183" s="1280">
        <v>0</v>
      </c>
      <c r="I183" s="1280"/>
      <c r="J183" s="1280">
        <v>0</v>
      </c>
      <c r="K183" s="209">
        <v>0</v>
      </c>
      <c r="L183" s="1280"/>
      <c r="M183" s="1280">
        <v>0</v>
      </c>
    </row>
    <row r="184" spans="2:13">
      <c r="B184" s="1402" t="s">
        <v>1425</v>
      </c>
      <c r="C184" s="1503">
        <f>F10A!C184</f>
        <v>6.6000000000000005</v>
      </c>
      <c r="D184" s="1503">
        <f>F10A!D184</f>
        <v>2.8934400000000002E-2</v>
      </c>
      <c r="E184" s="1503">
        <f>F10A!E184</f>
        <v>26.400000000000002</v>
      </c>
      <c r="F184" s="1031">
        <f t="shared" si="2"/>
        <v>0.12511415525114156</v>
      </c>
      <c r="G184" s="1280">
        <v>0</v>
      </c>
      <c r="H184" s="1280">
        <v>0</v>
      </c>
      <c r="I184" s="1280"/>
      <c r="J184" s="1280">
        <v>2.2279488000000004E-2</v>
      </c>
      <c r="K184" s="209">
        <v>0</v>
      </c>
      <c r="L184" s="1280"/>
      <c r="M184" s="1280">
        <v>2.2279488000000004E-2</v>
      </c>
    </row>
    <row r="185" spans="2:13">
      <c r="B185" s="1409"/>
      <c r="C185" s="1503">
        <f>F10A!C185</f>
        <v>0</v>
      </c>
      <c r="D185" s="1503">
        <f>F10A!D185</f>
        <v>0</v>
      </c>
      <c r="E185" s="1503">
        <f>F10A!E185</f>
        <v>0</v>
      </c>
      <c r="F185" s="1031">
        <f t="shared" si="2"/>
        <v>0</v>
      </c>
      <c r="G185" s="1280">
        <v>0</v>
      </c>
      <c r="H185" s="1280">
        <v>0</v>
      </c>
      <c r="I185" s="1280"/>
      <c r="J185" s="1280">
        <v>0</v>
      </c>
      <c r="K185" s="209">
        <v>0</v>
      </c>
      <c r="L185" s="1280"/>
      <c r="M185" s="1280">
        <v>0</v>
      </c>
    </row>
    <row r="186" spans="2:13">
      <c r="B186" s="1402" t="s">
        <v>1119</v>
      </c>
      <c r="C186" s="1503">
        <f>F10A!C186</f>
        <v>0</v>
      </c>
      <c r="D186" s="1503">
        <f>F10A!D186</f>
        <v>0</v>
      </c>
      <c r="E186" s="1503">
        <f>F10A!E186</f>
        <v>0</v>
      </c>
      <c r="F186" s="1031">
        <f t="shared" si="2"/>
        <v>0</v>
      </c>
      <c r="G186" s="1280">
        <v>0</v>
      </c>
      <c r="H186" s="1280">
        <v>0</v>
      </c>
      <c r="I186" s="1280"/>
      <c r="J186" s="1280">
        <v>0</v>
      </c>
      <c r="K186" s="209">
        <v>0</v>
      </c>
      <c r="L186" s="1280"/>
      <c r="M186" s="1280">
        <v>0</v>
      </c>
    </row>
    <row r="187" spans="2:13">
      <c r="B187" s="1402" t="s">
        <v>475</v>
      </c>
      <c r="C187" s="1503">
        <f>F10A!C187</f>
        <v>84</v>
      </c>
      <c r="D187" s="1503">
        <f>F10A!D187</f>
        <v>0</v>
      </c>
      <c r="E187" s="1503">
        <f>F10A!E187</f>
        <v>13332.966059082339</v>
      </c>
      <c r="F187" s="1031">
        <f t="shared" si="2"/>
        <v>0</v>
      </c>
      <c r="G187" s="1280">
        <v>0</v>
      </c>
      <c r="H187" s="1280">
        <v>0</v>
      </c>
      <c r="I187" s="1280"/>
      <c r="J187" s="1280">
        <v>0</v>
      </c>
      <c r="K187" s="209">
        <v>0</v>
      </c>
      <c r="L187" s="1280"/>
      <c r="M187" s="1280">
        <v>0</v>
      </c>
    </row>
    <row r="188" spans="2:13">
      <c r="B188" s="1409" t="s">
        <v>1411</v>
      </c>
      <c r="C188" s="1503">
        <f>F10A!C188</f>
        <v>81</v>
      </c>
      <c r="D188" s="1503">
        <f>F10A!D188</f>
        <v>0</v>
      </c>
      <c r="E188" s="1503">
        <f>F10A!E188</f>
        <v>11095.966059082339</v>
      </c>
      <c r="F188" s="1031">
        <f t="shared" si="2"/>
        <v>0</v>
      </c>
      <c r="G188" s="1280">
        <v>0</v>
      </c>
      <c r="H188" s="1280">
        <v>0</v>
      </c>
      <c r="I188" s="1280"/>
      <c r="J188" s="1280">
        <v>0</v>
      </c>
      <c r="K188" s="209">
        <v>0</v>
      </c>
      <c r="L188" s="1280"/>
      <c r="M188" s="1280">
        <v>0</v>
      </c>
    </row>
    <row r="189" spans="2:13">
      <c r="B189" s="1409" t="s">
        <v>1462</v>
      </c>
      <c r="C189" s="1503">
        <f>F10A!C189</f>
        <v>3</v>
      </c>
      <c r="D189" s="1503">
        <f>F10A!D189</f>
        <v>0</v>
      </c>
      <c r="E189" s="1503">
        <f>F10A!E189</f>
        <v>2237</v>
      </c>
      <c r="F189" s="1031">
        <f t="shared" si="2"/>
        <v>0</v>
      </c>
      <c r="G189" s="1280">
        <v>0</v>
      </c>
      <c r="H189" s="1280">
        <v>0</v>
      </c>
      <c r="I189" s="1280"/>
      <c r="J189" s="1280">
        <v>0</v>
      </c>
      <c r="K189" s="209">
        <v>0</v>
      </c>
      <c r="L189" s="1280"/>
      <c r="M189" s="1280">
        <v>0</v>
      </c>
    </row>
    <row r="190" spans="2:13">
      <c r="B190" s="1402" t="s">
        <v>1403</v>
      </c>
      <c r="C190" s="1503">
        <f>F10A!C190</f>
        <v>867.5100000000001</v>
      </c>
      <c r="D190" s="1503">
        <f>F10A!D190</f>
        <v>0</v>
      </c>
      <c r="E190" s="1503">
        <f>F10A!E190</f>
        <v>252153.027</v>
      </c>
      <c r="F190" s="1031">
        <f t="shared" si="2"/>
        <v>0</v>
      </c>
      <c r="G190" s="1280">
        <v>0</v>
      </c>
      <c r="H190" s="1280">
        <v>0</v>
      </c>
      <c r="I190" s="1280"/>
      <c r="J190" s="1280">
        <v>0</v>
      </c>
      <c r="K190" s="209">
        <v>0</v>
      </c>
      <c r="L190" s="1280"/>
      <c r="M190" s="1280">
        <v>0</v>
      </c>
    </row>
    <row r="191" spans="2:13">
      <c r="B191" s="1409" t="s">
        <v>1413</v>
      </c>
      <c r="C191" s="1503">
        <f>F10A!C191</f>
        <v>826.81200000000013</v>
      </c>
      <c r="D191" s="1503">
        <f>F10A!D191</f>
        <v>0</v>
      </c>
      <c r="E191" s="1503">
        <f>F10A!E191</f>
        <v>208227.033</v>
      </c>
      <c r="F191" s="1031">
        <f t="shared" si="2"/>
        <v>0</v>
      </c>
      <c r="G191" s="1280">
        <v>0</v>
      </c>
      <c r="H191" s="1280">
        <v>0</v>
      </c>
      <c r="I191" s="1280"/>
      <c r="J191" s="1280">
        <v>0</v>
      </c>
      <c r="K191" s="209">
        <v>0</v>
      </c>
      <c r="L191" s="1280"/>
      <c r="M191" s="1280">
        <v>0</v>
      </c>
    </row>
    <row r="192" spans="2:13">
      <c r="B192" s="1409" t="s">
        <v>1463</v>
      </c>
      <c r="C192" s="1503">
        <f>F10A!C192</f>
        <v>40.698</v>
      </c>
      <c r="D192" s="1503">
        <f>F10A!D192</f>
        <v>0</v>
      </c>
      <c r="E192" s="1503">
        <f>F10A!E192</f>
        <v>43925.993999999999</v>
      </c>
      <c r="F192" s="1031">
        <f t="shared" si="2"/>
        <v>0</v>
      </c>
      <c r="G192" s="1280">
        <v>0</v>
      </c>
      <c r="H192" s="1280">
        <v>0</v>
      </c>
      <c r="I192" s="1280"/>
      <c r="J192" s="1280">
        <v>0</v>
      </c>
      <c r="K192" s="209">
        <v>0</v>
      </c>
      <c r="L192" s="1280"/>
      <c r="M192" s="1280">
        <v>0</v>
      </c>
    </row>
    <row r="193" spans="2:13">
      <c r="B193" s="1402" t="s">
        <v>1425</v>
      </c>
      <c r="C193" s="1503">
        <f>F10A!C193</f>
        <v>951.5100000000001</v>
      </c>
      <c r="D193" s="1503">
        <f>F10A!D193</f>
        <v>0</v>
      </c>
      <c r="E193" s="1503">
        <f>F10A!E193</f>
        <v>265485.99305908236</v>
      </c>
      <c r="F193" s="1031">
        <f t="shared" si="2"/>
        <v>0</v>
      </c>
      <c r="G193" s="1280">
        <v>0</v>
      </c>
      <c r="H193" s="1280">
        <v>0</v>
      </c>
      <c r="I193" s="1280"/>
      <c r="J193" s="1280">
        <v>0</v>
      </c>
      <c r="K193" s="209">
        <v>0</v>
      </c>
      <c r="L193" s="1280"/>
      <c r="M193" s="1280">
        <v>0</v>
      </c>
    </row>
    <row r="194" spans="2:13" ht="58">
      <c r="B194" s="1413" t="s">
        <v>1464</v>
      </c>
      <c r="C194" s="1503">
        <f>F10A!C194</f>
        <v>475.75500000000005</v>
      </c>
      <c r="D194" s="1503">
        <f>F10A!D194</f>
        <v>254.30253333333329</v>
      </c>
      <c r="E194" s="1503">
        <f>F10A!E194</f>
        <v>132742.99652954118</v>
      </c>
      <c r="F194" s="1031">
        <f t="shared" si="2"/>
        <v>0.21869304081996704</v>
      </c>
      <c r="G194" s="1280">
        <v>0</v>
      </c>
      <c r="H194" s="1280">
        <v>0</v>
      </c>
      <c r="I194" s="1280"/>
      <c r="J194" s="1280">
        <v>219.55107698306659</v>
      </c>
      <c r="K194" s="209">
        <v>48.808629952063384</v>
      </c>
      <c r="L194" s="1280"/>
      <c r="M194" s="1280">
        <v>268.35970693513002</v>
      </c>
    </row>
    <row r="195" spans="2:13">
      <c r="B195" s="1402" t="s">
        <v>1465</v>
      </c>
      <c r="C195" s="1503">
        <f>F10A!C195</f>
        <v>237.87750000000003</v>
      </c>
      <c r="D195" s="1503">
        <f>F10A!D195</f>
        <v>213.61599999999996</v>
      </c>
      <c r="E195" s="1503">
        <f>F10A!E195</f>
        <v>79645.797917724703</v>
      </c>
      <c r="F195" s="1031">
        <f t="shared" si="2"/>
        <v>0.30617294026038067</v>
      </c>
      <c r="G195" s="1280">
        <v>0</v>
      </c>
      <c r="H195" s="1280">
        <v>0</v>
      </c>
      <c r="I195" s="1280"/>
      <c r="J195" s="1280">
        <v>185.20949474679995</v>
      </c>
      <c r="K195" s="209">
        <v>30.125900783809456</v>
      </c>
      <c r="L195" s="1280"/>
      <c r="M195" s="1280">
        <v>215.33539553060942</v>
      </c>
    </row>
    <row r="196" spans="2:13">
      <c r="B196" s="1409" t="s">
        <v>1466</v>
      </c>
      <c r="C196" s="1503">
        <f>F10A!C196</f>
        <v>216.46852500000003</v>
      </c>
      <c r="D196" s="1503">
        <f>F10A!D196</f>
        <v>5.8109236999999991</v>
      </c>
      <c r="E196" s="1503">
        <f>F10A!E196</f>
        <v>2389.3739375317409</v>
      </c>
      <c r="F196" s="1031">
        <f t="shared" si="2"/>
        <v>0.27762395994958716</v>
      </c>
      <c r="G196" s="1280">
        <v>8.32</v>
      </c>
      <c r="H196" s="1280">
        <v>430</v>
      </c>
      <c r="I196" s="1280"/>
      <c r="J196" s="1280">
        <v>4.8346885183999992</v>
      </c>
      <c r="K196" s="209">
        <v>0.90377702351428391</v>
      </c>
      <c r="L196" s="1280"/>
      <c r="M196" s="1280">
        <v>5.7384655419142829</v>
      </c>
    </row>
    <row r="197" spans="2:13">
      <c r="B197" s="1409" t="s">
        <v>1467</v>
      </c>
      <c r="C197" s="1503">
        <f>F10A!C197</f>
        <v>21.408974999999995</v>
      </c>
      <c r="D197" s="1503">
        <f>F10A!D197</f>
        <v>207.80507629999997</v>
      </c>
      <c r="E197" s="1503">
        <f>F10A!E197</f>
        <v>77256.423980192965</v>
      </c>
      <c r="F197" s="1031">
        <f t="shared" si="2"/>
        <v>0.30705589841432279</v>
      </c>
      <c r="G197" s="1280">
        <v>8.68</v>
      </c>
      <c r="H197" s="1280">
        <v>430</v>
      </c>
      <c r="I197" s="1280"/>
      <c r="J197" s="1280">
        <v>180.37480622839996</v>
      </c>
      <c r="K197" s="209">
        <v>29.222123760295172</v>
      </c>
      <c r="L197" s="1280"/>
      <c r="M197" s="1280">
        <v>209.59692998869514</v>
      </c>
    </row>
    <row r="198" spans="2:13">
      <c r="B198" s="1402" t="s">
        <v>1468</v>
      </c>
      <c r="C198" s="1503">
        <f>F10A!C198</f>
        <v>237.87750000000003</v>
      </c>
      <c r="D198" s="1503">
        <f>F10A!D198</f>
        <v>40.686533333333323</v>
      </c>
      <c r="E198" s="1503">
        <f>F10A!E198</f>
        <v>53097.198611816479</v>
      </c>
      <c r="F198" s="1031">
        <f t="shared" si="2"/>
        <v>8.7473191659346569E-2</v>
      </c>
      <c r="G198" s="1280">
        <v>0</v>
      </c>
      <c r="H198" s="1280">
        <v>0</v>
      </c>
      <c r="I198" s="1280"/>
      <c r="J198" s="1280">
        <v>34.34158223626666</v>
      </c>
      <c r="K198" s="209">
        <v>18.682729168253932</v>
      </c>
      <c r="L198" s="1280"/>
      <c r="M198" s="1280">
        <v>53.024311404520589</v>
      </c>
    </row>
    <row r="199" spans="2:13">
      <c r="B199" s="1409" t="s">
        <v>1466</v>
      </c>
      <c r="C199" s="1503">
        <f>F10A!C199</f>
        <v>171.27180000000001</v>
      </c>
      <c r="D199" s="1503">
        <f>F10A!D199</f>
        <v>4.4610563999999995</v>
      </c>
      <c r="E199" s="1503">
        <f>F10A!E199</f>
        <v>1592.9159583544943</v>
      </c>
      <c r="F199" s="1031">
        <f t="shared" si="2"/>
        <v>0.31969860746746231</v>
      </c>
      <c r="G199" s="1280">
        <v>8.1199999999999992</v>
      </c>
      <c r="H199" s="1280">
        <v>400</v>
      </c>
      <c r="I199" s="1280"/>
      <c r="J199" s="1280">
        <v>3.6223777967999995</v>
      </c>
      <c r="K199" s="209">
        <v>0.56048187504761793</v>
      </c>
      <c r="L199" s="1280"/>
      <c r="M199" s="1280">
        <v>4.1828596718476172</v>
      </c>
    </row>
    <row r="200" spans="2:13">
      <c r="B200" s="1409" t="s">
        <v>1467</v>
      </c>
      <c r="C200" s="1503">
        <f>F10A!C200</f>
        <v>66.605700000000013</v>
      </c>
      <c r="D200" s="1503">
        <f>F10A!D200</f>
        <v>36.225476933333326</v>
      </c>
      <c r="E200" s="1503">
        <f>F10A!E200</f>
        <v>51504.282653461982</v>
      </c>
      <c r="F200" s="1031">
        <f t="shared" si="2"/>
        <v>8.0290962304456384E-2</v>
      </c>
      <c r="G200" s="1280">
        <v>8.48</v>
      </c>
      <c r="H200" s="1280">
        <v>400</v>
      </c>
      <c r="I200" s="1280"/>
      <c r="J200" s="1280">
        <v>30.719204439466658</v>
      </c>
      <c r="K200" s="209">
        <v>18.122247293206314</v>
      </c>
      <c r="L200" s="1280"/>
      <c r="M200" s="1280">
        <v>48.841451732672972</v>
      </c>
    </row>
    <row r="201" spans="2:13" ht="72.5">
      <c r="B201" s="1413" t="s">
        <v>1469</v>
      </c>
      <c r="C201" s="1503">
        <f>F10A!C201</f>
        <v>475.75500000000005</v>
      </c>
      <c r="D201" s="1503">
        <f>F10A!D201</f>
        <v>254.30253333333332</v>
      </c>
      <c r="E201" s="1503">
        <f>F10A!E201</f>
        <v>132742.99652954118</v>
      </c>
      <c r="F201" s="1031">
        <f t="shared" si="2"/>
        <v>0.21869304081996707</v>
      </c>
      <c r="G201" s="1280">
        <v>0</v>
      </c>
      <c r="H201" s="1280">
        <v>0</v>
      </c>
      <c r="I201" s="1280"/>
      <c r="J201" s="1280">
        <v>199.88097287666665</v>
      </c>
      <c r="K201" s="209">
        <v>43.203811201587214</v>
      </c>
      <c r="L201" s="1280"/>
      <c r="M201" s="1280">
        <v>243.08478407825385</v>
      </c>
    </row>
    <row r="202" spans="2:13">
      <c r="B202" s="1402" t="s">
        <v>1465</v>
      </c>
      <c r="C202" s="1503">
        <f>F10A!C202</f>
        <v>237.87750000000003</v>
      </c>
      <c r="D202" s="1503">
        <f>F10A!D202</f>
        <v>213.61599999999999</v>
      </c>
      <c r="E202" s="1503">
        <f>F10A!E202</f>
        <v>66371.498264770591</v>
      </c>
      <c r="F202" s="1031">
        <f t="shared" ref="F202:F265" si="3">IFERROR(D202/(E202*24*365/10^6),0)</f>
        <v>0.36740752831245688</v>
      </c>
      <c r="G202" s="1280">
        <v>0</v>
      </c>
      <c r="H202" s="1280">
        <v>0</v>
      </c>
      <c r="I202" s="1280"/>
      <c r="J202" s="1280">
        <v>168.641563338</v>
      </c>
      <c r="K202" s="209">
        <v>22.185740887301542</v>
      </c>
      <c r="L202" s="1280"/>
      <c r="M202" s="1280">
        <v>190.82730422530153</v>
      </c>
    </row>
    <row r="203" spans="2:13">
      <c r="B203" s="1409" t="s">
        <v>1466</v>
      </c>
      <c r="C203" s="1503">
        <f>F10A!C203</f>
        <v>221.22607500000004</v>
      </c>
      <c r="D203" s="1503">
        <f>F10A!D203</f>
        <v>5.7538330999999987</v>
      </c>
      <c r="E203" s="1503">
        <f>F10A!E203</f>
        <v>2654.8599305908238</v>
      </c>
      <c r="F203" s="1031">
        <f t="shared" si="3"/>
        <v>0.24740674827651027</v>
      </c>
      <c r="G203" s="1280">
        <v>7.7</v>
      </c>
      <c r="H203" s="1280">
        <v>380</v>
      </c>
      <c r="I203" s="1280"/>
      <c r="J203" s="1280">
        <v>4.4304514869999991</v>
      </c>
      <c r="K203" s="209">
        <v>0.88742963549206166</v>
      </c>
      <c r="L203" s="1280"/>
      <c r="M203" s="1280">
        <v>5.3178811224920608</v>
      </c>
    </row>
    <row r="204" spans="2:13">
      <c r="B204" s="1409" t="s">
        <v>1467</v>
      </c>
      <c r="C204" s="1503">
        <f>F10A!C204</f>
        <v>16.651424999999989</v>
      </c>
      <c r="D204" s="1503">
        <f>F10A!D204</f>
        <v>207.86216689999998</v>
      </c>
      <c r="E204" s="1503">
        <f>F10A!E204</f>
        <v>63716.638334179763</v>
      </c>
      <c r="F204" s="1031">
        <f t="shared" si="3"/>
        <v>0.37240756081395454</v>
      </c>
      <c r="G204" s="1280">
        <v>7.9</v>
      </c>
      <c r="H204" s="1280">
        <v>380</v>
      </c>
      <c r="I204" s="1280"/>
      <c r="J204" s="1280">
        <v>164.211111851</v>
      </c>
      <c r="K204" s="209">
        <v>21.29831125180948</v>
      </c>
      <c r="L204" s="1280"/>
      <c r="M204" s="1280">
        <v>185.50942310280948</v>
      </c>
    </row>
    <row r="205" spans="2:13">
      <c r="B205" s="1402" t="s">
        <v>1468</v>
      </c>
      <c r="C205" s="1503">
        <f>F10A!C205</f>
        <v>237.87750000000003</v>
      </c>
      <c r="D205" s="1503">
        <f>F10A!D205</f>
        <v>40.686533333333323</v>
      </c>
      <c r="E205" s="1503">
        <f>F10A!E205</f>
        <v>66371.498264770591</v>
      </c>
      <c r="F205" s="1031">
        <f t="shared" si="3"/>
        <v>6.9978553327477266E-2</v>
      </c>
      <c r="G205" s="1280">
        <v>0</v>
      </c>
      <c r="H205" s="1280">
        <v>0</v>
      </c>
      <c r="I205" s="1280"/>
      <c r="J205" s="1280">
        <v>31.23940953866666</v>
      </c>
      <c r="K205" s="209">
        <v>21.018070314285669</v>
      </c>
      <c r="L205" s="1280"/>
      <c r="M205" s="1280">
        <v>52.257479852952329</v>
      </c>
    </row>
    <row r="206" spans="2:13">
      <c r="B206" s="1409" t="s">
        <v>1466</v>
      </c>
      <c r="C206" s="1503">
        <f>F10A!C206</f>
        <v>171.27180000000001</v>
      </c>
      <c r="D206" s="1503">
        <f>F10A!D206</f>
        <v>4.4610563999999995</v>
      </c>
      <c r="E206" s="1503">
        <f>F10A!E206</f>
        <v>7632.7223004486186</v>
      </c>
      <c r="F206" s="1031">
        <f t="shared" si="3"/>
        <v>6.6719709384513881E-2</v>
      </c>
      <c r="G206" s="1280">
        <v>7.5</v>
      </c>
      <c r="H206" s="1280">
        <v>360</v>
      </c>
      <c r="I206" s="1280"/>
      <c r="J206" s="1280">
        <v>3.3457922999999994</v>
      </c>
      <c r="K206" s="209">
        <v>2.417078086142852</v>
      </c>
      <c r="L206" s="1280"/>
      <c r="M206" s="1280">
        <v>5.7628703861428514</v>
      </c>
    </row>
    <row r="207" spans="2:13">
      <c r="B207" s="1409" t="s">
        <v>1467</v>
      </c>
      <c r="C207" s="1503">
        <f>F10A!C207</f>
        <v>66.605700000000013</v>
      </c>
      <c r="D207" s="1503">
        <f>F10A!D207</f>
        <v>36.225476933333326</v>
      </c>
      <c r="E207" s="1503">
        <f>F10A!E207</f>
        <v>58738.775964321976</v>
      </c>
      <c r="F207" s="1031">
        <f t="shared" si="3"/>
        <v>7.0402018924585488E-2</v>
      </c>
      <c r="G207" s="1280">
        <v>7.7</v>
      </c>
      <c r="H207" s="1280">
        <v>360</v>
      </c>
      <c r="I207" s="1280"/>
      <c r="J207" s="1280">
        <v>27.893617238666661</v>
      </c>
      <c r="K207" s="209">
        <v>18.600992228142818</v>
      </c>
      <c r="L207" s="1280"/>
      <c r="M207" s="1280">
        <v>46.494609466809479</v>
      </c>
    </row>
    <row r="208" spans="2:13">
      <c r="B208" s="1402" t="s">
        <v>1425</v>
      </c>
      <c r="C208" s="1503">
        <f>F10A!C208</f>
        <v>951.5100000000001</v>
      </c>
      <c r="D208" s="1503">
        <f>F10A!D208</f>
        <v>508.60506666666663</v>
      </c>
      <c r="E208" s="1503">
        <f>F10A!E208</f>
        <v>265485.99305908236</v>
      </c>
      <c r="F208" s="1031">
        <f t="shared" si="3"/>
        <v>0.21869304081996707</v>
      </c>
      <c r="G208" s="1280">
        <v>0</v>
      </c>
      <c r="H208" s="1280">
        <v>0</v>
      </c>
      <c r="I208" s="1280"/>
      <c r="J208" s="1280">
        <v>419.43204985973324</v>
      </c>
      <c r="K208" s="209">
        <v>92.012441153650599</v>
      </c>
      <c r="L208" s="1280"/>
      <c r="M208" s="1280">
        <v>511.44449101338387</v>
      </c>
    </row>
    <row r="209" spans="2:13">
      <c r="B209" s="1409"/>
      <c r="C209" s="1503">
        <f>F10A!C209</f>
        <v>0</v>
      </c>
      <c r="D209" s="1503">
        <f>F10A!D209</f>
        <v>0</v>
      </c>
      <c r="E209" s="1503">
        <f>F10A!E209</f>
        <v>0</v>
      </c>
      <c r="F209" s="1031">
        <f t="shared" si="3"/>
        <v>0</v>
      </c>
      <c r="G209" s="1280">
        <v>0</v>
      </c>
      <c r="H209" s="1280">
        <v>0</v>
      </c>
      <c r="I209" s="1280"/>
      <c r="J209" s="1280">
        <v>0</v>
      </c>
      <c r="K209" s="209">
        <v>0</v>
      </c>
      <c r="L209" s="1280"/>
      <c r="M209" s="1280">
        <v>0</v>
      </c>
    </row>
    <row r="210" spans="2:13">
      <c r="B210" s="1402" t="s">
        <v>1125</v>
      </c>
      <c r="C210" s="1503">
        <f>F10A!C210</f>
        <v>0</v>
      </c>
      <c r="D210" s="1503">
        <f>F10A!D210</f>
        <v>0</v>
      </c>
      <c r="E210" s="1503">
        <f>F10A!E210</f>
        <v>0</v>
      </c>
      <c r="F210" s="1031">
        <f t="shared" si="3"/>
        <v>0</v>
      </c>
      <c r="G210" s="1280">
        <v>0</v>
      </c>
      <c r="H210" s="1280">
        <v>0</v>
      </c>
      <c r="I210" s="1280"/>
      <c r="J210" s="1280">
        <v>0</v>
      </c>
      <c r="K210" s="209">
        <v>0</v>
      </c>
      <c r="L210" s="1280"/>
      <c r="M210" s="1280">
        <v>0</v>
      </c>
    </row>
    <row r="211" spans="2:13">
      <c r="B211" s="1402" t="s">
        <v>1126</v>
      </c>
      <c r="C211" s="1503">
        <f>F10A!C211</f>
        <v>1165.9291000000001</v>
      </c>
      <c r="D211" s="1503">
        <f>F10A!D211</f>
        <v>796.00597333333349</v>
      </c>
      <c r="E211" s="1503">
        <f>F10A!E211</f>
        <v>346738.19060000003</v>
      </c>
      <c r="F211" s="1031">
        <f t="shared" si="3"/>
        <v>0.26206591676216306</v>
      </c>
      <c r="G211" s="1280">
        <v>7.1</v>
      </c>
      <c r="H211" s="1280">
        <v>300</v>
      </c>
      <c r="I211" s="1280"/>
      <c r="J211" s="1280">
        <v>564.17988160374989</v>
      </c>
      <c r="K211" s="209">
        <v>92.255923431000014</v>
      </c>
      <c r="L211" s="1280"/>
      <c r="M211" s="1280">
        <v>656.43580503474993</v>
      </c>
    </row>
    <row r="212" spans="2:13">
      <c r="B212" s="1410" t="s">
        <v>1013</v>
      </c>
      <c r="C212" s="1503">
        <f>F10A!C212</f>
        <v>1165.9291000000001</v>
      </c>
      <c r="D212" s="1503">
        <f>F10A!D212</f>
        <v>398.00298666666674</v>
      </c>
      <c r="E212" s="1503">
        <f>F10A!E212</f>
        <v>346738.19060000003</v>
      </c>
      <c r="F212" s="1031">
        <f t="shared" si="3"/>
        <v>0.13103295838108153</v>
      </c>
      <c r="G212" s="1280">
        <v>0</v>
      </c>
      <c r="H212" s="1280">
        <v>0</v>
      </c>
      <c r="I212" s="1280"/>
      <c r="J212" s="1280">
        <v>281.47564401659145</v>
      </c>
      <c r="K212" s="209">
        <v>92.255923431000014</v>
      </c>
      <c r="L212" s="1280"/>
      <c r="M212" s="1280">
        <v>373.73156744759149</v>
      </c>
    </row>
    <row r="213" spans="2:13">
      <c r="B213" s="1406" t="s">
        <v>1430</v>
      </c>
      <c r="C213" s="1503">
        <f>F10A!C213</f>
        <v>268.39677866560424</v>
      </c>
      <c r="D213" s="1503">
        <f>F10A!D213</f>
        <v>91.620253341839387</v>
      </c>
      <c r="E213" s="1503">
        <f>F10A!E213</f>
        <v>79819.101690986456</v>
      </c>
      <c r="F213" s="1031">
        <f t="shared" si="3"/>
        <v>0.1310329583810815</v>
      </c>
      <c r="G213" s="1280">
        <v>6.0349999999999993</v>
      </c>
      <c r="H213" s="1280">
        <v>300</v>
      </c>
      <c r="I213" s="1280"/>
      <c r="J213" s="1280">
        <v>55.292822891800064</v>
      </c>
      <c r="K213" s="209">
        <v>21.237305648946446</v>
      </c>
      <c r="L213" s="1280"/>
      <c r="M213" s="1280">
        <v>76.530128540746517</v>
      </c>
    </row>
    <row r="214" spans="2:13">
      <c r="B214" s="1406" t="s">
        <v>1431</v>
      </c>
      <c r="C214" s="1503">
        <f>F10A!C214</f>
        <v>424.96849800510313</v>
      </c>
      <c r="D214" s="1503">
        <f>F10A!D214</f>
        <v>145.06776736705379</v>
      </c>
      <c r="E214" s="1503">
        <f>F10A!E214</f>
        <v>126382.30580254765</v>
      </c>
      <c r="F214" s="1031">
        <f t="shared" si="3"/>
        <v>0.13103295838108153</v>
      </c>
      <c r="G214" s="1280">
        <v>7.1</v>
      </c>
      <c r="H214" s="1280">
        <v>300</v>
      </c>
      <c r="I214" s="1280"/>
      <c r="J214" s="1280">
        <v>102.99811483060819</v>
      </c>
      <c r="K214" s="209">
        <v>33.626282432221537</v>
      </c>
      <c r="L214" s="1280"/>
      <c r="M214" s="1280">
        <v>136.62439726282972</v>
      </c>
    </row>
    <row r="215" spans="2:13">
      <c r="B215" s="1406" t="s">
        <v>1432</v>
      </c>
      <c r="C215" s="1503">
        <f>F10A!C215</f>
        <v>237.96142139904694</v>
      </c>
      <c r="D215" s="1503">
        <f>F10A!D215</f>
        <v>81.230802480413189</v>
      </c>
      <c r="E215" s="1503">
        <f>F10A!E215</f>
        <v>70767.864605583352</v>
      </c>
      <c r="F215" s="1031">
        <f t="shared" si="3"/>
        <v>0.1310329583810815</v>
      </c>
      <c r="G215" s="1280">
        <v>8.1649999999999991</v>
      </c>
      <c r="H215" s="1280">
        <v>300</v>
      </c>
      <c r="I215" s="1280"/>
      <c r="J215" s="1280">
        <v>66.324950225257368</v>
      </c>
      <c r="K215" s="209">
        <v>18.829061451611764</v>
      </c>
      <c r="L215" s="1280"/>
      <c r="M215" s="1280">
        <v>85.154011676869132</v>
      </c>
    </row>
    <row r="216" spans="2:13">
      <c r="B216" s="1406" t="s">
        <v>1433</v>
      </c>
      <c r="C216" s="1503">
        <f>F10A!C216</f>
        <v>234.60240193024583</v>
      </c>
      <c r="D216" s="1503">
        <f>F10A!D216</f>
        <v>80.084163477360335</v>
      </c>
      <c r="E216" s="1503">
        <f>F10A!E216</f>
        <v>69768.918500882588</v>
      </c>
      <c r="F216" s="1031">
        <f t="shared" si="3"/>
        <v>0.1310329583810815</v>
      </c>
      <c r="G216" s="1280">
        <v>7.1</v>
      </c>
      <c r="H216" s="1280">
        <v>300</v>
      </c>
      <c r="I216" s="1280"/>
      <c r="J216" s="1280">
        <v>56.859756068925833</v>
      </c>
      <c r="K216" s="209">
        <v>18.563273898220267</v>
      </c>
      <c r="L216" s="1280"/>
      <c r="M216" s="1280">
        <v>75.423029967146107</v>
      </c>
    </row>
    <row r="217" spans="2:13">
      <c r="B217" s="1411" t="s">
        <v>1014</v>
      </c>
      <c r="C217" s="1503">
        <f>F10A!C217</f>
        <v>1165.9291000000001</v>
      </c>
      <c r="D217" s="1503">
        <f>F10A!D217</f>
        <v>398.00298666666674</v>
      </c>
      <c r="E217" s="1503">
        <f>F10A!E217</f>
        <v>346738.19060000003</v>
      </c>
      <c r="F217" s="1031">
        <f t="shared" si="3"/>
        <v>0.13103295838108153</v>
      </c>
      <c r="G217" s="1280">
        <v>0</v>
      </c>
      <c r="H217" s="1280">
        <v>0</v>
      </c>
      <c r="I217" s="1280"/>
      <c r="J217" s="1280">
        <v>282.70423758715845</v>
      </c>
      <c r="K217" s="209">
        <v>0</v>
      </c>
      <c r="L217" s="1280"/>
      <c r="M217" s="1280">
        <v>282.70423758715845</v>
      </c>
    </row>
    <row r="218" spans="2:13">
      <c r="B218" s="1406" t="s">
        <v>1430</v>
      </c>
      <c r="C218" s="1503">
        <f>F10A!C218</f>
        <v>268.39677866560424</v>
      </c>
      <c r="D218" s="1503">
        <f>F10A!D218</f>
        <v>91.620253341839387</v>
      </c>
      <c r="E218" s="1503">
        <f>F10A!E218</f>
        <v>79819.101690986456</v>
      </c>
      <c r="F218" s="1031">
        <f t="shared" si="3"/>
        <v>0.1310329583810815</v>
      </c>
      <c r="G218" s="1280">
        <v>7.1</v>
      </c>
      <c r="H218" s="1280">
        <v>300</v>
      </c>
      <c r="I218" s="1280"/>
      <c r="J218" s="1280">
        <v>65.05037987270596</v>
      </c>
      <c r="K218" s="209">
        <v>0</v>
      </c>
      <c r="L218" s="1280"/>
      <c r="M218" s="1280">
        <v>65.05037987270596</v>
      </c>
    </row>
    <row r="219" spans="2:13">
      <c r="B219" s="1406" t="s">
        <v>1431</v>
      </c>
      <c r="C219" s="1503">
        <f>F10A!C219</f>
        <v>424.96849800510313</v>
      </c>
      <c r="D219" s="1503">
        <f>F10A!D219</f>
        <v>145.06776736705379</v>
      </c>
      <c r="E219" s="1503">
        <f>F10A!E219</f>
        <v>126382.30580254765</v>
      </c>
      <c r="F219" s="1031">
        <f t="shared" si="3"/>
        <v>0.13103295838108153</v>
      </c>
      <c r="G219" s="1280">
        <v>7.1</v>
      </c>
      <c r="H219" s="1280">
        <v>300</v>
      </c>
      <c r="I219" s="1280"/>
      <c r="J219" s="1280">
        <v>102.99811483060819</v>
      </c>
      <c r="K219" s="209">
        <v>0</v>
      </c>
      <c r="L219" s="1280"/>
      <c r="M219" s="1280">
        <v>102.99811483060819</v>
      </c>
    </row>
    <row r="220" spans="2:13">
      <c r="B220" s="1406" t="s">
        <v>1432</v>
      </c>
      <c r="C220" s="1503">
        <f>F10A!C220</f>
        <v>237.96142139904694</v>
      </c>
      <c r="D220" s="1503">
        <f>F10A!D220</f>
        <v>81.230802480413189</v>
      </c>
      <c r="E220" s="1503">
        <f>F10A!E220</f>
        <v>70767.864605583352</v>
      </c>
      <c r="F220" s="1031">
        <f t="shared" si="3"/>
        <v>0.1310329583810815</v>
      </c>
      <c r="G220" s="1280">
        <v>8.1649999999999991</v>
      </c>
      <c r="H220" s="1280">
        <v>300</v>
      </c>
      <c r="I220" s="1280"/>
      <c r="J220" s="1280">
        <v>66.324950225257368</v>
      </c>
      <c r="K220" s="209">
        <v>0</v>
      </c>
      <c r="L220" s="1280"/>
      <c r="M220" s="1280">
        <v>66.324950225257368</v>
      </c>
    </row>
    <row r="221" spans="2:13">
      <c r="B221" s="1406" t="s">
        <v>1433</v>
      </c>
      <c r="C221" s="1503">
        <f>F10A!C221</f>
        <v>234.60240193024583</v>
      </c>
      <c r="D221" s="1503">
        <f>F10A!D221</f>
        <v>80.084163477360335</v>
      </c>
      <c r="E221" s="1503">
        <f>F10A!E221</f>
        <v>69768.918500882588</v>
      </c>
      <c r="F221" s="1031">
        <f t="shared" si="3"/>
        <v>0.1310329583810815</v>
      </c>
      <c r="G221" s="1280">
        <v>6.0349999999999993</v>
      </c>
      <c r="H221" s="1280">
        <v>300</v>
      </c>
      <c r="I221" s="1280"/>
      <c r="J221" s="1280">
        <v>48.330792658586958</v>
      </c>
      <c r="K221" s="209">
        <v>0</v>
      </c>
      <c r="L221" s="1280"/>
      <c r="M221" s="1280">
        <v>48.330792658586958</v>
      </c>
    </row>
    <row r="222" spans="2:13">
      <c r="B222" s="1402" t="s">
        <v>1127</v>
      </c>
      <c r="C222" s="1503">
        <f>F10A!C222</f>
        <v>40.015500000000003</v>
      </c>
      <c r="D222" s="1503">
        <f>F10A!D222</f>
        <v>318.70439999999996</v>
      </c>
      <c r="E222" s="1503">
        <f>F10A!E222</f>
        <v>91889.647500000006</v>
      </c>
      <c r="F222" s="1031">
        <f t="shared" si="3"/>
        <v>0.39592904980855215</v>
      </c>
      <c r="G222" s="1280">
        <v>6.8</v>
      </c>
      <c r="H222" s="1280">
        <v>290</v>
      </c>
      <c r="I222" s="1280"/>
      <c r="J222" s="1280">
        <v>216.34152758334412</v>
      </c>
      <c r="K222" s="209">
        <v>23.412169473750001</v>
      </c>
      <c r="L222" s="1280"/>
      <c r="M222" s="1280">
        <v>239.75369705709412</v>
      </c>
    </row>
    <row r="223" spans="2:13">
      <c r="B223" s="1410" t="s">
        <v>1013</v>
      </c>
      <c r="C223" s="1503">
        <f>F10A!C223</f>
        <v>40.015500000000003</v>
      </c>
      <c r="D223" s="1503">
        <f>F10A!D223</f>
        <v>159.35219999999998</v>
      </c>
      <c r="E223" s="1503">
        <f>F10A!E223</f>
        <v>91889.647500000006</v>
      </c>
      <c r="F223" s="1031">
        <f t="shared" si="3"/>
        <v>0.19796452490427607</v>
      </c>
      <c r="G223" s="1280">
        <v>0</v>
      </c>
      <c r="H223" s="1280">
        <v>0</v>
      </c>
      <c r="I223" s="1280"/>
      <c r="J223" s="1280">
        <v>107.93520433758448</v>
      </c>
      <c r="K223" s="209">
        <v>23.412169473750001</v>
      </c>
      <c r="L223" s="1280"/>
      <c r="M223" s="1280">
        <v>131.34737381133448</v>
      </c>
    </row>
    <row r="224" spans="2:13">
      <c r="B224" s="1406" t="s">
        <v>1430</v>
      </c>
      <c r="C224" s="1503">
        <f>F10A!C224</f>
        <v>9.211564662631277</v>
      </c>
      <c r="D224" s="1503">
        <f>F10A!D224</f>
        <v>36.682862751497581</v>
      </c>
      <c r="E224" s="1503">
        <f>F10A!E224</f>
        <v>21152.988961093688</v>
      </c>
      <c r="F224" s="1031">
        <f t="shared" si="3"/>
        <v>0.19796452490427607</v>
      </c>
      <c r="G224" s="1280">
        <v>5.7799999999999994</v>
      </c>
      <c r="H224" s="1280">
        <v>290</v>
      </c>
      <c r="I224" s="1280"/>
      <c r="J224" s="1280">
        <v>21.202694670365599</v>
      </c>
      <c r="K224" s="209">
        <v>5.3894794017300836</v>
      </c>
      <c r="L224" s="1280"/>
      <c r="M224" s="1280">
        <v>26.592174072095681</v>
      </c>
    </row>
    <row r="225" spans="2:13">
      <c r="B225" s="1406" t="s">
        <v>1431</v>
      </c>
      <c r="C225" s="1503">
        <f>F10A!C225</f>
        <v>14.585215286180956</v>
      </c>
      <c r="D225" s="1503">
        <f>F10A!D225</f>
        <v>58.082146751297984</v>
      </c>
      <c r="E225" s="1503">
        <f>F10A!E225</f>
        <v>33492.778832172022</v>
      </c>
      <c r="F225" s="1031">
        <f t="shared" si="3"/>
        <v>0.19796452490427605</v>
      </c>
      <c r="G225" s="1280">
        <v>6.8</v>
      </c>
      <c r="H225" s="1280">
        <v>290</v>
      </c>
      <c r="I225" s="1280"/>
      <c r="J225" s="1280">
        <v>39.495859790882626</v>
      </c>
      <c r="K225" s="209">
        <v>8.5334815781684004</v>
      </c>
      <c r="L225" s="1280"/>
      <c r="M225" s="1280">
        <v>48.029341369051025</v>
      </c>
    </row>
    <row r="226" spans="2:13">
      <c r="B226" s="1406" t="s">
        <v>1432</v>
      </c>
      <c r="C226" s="1503">
        <f>F10A!C226</f>
        <v>8.1670019712121107</v>
      </c>
      <c r="D226" s="1503">
        <f>F10A!D226</f>
        <v>32.523140570953416</v>
      </c>
      <c r="E226" s="1503">
        <f>F10A!E226</f>
        <v>18754.306013082081</v>
      </c>
      <c r="F226" s="1031">
        <f t="shared" si="3"/>
        <v>0.1979645249042761</v>
      </c>
      <c r="G226" s="1280">
        <v>7.8199999999999994</v>
      </c>
      <c r="H226" s="1280">
        <v>290</v>
      </c>
      <c r="I226" s="1280"/>
      <c r="J226" s="1280">
        <v>25.433095926485571</v>
      </c>
      <c r="K226" s="209">
        <v>4.7783292534759845</v>
      </c>
      <c r="L226" s="1280"/>
      <c r="M226" s="1280">
        <v>30.211425179961555</v>
      </c>
    </row>
    <row r="227" spans="2:13">
      <c r="B227" s="1406" t="s">
        <v>1433</v>
      </c>
      <c r="C227" s="1503">
        <f>F10A!C227</f>
        <v>8.0517180799756627</v>
      </c>
      <c r="D227" s="1503">
        <f>F10A!D227</f>
        <v>32.064049926251016</v>
      </c>
      <c r="E227" s="1503">
        <f>F10A!E227</f>
        <v>18489.573693652219</v>
      </c>
      <c r="F227" s="1031">
        <f t="shared" si="3"/>
        <v>0.1979645249042761</v>
      </c>
      <c r="G227" s="1280">
        <v>6.8</v>
      </c>
      <c r="H227" s="1280">
        <v>290</v>
      </c>
      <c r="I227" s="1280"/>
      <c r="J227" s="1280">
        <v>21.803553949850688</v>
      </c>
      <c r="K227" s="209">
        <v>4.7108792403755331</v>
      </c>
      <c r="L227" s="1280"/>
      <c r="M227" s="1280">
        <v>26.514433190226221</v>
      </c>
    </row>
    <row r="228" spans="2:13">
      <c r="B228" s="1411" t="s">
        <v>1014</v>
      </c>
      <c r="C228" s="1503">
        <f>F10A!C228</f>
        <v>40.015500000000003</v>
      </c>
      <c r="D228" s="1503">
        <f>F10A!D228</f>
        <v>159.35219999999998</v>
      </c>
      <c r="E228" s="1503">
        <f>F10A!E228</f>
        <v>91889.647500000006</v>
      </c>
      <c r="F228" s="1031">
        <f t="shared" si="3"/>
        <v>0.19796452490427607</v>
      </c>
      <c r="G228" s="1280">
        <v>0</v>
      </c>
      <c r="H228" s="1280">
        <v>0</v>
      </c>
      <c r="I228" s="1280"/>
      <c r="J228" s="1280">
        <v>108.40632324575964</v>
      </c>
      <c r="K228" s="209">
        <v>0</v>
      </c>
      <c r="L228" s="1280"/>
      <c r="M228" s="1280">
        <v>108.40632324575964</v>
      </c>
    </row>
    <row r="229" spans="2:13">
      <c r="B229" s="1406" t="s">
        <v>1430</v>
      </c>
      <c r="C229" s="1503">
        <f>F10A!C229</f>
        <v>9.211564662631277</v>
      </c>
      <c r="D229" s="1503">
        <f>F10A!D229</f>
        <v>36.682862751497581</v>
      </c>
      <c r="E229" s="1503">
        <f>F10A!E229</f>
        <v>21152.988961093688</v>
      </c>
      <c r="F229" s="1031">
        <f t="shared" si="3"/>
        <v>0.19796452490427607</v>
      </c>
      <c r="G229" s="1280">
        <v>6.8</v>
      </c>
      <c r="H229" s="1280">
        <v>290</v>
      </c>
      <c r="I229" s="1280"/>
      <c r="J229" s="1280">
        <v>24.944346671018355</v>
      </c>
      <c r="K229" s="209">
        <v>0</v>
      </c>
      <c r="L229" s="1280"/>
      <c r="M229" s="1280">
        <v>24.944346671018355</v>
      </c>
    </row>
    <row r="230" spans="2:13">
      <c r="B230" s="1406" t="s">
        <v>1431</v>
      </c>
      <c r="C230" s="1503">
        <f>F10A!C230</f>
        <v>14.585215286180956</v>
      </c>
      <c r="D230" s="1503">
        <f>F10A!D230</f>
        <v>58.082146751297984</v>
      </c>
      <c r="E230" s="1503">
        <f>F10A!E230</f>
        <v>33492.778832172022</v>
      </c>
      <c r="F230" s="1031">
        <f t="shared" si="3"/>
        <v>0.19796452490427605</v>
      </c>
      <c r="G230" s="1280">
        <v>6.8</v>
      </c>
      <c r="H230" s="1280">
        <v>290</v>
      </c>
      <c r="I230" s="1280"/>
      <c r="J230" s="1280">
        <v>39.495859790882626</v>
      </c>
      <c r="K230" s="209">
        <v>0</v>
      </c>
      <c r="L230" s="1280"/>
      <c r="M230" s="1280">
        <v>39.495859790882626</v>
      </c>
    </row>
    <row r="231" spans="2:13">
      <c r="B231" s="1406" t="s">
        <v>1432</v>
      </c>
      <c r="C231" s="1503">
        <f>F10A!C231</f>
        <v>8.1670019712121107</v>
      </c>
      <c r="D231" s="1503">
        <f>F10A!D231</f>
        <v>32.523140570953416</v>
      </c>
      <c r="E231" s="1503">
        <f>F10A!E231</f>
        <v>18754.306013082081</v>
      </c>
      <c r="F231" s="1031">
        <f t="shared" si="3"/>
        <v>0.1979645249042761</v>
      </c>
      <c r="G231" s="1280">
        <v>7.8199999999999994</v>
      </c>
      <c r="H231" s="1280">
        <v>290</v>
      </c>
      <c r="I231" s="1280"/>
      <c r="J231" s="1280">
        <v>25.433095926485571</v>
      </c>
      <c r="K231" s="209">
        <v>0</v>
      </c>
      <c r="L231" s="1280"/>
      <c r="M231" s="1280">
        <v>25.433095926485571</v>
      </c>
    </row>
    <row r="232" spans="2:13">
      <c r="B232" s="1406" t="s">
        <v>1433</v>
      </c>
      <c r="C232" s="1503">
        <f>F10A!C232</f>
        <v>8.0517180799756627</v>
      </c>
      <c r="D232" s="1503">
        <f>F10A!D232</f>
        <v>32.064049926251016</v>
      </c>
      <c r="E232" s="1503">
        <f>F10A!E232</f>
        <v>18489.573693652219</v>
      </c>
      <c r="F232" s="1031">
        <f t="shared" si="3"/>
        <v>0.1979645249042761</v>
      </c>
      <c r="G232" s="1280">
        <v>5.7799999999999994</v>
      </c>
      <c r="H232" s="1280">
        <v>290</v>
      </c>
      <c r="I232" s="1280"/>
      <c r="J232" s="1280">
        <v>18.533020857373085</v>
      </c>
      <c r="K232" s="209">
        <v>0</v>
      </c>
      <c r="L232" s="1280"/>
      <c r="M232" s="1280">
        <v>18.533020857373085</v>
      </c>
    </row>
    <row r="233" spans="2:13">
      <c r="B233" s="1402" t="s">
        <v>1128</v>
      </c>
      <c r="C233" s="1503">
        <f>F10A!C233</f>
        <v>6.6126000000000005</v>
      </c>
      <c r="D233" s="1503">
        <f>F10A!D233</f>
        <v>55.604333333333344</v>
      </c>
      <c r="E233" s="1503">
        <f>F10A!E233</f>
        <v>71153.780200000008</v>
      </c>
      <c r="F233" s="1031">
        <f t="shared" si="3"/>
        <v>8.9208565144164573E-2</v>
      </c>
      <c r="G233" s="1280">
        <v>6.4</v>
      </c>
      <c r="H233" s="1280">
        <v>270</v>
      </c>
      <c r="I233" s="1280"/>
      <c r="J233" s="1280">
        <v>35.524791037674952</v>
      </c>
      <c r="K233" s="209">
        <v>16.724795784300003</v>
      </c>
      <c r="L233" s="1280"/>
      <c r="M233" s="1280">
        <v>52.249586821974951</v>
      </c>
    </row>
    <row r="234" spans="2:13">
      <c r="B234" s="1410" t="s">
        <v>1013</v>
      </c>
      <c r="C234" s="1503">
        <f>F10A!C234</f>
        <v>6.6126000000000005</v>
      </c>
      <c r="D234" s="1503">
        <f>F10A!D234</f>
        <v>27.802166666666672</v>
      </c>
      <c r="E234" s="1503">
        <f>F10A!E234</f>
        <v>71153.780200000008</v>
      </c>
      <c r="F234" s="1031">
        <f t="shared" si="3"/>
        <v>4.4604282572082286E-2</v>
      </c>
      <c r="G234" s="1280">
        <v>0</v>
      </c>
      <c r="H234" s="1280">
        <v>0</v>
      </c>
      <c r="I234" s="1280"/>
      <c r="J234" s="1280">
        <v>17.723715009936171</v>
      </c>
      <c r="K234" s="209">
        <v>16.724795784300003</v>
      </c>
      <c r="L234" s="1280"/>
      <c r="M234" s="1280">
        <v>34.448510794236171</v>
      </c>
    </row>
    <row r="235" spans="2:13">
      <c r="B235" s="1406" t="s">
        <v>1430</v>
      </c>
      <c r="C235" s="1503">
        <f>F10A!C235</f>
        <v>1.5222199519715005</v>
      </c>
      <c r="D235" s="1503">
        <f>F10A!D235</f>
        <v>6.4000563784346527</v>
      </c>
      <c r="E235" s="1503">
        <f>F10A!E235</f>
        <v>16379.594089864004</v>
      </c>
      <c r="F235" s="1031">
        <f t="shared" si="3"/>
        <v>4.4604282572082272E-2</v>
      </c>
      <c r="G235" s="1280">
        <v>5.44</v>
      </c>
      <c r="H235" s="1280">
        <v>270</v>
      </c>
      <c r="I235" s="1280"/>
      <c r="J235" s="1280">
        <v>3.4816306698684514</v>
      </c>
      <c r="K235" s="209">
        <v>3.8500465528703236</v>
      </c>
      <c r="L235" s="1280"/>
      <c r="M235" s="1280">
        <v>7.331677222738775</v>
      </c>
    </row>
    <row r="236" spans="2:13">
      <c r="B236" s="1406" t="s">
        <v>1431</v>
      </c>
      <c r="C236" s="1503">
        <f>F10A!C236</f>
        <v>2.4102209044345364</v>
      </c>
      <c r="D236" s="1503">
        <f>F10A!D236</f>
        <v>10.133587891082637</v>
      </c>
      <c r="E236" s="1503">
        <f>F10A!E236</f>
        <v>25934.780338683755</v>
      </c>
      <c r="F236" s="1031">
        <f t="shared" si="3"/>
        <v>4.4604282572082272E-2</v>
      </c>
      <c r="G236" s="1280">
        <v>6.4</v>
      </c>
      <c r="H236" s="1280">
        <v>270</v>
      </c>
      <c r="I236" s="1280"/>
      <c r="J236" s="1280">
        <v>6.4854962502928881</v>
      </c>
      <c r="K236" s="209">
        <v>6.0960064757763153</v>
      </c>
      <c r="L236" s="1280"/>
      <c r="M236" s="1280">
        <v>12.581502726069203</v>
      </c>
    </row>
    <row r="237" spans="2:13">
      <c r="B237" s="1406" t="s">
        <v>1432</v>
      </c>
      <c r="C237" s="1503">
        <f>F10A!C237</f>
        <v>1.3496049589493373</v>
      </c>
      <c r="D237" s="1503">
        <f>F10A!D237</f>
        <v>5.6743099541586215</v>
      </c>
      <c r="E237" s="1503">
        <f>F10A!E237</f>
        <v>14522.199226614519</v>
      </c>
      <c r="F237" s="1031">
        <f t="shared" si="3"/>
        <v>4.4604282572082272E-2</v>
      </c>
      <c r="G237" s="1280">
        <v>7.3599999999999994</v>
      </c>
      <c r="H237" s="1280">
        <v>270</v>
      </c>
      <c r="I237" s="1280"/>
      <c r="J237" s="1280">
        <v>4.1762921262607451</v>
      </c>
      <c r="K237" s="209">
        <v>3.4134632864389571</v>
      </c>
      <c r="L237" s="1280"/>
      <c r="M237" s="1280">
        <v>7.5897554126997022</v>
      </c>
    </row>
    <row r="238" spans="2:13">
      <c r="B238" s="1406" t="s">
        <v>1433</v>
      </c>
      <c r="C238" s="1503">
        <f>F10A!C238</f>
        <v>1.3305541846446267</v>
      </c>
      <c r="D238" s="1503">
        <f>F10A!D238</f>
        <v>5.5942124429907585</v>
      </c>
      <c r="E238" s="1503">
        <f>F10A!E238</f>
        <v>14317.206544837734</v>
      </c>
      <c r="F238" s="1031">
        <f t="shared" si="3"/>
        <v>4.4604282572082272E-2</v>
      </c>
      <c r="G238" s="1280">
        <v>6.4</v>
      </c>
      <c r="H238" s="1280">
        <v>270</v>
      </c>
      <c r="I238" s="1280"/>
      <c r="J238" s="1280">
        <v>3.5802959635140859</v>
      </c>
      <c r="K238" s="209">
        <v>3.3652794692144061</v>
      </c>
      <c r="L238" s="1280"/>
      <c r="M238" s="1280">
        <v>6.945575432728492</v>
      </c>
    </row>
    <row r="239" spans="2:13">
      <c r="B239" s="1411" t="s">
        <v>1014</v>
      </c>
      <c r="C239" s="1503">
        <f>F10A!C239</f>
        <v>6.6126000000000005</v>
      </c>
      <c r="D239" s="1503">
        <f>F10A!D239</f>
        <v>27.802166666666672</v>
      </c>
      <c r="E239" s="1503">
        <f>F10A!E239</f>
        <v>71153.780200000008</v>
      </c>
      <c r="F239" s="1031">
        <f t="shared" si="3"/>
        <v>4.4604282572082286E-2</v>
      </c>
      <c r="G239" s="1280">
        <v>0</v>
      </c>
      <c r="H239" s="1280">
        <v>0</v>
      </c>
      <c r="I239" s="1280"/>
      <c r="J239" s="1280">
        <v>17.80107602773878</v>
      </c>
      <c r="K239" s="209">
        <v>0</v>
      </c>
      <c r="L239" s="1280"/>
      <c r="M239" s="1280">
        <v>17.80107602773878</v>
      </c>
    </row>
    <row r="240" spans="2:13">
      <c r="B240" s="1406" t="s">
        <v>1430</v>
      </c>
      <c r="C240" s="1503">
        <f>F10A!C240</f>
        <v>1.5222199519715005</v>
      </c>
      <c r="D240" s="1503">
        <f>F10A!D240</f>
        <v>6.4000563784346527</v>
      </c>
      <c r="E240" s="1503">
        <f>F10A!E240</f>
        <v>16379.594089864004</v>
      </c>
      <c r="F240" s="1031">
        <f t="shared" si="3"/>
        <v>4.4604282572082272E-2</v>
      </c>
      <c r="G240" s="1280">
        <v>6.4</v>
      </c>
      <c r="H240" s="1280">
        <v>270</v>
      </c>
      <c r="I240" s="1280"/>
      <c r="J240" s="1280">
        <v>4.0960360821981778</v>
      </c>
      <c r="K240" s="209">
        <v>0</v>
      </c>
      <c r="L240" s="1280"/>
      <c r="M240" s="1280">
        <v>4.0960360821981778</v>
      </c>
    </row>
    <row r="241" spans="2:13">
      <c r="B241" s="1406" t="s">
        <v>1431</v>
      </c>
      <c r="C241" s="1503">
        <f>F10A!C241</f>
        <v>2.4102209044345364</v>
      </c>
      <c r="D241" s="1503">
        <f>F10A!D241</f>
        <v>10.133587891082637</v>
      </c>
      <c r="E241" s="1503">
        <f>F10A!E241</f>
        <v>25934.780338683755</v>
      </c>
      <c r="F241" s="1031">
        <f t="shared" si="3"/>
        <v>4.4604282572082272E-2</v>
      </c>
      <c r="G241" s="1280">
        <v>6.4</v>
      </c>
      <c r="H241" s="1280">
        <v>270</v>
      </c>
      <c r="I241" s="1280"/>
      <c r="J241" s="1280">
        <v>6.4854962502928881</v>
      </c>
      <c r="K241" s="209">
        <v>0</v>
      </c>
      <c r="L241" s="1280"/>
      <c r="M241" s="1280">
        <v>6.4854962502928881</v>
      </c>
    </row>
    <row r="242" spans="2:13">
      <c r="B242" s="1406" t="s">
        <v>1432</v>
      </c>
      <c r="C242" s="1503">
        <f>F10A!C242</f>
        <v>1.3496049589493373</v>
      </c>
      <c r="D242" s="1503">
        <f>F10A!D242</f>
        <v>5.6743099541586215</v>
      </c>
      <c r="E242" s="1503">
        <f>F10A!E242</f>
        <v>14522.199226614519</v>
      </c>
      <c r="F242" s="1031">
        <f t="shared" si="3"/>
        <v>4.4604282572082272E-2</v>
      </c>
      <c r="G242" s="1280">
        <v>7.3599999999999994</v>
      </c>
      <c r="H242" s="1280">
        <v>270</v>
      </c>
      <c r="I242" s="1280"/>
      <c r="J242" s="1280">
        <v>4.1762921262607451</v>
      </c>
      <c r="K242" s="209">
        <v>0</v>
      </c>
      <c r="L242" s="1280"/>
      <c r="M242" s="1280">
        <v>4.1762921262607451</v>
      </c>
    </row>
    <row r="243" spans="2:13">
      <c r="B243" s="1406" t="s">
        <v>1433</v>
      </c>
      <c r="C243" s="1503">
        <f>F10A!C243</f>
        <v>1.3305541846446267</v>
      </c>
      <c r="D243" s="1503">
        <f>F10A!D243</f>
        <v>5.5942124429907585</v>
      </c>
      <c r="E243" s="1503">
        <f>F10A!E243</f>
        <v>14317.206544837734</v>
      </c>
      <c r="F243" s="1031">
        <f t="shared" si="3"/>
        <v>4.4604282572082272E-2</v>
      </c>
      <c r="G243" s="1280">
        <v>5.44</v>
      </c>
      <c r="H243" s="1280">
        <v>270</v>
      </c>
      <c r="I243" s="1280"/>
      <c r="J243" s="1280">
        <v>3.0432515689869728</v>
      </c>
      <c r="K243" s="209">
        <v>0</v>
      </c>
      <c r="L243" s="1280"/>
      <c r="M243" s="1280">
        <v>3.0432515689869728</v>
      </c>
    </row>
    <row r="244" spans="2:13">
      <c r="B244" s="1402" t="s">
        <v>1129</v>
      </c>
      <c r="C244" s="1503">
        <f>F10A!C244</f>
        <v>2.1424000000000003</v>
      </c>
      <c r="D244" s="1503">
        <f>F10A!D244</f>
        <v>3.3557333333333337</v>
      </c>
      <c r="E244" s="1503">
        <f>F10A!E244</f>
        <v>1923.8752000000002</v>
      </c>
      <c r="F244" s="1031">
        <f t="shared" si="3"/>
        <v>0.19911612844260679</v>
      </c>
      <c r="G244" s="1280">
        <v>6.1</v>
      </c>
      <c r="H244" s="1280">
        <v>270</v>
      </c>
      <c r="I244" s="1280"/>
      <c r="J244" s="1280">
        <v>2.0434320313392984</v>
      </c>
      <c r="K244" s="209">
        <v>0.45851125680000004</v>
      </c>
      <c r="L244" s="1280"/>
      <c r="M244" s="1280">
        <v>2.5019432881392989</v>
      </c>
    </row>
    <row r="245" spans="2:13">
      <c r="B245" s="1410" t="s">
        <v>1013</v>
      </c>
      <c r="C245" s="1503">
        <f>F10A!C245</f>
        <v>2.1424000000000003</v>
      </c>
      <c r="D245" s="1503">
        <f>F10A!D245</f>
        <v>1.6778666666666668</v>
      </c>
      <c r="E245" s="1503">
        <f>F10A!E245</f>
        <v>1923.8752000000002</v>
      </c>
      <c r="F245" s="1031">
        <f t="shared" si="3"/>
        <v>9.9558064221303394E-2</v>
      </c>
      <c r="G245" s="1280">
        <v>0</v>
      </c>
      <c r="H245" s="1280">
        <v>0</v>
      </c>
      <c r="I245" s="1280"/>
      <c r="J245" s="1280">
        <v>1.019491062656031</v>
      </c>
      <c r="K245" s="209">
        <v>0.45851125680000004</v>
      </c>
      <c r="L245" s="1280"/>
      <c r="M245" s="1280">
        <v>1.4780023194560312</v>
      </c>
    </row>
    <row r="246" spans="2:13">
      <c r="B246" s="1406" t="s">
        <v>1430</v>
      </c>
      <c r="C246" s="1503">
        <f>F10A!C246</f>
        <v>0.49318029596584445</v>
      </c>
      <c r="D246" s="1503">
        <f>F10A!D246</f>
        <v>0.38624476253635709</v>
      </c>
      <c r="E246" s="1503">
        <f>F10A!E246</f>
        <v>442.87590577732828</v>
      </c>
      <c r="F246" s="1031">
        <f t="shared" si="3"/>
        <v>9.955806422130338E-2</v>
      </c>
      <c r="G246" s="1280">
        <v>5.1849999999999996</v>
      </c>
      <c r="H246" s="1280">
        <v>270</v>
      </c>
      <c r="I246" s="1280"/>
      <c r="J246" s="1280">
        <v>0.20026790937510114</v>
      </c>
      <c r="K246" s="209">
        <v>0.10554925192881595</v>
      </c>
      <c r="L246" s="1280"/>
      <c r="M246" s="1280">
        <v>0.30581716130391712</v>
      </c>
    </row>
    <row r="247" spans="2:13">
      <c r="B247" s="1406" t="s">
        <v>1431</v>
      </c>
      <c r="C247" s="1503">
        <f>F10A!C247</f>
        <v>0.78088153913143854</v>
      </c>
      <c r="D247" s="1503">
        <f>F10A!D247</f>
        <v>0.61156418275018809</v>
      </c>
      <c r="E247" s="1503">
        <f>F10A!E247</f>
        <v>701.23162214003185</v>
      </c>
      <c r="F247" s="1031">
        <f t="shared" si="3"/>
        <v>9.9558064221303394E-2</v>
      </c>
      <c r="G247" s="1280">
        <v>6.1</v>
      </c>
      <c r="H247" s="1280">
        <v>270</v>
      </c>
      <c r="I247" s="1280"/>
      <c r="J247" s="1280">
        <v>0.37305415147761473</v>
      </c>
      <c r="K247" s="209">
        <v>0.16712237486887335</v>
      </c>
      <c r="L247" s="1280"/>
      <c r="M247" s="1280">
        <v>0.54017652634648805</v>
      </c>
    </row>
    <row r="248" spans="2:13">
      <c r="B248" s="1406" t="s">
        <v>1432</v>
      </c>
      <c r="C248" s="1503">
        <f>F10A!C248</f>
        <v>0.43725518919230866</v>
      </c>
      <c r="D248" s="1503">
        <f>F10A!D248</f>
        <v>0.34244581160044879</v>
      </c>
      <c r="E248" s="1503">
        <f>F10A!E248</f>
        <v>392.65515989469316</v>
      </c>
      <c r="F248" s="1031">
        <f t="shared" si="3"/>
        <v>9.955806422130338E-2</v>
      </c>
      <c r="G248" s="1280">
        <v>7.0149999999999988</v>
      </c>
      <c r="H248" s="1280">
        <v>270</v>
      </c>
      <c r="I248" s="1280"/>
      <c r="J248" s="1280">
        <v>0.24022573683771481</v>
      </c>
      <c r="K248" s="209">
        <v>9.3580296087979478E-2</v>
      </c>
      <c r="L248" s="1280"/>
      <c r="M248" s="1280">
        <v>0.33380603292569427</v>
      </c>
    </row>
    <row r="249" spans="2:13">
      <c r="B249" s="1406" t="s">
        <v>1433</v>
      </c>
      <c r="C249" s="1503">
        <f>F10A!C249</f>
        <v>0.43108297571040871</v>
      </c>
      <c r="D249" s="1503">
        <f>F10A!D249</f>
        <v>0.33761190977967281</v>
      </c>
      <c r="E249" s="1503">
        <f>F10A!E249</f>
        <v>387.112512187947</v>
      </c>
      <c r="F249" s="1031">
        <f t="shared" si="3"/>
        <v>9.955806422130338E-2</v>
      </c>
      <c r="G249" s="1280">
        <v>6.1</v>
      </c>
      <c r="H249" s="1280">
        <v>270</v>
      </c>
      <c r="I249" s="1280"/>
      <c r="J249" s="1280">
        <v>0.20594326496560042</v>
      </c>
      <c r="K249" s="209">
        <v>9.2259333914331276E-2</v>
      </c>
      <c r="L249" s="1280"/>
      <c r="M249" s="1280">
        <v>0.29820259887993172</v>
      </c>
    </row>
    <row r="250" spans="2:13">
      <c r="B250" s="1411" t="s">
        <v>1014</v>
      </c>
      <c r="C250" s="1503">
        <f>F10A!C250</f>
        <v>2.1424000000000003</v>
      </c>
      <c r="D250" s="1503">
        <f>F10A!D250</f>
        <v>1.6778666666666668</v>
      </c>
      <c r="E250" s="1503">
        <f>F10A!E250</f>
        <v>1923.8752000000002</v>
      </c>
      <c r="F250" s="1031">
        <f t="shared" si="3"/>
        <v>9.9558064221303394E-2</v>
      </c>
      <c r="G250" s="1280">
        <v>0</v>
      </c>
      <c r="H250" s="1280">
        <v>0</v>
      </c>
      <c r="I250" s="1280"/>
      <c r="J250" s="1280">
        <v>1.0239409686832677</v>
      </c>
      <c r="K250" s="209">
        <v>0</v>
      </c>
      <c r="L250" s="1280"/>
      <c r="M250" s="1280">
        <v>1.0239409686832677</v>
      </c>
    </row>
    <row r="251" spans="2:13">
      <c r="B251" s="1406" t="s">
        <v>1430</v>
      </c>
      <c r="C251" s="1503">
        <f>F10A!C251</f>
        <v>0.49318029596584445</v>
      </c>
      <c r="D251" s="1503">
        <f>F10A!D251</f>
        <v>0.38624476253635709</v>
      </c>
      <c r="E251" s="1503">
        <f>F10A!E251</f>
        <v>442.87590577732828</v>
      </c>
      <c r="F251" s="1031">
        <f t="shared" si="3"/>
        <v>9.955806422130338E-2</v>
      </c>
      <c r="G251" s="1280">
        <v>6.1</v>
      </c>
      <c r="H251" s="1280">
        <v>270</v>
      </c>
      <c r="I251" s="1280"/>
      <c r="J251" s="1280">
        <v>0.23560930514717779</v>
      </c>
      <c r="K251" s="209">
        <v>0</v>
      </c>
      <c r="L251" s="1280"/>
      <c r="M251" s="1280">
        <v>0.23560930514717779</v>
      </c>
    </row>
    <row r="252" spans="2:13">
      <c r="B252" s="1406" t="s">
        <v>1431</v>
      </c>
      <c r="C252" s="1503">
        <f>F10A!C252</f>
        <v>0.78088153913143854</v>
      </c>
      <c r="D252" s="1503">
        <f>F10A!D252</f>
        <v>0.61156418275018809</v>
      </c>
      <c r="E252" s="1503">
        <f>F10A!E252</f>
        <v>701.23162214003185</v>
      </c>
      <c r="F252" s="1031">
        <f t="shared" si="3"/>
        <v>9.9558064221303394E-2</v>
      </c>
      <c r="G252" s="1280">
        <v>6.1</v>
      </c>
      <c r="H252" s="1280">
        <v>270</v>
      </c>
      <c r="I252" s="1280"/>
      <c r="J252" s="1280">
        <v>0.37305415147761473</v>
      </c>
      <c r="K252" s="209">
        <v>0</v>
      </c>
      <c r="L252" s="1280"/>
      <c r="M252" s="1280">
        <v>0.37305415147761473</v>
      </c>
    </row>
    <row r="253" spans="2:13">
      <c r="B253" s="1406" t="s">
        <v>1432</v>
      </c>
      <c r="C253" s="1503">
        <f>F10A!C253</f>
        <v>0.43725518919230866</v>
      </c>
      <c r="D253" s="1503">
        <f>F10A!D253</f>
        <v>0.34244581160044879</v>
      </c>
      <c r="E253" s="1503">
        <f>F10A!E253</f>
        <v>392.65515989469316</v>
      </c>
      <c r="F253" s="1031">
        <f t="shared" si="3"/>
        <v>9.955806422130338E-2</v>
      </c>
      <c r="G253" s="1280">
        <v>7.0149999999999988</v>
      </c>
      <c r="H253" s="1280">
        <v>270</v>
      </c>
      <c r="I253" s="1280"/>
      <c r="J253" s="1280">
        <v>0.24022573683771481</v>
      </c>
      <c r="K253" s="209">
        <v>0</v>
      </c>
      <c r="L253" s="1280"/>
      <c r="M253" s="1280">
        <v>0.24022573683771481</v>
      </c>
    </row>
    <row r="254" spans="2:13">
      <c r="B254" s="1406" t="s">
        <v>1433</v>
      </c>
      <c r="C254" s="1503">
        <f>F10A!C254</f>
        <v>0.43108297571040871</v>
      </c>
      <c r="D254" s="1503">
        <f>F10A!D254</f>
        <v>0.33761190977967281</v>
      </c>
      <c r="E254" s="1503">
        <f>F10A!E254</f>
        <v>387.112512187947</v>
      </c>
      <c r="F254" s="1031">
        <f t="shared" si="3"/>
        <v>9.955806422130338E-2</v>
      </c>
      <c r="G254" s="1280">
        <v>5.1849999999999996</v>
      </c>
      <c r="H254" s="1280">
        <v>270</v>
      </c>
      <c r="I254" s="1280"/>
      <c r="J254" s="1280">
        <v>0.17505177522076035</v>
      </c>
      <c r="K254" s="209">
        <v>0</v>
      </c>
      <c r="L254" s="1280"/>
      <c r="M254" s="1280">
        <v>0.17505177522076035</v>
      </c>
    </row>
    <row r="255" spans="2:13">
      <c r="B255" s="1402" t="s">
        <v>1130</v>
      </c>
      <c r="C255" s="1503">
        <f>F10A!C255</f>
        <v>270.375</v>
      </c>
      <c r="D255" s="1503">
        <f>F10A!D255</f>
        <v>211.20960000000002</v>
      </c>
      <c r="E255" s="1503">
        <f>F10A!E255</f>
        <v>91927.5</v>
      </c>
      <c r="F255" s="1031">
        <f t="shared" si="3"/>
        <v>0.26227934983010365</v>
      </c>
      <c r="G255" s="1280">
        <v>6.5674999999999999</v>
      </c>
      <c r="H255" s="1280">
        <v>277.5</v>
      </c>
      <c r="I255" s="1280"/>
      <c r="J255" s="1280">
        <v>138.71190480000001</v>
      </c>
      <c r="K255" s="209">
        <v>22.4122528125</v>
      </c>
      <c r="L255" s="1280"/>
      <c r="M255" s="1280">
        <v>161.12415761250003</v>
      </c>
    </row>
    <row r="256" spans="2:13">
      <c r="B256" s="1402" t="s">
        <v>1425</v>
      </c>
      <c r="C256" s="1503">
        <f>F10A!C256</f>
        <v>1485.0745999999999</v>
      </c>
      <c r="D256" s="1503">
        <f>F10A!D256</f>
        <v>1384.88004</v>
      </c>
      <c r="E256" s="1503">
        <f>F10A!E256</f>
        <v>603632.9935000001</v>
      </c>
      <c r="F256" s="1031">
        <f t="shared" si="3"/>
        <v>0.2618997478094664</v>
      </c>
      <c r="G256" s="1280">
        <v>0</v>
      </c>
      <c r="H256" s="1280">
        <v>0</v>
      </c>
      <c r="I256" s="1280"/>
      <c r="J256" s="1280">
        <v>956.80153705610837</v>
      </c>
      <c r="K256" s="209">
        <v>155.26365275835002</v>
      </c>
      <c r="L256" s="1280"/>
      <c r="M256" s="1280">
        <v>1112.0651898144583</v>
      </c>
    </row>
    <row r="257" spans="2:13">
      <c r="B257" s="1409"/>
      <c r="C257" s="1503">
        <f>F10A!C257</f>
        <v>0</v>
      </c>
      <c r="D257" s="1503">
        <f>F10A!D257</f>
        <v>0</v>
      </c>
      <c r="E257" s="1503">
        <f>F10A!E257</f>
        <v>0</v>
      </c>
      <c r="F257" s="1031">
        <f t="shared" si="3"/>
        <v>0</v>
      </c>
      <c r="G257" s="1280">
        <v>0</v>
      </c>
      <c r="H257" s="1280">
        <v>0</v>
      </c>
      <c r="I257" s="1280"/>
      <c r="J257" s="1280">
        <v>0</v>
      </c>
      <c r="K257" s="209">
        <v>0</v>
      </c>
      <c r="L257" s="1280"/>
      <c r="M257" s="1280">
        <v>0</v>
      </c>
    </row>
    <row r="258" spans="2:13">
      <c r="B258" s="1402" t="s">
        <v>1133</v>
      </c>
      <c r="C258" s="1503">
        <f>F10A!C258</f>
        <v>0</v>
      </c>
      <c r="D258" s="1503">
        <f>F10A!D258</f>
        <v>0</v>
      </c>
      <c r="E258" s="1503">
        <f>F10A!E258</f>
        <v>0</v>
      </c>
      <c r="F258" s="1031">
        <f t="shared" si="3"/>
        <v>0</v>
      </c>
      <c r="G258" s="1280">
        <v>0</v>
      </c>
      <c r="H258" s="1280">
        <v>0</v>
      </c>
      <c r="I258" s="1280"/>
      <c r="J258" s="1280">
        <v>0</v>
      </c>
      <c r="K258" s="209">
        <v>0</v>
      </c>
      <c r="L258" s="1280"/>
      <c r="M258" s="1280">
        <v>0</v>
      </c>
    </row>
    <row r="259" spans="2:13">
      <c r="B259" s="1409" t="s">
        <v>1415</v>
      </c>
      <c r="C259" s="1503">
        <f>F10A!C259</f>
        <v>1</v>
      </c>
      <c r="D259" s="1503">
        <f>F10A!D259</f>
        <v>7.8573333333333331</v>
      </c>
      <c r="E259" s="1503">
        <f>F10A!E259</f>
        <v>10800</v>
      </c>
      <c r="F259" s="1031">
        <f t="shared" si="3"/>
        <v>8.3051468515699861E-2</v>
      </c>
      <c r="G259" s="1280">
        <v>8.5</v>
      </c>
      <c r="H259" s="1280">
        <v>400</v>
      </c>
      <c r="I259" s="1280"/>
      <c r="J259" s="1280">
        <v>6.6787333333333336</v>
      </c>
      <c r="K259" s="209">
        <v>3.8879999999999999</v>
      </c>
      <c r="L259" s="1280"/>
      <c r="M259" s="1280">
        <v>10.566733333333334</v>
      </c>
    </row>
    <row r="260" spans="2:13">
      <c r="B260" s="1409" t="s">
        <v>1134</v>
      </c>
      <c r="C260" s="1503">
        <f>F10A!C260</f>
        <v>0</v>
      </c>
      <c r="D260" s="1503">
        <f>F10A!D260</f>
        <v>0</v>
      </c>
      <c r="E260" s="1503">
        <f>F10A!E260</f>
        <v>0</v>
      </c>
      <c r="F260" s="1031">
        <f t="shared" si="3"/>
        <v>0</v>
      </c>
      <c r="G260" s="1280">
        <v>8.8000000000000007</v>
      </c>
      <c r="H260" s="1280">
        <v>400</v>
      </c>
      <c r="I260" s="1280"/>
      <c r="J260" s="1280">
        <v>0</v>
      </c>
      <c r="K260" s="209">
        <v>0</v>
      </c>
      <c r="L260" s="1280"/>
      <c r="M260" s="1280">
        <v>0</v>
      </c>
    </row>
    <row r="261" spans="2:13">
      <c r="B261" s="1409" t="s">
        <v>1135</v>
      </c>
      <c r="C261" s="1503">
        <f>F10A!C261</f>
        <v>0</v>
      </c>
      <c r="D261" s="1503">
        <f>F10A!D261</f>
        <v>0</v>
      </c>
      <c r="E261" s="1503">
        <f>F10A!E261</f>
        <v>0</v>
      </c>
      <c r="F261" s="1031">
        <f t="shared" si="3"/>
        <v>0</v>
      </c>
      <c r="G261" s="1280">
        <v>7.3</v>
      </c>
      <c r="H261" s="1280">
        <v>300</v>
      </c>
      <c r="I261" s="1280"/>
      <c r="J261" s="1280">
        <v>0</v>
      </c>
      <c r="K261" s="209">
        <v>0</v>
      </c>
      <c r="L261" s="1280"/>
      <c r="M261" s="1280">
        <v>0</v>
      </c>
    </row>
    <row r="262" spans="2:13">
      <c r="B262" s="1402" t="s">
        <v>1425</v>
      </c>
      <c r="C262" s="1503">
        <f>F10A!C262</f>
        <v>1</v>
      </c>
      <c r="D262" s="1503">
        <f>F10A!D262</f>
        <v>7.8573333333333331</v>
      </c>
      <c r="E262" s="1503">
        <f>F10A!E262</f>
        <v>10800</v>
      </c>
      <c r="F262" s="1031">
        <f t="shared" si="3"/>
        <v>8.3051468515699861E-2</v>
      </c>
      <c r="G262" s="1280">
        <v>0</v>
      </c>
      <c r="H262" s="1280">
        <v>0</v>
      </c>
      <c r="I262" s="1280"/>
      <c r="J262" s="1280">
        <v>6.6787333333333336</v>
      </c>
      <c r="K262" s="209">
        <v>3.8879999999999999</v>
      </c>
      <c r="L262" s="1280"/>
      <c r="M262" s="1280">
        <v>10.566733333333334</v>
      </c>
    </row>
    <row r="263" spans="2:13">
      <c r="B263" s="1409"/>
      <c r="C263" s="1503">
        <f>F10A!C263</f>
        <v>0</v>
      </c>
      <c r="D263" s="1503">
        <f>F10A!D263</f>
        <v>0</v>
      </c>
      <c r="E263" s="1503">
        <f>F10A!E263</f>
        <v>0</v>
      </c>
      <c r="F263" s="1031">
        <f t="shared" si="3"/>
        <v>0</v>
      </c>
      <c r="G263" s="1280">
        <v>0</v>
      </c>
      <c r="H263" s="1280">
        <v>0</v>
      </c>
      <c r="I263" s="1280"/>
      <c r="J263" s="1280">
        <v>0</v>
      </c>
      <c r="K263" s="209">
        <v>0</v>
      </c>
      <c r="L263" s="1280"/>
      <c r="M263" s="1280">
        <v>0</v>
      </c>
    </row>
    <row r="264" spans="2:13">
      <c r="B264" s="1402" t="s">
        <v>1137</v>
      </c>
      <c r="C264" s="1503">
        <f>F10A!C264</f>
        <v>0</v>
      </c>
      <c r="D264" s="1503">
        <f>F10A!D264</f>
        <v>0</v>
      </c>
      <c r="E264" s="1503">
        <f>F10A!E264</f>
        <v>0</v>
      </c>
      <c r="F264" s="1031">
        <f t="shared" si="3"/>
        <v>0</v>
      </c>
      <c r="G264" s="1280">
        <v>0</v>
      </c>
      <c r="H264" s="1280">
        <v>0</v>
      </c>
      <c r="I264" s="1280"/>
      <c r="J264" s="1280">
        <v>0</v>
      </c>
      <c r="K264" s="209">
        <v>0</v>
      </c>
      <c r="L264" s="1280"/>
      <c r="M264" s="1280">
        <v>0</v>
      </c>
    </row>
    <row r="265" spans="2:13">
      <c r="B265" s="1409" t="s">
        <v>1138</v>
      </c>
      <c r="C265" s="1503">
        <f>F10A!C265</f>
        <v>40.804000000000002</v>
      </c>
      <c r="D265" s="1503">
        <f>F10A!D265</f>
        <v>159.74281200000001</v>
      </c>
      <c r="E265" s="1503">
        <f>F10A!E265</f>
        <v>38951.498400000004</v>
      </c>
      <c r="F265" s="1031">
        <f t="shared" si="3"/>
        <v>0.46815864783054939</v>
      </c>
      <c r="G265" s="1280">
        <v>8.5</v>
      </c>
      <c r="H265" s="1280">
        <v>350</v>
      </c>
      <c r="I265" s="1280"/>
      <c r="J265" s="1280">
        <v>135.7813902</v>
      </c>
      <c r="K265" s="209">
        <v>12.208980798000002</v>
      </c>
      <c r="L265" s="1280"/>
      <c r="M265" s="1280">
        <v>147.990370998</v>
      </c>
    </row>
    <row r="266" spans="2:13">
      <c r="B266" s="1409" t="s">
        <v>1139</v>
      </c>
      <c r="C266" s="1503">
        <f>F10A!C266</f>
        <v>17.341700000000003</v>
      </c>
      <c r="D266" s="1503">
        <f>F10A!D266</f>
        <v>330.81679380000003</v>
      </c>
      <c r="E266" s="1503">
        <f>F10A!E266</f>
        <v>92778.095000000001</v>
      </c>
      <c r="F266" s="1031">
        <f t="shared" ref="F266:F274" si="4">IFERROR(D266/(E266*24*365/10^6),0)</f>
        <v>0.40704084491152992</v>
      </c>
      <c r="G266" s="1280">
        <v>8.4</v>
      </c>
      <c r="H266" s="1280">
        <v>340</v>
      </c>
      <c r="I266" s="1280"/>
      <c r="J266" s="1280">
        <v>277.88610679200008</v>
      </c>
      <c r="K266" s="209">
        <v>28.249552034999997</v>
      </c>
      <c r="L266" s="1280"/>
      <c r="M266" s="1280">
        <v>306.1356588270001</v>
      </c>
    </row>
    <row r="267" spans="2:13">
      <c r="B267" s="1409" t="s">
        <v>1140</v>
      </c>
      <c r="C267" s="1503">
        <f>F10A!C267</f>
        <v>0</v>
      </c>
      <c r="D267" s="1503">
        <f>F10A!D267</f>
        <v>0</v>
      </c>
      <c r="E267" s="1503">
        <f>F10A!E267</f>
        <v>0</v>
      </c>
      <c r="F267" s="1031">
        <f t="shared" si="4"/>
        <v>0</v>
      </c>
      <c r="G267" s="1280">
        <v>8.25</v>
      </c>
      <c r="H267" s="1280">
        <v>330</v>
      </c>
      <c r="I267" s="1280"/>
      <c r="J267" s="1280">
        <v>0</v>
      </c>
      <c r="K267" s="209">
        <v>0</v>
      </c>
      <c r="L267" s="1280"/>
      <c r="M267" s="1280">
        <v>0</v>
      </c>
    </row>
    <row r="268" spans="2:13">
      <c r="B268" s="1402" t="s">
        <v>1425</v>
      </c>
      <c r="C268" s="1503">
        <f>F10A!C268</f>
        <v>58.145700000000005</v>
      </c>
      <c r="D268" s="1503">
        <f>F10A!D268</f>
        <v>490.55960580000004</v>
      </c>
      <c r="E268" s="1503">
        <f>F10A!E268</f>
        <v>131729.59340000001</v>
      </c>
      <c r="F268" s="1031">
        <f t="shared" si="4"/>
        <v>0.42511294200958194</v>
      </c>
      <c r="G268" s="1280">
        <v>0</v>
      </c>
      <c r="H268" s="1280">
        <v>0</v>
      </c>
      <c r="I268" s="1280"/>
      <c r="J268" s="1280">
        <v>413.66749699200011</v>
      </c>
      <c r="K268" s="209">
        <v>40.458532833</v>
      </c>
      <c r="L268" s="1280"/>
      <c r="M268" s="1280">
        <v>454.1260298250001</v>
      </c>
    </row>
    <row r="269" spans="2:13">
      <c r="B269" s="1409"/>
      <c r="C269" s="1503">
        <f>F10A!C269</f>
        <v>0</v>
      </c>
      <c r="D269" s="1503">
        <f>F10A!D269</f>
        <v>0</v>
      </c>
      <c r="E269" s="1503">
        <f>F10A!E269</f>
        <v>0</v>
      </c>
      <c r="F269" s="1031">
        <f t="shared" si="4"/>
        <v>0</v>
      </c>
      <c r="G269" s="1280">
        <v>0</v>
      </c>
      <c r="H269" s="1280">
        <v>0</v>
      </c>
      <c r="I269" s="1280"/>
      <c r="J269" s="1280">
        <v>0</v>
      </c>
      <c r="K269" s="209">
        <v>0</v>
      </c>
      <c r="L269" s="1280"/>
      <c r="M269" s="1280">
        <v>0</v>
      </c>
    </row>
    <row r="270" spans="2:13">
      <c r="B270" s="1402" t="s">
        <v>1434</v>
      </c>
      <c r="C270" s="1503">
        <f>F10A!C270</f>
        <v>1</v>
      </c>
      <c r="D270" s="1503">
        <f>F10A!D270</f>
        <v>2.8090000000000002</v>
      </c>
      <c r="E270" s="1503">
        <f>F10A!E270</f>
        <v>410</v>
      </c>
      <c r="F270" s="1031">
        <f t="shared" si="4"/>
        <v>0.78210268404053906</v>
      </c>
      <c r="G270" s="1280">
        <v>7.83</v>
      </c>
      <c r="H270" s="1280">
        <v>0</v>
      </c>
      <c r="I270" s="1280"/>
      <c r="J270" s="1280">
        <v>2.1994470000000002</v>
      </c>
      <c r="K270" s="209">
        <v>0</v>
      </c>
      <c r="L270" s="1280"/>
      <c r="M270" s="1280">
        <v>2.1994470000000002</v>
      </c>
    </row>
    <row r="271" spans="2:13">
      <c r="B271" s="1409"/>
      <c r="C271" s="1503">
        <f>F10A!C271</f>
        <v>0</v>
      </c>
      <c r="D271" s="1503">
        <f>F10A!D271</f>
        <v>0</v>
      </c>
      <c r="E271" s="1503">
        <f>F10A!E271</f>
        <v>0</v>
      </c>
      <c r="F271" s="1031">
        <f t="shared" si="4"/>
        <v>0</v>
      </c>
      <c r="G271" s="1280">
        <v>0</v>
      </c>
      <c r="H271" s="1280">
        <v>0</v>
      </c>
      <c r="I271" s="1280"/>
      <c r="J271" s="1280">
        <v>0</v>
      </c>
      <c r="K271" s="209">
        <v>0</v>
      </c>
      <c r="L271" s="1280"/>
      <c r="M271" s="1280">
        <v>0</v>
      </c>
    </row>
    <row r="272" spans="2:13">
      <c r="B272" s="1402" t="s">
        <v>1470</v>
      </c>
      <c r="C272" s="1503">
        <f>F10A!C272</f>
        <v>0</v>
      </c>
      <c r="D272" s="1503">
        <f>F10A!D272</f>
        <v>0</v>
      </c>
      <c r="E272" s="1503">
        <f>F10A!E272</f>
        <v>0</v>
      </c>
      <c r="F272" s="1031">
        <f t="shared" si="4"/>
        <v>0</v>
      </c>
      <c r="G272" s="1280">
        <v>4.9814121205105115</v>
      </c>
      <c r="H272" s="1280">
        <v>0</v>
      </c>
      <c r="I272" s="1280"/>
      <c r="J272" s="1280">
        <v>0</v>
      </c>
      <c r="K272" s="209">
        <v>0</v>
      </c>
      <c r="L272" s="1280"/>
      <c r="M272" s="1280">
        <v>0</v>
      </c>
    </row>
    <row r="273" spans="2:13">
      <c r="B273" s="1409"/>
      <c r="C273" s="1503">
        <f>F10A!C273</f>
        <v>0</v>
      </c>
      <c r="D273" s="1503">
        <f>F10A!D273</f>
        <v>0</v>
      </c>
      <c r="E273" s="1503">
        <f>F10A!E273</f>
        <v>0</v>
      </c>
      <c r="F273" s="1031">
        <f t="shared" si="4"/>
        <v>0</v>
      </c>
      <c r="G273" s="1280">
        <v>0</v>
      </c>
      <c r="H273" s="1280">
        <v>0</v>
      </c>
      <c r="I273" s="1280"/>
      <c r="J273" s="1280">
        <v>0</v>
      </c>
      <c r="K273" s="209">
        <v>0</v>
      </c>
      <c r="L273" s="1280"/>
      <c r="M273" s="1280">
        <v>0</v>
      </c>
    </row>
    <row r="274" spans="2:13">
      <c r="B274" s="1402" t="s">
        <v>126</v>
      </c>
      <c r="C274" s="1503">
        <f>F10A!C274</f>
        <v>9428037.6161499992</v>
      </c>
      <c r="D274" s="1503">
        <f>F10A!D274</f>
        <v>22660.994932223985</v>
      </c>
      <c r="E274" s="1503">
        <f>F10A!E274</f>
        <v>15046637.830860185</v>
      </c>
      <c r="F274" s="1031">
        <f t="shared" si="4"/>
        <v>0.17192356170757861</v>
      </c>
      <c r="G274" s="1280">
        <v>0</v>
      </c>
      <c r="H274" s="1280">
        <v>0</v>
      </c>
      <c r="I274" s="1280"/>
      <c r="J274" s="1280">
        <v>10727.808341231625</v>
      </c>
      <c r="K274" s="209">
        <v>2994.5287072223155</v>
      </c>
      <c r="L274" s="1280"/>
      <c r="M274" s="1280">
        <v>13722.337048453945</v>
      </c>
    </row>
  </sheetData>
  <mergeCells count="5">
    <mergeCell ref="A5:A8"/>
    <mergeCell ref="B5:B8"/>
    <mergeCell ref="C5:M5"/>
    <mergeCell ref="C7:M7"/>
    <mergeCell ref="C6:M6"/>
  </mergeCells>
  <printOptions horizontalCentered="1"/>
  <pageMargins left="0.19685039370078741" right="0.19685039370078741" top="0.19685039370078741" bottom="0.19685039370078741" header="0.19685039370078741" footer="0.19685039370078741"/>
  <pageSetup paperSize="9" scale="4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6"/>
  <sheetViews>
    <sheetView view="pageBreakPreview" zoomScaleNormal="85" zoomScaleSheetLayoutView="100" workbookViewId="0">
      <selection activeCell="C105" sqref="C105"/>
    </sheetView>
  </sheetViews>
  <sheetFormatPr defaultRowHeight="14.5"/>
  <cols>
    <col min="1" max="1" width="6.81640625" style="229" customWidth="1"/>
    <col min="2" max="2" width="92.453125" style="229" bestFit="1" customWidth="1"/>
    <col min="3" max="3" width="11.453125" style="229" customWidth="1"/>
    <col min="4" max="4" width="17.81640625" style="1025" customWidth="1"/>
    <col min="5" max="5" width="11.453125" style="229" customWidth="1"/>
    <col min="6" max="6" width="14.81640625" style="1025" customWidth="1"/>
    <col min="7" max="7" width="11" style="229" customWidth="1"/>
    <col min="8" max="8" width="11.1796875" style="229" customWidth="1"/>
    <col min="9" max="222" width="9.1796875" style="229"/>
    <col min="223" max="223" width="4.81640625" style="229" customWidth="1"/>
    <col min="224" max="224" width="33.7265625" style="229" customWidth="1"/>
    <col min="225" max="226" width="11.453125" style="229" customWidth="1"/>
    <col min="227" max="227" width="11" style="229" customWidth="1"/>
    <col min="228" max="236" width="11.1796875" style="229" customWidth="1"/>
    <col min="237" max="237" width="15.26953125" style="229" customWidth="1"/>
    <col min="238" max="238" width="11.453125" style="229" customWidth="1"/>
    <col min="239" max="239" width="10.26953125" style="229" customWidth="1"/>
    <col min="240" max="240" width="9.54296875" style="229" customWidth="1"/>
    <col min="241" max="241" width="15.1796875" style="229" customWidth="1"/>
    <col min="242" max="242" width="12.26953125" style="229" customWidth="1"/>
    <col min="243" max="243" width="11.26953125" style="229" customWidth="1"/>
    <col min="244" max="244" width="9.1796875" style="229"/>
    <col min="245" max="245" width="15.1796875" style="229" customWidth="1"/>
    <col min="246" max="246" width="12.26953125" style="229" customWidth="1"/>
    <col min="247" max="247" width="10.7265625" style="229" customWidth="1"/>
    <col min="248" max="252" width="9.1796875" style="229"/>
    <col min="253" max="253" width="15.1796875" style="229" customWidth="1"/>
    <col min="254" max="254" width="11.453125" style="229" customWidth="1"/>
    <col min="255" max="255" width="11.26953125" style="229" customWidth="1"/>
    <col min="256" max="478" width="9.1796875" style="229"/>
    <col min="479" max="479" width="4.81640625" style="229" customWidth="1"/>
    <col min="480" max="480" width="33.7265625" style="229" customWidth="1"/>
    <col min="481" max="482" width="11.453125" style="229" customWidth="1"/>
    <col min="483" max="483" width="11" style="229" customWidth="1"/>
    <col min="484" max="492" width="11.1796875" style="229" customWidth="1"/>
    <col min="493" max="493" width="15.26953125" style="229" customWidth="1"/>
    <col min="494" max="494" width="11.453125" style="229" customWidth="1"/>
    <col min="495" max="495" width="10.26953125" style="229" customWidth="1"/>
    <col min="496" max="496" width="9.54296875" style="229" customWidth="1"/>
    <col min="497" max="497" width="15.1796875" style="229" customWidth="1"/>
    <col min="498" max="498" width="12.26953125" style="229" customWidth="1"/>
    <col min="499" max="499" width="11.26953125" style="229" customWidth="1"/>
    <col min="500" max="500" width="9.1796875" style="229"/>
    <col min="501" max="501" width="15.1796875" style="229" customWidth="1"/>
    <col min="502" max="502" width="12.26953125" style="229" customWidth="1"/>
    <col min="503" max="503" width="10.7265625" style="229" customWidth="1"/>
    <col min="504" max="508" width="9.1796875" style="229"/>
    <col min="509" max="509" width="15.1796875" style="229" customWidth="1"/>
    <col min="510" max="510" width="11.453125" style="229" customWidth="1"/>
    <col min="511" max="511" width="11.26953125" style="229" customWidth="1"/>
    <col min="512" max="734" width="9.1796875" style="229"/>
    <col min="735" max="735" width="4.81640625" style="229" customWidth="1"/>
    <col min="736" max="736" width="33.7265625" style="229" customWidth="1"/>
    <col min="737" max="738" width="11.453125" style="229" customWidth="1"/>
    <col min="739" max="739" width="11" style="229" customWidth="1"/>
    <col min="740" max="748" width="11.1796875" style="229" customWidth="1"/>
    <col min="749" max="749" width="15.26953125" style="229" customWidth="1"/>
    <col min="750" max="750" width="11.453125" style="229" customWidth="1"/>
    <col min="751" max="751" width="10.26953125" style="229" customWidth="1"/>
    <col min="752" max="752" width="9.54296875" style="229" customWidth="1"/>
    <col min="753" max="753" width="15.1796875" style="229" customWidth="1"/>
    <col min="754" max="754" width="12.26953125" style="229" customWidth="1"/>
    <col min="755" max="755" width="11.26953125" style="229" customWidth="1"/>
    <col min="756" max="756" width="9.1796875" style="229"/>
    <col min="757" max="757" width="15.1796875" style="229" customWidth="1"/>
    <col min="758" max="758" width="12.26953125" style="229" customWidth="1"/>
    <col min="759" max="759" width="10.7265625" style="229" customWidth="1"/>
    <col min="760" max="764" width="9.1796875" style="229"/>
    <col min="765" max="765" width="15.1796875" style="229" customWidth="1"/>
    <col min="766" max="766" width="11.453125" style="229" customWidth="1"/>
    <col min="767" max="767" width="11.26953125" style="229" customWidth="1"/>
    <col min="768" max="990" width="9.1796875" style="229"/>
    <col min="991" max="991" width="4.81640625" style="229" customWidth="1"/>
    <col min="992" max="992" width="33.7265625" style="229" customWidth="1"/>
    <col min="993" max="994" width="11.453125" style="229" customWidth="1"/>
    <col min="995" max="995" width="11" style="229" customWidth="1"/>
    <col min="996" max="1004" width="11.1796875" style="229" customWidth="1"/>
    <col min="1005" max="1005" width="15.26953125" style="229" customWidth="1"/>
    <col min="1006" max="1006" width="11.453125" style="229" customWidth="1"/>
    <col min="1007" max="1007" width="10.26953125" style="229" customWidth="1"/>
    <col min="1008" max="1008" width="9.54296875" style="229" customWidth="1"/>
    <col min="1009" max="1009" width="15.1796875" style="229" customWidth="1"/>
    <col min="1010" max="1010" width="12.26953125" style="229" customWidth="1"/>
    <col min="1011" max="1011" width="11.26953125" style="229" customWidth="1"/>
    <col min="1012" max="1012" width="9.1796875" style="229"/>
    <col min="1013" max="1013" width="15.1796875" style="229" customWidth="1"/>
    <col min="1014" max="1014" width="12.26953125" style="229" customWidth="1"/>
    <col min="1015" max="1015" width="10.7265625" style="229" customWidth="1"/>
    <col min="1016" max="1020" width="9.1796875" style="229"/>
    <col min="1021" max="1021" width="15.1796875" style="229" customWidth="1"/>
    <col min="1022" max="1022" width="11.453125" style="229" customWidth="1"/>
    <col min="1023" max="1023" width="11.26953125" style="229" customWidth="1"/>
    <col min="1024" max="1246" width="9.1796875" style="229"/>
    <col min="1247" max="1247" width="4.81640625" style="229" customWidth="1"/>
    <col min="1248" max="1248" width="33.7265625" style="229" customWidth="1"/>
    <col min="1249" max="1250" width="11.453125" style="229" customWidth="1"/>
    <col min="1251" max="1251" width="11" style="229" customWidth="1"/>
    <col min="1252" max="1260" width="11.1796875" style="229" customWidth="1"/>
    <col min="1261" max="1261" width="15.26953125" style="229" customWidth="1"/>
    <col min="1262" max="1262" width="11.453125" style="229" customWidth="1"/>
    <col min="1263" max="1263" width="10.26953125" style="229" customWidth="1"/>
    <col min="1264" max="1264" width="9.54296875" style="229" customWidth="1"/>
    <col min="1265" max="1265" width="15.1796875" style="229" customWidth="1"/>
    <col min="1266" max="1266" width="12.26953125" style="229" customWidth="1"/>
    <col min="1267" max="1267" width="11.26953125" style="229" customWidth="1"/>
    <col min="1268" max="1268" width="9.1796875" style="229"/>
    <col min="1269" max="1269" width="15.1796875" style="229" customWidth="1"/>
    <col min="1270" max="1270" width="12.26953125" style="229" customWidth="1"/>
    <col min="1271" max="1271" width="10.7265625" style="229" customWidth="1"/>
    <col min="1272" max="1276" width="9.1796875" style="229"/>
    <col min="1277" max="1277" width="15.1796875" style="229" customWidth="1"/>
    <col min="1278" max="1278" width="11.453125" style="229" customWidth="1"/>
    <col min="1279" max="1279" width="11.26953125" style="229" customWidth="1"/>
    <col min="1280" max="1502" width="9.1796875" style="229"/>
    <col min="1503" max="1503" width="4.81640625" style="229" customWidth="1"/>
    <col min="1504" max="1504" width="33.7265625" style="229" customWidth="1"/>
    <col min="1505" max="1506" width="11.453125" style="229" customWidth="1"/>
    <col min="1507" max="1507" width="11" style="229" customWidth="1"/>
    <col min="1508" max="1516" width="11.1796875" style="229" customWidth="1"/>
    <col min="1517" max="1517" width="15.26953125" style="229" customWidth="1"/>
    <col min="1518" max="1518" width="11.453125" style="229" customWidth="1"/>
    <col min="1519" max="1519" width="10.26953125" style="229" customWidth="1"/>
    <col min="1520" max="1520" width="9.54296875" style="229" customWidth="1"/>
    <col min="1521" max="1521" width="15.1796875" style="229" customWidth="1"/>
    <col min="1522" max="1522" width="12.26953125" style="229" customWidth="1"/>
    <col min="1523" max="1523" width="11.26953125" style="229" customWidth="1"/>
    <col min="1524" max="1524" width="9.1796875" style="229"/>
    <col min="1525" max="1525" width="15.1796875" style="229" customWidth="1"/>
    <col min="1526" max="1526" width="12.26953125" style="229" customWidth="1"/>
    <col min="1527" max="1527" width="10.7265625" style="229" customWidth="1"/>
    <col min="1528" max="1532" width="9.1796875" style="229"/>
    <col min="1533" max="1533" width="15.1796875" style="229" customWidth="1"/>
    <col min="1534" max="1534" width="11.453125" style="229" customWidth="1"/>
    <col min="1535" max="1535" width="11.26953125" style="229" customWidth="1"/>
    <col min="1536" max="1758" width="9.1796875" style="229"/>
    <col min="1759" max="1759" width="4.81640625" style="229" customWidth="1"/>
    <col min="1760" max="1760" width="33.7265625" style="229" customWidth="1"/>
    <col min="1761" max="1762" width="11.453125" style="229" customWidth="1"/>
    <col min="1763" max="1763" width="11" style="229" customWidth="1"/>
    <col min="1764" max="1772" width="11.1796875" style="229" customWidth="1"/>
    <col min="1773" max="1773" width="15.26953125" style="229" customWidth="1"/>
    <col min="1774" max="1774" width="11.453125" style="229" customWidth="1"/>
    <col min="1775" max="1775" width="10.26953125" style="229" customWidth="1"/>
    <col min="1776" max="1776" width="9.54296875" style="229" customWidth="1"/>
    <col min="1777" max="1777" width="15.1796875" style="229" customWidth="1"/>
    <col min="1778" max="1778" width="12.26953125" style="229" customWidth="1"/>
    <col min="1779" max="1779" width="11.26953125" style="229" customWidth="1"/>
    <col min="1780" max="1780" width="9.1796875" style="229"/>
    <col min="1781" max="1781" width="15.1796875" style="229" customWidth="1"/>
    <col min="1782" max="1782" width="12.26953125" style="229" customWidth="1"/>
    <col min="1783" max="1783" width="10.7265625" style="229" customWidth="1"/>
    <col min="1784" max="1788" width="9.1796875" style="229"/>
    <col min="1789" max="1789" width="15.1796875" style="229" customWidth="1"/>
    <col min="1790" max="1790" width="11.453125" style="229" customWidth="1"/>
    <col min="1791" max="1791" width="11.26953125" style="229" customWidth="1"/>
    <col min="1792" max="2014" width="9.1796875" style="229"/>
    <col min="2015" max="2015" width="4.81640625" style="229" customWidth="1"/>
    <col min="2016" max="2016" width="33.7265625" style="229" customWidth="1"/>
    <col min="2017" max="2018" width="11.453125" style="229" customWidth="1"/>
    <col min="2019" max="2019" width="11" style="229" customWidth="1"/>
    <col min="2020" max="2028" width="11.1796875" style="229" customWidth="1"/>
    <col min="2029" max="2029" width="15.26953125" style="229" customWidth="1"/>
    <col min="2030" max="2030" width="11.453125" style="229" customWidth="1"/>
    <col min="2031" max="2031" width="10.26953125" style="229" customWidth="1"/>
    <col min="2032" max="2032" width="9.54296875" style="229" customWidth="1"/>
    <col min="2033" max="2033" width="15.1796875" style="229" customWidth="1"/>
    <col min="2034" max="2034" width="12.26953125" style="229" customWidth="1"/>
    <col min="2035" max="2035" width="11.26953125" style="229" customWidth="1"/>
    <col min="2036" max="2036" width="9.1796875" style="229"/>
    <col min="2037" max="2037" width="15.1796875" style="229" customWidth="1"/>
    <col min="2038" max="2038" width="12.26953125" style="229" customWidth="1"/>
    <col min="2039" max="2039" width="10.7265625" style="229" customWidth="1"/>
    <col min="2040" max="2044" width="9.1796875" style="229"/>
    <col min="2045" max="2045" width="15.1796875" style="229" customWidth="1"/>
    <col min="2046" max="2046" width="11.453125" style="229" customWidth="1"/>
    <col min="2047" max="2047" width="11.26953125" style="229" customWidth="1"/>
    <col min="2048" max="2270" width="9.1796875" style="229"/>
    <col min="2271" max="2271" width="4.81640625" style="229" customWidth="1"/>
    <col min="2272" max="2272" width="33.7265625" style="229" customWidth="1"/>
    <col min="2273" max="2274" width="11.453125" style="229" customWidth="1"/>
    <col min="2275" max="2275" width="11" style="229" customWidth="1"/>
    <col min="2276" max="2284" width="11.1796875" style="229" customWidth="1"/>
    <col min="2285" max="2285" width="15.26953125" style="229" customWidth="1"/>
    <col min="2286" max="2286" width="11.453125" style="229" customWidth="1"/>
    <col min="2287" max="2287" width="10.26953125" style="229" customWidth="1"/>
    <col min="2288" max="2288" width="9.54296875" style="229" customWidth="1"/>
    <col min="2289" max="2289" width="15.1796875" style="229" customWidth="1"/>
    <col min="2290" max="2290" width="12.26953125" style="229" customWidth="1"/>
    <col min="2291" max="2291" width="11.26953125" style="229" customWidth="1"/>
    <col min="2292" max="2292" width="9.1796875" style="229"/>
    <col min="2293" max="2293" width="15.1796875" style="229" customWidth="1"/>
    <col min="2294" max="2294" width="12.26953125" style="229" customWidth="1"/>
    <col min="2295" max="2295" width="10.7265625" style="229" customWidth="1"/>
    <col min="2296" max="2300" width="9.1796875" style="229"/>
    <col min="2301" max="2301" width="15.1796875" style="229" customWidth="1"/>
    <col min="2302" max="2302" width="11.453125" style="229" customWidth="1"/>
    <col min="2303" max="2303" width="11.26953125" style="229" customWidth="1"/>
    <col min="2304" max="2526" width="9.1796875" style="229"/>
    <col min="2527" max="2527" width="4.81640625" style="229" customWidth="1"/>
    <col min="2528" max="2528" width="33.7265625" style="229" customWidth="1"/>
    <col min="2529" max="2530" width="11.453125" style="229" customWidth="1"/>
    <col min="2531" max="2531" width="11" style="229" customWidth="1"/>
    <col min="2532" max="2540" width="11.1796875" style="229" customWidth="1"/>
    <col min="2541" max="2541" width="15.26953125" style="229" customWidth="1"/>
    <col min="2542" max="2542" width="11.453125" style="229" customWidth="1"/>
    <col min="2543" max="2543" width="10.26953125" style="229" customWidth="1"/>
    <col min="2544" max="2544" width="9.54296875" style="229" customWidth="1"/>
    <col min="2545" max="2545" width="15.1796875" style="229" customWidth="1"/>
    <col min="2546" max="2546" width="12.26953125" style="229" customWidth="1"/>
    <col min="2547" max="2547" width="11.26953125" style="229" customWidth="1"/>
    <col min="2548" max="2548" width="9.1796875" style="229"/>
    <col min="2549" max="2549" width="15.1796875" style="229" customWidth="1"/>
    <col min="2550" max="2550" width="12.26953125" style="229" customWidth="1"/>
    <col min="2551" max="2551" width="10.7265625" style="229" customWidth="1"/>
    <col min="2552" max="2556" width="9.1796875" style="229"/>
    <col min="2557" max="2557" width="15.1796875" style="229" customWidth="1"/>
    <col min="2558" max="2558" width="11.453125" style="229" customWidth="1"/>
    <col min="2559" max="2559" width="11.26953125" style="229" customWidth="1"/>
    <col min="2560" max="2782" width="9.1796875" style="229"/>
    <col min="2783" max="2783" width="4.81640625" style="229" customWidth="1"/>
    <col min="2784" max="2784" width="33.7265625" style="229" customWidth="1"/>
    <col min="2785" max="2786" width="11.453125" style="229" customWidth="1"/>
    <col min="2787" max="2787" width="11" style="229" customWidth="1"/>
    <col min="2788" max="2796" width="11.1796875" style="229" customWidth="1"/>
    <col min="2797" max="2797" width="15.26953125" style="229" customWidth="1"/>
    <col min="2798" max="2798" width="11.453125" style="229" customWidth="1"/>
    <col min="2799" max="2799" width="10.26953125" style="229" customWidth="1"/>
    <col min="2800" max="2800" width="9.54296875" style="229" customWidth="1"/>
    <col min="2801" max="2801" width="15.1796875" style="229" customWidth="1"/>
    <col min="2802" max="2802" width="12.26953125" style="229" customWidth="1"/>
    <col min="2803" max="2803" width="11.26953125" style="229" customWidth="1"/>
    <col min="2804" max="2804" width="9.1796875" style="229"/>
    <col min="2805" max="2805" width="15.1796875" style="229" customWidth="1"/>
    <col min="2806" max="2806" width="12.26953125" style="229" customWidth="1"/>
    <col min="2807" max="2807" width="10.7265625" style="229" customWidth="1"/>
    <col min="2808" max="2812" width="9.1796875" style="229"/>
    <col min="2813" max="2813" width="15.1796875" style="229" customWidth="1"/>
    <col min="2814" max="2814" width="11.453125" style="229" customWidth="1"/>
    <col min="2815" max="2815" width="11.26953125" style="229" customWidth="1"/>
    <col min="2816" max="3038" width="9.1796875" style="229"/>
    <col min="3039" max="3039" width="4.81640625" style="229" customWidth="1"/>
    <col min="3040" max="3040" width="33.7265625" style="229" customWidth="1"/>
    <col min="3041" max="3042" width="11.453125" style="229" customWidth="1"/>
    <col min="3043" max="3043" width="11" style="229" customWidth="1"/>
    <col min="3044" max="3052" width="11.1796875" style="229" customWidth="1"/>
    <col min="3053" max="3053" width="15.26953125" style="229" customWidth="1"/>
    <col min="3054" max="3054" width="11.453125" style="229" customWidth="1"/>
    <col min="3055" max="3055" width="10.26953125" style="229" customWidth="1"/>
    <col min="3056" max="3056" width="9.54296875" style="229" customWidth="1"/>
    <col min="3057" max="3057" width="15.1796875" style="229" customWidth="1"/>
    <col min="3058" max="3058" width="12.26953125" style="229" customWidth="1"/>
    <col min="3059" max="3059" width="11.26953125" style="229" customWidth="1"/>
    <col min="3060" max="3060" width="9.1796875" style="229"/>
    <col min="3061" max="3061" width="15.1796875" style="229" customWidth="1"/>
    <col min="3062" max="3062" width="12.26953125" style="229" customWidth="1"/>
    <col min="3063" max="3063" width="10.7265625" style="229" customWidth="1"/>
    <col min="3064" max="3068" width="9.1796875" style="229"/>
    <col min="3069" max="3069" width="15.1796875" style="229" customWidth="1"/>
    <col min="3070" max="3070" width="11.453125" style="229" customWidth="1"/>
    <col min="3071" max="3071" width="11.26953125" style="229" customWidth="1"/>
    <col min="3072" max="3294" width="9.1796875" style="229"/>
    <col min="3295" max="3295" width="4.81640625" style="229" customWidth="1"/>
    <col min="3296" max="3296" width="33.7265625" style="229" customWidth="1"/>
    <col min="3297" max="3298" width="11.453125" style="229" customWidth="1"/>
    <col min="3299" max="3299" width="11" style="229" customWidth="1"/>
    <col min="3300" max="3308" width="11.1796875" style="229" customWidth="1"/>
    <col min="3309" max="3309" width="15.26953125" style="229" customWidth="1"/>
    <col min="3310" max="3310" width="11.453125" style="229" customWidth="1"/>
    <col min="3311" max="3311" width="10.26953125" style="229" customWidth="1"/>
    <col min="3312" max="3312" width="9.54296875" style="229" customWidth="1"/>
    <col min="3313" max="3313" width="15.1796875" style="229" customWidth="1"/>
    <col min="3314" max="3314" width="12.26953125" style="229" customWidth="1"/>
    <col min="3315" max="3315" width="11.26953125" style="229" customWidth="1"/>
    <col min="3316" max="3316" width="9.1796875" style="229"/>
    <col min="3317" max="3317" width="15.1796875" style="229" customWidth="1"/>
    <col min="3318" max="3318" width="12.26953125" style="229" customWidth="1"/>
    <col min="3319" max="3319" width="10.7265625" style="229" customWidth="1"/>
    <col min="3320" max="3324" width="9.1796875" style="229"/>
    <col min="3325" max="3325" width="15.1796875" style="229" customWidth="1"/>
    <col min="3326" max="3326" width="11.453125" style="229" customWidth="1"/>
    <col min="3327" max="3327" width="11.26953125" style="229" customWidth="1"/>
    <col min="3328" max="3550" width="9.1796875" style="229"/>
    <col min="3551" max="3551" width="4.81640625" style="229" customWidth="1"/>
    <col min="3552" max="3552" width="33.7265625" style="229" customWidth="1"/>
    <col min="3553" max="3554" width="11.453125" style="229" customWidth="1"/>
    <col min="3555" max="3555" width="11" style="229" customWidth="1"/>
    <col min="3556" max="3564" width="11.1796875" style="229" customWidth="1"/>
    <col min="3565" max="3565" width="15.26953125" style="229" customWidth="1"/>
    <col min="3566" max="3566" width="11.453125" style="229" customWidth="1"/>
    <col min="3567" max="3567" width="10.26953125" style="229" customWidth="1"/>
    <col min="3568" max="3568" width="9.54296875" style="229" customWidth="1"/>
    <col min="3569" max="3569" width="15.1796875" style="229" customWidth="1"/>
    <col min="3570" max="3570" width="12.26953125" style="229" customWidth="1"/>
    <col min="3571" max="3571" width="11.26953125" style="229" customWidth="1"/>
    <col min="3572" max="3572" width="9.1796875" style="229"/>
    <col min="3573" max="3573" width="15.1796875" style="229" customWidth="1"/>
    <col min="3574" max="3574" width="12.26953125" style="229" customWidth="1"/>
    <col min="3575" max="3575" width="10.7265625" style="229" customWidth="1"/>
    <col min="3576" max="3580" width="9.1796875" style="229"/>
    <col min="3581" max="3581" width="15.1796875" style="229" customWidth="1"/>
    <col min="3582" max="3582" width="11.453125" style="229" customWidth="1"/>
    <col min="3583" max="3583" width="11.26953125" style="229" customWidth="1"/>
    <col min="3584" max="3806" width="9.1796875" style="229"/>
    <col min="3807" max="3807" width="4.81640625" style="229" customWidth="1"/>
    <col min="3808" max="3808" width="33.7265625" style="229" customWidth="1"/>
    <col min="3809" max="3810" width="11.453125" style="229" customWidth="1"/>
    <col min="3811" max="3811" width="11" style="229" customWidth="1"/>
    <col min="3812" max="3820" width="11.1796875" style="229" customWidth="1"/>
    <col min="3821" max="3821" width="15.26953125" style="229" customWidth="1"/>
    <col min="3822" max="3822" width="11.453125" style="229" customWidth="1"/>
    <col min="3823" max="3823" width="10.26953125" style="229" customWidth="1"/>
    <col min="3824" max="3824" width="9.54296875" style="229" customWidth="1"/>
    <col min="3825" max="3825" width="15.1796875" style="229" customWidth="1"/>
    <col min="3826" max="3826" width="12.26953125" style="229" customWidth="1"/>
    <col min="3827" max="3827" width="11.26953125" style="229" customWidth="1"/>
    <col min="3828" max="3828" width="9.1796875" style="229"/>
    <col min="3829" max="3829" width="15.1796875" style="229" customWidth="1"/>
    <col min="3830" max="3830" width="12.26953125" style="229" customWidth="1"/>
    <col min="3831" max="3831" width="10.7265625" style="229" customWidth="1"/>
    <col min="3832" max="3836" width="9.1796875" style="229"/>
    <col min="3837" max="3837" width="15.1796875" style="229" customWidth="1"/>
    <col min="3838" max="3838" width="11.453125" style="229" customWidth="1"/>
    <col min="3839" max="3839" width="11.26953125" style="229" customWidth="1"/>
    <col min="3840" max="4062" width="9.1796875" style="229"/>
    <col min="4063" max="4063" width="4.81640625" style="229" customWidth="1"/>
    <col min="4064" max="4064" width="33.7265625" style="229" customWidth="1"/>
    <col min="4065" max="4066" width="11.453125" style="229" customWidth="1"/>
    <col min="4067" max="4067" width="11" style="229" customWidth="1"/>
    <col min="4068" max="4076" width="11.1796875" style="229" customWidth="1"/>
    <col min="4077" max="4077" width="15.26953125" style="229" customWidth="1"/>
    <col min="4078" max="4078" width="11.453125" style="229" customWidth="1"/>
    <col min="4079" max="4079" width="10.26953125" style="229" customWidth="1"/>
    <col min="4080" max="4080" width="9.54296875" style="229" customWidth="1"/>
    <col min="4081" max="4081" width="15.1796875" style="229" customWidth="1"/>
    <col min="4082" max="4082" width="12.26953125" style="229" customWidth="1"/>
    <col min="4083" max="4083" width="11.26953125" style="229" customWidth="1"/>
    <col min="4084" max="4084" width="9.1796875" style="229"/>
    <col min="4085" max="4085" width="15.1796875" style="229" customWidth="1"/>
    <col min="4086" max="4086" width="12.26953125" style="229" customWidth="1"/>
    <col min="4087" max="4087" width="10.7265625" style="229" customWidth="1"/>
    <col min="4088" max="4092" width="9.1796875" style="229"/>
    <col min="4093" max="4093" width="15.1796875" style="229" customWidth="1"/>
    <col min="4094" max="4094" width="11.453125" style="229" customWidth="1"/>
    <col min="4095" max="4095" width="11.26953125" style="229" customWidth="1"/>
    <col min="4096" max="4318" width="9.1796875" style="229"/>
    <col min="4319" max="4319" width="4.81640625" style="229" customWidth="1"/>
    <col min="4320" max="4320" width="33.7265625" style="229" customWidth="1"/>
    <col min="4321" max="4322" width="11.453125" style="229" customWidth="1"/>
    <col min="4323" max="4323" width="11" style="229" customWidth="1"/>
    <col min="4324" max="4332" width="11.1796875" style="229" customWidth="1"/>
    <col min="4333" max="4333" width="15.26953125" style="229" customWidth="1"/>
    <col min="4334" max="4334" width="11.453125" style="229" customWidth="1"/>
    <col min="4335" max="4335" width="10.26953125" style="229" customWidth="1"/>
    <col min="4336" max="4336" width="9.54296875" style="229" customWidth="1"/>
    <col min="4337" max="4337" width="15.1796875" style="229" customWidth="1"/>
    <col min="4338" max="4338" width="12.26953125" style="229" customWidth="1"/>
    <col min="4339" max="4339" width="11.26953125" style="229" customWidth="1"/>
    <col min="4340" max="4340" width="9.1796875" style="229"/>
    <col min="4341" max="4341" width="15.1796875" style="229" customWidth="1"/>
    <col min="4342" max="4342" width="12.26953125" style="229" customWidth="1"/>
    <col min="4343" max="4343" width="10.7265625" style="229" customWidth="1"/>
    <col min="4344" max="4348" width="9.1796875" style="229"/>
    <col min="4349" max="4349" width="15.1796875" style="229" customWidth="1"/>
    <col min="4350" max="4350" width="11.453125" style="229" customWidth="1"/>
    <col min="4351" max="4351" width="11.26953125" style="229" customWidth="1"/>
    <col min="4352" max="4574" width="9.1796875" style="229"/>
    <col min="4575" max="4575" width="4.81640625" style="229" customWidth="1"/>
    <col min="4576" max="4576" width="33.7265625" style="229" customWidth="1"/>
    <col min="4577" max="4578" width="11.453125" style="229" customWidth="1"/>
    <col min="4579" max="4579" width="11" style="229" customWidth="1"/>
    <col min="4580" max="4588" width="11.1796875" style="229" customWidth="1"/>
    <col min="4589" max="4589" width="15.26953125" style="229" customWidth="1"/>
    <col min="4590" max="4590" width="11.453125" style="229" customWidth="1"/>
    <col min="4591" max="4591" width="10.26953125" style="229" customWidth="1"/>
    <col min="4592" max="4592" width="9.54296875" style="229" customWidth="1"/>
    <col min="4593" max="4593" width="15.1796875" style="229" customWidth="1"/>
    <col min="4594" max="4594" width="12.26953125" style="229" customWidth="1"/>
    <col min="4595" max="4595" width="11.26953125" style="229" customWidth="1"/>
    <col min="4596" max="4596" width="9.1796875" style="229"/>
    <col min="4597" max="4597" width="15.1796875" style="229" customWidth="1"/>
    <col min="4598" max="4598" width="12.26953125" style="229" customWidth="1"/>
    <col min="4599" max="4599" width="10.7265625" style="229" customWidth="1"/>
    <col min="4600" max="4604" width="9.1796875" style="229"/>
    <col min="4605" max="4605" width="15.1796875" style="229" customWidth="1"/>
    <col min="4606" max="4606" width="11.453125" style="229" customWidth="1"/>
    <col min="4607" max="4607" width="11.26953125" style="229" customWidth="1"/>
    <col min="4608" max="4830" width="9.1796875" style="229"/>
    <col min="4831" max="4831" width="4.81640625" style="229" customWidth="1"/>
    <col min="4832" max="4832" width="33.7265625" style="229" customWidth="1"/>
    <col min="4833" max="4834" width="11.453125" style="229" customWidth="1"/>
    <col min="4835" max="4835" width="11" style="229" customWidth="1"/>
    <col min="4836" max="4844" width="11.1796875" style="229" customWidth="1"/>
    <col min="4845" max="4845" width="15.26953125" style="229" customWidth="1"/>
    <col min="4846" max="4846" width="11.453125" style="229" customWidth="1"/>
    <col min="4847" max="4847" width="10.26953125" style="229" customWidth="1"/>
    <col min="4848" max="4848" width="9.54296875" style="229" customWidth="1"/>
    <col min="4849" max="4849" width="15.1796875" style="229" customWidth="1"/>
    <col min="4850" max="4850" width="12.26953125" style="229" customWidth="1"/>
    <col min="4851" max="4851" width="11.26953125" style="229" customWidth="1"/>
    <col min="4852" max="4852" width="9.1796875" style="229"/>
    <col min="4853" max="4853" width="15.1796875" style="229" customWidth="1"/>
    <col min="4854" max="4854" width="12.26953125" style="229" customWidth="1"/>
    <col min="4855" max="4855" width="10.7265625" style="229" customWidth="1"/>
    <col min="4856" max="4860" width="9.1796875" style="229"/>
    <col min="4861" max="4861" width="15.1796875" style="229" customWidth="1"/>
    <col min="4862" max="4862" width="11.453125" style="229" customWidth="1"/>
    <col min="4863" max="4863" width="11.26953125" style="229" customWidth="1"/>
    <col min="4864" max="5086" width="9.1796875" style="229"/>
    <col min="5087" max="5087" width="4.81640625" style="229" customWidth="1"/>
    <col min="5088" max="5088" width="33.7265625" style="229" customWidth="1"/>
    <col min="5089" max="5090" width="11.453125" style="229" customWidth="1"/>
    <col min="5091" max="5091" width="11" style="229" customWidth="1"/>
    <col min="5092" max="5100" width="11.1796875" style="229" customWidth="1"/>
    <col min="5101" max="5101" width="15.26953125" style="229" customWidth="1"/>
    <col min="5102" max="5102" width="11.453125" style="229" customWidth="1"/>
    <col min="5103" max="5103" width="10.26953125" style="229" customWidth="1"/>
    <col min="5104" max="5104" width="9.54296875" style="229" customWidth="1"/>
    <col min="5105" max="5105" width="15.1796875" style="229" customWidth="1"/>
    <col min="5106" max="5106" width="12.26953125" style="229" customWidth="1"/>
    <col min="5107" max="5107" width="11.26953125" style="229" customWidth="1"/>
    <col min="5108" max="5108" width="9.1796875" style="229"/>
    <col min="5109" max="5109" width="15.1796875" style="229" customWidth="1"/>
    <col min="5110" max="5110" width="12.26953125" style="229" customWidth="1"/>
    <col min="5111" max="5111" width="10.7265625" style="229" customWidth="1"/>
    <col min="5112" max="5116" width="9.1796875" style="229"/>
    <col min="5117" max="5117" width="15.1796875" style="229" customWidth="1"/>
    <col min="5118" max="5118" width="11.453125" style="229" customWidth="1"/>
    <col min="5119" max="5119" width="11.26953125" style="229" customWidth="1"/>
    <col min="5120" max="5342" width="9.1796875" style="229"/>
    <col min="5343" max="5343" width="4.81640625" style="229" customWidth="1"/>
    <col min="5344" max="5344" width="33.7265625" style="229" customWidth="1"/>
    <col min="5345" max="5346" width="11.453125" style="229" customWidth="1"/>
    <col min="5347" max="5347" width="11" style="229" customWidth="1"/>
    <col min="5348" max="5356" width="11.1796875" style="229" customWidth="1"/>
    <col min="5357" max="5357" width="15.26953125" style="229" customWidth="1"/>
    <col min="5358" max="5358" width="11.453125" style="229" customWidth="1"/>
    <col min="5359" max="5359" width="10.26953125" style="229" customWidth="1"/>
    <col min="5360" max="5360" width="9.54296875" style="229" customWidth="1"/>
    <col min="5361" max="5361" width="15.1796875" style="229" customWidth="1"/>
    <col min="5362" max="5362" width="12.26953125" style="229" customWidth="1"/>
    <col min="5363" max="5363" width="11.26953125" style="229" customWidth="1"/>
    <col min="5364" max="5364" width="9.1796875" style="229"/>
    <col min="5365" max="5365" width="15.1796875" style="229" customWidth="1"/>
    <col min="5366" max="5366" width="12.26953125" style="229" customWidth="1"/>
    <col min="5367" max="5367" width="10.7265625" style="229" customWidth="1"/>
    <col min="5368" max="5372" width="9.1796875" style="229"/>
    <col min="5373" max="5373" width="15.1796875" style="229" customWidth="1"/>
    <col min="5374" max="5374" width="11.453125" style="229" customWidth="1"/>
    <col min="5375" max="5375" width="11.26953125" style="229" customWidth="1"/>
    <col min="5376" max="5598" width="9.1796875" style="229"/>
    <col min="5599" max="5599" width="4.81640625" style="229" customWidth="1"/>
    <col min="5600" max="5600" width="33.7265625" style="229" customWidth="1"/>
    <col min="5601" max="5602" width="11.453125" style="229" customWidth="1"/>
    <col min="5603" max="5603" width="11" style="229" customWidth="1"/>
    <col min="5604" max="5612" width="11.1796875" style="229" customWidth="1"/>
    <col min="5613" max="5613" width="15.26953125" style="229" customWidth="1"/>
    <col min="5614" max="5614" width="11.453125" style="229" customWidth="1"/>
    <col min="5615" max="5615" width="10.26953125" style="229" customWidth="1"/>
    <col min="5616" max="5616" width="9.54296875" style="229" customWidth="1"/>
    <col min="5617" max="5617" width="15.1796875" style="229" customWidth="1"/>
    <col min="5618" max="5618" width="12.26953125" style="229" customWidth="1"/>
    <col min="5619" max="5619" width="11.26953125" style="229" customWidth="1"/>
    <col min="5620" max="5620" width="9.1796875" style="229"/>
    <col min="5621" max="5621" width="15.1796875" style="229" customWidth="1"/>
    <col min="5622" max="5622" width="12.26953125" style="229" customWidth="1"/>
    <col min="5623" max="5623" width="10.7265625" style="229" customWidth="1"/>
    <col min="5624" max="5628" width="9.1796875" style="229"/>
    <col min="5629" max="5629" width="15.1796875" style="229" customWidth="1"/>
    <col min="5630" max="5630" width="11.453125" style="229" customWidth="1"/>
    <col min="5631" max="5631" width="11.26953125" style="229" customWidth="1"/>
    <col min="5632" max="5854" width="9.1796875" style="229"/>
    <col min="5855" max="5855" width="4.81640625" style="229" customWidth="1"/>
    <col min="5856" max="5856" width="33.7265625" style="229" customWidth="1"/>
    <col min="5857" max="5858" width="11.453125" style="229" customWidth="1"/>
    <col min="5859" max="5859" width="11" style="229" customWidth="1"/>
    <col min="5860" max="5868" width="11.1796875" style="229" customWidth="1"/>
    <col min="5869" max="5869" width="15.26953125" style="229" customWidth="1"/>
    <col min="5870" max="5870" width="11.453125" style="229" customWidth="1"/>
    <col min="5871" max="5871" width="10.26953125" style="229" customWidth="1"/>
    <col min="5872" max="5872" width="9.54296875" style="229" customWidth="1"/>
    <col min="5873" max="5873" width="15.1796875" style="229" customWidth="1"/>
    <col min="5874" max="5874" width="12.26953125" style="229" customWidth="1"/>
    <col min="5875" max="5875" width="11.26953125" style="229" customWidth="1"/>
    <col min="5876" max="5876" width="9.1796875" style="229"/>
    <col min="5877" max="5877" width="15.1796875" style="229" customWidth="1"/>
    <col min="5878" max="5878" width="12.26953125" style="229" customWidth="1"/>
    <col min="5879" max="5879" width="10.7265625" style="229" customWidth="1"/>
    <col min="5880" max="5884" width="9.1796875" style="229"/>
    <col min="5885" max="5885" width="15.1796875" style="229" customWidth="1"/>
    <col min="5886" max="5886" width="11.453125" style="229" customWidth="1"/>
    <col min="5887" max="5887" width="11.26953125" style="229" customWidth="1"/>
    <col min="5888" max="6110" width="9.1796875" style="229"/>
    <col min="6111" max="6111" width="4.81640625" style="229" customWidth="1"/>
    <col min="6112" max="6112" width="33.7265625" style="229" customWidth="1"/>
    <col min="6113" max="6114" width="11.453125" style="229" customWidth="1"/>
    <col min="6115" max="6115" width="11" style="229" customWidth="1"/>
    <col min="6116" max="6124" width="11.1796875" style="229" customWidth="1"/>
    <col min="6125" max="6125" width="15.26953125" style="229" customWidth="1"/>
    <col min="6126" max="6126" width="11.453125" style="229" customWidth="1"/>
    <col min="6127" max="6127" width="10.26953125" style="229" customWidth="1"/>
    <col min="6128" max="6128" width="9.54296875" style="229" customWidth="1"/>
    <col min="6129" max="6129" width="15.1796875" style="229" customWidth="1"/>
    <col min="6130" max="6130" width="12.26953125" style="229" customWidth="1"/>
    <col min="6131" max="6131" width="11.26953125" style="229" customWidth="1"/>
    <col min="6132" max="6132" width="9.1796875" style="229"/>
    <col min="6133" max="6133" width="15.1796875" style="229" customWidth="1"/>
    <col min="6134" max="6134" width="12.26953125" style="229" customWidth="1"/>
    <col min="6135" max="6135" width="10.7265625" style="229" customWidth="1"/>
    <col min="6136" max="6140" width="9.1796875" style="229"/>
    <col min="6141" max="6141" width="15.1796875" style="229" customWidth="1"/>
    <col min="6142" max="6142" width="11.453125" style="229" customWidth="1"/>
    <col min="6143" max="6143" width="11.26953125" style="229" customWidth="1"/>
    <col min="6144" max="6366" width="9.1796875" style="229"/>
    <col min="6367" max="6367" width="4.81640625" style="229" customWidth="1"/>
    <col min="6368" max="6368" width="33.7265625" style="229" customWidth="1"/>
    <col min="6369" max="6370" width="11.453125" style="229" customWidth="1"/>
    <col min="6371" max="6371" width="11" style="229" customWidth="1"/>
    <col min="6372" max="6380" width="11.1796875" style="229" customWidth="1"/>
    <col min="6381" max="6381" width="15.26953125" style="229" customWidth="1"/>
    <col min="6382" max="6382" width="11.453125" style="229" customWidth="1"/>
    <col min="6383" max="6383" width="10.26953125" style="229" customWidth="1"/>
    <col min="6384" max="6384" width="9.54296875" style="229" customWidth="1"/>
    <col min="6385" max="6385" width="15.1796875" style="229" customWidth="1"/>
    <col min="6386" max="6386" width="12.26953125" style="229" customWidth="1"/>
    <col min="6387" max="6387" width="11.26953125" style="229" customWidth="1"/>
    <col min="6388" max="6388" width="9.1796875" style="229"/>
    <col min="6389" max="6389" width="15.1796875" style="229" customWidth="1"/>
    <col min="6390" max="6390" width="12.26953125" style="229" customWidth="1"/>
    <col min="6391" max="6391" width="10.7265625" style="229" customWidth="1"/>
    <col min="6392" max="6396" width="9.1796875" style="229"/>
    <col min="6397" max="6397" width="15.1796875" style="229" customWidth="1"/>
    <col min="6398" max="6398" width="11.453125" style="229" customWidth="1"/>
    <col min="6399" max="6399" width="11.26953125" style="229" customWidth="1"/>
    <col min="6400" max="6622" width="9.1796875" style="229"/>
    <col min="6623" max="6623" width="4.81640625" style="229" customWidth="1"/>
    <col min="6624" max="6624" width="33.7265625" style="229" customWidth="1"/>
    <col min="6625" max="6626" width="11.453125" style="229" customWidth="1"/>
    <col min="6627" max="6627" width="11" style="229" customWidth="1"/>
    <col min="6628" max="6636" width="11.1796875" style="229" customWidth="1"/>
    <col min="6637" max="6637" width="15.26953125" style="229" customWidth="1"/>
    <col min="6638" max="6638" width="11.453125" style="229" customWidth="1"/>
    <col min="6639" max="6639" width="10.26953125" style="229" customWidth="1"/>
    <col min="6640" max="6640" width="9.54296875" style="229" customWidth="1"/>
    <col min="6641" max="6641" width="15.1796875" style="229" customWidth="1"/>
    <col min="6642" max="6642" width="12.26953125" style="229" customWidth="1"/>
    <col min="6643" max="6643" width="11.26953125" style="229" customWidth="1"/>
    <col min="6644" max="6644" width="9.1796875" style="229"/>
    <col min="6645" max="6645" width="15.1796875" style="229" customWidth="1"/>
    <col min="6646" max="6646" width="12.26953125" style="229" customWidth="1"/>
    <col min="6647" max="6647" width="10.7265625" style="229" customWidth="1"/>
    <col min="6648" max="6652" width="9.1796875" style="229"/>
    <col min="6653" max="6653" width="15.1796875" style="229" customWidth="1"/>
    <col min="6654" max="6654" width="11.453125" style="229" customWidth="1"/>
    <col min="6655" max="6655" width="11.26953125" style="229" customWidth="1"/>
    <col min="6656" max="6878" width="9.1796875" style="229"/>
    <col min="6879" max="6879" width="4.81640625" style="229" customWidth="1"/>
    <col min="6880" max="6880" width="33.7265625" style="229" customWidth="1"/>
    <col min="6881" max="6882" width="11.453125" style="229" customWidth="1"/>
    <col min="6883" max="6883" width="11" style="229" customWidth="1"/>
    <col min="6884" max="6892" width="11.1796875" style="229" customWidth="1"/>
    <col min="6893" max="6893" width="15.26953125" style="229" customWidth="1"/>
    <col min="6894" max="6894" width="11.453125" style="229" customWidth="1"/>
    <col min="6895" max="6895" width="10.26953125" style="229" customWidth="1"/>
    <col min="6896" max="6896" width="9.54296875" style="229" customWidth="1"/>
    <col min="6897" max="6897" width="15.1796875" style="229" customWidth="1"/>
    <col min="6898" max="6898" width="12.26953125" style="229" customWidth="1"/>
    <col min="6899" max="6899" width="11.26953125" style="229" customWidth="1"/>
    <col min="6900" max="6900" width="9.1796875" style="229"/>
    <col min="6901" max="6901" width="15.1796875" style="229" customWidth="1"/>
    <col min="6902" max="6902" width="12.26953125" style="229" customWidth="1"/>
    <col min="6903" max="6903" width="10.7265625" style="229" customWidth="1"/>
    <col min="6904" max="6908" width="9.1796875" style="229"/>
    <col min="6909" max="6909" width="15.1796875" style="229" customWidth="1"/>
    <col min="6910" max="6910" width="11.453125" style="229" customWidth="1"/>
    <col min="6911" max="6911" width="11.26953125" style="229" customWidth="1"/>
    <col min="6912" max="7134" width="9.1796875" style="229"/>
    <col min="7135" max="7135" width="4.81640625" style="229" customWidth="1"/>
    <col min="7136" max="7136" width="33.7265625" style="229" customWidth="1"/>
    <col min="7137" max="7138" width="11.453125" style="229" customWidth="1"/>
    <col min="7139" max="7139" width="11" style="229" customWidth="1"/>
    <col min="7140" max="7148" width="11.1796875" style="229" customWidth="1"/>
    <col min="7149" max="7149" width="15.26953125" style="229" customWidth="1"/>
    <col min="7150" max="7150" width="11.453125" style="229" customWidth="1"/>
    <col min="7151" max="7151" width="10.26953125" style="229" customWidth="1"/>
    <col min="7152" max="7152" width="9.54296875" style="229" customWidth="1"/>
    <col min="7153" max="7153" width="15.1796875" style="229" customWidth="1"/>
    <col min="7154" max="7154" width="12.26953125" style="229" customWidth="1"/>
    <col min="7155" max="7155" width="11.26953125" style="229" customWidth="1"/>
    <col min="7156" max="7156" width="9.1796875" style="229"/>
    <col min="7157" max="7157" width="15.1796875" style="229" customWidth="1"/>
    <col min="7158" max="7158" width="12.26953125" style="229" customWidth="1"/>
    <col min="7159" max="7159" width="10.7265625" style="229" customWidth="1"/>
    <col min="7160" max="7164" width="9.1796875" style="229"/>
    <col min="7165" max="7165" width="15.1796875" style="229" customWidth="1"/>
    <col min="7166" max="7166" width="11.453125" style="229" customWidth="1"/>
    <col min="7167" max="7167" width="11.26953125" style="229" customWidth="1"/>
    <col min="7168" max="7390" width="9.1796875" style="229"/>
    <col min="7391" max="7391" width="4.81640625" style="229" customWidth="1"/>
    <col min="7392" max="7392" width="33.7265625" style="229" customWidth="1"/>
    <col min="7393" max="7394" width="11.453125" style="229" customWidth="1"/>
    <col min="7395" max="7395" width="11" style="229" customWidth="1"/>
    <col min="7396" max="7404" width="11.1796875" style="229" customWidth="1"/>
    <col min="7405" max="7405" width="15.26953125" style="229" customWidth="1"/>
    <col min="7406" max="7406" width="11.453125" style="229" customWidth="1"/>
    <col min="7407" max="7407" width="10.26953125" style="229" customWidth="1"/>
    <col min="7408" max="7408" width="9.54296875" style="229" customWidth="1"/>
    <col min="7409" max="7409" width="15.1796875" style="229" customWidth="1"/>
    <col min="7410" max="7410" width="12.26953125" style="229" customWidth="1"/>
    <col min="7411" max="7411" width="11.26953125" style="229" customWidth="1"/>
    <col min="7412" max="7412" width="9.1796875" style="229"/>
    <col min="7413" max="7413" width="15.1796875" style="229" customWidth="1"/>
    <col min="7414" max="7414" width="12.26953125" style="229" customWidth="1"/>
    <col min="7415" max="7415" width="10.7265625" style="229" customWidth="1"/>
    <col min="7416" max="7420" width="9.1796875" style="229"/>
    <col min="7421" max="7421" width="15.1796875" style="229" customWidth="1"/>
    <col min="7422" max="7422" width="11.453125" style="229" customWidth="1"/>
    <col min="7423" max="7423" width="11.26953125" style="229" customWidth="1"/>
    <col min="7424" max="7646" width="9.1796875" style="229"/>
    <col min="7647" max="7647" width="4.81640625" style="229" customWidth="1"/>
    <col min="7648" max="7648" width="33.7265625" style="229" customWidth="1"/>
    <col min="7649" max="7650" width="11.453125" style="229" customWidth="1"/>
    <col min="7651" max="7651" width="11" style="229" customWidth="1"/>
    <col min="7652" max="7660" width="11.1796875" style="229" customWidth="1"/>
    <col min="7661" max="7661" width="15.26953125" style="229" customWidth="1"/>
    <col min="7662" max="7662" width="11.453125" style="229" customWidth="1"/>
    <col min="7663" max="7663" width="10.26953125" style="229" customWidth="1"/>
    <col min="7664" max="7664" width="9.54296875" style="229" customWidth="1"/>
    <col min="7665" max="7665" width="15.1796875" style="229" customWidth="1"/>
    <col min="7666" max="7666" width="12.26953125" style="229" customWidth="1"/>
    <col min="7667" max="7667" width="11.26953125" style="229" customWidth="1"/>
    <col min="7668" max="7668" width="9.1796875" style="229"/>
    <col min="7669" max="7669" width="15.1796875" style="229" customWidth="1"/>
    <col min="7670" max="7670" width="12.26953125" style="229" customWidth="1"/>
    <col min="7671" max="7671" width="10.7265625" style="229" customWidth="1"/>
    <col min="7672" max="7676" width="9.1796875" style="229"/>
    <col min="7677" max="7677" width="15.1796875" style="229" customWidth="1"/>
    <col min="7678" max="7678" width="11.453125" style="229" customWidth="1"/>
    <col min="7679" max="7679" width="11.26953125" style="229" customWidth="1"/>
    <col min="7680" max="7902" width="9.1796875" style="229"/>
    <col min="7903" max="7903" width="4.81640625" style="229" customWidth="1"/>
    <col min="7904" max="7904" width="33.7265625" style="229" customWidth="1"/>
    <col min="7905" max="7906" width="11.453125" style="229" customWidth="1"/>
    <col min="7907" max="7907" width="11" style="229" customWidth="1"/>
    <col min="7908" max="7916" width="11.1796875" style="229" customWidth="1"/>
    <col min="7917" max="7917" width="15.26953125" style="229" customWidth="1"/>
    <col min="7918" max="7918" width="11.453125" style="229" customWidth="1"/>
    <col min="7919" max="7919" width="10.26953125" style="229" customWidth="1"/>
    <col min="7920" max="7920" width="9.54296875" style="229" customWidth="1"/>
    <col min="7921" max="7921" width="15.1796875" style="229" customWidth="1"/>
    <col min="7922" max="7922" width="12.26953125" style="229" customWidth="1"/>
    <col min="7923" max="7923" width="11.26953125" style="229" customWidth="1"/>
    <col min="7924" max="7924" width="9.1796875" style="229"/>
    <col min="7925" max="7925" width="15.1796875" style="229" customWidth="1"/>
    <col min="7926" max="7926" width="12.26953125" style="229" customWidth="1"/>
    <col min="7927" max="7927" width="10.7265625" style="229" customWidth="1"/>
    <col min="7928" max="7932" width="9.1796875" style="229"/>
    <col min="7933" max="7933" width="15.1796875" style="229" customWidth="1"/>
    <col min="7934" max="7934" width="11.453125" style="229" customWidth="1"/>
    <col min="7935" max="7935" width="11.26953125" style="229" customWidth="1"/>
    <col min="7936" max="8158" width="9.1796875" style="229"/>
    <col min="8159" max="8159" width="4.81640625" style="229" customWidth="1"/>
    <col min="8160" max="8160" width="33.7265625" style="229" customWidth="1"/>
    <col min="8161" max="8162" width="11.453125" style="229" customWidth="1"/>
    <col min="8163" max="8163" width="11" style="229" customWidth="1"/>
    <col min="8164" max="8172" width="11.1796875" style="229" customWidth="1"/>
    <col min="8173" max="8173" width="15.26953125" style="229" customWidth="1"/>
    <col min="8174" max="8174" width="11.453125" style="229" customWidth="1"/>
    <col min="8175" max="8175" width="10.26953125" style="229" customWidth="1"/>
    <col min="8176" max="8176" width="9.54296875" style="229" customWidth="1"/>
    <col min="8177" max="8177" width="15.1796875" style="229" customWidth="1"/>
    <col min="8178" max="8178" width="12.26953125" style="229" customWidth="1"/>
    <col min="8179" max="8179" width="11.26953125" style="229" customWidth="1"/>
    <col min="8180" max="8180" width="9.1796875" style="229"/>
    <col min="8181" max="8181" width="15.1796875" style="229" customWidth="1"/>
    <col min="8182" max="8182" width="12.26953125" style="229" customWidth="1"/>
    <col min="8183" max="8183" width="10.7265625" style="229" customWidth="1"/>
    <col min="8184" max="8188" width="9.1796875" style="229"/>
    <col min="8189" max="8189" width="15.1796875" style="229" customWidth="1"/>
    <col min="8190" max="8190" width="11.453125" style="229" customWidth="1"/>
    <col min="8191" max="8191" width="11.26953125" style="229" customWidth="1"/>
    <col min="8192" max="8414" width="9.1796875" style="229"/>
    <col min="8415" max="8415" width="4.81640625" style="229" customWidth="1"/>
    <col min="8416" max="8416" width="33.7265625" style="229" customWidth="1"/>
    <col min="8417" max="8418" width="11.453125" style="229" customWidth="1"/>
    <col min="8419" max="8419" width="11" style="229" customWidth="1"/>
    <col min="8420" max="8428" width="11.1796875" style="229" customWidth="1"/>
    <col min="8429" max="8429" width="15.26953125" style="229" customWidth="1"/>
    <col min="8430" max="8430" width="11.453125" style="229" customWidth="1"/>
    <col min="8431" max="8431" width="10.26953125" style="229" customWidth="1"/>
    <col min="8432" max="8432" width="9.54296875" style="229" customWidth="1"/>
    <col min="8433" max="8433" width="15.1796875" style="229" customWidth="1"/>
    <col min="8434" max="8434" width="12.26953125" style="229" customWidth="1"/>
    <col min="8435" max="8435" width="11.26953125" style="229" customWidth="1"/>
    <col min="8436" max="8436" width="9.1796875" style="229"/>
    <col min="8437" max="8437" width="15.1796875" style="229" customWidth="1"/>
    <col min="8438" max="8438" width="12.26953125" style="229" customWidth="1"/>
    <col min="8439" max="8439" width="10.7265625" style="229" customWidth="1"/>
    <col min="8440" max="8444" width="9.1796875" style="229"/>
    <col min="8445" max="8445" width="15.1796875" style="229" customWidth="1"/>
    <col min="8446" max="8446" width="11.453125" style="229" customWidth="1"/>
    <col min="8447" max="8447" width="11.26953125" style="229" customWidth="1"/>
    <col min="8448" max="8670" width="9.1796875" style="229"/>
    <col min="8671" max="8671" width="4.81640625" style="229" customWidth="1"/>
    <col min="8672" max="8672" width="33.7265625" style="229" customWidth="1"/>
    <col min="8673" max="8674" width="11.453125" style="229" customWidth="1"/>
    <col min="8675" max="8675" width="11" style="229" customWidth="1"/>
    <col min="8676" max="8684" width="11.1796875" style="229" customWidth="1"/>
    <col min="8685" max="8685" width="15.26953125" style="229" customWidth="1"/>
    <col min="8686" max="8686" width="11.453125" style="229" customWidth="1"/>
    <col min="8687" max="8687" width="10.26953125" style="229" customWidth="1"/>
    <col min="8688" max="8688" width="9.54296875" style="229" customWidth="1"/>
    <col min="8689" max="8689" width="15.1796875" style="229" customWidth="1"/>
    <col min="8690" max="8690" width="12.26953125" style="229" customWidth="1"/>
    <col min="8691" max="8691" width="11.26953125" style="229" customWidth="1"/>
    <col min="8692" max="8692" width="9.1796875" style="229"/>
    <col min="8693" max="8693" width="15.1796875" style="229" customWidth="1"/>
    <col min="8694" max="8694" width="12.26953125" style="229" customWidth="1"/>
    <col min="8695" max="8695" width="10.7265625" style="229" customWidth="1"/>
    <col min="8696" max="8700" width="9.1796875" style="229"/>
    <col min="8701" max="8701" width="15.1796875" style="229" customWidth="1"/>
    <col min="8702" max="8702" width="11.453125" style="229" customWidth="1"/>
    <col min="8703" max="8703" width="11.26953125" style="229" customWidth="1"/>
    <col min="8704" max="8926" width="9.1796875" style="229"/>
    <col min="8927" max="8927" width="4.81640625" style="229" customWidth="1"/>
    <col min="8928" max="8928" width="33.7265625" style="229" customWidth="1"/>
    <col min="8929" max="8930" width="11.453125" style="229" customWidth="1"/>
    <col min="8931" max="8931" width="11" style="229" customWidth="1"/>
    <col min="8932" max="8940" width="11.1796875" style="229" customWidth="1"/>
    <col min="8941" max="8941" width="15.26953125" style="229" customWidth="1"/>
    <col min="8942" max="8942" width="11.453125" style="229" customWidth="1"/>
    <col min="8943" max="8943" width="10.26953125" style="229" customWidth="1"/>
    <col min="8944" max="8944" width="9.54296875" style="229" customWidth="1"/>
    <col min="8945" max="8945" width="15.1796875" style="229" customWidth="1"/>
    <col min="8946" max="8946" width="12.26953125" style="229" customWidth="1"/>
    <col min="8947" max="8947" width="11.26953125" style="229" customWidth="1"/>
    <col min="8948" max="8948" width="9.1796875" style="229"/>
    <col min="8949" max="8949" width="15.1796875" style="229" customWidth="1"/>
    <col min="8950" max="8950" width="12.26953125" style="229" customWidth="1"/>
    <col min="8951" max="8951" width="10.7265625" style="229" customWidth="1"/>
    <col min="8952" max="8956" width="9.1796875" style="229"/>
    <col min="8957" max="8957" width="15.1796875" style="229" customWidth="1"/>
    <col min="8958" max="8958" width="11.453125" style="229" customWidth="1"/>
    <col min="8959" max="8959" width="11.26953125" style="229" customWidth="1"/>
    <col min="8960" max="9182" width="9.1796875" style="229"/>
    <col min="9183" max="9183" width="4.81640625" style="229" customWidth="1"/>
    <col min="9184" max="9184" width="33.7265625" style="229" customWidth="1"/>
    <col min="9185" max="9186" width="11.453125" style="229" customWidth="1"/>
    <col min="9187" max="9187" width="11" style="229" customWidth="1"/>
    <col min="9188" max="9196" width="11.1796875" style="229" customWidth="1"/>
    <col min="9197" max="9197" width="15.26953125" style="229" customWidth="1"/>
    <col min="9198" max="9198" width="11.453125" style="229" customWidth="1"/>
    <col min="9199" max="9199" width="10.26953125" style="229" customWidth="1"/>
    <col min="9200" max="9200" width="9.54296875" style="229" customWidth="1"/>
    <col min="9201" max="9201" width="15.1796875" style="229" customWidth="1"/>
    <col min="9202" max="9202" width="12.26953125" style="229" customWidth="1"/>
    <col min="9203" max="9203" width="11.26953125" style="229" customWidth="1"/>
    <col min="9204" max="9204" width="9.1796875" style="229"/>
    <col min="9205" max="9205" width="15.1796875" style="229" customWidth="1"/>
    <col min="9206" max="9206" width="12.26953125" style="229" customWidth="1"/>
    <col min="9207" max="9207" width="10.7265625" style="229" customWidth="1"/>
    <col min="9208" max="9212" width="9.1796875" style="229"/>
    <col min="9213" max="9213" width="15.1796875" style="229" customWidth="1"/>
    <col min="9214" max="9214" width="11.453125" style="229" customWidth="1"/>
    <col min="9215" max="9215" width="11.26953125" style="229" customWidth="1"/>
    <col min="9216" max="9438" width="9.1796875" style="229"/>
    <col min="9439" max="9439" width="4.81640625" style="229" customWidth="1"/>
    <col min="9440" max="9440" width="33.7265625" style="229" customWidth="1"/>
    <col min="9441" max="9442" width="11.453125" style="229" customWidth="1"/>
    <col min="9443" max="9443" width="11" style="229" customWidth="1"/>
    <col min="9444" max="9452" width="11.1796875" style="229" customWidth="1"/>
    <col min="9453" max="9453" width="15.26953125" style="229" customWidth="1"/>
    <col min="9454" max="9454" width="11.453125" style="229" customWidth="1"/>
    <col min="9455" max="9455" width="10.26953125" style="229" customWidth="1"/>
    <col min="9456" max="9456" width="9.54296875" style="229" customWidth="1"/>
    <col min="9457" max="9457" width="15.1796875" style="229" customWidth="1"/>
    <col min="9458" max="9458" width="12.26953125" style="229" customWidth="1"/>
    <col min="9459" max="9459" width="11.26953125" style="229" customWidth="1"/>
    <col min="9460" max="9460" width="9.1796875" style="229"/>
    <col min="9461" max="9461" width="15.1796875" style="229" customWidth="1"/>
    <col min="9462" max="9462" width="12.26953125" style="229" customWidth="1"/>
    <col min="9463" max="9463" width="10.7265625" style="229" customWidth="1"/>
    <col min="9464" max="9468" width="9.1796875" style="229"/>
    <col min="9469" max="9469" width="15.1796875" style="229" customWidth="1"/>
    <col min="9470" max="9470" width="11.453125" style="229" customWidth="1"/>
    <col min="9471" max="9471" width="11.26953125" style="229" customWidth="1"/>
    <col min="9472" max="9694" width="9.1796875" style="229"/>
    <col min="9695" max="9695" width="4.81640625" style="229" customWidth="1"/>
    <col min="9696" max="9696" width="33.7265625" style="229" customWidth="1"/>
    <col min="9697" max="9698" width="11.453125" style="229" customWidth="1"/>
    <col min="9699" max="9699" width="11" style="229" customWidth="1"/>
    <col min="9700" max="9708" width="11.1796875" style="229" customWidth="1"/>
    <col min="9709" max="9709" width="15.26953125" style="229" customWidth="1"/>
    <col min="9710" max="9710" width="11.453125" style="229" customWidth="1"/>
    <col min="9711" max="9711" width="10.26953125" style="229" customWidth="1"/>
    <col min="9712" max="9712" width="9.54296875" style="229" customWidth="1"/>
    <col min="9713" max="9713" width="15.1796875" style="229" customWidth="1"/>
    <col min="9714" max="9714" width="12.26953125" style="229" customWidth="1"/>
    <col min="9715" max="9715" width="11.26953125" style="229" customWidth="1"/>
    <col min="9716" max="9716" width="9.1796875" style="229"/>
    <col min="9717" max="9717" width="15.1796875" style="229" customWidth="1"/>
    <col min="9718" max="9718" width="12.26953125" style="229" customWidth="1"/>
    <col min="9719" max="9719" width="10.7265625" style="229" customWidth="1"/>
    <col min="9720" max="9724" width="9.1796875" style="229"/>
    <col min="9725" max="9725" width="15.1796875" style="229" customWidth="1"/>
    <col min="9726" max="9726" width="11.453125" style="229" customWidth="1"/>
    <col min="9727" max="9727" width="11.26953125" style="229" customWidth="1"/>
    <col min="9728" max="9950" width="9.1796875" style="229"/>
    <col min="9951" max="9951" width="4.81640625" style="229" customWidth="1"/>
    <col min="9952" max="9952" width="33.7265625" style="229" customWidth="1"/>
    <col min="9953" max="9954" width="11.453125" style="229" customWidth="1"/>
    <col min="9955" max="9955" width="11" style="229" customWidth="1"/>
    <col min="9956" max="9964" width="11.1796875" style="229" customWidth="1"/>
    <col min="9965" max="9965" width="15.26953125" style="229" customWidth="1"/>
    <col min="9966" max="9966" width="11.453125" style="229" customWidth="1"/>
    <col min="9967" max="9967" width="10.26953125" style="229" customWidth="1"/>
    <col min="9968" max="9968" width="9.54296875" style="229" customWidth="1"/>
    <col min="9969" max="9969" width="15.1796875" style="229" customWidth="1"/>
    <col min="9970" max="9970" width="12.26953125" style="229" customWidth="1"/>
    <col min="9971" max="9971" width="11.26953125" style="229" customWidth="1"/>
    <col min="9972" max="9972" width="9.1796875" style="229"/>
    <col min="9973" max="9973" width="15.1796875" style="229" customWidth="1"/>
    <col min="9974" max="9974" width="12.26953125" style="229" customWidth="1"/>
    <col min="9975" max="9975" width="10.7265625" style="229" customWidth="1"/>
    <col min="9976" max="9980" width="9.1796875" style="229"/>
    <col min="9981" max="9981" width="15.1796875" style="229" customWidth="1"/>
    <col min="9982" max="9982" width="11.453125" style="229" customWidth="1"/>
    <col min="9983" max="9983" width="11.26953125" style="229" customWidth="1"/>
    <col min="9984" max="10206" width="9.1796875" style="229"/>
    <col min="10207" max="10207" width="4.81640625" style="229" customWidth="1"/>
    <col min="10208" max="10208" width="33.7265625" style="229" customWidth="1"/>
    <col min="10209" max="10210" width="11.453125" style="229" customWidth="1"/>
    <col min="10211" max="10211" width="11" style="229" customWidth="1"/>
    <col min="10212" max="10220" width="11.1796875" style="229" customWidth="1"/>
    <col min="10221" max="10221" width="15.26953125" style="229" customWidth="1"/>
    <col min="10222" max="10222" width="11.453125" style="229" customWidth="1"/>
    <col min="10223" max="10223" width="10.26953125" style="229" customWidth="1"/>
    <col min="10224" max="10224" width="9.54296875" style="229" customWidth="1"/>
    <col min="10225" max="10225" width="15.1796875" style="229" customWidth="1"/>
    <col min="10226" max="10226" width="12.26953125" style="229" customWidth="1"/>
    <col min="10227" max="10227" width="11.26953125" style="229" customWidth="1"/>
    <col min="10228" max="10228" width="9.1796875" style="229"/>
    <col min="10229" max="10229" width="15.1796875" style="229" customWidth="1"/>
    <col min="10230" max="10230" width="12.26953125" style="229" customWidth="1"/>
    <col min="10231" max="10231" width="10.7265625" style="229" customWidth="1"/>
    <col min="10232" max="10236" width="9.1796875" style="229"/>
    <col min="10237" max="10237" width="15.1796875" style="229" customWidth="1"/>
    <col min="10238" max="10238" width="11.453125" style="229" customWidth="1"/>
    <col min="10239" max="10239" width="11.26953125" style="229" customWidth="1"/>
    <col min="10240" max="10462" width="9.1796875" style="229"/>
    <col min="10463" max="10463" width="4.81640625" style="229" customWidth="1"/>
    <col min="10464" max="10464" width="33.7265625" style="229" customWidth="1"/>
    <col min="10465" max="10466" width="11.453125" style="229" customWidth="1"/>
    <col min="10467" max="10467" width="11" style="229" customWidth="1"/>
    <col min="10468" max="10476" width="11.1796875" style="229" customWidth="1"/>
    <col min="10477" max="10477" width="15.26953125" style="229" customWidth="1"/>
    <col min="10478" max="10478" width="11.453125" style="229" customWidth="1"/>
    <col min="10479" max="10479" width="10.26953125" style="229" customWidth="1"/>
    <col min="10480" max="10480" width="9.54296875" style="229" customWidth="1"/>
    <col min="10481" max="10481" width="15.1796875" style="229" customWidth="1"/>
    <col min="10482" max="10482" width="12.26953125" style="229" customWidth="1"/>
    <col min="10483" max="10483" width="11.26953125" style="229" customWidth="1"/>
    <col min="10484" max="10484" width="9.1796875" style="229"/>
    <col min="10485" max="10485" width="15.1796875" style="229" customWidth="1"/>
    <col min="10486" max="10486" width="12.26953125" style="229" customWidth="1"/>
    <col min="10487" max="10487" width="10.7265625" style="229" customWidth="1"/>
    <col min="10488" max="10492" width="9.1796875" style="229"/>
    <col min="10493" max="10493" width="15.1796875" style="229" customWidth="1"/>
    <col min="10494" max="10494" width="11.453125" style="229" customWidth="1"/>
    <col min="10495" max="10495" width="11.26953125" style="229" customWidth="1"/>
    <col min="10496" max="10718" width="9.1796875" style="229"/>
    <col min="10719" max="10719" width="4.81640625" style="229" customWidth="1"/>
    <col min="10720" max="10720" width="33.7265625" style="229" customWidth="1"/>
    <col min="10721" max="10722" width="11.453125" style="229" customWidth="1"/>
    <col min="10723" max="10723" width="11" style="229" customWidth="1"/>
    <col min="10724" max="10732" width="11.1796875" style="229" customWidth="1"/>
    <col min="10733" max="10733" width="15.26953125" style="229" customWidth="1"/>
    <col min="10734" max="10734" width="11.453125" style="229" customWidth="1"/>
    <col min="10735" max="10735" width="10.26953125" style="229" customWidth="1"/>
    <col min="10736" max="10736" width="9.54296875" style="229" customWidth="1"/>
    <col min="10737" max="10737" width="15.1796875" style="229" customWidth="1"/>
    <col min="10738" max="10738" width="12.26953125" style="229" customWidth="1"/>
    <col min="10739" max="10739" width="11.26953125" style="229" customWidth="1"/>
    <col min="10740" max="10740" width="9.1796875" style="229"/>
    <col min="10741" max="10741" width="15.1796875" style="229" customWidth="1"/>
    <col min="10742" max="10742" width="12.26953125" style="229" customWidth="1"/>
    <col min="10743" max="10743" width="10.7265625" style="229" customWidth="1"/>
    <col min="10744" max="10748" width="9.1796875" style="229"/>
    <col min="10749" max="10749" width="15.1796875" style="229" customWidth="1"/>
    <col min="10750" max="10750" width="11.453125" style="229" customWidth="1"/>
    <col min="10751" max="10751" width="11.26953125" style="229" customWidth="1"/>
    <col min="10752" max="10974" width="9.1796875" style="229"/>
    <col min="10975" max="10975" width="4.81640625" style="229" customWidth="1"/>
    <col min="10976" max="10976" width="33.7265625" style="229" customWidth="1"/>
    <col min="10977" max="10978" width="11.453125" style="229" customWidth="1"/>
    <col min="10979" max="10979" width="11" style="229" customWidth="1"/>
    <col min="10980" max="10988" width="11.1796875" style="229" customWidth="1"/>
    <col min="10989" max="10989" width="15.26953125" style="229" customWidth="1"/>
    <col min="10990" max="10990" width="11.453125" style="229" customWidth="1"/>
    <col min="10991" max="10991" width="10.26953125" style="229" customWidth="1"/>
    <col min="10992" max="10992" width="9.54296875" style="229" customWidth="1"/>
    <col min="10993" max="10993" width="15.1796875" style="229" customWidth="1"/>
    <col min="10994" max="10994" width="12.26953125" style="229" customWidth="1"/>
    <col min="10995" max="10995" width="11.26953125" style="229" customWidth="1"/>
    <col min="10996" max="10996" width="9.1796875" style="229"/>
    <col min="10997" max="10997" width="15.1796875" style="229" customWidth="1"/>
    <col min="10998" max="10998" width="12.26953125" style="229" customWidth="1"/>
    <col min="10999" max="10999" width="10.7265625" style="229" customWidth="1"/>
    <col min="11000" max="11004" width="9.1796875" style="229"/>
    <col min="11005" max="11005" width="15.1796875" style="229" customWidth="1"/>
    <col min="11006" max="11006" width="11.453125" style="229" customWidth="1"/>
    <col min="11007" max="11007" width="11.26953125" style="229" customWidth="1"/>
    <col min="11008" max="11230" width="9.1796875" style="229"/>
    <col min="11231" max="11231" width="4.81640625" style="229" customWidth="1"/>
    <col min="11232" max="11232" width="33.7265625" style="229" customWidth="1"/>
    <col min="11233" max="11234" width="11.453125" style="229" customWidth="1"/>
    <col min="11235" max="11235" width="11" style="229" customWidth="1"/>
    <col min="11236" max="11244" width="11.1796875" style="229" customWidth="1"/>
    <col min="11245" max="11245" width="15.26953125" style="229" customWidth="1"/>
    <col min="11246" max="11246" width="11.453125" style="229" customWidth="1"/>
    <col min="11247" max="11247" width="10.26953125" style="229" customWidth="1"/>
    <col min="11248" max="11248" width="9.54296875" style="229" customWidth="1"/>
    <col min="11249" max="11249" width="15.1796875" style="229" customWidth="1"/>
    <col min="11250" max="11250" width="12.26953125" style="229" customWidth="1"/>
    <col min="11251" max="11251" width="11.26953125" style="229" customWidth="1"/>
    <col min="11252" max="11252" width="9.1796875" style="229"/>
    <col min="11253" max="11253" width="15.1796875" style="229" customWidth="1"/>
    <col min="11254" max="11254" width="12.26953125" style="229" customWidth="1"/>
    <col min="11255" max="11255" width="10.7265625" style="229" customWidth="1"/>
    <col min="11256" max="11260" width="9.1796875" style="229"/>
    <col min="11261" max="11261" width="15.1796875" style="229" customWidth="1"/>
    <col min="11262" max="11262" width="11.453125" style="229" customWidth="1"/>
    <col min="11263" max="11263" width="11.26953125" style="229" customWidth="1"/>
    <col min="11264" max="11486" width="9.1796875" style="229"/>
    <col min="11487" max="11487" width="4.81640625" style="229" customWidth="1"/>
    <col min="11488" max="11488" width="33.7265625" style="229" customWidth="1"/>
    <col min="11489" max="11490" width="11.453125" style="229" customWidth="1"/>
    <col min="11491" max="11491" width="11" style="229" customWidth="1"/>
    <col min="11492" max="11500" width="11.1796875" style="229" customWidth="1"/>
    <col min="11501" max="11501" width="15.26953125" style="229" customWidth="1"/>
    <col min="11502" max="11502" width="11.453125" style="229" customWidth="1"/>
    <col min="11503" max="11503" width="10.26953125" style="229" customWidth="1"/>
    <col min="11504" max="11504" width="9.54296875" style="229" customWidth="1"/>
    <col min="11505" max="11505" width="15.1796875" style="229" customWidth="1"/>
    <col min="11506" max="11506" width="12.26953125" style="229" customWidth="1"/>
    <col min="11507" max="11507" width="11.26953125" style="229" customWidth="1"/>
    <col min="11508" max="11508" width="9.1796875" style="229"/>
    <col min="11509" max="11509" width="15.1796875" style="229" customWidth="1"/>
    <col min="11510" max="11510" width="12.26953125" style="229" customWidth="1"/>
    <col min="11511" max="11511" width="10.7265625" style="229" customWidth="1"/>
    <col min="11512" max="11516" width="9.1796875" style="229"/>
    <col min="11517" max="11517" width="15.1796875" style="229" customWidth="1"/>
    <col min="11518" max="11518" width="11.453125" style="229" customWidth="1"/>
    <col min="11519" max="11519" width="11.26953125" style="229" customWidth="1"/>
    <col min="11520" max="11742" width="9.1796875" style="229"/>
    <col min="11743" max="11743" width="4.81640625" style="229" customWidth="1"/>
    <col min="11744" max="11744" width="33.7265625" style="229" customWidth="1"/>
    <col min="11745" max="11746" width="11.453125" style="229" customWidth="1"/>
    <col min="11747" max="11747" width="11" style="229" customWidth="1"/>
    <col min="11748" max="11756" width="11.1796875" style="229" customWidth="1"/>
    <col min="11757" max="11757" width="15.26953125" style="229" customWidth="1"/>
    <col min="11758" max="11758" width="11.453125" style="229" customWidth="1"/>
    <col min="11759" max="11759" width="10.26953125" style="229" customWidth="1"/>
    <col min="11760" max="11760" width="9.54296875" style="229" customWidth="1"/>
    <col min="11761" max="11761" width="15.1796875" style="229" customWidth="1"/>
    <col min="11762" max="11762" width="12.26953125" style="229" customWidth="1"/>
    <col min="11763" max="11763" width="11.26953125" style="229" customWidth="1"/>
    <col min="11764" max="11764" width="9.1796875" style="229"/>
    <col min="11765" max="11765" width="15.1796875" style="229" customWidth="1"/>
    <col min="11766" max="11766" width="12.26953125" style="229" customWidth="1"/>
    <col min="11767" max="11767" width="10.7265625" style="229" customWidth="1"/>
    <col min="11768" max="11772" width="9.1796875" style="229"/>
    <col min="11773" max="11773" width="15.1796875" style="229" customWidth="1"/>
    <col min="11774" max="11774" width="11.453125" style="229" customWidth="1"/>
    <col min="11775" max="11775" width="11.26953125" style="229" customWidth="1"/>
    <col min="11776" max="11998" width="9.1796875" style="229"/>
    <col min="11999" max="11999" width="4.81640625" style="229" customWidth="1"/>
    <col min="12000" max="12000" width="33.7265625" style="229" customWidth="1"/>
    <col min="12001" max="12002" width="11.453125" style="229" customWidth="1"/>
    <col min="12003" max="12003" width="11" style="229" customWidth="1"/>
    <col min="12004" max="12012" width="11.1796875" style="229" customWidth="1"/>
    <col min="12013" max="12013" width="15.26953125" style="229" customWidth="1"/>
    <col min="12014" max="12014" width="11.453125" style="229" customWidth="1"/>
    <col min="12015" max="12015" width="10.26953125" style="229" customWidth="1"/>
    <col min="12016" max="12016" width="9.54296875" style="229" customWidth="1"/>
    <col min="12017" max="12017" width="15.1796875" style="229" customWidth="1"/>
    <col min="12018" max="12018" width="12.26953125" style="229" customWidth="1"/>
    <col min="12019" max="12019" width="11.26953125" style="229" customWidth="1"/>
    <col min="12020" max="12020" width="9.1796875" style="229"/>
    <col min="12021" max="12021" width="15.1796875" style="229" customWidth="1"/>
    <col min="12022" max="12022" width="12.26953125" style="229" customWidth="1"/>
    <col min="12023" max="12023" width="10.7265625" style="229" customWidth="1"/>
    <col min="12024" max="12028" width="9.1796875" style="229"/>
    <col min="12029" max="12029" width="15.1796875" style="229" customWidth="1"/>
    <col min="12030" max="12030" width="11.453125" style="229" customWidth="1"/>
    <col min="12031" max="12031" width="11.26953125" style="229" customWidth="1"/>
    <col min="12032" max="12254" width="9.1796875" style="229"/>
    <col min="12255" max="12255" width="4.81640625" style="229" customWidth="1"/>
    <col min="12256" max="12256" width="33.7265625" style="229" customWidth="1"/>
    <col min="12257" max="12258" width="11.453125" style="229" customWidth="1"/>
    <col min="12259" max="12259" width="11" style="229" customWidth="1"/>
    <col min="12260" max="12268" width="11.1796875" style="229" customWidth="1"/>
    <col min="12269" max="12269" width="15.26953125" style="229" customWidth="1"/>
    <col min="12270" max="12270" width="11.453125" style="229" customWidth="1"/>
    <col min="12271" max="12271" width="10.26953125" style="229" customWidth="1"/>
    <col min="12272" max="12272" width="9.54296875" style="229" customWidth="1"/>
    <col min="12273" max="12273" width="15.1796875" style="229" customWidth="1"/>
    <col min="12274" max="12274" width="12.26953125" style="229" customWidth="1"/>
    <col min="12275" max="12275" width="11.26953125" style="229" customWidth="1"/>
    <col min="12276" max="12276" width="9.1796875" style="229"/>
    <col min="12277" max="12277" width="15.1796875" style="229" customWidth="1"/>
    <col min="12278" max="12278" width="12.26953125" style="229" customWidth="1"/>
    <col min="12279" max="12279" width="10.7265625" style="229" customWidth="1"/>
    <col min="12280" max="12284" width="9.1796875" style="229"/>
    <col min="12285" max="12285" width="15.1796875" style="229" customWidth="1"/>
    <col min="12286" max="12286" width="11.453125" style="229" customWidth="1"/>
    <col min="12287" max="12287" width="11.26953125" style="229" customWidth="1"/>
    <col min="12288" max="12510" width="9.1796875" style="229"/>
    <col min="12511" max="12511" width="4.81640625" style="229" customWidth="1"/>
    <col min="12512" max="12512" width="33.7265625" style="229" customWidth="1"/>
    <col min="12513" max="12514" width="11.453125" style="229" customWidth="1"/>
    <col min="12515" max="12515" width="11" style="229" customWidth="1"/>
    <col min="12516" max="12524" width="11.1796875" style="229" customWidth="1"/>
    <col min="12525" max="12525" width="15.26953125" style="229" customWidth="1"/>
    <col min="12526" max="12526" width="11.453125" style="229" customWidth="1"/>
    <col min="12527" max="12527" width="10.26953125" style="229" customWidth="1"/>
    <col min="12528" max="12528" width="9.54296875" style="229" customWidth="1"/>
    <col min="12529" max="12529" width="15.1796875" style="229" customWidth="1"/>
    <col min="12530" max="12530" width="12.26953125" style="229" customWidth="1"/>
    <col min="12531" max="12531" width="11.26953125" style="229" customWidth="1"/>
    <col min="12532" max="12532" width="9.1796875" style="229"/>
    <col min="12533" max="12533" width="15.1796875" style="229" customWidth="1"/>
    <col min="12534" max="12534" width="12.26953125" style="229" customWidth="1"/>
    <col min="12535" max="12535" width="10.7265625" style="229" customWidth="1"/>
    <col min="12536" max="12540" width="9.1796875" style="229"/>
    <col min="12541" max="12541" width="15.1796875" style="229" customWidth="1"/>
    <col min="12542" max="12542" width="11.453125" style="229" customWidth="1"/>
    <col min="12543" max="12543" width="11.26953125" style="229" customWidth="1"/>
    <col min="12544" max="12766" width="9.1796875" style="229"/>
    <col min="12767" max="12767" width="4.81640625" style="229" customWidth="1"/>
    <col min="12768" max="12768" width="33.7265625" style="229" customWidth="1"/>
    <col min="12769" max="12770" width="11.453125" style="229" customWidth="1"/>
    <col min="12771" max="12771" width="11" style="229" customWidth="1"/>
    <col min="12772" max="12780" width="11.1796875" style="229" customWidth="1"/>
    <col min="12781" max="12781" width="15.26953125" style="229" customWidth="1"/>
    <col min="12782" max="12782" width="11.453125" style="229" customWidth="1"/>
    <col min="12783" max="12783" width="10.26953125" style="229" customWidth="1"/>
    <col min="12784" max="12784" width="9.54296875" style="229" customWidth="1"/>
    <col min="12785" max="12785" width="15.1796875" style="229" customWidth="1"/>
    <col min="12786" max="12786" width="12.26953125" style="229" customWidth="1"/>
    <col min="12787" max="12787" width="11.26953125" style="229" customWidth="1"/>
    <col min="12788" max="12788" width="9.1796875" style="229"/>
    <col min="12789" max="12789" width="15.1796875" style="229" customWidth="1"/>
    <col min="12790" max="12790" width="12.26953125" style="229" customWidth="1"/>
    <col min="12791" max="12791" width="10.7265625" style="229" customWidth="1"/>
    <col min="12792" max="12796" width="9.1796875" style="229"/>
    <col min="12797" max="12797" width="15.1796875" style="229" customWidth="1"/>
    <col min="12798" max="12798" width="11.453125" style="229" customWidth="1"/>
    <col min="12799" max="12799" width="11.26953125" style="229" customWidth="1"/>
    <col min="12800" max="13022" width="9.1796875" style="229"/>
    <col min="13023" max="13023" width="4.81640625" style="229" customWidth="1"/>
    <col min="13024" max="13024" width="33.7265625" style="229" customWidth="1"/>
    <col min="13025" max="13026" width="11.453125" style="229" customWidth="1"/>
    <col min="13027" max="13027" width="11" style="229" customWidth="1"/>
    <col min="13028" max="13036" width="11.1796875" style="229" customWidth="1"/>
    <col min="13037" max="13037" width="15.26953125" style="229" customWidth="1"/>
    <col min="13038" max="13038" width="11.453125" style="229" customWidth="1"/>
    <col min="13039" max="13039" width="10.26953125" style="229" customWidth="1"/>
    <col min="13040" max="13040" width="9.54296875" style="229" customWidth="1"/>
    <col min="13041" max="13041" width="15.1796875" style="229" customWidth="1"/>
    <col min="13042" max="13042" width="12.26953125" style="229" customWidth="1"/>
    <col min="13043" max="13043" width="11.26953125" style="229" customWidth="1"/>
    <col min="13044" max="13044" width="9.1796875" style="229"/>
    <col min="13045" max="13045" width="15.1796875" style="229" customWidth="1"/>
    <col min="13046" max="13046" width="12.26953125" style="229" customWidth="1"/>
    <col min="13047" max="13047" width="10.7265625" style="229" customWidth="1"/>
    <col min="13048" max="13052" width="9.1796875" style="229"/>
    <col min="13053" max="13053" width="15.1796875" style="229" customWidth="1"/>
    <col min="13054" max="13054" width="11.453125" style="229" customWidth="1"/>
    <col min="13055" max="13055" width="11.26953125" style="229" customWidth="1"/>
    <col min="13056" max="13278" width="9.1796875" style="229"/>
    <col min="13279" max="13279" width="4.81640625" style="229" customWidth="1"/>
    <col min="13280" max="13280" width="33.7265625" style="229" customWidth="1"/>
    <col min="13281" max="13282" width="11.453125" style="229" customWidth="1"/>
    <col min="13283" max="13283" width="11" style="229" customWidth="1"/>
    <col min="13284" max="13292" width="11.1796875" style="229" customWidth="1"/>
    <col min="13293" max="13293" width="15.26953125" style="229" customWidth="1"/>
    <col min="13294" max="13294" width="11.453125" style="229" customWidth="1"/>
    <col min="13295" max="13295" width="10.26953125" style="229" customWidth="1"/>
    <col min="13296" max="13296" width="9.54296875" style="229" customWidth="1"/>
    <col min="13297" max="13297" width="15.1796875" style="229" customWidth="1"/>
    <col min="13298" max="13298" width="12.26953125" style="229" customWidth="1"/>
    <col min="13299" max="13299" width="11.26953125" style="229" customWidth="1"/>
    <col min="13300" max="13300" width="9.1796875" style="229"/>
    <col min="13301" max="13301" width="15.1796875" style="229" customWidth="1"/>
    <col min="13302" max="13302" width="12.26953125" style="229" customWidth="1"/>
    <col min="13303" max="13303" width="10.7265625" style="229" customWidth="1"/>
    <col min="13304" max="13308" width="9.1796875" style="229"/>
    <col min="13309" max="13309" width="15.1796875" style="229" customWidth="1"/>
    <col min="13310" max="13310" width="11.453125" style="229" customWidth="1"/>
    <col min="13311" max="13311" width="11.26953125" style="229" customWidth="1"/>
    <col min="13312" max="13534" width="9.1796875" style="229"/>
    <col min="13535" max="13535" width="4.81640625" style="229" customWidth="1"/>
    <col min="13536" max="13536" width="33.7265625" style="229" customWidth="1"/>
    <col min="13537" max="13538" width="11.453125" style="229" customWidth="1"/>
    <col min="13539" max="13539" width="11" style="229" customWidth="1"/>
    <col min="13540" max="13548" width="11.1796875" style="229" customWidth="1"/>
    <col min="13549" max="13549" width="15.26953125" style="229" customWidth="1"/>
    <col min="13550" max="13550" width="11.453125" style="229" customWidth="1"/>
    <col min="13551" max="13551" width="10.26953125" style="229" customWidth="1"/>
    <col min="13552" max="13552" width="9.54296875" style="229" customWidth="1"/>
    <col min="13553" max="13553" width="15.1796875" style="229" customWidth="1"/>
    <col min="13554" max="13554" width="12.26953125" style="229" customWidth="1"/>
    <col min="13555" max="13555" width="11.26953125" style="229" customWidth="1"/>
    <col min="13556" max="13556" width="9.1796875" style="229"/>
    <col min="13557" max="13557" width="15.1796875" style="229" customWidth="1"/>
    <col min="13558" max="13558" width="12.26953125" style="229" customWidth="1"/>
    <col min="13559" max="13559" width="10.7265625" style="229" customWidth="1"/>
    <col min="13560" max="13564" width="9.1796875" style="229"/>
    <col min="13565" max="13565" width="15.1796875" style="229" customWidth="1"/>
    <col min="13566" max="13566" width="11.453125" style="229" customWidth="1"/>
    <col min="13567" max="13567" width="11.26953125" style="229" customWidth="1"/>
    <col min="13568" max="13790" width="9.1796875" style="229"/>
    <col min="13791" max="13791" width="4.81640625" style="229" customWidth="1"/>
    <col min="13792" max="13792" width="33.7265625" style="229" customWidth="1"/>
    <col min="13793" max="13794" width="11.453125" style="229" customWidth="1"/>
    <col min="13795" max="13795" width="11" style="229" customWidth="1"/>
    <col min="13796" max="13804" width="11.1796875" style="229" customWidth="1"/>
    <col min="13805" max="13805" width="15.26953125" style="229" customWidth="1"/>
    <col min="13806" max="13806" width="11.453125" style="229" customWidth="1"/>
    <col min="13807" max="13807" width="10.26953125" style="229" customWidth="1"/>
    <col min="13808" max="13808" width="9.54296875" style="229" customWidth="1"/>
    <col min="13809" max="13809" width="15.1796875" style="229" customWidth="1"/>
    <col min="13810" max="13810" width="12.26953125" style="229" customWidth="1"/>
    <col min="13811" max="13811" width="11.26953125" style="229" customWidth="1"/>
    <col min="13812" max="13812" width="9.1796875" style="229"/>
    <col min="13813" max="13813" width="15.1796875" style="229" customWidth="1"/>
    <col min="13814" max="13814" width="12.26953125" style="229" customWidth="1"/>
    <col min="13815" max="13815" width="10.7265625" style="229" customWidth="1"/>
    <col min="13816" max="13820" width="9.1796875" style="229"/>
    <col min="13821" max="13821" width="15.1796875" style="229" customWidth="1"/>
    <col min="13822" max="13822" width="11.453125" style="229" customWidth="1"/>
    <col min="13823" max="13823" width="11.26953125" style="229" customWidth="1"/>
    <col min="13824" max="14046" width="9.1796875" style="229"/>
    <col min="14047" max="14047" width="4.81640625" style="229" customWidth="1"/>
    <col min="14048" max="14048" width="33.7265625" style="229" customWidth="1"/>
    <col min="14049" max="14050" width="11.453125" style="229" customWidth="1"/>
    <col min="14051" max="14051" width="11" style="229" customWidth="1"/>
    <col min="14052" max="14060" width="11.1796875" style="229" customWidth="1"/>
    <col min="14061" max="14061" width="15.26953125" style="229" customWidth="1"/>
    <col min="14062" max="14062" width="11.453125" style="229" customWidth="1"/>
    <col min="14063" max="14063" width="10.26953125" style="229" customWidth="1"/>
    <col min="14064" max="14064" width="9.54296875" style="229" customWidth="1"/>
    <col min="14065" max="14065" width="15.1796875" style="229" customWidth="1"/>
    <col min="14066" max="14066" width="12.26953125" style="229" customWidth="1"/>
    <col min="14067" max="14067" width="11.26953125" style="229" customWidth="1"/>
    <col min="14068" max="14068" width="9.1796875" style="229"/>
    <col min="14069" max="14069" width="15.1796875" style="229" customWidth="1"/>
    <col min="14070" max="14070" width="12.26953125" style="229" customWidth="1"/>
    <col min="14071" max="14071" width="10.7265625" style="229" customWidth="1"/>
    <col min="14072" max="14076" width="9.1796875" style="229"/>
    <col min="14077" max="14077" width="15.1796875" style="229" customWidth="1"/>
    <col min="14078" max="14078" width="11.453125" style="229" customWidth="1"/>
    <col min="14079" max="14079" width="11.26953125" style="229" customWidth="1"/>
    <col min="14080" max="14302" width="9.1796875" style="229"/>
    <col min="14303" max="14303" width="4.81640625" style="229" customWidth="1"/>
    <col min="14304" max="14304" width="33.7265625" style="229" customWidth="1"/>
    <col min="14305" max="14306" width="11.453125" style="229" customWidth="1"/>
    <col min="14307" max="14307" width="11" style="229" customWidth="1"/>
    <col min="14308" max="14316" width="11.1796875" style="229" customWidth="1"/>
    <col min="14317" max="14317" width="15.26953125" style="229" customWidth="1"/>
    <col min="14318" max="14318" width="11.453125" style="229" customWidth="1"/>
    <col min="14319" max="14319" width="10.26953125" style="229" customWidth="1"/>
    <col min="14320" max="14320" width="9.54296875" style="229" customWidth="1"/>
    <col min="14321" max="14321" width="15.1796875" style="229" customWidth="1"/>
    <col min="14322" max="14322" width="12.26953125" style="229" customWidth="1"/>
    <col min="14323" max="14323" width="11.26953125" style="229" customWidth="1"/>
    <col min="14324" max="14324" width="9.1796875" style="229"/>
    <col min="14325" max="14325" width="15.1796875" style="229" customWidth="1"/>
    <col min="14326" max="14326" width="12.26953125" style="229" customWidth="1"/>
    <col min="14327" max="14327" width="10.7265625" style="229" customWidth="1"/>
    <col min="14328" max="14332" width="9.1796875" style="229"/>
    <col min="14333" max="14333" width="15.1796875" style="229" customWidth="1"/>
    <col min="14334" max="14334" width="11.453125" style="229" customWidth="1"/>
    <col min="14335" max="14335" width="11.26953125" style="229" customWidth="1"/>
    <col min="14336" max="14558" width="9.1796875" style="229"/>
    <col min="14559" max="14559" width="4.81640625" style="229" customWidth="1"/>
    <col min="14560" max="14560" width="33.7265625" style="229" customWidth="1"/>
    <col min="14561" max="14562" width="11.453125" style="229" customWidth="1"/>
    <col min="14563" max="14563" width="11" style="229" customWidth="1"/>
    <col min="14564" max="14572" width="11.1796875" style="229" customWidth="1"/>
    <col min="14573" max="14573" width="15.26953125" style="229" customWidth="1"/>
    <col min="14574" max="14574" width="11.453125" style="229" customWidth="1"/>
    <col min="14575" max="14575" width="10.26953125" style="229" customWidth="1"/>
    <col min="14576" max="14576" width="9.54296875" style="229" customWidth="1"/>
    <col min="14577" max="14577" width="15.1796875" style="229" customWidth="1"/>
    <col min="14578" max="14578" width="12.26953125" style="229" customWidth="1"/>
    <col min="14579" max="14579" width="11.26953125" style="229" customWidth="1"/>
    <col min="14580" max="14580" width="9.1796875" style="229"/>
    <col min="14581" max="14581" width="15.1796875" style="229" customWidth="1"/>
    <col min="14582" max="14582" width="12.26953125" style="229" customWidth="1"/>
    <col min="14583" max="14583" width="10.7265625" style="229" customWidth="1"/>
    <col min="14584" max="14588" width="9.1796875" style="229"/>
    <col min="14589" max="14589" width="15.1796875" style="229" customWidth="1"/>
    <col min="14590" max="14590" width="11.453125" style="229" customWidth="1"/>
    <col min="14591" max="14591" width="11.26953125" style="229" customWidth="1"/>
    <col min="14592" max="14814" width="9.1796875" style="229"/>
    <col min="14815" max="14815" width="4.81640625" style="229" customWidth="1"/>
    <col min="14816" max="14816" width="33.7265625" style="229" customWidth="1"/>
    <col min="14817" max="14818" width="11.453125" style="229" customWidth="1"/>
    <col min="14819" max="14819" width="11" style="229" customWidth="1"/>
    <col min="14820" max="14828" width="11.1796875" style="229" customWidth="1"/>
    <col min="14829" max="14829" width="15.26953125" style="229" customWidth="1"/>
    <col min="14830" max="14830" width="11.453125" style="229" customWidth="1"/>
    <col min="14831" max="14831" width="10.26953125" style="229" customWidth="1"/>
    <col min="14832" max="14832" width="9.54296875" style="229" customWidth="1"/>
    <col min="14833" max="14833" width="15.1796875" style="229" customWidth="1"/>
    <col min="14834" max="14834" width="12.26953125" style="229" customWidth="1"/>
    <col min="14835" max="14835" width="11.26953125" style="229" customWidth="1"/>
    <col min="14836" max="14836" width="9.1796875" style="229"/>
    <col min="14837" max="14837" width="15.1796875" style="229" customWidth="1"/>
    <col min="14838" max="14838" width="12.26953125" style="229" customWidth="1"/>
    <col min="14839" max="14839" width="10.7265625" style="229" customWidth="1"/>
    <col min="14840" max="14844" width="9.1796875" style="229"/>
    <col min="14845" max="14845" width="15.1796875" style="229" customWidth="1"/>
    <col min="14846" max="14846" width="11.453125" style="229" customWidth="1"/>
    <col min="14847" max="14847" width="11.26953125" style="229" customWidth="1"/>
    <col min="14848" max="15070" width="9.1796875" style="229"/>
    <col min="15071" max="15071" width="4.81640625" style="229" customWidth="1"/>
    <col min="15072" max="15072" width="33.7265625" style="229" customWidth="1"/>
    <col min="15073" max="15074" width="11.453125" style="229" customWidth="1"/>
    <col min="15075" max="15075" width="11" style="229" customWidth="1"/>
    <col min="15076" max="15084" width="11.1796875" style="229" customWidth="1"/>
    <col min="15085" max="15085" width="15.26953125" style="229" customWidth="1"/>
    <col min="15086" max="15086" width="11.453125" style="229" customWidth="1"/>
    <col min="15087" max="15087" width="10.26953125" style="229" customWidth="1"/>
    <col min="15088" max="15088" width="9.54296875" style="229" customWidth="1"/>
    <col min="15089" max="15089" width="15.1796875" style="229" customWidth="1"/>
    <col min="15090" max="15090" width="12.26953125" style="229" customWidth="1"/>
    <col min="15091" max="15091" width="11.26953125" style="229" customWidth="1"/>
    <col min="15092" max="15092" width="9.1796875" style="229"/>
    <col min="15093" max="15093" width="15.1796875" style="229" customWidth="1"/>
    <col min="15094" max="15094" width="12.26953125" style="229" customWidth="1"/>
    <col min="15095" max="15095" width="10.7265625" style="229" customWidth="1"/>
    <col min="15096" max="15100" width="9.1796875" style="229"/>
    <col min="15101" max="15101" width="15.1796875" style="229" customWidth="1"/>
    <col min="15102" max="15102" width="11.453125" style="229" customWidth="1"/>
    <col min="15103" max="15103" width="11.26953125" style="229" customWidth="1"/>
    <col min="15104" max="15326" width="9.1796875" style="229"/>
    <col min="15327" max="15327" width="4.81640625" style="229" customWidth="1"/>
    <col min="15328" max="15328" width="33.7265625" style="229" customWidth="1"/>
    <col min="15329" max="15330" width="11.453125" style="229" customWidth="1"/>
    <col min="15331" max="15331" width="11" style="229" customWidth="1"/>
    <col min="15332" max="15340" width="11.1796875" style="229" customWidth="1"/>
    <col min="15341" max="15341" width="15.26953125" style="229" customWidth="1"/>
    <col min="15342" max="15342" width="11.453125" style="229" customWidth="1"/>
    <col min="15343" max="15343" width="10.26953125" style="229" customWidth="1"/>
    <col min="15344" max="15344" width="9.54296875" style="229" customWidth="1"/>
    <col min="15345" max="15345" width="15.1796875" style="229" customWidth="1"/>
    <col min="15346" max="15346" width="12.26953125" style="229" customWidth="1"/>
    <col min="15347" max="15347" width="11.26953125" style="229" customWidth="1"/>
    <col min="15348" max="15348" width="9.1796875" style="229"/>
    <col min="15349" max="15349" width="15.1796875" style="229" customWidth="1"/>
    <col min="15350" max="15350" width="12.26953125" style="229" customWidth="1"/>
    <col min="15351" max="15351" width="10.7265625" style="229" customWidth="1"/>
    <col min="15352" max="15356" width="9.1796875" style="229"/>
    <col min="15357" max="15357" width="15.1796875" style="229" customWidth="1"/>
    <col min="15358" max="15358" width="11.453125" style="229" customWidth="1"/>
    <col min="15359" max="15359" width="11.26953125" style="229" customWidth="1"/>
    <col min="15360" max="15582" width="9.1796875" style="229"/>
    <col min="15583" max="15583" width="4.81640625" style="229" customWidth="1"/>
    <col min="15584" max="15584" width="33.7265625" style="229" customWidth="1"/>
    <col min="15585" max="15586" width="11.453125" style="229" customWidth="1"/>
    <col min="15587" max="15587" width="11" style="229" customWidth="1"/>
    <col min="15588" max="15596" width="11.1796875" style="229" customWidth="1"/>
    <col min="15597" max="15597" width="15.26953125" style="229" customWidth="1"/>
    <col min="15598" max="15598" width="11.453125" style="229" customWidth="1"/>
    <col min="15599" max="15599" width="10.26953125" style="229" customWidth="1"/>
    <col min="15600" max="15600" width="9.54296875" style="229" customWidth="1"/>
    <col min="15601" max="15601" width="15.1796875" style="229" customWidth="1"/>
    <col min="15602" max="15602" width="12.26953125" style="229" customWidth="1"/>
    <col min="15603" max="15603" width="11.26953125" style="229" customWidth="1"/>
    <col min="15604" max="15604" width="9.1796875" style="229"/>
    <col min="15605" max="15605" width="15.1796875" style="229" customWidth="1"/>
    <col min="15606" max="15606" width="12.26953125" style="229" customWidth="1"/>
    <col min="15607" max="15607" width="10.7265625" style="229" customWidth="1"/>
    <col min="15608" max="15612" width="9.1796875" style="229"/>
    <col min="15613" max="15613" width="15.1796875" style="229" customWidth="1"/>
    <col min="15614" max="15614" width="11.453125" style="229" customWidth="1"/>
    <col min="15615" max="15615" width="11.26953125" style="229" customWidth="1"/>
    <col min="15616" max="15838" width="9.1796875" style="229"/>
    <col min="15839" max="15839" width="4.81640625" style="229" customWidth="1"/>
    <col min="15840" max="15840" width="33.7265625" style="229" customWidth="1"/>
    <col min="15841" max="15842" width="11.453125" style="229" customWidth="1"/>
    <col min="15843" max="15843" width="11" style="229" customWidth="1"/>
    <col min="15844" max="15852" width="11.1796875" style="229" customWidth="1"/>
    <col min="15853" max="15853" width="15.26953125" style="229" customWidth="1"/>
    <col min="15854" max="15854" width="11.453125" style="229" customWidth="1"/>
    <col min="15855" max="15855" width="10.26953125" style="229" customWidth="1"/>
    <col min="15856" max="15856" width="9.54296875" style="229" customWidth="1"/>
    <col min="15857" max="15857" width="15.1796875" style="229" customWidth="1"/>
    <col min="15858" max="15858" width="12.26953125" style="229" customWidth="1"/>
    <col min="15859" max="15859" width="11.26953125" style="229" customWidth="1"/>
    <col min="15860" max="15860" width="9.1796875" style="229"/>
    <col min="15861" max="15861" width="15.1796875" style="229" customWidth="1"/>
    <col min="15862" max="15862" width="12.26953125" style="229" customWidth="1"/>
    <col min="15863" max="15863" width="10.7265625" style="229" customWidth="1"/>
    <col min="15864" max="15868" width="9.1796875" style="229"/>
    <col min="15869" max="15869" width="15.1796875" style="229" customWidth="1"/>
    <col min="15870" max="15870" width="11.453125" style="229" customWidth="1"/>
    <col min="15871" max="15871" width="11.26953125" style="229" customWidth="1"/>
    <col min="15872" max="16094" width="9.1796875" style="229"/>
    <col min="16095" max="16095" width="4.81640625" style="229" customWidth="1"/>
    <col min="16096" max="16096" width="33.7265625" style="229" customWidth="1"/>
    <col min="16097" max="16098" width="11.453125" style="229" customWidth="1"/>
    <col min="16099" max="16099" width="11" style="229" customWidth="1"/>
    <col min="16100" max="16108" width="11.1796875" style="229" customWidth="1"/>
    <col min="16109" max="16109" width="15.26953125" style="229" customWidth="1"/>
    <col min="16110" max="16110" width="11.453125" style="229" customWidth="1"/>
    <col min="16111" max="16111" width="10.26953125" style="229" customWidth="1"/>
    <col min="16112" max="16112" width="9.54296875" style="229" customWidth="1"/>
    <col min="16113" max="16113" width="15.1796875" style="229" customWidth="1"/>
    <col min="16114" max="16114" width="12.26953125" style="229" customWidth="1"/>
    <col min="16115" max="16115" width="11.26953125" style="229" customWidth="1"/>
    <col min="16116" max="16116" width="9.1796875" style="229"/>
    <col min="16117" max="16117" width="15.1796875" style="229" customWidth="1"/>
    <col min="16118" max="16118" width="12.26953125" style="229" customWidth="1"/>
    <col min="16119" max="16119" width="10.7265625" style="229" customWidth="1"/>
    <col min="16120" max="16124" width="9.1796875" style="229"/>
    <col min="16125" max="16125" width="15.1796875" style="229" customWidth="1"/>
    <col min="16126" max="16126" width="11.453125" style="229" customWidth="1"/>
    <col min="16127" max="16127" width="11.26953125" style="229" customWidth="1"/>
    <col min="16128" max="16384" width="9.1796875" style="229"/>
  </cols>
  <sheetData>
    <row r="1" spans="1:8">
      <c r="A1" s="307" t="s">
        <v>536</v>
      </c>
      <c r="B1" s="307" t="s">
        <v>536</v>
      </c>
    </row>
    <row r="2" spans="1:8">
      <c r="A2" s="344" t="str">
        <f>'F10'!A2:H2</f>
        <v>Name of Distribution Licensee: PUVVNL</v>
      </c>
      <c r="B2" s="344" t="str">
        <f>'F10'!B2:I2</f>
        <v>Name of Distribution Licensee: PUVVNL</v>
      </c>
      <c r="C2" s="344"/>
      <c r="D2" s="344"/>
      <c r="E2" s="344"/>
      <c r="F2" s="344"/>
      <c r="G2" s="344"/>
      <c r="H2" s="344"/>
    </row>
    <row r="3" spans="1:8">
      <c r="A3" s="304" t="s">
        <v>300</v>
      </c>
      <c r="B3" s="304" t="s">
        <v>300</v>
      </c>
      <c r="C3" s="304"/>
      <c r="D3" s="304"/>
      <c r="E3" s="304"/>
      <c r="F3" s="304"/>
      <c r="G3" s="304"/>
      <c r="H3" s="304"/>
    </row>
    <row r="4" spans="1:8">
      <c r="A4" s="216"/>
      <c r="B4" s="216"/>
      <c r="C4" s="216"/>
      <c r="D4" s="1017"/>
      <c r="E4" s="216"/>
      <c r="F4" s="1017"/>
      <c r="G4" s="34"/>
      <c r="H4" s="961" t="s">
        <v>141</v>
      </c>
    </row>
    <row r="5" spans="1:8" ht="12.75" customHeight="1">
      <c r="A5" s="3029" t="s">
        <v>106</v>
      </c>
      <c r="B5" s="3029" t="s">
        <v>222</v>
      </c>
      <c r="C5" s="3024" t="s">
        <v>952</v>
      </c>
      <c r="D5" s="3073"/>
      <c r="E5" s="3073"/>
      <c r="F5" s="3073"/>
      <c r="G5" s="3073"/>
      <c r="H5" s="3073"/>
    </row>
    <row r="6" spans="1:8" ht="12.75" customHeight="1">
      <c r="A6" s="3030"/>
      <c r="B6" s="3030"/>
      <c r="C6" s="3026" t="s">
        <v>547</v>
      </c>
      <c r="D6" s="3026"/>
      <c r="E6" s="3026"/>
      <c r="F6" s="3026"/>
      <c r="G6" s="3026"/>
      <c r="H6" s="3026"/>
    </row>
    <row r="7" spans="1:8">
      <c r="A7" s="3030"/>
      <c r="B7" s="3030"/>
      <c r="C7" s="3070" t="s">
        <v>283</v>
      </c>
      <c r="D7" s="3070"/>
      <c r="E7" s="3070"/>
      <c r="F7" s="3070"/>
      <c r="G7" s="3070"/>
      <c r="H7" s="3070"/>
    </row>
    <row r="8" spans="1:8" ht="72.5">
      <c r="A8" s="3089"/>
      <c r="B8" s="3089"/>
      <c r="C8" s="326" t="s">
        <v>1471</v>
      </c>
      <c r="D8" s="1018" t="s">
        <v>516</v>
      </c>
      <c r="E8" s="326" t="s">
        <v>291</v>
      </c>
      <c r="F8" s="1018" t="s">
        <v>1475</v>
      </c>
      <c r="G8" s="326" t="s">
        <v>292</v>
      </c>
      <c r="H8" s="322" t="s">
        <v>293</v>
      </c>
    </row>
    <row r="9" spans="1:8" s="1025" customFormat="1">
      <c r="A9" s="1307"/>
      <c r="B9" s="972"/>
      <c r="C9" s="972"/>
      <c r="D9" s="1303" t="s">
        <v>57</v>
      </c>
      <c r="E9" s="1303" t="s">
        <v>58</v>
      </c>
      <c r="F9" s="1303"/>
      <c r="G9" s="1303" t="s">
        <v>67</v>
      </c>
      <c r="H9" s="236" t="s">
        <v>295</v>
      </c>
    </row>
    <row r="10" spans="1:8" s="223" customFormat="1" ht="12.75" customHeight="1">
      <c r="A10" s="1313"/>
      <c r="B10" s="1402" t="s">
        <v>1476</v>
      </c>
      <c r="C10" s="1303"/>
      <c r="D10" s="1303"/>
      <c r="E10" s="1303"/>
      <c r="F10" s="1303"/>
      <c r="G10" s="1303"/>
      <c r="H10" s="236"/>
    </row>
    <row r="11" spans="1:8">
      <c r="A11" s="1424">
        <v>1</v>
      </c>
      <c r="B11" s="1402" t="s">
        <v>1396</v>
      </c>
      <c r="C11" s="1081">
        <v>4813.8568544292975</v>
      </c>
      <c r="D11" s="1081">
        <v>1733.4595125987892</v>
      </c>
      <c r="E11" s="1081">
        <f>IFERROR((D11/C11)*10,0)</f>
        <v>3.600978518926687</v>
      </c>
      <c r="F11" s="1082">
        <f ca="1">_xlfn.IFNA(INDEX('F7'!$R$10:$R$126,MATCH(B11,'F7'!$B$10:$B$126,0)),0)</f>
        <v>4619.9567859063754</v>
      </c>
      <c r="G11" s="1082">
        <f ca="1">IFERROR((F11/C11)*10,0)</f>
        <v>9.5972043324376966</v>
      </c>
      <c r="H11" s="1081">
        <f ca="1">E11-G11</f>
        <v>-5.9962258135110096</v>
      </c>
    </row>
    <row r="12" spans="1:8">
      <c r="A12" s="1424">
        <v>2</v>
      </c>
      <c r="B12" s="1402" t="s">
        <v>1044</v>
      </c>
      <c r="C12" s="1081">
        <v>626.66123040000014</v>
      </c>
      <c r="D12" s="1081">
        <v>217.59070500000004</v>
      </c>
      <c r="E12" s="1081"/>
      <c r="F12" s="1082">
        <f ca="1">_xlfn.IFNA(INDEX('F7'!$R$10:$R$126,MATCH(B12,'F7'!$B$10:$B$126,0)),0)</f>
        <v>601.41958753656172</v>
      </c>
      <c r="G12" s="1082">
        <f t="shared" ref="G12:G75" ca="1" si="0">IFERROR((F12/C12)*10,0)</f>
        <v>9.5972043324376948</v>
      </c>
      <c r="H12" s="1081">
        <f t="shared" ref="H12:H75" ca="1" si="1">E12-G12</f>
        <v>-9.5972043324376948</v>
      </c>
    </row>
    <row r="13" spans="1:8">
      <c r="A13" s="1424">
        <v>3</v>
      </c>
      <c r="B13" s="1402" t="s">
        <v>1045</v>
      </c>
      <c r="C13" s="1081">
        <v>2106.8157985892299</v>
      </c>
      <c r="D13" s="1081">
        <v>1004.4745155671153</v>
      </c>
      <c r="E13" s="1081">
        <f t="shared" ref="E13:E75" si="2">IFERROR((D13/C13)*10,0)</f>
        <v>4.7677377217302697</v>
      </c>
      <c r="F13" s="1082">
        <f ca="1">_xlfn.IFNA(INDEX('F7'!$R$10:$R$126,MATCH(B13,'F7'!$B$10:$B$126,0)),0)</f>
        <v>2021.9541709868734</v>
      </c>
      <c r="G13" s="1082">
        <f t="shared" ca="1" si="0"/>
        <v>9.5972043324376912</v>
      </c>
      <c r="H13" s="1081">
        <f t="shared" ca="1" si="1"/>
        <v>-4.8294666107074216</v>
      </c>
    </row>
    <row r="14" spans="1:8">
      <c r="A14" s="1427"/>
      <c r="B14" s="1406" t="s">
        <v>1419</v>
      </c>
      <c r="C14" s="1081">
        <v>1081.0181669481694</v>
      </c>
      <c r="D14" s="1081">
        <v>434.06609378747481</v>
      </c>
      <c r="E14" s="1081">
        <f t="shared" si="2"/>
        <v>4.015345042839475</v>
      </c>
      <c r="F14" s="1082">
        <f>_xlfn.IFNA(INDEX('F7'!$R$10:$R$126,MATCH(B14,'F7'!$B$10:$B$126,0)),0)</f>
        <v>0</v>
      </c>
      <c r="G14" s="1082">
        <f t="shared" si="0"/>
        <v>0</v>
      </c>
      <c r="H14" s="1081">
        <f t="shared" si="1"/>
        <v>4.015345042839475</v>
      </c>
    </row>
    <row r="15" spans="1:8">
      <c r="A15" s="1427"/>
      <c r="B15" s="1406" t="s">
        <v>1420</v>
      </c>
      <c r="C15" s="1081">
        <v>421.03390930255313</v>
      </c>
      <c r="D15" s="1081">
        <v>204.66591687608098</v>
      </c>
      <c r="E15" s="1081">
        <f t="shared" si="2"/>
        <v>4.8610316735559875</v>
      </c>
      <c r="F15" s="1082">
        <f>_xlfn.IFNA(INDEX('F7'!$R$10:$R$126,MATCH(B15,'F7'!$B$10:$B$126,0)),0)</f>
        <v>0</v>
      </c>
      <c r="G15" s="1082">
        <f t="shared" si="0"/>
        <v>0</v>
      </c>
      <c r="H15" s="1081">
        <f t="shared" si="1"/>
        <v>4.8610316735559875</v>
      </c>
    </row>
    <row r="16" spans="1:8">
      <c r="B16" s="1406" t="s">
        <v>1421</v>
      </c>
      <c r="C16" s="1081">
        <v>363.39904158119941</v>
      </c>
      <c r="D16" s="1081">
        <v>207.79476173747972</v>
      </c>
      <c r="E16" s="1081">
        <f t="shared" si="2"/>
        <v>5.7180877757226876</v>
      </c>
      <c r="F16" s="1082">
        <f>_xlfn.IFNA(INDEX('F7'!$R$10:$R$126,MATCH(B16,'F7'!$B$10:$B$126,0)),0)</f>
        <v>0</v>
      </c>
      <c r="G16" s="1082">
        <f t="shared" si="0"/>
        <v>0</v>
      </c>
      <c r="H16" s="1081">
        <f t="shared" si="1"/>
        <v>5.7180877757226876</v>
      </c>
    </row>
    <row r="17" spans="1:8">
      <c r="A17" s="427" t="s">
        <v>1289</v>
      </c>
      <c r="B17" s="1406" t="s">
        <v>1422</v>
      </c>
      <c r="C17" s="1081">
        <v>187.56421209977492</v>
      </c>
      <c r="D17" s="1081">
        <v>117.83888968749622</v>
      </c>
      <c r="E17" s="1081">
        <f t="shared" si="2"/>
        <v>6.2825892193555424</v>
      </c>
      <c r="F17" s="1082">
        <f>_xlfn.IFNA(INDEX('F7'!$R$10:$R$126,MATCH(B17,'F7'!$B$10:$B$126,0)),0)</f>
        <v>0</v>
      </c>
      <c r="G17" s="1082">
        <f t="shared" si="0"/>
        <v>0</v>
      </c>
      <c r="H17" s="1081">
        <f t="shared" si="1"/>
        <v>6.2825892193555424</v>
      </c>
    </row>
    <row r="18" spans="1:8">
      <c r="B18" s="1409" t="s">
        <v>1423</v>
      </c>
      <c r="C18" s="1081">
        <v>53.800468657532619</v>
      </c>
      <c r="D18" s="1081">
        <v>40.108853478583576</v>
      </c>
      <c r="E18" s="1081">
        <f t="shared" si="2"/>
        <v>7.4551122842250415</v>
      </c>
      <c r="F18" s="1082">
        <f>_xlfn.IFNA(INDEX('F7'!$R$10:$R$126,MATCH(B18,'F7'!$B$10:$B$126,0)),0)</f>
        <v>0</v>
      </c>
      <c r="G18" s="1082">
        <f t="shared" si="0"/>
        <v>0</v>
      </c>
      <c r="H18" s="1081">
        <f t="shared" si="1"/>
        <v>7.4551122842250415</v>
      </c>
    </row>
    <row r="19" spans="1:8">
      <c r="B19" s="1402" t="s">
        <v>1046</v>
      </c>
      <c r="C19" s="1081">
        <v>8.1</v>
      </c>
      <c r="D19" s="1081">
        <v>10.903914971999999</v>
      </c>
      <c r="E19" s="1081">
        <f t="shared" si="2"/>
        <v>13.461623422222221</v>
      </c>
      <c r="F19" s="1082">
        <f ca="1">_xlfn.IFNA(INDEX('F7'!$R$10:$R$126,MATCH(B19,'F7'!$B$10:$B$126,0)),0)</f>
        <v>7.7737355092745331</v>
      </c>
      <c r="G19" s="1082">
        <f t="shared" ca="1" si="0"/>
        <v>9.5972043324376948</v>
      </c>
      <c r="H19" s="1081">
        <f t="shared" ca="1" si="1"/>
        <v>3.8644190897845263</v>
      </c>
    </row>
    <row r="20" spans="1:8">
      <c r="B20" s="1402" t="s">
        <v>1047</v>
      </c>
      <c r="C20" s="1081">
        <v>5377.1073529521191</v>
      </c>
      <c r="D20" s="1081">
        <v>3660.0170616542641</v>
      </c>
      <c r="E20" s="1081">
        <f t="shared" si="2"/>
        <v>6.8066654083907316</v>
      </c>
      <c r="F20" s="1082">
        <f ca="1">_xlfn.IFNA(INDEX('F7'!$R$10:$R$126,MATCH(B20,'F7'!$B$10:$B$126,0)),0)</f>
        <v>5160.5197983734652</v>
      </c>
      <c r="G20" s="1082">
        <f t="shared" ca="1" si="0"/>
        <v>9.597204332437693</v>
      </c>
      <c r="H20" s="1081">
        <f t="shared" ca="1" si="1"/>
        <v>-2.7905389240469614</v>
      </c>
    </row>
    <row r="21" spans="1:8">
      <c r="B21" s="1406" t="s">
        <v>1424</v>
      </c>
      <c r="C21" s="1081">
        <v>2914.9905936382415</v>
      </c>
      <c r="D21" s="1081">
        <v>1873.917667584446</v>
      </c>
      <c r="E21" s="1081">
        <f t="shared" si="2"/>
        <v>6.4285547667774203</v>
      </c>
      <c r="F21" s="1082">
        <f>_xlfn.IFNA(INDEX('F7'!$R$10:$R$126,MATCH(B21,'F7'!$B$10:$B$126,0)),0)</f>
        <v>0</v>
      </c>
      <c r="G21" s="1082">
        <f t="shared" si="0"/>
        <v>0</v>
      </c>
      <c r="H21" s="1081">
        <f t="shared" si="1"/>
        <v>6.4285547667774203</v>
      </c>
    </row>
    <row r="22" spans="1:8">
      <c r="B22" s="1406" t="s">
        <v>1421</v>
      </c>
      <c r="C22" s="1081">
        <v>892.6158379196462</v>
      </c>
      <c r="D22" s="1081">
        <v>604.16306023458537</v>
      </c>
      <c r="E22" s="1081">
        <f t="shared" si="2"/>
        <v>6.7684555277740044</v>
      </c>
      <c r="F22" s="1082">
        <f>_xlfn.IFNA(INDEX('F7'!$R$10:$R$126,MATCH(B22,'F7'!$B$10:$B$126,0)),0)</f>
        <v>0</v>
      </c>
      <c r="G22" s="1082">
        <f t="shared" si="0"/>
        <v>0</v>
      </c>
      <c r="H22" s="1081">
        <f t="shared" si="1"/>
        <v>6.7684555277740044</v>
      </c>
    </row>
    <row r="23" spans="1:8">
      <c r="B23" s="1406" t="s">
        <v>1422</v>
      </c>
      <c r="C23" s="1081">
        <v>726.24730671035888</v>
      </c>
      <c r="D23" s="1081">
        <v>532.84485181203775</v>
      </c>
      <c r="E23" s="1081">
        <f t="shared" si="2"/>
        <v>7.3369614852774436</v>
      </c>
      <c r="F23" s="1082">
        <f>_xlfn.IFNA(INDEX('F7'!$R$10:$R$126,MATCH(B23,'F7'!$B$10:$B$126,0)),0)</f>
        <v>0</v>
      </c>
      <c r="G23" s="1082">
        <f t="shared" si="0"/>
        <v>0</v>
      </c>
      <c r="H23" s="1081">
        <f t="shared" si="1"/>
        <v>7.3369614852774436</v>
      </c>
    </row>
    <row r="24" spans="1:8">
      <c r="B24" s="1406" t="s">
        <v>1423</v>
      </c>
      <c r="C24" s="1081">
        <v>843.25361468387189</v>
      </c>
      <c r="D24" s="1081">
        <v>649.09148202319511</v>
      </c>
      <c r="E24" s="1081">
        <f t="shared" si="2"/>
        <v>7.6974645672468718</v>
      </c>
      <c r="F24" s="1082">
        <f>_xlfn.IFNA(INDEX('F7'!$R$10:$R$126,MATCH(B24,'F7'!$B$10:$B$126,0)),0)</f>
        <v>0</v>
      </c>
      <c r="G24" s="1082">
        <f t="shared" si="0"/>
        <v>0</v>
      </c>
      <c r="H24" s="1081">
        <f t="shared" si="1"/>
        <v>7.6974645672468718</v>
      </c>
    </row>
    <row r="25" spans="1:8">
      <c r="B25" s="1402" t="s">
        <v>1425</v>
      </c>
      <c r="C25" s="1081">
        <v>12932.541236370645</v>
      </c>
      <c r="D25" s="1081">
        <v>6626.4457097921695</v>
      </c>
      <c r="E25" s="1081">
        <f t="shared" si="2"/>
        <v>5.1238543057232864</v>
      </c>
      <c r="F25" s="1082">
        <f ca="1">_xlfn.IFNA(INDEX('F7'!$R$10:$R$126,MATCH(B25,'F7'!$B$10:$B$126,0)),0)</f>
        <v>12411.62407831255</v>
      </c>
      <c r="G25" s="1082">
        <f t="shared" ca="1" si="0"/>
        <v>9.5972043324376948</v>
      </c>
      <c r="H25" s="1081">
        <f t="shared" ca="1" si="1"/>
        <v>-4.4733500267144084</v>
      </c>
    </row>
    <row r="26" spans="1:8">
      <c r="B26" s="1409"/>
      <c r="C26" s="1081">
        <v>0</v>
      </c>
      <c r="D26" s="1081">
        <v>0</v>
      </c>
      <c r="E26" s="1081">
        <f t="shared" si="2"/>
        <v>0</v>
      </c>
      <c r="F26" s="1082">
        <f>_xlfn.IFNA(INDEX('F7'!$R$10:$R$126,MATCH(B26,'F7'!$B$10:$B$126,0)),0)</f>
        <v>0</v>
      </c>
      <c r="G26" s="1082">
        <f t="shared" si="0"/>
        <v>0</v>
      </c>
      <c r="H26" s="1081">
        <f t="shared" si="1"/>
        <v>0</v>
      </c>
    </row>
    <row r="27" spans="1:8">
      <c r="B27" s="1402" t="s">
        <v>1398</v>
      </c>
      <c r="C27" s="1081">
        <v>0</v>
      </c>
      <c r="D27" s="1081">
        <v>0</v>
      </c>
      <c r="E27" s="1081">
        <f t="shared" si="2"/>
        <v>0</v>
      </c>
      <c r="F27" s="1082">
        <f ca="1">_xlfn.IFNA(INDEX('F7'!$R$10:$R$126,MATCH(B27,'F7'!$B$10:$B$126,0)),0)</f>
        <v>0</v>
      </c>
      <c r="G27" s="1082">
        <f t="shared" ca="1" si="0"/>
        <v>0</v>
      </c>
      <c r="H27" s="1081">
        <f t="shared" ca="1" si="1"/>
        <v>0</v>
      </c>
    </row>
    <row r="28" spans="1:8">
      <c r="B28" s="1402" t="s">
        <v>1051</v>
      </c>
      <c r="C28" s="1081">
        <v>0</v>
      </c>
      <c r="D28" s="1081">
        <v>0</v>
      </c>
      <c r="E28" s="1081">
        <f t="shared" si="2"/>
        <v>0</v>
      </c>
      <c r="F28" s="1082">
        <f ca="1">_xlfn.IFNA(INDEX('F7'!$R$10:$R$126,MATCH(B28,'F7'!$B$10:$B$126,0)),0)</f>
        <v>0</v>
      </c>
      <c r="G28" s="1082">
        <f t="shared" ca="1" si="0"/>
        <v>0</v>
      </c>
      <c r="H28" s="1081">
        <f t="shared" ca="1" si="1"/>
        <v>0</v>
      </c>
    </row>
    <row r="29" spans="1:8">
      <c r="B29" s="1402" t="s">
        <v>1052</v>
      </c>
      <c r="C29" s="1081">
        <v>703.45074399999953</v>
      </c>
      <c r="D29" s="1081">
        <v>427.19995020999971</v>
      </c>
      <c r="E29" s="1081">
        <f t="shared" si="2"/>
        <v>6.0729191610606925</v>
      </c>
      <c r="F29" s="1082">
        <f ca="1">_xlfn.IFNA(INDEX('F7'!$R$10:$R$126,MATCH(B29,'F7'!$B$10:$B$126,0)),0)</f>
        <v>675.11605279733158</v>
      </c>
      <c r="G29" s="1082">
        <f t="shared" ca="1" si="0"/>
        <v>9.5972043324376948</v>
      </c>
      <c r="H29" s="1081">
        <f t="shared" ca="1" si="1"/>
        <v>-3.5242851713770023</v>
      </c>
    </row>
    <row r="30" spans="1:8">
      <c r="B30" s="1402" t="s">
        <v>1399</v>
      </c>
      <c r="C30" s="1081">
        <v>53.191986666666672</v>
      </c>
      <c r="D30" s="1081">
        <v>95.745576</v>
      </c>
      <c r="E30" s="1081">
        <f t="shared" si="2"/>
        <v>18</v>
      </c>
      <c r="F30" s="1082">
        <f ca="1">_xlfn.IFNA(INDEX('F7'!$R$10:$R$126,MATCH(B30,'F7'!$B$10:$B$126,0)),0)</f>
        <v>51.049436488830146</v>
      </c>
      <c r="G30" s="1082">
        <f t="shared" ca="1" si="0"/>
        <v>9.5972043324376948</v>
      </c>
      <c r="H30" s="1081">
        <f t="shared" ca="1" si="1"/>
        <v>8.4027956675623052</v>
      </c>
    </row>
    <row r="31" spans="1:8">
      <c r="B31" s="1402" t="s">
        <v>1054</v>
      </c>
      <c r="C31" s="1081">
        <v>1322.2701860800003</v>
      </c>
      <c r="D31" s="1081">
        <v>1460.3387938504186</v>
      </c>
      <c r="E31" s="1081">
        <f t="shared" si="2"/>
        <v>11.044178483519591</v>
      </c>
      <c r="F31" s="1082">
        <f ca="1">_xlfn.IFNA(INDEX('F7'!$R$10:$R$126,MATCH(B31,'F7'!$B$10:$B$126,0)),0)</f>
        <v>1269.0097158500175</v>
      </c>
      <c r="G31" s="1082">
        <f t="shared" ca="1" si="0"/>
        <v>9.5972043324376948</v>
      </c>
      <c r="H31" s="1081">
        <f t="shared" ca="1" si="1"/>
        <v>1.4469741510818963</v>
      </c>
    </row>
    <row r="32" spans="1:8">
      <c r="B32" s="1410" t="s">
        <v>1449</v>
      </c>
      <c r="C32" s="1081">
        <v>634.68968931840004</v>
      </c>
      <c r="D32" s="1081">
        <v>628.03809224134568</v>
      </c>
      <c r="E32" s="1081">
        <f t="shared" si="2"/>
        <v>9.8951992258737089</v>
      </c>
      <c r="F32" s="1082">
        <f>_xlfn.IFNA(INDEX('F7'!$R$10:$R$126,MATCH(B32,'F7'!$B$10:$B$126,0)),0)</f>
        <v>0</v>
      </c>
      <c r="G32" s="1082">
        <f t="shared" si="0"/>
        <v>0</v>
      </c>
      <c r="H32" s="1081">
        <f t="shared" si="1"/>
        <v>9.8951992258737089</v>
      </c>
    </row>
    <row r="33" spans="2:8">
      <c r="B33" s="1406" t="s">
        <v>1055</v>
      </c>
      <c r="C33" s="1081">
        <v>569.33066999875211</v>
      </c>
      <c r="D33" s="1081">
        <v>564.19433803719198</v>
      </c>
      <c r="E33" s="1081">
        <f t="shared" si="2"/>
        <v>9.909782974425541</v>
      </c>
      <c r="F33" s="1082">
        <f>_xlfn.IFNA(INDEX('F7'!$R$10:$R$126,MATCH(B33,'F7'!$B$10:$B$126,0)),0)</f>
        <v>0</v>
      </c>
      <c r="G33" s="1082">
        <f t="shared" si="0"/>
        <v>0</v>
      </c>
      <c r="H33" s="1081">
        <f t="shared" si="1"/>
        <v>9.909782974425541</v>
      </c>
    </row>
    <row r="34" spans="2:8">
      <c r="B34" s="1406" t="s">
        <v>1056</v>
      </c>
      <c r="C34" s="1081">
        <v>82.374310465440061</v>
      </c>
      <c r="D34" s="1081">
        <v>77.99846371320244</v>
      </c>
      <c r="E34" s="1081">
        <f t="shared" si="2"/>
        <v>9.4687850219913532</v>
      </c>
      <c r="F34" s="1082">
        <f>_xlfn.IFNA(INDEX('F7'!$R$10:$R$126,MATCH(B34,'F7'!$B$10:$B$126,0)),0)</f>
        <v>0</v>
      </c>
      <c r="G34" s="1082">
        <f t="shared" si="0"/>
        <v>0</v>
      </c>
      <c r="H34" s="1081">
        <f t="shared" si="1"/>
        <v>9.4687850219913532</v>
      </c>
    </row>
    <row r="35" spans="2:8">
      <c r="B35" s="1406" t="s">
        <v>1057</v>
      </c>
      <c r="C35" s="1081">
        <v>-17.015291145792105</v>
      </c>
      <c r="D35" s="1081">
        <v>-14.154709509048706</v>
      </c>
      <c r="E35" s="1081">
        <f t="shared" si="2"/>
        <v>8.3188171085448488</v>
      </c>
      <c r="F35" s="1082">
        <f>_xlfn.IFNA(INDEX('F7'!$R$10:$R$126,MATCH(B35,'F7'!$B$10:$B$126,0)),0)</f>
        <v>0</v>
      </c>
      <c r="G35" s="1082">
        <f t="shared" si="0"/>
        <v>0</v>
      </c>
      <c r="H35" s="1081">
        <f t="shared" si="1"/>
        <v>8.3188171085448488</v>
      </c>
    </row>
    <row r="36" spans="2:8">
      <c r="B36" s="1410" t="s">
        <v>1450</v>
      </c>
      <c r="C36" s="1081">
        <v>370.23565210240002</v>
      </c>
      <c r="D36" s="1081">
        <v>395.52674363422636</v>
      </c>
      <c r="E36" s="1081">
        <f t="shared" si="2"/>
        <v>10.683107944580964</v>
      </c>
      <c r="F36" s="1082">
        <f>_xlfn.IFNA(INDEX('F7'!$R$10:$R$126,MATCH(B36,'F7'!$B$10:$B$126,0)),0)</f>
        <v>0</v>
      </c>
      <c r="G36" s="1082">
        <f t="shared" si="0"/>
        <v>0</v>
      </c>
      <c r="H36" s="1081">
        <f t="shared" si="1"/>
        <v>10.683107944580964</v>
      </c>
    </row>
    <row r="37" spans="2:8">
      <c r="B37" s="1406" t="s">
        <v>1055</v>
      </c>
      <c r="C37" s="1081">
        <v>209.319983377456</v>
      </c>
      <c r="D37" s="1081">
        <v>233.42703956478772</v>
      </c>
      <c r="E37" s="1081">
        <f t="shared" si="2"/>
        <v>11.15168441150985</v>
      </c>
      <c r="F37" s="1082">
        <f>_xlfn.IFNA(INDEX('F7'!$R$10:$R$126,MATCH(B37,'F7'!$B$10:$B$126,0)),0)</f>
        <v>0</v>
      </c>
      <c r="G37" s="1082">
        <f t="shared" si="0"/>
        <v>0</v>
      </c>
      <c r="H37" s="1081">
        <f t="shared" si="1"/>
        <v>11.15168441150985</v>
      </c>
    </row>
    <row r="38" spans="2:8">
      <c r="B38" s="1406" t="s">
        <v>1056</v>
      </c>
      <c r="C38" s="1081">
        <v>107.84237976433597</v>
      </c>
      <c r="D38" s="1081">
        <v>108.85940426858302</v>
      </c>
      <c r="E38" s="1081">
        <f t="shared" si="2"/>
        <v>10.094306570985314</v>
      </c>
      <c r="F38" s="1082">
        <f>_xlfn.IFNA(INDEX('F7'!$R$10:$R$126,MATCH(B38,'F7'!$B$10:$B$126,0)),0)</f>
        <v>0</v>
      </c>
      <c r="G38" s="1082">
        <f t="shared" si="0"/>
        <v>0</v>
      </c>
      <c r="H38" s="1081">
        <f t="shared" si="1"/>
        <v>10.094306570985314</v>
      </c>
    </row>
    <row r="39" spans="2:8">
      <c r="B39" s="1406" t="s">
        <v>1057</v>
      </c>
      <c r="C39" s="1081">
        <v>53.073288960608075</v>
      </c>
      <c r="D39" s="1081">
        <v>53.240299800855581</v>
      </c>
      <c r="E39" s="1081">
        <f t="shared" si="2"/>
        <v>10.031467965057049</v>
      </c>
      <c r="F39" s="1082">
        <f>_xlfn.IFNA(INDEX('F7'!$R$10:$R$126,MATCH(B39,'F7'!$B$10:$B$126,0)),0)</f>
        <v>0</v>
      </c>
      <c r="G39" s="1082">
        <f t="shared" si="0"/>
        <v>0</v>
      </c>
      <c r="H39" s="1081">
        <f t="shared" si="1"/>
        <v>10.031467965057049</v>
      </c>
    </row>
    <row r="40" spans="2:8">
      <c r="B40" s="1410" t="s">
        <v>1451</v>
      </c>
      <c r="C40" s="1081">
        <v>317.34484465920002</v>
      </c>
      <c r="D40" s="1081">
        <v>436.7739579748465</v>
      </c>
      <c r="E40" s="1081">
        <f t="shared" si="2"/>
        <v>13.76338596090643</v>
      </c>
      <c r="F40" s="1082">
        <f>_xlfn.IFNA(INDEX('F7'!$R$10:$R$126,MATCH(B40,'F7'!$B$10:$B$126,0)),0)</f>
        <v>0</v>
      </c>
      <c r="G40" s="1082">
        <f t="shared" si="0"/>
        <v>0</v>
      </c>
      <c r="H40" s="1081">
        <f t="shared" si="1"/>
        <v>13.76338596090643</v>
      </c>
    </row>
    <row r="41" spans="2:8">
      <c r="B41" s="1406" t="s">
        <v>1055</v>
      </c>
      <c r="C41" s="1081">
        <v>81.135212246976025</v>
      </c>
      <c r="D41" s="1081">
        <v>98.429641170372037</v>
      </c>
      <c r="E41" s="1081">
        <f t="shared" si="2"/>
        <v>12.131556502342246</v>
      </c>
      <c r="F41" s="1082">
        <f>_xlfn.IFNA(INDEX('F7'!$R$10:$R$126,MATCH(B41,'F7'!$B$10:$B$126,0)),0)</f>
        <v>0</v>
      </c>
      <c r="G41" s="1082">
        <f t="shared" si="0"/>
        <v>0</v>
      </c>
      <c r="H41" s="1081">
        <f t="shared" si="1"/>
        <v>12.131556502342246</v>
      </c>
    </row>
    <row r="42" spans="2:8">
      <c r="B42" s="1406" t="s">
        <v>1056</v>
      </c>
      <c r="C42" s="1081">
        <v>44.886427373760007</v>
      </c>
      <c r="D42" s="1081">
        <v>66.742323709748419</v>
      </c>
      <c r="E42" s="1081">
        <f t="shared" si="2"/>
        <v>14.869154801294137</v>
      </c>
      <c r="F42" s="1082">
        <f>_xlfn.IFNA(INDEX('F7'!$R$10:$R$126,MATCH(B42,'F7'!$B$10:$B$126,0)),0)</f>
        <v>0</v>
      </c>
      <c r="G42" s="1082">
        <f t="shared" si="0"/>
        <v>0</v>
      </c>
      <c r="H42" s="1081">
        <f t="shared" si="1"/>
        <v>14.869154801294137</v>
      </c>
    </row>
    <row r="43" spans="2:8">
      <c r="B43" s="1406" t="s">
        <v>1057</v>
      </c>
      <c r="C43" s="1081">
        <v>191.32320503846401</v>
      </c>
      <c r="D43" s="1081">
        <v>271.60199309472603</v>
      </c>
      <c r="E43" s="1081">
        <f t="shared" si="2"/>
        <v>14.195977588820059</v>
      </c>
      <c r="F43" s="1082">
        <f>_xlfn.IFNA(INDEX('F7'!$R$10:$R$126,MATCH(B43,'F7'!$B$10:$B$126,0)),0)</f>
        <v>0</v>
      </c>
      <c r="G43" s="1082">
        <f t="shared" si="0"/>
        <v>0</v>
      </c>
      <c r="H43" s="1081">
        <f t="shared" si="1"/>
        <v>14.195977588820059</v>
      </c>
    </row>
    <row r="44" spans="2:8">
      <c r="B44" s="1402" t="s">
        <v>1425</v>
      </c>
      <c r="C44" s="1081">
        <v>2078.9129167466663</v>
      </c>
      <c r="D44" s="1081">
        <v>1983.2843200604182</v>
      </c>
      <c r="E44" s="1081">
        <f t="shared" si="2"/>
        <v>9.5400067221868099</v>
      </c>
      <c r="F44" s="1082">
        <f ca="1">_xlfn.IFNA(INDEX('F7'!$R$10:$R$126,MATCH(B44,'F7'!$B$10:$B$126,0)),0)</f>
        <v>12411.62407831255</v>
      </c>
      <c r="G44" s="1082">
        <f t="shared" ca="1" si="0"/>
        <v>59.702472279289871</v>
      </c>
      <c r="H44" s="1081">
        <f t="shared" ca="1" si="1"/>
        <v>-50.162465557103062</v>
      </c>
    </row>
    <row r="45" spans="2:8">
      <c r="B45" s="1409"/>
      <c r="C45" s="1081">
        <v>0</v>
      </c>
      <c r="D45" s="1081">
        <v>0</v>
      </c>
      <c r="E45" s="1081">
        <f t="shared" si="2"/>
        <v>0</v>
      </c>
      <c r="F45" s="1082">
        <f>_xlfn.IFNA(INDEX('F7'!$R$10:$R$126,MATCH(B45,'F7'!$B$10:$B$126,0)),0)</f>
        <v>0</v>
      </c>
      <c r="G45" s="1082">
        <f t="shared" si="0"/>
        <v>0</v>
      </c>
      <c r="H45" s="1081">
        <f t="shared" si="1"/>
        <v>0</v>
      </c>
    </row>
    <row r="46" spans="2:8">
      <c r="B46" s="1402" t="s">
        <v>1400</v>
      </c>
      <c r="C46" s="1081">
        <v>0</v>
      </c>
      <c r="D46" s="1081">
        <v>0</v>
      </c>
      <c r="E46" s="1081">
        <f t="shared" si="2"/>
        <v>0</v>
      </c>
      <c r="F46" s="1082">
        <f ca="1">_xlfn.IFNA(INDEX('F7'!$R$10:$R$126,MATCH(B46,'F7'!$B$10:$B$126,0)),0)</f>
        <v>0</v>
      </c>
      <c r="G46" s="1082">
        <f t="shared" ca="1" si="0"/>
        <v>0</v>
      </c>
      <c r="H46" s="1081">
        <f t="shared" ca="1" si="1"/>
        <v>0</v>
      </c>
    </row>
    <row r="47" spans="2:8">
      <c r="B47" s="1402" t="s">
        <v>1404</v>
      </c>
      <c r="C47" s="1081">
        <v>15.142749999999999</v>
      </c>
      <c r="D47" s="1081">
        <v>32.183864999999997</v>
      </c>
      <c r="E47" s="1081">
        <f t="shared" si="2"/>
        <v>21.253646134288683</v>
      </c>
      <c r="F47" s="1082">
        <f ca="1">_xlfn.IFNA(INDEX('F7'!$R$10:$R$126,MATCH(B47,'F7'!$B$10:$B$126,0)),0)</f>
        <v>0</v>
      </c>
      <c r="G47" s="1082">
        <f t="shared" ca="1" si="0"/>
        <v>0</v>
      </c>
      <c r="H47" s="1081">
        <f t="shared" ca="1" si="1"/>
        <v>21.253646134288683</v>
      </c>
    </row>
    <row r="48" spans="2:8">
      <c r="B48" s="1409" t="s">
        <v>1060</v>
      </c>
      <c r="C48" s="1081">
        <v>1.1607499999999999</v>
      </c>
      <c r="D48" s="1081">
        <v>2.3615550000000001</v>
      </c>
      <c r="E48" s="1081">
        <f t="shared" si="2"/>
        <v>20.345078612965754</v>
      </c>
      <c r="F48" s="1082">
        <f ca="1">_xlfn.IFNA(INDEX('F7'!$R$10:$R$126,MATCH(B48,'F7'!$B$10:$B$126,0)),0)</f>
        <v>1.1139954928877054</v>
      </c>
      <c r="G48" s="1082">
        <f t="shared" ca="1" si="0"/>
        <v>9.5972043324376948</v>
      </c>
      <c r="H48" s="1081">
        <f t="shared" ca="1" si="1"/>
        <v>10.747874280528059</v>
      </c>
    </row>
    <row r="49" spans="2:8">
      <c r="B49" s="1409" t="s">
        <v>1061</v>
      </c>
      <c r="C49" s="1081">
        <v>10.22025</v>
      </c>
      <c r="D49" s="1081">
        <v>17.811360000000001</v>
      </c>
      <c r="E49" s="1081">
        <f t="shared" si="2"/>
        <v>17.427518896308801</v>
      </c>
      <c r="F49" s="1082">
        <f ca="1">_xlfn.IFNA(INDEX('F7'!$R$10:$R$126,MATCH(B49,'F7'!$B$10:$B$126,0)),0)</f>
        <v>9.8085827578596358</v>
      </c>
      <c r="G49" s="1082">
        <f t="shared" ca="1" si="0"/>
        <v>9.5972043324376948</v>
      </c>
      <c r="H49" s="1081">
        <f t="shared" ca="1" si="1"/>
        <v>7.8303145638711058</v>
      </c>
    </row>
    <row r="50" spans="2:8">
      <c r="B50" s="1409" t="s">
        <v>1062</v>
      </c>
      <c r="C50" s="1081">
        <v>3.7617500000000001</v>
      </c>
      <c r="D50" s="1081">
        <v>12.010949999999999</v>
      </c>
      <c r="E50" s="1081">
        <f t="shared" si="2"/>
        <v>31.929155313351494</v>
      </c>
      <c r="F50" s="1082">
        <f ca="1">_xlfn.IFNA(INDEX('F7'!$R$10:$R$126,MATCH(B50,'F7'!$B$10:$B$126,0)),0)</f>
        <v>3.6102283397547499</v>
      </c>
      <c r="G50" s="1082">
        <f t="shared" ca="1" si="0"/>
        <v>9.5972043324376948</v>
      </c>
      <c r="H50" s="1081">
        <f t="shared" ca="1" si="1"/>
        <v>22.331950980913799</v>
      </c>
    </row>
    <row r="51" spans="2:8">
      <c r="B51" s="1402" t="s">
        <v>476</v>
      </c>
      <c r="C51" s="1081">
        <v>125.38751999999999</v>
      </c>
      <c r="D51" s="1081">
        <v>117.85510463999999</v>
      </c>
      <c r="E51" s="1081">
        <f t="shared" si="2"/>
        <v>9.3992691330046245</v>
      </c>
      <c r="F51" s="1082">
        <f ca="1">_xlfn.IFNA(INDEX('F7'!$R$10:$R$126,MATCH(B51,'F7'!$B$10:$B$126,0)),0)</f>
        <v>0</v>
      </c>
      <c r="G51" s="1082">
        <f t="shared" ca="1" si="0"/>
        <v>0</v>
      </c>
      <c r="H51" s="1081">
        <f t="shared" ca="1" si="1"/>
        <v>9.3992691330046245</v>
      </c>
    </row>
    <row r="52" spans="2:8">
      <c r="B52" s="1402" t="s">
        <v>1063</v>
      </c>
      <c r="C52" s="1081">
        <v>2.9145600000000003</v>
      </c>
      <c r="D52" s="1081">
        <v>2.3506826400000005</v>
      </c>
      <c r="E52" s="1081">
        <f t="shared" si="2"/>
        <v>8.0653087944664037</v>
      </c>
      <c r="F52" s="1082">
        <f ca="1">_xlfn.IFNA(INDEX('F7'!$R$10:$R$126,MATCH(B52,'F7'!$B$10:$B$126,0)),0)</f>
        <v>2.7971627859149613</v>
      </c>
      <c r="G52" s="1082">
        <f t="shared" ca="1" si="0"/>
        <v>9.5972043324376948</v>
      </c>
      <c r="H52" s="1081">
        <f t="shared" ca="1" si="1"/>
        <v>-1.5318955379712911</v>
      </c>
    </row>
    <row r="53" spans="2:8">
      <c r="B53" s="1406" t="s">
        <v>1452</v>
      </c>
      <c r="C53" s="1081">
        <v>2.9145600000000003</v>
      </c>
      <c r="D53" s="1081">
        <v>2.3506826400000005</v>
      </c>
      <c r="E53" s="1081">
        <f t="shared" si="2"/>
        <v>8.0653087944664037</v>
      </c>
      <c r="F53" s="1082">
        <f>_xlfn.IFNA(INDEX('F7'!$R$10:$R$126,MATCH(B53,'F7'!$B$10:$B$126,0)),0)</f>
        <v>0</v>
      </c>
      <c r="G53" s="1082">
        <f t="shared" si="0"/>
        <v>0</v>
      </c>
      <c r="H53" s="1081">
        <f t="shared" si="1"/>
        <v>8.0653087944664037</v>
      </c>
    </row>
    <row r="54" spans="2:8">
      <c r="B54" s="1406" t="s">
        <v>1453</v>
      </c>
      <c r="C54" s="1081">
        <v>0</v>
      </c>
      <c r="D54" s="1081">
        <v>0</v>
      </c>
      <c r="E54" s="1081">
        <f t="shared" si="2"/>
        <v>0</v>
      </c>
      <c r="F54" s="1082">
        <f>_xlfn.IFNA(INDEX('F7'!$R$10:$R$126,MATCH(B54,'F7'!$B$10:$B$126,0)),0)</f>
        <v>0</v>
      </c>
      <c r="G54" s="1082">
        <f t="shared" si="0"/>
        <v>0</v>
      </c>
      <c r="H54" s="1081">
        <f t="shared" si="1"/>
        <v>0</v>
      </c>
    </row>
    <row r="55" spans="2:8">
      <c r="B55" s="1402" t="s">
        <v>1064</v>
      </c>
      <c r="C55" s="1081">
        <v>29.831040000000002</v>
      </c>
      <c r="D55" s="1081">
        <v>27.031212</v>
      </c>
      <c r="E55" s="1081">
        <f t="shared" si="2"/>
        <v>9.0614380189225727</v>
      </c>
      <c r="F55" s="1082">
        <f ca="1">_xlfn.IFNA(INDEX('F7'!$R$10:$R$126,MATCH(B55,'F7'!$B$10:$B$126,0)),0)</f>
        <v>28.629458632912222</v>
      </c>
      <c r="G55" s="1082">
        <f t="shared" ca="1" si="0"/>
        <v>9.5972043324376948</v>
      </c>
      <c r="H55" s="1081">
        <f t="shared" ca="1" si="1"/>
        <v>-0.53576631351512205</v>
      </c>
    </row>
    <row r="56" spans="2:8">
      <c r="B56" s="1406" t="s">
        <v>1452</v>
      </c>
      <c r="C56" s="1081">
        <v>29.831040000000002</v>
      </c>
      <c r="D56" s="1081">
        <v>27.031212</v>
      </c>
      <c r="E56" s="1081">
        <f t="shared" si="2"/>
        <v>9.0614380189225727</v>
      </c>
      <c r="F56" s="1082">
        <f>_xlfn.IFNA(INDEX('F7'!$R$10:$R$126,MATCH(B56,'F7'!$B$10:$B$126,0)),0)</f>
        <v>0</v>
      </c>
      <c r="G56" s="1082">
        <f t="shared" si="0"/>
        <v>0</v>
      </c>
      <c r="H56" s="1081">
        <f t="shared" si="1"/>
        <v>9.0614380189225727</v>
      </c>
    </row>
    <row r="57" spans="2:8">
      <c r="B57" s="1406" t="s">
        <v>1453</v>
      </c>
      <c r="C57" s="1081">
        <v>0</v>
      </c>
      <c r="D57" s="1081">
        <v>0</v>
      </c>
      <c r="E57" s="1081">
        <f t="shared" si="2"/>
        <v>0</v>
      </c>
      <c r="F57" s="1082">
        <f>_xlfn.IFNA(INDEX('F7'!$R$10:$R$126,MATCH(B57,'F7'!$B$10:$B$126,0)),0)</f>
        <v>0</v>
      </c>
      <c r="G57" s="1082">
        <f t="shared" si="0"/>
        <v>0</v>
      </c>
      <c r="H57" s="1081">
        <f t="shared" si="1"/>
        <v>0</v>
      </c>
    </row>
    <row r="58" spans="2:8">
      <c r="B58" s="1402" t="s">
        <v>1065</v>
      </c>
      <c r="C58" s="1081">
        <v>92.641919999999999</v>
      </c>
      <c r="D58" s="1081">
        <v>88.473209999999995</v>
      </c>
      <c r="E58" s="1081">
        <f t="shared" si="2"/>
        <v>9.5500190410561441</v>
      </c>
      <c r="F58" s="1082">
        <f ca="1">_xlfn.IFNA(INDEX('F7'!$R$10:$R$126,MATCH(B58,'F7'!$B$10:$B$126,0)),0)</f>
        <v>88.910343598934631</v>
      </c>
      <c r="G58" s="1082">
        <f t="shared" ca="1" si="0"/>
        <v>9.5972043324376948</v>
      </c>
      <c r="H58" s="1081">
        <f t="shared" ca="1" si="1"/>
        <v>-4.7185291381550698E-2</v>
      </c>
    </row>
    <row r="59" spans="2:8">
      <c r="B59" s="1406" t="s">
        <v>1452</v>
      </c>
      <c r="C59" s="1081">
        <v>92.641919999999999</v>
      </c>
      <c r="D59" s="1081">
        <v>88.473209999999995</v>
      </c>
      <c r="E59" s="1081">
        <f t="shared" si="2"/>
        <v>9.5500190410561441</v>
      </c>
      <c r="F59" s="1082">
        <f>_xlfn.IFNA(INDEX('F7'!$R$10:$R$126,MATCH(B59,'F7'!$B$10:$B$126,0)),0)</f>
        <v>0</v>
      </c>
      <c r="G59" s="1082">
        <f t="shared" si="0"/>
        <v>0</v>
      </c>
      <c r="H59" s="1081">
        <f t="shared" si="1"/>
        <v>9.5500190410561441</v>
      </c>
    </row>
    <row r="60" spans="2:8">
      <c r="B60" s="1406" t="s">
        <v>1453</v>
      </c>
      <c r="C60" s="1081">
        <v>0</v>
      </c>
      <c r="D60" s="1081">
        <v>0</v>
      </c>
      <c r="E60" s="1081">
        <f t="shared" si="2"/>
        <v>0</v>
      </c>
      <c r="F60" s="1082">
        <f>_xlfn.IFNA(INDEX('F7'!$R$10:$R$126,MATCH(B60,'F7'!$B$10:$B$126,0)),0)</f>
        <v>0</v>
      </c>
      <c r="G60" s="1082">
        <f t="shared" si="0"/>
        <v>0</v>
      </c>
      <c r="H60" s="1081">
        <f t="shared" si="1"/>
        <v>0</v>
      </c>
    </row>
    <row r="61" spans="2:8">
      <c r="B61" s="1402" t="s">
        <v>1425</v>
      </c>
      <c r="C61" s="1081">
        <v>140.53027</v>
      </c>
      <c r="D61" s="1081">
        <v>150.03896964</v>
      </c>
      <c r="E61" s="1081">
        <f t="shared" si="2"/>
        <v>10.676629998647266</v>
      </c>
      <c r="F61" s="1082">
        <f ca="1">_xlfn.IFNA(INDEX('F7'!$R$10:$R$126,MATCH(B61,'F7'!$B$10:$B$126,0)),0)</f>
        <v>12411.62407831255</v>
      </c>
      <c r="G61" s="1082">
        <f t="shared" ca="1" si="0"/>
        <v>883.19933337583063</v>
      </c>
      <c r="H61" s="1081">
        <f t="shared" ca="1" si="1"/>
        <v>-872.52270337718335</v>
      </c>
    </row>
    <row r="62" spans="2:8">
      <c r="B62" s="1409"/>
      <c r="C62" s="1081">
        <v>0</v>
      </c>
      <c r="D62" s="1081">
        <v>0</v>
      </c>
      <c r="E62" s="1081">
        <f t="shared" si="2"/>
        <v>0</v>
      </c>
      <c r="F62" s="1082">
        <f>_xlfn.IFNA(INDEX('F7'!$R$10:$R$126,MATCH(B62,'F7'!$B$10:$B$126,0)),0)</f>
        <v>0</v>
      </c>
      <c r="G62" s="1082">
        <f t="shared" si="0"/>
        <v>0</v>
      </c>
      <c r="H62" s="1081">
        <f t="shared" si="1"/>
        <v>0</v>
      </c>
    </row>
    <row r="63" spans="2:8">
      <c r="B63" s="1402" t="s">
        <v>1067</v>
      </c>
      <c r="C63" s="1081">
        <v>0</v>
      </c>
      <c r="D63" s="1081">
        <v>0</v>
      </c>
      <c r="E63" s="1081">
        <f t="shared" si="2"/>
        <v>0</v>
      </c>
      <c r="F63" s="1082">
        <f ca="1">_xlfn.IFNA(INDEX('F7'!$R$10:$R$126,MATCH(B63,'F7'!$B$10:$B$126,0)),0)</f>
        <v>0</v>
      </c>
      <c r="G63" s="1082">
        <f t="shared" ca="1" si="0"/>
        <v>0</v>
      </c>
      <c r="H63" s="1081">
        <f t="shared" ca="1" si="1"/>
        <v>0</v>
      </c>
    </row>
    <row r="64" spans="2:8">
      <c r="B64" s="1402" t="s">
        <v>1068</v>
      </c>
      <c r="C64" s="1081">
        <v>205.88533333333334</v>
      </c>
      <c r="D64" s="1081">
        <v>213.95397527466665</v>
      </c>
      <c r="E64" s="1081">
        <f t="shared" si="2"/>
        <v>10.391899792505859</v>
      </c>
      <c r="F64" s="1082">
        <f ca="1">_xlfn.IFNA(INDEX('F7'!$R$10:$R$126,MATCH(B64,'F7'!$B$10:$B$126,0)),0)</f>
        <v>197.59236130520455</v>
      </c>
      <c r="G64" s="1082">
        <f t="shared" ca="1" si="0"/>
        <v>9.5972043324376948</v>
      </c>
      <c r="H64" s="1081">
        <f t="shared" ca="1" si="1"/>
        <v>0.79469546006816394</v>
      </c>
    </row>
    <row r="65" spans="2:8">
      <c r="B65" s="1409" t="s">
        <v>1069</v>
      </c>
      <c r="C65" s="1081">
        <v>154.41399999999999</v>
      </c>
      <c r="D65" s="1081">
        <v>165.59789334719997</v>
      </c>
      <c r="E65" s="1081">
        <f t="shared" si="2"/>
        <v>10.724279751007034</v>
      </c>
      <c r="F65" s="1082">
        <f>_xlfn.IFNA(INDEX('F7'!$R$10:$R$126,MATCH(B65,'F7'!$B$10:$B$126,0)),0)</f>
        <v>0</v>
      </c>
      <c r="G65" s="1082">
        <f t="shared" si="0"/>
        <v>0</v>
      </c>
      <c r="H65" s="1081">
        <f t="shared" si="1"/>
        <v>10.724279751007034</v>
      </c>
    </row>
    <row r="66" spans="2:8">
      <c r="B66" s="1409" t="s">
        <v>1070</v>
      </c>
      <c r="C66" s="1081">
        <v>37.059359999999998</v>
      </c>
      <c r="D66" s="1081">
        <v>35.321090334719997</v>
      </c>
      <c r="E66" s="1081">
        <f t="shared" si="2"/>
        <v>9.5309498962529311</v>
      </c>
      <c r="F66" s="1082">
        <f>_xlfn.IFNA(INDEX('F7'!$R$10:$R$126,MATCH(B66,'F7'!$B$10:$B$126,0)),0)</f>
        <v>0</v>
      </c>
      <c r="G66" s="1082">
        <f t="shared" si="0"/>
        <v>0</v>
      </c>
      <c r="H66" s="1081">
        <f t="shared" si="1"/>
        <v>9.5309498962529311</v>
      </c>
    </row>
    <row r="67" spans="2:8">
      <c r="B67" s="1409" t="s">
        <v>1071</v>
      </c>
      <c r="C67" s="1081">
        <v>14.411973333333346</v>
      </c>
      <c r="D67" s="1081">
        <v>13.034991592746678</v>
      </c>
      <c r="E67" s="1081">
        <f t="shared" si="2"/>
        <v>9.0445571132151219</v>
      </c>
      <c r="F67" s="1082">
        <f>_xlfn.IFNA(INDEX('F7'!$R$10:$R$126,MATCH(B67,'F7'!$B$10:$B$126,0)),0)</f>
        <v>0</v>
      </c>
      <c r="G67" s="1082">
        <f t="shared" si="0"/>
        <v>0</v>
      </c>
      <c r="H67" s="1081">
        <f t="shared" si="1"/>
        <v>9.0445571132151219</v>
      </c>
    </row>
    <row r="68" spans="2:8">
      <c r="B68" s="1402" t="s">
        <v>1072</v>
      </c>
      <c r="C68" s="1081">
        <v>62.881</v>
      </c>
      <c r="D68" s="1081">
        <v>81.077076482999999</v>
      </c>
      <c r="E68" s="1081">
        <f t="shared" si="2"/>
        <v>12.893732046723176</v>
      </c>
      <c r="F68" s="1082">
        <f ca="1">_xlfn.IFNA(INDEX('F7'!$R$10:$R$126,MATCH(B68,'F7'!$B$10:$B$126,0)),0)</f>
        <v>60.348180562801474</v>
      </c>
      <c r="G68" s="1082">
        <f t="shared" ca="1" si="0"/>
        <v>9.5972043324376948</v>
      </c>
      <c r="H68" s="1081">
        <f t="shared" ca="1" si="1"/>
        <v>3.2965277142854816</v>
      </c>
    </row>
    <row r="69" spans="2:8">
      <c r="B69" s="1402" t="s">
        <v>1454</v>
      </c>
      <c r="C69" s="1081">
        <v>31.4405</v>
      </c>
      <c r="D69" s="1081">
        <v>32.983455590399998</v>
      </c>
      <c r="E69" s="1081">
        <f t="shared" si="2"/>
        <v>10.490754151619726</v>
      </c>
      <c r="F69" s="1082">
        <f>_xlfn.IFNA(INDEX('F7'!$R$10:$R$126,MATCH(B69,'F7'!$B$10:$B$126,0)),0)</f>
        <v>0</v>
      </c>
      <c r="G69" s="1082">
        <f t="shared" si="0"/>
        <v>0</v>
      </c>
      <c r="H69" s="1081">
        <f t="shared" si="1"/>
        <v>10.490754151619726</v>
      </c>
    </row>
    <row r="70" spans="2:8">
      <c r="B70" s="1409" t="s">
        <v>1073</v>
      </c>
      <c r="C70" s="1081">
        <v>24.199000840000004</v>
      </c>
      <c r="D70" s="1081">
        <v>24.46095712536</v>
      </c>
      <c r="E70" s="1081">
        <f t="shared" si="2"/>
        <v>10.108250868328</v>
      </c>
      <c r="F70" s="1082">
        <f>_xlfn.IFNA(INDEX('F7'!$R$10:$R$126,MATCH(B70,'F7'!$B$10:$B$126,0)),0)</f>
        <v>0</v>
      </c>
      <c r="G70" s="1082">
        <f t="shared" si="0"/>
        <v>0</v>
      </c>
      <c r="H70" s="1081">
        <f t="shared" si="1"/>
        <v>10.108250868328</v>
      </c>
    </row>
    <row r="71" spans="2:8">
      <c r="B71" s="1409" t="s">
        <v>1074</v>
      </c>
      <c r="C71" s="1081">
        <v>7.2414991599999965</v>
      </c>
      <c r="D71" s="1081">
        <v>8.5224984650399964</v>
      </c>
      <c r="E71" s="1081">
        <f t="shared" si="2"/>
        <v>11.768969762664449</v>
      </c>
      <c r="F71" s="1082">
        <f>_xlfn.IFNA(INDEX('F7'!$R$10:$R$126,MATCH(B71,'F7'!$B$10:$B$126,0)),0)</f>
        <v>0</v>
      </c>
      <c r="G71" s="1082">
        <f t="shared" si="0"/>
        <v>0</v>
      </c>
      <c r="H71" s="1081">
        <f t="shared" si="1"/>
        <v>11.768969762664449</v>
      </c>
    </row>
    <row r="72" spans="2:8">
      <c r="B72" s="1402" t="s">
        <v>1455</v>
      </c>
      <c r="C72" s="1081">
        <v>31.4405</v>
      </c>
      <c r="D72" s="1081">
        <v>48.093620892600001</v>
      </c>
      <c r="E72" s="1081">
        <f t="shared" si="2"/>
        <v>15.296709941826625</v>
      </c>
      <c r="F72" s="1082">
        <f>_xlfn.IFNA(INDEX('F7'!$R$10:$R$126,MATCH(B72,'F7'!$B$10:$B$126,0)),0)</f>
        <v>0</v>
      </c>
      <c r="G72" s="1082">
        <f t="shared" si="0"/>
        <v>0</v>
      </c>
      <c r="H72" s="1081">
        <f t="shared" si="1"/>
        <v>15.296709941826625</v>
      </c>
    </row>
    <row r="73" spans="2:8">
      <c r="B73" s="1409" t="s">
        <v>1073</v>
      </c>
      <c r="C73" s="1081">
        <v>12.099136700000003</v>
      </c>
      <c r="D73" s="1081">
        <v>18.575995027440001</v>
      </c>
      <c r="E73" s="1081">
        <f t="shared" si="2"/>
        <v>15.353157409519969</v>
      </c>
      <c r="F73" s="1082">
        <f>_xlfn.IFNA(INDEX('F7'!$R$10:$R$126,MATCH(B73,'F7'!$B$10:$B$126,0)),0)</f>
        <v>0</v>
      </c>
      <c r="G73" s="1082">
        <f t="shared" si="0"/>
        <v>0</v>
      </c>
      <c r="H73" s="1081">
        <f t="shared" si="1"/>
        <v>15.353157409519969</v>
      </c>
    </row>
    <row r="74" spans="2:8">
      <c r="B74" s="1409" t="s">
        <v>1074</v>
      </c>
      <c r="C74" s="1081">
        <v>19.341363299999998</v>
      </c>
      <c r="D74" s="1081">
        <v>29.517625865159999</v>
      </c>
      <c r="E74" s="1081">
        <f t="shared" si="2"/>
        <v>15.261398799721633</v>
      </c>
      <c r="F74" s="1082">
        <f>_xlfn.IFNA(INDEX('F7'!$R$10:$R$126,MATCH(B74,'F7'!$B$10:$B$126,0)),0)</f>
        <v>0</v>
      </c>
      <c r="G74" s="1082">
        <f t="shared" si="0"/>
        <v>0</v>
      </c>
      <c r="H74" s="1081">
        <f t="shared" si="1"/>
        <v>15.261398799721633</v>
      </c>
    </row>
    <row r="75" spans="2:8">
      <c r="B75" s="1402" t="s">
        <v>1425</v>
      </c>
      <c r="C75" s="1081">
        <v>268.76633333333336</v>
      </c>
      <c r="D75" s="1081">
        <v>295.03105175766666</v>
      </c>
      <c r="E75" s="1081">
        <f t="shared" si="2"/>
        <v>10.977232456855335</v>
      </c>
      <c r="F75" s="1082">
        <f ca="1">_xlfn.IFNA(INDEX('F7'!$R$10:$R$126,MATCH(B75,'F7'!$B$10:$B$126,0)),0)</f>
        <v>12411.62407831255</v>
      </c>
      <c r="G75" s="1082">
        <f t="shared" ca="1" si="0"/>
        <v>461.79980670864836</v>
      </c>
      <c r="H75" s="1081">
        <f t="shared" ca="1" si="1"/>
        <v>-450.82257425179301</v>
      </c>
    </row>
    <row r="76" spans="2:8">
      <c r="B76" s="1409"/>
      <c r="C76" s="1081">
        <v>0</v>
      </c>
      <c r="D76" s="1081">
        <v>0</v>
      </c>
      <c r="E76" s="1081">
        <f t="shared" ref="E76:E139" si="3">IFERROR((D76/C76)*10,0)</f>
        <v>0</v>
      </c>
      <c r="F76" s="1082">
        <f>_xlfn.IFNA(INDEX('F7'!$R$10:$R$126,MATCH(B76,'F7'!$B$10:$B$126,0)),0)</f>
        <v>0</v>
      </c>
      <c r="G76" s="1082">
        <f t="shared" ref="G76:G139" si="4">IFERROR((F76/C76)*10,0)</f>
        <v>0</v>
      </c>
      <c r="H76" s="1081">
        <f t="shared" ref="H76:H139" si="5">E76-G76</f>
        <v>0</v>
      </c>
    </row>
    <row r="77" spans="2:8">
      <c r="B77" s="1402" t="s">
        <v>1076</v>
      </c>
      <c r="C77" s="1081">
        <v>0</v>
      </c>
      <c r="D77" s="1081">
        <v>0</v>
      </c>
      <c r="E77" s="1081">
        <f t="shared" si="3"/>
        <v>0</v>
      </c>
      <c r="F77" s="1082">
        <f ca="1">_xlfn.IFNA(INDEX('F7'!$R$10:$R$126,MATCH(B77,'F7'!$B$10:$B$126,0)),0)</f>
        <v>0</v>
      </c>
      <c r="G77" s="1082">
        <f t="shared" ca="1" si="4"/>
        <v>0</v>
      </c>
      <c r="H77" s="1081">
        <f t="shared" ca="1" si="5"/>
        <v>0</v>
      </c>
    </row>
    <row r="78" spans="2:8">
      <c r="B78" s="1402" t="s">
        <v>1012</v>
      </c>
      <c r="C78" s="1081">
        <v>2441.0003689999999</v>
      </c>
      <c r="D78" s="1081">
        <v>421.516971730563</v>
      </c>
      <c r="E78" s="1081">
        <f t="shared" si="3"/>
        <v>1.7268205981601104</v>
      </c>
      <c r="F78" s="1082">
        <f ca="1">_xlfn.IFNA(INDEX('F7'!$R$10:$R$126,MATCH(B78,'F7'!$B$10:$B$126,0)),0)</f>
        <v>242.01542725711175</v>
      </c>
      <c r="G78" s="1082">
        <f t="shared" ca="1" si="4"/>
        <v>0.99146001914066806</v>
      </c>
      <c r="H78" s="1081">
        <f t="shared" ca="1" si="5"/>
        <v>0.7353605790194423</v>
      </c>
    </row>
    <row r="79" spans="2:8">
      <c r="B79" s="1402" t="s">
        <v>1456</v>
      </c>
      <c r="C79" s="1081">
        <v>2193.804189</v>
      </c>
      <c r="D79" s="1081">
        <v>363.61085790884721</v>
      </c>
      <c r="E79" s="1081">
        <f t="shared" si="3"/>
        <v>1.6574444507492334</v>
      </c>
      <c r="F79" s="1082">
        <f>_xlfn.IFNA(INDEX('F7'!$R$10:$R$126,MATCH(B79,'F7'!$B$10:$B$126,0)),0)</f>
        <v>0</v>
      </c>
      <c r="G79" s="1082">
        <f t="shared" si="4"/>
        <v>0</v>
      </c>
      <c r="H79" s="1081">
        <f t="shared" si="5"/>
        <v>1.6574444507492334</v>
      </c>
    </row>
    <row r="80" spans="2:8">
      <c r="B80" s="1409" t="s">
        <v>1077</v>
      </c>
      <c r="C80" s="1081">
        <v>2193.804189</v>
      </c>
      <c r="D80" s="1081">
        <v>363.61085790884721</v>
      </c>
      <c r="E80" s="1081">
        <f t="shared" si="3"/>
        <v>1.6574444507492334</v>
      </c>
      <c r="F80" s="1082">
        <f ca="1">_xlfn.IFNA(INDEX('F7'!$R$10:$R$126,MATCH(B80,'F7'!$B$10:$B$126,0)),0)</f>
        <v>2105.4387067190764</v>
      </c>
      <c r="G80" s="1082">
        <f t="shared" ca="1" si="4"/>
        <v>9.5972043324376948</v>
      </c>
      <c r="H80" s="1081">
        <f t="shared" ca="1" si="5"/>
        <v>-7.9397598816884614</v>
      </c>
    </row>
    <row r="81" spans="2:8">
      <c r="B81" s="1406" t="s">
        <v>1457</v>
      </c>
      <c r="C81" s="1081">
        <v>0</v>
      </c>
      <c r="D81" s="1081">
        <v>0</v>
      </c>
      <c r="E81" s="1081">
        <f t="shared" si="3"/>
        <v>0</v>
      </c>
      <c r="F81" s="1082">
        <f>_xlfn.IFNA(INDEX('F7'!$R$10:$R$126,MATCH(B81,'F7'!$B$10:$B$126,0)),0)</f>
        <v>0</v>
      </c>
      <c r="G81" s="1082">
        <f t="shared" si="4"/>
        <v>0</v>
      </c>
      <c r="H81" s="1081">
        <f t="shared" si="5"/>
        <v>0</v>
      </c>
    </row>
    <row r="82" spans="2:8">
      <c r="B82" s="1402" t="s">
        <v>1458</v>
      </c>
      <c r="C82" s="1081">
        <v>247.19617999999991</v>
      </c>
      <c r="D82" s="1081">
        <v>57.906113821715799</v>
      </c>
      <c r="E82" s="1081">
        <f t="shared" si="3"/>
        <v>2.3425165316760079</v>
      </c>
      <c r="F82" s="1082">
        <f>_xlfn.IFNA(INDEX('F7'!$R$10:$R$126,MATCH(B82,'F7'!$B$10:$B$126,0)),0)</f>
        <v>0</v>
      </c>
      <c r="G82" s="1082">
        <f t="shared" si="4"/>
        <v>0</v>
      </c>
      <c r="H82" s="1081">
        <f t="shared" si="5"/>
        <v>2.3425165316760079</v>
      </c>
    </row>
    <row r="83" spans="2:8">
      <c r="B83" s="1409" t="s">
        <v>1078</v>
      </c>
      <c r="C83" s="1081">
        <v>247.19617999999991</v>
      </c>
      <c r="D83" s="1081">
        <v>57.906113821715799</v>
      </c>
      <c r="E83" s="1081">
        <f t="shared" si="3"/>
        <v>2.3425165316760079</v>
      </c>
      <c r="F83" s="1082">
        <f ca="1">_xlfn.IFNA(INDEX('F7'!$R$10:$R$126,MATCH(B83,'F7'!$B$10:$B$126,0)),0)</f>
        <v>237.23922496580474</v>
      </c>
      <c r="G83" s="1082">
        <f t="shared" ca="1" si="4"/>
        <v>9.5972043324376948</v>
      </c>
      <c r="H83" s="1081">
        <f t="shared" ca="1" si="5"/>
        <v>-7.2546878007616868</v>
      </c>
    </row>
    <row r="84" spans="2:8">
      <c r="B84" s="1406" t="s">
        <v>1459</v>
      </c>
      <c r="C84" s="1081">
        <v>0</v>
      </c>
      <c r="D84" s="1081">
        <v>0</v>
      </c>
      <c r="E84" s="1081">
        <f t="shared" si="3"/>
        <v>0</v>
      </c>
      <c r="F84" s="1082">
        <f>_xlfn.IFNA(INDEX('F7'!$R$10:$R$126,MATCH(B84,'F7'!$B$10:$B$126,0)),0)</f>
        <v>0</v>
      </c>
      <c r="G84" s="1082">
        <f t="shared" si="4"/>
        <v>0</v>
      </c>
      <c r="H84" s="1081">
        <f t="shared" si="5"/>
        <v>0</v>
      </c>
    </row>
    <row r="85" spans="2:8">
      <c r="B85" s="1402" t="s">
        <v>1460</v>
      </c>
      <c r="C85" s="1081">
        <v>286.47492587999994</v>
      </c>
      <c r="D85" s="1081">
        <v>180.75293602397849</v>
      </c>
      <c r="E85" s="1081">
        <f t="shared" si="3"/>
        <v>6.3095552069256211</v>
      </c>
      <c r="F85" s="1082">
        <f>_xlfn.IFNA(INDEX('F7'!$R$10:$R$126,MATCH(B85,'F7'!$B$10:$B$126,0)),0)</f>
        <v>0</v>
      </c>
      <c r="G85" s="1082">
        <f t="shared" si="4"/>
        <v>0</v>
      </c>
      <c r="H85" s="1081">
        <f t="shared" si="5"/>
        <v>6.3095552069256211</v>
      </c>
    </row>
    <row r="86" spans="2:8">
      <c r="B86" s="1409" t="s">
        <v>1079</v>
      </c>
      <c r="C86" s="1081">
        <v>286.47492587999994</v>
      </c>
      <c r="D86" s="1081">
        <v>180.75293602397849</v>
      </c>
      <c r="E86" s="1081">
        <f t="shared" si="3"/>
        <v>6.3095552069256211</v>
      </c>
      <c r="F86" s="1082">
        <f ca="1">_xlfn.IFNA(INDEX('F7'!$R$10:$R$126,MATCH(B86,'F7'!$B$10:$B$126,0)),0)</f>
        <v>274.93583997903033</v>
      </c>
      <c r="G86" s="1082">
        <f t="shared" ca="1" si="4"/>
        <v>9.5972043324376966</v>
      </c>
      <c r="H86" s="1081">
        <f t="shared" ca="1" si="5"/>
        <v>-3.2876491255120754</v>
      </c>
    </row>
    <row r="87" spans="2:8">
      <c r="B87" s="1402" t="s">
        <v>1425</v>
      </c>
      <c r="C87" s="1081">
        <v>2727.4752948799996</v>
      </c>
      <c r="D87" s="1081">
        <v>602.26990775454146</v>
      </c>
      <c r="E87" s="1081">
        <f t="shared" si="3"/>
        <v>2.2081589845565932</v>
      </c>
      <c r="F87" s="1082">
        <f ca="1">_xlfn.IFNA(INDEX('F7'!$R$10:$R$126,MATCH(B87,'F7'!$B$10:$B$126,0)),0)</f>
        <v>12411.62407831255</v>
      </c>
      <c r="G87" s="1082">
        <f t="shared" ca="1" si="4"/>
        <v>45.505908345390253</v>
      </c>
      <c r="H87" s="1081">
        <f t="shared" ca="1" si="5"/>
        <v>-43.297749360833663</v>
      </c>
    </row>
    <row r="88" spans="2:8">
      <c r="B88" s="1409"/>
      <c r="C88" s="1081">
        <v>0</v>
      </c>
      <c r="D88" s="1081">
        <v>0</v>
      </c>
      <c r="E88" s="1081">
        <f t="shared" si="3"/>
        <v>0</v>
      </c>
      <c r="F88" s="1082">
        <f>_xlfn.IFNA(INDEX('F7'!$R$10:$R$126,MATCH(B88,'F7'!$B$10:$B$126,0)),0)</f>
        <v>0</v>
      </c>
      <c r="G88" s="1082">
        <f t="shared" si="4"/>
        <v>0</v>
      </c>
      <c r="H88" s="1081">
        <f t="shared" si="5"/>
        <v>0</v>
      </c>
    </row>
    <row r="89" spans="2:8">
      <c r="B89" s="1402" t="s">
        <v>1081</v>
      </c>
      <c r="C89" s="1081">
        <v>0</v>
      </c>
      <c r="D89" s="1081">
        <v>0</v>
      </c>
      <c r="E89" s="1081">
        <f t="shared" si="3"/>
        <v>0</v>
      </c>
      <c r="F89" s="1082">
        <f ca="1">_xlfn.IFNA(INDEX('F7'!$R$10:$R$126,MATCH(B89,'F7'!$B$10:$B$126,0)),0)</f>
        <v>0</v>
      </c>
      <c r="G89" s="1082">
        <f t="shared" ca="1" si="4"/>
        <v>0</v>
      </c>
      <c r="H89" s="1081">
        <f t="shared" ca="1" si="5"/>
        <v>0</v>
      </c>
    </row>
    <row r="90" spans="2:8">
      <c r="B90" s="1402" t="s">
        <v>1012</v>
      </c>
      <c r="C90" s="1081">
        <v>252.17284000000001</v>
      </c>
      <c r="D90" s="1081">
        <v>213.61036585510408</v>
      </c>
      <c r="E90" s="1081">
        <f t="shared" si="3"/>
        <v>8.4707919320377272</v>
      </c>
      <c r="F90" s="1082">
        <f ca="1">_xlfn.IFNA(INDEX('F7'!$R$10:$R$126,MATCH(B90,'F7'!$B$10:$B$126,0)),0)</f>
        <v>242.01542725711175</v>
      </c>
      <c r="G90" s="1082">
        <f t="shared" ca="1" si="4"/>
        <v>9.5972043324376948</v>
      </c>
      <c r="H90" s="1081">
        <f t="shared" ca="1" si="5"/>
        <v>-1.1264124003999676</v>
      </c>
    </row>
    <row r="91" spans="2:8">
      <c r="B91" s="1406" t="s">
        <v>1426</v>
      </c>
      <c r="C91" s="1081">
        <v>143.17390790627829</v>
      </c>
      <c r="D91" s="1081">
        <v>133.60506085137973</v>
      </c>
      <c r="E91" s="1081">
        <f t="shared" si="3"/>
        <v>9.331662647557101</v>
      </c>
      <c r="F91" s="1082">
        <f>_xlfn.IFNA(INDEX('F7'!$R$10:$R$126,MATCH(B91,'F7'!$B$10:$B$126,0)),0)</f>
        <v>0</v>
      </c>
      <c r="G91" s="1082">
        <f t="shared" si="4"/>
        <v>0</v>
      </c>
      <c r="H91" s="1081">
        <f t="shared" si="5"/>
        <v>9.331662647557101</v>
      </c>
    </row>
    <row r="92" spans="2:8">
      <c r="B92" s="1406" t="s">
        <v>1427</v>
      </c>
      <c r="C92" s="1081">
        <v>59.313110448243378</v>
      </c>
      <c r="D92" s="1081">
        <v>42.289255827913252</v>
      </c>
      <c r="E92" s="1081">
        <f t="shared" si="3"/>
        <v>7.1298327651885431</v>
      </c>
      <c r="F92" s="1082">
        <f>_xlfn.IFNA(INDEX('F7'!$R$10:$R$126,MATCH(B92,'F7'!$B$10:$B$126,0)),0)</f>
        <v>0</v>
      </c>
      <c r="G92" s="1082">
        <f t="shared" si="4"/>
        <v>0</v>
      </c>
      <c r="H92" s="1081">
        <f t="shared" si="5"/>
        <v>7.1298327651885431</v>
      </c>
    </row>
    <row r="93" spans="2:8">
      <c r="B93" s="1406" t="s">
        <v>1428</v>
      </c>
      <c r="C93" s="1081">
        <v>49.685821645478349</v>
      </c>
      <c r="D93" s="1081">
        <v>37.716049175811094</v>
      </c>
      <c r="E93" s="1081">
        <f t="shared" si="3"/>
        <v>7.5909078136868127</v>
      </c>
      <c r="F93" s="1082">
        <f>_xlfn.IFNA(INDEX('F7'!$R$10:$R$126,MATCH(B93,'F7'!$B$10:$B$126,0)),0)</f>
        <v>0</v>
      </c>
      <c r="G93" s="1082">
        <f t="shared" si="4"/>
        <v>0</v>
      </c>
      <c r="H93" s="1081">
        <f t="shared" si="5"/>
        <v>7.5909078136868127</v>
      </c>
    </row>
    <row r="94" spans="2:8">
      <c r="B94" s="1402" t="s">
        <v>1011</v>
      </c>
      <c r="C94" s="1081">
        <v>343.51519999999999</v>
      </c>
      <c r="D94" s="1081">
        <v>313.15677059370063</v>
      </c>
      <c r="E94" s="1081">
        <f t="shared" si="3"/>
        <v>9.1162420351035607</v>
      </c>
      <c r="F94" s="1082">
        <f ca="1">_xlfn.IFNA(INDEX('F7'!$R$10:$R$126,MATCH(B94,'F7'!$B$10:$B$126,0)),0)</f>
        <v>329.6785565698201</v>
      </c>
      <c r="G94" s="1082">
        <f t="shared" ca="1" si="4"/>
        <v>9.5972043324376948</v>
      </c>
      <c r="H94" s="1081">
        <f t="shared" ca="1" si="5"/>
        <v>-0.48096229733413409</v>
      </c>
    </row>
    <row r="95" spans="2:8">
      <c r="B95" s="1402" t="s">
        <v>1013</v>
      </c>
      <c r="C95" s="1081">
        <v>171.7576</v>
      </c>
      <c r="D95" s="1081">
        <v>182.1142688577911</v>
      </c>
      <c r="E95" s="1081">
        <f t="shared" si="3"/>
        <v>10.602981693840103</v>
      </c>
      <c r="F95" s="1082">
        <f>_xlfn.IFNA(INDEX('F7'!$R$10:$R$126,MATCH(B95,'F7'!$B$10:$B$126,0)),0)</f>
        <v>0</v>
      </c>
      <c r="G95" s="1082">
        <f t="shared" si="4"/>
        <v>0</v>
      </c>
      <c r="H95" s="1081">
        <f t="shared" si="5"/>
        <v>10.602981693840103</v>
      </c>
    </row>
    <row r="96" spans="2:8">
      <c r="B96" s="1410" t="s">
        <v>1426</v>
      </c>
      <c r="C96" s="1081">
        <v>58.155758892479767</v>
      </c>
      <c r="D96" s="1081">
        <v>78.642016940323302</v>
      </c>
      <c r="E96" s="1081">
        <f t="shared" si="3"/>
        <v>13.522653377409997</v>
      </c>
      <c r="F96" s="1082">
        <f>_xlfn.IFNA(INDEX('F7'!$R$10:$R$126,MATCH(B96,'F7'!$B$10:$B$126,0)),0)</f>
        <v>0</v>
      </c>
      <c r="G96" s="1082">
        <f t="shared" si="4"/>
        <v>0</v>
      </c>
      <c r="H96" s="1081">
        <f t="shared" si="5"/>
        <v>13.522653377409997</v>
      </c>
    </row>
    <row r="97" spans="2:8">
      <c r="B97" s="1406" t="s">
        <v>1430</v>
      </c>
      <c r="C97" s="1081">
        <v>11.403869854489644</v>
      </c>
      <c r="D97" s="1081">
        <v>14.150498514546507</v>
      </c>
      <c r="E97" s="1081">
        <f t="shared" si="3"/>
        <v>12.408505792422325</v>
      </c>
      <c r="F97" s="1082">
        <f>_xlfn.IFNA(INDEX('F7'!$R$10:$R$126,MATCH(B97,'F7'!$B$10:$B$126,0)),0)</f>
        <v>0</v>
      </c>
      <c r="G97" s="1082">
        <f t="shared" si="4"/>
        <v>0</v>
      </c>
      <c r="H97" s="1081">
        <f t="shared" si="5"/>
        <v>12.408505792422325</v>
      </c>
    </row>
    <row r="98" spans="2:8">
      <c r="B98" s="1406" t="s">
        <v>1431</v>
      </c>
      <c r="C98" s="1081">
        <v>24.594994434164231</v>
      </c>
      <c r="D98" s="1081">
        <v>33.211864980633152</v>
      </c>
      <c r="E98" s="1081">
        <f t="shared" si="3"/>
        <v>13.503505792422324</v>
      </c>
      <c r="F98" s="1082">
        <f>_xlfn.IFNA(INDEX('F7'!$R$10:$R$126,MATCH(B98,'F7'!$B$10:$B$126,0)),0)</f>
        <v>0</v>
      </c>
      <c r="G98" s="1082">
        <f t="shared" si="4"/>
        <v>0</v>
      </c>
      <c r="H98" s="1081">
        <f t="shared" si="5"/>
        <v>13.503505792422324</v>
      </c>
    </row>
    <row r="99" spans="2:8">
      <c r="B99" s="1406" t="s">
        <v>1432</v>
      </c>
      <c r="C99" s="1081">
        <v>12.420803494596038</v>
      </c>
      <c r="D99" s="1081">
        <v>18.132517176239972</v>
      </c>
      <c r="E99" s="1081">
        <f t="shared" si="3"/>
        <v>14.598505792422324</v>
      </c>
      <c r="F99" s="1082">
        <f>_xlfn.IFNA(INDEX('F7'!$R$10:$R$126,MATCH(B99,'F7'!$B$10:$B$126,0)),0)</f>
        <v>0</v>
      </c>
      <c r="G99" s="1082">
        <f t="shared" si="4"/>
        <v>0</v>
      </c>
      <c r="H99" s="1081">
        <f t="shared" si="5"/>
        <v>14.598505792422324</v>
      </c>
    </row>
    <row r="100" spans="2:8">
      <c r="B100" s="1406" t="s">
        <v>1433</v>
      </c>
      <c r="C100" s="1081">
        <v>9.7360911092298537</v>
      </c>
      <c r="D100" s="1081">
        <v>13.147136268903681</v>
      </c>
      <c r="E100" s="1081">
        <f t="shared" si="3"/>
        <v>13.503505792422324</v>
      </c>
      <c r="F100" s="1082">
        <f>_xlfn.IFNA(INDEX('F7'!$R$10:$R$126,MATCH(B100,'F7'!$B$10:$B$126,0)),0)</f>
        <v>0</v>
      </c>
      <c r="G100" s="1082">
        <f t="shared" si="4"/>
        <v>0</v>
      </c>
      <c r="H100" s="1081">
        <f t="shared" si="5"/>
        <v>13.503505792422324</v>
      </c>
    </row>
    <row r="101" spans="2:8">
      <c r="B101" s="1410" t="s">
        <v>1427</v>
      </c>
      <c r="C101" s="1081">
        <v>41.156733226960164</v>
      </c>
      <c r="D101" s="1081">
        <v>37.624634694562857</v>
      </c>
      <c r="E101" s="1081">
        <f t="shared" si="3"/>
        <v>9.1417932728238096</v>
      </c>
      <c r="F101" s="1082">
        <f>_xlfn.IFNA(INDEX('F7'!$R$10:$R$126,MATCH(B101,'F7'!$B$10:$B$126,0)),0)</f>
        <v>0</v>
      </c>
      <c r="G101" s="1082">
        <f t="shared" si="4"/>
        <v>0</v>
      </c>
      <c r="H101" s="1081">
        <f t="shared" si="5"/>
        <v>9.1417932728238096</v>
      </c>
    </row>
    <row r="102" spans="2:8">
      <c r="B102" s="1406" t="s">
        <v>1430</v>
      </c>
      <c r="C102" s="1081">
        <v>8.0704996081977942</v>
      </c>
      <c r="D102" s="1081">
        <v>6.4663937027088139</v>
      </c>
      <c r="E102" s="1081">
        <f t="shared" si="3"/>
        <v>8.012383392151369</v>
      </c>
      <c r="F102" s="1082">
        <f>_xlfn.IFNA(INDEX('F7'!$R$10:$R$126,MATCH(B102,'F7'!$B$10:$B$126,0)),0)</f>
        <v>0</v>
      </c>
      <c r="G102" s="1082">
        <f t="shared" si="4"/>
        <v>0</v>
      </c>
      <c r="H102" s="1081">
        <f t="shared" si="5"/>
        <v>8.012383392151369</v>
      </c>
    </row>
    <row r="103" spans="2:8">
      <c r="B103" s="1406" t="s">
        <v>1431</v>
      </c>
      <c r="C103" s="1081">
        <v>17.405836393897758</v>
      </c>
      <c r="D103" s="1081">
        <v>15.878271284619681</v>
      </c>
      <c r="E103" s="1081">
        <f t="shared" si="3"/>
        <v>9.1223833921513702</v>
      </c>
      <c r="F103" s="1082">
        <f>_xlfn.IFNA(INDEX('F7'!$R$10:$R$126,MATCH(B103,'F7'!$B$10:$B$126,0)),0)</f>
        <v>0</v>
      </c>
      <c r="G103" s="1082">
        <f t="shared" si="4"/>
        <v>0</v>
      </c>
      <c r="H103" s="1081">
        <f t="shared" si="5"/>
        <v>9.1223833921513702</v>
      </c>
    </row>
    <row r="104" spans="2:8">
      <c r="B104" s="1406" t="s">
        <v>1432</v>
      </c>
      <c r="C104" s="1081">
        <v>8.7901818431551408</v>
      </c>
      <c r="D104" s="1081">
        <v>8.9944510705891183</v>
      </c>
      <c r="E104" s="1081">
        <f t="shared" si="3"/>
        <v>10.23238339215137</v>
      </c>
      <c r="F104" s="1082">
        <f>_xlfn.IFNA(INDEX('F7'!$R$10:$R$126,MATCH(B104,'F7'!$B$10:$B$126,0)),0)</f>
        <v>0</v>
      </c>
      <c r="G104" s="1082">
        <f t="shared" si="4"/>
        <v>0</v>
      </c>
      <c r="H104" s="1081">
        <f t="shared" si="5"/>
        <v>10.23238339215137</v>
      </c>
    </row>
    <row r="105" spans="2:8">
      <c r="B105" s="1406" t="s">
        <v>1433</v>
      </c>
      <c r="C105" s="1081">
        <v>6.8902153817094769</v>
      </c>
      <c r="D105" s="1081">
        <v>6.2855186366452447</v>
      </c>
      <c r="E105" s="1081">
        <f t="shared" si="3"/>
        <v>9.1223833921513702</v>
      </c>
      <c r="F105" s="1082">
        <f>_xlfn.IFNA(INDEX('F7'!$R$10:$R$126,MATCH(B105,'F7'!$B$10:$B$126,0)),0)</f>
        <v>0</v>
      </c>
      <c r="G105" s="1082">
        <f t="shared" si="4"/>
        <v>0</v>
      </c>
      <c r="H105" s="1081">
        <f t="shared" si="5"/>
        <v>9.1223833921513702</v>
      </c>
    </row>
    <row r="106" spans="2:8">
      <c r="B106" s="1410" t="s">
        <v>1428</v>
      </c>
      <c r="C106" s="1081">
        <v>72.445107880560073</v>
      </c>
      <c r="D106" s="1081">
        <v>65.847617222904944</v>
      </c>
      <c r="E106" s="1081">
        <f t="shared" si="3"/>
        <v>9.0893117767824467</v>
      </c>
      <c r="F106" s="1082">
        <f>_xlfn.IFNA(INDEX('F7'!$R$10:$R$126,MATCH(B106,'F7'!$B$10:$B$126,0)),0)</f>
        <v>0</v>
      </c>
      <c r="G106" s="1082">
        <f t="shared" si="4"/>
        <v>0</v>
      </c>
      <c r="H106" s="1081">
        <f t="shared" si="5"/>
        <v>9.0893117767824467</v>
      </c>
    </row>
    <row r="107" spans="2:8">
      <c r="B107" s="1406" t="s">
        <v>1430</v>
      </c>
      <c r="C107" s="1081">
        <v>14.205894611259223</v>
      </c>
      <c r="D107" s="1081">
        <v>11.199345463198316</v>
      </c>
      <c r="E107" s="1081">
        <f t="shared" si="3"/>
        <v>7.8835904176861948</v>
      </c>
      <c r="F107" s="1082">
        <f>_xlfn.IFNA(INDEX('F7'!$R$10:$R$126,MATCH(B107,'F7'!$B$10:$B$126,0)),0)</f>
        <v>0</v>
      </c>
      <c r="G107" s="1082">
        <f t="shared" si="4"/>
        <v>0</v>
      </c>
      <c r="H107" s="1081">
        <f t="shared" si="5"/>
        <v>7.8835904176861948</v>
      </c>
    </row>
    <row r="108" spans="2:8">
      <c r="B108" s="1406" t="s">
        <v>1431</v>
      </c>
      <c r="C108" s="1081">
        <v>30.638187155274288</v>
      </c>
      <c r="D108" s="1081">
        <v>27.784517045159667</v>
      </c>
      <c r="E108" s="1081">
        <f t="shared" si="3"/>
        <v>9.0685904176861953</v>
      </c>
      <c r="F108" s="1082">
        <f>_xlfn.IFNA(INDEX('F7'!$R$10:$R$126,MATCH(B108,'F7'!$B$10:$B$126,0)),0)</f>
        <v>0</v>
      </c>
      <c r="G108" s="1082">
        <f t="shared" si="4"/>
        <v>0</v>
      </c>
      <c r="H108" s="1081">
        <f t="shared" si="5"/>
        <v>9.0685904176861953</v>
      </c>
    </row>
    <row r="109" spans="2:8">
      <c r="B109" s="1406" t="s">
        <v>1432</v>
      </c>
      <c r="C109" s="1081">
        <v>15.472697223208375</v>
      </c>
      <c r="D109" s="1081">
        <v>15.865069998364916</v>
      </c>
      <c r="E109" s="1081">
        <f t="shared" si="3"/>
        <v>10.253590417686194</v>
      </c>
      <c r="F109" s="1082">
        <f>_xlfn.IFNA(INDEX('F7'!$R$10:$R$126,MATCH(B109,'F7'!$B$10:$B$126,0)),0)</f>
        <v>0</v>
      </c>
      <c r="G109" s="1082">
        <f t="shared" si="4"/>
        <v>0</v>
      </c>
      <c r="H109" s="1081">
        <f t="shared" si="5"/>
        <v>10.253590417686194</v>
      </c>
    </row>
    <row r="110" spans="2:8">
      <c r="B110" s="1406" t="s">
        <v>1433</v>
      </c>
      <c r="C110" s="1081">
        <v>12.128328890818175</v>
      </c>
      <c r="D110" s="1081">
        <v>10.998684716182034</v>
      </c>
      <c r="E110" s="1081">
        <f t="shared" si="3"/>
        <v>9.0685904176861953</v>
      </c>
      <c r="F110" s="1082">
        <f>_xlfn.IFNA(INDEX('F7'!$R$10:$R$126,MATCH(B110,'F7'!$B$10:$B$126,0)),0)</f>
        <v>0</v>
      </c>
      <c r="G110" s="1082">
        <f t="shared" si="4"/>
        <v>0</v>
      </c>
      <c r="H110" s="1081">
        <f t="shared" si="5"/>
        <v>9.0685904176861953</v>
      </c>
    </row>
    <row r="111" spans="2:8">
      <c r="B111" s="1402" t="s">
        <v>1014</v>
      </c>
      <c r="C111" s="1081">
        <v>171.7576</v>
      </c>
      <c r="D111" s="1081">
        <v>131.04250173590952</v>
      </c>
      <c r="E111" s="1081">
        <f t="shared" si="3"/>
        <v>7.6295023763670153</v>
      </c>
      <c r="F111" s="1082">
        <f>_xlfn.IFNA(INDEX('F7'!$R$10:$R$126,MATCH(B111,'F7'!$B$10:$B$126,0)),0)</f>
        <v>0</v>
      </c>
      <c r="G111" s="1082">
        <f t="shared" si="4"/>
        <v>0</v>
      </c>
      <c r="H111" s="1081">
        <f t="shared" si="5"/>
        <v>7.6295023763670153</v>
      </c>
    </row>
    <row r="112" spans="2:8">
      <c r="B112" s="1410" t="s">
        <v>1426</v>
      </c>
      <c r="C112" s="1081">
        <v>58.155758892479767</v>
      </c>
      <c r="D112" s="1081">
        <v>42.74767999770782</v>
      </c>
      <c r="E112" s="1081">
        <f t="shared" si="3"/>
        <v>7.3505497670043489</v>
      </c>
      <c r="F112" s="1082">
        <f>_xlfn.IFNA(INDEX('F7'!$R$10:$R$126,MATCH(B112,'F7'!$B$10:$B$126,0)),0)</f>
        <v>0</v>
      </c>
      <c r="G112" s="1082">
        <f t="shared" si="4"/>
        <v>0</v>
      </c>
      <c r="H112" s="1081">
        <f t="shared" si="5"/>
        <v>7.3505497670043489</v>
      </c>
    </row>
    <row r="113" spans="2:8">
      <c r="B113" s="1406" t="s">
        <v>1430</v>
      </c>
      <c r="C113" s="1081">
        <v>11.403869854489644</v>
      </c>
      <c r="D113" s="1081">
        <v>8.3248249937774403</v>
      </c>
      <c r="E113" s="1081">
        <f t="shared" si="3"/>
        <v>7.3</v>
      </c>
      <c r="F113" s="1082">
        <f>_xlfn.IFNA(INDEX('F7'!$R$10:$R$126,MATCH(B113,'F7'!$B$10:$B$126,0)),0)</f>
        <v>0</v>
      </c>
      <c r="G113" s="1082">
        <f t="shared" si="4"/>
        <v>0</v>
      </c>
      <c r="H113" s="1081">
        <f t="shared" si="5"/>
        <v>7.3</v>
      </c>
    </row>
    <row r="114" spans="2:8">
      <c r="B114" s="1406" t="s">
        <v>1431</v>
      </c>
      <c r="C114" s="1081">
        <v>24.594994434164231</v>
      </c>
      <c r="D114" s="1081">
        <v>17.954345936939887</v>
      </c>
      <c r="E114" s="1081">
        <f t="shared" si="3"/>
        <v>7.3</v>
      </c>
      <c r="F114" s="1082">
        <f>_xlfn.IFNA(INDEX('F7'!$R$10:$R$126,MATCH(B114,'F7'!$B$10:$B$126,0)),0)</f>
        <v>0</v>
      </c>
      <c r="G114" s="1082">
        <f t="shared" si="4"/>
        <v>0</v>
      </c>
      <c r="H114" s="1081">
        <f t="shared" si="5"/>
        <v>7.3</v>
      </c>
    </row>
    <row r="115" spans="2:8">
      <c r="B115" s="1406" t="s">
        <v>1432</v>
      </c>
      <c r="C115" s="1081">
        <v>12.420803494596038</v>
      </c>
      <c r="D115" s="1081">
        <v>10.427264533713373</v>
      </c>
      <c r="E115" s="1081">
        <f t="shared" si="3"/>
        <v>8.3949999999999996</v>
      </c>
      <c r="F115" s="1082">
        <f>_xlfn.IFNA(INDEX('F7'!$R$10:$R$126,MATCH(B115,'F7'!$B$10:$B$126,0)),0)</f>
        <v>0</v>
      </c>
      <c r="G115" s="1082">
        <f t="shared" si="4"/>
        <v>0</v>
      </c>
      <c r="H115" s="1081">
        <f t="shared" si="5"/>
        <v>8.3949999999999996</v>
      </c>
    </row>
    <row r="116" spans="2:8">
      <c r="B116" s="1406" t="s">
        <v>1433</v>
      </c>
      <c r="C116" s="1081">
        <v>9.7360911092298537</v>
      </c>
      <c r="D116" s="1081">
        <v>6.0412445332771245</v>
      </c>
      <c r="E116" s="1081">
        <f t="shared" si="3"/>
        <v>6.2050000000000001</v>
      </c>
      <c r="F116" s="1082">
        <f>_xlfn.IFNA(INDEX('F7'!$R$10:$R$126,MATCH(B116,'F7'!$B$10:$B$126,0)),0)</f>
        <v>0</v>
      </c>
      <c r="G116" s="1082">
        <f t="shared" si="4"/>
        <v>0</v>
      </c>
      <c r="H116" s="1081">
        <f t="shared" si="5"/>
        <v>6.2050000000000001</v>
      </c>
    </row>
    <row r="117" spans="2:8">
      <c r="B117" s="1410" t="s">
        <v>1427</v>
      </c>
      <c r="C117" s="1081">
        <v>41.156733226960164</v>
      </c>
      <c r="D117" s="1081">
        <v>30.666878865171</v>
      </c>
      <c r="E117" s="1081">
        <f t="shared" si="3"/>
        <v>7.4512422295660556</v>
      </c>
      <c r="F117" s="1082">
        <f>_xlfn.IFNA(INDEX('F7'!$R$10:$R$126,MATCH(B117,'F7'!$B$10:$B$126,0)),0)</f>
        <v>0</v>
      </c>
      <c r="G117" s="1082">
        <f t="shared" si="4"/>
        <v>0</v>
      </c>
      <c r="H117" s="1081">
        <f t="shared" si="5"/>
        <v>7.4512422295660556</v>
      </c>
    </row>
    <row r="118" spans="2:8">
      <c r="B118" s="1406" t="s">
        <v>1430</v>
      </c>
      <c r="C118" s="1081">
        <v>8.0704996081977942</v>
      </c>
      <c r="D118" s="1081">
        <v>5.9721697100663684</v>
      </c>
      <c r="E118" s="1081">
        <f t="shared" si="3"/>
        <v>7.4000000000000012</v>
      </c>
      <c r="F118" s="1082">
        <f>_xlfn.IFNA(INDEX('F7'!$R$10:$R$126,MATCH(B118,'F7'!$B$10:$B$126,0)),0)</f>
        <v>0</v>
      </c>
      <c r="G118" s="1082">
        <f t="shared" si="4"/>
        <v>0</v>
      </c>
      <c r="H118" s="1081">
        <f t="shared" si="5"/>
        <v>7.4000000000000012</v>
      </c>
    </row>
    <row r="119" spans="2:8">
      <c r="B119" s="1406" t="s">
        <v>1431</v>
      </c>
      <c r="C119" s="1081">
        <v>17.405836393897758</v>
      </c>
      <c r="D119" s="1081">
        <v>12.880318931484343</v>
      </c>
      <c r="E119" s="1081">
        <f t="shared" si="3"/>
        <v>7.4000000000000012</v>
      </c>
      <c r="F119" s="1082">
        <f>_xlfn.IFNA(INDEX('F7'!$R$10:$R$126,MATCH(B119,'F7'!$B$10:$B$126,0)),0)</f>
        <v>0</v>
      </c>
      <c r="G119" s="1082">
        <f t="shared" si="4"/>
        <v>0</v>
      </c>
      <c r="H119" s="1081">
        <f t="shared" si="5"/>
        <v>7.4000000000000012</v>
      </c>
    </row>
    <row r="120" spans="2:8">
      <c r="B120" s="1406" t="s">
        <v>1432</v>
      </c>
      <c r="C120" s="1081">
        <v>8.7901818431551408</v>
      </c>
      <c r="D120" s="1081">
        <v>7.4804447485250254</v>
      </c>
      <c r="E120" s="1081">
        <f t="shared" si="3"/>
        <v>8.5100000000000016</v>
      </c>
      <c r="F120" s="1082">
        <f>_xlfn.IFNA(INDEX('F7'!$R$10:$R$126,MATCH(B120,'F7'!$B$10:$B$126,0)),0)</f>
        <v>0</v>
      </c>
      <c r="G120" s="1082">
        <f t="shared" si="4"/>
        <v>0</v>
      </c>
      <c r="H120" s="1081">
        <f t="shared" si="5"/>
        <v>8.5100000000000016</v>
      </c>
    </row>
    <row r="121" spans="2:8">
      <c r="B121" s="1406" t="s">
        <v>1433</v>
      </c>
      <c r="C121" s="1081">
        <v>6.8902153817094769</v>
      </c>
      <c r="D121" s="1081">
        <v>4.3339454750952608</v>
      </c>
      <c r="E121" s="1081">
        <f t="shared" si="3"/>
        <v>6.29</v>
      </c>
      <c r="F121" s="1082">
        <f>_xlfn.IFNA(INDEX('F7'!$R$10:$R$126,MATCH(B121,'F7'!$B$10:$B$126,0)),0)</f>
        <v>0</v>
      </c>
      <c r="G121" s="1082">
        <f t="shared" si="4"/>
        <v>0</v>
      </c>
      <c r="H121" s="1081">
        <f t="shared" si="5"/>
        <v>6.29</v>
      </c>
    </row>
    <row r="122" spans="2:8">
      <c r="B122" s="1410" t="s">
        <v>1428</v>
      </c>
      <c r="C122" s="1081">
        <v>72.445107880560073</v>
      </c>
      <c r="D122" s="1081">
        <v>57.62794287303069</v>
      </c>
      <c r="E122" s="1081">
        <f t="shared" si="3"/>
        <v>7.9547045423745688</v>
      </c>
      <c r="F122" s="1082">
        <f>_xlfn.IFNA(INDEX('F7'!$R$10:$R$126,MATCH(B122,'F7'!$B$10:$B$126,0)),0)</f>
        <v>0</v>
      </c>
      <c r="G122" s="1082">
        <f t="shared" si="4"/>
        <v>0</v>
      </c>
      <c r="H122" s="1081">
        <f t="shared" si="5"/>
        <v>7.9547045423745688</v>
      </c>
    </row>
    <row r="123" spans="2:8">
      <c r="B123" s="1406" t="s">
        <v>1430</v>
      </c>
      <c r="C123" s="1081">
        <v>14.205894611259223</v>
      </c>
      <c r="D123" s="1081">
        <v>11.222656742894788</v>
      </c>
      <c r="E123" s="1081">
        <f t="shared" si="3"/>
        <v>7.9000000000000012</v>
      </c>
      <c r="F123" s="1082">
        <f>_xlfn.IFNA(INDEX('F7'!$R$10:$R$126,MATCH(B123,'F7'!$B$10:$B$126,0)),0)</f>
        <v>0</v>
      </c>
      <c r="G123" s="1082">
        <f t="shared" si="4"/>
        <v>0</v>
      </c>
      <c r="H123" s="1081">
        <f t="shared" si="5"/>
        <v>7.9000000000000012</v>
      </c>
    </row>
    <row r="124" spans="2:8">
      <c r="B124" s="1406" t="s">
        <v>1431</v>
      </c>
      <c r="C124" s="1081">
        <v>30.638187155274288</v>
      </c>
      <c r="D124" s="1081">
        <v>24.204167852666689</v>
      </c>
      <c r="E124" s="1081">
        <f t="shared" si="3"/>
        <v>7.9</v>
      </c>
      <c r="F124" s="1082">
        <f>_xlfn.IFNA(INDEX('F7'!$R$10:$R$126,MATCH(B124,'F7'!$B$10:$B$126,0)),0)</f>
        <v>0</v>
      </c>
      <c r="G124" s="1082">
        <f t="shared" si="4"/>
        <v>0</v>
      </c>
      <c r="H124" s="1081">
        <f t="shared" si="5"/>
        <v>7.9</v>
      </c>
    </row>
    <row r="125" spans="2:8">
      <c r="B125" s="1406" t="s">
        <v>1432</v>
      </c>
      <c r="C125" s="1081">
        <v>15.472697223208375</v>
      </c>
      <c r="D125" s="1081">
        <v>14.056945427284807</v>
      </c>
      <c r="E125" s="1081">
        <f t="shared" si="3"/>
        <v>9.0849999999999991</v>
      </c>
      <c r="F125" s="1082">
        <f>_xlfn.IFNA(INDEX('F7'!$R$10:$R$126,MATCH(B125,'F7'!$B$10:$B$126,0)),0)</f>
        <v>0</v>
      </c>
      <c r="G125" s="1082">
        <f t="shared" si="4"/>
        <v>0</v>
      </c>
      <c r="H125" s="1081">
        <f t="shared" si="5"/>
        <v>9.0849999999999991</v>
      </c>
    </row>
    <row r="126" spans="2:8">
      <c r="B126" s="1406" t="s">
        <v>1433</v>
      </c>
      <c r="C126" s="1081">
        <v>12.128328890818175</v>
      </c>
      <c r="D126" s="1081">
        <v>8.144172850184404</v>
      </c>
      <c r="E126" s="1081">
        <f t="shared" si="3"/>
        <v>6.7149999999999999</v>
      </c>
      <c r="F126" s="1082">
        <f>_xlfn.IFNA(INDEX('F7'!$R$10:$R$126,MATCH(B126,'F7'!$B$10:$B$126,0)),0)</f>
        <v>0</v>
      </c>
      <c r="G126" s="1082">
        <f t="shared" si="4"/>
        <v>0</v>
      </c>
      <c r="H126" s="1081">
        <f t="shared" si="5"/>
        <v>6.7149999999999999</v>
      </c>
    </row>
    <row r="127" spans="2:8">
      <c r="B127" s="1402" t="s">
        <v>1425</v>
      </c>
      <c r="C127" s="1081">
        <v>595.68804</v>
      </c>
      <c r="D127" s="1081">
        <v>526.76713644880465</v>
      </c>
      <c r="E127" s="1081">
        <f t="shared" si="3"/>
        <v>8.8430034023984199</v>
      </c>
      <c r="F127" s="1082">
        <f ca="1">_xlfn.IFNA(INDEX('F7'!$R$10:$R$126,MATCH(B127,'F7'!$B$10:$B$126,0)),0)</f>
        <v>12411.62407831255</v>
      </c>
      <c r="G127" s="1082">
        <f t="shared" ca="1" si="4"/>
        <v>208.357785365517</v>
      </c>
      <c r="H127" s="1081">
        <f t="shared" ca="1" si="5"/>
        <v>-199.51478196311859</v>
      </c>
    </row>
    <row r="128" spans="2:8">
      <c r="B128" s="1409"/>
      <c r="C128" s="1081">
        <v>0</v>
      </c>
      <c r="D128" s="1081">
        <v>0</v>
      </c>
      <c r="E128" s="1081">
        <f t="shared" si="3"/>
        <v>0</v>
      </c>
      <c r="F128" s="1082">
        <f>_xlfn.IFNA(INDEX('F7'!$R$10:$R$126,MATCH(B128,'F7'!$B$10:$B$126,0)),0)</f>
        <v>0</v>
      </c>
      <c r="G128" s="1082">
        <f t="shared" si="4"/>
        <v>0</v>
      </c>
      <c r="H128" s="1081">
        <f t="shared" si="5"/>
        <v>0</v>
      </c>
    </row>
    <row r="129" spans="2:8">
      <c r="B129" s="1402" t="s">
        <v>1402</v>
      </c>
      <c r="C129" s="1081">
        <v>0</v>
      </c>
      <c r="D129" s="1081">
        <v>0</v>
      </c>
      <c r="E129" s="1081">
        <f t="shared" si="3"/>
        <v>0</v>
      </c>
      <c r="F129" s="1082">
        <f ca="1">_xlfn.IFNA(INDEX('F7'!$R$10:$R$126,MATCH(B129,'F7'!$B$10:$B$126,0)),0)</f>
        <v>0</v>
      </c>
      <c r="G129" s="1082">
        <f t="shared" ca="1" si="4"/>
        <v>0</v>
      </c>
      <c r="H129" s="1081">
        <f t="shared" ca="1" si="5"/>
        <v>0</v>
      </c>
    </row>
    <row r="130" spans="2:8">
      <c r="B130" s="1402" t="s">
        <v>1012</v>
      </c>
      <c r="C130" s="1081">
        <v>143.74533333333335</v>
      </c>
      <c r="D130" s="1081">
        <v>128.22281912291669</v>
      </c>
      <c r="E130" s="1081">
        <f t="shared" si="3"/>
        <v>8.920137868098907</v>
      </c>
      <c r="F130" s="1082">
        <f ca="1">_xlfn.IFNA(INDEX('F7'!$R$10:$R$126,MATCH(B130,'F7'!$B$10:$B$126,0)),0)</f>
        <v>242.01542725711175</v>
      </c>
      <c r="G130" s="1082">
        <f t="shared" ca="1" si="4"/>
        <v>16.836402382253226</v>
      </c>
      <c r="H130" s="1081">
        <f t="shared" ca="1" si="5"/>
        <v>-7.9162645141543191</v>
      </c>
    </row>
    <row r="131" spans="2:8">
      <c r="B131" s="1409" t="s">
        <v>1091</v>
      </c>
      <c r="C131" s="1081">
        <v>105.80973333333336</v>
      </c>
      <c r="D131" s="1081">
        <v>94.554324791666687</v>
      </c>
      <c r="E131" s="1081">
        <f t="shared" si="3"/>
        <v>8.9362596249809414</v>
      </c>
      <c r="F131" s="1082">
        <f ca="1">_xlfn.IFNA(INDEX('F7'!$R$10:$R$126,MATCH(B131,'F7'!$B$10:$B$126,0)),0)</f>
        <v>101.54776311607442</v>
      </c>
      <c r="G131" s="1082">
        <f t="shared" ca="1" si="4"/>
        <v>9.5972043324376966</v>
      </c>
      <c r="H131" s="1081">
        <f t="shared" ca="1" si="5"/>
        <v>-0.66094470745675515</v>
      </c>
    </row>
    <row r="132" spans="2:8">
      <c r="B132" s="1409" t="s">
        <v>1092</v>
      </c>
      <c r="C132" s="1081">
        <v>20.385200000000001</v>
      </c>
      <c r="D132" s="1081">
        <v>16.915945131249998</v>
      </c>
      <c r="E132" s="1081">
        <f t="shared" si="3"/>
        <v>8.29815019290956</v>
      </c>
      <c r="F132" s="1082">
        <f ca="1">_xlfn.IFNA(INDEX('F7'!$R$10:$R$126,MATCH(B132,'F7'!$B$10:$B$126,0)),0)</f>
        <v>19.564092975760893</v>
      </c>
      <c r="G132" s="1082">
        <f t="shared" ca="1" si="4"/>
        <v>9.5972043324376948</v>
      </c>
      <c r="H132" s="1081">
        <f t="shared" ca="1" si="5"/>
        <v>-1.2990541395281348</v>
      </c>
    </row>
    <row r="133" spans="2:8">
      <c r="B133" s="1409" t="s">
        <v>1093</v>
      </c>
      <c r="C133" s="1081">
        <v>17.550399999999996</v>
      </c>
      <c r="D133" s="1081">
        <v>16.752549199999997</v>
      </c>
      <c r="E133" s="1081">
        <f t="shared" si="3"/>
        <v>9.545394520922601</v>
      </c>
      <c r="F133" s="1082">
        <f ca="1">_xlfn.IFNA(INDEX('F7'!$R$10:$R$126,MATCH(B133,'F7'!$B$10:$B$126,0)),0)</f>
        <v>16.843477491601448</v>
      </c>
      <c r="G133" s="1082">
        <f t="shared" ca="1" si="4"/>
        <v>9.5972043324376948</v>
      </c>
      <c r="H133" s="1081">
        <f t="shared" ca="1" si="5"/>
        <v>-5.1809811515093784E-2</v>
      </c>
    </row>
    <row r="134" spans="2:8">
      <c r="B134" s="1402" t="s">
        <v>1011</v>
      </c>
      <c r="C134" s="1081">
        <v>277.70800000000003</v>
      </c>
      <c r="D134" s="1081">
        <v>275.74334912</v>
      </c>
      <c r="E134" s="1081">
        <f t="shared" si="3"/>
        <v>9.9292547971250364</v>
      </c>
      <c r="F134" s="1082">
        <f ca="1">_xlfn.IFNA(INDEX('F7'!$R$10:$R$126,MATCH(B134,'F7'!$B$10:$B$126,0)),0)</f>
        <v>329.6785565698201</v>
      </c>
      <c r="G134" s="1082">
        <f t="shared" ca="1" si="4"/>
        <v>11.871410134739369</v>
      </c>
      <c r="H134" s="1081">
        <f t="shared" ca="1" si="5"/>
        <v>-1.9421553376143326</v>
      </c>
    </row>
    <row r="135" spans="2:8">
      <c r="B135" s="1409" t="s">
        <v>1094</v>
      </c>
      <c r="C135" s="1081">
        <v>46.464400000000005</v>
      </c>
      <c r="D135" s="1081">
        <v>44.295341270000002</v>
      </c>
      <c r="E135" s="1081">
        <f t="shared" si="3"/>
        <v>9.5331783623591395</v>
      </c>
      <c r="F135" s="1082">
        <f ca="1">_xlfn.IFNA(INDEX('F7'!$R$10:$R$126,MATCH(B135,'F7'!$B$10:$B$126,0)),0)</f>
        <v>44.592834098411814</v>
      </c>
      <c r="G135" s="1082">
        <f t="shared" ca="1" si="4"/>
        <v>9.5972043324376966</v>
      </c>
      <c r="H135" s="1081">
        <f t="shared" ca="1" si="5"/>
        <v>-6.4025970078557037E-2</v>
      </c>
    </row>
    <row r="136" spans="2:8">
      <c r="B136" s="1409" t="s">
        <v>1095</v>
      </c>
      <c r="C136" s="1081">
        <v>185.49860000000001</v>
      </c>
      <c r="D136" s="1081">
        <v>186.52182865</v>
      </c>
      <c r="E136" s="1081">
        <f t="shared" si="3"/>
        <v>10.055160990433352</v>
      </c>
      <c r="F136" s="1082">
        <f ca="1">_xlfn.IFNA(INDEX('F7'!$R$10:$R$126,MATCH(B136,'F7'!$B$10:$B$126,0)),0)</f>
        <v>178.02679675811271</v>
      </c>
      <c r="G136" s="1082">
        <f t="shared" ca="1" si="4"/>
        <v>9.5972043324376948</v>
      </c>
      <c r="H136" s="1081">
        <f t="shared" ca="1" si="5"/>
        <v>0.45795665799565732</v>
      </c>
    </row>
    <row r="137" spans="2:8">
      <c r="B137" s="1409" t="s">
        <v>1096</v>
      </c>
      <c r="C137" s="1081">
        <v>45.744999999999997</v>
      </c>
      <c r="D137" s="1081">
        <v>44.9261792</v>
      </c>
      <c r="E137" s="1081">
        <f t="shared" si="3"/>
        <v>9.8210032134659535</v>
      </c>
      <c r="F137" s="1082">
        <f ca="1">_xlfn.IFNA(INDEX('F7'!$R$10:$R$126,MATCH(B137,'F7'!$B$10:$B$126,0)),0)</f>
        <v>43.902411218736233</v>
      </c>
      <c r="G137" s="1082">
        <f t="shared" ca="1" si="4"/>
        <v>9.5972043324376948</v>
      </c>
      <c r="H137" s="1081">
        <f t="shared" ca="1" si="5"/>
        <v>0.22379888102825873</v>
      </c>
    </row>
    <row r="138" spans="2:8">
      <c r="B138" s="1402" t="s">
        <v>1425</v>
      </c>
      <c r="C138" s="1081">
        <v>421.45333333333338</v>
      </c>
      <c r="D138" s="1081">
        <v>403.96616824291669</v>
      </c>
      <c r="E138" s="1081">
        <f t="shared" si="3"/>
        <v>9.5850746996800744</v>
      </c>
      <c r="F138" s="1082">
        <f ca="1">_xlfn.IFNA(INDEX('F7'!$R$10:$R$126,MATCH(B138,'F7'!$B$10:$B$126,0)),0)</f>
        <v>12411.62407831255</v>
      </c>
      <c r="G138" s="1082">
        <f t="shared" ca="1" si="4"/>
        <v>294.49581001405966</v>
      </c>
      <c r="H138" s="1081">
        <f t="shared" ca="1" si="5"/>
        <v>-284.91073531437956</v>
      </c>
    </row>
    <row r="139" spans="2:8">
      <c r="B139" s="1409"/>
      <c r="C139" s="1081">
        <v>0</v>
      </c>
      <c r="D139" s="1081">
        <v>0</v>
      </c>
      <c r="E139" s="1081">
        <f t="shared" si="3"/>
        <v>0</v>
      </c>
      <c r="F139" s="1082">
        <f>_xlfn.IFNA(INDEX('F7'!$R$10:$R$126,MATCH(B139,'F7'!$B$10:$B$126,0)),0)</f>
        <v>0</v>
      </c>
      <c r="G139" s="1082">
        <f t="shared" si="4"/>
        <v>0</v>
      </c>
      <c r="H139" s="1081">
        <f t="shared" si="5"/>
        <v>0</v>
      </c>
    </row>
    <row r="140" spans="2:8">
      <c r="B140" s="1402" t="s">
        <v>1098</v>
      </c>
      <c r="C140" s="1081">
        <v>0</v>
      </c>
      <c r="D140" s="1081">
        <v>0</v>
      </c>
      <c r="E140" s="1081">
        <f t="shared" ref="E140:E203" si="6">IFERROR((D140/C140)*10,0)</f>
        <v>0</v>
      </c>
      <c r="F140" s="1082">
        <f ca="1">_xlfn.IFNA(INDEX('F7'!$R$10:$R$126,MATCH(B140,'F7'!$B$10:$B$126,0)),0)</f>
        <v>0</v>
      </c>
      <c r="G140" s="1082">
        <f t="shared" ref="G140:G203" ca="1" si="7">IFERROR((F140/C140)*10,0)</f>
        <v>0</v>
      </c>
      <c r="H140" s="1081">
        <f t="shared" ref="H140:H203" ca="1" si="8">E140-G140</f>
        <v>0</v>
      </c>
    </row>
    <row r="141" spans="2:8">
      <c r="B141" s="1402" t="s">
        <v>476</v>
      </c>
      <c r="C141" s="1081">
        <v>660.70940000000007</v>
      </c>
      <c r="D141" s="1081">
        <v>605.63607744694366</v>
      </c>
      <c r="E141" s="1081">
        <f t="shared" si="6"/>
        <v>9.1664516570665349</v>
      </c>
      <c r="F141" s="1082">
        <f ca="1">_xlfn.IFNA(INDEX('F7'!$R$10:$R$126,MATCH(B141,'F7'!$B$10:$B$126,0)),0)</f>
        <v>0</v>
      </c>
      <c r="G141" s="1082">
        <f t="shared" ca="1" si="7"/>
        <v>0</v>
      </c>
      <c r="H141" s="1081">
        <f t="shared" ca="1" si="8"/>
        <v>9.1664516570665349</v>
      </c>
    </row>
    <row r="142" spans="2:8">
      <c r="B142" s="1409" t="s">
        <v>1099</v>
      </c>
      <c r="C142" s="1081">
        <v>660.70940000000007</v>
      </c>
      <c r="D142" s="1081">
        <v>605.63607744694366</v>
      </c>
      <c r="E142" s="1081">
        <f t="shared" si="6"/>
        <v>9.1664516570665349</v>
      </c>
      <c r="F142" s="1082">
        <f ca="1">_xlfn.IFNA(INDEX('F7'!$R$10:$R$126,MATCH(B142,'F7'!$B$10:$B$126,0)),0)</f>
        <v>634.09631161623111</v>
      </c>
      <c r="G142" s="1082">
        <f t="shared" ca="1" si="7"/>
        <v>9.5972043324376948</v>
      </c>
      <c r="H142" s="1081">
        <f t="shared" ca="1" si="8"/>
        <v>-0.43075267537115991</v>
      </c>
    </row>
    <row r="143" spans="2:8">
      <c r="B143" s="1402" t="s">
        <v>1404</v>
      </c>
      <c r="C143" s="1081">
        <v>322.15088736000001</v>
      </c>
      <c r="D143" s="1081">
        <v>373.25654155495977</v>
      </c>
      <c r="E143" s="1081">
        <f t="shared" si="6"/>
        <v>11.586388745154991</v>
      </c>
      <c r="F143" s="1082">
        <f ca="1">_xlfn.IFNA(INDEX('F7'!$R$10:$R$126,MATCH(B143,'F7'!$B$10:$B$126,0)),0)</f>
        <v>0</v>
      </c>
      <c r="G143" s="1082">
        <f t="shared" ca="1" si="7"/>
        <v>0</v>
      </c>
      <c r="H143" s="1081">
        <f t="shared" ca="1" si="8"/>
        <v>11.586388745154991</v>
      </c>
    </row>
    <row r="144" spans="2:8">
      <c r="B144" s="1409" t="s">
        <v>1405</v>
      </c>
      <c r="C144" s="1081">
        <v>318.36766635000004</v>
      </c>
      <c r="D144" s="1081">
        <v>357.14847184986593</v>
      </c>
      <c r="E144" s="1081">
        <f t="shared" si="6"/>
        <v>11.218113822439239</v>
      </c>
      <c r="F144" s="1082">
        <f ca="1">_xlfn.IFNA(INDEX('F7'!$R$10:$R$126,MATCH(B144,'F7'!$B$10:$B$126,0)),0)</f>
        <v>305.54395468022989</v>
      </c>
      <c r="G144" s="1082">
        <f t="shared" ca="1" si="7"/>
        <v>9.5972043324376948</v>
      </c>
      <c r="H144" s="1081">
        <f t="shared" ca="1" si="8"/>
        <v>1.6209094900015444</v>
      </c>
    </row>
    <row r="145" spans="2:8">
      <c r="B145" s="1409" t="s">
        <v>1101</v>
      </c>
      <c r="C145" s="1081">
        <v>3.7832210099999997</v>
      </c>
      <c r="D145" s="1081">
        <v>16.108069705093833</v>
      </c>
      <c r="E145" s="1081">
        <f t="shared" si="6"/>
        <v>42.577659783861883</v>
      </c>
      <c r="F145" s="1082">
        <f ca="1">_xlfn.IFNA(INDEX('F7'!$R$10:$R$126,MATCH(B145,'F7'!$B$10:$B$126,0)),0)</f>
        <v>3.6308345067741312</v>
      </c>
      <c r="G145" s="1082">
        <f t="shared" ca="1" si="7"/>
        <v>9.5972043324376948</v>
      </c>
      <c r="H145" s="1081">
        <f t="shared" ca="1" si="8"/>
        <v>32.980455451424191</v>
      </c>
    </row>
    <row r="146" spans="2:8">
      <c r="B146" s="1402" t="s">
        <v>1425</v>
      </c>
      <c r="C146" s="1081">
        <v>982.86028736000003</v>
      </c>
      <c r="D146" s="1081">
        <v>978.89261900190343</v>
      </c>
      <c r="E146" s="1081">
        <f t="shared" si="6"/>
        <v>9.9596314103934969</v>
      </c>
      <c r="F146" s="1082">
        <f ca="1">_xlfn.IFNA(INDEX('F7'!$R$10:$R$126,MATCH(B146,'F7'!$B$10:$B$126,0)),0)</f>
        <v>12411.62407831255</v>
      </c>
      <c r="G146" s="1082">
        <f t="shared" ca="1" si="7"/>
        <v>126.28065492045307</v>
      </c>
      <c r="H146" s="1081">
        <f t="shared" ca="1" si="8"/>
        <v>-116.32102351005958</v>
      </c>
    </row>
    <row r="147" spans="2:8">
      <c r="B147" s="1409"/>
      <c r="C147" s="1081">
        <v>0</v>
      </c>
      <c r="D147" s="1081">
        <v>0</v>
      </c>
      <c r="E147" s="1081">
        <f t="shared" si="6"/>
        <v>0</v>
      </c>
      <c r="F147" s="1082">
        <f>_xlfn.IFNA(INDEX('F7'!$R$10:$R$126,MATCH(B147,'F7'!$B$10:$B$126,0)),0)</f>
        <v>0</v>
      </c>
      <c r="G147" s="1082">
        <f t="shared" si="7"/>
        <v>0</v>
      </c>
      <c r="H147" s="1081">
        <f t="shared" si="8"/>
        <v>0</v>
      </c>
    </row>
    <row r="148" spans="2:8">
      <c r="B148" s="1402" t="s">
        <v>1406</v>
      </c>
      <c r="C148" s="1081">
        <v>0</v>
      </c>
      <c r="D148" s="1081">
        <v>0</v>
      </c>
      <c r="E148" s="1081">
        <f t="shared" si="6"/>
        <v>0</v>
      </c>
      <c r="F148" s="1082">
        <f ca="1">_xlfn.IFNA(INDEX('F7'!$R$10:$R$126,MATCH(B148,'F7'!$B$10:$B$126,0)),0)</f>
        <v>0</v>
      </c>
      <c r="G148" s="1082">
        <f t="shared" ca="1" si="7"/>
        <v>0</v>
      </c>
      <c r="H148" s="1081">
        <f t="shared" ca="1" si="8"/>
        <v>0</v>
      </c>
    </row>
    <row r="149" spans="2:8">
      <c r="B149" s="1402" t="s">
        <v>476</v>
      </c>
      <c r="C149" s="1081">
        <v>9.1203066666666661</v>
      </c>
      <c r="D149" s="1081">
        <v>9.3646338900000003</v>
      </c>
      <c r="E149" s="1081">
        <f t="shared" si="6"/>
        <v>10.267893649043966</v>
      </c>
      <c r="F149" s="1082">
        <f ca="1">_xlfn.IFNA(INDEX('F7'!$R$10:$R$126,MATCH(B149,'F7'!$B$10:$B$126,0)),0)</f>
        <v>0</v>
      </c>
      <c r="G149" s="1082">
        <f t="shared" ca="1" si="7"/>
        <v>0</v>
      </c>
      <c r="H149" s="1081">
        <f t="shared" ca="1" si="8"/>
        <v>10.267893649043966</v>
      </c>
    </row>
    <row r="150" spans="2:8">
      <c r="B150" s="1409" t="s">
        <v>1104</v>
      </c>
      <c r="C150" s="1081">
        <v>3.9428399999999999</v>
      </c>
      <c r="D150" s="1081">
        <v>3.5759777039999996</v>
      </c>
      <c r="E150" s="1081">
        <f t="shared" si="6"/>
        <v>9.0695481023830524</v>
      </c>
      <c r="F150" s="1082">
        <f ca="1">_xlfn.IFNA(INDEX('F7'!$R$10:$R$126,MATCH(B150,'F7'!$B$10:$B$126,0)),0)</f>
        <v>3.7840241130108643</v>
      </c>
      <c r="G150" s="1082">
        <f t="shared" ca="1" si="7"/>
        <v>9.5972043324376948</v>
      </c>
      <c r="H150" s="1081">
        <f t="shared" ca="1" si="8"/>
        <v>-0.52765623005464235</v>
      </c>
    </row>
    <row r="151" spans="2:8">
      <c r="B151" s="1409" t="s">
        <v>1105</v>
      </c>
      <c r="C151" s="1081">
        <v>5.1774666666666667</v>
      </c>
      <c r="D151" s="1081">
        <v>5.7886561860000008</v>
      </c>
      <c r="E151" s="1081">
        <f t="shared" si="6"/>
        <v>11.180479873039584</v>
      </c>
      <c r="F151" s="1082">
        <f ca="1">_xlfn.IFNA(INDEX('F7'!$R$10:$R$126,MATCH(B151,'F7'!$B$10:$B$126,0)),0)</f>
        <v>4.9689205524385089</v>
      </c>
      <c r="G151" s="1082">
        <f t="shared" ca="1" si="7"/>
        <v>9.5972043324376948</v>
      </c>
      <c r="H151" s="1081">
        <f t="shared" ca="1" si="8"/>
        <v>1.583275540601889</v>
      </c>
    </row>
    <row r="152" spans="2:8">
      <c r="B152" s="1402" t="s">
        <v>1404</v>
      </c>
      <c r="C152" s="1081">
        <v>0.16133333333333333</v>
      </c>
      <c r="D152" s="1081">
        <v>0.13270031250000003</v>
      </c>
      <c r="E152" s="1081">
        <f t="shared" si="6"/>
        <v>8.2252259814049609</v>
      </c>
      <c r="F152" s="1082">
        <f ca="1">_xlfn.IFNA(INDEX('F7'!$R$10:$R$126,MATCH(B152,'F7'!$B$10:$B$126,0)),0)</f>
        <v>0</v>
      </c>
      <c r="G152" s="1082">
        <f t="shared" ca="1" si="7"/>
        <v>0</v>
      </c>
      <c r="H152" s="1081">
        <f t="shared" ca="1" si="8"/>
        <v>8.2252259814049609</v>
      </c>
    </row>
    <row r="153" spans="2:8">
      <c r="B153" s="1409" t="s">
        <v>1106</v>
      </c>
      <c r="C153" s="1081">
        <v>0</v>
      </c>
      <c r="D153" s="1081">
        <v>0.10012406250000001</v>
      </c>
      <c r="E153" s="1081">
        <f t="shared" si="6"/>
        <v>0</v>
      </c>
      <c r="F153" s="1082">
        <f ca="1">_xlfn.IFNA(INDEX('F7'!$R$10:$R$126,MATCH(B153,'F7'!$B$10:$B$126,0)),0)</f>
        <v>0</v>
      </c>
      <c r="G153" s="1082">
        <f t="shared" ca="1" si="7"/>
        <v>0</v>
      </c>
      <c r="H153" s="1081">
        <f t="shared" ca="1" si="8"/>
        <v>0</v>
      </c>
    </row>
    <row r="154" spans="2:8">
      <c r="B154" s="1409" t="s">
        <v>1107</v>
      </c>
      <c r="C154" s="1081">
        <v>0.16133333333333333</v>
      </c>
      <c r="D154" s="1081">
        <v>3.2576250000000001E-2</v>
      </c>
      <c r="E154" s="1081">
        <f t="shared" si="6"/>
        <v>2.0191890495867773</v>
      </c>
      <c r="F154" s="1082">
        <f ca="1">_xlfn.IFNA(INDEX('F7'!$R$10:$R$126,MATCH(B154,'F7'!$B$10:$B$126,0)),0)</f>
        <v>0.15483489656332813</v>
      </c>
      <c r="G154" s="1082">
        <f t="shared" ca="1" si="7"/>
        <v>9.5972043324376948</v>
      </c>
      <c r="H154" s="1081">
        <f t="shared" ca="1" si="8"/>
        <v>-7.5780152828509175</v>
      </c>
    </row>
    <row r="155" spans="2:8">
      <c r="B155" s="1402" t="s">
        <v>1425</v>
      </c>
      <c r="C155" s="1081">
        <v>9.2816399999999994</v>
      </c>
      <c r="D155" s="1081">
        <v>9.4973342025000012</v>
      </c>
      <c r="E155" s="1081">
        <f t="shared" si="6"/>
        <v>10.232388028947472</v>
      </c>
      <c r="F155" s="1082">
        <f ca="1">_xlfn.IFNA(INDEX('F7'!$R$10:$R$126,MATCH(B155,'F7'!$B$10:$B$126,0)),0)</f>
        <v>12411.62407831255</v>
      </c>
      <c r="G155" s="1082">
        <f t="shared" ca="1" si="7"/>
        <v>13372.231715852533</v>
      </c>
      <c r="H155" s="1081">
        <f t="shared" ca="1" si="8"/>
        <v>-13361.999327823585</v>
      </c>
    </row>
    <row r="156" spans="2:8">
      <c r="B156" s="1409"/>
      <c r="C156" s="1081">
        <v>0</v>
      </c>
      <c r="D156" s="1081">
        <v>0</v>
      </c>
      <c r="E156" s="1081">
        <f t="shared" si="6"/>
        <v>0</v>
      </c>
      <c r="F156" s="1082">
        <f>_xlfn.IFNA(INDEX('F7'!$R$10:$R$126,MATCH(B156,'F7'!$B$10:$B$126,0)),0)</f>
        <v>0</v>
      </c>
      <c r="G156" s="1082">
        <f t="shared" si="7"/>
        <v>0</v>
      </c>
      <c r="H156" s="1081">
        <f t="shared" si="8"/>
        <v>0</v>
      </c>
    </row>
    <row r="157" spans="2:8">
      <c r="B157" s="1402" t="s">
        <v>1109</v>
      </c>
      <c r="C157" s="1081">
        <v>108.7456</v>
      </c>
      <c r="D157" s="1081">
        <v>55.719661078846215</v>
      </c>
      <c r="E157" s="1081">
        <f t="shared" si="6"/>
        <v>5.1238543057232855</v>
      </c>
      <c r="F157" s="1082">
        <f ca="1">_xlfn.IFNA(INDEX('F7'!$R$10:$R$126,MATCH(B157,'F7'!$B$10:$B$126,0)),0)</f>
        <v>0</v>
      </c>
      <c r="G157" s="1082">
        <f t="shared" ca="1" si="7"/>
        <v>0</v>
      </c>
      <c r="H157" s="1081">
        <f t="shared" ca="1" si="8"/>
        <v>5.1238543057232855</v>
      </c>
    </row>
    <row r="158" spans="2:8">
      <c r="B158" s="1409"/>
      <c r="C158" s="1081">
        <v>0</v>
      </c>
      <c r="D158" s="1081">
        <v>0</v>
      </c>
      <c r="E158" s="1081">
        <f t="shared" si="6"/>
        <v>0</v>
      </c>
      <c r="F158" s="1082">
        <f>_xlfn.IFNA(INDEX('F7'!$R$10:$R$126,MATCH(B158,'F7'!$B$10:$B$126,0)),0)</f>
        <v>0</v>
      </c>
      <c r="G158" s="1082">
        <f t="shared" si="7"/>
        <v>0</v>
      </c>
      <c r="H158" s="1081">
        <f t="shared" si="8"/>
        <v>0</v>
      </c>
    </row>
    <row r="159" spans="2:8">
      <c r="B159" s="1402" t="s">
        <v>1407</v>
      </c>
      <c r="C159" s="1081">
        <v>0</v>
      </c>
      <c r="D159" s="1081">
        <v>0</v>
      </c>
      <c r="E159" s="1081">
        <f t="shared" si="6"/>
        <v>0</v>
      </c>
      <c r="F159" s="1082">
        <f ca="1">_xlfn.IFNA(INDEX('F7'!$R$10:$R$126,MATCH(B159,'F7'!$B$10:$B$126,0)),0)</f>
        <v>0</v>
      </c>
      <c r="G159" s="1082">
        <f t="shared" ca="1" si="7"/>
        <v>0</v>
      </c>
      <c r="H159" s="1081">
        <f t="shared" ca="1" si="8"/>
        <v>0</v>
      </c>
    </row>
    <row r="160" spans="2:8">
      <c r="B160" s="1402" t="s">
        <v>1146</v>
      </c>
      <c r="C160" s="1081">
        <v>0</v>
      </c>
      <c r="D160" s="1081">
        <v>0</v>
      </c>
      <c r="E160" s="1081">
        <f t="shared" si="6"/>
        <v>0</v>
      </c>
      <c r="F160" s="1082">
        <f ca="1">_xlfn.IFNA(INDEX('F7'!$R$10:$R$126,MATCH(B160,'F7'!$B$10:$B$126,0)),0)</f>
        <v>0</v>
      </c>
      <c r="G160" s="1082">
        <f t="shared" ca="1" si="7"/>
        <v>0</v>
      </c>
      <c r="H160" s="1081">
        <f t="shared" ca="1" si="8"/>
        <v>0</v>
      </c>
    </row>
    <row r="161" spans="2:8">
      <c r="B161" s="1409" t="s">
        <v>1408</v>
      </c>
      <c r="C161" s="1081">
        <v>0</v>
      </c>
      <c r="D161" s="1081">
        <v>0</v>
      </c>
      <c r="E161" s="1081">
        <f t="shared" si="6"/>
        <v>0</v>
      </c>
      <c r="F161" s="1082">
        <f ca="1">_xlfn.IFNA(INDEX('F7'!$R$10:$R$126,MATCH(B161,'F7'!$B$10:$B$126,0)),0)</f>
        <v>0</v>
      </c>
      <c r="G161" s="1082">
        <f t="shared" ca="1" si="7"/>
        <v>0</v>
      </c>
      <c r="H161" s="1081">
        <f t="shared" ca="1" si="8"/>
        <v>0</v>
      </c>
    </row>
    <row r="162" spans="2:8">
      <c r="B162" s="1409" t="s">
        <v>1409</v>
      </c>
      <c r="C162" s="1081">
        <v>0</v>
      </c>
      <c r="D162" s="1081">
        <v>0</v>
      </c>
      <c r="E162" s="1081">
        <f t="shared" si="6"/>
        <v>0</v>
      </c>
      <c r="F162" s="1082">
        <f ca="1">_xlfn.IFNA(INDEX('F7'!$R$10:$R$126,MATCH(B162,'F7'!$B$10:$B$126,0)),0)</f>
        <v>0</v>
      </c>
      <c r="G162" s="1082">
        <f t="shared" ca="1" si="7"/>
        <v>0</v>
      </c>
      <c r="H162" s="1081">
        <f t="shared" ca="1" si="8"/>
        <v>0</v>
      </c>
    </row>
    <row r="163" spans="2:8">
      <c r="B163" s="1402" t="s">
        <v>1461</v>
      </c>
      <c r="C163" s="1081">
        <v>2.8934400000000002E-2</v>
      </c>
      <c r="D163" s="1081">
        <v>2.2279488000000004E-2</v>
      </c>
      <c r="E163" s="1081">
        <f t="shared" si="6"/>
        <v>7.7</v>
      </c>
      <c r="F163" s="1082">
        <f>_xlfn.IFNA(INDEX('F7'!$R$10:$R$126,MATCH(B163,'F7'!$B$10:$B$126,0)),0)</f>
        <v>0</v>
      </c>
      <c r="G163" s="1082">
        <f t="shared" si="7"/>
        <v>0</v>
      </c>
      <c r="H163" s="1081">
        <f t="shared" si="8"/>
        <v>7.7</v>
      </c>
    </row>
    <row r="164" spans="2:8">
      <c r="B164" s="1402" t="s">
        <v>469</v>
      </c>
      <c r="C164" s="1081">
        <v>2.8934400000000002E-2</v>
      </c>
      <c r="D164" s="1081">
        <v>2.2279488000000004E-2</v>
      </c>
      <c r="E164" s="1081">
        <f t="shared" si="6"/>
        <v>7.7</v>
      </c>
      <c r="F164" s="1082">
        <f ca="1">_xlfn.IFNA(INDEX('F7'!$R$10:$R$126,MATCH(B164,'F7'!$B$10:$B$126,0)),0)</f>
        <v>2.776893490364853E-2</v>
      </c>
      <c r="G164" s="1082">
        <f t="shared" ca="1" si="7"/>
        <v>9.5972043324376966</v>
      </c>
      <c r="H164" s="1081">
        <f t="shared" ca="1" si="8"/>
        <v>-1.8972043324376964</v>
      </c>
    </row>
    <row r="165" spans="2:8">
      <c r="B165" s="1411" t="s">
        <v>1013</v>
      </c>
      <c r="C165" s="1081">
        <v>0</v>
      </c>
      <c r="D165" s="1081">
        <v>0</v>
      </c>
      <c r="E165" s="1081">
        <f t="shared" si="6"/>
        <v>0</v>
      </c>
      <c r="F165" s="1082">
        <f>_xlfn.IFNA(INDEX('F7'!$R$10:$R$126,MATCH(B165,'F7'!$B$10:$B$126,0)),0)</f>
        <v>0</v>
      </c>
      <c r="G165" s="1082">
        <f t="shared" si="7"/>
        <v>0</v>
      </c>
      <c r="H165" s="1081">
        <f t="shared" si="8"/>
        <v>0</v>
      </c>
    </row>
    <row r="166" spans="2:8">
      <c r="B166" s="1412" t="s">
        <v>1430</v>
      </c>
      <c r="C166" s="1081">
        <v>0</v>
      </c>
      <c r="D166" s="1081">
        <v>0</v>
      </c>
      <c r="E166" s="1081">
        <f t="shared" si="6"/>
        <v>0</v>
      </c>
      <c r="F166" s="1082">
        <f>_xlfn.IFNA(INDEX('F7'!$R$10:$R$126,MATCH(B166,'F7'!$B$10:$B$126,0)),0)</f>
        <v>0</v>
      </c>
      <c r="G166" s="1082">
        <f t="shared" si="7"/>
        <v>0</v>
      </c>
      <c r="H166" s="1081">
        <f t="shared" si="8"/>
        <v>0</v>
      </c>
    </row>
    <row r="167" spans="2:8">
      <c r="B167" s="1412" t="s">
        <v>1431</v>
      </c>
      <c r="C167" s="1081">
        <v>0</v>
      </c>
      <c r="D167" s="1081">
        <v>0</v>
      </c>
      <c r="E167" s="1081">
        <f t="shared" si="6"/>
        <v>0</v>
      </c>
      <c r="F167" s="1082">
        <f>_xlfn.IFNA(INDEX('F7'!$R$10:$R$126,MATCH(B167,'F7'!$B$10:$B$126,0)),0)</f>
        <v>0</v>
      </c>
      <c r="G167" s="1082">
        <f t="shared" si="7"/>
        <v>0</v>
      </c>
      <c r="H167" s="1081">
        <f t="shared" si="8"/>
        <v>0</v>
      </c>
    </row>
    <row r="168" spans="2:8">
      <c r="B168" s="1412" t="s">
        <v>1432</v>
      </c>
      <c r="C168" s="1081">
        <v>0</v>
      </c>
      <c r="D168" s="1081">
        <v>0</v>
      </c>
      <c r="E168" s="1081">
        <f t="shared" si="6"/>
        <v>0</v>
      </c>
      <c r="F168" s="1082">
        <f>_xlfn.IFNA(INDEX('F7'!$R$10:$R$126,MATCH(B168,'F7'!$B$10:$B$126,0)),0)</f>
        <v>0</v>
      </c>
      <c r="G168" s="1082">
        <f t="shared" si="7"/>
        <v>0</v>
      </c>
      <c r="H168" s="1081">
        <f t="shared" si="8"/>
        <v>0</v>
      </c>
    </row>
    <row r="169" spans="2:8">
      <c r="B169" s="1412" t="s">
        <v>1433</v>
      </c>
      <c r="C169" s="1081">
        <v>0</v>
      </c>
      <c r="D169" s="1081">
        <v>0</v>
      </c>
      <c r="E169" s="1081">
        <f t="shared" si="6"/>
        <v>0</v>
      </c>
      <c r="F169" s="1082">
        <f>_xlfn.IFNA(INDEX('F7'!$R$10:$R$126,MATCH(B169,'F7'!$B$10:$B$126,0)),0)</f>
        <v>0</v>
      </c>
      <c r="G169" s="1082">
        <f t="shared" si="7"/>
        <v>0</v>
      </c>
      <c r="H169" s="1081">
        <f t="shared" si="8"/>
        <v>0</v>
      </c>
    </row>
    <row r="170" spans="2:8">
      <c r="B170" s="1411" t="s">
        <v>1014</v>
      </c>
      <c r="C170" s="1081">
        <v>0</v>
      </c>
      <c r="D170" s="1081">
        <v>0</v>
      </c>
      <c r="E170" s="1081">
        <f t="shared" si="6"/>
        <v>0</v>
      </c>
      <c r="F170" s="1082">
        <f>_xlfn.IFNA(INDEX('F7'!$R$10:$R$126,MATCH(B170,'F7'!$B$10:$B$126,0)),0)</f>
        <v>0</v>
      </c>
      <c r="G170" s="1082">
        <f t="shared" si="7"/>
        <v>0</v>
      </c>
      <c r="H170" s="1081">
        <f t="shared" si="8"/>
        <v>0</v>
      </c>
    </row>
    <row r="171" spans="2:8">
      <c r="B171" s="1412" t="s">
        <v>1430</v>
      </c>
      <c r="C171" s="1081">
        <v>0</v>
      </c>
      <c r="D171" s="1081">
        <v>0</v>
      </c>
      <c r="E171" s="1081">
        <f t="shared" si="6"/>
        <v>0</v>
      </c>
      <c r="F171" s="1082">
        <f>_xlfn.IFNA(INDEX('F7'!$R$10:$R$126,MATCH(B171,'F7'!$B$10:$B$126,0)),0)</f>
        <v>0</v>
      </c>
      <c r="G171" s="1082">
        <f t="shared" si="7"/>
        <v>0</v>
      </c>
      <c r="H171" s="1081">
        <f t="shared" si="8"/>
        <v>0</v>
      </c>
    </row>
    <row r="172" spans="2:8">
      <c r="B172" s="1412" t="s">
        <v>1431</v>
      </c>
      <c r="C172" s="1081">
        <v>0</v>
      </c>
      <c r="D172" s="1081">
        <v>0</v>
      </c>
      <c r="E172" s="1081">
        <f t="shared" si="6"/>
        <v>0</v>
      </c>
      <c r="F172" s="1082">
        <f>_xlfn.IFNA(INDEX('F7'!$R$10:$R$126,MATCH(B172,'F7'!$B$10:$B$126,0)),0)</f>
        <v>0</v>
      </c>
      <c r="G172" s="1082">
        <f t="shared" si="7"/>
        <v>0</v>
      </c>
      <c r="H172" s="1081">
        <f t="shared" si="8"/>
        <v>0</v>
      </c>
    </row>
    <row r="173" spans="2:8">
      <c r="B173" s="1412" t="s">
        <v>1432</v>
      </c>
      <c r="C173" s="1081">
        <v>0</v>
      </c>
      <c r="D173" s="1081">
        <v>0</v>
      </c>
      <c r="E173" s="1081">
        <f t="shared" si="6"/>
        <v>0</v>
      </c>
      <c r="F173" s="1082">
        <f>_xlfn.IFNA(INDEX('F7'!$R$10:$R$126,MATCH(B173,'F7'!$B$10:$B$126,0)),0)</f>
        <v>0</v>
      </c>
      <c r="G173" s="1082">
        <f t="shared" si="7"/>
        <v>0</v>
      </c>
      <c r="H173" s="1081">
        <f t="shared" si="8"/>
        <v>0</v>
      </c>
    </row>
    <row r="174" spans="2:8">
      <c r="B174" s="1412" t="s">
        <v>1433</v>
      </c>
      <c r="C174" s="1081">
        <v>0</v>
      </c>
      <c r="D174" s="1081">
        <v>0</v>
      </c>
      <c r="E174" s="1081">
        <f t="shared" si="6"/>
        <v>0</v>
      </c>
      <c r="F174" s="1082">
        <f>_xlfn.IFNA(INDEX('F7'!$R$10:$R$126,MATCH(B174,'F7'!$B$10:$B$126,0)),0)</f>
        <v>0</v>
      </c>
      <c r="G174" s="1082">
        <f t="shared" si="7"/>
        <v>0</v>
      </c>
      <c r="H174" s="1081">
        <f t="shared" si="8"/>
        <v>0</v>
      </c>
    </row>
    <row r="175" spans="2:8">
      <c r="B175" s="1402" t="s">
        <v>470</v>
      </c>
      <c r="C175" s="1081">
        <v>0</v>
      </c>
      <c r="D175" s="1081">
        <v>0</v>
      </c>
      <c r="E175" s="1081">
        <f t="shared" si="6"/>
        <v>0</v>
      </c>
      <c r="F175" s="1082">
        <f ca="1">_xlfn.IFNA(INDEX('F7'!$R$10:$R$126,MATCH(B175,'F7'!$B$10:$B$126,0)),0)</f>
        <v>0</v>
      </c>
      <c r="G175" s="1082">
        <f t="shared" ca="1" si="7"/>
        <v>0</v>
      </c>
      <c r="H175" s="1081">
        <f t="shared" ca="1" si="8"/>
        <v>0</v>
      </c>
    </row>
    <row r="176" spans="2:8">
      <c r="B176" s="1411" t="s">
        <v>1013</v>
      </c>
      <c r="C176" s="1081">
        <v>0</v>
      </c>
      <c r="D176" s="1081">
        <v>0</v>
      </c>
      <c r="E176" s="1081">
        <f t="shared" si="6"/>
        <v>0</v>
      </c>
      <c r="F176" s="1082">
        <f>_xlfn.IFNA(INDEX('F7'!$R$10:$R$126,MATCH(B176,'F7'!$B$10:$B$126,0)),0)</f>
        <v>0</v>
      </c>
      <c r="G176" s="1082">
        <f t="shared" si="7"/>
        <v>0</v>
      </c>
      <c r="H176" s="1081">
        <f t="shared" si="8"/>
        <v>0</v>
      </c>
    </row>
    <row r="177" spans="2:8">
      <c r="B177" s="1412" t="s">
        <v>1430</v>
      </c>
      <c r="C177" s="1081">
        <v>0</v>
      </c>
      <c r="D177" s="1081">
        <v>0</v>
      </c>
      <c r="E177" s="1081">
        <f t="shared" si="6"/>
        <v>0</v>
      </c>
      <c r="F177" s="1082">
        <f>_xlfn.IFNA(INDEX('F7'!$R$10:$R$126,MATCH(B177,'F7'!$B$10:$B$126,0)),0)</f>
        <v>0</v>
      </c>
      <c r="G177" s="1082">
        <f t="shared" si="7"/>
        <v>0</v>
      </c>
      <c r="H177" s="1081">
        <f t="shared" si="8"/>
        <v>0</v>
      </c>
    </row>
    <row r="178" spans="2:8">
      <c r="B178" s="1412" t="s">
        <v>1431</v>
      </c>
      <c r="C178" s="1081">
        <v>0</v>
      </c>
      <c r="D178" s="1081">
        <v>0</v>
      </c>
      <c r="E178" s="1081">
        <f t="shared" si="6"/>
        <v>0</v>
      </c>
      <c r="F178" s="1082">
        <f>_xlfn.IFNA(INDEX('F7'!$R$10:$R$126,MATCH(B178,'F7'!$B$10:$B$126,0)),0)</f>
        <v>0</v>
      </c>
      <c r="G178" s="1082">
        <f t="shared" si="7"/>
        <v>0</v>
      </c>
      <c r="H178" s="1081">
        <f t="shared" si="8"/>
        <v>0</v>
      </c>
    </row>
    <row r="179" spans="2:8">
      <c r="B179" s="1412" t="s">
        <v>1432</v>
      </c>
      <c r="C179" s="1081">
        <v>0</v>
      </c>
      <c r="D179" s="1081">
        <v>0</v>
      </c>
      <c r="E179" s="1081">
        <f t="shared" si="6"/>
        <v>0</v>
      </c>
      <c r="F179" s="1082">
        <f>_xlfn.IFNA(INDEX('F7'!$R$10:$R$126,MATCH(B179,'F7'!$B$10:$B$126,0)),0)</f>
        <v>0</v>
      </c>
      <c r="G179" s="1082">
        <f t="shared" si="7"/>
        <v>0</v>
      </c>
      <c r="H179" s="1081">
        <f t="shared" si="8"/>
        <v>0</v>
      </c>
    </row>
    <row r="180" spans="2:8">
      <c r="B180" s="1412" t="s">
        <v>1433</v>
      </c>
      <c r="C180" s="1081">
        <v>0</v>
      </c>
      <c r="D180" s="1081">
        <v>0</v>
      </c>
      <c r="E180" s="1081">
        <f t="shared" si="6"/>
        <v>0</v>
      </c>
      <c r="F180" s="1082">
        <f>_xlfn.IFNA(INDEX('F7'!$R$10:$R$126,MATCH(B180,'F7'!$B$10:$B$126,0)),0)</f>
        <v>0</v>
      </c>
      <c r="G180" s="1082">
        <f t="shared" si="7"/>
        <v>0</v>
      </c>
      <c r="H180" s="1081">
        <f t="shared" si="8"/>
        <v>0</v>
      </c>
    </row>
    <row r="181" spans="2:8">
      <c r="B181" s="1411" t="s">
        <v>1014</v>
      </c>
      <c r="C181" s="1081">
        <v>0</v>
      </c>
      <c r="D181" s="1081">
        <v>0</v>
      </c>
      <c r="E181" s="1081">
        <f t="shared" si="6"/>
        <v>0</v>
      </c>
      <c r="F181" s="1082">
        <f>_xlfn.IFNA(INDEX('F7'!$R$10:$R$126,MATCH(B181,'F7'!$B$10:$B$126,0)),0)</f>
        <v>0</v>
      </c>
      <c r="G181" s="1082">
        <f t="shared" si="7"/>
        <v>0</v>
      </c>
      <c r="H181" s="1081">
        <f t="shared" si="8"/>
        <v>0</v>
      </c>
    </row>
    <row r="182" spans="2:8">
      <c r="B182" s="1412" t="s">
        <v>1430</v>
      </c>
      <c r="C182" s="1081">
        <v>0</v>
      </c>
      <c r="D182" s="1081">
        <v>0</v>
      </c>
      <c r="E182" s="1081">
        <f t="shared" si="6"/>
        <v>0</v>
      </c>
      <c r="F182" s="1082">
        <f>_xlfn.IFNA(INDEX('F7'!$R$10:$R$126,MATCH(B182,'F7'!$B$10:$B$126,0)),0)</f>
        <v>0</v>
      </c>
      <c r="G182" s="1082">
        <f t="shared" si="7"/>
        <v>0</v>
      </c>
      <c r="H182" s="1081">
        <f t="shared" si="8"/>
        <v>0</v>
      </c>
    </row>
    <row r="183" spans="2:8">
      <c r="B183" s="1412" t="s">
        <v>1431</v>
      </c>
      <c r="C183" s="1081">
        <v>0</v>
      </c>
      <c r="D183" s="1081">
        <v>0</v>
      </c>
      <c r="E183" s="1081">
        <f t="shared" si="6"/>
        <v>0</v>
      </c>
      <c r="F183" s="1082">
        <f>_xlfn.IFNA(INDEX('F7'!$R$10:$R$126,MATCH(B183,'F7'!$B$10:$B$126,0)),0)</f>
        <v>0</v>
      </c>
      <c r="G183" s="1082">
        <f t="shared" si="7"/>
        <v>0</v>
      </c>
      <c r="H183" s="1081">
        <f t="shared" si="8"/>
        <v>0</v>
      </c>
    </row>
    <row r="184" spans="2:8">
      <c r="B184" s="1412" t="s">
        <v>1432</v>
      </c>
      <c r="C184" s="1081">
        <v>0</v>
      </c>
      <c r="D184" s="1081">
        <v>0</v>
      </c>
      <c r="E184" s="1081">
        <f t="shared" si="6"/>
        <v>0</v>
      </c>
      <c r="F184" s="1082">
        <f>_xlfn.IFNA(INDEX('F7'!$R$10:$R$126,MATCH(B184,'F7'!$B$10:$B$126,0)),0)</f>
        <v>0</v>
      </c>
      <c r="G184" s="1082">
        <f t="shared" si="7"/>
        <v>0</v>
      </c>
      <c r="H184" s="1081">
        <f t="shared" si="8"/>
        <v>0</v>
      </c>
    </row>
    <row r="185" spans="2:8">
      <c r="B185" s="1412" t="s">
        <v>1433</v>
      </c>
      <c r="C185" s="1081">
        <v>0</v>
      </c>
      <c r="D185" s="1081">
        <v>0</v>
      </c>
      <c r="E185" s="1081">
        <f t="shared" si="6"/>
        <v>0</v>
      </c>
      <c r="F185" s="1082">
        <f>_xlfn.IFNA(INDEX('F7'!$R$10:$R$126,MATCH(B185,'F7'!$B$10:$B$126,0)),0)</f>
        <v>0</v>
      </c>
      <c r="G185" s="1082">
        <f t="shared" si="7"/>
        <v>0</v>
      </c>
      <c r="H185" s="1081">
        <f t="shared" si="8"/>
        <v>0</v>
      </c>
    </row>
    <row r="186" spans="2:8">
      <c r="B186" s="1402" t="s">
        <v>1425</v>
      </c>
      <c r="C186" s="1081">
        <v>2.8934400000000002E-2</v>
      </c>
      <c r="D186" s="1081">
        <v>2.2279488000000004E-2</v>
      </c>
      <c r="E186" s="1081">
        <f t="shared" si="6"/>
        <v>7.7</v>
      </c>
      <c r="F186" s="1082">
        <f ca="1">_xlfn.IFNA(INDEX('F7'!$R$10:$R$126,MATCH(B186,'F7'!$B$10:$B$126,0)),0)</f>
        <v>12411.62407831255</v>
      </c>
      <c r="G186" s="1082">
        <f t="shared" ca="1" si="7"/>
        <v>4289573.6833362877</v>
      </c>
      <c r="H186" s="1081">
        <f t="shared" ca="1" si="8"/>
        <v>-4289565.9833362876</v>
      </c>
    </row>
    <row r="187" spans="2:8">
      <c r="B187" s="1409"/>
      <c r="C187" s="1081">
        <v>0</v>
      </c>
      <c r="D187" s="1081">
        <v>0</v>
      </c>
      <c r="E187" s="1081">
        <f t="shared" si="6"/>
        <v>0</v>
      </c>
      <c r="F187" s="1082">
        <f>_xlfn.IFNA(INDEX('F7'!$R$10:$R$126,MATCH(B187,'F7'!$B$10:$B$126,0)),0)</f>
        <v>0</v>
      </c>
      <c r="G187" s="1082">
        <f t="shared" si="7"/>
        <v>0</v>
      </c>
      <c r="H187" s="1081">
        <f t="shared" si="8"/>
        <v>0</v>
      </c>
    </row>
    <row r="188" spans="2:8">
      <c r="B188" s="1402" t="s">
        <v>1119</v>
      </c>
      <c r="C188" s="1081">
        <v>0</v>
      </c>
      <c r="D188" s="1081">
        <v>0</v>
      </c>
      <c r="E188" s="1081">
        <f t="shared" si="6"/>
        <v>0</v>
      </c>
      <c r="F188" s="1082">
        <f ca="1">_xlfn.IFNA(INDEX('F7'!$R$10:$R$126,MATCH(B188,'F7'!$B$10:$B$126,0)),0)</f>
        <v>0</v>
      </c>
      <c r="G188" s="1082">
        <f t="shared" ca="1" si="7"/>
        <v>0</v>
      </c>
      <c r="H188" s="1081">
        <f t="shared" ca="1" si="8"/>
        <v>0</v>
      </c>
    </row>
    <row r="189" spans="2:8">
      <c r="B189" s="1402" t="s">
        <v>475</v>
      </c>
      <c r="C189" s="1081">
        <v>0</v>
      </c>
      <c r="D189" s="1081">
        <v>0</v>
      </c>
      <c r="E189" s="1081">
        <f t="shared" si="6"/>
        <v>0</v>
      </c>
      <c r="F189" s="1082">
        <f ca="1">_xlfn.IFNA(INDEX('F7'!$R$10:$R$126,MATCH(B189,'F7'!$B$10:$B$126,0)),0)</f>
        <v>0</v>
      </c>
      <c r="G189" s="1082">
        <f t="shared" ca="1" si="7"/>
        <v>0</v>
      </c>
      <c r="H189" s="1081">
        <f t="shared" ca="1" si="8"/>
        <v>0</v>
      </c>
    </row>
    <row r="190" spans="2:8">
      <c r="B190" s="1409" t="s">
        <v>1411</v>
      </c>
      <c r="C190" s="1081">
        <v>0</v>
      </c>
      <c r="D190" s="1081">
        <v>0</v>
      </c>
      <c r="E190" s="1081">
        <f t="shared" si="6"/>
        <v>0</v>
      </c>
      <c r="F190" s="1082">
        <f ca="1">_xlfn.IFNA(INDEX('F7'!$R$10:$R$126,MATCH(B190,'F7'!$B$10:$B$126,0)),0)</f>
        <v>375.25068939831391</v>
      </c>
      <c r="G190" s="1082">
        <f t="shared" ca="1" si="7"/>
        <v>0</v>
      </c>
      <c r="H190" s="1081">
        <f t="shared" ca="1" si="8"/>
        <v>0</v>
      </c>
    </row>
    <row r="191" spans="2:8">
      <c r="B191" s="1409" t="s">
        <v>1462</v>
      </c>
      <c r="C191" s="1081">
        <v>0</v>
      </c>
      <c r="D191" s="1081">
        <v>0</v>
      </c>
      <c r="E191" s="1081">
        <f t="shared" si="6"/>
        <v>0</v>
      </c>
      <c r="F191" s="1082">
        <f>_xlfn.IFNA(INDEX('F7'!$R$10:$R$126,MATCH(B191,'F7'!$B$10:$B$126,0)),0)</f>
        <v>0</v>
      </c>
      <c r="G191" s="1082">
        <f t="shared" si="7"/>
        <v>0</v>
      </c>
      <c r="H191" s="1081">
        <f t="shared" si="8"/>
        <v>0</v>
      </c>
    </row>
    <row r="192" spans="2:8">
      <c r="B192" s="1402" t="s">
        <v>1403</v>
      </c>
      <c r="C192" s="1081">
        <v>0</v>
      </c>
      <c r="D192" s="1081">
        <v>0</v>
      </c>
      <c r="E192" s="1081">
        <f t="shared" si="6"/>
        <v>0</v>
      </c>
      <c r="F192" s="1082">
        <f ca="1">_xlfn.IFNA(INDEX('F7'!$R$10:$R$126,MATCH(B192,'F7'!$B$10:$B$126,0)),0)</f>
        <v>0</v>
      </c>
      <c r="G192" s="1082">
        <f t="shared" ca="1" si="7"/>
        <v>0</v>
      </c>
      <c r="H192" s="1081">
        <f t="shared" ca="1" si="8"/>
        <v>0</v>
      </c>
    </row>
    <row r="193" spans="2:8">
      <c r="B193" s="1409" t="s">
        <v>1413</v>
      </c>
      <c r="C193" s="1081">
        <v>0</v>
      </c>
      <c r="D193" s="1081">
        <v>0</v>
      </c>
      <c r="E193" s="1081">
        <f t="shared" si="6"/>
        <v>0</v>
      </c>
      <c r="F193" s="1082">
        <f ca="1">_xlfn.IFNA(INDEX('F7'!$R$10:$R$126,MATCH(B193,'F7'!$B$10:$B$126,0)),0)</f>
        <v>34.772590737288262</v>
      </c>
      <c r="G193" s="1082">
        <f t="shared" ca="1" si="7"/>
        <v>0</v>
      </c>
      <c r="H193" s="1081">
        <f t="shared" ca="1" si="8"/>
        <v>0</v>
      </c>
    </row>
    <row r="194" spans="2:8">
      <c r="B194" s="1409" t="s">
        <v>1463</v>
      </c>
      <c r="C194" s="1081">
        <v>0</v>
      </c>
      <c r="D194" s="1081">
        <v>0</v>
      </c>
      <c r="E194" s="1081">
        <f t="shared" si="6"/>
        <v>0</v>
      </c>
      <c r="F194" s="1082">
        <f>_xlfn.IFNA(INDEX('F7'!$R$10:$R$126,MATCH(B194,'F7'!$B$10:$B$126,0)),0)</f>
        <v>0</v>
      </c>
      <c r="G194" s="1082">
        <f t="shared" si="7"/>
        <v>0</v>
      </c>
      <c r="H194" s="1081">
        <f t="shared" si="8"/>
        <v>0</v>
      </c>
    </row>
    <row r="195" spans="2:8">
      <c r="B195" s="1402" t="s">
        <v>1425</v>
      </c>
      <c r="C195" s="1081">
        <v>0</v>
      </c>
      <c r="D195" s="1081">
        <v>0</v>
      </c>
      <c r="E195" s="1081">
        <f t="shared" si="6"/>
        <v>0</v>
      </c>
      <c r="F195" s="1082">
        <f ca="1">_xlfn.IFNA(INDEX('F7'!$R$10:$R$126,MATCH(B195,'F7'!$B$10:$B$126,0)),0)</f>
        <v>12411.62407831255</v>
      </c>
      <c r="G195" s="1082">
        <f t="shared" ca="1" si="7"/>
        <v>0</v>
      </c>
      <c r="H195" s="1081">
        <f t="shared" ca="1" si="8"/>
        <v>0</v>
      </c>
    </row>
    <row r="196" spans="2:8" ht="43.5">
      <c r="B196" s="1413" t="s">
        <v>1464</v>
      </c>
      <c r="C196" s="1081">
        <v>254.30253333333329</v>
      </c>
      <c r="D196" s="1081">
        <v>268.35970693513002</v>
      </c>
      <c r="E196" s="1081">
        <f t="shared" si="6"/>
        <v>10.552773636091581</v>
      </c>
      <c r="F196" s="1082">
        <f>_xlfn.IFNA(INDEX('F7'!$R$10:$R$126,MATCH(B196,'F7'!$B$10:$B$126,0)),0)</f>
        <v>0</v>
      </c>
      <c r="G196" s="1082">
        <f t="shared" si="7"/>
        <v>0</v>
      </c>
      <c r="H196" s="1081">
        <f t="shared" si="8"/>
        <v>10.552773636091581</v>
      </c>
    </row>
    <row r="197" spans="2:8">
      <c r="B197" s="1402" t="s">
        <v>1465</v>
      </c>
      <c r="C197" s="1081">
        <v>213.61599999999996</v>
      </c>
      <c r="D197" s="1081">
        <v>215.33539553060942</v>
      </c>
      <c r="E197" s="1081">
        <f t="shared" si="6"/>
        <v>10.080490016225818</v>
      </c>
      <c r="F197" s="1082">
        <f>_xlfn.IFNA(INDEX('F7'!$R$10:$R$126,MATCH(B197,'F7'!$B$10:$B$126,0)),0)</f>
        <v>0</v>
      </c>
      <c r="G197" s="1082">
        <f t="shared" si="7"/>
        <v>0</v>
      </c>
      <c r="H197" s="1081">
        <f t="shared" si="8"/>
        <v>10.080490016225818</v>
      </c>
    </row>
    <row r="198" spans="2:8">
      <c r="B198" s="1409" t="s">
        <v>1466</v>
      </c>
      <c r="C198" s="1081">
        <v>5.8109236999999991</v>
      </c>
      <c r="D198" s="1081">
        <v>5.7384655419142829</v>
      </c>
      <c r="E198" s="1081">
        <f t="shared" si="6"/>
        <v>9.8753069876210624</v>
      </c>
      <c r="F198" s="1082">
        <f>_xlfn.IFNA(INDEX('F7'!$R$10:$R$126,MATCH(B198,'F7'!$B$10:$B$126,0)),0)</f>
        <v>0</v>
      </c>
      <c r="G198" s="1082">
        <f t="shared" si="7"/>
        <v>0</v>
      </c>
      <c r="H198" s="1081">
        <f t="shared" si="8"/>
        <v>9.8753069876210624</v>
      </c>
    </row>
    <row r="199" spans="2:8">
      <c r="B199" s="1409" t="s">
        <v>1467</v>
      </c>
      <c r="C199" s="1081">
        <v>207.80507629999997</v>
      </c>
      <c r="D199" s="1081">
        <v>209.59692998869514</v>
      </c>
      <c r="E199" s="1081">
        <f t="shared" si="6"/>
        <v>10.086227618718436</v>
      </c>
      <c r="F199" s="1082">
        <f>_xlfn.IFNA(INDEX('F7'!$R$10:$R$126,MATCH(B199,'F7'!$B$10:$B$126,0)),0)</f>
        <v>0</v>
      </c>
      <c r="G199" s="1082">
        <f t="shared" si="7"/>
        <v>0</v>
      </c>
      <c r="H199" s="1081">
        <f t="shared" si="8"/>
        <v>10.086227618718436</v>
      </c>
    </row>
    <row r="200" spans="2:8">
      <c r="B200" s="1402" t="s">
        <v>1468</v>
      </c>
      <c r="C200" s="1081">
        <v>40.686533333333323</v>
      </c>
      <c r="D200" s="1081">
        <v>53.024311404520589</v>
      </c>
      <c r="E200" s="1081">
        <f t="shared" si="6"/>
        <v>13.032398452359487</v>
      </c>
      <c r="F200" s="1082">
        <f>_xlfn.IFNA(INDEX('F7'!$R$10:$R$126,MATCH(B200,'F7'!$B$10:$B$126,0)),0)</f>
        <v>0</v>
      </c>
      <c r="G200" s="1082">
        <f t="shared" si="7"/>
        <v>0</v>
      </c>
      <c r="H200" s="1081">
        <f t="shared" si="8"/>
        <v>13.032398452359487</v>
      </c>
    </row>
    <row r="201" spans="2:8">
      <c r="B201" s="1409" t="s">
        <v>1466</v>
      </c>
      <c r="C201" s="1081">
        <v>4.4610563999999995</v>
      </c>
      <c r="D201" s="1081">
        <v>4.1828596718476172</v>
      </c>
      <c r="E201" s="1081">
        <f t="shared" si="6"/>
        <v>9.3763882291369764</v>
      </c>
      <c r="F201" s="1082">
        <f>_xlfn.IFNA(INDEX('F7'!$R$10:$R$126,MATCH(B201,'F7'!$B$10:$B$126,0)),0)</f>
        <v>0</v>
      </c>
      <c r="G201" s="1082">
        <f t="shared" si="7"/>
        <v>0</v>
      </c>
      <c r="H201" s="1081">
        <f t="shared" si="8"/>
        <v>9.3763882291369764</v>
      </c>
    </row>
    <row r="202" spans="2:8">
      <c r="B202" s="1409" t="s">
        <v>1467</v>
      </c>
      <c r="C202" s="1081">
        <v>36.225476933333326</v>
      </c>
      <c r="D202" s="1081">
        <v>48.841451732672972</v>
      </c>
      <c r="E202" s="1081">
        <f t="shared" si="6"/>
        <v>13.482624900303492</v>
      </c>
      <c r="F202" s="1082">
        <f>_xlfn.IFNA(INDEX('F7'!$R$10:$R$126,MATCH(B202,'F7'!$B$10:$B$126,0)),0)</f>
        <v>0</v>
      </c>
      <c r="G202" s="1082">
        <f t="shared" si="7"/>
        <v>0</v>
      </c>
      <c r="H202" s="1081">
        <f t="shared" si="8"/>
        <v>13.482624900303492</v>
      </c>
    </row>
    <row r="203" spans="2:8" ht="58">
      <c r="B203" s="1413" t="s">
        <v>1469</v>
      </c>
      <c r="C203" s="1081">
        <v>254.30253333333332</v>
      </c>
      <c r="D203" s="1081">
        <v>243.08478407825385</v>
      </c>
      <c r="E203" s="1081">
        <f t="shared" si="6"/>
        <v>9.5588817339709493</v>
      </c>
      <c r="F203" s="1082"/>
      <c r="G203" s="1082">
        <f t="shared" si="7"/>
        <v>0</v>
      </c>
      <c r="H203" s="1081">
        <f t="shared" si="8"/>
        <v>9.5588817339709493</v>
      </c>
    </row>
    <row r="204" spans="2:8">
      <c r="B204" s="1402" t="s">
        <v>1465</v>
      </c>
      <c r="C204" s="1081">
        <v>213.61599999999999</v>
      </c>
      <c r="D204" s="1081">
        <v>190.82730422530153</v>
      </c>
      <c r="E204" s="1081">
        <f t="shared" ref="E204:E267" si="9">IFERROR((D204/C204)*10,0)</f>
        <v>8.9331934043003116</v>
      </c>
      <c r="F204" s="1082">
        <f>_xlfn.IFNA(INDEX('F7'!$R$10:$R$126,MATCH(B204,'F7'!$B$10:$B$126,0)),0)</f>
        <v>0</v>
      </c>
      <c r="G204" s="1082">
        <f t="shared" ref="G204:G267" si="10">IFERROR((F204/C204)*10,0)</f>
        <v>0</v>
      </c>
      <c r="H204" s="1081">
        <f t="shared" ref="H204:H267" si="11">E204-G204</f>
        <v>8.9331934043003116</v>
      </c>
    </row>
    <row r="205" spans="2:8">
      <c r="B205" s="1409" t="s">
        <v>1466</v>
      </c>
      <c r="C205" s="1081">
        <v>5.7538330999999987</v>
      </c>
      <c r="D205" s="1081">
        <v>5.3178811224920608</v>
      </c>
      <c r="E205" s="1081">
        <f t="shared" si="9"/>
        <v>9.2423277319115531</v>
      </c>
      <c r="F205" s="1082">
        <f>_xlfn.IFNA(INDEX('F7'!$R$10:$R$126,MATCH(B205,'F7'!$B$10:$B$126,0)),0)</f>
        <v>0</v>
      </c>
      <c r="G205" s="1082">
        <f t="shared" si="10"/>
        <v>0</v>
      </c>
      <c r="H205" s="1081">
        <f t="shared" si="11"/>
        <v>9.2423277319115531</v>
      </c>
    </row>
    <row r="206" spans="2:8">
      <c r="B206" s="1409" t="s">
        <v>1467</v>
      </c>
      <c r="C206" s="1081">
        <v>207.86216689999998</v>
      </c>
      <c r="D206" s="1081">
        <v>185.50942310280948</v>
      </c>
      <c r="E206" s="1081">
        <f t="shared" si="9"/>
        <v>8.9246362562965036</v>
      </c>
      <c r="F206" s="1082">
        <f>_xlfn.IFNA(INDEX('F7'!$R$10:$R$126,MATCH(B206,'F7'!$B$10:$B$126,0)),0)</f>
        <v>0</v>
      </c>
      <c r="G206" s="1082">
        <f t="shared" si="10"/>
        <v>0</v>
      </c>
      <c r="H206" s="1081">
        <f t="shared" si="11"/>
        <v>8.9246362562965036</v>
      </c>
    </row>
    <row r="207" spans="2:8">
      <c r="B207" s="1402" t="s">
        <v>1468</v>
      </c>
      <c r="C207" s="1081">
        <v>40.686533333333323</v>
      </c>
      <c r="D207" s="1081">
        <v>52.257479852952329</v>
      </c>
      <c r="E207" s="1081">
        <f t="shared" si="9"/>
        <v>12.843925390453272</v>
      </c>
      <c r="F207" s="1082">
        <f>_xlfn.IFNA(INDEX('F7'!$R$10:$R$126,MATCH(B207,'F7'!$B$10:$B$126,0)),0)</f>
        <v>0</v>
      </c>
      <c r="G207" s="1082">
        <f t="shared" si="10"/>
        <v>0</v>
      </c>
      <c r="H207" s="1081">
        <f t="shared" si="11"/>
        <v>12.843925390453272</v>
      </c>
    </row>
    <row r="208" spans="2:8">
      <c r="B208" s="1409" t="s">
        <v>1466</v>
      </c>
      <c r="C208" s="1081">
        <v>4.4610563999999995</v>
      </c>
      <c r="D208" s="1081">
        <v>5.7628703861428514</v>
      </c>
      <c r="E208" s="1081">
        <f t="shared" si="9"/>
        <v>12.918174238153215</v>
      </c>
      <c r="F208" s="1082">
        <f>_xlfn.IFNA(INDEX('F7'!$R$10:$R$126,MATCH(B208,'F7'!$B$10:$B$126,0)),0)</f>
        <v>0</v>
      </c>
      <c r="G208" s="1082">
        <f t="shared" si="10"/>
        <v>0</v>
      </c>
      <c r="H208" s="1081">
        <f t="shared" si="11"/>
        <v>12.918174238153215</v>
      </c>
    </row>
    <row r="209" spans="2:8">
      <c r="B209" s="1409" t="s">
        <v>1467</v>
      </c>
      <c r="C209" s="1081">
        <v>36.225476933333326</v>
      </c>
      <c r="D209" s="1081">
        <v>46.494609466809479</v>
      </c>
      <c r="E209" s="1081">
        <f t="shared" si="9"/>
        <v>12.834781872540892</v>
      </c>
      <c r="F209" s="1082">
        <f>_xlfn.IFNA(INDEX('F7'!$R$10:$R$126,MATCH(B209,'F7'!$B$10:$B$126,0)),0)</f>
        <v>0</v>
      </c>
      <c r="G209" s="1082">
        <f t="shared" si="10"/>
        <v>0</v>
      </c>
      <c r="H209" s="1081">
        <f t="shared" si="11"/>
        <v>12.834781872540892</v>
      </c>
    </row>
    <row r="210" spans="2:8">
      <c r="B210" s="1402" t="s">
        <v>1425</v>
      </c>
      <c r="C210" s="1081">
        <v>508.60506666666663</v>
      </c>
      <c r="D210" s="1081">
        <v>511.44449101338387</v>
      </c>
      <c r="E210" s="1081">
        <f t="shared" si="9"/>
        <v>10.055827685031264</v>
      </c>
      <c r="F210" s="1082">
        <f ca="1">_xlfn.IFNA(INDEX('F7'!$R$10:$R$126,MATCH(B210,'F7'!$B$10:$B$126,0)),0)</f>
        <v>12411.62407831255</v>
      </c>
      <c r="G210" s="1082">
        <f t="shared" ca="1" si="10"/>
        <v>244.03264717075604</v>
      </c>
      <c r="H210" s="1081">
        <f t="shared" ca="1" si="11"/>
        <v>-233.97681948572477</v>
      </c>
    </row>
    <row r="211" spans="2:8">
      <c r="B211" s="1409"/>
      <c r="C211" s="1081">
        <v>0</v>
      </c>
      <c r="D211" s="1081">
        <v>0</v>
      </c>
      <c r="E211" s="1081">
        <f t="shared" si="9"/>
        <v>0</v>
      </c>
      <c r="F211" s="1082">
        <f>_xlfn.IFNA(INDEX('F7'!$R$10:$R$126,MATCH(B211,'F7'!$B$10:$B$126,0)),0)</f>
        <v>0</v>
      </c>
      <c r="G211" s="1082">
        <f t="shared" si="10"/>
        <v>0</v>
      </c>
      <c r="H211" s="1081">
        <f t="shared" si="11"/>
        <v>0</v>
      </c>
    </row>
    <row r="212" spans="2:8">
      <c r="B212" s="1402" t="s">
        <v>1125</v>
      </c>
      <c r="C212" s="1081">
        <v>0</v>
      </c>
      <c r="D212" s="1081">
        <v>0</v>
      </c>
      <c r="E212" s="1081">
        <f t="shared" si="9"/>
        <v>0</v>
      </c>
      <c r="F212" s="1082">
        <f ca="1">_xlfn.IFNA(INDEX('F7'!$R$10:$R$126,MATCH(B212,'F7'!$B$10:$B$126,0)),0)</f>
        <v>0</v>
      </c>
      <c r="G212" s="1082">
        <f t="shared" ca="1" si="10"/>
        <v>0</v>
      </c>
      <c r="H212" s="1081">
        <f t="shared" ca="1" si="11"/>
        <v>0</v>
      </c>
    </row>
    <row r="213" spans="2:8">
      <c r="B213" s="1402" t="s">
        <v>1126</v>
      </c>
      <c r="C213" s="1081">
        <v>796.00597333333349</v>
      </c>
      <c r="D213" s="1081">
        <v>656.43580503474993</v>
      </c>
      <c r="E213" s="1081">
        <f t="shared" si="9"/>
        <v>8.2466190835965314</v>
      </c>
      <c r="F213" s="1082">
        <f ca="1">_xlfn.IFNA(INDEX('F7'!$R$10:$R$126,MATCH(B213,'F7'!$B$10:$B$126,0)),0)</f>
        <v>763.94319759209509</v>
      </c>
      <c r="G213" s="1082">
        <f t="shared" ca="1" si="10"/>
        <v>9.597204332437693</v>
      </c>
      <c r="H213" s="1081">
        <f t="shared" ca="1" si="11"/>
        <v>-1.3505852488411616</v>
      </c>
    </row>
    <row r="214" spans="2:8">
      <c r="B214" s="1410" t="s">
        <v>1013</v>
      </c>
      <c r="C214" s="1081">
        <v>398.00298666666674</v>
      </c>
      <c r="D214" s="1081">
        <v>373.73156744759149</v>
      </c>
      <c r="E214" s="1081">
        <f t="shared" si="9"/>
        <v>9.3901699225336994</v>
      </c>
      <c r="F214" s="1082">
        <f>_xlfn.IFNA(INDEX('F7'!$R$10:$R$126,MATCH(B214,'F7'!$B$10:$B$126,0)),0)</f>
        <v>0</v>
      </c>
      <c r="G214" s="1082">
        <f t="shared" si="10"/>
        <v>0</v>
      </c>
      <c r="H214" s="1081">
        <f t="shared" si="11"/>
        <v>9.3901699225336994</v>
      </c>
    </row>
    <row r="215" spans="2:8">
      <c r="B215" s="1406" t="s">
        <v>1430</v>
      </c>
      <c r="C215" s="1081">
        <v>91.620253341839387</v>
      </c>
      <c r="D215" s="1081">
        <v>76.530128540746517</v>
      </c>
      <c r="E215" s="1081">
        <f t="shared" si="9"/>
        <v>8.3529706314180423</v>
      </c>
      <c r="F215" s="1082">
        <f>_xlfn.IFNA(INDEX('F7'!$R$10:$R$126,MATCH(B215,'F7'!$B$10:$B$126,0)),0)</f>
        <v>0</v>
      </c>
      <c r="G215" s="1082">
        <f t="shared" si="10"/>
        <v>0</v>
      </c>
      <c r="H215" s="1081">
        <f t="shared" si="11"/>
        <v>8.3529706314180423</v>
      </c>
    </row>
    <row r="216" spans="2:8">
      <c r="B216" s="1406" t="s">
        <v>1431</v>
      </c>
      <c r="C216" s="1081">
        <v>145.06776736705379</v>
      </c>
      <c r="D216" s="1081">
        <v>136.62439726282972</v>
      </c>
      <c r="E216" s="1081">
        <f t="shared" si="9"/>
        <v>9.4179706314180418</v>
      </c>
      <c r="F216" s="1082">
        <f>_xlfn.IFNA(INDEX('F7'!$R$10:$R$126,MATCH(B216,'F7'!$B$10:$B$126,0)),0)</f>
        <v>0</v>
      </c>
      <c r="G216" s="1082">
        <f t="shared" si="10"/>
        <v>0</v>
      </c>
      <c r="H216" s="1081">
        <f t="shared" si="11"/>
        <v>9.4179706314180418</v>
      </c>
    </row>
    <row r="217" spans="2:8">
      <c r="B217" s="1406" t="s">
        <v>1432</v>
      </c>
      <c r="C217" s="1081">
        <v>81.230802480413189</v>
      </c>
      <c r="D217" s="1081">
        <v>85.154011676869132</v>
      </c>
      <c r="E217" s="1081">
        <f t="shared" si="9"/>
        <v>10.482970631418043</v>
      </c>
      <c r="F217" s="1082">
        <f>_xlfn.IFNA(INDEX('F7'!$R$10:$R$126,MATCH(B217,'F7'!$B$10:$B$126,0)),0)</f>
        <v>0</v>
      </c>
      <c r="G217" s="1082">
        <f t="shared" si="10"/>
        <v>0</v>
      </c>
      <c r="H217" s="1081">
        <f t="shared" si="11"/>
        <v>10.482970631418043</v>
      </c>
    </row>
    <row r="218" spans="2:8">
      <c r="B218" s="1406" t="s">
        <v>1433</v>
      </c>
      <c r="C218" s="1081">
        <v>80.084163477360335</v>
      </c>
      <c r="D218" s="1081">
        <v>75.423029967146107</v>
      </c>
      <c r="E218" s="1081">
        <f t="shared" si="9"/>
        <v>9.4179706314180418</v>
      </c>
      <c r="F218" s="1082">
        <f>_xlfn.IFNA(INDEX('F7'!$R$10:$R$126,MATCH(B218,'F7'!$B$10:$B$126,0)),0)</f>
        <v>0</v>
      </c>
      <c r="G218" s="1082">
        <f t="shared" si="10"/>
        <v>0</v>
      </c>
      <c r="H218" s="1081">
        <f t="shared" si="11"/>
        <v>9.4179706314180418</v>
      </c>
    </row>
    <row r="219" spans="2:8">
      <c r="B219" s="1411" t="s">
        <v>1014</v>
      </c>
      <c r="C219" s="1081">
        <v>398.00298666666674</v>
      </c>
      <c r="D219" s="1081">
        <v>282.70423758715845</v>
      </c>
      <c r="E219" s="1081">
        <f t="shared" si="9"/>
        <v>7.1030682446593634</v>
      </c>
      <c r="F219" s="1082">
        <f>_xlfn.IFNA(INDEX('F7'!$R$10:$R$126,MATCH(B219,'F7'!$B$10:$B$126,0)),0)</f>
        <v>0</v>
      </c>
      <c r="G219" s="1082">
        <f t="shared" si="10"/>
        <v>0</v>
      </c>
      <c r="H219" s="1081">
        <f t="shared" si="11"/>
        <v>7.1030682446593634</v>
      </c>
    </row>
    <row r="220" spans="2:8">
      <c r="B220" s="1406" t="s">
        <v>1430</v>
      </c>
      <c r="C220" s="1081">
        <v>91.620253341839387</v>
      </c>
      <c r="D220" s="1081">
        <v>65.05037987270596</v>
      </c>
      <c r="E220" s="1081">
        <f t="shared" si="9"/>
        <v>7.1</v>
      </c>
      <c r="F220" s="1082">
        <f>_xlfn.IFNA(INDEX('F7'!$R$10:$R$126,MATCH(B220,'F7'!$B$10:$B$126,0)),0)</f>
        <v>0</v>
      </c>
      <c r="G220" s="1082">
        <f t="shared" si="10"/>
        <v>0</v>
      </c>
      <c r="H220" s="1081">
        <f t="shared" si="11"/>
        <v>7.1</v>
      </c>
    </row>
    <row r="221" spans="2:8">
      <c r="B221" s="1406" t="s">
        <v>1431</v>
      </c>
      <c r="C221" s="1081">
        <v>145.06776736705379</v>
      </c>
      <c r="D221" s="1081">
        <v>102.99811483060819</v>
      </c>
      <c r="E221" s="1081">
        <f t="shared" si="9"/>
        <v>7.1</v>
      </c>
      <c r="F221" s="1082">
        <f>_xlfn.IFNA(INDEX('F7'!$R$10:$R$126,MATCH(B221,'F7'!$B$10:$B$126,0)),0)</f>
        <v>0</v>
      </c>
      <c r="G221" s="1082">
        <f t="shared" si="10"/>
        <v>0</v>
      </c>
      <c r="H221" s="1081">
        <f t="shared" si="11"/>
        <v>7.1</v>
      </c>
    </row>
    <row r="222" spans="2:8">
      <c r="B222" s="1406" t="s">
        <v>1432</v>
      </c>
      <c r="C222" s="1081">
        <v>81.230802480413189</v>
      </c>
      <c r="D222" s="1081">
        <v>66.324950225257368</v>
      </c>
      <c r="E222" s="1081">
        <f t="shared" si="9"/>
        <v>8.1649999999999991</v>
      </c>
      <c r="F222" s="1082">
        <f>_xlfn.IFNA(INDEX('F7'!$R$10:$R$126,MATCH(B222,'F7'!$B$10:$B$126,0)),0)</f>
        <v>0</v>
      </c>
      <c r="G222" s="1082">
        <f t="shared" si="10"/>
        <v>0</v>
      </c>
      <c r="H222" s="1081">
        <f t="shared" si="11"/>
        <v>8.1649999999999991</v>
      </c>
    </row>
    <row r="223" spans="2:8">
      <c r="B223" s="1406" t="s">
        <v>1433</v>
      </c>
      <c r="C223" s="1081">
        <v>80.084163477360335</v>
      </c>
      <c r="D223" s="1081">
        <v>48.330792658586958</v>
      </c>
      <c r="E223" s="1081">
        <f t="shared" si="9"/>
        <v>6.0349999999999993</v>
      </c>
      <c r="F223" s="1082">
        <f>_xlfn.IFNA(INDEX('F7'!$R$10:$R$126,MATCH(B223,'F7'!$B$10:$B$126,0)),0)</f>
        <v>0</v>
      </c>
      <c r="G223" s="1082">
        <f t="shared" si="10"/>
        <v>0</v>
      </c>
      <c r="H223" s="1081">
        <f t="shared" si="11"/>
        <v>6.0349999999999993</v>
      </c>
    </row>
    <row r="224" spans="2:8">
      <c r="B224" s="1402" t="s">
        <v>1127</v>
      </c>
      <c r="C224" s="1081">
        <v>318.70439999999996</v>
      </c>
      <c r="D224" s="1081">
        <v>239.75369705709412</v>
      </c>
      <c r="E224" s="1081">
        <f t="shared" si="9"/>
        <v>7.5227608108671902</v>
      </c>
      <c r="F224" s="1082">
        <f ca="1">_xlfn.IFNA(INDEX('F7'!$R$10:$R$126,MATCH(B224,'F7'!$B$10:$B$126,0)),0)</f>
        <v>305.86712484469558</v>
      </c>
      <c r="G224" s="1082">
        <f t="shared" ca="1" si="10"/>
        <v>9.5972043324376948</v>
      </c>
      <c r="H224" s="1081">
        <f t="shared" ca="1" si="11"/>
        <v>-2.0744435215705046</v>
      </c>
    </row>
    <row r="225" spans="2:8">
      <c r="B225" s="1410" t="s">
        <v>1013</v>
      </c>
      <c r="C225" s="1081">
        <v>159.35219999999998</v>
      </c>
      <c r="D225" s="1081">
        <v>131.34737381133448</v>
      </c>
      <c r="E225" s="1081">
        <f t="shared" si="9"/>
        <v>8.2425830212155518</v>
      </c>
      <c r="F225" s="1082">
        <f>_xlfn.IFNA(INDEX('F7'!$R$10:$R$126,MATCH(B225,'F7'!$B$10:$B$126,0)),0)</f>
        <v>0</v>
      </c>
      <c r="G225" s="1082">
        <f t="shared" si="10"/>
        <v>0</v>
      </c>
      <c r="H225" s="1081">
        <f t="shared" si="11"/>
        <v>8.2425830212155518</v>
      </c>
    </row>
    <row r="226" spans="2:8">
      <c r="B226" s="1406" t="s">
        <v>1430</v>
      </c>
      <c r="C226" s="1081">
        <v>36.682862751497581</v>
      </c>
      <c r="D226" s="1081">
        <v>26.592174072095681</v>
      </c>
      <c r="E226" s="1081">
        <f t="shared" si="9"/>
        <v>7.2492090522597108</v>
      </c>
      <c r="F226" s="1082">
        <f>_xlfn.IFNA(INDEX('F7'!$R$10:$R$126,MATCH(B226,'F7'!$B$10:$B$126,0)),0)</f>
        <v>0</v>
      </c>
      <c r="G226" s="1082">
        <f t="shared" si="10"/>
        <v>0</v>
      </c>
      <c r="H226" s="1081">
        <f t="shared" si="11"/>
        <v>7.2492090522597108</v>
      </c>
    </row>
    <row r="227" spans="2:8">
      <c r="B227" s="1406" t="s">
        <v>1431</v>
      </c>
      <c r="C227" s="1081">
        <v>58.082146751297984</v>
      </c>
      <c r="D227" s="1081">
        <v>48.029341369051025</v>
      </c>
      <c r="E227" s="1081">
        <f t="shared" si="9"/>
        <v>8.2692090522597113</v>
      </c>
      <c r="F227" s="1082">
        <f>_xlfn.IFNA(INDEX('F7'!$R$10:$R$126,MATCH(B227,'F7'!$B$10:$B$126,0)),0)</f>
        <v>0</v>
      </c>
      <c r="G227" s="1082">
        <f t="shared" si="10"/>
        <v>0</v>
      </c>
      <c r="H227" s="1081">
        <f t="shared" si="11"/>
        <v>8.2692090522597113</v>
      </c>
    </row>
    <row r="228" spans="2:8">
      <c r="B228" s="1406" t="s">
        <v>1432</v>
      </c>
      <c r="C228" s="1081">
        <v>32.523140570953416</v>
      </c>
      <c r="D228" s="1081">
        <v>30.211425179961555</v>
      </c>
      <c r="E228" s="1081">
        <f t="shared" si="9"/>
        <v>9.2892090522597108</v>
      </c>
      <c r="F228" s="1082">
        <f>_xlfn.IFNA(INDEX('F7'!$R$10:$R$126,MATCH(B228,'F7'!$B$10:$B$126,0)),0)</f>
        <v>0</v>
      </c>
      <c r="G228" s="1082">
        <f t="shared" si="10"/>
        <v>0</v>
      </c>
      <c r="H228" s="1081">
        <f t="shared" si="11"/>
        <v>9.2892090522597108</v>
      </c>
    </row>
    <row r="229" spans="2:8">
      <c r="B229" s="1406" t="s">
        <v>1433</v>
      </c>
      <c r="C229" s="1081">
        <v>32.064049926251016</v>
      </c>
      <c r="D229" s="1081">
        <v>26.514433190226221</v>
      </c>
      <c r="E229" s="1081">
        <f t="shared" si="9"/>
        <v>8.2692090522597113</v>
      </c>
      <c r="F229" s="1082">
        <f>_xlfn.IFNA(INDEX('F7'!$R$10:$R$126,MATCH(B229,'F7'!$B$10:$B$126,0)),0)</f>
        <v>0</v>
      </c>
      <c r="G229" s="1082">
        <f t="shared" si="10"/>
        <v>0</v>
      </c>
      <c r="H229" s="1081">
        <f t="shared" si="11"/>
        <v>8.2692090522597113</v>
      </c>
    </row>
    <row r="230" spans="2:8">
      <c r="B230" s="1411" t="s">
        <v>1014</v>
      </c>
      <c r="C230" s="1081">
        <v>159.35219999999998</v>
      </c>
      <c r="D230" s="1081">
        <v>108.40632324575964</v>
      </c>
      <c r="E230" s="1081">
        <f t="shared" si="9"/>
        <v>6.8029386005188286</v>
      </c>
      <c r="F230" s="1082">
        <f>_xlfn.IFNA(INDEX('F7'!$R$10:$R$126,MATCH(B230,'F7'!$B$10:$B$126,0)),0)</f>
        <v>0</v>
      </c>
      <c r="G230" s="1082">
        <f t="shared" si="10"/>
        <v>0</v>
      </c>
      <c r="H230" s="1081">
        <f t="shared" si="11"/>
        <v>6.8029386005188286</v>
      </c>
    </row>
    <row r="231" spans="2:8">
      <c r="B231" s="1406" t="s">
        <v>1430</v>
      </c>
      <c r="C231" s="1081">
        <v>36.682862751497581</v>
      </c>
      <c r="D231" s="1081">
        <v>24.944346671018355</v>
      </c>
      <c r="E231" s="1081">
        <f t="shared" si="9"/>
        <v>6.8000000000000007</v>
      </c>
      <c r="F231" s="1082">
        <f>_xlfn.IFNA(INDEX('F7'!$R$10:$R$126,MATCH(B231,'F7'!$B$10:$B$126,0)),0)</f>
        <v>0</v>
      </c>
      <c r="G231" s="1082">
        <f t="shared" si="10"/>
        <v>0</v>
      </c>
      <c r="H231" s="1081">
        <f t="shared" si="11"/>
        <v>6.8000000000000007</v>
      </c>
    </row>
    <row r="232" spans="2:8">
      <c r="B232" s="1406" t="s">
        <v>1431</v>
      </c>
      <c r="C232" s="1081">
        <v>58.082146751297984</v>
      </c>
      <c r="D232" s="1081">
        <v>39.495859790882626</v>
      </c>
      <c r="E232" s="1081">
        <f t="shared" si="9"/>
        <v>6.7999999999999989</v>
      </c>
      <c r="F232" s="1082">
        <f>_xlfn.IFNA(INDEX('F7'!$R$10:$R$126,MATCH(B232,'F7'!$B$10:$B$126,0)),0)</f>
        <v>0</v>
      </c>
      <c r="G232" s="1082">
        <f t="shared" si="10"/>
        <v>0</v>
      </c>
      <c r="H232" s="1081">
        <f t="shared" si="11"/>
        <v>6.7999999999999989</v>
      </c>
    </row>
    <row r="233" spans="2:8">
      <c r="B233" s="1406" t="s">
        <v>1432</v>
      </c>
      <c r="C233" s="1081">
        <v>32.523140570953416</v>
      </c>
      <c r="D233" s="1081">
        <v>25.433095926485571</v>
      </c>
      <c r="E233" s="1081">
        <f t="shared" si="9"/>
        <v>7.82</v>
      </c>
      <c r="F233" s="1082">
        <f>_xlfn.IFNA(INDEX('F7'!$R$10:$R$126,MATCH(B233,'F7'!$B$10:$B$126,0)),0)</f>
        <v>0</v>
      </c>
      <c r="G233" s="1082">
        <f t="shared" si="10"/>
        <v>0</v>
      </c>
      <c r="H233" s="1081">
        <f t="shared" si="11"/>
        <v>7.82</v>
      </c>
    </row>
    <row r="234" spans="2:8">
      <c r="B234" s="1406" t="s">
        <v>1433</v>
      </c>
      <c r="C234" s="1081">
        <v>32.064049926251016</v>
      </c>
      <c r="D234" s="1081">
        <v>18.533020857373085</v>
      </c>
      <c r="E234" s="1081">
        <f t="shared" si="9"/>
        <v>5.7799999999999994</v>
      </c>
      <c r="F234" s="1082">
        <f>_xlfn.IFNA(INDEX('F7'!$R$10:$R$126,MATCH(B234,'F7'!$B$10:$B$126,0)),0)</f>
        <v>0</v>
      </c>
      <c r="G234" s="1082">
        <f t="shared" si="10"/>
        <v>0</v>
      </c>
      <c r="H234" s="1081">
        <f t="shared" si="11"/>
        <v>5.7799999999999994</v>
      </c>
    </row>
    <row r="235" spans="2:8">
      <c r="B235" s="1402" t="s">
        <v>1128</v>
      </c>
      <c r="C235" s="1081">
        <v>55.604333333333344</v>
      </c>
      <c r="D235" s="1081">
        <v>52.249586821974951</v>
      </c>
      <c r="E235" s="1081">
        <f t="shared" si="9"/>
        <v>9.3966753470008229</v>
      </c>
      <c r="F235" s="1082">
        <f ca="1">_xlfn.IFNA(INDEX('F7'!$R$10:$R$126,MATCH(B235,'F7'!$B$10:$B$126,0)),0)</f>
        <v>53.364614876897647</v>
      </c>
      <c r="G235" s="1082">
        <f t="shared" ca="1" si="10"/>
        <v>9.5972043324376948</v>
      </c>
      <c r="H235" s="1081">
        <f t="shared" ca="1" si="11"/>
        <v>-0.20052898543687192</v>
      </c>
    </row>
    <row r="236" spans="2:8">
      <c r="B236" s="1410" t="s">
        <v>1013</v>
      </c>
      <c r="C236" s="1081">
        <v>27.802166666666672</v>
      </c>
      <c r="D236" s="1081">
        <v>34.448510794236171</v>
      </c>
      <c r="E236" s="1081">
        <f t="shared" si="9"/>
        <v>12.390584952336868</v>
      </c>
      <c r="F236" s="1082">
        <f>_xlfn.IFNA(INDEX('F7'!$R$10:$R$126,MATCH(B236,'F7'!$B$10:$B$126,0)),0)</f>
        <v>0</v>
      </c>
      <c r="G236" s="1082">
        <f t="shared" si="10"/>
        <v>0</v>
      </c>
      <c r="H236" s="1081">
        <f t="shared" si="11"/>
        <v>12.390584952336868</v>
      </c>
    </row>
    <row r="237" spans="2:8">
      <c r="B237" s="1406" t="s">
        <v>1430</v>
      </c>
      <c r="C237" s="1081">
        <v>6.4000563784346527</v>
      </c>
      <c r="D237" s="1081">
        <v>7.331677222738775</v>
      </c>
      <c r="E237" s="1081">
        <f t="shared" si="9"/>
        <v>11.455644746260784</v>
      </c>
      <c r="F237" s="1082">
        <f>_xlfn.IFNA(INDEX('F7'!$R$10:$R$126,MATCH(B237,'F7'!$B$10:$B$126,0)),0)</f>
        <v>0</v>
      </c>
      <c r="G237" s="1082">
        <f t="shared" si="10"/>
        <v>0</v>
      </c>
      <c r="H237" s="1081">
        <f t="shared" si="11"/>
        <v>11.455644746260784</v>
      </c>
    </row>
    <row r="238" spans="2:8">
      <c r="B238" s="1406" t="s">
        <v>1431</v>
      </c>
      <c r="C238" s="1081">
        <v>10.133587891082637</v>
      </c>
      <c r="D238" s="1081">
        <v>12.581502726069203</v>
      </c>
      <c r="E238" s="1081">
        <f t="shared" si="9"/>
        <v>12.415644746260783</v>
      </c>
      <c r="F238" s="1082">
        <f>_xlfn.IFNA(INDEX('F7'!$R$10:$R$126,MATCH(B238,'F7'!$B$10:$B$126,0)),0)</f>
        <v>0</v>
      </c>
      <c r="G238" s="1082">
        <f t="shared" si="10"/>
        <v>0</v>
      </c>
      <c r="H238" s="1081">
        <f t="shared" si="11"/>
        <v>12.415644746260783</v>
      </c>
    </row>
    <row r="239" spans="2:8">
      <c r="B239" s="1406" t="s">
        <v>1432</v>
      </c>
      <c r="C239" s="1081">
        <v>5.6743099541586215</v>
      </c>
      <c r="D239" s="1081">
        <v>7.5897554126997022</v>
      </c>
      <c r="E239" s="1081">
        <f t="shared" si="9"/>
        <v>13.375644746260782</v>
      </c>
      <c r="F239" s="1082">
        <f>_xlfn.IFNA(INDEX('F7'!$R$10:$R$126,MATCH(B239,'F7'!$B$10:$B$126,0)),0)</f>
        <v>0</v>
      </c>
      <c r="G239" s="1082">
        <f t="shared" si="10"/>
        <v>0</v>
      </c>
      <c r="H239" s="1081">
        <f t="shared" si="11"/>
        <v>13.375644746260782</v>
      </c>
    </row>
    <row r="240" spans="2:8">
      <c r="B240" s="1406" t="s">
        <v>1433</v>
      </c>
      <c r="C240" s="1081">
        <v>5.5942124429907585</v>
      </c>
      <c r="D240" s="1081">
        <v>6.945575432728492</v>
      </c>
      <c r="E240" s="1081">
        <f t="shared" si="9"/>
        <v>12.415644746260785</v>
      </c>
      <c r="F240" s="1082">
        <f>_xlfn.IFNA(INDEX('F7'!$R$10:$R$126,MATCH(B240,'F7'!$B$10:$B$126,0)),0)</f>
        <v>0</v>
      </c>
      <c r="G240" s="1082">
        <f t="shared" si="10"/>
        <v>0</v>
      </c>
      <c r="H240" s="1081">
        <f t="shared" si="11"/>
        <v>12.415644746260785</v>
      </c>
    </row>
    <row r="241" spans="2:8">
      <c r="B241" s="1411" t="s">
        <v>1014</v>
      </c>
      <c r="C241" s="1081">
        <v>27.802166666666672</v>
      </c>
      <c r="D241" s="1081">
        <v>17.80107602773878</v>
      </c>
      <c r="E241" s="1081">
        <f t="shared" si="9"/>
        <v>6.4027657416647781</v>
      </c>
      <c r="F241" s="1082">
        <f>_xlfn.IFNA(INDEX('F7'!$R$10:$R$126,MATCH(B241,'F7'!$B$10:$B$126,0)),0)</f>
        <v>0</v>
      </c>
      <c r="G241" s="1082">
        <f t="shared" si="10"/>
        <v>0</v>
      </c>
      <c r="H241" s="1081">
        <f t="shared" si="11"/>
        <v>6.4027657416647781</v>
      </c>
    </row>
    <row r="242" spans="2:8">
      <c r="B242" s="1406" t="s">
        <v>1430</v>
      </c>
      <c r="C242" s="1081">
        <v>6.4000563784346527</v>
      </c>
      <c r="D242" s="1081">
        <v>4.0960360821981778</v>
      </c>
      <c r="E242" s="1081">
        <f t="shared" si="9"/>
        <v>6.4</v>
      </c>
      <c r="F242" s="1082">
        <f>_xlfn.IFNA(INDEX('F7'!$R$10:$R$126,MATCH(B242,'F7'!$B$10:$B$126,0)),0)</f>
        <v>0</v>
      </c>
      <c r="G242" s="1082">
        <f t="shared" si="10"/>
        <v>0</v>
      </c>
      <c r="H242" s="1081">
        <f t="shared" si="11"/>
        <v>6.4</v>
      </c>
    </row>
    <row r="243" spans="2:8">
      <c r="B243" s="1406" t="s">
        <v>1431</v>
      </c>
      <c r="C243" s="1081">
        <v>10.133587891082637</v>
      </c>
      <c r="D243" s="1081">
        <v>6.4854962502928881</v>
      </c>
      <c r="E243" s="1081">
        <f t="shared" si="9"/>
        <v>6.4</v>
      </c>
      <c r="F243" s="1082">
        <f>_xlfn.IFNA(INDEX('F7'!$R$10:$R$126,MATCH(B243,'F7'!$B$10:$B$126,0)),0)</f>
        <v>0</v>
      </c>
      <c r="G243" s="1082">
        <f t="shared" si="10"/>
        <v>0</v>
      </c>
      <c r="H243" s="1081">
        <f t="shared" si="11"/>
        <v>6.4</v>
      </c>
    </row>
    <row r="244" spans="2:8">
      <c r="B244" s="1406" t="s">
        <v>1432</v>
      </c>
      <c r="C244" s="1081">
        <v>5.6743099541586215</v>
      </c>
      <c r="D244" s="1081">
        <v>4.1762921262607451</v>
      </c>
      <c r="E244" s="1081">
        <f t="shared" si="9"/>
        <v>7.3599999999999994</v>
      </c>
      <c r="F244" s="1082">
        <f>_xlfn.IFNA(INDEX('F7'!$R$10:$R$126,MATCH(B244,'F7'!$B$10:$B$126,0)),0)</f>
        <v>0</v>
      </c>
      <c r="G244" s="1082">
        <f t="shared" si="10"/>
        <v>0</v>
      </c>
      <c r="H244" s="1081">
        <f t="shared" si="11"/>
        <v>7.3599999999999994</v>
      </c>
    </row>
    <row r="245" spans="2:8">
      <c r="B245" s="1406" t="s">
        <v>1433</v>
      </c>
      <c r="C245" s="1081">
        <v>5.5942124429907585</v>
      </c>
      <c r="D245" s="1081">
        <v>3.0432515689869728</v>
      </c>
      <c r="E245" s="1081">
        <f t="shared" si="9"/>
        <v>5.44</v>
      </c>
      <c r="F245" s="1082">
        <f>_xlfn.IFNA(INDEX('F7'!$R$10:$R$126,MATCH(B245,'F7'!$B$10:$B$126,0)),0)</f>
        <v>0</v>
      </c>
      <c r="G245" s="1082">
        <f t="shared" si="10"/>
        <v>0</v>
      </c>
      <c r="H245" s="1081">
        <f t="shared" si="11"/>
        <v>5.44</v>
      </c>
    </row>
    <row r="246" spans="2:8">
      <c r="B246" s="1402" t="s">
        <v>1129</v>
      </c>
      <c r="C246" s="1081">
        <v>3.3557333333333337</v>
      </c>
      <c r="D246" s="1081">
        <v>2.5019432881392989</v>
      </c>
      <c r="E246" s="1081">
        <f t="shared" si="9"/>
        <v>7.4557273764481646</v>
      </c>
      <c r="F246" s="1082">
        <f ca="1">_xlfn.IFNA(INDEX('F7'!$R$10:$R$126,MATCH(B246,'F7'!$B$10:$B$126,0)),0)</f>
        <v>3.2205658485172255</v>
      </c>
      <c r="G246" s="1082">
        <f t="shared" ca="1" si="10"/>
        <v>9.5972043324376948</v>
      </c>
      <c r="H246" s="1081">
        <f t="shared" ca="1" si="11"/>
        <v>-2.1414769559895301</v>
      </c>
    </row>
    <row r="247" spans="2:8">
      <c r="B247" s="1410" t="s">
        <v>1013</v>
      </c>
      <c r="C247" s="1081">
        <v>1.6778666666666668</v>
      </c>
      <c r="D247" s="1081">
        <v>1.4780023194560312</v>
      </c>
      <c r="E247" s="1081">
        <f t="shared" si="9"/>
        <v>8.808818655372086</v>
      </c>
      <c r="F247" s="1082">
        <f>_xlfn.IFNA(INDEX('F7'!$R$10:$R$126,MATCH(B247,'F7'!$B$10:$B$126,0)),0)</f>
        <v>0</v>
      </c>
      <c r="G247" s="1082">
        <f t="shared" si="10"/>
        <v>0</v>
      </c>
      <c r="H247" s="1081">
        <f t="shared" si="11"/>
        <v>8.808818655372086</v>
      </c>
    </row>
    <row r="248" spans="2:8">
      <c r="B248" s="1406" t="s">
        <v>1430</v>
      </c>
      <c r="C248" s="1081">
        <v>0.38624476253635709</v>
      </c>
      <c r="D248" s="1081">
        <v>0.30581716130391712</v>
      </c>
      <c r="E248" s="1081">
        <f t="shared" si="9"/>
        <v>7.9177037714558178</v>
      </c>
      <c r="F248" s="1082">
        <f>_xlfn.IFNA(INDEX('F7'!$R$10:$R$126,MATCH(B248,'F7'!$B$10:$B$126,0)),0)</f>
        <v>0</v>
      </c>
      <c r="G248" s="1082">
        <f t="shared" si="10"/>
        <v>0</v>
      </c>
      <c r="H248" s="1081">
        <f t="shared" si="11"/>
        <v>7.9177037714558178</v>
      </c>
    </row>
    <row r="249" spans="2:8">
      <c r="B249" s="1406" t="s">
        <v>1431</v>
      </c>
      <c r="C249" s="1081">
        <v>0.61156418275018809</v>
      </c>
      <c r="D249" s="1081">
        <v>0.54017652634648805</v>
      </c>
      <c r="E249" s="1081">
        <f t="shared" si="9"/>
        <v>8.832703771455817</v>
      </c>
      <c r="F249" s="1082">
        <f>_xlfn.IFNA(INDEX('F7'!$R$10:$R$126,MATCH(B249,'F7'!$B$10:$B$126,0)),0)</f>
        <v>0</v>
      </c>
      <c r="G249" s="1082">
        <f t="shared" si="10"/>
        <v>0</v>
      </c>
      <c r="H249" s="1081">
        <f t="shared" si="11"/>
        <v>8.832703771455817</v>
      </c>
    </row>
    <row r="250" spans="2:8">
      <c r="B250" s="1406" t="s">
        <v>1432</v>
      </c>
      <c r="C250" s="1081">
        <v>0.34244581160044879</v>
      </c>
      <c r="D250" s="1081">
        <v>0.33380603292569427</v>
      </c>
      <c r="E250" s="1081">
        <f t="shared" si="9"/>
        <v>9.7477037714558161</v>
      </c>
      <c r="F250" s="1082">
        <f>_xlfn.IFNA(INDEX('F7'!$R$10:$R$126,MATCH(B250,'F7'!$B$10:$B$126,0)),0)</f>
        <v>0</v>
      </c>
      <c r="G250" s="1082">
        <f t="shared" si="10"/>
        <v>0</v>
      </c>
      <c r="H250" s="1081">
        <f t="shared" si="11"/>
        <v>9.7477037714558161</v>
      </c>
    </row>
    <row r="251" spans="2:8">
      <c r="B251" s="1406" t="s">
        <v>1433</v>
      </c>
      <c r="C251" s="1081">
        <v>0.33761190977967281</v>
      </c>
      <c r="D251" s="1081">
        <v>0.29820259887993172</v>
      </c>
      <c r="E251" s="1081">
        <f t="shared" si="9"/>
        <v>8.832703771455817</v>
      </c>
      <c r="F251" s="1082">
        <f>_xlfn.IFNA(INDEX('F7'!$R$10:$R$126,MATCH(B251,'F7'!$B$10:$B$126,0)),0)</f>
        <v>0</v>
      </c>
      <c r="G251" s="1082">
        <f t="shared" si="10"/>
        <v>0</v>
      </c>
      <c r="H251" s="1081">
        <f t="shared" si="11"/>
        <v>8.832703771455817</v>
      </c>
    </row>
    <row r="252" spans="2:8">
      <c r="B252" s="1411" t="s">
        <v>1014</v>
      </c>
      <c r="C252" s="1081">
        <v>1.6778666666666668</v>
      </c>
      <c r="D252" s="1081">
        <v>1.0239409686832677</v>
      </c>
      <c r="E252" s="1081">
        <f t="shared" si="9"/>
        <v>6.1026360975242424</v>
      </c>
      <c r="F252" s="1082">
        <f>_xlfn.IFNA(INDEX('F7'!$R$10:$R$126,MATCH(B252,'F7'!$B$10:$B$126,0)),0)</f>
        <v>0</v>
      </c>
      <c r="G252" s="1082">
        <f t="shared" si="10"/>
        <v>0</v>
      </c>
      <c r="H252" s="1081">
        <f t="shared" si="11"/>
        <v>6.1026360975242424</v>
      </c>
    </row>
    <row r="253" spans="2:8">
      <c r="B253" s="1406" t="s">
        <v>1430</v>
      </c>
      <c r="C253" s="1081">
        <v>0.38624476253635709</v>
      </c>
      <c r="D253" s="1081">
        <v>0.23560930514717779</v>
      </c>
      <c r="E253" s="1081">
        <f t="shared" si="9"/>
        <v>6.0999999999999988</v>
      </c>
      <c r="F253" s="1082">
        <f>_xlfn.IFNA(INDEX('F7'!$R$10:$R$126,MATCH(B253,'F7'!$B$10:$B$126,0)),0)</f>
        <v>0</v>
      </c>
      <c r="G253" s="1082">
        <f t="shared" si="10"/>
        <v>0</v>
      </c>
      <c r="H253" s="1081">
        <f t="shared" si="11"/>
        <v>6.0999999999999988</v>
      </c>
    </row>
    <row r="254" spans="2:8">
      <c r="B254" s="1406" t="s">
        <v>1431</v>
      </c>
      <c r="C254" s="1081">
        <v>0.61156418275018809</v>
      </c>
      <c r="D254" s="1081">
        <v>0.37305415147761473</v>
      </c>
      <c r="E254" s="1081">
        <f t="shared" si="9"/>
        <v>6.1</v>
      </c>
      <c r="F254" s="1082">
        <f>_xlfn.IFNA(INDEX('F7'!$R$10:$R$126,MATCH(B254,'F7'!$B$10:$B$126,0)),0)</f>
        <v>0</v>
      </c>
      <c r="G254" s="1082">
        <f t="shared" si="10"/>
        <v>0</v>
      </c>
      <c r="H254" s="1081">
        <f t="shared" si="11"/>
        <v>6.1</v>
      </c>
    </row>
    <row r="255" spans="2:8">
      <c r="B255" s="1406" t="s">
        <v>1432</v>
      </c>
      <c r="C255" s="1081">
        <v>0.34244581160044879</v>
      </c>
      <c r="D255" s="1081">
        <v>0.24022573683771481</v>
      </c>
      <c r="E255" s="1081">
        <f t="shared" si="9"/>
        <v>7.0149999999999988</v>
      </c>
      <c r="F255" s="1082">
        <f>_xlfn.IFNA(INDEX('F7'!$R$10:$R$126,MATCH(B255,'F7'!$B$10:$B$126,0)),0)</f>
        <v>0</v>
      </c>
      <c r="G255" s="1082">
        <f t="shared" si="10"/>
        <v>0</v>
      </c>
      <c r="H255" s="1081">
        <f t="shared" si="11"/>
        <v>7.0149999999999988</v>
      </c>
    </row>
    <row r="256" spans="2:8">
      <c r="B256" s="1406" t="s">
        <v>1433</v>
      </c>
      <c r="C256" s="1081">
        <v>0.33761190977967281</v>
      </c>
      <c r="D256" s="1081">
        <v>0.17505177522076035</v>
      </c>
      <c r="E256" s="1081">
        <f t="shared" si="9"/>
        <v>5.1849999999999996</v>
      </c>
      <c r="F256" s="1082">
        <f>_xlfn.IFNA(INDEX('F7'!$R$10:$R$126,MATCH(B256,'F7'!$B$10:$B$126,0)),0)</f>
        <v>0</v>
      </c>
      <c r="G256" s="1082">
        <f t="shared" si="10"/>
        <v>0</v>
      </c>
      <c r="H256" s="1081">
        <f t="shared" si="11"/>
        <v>5.1849999999999996</v>
      </c>
    </row>
    <row r="257" spans="2:8">
      <c r="B257" s="1402" t="s">
        <v>1130</v>
      </c>
      <c r="C257" s="1081">
        <v>211.20960000000002</v>
      </c>
      <c r="D257" s="1081">
        <v>161.12415761250003</v>
      </c>
      <c r="E257" s="1081">
        <f t="shared" si="9"/>
        <v>7.6286379791685608</v>
      </c>
      <c r="F257" s="1082">
        <f ca="1">_xlfn.IFNA(INDEX('F7'!$R$10:$R$126,MATCH(B257,'F7'!$B$10:$B$126,0)),0)</f>
        <v>202.70216881724329</v>
      </c>
      <c r="G257" s="1082">
        <f t="shared" ca="1" si="10"/>
        <v>9.5972043324376948</v>
      </c>
      <c r="H257" s="1081">
        <f t="shared" ca="1" si="11"/>
        <v>-1.968566353269134</v>
      </c>
    </row>
    <row r="258" spans="2:8">
      <c r="B258" s="1402" t="s">
        <v>1425</v>
      </c>
      <c r="C258" s="1081">
        <v>1384.88004</v>
      </c>
      <c r="D258" s="1081">
        <v>1112.0651898144583</v>
      </c>
      <c r="E258" s="1081">
        <f t="shared" si="9"/>
        <v>8.0300470632420868</v>
      </c>
      <c r="F258" s="1082">
        <f ca="1">_xlfn.IFNA(INDEX('F7'!$R$10:$R$126,MATCH(B258,'F7'!$B$10:$B$126,0)),0)</f>
        <v>12411.62407831255</v>
      </c>
      <c r="G258" s="1082">
        <f t="shared" ca="1" si="10"/>
        <v>89.622376811153629</v>
      </c>
      <c r="H258" s="1081">
        <f t="shared" ca="1" si="11"/>
        <v>-81.592329747911549</v>
      </c>
    </row>
    <row r="259" spans="2:8">
      <c r="B259" s="1409"/>
      <c r="C259" s="1081">
        <v>0</v>
      </c>
      <c r="D259" s="1081">
        <v>0</v>
      </c>
      <c r="E259" s="1081">
        <f t="shared" si="9"/>
        <v>0</v>
      </c>
      <c r="F259" s="1082">
        <f>_xlfn.IFNA(INDEX('F7'!$R$10:$R$126,MATCH(B259,'F7'!$B$10:$B$126,0)),0)</f>
        <v>0</v>
      </c>
      <c r="G259" s="1082">
        <f t="shared" si="10"/>
        <v>0</v>
      </c>
      <c r="H259" s="1081">
        <f t="shared" si="11"/>
        <v>0</v>
      </c>
    </row>
    <row r="260" spans="2:8">
      <c r="B260" s="1402" t="s">
        <v>1133</v>
      </c>
      <c r="C260" s="1081">
        <v>0</v>
      </c>
      <c r="D260" s="1081">
        <v>0</v>
      </c>
      <c r="E260" s="1081">
        <f t="shared" si="9"/>
        <v>0</v>
      </c>
      <c r="F260" s="1082">
        <f ca="1">_xlfn.IFNA(INDEX('F7'!$R$10:$R$126,MATCH(B260,'F7'!$B$10:$B$126,0)),0)</f>
        <v>0</v>
      </c>
      <c r="G260" s="1082">
        <f t="shared" ca="1" si="10"/>
        <v>0</v>
      </c>
      <c r="H260" s="1081">
        <f t="shared" ca="1" si="11"/>
        <v>0</v>
      </c>
    </row>
    <row r="261" spans="2:8">
      <c r="B261" s="1409" t="s">
        <v>1415</v>
      </c>
      <c r="C261" s="1081">
        <v>7.8573333333333331</v>
      </c>
      <c r="D261" s="1081">
        <v>10.566733333333334</v>
      </c>
      <c r="E261" s="1081">
        <f t="shared" si="9"/>
        <v>13.448243678941116</v>
      </c>
      <c r="F261" s="1082">
        <f ca="1">_xlfn.IFNA(INDEX('F7'!$R$10:$R$126,MATCH(B261,'F7'!$B$10:$B$126,0)),0)</f>
        <v>7.5408433508073784</v>
      </c>
      <c r="G261" s="1082">
        <f t="shared" ca="1" si="10"/>
        <v>9.5972043324376948</v>
      </c>
      <c r="H261" s="1081">
        <f t="shared" ca="1" si="11"/>
        <v>3.8510393465034216</v>
      </c>
    </row>
    <row r="262" spans="2:8">
      <c r="B262" s="1409" t="s">
        <v>1134</v>
      </c>
      <c r="C262" s="1081">
        <v>0</v>
      </c>
      <c r="D262" s="1081">
        <v>0</v>
      </c>
      <c r="E262" s="1081">
        <f t="shared" si="9"/>
        <v>0</v>
      </c>
      <c r="F262" s="1082">
        <f ca="1">_xlfn.IFNA(INDEX('F7'!$R$10:$R$126,MATCH(B262,'F7'!$B$10:$B$126,0)),0)</f>
        <v>0</v>
      </c>
      <c r="G262" s="1082">
        <f t="shared" ca="1" si="10"/>
        <v>0</v>
      </c>
      <c r="H262" s="1081">
        <f t="shared" ca="1" si="11"/>
        <v>0</v>
      </c>
    </row>
    <row r="263" spans="2:8">
      <c r="B263" s="1409" t="s">
        <v>1135</v>
      </c>
      <c r="C263" s="1081">
        <v>0</v>
      </c>
      <c r="D263" s="1081">
        <v>0</v>
      </c>
      <c r="E263" s="1081">
        <f t="shared" si="9"/>
        <v>0</v>
      </c>
      <c r="F263" s="1082">
        <f ca="1">_xlfn.IFNA(INDEX('F7'!$R$10:$R$126,MATCH(B263,'F7'!$B$10:$B$126,0)),0)</f>
        <v>0</v>
      </c>
      <c r="G263" s="1082">
        <f t="shared" ca="1" si="10"/>
        <v>0</v>
      </c>
      <c r="H263" s="1081">
        <f t="shared" ca="1" si="11"/>
        <v>0</v>
      </c>
    </row>
    <row r="264" spans="2:8">
      <c r="B264" s="1402" t="s">
        <v>1425</v>
      </c>
      <c r="C264" s="1081">
        <v>7.8573333333333331</v>
      </c>
      <c r="D264" s="1081">
        <v>10.566733333333334</v>
      </c>
      <c r="E264" s="1081">
        <f t="shared" si="9"/>
        <v>13.448243678941116</v>
      </c>
      <c r="F264" s="1082">
        <f ca="1">_xlfn.IFNA(INDEX('F7'!$R$10:$R$126,MATCH(B264,'F7'!$B$10:$B$126,0)),0)</f>
        <v>12411.62407831255</v>
      </c>
      <c r="G264" s="1082">
        <f t="shared" ca="1" si="10"/>
        <v>15796.22952440932</v>
      </c>
      <c r="H264" s="1081">
        <f t="shared" ca="1" si="11"/>
        <v>-15782.78128073038</v>
      </c>
    </row>
    <row r="265" spans="2:8">
      <c r="B265" s="1409"/>
      <c r="C265" s="1081">
        <v>0</v>
      </c>
      <c r="D265" s="1081">
        <v>0</v>
      </c>
      <c r="E265" s="1081">
        <f t="shared" si="9"/>
        <v>0</v>
      </c>
      <c r="F265" s="1082">
        <f>_xlfn.IFNA(INDEX('F7'!$R$10:$R$126,MATCH(B265,'F7'!$B$10:$B$126,0)),0)</f>
        <v>0</v>
      </c>
      <c r="G265" s="1082">
        <f t="shared" si="10"/>
        <v>0</v>
      </c>
      <c r="H265" s="1081">
        <f t="shared" si="11"/>
        <v>0</v>
      </c>
    </row>
    <row r="266" spans="2:8">
      <c r="B266" s="1402" t="s">
        <v>1137</v>
      </c>
      <c r="C266" s="1081">
        <v>0</v>
      </c>
      <c r="D266" s="1081">
        <v>0</v>
      </c>
      <c r="E266" s="1081">
        <f t="shared" si="9"/>
        <v>0</v>
      </c>
      <c r="F266" s="1082">
        <f ca="1">_xlfn.IFNA(INDEX('F7'!$R$10:$R$126,MATCH(B266,'F7'!$B$10:$B$126,0)),0)</f>
        <v>0</v>
      </c>
      <c r="G266" s="1082">
        <f t="shared" ca="1" si="10"/>
        <v>0</v>
      </c>
      <c r="H266" s="1081">
        <f t="shared" ca="1" si="11"/>
        <v>0</v>
      </c>
    </row>
    <row r="267" spans="2:8">
      <c r="B267" s="1409" t="s">
        <v>1138</v>
      </c>
      <c r="C267" s="1081">
        <v>159.74281200000001</v>
      </c>
      <c r="D267" s="1081">
        <v>147.990370998</v>
      </c>
      <c r="E267" s="1081">
        <f t="shared" si="9"/>
        <v>9.2642898384685992</v>
      </c>
      <c r="F267" s="1082">
        <f ca="1">_xlfn.IFNA(INDEX('F7'!$R$10:$R$126,MATCH(B267,'F7'!$B$10:$B$126,0)),0)</f>
        <v>153.30844074021803</v>
      </c>
      <c r="G267" s="1082">
        <f t="shared" ca="1" si="10"/>
        <v>9.5972043324376948</v>
      </c>
      <c r="H267" s="1081">
        <f t="shared" ca="1" si="11"/>
        <v>-0.33291449396909556</v>
      </c>
    </row>
    <row r="268" spans="2:8">
      <c r="B268" s="1409" t="s">
        <v>1139</v>
      </c>
      <c r="C268" s="1081">
        <v>330.81679380000003</v>
      </c>
      <c r="D268" s="1081">
        <v>306.1356588270001</v>
      </c>
      <c r="E268" s="1081">
        <f t="shared" ref="E268:E276" si="12">IFERROR((D268/C268)*10,0)</f>
        <v>9.2539334327772593</v>
      </c>
      <c r="F268" s="1082">
        <f ca="1">_xlfn.IFNA(INDEX('F7'!$R$10:$R$126,MATCH(B268,'F7'!$B$10:$B$126,0)),0)</f>
        <v>317.49163667005081</v>
      </c>
      <c r="G268" s="1082">
        <f t="shared" ref="G268:G276" ca="1" si="13">IFERROR((F268/C268)*10,0)</f>
        <v>9.5972043324376948</v>
      </c>
      <c r="H268" s="1081">
        <f t="shared" ref="H268:H276" ca="1" si="14">E268-G268</f>
        <v>-0.34327089966043545</v>
      </c>
    </row>
    <row r="269" spans="2:8">
      <c r="B269" s="1409" t="s">
        <v>1140</v>
      </c>
      <c r="C269" s="1081">
        <v>0</v>
      </c>
      <c r="D269" s="1081">
        <v>0</v>
      </c>
      <c r="E269" s="1081">
        <f t="shared" si="12"/>
        <v>0</v>
      </c>
      <c r="F269" s="1082">
        <f ca="1">_xlfn.IFNA(INDEX('F7'!$R$10:$R$126,MATCH(B269,'F7'!$B$10:$B$126,0)),0)</f>
        <v>0</v>
      </c>
      <c r="G269" s="1082">
        <f t="shared" ca="1" si="13"/>
        <v>0</v>
      </c>
      <c r="H269" s="1081">
        <f t="shared" ca="1" si="14"/>
        <v>0</v>
      </c>
    </row>
    <row r="270" spans="2:8">
      <c r="B270" s="1402" t="s">
        <v>1425</v>
      </c>
      <c r="C270" s="1081">
        <v>490.55960580000004</v>
      </c>
      <c r="D270" s="1081">
        <v>454.1260298250001</v>
      </c>
      <c r="E270" s="1081">
        <f t="shared" si="12"/>
        <v>9.2573058290116563</v>
      </c>
      <c r="F270" s="1082">
        <f ca="1">_xlfn.IFNA(INDEX('F7'!$R$10:$R$126,MATCH(B270,'F7'!$B$10:$B$126,0)),0)</f>
        <v>12411.62407831255</v>
      </c>
      <c r="G270" s="1082">
        <f t="shared" ca="1" si="13"/>
        <v>253.00950040661806</v>
      </c>
      <c r="H270" s="1081">
        <f t="shared" ca="1" si="14"/>
        <v>-243.75219457760642</v>
      </c>
    </row>
    <row r="271" spans="2:8">
      <c r="B271" s="1409"/>
      <c r="C271" s="1081">
        <v>0</v>
      </c>
      <c r="D271" s="1081">
        <v>0</v>
      </c>
      <c r="E271" s="1081">
        <f t="shared" si="12"/>
        <v>0</v>
      </c>
      <c r="F271" s="1082">
        <f>_xlfn.IFNA(INDEX('F7'!$R$10:$R$126,MATCH(B271,'F7'!$B$10:$B$126,0)),0)</f>
        <v>0</v>
      </c>
      <c r="G271" s="1082">
        <f t="shared" si="13"/>
        <v>0</v>
      </c>
      <c r="H271" s="1081">
        <f t="shared" si="14"/>
        <v>0</v>
      </c>
    </row>
    <row r="272" spans="2:8">
      <c r="B272" s="1402" t="s">
        <v>1434</v>
      </c>
      <c r="C272" s="1081">
        <v>2.8090000000000002</v>
      </c>
      <c r="D272" s="1081">
        <v>2.1994470000000002</v>
      </c>
      <c r="E272" s="1081">
        <f t="shared" si="12"/>
        <v>7.83</v>
      </c>
      <c r="F272" s="1082">
        <f ca="1">_xlfn.IFNA(INDEX('F7'!$R$10:$R$126,MATCH(B272,'F7'!$B$10:$B$126,0)),0)</f>
        <v>2.695854696981749</v>
      </c>
      <c r="G272" s="1082">
        <f t="shared" ca="1" si="13"/>
        <v>9.5972043324376948</v>
      </c>
      <c r="H272" s="1081">
        <f t="shared" ca="1" si="14"/>
        <v>-1.7672043324376947</v>
      </c>
    </row>
    <row r="273" spans="2:8">
      <c r="B273" s="1409"/>
      <c r="C273" s="1081">
        <v>0</v>
      </c>
      <c r="D273" s="1081">
        <v>0</v>
      </c>
      <c r="E273" s="1081">
        <f t="shared" si="12"/>
        <v>0</v>
      </c>
      <c r="F273" s="1082">
        <f>_xlfn.IFNA(INDEX('F7'!$R$10:$R$126,MATCH(B273,'F7'!$B$10:$B$126,0)),0)</f>
        <v>0</v>
      </c>
      <c r="G273" s="1082">
        <f t="shared" si="13"/>
        <v>0</v>
      </c>
      <c r="H273" s="1081">
        <f t="shared" si="14"/>
        <v>0</v>
      </c>
    </row>
    <row r="274" spans="2:8">
      <c r="B274" s="1402" t="s">
        <v>1470</v>
      </c>
      <c r="C274" s="1081">
        <v>0</v>
      </c>
      <c r="D274" s="1081">
        <v>0</v>
      </c>
      <c r="E274" s="1081">
        <f t="shared" si="12"/>
        <v>0</v>
      </c>
      <c r="F274" s="1082">
        <f>_xlfn.IFNA(INDEX('F7'!$R$10:$R$126,MATCH(B274,'F7'!$B$10:$B$126,0)),0)</f>
        <v>0</v>
      </c>
      <c r="G274" s="1082">
        <f t="shared" si="13"/>
        <v>0</v>
      </c>
      <c r="H274" s="1081">
        <f t="shared" si="14"/>
        <v>0</v>
      </c>
    </row>
    <row r="275" spans="2:8">
      <c r="B275" s="1409"/>
      <c r="C275" s="1081">
        <v>0</v>
      </c>
      <c r="D275" s="1081">
        <v>0</v>
      </c>
      <c r="E275" s="1081">
        <f t="shared" si="12"/>
        <v>0</v>
      </c>
      <c r="F275" s="1082">
        <f>_xlfn.IFNA(INDEX('F7'!$R$10:$R$126,MATCH(B275,'F7'!$B$10:$B$126,0)),0)</f>
        <v>0</v>
      </c>
      <c r="G275" s="1082">
        <f t="shared" si="13"/>
        <v>0</v>
      </c>
      <c r="H275" s="1081">
        <f t="shared" si="14"/>
        <v>0</v>
      </c>
    </row>
    <row r="276" spans="2:8">
      <c r="B276" s="1402" t="s">
        <v>126</v>
      </c>
      <c r="C276" s="1081">
        <v>22660.994932223985</v>
      </c>
      <c r="D276" s="145">
        <v>13722.337048453945</v>
      </c>
      <c r="E276" s="145">
        <f t="shared" si="12"/>
        <v>6.0554874529982587</v>
      </c>
      <c r="F276" s="1499">
        <f ca="1">_xlfn.IFNA(INDEX('F7'!$R$10:$R$126,MATCH(B276,'F7'!$B$10:$B$126,0)),0)</f>
        <v>21748.247643023769</v>
      </c>
      <c r="G276" s="1499">
        <f t="shared" ca="1" si="13"/>
        <v>9.5972165865046435</v>
      </c>
      <c r="H276" s="145">
        <f t="shared" ca="1" si="14"/>
        <v>-3.5417291335063847</v>
      </c>
    </row>
  </sheetData>
  <mergeCells count="5">
    <mergeCell ref="A5:A8"/>
    <mergeCell ref="B5:B8"/>
    <mergeCell ref="C6:H6"/>
    <mergeCell ref="C5:H5"/>
    <mergeCell ref="C7:H7"/>
  </mergeCells>
  <printOptions horizontalCentered="1"/>
  <pageMargins left="0.19685039370078741" right="0.19685039370078741" top="0.19685039370078741" bottom="0.19685039370078741" header="0.19685039370078741" footer="0.19685039370078741"/>
  <pageSetup paperSize="9" scale="58" fitToHeight="5" orientation="portrait" r:id="rId1"/>
  <rowBreaks count="3" manualBreakCount="3">
    <brk id="90" min="1" max="7" man="1"/>
    <brk id="180" min="1" max="7" man="1"/>
    <brk id="189" min="1" max="7"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O236"/>
  <sheetViews>
    <sheetView view="pageBreakPreview" zoomScale="76" zoomScaleNormal="70" zoomScaleSheetLayoutView="70" workbookViewId="0">
      <pane xSplit="2" ySplit="9" topLeftCell="C215" activePane="bottomRight" state="frozen"/>
      <selection activeCell="C105" sqref="C105"/>
      <selection pane="topRight" activeCell="C105" sqref="C105"/>
      <selection pane="bottomLeft" activeCell="C105" sqref="C105"/>
      <selection pane="bottomRight" activeCell="C105" sqref="C105"/>
    </sheetView>
  </sheetViews>
  <sheetFormatPr defaultRowHeight="14.5"/>
  <cols>
    <col min="1" max="1" width="6.453125" style="1356" customWidth="1"/>
    <col min="2" max="2" width="36" style="1356" customWidth="1"/>
    <col min="3" max="3" width="11.453125" style="1356" customWidth="1"/>
    <col min="4" max="4" width="12" style="1835" customWidth="1"/>
    <col min="5" max="5" width="12.26953125" style="2793" customWidth="1"/>
    <col min="6" max="6" width="13.453125" style="1356" customWidth="1"/>
    <col min="7" max="7" width="11.26953125" style="1356" customWidth="1"/>
    <col min="8" max="8" width="15" style="1356" customWidth="1"/>
    <col min="9" max="9" width="15.7265625" style="1356" bestFit="1" customWidth="1"/>
    <col min="10" max="11" width="15" style="1356" bestFit="1" customWidth="1"/>
    <col min="12" max="12" width="14.453125" style="1356" customWidth="1"/>
    <col min="13" max="13" width="15" style="1356" bestFit="1" customWidth="1"/>
    <col min="14" max="14" width="17.7265625" style="1356" customWidth="1"/>
    <col min="15" max="15" width="17.26953125" style="1356" hidden="1" customWidth="1"/>
    <col min="16" max="16" width="11.7265625" style="1356" hidden="1" customWidth="1"/>
    <col min="17" max="17" width="9.1796875" style="1356"/>
    <col min="18" max="18" width="12" style="1356" bestFit="1" customWidth="1"/>
    <col min="19" max="19" width="12.453125" style="1356" bestFit="1" customWidth="1"/>
    <col min="20" max="21" width="13.1796875" style="1356" bestFit="1" customWidth="1"/>
    <col min="22" max="22" width="9.1796875" style="1356"/>
    <col min="23" max="23" width="11.1796875" style="1356" bestFit="1" customWidth="1"/>
    <col min="24" max="231" width="9.1796875" style="1356"/>
    <col min="232" max="232" width="3.26953125" style="1356" customWidth="1"/>
    <col min="233" max="233" width="36" style="1356" customWidth="1"/>
    <col min="234" max="234" width="8.26953125" style="1356" customWidth="1"/>
    <col min="235" max="235" width="12.7265625" style="1356" customWidth="1"/>
    <col min="236" max="236" width="5.7265625" style="1356" customWidth="1"/>
    <col min="237" max="237" width="7.453125" style="1356" customWidth="1"/>
    <col min="238" max="238" width="7.26953125" style="1356" customWidth="1"/>
    <col min="239" max="239" width="6.7265625" style="1356" customWidth="1"/>
    <col min="240" max="240" width="6" style="1356" customWidth="1"/>
    <col min="241" max="241" width="6.54296875" style="1356" customWidth="1"/>
    <col min="242" max="242" width="5" style="1356" customWidth="1"/>
    <col min="243" max="243" width="6" style="1356" customWidth="1"/>
    <col min="244" max="244" width="6.54296875" style="1356" customWidth="1"/>
    <col min="245" max="245" width="5" style="1356" customWidth="1"/>
    <col min="246" max="246" width="6.7265625" style="1356" customWidth="1"/>
    <col min="247" max="487" width="9.1796875" style="1356"/>
    <col min="488" max="488" width="3.26953125" style="1356" customWidth="1"/>
    <col min="489" max="489" width="36" style="1356" customWidth="1"/>
    <col min="490" max="490" width="8.26953125" style="1356" customWidth="1"/>
    <col min="491" max="491" width="12.7265625" style="1356" customWidth="1"/>
    <col min="492" max="492" width="5.7265625" style="1356" customWidth="1"/>
    <col min="493" max="493" width="7.453125" style="1356" customWidth="1"/>
    <col min="494" max="494" width="7.26953125" style="1356" customWidth="1"/>
    <col min="495" max="495" width="6.7265625" style="1356" customWidth="1"/>
    <col min="496" max="496" width="6" style="1356" customWidth="1"/>
    <col min="497" max="497" width="6.54296875" style="1356" customWidth="1"/>
    <col min="498" max="498" width="5" style="1356" customWidth="1"/>
    <col min="499" max="499" width="6" style="1356" customWidth="1"/>
    <col min="500" max="500" width="6.54296875" style="1356" customWidth="1"/>
    <col min="501" max="501" width="5" style="1356" customWidth="1"/>
    <col min="502" max="502" width="6.7265625" style="1356" customWidth="1"/>
    <col min="503" max="743" width="9.1796875" style="1356"/>
    <col min="744" max="744" width="3.26953125" style="1356" customWidth="1"/>
    <col min="745" max="745" width="36" style="1356" customWidth="1"/>
    <col min="746" max="746" width="8.26953125" style="1356" customWidth="1"/>
    <col min="747" max="747" width="12.7265625" style="1356" customWidth="1"/>
    <col min="748" max="748" width="5.7265625" style="1356" customWidth="1"/>
    <col min="749" max="749" width="7.453125" style="1356" customWidth="1"/>
    <col min="750" max="750" width="7.26953125" style="1356" customWidth="1"/>
    <col min="751" max="751" width="6.7265625" style="1356" customWidth="1"/>
    <col min="752" max="752" width="6" style="1356" customWidth="1"/>
    <col min="753" max="753" width="6.54296875" style="1356" customWidth="1"/>
    <col min="754" max="754" width="5" style="1356" customWidth="1"/>
    <col min="755" max="755" width="6" style="1356" customWidth="1"/>
    <col min="756" max="756" width="6.54296875" style="1356" customWidth="1"/>
    <col min="757" max="757" width="5" style="1356" customWidth="1"/>
    <col min="758" max="758" width="6.7265625" style="1356" customWidth="1"/>
    <col min="759" max="999" width="9.1796875" style="1356"/>
    <col min="1000" max="1000" width="3.26953125" style="1356" customWidth="1"/>
    <col min="1001" max="1001" width="36" style="1356" customWidth="1"/>
    <col min="1002" max="1002" width="8.26953125" style="1356" customWidth="1"/>
    <col min="1003" max="1003" width="12.7265625" style="1356" customWidth="1"/>
    <col min="1004" max="1004" width="5.7265625" style="1356" customWidth="1"/>
    <col min="1005" max="1005" width="7.453125" style="1356" customWidth="1"/>
    <col min="1006" max="1006" width="7.26953125" style="1356" customWidth="1"/>
    <col min="1007" max="1007" width="6.7265625" style="1356" customWidth="1"/>
    <col min="1008" max="1008" width="6" style="1356" customWidth="1"/>
    <col min="1009" max="1009" width="6.54296875" style="1356" customWidth="1"/>
    <col min="1010" max="1010" width="5" style="1356" customWidth="1"/>
    <col min="1011" max="1011" width="6" style="1356" customWidth="1"/>
    <col min="1012" max="1012" width="6.54296875" style="1356" customWidth="1"/>
    <col min="1013" max="1013" width="5" style="1356" customWidth="1"/>
    <col min="1014" max="1014" width="6.7265625" style="1356" customWidth="1"/>
    <col min="1015" max="1255" width="9.1796875" style="1356"/>
    <col min="1256" max="1256" width="3.26953125" style="1356" customWidth="1"/>
    <col min="1257" max="1257" width="36" style="1356" customWidth="1"/>
    <col min="1258" max="1258" width="8.26953125" style="1356" customWidth="1"/>
    <col min="1259" max="1259" width="12.7265625" style="1356" customWidth="1"/>
    <col min="1260" max="1260" width="5.7265625" style="1356" customWidth="1"/>
    <col min="1261" max="1261" width="7.453125" style="1356" customWidth="1"/>
    <col min="1262" max="1262" width="7.26953125" style="1356" customWidth="1"/>
    <col min="1263" max="1263" width="6.7265625" style="1356" customWidth="1"/>
    <col min="1264" max="1264" width="6" style="1356" customWidth="1"/>
    <col min="1265" max="1265" width="6.54296875" style="1356" customWidth="1"/>
    <col min="1266" max="1266" width="5" style="1356" customWidth="1"/>
    <col min="1267" max="1267" width="6" style="1356" customWidth="1"/>
    <col min="1268" max="1268" width="6.54296875" style="1356" customWidth="1"/>
    <col min="1269" max="1269" width="5" style="1356" customWidth="1"/>
    <col min="1270" max="1270" width="6.7265625" style="1356" customWidth="1"/>
    <col min="1271" max="1511" width="9.1796875" style="1356"/>
    <col min="1512" max="1512" width="3.26953125" style="1356" customWidth="1"/>
    <col min="1513" max="1513" width="36" style="1356" customWidth="1"/>
    <col min="1514" max="1514" width="8.26953125" style="1356" customWidth="1"/>
    <col min="1515" max="1515" width="12.7265625" style="1356" customWidth="1"/>
    <col min="1516" max="1516" width="5.7265625" style="1356" customWidth="1"/>
    <col min="1517" max="1517" width="7.453125" style="1356" customWidth="1"/>
    <col min="1518" max="1518" width="7.26953125" style="1356" customWidth="1"/>
    <col min="1519" max="1519" width="6.7265625" style="1356" customWidth="1"/>
    <col min="1520" max="1520" width="6" style="1356" customWidth="1"/>
    <col min="1521" max="1521" width="6.54296875" style="1356" customWidth="1"/>
    <col min="1522" max="1522" width="5" style="1356" customWidth="1"/>
    <col min="1523" max="1523" width="6" style="1356" customWidth="1"/>
    <col min="1524" max="1524" width="6.54296875" style="1356" customWidth="1"/>
    <col min="1525" max="1525" width="5" style="1356" customWidth="1"/>
    <col min="1526" max="1526" width="6.7265625" style="1356" customWidth="1"/>
    <col min="1527" max="1767" width="9.1796875" style="1356"/>
    <col min="1768" max="1768" width="3.26953125" style="1356" customWidth="1"/>
    <col min="1769" max="1769" width="36" style="1356" customWidth="1"/>
    <col min="1770" max="1770" width="8.26953125" style="1356" customWidth="1"/>
    <col min="1771" max="1771" width="12.7265625" style="1356" customWidth="1"/>
    <col min="1772" max="1772" width="5.7265625" style="1356" customWidth="1"/>
    <col min="1773" max="1773" width="7.453125" style="1356" customWidth="1"/>
    <col min="1774" max="1774" width="7.26953125" style="1356" customWidth="1"/>
    <col min="1775" max="1775" width="6.7265625" style="1356" customWidth="1"/>
    <col min="1776" max="1776" width="6" style="1356" customWidth="1"/>
    <col min="1777" max="1777" width="6.54296875" style="1356" customWidth="1"/>
    <col min="1778" max="1778" width="5" style="1356" customWidth="1"/>
    <col min="1779" max="1779" width="6" style="1356" customWidth="1"/>
    <col min="1780" max="1780" width="6.54296875" style="1356" customWidth="1"/>
    <col min="1781" max="1781" width="5" style="1356" customWidth="1"/>
    <col min="1782" max="1782" width="6.7265625" style="1356" customWidth="1"/>
    <col min="1783" max="2023" width="9.1796875" style="1356"/>
    <col min="2024" max="2024" width="3.26953125" style="1356" customWidth="1"/>
    <col min="2025" max="2025" width="36" style="1356" customWidth="1"/>
    <col min="2026" max="2026" width="8.26953125" style="1356" customWidth="1"/>
    <col min="2027" max="2027" width="12.7265625" style="1356" customWidth="1"/>
    <col min="2028" max="2028" width="5.7265625" style="1356" customWidth="1"/>
    <col min="2029" max="2029" width="7.453125" style="1356" customWidth="1"/>
    <col min="2030" max="2030" width="7.26953125" style="1356" customWidth="1"/>
    <col min="2031" max="2031" width="6.7265625" style="1356" customWidth="1"/>
    <col min="2032" max="2032" width="6" style="1356" customWidth="1"/>
    <col min="2033" max="2033" width="6.54296875" style="1356" customWidth="1"/>
    <col min="2034" max="2034" width="5" style="1356" customWidth="1"/>
    <col min="2035" max="2035" width="6" style="1356" customWidth="1"/>
    <col min="2036" max="2036" width="6.54296875" style="1356" customWidth="1"/>
    <col min="2037" max="2037" width="5" style="1356" customWidth="1"/>
    <col min="2038" max="2038" width="6.7265625" style="1356" customWidth="1"/>
    <col min="2039" max="2279" width="9.1796875" style="1356"/>
    <col min="2280" max="2280" width="3.26953125" style="1356" customWidth="1"/>
    <col min="2281" max="2281" width="36" style="1356" customWidth="1"/>
    <col min="2282" max="2282" width="8.26953125" style="1356" customWidth="1"/>
    <col min="2283" max="2283" width="12.7265625" style="1356" customWidth="1"/>
    <col min="2284" max="2284" width="5.7265625" style="1356" customWidth="1"/>
    <col min="2285" max="2285" width="7.453125" style="1356" customWidth="1"/>
    <col min="2286" max="2286" width="7.26953125" style="1356" customWidth="1"/>
    <col min="2287" max="2287" width="6.7265625" style="1356" customWidth="1"/>
    <col min="2288" max="2288" width="6" style="1356" customWidth="1"/>
    <col min="2289" max="2289" width="6.54296875" style="1356" customWidth="1"/>
    <col min="2290" max="2290" width="5" style="1356" customWidth="1"/>
    <col min="2291" max="2291" width="6" style="1356" customWidth="1"/>
    <col min="2292" max="2292" width="6.54296875" style="1356" customWidth="1"/>
    <col min="2293" max="2293" width="5" style="1356" customWidth="1"/>
    <col min="2294" max="2294" width="6.7265625" style="1356" customWidth="1"/>
    <col min="2295" max="2535" width="9.1796875" style="1356"/>
    <col min="2536" max="2536" width="3.26953125" style="1356" customWidth="1"/>
    <col min="2537" max="2537" width="36" style="1356" customWidth="1"/>
    <col min="2538" max="2538" width="8.26953125" style="1356" customWidth="1"/>
    <col min="2539" max="2539" width="12.7265625" style="1356" customWidth="1"/>
    <col min="2540" max="2540" width="5.7265625" style="1356" customWidth="1"/>
    <col min="2541" max="2541" width="7.453125" style="1356" customWidth="1"/>
    <col min="2542" max="2542" width="7.26953125" style="1356" customWidth="1"/>
    <col min="2543" max="2543" width="6.7265625" style="1356" customWidth="1"/>
    <col min="2544" max="2544" width="6" style="1356" customWidth="1"/>
    <col min="2545" max="2545" width="6.54296875" style="1356" customWidth="1"/>
    <col min="2546" max="2546" width="5" style="1356" customWidth="1"/>
    <col min="2547" max="2547" width="6" style="1356" customWidth="1"/>
    <col min="2548" max="2548" width="6.54296875" style="1356" customWidth="1"/>
    <col min="2549" max="2549" width="5" style="1356" customWidth="1"/>
    <col min="2550" max="2550" width="6.7265625" style="1356" customWidth="1"/>
    <col min="2551" max="2791" width="9.1796875" style="1356"/>
    <col min="2792" max="2792" width="3.26953125" style="1356" customWidth="1"/>
    <col min="2793" max="2793" width="36" style="1356" customWidth="1"/>
    <col min="2794" max="2794" width="8.26953125" style="1356" customWidth="1"/>
    <col min="2795" max="2795" width="12.7265625" style="1356" customWidth="1"/>
    <col min="2796" max="2796" width="5.7265625" style="1356" customWidth="1"/>
    <col min="2797" max="2797" width="7.453125" style="1356" customWidth="1"/>
    <col min="2798" max="2798" width="7.26953125" style="1356" customWidth="1"/>
    <col min="2799" max="2799" width="6.7265625" style="1356" customWidth="1"/>
    <col min="2800" max="2800" width="6" style="1356" customWidth="1"/>
    <col min="2801" max="2801" width="6.54296875" style="1356" customWidth="1"/>
    <col min="2802" max="2802" width="5" style="1356" customWidth="1"/>
    <col min="2803" max="2803" width="6" style="1356" customWidth="1"/>
    <col min="2804" max="2804" width="6.54296875" style="1356" customWidth="1"/>
    <col min="2805" max="2805" width="5" style="1356" customWidth="1"/>
    <col min="2806" max="2806" width="6.7265625" style="1356" customWidth="1"/>
    <col min="2807" max="3047" width="9.1796875" style="1356"/>
    <col min="3048" max="3048" width="3.26953125" style="1356" customWidth="1"/>
    <col min="3049" max="3049" width="36" style="1356" customWidth="1"/>
    <col min="3050" max="3050" width="8.26953125" style="1356" customWidth="1"/>
    <col min="3051" max="3051" width="12.7265625" style="1356" customWidth="1"/>
    <col min="3052" max="3052" width="5.7265625" style="1356" customWidth="1"/>
    <col min="3053" max="3053" width="7.453125" style="1356" customWidth="1"/>
    <col min="3054" max="3054" width="7.26953125" style="1356" customWidth="1"/>
    <col min="3055" max="3055" width="6.7265625" style="1356" customWidth="1"/>
    <col min="3056" max="3056" width="6" style="1356" customWidth="1"/>
    <col min="3057" max="3057" width="6.54296875" style="1356" customWidth="1"/>
    <col min="3058" max="3058" width="5" style="1356" customWidth="1"/>
    <col min="3059" max="3059" width="6" style="1356" customWidth="1"/>
    <col min="3060" max="3060" width="6.54296875" style="1356" customWidth="1"/>
    <col min="3061" max="3061" width="5" style="1356" customWidth="1"/>
    <col min="3062" max="3062" width="6.7265625" style="1356" customWidth="1"/>
    <col min="3063" max="3303" width="9.1796875" style="1356"/>
    <col min="3304" max="3304" width="3.26953125" style="1356" customWidth="1"/>
    <col min="3305" max="3305" width="36" style="1356" customWidth="1"/>
    <col min="3306" max="3306" width="8.26953125" style="1356" customWidth="1"/>
    <col min="3307" max="3307" width="12.7265625" style="1356" customWidth="1"/>
    <col min="3308" max="3308" width="5.7265625" style="1356" customWidth="1"/>
    <col min="3309" max="3309" width="7.453125" style="1356" customWidth="1"/>
    <col min="3310" max="3310" width="7.26953125" style="1356" customWidth="1"/>
    <col min="3311" max="3311" width="6.7265625" style="1356" customWidth="1"/>
    <col min="3312" max="3312" width="6" style="1356" customWidth="1"/>
    <col min="3313" max="3313" width="6.54296875" style="1356" customWidth="1"/>
    <col min="3314" max="3314" width="5" style="1356" customWidth="1"/>
    <col min="3315" max="3315" width="6" style="1356" customWidth="1"/>
    <col min="3316" max="3316" width="6.54296875" style="1356" customWidth="1"/>
    <col min="3317" max="3317" width="5" style="1356" customWidth="1"/>
    <col min="3318" max="3318" width="6.7265625" style="1356" customWidth="1"/>
    <col min="3319" max="3559" width="9.1796875" style="1356"/>
    <col min="3560" max="3560" width="3.26953125" style="1356" customWidth="1"/>
    <col min="3561" max="3561" width="36" style="1356" customWidth="1"/>
    <col min="3562" max="3562" width="8.26953125" style="1356" customWidth="1"/>
    <col min="3563" max="3563" width="12.7265625" style="1356" customWidth="1"/>
    <col min="3564" max="3564" width="5.7265625" style="1356" customWidth="1"/>
    <col min="3565" max="3565" width="7.453125" style="1356" customWidth="1"/>
    <col min="3566" max="3566" width="7.26953125" style="1356" customWidth="1"/>
    <col min="3567" max="3567" width="6.7265625" style="1356" customWidth="1"/>
    <col min="3568" max="3568" width="6" style="1356" customWidth="1"/>
    <col min="3569" max="3569" width="6.54296875" style="1356" customWidth="1"/>
    <col min="3570" max="3570" width="5" style="1356" customWidth="1"/>
    <col min="3571" max="3571" width="6" style="1356" customWidth="1"/>
    <col min="3572" max="3572" width="6.54296875" style="1356" customWidth="1"/>
    <col min="3573" max="3573" width="5" style="1356" customWidth="1"/>
    <col min="3574" max="3574" width="6.7265625" style="1356" customWidth="1"/>
    <col min="3575" max="3815" width="9.1796875" style="1356"/>
    <col min="3816" max="3816" width="3.26953125" style="1356" customWidth="1"/>
    <col min="3817" max="3817" width="36" style="1356" customWidth="1"/>
    <col min="3818" max="3818" width="8.26953125" style="1356" customWidth="1"/>
    <col min="3819" max="3819" width="12.7265625" style="1356" customWidth="1"/>
    <col min="3820" max="3820" width="5.7265625" style="1356" customWidth="1"/>
    <col min="3821" max="3821" width="7.453125" style="1356" customWidth="1"/>
    <col min="3822" max="3822" width="7.26953125" style="1356" customWidth="1"/>
    <col min="3823" max="3823" width="6.7265625" style="1356" customWidth="1"/>
    <col min="3824" max="3824" width="6" style="1356" customWidth="1"/>
    <col min="3825" max="3825" width="6.54296875" style="1356" customWidth="1"/>
    <col min="3826" max="3826" width="5" style="1356" customWidth="1"/>
    <col min="3827" max="3827" width="6" style="1356" customWidth="1"/>
    <col min="3828" max="3828" width="6.54296875" style="1356" customWidth="1"/>
    <col min="3829" max="3829" width="5" style="1356" customWidth="1"/>
    <col min="3830" max="3830" width="6.7265625" style="1356" customWidth="1"/>
    <col min="3831" max="4071" width="9.1796875" style="1356"/>
    <col min="4072" max="4072" width="3.26953125" style="1356" customWidth="1"/>
    <col min="4073" max="4073" width="36" style="1356" customWidth="1"/>
    <col min="4074" max="4074" width="8.26953125" style="1356" customWidth="1"/>
    <col min="4075" max="4075" width="12.7265625" style="1356" customWidth="1"/>
    <col min="4076" max="4076" width="5.7265625" style="1356" customWidth="1"/>
    <col min="4077" max="4077" width="7.453125" style="1356" customWidth="1"/>
    <col min="4078" max="4078" width="7.26953125" style="1356" customWidth="1"/>
    <col min="4079" max="4079" width="6.7265625" style="1356" customWidth="1"/>
    <col min="4080" max="4080" width="6" style="1356" customWidth="1"/>
    <col min="4081" max="4081" width="6.54296875" style="1356" customWidth="1"/>
    <col min="4082" max="4082" width="5" style="1356" customWidth="1"/>
    <col min="4083" max="4083" width="6" style="1356" customWidth="1"/>
    <col min="4084" max="4084" width="6.54296875" style="1356" customWidth="1"/>
    <col min="4085" max="4085" width="5" style="1356" customWidth="1"/>
    <col min="4086" max="4086" width="6.7265625" style="1356" customWidth="1"/>
    <col min="4087" max="4327" width="9.1796875" style="1356"/>
    <col min="4328" max="4328" width="3.26953125" style="1356" customWidth="1"/>
    <col min="4329" max="4329" width="36" style="1356" customWidth="1"/>
    <col min="4330" max="4330" width="8.26953125" style="1356" customWidth="1"/>
    <col min="4331" max="4331" width="12.7265625" style="1356" customWidth="1"/>
    <col min="4332" max="4332" width="5.7265625" style="1356" customWidth="1"/>
    <col min="4333" max="4333" width="7.453125" style="1356" customWidth="1"/>
    <col min="4334" max="4334" width="7.26953125" style="1356" customWidth="1"/>
    <col min="4335" max="4335" width="6.7265625" style="1356" customWidth="1"/>
    <col min="4336" max="4336" width="6" style="1356" customWidth="1"/>
    <col min="4337" max="4337" width="6.54296875" style="1356" customWidth="1"/>
    <col min="4338" max="4338" width="5" style="1356" customWidth="1"/>
    <col min="4339" max="4339" width="6" style="1356" customWidth="1"/>
    <col min="4340" max="4340" width="6.54296875" style="1356" customWidth="1"/>
    <col min="4341" max="4341" width="5" style="1356" customWidth="1"/>
    <col min="4342" max="4342" width="6.7265625" style="1356" customWidth="1"/>
    <col min="4343" max="4583" width="9.1796875" style="1356"/>
    <col min="4584" max="4584" width="3.26953125" style="1356" customWidth="1"/>
    <col min="4585" max="4585" width="36" style="1356" customWidth="1"/>
    <col min="4586" max="4586" width="8.26953125" style="1356" customWidth="1"/>
    <col min="4587" max="4587" width="12.7265625" style="1356" customWidth="1"/>
    <col min="4588" max="4588" width="5.7265625" style="1356" customWidth="1"/>
    <col min="4589" max="4589" width="7.453125" style="1356" customWidth="1"/>
    <col min="4590" max="4590" width="7.26953125" style="1356" customWidth="1"/>
    <col min="4591" max="4591" width="6.7265625" style="1356" customWidth="1"/>
    <col min="4592" max="4592" width="6" style="1356" customWidth="1"/>
    <col min="4593" max="4593" width="6.54296875" style="1356" customWidth="1"/>
    <col min="4594" max="4594" width="5" style="1356" customWidth="1"/>
    <col min="4595" max="4595" width="6" style="1356" customWidth="1"/>
    <col min="4596" max="4596" width="6.54296875" style="1356" customWidth="1"/>
    <col min="4597" max="4597" width="5" style="1356" customWidth="1"/>
    <col min="4598" max="4598" width="6.7265625" style="1356" customWidth="1"/>
    <col min="4599" max="4839" width="9.1796875" style="1356"/>
    <col min="4840" max="4840" width="3.26953125" style="1356" customWidth="1"/>
    <col min="4841" max="4841" width="36" style="1356" customWidth="1"/>
    <col min="4842" max="4842" width="8.26953125" style="1356" customWidth="1"/>
    <col min="4843" max="4843" width="12.7265625" style="1356" customWidth="1"/>
    <col min="4844" max="4844" width="5.7265625" style="1356" customWidth="1"/>
    <col min="4845" max="4845" width="7.453125" style="1356" customWidth="1"/>
    <col min="4846" max="4846" width="7.26953125" style="1356" customWidth="1"/>
    <col min="4847" max="4847" width="6.7265625" style="1356" customWidth="1"/>
    <col min="4848" max="4848" width="6" style="1356" customWidth="1"/>
    <col min="4849" max="4849" width="6.54296875" style="1356" customWidth="1"/>
    <col min="4850" max="4850" width="5" style="1356" customWidth="1"/>
    <col min="4851" max="4851" width="6" style="1356" customWidth="1"/>
    <col min="4852" max="4852" width="6.54296875" style="1356" customWidth="1"/>
    <col min="4853" max="4853" width="5" style="1356" customWidth="1"/>
    <col min="4854" max="4854" width="6.7265625" style="1356" customWidth="1"/>
    <col min="4855" max="5095" width="9.1796875" style="1356"/>
    <col min="5096" max="5096" width="3.26953125" style="1356" customWidth="1"/>
    <col min="5097" max="5097" width="36" style="1356" customWidth="1"/>
    <col min="5098" max="5098" width="8.26953125" style="1356" customWidth="1"/>
    <col min="5099" max="5099" width="12.7265625" style="1356" customWidth="1"/>
    <col min="5100" max="5100" width="5.7265625" style="1356" customWidth="1"/>
    <col min="5101" max="5101" width="7.453125" style="1356" customWidth="1"/>
    <col min="5102" max="5102" width="7.26953125" style="1356" customWidth="1"/>
    <col min="5103" max="5103" width="6.7265625" style="1356" customWidth="1"/>
    <col min="5104" max="5104" width="6" style="1356" customWidth="1"/>
    <col min="5105" max="5105" width="6.54296875" style="1356" customWidth="1"/>
    <col min="5106" max="5106" width="5" style="1356" customWidth="1"/>
    <col min="5107" max="5107" width="6" style="1356" customWidth="1"/>
    <col min="5108" max="5108" width="6.54296875" style="1356" customWidth="1"/>
    <col min="5109" max="5109" width="5" style="1356" customWidth="1"/>
    <col min="5110" max="5110" width="6.7265625" style="1356" customWidth="1"/>
    <col min="5111" max="5351" width="9.1796875" style="1356"/>
    <col min="5352" max="5352" width="3.26953125" style="1356" customWidth="1"/>
    <col min="5353" max="5353" width="36" style="1356" customWidth="1"/>
    <col min="5354" max="5354" width="8.26953125" style="1356" customWidth="1"/>
    <col min="5355" max="5355" width="12.7265625" style="1356" customWidth="1"/>
    <col min="5356" max="5356" width="5.7265625" style="1356" customWidth="1"/>
    <col min="5357" max="5357" width="7.453125" style="1356" customWidth="1"/>
    <col min="5358" max="5358" width="7.26953125" style="1356" customWidth="1"/>
    <col min="5359" max="5359" width="6.7265625" style="1356" customWidth="1"/>
    <col min="5360" max="5360" width="6" style="1356" customWidth="1"/>
    <col min="5361" max="5361" width="6.54296875" style="1356" customWidth="1"/>
    <col min="5362" max="5362" width="5" style="1356" customWidth="1"/>
    <col min="5363" max="5363" width="6" style="1356" customWidth="1"/>
    <col min="5364" max="5364" width="6.54296875" style="1356" customWidth="1"/>
    <col min="5365" max="5365" width="5" style="1356" customWidth="1"/>
    <col min="5366" max="5366" width="6.7265625" style="1356" customWidth="1"/>
    <col min="5367" max="5607" width="9.1796875" style="1356"/>
    <col min="5608" max="5608" width="3.26953125" style="1356" customWidth="1"/>
    <col min="5609" max="5609" width="36" style="1356" customWidth="1"/>
    <col min="5610" max="5610" width="8.26953125" style="1356" customWidth="1"/>
    <col min="5611" max="5611" width="12.7265625" style="1356" customWidth="1"/>
    <col min="5612" max="5612" width="5.7265625" style="1356" customWidth="1"/>
    <col min="5613" max="5613" width="7.453125" style="1356" customWidth="1"/>
    <col min="5614" max="5614" width="7.26953125" style="1356" customWidth="1"/>
    <col min="5615" max="5615" width="6.7265625" style="1356" customWidth="1"/>
    <col min="5616" max="5616" width="6" style="1356" customWidth="1"/>
    <col min="5617" max="5617" width="6.54296875" style="1356" customWidth="1"/>
    <col min="5618" max="5618" width="5" style="1356" customWidth="1"/>
    <col min="5619" max="5619" width="6" style="1356" customWidth="1"/>
    <col min="5620" max="5620" width="6.54296875" style="1356" customWidth="1"/>
    <col min="5621" max="5621" width="5" style="1356" customWidth="1"/>
    <col min="5622" max="5622" width="6.7265625" style="1356" customWidth="1"/>
    <col min="5623" max="5863" width="9.1796875" style="1356"/>
    <col min="5864" max="5864" width="3.26953125" style="1356" customWidth="1"/>
    <col min="5865" max="5865" width="36" style="1356" customWidth="1"/>
    <col min="5866" max="5866" width="8.26953125" style="1356" customWidth="1"/>
    <col min="5867" max="5867" width="12.7265625" style="1356" customWidth="1"/>
    <col min="5868" max="5868" width="5.7265625" style="1356" customWidth="1"/>
    <col min="5869" max="5869" width="7.453125" style="1356" customWidth="1"/>
    <col min="5870" max="5870" width="7.26953125" style="1356" customWidth="1"/>
    <col min="5871" max="5871" width="6.7265625" style="1356" customWidth="1"/>
    <col min="5872" max="5872" width="6" style="1356" customWidth="1"/>
    <col min="5873" max="5873" width="6.54296875" style="1356" customWidth="1"/>
    <col min="5874" max="5874" width="5" style="1356" customWidth="1"/>
    <col min="5875" max="5875" width="6" style="1356" customWidth="1"/>
    <col min="5876" max="5876" width="6.54296875" style="1356" customWidth="1"/>
    <col min="5877" max="5877" width="5" style="1356" customWidth="1"/>
    <col min="5878" max="5878" width="6.7265625" style="1356" customWidth="1"/>
    <col min="5879" max="6119" width="9.1796875" style="1356"/>
    <col min="6120" max="6120" width="3.26953125" style="1356" customWidth="1"/>
    <col min="6121" max="6121" width="36" style="1356" customWidth="1"/>
    <col min="6122" max="6122" width="8.26953125" style="1356" customWidth="1"/>
    <col min="6123" max="6123" width="12.7265625" style="1356" customWidth="1"/>
    <col min="6124" max="6124" width="5.7265625" style="1356" customWidth="1"/>
    <col min="6125" max="6125" width="7.453125" style="1356" customWidth="1"/>
    <col min="6126" max="6126" width="7.26953125" style="1356" customWidth="1"/>
    <col min="6127" max="6127" width="6.7265625" style="1356" customWidth="1"/>
    <col min="6128" max="6128" width="6" style="1356" customWidth="1"/>
    <col min="6129" max="6129" width="6.54296875" style="1356" customWidth="1"/>
    <col min="6130" max="6130" width="5" style="1356" customWidth="1"/>
    <col min="6131" max="6131" width="6" style="1356" customWidth="1"/>
    <col min="6132" max="6132" width="6.54296875" style="1356" customWidth="1"/>
    <col min="6133" max="6133" width="5" style="1356" customWidth="1"/>
    <col min="6134" max="6134" width="6.7265625" style="1356" customWidth="1"/>
    <col min="6135" max="6375" width="9.1796875" style="1356"/>
    <col min="6376" max="6376" width="3.26953125" style="1356" customWidth="1"/>
    <col min="6377" max="6377" width="36" style="1356" customWidth="1"/>
    <col min="6378" max="6378" width="8.26953125" style="1356" customWidth="1"/>
    <col min="6379" max="6379" width="12.7265625" style="1356" customWidth="1"/>
    <col min="6380" max="6380" width="5.7265625" style="1356" customWidth="1"/>
    <col min="6381" max="6381" width="7.453125" style="1356" customWidth="1"/>
    <col min="6382" max="6382" width="7.26953125" style="1356" customWidth="1"/>
    <col min="6383" max="6383" width="6.7265625" style="1356" customWidth="1"/>
    <col min="6384" max="6384" width="6" style="1356" customWidth="1"/>
    <col min="6385" max="6385" width="6.54296875" style="1356" customWidth="1"/>
    <col min="6386" max="6386" width="5" style="1356" customWidth="1"/>
    <col min="6387" max="6387" width="6" style="1356" customWidth="1"/>
    <col min="6388" max="6388" width="6.54296875" style="1356" customWidth="1"/>
    <col min="6389" max="6389" width="5" style="1356" customWidth="1"/>
    <col min="6390" max="6390" width="6.7265625" style="1356" customWidth="1"/>
    <col min="6391" max="6631" width="9.1796875" style="1356"/>
    <col min="6632" max="6632" width="3.26953125" style="1356" customWidth="1"/>
    <col min="6633" max="6633" width="36" style="1356" customWidth="1"/>
    <col min="6634" max="6634" width="8.26953125" style="1356" customWidth="1"/>
    <col min="6635" max="6635" width="12.7265625" style="1356" customWidth="1"/>
    <col min="6636" max="6636" width="5.7265625" style="1356" customWidth="1"/>
    <col min="6637" max="6637" width="7.453125" style="1356" customWidth="1"/>
    <col min="6638" max="6638" width="7.26953125" style="1356" customWidth="1"/>
    <col min="6639" max="6639" width="6.7265625" style="1356" customWidth="1"/>
    <col min="6640" max="6640" width="6" style="1356" customWidth="1"/>
    <col min="6641" max="6641" width="6.54296875" style="1356" customWidth="1"/>
    <col min="6642" max="6642" width="5" style="1356" customWidth="1"/>
    <col min="6643" max="6643" width="6" style="1356" customWidth="1"/>
    <col min="6644" max="6644" width="6.54296875" style="1356" customWidth="1"/>
    <col min="6645" max="6645" width="5" style="1356" customWidth="1"/>
    <col min="6646" max="6646" width="6.7265625" style="1356" customWidth="1"/>
    <col min="6647" max="6887" width="9.1796875" style="1356"/>
    <col min="6888" max="6888" width="3.26953125" style="1356" customWidth="1"/>
    <col min="6889" max="6889" width="36" style="1356" customWidth="1"/>
    <col min="6890" max="6890" width="8.26953125" style="1356" customWidth="1"/>
    <col min="6891" max="6891" width="12.7265625" style="1356" customWidth="1"/>
    <col min="6892" max="6892" width="5.7265625" style="1356" customWidth="1"/>
    <col min="6893" max="6893" width="7.453125" style="1356" customWidth="1"/>
    <col min="6894" max="6894" width="7.26953125" style="1356" customWidth="1"/>
    <col min="6895" max="6895" width="6.7265625" style="1356" customWidth="1"/>
    <col min="6896" max="6896" width="6" style="1356" customWidth="1"/>
    <col min="6897" max="6897" width="6.54296875" style="1356" customWidth="1"/>
    <col min="6898" max="6898" width="5" style="1356" customWidth="1"/>
    <col min="6899" max="6899" width="6" style="1356" customWidth="1"/>
    <col min="6900" max="6900" width="6.54296875" style="1356" customWidth="1"/>
    <col min="6901" max="6901" width="5" style="1356" customWidth="1"/>
    <col min="6902" max="6902" width="6.7265625" style="1356" customWidth="1"/>
    <col min="6903" max="7143" width="9.1796875" style="1356"/>
    <col min="7144" max="7144" width="3.26953125" style="1356" customWidth="1"/>
    <col min="7145" max="7145" width="36" style="1356" customWidth="1"/>
    <col min="7146" max="7146" width="8.26953125" style="1356" customWidth="1"/>
    <col min="7147" max="7147" width="12.7265625" style="1356" customWidth="1"/>
    <col min="7148" max="7148" width="5.7265625" style="1356" customWidth="1"/>
    <col min="7149" max="7149" width="7.453125" style="1356" customWidth="1"/>
    <col min="7150" max="7150" width="7.26953125" style="1356" customWidth="1"/>
    <col min="7151" max="7151" width="6.7265625" style="1356" customWidth="1"/>
    <col min="7152" max="7152" width="6" style="1356" customWidth="1"/>
    <col min="7153" max="7153" width="6.54296875" style="1356" customWidth="1"/>
    <col min="7154" max="7154" width="5" style="1356" customWidth="1"/>
    <col min="7155" max="7155" width="6" style="1356" customWidth="1"/>
    <col min="7156" max="7156" width="6.54296875" style="1356" customWidth="1"/>
    <col min="7157" max="7157" width="5" style="1356" customWidth="1"/>
    <col min="7158" max="7158" width="6.7265625" style="1356" customWidth="1"/>
    <col min="7159" max="7399" width="9.1796875" style="1356"/>
    <col min="7400" max="7400" width="3.26953125" style="1356" customWidth="1"/>
    <col min="7401" max="7401" width="36" style="1356" customWidth="1"/>
    <col min="7402" max="7402" width="8.26953125" style="1356" customWidth="1"/>
    <col min="7403" max="7403" width="12.7265625" style="1356" customWidth="1"/>
    <col min="7404" max="7404" width="5.7265625" style="1356" customWidth="1"/>
    <col min="7405" max="7405" width="7.453125" style="1356" customWidth="1"/>
    <col min="7406" max="7406" width="7.26953125" style="1356" customWidth="1"/>
    <col min="7407" max="7407" width="6.7265625" style="1356" customWidth="1"/>
    <col min="7408" max="7408" width="6" style="1356" customWidth="1"/>
    <col min="7409" max="7409" width="6.54296875" style="1356" customWidth="1"/>
    <col min="7410" max="7410" width="5" style="1356" customWidth="1"/>
    <col min="7411" max="7411" width="6" style="1356" customWidth="1"/>
    <col min="7412" max="7412" width="6.54296875" style="1356" customWidth="1"/>
    <col min="7413" max="7413" width="5" style="1356" customWidth="1"/>
    <col min="7414" max="7414" width="6.7265625" style="1356" customWidth="1"/>
    <col min="7415" max="7655" width="9.1796875" style="1356"/>
    <col min="7656" max="7656" width="3.26953125" style="1356" customWidth="1"/>
    <col min="7657" max="7657" width="36" style="1356" customWidth="1"/>
    <col min="7658" max="7658" width="8.26953125" style="1356" customWidth="1"/>
    <col min="7659" max="7659" width="12.7265625" style="1356" customWidth="1"/>
    <col min="7660" max="7660" width="5.7265625" style="1356" customWidth="1"/>
    <col min="7661" max="7661" width="7.453125" style="1356" customWidth="1"/>
    <col min="7662" max="7662" width="7.26953125" style="1356" customWidth="1"/>
    <col min="7663" max="7663" width="6.7265625" style="1356" customWidth="1"/>
    <col min="7664" max="7664" width="6" style="1356" customWidth="1"/>
    <col min="7665" max="7665" width="6.54296875" style="1356" customWidth="1"/>
    <col min="7666" max="7666" width="5" style="1356" customWidth="1"/>
    <col min="7667" max="7667" width="6" style="1356" customWidth="1"/>
    <col min="7668" max="7668" width="6.54296875" style="1356" customWidth="1"/>
    <col min="7669" max="7669" width="5" style="1356" customWidth="1"/>
    <col min="7670" max="7670" width="6.7265625" style="1356" customWidth="1"/>
    <col min="7671" max="7911" width="9.1796875" style="1356"/>
    <col min="7912" max="7912" width="3.26953125" style="1356" customWidth="1"/>
    <col min="7913" max="7913" width="36" style="1356" customWidth="1"/>
    <col min="7914" max="7914" width="8.26953125" style="1356" customWidth="1"/>
    <col min="7915" max="7915" width="12.7265625" style="1356" customWidth="1"/>
    <col min="7916" max="7916" width="5.7265625" style="1356" customWidth="1"/>
    <col min="7917" max="7917" width="7.453125" style="1356" customWidth="1"/>
    <col min="7918" max="7918" width="7.26953125" style="1356" customWidth="1"/>
    <col min="7919" max="7919" width="6.7265625" style="1356" customWidth="1"/>
    <col min="7920" max="7920" width="6" style="1356" customWidth="1"/>
    <col min="7921" max="7921" width="6.54296875" style="1356" customWidth="1"/>
    <col min="7922" max="7922" width="5" style="1356" customWidth="1"/>
    <col min="7923" max="7923" width="6" style="1356" customWidth="1"/>
    <col min="7924" max="7924" width="6.54296875" style="1356" customWidth="1"/>
    <col min="7925" max="7925" width="5" style="1356" customWidth="1"/>
    <col min="7926" max="7926" width="6.7265625" style="1356" customWidth="1"/>
    <col min="7927" max="8167" width="9.1796875" style="1356"/>
    <col min="8168" max="8168" width="3.26953125" style="1356" customWidth="1"/>
    <col min="8169" max="8169" width="36" style="1356" customWidth="1"/>
    <col min="8170" max="8170" width="8.26953125" style="1356" customWidth="1"/>
    <col min="8171" max="8171" width="12.7265625" style="1356" customWidth="1"/>
    <col min="8172" max="8172" width="5.7265625" style="1356" customWidth="1"/>
    <col min="8173" max="8173" width="7.453125" style="1356" customWidth="1"/>
    <col min="8174" max="8174" width="7.26953125" style="1356" customWidth="1"/>
    <col min="8175" max="8175" width="6.7265625" style="1356" customWidth="1"/>
    <col min="8176" max="8176" width="6" style="1356" customWidth="1"/>
    <col min="8177" max="8177" width="6.54296875" style="1356" customWidth="1"/>
    <col min="8178" max="8178" width="5" style="1356" customWidth="1"/>
    <col min="8179" max="8179" width="6" style="1356" customWidth="1"/>
    <col min="8180" max="8180" width="6.54296875" style="1356" customWidth="1"/>
    <col min="8181" max="8181" width="5" style="1356" customWidth="1"/>
    <col min="8182" max="8182" width="6.7265625" style="1356" customWidth="1"/>
    <col min="8183" max="8423" width="9.1796875" style="1356"/>
    <col min="8424" max="8424" width="3.26953125" style="1356" customWidth="1"/>
    <col min="8425" max="8425" width="36" style="1356" customWidth="1"/>
    <col min="8426" max="8426" width="8.26953125" style="1356" customWidth="1"/>
    <col min="8427" max="8427" width="12.7265625" style="1356" customWidth="1"/>
    <col min="8428" max="8428" width="5.7265625" style="1356" customWidth="1"/>
    <col min="8429" max="8429" width="7.453125" style="1356" customWidth="1"/>
    <col min="8430" max="8430" width="7.26953125" style="1356" customWidth="1"/>
    <col min="8431" max="8431" width="6.7265625" style="1356" customWidth="1"/>
    <col min="8432" max="8432" width="6" style="1356" customWidth="1"/>
    <col min="8433" max="8433" width="6.54296875" style="1356" customWidth="1"/>
    <col min="8434" max="8434" width="5" style="1356" customWidth="1"/>
    <col min="8435" max="8435" width="6" style="1356" customWidth="1"/>
    <col min="8436" max="8436" width="6.54296875" style="1356" customWidth="1"/>
    <col min="8437" max="8437" width="5" style="1356" customWidth="1"/>
    <col min="8438" max="8438" width="6.7265625" style="1356" customWidth="1"/>
    <col min="8439" max="8679" width="9.1796875" style="1356"/>
    <col min="8680" max="8680" width="3.26953125" style="1356" customWidth="1"/>
    <col min="8681" max="8681" width="36" style="1356" customWidth="1"/>
    <col min="8682" max="8682" width="8.26953125" style="1356" customWidth="1"/>
    <col min="8683" max="8683" width="12.7265625" style="1356" customWidth="1"/>
    <col min="8684" max="8684" width="5.7265625" style="1356" customWidth="1"/>
    <col min="8685" max="8685" width="7.453125" style="1356" customWidth="1"/>
    <col min="8686" max="8686" width="7.26953125" style="1356" customWidth="1"/>
    <col min="8687" max="8687" width="6.7265625" style="1356" customWidth="1"/>
    <col min="8688" max="8688" width="6" style="1356" customWidth="1"/>
    <col min="8689" max="8689" width="6.54296875" style="1356" customWidth="1"/>
    <col min="8690" max="8690" width="5" style="1356" customWidth="1"/>
    <col min="8691" max="8691" width="6" style="1356" customWidth="1"/>
    <col min="8692" max="8692" width="6.54296875" style="1356" customWidth="1"/>
    <col min="8693" max="8693" width="5" style="1356" customWidth="1"/>
    <col min="8694" max="8694" width="6.7265625" style="1356" customWidth="1"/>
    <col min="8695" max="8935" width="9.1796875" style="1356"/>
    <col min="8936" max="8936" width="3.26953125" style="1356" customWidth="1"/>
    <col min="8937" max="8937" width="36" style="1356" customWidth="1"/>
    <col min="8938" max="8938" width="8.26953125" style="1356" customWidth="1"/>
    <col min="8939" max="8939" width="12.7265625" style="1356" customWidth="1"/>
    <col min="8940" max="8940" width="5.7265625" style="1356" customWidth="1"/>
    <col min="8941" max="8941" width="7.453125" style="1356" customWidth="1"/>
    <col min="8942" max="8942" width="7.26953125" style="1356" customWidth="1"/>
    <col min="8943" max="8943" width="6.7265625" style="1356" customWidth="1"/>
    <col min="8944" max="8944" width="6" style="1356" customWidth="1"/>
    <col min="8945" max="8945" width="6.54296875" style="1356" customWidth="1"/>
    <col min="8946" max="8946" width="5" style="1356" customWidth="1"/>
    <col min="8947" max="8947" width="6" style="1356" customWidth="1"/>
    <col min="8948" max="8948" width="6.54296875" style="1356" customWidth="1"/>
    <col min="8949" max="8949" width="5" style="1356" customWidth="1"/>
    <col min="8950" max="8950" width="6.7265625" style="1356" customWidth="1"/>
    <col min="8951" max="9191" width="9.1796875" style="1356"/>
    <col min="9192" max="9192" width="3.26953125" style="1356" customWidth="1"/>
    <col min="9193" max="9193" width="36" style="1356" customWidth="1"/>
    <col min="9194" max="9194" width="8.26953125" style="1356" customWidth="1"/>
    <col min="9195" max="9195" width="12.7265625" style="1356" customWidth="1"/>
    <col min="9196" max="9196" width="5.7265625" style="1356" customWidth="1"/>
    <col min="9197" max="9197" width="7.453125" style="1356" customWidth="1"/>
    <col min="9198" max="9198" width="7.26953125" style="1356" customWidth="1"/>
    <col min="9199" max="9199" width="6.7265625" style="1356" customWidth="1"/>
    <col min="9200" max="9200" width="6" style="1356" customWidth="1"/>
    <col min="9201" max="9201" width="6.54296875" style="1356" customWidth="1"/>
    <col min="9202" max="9202" width="5" style="1356" customWidth="1"/>
    <col min="9203" max="9203" width="6" style="1356" customWidth="1"/>
    <col min="9204" max="9204" width="6.54296875" style="1356" customWidth="1"/>
    <col min="9205" max="9205" width="5" style="1356" customWidth="1"/>
    <col min="9206" max="9206" width="6.7265625" style="1356" customWidth="1"/>
    <col min="9207" max="9447" width="9.1796875" style="1356"/>
    <col min="9448" max="9448" width="3.26953125" style="1356" customWidth="1"/>
    <col min="9449" max="9449" width="36" style="1356" customWidth="1"/>
    <col min="9450" max="9450" width="8.26953125" style="1356" customWidth="1"/>
    <col min="9451" max="9451" width="12.7265625" style="1356" customWidth="1"/>
    <col min="9452" max="9452" width="5.7265625" style="1356" customWidth="1"/>
    <col min="9453" max="9453" width="7.453125" style="1356" customWidth="1"/>
    <col min="9454" max="9454" width="7.26953125" style="1356" customWidth="1"/>
    <col min="9455" max="9455" width="6.7265625" style="1356" customWidth="1"/>
    <col min="9456" max="9456" width="6" style="1356" customWidth="1"/>
    <col min="9457" max="9457" width="6.54296875" style="1356" customWidth="1"/>
    <col min="9458" max="9458" width="5" style="1356" customWidth="1"/>
    <col min="9459" max="9459" width="6" style="1356" customWidth="1"/>
    <col min="9460" max="9460" width="6.54296875" style="1356" customWidth="1"/>
    <col min="9461" max="9461" width="5" style="1356" customWidth="1"/>
    <col min="9462" max="9462" width="6.7265625" style="1356" customWidth="1"/>
    <col min="9463" max="9703" width="9.1796875" style="1356"/>
    <col min="9704" max="9704" width="3.26953125" style="1356" customWidth="1"/>
    <col min="9705" max="9705" width="36" style="1356" customWidth="1"/>
    <col min="9706" max="9706" width="8.26953125" style="1356" customWidth="1"/>
    <col min="9707" max="9707" width="12.7265625" style="1356" customWidth="1"/>
    <col min="9708" max="9708" width="5.7265625" style="1356" customWidth="1"/>
    <col min="9709" max="9709" width="7.453125" style="1356" customWidth="1"/>
    <col min="9710" max="9710" width="7.26953125" style="1356" customWidth="1"/>
    <col min="9711" max="9711" width="6.7265625" style="1356" customWidth="1"/>
    <col min="9712" max="9712" width="6" style="1356" customWidth="1"/>
    <col min="9713" max="9713" width="6.54296875" style="1356" customWidth="1"/>
    <col min="9714" max="9714" width="5" style="1356" customWidth="1"/>
    <col min="9715" max="9715" width="6" style="1356" customWidth="1"/>
    <col min="9716" max="9716" width="6.54296875" style="1356" customWidth="1"/>
    <col min="9717" max="9717" width="5" style="1356" customWidth="1"/>
    <col min="9718" max="9718" width="6.7265625" style="1356" customWidth="1"/>
    <col min="9719" max="9959" width="9.1796875" style="1356"/>
    <col min="9960" max="9960" width="3.26953125" style="1356" customWidth="1"/>
    <col min="9961" max="9961" width="36" style="1356" customWidth="1"/>
    <col min="9962" max="9962" width="8.26953125" style="1356" customWidth="1"/>
    <col min="9963" max="9963" width="12.7265625" style="1356" customWidth="1"/>
    <col min="9964" max="9964" width="5.7265625" style="1356" customWidth="1"/>
    <col min="9965" max="9965" width="7.453125" style="1356" customWidth="1"/>
    <col min="9966" max="9966" width="7.26953125" style="1356" customWidth="1"/>
    <col min="9967" max="9967" width="6.7265625" style="1356" customWidth="1"/>
    <col min="9968" max="9968" width="6" style="1356" customWidth="1"/>
    <col min="9969" max="9969" width="6.54296875" style="1356" customWidth="1"/>
    <col min="9970" max="9970" width="5" style="1356" customWidth="1"/>
    <col min="9971" max="9971" width="6" style="1356" customWidth="1"/>
    <col min="9972" max="9972" width="6.54296875" style="1356" customWidth="1"/>
    <col min="9973" max="9973" width="5" style="1356" customWidth="1"/>
    <col min="9974" max="9974" width="6.7265625" style="1356" customWidth="1"/>
    <col min="9975" max="10215" width="9.1796875" style="1356"/>
    <col min="10216" max="10216" width="3.26953125" style="1356" customWidth="1"/>
    <col min="10217" max="10217" width="36" style="1356" customWidth="1"/>
    <col min="10218" max="10218" width="8.26953125" style="1356" customWidth="1"/>
    <col min="10219" max="10219" width="12.7265625" style="1356" customWidth="1"/>
    <col min="10220" max="10220" width="5.7265625" style="1356" customWidth="1"/>
    <col min="10221" max="10221" width="7.453125" style="1356" customWidth="1"/>
    <col min="10222" max="10222" width="7.26953125" style="1356" customWidth="1"/>
    <col min="10223" max="10223" width="6.7265625" style="1356" customWidth="1"/>
    <col min="10224" max="10224" width="6" style="1356" customWidth="1"/>
    <col min="10225" max="10225" width="6.54296875" style="1356" customWidth="1"/>
    <col min="10226" max="10226" width="5" style="1356" customWidth="1"/>
    <col min="10227" max="10227" width="6" style="1356" customWidth="1"/>
    <col min="10228" max="10228" width="6.54296875" style="1356" customWidth="1"/>
    <col min="10229" max="10229" width="5" style="1356" customWidth="1"/>
    <col min="10230" max="10230" width="6.7265625" style="1356" customWidth="1"/>
    <col min="10231" max="10471" width="9.1796875" style="1356"/>
    <col min="10472" max="10472" width="3.26953125" style="1356" customWidth="1"/>
    <col min="10473" max="10473" width="36" style="1356" customWidth="1"/>
    <col min="10474" max="10474" width="8.26953125" style="1356" customWidth="1"/>
    <col min="10475" max="10475" width="12.7265625" style="1356" customWidth="1"/>
    <col min="10476" max="10476" width="5.7265625" style="1356" customWidth="1"/>
    <col min="10477" max="10477" width="7.453125" style="1356" customWidth="1"/>
    <col min="10478" max="10478" width="7.26953125" style="1356" customWidth="1"/>
    <col min="10479" max="10479" width="6.7265625" style="1356" customWidth="1"/>
    <col min="10480" max="10480" width="6" style="1356" customWidth="1"/>
    <col min="10481" max="10481" width="6.54296875" style="1356" customWidth="1"/>
    <col min="10482" max="10482" width="5" style="1356" customWidth="1"/>
    <col min="10483" max="10483" width="6" style="1356" customWidth="1"/>
    <col min="10484" max="10484" width="6.54296875" style="1356" customWidth="1"/>
    <col min="10485" max="10485" width="5" style="1356" customWidth="1"/>
    <col min="10486" max="10486" width="6.7265625" style="1356" customWidth="1"/>
    <col min="10487" max="10727" width="9.1796875" style="1356"/>
    <col min="10728" max="10728" width="3.26953125" style="1356" customWidth="1"/>
    <col min="10729" max="10729" width="36" style="1356" customWidth="1"/>
    <col min="10730" max="10730" width="8.26953125" style="1356" customWidth="1"/>
    <col min="10731" max="10731" width="12.7265625" style="1356" customWidth="1"/>
    <col min="10732" max="10732" width="5.7265625" style="1356" customWidth="1"/>
    <col min="10733" max="10733" width="7.453125" style="1356" customWidth="1"/>
    <col min="10734" max="10734" width="7.26953125" style="1356" customWidth="1"/>
    <col min="10735" max="10735" width="6.7265625" style="1356" customWidth="1"/>
    <col min="10736" max="10736" width="6" style="1356" customWidth="1"/>
    <col min="10737" max="10737" width="6.54296875" style="1356" customWidth="1"/>
    <col min="10738" max="10738" width="5" style="1356" customWidth="1"/>
    <col min="10739" max="10739" width="6" style="1356" customWidth="1"/>
    <col min="10740" max="10740" width="6.54296875" style="1356" customWidth="1"/>
    <col min="10741" max="10741" width="5" style="1356" customWidth="1"/>
    <col min="10742" max="10742" width="6.7265625" style="1356" customWidth="1"/>
    <col min="10743" max="10983" width="9.1796875" style="1356"/>
    <col min="10984" max="10984" width="3.26953125" style="1356" customWidth="1"/>
    <col min="10985" max="10985" width="36" style="1356" customWidth="1"/>
    <col min="10986" max="10986" width="8.26953125" style="1356" customWidth="1"/>
    <col min="10987" max="10987" width="12.7265625" style="1356" customWidth="1"/>
    <col min="10988" max="10988" width="5.7265625" style="1356" customWidth="1"/>
    <col min="10989" max="10989" width="7.453125" style="1356" customWidth="1"/>
    <col min="10990" max="10990" width="7.26953125" style="1356" customWidth="1"/>
    <col min="10991" max="10991" width="6.7265625" style="1356" customWidth="1"/>
    <col min="10992" max="10992" width="6" style="1356" customWidth="1"/>
    <col min="10993" max="10993" width="6.54296875" style="1356" customWidth="1"/>
    <col min="10994" max="10994" width="5" style="1356" customWidth="1"/>
    <col min="10995" max="10995" width="6" style="1356" customWidth="1"/>
    <col min="10996" max="10996" width="6.54296875" style="1356" customWidth="1"/>
    <col min="10997" max="10997" width="5" style="1356" customWidth="1"/>
    <col min="10998" max="10998" width="6.7265625" style="1356" customWidth="1"/>
    <col min="10999" max="11239" width="9.1796875" style="1356"/>
    <col min="11240" max="11240" width="3.26953125" style="1356" customWidth="1"/>
    <col min="11241" max="11241" width="36" style="1356" customWidth="1"/>
    <col min="11242" max="11242" width="8.26953125" style="1356" customWidth="1"/>
    <col min="11243" max="11243" width="12.7265625" style="1356" customWidth="1"/>
    <col min="11244" max="11244" width="5.7265625" style="1356" customWidth="1"/>
    <col min="11245" max="11245" width="7.453125" style="1356" customWidth="1"/>
    <col min="11246" max="11246" width="7.26953125" style="1356" customWidth="1"/>
    <col min="11247" max="11247" width="6.7265625" style="1356" customWidth="1"/>
    <col min="11248" max="11248" width="6" style="1356" customWidth="1"/>
    <col min="11249" max="11249" width="6.54296875" style="1356" customWidth="1"/>
    <col min="11250" max="11250" width="5" style="1356" customWidth="1"/>
    <col min="11251" max="11251" width="6" style="1356" customWidth="1"/>
    <col min="11252" max="11252" width="6.54296875" style="1356" customWidth="1"/>
    <col min="11253" max="11253" width="5" style="1356" customWidth="1"/>
    <col min="11254" max="11254" width="6.7265625" style="1356" customWidth="1"/>
    <col min="11255" max="11495" width="9.1796875" style="1356"/>
    <col min="11496" max="11496" width="3.26953125" style="1356" customWidth="1"/>
    <col min="11497" max="11497" width="36" style="1356" customWidth="1"/>
    <col min="11498" max="11498" width="8.26953125" style="1356" customWidth="1"/>
    <col min="11499" max="11499" width="12.7265625" style="1356" customWidth="1"/>
    <col min="11500" max="11500" width="5.7265625" style="1356" customWidth="1"/>
    <col min="11501" max="11501" width="7.453125" style="1356" customWidth="1"/>
    <col min="11502" max="11502" width="7.26953125" style="1356" customWidth="1"/>
    <col min="11503" max="11503" width="6.7265625" style="1356" customWidth="1"/>
    <col min="11504" max="11504" width="6" style="1356" customWidth="1"/>
    <col min="11505" max="11505" width="6.54296875" style="1356" customWidth="1"/>
    <col min="11506" max="11506" width="5" style="1356" customWidth="1"/>
    <col min="11507" max="11507" width="6" style="1356" customWidth="1"/>
    <col min="11508" max="11508" width="6.54296875" style="1356" customWidth="1"/>
    <col min="11509" max="11509" width="5" style="1356" customWidth="1"/>
    <col min="11510" max="11510" width="6.7265625" style="1356" customWidth="1"/>
    <col min="11511" max="11751" width="9.1796875" style="1356"/>
    <col min="11752" max="11752" width="3.26953125" style="1356" customWidth="1"/>
    <col min="11753" max="11753" width="36" style="1356" customWidth="1"/>
    <col min="11754" max="11754" width="8.26953125" style="1356" customWidth="1"/>
    <col min="11755" max="11755" width="12.7265625" style="1356" customWidth="1"/>
    <col min="11756" max="11756" width="5.7265625" style="1356" customWidth="1"/>
    <col min="11757" max="11757" width="7.453125" style="1356" customWidth="1"/>
    <col min="11758" max="11758" width="7.26953125" style="1356" customWidth="1"/>
    <col min="11759" max="11759" width="6.7265625" style="1356" customWidth="1"/>
    <col min="11760" max="11760" width="6" style="1356" customWidth="1"/>
    <col min="11761" max="11761" width="6.54296875" style="1356" customWidth="1"/>
    <col min="11762" max="11762" width="5" style="1356" customWidth="1"/>
    <col min="11763" max="11763" width="6" style="1356" customWidth="1"/>
    <col min="11764" max="11764" width="6.54296875" style="1356" customWidth="1"/>
    <col min="11765" max="11765" width="5" style="1356" customWidth="1"/>
    <col min="11766" max="11766" width="6.7265625" style="1356" customWidth="1"/>
    <col min="11767" max="12007" width="9.1796875" style="1356"/>
    <col min="12008" max="12008" width="3.26953125" style="1356" customWidth="1"/>
    <col min="12009" max="12009" width="36" style="1356" customWidth="1"/>
    <col min="12010" max="12010" width="8.26953125" style="1356" customWidth="1"/>
    <col min="12011" max="12011" width="12.7265625" style="1356" customWidth="1"/>
    <col min="12012" max="12012" width="5.7265625" style="1356" customWidth="1"/>
    <col min="12013" max="12013" width="7.453125" style="1356" customWidth="1"/>
    <col min="12014" max="12014" width="7.26953125" style="1356" customWidth="1"/>
    <col min="12015" max="12015" width="6.7265625" style="1356" customWidth="1"/>
    <col min="12016" max="12016" width="6" style="1356" customWidth="1"/>
    <col min="12017" max="12017" width="6.54296875" style="1356" customWidth="1"/>
    <col min="12018" max="12018" width="5" style="1356" customWidth="1"/>
    <col min="12019" max="12019" width="6" style="1356" customWidth="1"/>
    <col min="12020" max="12020" width="6.54296875" style="1356" customWidth="1"/>
    <col min="12021" max="12021" width="5" style="1356" customWidth="1"/>
    <col min="12022" max="12022" width="6.7265625" style="1356" customWidth="1"/>
    <col min="12023" max="12263" width="9.1796875" style="1356"/>
    <col min="12264" max="12264" width="3.26953125" style="1356" customWidth="1"/>
    <col min="12265" max="12265" width="36" style="1356" customWidth="1"/>
    <col min="12266" max="12266" width="8.26953125" style="1356" customWidth="1"/>
    <col min="12267" max="12267" width="12.7265625" style="1356" customWidth="1"/>
    <col min="12268" max="12268" width="5.7265625" style="1356" customWidth="1"/>
    <col min="12269" max="12269" width="7.453125" style="1356" customWidth="1"/>
    <col min="12270" max="12270" width="7.26953125" style="1356" customWidth="1"/>
    <col min="12271" max="12271" width="6.7265625" style="1356" customWidth="1"/>
    <col min="12272" max="12272" width="6" style="1356" customWidth="1"/>
    <col min="12273" max="12273" width="6.54296875" style="1356" customWidth="1"/>
    <col min="12274" max="12274" width="5" style="1356" customWidth="1"/>
    <col min="12275" max="12275" width="6" style="1356" customWidth="1"/>
    <col min="12276" max="12276" width="6.54296875" style="1356" customWidth="1"/>
    <col min="12277" max="12277" width="5" style="1356" customWidth="1"/>
    <col min="12278" max="12278" width="6.7265625" style="1356" customWidth="1"/>
    <col min="12279" max="12519" width="9.1796875" style="1356"/>
    <col min="12520" max="12520" width="3.26953125" style="1356" customWidth="1"/>
    <col min="12521" max="12521" width="36" style="1356" customWidth="1"/>
    <col min="12522" max="12522" width="8.26953125" style="1356" customWidth="1"/>
    <col min="12523" max="12523" width="12.7265625" style="1356" customWidth="1"/>
    <col min="12524" max="12524" width="5.7265625" style="1356" customWidth="1"/>
    <col min="12525" max="12525" width="7.453125" style="1356" customWidth="1"/>
    <col min="12526" max="12526" width="7.26953125" style="1356" customWidth="1"/>
    <col min="12527" max="12527" width="6.7265625" style="1356" customWidth="1"/>
    <col min="12528" max="12528" width="6" style="1356" customWidth="1"/>
    <col min="12529" max="12529" width="6.54296875" style="1356" customWidth="1"/>
    <col min="12530" max="12530" width="5" style="1356" customWidth="1"/>
    <col min="12531" max="12531" width="6" style="1356" customWidth="1"/>
    <col min="12532" max="12532" width="6.54296875" style="1356" customWidth="1"/>
    <col min="12533" max="12533" width="5" style="1356" customWidth="1"/>
    <col min="12534" max="12534" width="6.7265625" style="1356" customWidth="1"/>
    <col min="12535" max="12775" width="9.1796875" style="1356"/>
    <col min="12776" max="12776" width="3.26953125" style="1356" customWidth="1"/>
    <col min="12777" max="12777" width="36" style="1356" customWidth="1"/>
    <col min="12778" max="12778" width="8.26953125" style="1356" customWidth="1"/>
    <col min="12779" max="12779" width="12.7265625" style="1356" customWidth="1"/>
    <col min="12780" max="12780" width="5.7265625" style="1356" customWidth="1"/>
    <col min="12781" max="12781" width="7.453125" style="1356" customWidth="1"/>
    <col min="12782" max="12782" width="7.26953125" style="1356" customWidth="1"/>
    <col min="12783" max="12783" width="6.7265625" style="1356" customWidth="1"/>
    <col min="12784" max="12784" width="6" style="1356" customWidth="1"/>
    <col min="12785" max="12785" width="6.54296875" style="1356" customWidth="1"/>
    <col min="12786" max="12786" width="5" style="1356" customWidth="1"/>
    <col min="12787" max="12787" width="6" style="1356" customWidth="1"/>
    <col min="12788" max="12788" width="6.54296875" style="1356" customWidth="1"/>
    <col min="12789" max="12789" width="5" style="1356" customWidth="1"/>
    <col min="12790" max="12790" width="6.7265625" style="1356" customWidth="1"/>
    <col min="12791" max="13031" width="9.1796875" style="1356"/>
    <col min="13032" max="13032" width="3.26953125" style="1356" customWidth="1"/>
    <col min="13033" max="13033" width="36" style="1356" customWidth="1"/>
    <col min="13034" max="13034" width="8.26953125" style="1356" customWidth="1"/>
    <col min="13035" max="13035" width="12.7265625" style="1356" customWidth="1"/>
    <col min="13036" max="13036" width="5.7265625" style="1356" customWidth="1"/>
    <col min="13037" max="13037" width="7.453125" style="1356" customWidth="1"/>
    <col min="13038" max="13038" width="7.26953125" style="1356" customWidth="1"/>
    <col min="13039" max="13039" width="6.7265625" style="1356" customWidth="1"/>
    <col min="13040" max="13040" width="6" style="1356" customWidth="1"/>
    <col min="13041" max="13041" width="6.54296875" style="1356" customWidth="1"/>
    <col min="13042" max="13042" width="5" style="1356" customWidth="1"/>
    <col min="13043" max="13043" width="6" style="1356" customWidth="1"/>
    <col min="13044" max="13044" width="6.54296875" style="1356" customWidth="1"/>
    <col min="13045" max="13045" width="5" style="1356" customWidth="1"/>
    <col min="13046" max="13046" width="6.7265625" style="1356" customWidth="1"/>
    <col min="13047" max="13287" width="9.1796875" style="1356"/>
    <col min="13288" max="13288" width="3.26953125" style="1356" customWidth="1"/>
    <col min="13289" max="13289" width="36" style="1356" customWidth="1"/>
    <col min="13290" max="13290" width="8.26953125" style="1356" customWidth="1"/>
    <col min="13291" max="13291" width="12.7265625" style="1356" customWidth="1"/>
    <col min="13292" max="13292" width="5.7265625" style="1356" customWidth="1"/>
    <col min="13293" max="13293" width="7.453125" style="1356" customWidth="1"/>
    <col min="13294" max="13294" width="7.26953125" style="1356" customWidth="1"/>
    <col min="13295" max="13295" width="6.7265625" style="1356" customWidth="1"/>
    <col min="13296" max="13296" width="6" style="1356" customWidth="1"/>
    <col min="13297" max="13297" width="6.54296875" style="1356" customWidth="1"/>
    <col min="13298" max="13298" width="5" style="1356" customWidth="1"/>
    <col min="13299" max="13299" width="6" style="1356" customWidth="1"/>
    <col min="13300" max="13300" width="6.54296875" style="1356" customWidth="1"/>
    <col min="13301" max="13301" width="5" style="1356" customWidth="1"/>
    <col min="13302" max="13302" width="6.7265625" style="1356" customWidth="1"/>
    <col min="13303" max="13543" width="9.1796875" style="1356"/>
    <col min="13544" max="13544" width="3.26953125" style="1356" customWidth="1"/>
    <col min="13545" max="13545" width="36" style="1356" customWidth="1"/>
    <col min="13546" max="13546" width="8.26953125" style="1356" customWidth="1"/>
    <col min="13547" max="13547" width="12.7265625" style="1356" customWidth="1"/>
    <col min="13548" max="13548" width="5.7265625" style="1356" customWidth="1"/>
    <col min="13549" max="13549" width="7.453125" style="1356" customWidth="1"/>
    <col min="13550" max="13550" width="7.26953125" style="1356" customWidth="1"/>
    <col min="13551" max="13551" width="6.7265625" style="1356" customWidth="1"/>
    <col min="13552" max="13552" width="6" style="1356" customWidth="1"/>
    <col min="13553" max="13553" width="6.54296875" style="1356" customWidth="1"/>
    <col min="13554" max="13554" width="5" style="1356" customWidth="1"/>
    <col min="13555" max="13555" width="6" style="1356" customWidth="1"/>
    <col min="13556" max="13556" width="6.54296875" style="1356" customWidth="1"/>
    <col min="13557" max="13557" width="5" style="1356" customWidth="1"/>
    <col min="13558" max="13558" width="6.7265625" style="1356" customWidth="1"/>
    <col min="13559" max="13799" width="9.1796875" style="1356"/>
    <col min="13800" max="13800" width="3.26953125" style="1356" customWidth="1"/>
    <col min="13801" max="13801" width="36" style="1356" customWidth="1"/>
    <col min="13802" max="13802" width="8.26953125" style="1356" customWidth="1"/>
    <col min="13803" max="13803" width="12.7265625" style="1356" customWidth="1"/>
    <col min="13804" max="13804" width="5.7265625" style="1356" customWidth="1"/>
    <col min="13805" max="13805" width="7.453125" style="1356" customWidth="1"/>
    <col min="13806" max="13806" width="7.26953125" style="1356" customWidth="1"/>
    <col min="13807" max="13807" width="6.7265625" style="1356" customWidth="1"/>
    <col min="13808" max="13808" width="6" style="1356" customWidth="1"/>
    <col min="13809" max="13809" width="6.54296875" style="1356" customWidth="1"/>
    <col min="13810" max="13810" width="5" style="1356" customWidth="1"/>
    <col min="13811" max="13811" width="6" style="1356" customWidth="1"/>
    <col min="13812" max="13812" width="6.54296875" style="1356" customWidth="1"/>
    <col min="13813" max="13813" width="5" style="1356" customWidth="1"/>
    <col min="13814" max="13814" width="6.7265625" style="1356" customWidth="1"/>
    <col min="13815" max="14055" width="9.1796875" style="1356"/>
    <col min="14056" max="14056" width="3.26953125" style="1356" customWidth="1"/>
    <col min="14057" max="14057" width="36" style="1356" customWidth="1"/>
    <col min="14058" max="14058" width="8.26953125" style="1356" customWidth="1"/>
    <col min="14059" max="14059" width="12.7265625" style="1356" customWidth="1"/>
    <col min="14060" max="14060" width="5.7265625" style="1356" customWidth="1"/>
    <col min="14061" max="14061" width="7.453125" style="1356" customWidth="1"/>
    <col min="14062" max="14062" width="7.26953125" style="1356" customWidth="1"/>
    <col min="14063" max="14063" width="6.7265625" style="1356" customWidth="1"/>
    <col min="14064" max="14064" width="6" style="1356" customWidth="1"/>
    <col min="14065" max="14065" width="6.54296875" style="1356" customWidth="1"/>
    <col min="14066" max="14066" width="5" style="1356" customWidth="1"/>
    <col min="14067" max="14067" width="6" style="1356" customWidth="1"/>
    <col min="14068" max="14068" width="6.54296875" style="1356" customWidth="1"/>
    <col min="14069" max="14069" width="5" style="1356" customWidth="1"/>
    <col min="14070" max="14070" width="6.7265625" style="1356" customWidth="1"/>
    <col min="14071" max="14311" width="9.1796875" style="1356"/>
    <col min="14312" max="14312" width="3.26953125" style="1356" customWidth="1"/>
    <col min="14313" max="14313" width="36" style="1356" customWidth="1"/>
    <col min="14314" max="14314" width="8.26953125" style="1356" customWidth="1"/>
    <col min="14315" max="14315" width="12.7265625" style="1356" customWidth="1"/>
    <col min="14316" max="14316" width="5.7265625" style="1356" customWidth="1"/>
    <col min="14317" max="14317" width="7.453125" style="1356" customWidth="1"/>
    <col min="14318" max="14318" width="7.26953125" style="1356" customWidth="1"/>
    <col min="14319" max="14319" width="6.7265625" style="1356" customWidth="1"/>
    <col min="14320" max="14320" width="6" style="1356" customWidth="1"/>
    <col min="14321" max="14321" width="6.54296875" style="1356" customWidth="1"/>
    <col min="14322" max="14322" width="5" style="1356" customWidth="1"/>
    <col min="14323" max="14323" width="6" style="1356" customWidth="1"/>
    <col min="14324" max="14324" width="6.54296875" style="1356" customWidth="1"/>
    <col min="14325" max="14325" width="5" style="1356" customWidth="1"/>
    <col min="14326" max="14326" width="6.7265625" style="1356" customWidth="1"/>
    <col min="14327" max="14567" width="9.1796875" style="1356"/>
    <col min="14568" max="14568" width="3.26953125" style="1356" customWidth="1"/>
    <col min="14569" max="14569" width="36" style="1356" customWidth="1"/>
    <col min="14570" max="14570" width="8.26953125" style="1356" customWidth="1"/>
    <col min="14571" max="14571" width="12.7265625" style="1356" customWidth="1"/>
    <col min="14572" max="14572" width="5.7265625" style="1356" customWidth="1"/>
    <col min="14573" max="14573" width="7.453125" style="1356" customWidth="1"/>
    <col min="14574" max="14574" width="7.26953125" style="1356" customWidth="1"/>
    <col min="14575" max="14575" width="6.7265625" style="1356" customWidth="1"/>
    <col min="14576" max="14576" width="6" style="1356" customWidth="1"/>
    <col min="14577" max="14577" width="6.54296875" style="1356" customWidth="1"/>
    <col min="14578" max="14578" width="5" style="1356" customWidth="1"/>
    <col min="14579" max="14579" width="6" style="1356" customWidth="1"/>
    <col min="14580" max="14580" width="6.54296875" style="1356" customWidth="1"/>
    <col min="14581" max="14581" width="5" style="1356" customWidth="1"/>
    <col min="14582" max="14582" width="6.7265625" style="1356" customWidth="1"/>
    <col min="14583" max="14823" width="9.1796875" style="1356"/>
    <col min="14824" max="14824" width="3.26953125" style="1356" customWidth="1"/>
    <col min="14825" max="14825" width="36" style="1356" customWidth="1"/>
    <col min="14826" max="14826" width="8.26953125" style="1356" customWidth="1"/>
    <col min="14827" max="14827" width="12.7265625" style="1356" customWidth="1"/>
    <col min="14828" max="14828" width="5.7265625" style="1356" customWidth="1"/>
    <col min="14829" max="14829" width="7.453125" style="1356" customWidth="1"/>
    <col min="14830" max="14830" width="7.26953125" style="1356" customWidth="1"/>
    <col min="14831" max="14831" width="6.7265625" style="1356" customWidth="1"/>
    <col min="14832" max="14832" width="6" style="1356" customWidth="1"/>
    <col min="14833" max="14833" width="6.54296875" style="1356" customWidth="1"/>
    <col min="14834" max="14834" width="5" style="1356" customWidth="1"/>
    <col min="14835" max="14835" width="6" style="1356" customWidth="1"/>
    <col min="14836" max="14836" width="6.54296875" style="1356" customWidth="1"/>
    <col min="14837" max="14837" width="5" style="1356" customWidth="1"/>
    <col min="14838" max="14838" width="6.7265625" style="1356" customWidth="1"/>
    <col min="14839" max="15079" width="9.1796875" style="1356"/>
    <col min="15080" max="15080" width="3.26953125" style="1356" customWidth="1"/>
    <col min="15081" max="15081" width="36" style="1356" customWidth="1"/>
    <col min="15082" max="15082" width="8.26953125" style="1356" customWidth="1"/>
    <col min="15083" max="15083" width="12.7265625" style="1356" customWidth="1"/>
    <col min="15084" max="15084" width="5.7265625" style="1356" customWidth="1"/>
    <col min="15085" max="15085" width="7.453125" style="1356" customWidth="1"/>
    <col min="15086" max="15086" width="7.26953125" style="1356" customWidth="1"/>
    <col min="15087" max="15087" width="6.7265625" style="1356" customWidth="1"/>
    <col min="15088" max="15088" width="6" style="1356" customWidth="1"/>
    <col min="15089" max="15089" width="6.54296875" style="1356" customWidth="1"/>
    <col min="15090" max="15090" width="5" style="1356" customWidth="1"/>
    <col min="15091" max="15091" width="6" style="1356" customWidth="1"/>
    <col min="15092" max="15092" width="6.54296875" style="1356" customWidth="1"/>
    <col min="15093" max="15093" width="5" style="1356" customWidth="1"/>
    <col min="15094" max="15094" width="6.7265625" style="1356" customWidth="1"/>
    <col min="15095" max="15335" width="9.1796875" style="1356"/>
    <col min="15336" max="15336" width="3.26953125" style="1356" customWidth="1"/>
    <col min="15337" max="15337" width="36" style="1356" customWidth="1"/>
    <col min="15338" max="15338" width="8.26953125" style="1356" customWidth="1"/>
    <col min="15339" max="15339" width="12.7265625" style="1356" customWidth="1"/>
    <col min="15340" max="15340" width="5.7265625" style="1356" customWidth="1"/>
    <col min="15341" max="15341" width="7.453125" style="1356" customWidth="1"/>
    <col min="15342" max="15342" width="7.26953125" style="1356" customWidth="1"/>
    <col min="15343" max="15343" width="6.7265625" style="1356" customWidth="1"/>
    <col min="15344" max="15344" width="6" style="1356" customWidth="1"/>
    <col min="15345" max="15345" width="6.54296875" style="1356" customWidth="1"/>
    <col min="15346" max="15346" width="5" style="1356" customWidth="1"/>
    <col min="15347" max="15347" width="6" style="1356" customWidth="1"/>
    <col min="15348" max="15348" width="6.54296875" style="1356" customWidth="1"/>
    <col min="15349" max="15349" width="5" style="1356" customWidth="1"/>
    <col min="15350" max="15350" width="6.7265625" style="1356" customWidth="1"/>
    <col min="15351" max="15591" width="9.1796875" style="1356"/>
    <col min="15592" max="15592" width="3.26953125" style="1356" customWidth="1"/>
    <col min="15593" max="15593" width="36" style="1356" customWidth="1"/>
    <col min="15594" max="15594" width="8.26953125" style="1356" customWidth="1"/>
    <col min="15595" max="15595" width="12.7265625" style="1356" customWidth="1"/>
    <col min="15596" max="15596" width="5.7265625" style="1356" customWidth="1"/>
    <col min="15597" max="15597" width="7.453125" style="1356" customWidth="1"/>
    <col min="15598" max="15598" width="7.26953125" style="1356" customWidth="1"/>
    <col min="15599" max="15599" width="6.7265625" style="1356" customWidth="1"/>
    <col min="15600" max="15600" width="6" style="1356" customWidth="1"/>
    <col min="15601" max="15601" width="6.54296875" style="1356" customWidth="1"/>
    <col min="15602" max="15602" width="5" style="1356" customWidth="1"/>
    <col min="15603" max="15603" width="6" style="1356" customWidth="1"/>
    <col min="15604" max="15604" width="6.54296875" style="1356" customWidth="1"/>
    <col min="15605" max="15605" width="5" style="1356" customWidth="1"/>
    <col min="15606" max="15606" width="6.7265625" style="1356" customWidth="1"/>
    <col min="15607" max="15847" width="9.1796875" style="1356"/>
    <col min="15848" max="15848" width="3.26953125" style="1356" customWidth="1"/>
    <col min="15849" max="15849" width="36" style="1356" customWidth="1"/>
    <col min="15850" max="15850" width="8.26953125" style="1356" customWidth="1"/>
    <col min="15851" max="15851" width="12.7265625" style="1356" customWidth="1"/>
    <col min="15852" max="15852" width="5.7265625" style="1356" customWidth="1"/>
    <col min="15853" max="15853" width="7.453125" style="1356" customWidth="1"/>
    <col min="15854" max="15854" width="7.26953125" style="1356" customWidth="1"/>
    <col min="15855" max="15855" width="6.7265625" style="1356" customWidth="1"/>
    <col min="15856" max="15856" width="6" style="1356" customWidth="1"/>
    <col min="15857" max="15857" width="6.54296875" style="1356" customWidth="1"/>
    <col min="15858" max="15858" width="5" style="1356" customWidth="1"/>
    <col min="15859" max="15859" width="6" style="1356" customWidth="1"/>
    <col min="15860" max="15860" width="6.54296875" style="1356" customWidth="1"/>
    <col min="15861" max="15861" width="5" style="1356" customWidth="1"/>
    <col min="15862" max="15862" width="6.7265625" style="1356" customWidth="1"/>
    <col min="15863" max="16103" width="9.1796875" style="1356"/>
    <col min="16104" max="16104" width="3.26953125" style="1356" customWidth="1"/>
    <col min="16105" max="16105" width="36" style="1356" customWidth="1"/>
    <col min="16106" max="16106" width="8.26953125" style="1356" customWidth="1"/>
    <col min="16107" max="16107" width="12.7265625" style="1356" customWidth="1"/>
    <col min="16108" max="16108" width="5.7265625" style="1356" customWidth="1"/>
    <col min="16109" max="16109" width="7.453125" style="1356" customWidth="1"/>
    <col min="16110" max="16110" width="7.26953125" style="1356" customWidth="1"/>
    <col min="16111" max="16111" width="6.7265625" style="1356" customWidth="1"/>
    <col min="16112" max="16112" width="6" style="1356" customWidth="1"/>
    <col min="16113" max="16113" width="6.54296875" style="1356" customWidth="1"/>
    <col min="16114" max="16114" width="5" style="1356" customWidth="1"/>
    <col min="16115" max="16115" width="6" style="1356" customWidth="1"/>
    <col min="16116" max="16116" width="6.54296875" style="1356" customWidth="1"/>
    <col min="16117" max="16117" width="5" style="1356" customWidth="1"/>
    <col min="16118" max="16118" width="6.7265625" style="1356" customWidth="1"/>
    <col min="16119" max="16384" width="9.1796875" style="1356"/>
  </cols>
  <sheetData>
    <row r="1" spans="1:16">
      <c r="A1" s="2991" t="s">
        <v>2038</v>
      </c>
      <c r="B1" s="2991"/>
    </row>
    <row r="2" spans="1:16">
      <c r="A2" s="3093"/>
      <c r="B2" s="3093"/>
      <c r="C2" s="3093"/>
      <c r="D2" s="3093"/>
      <c r="E2" s="3093"/>
      <c r="F2" s="3093"/>
      <c r="G2" s="3093"/>
      <c r="H2" s="3093"/>
      <c r="I2" s="3093"/>
      <c r="J2" s="3093"/>
      <c r="K2" s="3093"/>
      <c r="L2" s="3093"/>
      <c r="M2" s="3093"/>
      <c r="N2" s="3093"/>
    </row>
    <row r="3" spans="1:16">
      <c r="A3" s="1454" t="s">
        <v>304</v>
      </c>
      <c r="B3" s="1454" t="s">
        <v>2039</v>
      </c>
      <c r="C3" s="1454"/>
      <c r="D3" s="2814"/>
      <c r="E3" s="2815"/>
      <c r="F3" s="1454"/>
      <c r="G3" s="1454"/>
      <c r="H3" s="1454"/>
      <c r="I3" s="1454"/>
      <c r="J3" s="1454"/>
      <c r="K3" s="1454"/>
      <c r="L3" s="1454"/>
      <c r="M3" s="1454"/>
      <c r="N3" s="1454"/>
    </row>
    <row r="5" spans="1:16" ht="6.75" customHeight="1">
      <c r="A5" s="3094" t="s">
        <v>2033</v>
      </c>
      <c r="B5" s="3094" t="s">
        <v>2040</v>
      </c>
      <c r="C5" s="3095"/>
      <c r="D5" s="3096"/>
      <c r="E5" s="3096"/>
      <c r="F5" s="3096"/>
      <c r="G5" s="3096"/>
      <c r="H5" s="3096"/>
      <c r="I5" s="3096" t="s">
        <v>545</v>
      </c>
      <c r="J5" s="3096"/>
      <c r="K5" s="3096"/>
      <c r="L5" s="3096"/>
      <c r="M5" s="3096"/>
      <c r="N5" s="3096"/>
    </row>
    <row r="6" spans="1:16" ht="8.25" customHeight="1">
      <c r="A6" s="3094"/>
      <c r="B6" s="3094"/>
      <c r="C6" s="3097"/>
      <c r="D6" s="3098"/>
      <c r="E6" s="3098"/>
      <c r="F6" s="3098"/>
      <c r="G6" s="3098"/>
      <c r="H6" s="3098"/>
      <c r="I6" s="3098"/>
      <c r="J6" s="3098"/>
      <c r="K6" s="3098"/>
      <c r="L6" s="3098"/>
      <c r="M6" s="3098"/>
      <c r="N6" s="3098"/>
    </row>
    <row r="7" spans="1:16" ht="1.5" customHeight="1">
      <c r="A7" s="3094"/>
      <c r="B7" s="3094"/>
      <c r="C7" s="2816"/>
      <c r="D7" s="1929"/>
      <c r="E7" s="1929"/>
      <c r="F7" s="1929"/>
      <c r="G7" s="1929"/>
      <c r="H7" s="1929"/>
      <c r="I7" s="1929"/>
      <c r="J7" s="1929"/>
      <c r="K7" s="1929"/>
      <c r="L7" s="1929"/>
      <c r="M7" s="1929"/>
      <c r="N7" s="1929"/>
    </row>
    <row r="8" spans="1:16" ht="43.5">
      <c r="A8" s="3094"/>
      <c r="B8" s="3094"/>
      <c r="C8" s="1936" t="s">
        <v>2041</v>
      </c>
      <c r="D8" s="2817" t="s">
        <v>2042</v>
      </c>
      <c r="E8" s="1936" t="s">
        <v>2043</v>
      </c>
      <c r="F8" s="1936" t="s">
        <v>2044</v>
      </c>
      <c r="G8" s="1936" t="s">
        <v>2045</v>
      </c>
      <c r="H8" s="1936" t="s">
        <v>2046</v>
      </c>
      <c r="I8" s="1936" t="s">
        <v>2047</v>
      </c>
      <c r="J8" s="1936" t="s">
        <v>2048</v>
      </c>
      <c r="K8" s="1936" t="s">
        <v>2049</v>
      </c>
      <c r="L8" s="1936" t="s">
        <v>2050</v>
      </c>
      <c r="M8" s="1936" t="s">
        <v>2051</v>
      </c>
      <c r="N8" s="1936" t="s">
        <v>2052</v>
      </c>
    </row>
    <row r="9" spans="1:16">
      <c r="A9" s="1867"/>
      <c r="B9" s="1867"/>
      <c r="C9" s="1867"/>
      <c r="D9" s="1951"/>
      <c r="E9" s="1936"/>
      <c r="F9" s="1867"/>
      <c r="G9" s="1867"/>
      <c r="H9" s="1867"/>
      <c r="I9" s="1867"/>
      <c r="J9" s="1867"/>
      <c r="K9" s="1867"/>
      <c r="L9" s="1867"/>
      <c r="M9" s="1867"/>
      <c r="N9" s="1867"/>
    </row>
    <row r="10" spans="1:16">
      <c r="A10" s="2818"/>
      <c r="B10" s="2819"/>
      <c r="C10" s="1867"/>
      <c r="D10" s="1867"/>
      <c r="E10" s="1867"/>
      <c r="F10" s="1867"/>
      <c r="G10" s="1867"/>
      <c r="H10" s="1867"/>
      <c r="I10" s="1867"/>
      <c r="J10" s="1951"/>
      <c r="K10" s="1936"/>
      <c r="L10" s="1867"/>
      <c r="M10" s="1867"/>
      <c r="N10" s="1867"/>
    </row>
    <row r="11" spans="1:16">
      <c r="A11" s="1773" t="s">
        <v>57</v>
      </c>
      <c r="B11" s="1774" t="s">
        <v>1645</v>
      </c>
      <c r="C11" s="1867"/>
      <c r="D11" s="1867"/>
      <c r="E11" s="1936"/>
      <c r="F11" s="1867"/>
      <c r="G11" s="1856"/>
      <c r="H11" s="1867"/>
      <c r="I11" s="1867"/>
      <c r="J11" s="1951"/>
      <c r="K11" s="1936"/>
      <c r="L11" s="1867"/>
      <c r="M11" s="1867"/>
      <c r="N11" s="1867"/>
    </row>
    <row r="12" spans="1:16">
      <c r="A12" s="1773" t="s">
        <v>19</v>
      </c>
      <c r="B12" s="1774" t="s">
        <v>1646</v>
      </c>
      <c r="C12" s="1867"/>
      <c r="D12" s="1867"/>
      <c r="E12" s="1936"/>
      <c r="F12" s="1867"/>
      <c r="G12" s="1856"/>
      <c r="H12" s="1867"/>
      <c r="I12" s="1867"/>
      <c r="J12" s="1951"/>
      <c r="K12" s="1936"/>
      <c r="L12" s="1867"/>
      <c r="M12" s="1867"/>
      <c r="N12" s="1867"/>
    </row>
    <row r="13" spans="1:16">
      <c r="A13" s="1773"/>
      <c r="B13" s="1774"/>
      <c r="C13" s="1867"/>
      <c r="D13" s="1867"/>
      <c r="E13" s="1936"/>
      <c r="F13" s="1867"/>
      <c r="G13" s="1856"/>
      <c r="H13" s="1780"/>
      <c r="I13" s="1867"/>
      <c r="J13" s="1951"/>
      <c r="K13" s="1936"/>
      <c r="L13" s="1867"/>
      <c r="M13" s="1867"/>
      <c r="N13" s="1780"/>
    </row>
    <row r="14" spans="1:16">
      <c r="A14" s="1773" t="s">
        <v>20</v>
      </c>
      <c r="B14" s="1774" t="s">
        <v>1647</v>
      </c>
      <c r="C14" s="1775"/>
      <c r="D14" s="1854"/>
      <c r="E14" s="2820"/>
      <c r="F14" s="1776"/>
      <c r="G14" s="1854"/>
      <c r="H14" s="1853"/>
      <c r="I14" s="1778"/>
      <c r="J14" s="1945"/>
      <c r="K14" s="1945"/>
      <c r="L14" s="1945"/>
      <c r="M14" s="1945"/>
      <c r="N14" s="1780"/>
      <c r="O14" s="1781"/>
      <c r="P14" s="1782"/>
    </row>
    <row r="15" spans="1:16">
      <c r="A15" s="1773">
        <v>1</v>
      </c>
      <c r="B15" s="1774" t="s">
        <v>1648</v>
      </c>
      <c r="C15" s="1775">
        <v>630</v>
      </c>
      <c r="D15" s="1776">
        <v>0.7036093100699935</v>
      </c>
      <c r="E15" s="1775" t="s">
        <v>1649</v>
      </c>
      <c r="F15" s="1776">
        <v>8.5000000000000006E-2</v>
      </c>
      <c r="G15" s="1777">
        <v>1</v>
      </c>
      <c r="H15" s="1775">
        <v>630</v>
      </c>
      <c r="I15" s="1778">
        <v>3142.6094549999998</v>
      </c>
      <c r="J15" s="1778">
        <v>246.76514400000002</v>
      </c>
      <c r="K15" s="1778">
        <v>610.18933430000004</v>
      </c>
      <c r="L15" s="1778">
        <v>0</v>
      </c>
      <c r="M15" s="1779">
        <v>856.95447830000012</v>
      </c>
      <c r="N15" s="1780">
        <v>2.7268882454883347</v>
      </c>
      <c r="O15" s="1781">
        <v>1416.8418746</v>
      </c>
      <c r="P15" s="1782">
        <v>-559.88739629999986</v>
      </c>
    </row>
    <row r="16" spans="1:16">
      <c r="A16" s="1773">
        <v>2</v>
      </c>
      <c r="B16" s="1774" t="s">
        <v>1650</v>
      </c>
      <c r="C16" s="1775">
        <v>1000</v>
      </c>
      <c r="D16" s="1776">
        <v>0.82269319236034466</v>
      </c>
      <c r="E16" s="1775" t="s">
        <v>1649</v>
      </c>
      <c r="F16" s="1776">
        <v>6.5500000000000003E-2</v>
      </c>
      <c r="G16" s="1777">
        <v>1</v>
      </c>
      <c r="H16" s="1775">
        <v>1000</v>
      </c>
      <c r="I16" s="1778">
        <v>6982.1569950000012</v>
      </c>
      <c r="J16" s="1778">
        <v>307.88000019999998</v>
      </c>
      <c r="K16" s="1778">
        <v>1237.5859240999998</v>
      </c>
      <c r="L16" s="1778">
        <v>1.5515497</v>
      </c>
      <c r="M16" s="1779">
        <v>1547.0174739999998</v>
      </c>
      <c r="N16" s="1780">
        <v>2.2156727141882313</v>
      </c>
      <c r="O16" s="1781">
        <v>0</v>
      </c>
      <c r="P16" s="1782">
        <v>1547.0174739999998</v>
      </c>
    </row>
    <row r="17" spans="1:16">
      <c r="A17" s="1773">
        <v>3</v>
      </c>
      <c r="B17" s="1774" t="s">
        <v>1651</v>
      </c>
      <c r="C17" s="1775">
        <v>660</v>
      </c>
      <c r="D17" s="1776"/>
      <c r="E17" s="1775" t="s">
        <v>1649</v>
      </c>
      <c r="F17" s="1776">
        <v>0</v>
      </c>
      <c r="G17" s="1777">
        <v>1</v>
      </c>
      <c r="H17" s="1775">
        <v>660</v>
      </c>
      <c r="I17" s="1778">
        <v>0</v>
      </c>
      <c r="J17" s="1778">
        <v>0</v>
      </c>
      <c r="K17" s="1778">
        <v>0</v>
      </c>
      <c r="L17" s="1778">
        <v>0</v>
      </c>
      <c r="M17" s="1779">
        <v>0</v>
      </c>
      <c r="N17" s="1780">
        <v>0</v>
      </c>
      <c r="O17" s="1781">
        <v>118.12845490000001</v>
      </c>
      <c r="P17" s="1782">
        <v>-118.12845490000001</v>
      </c>
    </row>
    <row r="18" spans="1:16">
      <c r="A18" s="1773">
        <v>4</v>
      </c>
      <c r="B18" s="1774" t="s">
        <v>1652</v>
      </c>
      <c r="C18" s="1775">
        <v>220</v>
      </c>
      <c r="D18" s="1776"/>
      <c r="E18" s="1775" t="s">
        <v>1649</v>
      </c>
      <c r="F18" s="1776">
        <v>0.107</v>
      </c>
      <c r="G18" s="1777">
        <v>0</v>
      </c>
      <c r="H18" s="1775">
        <v>0</v>
      </c>
      <c r="I18" s="1778">
        <v>0</v>
      </c>
      <c r="J18" s="1778">
        <v>0</v>
      </c>
      <c r="K18" s="1778">
        <v>0</v>
      </c>
      <c r="L18" s="1778">
        <v>0</v>
      </c>
      <c r="M18" s="1779">
        <v>0</v>
      </c>
      <c r="N18" s="1780">
        <v>0</v>
      </c>
      <c r="O18" s="1781">
        <v>978.61910950000015</v>
      </c>
      <c r="P18" s="1782">
        <v>-978.61910950000015</v>
      </c>
    </row>
    <row r="19" spans="1:16">
      <c r="A19" s="1773">
        <v>3</v>
      </c>
      <c r="B19" s="1774" t="s">
        <v>1653</v>
      </c>
      <c r="C19" s="1775">
        <v>420</v>
      </c>
      <c r="D19" s="1776">
        <v>0.84999999999999976</v>
      </c>
      <c r="E19" s="1775" t="s">
        <v>1649</v>
      </c>
      <c r="F19" s="1776">
        <v>0.09</v>
      </c>
      <c r="G19" s="1777">
        <v>1</v>
      </c>
      <c r="H19" s="1775">
        <v>420</v>
      </c>
      <c r="I19" s="1778">
        <v>1241.703448</v>
      </c>
      <c r="J19" s="1778">
        <v>333.66</v>
      </c>
      <c r="K19" s="1778">
        <v>463.14875560000007</v>
      </c>
      <c r="L19" s="1778">
        <v>0</v>
      </c>
      <c r="M19" s="1779">
        <v>796.80875560000004</v>
      </c>
      <c r="N19" s="1780">
        <v>6.4170616332217847</v>
      </c>
      <c r="O19" s="1781">
        <v>0</v>
      </c>
      <c r="P19" s="1782">
        <v>796.80875560000004</v>
      </c>
    </row>
    <row r="20" spans="1:16">
      <c r="A20" s="1773">
        <v>4</v>
      </c>
      <c r="B20" s="1774" t="s">
        <v>1654</v>
      </c>
      <c r="C20" s="1775">
        <v>94</v>
      </c>
      <c r="D20" s="1776"/>
      <c r="E20" s="1775" t="s">
        <v>1649</v>
      </c>
      <c r="F20" s="1776">
        <v>0</v>
      </c>
      <c r="G20" s="1777">
        <v>0</v>
      </c>
      <c r="H20" s="1775">
        <v>0</v>
      </c>
      <c r="I20" s="1778">
        <v>0</v>
      </c>
      <c r="J20" s="1778">
        <v>0</v>
      </c>
      <c r="K20" s="1778">
        <v>0</v>
      </c>
      <c r="L20" s="1778">
        <v>0</v>
      </c>
      <c r="M20" s="1779">
        <v>0</v>
      </c>
      <c r="N20" s="1780">
        <v>0</v>
      </c>
      <c r="O20" s="1781">
        <v>952.25917709999976</v>
      </c>
      <c r="P20" s="1782">
        <v>-952.25917709999976</v>
      </c>
    </row>
    <row r="21" spans="1:16">
      <c r="A21" s="1773">
        <v>5</v>
      </c>
      <c r="B21" s="1774" t="s">
        <v>1655</v>
      </c>
      <c r="C21" s="1775">
        <v>1000</v>
      </c>
      <c r="D21" s="1776">
        <v>0.47171198165450406</v>
      </c>
      <c r="E21" s="1775" t="s">
        <v>1649</v>
      </c>
      <c r="F21" s="1776">
        <v>9.7000000000000003E-2</v>
      </c>
      <c r="G21" s="1777">
        <v>1</v>
      </c>
      <c r="H21" s="1775">
        <v>1000</v>
      </c>
      <c r="I21" s="1778">
        <v>4193.665798</v>
      </c>
      <c r="J21" s="1778">
        <v>333.46185630000002</v>
      </c>
      <c r="K21" s="1778">
        <v>1024.6262226000001</v>
      </c>
      <c r="L21" s="1778">
        <v>0</v>
      </c>
      <c r="M21" s="1779">
        <v>1358.0880789000003</v>
      </c>
      <c r="N21" s="1780">
        <v>3.2384270571767679</v>
      </c>
      <c r="O21" s="1781">
        <v>135.26191899999998</v>
      </c>
      <c r="P21" s="1782">
        <v>1222.8261599000002</v>
      </c>
    </row>
    <row r="22" spans="1:16">
      <c r="A22" s="1773">
        <v>6</v>
      </c>
      <c r="B22" s="1774" t="s">
        <v>1656</v>
      </c>
      <c r="C22" s="1775">
        <v>105</v>
      </c>
      <c r="D22" s="1776">
        <v>0.37560225297237743</v>
      </c>
      <c r="E22" s="1775" t="s">
        <v>1649</v>
      </c>
      <c r="F22" s="1776">
        <v>0.105</v>
      </c>
      <c r="G22" s="1777">
        <v>1</v>
      </c>
      <c r="H22" s="1775">
        <v>105</v>
      </c>
      <c r="I22" s="1778">
        <v>0</v>
      </c>
      <c r="J22" s="1778">
        <v>16.491023899999998</v>
      </c>
      <c r="K22" s="1778">
        <v>0</v>
      </c>
      <c r="L22" s="1778">
        <v>0</v>
      </c>
      <c r="M22" s="1779">
        <v>16.491023899999998</v>
      </c>
      <c r="N22" s="1780">
        <v>0</v>
      </c>
      <c r="O22" s="1781">
        <v>1488.4003715999997</v>
      </c>
      <c r="P22" s="1782">
        <v>-1471.9093476999997</v>
      </c>
    </row>
    <row r="23" spans="1:16">
      <c r="A23" s="1773">
        <v>7</v>
      </c>
      <c r="B23" s="1774" t="s">
        <v>1657</v>
      </c>
      <c r="C23" s="1775">
        <v>500</v>
      </c>
      <c r="D23" s="1776">
        <v>0.75</v>
      </c>
      <c r="E23" s="1775" t="s">
        <v>1649</v>
      </c>
      <c r="F23" s="1776">
        <v>0.09</v>
      </c>
      <c r="G23" s="1777">
        <v>1</v>
      </c>
      <c r="H23" s="1775">
        <v>500</v>
      </c>
      <c r="I23" s="1778">
        <v>1958.2065299999999</v>
      </c>
      <c r="J23" s="1778">
        <v>532.38</v>
      </c>
      <c r="K23" s="1778">
        <v>713.41202910000004</v>
      </c>
      <c r="L23" s="1778">
        <v>5.84</v>
      </c>
      <c r="M23" s="1779">
        <v>1251.6320291</v>
      </c>
      <c r="N23" s="1780">
        <v>6.3917263573827423</v>
      </c>
      <c r="O23" s="1781">
        <v>771.95218030000001</v>
      </c>
      <c r="P23" s="1782">
        <v>479.67984879999995</v>
      </c>
    </row>
    <row r="24" spans="1:16">
      <c r="A24" s="1773">
        <v>8</v>
      </c>
      <c r="B24" s="1774" t="s">
        <v>1658</v>
      </c>
      <c r="C24" s="1775">
        <v>500</v>
      </c>
      <c r="D24" s="1776">
        <v>0.68019159391058182</v>
      </c>
      <c r="E24" s="1775" t="s">
        <v>1649</v>
      </c>
      <c r="F24" s="1776">
        <v>0.09</v>
      </c>
      <c r="G24" s="1777">
        <v>1</v>
      </c>
      <c r="H24" s="1775">
        <v>500</v>
      </c>
      <c r="I24" s="1778">
        <v>2071.46225</v>
      </c>
      <c r="J24" s="1778">
        <v>498.78999980000003</v>
      </c>
      <c r="K24" s="1778">
        <v>774.14657469999997</v>
      </c>
      <c r="L24" s="1778">
        <v>0</v>
      </c>
      <c r="M24" s="1779">
        <v>1272.9365745</v>
      </c>
      <c r="N24" s="1780">
        <v>6.1451111382792512</v>
      </c>
      <c r="O24" s="1781">
        <v>1655.4632743000002</v>
      </c>
      <c r="P24" s="1782">
        <v>-382.52669980000019</v>
      </c>
    </row>
    <row r="25" spans="1:16">
      <c r="A25" s="1773">
        <v>9</v>
      </c>
      <c r="B25" s="1774" t="s">
        <v>1659</v>
      </c>
      <c r="C25" s="1775">
        <v>1000</v>
      </c>
      <c r="D25" s="1776">
        <v>0.64995958369228257</v>
      </c>
      <c r="E25" s="1775" t="s">
        <v>1649</v>
      </c>
      <c r="F25" s="1776">
        <v>6.25E-2</v>
      </c>
      <c r="G25" s="1777">
        <v>1</v>
      </c>
      <c r="H25" s="1775">
        <v>1000</v>
      </c>
      <c r="I25" s="1778">
        <v>3798.3529420000004</v>
      </c>
      <c r="J25" s="1778">
        <v>616.88574990000006</v>
      </c>
      <c r="K25" s="1778">
        <v>678.28716050000003</v>
      </c>
      <c r="L25" s="1778">
        <v>0</v>
      </c>
      <c r="M25" s="1779">
        <v>1295.1729104000001</v>
      </c>
      <c r="N25" s="1780">
        <v>3.4098277073694856</v>
      </c>
      <c r="O25" s="1781">
        <v>0</v>
      </c>
      <c r="P25" s="1782">
        <v>1295.1729104000001</v>
      </c>
    </row>
    <row r="26" spans="1:16">
      <c r="A26" s="1773">
        <v>10</v>
      </c>
      <c r="B26" s="1774" t="s">
        <v>1660</v>
      </c>
      <c r="C26" s="1775">
        <v>660</v>
      </c>
      <c r="D26" s="1776">
        <v>0.85</v>
      </c>
      <c r="E26" s="1775" t="s">
        <v>1649</v>
      </c>
      <c r="F26" s="1776">
        <v>5.7500000000000002E-2</v>
      </c>
      <c r="G26" s="1777">
        <v>1</v>
      </c>
      <c r="H26" s="1775">
        <v>660</v>
      </c>
      <c r="I26" s="1778">
        <v>0</v>
      </c>
      <c r="J26" s="1778">
        <v>0</v>
      </c>
      <c r="K26" s="1778">
        <v>0</v>
      </c>
      <c r="L26" s="1778">
        <v>0</v>
      </c>
      <c r="M26" s="1779">
        <v>0</v>
      </c>
      <c r="N26" s="1780">
        <v>0</v>
      </c>
      <c r="O26" s="1781">
        <v>0</v>
      </c>
      <c r="P26" s="1782">
        <v>0</v>
      </c>
    </row>
    <row r="27" spans="1:16">
      <c r="A27" s="1773">
        <v>11</v>
      </c>
      <c r="B27" s="1774" t="s">
        <v>1661</v>
      </c>
      <c r="C27" s="1775">
        <v>660</v>
      </c>
      <c r="D27" s="1776">
        <v>0.85</v>
      </c>
      <c r="E27" s="1775" t="s">
        <v>1649</v>
      </c>
      <c r="F27" s="1776">
        <v>5.7500000000000002E-2</v>
      </c>
      <c r="G27" s="1777">
        <v>1</v>
      </c>
      <c r="H27" s="1775">
        <v>660</v>
      </c>
      <c r="I27" s="1778">
        <v>0</v>
      </c>
      <c r="J27" s="1778">
        <v>0</v>
      </c>
      <c r="K27" s="1778">
        <v>0</v>
      </c>
      <c r="L27" s="1778">
        <v>0</v>
      </c>
      <c r="M27" s="1779">
        <v>0</v>
      </c>
      <c r="N27" s="1780">
        <v>0</v>
      </c>
      <c r="O27" s="1781">
        <v>0</v>
      </c>
      <c r="P27" s="1782">
        <v>0</v>
      </c>
    </row>
    <row r="28" spans="1:16">
      <c r="A28" s="1773">
        <v>12</v>
      </c>
      <c r="B28" s="1774" t="s">
        <v>1662</v>
      </c>
      <c r="C28" s="1775">
        <v>1320</v>
      </c>
      <c r="D28" s="1776"/>
      <c r="E28" s="1775" t="s">
        <v>1649</v>
      </c>
      <c r="F28" s="1776">
        <v>5.7500000000000002E-2</v>
      </c>
      <c r="G28" s="1777">
        <v>0.98636363636363633</v>
      </c>
      <c r="H28" s="1775">
        <v>1302</v>
      </c>
      <c r="I28" s="1778">
        <v>0</v>
      </c>
      <c r="J28" s="1778">
        <v>0</v>
      </c>
      <c r="K28" s="1778">
        <v>0</v>
      </c>
      <c r="L28" s="1778">
        <v>0</v>
      </c>
      <c r="M28" s="1779">
        <v>0</v>
      </c>
      <c r="N28" s="1780">
        <v>0</v>
      </c>
      <c r="O28" s="1781">
        <v>0</v>
      </c>
      <c r="P28" s="1782">
        <v>0</v>
      </c>
    </row>
    <row r="29" spans="1:16">
      <c r="A29" s="1773">
        <v>13</v>
      </c>
      <c r="B29" s="1774" t="s">
        <v>1663</v>
      </c>
      <c r="C29" s="1775">
        <v>1320</v>
      </c>
      <c r="D29" s="1776"/>
      <c r="E29" s="1775" t="s">
        <v>1649</v>
      </c>
      <c r="F29" s="1776">
        <v>5.7500000000000002E-2</v>
      </c>
      <c r="G29" s="1777">
        <v>1</v>
      </c>
      <c r="H29" s="1775">
        <v>1320</v>
      </c>
      <c r="I29" s="1778">
        <v>0</v>
      </c>
      <c r="J29" s="1778">
        <v>0</v>
      </c>
      <c r="K29" s="1778">
        <v>0</v>
      </c>
      <c r="L29" s="1778">
        <v>0</v>
      </c>
      <c r="M29" s="1779">
        <v>0</v>
      </c>
      <c r="N29" s="1780">
        <v>0</v>
      </c>
      <c r="O29" s="1781">
        <v>134.4359699</v>
      </c>
      <c r="P29" s="1782">
        <v>-134.4359699</v>
      </c>
    </row>
    <row r="30" spans="1:16">
      <c r="A30" s="1773"/>
      <c r="B30" s="1774" t="s">
        <v>1664</v>
      </c>
      <c r="C30" s="1775"/>
      <c r="D30" s="1776"/>
      <c r="E30" s="1775"/>
      <c r="F30" s="1776"/>
      <c r="G30" s="1777"/>
      <c r="H30" s="1775"/>
      <c r="I30" s="1778">
        <v>0</v>
      </c>
      <c r="J30" s="1778">
        <v>0</v>
      </c>
      <c r="K30" s="1778">
        <v>0</v>
      </c>
      <c r="L30" s="1778">
        <v>255.95286699999997</v>
      </c>
      <c r="M30" s="1779">
        <v>255.95286699999997</v>
      </c>
      <c r="N30" s="1780">
        <v>0</v>
      </c>
      <c r="O30" s="1356">
        <v>8665.0570957</v>
      </c>
      <c r="P30" s="1782">
        <v>-8409.1042287</v>
      </c>
    </row>
    <row r="31" spans="1:16">
      <c r="A31" s="2821"/>
      <c r="B31" s="1879" t="s">
        <v>211</v>
      </c>
      <c r="C31" s="1775"/>
      <c r="D31" s="1776"/>
      <c r="E31" s="1775"/>
      <c r="F31" s="1777"/>
      <c r="G31" s="1856"/>
      <c r="H31" s="1780"/>
      <c r="I31" s="1779">
        <v>23388.157418000003</v>
      </c>
      <c r="J31" s="1779">
        <v>2886.3137741000005</v>
      </c>
      <c r="K31" s="1779">
        <v>5501.3960009000002</v>
      </c>
      <c r="L31" s="1779">
        <v>263.34441669999995</v>
      </c>
      <c r="M31" s="1779">
        <v>8651.054191700001</v>
      </c>
      <c r="N31" s="1780">
        <v>3.6989036960397632</v>
      </c>
      <c r="P31" s="1782">
        <v>8651.054191700001</v>
      </c>
    </row>
    <row r="32" spans="1:16">
      <c r="A32" s="1773"/>
      <c r="B32" s="1774"/>
      <c r="C32" s="1775"/>
      <c r="D32" s="1776"/>
      <c r="E32" s="1775"/>
      <c r="F32" s="1777"/>
      <c r="G32" s="1856"/>
      <c r="H32" s="1780"/>
      <c r="I32" s="1778"/>
      <c r="J32" s="1867"/>
      <c r="K32" s="1867"/>
      <c r="L32" s="1867"/>
      <c r="M32" s="1867"/>
      <c r="N32" s="1867"/>
      <c r="P32" s="1782">
        <v>0</v>
      </c>
    </row>
    <row r="33" spans="1:16">
      <c r="A33" s="1773" t="s">
        <v>21</v>
      </c>
      <c r="B33" s="1774" t="s">
        <v>1665</v>
      </c>
      <c r="C33" s="1775"/>
      <c r="D33" s="1776"/>
      <c r="E33" s="1775"/>
      <c r="F33" s="1776"/>
      <c r="G33" s="1854"/>
      <c r="H33" s="1853"/>
      <c r="I33" s="1778"/>
      <c r="J33" s="1945">
        <v>0</v>
      </c>
      <c r="K33" s="1945">
        <v>0</v>
      </c>
      <c r="L33" s="1945">
        <v>0</v>
      </c>
      <c r="M33" s="1945">
        <v>0</v>
      </c>
      <c r="N33" s="1780">
        <v>0</v>
      </c>
      <c r="O33" s="1781">
        <v>66.494132399999998</v>
      </c>
      <c r="P33" s="1782">
        <v>-66.494132399999998</v>
      </c>
    </row>
    <row r="34" spans="1:16">
      <c r="A34" s="1773">
        <v>1</v>
      </c>
      <c r="B34" s="1774" t="s">
        <v>1666</v>
      </c>
      <c r="C34" s="1775">
        <v>300</v>
      </c>
      <c r="D34" s="1776">
        <v>0.24286512033827887</v>
      </c>
      <c r="E34" s="1775" t="s">
        <v>1667</v>
      </c>
      <c r="F34" s="1776">
        <v>0.01</v>
      </c>
      <c r="G34" s="1777">
        <v>0.85</v>
      </c>
      <c r="H34" s="1775">
        <v>255</v>
      </c>
      <c r="I34" s="1778">
        <v>645.770938</v>
      </c>
      <c r="J34" s="1778">
        <v>16.417738352999997</v>
      </c>
      <c r="K34" s="1778">
        <v>75.893582420000001</v>
      </c>
      <c r="L34" s="1778">
        <v>1.59893</v>
      </c>
      <c r="M34" s="1779">
        <v>93.910250773000001</v>
      </c>
      <c r="N34" s="1780">
        <v>1.4542347022281144</v>
      </c>
      <c r="O34" s="1781">
        <v>17.577801399999998</v>
      </c>
      <c r="P34" s="1782">
        <v>76.332449373000003</v>
      </c>
    </row>
    <row r="35" spans="1:16">
      <c r="A35" s="1773">
        <v>2</v>
      </c>
      <c r="B35" s="1774" t="s">
        <v>1668</v>
      </c>
      <c r="C35" s="1775">
        <v>99</v>
      </c>
      <c r="D35" s="1776">
        <v>0.3127712938305397</v>
      </c>
      <c r="E35" s="1775" t="s">
        <v>1667</v>
      </c>
      <c r="F35" s="1776">
        <v>0.01</v>
      </c>
      <c r="G35" s="1777">
        <v>1</v>
      </c>
      <c r="H35" s="1775">
        <v>99</v>
      </c>
      <c r="I35" s="1778">
        <v>334.53100128999995</v>
      </c>
      <c r="J35" s="1778">
        <v>8.7631310669999998</v>
      </c>
      <c r="K35" s="1778">
        <v>25.955578215999996</v>
      </c>
      <c r="L35" s="1778">
        <v>0.50582380000000005</v>
      </c>
      <c r="M35" s="1779">
        <v>35.224533082999997</v>
      </c>
      <c r="N35" s="1780">
        <v>1.0529527292588461</v>
      </c>
      <c r="O35" s="1781">
        <v>1.6812844</v>
      </c>
      <c r="P35" s="1782">
        <v>33.543248682999995</v>
      </c>
    </row>
    <row r="36" spans="1:16">
      <c r="A36" s="1773">
        <v>3</v>
      </c>
      <c r="B36" s="1774" t="s">
        <v>1669</v>
      </c>
      <c r="C36" s="1775">
        <v>30</v>
      </c>
      <c r="D36" s="1776">
        <v>0.35693138080343312</v>
      </c>
      <c r="E36" s="1775" t="s">
        <v>1667</v>
      </c>
      <c r="F36" s="1776">
        <v>0.01</v>
      </c>
      <c r="G36" s="1777">
        <v>0.66666666666666663</v>
      </c>
      <c r="H36" s="1775">
        <v>20</v>
      </c>
      <c r="I36" s="1778">
        <v>74.251864999999995</v>
      </c>
      <c r="J36" s="1778">
        <v>2.7644289059999996</v>
      </c>
      <c r="K36" s="1778">
        <v>5.8701083820000006</v>
      </c>
      <c r="L36" s="2822">
        <v>3.2142E-3</v>
      </c>
      <c r="M36" s="1779">
        <v>8.637751488000001</v>
      </c>
      <c r="N36" s="1780">
        <v>1.163304314039789</v>
      </c>
      <c r="O36" s="1781">
        <v>21.842003200000001</v>
      </c>
      <c r="P36" s="1782">
        <v>-13.204251712</v>
      </c>
    </row>
    <row r="37" spans="1:16">
      <c r="A37" s="1773">
        <v>4</v>
      </c>
      <c r="B37" s="1774" t="s">
        <v>1670</v>
      </c>
      <c r="C37" s="1775">
        <v>72</v>
      </c>
      <c r="D37" s="1776">
        <v>0.51441716659098013</v>
      </c>
      <c r="E37" s="1775" t="s">
        <v>1667</v>
      </c>
      <c r="F37" s="1776">
        <v>0.01</v>
      </c>
      <c r="G37" s="1777">
        <v>0.8</v>
      </c>
      <c r="H37" s="1775">
        <v>57.6</v>
      </c>
      <c r="I37" s="1778">
        <v>255.86646449999995</v>
      </c>
      <c r="J37" s="1778">
        <v>12.296117663</v>
      </c>
      <c r="K37" s="1778">
        <v>12.39790732</v>
      </c>
      <c r="L37" s="1778">
        <v>0.34424260000000001</v>
      </c>
      <c r="M37" s="1779">
        <v>25.038267583</v>
      </c>
      <c r="N37" s="1780">
        <v>0.97856777096320124</v>
      </c>
      <c r="O37" s="1781">
        <v>5.2094589999999998</v>
      </c>
      <c r="P37" s="1782">
        <v>19.828808583000001</v>
      </c>
    </row>
    <row r="38" spans="1:16">
      <c r="A38" s="1773">
        <v>5</v>
      </c>
      <c r="B38" s="1774" t="s">
        <v>1671</v>
      </c>
      <c r="C38" s="1775">
        <v>13.7</v>
      </c>
      <c r="D38" s="1776">
        <v>0.20316990411924529</v>
      </c>
      <c r="E38" s="1775" t="s">
        <v>1667</v>
      </c>
      <c r="F38" s="1776">
        <v>0.01</v>
      </c>
      <c r="G38" s="1777">
        <v>1</v>
      </c>
      <c r="H38" s="1775">
        <v>13.7</v>
      </c>
      <c r="I38" s="1778">
        <v>26.253392099999999</v>
      </c>
      <c r="J38" s="1778">
        <v>0</v>
      </c>
      <c r="K38" s="1778">
        <v>7.42971059</v>
      </c>
      <c r="L38" s="1778">
        <v>0</v>
      </c>
      <c r="M38" s="1779">
        <v>7.42971059</v>
      </c>
      <c r="N38" s="1780">
        <v>2.8300002383311069</v>
      </c>
      <c r="O38" s="1781">
        <v>0.22998360000000001</v>
      </c>
      <c r="P38" s="1782">
        <v>7.1997269900000003</v>
      </c>
    </row>
    <row r="39" spans="1:16">
      <c r="A39" s="1773">
        <v>6</v>
      </c>
      <c r="B39" s="1774" t="s">
        <v>1672</v>
      </c>
      <c r="C39" s="1775">
        <v>3.6</v>
      </c>
      <c r="D39" s="1776">
        <v>6.8702307160901852E-2</v>
      </c>
      <c r="E39" s="1775" t="s">
        <v>1667</v>
      </c>
      <c r="F39" s="1776">
        <v>0.01</v>
      </c>
      <c r="G39" s="1777">
        <v>1</v>
      </c>
      <c r="H39" s="1775">
        <v>3.6</v>
      </c>
      <c r="I39" s="1778">
        <v>2.3750499999999999</v>
      </c>
      <c r="J39" s="1778">
        <v>0</v>
      </c>
      <c r="K39" s="1778">
        <v>0.45911450000000004</v>
      </c>
      <c r="L39" s="1778">
        <v>0</v>
      </c>
      <c r="M39" s="1779">
        <v>0.45911450000000004</v>
      </c>
      <c r="N39" s="1780">
        <v>1.9330729879370965</v>
      </c>
      <c r="O39" s="1781">
        <v>0.30714959999999997</v>
      </c>
      <c r="P39" s="1782">
        <v>0.15196490000000007</v>
      </c>
    </row>
    <row r="40" spans="1:16">
      <c r="A40" s="1773">
        <v>7</v>
      </c>
      <c r="B40" s="1774" t="s">
        <v>1673</v>
      </c>
      <c r="C40" s="1775">
        <v>3</v>
      </c>
      <c r="D40" s="1776">
        <v>9.0759339720525523E-2</v>
      </c>
      <c r="E40" s="1775" t="s">
        <v>1667</v>
      </c>
      <c r="F40" s="1776">
        <v>0.01</v>
      </c>
      <c r="G40" s="1777">
        <v>1</v>
      </c>
      <c r="H40" s="1775">
        <v>3</v>
      </c>
      <c r="I40" s="1778">
        <v>3.1814320000000005</v>
      </c>
      <c r="J40" s="1778">
        <v>0</v>
      </c>
      <c r="K40" s="1778">
        <v>0.56479720800000011</v>
      </c>
      <c r="L40" s="1778">
        <v>0</v>
      </c>
      <c r="M40" s="1779">
        <v>0.56479720800000011</v>
      </c>
      <c r="N40" s="1780">
        <v>1.7752924092044087</v>
      </c>
      <c r="O40" s="1781">
        <v>-1.3541499999999998E-2</v>
      </c>
      <c r="P40" s="1782">
        <v>0.57833870800000009</v>
      </c>
    </row>
    <row r="41" spans="1:16">
      <c r="A41" s="1773">
        <v>8</v>
      </c>
      <c r="B41" s="1774" t="s">
        <v>1674</v>
      </c>
      <c r="C41" s="1775">
        <v>3</v>
      </c>
      <c r="D41" s="1776">
        <v>9.2201368901077677E-2</v>
      </c>
      <c r="E41" s="1775" t="s">
        <v>1667</v>
      </c>
      <c r="F41" s="1776">
        <v>0.01</v>
      </c>
      <c r="G41" s="1777">
        <v>1</v>
      </c>
      <c r="H41" s="1775">
        <v>3</v>
      </c>
      <c r="I41" s="1778">
        <v>0.518625</v>
      </c>
      <c r="J41" s="1778">
        <v>0</v>
      </c>
      <c r="K41" s="1778">
        <v>0.163080275</v>
      </c>
      <c r="L41" s="1778">
        <v>0.23129669999999999</v>
      </c>
      <c r="M41" s="1779">
        <v>0.39437697500000002</v>
      </c>
      <c r="N41" s="1780">
        <v>7.6042800674861413</v>
      </c>
      <c r="O41" s="1781">
        <v>113.32827209999998</v>
      </c>
      <c r="P41" s="1782">
        <v>-112.93389512499998</v>
      </c>
    </row>
    <row r="42" spans="1:16">
      <c r="A42" s="1773"/>
      <c r="B42" s="1644" t="s">
        <v>1853</v>
      </c>
      <c r="C42" s="1775"/>
      <c r="D42" s="1776"/>
      <c r="E42" s="1775"/>
      <c r="F42" s="1776"/>
      <c r="G42" s="1777"/>
      <c r="H42" s="1775"/>
      <c r="I42" s="1778">
        <v>-0.42720999999999998</v>
      </c>
      <c r="J42" s="1778">
        <v>0</v>
      </c>
      <c r="K42" s="1778">
        <v>0</v>
      </c>
      <c r="L42" s="1778">
        <v>-4.9782100000000003E-2</v>
      </c>
      <c r="M42" s="1779">
        <v>-4.9782100000000003E-2</v>
      </c>
      <c r="N42" s="1780">
        <v>1.1652840523395989</v>
      </c>
      <c r="O42" s="1781"/>
      <c r="P42" s="1782"/>
    </row>
    <row r="43" spans="1:16">
      <c r="A43" s="1773"/>
      <c r="B43" s="1879" t="s">
        <v>211</v>
      </c>
      <c r="C43" s="1775"/>
      <c r="D43" s="1776"/>
      <c r="E43" s="1775"/>
      <c r="F43" s="1777"/>
      <c r="G43" s="1856"/>
      <c r="H43" s="1780"/>
      <c r="I43" s="1779">
        <v>1342.3215578899999</v>
      </c>
      <c r="J43" s="1779">
        <v>40.241415988999997</v>
      </c>
      <c r="K43" s="1779">
        <v>128.73387891099998</v>
      </c>
      <c r="L43" s="1779">
        <v>2.6337252000000002</v>
      </c>
      <c r="M43" s="1779">
        <v>171.60902010000001</v>
      </c>
      <c r="N43" s="1780">
        <v>1.2784494079775701</v>
      </c>
      <c r="P43" s="1782">
        <v>171.60902010000001</v>
      </c>
    </row>
    <row r="44" spans="1:16">
      <c r="A44" s="1773"/>
      <c r="B44" s="1774"/>
      <c r="C44" s="1775"/>
      <c r="D44" s="1776"/>
      <c r="E44" s="1775"/>
      <c r="F44" s="1777"/>
      <c r="G44" s="1856"/>
      <c r="H44" s="1780"/>
      <c r="I44" s="1778"/>
      <c r="J44" s="1867"/>
      <c r="K44" s="1867"/>
      <c r="L44" s="1867"/>
      <c r="M44" s="1867"/>
      <c r="N44" s="1867"/>
      <c r="O44" s="1781"/>
      <c r="P44" s="1782">
        <v>0</v>
      </c>
    </row>
    <row r="45" spans="1:16">
      <c r="A45" s="1773"/>
      <c r="B45" s="1774"/>
      <c r="C45" s="1775"/>
      <c r="D45" s="1776"/>
      <c r="E45" s="1775"/>
      <c r="F45" s="1777"/>
      <c r="G45" s="1855"/>
      <c r="H45" s="1857"/>
      <c r="I45" s="1778"/>
      <c r="J45" s="2823"/>
      <c r="K45" s="2823"/>
      <c r="L45" s="2823"/>
      <c r="M45" s="2823"/>
      <c r="N45" s="2823"/>
      <c r="O45" s="1781"/>
      <c r="P45" s="1782">
        <v>0</v>
      </c>
    </row>
    <row r="46" spans="1:16">
      <c r="A46" s="1773" t="s">
        <v>24</v>
      </c>
      <c r="B46" s="1879" t="s">
        <v>1675</v>
      </c>
      <c r="C46" s="1775"/>
      <c r="D46" s="1776"/>
      <c r="E46" s="1775"/>
      <c r="F46" s="1777"/>
      <c r="G46" s="1856"/>
      <c r="H46" s="1780"/>
      <c r="I46" s="1778"/>
      <c r="J46" s="1867"/>
      <c r="K46" s="1867"/>
      <c r="L46" s="1867"/>
      <c r="M46" s="1867"/>
      <c r="N46" s="1867"/>
      <c r="O46" s="1781"/>
      <c r="P46" s="1782">
        <v>0</v>
      </c>
    </row>
    <row r="47" spans="1:16">
      <c r="A47" s="1773" t="s">
        <v>19</v>
      </c>
      <c r="B47" s="1879" t="s">
        <v>1676</v>
      </c>
      <c r="C47" s="1775"/>
      <c r="D47" s="1776"/>
      <c r="E47" s="1775"/>
      <c r="F47" s="1776"/>
      <c r="G47" s="1854"/>
      <c r="H47" s="1853"/>
      <c r="I47" s="1778"/>
      <c r="J47" s="1945">
        <v>0</v>
      </c>
      <c r="K47" s="1945">
        <v>0</v>
      </c>
      <c r="L47" s="1945">
        <v>0</v>
      </c>
      <c r="M47" s="1945">
        <v>0</v>
      </c>
      <c r="N47" s="1780">
        <v>0</v>
      </c>
      <c r="O47" s="1781">
        <v>172.55293390000003</v>
      </c>
      <c r="P47" s="1782">
        <v>-172.55293390000003</v>
      </c>
    </row>
    <row r="48" spans="1:16">
      <c r="A48" s="1773">
        <v>1</v>
      </c>
      <c r="B48" s="1774" t="s">
        <v>1677</v>
      </c>
      <c r="C48" s="1775">
        <v>419</v>
      </c>
      <c r="D48" s="1776">
        <v>0.31942216900537662</v>
      </c>
      <c r="E48" s="1775" t="s">
        <v>1649</v>
      </c>
      <c r="F48" s="1776">
        <v>2.75E-2</v>
      </c>
      <c r="G48" s="1777">
        <v>0.21766109785202864</v>
      </c>
      <c r="H48" s="1775">
        <v>91.2</v>
      </c>
      <c r="I48" s="1778">
        <v>232.158852</v>
      </c>
      <c r="J48" s="1778">
        <v>50.095854899999992</v>
      </c>
      <c r="K48" s="1778">
        <v>103.6088206</v>
      </c>
      <c r="L48" s="1778">
        <v>0.42326570000000002</v>
      </c>
      <c r="M48" s="1779">
        <v>154.12794120000001</v>
      </c>
      <c r="N48" s="1780">
        <v>6.6389000407359013</v>
      </c>
      <c r="O48" s="1781">
        <v>201.48235309999995</v>
      </c>
      <c r="P48" s="1782">
        <v>-47.354411899999945</v>
      </c>
    </row>
    <row r="49" spans="1:16">
      <c r="A49" s="1773">
        <v>2</v>
      </c>
      <c r="B49" s="1774" t="s">
        <v>1678</v>
      </c>
      <c r="C49" s="1775">
        <v>663</v>
      </c>
      <c r="D49" s="1776">
        <v>0.58443403890813428</v>
      </c>
      <c r="E49" s="1775" t="s">
        <v>1649</v>
      </c>
      <c r="F49" s="1776">
        <v>2.75E-2</v>
      </c>
      <c r="G49" s="1777">
        <v>0.32076923076923075</v>
      </c>
      <c r="H49" s="1775">
        <v>212.67</v>
      </c>
      <c r="I49" s="1778">
        <v>351.87758200000007</v>
      </c>
      <c r="J49" s="1778">
        <v>99.735203300000023</v>
      </c>
      <c r="K49" s="1778">
        <v>172.12599729999997</v>
      </c>
      <c r="L49" s="1778">
        <v>6.6632166000000002</v>
      </c>
      <c r="M49" s="1779">
        <v>278.52441719999996</v>
      </c>
      <c r="N49" s="1780">
        <v>7.915378286304124</v>
      </c>
      <c r="O49" s="1781">
        <v>592.12529660000007</v>
      </c>
      <c r="P49" s="1782">
        <v>-313.60087940000011</v>
      </c>
    </row>
    <row r="50" spans="1:16">
      <c r="A50" s="1773">
        <v>3</v>
      </c>
      <c r="B50" s="1774" t="s">
        <v>1679</v>
      </c>
      <c r="C50" s="1775">
        <v>830</v>
      </c>
      <c r="D50" s="1776">
        <v>0.62373554196436098</v>
      </c>
      <c r="E50" s="1775" t="s">
        <v>1649</v>
      </c>
      <c r="F50" s="1776">
        <v>2.75E-2</v>
      </c>
      <c r="G50" s="1777">
        <v>0.29591566265060243</v>
      </c>
      <c r="H50" s="1775">
        <v>245.61</v>
      </c>
      <c r="I50" s="1778">
        <v>788.90837699999997</v>
      </c>
      <c r="J50" s="1778">
        <v>105.97650150000001</v>
      </c>
      <c r="K50" s="1778">
        <v>299.70976179999997</v>
      </c>
      <c r="L50" s="1778">
        <v>7.5569190000000006</v>
      </c>
      <c r="M50" s="1779">
        <v>413.24318229999994</v>
      </c>
      <c r="N50" s="1780">
        <v>5.2381644605099691</v>
      </c>
      <c r="O50" s="1781">
        <v>1.3445152</v>
      </c>
      <c r="P50" s="1782">
        <v>411.89866709999995</v>
      </c>
    </row>
    <row r="51" spans="1:16">
      <c r="A51" s="1773">
        <v>4</v>
      </c>
      <c r="B51" s="1774" t="s">
        <v>1680</v>
      </c>
      <c r="C51" s="1775">
        <v>657.39</v>
      </c>
      <c r="D51" s="1776">
        <v>0.82500000000000018</v>
      </c>
      <c r="E51" s="1775" t="s">
        <v>1649</v>
      </c>
      <c r="F51" s="1776">
        <v>2.75E-2</v>
      </c>
      <c r="G51" s="1777">
        <v>3.0423340787051827E-5</v>
      </c>
      <c r="H51" s="1775">
        <v>0.02</v>
      </c>
      <c r="I51" s="1778">
        <v>1.7922760000000002</v>
      </c>
      <c r="J51" s="1778">
        <v>0.17131980000000002</v>
      </c>
      <c r="K51" s="1778">
        <v>0.36132060000000005</v>
      </c>
      <c r="L51" s="1778">
        <v>-4.9999999999999998E-7</v>
      </c>
      <c r="M51" s="1779">
        <v>0.53263990000000005</v>
      </c>
      <c r="N51" s="1780">
        <v>2.9718631505415463</v>
      </c>
      <c r="O51" s="1781">
        <v>3.7523549000000003</v>
      </c>
      <c r="P51" s="1782">
        <v>-3.2197150000000003</v>
      </c>
    </row>
    <row r="52" spans="1:16">
      <c r="A52" s="1773">
        <v>5</v>
      </c>
      <c r="B52" s="1774" t="s">
        <v>1681</v>
      </c>
      <c r="C52" s="1775">
        <v>656.2</v>
      </c>
      <c r="D52" s="1776">
        <v>0.83757081310101889</v>
      </c>
      <c r="E52" s="1775" t="s">
        <v>1649</v>
      </c>
      <c r="F52" s="1776">
        <v>2.75E-2</v>
      </c>
      <c r="G52" s="1777">
        <v>3.0478512648582749E-5</v>
      </c>
      <c r="H52" s="1775">
        <v>0.02</v>
      </c>
      <c r="I52" s="1778">
        <v>1.9958400000000001</v>
      </c>
      <c r="J52" s="1778">
        <v>0.15019059999999995</v>
      </c>
      <c r="K52" s="1778">
        <v>0.40452889999999991</v>
      </c>
      <c r="L52" s="1778">
        <v>-1.2299999999999999E-5</v>
      </c>
      <c r="M52" s="1779">
        <v>0.55470719999999984</v>
      </c>
      <c r="N52" s="1780">
        <v>2.7793169793169787</v>
      </c>
      <c r="O52" s="1781">
        <v>945.62323300000003</v>
      </c>
      <c r="P52" s="1782">
        <v>-945.06852579999997</v>
      </c>
    </row>
    <row r="53" spans="1:16">
      <c r="A53" s="1773">
        <v>6</v>
      </c>
      <c r="B53" s="1774" t="s">
        <v>1682</v>
      </c>
      <c r="C53" s="1775">
        <v>440</v>
      </c>
      <c r="D53" s="1776">
        <v>0.60429331789400254</v>
      </c>
      <c r="E53" s="1775" t="s">
        <v>1649</v>
      </c>
      <c r="F53" s="1776">
        <v>0.115</v>
      </c>
      <c r="G53" s="1777">
        <v>1</v>
      </c>
      <c r="H53" s="1775">
        <v>440</v>
      </c>
      <c r="I53" s="1778">
        <v>1400.130502</v>
      </c>
      <c r="J53" s="1778">
        <v>335.9635576</v>
      </c>
      <c r="K53" s="1778">
        <v>486.12677739999998</v>
      </c>
      <c r="L53" s="1778">
        <v>18.6726524</v>
      </c>
      <c r="M53" s="1779">
        <v>840.76298739999993</v>
      </c>
      <c r="N53" s="1780">
        <v>6.0048901598745399</v>
      </c>
      <c r="O53" s="1781">
        <v>530.45366020000006</v>
      </c>
      <c r="P53" s="1782">
        <v>310.30932719999987</v>
      </c>
    </row>
    <row r="54" spans="1:16">
      <c r="A54" s="1773">
        <v>7</v>
      </c>
      <c r="B54" s="1774" t="s">
        <v>1683</v>
      </c>
      <c r="C54" s="1775">
        <v>420</v>
      </c>
      <c r="D54" s="1776">
        <v>0.57089542113359137</v>
      </c>
      <c r="E54" s="1775" t="s">
        <v>1649</v>
      </c>
      <c r="F54" s="1776">
        <v>0.09</v>
      </c>
      <c r="G54" s="1777">
        <v>0.59519047619047616</v>
      </c>
      <c r="H54" s="1775">
        <v>249.98</v>
      </c>
      <c r="I54" s="1778">
        <v>853.55389500000001</v>
      </c>
      <c r="J54" s="1778">
        <v>169.66228940000002</v>
      </c>
      <c r="K54" s="1778">
        <v>270.02327449999996</v>
      </c>
      <c r="L54" s="1778">
        <v>19.6092844</v>
      </c>
      <c r="M54" s="1779">
        <v>459.29484829999996</v>
      </c>
      <c r="N54" s="1780">
        <v>5.3809706802404076</v>
      </c>
      <c r="O54" s="1781">
        <v>285.59475379999998</v>
      </c>
      <c r="P54" s="1782">
        <v>173.70009449999998</v>
      </c>
    </row>
    <row r="55" spans="1:16">
      <c r="A55" s="1773">
        <v>8</v>
      </c>
      <c r="B55" s="1774" t="s">
        <v>1684</v>
      </c>
      <c r="C55" s="1775">
        <v>420</v>
      </c>
      <c r="D55" s="1776">
        <v>0.84999999999999976</v>
      </c>
      <c r="E55" s="1775" t="s">
        <v>1649</v>
      </c>
      <c r="F55" s="1776">
        <v>9.8000000000000004E-2</v>
      </c>
      <c r="G55" s="1777">
        <v>0.3069047619047619</v>
      </c>
      <c r="H55" s="1775">
        <v>128.9</v>
      </c>
      <c r="I55" s="1778">
        <v>416.03122399999995</v>
      </c>
      <c r="J55" s="1778">
        <v>85.428389199999998</v>
      </c>
      <c r="K55" s="1778">
        <v>134.13861249999999</v>
      </c>
      <c r="L55" s="1778">
        <v>12.260284299999999</v>
      </c>
      <c r="M55" s="1779">
        <v>231.82728599999999</v>
      </c>
      <c r="N55" s="1780">
        <v>5.5723530501162575</v>
      </c>
      <c r="O55" s="1781">
        <v>167.88946239999999</v>
      </c>
      <c r="P55" s="1782">
        <v>63.937823600000002</v>
      </c>
    </row>
    <row r="56" spans="1:16">
      <c r="A56" s="1773">
        <v>9</v>
      </c>
      <c r="B56" s="1774" t="s">
        <v>1685</v>
      </c>
      <c r="C56" s="1775">
        <v>210</v>
      </c>
      <c r="D56" s="1776">
        <v>0.84999999999999976</v>
      </c>
      <c r="E56" s="1775" t="s">
        <v>1649</v>
      </c>
      <c r="F56" s="1776">
        <v>0.09</v>
      </c>
      <c r="G56" s="1777">
        <v>0.3</v>
      </c>
      <c r="H56" s="1775">
        <v>63</v>
      </c>
      <c r="I56" s="1778">
        <v>252.00286500000001</v>
      </c>
      <c r="J56" s="1778">
        <v>56.258608399999993</v>
      </c>
      <c r="K56" s="1778">
        <v>83.178094400000006</v>
      </c>
      <c r="L56" s="1778">
        <v>9.7681916999999991</v>
      </c>
      <c r="M56" s="1779">
        <v>149.20489449999999</v>
      </c>
      <c r="N56" s="1780">
        <v>5.9207618334021719</v>
      </c>
      <c r="O56" s="1781">
        <v>590.51870630000008</v>
      </c>
      <c r="P56" s="1782">
        <v>-441.31381180000005</v>
      </c>
    </row>
    <row r="57" spans="1:16">
      <c r="A57" s="1773">
        <v>10</v>
      </c>
      <c r="B57" s="1774" t="s">
        <v>1686</v>
      </c>
      <c r="C57" s="1775">
        <v>500</v>
      </c>
      <c r="D57" s="1776">
        <v>0.79999999999999993</v>
      </c>
      <c r="E57" s="1775" t="s">
        <v>1649</v>
      </c>
      <c r="F57" s="1776">
        <v>6.25E-2</v>
      </c>
      <c r="G57" s="1777">
        <v>0.44588</v>
      </c>
      <c r="H57" s="1775">
        <v>222.94</v>
      </c>
      <c r="I57" s="1778">
        <v>932.97655400000008</v>
      </c>
      <c r="J57" s="1778">
        <v>230.59268410000004</v>
      </c>
      <c r="K57" s="1778">
        <v>297.51460750000001</v>
      </c>
      <c r="L57" s="1778">
        <v>20.142690199999997</v>
      </c>
      <c r="M57" s="1779">
        <v>548.2499818</v>
      </c>
      <c r="N57" s="1780">
        <v>5.8763532636426783</v>
      </c>
      <c r="O57" s="1781">
        <v>66.619228700000008</v>
      </c>
      <c r="P57" s="1782">
        <v>481.63075309999999</v>
      </c>
    </row>
    <row r="58" spans="1:16">
      <c r="A58" s="1773">
        <v>11</v>
      </c>
      <c r="B58" s="1774" t="s">
        <v>1687</v>
      </c>
      <c r="C58" s="1775">
        <v>1600</v>
      </c>
      <c r="D58" s="1776"/>
      <c r="E58" s="1775" t="s">
        <v>1649</v>
      </c>
      <c r="F58" s="1776">
        <v>6.7799999999999999E-2</v>
      </c>
      <c r="G58" s="1777">
        <v>0</v>
      </c>
      <c r="H58" s="1775">
        <v>0</v>
      </c>
      <c r="I58" s="1778">
        <v>221.54300899999996</v>
      </c>
      <c r="J58" s="1778">
        <v>17.456770100000004</v>
      </c>
      <c r="K58" s="1778">
        <v>61.248013700000001</v>
      </c>
      <c r="L58" s="1778">
        <v>-3.4448599999999996E-2</v>
      </c>
      <c r="M58" s="1779">
        <v>78.670335199999997</v>
      </c>
      <c r="N58" s="1780">
        <v>3.5510186286221295</v>
      </c>
      <c r="O58" s="1781">
        <v>138.24457790000002</v>
      </c>
      <c r="P58" s="1782">
        <v>-59.574242700000028</v>
      </c>
    </row>
    <row r="59" spans="1:16">
      <c r="A59" s="1773">
        <v>12</v>
      </c>
      <c r="B59" s="1774" t="s">
        <v>1688</v>
      </c>
      <c r="C59" s="1775">
        <v>840</v>
      </c>
      <c r="D59" s="1776">
        <v>0.62836365323197718</v>
      </c>
      <c r="E59" s="1775" t="s">
        <v>1649</v>
      </c>
      <c r="F59" s="1776">
        <v>0.09</v>
      </c>
      <c r="G59" s="1777">
        <v>9.166666666666666E-2</v>
      </c>
      <c r="H59" s="1775">
        <v>77</v>
      </c>
      <c r="I59" s="1778">
        <v>349.51149199999998</v>
      </c>
      <c r="J59" s="1778">
        <v>46.861915099999997</v>
      </c>
      <c r="K59" s="1778">
        <v>82.20328880000001</v>
      </c>
      <c r="L59" s="1778">
        <v>0.3394259</v>
      </c>
      <c r="M59" s="1779">
        <v>129.40462980000001</v>
      </c>
      <c r="N59" s="1780">
        <v>3.7024427740418906</v>
      </c>
      <c r="O59" s="1781">
        <v>474.18206039999995</v>
      </c>
      <c r="P59" s="1782">
        <v>-344.77743059999995</v>
      </c>
    </row>
    <row r="60" spans="1:16">
      <c r="A60" s="1773">
        <v>13</v>
      </c>
      <c r="B60" s="1774" t="s">
        <v>1689</v>
      </c>
      <c r="C60" s="1775">
        <v>1500</v>
      </c>
      <c r="D60" s="1776">
        <v>0.88824945348201256</v>
      </c>
      <c r="E60" s="1775" t="s">
        <v>1649</v>
      </c>
      <c r="F60" s="1776">
        <v>6.25E-2</v>
      </c>
      <c r="G60" s="1777">
        <v>0.1</v>
      </c>
      <c r="H60" s="1775">
        <v>150</v>
      </c>
      <c r="I60" s="1778">
        <v>1034.3308240000001</v>
      </c>
      <c r="J60" s="1778">
        <v>138.77233040000002</v>
      </c>
      <c r="K60" s="1778">
        <v>237.56353039999999</v>
      </c>
      <c r="L60" s="1778">
        <v>2.0442247</v>
      </c>
      <c r="M60" s="1779">
        <v>378.38008549999995</v>
      </c>
      <c r="N60" s="1780">
        <v>3.6582114418355567</v>
      </c>
      <c r="O60" s="1781">
        <v>182.37925630000001</v>
      </c>
      <c r="P60" s="1782">
        <v>196.00082919999994</v>
      </c>
    </row>
    <row r="61" spans="1:16">
      <c r="A61" s="1773">
        <v>14</v>
      </c>
      <c r="B61" s="1774" t="s">
        <v>1690</v>
      </c>
      <c r="C61" s="1775">
        <v>840</v>
      </c>
      <c r="D61" s="1776">
        <v>0.57394223297426106</v>
      </c>
      <c r="E61" s="1775" t="s">
        <v>1649</v>
      </c>
      <c r="F61" s="1776">
        <v>8.5000000000000006E-2</v>
      </c>
      <c r="G61" s="1777">
        <v>0.1</v>
      </c>
      <c r="H61" s="1775">
        <v>84</v>
      </c>
      <c r="I61" s="1778">
        <v>474.45778499999994</v>
      </c>
      <c r="J61" s="1778">
        <v>51.054372600000001</v>
      </c>
      <c r="K61" s="1778">
        <v>152.52395910000001</v>
      </c>
      <c r="L61" s="1778">
        <v>0.61210890000000007</v>
      </c>
      <c r="M61" s="1779">
        <v>204.19044060000002</v>
      </c>
      <c r="N61" s="1780">
        <v>4.3036587670281357</v>
      </c>
      <c r="O61" s="1781">
        <v>268.09281350000003</v>
      </c>
      <c r="P61" s="1782">
        <v>-63.902372900000017</v>
      </c>
    </row>
    <row r="62" spans="1:16">
      <c r="A62" s="1773">
        <v>15</v>
      </c>
      <c r="B62" s="1774" t="s">
        <v>1691</v>
      </c>
      <c r="C62" s="1775">
        <v>980</v>
      </c>
      <c r="D62" s="1776">
        <v>0.85</v>
      </c>
      <c r="E62" s="1775" t="s">
        <v>1649</v>
      </c>
      <c r="F62" s="1776">
        <v>5.7500000000000002E-2</v>
      </c>
      <c r="G62" s="1777">
        <v>0.1</v>
      </c>
      <c r="H62" s="1775">
        <v>98</v>
      </c>
      <c r="I62" s="1778">
        <v>272.36242600000003</v>
      </c>
      <c r="J62" s="1778">
        <v>107.5290234</v>
      </c>
      <c r="K62" s="1778">
        <v>101.45696000000001</v>
      </c>
      <c r="L62" s="1778">
        <v>7.5154098999999999</v>
      </c>
      <c r="M62" s="1779">
        <v>216.50139330000002</v>
      </c>
      <c r="N62" s="1780">
        <v>7.9490183899301883</v>
      </c>
      <c r="O62" s="1781">
        <v>497.97353880000003</v>
      </c>
      <c r="P62" s="1782">
        <v>-281.47214550000001</v>
      </c>
    </row>
    <row r="63" spans="1:16">
      <c r="A63" s="1773">
        <v>16</v>
      </c>
      <c r="B63" s="1774" t="s">
        <v>1692</v>
      </c>
      <c r="C63" s="1775">
        <v>1000</v>
      </c>
      <c r="D63" s="1776">
        <v>0.85600515006017286</v>
      </c>
      <c r="E63" s="1775" t="s">
        <v>1649</v>
      </c>
      <c r="F63" s="1776">
        <v>0.08</v>
      </c>
      <c r="G63" s="1777">
        <v>0.32569999999999999</v>
      </c>
      <c r="H63" s="1775">
        <v>325.7</v>
      </c>
      <c r="I63" s="1778">
        <v>2072.1736190000001</v>
      </c>
      <c r="J63" s="1778">
        <v>172.42419760000001</v>
      </c>
      <c r="K63" s="1778">
        <v>312.87003270000002</v>
      </c>
      <c r="L63" s="1778">
        <v>0.50966259999999997</v>
      </c>
      <c r="M63" s="1779">
        <v>485.80389290000005</v>
      </c>
      <c r="N63" s="1780">
        <v>2.3444169371022188</v>
      </c>
      <c r="O63" s="1781">
        <v>439.22749270000003</v>
      </c>
      <c r="P63" s="1782">
        <v>46.576400200000023</v>
      </c>
    </row>
    <row r="64" spans="1:16">
      <c r="A64" s="1773">
        <v>17</v>
      </c>
      <c r="B64" s="1774" t="s">
        <v>1693</v>
      </c>
      <c r="C64" s="1775">
        <v>1000</v>
      </c>
      <c r="D64" s="1776">
        <v>0.85340018040083099</v>
      </c>
      <c r="E64" s="1775" t="s">
        <v>1649</v>
      </c>
      <c r="F64" s="1776">
        <v>6.25E-2</v>
      </c>
      <c r="G64" s="1777">
        <v>0.29599999999999999</v>
      </c>
      <c r="H64" s="1775">
        <v>296</v>
      </c>
      <c r="I64" s="1778">
        <v>2305.7879990000006</v>
      </c>
      <c r="J64" s="1778">
        <v>141.57327409999996</v>
      </c>
      <c r="K64" s="1778">
        <v>339.1803582</v>
      </c>
      <c r="L64" s="1778">
        <v>6.6781627999999991</v>
      </c>
      <c r="M64" s="1779">
        <v>487.43179509999993</v>
      </c>
      <c r="N64" s="1780">
        <v>2.1139488769626467</v>
      </c>
      <c r="O64" s="1781">
        <v>714.06994090000001</v>
      </c>
      <c r="P64" s="1782">
        <v>-226.63814580000007</v>
      </c>
    </row>
    <row r="65" spans="1:16">
      <c r="A65" s="1773">
        <v>18</v>
      </c>
      <c r="B65" s="1774" t="s">
        <v>1694</v>
      </c>
      <c r="C65" s="1775">
        <v>1000</v>
      </c>
      <c r="D65" s="1776">
        <v>0.90423912876969903</v>
      </c>
      <c r="E65" s="1775" t="s">
        <v>1649</v>
      </c>
      <c r="F65" s="1776">
        <v>6.25E-2</v>
      </c>
      <c r="G65" s="1777">
        <v>0.32</v>
      </c>
      <c r="H65" s="1775">
        <v>320</v>
      </c>
      <c r="I65" s="1778">
        <v>2463.3404980000005</v>
      </c>
      <c r="J65" s="1778">
        <v>314.5477659</v>
      </c>
      <c r="K65" s="1778">
        <v>373.20486249999999</v>
      </c>
      <c r="L65" s="1778">
        <v>3.4119065499999999</v>
      </c>
      <c r="M65" s="1779">
        <v>691.16453495000007</v>
      </c>
      <c r="N65" s="1780">
        <v>2.8058018593497747</v>
      </c>
      <c r="O65" s="1781">
        <v>1066.5938263</v>
      </c>
      <c r="P65" s="1782">
        <v>-375.42929134999997</v>
      </c>
    </row>
    <row r="66" spans="1:16">
      <c r="A66" s="1773">
        <v>19</v>
      </c>
      <c r="B66" s="1774" t="s">
        <v>1695</v>
      </c>
      <c r="C66" s="1775">
        <v>2000</v>
      </c>
      <c r="D66" s="1776">
        <v>0.83838520933696126</v>
      </c>
      <c r="E66" s="1775" t="s">
        <v>1649</v>
      </c>
      <c r="F66" s="1776">
        <v>7.1300000000000002E-2</v>
      </c>
      <c r="G66" s="1777">
        <v>0.37680000000000002</v>
      </c>
      <c r="H66" s="1775">
        <v>753.6</v>
      </c>
      <c r="I66" s="1778">
        <v>4967.570380000001</v>
      </c>
      <c r="J66" s="1778">
        <v>323.13526530000001</v>
      </c>
      <c r="K66" s="1778">
        <v>733.41892199999995</v>
      </c>
      <c r="L66" s="1778">
        <v>0</v>
      </c>
      <c r="M66" s="1779">
        <v>1056.5541873</v>
      </c>
      <c r="N66" s="1780">
        <v>2.1269033078098025</v>
      </c>
      <c r="O66" s="1781">
        <v>4.9047947999999995</v>
      </c>
      <c r="P66" s="1782">
        <v>1051.6493925</v>
      </c>
    </row>
    <row r="67" spans="1:16">
      <c r="A67" s="1773">
        <v>20</v>
      </c>
      <c r="B67" s="1774" t="s">
        <v>1696</v>
      </c>
      <c r="C67" s="1775">
        <v>2100</v>
      </c>
      <c r="D67" s="1776">
        <v>0.64620513799674362</v>
      </c>
      <c r="E67" s="1775" t="s">
        <v>1649</v>
      </c>
      <c r="F67" s="1776">
        <v>7.0400000000000004E-2</v>
      </c>
      <c r="G67" s="1777">
        <v>1.8047619047619047E-3</v>
      </c>
      <c r="H67" s="1775">
        <v>3.79</v>
      </c>
      <c r="I67" s="1778">
        <v>17.933887000000002</v>
      </c>
      <c r="J67" s="1778">
        <v>1.1110156</v>
      </c>
      <c r="K67" s="1778">
        <v>2.5925924</v>
      </c>
      <c r="L67" s="1778">
        <v>1.5969899999999999E-2</v>
      </c>
      <c r="M67" s="1779">
        <v>3.7195779</v>
      </c>
      <c r="N67" s="1780">
        <v>2.0740500372284041</v>
      </c>
      <c r="O67" s="1781">
        <v>2.5938753999999999</v>
      </c>
      <c r="P67" s="1782">
        <v>1.1257025000000001</v>
      </c>
    </row>
    <row r="68" spans="1:16">
      <c r="A68" s="1773">
        <v>21</v>
      </c>
      <c r="B68" s="1774" t="s">
        <v>1697</v>
      </c>
      <c r="C68" s="1775">
        <v>500</v>
      </c>
      <c r="D68" s="1776">
        <v>0.82247764274880508</v>
      </c>
      <c r="E68" s="1775" t="s">
        <v>1649</v>
      </c>
      <c r="F68" s="1776">
        <v>6.25E-2</v>
      </c>
      <c r="G68" s="1777">
        <v>2.82E-3</v>
      </c>
      <c r="H68" s="1775">
        <v>1.41</v>
      </c>
      <c r="I68" s="1778">
        <v>9.2936099999999993</v>
      </c>
      <c r="J68" s="1778">
        <v>1.0993303999999999</v>
      </c>
      <c r="K68" s="1778">
        <v>1.3689402000000002</v>
      </c>
      <c r="L68" s="1778">
        <v>3.1356799999999997E-2</v>
      </c>
      <c r="M68" s="1779">
        <v>2.4996274000000005</v>
      </c>
      <c r="N68" s="1780">
        <v>2.689619426681344</v>
      </c>
      <c r="O68" s="1781">
        <v>20.637168500000001</v>
      </c>
      <c r="P68" s="1782">
        <v>-18.1375411</v>
      </c>
    </row>
    <row r="69" spans="1:16">
      <c r="A69" s="1773">
        <v>22</v>
      </c>
      <c r="B69" s="1774" t="s">
        <v>1698</v>
      </c>
      <c r="C69" s="1775">
        <v>1000</v>
      </c>
      <c r="D69" s="1776">
        <v>0.63771180826652507</v>
      </c>
      <c r="E69" s="1775" t="s">
        <v>1649</v>
      </c>
      <c r="F69" s="1776">
        <v>6.25E-2</v>
      </c>
      <c r="G69" s="1777">
        <v>2.82E-3</v>
      </c>
      <c r="H69" s="1775">
        <v>2.82</v>
      </c>
      <c r="I69" s="1778">
        <v>5.1232329999999999</v>
      </c>
      <c r="J69" s="1778">
        <v>3.0589048000000001</v>
      </c>
      <c r="K69" s="1778">
        <v>1.6327623</v>
      </c>
      <c r="L69" s="1778">
        <v>9.8741099999999998E-2</v>
      </c>
      <c r="M69" s="1779">
        <v>4.7904081999999999</v>
      </c>
      <c r="N69" s="1780">
        <v>9.3503617735129367</v>
      </c>
      <c r="O69" s="1781">
        <v>22.407188400000003</v>
      </c>
      <c r="P69" s="1782">
        <v>-17.616780200000001</v>
      </c>
    </row>
    <row r="70" spans="1:16">
      <c r="A70" s="1773">
        <v>23</v>
      </c>
      <c r="B70" s="1774" t="s">
        <v>1699</v>
      </c>
      <c r="C70" s="1775">
        <v>1320</v>
      </c>
      <c r="D70" s="1776">
        <v>0.72534088271971997</v>
      </c>
      <c r="E70" s="1775" t="s">
        <v>1649</v>
      </c>
      <c r="F70" s="1776">
        <v>6.25E-2</v>
      </c>
      <c r="G70" s="1777">
        <v>2.8181818181818182E-3</v>
      </c>
      <c r="H70" s="1775">
        <v>3.72</v>
      </c>
      <c r="I70" s="1778">
        <v>10.485182999999999</v>
      </c>
      <c r="J70" s="1778">
        <v>3.7763870000000002</v>
      </c>
      <c r="K70" s="1778">
        <v>3.3256537999999995</v>
      </c>
      <c r="L70" s="1778">
        <v>4.6625400000000004E-2</v>
      </c>
      <c r="M70" s="1779">
        <v>7.1486661999999992</v>
      </c>
      <c r="N70" s="1780">
        <v>6.8178745187375362</v>
      </c>
      <c r="O70" s="1781">
        <v>4.7442732999999997</v>
      </c>
      <c r="P70" s="1782">
        <v>2.4043928999999995</v>
      </c>
    </row>
    <row r="71" spans="1:16">
      <c r="A71" s="1773">
        <v>24</v>
      </c>
      <c r="B71" s="1774" t="s">
        <v>1700</v>
      </c>
      <c r="C71" s="1775">
        <v>660</v>
      </c>
      <c r="D71" s="1776">
        <v>0.26751805021295955</v>
      </c>
      <c r="E71" s="1775" t="s">
        <v>1649</v>
      </c>
      <c r="F71" s="1776">
        <v>6.25E-2</v>
      </c>
      <c r="G71" s="1777">
        <v>5.6363636363636364E-3</v>
      </c>
      <c r="H71" s="1775">
        <v>3.72</v>
      </c>
      <c r="I71" s="1778">
        <v>5.0984759999999998</v>
      </c>
      <c r="J71" s="1778">
        <v>3.7384937000000003</v>
      </c>
      <c r="K71" s="1778">
        <v>1.8603941000000002</v>
      </c>
      <c r="L71" s="1778">
        <v>-1.3284000000000004E-3</v>
      </c>
      <c r="M71" s="1779">
        <v>5.5975593999999997</v>
      </c>
      <c r="N71" s="1780">
        <v>10.978887416553496</v>
      </c>
      <c r="O71" s="1781">
        <v>9.8928902999999995</v>
      </c>
      <c r="P71" s="1782">
        <v>-4.2953308999999997</v>
      </c>
    </row>
    <row r="72" spans="1:16">
      <c r="A72" s="1773">
        <v>25</v>
      </c>
      <c r="B72" s="1774" t="s">
        <v>1701</v>
      </c>
      <c r="C72" s="1775">
        <v>1980</v>
      </c>
      <c r="D72" s="1776">
        <v>0.83793862177948009</v>
      </c>
      <c r="E72" s="1775" t="s">
        <v>1649</v>
      </c>
      <c r="F72" s="1776">
        <v>6.25E-2</v>
      </c>
      <c r="G72" s="1777">
        <v>2.8181818181818182E-3</v>
      </c>
      <c r="H72" s="1775">
        <v>5.58</v>
      </c>
      <c r="I72" s="1778">
        <v>35.161560999999992</v>
      </c>
      <c r="J72" s="1778">
        <v>4.0900865</v>
      </c>
      <c r="K72" s="1778">
        <v>5.3930221000000005</v>
      </c>
      <c r="L72" s="1778">
        <v>7.5576150000000009E-2</v>
      </c>
      <c r="M72" s="1779">
        <v>9.5586847500000012</v>
      </c>
      <c r="N72" s="1780">
        <v>2.7185040931487663</v>
      </c>
      <c r="O72" s="1781">
        <v>4.1353884000000001</v>
      </c>
      <c r="P72" s="1782">
        <v>5.4232963500000011</v>
      </c>
    </row>
    <row r="73" spans="1:16">
      <c r="A73" s="1773">
        <v>26</v>
      </c>
      <c r="B73" s="1774" t="s">
        <v>1702</v>
      </c>
      <c r="C73" s="1775">
        <v>1000</v>
      </c>
      <c r="D73" s="1776">
        <v>0.65507034833351685</v>
      </c>
      <c r="E73" s="1775" t="s">
        <v>1649</v>
      </c>
      <c r="F73" s="1776">
        <v>6.25E-2</v>
      </c>
      <c r="G73" s="1777">
        <v>2.3700000000000001E-3</v>
      </c>
      <c r="H73" s="1775">
        <v>2.37</v>
      </c>
      <c r="I73" s="1778">
        <v>11.487226999999999</v>
      </c>
      <c r="J73" s="1778">
        <v>1.3610663999999999</v>
      </c>
      <c r="K73" s="1778">
        <v>1.7971852000000001</v>
      </c>
      <c r="L73" s="1778">
        <v>7.9763000000000039E-3</v>
      </c>
      <c r="M73" s="1779">
        <v>3.1662279</v>
      </c>
      <c r="N73" s="1780">
        <v>2.7563030660053989</v>
      </c>
      <c r="O73" s="1781">
        <v>8.6467518999999999</v>
      </c>
      <c r="P73" s="1782">
        <v>-5.480524</v>
      </c>
    </row>
    <row r="74" spans="1:16">
      <c r="A74" s="1773">
        <v>27</v>
      </c>
      <c r="B74" s="1774" t="s">
        <v>1703</v>
      </c>
      <c r="C74" s="1775">
        <v>1260</v>
      </c>
      <c r="D74" s="1776">
        <v>0.67556685549962614</v>
      </c>
      <c r="E74" s="1775" t="s">
        <v>1649</v>
      </c>
      <c r="F74" s="1776">
        <v>0.09</v>
      </c>
      <c r="G74" s="1777">
        <v>2.5952380952380953E-3</v>
      </c>
      <c r="H74" s="1775">
        <v>3.27</v>
      </c>
      <c r="I74" s="1778">
        <v>17.011768000000004</v>
      </c>
      <c r="J74" s="1778">
        <v>1.4306450000000002</v>
      </c>
      <c r="K74" s="1778">
        <v>2.9295470000000003</v>
      </c>
      <c r="L74" s="1778">
        <v>0</v>
      </c>
      <c r="M74" s="1779">
        <v>4.3601920000000005</v>
      </c>
      <c r="N74" s="1780">
        <v>2.5630445936013233</v>
      </c>
      <c r="O74" s="1781">
        <v>4.1673767000000002</v>
      </c>
      <c r="P74" s="1782">
        <v>0.19281530000000036</v>
      </c>
    </row>
    <row r="75" spans="1:16">
      <c r="A75" s="1773">
        <v>28</v>
      </c>
      <c r="B75" s="1774" t="s">
        <v>1704</v>
      </c>
      <c r="C75" s="1775">
        <v>1000</v>
      </c>
      <c r="D75" s="1776">
        <v>0.65230708910023494</v>
      </c>
      <c r="E75" s="1775" t="s">
        <v>1649</v>
      </c>
      <c r="F75" s="1776">
        <v>7.0499999999999993E-2</v>
      </c>
      <c r="G75" s="1777">
        <v>2.48E-3</v>
      </c>
      <c r="H75" s="1775">
        <v>2.48</v>
      </c>
      <c r="I75" s="1778">
        <v>12.598735999999999</v>
      </c>
      <c r="J75" s="1778">
        <v>0.84584349999999997</v>
      </c>
      <c r="K75" s="1778">
        <v>2.0845548000000003</v>
      </c>
      <c r="L75" s="1778">
        <v>2.7922999999999993E-3</v>
      </c>
      <c r="M75" s="1779">
        <v>2.9331906000000001</v>
      </c>
      <c r="N75" s="1780">
        <v>2.3281626029785847</v>
      </c>
      <c r="O75" s="1781">
        <v>6.3931794999999996</v>
      </c>
      <c r="P75" s="1782">
        <v>-3.4599888999999995</v>
      </c>
    </row>
    <row r="76" spans="1:16">
      <c r="A76" s="1773">
        <v>29</v>
      </c>
      <c r="B76" s="1774" t="s">
        <v>1705</v>
      </c>
      <c r="C76" s="1775">
        <v>1000</v>
      </c>
      <c r="D76" s="1776">
        <v>0.71877651000727349</v>
      </c>
      <c r="E76" s="1775" t="s">
        <v>1649</v>
      </c>
      <c r="F76" s="1776">
        <v>6.25E-2</v>
      </c>
      <c r="G76" s="1777">
        <v>2.48E-3</v>
      </c>
      <c r="H76" s="1775">
        <v>2.48</v>
      </c>
      <c r="I76" s="1778">
        <v>14.285893000000002</v>
      </c>
      <c r="J76" s="1778">
        <v>1.3754347</v>
      </c>
      <c r="K76" s="1778">
        <v>2.3722396999999997</v>
      </c>
      <c r="L76" s="1778">
        <v>6.9118000000000027E-3</v>
      </c>
      <c r="M76" s="1779">
        <v>3.7545861999999999</v>
      </c>
      <c r="N76" s="1780">
        <v>2.6281774614999565</v>
      </c>
      <c r="O76" s="1781">
        <v>6.4931470999999998</v>
      </c>
      <c r="P76" s="1782">
        <v>-2.7385609</v>
      </c>
    </row>
    <row r="77" spans="1:16">
      <c r="A77" s="1773">
        <v>30</v>
      </c>
      <c r="B77" s="1774" t="s">
        <v>1706</v>
      </c>
      <c r="C77" s="1775">
        <v>1000</v>
      </c>
      <c r="D77" s="1776">
        <v>0.77042506936046751</v>
      </c>
      <c r="E77" s="1775" t="s">
        <v>1649</v>
      </c>
      <c r="F77" s="1776">
        <v>6.25E-2</v>
      </c>
      <c r="G77" s="1777">
        <v>2.82E-3</v>
      </c>
      <c r="H77" s="1775">
        <v>2.82</v>
      </c>
      <c r="I77" s="1778">
        <v>16.118005</v>
      </c>
      <c r="J77" s="1778">
        <v>2.6504593000000005</v>
      </c>
      <c r="K77" s="1778">
        <v>2.7289015000000001</v>
      </c>
      <c r="L77" s="1778">
        <v>9.7313999999999994E-3</v>
      </c>
      <c r="M77" s="1779">
        <v>5.3890922000000003</v>
      </c>
      <c r="N77" s="1780">
        <v>3.3435230973063979</v>
      </c>
      <c r="O77" s="1781">
        <v>4.7501003999999991</v>
      </c>
      <c r="P77" s="1782">
        <v>0.63899180000000122</v>
      </c>
    </row>
    <row r="78" spans="1:16">
      <c r="A78" s="1773">
        <v>31</v>
      </c>
      <c r="B78" s="1774" t="s">
        <v>1707</v>
      </c>
      <c r="C78" s="1775">
        <v>500</v>
      </c>
      <c r="D78" s="1776">
        <v>0.79909804513407068</v>
      </c>
      <c r="E78" s="1775" t="s">
        <v>1649</v>
      </c>
      <c r="F78" s="1776">
        <v>7.2499999999999995E-2</v>
      </c>
      <c r="G78" s="1777">
        <v>2.82E-3</v>
      </c>
      <c r="H78" s="1775">
        <v>1.41</v>
      </c>
      <c r="I78" s="1778">
        <v>9.3614359999999994</v>
      </c>
      <c r="J78" s="1778">
        <v>1.5280922000000001</v>
      </c>
      <c r="K78" s="1778">
        <v>1.6245752</v>
      </c>
      <c r="L78" s="1778">
        <v>0</v>
      </c>
      <c r="M78" s="1779">
        <v>3.1526674000000003</v>
      </c>
      <c r="N78" s="1780">
        <v>3.3677177304849386</v>
      </c>
      <c r="O78" s="1781">
        <v>468.74453640000002</v>
      </c>
      <c r="P78" s="1782">
        <v>-465.59186900000003</v>
      </c>
    </row>
    <row r="79" spans="1:16">
      <c r="A79" s="1773">
        <v>32</v>
      </c>
      <c r="B79" s="1774" t="s">
        <v>1854</v>
      </c>
      <c r="C79" s="1775">
        <v>1320</v>
      </c>
      <c r="D79" s="1776"/>
      <c r="E79" s="1775"/>
      <c r="F79" s="1776">
        <v>5.7500000000000002E-2</v>
      </c>
      <c r="G79" s="1777">
        <v>0.71474000000000004</v>
      </c>
      <c r="H79" s="1775">
        <v>943.45680000000004</v>
      </c>
      <c r="I79" s="1778">
        <v>2599.8820249999999</v>
      </c>
      <c r="J79" s="1778">
        <v>475.38057459999993</v>
      </c>
      <c r="K79" s="1778">
        <v>709.80154189999996</v>
      </c>
      <c r="L79" s="1778">
        <v>11.3758993</v>
      </c>
      <c r="M79" s="1779">
        <v>1196.5580157999998</v>
      </c>
      <c r="N79" s="1780">
        <v>4.6023550464756182</v>
      </c>
      <c r="O79" s="1781">
        <v>114.36285129999999</v>
      </c>
      <c r="P79" s="1782">
        <v>1082.1951644999999</v>
      </c>
    </row>
    <row r="80" spans="1:16">
      <c r="A80" s="1773">
        <v>34</v>
      </c>
      <c r="B80" s="1774" t="s">
        <v>1709</v>
      </c>
      <c r="C80" s="1775">
        <v>1600</v>
      </c>
      <c r="D80" s="1776"/>
      <c r="E80" s="1775"/>
      <c r="F80" s="1776">
        <v>5.7500000000000002E-2</v>
      </c>
      <c r="G80" s="1777">
        <v>0</v>
      </c>
      <c r="H80" s="1775">
        <v>0</v>
      </c>
      <c r="I80" s="1778">
        <v>0</v>
      </c>
      <c r="J80" s="1778">
        <v>0</v>
      </c>
      <c r="K80" s="1778">
        <v>0</v>
      </c>
      <c r="L80" s="1778">
        <v>0</v>
      </c>
      <c r="M80" s="1779">
        <v>0</v>
      </c>
      <c r="N80" s="1780">
        <v>0</v>
      </c>
      <c r="O80" s="1781">
        <v>3.1945751000000002</v>
      </c>
      <c r="P80" s="1782">
        <v>-3.1945751000000002</v>
      </c>
    </row>
    <row r="81" spans="1:16">
      <c r="A81" s="1773">
        <v>35</v>
      </c>
      <c r="B81" s="1774" t="s">
        <v>1710</v>
      </c>
      <c r="C81" s="1775">
        <v>1500</v>
      </c>
      <c r="D81" s="1776"/>
      <c r="E81" s="1775" t="s">
        <v>1649</v>
      </c>
      <c r="F81" s="1776">
        <v>5.7500000000000002E-2</v>
      </c>
      <c r="G81" s="1777">
        <v>0</v>
      </c>
      <c r="H81" s="1775">
        <v>0</v>
      </c>
      <c r="I81" s="1778">
        <v>0</v>
      </c>
      <c r="J81" s="1778">
        <v>0</v>
      </c>
      <c r="K81" s="1778">
        <v>0</v>
      </c>
      <c r="L81" s="1778">
        <v>0</v>
      </c>
      <c r="M81" s="1779">
        <v>0</v>
      </c>
      <c r="N81" s="1780">
        <v>0</v>
      </c>
      <c r="O81" s="1781">
        <v>2.5687658999999998</v>
      </c>
      <c r="P81" s="1782">
        <v>-2.5687658999999998</v>
      </c>
    </row>
    <row r="82" spans="1:16">
      <c r="A82" s="1773">
        <v>36</v>
      </c>
      <c r="B82" s="2824" t="s">
        <v>1711</v>
      </c>
      <c r="C82" s="1775">
        <v>800</v>
      </c>
      <c r="D82" s="1776"/>
      <c r="E82" s="1775" t="s">
        <v>1649</v>
      </c>
      <c r="F82" s="1776">
        <v>5.7500000000000002E-2</v>
      </c>
      <c r="G82" s="1777">
        <v>2.4124999999999997E-3</v>
      </c>
      <c r="H82" s="1775">
        <v>1.93</v>
      </c>
      <c r="I82" s="1778">
        <v>8.8735459999999993</v>
      </c>
      <c r="J82" s="1778">
        <v>3.0618953000000002</v>
      </c>
      <c r="K82" s="1778">
        <v>2.6385728000000004</v>
      </c>
      <c r="L82" s="1778">
        <v>-9.2835000000000001E-3</v>
      </c>
      <c r="M82" s="1779">
        <v>5.6911845999999997</v>
      </c>
      <c r="N82" s="1780">
        <v>6.4136531213113681</v>
      </c>
      <c r="O82" s="1781">
        <v>0.8589538000000001</v>
      </c>
      <c r="P82" s="1782">
        <v>4.8322307999999996</v>
      </c>
    </row>
    <row r="83" spans="1:16">
      <c r="A83" s="1773">
        <v>37</v>
      </c>
      <c r="B83" s="2824" t="s">
        <v>1712</v>
      </c>
      <c r="C83" s="1775">
        <v>1600</v>
      </c>
      <c r="D83" s="1776"/>
      <c r="E83" s="1775" t="s">
        <v>1649</v>
      </c>
      <c r="F83" s="1776">
        <v>5.7500000000000002E-2</v>
      </c>
      <c r="G83" s="1777">
        <v>2.4124999999999997E-3</v>
      </c>
      <c r="H83" s="1775">
        <v>3.86</v>
      </c>
      <c r="I83" s="1778">
        <v>17.176924000000003</v>
      </c>
      <c r="J83" s="1778">
        <v>3.9359900000000003</v>
      </c>
      <c r="K83" s="1778">
        <v>3.9574385000000003</v>
      </c>
      <c r="L83" s="1778">
        <v>-1.9200000000000033E-5</v>
      </c>
      <c r="M83" s="1779">
        <v>7.893409300000001</v>
      </c>
      <c r="N83" s="1780">
        <v>4.595356712296101</v>
      </c>
      <c r="O83" s="1781">
        <v>128.11008820000001</v>
      </c>
      <c r="P83" s="1782">
        <v>-120.21667890000001</v>
      </c>
    </row>
    <row r="84" spans="1:16">
      <c r="A84" s="1773">
        <v>38</v>
      </c>
      <c r="B84" s="2824" t="s">
        <v>1713</v>
      </c>
      <c r="C84" s="1775">
        <v>1320</v>
      </c>
      <c r="D84" s="1776">
        <v>0.85</v>
      </c>
      <c r="E84" s="1775" t="s">
        <v>1649</v>
      </c>
      <c r="F84" s="1776">
        <v>5.7500000000000002E-2</v>
      </c>
      <c r="G84" s="1777">
        <v>2.4090909090909093E-3</v>
      </c>
      <c r="H84" s="1775">
        <v>3.18</v>
      </c>
      <c r="I84" s="1778">
        <v>11.553884000000004</v>
      </c>
      <c r="J84" s="1778">
        <v>4.7125178999999999</v>
      </c>
      <c r="K84" s="1778">
        <v>3.4943675000000001</v>
      </c>
      <c r="L84" s="1778">
        <v>-2.1916200000000004E-2</v>
      </c>
      <c r="M84" s="1779">
        <v>8.1849692000000012</v>
      </c>
      <c r="N84" s="1780">
        <v>7.0841711756842969</v>
      </c>
      <c r="O84" s="1781">
        <v>8156.3259102999991</v>
      </c>
      <c r="P84" s="1782">
        <v>-8148.1409410999995</v>
      </c>
    </row>
    <row r="85" spans="1:16">
      <c r="A85" s="1773"/>
      <c r="B85" s="2824" t="s">
        <v>1714</v>
      </c>
      <c r="C85" s="1775"/>
      <c r="D85" s="1776"/>
      <c r="E85" s="1775"/>
      <c r="F85" s="1777"/>
      <c r="G85" s="1856"/>
      <c r="H85" s="1780"/>
      <c r="I85" s="1778">
        <v>0</v>
      </c>
      <c r="J85" s="1778">
        <v>0</v>
      </c>
      <c r="K85" s="1778">
        <v>0</v>
      </c>
      <c r="L85" s="1778">
        <v>41.166631399999986</v>
      </c>
      <c r="M85" s="1779">
        <v>41.166631399999986</v>
      </c>
      <c r="N85" s="1780">
        <v>0</v>
      </c>
      <c r="O85" s="1781"/>
      <c r="P85" s="1782">
        <v>41.166631399999986</v>
      </c>
    </row>
    <row r="86" spans="1:16">
      <c r="A86" s="1773"/>
      <c r="B86" s="1774" t="s">
        <v>211</v>
      </c>
      <c r="C86" s="1775"/>
      <c r="D86" s="1776"/>
      <c r="E86" s="1775"/>
      <c r="F86" s="1777"/>
      <c r="G86" s="1856"/>
      <c r="H86" s="1780"/>
      <c r="I86" s="1779">
        <v>22193.951392999999</v>
      </c>
      <c r="J86" s="1779">
        <v>2960.5462501999991</v>
      </c>
      <c r="K86" s="1779">
        <v>4990.4640118999987</v>
      </c>
      <c r="L86" s="1779">
        <v>168.97860879999996</v>
      </c>
      <c r="M86" s="1779">
        <v>8119.9888708999988</v>
      </c>
      <c r="N86" s="1780">
        <v>3.6586494793626763</v>
      </c>
      <c r="O86" s="1781"/>
      <c r="P86" s="1782">
        <v>8119.9888708999988</v>
      </c>
    </row>
    <row r="87" spans="1:16">
      <c r="A87" s="1773"/>
      <c r="B87" s="1774"/>
      <c r="C87" s="1775"/>
      <c r="D87" s="1776"/>
      <c r="E87" s="1775"/>
      <c r="F87" s="1776"/>
      <c r="G87" s="1854"/>
      <c r="H87" s="1853"/>
      <c r="I87" s="1778"/>
      <c r="J87" s="1945"/>
      <c r="K87" s="1945"/>
      <c r="L87" s="1945"/>
      <c r="M87" s="1945"/>
      <c r="N87" s="1780"/>
      <c r="O87" s="1781">
        <v>1.8380361000000001</v>
      </c>
      <c r="P87" s="1782">
        <v>-1.8380361000000001</v>
      </c>
    </row>
    <row r="88" spans="1:16">
      <c r="A88" s="1773" t="s">
        <v>26</v>
      </c>
      <c r="B88" s="1879" t="s">
        <v>1715</v>
      </c>
      <c r="C88" s="1775"/>
      <c r="D88" s="1776"/>
      <c r="E88" s="1775"/>
      <c r="F88" s="1776"/>
      <c r="G88" s="1854"/>
      <c r="H88" s="1853"/>
      <c r="I88" s="1778"/>
      <c r="J88" s="1945"/>
      <c r="K88" s="1945"/>
      <c r="L88" s="1945"/>
      <c r="M88" s="1945"/>
      <c r="N88" s="1780"/>
      <c r="O88" s="1781">
        <v>393.3688628999999</v>
      </c>
      <c r="P88" s="1782">
        <v>-393.3688628999999</v>
      </c>
    </row>
    <row r="89" spans="1:16">
      <c r="A89" s="1773">
        <v>1</v>
      </c>
      <c r="B89" s="1774" t="s">
        <v>1716</v>
      </c>
      <c r="C89" s="1775">
        <v>440</v>
      </c>
      <c r="D89" s="1776">
        <v>0.39146408820669581</v>
      </c>
      <c r="E89" s="1775" t="s">
        <v>1717</v>
      </c>
      <c r="F89" s="1776">
        <v>0</v>
      </c>
      <c r="G89" s="1777">
        <v>3.7499999999999999E-3</v>
      </c>
      <c r="H89" s="1775">
        <v>1.65</v>
      </c>
      <c r="I89" s="1778">
        <v>5.2561869999999997</v>
      </c>
      <c r="J89" s="1778">
        <v>0</v>
      </c>
      <c r="K89" s="1778">
        <v>1.2112304</v>
      </c>
      <c r="L89" s="1778">
        <v>-5.8226928999999997E-2</v>
      </c>
      <c r="M89" s="1779">
        <v>1.1530034710000001</v>
      </c>
      <c r="N89" s="1780">
        <v>2.1936119681434474</v>
      </c>
      <c r="O89" s="1781">
        <v>6.6601580999999994</v>
      </c>
      <c r="P89" s="1782">
        <v>-5.5071546289999995</v>
      </c>
    </row>
    <row r="90" spans="1:16">
      <c r="A90" s="1773">
        <v>2</v>
      </c>
      <c r="B90" s="1774" t="s">
        <v>1718</v>
      </c>
      <c r="C90" s="1775">
        <v>440</v>
      </c>
      <c r="D90" s="1776">
        <v>0.92607406214751364</v>
      </c>
      <c r="E90" s="1775" t="s">
        <v>1717</v>
      </c>
      <c r="F90" s="1776">
        <v>0</v>
      </c>
      <c r="G90" s="1777">
        <v>0.31363636363636366</v>
      </c>
      <c r="H90" s="1775">
        <v>138</v>
      </c>
      <c r="I90" s="1778">
        <v>1021.676246</v>
      </c>
      <c r="J90" s="1778">
        <v>0</v>
      </c>
      <c r="K90" s="1778">
        <v>309.23215160000001</v>
      </c>
      <c r="L90" s="1778">
        <v>-0.70553630000000001</v>
      </c>
      <c r="M90" s="1779">
        <v>308.5266153</v>
      </c>
      <c r="N90" s="1780">
        <v>3.0198080508176952</v>
      </c>
      <c r="O90" s="1781">
        <v>187.45277479999999</v>
      </c>
      <c r="P90" s="1782">
        <v>121.07384050000002</v>
      </c>
    </row>
    <row r="91" spans="1:16">
      <c r="A91" s="1773">
        <v>3</v>
      </c>
      <c r="B91" s="1774" t="s">
        <v>1719</v>
      </c>
      <c r="C91" s="1775">
        <v>1080</v>
      </c>
      <c r="D91" s="1776">
        <v>0.60614370602023071</v>
      </c>
      <c r="E91" s="1775" t="s">
        <v>1717</v>
      </c>
      <c r="F91" s="1776">
        <v>0</v>
      </c>
      <c r="G91" s="1777">
        <v>3.7499999999999999E-3</v>
      </c>
      <c r="H91" s="1775">
        <v>4.05</v>
      </c>
      <c r="I91" s="1778">
        <v>17.862372999999998</v>
      </c>
      <c r="J91" s="1778">
        <v>0</v>
      </c>
      <c r="K91" s="1778">
        <v>5.069080099999999</v>
      </c>
      <c r="L91" s="1778">
        <v>-0.20212050000000001</v>
      </c>
      <c r="M91" s="1779">
        <v>4.8669595999999986</v>
      </c>
      <c r="N91" s="1780">
        <v>2.7246993442584584</v>
      </c>
      <c r="O91" s="1781">
        <v>360.6544687</v>
      </c>
      <c r="P91" s="1782">
        <v>-355.78750910000002</v>
      </c>
    </row>
    <row r="92" spans="1:16">
      <c r="A92" s="1773">
        <v>4</v>
      </c>
      <c r="B92" s="1774" t="s">
        <v>1720</v>
      </c>
      <c r="C92" s="1775">
        <v>440</v>
      </c>
      <c r="D92" s="1776">
        <v>0.89948990992797295</v>
      </c>
      <c r="E92" s="1775" t="s">
        <v>1717</v>
      </c>
      <c r="F92" s="1776">
        <v>0</v>
      </c>
      <c r="G92" s="1777">
        <v>0.15</v>
      </c>
      <c r="H92" s="1775">
        <v>66</v>
      </c>
      <c r="I92" s="1778">
        <v>539.52935400000001</v>
      </c>
      <c r="J92" s="1778">
        <v>0</v>
      </c>
      <c r="K92" s="1778">
        <v>177.21656569999999</v>
      </c>
      <c r="L92" s="1778">
        <v>-0.37252958500000011</v>
      </c>
      <c r="M92" s="1779">
        <v>176.84403611499999</v>
      </c>
      <c r="N92" s="1780">
        <v>3.2777463321300586</v>
      </c>
      <c r="O92" s="1781">
        <v>949.97430059999988</v>
      </c>
      <c r="P92" s="1782">
        <v>-773.13026448499988</v>
      </c>
    </row>
    <row r="93" spans="1:16">
      <c r="A93" s="1773">
        <v>5</v>
      </c>
      <c r="B93" s="1774" t="s">
        <v>1721</v>
      </c>
      <c r="C93" s="1775">
        <v>440</v>
      </c>
      <c r="D93" s="1776">
        <v>0.90085517447442209</v>
      </c>
      <c r="E93" s="1775" t="s">
        <v>1717</v>
      </c>
      <c r="F93" s="1776">
        <v>0</v>
      </c>
      <c r="G93" s="1777">
        <v>0.19545454545454546</v>
      </c>
      <c r="H93" s="1775">
        <v>86</v>
      </c>
      <c r="I93" s="1778">
        <v>753.37351699999999</v>
      </c>
      <c r="J93" s="1778">
        <v>0</v>
      </c>
      <c r="K93" s="1778">
        <v>290.21628959999998</v>
      </c>
      <c r="L93" s="1778">
        <v>-4.5305186750000077</v>
      </c>
      <c r="M93" s="1779">
        <v>285.68577092499999</v>
      </c>
      <c r="N93" s="1780">
        <v>3.7920867203114068</v>
      </c>
      <c r="O93" s="1781"/>
      <c r="P93" s="1782">
        <v>285.68577092499999</v>
      </c>
    </row>
    <row r="94" spans="1:16">
      <c r="A94" s="1773"/>
      <c r="B94" s="1879" t="s">
        <v>211</v>
      </c>
      <c r="C94" s="1775"/>
      <c r="D94" s="1776"/>
      <c r="E94" s="1775"/>
      <c r="F94" s="1777"/>
      <c r="G94" s="1856"/>
      <c r="H94" s="1780"/>
      <c r="I94" s="1779">
        <v>2337.6976770000001</v>
      </c>
      <c r="J94" s="1779">
        <v>0</v>
      </c>
      <c r="K94" s="1779">
        <v>782.94531740000002</v>
      </c>
      <c r="L94" s="1779">
        <v>-5.868931989000008</v>
      </c>
      <c r="M94" s="1779">
        <v>777.07638541099993</v>
      </c>
      <c r="N94" s="1780">
        <v>3.3241098413043417</v>
      </c>
      <c r="O94" s="1779">
        <v>1504.7417022</v>
      </c>
      <c r="P94" s="1779">
        <v>-727.66531678899992</v>
      </c>
    </row>
    <row r="95" spans="1:16">
      <c r="A95" s="1773"/>
      <c r="B95" s="1774"/>
      <c r="C95" s="1775"/>
      <c r="D95" s="1776"/>
      <c r="E95" s="1775"/>
      <c r="F95" s="1776"/>
      <c r="G95" s="1854"/>
      <c r="H95" s="1853"/>
      <c r="I95" s="1778"/>
      <c r="J95" s="1945"/>
      <c r="K95" s="1945"/>
      <c r="L95" s="1945"/>
      <c r="M95" s="1945"/>
      <c r="N95" s="1780"/>
      <c r="O95" s="1781">
        <v>36.205059399999996</v>
      </c>
      <c r="P95" s="1782">
        <v>-36.205059399999996</v>
      </c>
    </row>
    <row r="96" spans="1:16">
      <c r="A96" s="2821" t="s">
        <v>27</v>
      </c>
      <c r="B96" s="1879" t="s">
        <v>1722</v>
      </c>
      <c r="C96" s="1775"/>
      <c r="D96" s="1776"/>
      <c r="E96" s="1775"/>
      <c r="F96" s="1776"/>
      <c r="G96" s="1854"/>
      <c r="H96" s="1853"/>
      <c r="I96" s="1778"/>
      <c r="J96" s="1945"/>
      <c r="K96" s="1945"/>
      <c r="L96" s="1945"/>
      <c r="M96" s="1945"/>
      <c r="N96" s="1780"/>
      <c r="O96" s="1781">
        <v>36.686991599999999</v>
      </c>
      <c r="P96" s="1782">
        <v>-36.686991599999999</v>
      </c>
    </row>
    <row r="97" spans="1:16">
      <c r="A97" s="1773">
        <v>1</v>
      </c>
      <c r="B97" s="1774" t="s">
        <v>1723</v>
      </c>
      <c r="C97" s="1775">
        <v>690</v>
      </c>
      <c r="D97" s="1776">
        <v>0.55670624686085413</v>
      </c>
      <c r="E97" s="1775" t="s">
        <v>1717</v>
      </c>
      <c r="F97" s="1776">
        <v>0.01</v>
      </c>
      <c r="G97" s="1777">
        <v>6.9565217391304349E-2</v>
      </c>
      <c r="H97" s="1775">
        <v>48</v>
      </c>
      <c r="I97" s="1778">
        <v>238.16405999999998</v>
      </c>
      <c r="J97" s="1778">
        <v>18.042328600000005</v>
      </c>
      <c r="K97" s="1778">
        <v>15.812507700000001</v>
      </c>
      <c r="L97" s="1778">
        <v>39.493636600000002</v>
      </c>
      <c r="M97" s="1779">
        <v>73.348472900000004</v>
      </c>
      <c r="N97" s="1780">
        <v>3.0797456551588853</v>
      </c>
      <c r="O97" s="1781">
        <v>100.93341249999999</v>
      </c>
      <c r="P97" s="1782">
        <v>-27.584939599999984</v>
      </c>
    </row>
    <row r="98" spans="1:16">
      <c r="A98" s="1773">
        <v>2</v>
      </c>
      <c r="B98" s="1774" t="s">
        <v>1724</v>
      </c>
      <c r="C98" s="1775">
        <v>94.2</v>
      </c>
      <c r="D98" s="1776">
        <v>0.44047216414306006</v>
      </c>
      <c r="E98" s="1775" t="s">
        <v>1717</v>
      </c>
      <c r="F98" s="1776">
        <v>1.2E-2</v>
      </c>
      <c r="G98" s="1777">
        <v>0.22292993630573249</v>
      </c>
      <c r="H98" s="1775">
        <v>21</v>
      </c>
      <c r="I98" s="1778">
        <v>78.683905999999993</v>
      </c>
      <c r="J98" s="1778">
        <v>17.519784700000002</v>
      </c>
      <c r="K98" s="1778">
        <v>13.226895000000001</v>
      </c>
      <c r="L98" s="1778">
        <v>9.5008999999999996E-3</v>
      </c>
      <c r="M98" s="1779">
        <v>30.7561806</v>
      </c>
      <c r="N98" s="1780">
        <v>3.9088273782442884</v>
      </c>
      <c r="O98" s="1781">
        <v>107.86923820000001</v>
      </c>
      <c r="P98" s="1782">
        <v>-77.113057600000019</v>
      </c>
    </row>
    <row r="99" spans="1:16">
      <c r="A99" s="1773">
        <v>3</v>
      </c>
      <c r="B99" s="1774" t="s">
        <v>1725</v>
      </c>
      <c r="C99" s="1775">
        <v>540</v>
      </c>
      <c r="D99" s="1776">
        <v>0.4919142416631212</v>
      </c>
      <c r="E99" s="1775" t="s">
        <v>1717</v>
      </c>
      <c r="F99" s="1776">
        <v>1.2E-2</v>
      </c>
      <c r="G99" s="1777">
        <v>0.20185185185185187</v>
      </c>
      <c r="H99" s="1775">
        <v>109</v>
      </c>
      <c r="I99" s="1778">
        <v>453.15109900000004</v>
      </c>
      <c r="J99" s="1778">
        <v>39.075594999999993</v>
      </c>
      <c r="K99" s="1778">
        <v>53.783535099999995</v>
      </c>
      <c r="L99" s="1778">
        <v>-7.289770000000001E-2</v>
      </c>
      <c r="M99" s="1779">
        <v>92.786232399999989</v>
      </c>
      <c r="N99" s="1780">
        <v>2.0475782273232439</v>
      </c>
      <c r="O99" s="1781">
        <v>58.142186199999998</v>
      </c>
      <c r="P99" s="1782">
        <v>34.644046199999991</v>
      </c>
    </row>
    <row r="100" spans="1:16">
      <c r="A100" s="1773">
        <v>4</v>
      </c>
      <c r="B100" s="1774" t="s">
        <v>1726</v>
      </c>
      <c r="C100" s="1775">
        <v>480</v>
      </c>
      <c r="D100" s="1776">
        <v>0.67690014371333618</v>
      </c>
      <c r="E100" s="1775" t="s">
        <v>1717</v>
      </c>
      <c r="F100" s="1776">
        <v>1.2E-2</v>
      </c>
      <c r="G100" s="1777">
        <v>0.2</v>
      </c>
      <c r="H100" s="1775">
        <v>96</v>
      </c>
      <c r="I100" s="1778">
        <v>576.22707800000012</v>
      </c>
      <c r="J100" s="1778">
        <v>50.378578400000002</v>
      </c>
      <c r="K100" s="1778">
        <v>48.998728100000001</v>
      </c>
      <c r="L100" s="1778">
        <v>4.6484297999999997</v>
      </c>
      <c r="M100" s="1779">
        <v>104.02573630000001</v>
      </c>
      <c r="N100" s="1780">
        <v>1.8052906618178743</v>
      </c>
      <c r="O100" s="1781">
        <v>85.140854900000022</v>
      </c>
      <c r="P100" s="1782">
        <v>18.884881399999983</v>
      </c>
    </row>
    <row r="101" spans="1:16">
      <c r="A101" s="1773">
        <v>5</v>
      </c>
      <c r="B101" s="1774" t="s">
        <v>1727</v>
      </c>
      <c r="C101" s="1775">
        <v>300</v>
      </c>
      <c r="D101" s="1776">
        <v>0.57270814735477715</v>
      </c>
      <c r="E101" s="1775" t="s">
        <v>1717</v>
      </c>
      <c r="F101" s="1776">
        <v>1.2E-2</v>
      </c>
      <c r="G101" s="1777">
        <v>0.20666666666666667</v>
      </c>
      <c r="H101" s="1775">
        <v>62</v>
      </c>
      <c r="I101" s="1778">
        <v>164.109891</v>
      </c>
      <c r="J101" s="1778">
        <v>21.8831782</v>
      </c>
      <c r="K101" s="1778">
        <v>19.298388100000004</v>
      </c>
      <c r="L101" s="1778">
        <v>1.1151707</v>
      </c>
      <c r="M101" s="1779">
        <v>42.296737</v>
      </c>
      <c r="N101" s="1780">
        <v>2.5773423370319586</v>
      </c>
      <c r="O101" s="1781">
        <v>269.22332129999995</v>
      </c>
      <c r="P101" s="1782">
        <v>-226.92658429999994</v>
      </c>
    </row>
    <row r="102" spans="1:16">
      <c r="A102" s="1773">
        <v>6</v>
      </c>
      <c r="B102" s="1774" t="s">
        <v>1728</v>
      </c>
      <c r="C102" s="1775">
        <v>280</v>
      </c>
      <c r="D102" s="1776">
        <v>0.51493276261410048</v>
      </c>
      <c r="E102" s="1775" t="s">
        <v>1717</v>
      </c>
      <c r="F102" s="1776">
        <v>1.2E-2</v>
      </c>
      <c r="G102" s="1777">
        <v>0.2</v>
      </c>
      <c r="H102" s="1775">
        <v>56</v>
      </c>
      <c r="I102" s="1778">
        <v>280.67973700000005</v>
      </c>
      <c r="J102" s="1778">
        <v>36.759751300000005</v>
      </c>
      <c r="K102" s="1778">
        <v>36.756894500000001</v>
      </c>
      <c r="L102" s="1778">
        <v>-5.717209999999999E-2</v>
      </c>
      <c r="M102" s="1779">
        <v>73.459473700000004</v>
      </c>
      <c r="N102" s="1780">
        <v>2.6171990356396835</v>
      </c>
      <c r="O102" s="1781">
        <v>90.138410899999997</v>
      </c>
      <c r="P102" s="1782">
        <v>-16.678937199999993</v>
      </c>
    </row>
    <row r="103" spans="1:16">
      <c r="A103" s="1773">
        <v>7</v>
      </c>
      <c r="B103" s="1774" t="s">
        <v>1729</v>
      </c>
      <c r="C103" s="1775">
        <v>390</v>
      </c>
      <c r="D103" s="1776">
        <v>0.68356346594258566</v>
      </c>
      <c r="E103" s="1775" t="s">
        <v>1717</v>
      </c>
      <c r="F103" s="1776">
        <v>1.2E-2</v>
      </c>
      <c r="G103" s="1777">
        <v>0.21794871794871795</v>
      </c>
      <c r="H103" s="1775">
        <v>85</v>
      </c>
      <c r="I103" s="1778">
        <v>579.13949700000001</v>
      </c>
      <c r="J103" s="1778">
        <v>141.55007799999998</v>
      </c>
      <c r="K103" s="1778">
        <v>152.19253179999995</v>
      </c>
      <c r="L103" s="1778">
        <v>6.8754429000000004</v>
      </c>
      <c r="M103" s="1779">
        <v>300.61805269999996</v>
      </c>
      <c r="N103" s="1780">
        <v>5.1907710362914505</v>
      </c>
      <c r="O103" s="1781">
        <v>118.93027690000001</v>
      </c>
      <c r="P103" s="1782">
        <v>181.68777579999994</v>
      </c>
    </row>
    <row r="104" spans="1:16">
      <c r="A104" s="1773">
        <v>8</v>
      </c>
      <c r="B104" s="1774" t="s">
        <v>1730</v>
      </c>
      <c r="C104" s="1775">
        <v>120</v>
      </c>
      <c r="D104" s="1776">
        <v>0.50235798579888047</v>
      </c>
      <c r="E104" s="1775" t="s">
        <v>1717</v>
      </c>
      <c r="F104" s="1776">
        <v>1.2E-2</v>
      </c>
      <c r="G104" s="1777">
        <v>0.22500000000000001</v>
      </c>
      <c r="H104" s="1775">
        <v>27</v>
      </c>
      <c r="I104" s="1778">
        <v>96.007766000000018</v>
      </c>
      <c r="J104" s="1778">
        <v>21.774070699999999</v>
      </c>
      <c r="K104" s="1778">
        <v>25.422856500000002</v>
      </c>
      <c r="L104" s="1778">
        <v>1.3477551999999999</v>
      </c>
      <c r="M104" s="1779">
        <v>48.544682400000006</v>
      </c>
      <c r="N104" s="1780">
        <v>5.0563287140750681</v>
      </c>
      <c r="O104" s="1781">
        <v>161.54923710000003</v>
      </c>
      <c r="P104" s="1782">
        <v>-113.00455470000003</v>
      </c>
    </row>
    <row r="105" spans="1:16">
      <c r="A105" s="1773">
        <v>9</v>
      </c>
      <c r="B105" s="1774" t="s">
        <v>1731</v>
      </c>
      <c r="C105" s="1775">
        <v>231</v>
      </c>
      <c r="D105" s="1776">
        <v>0.53725444787555621</v>
      </c>
      <c r="E105" s="1775" t="s">
        <v>1717</v>
      </c>
      <c r="F105" s="1776">
        <v>1.2E-2</v>
      </c>
      <c r="G105" s="1777">
        <v>0.20346320346320346</v>
      </c>
      <c r="H105" s="1775">
        <v>47</v>
      </c>
      <c r="I105" s="1778">
        <v>241.08163399999998</v>
      </c>
      <c r="J105" s="1778">
        <v>54.489895100000012</v>
      </c>
      <c r="K105" s="1778">
        <v>50.110816</v>
      </c>
      <c r="L105" s="1778">
        <v>2.8584100000000005E-2</v>
      </c>
      <c r="M105" s="1779">
        <v>104.62929520000002</v>
      </c>
      <c r="N105" s="1780">
        <v>4.339994443541892</v>
      </c>
      <c r="O105" s="1781">
        <v>103.334028</v>
      </c>
      <c r="P105" s="1782">
        <v>1.2952672000000121</v>
      </c>
    </row>
    <row r="106" spans="1:16">
      <c r="A106" s="1773">
        <v>10</v>
      </c>
      <c r="B106" s="1774" t="s">
        <v>1732</v>
      </c>
      <c r="C106" s="1775">
        <v>240</v>
      </c>
      <c r="D106" s="1776">
        <v>0.72431490558953759</v>
      </c>
      <c r="E106" s="1775" t="s">
        <v>1717</v>
      </c>
      <c r="F106" s="1776">
        <v>1.2E-2</v>
      </c>
      <c r="G106" s="1777">
        <v>0.21249999999999999</v>
      </c>
      <c r="H106" s="1775">
        <v>51</v>
      </c>
      <c r="I106" s="1778">
        <v>362.49852800000002</v>
      </c>
      <c r="J106" s="1778">
        <v>75.652028000000001</v>
      </c>
      <c r="K106" s="1778">
        <v>71.784273799999994</v>
      </c>
      <c r="L106" s="1778">
        <v>5.4559329999999999</v>
      </c>
      <c r="M106" s="1779">
        <v>152.89223479999998</v>
      </c>
      <c r="N106" s="1780">
        <v>4.2177339489775791</v>
      </c>
      <c r="O106" s="1781">
        <v>178.59608129999998</v>
      </c>
      <c r="P106" s="1782">
        <v>-25.703846499999997</v>
      </c>
    </row>
    <row r="107" spans="1:16">
      <c r="A107" s="1773">
        <v>11</v>
      </c>
      <c r="B107" s="1774" t="s">
        <v>1733</v>
      </c>
      <c r="C107" s="1775">
        <v>520</v>
      </c>
      <c r="D107" s="1776">
        <v>0.13383762687276415</v>
      </c>
      <c r="E107" s="1775" t="s">
        <v>1717</v>
      </c>
      <c r="F107" s="1776">
        <v>1.2E-2</v>
      </c>
      <c r="G107" s="1777">
        <v>0.26538461538461539</v>
      </c>
      <c r="H107" s="1775">
        <v>138</v>
      </c>
      <c r="I107" s="1778">
        <v>152.66092</v>
      </c>
      <c r="J107" s="1778">
        <v>67.573386999999997</v>
      </c>
      <c r="K107" s="1778">
        <v>26.528430000000004</v>
      </c>
      <c r="L107" s="1778">
        <v>6.4345099999999988E-2</v>
      </c>
      <c r="M107" s="1779">
        <v>94.166162099999994</v>
      </c>
      <c r="N107" s="1780">
        <v>6.1683214079936102</v>
      </c>
      <c r="O107" s="1781">
        <v>0</v>
      </c>
      <c r="P107" s="1782">
        <v>94.166162099999994</v>
      </c>
    </row>
    <row r="108" spans="1:16">
      <c r="A108" s="1773">
        <v>12</v>
      </c>
      <c r="B108" s="1774" t="s">
        <v>1734</v>
      </c>
      <c r="C108" s="1775">
        <v>330</v>
      </c>
      <c r="D108" s="1776">
        <v>0.38759061582952903</v>
      </c>
      <c r="E108" s="1775" t="s">
        <v>1717</v>
      </c>
      <c r="F108" s="1776">
        <v>1.2E-2</v>
      </c>
      <c r="G108" s="1777">
        <v>0.41696969696969693</v>
      </c>
      <c r="H108" s="1775">
        <v>137.6</v>
      </c>
      <c r="I108" s="1778">
        <v>499.65899799999988</v>
      </c>
      <c r="J108" s="1778">
        <v>96.189135099999987</v>
      </c>
      <c r="K108" s="1778">
        <v>105.48851370000001</v>
      </c>
      <c r="L108" s="1778">
        <v>1.4568871999999999</v>
      </c>
      <c r="M108" s="1779">
        <v>203.134536</v>
      </c>
      <c r="N108" s="1780">
        <v>4.0654633822885753</v>
      </c>
      <c r="O108" s="1781">
        <v>0</v>
      </c>
      <c r="P108" s="1782">
        <v>203.134536</v>
      </c>
    </row>
    <row r="109" spans="1:16">
      <c r="A109" s="1773">
        <v>13</v>
      </c>
      <c r="B109" s="1774" t="s">
        <v>1735</v>
      </c>
      <c r="C109" s="1775">
        <v>800</v>
      </c>
      <c r="D109" s="1776">
        <v>0.5</v>
      </c>
      <c r="E109" s="1775" t="s">
        <v>1717</v>
      </c>
      <c r="F109" s="1776">
        <v>1.2E-2</v>
      </c>
      <c r="G109" s="1777">
        <v>0.19500000000000001</v>
      </c>
      <c r="H109" s="1775">
        <v>156</v>
      </c>
      <c r="I109" s="1778">
        <v>0</v>
      </c>
      <c r="J109" s="1778">
        <v>0</v>
      </c>
      <c r="K109" s="1778">
        <v>0</v>
      </c>
      <c r="L109" s="1778">
        <v>0</v>
      </c>
      <c r="M109" s="1779">
        <v>0</v>
      </c>
      <c r="N109" s="1780">
        <v>0</v>
      </c>
      <c r="O109" s="1781">
        <v>0</v>
      </c>
      <c r="P109" s="1782">
        <v>0</v>
      </c>
    </row>
    <row r="110" spans="1:16">
      <c r="A110" s="1773">
        <v>14</v>
      </c>
      <c r="B110" s="1774" t="s">
        <v>1736</v>
      </c>
      <c r="C110" s="1775">
        <v>2000</v>
      </c>
      <c r="D110" s="1776"/>
      <c r="E110" s="1775" t="s">
        <v>1717</v>
      </c>
      <c r="F110" s="1776">
        <v>1.2E-2</v>
      </c>
      <c r="G110" s="1777">
        <v>9.0999999999999998E-2</v>
      </c>
      <c r="H110" s="1775">
        <v>182</v>
      </c>
      <c r="I110" s="1778">
        <v>0</v>
      </c>
      <c r="J110" s="1778">
        <v>0</v>
      </c>
      <c r="K110" s="1778">
        <v>0</v>
      </c>
      <c r="L110" s="1778">
        <v>0</v>
      </c>
      <c r="M110" s="1779">
        <v>0</v>
      </c>
      <c r="N110" s="1780">
        <v>0</v>
      </c>
      <c r="O110" s="1781">
        <v>122.53997450000001</v>
      </c>
      <c r="P110" s="1782">
        <v>-122.53997450000001</v>
      </c>
    </row>
    <row r="111" spans="1:16">
      <c r="A111" s="1773">
        <v>15</v>
      </c>
      <c r="B111" s="1774" t="s">
        <v>1737</v>
      </c>
      <c r="C111" s="1775">
        <v>1000</v>
      </c>
      <c r="D111" s="1776"/>
      <c r="E111" s="1775" t="s">
        <v>1717</v>
      </c>
      <c r="F111" s="1776">
        <v>0.01</v>
      </c>
      <c r="G111" s="1777">
        <v>0.2</v>
      </c>
      <c r="H111" s="1775">
        <v>200</v>
      </c>
      <c r="I111" s="1778">
        <v>0</v>
      </c>
      <c r="J111" s="1778">
        <v>0</v>
      </c>
      <c r="K111" s="1778">
        <v>0</v>
      </c>
      <c r="L111" s="1778">
        <v>0</v>
      </c>
      <c r="M111" s="1779">
        <v>0</v>
      </c>
      <c r="N111" s="1780">
        <v>0</v>
      </c>
      <c r="O111" s="1781">
        <v>1469.2890727999998</v>
      </c>
      <c r="P111" s="1782">
        <v>-1469.2890727999998</v>
      </c>
    </row>
    <row r="112" spans="1:16">
      <c r="A112" s="1773"/>
      <c r="B112" s="1774" t="s">
        <v>1738</v>
      </c>
      <c r="C112" s="1775"/>
      <c r="D112" s="1776"/>
      <c r="E112" s="1775"/>
      <c r="F112" s="1777"/>
      <c r="G112" s="1856"/>
      <c r="H112" s="1780"/>
      <c r="I112" s="1778">
        <v>0</v>
      </c>
      <c r="J112" s="1778">
        <v>0</v>
      </c>
      <c r="K112" s="1778">
        <v>0</v>
      </c>
      <c r="L112" s="1778">
        <v>62.256599700000002</v>
      </c>
      <c r="M112" s="1779">
        <v>62.256599700000002</v>
      </c>
      <c r="N112" s="1780">
        <v>0</v>
      </c>
      <c r="P112" s="1782">
        <v>62.256599700000002</v>
      </c>
    </row>
    <row r="113" spans="1:16">
      <c r="A113" s="1773"/>
      <c r="B113" s="1774" t="s">
        <v>211</v>
      </c>
      <c r="C113" s="1775"/>
      <c r="D113" s="1776"/>
      <c r="E113" s="1775"/>
      <c r="F113" s="1777"/>
      <c r="G113" s="1856"/>
      <c r="H113" s="1780"/>
      <c r="I113" s="1779">
        <v>3722.0631140000005</v>
      </c>
      <c r="J113" s="1779">
        <v>640.88781010000002</v>
      </c>
      <c r="K113" s="1779">
        <v>619.40437029999998</v>
      </c>
      <c r="L113" s="1779">
        <v>122.62221540000002</v>
      </c>
      <c r="M113" s="1779">
        <v>1382.9143958</v>
      </c>
      <c r="N113" s="1780">
        <v>3.7154512254194936</v>
      </c>
      <c r="O113" s="1781"/>
      <c r="P113" s="1782">
        <v>1382.9143958</v>
      </c>
    </row>
    <row r="114" spans="1:16">
      <c r="A114" s="1773"/>
      <c r="B114" s="1774"/>
      <c r="C114" s="1775"/>
      <c r="D114" s="1776"/>
      <c r="E114" s="1775"/>
      <c r="F114" s="1776"/>
      <c r="G114" s="1854"/>
      <c r="H114" s="1853"/>
      <c r="I114" s="1778"/>
      <c r="J114" s="1945"/>
      <c r="K114" s="1945"/>
      <c r="L114" s="1945"/>
      <c r="M114" s="1945"/>
      <c r="N114" s="1780"/>
      <c r="O114" s="1781">
        <v>368.45232419999996</v>
      </c>
      <c r="P114" s="1782">
        <v>-368.45232419999996</v>
      </c>
    </row>
    <row r="115" spans="1:16">
      <c r="A115" s="1773" t="s">
        <v>28</v>
      </c>
      <c r="B115" s="1879" t="s">
        <v>1739</v>
      </c>
      <c r="C115" s="1775"/>
      <c r="D115" s="1776"/>
      <c r="E115" s="1775"/>
      <c r="F115" s="1776"/>
      <c r="G115" s="1854"/>
      <c r="H115" s="1853"/>
      <c r="I115" s="1778"/>
      <c r="J115" s="1945"/>
      <c r="K115" s="1945"/>
      <c r="L115" s="1945"/>
      <c r="M115" s="1945"/>
      <c r="N115" s="1780"/>
      <c r="O115" s="1781">
        <v>0</v>
      </c>
      <c r="P115" s="1782">
        <v>0</v>
      </c>
    </row>
    <row r="116" spans="1:16">
      <c r="A116" s="1773">
        <v>1</v>
      </c>
      <c r="B116" s="1774" t="s">
        <v>1740</v>
      </c>
      <c r="C116" s="1775">
        <v>800</v>
      </c>
      <c r="D116" s="1776">
        <v>0.43412032139120088</v>
      </c>
      <c r="E116" s="1775" t="s">
        <v>1717</v>
      </c>
      <c r="F116" s="1776">
        <v>0.01</v>
      </c>
      <c r="G116" s="1777">
        <v>0.19889999999999999</v>
      </c>
      <c r="H116" s="1775">
        <v>159.12</v>
      </c>
      <c r="I116" s="1778">
        <v>670.8800020000001</v>
      </c>
      <c r="J116" s="1778">
        <v>168.73979620000003</v>
      </c>
      <c r="K116" s="1778">
        <v>176.04309409999996</v>
      </c>
      <c r="L116" s="1778">
        <v>0</v>
      </c>
      <c r="M116" s="1779">
        <v>344.78289029999996</v>
      </c>
      <c r="N116" s="1780">
        <v>5.1392631956854773</v>
      </c>
      <c r="O116" s="1781">
        <v>0</v>
      </c>
      <c r="P116" s="1782">
        <v>344.78289029999996</v>
      </c>
    </row>
    <row r="117" spans="1:16">
      <c r="A117" s="1773">
        <v>2</v>
      </c>
      <c r="B117" s="1774" t="s">
        <v>1741</v>
      </c>
      <c r="C117" s="1775">
        <v>520</v>
      </c>
      <c r="D117" s="1776"/>
      <c r="E117" s="1775" t="s">
        <v>1717</v>
      </c>
      <c r="F117" s="1776">
        <v>1.2E-2</v>
      </c>
      <c r="G117" s="1777">
        <v>0.19230769230769232</v>
      </c>
      <c r="H117" s="1775">
        <v>100</v>
      </c>
      <c r="I117" s="1778">
        <v>0</v>
      </c>
      <c r="J117" s="1778">
        <v>0</v>
      </c>
      <c r="K117" s="1778">
        <v>0</v>
      </c>
      <c r="L117" s="1778">
        <v>0</v>
      </c>
      <c r="M117" s="1779">
        <v>0</v>
      </c>
      <c r="N117" s="1780">
        <v>0</v>
      </c>
      <c r="O117" s="1781">
        <v>3.1028480000000007</v>
      </c>
      <c r="P117" s="1782">
        <v>-3.1028480000000007</v>
      </c>
    </row>
    <row r="118" spans="1:16">
      <c r="A118" s="1773">
        <v>3</v>
      </c>
      <c r="B118" s="1774" t="s">
        <v>1742</v>
      </c>
      <c r="C118" s="1775">
        <v>171</v>
      </c>
      <c r="D118" s="1776"/>
      <c r="E118" s="1775" t="s">
        <v>1717</v>
      </c>
      <c r="F118" s="1776">
        <v>1.2E-2</v>
      </c>
      <c r="G118" s="1777">
        <v>0.19883040935672514</v>
      </c>
      <c r="H118" s="1775">
        <v>34</v>
      </c>
      <c r="I118" s="1778">
        <v>0</v>
      </c>
      <c r="J118" s="1778">
        <v>0</v>
      </c>
      <c r="K118" s="1778">
        <v>0</v>
      </c>
      <c r="L118" s="1778">
        <v>0</v>
      </c>
      <c r="M118" s="1779">
        <v>0</v>
      </c>
      <c r="N118" s="1780">
        <v>0</v>
      </c>
      <c r="O118" s="1781">
        <v>371.55517219999996</v>
      </c>
      <c r="P118" s="1782">
        <v>-371.55517219999996</v>
      </c>
    </row>
    <row r="119" spans="1:16">
      <c r="A119" s="1773">
        <v>4</v>
      </c>
      <c r="B119" s="1774" t="s">
        <v>1743</v>
      </c>
      <c r="C119" s="1775">
        <v>8</v>
      </c>
      <c r="D119" s="1776">
        <v>0.75</v>
      </c>
      <c r="E119" s="1775" t="s">
        <v>1717</v>
      </c>
      <c r="F119" s="1776">
        <v>0</v>
      </c>
      <c r="G119" s="1777">
        <v>0.42499999999999999</v>
      </c>
      <c r="H119" s="1775">
        <v>3.4</v>
      </c>
      <c r="I119" s="1778">
        <v>25.486516000000002</v>
      </c>
      <c r="J119" s="1778">
        <v>20.366369200000001</v>
      </c>
      <c r="K119" s="1778">
        <v>8.6411165000000008</v>
      </c>
      <c r="L119" s="1778">
        <v>6.2971700000000005E-2</v>
      </c>
      <c r="M119" s="1779">
        <v>29.070457400000002</v>
      </c>
      <c r="N119" s="1780">
        <v>11.406210797897995</v>
      </c>
      <c r="P119" s="1782">
        <v>29.070457400000002</v>
      </c>
    </row>
    <row r="120" spans="1:16">
      <c r="A120" s="1773"/>
      <c r="B120" s="1879" t="s">
        <v>211</v>
      </c>
      <c r="C120" s="1775"/>
      <c r="D120" s="1776"/>
      <c r="E120" s="1775"/>
      <c r="F120" s="1777"/>
      <c r="G120" s="1856"/>
      <c r="H120" s="1780"/>
      <c r="I120" s="1779">
        <v>696.36651800000016</v>
      </c>
      <c r="J120" s="1779">
        <v>189.10616540000004</v>
      </c>
      <c r="K120" s="1779">
        <v>184.68421059999997</v>
      </c>
      <c r="L120" s="1779">
        <v>6.2971700000000005E-2</v>
      </c>
      <c r="M120" s="1779">
        <v>373.85334769999997</v>
      </c>
      <c r="N120" s="1780">
        <v>5.3686289911485936</v>
      </c>
      <c r="O120" s="1781"/>
      <c r="P120" s="1782">
        <v>373.85334769999997</v>
      </c>
    </row>
    <row r="121" spans="1:16">
      <c r="A121" s="1773"/>
      <c r="B121" s="1774"/>
      <c r="C121" s="1775"/>
      <c r="D121" s="1776"/>
      <c r="E121" s="1775"/>
      <c r="F121" s="1777"/>
      <c r="G121" s="1856"/>
      <c r="H121" s="1780"/>
      <c r="I121" s="1778"/>
      <c r="J121" s="1867"/>
      <c r="K121" s="1867"/>
      <c r="L121" s="1867"/>
      <c r="M121" s="1867"/>
      <c r="N121" s="1867"/>
      <c r="O121" s="1781"/>
      <c r="P121" s="1782">
        <v>0</v>
      </c>
    </row>
    <row r="122" spans="1:16">
      <c r="A122" s="1773" t="s">
        <v>30</v>
      </c>
      <c r="B122" s="1879" t="s">
        <v>1744</v>
      </c>
      <c r="C122" s="1775"/>
      <c r="D122" s="1776"/>
      <c r="E122" s="1775"/>
      <c r="F122" s="1776"/>
      <c r="G122" s="1854"/>
      <c r="H122" s="1853"/>
      <c r="I122" s="1778"/>
      <c r="J122" s="1945"/>
      <c r="K122" s="1945"/>
      <c r="L122" s="1945"/>
      <c r="M122" s="1945"/>
      <c r="N122" s="1780"/>
      <c r="O122" s="1781">
        <v>688.9943548199999</v>
      </c>
      <c r="P122" s="1782">
        <v>-688.9943548199999</v>
      </c>
    </row>
    <row r="123" spans="1:16">
      <c r="A123" s="1773"/>
      <c r="B123" s="1879" t="s">
        <v>1745</v>
      </c>
      <c r="C123" s="1775"/>
      <c r="D123" s="1776"/>
      <c r="E123" s="1775"/>
      <c r="F123" s="1776"/>
      <c r="G123" s="1854"/>
      <c r="H123" s="1853"/>
      <c r="I123" s="1778"/>
      <c r="J123" s="1945"/>
      <c r="K123" s="1945"/>
      <c r="L123" s="1945"/>
      <c r="M123" s="1945"/>
      <c r="N123" s="1780"/>
      <c r="O123" s="1781">
        <v>227.25055818000001</v>
      </c>
      <c r="P123" s="1782">
        <v>-227.25055818000001</v>
      </c>
    </row>
    <row r="124" spans="1:16">
      <c r="A124" s="1773">
        <v>1</v>
      </c>
      <c r="B124" s="1774" t="s">
        <v>1746</v>
      </c>
      <c r="C124" s="1775">
        <v>1000</v>
      </c>
      <c r="D124" s="1776">
        <v>0.37861742758037337</v>
      </c>
      <c r="E124" s="1775" t="s">
        <v>1717</v>
      </c>
      <c r="F124" s="1776">
        <v>1.2E-2</v>
      </c>
      <c r="G124" s="1777">
        <v>0.374</v>
      </c>
      <c r="H124" s="1775">
        <v>374</v>
      </c>
      <c r="I124" s="1778">
        <v>1201.794817</v>
      </c>
      <c r="J124" s="1778">
        <v>241.42763690000001</v>
      </c>
      <c r="K124" s="1778">
        <v>238.67818220000001</v>
      </c>
      <c r="L124" s="1778">
        <v>-10.707219999999996</v>
      </c>
      <c r="M124" s="1779">
        <v>469.39859910000001</v>
      </c>
      <c r="N124" s="1780">
        <v>3.9058131426439662</v>
      </c>
      <c r="O124" s="1781">
        <v>0</v>
      </c>
      <c r="P124" s="1782">
        <v>469.39859910000001</v>
      </c>
    </row>
    <row r="125" spans="1:16">
      <c r="A125" s="1773">
        <v>2</v>
      </c>
      <c r="B125" s="1774" t="s">
        <v>1747</v>
      </c>
      <c r="C125" s="1775">
        <v>400</v>
      </c>
      <c r="D125" s="1776">
        <v>0.37096271345567705</v>
      </c>
      <c r="E125" s="1775" t="s">
        <v>1717</v>
      </c>
      <c r="F125" s="1776">
        <v>0.01</v>
      </c>
      <c r="G125" s="1777">
        <v>0.38750000000000001</v>
      </c>
      <c r="H125" s="1775">
        <v>155</v>
      </c>
      <c r="I125" s="1778">
        <v>493.90234886000002</v>
      </c>
      <c r="J125" s="1778">
        <v>113.84861130000002</v>
      </c>
      <c r="K125" s="1778">
        <v>110.39612140000001</v>
      </c>
      <c r="L125" s="1778">
        <v>-5.4352285000000009</v>
      </c>
      <c r="M125" s="1779">
        <v>218.80950420000005</v>
      </c>
      <c r="N125" s="1780">
        <v>4.4302179308327823</v>
      </c>
      <c r="O125" s="1781">
        <v>0</v>
      </c>
      <c r="P125" s="1782">
        <v>218.80950420000005</v>
      </c>
    </row>
    <row r="126" spans="1:16">
      <c r="A126" s="1773">
        <v>3</v>
      </c>
      <c r="B126" s="1774" t="s">
        <v>1856</v>
      </c>
      <c r="C126" s="1775">
        <v>24</v>
      </c>
      <c r="D126" s="1776"/>
      <c r="E126" s="1775" t="s">
        <v>1717</v>
      </c>
      <c r="F126" s="1776">
        <v>0.01</v>
      </c>
      <c r="G126" s="1777">
        <v>1</v>
      </c>
      <c r="H126" s="1775">
        <v>24</v>
      </c>
      <c r="I126" s="1778">
        <v>70.896285000000006</v>
      </c>
      <c r="J126" s="1778">
        <v>0</v>
      </c>
      <c r="K126" s="1778">
        <v>34.872326400000006</v>
      </c>
      <c r="L126" s="1778">
        <v>8.6458999999999998E-3</v>
      </c>
      <c r="M126" s="1779">
        <v>34.880972300000003</v>
      </c>
      <c r="N126" s="1780">
        <v>4.9200000112840891</v>
      </c>
      <c r="P126" s="1782">
        <v>34.880972300000003</v>
      </c>
    </row>
    <row r="127" spans="1:16">
      <c r="A127" s="1773">
        <v>4</v>
      </c>
      <c r="B127" s="1774" t="s">
        <v>1749</v>
      </c>
      <c r="C127" s="1775">
        <v>444</v>
      </c>
      <c r="D127" s="1776"/>
      <c r="E127" s="1775" t="s">
        <v>1717</v>
      </c>
      <c r="F127" s="1776">
        <v>1.2E-2</v>
      </c>
      <c r="G127" s="1777">
        <v>0.37387387387387389</v>
      </c>
      <c r="H127" s="1775">
        <v>166</v>
      </c>
      <c r="I127" s="1778">
        <v>0</v>
      </c>
      <c r="J127" s="1778">
        <v>0</v>
      </c>
      <c r="K127" s="1778">
        <v>0</v>
      </c>
      <c r="L127" s="1778">
        <v>0</v>
      </c>
      <c r="M127" s="1779">
        <v>0</v>
      </c>
      <c r="N127" s="1780">
        <v>0</v>
      </c>
      <c r="O127" s="1781"/>
      <c r="P127" s="1782">
        <v>0</v>
      </c>
    </row>
    <row r="128" spans="1:16">
      <c r="A128" s="1773"/>
      <c r="B128" s="1879" t="s">
        <v>1750</v>
      </c>
      <c r="C128" s="2825"/>
      <c r="D128" s="1776"/>
      <c r="E128" s="1775"/>
      <c r="F128" s="1777"/>
      <c r="G128" s="1856"/>
      <c r="H128" s="1780"/>
      <c r="I128" s="2826"/>
      <c r="J128" s="1780"/>
      <c r="K128" s="1780"/>
      <c r="L128" s="1780"/>
      <c r="M128" s="1780"/>
      <c r="N128" s="1780"/>
      <c r="O128" s="1781">
        <v>916.24491299999988</v>
      </c>
      <c r="P128" s="1782">
        <v>-916.24491299999988</v>
      </c>
    </row>
    <row r="129" spans="1:16">
      <c r="A129" s="1773">
        <v>1</v>
      </c>
      <c r="B129" s="1774" t="s">
        <v>1751</v>
      </c>
      <c r="C129" s="1775">
        <v>1320</v>
      </c>
      <c r="D129" s="1776">
        <v>0</v>
      </c>
      <c r="E129" s="1775" t="s">
        <v>1649</v>
      </c>
      <c r="F129" s="1776">
        <v>5.7500000000000002E-2</v>
      </c>
      <c r="G129" s="1777">
        <v>0.3</v>
      </c>
      <c r="H129" s="1775">
        <v>396</v>
      </c>
      <c r="I129" s="1778">
        <v>0</v>
      </c>
      <c r="J129" s="1778">
        <v>0</v>
      </c>
      <c r="K129" s="1778">
        <v>0</v>
      </c>
      <c r="L129" s="1778">
        <v>0</v>
      </c>
      <c r="M129" s="1779">
        <v>0</v>
      </c>
      <c r="N129" s="1780">
        <v>0</v>
      </c>
      <c r="P129" s="1782">
        <v>0</v>
      </c>
    </row>
    <row r="130" spans="1:16">
      <c r="A130" s="1773"/>
      <c r="B130" s="1879" t="s">
        <v>211</v>
      </c>
      <c r="C130" s="1775"/>
      <c r="D130" s="1776"/>
      <c r="E130" s="1775"/>
      <c r="F130" s="1777"/>
      <c r="G130" s="1856"/>
      <c r="H130" s="1780"/>
      <c r="I130" s="1779">
        <v>1766.5934508600001</v>
      </c>
      <c r="J130" s="1779">
        <v>355.27624820000005</v>
      </c>
      <c r="K130" s="1779">
        <v>383.94663000000003</v>
      </c>
      <c r="L130" s="1779">
        <v>-16.133802599999996</v>
      </c>
      <c r="M130" s="1779">
        <v>723.08907560000011</v>
      </c>
      <c r="N130" s="1780">
        <v>4.0931266627757008</v>
      </c>
      <c r="O130" s="1781"/>
      <c r="P130" s="1782">
        <v>723.08907560000011</v>
      </c>
    </row>
    <row r="131" spans="1:16">
      <c r="A131" s="1773"/>
      <c r="B131" s="1774"/>
      <c r="C131" s="1775"/>
      <c r="D131" s="1776"/>
      <c r="E131" s="1775"/>
      <c r="F131" s="1776"/>
      <c r="G131" s="1854"/>
      <c r="H131" s="1853"/>
      <c r="I131" s="1778"/>
      <c r="J131" s="1945"/>
      <c r="K131" s="1945"/>
      <c r="L131" s="1945"/>
      <c r="M131" s="1945"/>
      <c r="N131" s="1780"/>
      <c r="O131" s="1781">
        <v>291.10956539999995</v>
      </c>
      <c r="P131" s="1782">
        <v>-291.10956539999995</v>
      </c>
    </row>
    <row r="132" spans="1:16">
      <c r="A132" s="2821" t="s">
        <v>129</v>
      </c>
      <c r="B132" s="1774" t="s">
        <v>1752</v>
      </c>
      <c r="C132" s="1775"/>
      <c r="D132" s="1776"/>
      <c r="E132" s="1775"/>
      <c r="F132" s="1776"/>
      <c r="G132" s="1854"/>
      <c r="H132" s="1853"/>
      <c r="I132" s="1778">
        <v>0</v>
      </c>
      <c r="J132" s="1778">
        <v>0</v>
      </c>
      <c r="K132" s="1778">
        <v>0</v>
      </c>
      <c r="L132" s="1778">
        <v>0</v>
      </c>
      <c r="M132" s="1779">
        <v>0</v>
      </c>
      <c r="N132" s="1780">
        <v>0</v>
      </c>
      <c r="O132" s="1781">
        <v>356.19427459999997</v>
      </c>
      <c r="P132" s="1782">
        <v>-356.19427459999997</v>
      </c>
    </row>
    <row r="133" spans="1:16">
      <c r="A133" s="2821">
        <v>1</v>
      </c>
      <c r="B133" s="1774" t="s">
        <v>1753</v>
      </c>
      <c r="C133" s="1775">
        <v>412</v>
      </c>
      <c r="D133" s="1776">
        <v>0.54231336177740552</v>
      </c>
      <c r="E133" s="1775" t="s">
        <v>1717</v>
      </c>
      <c r="F133" s="1776">
        <v>0.01</v>
      </c>
      <c r="G133" s="1777">
        <v>0.13834951456310679</v>
      </c>
      <c r="H133" s="1775">
        <v>57</v>
      </c>
      <c r="I133" s="1778">
        <v>321.2581179</v>
      </c>
      <c r="J133" s="1778">
        <v>80.367271999999986</v>
      </c>
      <c r="K133" s="1778">
        <v>51.582702100000006</v>
      </c>
      <c r="L133" s="1778">
        <v>29.277296899999996</v>
      </c>
      <c r="M133" s="1779">
        <v>161.22727099999997</v>
      </c>
      <c r="N133" s="1780">
        <v>5.018620916224946</v>
      </c>
      <c r="O133" s="1781">
        <v>647.30383999999992</v>
      </c>
      <c r="P133" s="1782">
        <v>-486.07656899999995</v>
      </c>
    </row>
    <row r="134" spans="1:16">
      <c r="A134" s="2821">
        <v>2</v>
      </c>
      <c r="B134" s="1774" t="s">
        <v>1754</v>
      </c>
      <c r="C134" s="1775">
        <v>1500</v>
      </c>
      <c r="D134" s="1776">
        <v>0.53913107979790409</v>
      </c>
      <c r="E134" s="1775" t="s">
        <v>1717</v>
      </c>
      <c r="F134" s="1776">
        <v>1.2E-2</v>
      </c>
      <c r="G134" s="1777">
        <v>0.14733333333333334</v>
      </c>
      <c r="H134" s="1775">
        <v>221</v>
      </c>
      <c r="I134" s="1778">
        <v>1248.3013473999999</v>
      </c>
      <c r="J134" s="1778">
        <v>163.59793669999999</v>
      </c>
      <c r="K134" s="1778">
        <v>101.96151729999998</v>
      </c>
      <c r="L134" s="1778">
        <v>2.9253909999999994</v>
      </c>
      <c r="M134" s="1779">
        <v>268.48484499999995</v>
      </c>
      <c r="N134" s="1780">
        <v>2.1508015316911124</v>
      </c>
      <c r="P134" s="1782">
        <v>268.48484499999995</v>
      </c>
    </row>
    <row r="135" spans="1:16">
      <c r="A135" s="1773"/>
      <c r="B135" s="1879" t="s">
        <v>211</v>
      </c>
      <c r="C135" s="1775"/>
      <c r="D135" s="1776"/>
      <c r="E135" s="1775"/>
      <c r="F135" s="1777"/>
      <c r="G135" s="1856"/>
      <c r="H135" s="1780"/>
      <c r="I135" s="1779">
        <v>1569.5594652999998</v>
      </c>
      <c r="J135" s="1779">
        <v>243.96520869999998</v>
      </c>
      <c r="K135" s="1779">
        <v>153.54421939999997</v>
      </c>
      <c r="L135" s="1779">
        <v>32.202687899999994</v>
      </c>
      <c r="M135" s="1779">
        <v>429.71211599999992</v>
      </c>
      <c r="N135" s="1780">
        <v>2.737788057732915</v>
      </c>
      <c r="O135" s="1781"/>
      <c r="P135" s="1782">
        <v>429.71211599999992</v>
      </c>
    </row>
    <row r="136" spans="1:16">
      <c r="A136" s="1773"/>
      <c r="B136" s="1774"/>
      <c r="C136" s="1775"/>
      <c r="D136" s="1776"/>
      <c r="E136" s="1775"/>
      <c r="F136" s="1776"/>
      <c r="G136" s="1854"/>
      <c r="H136" s="1853"/>
      <c r="I136" s="1778"/>
      <c r="J136" s="1945"/>
      <c r="K136" s="1945"/>
      <c r="L136" s="1945"/>
      <c r="M136" s="1945"/>
      <c r="N136" s="1780"/>
      <c r="O136" s="1781"/>
      <c r="P136" s="1782">
        <v>0</v>
      </c>
    </row>
    <row r="137" spans="1:16">
      <c r="A137" s="1773" t="s">
        <v>136</v>
      </c>
      <c r="B137" s="1879" t="s">
        <v>1755</v>
      </c>
      <c r="C137" s="1775"/>
      <c r="D137" s="1776"/>
      <c r="E137" s="1775"/>
      <c r="F137" s="1777"/>
      <c r="G137" s="1856"/>
      <c r="H137" s="1780"/>
      <c r="I137" s="1778"/>
      <c r="J137" s="1867"/>
      <c r="K137" s="1867"/>
      <c r="L137" s="1867"/>
      <c r="M137" s="1867"/>
      <c r="N137" s="1867"/>
      <c r="O137" s="1781">
        <v>0</v>
      </c>
      <c r="P137" s="1782">
        <v>0</v>
      </c>
    </row>
    <row r="138" spans="1:16">
      <c r="A138" s="1773">
        <v>1</v>
      </c>
      <c r="B138" s="1774" t="s">
        <v>1756</v>
      </c>
      <c r="C138" s="1775">
        <v>600</v>
      </c>
      <c r="D138" s="1776">
        <v>0.47</v>
      </c>
      <c r="E138" s="1775" t="s">
        <v>1717</v>
      </c>
      <c r="F138" s="1776">
        <v>0.01</v>
      </c>
      <c r="G138" s="1777">
        <v>9.166666666666666E-2</v>
      </c>
      <c r="H138" s="1775">
        <v>55</v>
      </c>
      <c r="I138" s="1778">
        <v>128.1637546</v>
      </c>
      <c r="J138" s="1778">
        <v>0</v>
      </c>
      <c r="K138" s="1778">
        <v>51.278807000000008</v>
      </c>
      <c r="L138" s="1778">
        <v>5.8083000000000003E-2</v>
      </c>
      <c r="M138" s="1779">
        <v>51.336890000000011</v>
      </c>
      <c r="N138" s="1780">
        <v>4.005570074021537</v>
      </c>
      <c r="O138" s="1781"/>
    </row>
    <row r="139" spans="1:16">
      <c r="A139" s="1773"/>
      <c r="B139" s="1774"/>
      <c r="C139" s="1775"/>
      <c r="D139" s="1776"/>
      <c r="E139" s="1775"/>
      <c r="F139" s="1777"/>
      <c r="G139" s="1856"/>
      <c r="H139" s="1780"/>
      <c r="I139" s="1778"/>
      <c r="J139" s="1867"/>
      <c r="K139" s="1867"/>
      <c r="L139" s="1867"/>
      <c r="M139" s="1867"/>
      <c r="N139" s="1867"/>
      <c r="O139" s="1781"/>
    </row>
    <row r="140" spans="1:16">
      <c r="A140" s="1773" t="s">
        <v>706</v>
      </c>
      <c r="B140" s="1774" t="s">
        <v>1757</v>
      </c>
      <c r="C140" s="1775"/>
      <c r="D140" s="1776"/>
      <c r="E140" s="1775"/>
      <c r="F140" s="1776"/>
      <c r="G140" s="1854"/>
      <c r="H140" s="1853"/>
      <c r="I140" s="1778"/>
      <c r="J140" s="1945"/>
      <c r="K140" s="1945"/>
      <c r="L140" s="1945"/>
      <c r="M140" s="1945"/>
      <c r="N140" s="1780"/>
      <c r="O140" s="1781">
        <v>25.684299299999999</v>
      </c>
      <c r="P140" s="1782">
        <v>-25.684299299999999</v>
      </c>
    </row>
    <row r="141" spans="1:16">
      <c r="A141" s="1773"/>
      <c r="B141" s="1774" t="s">
        <v>1745</v>
      </c>
      <c r="C141" s="1775"/>
      <c r="D141" s="1776"/>
      <c r="E141" s="1775"/>
      <c r="F141" s="1776"/>
      <c r="G141" s="1854"/>
      <c r="H141" s="1853"/>
      <c r="I141" s="1778"/>
      <c r="J141" s="1945"/>
      <c r="K141" s="1945"/>
      <c r="L141" s="1945"/>
      <c r="M141" s="1945"/>
      <c r="N141" s="1780"/>
      <c r="O141" s="1781">
        <v>248.51927170000005</v>
      </c>
      <c r="P141" s="1782">
        <v>-248.51927170000005</v>
      </c>
    </row>
    <row r="142" spans="1:16">
      <c r="A142" s="1773">
        <v>1</v>
      </c>
      <c r="B142" s="1774" t="s">
        <v>1758</v>
      </c>
      <c r="C142" s="1775">
        <v>1020</v>
      </c>
      <c r="D142" s="1776">
        <v>0.34830924252920159</v>
      </c>
      <c r="E142" s="1775" t="s">
        <v>1717</v>
      </c>
      <c r="F142" s="1776">
        <v>0.01</v>
      </c>
      <c r="G142" s="1777">
        <v>4.3137254901960784E-2</v>
      </c>
      <c r="H142" s="1775">
        <v>44</v>
      </c>
      <c r="I142" s="1778">
        <v>149.568321</v>
      </c>
      <c r="J142" s="1778">
        <v>0</v>
      </c>
      <c r="K142" s="1778">
        <v>32.306757400000002</v>
      </c>
      <c r="L142" s="1778">
        <v>0</v>
      </c>
      <c r="M142" s="1779">
        <v>32.306757400000002</v>
      </c>
      <c r="N142" s="1780">
        <v>2.1600000042789809</v>
      </c>
      <c r="O142" s="1781">
        <v>406.95481519999998</v>
      </c>
      <c r="P142" s="1782">
        <v>-374.6480578</v>
      </c>
    </row>
    <row r="143" spans="1:16">
      <c r="A143" s="1773">
        <v>2</v>
      </c>
      <c r="B143" s="1774" t="s">
        <v>1759</v>
      </c>
      <c r="C143" s="1775">
        <v>400</v>
      </c>
      <c r="D143" s="1776">
        <v>0.50362204337602667</v>
      </c>
      <c r="E143" s="1775" t="s">
        <v>1717</v>
      </c>
      <c r="F143" s="1776">
        <v>5.0000000000000001E-3</v>
      </c>
      <c r="G143" s="1777">
        <v>0.88</v>
      </c>
      <c r="H143" s="1775">
        <v>352</v>
      </c>
      <c r="I143" s="1778">
        <v>1588.2653979999998</v>
      </c>
      <c r="J143" s="1778">
        <v>22.276799999999994</v>
      </c>
      <c r="K143" s="1778">
        <v>163.84484309999999</v>
      </c>
      <c r="L143" s="1778">
        <v>-0.74179200000000378</v>
      </c>
      <c r="M143" s="1779">
        <v>185.37985109999997</v>
      </c>
      <c r="N143" s="1780">
        <v>1.1671843467309486</v>
      </c>
      <c r="O143" s="1781">
        <v>444.81631699999997</v>
      </c>
      <c r="P143" s="1782">
        <v>-259.43646590000003</v>
      </c>
    </row>
    <row r="144" spans="1:16">
      <c r="A144" s="1773">
        <v>3</v>
      </c>
      <c r="B144" s="1774" t="s">
        <v>1760</v>
      </c>
      <c r="C144" s="1775">
        <v>1000</v>
      </c>
      <c r="D144" s="1776">
        <v>0.46092558271070777</v>
      </c>
      <c r="E144" s="1775" t="s">
        <v>1717</v>
      </c>
      <c r="F144" s="1776">
        <v>1.2E-2</v>
      </c>
      <c r="G144" s="1777">
        <v>0.2</v>
      </c>
      <c r="H144" s="1775">
        <v>200</v>
      </c>
      <c r="I144" s="1778">
        <v>858.74822900000015</v>
      </c>
      <c r="J144" s="1778">
        <v>183.90029039999999</v>
      </c>
      <c r="K144" s="1778">
        <v>115.13532379999999</v>
      </c>
      <c r="L144" s="1778">
        <v>65.660780407999994</v>
      </c>
      <c r="M144" s="1779">
        <v>364.69639460799999</v>
      </c>
      <c r="N144" s="1780">
        <v>4.2468372253027367</v>
      </c>
      <c r="O144" s="1781">
        <v>701.09353340000007</v>
      </c>
      <c r="P144" s="1782">
        <v>-336.39713879200008</v>
      </c>
    </row>
    <row r="145" spans="1:16">
      <c r="A145" s="1773">
        <v>4</v>
      </c>
      <c r="B145" s="1774" t="s">
        <v>1761</v>
      </c>
      <c r="C145" s="1775">
        <v>1200</v>
      </c>
      <c r="D145" s="1776">
        <v>0.49645294401518258</v>
      </c>
      <c r="E145" s="1775" t="s">
        <v>1717</v>
      </c>
      <c r="F145" s="1776">
        <v>1.2E-2</v>
      </c>
      <c r="G145" s="1777">
        <v>0.16666666666666666</v>
      </c>
      <c r="H145" s="1775">
        <v>200</v>
      </c>
      <c r="I145" s="1778">
        <v>880.09080000000006</v>
      </c>
      <c r="J145" s="1778">
        <v>327.88868779999996</v>
      </c>
      <c r="K145" s="1778">
        <v>190.74548679999998</v>
      </c>
      <c r="L145" s="1778">
        <v>4.6205864499999985</v>
      </c>
      <c r="M145" s="1779">
        <v>523.25476104999996</v>
      </c>
      <c r="N145" s="1780">
        <v>5.9454633663935574</v>
      </c>
      <c r="O145" s="1781">
        <v>0</v>
      </c>
      <c r="P145" s="1782">
        <v>523.25476104999996</v>
      </c>
    </row>
    <row r="146" spans="1:16">
      <c r="A146" s="1773">
        <v>5</v>
      </c>
      <c r="B146" s="1774" t="s">
        <v>1762</v>
      </c>
      <c r="C146" s="1775">
        <v>330</v>
      </c>
      <c r="D146" s="1776">
        <v>0.4859984859772879</v>
      </c>
      <c r="E146" s="1775" t="s">
        <v>1717</v>
      </c>
      <c r="F146" s="1776">
        <v>0.01</v>
      </c>
      <c r="G146" s="1777">
        <v>0.87999999999999989</v>
      </c>
      <c r="H146" s="1775">
        <v>290.39999999999998</v>
      </c>
      <c r="I146" s="1778">
        <v>1263.5205699999999</v>
      </c>
      <c r="J146" s="1778">
        <v>371.98262050000005</v>
      </c>
      <c r="K146" s="1778">
        <v>302.57398210000002</v>
      </c>
      <c r="L146" s="1778">
        <v>157.8397617</v>
      </c>
      <c r="M146" s="1779">
        <v>832.39636430000019</v>
      </c>
      <c r="N146" s="1780">
        <v>6.5879130428402943</v>
      </c>
      <c r="O146" s="1781"/>
      <c r="P146" s="1782">
        <v>832.39636430000019</v>
      </c>
    </row>
    <row r="147" spans="1:16">
      <c r="A147" s="1773">
        <v>6</v>
      </c>
      <c r="B147" s="1774" t="s">
        <v>1763</v>
      </c>
      <c r="C147" s="1775">
        <v>45</v>
      </c>
      <c r="D147" s="1776">
        <v>0</v>
      </c>
      <c r="E147" s="1775" t="s">
        <v>1717</v>
      </c>
      <c r="F147" s="1776">
        <v>0.01</v>
      </c>
      <c r="G147" s="1777">
        <v>0.40333333333333332</v>
      </c>
      <c r="H147" s="1775">
        <v>18.149999999999999</v>
      </c>
      <c r="I147" s="1778">
        <v>0</v>
      </c>
      <c r="J147" s="1778">
        <v>0</v>
      </c>
      <c r="K147" s="1778">
        <v>0</v>
      </c>
      <c r="L147" s="1778">
        <v>0</v>
      </c>
      <c r="M147" s="1779">
        <v>0</v>
      </c>
      <c r="N147" s="1780">
        <v>0</v>
      </c>
      <c r="O147" s="1781">
        <v>500.76647350000007</v>
      </c>
      <c r="P147" s="1782">
        <v>-500.76647350000007</v>
      </c>
    </row>
    <row r="148" spans="1:16">
      <c r="A148" s="1773"/>
      <c r="B148" s="1774" t="s">
        <v>1750</v>
      </c>
      <c r="C148" s="1775"/>
      <c r="D148" s="1776"/>
      <c r="E148" s="1775"/>
      <c r="F148" s="1776"/>
      <c r="G148" s="1777"/>
      <c r="H148" s="1775"/>
      <c r="I148" s="1778"/>
      <c r="J148" s="1945"/>
      <c r="K148" s="1945"/>
      <c r="L148" s="1945"/>
      <c r="M148" s="1945"/>
      <c r="N148" s="1780"/>
      <c r="O148" s="1781">
        <v>2284.5593484999999</v>
      </c>
      <c r="P148" s="1782">
        <v>-2284.5593484999999</v>
      </c>
    </row>
    <row r="149" spans="1:16">
      <c r="A149" s="1773">
        <v>1</v>
      </c>
      <c r="B149" s="1774" t="s">
        <v>1764</v>
      </c>
      <c r="C149" s="1775">
        <v>1320</v>
      </c>
      <c r="D149" s="1776">
        <v>0.84999999999999976</v>
      </c>
      <c r="E149" s="1775" t="s">
        <v>1649</v>
      </c>
      <c r="F149" s="1776">
        <v>5.7500000000000002E-2</v>
      </c>
      <c r="G149" s="1777">
        <v>0.77575757575757576</v>
      </c>
      <c r="H149" s="1775">
        <v>1024</v>
      </c>
      <c r="I149" s="1778">
        <v>3137.985044</v>
      </c>
      <c r="J149" s="1778">
        <v>941.2893249</v>
      </c>
      <c r="K149" s="1778">
        <v>785.97933251699999</v>
      </c>
      <c r="L149" s="1778">
        <v>5.1409858850002266</v>
      </c>
      <c r="M149" s="1779">
        <v>1732.4096433020002</v>
      </c>
      <c r="N149" s="1780">
        <v>5.5207708736995498</v>
      </c>
      <c r="O149" s="1781">
        <v>221.4106792</v>
      </c>
      <c r="P149" s="1782">
        <v>1510.9989641020002</v>
      </c>
    </row>
    <row r="150" spans="1:16">
      <c r="A150" s="1773">
        <v>2</v>
      </c>
      <c r="B150" s="1774" t="s">
        <v>1765</v>
      </c>
      <c r="C150" s="1775">
        <v>1200</v>
      </c>
      <c r="D150" s="1776">
        <v>0.79795511359012961</v>
      </c>
      <c r="E150" s="1775" t="s">
        <v>1649</v>
      </c>
      <c r="F150" s="1776">
        <v>7.4999999999999997E-2</v>
      </c>
      <c r="G150" s="1777">
        <v>0.91666666666666663</v>
      </c>
      <c r="H150" s="1775">
        <v>1100</v>
      </c>
      <c r="I150" s="1778">
        <v>7545.458963</v>
      </c>
      <c r="J150" s="1778">
        <v>562.47315914399996</v>
      </c>
      <c r="K150" s="1778">
        <v>1537.5213414170003</v>
      </c>
      <c r="L150" s="1778">
        <v>58.119783349999999</v>
      </c>
      <c r="M150" s="1779">
        <v>2158.1142839110003</v>
      </c>
      <c r="N150" s="1780">
        <v>2.8601497861078489</v>
      </c>
      <c r="O150" s="1781">
        <v>117.90833739999999</v>
      </c>
      <c r="P150" s="1782">
        <v>2040.2059465110003</v>
      </c>
    </row>
    <row r="151" spans="1:16">
      <c r="A151" s="1773">
        <v>4</v>
      </c>
      <c r="B151" s="1774" t="s">
        <v>1766</v>
      </c>
      <c r="C151" s="1775">
        <v>90</v>
      </c>
      <c r="D151" s="1776">
        <v>0.70000000000000007</v>
      </c>
      <c r="E151" s="1775" t="s">
        <v>1649</v>
      </c>
      <c r="F151" s="1776">
        <v>9.7500000000000003E-2</v>
      </c>
      <c r="G151" s="1777">
        <v>1</v>
      </c>
      <c r="H151" s="1775">
        <v>90</v>
      </c>
      <c r="I151" s="1778">
        <v>169.64584100000002</v>
      </c>
      <c r="J151" s="1778">
        <v>110.69999999999997</v>
      </c>
      <c r="K151" s="1778">
        <v>58.180280800000006</v>
      </c>
      <c r="L151" s="1778">
        <v>-9.4822404999999996</v>
      </c>
      <c r="M151" s="1779">
        <v>159.39804029999999</v>
      </c>
      <c r="N151" s="1780">
        <v>9.3959297416551451</v>
      </c>
      <c r="O151" s="1781">
        <v>126.47794879999999</v>
      </c>
      <c r="P151" s="1782">
        <v>32.920091499999998</v>
      </c>
    </row>
    <row r="152" spans="1:16">
      <c r="A152" s="1773">
        <v>5</v>
      </c>
      <c r="B152" s="1774" t="s">
        <v>1767</v>
      </c>
      <c r="C152" s="1775">
        <v>90</v>
      </c>
      <c r="D152" s="1776">
        <v>0.70000000000000007</v>
      </c>
      <c r="E152" s="1775" t="s">
        <v>1649</v>
      </c>
      <c r="F152" s="1776">
        <v>9.7500000000000003E-2</v>
      </c>
      <c r="G152" s="1777">
        <v>1</v>
      </c>
      <c r="H152" s="1775">
        <v>90</v>
      </c>
      <c r="I152" s="1778">
        <v>172.27494100000004</v>
      </c>
      <c r="J152" s="1778">
        <v>111.87000000000002</v>
      </c>
      <c r="K152" s="1778">
        <v>59.100924800000008</v>
      </c>
      <c r="L152" s="1778">
        <v>0</v>
      </c>
      <c r="M152" s="1779">
        <v>170.97092480000003</v>
      </c>
      <c r="N152" s="1780">
        <v>9.9243061009087779</v>
      </c>
      <c r="O152" s="1781">
        <v>122.52871300000001</v>
      </c>
      <c r="P152" s="1782">
        <v>48.442211800000024</v>
      </c>
    </row>
    <row r="153" spans="1:16">
      <c r="A153" s="1773">
        <v>6</v>
      </c>
      <c r="B153" s="1774" t="s">
        <v>1768</v>
      </c>
      <c r="C153" s="1775">
        <v>90</v>
      </c>
      <c r="D153" s="1776">
        <v>0.70000000000000007</v>
      </c>
      <c r="E153" s="1775" t="s">
        <v>1649</v>
      </c>
      <c r="F153" s="1776">
        <v>9.7500000000000003E-2</v>
      </c>
      <c r="G153" s="1777">
        <v>1</v>
      </c>
      <c r="H153" s="1775">
        <v>90</v>
      </c>
      <c r="I153" s="1778">
        <v>226.78894</v>
      </c>
      <c r="J153" s="1778">
        <v>111.37</v>
      </c>
      <c r="K153" s="1778">
        <v>71.547744099999989</v>
      </c>
      <c r="L153" s="1778">
        <v>0</v>
      </c>
      <c r="M153" s="1779">
        <v>182.91774409999999</v>
      </c>
      <c r="N153" s="1780">
        <v>8.0655495854427475</v>
      </c>
      <c r="O153" s="1781">
        <v>125.3730085</v>
      </c>
      <c r="P153" s="1782">
        <v>57.544735599999996</v>
      </c>
    </row>
    <row r="154" spans="1:16">
      <c r="A154" s="1773">
        <v>7</v>
      </c>
      <c r="B154" s="1774" t="s">
        <v>1769</v>
      </c>
      <c r="C154" s="1775">
        <v>90</v>
      </c>
      <c r="D154" s="1776">
        <v>0.70000000000000007</v>
      </c>
      <c r="E154" s="1775" t="s">
        <v>1649</v>
      </c>
      <c r="F154" s="1776">
        <v>9.7500000000000003E-2</v>
      </c>
      <c r="G154" s="1777">
        <v>1</v>
      </c>
      <c r="H154" s="1775">
        <v>90</v>
      </c>
      <c r="I154" s="1778">
        <v>179.556183</v>
      </c>
      <c r="J154" s="1778">
        <v>110.38000009999999</v>
      </c>
      <c r="K154" s="1778">
        <v>59.886460900000003</v>
      </c>
      <c r="L154" s="1778">
        <v>0</v>
      </c>
      <c r="M154" s="1779">
        <v>170.26646099999999</v>
      </c>
      <c r="N154" s="1780">
        <v>9.482628676730112</v>
      </c>
      <c r="O154" s="1781">
        <v>2448.2637742000002</v>
      </c>
      <c r="P154" s="1782">
        <v>-2277.9973132</v>
      </c>
    </row>
    <row r="155" spans="1:16">
      <c r="A155" s="1773">
        <v>8</v>
      </c>
      <c r="B155" s="1774" t="s">
        <v>1770</v>
      </c>
      <c r="C155" s="1775">
        <v>90</v>
      </c>
      <c r="D155" s="1776">
        <v>0.70000000000000007</v>
      </c>
      <c r="E155" s="1775" t="s">
        <v>1649</v>
      </c>
      <c r="F155" s="1776">
        <v>9.7500000000000003E-2</v>
      </c>
      <c r="G155" s="1777">
        <v>1</v>
      </c>
      <c r="H155" s="1775">
        <v>90</v>
      </c>
      <c r="I155" s="1778">
        <v>239.18694500000001</v>
      </c>
      <c r="J155" s="1778">
        <v>114.54999999999998</v>
      </c>
      <c r="K155" s="1778">
        <v>79.88387689999999</v>
      </c>
      <c r="L155" s="1778">
        <v>0</v>
      </c>
      <c r="M155" s="1779">
        <v>194.43387689999997</v>
      </c>
      <c r="N155" s="1780">
        <v>8.1289502192521397</v>
      </c>
      <c r="O155" s="1781">
        <v>5478.0928366000007</v>
      </c>
      <c r="P155" s="1782">
        <v>-5283.6589597000011</v>
      </c>
    </row>
    <row r="156" spans="1:16">
      <c r="A156" s="1773">
        <v>9</v>
      </c>
      <c r="B156" s="1774" t="s">
        <v>1771</v>
      </c>
      <c r="C156" s="1775">
        <v>3600</v>
      </c>
      <c r="D156" s="1776">
        <v>0.48884309678774107</v>
      </c>
      <c r="E156" s="1775" t="s">
        <v>1649</v>
      </c>
      <c r="F156" s="1776">
        <v>0</v>
      </c>
      <c r="G156" s="1777">
        <v>0.27777777777777779</v>
      </c>
      <c r="H156" s="1775">
        <v>1000</v>
      </c>
      <c r="I156" s="1778">
        <v>5191.52225</v>
      </c>
      <c r="J156" s="1778">
        <v>1489.2</v>
      </c>
      <c r="K156" s="1778">
        <v>1416.4815165</v>
      </c>
      <c r="L156" s="1778">
        <v>-49.063130900000012</v>
      </c>
      <c r="M156" s="1779">
        <v>2856.6183855999998</v>
      </c>
      <c r="N156" s="1780">
        <v>5.5024677696411679</v>
      </c>
      <c r="O156" s="1781">
        <v>1943.7030461999998</v>
      </c>
      <c r="P156" s="1782">
        <v>912.91533939999999</v>
      </c>
    </row>
    <row r="157" spans="1:16">
      <c r="A157" s="1773">
        <v>10</v>
      </c>
      <c r="B157" s="1774" t="s">
        <v>1772</v>
      </c>
      <c r="C157" s="1775">
        <v>1980</v>
      </c>
      <c r="D157" s="1776">
        <v>0.85</v>
      </c>
      <c r="E157" s="1775" t="s">
        <v>1649</v>
      </c>
      <c r="F157" s="1776">
        <v>5.7500000000000002E-2</v>
      </c>
      <c r="G157" s="1777">
        <v>1</v>
      </c>
      <c r="H157" s="1775">
        <v>1980</v>
      </c>
      <c r="I157" s="1778">
        <v>7063.8579765000004</v>
      </c>
      <c r="J157" s="1778">
        <v>3366.1943752999991</v>
      </c>
      <c r="K157" s="1778">
        <v>2105.6702661999998</v>
      </c>
      <c r="L157" s="1778">
        <v>1958.4251803</v>
      </c>
      <c r="M157" s="1779">
        <v>7430.2898217999982</v>
      </c>
      <c r="N157" s="1780">
        <v>10.518741807266004</v>
      </c>
      <c r="O157" s="1781">
        <v>3236.9775654</v>
      </c>
      <c r="P157" s="1782">
        <v>4193.3122563999987</v>
      </c>
    </row>
    <row r="158" spans="1:16">
      <c r="A158" s="1773">
        <v>11</v>
      </c>
      <c r="B158" s="1774" t="s">
        <v>1773</v>
      </c>
      <c r="C158" s="1775">
        <v>1200</v>
      </c>
      <c r="D158" s="1776">
        <v>0.78003645831701773</v>
      </c>
      <c r="E158" s="1775" t="s">
        <v>1649</v>
      </c>
      <c r="F158" s="1776">
        <v>0</v>
      </c>
      <c r="G158" s="1777">
        <v>0.30083333333333334</v>
      </c>
      <c r="H158" s="1775">
        <v>361</v>
      </c>
      <c r="I158" s="1778">
        <v>2071.08275</v>
      </c>
      <c r="J158" s="1778">
        <v>649.78980690000003</v>
      </c>
      <c r="K158" s="1778">
        <v>435.21803459999995</v>
      </c>
      <c r="L158" s="1778">
        <v>134.36584529999999</v>
      </c>
      <c r="M158" s="1779">
        <v>1219.3736868000001</v>
      </c>
      <c r="N158" s="1780">
        <v>5.8876145185410866</v>
      </c>
      <c r="O158" s="1781">
        <v>950.7233316999999</v>
      </c>
      <c r="P158" s="1782">
        <v>268.65035510000018</v>
      </c>
    </row>
    <row r="159" spans="1:16">
      <c r="A159" s="1773">
        <v>12</v>
      </c>
      <c r="B159" s="1774" t="s">
        <v>1774</v>
      </c>
      <c r="C159" s="1775">
        <v>1980</v>
      </c>
      <c r="D159" s="1776">
        <v>0.54461183841864091</v>
      </c>
      <c r="E159" s="1775" t="s">
        <v>1649</v>
      </c>
      <c r="F159" s="1776">
        <v>7.4999999999999997E-2</v>
      </c>
      <c r="G159" s="1777">
        <v>0.9</v>
      </c>
      <c r="H159" s="1775">
        <v>1782</v>
      </c>
      <c r="I159" s="1778">
        <v>9787.9252894999991</v>
      </c>
      <c r="J159" s="1778">
        <v>1359.6237311</v>
      </c>
      <c r="K159" s="1778">
        <v>2368.6038100000001</v>
      </c>
      <c r="L159" s="1778">
        <v>13.593791400000001</v>
      </c>
      <c r="M159" s="1779">
        <v>3741.8213325000002</v>
      </c>
      <c r="N159" s="1780">
        <v>3.8228952733364654</v>
      </c>
      <c r="O159" s="1781">
        <v>3019.8022477</v>
      </c>
      <c r="P159" s="1782">
        <v>722.0190848000002</v>
      </c>
    </row>
    <row r="160" spans="1:16">
      <c r="A160" s="1773">
        <v>13</v>
      </c>
      <c r="B160" s="1774" t="s">
        <v>1775</v>
      </c>
      <c r="C160" s="1775">
        <v>1540</v>
      </c>
      <c r="D160" s="1776">
        <v>0.67962661608432773</v>
      </c>
      <c r="E160" s="1775" t="s">
        <v>1649</v>
      </c>
      <c r="F160" s="1776">
        <v>0</v>
      </c>
      <c r="G160" s="1777">
        <v>0.22727272727272727</v>
      </c>
      <c r="H160" s="1775">
        <v>350</v>
      </c>
      <c r="I160" s="1778">
        <v>2451.1637999999998</v>
      </c>
      <c r="J160" s="1778">
        <v>604.05142560000002</v>
      </c>
      <c r="K160" s="1778">
        <v>461.79397639999996</v>
      </c>
      <c r="L160" s="1778">
        <v>36.005039199999999</v>
      </c>
      <c r="M160" s="1779">
        <v>1101.8504412</v>
      </c>
      <c r="N160" s="1780">
        <v>4.4952134214775858</v>
      </c>
      <c r="O160" s="1781">
        <v>580.15355060000002</v>
      </c>
      <c r="P160" s="1782">
        <v>521.69689059999996</v>
      </c>
    </row>
    <row r="161" spans="1:16">
      <c r="A161" s="1773">
        <v>14</v>
      </c>
      <c r="B161" s="1774" t="s">
        <v>1776</v>
      </c>
      <c r="C161" s="1775">
        <v>1320</v>
      </c>
      <c r="D161" s="1776">
        <v>0.85</v>
      </c>
      <c r="E161" s="1775" t="s">
        <v>1649</v>
      </c>
      <c r="F161" s="1776">
        <v>8.5000000000000006E-2</v>
      </c>
      <c r="G161" s="1777">
        <v>1</v>
      </c>
      <c r="H161" s="1775">
        <v>1320</v>
      </c>
      <c r="I161" s="1778">
        <v>6303.1742170000007</v>
      </c>
      <c r="J161" s="1778">
        <v>1163.6441663000001</v>
      </c>
      <c r="K161" s="1778">
        <v>1619.4725051</v>
      </c>
      <c r="L161" s="1778">
        <v>352.85527949999999</v>
      </c>
      <c r="M161" s="1779">
        <v>3135.9719509000001</v>
      </c>
      <c r="N161" s="1780">
        <v>4.9752265175252735</v>
      </c>
      <c r="O161" s="1781">
        <v>565.0472893000001</v>
      </c>
      <c r="P161" s="1782">
        <v>2570.9246616</v>
      </c>
    </row>
    <row r="162" spans="1:16">
      <c r="A162" s="1773">
        <v>15</v>
      </c>
      <c r="B162" s="1774" t="s">
        <v>1777</v>
      </c>
      <c r="C162" s="1775">
        <v>4000</v>
      </c>
      <c r="D162" s="1776">
        <v>0.90830856398650772</v>
      </c>
      <c r="E162" s="1775" t="s">
        <v>1649</v>
      </c>
      <c r="F162" s="1776">
        <v>0.06</v>
      </c>
      <c r="G162" s="1777">
        <v>0.12375</v>
      </c>
      <c r="H162" s="1775">
        <v>495</v>
      </c>
      <c r="I162" s="1778">
        <v>3769.7254659999999</v>
      </c>
      <c r="J162" s="1778">
        <v>50.531143799999995</v>
      </c>
      <c r="K162" s="1778">
        <v>403.36442909999994</v>
      </c>
      <c r="L162" s="1778">
        <v>85.409088400000002</v>
      </c>
      <c r="M162" s="1779">
        <v>539.30466129999991</v>
      </c>
      <c r="N162" s="1780">
        <v>1.4306205217438503</v>
      </c>
      <c r="O162" s="1781">
        <v>141.93702199999998</v>
      </c>
      <c r="P162" s="1782">
        <v>397.36763929999995</v>
      </c>
    </row>
    <row r="163" spans="1:16">
      <c r="A163" s="1773">
        <v>16</v>
      </c>
      <c r="B163" s="1774" t="s">
        <v>1778</v>
      </c>
      <c r="C163" s="1775">
        <v>600</v>
      </c>
      <c r="D163" s="1776">
        <v>0.58639735231574275</v>
      </c>
      <c r="E163" s="1775" t="s">
        <v>1649</v>
      </c>
      <c r="F163" s="1776">
        <v>0</v>
      </c>
      <c r="G163" s="1777">
        <v>0.65</v>
      </c>
      <c r="H163" s="1775">
        <v>390</v>
      </c>
      <c r="I163" s="1778">
        <v>1621.6438750000002</v>
      </c>
      <c r="J163" s="1778">
        <v>287.41462699999994</v>
      </c>
      <c r="K163" s="1778">
        <v>245.2935827</v>
      </c>
      <c r="L163" s="1778">
        <v>87.885114900000005</v>
      </c>
      <c r="M163" s="1779">
        <v>620.59332459999996</v>
      </c>
      <c r="N163" s="1780">
        <v>3.8269396515927392</v>
      </c>
      <c r="O163" s="1781">
        <v>25887.539462999994</v>
      </c>
      <c r="P163" s="1782">
        <v>-25266.946138399995</v>
      </c>
    </row>
    <row r="164" spans="1:16">
      <c r="A164" s="1773">
        <v>17</v>
      </c>
      <c r="B164" s="1774" t="s">
        <v>1779</v>
      </c>
      <c r="C164" s="1775">
        <v>1320</v>
      </c>
      <c r="D164" s="1776">
        <v>0.84999999999999976</v>
      </c>
      <c r="E164" s="1775" t="s">
        <v>1649</v>
      </c>
      <c r="F164" s="1776">
        <v>5.7500000000000002E-2</v>
      </c>
      <c r="G164" s="1777">
        <v>0.15834090909090909</v>
      </c>
      <c r="H164" s="1775">
        <v>209.01</v>
      </c>
      <c r="I164" s="1778">
        <v>389.97267300000004</v>
      </c>
      <c r="J164" s="1778">
        <v>133.51260600000003</v>
      </c>
      <c r="K164" s="1778">
        <v>81.786650000000009</v>
      </c>
      <c r="L164" s="1778">
        <v>-8.9758724999999977</v>
      </c>
      <c r="M164" s="1779">
        <v>206.32338350000003</v>
      </c>
      <c r="N164" s="1780">
        <v>5.2907138829186628</v>
      </c>
      <c r="O164" s="1781"/>
    </row>
    <row r="165" spans="1:16">
      <c r="A165" s="1773"/>
      <c r="B165" s="1774" t="s">
        <v>1780</v>
      </c>
      <c r="C165" s="1775"/>
      <c r="D165" s="1776"/>
      <c r="E165" s="1775"/>
      <c r="F165" s="1776"/>
      <c r="G165" s="1777"/>
      <c r="H165" s="1775"/>
      <c r="I165" s="1778">
        <v>235.69391729999998</v>
      </c>
      <c r="J165" s="1778">
        <v>29.9398117</v>
      </c>
      <c r="K165" s="1778">
        <v>78.423751899999999</v>
      </c>
      <c r="L165" s="1778">
        <v>28.554812699999999</v>
      </c>
      <c r="M165" s="1779">
        <v>136.91837629999998</v>
      </c>
      <c r="N165" s="1780">
        <v>5.8091603664818035</v>
      </c>
      <c r="O165" s="1781">
        <v>46096.846975644992</v>
      </c>
      <c r="P165" s="1782">
        <v>-45959.928599344996</v>
      </c>
    </row>
    <row r="166" spans="1:16">
      <c r="A166" s="1773"/>
      <c r="B166" s="1774" t="s">
        <v>211</v>
      </c>
      <c r="C166" s="1775"/>
      <c r="D166" s="1776"/>
      <c r="E166" s="1775"/>
      <c r="F166" s="1867"/>
      <c r="G166" s="1856"/>
      <c r="H166" s="1780"/>
      <c r="I166" s="1779">
        <v>55296.852389300002</v>
      </c>
      <c r="J166" s="1779">
        <v>12102.582576544002</v>
      </c>
      <c r="K166" s="1779">
        <v>12672.814877134</v>
      </c>
      <c r="L166" s="1779">
        <v>2920.2130135930006</v>
      </c>
      <c r="M166" s="1779">
        <v>27695.610467270995</v>
      </c>
      <c r="N166" s="1780">
        <v>5.0085329038782911</v>
      </c>
      <c r="O166" s="1781"/>
    </row>
    <row r="167" spans="1:16">
      <c r="A167" s="1773"/>
      <c r="B167" s="1774"/>
      <c r="C167" s="1775"/>
      <c r="D167" s="1776"/>
      <c r="E167" s="1775"/>
      <c r="F167" s="1867"/>
      <c r="G167" s="1856"/>
      <c r="H167" s="1780"/>
      <c r="I167" s="1778"/>
      <c r="J167" s="1867"/>
      <c r="K167" s="1867"/>
      <c r="L167" s="1867"/>
      <c r="M167" s="1867"/>
      <c r="N167" s="1867"/>
      <c r="O167" s="1781"/>
    </row>
    <row r="168" spans="1:16">
      <c r="A168" s="1773"/>
      <c r="B168" s="1879" t="s">
        <v>1781</v>
      </c>
      <c r="C168" s="1775"/>
      <c r="D168" s="1776"/>
      <c r="E168" s="1775"/>
      <c r="F168" s="1867"/>
      <c r="G168" s="1856"/>
      <c r="H168" s="1780"/>
      <c r="I168" s="1779">
        <v>112441.72673795</v>
      </c>
      <c r="J168" s="1779">
        <v>19418.919449233003</v>
      </c>
      <c r="K168" s="1779">
        <v>25469.212323545005</v>
      </c>
      <c r="L168" s="1779">
        <v>3488.1129877040007</v>
      </c>
      <c r="M168" s="1779">
        <v>48376.24476048199</v>
      </c>
      <c r="N168" s="1780">
        <v>4.3023391906124662</v>
      </c>
      <c r="O168" s="1781"/>
    </row>
    <row r="169" spans="1:16">
      <c r="A169" s="1773"/>
      <c r="B169" s="1774"/>
      <c r="C169" s="1775"/>
      <c r="D169" s="1776"/>
      <c r="E169" s="1775"/>
      <c r="F169" s="1867"/>
      <c r="G169" s="1856"/>
      <c r="H169" s="1780"/>
      <c r="I169" s="1778"/>
      <c r="J169" s="1867"/>
      <c r="K169" s="1867"/>
      <c r="L169" s="2827"/>
      <c r="M169" s="1867"/>
      <c r="N169" s="1867"/>
      <c r="O169" s="1781"/>
    </row>
    <row r="170" spans="1:16">
      <c r="A170" s="1773" t="s">
        <v>58</v>
      </c>
      <c r="B170" s="1774" t="s">
        <v>1782</v>
      </c>
      <c r="C170" s="1775"/>
      <c r="D170" s="1776"/>
      <c r="E170" s="1775"/>
      <c r="F170" s="1776"/>
      <c r="G170" s="1854"/>
      <c r="H170" s="1853"/>
      <c r="I170" s="1778"/>
      <c r="J170" s="1778"/>
      <c r="K170" s="1778"/>
      <c r="L170" s="1778"/>
      <c r="M170" s="1779"/>
      <c r="N170" s="1780"/>
      <c r="O170" s="1781"/>
    </row>
    <row r="171" spans="1:16">
      <c r="A171" s="1773"/>
      <c r="B171" s="1774"/>
      <c r="C171" s="1775"/>
      <c r="D171" s="1776"/>
      <c r="E171" s="1775"/>
      <c r="F171" s="1867"/>
      <c r="G171" s="1856"/>
      <c r="H171" s="1780"/>
      <c r="I171" s="1778"/>
      <c r="J171" s="1867"/>
      <c r="K171" s="1867"/>
      <c r="L171" s="1867"/>
      <c r="M171" s="1867"/>
      <c r="N171" s="1867"/>
      <c r="O171" s="1781"/>
    </row>
    <row r="172" spans="1:16">
      <c r="A172" s="1773" t="s">
        <v>67</v>
      </c>
      <c r="B172" s="1774" t="s">
        <v>1783</v>
      </c>
      <c r="C172" s="1775"/>
      <c r="D172" s="1776"/>
      <c r="E172" s="1775"/>
      <c r="F172" s="1065"/>
      <c r="G172" s="1881"/>
      <c r="H172" s="1861"/>
      <c r="I172" s="1778"/>
      <c r="J172" s="1065"/>
      <c r="K172" s="1065"/>
      <c r="L172" s="1065"/>
      <c r="M172" s="1065"/>
      <c r="N172" s="1065"/>
      <c r="O172" s="1781"/>
    </row>
    <row r="173" spans="1:16">
      <c r="A173" s="1773"/>
      <c r="B173" s="1879" t="s">
        <v>1784</v>
      </c>
      <c r="C173" s="1775"/>
      <c r="D173" s="1776"/>
      <c r="E173" s="1775"/>
      <c r="F173" s="1777"/>
      <c r="G173" s="1854"/>
      <c r="H173" s="1853"/>
      <c r="I173" s="1778"/>
      <c r="J173" s="1778"/>
      <c r="K173" s="1778"/>
      <c r="L173" s="1778"/>
      <c r="M173" s="1779"/>
      <c r="N173" s="1780"/>
      <c r="O173" s="1781"/>
    </row>
    <row r="174" spans="1:16">
      <c r="A174" s="1773"/>
      <c r="B174" s="1774"/>
      <c r="C174" s="1775"/>
      <c r="D174" s="1776"/>
      <c r="E174" s="1775"/>
      <c r="F174" s="1777"/>
      <c r="G174" s="1854"/>
      <c r="H174" s="1853"/>
      <c r="I174" s="1778"/>
      <c r="J174" s="2828"/>
      <c r="K174" s="2828"/>
      <c r="L174" s="2828"/>
      <c r="M174" s="2828"/>
      <c r="N174" s="1780"/>
      <c r="O174" s="1781"/>
    </row>
    <row r="175" spans="1:16">
      <c r="A175" s="1773" t="s">
        <v>68</v>
      </c>
      <c r="B175" s="1774" t="s">
        <v>1785</v>
      </c>
      <c r="C175" s="1775"/>
      <c r="D175" s="1776"/>
      <c r="E175" s="1775"/>
      <c r="F175" s="1776"/>
      <c r="G175" s="1854"/>
      <c r="H175" s="1853"/>
      <c r="I175" s="1778"/>
      <c r="J175" s="1945"/>
      <c r="K175" s="1945"/>
      <c r="L175" s="1945"/>
      <c r="M175" s="1945"/>
      <c r="N175" s="1780"/>
      <c r="O175" s="1781"/>
    </row>
    <row r="176" spans="1:16">
      <c r="A176" s="1773"/>
      <c r="B176" s="2829" t="s">
        <v>1786</v>
      </c>
      <c r="C176" s="1775">
        <v>1497.01</v>
      </c>
      <c r="D176" s="1776">
        <v>0.29999999999999993</v>
      </c>
      <c r="E176" s="1775" t="s">
        <v>1667</v>
      </c>
      <c r="F176" s="1776">
        <v>0</v>
      </c>
      <c r="G176" s="1777">
        <v>1</v>
      </c>
      <c r="H176" s="1775">
        <v>1497.01</v>
      </c>
      <c r="I176" s="1778">
        <v>3563.0984422000001</v>
      </c>
      <c r="J176" s="1778">
        <v>0</v>
      </c>
      <c r="K176" s="1778">
        <v>1194.2922182029979</v>
      </c>
      <c r="L176" s="1778">
        <v>16.2803118</v>
      </c>
      <c r="M176" s="1779">
        <v>1210.5725300029978</v>
      </c>
      <c r="N176" s="1780">
        <v>3.3975276003195178</v>
      </c>
    </row>
    <row r="177" spans="1:15">
      <c r="A177" s="1773"/>
      <c r="B177" s="1774" t="s">
        <v>1787</v>
      </c>
      <c r="C177" s="1775">
        <v>0</v>
      </c>
      <c r="D177" s="1776">
        <v>0.29999999999999993</v>
      </c>
      <c r="E177" s="1775" t="s">
        <v>1667</v>
      </c>
      <c r="F177" s="1776">
        <v>0</v>
      </c>
      <c r="G177" s="1777"/>
      <c r="H177" s="1775">
        <v>0</v>
      </c>
      <c r="I177" s="1778"/>
      <c r="J177" s="1778"/>
      <c r="K177" s="1778"/>
      <c r="L177" s="1778"/>
      <c r="M177" s="1065"/>
      <c r="N177" s="1065"/>
    </row>
    <row r="178" spans="1:15">
      <c r="A178" s="1773"/>
      <c r="B178" s="1879" t="s">
        <v>1788</v>
      </c>
      <c r="C178" s="1775"/>
      <c r="D178" s="1776"/>
      <c r="E178" s="1775"/>
      <c r="F178" s="1065"/>
      <c r="G178" s="1881"/>
      <c r="H178" s="1861"/>
      <c r="I178" s="1779">
        <v>3563.0984422000001</v>
      </c>
      <c r="J178" s="1779">
        <v>0</v>
      </c>
      <c r="K178" s="1779">
        <v>1194.2922182029979</v>
      </c>
      <c r="L178" s="1779">
        <v>16.2803118</v>
      </c>
      <c r="M178" s="1779">
        <v>1210.5725300029978</v>
      </c>
      <c r="N178" s="1780">
        <v>3.3975276003195178</v>
      </c>
    </row>
    <row r="179" spans="1:15" ht="15" customHeight="1">
      <c r="A179" s="1773"/>
      <c r="B179" s="1774"/>
      <c r="C179" s="1775"/>
      <c r="D179" s="1776"/>
      <c r="E179" s="1775"/>
      <c r="F179" s="1777"/>
      <c r="G179" s="1854"/>
      <c r="H179" s="1853"/>
      <c r="I179" s="1778"/>
      <c r="J179" s="2828"/>
      <c r="K179" s="2828"/>
      <c r="L179" s="2828"/>
      <c r="M179" s="2828"/>
      <c r="N179" s="1780"/>
      <c r="O179" s="1781"/>
    </row>
    <row r="180" spans="1:15" ht="15" customHeight="1">
      <c r="A180" s="1773" t="s">
        <v>69</v>
      </c>
      <c r="B180" s="1774" t="s">
        <v>1789</v>
      </c>
      <c r="C180" s="1775"/>
      <c r="D180" s="1776"/>
      <c r="E180" s="1775"/>
      <c r="F180" s="1777"/>
      <c r="G180" s="1854"/>
      <c r="H180" s="1853"/>
      <c r="I180" s="1778"/>
      <c r="J180" s="2828"/>
      <c r="K180" s="2828"/>
      <c r="L180" s="2828"/>
      <c r="M180" s="2828"/>
      <c r="N180" s="1780"/>
      <c r="O180" s="1781"/>
    </row>
    <row r="181" spans="1:15">
      <c r="A181" s="1773"/>
      <c r="B181" s="1774"/>
      <c r="C181" s="1775"/>
      <c r="D181" s="1776"/>
      <c r="E181" s="1775"/>
      <c r="F181" s="1777"/>
      <c r="G181" s="1854"/>
      <c r="H181" s="1853"/>
      <c r="I181" s="1778"/>
      <c r="J181" s="2828"/>
      <c r="K181" s="2828"/>
      <c r="L181" s="2828"/>
      <c r="M181" s="1780"/>
      <c r="N181" s="1780"/>
      <c r="O181" s="1781"/>
    </row>
    <row r="182" spans="1:15">
      <c r="A182" s="1773">
        <v>1</v>
      </c>
      <c r="B182" s="1774" t="s">
        <v>1790</v>
      </c>
      <c r="C182" s="1775">
        <v>0</v>
      </c>
      <c r="D182" s="1776">
        <v>0.18916666666666662</v>
      </c>
      <c r="E182" s="1775" t="s">
        <v>1667</v>
      </c>
      <c r="F182" s="1776"/>
      <c r="G182" s="1777"/>
      <c r="H182" s="1775">
        <v>2343</v>
      </c>
      <c r="I182" s="1778">
        <v>3715.8271652800013</v>
      </c>
      <c r="J182" s="2828"/>
      <c r="K182" s="2828">
        <v>1447.9468133580003</v>
      </c>
      <c r="L182" s="2828">
        <v>-0.86038264600000092</v>
      </c>
      <c r="M182" s="1780">
        <v>1447.0864307120003</v>
      </c>
      <c r="N182" s="1780"/>
      <c r="O182" s="1781"/>
    </row>
    <row r="183" spans="1:15">
      <c r="A183" s="1773">
        <v>2</v>
      </c>
      <c r="B183" s="1774" t="s">
        <v>1791</v>
      </c>
      <c r="C183" s="1775"/>
      <c r="D183" s="1776"/>
      <c r="E183" s="1775"/>
      <c r="F183" s="1777"/>
      <c r="G183" s="1854"/>
      <c r="H183" s="1853"/>
      <c r="I183" s="1778">
        <v>3715.8271652800013</v>
      </c>
      <c r="J183" s="1778">
        <v>0</v>
      </c>
      <c r="K183" s="1778">
        <v>1447.9468133580003</v>
      </c>
      <c r="L183" s="1778">
        <v>-0.86038264600000092</v>
      </c>
      <c r="M183" s="1779">
        <v>1447.0864307120003</v>
      </c>
      <c r="N183" s="1780">
        <v>3.8943857352497635</v>
      </c>
      <c r="O183" s="1781"/>
    </row>
    <row r="184" spans="1:15">
      <c r="A184" s="1773">
        <v>3</v>
      </c>
      <c r="B184" s="1774"/>
      <c r="C184" s="1775"/>
      <c r="D184" s="1776"/>
      <c r="E184" s="1775"/>
      <c r="F184" s="1777"/>
      <c r="G184" s="1854"/>
      <c r="H184" s="1853"/>
      <c r="I184" s="1778"/>
      <c r="J184" s="2828"/>
      <c r="K184" s="2828"/>
      <c r="L184" s="2828"/>
      <c r="M184" s="1780"/>
      <c r="N184" s="1780"/>
      <c r="O184" s="1781"/>
    </row>
    <row r="185" spans="1:15">
      <c r="A185" s="1773">
        <v>4</v>
      </c>
      <c r="B185" s="1774"/>
      <c r="C185" s="1775"/>
      <c r="D185" s="1776"/>
      <c r="E185" s="1775"/>
      <c r="F185" s="1777"/>
      <c r="G185" s="1854"/>
      <c r="H185" s="1853"/>
      <c r="I185" s="1778"/>
      <c r="J185" s="2828"/>
      <c r="K185" s="2828"/>
      <c r="L185" s="2828"/>
      <c r="M185" s="1780"/>
      <c r="N185" s="1780"/>
      <c r="O185" s="1781"/>
    </row>
    <row r="186" spans="1:15">
      <c r="A186" s="1773">
        <v>5</v>
      </c>
      <c r="B186" s="1774"/>
      <c r="C186" s="1775"/>
      <c r="D186" s="1776"/>
      <c r="E186" s="1775"/>
      <c r="F186" s="1776"/>
      <c r="G186" s="1854"/>
      <c r="H186" s="1853"/>
      <c r="I186" s="1778"/>
      <c r="J186" s="1945"/>
      <c r="K186" s="1945"/>
      <c r="L186" s="1945"/>
      <c r="M186" s="1945"/>
      <c r="N186" s="1780"/>
      <c r="O186" s="1781"/>
    </row>
    <row r="187" spans="1:15">
      <c r="A187" s="1773">
        <v>6</v>
      </c>
      <c r="B187" s="1774"/>
      <c r="C187" s="1775"/>
      <c r="D187" s="1776"/>
      <c r="E187" s="1775"/>
      <c r="F187" s="1065"/>
      <c r="G187" s="1881"/>
      <c r="H187" s="1861"/>
      <c r="I187" s="1778"/>
      <c r="J187" s="1065"/>
      <c r="K187" s="1065"/>
      <c r="L187" s="1065"/>
      <c r="M187" s="1780"/>
      <c r="N187" s="1780"/>
      <c r="O187" s="1781"/>
    </row>
    <row r="188" spans="1:15">
      <c r="A188" s="1773">
        <v>7</v>
      </c>
      <c r="B188" s="1774"/>
      <c r="C188" s="1775"/>
      <c r="D188" s="1776"/>
      <c r="E188" s="1775"/>
      <c r="F188" s="1065"/>
      <c r="G188" s="1881"/>
      <c r="H188" s="1861"/>
      <c r="I188" s="1778"/>
      <c r="J188" s="1065"/>
      <c r="K188" s="1065"/>
      <c r="L188" s="1065"/>
      <c r="M188" s="1065"/>
      <c r="N188" s="1065"/>
      <c r="O188" s="1781"/>
    </row>
    <row r="189" spans="1:15">
      <c r="A189" s="1773"/>
      <c r="B189" s="1774"/>
      <c r="C189" s="1775"/>
      <c r="D189" s="1776"/>
      <c r="E189" s="1775"/>
      <c r="F189" s="1776"/>
      <c r="G189" s="1854"/>
      <c r="H189" s="1853"/>
      <c r="I189" s="1779"/>
      <c r="J189" s="1945"/>
      <c r="K189" s="1945"/>
      <c r="L189" s="1945"/>
      <c r="M189" s="1945"/>
      <c r="N189" s="1780"/>
      <c r="O189" s="1781"/>
    </row>
    <row r="190" spans="1:15">
      <c r="A190" s="1773"/>
      <c r="B190" s="1774"/>
      <c r="C190" s="1775"/>
      <c r="D190" s="1776"/>
      <c r="E190" s="1775"/>
      <c r="F190" s="1777"/>
      <c r="G190" s="1854"/>
      <c r="H190" s="1853"/>
      <c r="I190" s="1778"/>
      <c r="J190" s="2828"/>
      <c r="K190" s="2828"/>
      <c r="L190" s="2828"/>
      <c r="M190" s="2828"/>
      <c r="N190" s="1780"/>
      <c r="O190" s="1781"/>
    </row>
    <row r="191" spans="1:15">
      <c r="A191" s="1773" t="s">
        <v>138</v>
      </c>
      <c r="B191" s="1774" t="s">
        <v>1797</v>
      </c>
      <c r="C191" s="1775"/>
      <c r="D191" s="1776"/>
      <c r="E191" s="1775"/>
      <c r="F191" s="1777"/>
      <c r="G191" s="1854"/>
      <c r="H191" s="1853"/>
      <c r="I191" s="1778"/>
      <c r="J191" s="2828"/>
      <c r="K191" s="2828"/>
      <c r="L191" s="2828"/>
      <c r="M191" s="2828"/>
      <c r="N191" s="1780"/>
      <c r="O191" s="1781"/>
    </row>
    <row r="192" spans="1:15">
      <c r="A192" s="1773">
        <v>1</v>
      </c>
      <c r="B192" s="1774" t="s">
        <v>1798</v>
      </c>
      <c r="C192" s="1775"/>
      <c r="D192" s="1776">
        <v>0.25</v>
      </c>
      <c r="E192" s="1775" t="s">
        <v>1667</v>
      </c>
      <c r="F192" s="1776"/>
      <c r="G192" s="1777"/>
      <c r="H192" s="1775">
        <v>639.9</v>
      </c>
      <c r="I192" s="1778"/>
      <c r="J192" s="2828"/>
      <c r="K192" s="2828"/>
      <c r="L192" s="2828"/>
      <c r="M192" s="2828"/>
      <c r="N192" s="1780"/>
      <c r="O192" s="1781"/>
    </row>
    <row r="193" spans="1:15">
      <c r="A193" s="1773">
        <v>2</v>
      </c>
      <c r="B193" s="1774" t="s">
        <v>1799</v>
      </c>
      <c r="C193" s="1775"/>
      <c r="D193" s="1776">
        <v>0.25</v>
      </c>
      <c r="E193" s="1775" t="s">
        <v>1667</v>
      </c>
      <c r="F193" s="1776"/>
      <c r="G193" s="1777"/>
      <c r="H193" s="1775"/>
      <c r="I193" s="1778">
        <v>1359.4622005000001</v>
      </c>
      <c r="J193" s="1778">
        <v>0</v>
      </c>
      <c r="K193" s="1778">
        <v>470.46778946900002</v>
      </c>
      <c r="L193" s="1778">
        <v>6.1225999999999996E-2</v>
      </c>
      <c r="M193" s="1779">
        <v>470.529015469</v>
      </c>
      <c r="N193" s="1780">
        <v>3.4611408489029181</v>
      </c>
      <c r="O193" s="1781"/>
    </row>
    <row r="194" spans="1:15">
      <c r="A194" s="1773">
        <v>3</v>
      </c>
      <c r="B194" s="1774" t="s">
        <v>1800</v>
      </c>
      <c r="C194" s="1775"/>
      <c r="D194" s="1776">
        <v>0.25</v>
      </c>
      <c r="E194" s="1775" t="s">
        <v>1667</v>
      </c>
      <c r="F194" s="1776"/>
      <c r="G194" s="1777"/>
      <c r="H194" s="1775">
        <v>0</v>
      </c>
      <c r="I194" s="1778"/>
      <c r="J194" s="2828"/>
      <c r="K194" s="2828"/>
      <c r="L194" s="2828"/>
      <c r="M194" s="2828"/>
      <c r="N194" s="1780"/>
      <c r="O194" s="1781"/>
    </row>
    <row r="195" spans="1:15">
      <c r="A195" s="1773">
        <v>4</v>
      </c>
      <c r="B195" s="1774" t="s">
        <v>1801</v>
      </c>
      <c r="C195" s="1775"/>
      <c r="D195" s="1776">
        <v>0.25</v>
      </c>
      <c r="E195" s="1775" t="s">
        <v>1667</v>
      </c>
      <c r="F195" s="1776"/>
      <c r="G195" s="1777"/>
      <c r="H195" s="1775">
        <v>809.4</v>
      </c>
      <c r="I195" s="1778"/>
      <c r="J195" s="2828"/>
      <c r="K195" s="2828"/>
      <c r="L195" s="2828"/>
      <c r="M195" s="2828"/>
      <c r="N195" s="1780"/>
      <c r="O195" s="1781"/>
    </row>
    <row r="196" spans="1:15">
      <c r="A196" s="1773">
        <v>5</v>
      </c>
      <c r="B196" s="1774" t="s">
        <v>1802</v>
      </c>
      <c r="C196" s="1775"/>
      <c r="D196" s="1776">
        <v>0.5</v>
      </c>
      <c r="E196" s="1775" t="s">
        <v>1667</v>
      </c>
      <c r="F196" s="1776"/>
      <c r="G196" s="1777"/>
      <c r="H196" s="1775">
        <v>33.5</v>
      </c>
      <c r="I196" s="1778"/>
      <c r="J196" s="2825"/>
      <c r="K196" s="2825"/>
      <c r="L196" s="2825"/>
      <c r="M196" s="2825"/>
      <c r="N196" s="1780"/>
      <c r="O196" s="1781"/>
    </row>
    <row r="197" spans="1:15">
      <c r="A197" s="1773">
        <v>6</v>
      </c>
      <c r="B197" s="1774" t="s">
        <v>1803</v>
      </c>
      <c r="C197" s="1775"/>
      <c r="D197" s="1776">
        <v>0.5</v>
      </c>
      <c r="E197" s="1775" t="s">
        <v>1667</v>
      </c>
      <c r="F197" s="1776"/>
      <c r="G197" s="1777"/>
      <c r="H197" s="1775">
        <v>0</v>
      </c>
      <c r="I197" s="1778"/>
      <c r="J197" s="1065"/>
      <c r="K197" s="1065"/>
      <c r="L197" s="1065"/>
      <c r="M197" s="1065"/>
      <c r="N197" s="1065"/>
      <c r="O197" s="1781"/>
    </row>
    <row r="198" spans="1:15">
      <c r="A198" s="1773">
        <v>7</v>
      </c>
      <c r="B198" s="1774" t="s">
        <v>1804</v>
      </c>
      <c r="C198" s="1775"/>
      <c r="D198" s="1776"/>
      <c r="E198" s="1775">
        <v>0</v>
      </c>
      <c r="F198" s="1776"/>
      <c r="G198" s="1854"/>
      <c r="H198" s="1853"/>
      <c r="I198" s="1778"/>
      <c r="J198" s="1945"/>
      <c r="K198" s="1945"/>
      <c r="L198" s="1945"/>
      <c r="M198" s="1945"/>
      <c r="N198" s="1780"/>
      <c r="O198" s="1781"/>
    </row>
    <row r="199" spans="1:15">
      <c r="A199" s="2821"/>
      <c r="B199" s="1879" t="s">
        <v>1805</v>
      </c>
      <c r="C199" s="1775"/>
      <c r="D199" s="1854"/>
      <c r="E199" s="2820"/>
      <c r="F199" s="1776"/>
      <c r="G199" s="1854"/>
      <c r="H199" s="1853"/>
      <c r="I199" s="1779">
        <v>1359.4622005000001</v>
      </c>
      <c r="J199" s="1779">
        <v>0</v>
      </c>
      <c r="K199" s="1779">
        <v>470.46778946900002</v>
      </c>
      <c r="L199" s="1779">
        <v>6.1225999999999996E-2</v>
      </c>
      <c r="M199" s="1779">
        <v>470.529015469</v>
      </c>
      <c r="N199" s="1780">
        <v>3.4611408489029181</v>
      </c>
      <c r="O199" s="1781"/>
    </row>
    <row r="200" spans="1:15">
      <c r="A200" s="1773"/>
      <c r="B200" s="1774"/>
      <c r="C200" s="1775"/>
      <c r="D200" s="1854"/>
      <c r="E200" s="2820"/>
      <c r="F200" s="1065"/>
      <c r="G200" s="1881"/>
      <c r="H200" s="1861"/>
      <c r="I200" s="1778"/>
      <c r="J200" s="1065"/>
      <c r="K200" s="1065"/>
      <c r="L200" s="1065"/>
      <c r="M200" s="1780"/>
      <c r="N200" s="1780"/>
      <c r="O200" s="1781"/>
    </row>
    <row r="201" spans="1:15">
      <c r="A201" s="1773" t="s">
        <v>139</v>
      </c>
      <c r="B201" s="1774" t="s">
        <v>1806</v>
      </c>
      <c r="C201" s="1775"/>
      <c r="D201" s="1854"/>
      <c r="E201" s="2820"/>
      <c r="F201" s="1065"/>
      <c r="G201" s="1881"/>
      <c r="H201" s="1861"/>
      <c r="I201" s="1778">
        <v>772.88140699999997</v>
      </c>
      <c r="J201" s="1778">
        <v>0</v>
      </c>
      <c r="K201" s="1778">
        <v>250.6390178</v>
      </c>
      <c r="L201" s="1778">
        <v>0.40644560000000002</v>
      </c>
      <c r="M201" s="1779">
        <v>251.04546340000002</v>
      </c>
      <c r="N201" s="1780">
        <v>3.248175737264178</v>
      </c>
      <c r="O201" s="1781"/>
    </row>
    <row r="202" spans="1:15">
      <c r="A202" s="1773"/>
      <c r="B202" s="1774" t="s">
        <v>1807</v>
      </c>
      <c r="C202" s="1775"/>
      <c r="D202" s="1854"/>
      <c r="E202" s="2820"/>
      <c r="F202" s="1065"/>
      <c r="G202" s="1881"/>
      <c r="H202" s="1861"/>
      <c r="I202" s="1778">
        <v>342.70474800000005</v>
      </c>
      <c r="J202" s="1778">
        <v>0</v>
      </c>
      <c r="K202" s="1778">
        <v>213.71646290000001</v>
      </c>
      <c r="L202" s="1778">
        <v>16.626928700000001</v>
      </c>
      <c r="M202" s="1779">
        <v>230.34339160000002</v>
      </c>
      <c r="N202" s="1780">
        <v>6.7213364549008228</v>
      </c>
      <c r="O202" s="1781"/>
    </row>
    <row r="203" spans="1:15">
      <c r="A203" s="1773" t="s">
        <v>140</v>
      </c>
      <c r="B203" s="1774" t="s">
        <v>1808</v>
      </c>
      <c r="C203" s="1775"/>
      <c r="D203" s="1854"/>
      <c r="E203" s="2820"/>
      <c r="F203" s="1065"/>
      <c r="G203" s="1881"/>
      <c r="H203" s="1861"/>
      <c r="I203" s="1778"/>
      <c r="J203" s="1065"/>
      <c r="K203" s="1065"/>
      <c r="L203" s="1065"/>
      <c r="M203" s="1853"/>
      <c r="N203" s="1780"/>
      <c r="O203" s="1781"/>
    </row>
    <row r="204" spans="1:15">
      <c r="A204" s="1773" t="s">
        <v>220</v>
      </c>
      <c r="B204" s="1774" t="s">
        <v>1809</v>
      </c>
      <c r="C204" s="1775"/>
      <c r="D204" s="1854"/>
      <c r="E204" s="2820"/>
      <c r="F204" s="1065"/>
      <c r="G204" s="1881"/>
      <c r="H204" s="1861"/>
      <c r="I204" s="1778"/>
      <c r="J204" s="2828"/>
      <c r="K204" s="1065"/>
      <c r="L204" s="1065"/>
      <c r="M204" s="1853"/>
      <c r="N204" s="1780"/>
      <c r="O204" s="1781"/>
    </row>
    <row r="205" spans="1:15">
      <c r="A205" s="1773" t="s">
        <v>479</v>
      </c>
      <c r="B205" s="1774" t="s">
        <v>1810</v>
      </c>
      <c r="C205" s="1775"/>
      <c r="D205" s="1854"/>
      <c r="E205" s="2820"/>
      <c r="F205" s="1065"/>
      <c r="G205" s="1881"/>
      <c r="H205" s="1861"/>
      <c r="I205" s="1778">
        <v>251.25438</v>
      </c>
      <c r="J205" s="2828">
        <v>0</v>
      </c>
      <c r="K205" s="1065">
        <v>0</v>
      </c>
      <c r="L205" s="2830">
        <v>33.336954499999997</v>
      </c>
      <c r="M205" s="1779">
        <v>33.336954499999997</v>
      </c>
      <c r="N205" s="1780"/>
      <c r="O205" s="1781"/>
    </row>
    <row r="206" spans="1:15">
      <c r="A206" s="1797" t="s">
        <v>140</v>
      </c>
      <c r="B206" s="1798" t="s">
        <v>2007</v>
      </c>
      <c r="C206" s="1775"/>
      <c r="D206" s="1854"/>
      <c r="E206" s="2820"/>
      <c r="F206" s="1065"/>
      <c r="G206" s="1881"/>
      <c r="H206" s="1861"/>
      <c r="I206" s="1778">
        <v>0</v>
      </c>
      <c r="J206" s="1778">
        <v>0</v>
      </c>
      <c r="K206" s="1778">
        <v>0</v>
      </c>
      <c r="L206" s="1778">
        <v>3738.0753050000003</v>
      </c>
      <c r="M206" s="1779">
        <v>3738.0753050000003</v>
      </c>
      <c r="N206" s="1780">
        <v>0</v>
      </c>
      <c r="O206" s="1781"/>
    </row>
    <row r="207" spans="1:15">
      <c r="A207" s="1797" t="s">
        <v>220</v>
      </c>
      <c r="B207" s="1798" t="s">
        <v>2030</v>
      </c>
      <c r="C207" s="1775"/>
      <c r="D207" s="1854"/>
      <c r="E207" s="2820"/>
      <c r="F207" s="1065"/>
      <c r="G207" s="1881"/>
      <c r="H207" s="1861"/>
      <c r="I207" s="1778">
        <v>0</v>
      </c>
      <c r="J207" s="1778">
        <v>0</v>
      </c>
      <c r="K207" s="1778">
        <v>0</v>
      </c>
      <c r="L207" s="1778">
        <v>875.82469829999991</v>
      </c>
      <c r="M207" s="1779">
        <v>875.82469829999991</v>
      </c>
      <c r="N207" s="1780">
        <v>0</v>
      </c>
      <c r="O207" s="1781"/>
    </row>
    <row r="208" spans="1:15">
      <c r="A208" s="1797" t="s">
        <v>479</v>
      </c>
      <c r="B208" s="1798" t="s">
        <v>2012</v>
      </c>
      <c r="C208" s="1775"/>
      <c r="D208" s="1854"/>
      <c r="E208" s="2820"/>
      <c r="F208" s="1065"/>
      <c r="G208" s="1881"/>
      <c r="H208" s="1861"/>
      <c r="I208" s="1778">
        <v>0</v>
      </c>
      <c r="J208" s="1778">
        <v>0</v>
      </c>
      <c r="K208" s="1778">
        <v>0</v>
      </c>
      <c r="L208" s="1778">
        <v>301.89614749999998</v>
      </c>
      <c r="M208" s="1779">
        <v>301.89614749999998</v>
      </c>
      <c r="N208" s="1780">
        <v>0</v>
      </c>
      <c r="O208" s="1781"/>
    </row>
    <row r="209" spans="1:16">
      <c r="A209" s="1797" t="s">
        <v>480</v>
      </c>
      <c r="B209" s="1798" t="s">
        <v>1815</v>
      </c>
      <c r="C209" s="1775"/>
      <c r="D209" s="1854"/>
      <c r="E209" s="2820"/>
      <c r="F209" s="1065"/>
      <c r="G209" s="1881"/>
      <c r="H209" s="1861"/>
      <c r="I209" s="1778">
        <v>0</v>
      </c>
      <c r="J209" s="1778">
        <v>0</v>
      </c>
      <c r="K209" s="1778">
        <v>0</v>
      </c>
      <c r="L209" s="1778">
        <v>0</v>
      </c>
      <c r="M209" s="1779">
        <v>0</v>
      </c>
      <c r="N209" s="1780">
        <v>0</v>
      </c>
      <c r="O209" s="1781"/>
    </row>
    <row r="210" spans="1:16">
      <c r="A210" s="1797" t="s">
        <v>1032</v>
      </c>
      <c r="B210" s="1798" t="s">
        <v>2031</v>
      </c>
      <c r="C210" s="1775"/>
      <c r="D210" s="1854"/>
      <c r="E210" s="2820"/>
      <c r="F210" s="1065"/>
      <c r="G210" s="1881"/>
      <c r="H210" s="1861"/>
      <c r="I210" s="1778">
        <v>0</v>
      </c>
      <c r="J210" s="1778">
        <v>0</v>
      </c>
      <c r="K210" s="1778">
        <v>0</v>
      </c>
      <c r="L210" s="1778">
        <v>800.30361249999999</v>
      </c>
      <c r="M210" s="1779">
        <v>800.30361249999999</v>
      </c>
      <c r="N210" s="1780">
        <v>0</v>
      </c>
      <c r="O210" s="1781"/>
    </row>
    <row r="211" spans="1:16">
      <c r="A211" s="1773" t="s">
        <v>2008</v>
      </c>
      <c r="B211" s="1774" t="s">
        <v>1812</v>
      </c>
      <c r="C211" s="1775"/>
      <c r="D211" s="1854"/>
      <c r="E211" s="2820"/>
      <c r="F211" s="1065"/>
      <c r="G211" s="1881"/>
      <c r="H211" s="1861"/>
      <c r="I211" s="1778"/>
      <c r="J211" s="2828"/>
      <c r="K211" s="1065"/>
      <c r="L211" s="2831">
        <v>0</v>
      </c>
      <c r="M211" s="1779">
        <v>0</v>
      </c>
      <c r="N211" s="1780"/>
      <c r="O211" s="1781"/>
    </row>
    <row r="212" spans="1:16">
      <c r="A212" s="2832"/>
      <c r="B212" s="1774"/>
      <c r="C212" s="1775"/>
      <c r="D212" s="1854"/>
      <c r="E212" s="2820"/>
      <c r="F212" s="2683"/>
      <c r="G212" s="1892"/>
      <c r="H212" s="1893"/>
      <c r="I212" s="1778"/>
      <c r="J212" s="2828"/>
      <c r="K212" s="2683"/>
      <c r="L212" s="2683"/>
      <c r="M212" s="1853"/>
      <c r="N212" s="1780"/>
      <c r="O212" s="1781"/>
    </row>
    <row r="213" spans="1:16" ht="15">
      <c r="A213" s="2833"/>
      <c r="B213" s="2834" t="s">
        <v>1813</v>
      </c>
      <c r="C213" s="1775"/>
      <c r="D213" s="1854"/>
      <c r="E213" s="2820"/>
      <c r="F213" s="1776"/>
      <c r="G213" s="1854"/>
      <c r="H213" s="1853"/>
      <c r="I213" s="1778"/>
      <c r="J213" s="1945"/>
      <c r="K213" s="1945"/>
      <c r="L213" s="1945"/>
      <c r="M213" s="1945"/>
      <c r="N213" s="1780"/>
      <c r="O213" s="1781"/>
    </row>
    <row r="214" spans="1:16" ht="15">
      <c r="A214" s="2833">
        <v>1</v>
      </c>
      <c r="B214" s="2834" t="s">
        <v>1814</v>
      </c>
      <c r="C214" s="1775"/>
      <c r="D214" s="1854"/>
      <c r="E214" s="2820"/>
      <c r="F214" s="2683"/>
      <c r="G214" s="1892"/>
      <c r="H214" s="1893"/>
      <c r="I214" s="1778">
        <v>-225.22538699999998</v>
      </c>
      <c r="J214" s="1778">
        <v>0</v>
      </c>
      <c r="K214" s="1778">
        <v>-15.316811990999994</v>
      </c>
      <c r="L214" s="1778">
        <v>0</v>
      </c>
      <c r="M214" s="1779">
        <v>-15.316811990999994</v>
      </c>
      <c r="N214" s="1780">
        <v>0.6800659639226192</v>
      </c>
      <c r="O214" s="1781"/>
    </row>
    <row r="215" spans="1:16" ht="15">
      <c r="A215" s="2833">
        <v>2</v>
      </c>
      <c r="B215" s="2834" t="s">
        <v>1815</v>
      </c>
      <c r="C215" s="1775"/>
      <c r="D215" s="1854"/>
      <c r="E215" s="2820"/>
      <c r="F215" s="2683"/>
      <c r="G215" s="1892"/>
      <c r="H215" s="1893"/>
      <c r="I215" s="1778">
        <v>0</v>
      </c>
      <c r="J215" s="1778">
        <v>0</v>
      </c>
      <c r="K215" s="1778">
        <v>0</v>
      </c>
      <c r="L215" s="1778">
        <v>6.8750640709999979</v>
      </c>
      <c r="M215" s="1779">
        <v>6.8750640709999979</v>
      </c>
      <c r="N215" s="1780">
        <v>0</v>
      </c>
      <c r="O215" s="1781"/>
    </row>
    <row r="216" spans="1:16" ht="15">
      <c r="A216" s="2833">
        <v>3</v>
      </c>
      <c r="B216" s="2834" t="s">
        <v>1816</v>
      </c>
      <c r="C216" s="1775"/>
      <c r="D216" s="1854"/>
      <c r="E216" s="2820"/>
      <c r="F216" s="2683"/>
      <c r="G216" s="1892"/>
      <c r="H216" s="1893"/>
      <c r="I216" s="1778">
        <v>1556.0279380000002</v>
      </c>
      <c r="J216" s="1778">
        <v>0</v>
      </c>
      <c r="K216" s="1778">
        <v>548.62024710000014</v>
      </c>
      <c r="L216" s="1778">
        <v>0.85707390000000006</v>
      </c>
      <c r="M216" s="1779">
        <v>549.47732100000019</v>
      </c>
      <c r="N216" s="1780">
        <v>3.5312818464317326</v>
      </c>
      <c r="O216" s="1781"/>
    </row>
    <row r="217" spans="1:16" ht="15">
      <c r="A217" s="2833">
        <v>4</v>
      </c>
      <c r="B217" s="2834" t="s">
        <v>1817</v>
      </c>
      <c r="C217" s="1775"/>
      <c r="D217" s="1854"/>
      <c r="E217" s="2820"/>
      <c r="F217" s="2683"/>
      <c r="G217" s="1892"/>
      <c r="H217" s="1893"/>
      <c r="I217" s="1778"/>
      <c r="J217" s="1778"/>
      <c r="K217" s="1778"/>
      <c r="L217" s="1778"/>
      <c r="M217" s="1779">
        <v>0</v>
      </c>
      <c r="N217" s="1780">
        <v>0</v>
      </c>
      <c r="O217" s="1781"/>
    </row>
    <row r="218" spans="1:16" ht="15">
      <c r="A218" s="2833">
        <v>5</v>
      </c>
      <c r="B218" s="2834" t="s">
        <v>1818</v>
      </c>
      <c r="C218" s="2835"/>
      <c r="D218" s="1854"/>
      <c r="E218" s="2820"/>
      <c r="F218" s="2682"/>
      <c r="G218" s="1888"/>
      <c r="H218" s="2835"/>
      <c r="I218" s="1778">
        <v>1490.082394</v>
      </c>
      <c r="J218" s="1778">
        <v>0</v>
      </c>
      <c r="K218" s="1778">
        <v>560.431945993</v>
      </c>
      <c r="L218" s="1778">
        <v>1.5E-3</v>
      </c>
      <c r="M218" s="1779">
        <v>560.43344599299996</v>
      </c>
      <c r="N218" s="1780">
        <v>3.7610903145333046</v>
      </c>
      <c r="O218" s="1781">
        <v>54234.236919924995</v>
      </c>
      <c r="P218" s="1782">
        <v>-53673.803473931992</v>
      </c>
    </row>
    <row r="219" spans="1:16" ht="15">
      <c r="A219" s="2833">
        <v>6</v>
      </c>
      <c r="B219" s="2834" t="s">
        <v>1819</v>
      </c>
      <c r="C219" s="2836"/>
      <c r="D219" s="2837"/>
      <c r="E219" s="2838"/>
      <c r="F219" s="2839"/>
      <c r="G219" s="2840"/>
      <c r="H219" s="2841"/>
      <c r="I219" s="1778">
        <v>-4677.8984015000005</v>
      </c>
      <c r="J219" s="1778">
        <v>0</v>
      </c>
      <c r="K219" s="1778">
        <v>-1408.546485498</v>
      </c>
      <c r="L219" s="1778">
        <v>0</v>
      </c>
      <c r="M219" s="1779">
        <v>-1408.546485498</v>
      </c>
      <c r="N219" s="1780">
        <v>3.0110668608072801</v>
      </c>
      <c r="O219" s="1781"/>
    </row>
    <row r="220" spans="1:16" ht="15">
      <c r="A220" s="2842"/>
      <c r="B220" s="2834" t="s">
        <v>1820</v>
      </c>
      <c r="C220" s="2836"/>
      <c r="D220" s="2837"/>
      <c r="E220" s="2838"/>
      <c r="F220" s="2839"/>
      <c r="G220" s="2840"/>
      <c r="H220" s="2841"/>
      <c r="I220" s="1779">
        <v>7498.7833465000003</v>
      </c>
      <c r="J220" s="1779">
        <v>0</v>
      </c>
      <c r="K220" s="1779">
        <v>2502.2818666000003</v>
      </c>
      <c r="L220" s="1779">
        <v>7.7336379709999985</v>
      </c>
      <c r="M220" s="1779">
        <v>2510.0155045710003</v>
      </c>
      <c r="N220" s="1780">
        <v>3.347230328693962</v>
      </c>
      <c r="O220" s="1781"/>
    </row>
    <row r="221" spans="1:16" ht="15">
      <c r="A221" s="2842"/>
      <c r="B221" s="2834"/>
      <c r="C221" s="2836"/>
      <c r="D221" s="2837"/>
      <c r="E221" s="2838"/>
      <c r="F221" s="2839"/>
      <c r="G221" s="2840"/>
      <c r="H221" s="2841"/>
      <c r="I221" s="1778"/>
      <c r="J221" s="2841"/>
      <c r="K221" s="2841"/>
      <c r="L221" s="2841"/>
      <c r="M221" s="2841"/>
      <c r="N221" s="2843"/>
      <c r="O221" s="1781"/>
    </row>
    <row r="222" spans="1:16" ht="15">
      <c r="A222" s="2842"/>
      <c r="B222" s="2844"/>
      <c r="C222" s="2836"/>
      <c r="D222" s="2837"/>
      <c r="E222" s="2838"/>
      <c r="F222" s="2839"/>
      <c r="G222" s="2840"/>
      <c r="H222" s="2841"/>
      <c r="I222" s="1778"/>
      <c r="J222" s="1778"/>
      <c r="K222" s="1778"/>
      <c r="L222" s="1778"/>
      <c r="M222" s="1779"/>
      <c r="N222" s="1780">
        <v>0</v>
      </c>
      <c r="O222" s="1781"/>
    </row>
    <row r="223" spans="1:16" ht="15.5">
      <c r="A223" s="2842"/>
      <c r="B223" s="2845"/>
      <c r="C223" s="2836"/>
      <c r="D223" s="2837"/>
      <c r="E223" s="2838"/>
      <c r="F223" s="2839"/>
      <c r="G223" s="2840"/>
      <c r="H223" s="2841"/>
      <c r="I223" s="1778"/>
      <c r="J223" s="2846"/>
      <c r="K223" s="2846"/>
      <c r="L223" s="2846"/>
      <c r="M223" s="2846"/>
      <c r="N223" s="1780"/>
      <c r="O223" s="1781"/>
    </row>
    <row r="224" spans="1:16">
      <c r="A224" s="2847"/>
      <c r="B224" s="1774" t="s">
        <v>783</v>
      </c>
      <c r="C224" s="2836"/>
      <c r="D224" s="2837"/>
      <c r="E224" s="2838"/>
      <c r="F224" s="2839"/>
      <c r="G224" s="2840"/>
      <c r="H224" s="2841"/>
      <c r="I224" s="1778">
        <v>0</v>
      </c>
      <c r="J224" s="1778">
        <v>0</v>
      </c>
      <c r="K224" s="1778">
        <v>0</v>
      </c>
      <c r="L224" s="1778">
        <v>0</v>
      </c>
      <c r="M224" s="1779">
        <v>0</v>
      </c>
      <c r="N224" s="1780">
        <v>0</v>
      </c>
      <c r="O224" s="1781"/>
    </row>
    <row r="225" spans="1:145">
      <c r="A225" s="1773"/>
      <c r="B225" s="1774" t="s">
        <v>1822</v>
      </c>
      <c r="C225" s="2836"/>
      <c r="D225" s="2837"/>
      <c r="E225" s="2838"/>
      <c r="F225" s="2839"/>
      <c r="G225" s="2840"/>
      <c r="H225" s="2841"/>
      <c r="I225" s="1778"/>
      <c r="J225" s="2846"/>
      <c r="K225" s="2846"/>
      <c r="L225" s="2846"/>
      <c r="M225" s="2846"/>
      <c r="N225" s="1780"/>
      <c r="O225" s="1781"/>
      <c r="T225" s="1782"/>
      <c r="U225" s="1782"/>
    </row>
    <row r="226" spans="1:145">
      <c r="A226" s="1773"/>
      <c r="B226" s="1774" t="s">
        <v>1823</v>
      </c>
      <c r="C226" s="2836"/>
      <c r="D226" s="2837"/>
      <c r="E226" s="2838"/>
      <c r="F226" s="2839"/>
      <c r="G226" s="2840"/>
      <c r="H226" s="2841"/>
      <c r="I226" s="1778"/>
      <c r="J226" s="2846"/>
      <c r="K226" s="2846"/>
      <c r="L226" s="2846"/>
      <c r="M226" s="2846">
        <v>3353.8655721</v>
      </c>
      <c r="N226" s="1780"/>
      <c r="O226" s="1781"/>
      <c r="S226" s="1782"/>
    </row>
    <row r="227" spans="1:145">
      <c r="A227" s="1773"/>
      <c r="B227" s="1879" t="s">
        <v>126</v>
      </c>
      <c r="C227" s="2836"/>
      <c r="D227" s="2837"/>
      <c r="E227" s="2838"/>
      <c r="F227" s="2839"/>
      <c r="G227" s="2840"/>
      <c r="H227" s="2841"/>
      <c r="I227" s="1779">
        <v>129945.73842743</v>
      </c>
      <c r="J227" s="1779">
        <v>19418.919449233003</v>
      </c>
      <c r="K227" s="1779">
        <v>28731.463520878999</v>
      </c>
      <c r="L227" s="1779">
        <v>9266.1371960290016</v>
      </c>
      <c r="M227" s="1821">
        <v>60782.046415141005</v>
      </c>
      <c r="N227" s="1780">
        <v>4.6774944027183762</v>
      </c>
      <c r="O227" s="1781"/>
      <c r="R227" s="1782"/>
      <c r="U227" s="1782"/>
      <c r="V227" s="1782"/>
      <c r="W227" s="1782"/>
      <c r="X227" s="1782"/>
    </row>
    <row r="228" spans="1:145">
      <c r="A228" s="1973" t="s">
        <v>2053</v>
      </c>
      <c r="B228" s="1974"/>
      <c r="C228" s="1974"/>
      <c r="D228" s="1974"/>
      <c r="E228" s="1974"/>
      <c r="F228" s="1974"/>
      <c r="G228" s="1974"/>
      <c r="H228" s="1974"/>
      <c r="I228" s="1974"/>
      <c r="J228" s="1974"/>
      <c r="K228" s="1974"/>
      <c r="L228" s="1974"/>
      <c r="M228" s="1974"/>
      <c r="N228" s="1974"/>
      <c r="O228" s="2209"/>
      <c r="P228" s="2209"/>
      <c r="Q228" s="2209"/>
      <c r="R228" s="2284"/>
      <c r="S228" s="2209"/>
      <c r="T228" s="2284"/>
      <c r="U228" s="2209"/>
      <c r="V228" s="1998"/>
      <c r="W228" s="2209"/>
      <c r="X228" s="2209"/>
      <c r="Y228" s="2209"/>
      <c r="Z228" s="2209"/>
      <c r="AA228" s="2209"/>
      <c r="AB228" s="2209"/>
      <c r="AC228" s="2209"/>
      <c r="AD228" s="2209"/>
      <c r="AE228" s="2209"/>
      <c r="AF228" s="2209"/>
      <c r="AG228" s="2209"/>
      <c r="AH228" s="2209"/>
      <c r="AI228" s="2209"/>
      <c r="AJ228" s="2209"/>
      <c r="AK228" s="2209"/>
      <c r="AL228" s="2209"/>
      <c r="AM228" s="2209"/>
      <c r="AN228" s="2209"/>
      <c r="AO228" s="2209"/>
      <c r="AP228" s="2209"/>
      <c r="AQ228" s="2209"/>
      <c r="AR228" s="2209"/>
      <c r="AS228" s="2209"/>
      <c r="AT228" s="2209"/>
      <c r="AU228" s="2209"/>
      <c r="AV228" s="2209"/>
      <c r="AW228" s="2209"/>
      <c r="AX228" s="2209"/>
      <c r="AY228" s="2209"/>
      <c r="AZ228" s="2209"/>
      <c r="BA228" s="2209"/>
      <c r="BB228" s="2209"/>
      <c r="BC228" s="2209"/>
      <c r="BD228" s="2209"/>
      <c r="BE228" s="2209"/>
      <c r="BF228" s="2209"/>
      <c r="BG228" s="2209"/>
      <c r="BH228" s="2209"/>
      <c r="BI228" s="2848"/>
      <c r="BJ228" s="2848"/>
      <c r="BK228" s="2848"/>
      <c r="BL228" s="2848"/>
      <c r="BM228" s="2848"/>
      <c r="BN228" s="2848"/>
      <c r="BO228" s="2848"/>
      <c r="BP228" s="2848"/>
      <c r="BQ228" s="2848"/>
      <c r="BR228" s="2848"/>
      <c r="BS228" s="2848"/>
      <c r="BT228" s="2848"/>
      <c r="BU228" s="2848"/>
      <c r="BV228" s="2848"/>
      <c r="BW228" s="2848"/>
      <c r="BX228" s="2848"/>
      <c r="BY228" s="2848"/>
      <c r="BZ228" s="2848"/>
      <c r="CA228" s="2848"/>
      <c r="CB228" s="2848"/>
      <c r="CC228" s="2848"/>
      <c r="CD228" s="2848"/>
      <c r="CE228" s="2848"/>
      <c r="CF228" s="2848"/>
      <c r="CG228" s="2848"/>
      <c r="CH228" s="2848"/>
      <c r="CI228" s="2848"/>
      <c r="CJ228" s="2848"/>
      <c r="CK228" s="2848"/>
      <c r="CL228" s="2848"/>
      <c r="CM228" s="2848"/>
      <c r="CN228" s="2848"/>
      <c r="CO228" s="2848"/>
      <c r="CP228" s="2848"/>
      <c r="CQ228" s="2848"/>
      <c r="CR228" s="2848"/>
      <c r="CS228" s="2848"/>
      <c r="CT228" s="2848"/>
      <c r="CU228" s="2848"/>
      <c r="CV228" s="2848"/>
      <c r="CW228" s="2848"/>
      <c r="CX228" s="2848"/>
      <c r="CY228" s="2848"/>
      <c r="CZ228" s="2848"/>
      <c r="DA228" s="2848"/>
      <c r="DB228" s="2848"/>
      <c r="DC228" s="2848"/>
      <c r="DD228" s="2848"/>
      <c r="DE228" s="2848"/>
      <c r="DF228" s="2848"/>
      <c r="DG228" s="2848"/>
      <c r="DH228" s="2848"/>
      <c r="DI228" s="2848"/>
      <c r="DJ228" s="2848"/>
      <c r="DK228" s="2848"/>
      <c r="DL228" s="2848"/>
      <c r="DM228" s="2848"/>
      <c r="DN228" s="2848"/>
      <c r="DO228" s="2848"/>
      <c r="DP228" s="2848"/>
      <c r="DQ228" s="2848"/>
      <c r="DR228" s="2848"/>
      <c r="DS228" s="2848"/>
      <c r="DT228" s="2848"/>
      <c r="DU228" s="2848"/>
      <c r="DV228" s="2848"/>
      <c r="DW228" s="2848"/>
      <c r="DX228" s="2848"/>
      <c r="DY228" s="2848"/>
      <c r="DZ228" s="2848"/>
      <c r="EA228" s="2848"/>
      <c r="EB228" s="2848"/>
      <c r="EC228" s="2848"/>
      <c r="ED228" s="2848"/>
      <c r="EE228" s="2848"/>
      <c r="EF228" s="2848"/>
      <c r="EG228" s="2848"/>
      <c r="EH228" s="2848"/>
      <c r="EI228" s="2848"/>
      <c r="EJ228" s="2848"/>
      <c r="EK228" s="2848"/>
      <c r="EL228" s="2848"/>
      <c r="EM228" s="2848"/>
      <c r="EN228" s="2848"/>
      <c r="EO228" s="2849"/>
    </row>
    <row r="229" spans="1:145">
      <c r="A229" s="1976" t="s">
        <v>2054</v>
      </c>
      <c r="B229" s="1913"/>
      <c r="C229" s="1913"/>
      <c r="D229" s="1913"/>
      <c r="E229" s="1913"/>
      <c r="F229" s="1913"/>
      <c r="G229" s="1913"/>
      <c r="H229" s="1913"/>
      <c r="I229" s="1913"/>
      <c r="J229" s="1913"/>
      <c r="K229" s="1913"/>
      <c r="L229" s="1913"/>
      <c r="M229" s="1913"/>
      <c r="N229" s="1913"/>
      <c r="O229" s="2209"/>
      <c r="P229" s="2209"/>
      <c r="Q229" s="2209"/>
      <c r="R229" s="2209"/>
      <c r="S229" s="2209"/>
      <c r="T229" s="2209"/>
      <c r="U229" s="2209"/>
      <c r="V229" s="2284"/>
      <c r="W229" s="2209"/>
      <c r="X229" s="2209"/>
      <c r="Y229" s="2209"/>
      <c r="Z229" s="2209"/>
      <c r="AA229" s="2209"/>
      <c r="AB229" s="2209"/>
      <c r="AC229" s="2209"/>
      <c r="AD229" s="2209"/>
      <c r="AE229" s="2209"/>
      <c r="AF229" s="2209"/>
      <c r="AG229" s="2209"/>
      <c r="AH229" s="2209"/>
      <c r="AI229" s="2209"/>
      <c r="AJ229" s="2209"/>
      <c r="AK229" s="2209"/>
      <c r="AL229" s="2209"/>
      <c r="AM229" s="2209"/>
      <c r="AN229" s="2209"/>
      <c r="AO229" s="2209"/>
      <c r="AP229" s="2209"/>
      <c r="AQ229" s="2209"/>
      <c r="AR229" s="2209"/>
      <c r="AS229" s="2209"/>
      <c r="AT229" s="2209"/>
      <c r="AU229" s="2209"/>
      <c r="AV229" s="2209"/>
      <c r="AW229" s="2209"/>
      <c r="AX229" s="2209"/>
      <c r="AY229" s="2209"/>
      <c r="AZ229" s="2209"/>
      <c r="BA229" s="2209"/>
      <c r="BB229" s="2209"/>
      <c r="BC229" s="2209"/>
      <c r="BD229" s="2209"/>
      <c r="BE229" s="2209"/>
      <c r="BF229" s="2209"/>
      <c r="BG229" s="2209"/>
      <c r="BH229" s="2209"/>
      <c r="BI229" s="2848"/>
      <c r="BJ229" s="2848"/>
      <c r="BK229" s="2848"/>
      <c r="BL229" s="2848"/>
      <c r="BM229" s="2848"/>
      <c r="BN229" s="2848"/>
      <c r="BO229" s="2848"/>
      <c r="BP229" s="2848"/>
      <c r="BQ229" s="2848"/>
      <c r="BR229" s="2848"/>
      <c r="BS229" s="2848"/>
      <c r="BT229" s="2848"/>
      <c r="BU229" s="2848"/>
      <c r="BV229" s="2848"/>
      <c r="BW229" s="2848"/>
      <c r="BX229" s="2848"/>
      <c r="BY229" s="2848"/>
      <c r="BZ229" s="2848"/>
      <c r="CA229" s="2848"/>
      <c r="CB229" s="2848"/>
      <c r="CC229" s="2848"/>
      <c r="CD229" s="2848"/>
      <c r="CE229" s="2848"/>
      <c r="CF229" s="2848"/>
      <c r="CG229" s="2848"/>
      <c r="CH229" s="2848"/>
      <c r="CI229" s="2848"/>
      <c r="CJ229" s="2848"/>
      <c r="CK229" s="2848"/>
      <c r="CL229" s="2848"/>
      <c r="CM229" s="2848"/>
      <c r="CN229" s="2848"/>
      <c r="CO229" s="2848"/>
      <c r="CP229" s="2848"/>
      <c r="CQ229" s="2848"/>
      <c r="CR229" s="2848"/>
      <c r="CS229" s="2848"/>
      <c r="CT229" s="2848"/>
      <c r="CU229" s="2848"/>
      <c r="CV229" s="2848"/>
      <c r="CW229" s="2848"/>
      <c r="CX229" s="2848"/>
      <c r="CY229" s="2848"/>
      <c r="CZ229" s="2848"/>
      <c r="DA229" s="2848"/>
      <c r="DB229" s="2848"/>
      <c r="DC229" s="2848"/>
      <c r="DD229" s="2848"/>
      <c r="DE229" s="2848"/>
      <c r="DF229" s="2848"/>
      <c r="DG229" s="2848"/>
      <c r="DH229" s="2848"/>
      <c r="DI229" s="2848"/>
      <c r="DJ229" s="2848"/>
      <c r="DK229" s="2848"/>
      <c r="DL229" s="2848"/>
      <c r="DM229" s="2848"/>
      <c r="DN229" s="2848"/>
      <c r="DO229" s="2848"/>
      <c r="DP229" s="2848"/>
      <c r="DQ229" s="2848"/>
      <c r="DR229" s="2848"/>
      <c r="DS229" s="2848"/>
      <c r="DT229" s="2848"/>
      <c r="DU229" s="2848"/>
      <c r="DV229" s="2848"/>
      <c r="DW229" s="2848"/>
      <c r="DX229" s="2848"/>
      <c r="DY229" s="2848"/>
      <c r="DZ229" s="2848"/>
      <c r="EA229" s="2848"/>
      <c r="EB229" s="2848"/>
      <c r="EC229" s="2848"/>
      <c r="ED229" s="2848"/>
      <c r="EE229" s="2848"/>
      <c r="EF229" s="2848"/>
      <c r="EG229" s="2848"/>
      <c r="EH229" s="2848"/>
      <c r="EI229" s="2848"/>
      <c r="EJ229" s="2848"/>
      <c r="EK229" s="2848"/>
      <c r="EL229" s="2848"/>
      <c r="EM229" s="1915"/>
      <c r="EN229" s="1915"/>
      <c r="EO229" s="1915"/>
    </row>
    <row r="230" spans="1:145">
      <c r="A230" s="1976" t="s">
        <v>2055</v>
      </c>
      <c r="B230" s="1913"/>
      <c r="C230" s="1913"/>
      <c r="D230" s="1913"/>
      <c r="E230" s="1913"/>
      <c r="F230" s="1913"/>
      <c r="G230" s="1913"/>
      <c r="H230" s="1913"/>
      <c r="I230" s="1913"/>
      <c r="J230" s="1913"/>
      <c r="K230" s="1913"/>
      <c r="L230" s="1913"/>
      <c r="M230" s="1913"/>
      <c r="N230" s="1913"/>
      <c r="O230" s="2209"/>
      <c r="P230" s="2209"/>
      <c r="Q230" s="2209"/>
      <c r="R230" s="2209"/>
      <c r="S230" s="2209"/>
      <c r="T230" s="2209"/>
      <c r="U230" s="2209"/>
      <c r="V230" s="2209"/>
      <c r="W230" s="2209"/>
      <c r="X230" s="2209"/>
      <c r="Y230" s="2209"/>
      <c r="Z230" s="2209"/>
      <c r="AA230" s="2209"/>
      <c r="AB230" s="2209"/>
      <c r="AC230" s="2209"/>
      <c r="AD230" s="2209"/>
      <c r="AE230" s="2209"/>
      <c r="AF230" s="2209"/>
      <c r="AG230" s="2209"/>
      <c r="AH230" s="2209"/>
      <c r="AI230" s="2209"/>
      <c r="AJ230" s="2209"/>
      <c r="AK230" s="2209"/>
      <c r="AL230" s="2209"/>
      <c r="AM230" s="2209"/>
      <c r="AN230" s="2209"/>
      <c r="AO230" s="2209"/>
      <c r="AP230" s="2209"/>
      <c r="AQ230" s="2209"/>
      <c r="AR230" s="2209"/>
      <c r="AS230" s="2209"/>
      <c r="AT230" s="2209"/>
      <c r="AU230" s="2209"/>
      <c r="AV230" s="2209"/>
      <c r="AW230" s="2209"/>
      <c r="AX230" s="2209"/>
      <c r="AY230" s="2209"/>
      <c r="AZ230" s="2209"/>
      <c r="BA230" s="2209"/>
      <c r="BB230" s="2209"/>
      <c r="BC230" s="2209"/>
      <c r="BD230" s="2209"/>
      <c r="BE230" s="2209"/>
      <c r="BF230" s="2209"/>
      <c r="BG230" s="2209"/>
      <c r="BH230" s="2209"/>
      <c r="BI230" s="2848"/>
      <c r="BJ230" s="2848"/>
      <c r="BK230" s="2848"/>
      <c r="BL230" s="2848"/>
      <c r="BM230" s="2848"/>
      <c r="BN230" s="2848"/>
      <c r="BO230" s="2848"/>
      <c r="BP230" s="2848"/>
      <c r="BQ230" s="2848"/>
      <c r="BR230" s="2848"/>
      <c r="BS230" s="2848"/>
      <c r="BT230" s="2848"/>
      <c r="BU230" s="2848"/>
      <c r="BV230" s="2848"/>
      <c r="BW230" s="2848"/>
      <c r="BX230" s="2848"/>
      <c r="BY230" s="2848"/>
      <c r="BZ230" s="2848"/>
      <c r="CA230" s="2848"/>
      <c r="CB230" s="2848"/>
      <c r="CC230" s="2848"/>
      <c r="CD230" s="2848"/>
      <c r="CE230" s="2848"/>
      <c r="CF230" s="2848"/>
      <c r="CG230" s="2848"/>
      <c r="CH230" s="2848"/>
      <c r="CI230" s="2848"/>
      <c r="CJ230" s="2848"/>
      <c r="CK230" s="2848"/>
      <c r="CL230" s="2848"/>
      <c r="CM230" s="2848"/>
      <c r="CN230" s="2848"/>
      <c r="CO230" s="2848"/>
      <c r="CP230" s="2848"/>
      <c r="CQ230" s="2848"/>
      <c r="CR230" s="2848"/>
      <c r="CS230" s="2848"/>
      <c r="CT230" s="2848"/>
      <c r="CU230" s="2848"/>
      <c r="CV230" s="2848"/>
      <c r="CW230" s="2848"/>
      <c r="CX230" s="2848"/>
      <c r="CY230" s="2848"/>
      <c r="CZ230" s="2848"/>
      <c r="DA230" s="2848"/>
      <c r="DB230" s="2848"/>
      <c r="DC230" s="2848"/>
      <c r="DD230" s="2848"/>
      <c r="DE230" s="2848"/>
      <c r="DF230" s="2848"/>
      <c r="DG230" s="2848"/>
      <c r="DH230" s="2848"/>
      <c r="DI230" s="2848"/>
      <c r="DJ230" s="2848"/>
      <c r="DK230" s="2848"/>
      <c r="DL230" s="2848"/>
      <c r="DM230" s="2848"/>
      <c r="DN230" s="2848"/>
      <c r="DO230" s="2848"/>
      <c r="DP230" s="2848"/>
      <c r="DQ230" s="2848"/>
      <c r="DR230" s="2848"/>
      <c r="DS230" s="2848"/>
      <c r="DT230" s="2848"/>
      <c r="DU230" s="2848"/>
      <c r="DV230" s="2848"/>
      <c r="DW230" s="2848"/>
      <c r="DX230" s="2848"/>
      <c r="DY230" s="2848"/>
      <c r="DZ230" s="2848"/>
      <c r="EA230" s="2848"/>
      <c r="EB230" s="2848"/>
      <c r="EC230" s="2848"/>
      <c r="ED230" s="2848"/>
      <c r="EE230" s="2848"/>
      <c r="EF230" s="2848"/>
      <c r="EG230" s="2848"/>
      <c r="EH230" s="2848"/>
      <c r="EI230" s="2848"/>
      <c r="EJ230" s="2848"/>
      <c r="EK230" s="2848"/>
      <c r="EL230" s="2848"/>
      <c r="EM230" s="1915"/>
      <c r="EN230" s="1915"/>
      <c r="EO230" s="1915"/>
    </row>
    <row r="232" spans="1:145">
      <c r="I232" s="2850">
        <v>9355.7968030000047</v>
      </c>
      <c r="J232" s="1849">
        <v>0</v>
      </c>
      <c r="K232" s="1849">
        <v>0</v>
      </c>
      <c r="L232" s="1849">
        <v>-11.660676899999089</v>
      </c>
      <c r="M232" s="2851">
        <v>11.660676899999089</v>
      </c>
      <c r="R232" s="1356">
        <v>10000000</v>
      </c>
    </row>
    <row r="233" spans="1:145">
      <c r="L233" s="1781">
        <v>9277.7978729290007</v>
      </c>
    </row>
    <row r="234" spans="1:145">
      <c r="I234" s="1356">
        <v>120589.94</v>
      </c>
    </row>
    <row r="235" spans="1:145">
      <c r="I235" s="1782">
        <v>9355.7984274299961</v>
      </c>
    </row>
    <row r="236" spans="1:145">
      <c r="M236" s="1782">
        <v>60782.046415141005</v>
      </c>
    </row>
  </sheetData>
  <mergeCells count="6">
    <mergeCell ref="A1:B1"/>
    <mergeCell ref="A2:N2"/>
    <mergeCell ref="A5:A8"/>
    <mergeCell ref="B5:B8"/>
    <mergeCell ref="C5:H6"/>
    <mergeCell ref="I5:N6"/>
  </mergeCells>
  <printOptions horizontalCentered="1" verticalCentered="1"/>
  <pageMargins left="0.23622047244094491" right="0.23622047244094491" top="0.74803149606299213" bottom="0.74803149606299213" header="0.31496062992125984" footer="0.31496062992125984"/>
  <pageSetup paperSize="9" scale="65" fitToWidth="5" fitToHeight="2" orientation="landscape" r:id="rId1"/>
  <headerFooter>
    <oddFooter>&amp;R&amp;P</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O233"/>
  <sheetViews>
    <sheetView view="pageBreakPreview" zoomScale="76" zoomScaleNormal="70" zoomScaleSheetLayoutView="70" workbookViewId="0">
      <pane xSplit="2" ySplit="9" topLeftCell="C10" activePane="bottomRight" state="frozen"/>
      <selection activeCell="A10" sqref="A10:XFD10"/>
      <selection pane="topRight" activeCell="A10" sqref="A10:XFD10"/>
      <selection pane="bottomLeft" activeCell="A10" sqref="A10:XFD10"/>
      <selection pane="bottomRight" activeCell="A10" sqref="A10:XFD10"/>
    </sheetView>
  </sheetViews>
  <sheetFormatPr defaultRowHeight="14.5"/>
  <cols>
    <col min="1" max="1" width="6.453125" style="696" customWidth="1"/>
    <col min="2" max="2" width="36" style="696" customWidth="1"/>
    <col min="3" max="3" width="11.453125" style="696" customWidth="1"/>
    <col min="4" max="4" width="12" style="1747" customWidth="1"/>
    <col min="5" max="5" width="12.26953125" style="1748" customWidth="1"/>
    <col min="6" max="6" width="13.453125" style="696" customWidth="1"/>
    <col min="7" max="7" width="11.26953125" style="696" customWidth="1"/>
    <col min="8" max="8" width="15" style="696" customWidth="1"/>
    <col min="9" max="9" width="15.7265625" style="696" bestFit="1" customWidth="1"/>
    <col min="10" max="11" width="15" style="696" bestFit="1" customWidth="1"/>
    <col min="12" max="12" width="14.453125" style="696" customWidth="1"/>
    <col min="13" max="13" width="15" style="696" bestFit="1" customWidth="1"/>
    <col min="14" max="14" width="17.7265625" style="696" customWidth="1"/>
    <col min="15" max="15" width="17.26953125" style="696" hidden="1" customWidth="1"/>
    <col min="16" max="16" width="11.7265625" style="696" hidden="1" customWidth="1"/>
    <col min="17" max="17" width="9.1796875" style="696"/>
    <col min="18" max="18" width="12" style="696" bestFit="1" customWidth="1"/>
    <col min="19" max="19" width="12.453125" style="696" bestFit="1" customWidth="1"/>
    <col min="20" max="21" width="13.1796875" style="696" bestFit="1" customWidth="1"/>
    <col min="22" max="22" width="9.1796875" style="696"/>
    <col min="23" max="23" width="11.1796875" style="696" bestFit="1" customWidth="1"/>
    <col min="24" max="231" width="9.1796875" style="696"/>
    <col min="232" max="232" width="3.26953125" style="696" customWidth="1"/>
    <col min="233" max="233" width="36" style="696" customWidth="1"/>
    <col min="234" max="234" width="8.26953125" style="696" customWidth="1"/>
    <col min="235" max="235" width="12.7265625" style="696" customWidth="1"/>
    <col min="236" max="236" width="5.7265625" style="696" customWidth="1"/>
    <col min="237" max="237" width="7.453125" style="696" customWidth="1"/>
    <col min="238" max="238" width="7.26953125" style="696" customWidth="1"/>
    <col min="239" max="239" width="6.7265625" style="696" customWidth="1"/>
    <col min="240" max="240" width="6" style="696" customWidth="1"/>
    <col min="241" max="241" width="6.54296875" style="696" customWidth="1"/>
    <col min="242" max="242" width="5" style="696" customWidth="1"/>
    <col min="243" max="243" width="6" style="696" customWidth="1"/>
    <col min="244" max="244" width="6.54296875" style="696" customWidth="1"/>
    <col min="245" max="245" width="5" style="696" customWidth="1"/>
    <col min="246" max="246" width="6.7265625" style="696" customWidth="1"/>
    <col min="247" max="487" width="9.1796875" style="696"/>
    <col min="488" max="488" width="3.26953125" style="696" customWidth="1"/>
    <col min="489" max="489" width="36" style="696" customWidth="1"/>
    <col min="490" max="490" width="8.26953125" style="696" customWidth="1"/>
    <col min="491" max="491" width="12.7265625" style="696" customWidth="1"/>
    <col min="492" max="492" width="5.7265625" style="696" customWidth="1"/>
    <col min="493" max="493" width="7.453125" style="696" customWidth="1"/>
    <col min="494" max="494" width="7.26953125" style="696" customWidth="1"/>
    <col min="495" max="495" width="6.7265625" style="696" customWidth="1"/>
    <col min="496" max="496" width="6" style="696" customWidth="1"/>
    <col min="497" max="497" width="6.54296875" style="696" customWidth="1"/>
    <col min="498" max="498" width="5" style="696" customWidth="1"/>
    <col min="499" max="499" width="6" style="696" customWidth="1"/>
    <col min="500" max="500" width="6.54296875" style="696" customWidth="1"/>
    <col min="501" max="501" width="5" style="696" customWidth="1"/>
    <col min="502" max="502" width="6.7265625" style="696" customWidth="1"/>
    <col min="503" max="743" width="9.1796875" style="696"/>
    <col min="744" max="744" width="3.26953125" style="696" customWidth="1"/>
    <col min="745" max="745" width="36" style="696" customWidth="1"/>
    <col min="746" max="746" width="8.26953125" style="696" customWidth="1"/>
    <col min="747" max="747" width="12.7265625" style="696" customWidth="1"/>
    <col min="748" max="748" width="5.7265625" style="696" customWidth="1"/>
    <col min="749" max="749" width="7.453125" style="696" customWidth="1"/>
    <col min="750" max="750" width="7.26953125" style="696" customWidth="1"/>
    <col min="751" max="751" width="6.7265625" style="696" customWidth="1"/>
    <col min="752" max="752" width="6" style="696" customWidth="1"/>
    <col min="753" max="753" width="6.54296875" style="696" customWidth="1"/>
    <col min="754" max="754" width="5" style="696" customWidth="1"/>
    <col min="755" max="755" width="6" style="696" customWidth="1"/>
    <col min="756" max="756" width="6.54296875" style="696" customWidth="1"/>
    <col min="757" max="757" width="5" style="696" customWidth="1"/>
    <col min="758" max="758" width="6.7265625" style="696" customWidth="1"/>
    <col min="759" max="999" width="9.1796875" style="696"/>
    <col min="1000" max="1000" width="3.26953125" style="696" customWidth="1"/>
    <col min="1001" max="1001" width="36" style="696" customWidth="1"/>
    <col min="1002" max="1002" width="8.26953125" style="696" customWidth="1"/>
    <col min="1003" max="1003" width="12.7265625" style="696" customWidth="1"/>
    <col min="1004" max="1004" width="5.7265625" style="696" customWidth="1"/>
    <col min="1005" max="1005" width="7.453125" style="696" customWidth="1"/>
    <col min="1006" max="1006" width="7.26953125" style="696" customWidth="1"/>
    <col min="1007" max="1007" width="6.7265625" style="696" customWidth="1"/>
    <col min="1008" max="1008" width="6" style="696" customWidth="1"/>
    <col min="1009" max="1009" width="6.54296875" style="696" customWidth="1"/>
    <col min="1010" max="1010" width="5" style="696" customWidth="1"/>
    <col min="1011" max="1011" width="6" style="696" customWidth="1"/>
    <col min="1012" max="1012" width="6.54296875" style="696" customWidth="1"/>
    <col min="1013" max="1013" width="5" style="696" customWidth="1"/>
    <col min="1014" max="1014" width="6.7265625" style="696" customWidth="1"/>
    <col min="1015" max="1255" width="9.1796875" style="696"/>
    <col min="1256" max="1256" width="3.26953125" style="696" customWidth="1"/>
    <col min="1257" max="1257" width="36" style="696" customWidth="1"/>
    <col min="1258" max="1258" width="8.26953125" style="696" customWidth="1"/>
    <col min="1259" max="1259" width="12.7265625" style="696" customWidth="1"/>
    <col min="1260" max="1260" width="5.7265625" style="696" customWidth="1"/>
    <col min="1261" max="1261" width="7.453125" style="696" customWidth="1"/>
    <col min="1262" max="1262" width="7.26953125" style="696" customWidth="1"/>
    <col min="1263" max="1263" width="6.7265625" style="696" customWidth="1"/>
    <col min="1264" max="1264" width="6" style="696" customWidth="1"/>
    <col min="1265" max="1265" width="6.54296875" style="696" customWidth="1"/>
    <col min="1266" max="1266" width="5" style="696" customWidth="1"/>
    <col min="1267" max="1267" width="6" style="696" customWidth="1"/>
    <col min="1268" max="1268" width="6.54296875" style="696" customWidth="1"/>
    <col min="1269" max="1269" width="5" style="696" customWidth="1"/>
    <col min="1270" max="1270" width="6.7265625" style="696" customWidth="1"/>
    <col min="1271" max="1511" width="9.1796875" style="696"/>
    <col min="1512" max="1512" width="3.26953125" style="696" customWidth="1"/>
    <col min="1513" max="1513" width="36" style="696" customWidth="1"/>
    <col min="1514" max="1514" width="8.26953125" style="696" customWidth="1"/>
    <col min="1515" max="1515" width="12.7265625" style="696" customWidth="1"/>
    <col min="1516" max="1516" width="5.7265625" style="696" customWidth="1"/>
    <col min="1517" max="1517" width="7.453125" style="696" customWidth="1"/>
    <col min="1518" max="1518" width="7.26953125" style="696" customWidth="1"/>
    <col min="1519" max="1519" width="6.7265625" style="696" customWidth="1"/>
    <col min="1520" max="1520" width="6" style="696" customWidth="1"/>
    <col min="1521" max="1521" width="6.54296875" style="696" customWidth="1"/>
    <col min="1522" max="1522" width="5" style="696" customWidth="1"/>
    <col min="1523" max="1523" width="6" style="696" customWidth="1"/>
    <col min="1524" max="1524" width="6.54296875" style="696" customWidth="1"/>
    <col min="1525" max="1525" width="5" style="696" customWidth="1"/>
    <col min="1526" max="1526" width="6.7265625" style="696" customWidth="1"/>
    <col min="1527" max="1767" width="9.1796875" style="696"/>
    <col min="1768" max="1768" width="3.26953125" style="696" customWidth="1"/>
    <col min="1769" max="1769" width="36" style="696" customWidth="1"/>
    <col min="1770" max="1770" width="8.26953125" style="696" customWidth="1"/>
    <col min="1771" max="1771" width="12.7265625" style="696" customWidth="1"/>
    <col min="1772" max="1772" width="5.7265625" style="696" customWidth="1"/>
    <col min="1773" max="1773" width="7.453125" style="696" customWidth="1"/>
    <col min="1774" max="1774" width="7.26953125" style="696" customWidth="1"/>
    <col min="1775" max="1775" width="6.7265625" style="696" customWidth="1"/>
    <col min="1776" max="1776" width="6" style="696" customWidth="1"/>
    <col min="1777" max="1777" width="6.54296875" style="696" customWidth="1"/>
    <col min="1778" max="1778" width="5" style="696" customWidth="1"/>
    <col min="1779" max="1779" width="6" style="696" customWidth="1"/>
    <col min="1780" max="1780" width="6.54296875" style="696" customWidth="1"/>
    <col min="1781" max="1781" width="5" style="696" customWidth="1"/>
    <col min="1782" max="1782" width="6.7265625" style="696" customWidth="1"/>
    <col min="1783" max="2023" width="9.1796875" style="696"/>
    <col min="2024" max="2024" width="3.26953125" style="696" customWidth="1"/>
    <col min="2025" max="2025" width="36" style="696" customWidth="1"/>
    <col min="2026" max="2026" width="8.26953125" style="696" customWidth="1"/>
    <col min="2027" max="2027" width="12.7265625" style="696" customWidth="1"/>
    <col min="2028" max="2028" width="5.7265625" style="696" customWidth="1"/>
    <col min="2029" max="2029" width="7.453125" style="696" customWidth="1"/>
    <col min="2030" max="2030" width="7.26953125" style="696" customWidth="1"/>
    <col min="2031" max="2031" width="6.7265625" style="696" customWidth="1"/>
    <col min="2032" max="2032" width="6" style="696" customWidth="1"/>
    <col min="2033" max="2033" width="6.54296875" style="696" customWidth="1"/>
    <col min="2034" max="2034" width="5" style="696" customWidth="1"/>
    <col min="2035" max="2035" width="6" style="696" customWidth="1"/>
    <col min="2036" max="2036" width="6.54296875" style="696" customWidth="1"/>
    <col min="2037" max="2037" width="5" style="696" customWidth="1"/>
    <col min="2038" max="2038" width="6.7265625" style="696" customWidth="1"/>
    <col min="2039" max="2279" width="9.1796875" style="696"/>
    <col min="2280" max="2280" width="3.26953125" style="696" customWidth="1"/>
    <col min="2281" max="2281" width="36" style="696" customWidth="1"/>
    <col min="2282" max="2282" width="8.26953125" style="696" customWidth="1"/>
    <col min="2283" max="2283" width="12.7265625" style="696" customWidth="1"/>
    <col min="2284" max="2284" width="5.7265625" style="696" customWidth="1"/>
    <col min="2285" max="2285" width="7.453125" style="696" customWidth="1"/>
    <col min="2286" max="2286" width="7.26953125" style="696" customWidth="1"/>
    <col min="2287" max="2287" width="6.7265625" style="696" customWidth="1"/>
    <col min="2288" max="2288" width="6" style="696" customWidth="1"/>
    <col min="2289" max="2289" width="6.54296875" style="696" customWidth="1"/>
    <col min="2290" max="2290" width="5" style="696" customWidth="1"/>
    <col min="2291" max="2291" width="6" style="696" customWidth="1"/>
    <col min="2292" max="2292" width="6.54296875" style="696" customWidth="1"/>
    <col min="2293" max="2293" width="5" style="696" customWidth="1"/>
    <col min="2294" max="2294" width="6.7265625" style="696" customWidth="1"/>
    <col min="2295" max="2535" width="9.1796875" style="696"/>
    <col min="2536" max="2536" width="3.26953125" style="696" customWidth="1"/>
    <col min="2537" max="2537" width="36" style="696" customWidth="1"/>
    <col min="2538" max="2538" width="8.26953125" style="696" customWidth="1"/>
    <col min="2539" max="2539" width="12.7265625" style="696" customWidth="1"/>
    <col min="2540" max="2540" width="5.7265625" style="696" customWidth="1"/>
    <col min="2541" max="2541" width="7.453125" style="696" customWidth="1"/>
    <col min="2542" max="2542" width="7.26953125" style="696" customWidth="1"/>
    <col min="2543" max="2543" width="6.7265625" style="696" customWidth="1"/>
    <col min="2544" max="2544" width="6" style="696" customWidth="1"/>
    <col min="2545" max="2545" width="6.54296875" style="696" customWidth="1"/>
    <col min="2546" max="2546" width="5" style="696" customWidth="1"/>
    <col min="2547" max="2547" width="6" style="696" customWidth="1"/>
    <col min="2548" max="2548" width="6.54296875" style="696" customWidth="1"/>
    <col min="2549" max="2549" width="5" style="696" customWidth="1"/>
    <col min="2550" max="2550" width="6.7265625" style="696" customWidth="1"/>
    <col min="2551" max="2791" width="9.1796875" style="696"/>
    <col min="2792" max="2792" width="3.26953125" style="696" customWidth="1"/>
    <col min="2793" max="2793" width="36" style="696" customWidth="1"/>
    <col min="2794" max="2794" width="8.26953125" style="696" customWidth="1"/>
    <col min="2795" max="2795" width="12.7265625" style="696" customWidth="1"/>
    <col min="2796" max="2796" width="5.7265625" style="696" customWidth="1"/>
    <col min="2797" max="2797" width="7.453125" style="696" customWidth="1"/>
    <col min="2798" max="2798" width="7.26953125" style="696" customWidth="1"/>
    <col min="2799" max="2799" width="6.7265625" style="696" customWidth="1"/>
    <col min="2800" max="2800" width="6" style="696" customWidth="1"/>
    <col min="2801" max="2801" width="6.54296875" style="696" customWidth="1"/>
    <col min="2802" max="2802" width="5" style="696" customWidth="1"/>
    <col min="2803" max="2803" width="6" style="696" customWidth="1"/>
    <col min="2804" max="2804" width="6.54296875" style="696" customWidth="1"/>
    <col min="2805" max="2805" width="5" style="696" customWidth="1"/>
    <col min="2806" max="2806" width="6.7265625" style="696" customWidth="1"/>
    <col min="2807" max="3047" width="9.1796875" style="696"/>
    <col min="3048" max="3048" width="3.26953125" style="696" customWidth="1"/>
    <col min="3049" max="3049" width="36" style="696" customWidth="1"/>
    <col min="3050" max="3050" width="8.26953125" style="696" customWidth="1"/>
    <col min="3051" max="3051" width="12.7265625" style="696" customWidth="1"/>
    <col min="3052" max="3052" width="5.7265625" style="696" customWidth="1"/>
    <col min="3053" max="3053" width="7.453125" style="696" customWidth="1"/>
    <col min="3054" max="3054" width="7.26953125" style="696" customWidth="1"/>
    <col min="3055" max="3055" width="6.7265625" style="696" customWidth="1"/>
    <col min="3056" max="3056" width="6" style="696" customWidth="1"/>
    <col min="3057" max="3057" width="6.54296875" style="696" customWidth="1"/>
    <col min="3058" max="3058" width="5" style="696" customWidth="1"/>
    <col min="3059" max="3059" width="6" style="696" customWidth="1"/>
    <col min="3060" max="3060" width="6.54296875" style="696" customWidth="1"/>
    <col min="3061" max="3061" width="5" style="696" customWidth="1"/>
    <col min="3062" max="3062" width="6.7265625" style="696" customWidth="1"/>
    <col min="3063" max="3303" width="9.1796875" style="696"/>
    <col min="3304" max="3304" width="3.26953125" style="696" customWidth="1"/>
    <col min="3305" max="3305" width="36" style="696" customWidth="1"/>
    <col min="3306" max="3306" width="8.26953125" style="696" customWidth="1"/>
    <col min="3307" max="3307" width="12.7265625" style="696" customWidth="1"/>
    <col min="3308" max="3308" width="5.7265625" style="696" customWidth="1"/>
    <col min="3309" max="3309" width="7.453125" style="696" customWidth="1"/>
    <col min="3310" max="3310" width="7.26953125" style="696" customWidth="1"/>
    <col min="3311" max="3311" width="6.7265625" style="696" customWidth="1"/>
    <col min="3312" max="3312" width="6" style="696" customWidth="1"/>
    <col min="3313" max="3313" width="6.54296875" style="696" customWidth="1"/>
    <col min="3314" max="3314" width="5" style="696" customWidth="1"/>
    <col min="3315" max="3315" width="6" style="696" customWidth="1"/>
    <col min="3316" max="3316" width="6.54296875" style="696" customWidth="1"/>
    <col min="3317" max="3317" width="5" style="696" customWidth="1"/>
    <col min="3318" max="3318" width="6.7265625" style="696" customWidth="1"/>
    <col min="3319" max="3559" width="9.1796875" style="696"/>
    <col min="3560" max="3560" width="3.26953125" style="696" customWidth="1"/>
    <col min="3561" max="3561" width="36" style="696" customWidth="1"/>
    <col min="3562" max="3562" width="8.26953125" style="696" customWidth="1"/>
    <col min="3563" max="3563" width="12.7265625" style="696" customWidth="1"/>
    <col min="3564" max="3564" width="5.7265625" style="696" customWidth="1"/>
    <col min="3565" max="3565" width="7.453125" style="696" customWidth="1"/>
    <col min="3566" max="3566" width="7.26953125" style="696" customWidth="1"/>
    <col min="3567" max="3567" width="6.7265625" style="696" customWidth="1"/>
    <col min="3568" max="3568" width="6" style="696" customWidth="1"/>
    <col min="3569" max="3569" width="6.54296875" style="696" customWidth="1"/>
    <col min="3570" max="3570" width="5" style="696" customWidth="1"/>
    <col min="3571" max="3571" width="6" style="696" customWidth="1"/>
    <col min="3572" max="3572" width="6.54296875" style="696" customWidth="1"/>
    <col min="3573" max="3573" width="5" style="696" customWidth="1"/>
    <col min="3574" max="3574" width="6.7265625" style="696" customWidth="1"/>
    <col min="3575" max="3815" width="9.1796875" style="696"/>
    <col min="3816" max="3816" width="3.26953125" style="696" customWidth="1"/>
    <col min="3817" max="3817" width="36" style="696" customWidth="1"/>
    <col min="3818" max="3818" width="8.26953125" style="696" customWidth="1"/>
    <col min="3819" max="3819" width="12.7265625" style="696" customWidth="1"/>
    <col min="3820" max="3820" width="5.7265625" style="696" customWidth="1"/>
    <col min="3821" max="3821" width="7.453125" style="696" customWidth="1"/>
    <col min="3822" max="3822" width="7.26953125" style="696" customWidth="1"/>
    <col min="3823" max="3823" width="6.7265625" style="696" customWidth="1"/>
    <col min="3824" max="3824" width="6" style="696" customWidth="1"/>
    <col min="3825" max="3825" width="6.54296875" style="696" customWidth="1"/>
    <col min="3826" max="3826" width="5" style="696" customWidth="1"/>
    <col min="3827" max="3827" width="6" style="696" customWidth="1"/>
    <col min="3828" max="3828" width="6.54296875" style="696" customWidth="1"/>
    <col min="3829" max="3829" width="5" style="696" customWidth="1"/>
    <col min="3830" max="3830" width="6.7265625" style="696" customWidth="1"/>
    <col min="3831" max="4071" width="9.1796875" style="696"/>
    <col min="4072" max="4072" width="3.26953125" style="696" customWidth="1"/>
    <col min="4073" max="4073" width="36" style="696" customWidth="1"/>
    <col min="4074" max="4074" width="8.26953125" style="696" customWidth="1"/>
    <col min="4075" max="4075" width="12.7265625" style="696" customWidth="1"/>
    <col min="4076" max="4076" width="5.7265625" style="696" customWidth="1"/>
    <col min="4077" max="4077" width="7.453125" style="696" customWidth="1"/>
    <col min="4078" max="4078" width="7.26953125" style="696" customWidth="1"/>
    <col min="4079" max="4079" width="6.7265625" style="696" customWidth="1"/>
    <col min="4080" max="4080" width="6" style="696" customWidth="1"/>
    <col min="4081" max="4081" width="6.54296875" style="696" customWidth="1"/>
    <col min="4082" max="4082" width="5" style="696" customWidth="1"/>
    <col min="4083" max="4083" width="6" style="696" customWidth="1"/>
    <col min="4084" max="4084" width="6.54296875" style="696" customWidth="1"/>
    <col min="4085" max="4085" width="5" style="696" customWidth="1"/>
    <col min="4086" max="4086" width="6.7265625" style="696" customWidth="1"/>
    <col min="4087" max="4327" width="9.1796875" style="696"/>
    <col min="4328" max="4328" width="3.26953125" style="696" customWidth="1"/>
    <col min="4329" max="4329" width="36" style="696" customWidth="1"/>
    <col min="4330" max="4330" width="8.26953125" style="696" customWidth="1"/>
    <col min="4331" max="4331" width="12.7265625" style="696" customWidth="1"/>
    <col min="4332" max="4332" width="5.7265625" style="696" customWidth="1"/>
    <col min="4333" max="4333" width="7.453125" style="696" customWidth="1"/>
    <col min="4334" max="4334" width="7.26953125" style="696" customWidth="1"/>
    <col min="4335" max="4335" width="6.7265625" style="696" customWidth="1"/>
    <col min="4336" max="4336" width="6" style="696" customWidth="1"/>
    <col min="4337" max="4337" width="6.54296875" style="696" customWidth="1"/>
    <col min="4338" max="4338" width="5" style="696" customWidth="1"/>
    <col min="4339" max="4339" width="6" style="696" customWidth="1"/>
    <col min="4340" max="4340" width="6.54296875" style="696" customWidth="1"/>
    <col min="4341" max="4341" width="5" style="696" customWidth="1"/>
    <col min="4342" max="4342" width="6.7265625" style="696" customWidth="1"/>
    <col min="4343" max="4583" width="9.1796875" style="696"/>
    <col min="4584" max="4584" width="3.26953125" style="696" customWidth="1"/>
    <col min="4585" max="4585" width="36" style="696" customWidth="1"/>
    <col min="4586" max="4586" width="8.26953125" style="696" customWidth="1"/>
    <col min="4587" max="4587" width="12.7265625" style="696" customWidth="1"/>
    <col min="4588" max="4588" width="5.7265625" style="696" customWidth="1"/>
    <col min="4589" max="4589" width="7.453125" style="696" customWidth="1"/>
    <col min="4590" max="4590" width="7.26953125" style="696" customWidth="1"/>
    <col min="4591" max="4591" width="6.7265625" style="696" customWidth="1"/>
    <col min="4592" max="4592" width="6" style="696" customWidth="1"/>
    <col min="4593" max="4593" width="6.54296875" style="696" customWidth="1"/>
    <col min="4594" max="4594" width="5" style="696" customWidth="1"/>
    <col min="4595" max="4595" width="6" style="696" customWidth="1"/>
    <col min="4596" max="4596" width="6.54296875" style="696" customWidth="1"/>
    <col min="4597" max="4597" width="5" style="696" customWidth="1"/>
    <col min="4598" max="4598" width="6.7265625" style="696" customWidth="1"/>
    <col min="4599" max="4839" width="9.1796875" style="696"/>
    <col min="4840" max="4840" width="3.26953125" style="696" customWidth="1"/>
    <col min="4841" max="4841" width="36" style="696" customWidth="1"/>
    <col min="4842" max="4842" width="8.26953125" style="696" customWidth="1"/>
    <col min="4843" max="4843" width="12.7265625" style="696" customWidth="1"/>
    <col min="4844" max="4844" width="5.7265625" style="696" customWidth="1"/>
    <col min="4845" max="4845" width="7.453125" style="696" customWidth="1"/>
    <col min="4846" max="4846" width="7.26953125" style="696" customWidth="1"/>
    <col min="4847" max="4847" width="6.7265625" style="696" customWidth="1"/>
    <col min="4848" max="4848" width="6" style="696" customWidth="1"/>
    <col min="4849" max="4849" width="6.54296875" style="696" customWidth="1"/>
    <col min="4850" max="4850" width="5" style="696" customWidth="1"/>
    <col min="4851" max="4851" width="6" style="696" customWidth="1"/>
    <col min="4852" max="4852" width="6.54296875" style="696" customWidth="1"/>
    <col min="4853" max="4853" width="5" style="696" customWidth="1"/>
    <col min="4854" max="4854" width="6.7265625" style="696" customWidth="1"/>
    <col min="4855" max="5095" width="9.1796875" style="696"/>
    <col min="5096" max="5096" width="3.26953125" style="696" customWidth="1"/>
    <col min="5097" max="5097" width="36" style="696" customWidth="1"/>
    <col min="5098" max="5098" width="8.26953125" style="696" customWidth="1"/>
    <col min="5099" max="5099" width="12.7265625" style="696" customWidth="1"/>
    <col min="5100" max="5100" width="5.7265625" style="696" customWidth="1"/>
    <col min="5101" max="5101" width="7.453125" style="696" customWidth="1"/>
    <col min="5102" max="5102" width="7.26953125" style="696" customWidth="1"/>
    <col min="5103" max="5103" width="6.7265625" style="696" customWidth="1"/>
    <col min="5104" max="5104" width="6" style="696" customWidth="1"/>
    <col min="5105" max="5105" width="6.54296875" style="696" customWidth="1"/>
    <col min="5106" max="5106" width="5" style="696" customWidth="1"/>
    <col min="5107" max="5107" width="6" style="696" customWidth="1"/>
    <col min="5108" max="5108" width="6.54296875" style="696" customWidth="1"/>
    <col min="5109" max="5109" width="5" style="696" customWidth="1"/>
    <col min="5110" max="5110" width="6.7265625" style="696" customWidth="1"/>
    <col min="5111" max="5351" width="9.1796875" style="696"/>
    <col min="5352" max="5352" width="3.26953125" style="696" customWidth="1"/>
    <col min="5353" max="5353" width="36" style="696" customWidth="1"/>
    <col min="5354" max="5354" width="8.26953125" style="696" customWidth="1"/>
    <col min="5355" max="5355" width="12.7265625" style="696" customWidth="1"/>
    <col min="5356" max="5356" width="5.7265625" style="696" customWidth="1"/>
    <col min="5357" max="5357" width="7.453125" style="696" customWidth="1"/>
    <col min="5358" max="5358" width="7.26953125" style="696" customWidth="1"/>
    <col min="5359" max="5359" width="6.7265625" style="696" customWidth="1"/>
    <col min="5360" max="5360" width="6" style="696" customWidth="1"/>
    <col min="5361" max="5361" width="6.54296875" style="696" customWidth="1"/>
    <col min="5362" max="5362" width="5" style="696" customWidth="1"/>
    <col min="5363" max="5363" width="6" style="696" customWidth="1"/>
    <col min="5364" max="5364" width="6.54296875" style="696" customWidth="1"/>
    <col min="5365" max="5365" width="5" style="696" customWidth="1"/>
    <col min="5366" max="5366" width="6.7265625" style="696" customWidth="1"/>
    <col min="5367" max="5607" width="9.1796875" style="696"/>
    <col min="5608" max="5608" width="3.26953125" style="696" customWidth="1"/>
    <col min="5609" max="5609" width="36" style="696" customWidth="1"/>
    <col min="5610" max="5610" width="8.26953125" style="696" customWidth="1"/>
    <col min="5611" max="5611" width="12.7265625" style="696" customWidth="1"/>
    <col min="5612" max="5612" width="5.7265625" style="696" customWidth="1"/>
    <col min="5613" max="5613" width="7.453125" style="696" customWidth="1"/>
    <col min="5614" max="5614" width="7.26953125" style="696" customWidth="1"/>
    <col min="5615" max="5615" width="6.7265625" style="696" customWidth="1"/>
    <col min="5616" max="5616" width="6" style="696" customWidth="1"/>
    <col min="5617" max="5617" width="6.54296875" style="696" customWidth="1"/>
    <col min="5618" max="5618" width="5" style="696" customWidth="1"/>
    <col min="5619" max="5619" width="6" style="696" customWidth="1"/>
    <col min="5620" max="5620" width="6.54296875" style="696" customWidth="1"/>
    <col min="5621" max="5621" width="5" style="696" customWidth="1"/>
    <col min="5622" max="5622" width="6.7265625" style="696" customWidth="1"/>
    <col min="5623" max="5863" width="9.1796875" style="696"/>
    <col min="5864" max="5864" width="3.26953125" style="696" customWidth="1"/>
    <col min="5865" max="5865" width="36" style="696" customWidth="1"/>
    <col min="5866" max="5866" width="8.26953125" style="696" customWidth="1"/>
    <col min="5867" max="5867" width="12.7265625" style="696" customWidth="1"/>
    <col min="5868" max="5868" width="5.7265625" style="696" customWidth="1"/>
    <col min="5869" max="5869" width="7.453125" style="696" customWidth="1"/>
    <col min="5870" max="5870" width="7.26953125" style="696" customWidth="1"/>
    <col min="5871" max="5871" width="6.7265625" style="696" customWidth="1"/>
    <col min="5872" max="5872" width="6" style="696" customWidth="1"/>
    <col min="5873" max="5873" width="6.54296875" style="696" customWidth="1"/>
    <col min="5874" max="5874" width="5" style="696" customWidth="1"/>
    <col min="5875" max="5875" width="6" style="696" customWidth="1"/>
    <col min="5876" max="5876" width="6.54296875" style="696" customWidth="1"/>
    <col min="5877" max="5877" width="5" style="696" customWidth="1"/>
    <col min="5878" max="5878" width="6.7265625" style="696" customWidth="1"/>
    <col min="5879" max="6119" width="9.1796875" style="696"/>
    <col min="6120" max="6120" width="3.26953125" style="696" customWidth="1"/>
    <col min="6121" max="6121" width="36" style="696" customWidth="1"/>
    <col min="6122" max="6122" width="8.26953125" style="696" customWidth="1"/>
    <col min="6123" max="6123" width="12.7265625" style="696" customWidth="1"/>
    <col min="6124" max="6124" width="5.7265625" style="696" customWidth="1"/>
    <col min="6125" max="6125" width="7.453125" style="696" customWidth="1"/>
    <col min="6126" max="6126" width="7.26953125" style="696" customWidth="1"/>
    <col min="6127" max="6127" width="6.7265625" style="696" customWidth="1"/>
    <col min="6128" max="6128" width="6" style="696" customWidth="1"/>
    <col min="6129" max="6129" width="6.54296875" style="696" customWidth="1"/>
    <col min="6130" max="6130" width="5" style="696" customWidth="1"/>
    <col min="6131" max="6131" width="6" style="696" customWidth="1"/>
    <col min="6132" max="6132" width="6.54296875" style="696" customWidth="1"/>
    <col min="6133" max="6133" width="5" style="696" customWidth="1"/>
    <col min="6134" max="6134" width="6.7265625" style="696" customWidth="1"/>
    <col min="6135" max="6375" width="9.1796875" style="696"/>
    <col min="6376" max="6376" width="3.26953125" style="696" customWidth="1"/>
    <col min="6377" max="6377" width="36" style="696" customWidth="1"/>
    <col min="6378" max="6378" width="8.26953125" style="696" customWidth="1"/>
    <col min="6379" max="6379" width="12.7265625" style="696" customWidth="1"/>
    <col min="6380" max="6380" width="5.7265625" style="696" customWidth="1"/>
    <col min="6381" max="6381" width="7.453125" style="696" customWidth="1"/>
    <col min="6382" max="6382" width="7.26953125" style="696" customWidth="1"/>
    <col min="6383" max="6383" width="6.7265625" style="696" customWidth="1"/>
    <col min="6384" max="6384" width="6" style="696" customWidth="1"/>
    <col min="6385" max="6385" width="6.54296875" style="696" customWidth="1"/>
    <col min="6386" max="6386" width="5" style="696" customWidth="1"/>
    <col min="6387" max="6387" width="6" style="696" customWidth="1"/>
    <col min="6388" max="6388" width="6.54296875" style="696" customWidth="1"/>
    <col min="6389" max="6389" width="5" style="696" customWidth="1"/>
    <col min="6390" max="6390" width="6.7265625" style="696" customWidth="1"/>
    <col min="6391" max="6631" width="9.1796875" style="696"/>
    <col min="6632" max="6632" width="3.26953125" style="696" customWidth="1"/>
    <col min="6633" max="6633" width="36" style="696" customWidth="1"/>
    <col min="6634" max="6634" width="8.26953125" style="696" customWidth="1"/>
    <col min="6635" max="6635" width="12.7265625" style="696" customWidth="1"/>
    <col min="6636" max="6636" width="5.7265625" style="696" customWidth="1"/>
    <col min="6637" max="6637" width="7.453125" style="696" customWidth="1"/>
    <col min="6638" max="6638" width="7.26953125" style="696" customWidth="1"/>
    <col min="6639" max="6639" width="6.7265625" style="696" customWidth="1"/>
    <col min="6640" max="6640" width="6" style="696" customWidth="1"/>
    <col min="6641" max="6641" width="6.54296875" style="696" customWidth="1"/>
    <col min="6642" max="6642" width="5" style="696" customWidth="1"/>
    <col min="6643" max="6643" width="6" style="696" customWidth="1"/>
    <col min="6644" max="6644" width="6.54296875" style="696" customWidth="1"/>
    <col min="6645" max="6645" width="5" style="696" customWidth="1"/>
    <col min="6646" max="6646" width="6.7265625" style="696" customWidth="1"/>
    <col min="6647" max="6887" width="9.1796875" style="696"/>
    <col min="6888" max="6888" width="3.26953125" style="696" customWidth="1"/>
    <col min="6889" max="6889" width="36" style="696" customWidth="1"/>
    <col min="6890" max="6890" width="8.26953125" style="696" customWidth="1"/>
    <col min="6891" max="6891" width="12.7265625" style="696" customWidth="1"/>
    <col min="6892" max="6892" width="5.7265625" style="696" customWidth="1"/>
    <col min="6893" max="6893" width="7.453125" style="696" customWidth="1"/>
    <col min="6894" max="6894" width="7.26953125" style="696" customWidth="1"/>
    <col min="6895" max="6895" width="6.7265625" style="696" customWidth="1"/>
    <col min="6896" max="6896" width="6" style="696" customWidth="1"/>
    <col min="6897" max="6897" width="6.54296875" style="696" customWidth="1"/>
    <col min="6898" max="6898" width="5" style="696" customWidth="1"/>
    <col min="6899" max="6899" width="6" style="696" customWidth="1"/>
    <col min="6900" max="6900" width="6.54296875" style="696" customWidth="1"/>
    <col min="6901" max="6901" width="5" style="696" customWidth="1"/>
    <col min="6902" max="6902" width="6.7265625" style="696" customWidth="1"/>
    <col min="6903" max="7143" width="9.1796875" style="696"/>
    <col min="7144" max="7144" width="3.26953125" style="696" customWidth="1"/>
    <col min="7145" max="7145" width="36" style="696" customWidth="1"/>
    <col min="7146" max="7146" width="8.26953125" style="696" customWidth="1"/>
    <col min="7147" max="7147" width="12.7265625" style="696" customWidth="1"/>
    <col min="7148" max="7148" width="5.7265625" style="696" customWidth="1"/>
    <col min="7149" max="7149" width="7.453125" style="696" customWidth="1"/>
    <col min="7150" max="7150" width="7.26953125" style="696" customWidth="1"/>
    <col min="7151" max="7151" width="6.7265625" style="696" customWidth="1"/>
    <col min="7152" max="7152" width="6" style="696" customWidth="1"/>
    <col min="7153" max="7153" width="6.54296875" style="696" customWidth="1"/>
    <col min="7154" max="7154" width="5" style="696" customWidth="1"/>
    <col min="7155" max="7155" width="6" style="696" customWidth="1"/>
    <col min="7156" max="7156" width="6.54296875" style="696" customWidth="1"/>
    <col min="7157" max="7157" width="5" style="696" customWidth="1"/>
    <col min="7158" max="7158" width="6.7265625" style="696" customWidth="1"/>
    <col min="7159" max="7399" width="9.1796875" style="696"/>
    <col min="7400" max="7400" width="3.26953125" style="696" customWidth="1"/>
    <col min="7401" max="7401" width="36" style="696" customWidth="1"/>
    <col min="7402" max="7402" width="8.26953125" style="696" customWidth="1"/>
    <col min="7403" max="7403" width="12.7265625" style="696" customWidth="1"/>
    <col min="7404" max="7404" width="5.7265625" style="696" customWidth="1"/>
    <col min="7405" max="7405" width="7.453125" style="696" customWidth="1"/>
    <col min="7406" max="7406" width="7.26953125" style="696" customWidth="1"/>
    <col min="7407" max="7407" width="6.7265625" style="696" customWidth="1"/>
    <col min="7408" max="7408" width="6" style="696" customWidth="1"/>
    <col min="7409" max="7409" width="6.54296875" style="696" customWidth="1"/>
    <col min="7410" max="7410" width="5" style="696" customWidth="1"/>
    <col min="7411" max="7411" width="6" style="696" customWidth="1"/>
    <col min="7412" max="7412" width="6.54296875" style="696" customWidth="1"/>
    <col min="7413" max="7413" width="5" style="696" customWidth="1"/>
    <col min="7414" max="7414" width="6.7265625" style="696" customWidth="1"/>
    <col min="7415" max="7655" width="9.1796875" style="696"/>
    <col min="7656" max="7656" width="3.26953125" style="696" customWidth="1"/>
    <col min="7657" max="7657" width="36" style="696" customWidth="1"/>
    <col min="7658" max="7658" width="8.26953125" style="696" customWidth="1"/>
    <col min="7659" max="7659" width="12.7265625" style="696" customWidth="1"/>
    <col min="7660" max="7660" width="5.7265625" style="696" customWidth="1"/>
    <col min="7661" max="7661" width="7.453125" style="696" customWidth="1"/>
    <col min="7662" max="7662" width="7.26953125" style="696" customWidth="1"/>
    <col min="7663" max="7663" width="6.7265625" style="696" customWidth="1"/>
    <col min="7664" max="7664" width="6" style="696" customWidth="1"/>
    <col min="7665" max="7665" width="6.54296875" style="696" customWidth="1"/>
    <col min="7666" max="7666" width="5" style="696" customWidth="1"/>
    <col min="7667" max="7667" width="6" style="696" customWidth="1"/>
    <col min="7668" max="7668" width="6.54296875" style="696" customWidth="1"/>
    <col min="7669" max="7669" width="5" style="696" customWidth="1"/>
    <col min="7670" max="7670" width="6.7265625" style="696" customWidth="1"/>
    <col min="7671" max="7911" width="9.1796875" style="696"/>
    <col min="7912" max="7912" width="3.26953125" style="696" customWidth="1"/>
    <col min="7913" max="7913" width="36" style="696" customWidth="1"/>
    <col min="7914" max="7914" width="8.26953125" style="696" customWidth="1"/>
    <col min="7915" max="7915" width="12.7265625" style="696" customWidth="1"/>
    <col min="7916" max="7916" width="5.7265625" style="696" customWidth="1"/>
    <col min="7917" max="7917" width="7.453125" style="696" customWidth="1"/>
    <col min="7918" max="7918" width="7.26953125" style="696" customWidth="1"/>
    <col min="7919" max="7919" width="6.7265625" style="696" customWidth="1"/>
    <col min="7920" max="7920" width="6" style="696" customWidth="1"/>
    <col min="7921" max="7921" width="6.54296875" style="696" customWidth="1"/>
    <col min="7922" max="7922" width="5" style="696" customWidth="1"/>
    <col min="7923" max="7923" width="6" style="696" customWidth="1"/>
    <col min="7924" max="7924" width="6.54296875" style="696" customWidth="1"/>
    <col min="7925" max="7925" width="5" style="696" customWidth="1"/>
    <col min="7926" max="7926" width="6.7265625" style="696" customWidth="1"/>
    <col min="7927" max="8167" width="9.1796875" style="696"/>
    <col min="8168" max="8168" width="3.26953125" style="696" customWidth="1"/>
    <col min="8169" max="8169" width="36" style="696" customWidth="1"/>
    <col min="8170" max="8170" width="8.26953125" style="696" customWidth="1"/>
    <col min="8171" max="8171" width="12.7265625" style="696" customWidth="1"/>
    <col min="8172" max="8172" width="5.7265625" style="696" customWidth="1"/>
    <col min="8173" max="8173" width="7.453125" style="696" customWidth="1"/>
    <col min="8174" max="8174" width="7.26953125" style="696" customWidth="1"/>
    <col min="8175" max="8175" width="6.7265625" style="696" customWidth="1"/>
    <col min="8176" max="8176" width="6" style="696" customWidth="1"/>
    <col min="8177" max="8177" width="6.54296875" style="696" customWidth="1"/>
    <col min="8178" max="8178" width="5" style="696" customWidth="1"/>
    <col min="8179" max="8179" width="6" style="696" customWidth="1"/>
    <col min="8180" max="8180" width="6.54296875" style="696" customWidth="1"/>
    <col min="8181" max="8181" width="5" style="696" customWidth="1"/>
    <col min="8182" max="8182" width="6.7265625" style="696" customWidth="1"/>
    <col min="8183" max="8423" width="9.1796875" style="696"/>
    <col min="8424" max="8424" width="3.26953125" style="696" customWidth="1"/>
    <col min="8425" max="8425" width="36" style="696" customWidth="1"/>
    <col min="8426" max="8426" width="8.26953125" style="696" customWidth="1"/>
    <col min="8427" max="8427" width="12.7265625" style="696" customWidth="1"/>
    <col min="8428" max="8428" width="5.7265625" style="696" customWidth="1"/>
    <col min="8429" max="8429" width="7.453125" style="696" customWidth="1"/>
    <col min="8430" max="8430" width="7.26953125" style="696" customWidth="1"/>
    <col min="8431" max="8431" width="6.7265625" style="696" customWidth="1"/>
    <col min="8432" max="8432" width="6" style="696" customWidth="1"/>
    <col min="8433" max="8433" width="6.54296875" style="696" customWidth="1"/>
    <col min="8434" max="8434" width="5" style="696" customWidth="1"/>
    <col min="8435" max="8435" width="6" style="696" customWidth="1"/>
    <col min="8436" max="8436" width="6.54296875" style="696" customWidth="1"/>
    <col min="8437" max="8437" width="5" style="696" customWidth="1"/>
    <col min="8438" max="8438" width="6.7265625" style="696" customWidth="1"/>
    <col min="8439" max="8679" width="9.1796875" style="696"/>
    <col min="8680" max="8680" width="3.26953125" style="696" customWidth="1"/>
    <col min="8681" max="8681" width="36" style="696" customWidth="1"/>
    <col min="8682" max="8682" width="8.26953125" style="696" customWidth="1"/>
    <col min="8683" max="8683" width="12.7265625" style="696" customWidth="1"/>
    <col min="8684" max="8684" width="5.7265625" style="696" customWidth="1"/>
    <col min="8685" max="8685" width="7.453125" style="696" customWidth="1"/>
    <col min="8686" max="8686" width="7.26953125" style="696" customWidth="1"/>
    <col min="8687" max="8687" width="6.7265625" style="696" customWidth="1"/>
    <col min="8688" max="8688" width="6" style="696" customWidth="1"/>
    <col min="8689" max="8689" width="6.54296875" style="696" customWidth="1"/>
    <col min="8690" max="8690" width="5" style="696" customWidth="1"/>
    <col min="8691" max="8691" width="6" style="696" customWidth="1"/>
    <col min="8692" max="8692" width="6.54296875" style="696" customWidth="1"/>
    <col min="8693" max="8693" width="5" style="696" customWidth="1"/>
    <col min="8694" max="8694" width="6.7265625" style="696" customWidth="1"/>
    <col min="8695" max="8935" width="9.1796875" style="696"/>
    <col min="8936" max="8936" width="3.26953125" style="696" customWidth="1"/>
    <col min="8937" max="8937" width="36" style="696" customWidth="1"/>
    <col min="8938" max="8938" width="8.26953125" style="696" customWidth="1"/>
    <col min="8939" max="8939" width="12.7265625" style="696" customWidth="1"/>
    <col min="8940" max="8940" width="5.7265625" style="696" customWidth="1"/>
    <col min="8941" max="8941" width="7.453125" style="696" customWidth="1"/>
    <col min="8942" max="8942" width="7.26953125" style="696" customWidth="1"/>
    <col min="8943" max="8943" width="6.7265625" style="696" customWidth="1"/>
    <col min="8944" max="8944" width="6" style="696" customWidth="1"/>
    <col min="8945" max="8945" width="6.54296875" style="696" customWidth="1"/>
    <col min="8946" max="8946" width="5" style="696" customWidth="1"/>
    <col min="8947" max="8947" width="6" style="696" customWidth="1"/>
    <col min="8948" max="8948" width="6.54296875" style="696" customWidth="1"/>
    <col min="8949" max="8949" width="5" style="696" customWidth="1"/>
    <col min="8950" max="8950" width="6.7265625" style="696" customWidth="1"/>
    <col min="8951" max="9191" width="9.1796875" style="696"/>
    <col min="9192" max="9192" width="3.26953125" style="696" customWidth="1"/>
    <col min="9193" max="9193" width="36" style="696" customWidth="1"/>
    <col min="9194" max="9194" width="8.26953125" style="696" customWidth="1"/>
    <col min="9195" max="9195" width="12.7265625" style="696" customWidth="1"/>
    <col min="9196" max="9196" width="5.7265625" style="696" customWidth="1"/>
    <col min="9197" max="9197" width="7.453125" style="696" customWidth="1"/>
    <col min="9198" max="9198" width="7.26953125" style="696" customWidth="1"/>
    <col min="9199" max="9199" width="6.7265625" style="696" customWidth="1"/>
    <col min="9200" max="9200" width="6" style="696" customWidth="1"/>
    <col min="9201" max="9201" width="6.54296875" style="696" customWidth="1"/>
    <col min="9202" max="9202" width="5" style="696" customWidth="1"/>
    <col min="9203" max="9203" width="6" style="696" customWidth="1"/>
    <col min="9204" max="9204" width="6.54296875" style="696" customWidth="1"/>
    <col min="9205" max="9205" width="5" style="696" customWidth="1"/>
    <col min="9206" max="9206" width="6.7265625" style="696" customWidth="1"/>
    <col min="9207" max="9447" width="9.1796875" style="696"/>
    <col min="9448" max="9448" width="3.26953125" style="696" customWidth="1"/>
    <col min="9449" max="9449" width="36" style="696" customWidth="1"/>
    <col min="9450" max="9450" width="8.26953125" style="696" customWidth="1"/>
    <col min="9451" max="9451" width="12.7265625" style="696" customWidth="1"/>
    <col min="9452" max="9452" width="5.7265625" style="696" customWidth="1"/>
    <col min="9453" max="9453" width="7.453125" style="696" customWidth="1"/>
    <col min="9454" max="9454" width="7.26953125" style="696" customWidth="1"/>
    <col min="9455" max="9455" width="6.7265625" style="696" customWidth="1"/>
    <col min="9456" max="9456" width="6" style="696" customWidth="1"/>
    <col min="9457" max="9457" width="6.54296875" style="696" customWidth="1"/>
    <col min="9458" max="9458" width="5" style="696" customWidth="1"/>
    <col min="9459" max="9459" width="6" style="696" customWidth="1"/>
    <col min="9460" max="9460" width="6.54296875" style="696" customWidth="1"/>
    <col min="9461" max="9461" width="5" style="696" customWidth="1"/>
    <col min="9462" max="9462" width="6.7265625" style="696" customWidth="1"/>
    <col min="9463" max="9703" width="9.1796875" style="696"/>
    <col min="9704" max="9704" width="3.26953125" style="696" customWidth="1"/>
    <col min="9705" max="9705" width="36" style="696" customWidth="1"/>
    <col min="9706" max="9706" width="8.26953125" style="696" customWidth="1"/>
    <col min="9707" max="9707" width="12.7265625" style="696" customWidth="1"/>
    <col min="9708" max="9708" width="5.7265625" style="696" customWidth="1"/>
    <col min="9709" max="9709" width="7.453125" style="696" customWidth="1"/>
    <col min="9710" max="9710" width="7.26953125" style="696" customWidth="1"/>
    <col min="9711" max="9711" width="6.7265625" style="696" customWidth="1"/>
    <col min="9712" max="9712" width="6" style="696" customWidth="1"/>
    <col min="9713" max="9713" width="6.54296875" style="696" customWidth="1"/>
    <col min="9714" max="9714" width="5" style="696" customWidth="1"/>
    <col min="9715" max="9715" width="6" style="696" customWidth="1"/>
    <col min="9716" max="9716" width="6.54296875" style="696" customWidth="1"/>
    <col min="9717" max="9717" width="5" style="696" customWidth="1"/>
    <col min="9718" max="9718" width="6.7265625" style="696" customWidth="1"/>
    <col min="9719" max="9959" width="9.1796875" style="696"/>
    <col min="9960" max="9960" width="3.26953125" style="696" customWidth="1"/>
    <col min="9961" max="9961" width="36" style="696" customWidth="1"/>
    <col min="9962" max="9962" width="8.26953125" style="696" customWidth="1"/>
    <col min="9963" max="9963" width="12.7265625" style="696" customWidth="1"/>
    <col min="9964" max="9964" width="5.7265625" style="696" customWidth="1"/>
    <col min="9965" max="9965" width="7.453125" style="696" customWidth="1"/>
    <col min="9966" max="9966" width="7.26953125" style="696" customWidth="1"/>
    <col min="9967" max="9967" width="6.7265625" style="696" customWidth="1"/>
    <col min="9968" max="9968" width="6" style="696" customWidth="1"/>
    <col min="9969" max="9969" width="6.54296875" style="696" customWidth="1"/>
    <col min="9970" max="9970" width="5" style="696" customWidth="1"/>
    <col min="9971" max="9971" width="6" style="696" customWidth="1"/>
    <col min="9972" max="9972" width="6.54296875" style="696" customWidth="1"/>
    <col min="9973" max="9973" width="5" style="696" customWidth="1"/>
    <col min="9974" max="9974" width="6.7265625" style="696" customWidth="1"/>
    <col min="9975" max="10215" width="9.1796875" style="696"/>
    <col min="10216" max="10216" width="3.26953125" style="696" customWidth="1"/>
    <col min="10217" max="10217" width="36" style="696" customWidth="1"/>
    <col min="10218" max="10218" width="8.26953125" style="696" customWidth="1"/>
    <col min="10219" max="10219" width="12.7265625" style="696" customWidth="1"/>
    <col min="10220" max="10220" width="5.7265625" style="696" customWidth="1"/>
    <col min="10221" max="10221" width="7.453125" style="696" customWidth="1"/>
    <col min="10222" max="10222" width="7.26953125" style="696" customWidth="1"/>
    <col min="10223" max="10223" width="6.7265625" style="696" customWidth="1"/>
    <col min="10224" max="10224" width="6" style="696" customWidth="1"/>
    <col min="10225" max="10225" width="6.54296875" style="696" customWidth="1"/>
    <col min="10226" max="10226" width="5" style="696" customWidth="1"/>
    <col min="10227" max="10227" width="6" style="696" customWidth="1"/>
    <col min="10228" max="10228" width="6.54296875" style="696" customWidth="1"/>
    <col min="10229" max="10229" width="5" style="696" customWidth="1"/>
    <col min="10230" max="10230" width="6.7265625" style="696" customWidth="1"/>
    <col min="10231" max="10471" width="9.1796875" style="696"/>
    <col min="10472" max="10472" width="3.26953125" style="696" customWidth="1"/>
    <col min="10473" max="10473" width="36" style="696" customWidth="1"/>
    <col min="10474" max="10474" width="8.26953125" style="696" customWidth="1"/>
    <col min="10475" max="10475" width="12.7265625" style="696" customWidth="1"/>
    <col min="10476" max="10476" width="5.7265625" style="696" customWidth="1"/>
    <col min="10477" max="10477" width="7.453125" style="696" customWidth="1"/>
    <col min="10478" max="10478" width="7.26953125" style="696" customWidth="1"/>
    <col min="10479" max="10479" width="6.7265625" style="696" customWidth="1"/>
    <col min="10480" max="10480" width="6" style="696" customWidth="1"/>
    <col min="10481" max="10481" width="6.54296875" style="696" customWidth="1"/>
    <col min="10482" max="10482" width="5" style="696" customWidth="1"/>
    <col min="10483" max="10483" width="6" style="696" customWidth="1"/>
    <col min="10484" max="10484" width="6.54296875" style="696" customWidth="1"/>
    <col min="10485" max="10485" width="5" style="696" customWidth="1"/>
    <col min="10486" max="10486" width="6.7265625" style="696" customWidth="1"/>
    <col min="10487" max="10727" width="9.1796875" style="696"/>
    <col min="10728" max="10728" width="3.26953125" style="696" customWidth="1"/>
    <col min="10729" max="10729" width="36" style="696" customWidth="1"/>
    <col min="10730" max="10730" width="8.26953125" style="696" customWidth="1"/>
    <col min="10731" max="10731" width="12.7265625" style="696" customWidth="1"/>
    <col min="10732" max="10732" width="5.7265625" style="696" customWidth="1"/>
    <col min="10733" max="10733" width="7.453125" style="696" customWidth="1"/>
    <col min="10734" max="10734" width="7.26953125" style="696" customWidth="1"/>
    <col min="10735" max="10735" width="6.7265625" style="696" customWidth="1"/>
    <col min="10736" max="10736" width="6" style="696" customWidth="1"/>
    <col min="10737" max="10737" width="6.54296875" style="696" customWidth="1"/>
    <col min="10738" max="10738" width="5" style="696" customWidth="1"/>
    <col min="10739" max="10739" width="6" style="696" customWidth="1"/>
    <col min="10740" max="10740" width="6.54296875" style="696" customWidth="1"/>
    <col min="10741" max="10741" width="5" style="696" customWidth="1"/>
    <col min="10742" max="10742" width="6.7265625" style="696" customWidth="1"/>
    <col min="10743" max="10983" width="9.1796875" style="696"/>
    <col min="10984" max="10984" width="3.26953125" style="696" customWidth="1"/>
    <col min="10985" max="10985" width="36" style="696" customWidth="1"/>
    <col min="10986" max="10986" width="8.26953125" style="696" customWidth="1"/>
    <col min="10987" max="10987" width="12.7265625" style="696" customWidth="1"/>
    <col min="10988" max="10988" width="5.7265625" style="696" customWidth="1"/>
    <col min="10989" max="10989" width="7.453125" style="696" customWidth="1"/>
    <col min="10990" max="10990" width="7.26953125" style="696" customWidth="1"/>
    <col min="10991" max="10991" width="6.7265625" style="696" customWidth="1"/>
    <col min="10992" max="10992" width="6" style="696" customWidth="1"/>
    <col min="10993" max="10993" width="6.54296875" style="696" customWidth="1"/>
    <col min="10994" max="10994" width="5" style="696" customWidth="1"/>
    <col min="10995" max="10995" width="6" style="696" customWidth="1"/>
    <col min="10996" max="10996" width="6.54296875" style="696" customWidth="1"/>
    <col min="10997" max="10997" width="5" style="696" customWidth="1"/>
    <col min="10998" max="10998" width="6.7265625" style="696" customWidth="1"/>
    <col min="10999" max="11239" width="9.1796875" style="696"/>
    <col min="11240" max="11240" width="3.26953125" style="696" customWidth="1"/>
    <col min="11241" max="11241" width="36" style="696" customWidth="1"/>
    <col min="11242" max="11242" width="8.26953125" style="696" customWidth="1"/>
    <col min="11243" max="11243" width="12.7265625" style="696" customWidth="1"/>
    <col min="11244" max="11244" width="5.7265625" style="696" customWidth="1"/>
    <col min="11245" max="11245" width="7.453125" style="696" customWidth="1"/>
    <col min="11246" max="11246" width="7.26953125" style="696" customWidth="1"/>
    <col min="11247" max="11247" width="6.7265625" style="696" customWidth="1"/>
    <col min="11248" max="11248" width="6" style="696" customWidth="1"/>
    <col min="11249" max="11249" width="6.54296875" style="696" customWidth="1"/>
    <col min="11250" max="11250" width="5" style="696" customWidth="1"/>
    <col min="11251" max="11251" width="6" style="696" customWidth="1"/>
    <col min="11252" max="11252" width="6.54296875" style="696" customWidth="1"/>
    <col min="11253" max="11253" width="5" style="696" customWidth="1"/>
    <col min="11254" max="11254" width="6.7265625" style="696" customWidth="1"/>
    <col min="11255" max="11495" width="9.1796875" style="696"/>
    <col min="11496" max="11496" width="3.26953125" style="696" customWidth="1"/>
    <col min="11497" max="11497" width="36" style="696" customWidth="1"/>
    <col min="11498" max="11498" width="8.26953125" style="696" customWidth="1"/>
    <col min="11499" max="11499" width="12.7265625" style="696" customWidth="1"/>
    <col min="11500" max="11500" width="5.7265625" style="696" customWidth="1"/>
    <col min="11501" max="11501" width="7.453125" style="696" customWidth="1"/>
    <col min="11502" max="11502" width="7.26953125" style="696" customWidth="1"/>
    <col min="11503" max="11503" width="6.7265625" style="696" customWidth="1"/>
    <col min="11504" max="11504" width="6" style="696" customWidth="1"/>
    <col min="11505" max="11505" width="6.54296875" style="696" customWidth="1"/>
    <col min="11506" max="11506" width="5" style="696" customWidth="1"/>
    <col min="11507" max="11507" width="6" style="696" customWidth="1"/>
    <col min="11508" max="11508" width="6.54296875" style="696" customWidth="1"/>
    <col min="11509" max="11509" width="5" style="696" customWidth="1"/>
    <col min="11510" max="11510" width="6.7265625" style="696" customWidth="1"/>
    <col min="11511" max="11751" width="9.1796875" style="696"/>
    <col min="11752" max="11752" width="3.26953125" style="696" customWidth="1"/>
    <col min="11753" max="11753" width="36" style="696" customWidth="1"/>
    <col min="11754" max="11754" width="8.26953125" style="696" customWidth="1"/>
    <col min="11755" max="11755" width="12.7265625" style="696" customWidth="1"/>
    <col min="11756" max="11756" width="5.7265625" style="696" customWidth="1"/>
    <col min="11757" max="11757" width="7.453125" style="696" customWidth="1"/>
    <col min="11758" max="11758" width="7.26953125" style="696" customWidth="1"/>
    <col min="11759" max="11759" width="6.7265625" style="696" customWidth="1"/>
    <col min="11760" max="11760" width="6" style="696" customWidth="1"/>
    <col min="11761" max="11761" width="6.54296875" style="696" customWidth="1"/>
    <col min="11762" max="11762" width="5" style="696" customWidth="1"/>
    <col min="11763" max="11763" width="6" style="696" customWidth="1"/>
    <col min="11764" max="11764" width="6.54296875" style="696" customWidth="1"/>
    <col min="11765" max="11765" width="5" style="696" customWidth="1"/>
    <col min="11766" max="11766" width="6.7265625" style="696" customWidth="1"/>
    <col min="11767" max="12007" width="9.1796875" style="696"/>
    <col min="12008" max="12008" width="3.26953125" style="696" customWidth="1"/>
    <col min="12009" max="12009" width="36" style="696" customWidth="1"/>
    <col min="12010" max="12010" width="8.26953125" style="696" customWidth="1"/>
    <col min="12011" max="12011" width="12.7265625" style="696" customWidth="1"/>
    <col min="12012" max="12012" width="5.7265625" style="696" customWidth="1"/>
    <col min="12013" max="12013" width="7.453125" style="696" customWidth="1"/>
    <col min="12014" max="12014" width="7.26953125" style="696" customWidth="1"/>
    <col min="12015" max="12015" width="6.7265625" style="696" customWidth="1"/>
    <col min="12016" max="12016" width="6" style="696" customWidth="1"/>
    <col min="12017" max="12017" width="6.54296875" style="696" customWidth="1"/>
    <col min="12018" max="12018" width="5" style="696" customWidth="1"/>
    <col min="12019" max="12019" width="6" style="696" customWidth="1"/>
    <col min="12020" max="12020" width="6.54296875" style="696" customWidth="1"/>
    <col min="12021" max="12021" width="5" style="696" customWidth="1"/>
    <col min="12022" max="12022" width="6.7265625" style="696" customWidth="1"/>
    <col min="12023" max="12263" width="9.1796875" style="696"/>
    <col min="12264" max="12264" width="3.26953125" style="696" customWidth="1"/>
    <col min="12265" max="12265" width="36" style="696" customWidth="1"/>
    <col min="12266" max="12266" width="8.26953125" style="696" customWidth="1"/>
    <col min="12267" max="12267" width="12.7265625" style="696" customWidth="1"/>
    <col min="12268" max="12268" width="5.7265625" style="696" customWidth="1"/>
    <col min="12269" max="12269" width="7.453125" style="696" customWidth="1"/>
    <col min="12270" max="12270" width="7.26953125" style="696" customWidth="1"/>
    <col min="12271" max="12271" width="6.7265625" style="696" customWidth="1"/>
    <col min="12272" max="12272" width="6" style="696" customWidth="1"/>
    <col min="12273" max="12273" width="6.54296875" style="696" customWidth="1"/>
    <col min="12274" max="12274" width="5" style="696" customWidth="1"/>
    <col min="12275" max="12275" width="6" style="696" customWidth="1"/>
    <col min="12276" max="12276" width="6.54296875" style="696" customWidth="1"/>
    <col min="12277" max="12277" width="5" style="696" customWidth="1"/>
    <col min="12278" max="12278" width="6.7265625" style="696" customWidth="1"/>
    <col min="12279" max="12519" width="9.1796875" style="696"/>
    <col min="12520" max="12520" width="3.26953125" style="696" customWidth="1"/>
    <col min="12521" max="12521" width="36" style="696" customWidth="1"/>
    <col min="12522" max="12522" width="8.26953125" style="696" customWidth="1"/>
    <col min="12523" max="12523" width="12.7265625" style="696" customWidth="1"/>
    <col min="12524" max="12524" width="5.7265625" style="696" customWidth="1"/>
    <col min="12525" max="12525" width="7.453125" style="696" customWidth="1"/>
    <col min="12526" max="12526" width="7.26953125" style="696" customWidth="1"/>
    <col min="12527" max="12527" width="6.7265625" style="696" customWidth="1"/>
    <col min="12528" max="12528" width="6" style="696" customWidth="1"/>
    <col min="12529" max="12529" width="6.54296875" style="696" customWidth="1"/>
    <col min="12530" max="12530" width="5" style="696" customWidth="1"/>
    <col min="12531" max="12531" width="6" style="696" customWidth="1"/>
    <col min="12532" max="12532" width="6.54296875" style="696" customWidth="1"/>
    <col min="12533" max="12533" width="5" style="696" customWidth="1"/>
    <col min="12534" max="12534" width="6.7265625" style="696" customWidth="1"/>
    <col min="12535" max="12775" width="9.1796875" style="696"/>
    <col min="12776" max="12776" width="3.26953125" style="696" customWidth="1"/>
    <col min="12777" max="12777" width="36" style="696" customWidth="1"/>
    <col min="12778" max="12778" width="8.26953125" style="696" customWidth="1"/>
    <col min="12779" max="12779" width="12.7265625" style="696" customWidth="1"/>
    <col min="12780" max="12780" width="5.7265625" style="696" customWidth="1"/>
    <col min="12781" max="12781" width="7.453125" style="696" customWidth="1"/>
    <col min="12782" max="12782" width="7.26953125" style="696" customWidth="1"/>
    <col min="12783" max="12783" width="6.7265625" style="696" customWidth="1"/>
    <col min="12784" max="12784" width="6" style="696" customWidth="1"/>
    <col min="12785" max="12785" width="6.54296875" style="696" customWidth="1"/>
    <col min="12786" max="12786" width="5" style="696" customWidth="1"/>
    <col min="12787" max="12787" width="6" style="696" customWidth="1"/>
    <col min="12788" max="12788" width="6.54296875" style="696" customWidth="1"/>
    <col min="12789" max="12789" width="5" style="696" customWidth="1"/>
    <col min="12790" max="12790" width="6.7265625" style="696" customWidth="1"/>
    <col min="12791" max="13031" width="9.1796875" style="696"/>
    <col min="13032" max="13032" width="3.26953125" style="696" customWidth="1"/>
    <col min="13033" max="13033" width="36" style="696" customWidth="1"/>
    <col min="13034" max="13034" width="8.26953125" style="696" customWidth="1"/>
    <col min="13035" max="13035" width="12.7265625" style="696" customWidth="1"/>
    <col min="13036" max="13036" width="5.7265625" style="696" customWidth="1"/>
    <col min="13037" max="13037" width="7.453125" style="696" customWidth="1"/>
    <col min="13038" max="13038" width="7.26953125" style="696" customWidth="1"/>
    <col min="13039" max="13039" width="6.7265625" style="696" customWidth="1"/>
    <col min="13040" max="13040" width="6" style="696" customWidth="1"/>
    <col min="13041" max="13041" width="6.54296875" style="696" customWidth="1"/>
    <col min="13042" max="13042" width="5" style="696" customWidth="1"/>
    <col min="13043" max="13043" width="6" style="696" customWidth="1"/>
    <col min="13044" max="13044" width="6.54296875" style="696" customWidth="1"/>
    <col min="13045" max="13045" width="5" style="696" customWidth="1"/>
    <col min="13046" max="13046" width="6.7265625" style="696" customWidth="1"/>
    <col min="13047" max="13287" width="9.1796875" style="696"/>
    <col min="13288" max="13288" width="3.26953125" style="696" customWidth="1"/>
    <col min="13289" max="13289" width="36" style="696" customWidth="1"/>
    <col min="13290" max="13290" width="8.26953125" style="696" customWidth="1"/>
    <col min="13291" max="13291" width="12.7265625" style="696" customWidth="1"/>
    <col min="13292" max="13292" width="5.7265625" style="696" customWidth="1"/>
    <col min="13293" max="13293" width="7.453125" style="696" customWidth="1"/>
    <col min="13294" max="13294" width="7.26953125" style="696" customWidth="1"/>
    <col min="13295" max="13295" width="6.7265625" style="696" customWidth="1"/>
    <col min="13296" max="13296" width="6" style="696" customWidth="1"/>
    <col min="13297" max="13297" width="6.54296875" style="696" customWidth="1"/>
    <col min="13298" max="13298" width="5" style="696" customWidth="1"/>
    <col min="13299" max="13299" width="6" style="696" customWidth="1"/>
    <col min="13300" max="13300" width="6.54296875" style="696" customWidth="1"/>
    <col min="13301" max="13301" width="5" style="696" customWidth="1"/>
    <col min="13302" max="13302" width="6.7265625" style="696" customWidth="1"/>
    <col min="13303" max="13543" width="9.1796875" style="696"/>
    <col min="13544" max="13544" width="3.26953125" style="696" customWidth="1"/>
    <col min="13545" max="13545" width="36" style="696" customWidth="1"/>
    <col min="13546" max="13546" width="8.26953125" style="696" customWidth="1"/>
    <col min="13547" max="13547" width="12.7265625" style="696" customWidth="1"/>
    <col min="13548" max="13548" width="5.7265625" style="696" customWidth="1"/>
    <col min="13549" max="13549" width="7.453125" style="696" customWidth="1"/>
    <col min="13550" max="13550" width="7.26953125" style="696" customWidth="1"/>
    <col min="13551" max="13551" width="6.7265625" style="696" customWidth="1"/>
    <col min="13552" max="13552" width="6" style="696" customWidth="1"/>
    <col min="13553" max="13553" width="6.54296875" style="696" customWidth="1"/>
    <col min="13554" max="13554" width="5" style="696" customWidth="1"/>
    <col min="13555" max="13555" width="6" style="696" customWidth="1"/>
    <col min="13556" max="13556" width="6.54296875" style="696" customWidth="1"/>
    <col min="13557" max="13557" width="5" style="696" customWidth="1"/>
    <col min="13558" max="13558" width="6.7265625" style="696" customWidth="1"/>
    <col min="13559" max="13799" width="9.1796875" style="696"/>
    <col min="13800" max="13800" width="3.26953125" style="696" customWidth="1"/>
    <col min="13801" max="13801" width="36" style="696" customWidth="1"/>
    <col min="13802" max="13802" width="8.26953125" style="696" customWidth="1"/>
    <col min="13803" max="13803" width="12.7265625" style="696" customWidth="1"/>
    <col min="13804" max="13804" width="5.7265625" style="696" customWidth="1"/>
    <col min="13805" max="13805" width="7.453125" style="696" customWidth="1"/>
    <col min="13806" max="13806" width="7.26953125" style="696" customWidth="1"/>
    <col min="13807" max="13807" width="6.7265625" style="696" customWidth="1"/>
    <col min="13808" max="13808" width="6" style="696" customWidth="1"/>
    <col min="13809" max="13809" width="6.54296875" style="696" customWidth="1"/>
    <col min="13810" max="13810" width="5" style="696" customWidth="1"/>
    <col min="13811" max="13811" width="6" style="696" customWidth="1"/>
    <col min="13812" max="13812" width="6.54296875" style="696" customWidth="1"/>
    <col min="13813" max="13813" width="5" style="696" customWidth="1"/>
    <col min="13814" max="13814" width="6.7265625" style="696" customWidth="1"/>
    <col min="13815" max="14055" width="9.1796875" style="696"/>
    <col min="14056" max="14056" width="3.26953125" style="696" customWidth="1"/>
    <col min="14057" max="14057" width="36" style="696" customWidth="1"/>
    <col min="14058" max="14058" width="8.26953125" style="696" customWidth="1"/>
    <col min="14059" max="14059" width="12.7265625" style="696" customWidth="1"/>
    <col min="14060" max="14060" width="5.7265625" style="696" customWidth="1"/>
    <col min="14061" max="14061" width="7.453125" style="696" customWidth="1"/>
    <col min="14062" max="14062" width="7.26953125" style="696" customWidth="1"/>
    <col min="14063" max="14063" width="6.7265625" style="696" customWidth="1"/>
    <col min="14064" max="14064" width="6" style="696" customWidth="1"/>
    <col min="14065" max="14065" width="6.54296875" style="696" customWidth="1"/>
    <col min="14066" max="14066" width="5" style="696" customWidth="1"/>
    <col min="14067" max="14067" width="6" style="696" customWidth="1"/>
    <col min="14068" max="14068" width="6.54296875" style="696" customWidth="1"/>
    <col min="14069" max="14069" width="5" style="696" customWidth="1"/>
    <col min="14070" max="14070" width="6.7265625" style="696" customWidth="1"/>
    <col min="14071" max="14311" width="9.1796875" style="696"/>
    <col min="14312" max="14312" width="3.26953125" style="696" customWidth="1"/>
    <col min="14313" max="14313" width="36" style="696" customWidth="1"/>
    <col min="14314" max="14314" width="8.26953125" style="696" customWidth="1"/>
    <col min="14315" max="14315" width="12.7265625" style="696" customWidth="1"/>
    <col min="14316" max="14316" width="5.7265625" style="696" customWidth="1"/>
    <col min="14317" max="14317" width="7.453125" style="696" customWidth="1"/>
    <col min="14318" max="14318" width="7.26953125" style="696" customWidth="1"/>
    <col min="14319" max="14319" width="6.7265625" style="696" customWidth="1"/>
    <col min="14320" max="14320" width="6" style="696" customWidth="1"/>
    <col min="14321" max="14321" width="6.54296875" style="696" customWidth="1"/>
    <col min="14322" max="14322" width="5" style="696" customWidth="1"/>
    <col min="14323" max="14323" width="6" style="696" customWidth="1"/>
    <col min="14324" max="14324" width="6.54296875" style="696" customWidth="1"/>
    <col min="14325" max="14325" width="5" style="696" customWidth="1"/>
    <col min="14326" max="14326" width="6.7265625" style="696" customWidth="1"/>
    <col min="14327" max="14567" width="9.1796875" style="696"/>
    <col min="14568" max="14568" width="3.26953125" style="696" customWidth="1"/>
    <col min="14569" max="14569" width="36" style="696" customWidth="1"/>
    <col min="14570" max="14570" width="8.26953125" style="696" customWidth="1"/>
    <col min="14571" max="14571" width="12.7265625" style="696" customWidth="1"/>
    <col min="14572" max="14572" width="5.7265625" style="696" customWidth="1"/>
    <col min="14573" max="14573" width="7.453125" style="696" customWidth="1"/>
    <col min="14574" max="14574" width="7.26953125" style="696" customWidth="1"/>
    <col min="14575" max="14575" width="6.7265625" style="696" customWidth="1"/>
    <col min="14576" max="14576" width="6" style="696" customWidth="1"/>
    <col min="14577" max="14577" width="6.54296875" style="696" customWidth="1"/>
    <col min="14578" max="14578" width="5" style="696" customWidth="1"/>
    <col min="14579" max="14579" width="6" style="696" customWidth="1"/>
    <col min="14580" max="14580" width="6.54296875" style="696" customWidth="1"/>
    <col min="14581" max="14581" width="5" style="696" customWidth="1"/>
    <col min="14582" max="14582" width="6.7265625" style="696" customWidth="1"/>
    <col min="14583" max="14823" width="9.1796875" style="696"/>
    <col min="14824" max="14824" width="3.26953125" style="696" customWidth="1"/>
    <col min="14825" max="14825" width="36" style="696" customWidth="1"/>
    <col min="14826" max="14826" width="8.26953125" style="696" customWidth="1"/>
    <col min="14827" max="14827" width="12.7265625" style="696" customWidth="1"/>
    <col min="14828" max="14828" width="5.7265625" style="696" customWidth="1"/>
    <col min="14829" max="14829" width="7.453125" style="696" customWidth="1"/>
    <col min="14830" max="14830" width="7.26953125" style="696" customWidth="1"/>
    <col min="14831" max="14831" width="6.7265625" style="696" customWidth="1"/>
    <col min="14832" max="14832" width="6" style="696" customWidth="1"/>
    <col min="14833" max="14833" width="6.54296875" style="696" customWidth="1"/>
    <col min="14834" max="14834" width="5" style="696" customWidth="1"/>
    <col min="14835" max="14835" width="6" style="696" customWidth="1"/>
    <col min="14836" max="14836" width="6.54296875" style="696" customWidth="1"/>
    <col min="14837" max="14837" width="5" style="696" customWidth="1"/>
    <col min="14838" max="14838" width="6.7265625" style="696" customWidth="1"/>
    <col min="14839" max="15079" width="9.1796875" style="696"/>
    <col min="15080" max="15080" width="3.26953125" style="696" customWidth="1"/>
    <col min="15081" max="15081" width="36" style="696" customWidth="1"/>
    <col min="15082" max="15082" width="8.26953125" style="696" customWidth="1"/>
    <col min="15083" max="15083" width="12.7265625" style="696" customWidth="1"/>
    <col min="15084" max="15084" width="5.7265625" style="696" customWidth="1"/>
    <col min="15085" max="15085" width="7.453125" style="696" customWidth="1"/>
    <col min="15086" max="15086" width="7.26953125" style="696" customWidth="1"/>
    <col min="15087" max="15087" width="6.7265625" style="696" customWidth="1"/>
    <col min="15088" max="15088" width="6" style="696" customWidth="1"/>
    <col min="15089" max="15089" width="6.54296875" style="696" customWidth="1"/>
    <col min="15090" max="15090" width="5" style="696" customWidth="1"/>
    <col min="15091" max="15091" width="6" style="696" customWidth="1"/>
    <col min="15092" max="15092" width="6.54296875" style="696" customWidth="1"/>
    <col min="15093" max="15093" width="5" style="696" customWidth="1"/>
    <col min="15094" max="15094" width="6.7265625" style="696" customWidth="1"/>
    <col min="15095" max="15335" width="9.1796875" style="696"/>
    <col min="15336" max="15336" width="3.26953125" style="696" customWidth="1"/>
    <col min="15337" max="15337" width="36" style="696" customWidth="1"/>
    <col min="15338" max="15338" width="8.26953125" style="696" customWidth="1"/>
    <col min="15339" max="15339" width="12.7265625" style="696" customWidth="1"/>
    <col min="15340" max="15340" width="5.7265625" style="696" customWidth="1"/>
    <col min="15341" max="15341" width="7.453125" style="696" customWidth="1"/>
    <col min="15342" max="15342" width="7.26953125" style="696" customWidth="1"/>
    <col min="15343" max="15343" width="6.7265625" style="696" customWidth="1"/>
    <col min="15344" max="15344" width="6" style="696" customWidth="1"/>
    <col min="15345" max="15345" width="6.54296875" style="696" customWidth="1"/>
    <col min="15346" max="15346" width="5" style="696" customWidth="1"/>
    <col min="15347" max="15347" width="6" style="696" customWidth="1"/>
    <col min="15348" max="15348" width="6.54296875" style="696" customWidth="1"/>
    <col min="15349" max="15349" width="5" style="696" customWidth="1"/>
    <col min="15350" max="15350" width="6.7265625" style="696" customWidth="1"/>
    <col min="15351" max="15591" width="9.1796875" style="696"/>
    <col min="15592" max="15592" width="3.26953125" style="696" customWidth="1"/>
    <col min="15593" max="15593" width="36" style="696" customWidth="1"/>
    <col min="15594" max="15594" width="8.26953125" style="696" customWidth="1"/>
    <col min="15595" max="15595" width="12.7265625" style="696" customWidth="1"/>
    <col min="15596" max="15596" width="5.7265625" style="696" customWidth="1"/>
    <col min="15597" max="15597" width="7.453125" style="696" customWidth="1"/>
    <col min="15598" max="15598" width="7.26953125" style="696" customWidth="1"/>
    <col min="15599" max="15599" width="6.7265625" style="696" customWidth="1"/>
    <col min="15600" max="15600" width="6" style="696" customWidth="1"/>
    <col min="15601" max="15601" width="6.54296875" style="696" customWidth="1"/>
    <col min="15602" max="15602" width="5" style="696" customWidth="1"/>
    <col min="15603" max="15603" width="6" style="696" customWidth="1"/>
    <col min="15604" max="15604" width="6.54296875" style="696" customWidth="1"/>
    <col min="15605" max="15605" width="5" style="696" customWidth="1"/>
    <col min="15606" max="15606" width="6.7265625" style="696" customWidth="1"/>
    <col min="15607" max="15847" width="9.1796875" style="696"/>
    <col min="15848" max="15848" width="3.26953125" style="696" customWidth="1"/>
    <col min="15849" max="15849" width="36" style="696" customWidth="1"/>
    <col min="15850" max="15850" width="8.26953125" style="696" customWidth="1"/>
    <col min="15851" max="15851" width="12.7265625" style="696" customWidth="1"/>
    <col min="15852" max="15852" width="5.7265625" style="696" customWidth="1"/>
    <col min="15853" max="15853" width="7.453125" style="696" customWidth="1"/>
    <col min="15854" max="15854" width="7.26953125" style="696" customWidth="1"/>
    <col min="15855" max="15855" width="6.7265625" style="696" customWidth="1"/>
    <col min="15856" max="15856" width="6" style="696" customWidth="1"/>
    <col min="15857" max="15857" width="6.54296875" style="696" customWidth="1"/>
    <col min="15858" max="15858" width="5" style="696" customWidth="1"/>
    <col min="15859" max="15859" width="6" style="696" customWidth="1"/>
    <col min="15860" max="15860" width="6.54296875" style="696" customWidth="1"/>
    <col min="15861" max="15861" width="5" style="696" customWidth="1"/>
    <col min="15862" max="15862" width="6.7265625" style="696" customWidth="1"/>
    <col min="15863" max="16103" width="9.1796875" style="696"/>
    <col min="16104" max="16104" width="3.26953125" style="696" customWidth="1"/>
    <col min="16105" max="16105" width="36" style="696" customWidth="1"/>
    <col min="16106" max="16106" width="8.26953125" style="696" customWidth="1"/>
    <col min="16107" max="16107" width="12.7265625" style="696" customWidth="1"/>
    <col min="16108" max="16108" width="5.7265625" style="696" customWidth="1"/>
    <col min="16109" max="16109" width="7.453125" style="696" customWidth="1"/>
    <col min="16110" max="16110" width="7.26953125" style="696" customWidth="1"/>
    <col min="16111" max="16111" width="6.7265625" style="696" customWidth="1"/>
    <col min="16112" max="16112" width="6" style="696" customWidth="1"/>
    <col min="16113" max="16113" width="6.54296875" style="696" customWidth="1"/>
    <col min="16114" max="16114" width="5" style="696" customWidth="1"/>
    <col min="16115" max="16115" width="6" style="696" customWidth="1"/>
    <col min="16116" max="16116" width="6.54296875" style="696" customWidth="1"/>
    <col min="16117" max="16117" width="5" style="696" customWidth="1"/>
    <col min="16118" max="16118" width="6.7265625" style="696" customWidth="1"/>
    <col min="16119" max="16384" width="9.1796875" style="696"/>
  </cols>
  <sheetData>
    <row r="1" spans="1:16">
      <c r="A1" s="3099" t="s">
        <v>2038</v>
      </c>
      <c r="B1" s="3099"/>
    </row>
    <row r="2" spans="1:16">
      <c r="A2" s="3100"/>
      <c r="B2" s="3100"/>
      <c r="C2" s="3100"/>
      <c r="D2" s="3100"/>
      <c r="E2" s="3100"/>
      <c r="F2" s="3100"/>
      <c r="G2" s="3100"/>
      <c r="H2" s="3100"/>
      <c r="I2" s="3100"/>
      <c r="J2" s="3100"/>
      <c r="K2" s="3100"/>
      <c r="L2" s="3100"/>
      <c r="M2" s="3100"/>
      <c r="N2" s="3100"/>
    </row>
    <row r="3" spans="1:16">
      <c r="A3" s="1749" t="s">
        <v>304</v>
      </c>
      <c r="B3" s="1749" t="s">
        <v>2039</v>
      </c>
      <c r="C3" s="1749"/>
      <c r="D3" s="1750"/>
      <c r="E3" s="1751"/>
      <c r="F3" s="1749"/>
      <c r="G3" s="1749"/>
      <c r="H3" s="1749"/>
      <c r="I3" s="1749"/>
      <c r="J3" s="1749"/>
      <c r="K3" s="1749"/>
      <c r="L3" s="1749"/>
      <c r="M3" s="1749"/>
      <c r="N3" s="1749"/>
    </row>
    <row r="5" spans="1:16" ht="6.75" customHeight="1">
      <c r="A5" s="3101" t="s">
        <v>2033</v>
      </c>
      <c r="B5" s="3101" t="s">
        <v>2040</v>
      </c>
      <c r="C5" s="3102"/>
      <c r="D5" s="3103"/>
      <c r="E5" s="3103"/>
      <c r="F5" s="3103"/>
      <c r="G5" s="3103"/>
      <c r="H5" s="3103"/>
      <c r="I5" s="3103" t="s">
        <v>545</v>
      </c>
      <c r="J5" s="3103"/>
      <c r="K5" s="3103"/>
      <c r="L5" s="3103"/>
      <c r="M5" s="3103"/>
      <c r="N5" s="3103"/>
    </row>
    <row r="6" spans="1:16" ht="8.25" customHeight="1">
      <c r="A6" s="3101"/>
      <c r="B6" s="3101"/>
      <c r="C6" s="3104"/>
      <c r="D6" s="3105"/>
      <c r="E6" s="3105"/>
      <c r="F6" s="3105"/>
      <c r="G6" s="3105"/>
      <c r="H6" s="3105"/>
      <c r="I6" s="3105"/>
      <c r="J6" s="3105"/>
      <c r="K6" s="3105"/>
      <c r="L6" s="3105"/>
      <c r="M6" s="3105"/>
      <c r="N6" s="3105"/>
    </row>
    <row r="7" spans="1:16" ht="1.5" customHeight="1">
      <c r="A7" s="3101"/>
      <c r="B7" s="3101"/>
      <c r="C7" s="1752"/>
      <c r="D7" s="1753"/>
      <c r="E7" s="1753"/>
      <c r="F7" s="1753"/>
      <c r="G7" s="1753"/>
      <c r="H7" s="1753"/>
      <c r="I7" s="1753"/>
      <c r="J7" s="1753"/>
      <c r="K7" s="1753"/>
      <c r="L7" s="1753"/>
      <c r="M7" s="1753"/>
      <c r="N7" s="1753"/>
    </row>
    <row r="8" spans="1:16" ht="43.5">
      <c r="A8" s="3101"/>
      <c r="B8" s="3101"/>
      <c r="C8" s="1754" t="s">
        <v>2041</v>
      </c>
      <c r="D8" s="1755" t="s">
        <v>2042</v>
      </c>
      <c r="E8" s="1754" t="s">
        <v>2043</v>
      </c>
      <c r="F8" s="1754" t="s">
        <v>2044</v>
      </c>
      <c r="G8" s="1754" t="s">
        <v>2045</v>
      </c>
      <c r="H8" s="1754" t="s">
        <v>2046</v>
      </c>
      <c r="I8" s="1754" t="s">
        <v>2047</v>
      </c>
      <c r="J8" s="1754" t="s">
        <v>2048</v>
      </c>
      <c r="K8" s="1754" t="s">
        <v>2049</v>
      </c>
      <c r="L8" s="1754" t="s">
        <v>2050</v>
      </c>
      <c r="M8" s="1754" t="s">
        <v>2051</v>
      </c>
      <c r="N8" s="1754" t="s">
        <v>2052</v>
      </c>
    </row>
    <row r="9" spans="1:16">
      <c r="A9" s="1756"/>
      <c r="B9" s="1756"/>
      <c r="C9" s="1756"/>
      <c r="D9" s="1757"/>
      <c r="E9" s="1754"/>
      <c r="F9" s="1756"/>
      <c r="G9" s="1756"/>
      <c r="H9" s="1756"/>
      <c r="I9" s="1756"/>
      <c r="J9" s="1756"/>
      <c r="K9" s="1756"/>
      <c r="L9" s="1756"/>
      <c r="M9" s="1756"/>
      <c r="N9" s="1756"/>
    </row>
    <row r="10" spans="1:16">
      <c r="A10" s="1758"/>
      <c r="B10" s="1759"/>
      <c r="C10" s="1756"/>
      <c r="D10" s="1756"/>
      <c r="E10" s="1756"/>
      <c r="F10" s="1756"/>
      <c r="G10" s="1756"/>
      <c r="H10" s="1756"/>
      <c r="I10" s="1756"/>
      <c r="J10" s="1757"/>
      <c r="K10" s="1754"/>
      <c r="L10" s="1756"/>
      <c r="M10" s="1756"/>
      <c r="N10" s="1756"/>
    </row>
    <row r="11" spans="1:16">
      <c r="A11" s="1760" t="s">
        <v>57</v>
      </c>
      <c r="B11" s="1761" t="s">
        <v>1645</v>
      </c>
      <c r="C11" s="1756"/>
      <c r="D11" s="1756"/>
      <c r="E11" s="1754"/>
      <c r="F11" s="1756"/>
      <c r="G11" s="1762"/>
      <c r="H11" s="1756"/>
      <c r="I11" s="1756"/>
      <c r="J11" s="1757"/>
      <c r="K11" s="1754"/>
      <c r="L11" s="1756"/>
      <c r="M11" s="1756"/>
      <c r="N11" s="1756"/>
    </row>
    <row r="12" spans="1:16">
      <c r="A12" s="1760" t="s">
        <v>19</v>
      </c>
      <c r="B12" s="1761" t="s">
        <v>1646</v>
      </c>
      <c r="C12" s="1756"/>
      <c r="D12" s="1756"/>
      <c r="E12" s="1754"/>
      <c r="F12" s="1756"/>
      <c r="G12" s="1762"/>
      <c r="H12" s="1756"/>
      <c r="I12" s="1756"/>
      <c r="J12" s="1757"/>
      <c r="K12" s="1754"/>
      <c r="L12" s="1756"/>
      <c r="M12" s="1756"/>
      <c r="N12" s="1756"/>
    </row>
    <row r="13" spans="1:16">
      <c r="A13" s="1760"/>
      <c r="B13" s="1761"/>
      <c r="C13" s="1756"/>
      <c r="D13" s="1756"/>
      <c r="E13" s="1754"/>
      <c r="F13" s="1756"/>
      <c r="G13" s="1762"/>
      <c r="H13" s="1763"/>
      <c r="I13" s="1756"/>
      <c r="J13" s="1757"/>
      <c r="K13" s="1754"/>
      <c r="L13" s="1756"/>
      <c r="M13" s="1756"/>
      <c r="N13" s="1763"/>
    </row>
    <row r="14" spans="1:16">
      <c r="A14" s="1760" t="s">
        <v>20</v>
      </c>
      <c r="B14" s="1761" t="s">
        <v>1647</v>
      </c>
      <c r="C14" s="1764"/>
      <c r="D14" s="1765"/>
      <c r="E14" s="1766"/>
      <c r="F14" s="1767"/>
      <c r="G14" s="1765"/>
      <c r="H14" s="1768"/>
      <c r="I14" s="1593"/>
      <c r="J14" s="1769"/>
      <c r="K14" s="1769"/>
      <c r="L14" s="1769"/>
      <c r="M14" s="1769"/>
      <c r="N14" s="1763"/>
      <c r="O14" s="1770"/>
      <c r="P14" s="1771"/>
    </row>
    <row r="15" spans="1:16">
      <c r="A15" s="1760">
        <v>1</v>
      </c>
      <c r="B15" s="1592" t="s">
        <v>1648</v>
      </c>
      <c r="C15" s="1764">
        <v>630</v>
      </c>
      <c r="D15" s="1767">
        <f>IFERROR(VLOOKUP($B15,#REF!,3,0),0)</f>
        <v>0</v>
      </c>
      <c r="E15" s="1764">
        <f>IFERROR(VLOOKUP($B15,#REF!,4,0),0)</f>
        <v>0</v>
      </c>
      <c r="F15" s="1767">
        <v>8.5000000000000006E-2</v>
      </c>
      <c r="G15" s="1772">
        <f>H15/C15</f>
        <v>1</v>
      </c>
      <c r="H15" s="1764">
        <v>630</v>
      </c>
      <c r="I15" s="1593">
        <f>IFERROR(VLOOKUP($B15,'F13B_20-21_True Up'!$B$12:$EN$392,134,0),0)</f>
        <v>0</v>
      </c>
      <c r="J15" s="1593">
        <f>IFERROR(VLOOKUP($B15,'F13B_20-21_True Up'!$B$12:$EN$392,136,0),0)</f>
        <v>0</v>
      </c>
      <c r="K15" s="1593">
        <f>IFERROR(VLOOKUP($B15,'F13B_20-21_True Up'!$B$12:$EN$392,138,0),0)</f>
        <v>0</v>
      </c>
      <c r="L15" s="1593">
        <f>IFERROR(VLOOKUP($B15,'F13B_20-21_True Up'!$B$12:$EN$392,140,0),0)</f>
        <v>0</v>
      </c>
      <c r="M15" s="1594">
        <f>SUM(J15:L15)</f>
        <v>0</v>
      </c>
      <c r="N15" s="1763">
        <f>IFERROR(M15/I15*10,0)</f>
        <v>0</v>
      </c>
      <c r="O15" s="1770">
        <v>1416.8418746</v>
      </c>
      <c r="P15" s="1771">
        <f t="shared" ref="P15:P79" si="0">M15-O15</f>
        <v>-1416.8418746</v>
      </c>
    </row>
    <row r="16" spans="1:16">
      <c r="A16" s="1760">
        <v>2</v>
      </c>
      <c r="B16" s="1592" t="s">
        <v>1650</v>
      </c>
      <c r="C16" s="1764">
        <v>1000</v>
      </c>
      <c r="D16" s="1767">
        <f>IFERROR(VLOOKUP($B16,#REF!,3,0),0)</f>
        <v>0</v>
      </c>
      <c r="E16" s="1764">
        <f>IFERROR(VLOOKUP($B16,#REF!,4,0),0)</f>
        <v>0</v>
      </c>
      <c r="F16" s="1767">
        <v>6.5500000000000003E-2</v>
      </c>
      <c r="G16" s="1772">
        <f t="shared" ref="G16:G29" si="1">H16/C16</f>
        <v>1</v>
      </c>
      <c r="H16" s="1764">
        <v>1000</v>
      </c>
      <c r="I16" s="1593">
        <f>IFERROR(VLOOKUP($B16,'F13B_20-21_True Up'!$B$12:$EN$392,134,0),0)</f>
        <v>0</v>
      </c>
      <c r="J16" s="1593">
        <f>IFERROR(VLOOKUP($B16,'F13B_20-21_True Up'!$B$12:$EN$392,136,0),0)</f>
        <v>0</v>
      </c>
      <c r="K16" s="1593">
        <f>IFERROR(VLOOKUP($B16,'F13B_20-21_True Up'!$B$12:$EN$392,138,0),0)</f>
        <v>0</v>
      </c>
      <c r="L16" s="1593">
        <f>IFERROR(VLOOKUP($B16,'F13B_20-21_True Up'!$B$12:$EN$392,140,0),0)</f>
        <v>0</v>
      </c>
      <c r="M16" s="1594">
        <f t="shared" ref="M16:M30" si="2">SUM(J16:L16)</f>
        <v>0</v>
      </c>
      <c r="N16" s="1763">
        <f t="shared" ref="N16:N31" si="3">IFERROR(M16/I16*10,0)</f>
        <v>0</v>
      </c>
      <c r="O16" s="1770">
        <v>0</v>
      </c>
      <c r="P16" s="1771">
        <f t="shared" si="0"/>
        <v>0</v>
      </c>
    </row>
    <row r="17" spans="1:16">
      <c r="A17" s="1760">
        <v>3</v>
      </c>
      <c r="B17" s="1592" t="s">
        <v>1651</v>
      </c>
      <c r="C17" s="1764">
        <v>660</v>
      </c>
      <c r="D17" s="1767"/>
      <c r="E17" s="1764" t="s">
        <v>1649</v>
      </c>
      <c r="F17" s="1767">
        <v>0</v>
      </c>
      <c r="G17" s="1772">
        <f t="shared" si="1"/>
        <v>1</v>
      </c>
      <c r="H17" s="1764">
        <v>660</v>
      </c>
      <c r="I17" s="1593">
        <f>IFERROR(VLOOKUP($B17,'F13B_20-21_True Up'!$B$12:$EN$392,134,0),0)</f>
        <v>0</v>
      </c>
      <c r="J17" s="1593">
        <f>IFERROR(VLOOKUP($B17,'F13B_20-21_True Up'!$B$12:$EN$392,136,0),0)</f>
        <v>0</v>
      </c>
      <c r="K17" s="1593">
        <f>IFERROR(VLOOKUP($B17,'F13B_20-21_True Up'!$B$12:$EN$392,138,0),0)</f>
        <v>0</v>
      </c>
      <c r="L17" s="1593">
        <f>IFERROR(VLOOKUP($B17,'F13B_20-21_True Up'!$B$12:$EN$392,140,0),0)</f>
        <v>0</v>
      </c>
      <c r="M17" s="1594">
        <f t="shared" si="2"/>
        <v>0</v>
      </c>
      <c r="N17" s="1763">
        <f t="shared" si="3"/>
        <v>0</v>
      </c>
      <c r="O17" s="1770">
        <v>118.12845490000001</v>
      </c>
      <c r="P17" s="1771">
        <f t="shared" si="0"/>
        <v>-118.12845490000001</v>
      </c>
    </row>
    <row r="18" spans="1:16">
      <c r="A18" s="1760">
        <v>4</v>
      </c>
      <c r="B18" s="1592" t="s">
        <v>1652</v>
      </c>
      <c r="C18" s="1764">
        <v>220</v>
      </c>
      <c r="D18" s="1767"/>
      <c r="E18" s="1764" t="s">
        <v>1649</v>
      </c>
      <c r="F18" s="1767">
        <v>0.107</v>
      </c>
      <c r="G18" s="1772">
        <f t="shared" si="1"/>
        <v>0</v>
      </c>
      <c r="H18" s="1764">
        <v>0</v>
      </c>
      <c r="I18" s="1593">
        <f>IFERROR(VLOOKUP($B18,'F13B_20-21_True Up'!$B$12:$EN$392,134,0),0)</f>
        <v>0</v>
      </c>
      <c r="J18" s="1593">
        <f>IFERROR(VLOOKUP($B18,'F13B_20-21_True Up'!$B$12:$EN$392,136,0),0)</f>
        <v>0</v>
      </c>
      <c r="K18" s="1593">
        <f>IFERROR(VLOOKUP($B18,'F13B_20-21_True Up'!$B$12:$EN$392,138,0),0)</f>
        <v>0</v>
      </c>
      <c r="L18" s="1593">
        <f>IFERROR(VLOOKUP($B18,'F13B_20-21_True Up'!$B$12:$EN$392,140,0),0)</f>
        <v>0</v>
      </c>
      <c r="M18" s="1594">
        <f t="shared" si="2"/>
        <v>0</v>
      </c>
      <c r="N18" s="1763">
        <f t="shared" si="3"/>
        <v>0</v>
      </c>
      <c r="O18" s="1770">
        <v>978.61910950000015</v>
      </c>
      <c r="P18" s="1771">
        <f t="shared" si="0"/>
        <v>-978.61910950000015</v>
      </c>
    </row>
    <row r="19" spans="1:16">
      <c r="A19" s="1760">
        <v>3</v>
      </c>
      <c r="B19" s="1592" t="s">
        <v>1653</v>
      </c>
      <c r="C19" s="1764">
        <v>420</v>
      </c>
      <c r="D19" s="1767">
        <f>IFERROR(VLOOKUP($B19,#REF!,3,0),0)</f>
        <v>0</v>
      </c>
      <c r="E19" s="1764">
        <f>IFERROR(VLOOKUP($B19,#REF!,4,0),0)</f>
        <v>0</v>
      </c>
      <c r="F19" s="1767">
        <v>0.09</v>
      </c>
      <c r="G19" s="1772">
        <f t="shared" si="1"/>
        <v>1</v>
      </c>
      <c r="H19" s="1764">
        <v>420</v>
      </c>
      <c r="I19" s="1593">
        <f>IFERROR(VLOOKUP($B19,'F13B_20-21_True Up'!$B$12:$EN$392,134,0),0)</f>
        <v>0</v>
      </c>
      <c r="J19" s="1593">
        <f>IFERROR(VLOOKUP($B19,'F13B_20-21_True Up'!$B$12:$EN$392,136,0),0)</f>
        <v>0</v>
      </c>
      <c r="K19" s="1593">
        <f>IFERROR(VLOOKUP($B19,'F13B_20-21_True Up'!$B$12:$EN$392,138,0),0)</f>
        <v>0</v>
      </c>
      <c r="L19" s="1593">
        <f>IFERROR(VLOOKUP($B19,'F13B_20-21_True Up'!$B$12:$EN$392,140,0),0)</f>
        <v>0</v>
      </c>
      <c r="M19" s="1594">
        <f t="shared" si="2"/>
        <v>0</v>
      </c>
      <c r="N19" s="1763">
        <f t="shared" si="3"/>
        <v>0</v>
      </c>
      <c r="O19" s="1770">
        <v>0</v>
      </c>
      <c r="P19" s="1771">
        <f t="shared" si="0"/>
        <v>0</v>
      </c>
    </row>
    <row r="20" spans="1:16">
      <c r="A20" s="1760">
        <v>4</v>
      </c>
      <c r="B20" s="1592" t="s">
        <v>1654</v>
      </c>
      <c r="C20" s="1764">
        <v>94</v>
      </c>
      <c r="D20" s="1767"/>
      <c r="E20" s="1764">
        <f>IFERROR(VLOOKUP($B20,#REF!,4,0),0)</f>
        <v>0</v>
      </c>
      <c r="F20" s="1767">
        <v>0</v>
      </c>
      <c r="G20" s="1772">
        <f t="shared" si="1"/>
        <v>0</v>
      </c>
      <c r="H20" s="1764">
        <v>0</v>
      </c>
      <c r="I20" s="1593">
        <f>IFERROR(VLOOKUP($B20,'F13B_20-21_True Up'!$B$12:$EN$392,134,0),0)</f>
        <v>0</v>
      </c>
      <c r="J20" s="1593">
        <f>IFERROR(VLOOKUP($B20,'F13B_20-21_True Up'!$B$12:$EN$392,136,0),0)</f>
        <v>0</v>
      </c>
      <c r="K20" s="1593">
        <f>IFERROR(VLOOKUP($B20,'F13B_20-21_True Up'!$B$12:$EN$392,138,0),0)</f>
        <v>0</v>
      </c>
      <c r="L20" s="1593">
        <f>IFERROR(VLOOKUP($B20,'F13B_20-21_True Up'!$B$12:$EN$392,140,0),0)</f>
        <v>0</v>
      </c>
      <c r="M20" s="1594">
        <f t="shared" si="2"/>
        <v>0</v>
      </c>
      <c r="N20" s="1763">
        <f t="shared" si="3"/>
        <v>0</v>
      </c>
      <c r="O20" s="1770">
        <v>952.25917709999976</v>
      </c>
      <c r="P20" s="1771">
        <f t="shared" si="0"/>
        <v>-952.25917709999976</v>
      </c>
    </row>
    <row r="21" spans="1:16">
      <c r="A21" s="1760">
        <v>5</v>
      </c>
      <c r="B21" s="1592" t="s">
        <v>1655</v>
      </c>
      <c r="C21" s="1764">
        <v>1000</v>
      </c>
      <c r="D21" s="1767">
        <f>IFERROR(VLOOKUP($B21,#REF!,3,0),0)</f>
        <v>0</v>
      </c>
      <c r="E21" s="1764">
        <f>IFERROR(VLOOKUP($B21,#REF!,4,0),0)</f>
        <v>0</v>
      </c>
      <c r="F21" s="1767">
        <v>9.7000000000000003E-2</v>
      </c>
      <c r="G21" s="1772">
        <f t="shared" si="1"/>
        <v>1</v>
      </c>
      <c r="H21" s="1764">
        <v>1000</v>
      </c>
      <c r="I21" s="1593">
        <f>IFERROR(VLOOKUP($B21,'F13B_20-21_True Up'!$B$12:$EN$392,134,0),0)</f>
        <v>0</v>
      </c>
      <c r="J21" s="1593">
        <f>IFERROR(VLOOKUP($B21,'F13B_20-21_True Up'!$B$12:$EN$392,136,0),0)</f>
        <v>0</v>
      </c>
      <c r="K21" s="1593">
        <f>IFERROR(VLOOKUP($B21,'F13B_20-21_True Up'!$B$12:$EN$392,138,0),0)</f>
        <v>0</v>
      </c>
      <c r="L21" s="1593">
        <f>IFERROR(VLOOKUP($B21,'F13B_20-21_True Up'!$B$12:$EN$392,140,0),0)</f>
        <v>0</v>
      </c>
      <c r="M21" s="1594">
        <f t="shared" si="2"/>
        <v>0</v>
      </c>
      <c r="N21" s="1763">
        <f t="shared" si="3"/>
        <v>0</v>
      </c>
      <c r="O21" s="1770">
        <v>135.26191899999998</v>
      </c>
      <c r="P21" s="1771">
        <f t="shared" si="0"/>
        <v>-135.26191899999998</v>
      </c>
    </row>
    <row r="22" spans="1:16" s="1356" customFormat="1">
      <c r="A22" s="1773">
        <v>6</v>
      </c>
      <c r="B22" s="1774" t="s">
        <v>1656</v>
      </c>
      <c r="C22" s="1775">
        <v>105</v>
      </c>
      <c r="D22" s="1776">
        <f>IFERROR(VLOOKUP($B22,#REF!,3,0),0)</f>
        <v>0</v>
      </c>
      <c r="E22" s="1775">
        <f>IFERROR(VLOOKUP($B22,#REF!,4,0),0)</f>
        <v>0</v>
      </c>
      <c r="F22" s="1776">
        <v>0.105</v>
      </c>
      <c r="G22" s="1777">
        <f t="shared" si="1"/>
        <v>1</v>
      </c>
      <c r="H22" s="1775">
        <v>105</v>
      </c>
      <c r="I22" s="1778">
        <f>IFERROR(VLOOKUP($B22,'F13B_20-21_True Up'!$B$12:$EN$392,134,0),0)</f>
        <v>0</v>
      </c>
      <c r="J22" s="1778">
        <f>IFERROR(VLOOKUP($B22,'F13B_20-21_True Up'!$B$12:$EN$392,136,0),0)</f>
        <v>0</v>
      </c>
      <c r="K22" s="1778">
        <f>IFERROR(VLOOKUP($B22,'F13B_20-21_True Up'!$B$12:$EN$392,138,0),0)</f>
        <v>0</v>
      </c>
      <c r="L22" s="1778">
        <f>IFERROR(VLOOKUP($B22,'F13B_20-21_True Up'!$B$12:$EN$392,140,0),0)</f>
        <v>0</v>
      </c>
      <c r="M22" s="1779">
        <f t="shared" si="2"/>
        <v>0</v>
      </c>
      <c r="N22" s="1780">
        <f t="shared" si="3"/>
        <v>0</v>
      </c>
      <c r="O22" s="1781">
        <v>1488.4003715999997</v>
      </c>
      <c r="P22" s="1782">
        <f t="shared" si="0"/>
        <v>-1488.4003715999997</v>
      </c>
    </row>
    <row r="23" spans="1:16">
      <c r="A23" s="1760">
        <v>7</v>
      </c>
      <c r="B23" s="1592" t="s">
        <v>1657</v>
      </c>
      <c r="C23" s="1764">
        <v>500</v>
      </c>
      <c r="D23" s="1767">
        <f>IFERROR(VLOOKUP($B23,#REF!,3,0),0)</f>
        <v>0</v>
      </c>
      <c r="E23" s="1764">
        <f>IFERROR(VLOOKUP($B23,#REF!,4,0),0)</f>
        <v>0</v>
      </c>
      <c r="F23" s="1767">
        <v>0.09</v>
      </c>
      <c r="G23" s="1772">
        <f t="shared" si="1"/>
        <v>1</v>
      </c>
      <c r="H23" s="1764">
        <v>500</v>
      </c>
      <c r="I23" s="1593">
        <f>IFERROR(VLOOKUP($B23,'F13B_20-21_True Up'!$B$12:$EN$392,134,0),0)</f>
        <v>0</v>
      </c>
      <c r="J23" s="1593">
        <f>IFERROR(VLOOKUP($B23,'F13B_20-21_True Up'!$B$12:$EN$392,136,0),0)</f>
        <v>0</v>
      </c>
      <c r="K23" s="1593">
        <f>IFERROR(VLOOKUP($B23,'F13B_20-21_True Up'!$B$12:$EN$392,138,0),0)</f>
        <v>0</v>
      </c>
      <c r="L23" s="1593">
        <f>IFERROR(VLOOKUP($B23,'F13B_20-21_True Up'!$B$12:$EN$392,140,0),0)</f>
        <v>0</v>
      </c>
      <c r="M23" s="1594">
        <f t="shared" si="2"/>
        <v>0</v>
      </c>
      <c r="N23" s="1763">
        <f t="shared" si="3"/>
        <v>0</v>
      </c>
      <c r="O23" s="1770">
        <v>771.95218030000001</v>
      </c>
      <c r="P23" s="1771">
        <f t="shared" si="0"/>
        <v>-771.95218030000001</v>
      </c>
    </row>
    <row r="24" spans="1:16">
      <c r="A24" s="1760">
        <v>8</v>
      </c>
      <c r="B24" s="1592" t="s">
        <v>1658</v>
      </c>
      <c r="C24" s="1764">
        <v>500</v>
      </c>
      <c r="D24" s="1767">
        <f>IFERROR(VLOOKUP($B24,#REF!,3,0),0)</f>
        <v>0</v>
      </c>
      <c r="E24" s="1764">
        <f>IFERROR(VLOOKUP($B24,#REF!,4,0),0)</f>
        <v>0</v>
      </c>
      <c r="F24" s="1767">
        <v>0.09</v>
      </c>
      <c r="G24" s="1772">
        <f t="shared" si="1"/>
        <v>1</v>
      </c>
      <c r="H24" s="1764">
        <v>500</v>
      </c>
      <c r="I24" s="1593">
        <f>IFERROR(VLOOKUP($B24,'F13B_20-21_True Up'!$B$12:$EN$392,134,0),0)</f>
        <v>0</v>
      </c>
      <c r="J24" s="1593">
        <f>IFERROR(VLOOKUP($B24,'F13B_20-21_True Up'!$B$12:$EN$392,136,0),0)</f>
        <v>0</v>
      </c>
      <c r="K24" s="1593">
        <f>IFERROR(VLOOKUP($B24,'F13B_20-21_True Up'!$B$12:$EN$392,138,0),0)</f>
        <v>0</v>
      </c>
      <c r="L24" s="1593">
        <f>IFERROR(VLOOKUP($B24,'F13B_20-21_True Up'!$B$12:$EN$392,140,0),0)</f>
        <v>0</v>
      </c>
      <c r="M24" s="1594">
        <f t="shared" si="2"/>
        <v>0</v>
      </c>
      <c r="N24" s="1763">
        <f t="shared" si="3"/>
        <v>0</v>
      </c>
      <c r="O24" s="1770">
        <v>1655.4632743000002</v>
      </c>
      <c r="P24" s="1771">
        <f t="shared" si="0"/>
        <v>-1655.4632743000002</v>
      </c>
    </row>
    <row r="25" spans="1:16">
      <c r="A25" s="1760">
        <v>9</v>
      </c>
      <c r="B25" s="1592" t="s">
        <v>1659</v>
      </c>
      <c r="C25" s="1764">
        <v>1000</v>
      </c>
      <c r="D25" s="1767">
        <f>IFERROR(VLOOKUP($B25,#REF!,3,0),0)</f>
        <v>0</v>
      </c>
      <c r="E25" s="1764">
        <f>IFERROR(VLOOKUP($B25,#REF!,4,0),0)</f>
        <v>0</v>
      </c>
      <c r="F25" s="1767">
        <v>6.25E-2</v>
      </c>
      <c r="G25" s="1772">
        <f t="shared" si="1"/>
        <v>1</v>
      </c>
      <c r="H25" s="1764">
        <v>1000</v>
      </c>
      <c r="I25" s="1593">
        <f>IFERROR(VLOOKUP($B25,'F13B_20-21_True Up'!$B$12:$EN$392,134,0),0)</f>
        <v>0</v>
      </c>
      <c r="J25" s="1593">
        <f>IFERROR(VLOOKUP($B25,'F13B_20-21_True Up'!$B$12:$EN$392,136,0),0)</f>
        <v>0</v>
      </c>
      <c r="K25" s="1593">
        <f>IFERROR(VLOOKUP($B25,'F13B_20-21_True Up'!$B$12:$EN$392,138,0),0)</f>
        <v>0</v>
      </c>
      <c r="L25" s="1593">
        <f>IFERROR(VLOOKUP($B25,'F13B_20-21_True Up'!$B$12:$EN$392,140,0),0)</f>
        <v>0</v>
      </c>
      <c r="M25" s="1594">
        <f t="shared" si="2"/>
        <v>0</v>
      </c>
      <c r="N25" s="1763">
        <f t="shared" si="3"/>
        <v>0</v>
      </c>
      <c r="O25" s="1770">
        <v>0</v>
      </c>
      <c r="P25" s="1771">
        <f t="shared" si="0"/>
        <v>0</v>
      </c>
    </row>
    <row r="26" spans="1:16">
      <c r="A26" s="1760">
        <v>10</v>
      </c>
      <c r="B26" s="1592" t="s">
        <v>1660</v>
      </c>
      <c r="C26" s="1764">
        <v>660</v>
      </c>
      <c r="D26" s="1767">
        <f>IFERROR(VLOOKUP($B26,#REF!,3,0),0)</f>
        <v>0</v>
      </c>
      <c r="E26" s="1764">
        <f>IFERROR(VLOOKUP($B26,#REF!,4,0),0)</f>
        <v>0</v>
      </c>
      <c r="F26" s="1767">
        <v>5.7500000000000002E-2</v>
      </c>
      <c r="G26" s="1772">
        <f t="shared" si="1"/>
        <v>1</v>
      </c>
      <c r="H26" s="1764">
        <v>660</v>
      </c>
      <c r="I26" s="1593">
        <f>IFERROR(VLOOKUP($B26,'F13B_20-21_True Up'!$B$12:$EN$392,134,0),0)</f>
        <v>0</v>
      </c>
      <c r="J26" s="1593">
        <f>IFERROR(VLOOKUP($B26,'F13B_20-21_True Up'!$B$12:$EN$392,136,0),0)</f>
        <v>0</v>
      </c>
      <c r="K26" s="1593">
        <f>IFERROR(VLOOKUP($B26,'F13B_20-21_True Up'!$B$12:$EN$392,138,0),0)</f>
        <v>0</v>
      </c>
      <c r="L26" s="1593">
        <f>IFERROR(VLOOKUP($B26,'F13B_20-21_True Up'!$B$12:$EN$392,140,0),0)</f>
        <v>0</v>
      </c>
      <c r="M26" s="1594">
        <f t="shared" si="2"/>
        <v>0</v>
      </c>
      <c r="N26" s="1763">
        <f t="shared" si="3"/>
        <v>0</v>
      </c>
      <c r="O26" s="1770">
        <v>0</v>
      </c>
      <c r="P26" s="1771">
        <f t="shared" si="0"/>
        <v>0</v>
      </c>
    </row>
    <row r="27" spans="1:16">
      <c r="A27" s="1760">
        <v>11</v>
      </c>
      <c r="B27" s="1592" t="s">
        <v>1661</v>
      </c>
      <c r="C27" s="1764">
        <v>660</v>
      </c>
      <c r="D27" s="1767">
        <f>IFERROR(VLOOKUP($B27,#REF!,3,0),0)</f>
        <v>0</v>
      </c>
      <c r="E27" s="1764">
        <f>IFERROR(VLOOKUP($B27,#REF!,4,0),0)</f>
        <v>0</v>
      </c>
      <c r="F27" s="1767">
        <v>5.7500000000000002E-2</v>
      </c>
      <c r="G27" s="1772">
        <f t="shared" si="1"/>
        <v>1</v>
      </c>
      <c r="H27" s="1764">
        <v>660</v>
      </c>
      <c r="I27" s="1593">
        <f>IFERROR(VLOOKUP($B27,'F13B_20-21_True Up'!$B$12:$EN$392,134,0),0)</f>
        <v>0</v>
      </c>
      <c r="J27" s="1593">
        <f>IFERROR(VLOOKUP($B27,'F13B_20-21_True Up'!$B$12:$EN$392,136,0),0)</f>
        <v>0</v>
      </c>
      <c r="K27" s="1593">
        <f>IFERROR(VLOOKUP($B27,'F13B_20-21_True Up'!$B$12:$EN$392,138,0),0)</f>
        <v>0</v>
      </c>
      <c r="L27" s="1593">
        <f>IFERROR(VLOOKUP($B27,'F13B_20-21_True Up'!$B$12:$EN$392,140,0),0)</f>
        <v>0</v>
      </c>
      <c r="M27" s="1594">
        <f t="shared" si="2"/>
        <v>0</v>
      </c>
      <c r="N27" s="1763">
        <f t="shared" si="3"/>
        <v>0</v>
      </c>
      <c r="O27" s="1770">
        <v>0</v>
      </c>
      <c r="P27" s="1771">
        <f t="shared" si="0"/>
        <v>0</v>
      </c>
    </row>
    <row r="28" spans="1:16">
      <c r="A28" s="1760">
        <v>12</v>
      </c>
      <c r="B28" s="1592" t="s">
        <v>1662</v>
      </c>
      <c r="C28" s="1764">
        <v>1320</v>
      </c>
      <c r="D28" s="1767"/>
      <c r="E28" s="1764">
        <f>IFERROR(VLOOKUP($B28,#REF!,4,0),0)</f>
        <v>0</v>
      </c>
      <c r="F28" s="1767">
        <v>5.7500000000000002E-2</v>
      </c>
      <c r="G28" s="1772">
        <f t="shared" si="1"/>
        <v>0.98636363636363633</v>
      </c>
      <c r="H28" s="1764">
        <v>1302</v>
      </c>
      <c r="I28" s="1593">
        <f>IFERROR(VLOOKUP($B28,'F13B_20-21_True Up'!$B$12:$EN$392,134,0),0)</f>
        <v>0</v>
      </c>
      <c r="J28" s="1593">
        <f>IFERROR(VLOOKUP($B28,'F13B_20-21_True Up'!$B$12:$EN$392,136,0),0)</f>
        <v>0</v>
      </c>
      <c r="K28" s="1593">
        <f>IFERROR(VLOOKUP($B28,'F13B_20-21_True Up'!$B$12:$EN$392,138,0),0)</f>
        <v>0</v>
      </c>
      <c r="L28" s="1593">
        <f>IFERROR(VLOOKUP($B28,'F13B_20-21_True Up'!$B$12:$EN$392,140,0),0)</f>
        <v>0</v>
      </c>
      <c r="M28" s="1594">
        <f t="shared" si="2"/>
        <v>0</v>
      </c>
      <c r="N28" s="1763">
        <f t="shared" si="3"/>
        <v>0</v>
      </c>
      <c r="O28" s="1770">
        <v>0</v>
      </c>
      <c r="P28" s="1771">
        <f t="shared" si="0"/>
        <v>0</v>
      </c>
    </row>
    <row r="29" spans="1:16">
      <c r="A29" s="1760">
        <v>13</v>
      </c>
      <c r="B29" s="1592" t="s">
        <v>1663</v>
      </c>
      <c r="C29" s="1764">
        <v>1320</v>
      </c>
      <c r="D29" s="1767"/>
      <c r="E29" s="1764">
        <f>IFERROR(VLOOKUP($B29,#REF!,4,0),0)</f>
        <v>0</v>
      </c>
      <c r="F29" s="1767">
        <v>5.7500000000000002E-2</v>
      </c>
      <c r="G29" s="1772">
        <f t="shared" si="1"/>
        <v>1</v>
      </c>
      <c r="H29" s="1764">
        <v>1320</v>
      </c>
      <c r="I29" s="1593">
        <f>IFERROR(VLOOKUP($B29,'F13B_20-21_True Up'!$B$12:$EN$392,134,0),0)</f>
        <v>0</v>
      </c>
      <c r="J29" s="1593">
        <f>IFERROR(VLOOKUP($B29,'F13B_20-21_True Up'!$B$12:$EN$392,136,0),0)</f>
        <v>0</v>
      </c>
      <c r="K29" s="1593">
        <f>IFERROR(VLOOKUP($B29,'F13B_20-21_True Up'!$B$12:$EN$392,138,0),0)</f>
        <v>0</v>
      </c>
      <c r="L29" s="1593">
        <f>IFERROR(VLOOKUP($B29,'F13B_20-21_True Up'!$B$12:$EN$392,140,0),0)</f>
        <v>0</v>
      </c>
      <c r="M29" s="1594">
        <f t="shared" si="2"/>
        <v>0</v>
      </c>
      <c r="N29" s="1763">
        <f t="shared" si="3"/>
        <v>0</v>
      </c>
      <c r="O29" s="1770">
        <v>134.4359699</v>
      </c>
      <c r="P29" s="1771">
        <f t="shared" si="0"/>
        <v>-134.4359699</v>
      </c>
    </row>
    <row r="30" spans="1:16">
      <c r="A30" s="1760"/>
      <c r="B30" s="1592" t="s">
        <v>1664</v>
      </c>
      <c r="C30" s="1764"/>
      <c r="D30" s="1767"/>
      <c r="E30" s="1764"/>
      <c r="F30" s="1767"/>
      <c r="G30" s="1772"/>
      <c r="H30" s="1764"/>
      <c r="I30" s="1593">
        <f>IFERROR(VLOOKUP($B30,'F13B_20-21_True Up'!$B$12:$EN$392,134,0),0)</f>
        <v>0</v>
      </c>
      <c r="J30" s="1593">
        <f>IFERROR(VLOOKUP($B30,'F13B_20-21_True Up'!$B$12:$EN$392,136,0),0)</f>
        <v>0</v>
      </c>
      <c r="K30" s="1593">
        <f>IFERROR(VLOOKUP($B30,'F13B_20-21_True Up'!$B$12:$EN$392,138,0),0)</f>
        <v>0</v>
      </c>
      <c r="L30" s="1593">
        <f>IFERROR(VLOOKUP($B30,'F13B_20-21_True Up'!$B$12:$EN$392,140,0),0)</f>
        <v>0</v>
      </c>
      <c r="M30" s="1594">
        <f t="shared" si="2"/>
        <v>0</v>
      </c>
      <c r="N30" s="1763">
        <f t="shared" si="3"/>
        <v>0</v>
      </c>
      <c r="O30" s="696">
        <v>8665.0570957</v>
      </c>
      <c r="P30" s="1771">
        <f t="shared" si="0"/>
        <v>-8665.0570957</v>
      </c>
    </row>
    <row r="31" spans="1:16">
      <c r="A31" s="1783"/>
      <c r="B31" s="1784" t="s">
        <v>211</v>
      </c>
      <c r="C31" s="1764"/>
      <c r="D31" s="1767"/>
      <c r="E31" s="1764"/>
      <c r="F31" s="1772"/>
      <c r="G31" s="1762"/>
      <c r="H31" s="1763"/>
      <c r="I31" s="1785">
        <f>SUM(I15:I30)</f>
        <v>0</v>
      </c>
      <c r="J31" s="1594">
        <f>SUM(J15:J30)</f>
        <v>0</v>
      </c>
      <c r="K31" s="1594">
        <f>SUM(K15:K30)</f>
        <v>0</v>
      </c>
      <c r="L31" s="1594">
        <f>SUM(L15:L30)</f>
        <v>0</v>
      </c>
      <c r="M31" s="1594">
        <f>SUM(M15:M30)</f>
        <v>0</v>
      </c>
      <c r="N31" s="1763">
        <f t="shared" si="3"/>
        <v>0</v>
      </c>
      <c r="P31" s="1771">
        <f t="shared" si="0"/>
        <v>0</v>
      </c>
    </row>
    <row r="32" spans="1:16">
      <c r="A32" s="1760"/>
      <c r="B32" s="1761"/>
      <c r="C32" s="1764"/>
      <c r="D32" s="1767"/>
      <c r="E32" s="1764"/>
      <c r="F32" s="1772"/>
      <c r="G32" s="1762"/>
      <c r="H32" s="1763"/>
      <c r="I32" s="1593"/>
      <c r="J32" s="1756"/>
      <c r="K32" s="1756"/>
      <c r="L32" s="1756"/>
      <c r="M32" s="1756"/>
      <c r="N32" s="1756"/>
      <c r="P32" s="1771">
        <f t="shared" si="0"/>
        <v>0</v>
      </c>
    </row>
    <row r="33" spans="1:16">
      <c r="A33" s="1760" t="s">
        <v>21</v>
      </c>
      <c r="B33" s="1761" t="s">
        <v>1665</v>
      </c>
      <c r="C33" s="1764"/>
      <c r="D33" s="1767"/>
      <c r="E33" s="1764"/>
      <c r="F33" s="1767"/>
      <c r="G33" s="1765"/>
      <c r="H33" s="1768"/>
      <c r="I33" s="1593"/>
      <c r="J33" s="1769">
        <v>0</v>
      </c>
      <c r="K33" s="1769">
        <v>0</v>
      </c>
      <c r="L33" s="1769">
        <v>0</v>
      </c>
      <c r="M33" s="1769">
        <f t="shared" ref="M33:M42" si="4">SUM(J33:L33)</f>
        <v>0</v>
      </c>
      <c r="N33" s="1763">
        <f t="shared" ref="N33:N43" si="5">IFERROR(M33/I33*10,0)</f>
        <v>0</v>
      </c>
      <c r="O33" s="1770">
        <v>66.494132399999998</v>
      </c>
      <c r="P33" s="1771">
        <f t="shared" si="0"/>
        <v>-66.494132399999998</v>
      </c>
    </row>
    <row r="34" spans="1:16">
      <c r="A34" s="1760">
        <v>1</v>
      </c>
      <c r="B34" s="1761" t="s">
        <v>1666</v>
      </c>
      <c r="C34" s="1764">
        <v>300</v>
      </c>
      <c r="D34" s="1767">
        <f>IFERROR(VLOOKUP($B34,#REF!,3,0),0)</f>
        <v>0</v>
      </c>
      <c r="E34" s="1764">
        <f>IFERROR(VLOOKUP($B34,#REF!,4,0),0)</f>
        <v>0</v>
      </c>
      <c r="F34" s="1767">
        <v>0.01</v>
      </c>
      <c r="G34" s="1772">
        <f t="shared" ref="G34:G41" si="6">H34/C34</f>
        <v>0.85</v>
      </c>
      <c r="H34" s="1764">
        <v>255</v>
      </c>
      <c r="I34" s="1593">
        <f>IFERROR(VLOOKUP($B34,'F13B_20-21_True Up'!$B$12:$EN$392,134,0),0)</f>
        <v>0</v>
      </c>
      <c r="J34" s="1593">
        <f>IFERROR(VLOOKUP($B34,'F13B_20-21_True Up'!$B$12:$EN$392,136,0),0)</f>
        <v>0</v>
      </c>
      <c r="K34" s="1593">
        <f>IFERROR(VLOOKUP($B34,'F13B_20-21_True Up'!$B$12:$EN$392,138,0),0)</f>
        <v>0</v>
      </c>
      <c r="L34" s="1593">
        <f>IFERROR(VLOOKUP($B34,'F13B_20-21_True Up'!$B$12:$EN$392,140,0),0)</f>
        <v>0</v>
      </c>
      <c r="M34" s="1594">
        <f t="shared" si="4"/>
        <v>0</v>
      </c>
      <c r="N34" s="1763">
        <f t="shared" si="5"/>
        <v>0</v>
      </c>
      <c r="O34" s="1770">
        <v>17.577801399999998</v>
      </c>
      <c r="P34" s="1771">
        <f t="shared" si="0"/>
        <v>-17.577801399999998</v>
      </c>
    </row>
    <row r="35" spans="1:16">
      <c r="A35" s="1760">
        <v>2</v>
      </c>
      <c r="B35" s="1761" t="s">
        <v>1668</v>
      </c>
      <c r="C35" s="1764">
        <v>99</v>
      </c>
      <c r="D35" s="1767">
        <f>IFERROR(VLOOKUP($B35,#REF!,3,0),0)</f>
        <v>0</v>
      </c>
      <c r="E35" s="1764">
        <f>IFERROR(VLOOKUP($B35,#REF!,4,0),0)</f>
        <v>0</v>
      </c>
      <c r="F35" s="1767">
        <v>0.01</v>
      </c>
      <c r="G35" s="1772">
        <f t="shared" si="6"/>
        <v>1</v>
      </c>
      <c r="H35" s="1764">
        <v>99</v>
      </c>
      <c r="I35" s="1593">
        <f>IFERROR(VLOOKUP($B35,'F13B_20-21_True Up'!$B$12:$EN$392,134,0),0)</f>
        <v>0</v>
      </c>
      <c r="J35" s="1593">
        <f>IFERROR(VLOOKUP($B35,'F13B_20-21_True Up'!$B$12:$EN$392,136,0),0)</f>
        <v>0</v>
      </c>
      <c r="K35" s="1593">
        <f>IFERROR(VLOOKUP($B35,'F13B_20-21_True Up'!$B$12:$EN$392,138,0),0)</f>
        <v>0</v>
      </c>
      <c r="L35" s="1593">
        <f>IFERROR(VLOOKUP($B35,'F13B_20-21_True Up'!$B$12:$EN$392,140,0),0)</f>
        <v>0</v>
      </c>
      <c r="M35" s="1594">
        <f t="shared" si="4"/>
        <v>0</v>
      </c>
      <c r="N35" s="1763">
        <f t="shared" si="5"/>
        <v>0</v>
      </c>
      <c r="O35" s="1770">
        <v>1.6812844</v>
      </c>
      <c r="P35" s="1771">
        <f t="shared" si="0"/>
        <v>-1.6812844</v>
      </c>
    </row>
    <row r="36" spans="1:16">
      <c r="A36" s="1760">
        <v>3</v>
      </c>
      <c r="B36" s="1761" t="s">
        <v>1669</v>
      </c>
      <c r="C36" s="1764">
        <v>30</v>
      </c>
      <c r="D36" s="1767">
        <f>IFERROR(VLOOKUP($B36,#REF!,3,0),0)</f>
        <v>0</v>
      </c>
      <c r="E36" s="1764">
        <f>IFERROR(VLOOKUP($B36,#REF!,4,0),0)</f>
        <v>0</v>
      </c>
      <c r="F36" s="1767">
        <v>0.01</v>
      </c>
      <c r="G36" s="1772">
        <f t="shared" si="6"/>
        <v>0.66666666666666663</v>
      </c>
      <c r="H36" s="1764">
        <v>20</v>
      </c>
      <c r="I36" s="1593">
        <f>IFERROR(VLOOKUP($B36,'F13B_20-21_True Up'!$B$12:$EN$392,134,0),0)</f>
        <v>0</v>
      </c>
      <c r="J36" s="1593">
        <f>IFERROR(VLOOKUP($B36,'F13B_20-21_True Up'!$B$12:$EN$392,136,0),0)</f>
        <v>2.7644289059999996</v>
      </c>
      <c r="K36" s="1593">
        <f>IFERROR(VLOOKUP($B36,'F13B_20-21_True Up'!$B$12:$EN$392,138,0),0)</f>
        <v>5.8701083820000006</v>
      </c>
      <c r="L36" s="1786">
        <f>IFERROR(VLOOKUP($B36,'F13B_20-21_True Up'!$B$12:$EN$392,140,0),0)</f>
        <v>3.2142E-3</v>
      </c>
      <c r="M36" s="1594">
        <f t="shared" si="4"/>
        <v>8.637751488000001</v>
      </c>
      <c r="N36" s="1763">
        <f t="shared" si="5"/>
        <v>0</v>
      </c>
      <c r="O36" s="1770">
        <v>21.842003200000001</v>
      </c>
      <c r="P36" s="1771">
        <f t="shared" si="0"/>
        <v>-13.204251712</v>
      </c>
    </row>
    <row r="37" spans="1:16">
      <c r="A37" s="1760">
        <v>4</v>
      </c>
      <c r="B37" s="1761" t="s">
        <v>1670</v>
      </c>
      <c r="C37" s="1764">
        <v>72</v>
      </c>
      <c r="D37" s="1767">
        <f>IFERROR(VLOOKUP($B37,#REF!,3,0),0)</f>
        <v>0</v>
      </c>
      <c r="E37" s="1764">
        <f>IFERROR(VLOOKUP($B37,#REF!,4,0),0)</f>
        <v>0</v>
      </c>
      <c r="F37" s="1767">
        <v>0.01</v>
      </c>
      <c r="G37" s="1772">
        <f t="shared" si="6"/>
        <v>0.8</v>
      </c>
      <c r="H37" s="1764">
        <v>57.6</v>
      </c>
      <c r="I37" s="1593">
        <f>IFERROR(VLOOKUP($B37,'F13B_20-21_True Up'!$B$12:$EN$392,134,0),0)</f>
        <v>0</v>
      </c>
      <c r="J37" s="1593">
        <f>IFERROR(VLOOKUP($B37,'F13B_20-21_True Up'!$B$12:$EN$392,136,0),0)</f>
        <v>0</v>
      </c>
      <c r="K37" s="1593">
        <f>IFERROR(VLOOKUP($B37,'F13B_20-21_True Up'!$B$12:$EN$392,138,0),0)</f>
        <v>0</v>
      </c>
      <c r="L37" s="1593">
        <f>IFERROR(VLOOKUP($B37,'F13B_20-21_True Up'!$B$12:$EN$392,140,0),0)</f>
        <v>0</v>
      </c>
      <c r="M37" s="1594">
        <f t="shared" si="4"/>
        <v>0</v>
      </c>
      <c r="N37" s="1763">
        <f t="shared" si="5"/>
        <v>0</v>
      </c>
      <c r="O37" s="1770">
        <v>5.2094589999999998</v>
      </c>
      <c r="P37" s="1771">
        <f t="shared" si="0"/>
        <v>-5.2094589999999998</v>
      </c>
    </row>
    <row r="38" spans="1:16">
      <c r="A38" s="1760">
        <v>5</v>
      </c>
      <c r="B38" s="1761" t="s">
        <v>1671</v>
      </c>
      <c r="C38" s="1764">
        <v>13.7</v>
      </c>
      <c r="D38" s="1767">
        <f>IFERROR(VLOOKUP($B38,#REF!,3,0),0)</f>
        <v>0</v>
      </c>
      <c r="E38" s="1764">
        <f>IFERROR(VLOOKUP($B38,#REF!,4,0),0)</f>
        <v>0</v>
      </c>
      <c r="F38" s="1767">
        <v>0.01</v>
      </c>
      <c r="G38" s="1772">
        <f t="shared" si="6"/>
        <v>1</v>
      </c>
      <c r="H38" s="1764">
        <v>13.7</v>
      </c>
      <c r="I38" s="1593">
        <f>IFERROR(VLOOKUP($B38,'F13B_20-21_True Up'!$B$12:$EN$392,134,0),0)</f>
        <v>0</v>
      </c>
      <c r="J38" s="1593">
        <f>IFERROR(VLOOKUP($B38,'F13B_20-21_True Up'!$B$12:$EN$392,136,0),0)</f>
        <v>0</v>
      </c>
      <c r="K38" s="1593">
        <f>IFERROR(VLOOKUP($B38,'F13B_20-21_True Up'!$B$12:$EN$392,138,0),0)</f>
        <v>0</v>
      </c>
      <c r="L38" s="1593">
        <f>IFERROR(VLOOKUP($B38,'F13B_20-21_True Up'!$B$12:$EN$392,140,0),0)</f>
        <v>0</v>
      </c>
      <c r="M38" s="1594">
        <f t="shared" si="4"/>
        <v>0</v>
      </c>
      <c r="N38" s="1763">
        <f t="shared" si="5"/>
        <v>0</v>
      </c>
      <c r="O38" s="1770">
        <v>0.22998360000000001</v>
      </c>
      <c r="P38" s="1771">
        <f t="shared" si="0"/>
        <v>-0.22998360000000001</v>
      </c>
    </row>
    <row r="39" spans="1:16">
      <c r="A39" s="1760">
        <v>6</v>
      </c>
      <c r="B39" s="1761" t="s">
        <v>1672</v>
      </c>
      <c r="C39" s="1764">
        <v>3.6</v>
      </c>
      <c r="D39" s="1767">
        <f>IFERROR(VLOOKUP($B39,#REF!,3,0),0)</f>
        <v>0</v>
      </c>
      <c r="E39" s="1764">
        <f>IFERROR(VLOOKUP($B39,#REF!,4,0),0)</f>
        <v>0</v>
      </c>
      <c r="F39" s="1767">
        <v>0.01</v>
      </c>
      <c r="G39" s="1772">
        <f t="shared" si="6"/>
        <v>1</v>
      </c>
      <c r="H39" s="1764">
        <v>3.6</v>
      </c>
      <c r="I39" s="1593">
        <f>IFERROR(VLOOKUP($B39,'F13B_20-21_True Up'!$B$12:$EN$392,134,0),0)</f>
        <v>0</v>
      </c>
      <c r="J39" s="1593">
        <f>IFERROR(VLOOKUP($B39,'F13B_20-21_True Up'!$B$12:$EN$392,136,0),0)</f>
        <v>0</v>
      </c>
      <c r="K39" s="1593">
        <f>IFERROR(VLOOKUP($B39,'F13B_20-21_True Up'!$B$12:$EN$392,138,0),0)</f>
        <v>0</v>
      </c>
      <c r="L39" s="1593">
        <f>IFERROR(VLOOKUP($B39,'F13B_20-21_True Up'!$B$12:$EN$392,140,0),0)</f>
        <v>0</v>
      </c>
      <c r="M39" s="1594">
        <f t="shared" si="4"/>
        <v>0</v>
      </c>
      <c r="N39" s="1763">
        <f t="shared" si="5"/>
        <v>0</v>
      </c>
      <c r="O39" s="1770">
        <v>0.30714959999999997</v>
      </c>
      <c r="P39" s="1771">
        <f t="shared" si="0"/>
        <v>-0.30714959999999997</v>
      </c>
    </row>
    <row r="40" spans="1:16">
      <c r="A40" s="1760">
        <v>7</v>
      </c>
      <c r="B40" s="1761" t="s">
        <v>1673</v>
      </c>
      <c r="C40" s="1764">
        <v>3</v>
      </c>
      <c r="D40" s="1767">
        <f>IFERROR(VLOOKUP($B40,#REF!,3,0),0)</f>
        <v>0</v>
      </c>
      <c r="E40" s="1764">
        <f>IFERROR(VLOOKUP($B40,#REF!,4,0),0)</f>
        <v>0</v>
      </c>
      <c r="F40" s="1767">
        <v>0.01</v>
      </c>
      <c r="G40" s="1772">
        <f t="shared" si="6"/>
        <v>1</v>
      </c>
      <c r="H40" s="1764">
        <v>3</v>
      </c>
      <c r="I40" s="1593">
        <f>IFERROR(VLOOKUP($B40,'F13B_20-21_True Up'!$B$12:$EN$392,134,0),0)</f>
        <v>0</v>
      </c>
      <c r="J40" s="1593">
        <f>IFERROR(VLOOKUP($B40,'F13B_20-21_True Up'!$B$12:$EN$392,136,0),0)</f>
        <v>0</v>
      </c>
      <c r="K40" s="1593">
        <f>IFERROR(VLOOKUP($B40,'F13B_20-21_True Up'!$B$12:$EN$392,138,0),0)</f>
        <v>0</v>
      </c>
      <c r="L40" s="1593">
        <f>IFERROR(VLOOKUP($B40,'F13B_20-21_True Up'!$B$12:$EN$392,140,0),0)</f>
        <v>0</v>
      </c>
      <c r="M40" s="1594">
        <f t="shared" si="4"/>
        <v>0</v>
      </c>
      <c r="N40" s="1763">
        <f t="shared" si="5"/>
        <v>0</v>
      </c>
      <c r="O40" s="1770">
        <v>-1.3541499999999998E-2</v>
      </c>
      <c r="P40" s="1771">
        <f t="shared" si="0"/>
        <v>1.3541499999999998E-2</v>
      </c>
    </row>
    <row r="41" spans="1:16">
      <c r="A41" s="1760">
        <v>8</v>
      </c>
      <c r="B41" s="1761" t="s">
        <v>1674</v>
      </c>
      <c r="C41" s="1764">
        <v>3</v>
      </c>
      <c r="D41" s="1767">
        <f>IFERROR(VLOOKUP($B41,#REF!,3,0),0)</f>
        <v>0</v>
      </c>
      <c r="E41" s="1764">
        <f>IFERROR(VLOOKUP($B41,#REF!,4,0),0)</f>
        <v>0</v>
      </c>
      <c r="F41" s="1767">
        <v>0.01</v>
      </c>
      <c r="G41" s="1772">
        <f t="shared" si="6"/>
        <v>1</v>
      </c>
      <c r="H41" s="1764">
        <v>3</v>
      </c>
      <c r="I41" s="1593">
        <f>IFERROR(VLOOKUP($B41,'F13B_20-21_True Up'!$B$12:$EN$392,134,0),0)</f>
        <v>0</v>
      </c>
      <c r="J41" s="1593">
        <f>IFERROR(VLOOKUP($B41,'F13B_20-21_True Up'!$B$12:$EN$392,136,0),0)</f>
        <v>0</v>
      </c>
      <c r="K41" s="1593">
        <f>IFERROR(VLOOKUP($B41,'F13B_20-21_True Up'!$B$12:$EN$392,138,0),0)</f>
        <v>0</v>
      </c>
      <c r="L41" s="1593">
        <f>IFERROR(VLOOKUP($B41,'F13B_20-21_True Up'!$B$12:$EN$392,140,0),0)</f>
        <v>0</v>
      </c>
      <c r="M41" s="1594">
        <f t="shared" si="4"/>
        <v>0</v>
      </c>
      <c r="N41" s="1763">
        <f t="shared" si="5"/>
        <v>0</v>
      </c>
      <c r="O41" s="1770">
        <v>113.32827209999998</v>
      </c>
      <c r="P41" s="1771">
        <f t="shared" si="0"/>
        <v>-113.32827209999998</v>
      </c>
    </row>
    <row r="42" spans="1:16">
      <c r="A42" s="1760"/>
      <c r="B42" s="1644" t="s">
        <v>1853</v>
      </c>
      <c r="C42" s="1764"/>
      <c r="D42" s="1767"/>
      <c r="E42" s="1764"/>
      <c r="F42" s="1767"/>
      <c r="G42" s="1772"/>
      <c r="H42" s="1764"/>
      <c r="I42" s="1593">
        <f>IFERROR(VLOOKUP($B42,'F13B_20-21_True Up'!$B$12:$EN$392,134,0),0)</f>
        <v>0</v>
      </c>
      <c r="J42" s="1593">
        <f>IFERROR(VLOOKUP($B42,'F13B_20-21_True Up'!$B$12:$EN$392,136,0),0)</f>
        <v>0</v>
      </c>
      <c r="K42" s="1593">
        <f>IFERROR(VLOOKUP($B42,'F13B_20-21_True Up'!$B$12:$EN$392,138,0),0)</f>
        <v>0</v>
      </c>
      <c r="L42" s="1593">
        <f>IFERROR(VLOOKUP($B42,'F13B_20-21_True Up'!$B$12:$EN$392,140,0),0)</f>
        <v>0</v>
      </c>
      <c r="M42" s="1594">
        <f t="shared" si="4"/>
        <v>0</v>
      </c>
      <c r="N42" s="1763">
        <f t="shared" si="5"/>
        <v>0</v>
      </c>
      <c r="O42" s="1770"/>
      <c r="P42" s="1771"/>
    </row>
    <row r="43" spans="1:16">
      <c r="A43" s="1760"/>
      <c r="B43" s="1784" t="s">
        <v>211</v>
      </c>
      <c r="C43" s="1764"/>
      <c r="D43" s="1767"/>
      <c r="E43" s="1764"/>
      <c r="F43" s="1772"/>
      <c r="G43" s="1762"/>
      <c r="H43" s="1763"/>
      <c r="I43" s="1785">
        <f>SUM(I34:I42)</f>
        <v>0</v>
      </c>
      <c r="J43" s="1785">
        <f>SUM(J34:J42)</f>
        <v>2.7644289059999996</v>
      </c>
      <c r="K43" s="1785">
        <f>SUM(K34:K42)</f>
        <v>5.8701083820000006</v>
      </c>
      <c r="L43" s="1785">
        <f>SUM(L34:L42)</f>
        <v>3.2142E-3</v>
      </c>
      <c r="M43" s="1785">
        <f>SUM(M34:M42)</f>
        <v>8.637751488000001</v>
      </c>
      <c r="N43" s="1763">
        <f t="shared" si="5"/>
        <v>0</v>
      </c>
      <c r="P43" s="1771">
        <f t="shared" si="0"/>
        <v>8.637751488000001</v>
      </c>
    </row>
    <row r="44" spans="1:16">
      <c r="A44" s="1760"/>
      <c r="B44" s="1761"/>
      <c r="C44" s="1764"/>
      <c r="D44" s="1767"/>
      <c r="E44" s="1764"/>
      <c r="F44" s="1772"/>
      <c r="G44" s="1762"/>
      <c r="H44" s="1763"/>
      <c r="I44" s="1593"/>
      <c r="J44" s="1756"/>
      <c r="K44" s="1756"/>
      <c r="L44" s="1756"/>
      <c r="M44" s="1756"/>
      <c r="N44" s="1756"/>
      <c r="O44" s="1770"/>
      <c r="P44" s="1771">
        <f t="shared" si="0"/>
        <v>0</v>
      </c>
    </row>
    <row r="45" spans="1:16">
      <c r="A45" s="1760"/>
      <c r="B45" s="1761"/>
      <c r="C45" s="1764"/>
      <c r="D45" s="1767"/>
      <c r="E45" s="1764"/>
      <c r="F45" s="1772"/>
      <c r="G45" s="1787"/>
      <c r="H45" s="1788"/>
      <c r="I45" s="1593"/>
      <c r="J45" s="1789"/>
      <c r="K45" s="1789"/>
      <c r="L45" s="1789"/>
      <c r="M45" s="1789"/>
      <c r="N45" s="1789"/>
      <c r="O45" s="1770"/>
      <c r="P45" s="1771">
        <f t="shared" si="0"/>
        <v>0</v>
      </c>
    </row>
    <row r="46" spans="1:16">
      <c r="A46" s="1760" t="s">
        <v>24</v>
      </c>
      <c r="B46" s="1784" t="s">
        <v>1675</v>
      </c>
      <c r="C46" s="1764"/>
      <c r="D46" s="1767"/>
      <c r="E46" s="1764"/>
      <c r="F46" s="1772"/>
      <c r="G46" s="1762"/>
      <c r="H46" s="1763"/>
      <c r="I46" s="1593"/>
      <c r="J46" s="1756"/>
      <c r="K46" s="1756"/>
      <c r="L46" s="1756"/>
      <c r="M46" s="1756"/>
      <c r="N46" s="1756"/>
      <c r="O46" s="1770"/>
      <c r="P46" s="1771">
        <f t="shared" si="0"/>
        <v>0</v>
      </c>
    </row>
    <row r="47" spans="1:16">
      <c r="A47" s="1760" t="s">
        <v>19</v>
      </c>
      <c r="B47" s="1784" t="s">
        <v>1676</v>
      </c>
      <c r="C47" s="1764"/>
      <c r="D47" s="1767"/>
      <c r="E47" s="1764"/>
      <c r="F47" s="1767"/>
      <c r="G47" s="1765"/>
      <c r="H47" s="1768"/>
      <c r="I47" s="1593"/>
      <c r="J47" s="1769">
        <v>0</v>
      </c>
      <c r="K47" s="1769">
        <v>0</v>
      </c>
      <c r="L47" s="1769">
        <v>0</v>
      </c>
      <c r="M47" s="1769">
        <f t="shared" ref="M47:M85" si="7">SUM(J47:L47)</f>
        <v>0</v>
      </c>
      <c r="N47" s="1763">
        <f t="shared" ref="N47:N86" si="8">IFERROR(M47/I47*10,0)</f>
        <v>0</v>
      </c>
      <c r="O47" s="1770">
        <v>172.55293390000003</v>
      </c>
      <c r="P47" s="1771">
        <f t="shared" si="0"/>
        <v>-172.55293390000003</v>
      </c>
    </row>
    <row r="48" spans="1:16">
      <c r="A48" s="1760">
        <v>1</v>
      </c>
      <c r="B48" s="1761" t="s">
        <v>1677</v>
      </c>
      <c r="C48" s="1764">
        <v>419</v>
      </c>
      <c r="D48" s="1767">
        <f>IFERROR(VLOOKUP($B48,#REF!,3,0),0)</f>
        <v>0</v>
      </c>
      <c r="E48" s="1764">
        <f>IFERROR(VLOOKUP($B48,#REF!,4,0),0)</f>
        <v>0</v>
      </c>
      <c r="F48" s="1767">
        <v>2.75E-2</v>
      </c>
      <c r="G48" s="1772">
        <f t="shared" ref="G48:G84" si="9">H48/C48</f>
        <v>0.21766109785202864</v>
      </c>
      <c r="H48" s="1764">
        <v>91.2</v>
      </c>
      <c r="I48" s="1593">
        <f>IFERROR(VLOOKUP($B48,'F13B_20-21_True Up'!$B$12:$EN$392,134,0),0)</f>
        <v>0</v>
      </c>
      <c r="J48" s="1593">
        <f>IFERROR(VLOOKUP($B48,'F13B_20-21_True Up'!$B$12:$EN$392,136,0),0)</f>
        <v>0</v>
      </c>
      <c r="K48" s="1593">
        <f>IFERROR(VLOOKUP($B48,'F13B_20-21_True Up'!$B$12:$EN$392,138,0),0)</f>
        <v>0</v>
      </c>
      <c r="L48" s="1593">
        <f>IFERROR(VLOOKUP($B48,'F13B_20-21_True Up'!$B$12:$EN$392,140,0),0)</f>
        <v>0</v>
      </c>
      <c r="M48" s="1594">
        <f t="shared" si="7"/>
        <v>0</v>
      </c>
      <c r="N48" s="1763">
        <f t="shared" si="8"/>
        <v>0</v>
      </c>
      <c r="O48" s="1770">
        <v>201.48235309999995</v>
      </c>
      <c r="P48" s="1771">
        <f t="shared" si="0"/>
        <v>-201.48235309999995</v>
      </c>
    </row>
    <row r="49" spans="1:16">
      <c r="A49" s="1760">
        <v>2</v>
      </c>
      <c r="B49" s="1761" t="s">
        <v>1678</v>
      </c>
      <c r="C49" s="1764">
        <v>663</v>
      </c>
      <c r="D49" s="1767">
        <f>IFERROR(VLOOKUP($B49,#REF!,3,0),0)</f>
        <v>0</v>
      </c>
      <c r="E49" s="1764">
        <f>IFERROR(VLOOKUP($B49,#REF!,4,0),0)</f>
        <v>0</v>
      </c>
      <c r="F49" s="1767">
        <v>2.75E-2</v>
      </c>
      <c r="G49" s="1772">
        <f t="shared" si="9"/>
        <v>0.32076923076923075</v>
      </c>
      <c r="H49" s="1764">
        <v>212.67</v>
      </c>
      <c r="I49" s="1593">
        <f>IFERROR(VLOOKUP($B49,'F13B_20-21_True Up'!$B$12:$EN$392,134,0),0)</f>
        <v>0</v>
      </c>
      <c r="J49" s="1593">
        <f>IFERROR(VLOOKUP($B49,'F13B_20-21_True Up'!$B$12:$EN$392,136,0),0)</f>
        <v>0</v>
      </c>
      <c r="K49" s="1593">
        <f>IFERROR(VLOOKUP($B49,'F13B_20-21_True Up'!$B$12:$EN$392,138,0),0)</f>
        <v>0</v>
      </c>
      <c r="L49" s="1593">
        <f>IFERROR(VLOOKUP($B49,'F13B_20-21_True Up'!$B$12:$EN$392,140,0),0)</f>
        <v>0</v>
      </c>
      <c r="M49" s="1594">
        <f t="shared" si="7"/>
        <v>0</v>
      </c>
      <c r="N49" s="1763">
        <f t="shared" si="8"/>
        <v>0</v>
      </c>
      <c r="O49" s="1770">
        <v>592.12529660000007</v>
      </c>
      <c r="P49" s="1771">
        <f t="shared" si="0"/>
        <v>-592.12529660000007</v>
      </c>
    </row>
    <row r="50" spans="1:16">
      <c r="A50" s="1760">
        <v>3</v>
      </c>
      <c r="B50" s="1761" t="s">
        <v>1679</v>
      </c>
      <c r="C50" s="1764">
        <v>830</v>
      </c>
      <c r="D50" s="1767">
        <f>IFERROR(VLOOKUP($B50,#REF!,3,0),0)</f>
        <v>0</v>
      </c>
      <c r="E50" s="1764">
        <f>IFERROR(VLOOKUP($B50,#REF!,4,0),0)</f>
        <v>0</v>
      </c>
      <c r="F50" s="1767">
        <v>2.75E-2</v>
      </c>
      <c r="G50" s="1772">
        <f t="shared" si="9"/>
        <v>0.29591566265060243</v>
      </c>
      <c r="H50" s="1764">
        <v>245.61</v>
      </c>
      <c r="I50" s="1593">
        <f>IFERROR(VLOOKUP($B50,'F13B_20-21_True Up'!$B$12:$EN$392,134,0),0)</f>
        <v>0</v>
      </c>
      <c r="J50" s="1593">
        <f>IFERROR(VLOOKUP($B50,'F13B_20-21_True Up'!$B$12:$EN$392,136,0),0)</f>
        <v>0</v>
      </c>
      <c r="K50" s="1593">
        <f>IFERROR(VLOOKUP($B50,'F13B_20-21_True Up'!$B$12:$EN$392,138,0),0)</f>
        <v>0</v>
      </c>
      <c r="L50" s="1593">
        <f>IFERROR(VLOOKUP($B50,'F13B_20-21_True Up'!$B$12:$EN$392,140,0),0)</f>
        <v>0</v>
      </c>
      <c r="M50" s="1594">
        <f t="shared" si="7"/>
        <v>0</v>
      </c>
      <c r="N50" s="1763">
        <f t="shared" si="8"/>
        <v>0</v>
      </c>
      <c r="O50" s="1770">
        <v>1.3445152</v>
      </c>
      <c r="P50" s="1771">
        <f t="shared" si="0"/>
        <v>-1.3445152</v>
      </c>
    </row>
    <row r="51" spans="1:16">
      <c r="A51" s="1760">
        <v>4</v>
      </c>
      <c r="B51" s="1761" t="s">
        <v>1680</v>
      </c>
      <c r="C51" s="1764">
        <v>657.39</v>
      </c>
      <c r="D51" s="1767">
        <f>IFERROR(VLOOKUP($B51,#REF!,3,0),0)</f>
        <v>0</v>
      </c>
      <c r="E51" s="1764">
        <f>IFERROR(VLOOKUP($B51,#REF!,4,0),0)</f>
        <v>0</v>
      </c>
      <c r="F51" s="1767">
        <v>2.75E-2</v>
      </c>
      <c r="G51" s="1772">
        <f t="shared" si="9"/>
        <v>3.0423340787051827E-5</v>
      </c>
      <c r="H51" s="1764">
        <v>0.02</v>
      </c>
      <c r="I51" s="1593">
        <f>IFERROR(VLOOKUP($B51,'F13B_20-21_True Up'!$B$12:$EN$392,134,0),0)</f>
        <v>0</v>
      </c>
      <c r="J51" s="1593">
        <f>IFERROR(VLOOKUP($B51,'F13B_20-21_True Up'!$B$12:$EN$392,136,0),0)</f>
        <v>0</v>
      </c>
      <c r="K51" s="1593">
        <f>IFERROR(VLOOKUP($B51,'F13B_20-21_True Up'!$B$12:$EN$392,138,0),0)</f>
        <v>0</v>
      </c>
      <c r="L51" s="1593">
        <f>IFERROR(VLOOKUP($B51,'F13B_20-21_True Up'!$B$12:$EN$392,140,0),0)</f>
        <v>0</v>
      </c>
      <c r="M51" s="1594">
        <f t="shared" si="7"/>
        <v>0</v>
      </c>
      <c r="N51" s="1763">
        <f t="shared" si="8"/>
        <v>0</v>
      </c>
      <c r="O51" s="1770">
        <v>3.7523549000000003</v>
      </c>
      <c r="P51" s="1771">
        <f t="shared" si="0"/>
        <v>-3.7523549000000003</v>
      </c>
    </row>
    <row r="52" spans="1:16">
      <c r="A52" s="1760">
        <v>5</v>
      </c>
      <c r="B52" s="1761" t="s">
        <v>1681</v>
      </c>
      <c r="C52" s="1764">
        <v>656.2</v>
      </c>
      <c r="D52" s="1767">
        <f>IFERROR(VLOOKUP($B52,#REF!,3,0),0)</f>
        <v>0</v>
      </c>
      <c r="E52" s="1764">
        <f>IFERROR(VLOOKUP($B52,#REF!,4,0),0)</f>
        <v>0</v>
      </c>
      <c r="F52" s="1767">
        <v>2.75E-2</v>
      </c>
      <c r="G52" s="1772">
        <f t="shared" si="9"/>
        <v>3.0478512648582749E-5</v>
      </c>
      <c r="H52" s="1764">
        <v>0.02</v>
      </c>
      <c r="I52" s="1593">
        <f>IFERROR(VLOOKUP($B52,'F13B_20-21_True Up'!$B$12:$EN$392,134,0),0)</f>
        <v>0</v>
      </c>
      <c r="J52" s="1593">
        <f>IFERROR(VLOOKUP($B52,'F13B_20-21_True Up'!$B$12:$EN$392,136,0),0)</f>
        <v>0</v>
      </c>
      <c r="K52" s="1593">
        <f>IFERROR(VLOOKUP($B52,'F13B_20-21_True Up'!$B$12:$EN$392,138,0),0)</f>
        <v>0</v>
      </c>
      <c r="L52" s="1593">
        <f>IFERROR(VLOOKUP($B52,'F13B_20-21_True Up'!$B$12:$EN$392,140,0),0)</f>
        <v>0</v>
      </c>
      <c r="M52" s="1594">
        <f t="shared" si="7"/>
        <v>0</v>
      </c>
      <c r="N52" s="1763">
        <f t="shared" si="8"/>
        <v>0</v>
      </c>
      <c r="O52" s="1770">
        <v>945.62323300000003</v>
      </c>
      <c r="P52" s="1771">
        <f t="shared" si="0"/>
        <v>-945.62323300000003</v>
      </c>
    </row>
    <row r="53" spans="1:16">
      <c r="A53" s="1760">
        <v>6</v>
      </c>
      <c r="B53" s="1761" t="s">
        <v>1682</v>
      </c>
      <c r="C53" s="1764">
        <v>440</v>
      </c>
      <c r="D53" s="1767">
        <f>IFERROR(VLOOKUP($B53,#REF!,3,0),0)</f>
        <v>0</v>
      </c>
      <c r="E53" s="1764">
        <f>IFERROR(VLOOKUP($B53,#REF!,4,0),0)</f>
        <v>0</v>
      </c>
      <c r="F53" s="1767">
        <v>0.115</v>
      </c>
      <c r="G53" s="1772">
        <f t="shared" si="9"/>
        <v>1</v>
      </c>
      <c r="H53" s="1764">
        <v>440</v>
      </c>
      <c r="I53" s="1593">
        <f>IFERROR(VLOOKUP($B53,'F13B_20-21_True Up'!$B$12:$EN$392,134,0),0)</f>
        <v>0</v>
      </c>
      <c r="J53" s="1593">
        <f>IFERROR(VLOOKUP($B53,'F13B_20-21_True Up'!$B$12:$EN$392,136,0),0)</f>
        <v>0</v>
      </c>
      <c r="K53" s="1593">
        <f>IFERROR(VLOOKUP($B53,'F13B_20-21_True Up'!$B$12:$EN$392,138,0),0)</f>
        <v>0</v>
      </c>
      <c r="L53" s="1593">
        <f>IFERROR(VLOOKUP($B53,'F13B_20-21_True Up'!$B$12:$EN$392,140,0),0)</f>
        <v>0</v>
      </c>
      <c r="M53" s="1594">
        <f t="shared" si="7"/>
        <v>0</v>
      </c>
      <c r="N53" s="1763">
        <f t="shared" si="8"/>
        <v>0</v>
      </c>
      <c r="O53" s="1770">
        <v>530.45366020000006</v>
      </c>
      <c r="P53" s="1771">
        <f t="shared" si="0"/>
        <v>-530.45366020000006</v>
      </c>
    </row>
    <row r="54" spans="1:16">
      <c r="A54" s="1760">
        <v>7</v>
      </c>
      <c r="B54" s="1761" t="s">
        <v>1683</v>
      </c>
      <c r="C54" s="1764">
        <v>420</v>
      </c>
      <c r="D54" s="1767">
        <f>IFERROR(VLOOKUP($B54,#REF!,3,0),0)</f>
        <v>0</v>
      </c>
      <c r="E54" s="1764">
        <f>IFERROR(VLOOKUP($B54,#REF!,4,0),0)</f>
        <v>0</v>
      </c>
      <c r="F54" s="1767">
        <v>0.09</v>
      </c>
      <c r="G54" s="1772">
        <f t="shared" si="9"/>
        <v>0.59519047619047616</v>
      </c>
      <c r="H54" s="1764">
        <v>249.98</v>
      </c>
      <c r="I54" s="1593">
        <f>IFERROR(VLOOKUP($B54,'F13B_20-21_True Up'!$B$12:$EN$392,134,0),0)</f>
        <v>0</v>
      </c>
      <c r="J54" s="1593">
        <f>IFERROR(VLOOKUP($B54,'F13B_20-21_True Up'!$B$12:$EN$392,136,0),0)</f>
        <v>0</v>
      </c>
      <c r="K54" s="1593">
        <f>IFERROR(VLOOKUP($B54,'F13B_20-21_True Up'!$B$12:$EN$392,138,0),0)</f>
        <v>0</v>
      </c>
      <c r="L54" s="1593">
        <f>IFERROR(VLOOKUP($B54,'F13B_20-21_True Up'!$B$12:$EN$392,140,0),0)</f>
        <v>0</v>
      </c>
      <c r="M54" s="1594">
        <f t="shared" si="7"/>
        <v>0</v>
      </c>
      <c r="N54" s="1763">
        <f t="shared" si="8"/>
        <v>0</v>
      </c>
      <c r="O54" s="1770">
        <v>285.59475379999998</v>
      </c>
      <c r="P54" s="1771">
        <f t="shared" si="0"/>
        <v>-285.59475379999998</v>
      </c>
    </row>
    <row r="55" spans="1:16">
      <c r="A55" s="1760">
        <v>8</v>
      </c>
      <c r="B55" s="1761" t="s">
        <v>1684</v>
      </c>
      <c r="C55" s="1764">
        <v>420</v>
      </c>
      <c r="D55" s="1767">
        <f>IFERROR(VLOOKUP($B55,#REF!,3,0),0)</f>
        <v>0</v>
      </c>
      <c r="E55" s="1764">
        <f>IFERROR(VLOOKUP($B55,#REF!,4,0),0)</f>
        <v>0</v>
      </c>
      <c r="F55" s="1767">
        <v>9.8000000000000004E-2</v>
      </c>
      <c r="G55" s="1772">
        <f t="shared" si="9"/>
        <v>0.3069047619047619</v>
      </c>
      <c r="H55" s="1764">
        <v>128.9</v>
      </c>
      <c r="I55" s="1593">
        <f>IFERROR(VLOOKUP($B55,'F13B_20-21_True Up'!$B$12:$EN$392,134,0),0)</f>
        <v>0</v>
      </c>
      <c r="J55" s="1593">
        <f>IFERROR(VLOOKUP($B55,'F13B_20-21_True Up'!$B$12:$EN$392,136,0),0)</f>
        <v>0</v>
      </c>
      <c r="K55" s="1593">
        <f>IFERROR(VLOOKUP($B55,'F13B_20-21_True Up'!$B$12:$EN$392,138,0),0)</f>
        <v>0</v>
      </c>
      <c r="L55" s="1593">
        <f>IFERROR(VLOOKUP($B55,'F13B_20-21_True Up'!$B$12:$EN$392,140,0),0)</f>
        <v>0</v>
      </c>
      <c r="M55" s="1594">
        <f t="shared" si="7"/>
        <v>0</v>
      </c>
      <c r="N55" s="1763">
        <f t="shared" si="8"/>
        <v>0</v>
      </c>
      <c r="O55" s="1770">
        <v>167.88946239999999</v>
      </c>
      <c r="P55" s="1771">
        <f t="shared" si="0"/>
        <v>-167.88946239999999</v>
      </c>
    </row>
    <row r="56" spans="1:16">
      <c r="A56" s="1760">
        <v>9</v>
      </c>
      <c r="B56" s="1761" t="s">
        <v>1685</v>
      </c>
      <c r="C56" s="1764">
        <v>210</v>
      </c>
      <c r="D56" s="1767">
        <f>IFERROR(VLOOKUP($B56,#REF!,3,0),0)</f>
        <v>0</v>
      </c>
      <c r="E56" s="1764">
        <f>IFERROR(VLOOKUP($B56,#REF!,4,0),0)</f>
        <v>0</v>
      </c>
      <c r="F56" s="1767">
        <v>0.09</v>
      </c>
      <c r="G56" s="1772">
        <f t="shared" si="9"/>
        <v>0.3</v>
      </c>
      <c r="H56" s="1764">
        <v>63</v>
      </c>
      <c r="I56" s="1593">
        <f>IFERROR(VLOOKUP($B56,'F13B_20-21_True Up'!$B$12:$EN$392,134,0),0)</f>
        <v>0</v>
      </c>
      <c r="J56" s="1593">
        <f>IFERROR(VLOOKUP($B56,'F13B_20-21_True Up'!$B$12:$EN$392,136,0),0)</f>
        <v>0</v>
      </c>
      <c r="K56" s="1593">
        <f>IFERROR(VLOOKUP($B56,'F13B_20-21_True Up'!$B$12:$EN$392,138,0),0)</f>
        <v>0</v>
      </c>
      <c r="L56" s="1593">
        <f>IFERROR(VLOOKUP($B56,'F13B_20-21_True Up'!$B$12:$EN$392,140,0),0)</f>
        <v>0</v>
      </c>
      <c r="M56" s="1594">
        <f t="shared" si="7"/>
        <v>0</v>
      </c>
      <c r="N56" s="1763">
        <f t="shared" si="8"/>
        <v>0</v>
      </c>
      <c r="O56" s="1770">
        <v>590.51870630000008</v>
      </c>
      <c r="P56" s="1771">
        <f t="shared" si="0"/>
        <v>-590.51870630000008</v>
      </c>
    </row>
    <row r="57" spans="1:16">
      <c r="A57" s="1760">
        <v>10</v>
      </c>
      <c r="B57" s="1761" t="s">
        <v>1686</v>
      </c>
      <c r="C57" s="1764">
        <v>500</v>
      </c>
      <c r="D57" s="1767">
        <f>IFERROR(VLOOKUP($B57,#REF!,3,0),0)</f>
        <v>0</v>
      </c>
      <c r="E57" s="1764">
        <f>IFERROR(VLOOKUP($B57,#REF!,4,0),0)</f>
        <v>0</v>
      </c>
      <c r="F57" s="1767">
        <v>6.25E-2</v>
      </c>
      <c r="G57" s="1772">
        <f t="shared" si="9"/>
        <v>0.44588</v>
      </c>
      <c r="H57" s="1764">
        <v>222.94</v>
      </c>
      <c r="I57" s="1593">
        <f>IFERROR(VLOOKUP($B57,'F13B_20-21_True Up'!$B$12:$EN$392,134,0),0)</f>
        <v>0</v>
      </c>
      <c r="J57" s="1593">
        <f>IFERROR(VLOOKUP($B57,'F13B_20-21_True Up'!$B$12:$EN$392,136,0),0)</f>
        <v>0</v>
      </c>
      <c r="K57" s="1593">
        <f>IFERROR(VLOOKUP($B57,'F13B_20-21_True Up'!$B$12:$EN$392,138,0),0)</f>
        <v>0</v>
      </c>
      <c r="L57" s="1593">
        <f>IFERROR(VLOOKUP($B57,'F13B_20-21_True Up'!$B$12:$EN$392,140,0),0)</f>
        <v>0</v>
      </c>
      <c r="M57" s="1594">
        <f t="shared" si="7"/>
        <v>0</v>
      </c>
      <c r="N57" s="1763">
        <f t="shared" si="8"/>
        <v>0</v>
      </c>
      <c r="O57" s="1770">
        <v>66.619228700000008</v>
      </c>
      <c r="P57" s="1771">
        <f t="shared" si="0"/>
        <v>-66.619228700000008</v>
      </c>
    </row>
    <row r="58" spans="1:16">
      <c r="A58" s="1760">
        <v>11</v>
      </c>
      <c r="B58" s="1761" t="s">
        <v>1687</v>
      </c>
      <c r="C58" s="1764">
        <v>1600</v>
      </c>
      <c r="D58" s="1767"/>
      <c r="E58" s="1764">
        <f>IFERROR(VLOOKUP($B58,#REF!,4,0),0)</f>
        <v>0</v>
      </c>
      <c r="F58" s="1767">
        <v>6.7799999999999999E-2</v>
      </c>
      <c r="G58" s="1772">
        <f t="shared" si="9"/>
        <v>0</v>
      </c>
      <c r="H58" s="1764">
        <v>0</v>
      </c>
      <c r="I58" s="1593">
        <f>IFERROR(VLOOKUP($B58,'F13B_20-21_True Up'!$B$12:$EN$392,134,0),0)</f>
        <v>0</v>
      </c>
      <c r="J58" s="1593">
        <f>IFERROR(VLOOKUP($B58,'F13B_20-21_True Up'!$B$12:$EN$392,136,0),0)</f>
        <v>0</v>
      </c>
      <c r="K58" s="1593">
        <f>IFERROR(VLOOKUP($B58,'F13B_20-21_True Up'!$B$12:$EN$392,138,0),0)</f>
        <v>0</v>
      </c>
      <c r="L58" s="1593">
        <f>IFERROR(VLOOKUP($B58,'F13B_20-21_True Up'!$B$12:$EN$392,140,0),0)</f>
        <v>0</v>
      </c>
      <c r="M58" s="1594">
        <f t="shared" si="7"/>
        <v>0</v>
      </c>
      <c r="N58" s="1763">
        <f t="shared" si="8"/>
        <v>0</v>
      </c>
      <c r="O58" s="1770">
        <v>138.24457790000002</v>
      </c>
      <c r="P58" s="1771">
        <f t="shared" si="0"/>
        <v>-138.24457790000002</v>
      </c>
    </row>
    <row r="59" spans="1:16">
      <c r="A59" s="1760">
        <v>12</v>
      </c>
      <c r="B59" s="1761" t="s">
        <v>1688</v>
      </c>
      <c r="C59" s="1764">
        <v>840</v>
      </c>
      <c r="D59" s="1767">
        <f>IFERROR(VLOOKUP($B59,#REF!,3,0),0)</f>
        <v>0</v>
      </c>
      <c r="E59" s="1764">
        <f>IFERROR(VLOOKUP($B59,#REF!,4,0),0)</f>
        <v>0</v>
      </c>
      <c r="F59" s="1767">
        <v>0.09</v>
      </c>
      <c r="G59" s="1772">
        <f t="shared" si="9"/>
        <v>9.166666666666666E-2</v>
      </c>
      <c r="H59" s="1764">
        <v>77</v>
      </c>
      <c r="I59" s="1593">
        <f>IFERROR(VLOOKUP($B59,'F13B_20-21_True Up'!$B$12:$EN$392,134,0),0)</f>
        <v>0</v>
      </c>
      <c r="J59" s="1593">
        <f>IFERROR(VLOOKUP($B59,'F13B_20-21_True Up'!$B$12:$EN$392,136,0),0)</f>
        <v>0</v>
      </c>
      <c r="K59" s="1593">
        <f>IFERROR(VLOOKUP($B59,'F13B_20-21_True Up'!$B$12:$EN$392,138,0),0)</f>
        <v>0</v>
      </c>
      <c r="L59" s="1593">
        <f>IFERROR(VLOOKUP($B59,'F13B_20-21_True Up'!$B$12:$EN$392,140,0),0)</f>
        <v>0</v>
      </c>
      <c r="M59" s="1594">
        <f t="shared" si="7"/>
        <v>0</v>
      </c>
      <c r="N59" s="1763">
        <f t="shared" si="8"/>
        <v>0</v>
      </c>
      <c r="O59" s="1770">
        <v>474.18206039999995</v>
      </c>
      <c r="P59" s="1771">
        <f t="shared" si="0"/>
        <v>-474.18206039999995</v>
      </c>
    </row>
    <row r="60" spans="1:16">
      <c r="A60" s="1760">
        <v>13</v>
      </c>
      <c r="B60" s="1761" t="s">
        <v>1689</v>
      </c>
      <c r="C60" s="1764">
        <v>1500</v>
      </c>
      <c r="D60" s="1767">
        <f>IFERROR(VLOOKUP($B60,#REF!,3,0),0)</f>
        <v>0</v>
      </c>
      <c r="E60" s="1764">
        <f>IFERROR(VLOOKUP($B60,#REF!,4,0),0)</f>
        <v>0</v>
      </c>
      <c r="F60" s="1767">
        <v>6.25E-2</v>
      </c>
      <c r="G60" s="1772">
        <f t="shared" si="9"/>
        <v>0.1</v>
      </c>
      <c r="H60" s="1764">
        <v>150</v>
      </c>
      <c r="I60" s="1593">
        <f>IFERROR(VLOOKUP($B60,'F13B_20-21_True Up'!$B$12:$EN$392,134,0),0)</f>
        <v>0</v>
      </c>
      <c r="J60" s="1593">
        <f>IFERROR(VLOOKUP($B60,'F13B_20-21_True Up'!$B$12:$EN$392,136,0),0)</f>
        <v>0</v>
      </c>
      <c r="K60" s="1593">
        <f>IFERROR(VLOOKUP($B60,'F13B_20-21_True Up'!$B$12:$EN$392,138,0),0)</f>
        <v>0</v>
      </c>
      <c r="L60" s="1593">
        <f>IFERROR(VLOOKUP($B60,'F13B_20-21_True Up'!$B$12:$EN$392,140,0),0)</f>
        <v>0</v>
      </c>
      <c r="M60" s="1594">
        <f t="shared" si="7"/>
        <v>0</v>
      </c>
      <c r="N60" s="1763">
        <f t="shared" si="8"/>
        <v>0</v>
      </c>
      <c r="O60" s="1770">
        <v>182.37925630000001</v>
      </c>
      <c r="P60" s="1771">
        <f t="shared" si="0"/>
        <v>-182.37925630000001</v>
      </c>
    </row>
    <row r="61" spans="1:16">
      <c r="A61" s="1760">
        <v>14</v>
      </c>
      <c r="B61" s="1761" t="s">
        <v>1690</v>
      </c>
      <c r="C61" s="1764">
        <v>840</v>
      </c>
      <c r="D61" s="1767">
        <f>IFERROR(VLOOKUP($B61,#REF!,3,0),0)</f>
        <v>0</v>
      </c>
      <c r="E61" s="1764">
        <f>IFERROR(VLOOKUP($B61,#REF!,4,0),0)</f>
        <v>0</v>
      </c>
      <c r="F61" s="1767">
        <v>8.5000000000000006E-2</v>
      </c>
      <c r="G61" s="1772">
        <f t="shared" si="9"/>
        <v>0.1</v>
      </c>
      <c r="H61" s="1764">
        <v>84</v>
      </c>
      <c r="I61" s="1593">
        <f>IFERROR(VLOOKUP($B61,'F13B_20-21_True Up'!$B$12:$EN$392,134,0),0)</f>
        <v>0</v>
      </c>
      <c r="J61" s="1593">
        <f>IFERROR(VLOOKUP($B61,'F13B_20-21_True Up'!$B$12:$EN$392,136,0),0)</f>
        <v>0</v>
      </c>
      <c r="K61" s="1593">
        <f>IFERROR(VLOOKUP($B61,'F13B_20-21_True Up'!$B$12:$EN$392,138,0),0)</f>
        <v>0</v>
      </c>
      <c r="L61" s="1593">
        <f>IFERROR(VLOOKUP($B61,'F13B_20-21_True Up'!$B$12:$EN$392,140,0),0)</f>
        <v>0</v>
      </c>
      <c r="M61" s="1594">
        <f t="shared" si="7"/>
        <v>0</v>
      </c>
      <c r="N61" s="1763">
        <f t="shared" si="8"/>
        <v>0</v>
      </c>
      <c r="O61" s="1770">
        <v>268.09281350000003</v>
      </c>
      <c r="P61" s="1771">
        <f t="shared" si="0"/>
        <v>-268.09281350000003</v>
      </c>
    </row>
    <row r="62" spans="1:16">
      <c r="A62" s="1760">
        <v>15</v>
      </c>
      <c r="B62" s="1761" t="s">
        <v>1691</v>
      </c>
      <c r="C62" s="1764">
        <v>980</v>
      </c>
      <c r="D62" s="1767">
        <f>IFERROR(VLOOKUP($B62,#REF!,3,0),0)</f>
        <v>0</v>
      </c>
      <c r="E62" s="1764">
        <f>IFERROR(VLOOKUP($B62,#REF!,4,0),0)</f>
        <v>0</v>
      </c>
      <c r="F62" s="1767">
        <v>5.7500000000000002E-2</v>
      </c>
      <c r="G62" s="1772">
        <f t="shared" si="9"/>
        <v>0.1</v>
      </c>
      <c r="H62" s="1764">
        <v>98</v>
      </c>
      <c r="I62" s="1593">
        <f>IFERROR(VLOOKUP($B62,'F13B_20-21_True Up'!$B$12:$EN$392,134,0),0)</f>
        <v>0</v>
      </c>
      <c r="J62" s="1593">
        <f>IFERROR(VLOOKUP($B62,'F13B_20-21_True Up'!$B$12:$EN$392,136,0),0)</f>
        <v>0</v>
      </c>
      <c r="K62" s="1593">
        <f>IFERROR(VLOOKUP($B62,'F13B_20-21_True Up'!$B$12:$EN$392,138,0),0)</f>
        <v>0</v>
      </c>
      <c r="L62" s="1593">
        <f>IFERROR(VLOOKUP($B62,'F13B_20-21_True Up'!$B$12:$EN$392,140,0),0)</f>
        <v>0</v>
      </c>
      <c r="M62" s="1594">
        <f t="shared" si="7"/>
        <v>0</v>
      </c>
      <c r="N62" s="1763">
        <f t="shared" si="8"/>
        <v>0</v>
      </c>
      <c r="O62" s="1770">
        <v>497.97353880000003</v>
      </c>
      <c r="P62" s="1771">
        <f t="shared" si="0"/>
        <v>-497.97353880000003</v>
      </c>
    </row>
    <row r="63" spans="1:16">
      <c r="A63" s="1760">
        <v>16</v>
      </c>
      <c r="B63" s="1761" t="s">
        <v>1692</v>
      </c>
      <c r="C63" s="1764">
        <v>1000</v>
      </c>
      <c r="D63" s="1767">
        <f>IFERROR(VLOOKUP($B63,#REF!,3,0),0)</f>
        <v>0</v>
      </c>
      <c r="E63" s="1764">
        <f>IFERROR(VLOOKUP($B63,#REF!,4,0),0)</f>
        <v>0</v>
      </c>
      <c r="F63" s="1767">
        <v>0.08</v>
      </c>
      <c r="G63" s="1772">
        <f t="shared" si="9"/>
        <v>0.32569999999999999</v>
      </c>
      <c r="H63" s="1764">
        <v>325.7</v>
      </c>
      <c r="I63" s="1593">
        <f>IFERROR(VLOOKUP($B63,'F13B_20-21_True Up'!$B$12:$EN$392,134,0),0)</f>
        <v>0</v>
      </c>
      <c r="J63" s="1593">
        <f>IFERROR(VLOOKUP($B63,'F13B_20-21_True Up'!$B$12:$EN$392,136,0),0)</f>
        <v>0</v>
      </c>
      <c r="K63" s="1593">
        <f>IFERROR(VLOOKUP($B63,'F13B_20-21_True Up'!$B$12:$EN$392,138,0),0)</f>
        <v>0</v>
      </c>
      <c r="L63" s="1593">
        <f>IFERROR(VLOOKUP($B63,'F13B_20-21_True Up'!$B$12:$EN$392,140,0),0)</f>
        <v>0</v>
      </c>
      <c r="M63" s="1594">
        <f t="shared" si="7"/>
        <v>0</v>
      </c>
      <c r="N63" s="1763">
        <f t="shared" si="8"/>
        <v>0</v>
      </c>
      <c r="O63" s="1770">
        <v>439.22749270000003</v>
      </c>
      <c r="P63" s="1771">
        <f t="shared" si="0"/>
        <v>-439.22749270000003</v>
      </c>
    </row>
    <row r="64" spans="1:16">
      <c r="A64" s="1760">
        <v>17</v>
      </c>
      <c r="B64" s="1761" t="s">
        <v>1693</v>
      </c>
      <c r="C64" s="1764">
        <v>1000</v>
      </c>
      <c r="D64" s="1767">
        <f>IFERROR(VLOOKUP($B64,#REF!,3,0),0)</f>
        <v>0</v>
      </c>
      <c r="E64" s="1764">
        <f>IFERROR(VLOOKUP($B64,#REF!,4,0),0)</f>
        <v>0</v>
      </c>
      <c r="F64" s="1767">
        <v>6.25E-2</v>
      </c>
      <c r="G64" s="1772">
        <f t="shared" si="9"/>
        <v>0.29599999999999999</v>
      </c>
      <c r="H64" s="1764">
        <v>296</v>
      </c>
      <c r="I64" s="1593">
        <f>IFERROR(VLOOKUP($B64,'F13B_20-21_True Up'!$B$12:$EN$392,134,0),0)</f>
        <v>0</v>
      </c>
      <c r="J64" s="1593">
        <f>IFERROR(VLOOKUP($B64,'F13B_20-21_True Up'!$B$12:$EN$392,136,0),0)</f>
        <v>0</v>
      </c>
      <c r="K64" s="1593">
        <f>IFERROR(VLOOKUP($B64,'F13B_20-21_True Up'!$B$12:$EN$392,138,0),0)</f>
        <v>0</v>
      </c>
      <c r="L64" s="1593">
        <f>IFERROR(VLOOKUP($B64,'F13B_20-21_True Up'!$B$12:$EN$392,140,0),0)</f>
        <v>0</v>
      </c>
      <c r="M64" s="1594">
        <f t="shared" si="7"/>
        <v>0</v>
      </c>
      <c r="N64" s="1763">
        <f t="shared" si="8"/>
        <v>0</v>
      </c>
      <c r="O64" s="1770">
        <v>714.06994090000001</v>
      </c>
      <c r="P64" s="1771">
        <f t="shared" si="0"/>
        <v>-714.06994090000001</v>
      </c>
    </row>
    <row r="65" spans="1:16">
      <c r="A65" s="1760">
        <v>18</v>
      </c>
      <c r="B65" s="1761" t="s">
        <v>1694</v>
      </c>
      <c r="C65" s="1764">
        <v>1000</v>
      </c>
      <c r="D65" s="1767">
        <f>IFERROR(VLOOKUP($B65,#REF!,3,0),0)</f>
        <v>0</v>
      </c>
      <c r="E65" s="1764">
        <f>IFERROR(VLOOKUP($B65,#REF!,4,0),0)</f>
        <v>0</v>
      </c>
      <c r="F65" s="1767">
        <v>6.25E-2</v>
      </c>
      <c r="G65" s="1772">
        <f t="shared" si="9"/>
        <v>0.32</v>
      </c>
      <c r="H65" s="1764">
        <v>320</v>
      </c>
      <c r="I65" s="1593">
        <f>IFERROR(VLOOKUP($B65,'F13B_20-21_True Up'!$B$12:$EN$392,134,0),0)</f>
        <v>0</v>
      </c>
      <c r="J65" s="1593">
        <f>IFERROR(VLOOKUP($B65,'F13B_20-21_True Up'!$B$12:$EN$392,136,0),0)</f>
        <v>0</v>
      </c>
      <c r="K65" s="1593">
        <f>IFERROR(VLOOKUP($B65,'F13B_20-21_True Up'!$B$12:$EN$392,138,0),0)</f>
        <v>0</v>
      </c>
      <c r="L65" s="1593">
        <f>IFERROR(VLOOKUP($B65,'F13B_20-21_True Up'!$B$12:$EN$392,140,0),0)</f>
        <v>0</v>
      </c>
      <c r="M65" s="1594">
        <f t="shared" si="7"/>
        <v>0</v>
      </c>
      <c r="N65" s="1763">
        <f t="shared" si="8"/>
        <v>0</v>
      </c>
      <c r="O65" s="1770">
        <v>1066.5938263</v>
      </c>
      <c r="P65" s="1771">
        <f t="shared" si="0"/>
        <v>-1066.5938263</v>
      </c>
    </row>
    <row r="66" spans="1:16">
      <c r="A66" s="1760">
        <v>19</v>
      </c>
      <c r="B66" s="1761" t="s">
        <v>1695</v>
      </c>
      <c r="C66" s="1764">
        <v>2000</v>
      </c>
      <c r="D66" s="1767">
        <f>IFERROR(VLOOKUP($B66,#REF!,3,0),0)</f>
        <v>0</v>
      </c>
      <c r="E66" s="1764">
        <f>IFERROR(VLOOKUP($B66,#REF!,4,0),0)</f>
        <v>0</v>
      </c>
      <c r="F66" s="1767">
        <v>7.1300000000000002E-2</v>
      </c>
      <c r="G66" s="1772">
        <f t="shared" si="9"/>
        <v>0.37680000000000002</v>
      </c>
      <c r="H66" s="1764">
        <v>753.6</v>
      </c>
      <c r="I66" s="1593">
        <f>IFERROR(VLOOKUP($B66,'F13B_20-21_True Up'!$B$12:$EN$392,134,0),0)</f>
        <v>0</v>
      </c>
      <c r="J66" s="1593">
        <f>IFERROR(VLOOKUP($B66,'F13B_20-21_True Up'!$B$12:$EN$392,136,0),0)</f>
        <v>0</v>
      </c>
      <c r="K66" s="1593">
        <f>IFERROR(VLOOKUP($B66,'F13B_20-21_True Up'!$B$12:$EN$392,138,0),0)</f>
        <v>0</v>
      </c>
      <c r="L66" s="1593">
        <f>IFERROR(VLOOKUP($B66,'F13B_20-21_True Up'!$B$12:$EN$392,140,0),0)</f>
        <v>0</v>
      </c>
      <c r="M66" s="1594">
        <f t="shared" si="7"/>
        <v>0</v>
      </c>
      <c r="N66" s="1763">
        <f t="shared" si="8"/>
        <v>0</v>
      </c>
      <c r="O66" s="1770">
        <v>4.9047947999999995</v>
      </c>
      <c r="P66" s="1771">
        <f t="shared" si="0"/>
        <v>-4.9047947999999995</v>
      </c>
    </row>
    <row r="67" spans="1:16">
      <c r="A67" s="1760">
        <v>20</v>
      </c>
      <c r="B67" s="1761" t="s">
        <v>1696</v>
      </c>
      <c r="C67" s="1764">
        <v>2100</v>
      </c>
      <c r="D67" s="1767">
        <f>IFERROR(VLOOKUP($B67,#REF!,3,0),0)</f>
        <v>0</v>
      </c>
      <c r="E67" s="1764">
        <f>IFERROR(VLOOKUP($B67,#REF!,4,0),0)</f>
        <v>0</v>
      </c>
      <c r="F67" s="1767">
        <v>7.0400000000000004E-2</v>
      </c>
      <c r="G67" s="1772">
        <f t="shared" si="9"/>
        <v>1.8047619047619047E-3</v>
      </c>
      <c r="H67" s="1764">
        <v>3.79</v>
      </c>
      <c r="I67" s="1593">
        <f>IFERROR(VLOOKUP($B67,'F13B_20-21_True Up'!$B$12:$EN$392,134,0),0)</f>
        <v>0</v>
      </c>
      <c r="J67" s="1593">
        <f>IFERROR(VLOOKUP($B67,'F13B_20-21_True Up'!$B$12:$EN$392,136,0),0)</f>
        <v>0</v>
      </c>
      <c r="K67" s="1593">
        <f>IFERROR(VLOOKUP($B67,'F13B_20-21_True Up'!$B$12:$EN$392,138,0),0)</f>
        <v>0</v>
      </c>
      <c r="L67" s="1593">
        <f>IFERROR(VLOOKUP($B67,'F13B_20-21_True Up'!$B$12:$EN$392,140,0),0)</f>
        <v>0</v>
      </c>
      <c r="M67" s="1594">
        <f t="shared" si="7"/>
        <v>0</v>
      </c>
      <c r="N67" s="1763">
        <f t="shared" si="8"/>
        <v>0</v>
      </c>
      <c r="O67" s="1770">
        <v>2.5938753999999999</v>
      </c>
      <c r="P67" s="1771">
        <f t="shared" si="0"/>
        <v>-2.5938753999999999</v>
      </c>
    </row>
    <row r="68" spans="1:16">
      <c r="A68" s="1760">
        <v>21</v>
      </c>
      <c r="B68" s="1761" t="s">
        <v>1697</v>
      </c>
      <c r="C68" s="1764">
        <v>500</v>
      </c>
      <c r="D68" s="1767">
        <f>IFERROR(VLOOKUP($B68,#REF!,3,0),0)</f>
        <v>0</v>
      </c>
      <c r="E68" s="1764">
        <f>IFERROR(VLOOKUP($B68,#REF!,4,0),0)</f>
        <v>0</v>
      </c>
      <c r="F68" s="1767">
        <v>6.25E-2</v>
      </c>
      <c r="G68" s="1772">
        <f t="shared" si="9"/>
        <v>2.82E-3</v>
      </c>
      <c r="H68" s="1764">
        <v>1.41</v>
      </c>
      <c r="I68" s="1593">
        <f>IFERROR(VLOOKUP($B68,'F13B_20-21_True Up'!$B$12:$EN$392,134,0),0)</f>
        <v>0</v>
      </c>
      <c r="J68" s="1593">
        <f>IFERROR(VLOOKUP($B68,'F13B_20-21_True Up'!$B$12:$EN$392,136,0),0)</f>
        <v>0</v>
      </c>
      <c r="K68" s="1593">
        <f>IFERROR(VLOOKUP($B68,'F13B_20-21_True Up'!$B$12:$EN$392,138,0),0)</f>
        <v>0</v>
      </c>
      <c r="L68" s="1593">
        <f>IFERROR(VLOOKUP($B68,'F13B_20-21_True Up'!$B$12:$EN$392,140,0),0)</f>
        <v>0</v>
      </c>
      <c r="M68" s="1594">
        <f t="shared" si="7"/>
        <v>0</v>
      </c>
      <c r="N68" s="1763">
        <f t="shared" si="8"/>
        <v>0</v>
      </c>
      <c r="O68" s="1770">
        <v>20.637168500000001</v>
      </c>
      <c r="P68" s="1771">
        <f t="shared" si="0"/>
        <v>-20.637168500000001</v>
      </c>
    </row>
    <row r="69" spans="1:16">
      <c r="A69" s="1760">
        <v>22</v>
      </c>
      <c r="B69" s="1761" t="s">
        <v>1698</v>
      </c>
      <c r="C69" s="1764">
        <v>1000</v>
      </c>
      <c r="D69" s="1767">
        <f>IFERROR(VLOOKUP($B69,#REF!,3,0),0)</f>
        <v>0</v>
      </c>
      <c r="E69" s="1764">
        <f>IFERROR(VLOOKUP($B69,#REF!,4,0),0)</f>
        <v>0</v>
      </c>
      <c r="F69" s="1767">
        <v>6.25E-2</v>
      </c>
      <c r="G69" s="1772">
        <f t="shared" si="9"/>
        <v>2.82E-3</v>
      </c>
      <c r="H69" s="1764">
        <v>2.82</v>
      </c>
      <c r="I69" s="1593">
        <f>IFERROR(VLOOKUP($B69,'F13B_20-21_True Up'!$B$12:$EN$392,134,0),0)</f>
        <v>0</v>
      </c>
      <c r="J69" s="1593">
        <f>IFERROR(VLOOKUP($B69,'F13B_20-21_True Up'!$B$12:$EN$392,136,0),0)</f>
        <v>0</v>
      </c>
      <c r="K69" s="1593">
        <f>IFERROR(VLOOKUP($B69,'F13B_20-21_True Up'!$B$12:$EN$392,138,0),0)</f>
        <v>0</v>
      </c>
      <c r="L69" s="1593">
        <f>IFERROR(VLOOKUP($B69,'F13B_20-21_True Up'!$B$12:$EN$392,140,0),0)</f>
        <v>0</v>
      </c>
      <c r="M69" s="1594">
        <f t="shared" si="7"/>
        <v>0</v>
      </c>
      <c r="N69" s="1763">
        <f t="shared" si="8"/>
        <v>0</v>
      </c>
      <c r="O69" s="1770">
        <v>22.407188400000003</v>
      </c>
      <c r="P69" s="1771">
        <f t="shared" si="0"/>
        <v>-22.407188400000003</v>
      </c>
    </row>
    <row r="70" spans="1:16">
      <c r="A70" s="1760">
        <v>23</v>
      </c>
      <c r="B70" s="1761" t="s">
        <v>1699</v>
      </c>
      <c r="C70" s="1764">
        <v>1320</v>
      </c>
      <c r="D70" s="1767">
        <f>IFERROR(VLOOKUP($B70,#REF!,3,0),0)</f>
        <v>0</v>
      </c>
      <c r="E70" s="1764">
        <f>IFERROR(VLOOKUP($B70,#REF!,4,0),0)</f>
        <v>0</v>
      </c>
      <c r="F70" s="1767">
        <v>6.25E-2</v>
      </c>
      <c r="G70" s="1772">
        <f t="shared" si="9"/>
        <v>2.8181818181818182E-3</v>
      </c>
      <c r="H70" s="1764">
        <v>3.72</v>
      </c>
      <c r="I70" s="1593">
        <f>IFERROR(VLOOKUP($B70,'F13B_20-21_True Up'!$B$12:$EN$392,134,0),0)</f>
        <v>0</v>
      </c>
      <c r="J70" s="1593">
        <f>IFERROR(VLOOKUP($B70,'F13B_20-21_True Up'!$B$12:$EN$392,136,0),0)</f>
        <v>0</v>
      </c>
      <c r="K70" s="1593">
        <f>IFERROR(VLOOKUP($B70,'F13B_20-21_True Up'!$B$12:$EN$392,138,0),0)</f>
        <v>0</v>
      </c>
      <c r="L70" s="1593">
        <f>IFERROR(VLOOKUP($B70,'F13B_20-21_True Up'!$B$12:$EN$392,140,0),0)</f>
        <v>0</v>
      </c>
      <c r="M70" s="1594">
        <f t="shared" si="7"/>
        <v>0</v>
      </c>
      <c r="N70" s="1763">
        <f t="shared" si="8"/>
        <v>0</v>
      </c>
      <c r="O70" s="1770">
        <v>4.7442732999999997</v>
      </c>
      <c r="P70" s="1771">
        <f t="shared" si="0"/>
        <v>-4.7442732999999997</v>
      </c>
    </row>
    <row r="71" spans="1:16">
      <c r="A71" s="1760">
        <v>24</v>
      </c>
      <c r="B71" s="1761" t="s">
        <v>1700</v>
      </c>
      <c r="C71" s="1764">
        <v>660</v>
      </c>
      <c r="D71" s="1767">
        <f>IFERROR(VLOOKUP($B71,#REF!,3,0),0)</f>
        <v>0</v>
      </c>
      <c r="E71" s="1764">
        <f>IFERROR(VLOOKUP($B71,#REF!,4,0),0)</f>
        <v>0</v>
      </c>
      <c r="F71" s="1767">
        <v>6.25E-2</v>
      </c>
      <c r="G71" s="1772">
        <f t="shared" si="9"/>
        <v>5.6363636363636364E-3</v>
      </c>
      <c r="H71" s="1764">
        <v>3.72</v>
      </c>
      <c r="I71" s="1593">
        <f>IFERROR(VLOOKUP($B71,'F13B_20-21_True Up'!$B$12:$EN$392,134,0),0)</f>
        <v>0</v>
      </c>
      <c r="J71" s="1593">
        <f>IFERROR(VLOOKUP($B71,'F13B_20-21_True Up'!$B$12:$EN$392,136,0),0)</f>
        <v>0</v>
      </c>
      <c r="K71" s="1593">
        <f>IFERROR(VLOOKUP($B71,'F13B_20-21_True Up'!$B$12:$EN$392,138,0),0)</f>
        <v>0</v>
      </c>
      <c r="L71" s="1593">
        <f>IFERROR(VLOOKUP($B71,'F13B_20-21_True Up'!$B$12:$EN$392,140,0),0)</f>
        <v>0</v>
      </c>
      <c r="M71" s="1594">
        <f t="shared" si="7"/>
        <v>0</v>
      </c>
      <c r="N71" s="1763">
        <f t="shared" si="8"/>
        <v>0</v>
      </c>
      <c r="O71" s="1770">
        <v>9.8928902999999995</v>
      </c>
      <c r="P71" s="1771">
        <f t="shared" si="0"/>
        <v>-9.8928902999999995</v>
      </c>
    </row>
    <row r="72" spans="1:16">
      <c r="A72" s="1760">
        <v>25</v>
      </c>
      <c r="B72" s="1761" t="s">
        <v>1701</v>
      </c>
      <c r="C72" s="1764">
        <v>1980</v>
      </c>
      <c r="D72" s="1767">
        <f>IFERROR(VLOOKUP($B72,#REF!,3,0),0)</f>
        <v>0</v>
      </c>
      <c r="E72" s="1764">
        <f>IFERROR(VLOOKUP($B72,#REF!,4,0),0)</f>
        <v>0</v>
      </c>
      <c r="F72" s="1767">
        <v>6.25E-2</v>
      </c>
      <c r="G72" s="1772">
        <f t="shared" si="9"/>
        <v>2.8181818181818182E-3</v>
      </c>
      <c r="H72" s="1764">
        <v>5.58</v>
      </c>
      <c r="I72" s="1593">
        <f>IFERROR(VLOOKUP($B72,'F13B_20-21_True Up'!$B$12:$EN$392,134,0),0)</f>
        <v>0</v>
      </c>
      <c r="J72" s="1593">
        <f>IFERROR(VLOOKUP($B72,'F13B_20-21_True Up'!$B$12:$EN$392,136,0),0)</f>
        <v>0</v>
      </c>
      <c r="K72" s="1593">
        <f>IFERROR(VLOOKUP($B72,'F13B_20-21_True Up'!$B$12:$EN$392,138,0),0)</f>
        <v>0</v>
      </c>
      <c r="L72" s="1593">
        <f>IFERROR(VLOOKUP($B72,'F13B_20-21_True Up'!$B$12:$EN$392,140,0),0)</f>
        <v>0</v>
      </c>
      <c r="M72" s="1594">
        <f t="shared" si="7"/>
        <v>0</v>
      </c>
      <c r="N72" s="1763">
        <f t="shared" si="8"/>
        <v>0</v>
      </c>
      <c r="O72" s="1770">
        <v>4.1353884000000001</v>
      </c>
      <c r="P72" s="1771">
        <f t="shared" si="0"/>
        <v>-4.1353884000000001</v>
      </c>
    </row>
    <row r="73" spans="1:16">
      <c r="A73" s="1760">
        <v>26</v>
      </c>
      <c r="B73" s="1761" t="s">
        <v>1702</v>
      </c>
      <c r="C73" s="1764">
        <v>1000</v>
      </c>
      <c r="D73" s="1767">
        <f>IFERROR(VLOOKUP($B73,#REF!,3,0),0)</f>
        <v>0</v>
      </c>
      <c r="E73" s="1764">
        <f>IFERROR(VLOOKUP($B73,#REF!,4,0),0)</f>
        <v>0</v>
      </c>
      <c r="F73" s="1767">
        <v>6.25E-2</v>
      </c>
      <c r="G73" s="1772">
        <f t="shared" si="9"/>
        <v>2.3700000000000001E-3</v>
      </c>
      <c r="H73" s="1764">
        <v>2.37</v>
      </c>
      <c r="I73" s="1593">
        <f>IFERROR(VLOOKUP($B73,'F13B_20-21_True Up'!$B$12:$EN$392,134,0),0)</f>
        <v>0</v>
      </c>
      <c r="J73" s="1593">
        <f>IFERROR(VLOOKUP($B73,'F13B_20-21_True Up'!$B$12:$EN$392,136,0),0)</f>
        <v>0</v>
      </c>
      <c r="K73" s="1593">
        <f>IFERROR(VLOOKUP($B73,'F13B_20-21_True Up'!$B$12:$EN$392,138,0),0)</f>
        <v>0</v>
      </c>
      <c r="L73" s="1593">
        <f>IFERROR(VLOOKUP($B73,'F13B_20-21_True Up'!$B$12:$EN$392,140,0),0)</f>
        <v>0</v>
      </c>
      <c r="M73" s="1594">
        <f t="shared" si="7"/>
        <v>0</v>
      </c>
      <c r="N73" s="1763">
        <f t="shared" si="8"/>
        <v>0</v>
      </c>
      <c r="O73" s="1770">
        <v>8.6467518999999999</v>
      </c>
      <c r="P73" s="1771">
        <f t="shared" si="0"/>
        <v>-8.6467518999999999</v>
      </c>
    </row>
    <row r="74" spans="1:16">
      <c r="A74" s="1760">
        <v>27</v>
      </c>
      <c r="B74" s="1761" t="s">
        <v>1703</v>
      </c>
      <c r="C74" s="1764">
        <v>1260</v>
      </c>
      <c r="D74" s="1767">
        <f>IFERROR(VLOOKUP($B74,#REF!,3,0),0)</f>
        <v>0</v>
      </c>
      <c r="E74" s="1764">
        <f>IFERROR(VLOOKUP($B74,#REF!,4,0),0)</f>
        <v>0</v>
      </c>
      <c r="F74" s="1767">
        <v>0.09</v>
      </c>
      <c r="G74" s="1772">
        <f t="shared" si="9"/>
        <v>2.5952380952380953E-3</v>
      </c>
      <c r="H74" s="1764">
        <v>3.27</v>
      </c>
      <c r="I74" s="1593">
        <f>IFERROR(VLOOKUP($B74,'F13B_20-21_True Up'!$B$12:$EN$392,134,0),0)</f>
        <v>0</v>
      </c>
      <c r="J74" s="1593">
        <f>IFERROR(VLOOKUP($B74,'F13B_20-21_True Up'!$B$12:$EN$392,136,0),0)</f>
        <v>0</v>
      </c>
      <c r="K74" s="1593">
        <f>IFERROR(VLOOKUP($B74,'F13B_20-21_True Up'!$B$12:$EN$392,138,0),0)</f>
        <v>0</v>
      </c>
      <c r="L74" s="1593">
        <f>IFERROR(VLOOKUP($B74,'F13B_20-21_True Up'!$B$12:$EN$392,140,0),0)</f>
        <v>0</v>
      </c>
      <c r="M74" s="1594">
        <f t="shared" si="7"/>
        <v>0</v>
      </c>
      <c r="N74" s="1763">
        <f t="shared" si="8"/>
        <v>0</v>
      </c>
      <c r="O74" s="1770">
        <v>4.1673767000000002</v>
      </c>
      <c r="P74" s="1771">
        <f t="shared" si="0"/>
        <v>-4.1673767000000002</v>
      </c>
    </row>
    <row r="75" spans="1:16">
      <c r="A75" s="1760">
        <v>28</v>
      </c>
      <c r="B75" s="1761" t="s">
        <v>1704</v>
      </c>
      <c r="C75" s="1764">
        <v>1000</v>
      </c>
      <c r="D75" s="1767">
        <f>IFERROR(VLOOKUP($B75,#REF!,3,0),0)</f>
        <v>0</v>
      </c>
      <c r="E75" s="1764">
        <f>IFERROR(VLOOKUP($B75,#REF!,4,0),0)</f>
        <v>0</v>
      </c>
      <c r="F75" s="1767">
        <v>7.0499999999999993E-2</v>
      </c>
      <c r="G75" s="1772">
        <f t="shared" si="9"/>
        <v>2.48E-3</v>
      </c>
      <c r="H75" s="1764">
        <v>2.48</v>
      </c>
      <c r="I75" s="1593">
        <f>IFERROR(VLOOKUP($B75,'F13B_20-21_True Up'!$B$12:$EN$392,134,0),0)</f>
        <v>0</v>
      </c>
      <c r="J75" s="1593">
        <f>IFERROR(VLOOKUP($B75,'F13B_20-21_True Up'!$B$12:$EN$392,136,0),0)</f>
        <v>0</v>
      </c>
      <c r="K75" s="1593">
        <f>IFERROR(VLOOKUP($B75,'F13B_20-21_True Up'!$B$12:$EN$392,138,0),0)</f>
        <v>0</v>
      </c>
      <c r="L75" s="1593">
        <f>IFERROR(VLOOKUP($B75,'F13B_20-21_True Up'!$B$12:$EN$392,140,0),0)</f>
        <v>0</v>
      </c>
      <c r="M75" s="1594">
        <f t="shared" si="7"/>
        <v>0</v>
      </c>
      <c r="N75" s="1763">
        <f t="shared" si="8"/>
        <v>0</v>
      </c>
      <c r="O75" s="1770">
        <v>6.3931794999999996</v>
      </c>
      <c r="P75" s="1771">
        <f t="shared" si="0"/>
        <v>-6.3931794999999996</v>
      </c>
    </row>
    <row r="76" spans="1:16">
      <c r="A76" s="1760">
        <v>29</v>
      </c>
      <c r="B76" s="1761" t="s">
        <v>1705</v>
      </c>
      <c r="C76" s="1764">
        <v>1000</v>
      </c>
      <c r="D76" s="1767">
        <f>IFERROR(VLOOKUP($B76,#REF!,3,0),0)</f>
        <v>0</v>
      </c>
      <c r="E76" s="1764">
        <f>IFERROR(VLOOKUP($B76,#REF!,4,0),0)</f>
        <v>0</v>
      </c>
      <c r="F76" s="1767">
        <v>6.25E-2</v>
      </c>
      <c r="G76" s="1772">
        <f t="shared" si="9"/>
        <v>2.48E-3</v>
      </c>
      <c r="H76" s="1764">
        <v>2.48</v>
      </c>
      <c r="I76" s="1593">
        <f>IFERROR(VLOOKUP($B76,'F13B_20-21_True Up'!$B$12:$EN$392,134,0),0)</f>
        <v>0</v>
      </c>
      <c r="J76" s="1593">
        <f>IFERROR(VLOOKUP($B76,'F13B_20-21_True Up'!$B$12:$EN$392,136,0),0)</f>
        <v>0</v>
      </c>
      <c r="K76" s="1593">
        <f>IFERROR(VLOOKUP($B76,'F13B_20-21_True Up'!$B$12:$EN$392,138,0),0)</f>
        <v>0</v>
      </c>
      <c r="L76" s="1593">
        <f>IFERROR(VLOOKUP($B76,'F13B_20-21_True Up'!$B$12:$EN$392,140,0),0)</f>
        <v>0</v>
      </c>
      <c r="M76" s="1594">
        <f t="shared" si="7"/>
        <v>0</v>
      </c>
      <c r="N76" s="1763">
        <f t="shared" si="8"/>
        <v>0</v>
      </c>
      <c r="O76" s="1770">
        <v>6.4931470999999998</v>
      </c>
      <c r="P76" s="1771">
        <f t="shared" si="0"/>
        <v>-6.4931470999999998</v>
      </c>
    </row>
    <row r="77" spans="1:16">
      <c r="A77" s="1760">
        <v>30</v>
      </c>
      <c r="B77" s="1761" t="s">
        <v>1706</v>
      </c>
      <c r="C77" s="1764">
        <v>1000</v>
      </c>
      <c r="D77" s="1767">
        <f>IFERROR(VLOOKUP($B77,#REF!,3,0),0)</f>
        <v>0</v>
      </c>
      <c r="E77" s="1764">
        <f>IFERROR(VLOOKUP($B77,#REF!,4,0),0)</f>
        <v>0</v>
      </c>
      <c r="F77" s="1767">
        <v>6.25E-2</v>
      </c>
      <c r="G77" s="1772">
        <f t="shared" si="9"/>
        <v>2.82E-3</v>
      </c>
      <c r="H77" s="1764">
        <v>2.82</v>
      </c>
      <c r="I77" s="1593">
        <f>IFERROR(VLOOKUP($B77,'F13B_20-21_True Up'!$B$12:$EN$392,134,0),0)</f>
        <v>0</v>
      </c>
      <c r="J77" s="1593">
        <f>IFERROR(VLOOKUP($B77,'F13B_20-21_True Up'!$B$12:$EN$392,136,0),0)</f>
        <v>0</v>
      </c>
      <c r="K77" s="1593">
        <f>IFERROR(VLOOKUP($B77,'F13B_20-21_True Up'!$B$12:$EN$392,138,0),0)</f>
        <v>0</v>
      </c>
      <c r="L77" s="1593">
        <f>IFERROR(VLOOKUP($B77,'F13B_20-21_True Up'!$B$12:$EN$392,140,0),0)</f>
        <v>0</v>
      </c>
      <c r="M77" s="1594">
        <f t="shared" si="7"/>
        <v>0</v>
      </c>
      <c r="N77" s="1763">
        <f t="shared" si="8"/>
        <v>0</v>
      </c>
      <c r="O77" s="1770">
        <v>4.7501003999999991</v>
      </c>
      <c r="P77" s="1771">
        <f t="shared" si="0"/>
        <v>-4.7501003999999991</v>
      </c>
    </row>
    <row r="78" spans="1:16">
      <c r="A78" s="1760">
        <v>31</v>
      </c>
      <c r="B78" s="1761" t="s">
        <v>1707</v>
      </c>
      <c r="C78" s="1764">
        <v>500</v>
      </c>
      <c r="D78" s="1767">
        <f>IFERROR(VLOOKUP($B78,#REF!,3,0),0)</f>
        <v>0</v>
      </c>
      <c r="E78" s="1764">
        <f>IFERROR(VLOOKUP($B78,#REF!,4,0),0)</f>
        <v>0</v>
      </c>
      <c r="F78" s="1767">
        <v>7.2499999999999995E-2</v>
      </c>
      <c r="G78" s="1772">
        <f t="shared" si="9"/>
        <v>2.82E-3</v>
      </c>
      <c r="H78" s="1764">
        <v>1.41</v>
      </c>
      <c r="I78" s="1593">
        <f>IFERROR(VLOOKUP($B78,'F13B_20-21_True Up'!$B$12:$EN$392,134,0),0)</f>
        <v>0</v>
      </c>
      <c r="J78" s="1593">
        <f>IFERROR(VLOOKUP($B78,'F13B_20-21_True Up'!$B$12:$EN$392,136,0),0)</f>
        <v>0</v>
      </c>
      <c r="K78" s="1593">
        <f>IFERROR(VLOOKUP($B78,'F13B_20-21_True Up'!$B$12:$EN$392,138,0),0)</f>
        <v>0</v>
      </c>
      <c r="L78" s="1593">
        <f>IFERROR(VLOOKUP($B78,'F13B_20-21_True Up'!$B$12:$EN$392,140,0),0)</f>
        <v>0</v>
      </c>
      <c r="M78" s="1594">
        <f t="shared" si="7"/>
        <v>0</v>
      </c>
      <c r="N78" s="1763">
        <f t="shared" si="8"/>
        <v>0</v>
      </c>
      <c r="O78" s="1770">
        <v>468.74453640000002</v>
      </c>
      <c r="P78" s="1771">
        <f t="shared" si="0"/>
        <v>-468.74453640000002</v>
      </c>
    </row>
    <row r="79" spans="1:16">
      <c r="A79" s="1760">
        <v>32</v>
      </c>
      <c r="B79" s="1761" t="s">
        <v>1854</v>
      </c>
      <c r="C79" s="1764">
        <v>1320</v>
      </c>
      <c r="D79" s="1767"/>
      <c r="E79" s="1764"/>
      <c r="F79" s="1767">
        <v>5.7500000000000002E-2</v>
      </c>
      <c r="G79" s="1772">
        <f t="shared" si="9"/>
        <v>0.71474000000000004</v>
      </c>
      <c r="H79" s="1764">
        <v>943.45680000000004</v>
      </c>
      <c r="I79" s="1593">
        <f>IFERROR(VLOOKUP($B79,'F13B_20-21_True Up'!$B$12:$EN$392,134,0),0)</f>
        <v>0</v>
      </c>
      <c r="J79" s="1593">
        <f>IFERROR(VLOOKUP($B79,'F13B_20-21_True Up'!$B$12:$EN$392,136,0),0)</f>
        <v>0</v>
      </c>
      <c r="K79" s="1593">
        <f>IFERROR(VLOOKUP($B79,'F13B_20-21_True Up'!$B$12:$EN$392,138,0),0)</f>
        <v>0</v>
      </c>
      <c r="L79" s="1593">
        <f>IFERROR(VLOOKUP($B79,'F13B_20-21_True Up'!$B$12:$EN$392,140,0),0)</f>
        <v>0</v>
      </c>
      <c r="M79" s="1594">
        <f t="shared" si="7"/>
        <v>0</v>
      </c>
      <c r="N79" s="1763">
        <f t="shared" si="8"/>
        <v>0</v>
      </c>
      <c r="O79" s="1770">
        <v>114.36285129999999</v>
      </c>
      <c r="P79" s="1771">
        <f t="shared" si="0"/>
        <v>-114.36285129999999</v>
      </c>
    </row>
    <row r="80" spans="1:16">
      <c r="A80" s="1760">
        <v>34</v>
      </c>
      <c r="B80" s="1761" t="s">
        <v>1709</v>
      </c>
      <c r="C80" s="1764">
        <v>1600</v>
      </c>
      <c r="D80" s="1767"/>
      <c r="E80" s="1764"/>
      <c r="F80" s="1767">
        <v>5.7500000000000002E-2</v>
      </c>
      <c r="G80" s="1772">
        <f t="shared" si="9"/>
        <v>0</v>
      </c>
      <c r="H80" s="1764">
        <v>0</v>
      </c>
      <c r="I80" s="1593">
        <f>IFERROR(VLOOKUP($B80,'F13B_20-21_True Up'!$B$12:$EN$392,134,0),0)</f>
        <v>0</v>
      </c>
      <c r="J80" s="1593">
        <f>IFERROR(VLOOKUP($B80,'F13B_20-21_True Up'!$B$12:$EN$392,136,0),0)</f>
        <v>0</v>
      </c>
      <c r="K80" s="1593">
        <f>IFERROR(VLOOKUP($B80,'F13B_20-21_True Up'!$B$12:$EN$392,138,0),0)</f>
        <v>0</v>
      </c>
      <c r="L80" s="1593">
        <f>IFERROR(VLOOKUP($B80,'F13B_20-21_True Up'!$B$12:$EN$392,140,0),0)</f>
        <v>0</v>
      </c>
      <c r="M80" s="1594">
        <f t="shared" si="7"/>
        <v>0</v>
      </c>
      <c r="N80" s="1763">
        <f t="shared" si="8"/>
        <v>0</v>
      </c>
      <c r="O80" s="1770">
        <v>3.1945751000000002</v>
      </c>
      <c r="P80" s="1771">
        <f t="shared" ref="P80:P137" si="10">M80-O80</f>
        <v>-3.1945751000000002</v>
      </c>
    </row>
    <row r="81" spans="1:16">
      <c r="A81" s="1760">
        <v>35</v>
      </c>
      <c r="B81" s="1761" t="s">
        <v>1710</v>
      </c>
      <c r="C81" s="1764">
        <v>1500</v>
      </c>
      <c r="D81" s="1767"/>
      <c r="E81" s="1764">
        <f>IFERROR(VLOOKUP($B81,#REF!,4,0),0)</f>
        <v>0</v>
      </c>
      <c r="F81" s="1767">
        <v>5.7500000000000002E-2</v>
      </c>
      <c r="G81" s="1772">
        <f t="shared" si="9"/>
        <v>0</v>
      </c>
      <c r="H81" s="1764">
        <v>0</v>
      </c>
      <c r="I81" s="1593">
        <f>IFERROR(VLOOKUP($B81,'F13B_20-21_True Up'!$B$12:$EN$392,134,0),0)</f>
        <v>0</v>
      </c>
      <c r="J81" s="1593">
        <f>IFERROR(VLOOKUP($B81,'F13B_20-21_True Up'!$B$12:$EN$392,136,0),0)</f>
        <v>0</v>
      </c>
      <c r="K81" s="1593">
        <f>IFERROR(VLOOKUP($B81,'F13B_20-21_True Up'!$B$12:$EN$392,138,0),0)</f>
        <v>0</v>
      </c>
      <c r="L81" s="1593">
        <f>IFERROR(VLOOKUP($B81,'F13B_20-21_True Up'!$B$12:$EN$392,140,0),0)</f>
        <v>0</v>
      </c>
      <c r="M81" s="1594">
        <f t="shared" si="7"/>
        <v>0</v>
      </c>
      <c r="N81" s="1763">
        <f t="shared" si="8"/>
        <v>0</v>
      </c>
      <c r="O81" s="1770">
        <v>2.5687658999999998</v>
      </c>
      <c r="P81" s="1771">
        <f t="shared" si="10"/>
        <v>-2.5687658999999998</v>
      </c>
    </row>
    <row r="82" spans="1:16">
      <c r="A82" s="1760">
        <v>36</v>
      </c>
      <c r="B82" s="1598" t="s">
        <v>1711</v>
      </c>
      <c r="C82" s="1764">
        <v>800</v>
      </c>
      <c r="D82" s="1767"/>
      <c r="E82" s="1764">
        <f>IFERROR(VLOOKUP($B82,#REF!,4,0),0)</f>
        <v>0</v>
      </c>
      <c r="F82" s="1767">
        <v>5.7500000000000002E-2</v>
      </c>
      <c r="G82" s="1772">
        <f t="shared" si="9"/>
        <v>2.4124999999999997E-3</v>
      </c>
      <c r="H82" s="1764">
        <v>1.93</v>
      </c>
      <c r="I82" s="1593">
        <f>IFERROR(VLOOKUP($B82,'F13B_20-21_True Up'!$B$12:$EN$392,134,0),0)</f>
        <v>0</v>
      </c>
      <c r="J82" s="1593">
        <f>IFERROR(VLOOKUP($B82,'F13B_20-21_True Up'!$B$12:$EN$392,136,0),0)</f>
        <v>0</v>
      </c>
      <c r="K82" s="1593">
        <f>IFERROR(VLOOKUP($B82,'F13B_20-21_True Up'!$B$12:$EN$392,138,0),0)</f>
        <v>0</v>
      </c>
      <c r="L82" s="1593">
        <f>IFERROR(VLOOKUP($B82,'F13B_20-21_True Up'!$B$12:$EN$392,140,0),0)</f>
        <v>0</v>
      </c>
      <c r="M82" s="1594">
        <f t="shared" si="7"/>
        <v>0</v>
      </c>
      <c r="N82" s="1763">
        <f t="shared" si="8"/>
        <v>0</v>
      </c>
      <c r="O82" s="1770">
        <v>0.8589538000000001</v>
      </c>
      <c r="P82" s="1771">
        <f t="shared" si="10"/>
        <v>-0.8589538000000001</v>
      </c>
    </row>
    <row r="83" spans="1:16">
      <c r="A83" s="1760">
        <v>37</v>
      </c>
      <c r="B83" s="1598" t="s">
        <v>1712</v>
      </c>
      <c r="C83" s="1764">
        <v>1600</v>
      </c>
      <c r="D83" s="1767"/>
      <c r="E83" s="1764">
        <f>IFERROR(VLOOKUP($B83,#REF!,4,0),0)</f>
        <v>0</v>
      </c>
      <c r="F83" s="1767">
        <v>5.7500000000000002E-2</v>
      </c>
      <c r="G83" s="1772">
        <f t="shared" si="9"/>
        <v>2.4124999999999997E-3</v>
      </c>
      <c r="H83" s="1764">
        <v>3.86</v>
      </c>
      <c r="I83" s="1593">
        <f>IFERROR(VLOOKUP($B83,'F13B_20-21_True Up'!$B$12:$EN$392,134,0),0)</f>
        <v>0</v>
      </c>
      <c r="J83" s="1593">
        <f>IFERROR(VLOOKUP($B83,'F13B_20-21_True Up'!$B$12:$EN$392,136,0),0)</f>
        <v>0</v>
      </c>
      <c r="K83" s="1593">
        <f>IFERROR(VLOOKUP($B83,'F13B_20-21_True Up'!$B$12:$EN$392,138,0),0)</f>
        <v>0</v>
      </c>
      <c r="L83" s="1593">
        <f>IFERROR(VLOOKUP($B83,'F13B_20-21_True Up'!$B$12:$EN$392,140,0),0)</f>
        <v>0</v>
      </c>
      <c r="M83" s="1594">
        <f t="shared" si="7"/>
        <v>0</v>
      </c>
      <c r="N83" s="1763">
        <f t="shared" si="8"/>
        <v>0</v>
      </c>
      <c r="O83" s="1770">
        <v>128.11008820000001</v>
      </c>
      <c r="P83" s="1771">
        <f t="shared" si="10"/>
        <v>-128.11008820000001</v>
      </c>
    </row>
    <row r="84" spans="1:16">
      <c r="A84" s="1760">
        <v>38</v>
      </c>
      <c r="B84" s="1598" t="s">
        <v>1713</v>
      </c>
      <c r="C84" s="1764">
        <v>1320</v>
      </c>
      <c r="D84" s="1767">
        <f>IFERROR(VLOOKUP($B84,#REF!,3,0),0)</f>
        <v>0</v>
      </c>
      <c r="E84" s="1764">
        <f>IFERROR(VLOOKUP($B84,#REF!,4,0),0)</f>
        <v>0</v>
      </c>
      <c r="F84" s="1767">
        <v>5.7500000000000002E-2</v>
      </c>
      <c r="G84" s="1772">
        <f t="shared" si="9"/>
        <v>2.4090909090909093E-3</v>
      </c>
      <c r="H84" s="1764">
        <v>3.18</v>
      </c>
      <c r="I84" s="1593">
        <f>IFERROR(VLOOKUP($B84,'F13B_20-21_True Up'!$B$12:$EN$392,134,0),0)</f>
        <v>0</v>
      </c>
      <c r="J84" s="1593">
        <f>IFERROR(VLOOKUP($B84,'F13B_20-21_True Up'!$B$12:$EN$392,136,0),0)</f>
        <v>0</v>
      </c>
      <c r="K84" s="1593">
        <f>IFERROR(VLOOKUP($B84,'F13B_20-21_True Up'!$B$12:$EN$392,138,0),0)</f>
        <v>0</v>
      </c>
      <c r="L84" s="1593">
        <f>IFERROR(VLOOKUP($B84,'F13B_20-21_True Up'!$B$12:$EN$392,140,0),0)</f>
        <v>0</v>
      </c>
      <c r="M84" s="1594">
        <f t="shared" si="7"/>
        <v>0</v>
      </c>
      <c r="N84" s="1763">
        <f t="shared" si="8"/>
        <v>0</v>
      </c>
      <c r="O84" s="1770">
        <v>8156.3259102999991</v>
      </c>
      <c r="P84" s="1771">
        <f t="shared" si="10"/>
        <v>-8156.3259102999991</v>
      </c>
    </row>
    <row r="85" spans="1:16">
      <c r="A85" s="1760"/>
      <c r="B85" s="1598" t="s">
        <v>1714</v>
      </c>
      <c r="C85" s="1764"/>
      <c r="D85" s="1767"/>
      <c r="E85" s="1764"/>
      <c r="F85" s="1772"/>
      <c r="G85" s="1762"/>
      <c r="H85" s="1763"/>
      <c r="I85" s="1593">
        <f>IFERROR(VLOOKUP($B85,'F13B_20-21_True Up'!$B$12:$EN$392,134,0),0)</f>
        <v>0</v>
      </c>
      <c r="J85" s="1593">
        <f>IFERROR(VLOOKUP($B85,'F13B_20-21_True Up'!$B$12:$EN$392,136,0),0)</f>
        <v>0</v>
      </c>
      <c r="K85" s="1593">
        <f>IFERROR(VLOOKUP($B85,'F13B_20-21_True Up'!$B$12:$EN$392,138,0),0)</f>
        <v>0</v>
      </c>
      <c r="L85" s="1593">
        <f>IFERROR(VLOOKUP($B85,'F13B_20-21_True Up'!$B$12:$EN$392,140,0),0)</f>
        <v>0</v>
      </c>
      <c r="M85" s="1594">
        <f t="shared" si="7"/>
        <v>0</v>
      </c>
      <c r="N85" s="1763">
        <f t="shared" si="8"/>
        <v>0</v>
      </c>
      <c r="O85" s="1770"/>
      <c r="P85" s="1771">
        <f t="shared" si="10"/>
        <v>0</v>
      </c>
    </row>
    <row r="86" spans="1:16">
      <c r="A86" s="1760"/>
      <c r="B86" s="1761" t="s">
        <v>211</v>
      </c>
      <c r="C86" s="1764"/>
      <c r="D86" s="1767"/>
      <c r="E86" s="1764"/>
      <c r="F86" s="1772"/>
      <c r="G86" s="1762"/>
      <c r="H86" s="1763"/>
      <c r="I86" s="1785">
        <f>SUM(I48:I85)</f>
        <v>0</v>
      </c>
      <c r="J86" s="1594">
        <f t="shared" ref="J86:M86" si="11">SUM(J48:J85)</f>
        <v>0</v>
      </c>
      <c r="K86" s="1594">
        <f t="shared" si="11"/>
        <v>0</v>
      </c>
      <c r="L86" s="1594">
        <f t="shared" si="11"/>
        <v>0</v>
      </c>
      <c r="M86" s="1594">
        <f t="shared" si="11"/>
        <v>0</v>
      </c>
      <c r="N86" s="1763">
        <f t="shared" si="8"/>
        <v>0</v>
      </c>
      <c r="O86" s="1770"/>
      <c r="P86" s="1771">
        <f t="shared" si="10"/>
        <v>0</v>
      </c>
    </row>
    <row r="87" spans="1:16">
      <c r="A87" s="1760"/>
      <c r="B87" s="1761"/>
      <c r="C87" s="1764"/>
      <c r="D87" s="1767"/>
      <c r="E87" s="1764"/>
      <c r="F87" s="1767"/>
      <c r="G87" s="1765"/>
      <c r="H87" s="1768"/>
      <c r="I87" s="1593"/>
      <c r="J87" s="1769"/>
      <c r="K87" s="1769"/>
      <c r="L87" s="1769"/>
      <c r="M87" s="1769"/>
      <c r="N87" s="1763"/>
      <c r="O87" s="1770">
        <v>1.8380361000000001</v>
      </c>
      <c r="P87" s="1771">
        <f t="shared" si="10"/>
        <v>-1.8380361000000001</v>
      </c>
    </row>
    <row r="88" spans="1:16">
      <c r="A88" s="1760" t="s">
        <v>26</v>
      </c>
      <c r="B88" s="1784" t="s">
        <v>1715</v>
      </c>
      <c r="C88" s="1764"/>
      <c r="D88" s="1767"/>
      <c r="E88" s="1764"/>
      <c r="F88" s="1767"/>
      <c r="G88" s="1765"/>
      <c r="H88" s="1768"/>
      <c r="I88" s="1593"/>
      <c r="J88" s="1769"/>
      <c r="K88" s="1769"/>
      <c r="L88" s="1769"/>
      <c r="M88" s="1769"/>
      <c r="N88" s="1763"/>
      <c r="O88" s="1770">
        <v>393.3688628999999</v>
      </c>
      <c r="P88" s="1771">
        <f t="shared" si="10"/>
        <v>-393.3688628999999</v>
      </c>
    </row>
    <row r="89" spans="1:16">
      <c r="A89" s="1760">
        <v>1</v>
      </c>
      <c r="B89" s="1761" t="s">
        <v>1716</v>
      </c>
      <c r="C89" s="1764">
        <v>440</v>
      </c>
      <c r="D89" s="1767">
        <f>IFERROR(VLOOKUP($B89,#REF!,3,0),0)</f>
        <v>0</v>
      </c>
      <c r="E89" s="1764">
        <f>IFERROR(VLOOKUP($B89,#REF!,4,0),0)</f>
        <v>0</v>
      </c>
      <c r="F89" s="1767">
        <v>0</v>
      </c>
      <c r="G89" s="1772">
        <f t="shared" ref="G89:G93" si="12">H89/C89</f>
        <v>3.7499999999999999E-3</v>
      </c>
      <c r="H89" s="1764">
        <v>1.65</v>
      </c>
      <c r="I89" s="1593">
        <f>IFERROR(VLOOKUP($B89,'F13B_20-21_True Up'!$B$12:$EN$392,134,0),0)</f>
        <v>0</v>
      </c>
      <c r="J89" s="1593">
        <f>IFERROR(VLOOKUP($B89,'F13B_20-21_True Up'!$B$12:$EN$392,136,0),0)</f>
        <v>0</v>
      </c>
      <c r="K89" s="1593">
        <f>IFERROR(VLOOKUP($B89,'F13B_20-21_True Up'!$B$12:$EN$392,138,0),0)</f>
        <v>0</v>
      </c>
      <c r="L89" s="1593">
        <f>IFERROR(VLOOKUP($B89,'F13B_20-21_True Up'!$B$12:$EN$392,140,0),0)</f>
        <v>0</v>
      </c>
      <c r="M89" s="1594">
        <f t="shared" ref="M89:M93" si="13">SUM(J89:L89)</f>
        <v>0</v>
      </c>
      <c r="N89" s="1763">
        <f t="shared" ref="N89:N94" si="14">IFERROR(M89/I89*10,0)</f>
        <v>0</v>
      </c>
      <c r="O89" s="1770">
        <v>6.6601580999999994</v>
      </c>
      <c r="P89" s="1771">
        <f t="shared" si="10"/>
        <v>-6.6601580999999994</v>
      </c>
    </row>
    <row r="90" spans="1:16">
      <c r="A90" s="1760">
        <v>2</v>
      </c>
      <c r="B90" s="1761" t="s">
        <v>1718</v>
      </c>
      <c r="C90" s="1764">
        <v>440</v>
      </c>
      <c r="D90" s="1767">
        <f>IFERROR(VLOOKUP($B90,#REF!,3,0),0)</f>
        <v>0</v>
      </c>
      <c r="E90" s="1764">
        <f>IFERROR(VLOOKUP($B90,#REF!,4,0),0)</f>
        <v>0</v>
      </c>
      <c r="F90" s="1767">
        <v>0</v>
      </c>
      <c r="G90" s="1772">
        <f t="shared" si="12"/>
        <v>0.31363636363636366</v>
      </c>
      <c r="H90" s="1764">
        <v>138</v>
      </c>
      <c r="I90" s="1593">
        <f>IFERROR(VLOOKUP($B90,'F13B_20-21_True Up'!$B$12:$EN$392,134,0),0)</f>
        <v>0</v>
      </c>
      <c r="J90" s="1593">
        <f>IFERROR(VLOOKUP($B90,'F13B_20-21_True Up'!$B$12:$EN$392,136,0),0)</f>
        <v>0</v>
      </c>
      <c r="K90" s="1593">
        <f>IFERROR(VLOOKUP($B90,'F13B_20-21_True Up'!$B$12:$EN$392,138,0),0)</f>
        <v>0</v>
      </c>
      <c r="L90" s="1593">
        <f>IFERROR(VLOOKUP($B90,'F13B_20-21_True Up'!$B$12:$EN$392,140,0),0)</f>
        <v>0</v>
      </c>
      <c r="M90" s="1594">
        <f t="shared" si="13"/>
        <v>0</v>
      </c>
      <c r="N90" s="1763">
        <f t="shared" si="14"/>
        <v>0</v>
      </c>
      <c r="O90" s="1770">
        <v>187.45277479999999</v>
      </c>
      <c r="P90" s="1771">
        <f t="shared" si="10"/>
        <v>-187.45277479999999</v>
      </c>
    </row>
    <row r="91" spans="1:16">
      <c r="A91" s="1760">
        <v>3</v>
      </c>
      <c r="B91" s="1761" t="s">
        <v>1719</v>
      </c>
      <c r="C91" s="1764">
        <v>1080</v>
      </c>
      <c r="D91" s="1767">
        <f>IFERROR(VLOOKUP($B91,#REF!,3,0),0)</f>
        <v>0</v>
      </c>
      <c r="E91" s="1764">
        <f>IFERROR(VLOOKUP($B91,#REF!,4,0),0)</f>
        <v>0</v>
      </c>
      <c r="F91" s="1767">
        <v>0</v>
      </c>
      <c r="G91" s="1772">
        <f t="shared" si="12"/>
        <v>3.7499999999999999E-3</v>
      </c>
      <c r="H91" s="1764">
        <v>4.05</v>
      </c>
      <c r="I91" s="1593">
        <f>IFERROR(VLOOKUP($B91,'F13B_20-21_True Up'!$B$12:$EN$392,134,0),0)</f>
        <v>0</v>
      </c>
      <c r="J91" s="1593">
        <f>IFERROR(VLOOKUP($B91,'F13B_20-21_True Up'!$B$12:$EN$392,136,0),0)</f>
        <v>0</v>
      </c>
      <c r="K91" s="1593">
        <f>IFERROR(VLOOKUP($B91,'F13B_20-21_True Up'!$B$12:$EN$392,138,0),0)</f>
        <v>0</v>
      </c>
      <c r="L91" s="1593">
        <f>IFERROR(VLOOKUP($B91,'F13B_20-21_True Up'!$B$12:$EN$392,140,0),0)</f>
        <v>0</v>
      </c>
      <c r="M91" s="1594">
        <f t="shared" si="13"/>
        <v>0</v>
      </c>
      <c r="N91" s="1763">
        <f t="shared" si="14"/>
        <v>0</v>
      </c>
      <c r="O91" s="1770">
        <v>360.6544687</v>
      </c>
      <c r="P91" s="1771">
        <f t="shared" si="10"/>
        <v>-360.6544687</v>
      </c>
    </row>
    <row r="92" spans="1:16">
      <c r="A92" s="1760">
        <v>4</v>
      </c>
      <c r="B92" s="1761" t="s">
        <v>1720</v>
      </c>
      <c r="C92" s="1764">
        <v>440</v>
      </c>
      <c r="D92" s="1767">
        <f>IFERROR(VLOOKUP($B92,#REF!,3,0),0)</f>
        <v>0</v>
      </c>
      <c r="E92" s="1764">
        <f>IFERROR(VLOOKUP($B92,#REF!,4,0),0)</f>
        <v>0</v>
      </c>
      <c r="F92" s="1767">
        <v>0</v>
      </c>
      <c r="G92" s="1772">
        <f t="shared" si="12"/>
        <v>0.15</v>
      </c>
      <c r="H92" s="1764">
        <v>66</v>
      </c>
      <c r="I92" s="1593">
        <f>IFERROR(VLOOKUP($B92,'F13B_20-21_True Up'!$B$12:$EN$392,134,0),0)</f>
        <v>0</v>
      </c>
      <c r="J92" s="1593">
        <f>IFERROR(VLOOKUP($B92,'F13B_20-21_True Up'!$B$12:$EN$392,136,0),0)</f>
        <v>0</v>
      </c>
      <c r="K92" s="1593">
        <f>IFERROR(VLOOKUP($B92,'F13B_20-21_True Up'!$B$12:$EN$392,138,0),0)</f>
        <v>0</v>
      </c>
      <c r="L92" s="1593">
        <f>IFERROR(VLOOKUP($B92,'F13B_20-21_True Up'!$B$12:$EN$392,140,0),0)</f>
        <v>0</v>
      </c>
      <c r="M92" s="1594">
        <f t="shared" si="13"/>
        <v>0</v>
      </c>
      <c r="N92" s="1763">
        <f t="shared" si="14"/>
        <v>0</v>
      </c>
      <c r="O92" s="1770">
        <v>949.97430059999988</v>
      </c>
      <c r="P92" s="1771">
        <f t="shared" si="10"/>
        <v>-949.97430059999988</v>
      </c>
    </row>
    <row r="93" spans="1:16">
      <c r="A93" s="1760">
        <v>5</v>
      </c>
      <c r="B93" s="1761" t="s">
        <v>1721</v>
      </c>
      <c r="C93" s="1764">
        <v>440</v>
      </c>
      <c r="D93" s="1767">
        <f>IFERROR(VLOOKUP($B93,#REF!,3,0),0)</f>
        <v>0</v>
      </c>
      <c r="E93" s="1764">
        <f>IFERROR(VLOOKUP($B93,#REF!,4,0),0)</f>
        <v>0</v>
      </c>
      <c r="F93" s="1767">
        <v>0</v>
      </c>
      <c r="G93" s="1772">
        <f t="shared" si="12"/>
        <v>0.19545454545454546</v>
      </c>
      <c r="H93" s="1764">
        <v>86</v>
      </c>
      <c r="I93" s="1593">
        <f>IFERROR(VLOOKUP($B93,'F13B_20-21_True Up'!$B$12:$EN$392,134,0),0)</f>
        <v>0</v>
      </c>
      <c r="J93" s="1593">
        <f>IFERROR(VLOOKUP($B93,'F13B_20-21_True Up'!$B$12:$EN$392,136,0),0)</f>
        <v>0</v>
      </c>
      <c r="K93" s="1593">
        <f>IFERROR(VLOOKUP($B93,'F13B_20-21_True Up'!$B$12:$EN$392,138,0),0)</f>
        <v>0</v>
      </c>
      <c r="L93" s="1593">
        <f>IFERROR(VLOOKUP($B93,'F13B_20-21_True Up'!$B$12:$EN$392,140,0),0)</f>
        <v>0</v>
      </c>
      <c r="M93" s="1594">
        <f t="shared" si="13"/>
        <v>0</v>
      </c>
      <c r="N93" s="1763">
        <f t="shared" si="14"/>
        <v>0</v>
      </c>
      <c r="O93" s="1770"/>
      <c r="P93" s="1771">
        <f t="shared" si="10"/>
        <v>0</v>
      </c>
    </row>
    <row r="94" spans="1:16">
      <c r="A94" s="1760"/>
      <c r="B94" s="1784" t="s">
        <v>211</v>
      </c>
      <c r="C94" s="1764"/>
      <c r="D94" s="1767"/>
      <c r="E94" s="1764"/>
      <c r="F94" s="1772"/>
      <c r="G94" s="1762"/>
      <c r="H94" s="1763"/>
      <c r="I94" s="1785">
        <f t="shared" ref="I94:P94" si="15">SUM(I89:I93)</f>
        <v>0</v>
      </c>
      <c r="J94" s="1594">
        <f t="shared" si="15"/>
        <v>0</v>
      </c>
      <c r="K94" s="1594">
        <f t="shared" si="15"/>
        <v>0</v>
      </c>
      <c r="L94" s="1594">
        <f t="shared" si="15"/>
        <v>0</v>
      </c>
      <c r="M94" s="1594">
        <f t="shared" si="15"/>
        <v>0</v>
      </c>
      <c r="N94" s="1763">
        <f t="shared" si="14"/>
        <v>0</v>
      </c>
      <c r="O94" s="1594">
        <f t="shared" si="15"/>
        <v>1504.7417022</v>
      </c>
      <c r="P94" s="1594">
        <f t="shared" si="15"/>
        <v>-1504.7417022</v>
      </c>
    </row>
    <row r="95" spans="1:16">
      <c r="A95" s="1760"/>
      <c r="B95" s="1761"/>
      <c r="C95" s="1764"/>
      <c r="D95" s="1767"/>
      <c r="E95" s="1764"/>
      <c r="F95" s="1767"/>
      <c r="G95" s="1765"/>
      <c r="H95" s="1768"/>
      <c r="I95" s="1593"/>
      <c r="J95" s="1769"/>
      <c r="K95" s="1769"/>
      <c r="L95" s="1769"/>
      <c r="M95" s="1769"/>
      <c r="N95" s="1763"/>
      <c r="O95" s="1770">
        <v>36.205059399999996</v>
      </c>
      <c r="P95" s="1771">
        <f t="shared" si="10"/>
        <v>-36.205059399999996</v>
      </c>
    </row>
    <row r="96" spans="1:16">
      <c r="A96" s="1783" t="s">
        <v>27</v>
      </c>
      <c r="B96" s="1784" t="s">
        <v>1722</v>
      </c>
      <c r="C96" s="1764"/>
      <c r="D96" s="1767"/>
      <c r="E96" s="1764"/>
      <c r="F96" s="1767"/>
      <c r="G96" s="1765"/>
      <c r="H96" s="1768"/>
      <c r="I96" s="1593"/>
      <c r="J96" s="1769"/>
      <c r="K96" s="1769"/>
      <c r="L96" s="1769"/>
      <c r="M96" s="1769"/>
      <c r="N96" s="1763"/>
      <c r="O96" s="1770">
        <v>36.686991599999999</v>
      </c>
      <c r="P96" s="1771">
        <f t="shared" si="10"/>
        <v>-36.686991599999999</v>
      </c>
    </row>
    <row r="97" spans="1:16">
      <c r="A97" s="1760">
        <v>1</v>
      </c>
      <c r="B97" s="1761" t="s">
        <v>1723</v>
      </c>
      <c r="C97" s="1764">
        <v>690</v>
      </c>
      <c r="D97" s="1767">
        <f>IFERROR(VLOOKUP($B97,#REF!,3,0),0)</f>
        <v>0</v>
      </c>
      <c r="E97" s="1764">
        <f>IFERROR(VLOOKUP($B97,#REF!,4,0),0)</f>
        <v>0</v>
      </c>
      <c r="F97" s="1767">
        <v>0.01</v>
      </c>
      <c r="G97" s="1772">
        <f t="shared" ref="G97:G111" si="16">H97/C97</f>
        <v>6.9565217391304349E-2</v>
      </c>
      <c r="H97" s="1764">
        <v>48</v>
      </c>
      <c r="I97" s="1593">
        <f>IFERROR(VLOOKUP($B97,'F13B_20-21_True Up'!$B$12:$EN$392,134,0),0)</f>
        <v>0</v>
      </c>
      <c r="J97" s="1593">
        <f>IFERROR(VLOOKUP($B97,'F13B_20-21_True Up'!$B$12:$EN$392,136,0),0)</f>
        <v>0</v>
      </c>
      <c r="K97" s="1593">
        <f>IFERROR(VLOOKUP($B97,'F13B_20-21_True Up'!$B$12:$EN$392,138,0),0)</f>
        <v>0</v>
      </c>
      <c r="L97" s="1593">
        <f>IFERROR(VLOOKUP($B97,'F13B_20-21_True Up'!$B$12:$EN$392,140,0),0)</f>
        <v>0</v>
      </c>
      <c r="M97" s="1594">
        <f t="shared" ref="M97:M112" si="17">SUM(J97:L97)</f>
        <v>0</v>
      </c>
      <c r="N97" s="1763">
        <f t="shared" ref="N97:N113" si="18">IFERROR(M97/I97*10,0)</f>
        <v>0</v>
      </c>
      <c r="O97" s="1770">
        <v>100.93341249999999</v>
      </c>
      <c r="P97" s="1771">
        <f t="shared" si="10"/>
        <v>-100.93341249999999</v>
      </c>
    </row>
    <row r="98" spans="1:16">
      <c r="A98" s="1760">
        <v>2</v>
      </c>
      <c r="B98" s="1761" t="s">
        <v>1724</v>
      </c>
      <c r="C98" s="1764">
        <v>94.2</v>
      </c>
      <c r="D98" s="1767">
        <f>IFERROR(VLOOKUP($B98,#REF!,3,0),0)</f>
        <v>0</v>
      </c>
      <c r="E98" s="1764">
        <f>IFERROR(VLOOKUP($B98,#REF!,4,0),0)</f>
        <v>0</v>
      </c>
      <c r="F98" s="1767">
        <v>1.2E-2</v>
      </c>
      <c r="G98" s="1772">
        <f t="shared" si="16"/>
        <v>0.22292993630573249</v>
      </c>
      <c r="H98" s="1764">
        <v>21</v>
      </c>
      <c r="I98" s="1593">
        <f>IFERROR(VLOOKUP($B98,'F13B_20-21_True Up'!$B$12:$EN$392,134,0),0)</f>
        <v>0</v>
      </c>
      <c r="J98" s="1593">
        <f>IFERROR(VLOOKUP($B98,'F13B_20-21_True Up'!$B$12:$EN$392,136,0),0)</f>
        <v>0</v>
      </c>
      <c r="K98" s="1593">
        <f>IFERROR(VLOOKUP($B98,'F13B_20-21_True Up'!$B$12:$EN$392,138,0),0)</f>
        <v>0</v>
      </c>
      <c r="L98" s="1593">
        <f>IFERROR(VLOOKUP($B98,'F13B_20-21_True Up'!$B$12:$EN$392,140,0),0)</f>
        <v>0</v>
      </c>
      <c r="M98" s="1594">
        <f t="shared" si="17"/>
        <v>0</v>
      </c>
      <c r="N98" s="1763">
        <f t="shared" si="18"/>
        <v>0</v>
      </c>
      <c r="O98" s="1770">
        <v>107.86923820000001</v>
      </c>
      <c r="P98" s="1771">
        <f t="shared" si="10"/>
        <v>-107.86923820000001</v>
      </c>
    </row>
    <row r="99" spans="1:16">
      <c r="A99" s="1760">
        <v>3</v>
      </c>
      <c r="B99" s="1761" t="s">
        <v>1725</v>
      </c>
      <c r="C99" s="1764">
        <v>540</v>
      </c>
      <c r="D99" s="1767">
        <f>IFERROR(VLOOKUP($B99,#REF!,3,0),0)</f>
        <v>0</v>
      </c>
      <c r="E99" s="1764">
        <f>IFERROR(VLOOKUP($B99,#REF!,4,0),0)</f>
        <v>0</v>
      </c>
      <c r="F99" s="1767">
        <v>1.2E-2</v>
      </c>
      <c r="G99" s="1772">
        <f t="shared" si="16"/>
        <v>0.20185185185185187</v>
      </c>
      <c r="H99" s="1764">
        <v>109</v>
      </c>
      <c r="I99" s="1593">
        <f>IFERROR(VLOOKUP($B99,'F13B_20-21_True Up'!$B$12:$EN$392,134,0),0)</f>
        <v>0</v>
      </c>
      <c r="J99" s="1593">
        <f>IFERROR(VLOOKUP($B99,'F13B_20-21_True Up'!$B$12:$EN$392,136,0),0)</f>
        <v>0</v>
      </c>
      <c r="K99" s="1593">
        <f>IFERROR(VLOOKUP($B99,'F13B_20-21_True Up'!$B$12:$EN$392,138,0),0)</f>
        <v>0</v>
      </c>
      <c r="L99" s="1593">
        <f>IFERROR(VLOOKUP($B99,'F13B_20-21_True Up'!$B$12:$EN$392,140,0),0)</f>
        <v>0</v>
      </c>
      <c r="M99" s="1594">
        <f t="shared" si="17"/>
        <v>0</v>
      </c>
      <c r="N99" s="1763">
        <f t="shared" si="18"/>
        <v>0</v>
      </c>
      <c r="O99" s="1770">
        <v>58.142186199999998</v>
      </c>
      <c r="P99" s="1771">
        <f t="shared" si="10"/>
        <v>-58.142186199999998</v>
      </c>
    </row>
    <row r="100" spans="1:16">
      <c r="A100" s="1760">
        <v>4</v>
      </c>
      <c r="B100" s="1761" t="s">
        <v>1726</v>
      </c>
      <c r="C100" s="1764">
        <v>480</v>
      </c>
      <c r="D100" s="1767">
        <f>IFERROR(VLOOKUP($B100,#REF!,3,0),0)</f>
        <v>0</v>
      </c>
      <c r="E100" s="1764">
        <f>IFERROR(VLOOKUP($B100,#REF!,4,0),0)</f>
        <v>0</v>
      </c>
      <c r="F100" s="1767">
        <v>1.2E-2</v>
      </c>
      <c r="G100" s="1772">
        <f t="shared" si="16"/>
        <v>0.2</v>
      </c>
      <c r="H100" s="1764">
        <v>96</v>
      </c>
      <c r="I100" s="1593">
        <f>IFERROR(VLOOKUP($B100,'F13B_20-21_True Up'!$B$12:$EN$392,134,0),0)</f>
        <v>0</v>
      </c>
      <c r="J100" s="1593">
        <f>IFERROR(VLOOKUP($B100,'F13B_20-21_True Up'!$B$12:$EN$392,136,0),0)</f>
        <v>0</v>
      </c>
      <c r="K100" s="1593">
        <f>IFERROR(VLOOKUP($B100,'F13B_20-21_True Up'!$B$12:$EN$392,138,0),0)</f>
        <v>0</v>
      </c>
      <c r="L100" s="1593">
        <f>IFERROR(VLOOKUP($B100,'F13B_20-21_True Up'!$B$12:$EN$392,140,0),0)</f>
        <v>0</v>
      </c>
      <c r="M100" s="1594">
        <f t="shared" si="17"/>
        <v>0</v>
      </c>
      <c r="N100" s="1763">
        <f t="shared" si="18"/>
        <v>0</v>
      </c>
      <c r="O100" s="1770">
        <v>85.140854900000022</v>
      </c>
      <c r="P100" s="1771">
        <f t="shared" si="10"/>
        <v>-85.140854900000022</v>
      </c>
    </row>
    <row r="101" spans="1:16">
      <c r="A101" s="1760">
        <v>5</v>
      </c>
      <c r="B101" s="1761" t="s">
        <v>1727</v>
      </c>
      <c r="C101" s="1764">
        <v>300</v>
      </c>
      <c r="D101" s="1767">
        <f>IFERROR(VLOOKUP($B101,#REF!,3,0),0)</f>
        <v>0</v>
      </c>
      <c r="E101" s="1764">
        <f>IFERROR(VLOOKUP($B101,#REF!,4,0),0)</f>
        <v>0</v>
      </c>
      <c r="F101" s="1767">
        <v>1.2E-2</v>
      </c>
      <c r="G101" s="1772">
        <f t="shared" si="16"/>
        <v>0.20666666666666667</v>
      </c>
      <c r="H101" s="1764">
        <v>62</v>
      </c>
      <c r="I101" s="1593">
        <f>IFERROR(VLOOKUP($B101,'F13B_20-21_True Up'!$B$12:$EN$392,134,0),0)</f>
        <v>0</v>
      </c>
      <c r="J101" s="1593">
        <f>IFERROR(VLOOKUP($B101,'F13B_20-21_True Up'!$B$12:$EN$392,136,0),0)</f>
        <v>0</v>
      </c>
      <c r="K101" s="1593">
        <f>IFERROR(VLOOKUP($B101,'F13B_20-21_True Up'!$B$12:$EN$392,138,0),0)</f>
        <v>0</v>
      </c>
      <c r="L101" s="1593">
        <f>IFERROR(VLOOKUP($B101,'F13B_20-21_True Up'!$B$12:$EN$392,140,0),0)</f>
        <v>0</v>
      </c>
      <c r="M101" s="1594">
        <f t="shared" si="17"/>
        <v>0</v>
      </c>
      <c r="N101" s="1763">
        <f t="shared" si="18"/>
        <v>0</v>
      </c>
      <c r="O101" s="1770">
        <v>269.22332129999995</v>
      </c>
      <c r="P101" s="1771">
        <f t="shared" si="10"/>
        <v>-269.22332129999995</v>
      </c>
    </row>
    <row r="102" spans="1:16">
      <c r="A102" s="1760">
        <v>6</v>
      </c>
      <c r="B102" s="1761" t="s">
        <v>1728</v>
      </c>
      <c r="C102" s="1764">
        <v>280</v>
      </c>
      <c r="D102" s="1767">
        <f>IFERROR(VLOOKUP($B102,#REF!,3,0),0)</f>
        <v>0</v>
      </c>
      <c r="E102" s="1764">
        <f>IFERROR(VLOOKUP($B102,#REF!,4,0),0)</f>
        <v>0</v>
      </c>
      <c r="F102" s="1767">
        <v>1.2E-2</v>
      </c>
      <c r="G102" s="1772">
        <f t="shared" si="16"/>
        <v>0.2</v>
      </c>
      <c r="H102" s="1764">
        <v>56</v>
      </c>
      <c r="I102" s="1593">
        <f>IFERROR(VLOOKUP($B102,'F13B_20-21_True Up'!$B$12:$EN$392,134,0),0)</f>
        <v>0</v>
      </c>
      <c r="J102" s="1593">
        <f>IFERROR(VLOOKUP($B102,'F13B_20-21_True Up'!$B$12:$EN$392,136,0),0)</f>
        <v>0</v>
      </c>
      <c r="K102" s="1593">
        <f>IFERROR(VLOOKUP($B102,'F13B_20-21_True Up'!$B$12:$EN$392,138,0),0)</f>
        <v>0</v>
      </c>
      <c r="L102" s="1593">
        <f>IFERROR(VLOOKUP($B102,'F13B_20-21_True Up'!$B$12:$EN$392,140,0),0)</f>
        <v>0</v>
      </c>
      <c r="M102" s="1594">
        <f t="shared" si="17"/>
        <v>0</v>
      </c>
      <c r="N102" s="1763">
        <f t="shared" si="18"/>
        <v>0</v>
      </c>
      <c r="O102" s="1770">
        <v>90.138410899999997</v>
      </c>
      <c r="P102" s="1771">
        <f t="shared" si="10"/>
        <v>-90.138410899999997</v>
      </c>
    </row>
    <row r="103" spans="1:16">
      <c r="A103" s="1760">
        <v>7</v>
      </c>
      <c r="B103" s="1761" t="s">
        <v>1729</v>
      </c>
      <c r="C103" s="1764">
        <v>390</v>
      </c>
      <c r="D103" s="1767">
        <f>IFERROR(VLOOKUP($B103,#REF!,3,0),0)</f>
        <v>0</v>
      </c>
      <c r="E103" s="1764">
        <f>IFERROR(VLOOKUP($B103,#REF!,4,0),0)</f>
        <v>0</v>
      </c>
      <c r="F103" s="1767">
        <v>1.2E-2</v>
      </c>
      <c r="G103" s="1772">
        <f t="shared" si="16"/>
        <v>0.21794871794871795</v>
      </c>
      <c r="H103" s="1764">
        <v>85</v>
      </c>
      <c r="I103" s="1593">
        <f>IFERROR(VLOOKUP($B103,'F13B_20-21_True Up'!$B$12:$EN$392,134,0),0)</f>
        <v>0</v>
      </c>
      <c r="J103" s="1593">
        <f>IFERROR(VLOOKUP($B103,'F13B_20-21_True Up'!$B$12:$EN$392,136,0),0)</f>
        <v>0</v>
      </c>
      <c r="K103" s="1593">
        <f>IFERROR(VLOOKUP($B103,'F13B_20-21_True Up'!$B$12:$EN$392,138,0),0)</f>
        <v>0</v>
      </c>
      <c r="L103" s="1593">
        <f>IFERROR(VLOOKUP($B103,'F13B_20-21_True Up'!$B$12:$EN$392,140,0),0)</f>
        <v>0</v>
      </c>
      <c r="M103" s="1594">
        <f t="shared" si="17"/>
        <v>0</v>
      </c>
      <c r="N103" s="1763">
        <f t="shared" si="18"/>
        <v>0</v>
      </c>
      <c r="O103" s="1770">
        <v>118.93027690000001</v>
      </c>
      <c r="P103" s="1771">
        <f t="shared" si="10"/>
        <v>-118.93027690000001</v>
      </c>
    </row>
    <row r="104" spans="1:16">
      <c r="A104" s="1760">
        <v>8</v>
      </c>
      <c r="B104" s="1761" t="s">
        <v>1730</v>
      </c>
      <c r="C104" s="1764">
        <v>120</v>
      </c>
      <c r="D104" s="1767">
        <f>IFERROR(VLOOKUP($B104,#REF!,3,0),0)</f>
        <v>0</v>
      </c>
      <c r="E104" s="1764">
        <f>IFERROR(VLOOKUP($B104,#REF!,4,0),0)</f>
        <v>0</v>
      </c>
      <c r="F104" s="1767">
        <v>1.2E-2</v>
      </c>
      <c r="G104" s="1772">
        <f t="shared" si="16"/>
        <v>0.22500000000000001</v>
      </c>
      <c r="H104" s="1764">
        <v>27</v>
      </c>
      <c r="I104" s="1593">
        <f>IFERROR(VLOOKUP($B104,'F13B_20-21_True Up'!$B$12:$EN$392,134,0),0)</f>
        <v>0</v>
      </c>
      <c r="J104" s="1593">
        <f>IFERROR(VLOOKUP($B104,'F13B_20-21_True Up'!$B$12:$EN$392,136,0),0)</f>
        <v>0</v>
      </c>
      <c r="K104" s="1593">
        <f>IFERROR(VLOOKUP($B104,'F13B_20-21_True Up'!$B$12:$EN$392,138,0),0)</f>
        <v>0</v>
      </c>
      <c r="L104" s="1593">
        <f>IFERROR(VLOOKUP($B104,'F13B_20-21_True Up'!$B$12:$EN$392,140,0),0)</f>
        <v>0</v>
      </c>
      <c r="M104" s="1594">
        <f t="shared" si="17"/>
        <v>0</v>
      </c>
      <c r="N104" s="1763">
        <f t="shared" si="18"/>
        <v>0</v>
      </c>
      <c r="O104" s="1770">
        <v>161.54923710000003</v>
      </c>
      <c r="P104" s="1771">
        <f t="shared" si="10"/>
        <v>-161.54923710000003</v>
      </c>
    </row>
    <row r="105" spans="1:16">
      <c r="A105" s="1760">
        <v>9</v>
      </c>
      <c r="B105" s="1761" t="s">
        <v>1731</v>
      </c>
      <c r="C105" s="1764">
        <v>231</v>
      </c>
      <c r="D105" s="1767">
        <f>IFERROR(VLOOKUP($B105,#REF!,3,0),0)</f>
        <v>0</v>
      </c>
      <c r="E105" s="1764">
        <f>IFERROR(VLOOKUP($B105,#REF!,4,0),0)</f>
        <v>0</v>
      </c>
      <c r="F105" s="1767">
        <v>1.2E-2</v>
      </c>
      <c r="G105" s="1772">
        <f t="shared" si="16"/>
        <v>0.20346320346320346</v>
      </c>
      <c r="H105" s="1764">
        <v>47</v>
      </c>
      <c r="I105" s="1593">
        <f>IFERROR(VLOOKUP($B105,'F13B_20-21_True Up'!$B$12:$EN$392,134,0),0)</f>
        <v>0</v>
      </c>
      <c r="J105" s="1593">
        <f>IFERROR(VLOOKUP($B105,'F13B_20-21_True Up'!$B$12:$EN$392,136,0),0)</f>
        <v>0</v>
      </c>
      <c r="K105" s="1593">
        <f>IFERROR(VLOOKUP($B105,'F13B_20-21_True Up'!$B$12:$EN$392,138,0),0)</f>
        <v>0</v>
      </c>
      <c r="L105" s="1593">
        <f>IFERROR(VLOOKUP($B105,'F13B_20-21_True Up'!$B$12:$EN$392,140,0),0)</f>
        <v>0</v>
      </c>
      <c r="M105" s="1594">
        <f t="shared" si="17"/>
        <v>0</v>
      </c>
      <c r="N105" s="1763">
        <f t="shared" si="18"/>
        <v>0</v>
      </c>
      <c r="O105" s="1770">
        <v>103.334028</v>
      </c>
      <c r="P105" s="1771">
        <f t="shared" si="10"/>
        <v>-103.334028</v>
      </c>
    </row>
    <row r="106" spans="1:16">
      <c r="A106" s="1760">
        <v>10</v>
      </c>
      <c r="B106" s="1761" t="s">
        <v>1732</v>
      </c>
      <c r="C106" s="1764">
        <v>240</v>
      </c>
      <c r="D106" s="1767">
        <f>IFERROR(VLOOKUP($B106,#REF!,3,0),0)</f>
        <v>0</v>
      </c>
      <c r="E106" s="1764">
        <f>IFERROR(VLOOKUP($B106,#REF!,4,0),0)</f>
        <v>0</v>
      </c>
      <c r="F106" s="1767">
        <v>1.2E-2</v>
      </c>
      <c r="G106" s="1772">
        <f t="shared" si="16"/>
        <v>0.21249999999999999</v>
      </c>
      <c r="H106" s="1764">
        <v>51</v>
      </c>
      <c r="I106" s="1593">
        <f>IFERROR(VLOOKUP($B106,'F13B_20-21_True Up'!$B$12:$EN$392,134,0),0)</f>
        <v>0</v>
      </c>
      <c r="J106" s="1593">
        <f>IFERROR(VLOOKUP($B106,'F13B_20-21_True Up'!$B$12:$EN$392,136,0),0)</f>
        <v>0</v>
      </c>
      <c r="K106" s="1593">
        <f>IFERROR(VLOOKUP($B106,'F13B_20-21_True Up'!$B$12:$EN$392,138,0),0)</f>
        <v>0</v>
      </c>
      <c r="L106" s="1593">
        <f>IFERROR(VLOOKUP($B106,'F13B_20-21_True Up'!$B$12:$EN$392,140,0),0)</f>
        <v>0</v>
      </c>
      <c r="M106" s="1594">
        <f t="shared" si="17"/>
        <v>0</v>
      </c>
      <c r="N106" s="1763">
        <f t="shared" si="18"/>
        <v>0</v>
      </c>
      <c r="O106" s="1770">
        <v>178.59608129999998</v>
      </c>
      <c r="P106" s="1771">
        <f t="shared" si="10"/>
        <v>-178.59608129999998</v>
      </c>
    </row>
    <row r="107" spans="1:16">
      <c r="A107" s="1760">
        <v>11</v>
      </c>
      <c r="B107" s="1761" t="s">
        <v>1733</v>
      </c>
      <c r="C107" s="1764">
        <v>520</v>
      </c>
      <c r="D107" s="1767">
        <f>IFERROR(VLOOKUP($B107,#REF!,3,0),0)</f>
        <v>0</v>
      </c>
      <c r="E107" s="1764">
        <f>IFERROR(VLOOKUP($B107,#REF!,4,0),0)</f>
        <v>0</v>
      </c>
      <c r="F107" s="1767">
        <v>1.2E-2</v>
      </c>
      <c r="G107" s="1772">
        <f t="shared" si="16"/>
        <v>0.26538461538461539</v>
      </c>
      <c r="H107" s="1764">
        <v>138</v>
      </c>
      <c r="I107" s="1593">
        <f>IFERROR(VLOOKUP($B107,'F13B_20-21_True Up'!$B$12:$EN$392,134,0),0)</f>
        <v>0</v>
      </c>
      <c r="J107" s="1593">
        <f>IFERROR(VLOOKUP($B107,'F13B_20-21_True Up'!$B$12:$EN$392,136,0),0)</f>
        <v>0</v>
      </c>
      <c r="K107" s="1593">
        <f>IFERROR(VLOOKUP($B107,'F13B_20-21_True Up'!$B$12:$EN$392,138,0),0)</f>
        <v>0</v>
      </c>
      <c r="L107" s="1593">
        <f>IFERROR(VLOOKUP($B107,'F13B_20-21_True Up'!$B$12:$EN$392,140,0),0)</f>
        <v>0</v>
      </c>
      <c r="M107" s="1594">
        <f t="shared" si="17"/>
        <v>0</v>
      </c>
      <c r="N107" s="1763">
        <f t="shared" si="18"/>
        <v>0</v>
      </c>
      <c r="O107" s="1770">
        <v>0</v>
      </c>
      <c r="P107" s="1771">
        <f t="shared" si="10"/>
        <v>0</v>
      </c>
    </row>
    <row r="108" spans="1:16">
      <c r="A108" s="1760">
        <v>12</v>
      </c>
      <c r="B108" s="1761" t="s">
        <v>1734</v>
      </c>
      <c r="C108" s="1764">
        <v>330</v>
      </c>
      <c r="D108" s="1767">
        <f>IFERROR(VLOOKUP($B108,#REF!,3,0),0)</f>
        <v>0</v>
      </c>
      <c r="E108" s="1764">
        <f>IFERROR(VLOOKUP($B108,#REF!,4,0),0)</f>
        <v>0</v>
      </c>
      <c r="F108" s="1767">
        <v>1.2E-2</v>
      </c>
      <c r="G108" s="1772">
        <f t="shared" si="16"/>
        <v>0.41696969696969693</v>
      </c>
      <c r="H108" s="1764">
        <v>137.6</v>
      </c>
      <c r="I108" s="1593">
        <f>IFERROR(VLOOKUP($B108,'F13B_20-21_True Up'!$B$12:$EN$392,134,0),0)</f>
        <v>0</v>
      </c>
      <c r="J108" s="1593">
        <f>IFERROR(VLOOKUP($B108,'F13B_20-21_True Up'!$B$12:$EN$392,136,0),0)</f>
        <v>0</v>
      </c>
      <c r="K108" s="1593">
        <f>IFERROR(VLOOKUP($B108,'F13B_20-21_True Up'!$B$12:$EN$392,138,0),0)</f>
        <v>0</v>
      </c>
      <c r="L108" s="1593">
        <f>IFERROR(VLOOKUP($B108,'F13B_20-21_True Up'!$B$12:$EN$392,140,0),0)</f>
        <v>0</v>
      </c>
      <c r="M108" s="1594">
        <f t="shared" si="17"/>
        <v>0</v>
      </c>
      <c r="N108" s="1763">
        <f t="shared" si="18"/>
        <v>0</v>
      </c>
      <c r="O108" s="1770">
        <v>0</v>
      </c>
      <c r="P108" s="1771">
        <f t="shared" si="10"/>
        <v>0</v>
      </c>
    </row>
    <row r="109" spans="1:16">
      <c r="A109" s="1760">
        <v>13</v>
      </c>
      <c r="B109" s="1761" t="s">
        <v>1735</v>
      </c>
      <c r="C109" s="1764">
        <v>800</v>
      </c>
      <c r="D109" s="1767">
        <f>IFERROR(VLOOKUP($B109,#REF!,3,0),0)</f>
        <v>0</v>
      </c>
      <c r="E109" s="1764">
        <f>IFERROR(VLOOKUP($B109,#REF!,4,0),0)</f>
        <v>0</v>
      </c>
      <c r="F109" s="1767">
        <v>1.2E-2</v>
      </c>
      <c r="G109" s="1772">
        <f t="shared" si="16"/>
        <v>0.19500000000000001</v>
      </c>
      <c r="H109" s="1764">
        <v>156</v>
      </c>
      <c r="I109" s="1593">
        <f>IFERROR(VLOOKUP($B109,'F13B_20-21_True Up'!$B$12:$EN$392,134,0),0)</f>
        <v>0</v>
      </c>
      <c r="J109" s="1593">
        <f>IFERROR(VLOOKUP($B109,'F13B_20-21_True Up'!$B$12:$EN$392,136,0),0)</f>
        <v>0</v>
      </c>
      <c r="K109" s="1593">
        <f>IFERROR(VLOOKUP($B109,'F13B_20-21_True Up'!$B$12:$EN$392,138,0),0)</f>
        <v>0</v>
      </c>
      <c r="L109" s="1593">
        <f>IFERROR(VLOOKUP($B109,'F13B_20-21_True Up'!$B$12:$EN$392,140,0),0)</f>
        <v>0</v>
      </c>
      <c r="M109" s="1594">
        <f t="shared" si="17"/>
        <v>0</v>
      </c>
      <c r="N109" s="1763">
        <f t="shared" si="18"/>
        <v>0</v>
      </c>
      <c r="O109" s="1770">
        <v>0</v>
      </c>
      <c r="P109" s="1771">
        <f t="shared" si="10"/>
        <v>0</v>
      </c>
    </row>
    <row r="110" spans="1:16">
      <c r="A110" s="1760">
        <v>14</v>
      </c>
      <c r="B110" s="1761" t="s">
        <v>1736</v>
      </c>
      <c r="C110" s="1764">
        <v>2000</v>
      </c>
      <c r="D110" s="1767"/>
      <c r="E110" s="1764">
        <f>IFERROR(VLOOKUP($B110,#REF!,4,0),0)</f>
        <v>0</v>
      </c>
      <c r="F110" s="1767">
        <v>1.2E-2</v>
      </c>
      <c r="G110" s="1772">
        <f t="shared" si="16"/>
        <v>9.0999999999999998E-2</v>
      </c>
      <c r="H110" s="1764">
        <v>182</v>
      </c>
      <c r="I110" s="1593">
        <f>IFERROR(VLOOKUP($B110,'F13B_20-21_True Up'!$B$12:$EN$392,134,0),0)</f>
        <v>0</v>
      </c>
      <c r="J110" s="1593">
        <f>IFERROR(VLOOKUP($B110,'F13B_20-21_True Up'!$B$12:$EN$392,136,0),0)</f>
        <v>0</v>
      </c>
      <c r="K110" s="1593">
        <f>IFERROR(VLOOKUP($B110,'F13B_20-21_True Up'!$B$12:$EN$392,138,0),0)</f>
        <v>0</v>
      </c>
      <c r="L110" s="1593">
        <f>IFERROR(VLOOKUP($B110,'F13B_20-21_True Up'!$B$12:$EN$392,140,0),0)</f>
        <v>0</v>
      </c>
      <c r="M110" s="1594">
        <f t="shared" si="17"/>
        <v>0</v>
      </c>
      <c r="N110" s="1763">
        <f t="shared" si="18"/>
        <v>0</v>
      </c>
      <c r="O110" s="1770">
        <v>122.53997450000001</v>
      </c>
      <c r="P110" s="1771">
        <f t="shared" si="10"/>
        <v>-122.53997450000001</v>
      </c>
    </row>
    <row r="111" spans="1:16">
      <c r="A111" s="1760">
        <v>15</v>
      </c>
      <c r="B111" s="1761" t="s">
        <v>1737</v>
      </c>
      <c r="C111" s="1764">
        <v>1000</v>
      </c>
      <c r="D111" s="1767"/>
      <c r="E111" s="1764">
        <f>IFERROR(VLOOKUP($B111,#REF!,4,0),0)</f>
        <v>0</v>
      </c>
      <c r="F111" s="1767">
        <v>0.01</v>
      </c>
      <c r="G111" s="1772">
        <f t="shared" si="16"/>
        <v>0.2</v>
      </c>
      <c r="H111" s="1764">
        <v>200</v>
      </c>
      <c r="I111" s="1593">
        <f>IFERROR(VLOOKUP($B111,'F13B_20-21_True Up'!$B$12:$EN$392,134,0),0)</f>
        <v>0</v>
      </c>
      <c r="J111" s="1593">
        <f>IFERROR(VLOOKUP($B111,'F13B_20-21_True Up'!$B$12:$EN$392,136,0),0)</f>
        <v>0</v>
      </c>
      <c r="K111" s="1593">
        <f>IFERROR(VLOOKUP($B111,'F13B_20-21_True Up'!$B$12:$EN$392,138,0),0)</f>
        <v>0</v>
      </c>
      <c r="L111" s="1593">
        <f>IFERROR(VLOOKUP($B111,'F13B_20-21_True Up'!$B$12:$EN$392,140,0),0)</f>
        <v>0</v>
      </c>
      <c r="M111" s="1594">
        <f t="shared" si="17"/>
        <v>0</v>
      </c>
      <c r="N111" s="1763">
        <f t="shared" si="18"/>
        <v>0</v>
      </c>
      <c r="O111" s="1770">
        <v>1469.2890727999998</v>
      </c>
      <c r="P111" s="1771">
        <f t="shared" si="10"/>
        <v>-1469.2890727999998</v>
      </c>
    </row>
    <row r="112" spans="1:16">
      <c r="A112" s="1760"/>
      <c r="B112" s="1774" t="s">
        <v>1738</v>
      </c>
      <c r="C112" s="1764"/>
      <c r="D112" s="1767"/>
      <c r="E112" s="1764"/>
      <c r="F112" s="1772"/>
      <c r="G112" s="1762"/>
      <c r="H112" s="1763"/>
      <c r="I112" s="1593">
        <f>IFERROR(VLOOKUP($B112,'F13B_20-21_True Up'!$B$12:$EN$392,134,0),0)</f>
        <v>0</v>
      </c>
      <c r="J112" s="1593">
        <f>IFERROR(VLOOKUP($B112,'F13B_20-21_True Up'!$B$12:$EN$392,136,0),0)</f>
        <v>0</v>
      </c>
      <c r="K112" s="1593">
        <f>IFERROR(VLOOKUP($B112,'F13B_20-21_True Up'!$B$12:$EN$392,138,0),0)</f>
        <v>0</v>
      </c>
      <c r="L112" s="1593">
        <f>IFERROR(VLOOKUP($B112,'F13B_20-21_True Up'!$B$12:$EN$392,140,0),0)</f>
        <v>0</v>
      </c>
      <c r="M112" s="1594">
        <f t="shared" si="17"/>
        <v>0</v>
      </c>
      <c r="N112" s="1763">
        <f t="shared" si="18"/>
        <v>0</v>
      </c>
      <c r="P112" s="1771">
        <f t="shared" si="10"/>
        <v>0</v>
      </c>
    </row>
    <row r="113" spans="1:16">
      <c r="A113" s="1760"/>
      <c r="B113" s="1761" t="s">
        <v>211</v>
      </c>
      <c r="C113" s="1764"/>
      <c r="D113" s="1767"/>
      <c r="E113" s="1764"/>
      <c r="F113" s="1772"/>
      <c r="G113" s="1762"/>
      <c r="H113" s="1763"/>
      <c r="I113" s="1785">
        <f>SUM(I97:I112)</f>
        <v>0</v>
      </c>
      <c r="J113" s="1594">
        <f t="shared" ref="J113:M113" si="19">SUM(J97:J112)</f>
        <v>0</v>
      </c>
      <c r="K113" s="1594">
        <f t="shared" si="19"/>
        <v>0</v>
      </c>
      <c r="L113" s="1594">
        <f t="shared" si="19"/>
        <v>0</v>
      </c>
      <c r="M113" s="1594">
        <f t="shared" si="19"/>
        <v>0</v>
      </c>
      <c r="N113" s="1763">
        <f t="shared" si="18"/>
        <v>0</v>
      </c>
      <c r="O113" s="1770"/>
      <c r="P113" s="1771">
        <f t="shared" si="10"/>
        <v>0</v>
      </c>
    </row>
    <row r="114" spans="1:16">
      <c r="A114" s="1760"/>
      <c r="B114" s="1761"/>
      <c r="C114" s="1764"/>
      <c r="D114" s="1767"/>
      <c r="E114" s="1764"/>
      <c r="F114" s="1767"/>
      <c r="G114" s="1765"/>
      <c r="H114" s="1768"/>
      <c r="I114" s="1593"/>
      <c r="J114" s="1769"/>
      <c r="K114" s="1769"/>
      <c r="L114" s="1769"/>
      <c r="M114" s="1769"/>
      <c r="N114" s="1763"/>
      <c r="O114" s="1770">
        <v>368.45232419999996</v>
      </c>
      <c r="P114" s="1771">
        <f t="shared" si="10"/>
        <v>-368.45232419999996</v>
      </c>
    </row>
    <row r="115" spans="1:16">
      <c r="A115" s="1760" t="s">
        <v>28</v>
      </c>
      <c r="B115" s="1784" t="s">
        <v>1739</v>
      </c>
      <c r="C115" s="1764"/>
      <c r="D115" s="1767"/>
      <c r="E115" s="1764"/>
      <c r="F115" s="1767"/>
      <c r="G115" s="1765"/>
      <c r="H115" s="1768"/>
      <c r="I115" s="1593"/>
      <c r="J115" s="1769"/>
      <c r="K115" s="1769"/>
      <c r="L115" s="1769"/>
      <c r="M115" s="1769"/>
      <c r="N115" s="1763"/>
      <c r="O115" s="1770">
        <v>0</v>
      </c>
      <c r="P115" s="1771">
        <f t="shared" si="10"/>
        <v>0</v>
      </c>
    </row>
    <row r="116" spans="1:16">
      <c r="A116" s="1760">
        <v>1</v>
      </c>
      <c r="B116" s="1761" t="s">
        <v>1740</v>
      </c>
      <c r="C116" s="1764">
        <v>800</v>
      </c>
      <c r="D116" s="1767">
        <f>IFERROR(VLOOKUP($B116,#REF!,3,0),0)</f>
        <v>0</v>
      </c>
      <c r="E116" s="1764">
        <f>IFERROR(VLOOKUP($B116,#REF!,4,0),0)</f>
        <v>0</v>
      </c>
      <c r="F116" s="1767">
        <v>0.01</v>
      </c>
      <c r="G116" s="1772">
        <f t="shared" ref="G116:G119" si="20">H116/C116</f>
        <v>0.19889999999999999</v>
      </c>
      <c r="H116" s="1764">
        <v>159.12</v>
      </c>
      <c r="I116" s="1593">
        <f>IFERROR(VLOOKUP($B116,'F13B_20-21_True Up'!$B$12:$EN$392,134,0),0)</f>
        <v>0</v>
      </c>
      <c r="J116" s="1593">
        <f>IFERROR(VLOOKUP($B116,'F13B_20-21_True Up'!$B$12:$EN$392,136,0),0)</f>
        <v>0</v>
      </c>
      <c r="K116" s="1593">
        <f>IFERROR(VLOOKUP($B116,'F13B_20-21_True Up'!$B$12:$EN$392,138,0),0)</f>
        <v>0</v>
      </c>
      <c r="L116" s="1593">
        <f>IFERROR(VLOOKUP($B116,'F13B_20-21_True Up'!$B$12:$EN$392,140,0),0)</f>
        <v>0</v>
      </c>
      <c r="M116" s="1594">
        <f t="shared" ref="M116:M119" si="21">SUM(J116:L116)</f>
        <v>0</v>
      </c>
      <c r="N116" s="1763">
        <f t="shared" ref="N116:N120" si="22">IFERROR(M116/I116*10,0)</f>
        <v>0</v>
      </c>
      <c r="O116" s="1770">
        <v>0</v>
      </c>
      <c r="P116" s="1771">
        <f t="shared" si="10"/>
        <v>0</v>
      </c>
    </row>
    <row r="117" spans="1:16">
      <c r="A117" s="1760">
        <v>2</v>
      </c>
      <c r="B117" s="1761" t="s">
        <v>1741</v>
      </c>
      <c r="C117" s="1764">
        <v>520</v>
      </c>
      <c r="D117" s="1767"/>
      <c r="E117" s="1764">
        <f>IFERROR(VLOOKUP($B117,#REF!,4,0),0)</f>
        <v>0</v>
      </c>
      <c r="F117" s="1767">
        <v>1.2E-2</v>
      </c>
      <c r="G117" s="1772">
        <f t="shared" si="20"/>
        <v>0.19230769230769232</v>
      </c>
      <c r="H117" s="1764">
        <v>100</v>
      </c>
      <c r="I117" s="1593">
        <f>IFERROR(VLOOKUP($B117,'F13B_20-21_True Up'!$B$12:$EN$392,134,0),0)</f>
        <v>0</v>
      </c>
      <c r="J117" s="1593">
        <f>IFERROR(VLOOKUP($B117,'F13B_20-21_True Up'!$B$12:$EN$392,136,0),0)</f>
        <v>0</v>
      </c>
      <c r="K117" s="1593">
        <f>IFERROR(VLOOKUP($B117,'F13B_20-21_True Up'!$B$12:$EN$392,138,0),0)</f>
        <v>0</v>
      </c>
      <c r="L117" s="1593">
        <f>IFERROR(VLOOKUP($B117,'F13B_20-21_True Up'!$B$12:$EN$392,140,0),0)</f>
        <v>0</v>
      </c>
      <c r="M117" s="1594">
        <f t="shared" si="21"/>
        <v>0</v>
      </c>
      <c r="N117" s="1763">
        <f t="shared" si="22"/>
        <v>0</v>
      </c>
      <c r="O117" s="1770">
        <v>3.1028480000000007</v>
      </c>
      <c r="P117" s="1771">
        <f t="shared" si="10"/>
        <v>-3.1028480000000007</v>
      </c>
    </row>
    <row r="118" spans="1:16">
      <c r="A118" s="1760">
        <v>3</v>
      </c>
      <c r="B118" s="1761" t="s">
        <v>1742</v>
      </c>
      <c r="C118" s="1764">
        <v>171</v>
      </c>
      <c r="D118" s="1767"/>
      <c r="E118" s="1764">
        <f>IFERROR(VLOOKUP($B118,#REF!,4,0),0)</f>
        <v>0</v>
      </c>
      <c r="F118" s="1767">
        <v>1.2E-2</v>
      </c>
      <c r="G118" s="1772">
        <f t="shared" si="20"/>
        <v>0.19883040935672514</v>
      </c>
      <c r="H118" s="1764">
        <v>34</v>
      </c>
      <c r="I118" s="1593">
        <f>IFERROR(VLOOKUP($B118,'F13B_20-21_True Up'!$B$12:$EN$392,134,0),0)</f>
        <v>0</v>
      </c>
      <c r="J118" s="1593">
        <f>IFERROR(VLOOKUP($B118,'F13B_20-21_True Up'!$B$12:$EN$392,136,0),0)</f>
        <v>0</v>
      </c>
      <c r="K118" s="1593">
        <f>IFERROR(VLOOKUP($B118,'F13B_20-21_True Up'!$B$12:$EN$392,138,0),0)</f>
        <v>0</v>
      </c>
      <c r="L118" s="1593">
        <f>IFERROR(VLOOKUP($B118,'F13B_20-21_True Up'!$B$12:$EN$392,140,0),0)</f>
        <v>0</v>
      </c>
      <c r="M118" s="1594">
        <f t="shared" si="21"/>
        <v>0</v>
      </c>
      <c r="N118" s="1763">
        <f t="shared" si="22"/>
        <v>0</v>
      </c>
      <c r="O118" s="1770">
        <v>371.55517219999996</v>
      </c>
      <c r="P118" s="1771">
        <f t="shared" si="10"/>
        <v>-371.55517219999996</v>
      </c>
    </row>
    <row r="119" spans="1:16">
      <c r="A119" s="1760">
        <v>4</v>
      </c>
      <c r="B119" s="1761" t="s">
        <v>1743</v>
      </c>
      <c r="C119" s="1764">
        <v>8</v>
      </c>
      <c r="D119" s="1767">
        <f>IFERROR(VLOOKUP($B119,#REF!,3,0),0)</f>
        <v>0</v>
      </c>
      <c r="E119" s="1764">
        <f>IFERROR(VLOOKUP($B119,#REF!,4,0),0)</f>
        <v>0</v>
      </c>
      <c r="F119" s="1767">
        <v>0</v>
      </c>
      <c r="G119" s="1772">
        <f t="shared" si="20"/>
        <v>0.42499999999999999</v>
      </c>
      <c r="H119" s="1764">
        <v>3.4</v>
      </c>
      <c r="I119" s="1593">
        <f>IFERROR(VLOOKUP($B119,'F13B_20-21_True Up'!$B$12:$EN$392,134,0),0)</f>
        <v>0</v>
      </c>
      <c r="J119" s="1593">
        <f>IFERROR(VLOOKUP($B119,'F13B_20-21_True Up'!$B$12:$EN$392,136,0),0)</f>
        <v>0</v>
      </c>
      <c r="K119" s="1593">
        <f>IFERROR(VLOOKUP($B119,'F13B_20-21_True Up'!$B$12:$EN$392,138,0),0)</f>
        <v>0</v>
      </c>
      <c r="L119" s="1593">
        <f>IFERROR(VLOOKUP($B119,'F13B_20-21_True Up'!$B$12:$EN$392,140,0),0)</f>
        <v>0</v>
      </c>
      <c r="M119" s="1594">
        <f t="shared" si="21"/>
        <v>0</v>
      </c>
      <c r="N119" s="1763">
        <f t="shared" si="22"/>
        <v>0</v>
      </c>
      <c r="P119" s="1771">
        <f t="shared" si="10"/>
        <v>0</v>
      </c>
    </row>
    <row r="120" spans="1:16">
      <c r="A120" s="1760"/>
      <c r="B120" s="1784" t="s">
        <v>211</v>
      </c>
      <c r="C120" s="1764"/>
      <c r="D120" s="1767"/>
      <c r="E120" s="1764"/>
      <c r="F120" s="1772"/>
      <c r="G120" s="1762"/>
      <c r="H120" s="1763"/>
      <c r="I120" s="1785">
        <f t="shared" ref="I120:M120" si="23">SUM(I116:I119)</f>
        <v>0</v>
      </c>
      <c r="J120" s="1594">
        <f t="shared" si="23"/>
        <v>0</v>
      </c>
      <c r="K120" s="1594">
        <f t="shared" si="23"/>
        <v>0</v>
      </c>
      <c r="L120" s="1594">
        <f t="shared" si="23"/>
        <v>0</v>
      </c>
      <c r="M120" s="1594">
        <f t="shared" si="23"/>
        <v>0</v>
      </c>
      <c r="N120" s="1763">
        <f t="shared" si="22"/>
        <v>0</v>
      </c>
      <c r="O120" s="1770"/>
      <c r="P120" s="1771">
        <f t="shared" si="10"/>
        <v>0</v>
      </c>
    </row>
    <row r="121" spans="1:16">
      <c r="A121" s="1760"/>
      <c r="B121" s="1761"/>
      <c r="C121" s="1764"/>
      <c r="D121" s="1767"/>
      <c r="E121" s="1764"/>
      <c r="F121" s="1772"/>
      <c r="G121" s="1762"/>
      <c r="H121" s="1763"/>
      <c r="I121" s="1593"/>
      <c r="J121" s="1756"/>
      <c r="K121" s="1756"/>
      <c r="L121" s="1756"/>
      <c r="M121" s="1756"/>
      <c r="N121" s="1756"/>
      <c r="O121" s="1770"/>
      <c r="P121" s="1771">
        <f t="shared" si="10"/>
        <v>0</v>
      </c>
    </row>
    <row r="122" spans="1:16">
      <c r="A122" s="1760" t="s">
        <v>30</v>
      </c>
      <c r="B122" s="1784" t="s">
        <v>1744</v>
      </c>
      <c r="C122" s="1764"/>
      <c r="D122" s="1767"/>
      <c r="E122" s="1764"/>
      <c r="F122" s="1767"/>
      <c r="G122" s="1765"/>
      <c r="H122" s="1768"/>
      <c r="I122" s="1593"/>
      <c r="J122" s="1769"/>
      <c r="K122" s="1769"/>
      <c r="L122" s="1769"/>
      <c r="M122" s="1769"/>
      <c r="N122" s="1763"/>
      <c r="O122" s="1770">
        <v>688.9943548199999</v>
      </c>
      <c r="P122" s="1771">
        <f t="shared" si="10"/>
        <v>-688.9943548199999</v>
      </c>
    </row>
    <row r="123" spans="1:16">
      <c r="A123" s="1760"/>
      <c r="B123" s="1784" t="s">
        <v>1745</v>
      </c>
      <c r="C123" s="1764"/>
      <c r="D123" s="1767"/>
      <c r="E123" s="1764"/>
      <c r="F123" s="1767"/>
      <c r="G123" s="1765"/>
      <c r="H123" s="1768"/>
      <c r="I123" s="1593"/>
      <c r="J123" s="1769"/>
      <c r="K123" s="1769"/>
      <c r="L123" s="1769"/>
      <c r="M123" s="1769"/>
      <c r="N123" s="1763"/>
      <c r="O123" s="1770">
        <v>227.25055818000001</v>
      </c>
      <c r="P123" s="1771">
        <f t="shared" si="10"/>
        <v>-227.25055818000001</v>
      </c>
    </row>
    <row r="124" spans="1:16">
      <c r="A124" s="1760">
        <v>1</v>
      </c>
      <c r="B124" s="1761" t="s">
        <v>1746</v>
      </c>
      <c r="C124" s="1764">
        <v>1000</v>
      </c>
      <c r="D124" s="1767">
        <f>IFERROR(VLOOKUP($B124,#REF!,3,0),0)</f>
        <v>0</v>
      </c>
      <c r="E124" s="1764">
        <f>IFERROR(VLOOKUP($B124,#REF!,4,0),0)</f>
        <v>0</v>
      </c>
      <c r="F124" s="1767">
        <v>1.2E-2</v>
      </c>
      <c r="G124" s="1772">
        <f t="shared" ref="G124:G127" si="24">H124/C124</f>
        <v>0.374</v>
      </c>
      <c r="H124" s="1764">
        <v>374</v>
      </c>
      <c r="I124" s="1593">
        <f>IFERROR(VLOOKUP($B124,'F13B_20-21_True Up'!$B$12:$EN$392,134,0),0)</f>
        <v>0</v>
      </c>
      <c r="J124" s="1593">
        <f>IFERROR(VLOOKUP($B124,'F13B_20-21_True Up'!$B$12:$EN$392,136,0),0)</f>
        <v>0</v>
      </c>
      <c r="K124" s="1593">
        <f>IFERROR(VLOOKUP($B124,'F13B_20-21_True Up'!$B$12:$EN$392,138,0),0)</f>
        <v>0</v>
      </c>
      <c r="L124" s="1593">
        <f>IFERROR(VLOOKUP($B124,'F13B_20-21_True Up'!$B$12:$EN$392,140,0),0)</f>
        <v>0</v>
      </c>
      <c r="M124" s="1594">
        <f t="shared" ref="M124:M127" si="25">SUM(J124:L124)</f>
        <v>0</v>
      </c>
      <c r="N124" s="1763">
        <f t="shared" ref="N124:N127" si="26">IFERROR(M124/I124*10,0)</f>
        <v>0</v>
      </c>
      <c r="O124" s="1770">
        <v>0</v>
      </c>
      <c r="P124" s="1771">
        <f t="shared" si="10"/>
        <v>0</v>
      </c>
    </row>
    <row r="125" spans="1:16">
      <c r="A125" s="1760">
        <v>2</v>
      </c>
      <c r="B125" s="1761" t="s">
        <v>1747</v>
      </c>
      <c r="C125" s="1764">
        <v>400</v>
      </c>
      <c r="D125" s="1767">
        <f>IFERROR(VLOOKUP($B125,#REF!,3,0),0)</f>
        <v>0</v>
      </c>
      <c r="E125" s="1764">
        <f>IFERROR(VLOOKUP($B125,#REF!,4,0),0)</f>
        <v>0</v>
      </c>
      <c r="F125" s="1767">
        <v>0.01</v>
      </c>
      <c r="G125" s="1772">
        <f t="shared" si="24"/>
        <v>0.38750000000000001</v>
      </c>
      <c r="H125" s="1764">
        <v>155</v>
      </c>
      <c r="I125" s="1593">
        <f>IFERROR(VLOOKUP($B125,'F13B_20-21_True Up'!$B$12:$EN$392,134,0),0)</f>
        <v>0</v>
      </c>
      <c r="J125" s="1593">
        <f>IFERROR(VLOOKUP($B125,'F13B_20-21_True Up'!$B$12:$EN$392,136,0),0)</f>
        <v>0</v>
      </c>
      <c r="K125" s="1593">
        <f>IFERROR(VLOOKUP($B125,'F13B_20-21_True Up'!$B$12:$EN$392,138,0),0)</f>
        <v>0</v>
      </c>
      <c r="L125" s="1593">
        <f>IFERROR(VLOOKUP($B125,'F13B_20-21_True Up'!$B$12:$EN$392,140,0),0)</f>
        <v>0</v>
      </c>
      <c r="M125" s="1594">
        <f t="shared" si="25"/>
        <v>0</v>
      </c>
      <c r="N125" s="1763">
        <f t="shared" si="26"/>
        <v>0</v>
      </c>
      <c r="O125" s="1770">
        <v>0</v>
      </c>
      <c r="P125" s="1771">
        <f t="shared" si="10"/>
        <v>0</v>
      </c>
    </row>
    <row r="126" spans="1:16">
      <c r="A126" s="1760">
        <v>3</v>
      </c>
      <c r="B126" s="1761" t="s">
        <v>1856</v>
      </c>
      <c r="C126" s="1764">
        <v>24</v>
      </c>
      <c r="D126" s="1767"/>
      <c r="E126" s="1764" t="s">
        <v>1717</v>
      </c>
      <c r="F126" s="1767">
        <v>0.01</v>
      </c>
      <c r="G126" s="1772">
        <f t="shared" si="24"/>
        <v>1</v>
      </c>
      <c r="H126" s="1764">
        <v>24</v>
      </c>
      <c r="I126" s="1593">
        <f>IFERROR(VLOOKUP($B126,'F13B_20-21_True Up'!$B$12:$EN$392,134,0),0)</f>
        <v>0</v>
      </c>
      <c r="J126" s="1593">
        <f>IFERROR(VLOOKUP($B126,'F13B_20-21_True Up'!$B$12:$EN$392,136,0),0)</f>
        <v>0</v>
      </c>
      <c r="K126" s="1593">
        <f>IFERROR(VLOOKUP($B126,'F13B_20-21_True Up'!$B$12:$EN$392,138,0),0)</f>
        <v>0</v>
      </c>
      <c r="L126" s="1593">
        <f>IFERROR(VLOOKUP($B126,'F13B_20-21_True Up'!$B$12:$EN$392,140,0),0)</f>
        <v>0</v>
      </c>
      <c r="M126" s="1594">
        <f t="shared" si="25"/>
        <v>0</v>
      </c>
      <c r="N126" s="1763">
        <f t="shared" si="26"/>
        <v>0</v>
      </c>
      <c r="P126" s="1771">
        <f t="shared" si="10"/>
        <v>0</v>
      </c>
    </row>
    <row r="127" spans="1:16">
      <c r="A127" s="1760">
        <v>4</v>
      </c>
      <c r="B127" s="1761" t="s">
        <v>1749</v>
      </c>
      <c r="C127" s="1764">
        <v>444</v>
      </c>
      <c r="D127" s="1767"/>
      <c r="E127" s="1764">
        <f>IFERROR(VLOOKUP($B127,#REF!,4,0),0)</f>
        <v>0</v>
      </c>
      <c r="F127" s="1767">
        <v>1.2E-2</v>
      </c>
      <c r="G127" s="1772">
        <f t="shared" si="24"/>
        <v>0.37387387387387389</v>
      </c>
      <c r="H127" s="1764">
        <v>166</v>
      </c>
      <c r="I127" s="1593">
        <f>IFERROR(VLOOKUP($B127,'F13B_20-21_True Up'!$B$12:$EN$392,134,0),0)</f>
        <v>0</v>
      </c>
      <c r="J127" s="1593">
        <f>IFERROR(VLOOKUP($B127,'F13B_20-21_True Up'!$B$12:$EN$392,136,0),0)</f>
        <v>0</v>
      </c>
      <c r="K127" s="1593">
        <f>IFERROR(VLOOKUP($B127,'F13B_20-21_True Up'!$B$12:$EN$392,138,0),0)</f>
        <v>0</v>
      </c>
      <c r="L127" s="1593">
        <f>IFERROR(VLOOKUP($B127,'F13B_20-21_True Up'!$B$12:$EN$392,140,0),0)</f>
        <v>0</v>
      </c>
      <c r="M127" s="1594">
        <f t="shared" si="25"/>
        <v>0</v>
      </c>
      <c r="N127" s="1763">
        <f t="shared" si="26"/>
        <v>0</v>
      </c>
      <c r="O127" s="1770"/>
      <c r="P127" s="1771">
        <f t="shared" si="10"/>
        <v>0</v>
      </c>
    </row>
    <row r="128" spans="1:16">
      <c r="A128" s="1760"/>
      <c r="B128" s="1784" t="s">
        <v>1750</v>
      </c>
      <c r="C128" s="1790"/>
      <c r="D128" s="1767"/>
      <c r="E128" s="1764"/>
      <c r="F128" s="1772"/>
      <c r="G128" s="1762"/>
      <c r="H128" s="1763"/>
      <c r="I128" s="1599"/>
      <c r="J128" s="1763"/>
      <c r="K128" s="1763"/>
      <c r="L128" s="1763"/>
      <c r="M128" s="1763"/>
      <c r="N128" s="1763"/>
      <c r="O128" s="1770">
        <v>916.24491299999988</v>
      </c>
      <c r="P128" s="1771">
        <f t="shared" si="10"/>
        <v>-916.24491299999988</v>
      </c>
    </row>
    <row r="129" spans="1:16">
      <c r="A129" s="1760">
        <v>1</v>
      </c>
      <c r="B129" s="1761" t="s">
        <v>1751</v>
      </c>
      <c r="C129" s="1764">
        <v>1320</v>
      </c>
      <c r="D129" s="1767">
        <f>IFERROR(VLOOKUP($B129,#REF!,3,0),0)</f>
        <v>0</v>
      </c>
      <c r="E129" s="1764">
        <f>IFERROR(VLOOKUP($B129,#REF!,4,0),0)</f>
        <v>0</v>
      </c>
      <c r="F129" s="1767">
        <v>5.7500000000000002E-2</v>
      </c>
      <c r="G129" s="1772">
        <f t="shared" ref="G129" si="27">H129/C129</f>
        <v>0.3</v>
      </c>
      <c r="H129" s="1764">
        <v>396</v>
      </c>
      <c r="I129" s="1593">
        <f>IFERROR(VLOOKUP($B129,'F13B_20-21_True Up'!$B$12:$EN$392,134,0),0)</f>
        <v>0</v>
      </c>
      <c r="J129" s="1593">
        <f>IFERROR(VLOOKUP($B129,'F13B_20-21_True Up'!$B$12:$EN$392,136,0),0)</f>
        <v>0</v>
      </c>
      <c r="K129" s="1593">
        <f>IFERROR(VLOOKUP($B129,'F13B_20-21_True Up'!$B$12:$EN$392,138,0),0)</f>
        <v>0</v>
      </c>
      <c r="L129" s="1593">
        <f>IFERROR(VLOOKUP($B129,'F13B_20-21_True Up'!$B$12:$EN$392,140,0),0)</f>
        <v>0</v>
      </c>
      <c r="M129" s="1594">
        <f>SUM(J129:L129)</f>
        <v>0</v>
      </c>
      <c r="N129" s="1763">
        <f>IFERROR(M129/I129*10,0)</f>
        <v>0</v>
      </c>
      <c r="P129" s="1771">
        <f t="shared" si="10"/>
        <v>0</v>
      </c>
    </row>
    <row r="130" spans="1:16">
      <c r="A130" s="1760"/>
      <c r="B130" s="1784" t="s">
        <v>211</v>
      </c>
      <c r="C130" s="1764"/>
      <c r="D130" s="1767"/>
      <c r="E130" s="1764"/>
      <c r="F130" s="1772"/>
      <c r="G130" s="1762"/>
      <c r="H130" s="1763"/>
      <c r="I130" s="1785">
        <f>SUM(I124:I129)</f>
        <v>0</v>
      </c>
      <c r="J130" s="1594">
        <f t="shared" ref="J130:L130" si="28">SUM(J124:J129)</f>
        <v>0</v>
      </c>
      <c r="K130" s="1594">
        <f t="shared" si="28"/>
        <v>0</v>
      </c>
      <c r="L130" s="1594">
        <f t="shared" si="28"/>
        <v>0</v>
      </c>
      <c r="M130" s="1594">
        <f>SUM(M124:M129)</f>
        <v>0</v>
      </c>
      <c r="N130" s="1763">
        <f>IFERROR(M130/I130*10,0)</f>
        <v>0</v>
      </c>
      <c r="O130" s="1770"/>
      <c r="P130" s="1771">
        <f t="shared" si="10"/>
        <v>0</v>
      </c>
    </row>
    <row r="131" spans="1:16">
      <c r="A131" s="1760"/>
      <c r="B131" s="1761"/>
      <c r="C131" s="1764"/>
      <c r="D131" s="1767"/>
      <c r="E131" s="1764"/>
      <c r="F131" s="1767"/>
      <c r="G131" s="1765"/>
      <c r="H131" s="1768"/>
      <c r="I131" s="1593"/>
      <c r="J131" s="1769"/>
      <c r="K131" s="1769"/>
      <c r="L131" s="1769"/>
      <c r="M131" s="1769"/>
      <c r="N131" s="1763"/>
      <c r="O131" s="1770">
        <v>291.10956539999995</v>
      </c>
      <c r="P131" s="1771">
        <f t="shared" si="10"/>
        <v>-291.10956539999995</v>
      </c>
    </row>
    <row r="132" spans="1:16">
      <c r="A132" s="1783" t="s">
        <v>129</v>
      </c>
      <c r="B132" s="1761" t="s">
        <v>1752</v>
      </c>
      <c r="C132" s="1764"/>
      <c r="D132" s="1767"/>
      <c r="E132" s="1764"/>
      <c r="F132" s="1767"/>
      <c r="G132" s="1765"/>
      <c r="H132" s="1768"/>
      <c r="I132" s="1593">
        <v>0</v>
      </c>
      <c r="J132" s="1593">
        <v>0</v>
      </c>
      <c r="K132" s="1593">
        <v>0</v>
      </c>
      <c r="L132" s="1593">
        <v>0</v>
      </c>
      <c r="M132" s="1594">
        <f t="shared" ref="M132:M134" si="29">SUM(J132:L132)</f>
        <v>0</v>
      </c>
      <c r="N132" s="1763">
        <f t="shared" ref="N132:N135" si="30">IFERROR(M132/I132*10,0)</f>
        <v>0</v>
      </c>
      <c r="O132" s="1770">
        <v>356.19427459999997</v>
      </c>
      <c r="P132" s="1771">
        <f t="shared" si="10"/>
        <v>-356.19427459999997</v>
      </c>
    </row>
    <row r="133" spans="1:16">
      <c r="A133" s="1783">
        <v>1</v>
      </c>
      <c r="B133" s="1761" t="s">
        <v>1753</v>
      </c>
      <c r="C133" s="1764">
        <v>412</v>
      </c>
      <c r="D133" s="1767">
        <f>IFERROR(VLOOKUP($B133,#REF!,3,0),0)</f>
        <v>0</v>
      </c>
      <c r="E133" s="1764">
        <f>IFERROR(VLOOKUP($B133,#REF!,4,0),0)</f>
        <v>0</v>
      </c>
      <c r="F133" s="1767">
        <v>0.01</v>
      </c>
      <c r="G133" s="1772">
        <f t="shared" ref="G133:G134" si="31">H133/C133</f>
        <v>0.13834951456310679</v>
      </c>
      <c r="H133" s="1764">
        <v>57</v>
      </c>
      <c r="I133" s="1593">
        <f>IFERROR(VLOOKUP($B133,'F13B_20-21_True Up'!$B$12:$EN$392,134,0),0)</f>
        <v>0</v>
      </c>
      <c r="J133" s="1593">
        <f>IFERROR(VLOOKUP($B133,'F13B_20-21_True Up'!$B$12:$EN$392,136,0),0)</f>
        <v>0</v>
      </c>
      <c r="K133" s="1593">
        <f>IFERROR(VLOOKUP($B133,'F13B_20-21_True Up'!$B$12:$EN$392,138,0),0)</f>
        <v>0</v>
      </c>
      <c r="L133" s="1593">
        <f>IFERROR(VLOOKUP($B133,'F13B_20-21_True Up'!$B$12:$EN$392,140,0),0)</f>
        <v>0</v>
      </c>
      <c r="M133" s="1594">
        <f t="shared" si="29"/>
        <v>0</v>
      </c>
      <c r="N133" s="1763">
        <f t="shared" si="30"/>
        <v>0</v>
      </c>
      <c r="O133" s="1770">
        <v>647.30383999999992</v>
      </c>
      <c r="P133" s="1771">
        <f t="shared" si="10"/>
        <v>-647.30383999999992</v>
      </c>
    </row>
    <row r="134" spans="1:16">
      <c r="A134" s="1783">
        <v>2</v>
      </c>
      <c r="B134" s="1761" t="s">
        <v>1754</v>
      </c>
      <c r="C134" s="1764">
        <v>1500</v>
      </c>
      <c r="D134" s="1767">
        <f>IFERROR(VLOOKUP($B134,#REF!,3,0),0)</f>
        <v>0</v>
      </c>
      <c r="E134" s="1764">
        <f>IFERROR(VLOOKUP($B134,#REF!,4,0),0)</f>
        <v>0</v>
      </c>
      <c r="F134" s="1767">
        <v>1.2E-2</v>
      </c>
      <c r="G134" s="1772">
        <f t="shared" si="31"/>
        <v>0.14733333333333334</v>
      </c>
      <c r="H134" s="1764">
        <v>221</v>
      </c>
      <c r="I134" s="1593">
        <f>IFERROR(VLOOKUP($B134,'F13B_20-21_True Up'!$B$12:$EN$392,134,0),0)</f>
        <v>0</v>
      </c>
      <c r="J134" s="1593">
        <f>IFERROR(VLOOKUP($B134,'F13B_20-21_True Up'!$B$12:$EN$392,136,0),0)</f>
        <v>0</v>
      </c>
      <c r="K134" s="1593">
        <f>IFERROR(VLOOKUP($B134,'F13B_20-21_True Up'!$B$12:$EN$392,138,0),0)</f>
        <v>0</v>
      </c>
      <c r="L134" s="1593">
        <f>IFERROR(VLOOKUP($B134,'F13B_20-21_True Up'!$B$12:$EN$392,140,0),0)</f>
        <v>0</v>
      </c>
      <c r="M134" s="1594">
        <f t="shared" si="29"/>
        <v>0</v>
      </c>
      <c r="N134" s="1763">
        <f t="shared" si="30"/>
        <v>0</v>
      </c>
      <c r="P134" s="1771">
        <f t="shared" si="10"/>
        <v>0</v>
      </c>
    </row>
    <row r="135" spans="1:16">
      <c r="A135" s="1760"/>
      <c r="B135" s="1784" t="s">
        <v>211</v>
      </c>
      <c r="C135" s="1764"/>
      <c r="D135" s="1767"/>
      <c r="E135" s="1764"/>
      <c r="F135" s="1772"/>
      <c r="G135" s="1762"/>
      <c r="H135" s="1763"/>
      <c r="I135" s="1785">
        <f t="shared" ref="I135:M135" si="32">SUM(I133:I134)</f>
        <v>0</v>
      </c>
      <c r="J135" s="1594">
        <f t="shared" si="32"/>
        <v>0</v>
      </c>
      <c r="K135" s="1594">
        <f t="shared" si="32"/>
        <v>0</v>
      </c>
      <c r="L135" s="1594">
        <f t="shared" si="32"/>
        <v>0</v>
      </c>
      <c r="M135" s="1594">
        <f t="shared" si="32"/>
        <v>0</v>
      </c>
      <c r="N135" s="1763">
        <f t="shared" si="30"/>
        <v>0</v>
      </c>
      <c r="O135" s="1770"/>
      <c r="P135" s="1771">
        <f t="shared" si="10"/>
        <v>0</v>
      </c>
    </row>
    <row r="136" spans="1:16">
      <c r="A136" s="1760"/>
      <c r="B136" s="1761"/>
      <c r="C136" s="1764"/>
      <c r="D136" s="1767"/>
      <c r="E136" s="1764"/>
      <c r="F136" s="1767"/>
      <c r="G136" s="1765"/>
      <c r="H136" s="1768"/>
      <c r="I136" s="1593"/>
      <c r="J136" s="1769"/>
      <c r="K136" s="1769"/>
      <c r="L136" s="1769"/>
      <c r="M136" s="1769"/>
      <c r="N136" s="1763"/>
      <c r="O136" s="1770"/>
      <c r="P136" s="1771">
        <f t="shared" si="10"/>
        <v>0</v>
      </c>
    </row>
    <row r="137" spans="1:16">
      <c r="A137" s="1760" t="s">
        <v>136</v>
      </c>
      <c r="B137" s="1784" t="s">
        <v>1755</v>
      </c>
      <c r="C137" s="1764"/>
      <c r="D137" s="1767"/>
      <c r="E137" s="1764"/>
      <c r="F137" s="1772"/>
      <c r="G137" s="1762"/>
      <c r="H137" s="1763"/>
      <c r="I137" s="1593"/>
      <c r="J137" s="1756"/>
      <c r="K137" s="1756"/>
      <c r="L137" s="1756"/>
      <c r="M137" s="1756"/>
      <c r="N137" s="1756"/>
      <c r="O137" s="1770">
        <v>0</v>
      </c>
      <c r="P137" s="1771">
        <f t="shared" si="10"/>
        <v>0</v>
      </c>
    </row>
    <row r="138" spans="1:16">
      <c r="A138" s="1760">
        <v>1</v>
      </c>
      <c r="B138" s="1761" t="s">
        <v>1756</v>
      </c>
      <c r="C138" s="1764">
        <v>600</v>
      </c>
      <c r="D138" s="1767">
        <f>IFERROR(VLOOKUP($B138,#REF!,3,0),0)</f>
        <v>0</v>
      </c>
      <c r="E138" s="1764">
        <f>IFERROR(VLOOKUP($B138,#REF!,4,0),0)</f>
        <v>0</v>
      </c>
      <c r="F138" s="1767">
        <v>0.01</v>
      </c>
      <c r="G138" s="1772">
        <f t="shared" ref="G138" si="33">H138/C138</f>
        <v>9.166666666666666E-2</v>
      </c>
      <c r="H138" s="1764">
        <v>55</v>
      </c>
      <c r="I138" s="1791">
        <f>IFERROR(VLOOKUP($B138,'F13B_20-21_True Up'!$B$12:$EN$392,134,0),0)</f>
        <v>0</v>
      </c>
      <c r="J138" s="1593">
        <f>IFERROR(VLOOKUP($B138,'F13B_20-21_True Up'!$B$12:$EN$392,136,0),0)</f>
        <v>0</v>
      </c>
      <c r="K138" s="1593">
        <f>IFERROR(VLOOKUP($B138,'F13B_20-21_True Up'!$B$12:$EN$392,138,0),0)</f>
        <v>0</v>
      </c>
      <c r="L138" s="1593">
        <f>IFERROR(VLOOKUP($B138,'F13B_20-21_True Up'!$B$12:$EN$392,140,0),0)</f>
        <v>0</v>
      </c>
      <c r="M138" s="1594">
        <f>SUM(J138:L138)</f>
        <v>0</v>
      </c>
      <c r="N138" s="1763">
        <f>IFERROR(M138/I138*10,0)</f>
        <v>0</v>
      </c>
      <c r="O138" s="1770"/>
    </row>
    <row r="139" spans="1:16">
      <c r="A139" s="1760"/>
      <c r="B139" s="1761"/>
      <c r="C139" s="1764"/>
      <c r="D139" s="1767"/>
      <c r="E139" s="1764"/>
      <c r="F139" s="1772"/>
      <c r="G139" s="1762"/>
      <c r="H139" s="1763"/>
      <c r="I139" s="1593"/>
      <c r="J139" s="1756"/>
      <c r="K139" s="1756"/>
      <c r="L139" s="1756"/>
      <c r="M139" s="1756"/>
      <c r="N139" s="1756"/>
      <c r="O139" s="1770"/>
    </row>
    <row r="140" spans="1:16">
      <c r="A140" s="1760" t="s">
        <v>706</v>
      </c>
      <c r="B140" s="1761" t="s">
        <v>1757</v>
      </c>
      <c r="C140" s="1764"/>
      <c r="D140" s="1767"/>
      <c r="E140" s="1764"/>
      <c r="F140" s="1767"/>
      <c r="G140" s="1765"/>
      <c r="H140" s="1768"/>
      <c r="I140" s="1593"/>
      <c r="J140" s="1769"/>
      <c r="K140" s="1769"/>
      <c r="L140" s="1769"/>
      <c r="M140" s="1769"/>
      <c r="N140" s="1763"/>
      <c r="O140" s="1770">
        <v>25.684299299999999</v>
      </c>
      <c r="P140" s="1771">
        <f>M140-O140</f>
        <v>-25.684299299999999</v>
      </c>
    </row>
    <row r="141" spans="1:16">
      <c r="A141" s="1760"/>
      <c r="B141" s="1761" t="s">
        <v>1745</v>
      </c>
      <c r="C141" s="1764"/>
      <c r="D141" s="1767"/>
      <c r="E141" s="1764"/>
      <c r="F141" s="1767"/>
      <c r="G141" s="1765"/>
      <c r="H141" s="1768"/>
      <c r="I141" s="1593"/>
      <c r="J141" s="1769"/>
      <c r="K141" s="1769"/>
      <c r="L141" s="1769"/>
      <c r="M141" s="1769"/>
      <c r="N141" s="1763"/>
      <c r="O141" s="1770">
        <v>248.51927170000005</v>
      </c>
      <c r="P141" s="1771">
        <f t="shared" ref="P141:P162" si="34">M141-O141</f>
        <v>-248.51927170000005</v>
      </c>
    </row>
    <row r="142" spans="1:16">
      <c r="A142" s="1760">
        <v>1</v>
      </c>
      <c r="B142" s="1761" t="s">
        <v>1758</v>
      </c>
      <c r="C142" s="1764">
        <v>1020</v>
      </c>
      <c r="D142" s="1767">
        <f>IFERROR(VLOOKUP($B142,#REF!,3,0),0)</f>
        <v>0</v>
      </c>
      <c r="E142" s="1764">
        <f>IFERROR(VLOOKUP($B142,#REF!,4,0),0)</f>
        <v>0</v>
      </c>
      <c r="F142" s="1767">
        <v>0.01</v>
      </c>
      <c r="G142" s="1772">
        <f t="shared" ref="G142:G164" si="35">H142/C142</f>
        <v>4.3137254901960784E-2</v>
      </c>
      <c r="H142" s="1764">
        <v>44</v>
      </c>
      <c r="I142" s="1593">
        <f>IFERROR(VLOOKUP($B142,'F13B_20-21_True Up'!$B$12:$EN$392,134,0),0)</f>
        <v>0</v>
      </c>
      <c r="J142" s="1593">
        <f>IFERROR(VLOOKUP($B142,'F13B_20-21_True Up'!$B$12:$EN$392,136,0),0)</f>
        <v>0</v>
      </c>
      <c r="K142" s="1593">
        <f>IFERROR(VLOOKUP($B142,'F13B_20-21_True Up'!$B$12:$EN$392,138,0),0)</f>
        <v>0</v>
      </c>
      <c r="L142" s="1593">
        <f>IFERROR(VLOOKUP($B142,'F13B_20-21_True Up'!$B$12:$EN$392,140,0),0)</f>
        <v>0</v>
      </c>
      <c r="M142" s="1594">
        <f t="shared" ref="M142:M147" si="36">SUM(J142:L142)</f>
        <v>0</v>
      </c>
      <c r="N142" s="1763">
        <f t="shared" ref="N142:N168" si="37">IFERROR(M142/I142*10,0)</f>
        <v>0</v>
      </c>
      <c r="O142" s="1770">
        <v>406.95481519999998</v>
      </c>
      <c r="P142" s="1771">
        <f t="shared" si="34"/>
        <v>-406.95481519999998</v>
      </c>
    </row>
    <row r="143" spans="1:16">
      <c r="A143" s="1760">
        <v>2</v>
      </c>
      <c r="B143" s="1761" t="s">
        <v>1759</v>
      </c>
      <c r="C143" s="1764">
        <v>400</v>
      </c>
      <c r="D143" s="1767">
        <f>IFERROR(VLOOKUP($B143,#REF!,3,0),0)</f>
        <v>0</v>
      </c>
      <c r="E143" s="1764">
        <f>IFERROR(VLOOKUP($B143,#REF!,4,0),0)</f>
        <v>0</v>
      </c>
      <c r="F143" s="1767">
        <v>5.0000000000000001E-3</v>
      </c>
      <c r="G143" s="1772">
        <f t="shared" si="35"/>
        <v>0.88</v>
      </c>
      <c r="H143" s="1764">
        <v>352</v>
      </c>
      <c r="I143" s="1593">
        <f>IFERROR(VLOOKUP($B143,'F13B_20-21_True Up'!$B$12:$EN$392,134,0),0)</f>
        <v>0</v>
      </c>
      <c r="J143" s="1593">
        <f>IFERROR(VLOOKUP($B143,'F13B_20-21_True Up'!$B$12:$EN$392,136,0),0)</f>
        <v>0</v>
      </c>
      <c r="K143" s="1593">
        <f>IFERROR(VLOOKUP($B143,'F13B_20-21_True Up'!$B$12:$EN$392,138,0),0)</f>
        <v>0</v>
      </c>
      <c r="L143" s="1593">
        <f>IFERROR(VLOOKUP($B143,'F13B_20-21_True Up'!$B$12:$EN$392,140,0),0)</f>
        <v>0</v>
      </c>
      <c r="M143" s="1594">
        <f t="shared" si="36"/>
        <v>0</v>
      </c>
      <c r="N143" s="1763">
        <f t="shared" si="37"/>
        <v>0</v>
      </c>
      <c r="O143" s="1770">
        <v>444.81631699999997</v>
      </c>
      <c r="P143" s="1771">
        <f t="shared" si="34"/>
        <v>-444.81631699999997</v>
      </c>
    </row>
    <row r="144" spans="1:16">
      <c r="A144" s="1760">
        <v>3</v>
      </c>
      <c r="B144" s="1761" t="s">
        <v>1760</v>
      </c>
      <c r="C144" s="1764">
        <v>1000</v>
      </c>
      <c r="D144" s="1767">
        <f>IFERROR(VLOOKUP($B144,#REF!,3,0),0)</f>
        <v>0</v>
      </c>
      <c r="E144" s="1764">
        <f>IFERROR(VLOOKUP($B144,#REF!,4,0),0)</f>
        <v>0</v>
      </c>
      <c r="F144" s="1767">
        <v>1.2E-2</v>
      </c>
      <c r="G144" s="1772">
        <f t="shared" si="35"/>
        <v>0.2</v>
      </c>
      <c r="H144" s="1764">
        <v>200</v>
      </c>
      <c r="I144" s="1593">
        <f>IFERROR(VLOOKUP($B144,'F13B_20-21_True Up'!$B$12:$EN$392,134,0),0)</f>
        <v>0</v>
      </c>
      <c r="J144" s="1593">
        <f>IFERROR(VLOOKUP($B144,'F13B_20-21_True Up'!$B$12:$EN$392,136,0),0)</f>
        <v>0</v>
      </c>
      <c r="K144" s="1593">
        <f>IFERROR(VLOOKUP($B144,'F13B_20-21_True Up'!$B$12:$EN$392,138,0),0)</f>
        <v>0</v>
      </c>
      <c r="L144" s="1593">
        <f>IFERROR(VLOOKUP($B144,'F13B_20-21_True Up'!$B$12:$EN$392,140,0),0)</f>
        <v>0</v>
      </c>
      <c r="M144" s="1594">
        <f t="shared" si="36"/>
        <v>0</v>
      </c>
      <c r="N144" s="1763">
        <f t="shared" si="37"/>
        <v>0</v>
      </c>
      <c r="O144" s="1770">
        <v>701.09353340000007</v>
      </c>
      <c r="P144" s="1771">
        <f t="shared" si="34"/>
        <v>-701.09353340000007</v>
      </c>
    </row>
    <row r="145" spans="1:16">
      <c r="A145" s="1760">
        <v>4</v>
      </c>
      <c r="B145" s="1761" t="s">
        <v>1761</v>
      </c>
      <c r="C145" s="1764">
        <v>1200</v>
      </c>
      <c r="D145" s="1767">
        <f>IFERROR(VLOOKUP($B145,#REF!,3,0),0)</f>
        <v>0</v>
      </c>
      <c r="E145" s="1764">
        <f>IFERROR(VLOOKUP($B145,#REF!,4,0),0)</f>
        <v>0</v>
      </c>
      <c r="F145" s="1767">
        <v>1.2E-2</v>
      </c>
      <c r="G145" s="1772">
        <f t="shared" si="35"/>
        <v>0.16666666666666666</v>
      </c>
      <c r="H145" s="1764">
        <v>200</v>
      </c>
      <c r="I145" s="1593">
        <f>IFERROR(VLOOKUP($B145,'F13B_20-21_True Up'!$B$12:$EN$392,134,0),0)</f>
        <v>0</v>
      </c>
      <c r="J145" s="1593">
        <f>IFERROR(VLOOKUP($B145,'F13B_20-21_True Up'!$B$12:$EN$392,136,0),0)</f>
        <v>0</v>
      </c>
      <c r="K145" s="1593">
        <f>IFERROR(VLOOKUP($B145,'F13B_20-21_True Up'!$B$12:$EN$392,138,0),0)</f>
        <v>0</v>
      </c>
      <c r="L145" s="1593">
        <f>IFERROR(VLOOKUP($B145,'F13B_20-21_True Up'!$B$12:$EN$392,140,0),0)</f>
        <v>0</v>
      </c>
      <c r="M145" s="1594">
        <f t="shared" si="36"/>
        <v>0</v>
      </c>
      <c r="N145" s="1763">
        <f t="shared" si="37"/>
        <v>0</v>
      </c>
      <c r="O145" s="1770">
        <v>0</v>
      </c>
      <c r="P145" s="1771">
        <f t="shared" si="34"/>
        <v>0</v>
      </c>
    </row>
    <row r="146" spans="1:16">
      <c r="A146" s="1760">
        <v>5</v>
      </c>
      <c r="B146" s="1761" t="s">
        <v>1762</v>
      </c>
      <c r="C146" s="1764">
        <v>330</v>
      </c>
      <c r="D146" s="1767">
        <f>IFERROR(VLOOKUP($B146,#REF!,3,0),0)</f>
        <v>0</v>
      </c>
      <c r="E146" s="1764">
        <f>IFERROR(VLOOKUP($B146,#REF!,4,0),0)</f>
        <v>0</v>
      </c>
      <c r="F146" s="1767">
        <v>0.01</v>
      </c>
      <c r="G146" s="1772">
        <f t="shared" si="35"/>
        <v>0.87999999999999989</v>
      </c>
      <c r="H146" s="1764">
        <v>290.39999999999998</v>
      </c>
      <c r="I146" s="1593">
        <f>IFERROR(VLOOKUP($B146,'F13B_20-21_True Up'!$B$12:$EN$392,134,0),0)</f>
        <v>0</v>
      </c>
      <c r="J146" s="1593">
        <f>IFERROR(VLOOKUP($B146,'F13B_20-21_True Up'!$B$12:$EN$392,136,0),0)</f>
        <v>0</v>
      </c>
      <c r="K146" s="1593">
        <f>IFERROR(VLOOKUP($B146,'F13B_20-21_True Up'!$B$12:$EN$392,138,0),0)</f>
        <v>0</v>
      </c>
      <c r="L146" s="1593">
        <f>IFERROR(VLOOKUP($B146,'F13B_20-21_True Up'!$B$12:$EN$392,140,0),0)</f>
        <v>0</v>
      </c>
      <c r="M146" s="1594">
        <f t="shared" si="36"/>
        <v>0</v>
      </c>
      <c r="N146" s="1763">
        <f t="shared" si="37"/>
        <v>0</v>
      </c>
      <c r="O146" s="1770"/>
      <c r="P146" s="1771">
        <f t="shared" si="34"/>
        <v>0</v>
      </c>
    </row>
    <row r="147" spans="1:16">
      <c r="A147" s="1760">
        <v>6</v>
      </c>
      <c r="B147" s="1761" t="s">
        <v>1763</v>
      </c>
      <c r="C147" s="1764">
        <v>45</v>
      </c>
      <c r="D147" s="1767">
        <f>IFERROR(VLOOKUP($B147,#REF!,3,0),0)</f>
        <v>0</v>
      </c>
      <c r="E147" s="1764">
        <f>IFERROR(VLOOKUP($B147,#REF!,4,0),0)</f>
        <v>0</v>
      </c>
      <c r="F147" s="1767">
        <v>0.01</v>
      </c>
      <c r="G147" s="1772">
        <f t="shared" si="35"/>
        <v>0.40333333333333332</v>
      </c>
      <c r="H147" s="1764">
        <v>18.149999999999999</v>
      </c>
      <c r="I147" s="1593">
        <f>IFERROR(VLOOKUP($B147,'F13B_20-21_True Up'!$B$12:$EN$392,134,0),0)</f>
        <v>0</v>
      </c>
      <c r="J147" s="1593">
        <f>IFERROR(VLOOKUP($B147,'F13B_20-21_True Up'!$B$12:$EN$392,136,0),0)</f>
        <v>0</v>
      </c>
      <c r="K147" s="1593">
        <f>IFERROR(VLOOKUP($B147,'F13B_20-21_True Up'!$B$12:$EN$392,138,0),0)</f>
        <v>0</v>
      </c>
      <c r="L147" s="1593">
        <f>IFERROR(VLOOKUP($B147,'F13B_20-21_True Up'!$B$12:$EN$392,140,0),0)</f>
        <v>0</v>
      </c>
      <c r="M147" s="1594">
        <f t="shared" si="36"/>
        <v>0</v>
      </c>
      <c r="N147" s="1763">
        <f t="shared" si="37"/>
        <v>0</v>
      </c>
      <c r="O147" s="1770">
        <v>500.76647350000007</v>
      </c>
      <c r="P147" s="1771">
        <f t="shared" si="34"/>
        <v>-500.76647350000007</v>
      </c>
    </row>
    <row r="148" spans="1:16">
      <c r="A148" s="1760"/>
      <c r="B148" s="1761" t="s">
        <v>1750</v>
      </c>
      <c r="C148" s="1764"/>
      <c r="D148" s="1767"/>
      <c r="E148" s="1764"/>
      <c r="F148" s="1767"/>
      <c r="G148" s="1772"/>
      <c r="H148" s="1764"/>
      <c r="I148" s="1593"/>
      <c r="J148" s="1769"/>
      <c r="K148" s="1769"/>
      <c r="L148" s="1769"/>
      <c r="M148" s="1769"/>
      <c r="N148" s="1763"/>
      <c r="O148" s="1770">
        <v>2284.5593484999999</v>
      </c>
      <c r="P148" s="1771">
        <f t="shared" si="34"/>
        <v>-2284.5593484999999</v>
      </c>
    </row>
    <row r="149" spans="1:16">
      <c r="A149" s="1760">
        <v>1</v>
      </c>
      <c r="B149" s="1761" t="s">
        <v>1764</v>
      </c>
      <c r="C149" s="1764">
        <v>1320</v>
      </c>
      <c r="D149" s="1767">
        <f>IFERROR(VLOOKUP($B149,#REF!,3,0),0)</f>
        <v>0</v>
      </c>
      <c r="E149" s="1764">
        <f>IFERROR(VLOOKUP($B149,#REF!,4,0),0)</f>
        <v>0</v>
      </c>
      <c r="F149" s="1767">
        <v>5.7500000000000002E-2</v>
      </c>
      <c r="G149" s="1772">
        <f t="shared" si="35"/>
        <v>0.77575757575757576</v>
      </c>
      <c r="H149" s="1764">
        <v>1024</v>
      </c>
      <c r="I149" s="1593">
        <f>IFERROR(VLOOKUP($B149,'F13B_20-21_True Up'!$B$12:$EN$392,134,0),0)</f>
        <v>0</v>
      </c>
      <c r="J149" s="1593">
        <f>IFERROR(VLOOKUP($B149,'F13B_20-21_True Up'!$B$12:$EN$392,136,0),0)</f>
        <v>0</v>
      </c>
      <c r="K149" s="1593">
        <f>IFERROR(VLOOKUP($B149,'F13B_20-21_True Up'!$B$12:$EN$392,138,0),0)</f>
        <v>0</v>
      </c>
      <c r="L149" s="1593">
        <f>IFERROR(VLOOKUP($B149,'F13B_20-21_True Up'!$B$12:$EN$392,140,0),0)</f>
        <v>0</v>
      </c>
      <c r="M149" s="1594">
        <f t="shared" ref="M149:M165" si="38">SUM(J149:L149)</f>
        <v>0</v>
      </c>
      <c r="N149" s="1763">
        <f t="shared" si="37"/>
        <v>0</v>
      </c>
      <c r="O149" s="1770">
        <v>221.4106792</v>
      </c>
      <c r="P149" s="1771">
        <f t="shared" si="34"/>
        <v>-221.4106792</v>
      </c>
    </row>
    <row r="150" spans="1:16">
      <c r="A150" s="1760">
        <v>2</v>
      </c>
      <c r="B150" s="1761" t="s">
        <v>1765</v>
      </c>
      <c r="C150" s="1764">
        <v>1200</v>
      </c>
      <c r="D150" s="1767">
        <f>IFERROR(VLOOKUP($B150,#REF!,3,0),0)</f>
        <v>0</v>
      </c>
      <c r="E150" s="1764">
        <f>IFERROR(VLOOKUP($B150,#REF!,4,0),0)</f>
        <v>0</v>
      </c>
      <c r="F150" s="1767">
        <v>7.4999999999999997E-2</v>
      </c>
      <c r="G150" s="1772">
        <f t="shared" si="35"/>
        <v>0.91666666666666663</v>
      </c>
      <c r="H150" s="1764">
        <v>1100</v>
      </c>
      <c r="I150" s="1593">
        <f>IFERROR(VLOOKUP($B150,'F13B_20-21_True Up'!$B$12:$EN$392,134,0),0)</f>
        <v>0</v>
      </c>
      <c r="J150" s="1593">
        <f>IFERROR(VLOOKUP($B150,'F13B_20-21_True Up'!$B$12:$EN$392,136,0),0)</f>
        <v>0</v>
      </c>
      <c r="K150" s="1593">
        <f>IFERROR(VLOOKUP($B150,'F13B_20-21_True Up'!$B$12:$EN$392,138,0),0)</f>
        <v>0</v>
      </c>
      <c r="L150" s="1593">
        <f>IFERROR(VLOOKUP($B150,'F13B_20-21_True Up'!$B$12:$EN$392,140,0),0)</f>
        <v>0</v>
      </c>
      <c r="M150" s="1594">
        <f t="shared" si="38"/>
        <v>0</v>
      </c>
      <c r="N150" s="1763">
        <f t="shared" si="37"/>
        <v>0</v>
      </c>
      <c r="O150" s="1770">
        <v>117.90833739999999</v>
      </c>
      <c r="P150" s="1771">
        <f t="shared" si="34"/>
        <v>-117.90833739999999</v>
      </c>
    </row>
    <row r="151" spans="1:16">
      <c r="A151" s="1760">
        <v>4</v>
      </c>
      <c r="B151" s="1761" t="s">
        <v>1766</v>
      </c>
      <c r="C151" s="1764">
        <v>90</v>
      </c>
      <c r="D151" s="1767">
        <f>IFERROR(VLOOKUP($B151,#REF!,3,0),0)</f>
        <v>0</v>
      </c>
      <c r="E151" s="1764">
        <f>IFERROR(VLOOKUP($B151,#REF!,4,0),0)</f>
        <v>0</v>
      </c>
      <c r="F151" s="1767">
        <v>9.7500000000000003E-2</v>
      </c>
      <c r="G151" s="1772">
        <f t="shared" si="35"/>
        <v>1</v>
      </c>
      <c r="H151" s="1764">
        <v>90</v>
      </c>
      <c r="I151" s="1593">
        <f>IFERROR(VLOOKUP($B151,'F13B_20-21_True Up'!$B$12:$EN$392,134,0),0)</f>
        <v>0</v>
      </c>
      <c r="J151" s="1593">
        <f>IFERROR(VLOOKUP($B151,'F13B_20-21_True Up'!$B$12:$EN$392,136,0),0)</f>
        <v>0</v>
      </c>
      <c r="K151" s="1593">
        <f>IFERROR(VLOOKUP($B151,'F13B_20-21_True Up'!$B$12:$EN$392,138,0),0)</f>
        <v>0</v>
      </c>
      <c r="L151" s="1593">
        <f>IFERROR(VLOOKUP($B151,'F13B_20-21_True Up'!$B$12:$EN$392,140,0),0)</f>
        <v>0</v>
      </c>
      <c r="M151" s="1594">
        <f t="shared" si="38"/>
        <v>0</v>
      </c>
      <c r="N151" s="1763">
        <f t="shared" si="37"/>
        <v>0</v>
      </c>
      <c r="O151" s="1770">
        <v>126.47794879999999</v>
      </c>
      <c r="P151" s="1771">
        <f t="shared" si="34"/>
        <v>-126.47794879999999</v>
      </c>
    </row>
    <row r="152" spans="1:16">
      <c r="A152" s="1760">
        <v>5</v>
      </c>
      <c r="B152" s="1761" t="s">
        <v>1767</v>
      </c>
      <c r="C152" s="1764">
        <v>90</v>
      </c>
      <c r="D152" s="1767">
        <f>IFERROR(VLOOKUP($B152,#REF!,3,0),0)</f>
        <v>0</v>
      </c>
      <c r="E152" s="1764">
        <f>IFERROR(VLOOKUP($B152,#REF!,4,0),0)</f>
        <v>0</v>
      </c>
      <c r="F152" s="1767">
        <v>9.7500000000000003E-2</v>
      </c>
      <c r="G152" s="1772">
        <f t="shared" si="35"/>
        <v>1</v>
      </c>
      <c r="H152" s="1764">
        <v>90</v>
      </c>
      <c r="I152" s="1593">
        <f>IFERROR(VLOOKUP($B152,'F13B_20-21_True Up'!$B$12:$EN$392,134,0),0)</f>
        <v>0</v>
      </c>
      <c r="J152" s="1593">
        <f>IFERROR(VLOOKUP($B152,'F13B_20-21_True Up'!$B$12:$EN$392,136,0),0)</f>
        <v>0</v>
      </c>
      <c r="K152" s="1593">
        <f>IFERROR(VLOOKUP($B152,'F13B_20-21_True Up'!$B$12:$EN$392,138,0),0)</f>
        <v>0</v>
      </c>
      <c r="L152" s="1593">
        <f>IFERROR(VLOOKUP($B152,'F13B_20-21_True Up'!$B$12:$EN$392,140,0),0)</f>
        <v>0</v>
      </c>
      <c r="M152" s="1594">
        <f t="shared" si="38"/>
        <v>0</v>
      </c>
      <c r="N152" s="1763">
        <f t="shared" si="37"/>
        <v>0</v>
      </c>
      <c r="O152" s="1770">
        <v>122.52871300000001</v>
      </c>
      <c r="P152" s="1771">
        <f t="shared" si="34"/>
        <v>-122.52871300000001</v>
      </c>
    </row>
    <row r="153" spans="1:16">
      <c r="A153" s="1760">
        <v>6</v>
      </c>
      <c r="B153" s="1761" t="s">
        <v>1768</v>
      </c>
      <c r="C153" s="1764">
        <v>90</v>
      </c>
      <c r="D153" s="1767">
        <f>IFERROR(VLOOKUP($B153,#REF!,3,0),0)</f>
        <v>0</v>
      </c>
      <c r="E153" s="1764">
        <f>IFERROR(VLOOKUP($B153,#REF!,4,0),0)</f>
        <v>0</v>
      </c>
      <c r="F153" s="1767">
        <v>9.7500000000000003E-2</v>
      </c>
      <c r="G153" s="1772">
        <f t="shared" si="35"/>
        <v>1</v>
      </c>
      <c r="H153" s="1764">
        <v>90</v>
      </c>
      <c r="I153" s="1593">
        <f>IFERROR(VLOOKUP($B153,'F13B_20-21_True Up'!$B$12:$EN$392,134,0),0)</f>
        <v>0</v>
      </c>
      <c r="J153" s="1593">
        <f>IFERROR(VLOOKUP($B153,'F13B_20-21_True Up'!$B$12:$EN$392,136,0),0)</f>
        <v>0</v>
      </c>
      <c r="K153" s="1593">
        <f>IFERROR(VLOOKUP($B153,'F13B_20-21_True Up'!$B$12:$EN$392,138,0),0)</f>
        <v>0</v>
      </c>
      <c r="L153" s="1593">
        <f>IFERROR(VLOOKUP($B153,'F13B_20-21_True Up'!$B$12:$EN$392,140,0),0)</f>
        <v>0</v>
      </c>
      <c r="M153" s="1594">
        <f t="shared" si="38"/>
        <v>0</v>
      </c>
      <c r="N153" s="1763">
        <f t="shared" si="37"/>
        <v>0</v>
      </c>
      <c r="O153" s="1770">
        <v>125.3730085</v>
      </c>
      <c r="P153" s="1771">
        <f t="shared" si="34"/>
        <v>-125.3730085</v>
      </c>
    </row>
    <row r="154" spans="1:16">
      <c r="A154" s="1760">
        <v>7</v>
      </c>
      <c r="B154" s="1761" t="s">
        <v>1769</v>
      </c>
      <c r="C154" s="1764">
        <v>90</v>
      </c>
      <c r="D154" s="1767">
        <f>IFERROR(VLOOKUP($B154,#REF!,3,0),0)</f>
        <v>0</v>
      </c>
      <c r="E154" s="1764">
        <f>IFERROR(VLOOKUP($B154,#REF!,4,0),0)</f>
        <v>0</v>
      </c>
      <c r="F154" s="1767">
        <v>9.7500000000000003E-2</v>
      </c>
      <c r="G154" s="1772">
        <f t="shared" si="35"/>
        <v>1</v>
      </c>
      <c r="H154" s="1764">
        <v>90</v>
      </c>
      <c r="I154" s="1593">
        <f>IFERROR(VLOOKUP($B154,'F13B_20-21_True Up'!$B$12:$EN$392,134,0),0)</f>
        <v>0</v>
      </c>
      <c r="J154" s="1593">
        <f>IFERROR(VLOOKUP($B154,'F13B_20-21_True Up'!$B$12:$EN$392,136,0),0)</f>
        <v>0</v>
      </c>
      <c r="K154" s="1593">
        <f>IFERROR(VLOOKUP($B154,'F13B_20-21_True Up'!$B$12:$EN$392,138,0),0)</f>
        <v>0</v>
      </c>
      <c r="L154" s="1593">
        <f>IFERROR(VLOOKUP($B154,'F13B_20-21_True Up'!$B$12:$EN$392,140,0),0)</f>
        <v>0</v>
      </c>
      <c r="M154" s="1594">
        <f t="shared" si="38"/>
        <v>0</v>
      </c>
      <c r="N154" s="1763">
        <f t="shared" si="37"/>
        <v>0</v>
      </c>
      <c r="O154" s="1770">
        <v>2448.2637742000002</v>
      </c>
      <c r="P154" s="1771">
        <f t="shared" si="34"/>
        <v>-2448.2637742000002</v>
      </c>
    </row>
    <row r="155" spans="1:16">
      <c r="A155" s="1760">
        <v>8</v>
      </c>
      <c r="B155" s="1761" t="s">
        <v>1770</v>
      </c>
      <c r="C155" s="1764">
        <v>90</v>
      </c>
      <c r="D155" s="1767">
        <f>IFERROR(VLOOKUP($B155,#REF!,3,0),0)</f>
        <v>0</v>
      </c>
      <c r="E155" s="1764">
        <f>IFERROR(VLOOKUP($B155,#REF!,4,0),0)</f>
        <v>0</v>
      </c>
      <c r="F155" s="1767">
        <v>9.7500000000000003E-2</v>
      </c>
      <c r="G155" s="1772">
        <f t="shared" si="35"/>
        <v>1</v>
      </c>
      <c r="H155" s="1764">
        <v>90</v>
      </c>
      <c r="I155" s="1593">
        <f>IFERROR(VLOOKUP($B155,'F13B_20-21_True Up'!$B$12:$EN$392,134,0),0)</f>
        <v>0</v>
      </c>
      <c r="J155" s="1593">
        <f>IFERROR(VLOOKUP($B155,'F13B_20-21_True Up'!$B$12:$EN$392,136,0),0)</f>
        <v>0</v>
      </c>
      <c r="K155" s="1593">
        <f>IFERROR(VLOOKUP($B155,'F13B_20-21_True Up'!$B$12:$EN$392,138,0),0)</f>
        <v>0</v>
      </c>
      <c r="L155" s="1593">
        <f>IFERROR(VLOOKUP($B155,'F13B_20-21_True Up'!$B$12:$EN$392,140,0),0)</f>
        <v>0</v>
      </c>
      <c r="M155" s="1594">
        <f t="shared" si="38"/>
        <v>0</v>
      </c>
      <c r="N155" s="1763">
        <f t="shared" si="37"/>
        <v>0</v>
      </c>
      <c r="O155" s="1770">
        <v>5478.0928366000007</v>
      </c>
      <c r="P155" s="1771">
        <f t="shared" si="34"/>
        <v>-5478.0928366000007</v>
      </c>
    </row>
    <row r="156" spans="1:16">
      <c r="A156" s="1760">
        <v>9</v>
      </c>
      <c r="B156" s="1761" t="s">
        <v>1771</v>
      </c>
      <c r="C156" s="1764">
        <v>3600</v>
      </c>
      <c r="D156" s="1767">
        <f>IFERROR(VLOOKUP($B156,#REF!,3,0),0)</f>
        <v>0</v>
      </c>
      <c r="E156" s="1764">
        <f>IFERROR(VLOOKUP($B156,#REF!,4,0),0)</f>
        <v>0</v>
      </c>
      <c r="F156" s="1767">
        <v>0</v>
      </c>
      <c r="G156" s="1772">
        <f t="shared" si="35"/>
        <v>0.27777777777777779</v>
      </c>
      <c r="H156" s="1764">
        <v>1000</v>
      </c>
      <c r="I156" s="1593">
        <f>IFERROR(VLOOKUP($B156,'F13B_20-21_True Up'!$B$12:$EN$392,134,0),0)</f>
        <v>0</v>
      </c>
      <c r="J156" s="1593">
        <f>IFERROR(VLOOKUP($B156,'F13B_20-21_True Up'!$B$12:$EN$392,136,0),0)</f>
        <v>0</v>
      </c>
      <c r="K156" s="1593">
        <f>IFERROR(VLOOKUP($B156,'F13B_20-21_True Up'!$B$12:$EN$392,138,0),0)</f>
        <v>0</v>
      </c>
      <c r="L156" s="1593">
        <f>IFERROR(VLOOKUP($B156,'F13B_20-21_True Up'!$B$12:$EN$392,140,0),0)</f>
        <v>0</v>
      </c>
      <c r="M156" s="1594">
        <f t="shared" si="38"/>
        <v>0</v>
      </c>
      <c r="N156" s="1763">
        <f t="shared" si="37"/>
        <v>0</v>
      </c>
      <c r="O156" s="1770">
        <v>1943.7030461999998</v>
      </c>
      <c r="P156" s="1771">
        <f t="shared" si="34"/>
        <v>-1943.7030461999998</v>
      </c>
    </row>
    <row r="157" spans="1:16">
      <c r="A157" s="1760">
        <v>10</v>
      </c>
      <c r="B157" s="1761" t="s">
        <v>1772</v>
      </c>
      <c r="C157" s="1764">
        <v>1980</v>
      </c>
      <c r="D157" s="1767">
        <f>IFERROR(VLOOKUP($B157,#REF!,3,0),0)</f>
        <v>0</v>
      </c>
      <c r="E157" s="1764">
        <f>IFERROR(VLOOKUP($B157,#REF!,4,0),0)</f>
        <v>0</v>
      </c>
      <c r="F157" s="1767">
        <v>5.7500000000000002E-2</v>
      </c>
      <c r="G157" s="1772">
        <f t="shared" si="35"/>
        <v>1</v>
      </c>
      <c r="H157" s="1764">
        <v>1980</v>
      </c>
      <c r="I157" s="1593">
        <f>IFERROR(VLOOKUP($B157,'F13B_20-21_True Up'!$B$12:$EN$392,134,0),0)</f>
        <v>0</v>
      </c>
      <c r="J157" s="1593">
        <f>IFERROR(VLOOKUP($B157,'F13B_20-21_True Up'!$B$12:$EN$392,136,0),0)</f>
        <v>0</v>
      </c>
      <c r="K157" s="1593">
        <f>IFERROR(VLOOKUP($B157,'F13B_20-21_True Up'!$B$12:$EN$392,138,0),0)</f>
        <v>0</v>
      </c>
      <c r="L157" s="1593">
        <f>IFERROR(VLOOKUP($B157,'F13B_20-21_True Up'!$B$12:$EN$392,140,0),0)</f>
        <v>0</v>
      </c>
      <c r="M157" s="1594">
        <f t="shared" si="38"/>
        <v>0</v>
      </c>
      <c r="N157" s="1763">
        <f>IFERROR(M157/I157*10,0)</f>
        <v>0</v>
      </c>
      <c r="O157" s="1770">
        <v>3236.9775654</v>
      </c>
      <c r="P157" s="1771">
        <f t="shared" si="34"/>
        <v>-3236.9775654</v>
      </c>
    </row>
    <row r="158" spans="1:16">
      <c r="A158" s="1760">
        <v>11</v>
      </c>
      <c r="B158" s="1761" t="s">
        <v>1773</v>
      </c>
      <c r="C158" s="1764">
        <v>1200</v>
      </c>
      <c r="D158" s="1767">
        <f>IFERROR(VLOOKUP($B158,#REF!,3,0),0)</f>
        <v>0</v>
      </c>
      <c r="E158" s="1764">
        <f>IFERROR(VLOOKUP($B158,#REF!,4,0),0)</f>
        <v>0</v>
      </c>
      <c r="F158" s="1767">
        <v>0</v>
      </c>
      <c r="G158" s="1772">
        <f t="shared" si="35"/>
        <v>0.30083333333333334</v>
      </c>
      <c r="H158" s="1764">
        <v>361</v>
      </c>
      <c r="I158" s="1593">
        <f>IFERROR(VLOOKUP($B158,'F13B_20-21_True Up'!$B$12:$EN$392,134,0),0)</f>
        <v>0</v>
      </c>
      <c r="J158" s="1593">
        <f>IFERROR(VLOOKUP($B158,'F13B_20-21_True Up'!$B$12:$EN$392,136,0),0)</f>
        <v>0</v>
      </c>
      <c r="K158" s="1593">
        <f>IFERROR(VLOOKUP($B158,'F13B_20-21_True Up'!$B$12:$EN$392,138,0),0)</f>
        <v>0</v>
      </c>
      <c r="L158" s="1593">
        <f>IFERROR(VLOOKUP($B158,'F13B_20-21_True Up'!$B$12:$EN$392,140,0),0)</f>
        <v>0</v>
      </c>
      <c r="M158" s="1594">
        <f t="shared" si="38"/>
        <v>0</v>
      </c>
      <c r="N158" s="1763">
        <f t="shared" si="37"/>
        <v>0</v>
      </c>
      <c r="O158" s="1770">
        <v>950.7233316999999</v>
      </c>
      <c r="P158" s="1771">
        <f t="shared" si="34"/>
        <v>-950.7233316999999</v>
      </c>
    </row>
    <row r="159" spans="1:16">
      <c r="A159" s="1760">
        <v>12</v>
      </c>
      <c r="B159" s="1761" t="s">
        <v>1774</v>
      </c>
      <c r="C159" s="1764">
        <v>1980</v>
      </c>
      <c r="D159" s="1767">
        <f>IFERROR(VLOOKUP($B159,#REF!,3,0),0)</f>
        <v>0</v>
      </c>
      <c r="E159" s="1764">
        <f>IFERROR(VLOOKUP($B159,#REF!,4,0),0)</f>
        <v>0</v>
      </c>
      <c r="F159" s="1767">
        <v>7.4999999999999997E-2</v>
      </c>
      <c r="G159" s="1772">
        <f t="shared" si="35"/>
        <v>0.9</v>
      </c>
      <c r="H159" s="1764">
        <v>1782</v>
      </c>
      <c r="I159" s="1593">
        <f>IFERROR(VLOOKUP($B159,'F13B_20-21_True Up'!$B$12:$EN$392,134,0),0)</f>
        <v>0</v>
      </c>
      <c r="J159" s="1593">
        <f>IFERROR(VLOOKUP($B159,'F13B_20-21_True Up'!$B$12:$EN$392,136,0),0)</f>
        <v>0</v>
      </c>
      <c r="K159" s="1593">
        <f>IFERROR(VLOOKUP($B159,'F13B_20-21_True Up'!$B$12:$EN$392,138,0),0)</f>
        <v>0</v>
      </c>
      <c r="L159" s="1593">
        <f>IFERROR(VLOOKUP($B159,'F13B_20-21_True Up'!$B$12:$EN$392,140,0),0)</f>
        <v>0</v>
      </c>
      <c r="M159" s="1594">
        <f t="shared" si="38"/>
        <v>0</v>
      </c>
      <c r="N159" s="1763">
        <f t="shared" si="37"/>
        <v>0</v>
      </c>
      <c r="O159" s="1770">
        <v>3019.8022477</v>
      </c>
      <c r="P159" s="1771">
        <f t="shared" si="34"/>
        <v>-3019.8022477</v>
      </c>
    </row>
    <row r="160" spans="1:16">
      <c r="A160" s="1760">
        <v>13</v>
      </c>
      <c r="B160" s="1761" t="s">
        <v>1775</v>
      </c>
      <c r="C160" s="1764">
        <v>1540</v>
      </c>
      <c r="D160" s="1767">
        <f>IFERROR(VLOOKUP($B160,#REF!,3,0),0)</f>
        <v>0</v>
      </c>
      <c r="E160" s="1764">
        <f>IFERROR(VLOOKUP($B160,#REF!,4,0),0)</f>
        <v>0</v>
      </c>
      <c r="F160" s="1767">
        <v>0</v>
      </c>
      <c r="G160" s="1772">
        <f t="shared" si="35"/>
        <v>0.22727272727272727</v>
      </c>
      <c r="H160" s="1764">
        <v>350</v>
      </c>
      <c r="I160" s="1593">
        <f>IFERROR(VLOOKUP($B160,'F13B_20-21_True Up'!$B$12:$EN$392,134,0),0)</f>
        <v>0</v>
      </c>
      <c r="J160" s="1593">
        <f>IFERROR(VLOOKUP($B160,'F13B_20-21_True Up'!$B$12:$EN$392,136,0),0)</f>
        <v>0</v>
      </c>
      <c r="K160" s="1593">
        <f>IFERROR(VLOOKUP($B160,'F13B_20-21_True Up'!$B$12:$EN$392,138,0),0)</f>
        <v>0</v>
      </c>
      <c r="L160" s="1593">
        <f>IFERROR(VLOOKUP($B160,'F13B_20-21_True Up'!$B$12:$EN$392,140,0),0)</f>
        <v>0</v>
      </c>
      <c r="M160" s="1594">
        <f t="shared" si="38"/>
        <v>0</v>
      </c>
      <c r="N160" s="1763">
        <f t="shared" si="37"/>
        <v>0</v>
      </c>
      <c r="O160" s="1770">
        <v>580.15355060000002</v>
      </c>
      <c r="P160" s="1771">
        <f t="shared" si="34"/>
        <v>-580.15355060000002</v>
      </c>
    </row>
    <row r="161" spans="1:16">
      <c r="A161" s="1760">
        <v>14</v>
      </c>
      <c r="B161" s="1761" t="s">
        <v>1776</v>
      </c>
      <c r="C161" s="1764">
        <v>1320</v>
      </c>
      <c r="D161" s="1767">
        <f>IFERROR(VLOOKUP($B161,#REF!,3,0),0)</f>
        <v>0</v>
      </c>
      <c r="E161" s="1764">
        <f>IFERROR(VLOOKUP($B161,#REF!,4,0),0)</f>
        <v>0</v>
      </c>
      <c r="F161" s="1767">
        <v>8.5000000000000006E-2</v>
      </c>
      <c r="G161" s="1772">
        <f t="shared" si="35"/>
        <v>1</v>
      </c>
      <c r="H161" s="1764">
        <v>1320</v>
      </c>
      <c r="I161" s="1593">
        <f>IFERROR(VLOOKUP($B161,'F13B_20-21_True Up'!$B$12:$EN$392,134,0),0)</f>
        <v>0</v>
      </c>
      <c r="J161" s="1593">
        <f>IFERROR(VLOOKUP($B161,'F13B_20-21_True Up'!$B$12:$EN$392,136,0),0)</f>
        <v>0</v>
      </c>
      <c r="K161" s="1593">
        <f>IFERROR(VLOOKUP($B161,'F13B_20-21_True Up'!$B$12:$EN$392,138,0),0)</f>
        <v>0</v>
      </c>
      <c r="L161" s="1593">
        <f>IFERROR(VLOOKUP($B161,'F13B_20-21_True Up'!$B$12:$EN$392,140,0),0)</f>
        <v>0</v>
      </c>
      <c r="M161" s="1594">
        <f t="shared" si="38"/>
        <v>0</v>
      </c>
      <c r="N161" s="1763">
        <f t="shared" si="37"/>
        <v>0</v>
      </c>
      <c r="O161" s="1770">
        <v>565.0472893000001</v>
      </c>
      <c r="P161" s="1771">
        <f t="shared" si="34"/>
        <v>-565.0472893000001</v>
      </c>
    </row>
    <row r="162" spans="1:16">
      <c r="A162" s="1760">
        <v>15</v>
      </c>
      <c r="B162" s="1761" t="s">
        <v>1777</v>
      </c>
      <c r="C162" s="1764">
        <v>4000</v>
      </c>
      <c r="D162" s="1767">
        <f>IFERROR(VLOOKUP($B162,#REF!,3,0),0)</f>
        <v>0</v>
      </c>
      <c r="E162" s="1764">
        <f>IFERROR(VLOOKUP($B162,#REF!,4,0),0)</f>
        <v>0</v>
      </c>
      <c r="F162" s="1767">
        <v>0.06</v>
      </c>
      <c r="G162" s="1772">
        <f t="shared" si="35"/>
        <v>0.12375</v>
      </c>
      <c r="H162" s="1764">
        <v>495</v>
      </c>
      <c r="I162" s="1593">
        <f>IFERROR(VLOOKUP($B162,'F13B_20-21_True Up'!$B$12:$EN$392,134,0),0)</f>
        <v>0</v>
      </c>
      <c r="J162" s="1593">
        <f>IFERROR(VLOOKUP($B162,'F13B_20-21_True Up'!$B$12:$EN$392,136,0),0)</f>
        <v>0</v>
      </c>
      <c r="K162" s="1593">
        <f>IFERROR(VLOOKUP($B162,'F13B_20-21_True Up'!$B$12:$EN$392,138,0),0)</f>
        <v>0</v>
      </c>
      <c r="L162" s="1593">
        <f>IFERROR(VLOOKUP($B162,'F13B_20-21_True Up'!$B$12:$EN$392,140,0),0)</f>
        <v>0</v>
      </c>
      <c r="M162" s="1594">
        <f t="shared" si="38"/>
        <v>0</v>
      </c>
      <c r="N162" s="1763">
        <f t="shared" si="37"/>
        <v>0</v>
      </c>
      <c r="O162" s="1770">
        <v>141.93702199999998</v>
      </c>
      <c r="P162" s="1771">
        <f t="shared" si="34"/>
        <v>-141.93702199999998</v>
      </c>
    </row>
    <row r="163" spans="1:16">
      <c r="A163" s="1760">
        <v>16</v>
      </c>
      <c r="B163" s="1761" t="s">
        <v>1778</v>
      </c>
      <c r="C163" s="1764">
        <v>600</v>
      </c>
      <c r="D163" s="1767">
        <f>IFERROR(VLOOKUP($B163,#REF!,3,0),0)</f>
        <v>0</v>
      </c>
      <c r="E163" s="1764">
        <f>IFERROR(VLOOKUP($B163,#REF!,4,0),0)</f>
        <v>0</v>
      </c>
      <c r="F163" s="1767">
        <v>0</v>
      </c>
      <c r="G163" s="1772">
        <f t="shared" si="35"/>
        <v>0.65</v>
      </c>
      <c r="H163" s="1764">
        <v>390</v>
      </c>
      <c r="I163" s="1593">
        <f>IFERROR(VLOOKUP($B163,'F13B_20-21_True Up'!$B$12:$EN$392,134,0),0)</f>
        <v>0</v>
      </c>
      <c r="J163" s="1593">
        <f>IFERROR(VLOOKUP($B163,'F13B_20-21_True Up'!$B$12:$EN$392,136,0),0)</f>
        <v>0</v>
      </c>
      <c r="K163" s="1593">
        <f>IFERROR(VLOOKUP($B163,'F13B_20-21_True Up'!$B$12:$EN$392,138,0),0)</f>
        <v>0</v>
      </c>
      <c r="L163" s="1593">
        <f>IFERROR(VLOOKUP($B163,'F13B_20-21_True Up'!$B$12:$EN$392,140,0),0)</f>
        <v>0</v>
      </c>
      <c r="M163" s="1594">
        <f t="shared" si="38"/>
        <v>0</v>
      </c>
      <c r="N163" s="1763">
        <f t="shared" si="37"/>
        <v>0</v>
      </c>
      <c r="O163" s="1770">
        <v>25887.539462999994</v>
      </c>
      <c r="P163" s="1771">
        <f>M163-O163</f>
        <v>-25887.539462999994</v>
      </c>
    </row>
    <row r="164" spans="1:16">
      <c r="A164" s="1760">
        <v>17</v>
      </c>
      <c r="B164" s="1761" t="s">
        <v>1779</v>
      </c>
      <c r="C164" s="1764">
        <v>1320</v>
      </c>
      <c r="D164" s="1767">
        <f>IFERROR(VLOOKUP($B164,#REF!,3,0),0)</f>
        <v>0</v>
      </c>
      <c r="E164" s="1764">
        <f>IFERROR(VLOOKUP($B164,#REF!,4,0),0)</f>
        <v>0</v>
      </c>
      <c r="F164" s="1767">
        <v>5.7500000000000002E-2</v>
      </c>
      <c r="G164" s="1772">
        <f t="shared" si="35"/>
        <v>0.15834090909090909</v>
      </c>
      <c r="H164" s="1764">
        <v>209.01</v>
      </c>
      <c r="I164" s="1593">
        <f>IFERROR(VLOOKUP($B164,'F13B_20-21_True Up'!$B$12:$EN$392,134,0),0)</f>
        <v>0</v>
      </c>
      <c r="J164" s="1593">
        <f>IFERROR(VLOOKUP($B164,'F13B_20-21_True Up'!$B$12:$EN$392,136,0),0)</f>
        <v>0</v>
      </c>
      <c r="K164" s="1593">
        <f>IFERROR(VLOOKUP($B164,'F13B_20-21_True Up'!$B$12:$EN$392,138,0),0)</f>
        <v>0</v>
      </c>
      <c r="L164" s="1593">
        <f>IFERROR(VLOOKUP($B164,'F13B_20-21_True Up'!$B$12:$EN$392,140,0),0)</f>
        <v>0</v>
      </c>
      <c r="M164" s="1594">
        <f t="shared" si="38"/>
        <v>0</v>
      </c>
      <c r="N164" s="1763">
        <f t="shared" si="37"/>
        <v>0</v>
      </c>
      <c r="O164" s="1770"/>
    </row>
    <row r="165" spans="1:16">
      <c r="A165" s="1760"/>
      <c r="B165" s="1761" t="s">
        <v>1780</v>
      </c>
      <c r="C165" s="1764"/>
      <c r="D165" s="1767"/>
      <c r="E165" s="1764"/>
      <c r="F165" s="1767"/>
      <c r="G165" s="1772"/>
      <c r="H165" s="1764"/>
      <c r="I165" s="1593">
        <f>IFERROR(VLOOKUP($B165,'F13B_20-21_True Up'!$B$12:$EN$392,134,0),0)</f>
        <v>0</v>
      </c>
      <c r="J165" s="1593">
        <f>IFERROR(VLOOKUP($B165,'F13B_20-21_True Up'!$B$12:$EN$392,136,0),0)</f>
        <v>0</v>
      </c>
      <c r="K165" s="1593">
        <f>IFERROR(VLOOKUP($B165,'F13B_20-21_True Up'!$B$12:$EN$392,138,0),0)</f>
        <v>0</v>
      </c>
      <c r="L165" s="1593">
        <f>IFERROR(VLOOKUP($B165,'F13B_20-21_True Up'!$B$12:$EN$392,140,0),0)</f>
        <v>0</v>
      </c>
      <c r="M165" s="1594">
        <f t="shared" si="38"/>
        <v>0</v>
      </c>
      <c r="N165" s="1763">
        <f t="shared" si="37"/>
        <v>0</v>
      </c>
      <c r="O165" s="1770">
        <v>46096.846975644992</v>
      </c>
      <c r="P165" s="1771">
        <f>M165-O165</f>
        <v>-46096.846975644992</v>
      </c>
    </row>
    <row r="166" spans="1:16">
      <c r="A166" s="1760"/>
      <c r="B166" s="1761" t="s">
        <v>211</v>
      </c>
      <c r="C166" s="1764"/>
      <c r="D166" s="1767"/>
      <c r="E166" s="1764"/>
      <c r="F166" s="1756"/>
      <c r="G166" s="1762"/>
      <c r="H166" s="1763"/>
      <c r="I166" s="1785">
        <f>SUM(I142:I165)</f>
        <v>0</v>
      </c>
      <c r="J166" s="1594">
        <f t="shared" ref="J166:M166" si="39">SUM(J142:J165)</f>
        <v>0</v>
      </c>
      <c r="K166" s="1594">
        <f t="shared" si="39"/>
        <v>0</v>
      </c>
      <c r="L166" s="1594">
        <f t="shared" si="39"/>
        <v>0</v>
      </c>
      <c r="M166" s="1594">
        <f t="shared" si="39"/>
        <v>0</v>
      </c>
      <c r="N166" s="1763">
        <f t="shared" si="37"/>
        <v>0</v>
      </c>
      <c r="O166" s="1770"/>
    </row>
    <row r="167" spans="1:16">
      <c r="A167" s="1760"/>
      <c r="B167" s="1761"/>
      <c r="C167" s="1764"/>
      <c r="D167" s="1767"/>
      <c r="E167" s="1764"/>
      <c r="F167" s="1756"/>
      <c r="G167" s="1762"/>
      <c r="H167" s="1763"/>
      <c r="I167" s="1593"/>
      <c r="J167" s="1756"/>
      <c r="K167" s="1756"/>
      <c r="L167" s="1756"/>
      <c r="M167" s="1756"/>
      <c r="N167" s="1756"/>
      <c r="O167" s="1770"/>
    </row>
    <row r="168" spans="1:16">
      <c r="A168" s="1760"/>
      <c r="B168" s="1784" t="s">
        <v>1781</v>
      </c>
      <c r="C168" s="1764"/>
      <c r="D168" s="1767"/>
      <c r="E168" s="1764"/>
      <c r="F168" s="1756"/>
      <c r="G168" s="1762"/>
      <c r="H168" s="1763"/>
      <c r="I168" s="1779">
        <f>SUM(I31,I43,I86,I94,I113,I120,I130,I135,I138,I166)</f>
        <v>0</v>
      </c>
      <c r="J168" s="1779">
        <f t="shared" ref="J168:M168" si="40">SUM(J31,J43,J86,J94,J113,J120,J130,J135,J138,J166)</f>
        <v>2.7644289059999996</v>
      </c>
      <c r="K168" s="1779">
        <f t="shared" si="40"/>
        <v>5.8701083820000006</v>
      </c>
      <c r="L168" s="1779">
        <f t="shared" si="40"/>
        <v>3.2142E-3</v>
      </c>
      <c r="M168" s="1779">
        <f t="shared" si="40"/>
        <v>8.637751488000001</v>
      </c>
      <c r="N168" s="1763">
        <f t="shared" si="37"/>
        <v>0</v>
      </c>
      <c r="O168" s="1770"/>
    </row>
    <row r="169" spans="1:16">
      <c r="A169" s="1760"/>
      <c r="B169" s="1761"/>
      <c r="C169" s="1764"/>
      <c r="D169" s="1767"/>
      <c r="E169" s="1764"/>
      <c r="F169" s="1756"/>
      <c r="G169" s="1762"/>
      <c r="H169" s="1763"/>
      <c r="I169" s="1593"/>
      <c r="J169" s="1756"/>
      <c r="K169" s="1756"/>
      <c r="L169" s="1792"/>
      <c r="M169" s="1756"/>
      <c r="N169" s="1756"/>
      <c r="O169" s="1770"/>
    </row>
    <row r="170" spans="1:16">
      <c r="A170" s="1760" t="s">
        <v>58</v>
      </c>
      <c r="B170" s="1761" t="s">
        <v>1782</v>
      </c>
      <c r="C170" s="1764"/>
      <c r="D170" s="1767"/>
      <c r="E170" s="1764"/>
      <c r="F170" s="1767"/>
      <c r="G170" s="1765"/>
      <c r="H170" s="1768"/>
      <c r="I170" s="1593"/>
      <c r="J170" s="1593"/>
      <c r="K170" s="1593"/>
      <c r="L170" s="1593"/>
      <c r="M170" s="1594"/>
      <c r="N170" s="1763"/>
      <c r="O170" s="1770"/>
    </row>
    <row r="171" spans="1:16">
      <c r="A171" s="1760"/>
      <c r="B171" s="1761"/>
      <c r="C171" s="1764"/>
      <c r="D171" s="1767"/>
      <c r="E171" s="1764"/>
      <c r="F171" s="1756"/>
      <c r="G171" s="1762"/>
      <c r="H171" s="1763"/>
      <c r="I171" s="1593"/>
      <c r="J171" s="1756"/>
      <c r="K171" s="1756"/>
      <c r="L171" s="1756"/>
      <c r="M171" s="1756"/>
      <c r="N171" s="1756"/>
      <c r="O171" s="1770"/>
    </row>
    <row r="172" spans="1:16">
      <c r="A172" s="1760" t="s">
        <v>67</v>
      </c>
      <c r="B172" s="1592" t="s">
        <v>1783</v>
      </c>
      <c r="C172" s="1764"/>
      <c r="D172" s="1767"/>
      <c r="E172" s="1764"/>
      <c r="F172" s="699"/>
      <c r="G172" s="1793"/>
      <c r="H172" s="1794"/>
      <c r="I172" s="1593"/>
      <c r="J172" s="699"/>
      <c r="K172" s="699"/>
      <c r="L172" s="699"/>
      <c r="M172" s="699"/>
      <c r="N172" s="699"/>
      <c r="O172" s="1770"/>
    </row>
    <row r="173" spans="1:16">
      <c r="A173" s="1760"/>
      <c r="B173" s="1595" t="s">
        <v>1784</v>
      </c>
      <c r="C173" s="1764"/>
      <c r="D173" s="1767"/>
      <c r="E173" s="1764"/>
      <c r="F173" s="1772"/>
      <c r="G173" s="1765"/>
      <c r="H173" s="1768"/>
      <c r="I173" s="1593"/>
      <c r="J173" s="1593"/>
      <c r="K173" s="1593"/>
      <c r="L173" s="1593"/>
      <c r="M173" s="1594"/>
      <c r="N173" s="1763"/>
      <c r="O173" s="1770"/>
    </row>
    <row r="174" spans="1:16">
      <c r="A174" s="1760"/>
      <c r="B174" s="1592"/>
      <c r="C174" s="1764"/>
      <c r="D174" s="1767"/>
      <c r="E174" s="1764"/>
      <c r="F174" s="1772"/>
      <c r="G174" s="1765"/>
      <c r="H174" s="1768"/>
      <c r="I174" s="1593"/>
      <c r="J174" s="1795"/>
      <c r="K174" s="1795"/>
      <c r="L174" s="1795"/>
      <c r="M174" s="1795"/>
      <c r="N174" s="1763"/>
      <c r="O174" s="1770"/>
    </row>
    <row r="175" spans="1:16">
      <c r="A175" s="1760" t="s">
        <v>68</v>
      </c>
      <c r="B175" s="1592" t="s">
        <v>1785</v>
      </c>
      <c r="C175" s="1764"/>
      <c r="D175" s="1767"/>
      <c r="E175" s="1764"/>
      <c r="F175" s="1767"/>
      <c r="G175" s="1765"/>
      <c r="H175" s="1768"/>
      <c r="I175" s="1593"/>
      <c r="J175" s="1769"/>
      <c r="K175" s="1769"/>
      <c r="L175" s="1769"/>
      <c r="M175" s="1769"/>
      <c r="N175" s="1763"/>
      <c r="O175" s="1770"/>
    </row>
    <row r="176" spans="1:16">
      <c r="A176" s="1760"/>
      <c r="B176" s="1600" t="s">
        <v>1786</v>
      </c>
      <c r="C176" s="1764">
        <v>1497.01</v>
      </c>
      <c r="D176" s="1767">
        <f>IFERROR(VLOOKUP($B176,#REF!,3,0),0)</f>
        <v>0</v>
      </c>
      <c r="E176" s="1764">
        <f>IFERROR(VLOOKUP($B176,#REF!,4,0),0)</f>
        <v>0</v>
      </c>
      <c r="F176" s="1767">
        <v>0</v>
      </c>
      <c r="G176" s="1772">
        <f t="shared" ref="G176" si="41">H176/C176</f>
        <v>1</v>
      </c>
      <c r="H176" s="1764">
        <v>1497.01</v>
      </c>
      <c r="I176" s="1778" t="e">
        <f>'F13B_20-21_True Up'!EE272</f>
        <v>#REF!</v>
      </c>
      <c r="J176" s="1778" t="e">
        <f>'F13B_20-21_True Up'!EG272</f>
        <v>#REF!</v>
      </c>
      <c r="K176" s="1778" t="e">
        <f>'F13B_20-21_True Up'!EI272</f>
        <v>#REF!</v>
      </c>
      <c r="L176" s="1778" t="e">
        <f>'F13B_20-21_True Up'!EK272</f>
        <v>#REF!</v>
      </c>
      <c r="M176" s="1594" t="e">
        <f>SUM(J176:L176)</f>
        <v>#REF!</v>
      </c>
      <c r="N176" s="1763">
        <f>IFERROR(M176/I176*10,0)</f>
        <v>0</v>
      </c>
    </row>
    <row r="177" spans="1:15">
      <c r="A177" s="1760"/>
      <c r="B177" s="1592" t="s">
        <v>1787</v>
      </c>
      <c r="C177" s="1764">
        <v>0</v>
      </c>
      <c r="D177" s="1767">
        <f>IFERROR(VLOOKUP($B177,#REF!,3,0),0)</f>
        <v>0</v>
      </c>
      <c r="E177" s="1764">
        <f>IFERROR(VLOOKUP($B177,#REF!,4,0),0)</f>
        <v>0</v>
      </c>
      <c r="F177" s="1767">
        <v>0</v>
      </c>
      <c r="G177" s="1772"/>
      <c r="H177" s="1764">
        <v>0</v>
      </c>
      <c r="I177" s="1778"/>
      <c r="J177" s="1778"/>
      <c r="K177" s="1778"/>
      <c r="L177" s="1778"/>
      <c r="M177" s="699"/>
      <c r="N177" s="699"/>
    </row>
    <row r="178" spans="1:15">
      <c r="A178" s="1760"/>
      <c r="B178" s="1595" t="s">
        <v>1788</v>
      </c>
      <c r="C178" s="1764"/>
      <c r="D178" s="1767"/>
      <c r="E178" s="1764"/>
      <c r="F178" s="699"/>
      <c r="G178" s="1793"/>
      <c r="H178" s="1794"/>
      <c r="I178" s="1785" t="e">
        <f>SUM(I176:I177)</f>
        <v>#REF!</v>
      </c>
      <c r="J178" s="1594" t="e">
        <f t="shared" ref="J178:M178" si="42">SUM(J176:J177)</f>
        <v>#REF!</v>
      </c>
      <c r="K178" s="1594" t="e">
        <f t="shared" si="42"/>
        <v>#REF!</v>
      </c>
      <c r="L178" s="1594" t="e">
        <f t="shared" si="42"/>
        <v>#REF!</v>
      </c>
      <c r="M178" s="1594" t="e">
        <f t="shared" si="42"/>
        <v>#REF!</v>
      </c>
      <c r="N178" s="1763">
        <f t="shared" ref="N178" si="43">IFERROR(M178/I178*10,0)</f>
        <v>0</v>
      </c>
    </row>
    <row r="179" spans="1:15" ht="15" customHeight="1">
      <c r="A179" s="1760"/>
      <c r="B179" s="1592"/>
      <c r="C179" s="1764"/>
      <c r="D179" s="1767"/>
      <c r="E179" s="1764"/>
      <c r="F179" s="1772"/>
      <c r="G179" s="1765"/>
      <c r="H179" s="1768"/>
      <c r="I179" s="1593"/>
      <c r="J179" s="1795"/>
      <c r="K179" s="1795"/>
      <c r="L179" s="1795"/>
      <c r="M179" s="1795"/>
      <c r="N179" s="1763"/>
      <c r="O179" s="1770"/>
    </row>
    <row r="180" spans="1:15" ht="15" customHeight="1">
      <c r="A180" s="1760" t="s">
        <v>69</v>
      </c>
      <c r="B180" s="1592" t="s">
        <v>1789</v>
      </c>
      <c r="C180" s="1764"/>
      <c r="D180" s="1767"/>
      <c r="E180" s="1764"/>
      <c r="F180" s="1772"/>
      <c r="G180" s="1765"/>
      <c r="H180" s="1768"/>
      <c r="I180" s="1593"/>
      <c r="J180" s="1795"/>
      <c r="K180" s="1795"/>
      <c r="L180" s="1795"/>
      <c r="M180" s="1795"/>
      <c r="N180" s="1763"/>
      <c r="O180" s="1770"/>
    </row>
    <row r="181" spans="1:15">
      <c r="A181" s="1760"/>
      <c r="B181" s="1592"/>
      <c r="C181" s="1764"/>
      <c r="D181" s="1767"/>
      <c r="E181" s="1764"/>
      <c r="F181" s="1772"/>
      <c r="G181" s="1765"/>
      <c r="H181" s="1768"/>
      <c r="I181" s="1593"/>
      <c r="J181" s="1795"/>
      <c r="K181" s="1795"/>
      <c r="L181" s="1795"/>
      <c r="M181" s="1763"/>
      <c r="N181" s="1763"/>
      <c r="O181" s="1770"/>
    </row>
    <row r="182" spans="1:15">
      <c r="A182" s="1760">
        <v>1</v>
      </c>
      <c r="B182" s="1592" t="s">
        <v>1790</v>
      </c>
      <c r="C182" s="1764">
        <v>0</v>
      </c>
      <c r="D182" s="1767">
        <f>IFERROR(VLOOKUP($B182,#REF!,3,0),0)</f>
        <v>0</v>
      </c>
      <c r="E182" s="1764">
        <f>IFERROR(VLOOKUP($B182,#REF!,4,0),0)</f>
        <v>0</v>
      </c>
      <c r="F182" s="1767"/>
      <c r="G182" s="1772"/>
      <c r="H182" s="1764">
        <v>2343</v>
      </c>
      <c r="I182" s="1593" t="e">
        <f>I183</f>
        <v>#REF!</v>
      </c>
      <c r="J182" s="1795"/>
      <c r="K182" s="1795" t="e">
        <f>K183</f>
        <v>#REF!</v>
      </c>
      <c r="L182" s="1795" t="e">
        <f>L183</f>
        <v>#REF!</v>
      </c>
      <c r="M182" s="1763" t="e">
        <f>M183</f>
        <v>#REF!</v>
      </c>
      <c r="N182" s="1763"/>
      <c r="O182" s="1770"/>
    </row>
    <row r="183" spans="1:15">
      <c r="A183" s="1760">
        <v>2</v>
      </c>
      <c r="B183" s="1592" t="s">
        <v>1791</v>
      </c>
      <c r="C183" s="1764"/>
      <c r="D183" s="1767"/>
      <c r="E183" s="1764"/>
      <c r="F183" s="1772"/>
      <c r="G183" s="1765"/>
      <c r="H183" s="1768"/>
      <c r="I183" s="1791" t="e">
        <f>'F13B_20-21_True Up'!EE328</f>
        <v>#REF!</v>
      </c>
      <c r="J183" s="1593" t="e">
        <f>'F13B_20-21_True Up'!EG328</f>
        <v>#REF!</v>
      </c>
      <c r="K183" s="1593" t="e">
        <f>'F13B_20-21_True Up'!EI328</f>
        <v>#REF!</v>
      </c>
      <c r="L183" s="1593" t="e">
        <f>'F13B_20-21_True Up'!EK328</f>
        <v>#REF!</v>
      </c>
      <c r="M183" s="1594" t="e">
        <f>SUM(J183:L183)</f>
        <v>#REF!</v>
      </c>
      <c r="N183" s="1763">
        <f>IFERROR(M183/I183*10,0)</f>
        <v>0</v>
      </c>
      <c r="O183" s="1770"/>
    </row>
    <row r="184" spans="1:15">
      <c r="A184" s="1760">
        <v>3</v>
      </c>
      <c r="B184" s="1592"/>
      <c r="C184" s="1764"/>
      <c r="D184" s="1767"/>
      <c r="E184" s="1764"/>
      <c r="F184" s="1772"/>
      <c r="G184" s="1765"/>
      <c r="H184" s="1768"/>
      <c r="I184" s="1593"/>
      <c r="J184" s="1795"/>
      <c r="K184" s="1795"/>
      <c r="L184" s="1795"/>
      <c r="M184" s="1763"/>
      <c r="N184" s="1763"/>
      <c r="O184" s="1770"/>
    </row>
    <row r="185" spans="1:15">
      <c r="A185" s="1760">
        <v>4</v>
      </c>
      <c r="B185" s="1592"/>
      <c r="C185" s="1764"/>
      <c r="D185" s="1767"/>
      <c r="E185" s="1764"/>
      <c r="F185" s="1772"/>
      <c r="G185" s="1765"/>
      <c r="H185" s="1768"/>
      <c r="I185" s="1593"/>
      <c r="J185" s="1795"/>
      <c r="K185" s="1795"/>
      <c r="L185" s="1795"/>
      <c r="M185" s="1763"/>
      <c r="N185" s="1763"/>
      <c r="O185" s="1770"/>
    </row>
    <row r="186" spans="1:15">
      <c r="A186" s="1760">
        <v>5</v>
      </c>
      <c r="B186" s="1592"/>
      <c r="C186" s="1764"/>
      <c r="D186" s="1767"/>
      <c r="E186" s="1764"/>
      <c r="F186" s="1767"/>
      <c r="G186" s="1765"/>
      <c r="H186" s="1768"/>
      <c r="I186" s="1593"/>
      <c r="J186" s="1769"/>
      <c r="K186" s="1769"/>
      <c r="L186" s="1769"/>
      <c r="M186" s="1769"/>
      <c r="N186" s="1763"/>
      <c r="O186" s="1770"/>
    </row>
    <row r="187" spans="1:15">
      <c r="A187" s="1760">
        <v>6</v>
      </c>
      <c r="B187" s="1592"/>
      <c r="C187" s="1764"/>
      <c r="D187" s="1767"/>
      <c r="E187" s="1764"/>
      <c r="F187" s="699"/>
      <c r="G187" s="1793"/>
      <c r="H187" s="1794"/>
      <c r="I187" s="1593"/>
      <c r="J187" s="699"/>
      <c r="K187" s="699"/>
      <c r="L187" s="699"/>
      <c r="M187" s="1763"/>
      <c r="N187" s="1763"/>
      <c r="O187" s="1770"/>
    </row>
    <row r="188" spans="1:15">
      <c r="A188" s="1760">
        <v>7</v>
      </c>
      <c r="B188" s="1761"/>
      <c r="C188" s="1764"/>
      <c r="D188" s="1767"/>
      <c r="E188" s="1764"/>
      <c r="F188" s="699"/>
      <c r="G188" s="1793"/>
      <c r="H188" s="1794"/>
      <c r="I188" s="1593"/>
      <c r="J188" s="699"/>
      <c r="K188" s="699"/>
      <c r="L188" s="699"/>
      <c r="M188" s="699"/>
      <c r="N188" s="699"/>
      <c r="O188" s="1770"/>
    </row>
    <row r="189" spans="1:15">
      <c r="A189" s="1760"/>
      <c r="B189" s="1761"/>
      <c r="C189" s="1764"/>
      <c r="D189" s="1767"/>
      <c r="E189" s="1764"/>
      <c r="F189" s="1767"/>
      <c r="G189" s="1765"/>
      <c r="H189" s="1768"/>
      <c r="I189" s="1594"/>
      <c r="J189" s="1769"/>
      <c r="K189" s="1769"/>
      <c r="L189" s="1769"/>
      <c r="M189" s="1769"/>
      <c r="N189" s="1763"/>
      <c r="O189" s="1770"/>
    </row>
    <row r="190" spans="1:15">
      <c r="A190" s="1760"/>
      <c r="B190" s="1761"/>
      <c r="C190" s="1764"/>
      <c r="D190" s="1767"/>
      <c r="E190" s="1764"/>
      <c r="F190" s="1772"/>
      <c r="G190" s="1765"/>
      <c r="H190" s="1768"/>
      <c r="I190" s="1593"/>
      <c r="J190" s="1795"/>
      <c r="K190" s="1795"/>
      <c r="L190" s="1795"/>
      <c r="M190" s="1795"/>
      <c r="N190" s="1763"/>
      <c r="O190" s="1770"/>
    </row>
    <row r="191" spans="1:15">
      <c r="A191" s="1760" t="s">
        <v>138</v>
      </c>
      <c r="B191" s="1761" t="s">
        <v>1797</v>
      </c>
      <c r="C191" s="1764"/>
      <c r="D191" s="1767"/>
      <c r="E191" s="1764"/>
      <c r="F191" s="1772"/>
      <c r="G191" s="1765"/>
      <c r="H191" s="1768"/>
      <c r="I191" s="1593"/>
      <c r="J191" s="1795"/>
      <c r="K191" s="1795"/>
      <c r="L191" s="1795"/>
      <c r="M191" s="1795"/>
      <c r="N191" s="1763"/>
      <c r="O191" s="1770"/>
    </row>
    <row r="192" spans="1:15">
      <c r="A192" s="1760">
        <v>1</v>
      </c>
      <c r="B192" s="1761" t="s">
        <v>1798</v>
      </c>
      <c r="C192" s="1764"/>
      <c r="D192" s="1767">
        <v>0.25</v>
      </c>
      <c r="E192" s="1764" t="s">
        <v>1667</v>
      </c>
      <c r="F192" s="1767"/>
      <c r="G192" s="1772"/>
      <c r="H192" s="1764">
        <v>639.9</v>
      </c>
      <c r="I192" s="1593"/>
      <c r="J192" s="1795"/>
      <c r="K192" s="1795"/>
      <c r="L192" s="1795"/>
      <c r="M192" s="1795"/>
      <c r="N192" s="1763"/>
      <c r="O192" s="1770"/>
    </row>
    <row r="193" spans="1:15">
      <c r="A193" s="1760">
        <v>2</v>
      </c>
      <c r="B193" s="1761" t="s">
        <v>1799</v>
      </c>
      <c r="C193" s="1764"/>
      <c r="D193" s="1767">
        <v>0.25</v>
      </c>
      <c r="E193" s="1764" t="s">
        <v>1667</v>
      </c>
      <c r="F193" s="1767"/>
      <c r="G193" s="1772"/>
      <c r="H193" s="1764"/>
      <c r="I193" s="1791" t="e">
        <f>'F13B_20-21_True Up'!EE344</f>
        <v>#REF!</v>
      </c>
      <c r="J193" s="1593" t="e">
        <f>'F13B_20-21_True Up'!EG344</f>
        <v>#REF!</v>
      </c>
      <c r="K193" s="1593" t="e">
        <f>'F13B_20-21_True Up'!EI344</f>
        <v>#REF!</v>
      </c>
      <c r="L193" s="1593" t="e">
        <f>'F13B_20-21_True Up'!EK344</f>
        <v>#REF!</v>
      </c>
      <c r="M193" s="1594" t="e">
        <f>SUM(J193:L193)</f>
        <v>#REF!</v>
      </c>
      <c r="N193" s="1763">
        <f>IFERROR(M193/I193*10,0)</f>
        <v>0</v>
      </c>
      <c r="O193" s="1770"/>
    </row>
    <row r="194" spans="1:15">
      <c r="A194" s="1760">
        <v>3</v>
      </c>
      <c r="B194" s="1761" t="s">
        <v>1800</v>
      </c>
      <c r="C194" s="1764"/>
      <c r="D194" s="1767">
        <f>IFERROR(VLOOKUP($B194,#REF!,3,0),0)</f>
        <v>0</v>
      </c>
      <c r="E194" s="1764">
        <f>IFERROR(VLOOKUP($B194,#REF!,4,0),0)</f>
        <v>0</v>
      </c>
      <c r="F194" s="1767"/>
      <c r="G194" s="1772"/>
      <c r="H194" s="1764">
        <v>0</v>
      </c>
      <c r="I194" s="1593"/>
      <c r="J194" s="1795"/>
      <c r="K194" s="1795"/>
      <c r="L194" s="1795"/>
      <c r="M194" s="1795"/>
      <c r="N194" s="1763"/>
      <c r="O194" s="1770"/>
    </row>
    <row r="195" spans="1:15">
      <c r="A195" s="1760">
        <v>4</v>
      </c>
      <c r="B195" s="1761" t="s">
        <v>1801</v>
      </c>
      <c r="C195" s="1764"/>
      <c r="D195" s="1767">
        <f>IFERROR(VLOOKUP($B195,#REF!,3,0),0)</f>
        <v>0</v>
      </c>
      <c r="E195" s="1764">
        <f>IFERROR(VLOOKUP($B195,#REF!,4,0),0)</f>
        <v>0</v>
      </c>
      <c r="F195" s="1767"/>
      <c r="G195" s="1772"/>
      <c r="H195" s="1764">
        <v>809.4</v>
      </c>
      <c r="I195" s="1593"/>
      <c r="J195" s="1795"/>
      <c r="K195" s="1795"/>
      <c r="L195" s="1795"/>
      <c r="M195" s="1795"/>
      <c r="N195" s="1763"/>
      <c r="O195" s="1770"/>
    </row>
    <row r="196" spans="1:15">
      <c r="A196" s="1760">
        <v>5</v>
      </c>
      <c r="B196" s="1761" t="s">
        <v>1802</v>
      </c>
      <c r="C196" s="1764"/>
      <c r="D196" s="1767">
        <f>IFERROR(VLOOKUP($B196,#REF!,3,0),0)</f>
        <v>0</v>
      </c>
      <c r="E196" s="1764">
        <f>IFERROR(VLOOKUP($B196,#REF!,4,0),0)</f>
        <v>0</v>
      </c>
      <c r="F196" s="1767"/>
      <c r="G196" s="1772"/>
      <c r="H196" s="1764">
        <v>33.5</v>
      </c>
      <c r="I196" s="1593"/>
      <c r="J196" s="1790"/>
      <c r="K196" s="1790"/>
      <c r="L196" s="1790"/>
      <c r="M196" s="1790"/>
      <c r="N196" s="1763"/>
      <c r="O196" s="1770"/>
    </row>
    <row r="197" spans="1:15">
      <c r="A197" s="1760">
        <v>6</v>
      </c>
      <c r="B197" s="1761" t="s">
        <v>1803</v>
      </c>
      <c r="C197" s="1764"/>
      <c r="D197" s="1767">
        <f>IFERROR(VLOOKUP($B197,#REF!,3,0),0)</f>
        <v>0</v>
      </c>
      <c r="E197" s="1764">
        <f>IFERROR(VLOOKUP($B197,#REF!,4,0),0)</f>
        <v>0</v>
      </c>
      <c r="F197" s="1767"/>
      <c r="G197" s="1772"/>
      <c r="H197" s="1764">
        <v>0</v>
      </c>
      <c r="I197" s="1593"/>
      <c r="J197" s="699"/>
      <c r="K197" s="699"/>
      <c r="L197" s="699"/>
      <c r="M197" s="699"/>
      <c r="N197" s="699"/>
      <c r="O197" s="1770"/>
    </row>
    <row r="198" spans="1:15">
      <c r="A198" s="1760">
        <v>7</v>
      </c>
      <c r="B198" s="1761" t="s">
        <v>1804</v>
      </c>
      <c r="C198" s="1764"/>
      <c r="D198" s="1767"/>
      <c r="E198" s="1764">
        <f>IFERROR(VLOOKUP($B198,#REF!,4,0),0)</f>
        <v>0</v>
      </c>
      <c r="F198" s="1767"/>
      <c r="G198" s="1765"/>
      <c r="H198" s="1768"/>
      <c r="I198" s="1593"/>
      <c r="J198" s="1769"/>
      <c r="K198" s="1769"/>
      <c r="L198" s="1769"/>
      <c r="M198" s="1769"/>
      <c r="N198" s="1763"/>
      <c r="O198" s="1770"/>
    </row>
    <row r="199" spans="1:15">
      <c r="A199" s="1783"/>
      <c r="B199" s="1784" t="s">
        <v>1805</v>
      </c>
      <c r="C199" s="1764"/>
      <c r="D199" s="1765"/>
      <c r="E199" s="1766"/>
      <c r="F199" s="1767"/>
      <c r="G199" s="1765"/>
      <c r="H199" s="1768"/>
      <c r="I199" s="1785" t="e">
        <f>SUM(I193:I198)</f>
        <v>#REF!</v>
      </c>
      <c r="J199" s="1594" t="e">
        <f t="shared" ref="J199:M199" si="44">SUM(J193:J198)</f>
        <v>#REF!</v>
      </c>
      <c r="K199" s="1594" t="e">
        <f t="shared" si="44"/>
        <v>#REF!</v>
      </c>
      <c r="L199" s="1594" t="e">
        <f t="shared" si="44"/>
        <v>#REF!</v>
      </c>
      <c r="M199" s="1594" t="e">
        <f t="shared" si="44"/>
        <v>#REF!</v>
      </c>
      <c r="N199" s="1763">
        <f>IFERROR(M199/I199*10,0)</f>
        <v>0</v>
      </c>
      <c r="O199" s="1770"/>
    </row>
    <row r="200" spans="1:15">
      <c r="A200" s="1760"/>
      <c r="B200" s="1761"/>
      <c r="C200" s="1764"/>
      <c r="D200" s="1765"/>
      <c r="E200" s="1766"/>
      <c r="F200" s="699"/>
      <c r="G200" s="1793"/>
      <c r="H200" s="1794"/>
      <c r="I200" s="1593"/>
      <c r="J200" s="699"/>
      <c r="K200" s="699"/>
      <c r="L200" s="699"/>
      <c r="M200" s="1763"/>
      <c r="N200" s="1763"/>
      <c r="O200" s="1770"/>
    </row>
    <row r="201" spans="1:15">
      <c r="A201" s="1760" t="s">
        <v>139</v>
      </c>
      <c r="B201" s="1592" t="s">
        <v>1806</v>
      </c>
      <c r="C201" s="1764"/>
      <c r="D201" s="1765"/>
      <c r="E201" s="1766"/>
      <c r="F201" s="699"/>
      <c r="G201" s="1793"/>
      <c r="H201" s="1794"/>
      <c r="I201" s="1791" t="e">
        <f>'F13B_20-21_True Up'!EE357</f>
        <v>#REF!</v>
      </c>
      <c r="J201" s="1593" t="e">
        <f>'F13B_20-21_True Up'!EG357</f>
        <v>#REF!</v>
      </c>
      <c r="K201" s="1593" t="e">
        <f>'F13B_20-21_True Up'!EI357</f>
        <v>#REF!</v>
      </c>
      <c r="L201" s="1593" t="e">
        <f>'F13B_20-21_True Up'!EK357</f>
        <v>#REF!</v>
      </c>
      <c r="M201" s="1594" t="e">
        <f>SUM(J201:L201)</f>
        <v>#REF!</v>
      </c>
      <c r="N201" s="1763">
        <f>IFERROR(M201/I201*10,0)</f>
        <v>0</v>
      </c>
      <c r="O201" s="1770"/>
    </row>
    <row r="202" spans="1:15">
      <c r="A202" s="1760"/>
      <c r="B202" s="1592" t="s">
        <v>1807</v>
      </c>
      <c r="C202" s="1764"/>
      <c r="D202" s="1765"/>
      <c r="E202" s="1766"/>
      <c r="F202" s="699"/>
      <c r="G202" s="1793"/>
      <c r="H202" s="1794"/>
      <c r="I202" s="1791" t="e">
        <f>'F13B_20-21_True Up'!EE358</f>
        <v>#REF!</v>
      </c>
      <c r="J202" s="1593" t="e">
        <f>'F13B_20-21_True Up'!EG358</f>
        <v>#REF!</v>
      </c>
      <c r="K202" s="1593" t="e">
        <f>'F13B_20-21_True Up'!EI358</f>
        <v>#REF!</v>
      </c>
      <c r="L202" s="1593" t="e">
        <f>'F13B_20-21_True Up'!EK358</f>
        <v>#REF!</v>
      </c>
      <c r="M202" s="1594" t="e">
        <f>SUM(J202:L202)</f>
        <v>#REF!</v>
      </c>
      <c r="N202" s="1763">
        <f>IFERROR(M202/I202*10,0)</f>
        <v>0</v>
      </c>
      <c r="O202" s="1770"/>
    </row>
    <row r="203" spans="1:15">
      <c r="A203" s="1760" t="s">
        <v>140</v>
      </c>
      <c r="B203" s="1592" t="s">
        <v>1808</v>
      </c>
      <c r="C203" s="1764"/>
      <c r="D203" s="1765"/>
      <c r="E203" s="1766"/>
      <c r="F203" s="699"/>
      <c r="G203" s="1793"/>
      <c r="H203" s="1794"/>
      <c r="I203" s="1791"/>
      <c r="J203" s="699"/>
      <c r="K203" s="699"/>
      <c r="L203" s="699"/>
      <c r="M203" s="1768"/>
      <c r="N203" s="1763"/>
      <c r="O203" s="1770"/>
    </row>
    <row r="204" spans="1:15">
      <c r="A204" s="1760" t="s">
        <v>220</v>
      </c>
      <c r="B204" s="1592" t="s">
        <v>1809</v>
      </c>
      <c r="C204" s="1764"/>
      <c r="D204" s="1765"/>
      <c r="E204" s="1766"/>
      <c r="F204" s="699"/>
      <c r="G204" s="1793"/>
      <c r="H204" s="1794"/>
      <c r="I204" s="1791"/>
      <c r="J204" s="1795"/>
      <c r="K204" s="699"/>
      <c r="L204" s="699"/>
      <c r="M204" s="1768"/>
      <c r="N204" s="1763"/>
      <c r="O204" s="1770"/>
    </row>
    <row r="205" spans="1:15">
      <c r="A205" s="1760" t="s">
        <v>479</v>
      </c>
      <c r="B205" s="1761" t="s">
        <v>1810</v>
      </c>
      <c r="C205" s="1764"/>
      <c r="D205" s="1765"/>
      <c r="E205" s="1766"/>
      <c r="F205" s="699"/>
      <c r="G205" s="1793"/>
      <c r="H205" s="1794"/>
      <c r="I205" s="1791" t="e">
        <f>'F13B_20-21_True Up'!EE362</f>
        <v>#REF!</v>
      </c>
      <c r="J205" s="1795" t="e">
        <f>'F13B_20-21_True Up'!EG362</f>
        <v>#REF!</v>
      </c>
      <c r="K205" s="699" t="e">
        <f>'F13B_20-21_True Up'!EI362</f>
        <v>#REF!</v>
      </c>
      <c r="L205" s="1796" t="e">
        <f>'F13B_20-21_True Up'!EK362</f>
        <v>#REF!</v>
      </c>
      <c r="M205" s="1594" t="e">
        <f>SUM(J205:L205)</f>
        <v>#REF!</v>
      </c>
      <c r="N205" s="1763"/>
      <c r="O205" s="1770"/>
    </row>
    <row r="206" spans="1:15">
      <c r="A206" s="1797" t="s">
        <v>140</v>
      </c>
      <c r="B206" s="1798" t="s">
        <v>2007</v>
      </c>
      <c r="C206" s="1764"/>
      <c r="D206" s="1765"/>
      <c r="E206" s="1766"/>
      <c r="F206" s="699"/>
      <c r="G206" s="1793"/>
      <c r="H206" s="1794"/>
      <c r="I206" s="1593">
        <f>IFERROR(VLOOKUP($B206,'F13B_20-21_True Up'!$B$12:$EN$392,134,0),0)</f>
        <v>0</v>
      </c>
      <c r="J206" s="1593">
        <f>IFERROR(VLOOKUP($B206,'F13B_20-21_True Up'!$B$12:$EN$392,136,0),0)</f>
        <v>0</v>
      </c>
      <c r="K206" s="1593">
        <f>IFERROR(VLOOKUP($B206,'F13B_20-21_True Up'!$B$12:$EN$392,138,0),0)</f>
        <v>0</v>
      </c>
      <c r="L206" s="1593">
        <f>IFERROR(VLOOKUP($B206,'F13B_20-21_True Up'!$B$12:$EN$392,140,0),0)</f>
        <v>0</v>
      </c>
      <c r="M206" s="1594">
        <f t="shared" ref="M206" si="45">SUM(J206:L206)</f>
        <v>0</v>
      </c>
      <c r="N206" s="1763">
        <f t="shared" ref="N206:N210" si="46">IFERROR(M206/I206*10,0)</f>
        <v>0</v>
      </c>
      <c r="O206" s="1770"/>
    </row>
    <row r="207" spans="1:15">
      <c r="A207" s="1797" t="s">
        <v>220</v>
      </c>
      <c r="B207" s="1798" t="s">
        <v>2030</v>
      </c>
      <c r="C207" s="1764"/>
      <c r="D207" s="1765"/>
      <c r="E207" s="1766"/>
      <c r="F207" s="699"/>
      <c r="G207" s="1793"/>
      <c r="H207" s="1794"/>
      <c r="I207" s="1593">
        <f>IFERROR(VLOOKUP($B207,'F13B_20-21_True Up'!$B$12:$EN$392,134,0),0)</f>
        <v>0</v>
      </c>
      <c r="J207" s="1593">
        <f>IFERROR(VLOOKUP($B207,'F13B_20-21_True Up'!$B$12:$EN$392,136,0),0)</f>
        <v>0</v>
      </c>
      <c r="K207" s="1593">
        <f>IFERROR(VLOOKUP($B207,'F13B_20-21_True Up'!$B$12:$EN$392,138,0),0)</f>
        <v>0</v>
      </c>
      <c r="L207" s="1593" t="e">
        <f>'F13B_20-21_True Up'!EK372</f>
        <v>#REF!</v>
      </c>
      <c r="M207" s="1594" t="e">
        <f>SUM(J207:L207)</f>
        <v>#REF!</v>
      </c>
      <c r="N207" s="1763">
        <f t="shared" si="46"/>
        <v>0</v>
      </c>
      <c r="O207" s="1770"/>
    </row>
    <row r="208" spans="1:15">
      <c r="A208" s="1797" t="s">
        <v>479</v>
      </c>
      <c r="B208" s="1798" t="s">
        <v>2012</v>
      </c>
      <c r="C208" s="1764"/>
      <c r="D208" s="1765"/>
      <c r="E208" s="1766"/>
      <c r="F208" s="699"/>
      <c r="G208" s="1793"/>
      <c r="H208" s="1794"/>
      <c r="I208" s="1593">
        <f>IFERROR(VLOOKUP($B208,'F13B_20-21_True Up'!$B$12:$EN$392,134,0),0)</f>
        <v>0</v>
      </c>
      <c r="J208" s="1593">
        <f>IFERROR(VLOOKUP($B208,'F13B_20-21_True Up'!$B$12:$EN$392,136,0),0)</f>
        <v>0</v>
      </c>
      <c r="K208" s="1593">
        <f>IFERROR(VLOOKUP($B208,'F13B_20-21_True Up'!$B$12:$EN$392,138,0),0)</f>
        <v>0</v>
      </c>
      <c r="L208" s="1593">
        <f>IFERROR(VLOOKUP($B208,'F13B_20-21_True Up'!$B$12:$EN$392,140,0),0)</f>
        <v>0</v>
      </c>
      <c r="M208" s="1594">
        <f t="shared" ref="M208:M211" si="47">SUM(J208:L208)</f>
        <v>0</v>
      </c>
      <c r="N208" s="1763">
        <f t="shared" si="46"/>
        <v>0</v>
      </c>
      <c r="O208" s="1770"/>
    </row>
    <row r="209" spans="1:16">
      <c r="A209" s="1797" t="s">
        <v>480</v>
      </c>
      <c r="B209" s="1798" t="s">
        <v>1815</v>
      </c>
      <c r="C209" s="1764"/>
      <c r="D209" s="1765"/>
      <c r="E209" s="1766"/>
      <c r="F209" s="699"/>
      <c r="G209" s="1793"/>
      <c r="H209" s="1794"/>
      <c r="I209" s="1593">
        <f>IFERROR(VLOOKUP($B209,'F13B_20-21_True Up'!$B$12:$EN$392,134,0),0)</f>
        <v>0</v>
      </c>
      <c r="J209" s="1593">
        <f>IFERROR(VLOOKUP($B209,'F13B_20-21_True Up'!$B$12:$EN$392,136,0),0)</f>
        <v>0</v>
      </c>
      <c r="K209" s="1593">
        <f>IFERROR(VLOOKUP($B209,'F13B_20-21_True Up'!$B$12:$EN$392,138,0),0)</f>
        <v>0</v>
      </c>
      <c r="L209" s="1593">
        <f>IFERROR(VLOOKUP($B209,'F13B_20-21_True Up'!$B$12:$EN$392,140,0),0)</f>
        <v>0</v>
      </c>
      <c r="M209" s="1594">
        <f t="shared" si="47"/>
        <v>0</v>
      </c>
      <c r="N209" s="1763">
        <f t="shared" si="46"/>
        <v>0</v>
      </c>
      <c r="O209" s="1770"/>
    </row>
    <row r="210" spans="1:16">
      <c r="A210" s="1797" t="s">
        <v>1032</v>
      </c>
      <c r="B210" s="1798" t="s">
        <v>2031</v>
      </c>
      <c r="C210" s="1764"/>
      <c r="D210" s="1765"/>
      <c r="E210" s="1766"/>
      <c r="F210" s="699"/>
      <c r="G210" s="1793"/>
      <c r="H210" s="1794"/>
      <c r="I210" s="1593">
        <f>IFERROR(VLOOKUP($B210,'F13B_20-21_True Up'!$B$12:$EN$392,134,0),0)</f>
        <v>0</v>
      </c>
      <c r="J210" s="1593">
        <f>IFERROR(VLOOKUP($B210,'F13B_20-21_True Up'!$B$12:$EN$392,136,0),0)</f>
        <v>0</v>
      </c>
      <c r="K210" s="1593">
        <f>IFERROR(VLOOKUP($B210,'F13B_20-21_True Up'!$B$12:$EN$392,138,0),0)</f>
        <v>0</v>
      </c>
      <c r="L210" s="1593" t="e">
        <f>'F13B_20-21_True Up'!EK387</f>
        <v>#REF!</v>
      </c>
      <c r="M210" s="1594" t="e">
        <f t="shared" si="47"/>
        <v>#REF!</v>
      </c>
      <c r="N210" s="1763">
        <f t="shared" si="46"/>
        <v>0</v>
      </c>
      <c r="O210" s="1770"/>
    </row>
    <row r="211" spans="1:16">
      <c r="A211" s="1760" t="s">
        <v>2008</v>
      </c>
      <c r="B211" s="1761" t="s">
        <v>1812</v>
      </c>
      <c r="C211" s="1764"/>
      <c r="D211" s="1765"/>
      <c r="E211" s="1766"/>
      <c r="F211" s="699"/>
      <c r="G211" s="1793"/>
      <c r="H211" s="1794"/>
      <c r="I211" s="1791"/>
      <c r="J211" s="1795"/>
      <c r="K211" s="699"/>
      <c r="L211" s="1799" t="e">
        <f>'F13B_20-21_True Up'!EK390</f>
        <v>#REF!</v>
      </c>
      <c r="M211" s="1594" t="e">
        <f t="shared" si="47"/>
        <v>#REF!</v>
      </c>
      <c r="N211" s="1763"/>
      <c r="O211" s="1770"/>
    </row>
    <row r="212" spans="1:16">
      <c r="A212" s="1800"/>
      <c r="B212" s="1761"/>
      <c r="C212" s="1764"/>
      <c r="D212" s="1765"/>
      <c r="E212" s="1766"/>
      <c r="F212" s="1801"/>
      <c r="G212" s="1802"/>
      <c r="H212" s="1803"/>
      <c r="I212" s="1593"/>
      <c r="J212" s="1795"/>
      <c r="K212" s="1801"/>
      <c r="L212" s="1801"/>
      <c r="M212" s="1768"/>
      <c r="N212" s="1763"/>
      <c r="O212" s="1770"/>
    </row>
    <row r="213" spans="1:16" ht="15">
      <c r="A213" s="1804"/>
      <c r="B213" s="1805" t="s">
        <v>1813</v>
      </c>
      <c r="C213" s="1764"/>
      <c r="D213" s="1765"/>
      <c r="E213" s="1766"/>
      <c r="F213" s="1767"/>
      <c r="G213" s="1765"/>
      <c r="H213" s="1768"/>
      <c r="I213" s="1593"/>
      <c r="J213" s="1769"/>
      <c r="K213" s="1769"/>
      <c r="L213" s="1769"/>
      <c r="M213" s="1769"/>
      <c r="N213" s="1763"/>
      <c r="O213" s="1770"/>
    </row>
    <row r="214" spans="1:16" ht="15">
      <c r="A214" s="1804">
        <v>1</v>
      </c>
      <c r="B214" s="1805" t="s">
        <v>1814</v>
      </c>
      <c r="C214" s="1764"/>
      <c r="D214" s="1765"/>
      <c r="E214" s="1766"/>
      <c r="F214" s="1801"/>
      <c r="G214" s="1802"/>
      <c r="H214" s="1803"/>
      <c r="I214" s="1778" t="e">
        <f>'F13B_20-21_True Up'!EE288</f>
        <v>#REF!</v>
      </c>
      <c r="J214" s="1593" t="e">
        <f>'F13B_20-21_True Up'!EG288</f>
        <v>#REF!</v>
      </c>
      <c r="K214" s="1593" t="e">
        <f>'F13B_20-21_True Up'!EI288</f>
        <v>#REF!</v>
      </c>
      <c r="L214" s="1593" t="e">
        <f>'F13B_20-21_True Up'!EK288</f>
        <v>#REF!</v>
      </c>
      <c r="M214" s="1594" t="e">
        <f>SUM(J214:L214)</f>
        <v>#REF!</v>
      </c>
      <c r="N214" s="1763">
        <f t="shared" ref="N214:N220" si="48">IFERROR(M214/I214*10,0)</f>
        <v>0</v>
      </c>
      <c r="O214" s="1770"/>
    </row>
    <row r="215" spans="1:16" ht="15">
      <c r="A215" s="1804">
        <v>2</v>
      </c>
      <c r="B215" s="1805" t="s">
        <v>1815</v>
      </c>
      <c r="C215" s="1764"/>
      <c r="D215" s="1765"/>
      <c r="E215" s="1766"/>
      <c r="F215" s="1801"/>
      <c r="G215" s="1802"/>
      <c r="H215" s="1803"/>
      <c r="I215" s="1593" t="e">
        <f>'F13B_20-21_True Up'!EE359</f>
        <v>#REF!</v>
      </c>
      <c r="J215" s="1593" t="e">
        <f>'F13B_20-21_True Up'!EG359</f>
        <v>#REF!</v>
      </c>
      <c r="K215" s="1593" t="e">
        <f>'F13B_20-21_True Up'!EI359</f>
        <v>#REF!</v>
      </c>
      <c r="L215" s="1593" t="e">
        <f>'F13B_20-21_True Up'!EK359</f>
        <v>#REF!</v>
      </c>
      <c r="M215" s="1594" t="e">
        <f t="shared" ref="M215:M218" si="49">SUM(J215:L215)</f>
        <v>#REF!</v>
      </c>
      <c r="N215" s="1763">
        <f t="shared" si="48"/>
        <v>0</v>
      </c>
      <c r="O215" s="1770"/>
    </row>
    <row r="216" spans="1:16" ht="15">
      <c r="A216" s="1804">
        <v>3</v>
      </c>
      <c r="B216" s="1805" t="s">
        <v>1816</v>
      </c>
      <c r="C216" s="1764"/>
      <c r="D216" s="1765"/>
      <c r="E216" s="1766"/>
      <c r="F216" s="1801"/>
      <c r="G216" s="1802"/>
      <c r="H216" s="1803"/>
      <c r="I216" s="1593" t="e">
        <f>'F13B_20-21_True Up'!EE278</f>
        <v>#REF!</v>
      </c>
      <c r="J216" s="1593" t="e">
        <f>'F13B_20-21_True Up'!EG278</f>
        <v>#REF!</v>
      </c>
      <c r="K216" s="1593" t="e">
        <f>'F13B_20-21_True Up'!EI278</f>
        <v>#REF!</v>
      </c>
      <c r="L216" s="1593" t="e">
        <f>'F13B_20-21_True Up'!EK278</f>
        <v>#REF!</v>
      </c>
      <c r="M216" s="1594" t="e">
        <f t="shared" si="49"/>
        <v>#REF!</v>
      </c>
      <c r="N216" s="1763">
        <f t="shared" si="48"/>
        <v>0</v>
      </c>
      <c r="O216" s="1770"/>
    </row>
    <row r="217" spans="1:16" ht="15">
      <c r="A217" s="1804">
        <v>4</v>
      </c>
      <c r="B217" s="1805" t="s">
        <v>1817</v>
      </c>
      <c r="C217" s="1764"/>
      <c r="D217" s="1765"/>
      <c r="E217" s="1766"/>
      <c r="F217" s="1801"/>
      <c r="G217" s="1802"/>
      <c r="H217" s="1803"/>
      <c r="I217" s="1593"/>
      <c r="J217" s="1593"/>
      <c r="K217" s="1593"/>
      <c r="L217" s="1593"/>
      <c r="M217" s="1594">
        <f t="shared" si="49"/>
        <v>0</v>
      </c>
      <c r="N217" s="1763">
        <f t="shared" si="48"/>
        <v>0</v>
      </c>
      <c r="O217" s="1770"/>
    </row>
    <row r="218" spans="1:16" ht="15">
      <c r="A218" s="1804">
        <v>5</v>
      </c>
      <c r="B218" s="1805" t="s">
        <v>1818</v>
      </c>
      <c r="C218" s="1806"/>
      <c r="D218" s="1765"/>
      <c r="E218" s="1766"/>
      <c r="F218" s="1807"/>
      <c r="G218" s="1808"/>
      <c r="H218" s="1806"/>
      <c r="I218" s="1593" t="e">
        <f>'F13B_20-21_True Up'!EE277</f>
        <v>#REF!</v>
      </c>
      <c r="J218" s="1593" t="e">
        <f>'F13B_20-21_True Up'!EG277</f>
        <v>#REF!</v>
      </c>
      <c r="K218" s="1593" t="e">
        <f>'F13B_20-21_True Up'!EI277</f>
        <v>#REF!</v>
      </c>
      <c r="L218" s="1593" t="e">
        <f>'F13B_20-21_True Up'!EK277</f>
        <v>#REF!</v>
      </c>
      <c r="M218" s="1594" t="e">
        <f t="shared" si="49"/>
        <v>#REF!</v>
      </c>
      <c r="N218" s="1763">
        <f t="shared" si="48"/>
        <v>0</v>
      </c>
      <c r="O218" s="1770">
        <v>54234.236919924995</v>
      </c>
      <c r="P218" s="1771" t="e">
        <f>M218-O218</f>
        <v>#REF!</v>
      </c>
    </row>
    <row r="219" spans="1:16" ht="15">
      <c r="A219" s="1804">
        <v>6</v>
      </c>
      <c r="B219" s="1805" t="s">
        <v>1819</v>
      </c>
      <c r="C219" s="1809"/>
      <c r="D219" s="1810"/>
      <c r="E219" s="1811"/>
      <c r="F219" s="1812"/>
      <c r="G219" s="1813"/>
      <c r="H219" s="1814"/>
      <c r="I219" s="1593" t="e">
        <f>'F13B_20-21_True Up'!EE276</f>
        <v>#REF!</v>
      </c>
      <c r="J219" s="1593" t="e">
        <f>'F13B_20-21_True Up'!EG276</f>
        <v>#REF!</v>
      </c>
      <c r="K219" s="1593" t="e">
        <f>'F13B_20-21_True Up'!EI276</f>
        <v>#REF!</v>
      </c>
      <c r="L219" s="1593" t="e">
        <f>'F13B_20-21_True Up'!EK276</f>
        <v>#REF!</v>
      </c>
      <c r="M219" s="1594" t="e">
        <f>SUM(J219:L219)</f>
        <v>#REF!</v>
      </c>
      <c r="N219" s="1763">
        <f t="shared" si="48"/>
        <v>0</v>
      </c>
      <c r="O219" s="1770"/>
    </row>
    <row r="220" spans="1:16" ht="15">
      <c r="A220" s="1815"/>
      <c r="B220" s="1805" t="s">
        <v>1820</v>
      </c>
      <c r="C220" s="1809"/>
      <c r="D220" s="1810"/>
      <c r="E220" s="1811"/>
      <c r="F220" s="1812"/>
      <c r="G220" s="1813"/>
      <c r="H220" s="1814"/>
      <c r="I220" s="1785" t="e">
        <f>SUM(I214:I218)-I219</f>
        <v>#REF!</v>
      </c>
      <c r="J220" s="1594" t="e">
        <f t="shared" ref="J220:M220" si="50">SUM(J214:J218)-J219</f>
        <v>#REF!</v>
      </c>
      <c r="K220" s="1594" t="e">
        <f t="shared" si="50"/>
        <v>#REF!</v>
      </c>
      <c r="L220" s="1594" t="e">
        <f>SUM(L214:L218)-L219</f>
        <v>#REF!</v>
      </c>
      <c r="M220" s="1594" t="e">
        <f t="shared" si="50"/>
        <v>#REF!</v>
      </c>
      <c r="N220" s="1763">
        <f t="shared" si="48"/>
        <v>0</v>
      </c>
      <c r="O220" s="1770"/>
    </row>
    <row r="221" spans="1:16" ht="15">
      <c r="A221" s="1815"/>
      <c r="B221" s="1805"/>
      <c r="C221" s="1809"/>
      <c r="D221" s="1810"/>
      <c r="E221" s="1811"/>
      <c r="F221" s="1812"/>
      <c r="G221" s="1813"/>
      <c r="H221" s="1814"/>
      <c r="I221" s="1593"/>
      <c r="J221" s="1814"/>
      <c r="K221" s="1814"/>
      <c r="L221" s="1814"/>
      <c r="M221" s="1814"/>
      <c r="N221" s="1816"/>
      <c r="O221" s="1770"/>
    </row>
    <row r="222" spans="1:16" ht="15">
      <c r="A222" s="1815"/>
      <c r="B222" s="1817"/>
      <c r="C222" s="1809"/>
      <c r="D222" s="1810"/>
      <c r="E222" s="1811"/>
      <c r="F222" s="1812"/>
      <c r="G222" s="1813"/>
      <c r="H222" s="1814"/>
      <c r="I222" s="1593"/>
      <c r="J222" s="1593"/>
      <c r="K222" s="1593"/>
      <c r="L222" s="1593"/>
      <c r="M222" s="1594"/>
      <c r="N222" s="1763">
        <f>IFERROR(M222/I222*10,0)</f>
        <v>0</v>
      </c>
      <c r="O222" s="1770"/>
    </row>
    <row r="223" spans="1:16" ht="15.5">
      <c r="A223" s="1815"/>
      <c r="B223" s="1818"/>
      <c r="C223" s="1809"/>
      <c r="D223" s="1810"/>
      <c r="E223" s="1811"/>
      <c r="F223" s="1812"/>
      <c r="G223" s="1813"/>
      <c r="H223" s="1814"/>
      <c r="I223" s="1593"/>
      <c r="J223" s="1819"/>
      <c r="K223" s="1819"/>
      <c r="L223" s="1819"/>
      <c r="M223" s="1819"/>
      <c r="N223" s="1763"/>
      <c r="O223" s="1770"/>
    </row>
    <row r="224" spans="1:16">
      <c r="A224" s="1820"/>
      <c r="B224" s="1761" t="s">
        <v>783</v>
      </c>
      <c r="C224" s="1809"/>
      <c r="D224" s="1810"/>
      <c r="E224" s="1811"/>
      <c r="F224" s="1812"/>
      <c r="G224" s="1813"/>
      <c r="H224" s="1814"/>
      <c r="I224" s="1593" t="e">
        <f>'F13B_20-21_True Up'!EE387+'F13B_20-21_True Up'!EE390</f>
        <v>#REF!</v>
      </c>
      <c r="J224" s="1593" t="e">
        <f>'F13B_20-21_True Up'!EG387+'F13B_20-21_True Up'!EG390</f>
        <v>#REF!</v>
      </c>
      <c r="K224" s="1593" t="e">
        <f>'F13B_20-21_True Up'!EI387+'F13B_20-21_True Up'!EI390</f>
        <v>#REF!</v>
      </c>
      <c r="L224" s="1593">
        <v>0</v>
      </c>
      <c r="M224" s="1594" t="e">
        <f>SUM(J224:L224)</f>
        <v>#REF!</v>
      </c>
      <c r="N224" s="1763">
        <f>IFERROR(M224/I224*10,0)</f>
        <v>0</v>
      </c>
      <c r="O224" s="1770"/>
    </row>
    <row r="225" spans="1:145">
      <c r="A225" s="1760"/>
      <c r="B225" s="1761" t="s">
        <v>1822</v>
      </c>
      <c r="C225" s="1809"/>
      <c r="D225" s="1810"/>
      <c r="E225" s="1811"/>
      <c r="F225" s="1812"/>
      <c r="G225" s="1813"/>
      <c r="H225" s="1814"/>
      <c r="I225" s="1593"/>
      <c r="J225" s="1819"/>
      <c r="K225" s="1819"/>
      <c r="L225" s="1819"/>
      <c r="M225" s="1819"/>
      <c r="N225" s="1763"/>
      <c r="O225" s="1770"/>
      <c r="T225" s="1771"/>
      <c r="U225" s="1771"/>
    </row>
    <row r="226" spans="1:145">
      <c r="A226" s="1760"/>
      <c r="B226" s="1761" t="s">
        <v>1823</v>
      </c>
      <c r="C226" s="1809"/>
      <c r="D226" s="1810"/>
      <c r="E226" s="1811"/>
      <c r="F226" s="1812"/>
      <c r="G226" s="1813"/>
      <c r="H226" s="1814"/>
      <c r="I226" s="1593"/>
      <c r="J226" s="1819"/>
      <c r="K226" s="1819"/>
      <c r="L226" s="1819" t="e">
        <f>M226</f>
        <v>#REF!</v>
      </c>
      <c r="M226" s="1819" t="e">
        <f>'F13B_20-21_True Up'!EL393</f>
        <v>#REF!</v>
      </c>
      <c r="N226" s="1763"/>
      <c r="O226" s="1770"/>
      <c r="S226" s="1771"/>
    </row>
    <row r="227" spans="1:145">
      <c r="A227" s="1760"/>
      <c r="B227" s="1784" t="s">
        <v>126</v>
      </c>
      <c r="C227" s="1809"/>
      <c r="D227" s="1810"/>
      <c r="E227" s="1811"/>
      <c r="F227" s="1812"/>
      <c r="G227" s="1813"/>
      <c r="H227" s="1814"/>
      <c r="I227" s="1779" t="e">
        <f>SUM(I168,I173,I178,I180,I183,I199,I201,I202,I220,I222,I205,I224)+I226+I206+I207+I208+I209+I210</f>
        <v>#REF!</v>
      </c>
      <c r="J227" s="1779" t="e">
        <f>SUM(J168,J173,J178,J180,J183,J199,J201,J202,J220,J222,J205,J224)+J226+J206+J207+J208+J209+J210</f>
        <v>#REF!</v>
      </c>
      <c r="K227" s="1779" t="e">
        <f>SUM(K168,K173,K178,K180,K183,K199,K201,K202,K220,K222,K205,K224)+K226+K206+K207+K208+K209+K210</f>
        <v>#REF!</v>
      </c>
      <c r="L227" s="1779" t="e">
        <f>SUM(L168,L173,L178,L180,L183,L199,L201,L202,L220,L222,L205,L224)+L226+L206+L207+L208+L209+L210+L211</f>
        <v>#REF!</v>
      </c>
      <c r="M227" s="1821" t="e">
        <f>SUM(M168,M173,M178,M180,M183,M199,M201,M202,M220,M222,M205,M224)+M226+M206+M207+M208+M209+M210+M211</f>
        <v>#REF!</v>
      </c>
      <c r="N227" s="1763">
        <f t="shared" ref="N227" si="51">IFERROR(M227/I227*10,0)</f>
        <v>0</v>
      </c>
      <c r="O227" s="1770"/>
      <c r="R227" s="1771"/>
      <c r="U227" s="1771"/>
      <c r="V227" s="1771"/>
      <c r="W227" s="1771"/>
      <c r="X227" s="1771"/>
    </row>
    <row r="228" spans="1:145">
      <c r="A228" s="1822" t="s">
        <v>2053</v>
      </c>
      <c r="B228" s="1823"/>
      <c r="C228" s="1823"/>
      <c r="D228" s="1823"/>
      <c r="E228" s="1823"/>
      <c r="F228" s="1823"/>
      <c r="G228" s="1823"/>
      <c r="H228" s="1823"/>
      <c r="I228" s="1823"/>
      <c r="J228" s="1823"/>
      <c r="K228" s="1823"/>
      <c r="L228" s="1823"/>
      <c r="M228" s="1823"/>
      <c r="N228" s="1823"/>
      <c r="O228" s="1824"/>
      <c r="P228" s="1824"/>
      <c r="Q228" s="1824"/>
      <c r="R228" s="1825"/>
      <c r="S228" s="1824"/>
      <c r="T228" s="1825"/>
      <c r="U228" s="1824"/>
      <c r="V228" s="1826"/>
      <c r="W228" s="1824"/>
      <c r="X228" s="1824"/>
      <c r="Y228" s="1824"/>
      <c r="Z228" s="1824"/>
      <c r="AA228" s="1824"/>
      <c r="AB228" s="1824"/>
      <c r="AC228" s="1824"/>
      <c r="AD228" s="1824"/>
      <c r="AE228" s="1824"/>
      <c r="AF228" s="1824"/>
      <c r="AG228" s="1824"/>
      <c r="AH228" s="1824"/>
      <c r="AI228" s="1824"/>
      <c r="AJ228" s="1824"/>
      <c r="AK228" s="1824"/>
      <c r="AL228" s="1824"/>
      <c r="AM228" s="1824"/>
      <c r="AN228" s="1824"/>
      <c r="AO228" s="1824"/>
      <c r="AP228" s="1824"/>
      <c r="AQ228" s="1824"/>
      <c r="AR228" s="1824"/>
      <c r="AS228" s="1824"/>
      <c r="AT228" s="1824"/>
      <c r="AU228" s="1824"/>
      <c r="AV228" s="1824"/>
      <c r="AW228" s="1824"/>
      <c r="AX228" s="1824"/>
      <c r="AY228" s="1824"/>
      <c r="AZ228" s="1824"/>
      <c r="BA228" s="1824"/>
      <c r="BB228" s="1824"/>
      <c r="BC228" s="1824"/>
      <c r="BD228" s="1824"/>
      <c r="BE228" s="1824"/>
      <c r="BF228" s="1824"/>
      <c r="BG228" s="1824"/>
      <c r="BH228" s="1824"/>
      <c r="BI228" s="1827"/>
      <c r="BJ228" s="1827"/>
      <c r="BK228" s="1827"/>
      <c r="BL228" s="1827"/>
      <c r="BM228" s="1827"/>
      <c r="BN228" s="1827"/>
      <c r="BO228" s="1827"/>
      <c r="BP228" s="1827"/>
      <c r="BQ228" s="1827"/>
      <c r="BR228" s="1827"/>
      <c r="BS228" s="1827"/>
      <c r="BT228" s="1827"/>
      <c r="BU228" s="1827"/>
      <c r="BV228" s="1827"/>
      <c r="BW228" s="1827"/>
      <c r="BX228" s="1827"/>
      <c r="BY228" s="1827"/>
      <c r="BZ228" s="1827"/>
      <c r="CA228" s="1827"/>
      <c r="CB228" s="1827"/>
      <c r="CC228" s="1827"/>
      <c r="CD228" s="1827"/>
      <c r="CE228" s="1827"/>
      <c r="CF228" s="1827"/>
      <c r="CG228" s="1827"/>
      <c r="CH228" s="1827"/>
      <c r="CI228" s="1827"/>
      <c r="CJ228" s="1827"/>
      <c r="CK228" s="1827"/>
      <c r="CL228" s="1827"/>
      <c r="CM228" s="1827"/>
      <c r="CN228" s="1827"/>
      <c r="CO228" s="1827"/>
      <c r="CP228" s="1827"/>
      <c r="CQ228" s="1827"/>
      <c r="CR228" s="1827"/>
      <c r="CS228" s="1827"/>
      <c r="CT228" s="1827"/>
      <c r="CU228" s="1827"/>
      <c r="CV228" s="1827"/>
      <c r="CW228" s="1827"/>
      <c r="CX228" s="1827"/>
      <c r="CY228" s="1827"/>
      <c r="CZ228" s="1827"/>
      <c r="DA228" s="1827"/>
      <c r="DB228" s="1827"/>
      <c r="DC228" s="1827"/>
      <c r="DD228" s="1827"/>
      <c r="DE228" s="1827"/>
      <c r="DF228" s="1827"/>
      <c r="DG228" s="1827"/>
      <c r="DH228" s="1827"/>
      <c r="DI228" s="1827"/>
      <c r="DJ228" s="1827"/>
      <c r="DK228" s="1827"/>
      <c r="DL228" s="1827"/>
      <c r="DM228" s="1827"/>
      <c r="DN228" s="1827"/>
      <c r="DO228" s="1827"/>
      <c r="DP228" s="1827"/>
      <c r="DQ228" s="1827"/>
      <c r="DR228" s="1827"/>
      <c r="DS228" s="1827"/>
      <c r="DT228" s="1827"/>
      <c r="DU228" s="1827"/>
      <c r="DV228" s="1827"/>
      <c r="DW228" s="1827"/>
      <c r="DX228" s="1827"/>
      <c r="DY228" s="1827"/>
      <c r="DZ228" s="1827"/>
      <c r="EA228" s="1827"/>
      <c r="EB228" s="1827"/>
      <c r="EC228" s="1827"/>
      <c r="ED228" s="1827"/>
      <c r="EE228" s="1827"/>
      <c r="EF228" s="1827"/>
      <c r="EG228" s="1827"/>
      <c r="EH228" s="1827"/>
      <c r="EI228" s="1827"/>
      <c r="EJ228" s="1827"/>
      <c r="EK228" s="1827"/>
      <c r="EL228" s="1827"/>
      <c r="EM228" s="1827"/>
      <c r="EN228" s="1827"/>
      <c r="EO228" s="1828"/>
    </row>
    <row r="229" spans="1:145">
      <c r="A229" s="1829" t="s">
        <v>2054</v>
      </c>
      <c r="B229" s="1830"/>
      <c r="C229" s="1830"/>
      <c r="D229" s="1830"/>
      <c r="E229" s="1830"/>
      <c r="F229" s="1830"/>
      <c r="G229" s="1830"/>
      <c r="H229" s="1830"/>
      <c r="I229" s="1830"/>
      <c r="J229" s="1830"/>
      <c r="K229" s="1830"/>
      <c r="L229" s="1830"/>
      <c r="M229" s="1830"/>
      <c r="N229" s="1830"/>
      <c r="O229" s="1824"/>
      <c r="P229" s="1824"/>
      <c r="Q229" s="1824"/>
      <c r="R229" s="1824"/>
      <c r="S229" s="1824"/>
      <c r="T229" s="1824"/>
      <c r="U229" s="1824"/>
      <c r="V229" s="1825"/>
      <c r="W229" s="1824"/>
      <c r="X229" s="1824"/>
      <c r="Y229" s="1824"/>
      <c r="Z229" s="1824"/>
      <c r="AA229" s="1824"/>
      <c r="AB229" s="1824"/>
      <c r="AC229" s="1824"/>
      <c r="AD229" s="1824"/>
      <c r="AE229" s="1824"/>
      <c r="AF229" s="1824"/>
      <c r="AG229" s="1824"/>
      <c r="AH229" s="1824"/>
      <c r="AI229" s="1824"/>
      <c r="AJ229" s="1824"/>
      <c r="AK229" s="1824"/>
      <c r="AL229" s="1824"/>
      <c r="AM229" s="1824"/>
      <c r="AN229" s="1824"/>
      <c r="AO229" s="1824"/>
      <c r="AP229" s="1824"/>
      <c r="AQ229" s="1824"/>
      <c r="AR229" s="1824"/>
      <c r="AS229" s="1824"/>
      <c r="AT229" s="1824"/>
      <c r="AU229" s="1824"/>
      <c r="AV229" s="1824"/>
      <c r="AW229" s="1824"/>
      <c r="AX229" s="1824"/>
      <c r="AY229" s="1824"/>
      <c r="AZ229" s="1824"/>
      <c r="BA229" s="1824"/>
      <c r="BB229" s="1824"/>
      <c r="BC229" s="1824"/>
      <c r="BD229" s="1824"/>
      <c r="BE229" s="1824"/>
      <c r="BF229" s="1824"/>
      <c r="BG229" s="1824"/>
      <c r="BH229" s="1824"/>
      <c r="BI229" s="1827"/>
      <c r="BJ229" s="1827"/>
      <c r="BK229" s="1827"/>
      <c r="BL229" s="1827"/>
      <c r="BM229" s="1827"/>
      <c r="BN229" s="1827"/>
      <c r="BO229" s="1827"/>
      <c r="BP229" s="1827"/>
      <c r="BQ229" s="1827"/>
      <c r="BR229" s="1827"/>
      <c r="BS229" s="1827"/>
      <c r="BT229" s="1827"/>
      <c r="BU229" s="1827"/>
      <c r="BV229" s="1827"/>
      <c r="BW229" s="1827"/>
      <c r="BX229" s="1827"/>
      <c r="BY229" s="1827"/>
      <c r="BZ229" s="1827"/>
      <c r="CA229" s="1827"/>
      <c r="CB229" s="1827"/>
      <c r="CC229" s="1827"/>
      <c r="CD229" s="1827"/>
      <c r="CE229" s="1827"/>
      <c r="CF229" s="1827"/>
      <c r="CG229" s="1827"/>
      <c r="CH229" s="1827"/>
      <c r="CI229" s="1827"/>
      <c r="CJ229" s="1827"/>
      <c r="CK229" s="1827"/>
      <c r="CL229" s="1827"/>
      <c r="CM229" s="1827"/>
      <c r="CN229" s="1827"/>
      <c r="CO229" s="1827"/>
      <c r="CP229" s="1827"/>
      <c r="CQ229" s="1827"/>
      <c r="CR229" s="1827"/>
      <c r="CS229" s="1827"/>
      <c r="CT229" s="1827"/>
      <c r="CU229" s="1827"/>
      <c r="CV229" s="1827"/>
      <c r="CW229" s="1827"/>
      <c r="CX229" s="1827"/>
      <c r="CY229" s="1827"/>
      <c r="CZ229" s="1827"/>
      <c r="DA229" s="1827"/>
      <c r="DB229" s="1827"/>
      <c r="DC229" s="1827"/>
      <c r="DD229" s="1827"/>
      <c r="DE229" s="1827"/>
      <c r="DF229" s="1827"/>
      <c r="DG229" s="1827"/>
      <c r="DH229" s="1827"/>
      <c r="DI229" s="1827"/>
      <c r="DJ229" s="1827"/>
      <c r="DK229" s="1827"/>
      <c r="DL229" s="1827"/>
      <c r="DM229" s="1827"/>
      <c r="DN229" s="1827"/>
      <c r="DO229" s="1827"/>
      <c r="DP229" s="1827"/>
      <c r="DQ229" s="1827"/>
      <c r="DR229" s="1827"/>
      <c r="DS229" s="1827"/>
      <c r="DT229" s="1827"/>
      <c r="DU229" s="1827"/>
      <c r="DV229" s="1827"/>
      <c r="DW229" s="1827"/>
      <c r="DX229" s="1827"/>
      <c r="DY229" s="1827"/>
      <c r="DZ229" s="1827"/>
      <c r="EA229" s="1827"/>
      <c r="EB229" s="1827"/>
      <c r="EC229" s="1827"/>
      <c r="ED229" s="1827"/>
      <c r="EE229" s="1827"/>
      <c r="EF229" s="1827"/>
      <c r="EG229" s="1827"/>
      <c r="EH229" s="1827"/>
      <c r="EI229" s="1827"/>
      <c r="EJ229" s="1827"/>
      <c r="EK229" s="1827"/>
      <c r="EL229" s="1827"/>
      <c r="EM229" s="1831"/>
      <c r="EN229" s="1831"/>
      <c r="EO229" s="1831"/>
    </row>
    <row r="230" spans="1:145">
      <c r="A230" s="1829" t="s">
        <v>2055</v>
      </c>
      <c r="B230" s="1830"/>
      <c r="C230" s="1830"/>
      <c r="D230" s="1830"/>
      <c r="E230" s="1830"/>
      <c r="F230" s="1830"/>
      <c r="G230" s="1830"/>
      <c r="H230" s="1830"/>
      <c r="I230" s="1830"/>
      <c r="J230" s="1830"/>
      <c r="K230" s="1830"/>
      <c r="L230" s="1830"/>
      <c r="M230" s="1830"/>
      <c r="N230" s="1830"/>
      <c r="O230" s="1824"/>
      <c r="P230" s="1824"/>
      <c r="Q230" s="1824"/>
      <c r="R230" s="1824"/>
      <c r="S230" s="1824"/>
      <c r="T230" s="1824"/>
      <c r="U230" s="1824"/>
      <c r="V230" s="1824"/>
      <c r="W230" s="1824"/>
      <c r="X230" s="1824"/>
      <c r="Y230" s="1824"/>
      <c r="Z230" s="1824"/>
      <c r="AA230" s="1824"/>
      <c r="AB230" s="1824"/>
      <c r="AC230" s="1824"/>
      <c r="AD230" s="1824"/>
      <c r="AE230" s="1824"/>
      <c r="AF230" s="1824"/>
      <c r="AG230" s="1824"/>
      <c r="AH230" s="1824"/>
      <c r="AI230" s="1824"/>
      <c r="AJ230" s="1824"/>
      <c r="AK230" s="1824"/>
      <c r="AL230" s="1824"/>
      <c r="AM230" s="1824"/>
      <c r="AN230" s="1824"/>
      <c r="AO230" s="1824"/>
      <c r="AP230" s="1824"/>
      <c r="AQ230" s="1824"/>
      <c r="AR230" s="1824"/>
      <c r="AS230" s="1824"/>
      <c r="AT230" s="1824"/>
      <c r="AU230" s="1824"/>
      <c r="AV230" s="1824"/>
      <c r="AW230" s="1824"/>
      <c r="AX230" s="1824"/>
      <c r="AY230" s="1824"/>
      <c r="AZ230" s="1824"/>
      <c r="BA230" s="1824"/>
      <c r="BB230" s="1824"/>
      <c r="BC230" s="1824"/>
      <c r="BD230" s="1824"/>
      <c r="BE230" s="1824"/>
      <c r="BF230" s="1824"/>
      <c r="BG230" s="1824"/>
      <c r="BH230" s="1824"/>
      <c r="BI230" s="1827"/>
      <c r="BJ230" s="1827"/>
      <c r="BK230" s="1827"/>
      <c r="BL230" s="1827"/>
      <c r="BM230" s="1827"/>
      <c r="BN230" s="1827"/>
      <c r="BO230" s="1827"/>
      <c r="BP230" s="1827"/>
      <c r="BQ230" s="1827"/>
      <c r="BR230" s="1827"/>
      <c r="BS230" s="1827"/>
      <c r="BT230" s="1827"/>
      <c r="BU230" s="1827"/>
      <c r="BV230" s="1827"/>
      <c r="BW230" s="1827"/>
      <c r="BX230" s="1827"/>
      <c r="BY230" s="1827"/>
      <c r="BZ230" s="1827"/>
      <c r="CA230" s="1827"/>
      <c r="CB230" s="1827"/>
      <c r="CC230" s="1827"/>
      <c r="CD230" s="1827"/>
      <c r="CE230" s="1827"/>
      <c r="CF230" s="1827"/>
      <c r="CG230" s="1827"/>
      <c r="CH230" s="1827"/>
      <c r="CI230" s="1827"/>
      <c r="CJ230" s="1827"/>
      <c r="CK230" s="1827"/>
      <c r="CL230" s="1827"/>
      <c r="CM230" s="1827"/>
      <c r="CN230" s="1827"/>
      <c r="CO230" s="1827"/>
      <c r="CP230" s="1827"/>
      <c r="CQ230" s="1827"/>
      <c r="CR230" s="1827"/>
      <c r="CS230" s="1827"/>
      <c r="CT230" s="1827"/>
      <c r="CU230" s="1827"/>
      <c r="CV230" s="1827"/>
      <c r="CW230" s="1827"/>
      <c r="CX230" s="1827"/>
      <c r="CY230" s="1827"/>
      <c r="CZ230" s="1827"/>
      <c r="DA230" s="1827"/>
      <c r="DB230" s="1827"/>
      <c r="DC230" s="1827"/>
      <c r="DD230" s="1827"/>
      <c r="DE230" s="1827"/>
      <c r="DF230" s="1827"/>
      <c r="DG230" s="1827"/>
      <c r="DH230" s="1827"/>
      <c r="DI230" s="1827"/>
      <c r="DJ230" s="1827"/>
      <c r="DK230" s="1827"/>
      <c r="DL230" s="1827"/>
      <c r="DM230" s="1827"/>
      <c r="DN230" s="1827"/>
      <c r="DO230" s="1827"/>
      <c r="DP230" s="1827"/>
      <c r="DQ230" s="1827"/>
      <c r="DR230" s="1827"/>
      <c r="DS230" s="1827"/>
      <c r="DT230" s="1827"/>
      <c r="DU230" s="1827"/>
      <c r="DV230" s="1827"/>
      <c r="DW230" s="1827"/>
      <c r="DX230" s="1827"/>
      <c r="DY230" s="1827"/>
      <c r="DZ230" s="1827"/>
      <c r="EA230" s="1827"/>
      <c r="EB230" s="1827"/>
      <c r="EC230" s="1827"/>
      <c r="ED230" s="1827"/>
      <c r="EE230" s="1827"/>
      <c r="EF230" s="1827"/>
      <c r="EG230" s="1827"/>
      <c r="EH230" s="1827"/>
      <c r="EI230" s="1827"/>
      <c r="EJ230" s="1827"/>
      <c r="EK230" s="1827"/>
      <c r="EL230" s="1827"/>
      <c r="EM230" s="1831"/>
      <c r="EN230" s="1831"/>
      <c r="EO230" s="1831"/>
    </row>
    <row r="232" spans="1:145">
      <c r="I232" s="1832" t="e">
        <f>I227-#REF!</f>
        <v>#REF!</v>
      </c>
      <c r="J232" s="1833" t="e">
        <f>J227-#REF!/10^7</f>
        <v>#REF!</v>
      </c>
      <c r="K232" s="1833" t="e">
        <f>K227-#REF!/10^7</f>
        <v>#REF!</v>
      </c>
      <c r="L232" s="1833" t="e">
        <f>L227-#REF!/10^7</f>
        <v>#REF!</v>
      </c>
      <c r="M232" s="1834" t="e">
        <f>M227-'F13B_20-21_True Up'!EN393</f>
        <v>#REF!</v>
      </c>
    </row>
    <row r="233" spans="1:145">
      <c r="L233" s="1770" t="e">
        <f>L227-L232</f>
        <v>#REF!</v>
      </c>
    </row>
  </sheetData>
  <mergeCells count="6">
    <mergeCell ref="A1:B1"/>
    <mergeCell ref="A2:N2"/>
    <mergeCell ref="A5:A8"/>
    <mergeCell ref="B5:B8"/>
    <mergeCell ref="C5:H6"/>
    <mergeCell ref="I5:N6"/>
  </mergeCells>
  <printOptions horizontalCentered="1" verticalCentered="1"/>
  <pageMargins left="0.23622047244094491" right="0.23622047244094491" top="0.74803149606299213" bottom="0.74803149606299213" header="0.31496062992125984" footer="0.31496062992125984"/>
  <pageSetup paperSize="9" scale="65" fitToWidth="5" fitToHeight="2" orientation="landscape" r:id="rId1"/>
  <headerFooter>
    <oddFooter>&amp;R&amp;P</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P229"/>
  <sheetViews>
    <sheetView view="pageBreakPreview" zoomScale="70" zoomScaleNormal="70" zoomScaleSheetLayoutView="70" workbookViewId="0">
      <pane xSplit="2" ySplit="9" topLeftCell="C209" activePane="bottomRight" state="frozen"/>
      <selection activeCell="C105" sqref="C105"/>
      <selection pane="topRight" activeCell="C105" sqref="C105"/>
      <selection pane="bottomLeft" activeCell="C105" sqref="C105"/>
      <selection pane="bottomRight" activeCell="C105" sqref="C105"/>
    </sheetView>
  </sheetViews>
  <sheetFormatPr defaultColWidth="9.26953125" defaultRowHeight="14.5"/>
  <cols>
    <col min="1" max="1" width="6.453125" style="1356" customWidth="1"/>
    <col min="2" max="2" width="36" style="1356" customWidth="1"/>
    <col min="3" max="3" width="14.54296875" style="1356" customWidth="1"/>
    <col min="4" max="4" width="9.54296875" style="1835" customWidth="1"/>
    <col min="5" max="5" width="9.7265625" style="2793" customWidth="1"/>
    <col min="6" max="6" width="8.7265625" style="1356" customWidth="1"/>
    <col min="7" max="7" width="10.26953125" style="1356" customWidth="1"/>
    <col min="8" max="8" width="15.453125" style="1356" customWidth="1"/>
    <col min="9" max="10" width="16" style="1356" customWidth="1"/>
    <col min="11" max="12" width="15" style="1356" bestFit="1" customWidth="1"/>
    <col min="13" max="13" width="13.54296875" style="1356" bestFit="1" customWidth="1"/>
    <col min="14" max="14" width="14.54296875" style="1356" bestFit="1" customWidth="1"/>
    <col min="15" max="15" width="16.54296875" style="1356" customWidth="1"/>
    <col min="16" max="16" width="13.7265625" style="1356" hidden="1" customWidth="1"/>
    <col min="17" max="22" width="19.7265625" style="1356" hidden="1" customWidth="1"/>
    <col min="23" max="26" width="19.7265625" style="1356" customWidth="1"/>
    <col min="27" max="16384" width="9.26953125" style="1356"/>
  </cols>
  <sheetData>
    <row r="1" spans="1:24">
      <c r="A1" s="2991" t="s">
        <v>2038</v>
      </c>
      <c r="B1" s="2991"/>
    </row>
    <row r="2" spans="1:24">
      <c r="A2" s="3093"/>
      <c r="B2" s="3093"/>
      <c r="C2" s="3093"/>
      <c r="D2" s="3093"/>
      <c r="E2" s="3093"/>
      <c r="F2" s="3093"/>
      <c r="G2" s="3093"/>
      <c r="H2" s="3093"/>
      <c r="I2" s="3093"/>
      <c r="J2" s="3093"/>
      <c r="K2" s="3093"/>
      <c r="L2" s="3093"/>
      <c r="M2" s="3093"/>
      <c r="N2" s="3093"/>
      <c r="O2" s="3093"/>
    </row>
    <row r="3" spans="1:24">
      <c r="A3" s="1836" t="s">
        <v>304</v>
      </c>
      <c r="B3" s="1836"/>
      <c r="C3" s="1836"/>
      <c r="D3" s="1837"/>
      <c r="E3" s="1838"/>
      <c r="F3" s="1357"/>
      <c r="G3" s="1357"/>
      <c r="H3" s="1357"/>
      <c r="I3" s="1357"/>
      <c r="J3" s="1357"/>
      <c r="K3" s="1357"/>
      <c r="L3" s="1357"/>
      <c r="M3" s="1357"/>
      <c r="N3" s="1357"/>
      <c r="O3" s="1357"/>
    </row>
    <row r="4" spans="1:24">
      <c r="B4" s="2812" t="s">
        <v>546</v>
      </c>
    </row>
    <row r="5" spans="1:24" s="1839" customFormat="1" ht="6.75" customHeight="1">
      <c r="A5" s="3110" t="s">
        <v>2033</v>
      </c>
      <c r="B5" s="3110" t="s">
        <v>2040</v>
      </c>
      <c r="C5" s="3110"/>
      <c r="D5" s="3110"/>
      <c r="E5" s="3110"/>
      <c r="F5" s="3110"/>
      <c r="G5" s="3110"/>
      <c r="H5" s="3110"/>
      <c r="I5" s="3110" t="s">
        <v>546</v>
      </c>
      <c r="J5" s="3110"/>
      <c r="K5" s="3110"/>
      <c r="L5" s="3110"/>
      <c r="M5" s="3110"/>
      <c r="N5" s="3110"/>
      <c r="O5" s="3110"/>
    </row>
    <row r="6" spans="1:24" s="1839" customFormat="1" ht="8.25" customHeight="1">
      <c r="A6" s="3110"/>
      <c r="B6" s="3110"/>
      <c r="C6" s="3110"/>
      <c r="D6" s="3110"/>
      <c r="E6" s="3110"/>
      <c r="F6" s="3110"/>
      <c r="G6" s="3110"/>
      <c r="H6" s="3110"/>
      <c r="I6" s="3110"/>
      <c r="J6" s="3110"/>
      <c r="K6" s="3110"/>
      <c r="L6" s="3110"/>
      <c r="M6" s="3110"/>
      <c r="N6" s="3110"/>
      <c r="O6" s="3110"/>
    </row>
    <row r="7" spans="1:24" s="1839" customFormat="1" ht="1.5" customHeight="1">
      <c r="A7" s="3110"/>
      <c r="B7" s="3110"/>
      <c r="C7" s="1840"/>
      <c r="D7" s="1840"/>
      <c r="E7" s="1840"/>
      <c r="F7" s="1840"/>
      <c r="G7" s="1840"/>
      <c r="H7" s="1840"/>
      <c r="I7" s="1840"/>
      <c r="J7" s="1840"/>
      <c r="K7" s="1840"/>
      <c r="L7" s="1840"/>
      <c r="M7" s="1840"/>
      <c r="N7" s="1840"/>
      <c r="O7" s="1840"/>
    </row>
    <row r="8" spans="1:24" s="1839" customFormat="1" ht="43.5">
      <c r="A8" s="3110"/>
      <c r="B8" s="3110"/>
      <c r="C8" s="1841" t="s">
        <v>2041</v>
      </c>
      <c r="D8" s="1841" t="s">
        <v>2042</v>
      </c>
      <c r="E8" s="1841" t="s">
        <v>2043</v>
      </c>
      <c r="F8" s="1841" t="s">
        <v>2044</v>
      </c>
      <c r="G8" s="1841" t="s">
        <v>2045</v>
      </c>
      <c r="H8" s="1841" t="s">
        <v>2046</v>
      </c>
      <c r="I8" s="1841" t="s">
        <v>2056</v>
      </c>
      <c r="J8" s="1841" t="s">
        <v>2057</v>
      </c>
      <c r="K8" s="1841" t="s">
        <v>2048</v>
      </c>
      <c r="L8" s="1841" t="s">
        <v>2049</v>
      </c>
      <c r="M8" s="1841" t="s">
        <v>2050</v>
      </c>
      <c r="N8" s="1841" t="s">
        <v>2051</v>
      </c>
      <c r="O8" s="1841" t="s">
        <v>2052</v>
      </c>
    </row>
    <row r="9" spans="1:24">
      <c r="A9" s="1756"/>
      <c r="B9" s="1756"/>
      <c r="C9" s="1756"/>
      <c r="D9" s="1757"/>
      <c r="E9" s="2780"/>
      <c r="F9" s="1756"/>
      <c r="G9" s="1756"/>
      <c r="H9" s="1756"/>
      <c r="I9" s="699"/>
      <c r="J9" s="699"/>
      <c r="K9" s="699"/>
      <c r="L9" s="699"/>
      <c r="M9" s="699"/>
      <c r="N9" s="699"/>
      <c r="O9" s="699"/>
    </row>
    <row r="10" spans="1:24">
      <c r="A10" s="1842" t="s">
        <v>57</v>
      </c>
      <c r="B10" s="1843" t="s">
        <v>1645</v>
      </c>
      <c r="C10" s="1756"/>
      <c r="D10" s="1756"/>
      <c r="E10" s="1756"/>
      <c r="F10" s="1756"/>
      <c r="G10" s="1756"/>
      <c r="H10" s="1756"/>
      <c r="I10" s="1756"/>
      <c r="J10" s="1756"/>
      <c r="K10" s="1756"/>
      <c r="L10" s="1756"/>
      <c r="M10" s="1756"/>
      <c r="N10" s="1756"/>
      <c r="O10" s="1756"/>
    </row>
    <row r="11" spans="1:24" ht="29">
      <c r="A11" s="1842" t="s">
        <v>19</v>
      </c>
      <c r="B11" s="1756" t="s">
        <v>1646</v>
      </c>
      <c r="C11" s="1756"/>
      <c r="D11" s="1756"/>
      <c r="E11" s="1756"/>
      <c r="F11" s="1756"/>
      <c r="G11" s="1756"/>
      <c r="H11" s="1756"/>
      <c r="I11" s="1756"/>
      <c r="J11" s="1756"/>
      <c r="K11" s="1756"/>
      <c r="L11" s="1756"/>
      <c r="M11" s="1756"/>
      <c r="N11" s="1756"/>
      <c r="O11" s="1756"/>
    </row>
    <row r="12" spans="1:24">
      <c r="A12" s="1842"/>
      <c r="B12" s="1843"/>
      <c r="C12" s="1756"/>
      <c r="D12" s="1756"/>
      <c r="E12" s="1756"/>
      <c r="F12" s="1756"/>
      <c r="G12" s="1756"/>
      <c r="H12" s="1756"/>
      <c r="I12" s="1756"/>
      <c r="J12" s="1756"/>
      <c r="K12" s="1756"/>
      <c r="L12" s="1756"/>
      <c r="M12" s="1756"/>
      <c r="N12" s="1756"/>
      <c r="O12" s="1756"/>
    </row>
    <row r="13" spans="1:24">
      <c r="A13" s="1842" t="s">
        <v>20</v>
      </c>
      <c r="B13" s="1844" t="s">
        <v>1647</v>
      </c>
      <c r="C13" s="1756"/>
      <c r="D13" s="1756"/>
      <c r="E13" s="1756"/>
      <c r="F13" s="1756"/>
      <c r="G13" s="1756"/>
      <c r="H13" s="1756"/>
      <c r="I13" s="1756"/>
      <c r="J13" s="1756"/>
      <c r="K13" s="1756"/>
      <c r="L13" s="1756"/>
      <c r="M13" s="1756"/>
      <c r="N13" s="1756"/>
      <c r="O13" s="1763"/>
    </row>
    <row r="14" spans="1:24">
      <c r="A14" s="1842">
        <v>1</v>
      </c>
      <c r="B14" s="1845" t="s">
        <v>1648</v>
      </c>
      <c r="C14" s="1846">
        <v>630</v>
      </c>
      <c r="D14" s="1767">
        <v>0.7036093100699935</v>
      </c>
      <c r="E14" s="1765" t="s">
        <v>1649</v>
      </c>
      <c r="F14" s="1767">
        <v>8.5000000000000006E-2</v>
      </c>
      <c r="G14" s="1767">
        <v>1</v>
      </c>
      <c r="H14" s="1846">
        <v>630</v>
      </c>
      <c r="I14" s="1794">
        <v>3553.5516673129032</v>
      </c>
      <c r="J14" s="1794">
        <f>VLOOKUP($B14,F13B_21_22_APR!$B$14:$EP$237,133,0)</f>
        <v>3419.9655534000003</v>
      </c>
      <c r="K14" s="1794">
        <f>VLOOKUP($B14,F13B_21_22_APR!$B$14:$EO$223,136,0)</f>
        <v>254.01669029999996</v>
      </c>
      <c r="L14" s="1794">
        <f>VLOOKUP($B14,F13B_21_22_APR!$B$14:$EO$223,138,0)</f>
        <v>659.70334038657495</v>
      </c>
      <c r="M14" s="1794">
        <f>VLOOKUP($B14,F13B_21_22_APR!$B$14:$EO$223,140,0)</f>
        <v>0</v>
      </c>
      <c r="N14" s="1763">
        <f>SUM(K14:M14)</f>
        <v>913.72003068657489</v>
      </c>
      <c r="O14" s="1763">
        <f>$N14/$J14*10</f>
        <v>2.6717229060339194</v>
      </c>
      <c r="Q14" s="1847">
        <f>H14*24*365*D14*(1-F14)/10^3</f>
        <v>3553.0173402790665</v>
      </c>
      <c r="R14" s="1848">
        <v>-205.5986783741937</v>
      </c>
      <c r="S14" s="1848">
        <v>-96.654586666666717</v>
      </c>
      <c r="T14" s="1848">
        <v>-46.210106799743585</v>
      </c>
      <c r="U14" s="1848">
        <v>1.1025229000000001</v>
      </c>
      <c r="V14" s="1848">
        <v>-141.7621705664103</v>
      </c>
      <c r="W14" s="1849">
        <f>F13_22_23!K14</f>
        <v>272.05857126000001</v>
      </c>
      <c r="X14" s="1850">
        <f>W14/K14-1</f>
        <v>7.102636027062692E-2</v>
      </c>
    </row>
    <row r="15" spans="1:24">
      <c r="A15" s="1842">
        <v>2</v>
      </c>
      <c r="B15" s="1845" t="s">
        <v>1650</v>
      </c>
      <c r="C15" s="1846">
        <v>1000</v>
      </c>
      <c r="D15" s="1767">
        <v>0.82269319236034466</v>
      </c>
      <c r="E15" s="1765" t="s">
        <v>1649</v>
      </c>
      <c r="F15" s="1767">
        <v>6.5500000000000003E-2</v>
      </c>
      <c r="G15" s="1767">
        <v>1</v>
      </c>
      <c r="H15" s="1846">
        <v>1000</v>
      </c>
      <c r="I15" s="1794">
        <v>6730.0913202161291</v>
      </c>
      <c r="J15" s="1794">
        <f>VLOOKUP($B15,F13B_21_22_APR!$B$14:$EP$237,133,0)</f>
        <v>6835.1432869999999</v>
      </c>
      <c r="K15" s="1794">
        <f>VLOOKUP($B15,F13B_21_22_APR!$B$14:$EO$223,136,0)</f>
        <v>311.72850035249996</v>
      </c>
      <c r="L15" s="1794">
        <f>VLOOKUP($B15,F13B_21_22_APR!$B$14:$EO$223,138,0)</f>
        <v>1232.1225798059152</v>
      </c>
      <c r="M15" s="1794">
        <f>VLOOKUP($B15,F13B_21_22_APR!$B$14:$EO$223,140,0)</f>
        <v>0</v>
      </c>
      <c r="N15" s="1763">
        <f>SUM(K15:M15)</f>
        <v>1543.8510801584152</v>
      </c>
      <c r="O15" s="1763">
        <f t="shared" ref="O15:O77" si="0">$N15/$J15*10</f>
        <v>2.2586959999722609</v>
      </c>
      <c r="Q15" s="1847">
        <f t="shared" ref="Q15:Q78" si="1">H15*24*365*D15*(1-F15)/10^3</f>
        <v>6734.7474651641005</v>
      </c>
      <c r="R15" s="1848">
        <v>183.03955025161304</v>
      </c>
      <c r="S15" s="1848">
        <v>-55.430273366666597</v>
      </c>
      <c r="T15" s="1848">
        <v>14.143870112801551</v>
      </c>
      <c r="U15" s="1848">
        <v>0</v>
      </c>
      <c r="V15" s="1848">
        <v>-41.286403253865046</v>
      </c>
      <c r="W15" s="1849">
        <f>F13_22_23!K15</f>
        <v>339.43770022050001</v>
      </c>
      <c r="X15" s="1850">
        <f t="shared" ref="X15:X30" si="2">W15/K15-1</f>
        <v>8.8888888364928809E-2</v>
      </c>
    </row>
    <row r="16" spans="1:24">
      <c r="A16" s="1842">
        <v>3</v>
      </c>
      <c r="B16" s="1845" t="s">
        <v>1651</v>
      </c>
      <c r="C16" s="1846">
        <v>660</v>
      </c>
      <c r="D16" s="1767">
        <v>2.8410207388626402E-2</v>
      </c>
      <c r="E16" s="1765" t="s">
        <v>1649</v>
      </c>
      <c r="F16" s="1767">
        <v>0</v>
      </c>
      <c r="G16" s="1767">
        <v>1</v>
      </c>
      <c r="H16" s="1846">
        <v>660</v>
      </c>
      <c r="I16" s="1794">
        <v>164.99116433333336</v>
      </c>
      <c r="J16" s="1794">
        <f>VLOOKUP($B16,F13B_21_22_APR!$B$14:$EP$237,133,0)</f>
        <v>0</v>
      </c>
      <c r="K16" s="1794">
        <f>VLOOKUP($B16,F13B_21_22_APR!$B$14:$EO$223,136,0)</f>
        <v>0</v>
      </c>
      <c r="L16" s="1794">
        <f>VLOOKUP($B16,F13B_21_22_APR!$B$14:$EO$223,138,0)</f>
        <v>0</v>
      </c>
      <c r="M16" s="1794">
        <f>VLOOKUP($B16,F13B_21_22_APR!$B$14:$EO$223,140,0)</f>
        <v>0</v>
      </c>
      <c r="N16" s="1763"/>
      <c r="O16" s="1763"/>
      <c r="Q16" s="1847">
        <f t="shared" si="1"/>
        <v>164.25645503808241</v>
      </c>
      <c r="R16" s="1848">
        <v>0</v>
      </c>
      <c r="S16" s="1848">
        <v>0</v>
      </c>
      <c r="T16" s="1848">
        <v>0</v>
      </c>
      <c r="U16" s="1848">
        <v>0</v>
      </c>
      <c r="V16" s="1848">
        <v>0</v>
      </c>
      <c r="W16" s="1849">
        <f>F13_22_23!K16</f>
        <v>0</v>
      </c>
      <c r="X16" s="1850" t="e">
        <f t="shared" si="2"/>
        <v>#DIV/0!</v>
      </c>
    </row>
    <row r="17" spans="1:24">
      <c r="A17" s="1842">
        <v>4</v>
      </c>
      <c r="B17" s="1845" t="s">
        <v>1652</v>
      </c>
      <c r="C17" s="1846">
        <v>220</v>
      </c>
      <c r="D17" s="1767"/>
      <c r="E17" s="1765" t="s">
        <v>1649</v>
      </c>
      <c r="F17" s="1767">
        <v>0.107</v>
      </c>
      <c r="G17" s="1767">
        <v>0</v>
      </c>
      <c r="H17" s="1846">
        <v>0</v>
      </c>
      <c r="I17" s="1794">
        <v>334.37675699999994</v>
      </c>
      <c r="J17" s="1794">
        <f>VLOOKUP($B17,F13B_21_22_APR!$B$14:$EP$237,133,0)</f>
        <v>0</v>
      </c>
      <c r="K17" s="1794">
        <f>VLOOKUP($B17,F13B_21_22_APR!$B$14:$EO$223,136,0)</f>
        <v>0</v>
      </c>
      <c r="L17" s="1794">
        <f>VLOOKUP($B17,F13B_21_22_APR!$B$14:$EO$223,138,0)</f>
        <v>0</v>
      </c>
      <c r="M17" s="1794">
        <f>VLOOKUP($B17,F13B_21_22_APR!$B$14:$EO$223,140,0)</f>
        <v>0</v>
      </c>
      <c r="N17" s="1763"/>
      <c r="O17" s="1763"/>
      <c r="Q17" s="1847">
        <f t="shared" si="1"/>
        <v>0</v>
      </c>
      <c r="R17" s="1848">
        <v>0</v>
      </c>
      <c r="S17" s="1848">
        <v>-52.053333333333335</v>
      </c>
      <c r="T17" s="1848">
        <v>0</v>
      </c>
      <c r="U17" s="1848">
        <v>0</v>
      </c>
      <c r="V17" s="1848">
        <v>0</v>
      </c>
      <c r="W17" s="1849">
        <f>F13_22_23!K17</f>
        <v>0</v>
      </c>
      <c r="X17" s="1850" t="e">
        <f t="shared" si="2"/>
        <v>#DIV/0!</v>
      </c>
    </row>
    <row r="18" spans="1:24">
      <c r="A18" s="1842">
        <v>5</v>
      </c>
      <c r="B18" s="1845" t="s">
        <v>1653</v>
      </c>
      <c r="C18" s="1846">
        <v>420</v>
      </c>
      <c r="D18" s="1767">
        <v>0.84999999999999976</v>
      </c>
      <c r="E18" s="1765" t="s">
        <v>1649</v>
      </c>
      <c r="F18" s="1767">
        <v>0.09</v>
      </c>
      <c r="G18" s="1767">
        <v>1</v>
      </c>
      <c r="H18" s="1846">
        <v>420</v>
      </c>
      <c r="I18" s="1794">
        <v>2845.8612000000007</v>
      </c>
      <c r="J18" s="1794">
        <f>VLOOKUP($B18,F13B_21_22_APR!$B$14:$EP$237,133,0)</f>
        <v>460.01592000000005</v>
      </c>
      <c r="K18" s="1794">
        <f>VLOOKUP($B18,F13B_21_22_APR!$B$14:$EO$223,136,0)</f>
        <v>87.585750000000004</v>
      </c>
      <c r="L18" s="1794">
        <f>VLOOKUP($B18,F13B_21_22_APR!$B$14:$EO$223,138,0)</f>
        <v>175.01515138119595</v>
      </c>
      <c r="M18" s="1794">
        <f>VLOOKUP($B18,F13B_21_22_APR!$B$14:$EO$223,140,0)</f>
        <v>0</v>
      </c>
      <c r="N18" s="1763">
        <f>SUM(K18:M18)</f>
        <v>262.60090138119597</v>
      </c>
      <c r="O18" s="1763">
        <f t="shared" si="0"/>
        <v>5.7085176830661846</v>
      </c>
      <c r="Q18" s="1847">
        <f t="shared" si="1"/>
        <v>2845.8611999999994</v>
      </c>
      <c r="R18" s="1848">
        <v>64.517530154838596</v>
      </c>
      <c r="S18" s="1848">
        <v>-68.246666666666556</v>
      </c>
      <c r="T18" s="1848">
        <v>15.604229566428444</v>
      </c>
      <c r="U18" s="1848">
        <v>0</v>
      </c>
      <c r="V18" s="1848">
        <v>-52.642437100238112</v>
      </c>
      <c r="W18" s="1849">
        <f>F13_22_23!K18</f>
        <v>367.86015000000003</v>
      </c>
      <c r="X18" s="1850">
        <f t="shared" si="2"/>
        <v>3.2</v>
      </c>
    </row>
    <row r="19" spans="1:24">
      <c r="A19" s="1842">
        <v>6</v>
      </c>
      <c r="B19" s="1845" t="s">
        <v>1654</v>
      </c>
      <c r="C19" s="1846">
        <v>94</v>
      </c>
      <c r="D19" s="1767"/>
      <c r="E19" s="1765" t="s">
        <v>1649</v>
      </c>
      <c r="F19" s="1767">
        <v>0</v>
      </c>
      <c r="G19" s="1767">
        <v>0</v>
      </c>
      <c r="H19" s="1846">
        <v>0</v>
      </c>
      <c r="I19" s="1794">
        <v>0</v>
      </c>
      <c r="J19" s="1794">
        <f>VLOOKUP($B19,F13B_21_22_APR!$B$14:$EP$237,133,0)</f>
        <v>0</v>
      </c>
      <c r="K19" s="1794">
        <f>VLOOKUP($B19,F13B_21_22_APR!$B$14:$EO$223,136,0)</f>
        <v>0</v>
      </c>
      <c r="L19" s="1794">
        <f>VLOOKUP($B19,F13B_21_22_APR!$B$14:$EO$223,138,0)</f>
        <v>0</v>
      </c>
      <c r="M19" s="1794">
        <f>VLOOKUP($B19,F13B_21_22_APR!$B$14:$EO$223,140,0)</f>
        <v>0</v>
      </c>
      <c r="N19" s="1763"/>
      <c r="O19" s="1763"/>
      <c r="Q19" s="1847">
        <f t="shared" si="1"/>
        <v>0</v>
      </c>
      <c r="R19" s="1848">
        <v>0</v>
      </c>
      <c r="S19" s="1848">
        <v>0</v>
      </c>
      <c r="T19" s="1848">
        <v>0</v>
      </c>
      <c r="U19" s="1848">
        <v>0</v>
      </c>
      <c r="V19" s="1848">
        <v>0</v>
      </c>
      <c r="W19" s="1849">
        <f>F13_22_23!K19</f>
        <v>0</v>
      </c>
      <c r="X19" s="1850" t="e">
        <f t="shared" si="2"/>
        <v>#DIV/0!</v>
      </c>
    </row>
    <row r="20" spans="1:24">
      <c r="A20" s="1842">
        <v>7</v>
      </c>
      <c r="B20" s="1845" t="s">
        <v>1655</v>
      </c>
      <c r="C20" s="1846">
        <v>1000</v>
      </c>
      <c r="D20" s="1767">
        <v>0.47171198165450406</v>
      </c>
      <c r="E20" s="1765" t="s">
        <v>1649</v>
      </c>
      <c r="F20" s="1767">
        <v>9.7000000000000003E-2</v>
      </c>
      <c r="G20" s="1767">
        <v>1</v>
      </c>
      <c r="H20" s="1846">
        <v>1000</v>
      </c>
      <c r="I20" s="1794">
        <v>3725.2775696451613</v>
      </c>
      <c r="J20" s="1794">
        <f>VLOOKUP($B20,F13B_21_22_APR!$B$14:$EP$237,133,0)</f>
        <v>4094.2690411999997</v>
      </c>
      <c r="K20" s="1794">
        <f>VLOOKUP($B20,F13B_21_22_APR!$B$14:$EO$223,136,0)</f>
        <v>327.31491897875003</v>
      </c>
      <c r="L20" s="1794">
        <f>VLOOKUP($B20,F13B_21_22_APR!$B$14:$EO$223,138,0)</f>
        <v>968.36786747621306</v>
      </c>
      <c r="M20" s="1794">
        <f>VLOOKUP($B20,F13B_21_22_APR!$B$14:$EO$223,140,0)</f>
        <v>-2.4314835000000001</v>
      </c>
      <c r="N20" s="1763">
        <f t="shared" ref="N20:N30" si="3">SUM(K20:M20)</f>
        <v>1293.2513029549632</v>
      </c>
      <c r="O20" s="1763">
        <f t="shared" si="0"/>
        <v>3.1586866665115902</v>
      </c>
      <c r="Q20" s="1847">
        <f t="shared" si="1"/>
        <v>3731.3738542419906</v>
      </c>
      <c r="R20" s="1848">
        <v>24.096620019354759</v>
      </c>
      <c r="S20" s="1848">
        <v>-12.077442000000019</v>
      </c>
      <c r="T20" s="1848">
        <v>27.563163670617087</v>
      </c>
      <c r="U20" s="1848">
        <v>0</v>
      </c>
      <c r="V20" s="1848">
        <v>15.485721670617068</v>
      </c>
      <c r="W20" s="1849">
        <f>F13_22_23!K20</f>
        <v>367.64169657075007</v>
      </c>
      <c r="X20" s="1850">
        <f t="shared" si="2"/>
        <v>0.12320482585341042</v>
      </c>
    </row>
    <row r="21" spans="1:24">
      <c r="A21" s="1842">
        <v>8</v>
      </c>
      <c r="B21" s="1845" t="s">
        <v>1656</v>
      </c>
      <c r="C21" s="1846">
        <v>105</v>
      </c>
      <c r="D21" s="1767">
        <v>0.37560225297237743</v>
      </c>
      <c r="E21" s="1765" t="s">
        <v>1649</v>
      </c>
      <c r="F21" s="1767">
        <v>0.105</v>
      </c>
      <c r="G21" s="1767">
        <v>1</v>
      </c>
      <c r="H21" s="1846">
        <v>105</v>
      </c>
      <c r="I21" s="1794">
        <v>310.63075667634411</v>
      </c>
      <c r="J21" s="1794">
        <f>VLOOKUP($B21,F13B_21_22_APR!$B$14:$EP$237,133,0)</f>
        <v>145.94841091666666</v>
      </c>
      <c r="K21" s="1794">
        <f>VLOOKUP($B21,F13B_21_22_APR!$B$14:$EO$223,136,0)</f>
        <v>76.922698973750002</v>
      </c>
      <c r="L21" s="1794">
        <f>VLOOKUP($B21,F13B_21_22_APR!$B$14:$EO$223,138,0)</f>
        <v>34.591462917931246</v>
      </c>
      <c r="M21" s="1794">
        <f>VLOOKUP($B21,F13B_21_22_APR!$B$14:$EO$223,140,0)</f>
        <v>0</v>
      </c>
      <c r="N21" s="1763">
        <f t="shared" si="3"/>
        <v>111.51416189168125</v>
      </c>
      <c r="O21" s="1763">
        <f t="shared" si="0"/>
        <v>7.6406561189181694</v>
      </c>
      <c r="Q21" s="1847">
        <f t="shared" si="1"/>
        <v>309.20366229417357</v>
      </c>
      <c r="R21" s="1848">
        <v>-145.87223946129032</v>
      </c>
      <c r="S21" s="1848">
        <v>-58.986161766666648</v>
      </c>
      <c r="T21" s="1848">
        <v>-57.495967866274739</v>
      </c>
      <c r="U21" s="1848">
        <v>0</v>
      </c>
      <c r="V21" s="1848">
        <v>39.817081299999998</v>
      </c>
      <c r="W21" s="1849">
        <f>F13_22_23!K21</f>
        <v>18.18135384975</v>
      </c>
      <c r="X21" s="1850">
        <f t="shared" si="2"/>
        <v>-0.76364123864199807</v>
      </c>
    </row>
    <row r="22" spans="1:24">
      <c r="A22" s="1842">
        <v>9</v>
      </c>
      <c r="B22" s="1845" t="s">
        <v>1657</v>
      </c>
      <c r="C22" s="1846">
        <v>500</v>
      </c>
      <c r="D22" s="1767">
        <v>0.75</v>
      </c>
      <c r="E22" s="1765" t="s">
        <v>1649</v>
      </c>
      <c r="F22" s="1767">
        <v>0.09</v>
      </c>
      <c r="G22" s="1767">
        <v>1</v>
      </c>
      <c r="H22" s="1846">
        <v>500</v>
      </c>
      <c r="I22" s="1794">
        <v>2989.35</v>
      </c>
      <c r="J22" s="1794">
        <f>VLOOKUP($B22,F13B_21_22_APR!$B$14:$EP$237,133,0)</f>
        <v>1465.3272059999999</v>
      </c>
      <c r="K22" s="1794">
        <f>VLOOKUP($B22,F13B_21_22_APR!$B$14:$EO$223,136,0)</f>
        <v>478.34343000000007</v>
      </c>
      <c r="L22" s="1794">
        <f>VLOOKUP($B22,F13B_21_22_APR!$B$14:$EO$223,138,0)</f>
        <v>539.68021105673643</v>
      </c>
      <c r="M22" s="1794">
        <f>VLOOKUP($B22,F13B_21_22_APR!$B$14:$EO$223,140,0)</f>
        <v>0</v>
      </c>
      <c r="N22" s="1763">
        <f t="shared" si="3"/>
        <v>1018.0236410567366</v>
      </c>
      <c r="O22" s="1763">
        <f t="shared" si="0"/>
        <v>6.9474151362800569</v>
      </c>
      <c r="Q22" s="1847">
        <f t="shared" si="1"/>
        <v>2989.35</v>
      </c>
      <c r="R22" s="1848">
        <v>705.8662987183809</v>
      </c>
      <c r="S22" s="1848">
        <v>-36.128066666666768</v>
      </c>
      <c r="T22" s="1848">
        <v>222.09042966924829</v>
      </c>
      <c r="U22" s="1848">
        <v>0</v>
      </c>
      <c r="V22" s="1848">
        <v>185.96236300258147</v>
      </c>
      <c r="W22" s="1849">
        <f>F13_22_23!K22</f>
        <v>586.94895000000008</v>
      </c>
      <c r="X22" s="1850">
        <f t="shared" si="2"/>
        <v>0.22704507512520866</v>
      </c>
    </row>
    <row r="23" spans="1:24">
      <c r="A23" s="1842">
        <v>10</v>
      </c>
      <c r="B23" s="1845" t="s">
        <v>1658</v>
      </c>
      <c r="C23" s="1846">
        <v>500</v>
      </c>
      <c r="D23" s="1767">
        <v>0.68019159391058182</v>
      </c>
      <c r="E23" s="1765" t="s">
        <v>1649</v>
      </c>
      <c r="F23" s="1767">
        <v>0.09</v>
      </c>
      <c r="G23" s="1767">
        <v>1</v>
      </c>
      <c r="H23" s="1846">
        <v>500</v>
      </c>
      <c r="I23" s="1794">
        <v>2712.2882401750003</v>
      </c>
      <c r="J23" s="1794">
        <f>VLOOKUP($B23,F13B_21_22_APR!$B$14:$EP$237,133,0)</f>
        <v>1627.705976402528</v>
      </c>
      <c r="K23" s="1794">
        <f>VLOOKUP($B23,F13B_21_22_APR!$B$14:$EO$223,136,0)</f>
        <v>505.02487474750001</v>
      </c>
      <c r="L23" s="1794">
        <f>VLOOKUP($B23,F13B_21_22_APR!$B$14:$EO$223,138,0)</f>
        <v>601.89550747987653</v>
      </c>
      <c r="M23" s="1794">
        <f>VLOOKUP($B23,F13B_21_22_APR!$B$14:$EO$223,140,0)</f>
        <v>0</v>
      </c>
      <c r="N23" s="1763">
        <f t="shared" si="3"/>
        <v>1106.9203822273766</v>
      </c>
      <c r="O23" s="1763">
        <f t="shared" si="0"/>
        <v>6.8004934446074543</v>
      </c>
      <c r="Q23" s="1847">
        <f t="shared" si="1"/>
        <v>2711.1076550087969</v>
      </c>
      <c r="R23" s="1848">
        <v>365.51139979999994</v>
      </c>
      <c r="S23" s="1848">
        <v>-114.53962916666671</v>
      </c>
      <c r="T23" s="1848">
        <v>120.94153183202013</v>
      </c>
      <c r="U23" s="1848">
        <v>0</v>
      </c>
      <c r="V23" s="1848">
        <v>6.401902665353191</v>
      </c>
      <c r="W23" s="1849">
        <f>F13_22_23!K23</f>
        <v>549.91597477950017</v>
      </c>
      <c r="X23" s="1850">
        <f t="shared" si="2"/>
        <v>8.8888888996694781E-2</v>
      </c>
    </row>
    <row r="24" spans="1:24">
      <c r="A24" s="1842">
        <v>11</v>
      </c>
      <c r="B24" s="1845" t="s">
        <v>1659</v>
      </c>
      <c r="C24" s="1846">
        <v>1000</v>
      </c>
      <c r="D24" s="1767">
        <v>0.64995958369228257</v>
      </c>
      <c r="E24" s="1765" t="s">
        <v>1649</v>
      </c>
      <c r="F24" s="1767">
        <v>6.25E-2</v>
      </c>
      <c r="G24" s="1767">
        <v>1</v>
      </c>
      <c r="H24" s="1846">
        <v>1000</v>
      </c>
      <c r="I24" s="1794">
        <v>5334.7510297532262</v>
      </c>
      <c r="J24" s="1794">
        <f>VLOOKUP($B24,F13B_21_22_APR!$B$14:$EP$237,133,0)</f>
        <v>5042.43500675</v>
      </c>
      <c r="K24" s="1794">
        <f>VLOOKUP($B24,F13B_21_22_APR!$B$14:$EO$223,136,0)</f>
        <v>780.72357174874992</v>
      </c>
      <c r="L24" s="1794">
        <f>VLOOKUP($B24,F13B_21_22_APR!$B$14:$EO$223,138,0)</f>
        <v>887.38254714152629</v>
      </c>
      <c r="M24" s="1794">
        <f>VLOOKUP($B24,F13B_21_22_APR!$B$14:$EO$223,140,0)</f>
        <v>0</v>
      </c>
      <c r="N24" s="1763">
        <f t="shared" si="3"/>
        <v>1668.1061188902763</v>
      </c>
      <c r="O24" s="1763">
        <f t="shared" si="0"/>
        <v>3.3081360823833812</v>
      </c>
      <c r="Q24" s="1847">
        <f t="shared" si="1"/>
        <v>5337.7930810728703</v>
      </c>
      <c r="R24" s="1848">
        <v>-1499.581649108065</v>
      </c>
      <c r="S24" s="1848">
        <v>-641.18402090000018</v>
      </c>
      <c r="T24" s="1848">
        <v>-254.21381525669165</v>
      </c>
      <c r="U24" s="1848">
        <v>0</v>
      </c>
      <c r="V24" s="1848">
        <v>-895.39783615669194</v>
      </c>
      <c r="W24" s="1849">
        <f>F13_22_23!K24</f>
        <v>680.11653926475014</v>
      </c>
      <c r="X24" s="1850">
        <f t="shared" si="2"/>
        <v>-0.12886383365965137</v>
      </c>
    </row>
    <row r="25" spans="1:24">
      <c r="A25" s="1842">
        <v>12</v>
      </c>
      <c r="B25" s="1845" t="s">
        <v>1660</v>
      </c>
      <c r="C25" s="1846">
        <v>660</v>
      </c>
      <c r="D25" s="1767"/>
      <c r="E25" s="1765" t="s">
        <v>1649</v>
      </c>
      <c r="F25" s="1767">
        <v>5.7500000000000002E-2</v>
      </c>
      <c r="G25" s="1767">
        <v>1</v>
      </c>
      <c r="H25" s="1846">
        <v>660</v>
      </c>
      <c r="I25" s="1794">
        <v>0</v>
      </c>
      <c r="J25" s="1794">
        <f>VLOOKUP($B25,F13B_21_22_APR!$B$14:$EP$237,133,0)</f>
        <v>1018.5447990000001</v>
      </c>
      <c r="K25" s="1794">
        <f>VLOOKUP($B25,F13B_21_22_APR!$B$14:$EO$223,136,0)</f>
        <v>250.24500000000003</v>
      </c>
      <c r="L25" s="1794">
        <f>VLOOKUP($B25,F13B_21_22_APR!$B$14:$EO$223,138,0)</f>
        <v>374.28384390000008</v>
      </c>
      <c r="M25" s="1794">
        <f>VLOOKUP($B25,F13B_21_22_APR!$B$14:$EO$223,140,0)</f>
        <v>1.05548E-2</v>
      </c>
      <c r="N25" s="1763">
        <f t="shared" si="3"/>
        <v>624.53939870000011</v>
      </c>
      <c r="O25" s="1763"/>
      <c r="Q25" s="1847">
        <f t="shared" si="1"/>
        <v>0</v>
      </c>
      <c r="R25" s="1848">
        <v>0</v>
      </c>
      <c r="S25" s="1848">
        <v>0</v>
      </c>
      <c r="T25" s="1848">
        <v>0</v>
      </c>
      <c r="U25" s="1848">
        <v>0</v>
      </c>
      <c r="V25" s="1848">
        <v>0</v>
      </c>
      <c r="W25" s="1849">
        <f>F13_22_23!K25</f>
        <v>98.346104999999994</v>
      </c>
      <c r="X25" s="1850">
        <f t="shared" si="2"/>
        <v>-0.60700071929509081</v>
      </c>
    </row>
    <row r="26" spans="1:24">
      <c r="A26" s="1842">
        <v>13</v>
      </c>
      <c r="B26" s="1845" t="s">
        <v>1661</v>
      </c>
      <c r="C26" s="1846">
        <v>660</v>
      </c>
      <c r="D26" s="1767">
        <v>0.85</v>
      </c>
      <c r="E26" s="1765" t="s">
        <v>1649</v>
      </c>
      <c r="F26" s="1767">
        <v>5.7500000000000002E-2</v>
      </c>
      <c r="G26" s="1767">
        <v>1</v>
      </c>
      <c r="H26" s="1846">
        <v>660</v>
      </c>
      <c r="I26" s="1794">
        <v>1535.4682199999997</v>
      </c>
      <c r="J26" s="1794">
        <f>VLOOKUP($B26,F13B_21_22_APR!$B$14:$EP$237,133,0)</f>
        <v>1142.0837999999999</v>
      </c>
      <c r="K26" s="1794">
        <f>VLOOKUP($B26,F13B_21_22_APR!$B$14:$EO$223,136,0)</f>
        <v>231.58921499999997</v>
      </c>
      <c r="L26" s="1794">
        <f>VLOOKUP($B26,F13B_21_22_APR!$B$14:$EO$223,138,0)</f>
        <v>372.77615232000005</v>
      </c>
      <c r="M26" s="1794">
        <f>VLOOKUP($B26,F13B_21_22_APR!$B$14:$EO$223,140,0)</f>
        <v>0</v>
      </c>
      <c r="N26" s="1763">
        <f t="shared" si="3"/>
        <v>604.36536732000002</v>
      </c>
      <c r="O26" s="1763">
        <f t="shared" si="0"/>
        <v>5.2917777777777788</v>
      </c>
      <c r="Q26" s="1847">
        <f t="shared" si="1"/>
        <v>4631.7843000000003</v>
      </c>
      <c r="R26" s="1848">
        <v>-886.39189897893993</v>
      </c>
      <c r="S26" s="1848">
        <v>-178.76</v>
      </c>
      <c r="T26" s="1848">
        <v>-289.31831582672601</v>
      </c>
      <c r="U26" s="1848">
        <v>0</v>
      </c>
      <c r="V26" s="1848">
        <v>-468.078315826726</v>
      </c>
      <c r="W26" s="1849">
        <f>F13_22_23!K26</f>
        <v>972.67470299999991</v>
      </c>
      <c r="X26" s="1850">
        <f t="shared" si="2"/>
        <v>3.2</v>
      </c>
    </row>
    <row r="27" spans="1:24">
      <c r="A27" s="1842">
        <v>14</v>
      </c>
      <c r="B27" s="1845" t="s">
        <v>1662</v>
      </c>
      <c r="C27" s="1846">
        <v>1320</v>
      </c>
      <c r="D27" s="1767"/>
      <c r="E27" s="1765" t="s">
        <v>1649</v>
      </c>
      <c r="F27" s="1767">
        <v>5.7500000000000002E-2</v>
      </c>
      <c r="G27" s="1767">
        <v>0.98636363636363633</v>
      </c>
      <c r="H27" s="1846">
        <v>1302</v>
      </c>
      <c r="I27" s="1794">
        <v>0</v>
      </c>
      <c r="J27" s="1794">
        <f>VLOOKUP($B27,F13B_21_22_APR!$B$14:$EP$237,133,0)</f>
        <v>0</v>
      </c>
      <c r="K27" s="1794">
        <f>VLOOKUP($B27,F13B_21_22_APR!$B$14:$EO$223,136,0)</f>
        <v>0</v>
      </c>
      <c r="L27" s="1794">
        <f>VLOOKUP($B27,F13B_21_22_APR!$B$14:$EO$223,138,0)</f>
        <v>0</v>
      </c>
      <c r="M27" s="1794">
        <f>VLOOKUP($B27,F13B_21_22_APR!$B$14:$EO$223,140,0)</f>
        <v>0</v>
      </c>
      <c r="N27" s="1763">
        <f t="shared" si="3"/>
        <v>0</v>
      </c>
      <c r="O27" s="1763"/>
      <c r="Q27" s="1847">
        <f t="shared" si="1"/>
        <v>0</v>
      </c>
      <c r="R27" s="1848">
        <v>0</v>
      </c>
      <c r="S27" s="1848">
        <v>0</v>
      </c>
      <c r="T27" s="1848">
        <v>0</v>
      </c>
      <c r="U27" s="1848">
        <v>0</v>
      </c>
      <c r="V27" s="1848">
        <v>0</v>
      </c>
      <c r="W27" s="1849">
        <f>F13_22_23!K27</f>
        <v>899.39099249999992</v>
      </c>
      <c r="X27" s="1850" t="e">
        <f t="shared" si="2"/>
        <v>#DIV/0!</v>
      </c>
    </row>
    <row r="28" spans="1:24">
      <c r="A28" s="1842">
        <v>15</v>
      </c>
      <c r="B28" s="1845" t="s">
        <v>1663</v>
      </c>
      <c r="C28" s="1846">
        <v>1320</v>
      </c>
      <c r="D28" s="1767"/>
      <c r="E28" s="1765" t="s">
        <v>1649</v>
      </c>
      <c r="F28" s="1767">
        <v>5.7500000000000002E-2</v>
      </c>
      <c r="G28" s="1767">
        <v>1</v>
      </c>
      <c r="H28" s="1846">
        <v>1320</v>
      </c>
      <c r="I28" s="1794">
        <v>0</v>
      </c>
      <c r="J28" s="1794">
        <f>VLOOKUP($B28,F13B_21_22_APR!$B$14:$EP$237,133,0)</f>
        <v>0</v>
      </c>
      <c r="K28" s="1794">
        <f>VLOOKUP($B28,F13B_21_22_APR!$B$14:$EO$223,136,0)</f>
        <v>0</v>
      </c>
      <c r="L28" s="1794">
        <f>VLOOKUP($B28,F13B_21_22_APR!$B$14:$EO$223,138,0)</f>
        <v>0</v>
      </c>
      <c r="M28" s="1794">
        <f>VLOOKUP($B28,F13B_21_22_APR!$B$14:$EO$223,140,0)</f>
        <v>0</v>
      </c>
      <c r="N28" s="1763">
        <f t="shared" si="3"/>
        <v>0</v>
      </c>
      <c r="O28" s="1763"/>
      <c r="Q28" s="1847">
        <f t="shared" si="1"/>
        <v>0</v>
      </c>
      <c r="R28" s="1848">
        <v>0</v>
      </c>
      <c r="S28" s="1848">
        <v>0</v>
      </c>
      <c r="T28" s="1848">
        <v>0</v>
      </c>
      <c r="U28" s="1848">
        <v>0</v>
      </c>
      <c r="V28" s="1848">
        <v>0</v>
      </c>
      <c r="W28" s="1849">
        <f>F13_22_23!K28</f>
        <v>856.56284999999991</v>
      </c>
      <c r="X28" s="1850" t="e">
        <f t="shared" si="2"/>
        <v>#DIV/0!</v>
      </c>
    </row>
    <row r="29" spans="1:24">
      <c r="A29" s="1842">
        <v>16</v>
      </c>
      <c r="B29" s="1592" t="s">
        <v>1664</v>
      </c>
      <c r="C29" s="1764"/>
      <c r="D29" s="1765"/>
      <c r="E29" s="1765"/>
      <c r="F29" s="1767"/>
      <c r="G29" s="1765"/>
      <c r="H29" s="1768"/>
      <c r="I29" s="1794"/>
      <c r="J29" s="1794">
        <f>VLOOKUP($B29,F13B_21_22_APR!$B$14:$EP$237,133,0)</f>
        <v>0</v>
      </c>
      <c r="K29" s="1794">
        <f>VLOOKUP($B29,F13B_21_22_APR!$B$14:$EO$223,136,0)</f>
        <v>0</v>
      </c>
      <c r="L29" s="1794">
        <f>VLOOKUP($B29,F13B_21_22_APR!$B$14:$EO$223,138,0)</f>
        <v>0</v>
      </c>
      <c r="M29" s="1794">
        <f>VLOOKUP($B29,F13B_21_22_APR!$B$14:$EO$223,140,0)</f>
        <v>88.792862100000008</v>
      </c>
      <c r="N29" s="1763">
        <f t="shared" si="3"/>
        <v>88.792862100000008</v>
      </c>
      <c r="O29" s="1763"/>
      <c r="Q29" s="1847">
        <f t="shared" si="1"/>
        <v>0</v>
      </c>
      <c r="R29" s="1848">
        <v>0</v>
      </c>
      <c r="S29" s="1848">
        <v>0</v>
      </c>
      <c r="T29" s="1848">
        <v>-79.139605500000002</v>
      </c>
      <c r="U29" s="1848">
        <v>47.858837100000002</v>
      </c>
      <c r="V29" s="1848">
        <v>-31.280768399999999</v>
      </c>
      <c r="W29" s="1849">
        <f>F13_22_23!K29</f>
        <v>0</v>
      </c>
      <c r="X29" s="1850" t="e">
        <f t="shared" si="2"/>
        <v>#DIV/0!</v>
      </c>
    </row>
    <row r="30" spans="1:24">
      <c r="A30" s="1842"/>
      <c r="B30" s="1756" t="s">
        <v>211</v>
      </c>
      <c r="C30" s="1763">
        <f>SUM(C14:C28)</f>
        <v>10089</v>
      </c>
      <c r="D30" s="1762"/>
      <c r="E30" s="1762"/>
      <c r="F30" s="1762"/>
      <c r="G30" s="1762"/>
      <c r="H30" s="1763">
        <f t="shared" ref="H30:M30" si="4">SUM(H14:H29)</f>
        <v>9757</v>
      </c>
      <c r="I30" s="1763">
        <f t="shared" si="4"/>
        <v>30236.637925112092</v>
      </c>
      <c r="J30" s="1763">
        <f t="shared" si="4"/>
        <v>25251.439000669194</v>
      </c>
      <c r="K30" s="1763">
        <f t="shared" si="4"/>
        <v>3303.49465010125</v>
      </c>
      <c r="L30" s="1763">
        <f t="shared" si="4"/>
        <v>5845.8186638659699</v>
      </c>
      <c r="M30" s="1763">
        <f t="shared" si="4"/>
        <v>86.371933400000003</v>
      </c>
      <c r="N30" s="1763">
        <f t="shared" si="3"/>
        <v>9235.6852473672207</v>
      </c>
      <c r="O30" s="1763">
        <f t="shared" si="0"/>
        <v>3.6574886869308569</v>
      </c>
      <c r="Q30" s="1847">
        <f t="shared" si="1"/>
        <v>0</v>
      </c>
      <c r="R30" s="1848">
        <v>-1394.4130669782971</v>
      </c>
      <c r="S30" s="1848">
        <v>-1314.0601805333336</v>
      </c>
      <c r="T30" s="1848">
        <v>-326.03458639831842</v>
      </c>
      <c r="U30" s="1848">
        <v>48.961359999999999</v>
      </c>
      <c r="V30" s="1848">
        <v>-1591.1334069316536</v>
      </c>
      <c r="W30" s="1849">
        <f>F13_22_23!K30</f>
        <v>6009.1355864452507</v>
      </c>
      <c r="X30" s="1850">
        <f t="shared" si="2"/>
        <v>0.81902385894921137</v>
      </c>
    </row>
    <row r="31" spans="1:24">
      <c r="A31" s="1842"/>
      <c r="B31" s="1845"/>
      <c r="C31" s="1768"/>
      <c r="D31" s="1765"/>
      <c r="E31" s="1762"/>
      <c r="F31" s="1762"/>
      <c r="G31" s="1762"/>
      <c r="H31" s="1763"/>
      <c r="I31" s="1794"/>
      <c r="J31" s="1794"/>
      <c r="K31" s="1794"/>
      <c r="L31" s="1794"/>
      <c r="M31" s="1794"/>
      <c r="N31" s="1794"/>
      <c r="O31" s="1763"/>
      <c r="Q31" s="1847">
        <f t="shared" si="1"/>
        <v>0</v>
      </c>
    </row>
    <row r="32" spans="1:24">
      <c r="A32" s="1842" t="s">
        <v>21</v>
      </c>
      <c r="B32" s="1851" t="s">
        <v>1665</v>
      </c>
      <c r="C32" s="1768"/>
      <c r="D32" s="1765"/>
      <c r="E32" s="1762"/>
      <c r="F32" s="1762"/>
      <c r="G32" s="1762"/>
      <c r="H32" s="1763"/>
      <c r="I32" s="1794"/>
      <c r="J32" s="1794"/>
      <c r="K32" s="1794"/>
      <c r="L32" s="1794"/>
      <c r="M32" s="1794"/>
      <c r="N32" s="1794"/>
      <c r="O32" s="1763"/>
      <c r="Q32" s="1847">
        <f t="shared" si="1"/>
        <v>0</v>
      </c>
    </row>
    <row r="33" spans="1:22">
      <c r="A33" s="1842">
        <v>1</v>
      </c>
      <c r="B33" s="1845" t="s">
        <v>1666</v>
      </c>
      <c r="C33" s="1846">
        <v>300</v>
      </c>
      <c r="D33" s="1767">
        <v>0.24286512033827887</v>
      </c>
      <c r="E33" s="1765" t="s">
        <v>1667</v>
      </c>
      <c r="F33" s="1767">
        <v>0.01</v>
      </c>
      <c r="G33" s="1767">
        <v>0.85</v>
      </c>
      <c r="H33" s="1846">
        <v>255</v>
      </c>
      <c r="I33" s="1794">
        <v>537.16551639569889</v>
      </c>
      <c r="J33" s="1794">
        <f>VLOOKUP($B33,F13B_21_22_APR!$B$14:$EP$237,133,0)</f>
        <v>523.99139779999996</v>
      </c>
      <c r="K33" s="1794">
        <f>VLOOKUP($B33,F13B_21_22_APR!$B$14:$EO$223,136,0)</f>
        <v>20.403255117662503</v>
      </c>
      <c r="L33" s="1794">
        <f>VLOOKUP($B33,F13B_21_22_APR!$B$14:$EO$223,138,0)</f>
        <v>44.654276149388529</v>
      </c>
      <c r="M33" s="1794">
        <f>VLOOKUP($B33,F13B_21_22_APR!$B$14:$EO$223,140,0)</f>
        <v>0</v>
      </c>
      <c r="N33" s="1763">
        <f t="shared" ref="N33:N41" si="5">SUM(K33:M33)</f>
        <v>65.057531267051033</v>
      </c>
      <c r="O33" s="1763">
        <f t="shared" si="0"/>
        <v>1.2415763224396017</v>
      </c>
      <c r="Q33" s="1847">
        <f t="shared" si="1"/>
        <v>537.08698475353094</v>
      </c>
      <c r="R33" s="1848">
        <v>155.30010861290327</v>
      </c>
      <c r="S33" s="1848">
        <v>-25.951755300000002</v>
      </c>
      <c r="T33" s="1848">
        <v>12.63130245841834</v>
      </c>
      <c r="U33" s="1848">
        <v>22.510002699999998</v>
      </c>
      <c r="V33" s="1848">
        <v>9.1895498584183315</v>
      </c>
    </row>
    <row r="34" spans="1:22">
      <c r="A34" s="1842">
        <v>2</v>
      </c>
      <c r="B34" s="1845" t="s">
        <v>1668</v>
      </c>
      <c r="C34" s="1846">
        <v>99</v>
      </c>
      <c r="D34" s="1767">
        <v>0.3127712938305397</v>
      </c>
      <c r="E34" s="1765" t="s">
        <v>1667</v>
      </c>
      <c r="F34" s="1767">
        <v>0.01</v>
      </c>
      <c r="G34" s="1767">
        <v>1</v>
      </c>
      <c r="H34" s="1846">
        <v>99</v>
      </c>
      <c r="I34" s="1794">
        <v>268.49688302961289</v>
      </c>
      <c r="J34" s="1794">
        <f>VLOOKUP($B34,F13B_21_22_APR!$B$14:$EP$237,133,0)</f>
        <v>301.76694725800002</v>
      </c>
      <c r="K34" s="1794">
        <f>VLOOKUP($B34,F13B_21_22_APR!$B$14:$EO$223,136,0)</f>
        <v>9.0126742050874995</v>
      </c>
      <c r="L34" s="1794">
        <f>VLOOKUP($B34,F13B_21_22_APR!$B$14:$EO$223,138,0)</f>
        <v>15.118438192118152</v>
      </c>
      <c r="M34" s="1794">
        <f>VLOOKUP($B34,F13B_21_22_APR!$B$14:$EO$223,140,0)</f>
        <v>0</v>
      </c>
      <c r="N34" s="1763">
        <f t="shared" si="5"/>
        <v>24.131112397205651</v>
      </c>
      <c r="O34" s="1763">
        <f t="shared" si="0"/>
        <v>0.79966055316768703</v>
      </c>
      <c r="Q34" s="1847">
        <f t="shared" si="1"/>
        <v>268.53529909298129</v>
      </c>
      <c r="R34" s="1848">
        <v>65.434676751999973</v>
      </c>
      <c r="S34" s="1848">
        <v>-2.2720328666666649</v>
      </c>
      <c r="T34" s="1848">
        <v>4.9972748207959725</v>
      </c>
      <c r="U34" s="1848">
        <v>0.50582380000000005</v>
      </c>
      <c r="V34" s="1848">
        <v>3.2310657541293075</v>
      </c>
    </row>
    <row r="35" spans="1:22">
      <c r="A35" s="1842">
        <v>3</v>
      </c>
      <c r="B35" s="1845" t="s">
        <v>1669</v>
      </c>
      <c r="C35" s="1846">
        <v>30</v>
      </c>
      <c r="D35" s="1767">
        <v>0.35693138080343312</v>
      </c>
      <c r="E35" s="1765" t="s">
        <v>1667</v>
      </c>
      <c r="F35" s="1767">
        <v>0.01</v>
      </c>
      <c r="G35" s="1767">
        <v>0.66666666666666663</v>
      </c>
      <c r="H35" s="1846">
        <v>20</v>
      </c>
      <c r="I35" s="1794">
        <v>61.694416131182791</v>
      </c>
      <c r="J35" s="1794">
        <f>VLOOKUP($B35,F13B_21_22_APR!$B$14:$EP$237,133,0)</f>
        <v>55.095445199999993</v>
      </c>
      <c r="K35" s="1794">
        <f>VLOOKUP($B35,F13B_21_22_APR!$B$14:$EO$223,136,0)</f>
        <v>2.2467486878249998</v>
      </c>
      <c r="L35" s="1794">
        <f>VLOOKUP($B35,F13B_21_22_APR!$B$14:$EO$223,138,0)</f>
        <v>3.5887964431383397</v>
      </c>
      <c r="M35" s="1794">
        <f>VLOOKUP($B35,F13B_21_22_APR!$B$14:$EO$223,140,0)</f>
        <v>0</v>
      </c>
      <c r="N35" s="1763">
        <f t="shared" si="5"/>
        <v>5.8355451309633395</v>
      </c>
      <c r="O35" s="1763">
        <f t="shared" si="0"/>
        <v>1.0591701564040252</v>
      </c>
      <c r="Q35" s="1847">
        <f t="shared" si="1"/>
        <v>61.909034137593864</v>
      </c>
      <c r="R35" s="1848">
        <v>3.0591144064516271</v>
      </c>
      <c r="S35" s="1848">
        <v>1.4692206666666667</v>
      </c>
      <c r="T35" s="1848">
        <v>-0.45799664592642486</v>
      </c>
      <c r="U35" s="1848">
        <v>3.2142E-3</v>
      </c>
      <c r="V35" s="1848">
        <v>1.0144382207402423</v>
      </c>
    </row>
    <row r="36" spans="1:22">
      <c r="A36" s="1842">
        <v>4</v>
      </c>
      <c r="B36" s="1845" t="s">
        <v>1670</v>
      </c>
      <c r="C36" s="1846">
        <v>72</v>
      </c>
      <c r="D36" s="1767">
        <v>0.51441716659098013</v>
      </c>
      <c r="E36" s="1765" t="s">
        <v>1667</v>
      </c>
      <c r="F36" s="1767">
        <v>0.01</v>
      </c>
      <c r="G36" s="1767">
        <v>0.8</v>
      </c>
      <c r="H36" s="1846">
        <v>57.6</v>
      </c>
      <c r="I36" s="1794">
        <v>257.84445449892473</v>
      </c>
      <c r="J36" s="1794">
        <f>VLOOKUP($B36,F13B_21_22_APR!$B$14:$EP$237,133,0)</f>
        <v>262.81315190000004</v>
      </c>
      <c r="K36" s="1794">
        <f>VLOOKUP($B36,F13B_21_22_APR!$B$14:$EO$223,136,0)</f>
        <v>13.7026356865375</v>
      </c>
      <c r="L36" s="1794">
        <f>VLOOKUP($B36,F13B_21_22_APR!$B$14:$EO$223,138,0)</f>
        <v>11.677949836802339</v>
      </c>
      <c r="M36" s="1794">
        <f>VLOOKUP($B36,F13B_21_22_APR!$B$14:$EO$223,140,0)</f>
        <v>0</v>
      </c>
      <c r="N36" s="1763">
        <f t="shared" si="5"/>
        <v>25.380585523339839</v>
      </c>
      <c r="O36" s="1763">
        <f t="shared" si="0"/>
        <v>0.96572737474710202</v>
      </c>
      <c r="Q36" s="1847">
        <f t="shared" si="1"/>
        <v>256.9669306873123</v>
      </c>
      <c r="R36" s="1848">
        <v>45.351241729032154</v>
      </c>
      <c r="S36" s="1848">
        <v>-1.1691442333333288</v>
      </c>
      <c r="T36" s="1848">
        <v>1.8582206109044588</v>
      </c>
      <c r="U36" s="1848">
        <v>0.34424260000000001</v>
      </c>
      <c r="V36" s="1848">
        <v>1.0333189775711347</v>
      </c>
    </row>
    <row r="37" spans="1:22">
      <c r="A37" s="1842">
        <v>5</v>
      </c>
      <c r="B37" s="1845" t="s">
        <v>1671</v>
      </c>
      <c r="C37" s="1846">
        <v>13.7</v>
      </c>
      <c r="D37" s="1767">
        <v>0.20316990411924529</v>
      </c>
      <c r="E37" s="1765" t="s">
        <v>1667</v>
      </c>
      <c r="F37" s="1767">
        <v>0.01</v>
      </c>
      <c r="G37" s="1767">
        <v>1</v>
      </c>
      <c r="H37" s="1846">
        <v>13.7</v>
      </c>
      <c r="I37" s="1794">
        <v>24.00201555333334</v>
      </c>
      <c r="J37" s="1794">
        <f>VLOOKUP($B37,F13B_21_22_APR!$B$14:$EP$237,133,0)</f>
        <v>26.404618620000004</v>
      </c>
      <c r="K37" s="1794">
        <f>VLOOKUP($B37,F13B_21_22_APR!$B$14:$EO$223,136,0)</f>
        <v>0</v>
      </c>
      <c r="L37" s="1794">
        <f>VLOOKUP($B37,F13B_21_22_APR!$B$14:$EO$223,138,0)</f>
        <v>7.5201301997906249</v>
      </c>
      <c r="M37" s="1794">
        <f>VLOOKUP($B37,F13B_21_22_APR!$B$14:$EO$223,140,0)</f>
        <v>0</v>
      </c>
      <c r="N37" s="1763">
        <f t="shared" si="5"/>
        <v>7.5201301997906249</v>
      </c>
      <c r="O37" s="1763">
        <f t="shared" si="0"/>
        <v>2.8480359091778555</v>
      </c>
      <c r="Q37" s="1847">
        <f t="shared" si="1"/>
        <v>24.138998267827276</v>
      </c>
      <c r="R37" s="1848">
        <v>1.6955822451612796</v>
      </c>
      <c r="S37" s="1848">
        <v>0</v>
      </c>
      <c r="T37" s="1848">
        <v>0.39521624535485333</v>
      </c>
      <c r="U37" s="1848">
        <v>0</v>
      </c>
      <c r="V37" s="1848">
        <v>0.39521624535485333</v>
      </c>
    </row>
    <row r="38" spans="1:22">
      <c r="A38" s="1842">
        <v>6</v>
      </c>
      <c r="B38" s="1845" t="s">
        <v>1672</v>
      </c>
      <c r="C38" s="1846">
        <v>3.6</v>
      </c>
      <c r="D38" s="1767">
        <v>6.8702307160901852E-2</v>
      </c>
      <c r="E38" s="1765" t="s">
        <v>1667</v>
      </c>
      <c r="F38" s="1767">
        <v>0.01</v>
      </c>
      <c r="G38" s="1767">
        <v>1</v>
      </c>
      <c r="H38" s="1846">
        <v>3.6</v>
      </c>
      <c r="I38" s="1794">
        <v>2.098316612903226</v>
      </c>
      <c r="J38" s="1794">
        <f>VLOOKUP($B38,F13B_21_22_APR!$B$14:$EP$237,133,0)</f>
        <v>1.5666525</v>
      </c>
      <c r="K38" s="1794">
        <f>VLOOKUP($B38,F13B_21_22_APR!$B$14:$EO$223,136,0)</f>
        <v>0</v>
      </c>
      <c r="L38" s="1794">
        <f>VLOOKUP($B38,F13B_21_22_APR!$B$14:$EO$223,138,0)</f>
        <v>0.28497122974610006</v>
      </c>
      <c r="M38" s="1794">
        <f>VLOOKUP($B38,F13B_21_22_APR!$B$14:$EO$223,140,0)</f>
        <v>0</v>
      </c>
      <c r="N38" s="1763">
        <f t="shared" si="5"/>
        <v>0.28497122974610006</v>
      </c>
      <c r="O38" s="1763">
        <f t="shared" si="0"/>
        <v>1.8189817444908816</v>
      </c>
      <c r="Q38" s="1847">
        <f t="shared" si="1"/>
        <v>2.1449299990399391</v>
      </c>
      <c r="R38" s="1848">
        <v>0.38143104838709707</v>
      </c>
      <c r="S38" s="1848">
        <v>0</v>
      </c>
      <c r="T38" s="1848">
        <v>6.9082463642244185E-2</v>
      </c>
      <c r="U38" s="1848">
        <v>0</v>
      </c>
      <c r="V38" s="1848">
        <v>6.9082463642244185E-2</v>
      </c>
    </row>
    <row r="39" spans="1:22">
      <c r="A39" s="1842">
        <v>7</v>
      </c>
      <c r="B39" s="1845" t="s">
        <v>1673</v>
      </c>
      <c r="C39" s="1846">
        <v>3</v>
      </c>
      <c r="D39" s="1767">
        <v>9.0759339720525523E-2</v>
      </c>
      <c r="E39" s="1765" t="s">
        <v>1667</v>
      </c>
      <c r="F39" s="1767">
        <v>0.01</v>
      </c>
      <c r="G39" s="1767">
        <v>1</v>
      </c>
      <c r="H39" s="1846">
        <v>3</v>
      </c>
      <c r="I39" s="1794">
        <v>2.361906871612903</v>
      </c>
      <c r="J39" s="1794">
        <f>VLOOKUP($B39,F13B_21_22_APR!$B$14:$EP$237,133,0)</f>
        <v>3.2320471</v>
      </c>
      <c r="K39" s="1794">
        <f>VLOOKUP($B39,F13B_21_22_APR!$B$14:$EO$223,136,0)</f>
        <v>0</v>
      </c>
      <c r="L39" s="1794">
        <f>VLOOKUP($B39,F13B_21_22_APR!$B$14:$EO$223,138,0)</f>
        <v>0.6879367121007226</v>
      </c>
      <c r="M39" s="1794">
        <f>VLOOKUP($B39,F13B_21_22_APR!$B$14:$EO$223,140,0)</f>
        <v>0</v>
      </c>
      <c r="N39" s="1763">
        <f t="shared" si="5"/>
        <v>0.6879367121007226</v>
      </c>
      <c r="O39" s="1763">
        <f t="shared" si="0"/>
        <v>2.1284860362979323</v>
      </c>
      <c r="Q39" s="1847">
        <f t="shared" si="1"/>
        <v>2.3613038933768569</v>
      </c>
      <c r="R39" s="1848">
        <v>0.49491247419354867</v>
      </c>
      <c r="S39" s="1848">
        <v>0</v>
      </c>
      <c r="T39" s="1848">
        <v>4.3871441293191649E-2</v>
      </c>
      <c r="U39" s="1848">
        <v>0</v>
      </c>
      <c r="V39" s="1848">
        <v>4.3871441293191649E-2</v>
      </c>
    </row>
    <row r="40" spans="1:22">
      <c r="A40" s="1842">
        <v>8</v>
      </c>
      <c r="B40" s="1845" t="s">
        <v>1674</v>
      </c>
      <c r="C40" s="1846">
        <v>3</v>
      </c>
      <c r="D40" s="1767">
        <v>9.2201368901077677E-2</v>
      </c>
      <c r="E40" s="1765" t="s">
        <v>1667</v>
      </c>
      <c r="F40" s="1767">
        <v>0.01</v>
      </c>
      <c r="G40" s="1767">
        <v>1</v>
      </c>
      <c r="H40" s="1846">
        <v>3</v>
      </c>
      <c r="I40" s="1794">
        <v>2.4014571774193545</v>
      </c>
      <c r="J40" s="1794">
        <f>VLOOKUP($B40,F13B_21_22_APR!$B$14:$EP$237,133,0)</f>
        <v>4.4366250000000003</v>
      </c>
      <c r="K40" s="1794">
        <f>VLOOKUP($B40,F13B_21_22_APR!$B$14:$EO$223,136,0)</f>
        <v>0</v>
      </c>
      <c r="L40" s="1794">
        <f>VLOOKUP($B40,F13B_21_22_APR!$B$14:$EO$223,138,0)</f>
        <v>1.2562203015672453</v>
      </c>
      <c r="M40" s="1794">
        <f>VLOOKUP($B40,F13B_21_22_APR!$B$14:$EO$223,140,0)</f>
        <v>0</v>
      </c>
      <c r="N40" s="1763">
        <f t="shared" si="5"/>
        <v>1.2562203015672453</v>
      </c>
      <c r="O40" s="1763">
        <f t="shared" si="0"/>
        <v>2.8314773089166771</v>
      </c>
      <c r="P40" s="1356">
        <v>8</v>
      </c>
      <c r="Q40" s="1847">
        <f t="shared" si="1"/>
        <v>2.3988214549731177</v>
      </c>
      <c r="R40" s="1848">
        <v>-2.1104249999999998</v>
      </c>
      <c r="S40" s="1848">
        <v>0</v>
      </c>
      <c r="T40" s="1848">
        <v>-0.6476545802611714</v>
      </c>
      <c r="U40" s="1848">
        <v>0.23129669999999999</v>
      </c>
      <c r="V40" s="1848">
        <v>-0.41635788026117138</v>
      </c>
    </row>
    <row r="41" spans="1:22">
      <c r="A41" s="1842"/>
      <c r="B41" s="1756" t="s">
        <v>211</v>
      </c>
      <c r="C41" s="1763">
        <f>SUM(C33:C40)</f>
        <v>524.30000000000007</v>
      </c>
      <c r="D41" s="1765"/>
      <c r="E41" s="1762"/>
      <c r="F41" s="1762"/>
      <c r="G41" s="1762"/>
      <c r="H41" s="1763">
        <f t="shared" ref="H41:M41" si="6">SUM(H33:H40)</f>
        <v>454.90000000000003</v>
      </c>
      <c r="I41" s="1763">
        <f t="shared" si="6"/>
        <v>1156.0649662706885</v>
      </c>
      <c r="J41" s="1763">
        <f>SUM(J33:J40)</f>
        <v>1179.3068853780001</v>
      </c>
      <c r="K41" s="1763">
        <f t="shared" si="6"/>
        <v>45.365313697112505</v>
      </c>
      <c r="L41" s="1763">
        <f t="shared" si="6"/>
        <v>84.788719064652057</v>
      </c>
      <c r="M41" s="1763">
        <f t="shared" si="6"/>
        <v>0</v>
      </c>
      <c r="N41" s="1763">
        <f t="shared" si="5"/>
        <v>130.15403276176457</v>
      </c>
      <c r="O41" s="1763">
        <f t="shared" si="0"/>
        <v>1.1036485445435744</v>
      </c>
      <c r="Q41" s="1847">
        <f t="shared" si="1"/>
        <v>0</v>
      </c>
      <c r="R41" s="1848">
        <v>269.60664226812878</v>
      </c>
      <c r="S41" s="1848">
        <v>-27.92371173333332</v>
      </c>
      <c r="T41" s="1848">
        <v>18.889316814221459</v>
      </c>
      <c r="U41" s="1848">
        <v>23.594580000000001</v>
      </c>
      <c r="V41" s="1848">
        <v>14.560185080888175</v>
      </c>
    </row>
    <row r="42" spans="1:22">
      <c r="A42" s="1842"/>
      <c r="B42" s="696"/>
      <c r="C42" s="1768"/>
      <c r="D42" s="1765"/>
      <c r="E42" s="1762"/>
      <c r="F42" s="1762"/>
      <c r="G42" s="1762"/>
      <c r="H42" s="1763"/>
      <c r="I42" s="1794"/>
      <c r="J42" s="1794"/>
      <c r="K42" s="1794"/>
      <c r="L42" s="1794"/>
      <c r="M42" s="1794"/>
      <c r="N42" s="1763"/>
      <c r="O42" s="1763"/>
      <c r="Q42" s="1847">
        <f t="shared" si="1"/>
        <v>0</v>
      </c>
    </row>
    <row r="43" spans="1:22">
      <c r="A43" s="1842"/>
      <c r="B43" s="1756"/>
      <c r="C43" s="1768"/>
      <c r="D43" s="1765"/>
      <c r="E43" s="1762"/>
      <c r="F43" s="1762"/>
      <c r="G43" s="1762"/>
      <c r="H43" s="1763"/>
      <c r="I43" s="1794"/>
      <c r="J43" s="1794"/>
      <c r="K43" s="1794"/>
      <c r="L43" s="1794"/>
      <c r="M43" s="1794"/>
      <c r="N43" s="1794"/>
      <c r="O43" s="1763"/>
      <c r="Q43" s="1847">
        <f t="shared" si="1"/>
        <v>0</v>
      </c>
    </row>
    <row r="44" spans="1:22" s="1358" customFormat="1">
      <c r="A44" s="1797" t="s">
        <v>24</v>
      </c>
      <c r="B44" s="1852" t="s">
        <v>1675</v>
      </c>
      <c r="C44" s="1853"/>
      <c r="D44" s="1854"/>
      <c r="E44" s="1855"/>
      <c r="F44" s="1856"/>
      <c r="G44" s="1855"/>
      <c r="H44" s="1857"/>
      <c r="I44" s="1858"/>
      <c r="J44" s="1858"/>
      <c r="K44" s="1858"/>
      <c r="L44" s="1858"/>
      <c r="M44" s="1858"/>
      <c r="N44" s="1858"/>
      <c r="O44" s="1780"/>
      <c r="Q44" s="1847">
        <f t="shared" si="1"/>
        <v>0</v>
      </c>
    </row>
    <row r="45" spans="1:22">
      <c r="A45" s="1859" t="s">
        <v>19</v>
      </c>
      <c r="B45" s="1860" t="s">
        <v>1676</v>
      </c>
      <c r="C45" s="1853"/>
      <c r="D45" s="1854"/>
      <c r="E45" s="1856"/>
      <c r="F45" s="1856"/>
      <c r="G45" s="1856"/>
      <c r="H45" s="1780"/>
      <c r="I45" s="1861"/>
      <c r="J45" s="1861"/>
      <c r="K45" s="1861"/>
      <c r="L45" s="1861"/>
      <c r="M45" s="1861"/>
      <c r="N45" s="1861"/>
      <c r="O45" s="1780"/>
      <c r="Q45" s="1847">
        <f t="shared" si="1"/>
        <v>0</v>
      </c>
    </row>
    <row r="46" spans="1:22">
      <c r="A46" s="1797">
        <v>1</v>
      </c>
      <c r="B46" s="1862" t="s">
        <v>1677</v>
      </c>
      <c r="C46" s="1863">
        <v>419</v>
      </c>
      <c r="D46" s="1776">
        <v>0.59348526116071454</v>
      </c>
      <c r="E46" s="1854" t="s">
        <v>1649</v>
      </c>
      <c r="F46" s="1776">
        <v>2.75E-2</v>
      </c>
      <c r="G46" s="1776">
        <v>0.21766109785202864</v>
      </c>
      <c r="H46" s="1863">
        <v>91.2</v>
      </c>
      <c r="I46" s="1861">
        <v>462.36748865000004</v>
      </c>
      <c r="J46" s="1861">
        <f>VLOOKUP($B46,F13B_21_22_APR!$B$14:$EP$237,133,0)</f>
        <v>23.437690250000003</v>
      </c>
      <c r="K46" s="1861">
        <f>VLOOKUP($B46,F13B_21_22_APR!$B$14:$EO$223,136,0)</f>
        <v>51.576656111249996</v>
      </c>
      <c r="L46" s="1861">
        <f>VLOOKUP($B46,F13B_21_22_APR!$B$14:$EO$223,138,0)</f>
        <v>14.064497003714209</v>
      </c>
      <c r="M46" s="1861">
        <f>VLOOKUP($B46,F13B_21_22_APR!$B$14:$EO$223,140,0)</f>
        <v>-0.62966429999999995</v>
      </c>
      <c r="N46" s="1780">
        <f t="shared" ref="N46:N83" si="7">SUM(K46:M46)</f>
        <v>65.011488814964196</v>
      </c>
      <c r="O46" s="1780">
        <f t="shared" si="0"/>
        <v>27.738010069044318</v>
      </c>
      <c r="P46" s="1356">
        <v>8</v>
      </c>
      <c r="Q46" s="1847">
        <f t="shared" si="1"/>
        <v>461.10357829790706</v>
      </c>
      <c r="R46" s="1848">
        <v>145.2938666129032</v>
      </c>
      <c r="S46" s="1848">
        <v>-11.999115199999991</v>
      </c>
      <c r="T46" s="1848">
        <v>56.589595343001058</v>
      </c>
      <c r="U46" s="1848">
        <v>0.37841900000000006</v>
      </c>
      <c r="V46" s="1848">
        <v>44.968899143001082</v>
      </c>
    </row>
    <row r="47" spans="1:22">
      <c r="A47" s="1797">
        <v>2</v>
      </c>
      <c r="B47" s="1862" t="s">
        <v>1678</v>
      </c>
      <c r="C47" s="1863">
        <v>663</v>
      </c>
      <c r="D47" s="1776">
        <v>0.58443403890813428</v>
      </c>
      <c r="E47" s="1854" t="s">
        <v>1649</v>
      </c>
      <c r="F47" s="1776">
        <v>2.75E-2</v>
      </c>
      <c r="G47" s="1776">
        <v>0.32076923076923075</v>
      </c>
      <c r="H47" s="1863">
        <v>212.67</v>
      </c>
      <c r="I47" s="1861">
        <v>1061.494281053333</v>
      </c>
      <c r="J47" s="1861">
        <f>VLOOKUP($B47,F13B_21_22_APR!$B$14:$EP$237,133,0)</f>
        <v>62.950860999999996</v>
      </c>
      <c r="K47" s="1861">
        <f>VLOOKUP($B47,F13B_21_22_APR!$B$14:$EO$223,136,0)</f>
        <v>101.66664696625003</v>
      </c>
      <c r="L47" s="1861">
        <f>VLOOKUP($B47,F13B_21_22_APR!$B$14:$EO$223,138,0)</f>
        <v>46.60106018645763</v>
      </c>
      <c r="M47" s="1861">
        <f>VLOOKUP($B47,F13B_21_22_APR!$B$14:$EO$223,140,0)</f>
        <v>-0.78826079999999998</v>
      </c>
      <c r="N47" s="1780">
        <f t="shared" si="7"/>
        <v>147.47944635270767</v>
      </c>
      <c r="O47" s="1780">
        <f t="shared" si="0"/>
        <v>23.427709170285638</v>
      </c>
      <c r="Q47" s="1847">
        <f t="shared" si="1"/>
        <v>1058.8524592767826</v>
      </c>
      <c r="R47" s="1848">
        <v>204.39646561397856</v>
      </c>
      <c r="S47" s="1848">
        <v>-21.055419233333353</v>
      </c>
      <c r="T47" s="1848">
        <v>78.227694505467539</v>
      </c>
      <c r="U47" s="1848">
        <v>8.5722253999999989</v>
      </c>
      <c r="V47" s="1848">
        <v>65.744500672134194</v>
      </c>
    </row>
    <row r="48" spans="1:22">
      <c r="A48" s="1797">
        <v>3</v>
      </c>
      <c r="B48" s="1862" t="s">
        <v>1679</v>
      </c>
      <c r="C48" s="1863">
        <v>830</v>
      </c>
      <c r="D48" s="1776">
        <v>0.62373554196436098</v>
      </c>
      <c r="E48" s="1854" t="s">
        <v>1649</v>
      </c>
      <c r="F48" s="1776">
        <v>2.75E-2</v>
      </c>
      <c r="G48" s="1776">
        <v>0.29591566265060243</v>
      </c>
      <c r="H48" s="1863">
        <v>245.61</v>
      </c>
      <c r="I48" s="1861">
        <v>1307.5054933599997</v>
      </c>
      <c r="J48" s="1861">
        <f>VLOOKUP($B48,F13B_21_22_APR!$B$14:$EP$237,133,0)</f>
        <v>353.98535880000003</v>
      </c>
      <c r="K48" s="1861">
        <f>VLOOKUP($B48,F13B_21_22_APR!$B$14:$EO$223,136,0)</f>
        <v>106.04040314375</v>
      </c>
      <c r="L48" s="1861">
        <f>VLOOKUP($B48,F13B_21_22_APR!$B$14:$EO$223,138,0)</f>
        <v>278.92082739496362</v>
      </c>
      <c r="M48" s="1861">
        <f>VLOOKUP($B48,F13B_21_22_APR!$B$14:$EO$223,140,0)</f>
        <v>26.043212400000002</v>
      </c>
      <c r="N48" s="1780">
        <f t="shared" si="7"/>
        <v>411.00444293871362</v>
      </c>
      <c r="O48" s="1780">
        <f t="shared" si="0"/>
        <v>11.610775212059805</v>
      </c>
      <c r="Q48" s="1847">
        <f t="shared" si="1"/>
        <v>1305.0893725372887</v>
      </c>
      <c r="R48" s="1848">
        <v>445.1505232006453</v>
      </c>
      <c r="S48" s="1848">
        <v>-23.062968200000029</v>
      </c>
      <c r="T48" s="1848">
        <v>108.95137314771137</v>
      </c>
      <c r="U48" s="1848">
        <v>8.868239299999999</v>
      </c>
      <c r="V48" s="1848">
        <v>94.756644247711392</v>
      </c>
    </row>
    <row r="49" spans="1:22">
      <c r="A49" s="1797">
        <v>4</v>
      </c>
      <c r="B49" s="1862" t="s">
        <v>1680</v>
      </c>
      <c r="C49" s="1863">
        <v>657.39</v>
      </c>
      <c r="D49" s="1776">
        <v>0.82500000000000018</v>
      </c>
      <c r="E49" s="1854" t="s">
        <v>1649</v>
      </c>
      <c r="F49" s="1776">
        <v>2.75E-2</v>
      </c>
      <c r="G49" s="1776">
        <v>3.0423340787051827E-5</v>
      </c>
      <c r="H49" s="1863">
        <v>0.02</v>
      </c>
      <c r="I49" s="1861">
        <v>0.14074020000000001</v>
      </c>
      <c r="J49" s="1861">
        <f>VLOOKUP($B49,F13B_21_22_APR!$B$14:$EP$237,133,0)</f>
        <v>4.1548800000000004E-2</v>
      </c>
      <c r="K49" s="1861">
        <f>VLOOKUP($B49,F13B_21_22_APR!$B$14:$EO$223,136,0)</f>
        <v>5.2752047500000003E-2</v>
      </c>
      <c r="L49" s="1861">
        <f>VLOOKUP($B49,F13B_21_22_APR!$B$14:$EO$223,138,0)</f>
        <v>1.0789762189824338E-2</v>
      </c>
      <c r="M49" s="1861">
        <f>VLOOKUP($B49,F13B_21_22_APR!$B$14:$EO$223,140,0)</f>
        <v>3.7439999999999999E-4</v>
      </c>
      <c r="N49" s="1780">
        <f t="shared" si="7"/>
        <v>6.3916209689824338E-2</v>
      </c>
      <c r="O49" s="1780">
        <f t="shared" si="0"/>
        <v>15.383406907016408</v>
      </c>
      <c r="Q49" s="1847">
        <f t="shared" si="1"/>
        <v>0.14056515000000003</v>
      </c>
      <c r="R49" s="1848">
        <v>1.8305965400000002</v>
      </c>
      <c r="S49" s="1848">
        <v>6.8284899999999982E-2</v>
      </c>
      <c r="T49" s="1848">
        <v>0.37450251948408242</v>
      </c>
      <c r="U49" s="1848">
        <v>2.2000000000000001E-6</v>
      </c>
      <c r="V49" s="1848">
        <v>0.44278961948408241</v>
      </c>
    </row>
    <row r="50" spans="1:22">
      <c r="A50" s="1797">
        <v>5</v>
      </c>
      <c r="B50" s="1862" t="s">
        <v>1681</v>
      </c>
      <c r="C50" s="1863">
        <v>656.2</v>
      </c>
      <c r="D50" s="1776">
        <v>0.83757081310101889</v>
      </c>
      <c r="E50" s="1854" t="s">
        <v>1649</v>
      </c>
      <c r="F50" s="1776">
        <v>2.75E-2</v>
      </c>
      <c r="G50" s="1776">
        <v>3.0478512648582749E-5</v>
      </c>
      <c r="H50" s="1863">
        <v>0.02</v>
      </c>
      <c r="I50" s="1861">
        <v>0.14285270000000003</v>
      </c>
      <c r="J50" s="1861">
        <f>VLOOKUP($B50,F13B_21_22_APR!$B$14:$EP$237,133,0)</f>
        <v>4.0038800000000006E-2</v>
      </c>
      <c r="K50" s="1861">
        <f>VLOOKUP($B50,F13B_21_22_APR!$B$14:$EO$223,136,0)</f>
        <v>4.4909332499999989E-2</v>
      </c>
      <c r="L50" s="1861">
        <f>VLOOKUP($B50,F13B_21_22_APR!$B$14:$EO$223,138,0)</f>
        <v>9.9758956302922076E-3</v>
      </c>
      <c r="M50" s="1861">
        <f>VLOOKUP($B50,F13B_21_22_APR!$B$14:$EO$223,140,0)</f>
        <v>-2.7100000000000001E-5</v>
      </c>
      <c r="N50" s="1780">
        <f t="shared" si="7"/>
        <v>5.4858128130292193E-2</v>
      </c>
      <c r="O50" s="1780">
        <f t="shared" si="0"/>
        <v>13.701241827999887</v>
      </c>
      <c r="Q50" s="1847">
        <f t="shared" si="1"/>
        <v>0.14270699027777778</v>
      </c>
      <c r="R50" s="1848">
        <v>1.9037848733333336</v>
      </c>
      <c r="S50" s="1848">
        <v>4.9099633333333295E-2</v>
      </c>
      <c r="T50" s="1848">
        <v>0.3850416600241312</v>
      </c>
      <c r="U50" s="1848">
        <v>-1.01E-5</v>
      </c>
      <c r="V50" s="1848">
        <v>0.43413119335746453</v>
      </c>
    </row>
    <row r="51" spans="1:22">
      <c r="A51" s="1797">
        <v>6</v>
      </c>
      <c r="B51" s="1862" t="s">
        <v>1682</v>
      </c>
      <c r="C51" s="1863">
        <v>440</v>
      </c>
      <c r="D51" s="1776">
        <v>0.60429331789400254</v>
      </c>
      <c r="E51" s="1854" t="s">
        <v>1649</v>
      </c>
      <c r="F51" s="1776">
        <v>0.115</v>
      </c>
      <c r="G51" s="1776">
        <v>1</v>
      </c>
      <c r="H51" s="1863">
        <v>440</v>
      </c>
      <c r="I51" s="1861">
        <v>2062.3888839516126</v>
      </c>
      <c r="J51" s="1861">
        <f>VLOOKUP($B51,F13B_21_22_APR!$B$14:$EP$237,133,0)</f>
        <v>932.98086960000023</v>
      </c>
      <c r="K51" s="1861">
        <f>VLOOKUP($B51,F13B_21_22_APR!$B$14:$EO$223,136,0)</f>
        <v>332.52756667000006</v>
      </c>
      <c r="L51" s="1861">
        <f>VLOOKUP($B51,F13B_21_22_APR!$B$14:$EO$223,138,0)</f>
        <v>328.0587526036287</v>
      </c>
      <c r="M51" s="1861">
        <f>VLOOKUP($B51,F13B_21_22_APR!$B$14:$EO$223,140,0)</f>
        <v>11.696509900000001</v>
      </c>
      <c r="N51" s="1780">
        <f t="shared" si="7"/>
        <v>672.28282917362878</v>
      </c>
      <c r="O51" s="1780">
        <f t="shared" si="0"/>
        <v>7.2057514905086819</v>
      </c>
      <c r="Q51" s="1847">
        <f t="shared" si="1"/>
        <v>2061.3315255742195</v>
      </c>
      <c r="R51" s="1848">
        <v>-64.230802575756798</v>
      </c>
      <c r="S51" s="1848">
        <v>-47.440725299999997</v>
      </c>
      <c r="T51" s="1848">
        <v>-25.626605081579669</v>
      </c>
      <c r="U51" s="1848">
        <v>25.9710973</v>
      </c>
      <c r="V51" s="1848">
        <v>-47.096233081579612</v>
      </c>
    </row>
    <row r="52" spans="1:22">
      <c r="A52" s="1797">
        <v>7</v>
      </c>
      <c r="B52" s="1862" t="s">
        <v>1683</v>
      </c>
      <c r="C52" s="1863">
        <v>420</v>
      </c>
      <c r="D52" s="1776">
        <v>0.57089542113359137</v>
      </c>
      <c r="E52" s="1854" t="s">
        <v>1649</v>
      </c>
      <c r="F52" s="1776">
        <v>0.09</v>
      </c>
      <c r="G52" s="1776">
        <v>0.59519047619047616</v>
      </c>
      <c r="H52" s="1863">
        <v>249.98</v>
      </c>
      <c r="I52" s="1861">
        <v>1138.4528306877421</v>
      </c>
      <c r="J52" s="1861">
        <f>VLOOKUP($B52,F13B_21_22_APR!$B$14:$EP$237,133,0)</f>
        <v>816.0421308</v>
      </c>
      <c r="K52" s="1861">
        <f>VLOOKUP($B52,F13B_21_22_APR!$B$14:$EO$223,136,0)</f>
        <v>160.4855665675</v>
      </c>
      <c r="L52" s="1861">
        <f>VLOOKUP($B52,F13B_21_22_APR!$B$14:$EO$223,138,0)</f>
        <v>264.46120368679885</v>
      </c>
      <c r="M52" s="1861">
        <f>VLOOKUP($B52,F13B_21_22_APR!$B$14:$EO$223,140,0)</f>
        <v>10.828232</v>
      </c>
      <c r="N52" s="1780">
        <f t="shared" si="7"/>
        <v>435.77500225429884</v>
      </c>
      <c r="O52" s="1780">
        <f t="shared" si="0"/>
        <v>5.3401042152945033</v>
      </c>
      <c r="Q52" s="1847">
        <f t="shared" si="1"/>
        <v>1137.646465778352</v>
      </c>
      <c r="R52" s="1848">
        <v>-323.4619016348388</v>
      </c>
      <c r="S52" s="1848">
        <v>-24.846074833333262</v>
      </c>
      <c r="T52" s="1848">
        <v>-78.342289301442207</v>
      </c>
      <c r="U52" s="1848">
        <v>13.712046000000001</v>
      </c>
      <c r="V52" s="1848">
        <v>-89.476318134775454</v>
      </c>
    </row>
    <row r="53" spans="1:22">
      <c r="A53" s="1797">
        <v>8</v>
      </c>
      <c r="B53" s="1862" t="s">
        <v>1684</v>
      </c>
      <c r="C53" s="1863">
        <v>420</v>
      </c>
      <c r="D53" s="1776">
        <v>0.84999999999999976</v>
      </c>
      <c r="E53" s="1854" t="s">
        <v>1649</v>
      </c>
      <c r="F53" s="1776">
        <v>9.8000000000000004E-2</v>
      </c>
      <c r="G53" s="1776">
        <v>0.3069047619047619</v>
      </c>
      <c r="H53" s="1863">
        <v>128.9</v>
      </c>
      <c r="I53" s="1861">
        <v>865.73003879999987</v>
      </c>
      <c r="J53" s="1861">
        <f>VLOOKUP($B53,F13B_21_22_APR!$B$14:$EP$237,133,0)</f>
        <v>522.21555080000007</v>
      </c>
      <c r="K53" s="1861">
        <f>VLOOKUP($B53,F13B_21_22_APR!$B$14:$EO$223,136,0)</f>
        <v>85.553052565000002</v>
      </c>
      <c r="L53" s="1861">
        <f>VLOOKUP($B53,F13B_21_22_APR!$B$14:$EO$223,138,0)</f>
        <v>171.88989481625984</v>
      </c>
      <c r="M53" s="1861">
        <f>VLOOKUP($B53,F13B_21_22_APR!$B$14:$EO$223,140,0)</f>
        <v>37.052028499999999</v>
      </c>
      <c r="N53" s="1780">
        <f t="shared" si="7"/>
        <v>294.49497588125985</v>
      </c>
      <c r="O53" s="1780">
        <f t="shared" si="0"/>
        <v>5.639337538495603</v>
      </c>
      <c r="Q53" s="1847">
        <f t="shared" si="1"/>
        <v>865.73003879999999</v>
      </c>
      <c r="R53" s="1848">
        <v>-136.50704912000003</v>
      </c>
      <c r="S53" s="1848">
        <v>-12.554484733333354</v>
      </c>
      <c r="T53" s="1848">
        <v>-33.727277970613699</v>
      </c>
      <c r="U53" s="1848">
        <v>10.4629747</v>
      </c>
      <c r="V53" s="1848">
        <v>-35.818788003947049</v>
      </c>
    </row>
    <row r="54" spans="1:22">
      <c r="A54" s="1797">
        <v>9</v>
      </c>
      <c r="B54" s="1862" t="s">
        <v>1685</v>
      </c>
      <c r="C54" s="1863">
        <v>210</v>
      </c>
      <c r="D54" s="1776">
        <v>0.84999999999999976</v>
      </c>
      <c r="E54" s="1854" t="s">
        <v>1649</v>
      </c>
      <c r="F54" s="1776">
        <v>0.09</v>
      </c>
      <c r="G54" s="1776">
        <v>0.3</v>
      </c>
      <c r="H54" s="1863">
        <v>63</v>
      </c>
      <c r="I54" s="1861">
        <v>426.87918000000002</v>
      </c>
      <c r="J54" s="1861">
        <f>VLOOKUP($B54,F13B_21_22_APR!$B$14:$EP$237,133,0)</f>
        <v>283.963796</v>
      </c>
      <c r="K54" s="1861">
        <f>VLOOKUP($B54,F13B_21_22_APR!$B$14:$EO$223,136,0)</f>
        <v>57.066159804999998</v>
      </c>
      <c r="L54" s="1861">
        <f>VLOOKUP($B54,F13B_21_22_APR!$B$14:$EO$223,138,0)</f>
        <v>93.550525828760385</v>
      </c>
      <c r="M54" s="1861">
        <f>VLOOKUP($B54,F13B_21_22_APR!$B$14:$EO$223,140,0)</f>
        <v>5.3256883999999998</v>
      </c>
      <c r="N54" s="1780">
        <f t="shared" si="7"/>
        <v>155.94237403376036</v>
      </c>
      <c r="O54" s="1780">
        <f t="shared" si="0"/>
        <v>5.4916287298033009</v>
      </c>
      <c r="Q54" s="1847">
        <f t="shared" si="1"/>
        <v>426.87917999999996</v>
      </c>
      <c r="R54" s="1848">
        <v>-3.8650460000000066</v>
      </c>
      <c r="S54" s="1848">
        <v>-9.4398713333333362</v>
      </c>
      <c r="T54" s="1848">
        <v>1.4853318017464687</v>
      </c>
      <c r="U54" s="1848">
        <v>7.5388715999999993</v>
      </c>
      <c r="V54" s="1848">
        <v>-0.41566793158688142</v>
      </c>
    </row>
    <row r="55" spans="1:22">
      <c r="A55" s="1797">
        <v>10</v>
      </c>
      <c r="B55" s="1862" t="s">
        <v>1686</v>
      </c>
      <c r="C55" s="1863">
        <v>500</v>
      </c>
      <c r="D55" s="1776">
        <v>0.79999999999999993</v>
      </c>
      <c r="E55" s="1854" t="s">
        <v>1649</v>
      </c>
      <c r="F55" s="1776">
        <v>6.25E-2</v>
      </c>
      <c r="G55" s="1776">
        <v>0.44588</v>
      </c>
      <c r="H55" s="1863">
        <v>222.94</v>
      </c>
      <c r="I55" s="1861">
        <v>1464.7157999999999</v>
      </c>
      <c r="J55" s="1861">
        <f>VLOOKUP($B55,F13B_21_22_APR!$B$14:$EP$237,133,0)</f>
        <v>1010.9828050000001</v>
      </c>
      <c r="K55" s="1861">
        <f>VLOOKUP($B55,F13B_21_22_APR!$B$14:$EO$223,136,0)</f>
        <v>230.25039607624996</v>
      </c>
      <c r="L55" s="1861">
        <f>VLOOKUP($B55,F13B_21_22_APR!$B$14:$EO$223,138,0)</f>
        <v>315.78284314706605</v>
      </c>
      <c r="M55" s="1861">
        <f>VLOOKUP($B55,F13B_21_22_APR!$B$14:$EO$223,140,0)</f>
        <v>11.0597592</v>
      </c>
      <c r="N55" s="1780">
        <f t="shared" si="7"/>
        <v>557.09299842331609</v>
      </c>
      <c r="O55" s="1780">
        <f t="shared" si="0"/>
        <v>5.5104102232808607</v>
      </c>
      <c r="Q55" s="1847">
        <f t="shared" si="1"/>
        <v>1464.7157999999997</v>
      </c>
      <c r="R55" s="1848">
        <v>-208.8191834401058</v>
      </c>
      <c r="S55" s="1848">
        <v>-3.3525003000000027</v>
      </c>
      <c r="T55" s="1848">
        <v>-51.13352763397296</v>
      </c>
      <c r="U55" s="1848">
        <v>19.312910499999997</v>
      </c>
      <c r="V55" s="1848">
        <v>-35.173117433972948</v>
      </c>
    </row>
    <row r="56" spans="1:22">
      <c r="A56" s="1797">
        <v>11</v>
      </c>
      <c r="B56" s="1862" t="s">
        <v>1687</v>
      </c>
      <c r="C56" s="1863">
        <v>1600</v>
      </c>
      <c r="D56" s="1776"/>
      <c r="E56" s="1854" t="s">
        <v>1649</v>
      </c>
      <c r="F56" s="1776">
        <v>6.7799999999999999E-2</v>
      </c>
      <c r="G56" s="1776">
        <v>0</v>
      </c>
      <c r="H56" s="1863">
        <v>0</v>
      </c>
      <c r="I56" s="1861">
        <v>0</v>
      </c>
      <c r="J56" s="1861">
        <f>VLOOKUP($B56,F13B_21_22_APR!$B$14:$EP$237,133,0)</f>
        <v>105.99092899999999</v>
      </c>
      <c r="K56" s="1861">
        <f>VLOOKUP($B56,F13B_21_22_APR!$B$14:$EO$223,136,0)</f>
        <v>12.357369899999998</v>
      </c>
      <c r="L56" s="1861">
        <f>VLOOKUP($B56,F13B_21_22_APR!$B$14:$EO$223,138,0)</f>
        <v>31.823539599999997</v>
      </c>
      <c r="M56" s="1861">
        <f>VLOOKUP($B56,F13B_21_22_APR!$B$14:$EO$223,140,0)</f>
        <v>4.1361524000000003</v>
      </c>
      <c r="N56" s="1780">
        <f t="shared" si="7"/>
        <v>48.317061899999999</v>
      </c>
      <c r="O56" s="1780">
        <f t="shared" si="0"/>
        <v>4.5586034914365179</v>
      </c>
      <c r="Q56" s="1847">
        <f t="shared" si="1"/>
        <v>0</v>
      </c>
      <c r="R56" s="1848">
        <v>147.17420399999997</v>
      </c>
      <c r="S56" s="1848">
        <v>13.882803700000004</v>
      </c>
      <c r="T56" s="1848">
        <v>41.089328600000002</v>
      </c>
      <c r="U56" s="1848">
        <v>1.4632462000000002</v>
      </c>
      <c r="V56" s="1848">
        <v>56.435378500000013</v>
      </c>
    </row>
    <row r="57" spans="1:22">
      <c r="A57" s="1797">
        <v>12</v>
      </c>
      <c r="B57" s="1862" t="s">
        <v>1688</v>
      </c>
      <c r="C57" s="1863">
        <v>840</v>
      </c>
      <c r="D57" s="1776">
        <v>0.62836365323197718</v>
      </c>
      <c r="E57" s="1854" t="s">
        <v>1649</v>
      </c>
      <c r="F57" s="1776">
        <v>0.09</v>
      </c>
      <c r="G57" s="1776">
        <v>9.166666666666666E-2</v>
      </c>
      <c r="H57" s="1863">
        <v>77</v>
      </c>
      <c r="I57" s="1861">
        <v>385.96377968634386</v>
      </c>
      <c r="J57" s="1861">
        <f>VLOOKUP($B57,F13B_21_22_APR!$B$14:$EP$237,133,0)</f>
        <v>305.95344259999996</v>
      </c>
      <c r="K57" s="1861">
        <f>VLOOKUP($B57,F13B_21_22_APR!$B$14:$EO$223,136,0)</f>
        <v>48.567461613749991</v>
      </c>
      <c r="L57" s="1861">
        <f>VLOOKUP($B57,F13B_21_22_APR!$B$14:$EO$223,138,0)</f>
        <v>76.971330413306703</v>
      </c>
      <c r="M57" s="1861">
        <f>VLOOKUP($B57,F13B_21_22_APR!$B$14:$EO$223,140,0)</f>
        <v>0.43900139999999999</v>
      </c>
      <c r="N57" s="1780">
        <f t="shared" si="7"/>
        <v>125.9777934270567</v>
      </c>
      <c r="O57" s="1780">
        <f t="shared" si="0"/>
        <v>4.1175478320000023</v>
      </c>
      <c r="Q57" s="1847">
        <f t="shared" si="1"/>
        <v>385.69790475401027</v>
      </c>
      <c r="R57" s="1848">
        <v>-50.030441142432608</v>
      </c>
      <c r="S57" s="1848">
        <v>8.3298289666666676</v>
      </c>
      <c r="T57" s="1848">
        <v>-7.5019950349260682</v>
      </c>
      <c r="U57" s="1848">
        <v>0.24441569999999999</v>
      </c>
      <c r="V57" s="1848">
        <v>1.0722496317405898</v>
      </c>
    </row>
    <row r="58" spans="1:22">
      <c r="A58" s="1797">
        <v>13</v>
      </c>
      <c r="B58" s="1862" t="s">
        <v>1689</v>
      </c>
      <c r="C58" s="1863">
        <v>1500</v>
      </c>
      <c r="D58" s="1776">
        <v>0.88824945348201256</v>
      </c>
      <c r="E58" s="1854" t="s">
        <v>1649</v>
      </c>
      <c r="F58" s="1776">
        <v>6.25E-2</v>
      </c>
      <c r="G58" s="1776">
        <v>0.1</v>
      </c>
      <c r="H58" s="1863">
        <v>150</v>
      </c>
      <c r="I58" s="1861">
        <v>1094.4105859806452</v>
      </c>
      <c r="J58" s="1861">
        <f>VLOOKUP($B58,F13B_21_22_APR!$B$14:$EP$237,133,0)</f>
        <v>1080.901398</v>
      </c>
      <c r="K58" s="1861">
        <f>VLOOKUP($B58,F13B_21_22_APR!$B$14:$EO$223,136,0)</f>
        <v>163.61612313000001</v>
      </c>
      <c r="L58" s="1861">
        <f>VLOOKUP($B58,F13B_21_22_APR!$B$14:$EO$223,138,0)</f>
        <v>261.21466677000672</v>
      </c>
      <c r="M58" s="1861">
        <f>VLOOKUP($B58,F13B_21_22_APR!$B$14:$EO$223,140,0)</f>
        <v>-1.6734238000000001</v>
      </c>
      <c r="N58" s="1780">
        <f t="shared" si="7"/>
        <v>423.1573661000067</v>
      </c>
      <c r="O58" s="1780">
        <f t="shared" si="0"/>
        <v>3.9148563123609419</v>
      </c>
      <c r="Q58" s="1847">
        <f t="shared" si="1"/>
        <v>1094.2122955081543</v>
      </c>
      <c r="R58" s="1848">
        <v>-344.0111609999999</v>
      </c>
      <c r="S58" s="1848">
        <v>-60.595054066666677</v>
      </c>
      <c r="T58" s="1848">
        <v>-64.203685629018196</v>
      </c>
      <c r="U58" s="1848">
        <v>2.5712348</v>
      </c>
      <c r="V58" s="1848">
        <v>-122.22750489568489</v>
      </c>
    </row>
    <row r="59" spans="1:22">
      <c r="A59" s="1797">
        <v>14</v>
      </c>
      <c r="B59" s="1862" t="s">
        <v>1690</v>
      </c>
      <c r="C59" s="1863">
        <v>840</v>
      </c>
      <c r="D59" s="1776">
        <v>0.57394223297426106</v>
      </c>
      <c r="E59" s="1854" t="s">
        <v>1649</v>
      </c>
      <c r="F59" s="1776">
        <v>8.5000000000000006E-2</v>
      </c>
      <c r="G59" s="1776">
        <v>0.1</v>
      </c>
      <c r="H59" s="1863">
        <v>84</v>
      </c>
      <c r="I59" s="1861">
        <v>387.39556276000013</v>
      </c>
      <c r="J59" s="1861">
        <f>VLOOKUP($B59,F13B_21_22_APR!$B$14:$EP$237,133,0)</f>
        <v>777.49301920000005</v>
      </c>
      <c r="K59" s="1861">
        <f>VLOOKUP($B59,F13B_21_22_APR!$B$14:$EO$223,136,0)</f>
        <v>50.532225707499997</v>
      </c>
      <c r="L59" s="1861">
        <f>VLOOKUP($B59,F13B_21_22_APR!$B$14:$EO$223,138,0)</f>
        <v>242.64500099961111</v>
      </c>
      <c r="M59" s="1861">
        <f>VLOOKUP($B59,F13B_21_22_APR!$B$14:$EO$223,140,0)</f>
        <v>1.9158565999999999</v>
      </c>
      <c r="N59" s="1780">
        <f t="shared" si="7"/>
        <v>295.0930833071111</v>
      </c>
      <c r="O59" s="1780">
        <f t="shared" si="0"/>
        <v>3.7954435090715872</v>
      </c>
      <c r="Q59" s="1847">
        <f t="shared" si="1"/>
        <v>386.43163223127897</v>
      </c>
      <c r="R59" s="1848">
        <v>-680.89620070000001</v>
      </c>
      <c r="S59" s="1848">
        <v>-7.4349069666666523</v>
      </c>
      <c r="T59" s="1848">
        <v>-120.11758938297181</v>
      </c>
      <c r="U59" s="1848">
        <v>1.1561210999999998</v>
      </c>
      <c r="V59" s="1848">
        <v>-126.39637524963848</v>
      </c>
    </row>
    <row r="60" spans="1:22">
      <c r="A60" s="1797">
        <v>15</v>
      </c>
      <c r="B60" s="1862" t="s">
        <v>1691</v>
      </c>
      <c r="C60" s="1863">
        <v>980</v>
      </c>
      <c r="D60" s="1776">
        <v>0.85</v>
      </c>
      <c r="E60" s="1854" t="s">
        <v>1649</v>
      </c>
      <c r="F60" s="1776">
        <v>5.7500000000000002E-2</v>
      </c>
      <c r="G60" s="1776">
        <v>0.1</v>
      </c>
      <c r="H60" s="1863">
        <v>98</v>
      </c>
      <c r="I60" s="1861">
        <v>446.34333449225801</v>
      </c>
      <c r="J60" s="1861">
        <f>VLOOKUP($B60,F13B_21_22_APR!$B$14:$EP$237,133,0)</f>
        <v>295.9019078</v>
      </c>
      <c r="K60" s="1861">
        <f>VLOOKUP($B60,F13B_21_22_APR!$B$14:$EO$223,136,0)</f>
        <v>107.47397074250001</v>
      </c>
      <c r="L60" s="1861">
        <f>VLOOKUP($B60,F13B_21_22_APR!$B$14:$EO$223,138,0)</f>
        <v>94.277770813670159</v>
      </c>
      <c r="M60" s="1861">
        <f>VLOOKUP($B60,F13B_21_22_APR!$B$14:$EO$223,140,0)</f>
        <v>2.8396282000000004</v>
      </c>
      <c r="N60" s="1780">
        <f t="shared" si="7"/>
        <v>204.59136975617017</v>
      </c>
      <c r="O60" s="1780">
        <f t="shared" si="0"/>
        <v>6.9141619017358078</v>
      </c>
      <c r="Q60" s="1847">
        <f t="shared" si="1"/>
        <v>687.74979000000008</v>
      </c>
      <c r="R60" s="1848">
        <v>-65.131701617419253</v>
      </c>
      <c r="S60" s="1848">
        <v>-16.463284300000026</v>
      </c>
      <c r="T60" s="1848">
        <v>-7.8034702264788507</v>
      </c>
      <c r="U60" s="1848">
        <v>6.8289631000000002</v>
      </c>
      <c r="V60" s="1848">
        <v>-17.437791426478867</v>
      </c>
    </row>
    <row r="61" spans="1:22">
      <c r="A61" s="1797">
        <v>16</v>
      </c>
      <c r="B61" s="1862" t="s">
        <v>1692</v>
      </c>
      <c r="C61" s="1863">
        <v>1000</v>
      </c>
      <c r="D61" s="1776">
        <v>0.85600515006017286</v>
      </c>
      <c r="E61" s="1854" t="s">
        <v>1649</v>
      </c>
      <c r="F61" s="1776">
        <v>0.08</v>
      </c>
      <c r="G61" s="1776">
        <v>0.32569999999999999</v>
      </c>
      <c r="H61" s="1863">
        <v>325.7</v>
      </c>
      <c r="I61" s="1861">
        <v>2247.3336537638711</v>
      </c>
      <c r="J61" s="1861">
        <f>VLOOKUP($B61,F13B_21_22_APR!$B$14:$EP$237,133,0)</f>
        <v>2125.4564831999996</v>
      </c>
      <c r="K61" s="1861">
        <f>VLOOKUP($B61,F13B_21_22_APR!$B$14:$EO$223,136,0)</f>
        <v>176.12711667000002</v>
      </c>
      <c r="L61" s="1861">
        <f>VLOOKUP($B61,F13B_21_22_APR!$B$14:$EO$223,138,0)</f>
        <v>310.03390608702705</v>
      </c>
      <c r="M61" s="1861">
        <f>VLOOKUP($B61,F13B_21_22_APR!$B$14:$EO$223,140,0)</f>
        <v>1.8835774999999999</v>
      </c>
      <c r="N61" s="1780">
        <f t="shared" si="7"/>
        <v>488.04460025702707</v>
      </c>
      <c r="O61" s="1780">
        <f t="shared" si="0"/>
        <v>2.2961872149094638</v>
      </c>
      <c r="Q61" s="1847">
        <f t="shared" si="1"/>
        <v>2246.9120309373625</v>
      </c>
      <c r="R61" s="1848">
        <v>-342.16530578064476</v>
      </c>
      <c r="S61" s="1848">
        <v>-39.492656500000066</v>
      </c>
      <c r="T61" s="1848">
        <v>-33.936007870546746</v>
      </c>
      <c r="U61" s="1848">
        <v>0.18035650000000003</v>
      </c>
      <c r="V61" s="1848">
        <v>-73.248307870546796</v>
      </c>
    </row>
    <row r="62" spans="1:22">
      <c r="A62" s="1797">
        <v>17</v>
      </c>
      <c r="B62" s="1862" t="s">
        <v>1693</v>
      </c>
      <c r="C62" s="1863">
        <v>1000</v>
      </c>
      <c r="D62" s="1776">
        <v>0.85340018040083099</v>
      </c>
      <c r="E62" s="1854" t="s">
        <v>1649</v>
      </c>
      <c r="F62" s="1776">
        <v>6.25E-2</v>
      </c>
      <c r="G62" s="1776">
        <v>0.29599999999999999</v>
      </c>
      <c r="H62" s="1863">
        <v>296</v>
      </c>
      <c r="I62" s="1861">
        <v>2075.442810648387</v>
      </c>
      <c r="J62" s="1861">
        <f>VLOOKUP($B62,F13B_21_22_APR!$B$14:$EP$237,133,0)</f>
        <v>1707.5502910000002</v>
      </c>
      <c r="K62" s="1861">
        <f>VLOOKUP($B62,F13B_21_22_APR!$B$14:$EO$223,136,0)</f>
        <v>129.48171435124999</v>
      </c>
      <c r="L62" s="1861">
        <f>VLOOKUP($B62,F13B_21_22_APR!$B$14:$EO$223,138,0)</f>
        <v>248.68748550993467</v>
      </c>
      <c r="M62" s="1861">
        <f>VLOOKUP($B62,F13B_21_22_APR!$B$14:$EO$223,140,0)</f>
        <v>1.4286083999999999</v>
      </c>
      <c r="N62" s="1780">
        <f t="shared" si="7"/>
        <v>379.59780826118464</v>
      </c>
      <c r="O62" s="1780">
        <f t="shared" si="0"/>
        <v>2.2230549241327417</v>
      </c>
      <c r="Q62" s="1847">
        <f t="shared" si="1"/>
        <v>2074.53049853638</v>
      </c>
      <c r="R62" s="1848">
        <v>346.83925863871013</v>
      </c>
      <c r="S62" s="1848">
        <v>-10.232113066666642</v>
      </c>
      <c r="T62" s="1848">
        <v>50.674652601869525</v>
      </c>
      <c r="U62" s="1848">
        <v>7.7047453999999993</v>
      </c>
      <c r="V62" s="1848">
        <v>48.147284935202833</v>
      </c>
    </row>
    <row r="63" spans="1:22">
      <c r="A63" s="1797">
        <v>18</v>
      </c>
      <c r="B63" s="1862" t="s">
        <v>1694</v>
      </c>
      <c r="C63" s="1863">
        <v>1000</v>
      </c>
      <c r="D63" s="1776">
        <v>0.90423912876969903</v>
      </c>
      <c r="E63" s="1854" t="s">
        <v>1649</v>
      </c>
      <c r="F63" s="1776">
        <v>6.25E-2</v>
      </c>
      <c r="G63" s="1776">
        <v>0.32</v>
      </c>
      <c r="H63" s="1863">
        <v>320</v>
      </c>
      <c r="I63" s="1861">
        <v>2375.5634976193551</v>
      </c>
      <c r="J63" s="1861">
        <f>VLOOKUP($B63,F13B_21_22_APR!$B$14:$EP$237,133,0)</f>
        <v>2302.2204376</v>
      </c>
      <c r="K63" s="1861">
        <f>VLOOKUP($B63,F13B_21_22_APR!$B$14:$EO$223,136,0)</f>
        <v>312.48037784874998</v>
      </c>
      <c r="L63" s="1861">
        <f>VLOOKUP($B63,F13B_21_22_APR!$B$14:$EO$223,138,0)</f>
        <v>332.06253275661487</v>
      </c>
      <c r="M63" s="1861">
        <f>VLOOKUP($B63,F13B_21_22_APR!$B$14:$EO$223,140,0)</f>
        <v>6.0185811999999999</v>
      </c>
      <c r="N63" s="1780">
        <f t="shared" si="7"/>
        <v>650.56149180536477</v>
      </c>
      <c r="O63" s="1780">
        <f t="shared" si="0"/>
        <v>2.8258001761271689</v>
      </c>
      <c r="Q63" s="1847">
        <f t="shared" si="1"/>
        <v>2376.340430406769</v>
      </c>
      <c r="R63" s="1848">
        <v>160.24731196645098</v>
      </c>
      <c r="S63" s="1848">
        <v>-46.727622799999892</v>
      </c>
      <c r="T63" s="1848">
        <v>29.911592907026375</v>
      </c>
      <c r="U63" s="1848">
        <v>12.121716599999999</v>
      </c>
      <c r="V63" s="1848">
        <v>-4.6943132929735611</v>
      </c>
    </row>
    <row r="64" spans="1:22">
      <c r="A64" s="1797">
        <v>19</v>
      </c>
      <c r="B64" s="1862" t="s">
        <v>1695</v>
      </c>
      <c r="C64" s="1863">
        <v>2000</v>
      </c>
      <c r="D64" s="1776">
        <v>0.83838520933696126</v>
      </c>
      <c r="E64" s="1854" t="s">
        <v>1649</v>
      </c>
      <c r="F64" s="1776">
        <v>7.1300000000000002E-2</v>
      </c>
      <c r="G64" s="1776">
        <v>0.37680000000000002</v>
      </c>
      <c r="H64" s="1863">
        <v>753.6</v>
      </c>
      <c r="I64" s="1861">
        <v>5140.0067124290317</v>
      </c>
      <c r="J64" s="1861">
        <f>VLOOKUP($B64,F13B_21_22_APR!$B$14:$EP$237,133,0)</f>
        <v>4425.6181987999998</v>
      </c>
      <c r="K64" s="1861">
        <f>VLOOKUP($B64,F13B_21_22_APR!$B$14:$EO$223,136,0)</f>
        <v>310.03707714125005</v>
      </c>
      <c r="L64" s="1861">
        <f>VLOOKUP($B64,F13B_21_22_APR!$B$14:$EO$223,138,0)</f>
        <v>676.51111852873646</v>
      </c>
      <c r="M64" s="1861">
        <f>VLOOKUP($B64,F13B_21_22_APR!$B$14:$EO$223,140,0)</f>
        <v>-0.36830029999999997</v>
      </c>
      <c r="N64" s="1780">
        <f t="shared" si="7"/>
        <v>986.17989536998653</v>
      </c>
      <c r="O64" s="1780">
        <f t="shared" si="0"/>
        <v>2.228343817904102</v>
      </c>
      <c r="Q64" s="1847">
        <f t="shared" si="1"/>
        <v>5140.0110122304059</v>
      </c>
      <c r="R64" s="1848">
        <v>-353.74913070774164</v>
      </c>
      <c r="S64" s="1848">
        <v>-34.272648466666681</v>
      </c>
      <c r="T64" s="1848">
        <v>-35.315727724469753</v>
      </c>
      <c r="U64" s="1848">
        <v>0</v>
      </c>
      <c r="V64" s="1848">
        <v>-69.588376191136376</v>
      </c>
    </row>
    <row r="65" spans="1:22">
      <c r="A65" s="1797">
        <v>20</v>
      </c>
      <c r="B65" s="1862" t="s">
        <v>1696</v>
      </c>
      <c r="C65" s="1863">
        <v>2100</v>
      </c>
      <c r="D65" s="1776">
        <v>0.64620513799674362</v>
      </c>
      <c r="E65" s="1854" t="s">
        <v>1649</v>
      </c>
      <c r="F65" s="1776">
        <v>7.0400000000000004E-2</v>
      </c>
      <c r="G65" s="1776">
        <v>1.8047619047619047E-3</v>
      </c>
      <c r="H65" s="1863">
        <v>3.79</v>
      </c>
      <c r="I65" s="1861">
        <v>19.946773255376346</v>
      </c>
      <c r="J65" s="1861">
        <f>VLOOKUP($B65,F13B_21_22_APR!$B$14:$EP$237,133,0)</f>
        <v>16.775720333333332</v>
      </c>
      <c r="K65" s="1861">
        <f>VLOOKUP($B65,F13B_21_22_APR!$B$14:$EO$223,136,0)</f>
        <v>1.0696946950000001</v>
      </c>
      <c r="L65" s="1861">
        <f>VLOOKUP($B65,F13B_21_22_APR!$B$14:$EO$223,138,0)</f>
        <v>2.3703967313280083</v>
      </c>
      <c r="M65" s="1861">
        <f>VLOOKUP($B65,F13B_21_22_APR!$B$14:$EO$223,140,0)</f>
        <v>4.4470399999999993E-2</v>
      </c>
      <c r="N65" s="1780">
        <f t="shared" si="7"/>
        <v>3.484561826328008</v>
      </c>
      <c r="O65" s="1780">
        <f t="shared" si="0"/>
        <v>2.0771458733752186</v>
      </c>
      <c r="Q65" s="1847">
        <f t="shared" si="1"/>
        <v>19.943888521473372</v>
      </c>
      <c r="R65" s="1848">
        <v>-1.2012253548387051</v>
      </c>
      <c r="S65" s="1848">
        <v>0.17884943333333325</v>
      </c>
      <c r="T65" s="1848">
        <v>-7.1291814313715118E-2</v>
      </c>
      <c r="U65" s="1848">
        <v>-1.4963000000000025E-3</v>
      </c>
      <c r="V65" s="1848">
        <v>0.10606131901961824</v>
      </c>
    </row>
    <row r="66" spans="1:22">
      <c r="A66" s="1797">
        <v>21</v>
      </c>
      <c r="B66" s="1862" t="s">
        <v>1697</v>
      </c>
      <c r="C66" s="1863">
        <v>500</v>
      </c>
      <c r="D66" s="1776">
        <v>0.82247764274880508</v>
      </c>
      <c r="E66" s="1854" t="s">
        <v>1649</v>
      </c>
      <c r="F66" s="1776">
        <v>6.25E-2</v>
      </c>
      <c r="G66" s="1776">
        <v>2.82E-3</v>
      </c>
      <c r="H66" s="1863">
        <v>1.41</v>
      </c>
      <c r="I66" s="1861">
        <v>9.5170316612903232</v>
      </c>
      <c r="J66" s="1861">
        <f>VLOOKUP($B66,F13B_21_22_APR!$B$14:$EP$237,133,0)</f>
        <v>8.3446203333333333</v>
      </c>
      <c r="K66" s="1861">
        <f>VLOOKUP($B66,F13B_21_22_APR!$B$14:$EO$223,136,0)</f>
        <v>1.02888263</v>
      </c>
      <c r="L66" s="1861">
        <f>VLOOKUP($B66,F13B_21_22_APR!$B$14:$EO$223,138,0)</f>
        <v>1.1718317175991992</v>
      </c>
      <c r="M66" s="1861">
        <f>VLOOKUP($B66,F13B_21_22_APR!$B$14:$EO$223,140,0)</f>
        <v>2.6206500000000001E-2</v>
      </c>
      <c r="N66" s="1780">
        <f t="shared" si="7"/>
        <v>2.2269208475991991</v>
      </c>
      <c r="O66" s="1780">
        <f t="shared" si="0"/>
        <v>2.6686904360448422</v>
      </c>
      <c r="Q66" s="1847">
        <f t="shared" si="1"/>
        <v>9.5239826739151301</v>
      </c>
      <c r="R66" s="1848">
        <v>6.0180607526881147E-2</v>
      </c>
      <c r="S66" s="1848">
        <v>0.23772166666666683</v>
      </c>
      <c r="T66" s="1848">
        <v>1.6606610937702992E-2</v>
      </c>
      <c r="U66" s="1848">
        <v>2.0879399999999999E-2</v>
      </c>
      <c r="V66" s="1848">
        <v>0.27520767760436993</v>
      </c>
    </row>
    <row r="67" spans="1:22">
      <c r="A67" s="1797">
        <v>22</v>
      </c>
      <c r="B67" s="1862" t="s">
        <v>1698</v>
      </c>
      <c r="C67" s="1863">
        <v>1000</v>
      </c>
      <c r="D67" s="1776">
        <v>0.63771180826652507</v>
      </c>
      <c r="E67" s="1854" t="s">
        <v>1649</v>
      </c>
      <c r="F67" s="1776">
        <v>6.25E-2</v>
      </c>
      <c r="G67" s="1776">
        <v>2.82E-3</v>
      </c>
      <c r="H67" s="1863">
        <v>2.82</v>
      </c>
      <c r="I67" s="1861">
        <v>14.822113333333334</v>
      </c>
      <c r="J67" s="1861">
        <f>VLOOKUP($B67,F13B_21_22_APR!$B$14:$EP$237,133,0)</f>
        <v>20.400881666666663</v>
      </c>
      <c r="K67" s="1861">
        <f>VLOOKUP($B67,F13B_21_22_APR!$B$14:$EO$223,136,0)</f>
        <v>4.9213123100000002</v>
      </c>
      <c r="L67" s="1861">
        <f>VLOOKUP($B67,F13B_21_22_APR!$B$14:$EO$223,138,0)</f>
        <v>6.6430471075447022</v>
      </c>
      <c r="M67" s="1861">
        <f>VLOOKUP($B67,F13B_21_22_APR!$B$14:$EO$223,140,0)</f>
        <v>0.16001309999999999</v>
      </c>
      <c r="N67" s="1780">
        <f t="shared" si="7"/>
        <v>11.724372517544703</v>
      </c>
      <c r="O67" s="1780">
        <f t="shared" si="0"/>
        <v>5.7469930511392295</v>
      </c>
      <c r="Q67" s="1847">
        <f t="shared" si="1"/>
        <v>14.768927195596518</v>
      </c>
      <c r="R67" s="1848">
        <v>-12.911137666666672</v>
      </c>
      <c r="S67" s="1848">
        <v>1.7760168333333324</v>
      </c>
      <c r="T67" s="1848">
        <v>-3.6954014359767271</v>
      </c>
      <c r="U67" s="1848">
        <v>0.12184159999999999</v>
      </c>
      <c r="V67" s="1848">
        <v>-1.7975430026433941</v>
      </c>
    </row>
    <row r="68" spans="1:22">
      <c r="A68" s="1797">
        <v>23</v>
      </c>
      <c r="B68" s="1862" t="s">
        <v>1699</v>
      </c>
      <c r="C68" s="1863">
        <v>1320</v>
      </c>
      <c r="D68" s="1776">
        <v>0.72534088271971997</v>
      </c>
      <c r="E68" s="1854" t="s">
        <v>1649</v>
      </c>
      <c r="F68" s="1776">
        <v>6.25E-2</v>
      </c>
      <c r="G68" s="1776">
        <v>2.8181818181818182E-3</v>
      </c>
      <c r="H68" s="1863">
        <v>3.72</v>
      </c>
      <c r="I68" s="1861">
        <v>22.195932750000001</v>
      </c>
      <c r="J68" s="1861">
        <f>VLOOKUP($B68,F13B_21_22_APR!$B$14:$EP$237,133,0)</f>
        <v>49.092392333333329</v>
      </c>
      <c r="K68" s="1861">
        <f>VLOOKUP($B68,F13B_21_22_APR!$B$14:$EO$223,136,0)</f>
        <v>8.0521869874999989</v>
      </c>
      <c r="L68" s="1861">
        <f>VLOOKUP($B68,F13B_21_22_APR!$B$14:$EO$223,138,0)</f>
        <v>16.877307883417615</v>
      </c>
      <c r="M68" s="1861">
        <f>VLOOKUP($B68,F13B_21_22_APR!$B$14:$EO$223,140,0)</f>
        <v>1.7387999999999995E-3</v>
      </c>
      <c r="N68" s="1780">
        <f t="shared" si="7"/>
        <v>24.931233670917614</v>
      </c>
      <c r="O68" s="1780">
        <f t="shared" si="0"/>
        <v>5.0784311959451021</v>
      </c>
      <c r="Q68" s="1847">
        <f t="shared" si="1"/>
        <v>22.159526637528806</v>
      </c>
      <c r="R68" s="1848">
        <v>-18.994080000000004</v>
      </c>
      <c r="S68" s="1848">
        <v>-5.8741766666667417E-2</v>
      </c>
      <c r="T68" s="1848">
        <v>-5.5848416831729306</v>
      </c>
      <c r="U68" s="1848">
        <v>0.14049790000000001</v>
      </c>
      <c r="V68" s="1848">
        <v>-5.5030855498395974</v>
      </c>
    </row>
    <row r="69" spans="1:22">
      <c r="A69" s="1797">
        <v>24</v>
      </c>
      <c r="B69" s="1862" t="s">
        <v>1700</v>
      </c>
      <c r="C69" s="1863">
        <v>660</v>
      </c>
      <c r="D69" s="1776">
        <v>0.26751805021295955</v>
      </c>
      <c r="E69" s="1854" t="s">
        <v>1649</v>
      </c>
      <c r="F69" s="1776">
        <v>6.25E-2</v>
      </c>
      <c r="G69" s="1776">
        <v>5.6363636363636364E-3</v>
      </c>
      <c r="H69" s="1863">
        <v>3.72</v>
      </c>
      <c r="I69" s="1861">
        <v>8.2204620940860202</v>
      </c>
      <c r="J69" s="1861">
        <f>VLOOKUP($B69,F13B_21_22_APR!$B$14:$EP$237,133,0)</f>
        <v>14.959400999999998</v>
      </c>
      <c r="K69" s="1861">
        <f>VLOOKUP($B69,F13B_21_22_APR!$B$14:$EO$223,136,0)</f>
        <v>5.18062699625</v>
      </c>
      <c r="L69" s="1861">
        <f>VLOOKUP($B69,F13B_21_22_APR!$B$14:$EO$223,138,0)</f>
        <v>5.3068119140539771</v>
      </c>
      <c r="M69" s="1861">
        <f>VLOOKUP($B69,F13B_21_22_APR!$B$14:$EO$223,140,0)</f>
        <v>-2.0408699999999998E-2</v>
      </c>
      <c r="N69" s="1780">
        <f t="shared" si="7"/>
        <v>10.467030210303976</v>
      </c>
      <c r="O69" s="1780">
        <f t="shared" si="0"/>
        <v>6.9969581070150983</v>
      </c>
      <c r="Q69" s="1847">
        <f t="shared" si="1"/>
        <v>8.1728101930310206</v>
      </c>
      <c r="R69" s="1848">
        <v>-2.2410345215053766</v>
      </c>
      <c r="S69" s="1848">
        <v>0.42926576666666749</v>
      </c>
      <c r="T69" s="1848">
        <v>-0.72239098272190527</v>
      </c>
      <c r="U69" s="1848">
        <v>1.7871100000000001E-2</v>
      </c>
      <c r="V69" s="1848">
        <v>-0.27525411605523686</v>
      </c>
    </row>
    <row r="70" spans="1:22">
      <c r="A70" s="1797">
        <v>25</v>
      </c>
      <c r="B70" s="1862" t="s">
        <v>1701</v>
      </c>
      <c r="C70" s="1863">
        <v>1980</v>
      </c>
      <c r="D70" s="1776">
        <v>0.83793862177948009</v>
      </c>
      <c r="E70" s="1854" t="s">
        <v>1649</v>
      </c>
      <c r="F70" s="1776">
        <v>6.25E-2</v>
      </c>
      <c r="G70" s="1776">
        <v>2.8181818181818182E-3</v>
      </c>
      <c r="H70" s="1863">
        <v>5.58</v>
      </c>
      <c r="I70" s="1861">
        <v>38.394218056451614</v>
      </c>
      <c r="J70" s="1861">
        <f>VLOOKUP($B70,F13B_21_22_APR!$B$14:$EP$237,133,0)</f>
        <v>28.817831999999999</v>
      </c>
      <c r="K70" s="1861">
        <f>VLOOKUP($B70,F13B_21_22_APR!$B$14:$EO$223,136,0)</f>
        <v>3.8025570062500003</v>
      </c>
      <c r="L70" s="1861">
        <f>VLOOKUP($B70,F13B_21_22_APR!$B$14:$EO$223,138,0)</f>
        <v>4.3958806647043485</v>
      </c>
      <c r="M70" s="1861">
        <f>VLOOKUP($B70,F13B_21_22_APR!$B$14:$EO$223,140,0)</f>
        <v>1.826005E-2</v>
      </c>
      <c r="N70" s="1780">
        <f t="shared" si="7"/>
        <v>8.2166977209543486</v>
      </c>
      <c r="O70" s="1780">
        <f t="shared" si="0"/>
        <v>2.8512546401666676</v>
      </c>
      <c r="Q70" s="1847">
        <f t="shared" si="1"/>
        <v>38.399165797011008</v>
      </c>
      <c r="R70" s="1848">
        <v>-3.8404092795698972</v>
      </c>
      <c r="S70" s="1848">
        <v>1.0323584666666661</v>
      </c>
      <c r="T70" s="1848">
        <v>-0.65092952603429932</v>
      </c>
      <c r="U70" s="1848">
        <v>3.3984050000000002E-2</v>
      </c>
      <c r="V70" s="1848">
        <v>0.41541299063236536</v>
      </c>
    </row>
    <row r="71" spans="1:22">
      <c r="A71" s="1797">
        <v>26</v>
      </c>
      <c r="B71" s="1862" t="s">
        <v>1702</v>
      </c>
      <c r="C71" s="1863">
        <v>1000</v>
      </c>
      <c r="D71" s="1776">
        <v>0.65507034833351685</v>
      </c>
      <c r="E71" s="1854" t="s">
        <v>1649</v>
      </c>
      <c r="F71" s="1776">
        <v>6.25E-2</v>
      </c>
      <c r="G71" s="1776">
        <v>2.3700000000000001E-3</v>
      </c>
      <c r="H71" s="1863">
        <v>2.37</v>
      </c>
      <c r="I71" s="1861">
        <v>12.767714591397853</v>
      </c>
      <c r="J71" s="1861">
        <f>VLOOKUP($B71,F13B_21_22_APR!$B$14:$EP$237,133,0)</f>
        <v>10.342226333333334</v>
      </c>
      <c r="K71" s="1861">
        <f>VLOOKUP($B71,F13B_21_22_APR!$B$14:$EO$223,136,0)</f>
        <v>1.27493813</v>
      </c>
      <c r="L71" s="1861">
        <f>VLOOKUP($B71,F13B_21_22_APR!$B$14:$EO$223,138,0)</f>
        <v>1.5977548882804842</v>
      </c>
      <c r="M71" s="1861">
        <f>VLOOKUP($B71,F13B_21_22_APR!$B$14:$EO$223,140,0)</f>
        <v>2.07589E-2</v>
      </c>
      <c r="N71" s="1780">
        <f t="shared" si="7"/>
        <v>2.8934519182804843</v>
      </c>
      <c r="O71" s="1780">
        <f t="shared" si="0"/>
        <v>2.7977070168681131</v>
      </c>
      <c r="Q71" s="1847">
        <f t="shared" si="1"/>
        <v>12.750043608582947</v>
      </c>
      <c r="R71" s="1848">
        <v>-0.4462988709677429</v>
      </c>
      <c r="S71" s="1848">
        <v>-1.5836094333333335</v>
      </c>
      <c r="T71" s="1848">
        <v>-4.9568482711397133E-2</v>
      </c>
      <c r="U71" s="1848">
        <v>4.8824000000000038E-3</v>
      </c>
      <c r="V71" s="1848">
        <v>-1.6282955160447301</v>
      </c>
    </row>
    <row r="72" spans="1:22">
      <c r="A72" s="1797">
        <v>27</v>
      </c>
      <c r="B72" s="1862" t="s">
        <v>1703</v>
      </c>
      <c r="C72" s="1863">
        <v>1260</v>
      </c>
      <c r="D72" s="1776">
        <v>0.67556685549962614</v>
      </c>
      <c r="E72" s="1854" t="s">
        <v>1649</v>
      </c>
      <c r="F72" s="1776">
        <v>0.09</v>
      </c>
      <c r="G72" s="1776">
        <v>2.5952380952380953E-3</v>
      </c>
      <c r="H72" s="1863">
        <v>3.27</v>
      </c>
      <c r="I72" s="1861">
        <v>17.626664473333335</v>
      </c>
      <c r="J72" s="1861">
        <f>VLOOKUP($B72,F13B_21_22_APR!$B$14:$EP$237,133,0)</f>
        <v>15.360166333333334</v>
      </c>
      <c r="K72" s="1861">
        <f>VLOOKUP($B72,F13B_21_22_APR!$B$14:$EO$223,136,0)</f>
        <v>1.3980198124999998</v>
      </c>
      <c r="L72" s="1861">
        <f>VLOOKUP($B72,F13B_21_22_APR!$B$14:$EO$223,138,0)</f>
        <v>2.5718508888234721</v>
      </c>
      <c r="M72" s="1861">
        <f>VLOOKUP($B72,F13B_21_22_APR!$B$14:$EO$223,140,0)</f>
        <v>7.6447000000000008E-3</v>
      </c>
      <c r="N72" s="1780">
        <f t="shared" si="7"/>
        <v>3.9775154013234721</v>
      </c>
      <c r="O72" s="1780">
        <f t="shared" si="0"/>
        <v>2.5895002143901298</v>
      </c>
      <c r="Q72" s="1847">
        <f t="shared" si="1"/>
        <v>17.610090397133682</v>
      </c>
      <c r="R72" s="1848">
        <v>-1.5754569866666657</v>
      </c>
      <c r="S72" s="1848">
        <v>0.20803249999999984</v>
      </c>
      <c r="T72" s="1848">
        <v>-0.12953722290952951</v>
      </c>
      <c r="U72" s="1848">
        <v>-8.6831999999999986E-3</v>
      </c>
      <c r="V72" s="1848">
        <v>6.9812077090470659E-2</v>
      </c>
    </row>
    <row r="73" spans="1:22">
      <c r="A73" s="1797">
        <v>28</v>
      </c>
      <c r="B73" s="1862" t="s">
        <v>1704</v>
      </c>
      <c r="C73" s="1863">
        <v>1000</v>
      </c>
      <c r="D73" s="1776">
        <v>0.65230708910023494</v>
      </c>
      <c r="E73" s="1854" t="s">
        <v>1649</v>
      </c>
      <c r="F73" s="1776">
        <v>7.0499999999999993E-2</v>
      </c>
      <c r="G73" s="1776">
        <v>2.48E-3</v>
      </c>
      <c r="H73" s="1863">
        <v>2.48</v>
      </c>
      <c r="I73" s="1861">
        <v>13.165676233870965</v>
      </c>
      <c r="J73" s="1861">
        <f>VLOOKUP($B73,F13B_21_22_APR!$B$14:$EP$237,133,0)</f>
        <v>9.1287286666666674</v>
      </c>
      <c r="K73" s="1861">
        <f>VLOOKUP($B73,F13B_21_22_APR!$B$14:$EO$223,136,0)</f>
        <v>0.72456941874999992</v>
      </c>
      <c r="L73" s="1861">
        <f>VLOOKUP($B73,F13B_21_22_APR!$B$14:$EO$223,138,0)</f>
        <v>1.4739996743620134</v>
      </c>
      <c r="M73" s="1861">
        <f>VLOOKUP($B73,F13B_21_22_APR!$B$14:$EO$223,140,0)</f>
        <v>2.0351399999999999E-2</v>
      </c>
      <c r="N73" s="1780">
        <f t="shared" si="7"/>
        <v>2.2189204931120132</v>
      </c>
      <c r="O73" s="1780">
        <f t="shared" si="0"/>
        <v>2.4307004558196015</v>
      </c>
      <c r="Q73" s="1847">
        <f t="shared" si="1"/>
        <v>13.172168555310206</v>
      </c>
      <c r="R73" s="1848">
        <v>-0.70555967999999858</v>
      </c>
      <c r="S73" s="1848">
        <v>-0.19680343333333306</v>
      </c>
      <c r="T73" s="1848">
        <v>1.1866555036477155E-3</v>
      </c>
      <c r="U73" s="1848">
        <v>-7.1700000000000062E-4</v>
      </c>
      <c r="V73" s="1848">
        <v>-0.19633377782968564</v>
      </c>
    </row>
    <row r="74" spans="1:22">
      <c r="A74" s="1797">
        <v>29</v>
      </c>
      <c r="B74" s="1862" t="s">
        <v>1705</v>
      </c>
      <c r="C74" s="1863">
        <v>1000</v>
      </c>
      <c r="D74" s="1776">
        <v>0.71877651000727349</v>
      </c>
      <c r="E74" s="1854" t="s">
        <v>1649</v>
      </c>
      <c r="F74" s="1776">
        <v>6.25E-2</v>
      </c>
      <c r="G74" s="1776">
        <v>2.48E-3</v>
      </c>
      <c r="H74" s="1863">
        <v>2.48</v>
      </c>
      <c r="I74" s="1861">
        <v>14.658314795698923</v>
      </c>
      <c r="J74" s="1861">
        <f>VLOOKUP($B74,F13B_21_22_APR!$B$14:$EP$237,133,0)</f>
        <v>10.012395666666666</v>
      </c>
      <c r="K74" s="1861">
        <f>VLOOKUP($B74,F13B_21_22_APR!$B$14:$EO$223,136,0)</f>
        <v>1.1699649087499999</v>
      </c>
      <c r="L74" s="1861">
        <f>VLOOKUP($B74,F13B_21_22_APR!$B$14:$EO$223,138,0)</f>
        <v>1.6071670893458319</v>
      </c>
      <c r="M74" s="1861">
        <f>VLOOKUP($B74,F13B_21_22_APR!$B$14:$EO$223,140,0)</f>
        <v>3.1881999999999995E-3</v>
      </c>
      <c r="N74" s="1780">
        <f t="shared" si="7"/>
        <v>2.7803201980958314</v>
      </c>
      <c r="O74" s="1780">
        <f t="shared" si="0"/>
        <v>2.7768780725996396</v>
      </c>
      <c r="Q74" s="1847">
        <f t="shared" si="1"/>
        <v>14.639321179318138</v>
      </c>
      <c r="R74" s="1848">
        <v>-0.33392999999999695</v>
      </c>
      <c r="S74" s="1848">
        <v>0.58911193333333356</v>
      </c>
      <c r="T74" s="1848">
        <v>3.0486770665832719E-2</v>
      </c>
      <c r="U74" s="1848">
        <v>-6.7714299999999991E-2</v>
      </c>
      <c r="V74" s="1848">
        <v>0.55188440399916594</v>
      </c>
    </row>
    <row r="75" spans="1:22">
      <c r="A75" s="1797">
        <v>30</v>
      </c>
      <c r="B75" s="1862" t="s">
        <v>1706</v>
      </c>
      <c r="C75" s="1863">
        <v>1000</v>
      </c>
      <c r="D75" s="1776">
        <v>0.77042506936046751</v>
      </c>
      <c r="E75" s="1854" t="s">
        <v>1649</v>
      </c>
      <c r="F75" s="1776">
        <v>6.25E-2</v>
      </c>
      <c r="G75" s="1776">
        <v>2.82E-3</v>
      </c>
      <c r="H75" s="1863">
        <v>2.82</v>
      </c>
      <c r="I75" s="1861">
        <v>17.859387284946237</v>
      </c>
      <c r="J75" s="1861">
        <f>VLOOKUP($B75,F13B_21_22_APR!$B$14:$EP$237,133,0)</f>
        <v>14.107248333333335</v>
      </c>
      <c r="K75" s="1861">
        <f>VLOOKUP($B75,F13B_21_22_APR!$B$14:$EO$223,136,0)</f>
        <v>2.36913296625</v>
      </c>
      <c r="L75" s="1861">
        <f>VLOOKUP($B75,F13B_21_22_APR!$B$14:$EO$223,138,0)</f>
        <v>2.2602225504483218</v>
      </c>
      <c r="M75" s="1861">
        <f>VLOOKUP($B75,F13B_21_22_APR!$B$14:$EO$223,140,0)</f>
        <v>6.4708999999999999E-3</v>
      </c>
      <c r="N75" s="1780">
        <f t="shared" si="7"/>
        <v>4.6358264166983219</v>
      </c>
      <c r="O75" s="1780">
        <f t="shared" si="0"/>
        <v>3.286130864900529</v>
      </c>
      <c r="Q75" s="1847">
        <f t="shared" si="1"/>
        <v>17.842466787586407</v>
      </c>
      <c r="R75" s="1848">
        <v>-0.921757612903221</v>
      </c>
      <c r="S75" s="1848">
        <v>1.3815673333333334</v>
      </c>
      <c r="T75" s="1848">
        <v>-6.0504096236219329E-2</v>
      </c>
      <c r="U75" s="1848">
        <v>5.3554999999999992E-3</v>
      </c>
      <c r="V75" s="1848">
        <v>1.3264187370971134</v>
      </c>
    </row>
    <row r="76" spans="1:22">
      <c r="A76" s="1797">
        <v>31</v>
      </c>
      <c r="B76" s="1862" t="s">
        <v>1707</v>
      </c>
      <c r="C76" s="1863">
        <v>500</v>
      </c>
      <c r="D76" s="1776">
        <v>0.79909804513407068</v>
      </c>
      <c r="E76" s="1854" t="s">
        <v>1649</v>
      </c>
      <c r="F76" s="1776">
        <v>7.2499999999999995E-2</v>
      </c>
      <c r="G76" s="1776">
        <v>2.82E-3</v>
      </c>
      <c r="H76" s="1863">
        <v>1.41</v>
      </c>
      <c r="I76" s="1861">
        <v>9.1743385133333337</v>
      </c>
      <c r="J76" s="1861">
        <f>VLOOKUP($B76,F13B_21_22_APR!$B$14:$EP$237,133,0)</f>
        <v>7.8932241666666672</v>
      </c>
      <c r="K76" s="1861">
        <f>VLOOKUP($B76,F13B_21_22_APR!$B$14:$EO$223,136,0)</f>
        <v>1.3931060024999999</v>
      </c>
      <c r="L76" s="1861">
        <f>VLOOKUP($B76,F13B_21_22_APR!$B$14:$EO$223,138,0)</f>
        <v>1.2964621689684657</v>
      </c>
      <c r="M76" s="1861">
        <f>VLOOKUP($B76,F13B_21_22_APR!$B$14:$EO$223,140,0)</f>
        <v>4.1039000000000023E-3</v>
      </c>
      <c r="N76" s="1780">
        <f t="shared" si="7"/>
        <v>2.6936720714684657</v>
      </c>
      <c r="O76" s="1780">
        <f t="shared" si="0"/>
        <v>3.4126385043565937</v>
      </c>
      <c r="Q76" s="1847">
        <f t="shared" si="1"/>
        <v>9.1545543067428312</v>
      </c>
      <c r="R76" s="1848">
        <v>-0.20171317333333327</v>
      </c>
      <c r="S76" s="1848">
        <v>-0.47672366666666655</v>
      </c>
      <c r="T76" s="1848">
        <v>1.5609786657407865E-2</v>
      </c>
      <c r="U76" s="1848">
        <v>-3.6212499999999995E-2</v>
      </c>
      <c r="V76" s="1848">
        <v>-0.49732638000925888</v>
      </c>
    </row>
    <row r="77" spans="1:22" s="1180" customFormat="1">
      <c r="A77" s="1797">
        <v>32</v>
      </c>
      <c r="B77" s="1862" t="s">
        <v>1708</v>
      </c>
      <c r="C77" s="1853">
        <v>1320</v>
      </c>
      <c r="D77" s="1854">
        <v>0.85</v>
      </c>
      <c r="E77" s="1854" t="s">
        <v>1649</v>
      </c>
      <c r="F77" s="1776">
        <v>5.7500000000000002E-2</v>
      </c>
      <c r="G77" s="1854">
        <v>0.71474000000000004</v>
      </c>
      <c r="H77" s="1853">
        <v>943.45680000000004</v>
      </c>
      <c r="I77" s="1861">
        <v>4328.9423394240002</v>
      </c>
      <c r="J77" s="1861">
        <f>F13B_21_22_APR!ED78</f>
        <v>4328.9423394240002</v>
      </c>
      <c r="K77" s="1861">
        <f>F13B_21_22_APR!EG78</f>
        <v>711.42612343249982</v>
      </c>
      <c r="L77" s="1861">
        <f>F13B_21_22_APR!EI78</f>
        <v>1175.1138690093746</v>
      </c>
      <c r="M77" s="1861">
        <f>F13B_21_22_APR!EK78</f>
        <v>20.137275200000001</v>
      </c>
      <c r="N77" s="1780">
        <f t="shared" si="7"/>
        <v>1906.6772676418743</v>
      </c>
      <c r="O77" s="1780">
        <f t="shared" si="0"/>
        <v>4.4044875587221908</v>
      </c>
      <c r="Q77" s="1847">
        <f t="shared" si="1"/>
        <v>6621.0430211640014</v>
      </c>
      <c r="R77" s="1864">
        <v>-3211.8198251448011</v>
      </c>
      <c r="S77" s="1864">
        <v>-205.05595990000006</v>
      </c>
      <c r="T77" s="1864">
        <v>-863.99893554392418</v>
      </c>
      <c r="U77" s="1864">
        <v>12.2760198</v>
      </c>
      <c r="V77" s="1864">
        <v>-1056.778875643924</v>
      </c>
    </row>
    <row r="78" spans="1:22">
      <c r="A78" s="1797"/>
      <c r="I78" s="1861"/>
      <c r="J78" s="1861"/>
      <c r="O78" s="1780"/>
      <c r="Q78" s="1847">
        <f t="shared" si="1"/>
        <v>0</v>
      </c>
      <c r="R78" s="1848">
        <v>0</v>
      </c>
      <c r="S78" s="1848">
        <v>0</v>
      </c>
      <c r="T78" s="1848">
        <v>0</v>
      </c>
      <c r="U78" s="1848">
        <v>0</v>
      </c>
      <c r="V78" s="1848">
        <v>0</v>
      </c>
    </row>
    <row r="79" spans="1:22" s="1865" customFormat="1">
      <c r="A79" s="1797">
        <v>33</v>
      </c>
      <c r="B79" s="1862" t="s">
        <v>1710</v>
      </c>
      <c r="C79" s="1863">
        <v>1500</v>
      </c>
      <c r="D79" s="1776"/>
      <c r="E79" s="1854" t="s">
        <v>1649</v>
      </c>
      <c r="F79" s="1776">
        <v>5.7500000000000002E-2</v>
      </c>
      <c r="G79" s="1776">
        <v>0</v>
      </c>
      <c r="H79" s="1863">
        <v>0</v>
      </c>
      <c r="I79" s="1861">
        <v>0</v>
      </c>
      <c r="J79" s="1861">
        <f>VLOOKUP($B79,F13B_21_22_APR!$B$14:$EP$237,133,0)</f>
        <v>0</v>
      </c>
      <c r="K79" s="1861">
        <f>VLOOKUP($B79,F13B_21_22_APR!$B$14:$EO$223,136,0)</f>
        <v>0</v>
      </c>
      <c r="L79" s="1861">
        <f>VLOOKUP($B79,F13B_21_22_APR!$B$14:$EO$223,138,0)</f>
        <v>0</v>
      </c>
      <c r="M79" s="1861">
        <f>VLOOKUP($B79,F13B_21_22_APR!$B$14:$EO$223,140,0)</f>
        <v>0</v>
      </c>
      <c r="N79" s="1780">
        <f t="shared" si="7"/>
        <v>0</v>
      </c>
      <c r="O79" s="1780"/>
      <c r="P79" s="1356"/>
      <c r="Q79" s="1847">
        <f t="shared" ref="Q79:Q142" si="8">H79*24*365*D79*(1-F79)/10^3</f>
        <v>0</v>
      </c>
      <c r="R79" s="1848">
        <v>227.35940499999998</v>
      </c>
      <c r="S79" s="1848">
        <v>25.043545900000005</v>
      </c>
      <c r="T79" s="1848">
        <v>80.739512800000014</v>
      </c>
      <c r="U79" s="1848">
        <v>0.36023739999999993</v>
      </c>
      <c r="V79" s="1848">
        <v>106.14329610000003</v>
      </c>
    </row>
    <row r="80" spans="1:22" s="1865" customFormat="1">
      <c r="A80" s="1797">
        <v>34</v>
      </c>
      <c r="B80" s="1866" t="s">
        <v>1711</v>
      </c>
      <c r="C80" s="1863">
        <v>800</v>
      </c>
      <c r="D80" s="1776"/>
      <c r="E80" s="1854" t="s">
        <v>1649</v>
      </c>
      <c r="F80" s="1776">
        <v>5.7500000000000002E-2</v>
      </c>
      <c r="G80" s="1776">
        <v>2.4124999999999997E-3</v>
      </c>
      <c r="H80" s="1863">
        <v>1.93</v>
      </c>
      <c r="I80" s="1861">
        <v>13.544460150000003</v>
      </c>
      <c r="J80" s="1861">
        <f>VLOOKUP($B80,F13B_21_22_APR!$B$14:$EP$237,133,0)</f>
        <v>12.9370349</v>
      </c>
      <c r="K80" s="1861">
        <f>VLOOKUP($B80,F13B_21_22_APR!$B$14:$EO$223,136,0)</f>
        <v>4.8626544992499987</v>
      </c>
      <c r="L80" s="1861">
        <f>VLOOKUP($B80,F13B_21_22_APR!$B$14:$EO$223,138,0)</f>
        <v>3.785780433419927</v>
      </c>
      <c r="M80" s="1861">
        <f>VLOOKUP($B80,F13B_21_22_APR!$B$14:$EO$223,140,0)</f>
        <v>-5.4061399999999996E-2</v>
      </c>
      <c r="N80" s="1780">
        <f t="shared" si="7"/>
        <v>8.5943735326699251</v>
      </c>
      <c r="O80" s="1780">
        <f t="shared" ref="O80:O143" si="9">$N80/$J80*10</f>
        <v>6.6432328575305348</v>
      </c>
      <c r="P80" s="1356"/>
      <c r="Q80" s="1847">
        <f t="shared" si="8"/>
        <v>0</v>
      </c>
      <c r="R80" s="1848">
        <v>-7.1117887300000016</v>
      </c>
      <c r="S80" s="1848">
        <v>-0.23534133333333207</v>
      </c>
      <c r="T80" s="1848">
        <v>-1.8812081302338017</v>
      </c>
      <c r="U80" s="1848">
        <v>3.0221599999999998E-2</v>
      </c>
      <c r="V80" s="1848">
        <v>-2.0863278635671341</v>
      </c>
    </row>
    <row r="81" spans="1:22" s="1865" customFormat="1">
      <c r="A81" s="1797">
        <v>35</v>
      </c>
      <c r="B81" s="1866" t="s">
        <v>1712</v>
      </c>
      <c r="C81" s="1863">
        <v>1600</v>
      </c>
      <c r="D81" s="1776"/>
      <c r="E81" s="1854" t="s">
        <v>1649</v>
      </c>
      <c r="F81" s="1776">
        <v>5.7500000000000002E-2</v>
      </c>
      <c r="G81" s="1776">
        <v>2.4124999999999997E-3</v>
      </c>
      <c r="H81" s="1863">
        <v>3.86</v>
      </c>
      <c r="I81" s="1861">
        <v>27.088920300000005</v>
      </c>
      <c r="J81" s="1861">
        <f>VLOOKUP($B81,F13B_21_22_APR!$B$14:$EP$237,133,0)</f>
        <v>22.095973800000003</v>
      </c>
      <c r="K81" s="1861">
        <f>VLOOKUP($B81,F13B_21_22_APR!$B$14:$EO$223,136,0)</f>
        <v>4.3463036749999988</v>
      </c>
      <c r="L81" s="1861">
        <f>VLOOKUP($B81,F13B_21_22_APR!$B$14:$EO$223,138,0)</f>
        <v>4.9914254921760577</v>
      </c>
      <c r="M81" s="1861">
        <f>VLOOKUP($B81,F13B_21_22_APR!$B$14:$EO$223,140,0)</f>
        <v>-9.4883000000000016E-3</v>
      </c>
      <c r="N81" s="1780">
        <f t="shared" si="7"/>
        <v>9.3282408671760582</v>
      </c>
      <c r="O81" s="1780">
        <f t="shared" si="9"/>
        <v>4.2216925814675141</v>
      </c>
      <c r="P81" s="1356"/>
      <c r="Q81" s="1847">
        <f t="shared" si="8"/>
        <v>0</v>
      </c>
      <c r="R81" s="1848">
        <v>-12.626870460000005</v>
      </c>
      <c r="S81" s="1848">
        <v>0.21695506666666642</v>
      </c>
      <c r="T81" s="1848">
        <v>-2.6985915788753556</v>
      </c>
      <c r="U81" s="1848">
        <v>9.2847999999999993E-3</v>
      </c>
      <c r="V81" s="1848">
        <v>-2.4723517122086891</v>
      </c>
    </row>
    <row r="82" spans="1:22" s="1865" customFormat="1">
      <c r="A82" s="1797">
        <v>36</v>
      </c>
      <c r="B82" s="1866" t="s">
        <v>1713</v>
      </c>
      <c r="C82" s="1863">
        <v>1320</v>
      </c>
      <c r="D82" s="1776">
        <v>0.85</v>
      </c>
      <c r="E82" s="1854" t="s">
        <v>1649</v>
      </c>
      <c r="F82" s="1776">
        <v>5.7500000000000002E-2</v>
      </c>
      <c r="G82" s="1776">
        <v>2.4090909090909093E-3</v>
      </c>
      <c r="H82" s="1863">
        <v>3.18</v>
      </c>
      <c r="I82" s="1861">
        <v>19.534824270000001</v>
      </c>
      <c r="J82" s="1861">
        <f>VLOOKUP($B82,F13B_21_22_APR!$B$14:$EP$237,133,0)</f>
        <v>15.650159400000001</v>
      </c>
      <c r="K82" s="1861">
        <f>VLOOKUP($B82,F13B_21_22_APR!$B$14:$EO$223,136,0)</f>
        <v>4.7871246487499999</v>
      </c>
      <c r="L82" s="1861">
        <f>VLOOKUP($B82,F13B_21_22_APR!$B$14:$EO$223,138,0)</f>
        <v>4.6687860696872745</v>
      </c>
      <c r="M82" s="1861">
        <f>VLOOKUP($B82,F13B_21_22_APR!$B$14:$EO$223,140,0)</f>
        <v>-3.5773100000000002E-2</v>
      </c>
      <c r="N82" s="1780">
        <f t="shared" si="7"/>
        <v>9.4201376184372734</v>
      </c>
      <c r="O82" s="1780">
        <f t="shared" si="9"/>
        <v>6.0191959568394378</v>
      </c>
      <c r="P82" s="1356"/>
      <c r="Q82" s="1847">
        <f t="shared" si="8"/>
        <v>22.316778900000003</v>
      </c>
      <c r="R82" s="1848">
        <v>-10.007587179999998</v>
      </c>
      <c r="S82" s="1848">
        <v>-0.3292011999999982</v>
      </c>
      <c r="T82" s="1848">
        <v>-2.5805606749265499</v>
      </c>
      <c r="U82" s="1848">
        <v>-7.2605000000000031E-3</v>
      </c>
      <c r="V82" s="1848">
        <v>-2.917022374926546</v>
      </c>
    </row>
    <row r="83" spans="1:22" s="1865" customFormat="1">
      <c r="A83" s="1797">
        <v>37</v>
      </c>
      <c r="B83" s="1866" t="s">
        <v>1714</v>
      </c>
      <c r="C83" s="1863"/>
      <c r="D83" s="1854"/>
      <c r="E83" s="1854"/>
      <c r="F83" s="1776"/>
      <c r="G83" s="1776"/>
      <c r="H83" s="1863"/>
      <c r="I83" s="1861"/>
      <c r="J83" s="1861">
        <f>VLOOKUP($B83,F13B_21_22_APR!$B$14:$EP$237,133,0)</f>
        <v>2292.8802719999999</v>
      </c>
      <c r="K83" s="1861">
        <f>VLOOKUP($B83,F13B_21_22_APR!$B$14:$EO$223,136,0)</f>
        <v>0</v>
      </c>
      <c r="L83" s="1861">
        <f>VLOOKUP($B83,F13B_21_22_APR!$B$14:$EO$223,138,0)</f>
        <v>0</v>
      </c>
      <c r="M83" s="1861">
        <f>VLOOKUP($B83,F13B_21_22_APR!$B$14:$EO$223,140,0)</f>
        <v>1011.9404616000002</v>
      </c>
      <c r="N83" s="1780">
        <f t="shared" si="7"/>
        <v>1011.9404616000002</v>
      </c>
      <c r="O83" s="1780"/>
      <c r="P83" s="1356"/>
      <c r="Q83" s="1847">
        <f t="shared" si="8"/>
        <v>0</v>
      </c>
      <c r="R83" s="1848">
        <v>-81.377958000000007</v>
      </c>
      <c r="S83" s="1848">
        <v>0</v>
      </c>
      <c r="T83" s="1848">
        <v>16.565622399999999</v>
      </c>
      <c r="U83" s="1848">
        <v>-880.83347750000007</v>
      </c>
      <c r="V83" s="1848">
        <v>-864.26785510000002</v>
      </c>
    </row>
    <row r="84" spans="1:22">
      <c r="A84" s="1797"/>
      <c r="B84" s="1867" t="s">
        <v>211</v>
      </c>
      <c r="C84" s="1780">
        <f>SUM(C46:C83)</f>
        <v>35835.589999999997</v>
      </c>
      <c r="D84" s="1854"/>
      <c r="E84" s="1856"/>
      <c r="F84" s="1856"/>
      <c r="G84" s="1856"/>
      <c r="H84" s="1780">
        <f>SUM(H46:H83)</f>
        <v>4746.9367999999995</v>
      </c>
      <c r="I84" s="1780">
        <f>SUM(I46:I80)</f>
        <v>27483.112953399697</v>
      </c>
      <c r="J84" s="1780">
        <f>SUM(J46:J83)</f>
        <v>24011.467373740667</v>
      </c>
      <c r="K84" s="1780">
        <f>SUM(K46:K83)</f>
        <v>3193.7447445092507</v>
      </c>
      <c r="L84" s="1780">
        <f>SUM(L46:L83)</f>
        <v>5023.7103160879105</v>
      </c>
      <c r="M84" s="1780">
        <f>SUM(M46:M83)</f>
        <v>1149.4787463500002</v>
      </c>
      <c r="N84" s="1780">
        <f>SUM(N46:N83)</f>
        <v>9366.9338069471632</v>
      </c>
      <c r="O84" s="1780">
        <f t="shared" si="9"/>
        <v>3.9010251481719087</v>
      </c>
      <c r="Q84" s="1847">
        <f t="shared" si="8"/>
        <v>0</v>
      </c>
      <c r="R84" s="1848">
        <v>-4258.9289593266476</v>
      </c>
      <c r="S84" s="1848">
        <v>-523.48238393333304</v>
      </c>
      <c r="T84" s="1848">
        <v>-874.77379891796136</v>
      </c>
      <c r="U84" s="1848">
        <v>-740.84691045000011</v>
      </c>
      <c r="V84" s="1848">
        <v>-2139.1030933012953</v>
      </c>
    </row>
    <row r="85" spans="1:22">
      <c r="A85" s="1797"/>
      <c r="B85" s="1862"/>
      <c r="C85" s="1853"/>
      <c r="D85" s="1854"/>
      <c r="E85" s="1856"/>
      <c r="F85" s="1856"/>
      <c r="G85" s="1856"/>
      <c r="H85" s="1780"/>
      <c r="I85" s="1861"/>
      <c r="J85" s="1861"/>
      <c r="K85" s="1861"/>
      <c r="L85" s="1861"/>
      <c r="M85" s="1861"/>
      <c r="N85" s="1861"/>
      <c r="O85" s="1780"/>
      <c r="Q85" s="1847">
        <f t="shared" si="8"/>
        <v>0</v>
      </c>
    </row>
    <row r="86" spans="1:22">
      <c r="A86" s="1859" t="s">
        <v>26</v>
      </c>
      <c r="B86" s="1867" t="s">
        <v>1715</v>
      </c>
      <c r="C86" s="1853"/>
      <c r="D86" s="1854"/>
      <c r="E86" s="1856"/>
      <c r="F86" s="1856"/>
      <c r="G86" s="1856"/>
      <c r="H86" s="1780"/>
      <c r="I86" s="1861"/>
      <c r="J86" s="1861"/>
      <c r="K86" s="1861"/>
      <c r="L86" s="1861"/>
      <c r="M86" s="1861"/>
      <c r="N86" s="1861"/>
      <c r="O86" s="1780"/>
      <c r="Q86" s="1847">
        <f t="shared" si="8"/>
        <v>0</v>
      </c>
    </row>
    <row r="87" spans="1:22">
      <c r="A87" s="1797">
        <v>1</v>
      </c>
      <c r="B87" s="1868" t="s">
        <v>1716</v>
      </c>
      <c r="C87" s="1863">
        <v>440</v>
      </c>
      <c r="D87" s="1776">
        <v>0.39146408820669581</v>
      </c>
      <c r="E87" s="1854" t="s">
        <v>1717</v>
      </c>
      <c r="F87" s="1776">
        <v>0</v>
      </c>
      <c r="G87" s="1776">
        <v>3.7499999999999999E-3</v>
      </c>
      <c r="H87" s="1863">
        <v>1.65</v>
      </c>
      <c r="I87" s="1861">
        <v>0</v>
      </c>
      <c r="J87" s="1861">
        <f>VLOOKUP($B87,F13B_21_22_APR!$B$14:$EP$237,133,0)</f>
        <v>3.061061</v>
      </c>
      <c r="K87" s="1861">
        <f>VLOOKUP($B87,F13B_21_22_APR!$B$14:$EO$223,136,0)</f>
        <v>0</v>
      </c>
      <c r="L87" s="1861">
        <f>VLOOKUP($B87,F13B_21_22_APR!$B$14:$EO$223,138,0)</f>
        <v>0.6996043999999999</v>
      </c>
      <c r="M87" s="1861">
        <f>VLOOKUP($B87,F13B_21_22_APR!$B$14:$EO$223,140,0)</f>
        <v>-1.74448E-2</v>
      </c>
      <c r="N87" s="1780">
        <f>SUM(K87:M87)</f>
        <v>0.68215959999999987</v>
      </c>
      <c r="O87" s="1780">
        <f t="shared" si="9"/>
        <v>2.2285070437995187</v>
      </c>
      <c r="Q87" s="1847">
        <f t="shared" si="8"/>
        <v>5.6582219309395807</v>
      </c>
      <c r="R87" s="1848">
        <v>4.319636</v>
      </c>
      <c r="S87" s="1848">
        <v>0</v>
      </c>
      <c r="T87" s="1848">
        <v>1.0275242</v>
      </c>
      <c r="U87" s="1848">
        <v>4.0934699999999997E-2</v>
      </c>
      <c r="V87" s="1848">
        <v>1.0684589</v>
      </c>
    </row>
    <row r="88" spans="1:22">
      <c r="A88" s="1797">
        <v>2</v>
      </c>
      <c r="B88" s="1868" t="s">
        <v>1718</v>
      </c>
      <c r="C88" s="1863">
        <v>440</v>
      </c>
      <c r="D88" s="1776">
        <v>0.92607406214751364</v>
      </c>
      <c r="E88" s="1854" t="s">
        <v>1717</v>
      </c>
      <c r="F88" s="1776">
        <v>0</v>
      </c>
      <c r="G88" s="1776">
        <v>0.31363636363636366</v>
      </c>
      <c r="H88" s="1863">
        <v>138</v>
      </c>
      <c r="I88" s="1861">
        <v>1133.9074880000001</v>
      </c>
      <c r="J88" s="1861">
        <f>VLOOKUP($B88,F13B_21_22_APR!$B$14:$EP$237,133,0)</f>
        <v>1141.1608279999998</v>
      </c>
      <c r="K88" s="1861">
        <f>VLOOKUP($B88,F13B_21_22_APR!$B$14:$EO$223,136,0)</f>
        <v>0</v>
      </c>
      <c r="L88" s="1861">
        <f>VLOOKUP($B88,F13B_21_22_APR!$B$14:$EO$223,138,0)</f>
        <v>345.72133639087804</v>
      </c>
      <c r="M88" s="1861">
        <f>VLOOKUP($B88,F13B_21_22_APR!$B$14:$EO$223,140,0)</f>
        <v>30.225994400000001</v>
      </c>
      <c r="N88" s="1780">
        <f>SUM(K88:M88)</f>
        <v>375.94733079087803</v>
      </c>
      <c r="O88" s="1780">
        <f t="shared" si="9"/>
        <v>3.294428984648587</v>
      </c>
      <c r="Q88" s="1847">
        <f t="shared" si="8"/>
        <v>1119.5124122488862</v>
      </c>
      <c r="R88" s="1848">
        <v>-30.100948333333235</v>
      </c>
      <c r="S88" s="1848">
        <v>0</v>
      </c>
      <c r="T88" s="1848">
        <v>-11.592602597341568</v>
      </c>
      <c r="U88" s="1848">
        <v>2.1971924</v>
      </c>
      <c r="V88" s="1848">
        <v>-9.3954101973415618</v>
      </c>
    </row>
    <row r="89" spans="1:22">
      <c r="A89" s="1797">
        <v>3</v>
      </c>
      <c r="B89" s="1868" t="s">
        <v>1719</v>
      </c>
      <c r="C89" s="1863">
        <v>1080</v>
      </c>
      <c r="D89" s="1776">
        <v>0.60614370602023071</v>
      </c>
      <c r="E89" s="1854" t="s">
        <v>1717</v>
      </c>
      <c r="F89" s="1776">
        <v>0</v>
      </c>
      <c r="G89" s="1776">
        <v>3.7499999999999999E-3</v>
      </c>
      <c r="H89" s="1863">
        <v>4.05</v>
      </c>
      <c r="I89" s="1861">
        <v>0</v>
      </c>
      <c r="J89" s="1861">
        <f>VLOOKUP($B89,F13B_21_22_APR!$B$14:$EP$237,133,0)</f>
        <v>11.487476999999998</v>
      </c>
      <c r="K89" s="1861">
        <f>VLOOKUP($B89,F13B_21_22_APR!$B$14:$EO$223,136,0)</f>
        <v>0</v>
      </c>
      <c r="L89" s="1861">
        <f>VLOOKUP($B89,F13B_21_22_APR!$B$14:$EO$223,138,0)</f>
        <v>3.8798742000000002</v>
      </c>
      <c r="M89" s="1861">
        <f>VLOOKUP($B89,F13B_21_22_APR!$B$14:$EO$223,140,0)</f>
        <v>3.0878999999999998E-3</v>
      </c>
      <c r="N89" s="1780">
        <f>SUM(K89:M89)</f>
        <v>3.8829621000000003</v>
      </c>
      <c r="O89" s="1780">
        <f t="shared" si="9"/>
        <v>3.3801696403831762</v>
      </c>
      <c r="Q89" s="1847">
        <f t="shared" si="8"/>
        <v>21.504766402185741</v>
      </c>
      <c r="R89" s="1848">
        <v>11.831473000000003</v>
      </c>
      <c r="S89" s="1848">
        <v>0</v>
      </c>
      <c r="T89" s="1848">
        <v>3.8412054999999992</v>
      </c>
      <c r="U89" s="1848">
        <v>1.7803591999999999</v>
      </c>
      <c r="V89" s="1848">
        <v>5.6215646999999986</v>
      </c>
    </row>
    <row r="90" spans="1:22">
      <c r="A90" s="1797">
        <v>4</v>
      </c>
      <c r="B90" s="1868" t="s">
        <v>1720</v>
      </c>
      <c r="C90" s="1863">
        <v>440</v>
      </c>
      <c r="D90" s="1776">
        <v>0.89948990992797295</v>
      </c>
      <c r="E90" s="1854" t="s">
        <v>1717</v>
      </c>
      <c r="F90" s="1776">
        <v>0</v>
      </c>
      <c r="G90" s="1776">
        <v>0.15</v>
      </c>
      <c r="H90" s="1863">
        <v>66</v>
      </c>
      <c r="I90" s="1861">
        <v>518.63497200000006</v>
      </c>
      <c r="J90" s="1861">
        <f>VLOOKUP($B90,F13B_21_22_APR!$B$14:$EP$237,133,0)</f>
        <v>493.274337</v>
      </c>
      <c r="K90" s="1861">
        <f>VLOOKUP($B90,F13B_21_22_APR!$B$14:$EO$223,136,0)</f>
        <v>0</v>
      </c>
      <c r="L90" s="1861">
        <f>VLOOKUP($B90,F13B_21_22_APR!$B$14:$EO$223,138,0)</f>
        <v>164.04405163432276</v>
      </c>
      <c r="M90" s="1861">
        <f>VLOOKUP($B90,F13B_21_22_APR!$B$14:$EO$223,140,0)</f>
        <v>-2.9551940999999999</v>
      </c>
      <c r="N90" s="1780">
        <f>SUM(K90:M90)</f>
        <v>161.08885753432276</v>
      </c>
      <c r="O90" s="1780">
        <f t="shared" si="9"/>
        <v>3.2657052161690454</v>
      </c>
      <c r="Q90" s="1847">
        <f t="shared" si="8"/>
        <v>520.04908632395689</v>
      </c>
      <c r="R90" s="1848">
        <v>-265.42255400000022</v>
      </c>
      <c r="S90" s="1848">
        <v>0</v>
      </c>
      <c r="T90" s="1848">
        <v>-103.87147772486071</v>
      </c>
      <c r="U90" s="1848">
        <v>-0.43549098500000011</v>
      </c>
      <c r="V90" s="1848">
        <v>-104.30696870986071</v>
      </c>
    </row>
    <row r="91" spans="1:22">
      <c r="A91" s="1797">
        <v>5</v>
      </c>
      <c r="B91" s="1868" t="s">
        <v>1721</v>
      </c>
      <c r="C91" s="1863">
        <v>440</v>
      </c>
      <c r="D91" s="1776">
        <v>0.90085517447442209</v>
      </c>
      <c r="E91" s="1854" t="s">
        <v>1717</v>
      </c>
      <c r="F91" s="1776">
        <v>0</v>
      </c>
      <c r="G91" s="1776">
        <v>0.19545454545454546</v>
      </c>
      <c r="H91" s="1863">
        <v>86</v>
      </c>
      <c r="I91" s="1861">
        <v>787.17595800000015</v>
      </c>
      <c r="J91" s="1861">
        <f>VLOOKUP($B91,F13B_21_22_APR!$B$14:$EP$237,133,0)</f>
        <v>855.96708150000006</v>
      </c>
      <c r="K91" s="1861">
        <f>VLOOKUP($B91,F13B_21_22_APR!$B$14:$EO$223,136,0)</f>
        <v>0</v>
      </c>
      <c r="L91" s="1861">
        <f>VLOOKUP($B91,F13B_21_22_APR!$B$14:$EO$223,138,0)</f>
        <v>333.88233645677894</v>
      </c>
      <c r="M91" s="1861">
        <f>VLOOKUP($B91,F13B_21_22_APR!$B$14:$EO$223,140,0)</f>
        <v>-5.6842597999999986</v>
      </c>
      <c r="N91" s="1780">
        <f>SUM(K91:M91)</f>
        <v>328.19807665677894</v>
      </c>
      <c r="O91" s="1780">
        <f t="shared" si="9"/>
        <v>3.8342371307275429</v>
      </c>
      <c r="P91" s="1356">
        <v>5</v>
      </c>
      <c r="Q91" s="1847">
        <f t="shared" si="8"/>
        <v>678.66825424205058</v>
      </c>
      <c r="R91" s="1848">
        <v>188.85169699999994</v>
      </c>
      <c r="S91" s="1848">
        <v>0</v>
      </c>
      <c r="T91" s="1848">
        <v>71.513386181922954</v>
      </c>
      <c r="U91" s="1848">
        <v>0</v>
      </c>
      <c r="V91" s="1848">
        <v>71.513386181922954</v>
      </c>
    </row>
    <row r="92" spans="1:22">
      <c r="A92" s="1797"/>
      <c r="B92" s="1867" t="s">
        <v>211</v>
      </c>
      <c r="C92" s="1780">
        <f>SUM(C87:C91)</f>
        <v>2840</v>
      </c>
      <c r="D92" s="1854"/>
      <c r="E92" s="1856"/>
      <c r="F92" s="1856"/>
      <c r="G92" s="1856"/>
      <c r="H92" s="1780">
        <f t="shared" ref="H92:N92" si="10">SUM(H87:H91)</f>
        <v>295.70000000000005</v>
      </c>
      <c r="I92" s="1780">
        <f t="shared" si="10"/>
        <v>2439.7184180000004</v>
      </c>
      <c r="J92" s="1780">
        <f t="shared" si="10"/>
        <v>2504.9507844999998</v>
      </c>
      <c r="K92" s="1780">
        <f t="shared" si="10"/>
        <v>0</v>
      </c>
      <c r="L92" s="1780">
        <f t="shared" si="10"/>
        <v>848.22720308197972</v>
      </c>
      <c r="M92" s="1780">
        <f t="shared" si="10"/>
        <v>21.572183600000002</v>
      </c>
      <c r="N92" s="1780">
        <f t="shared" si="10"/>
        <v>869.79938668197974</v>
      </c>
      <c r="O92" s="1780">
        <f t="shared" si="9"/>
        <v>3.4723212610166945</v>
      </c>
      <c r="Q92" s="1847">
        <f t="shared" si="8"/>
        <v>0</v>
      </c>
      <c r="R92" s="1848">
        <v>-90.520696333333944</v>
      </c>
      <c r="S92" s="1848">
        <v>0</v>
      </c>
      <c r="T92" s="1848">
        <v>-39.081964440279307</v>
      </c>
      <c r="U92" s="1848">
        <v>3.5829953150000007</v>
      </c>
      <c r="V92" s="1848">
        <v>-35.498969125279245</v>
      </c>
    </row>
    <row r="93" spans="1:22">
      <c r="A93" s="1797"/>
      <c r="B93" s="1868"/>
      <c r="C93" s="1853"/>
      <c r="D93" s="1854"/>
      <c r="E93" s="1856"/>
      <c r="F93" s="1856"/>
      <c r="G93" s="1856"/>
      <c r="H93" s="1780"/>
      <c r="I93" s="1861"/>
      <c r="J93" s="1861"/>
      <c r="K93" s="1861"/>
      <c r="L93" s="1861"/>
      <c r="M93" s="1861"/>
      <c r="N93" s="1861"/>
      <c r="O93" s="1780"/>
      <c r="Q93" s="1847">
        <f t="shared" si="8"/>
        <v>0</v>
      </c>
    </row>
    <row r="94" spans="1:22">
      <c r="A94" s="1859" t="s">
        <v>27</v>
      </c>
      <c r="B94" s="1867" t="s">
        <v>1722</v>
      </c>
      <c r="C94" s="1853"/>
      <c r="D94" s="1854"/>
      <c r="E94" s="1856"/>
      <c r="F94" s="1856"/>
      <c r="G94" s="1856"/>
      <c r="H94" s="1780"/>
      <c r="I94" s="1861"/>
      <c r="J94" s="1861"/>
      <c r="K94" s="1861"/>
      <c r="L94" s="1861"/>
      <c r="M94" s="1861"/>
      <c r="N94" s="1861"/>
      <c r="O94" s="1780"/>
      <c r="Q94" s="1847">
        <f t="shared" si="8"/>
        <v>0</v>
      </c>
    </row>
    <row r="95" spans="1:22">
      <c r="A95" s="1797">
        <v>1</v>
      </c>
      <c r="B95" s="1862" t="s">
        <v>1723</v>
      </c>
      <c r="C95" s="1863">
        <v>690</v>
      </c>
      <c r="D95" s="1776">
        <v>0.55670624686085413</v>
      </c>
      <c r="E95" s="1854" t="s">
        <v>1717</v>
      </c>
      <c r="F95" s="1776">
        <v>0.01</v>
      </c>
      <c r="G95" s="1776">
        <v>6.9565217391304349E-2</v>
      </c>
      <c r="H95" s="1863">
        <v>48</v>
      </c>
      <c r="I95" s="1861">
        <v>232.3421711870968</v>
      </c>
      <c r="J95" s="1861">
        <f>VLOOKUP($B95,F13B_21_22_APR!$B$14:$EP$237,133,0)</f>
        <v>226.95560999999998</v>
      </c>
      <c r="K95" s="1861">
        <f>VLOOKUP($B95,F13B_21_22_APR!$B$14:$EO$223,136,0)</f>
        <v>19.1976733455</v>
      </c>
      <c r="L95" s="1861">
        <f>VLOOKUP($B95,F13B_21_22_APR!$B$14:$EO$223,138,0)</f>
        <v>17.101829152701487</v>
      </c>
      <c r="M95" s="1861">
        <f>VLOOKUP($B95,F13B_21_22_APR!$B$14:$EO$223,140,0)</f>
        <v>12.284728600000001</v>
      </c>
      <c r="N95" s="1780">
        <f t="shared" ref="N95:N110" si="11">SUM(K95:M95)</f>
        <v>48.584231098201492</v>
      </c>
      <c r="O95" s="1780">
        <f t="shared" si="9"/>
        <v>2.1406931116706698</v>
      </c>
      <c r="Q95" s="1847">
        <f t="shared" si="8"/>
        <v>231.74300425325143</v>
      </c>
      <c r="R95" s="1848">
        <v>29.689406116129049</v>
      </c>
      <c r="S95" s="1848">
        <v>-4.0700762333333351</v>
      </c>
      <c r="T95" s="1848">
        <v>2.2709605997655853</v>
      </c>
      <c r="U95" s="1848">
        <v>31.675476500000002</v>
      </c>
      <c r="V95" s="1848">
        <v>29.87636086643225</v>
      </c>
    </row>
    <row r="96" spans="1:22">
      <c r="A96" s="1797">
        <v>2</v>
      </c>
      <c r="B96" s="1862" t="s">
        <v>1724</v>
      </c>
      <c r="C96" s="1863">
        <v>94.2</v>
      </c>
      <c r="D96" s="1776">
        <v>0.44047216414306006</v>
      </c>
      <c r="E96" s="1854" t="s">
        <v>1717</v>
      </c>
      <c r="F96" s="1776">
        <v>1.2E-2</v>
      </c>
      <c r="G96" s="1776">
        <v>0.22292993630573249</v>
      </c>
      <c r="H96" s="1863">
        <v>21</v>
      </c>
      <c r="I96" s="1861">
        <v>80.295772438709662</v>
      </c>
      <c r="J96" s="1861">
        <f>VLOOKUP($B96,F13B_21_22_APR!$B$14:$EP$237,133,0)</f>
        <v>91.4495474</v>
      </c>
      <c r="K96" s="1861">
        <f>VLOOKUP($B96,F13B_21_22_APR!$B$14:$EO$223,136,0)</f>
        <v>20.753912085749999</v>
      </c>
      <c r="L96" s="1861">
        <f>VLOOKUP($B96,F13B_21_22_APR!$B$14:$EO$223,138,0)</f>
        <v>15.102171282577675</v>
      </c>
      <c r="M96" s="1861">
        <f>VLOOKUP($B96,F13B_21_22_APR!$B$14:$EO$223,140,0)</f>
        <v>8.615900000000001E-3</v>
      </c>
      <c r="N96" s="1780">
        <f t="shared" si="11"/>
        <v>35.864699268327676</v>
      </c>
      <c r="O96" s="1780">
        <f t="shared" si="9"/>
        <v>3.9218017243382963</v>
      </c>
      <c r="Q96" s="1847">
        <f t="shared" si="8"/>
        <v>80.056908203968234</v>
      </c>
      <c r="R96" s="1848">
        <v>13.657043206451647</v>
      </c>
      <c r="S96" s="1848">
        <v>-3.5200556333333388</v>
      </c>
      <c r="T96" s="1848">
        <v>1.6379396330157761</v>
      </c>
      <c r="U96" s="1848">
        <v>5.7524000000000004E-3</v>
      </c>
      <c r="V96" s="1848">
        <v>-1.8763636003175677</v>
      </c>
    </row>
    <row r="97" spans="1:22">
      <c r="A97" s="1797">
        <v>3</v>
      </c>
      <c r="B97" s="1862" t="s">
        <v>1725</v>
      </c>
      <c r="C97" s="1863">
        <v>540</v>
      </c>
      <c r="D97" s="1776">
        <v>0.4919142416631212</v>
      </c>
      <c r="E97" s="1854" t="s">
        <v>1717</v>
      </c>
      <c r="F97" s="1776">
        <v>1.2E-2</v>
      </c>
      <c r="G97" s="1776">
        <v>0.20185185185185187</v>
      </c>
      <c r="H97" s="1863">
        <v>109</v>
      </c>
      <c r="I97" s="1861">
        <v>465.34168273419351</v>
      </c>
      <c r="J97" s="1861">
        <f>VLOOKUP($B97,F13B_21_22_APR!$B$14:$EP$237,133,0)</f>
        <v>388.04408916000006</v>
      </c>
      <c r="K97" s="1861">
        <f>VLOOKUP($B97,F13B_21_22_APR!$B$14:$EO$223,136,0)</f>
        <v>39.375096405500003</v>
      </c>
      <c r="L97" s="1861">
        <f>VLOOKUP($B97,F13B_21_22_APR!$B$14:$EO$223,138,0)</f>
        <v>44.672096377460164</v>
      </c>
      <c r="M97" s="1861">
        <f>VLOOKUP($B97,F13B_21_22_APR!$B$14:$EO$223,140,0)</f>
        <v>0.19663589999999997</v>
      </c>
      <c r="N97" s="1780">
        <f t="shared" si="11"/>
        <v>84.243828682960171</v>
      </c>
      <c r="O97" s="1780">
        <f t="shared" si="9"/>
        <v>2.170986004846073</v>
      </c>
      <c r="Q97" s="1847">
        <f t="shared" si="8"/>
        <v>464.06300177549923</v>
      </c>
      <c r="R97" s="1848">
        <v>70.106951640000091</v>
      </c>
      <c r="S97" s="1848">
        <v>-11.756699833333329</v>
      </c>
      <c r="T97" s="1848">
        <v>8.495849956789705</v>
      </c>
      <c r="U97" s="1848">
        <v>-0.10690570000000001</v>
      </c>
      <c r="V97" s="1848">
        <v>-3.3677555765436296</v>
      </c>
    </row>
    <row r="98" spans="1:22">
      <c r="A98" s="1797">
        <v>4</v>
      </c>
      <c r="B98" s="1862" t="s">
        <v>1726</v>
      </c>
      <c r="C98" s="1863">
        <v>480</v>
      </c>
      <c r="D98" s="1776">
        <v>0.67690014371333618</v>
      </c>
      <c r="E98" s="1854" t="s">
        <v>1717</v>
      </c>
      <c r="F98" s="1776">
        <v>1.2E-2</v>
      </c>
      <c r="G98" s="1776">
        <v>0.2</v>
      </c>
      <c r="H98" s="1863">
        <v>96</v>
      </c>
      <c r="I98" s="1861">
        <v>562.27590702580642</v>
      </c>
      <c r="J98" s="1861">
        <f>VLOOKUP($B98,F13B_21_22_APR!$B$14:$EP$237,133,0)</f>
        <v>593.87209679999989</v>
      </c>
      <c r="K98" s="1861">
        <f>VLOOKUP($B98,F13B_21_22_APR!$B$14:$EO$223,136,0)</f>
        <v>54.492025474999998</v>
      </c>
      <c r="L98" s="1861">
        <f>VLOOKUP($B98,F13B_21_22_APR!$B$14:$EO$223,138,0)</f>
        <v>53.85443560737707</v>
      </c>
      <c r="M98" s="1861">
        <f>VLOOKUP($B98,F13B_21_22_APR!$B$14:$EO$223,140,0)</f>
        <v>11.083337299999998</v>
      </c>
      <c r="N98" s="1780">
        <f t="shared" si="11"/>
        <v>119.42979838237706</v>
      </c>
      <c r="O98" s="1780">
        <f t="shared" si="9"/>
        <v>2.0110356931384468</v>
      </c>
      <c r="Q98" s="1847">
        <f t="shared" si="8"/>
        <v>562.41499351888115</v>
      </c>
      <c r="R98" s="1848">
        <v>48.546786638709591</v>
      </c>
      <c r="S98" s="1848">
        <v>-15.455121699999992</v>
      </c>
      <c r="T98" s="1848">
        <v>4.2903561485402975</v>
      </c>
      <c r="U98" s="1848">
        <v>-3.0743163999999994</v>
      </c>
      <c r="V98" s="1848">
        <v>-14.239081951459696</v>
      </c>
    </row>
    <row r="99" spans="1:22">
      <c r="A99" s="1797">
        <v>5</v>
      </c>
      <c r="B99" s="1862" t="s">
        <v>1727</v>
      </c>
      <c r="C99" s="1863">
        <v>300</v>
      </c>
      <c r="D99" s="1776">
        <v>0.57270814735477715</v>
      </c>
      <c r="E99" s="1854" t="s">
        <v>1717</v>
      </c>
      <c r="F99" s="1776">
        <v>1.2E-2</v>
      </c>
      <c r="G99" s="1776">
        <v>0.20666666666666667</v>
      </c>
      <c r="H99" s="1863">
        <v>62</v>
      </c>
      <c r="I99" s="1861">
        <v>308.32916085161287</v>
      </c>
      <c r="J99" s="1861">
        <f>VLOOKUP($B99,F13B_21_22_APR!$B$14:$EP$237,133,0)</f>
        <v>370.88523760000004</v>
      </c>
      <c r="K99" s="1861">
        <f>VLOOKUP($B99,F13B_21_22_APR!$B$14:$EO$223,136,0)</f>
        <v>39.385600181499996</v>
      </c>
      <c r="L99" s="1861">
        <f>VLOOKUP($B99,F13B_21_22_APR!$B$14:$EO$223,138,0)</f>
        <v>37.912072865788133</v>
      </c>
      <c r="M99" s="1861">
        <f>VLOOKUP($B99,F13B_21_22_APR!$B$14:$EO$223,140,0)</f>
        <v>3.8446800000000003E-2</v>
      </c>
      <c r="N99" s="1780">
        <f t="shared" si="11"/>
        <v>77.336119847288131</v>
      </c>
      <c r="O99" s="1780">
        <f t="shared" si="9"/>
        <v>2.0851765453845101</v>
      </c>
      <c r="Q99" s="1847">
        <f t="shared" si="8"/>
        <v>307.31665800343063</v>
      </c>
      <c r="R99" s="1848">
        <v>-169.0616449806451</v>
      </c>
      <c r="S99" s="1848">
        <v>-37.113627866666668</v>
      </c>
      <c r="T99" s="1848">
        <v>-17.103551080681921</v>
      </c>
      <c r="U99" s="1848">
        <v>2.0877900000000008E-2</v>
      </c>
      <c r="V99" s="1848">
        <v>-54.196301047348584</v>
      </c>
    </row>
    <row r="100" spans="1:22">
      <c r="A100" s="1797">
        <v>6</v>
      </c>
      <c r="B100" s="1862" t="s">
        <v>1728</v>
      </c>
      <c r="C100" s="1863">
        <v>280</v>
      </c>
      <c r="D100" s="1776">
        <v>0.51493276261410048</v>
      </c>
      <c r="E100" s="1854" t="s">
        <v>1717</v>
      </c>
      <c r="F100" s="1776">
        <v>1.2E-2</v>
      </c>
      <c r="G100" s="1776">
        <v>0.2</v>
      </c>
      <c r="H100" s="1863">
        <v>56</v>
      </c>
      <c r="I100" s="1861">
        <v>250.42144920000004</v>
      </c>
      <c r="J100" s="1861">
        <f>VLOOKUP($B100,F13B_21_22_APR!$B$14:$EP$237,133,0)</f>
        <v>299.69803059999998</v>
      </c>
      <c r="K100" s="1861">
        <f>VLOOKUP($B100,F13B_21_22_APR!$B$14:$EO$223,136,0)</f>
        <v>44.045246844250002</v>
      </c>
      <c r="L100" s="1861">
        <f>VLOOKUP($B100,F13B_21_22_APR!$B$14:$EO$223,138,0)</f>
        <v>36.638235012775937</v>
      </c>
      <c r="M100" s="1861">
        <f>VLOOKUP($B100,F13B_21_22_APR!$B$14:$EO$223,140,0)</f>
        <v>0.18104320000000002</v>
      </c>
      <c r="N100" s="1780">
        <f t="shared" si="11"/>
        <v>80.864525057025944</v>
      </c>
      <c r="O100" s="1780">
        <f t="shared" si="9"/>
        <v>2.6982000814330993</v>
      </c>
      <c r="Q100" s="1847">
        <f t="shared" si="8"/>
        <v>249.57415103563744</v>
      </c>
      <c r="R100" s="1848">
        <v>30.586994548387167</v>
      </c>
      <c r="S100" s="1848">
        <v>-7.3638965000000027</v>
      </c>
      <c r="T100" s="1848">
        <v>4.7055797016611578</v>
      </c>
      <c r="U100" s="1848">
        <v>1.8691400000000007E-2</v>
      </c>
      <c r="V100" s="1848">
        <v>-2.6396253983388505</v>
      </c>
    </row>
    <row r="101" spans="1:22">
      <c r="A101" s="1797">
        <v>7</v>
      </c>
      <c r="B101" s="1862" t="s">
        <v>1729</v>
      </c>
      <c r="C101" s="1863">
        <v>390</v>
      </c>
      <c r="D101" s="1776">
        <v>0.68356346594258566</v>
      </c>
      <c r="E101" s="1854" t="s">
        <v>1717</v>
      </c>
      <c r="F101" s="1776">
        <v>1.2E-2</v>
      </c>
      <c r="G101" s="1776">
        <v>0.21794871794871795</v>
      </c>
      <c r="H101" s="1863">
        <v>85</v>
      </c>
      <c r="I101" s="1861">
        <v>504.29405360000004</v>
      </c>
      <c r="J101" s="1861">
        <f>VLOOKUP($B101,F13B_21_22_APR!$B$14:$EP$237,133,0)</f>
        <v>584.93629099999987</v>
      </c>
      <c r="K101" s="1861">
        <f>VLOOKUP($B101,F13B_21_22_APR!$B$14:$EO$223,136,0)</f>
        <v>159.751849967</v>
      </c>
      <c r="L101" s="1861">
        <f>VLOOKUP($B101,F13B_21_22_APR!$B$14:$EO$223,138,0)</f>
        <v>165.27658302631218</v>
      </c>
      <c r="M101" s="1861">
        <f>VLOOKUP($B101,F13B_21_22_APR!$B$14:$EO$223,140,0)</f>
        <v>17.020217300000002</v>
      </c>
      <c r="N101" s="1780">
        <f t="shared" si="11"/>
        <v>342.04865029331222</v>
      </c>
      <c r="O101" s="1780">
        <f t="shared" si="9"/>
        <v>5.8476223061583354</v>
      </c>
      <c r="Q101" s="1847">
        <f t="shared" si="8"/>
        <v>502.87358045995904</v>
      </c>
      <c r="R101" s="1848">
        <v>29.301100200000178</v>
      </c>
      <c r="S101" s="1848">
        <v>-40.666900166666693</v>
      </c>
      <c r="T101" s="1848">
        <v>6.1650926944872992</v>
      </c>
      <c r="U101" s="1848">
        <v>-4.0377050000000008</v>
      </c>
      <c r="V101" s="1848">
        <v>-38.53951247217941</v>
      </c>
    </row>
    <row r="102" spans="1:22">
      <c r="A102" s="1797">
        <v>8</v>
      </c>
      <c r="B102" s="1862" t="s">
        <v>1730</v>
      </c>
      <c r="C102" s="1863">
        <v>120</v>
      </c>
      <c r="D102" s="1776">
        <v>0.50235798579888047</v>
      </c>
      <c r="E102" s="1854" t="s">
        <v>1717</v>
      </c>
      <c r="F102" s="1776">
        <v>1.2E-2</v>
      </c>
      <c r="G102" s="1776">
        <v>0.22500000000000001</v>
      </c>
      <c r="H102" s="1863">
        <v>27</v>
      </c>
      <c r="I102" s="1861">
        <v>117.12940680000001</v>
      </c>
      <c r="J102" s="1861">
        <f>VLOOKUP($B102,F13B_21_22_APR!$B$14:$EP$237,133,0)</f>
        <v>32.251864600000005</v>
      </c>
      <c r="K102" s="1861">
        <f>VLOOKUP($B102,F13B_21_22_APR!$B$14:$EO$223,136,0)</f>
        <v>5.71569355875</v>
      </c>
      <c r="L102" s="1861">
        <f>VLOOKUP($B102,F13B_21_22_APR!$B$14:$EO$223,138,0)</f>
        <v>8.7110996426569756</v>
      </c>
      <c r="M102" s="1861">
        <f>VLOOKUP($B102,F13B_21_22_APR!$B$14:$EO$223,140,0)</f>
        <v>5.20616E-2</v>
      </c>
      <c r="N102" s="1780">
        <f t="shared" si="11"/>
        <v>14.478854801406976</v>
      </c>
      <c r="O102" s="1780">
        <f t="shared" si="9"/>
        <v>4.4893078217272979</v>
      </c>
      <c r="Q102" s="1847">
        <f t="shared" si="8"/>
        <v>117.39189827153739</v>
      </c>
      <c r="R102" s="1848">
        <v>75.201011503225814</v>
      </c>
      <c r="S102" s="1848">
        <v>5.3220133999999959</v>
      </c>
      <c r="T102" s="1848">
        <v>21.500667747571782</v>
      </c>
      <c r="U102" s="1848">
        <v>-1.2045500000000001E-2</v>
      </c>
      <c r="V102" s="1848">
        <v>26.810635647571779</v>
      </c>
    </row>
    <row r="103" spans="1:22">
      <c r="A103" s="1797">
        <v>9</v>
      </c>
      <c r="B103" s="1862" t="s">
        <v>1731</v>
      </c>
      <c r="C103" s="1863">
        <v>231</v>
      </c>
      <c r="D103" s="1776">
        <v>0.53725444787555621</v>
      </c>
      <c r="E103" s="1854" t="s">
        <v>1717</v>
      </c>
      <c r="F103" s="1776">
        <v>1.2E-2</v>
      </c>
      <c r="G103" s="1776">
        <v>0.20346320346320346</v>
      </c>
      <c r="H103" s="1863">
        <v>47</v>
      </c>
      <c r="I103" s="1861">
        <v>219.28064616774193</v>
      </c>
      <c r="J103" s="1861">
        <f>VLOOKUP($B103,F13B_21_22_APR!$B$14:$EP$237,133,0)</f>
        <v>249.46104820000002</v>
      </c>
      <c r="K103" s="1861">
        <f>VLOOKUP($B103,F13B_21_22_APR!$B$14:$EO$223,136,0)</f>
        <v>63.18155927374999</v>
      </c>
      <c r="L103" s="1861">
        <f>VLOOKUP($B103,F13B_21_22_APR!$B$14:$EO$223,138,0)</f>
        <v>49.379715428162477</v>
      </c>
      <c r="M103" s="1861">
        <f>VLOOKUP($B103,F13B_21_22_APR!$B$14:$EO$223,140,0)</f>
        <v>0.1351704</v>
      </c>
      <c r="N103" s="1780">
        <f t="shared" si="11"/>
        <v>112.69644510191247</v>
      </c>
      <c r="O103" s="1780">
        <f t="shared" si="9"/>
        <v>4.5175968719397233</v>
      </c>
      <c r="Q103" s="1847">
        <f t="shared" si="8"/>
        <v>218.54402046397212</v>
      </c>
      <c r="R103" s="1848">
        <v>12.384330148387107</v>
      </c>
      <c r="S103" s="1848">
        <v>-28.734215499999976</v>
      </c>
      <c r="T103" s="1848">
        <v>-0.39389122151522571</v>
      </c>
      <c r="U103" s="1848">
        <v>1.5537300000000006E-2</v>
      </c>
      <c r="V103" s="1848">
        <v>-29.11256942151519</v>
      </c>
    </row>
    <row r="104" spans="1:22">
      <c r="A104" s="1797">
        <v>10</v>
      </c>
      <c r="B104" s="1862" t="s">
        <v>1732</v>
      </c>
      <c r="C104" s="1863">
        <v>240</v>
      </c>
      <c r="D104" s="1776">
        <v>0.72431490558953759</v>
      </c>
      <c r="E104" s="1854" t="s">
        <v>1717</v>
      </c>
      <c r="F104" s="1776">
        <v>1.2E-2</v>
      </c>
      <c r="G104" s="1776">
        <v>0.21249999999999999</v>
      </c>
      <c r="H104" s="1863">
        <v>51</v>
      </c>
      <c r="I104" s="1861">
        <v>319.6263267290322</v>
      </c>
      <c r="J104" s="1861">
        <f>VLOOKUP($B104,F13B_21_22_APR!$B$14:$EP$237,133,0)</f>
        <v>401.88302859999999</v>
      </c>
      <c r="K104" s="1861">
        <f>VLOOKUP($B104,F13B_21_22_APR!$B$14:$EO$223,136,0)</f>
        <v>85.1707581</v>
      </c>
      <c r="L104" s="1861">
        <f>VLOOKUP($B104,F13B_21_22_APR!$B$14:$EO$223,138,0)</f>
        <v>87.696086531061255</v>
      </c>
      <c r="M104" s="1861">
        <f>VLOOKUP($B104,F13B_21_22_APR!$B$14:$EO$223,140,0)</f>
        <v>14.771598399999998</v>
      </c>
      <c r="N104" s="1780">
        <f t="shared" si="11"/>
        <v>187.63844303106126</v>
      </c>
      <c r="O104" s="1780">
        <f t="shared" si="9"/>
        <v>4.6689815114790658</v>
      </c>
      <c r="Q104" s="1847">
        <f t="shared" si="8"/>
        <v>319.71178809452761</v>
      </c>
      <c r="R104" s="1848">
        <v>6.8850418064515679</v>
      </c>
      <c r="S104" s="1848">
        <v>-55.207099800000037</v>
      </c>
      <c r="T104" s="1848">
        <v>-12.265944732886553</v>
      </c>
      <c r="U104" s="1848">
        <v>-4.0243935000000004</v>
      </c>
      <c r="V104" s="1848">
        <v>-71.497438032886606</v>
      </c>
    </row>
    <row r="105" spans="1:22">
      <c r="A105" s="1797">
        <v>11</v>
      </c>
      <c r="B105" s="1862" t="s">
        <v>1733</v>
      </c>
      <c r="C105" s="1863">
        <v>520</v>
      </c>
      <c r="D105" s="1776">
        <v>0.13383762687276415</v>
      </c>
      <c r="E105" s="1854" t="s">
        <v>1717</v>
      </c>
      <c r="F105" s="1776">
        <v>1.2E-2</v>
      </c>
      <c r="G105" s="1776">
        <v>0.26538461538461539</v>
      </c>
      <c r="H105" s="1863">
        <v>138</v>
      </c>
      <c r="I105" s="1861">
        <v>160.93167825806449</v>
      </c>
      <c r="J105" s="1861">
        <f>VLOOKUP($B105,F13B_21_22_APR!$B$14:$EP$237,133,0)</f>
        <v>154.780078</v>
      </c>
      <c r="K105" s="1861">
        <f>VLOOKUP($B105,F13B_21_22_APR!$B$14:$EO$223,136,0)</f>
        <v>71.45270627650001</v>
      </c>
      <c r="L105" s="1861">
        <f>VLOOKUP($B105,F13B_21_22_APR!$B$14:$EO$223,138,0)</f>
        <v>24.008215283964589</v>
      </c>
      <c r="M105" s="1861">
        <f>VLOOKUP($B105,F13B_21_22_APR!$B$14:$EO$223,140,0)</f>
        <v>6.2786800000000004E-2</v>
      </c>
      <c r="N105" s="1780">
        <f t="shared" si="11"/>
        <v>95.523708360464596</v>
      </c>
      <c r="O105" s="1780">
        <f t="shared" si="9"/>
        <v>6.1715764454172586</v>
      </c>
      <c r="Q105" s="1847">
        <f t="shared" si="8"/>
        <v>159.85210680945974</v>
      </c>
      <c r="R105" s="1848">
        <v>-6.186516638709719</v>
      </c>
      <c r="S105" s="1848">
        <v>-41.54295883333333</v>
      </c>
      <c r="T105" s="1848">
        <v>6.8608039887962491E-2</v>
      </c>
      <c r="U105" s="1848">
        <v>3.4977800000000003E-2</v>
      </c>
      <c r="V105" s="1848">
        <v>-41.43937299344536</v>
      </c>
    </row>
    <row r="106" spans="1:22">
      <c r="A106" s="1797">
        <v>12</v>
      </c>
      <c r="B106" s="1862" t="s">
        <v>1734</v>
      </c>
      <c r="C106" s="1863">
        <v>330</v>
      </c>
      <c r="D106" s="1776">
        <v>0.38759061582952903</v>
      </c>
      <c r="E106" s="1854" t="s">
        <v>1717</v>
      </c>
      <c r="F106" s="1776">
        <v>1.2E-2</v>
      </c>
      <c r="G106" s="1776">
        <v>0.41696969696969693</v>
      </c>
      <c r="H106" s="1863">
        <v>137.6</v>
      </c>
      <c r="I106" s="1861">
        <v>463.52728057526883</v>
      </c>
      <c r="J106" s="1861">
        <f>VLOOKUP($B106,F13B_21_22_APR!$B$14:$EP$237,133,0)</f>
        <v>641.42692466666654</v>
      </c>
      <c r="K106" s="1861">
        <f>VLOOKUP($B106,F13B_21_22_APR!$B$14:$EO$223,136,0)</f>
        <v>137.89897213774998</v>
      </c>
      <c r="L106" s="1861">
        <f>VLOOKUP($B106,F13B_21_22_APR!$B$14:$EO$223,138,0)</f>
        <v>128.80232128281253</v>
      </c>
      <c r="M106" s="1861">
        <f>VLOOKUP($B106,F13B_21_22_APR!$B$14:$EO$223,140,0)</f>
        <v>4.7256262099999997</v>
      </c>
      <c r="N106" s="1780">
        <f t="shared" si="11"/>
        <v>271.42691963056245</v>
      </c>
      <c r="O106" s="1780">
        <f t="shared" si="9"/>
        <v>4.2316109472893775</v>
      </c>
      <c r="Q106" s="1847">
        <f t="shared" si="8"/>
        <v>461.58611703238068</v>
      </c>
      <c r="R106" s="1848">
        <v>-76.707741559139833</v>
      </c>
      <c r="S106" s="1848">
        <v>-23.44754186666664</v>
      </c>
      <c r="T106" s="1848">
        <v>-11.572180233067925</v>
      </c>
      <c r="U106" s="1848">
        <v>-1.0480023000000001</v>
      </c>
      <c r="V106" s="1848">
        <v>-36.067724399734573</v>
      </c>
    </row>
    <row r="107" spans="1:22">
      <c r="A107" s="1797">
        <v>13</v>
      </c>
      <c r="B107" s="1862" t="s">
        <v>1735</v>
      </c>
      <c r="C107" s="1863">
        <v>800</v>
      </c>
      <c r="D107" s="1776">
        <v>0.5</v>
      </c>
      <c r="E107" s="1854" t="s">
        <v>1717</v>
      </c>
      <c r="F107" s="1776">
        <v>1.2E-2</v>
      </c>
      <c r="G107" s="1776">
        <v>0.19500000000000001</v>
      </c>
      <c r="H107" s="1863">
        <v>156</v>
      </c>
      <c r="I107" s="1861">
        <v>57.335615999999995</v>
      </c>
      <c r="J107" s="1861">
        <f>VLOOKUP($B107,F13B_21_22_APR!$B$14:$EP$237,133,0)</f>
        <v>57.335615999999995</v>
      </c>
      <c r="K107" s="1861">
        <f>VLOOKUP($B107,F13B_21_22_APR!$B$14:$EO$223,136,0)</f>
        <v>4.8875000000000002</v>
      </c>
      <c r="L107" s="1861">
        <f>VLOOKUP($B107,F13B_21_22_APR!$B$14:$EO$223,138,0)</f>
        <v>13.158523871999998</v>
      </c>
      <c r="M107" s="1861">
        <f>VLOOKUP($B107,F13B_21_22_APR!$B$14:$EO$223,140,0)</f>
        <v>0</v>
      </c>
      <c r="N107" s="1780">
        <f t="shared" si="11"/>
        <v>18.046023871999999</v>
      </c>
      <c r="O107" s="1780">
        <f t="shared" si="9"/>
        <v>3.1474369913458333</v>
      </c>
      <c r="Q107" s="1847">
        <f t="shared" si="8"/>
        <v>675.08064000000002</v>
      </c>
      <c r="R107" s="1848">
        <v>-57.335615999999995</v>
      </c>
      <c r="S107" s="1848">
        <v>-4.8875000000000002</v>
      </c>
      <c r="T107" s="1848">
        <v>-13.158523871999998</v>
      </c>
      <c r="U107" s="1848">
        <v>0</v>
      </c>
      <c r="V107" s="1848">
        <v>-18.046023871999999</v>
      </c>
    </row>
    <row r="108" spans="1:22">
      <c r="A108" s="1797">
        <v>14</v>
      </c>
      <c r="B108" s="1862" t="s">
        <v>1736</v>
      </c>
      <c r="C108" s="1863">
        <v>2000</v>
      </c>
      <c r="D108" s="1776">
        <v>0</v>
      </c>
      <c r="E108" s="1854" t="s">
        <v>1717</v>
      </c>
      <c r="F108" s="1776">
        <v>1.2E-2</v>
      </c>
      <c r="G108" s="1776">
        <v>9.0999999999999998E-2</v>
      </c>
      <c r="H108" s="1863">
        <v>182</v>
      </c>
      <c r="I108" s="1861">
        <v>0</v>
      </c>
      <c r="J108" s="1861">
        <f>VLOOKUP($B108,F13B_21_22_APR!$B$14:$EP$237,133,0)</f>
        <v>0</v>
      </c>
      <c r="K108" s="1861">
        <f>VLOOKUP($B108,F13B_21_22_APR!$B$14:$EO$223,136,0)</f>
        <v>0</v>
      </c>
      <c r="L108" s="1861">
        <f>VLOOKUP($B108,F13B_21_22_APR!$B$14:$EO$223,138,0)</f>
        <v>0</v>
      </c>
      <c r="M108" s="1861">
        <f>VLOOKUP($B108,F13B_21_22_APR!$B$14:$EO$223,140,0)</f>
        <v>0</v>
      </c>
      <c r="N108" s="1780">
        <f t="shared" si="11"/>
        <v>0</v>
      </c>
      <c r="O108" s="1780"/>
      <c r="Q108" s="1847">
        <f t="shared" si="8"/>
        <v>0</v>
      </c>
      <c r="R108" s="1848">
        <v>0</v>
      </c>
      <c r="S108" s="1848">
        <v>0</v>
      </c>
      <c r="T108" s="1848">
        <v>0</v>
      </c>
      <c r="U108" s="1848">
        <v>0</v>
      </c>
      <c r="V108" s="1848">
        <v>0</v>
      </c>
    </row>
    <row r="109" spans="1:22">
      <c r="A109" s="1797">
        <v>15</v>
      </c>
      <c r="B109" s="1862" t="s">
        <v>1737</v>
      </c>
      <c r="C109" s="1863">
        <v>1000</v>
      </c>
      <c r="D109" s="1776">
        <v>0</v>
      </c>
      <c r="E109" s="1854" t="s">
        <v>1717</v>
      </c>
      <c r="F109" s="1776">
        <v>0.01</v>
      </c>
      <c r="G109" s="1776">
        <v>0.2</v>
      </c>
      <c r="H109" s="1863">
        <v>200</v>
      </c>
      <c r="I109" s="1861">
        <v>0</v>
      </c>
      <c r="J109" s="1861">
        <f>VLOOKUP($B109,F13B_21_22_APR!$B$14:$EP$237,133,0)</f>
        <v>0</v>
      </c>
      <c r="K109" s="1861">
        <f>VLOOKUP($B109,F13B_21_22_APR!$B$14:$EO$223,136,0)</f>
        <v>0</v>
      </c>
      <c r="L109" s="1861">
        <f>VLOOKUP($B109,F13B_21_22_APR!$B$14:$EO$223,138,0)</f>
        <v>0</v>
      </c>
      <c r="M109" s="1861">
        <f>VLOOKUP($B109,F13B_21_22_APR!$B$14:$EO$223,140,0)</f>
        <v>0</v>
      </c>
      <c r="N109" s="1780">
        <f t="shared" si="11"/>
        <v>0</v>
      </c>
      <c r="O109" s="1780"/>
      <c r="P109" s="1356">
        <v>15</v>
      </c>
      <c r="Q109" s="1847">
        <f t="shared" si="8"/>
        <v>0</v>
      </c>
      <c r="R109" s="1848">
        <v>0</v>
      </c>
      <c r="S109" s="1848">
        <v>0</v>
      </c>
      <c r="T109" s="1848">
        <v>0</v>
      </c>
      <c r="U109" s="1848">
        <v>0</v>
      </c>
      <c r="V109" s="1848">
        <v>0</v>
      </c>
    </row>
    <row r="110" spans="1:22">
      <c r="A110" s="1797"/>
      <c r="B110" s="1774" t="s">
        <v>2058</v>
      </c>
      <c r="C110" s="1853"/>
      <c r="D110" s="1854"/>
      <c r="E110" s="1854"/>
      <c r="F110" s="1776"/>
      <c r="G110" s="1854"/>
      <c r="H110" s="1853"/>
      <c r="I110" s="1861"/>
      <c r="J110" s="1861">
        <f>VLOOKUP($B110,F13B_21_22_APR!$B$14:$EP$237,133,0)</f>
        <v>0</v>
      </c>
      <c r="K110" s="1861">
        <f>VLOOKUP($B110,F13B_21_22_APR!$B$14:$EO$223,136,0)</f>
        <v>0</v>
      </c>
      <c r="L110" s="1861">
        <f>VLOOKUP($B110,F13B_21_22_APR!$B$14:$EO$223,138,0)</f>
        <v>0</v>
      </c>
      <c r="M110" s="1861">
        <f>VLOOKUP($B110,F13B_21_22_APR!$B$14:$EO$223,140,0)</f>
        <v>0</v>
      </c>
      <c r="N110" s="1780">
        <f t="shared" si="11"/>
        <v>0</v>
      </c>
      <c r="O110" s="1780"/>
      <c r="Q110" s="1847">
        <f t="shared" si="8"/>
        <v>0</v>
      </c>
      <c r="R110" s="1848">
        <v>0</v>
      </c>
      <c r="S110" s="1848">
        <v>0</v>
      </c>
      <c r="T110" s="1848">
        <v>0</v>
      </c>
      <c r="U110" s="1848">
        <v>148.4225873</v>
      </c>
      <c r="V110" s="1848">
        <v>148.4225873</v>
      </c>
    </row>
    <row r="111" spans="1:22">
      <c r="A111" s="1797"/>
      <c r="B111" s="1867" t="s">
        <v>211</v>
      </c>
      <c r="C111" s="1780">
        <f>SUM(C95:C109)</f>
        <v>8015.2</v>
      </c>
      <c r="D111" s="1854"/>
      <c r="E111" s="1856"/>
      <c r="F111" s="1856"/>
      <c r="G111" s="1856"/>
      <c r="H111" s="1780">
        <f t="shared" ref="H111:N111" si="12">SUM(H95:H110)</f>
        <v>1415.6</v>
      </c>
      <c r="I111" s="1780">
        <f t="shared" si="12"/>
        <v>3741.131151567527</v>
      </c>
      <c r="J111" s="1780">
        <f t="shared" si="12"/>
        <v>4092.9794626266653</v>
      </c>
      <c r="K111" s="1780">
        <f t="shared" si="12"/>
        <v>745.30859365125002</v>
      </c>
      <c r="L111" s="1780">
        <f t="shared" si="12"/>
        <v>682.31338536565045</v>
      </c>
      <c r="M111" s="1780">
        <f t="shared" si="12"/>
        <v>60.560268410000006</v>
      </c>
      <c r="N111" s="1780">
        <f t="shared" si="12"/>
        <v>1488.1822474269004</v>
      </c>
      <c r="O111" s="1780">
        <f t="shared" si="9"/>
        <v>3.6359387116784134</v>
      </c>
      <c r="Q111" s="1847">
        <f t="shared" si="8"/>
        <v>0</v>
      </c>
      <c r="R111" s="1848">
        <v>7.0671466292469631</v>
      </c>
      <c r="S111" s="1848">
        <v>-268.44368053333335</v>
      </c>
      <c r="T111" s="1848">
        <v>-5.3590366184321283</v>
      </c>
      <c r="U111" s="1848">
        <v>167.8905322</v>
      </c>
      <c r="V111" s="1848">
        <v>-105.91218495176554</v>
      </c>
    </row>
    <row r="112" spans="1:22">
      <c r="A112" s="1797"/>
      <c r="B112" s="1867"/>
      <c r="C112" s="1853"/>
      <c r="D112" s="1854"/>
      <c r="E112" s="1856"/>
      <c r="F112" s="1856"/>
      <c r="G112" s="1856"/>
      <c r="H112" s="1780"/>
      <c r="I112" s="1861"/>
      <c r="J112" s="1861"/>
      <c r="K112" s="1861"/>
      <c r="L112" s="1861"/>
      <c r="M112" s="1861"/>
      <c r="N112" s="1861"/>
      <c r="O112" s="1780"/>
      <c r="Q112" s="1847">
        <f t="shared" si="8"/>
        <v>0</v>
      </c>
    </row>
    <row r="113" spans="1:22">
      <c r="A113" s="1797" t="s">
        <v>28</v>
      </c>
      <c r="B113" s="1869" t="s">
        <v>1739</v>
      </c>
      <c r="C113" s="1853"/>
      <c r="D113" s="1854"/>
      <c r="E113" s="1856"/>
      <c r="F113" s="1856"/>
      <c r="G113" s="1856"/>
      <c r="H113" s="1780"/>
      <c r="I113" s="1861"/>
      <c r="J113" s="1861"/>
      <c r="K113" s="1861"/>
      <c r="L113" s="1861"/>
      <c r="M113" s="1861"/>
      <c r="N113" s="1861"/>
      <c r="O113" s="1780"/>
      <c r="Q113" s="1847">
        <f t="shared" si="8"/>
        <v>0</v>
      </c>
    </row>
    <row r="114" spans="1:22">
      <c r="A114" s="1797">
        <v>1</v>
      </c>
      <c r="B114" s="1065" t="s">
        <v>1740</v>
      </c>
      <c r="C114" s="1863">
        <v>800</v>
      </c>
      <c r="D114" s="1776">
        <v>0.43412032139120088</v>
      </c>
      <c r="E114" s="1854" t="s">
        <v>1717</v>
      </c>
      <c r="F114" s="1776">
        <v>0.01</v>
      </c>
      <c r="G114" s="1776">
        <v>0.19889999999999999</v>
      </c>
      <c r="H114" s="1863">
        <v>159.12</v>
      </c>
      <c r="I114" s="1861">
        <v>340.35990363333332</v>
      </c>
      <c r="J114" s="1861">
        <f>VLOOKUP($B114,F13B_21_22_APR!$B$14:$EP$237,133,0)</f>
        <v>670.76159379999979</v>
      </c>
      <c r="K114" s="1861">
        <f>VLOOKUP($B114,F13B_21_22_APR!$B$14:$EO$223,136,0)</f>
        <v>173.74828950250003</v>
      </c>
      <c r="L114" s="1861">
        <f>VLOOKUP($B114,F13B_21_22_APR!$B$14:$EO$223,138,0)</f>
        <v>166.35521041176256</v>
      </c>
      <c r="M114" s="1861">
        <f>VLOOKUP($B114,F13B_21_22_APR!$B$14:$EO$223,140,0)</f>
        <v>9.9427000000000005E-3</v>
      </c>
      <c r="N114" s="1780">
        <f>SUM(K114:M114)</f>
        <v>340.11344261426257</v>
      </c>
      <c r="O114" s="1780">
        <f t="shared" si="9"/>
        <v>5.0705563013447339</v>
      </c>
      <c r="Q114" s="1847">
        <f t="shared" si="8"/>
        <v>599.06533077108304</v>
      </c>
      <c r="R114" s="1848">
        <v>111.70744544000001</v>
      </c>
      <c r="S114" s="1848">
        <v>-33.375324733333287</v>
      </c>
      <c r="T114" s="1848">
        <v>19.827830805723295</v>
      </c>
      <c r="U114" s="1848">
        <v>0</v>
      </c>
      <c r="V114" s="1848">
        <v>-13.547493927609992</v>
      </c>
    </row>
    <row r="115" spans="1:22">
      <c r="A115" s="1797">
        <v>2</v>
      </c>
      <c r="B115" s="1065" t="s">
        <v>1741</v>
      </c>
      <c r="C115" s="1863">
        <v>520</v>
      </c>
      <c r="D115" s="1776">
        <v>0</v>
      </c>
      <c r="E115" s="1854" t="s">
        <v>1717</v>
      </c>
      <c r="F115" s="1776">
        <v>1.2E-2</v>
      </c>
      <c r="G115" s="1776">
        <v>0.19230769230769232</v>
      </c>
      <c r="H115" s="1863">
        <v>100</v>
      </c>
      <c r="I115" s="1861">
        <v>0</v>
      </c>
      <c r="J115" s="1861">
        <f>VLOOKUP($B115,F13B_21_22_APR!$B$14:$EP$237,133,0)</f>
        <v>0</v>
      </c>
      <c r="K115" s="1861">
        <f>VLOOKUP($B115,F13B_21_22_APR!$B$14:$EO$223,136,0)</f>
        <v>0</v>
      </c>
      <c r="L115" s="1861">
        <f>VLOOKUP($B115,F13B_21_22_APR!$B$14:$EO$223,138,0)</f>
        <v>0</v>
      </c>
      <c r="M115" s="1861">
        <f>VLOOKUP($B115,F13B_21_22_APR!$B$14:$EO$223,140,0)</f>
        <v>0</v>
      </c>
      <c r="N115" s="1780">
        <f>SUM(K115:M115)</f>
        <v>0</v>
      </c>
      <c r="O115" s="1780"/>
      <c r="Q115" s="1847">
        <f t="shared" si="8"/>
        <v>0</v>
      </c>
      <c r="R115" s="1848">
        <v>0</v>
      </c>
      <c r="S115" s="1848">
        <v>0</v>
      </c>
      <c r="T115" s="1848">
        <v>0</v>
      </c>
      <c r="U115" s="1848">
        <v>0</v>
      </c>
      <c r="V115" s="1848">
        <v>0</v>
      </c>
    </row>
    <row r="116" spans="1:22">
      <c r="A116" s="1797">
        <v>3</v>
      </c>
      <c r="B116" s="1065" t="s">
        <v>1742</v>
      </c>
      <c r="C116" s="1863">
        <v>171</v>
      </c>
      <c r="D116" s="1776">
        <v>0</v>
      </c>
      <c r="E116" s="1854" t="s">
        <v>1717</v>
      </c>
      <c r="F116" s="1776">
        <v>1.2E-2</v>
      </c>
      <c r="G116" s="1776">
        <v>0.19883040935672514</v>
      </c>
      <c r="H116" s="1863">
        <v>34</v>
      </c>
      <c r="I116" s="1861">
        <v>0</v>
      </c>
      <c r="J116" s="1861">
        <f>VLOOKUP($B116,F13B_21_22_APR!$B$14:$EP$237,133,0)</f>
        <v>0</v>
      </c>
      <c r="K116" s="1861">
        <f>VLOOKUP($B116,F13B_21_22_APR!$B$14:$EO$223,136,0)</f>
        <v>0</v>
      </c>
      <c r="L116" s="1861">
        <f>VLOOKUP($B116,F13B_21_22_APR!$B$14:$EO$223,138,0)</f>
        <v>0</v>
      </c>
      <c r="M116" s="1861">
        <f>VLOOKUP($B116,F13B_21_22_APR!$B$14:$EO$223,140,0)</f>
        <v>0</v>
      </c>
      <c r="N116" s="1780">
        <f>SUM(K116:M116)</f>
        <v>0</v>
      </c>
      <c r="O116" s="1780"/>
      <c r="Q116" s="1847">
        <f t="shared" si="8"/>
        <v>0</v>
      </c>
      <c r="R116" s="1848">
        <v>0</v>
      </c>
      <c r="S116" s="1848">
        <v>0</v>
      </c>
      <c r="T116" s="1848">
        <v>0</v>
      </c>
      <c r="U116" s="1848">
        <v>0</v>
      </c>
      <c r="V116" s="1848">
        <v>0</v>
      </c>
    </row>
    <row r="117" spans="1:22">
      <c r="A117" s="1797">
        <v>4</v>
      </c>
      <c r="B117" s="1065" t="s">
        <v>1743</v>
      </c>
      <c r="C117" s="1863">
        <v>8</v>
      </c>
      <c r="D117" s="1776">
        <v>0.75</v>
      </c>
      <c r="E117" s="1854" t="s">
        <v>1717</v>
      </c>
      <c r="F117" s="1776">
        <v>0</v>
      </c>
      <c r="G117" s="1776">
        <v>0.42499999999999999</v>
      </c>
      <c r="H117" s="1863">
        <v>3.4</v>
      </c>
      <c r="I117" s="1861">
        <v>22.705199999999991</v>
      </c>
      <c r="J117" s="1861">
        <f>VLOOKUP($B117,F13B_21_22_APR!$B$14:$EP$237,133,0)</f>
        <v>11.028905999999999</v>
      </c>
      <c r="K117" s="1861">
        <f>VLOOKUP($B117,F13B_21_22_APR!$B$14:$EO$223,136,0)</f>
        <v>5.3461719150000002</v>
      </c>
      <c r="L117" s="1861">
        <f>VLOOKUP($B117,F13B_21_22_APR!$B$14:$EO$223,138,0)</f>
        <v>4.687354725172213</v>
      </c>
      <c r="M117" s="1861">
        <f>VLOOKUP($B117,F13B_21_22_APR!$B$14:$EO$223,140,0)</f>
        <v>2.2230000000000001E-4</v>
      </c>
      <c r="N117" s="1780">
        <f>SUM(K117:M117)</f>
        <v>10.033748940172213</v>
      </c>
      <c r="O117" s="1780">
        <f t="shared" si="9"/>
        <v>9.0976828891027033</v>
      </c>
      <c r="Q117" s="1847">
        <f t="shared" si="8"/>
        <v>22.337999999999997</v>
      </c>
      <c r="R117" s="1848">
        <v>-2.4271716000000012</v>
      </c>
      <c r="S117" s="1848">
        <v>0</v>
      </c>
      <c r="T117" s="1848">
        <v>0.31474864261666902</v>
      </c>
      <c r="U117" s="1848">
        <v>0</v>
      </c>
      <c r="V117" s="1848">
        <v>0.31474864261666902</v>
      </c>
    </row>
    <row r="118" spans="1:22">
      <c r="A118" s="1797"/>
      <c r="B118" s="1867" t="s">
        <v>211</v>
      </c>
      <c r="C118" s="1780">
        <f>SUM(C114:C117)</f>
        <v>1499</v>
      </c>
      <c r="D118" s="1854"/>
      <c r="E118" s="1856"/>
      <c r="F118" s="1856"/>
      <c r="G118" s="1856"/>
      <c r="H118" s="1780">
        <f t="shared" ref="H118:M118" si="13">SUM(H114:H117)</f>
        <v>296.52</v>
      </c>
      <c r="I118" s="1780">
        <f t="shared" si="13"/>
        <v>363.06510363333331</v>
      </c>
      <c r="J118" s="1780">
        <f t="shared" si="13"/>
        <v>681.79049979999979</v>
      </c>
      <c r="K118" s="1780">
        <f t="shared" si="13"/>
        <v>179.09446141750004</v>
      </c>
      <c r="L118" s="1780">
        <f t="shared" si="13"/>
        <v>171.04256513693477</v>
      </c>
      <c r="M118" s="1780">
        <f t="shared" si="13"/>
        <v>1.0165E-2</v>
      </c>
      <c r="N118" s="1780">
        <f>SUM(K118:M118)</f>
        <v>350.14719155443476</v>
      </c>
      <c r="O118" s="1780">
        <f t="shared" si="9"/>
        <v>5.1357006537513925</v>
      </c>
      <c r="P118" s="1356">
        <v>4</v>
      </c>
      <c r="Q118" s="1847">
        <f t="shared" si="8"/>
        <v>0</v>
      </c>
      <c r="R118" s="1848">
        <v>109.28027384000006</v>
      </c>
      <c r="S118" s="1848">
        <v>-33.375324733333287</v>
      </c>
      <c r="T118" s="1848">
        <v>20.142579448339973</v>
      </c>
      <c r="U118" s="1848">
        <v>0</v>
      </c>
      <c r="V118" s="1848">
        <v>-13.232745284993314</v>
      </c>
    </row>
    <row r="119" spans="1:22">
      <c r="A119" s="1797"/>
      <c r="B119" s="1867"/>
      <c r="C119" s="1853"/>
      <c r="D119" s="1854"/>
      <c r="E119" s="1856"/>
      <c r="F119" s="1856"/>
      <c r="G119" s="1856"/>
      <c r="H119" s="1780"/>
      <c r="I119" s="1861"/>
      <c r="J119" s="1861"/>
      <c r="K119" s="1861"/>
      <c r="L119" s="1861"/>
      <c r="M119" s="1861"/>
      <c r="N119" s="1861"/>
      <c r="O119" s="1780"/>
      <c r="Q119" s="1847">
        <f t="shared" si="8"/>
        <v>0</v>
      </c>
    </row>
    <row r="120" spans="1:22">
      <c r="A120" s="1797" t="s">
        <v>30</v>
      </c>
      <c r="B120" s="303" t="s">
        <v>1744</v>
      </c>
      <c r="C120" s="1853"/>
      <c r="D120" s="1854"/>
      <c r="E120" s="1856"/>
      <c r="F120" s="1856"/>
      <c r="G120" s="1856"/>
      <c r="H120" s="1780"/>
      <c r="I120" s="1861"/>
      <c r="J120" s="1861"/>
      <c r="K120" s="1861"/>
      <c r="L120" s="1861"/>
      <c r="M120" s="1861"/>
      <c r="N120" s="1861"/>
      <c r="O120" s="1780"/>
      <c r="Q120" s="1847">
        <f t="shared" si="8"/>
        <v>0</v>
      </c>
    </row>
    <row r="121" spans="1:22">
      <c r="A121" s="1797"/>
      <c r="B121" s="303" t="s">
        <v>1745</v>
      </c>
      <c r="C121" s="1853"/>
      <c r="D121" s="1854"/>
      <c r="E121" s="1856"/>
      <c r="F121" s="1856"/>
      <c r="G121" s="1856"/>
      <c r="H121" s="1780"/>
      <c r="I121" s="1861"/>
      <c r="J121" s="1861"/>
      <c r="K121" s="1861"/>
      <c r="L121" s="1861"/>
      <c r="M121" s="1861"/>
      <c r="N121" s="1861"/>
      <c r="O121" s="1780"/>
      <c r="Q121" s="1847">
        <f t="shared" si="8"/>
        <v>0</v>
      </c>
    </row>
    <row r="122" spans="1:22">
      <c r="A122" s="1797">
        <v>1</v>
      </c>
      <c r="B122" s="1862" t="s">
        <v>1746</v>
      </c>
      <c r="C122" s="1863">
        <v>1000</v>
      </c>
      <c r="D122" s="1776">
        <v>0.37861742758037337</v>
      </c>
      <c r="E122" s="1854" t="s">
        <v>1717</v>
      </c>
      <c r="F122" s="1776">
        <v>1.2E-2</v>
      </c>
      <c r="G122" s="1776">
        <v>0.374</v>
      </c>
      <c r="H122" s="1863">
        <v>374</v>
      </c>
      <c r="I122" s="1861">
        <v>1226.6328888483868</v>
      </c>
      <c r="J122" s="1861">
        <f>VLOOKUP($B122,F13B_21_22_APR!$B$14:$EP$237,133,0)</f>
        <v>1248.5579671999999</v>
      </c>
      <c r="K122" s="1861">
        <f>VLOOKUP($B122,F13B_21_22_APR!$B$14:$EO$223,136,0)</f>
        <v>217.78614888625</v>
      </c>
      <c r="L122" s="1861">
        <f>VLOOKUP($B122,F13B_21_22_APR!$B$14:$EO$223,138,0)</f>
        <v>283.75896240994535</v>
      </c>
      <c r="M122" s="1861">
        <f>VLOOKUP($B122,F13B_21_22_APR!$B$14:$EO$223,140,0)</f>
        <v>6.5821915000000004</v>
      </c>
      <c r="N122" s="1780">
        <f>SUM(K122:M122)</f>
        <v>508.12730279619541</v>
      </c>
      <c r="O122" s="1780">
        <f t="shared" si="9"/>
        <v>4.0697133504799554</v>
      </c>
      <c r="Q122" s="1847">
        <f t="shared" si="8"/>
        <v>1225.5562622046914</v>
      </c>
      <c r="R122" s="1848">
        <v>31.901093051613316</v>
      </c>
      <c r="S122" s="1848">
        <v>-71.226647766666702</v>
      </c>
      <c r="T122" s="1848">
        <v>14.289701467022837</v>
      </c>
      <c r="U122" s="1848">
        <v>59.316109600000004</v>
      </c>
      <c r="V122" s="1848">
        <v>2.3791633003561401</v>
      </c>
    </row>
    <row r="123" spans="1:22">
      <c r="A123" s="1797">
        <v>2</v>
      </c>
      <c r="B123" s="1862" t="s">
        <v>1747</v>
      </c>
      <c r="C123" s="1863">
        <v>400</v>
      </c>
      <c r="D123" s="1776">
        <v>0.37096271345567705</v>
      </c>
      <c r="E123" s="1854" t="s">
        <v>1717</v>
      </c>
      <c r="F123" s="1776">
        <v>0.01</v>
      </c>
      <c r="G123" s="1776">
        <v>0.38750000000000001</v>
      </c>
      <c r="H123" s="1863">
        <v>155</v>
      </c>
      <c r="I123" s="1861">
        <v>498.95539750070969</v>
      </c>
      <c r="J123" s="1861">
        <f>VLOOKUP($B123,F13B_21_22_APR!$B$14:$EP$237,133,0)</f>
        <v>494.85617557199998</v>
      </c>
      <c r="K123" s="1861">
        <f>VLOOKUP($B123,F13B_21_22_APR!$B$14:$EO$223,136,0)</f>
        <v>100.75768296625002</v>
      </c>
      <c r="L123" s="1861">
        <f>VLOOKUP($B123,F13B_21_22_APR!$B$14:$EO$223,138,0)</f>
        <v>124.25893699230215</v>
      </c>
      <c r="M123" s="1861">
        <f>VLOOKUP($B123,F13B_21_22_APR!$B$14:$EO$223,140,0)</f>
        <v>7.2298799999999996E-2</v>
      </c>
      <c r="N123" s="1780">
        <f>SUM(K123:M123)</f>
        <v>225.08891875855215</v>
      </c>
      <c r="O123" s="1780">
        <f t="shared" si="9"/>
        <v>4.5485724917623553</v>
      </c>
      <c r="Q123" s="1847">
        <f t="shared" si="8"/>
        <v>498.65624060681711</v>
      </c>
      <c r="R123" s="1848">
        <v>22.188736538709804</v>
      </c>
      <c r="S123" s="1848">
        <v>-1.9960006533332972</v>
      </c>
      <c r="T123" s="1848">
        <v>-1.7937992619606291</v>
      </c>
      <c r="U123" s="1848">
        <v>-4.9362308000000015</v>
      </c>
      <c r="V123" s="1848">
        <v>-8.7260307152939163</v>
      </c>
    </row>
    <row r="124" spans="1:22" s="1180" customFormat="1">
      <c r="A124" s="1797">
        <v>3</v>
      </c>
      <c r="B124" s="1862" t="s">
        <v>1748</v>
      </c>
      <c r="C124" s="1863">
        <v>24</v>
      </c>
      <c r="D124" s="1776">
        <v>0.2693696140548506</v>
      </c>
      <c r="E124" s="1854" t="s">
        <v>1717</v>
      </c>
      <c r="F124" s="1776">
        <v>0.01</v>
      </c>
      <c r="G124" s="1776">
        <v>1</v>
      </c>
      <c r="H124" s="1863">
        <v>24</v>
      </c>
      <c r="I124" s="1861">
        <v>0</v>
      </c>
      <c r="J124" s="1861">
        <f>F13B_21_22_APR!ED125</f>
        <v>44.857373000000003</v>
      </c>
      <c r="K124" s="1861">
        <f>F13B_21_22_APR!EG125</f>
        <v>0</v>
      </c>
      <c r="L124" s="1861">
        <f>F13B_21_22_APR!EI125</f>
        <v>19.292627007</v>
      </c>
      <c r="M124" s="1861">
        <f>F13B_21_22_APR!EK125</f>
        <v>0.16108854</v>
      </c>
      <c r="N124" s="1780">
        <f>SUM(K124:M124)</f>
        <v>19.453715547000002</v>
      </c>
      <c r="O124" s="1780">
        <f t="shared" si="9"/>
        <v>4.3367933175667686</v>
      </c>
      <c r="Q124" s="1847">
        <f t="shared" si="8"/>
        <v>56.065944982302867</v>
      </c>
      <c r="R124" s="1864">
        <v>45.103986000000006</v>
      </c>
      <c r="S124" s="1864">
        <v>0</v>
      </c>
      <c r="T124" s="1864">
        <v>21.94813272</v>
      </c>
      <c r="U124" s="1864">
        <v>0</v>
      </c>
      <c r="V124" s="1864">
        <v>21.94813272</v>
      </c>
    </row>
    <row r="125" spans="1:22">
      <c r="A125" s="1797">
        <v>4</v>
      </c>
      <c r="B125" s="1862" t="s">
        <v>1749</v>
      </c>
      <c r="C125" s="1863">
        <v>444</v>
      </c>
      <c r="D125" s="1776">
        <v>0</v>
      </c>
      <c r="E125" s="1854" t="s">
        <v>1717</v>
      </c>
      <c r="F125" s="1776">
        <v>1.2E-2</v>
      </c>
      <c r="G125" s="1776">
        <v>0.37387387387387389</v>
      </c>
      <c r="H125" s="1863">
        <v>166</v>
      </c>
      <c r="I125" s="1861">
        <v>0</v>
      </c>
      <c r="J125" s="1861">
        <f>VLOOKUP($B125,F13B_21_22_APR!$B$14:$EP$237,133,0)</f>
        <v>0</v>
      </c>
      <c r="K125" s="1861">
        <f>VLOOKUP($B125,F13B_21_22_APR!$B$14:$EO$223,136,0)</f>
        <v>0</v>
      </c>
      <c r="L125" s="1861">
        <f>VLOOKUP($B125,F13B_21_22_APR!$B$14:$EO$223,138,0)</f>
        <v>0</v>
      </c>
      <c r="M125" s="1861">
        <f>VLOOKUP($B125,F13B_21_22_APR!$B$14:$EO$223,140,0)</f>
        <v>0</v>
      </c>
      <c r="N125" s="1780">
        <f>SUM(K125:M125)</f>
        <v>0</v>
      </c>
      <c r="O125" s="1780"/>
      <c r="Q125" s="1847">
        <f t="shared" si="8"/>
        <v>0</v>
      </c>
      <c r="R125" s="1848">
        <v>0</v>
      </c>
      <c r="S125" s="1848">
        <v>0</v>
      </c>
      <c r="T125" s="1848">
        <v>0</v>
      </c>
      <c r="U125" s="1848">
        <v>0</v>
      </c>
      <c r="V125" s="1848">
        <v>0</v>
      </c>
    </row>
    <row r="126" spans="1:22">
      <c r="A126" s="1797"/>
      <c r="B126" s="1869" t="s">
        <v>1750</v>
      </c>
      <c r="C126" s="1853"/>
      <c r="D126" s="1854"/>
      <c r="E126" s="1856"/>
      <c r="F126" s="1856"/>
      <c r="G126" s="1856"/>
      <c r="H126" s="1853"/>
      <c r="I126" s="1861"/>
      <c r="J126" s="1861"/>
      <c r="K126" s="1861"/>
      <c r="L126" s="1861"/>
      <c r="M126" s="1861"/>
      <c r="N126" s="1780"/>
      <c r="O126" s="1780"/>
      <c r="Q126" s="1847">
        <f t="shared" si="8"/>
        <v>0</v>
      </c>
      <c r="R126" s="1848">
        <v>0</v>
      </c>
      <c r="S126" s="1848">
        <v>0</v>
      </c>
      <c r="T126" s="1848">
        <v>0</v>
      </c>
      <c r="U126" s="1848">
        <v>0</v>
      </c>
      <c r="V126" s="1848">
        <v>0</v>
      </c>
    </row>
    <row r="127" spans="1:22">
      <c r="A127" s="1797">
        <v>1</v>
      </c>
      <c r="B127" s="522" t="s">
        <v>1751</v>
      </c>
      <c r="C127" s="1863">
        <v>1320</v>
      </c>
      <c r="D127" s="1776">
        <v>0</v>
      </c>
      <c r="E127" s="1854" t="s">
        <v>1649</v>
      </c>
      <c r="F127" s="1776">
        <v>5.7500000000000002E-2</v>
      </c>
      <c r="G127" s="1776">
        <v>0.3</v>
      </c>
      <c r="H127" s="1863">
        <v>396</v>
      </c>
      <c r="I127" s="1861">
        <v>0</v>
      </c>
      <c r="J127" s="1861">
        <f>VLOOKUP($B127,F13B_21_22_APR!$B$14:$EP$237,133,0)</f>
        <v>0</v>
      </c>
      <c r="K127" s="1861">
        <f>VLOOKUP($B127,F13B_21_22_APR!$B$14:$EO$223,136,0)</f>
        <v>0</v>
      </c>
      <c r="L127" s="1861">
        <f>VLOOKUP($B127,F13B_21_22_APR!$B$14:$EO$223,138,0)</f>
        <v>0</v>
      </c>
      <c r="M127" s="1861">
        <f>VLOOKUP($B127,F13B_21_22_APR!$B$14:$EO$223,140,0)</f>
        <v>0</v>
      </c>
      <c r="N127" s="1780">
        <f>SUM(K127:M127)</f>
        <v>0</v>
      </c>
      <c r="O127" s="1780"/>
      <c r="Q127" s="1847">
        <f t="shared" si="8"/>
        <v>0</v>
      </c>
      <c r="R127" s="1848">
        <v>0</v>
      </c>
      <c r="S127" s="1848">
        <v>0</v>
      </c>
      <c r="T127" s="1848">
        <v>0</v>
      </c>
      <c r="U127" s="1848">
        <v>0</v>
      </c>
      <c r="V127" s="1848">
        <v>0</v>
      </c>
    </row>
    <row r="128" spans="1:22">
      <c r="A128" s="1797"/>
      <c r="B128" s="523" t="s">
        <v>211</v>
      </c>
      <c r="C128" s="1780">
        <f>SUM(C122:C125,C127)</f>
        <v>3188</v>
      </c>
      <c r="D128" s="1854"/>
      <c r="E128" s="1854"/>
      <c r="F128" s="1856"/>
      <c r="G128" s="1856"/>
      <c r="H128" s="1780">
        <f t="shared" ref="H128:N128" si="14">SUM(H122:H125,H127)</f>
        <v>1115</v>
      </c>
      <c r="I128" s="1780">
        <f t="shared" si="14"/>
        <v>1725.5882863490965</v>
      </c>
      <c r="J128" s="1780">
        <f t="shared" si="14"/>
        <v>1788.2715157719999</v>
      </c>
      <c r="K128" s="1780">
        <f t="shared" si="14"/>
        <v>318.54383185250003</v>
      </c>
      <c r="L128" s="1780">
        <f t="shared" si="14"/>
        <v>427.31052640924753</v>
      </c>
      <c r="M128" s="1780">
        <f t="shared" si="14"/>
        <v>6.8155788400000006</v>
      </c>
      <c r="N128" s="1780">
        <f t="shared" si="14"/>
        <v>752.66993710174756</v>
      </c>
      <c r="O128" s="1780">
        <f t="shared" si="9"/>
        <v>4.2089242626940724</v>
      </c>
      <c r="Q128" s="1847">
        <f t="shared" si="8"/>
        <v>0</v>
      </c>
      <c r="R128" s="1848">
        <v>99.193815590323311</v>
      </c>
      <c r="S128" s="1848">
        <v>-73.222648419999985</v>
      </c>
      <c r="T128" s="1848">
        <v>34.444034925062226</v>
      </c>
      <c r="U128" s="1848">
        <v>54.3798788</v>
      </c>
      <c r="V128" s="1848">
        <v>15.60126530506227</v>
      </c>
    </row>
    <row r="129" spans="1:22">
      <c r="A129" s="1797"/>
      <c r="B129" s="1065"/>
      <c r="C129" s="1853"/>
      <c r="D129" s="1854"/>
      <c r="E129" s="1854"/>
      <c r="F129" s="1856"/>
      <c r="G129" s="1856"/>
      <c r="H129" s="1780"/>
      <c r="I129" s="1861"/>
      <c r="J129" s="1861"/>
      <c r="K129" s="1861"/>
      <c r="L129" s="1861"/>
      <c r="M129" s="1861"/>
      <c r="N129" s="1861"/>
      <c r="O129" s="1780"/>
      <c r="Q129" s="1847">
        <f t="shared" si="8"/>
        <v>0</v>
      </c>
    </row>
    <row r="130" spans="1:22">
      <c r="A130" s="1797" t="s">
        <v>129</v>
      </c>
      <c r="B130" s="1867" t="s">
        <v>1752</v>
      </c>
      <c r="C130" s="1853"/>
      <c r="D130" s="1854"/>
      <c r="E130" s="1854"/>
      <c r="F130" s="1856"/>
      <c r="G130" s="1856"/>
      <c r="H130" s="1780"/>
      <c r="I130" s="1861"/>
      <c r="J130" s="1861"/>
      <c r="K130" s="1861"/>
      <c r="L130" s="1861"/>
      <c r="M130" s="1861"/>
      <c r="N130" s="1861"/>
      <c r="O130" s="1780"/>
      <c r="Q130" s="1847">
        <f t="shared" si="8"/>
        <v>0</v>
      </c>
    </row>
    <row r="131" spans="1:22">
      <c r="A131" s="1797">
        <v>1</v>
      </c>
      <c r="B131" s="1737" t="s">
        <v>1753</v>
      </c>
      <c r="C131" s="1863">
        <v>412</v>
      </c>
      <c r="D131" s="1776">
        <v>0.54231336177740552</v>
      </c>
      <c r="E131" s="1854" t="s">
        <v>1717</v>
      </c>
      <c r="F131" s="1776">
        <v>0.01</v>
      </c>
      <c r="G131" s="1776">
        <v>0.13834951456310679</v>
      </c>
      <c r="H131" s="1863">
        <v>57</v>
      </c>
      <c r="I131" s="1861">
        <v>268.93086260000001</v>
      </c>
      <c r="J131" s="1861">
        <f>VLOOKUP($B131,F13B_21_22_APR!$B$14:$EP$237,133,0)</f>
        <v>326.52439150000004</v>
      </c>
      <c r="K131" s="1861">
        <f>VLOOKUP($B131,F13B_21_22_APR!$B$14:$EO$223,136,0)</f>
        <v>87.980045900000007</v>
      </c>
      <c r="L131" s="1861">
        <f>VLOOKUP($B131,F13B_21_22_APR!$B$14:$EO$223,138,0)</f>
        <v>69.015324519523716</v>
      </c>
      <c r="M131" s="1861">
        <f>VLOOKUP($B131,F13B_21_22_APR!$B$14:$EO$223,140,0)</f>
        <v>16.091782299999995</v>
      </c>
      <c r="N131" s="1780">
        <f>SUM(K131:M131)</f>
        <v>173.08715271952374</v>
      </c>
      <c r="O131" s="1780">
        <f>$N131/$J131*10</f>
        <v>5.3008950395524659</v>
      </c>
      <c r="Q131" s="1847">
        <f t="shared" si="8"/>
        <v>268.08002872466722</v>
      </c>
      <c r="R131" s="1848">
        <v>32.455745000000036</v>
      </c>
      <c r="S131" s="1848">
        <v>-8.5202910333333506</v>
      </c>
      <c r="T131" s="1848">
        <v>-0.5185885197526261</v>
      </c>
      <c r="U131" s="1848">
        <v>163.94688880000001</v>
      </c>
      <c r="V131" s="1848">
        <v>154.90800924691408</v>
      </c>
    </row>
    <row r="132" spans="1:22">
      <c r="A132" s="1797">
        <v>2</v>
      </c>
      <c r="B132" s="1737" t="s">
        <v>1754</v>
      </c>
      <c r="C132" s="1863">
        <v>1500</v>
      </c>
      <c r="D132" s="1776">
        <v>0.53913107979790409</v>
      </c>
      <c r="E132" s="1854" t="s">
        <v>1717</v>
      </c>
      <c r="F132" s="1776">
        <v>1.2E-2</v>
      </c>
      <c r="G132" s="1776">
        <v>0.14733333333333334</v>
      </c>
      <c r="H132" s="1863">
        <v>221</v>
      </c>
      <c r="I132" s="1861">
        <v>1034.5812841699999</v>
      </c>
      <c r="J132" s="1861">
        <f>VLOOKUP($B132,F13B_21_22_APR!$B$14:$EP$237,133,0)</f>
        <v>1277.73410472</v>
      </c>
      <c r="K132" s="1861">
        <f>VLOOKUP($B132,F13B_21_22_APR!$B$14:$EO$223,136,0)</f>
        <v>191.55868428375001</v>
      </c>
      <c r="L132" s="1861">
        <f>VLOOKUP($B132,F13B_21_22_APR!$B$14:$EO$223,138,0)</f>
        <v>143.46659756015669</v>
      </c>
      <c r="M132" s="1861">
        <f>VLOOKUP($B132,F13B_21_22_APR!$B$14:$EO$223,140,0)</f>
        <v>4.2914525000000001</v>
      </c>
      <c r="N132" s="1780">
        <f>SUM(K132:M132)</f>
        <v>339.31673434390666</v>
      </c>
      <c r="O132" s="1780">
        <f t="shared" si="9"/>
        <v>2.6556130347500102</v>
      </c>
      <c r="P132" s="1356">
        <v>2</v>
      </c>
      <c r="Q132" s="1847">
        <f t="shared" si="8"/>
        <v>1031.2113707826038</v>
      </c>
      <c r="R132" s="1848">
        <v>114.87451350000038</v>
      </c>
      <c r="S132" s="1848">
        <v>-42.035112666666663</v>
      </c>
      <c r="T132" s="1848">
        <v>-3.641540008551118</v>
      </c>
      <c r="U132" s="1848">
        <v>10.204991099999996</v>
      </c>
      <c r="V132" s="1848">
        <v>-35.471661575217809</v>
      </c>
    </row>
    <row r="133" spans="1:22">
      <c r="A133" s="1797"/>
      <c r="B133" s="1870" t="s">
        <v>211</v>
      </c>
      <c r="C133" s="1780">
        <f>SUM(C131:C132)</f>
        <v>1912</v>
      </c>
      <c r="D133" s="1854"/>
      <c r="E133" s="1854"/>
      <c r="F133" s="1856"/>
      <c r="G133" s="1856"/>
      <c r="H133" s="1780">
        <f t="shared" ref="H133:M133" si="15">SUM(H131:H132)</f>
        <v>278</v>
      </c>
      <c r="I133" s="1780">
        <f t="shared" si="15"/>
        <v>1303.5121467699998</v>
      </c>
      <c r="J133" s="1780">
        <f t="shared" si="15"/>
        <v>1604.2584962200001</v>
      </c>
      <c r="K133" s="1780">
        <f t="shared" si="15"/>
        <v>279.53873018375003</v>
      </c>
      <c r="L133" s="1780">
        <f t="shared" si="15"/>
        <v>212.4819220796804</v>
      </c>
      <c r="M133" s="1780">
        <f t="shared" si="15"/>
        <v>20.383234799999997</v>
      </c>
      <c r="N133" s="1780">
        <f>SUM(K133:M133)</f>
        <v>512.40388706343037</v>
      </c>
      <c r="O133" s="1780">
        <f t="shared" si="9"/>
        <v>3.1940232092943321</v>
      </c>
      <c r="Q133" s="1847">
        <f t="shared" si="8"/>
        <v>0</v>
      </c>
      <c r="R133" s="1848">
        <v>147.33025850000058</v>
      </c>
      <c r="S133" s="1848">
        <v>-50.555403700000028</v>
      </c>
      <c r="T133" s="1848">
        <v>-4.1601285283037441</v>
      </c>
      <c r="U133" s="1848">
        <v>174.15187990000001</v>
      </c>
      <c r="V133" s="1848">
        <v>119.4363476716963</v>
      </c>
    </row>
    <row r="134" spans="1:22">
      <c r="A134" s="1797"/>
      <c r="B134" s="1737"/>
      <c r="C134" s="1853"/>
      <c r="D134" s="1854"/>
      <c r="E134" s="1854"/>
      <c r="F134" s="1856"/>
      <c r="G134" s="1856"/>
      <c r="H134" s="1780"/>
      <c r="I134" s="1861"/>
      <c r="J134" s="1861"/>
      <c r="K134" s="1861"/>
      <c r="L134" s="1861"/>
      <c r="M134" s="1861"/>
      <c r="N134" s="1861"/>
      <c r="O134" s="1780"/>
      <c r="Q134" s="1847">
        <f t="shared" si="8"/>
        <v>0</v>
      </c>
    </row>
    <row r="135" spans="1:22">
      <c r="A135" s="1797" t="s">
        <v>136</v>
      </c>
      <c r="B135" s="1871" t="s">
        <v>1755</v>
      </c>
      <c r="C135" s="1853"/>
      <c r="D135" s="1854"/>
      <c r="E135" s="1854"/>
      <c r="F135" s="1856"/>
      <c r="G135" s="1856"/>
      <c r="H135" s="1780"/>
      <c r="I135" s="1861"/>
      <c r="J135" s="1861"/>
      <c r="K135" s="1861"/>
      <c r="L135" s="1861"/>
      <c r="M135" s="1861"/>
      <c r="N135" s="1861"/>
      <c r="O135" s="1780"/>
      <c r="Q135" s="1847">
        <f t="shared" si="8"/>
        <v>0</v>
      </c>
    </row>
    <row r="136" spans="1:22">
      <c r="A136" s="1797">
        <v>1</v>
      </c>
      <c r="B136" s="1872" t="s">
        <v>1756</v>
      </c>
      <c r="C136" s="1863">
        <v>600</v>
      </c>
      <c r="D136" s="1776">
        <v>0.47</v>
      </c>
      <c r="E136" s="1854" t="s">
        <v>1717</v>
      </c>
      <c r="F136" s="1776">
        <v>0.01</v>
      </c>
      <c r="G136" s="1776">
        <v>9.166666666666666E-2</v>
      </c>
      <c r="H136" s="1863">
        <v>55</v>
      </c>
      <c r="I136" s="1861">
        <v>209.90148300000001</v>
      </c>
      <c r="J136" s="1861">
        <f>VLOOKUP($B136,F13B_21_22_APR!$B$14:$EP$237,133,0)</f>
        <v>253.730391</v>
      </c>
      <c r="K136" s="1861">
        <f>VLOOKUP($B136,F13B_21_22_APR!$B$14:$EO$223,136,0)</f>
        <v>0</v>
      </c>
      <c r="L136" s="1861">
        <f>VLOOKUP($B136,F13B_21_22_APR!$B$14:$EO$223,138,0)</f>
        <v>101.94023077069072</v>
      </c>
      <c r="M136" s="1861">
        <f>VLOOKUP($B136,F13B_21_22_APR!$B$14:$EO$223,140,0)</f>
        <v>0.1269064</v>
      </c>
      <c r="N136" s="1780">
        <f>SUM(K136:M136)</f>
        <v>102.06713717069071</v>
      </c>
      <c r="O136" s="1780">
        <f t="shared" si="9"/>
        <v>4.0226610918946131</v>
      </c>
      <c r="P136" s="1356">
        <v>1</v>
      </c>
      <c r="Q136" s="1847">
        <f t="shared" si="8"/>
        <v>224.18154000000001</v>
      </c>
      <c r="R136" s="1848">
        <v>-133.21702048571424</v>
      </c>
      <c r="S136" s="1848">
        <v>0</v>
      </c>
      <c r="T136" s="1848">
        <v>-54.484960947714285</v>
      </c>
      <c r="U136" s="1848">
        <v>-2.3590299999999998E-2</v>
      </c>
      <c r="V136" s="1848">
        <v>-54.50855124771428</v>
      </c>
    </row>
    <row r="137" spans="1:22">
      <c r="A137" s="1797"/>
      <c r="B137" s="1867"/>
      <c r="C137" s="1853"/>
      <c r="D137" s="1854"/>
      <c r="E137" s="1854"/>
      <c r="F137" s="1856"/>
      <c r="G137" s="1856"/>
      <c r="H137" s="1780"/>
      <c r="I137" s="1861"/>
      <c r="J137" s="1861"/>
      <c r="K137" s="1861"/>
      <c r="L137" s="1861"/>
      <c r="M137" s="1861"/>
      <c r="N137" s="1861"/>
      <c r="O137" s="1780"/>
      <c r="Q137" s="1847">
        <f t="shared" si="8"/>
        <v>0</v>
      </c>
    </row>
    <row r="138" spans="1:22">
      <c r="A138" s="1859" t="s">
        <v>706</v>
      </c>
      <c r="B138" s="1873" t="s">
        <v>1757</v>
      </c>
      <c r="C138" s="1853"/>
      <c r="D138" s="1854"/>
      <c r="E138" s="1854"/>
      <c r="F138" s="1856"/>
      <c r="G138" s="1856"/>
      <c r="H138" s="1780"/>
      <c r="I138" s="1861"/>
      <c r="J138" s="1861"/>
      <c r="K138" s="1861"/>
      <c r="L138" s="1861"/>
      <c r="M138" s="1861"/>
      <c r="N138" s="1861"/>
      <c r="O138" s="1780"/>
      <c r="Q138" s="1847">
        <f t="shared" si="8"/>
        <v>0</v>
      </c>
    </row>
    <row r="139" spans="1:22">
      <c r="A139" s="1859"/>
      <c r="B139" s="1873" t="s">
        <v>1745</v>
      </c>
      <c r="C139" s="1853"/>
      <c r="D139" s="1854"/>
      <c r="E139" s="1854"/>
      <c r="F139" s="1856"/>
      <c r="G139" s="1856"/>
      <c r="H139" s="1780"/>
      <c r="I139" s="1861"/>
      <c r="J139" s="1861"/>
      <c r="K139" s="1861"/>
      <c r="L139" s="1861"/>
      <c r="M139" s="1861"/>
      <c r="N139" s="1861"/>
      <c r="O139" s="1780"/>
      <c r="Q139" s="1847">
        <f t="shared" si="8"/>
        <v>0</v>
      </c>
    </row>
    <row r="140" spans="1:22">
      <c r="A140" s="1797">
        <v>1</v>
      </c>
      <c r="B140" s="1872" t="s">
        <v>1758</v>
      </c>
      <c r="C140" s="1863">
        <v>1020</v>
      </c>
      <c r="D140" s="1776">
        <v>0.34830924252920159</v>
      </c>
      <c r="E140" s="1854" t="s">
        <v>1717</v>
      </c>
      <c r="F140" s="1776">
        <v>0.01</v>
      </c>
      <c r="G140" s="1776">
        <v>4.3137254901960784E-2</v>
      </c>
      <c r="H140" s="1863">
        <v>44</v>
      </c>
      <c r="I140" s="1861">
        <v>133.82128677580644</v>
      </c>
      <c r="J140" s="1861">
        <f>VLOOKUP($B140,F13B_21_22_APR!$B$14:$EP$237,133,0)</f>
        <v>123.0426585</v>
      </c>
      <c r="K140" s="1861">
        <f>VLOOKUP($B140,F13B_21_22_APR!$B$14:$EO$223,136,0)</f>
        <v>0</v>
      </c>
      <c r="L140" s="1861">
        <f>VLOOKUP($B140,F13B_21_22_APR!$B$14:$EO$223,138,0)</f>
        <v>26.584981886599898</v>
      </c>
      <c r="M140" s="1861">
        <f>VLOOKUP($B140,F13B_21_22_APR!$B$14:$EO$223,140,0)</f>
        <v>8.8003999999999999E-3</v>
      </c>
      <c r="N140" s="1780">
        <f t="shared" ref="N140:N146" si="16">SUM(K140:M140)</f>
        <v>26.593782286599897</v>
      </c>
      <c r="O140" s="1780">
        <f t="shared" si="9"/>
        <v>2.16134652898449</v>
      </c>
      <c r="Q140" s="1847">
        <f t="shared" si="8"/>
        <v>132.90979129605091</v>
      </c>
      <c r="R140" s="1848">
        <v>20.840340974193538</v>
      </c>
      <c r="S140" s="1848">
        <v>0</v>
      </c>
      <c r="T140" s="1848">
        <v>4.1623063067636998</v>
      </c>
      <c r="U140" s="1848">
        <v>7.4288000000000002E-3</v>
      </c>
      <c r="V140" s="1848">
        <v>4.1697351067636994</v>
      </c>
    </row>
    <row r="141" spans="1:22">
      <c r="A141" s="1797">
        <v>2</v>
      </c>
      <c r="B141" s="1065" t="s">
        <v>1759</v>
      </c>
      <c r="C141" s="1863">
        <v>400</v>
      </c>
      <c r="D141" s="1776">
        <v>0.50362204337602667</v>
      </c>
      <c r="E141" s="1854" t="s">
        <v>1717</v>
      </c>
      <c r="F141" s="1776">
        <v>5.0000000000000001E-3</v>
      </c>
      <c r="G141" s="1776">
        <v>0.88</v>
      </c>
      <c r="H141" s="1863">
        <v>352</v>
      </c>
      <c r="I141" s="1861">
        <v>1551.6143259499997</v>
      </c>
      <c r="J141" s="1861">
        <f>VLOOKUP($B141,F13B_21_22_APR!$B$14:$EP$237,133,0)</f>
        <v>1605.7923174</v>
      </c>
      <c r="K141" s="1861">
        <f>VLOOKUP($B141,F13B_21_22_APR!$B$14:$EO$223,136,0)</f>
        <v>26.410859999999996</v>
      </c>
      <c r="L141" s="1861">
        <f>VLOOKUP($B141,F13B_21_22_APR!$B$14:$EO$223,138,0)</f>
        <v>163.20484042274072</v>
      </c>
      <c r="M141" s="1861">
        <f>VLOOKUP($B141,F13B_21_22_APR!$B$14:$EO$223,140,0)</f>
        <v>-51.75</v>
      </c>
      <c r="N141" s="1780">
        <f t="shared" si="16"/>
        <v>137.8657004227407</v>
      </c>
      <c r="O141" s="1780">
        <f t="shared" si="9"/>
        <v>0.85855249728660032</v>
      </c>
      <c r="Q141" s="1847">
        <f t="shared" si="8"/>
        <v>1545.1639999748916</v>
      </c>
      <c r="R141" s="1848">
        <v>101.29167600000005</v>
      </c>
      <c r="S141" s="1848">
        <v>-3.460000000000008</v>
      </c>
      <c r="T141" s="1848">
        <v>15.170991921657162</v>
      </c>
      <c r="U141" s="1848">
        <v>-10.561709400000005</v>
      </c>
      <c r="V141" s="1848">
        <v>1.1492825216571418</v>
      </c>
    </row>
    <row r="142" spans="1:22">
      <c r="A142" s="1797">
        <v>3</v>
      </c>
      <c r="B142" s="1065" t="s">
        <v>1760</v>
      </c>
      <c r="C142" s="1863">
        <v>1000</v>
      </c>
      <c r="D142" s="1776">
        <v>0.46092558271070777</v>
      </c>
      <c r="E142" s="1854" t="s">
        <v>1717</v>
      </c>
      <c r="F142" s="1776">
        <v>1.2E-2</v>
      </c>
      <c r="G142" s="1776">
        <v>0.2</v>
      </c>
      <c r="H142" s="1863">
        <v>200</v>
      </c>
      <c r="I142" s="1861">
        <v>800.53265424193546</v>
      </c>
      <c r="J142" s="1861">
        <f>VLOOKUP($B142,F13B_21_22_APR!$B$14:$EP$237,133,0)</f>
        <v>817.3210585999999</v>
      </c>
      <c r="K142" s="1861">
        <f>VLOOKUP($B142,F13B_21_22_APR!$B$14:$EO$223,136,0)</f>
        <v>169.37633303000004</v>
      </c>
      <c r="L142" s="1861">
        <f>VLOOKUP($B142,F13B_21_22_APR!$B$14:$EO$223,138,0)</f>
        <v>131.23500647947768</v>
      </c>
      <c r="M142" s="1861">
        <f>VLOOKUP($B142,F13B_21_22_APR!$B$14:$EO$223,140,0)</f>
        <v>1.9536351999999999</v>
      </c>
      <c r="N142" s="1780">
        <f t="shared" si="16"/>
        <v>302.56497470947772</v>
      </c>
      <c r="O142" s="1780">
        <f t="shared" si="9"/>
        <v>3.7019109140261879</v>
      </c>
      <c r="Q142" s="1847">
        <f t="shared" si="8"/>
        <v>797.85112145825008</v>
      </c>
      <c r="R142" s="1848">
        <v>78.650164251612978</v>
      </c>
      <c r="S142" s="1848">
        <v>1.1511106333333032</v>
      </c>
      <c r="T142" s="1848">
        <v>-4.2427813378891699</v>
      </c>
      <c r="U142" s="1848">
        <v>99.238980847999997</v>
      </c>
      <c r="V142" s="1848">
        <v>96.147310143444201</v>
      </c>
    </row>
    <row r="143" spans="1:22">
      <c r="A143" s="1797">
        <v>4</v>
      </c>
      <c r="B143" s="1065" t="s">
        <v>1761</v>
      </c>
      <c r="C143" s="1863">
        <v>1200</v>
      </c>
      <c r="D143" s="1776">
        <v>0.49645294401518258</v>
      </c>
      <c r="E143" s="1854" t="s">
        <v>1717</v>
      </c>
      <c r="F143" s="1776">
        <v>1.2E-2</v>
      </c>
      <c r="G143" s="1776">
        <v>0.16666666666666666</v>
      </c>
      <c r="H143" s="1863">
        <v>200</v>
      </c>
      <c r="I143" s="1861">
        <v>862.62301494623648</v>
      </c>
      <c r="J143" s="1861">
        <f>VLOOKUP($B143,F13B_21_22_APR!$B$14:$EP$237,133,0)</f>
        <v>903.32359966666672</v>
      </c>
      <c r="K143" s="1861">
        <f>VLOOKUP($B143,F13B_21_22_APR!$B$14:$EO$223,136,0)</f>
        <v>300.6370695475</v>
      </c>
      <c r="L143" s="1861">
        <f>VLOOKUP($B143,F13B_21_22_APR!$B$14:$EO$223,138,0)</f>
        <v>244.85969175132652</v>
      </c>
      <c r="M143" s="1861">
        <f>VLOOKUP($B143,F13B_21_22_APR!$B$14:$EO$223,140,0)</f>
        <v>4.3905834000000006</v>
      </c>
      <c r="N143" s="1780">
        <f t="shared" si="16"/>
        <v>549.8873446988265</v>
      </c>
      <c r="O143" s="1780">
        <f t="shared" si="9"/>
        <v>6.0873793721512328</v>
      </c>
      <c r="Q143" s="1847">
        <f t="shared" ref="Q143:Q202" si="17">H143*24*365*D143*(1-F143)/10^3</f>
        <v>859.34813121962463</v>
      </c>
      <c r="R143" s="1848">
        <v>11.16407752688167</v>
      </c>
      <c r="S143" s="1848">
        <v>81.737686866666678</v>
      </c>
      <c r="T143" s="1848">
        <v>-31.824910214407822</v>
      </c>
      <c r="U143" s="1848">
        <v>9.5287705999999996</v>
      </c>
      <c r="V143" s="1848">
        <v>59.441547252258943</v>
      </c>
    </row>
    <row r="144" spans="1:22">
      <c r="A144" s="1797">
        <v>5</v>
      </c>
      <c r="B144" s="1065" t="s">
        <v>1762</v>
      </c>
      <c r="C144" s="1863">
        <v>330</v>
      </c>
      <c r="D144" s="1776">
        <v>0.4859984859772879</v>
      </c>
      <c r="E144" s="1854" t="s">
        <v>1717</v>
      </c>
      <c r="F144" s="1776">
        <v>0.01</v>
      </c>
      <c r="G144" s="1776">
        <v>0.87999999999999989</v>
      </c>
      <c r="H144" s="1863">
        <v>290.39999999999998</v>
      </c>
      <c r="I144" s="1861">
        <v>1229.0681561161291</v>
      </c>
      <c r="J144" s="1861">
        <f>VLOOKUP($B144,F13B_21_22_APR!$B$14:$EP$237,133,0)</f>
        <v>1214.1372620000002</v>
      </c>
      <c r="K144" s="1861">
        <f>VLOOKUP($B144,F13B_21_22_APR!$B$14:$EO$223,136,0)</f>
        <v>506.50140298125007</v>
      </c>
      <c r="L144" s="1861">
        <f>VLOOKUP($B144,F13B_21_22_APR!$B$14:$EO$223,138,0)</f>
        <v>387.15990022781818</v>
      </c>
      <c r="M144" s="1861">
        <f>VLOOKUP($B144,F13B_21_22_APR!$B$14:$EO$223,140,0)</f>
        <v>0</v>
      </c>
      <c r="N144" s="1780">
        <f t="shared" si="16"/>
        <v>893.66130320906825</v>
      </c>
      <c r="O144" s="1780">
        <f t="shared" ref="O144:O204" si="18">$N144/$J144*10</f>
        <v>7.3604635256558666</v>
      </c>
      <c r="Q144" s="1847">
        <f t="shared" si="17"/>
        <v>1223.9701575468512</v>
      </c>
      <c r="R144" s="1848">
        <v>156.39314362580626</v>
      </c>
      <c r="S144" s="1848">
        <v>-47.80990636666661</v>
      </c>
      <c r="T144" s="1848">
        <v>-49.711228795422358</v>
      </c>
      <c r="U144" s="1848">
        <v>0</v>
      </c>
      <c r="V144" s="1848">
        <v>-97.521135162088967</v>
      </c>
    </row>
    <row r="145" spans="1:22">
      <c r="A145" s="1797">
        <v>6</v>
      </c>
      <c r="B145" s="1737" t="s">
        <v>1763</v>
      </c>
      <c r="C145" s="1863">
        <v>45</v>
      </c>
      <c r="D145" s="1776">
        <v>0</v>
      </c>
      <c r="E145" s="1854" t="s">
        <v>1717</v>
      </c>
      <c r="F145" s="1776">
        <v>0.01</v>
      </c>
      <c r="G145" s="1776">
        <v>0.40333333333333332</v>
      </c>
      <c r="H145" s="1863">
        <v>18.149999999999999</v>
      </c>
      <c r="I145" s="1861">
        <v>0</v>
      </c>
      <c r="J145" s="1861">
        <f>VLOOKUP($B145,F13B_21_22_APR!$B$14:$EP$237,133,0)</f>
        <v>0</v>
      </c>
      <c r="K145" s="1861">
        <f>VLOOKUP($B145,F13B_21_22_APR!$B$14:$EO$223,136,0)</f>
        <v>0</v>
      </c>
      <c r="L145" s="1861">
        <f>VLOOKUP($B145,F13B_21_22_APR!$B$14:$EO$223,138,0)</f>
        <v>0</v>
      </c>
      <c r="M145" s="1861">
        <f>VLOOKUP($B145,F13B_21_22_APR!$B$14:$EO$223,140,0)</f>
        <v>0</v>
      </c>
      <c r="N145" s="1780">
        <f t="shared" si="16"/>
        <v>0</v>
      </c>
      <c r="O145" s="1780"/>
      <c r="P145" s="1356">
        <v>6</v>
      </c>
      <c r="Q145" s="1847">
        <f t="shared" si="17"/>
        <v>0</v>
      </c>
      <c r="R145" s="1848">
        <v>0</v>
      </c>
      <c r="S145" s="1848">
        <v>0</v>
      </c>
      <c r="T145" s="1848">
        <v>0</v>
      </c>
      <c r="U145" s="1848">
        <v>0</v>
      </c>
      <c r="V145" s="1848">
        <v>0</v>
      </c>
    </row>
    <row r="146" spans="1:22">
      <c r="A146" s="1797">
        <v>7</v>
      </c>
      <c r="B146" s="1737" t="s">
        <v>2059</v>
      </c>
      <c r="C146" s="1863">
        <v>400</v>
      </c>
      <c r="D146" s="1776"/>
      <c r="E146" s="1854"/>
      <c r="F146" s="1776">
        <v>0</v>
      </c>
      <c r="G146" s="1776">
        <v>1</v>
      </c>
      <c r="H146" s="1863">
        <v>400</v>
      </c>
      <c r="I146" s="1861">
        <v>51.408000000000001</v>
      </c>
      <c r="J146" s="1861">
        <f>VLOOKUP($B146,F13B_21_22_APR!$B$14:$EP$237,133,0)</f>
        <v>67.006839999999997</v>
      </c>
      <c r="K146" s="1861">
        <f>VLOOKUP($B146,F13B_21_22_APR!$B$14:$EO$223,136,0)</f>
        <v>0</v>
      </c>
      <c r="L146" s="1861">
        <f>VLOOKUP($B146,F13B_21_22_APR!$B$14:$EO$223,138,0)</f>
        <v>19.288889999999999</v>
      </c>
      <c r="M146" s="1861">
        <f>VLOOKUP($B146,F13B_21_22_APR!$B$14:$EO$223,140,0)</f>
        <v>0</v>
      </c>
      <c r="N146" s="1780">
        <f t="shared" si="16"/>
        <v>19.288889999999999</v>
      </c>
      <c r="O146" s="1874">
        <f t="shared" si="18"/>
        <v>2.8786449263985587</v>
      </c>
      <c r="Q146" s="1847">
        <f t="shared" si="17"/>
        <v>0</v>
      </c>
      <c r="R146" s="1848">
        <v>-51.408000000000001</v>
      </c>
      <c r="S146" s="1848">
        <v>0</v>
      </c>
      <c r="T146" s="1848">
        <v>-18.404063999999998</v>
      </c>
      <c r="U146" s="1848">
        <v>0</v>
      </c>
      <c r="V146" s="1848">
        <v>-18.404063999999998</v>
      </c>
    </row>
    <row r="147" spans="1:22">
      <c r="A147" s="1797"/>
      <c r="B147" s="1875" t="s">
        <v>1750</v>
      </c>
      <c r="C147" s="1853"/>
      <c r="D147" s="1854"/>
      <c r="E147" s="1854"/>
      <c r="F147" s="1856"/>
      <c r="G147" s="1856"/>
      <c r="H147" s="1780"/>
      <c r="I147" s="1861"/>
      <c r="J147" s="1861"/>
      <c r="K147" s="1861"/>
      <c r="L147" s="1861"/>
      <c r="M147" s="1861"/>
      <c r="N147" s="1780"/>
      <c r="O147" s="1780"/>
      <c r="Q147" s="1847">
        <f t="shared" si="17"/>
        <v>0</v>
      </c>
      <c r="R147" s="1848"/>
      <c r="S147" s="1848"/>
      <c r="T147" s="1848"/>
      <c r="U147" s="1848"/>
      <c r="V147" s="1848"/>
    </row>
    <row r="148" spans="1:22">
      <c r="A148" s="1797">
        <v>1</v>
      </c>
      <c r="B148" s="522" t="s">
        <v>1764</v>
      </c>
      <c r="C148" s="1863">
        <v>1320</v>
      </c>
      <c r="D148" s="1776">
        <v>0.84999999999999976</v>
      </c>
      <c r="E148" s="1854" t="s">
        <v>1649</v>
      </c>
      <c r="F148" s="1776">
        <v>5.7500000000000002E-2</v>
      </c>
      <c r="G148" s="1776">
        <v>0.77575757575757576</v>
      </c>
      <c r="H148" s="1863">
        <v>1024</v>
      </c>
      <c r="I148" s="1861">
        <v>7186.28352</v>
      </c>
      <c r="J148" s="1861">
        <f>VLOOKUP($B148,F13B_21_22_APR!$B$14:$EP$237,133,0)</f>
        <v>6323.9517460000006</v>
      </c>
      <c r="K148" s="1861">
        <f>VLOOKUP($B148,F13B_21_22_APR!$B$14:$EO$223,136,0)</f>
        <v>1340.0977095862499</v>
      </c>
      <c r="L148" s="1861">
        <f>VLOOKUP($B148,F13B_21_22_APR!$B$14:$EO$223,138,0)</f>
        <v>1605.3392594509337</v>
      </c>
      <c r="M148" s="1861">
        <f>VLOOKUP($B148,F13B_21_22_APR!$B$14:$EO$223,140,0)</f>
        <v>12.984521199999998</v>
      </c>
      <c r="N148" s="1780">
        <f t="shared" ref="N148:N165" si="19">SUM(K148:M148)</f>
        <v>2958.4214902371837</v>
      </c>
      <c r="O148" s="1780">
        <f t="shared" si="18"/>
        <v>4.6781215433979737</v>
      </c>
      <c r="Q148" s="1847">
        <f t="shared" si="17"/>
        <v>7186.283519999999</v>
      </c>
      <c r="R148" s="1848">
        <v>-5050.3902639999997</v>
      </c>
      <c r="S148" s="1848">
        <v>-444.3069095333334</v>
      </c>
      <c r="T148" s="1848">
        <v>-1285.8181464375214</v>
      </c>
      <c r="U148" s="1848">
        <v>-17.982213600000001</v>
      </c>
      <c r="V148" s="1848">
        <v>-1748.1072695708549</v>
      </c>
    </row>
    <row r="149" spans="1:22">
      <c r="A149" s="1797">
        <v>2</v>
      </c>
      <c r="B149" s="522" t="s">
        <v>1765</v>
      </c>
      <c r="C149" s="1863">
        <v>1200</v>
      </c>
      <c r="D149" s="1776">
        <v>0.79795511359012961</v>
      </c>
      <c r="E149" s="1854" t="s">
        <v>1649</v>
      </c>
      <c r="F149" s="1776">
        <v>7.4999999999999997E-2</v>
      </c>
      <c r="G149" s="1776">
        <v>0.91666666666666663</v>
      </c>
      <c r="H149" s="1863">
        <v>1100</v>
      </c>
      <c r="I149" s="1861">
        <v>7117.812300341935</v>
      </c>
      <c r="J149" s="1861">
        <f>VLOOKUP($B149,F13B_21_22_APR!$B$14:$EP$237,133,0)</f>
        <v>6845.2515270000013</v>
      </c>
      <c r="K149" s="1861">
        <f>VLOOKUP($B149,F13B_21_22_APR!$B$14:$EO$223,136,0)</f>
        <v>584.99825487930002</v>
      </c>
      <c r="L149" s="1861">
        <f>VLOOKUP($B149,F13B_21_22_APR!$B$14:$EO$223,138,0)</f>
        <v>1341.8870594116268</v>
      </c>
      <c r="M149" s="1861">
        <f>VLOOKUP($B149,F13B_21_22_APR!$B$14:$EO$223,140,0)</f>
        <v>65.030563430000001</v>
      </c>
      <c r="N149" s="1780">
        <f t="shared" si="19"/>
        <v>1991.9158777209268</v>
      </c>
      <c r="O149" s="1780">
        <f t="shared" si="18"/>
        <v>2.9099235723685721</v>
      </c>
      <c r="Q149" s="1847">
        <f t="shared" si="17"/>
        <v>7112.4133139629021</v>
      </c>
      <c r="R149" s="1848">
        <v>140.08421033548439</v>
      </c>
      <c r="S149" s="1848">
        <v>-190.79447193199985</v>
      </c>
      <c r="T149" s="1848">
        <v>-52.666119786016225</v>
      </c>
      <c r="U149" s="1848">
        <v>300.76995949999997</v>
      </c>
      <c r="V149" s="1848">
        <v>57.309367781983838</v>
      </c>
    </row>
    <row r="150" spans="1:22">
      <c r="A150" s="1797">
        <v>4</v>
      </c>
      <c r="B150" s="522" t="s">
        <v>1766</v>
      </c>
      <c r="C150" s="1863">
        <v>90</v>
      </c>
      <c r="D150" s="1776">
        <v>0.70000000000000007</v>
      </c>
      <c r="E150" s="1854" t="s">
        <v>1649</v>
      </c>
      <c r="F150" s="1776">
        <v>9.7500000000000003E-2</v>
      </c>
      <c r="G150" s="1776">
        <v>1</v>
      </c>
      <c r="H150" s="1863">
        <v>90</v>
      </c>
      <c r="I150" s="1861">
        <v>498.07169999999996</v>
      </c>
      <c r="J150" s="1861">
        <f>VLOOKUP($B150,F13B_21_22_APR!$B$14:$EP$237,133,0)</f>
        <v>270.38826399999999</v>
      </c>
      <c r="K150" s="1861">
        <f>VLOOKUP($B150,F13B_21_22_APR!$B$14:$EO$223,136,0)</f>
        <v>93.633750000000006</v>
      </c>
      <c r="L150" s="1861">
        <f>VLOOKUP($B150,F13B_21_22_APR!$B$14:$EO$223,138,0)</f>
        <v>98.769031314651997</v>
      </c>
      <c r="M150" s="1861">
        <f>VLOOKUP($B150,F13B_21_22_APR!$B$14:$EO$223,140,0)</f>
        <v>15.846447399999999</v>
      </c>
      <c r="N150" s="1780">
        <f t="shared" si="19"/>
        <v>208.24922871465199</v>
      </c>
      <c r="O150" s="1780">
        <f t="shared" si="18"/>
        <v>7.701859009481713</v>
      </c>
      <c r="Q150" s="1847">
        <f t="shared" si="17"/>
        <v>498.07170000000002</v>
      </c>
      <c r="R150" s="1848">
        <v>6.4225553602150853</v>
      </c>
      <c r="S150" s="1848">
        <v>7.1280095000000046</v>
      </c>
      <c r="T150" s="1848">
        <v>1.8534327915767079</v>
      </c>
      <c r="U150" s="1848">
        <v>70.080098599999999</v>
      </c>
      <c r="V150" s="1848">
        <v>79.061540891576698</v>
      </c>
    </row>
    <row r="151" spans="1:22">
      <c r="A151" s="1797">
        <v>5</v>
      </c>
      <c r="B151" s="522" t="s">
        <v>1767</v>
      </c>
      <c r="C151" s="1863">
        <v>90</v>
      </c>
      <c r="D151" s="1776">
        <v>0.70000000000000007</v>
      </c>
      <c r="E151" s="1854" t="s">
        <v>1649</v>
      </c>
      <c r="F151" s="1776">
        <v>9.7500000000000003E-2</v>
      </c>
      <c r="G151" s="1776">
        <v>1</v>
      </c>
      <c r="H151" s="1863">
        <v>90</v>
      </c>
      <c r="I151" s="1861">
        <v>498.07169999999996</v>
      </c>
      <c r="J151" s="1861">
        <f>VLOOKUP($B151,F13B_21_22_APR!$B$14:$EP$237,133,0)</f>
        <v>267.3182927646875</v>
      </c>
      <c r="K151" s="1861">
        <f>VLOOKUP($B151,F13B_21_22_APR!$B$14:$EO$223,136,0)</f>
        <v>94.623374999999982</v>
      </c>
      <c r="L151" s="1861">
        <f>VLOOKUP($B151,F13B_21_22_APR!$B$14:$EO$223,138,0)</f>
        <v>97.845396354183961</v>
      </c>
      <c r="M151" s="1861">
        <f>VLOOKUP($B151,F13B_21_22_APR!$B$14:$EO$223,140,0)</f>
        <v>0</v>
      </c>
      <c r="N151" s="1780">
        <f t="shared" si="19"/>
        <v>192.46877135418396</v>
      </c>
      <c r="O151" s="1780">
        <f t="shared" si="18"/>
        <v>7.1999850576484352</v>
      </c>
      <c r="Q151" s="1847">
        <f t="shared" si="17"/>
        <v>498.07170000000002</v>
      </c>
      <c r="R151" s="1848">
        <v>1.3121298145161404</v>
      </c>
      <c r="S151" s="1848">
        <v>9.0427403999999854</v>
      </c>
      <c r="T151" s="1848">
        <v>-0.31696729955069713</v>
      </c>
      <c r="U151" s="1848">
        <v>3.02417E-2</v>
      </c>
      <c r="V151" s="1848">
        <v>8.756014800449293</v>
      </c>
    </row>
    <row r="152" spans="1:22">
      <c r="A152" s="1797">
        <v>6</v>
      </c>
      <c r="B152" s="522" t="s">
        <v>1768</v>
      </c>
      <c r="C152" s="1863">
        <v>90</v>
      </c>
      <c r="D152" s="1776">
        <v>0.70000000000000007</v>
      </c>
      <c r="E152" s="1854" t="s">
        <v>1649</v>
      </c>
      <c r="F152" s="1776">
        <v>9.7500000000000003E-2</v>
      </c>
      <c r="G152" s="1776">
        <v>1</v>
      </c>
      <c r="H152" s="1863">
        <v>90</v>
      </c>
      <c r="I152" s="1861">
        <v>498.07169999999996</v>
      </c>
      <c r="J152" s="1861">
        <f>VLOOKUP($B152,F13B_21_22_APR!$B$14:$EP$237,133,0)</f>
        <v>328.46656099999996</v>
      </c>
      <c r="K152" s="1861">
        <f>VLOOKUP($B152,F13B_21_22_APR!$B$14:$EO$223,136,0)</f>
        <v>94.200458400000002</v>
      </c>
      <c r="L152" s="1861">
        <f>VLOOKUP($B152,F13B_21_22_APR!$B$14:$EO$223,138,0)</f>
        <v>108.10374080339716</v>
      </c>
      <c r="M152" s="1861">
        <f>VLOOKUP($B152,F13B_21_22_APR!$B$14:$EO$223,140,0)</f>
        <v>0</v>
      </c>
      <c r="N152" s="1780">
        <f t="shared" si="19"/>
        <v>202.30419920339716</v>
      </c>
      <c r="O152" s="1780">
        <f t="shared" si="18"/>
        <v>6.1590500593878472</v>
      </c>
      <c r="Q152" s="1847">
        <f t="shared" si="17"/>
        <v>498.07170000000002</v>
      </c>
      <c r="R152" s="1848">
        <v>-59.840678344086058</v>
      </c>
      <c r="S152" s="1848">
        <v>12.367331833333338</v>
      </c>
      <c r="T152" s="1848">
        <v>-21.351508534802825</v>
      </c>
      <c r="U152" s="1848">
        <v>3.1056799999999999E-2</v>
      </c>
      <c r="V152" s="1848">
        <v>-8.9531199014695062</v>
      </c>
    </row>
    <row r="153" spans="1:22">
      <c r="A153" s="1797">
        <v>7</v>
      </c>
      <c r="B153" s="522" t="s">
        <v>1769</v>
      </c>
      <c r="C153" s="1863">
        <v>90</v>
      </c>
      <c r="D153" s="1776">
        <v>0.70000000000000007</v>
      </c>
      <c r="E153" s="1854" t="s">
        <v>1649</v>
      </c>
      <c r="F153" s="1776">
        <v>9.7500000000000003E-2</v>
      </c>
      <c r="G153" s="1776">
        <v>1</v>
      </c>
      <c r="H153" s="1863">
        <v>90</v>
      </c>
      <c r="I153" s="1861">
        <v>498.07169999999996</v>
      </c>
      <c r="J153" s="1861">
        <f>VLOOKUP($B153,F13B_21_22_APR!$B$14:$EP$237,133,0)</f>
        <v>265.17248000000001</v>
      </c>
      <c r="K153" s="1861">
        <f>VLOOKUP($B153,F13B_21_22_APR!$B$14:$EO$223,136,0)</f>
        <v>93.36308342625</v>
      </c>
      <c r="L153" s="1861">
        <f>VLOOKUP($B153,F13B_21_22_APR!$B$14:$EO$223,138,0)</f>
        <v>93.996985795790081</v>
      </c>
      <c r="M153" s="1861">
        <f>VLOOKUP($B153,F13B_21_22_APR!$B$14:$EO$223,140,0)</f>
        <v>0</v>
      </c>
      <c r="N153" s="1780">
        <f t="shared" si="19"/>
        <v>187.36006922204007</v>
      </c>
      <c r="O153" s="1780">
        <f t="shared" si="18"/>
        <v>7.0655925238561732</v>
      </c>
      <c r="Q153" s="1847">
        <f t="shared" si="17"/>
        <v>498.07170000000002</v>
      </c>
      <c r="R153" s="1848">
        <v>-2.2099327768817147</v>
      </c>
      <c r="S153" s="1848">
        <v>10.637244966666657</v>
      </c>
      <c r="T153" s="1848">
        <v>-2.0230958949978088</v>
      </c>
      <c r="U153" s="1848">
        <v>3.0413200000000001E-2</v>
      </c>
      <c r="V153" s="1848">
        <v>8.6445622716688604</v>
      </c>
    </row>
    <row r="154" spans="1:22">
      <c r="A154" s="1797">
        <v>8</v>
      </c>
      <c r="B154" s="522" t="s">
        <v>1770</v>
      </c>
      <c r="C154" s="1863">
        <v>90</v>
      </c>
      <c r="D154" s="1776">
        <v>0.70000000000000007</v>
      </c>
      <c r="E154" s="1854" t="s">
        <v>1649</v>
      </c>
      <c r="F154" s="1776">
        <v>9.7500000000000003E-2</v>
      </c>
      <c r="G154" s="1776">
        <v>1</v>
      </c>
      <c r="H154" s="1863">
        <v>90</v>
      </c>
      <c r="I154" s="1861">
        <v>498.07169999999996</v>
      </c>
      <c r="J154" s="1861">
        <f>VLOOKUP($B154,F13B_21_22_APR!$B$14:$EP$237,133,0)</f>
        <v>304.750315</v>
      </c>
      <c r="K154" s="1861">
        <f>VLOOKUP($B154,F13B_21_22_APR!$B$14:$EO$223,136,0)</f>
        <v>96.890208399999977</v>
      </c>
      <c r="L154" s="1861">
        <f>VLOOKUP($B154,F13B_21_22_APR!$B$14:$EO$223,138,0)</f>
        <v>105.85109447524754</v>
      </c>
      <c r="M154" s="1861">
        <f>VLOOKUP($B154,F13B_21_22_APR!$B$14:$EO$223,140,0)</f>
        <v>0</v>
      </c>
      <c r="N154" s="1780">
        <f t="shared" si="19"/>
        <v>202.74130287524753</v>
      </c>
      <c r="O154" s="1780">
        <f t="shared" si="18"/>
        <v>6.6527019955745583</v>
      </c>
      <c r="Q154" s="1847">
        <f t="shared" si="17"/>
        <v>498.07170000000002</v>
      </c>
      <c r="R154" s="1848">
        <v>29.880391948924682</v>
      </c>
      <c r="S154" s="1848">
        <v>8.693341233333328</v>
      </c>
      <c r="T154" s="1848">
        <v>9.3135887636336463</v>
      </c>
      <c r="U154" s="1848">
        <v>3.1411599999999998E-2</v>
      </c>
      <c r="V154" s="1848">
        <v>18.038341596967001</v>
      </c>
    </row>
    <row r="155" spans="1:22">
      <c r="A155" s="1797">
        <v>9</v>
      </c>
      <c r="B155" s="522" t="s">
        <v>1771</v>
      </c>
      <c r="C155" s="1863">
        <v>3600</v>
      </c>
      <c r="D155" s="1776">
        <v>0.48884309678774107</v>
      </c>
      <c r="E155" s="1854" t="s">
        <v>1649</v>
      </c>
      <c r="F155" s="1776">
        <v>0</v>
      </c>
      <c r="G155" s="1776">
        <v>0.27777777777777779</v>
      </c>
      <c r="H155" s="1863">
        <v>1000</v>
      </c>
      <c r="I155" s="1861">
        <v>4285.8233308774188</v>
      </c>
      <c r="J155" s="1861">
        <f>VLOOKUP($B155,F13B_21_22_APR!$B$14:$EP$237,133,0)</f>
        <v>4096.1165718000002</v>
      </c>
      <c r="K155" s="1861">
        <f>VLOOKUP($B155,F13B_21_22_APR!$B$14:$EO$223,136,0)</f>
        <v>1363.5840500000002</v>
      </c>
      <c r="L155" s="1861">
        <f>VLOOKUP($B155,F13B_21_22_APR!$B$14:$EO$223,138,0)</f>
        <v>1085.2732407335573</v>
      </c>
      <c r="M155" s="1861">
        <f>VLOOKUP($B155,F13B_21_22_APR!$B$14:$EO$223,140,0)</f>
        <v>-54.994905199999991</v>
      </c>
      <c r="N155" s="1780">
        <f t="shared" si="19"/>
        <v>2393.8623855335572</v>
      </c>
      <c r="O155" s="1780">
        <f t="shared" si="18"/>
        <v>5.8442242635726469</v>
      </c>
      <c r="Q155" s="1847">
        <f t="shared" si="17"/>
        <v>4282.2655278606117</v>
      </c>
      <c r="R155" s="1848">
        <v>1303.0628214967737</v>
      </c>
      <c r="S155" s="1848">
        <v>345.72839999999974</v>
      </c>
      <c r="T155" s="1848">
        <v>434.81816323947351</v>
      </c>
      <c r="U155" s="1848">
        <v>-86.301068999999998</v>
      </c>
      <c r="V155" s="1848">
        <v>694.24549423947383</v>
      </c>
    </row>
    <row r="156" spans="1:22">
      <c r="A156" s="1797">
        <v>10</v>
      </c>
      <c r="B156" s="522" t="s">
        <v>1772</v>
      </c>
      <c r="C156" s="1863">
        <v>1980</v>
      </c>
      <c r="D156" s="1776">
        <v>0.85</v>
      </c>
      <c r="E156" s="1854" t="s">
        <v>1649</v>
      </c>
      <c r="F156" s="1776">
        <v>5.7500000000000002E-2</v>
      </c>
      <c r="G156" s="1776">
        <v>1</v>
      </c>
      <c r="H156" s="1863">
        <v>1980</v>
      </c>
      <c r="I156" s="1861">
        <v>13895.352899999998</v>
      </c>
      <c r="J156" s="1861">
        <f>VLOOKUP($B156,F13B_21_22_APR!$B$14:$EP$237,133,0)</f>
        <v>9932.1953069999981</v>
      </c>
      <c r="K156" s="1861">
        <f>VLOOKUP($B156,F13B_21_22_APR!$B$14:$EO$223,136,0)</f>
        <v>5157.6336451250008</v>
      </c>
      <c r="L156" s="1861">
        <f>VLOOKUP($B156,F13B_21_22_APR!$B$14:$EO$223,138,0)</f>
        <v>3007.3977275485208</v>
      </c>
      <c r="M156" s="1861">
        <f>VLOOKUP($B156,F13B_21_22_APR!$B$14:$EO$223,140,0)</f>
        <v>49.7354123</v>
      </c>
      <c r="N156" s="1780">
        <f t="shared" si="19"/>
        <v>8214.7667849735226</v>
      </c>
      <c r="O156" s="1780">
        <f t="shared" si="18"/>
        <v>8.2708470092044308</v>
      </c>
      <c r="Q156" s="1847">
        <f t="shared" si="17"/>
        <v>13895.3529</v>
      </c>
      <c r="R156" s="1848">
        <v>-806.31465643752472</v>
      </c>
      <c r="S156" s="1848">
        <v>-131.37687933333336</v>
      </c>
      <c r="T156" s="1848">
        <v>-247.26533018417649</v>
      </c>
      <c r="U156" s="1848">
        <v>281.46661040000004</v>
      </c>
      <c r="V156" s="1848">
        <v>-97.175599117510501</v>
      </c>
    </row>
    <row r="157" spans="1:22">
      <c r="A157" s="1797">
        <v>11</v>
      </c>
      <c r="B157" s="522" t="s">
        <v>1773</v>
      </c>
      <c r="C157" s="1863">
        <v>1200</v>
      </c>
      <c r="D157" s="1776">
        <v>0.78003645831701773</v>
      </c>
      <c r="E157" s="1854" t="s">
        <v>1649</v>
      </c>
      <c r="F157" s="1776">
        <v>0</v>
      </c>
      <c r="G157" s="1776">
        <v>0.30083333333333334</v>
      </c>
      <c r="H157" s="1863">
        <v>361</v>
      </c>
      <c r="I157" s="1861">
        <v>2466.8611073313782</v>
      </c>
      <c r="J157" s="1861">
        <f>VLOOKUP($B157,F13B_21_22_APR!$B$14:$EP$237,133,0)</f>
        <v>2324.5831055882354</v>
      </c>
      <c r="K157" s="1861">
        <f>VLOOKUP($B157,F13B_21_22_APR!$B$14:$EO$223,136,0)</f>
        <v>645.00214671124991</v>
      </c>
      <c r="L157" s="1861">
        <f>VLOOKUP($B157,F13B_21_22_APR!$B$14:$EO$223,138,0)</f>
        <v>529.21660227264192</v>
      </c>
      <c r="M157" s="1861">
        <f>VLOOKUP($B157,F13B_21_22_APR!$B$14:$EO$223,140,0)</f>
        <v>8.5387167000000002</v>
      </c>
      <c r="N157" s="1780">
        <f t="shared" si="19"/>
        <v>1182.7574656838917</v>
      </c>
      <c r="O157" s="1780">
        <f t="shared" si="18"/>
        <v>5.0880412184041717</v>
      </c>
      <c r="Q157" s="1847">
        <f t="shared" si="17"/>
        <v>2466.7560943234043</v>
      </c>
      <c r="R157" s="1848">
        <v>-345.82381263412117</v>
      </c>
      <c r="S157" s="1848">
        <v>-194.75927716666672</v>
      </c>
      <c r="T157" s="1848">
        <v>-82.724427484435751</v>
      </c>
      <c r="U157" s="1848">
        <v>1026.0133051999999</v>
      </c>
      <c r="V157" s="1848">
        <v>748.52960054889741</v>
      </c>
    </row>
    <row r="158" spans="1:22">
      <c r="A158" s="1797">
        <v>12</v>
      </c>
      <c r="B158" s="522" t="s">
        <v>1774</v>
      </c>
      <c r="C158" s="1863">
        <v>1980</v>
      </c>
      <c r="D158" s="1776">
        <v>0.54461183841864091</v>
      </c>
      <c r="E158" s="1854" t="s">
        <v>1649</v>
      </c>
      <c r="F158" s="1776">
        <v>7.4999999999999997E-2</v>
      </c>
      <c r="G158" s="1776">
        <v>0.9</v>
      </c>
      <c r="H158" s="1863">
        <v>1782</v>
      </c>
      <c r="I158" s="1861">
        <v>7859.8593098225811</v>
      </c>
      <c r="J158" s="1861">
        <f>VLOOKUP($B158,F13B_21_22_APR!$B$14:$EP$237,133,0)</f>
        <v>9690.8091991000001</v>
      </c>
      <c r="K158" s="1861">
        <f>VLOOKUP($B158,F13B_21_22_APR!$B$14:$EO$223,136,0)</f>
        <v>1326.9219398137502</v>
      </c>
      <c r="L158" s="1861">
        <f>VLOOKUP($B158,F13B_21_22_APR!$B$14:$EO$223,138,0)</f>
        <v>2249.0748259733946</v>
      </c>
      <c r="M158" s="1861">
        <f>VLOOKUP($B158,F13B_21_22_APR!$B$14:$EO$223,140,0)</f>
        <v>13.1887208</v>
      </c>
      <c r="N158" s="1780">
        <f t="shared" si="19"/>
        <v>3589.1854865871446</v>
      </c>
      <c r="O158" s="1780">
        <f t="shared" si="18"/>
        <v>3.7037004989433471</v>
      </c>
      <c r="Q158" s="1847">
        <f t="shared" si="17"/>
        <v>7863.9476929905331</v>
      </c>
      <c r="R158" s="1848">
        <v>796.37460931612895</v>
      </c>
      <c r="S158" s="1848">
        <v>198.81625213333314</v>
      </c>
      <c r="T158" s="1848">
        <v>357.02223213580282</v>
      </c>
      <c r="U158" s="1848">
        <v>-8.208161999999998</v>
      </c>
      <c r="V158" s="1848">
        <v>547.63032226913583</v>
      </c>
    </row>
    <row r="159" spans="1:22">
      <c r="A159" s="1797">
        <v>13</v>
      </c>
      <c r="B159" s="522" t="s">
        <v>1775</v>
      </c>
      <c r="C159" s="1863">
        <v>1540</v>
      </c>
      <c r="D159" s="1776">
        <v>0.67962661608432773</v>
      </c>
      <c r="E159" s="1854" t="s">
        <v>1649</v>
      </c>
      <c r="F159" s="1776">
        <v>0</v>
      </c>
      <c r="G159" s="1776">
        <v>0.22727272727272727</v>
      </c>
      <c r="H159" s="1863">
        <v>350</v>
      </c>
      <c r="I159" s="1861">
        <v>2085.6153454010987</v>
      </c>
      <c r="J159" s="1861">
        <f>VLOOKUP($B159,F13B_21_22_APR!$B$14:$EP$237,133,0)</f>
        <v>2337.998621555701</v>
      </c>
      <c r="K159" s="1861">
        <f>VLOOKUP($B159,F13B_21_22_APR!$B$14:$EO$223,136,0)</f>
        <v>612.83578902000011</v>
      </c>
      <c r="L159" s="1861">
        <f>VLOOKUP($B159,F13B_21_22_APR!$B$14:$EO$223,138,0)</f>
        <v>449.09187374791537</v>
      </c>
      <c r="M159" s="1861">
        <f>VLOOKUP($B159,F13B_21_22_APR!$B$14:$EO$223,140,0)</f>
        <v>0.77446499999999996</v>
      </c>
      <c r="N159" s="1780">
        <f t="shared" si="19"/>
        <v>1062.7021277679155</v>
      </c>
      <c r="O159" s="1780">
        <f t="shared" si="18"/>
        <v>4.5453496763004715</v>
      </c>
      <c r="Q159" s="1847">
        <f t="shared" si="17"/>
        <v>2083.7352049145488</v>
      </c>
      <c r="R159" s="1848">
        <v>227.52733412536827</v>
      </c>
      <c r="S159" s="1848">
        <v>42.206246666666743</v>
      </c>
      <c r="T159" s="1848">
        <v>41.328419684825235</v>
      </c>
      <c r="U159" s="1848">
        <v>52.162132900000003</v>
      </c>
      <c r="V159" s="1848">
        <v>135.69679925149194</v>
      </c>
    </row>
    <row r="160" spans="1:22">
      <c r="A160" s="1797">
        <v>14</v>
      </c>
      <c r="B160" s="522" t="s">
        <v>1776</v>
      </c>
      <c r="C160" s="1863">
        <v>1320</v>
      </c>
      <c r="D160" s="1776">
        <v>0.85</v>
      </c>
      <c r="E160" s="1854" t="s">
        <v>1649</v>
      </c>
      <c r="F160" s="1776">
        <v>8.5000000000000006E-2</v>
      </c>
      <c r="G160" s="1776">
        <v>1</v>
      </c>
      <c r="H160" s="1863">
        <v>1320</v>
      </c>
      <c r="I160" s="1861">
        <v>381.90635999999995</v>
      </c>
      <c r="J160" s="1861">
        <f>VLOOKUP($B160,F13B_21_22_APR!$B$14:$EP$237,133,0)</f>
        <v>4534.0530720000006</v>
      </c>
      <c r="K160" s="1861">
        <f>VLOOKUP($B160,F13B_21_22_APR!$B$14:$EO$223,136,0)</f>
        <v>1257.5290934537502</v>
      </c>
      <c r="L160" s="1861">
        <f>VLOOKUP($B160,F13B_21_22_APR!$B$14:$EO$223,138,0)</f>
        <v>1344.1448357215129</v>
      </c>
      <c r="M160" s="1861">
        <f>VLOOKUP($B160,F13B_21_22_APR!$B$14:$EO$223,140,0)</f>
        <v>-35.190138600000004</v>
      </c>
      <c r="N160" s="1780">
        <f t="shared" si="19"/>
        <v>2566.4837905752629</v>
      </c>
      <c r="O160" s="1780">
        <f t="shared" si="18"/>
        <v>5.6604626143980488</v>
      </c>
      <c r="Q160" s="1847">
        <f t="shared" si="17"/>
        <v>8993.2788</v>
      </c>
      <c r="R160" s="1848">
        <v>3594.8522330000001</v>
      </c>
      <c r="S160" s="1848">
        <v>-365.42583356666637</v>
      </c>
      <c r="T160" s="1848">
        <v>836.12851666260849</v>
      </c>
      <c r="U160" s="1848">
        <v>258.73832479999999</v>
      </c>
      <c r="V160" s="1848">
        <v>729.44100789594222</v>
      </c>
    </row>
    <row r="161" spans="1:23">
      <c r="A161" s="1797">
        <v>15</v>
      </c>
      <c r="B161" s="522" t="s">
        <v>1777</v>
      </c>
      <c r="C161" s="1863">
        <v>4000</v>
      </c>
      <c r="D161" s="1776">
        <v>0.90830856398650772</v>
      </c>
      <c r="E161" s="1854" t="s">
        <v>1649</v>
      </c>
      <c r="F161" s="1776">
        <v>0.06</v>
      </c>
      <c r="G161" s="1776">
        <v>0.12375</v>
      </c>
      <c r="H161" s="1863">
        <v>495</v>
      </c>
      <c r="I161" s="1861">
        <v>3700.1023341548389</v>
      </c>
      <c r="J161" s="1861">
        <f>VLOOKUP($B161,F13B_21_22_APR!$B$14:$EP$237,133,0)</f>
        <v>3666.7426077999999</v>
      </c>
      <c r="K161" s="1861">
        <f>VLOOKUP($B161,F13B_21_22_APR!$B$14:$EO$223,136,0)</f>
        <v>54.634625947500005</v>
      </c>
      <c r="L161" s="1861">
        <f>VLOOKUP($B161,F13B_21_22_APR!$B$14:$EO$223,138,0)</f>
        <v>416.31285124059889</v>
      </c>
      <c r="M161" s="1861">
        <f>VLOOKUP($B161,F13B_21_22_APR!$B$14:$EO$223,140,0)</f>
        <v>16.939232399999998</v>
      </c>
      <c r="N161" s="1780">
        <f t="shared" si="19"/>
        <v>487.88670958809888</v>
      </c>
      <c r="O161" s="1780">
        <f t="shared" si="18"/>
        <v>1.3305725592798696</v>
      </c>
      <c r="P161" s="1065"/>
      <c r="Q161" s="1847">
        <f t="shared" si="17"/>
        <v>3702.2911394487969</v>
      </c>
      <c r="R161" s="1848">
        <v>1014.9589222</v>
      </c>
      <c r="S161" s="1848">
        <v>-15.952094900000013</v>
      </c>
      <c r="T161" s="1848">
        <v>93.064651705516042</v>
      </c>
      <c r="U161" s="1848">
        <v>78.09546600000003</v>
      </c>
      <c r="V161" s="1848">
        <v>155.20802280551601</v>
      </c>
    </row>
    <row r="162" spans="1:23">
      <c r="A162" s="1797">
        <v>16</v>
      </c>
      <c r="B162" s="522" t="s">
        <v>1778</v>
      </c>
      <c r="C162" s="1863">
        <v>600</v>
      </c>
      <c r="D162" s="1776">
        <v>0.58639735231574275</v>
      </c>
      <c r="E162" s="1854" t="s">
        <v>1649</v>
      </c>
      <c r="F162" s="1776">
        <v>0</v>
      </c>
      <c r="G162" s="1776">
        <v>0.65</v>
      </c>
      <c r="H162" s="1863">
        <v>390</v>
      </c>
      <c r="I162" s="1861">
        <v>2005.5675566241287</v>
      </c>
      <c r="J162" s="1861">
        <f>VLOOKUP($B162,F13B_21_22_APR!$B$14:$EP$237,133,0)</f>
        <v>978.22909615384606</v>
      </c>
      <c r="K162" s="1861">
        <f>VLOOKUP($B162,F13B_21_22_APR!$B$14:$EO$223,136,0)</f>
        <v>154.90116308749998</v>
      </c>
      <c r="L162" s="1861">
        <f>VLOOKUP($B162,F13B_21_22_APR!$B$14:$EO$223,138,0)</f>
        <v>157.36743494483648</v>
      </c>
      <c r="M162" s="1861">
        <f>VLOOKUP($B162,F13B_21_22_APR!$B$14:$EO$223,140,0)</f>
        <v>-30.964892500000001</v>
      </c>
      <c r="N162" s="1780">
        <f t="shared" si="19"/>
        <v>281.30370553233644</v>
      </c>
      <c r="O162" s="1780">
        <f t="shared" si="18"/>
        <v>2.8756423892762211</v>
      </c>
      <c r="P162" s="1065"/>
      <c r="Q162" s="1847">
        <f t="shared" si="17"/>
        <v>2003.3679144515033</v>
      </c>
      <c r="R162" s="1848">
        <v>-337.69788581176886</v>
      </c>
      <c r="S162" s="1848">
        <v>-166.42558870000005</v>
      </c>
      <c r="T162" s="1848">
        <v>-36.973717881678851</v>
      </c>
      <c r="U162" s="1848">
        <v>456.73348140000002</v>
      </c>
      <c r="V162" s="1848">
        <v>253.33417481832112</v>
      </c>
    </row>
    <row r="163" spans="1:23">
      <c r="A163" s="1797">
        <v>17</v>
      </c>
      <c r="B163" s="1862" t="s">
        <v>1779</v>
      </c>
      <c r="C163" s="1863">
        <v>1320</v>
      </c>
      <c r="D163" s="1776">
        <v>0.84999999999999976</v>
      </c>
      <c r="E163" s="1854" t="s">
        <v>1649</v>
      </c>
      <c r="F163" s="1776">
        <v>5.7500000000000002E-2</v>
      </c>
      <c r="G163" s="1776">
        <v>0.15834090909090909</v>
      </c>
      <c r="H163" s="1863">
        <v>209.01</v>
      </c>
      <c r="I163" s="1861">
        <v>988.58427642000004</v>
      </c>
      <c r="J163" s="1861">
        <f>VLOOKUP($B163,F13B_21_22_APR!$B$14:$EP$237,133,0)</f>
        <v>820.16168530000004</v>
      </c>
      <c r="K163" s="1861">
        <f>VLOOKUP($B163,F13B_21_22_APR!$B$14:$EO$223,136,0)</f>
        <v>188.37791709999996</v>
      </c>
      <c r="L163" s="1861">
        <f>VLOOKUP($B163,F13B_21_22_APR!$B$14:$EO$223,138,0)</f>
        <v>176.99737496361479</v>
      </c>
      <c r="M163" s="1861">
        <f>VLOOKUP($B163,F13B_21_22_APR!$B$14:$EO$223,140,0)</f>
        <v>7.9048642999999998</v>
      </c>
      <c r="N163" s="1780">
        <f>SUM(K163:M163)</f>
        <v>373.28015636361476</v>
      </c>
      <c r="O163" s="1780">
        <f t="shared" si="18"/>
        <v>4.551299616332062</v>
      </c>
      <c r="P163" s="1065"/>
      <c r="Q163" s="1847">
        <f t="shared" si="17"/>
        <v>1466.8018735499995</v>
      </c>
      <c r="R163" s="1848">
        <v>-588.51741263000008</v>
      </c>
      <c r="S163" s="1848">
        <v>-21.097250466666566</v>
      </c>
      <c r="T163" s="1848">
        <v>-121.41482340634879</v>
      </c>
      <c r="U163" s="1848">
        <v>-7.9850436999999994</v>
      </c>
      <c r="V163" s="1848">
        <v>-150.49711757301534</v>
      </c>
    </row>
    <row r="164" spans="1:23">
      <c r="A164" s="1797">
        <v>19</v>
      </c>
      <c r="B164" s="1862" t="s">
        <v>2060</v>
      </c>
      <c r="C164" s="1863">
        <v>1980</v>
      </c>
      <c r="D164" s="1776">
        <v>0.85</v>
      </c>
      <c r="E164" s="1854" t="s">
        <v>1649</v>
      </c>
      <c r="F164" s="1776">
        <v>5.7500000000000002E-2</v>
      </c>
      <c r="G164" s="1776">
        <v>0.85</v>
      </c>
      <c r="H164" s="1863">
        <v>1683</v>
      </c>
      <c r="I164" s="1861">
        <v>334.37675699999994</v>
      </c>
      <c r="J164" s="1861">
        <f>VLOOKUP($B164,F13B_21_22_APR!$B$14:$EP$237,133,0)</f>
        <v>334.37675699999994</v>
      </c>
      <c r="K164" s="1861">
        <f>VLOOKUP($B164,F13B_21_22_APR!$B$14:$EO$223,136,0)</f>
        <v>196.62611718749997</v>
      </c>
      <c r="L164" s="1861">
        <f>VLOOKUP($B164,F13B_21_22_APR!$B$14:$EO$223,138,0)</f>
        <v>75.375208562939989</v>
      </c>
      <c r="M164" s="1861">
        <f>VLOOKUP($B164,F13B_21_22_APR!$B$14:$EO$223,140,0)</f>
        <v>0</v>
      </c>
      <c r="N164" s="1780">
        <f>SUM(K164:M164)</f>
        <v>272.00132575043995</v>
      </c>
      <c r="O164" s="1780">
        <f t="shared" si="18"/>
        <v>8.134576344086021</v>
      </c>
      <c r="P164" s="1065">
        <v>17</v>
      </c>
      <c r="Q164" s="1847">
        <f t="shared" si="17"/>
        <v>11811.049965</v>
      </c>
      <c r="R164" s="1848"/>
      <c r="S164" s="1848"/>
      <c r="T164" s="1848"/>
      <c r="U164" s="1848"/>
      <c r="V164" s="1848"/>
    </row>
    <row r="165" spans="1:23">
      <c r="A165" s="1797"/>
      <c r="B165" s="1867" t="s">
        <v>211</v>
      </c>
      <c r="C165" s="1780">
        <f>SUM(C148:C164,C140:C146)</f>
        <v>26885</v>
      </c>
      <c r="D165" s="1856"/>
      <c r="E165" s="1854"/>
      <c r="F165" s="1856"/>
      <c r="G165" s="1856"/>
      <c r="H165" s="1780">
        <f>SUM(H148:H164,H140:H146)</f>
        <v>13648.56</v>
      </c>
      <c r="I165" s="1780">
        <f>SUM(I148:I164,I140:I146)</f>
        <v>59427.571036003494</v>
      </c>
      <c r="J165" s="1780">
        <f>SUM(J148:J164,J140:J146)</f>
        <v>58051.188945229151</v>
      </c>
      <c r="K165" s="1780">
        <f>SUM(K148:K164,K140:K146)</f>
        <v>14358.7789926968</v>
      </c>
      <c r="L165" s="1780">
        <f>SUM(L148:L164,L140:L146)</f>
        <v>13914.377854083321</v>
      </c>
      <c r="M165" s="1780">
        <f>SUM(M148:M164,M140:M145)</f>
        <v>24.396026229999986</v>
      </c>
      <c r="N165" s="1780">
        <f t="shared" si="19"/>
        <v>28297.552873010118</v>
      </c>
      <c r="O165" s="1780">
        <f t="shared" si="18"/>
        <v>4.8745862724204736</v>
      </c>
      <c r="Q165" s="1847">
        <f t="shared" si="17"/>
        <v>0</v>
      </c>
      <c r="R165" s="1848">
        <v>-93.764789658474911</v>
      </c>
      <c r="S165" s="1848">
        <v>-1060.5259649194959</v>
      </c>
      <c r="T165" s="1848">
        <v>-237.25002660833343</v>
      </c>
      <c r="U165" s="1848">
        <v>2501.9194846479995</v>
      </c>
      <c r="V165" s="1848">
        <v>1204.1434931201657</v>
      </c>
    </row>
    <row r="166" spans="1:23">
      <c r="A166" s="1797"/>
      <c r="B166" s="1867"/>
      <c r="C166" s="1853"/>
      <c r="D166" s="1856"/>
      <c r="E166" s="1854"/>
      <c r="F166" s="1856"/>
      <c r="G166" s="1856"/>
      <c r="H166" s="1780"/>
      <c r="I166" s="1861"/>
      <c r="J166" s="1861"/>
      <c r="K166" s="1861"/>
      <c r="L166" s="1861"/>
      <c r="M166" s="1861"/>
      <c r="N166" s="1861"/>
      <c r="O166" s="1780"/>
      <c r="Q166" s="1847">
        <f t="shared" si="17"/>
        <v>0</v>
      </c>
    </row>
    <row r="167" spans="1:23">
      <c r="A167" s="1797"/>
      <c r="B167" s="1867" t="s">
        <v>22</v>
      </c>
      <c r="C167" s="1780">
        <f>SUM(C30,C41,C84,C92,C111,C118,C128,C133,C136,C165)</f>
        <v>91388.09</v>
      </c>
      <c r="D167" s="1856"/>
      <c r="E167" s="1854"/>
      <c r="F167" s="1856"/>
      <c r="G167" s="1856"/>
      <c r="H167" s="1780">
        <f t="shared" ref="H167:N167" si="20">SUM(H30,H41,H84,H92,H111,H118,H128,H133,H136,H165)</f>
        <v>32063.216800000002</v>
      </c>
      <c r="I167" s="1780">
        <f t="shared" si="20"/>
        <v>128086.30347010592</v>
      </c>
      <c r="J167" s="1780">
        <f t="shared" si="20"/>
        <v>119419.38335493568</v>
      </c>
      <c r="K167" s="1780">
        <f t="shared" si="20"/>
        <v>22423.869318109413</v>
      </c>
      <c r="L167" s="1780">
        <f t="shared" si="20"/>
        <v>27312.01138594604</v>
      </c>
      <c r="M167" s="1780">
        <f t="shared" si="20"/>
        <v>1369.7150430300001</v>
      </c>
      <c r="N167" s="1780">
        <f t="shared" si="20"/>
        <v>51105.595747085448</v>
      </c>
      <c r="O167" s="1780">
        <f t="shared" si="18"/>
        <v>4.2795059153161521</v>
      </c>
      <c r="Q167" s="1847">
        <f t="shared" si="17"/>
        <v>0</v>
      </c>
      <c r="R167" s="1848">
        <v>-5338.3663959547703</v>
      </c>
      <c r="S167" s="1848">
        <v>-3351.5892985061619</v>
      </c>
      <c r="T167" s="1848">
        <v>-1467.6685712717226</v>
      </c>
      <c r="U167" s="1848">
        <v>2233.6102101129995</v>
      </c>
      <c r="V167" s="1848">
        <v>-2585.6476596648936</v>
      </c>
      <c r="W167" s="1782">
        <f>N167-F13B_21_22_APR!EN170</f>
        <v>0</v>
      </c>
    </row>
    <row r="168" spans="1:23">
      <c r="A168" s="1797"/>
      <c r="B168" s="1876"/>
      <c r="C168" s="1853"/>
      <c r="D168" s="1856"/>
      <c r="E168" s="1854"/>
      <c r="F168" s="1856"/>
      <c r="G168" s="1856"/>
      <c r="H168" s="1780"/>
      <c r="I168" s="1861"/>
      <c r="J168" s="1861"/>
      <c r="K168" s="1861"/>
      <c r="L168" s="1861"/>
      <c r="M168" s="1861"/>
      <c r="N168" s="1861"/>
      <c r="O168" s="1780"/>
      <c r="Q168" s="1847">
        <f t="shared" si="17"/>
        <v>0</v>
      </c>
    </row>
    <row r="169" spans="1:23">
      <c r="A169" s="1797" t="s">
        <v>58</v>
      </c>
      <c r="B169" s="1877" t="s">
        <v>1782</v>
      </c>
      <c r="C169" s="1853"/>
      <c r="D169" s="1856"/>
      <c r="E169" s="1854"/>
      <c r="F169" s="1856"/>
      <c r="G169" s="1856"/>
      <c r="H169" s="1780"/>
      <c r="I169" s="1861"/>
      <c r="J169" s="1861"/>
      <c r="K169" s="1861"/>
      <c r="L169" s="1861"/>
      <c r="M169" s="1861"/>
      <c r="N169" s="1861"/>
      <c r="O169" s="1780"/>
      <c r="Q169" s="1847">
        <f t="shared" si="17"/>
        <v>0</v>
      </c>
    </row>
    <row r="170" spans="1:23">
      <c r="A170" s="1797"/>
      <c r="B170" s="1878"/>
      <c r="C170" s="1853"/>
      <c r="D170" s="1856"/>
      <c r="E170" s="1854"/>
      <c r="F170" s="1856"/>
      <c r="G170" s="1856"/>
      <c r="H170" s="1780"/>
      <c r="I170" s="1861"/>
      <c r="J170" s="1861"/>
      <c r="K170" s="1861"/>
      <c r="L170" s="1861"/>
      <c r="M170" s="1861"/>
      <c r="N170" s="1861"/>
      <c r="O170" s="1780"/>
      <c r="Q170" s="1847">
        <f t="shared" si="17"/>
        <v>0</v>
      </c>
    </row>
    <row r="171" spans="1:23">
      <c r="A171" s="1797" t="s">
        <v>67</v>
      </c>
      <c r="B171" s="1877" t="s">
        <v>1783</v>
      </c>
      <c r="C171" s="1853"/>
      <c r="D171" s="1856"/>
      <c r="E171" s="1854"/>
      <c r="F171" s="1856"/>
      <c r="G171" s="1856"/>
      <c r="H171" s="1780"/>
      <c r="I171" s="1861">
        <v>955.96489299892244</v>
      </c>
      <c r="J171" s="1861">
        <f>VLOOKUP($B171,F13B_21_22_APR!$B$14:$EP$237,133,0)</f>
        <v>420.04451168565527</v>
      </c>
      <c r="K171" s="1861">
        <f>VLOOKUP($B171,F13B_21_22_APR!$B$14:$EO$223,136,0)</f>
        <v>0</v>
      </c>
      <c r="L171" s="1861">
        <f>VLOOKUP($B171,F13B_21_22_APR!$B$14:$EO$223,138,0)</f>
        <v>231.0244814271104</v>
      </c>
      <c r="M171" s="1861">
        <f>VLOOKUP($B171,F13B_21_22_APR!$B$14:$EO$223,140,0)</f>
        <v>0</v>
      </c>
      <c r="N171" s="1780"/>
      <c r="O171" s="1780">
        <f t="shared" si="18"/>
        <v>0</v>
      </c>
      <c r="Q171" s="1847">
        <f t="shared" si="17"/>
        <v>0</v>
      </c>
    </row>
    <row r="172" spans="1:23">
      <c r="A172" s="1797"/>
      <c r="B172" s="1879" t="s">
        <v>1784</v>
      </c>
      <c r="C172" s="1853"/>
      <c r="D172" s="1856"/>
      <c r="E172" s="1854"/>
      <c r="F172" s="1856"/>
      <c r="G172" s="1856"/>
      <c r="H172" s="1853">
        <v>0</v>
      </c>
      <c r="I172" s="1861">
        <f>I171</f>
        <v>955.96489299892244</v>
      </c>
      <c r="J172" s="1861">
        <f>J171</f>
        <v>420.04451168565527</v>
      </c>
      <c r="K172" s="1861">
        <f>K171</f>
        <v>0</v>
      </c>
      <c r="L172" s="1861">
        <f>L171</f>
        <v>231.0244814271104</v>
      </c>
      <c r="M172" s="1861">
        <f>M171</f>
        <v>0</v>
      </c>
      <c r="N172" s="1780">
        <f>SUM(K172:M172)</f>
        <v>231.0244814271104</v>
      </c>
      <c r="O172" s="1780">
        <f t="shared" si="18"/>
        <v>5.5</v>
      </c>
      <c r="Q172" s="1847">
        <f t="shared" si="17"/>
        <v>0</v>
      </c>
    </row>
    <row r="173" spans="1:23">
      <c r="A173" s="1797"/>
      <c r="B173" s="1878"/>
      <c r="C173" s="1853"/>
      <c r="D173" s="1856"/>
      <c r="E173" s="1854"/>
      <c r="F173" s="1856"/>
      <c r="G173" s="1856"/>
      <c r="H173" s="1780"/>
      <c r="I173" s="1861"/>
      <c r="J173" s="1861"/>
      <c r="K173" s="1861"/>
      <c r="L173" s="1861"/>
      <c r="M173" s="1861"/>
      <c r="N173" s="1861"/>
      <c r="O173" s="1780"/>
      <c r="Q173" s="1847">
        <f t="shared" si="17"/>
        <v>0</v>
      </c>
    </row>
    <row r="174" spans="1:23">
      <c r="A174" s="1797" t="s">
        <v>68</v>
      </c>
      <c r="B174" s="1880" t="s">
        <v>1785</v>
      </c>
      <c r="C174" s="1853"/>
      <c r="D174" s="1881"/>
      <c r="E174" s="1881"/>
      <c r="F174" s="1856"/>
      <c r="G174" s="1881"/>
      <c r="H174" s="1861"/>
      <c r="I174" s="1861"/>
      <c r="J174" s="1861"/>
      <c r="K174" s="1861"/>
      <c r="L174" s="1861"/>
      <c r="M174" s="1861"/>
      <c r="N174" s="1861"/>
      <c r="O174" s="1780"/>
      <c r="Q174" s="1847">
        <f t="shared" si="17"/>
        <v>0</v>
      </c>
    </row>
    <row r="175" spans="1:23">
      <c r="B175" s="1882" t="s">
        <v>1786</v>
      </c>
      <c r="C175" s="1863">
        <v>1497.01</v>
      </c>
      <c r="D175" s="1776">
        <v>0.29999999999999993</v>
      </c>
      <c r="E175" s="1881" t="s">
        <v>1667</v>
      </c>
      <c r="F175" s="1776">
        <v>0</v>
      </c>
      <c r="G175" s="1776">
        <v>1</v>
      </c>
      <c r="H175" s="1863">
        <v>1497.01</v>
      </c>
      <c r="I175" s="1861">
        <v>3934.1422799999991</v>
      </c>
      <c r="J175" s="1861">
        <f>VLOOKUP($B175,F13B_21_22_APR!$B$14:$EP$237,133,0)</f>
        <v>1958.725561</v>
      </c>
      <c r="K175" s="1861">
        <f>VLOOKUP($B175,F13B_21_22_APR!$B$14:$EO$223,136,0)</f>
        <v>110.755068794</v>
      </c>
      <c r="L175" s="1861">
        <f>VLOOKUP($B175,F13B_21_22_APR!$B$14:$EO$223,138,0)</f>
        <v>565.83048354627772</v>
      </c>
      <c r="M175" s="1861">
        <f>VLOOKUP($B175,F13B_21_22_APR!$B$14:$EO$223,140,0)</f>
        <v>0.95335763100000004</v>
      </c>
      <c r="N175" s="1853">
        <f>SUM(K175:M175)</f>
        <v>677.53890997127769</v>
      </c>
      <c r="O175" s="1780">
        <f t="shared" si="18"/>
        <v>3.4590803503139544</v>
      </c>
      <c r="Q175" s="1847">
        <f t="shared" si="17"/>
        <v>3934.1422799999987</v>
      </c>
      <c r="R175" s="1848">
        <v>-3116.4126219999994</v>
      </c>
      <c r="S175" s="1848">
        <v>-72.870975907675003</v>
      </c>
      <c r="T175" s="1848">
        <v>-965.15013548662</v>
      </c>
      <c r="U175" s="1848">
        <v>1.0315235</v>
      </c>
      <c r="V175" s="1848">
        <v>-1036.989587894295</v>
      </c>
    </row>
    <row r="176" spans="1:23">
      <c r="A176" s="1797"/>
      <c r="B176" s="1882" t="s">
        <v>1787</v>
      </c>
      <c r="C176" s="1863">
        <v>0</v>
      </c>
      <c r="D176" s="1776">
        <v>0.29999999999999993</v>
      </c>
      <c r="E176" s="1881" t="s">
        <v>1667</v>
      </c>
      <c r="F176" s="1776">
        <v>0</v>
      </c>
      <c r="G176" s="1776">
        <v>0</v>
      </c>
      <c r="H176" s="1863">
        <v>0</v>
      </c>
      <c r="I176" s="1861">
        <v>0</v>
      </c>
      <c r="J176" s="1861">
        <f>VLOOKUP($B176,F13B_21_22_APR!$B$14:$EP$237,133,0)</f>
        <v>0</v>
      </c>
      <c r="K176" s="1861">
        <f>VLOOKUP($B176,F13B_21_22_APR!$B$14:$EO$223,136,0)</f>
        <v>0</v>
      </c>
      <c r="L176" s="1861">
        <f>VLOOKUP($B176,F13B_21_22_APR!$B$14:$EO$223,138,0)</f>
        <v>0</v>
      </c>
      <c r="M176" s="1861">
        <f>VLOOKUP($B176,F13B_21_22_APR!$B$14:$EO$223,140,0)</f>
        <v>0</v>
      </c>
      <c r="N176" s="1853">
        <f>SUM(K176:M176)</f>
        <v>0</v>
      </c>
      <c r="O176" s="1780"/>
      <c r="Q176" s="1847">
        <f t="shared" si="17"/>
        <v>0</v>
      </c>
      <c r="R176" s="1848">
        <v>-43.739999999999995</v>
      </c>
      <c r="S176" s="1848">
        <v>0</v>
      </c>
      <c r="T176" s="1848">
        <v>-14.284396409863577</v>
      </c>
      <c r="U176" s="1848">
        <v>0</v>
      </c>
      <c r="V176" s="1848">
        <v>-14.284396409863577</v>
      </c>
    </row>
    <row r="177" spans="1:23">
      <c r="A177" s="1797"/>
      <c r="B177" s="1879" t="s">
        <v>1788</v>
      </c>
      <c r="C177" s="1780">
        <f>SUM(C175:C176)</f>
        <v>1497.01</v>
      </c>
      <c r="D177" s="1881"/>
      <c r="E177" s="1881"/>
      <c r="F177" s="1856"/>
      <c r="G177" s="1881"/>
      <c r="H177" s="1780">
        <f t="shared" ref="H177:M177" si="21">SUM(H175:H176)</f>
        <v>1497.01</v>
      </c>
      <c r="I177" s="1780">
        <f t="shared" si="21"/>
        <v>3934.1422799999991</v>
      </c>
      <c r="J177" s="1780">
        <f t="shared" si="21"/>
        <v>1958.725561</v>
      </c>
      <c r="K177" s="1780">
        <f t="shared" si="21"/>
        <v>110.755068794</v>
      </c>
      <c r="L177" s="1780">
        <f t="shared" si="21"/>
        <v>565.83048354627772</v>
      </c>
      <c r="M177" s="1780">
        <f t="shared" si="21"/>
        <v>0.95335763100000004</v>
      </c>
      <c r="N177" s="1780">
        <f>SUM(K177:M177)</f>
        <v>677.53890997127769</v>
      </c>
      <c r="O177" s="1780">
        <f t="shared" si="18"/>
        <v>3.4590803503139544</v>
      </c>
      <c r="P177" s="1356">
        <v>2</v>
      </c>
      <c r="Q177" s="1847">
        <f t="shared" si="17"/>
        <v>0</v>
      </c>
      <c r="R177" s="1848">
        <v>-802.57936999999902</v>
      </c>
      <c r="S177" s="1848">
        <v>-72.870975907675003</v>
      </c>
      <c r="T177" s="1848">
        <v>-182.28703699648349</v>
      </c>
      <c r="U177" s="1848">
        <v>-7.9143872000000002</v>
      </c>
      <c r="V177" s="1848">
        <v>-263.07240010415853</v>
      </c>
      <c r="W177" s="1782">
        <f>N177-F13B_21_22_APR!EN180</f>
        <v>0</v>
      </c>
    </row>
    <row r="178" spans="1:23">
      <c r="A178" s="1797"/>
      <c r="B178" s="1882"/>
      <c r="C178" s="1853"/>
      <c r="D178" s="1881"/>
      <c r="E178" s="1881"/>
      <c r="F178" s="1856"/>
      <c r="G178" s="1881"/>
      <c r="H178" s="1853"/>
      <c r="I178" s="1861"/>
      <c r="J178" s="1861"/>
      <c r="K178" s="1861"/>
      <c r="L178" s="1861"/>
      <c r="M178" s="1861"/>
      <c r="N178" s="1861"/>
      <c r="O178" s="1780"/>
      <c r="Q178" s="1847">
        <f t="shared" si="17"/>
        <v>0</v>
      </c>
    </row>
    <row r="179" spans="1:23" ht="29">
      <c r="A179" s="1797" t="s">
        <v>69</v>
      </c>
      <c r="B179" s="1883" t="s">
        <v>1789</v>
      </c>
      <c r="C179" s="1853"/>
      <c r="D179" s="1881"/>
      <c r="E179" s="1881"/>
      <c r="F179" s="1856"/>
      <c r="G179" s="1881"/>
      <c r="H179" s="1861"/>
      <c r="I179" s="1861"/>
      <c r="J179" s="1884">
        <f>VLOOKUP($B179,F13B_21_22_APR!$B$14:$EP$237,133,0)</f>
        <v>-3866.2321510000002</v>
      </c>
      <c r="K179" s="1884">
        <f>VLOOKUP($B179,F13B_21_22_APR!$B$14:$EO$223,136,0)</f>
        <v>-359.29311712499998</v>
      </c>
      <c r="L179" s="1884">
        <f>VLOOKUP($B179,F13B_21_22_APR!$B$14:$EO$223,138,0)</f>
        <v>-916.6471235730429</v>
      </c>
      <c r="M179" s="1884">
        <f>VLOOKUP($B179,F13B_21_22_APR!$B$14:$EO$223,140,0)</f>
        <v>8.2383477000000003</v>
      </c>
      <c r="N179" s="1885">
        <f>SUM(K179:M179)</f>
        <v>-1267.7018929980429</v>
      </c>
      <c r="O179" s="1885">
        <f t="shared" si="18"/>
        <v>3.2789078448642877</v>
      </c>
      <c r="Q179" s="1847">
        <f t="shared" si="17"/>
        <v>0</v>
      </c>
      <c r="W179" s="1782">
        <f>N179-F13B_21_22_APR!EN182</f>
        <v>0</v>
      </c>
    </row>
    <row r="180" spans="1:23">
      <c r="A180" s="1859" t="s">
        <v>70</v>
      </c>
      <c r="B180" s="1883"/>
      <c r="C180" s="1853"/>
      <c r="D180" s="1881"/>
      <c r="E180" s="1881"/>
      <c r="F180" s="1856"/>
      <c r="G180" s="1881"/>
      <c r="H180" s="1861"/>
      <c r="I180" s="1861"/>
      <c r="J180" s="1861"/>
      <c r="K180" s="1861"/>
      <c r="L180" s="1861"/>
      <c r="M180" s="1861"/>
      <c r="N180" s="1861"/>
      <c r="O180" s="1780"/>
      <c r="Q180" s="1847">
        <f t="shared" si="17"/>
        <v>0</v>
      </c>
      <c r="W180" s="1782">
        <f>N180-F13B_21_22_APR!EN183</f>
        <v>0</v>
      </c>
    </row>
    <row r="181" spans="1:23">
      <c r="A181" s="1886">
        <v>1</v>
      </c>
      <c r="B181" s="1887" t="s">
        <v>1790</v>
      </c>
      <c r="C181" s="1863">
        <v>2343</v>
      </c>
      <c r="D181" s="1776">
        <v>0.18916666666666662</v>
      </c>
      <c r="E181" s="1881" t="s">
        <v>1667</v>
      </c>
      <c r="F181" s="1776">
        <v>0</v>
      </c>
      <c r="G181" s="1776"/>
      <c r="H181" s="1863">
        <v>2343</v>
      </c>
      <c r="I181" s="1861">
        <v>3882.2572799999994</v>
      </c>
      <c r="J181" s="1861">
        <f>VLOOKUP($B181,F13B_21_22_APR!$B$14:$EP$237,133,0)</f>
        <v>4518.8924514999999</v>
      </c>
      <c r="K181" s="1861">
        <f>VLOOKUP($B181,F13B_21_22_APR!$B$14:$EO$223,136,0)</f>
        <v>0</v>
      </c>
      <c r="L181" s="1861">
        <f>VLOOKUP($B181,F13B_21_22_APR!$B$14:$EO$223,138,0)</f>
        <v>1703.3514351483714</v>
      </c>
      <c r="M181" s="1861">
        <f>VLOOKUP($B181,F13B_21_22_APR!$B$14:$EO$223,140,0)</f>
        <v>-0.88893721699999995</v>
      </c>
      <c r="N181" s="1780">
        <f t="shared" ref="N181:N188" si="22">SUM(K181:M181)</f>
        <v>1702.4624979313714</v>
      </c>
      <c r="O181" s="1780">
        <f t="shared" si="18"/>
        <v>3.7674330960593156</v>
      </c>
      <c r="Q181" s="1847">
        <f t="shared" si="17"/>
        <v>3882.5852999999988</v>
      </c>
      <c r="R181" s="1848">
        <v>-4169.1699706999989</v>
      </c>
      <c r="S181" s="1848">
        <v>0</v>
      </c>
      <c r="T181" s="1848">
        <v>-1614.5958960058417</v>
      </c>
      <c r="U181" s="1848">
        <v>-1.0865767620000004</v>
      </c>
      <c r="V181" s="1848">
        <v>-1615.6824727678418</v>
      </c>
      <c r="W181" s="1782">
        <f>N181-F13B_21_22_APR!EN184</f>
        <v>0</v>
      </c>
    </row>
    <row r="182" spans="1:23">
      <c r="A182" s="1886">
        <v>2</v>
      </c>
      <c r="B182" s="1887" t="s">
        <v>2061</v>
      </c>
      <c r="C182" s="1863">
        <v>0</v>
      </c>
      <c r="D182" s="1776">
        <v>0.18999999999999997</v>
      </c>
      <c r="E182" s="1881" t="s">
        <v>1667</v>
      </c>
      <c r="F182" s="1776">
        <v>0</v>
      </c>
      <c r="G182" s="1776"/>
      <c r="H182" s="1863">
        <v>0</v>
      </c>
      <c r="I182" s="1861">
        <v>0</v>
      </c>
      <c r="J182" s="1861"/>
      <c r="K182" s="1861"/>
      <c r="L182" s="1861"/>
      <c r="M182" s="1861"/>
      <c r="N182" s="1780">
        <f t="shared" si="22"/>
        <v>0</v>
      </c>
      <c r="O182" s="1780"/>
      <c r="Q182" s="1847">
        <f t="shared" si="17"/>
        <v>0</v>
      </c>
      <c r="R182" s="1848"/>
      <c r="S182" s="1848"/>
      <c r="T182" s="1848"/>
      <c r="U182" s="1848"/>
      <c r="V182" s="1848"/>
      <c r="W182" s="1782"/>
    </row>
    <row r="183" spans="1:23">
      <c r="A183" s="1886">
        <v>3</v>
      </c>
      <c r="B183" s="1887" t="s">
        <v>1792</v>
      </c>
      <c r="C183" s="1863">
        <v>0</v>
      </c>
      <c r="D183" s="1776">
        <v>0.18999999999999997</v>
      </c>
      <c r="E183" s="1881" t="s">
        <v>1667</v>
      </c>
      <c r="F183" s="1776">
        <v>0</v>
      </c>
      <c r="G183" s="1776"/>
      <c r="H183" s="1863">
        <v>0</v>
      </c>
      <c r="I183" s="1861">
        <v>0</v>
      </c>
      <c r="J183" s="1861">
        <f>VLOOKUP($B183,F13B_21_22_APR!$B$14:$EP$237,133,0)</f>
        <v>0</v>
      </c>
      <c r="K183" s="1861">
        <f>VLOOKUP($B183,F13B_21_22_APR!$B$14:$EO$223,136,0)</f>
        <v>0</v>
      </c>
      <c r="L183" s="1861">
        <f>VLOOKUP($B183,F13B_21_22_APR!$B$14:$EO$223,138,0)</f>
        <v>0</v>
      </c>
      <c r="M183" s="1861">
        <f>VLOOKUP($B183,F13B_21_22_APR!$B$14:$EO$223,140,0)</f>
        <v>0</v>
      </c>
      <c r="N183" s="1780">
        <f t="shared" si="22"/>
        <v>0</v>
      </c>
      <c r="O183" s="1780"/>
      <c r="Q183" s="1847">
        <f t="shared" si="17"/>
        <v>0</v>
      </c>
      <c r="R183" s="1848"/>
      <c r="S183" s="1848"/>
      <c r="T183" s="1848"/>
      <c r="U183" s="1848"/>
      <c r="V183" s="1848"/>
      <c r="W183" s="1782">
        <f>N183-F13B_21_22_APR!EN186</f>
        <v>0</v>
      </c>
    </row>
    <row r="184" spans="1:23">
      <c r="A184" s="1886">
        <v>4</v>
      </c>
      <c r="B184" s="1887" t="s">
        <v>1793</v>
      </c>
      <c r="C184" s="1863">
        <v>432</v>
      </c>
      <c r="D184" s="1776">
        <v>0.18999999999999997</v>
      </c>
      <c r="E184" s="1881" t="s">
        <v>1667</v>
      </c>
      <c r="F184" s="1776">
        <v>0</v>
      </c>
      <c r="G184" s="1776"/>
      <c r="H184" s="1863">
        <v>432</v>
      </c>
      <c r="I184" s="1861">
        <v>315.23279999999994</v>
      </c>
      <c r="J184" s="1861">
        <f>VLOOKUP($B184,F13B_21_22_APR!$B$14:$EP$237,133,0)</f>
        <v>156.08879999999999</v>
      </c>
      <c r="K184" s="1861">
        <f>VLOOKUP($B184,F13B_21_22_APR!$B$14:$EO$223,136,0)</f>
        <v>0</v>
      </c>
      <c r="L184" s="1861">
        <f>VLOOKUP($B184,F13B_21_22_APR!$B$14:$EO$223,138,0)</f>
        <v>46.826639999999998</v>
      </c>
      <c r="M184" s="1861">
        <f>VLOOKUP($B184,F13B_21_22_APR!$B$14:$EO$223,140,0)</f>
        <v>0</v>
      </c>
      <c r="N184" s="1780">
        <f t="shared" si="22"/>
        <v>46.826639999999998</v>
      </c>
      <c r="O184" s="1780">
        <f t="shared" si="18"/>
        <v>3</v>
      </c>
      <c r="Q184" s="1847">
        <f t="shared" si="17"/>
        <v>719.02079999999989</v>
      </c>
      <c r="R184" s="1848">
        <v>-478.69056</v>
      </c>
      <c r="S184" s="1848">
        <v>0</v>
      </c>
      <c r="T184" s="1848">
        <v>-143.607168</v>
      </c>
      <c r="U184" s="1848">
        <v>0</v>
      </c>
      <c r="V184" s="1848">
        <v>-143.607168</v>
      </c>
      <c r="W184" s="1782">
        <f>N184-F13B_21_22_APR!EN187</f>
        <v>0</v>
      </c>
    </row>
    <row r="185" spans="1:23">
      <c r="A185" s="1886">
        <v>5</v>
      </c>
      <c r="B185" s="1887" t="s">
        <v>1794</v>
      </c>
      <c r="C185" s="1863">
        <v>265</v>
      </c>
      <c r="D185" s="1776">
        <v>0.18999999999999997</v>
      </c>
      <c r="E185" s="1881" t="s">
        <v>1667</v>
      </c>
      <c r="F185" s="1776">
        <v>0</v>
      </c>
      <c r="G185" s="1776"/>
      <c r="H185" s="1863"/>
      <c r="I185" s="1861"/>
      <c r="J185" s="1861">
        <f>VLOOKUP($B185,F13B_21_22_APR!$B$14:$EP$237,133,0)</f>
        <v>0</v>
      </c>
      <c r="K185" s="1861">
        <f>VLOOKUP($B185,F13B_21_22_APR!$B$14:$EO$223,136,0)</f>
        <v>0</v>
      </c>
      <c r="L185" s="1861">
        <f>VLOOKUP($B185,F13B_21_22_APR!$B$14:$EO$223,138,0)</f>
        <v>0</v>
      </c>
      <c r="M185" s="1861">
        <f>VLOOKUP($B185,F13B_21_22_APR!$B$14:$EO$223,140,0)</f>
        <v>0</v>
      </c>
      <c r="N185" s="1780">
        <f t="shared" si="22"/>
        <v>0</v>
      </c>
      <c r="O185" s="1780"/>
      <c r="Q185" s="1847">
        <f t="shared" si="17"/>
        <v>0</v>
      </c>
      <c r="R185" s="1848">
        <v>0</v>
      </c>
      <c r="S185" s="1848">
        <v>0</v>
      </c>
      <c r="T185" s="1848">
        <v>0</v>
      </c>
      <c r="U185" s="1848">
        <v>0</v>
      </c>
      <c r="V185" s="1848">
        <v>0</v>
      </c>
      <c r="W185" s="1782">
        <f>N185-F13B_21_22_APR!EN188</f>
        <v>0</v>
      </c>
    </row>
    <row r="186" spans="1:23">
      <c r="A186" s="1886">
        <v>6</v>
      </c>
      <c r="B186" s="1887" t="s">
        <v>1795</v>
      </c>
      <c r="C186" s="1863">
        <v>0</v>
      </c>
      <c r="D186" s="1776"/>
      <c r="E186" s="1881" t="s">
        <v>1667</v>
      </c>
      <c r="F186" s="1776">
        <v>0</v>
      </c>
      <c r="G186" s="1776"/>
      <c r="H186" s="1863">
        <v>0</v>
      </c>
      <c r="I186" s="1861"/>
      <c r="J186" s="1861">
        <f>VLOOKUP($B186,F13B_21_22_APR!$B$14:$EP$237,133,0)</f>
        <v>0</v>
      </c>
      <c r="K186" s="1861">
        <f>VLOOKUP($B186,F13B_21_22_APR!$B$14:$EO$223,136,0)</f>
        <v>0</v>
      </c>
      <c r="L186" s="1861">
        <f>VLOOKUP($B186,F13B_21_22_APR!$B$14:$EO$223,138,0)</f>
        <v>0</v>
      </c>
      <c r="M186" s="1861">
        <f>VLOOKUP($B186,F13B_21_22_APR!$B$14:$EO$223,140,0)</f>
        <v>0</v>
      </c>
      <c r="N186" s="1780">
        <f t="shared" si="22"/>
        <v>0</v>
      </c>
      <c r="O186" s="1780"/>
      <c r="Q186" s="1847">
        <f t="shared" si="17"/>
        <v>0</v>
      </c>
      <c r="R186" s="1848">
        <v>0</v>
      </c>
      <c r="S186" s="1848">
        <v>0</v>
      </c>
      <c r="T186" s="1848">
        <v>0</v>
      </c>
      <c r="U186" s="1848">
        <v>0</v>
      </c>
      <c r="V186" s="1848">
        <v>0</v>
      </c>
      <c r="W186" s="1782">
        <f>N186-F13B_21_22_APR!EN189</f>
        <v>0</v>
      </c>
    </row>
    <row r="187" spans="1:23">
      <c r="A187" s="1886">
        <v>7</v>
      </c>
      <c r="B187" s="1887" t="s">
        <v>1796</v>
      </c>
      <c r="C187" s="1863">
        <v>0</v>
      </c>
      <c r="D187" s="1776"/>
      <c r="E187" s="1881" t="s">
        <v>1667</v>
      </c>
      <c r="F187" s="1776">
        <v>0</v>
      </c>
      <c r="G187" s="1776"/>
      <c r="H187" s="1863">
        <v>0</v>
      </c>
      <c r="I187" s="1861"/>
      <c r="J187" s="1861">
        <f>VLOOKUP($B187,F13B_21_22_APR!$B$14:$EP$237,133,0)</f>
        <v>0</v>
      </c>
      <c r="K187" s="1861">
        <f>VLOOKUP($B187,F13B_21_22_APR!$B$14:$EO$223,136,0)</f>
        <v>0</v>
      </c>
      <c r="L187" s="1861">
        <f>VLOOKUP($B187,F13B_21_22_APR!$B$14:$EO$223,138,0)</f>
        <v>0</v>
      </c>
      <c r="M187" s="1861">
        <f>VLOOKUP($B187,F13B_21_22_APR!$B$14:$EO$223,140,0)</f>
        <v>0</v>
      </c>
      <c r="N187" s="1780">
        <f t="shared" si="22"/>
        <v>0</v>
      </c>
      <c r="O187" s="1780"/>
      <c r="Q187" s="1847">
        <f t="shared" si="17"/>
        <v>0</v>
      </c>
      <c r="R187" s="1848">
        <v>0</v>
      </c>
      <c r="S187" s="1848">
        <v>0</v>
      </c>
      <c r="T187" s="1848">
        <v>0</v>
      </c>
      <c r="U187" s="1848">
        <v>0</v>
      </c>
      <c r="V187" s="1848">
        <v>0</v>
      </c>
      <c r="W187" s="1782">
        <f>N187-F13B_21_22_APR!EN190</f>
        <v>0</v>
      </c>
    </row>
    <row r="188" spans="1:23">
      <c r="A188" s="1797"/>
      <c r="B188" s="1774" t="s">
        <v>1791</v>
      </c>
      <c r="C188" s="1780">
        <f>SUM(C181:C187)</f>
        <v>3040</v>
      </c>
      <c r="D188" s="1888"/>
      <c r="E188" s="1888"/>
      <c r="F188" s="1856"/>
      <c r="G188" s="1888"/>
      <c r="H188" s="1780">
        <f t="shared" ref="H188:M188" si="23">SUM(H181:H187)</f>
        <v>2775</v>
      </c>
      <c r="I188" s="1780">
        <f t="shared" si="23"/>
        <v>4197.4900799999996</v>
      </c>
      <c r="J188" s="1780">
        <f t="shared" si="23"/>
        <v>4674.9812514999994</v>
      </c>
      <c r="K188" s="1780">
        <f t="shared" si="23"/>
        <v>0</v>
      </c>
      <c r="L188" s="1780">
        <f t="shared" si="23"/>
        <v>1750.1780751483714</v>
      </c>
      <c r="M188" s="1780">
        <f t="shared" si="23"/>
        <v>-0.88893721699999995</v>
      </c>
      <c r="N188" s="1780">
        <f t="shared" si="22"/>
        <v>1749.2891379313714</v>
      </c>
      <c r="O188" s="1780">
        <f t="shared" si="18"/>
        <v>3.7418099535053755</v>
      </c>
      <c r="P188" s="1356">
        <v>6</v>
      </c>
      <c r="Q188" s="1847">
        <f t="shared" si="17"/>
        <v>0</v>
      </c>
      <c r="R188" s="1848">
        <v>-1441.1521146999989</v>
      </c>
      <c r="S188" s="1848">
        <v>0</v>
      </c>
      <c r="T188" s="1848">
        <v>-491.30309150584162</v>
      </c>
      <c r="U188" s="1848">
        <v>-0.93880206200000038</v>
      </c>
      <c r="V188" s="1848">
        <v>-492.24189356784177</v>
      </c>
      <c r="W188" s="1782">
        <f>N188-F13B_21_22_APR!EN191</f>
        <v>0</v>
      </c>
    </row>
    <row r="189" spans="1:23">
      <c r="A189" s="1797"/>
      <c r="B189" s="1887"/>
      <c r="C189" s="1853"/>
      <c r="D189" s="1881"/>
      <c r="E189" s="1881"/>
      <c r="F189" s="1856"/>
      <c r="G189" s="1881"/>
      <c r="H189" s="1861"/>
      <c r="I189" s="1861"/>
      <c r="J189" s="1861"/>
      <c r="K189" s="1861"/>
      <c r="L189" s="1861"/>
      <c r="M189" s="1861"/>
      <c r="N189" s="1861"/>
      <c r="O189" s="1780"/>
      <c r="Q189" s="1847">
        <f t="shared" si="17"/>
        <v>0</v>
      </c>
      <c r="W189" s="1782">
        <f>N189-F13B_21_22_APR!EN192</f>
        <v>0</v>
      </c>
    </row>
    <row r="190" spans="1:23">
      <c r="A190" s="1859" t="s">
        <v>138</v>
      </c>
      <c r="B190" s="1889" t="s">
        <v>1797</v>
      </c>
      <c r="C190" s="1853"/>
      <c r="D190" s="1881"/>
      <c r="E190" s="1881"/>
      <c r="F190" s="1856"/>
      <c r="G190" s="1881"/>
      <c r="H190" s="1861"/>
      <c r="I190" s="1861"/>
      <c r="J190" s="1861"/>
      <c r="K190" s="1861"/>
      <c r="L190" s="1861"/>
      <c r="M190" s="1861"/>
      <c r="N190" s="1861"/>
      <c r="O190" s="1780"/>
      <c r="Q190" s="1847">
        <f t="shared" si="17"/>
        <v>0</v>
      </c>
      <c r="W190" s="1782">
        <f>N190-F13B_21_22_APR!EN193</f>
        <v>0</v>
      </c>
    </row>
    <row r="191" spans="1:23">
      <c r="A191" s="1859">
        <v>1</v>
      </c>
      <c r="B191" s="1887" t="s">
        <v>1799</v>
      </c>
      <c r="C191" s="1863">
        <v>639.9</v>
      </c>
      <c r="D191" s="1776">
        <f>D193</f>
        <v>0.25</v>
      </c>
      <c r="E191" s="1881" t="s">
        <v>1667</v>
      </c>
      <c r="F191" s="1776">
        <v>0</v>
      </c>
      <c r="G191" s="1890"/>
      <c r="H191" s="1863">
        <f>C191</f>
        <v>639.9</v>
      </c>
      <c r="I191" s="1861">
        <v>1401.3810000000001</v>
      </c>
      <c r="J191" s="1861">
        <f>VLOOKUP($B191,F13B_21_22_APR!$B$14:$EP$237,133,0)</f>
        <v>2127.3337259999998</v>
      </c>
      <c r="K191" s="1861">
        <f>VLOOKUP($B191,F13B_21_22_APR!$B$14:$EO$223,136,0)</f>
        <v>0</v>
      </c>
      <c r="L191" s="1861">
        <f>VLOOKUP($B191,F13B_21_22_APR!$B$14:$EO$223,138,0)</f>
        <v>649.27042079512887</v>
      </c>
      <c r="M191" s="1861">
        <f>VLOOKUP($B191,F13B_21_22_APR!$B$14:$EO$223,140,0)</f>
        <v>0.1202284</v>
      </c>
      <c r="N191" s="1780">
        <f>SUM(K191:M191)</f>
        <v>649.39064919512884</v>
      </c>
      <c r="O191" s="1780">
        <f t="shared" si="18"/>
        <v>3.0526035537271827</v>
      </c>
      <c r="Q191" s="1847">
        <f t="shared" si="17"/>
        <v>1401.3809999999999</v>
      </c>
      <c r="R191" s="1848">
        <v>-463.00112600000057</v>
      </c>
      <c r="S191" s="1848">
        <v>0</v>
      </c>
      <c r="T191" s="1848">
        <v>-108.32218917602052</v>
      </c>
      <c r="U191" s="1848">
        <v>5.3972100000000002E-2</v>
      </c>
      <c r="V191" s="1848">
        <v>-108.26821707602051</v>
      </c>
      <c r="W191" s="1782"/>
    </row>
    <row r="192" spans="1:23">
      <c r="A192" s="1859">
        <v>2</v>
      </c>
      <c r="B192" s="1887" t="s">
        <v>1800</v>
      </c>
      <c r="C192" s="1863"/>
      <c r="D192" s="1776">
        <f>D193</f>
        <v>0.25</v>
      </c>
      <c r="E192" s="1881" t="s">
        <v>1667</v>
      </c>
      <c r="F192" s="1776"/>
      <c r="G192" s="1891"/>
      <c r="H192" s="1863"/>
      <c r="I192" s="1861">
        <v>0</v>
      </c>
      <c r="J192" s="1861"/>
      <c r="K192" s="1861"/>
      <c r="L192" s="1861"/>
      <c r="M192" s="1861"/>
      <c r="N192" s="1780"/>
      <c r="O192" s="1780"/>
      <c r="Q192" s="1847">
        <f t="shared" si="17"/>
        <v>0</v>
      </c>
      <c r="W192" s="1782"/>
    </row>
    <row r="193" spans="1:24">
      <c r="A193" s="1859">
        <v>3</v>
      </c>
      <c r="B193" s="1887" t="s">
        <v>1801</v>
      </c>
      <c r="C193" s="1863">
        <v>809.4</v>
      </c>
      <c r="D193" s="1776">
        <v>0.25</v>
      </c>
      <c r="E193" s="1881" t="s">
        <v>1667</v>
      </c>
      <c r="F193" s="1776"/>
      <c r="G193" s="1776"/>
      <c r="H193" s="1863"/>
      <c r="I193" s="1861">
        <v>620.61599999999999</v>
      </c>
      <c r="J193" s="1861">
        <f>VLOOKUP($B193,F13B_21_22_APR!$B$14:$EP$237,133,0)</f>
        <v>437.07600000000002</v>
      </c>
      <c r="K193" s="1861">
        <f>VLOOKUP($B193,F13B_21_22_APR!$B$14:$EO$223,136,0)</f>
        <v>0</v>
      </c>
      <c r="L193" s="1861">
        <f>VLOOKUP($B193,F13B_21_22_APR!$B$14:$EO$223,138,0)</f>
        <v>145.33392116062339</v>
      </c>
      <c r="M193" s="1861">
        <f>VLOOKUP($B193,F13B_21_22_APR!$B$14:$EO$223,140,0)</f>
        <v>0</v>
      </c>
      <c r="N193" s="1780">
        <f>SUM(K193:M193)</f>
        <v>145.33392116062339</v>
      </c>
      <c r="O193" s="1780">
        <f t="shared" si="18"/>
        <v>3.3251407343487949</v>
      </c>
      <c r="Q193" s="1847">
        <f t="shared" si="17"/>
        <v>0</v>
      </c>
      <c r="W193" s="1782">
        <f>N193-F13B_21_22_APR!EN196</f>
        <v>0</v>
      </c>
    </row>
    <row r="194" spans="1:24">
      <c r="A194" s="1859">
        <v>4</v>
      </c>
      <c r="B194" s="1887" t="s">
        <v>2062</v>
      </c>
      <c r="C194" s="1863">
        <v>730.6</v>
      </c>
      <c r="D194" s="1776">
        <v>0.25</v>
      </c>
      <c r="E194" s="1881" t="s">
        <v>1667</v>
      </c>
      <c r="F194" s="1776">
        <v>0</v>
      </c>
      <c r="G194" s="1776"/>
      <c r="H194" s="1863">
        <v>730.6</v>
      </c>
      <c r="I194" s="1861">
        <v>1600.0139999999999</v>
      </c>
      <c r="J194" s="1861">
        <f>VLOOKUP($B194,F13B_21_22_APR!$B$14:$EP$237,133,0)</f>
        <v>0</v>
      </c>
      <c r="K194" s="1861">
        <f>VLOOKUP($B194,F13B_21_22_APR!$B$14:$EO$223,136,0)</f>
        <v>0</v>
      </c>
      <c r="L194" s="1861">
        <f>VLOOKUP($B194,F13B_21_22_APR!$B$14:$EO$223,138,0)</f>
        <v>0</v>
      </c>
      <c r="M194" s="1861">
        <f>VLOOKUP($B194,F13B_21_22_APR!$B$14:$EO$223,140,0)</f>
        <v>0</v>
      </c>
      <c r="N194" s="1780">
        <f>SUM(K194:M194)</f>
        <v>0</v>
      </c>
      <c r="O194" s="1780" t="e">
        <f t="shared" si="18"/>
        <v>#DIV/0!</v>
      </c>
      <c r="Q194" s="1847">
        <f t="shared" si="17"/>
        <v>1600.0140000000001</v>
      </c>
      <c r="W194" s="1782">
        <f>N194-F13B_21_22_APR!EN197</f>
        <v>0</v>
      </c>
    </row>
    <row r="195" spans="1:24">
      <c r="A195" s="1859">
        <v>5</v>
      </c>
      <c r="B195" s="1887" t="s">
        <v>1802</v>
      </c>
      <c r="C195" s="1863">
        <v>33.5</v>
      </c>
      <c r="D195" s="1776">
        <v>0.5</v>
      </c>
      <c r="E195" s="1881" t="s">
        <v>1667</v>
      </c>
      <c r="F195" s="1776">
        <v>0</v>
      </c>
      <c r="G195" s="1776"/>
      <c r="H195" s="1863">
        <v>33.5</v>
      </c>
      <c r="I195" s="1861">
        <v>146.73000000000002</v>
      </c>
      <c r="J195" s="1861">
        <f>VLOOKUP($B195,F13B_21_22_APR!$B$14:$EP$237,133,0)</f>
        <v>36.18</v>
      </c>
      <c r="K195" s="1861">
        <f>VLOOKUP($B195,F13B_21_22_APR!$B$14:$EO$223,136,0)</f>
        <v>0</v>
      </c>
      <c r="L195" s="1861">
        <f>VLOOKUP($B195,F13B_21_22_APR!$B$14:$EO$223,138,0)</f>
        <v>23.073905211226919</v>
      </c>
      <c r="M195" s="1861">
        <f>VLOOKUP($B195,F13B_21_22_APR!$B$14:$EO$223,140,0)</f>
        <v>0</v>
      </c>
      <c r="N195" s="1780">
        <f>SUM(K195:M195)</f>
        <v>23.073905211226919</v>
      </c>
      <c r="O195" s="1780">
        <f t="shared" si="18"/>
        <v>6.3775304619200988</v>
      </c>
      <c r="Q195" s="1847">
        <f t="shared" si="17"/>
        <v>146.72999999999999</v>
      </c>
      <c r="W195" s="1782">
        <f>N195-F13B_21_22_APR!EN198</f>
        <v>0</v>
      </c>
    </row>
    <row r="196" spans="1:24">
      <c r="A196" s="1859">
        <v>6</v>
      </c>
      <c r="B196" s="1887" t="s">
        <v>1803</v>
      </c>
      <c r="C196" s="1863">
        <v>0</v>
      </c>
      <c r="D196" s="1776">
        <v>0.5</v>
      </c>
      <c r="E196" s="1881" t="s">
        <v>1667</v>
      </c>
      <c r="F196" s="1776">
        <v>0</v>
      </c>
      <c r="G196" s="1776"/>
      <c r="H196" s="1863">
        <v>0</v>
      </c>
      <c r="I196" s="1861">
        <v>0</v>
      </c>
      <c r="J196" s="1861">
        <f>VLOOKUP($B196,F13B_21_22_APR!$B$14:$EP$237,133,0)</f>
        <v>0</v>
      </c>
      <c r="K196" s="1861">
        <f>VLOOKUP($B196,F13B_21_22_APR!$B$14:$EO$223,136,0)</f>
        <v>0</v>
      </c>
      <c r="L196" s="1861">
        <f>VLOOKUP($B196,F13B_21_22_APR!$B$14:$EO$223,138,0)</f>
        <v>0</v>
      </c>
      <c r="M196" s="1861">
        <f>VLOOKUP($B196,F13B_21_22_APR!$B$14:$EO$223,140,0)</f>
        <v>0</v>
      </c>
      <c r="N196" s="1780">
        <f>SUM(K196:M196)</f>
        <v>0</v>
      </c>
      <c r="O196" s="1780"/>
      <c r="Q196" s="1847">
        <f t="shared" si="17"/>
        <v>0</v>
      </c>
      <c r="W196" s="1782">
        <f>N196-F13B_21_22_APR!EN199</f>
        <v>0</v>
      </c>
    </row>
    <row r="197" spans="1:24">
      <c r="A197" s="1859">
        <v>7</v>
      </c>
      <c r="B197" s="1887" t="s">
        <v>2063</v>
      </c>
      <c r="C197" s="1863">
        <v>29.5</v>
      </c>
      <c r="D197" s="1776">
        <v>0.75</v>
      </c>
      <c r="E197" s="1881" t="s">
        <v>1667</v>
      </c>
      <c r="F197" s="1776">
        <v>0</v>
      </c>
      <c r="G197" s="1776"/>
      <c r="H197" s="1863">
        <v>29.5</v>
      </c>
      <c r="I197" s="1861">
        <v>193.815</v>
      </c>
      <c r="J197" s="1861">
        <f>VLOOKUP($B197,F13B_21_22_APR!$B$14:$EP$237,133,0)</f>
        <v>47.79</v>
      </c>
      <c r="K197" s="1861">
        <f>VLOOKUP($B197,F13B_21_22_APR!$B$14:$EO$223,136,0)</f>
        <v>0</v>
      </c>
      <c r="L197" s="1861">
        <f>VLOOKUP($B197,F13B_21_22_APR!$B$14:$EO$223,138,0)</f>
        <v>35.746920000000003</v>
      </c>
      <c r="M197" s="1861">
        <f>VLOOKUP($B197,F13B_21_22_APR!$B$14:$EO$223,140,0)</f>
        <v>0</v>
      </c>
      <c r="N197" s="1780">
        <f>SUM(K197:M197)</f>
        <v>35.746920000000003</v>
      </c>
      <c r="O197" s="1780">
        <f t="shared" si="18"/>
        <v>7.4800000000000013</v>
      </c>
      <c r="P197" s="1356">
        <v>7</v>
      </c>
      <c r="Q197" s="1847">
        <f t="shared" si="17"/>
        <v>193.815</v>
      </c>
      <c r="W197" s="1782">
        <f>N197-F13B_21_22_APR!EN200</f>
        <v>0</v>
      </c>
    </row>
    <row r="198" spans="1:24">
      <c r="A198" s="1859"/>
      <c r="B198" s="1867" t="s">
        <v>211</v>
      </c>
      <c r="C198" s="1780">
        <f>SUM(C191:C197)</f>
        <v>2242.9</v>
      </c>
      <c r="D198" s="1881"/>
      <c r="E198" s="1881"/>
      <c r="F198" s="1856"/>
      <c r="G198" s="1881"/>
      <c r="H198" s="1780">
        <f t="shared" ref="H198:N198" si="24">SUM(H191:H197)</f>
        <v>1433.5</v>
      </c>
      <c r="I198" s="1780">
        <f t="shared" si="24"/>
        <v>3962.556</v>
      </c>
      <c r="J198" s="1780">
        <f t="shared" si="24"/>
        <v>2648.3797259999997</v>
      </c>
      <c r="K198" s="1780">
        <f t="shared" si="24"/>
        <v>0</v>
      </c>
      <c r="L198" s="1780">
        <f t="shared" si="24"/>
        <v>853.42516716697924</v>
      </c>
      <c r="M198" s="1780">
        <f t="shared" si="24"/>
        <v>0.1202284</v>
      </c>
      <c r="N198" s="1780">
        <f t="shared" si="24"/>
        <v>853.54539556697921</v>
      </c>
      <c r="O198" s="1780">
        <f t="shared" si="18"/>
        <v>3.2228965778111358</v>
      </c>
      <c r="Q198" s="1847">
        <f t="shared" si="17"/>
        <v>0</v>
      </c>
      <c r="R198" s="1848">
        <v>-2474.0205260000002</v>
      </c>
      <c r="S198" s="1848">
        <v>0</v>
      </c>
      <c r="T198" s="1848">
        <v>-914.0548070467305</v>
      </c>
      <c r="U198" s="1848">
        <v>5.3972100000000002E-2</v>
      </c>
      <c r="V198" s="1848">
        <v>-914.00083494673049</v>
      </c>
      <c r="W198" s="1782">
        <f>N198-F13B_21_22_APR!EN201</f>
        <v>0</v>
      </c>
    </row>
    <row r="199" spans="1:24">
      <c r="A199" s="1859"/>
      <c r="B199" s="1867"/>
      <c r="C199" s="1780"/>
      <c r="D199" s="1881"/>
      <c r="E199" s="1881"/>
      <c r="F199" s="1856"/>
      <c r="G199" s="1881"/>
      <c r="H199" s="1780"/>
      <c r="I199" s="1780"/>
      <c r="J199" s="1780"/>
      <c r="K199" s="1780"/>
      <c r="L199" s="1780"/>
      <c r="M199" s="1780"/>
      <c r="N199" s="1780"/>
      <c r="O199" s="1780"/>
      <c r="Q199" s="1847"/>
      <c r="R199" s="1848"/>
      <c r="S199" s="1848"/>
      <c r="T199" s="1848"/>
      <c r="U199" s="1848"/>
      <c r="V199" s="1848"/>
      <c r="W199" s="1782">
        <f>N199-F13B_21_22_APR!EN202</f>
        <v>0</v>
      </c>
    </row>
    <row r="200" spans="1:24">
      <c r="A200" s="1859"/>
      <c r="B200" s="1867" t="s">
        <v>2064</v>
      </c>
      <c r="C200" s="1780"/>
      <c r="D200" s="1881"/>
      <c r="E200" s="1881"/>
      <c r="F200" s="1856"/>
      <c r="G200" s="1881"/>
      <c r="H200" s="1780"/>
      <c r="I200" s="1780"/>
      <c r="J200" s="1780"/>
      <c r="K200" s="1780"/>
      <c r="L200" s="1780"/>
      <c r="M200" s="1780"/>
      <c r="N200" s="1780"/>
      <c r="O200" s="1780"/>
      <c r="Q200" s="1847"/>
      <c r="R200" s="1848"/>
      <c r="S200" s="1848"/>
      <c r="T200" s="1848"/>
      <c r="U200" s="1848"/>
      <c r="V200" s="1848"/>
      <c r="W200" s="1782">
        <f>N200-F13B_21_22_APR!EN203</f>
        <v>0</v>
      </c>
    </row>
    <row r="201" spans="1:24">
      <c r="A201" s="1859">
        <v>1</v>
      </c>
      <c r="B201" s="1867" t="s">
        <v>2034</v>
      </c>
      <c r="C201" s="1863">
        <v>25</v>
      </c>
      <c r="D201" s="1776">
        <v>0.85</v>
      </c>
      <c r="E201" s="1881" t="s">
        <v>1649</v>
      </c>
      <c r="F201" s="1776">
        <v>0</v>
      </c>
      <c r="G201" s="1881"/>
      <c r="H201" s="1863">
        <v>25</v>
      </c>
      <c r="I201" s="1861">
        <v>61.71</v>
      </c>
      <c r="J201" s="1861">
        <f>VLOOKUP($B201,F13B_21_22_APR!$B$14:$EP$237,133,0)</f>
        <v>45.9</v>
      </c>
      <c r="K201" s="1861">
        <f>VLOOKUP($B201,F13B_21_22_APR!$B$14:$EO$223,136,0)</f>
        <v>6.630255</v>
      </c>
      <c r="L201" s="1861">
        <f>VLOOKUP($B201,F13B_21_22_APR!$B$14:$EO$223,138,0)</f>
        <v>6.6302549999999991</v>
      </c>
      <c r="M201" s="1861">
        <f>VLOOKUP($B201,F13B_21_22_APR!$B$14:$EO$223,140,0)</f>
        <v>0</v>
      </c>
      <c r="N201" s="1780">
        <f>SUM(K201:M201)</f>
        <v>13.26051</v>
      </c>
      <c r="O201" s="1780">
        <f t="shared" si="18"/>
        <v>2.8889999999999998</v>
      </c>
      <c r="Q201" s="1847"/>
      <c r="R201" s="1848"/>
      <c r="S201" s="1848"/>
      <c r="T201" s="1848"/>
      <c r="U201" s="1848"/>
      <c r="V201" s="1848"/>
      <c r="W201" s="1782">
        <f>N201-F13B_21_22_APR!EN204</f>
        <v>0</v>
      </c>
    </row>
    <row r="202" spans="1:24">
      <c r="A202" s="1859"/>
      <c r="B202" s="1887"/>
      <c r="C202" s="1853"/>
      <c r="D202" s="1881"/>
      <c r="E202" s="1881"/>
      <c r="F202" s="1856"/>
      <c r="G202" s="1881"/>
      <c r="H202" s="1861"/>
      <c r="I202" s="1861"/>
      <c r="J202" s="1861"/>
      <c r="K202" s="1861"/>
      <c r="L202" s="1861"/>
      <c r="M202" s="1861"/>
      <c r="N202" s="1861"/>
      <c r="O202" s="1780"/>
      <c r="Q202" s="1847">
        <f t="shared" si="17"/>
        <v>0</v>
      </c>
      <c r="W202" s="1782">
        <f>N202-F13B_21_22_APR!EN205</f>
        <v>0</v>
      </c>
    </row>
    <row r="203" spans="1:24">
      <c r="A203" s="1797" t="s">
        <v>139</v>
      </c>
      <c r="B203" s="1774" t="s">
        <v>1806</v>
      </c>
      <c r="C203" s="1853"/>
      <c r="D203" s="1881"/>
      <c r="E203" s="1881"/>
      <c r="F203" s="1856"/>
      <c r="G203" s="1881"/>
      <c r="H203" s="1861"/>
      <c r="I203" s="1861"/>
      <c r="J203" s="1861">
        <f>VLOOKUP($B203,F13B_21_22_APR!$B$14:$EP$237,133,0)</f>
        <v>633.77933299999995</v>
      </c>
      <c r="K203" s="1861">
        <f>VLOOKUP($B203,F13B_21_22_APR!$B$14:$EO$223,136,0)</f>
        <v>0</v>
      </c>
      <c r="L203" s="1861">
        <f>VLOOKUP($B203,F13B_21_22_APR!$B$14:$EO$223,138,0)</f>
        <v>203.09551780000004</v>
      </c>
      <c r="M203" s="1861">
        <f>VLOOKUP($B203,F13B_21_22_APR!$B$14:$EO$223,140,0)</f>
        <v>2.6583999999999999</v>
      </c>
      <c r="N203" s="1780">
        <f t="shared" ref="N203:N218" si="25">SUM(K203:M203)</f>
        <v>205.75391780000004</v>
      </c>
      <c r="O203" s="1780">
        <f t="shared" si="18"/>
        <v>3.2464598810135081</v>
      </c>
      <c r="Q203" s="1847">
        <f>H203*24*365*D203*(1-F203)/10^3</f>
        <v>0</v>
      </c>
      <c r="R203" s="1848">
        <v>579.29308700000001</v>
      </c>
      <c r="S203" s="1848">
        <v>0</v>
      </c>
      <c r="T203" s="1848">
        <v>175.58762709999999</v>
      </c>
      <c r="U203" s="1848">
        <v>8.2081319999999991</v>
      </c>
      <c r="V203" s="1848">
        <v>183.7957591</v>
      </c>
      <c r="W203" s="1782">
        <f>N203-F13B_21_22_APR!EN206</f>
        <v>0</v>
      </c>
    </row>
    <row r="204" spans="1:24">
      <c r="A204" s="1797" t="s">
        <v>140</v>
      </c>
      <c r="B204" s="1774" t="s">
        <v>1807</v>
      </c>
      <c r="C204" s="1853"/>
      <c r="D204" s="1881"/>
      <c r="E204" s="1881"/>
      <c r="F204" s="1856"/>
      <c r="G204" s="1881"/>
      <c r="H204" s="1861"/>
      <c r="I204" s="1861"/>
      <c r="J204" s="1861">
        <f>VLOOKUP($B204,F13B_21_22_APR!$B$14:$EP$237,133,0)</f>
        <v>184.44894499999998</v>
      </c>
      <c r="K204" s="1861">
        <f>VLOOKUP($B204,F13B_21_22_APR!$B$14:$EO$223,136,0)</f>
        <v>0</v>
      </c>
      <c r="L204" s="1861">
        <f>VLOOKUP($B204,F13B_21_22_APR!$B$14:$EO$223,138,0)</f>
        <v>144.24996759999999</v>
      </c>
      <c r="M204" s="1861">
        <f>VLOOKUP($B204,F13B_21_22_APR!$B$14:$EO$223,140,0)</f>
        <v>6.8527845999999997</v>
      </c>
      <c r="N204" s="1780">
        <f t="shared" si="25"/>
        <v>151.1027522</v>
      </c>
      <c r="O204" s="1780">
        <f t="shared" si="18"/>
        <v>8.1921179977472907</v>
      </c>
      <c r="P204" s="1356">
        <v>1</v>
      </c>
      <c r="Q204" s="1847">
        <f t="shared" ref="Q204:Q220" si="26">H204*24*365*D204*(1-F204)/10^3</f>
        <v>0</v>
      </c>
      <c r="R204" s="1848">
        <v>210.01602300000002</v>
      </c>
      <c r="S204" s="1848">
        <v>0</v>
      </c>
      <c r="T204" s="1848">
        <v>147.61990760000003</v>
      </c>
      <c r="U204" s="1848">
        <v>1.1473299800000003</v>
      </c>
      <c r="V204" s="1848">
        <v>148.76723758000003</v>
      </c>
      <c r="W204" s="1782">
        <f>N204-F13B_21_22_APR!EN207</f>
        <v>0</v>
      </c>
    </row>
    <row r="205" spans="1:24">
      <c r="A205" s="1797" t="s">
        <v>220</v>
      </c>
      <c r="B205" s="1887" t="s">
        <v>2003</v>
      </c>
      <c r="C205" s="1853"/>
      <c r="D205" s="1881"/>
      <c r="E205" s="1881"/>
      <c r="F205" s="1856"/>
      <c r="G205" s="1881"/>
      <c r="H205" s="1861"/>
      <c r="I205" s="1861"/>
      <c r="J205" s="1861"/>
      <c r="K205" s="1861"/>
      <c r="L205" s="1861"/>
      <c r="M205" s="1861">
        <f>F13B_21_22_APR!EK213</f>
        <v>0</v>
      </c>
      <c r="N205" s="1780">
        <f t="shared" si="25"/>
        <v>0</v>
      </c>
      <c r="O205" s="1780"/>
      <c r="Q205" s="1847">
        <f t="shared" si="26"/>
        <v>0</v>
      </c>
      <c r="R205" s="1848">
        <v>0</v>
      </c>
      <c r="S205" s="1848">
        <v>0</v>
      </c>
      <c r="T205" s="1848">
        <v>0</v>
      </c>
      <c r="U205" s="1848">
        <v>0</v>
      </c>
      <c r="V205" s="1848">
        <v>0</v>
      </c>
      <c r="W205" s="1782">
        <f>N205-F13B_21_22_APR!EN213</f>
        <v>0</v>
      </c>
      <c r="X205" s="1356">
        <v>3</v>
      </c>
    </row>
    <row r="206" spans="1:24">
      <c r="A206" s="1797" t="s">
        <v>479</v>
      </c>
      <c r="B206" s="1887" t="s">
        <v>2004</v>
      </c>
      <c r="C206" s="1853"/>
      <c r="D206" s="1892"/>
      <c r="E206" s="1892"/>
      <c r="F206" s="1856"/>
      <c r="G206" s="1892"/>
      <c r="H206" s="1893"/>
      <c r="I206" s="1894"/>
      <c r="J206" s="1861"/>
      <c r="K206" s="1861"/>
      <c r="L206" s="1861"/>
      <c r="M206" s="1861"/>
      <c r="N206" s="1780"/>
      <c r="O206" s="1780"/>
      <c r="Q206" s="1847">
        <f t="shared" si="26"/>
        <v>0</v>
      </c>
      <c r="W206" s="1782"/>
    </row>
    <row r="207" spans="1:24">
      <c r="A207" s="1797" t="s">
        <v>480</v>
      </c>
      <c r="B207" s="1887" t="s">
        <v>1809</v>
      </c>
      <c r="C207" s="1853"/>
      <c r="D207" s="1892"/>
      <c r="E207" s="1892"/>
      <c r="F207" s="1856"/>
      <c r="G207" s="1892"/>
      <c r="H207" s="1893"/>
      <c r="I207" s="1894"/>
      <c r="J207" s="1861">
        <f>VLOOKUP($B207,F13B_21_22_APR!$B$14:$EP$237,133,0)</f>
        <v>0</v>
      </c>
      <c r="K207" s="1861">
        <f>VLOOKUP($B207,F13B_21_22_APR!$B$14:$EO$223,136,0)</f>
        <v>0</v>
      </c>
      <c r="L207" s="1861">
        <f>VLOOKUP($B207,F13B_21_22_APR!$B$14:$EO$223,138,0)</f>
        <v>0</v>
      </c>
      <c r="M207" s="1861">
        <f>VLOOKUP($B207,F13B_21_22_APR!$B$14:$EO$223,140,0)</f>
        <v>0</v>
      </c>
      <c r="N207" s="1780">
        <f t="shared" si="25"/>
        <v>0</v>
      </c>
      <c r="O207" s="1780"/>
      <c r="Q207" s="1847">
        <f t="shared" si="26"/>
        <v>0</v>
      </c>
      <c r="R207" s="1848"/>
      <c r="S207" s="1848"/>
      <c r="T207" s="1848"/>
      <c r="U207" s="1848"/>
      <c r="V207" s="1848"/>
      <c r="W207" s="1782"/>
      <c r="X207" s="1356">
        <v>2</v>
      </c>
    </row>
    <row r="208" spans="1:24">
      <c r="A208" s="1797" t="s">
        <v>1032</v>
      </c>
      <c r="B208" s="1774" t="s">
        <v>1810</v>
      </c>
      <c r="C208" s="1853"/>
      <c r="D208" s="1892"/>
      <c r="E208" s="1892"/>
      <c r="F208" s="1856"/>
      <c r="G208" s="1892"/>
      <c r="H208" s="1893"/>
      <c r="I208" s="1894"/>
      <c r="J208" s="1861">
        <f>VLOOKUP($B208,F13B_21_22_APR!$B$14:$EP$237,133,0)</f>
        <v>0</v>
      </c>
      <c r="K208" s="1861">
        <f>VLOOKUP($B208,F13B_21_22_APR!$B$14:$EO$223,136,0)</f>
        <v>0</v>
      </c>
      <c r="L208" s="1861">
        <f>VLOOKUP($B208,F13B_21_22_APR!$B$14:$EO$223,138,0)</f>
        <v>0</v>
      </c>
      <c r="M208" s="1861">
        <f>VLOOKUP($B208,F13B_21_22_APR!$B$14:$EO$223,140,0)</f>
        <v>0.22590000000000002</v>
      </c>
      <c r="N208" s="1780">
        <f t="shared" si="25"/>
        <v>0.22590000000000002</v>
      </c>
      <c r="O208" s="1780"/>
      <c r="Q208" s="1847">
        <f t="shared" si="26"/>
        <v>0</v>
      </c>
      <c r="R208" s="1848"/>
      <c r="S208" s="1848"/>
      <c r="T208" s="1848"/>
      <c r="U208" s="1848"/>
      <c r="V208" s="1848"/>
      <c r="W208" s="1895">
        <f>N208-F13B_21_22_APR!EN210</f>
        <v>0</v>
      </c>
      <c r="X208" s="1356">
        <v>1</v>
      </c>
    </row>
    <row r="209" spans="1:146">
      <c r="A209" s="1797" t="s">
        <v>2008</v>
      </c>
      <c r="B209" s="1774" t="s">
        <v>1811</v>
      </c>
      <c r="C209" s="1853"/>
      <c r="D209" s="1892"/>
      <c r="E209" s="1892"/>
      <c r="F209" s="1856"/>
      <c r="G209" s="1892"/>
      <c r="H209" s="1893"/>
      <c r="I209" s="1894"/>
      <c r="J209" s="1861">
        <f>VLOOKUP($B209,F13B_21_22_APR!$B$14:$EP$237,133,0)</f>
        <v>0</v>
      </c>
      <c r="K209" s="1861">
        <f>VLOOKUP($B209,F13B_21_22_APR!$B$14:$EO$223,136,0)</f>
        <v>0</v>
      </c>
      <c r="L209" s="1861">
        <f>VLOOKUP($B209,F13B_21_22_APR!$B$14:$EO$223,138,0)</f>
        <v>0</v>
      </c>
      <c r="M209" s="1861">
        <f>VLOOKUP($B209,F13B_21_22_APR!$B$14:$EO$223,140,0)</f>
        <v>6014.4007346850003</v>
      </c>
      <c r="N209" s="1780">
        <f t="shared" si="25"/>
        <v>6014.4007346850003</v>
      </c>
      <c r="O209" s="1780"/>
      <c r="Q209" s="1847">
        <f t="shared" si="26"/>
        <v>0</v>
      </c>
      <c r="R209" s="1848">
        <v>0</v>
      </c>
      <c r="S209" s="1848">
        <v>0</v>
      </c>
      <c r="T209" s="1848">
        <v>0</v>
      </c>
      <c r="U209" s="1848">
        <v>-2260.81758395</v>
      </c>
      <c r="V209" s="1848">
        <v>-2260.81758395</v>
      </c>
      <c r="W209" s="1895">
        <f>N209-F13B_21_22_APR!EN211</f>
        <v>0</v>
      </c>
    </row>
    <row r="210" spans="1:146">
      <c r="A210" s="1797" t="s">
        <v>1033</v>
      </c>
      <c r="B210" s="1774" t="s">
        <v>1812</v>
      </c>
      <c r="C210" s="1853"/>
      <c r="D210" s="1892"/>
      <c r="E210" s="1892"/>
      <c r="F210" s="1856"/>
      <c r="G210" s="1892"/>
      <c r="H210" s="1893"/>
      <c r="I210" s="1894"/>
      <c r="J210" s="1861">
        <f>VLOOKUP($B210,F13B_21_22_APR!$B$14:$EP$237,133,0)</f>
        <v>0</v>
      </c>
      <c r="K210" s="1861">
        <f>VLOOKUP($B210,F13B_21_22_APR!$B$14:$EO$223,136,0)</f>
        <v>0</v>
      </c>
      <c r="L210" s="1861">
        <f>VLOOKUP($B210,F13B_21_22_APR!$B$14:$EO$223,138,0)</f>
        <v>0</v>
      </c>
      <c r="M210" s="1861">
        <f>VLOOKUP($B210,F13B_21_22_APR!$B$14:$EO$223,140,0)</f>
        <v>-39.6523234</v>
      </c>
      <c r="N210" s="1780">
        <f t="shared" si="25"/>
        <v>-39.6523234</v>
      </c>
      <c r="O210" s="1780"/>
      <c r="Q210" s="1847">
        <f t="shared" si="26"/>
        <v>0</v>
      </c>
      <c r="W210" s="1895">
        <f>N210-F13B_21_22_APR!EN212</f>
        <v>0</v>
      </c>
    </row>
    <row r="211" spans="1:146" ht="8.15" hidden="1" customHeight="1">
      <c r="A211" s="1797" t="s">
        <v>129</v>
      </c>
      <c r="B211" s="1774"/>
      <c r="C211" s="1853"/>
      <c r="D211" s="1892"/>
      <c r="E211" s="1892"/>
      <c r="F211" s="1856"/>
      <c r="G211" s="1892"/>
      <c r="H211" s="1893"/>
      <c r="I211" s="1894"/>
      <c r="J211" s="1861" t="e">
        <f>VLOOKUP($B211,F13B_21_22_APR!$B$14:$EP$237,133,0)</f>
        <v>#N/A</v>
      </c>
      <c r="K211" s="1861"/>
      <c r="L211" s="1861"/>
      <c r="M211" s="1861"/>
      <c r="N211" s="1780"/>
      <c r="O211" s="1780"/>
      <c r="Q211" s="1847">
        <f t="shared" si="26"/>
        <v>0</v>
      </c>
      <c r="W211" s="1782"/>
    </row>
    <row r="212" spans="1:146" hidden="1">
      <c r="A212" s="1797" t="s">
        <v>130</v>
      </c>
      <c r="B212" s="1887"/>
      <c r="C212" s="1853"/>
      <c r="D212" s="1892"/>
      <c r="E212" s="1892"/>
      <c r="F212" s="1856"/>
      <c r="G212" s="1892"/>
      <c r="H212" s="1893"/>
      <c r="I212" s="1894"/>
      <c r="J212" s="1861" t="e">
        <f>VLOOKUP($B212,F13B_21_22_APR!$B$14:$EP$237,133,0)</f>
        <v>#N/A</v>
      </c>
      <c r="K212" s="1861"/>
      <c r="L212" s="1861"/>
      <c r="M212" s="1861"/>
      <c r="N212" s="1780"/>
      <c r="O212" s="1780"/>
      <c r="Q212" s="1847">
        <f t="shared" si="26"/>
        <v>0</v>
      </c>
      <c r="W212" s="1782"/>
    </row>
    <row r="213" spans="1:146" hidden="1">
      <c r="A213" s="1797" t="s">
        <v>133</v>
      </c>
      <c r="B213" s="1887"/>
      <c r="C213" s="1853"/>
      <c r="D213" s="1892"/>
      <c r="E213" s="1892"/>
      <c r="F213" s="1856"/>
      <c r="G213" s="1892"/>
      <c r="H213" s="1893"/>
      <c r="I213" s="1894"/>
      <c r="J213" s="1861" t="e">
        <f>VLOOKUP($B213,F13B_21_22_APR!$B$14:$EP$237,133,0)</f>
        <v>#N/A</v>
      </c>
      <c r="K213" s="1861"/>
      <c r="L213" s="1861"/>
      <c r="M213" s="1861"/>
      <c r="N213" s="1780"/>
      <c r="O213" s="1780"/>
      <c r="Q213" s="1847">
        <f t="shared" si="26"/>
        <v>0</v>
      </c>
      <c r="W213" s="1782"/>
    </row>
    <row r="214" spans="1:146" hidden="1">
      <c r="A214" s="1797" t="s">
        <v>361</v>
      </c>
      <c r="B214" s="1896"/>
      <c r="C214" s="1897"/>
      <c r="D214" s="1892"/>
      <c r="E214" s="1892"/>
      <c r="F214" s="1856"/>
      <c r="G214" s="1892"/>
      <c r="H214" s="1893"/>
      <c r="I214" s="1898"/>
      <c r="J214" s="1861" t="e">
        <f>VLOOKUP($B214,F13B_21_22_APR!$B$14:$EP$237,133,0)</f>
        <v>#N/A</v>
      </c>
      <c r="K214" s="1861"/>
      <c r="L214" s="1861"/>
      <c r="M214" s="1861"/>
      <c r="N214" s="1780"/>
      <c r="O214" s="1780"/>
      <c r="Q214" s="1847">
        <f t="shared" si="26"/>
        <v>0</v>
      </c>
      <c r="W214" s="1782"/>
    </row>
    <row r="215" spans="1:146" hidden="1">
      <c r="A215" s="1797" t="s">
        <v>2019</v>
      </c>
      <c r="B215" s="1899"/>
      <c r="C215" s="1897"/>
      <c r="D215" s="1892"/>
      <c r="E215" s="1892"/>
      <c r="F215" s="1856"/>
      <c r="G215" s="1892"/>
      <c r="H215" s="1893"/>
      <c r="I215" s="1898"/>
      <c r="J215" s="1861"/>
      <c r="K215" s="1861"/>
      <c r="L215" s="1861"/>
      <c r="M215" s="1861"/>
      <c r="N215" s="1780"/>
      <c r="O215" s="1780"/>
      <c r="Q215" s="1847">
        <f t="shared" si="26"/>
        <v>0</v>
      </c>
      <c r="W215" s="1782"/>
    </row>
    <row r="216" spans="1:146" hidden="1">
      <c r="A216" s="1797"/>
      <c r="B216" s="1899"/>
      <c r="C216" s="1897"/>
      <c r="D216" s="1892"/>
      <c r="E216" s="1892"/>
      <c r="F216" s="1856"/>
      <c r="G216" s="1892"/>
      <c r="H216" s="1893"/>
      <c r="I216" s="1898"/>
      <c r="J216" s="1861"/>
      <c r="K216" s="1861"/>
      <c r="L216" s="1861"/>
      <c r="M216" s="1861"/>
      <c r="N216" s="1780"/>
      <c r="O216" s="1780"/>
      <c r="Q216" s="1847">
        <f t="shared" si="26"/>
        <v>0</v>
      </c>
      <c r="W216" s="1782"/>
    </row>
    <row r="217" spans="1:146">
      <c r="A217" s="1797"/>
      <c r="B217" s="1900" t="s">
        <v>1822</v>
      </c>
      <c r="C217" s="1897"/>
      <c r="D217" s="1892"/>
      <c r="E217" s="1892"/>
      <c r="F217" s="1856"/>
      <c r="G217" s="1892"/>
      <c r="H217" s="1893"/>
      <c r="I217" s="1898"/>
      <c r="J217" s="1861">
        <f>VLOOKUP($B217,F13B_21_22_APR!$B$14:$EP$237,133,0)</f>
        <v>0</v>
      </c>
      <c r="K217" s="1861">
        <f>VLOOKUP($B217,F13B_21_22_APR!$B$14:$EO$223,136,0)</f>
        <v>0</v>
      </c>
      <c r="L217" s="1861">
        <f>VLOOKUP($B217,F13B_21_22_APR!$B$14:$EO$223,138,0)</f>
        <v>0</v>
      </c>
      <c r="M217" s="1861">
        <f>VLOOKUP($B217,F13B_21_22_APR!$B$14:$EO$223,140,0)</f>
        <v>0</v>
      </c>
      <c r="N217" s="1780">
        <f t="shared" si="25"/>
        <v>0</v>
      </c>
      <c r="O217" s="1780"/>
      <c r="Q217" s="1847">
        <f t="shared" si="26"/>
        <v>0</v>
      </c>
      <c r="W217" s="1782"/>
    </row>
    <row r="218" spans="1:146">
      <c r="A218" s="1797"/>
      <c r="B218" s="1900" t="s">
        <v>1823</v>
      </c>
      <c r="C218" s="1897"/>
      <c r="D218" s="1892"/>
      <c r="E218" s="1892"/>
      <c r="F218" s="1856"/>
      <c r="G218" s="1892"/>
      <c r="H218" s="1893"/>
      <c r="I218" s="1898"/>
      <c r="J218" s="1861">
        <f>VLOOKUP($B218,F13B_21_22_APR!$B$14:$EP$237,133,0)</f>
        <v>0</v>
      </c>
      <c r="K218" s="1861">
        <f>VLOOKUP($B218,F13B_21_22_APR!$B$14:$EO$223,136,0)</f>
        <v>0</v>
      </c>
      <c r="L218" s="1861">
        <f>VLOOKUP($B218,F13B_21_22_APR!$B$14:$EO$223,138,0)</f>
        <v>0</v>
      </c>
      <c r="M218" s="1861"/>
      <c r="N218" s="1780">
        <f t="shared" si="25"/>
        <v>0</v>
      </c>
      <c r="O218" s="1780"/>
      <c r="P218" s="1782">
        <f>I219-I220</f>
        <v>141198.16672310483</v>
      </c>
      <c r="Q218" s="1847">
        <f t="shared" si="26"/>
        <v>0</v>
      </c>
      <c r="W218" s="1782"/>
    </row>
    <row r="219" spans="1:146">
      <c r="A219" s="1797"/>
      <c r="B219" s="1867" t="s">
        <v>126</v>
      </c>
      <c r="C219" s="1901"/>
      <c r="D219" s="1902"/>
      <c r="E219" s="1902"/>
      <c r="F219" s="1856"/>
      <c r="G219" s="1888"/>
      <c r="H219" s="1901">
        <f>SUM(H167,H172,H177,H188,H198,H203:H204,H206:H216,H201)</f>
        <v>37793.726800000004</v>
      </c>
      <c r="I219" s="1901">
        <f>SUM(I167,I177,I188,I198,I172,I201)</f>
        <v>141198.16672310483</v>
      </c>
      <c r="J219" s="1901">
        <f>SUM(J167,J177,J188,J198,J172,J179,J203,J204,J201)</f>
        <v>126119.41053212131</v>
      </c>
      <c r="K219" s="1901">
        <f>SUM(K167,K177,K188,K198,K172,K179,K203,K204,K201,K209)</f>
        <v>22181.961524778413</v>
      </c>
      <c r="L219" s="1901">
        <f>SUM(L167,L172,L177,L188,L198,L203:L204,L206:L216,L179,L201)</f>
        <v>30149.798210061737</v>
      </c>
      <c r="M219" s="1901">
        <f>SUM(M167,M172,M177,M188,M198,M203:M204,M206:M216,M201,M205,M179)</f>
        <v>7362.6235354290011</v>
      </c>
      <c r="N219" s="1901">
        <f>SUM(N167,N172,N177,N188,N198,N203:N204,N206:N216,N179,N201,N205)</f>
        <v>59694.383270269151</v>
      </c>
      <c r="O219" s="1780">
        <f>$N219/$J219*10</f>
        <v>4.7331638340527773</v>
      </c>
      <c r="P219" s="1782"/>
      <c r="Q219" s="1847">
        <f t="shared" si="26"/>
        <v>0</v>
      </c>
      <c r="W219" s="1895">
        <f>N219-F13B_21_22_APR!EN216</f>
        <v>0</v>
      </c>
    </row>
    <row r="220" spans="1:146">
      <c r="A220" s="1903"/>
      <c r="B220" s="1904"/>
      <c r="C220" s="1905"/>
      <c r="D220" s="1906"/>
      <c r="E220" s="1907"/>
      <c r="F220" s="1908"/>
      <c r="G220" s="1908"/>
      <c r="H220" s="1905"/>
      <c r="I220" s="1909"/>
      <c r="J220" s="1909"/>
      <c r="K220" s="1909"/>
      <c r="L220" s="1909"/>
      <c r="M220" s="1909"/>
      <c r="N220" s="1909"/>
      <c r="O220" s="1909"/>
      <c r="P220" s="1782"/>
      <c r="Q220" s="1847">
        <f t="shared" si="26"/>
        <v>0</v>
      </c>
    </row>
    <row r="221" spans="1:146">
      <c r="A221" s="1903"/>
      <c r="B221" s="1904"/>
      <c r="C221" s="1905"/>
      <c r="D221" s="1906"/>
      <c r="E221" s="1907"/>
      <c r="F221" s="1908"/>
      <c r="G221" s="1908"/>
      <c r="H221" s="1905"/>
      <c r="I221" s="1909"/>
      <c r="J221" s="1910"/>
      <c r="K221" s="1911"/>
      <c r="L221" s="1911"/>
      <c r="M221" s="1909"/>
      <c r="N221" s="1909"/>
      <c r="O221" s="1909"/>
      <c r="P221" s="1782"/>
    </row>
    <row r="222" spans="1:146">
      <c r="A222" s="3106" t="s">
        <v>2053</v>
      </c>
      <c r="B222" s="3107"/>
      <c r="C222" s="3107"/>
      <c r="D222" s="3107"/>
      <c r="E222" s="3107"/>
      <c r="F222" s="3107"/>
      <c r="G222" s="3107"/>
      <c r="H222" s="3107"/>
      <c r="I222" s="3107"/>
      <c r="J222" s="3107"/>
      <c r="K222" s="3107"/>
      <c r="L222" s="3107"/>
      <c r="M222" s="3107"/>
      <c r="N222" s="3107"/>
      <c r="O222" s="3107"/>
      <c r="P222" s="1912"/>
      <c r="Q222" s="1912"/>
      <c r="R222" s="1912"/>
      <c r="S222" s="1912"/>
      <c r="T222" s="1912"/>
      <c r="U222" s="1912"/>
      <c r="V222" s="1912"/>
      <c r="W222" s="1912"/>
      <c r="X222" s="1912"/>
      <c r="Y222" s="1912"/>
      <c r="Z222" s="1912"/>
      <c r="AA222" s="1912"/>
      <c r="AB222" s="1912"/>
      <c r="AC222" s="1912"/>
      <c r="AD222" s="1912"/>
      <c r="AE222" s="1912"/>
      <c r="AF222" s="1912"/>
      <c r="AG222" s="1912"/>
      <c r="AH222" s="1912"/>
      <c r="AI222" s="1912"/>
      <c r="AJ222" s="1912"/>
      <c r="AK222" s="1912"/>
      <c r="AL222" s="1912"/>
      <c r="AM222" s="1912"/>
      <c r="AN222" s="1912"/>
      <c r="AO222" s="1912"/>
      <c r="AP222" s="1912"/>
      <c r="AQ222" s="1912"/>
      <c r="AR222" s="1912"/>
      <c r="AS222" s="1912"/>
      <c r="AT222" s="1912"/>
      <c r="AU222" s="1912"/>
      <c r="AV222" s="1912"/>
      <c r="AW222" s="1912"/>
      <c r="AX222" s="1912"/>
      <c r="AY222" s="1912"/>
      <c r="AZ222" s="1912"/>
      <c r="BA222" s="1912"/>
      <c r="BB222" s="1912"/>
      <c r="BC222" s="1912"/>
      <c r="BD222" s="1912"/>
      <c r="BE222" s="1912"/>
      <c r="BF222" s="1912"/>
      <c r="BG222" s="1912"/>
      <c r="BH222" s="1912"/>
      <c r="BI222" s="1912"/>
      <c r="BJ222" s="1913"/>
      <c r="BK222" s="1913"/>
      <c r="BL222" s="1913"/>
      <c r="BM222" s="1913"/>
      <c r="BN222" s="1913"/>
      <c r="BO222" s="1913"/>
      <c r="BP222" s="1913"/>
      <c r="BQ222" s="1913"/>
      <c r="BR222" s="1913"/>
      <c r="BS222" s="1913"/>
      <c r="BT222" s="1913"/>
      <c r="BU222" s="1913"/>
      <c r="BV222" s="1913"/>
      <c r="BW222" s="1913"/>
      <c r="BX222" s="1913"/>
      <c r="BY222" s="1913"/>
      <c r="BZ222" s="1913"/>
      <c r="CA222" s="1913"/>
      <c r="CB222" s="1913"/>
      <c r="CC222" s="1913"/>
      <c r="CD222" s="1913"/>
      <c r="CE222" s="1913"/>
      <c r="CF222" s="1913"/>
      <c r="CG222" s="1913"/>
      <c r="CH222" s="1913"/>
      <c r="CI222" s="1913"/>
      <c r="CJ222" s="1913"/>
      <c r="CK222" s="1913"/>
      <c r="CL222" s="1913"/>
      <c r="CM222" s="1913"/>
      <c r="CN222" s="1913"/>
      <c r="CO222" s="1913"/>
      <c r="CP222" s="1913"/>
      <c r="CQ222" s="1913"/>
      <c r="CR222" s="1913"/>
      <c r="CS222" s="1913"/>
      <c r="CT222" s="1913"/>
      <c r="CU222" s="1913"/>
      <c r="CV222" s="1913"/>
      <c r="CW222" s="1913"/>
      <c r="CX222" s="1913"/>
      <c r="CY222" s="1913"/>
      <c r="CZ222" s="1913"/>
      <c r="DA222" s="1913"/>
      <c r="DB222" s="1913"/>
      <c r="DC222" s="1913"/>
      <c r="DD222" s="1913"/>
      <c r="DE222" s="1913"/>
      <c r="DF222" s="1913"/>
      <c r="DG222" s="1913"/>
      <c r="DH222" s="1913"/>
      <c r="DI222" s="1913"/>
      <c r="DJ222" s="1913"/>
      <c r="DK222" s="1913"/>
      <c r="DL222" s="1913"/>
      <c r="DM222" s="1913"/>
      <c r="DN222" s="1913"/>
      <c r="DO222" s="1913"/>
      <c r="DP222" s="1913"/>
      <c r="DQ222" s="1913"/>
      <c r="DR222" s="1913"/>
      <c r="DS222" s="1913"/>
      <c r="DT222" s="1913"/>
      <c r="DU222" s="1913"/>
      <c r="DV222" s="1913"/>
      <c r="DW222" s="1913"/>
      <c r="DX222" s="1913"/>
      <c r="DY222" s="1913"/>
      <c r="DZ222" s="1913"/>
      <c r="EA222" s="1913"/>
      <c r="EB222" s="1913"/>
      <c r="EC222" s="1913"/>
      <c r="ED222" s="1913"/>
      <c r="EE222" s="1913"/>
      <c r="EF222" s="1913"/>
      <c r="EG222" s="1913"/>
      <c r="EH222" s="1913"/>
      <c r="EI222" s="1913"/>
      <c r="EJ222" s="1913"/>
      <c r="EK222" s="1913"/>
      <c r="EL222" s="1913"/>
      <c r="EM222" s="1913"/>
      <c r="EN222" s="1913"/>
      <c r="EO222" s="1913"/>
      <c r="EP222" s="1914"/>
    </row>
    <row r="223" spans="1:146">
      <c r="A223" s="3108" t="s">
        <v>2054</v>
      </c>
      <c r="B223" s="3109"/>
      <c r="C223" s="3109"/>
      <c r="D223" s="3109"/>
      <c r="E223" s="3109"/>
      <c r="F223" s="3109"/>
      <c r="G223" s="3109"/>
      <c r="H223" s="3109"/>
      <c r="I223" s="3109"/>
      <c r="J223" s="3109"/>
      <c r="K223" s="3109"/>
      <c r="L223" s="3109"/>
      <c r="M223" s="3109"/>
      <c r="N223" s="3109"/>
      <c r="O223" s="3109"/>
      <c r="P223" s="1912"/>
      <c r="Q223" s="1912"/>
      <c r="R223" s="1912"/>
      <c r="S223" s="1912"/>
      <c r="T223" s="1912"/>
      <c r="U223" s="1912"/>
      <c r="V223" s="1912"/>
      <c r="W223" s="1912"/>
      <c r="X223" s="1912"/>
      <c r="Y223" s="1912"/>
      <c r="Z223" s="1912"/>
      <c r="AA223" s="1912"/>
      <c r="AB223" s="1912"/>
      <c r="AC223" s="1912"/>
      <c r="AD223" s="1912"/>
      <c r="AE223" s="1912"/>
      <c r="AF223" s="1912"/>
      <c r="AG223" s="1912"/>
      <c r="AH223" s="1912"/>
      <c r="AI223" s="1912"/>
      <c r="AJ223" s="1912"/>
      <c r="AK223" s="1912"/>
      <c r="AL223" s="1912"/>
      <c r="AM223" s="1912"/>
      <c r="AN223" s="1912"/>
      <c r="AO223" s="1912"/>
      <c r="AP223" s="1912"/>
      <c r="AQ223" s="1912"/>
      <c r="AR223" s="1912"/>
      <c r="AS223" s="1912"/>
      <c r="AT223" s="1912"/>
      <c r="AU223" s="1912"/>
      <c r="AV223" s="1912"/>
      <c r="AW223" s="1912"/>
      <c r="AX223" s="1912"/>
      <c r="AY223" s="1912"/>
      <c r="AZ223" s="1912"/>
      <c r="BA223" s="1912"/>
      <c r="BB223" s="1912"/>
      <c r="BC223" s="1912"/>
      <c r="BD223" s="1912"/>
      <c r="BE223" s="1912"/>
      <c r="BF223" s="1912"/>
      <c r="BG223" s="1912"/>
      <c r="BH223" s="1912"/>
      <c r="BI223" s="1912"/>
      <c r="BJ223" s="1913"/>
      <c r="BK223" s="1913"/>
      <c r="BL223" s="1913"/>
      <c r="BM223" s="1913"/>
      <c r="BN223" s="1913"/>
      <c r="BO223" s="1913"/>
      <c r="BP223" s="1913"/>
      <c r="BQ223" s="1913"/>
      <c r="BR223" s="1913"/>
      <c r="BS223" s="1913"/>
      <c r="BT223" s="1913"/>
      <c r="BU223" s="1913"/>
      <c r="BV223" s="1913"/>
      <c r="BW223" s="1913"/>
      <c r="BX223" s="1913"/>
      <c r="BY223" s="1913"/>
      <c r="BZ223" s="1913"/>
      <c r="CA223" s="1913"/>
      <c r="CB223" s="1913"/>
      <c r="CC223" s="1913"/>
      <c r="CD223" s="1913"/>
      <c r="CE223" s="1913"/>
      <c r="CF223" s="1913"/>
      <c r="CG223" s="1913"/>
      <c r="CH223" s="1913"/>
      <c r="CI223" s="1913"/>
      <c r="CJ223" s="1913"/>
      <c r="CK223" s="1913"/>
      <c r="CL223" s="1913"/>
      <c r="CM223" s="1913"/>
      <c r="CN223" s="1913"/>
      <c r="CO223" s="1913"/>
      <c r="CP223" s="1913"/>
      <c r="CQ223" s="1913"/>
      <c r="CR223" s="1913"/>
      <c r="CS223" s="1913"/>
      <c r="CT223" s="1913"/>
      <c r="CU223" s="1913"/>
      <c r="CV223" s="1913"/>
      <c r="CW223" s="1913"/>
      <c r="CX223" s="1913"/>
      <c r="CY223" s="1913"/>
      <c r="CZ223" s="1913"/>
      <c r="DA223" s="1913"/>
      <c r="DB223" s="1913"/>
      <c r="DC223" s="1913"/>
      <c r="DD223" s="1913"/>
      <c r="DE223" s="1913"/>
      <c r="DF223" s="1913"/>
      <c r="DG223" s="1913"/>
      <c r="DH223" s="1913"/>
      <c r="DI223" s="1913"/>
      <c r="DJ223" s="1913"/>
      <c r="DK223" s="1913"/>
      <c r="DL223" s="1913"/>
      <c r="DM223" s="1913"/>
      <c r="DN223" s="1913"/>
      <c r="DO223" s="1913"/>
      <c r="DP223" s="1913"/>
      <c r="DQ223" s="1913"/>
      <c r="DR223" s="1913"/>
      <c r="DS223" s="1913"/>
      <c r="DT223" s="1913"/>
      <c r="DU223" s="1913"/>
      <c r="DV223" s="1913"/>
      <c r="DW223" s="1913"/>
      <c r="DX223" s="1913"/>
      <c r="DY223" s="1913"/>
      <c r="DZ223" s="1913"/>
      <c r="EA223" s="1913"/>
      <c r="EB223" s="1913"/>
      <c r="EC223" s="1913"/>
      <c r="ED223" s="1913"/>
      <c r="EE223" s="1913"/>
      <c r="EF223" s="1913"/>
      <c r="EG223" s="1913"/>
      <c r="EH223" s="1913"/>
      <c r="EI223" s="1913"/>
      <c r="EJ223" s="1913"/>
      <c r="EK223" s="1913"/>
      <c r="EL223" s="1913"/>
      <c r="EM223" s="1913"/>
      <c r="EN223" s="1915"/>
      <c r="EO223" s="1915"/>
      <c r="EP223" s="1915"/>
    </row>
    <row r="224" spans="1:146">
      <c r="A224" s="3108" t="s">
        <v>2055</v>
      </c>
      <c r="B224" s="3109"/>
      <c r="C224" s="3109"/>
      <c r="D224" s="3109"/>
      <c r="E224" s="3109"/>
      <c r="F224" s="3109"/>
      <c r="G224" s="3109"/>
      <c r="H224" s="3109"/>
      <c r="I224" s="3109"/>
      <c r="J224" s="3109"/>
      <c r="K224" s="3109"/>
      <c r="L224" s="3109"/>
      <c r="M224" s="3109"/>
      <c r="N224" s="3109"/>
      <c r="O224" s="3109"/>
      <c r="P224" s="1912"/>
      <c r="Q224" s="1912"/>
      <c r="R224" s="1912"/>
      <c r="S224" s="1912"/>
      <c r="T224" s="1912"/>
      <c r="U224" s="1912"/>
      <c r="V224" s="1912"/>
      <c r="W224" s="1912"/>
      <c r="X224" s="1912"/>
      <c r="Y224" s="1912"/>
      <c r="Z224" s="1912"/>
      <c r="AA224" s="1912"/>
      <c r="AB224" s="1912"/>
      <c r="AC224" s="1912"/>
      <c r="AD224" s="1912"/>
      <c r="AE224" s="1912"/>
      <c r="AF224" s="1912"/>
      <c r="AG224" s="1912"/>
      <c r="AH224" s="1912"/>
      <c r="AI224" s="1912"/>
      <c r="AJ224" s="1912"/>
      <c r="AK224" s="1912"/>
      <c r="AL224" s="1912"/>
      <c r="AM224" s="1912"/>
      <c r="AN224" s="1912"/>
      <c r="AO224" s="1912"/>
      <c r="AP224" s="1912"/>
      <c r="AQ224" s="1912"/>
      <c r="AR224" s="1912"/>
      <c r="AS224" s="1912"/>
      <c r="AT224" s="1912"/>
      <c r="AU224" s="1912"/>
      <c r="AV224" s="1912"/>
      <c r="AW224" s="1912"/>
      <c r="AX224" s="1912"/>
      <c r="AY224" s="1912"/>
      <c r="AZ224" s="1912"/>
      <c r="BA224" s="1912"/>
      <c r="BB224" s="1912"/>
      <c r="BC224" s="1912"/>
      <c r="BD224" s="1912"/>
      <c r="BE224" s="1912"/>
      <c r="BF224" s="1912"/>
      <c r="BG224" s="1912"/>
      <c r="BH224" s="1912"/>
      <c r="BI224" s="1912"/>
      <c r="BJ224" s="1913"/>
      <c r="BK224" s="1913"/>
      <c r="BL224" s="1913"/>
      <c r="BM224" s="1913"/>
      <c r="BN224" s="1913"/>
      <c r="BO224" s="1913"/>
      <c r="BP224" s="1913"/>
      <c r="BQ224" s="1913"/>
      <c r="BR224" s="1913"/>
      <c r="BS224" s="1913"/>
      <c r="BT224" s="1913"/>
      <c r="BU224" s="1913"/>
      <c r="BV224" s="1913"/>
      <c r="BW224" s="1913"/>
      <c r="BX224" s="1913"/>
      <c r="BY224" s="1913"/>
      <c r="BZ224" s="1913"/>
      <c r="CA224" s="1913"/>
      <c r="CB224" s="1913"/>
      <c r="CC224" s="1913"/>
      <c r="CD224" s="1913"/>
      <c r="CE224" s="1913"/>
      <c r="CF224" s="1913"/>
      <c r="CG224" s="1913"/>
      <c r="CH224" s="1913"/>
      <c r="CI224" s="1913"/>
      <c r="CJ224" s="1913"/>
      <c r="CK224" s="1913"/>
      <c r="CL224" s="1913"/>
      <c r="CM224" s="1913"/>
      <c r="CN224" s="1913"/>
      <c r="CO224" s="1913"/>
      <c r="CP224" s="1913"/>
      <c r="CQ224" s="1913"/>
      <c r="CR224" s="1913"/>
      <c r="CS224" s="1913"/>
      <c r="CT224" s="1913"/>
      <c r="CU224" s="1913"/>
      <c r="CV224" s="1913"/>
      <c r="CW224" s="1913"/>
      <c r="CX224" s="1913"/>
      <c r="CY224" s="1913"/>
      <c r="CZ224" s="1913"/>
      <c r="DA224" s="1913"/>
      <c r="DB224" s="1913"/>
      <c r="DC224" s="1913"/>
      <c r="DD224" s="1913"/>
      <c r="DE224" s="1913"/>
      <c r="DF224" s="1913"/>
      <c r="DG224" s="1913"/>
      <c r="DH224" s="1913"/>
      <c r="DI224" s="1913"/>
      <c r="DJ224" s="1913"/>
      <c r="DK224" s="1913"/>
      <c r="DL224" s="1913"/>
      <c r="DM224" s="1913"/>
      <c r="DN224" s="1913"/>
      <c r="DO224" s="1913"/>
      <c r="DP224" s="1913"/>
      <c r="DQ224" s="1913"/>
      <c r="DR224" s="1913"/>
      <c r="DS224" s="1913"/>
      <c r="DT224" s="1913"/>
      <c r="DU224" s="1913"/>
      <c r="DV224" s="1913"/>
      <c r="DW224" s="1913"/>
      <c r="DX224" s="1913"/>
      <c r="DY224" s="1913"/>
      <c r="DZ224" s="1913"/>
      <c r="EA224" s="1913"/>
      <c r="EB224" s="1913"/>
      <c r="EC224" s="1913"/>
      <c r="ED224" s="1913"/>
      <c r="EE224" s="1913"/>
      <c r="EF224" s="1913"/>
      <c r="EG224" s="1913"/>
      <c r="EH224" s="1913"/>
      <c r="EI224" s="1913"/>
      <c r="EJ224" s="1913"/>
      <c r="EK224" s="1913"/>
      <c r="EL224" s="1913"/>
      <c r="EM224" s="1913"/>
      <c r="EN224" s="1915"/>
      <c r="EO224" s="1915"/>
      <c r="EP224" s="1915"/>
    </row>
    <row r="225" spans="10:61">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908"/>
      <c r="BA225" s="1908"/>
      <c r="BB225" s="1908"/>
      <c r="BC225" s="1908"/>
      <c r="BD225" s="1908"/>
      <c r="BE225" s="1908"/>
      <c r="BF225" s="1908"/>
      <c r="BG225" s="1908"/>
      <c r="BH225" s="1908"/>
      <c r="BI225" s="1908"/>
    </row>
    <row r="226" spans="10:61">
      <c r="P226" s="1908"/>
      <c r="Q226" s="1908"/>
      <c r="R226" s="1908"/>
      <c r="S226" s="1908"/>
      <c r="T226" s="1908"/>
      <c r="U226" s="1908"/>
      <c r="V226" s="1908"/>
      <c r="W226" s="1908"/>
      <c r="X226" s="1908"/>
      <c r="Y226" s="1908"/>
      <c r="Z226" s="1908"/>
      <c r="AA226" s="1908"/>
      <c r="AB226" s="1908"/>
      <c r="AC226" s="1908"/>
      <c r="AD226" s="1908"/>
      <c r="AE226" s="1908"/>
      <c r="AF226" s="1908"/>
      <c r="AG226" s="1908"/>
      <c r="AH226" s="1908"/>
      <c r="AI226" s="1908"/>
      <c r="AJ226" s="1908"/>
      <c r="AK226" s="1908"/>
      <c r="AL226" s="1908"/>
      <c r="AM226" s="1908"/>
      <c r="AN226" s="1908"/>
      <c r="AO226" s="1908"/>
      <c r="AP226" s="1908"/>
      <c r="AQ226" s="1908"/>
      <c r="AR226" s="1908"/>
      <c r="AS226" s="1908"/>
      <c r="AT226" s="1908"/>
      <c r="AU226" s="1908"/>
      <c r="AV226" s="1908"/>
      <c r="AW226" s="1908"/>
      <c r="AX226" s="1908"/>
      <c r="AY226" s="1908"/>
      <c r="AZ226" s="1908"/>
      <c r="BA226" s="1908"/>
      <c r="BB226" s="1908"/>
      <c r="BC226" s="1908"/>
      <c r="BD226" s="1908"/>
      <c r="BE226" s="1908"/>
      <c r="BF226" s="1908"/>
      <c r="BG226" s="1908"/>
      <c r="BH226" s="1908"/>
      <c r="BI226" s="1908"/>
    </row>
    <row r="227" spans="10:61">
      <c r="J227" s="1782">
        <f>J219-F13B_21_22_APR!ED216</f>
        <v>0</v>
      </c>
      <c r="K227" s="1848">
        <f>K219-F13B_21_22_APR!EG216</f>
        <v>0</v>
      </c>
      <c r="L227" s="1848">
        <f>L219-F13B_21_22_APR!EI216</f>
        <v>0</v>
      </c>
      <c r="M227" s="1848">
        <f>M219-F13B_21_22_APR!EK216</f>
        <v>0</v>
      </c>
      <c r="N227" s="1848">
        <f>N219-F13B_21_22_APR!EN216</f>
        <v>0</v>
      </c>
      <c r="P227" s="1908"/>
      <c r="Q227" s="1908"/>
      <c r="R227" s="1908"/>
      <c r="S227" s="1908"/>
      <c r="T227" s="1908"/>
      <c r="U227" s="1908"/>
      <c r="V227" s="1908"/>
      <c r="W227" s="1908"/>
      <c r="X227" s="1908"/>
      <c r="Y227" s="1908"/>
      <c r="Z227" s="1908"/>
      <c r="AA227" s="1908"/>
      <c r="AB227" s="1908"/>
      <c r="AC227" s="1908"/>
      <c r="AD227" s="1908"/>
      <c r="AE227" s="1908"/>
      <c r="AF227" s="1908"/>
      <c r="AG227" s="1908"/>
      <c r="AH227" s="1908"/>
      <c r="AI227" s="1908"/>
      <c r="AJ227" s="1908"/>
      <c r="AK227" s="1908"/>
      <c r="AL227" s="1908"/>
      <c r="AM227" s="1908"/>
      <c r="AN227" s="1908"/>
      <c r="AO227" s="1908"/>
      <c r="AP227" s="1908"/>
      <c r="AQ227" s="1908"/>
      <c r="AR227" s="1908"/>
      <c r="AS227" s="1908"/>
      <c r="AT227" s="1908"/>
      <c r="AU227" s="1908"/>
      <c r="AV227" s="1908"/>
      <c r="AW227" s="1908"/>
      <c r="AX227" s="1908"/>
      <c r="AY227" s="1908"/>
      <c r="AZ227" s="1908"/>
      <c r="BA227" s="1908"/>
      <c r="BB227" s="1908"/>
      <c r="BC227" s="1908"/>
      <c r="BD227" s="1908"/>
      <c r="BE227" s="1908"/>
      <c r="BF227" s="1908"/>
      <c r="BG227" s="1908"/>
      <c r="BH227" s="1908"/>
      <c r="BI227" s="1908"/>
    </row>
    <row r="228" spans="10:61">
      <c r="K228" s="1782"/>
      <c r="L228" s="1782"/>
      <c r="M228" s="1782"/>
      <c r="N228" s="1782"/>
      <c r="P228" s="1908"/>
      <c r="Q228" s="1908"/>
      <c r="R228" s="1908"/>
      <c r="S228" s="1908"/>
      <c r="T228" s="1908"/>
      <c r="U228" s="1908"/>
      <c r="V228" s="1908"/>
      <c r="W228" s="1908"/>
      <c r="X228" s="1908"/>
      <c r="Y228" s="1908"/>
      <c r="Z228" s="1908"/>
      <c r="AA228" s="1908"/>
      <c r="AB228" s="1908"/>
      <c r="AC228" s="1908"/>
      <c r="AD228" s="1908"/>
      <c r="AE228" s="1908"/>
      <c r="AF228" s="1908"/>
      <c r="AG228" s="1908"/>
      <c r="AH228" s="1908"/>
      <c r="AI228" s="1908"/>
      <c r="AJ228" s="1908"/>
      <c r="AK228" s="1908"/>
      <c r="AL228" s="1908"/>
      <c r="AM228" s="1908"/>
      <c r="AN228" s="1908"/>
      <c r="AO228" s="1908"/>
      <c r="AP228" s="1908"/>
      <c r="AQ228" s="1908"/>
      <c r="AR228" s="1908"/>
      <c r="AS228" s="1908"/>
      <c r="AT228" s="1908"/>
      <c r="AU228" s="1908"/>
      <c r="AV228" s="1908"/>
      <c r="AW228" s="1908"/>
      <c r="AX228" s="1908"/>
      <c r="AY228" s="1908"/>
      <c r="AZ228" s="1908"/>
      <c r="BA228" s="1908"/>
      <c r="BB228" s="1908"/>
      <c r="BC228" s="1908"/>
      <c r="BD228" s="1908"/>
      <c r="BE228" s="1908"/>
      <c r="BF228" s="1908"/>
      <c r="BG228" s="1908"/>
      <c r="BH228" s="1908"/>
      <c r="BI228" s="1908"/>
    </row>
    <row r="229" spans="10:61">
      <c r="M229" s="1782"/>
    </row>
  </sheetData>
  <mergeCells count="9">
    <mergeCell ref="A222:O222"/>
    <mergeCell ref="A223:O223"/>
    <mergeCell ref="A224:O224"/>
    <mergeCell ref="A1:B1"/>
    <mergeCell ref="A2:O2"/>
    <mergeCell ref="A5:A8"/>
    <mergeCell ref="B5:B8"/>
    <mergeCell ref="C5:H6"/>
    <mergeCell ref="I5:O6"/>
  </mergeCells>
  <printOptions horizontalCentered="1" verticalCentered="1" gridLines="1"/>
  <pageMargins left="0.23622047244094491" right="0.23622047244094491" top="0.78740157480314965" bottom="0.35433070866141736" header="0.31496062992125984" footer="0.31496062992125984"/>
  <pageSetup paperSize="9" scale="59" fitToWidth="4" fitToHeight="4" orientation="landscape" r:id="rId1"/>
  <headerFooter>
    <oddFooter>&amp;R&amp;P</oddFooter>
  </headerFooter>
  <rowBreaks count="4" manualBreakCount="4">
    <brk id="42" max="14" man="1"/>
    <brk id="92" max="14" man="1"/>
    <brk id="137" max="14" man="1"/>
    <brk id="188" max="14" man="1"/>
  </rowBreaks>
  <colBreaks count="1" manualBreakCount="1">
    <brk id="26" max="216"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Z422"/>
  <sheetViews>
    <sheetView showGridLines="0" view="pageBreakPreview" zoomScale="80" zoomScaleNormal="70" zoomScaleSheetLayoutView="80" workbookViewId="0">
      <pane xSplit="2" ySplit="7" topLeftCell="EB389" activePane="bottomRight" state="frozen"/>
      <selection activeCell="A10" sqref="A10:XFD10"/>
      <selection pane="topRight" activeCell="A10" sqref="A10:XFD10"/>
      <selection pane="bottomLeft" activeCell="A10" sqref="A10:XFD10"/>
      <selection pane="bottomRight" activeCell="A10" sqref="A10:XFD10"/>
    </sheetView>
  </sheetViews>
  <sheetFormatPr defaultRowHeight="13" outlineLevelCol="1"/>
  <cols>
    <col min="1" max="1" width="8.7265625" style="1612" customWidth="1"/>
    <col min="2" max="2" width="63.1796875" style="1721" customWidth="1"/>
    <col min="3" max="3" width="16.1796875" style="1653" hidden="1" customWidth="1"/>
    <col min="4" max="4" width="16.81640625" style="1653" hidden="1" customWidth="1"/>
    <col min="5" max="5" width="14.7265625" style="1653" hidden="1" customWidth="1"/>
    <col min="6" max="6" width="15" style="1653" hidden="1" customWidth="1"/>
    <col min="7" max="7" width="12.7265625" style="1653" hidden="1" customWidth="1"/>
    <col min="8" max="8" width="17.7265625" style="1653" hidden="1" customWidth="1"/>
    <col min="9" max="9" width="27" style="1653" hidden="1" customWidth="1"/>
    <col min="10" max="10" width="15.81640625" style="1730" hidden="1" customWidth="1"/>
    <col min="11" max="11" width="22.1796875" style="1653" hidden="1" customWidth="1"/>
    <col min="12" max="12" width="11.453125" style="1653" hidden="1" customWidth="1"/>
    <col min="13" max="13" width="17.54296875" style="1653" hidden="1" customWidth="1"/>
    <col min="14" max="14" width="0.1796875" style="1653" customWidth="1"/>
    <col min="15" max="15" width="18.81640625" style="1620" customWidth="1"/>
    <col min="16" max="16" width="13.1796875" style="1620" bestFit="1" customWidth="1"/>
    <col min="17" max="17" width="14.7265625" style="1611" bestFit="1" customWidth="1"/>
    <col min="18" max="18" width="13.1796875" style="1611" bestFit="1" customWidth="1"/>
    <col min="19" max="19" width="14.7265625" style="1611" bestFit="1" customWidth="1"/>
    <col min="20" max="20" width="14.7265625" style="1611" customWidth="1"/>
    <col min="21" max="21" width="11.26953125" style="1611" bestFit="1" customWidth="1"/>
    <col min="22" max="22" width="17" style="1611" customWidth="1"/>
    <col min="23" max="23" width="13.453125" style="1611" customWidth="1"/>
    <col min="24" max="24" width="17.1796875" style="1611" customWidth="1"/>
    <col min="25" max="25" width="15.26953125" style="1620" customWidth="1"/>
    <col min="26" max="26" width="12.81640625" style="1620" bestFit="1" customWidth="1"/>
    <col min="27" max="27" width="12" style="1611" bestFit="1" customWidth="1"/>
    <col min="28" max="28" width="12.81640625" style="1611" bestFit="1" customWidth="1"/>
    <col min="29" max="29" width="12.453125" style="1611" bestFit="1" customWidth="1"/>
    <col min="30" max="30" width="14.7265625" style="1611" bestFit="1" customWidth="1"/>
    <col min="31" max="31" width="11.26953125" style="1611" bestFit="1" customWidth="1"/>
    <col min="32" max="32" width="16.54296875" style="1611" bestFit="1" customWidth="1"/>
    <col min="33" max="33" width="14.1796875" style="1611" customWidth="1"/>
    <col min="34" max="34" width="12" style="1611" bestFit="1" customWidth="1"/>
    <col min="35" max="36" width="14.7265625" style="1620" customWidth="1"/>
    <col min="37" max="37" width="14.7265625" style="1611" bestFit="1" customWidth="1"/>
    <col min="38" max="38" width="12.81640625" style="1611" bestFit="1" customWidth="1"/>
    <col min="39" max="39" width="12.453125" style="1611" bestFit="1" customWidth="1"/>
    <col min="40" max="40" width="12.81640625" style="1611" bestFit="1" customWidth="1"/>
    <col min="41" max="41" width="11.26953125" style="1611" bestFit="1" customWidth="1"/>
    <col min="42" max="42" width="16.54296875" style="1611" bestFit="1" customWidth="1"/>
    <col min="43" max="43" width="15.7265625" style="1611" customWidth="1"/>
    <col min="44" max="44" width="21" style="1611" customWidth="1"/>
    <col min="45" max="45" width="16.7265625" style="1620" customWidth="1"/>
    <col min="46" max="46" width="14.1796875" style="1620" customWidth="1"/>
    <col min="47" max="47" width="14.7265625" style="1611" bestFit="1" customWidth="1"/>
    <col min="48" max="48" width="14.1796875" style="1611" bestFit="1" customWidth="1"/>
    <col min="49" max="49" width="11.26953125" style="1611" bestFit="1" customWidth="1"/>
    <col min="50" max="50" width="14.1796875" style="1611" bestFit="1" customWidth="1"/>
    <col min="51" max="51" width="11.26953125" style="1611" bestFit="1" customWidth="1"/>
    <col min="52" max="52" width="16.54296875" style="1611" bestFit="1" customWidth="1"/>
    <col min="53" max="53" width="15.7265625" style="1611" customWidth="1"/>
    <col min="54" max="54" width="12.453125" style="1611" bestFit="1" customWidth="1"/>
    <col min="55" max="56" width="13.7265625" style="1620" customWidth="1"/>
    <col min="57" max="57" width="14.7265625" style="1611" bestFit="1" customWidth="1"/>
    <col min="58" max="58" width="14.1796875" style="1611" bestFit="1" customWidth="1"/>
    <col min="59" max="59" width="12.453125" style="1611" bestFit="1" customWidth="1"/>
    <col min="60" max="60" width="14.1796875" style="1611" bestFit="1" customWidth="1"/>
    <col min="61" max="61" width="11.26953125" style="1611" bestFit="1" customWidth="1"/>
    <col min="62" max="62" width="16.54296875" style="1611" bestFit="1" customWidth="1"/>
    <col min="63" max="63" width="14.1796875" style="1611" bestFit="1" customWidth="1"/>
    <col min="64" max="64" width="15.1796875" style="1611" customWidth="1"/>
    <col min="65" max="65" width="15.1796875" style="1620" bestFit="1" customWidth="1"/>
    <col min="66" max="66" width="14.1796875" style="1620" bestFit="1" customWidth="1"/>
    <col min="67" max="67" width="14.7265625" style="1611" bestFit="1" customWidth="1"/>
    <col min="68" max="68" width="14.1796875" style="1611" bestFit="1" customWidth="1"/>
    <col min="69" max="69" width="12.453125" style="1611" bestFit="1" customWidth="1"/>
    <col min="70" max="70" width="14.1796875" style="1611" bestFit="1" customWidth="1"/>
    <col min="71" max="71" width="11.26953125" style="1611" bestFit="1" customWidth="1"/>
    <col min="72" max="72" width="16.54296875" style="1611" bestFit="1" customWidth="1"/>
    <col min="73" max="73" width="14.1796875" style="1611" customWidth="1"/>
    <col min="74" max="74" width="12.453125" style="1611" bestFit="1" customWidth="1"/>
    <col min="75" max="75" width="15.1796875" style="1620" bestFit="1" customWidth="1"/>
    <col min="76" max="76" width="14.1796875" style="1620" bestFit="1" customWidth="1"/>
    <col min="77" max="77" width="14.7265625" style="1611" bestFit="1" customWidth="1" outlineLevel="1"/>
    <col min="78" max="78" width="14.1796875" style="1611" bestFit="1" customWidth="1" outlineLevel="1"/>
    <col min="79" max="79" width="12.453125" style="1611" bestFit="1" customWidth="1" outlineLevel="1"/>
    <col min="80" max="80" width="14.1796875" style="1611" bestFit="1" customWidth="1" outlineLevel="1"/>
    <col min="81" max="81" width="14.81640625" style="1611" bestFit="1" customWidth="1" outlineLevel="1"/>
    <col min="82" max="82" width="16.54296875" style="1611" bestFit="1" customWidth="1" outlineLevel="1"/>
    <col min="83" max="83" width="14.1796875" style="1611" bestFit="1" customWidth="1"/>
    <col min="84" max="84" width="12" style="1621" bestFit="1" customWidth="1"/>
    <col min="85" max="86" width="13.54296875" style="1620" bestFit="1" customWidth="1" outlineLevel="1"/>
    <col min="87" max="87" width="11.1796875" style="1611" bestFit="1" customWidth="1" outlineLevel="1"/>
    <col min="88" max="88" width="13.1796875" style="1611" bestFit="1" customWidth="1" outlineLevel="1"/>
    <col min="89" max="89" width="11.1796875" style="1611" bestFit="1" customWidth="1" outlineLevel="1"/>
    <col min="90" max="90" width="17.26953125" style="1611" bestFit="1" customWidth="1" outlineLevel="1"/>
    <col min="91" max="91" width="10.54296875" style="1611" bestFit="1" customWidth="1" outlineLevel="1"/>
    <col min="92" max="92" width="15.453125" style="1611" bestFit="1" customWidth="1" outlineLevel="1"/>
    <col min="93" max="93" width="13.1796875" style="1611" bestFit="1" customWidth="1"/>
    <col min="94" max="94" width="11.54296875" style="1611" bestFit="1" customWidth="1"/>
    <col min="95" max="95" width="18.81640625" style="1620" customWidth="1" outlineLevel="1"/>
    <col min="96" max="96" width="13.1796875" style="1620" customWidth="1" outlineLevel="1"/>
    <col min="97" max="97" width="13.54296875" style="1611" customWidth="1" outlineLevel="1"/>
    <col min="98" max="98" width="13.1796875" style="1611" bestFit="1" customWidth="1" outlineLevel="1"/>
    <col min="99" max="99" width="10.54296875" style="1611" bestFit="1" customWidth="1" outlineLevel="1"/>
    <col min="100" max="100" width="13.1796875" style="1611" bestFit="1" customWidth="1" outlineLevel="1"/>
    <col min="101" max="101" width="10.54296875" style="1611" bestFit="1" customWidth="1" outlineLevel="1"/>
    <col min="102" max="102" width="15.453125" style="1611" bestFit="1" customWidth="1" outlineLevel="1"/>
    <col min="103" max="103" width="13.1796875" style="1611" bestFit="1" customWidth="1"/>
    <col min="104" max="104" width="11.1796875" style="1611" bestFit="1" customWidth="1"/>
    <col min="105" max="105" width="18.81640625" style="1620" customWidth="1"/>
    <col min="106" max="106" width="13.1796875" style="1620" bestFit="1" customWidth="1"/>
    <col min="107" max="107" width="13.54296875" style="1611" bestFit="1" customWidth="1"/>
    <col min="108" max="108" width="13.1796875" style="1611" bestFit="1" customWidth="1"/>
    <col min="109" max="109" width="11.54296875" style="1611" bestFit="1" customWidth="1"/>
    <col min="110" max="110" width="13.1796875" style="1611" bestFit="1" customWidth="1"/>
    <col min="111" max="111" width="10.54296875" style="1611" bestFit="1" customWidth="1"/>
    <col min="112" max="112" width="18.1796875" style="1611" bestFit="1" customWidth="1"/>
    <col min="113" max="113" width="13.1796875" style="1611" bestFit="1" customWidth="1"/>
    <col min="114" max="114" width="11.1796875" style="1611" bestFit="1" customWidth="1"/>
    <col min="115" max="115" width="18.81640625" style="1620" customWidth="1"/>
    <col min="116" max="116" width="13.54296875" style="1620" bestFit="1" customWidth="1"/>
    <col min="117" max="117" width="10.7265625" style="1611" bestFit="1" customWidth="1"/>
    <col min="118" max="118" width="13.1796875" style="1611" bestFit="1" customWidth="1"/>
    <col min="119" max="119" width="11.1796875" style="1611" bestFit="1" customWidth="1"/>
    <col min="120" max="120" width="13.1796875" style="1611" bestFit="1" customWidth="1"/>
    <col min="121" max="121" width="11.1796875" style="1611" customWidth="1"/>
    <col min="122" max="122" width="15.453125" style="1611" bestFit="1" customWidth="1"/>
    <col min="123" max="123" width="13.1796875" style="1611" bestFit="1" customWidth="1"/>
    <col min="124" max="124" width="11.54296875" style="1611" bestFit="1" customWidth="1"/>
    <col min="125" max="125" width="18.81640625" style="1620" customWidth="1"/>
    <col min="126" max="126" width="13.1796875" style="1620" bestFit="1" customWidth="1"/>
    <col min="127" max="127" width="10.7265625" style="1611" bestFit="1" customWidth="1"/>
    <col min="128" max="128" width="13.54296875" style="1611" bestFit="1" customWidth="1"/>
    <col min="129" max="129" width="11.1796875" style="1611" bestFit="1" customWidth="1"/>
    <col min="130" max="130" width="13.1796875" style="1611" bestFit="1" customWidth="1"/>
    <col min="131" max="131" width="13.453125" style="1611" bestFit="1" customWidth="1"/>
    <col min="132" max="132" width="15.453125" style="1611" bestFit="1" customWidth="1"/>
    <col min="133" max="133" width="13.7265625" style="1611" customWidth="1"/>
    <col min="134" max="134" width="11.54296875" style="1611" bestFit="1" customWidth="1"/>
    <col min="135" max="135" width="17.453125" style="1653" bestFit="1" customWidth="1"/>
    <col min="136" max="136" width="13.1796875" style="1653" bestFit="1" customWidth="1"/>
    <col min="137" max="137" width="12" style="1611" bestFit="1" customWidth="1"/>
    <col min="138" max="138" width="13.1796875" style="1611" bestFit="1" customWidth="1"/>
    <col min="139" max="139" width="12.81640625" style="1611" bestFit="1" customWidth="1"/>
    <col min="140" max="140" width="13.1796875" style="1611" bestFit="1" customWidth="1"/>
    <col min="141" max="141" width="11.1796875" style="1611" bestFit="1" customWidth="1"/>
    <col min="142" max="142" width="15.453125" style="1611" bestFit="1" customWidth="1"/>
    <col min="143" max="143" width="13.1796875" style="1609" bestFit="1" customWidth="1"/>
    <col min="144" max="144" width="21.7265625" style="1609" bestFit="1" customWidth="1"/>
    <col min="145" max="145" width="22" style="1611" customWidth="1"/>
    <col min="146" max="146" width="19.26953125" style="1612" customWidth="1"/>
    <col min="147" max="147" width="14.1796875" style="1613" customWidth="1"/>
    <col min="148" max="294" width="9.1796875" style="1612"/>
    <col min="295" max="295" width="8.7265625" style="1612" customWidth="1"/>
    <col min="296" max="296" width="92.7265625" style="1612" customWidth="1"/>
    <col min="297" max="297" width="16.1796875" style="1612" customWidth="1"/>
    <col min="298" max="298" width="16.81640625" style="1612" customWidth="1"/>
    <col min="299" max="299" width="14.7265625" style="1612" customWidth="1"/>
    <col min="300" max="300" width="19.453125" style="1612" customWidth="1"/>
    <col min="301" max="301" width="15" style="1612" customWidth="1"/>
    <col min="302" max="302" width="12.7265625" style="1612" customWidth="1"/>
    <col min="303" max="304" width="12.1796875" style="1612" customWidth="1"/>
    <col min="305" max="305" width="15.81640625" style="1612" customWidth="1"/>
    <col min="306" max="306" width="22.1796875" style="1612" customWidth="1"/>
    <col min="307" max="307" width="11.453125" style="1612" customWidth="1"/>
    <col min="308" max="308" width="17.54296875" style="1612" customWidth="1"/>
    <col min="309" max="309" width="0.1796875" style="1612" customWidth="1"/>
    <col min="310" max="310" width="18.81640625" style="1612" customWidth="1"/>
    <col min="311" max="314" width="25.7265625" style="1612" customWidth="1"/>
    <col min="315" max="315" width="14.7265625" style="1612" customWidth="1"/>
    <col min="316" max="316" width="22" style="1612" customWidth="1"/>
    <col min="317" max="317" width="15.26953125" style="1612" customWidth="1"/>
    <col min="318" max="321" width="25.7265625" style="1612" customWidth="1"/>
    <col min="322" max="322" width="15.7265625" style="1612" customWidth="1"/>
    <col min="323" max="323" width="22.453125" style="1612" customWidth="1"/>
    <col min="324" max="324" width="14.7265625" style="1612" customWidth="1"/>
    <col min="325" max="328" width="25.7265625" style="1612" customWidth="1"/>
    <col min="329" max="329" width="15.7265625" style="1612" customWidth="1"/>
    <col min="330" max="330" width="21" style="1612" customWidth="1"/>
    <col min="331" max="331" width="16.7265625" style="1612" customWidth="1"/>
    <col min="332" max="335" width="25.7265625" style="1612" customWidth="1"/>
    <col min="336" max="336" width="15.7265625" style="1612" customWidth="1"/>
    <col min="337" max="337" width="29.1796875" style="1612" customWidth="1"/>
    <col min="338" max="338" width="13.7265625" style="1612" customWidth="1"/>
    <col min="339" max="342" width="25.7265625" style="1612" customWidth="1"/>
    <col min="343" max="343" width="15.7265625" style="1612" customWidth="1"/>
    <col min="344" max="344" width="29.1796875" style="1612" customWidth="1"/>
    <col min="345" max="345" width="11.81640625" style="1612" customWidth="1"/>
    <col min="346" max="349" width="25.7265625" style="1612" customWidth="1"/>
    <col min="350" max="350" width="15.7265625" style="1612" customWidth="1"/>
    <col min="351" max="351" width="29.7265625" style="1612" customWidth="1"/>
    <col min="352" max="352" width="25.54296875" style="1612" customWidth="1"/>
    <col min="353" max="356" width="25.7265625" style="1612" customWidth="1"/>
    <col min="357" max="357" width="7.26953125" style="1612" customWidth="1"/>
    <col min="358" max="358" width="22.7265625" style="1612" customWidth="1"/>
    <col min="359" max="359" width="18.81640625" style="1612" customWidth="1"/>
    <col min="360" max="363" width="25.7265625" style="1612" customWidth="1"/>
    <col min="364" max="364" width="12.26953125" style="1612" customWidth="1"/>
    <col min="365" max="365" width="25.7265625" style="1612" customWidth="1"/>
    <col min="366" max="366" width="18.81640625" style="1612" customWidth="1"/>
    <col min="367" max="370" width="25.7265625" style="1612" customWidth="1"/>
    <col min="371" max="371" width="14.54296875" style="1612" customWidth="1"/>
    <col min="372" max="372" width="25.7265625" style="1612" customWidth="1"/>
    <col min="373" max="373" width="18.81640625" style="1612" customWidth="1"/>
    <col min="374" max="377" width="25.7265625" style="1612" customWidth="1"/>
    <col min="378" max="378" width="15.7265625" style="1612" customWidth="1"/>
    <col min="379" max="379" width="25.7265625" style="1612" customWidth="1"/>
    <col min="380" max="380" width="18.81640625" style="1612" customWidth="1"/>
    <col min="381" max="384" width="25.7265625" style="1612" customWidth="1"/>
    <col min="385" max="385" width="15.7265625" style="1612" customWidth="1"/>
    <col min="386" max="386" width="29.453125" style="1612" customWidth="1"/>
    <col min="387" max="387" width="18.81640625" style="1612" customWidth="1"/>
    <col min="388" max="388" width="25.7265625" style="1612" customWidth="1"/>
    <col min="389" max="389" width="29.7265625" style="1612" customWidth="1"/>
    <col min="390" max="391" width="25.7265625" style="1612" customWidth="1"/>
    <col min="392" max="392" width="13.7265625" style="1612" customWidth="1"/>
    <col min="393" max="393" width="29.1796875" style="1612" customWidth="1"/>
    <col min="394" max="394" width="23.7265625" style="1612" customWidth="1"/>
    <col min="395" max="398" width="24.81640625" style="1612" customWidth="1"/>
    <col min="399" max="399" width="14.7265625" style="1612" customWidth="1"/>
    <col min="400" max="400" width="30" style="1612" customWidth="1"/>
    <col min="401" max="401" width="22" style="1612" customWidth="1"/>
    <col min="402" max="402" width="19.26953125" style="1612" customWidth="1"/>
    <col min="403" max="403" width="14.1796875" style="1612" customWidth="1"/>
    <col min="404" max="550" width="9.1796875" style="1612"/>
    <col min="551" max="551" width="8.7265625" style="1612" customWidth="1"/>
    <col min="552" max="552" width="92.7265625" style="1612" customWidth="1"/>
    <col min="553" max="553" width="16.1796875" style="1612" customWidth="1"/>
    <col min="554" max="554" width="16.81640625" style="1612" customWidth="1"/>
    <col min="555" max="555" width="14.7265625" style="1612" customWidth="1"/>
    <col min="556" max="556" width="19.453125" style="1612" customWidth="1"/>
    <col min="557" max="557" width="15" style="1612" customWidth="1"/>
    <col min="558" max="558" width="12.7265625" style="1612" customWidth="1"/>
    <col min="559" max="560" width="12.1796875" style="1612" customWidth="1"/>
    <col min="561" max="561" width="15.81640625" style="1612" customWidth="1"/>
    <col min="562" max="562" width="22.1796875" style="1612" customWidth="1"/>
    <col min="563" max="563" width="11.453125" style="1612" customWidth="1"/>
    <col min="564" max="564" width="17.54296875" style="1612" customWidth="1"/>
    <col min="565" max="565" width="0.1796875" style="1612" customWidth="1"/>
    <col min="566" max="566" width="18.81640625" style="1612" customWidth="1"/>
    <col min="567" max="570" width="25.7265625" style="1612" customWidth="1"/>
    <col min="571" max="571" width="14.7265625" style="1612" customWidth="1"/>
    <col min="572" max="572" width="22" style="1612" customWidth="1"/>
    <col min="573" max="573" width="15.26953125" style="1612" customWidth="1"/>
    <col min="574" max="577" width="25.7265625" style="1612" customWidth="1"/>
    <col min="578" max="578" width="15.7265625" style="1612" customWidth="1"/>
    <col min="579" max="579" width="22.453125" style="1612" customWidth="1"/>
    <col min="580" max="580" width="14.7265625" style="1612" customWidth="1"/>
    <col min="581" max="584" width="25.7265625" style="1612" customWidth="1"/>
    <col min="585" max="585" width="15.7265625" style="1612" customWidth="1"/>
    <col min="586" max="586" width="21" style="1612" customWidth="1"/>
    <col min="587" max="587" width="16.7265625" style="1612" customWidth="1"/>
    <col min="588" max="591" width="25.7265625" style="1612" customWidth="1"/>
    <col min="592" max="592" width="15.7265625" style="1612" customWidth="1"/>
    <col min="593" max="593" width="29.1796875" style="1612" customWidth="1"/>
    <col min="594" max="594" width="13.7265625" style="1612" customWidth="1"/>
    <col min="595" max="598" width="25.7265625" style="1612" customWidth="1"/>
    <col min="599" max="599" width="15.7265625" style="1612" customWidth="1"/>
    <col min="600" max="600" width="29.1796875" style="1612" customWidth="1"/>
    <col min="601" max="601" width="11.81640625" style="1612" customWidth="1"/>
    <col min="602" max="605" width="25.7265625" style="1612" customWidth="1"/>
    <col min="606" max="606" width="15.7265625" style="1612" customWidth="1"/>
    <col min="607" max="607" width="29.7265625" style="1612" customWidth="1"/>
    <col min="608" max="608" width="25.54296875" style="1612" customWidth="1"/>
    <col min="609" max="612" width="25.7265625" style="1612" customWidth="1"/>
    <col min="613" max="613" width="7.26953125" style="1612" customWidth="1"/>
    <col min="614" max="614" width="22.7265625" style="1612" customWidth="1"/>
    <col min="615" max="615" width="18.81640625" style="1612" customWidth="1"/>
    <col min="616" max="619" width="25.7265625" style="1612" customWidth="1"/>
    <col min="620" max="620" width="12.26953125" style="1612" customWidth="1"/>
    <col min="621" max="621" width="25.7265625" style="1612" customWidth="1"/>
    <col min="622" max="622" width="18.81640625" style="1612" customWidth="1"/>
    <col min="623" max="626" width="25.7265625" style="1612" customWidth="1"/>
    <col min="627" max="627" width="14.54296875" style="1612" customWidth="1"/>
    <col min="628" max="628" width="25.7265625" style="1612" customWidth="1"/>
    <col min="629" max="629" width="18.81640625" style="1612" customWidth="1"/>
    <col min="630" max="633" width="25.7265625" style="1612" customWidth="1"/>
    <col min="634" max="634" width="15.7265625" style="1612" customWidth="1"/>
    <col min="635" max="635" width="25.7265625" style="1612" customWidth="1"/>
    <col min="636" max="636" width="18.81640625" style="1612" customWidth="1"/>
    <col min="637" max="640" width="25.7265625" style="1612" customWidth="1"/>
    <col min="641" max="641" width="15.7265625" style="1612" customWidth="1"/>
    <col min="642" max="642" width="29.453125" style="1612" customWidth="1"/>
    <col min="643" max="643" width="18.81640625" style="1612" customWidth="1"/>
    <col min="644" max="644" width="25.7265625" style="1612" customWidth="1"/>
    <col min="645" max="645" width="29.7265625" style="1612" customWidth="1"/>
    <col min="646" max="647" width="25.7265625" style="1612" customWidth="1"/>
    <col min="648" max="648" width="13.7265625" style="1612" customWidth="1"/>
    <col min="649" max="649" width="29.1796875" style="1612" customWidth="1"/>
    <col min="650" max="650" width="23.7265625" style="1612" customWidth="1"/>
    <col min="651" max="654" width="24.81640625" style="1612" customWidth="1"/>
    <col min="655" max="655" width="14.7265625" style="1612" customWidth="1"/>
    <col min="656" max="656" width="30" style="1612" customWidth="1"/>
    <col min="657" max="657" width="22" style="1612" customWidth="1"/>
    <col min="658" max="658" width="19.26953125" style="1612" customWidth="1"/>
    <col min="659" max="659" width="14.1796875" style="1612" customWidth="1"/>
    <col min="660" max="806" width="9.1796875" style="1612"/>
    <col min="807" max="807" width="8.7265625" style="1612" customWidth="1"/>
    <col min="808" max="808" width="92.7265625" style="1612" customWidth="1"/>
    <col min="809" max="809" width="16.1796875" style="1612" customWidth="1"/>
    <col min="810" max="810" width="16.81640625" style="1612" customWidth="1"/>
    <col min="811" max="811" width="14.7265625" style="1612" customWidth="1"/>
    <col min="812" max="812" width="19.453125" style="1612" customWidth="1"/>
    <col min="813" max="813" width="15" style="1612" customWidth="1"/>
    <col min="814" max="814" width="12.7265625" style="1612" customWidth="1"/>
    <col min="815" max="816" width="12.1796875" style="1612" customWidth="1"/>
    <col min="817" max="817" width="15.81640625" style="1612" customWidth="1"/>
    <col min="818" max="818" width="22.1796875" style="1612" customWidth="1"/>
    <col min="819" max="819" width="11.453125" style="1612" customWidth="1"/>
    <col min="820" max="820" width="17.54296875" style="1612" customWidth="1"/>
    <col min="821" max="821" width="0.1796875" style="1612" customWidth="1"/>
    <col min="822" max="822" width="18.81640625" style="1612" customWidth="1"/>
    <col min="823" max="826" width="25.7265625" style="1612" customWidth="1"/>
    <col min="827" max="827" width="14.7265625" style="1612" customWidth="1"/>
    <col min="828" max="828" width="22" style="1612" customWidth="1"/>
    <col min="829" max="829" width="15.26953125" style="1612" customWidth="1"/>
    <col min="830" max="833" width="25.7265625" style="1612" customWidth="1"/>
    <col min="834" max="834" width="15.7265625" style="1612" customWidth="1"/>
    <col min="835" max="835" width="22.453125" style="1612" customWidth="1"/>
    <col min="836" max="836" width="14.7265625" style="1612" customWidth="1"/>
    <col min="837" max="840" width="25.7265625" style="1612" customWidth="1"/>
    <col min="841" max="841" width="15.7265625" style="1612" customWidth="1"/>
    <col min="842" max="842" width="21" style="1612" customWidth="1"/>
    <col min="843" max="843" width="16.7265625" style="1612" customWidth="1"/>
    <col min="844" max="847" width="25.7265625" style="1612" customWidth="1"/>
    <col min="848" max="848" width="15.7265625" style="1612" customWidth="1"/>
    <col min="849" max="849" width="29.1796875" style="1612" customWidth="1"/>
    <col min="850" max="850" width="13.7265625" style="1612" customWidth="1"/>
    <col min="851" max="854" width="25.7265625" style="1612" customWidth="1"/>
    <col min="855" max="855" width="15.7265625" style="1612" customWidth="1"/>
    <col min="856" max="856" width="29.1796875" style="1612" customWidth="1"/>
    <col min="857" max="857" width="11.81640625" style="1612" customWidth="1"/>
    <col min="858" max="861" width="25.7265625" style="1612" customWidth="1"/>
    <col min="862" max="862" width="15.7265625" style="1612" customWidth="1"/>
    <col min="863" max="863" width="29.7265625" style="1612" customWidth="1"/>
    <col min="864" max="864" width="25.54296875" style="1612" customWidth="1"/>
    <col min="865" max="868" width="25.7265625" style="1612" customWidth="1"/>
    <col min="869" max="869" width="7.26953125" style="1612" customWidth="1"/>
    <col min="870" max="870" width="22.7265625" style="1612" customWidth="1"/>
    <col min="871" max="871" width="18.81640625" style="1612" customWidth="1"/>
    <col min="872" max="875" width="25.7265625" style="1612" customWidth="1"/>
    <col min="876" max="876" width="12.26953125" style="1612" customWidth="1"/>
    <col min="877" max="877" width="25.7265625" style="1612" customWidth="1"/>
    <col min="878" max="878" width="18.81640625" style="1612" customWidth="1"/>
    <col min="879" max="882" width="25.7265625" style="1612" customWidth="1"/>
    <col min="883" max="883" width="14.54296875" style="1612" customWidth="1"/>
    <col min="884" max="884" width="25.7265625" style="1612" customWidth="1"/>
    <col min="885" max="885" width="18.81640625" style="1612" customWidth="1"/>
    <col min="886" max="889" width="25.7265625" style="1612" customWidth="1"/>
    <col min="890" max="890" width="15.7265625" style="1612" customWidth="1"/>
    <col min="891" max="891" width="25.7265625" style="1612" customWidth="1"/>
    <col min="892" max="892" width="18.81640625" style="1612" customWidth="1"/>
    <col min="893" max="896" width="25.7265625" style="1612" customWidth="1"/>
    <col min="897" max="897" width="15.7265625" style="1612" customWidth="1"/>
    <col min="898" max="898" width="29.453125" style="1612" customWidth="1"/>
    <col min="899" max="899" width="18.81640625" style="1612" customWidth="1"/>
    <col min="900" max="900" width="25.7265625" style="1612" customWidth="1"/>
    <col min="901" max="901" width="29.7265625" style="1612" customWidth="1"/>
    <col min="902" max="903" width="25.7265625" style="1612" customWidth="1"/>
    <col min="904" max="904" width="13.7265625" style="1612" customWidth="1"/>
    <col min="905" max="905" width="29.1796875" style="1612" customWidth="1"/>
    <col min="906" max="906" width="23.7265625" style="1612" customWidth="1"/>
    <col min="907" max="910" width="24.81640625" style="1612" customWidth="1"/>
    <col min="911" max="911" width="14.7265625" style="1612" customWidth="1"/>
    <col min="912" max="912" width="30" style="1612" customWidth="1"/>
    <col min="913" max="913" width="22" style="1612" customWidth="1"/>
    <col min="914" max="914" width="19.26953125" style="1612" customWidth="1"/>
    <col min="915" max="915" width="14.1796875" style="1612" customWidth="1"/>
    <col min="916" max="1062" width="9.1796875" style="1612"/>
    <col min="1063" max="1063" width="8.7265625" style="1612" customWidth="1"/>
    <col min="1064" max="1064" width="92.7265625" style="1612" customWidth="1"/>
    <col min="1065" max="1065" width="16.1796875" style="1612" customWidth="1"/>
    <col min="1066" max="1066" width="16.81640625" style="1612" customWidth="1"/>
    <col min="1067" max="1067" width="14.7265625" style="1612" customWidth="1"/>
    <col min="1068" max="1068" width="19.453125" style="1612" customWidth="1"/>
    <col min="1069" max="1069" width="15" style="1612" customWidth="1"/>
    <col min="1070" max="1070" width="12.7265625" style="1612" customWidth="1"/>
    <col min="1071" max="1072" width="12.1796875" style="1612" customWidth="1"/>
    <col min="1073" max="1073" width="15.81640625" style="1612" customWidth="1"/>
    <col min="1074" max="1074" width="22.1796875" style="1612" customWidth="1"/>
    <col min="1075" max="1075" width="11.453125" style="1612" customWidth="1"/>
    <col min="1076" max="1076" width="17.54296875" style="1612" customWidth="1"/>
    <col min="1077" max="1077" width="0.1796875" style="1612" customWidth="1"/>
    <col min="1078" max="1078" width="18.81640625" style="1612" customWidth="1"/>
    <col min="1079" max="1082" width="25.7265625" style="1612" customWidth="1"/>
    <col min="1083" max="1083" width="14.7265625" style="1612" customWidth="1"/>
    <col min="1084" max="1084" width="22" style="1612" customWidth="1"/>
    <col min="1085" max="1085" width="15.26953125" style="1612" customWidth="1"/>
    <col min="1086" max="1089" width="25.7265625" style="1612" customWidth="1"/>
    <col min="1090" max="1090" width="15.7265625" style="1612" customWidth="1"/>
    <col min="1091" max="1091" width="22.453125" style="1612" customWidth="1"/>
    <col min="1092" max="1092" width="14.7265625" style="1612" customWidth="1"/>
    <col min="1093" max="1096" width="25.7265625" style="1612" customWidth="1"/>
    <col min="1097" max="1097" width="15.7265625" style="1612" customWidth="1"/>
    <col min="1098" max="1098" width="21" style="1612" customWidth="1"/>
    <col min="1099" max="1099" width="16.7265625" style="1612" customWidth="1"/>
    <col min="1100" max="1103" width="25.7265625" style="1612" customWidth="1"/>
    <col min="1104" max="1104" width="15.7265625" style="1612" customWidth="1"/>
    <col min="1105" max="1105" width="29.1796875" style="1612" customWidth="1"/>
    <col min="1106" max="1106" width="13.7265625" style="1612" customWidth="1"/>
    <col min="1107" max="1110" width="25.7265625" style="1612" customWidth="1"/>
    <col min="1111" max="1111" width="15.7265625" style="1612" customWidth="1"/>
    <col min="1112" max="1112" width="29.1796875" style="1612" customWidth="1"/>
    <col min="1113" max="1113" width="11.81640625" style="1612" customWidth="1"/>
    <col min="1114" max="1117" width="25.7265625" style="1612" customWidth="1"/>
    <col min="1118" max="1118" width="15.7265625" style="1612" customWidth="1"/>
    <col min="1119" max="1119" width="29.7265625" style="1612" customWidth="1"/>
    <col min="1120" max="1120" width="25.54296875" style="1612" customWidth="1"/>
    <col min="1121" max="1124" width="25.7265625" style="1612" customWidth="1"/>
    <col min="1125" max="1125" width="7.26953125" style="1612" customWidth="1"/>
    <col min="1126" max="1126" width="22.7265625" style="1612" customWidth="1"/>
    <col min="1127" max="1127" width="18.81640625" style="1612" customWidth="1"/>
    <col min="1128" max="1131" width="25.7265625" style="1612" customWidth="1"/>
    <col min="1132" max="1132" width="12.26953125" style="1612" customWidth="1"/>
    <col min="1133" max="1133" width="25.7265625" style="1612" customWidth="1"/>
    <col min="1134" max="1134" width="18.81640625" style="1612" customWidth="1"/>
    <col min="1135" max="1138" width="25.7265625" style="1612" customWidth="1"/>
    <col min="1139" max="1139" width="14.54296875" style="1612" customWidth="1"/>
    <col min="1140" max="1140" width="25.7265625" style="1612" customWidth="1"/>
    <col min="1141" max="1141" width="18.81640625" style="1612" customWidth="1"/>
    <col min="1142" max="1145" width="25.7265625" style="1612" customWidth="1"/>
    <col min="1146" max="1146" width="15.7265625" style="1612" customWidth="1"/>
    <col min="1147" max="1147" width="25.7265625" style="1612" customWidth="1"/>
    <col min="1148" max="1148" width="18.81640625" style="1612" customWidth="1"/>
    <col min="1149" max="1152" width="25.7265625" style="1612" customWidth="1"/>
    <col min="1153" max="1153" width="15.7265625" style="1612" customWidth="1"/>
    <col min="1154" max="1154" width="29.453125" style="1612" customWidth="1"/>
    <col min="1155" max="1155" width="18.81640625" style="1612" customWidth="1"/>
    <col min="1156" max="1156" width="25.7265625" style="1612" customWidth="1"/>
    <col min="1157" max="1157" width="29.7265625" style="1612" customWidth="1"/>
    <col min="1158" max="1159" width="25.7265625" style="1612" customWidth="1"/>
    <col min="1160" max="1160" width="13.7265625" style="1612" customWidth="1"/>
    <col min="1161" max="1161" width="29.1796875" style="1612" customWidth="1"/>
    <col min="1162" max="1162" width="23.7265625" style="1612" customWidth="1"/>
    <col min="1163" max="1166" width="24.81640625" style="1612" customWidth="1"/>
    <col min="1167" max="1167" width="14.7265625" style="1612" customWidth="1"/>
    <col min="1168" max="1168" width="30" style="1612" customWidth="1"/>
    <col min="1169" max="1169" width="22" style="1612" customWidth="1"/>
    <col min="1170" max="1170" width="19.26953125" style="1612" customWidth="1"/>
    <col min="1171" max="1171" width="14.1796875" style="1612" customWidth="1"/>
    <col min="1172" max="1318" width="9.1796875" style="1612"/>
    <col min="1319" max="1319" width="8.7265625" style="1612" customWidth="1"/>
    <col min="1320" max="1320" width="92.7265625" style="1612" customWidth="1"/>
    <col min="1321" max="1321" width="16.1796875" style="1612" customWidth="1"/>
    <col min="1322" max="1322" width="16.81640625" style="1612" customWidth="1"/>
    <col min="1323" max="1323" width="14.7265625" style="1612" customWidth="1"/>
    <col min="1324" max="1324" width="19.453125" style="1612" customWidth="1"/>
    <col min="1325" max="1325" width="15" style="1612" customWidth="1"/>
    <col min="1326" max="1326" width="12.7265625" style="1612" customWidth="1"/>
    <col min="1327" max="1328" width="12.1796875" style="1612" customWidth="1"/>
    <col min="1329" max="1329" width="15.81640625" style="1612" customWidth="1"/>
    <col min="1330" max="1330" width="22.1796875" style="1612" customWidth="1"/>
    <col min="1331" max="1331" width="11.453125" style="1612" customWidth="1"/>
    <col min="1332" max="1332" width="17.54296875" style="1612" customWidth="1"/>
    <col min="1333" max="1333" width="0.1796875" style="1612" customWidth="1"/>
    <col min="1334" max="1334" width="18.81640625" style="1612" customWidth="1"/>
    <col min="1335" max="1338" width="25.7265625" style="1612" customWidth="1"/>
    <col min="1339" max="1339" width="14.7265625" style="1612" customWidth="1"/>
    <col min="1340" max="1340" width="22" style="1612" customWidth="1"/>
    <col min="1341" max="1341" width="15.26953125" style="1612" customWidth="1"/>
    <col min="1342" max="1345" width="25.7265625" style="1612" customWidth="1"/>
    <col min="1346" max="1346" width="15.7265625" style="1612" customWidth="1"/>
    <col min="1347" max="1347" width="22.453125" style="1612" customWidth="1"/>
    <col min="1348" max="1348" width="14.7265625" style="1612" customWidth="1"/>
    <col min="1349" max="1352" width="25.7265625" style="1612" customWidth="1"/>
    <col min="1353" max="1353" width="15.7265625" style="1612" customWidth="1"/>
    <col min="1354" max="1354" width="21" style="1612" customWidth="1"/>
    <col min="1355" max="1355" width="16.7265625" style="1612" customWidth="1"/>
    <col min="1356" max="1359" width="25.7265625" style="1612" customWidth="1"/>
    <col min="1360" max="1360" width="15.7265625" style="1612" customWidth="1"/>
    <col min="1361" max="1361" width="29.1796875" style="1612" customWidth="1"/>
    <col min="1362" max="1362" width="13.7265625" style="1612" customWidth="1"/>
    <col min="1363" max="1366" width="25.7265625" style="1612" customWidth="1"/>
    <col min="1367" max="1367" width="15.7265625" style="1612" customWidth="1"/>
    <col min="1368" max="1368" width="29.1796875" style="1612" customWidth="1"/>
    <col min="1369" max="1369" width="11.81640625" style="1612" customWidth="1"/>
    <col min="1370" max="1373" width="25.7265625" style="1612" customWidth="1"/>
    <col min="1374" max="1374" width="15.7265625" style="1612" customWidth="1"/>
    <col min="1375" max="1375" width="29.7265625" style="1612" customWidth="1"/>
    <col min="1376" max="1376" width="25.54296875" style="1612" customWidth="1"/>
    <col min="1377" max="1380" width="25.7265625" style="1612" customWidth="1"/>
    <col min="1381" max="1381" width="7.26953125" style="1612" customWidth="1"/>
    <col min="1382" max="1382" width="22.7265625" style="1612" customWidth="1"/>
    <col min="1383" max="1383" width="18.81640625" style="1612" customWidth="1"/>
    <col min="1384" max="1387" width="25.7265625" style="1612" customWidth="1"/>
    <col min="1388" max="1388" width="12.26953125" style="1612" customWidth="1"/>
    <col min="1389" max="1389" width="25.7265625" style="1612" customWidth="1"/>
    <col min="1390" max="1390" width="18.81640625" style="1612" customWidth="1"/>
    <col min="1391" max="1394" width="25.7265625" style="1612" customWidth="1"/>
    <col min="1395" max="1395" width="14.54296875" style="1612" customWidth="1"/>
    <col min="1396" max="1396" width="25.7265625" style="1612" customWidth="1"/>
    <col min="1397" max="1397" width="18.81640625" style="1612" customWidth="1"/>
    <col min="1398" max="1401" width="25.7265625" style="1612" customWidth="1"/>
    <col min="1402" max="1402" width="15.7265625" style="1612" customWidth="1"/>
    <col min="1403" max="1403" width="25.7265625" style="1612" customWidth="1"/>
    <col min="1404" max="1404" width="18.81640625" style="1612" customWidth="1"/>
    <col min="1405" max="1408" width="25.7265625" style="1612" customWidth="1"/>
    <col min="1409" max="1409" width="15.7265625" style="1612" customWidth="1"/>
    <col min="1410" max="1410" width="29.453125" style="1612" customWidth="1"/>
    <col min="1411" max="1411" width="18.81640625" style="1612" customWidth="1"/>
    <col min="1412" max="1412" width="25.7265625" style="1612" customWidth="1"/>
    <col min="1413" max="1413" width="29.7265625" style="1612" customWidth="1"/>
    <col min="1414" max="1415" width="25.7265625" style="1612" customWidth="1"/>
    <col min="1416" max="1416" width="13.7265625" style="1612" customWidth="1"/>
    <col min="1417" max="1417" width="29.1796875" style="1612" customWidth="1"/>
    <col min="1418" max="1418" width="23.7265625" style="1612" customWidth="1"/>
    <col min="1419" max="1422" width="24.81640625" style="1612" customWidth="1"/>
    <col min="1423" max="1423" width="14.7265625" style="1612" customWidth="1"/>
    <col min="1424" max="1424" width="30" style="1612" customWidth="1"/>
    <col min="1425" max="1425" width="22" style="1612" customWidth="1"/>
    <col min="1426" max="1426" width="19.26953125" style="1612" customWidth="1"/>
    <col min="1427" max="1427" width="14.1796875" style="1612" customWidth="1"/>
    <col min="1428" max="1574" width="9.1796875" style="1612"/>
    <col min="1575" max="1575" width="8.7265625" style="1612" customWidth="1"/>
    <col min="1576" max="1576" width="92.7265625" style="1612" customWidth="1"/>
    <col min="1577" max="1577" width="16.1796875" style="1612" customWidth="1"/>
    <col min="1578" max="1578" width="16.81640625" style="1612" customWidth="1"/>
    <col min="1579" max="1579" width="14.7265625" style="1612" customWidth="1"/>
    <col min="1580" max="1580" width="19.453125" style="1612" customWidth="1"/>
    <col min="1581" max="1581" width="15" style="1612" customWidth="1"/>
    <col min="1582" max="1582" width="12.7265625" style="1612" customWidth="1"/>
    <col min="1583" max="1584" width="12.1796875" style="1612" customWidth="1"/>
    <col min="1585" max="1585" width="15.81640625" style="1612" customWidth="1"/>
    <col min="1586" max="1586" width="22.1796875" style="1612" customWidth="1"/>
    <col min="1587" max="1587" width="11.453125" style="1612" customWidth="1"/>
    <col min="1588" max="1588" width="17.54296875" style="1612" customWidth="1"/>
    <col min="1589" max="1589" width="0.1796875" style="1612" customWidth="1"/>
    <col min="1590" max="1590" width="18.81640625" style="1612" customWidth="1"/>
    <col min="1591" max="1594" width="25.7265625" style="1612" customWidth="1"/>
    <col min="1595" max="1595" width="14.7265625" style="1612" customWidth="1"/>
    <col min="1596" max="1596" width="22" style="1612" customWidth="1"/>
    <col min="1597" max="1597" width="15.26953125" style="1612" customWidth="1"/>
    <col min="1598" max="1601" width="25.7265625" style="1612" customWidth="1"/>
    <col min="1602" max="1602" width="15.7265625" style="1612" customWidth="1"/>
    <col min="1603" max="1603" width="22.453125" style="1612" customWidth="1"/>
    <col min="1604" max="1604" width="14.7265625" style="1612" customWidth="1"/>
    <col min="1605" max="1608" width="25.7265625" style="1612" customWidth="1"/>
    <col min="1609" max="1609" width="15.7265625" style="1612" customWidth="1"/>
    <col min="1610" max="1610" width="21" style="1612" customWidth="1"/>
    <col min="1611" max="1611" width="16.7265625" style="1612" customWidth="1"/>
    <col min="1612" max="1615" width="25.7265625" style="1612" customWidth="1"/>
    <col min="1616" max="1616" width="15.7265625" style="1612" customWidth="1"/>
    <col min="1617" max="1617" width="29.1796875" style="1612" customWidth="1"/>
    <col min="1618" max="1618" width="13.7265625" style="1612" customWidth="1"/>
    <col min="1619" max="1622" width="25.7265625" style="1612" customWidth="1"/>
    <col min="1623" max="1623" width="15.7265625" style="1612" customWidth="1"/>
    <col min="1624" max="1624" width="29.1796875" style="1612" customWidth="1"/>
    <col min="1625" max="1625" width="11.81640625" style="1612" customWidth="1"/>
    <col min="1626" max="1629" width="25.7265625" style="1612" customWidth="1"/>
    <col min="1630" max="1630" width="15.7265625" style="1612" customWidth="1"/>
    <col min="1631" max="1631" width="29.7265625" style="1612" customWidth="1"/>
    <col min="1632" max="1632" width="25.54296875" style="1612" customWidth="1"/>
    <col min="1633" max="1636" width="25.7265625" style="1612" customWidth="1"/>
    <col min="1637" max="1637" width="7.26953125" style="1612" customWidth="1"/>
    <col min="1638" max="1638" width="22.7265625" style="1612" customWidth="1"/>
    <col min="1639" max="1639" width="18.81640625" style="1612" customWidth="1"/>
    <col min="1640" max="1643" width="25.7265625" style="1612" customWidth="1"/>
    <col min="1644" max="1644" width="12.26953125" style="1612" customWidth="1"/>
    <col min="1645" max="1645" width="25.7265625" style="1612" customWidth="1"/>
    <col min="1646" max="1646" width="18.81640625" style="1612" customWidth="1"/>
    <col min="1647" max="1650" width="25.7265625" style="1612" customWidth="1"/>
    <col min="1651" max="1651" width="14.54296875" style="1612" customWidth="1"/>
    <col min="1652" max="1652" width="25.7265625" style="1612" customWidth="1"/>
    <col min="1653" max="1653" width="18.81640625" style="1612" customWidth="1"/>
    <col min="1654" max="1657" width="25.7265625" style="1612" customWidth="1"/>
    <col min="1658" max="1658" width="15.7265625" style="1612" customWidth="1"/>
    <col min="1659" max="1659" width="25.7265625" style="1612" customWidth="1"/>
    <col min="1660" max="1660" width="18.81640625" style="1612" customWidth="1"/>
    <col min="1661" max="1664" width="25.7265625" style="1612" customWidth="1"/>
    <col min="1665" max="1665" width="15.7265625" style="1612" customWidth="1"/>
    <col min="1666" max="1666" width="29.453125" style="1612" customWidth="1"/>
    <col min="1667" max="1667" width="18.81640625" style="1612" customWidth="1"/>
    <col min="1668" max="1668" width="25.7265625" style="1612" customWidth="1"/>
    <col min="1669" max="1669" width="29.7265625" style="1612" customWidth="1"/>
    <col min="1670" max="1671" width="25.7265625" style="1612" customWidth="1"/>
    <col min="1672" max="1672" width="13.7265625" style="1612" customWidth="1"/>
    <col min="1673" max="1673" width="29.1796875" style="1612" customWidth="1"/>
    <col min="1674" max="1674" width="23.7265625" style="1612" customWidth="1"/>
    <col min="1675" max="1678" width="24.81640625" style="1612" customWidth="1"/>
    <col min="1679" max="1679" width="14.7265625" style="1612" customWidth="1"/>
    <col min="1680" max="1680" width="30" style="1612" customWidth="1"/>
    <col min="1681" max="1681" width="22" style="1612" customWidth="1"/>
    <col min="1682" max="1682" width="19.26953125" style="1612" customWidth="1"/>
    <col min="1683" max="1683" width="14.1796875" style="1612" customWidth="1"/>
    <col min="1684" max="1830" width="9.1796875" style="1612"/>
    <col min="1831" max="1831" width="8.7265625" style="1612" customWidth="1"/>
    <col min="1832" max="1832" width="92.7265625" style="1612" customWidth="1"/>
    <col min="1833" max="1833" width="16.1796875" style="1612" customWidth="1"/>
    <col min="1834" max="1834" width="16.81640625" style="1612" customWidth="1"/>
    <col min="1835" max="1835" width="14.7265625" style="1612" customWidth="1"/>
    <col min="1836" max="1836" width="19.453125" style="1612" customWidth="1"/>
    <col min="1837" max="1837" width="15" style="1612" customWidth="1"/>
    <col min="1838" max="1838" width="12.7265625" style="1612" customWidth="1"/>
    <col min="1839" max="1840" width="12.1796875" style="1612" customWidth="1"/>
    <col min="1841" max="1841" width="15.81640625" style="1612" customWidth="1"/>
    <col min="1842" max="1842" width="22.1796875" style="1612" customWidth="1"/>
    <col min="1843" max="1843" width="11.453125" style="1612" customWidth="1"/>
    <col min="1844" max="1844" width="17.54296875" style="1612" customWidth="1"/>
    <col min="1845" max="1845" width="0.1796875" style="1612" customWidth="1"/>
    <col min="1846" max="1846" width="18.81640625" style="1612" customWidth="1"/>
    <col min="1847" max="1850" width="25.7265625" style="1612" customWidth="1"/>
    <col min="1851" max="1851" width="14.7265625" style="1612" customWidth="1"/>
    <col min="1852" max="1852" width="22" style="1612" customWidth="1"/>
    <col min="1853" max="1853" width="15.26953125" style="1612" customWidth="1"/>
    <col min="1854" max="1857" width="25.7265625" style="1612" customWidth="1"/>
    <col min="1858" max="1858" width="15.7265625" style="1612" customWidth="1"/>
    <col min="1859" max="1859" width="22.453125" style="1612" customWidth="1"/>
    <col min="1860" max="1860" width="14.7265625" style="1612" customWidth="1"/>
    <col min="1861" max="1864" width="25.7265625" style="1612" customWidth="1"/>
    <col min="1865" max="1865" width="15.7265625" style="1612" customWidth="1"/>
    <col min="1866" max="1866" width="21" style="1612" customWidth="1"/>
    <col min="1867" max="1867" width="16.7265625" style="1612" customWidth="1"/>
    <col min="1868" max="1871" width="25.7265625" style="1612" customWidth="1"/>
    <col min="1872" max="1872" width="15.7265625" style="1612" customWidth="1"/>
    <col min="1873" max="1873" width="29.1796875" style="1612" customWidth="1"/>
    <col min="1874" max="1874" width="13.7265625" style="1612" customWidth="1"/>
    <col min="1875" max="1878" width="25.7265625" style="1612" customWidth="1"/>
    <col min="1879" max="1879" width="15.7265625" style="1612" customWidth="1"/>
    <col min="1880" max="1880" width="29.1796875" style="1612" customWidth="1"/>
    <col min="1881" max="1881" width="11.81640625" style="1612" customWidth="1"/>
    <col min="1882" max="1885" width="25.7265625" style="1612" customWidth="1"/>
    <col min="1886" max="1886" width="15.7265625" style="1612" customWidth="1"/>
    <col min="1887" max="1887" width="29.7265625" style="1612" customWidth="1"/>
    <col min="1888" max="1888" width="25.54296875" style="1612" customWidth="1"/>
    <col min="1889" max="1892" width="25.7265625" style="1612" customWidth="1"/>
    <col min="1893" max="1893" width="7.26953125" style="1612" customWidth="1"/>
    <col min="1894" max="1894" width="22.7265625" style="1612" customWidth="1"/>
    <col min="1895" max="1895" width="18.81640625" style="1612" customWidth="1"/>
    <col min="1896" max="1899" width="25.7265625" style="1612" customWidth="1"/>
    <col min="1900" max="1900" width="12.26953125" style="1612" customWidth="1"/>
    <col min="1901" max="1901" width="25.7265625" style="1612" customWidth="1"/>
    <col min="1902" max="1902" width="18.81640625" style="1612" customWidth="1"/>
    <col min="1903" max="1906" width="25.7265625" style="1612" customWidth="1"/>
    <col min="1907" max="1907" width="14.54296875" style="1612" customWidth="1"/>
    <col min="1908" max="1908" width="25.7265625" style="1612" customWidth="1"/>
    <col min="1909" max="1909" width="18.81640625" style="1612" customWidth="1"/>
    <col min="1910" max="1913" width="25.7265625" style="1612" customWidth="1"/>
    <col min="1914" max="1914" width="15.7265625" style="1612" customWidth="1"/>
    <col min="1915" max="1915" width="25.7265625" style="1612" customWidth="1"/>
    <col min="1916" max="1916" width="18.81640625" style="1612" customWidth="1"/>
    <col min="1917" max="1920" width="25.7265625" style="1612" customWidth="1"/>
    <col min="1921" max="1921" width="15.7265625" style="1612" customWidth="1"/>
    <col min="1922" max="1922" width="29.453125" style="1612" customWidth="1"/>
    <col min="1923" max="1923" width="18.81640625" style="1612" customWidth="1"/>
    <col min="1924" max="1924" width="25.7265625" style="1612" customWidth="1"/>
    <col min="1925" max="1925" width="29.7265625" style="1612" customWidth="1"/>
    <col min="1926" max="1927" width="25.7265625" style="1612" customWidth="1"/>
    <col min="1928" max="1928" width="13.7265625" style="1612" customWidth="1"/>
    <col min="1929" max="1929" width="29.1796875" style="1612" customWidth="1"/>
    <col min="1930" max="1930" width="23.7265625" style="1612" customWidth="1"/>
    <col min="1931" max="1934" width="24.81640625" style="1612" customWidth="1"/>
    <col min="1935" max="1935" width="14.7265625" style="1612" customWidth="1"/>
    <col min="1936" max="1936" width="30" style="1612" customWidth="1"/>
    <col min="1937" max="1937" width="22" style="1612" customWidth="1"/>
    <col min="1938" max="1938" width="19.26953125" style="1612" customWidth="1"/>
    <col min="1939" max="1939" width="14.1796875" style="1612" customWidth="1"/>
    <col min="1940" max="2086" width="9.1796875" style="1612"/>
    <col min="2087" max="2087" width="8.7265625" style="1612" customWidth="1"/>
    <col min="2088" max="2088" width="92.7265625" style="1612" customWidth="1"/>
    <col min="2089" max="2089" width="16.1796875" style="1612" customWidth="1"/>
    <col min="2090" max="2090" width="16.81640625" style="1612" customWidth="1"/>
    <col min="2091" max="2091" width="14.7265625" style="1612" customWidth="1"/>
    <col min="2092" max="2092" width="19.453125" style="1612" customWidth="1"/>
    <col min="2093" max="2093" width="15" style="1612" customWidth="1"/>
    <col min="2094" max="2094" width="12.7265625" style="1612" customWidth="1"/>
    <col min="2095" max="2096" width="12.1796875" style="1612" customWidth="1"/>
    <col min="2097" max="2097" width="15.81640625" style="1612" customWidth="1"/>
    <col min="2098" max="2098" width="22.1796875" style="1612" customWidth="1"/>
    <col min="2099" max="2099" width="11.453125" style="1612" customWidth="1"/>
    <col min="2100" max="2100" width="17.54296875" style="1612" customWidth="1"/>
    <col min="2101" max="2101" width="0.1796875" style="1612" customWidth="1"/>
    <col min="2102" max="2102" width="18.81640625" style="1612" customWidth="1"/>
    <col min="2103" max="2106" width="25.7265625" style="1612" customWidth="1"/>
    <col min="2107" max="2107" width="14.7265625" style="1612" customWidth="1"/>
    <col min="2108" max="2108" width="22" style="1612" customWidth="1"/>
    <col min="2109" max="2109" width="15.26953125" style="1612" customWidth="1"/>
    <col min="2110" max="2113" width="25.7265625" style="1612" customWidth="1"/>
    <col min="2114" max="2114" width="15.7265625" style="1612" customWidth="1"/>
    <col min="2115" max="2115" width="22.453125" style="1612" customWidth="1"/>
    <col min="2116" max="2116" width="14.7265625" style="1612" customWidth="1"/>
    <col min="2117" max="2120" width="25.7265625" style="1612" customWidth="1"/>
    <col min="2121" max="2121" width="15.7265625" style="1612" customWidth="1"/>
    <col min="2122" max="2122" width="21" style="1612" customWidth="1"/>
    <col min="2123" max="2123" width="16.7265625" style="1612" customWidth="1"/>
    <col min="2124" max="2127" width="25.7265625" style="1612" customWidth="1"/>
    <col min="2128" max="2128" width="15.7265625" style="1612" customWidth="1"/>
    <col min="2129" max="2129" width="29.1796875" style="1612" customWidth="1"/>
    <col min="2130" max="2130" width="13.7265625" style="1612" customWidth="1"/>
    <col min="2131" max="2134" width="25.7265625" style="1612" customWidth="1"/>
    <col min="2135" max="2135" width="15.7265625" style="1612" customWidth="1"/>
    <col min="2136" max="2136" width="29.1796875" style="1612" customWidth="1"/>
    <col min="2137" max="2137" width="11.81640625" style="1612" customWidth="1"/>
    <col min="2138" max="2141" width="25.7265625" style="1612" customWidth="1"/>
    <col min="2142" max="2142" width="15.7265625" style="1612" customWidth="1"/>
    <col min="2143" max="2143" width="29.7265625" style="1612" customWidth="1"/>
    <col min="2144" max="2144" width="25.54296875" style="1612" customWidth="1"/>
    <col min="2145" max="2148" width="25.7265625" style="1612" customWidth="1"/>
    <col min="2149" max="2149" width="7.26953125" style="1612" customWidth="1"/>
    <col min="2150" max="2150" width="22.7265625" style="1612" customWidth="1"/>
    <col min="2151" max="2151" width="18.81640625" style="1612" customWidth="1"/>
    <col min="2152" max="2155" width="25.7265625" style="1612" customWidth="1"/>
    <col min="2156" max="2156" width="12.26953125" style="1612" customWidth="1"/>
    <col min="2157" max="2157" width="25.7265625" style="1612" customWidth="1"/>
    <col min="2158" max="2158" width="18.81640625" style="1612" customWidth="1"/>
    <col min="2159" max="2162" width="25.7265625" style="1612" customWidth="1"/>
    <col min="2163" max="2163" width="14.54296875" style="1612" customWidth="1"/>
    <col min="2164" max="2164" width="25.7265625" style="1612" customWidth="1"/>
    <col min="2165" max="2165" width="18.81640625" style="1612" customWidth="1"/>
    <col min="2166" max="2169" width="25.7265625" style="1612" customWidth="1"/>
    <col min="2170" max="2170" width="15.7265625" style="1612" customWidth="1"/>
    <col min="2171" max="2171" width="25.7265625" style="1612" customWidth="1"/>
    <col min="2172" max="2172" width="18.81640625" style="1612" customWidth="1"/>
    <col min="2173" max="2176" width="25.7265625" style="1612" customWidth="1"/>
    <col min="2177" max="2177" width="15.7265625" style="1612" customWidth="1"/>
    <col min="2178" max="2178" width="29.453125" style="1612" customWidth="1"/>
    <col min="2179" max="2179" width="18.81640625" style="1612" customWidth="1"/>
    <col min="2180" max="2180" width="25.7265625" style="1612" customWidth="1"/>
    <col min="2181" max="2181" width="29.7265625" style="1612" customWidth="1"/>
    <col min="2182" max="2183" width="25.7265625" style="1612" customWidth="1"/>
    <col min="2184" max="2184" width="13.7265625" style="1612" customWidth="1"/>
    <col min="2185" max="2185" width="29.1796875" style="1612" customWidth="1"/>
    <col min="2186" max="2186" width="23.7265625" style="1612" customWidth="1"/>
    <col min="2187" max="2190" width="24.81640625" style="1612" customWidth="1"/>
    <col min="2191" max="2191" width="14.7265625" style="1612" customWidth="1"/>
    <col min="2192" max="2192" width="30" style="1612" customWidth="1"/>
    <col min="2193" max="2193" width="22" style="1612" customWidth="1"/>
    <col min="2194" max="2194" width="19.26953125" style="1612" customWidth="1"/>
    <col min="2195" max="2195" width="14.1796875" style="1612" customWidth="1"/>
    <col min="2196" max="2342" width="9.1796875" style="1612"/>
    <col min="2343" max="2343" width="8.7265625" style="1612" customWidth="1"/>
    <col min="2344" max="2344" width="92.7265625" style="1612" customWidth="1"/>
    <col min="2345" max="2345" width="16.1796875" style="1612" customWidth="1"/>
    <col min="2346" max="2346" width="16.81640625" style="1612" customWidth="1"/>
    <col min="2347" max="2347" width="14.7265625" style="1612" customWidth="1"/>
    <col min="2348" max="2348" width="19.453125" style="1612" customWidth="1"/>
    <col min="2349" max="2349" width="15" style="1612" customWidth="1"/>
    <col min="2350" max="2350" width="12.7265625" style="1612" customWidth="1"/>
    <col min="2351" max="2352" width="12.1796875" style="1612" customWidth="1"/>
    <col min="2353" max="2353" width="15.81640625" style="1612" customWidth="1"/>
    <col min="2354" max="2354" width="22.1796875" style="1612" customWidth="1"/>
    <col min="2355" max="2355" width="11.453125" style="1612" customWidth="1"/>
    <col min="2356" max="2356" width="17.54296875" style="1612" customWidth="1"/>
    <col min="2357" max="2357" width="0.1796875" style="1612" customWidth="1"/>
    <col min="2358" max="2358" width="18.81640625" style="1612" customWidth="1"/>
    <col min="2359" max="2362" width="25.7265625" style="1612" customWidth="1"/>
    <col min="2363" max="2363" width="14.7265625" style="1612" customWidth="1"/>
    <col min="2364" max="2364" width="22" style="1612" customWidth="1"/>
    <col min="2365" max="2365" width="15.26953125" style="1612" customWidth="1"/>
    <col min="2366" max="2369" width="25.7265625" style="1612" customWidth="1"/>
    <col min="2370" max="2370" width="15.7265625" style="1612" customWidth="1"/>
    <col min="2371" max="2371" width="22.453125" style="1612" customWidth="1"/>
    <col min="2372" max="2372" width="14.7265625" style="1612" customWidth="1"/>
    <col min="2373" max="2376" width="25.7265625" style="1612" customWidth="1"/>
    <col min="2377" max="2377" width="15.7265625" style="1612" customWidth="1"/>
    <col min="2378" max="2378" width="21" style="1612" customWidth="1"/>
    <col min="2379" max="2379" width="16.7265625" style="1612" customWidth="1"/>
    <col min="2380" max="2383" width="25.7265625" style="1612" customWidth="1"/>
    <col min="2384" max="2384" width="15.7265625" style="1612" customWidth="1"/>
    <col min="2385" max="2385" width="29.1796875" style="1612" customWidth="1"/>
    <col min="2386" max="2386" width="13.7265625" style="1612" customWidth="1"/>
    <col min="2387" max="2390" width="25.7265625" style="1612" customWidth="1"/>
    <col min="2391" max="2391" width="15.7265625" style="1612" customWidth="1"/>
    <col min="2392" max="2392" width="29.1796875" style="1612" customWidth="1"/>
    <col min="2393" max="2393" width="11.81640625" style="1612" customWidth="1"/>
    <col min="2394" max="2397" width="25.7265625" style="1612" customWidth="1"/>
    <col min="2398" max="2398" width="15.7265625" style="1612" customWidth="1"/>
    <col min="2399" max="2399" width="29.7265625" style="1612" customWidth="1"/>
    <col min="2400" max="2400" width="25.54296875" style="1612" customWidth="1"/>
    <col min="2401" max="2404" width="25.7265625" style="1612" customWidth="1"/>
    <col min="2405" max="2405" width="7.26953125" style="1612" customWidth="1"/>
    <col min="2406" max="2406" width="22.7265625" style="1612" customWidth="1"/>
    <col min="2407" max="2407" width="18.81640625" style="1612" customWidth="1"/>
    <col min="2408" max="2411" width="25.7265625" style="1612" customWidth="1"/>
    <col min="2412" max="2412" width="12.26953125" style="1612" customWidth="1"/>
    <col min="2413" max="2413" width="25.7265625" style="1612" customWidth="1"/>
    <col min="2414" max="2414" width="18.81640625" style="1612" customWidth="1"/>
    <col min="2415" max="2418" width="25.7265625" style="1612" customWidth="1"/>
    <col min="2419" max="2419" width="14.54296875" style="1612" customWidth="1"/>
    <col min="2420" max="2420" width="25.7265625" style="1612" customWidth="1"/>
    <col min="2421" max="2421" width="18.81640625" style="1612" customWidth="1"/>
    <col min="2422" max="2425" width="25.7265625" style="1612" customWidth="1"/>
    <col min="2426" max="2426" width="15.7265625" style="1612" customWidth="1"/>
    <col min="2427" max="2427" width="25.7265625" style="1612" customWidth="1"/>
    <col min="2428" max="2428" width="18.81640625" style="1612" customWidth="1"/>
    <col min="2429" max="2432" width="25.7265625" style="1612" customWidth="1"/>
    <col min="2433" max="2433" width="15.7265625" style="1612" customWidth="1"/>
    <col min="2434" max="2434" width="29.453125" style="1612" customWidth="1"/>
    <col min="2435" max="2435" width="18.81640625" style="1612" customWidth="1"/>
    <col min="2436" max="2436" width="25.7265625" style="1612" customWidth="1"/>
    <col min="2437" max="2437" width="29.7265625" style="1612" customWidth="1"/>
    <col min="2438" max="2439" width="25.7265625" style="1612" customWidth="1"/>
    <col min="2440" max="2440" width="13.7265625" style="1612" customWidth="1"/>
    <col min="2441" max="2441" width="29.1796875" style="1612" customWidth="1"/>
    <col min="2442" max="2442" width="23.7265625" style="1612" customWidth="1"/>
    <col min="2443" max="2446" width="24.81640625" style="1612" customWidth="1"/>
    <col min="2447" max="2447" width="14.7265625" style="1612" customWidth="1"/>
    <col min="2448" max="2448" width="30" style="1612" customWidth="1"/>
    <col min="2449" max="2449" width="22" style="1612" customWidth="1"/>
    <col min="2450" max="2450" width="19.26953125" style="1612" customWidth="1"/>
    <col min="2451" max="2451" width="14.1796875" style="1612" customWidth="1"/>
    <col min="2452" max="2598" width="9.1796875" style="1612"/>
    <col min="2599" max="2599" width="8.7265625" style="1612" customWidth="1"/>
    <col min="2600" max="2600" width="92.7265625" style="1612" customWidth="1"/>
    <col min="2601" max="2601" width="16.1796875" style="1612" customWidth="1"/>
    <col min="2602" max="2602" width="16.81640625" style="1612" customWidth="1"/>
    <col min="2603" max="2603" width="14.7265625" style="1612" customWidth="1"/>
    <col min="2604" max="2604" width="19.453125" style="1612" customWidth="1"/>
    <col min="2605" max="2605" width="15" style="1612" customWidth="1"/>
    <col min="2606" max="2606" width="12.7265625" style="1612" customWidth="1"/>
    <col min="2607" max="2608" width="12.1796875" style="1612" customWidth="1"/>
    <col min="2609" max="2609" width="15.81640625" style="1612" customWidth="1"/>
    <col min="2610" max="2610" width="22.1796875" style="1612" customWidth="1"/>
    <col min="2611" max="2611" width="11.453125" style="1612" customWidth="1"/>
    <col min="2612" max="2612" width="17.54296875" style="1612" customWidth="1"/>
    <col min="2613" max="2613" width="0.1796875" style="1612" customWidth="1"/>
    <col min="2614" max="2614" width="18.81640625" style="1612" customWidth="1"/>
    <col min="2615" max="2618" width="25.7265625" style="1612" customWidth="1"/>
    <col min="2619" max="2619" width="14.7265625" style="1612" customWidth="1"/>
    <col min="2620" max="2620" width="22" style="1612" customWidth="1"/>
    <col min="2621" max="2621" width="15.26953125" style="1612" customWidth="1"/>
    <col min="2622" max="2625" width="25.7265625" style="1612" customWidth="1"/>
    <col min="2626" max="2626" width="15.7265625" style="1612" customWidth="1"/>
    <col min="2627" max="2627" width="22.453125" style="1612" customWidth="1"/>
    <col min="2628" max="2628" width="14.7265625" style="1612" customWidth="1"/>
    <col min="2629" max="2632" width="25.7265625" style="1612" customWidth="1"/>
    <col min="2633" max="2633" width="15.7265625" style="1612" customWidth="1"/>
    <col min="2634" max="2634" width="21" style="1612" customWidth="1"/>
    <col min="2635" max="2635" width="16.7265625" style="1612" customWidth="1"/>
    <col min="2636" max="2639" width="25.7265625" style="1612" customWidth="1"/>
    <col min="2640" max="2640" width="15.7265625" style="1612" customWidth="1"/>
    <col min="2641" max="2641" width="29.1796875" style="1612" customWidth="1"/>
    <col min="2642" max="2642" width="13.7265625" style="1612" customWidth="1"/>
    <col min="2643" max="2646" width="25.7265625" style="1612" customWidth="1"/>
    <col min="2647" max="2647" width="15.7265625" style="1612" customWidth="1"/>
    <col min="2648" max="2648" width="29.1796875" style="1612" customWidth="1"/>
    <col min="2649" max="2649" width="11.81640625" style="1612" customWidth="1"/>
    <col min="2650" max="2653" width="25.7265625" style="1612" customWidth="1"/>
    <col min="2654" max="2654" width="15.7265625" style="1612" customWidth="1"/>
    <col min="2655" max="2655" width="29.7265625" style="1612" customWidth="1"/>
    <col min="2656" max="2656" width="25.54296875" style="1612" customWidth="1"/>
    <col min="2657" max="2660" width="25.7265625" style="1612" customWidth="1"/>
    <col min="2661" max="2661" width="7.26953125" style="1612" customWidth="1"/>
    <col min="2662" max="2662" width="22.7265625" style="1612" customWidth="1"/>
    <col min="2663" max="2663" width="18.81640625" style="1612" customWidth="1"/>
    <col min="2664" max="2667" width="25.7265625" style="1612" customWidth="1"/>
    <col min="2668" max="2668" width="12.26953125" style="1612" customWidth="1"/>
    <col min="2669" max="2669" width="25.7265625" style="1612" customWidth="1"/>
    <col min="2670" max="2670" width="18.81640625" style="1612" customWidth="1"/>
    <col min="2671" max="2674" width="25.7265625" style="1612" customWidth="1"/>
    <col min="2675" max="2675" width="14.54296875" style="1612" customWidth="1"/>
    <col min="2676" max="2676" width="25.7265625" style="1612" customWidth="1"/>
    <col min="2677" max="2677" width="18.81640625" style="1612" customWidth="1"/>
    <col min="2678" max="2681" width="25.7265625" style="1612" customWidth="1"/>
    <col min="2682" max="2682" width="15.7265625" style="1612" customWidth="1"/>
    <col min="2683" max="2683" width="25.7265625" style="1612" customWidth="1"/>
    <col min="2684" max="2684" width="18.81640625" style="1612" customWidth="1"/>
    <col min="2685" max="2688" width="25.7265625" style="1612" customWidth="1"/>
    <col min="2689" max="2689" width="15.7265625" style="1612" customWidth="1"/>
    <col min="2690" max="2690" width="29.453125" style="1612" customWidth="1"/>
    <col min="2691" max="2691" width="18.81640625" style="1612" customWidth="1"/>
    <col min="2692" max="2692" width="25.7265625" style="1612" customWidth="1"/>
    <col min="2693" max="2693" width="29.7265625" style="1612" customWidth="1"/>
    <col min="2694" max="2695" width="25.7265625" style="1612" customWidth="1"/>
    <col min="2696" max="2696" width="13.7265625" style="1612" customWidth="1"/>
    <col min="2697" max="2697" width="29.1796875" style="1612" customWidth="1"/>
    <col min="2698" max="2698" width="23.7265625" style="1612" customWidth="1"/>
    <col min="2699" max="2702" width="24.81640625" style="1612" customWidth="1"/>
    <col min="2703" max="2703" width="14.7265625" style="1612" customWidth="1"/>
    <col min="2704" max="2704" width="30" style="1612" customWidth="1"/>
    <col min="2705" max="2705" width="22" style="1612" customWidth="1"/>
    <col min="2706" max="2706" width="19.26953125" style="1612" customWidth="1"/>
    <col min="2707" max="2707" width="14.1796875" style="1612" customWidth="1"/>
    <col min="2708" max="2854" width="9.1796875" style="1612"/>
    <col min="2855" max="2855" width="8.7265625" style="1612" customWidth="1"/>
    <col min="2856" max="2856" width="92.7265625" style="1612" customWidth="1"/>
    <col min="2857" max="2857" width="16.1796875" style="1612" customWidth="1"/>
    <col min="2858" max="2858" width="16.81640625" style="1612" customWidth="1"/>
    <col min="2859" max="2859" width="14.7265625" style="1612" customWidth="1"/>
    <col min="2860" max="2860" width="19.453125" style="1612" customWidth="1"/>
    <col min="2861" max="2861" width="15" style="1612" customWidth="1"/>
    <col min="2862" max="2862" width="12.7265625" style="1612" customWidth="1"/>
    <col min="2863" max="2864" width="12.1796875" style="1612" customWidth="1"/>
    <col min="2865" max="2865" width="15.81640625" style="1612" customWidth="1"/>
    <col min="2866" max="2866" width="22.1796875" style="1612" customWidth="1"/>
    <col min="2867" max="2867" width="11.453125" style="1612" customWidth="1"/>
    <col min="2868" max="2868" width="17.54296875" style="1612" customWidth="1"/>
    <col min="2869" max="2869" width="0.1796875" style="1612" customWidth="1"/>
    <col min="2870" max="2870" width="18.81640625" style="1612" customWidth="1"/>
    <col min="2871" max="2874" width="25.7265625" style="1612" customWidth="1"/>
    <col min="2875" max="2875" width="14.7265625" style="1612" customWidth="1"/>
    <col min="2876" max="2876" width="22" style="1612" customWidth="1"/>
    <col min="2877" max="2877" width="15.26953125" style="1612" customWidth="1"/>
    <col min="2878" max="2881" width="25.7265625" style="1612" customWidth="1"/>
    <col min="2882" max="2882" width="15.7265625" style="1612" customWidth="1"/>
    <col min="2883" max="2883" width="22.453125" style="1612" customWidth="1"/>
    <col min="2884" max="2884" width="14.7265625" style="1612" customWidth="1"/>
    <col min="2885" max="2888" width="25.7265625" style="1612" customWidth="1"/>
    <col min="2889" max="2889" width="15.7265625" style="1612" customWidth="1"/>
    <col min="2890" max="2890" width="21" style="1612" customWidth="1"/>
    <col min="2891" max="2891" width="16.7265625" style="1612" customWidth="1"/>
    <col min="2892" max="2895" width="25.7265625" style="1612" customWidth="1"/>
    <col min="2896" max="2896" width="15.7265625" style="1612" customWidth="1"/>
    <col min="2897" max="2897" width="29.1796875" style="1612" customWidth="1"/>
    <col min="2898" max="2898" width="13.7265625" style="1612" customWidth="1"/>
    <col min="2899" max="2902" width="25.7265625" style="1612" customWidth="1"/>
    <col min="2903" max="2903" width="15.7265625" style="1612" customWidth="1"/>
    <col min="2904" max="2904" width="29.1796875" style="1612" customWidth="1"/>
    <col min="2905" max="2905" width="11.81640625" style="1612" customWidth="1"/>
    <col min="2906" max="2909" width="25.7265625" style="1612" customWidth="1"/>
    <col min="2910" max="2910" width="15.7265625" style="1612" customWidth="1"/>
    <col min="2911" max="2911" width="29.7265625" style="1612" customWidth="1"/>
    <col min="2912" max="2912" width="25.54296875" style="1612" customWidth="1"/>
    <col min="2913" max="2916" width="25.7265625" style="1612" customWidth="1"/>
    <col min="2917" max="2917" width="7.26953125" style="1612" customWidth="1"/>
    <col min="2918" max="2918" width="22.7265625" style="1612" customWidth="1"/>
    <col min="2919" max="2919" width="18.81640625" style="1612" customWidth="1"/>
    <col min="2920" max="2923" width="25.7265625" style="1612" customWidth="1"/>
    <col min="2924" max="2924" width="12.26953125" style="1612" customWidth="1"/>
    <col min="2925" max="2925" width="25.7265625" style="1612" customWidth="1"/>
    <col min="2926" max="2926" width="18.81640625" style="1612" customWidth="1"/>
    <col min="2927" max="2930" width="25.7265625" style="1612" customWidth="1"/>
    <col min="2931" max="2931" width="14.54296875" style="1612" customWidth="1"/>
    <col min="2932" max="2932" width="25.7265625" style="1612" customWidth="1"/>
    <col min="2933" max="2933" width="18.81640625" style="1612" customWidth="1"/>
    <col min="2934" max="2937" width="25.7265625" style="1612" customWidth="1"/>
    <col min="2938" max="2938" width="15.7265625" style="1612" customWidth="1"/>
    <col min="2939" max="2939" width="25.7265625" style="1612" customWidth="1"/>
    <col min="2940" max="2940" width="18.81640625" style="1612" customWidth="1"/>
    <col min="2941" max="2944" width="25.7265625" style="1612" customWidth="1"/>
    <col min="2945" max="2945" width="15.7265625" style="1612" customWidth="1"/>
    <col min="2946" max="2946" width="29.453125" style="1612" customWidth="1"/>
    <col min="2947" max="2947" width="18.81640625" style="1612" customWidth="1"/>
    <col min="2948" max="2948" width="25.7265625" style="1612" customWidth="1"/>
    <col min="2949" max="2949" width="29.7265625" style="1612" customWidth="1"/>
    <col min="2950" max="2951" width="25.7265625" style="1612" customWidth="1"/>
    <col min="2952" max="2952" width="13.7265625" style="1612" customWidth="1"/>
    <col min="2953" max="2953" width="29.1796875" style="1612" customWidth="1"/>
    <col min="2954" max="2954" width="23.7265625" style="1612" customWidth="1"/>
    <col min="2955" max="2958" width="24.81640625" style="1612" customWidth="1"/>
    <col min="2959" max="2959" width="14.7265625" style="1612" customWidth="1"/>
    <col min="2960" max="2960" width="30" style="1612" customWidth="1"/>
    <col min="2961" max="2961" width="22" style="1612" customWidth="1"/>
    <col min="2962" max="2962" width="19.26953125" style="1612" customWidth="1"/>
    <col min="2963" max="2963" width="14.1796875" style="1612" customWidth="1"/>
    <col min="2964" max="3110" width="9.1796875" style="1612"/>
    <col min="3111" max="3111" width="8.7265625" style="1612" customWidth="1"/>
    <col min="3112" max="3112" width="92.7265625" style="1612" customWidth="1"/>
    <col min="3113" max="3113" width="16.1796875" style="1612" customWidth="1"/>
    <col min="3114" max="3114" width="16.81640625" style="1612" customWidth="1"/>
    <col min="3115" max="3115" width="14.7265625" style="1612" customWidth="1"/>
    <col min="3116" max="3116" width="19.453125" style="1612" customWidth="1"/>
    <col min="3117" max="3117" width="15" style="1612" customWidth="1"/>
    <col min="3118" max="3118" width="12.7265625" style="1612" customWidth="1"/>
    <col min="3119" max="3120" width="12.1796875" style="1612" customWidth="1"/>
    <col min="3121" max="3121" width="15.81640625" style="1612" customWidth="1"/>
    <col min="3122" max="3122" width="22.1796875" style="1612" customWidth="1"/>
    <col min="3123" max="3123" width="11.453125" style="1612" customWidth="1"/>
    <col min="3124" max="3124" width="17.54296875" style="1612" customWidth="1"/>
    <col min="3125" max="3125" width="0.1796875" style="1612" customWidth="1"/>
    <col min="3126" max="3126" width="18.81640625" style="1612" customWidth="1"/>
    <col min="3127" max="3130" width="25.7265625" style="1612" customWidth="1"/>
    <col min="3131" max="3131" width="14.7265625" style="1612" customWidth="1"/>
    <col min="3132" max="3132" width="22" style="1612" customWidth="1"/>
    <col min="3133" max="3133" width="15.26953125" style="1612" customWidth="1"/>
    <col min="3134" max="3137" width="25.7265625" style="1612" customWidth="1"/>
    <col min="3138" max="3138" width="15.7265625" style="1612" customWidth="1"/>
    <col min="3139" max="3139" width="22.453125" style="1612" customWidth="1"/>
    <col min="3140" max="3140" width="14.7265625" style="1612" customWidth="1"/>
    <col min="3141" max="3144" width="25.7265625" style="1612" customWidth="1"/>
    <col min="3145" max="3145" width="15.7265625" style="1612" customWidth="1"/>
    <col min="3146" max="3146" width="21" style="1612" customWidth="1"/>
    <col min="3147" max="3147" width="16.7265625" style="1612" customWidth="1"/>
    <col min="3148" max="3151" width="25.7265625" style="1612" customWidth="1"/>
    <col min="3152" max="3152" width="15.7265625" style="1612" customWidth="1"/>
    <col min="3153" max="3153" width="29.1796875" style="1612" customWidth="1"/>
    <col min="3154" max="3154" width="13.7265625" style="1612" customWidth="1"/>
    <col min="3155" max="3158" width="25.7265625" style="1612" customWidth="1"/>
    <col min="3159" max="3159" width="15.7265625" style="1612" customWidth="1"/>
    <col min="3160" max="3160" width="29.1796875" style="1612" customWidth="1"/>
    <col min="3161" max="3161" width="11.81640625" style="1612" customWidth="1"/>
    <col min="3162" max="3165" width="25.7265625" style="1612" customWidth="1"/>
    <col min="3166" max="3166" width="15.7265625" style="1612" customWidth="1"/>
    <col min="3167" max="3167" width="29.7265625" style="1612" customWidth="1"/>
    <col min="3168" max="3168" width="25.54296875" style="1612" customWidth="1"/>
    <col min="3169" max="3172" width="25.7265625" style="1612" customWidth="1"/>
    <col min="3173" max="3173" width="7.26953125" style="1612" customWidth="1"/>
    <col min="3174" max="3174" width="22.7265625" style="1612" customWidth="1"/>
    <col min="3175" max="3175" width="18.81640625" style="1612" customWidth="1"/>
    <col min="3176" max="3179" width="25.7265625" style="1612" customWidth="1"/>
    <col min="3180" max="3180" width="12.26953125" style="1612" customWidth="1"/>
    <col min="3181" max="3181" width="25.7265625" style="1612" customWidth="1"/>
    <col min="3182" max="3182" width="18.81640625" style="1612" customWidth="1"/>
    <col min="3183" max="3186" width="25.7265625" style="1612" customWidth="1"/>
    <col min="3187" max="3187" width="14.54296875" style="1612" customWidth="1"/>
    <col min="3188" max="3188" width="25.7265625" style="1612" customWidth="1"/>
    <col min="3189" max="3189" width="18.81640625" style="1612" customWidth="1"/>
    <col min="3190" max="3193" width="25.7265625" style="1612" customWidth="1"/>
    <col min="3194" max="3194" width="15.7265625" style="1612" customWidth="1"/>
    <col min="3195" max="3195" width="25.7265625" style="1612" customWidth="1"/>
    <col min="3196" max="3196" width="18.81640625" style="1612" customWidth="1"/>
    <col min="3197" max="3200" width="25.7265625" style="1612" customWidth="1"/>
    <col min="3201" max="3201" width="15.7265625" style="1612" customWidth="1"/>
    <col min="3202" max="3202" width="29.453125" style="1612" customWidth="1"/>
    <col min="3203" max="3203" width="18.81640625" style="1612" customWidth="1"/>
    <col min="3204" max="3204" width="25.7265625" style="1612" customWidth="1"/>
    <col min="3205" max="3205" width="29.7265625" style="1612" customWidth="1"/>
    <col min="3206" max="3207" width="25.7265625" style="1612" customWidth="1"/>
    <col min="3208" max="3208" width="13.7265625" style="1612" customWidth="1"/>
    <col min="3209" max="3209" width="29.1796875" style="1612" customWidth="1"/>
    <col min="3210" max="3210" width="23.7265625" style="1612" customWidth="1"/>
    <col min="3211" max="3214" width="24.81640625" style="1612" customWidth="1"/>
    <col min="3215" max="3215" width="14.7265625" style="1612" customWidth="1"/>
    <col min="3216" max="3216" width="30" style="1612" customWidth="1"/>
    <col min="3217" max="3217" width="22" style="1612" customWidth="1"/>
    <col min="3218" max="3218" width="19.26953125" style="1612" customWidth="1"/>
    <col min="3219" max="3219" width="14.1796875" style="1612" customWidth="1"/>
    <col min="3220" max="3366" width="9.1796875" style="1612"/>
    <col min="3367" max="3367" width="8.7265625" style="1612" customWidth="1"/>
    <col min="3368" max="3368" width="92.7265625" style="1612" customWidth="1"/>
    <col min="3369" max="3369" width="16.1796875" style="1612" customWidth="1"/>
    <col min="3370" max="3370" width="16.81640625" style="1612" customWidth="1"/>
    <col min="3371" max="3371" width="14.7265625" style="1612" customWidth="1"/>
    <col min="3372" max="3372" width="19.453125" style="1612" customWidth="1"/>
    <col min="3373" max="3373" width="15" style="1612" customWidth="1"/>
    <col min="3374" max="3374" width="12.7265625" style="1612" customWidth="1"/>
    <col min="3375" max="3376" width="12.1796875" style="1612" customWidth="1"/>
    <col min="3377" max="3377" width="15.81640625" style="1612" customWidth="1"/>
    <col min="3378" max="3378" width="22.1796875" style="1612" customWidth="1"/>
    <col min="3379" max="3379" width="11.453125" style="1612" customWidth="1"/>
    <col min="3380" max="3380" width="17.54296875" style="1612" customWidth="1"/>
    <col min="3381" max="3381" width="0.1796875" style="1612" customWidth="1"/>
    <col min="3382" max="3382" width="18.81640625" style="1612" customWidth="1"/>
    <col min="3383" max="3386" width="25.7265625" style="1612" customWidth="1"/>
    <col min="3387" max="3387" width="14.7265625" style="1612" customWidth="1"/>
    <col min="3388" max="3388" width="22" style="1612" customWidth="1"/>
    <col min="3389" max="3389" width="15.26953125" style="1612" customWidth="1"/>
    <col min="3390" max="3393" width="25.7265625" style="1612" customWidth="1"/>
    <col min="3394" max="3394" width="15.7265625" style="1612" customWidth="1"/>
    <col min="3395" max="3395" width="22.453125" style="1612" customWidth="1"/>
    <col min="3396" max="3396" width="14.7265625" style="1612" customWidth="1"/>
    <col min="3397" max="3400" width="25.7265625" style="1612" customWidth="1"/>
    <col min="3401" max="3401" width="15.7265625" style="1612" customWidth="1"/>
    <col min="3402" max="3402" width="21" style="1612" customWidth="1"/>
    <col min="3403" max="3403" width="16.7265625" style="1612" customWidth="1"/>
    <col min="3404" max="3407" width="25.7265625" style="1612" customWidth="1"/>
    <col min="3408" max="3408" width="15.7265625" style="1612" customWidth="1"/>
    <col min="3409" max="3409" width="29.1796875" style="1612" customWidth="1"/>
    <col min="3410" max="3410" width="13.7265625" style="1612" customWidth="1"/>
    <col min="3411" max="3414" width="25.7265625" style="1612" customWidth="1"/>
    <col min="3415" max="3415" width="15.7265625" style="1612" customWidth="1"/>
    <col min="3416" max="3416" width="29.1796875" style="1612" customWidth="1"/>
    <col min="3417" max="3417" width="11.81640625" style="1612" customWidth="1"/>
    <col min="3418" max="3421" width="25.7265625" style="1612" customWidth="1"/>
    <col min="3422" max="3422" width="15.7265625" style="1612" customWidth="1"/>
    <col min="3423" max="3423" width="29.7265625" style="1612" customWidth="1"/>
    <col min="3424" max="3424" width="25.54296875" style="1612" customWidth="1"/>
    <col min="3425" max="3428" width="25.7265625" style="1612" customWidth="1"/>
    <col min="3429" max="3429" width="7.26953125" style="1612" customWidth="1"/>
    <col min="3430" max="3430" width="22.7265625" style="1612" customWidth="1"/>
    <col min="3431" max="3431" width="18.81640625" style="1612" customWidth="1"/>
    <col min="3432" max="3435" width="25.7265625" style="1612" customWidth="1"/>
    <col min="3436" max="3436" width="12.26953125" style="1612" customWidth="1"/>
    <col min="3437" max="3437" width="25.7265625" style="1612" customWidth="1"/>
    <col min="3438" max="3438" width="18.81640625" style="1612" customWidth="1"/>
    <col min="3439" max="3442" width="25.7265625" style="1612" customWidth="1"/>
    <col min="3443" max="3443" width="14.54296875" style="1612" customWidth="1"/>
    <col min="3444" max="3444" width="25.7265625" style="1612" customWidth="1"/>
    <col min="3445" max="3445" width="18.81640625" style="1612" customWidth="1"/>
    <col min="3446" max="3449" width="25.7265625" style="1612" customWidth="1"/>
    <col min="3450" max="3450" width="15.7265625" style="1612" customWidth="1"/>
    <col min="3451" max="3451" width="25.7265625" style="1612" customWidth="1"/>
    <col min="3452" max="3452" width="18.81640625" style="1612" customWidth="1"/>
    <col min="3453" max="3456" width="25.7265625" style="1612" customWidth="1"/>
    <col min="3457" max="3457" width="15.7265625" style="1612" customWidth="1"/>
    <col min="3458" max="3458" width="29.453125" style="1612" customWidth="1"/>
    <col min="3459" max="3459" width="18.81640625" style="1612" customWidth="1"/>
    <col min="3460" max="3460" width="25.7265625" style="1612" customWidth="1"/>
    <col min="3461" max="3461" width="29.7265625" style="1612" customWidth="1"/>
    <col min="3462" max="3463" width="25.7265625" style="1612" customWidth="1"/>
    <col min="3464" max="3464" width="13.7265625" style="1612" customWidth="1"/>
    <col min="3465" max="3465" width="29.1796875" style="1612" customWidth="1"/>
    <col min="3466" max="3466" width="23.7265625" style="1612" customWidth="1"/>
    <col min="3467" max="3470" width="24.81640625" style="1612" customWidth="1"/>
    <col min="3471" max="3471" width="14.7265625" style="1612" customWidth="1"/>
    <col min="3472" max="3472" width="30" style="1612" customWidth="1"/>
    <col min="3473" max="3473" width="22" style="1612" customWidth="1"/>
    <col min="3474" max="3474" width="19.26953125" style="1612" customWidth="1"/>
    <col min="3475" max="3475" width="14.1796875" style="1612" customWidth="1"/>
    <col min="3476" max="3622" width="9.1796875" style="1612"/>
    <col min="3623" max="3623" width="8.7265625" style="1612" customWidth="1"/>
    <col min="3624" max="3624" width="92.7265625" style="1612" customWidth="1"/>
    <col min="3625" max="3625" width="16.1796875" style="1612" customWidth="1"/>
    <col min="3626" max="3626" width="16.81640625" style="1612" customWidth="1"/>
    <col min="3627" max="3627" width="14.7265625" style="1612" customWidth="1"/>
    <col min="3628" max="3628" width="19.453125" style="1612" customWidth="1"/>
    <col min="3629" max="3629" width="15" style="1612" customWidth="1"/>
    <col min="3630" max="3630" width="12.7265625" style="1612" customWidth="1"/>
    <col min="3631" max="3632" width="12.1796875" style="1612" customWidth="1"/>
    <col min="3633" max="3633" width="15.81640625" style="1612" customWidth="1"/>
    <col min="3634" max="3634" width="22.1796875" style="1612" customWidth="1"/>
    <col min="3635" max="3635" width="11.453125" style="1612" customWidth="1"/>
    <col min="3636" max="3636" width="17.54296875" style="1612" customWidth="1"/>
    <col min="3637" max="3637" width="0.1796875" style="1612" customWidth="1"/>
    <col min="3638" max="3638" width="18.81640625" style="1612" customWidth="1"/>
    <col min="3639" max="3642" width="25.7265625" style="1612" customWidth="1"/>
    <col min="3643" max="3643" width="14.7265625" style="1612" customWidth="1"/>
    <col min="3644" max="3644" width="22" style="1612" customWidth="1"/>
    <col min="3645" max="3645" width="15.26953125" style="1612" customWidth="1"/>
    <col min="3646" max="3649" width="25.7265625" style="1612" customWidth="1"/>
    <col min="3650" max="3650" width="15.7265625" style="1612" customWidth="1"/>
    <col min="3651" max="3651" width="22.453125" style="1612" customWidth="1"/>
    <col min="3652" max="3652" width="14.7265625" style="1612" customWidth="1"/>
    <col min="3653" max="3656" width="25.7265625" style="1612" customWidth="1"/>
    <col min="3657" max="3657" width="15.7265625" style="1612" customWidth="1"/>
    <col min="3658" max="3658" width="21" style="1612" customWidth="1"/>
    <col min="3659" max="3659" width="16.7265625" style="1612" customWidth="1"/>
    <col min="3660" max="3663" width="25.7265625" style="1612" customWidth="1"/>
    <col min="3664" max="3664" width="15.7265625" style="1612" customWidth="1"/>
    <col min="3665" max="3665" width="29.1796875" style="1612" customWidth="1"/>
    <col min="3666" max="3666" width="13.7265625" style="1612" customWidth="1"/>
    <col min="3667" max="3670" width="25.7265625" style="1612" customWidth="1"/>
    <col min="3671" max="3671" width="15.7265625" style="1612" customWidth="1"/>
    <col min="3672" max="3672" width="29.1796875" style="1612" customWidth="1"/>
    <col min="3673" max="3673" width="11.81640625" style="1612" customWidth="1"/>
    <col min="3674" max="3677" width="25.7265625" style="1612" customWidth="1"/>
    <col min="3678" max="3678" width="15.7265625" style="1612" customWidth="1"/>
    <col min="3679" max="3679" width="29.7265625" style="1612" customWidth="1"/>
    <col min="3680" max="3680" width="25.54296875" style="1612" customWidth="1"/>
    <col min="3681" max="3684" width="25.7265625" style="1612" customWidth="1"/>
    <col min="3685" max="3685" width="7.26953125" style="1612" customWidth="1"/>
    <col min="3686" max="3686" width="22.7265625" style="1612" customWidth="1"/>
    <col min="3687" max="3687" width="18.81640625" style="1612" customWidth="1"/>
    <col min="3688" max="3691" width="25.7265625" style="1612" customWidth="1"/>
    <col min="3692" max="3692" width="12.26953125" style="1612" customWidth="1"/>
    <col min="3693" max="3693" width="25.7265625" style="1612" customWidth="1"/>
    <col min="3694" max="3694" width="18.81640625" style="1612" customWidth="1"/>
    <col min="3695" max="3698" width="25.7265625" style="1612" customWidth="1"/>
    <col min="3699" max="3699" width="14.54296875" style="1612" customWidth="1"/>
    <col min="3700" max="3700" width="25.7265625" style="1612" customWidth="1"/>
    <col min="3701" max="3701" width="18.81640625" style="1612" customWidth="1"/>
    <col min="3702" max="3705" width="25.7265625" style="1612" customWidth="1"/>
    <col min="3706" max="3706" width="15.7265625" style="1612" customWidth="1"/>
    <col min="3707" max="3707" width="25.7265625" style="1612" customWidth="1"/>
    <col min="3708" max="3708" width="18.81640625" style="1612" customWidth="1"/>
    <col min="3709" max="3712" width="25.7265625" style="1612" customWidth="1"/>
    <col min="3713" max="3713" width="15.7265625" style="1612" customWidth="1"/>
    <col min="3714" max="3714" width="29.453125" style="1612" customWidth="1"/>
    <col min="3715" max="3715" width="18.81640625" style="1612" customWidth="1"/>
    <col min="3716" max="3716" width="25.7265625" style="1612" customWidth="1"/>
    <col min="3717" max="3717" width="29.7265625" style="1612" customWidth="1"/>
    <col min="3718" max="3719" width="25.7265625" style="1612" customWidth="1"/>
    <col min="3720" max="3720" width="13.7265625" style="1612" customWidth="1"/>
    <col min="3721" max="3721" width="29.1796875" style="1612" customWidth="1"/>
    <col min="3722" max="3722" width="23.7265625" style="1612" customWidth="1"/>
    <col min="3723" max="3726" width="24.81640625" style="1612" customWidth="1"/>
    <col min="3727" max="3727" width="14.7265625" style="1612" customWidth="1"/>
    <col min="3728" max="3728" width="30" style="1612" customWidth="1"/>
    <col min="3729" max="3729" width="22" style="1612" customWidth="1"/>
    <col min="3730" max="3730" width="19.26953125" style="1612" customWidth="1"/>
    <col min="3731" max="3731" width="14.1796875" style="1612" customWidth="1"/>
    <col min="3732" max="3878" width="9.1796875" style="1612"/>
    <col min="3879" max="3879" width="8.7265625" style="1612" customWidth="1"/>
    <col min="3880" max="3880" width="92.7265625" style="1612" customWidth="1"/>
    <col min="3881" max="3881" width="16.1796875" style="1612" customWidth="1"/>
    <col min="3882" max="3882" width="16.81640625" style="1612" customWidth="1"/>
    <col min="3883" max="3883" width="14.7265625" style="1612" customWidth="1"/>
    <col min="3884" max="3884" width="19.453125" style="1612" customWidth="1"/>
    <col min="3885" max="3885" width="15" style="1612" customWidth="1"/>
    <col min="3886" max="3886" width="12.7265625" style="1612" customWidth="1"/>
    <col min="3887" max="3888" width="12.1796875" style="1612" customWidth="1"/>
    <col min="3889" max="3889" width="15.81640625" style="1612" customWidth="1"/>
    <col min="3890" max="3890" width="22.1796875" style="1612" customWidth="1"/>
    <col min="3891" max="3891" width="11.453125" style="1612" customWidth="1"/>
    <col min="3892" max="3892" width="17.54296875" style="1612" customWidth="1"/>
    <col min="3893" max="3893" width="0.1796875" style="1612" customWidth="1"/>
    <col min="3894" max="3894" width="18.81640625" style="1612" customWidth="1"/>
    <col min="3895" max="3898" width="25.7265625" style="1612" customWidth="1"/>
    <col min="3899" max="3899" width="14.7265625" style="1612" customWidth="1"/>
    <col min="3900" max="3900" width="22" style="1612" customWidth="1"/>
    <col min="3901" max="3901" width="15.26953125" style="1612" customWidth="1"/>
    <col min="3902" max="3905" width="25.7265625" style="1612" customWidth="1"/>
    <col min="3906" max="3906" width="15.7265625" style="1612" customWidth="1"/>
    <col min="3907" max="3907" width="22.453125" style="1612" customWidth="1"/>
    <col min="3908" max="3908" width="14.7265625" style="1612" customWidth="1"/>
    <col min="3909" max="3912" width="25.7265625" style="1612" customWidth="1"/>
    <col min="3913" max="3913" width="15.7265625" style="1612" customWidth="1"/>
    <col min="3914" max="3914" width="21" style="1612" customWidth="1"/>
    <col min="3915" max="3915" width="16.7265625" style="1612" customWidth="1"/>
    <col min="3916" max="3919" width="25.7265625" style="1612" customWidth="1"/>
    <col min="3920" max="3920" width="15.7265625" style="1612" customWidth="1"/>
    <col min="3921" max="3921" width="29.1796875" style="1612" customWidth="1"/>
    <col min="3922" max="3922" width="13.7265625" style="1612" customWidth="1"/>
    <col min="3923" max="3926" width="25.7265625" style="1612" customWidth="1"/>
    <col min="3927" max="3927" width="15.7265625" style="1612" customWidth="1"/>
    <col min="3928" max="3928" width="29.1796875" style="1612" customWidth="1"/>
    <col min="3929" max="3929" width="11.81640625" style="1612" customWidth="1"/>
    <col min="3930" max="3933" width="25.7265625" style="1612" customWidth="1"/>
    <col min="3934" max="3934" width="15.7265625" style="1612" customWidth="1"/>
    <col min="3935" max="3935" width="29.7265625" style="1612" customWidth="1"/>
    <col min="3936" max="3936" width="25.54296875" style="1612" customWidth="1"/>
    <col min="3937" max="3940" width="25.7265625" style="1612" customWidth="1"/>
    <col min="3941" max="3941" width="7.26953125" style="1612" customWidth="1"/>
    <col min="3942" max="3942" width="22.7265625" style="1612" customWidth="1"/>
    <col min="3943" max="3943" width="18.81640625" style="1612" customWidth="1"/>
    <col min="3944" max="3947" width="25.7265625" style="1612" customWidth="1"/>
    <col min="3948" max="3948" width="12.26953125" style="1612" customWidth="1"/>
    <col min="3949" max="3949" width="25.7265625" style="1612" customWidth="1"/>
    <col min="3950" max="3950" width="18.81640625" style="1612" customWidth="1"/>
    <col min="3951" max="3954" width="25.7265625" style="1612" customWidth="1"/>
    <col min="3955" max="3955" width="14.54296875" style="1612" customWidth="1"/>
    <col min="3956" max="3956" width="25.7265625" style="1612" customWidth="1"/>
    <col min="3957" max="3957" width="18.81640625" style="1612" customWidth="1"/>
    <col min="3958" max="3961" width="25.7265625" style="1612" customWidth="1"/>
    <col min="3962" max="3962" width="15.7265625" style="1612" customWidth="1"/>
    <col min="3963" max="3963" width="25.7265625" style="1612" customWidth="1"/>
    <col min="3964" max="3964" width="18.81640625" style="1612" customWidth="1"/>
    <col min="3965" max="3968" width="25.7265625" style="1612" customWidth="1"/>
    <col min="3969" max="3969" width="15.7265625" style="1612" customWidth="1"/>
    <col min="3970" max="3970" width="29.453125" style="1612" customWidth="1"/>
    <col min="3971" max="3971" width="18.81640625" style="1612" customWidth="1"/>
    <col min="3972" max="3972" width="25.7265625" style="1612" customWidth="1"/>
    <col min="3973" max="3973" width="29.7265625" style="1612" customWidth="1"/>
    <col min="3974" max="3975" width="25.7265625" style="1612" customWidth="1"/>
    <col min="3976" max="3976" width="13.7265625" style="1612" customWidth="1"/>
    <col min="3977" max="3977" width="29.1796875" style="1612" customWidth="1"/>
    <col min="3978" max="3978" width="23.7265625" style="1612" customWidth="1"/>
    <col min="3979" max="3982" width="24.81640625" style="1612" customWidth="1"/>
    <col min="3983" max="3983" width="14.7265625" style="1612" customWidth="1"/>
    <col min="3984" max="3984" width="30" style="1612" customWidth="1"/>
    <col min="3985" max="3985" width="22" style="1612" customWidth="1"/>
    <col min="3986" max="3986" width="19.26953125" style="1612" customWidth="1"/>
    <col min="3987" max="3987" width="14.1796875" style="1612" customWidth="1"/>
    <col min="3988" max="4134" width="9.1796875" style="1612"/>
    <col min="4135" max="4135" width="8.7265625" style="1612" customWidth="1"/>
    <col min="4136" max="4136" width="92.7265625" style="1612" customWidth="1"/>
    <col min="4137" max="4137" width="16.1796875" style="1612" customWidth="1"/>
    <col min="4138" max="4138" width="16.81640625" style="1612" customWidth="1"/>
    <col min="4139" max="4139" width="14.7265625" style="1612" customWidth="1"/>
    <col min="4140" max="4140" width="19.453125" style="1612" customWidth="1"/>
    <col min="4141" max="4141" width="15" style="1612" customWidth="1"/>
    <col min="4142" max="4142" width="12.7265625" style="1612" customWidth="1"/>
    <col min="4143" max="4144" width="12.1796875" style="1612" customWidth="1"/>
    <col min="4145" max="4145" width="15.81640625" style="1612" customWidth="1"/>
    <col min="4146" max="4146" width="22.1796875" style="1612" customWidth="1"/>
    <col min="4147" max="4147" width="11.453125" style="1612" customWidth="1"/>
    <col min="4148" max="4148" width="17.54296875" style="1612" customWidth="1"/>
    <col min="4149" max="4149" width="0.1796875" style="1612" customWidth="1"/>
    <col min="4150" max="4150" width="18.81640625" style="1612" customWidth="1"/>
    <col min="4151" max="4154" width="25.7265625" style="1612" customWidth="1"/>
    <col min="4155" max="4155" width="14.7265625" style="1612" customWidth="1"/>
    <col min="4156" max="4156" width="22" style="1612" customWidth="1"/>
    <col min="4157" max="4157" width="15.26953125" style="1612" customWidth="1"/>
    <col min="4158" max="4161" width="25.7265625" style="1612" customWidth="1"/>
    <col min="4162" max="4162" width="15.7265625" style="1612" customWidth="1"/>
    <col min="4163" max="4163" width="22.453125" style="1612" customWidth="1"/>
    <col min="4164" max="4164" width="14.7265625" style="1612" customWidth="1"/>
    <col min="4165" max="4168" width="25.7265625" style="1612" customWidth="1"/>
    <col min="4169" max="4169" width="15.7265625" style="1612" customWidth="1"/>
    <col min="4170" max="4170" width="21" style="1612" customWidth="1"/>
    <col min="4171" max="4171" width="16.7265625" style="1612" customWidth="1"/>
    <col min="4172" max="4175" width="25.7265625" style="1612" customWidth="1"/>
    <col min="4176" max="4176" width="15.7265625" style="1612" customWidth="1"/>
    <col min="4177" max="4177" width="29.1796875" style="1612" customWidth="1"/>
    <col min="4178" max="4178" width="13.7265625" style="1612" customWidth="1"/>
    <col min="4179" max="4182" width="25.7265625" style="1612" customWidth="1"/>
    <col min="4183" max="4183" width="15.7265625" style="1612" customWidth="1"/>
    <col min="4184" max="4184" width="29.1796875" style="1612" customWidth="1"/>
    <col min="4185" max="4185" width="11.81640625" style="1612" customWidth="1"/>
    <col min="4186" max="4189" width="25.7265625" style="1612" customWidth="1"/>
    <col min="4190" max="4190" width="15.7265625" style="1612" customWidth="1"/>
    <col min="4191" max="4191" width="29.7265625" style="1612" customWidth="1"/>
    <col min="4192" max="4192" width="25.54296875" style="1612" customWidth="1"/>
    <col min="4193" max="4196" width="25.7265625" style="1612" customWidth="1"/>
    <col min="4197" max="4197" width="7.26953125" style="1612" customWidth="1"/>
    <col min="4198" max="4198" width="22.7265625" style="1612" customWidth="1"/>
    <col min="4199" max="4199" width="18.81640625" style="1612" customWidth="1"/>
    <col min="4200" max="4203" width="25.7265625" style="1612" customWidth="1"/>
    <col min="4204" max="4204" width="12.26953125" style="1612" customWidth="1"/>
    <col min="4205" max="4205" width="25.7265625" style="1612" customWidth="1"/>
    <col min="4206" max="4206" width="18.81640625" style="1612" customWidth="1"/>
    <col min="4207" max="4210" width="25.7265625" style="1612" customWidth="1"/>
    <col min="4211" max="4211" width="14.54296875" style="1612" customWidth="1"/>
    <col min="4212" max="4212" width="25.7265625" style="1612" customWidth="1"/>
    <col min="4213" max="4213" width="18.81640625" style="1612" customWidth="1"/>
    <col min="4214" max="4217" width="25.7265625" style="1612" customWidth="1"/>
    <col min="4218" max="4218" width="15.7265625" style="1612" customWidth="1"/>
    <col min="4219" max="4219" width="25.7265625" style="1612" customWidth="1"/>
    <col min="4220" max="4220" width="18.81640625" style="1612" customWidth="1"/>
    <col min="4221" max="4224" width="25.7265625" style="1612" customWidth="1"/>
    <col min="4225" max="4225" width="15.7265625" style="1612" customWidth="1"/>
    <col min="4226" max="4226" width="29.453125" style="1612" customWidth="1"/>
    <col min="4227" max="4227" width="18.81640625" style="1612" customWidth="1"/>
    <col min="4228" max="4228" width="25.7265625" style="1612" customWidth="1"/>
    <col min="4229" max="4229" width="29.7265625" style="1612" customWidth="1"/>
    <col min="4230" max="4231" width="25.7265625" style="1612" customWidth="1"/>
    <col min="4232" max="4232" width="13.7265625" style="1612" customWidth="1"/>
    <col min="4233" max="4233" width="29.1796875" style="1612" customWidth="1"/>
    <col min="4234" max="4234" width="23.7265625" style="1612" customWidth="1"/>
    <col min="4235" max="4238" width="24.81640625" style="1612" customWidth="1"/>
    <col min="4239" max="4239" width="14.7265625" style="1612" customWidth="1"/>
    <col min="4240" max="4240" width="30" style="1612" customWidth="1"/>
    <col min="4241" max="4241" width="22" style="1612" customWidth="1"/>
    <col min="4242" max="4242" width="19.26953125" style="1612" customWidth="1"/>
    <col min="4243" max="4243" width="14.1796875" style="1612" customWidth="1"/>
    <col min="4244" max="4390" width="9.1796875" style="1612"/>
    <col min="4391" max="4391" width="8.7265625" style="1612" customWidth="1"/>
    <col min="4392" max="4392" width="92.7265625" style="1612" customWidth="1"/>
    <col min="4393" max="4393" width="16.1796875" style="1612" customWidth="1"/>
    <col min="4394" max="4394" width="16.81640625" style="1612" customWidth="1"/>
    <col min="4395" max="4395" width="14.7265625" style="1612" customWidth="1"/>
    <col min="4396" max="4396" width="19.453125" style="1612" customWidth="1"/>
    <col min="4397" max="4397" width="15" style="1612" customWidth="1"/>
    <col min="4398" max="4398" width="12.7265625" style="1612" customWidth="1"/>
    <col min="4399" max="4400" width="12.1796875" style="1612" customWidth="1"/>
    <col min="4401" max="4401" width="15.81640625" style="1612" customWidth="1"/>
    <col min="4402" max="4402" width="22.1796875" style="1612" customWidth="1"/>
    <col min="4403" max="4403" width="11.453125" style="1612" customWidth="1"/>
    <col min="4404" max="4404" width="17.54296875" style="1612" customWidth="1"/>
    <col min="4405" max="4405" width="0.1796875" style="1612" customWidth="1"/>
    <col min="4406" max="4406" width="18.81640625" style="1612" customWidth="1"/>
    <col min="4407" max="4410" width="25.7265625" style="1612" customWidth="1"/>
    <col min="4411" max="4411" width="14.7265625" style="1612" customWidth="1"/>
    <col min="4412" max="4412" width="22" style="1612" customWidth="1"/>
    <col min="4413" max="4413" width="15.26953125" style="1612" customWidth="1"/>
    <col min="4414" max="4417" width="25.7265625" style="1612" customWidth="1"/>
    <col min="4418" max="4418" width="15.7265625" style="1612" customWidth="1"/>
    <col min="4419" max="4419" width="22.453125" style="1612" customWidth="1"/>
    <col min="4420" max="4420" width="14.7265625" style="1612" customWidth="1"/>
    <col min="4421" max="4424" width="25.7265625" style="1612" customWidth="1"/>
    <col min="4425" max="4425" width="15.7265625" style="1612" customWidth="1"/>
    <col min="4426" max="4426" width="21" style="1612" customWidth="1"/>
    <col min="4427" max="4427" width="16.7265625" style="1612" customWidth="1"/>
    <col min="4428" max="4431" width="25.7265625" style="1612" customWidth="1"/>
    <col min="4432" max="4432" width="15.7265625" style="1612" customWidth="1"/>
    <col min="4433" max="4433" width="29.1796875" style="1612" customWidth="1"/>
    <col min="4434" max="4434" width="13.7265625" style="1612" customWidth="1"/>
    <col min="4435" max="4438" width="25.7265625" style="1612" customWidth="1"/>
    <col min="4439" max="4439" width="15.7265625" style="1612" customWidth="1"/>
    <col min="4440" max="4440" width="29.1796875" style="1612" customWidth="1"/>
    <col min="4441" max="4441" width="11.81640625" style="1612" customWidth="1"/>
    <col min="4442" max="4445" width="25.7265625" style="1612" customWidth="1"/>
    <col min="4446" max="4446" width="15.7265625" style="1612" customWidth="1"/>
    <col min="4447" max="4447" width="29.7265625" style="1612" customWidth="1"/>
    <col min="4448" max="4448" width="25.54296875" style="1612" customWidth="1"/>
    <col min="4449" max="4452" width="25.7265625" style="1612" customWidth="1"/>
    <col min="4453" max="4453" width="7.26953125" style="1612" customWidth="1"/>
    <col min="4454" max="4454" width="22.7265625" style="1612" customWidth="1"/>
    <col min="4455" max="4455" width="18.81640625" style="1612" customWidth="1"/>
    <col min="4456" max="4459" width="25.7265625" style="1612" customWidth="1"/>
    <col min="4460" max="4460" width="12.26953125" style="1612" customWidth="1"/>
    <col min="4461" max="4461" width="25.7265625" style="1612" customWidth="1"/>
    <col min="4462" max="4462" width="18.81640625" style="1612" customWidth="1"/>
    <col min="4463" max="4466" width="25.7265625" style="1612" customWidth="1"/>
    <col min="4467" max="4467" width="14.54296875" style="1612" customWidth="1"/>
    <col min="4468" max="4468" width="25.7265625" style="1612" customWidth="1"/>
    <col min="4469" max="4469" width="18.81640625" style="1612" customWidth="1"/>
    <col min="4470" max="4473" width="25.7265625" style="1612" customWidth="1"/>
    <col min="4474" max="4474" width="15.7265625" style="1612" customWidth="1"/>
    <col min="4475" max="4475" width="25.7265625" style="1612" customWidth="1"/>
    <col min="4476" max="4476" width="18.81640625" style="1612" customWidth="1"/>
    <col min="4477" max="4480" width="25.7265625" style="1612" customWidth="1"/>
    <col min="4481" max="4481" width="15.7265625" style="1612" customWidth="1"/>
    <col min="4482" max="4482" width="29.453125" style="1612" customWidth="1"/>
    <col min="4483" max="4483" width="18.81640625" style="1612" customWidth="1"/>
    <col min="4484" max="4484" width="25.7265625" style="1612" customWidth="1"/>
    <col min="4485" max="4485" width="29.7265625" style="1612" customWidth="1"/>
    <col min="4486" max="4487" width="25.7265625" style="1612" customWidth="1"/>
    <col min="4488" max="4488" width="13.7265625" style="1612" customWidth="1"/>
    <col min="4489" max="4489" width="29.1796875" style="1612" customWidth="1"/>
    <col min="4490" max="4490" width="23.7265625" style="1612" customWidth="1"/>
    <col min="4491" max="4494" width="24.81640625" style="1612" customWidth="1"/>
    <col min="4495" max="4495" width="14.7265625" style="1612" customWidth="1"/>
    <col min="4496" max="4496" width="30" style="1612" customWidth="1"/>
    <col min="4497" max="4497" width="22" style="1612" customWidth="1"/>
    <col min="4498" max="4498" width="19.26953125" style="1612" customWidth="1"/>
    <col min="4499" max="4499" width="14.1796875" style="1612" customWidth="1"/>
    <col min="4500" max="4646" width="9.1796875" style="1612"/>
    <col min="4647" max="4647" width="8.7265625" style="1612" customWidth="1"/>
    <col min="4648" max="4648" width="92.7265625" style="1612" customWidth="1"/>
    <col min="4649" max="4649" width="16.1796875" style="1612" customWidth="1"/>
    <col min="4650" max="4650" width="16.81640625" style="1612" customWidth="1"/>
    <col min="4651" max="4651" width="14.7265625" style="1612" customWidth="1"/>
    <col min="4652" max="4652" width="19.453125" style="1612" customWidth="1"/>
    <col min="4653" max="4653" width="15" style="1612" customWidth="1"/>
    <col min="4654" max="4654" width="12.7265625" style="1612" customWidth="1"/>
    <col min="4655" max="4656" width="12.1796875" style="1612" customWidth="1"/>
    <col min="4657" max="4657" width="15.81640625" style="1612" customWidth="1"/>
    <col min="4658" max="4658" width="22.1796875" style="1612" customWidth="1"/>
    <col min="4659" max="4659" width="11.453125" style="1612" customWidth="1"/>
    <col min="4660" max="4660" width="17.54296875" style="1612" customWidth="1"/>
    <col min="4661" max="4661" width="0.1796875" style="1612" customWidth="1"/>
    <col min="4662" max="4662" width="18.81640625" style="1612" customWidth="1"/>
    <col min="4663" max="4666" width="25.7265625" style="1612" customWidth="1"/>
    <col min="4667" max="4667" width="14.7265625" style="1612" customWidth="1"/>
    <col min="4668" max="4668" width="22" style="1612" customWidth="1"/>
    <col min="4669" max="4669" width="15.26953125" style="1612" customWidth="1"/>
    <col min="4670" max="4673" width="25.7265625" style="1612" customWidth="1"/>
    <col min="4674" max="4674" width="15.7265625" style="1612" customWidth="1"/>
    <col min="4675" max="4675" width="22.453125" style="1612" customWidth="1"/>
    <col min="4676" max="4676" width="14.7265625" style="1612" customWidth="1"/>
    <col min="4677" max="4680" width="25.7265625" style="1612" customWidth="1"/>
    <col min="4681" max="4681" width="15.7265625" style="1612" customWidth="1"/>
    <col min="4682" max="4682" width="21" style="1612" customWidth="1"/>
    <col min="4683" max="4683" width="16.7265625" style="1612" customWidth="1"/>
    <col min="4684" max="4687" width="25.7265625" style="1612" customWidth="1"/>
    <col min="4688" max="4688" width="15.7265625" style="1612" customWidth="1"/>
    <col min="4689" max="4689" width="29.1796875" style="1612" customWidth="1"/>
    <col min="4690" max="4690" width="13.7265625" style="1612" customWidth="1"/>
    <col min="4691" max="4694" width="25.7265625" style="1612" customWidth="1"/>
    <col min="4695" max="4695" width="15.7265625" style="1612" customWidth="1"/>
    <col min="4696" max="4696" width="29.1796875" style="1612" customWidth="1"/>
    <col min="4697" max="4697" width="11.81640625" style="1612" customWidth="1"/>
    <col min="4698" max="4701" width="25.7265625" style="1612" customWidth="1"/>
    <col min="4702" max="4702" width="15.7265625" style="1612" customWidth="1"/>
    <col min="4703" max="4703" width="29.7265625" style="1612" customWidth="1"/>
    <col min="4704" max="4704" width="25.54296875" style="1612" customWidth="1"/>
    <col min="4705" max="4708" width="25.7265625" style="1612" customWidth="1"/>
    <col min="4709" max="4709" width="7.26953125" style="1612" customWidth="1"/>
    <col min="4710" max="4710" width="22.7265625" style="1612" customWidth="1"/>
    <col min="4711" max="4711" width="18.81640625" style="1612" customWidth="1"/>
    <col min="4712" max="4715" width="25.7265625" style="1612" customWidth="1"/>
    <col min="4716" max="4716" width="12.26953125" style="1612" customWidth="1"/>
    <col min="4717" max="4717" width="25.7265625" style="1612" customWidth="1"/>
    <col min="4718" max="4718" width="18.81640625" style="1612" customWidth="1"/>
    <col min="4719" max="4722" width="25.7265625" style="1612" customWidth="1"/>
    <col min="4723" max="4723" width="14.54296875" style="1612" customWidth="1"/>
    <col min="4724" max="4724" width="25.7265625" style="1612" customWidth="1"/>
    <col min="4725" max="4725" width="18.81640625" style="1612" customWidth="1"/>
    <col min="4726" max="4729" width="25.7265625" style="1612" customWidth="1"/>
    <col min="4730" max="4730" width="15.7265625" style="1612" customWidth="1"/>
    <col min="4731" max="4731" width="25.7265625" style="1612" customWidth="1"/>
    <col min="4732" max="4732" width="18.81640625" style="1612" customWidth="1"/>
    <col min="4733" max="4736" width="25.7265625" style="1612" customWidth="1"/>
    <col min="4737" max="4737" width="15.7265625" style="1612" customWidth="1"/>
    <col min="4738" max="4738" width="29.453125" style="1612" customWidth="1"/>
    <col min="4739" max="4739" width="18.81640625" style="1612" customWidth="1"/>
    <col min="4740" max="4740" width="25.7265625" style="1612" customWidth="1"/>
    <col min="4741" max="4741" width="29.7265625" style="1612" customWidth="1"/>
    <col min="4742" max="4743" width="25.7265625" style="1612" customWidth="1"/>
    <col min="4744" max="4744" width="13.7265625" style="1612" customWidth="1"/>
    <col min="4745" max="4745" width="29.1796875" style="1612" customWidth="1"/>
    <col min="4746" max="4746" width="23.7265625" style="1612" customWidth="1"/>
    <col min="4747" max="4750" width="24.81640625" style="1612" customWidth="1"/>
    <col min="4751" max="4751" width="14.7265625" style="1612" customWidth="1"/>
    <col min="4752" max="4752" width="30" style="1612" customWidth="1"/>
    <col min="4753" max="4753" width="22" style="1612" customWidth="1"/>
    <col min="4754" max="4754" width="19.26953125" style="1612" customWidth="1"/>
    <col min="4755" max="4755" width="14.1796875" style="1612" customWidth="1"/>
    <col min="4756" max="4902" width="9.1796875" style="1612"/>
    <col min="4903" max="4903" width="8.7265625" style="1612" customWidth="1"/>
    <col min="4904" max="4904" width="92.7265625" style="1612" customWidth="1"/>
    <col min="4905" max="4905" width="16.1796875" style="1612" customWidth="1"/>
    <col min="4906" max="4906" width="16.81640625" style="1612" customWidth="1"/>
    <col min="4907" max="4907" width="14.7265625" style="1612" customWidth="1"/>
    <col min="4908" max="4908" width="19.453125" style="1612" customWidth="1"/>
    <col min="4909" max="4909" width="15" style="1612" customWidth="1"/>
    <col min="4910" max="4910" width="12.7265625" style="1612" customWidth="1"/>
    <col min="4911" max="4912" width="12.1796875" style="1612" customWidth="1"/>
    <col min="4913" max="4913" width="15.81640625" style="1612" customWidth="1"/>
    <col min="4914" max="4914" width="22.1796875" style="1612" customWidth="1"/>
    <col min="4915" max="4915" width="11.453125" style="1612" customWidth="1"/>
    <col min="4916" max="4916" width="17.54296875" style="1612" customWidth="1"/>
    <col min="4917" max="4917" width="0.1796875" style="1612" customWidth="1"/>
    <col min="4918" max="4918" width="18.81640625" style="1612" customWidth="1"/>
    <col min="4919" max="4922" width="25.7265625" style="1612" customWidth="1"/>
    <col min="4923" max="4923" width="14.7265625" style="1612" customWidth="1"/>
    <col min="4924" max="4924" width="22" style="1612" customWidth="1"/>
    <col min="4925" max="4925" width="15.26953125" style="1612" customWidth="1"/>
    <col min="4926" max="4929" width="25.7265625" style="1612" customWidth="1"/>
    <col min="4930" max="4930" width="15.7265625" style="1612" customWidth="1"/>
    <col min="4931" max="4931" width="22.453125" style="1612" customWidth="1"/>
    <col min="4932" max="4932" width="14.7265625" style="1612" customWidth="1"/>
    <col min="4933" max="4936" width="25.7265625" style="1612" customWidth="1"/>
    <col min="4937" max="4937" width="15.7265625" style="1612" customWidth="1"/>
    <col min="4938" max="4938" width="21" style="1612" customWidth="1"/>
    <col min="4939" max="4939" width="16.7265625" style="1612" customWidth="1"/>
    <col min="4940" max="4943" width="25.7265625" style="1612" customWidth="1"/>
    <col min="4944" max="4944" width="15.7265625" style="1612" customWidth="1"/>
    <col min="4945" max="4945" width="29.1796875" style="1612" customWidth="1"/>
    <col min="4946" max="4946" width="13.7265625" style="1612" customWidth="1"/>
    <col min="4947" max="4950" width="25.7265625" style="1612" customWidth="1"/>
    <col min="4951" max="4951" width="15.7265625" style="1612" customWidth="1"/>
    <col min="4952" max="4952" width="29.1796875" style="1612" customWidth="1"/>
    <col min="4953" max="4953" width="11.81640625" style="1612" customWidth="1"/>
    <col min="4954" max="4957" width="25.7265625" style="1612" customWidth="1"/>
    <col min="4958" max="4958" width="15.7265625" style="1612" customWidth="1"/>
    <col min="4959" max="4959" width="29.7265625" style="1612" customWidth="1"/>
    <col min="4960" max="4960" width="25.54296875" style="1612" customWidth="1"/>
    <col min="4961" max="4964" width="25.7265625" style="1612" customWidth="1"/>
    <col min="4965" max="4965" width="7.26953125" style="1612" customWidth="1"/>
    <col min="4966" max="4966" width="22.7265625" style="1612" customWidth="1"/>
    <col min="4967" max="4967" width="18.81640625" style="1612" customWidth="1"/>
    <col min="4968" max="4971" width="25.7265625" style="1612" customWidth="1"/>
    <col min="4972" max="4972" width="12.26953125" style="1612" customWidth="1"/>
    <col min="4973" max="4973" width="25.7265625" style="1612" customWidth="1"/>
    <col min="4974" max="4974" width="18.81640625" style="1612" customWidth="1"/>
    <col min="4975" max="4978" width="25.7265625" style="1612" customWidth="1"/>
    <col min="4979" max="4979" width="14.54296875" style="1612" customWidth="1"/>
    <col min="4980" max="4980" width="25.7265625" style="1612" customWidth="1"/>
    <col min="4981" max="4981" width="18.81640625" style="1612" customWidth="1"/>
    <col min="4982" max="4985" width="25.7265625" style="1612" customWidth="1"/>
    <col min="4986" max="4986" width="15.7265625" style="1612" customWidth="1"/>
    <col min="4987" max="4987" width="25.7265625" style="1612" customWidth="1"/>
    <col min="4988" max="4988" width="18.81640625" style="1612" customWidth="1"/>
    <col min="4989" max="4992" width="25.7265625" style="1612" customWidth="1"/>
    <col min="4993" max="4993" width="15.7265625" style="1612" customWidth="1"/>
    <col min="4994" max="4994" width="29.453125" style="1612" customWidth="1"/>
    <col min="4995" max="4995" width="18.81640625" style="1612" customWidth="1"/>
    <col min="4996" max="4996" width="25.7265625" style="1612" customWidth="1"/>
    <col min="4997" max="4997" width="29.7265625" style="1612" customWidth="1"/>
    <col min="4998" max="4999" width="25.7265625" style="1612" customWidth="1"/>
    <col min="5000" max="5000" width="13.7265625" style="1612" customWidth="1"/>
    <col min="5001" max="5001" width="29.1796875" style="1612" customWidth="1"/>
    <col min="5002" max="5002" width="23.7265625" style="1612" customWidth="1"/>
    <col min="5003" max="5006" width="24.81640625" style="1612" customWidth="1"/>
    <col min="5007" max="5007" width="14.7265625" style="1612" customWidth="1"/>
    <col min="5008" max="5008" width="30" style="1612" customWidth="1"/>
    <col min="5009" max="5009" width="22" style="1612" customWidth="1"/>
    <col min="5010" max="5010" width="19.26953125" style="1612" customWidth="1"/>
    <col min="5011" max="5011" width="14.1796875" style="1612" customWidth="1"/>
    <col min="5012" max="5158" width="9.1796875" style="1612"/>
    <col min="5159" max="5159" width="8.7265625" style="1612" customWidth="1"/>
    <col min="5160" max="5160" width="92.7265625" style="1612" customWidth="1"/>
    <col min="5161" max="5161" width="16.1796875" style="1612" customWidth="1"/>
    <col min="5162" max="5162" width="16.81640625" style="1612" customWidth="1"/>
    <col min="5163" max="5163" width="14.7265625" style="1612" customWidth="1"/>
    <col min="5164" max="5164" width="19.453125" style="1612" customWidth="1"/>
    <col min="5165" max="5165" width="15" style="1612" customWidth="1"/>
    <col min="5166" max="5166" width="12.7265625" style="1612" customWidth="1"/>
    <col min="5167" max="5168" width="12.1796875" style="1612" customWidth="1"/>
    <col min="5169" max="5169" width="15.81640625" style="1612" customWidth="1"/>
    <col min="5170" max="5170" width="22.1796875" style="1612" customWidth="1"/>
    <col min="5171" max="5171" width="11.453125" style="1612" customWidth="1"/>
    <col min="5172" max="5172" width="17.54296875" style="1612" customWidth="1"/>
    <col min="5173" max="5173" width="0.1796875" style="1612" customWidth="1"/>
    <col min="5174" max="5174" width="18.81640625" style="1612" customWidth="1"/>
    <col min="5175" max="5178" width="25.7265625" style="1612" customWidth="1"/>
    <col min="5179" max="5179" width="14.7265625" style="1612" customWidth="1"/>
    <col min="5180" max="5180" width="22" style="1612" customWidth="1"/>
    <col min="5181" max="5181" width="15.26953125" style="1612" customWidth="1"/>
    <col min="5182" max="5185" width="25.7265625" style="1612" customWidth="1"/>
    <col min="5186" max="5186" width="15.7265625" style="1612" customWidth="1"/>
    <col min="5187" max="5187" width="22.453125" style="1612" customWidth="1"/>
    <col min="5188" max="5188" width="14.7265625" style="1612" customWidth="1"/>
    <col min="5189" max="5192" width="25.7265625" style="1612" customWidth="1"/>
    <col min="5193" max="5193" width="15.7265625" style="1612" customWidth="1"/>
    <col min="5194" max="5194" width="21" style="1612" customWidth="1"/>
    <col min="5195" max="5195" width="16.7265625" style="1612" customWidth="1"/>
    <col min="5196" max="5199" width="25.7265625" style="1612" customWidth="1"/>
    <col min="5200" max="5200" width="15.7265625" style="1612" customWidth="1"/>
    <col min="5201" max="5201" width="29.1796875" style="1612" customWidth="1"/>
    <col min="5202" max="5202" width="13.7265625" style="1612" customWidth="1"/>
    <col min="5203" max="5206" width="25.7265625" style="1612" customWidth="1"/>
    <col min="5207" max="5207" width="15.7265625" style="1612" customWidth="1"/>
    <col min="5208" max="5208" width="29.1796875" style="1612" customWidth="1"/>
    <col min="5209" max="5209" width="11.81640625" style="1612" customWidth="1"/>
    <col min="5210" max="5213" width="25.7265625" style="1612" customWidth="1"/>
    <col min="5214" max="5214" width="15.7265625" style="1612" customWidth="1"/>
    <col min="5215" max="5215" width="29.7265625" style="1612" customWidth="1"/>
    <col min="5216" max="5216" width="25.54296875" style="1612" customWidth="1"/>
    <col min="5217" max="5220" width="25.7265625" style="1612" customWidth="1"/>
    <col min="5221" max="5221" width="7.26953125" style="1612" customWidth="1"/>
    <col min="5222" max="5222" width="22.7265625" style="1612" customWidth="1"/>
    <col min="5223" max="5223" width="18.81640625" style="1612" customWidth="1"/>
    <col min="5224" max="5227" width="25.7265625" style="1612" customWidth="1"/>
    <col min="5228" max="5228" width="12.26953125" style="1612" customWidth="1"/>
    <col min="5229" max="5229" width="25.7265625" style="1612" customWidth="1"/>
    <col min="5230" max="5230" width="18.81640625" style="1612" customWidth="1"/>
    <col min="5231" max="5234" width="25.7265625" style="1612" customWidth="1"/>
    <col min="5235" max="5235" width="14.54296875" style="1612" customWidth="1"/>
    <col min="5236" max="5236" width="25.7265625" style="1612" customWidth="1"/>
    <col min="5237" max="5237" width="18.81640625" style="1612" customWidth="1"/>
    <col min="5238" max="5241" width="25.7265625" style="1612" customWidth="1"/>
    <col min="5242" max="5242" width="15.7265625" style="1612" customWidth="1"/>
    <col min="5243" max="5243" width="25.7265625" style="1612" customWidth="1"/>
    <col min="5244" max="5244" width="18.81640625" style="1612" customWidth="1"/>
    <col min="5245" max="5248" width="25.7265625" style="1612" customWidth="1"/>
    <col min="5249" max="5249" width="15.7265625" style="1612" customWidth="1"/>
    <col min="5250" max="5250" width="29.453125" style="1612" customWidth="1"/>
    <col min="5251" max="5251" width="18.81640625" style="1612" customWidth="1"/>
    <col min="5252" max="5252" width="25.7265625" style="1612" customWidth="1"/>
    <col min="5253" max="5253" width="29.7265625" style="1612" customWidth="1"/>
    <col min="5254" max="5255" width="25.7265625" style="1612" customWidth="1"/>
    <col min="5256" max="5256" width="13.7265625" style="1612" customWidth="1"/>
    <col min="5257" max="5257" width="29.1796875" style="1612" customWidth="1"/>
    <col min="5258" max="5258" width="23.7265625" style="1612" customWidth="1"/>
    <col min="5259" max="5262" width="24.81640625" style="1612" customWidth="1"/>
    <col min="5263" max="5263" width="14.7265625" style="1612" customWidth="1"/>
    <col min="5264" max="5264" width="30" style="1612" customWidth="1"/>
    <col min="5265" max="5265" width="22" style="1612" customWidth="1"/>
    <col min="5266" max="5266" width="19.26953125" style="1612" customWidth="1"/>
    <col min="5267" max="5267" width="14.1796875" style="1612" customWidth="1"/>
    <col min="5268" max="5414" width="9.1796875" style="1612"/>
    <col min="5415" max="5415" width="8.7265625" style="1612" customWidth="1"/>
    <col min="5416" max="5416" width="92.7265625" style="1612" customWidth="1"/>
    <col min="5417" max="5417" width="16.1796875" style="1612" customWidth="1"/>
    <col min="5418" max="5418" width="16.81640625" style="1612" customWidth="1"/>
    <col min="5419" max="5419" width="14.7265625" style="1612" customWidth="1"/>
    <col min="5420" max="5420" width="19.453125" style="1612" customWidth="1"/>
    <col min="5421" max="5421" width="15" style="1612" customWidth="1"/>
    <col min="5422" max="5422" width="12.7265625" style="1612" customWidth="1"/>
    <col min="5423" max="5424" width="12.1796875" style="1612" customWidth="1"/>
    <col min="5425" max="5425" width="15.81640625" style="1612" customWidth="1"/>
    <col min="5426" max="5426" width="22.1796875" style="1612" customWidth="1"/>
    <col min="5427" max="5427" width="11.453125" style="1612" customWidth="1"/>
    <col min="5428" max="5428" width="17.54296875" style="1612" customWidth="1"/>
    <col min="5429" max="5429" width="0.1796875" style="1612" customWidth="1"/>
    <col min="5430" max="5430" width="18.81640625" style="1612" customWidth="1"/>
    <col min="5431" max="5434" width="25.7265625" style="1612" customWidth="1"/>
    <col min="5435" max="5435" width="14.7265625" style="1612" customWidth="1"/>
    <col min="5436" max="5436" width="22" style="1612" customWidth="1"/>
    <col min="5437" max="5437" width="15.26953125" style="1612" customWidth="1"/>
    <col min="5438" max="5441" width="25.7265625" style="1612" customWidth="1"/>
    <col min="5442" max="5442" width="15.7265625" style="1612" customWidth="1"/>
    <col min="5443" max="5443" width="22.453125" style="1612" customWidth="1"/>
    <col min="5444" max="5444" width="14.7265625" style="1612" customWidth="1"/>
    <col min="5445" max="5448" width="25.7265625" style="1612" customWidth="1"/>
    <col min="5449" max="5449" width="15.7265625" style="1612" customWidth="1"/>
    <col min="5450" max="5450" width="21" style="1612" customWidth="1"/>
    <col min="5451" max="5451" width="16.7265625" style="1612" customWidth="1"/>
    <col min="5452" max="5455" width="25.7265625" style="1612" customWidth="1"/>
    <col min="5456" max="5456" width="15.7265625" style="1612" customWidth="1"/>
    <col min="5457" max="5457" width="29.1796875" style="1612" customWidth="1"/>
    <col min="5458" max="5458" width="13.7265625" style="1612" customWidth="1"/>
    <col min="5459" max="5462" width="25.7265625" style="1612" customWidth="1"/>
    <col min="5463" max="5463" width="15.7265625" style="1612" customWidth="1"/>
    <col min="5464" max="5464" width="29.1796875" style="1612" customWidth="1"/>
    <col min="5465" max="5465" width="11.81640625" style="1612" customWidth="1"/>
    <col min="5466" max="5469" width="25.7265625" style="1612" customWidth="1"/>
    <col min="5470" max="5470" width="15.7265625" style="1612" customWidth="1"/>
    <col min="5471" max="5471" width="29.7265625" style="1612" customWidth="1"/>
    <col min="5472" max="5472" width="25.54296875" style="1612" customWidth="1"/>
    <col min="5473" max="5476" width="25.7265625" style="1612" customWidth="1"/>
    <col min="5477" max="5477" width="7.26953125" style="1612" customWidth="1"/>
    <col min="5478" max="5478" width="22.7265625" style="1612" customWidth="1"/>
    <col min="5479" max="5479" width="18.81640625" style="1612" customWidth="1"/>
    <col min="5480" max="5483" width="25.7265625" style="1612" customWidth="1"/>
    <col min="5484" max="5484" width="12.26953125" style="1612" customWidth="1"/>
    <col min="5485" max="5485" width="25.7265625" style="1612" customWidth="1"/>
    <col min="5486" max="5486" width="18.81640625" style="1612" customWidth="1"/>
    <col min="5487" max="5490" width="25.7265625" style="1612" customWidth="1"/>
    <col min="5491" max="5491" width="14.54296875" style="1612" customWidth="1"/>
    <col min="5492" max="5492" width="25.7265625" style="1612" customWidth="1"/>
    <col min="5493" max="5493" width="18.81640625" style="1612" customWidth="1"/>
    <col min="5494" max="5497" width="25.7265625" style="1612" customWidth="1"/>
    <col min="5498" max="5498" width="15.7265625" style="1612" customWidth="1"/>
    <col min="5499" max="5499" width="25.7265625" style="1612" customWidth="1"/>
    <col min="5500" max="5500" width="18.81640625" style="1612" customWidth="1"/>
    <col min="5501" max="5504" width="25.7265625" style="1612" customWidth="1"/>
    <col min="5505" max="5505" width="15.7265625" style="1612" customWidth="1"/>
    <col min="5506" max="5506" width="29.453125" style="1612" customWidth="1"/>
    <col min="5507" max="5507" width="18.81640625" style="1612" customWidth="1"/>
    <col min="5508" max="5508" width="25.7265625" style="1612" customWidth="1"/>
    <col min="5509" max="5509" width="29.7265625" style="1612" customWidth="1"/>
    <col min="5510" max="5511" width="25.7265625" style="1612" customWidth="1"/>
    <col min="5512" max="5512" width="13.7265625" style="1612" customWidth="1"/>
    <col min="5513" max="5513" width="29.1796875" style="1612" customWidth="1"/>
    <col min="5514" max="5514" width="23.7265625" style="1612" customWidth="1"/>
    <col min="5515" max="5518" width="24.81640625" style="1612" customWidth="1"/>
    <col min="5519" max="5519" width="14.7265625" style="1612" customWidth="1"/>
    <col min="5520" max="5520" width="30" style="1612" customWidth="1"/>
    <col min="5521" max="5521" width="22" style="1612" customWidth="1"/>
    <col min="5522" max="5522" width="19.26953125" style="1612" customWidth="1"/>
    <col min="5523" max="5523" width="14.1796875" style="1612" customWidth="1"/>
    <col min="5524" max="5670" width="9.1796875" style="1612"/>
    <col min="5671" max="5671" width="8.7265625" style="1612" customWidth="1"/>
    <col min="5672" max="5672" width="92.7265625" style="1612" customWidth="1"/>
    <col min="5673" max="5673" width="16.1796875" style="1612" customWidth="1"/>
    <col min="5674" max="5674" width="16.81640625" style="1612" customWidth="1"/>
    <col min="5675" max="5675" width="14.7265625" style="1612" customWidth="1"/>
    <col min="5676" max="5676" width="19.453125" style="1612" customWidth="1"/>
    <col min="5677" max="5677" width="15" style="1612" customWidth="1"/>
    <col min="5678" max="5678" width="12.7265625" style="1612" customWidth="1"/>
    <col min="5679" max="5680" width="12.1796875" style="1612" customWidth="1"/>
    <col min="5681" max="5681" width="15.81640625" style="1612" customWidth="1"/>
    <col min="5682" max="5682" width="22.1796875" style="1612" customWidth="1"/>
    <col min="5683" max="5683" width="11.453125" style="1612" customWidth="1"/>
    <col min="5684" max="5684" width="17.54296875" style="1612" customWidth="1"/>
    <col min="5685" max="5685" width="0.1796875" style="1612" customWidth="1"/>
    <col min="5686" max="5686" width="18.81640625" style="1612" customWidth="1"/>
    <col min="5687" max="5690" width="25.7265625" style="1612" customWidth="1"/>
    <col min="5691" max="5691" width="14.7265625" style="1612" customWidth="1"/>
    <col min="5692" max="5692" width="22" style="1612" customWidth="1"/>
    <col min="5693" max="5693" width="15.26953125" style="1612" customWidth="1"/>
    <col min="5694" max="5697" width="25.7265625" style="1612" customWidth="1"/>
    <col min="5698" max="5698" width="15.7265625" style="1612" customWidth="1"/>
    <col min="5699" max="5699" width="22.453125" style="1612" customWidth="1"/>
    <col min="5700" max="5700" width="14.7265625" style="1612" customWidth="1"/>
    <col min="5701" max="5704" width="25.7265625" style="1612" customWidth="1"/>
    <col min="5705" max="5705" width="15.7265625" style="1612" customWidth="1"/>
    <col min="5706" max="5706" width="21" style="1612" customWidth="1"/>
    <col min="5707" max="5707" width="16.7265625" style="1612" customWidth="1"/>
    <col min="5708" max="5711" width="25.7265625" style="1612" customWidth="1"/>
    <col min="5712" max="5712" width="15.7265625" style="1612" customWidth="1"/>
    <col min="5713" max="5713" width="29.1796875" style="1612" customWidth="1"/>
    <col min="5714" max="5714" width="13.7265625" style="1612" customWidth="1"/>
    <col min="5715" max="5718" width="25.7265625" style="1612" customWidth="1"/>
    <col min="5719" max="5719" width="15.7265625" style="1612" customWidth="1"/>
    <col min="5720" max="5720" width="29.1796875" style="1612" customWidth="1"/>
    <col min="5721" max="5721" width="11.81640625" style="1612" customWidth="1"/>
    <col min="5722" max="5725" width="25.7265625" style="1612" customWidth="1"/>
    <col min="5726" max="5726" width="15.7265625" style="1612" customWidth="1"/>
    <col min="5727" max="5727" width="29.7265625" style="1612" customWidth="1"/>
    <col min="5728" max="5728" width="25.54296875" style="1612" customWidth="1"/>
    <col min="5729" max="5732" width="25.7265625" style="1612" customWidth="1"/>
    <col min="5733" max="5733" width="7.26953125" style="1612" customWidth="1"/>
    <col min="5734" max="5734" width="22.7265625" style="1612" customWidth="1"/>
    <col min="5735" max="5735" width="18.81640625" style="1612" customWidth="1"/>
    <col min="5736" max="5739" width="25.7265625" style="1612" customWidth="1"/>
    <col min="5740" max="5740" width="12.26953125" style="1612" customWidth="1"/>
    <col min="5741" max="5741" width="25.7265625" style="1612" customWidth="1"/>
    <col min="5742" max="5742" width="18.81640625" style="1612" customWidth="1"/>
    <col min="5743" max="5746" width="25.7265625" style="1612" customWidth="1"/>
    <col min="5747" max="5747" width="14.54296875" style="1612" customWidth="1"/>
    <col min="5748" max="5748" width="25.7265625" style="1612" customWidth="1"/>
    <col min="5749" max="5749" width="18.81640625" style="1612" customWidth="1"/>
    <col min="5750" max="5753" width="25.7265625" style="1612" customWidth="1"/>
    <col min="5754" max="5754" width="15.7265625" style="1612" customWidth="1"/>
    <col min="5755" max="5755" width="25.7265625" style="1612" customWidth="1"/>
    <col min="5756" max="5756" width="18.81640625" style="1612" customWidth="1"/>
    <col min="5757" max="5760" width="25.7265625" style="1612" customWidth="1"/>
    <col min="5761" max="5761" width="15.7265625" style="1612" customWidth="1"/>
    <col min="5762" max="5762" width="29.453125" style="1612" customWidth="1"/>
    <col min="5763" max="5763" width="18.81640625" style="1612" customWidth="1"/>
    <col min="5764" max="5764" width="25.7265625" style="1612" customWidth="1"/>
    <col min="5765" max="5765" width="29.7265625" style="1612" customWidth="1"/>
    <col min="5766" max="5767" width="25.7265625" style="1612" customWidth="1"/>
    <col min="5768" max="5768" width="13.7265625" style="1612" customWidth="1"/>
    <col min="5769" max="5769" width="29.1796875" style="1612" customWidth="1"/>
    <col min="5770" max="5770" width="23.7265625" style="1612" customWidth="1"/>
    <col min="5771" max="5774" width="24.81640625" style="1612" customWidth="1"/>
    <col min="5775" max="5775" width="14.7265625" style="1612" customWidth="1"/>
    <col min="5776" max="5776" width="30" style="1612" customWidth="1"/>
    <col min="5777" max="5777" width="22" style="1612" customWidth="1"/>
    <col min="5778" max="5778" width="19.26953125" style="1612" customWidth="1"/>
    <col min="5779" max="5779" width="14.1796875" style="1612" customWidth="1"/>
    <col min="5780" max="5926" width="9.1796875" style="1612"/>
    <col min="5927" max="5927" width="8.7265625" style="1612" customWidth="1"/>
    <col min="5928" max="5928" width="92.7265625" style="1612" customWidth="1"/>
    <col min="5929" max="5929" width="16.1796875" style="1612" customWidth="1"/>
    <col min="5930" max="5930" width="16.81640625" style="1612" customWidth="1"/>
    <col min="5931" max="5931" width="14.7265625" style="1612" customWidth="1"/>
    <col min="5932" max="5932" width="19.453125" style="1612" customWidth="1"/>
    <col min="5933" max="5933" width="15" style="1612" customWidth="1"/>
    <col min="5934" max="5934" width="12.7265625" style="1612" customWidth="1"/>
    <col min="5935" max="5936" width="12.1796875" style="1612" customWidth="1"/>
    <col min="5937" max="5937" width="15.81640625" style="1612" customWidth="1"/>
    <col min="5938" max="5938" width="22.1796875" style="1612" customWidth="1"/>
    <col min="5939" max="5939" width="11.453125" style="1612" customWidth="1"/>
    <col min="5940" max="5940" width="17.54296875" style="1612" customWidth="1"/>
    <col min="5941" max="5941" width="0.1796875" style="1612" customWidth="1"/>
    <col min="5942" max="5942" width="18.81640625" style="1612" customWidth="1"/>
    <col min="5943" max="5946" width="25.7265625" style="1612" customWidth="1"/>
    <col min="5947" max="5947" width="14.7265625" style="1612" customWidth="1"/>
    <col min="5948" max="5948" width="22" style="1612" customWidth="1"/>
    <col min="5949" max="5949" width="15.26953125" style="1612" customWidth="1"/>
    <col min="5950" max="5953" width="25.7265625" style="1612" customWidth="1"/>
    <col min="5954" max="5954" width="15.7265625" style="1612" customWidth="1"/>
    <col min="5955" max="5955" width="22.453125" style="1612" customWidth="1"/>
    <col min="5956" max="5956" width="14.7265625" style="1612" customWidth="1"/>
    <col min="5957" max="5960" width="25.7265625" style="1612" customWidth="1"/>
    <col min="5961" max="5961" width="15.7265625" style="1612" customWidth="1"/>
    <col min="5962" max="5962" width="21" style="1612" customWidth="1"/>
    <col min="5963" max="5963" width="16.7265625" style="1612" customWidth="1"/>
    <col min="5964" max="5967" width="25.7265625" style="1612" customWidth="1"/>
    <col min="5968" max="5968" width="15.7265625" style="1612" customWidth="1"/>
    <col min="5969" max="5969" width="29.1796875" style="1612" customWidth="1"/>
    <col min="5970" max="5970" width="13.7265625" style="1612" customWidth="1"/>
    <col min="5971" max="5974" width="25.7265625" style="1612" customWidth="1"/>
    <col min="5975" max="5975" width="15.7265625" style="1612" customWidth="1"/>
    <col min="5976" max="5976" width="29.1796875" style="1612" customWidth="1"/>
    <col min="5977" max="5977" width="11.81640625" style="1612" customWidth="1"/>
    <col min="5978" max="5981" width="25.7265625" style="1612" customWidth="1"/>
    <col min="5982" max="5982" width="15.7265625" style="1612" customWidth="1"/>
    <col min="5983" max="5983" width="29.7265625" style="1612" customWidth="1"/>
    <col min="5984" max="5984" width="25.54296875" style="1612" customWidth="1"/>
    <col min="5985" max="5988" width="25.7265625" style="1612" customWidth="1"/>
    <col min="5989" max="5989" width="7.26953125" style="1612" customWidth="1"/>
    <col min="5990" max="5990" width="22.7265625" style="1612" customWidth="1"/>
    <col min="5991" max="5991" width="18.81640625" style="1612" customWidth="1"/>
    <col min="5992" max="5995" width="25.7265625" style="1612" customWidth="1"/>
    <col min="5996" max="5996" width="12.26953125" style="1612" customWidth="1"/>
    <col min="5997" max="5997" width="25.7265625" style="1612" customWidth="1"/>
    <col min="5998" max="5998" width="18.81640625" style="1612" customWidth="1"/>
    <col min="5999" max="6002" width="25.7265625" style="1612" customWidth="1"/>
    <col min="6003" max="6003" width="14.54296875" style="1612" customWidth="1"/>
    <col min="6004" max="6004" width="25.7265625" style="1612" customWidth="1"/>
    <col min="6005" max="6005" width="18.81640625" style="1612" customWidth="1"/>
    <col min="6006" max="6009" width="25.7265625" style="1612" customWidth="1"/>
    <col min="6010" max="6010" width="15.7265625" style="1612" customWidth="1"/>
    <col min="6011" max="6011" width="25.7265625" style="1612" customWidth="1"/>
    <col min="6012" max="6012" width="18.81640625" style="1612" customWidth="1"/>
    <col min="6013" max="6016" width="25.7265625" style="1612" customWidth="1"/>
    <col min="6017" max="6017" width="15.7265625" style="1612" customWidth="1"/>
    <col min="6018" max="6018" width="29.453125" style="1612" customWidth="1"/>
    <col min="6019" max="6019" width="18.81640625" style="1612" customWidth="1"/>
    <col min="6020" max="6020" width="25.7265625" style="1612" customWidth="1"/>
    <col min="6021" max="6021" width="29.7265625" style="1612" customWidth="1"/>
    <col min="6022" max="6023" width="25.7265625" style="1612" customWidth="1"/>
    <col min="6024" max="6024" width="13.7265625" style="1612" customWidth="1"/>
    <col min="6025" max="6025" width="29.1796875" style="1612" customWidth="1"/>
    <col min="6026" max="6026" width="23.7265625" style="1612" customWidth="1"/>
    <col min="6027" max="6030" width="24.81640625" style="1612" customWidth="1"/>
    <col min="6031" max="6031" width="14.7265625" style="1612" customWidth="1"/>
    <col min="6032" max="6032" width="30" style="1612" customWidth="1"/>
    <col min="6033" max="6033" width="22" style="1612" customWidth="1"/>
    <col min="6034" max="6034" width="19.26953125" style="1612" customWidth="1"/>
    <col min="6035" max="6035" width="14.1796875" style="1612" customWidth="1"/>
    <col min="6036" max="6182" width="9.1796875" style="1612"/>
    <col min="6183" max="6183" width="8.7265625" style="1612" customWidth="1"/>
    <col min="6184" max="6184" width="92.7265625" style="1612" customWidth="1"/>
    <col min="6185" max="6185" width="16.1796875" style="1612" customWidth="1"/>
    <col min="6186" max="6186" width="16.81640625" style="1612" customWidth="1"/>
    <col min="6187" max="6187" width="14.7265625" style="1612" customWidth="1"/>
    <col min="6188" max="6188" width="19.453125" style="1612" customWidth="1"/>
    <col min="6189" max="6189" width="15" style="1612" customWidth="1"/>
    <col min="6190" max="6190" width="12.7265625" style="1612" customWidth="1"/>
    <col min="6191" max="6192" width="12.1796875" style="1612" customWidth="1"/>
    <col min="6193" max="6193" width="15.81640625" style="1612" customWidth="1"/>
    <col min="6194" max="6194" width="22.1796875" style="1612" customWidth="1"/>
    <col min="6195" max="6195" width="11.453125" style="1612" customWidth="1"/>
    <col min="6196" max="6196" width="17.54296875" style="1612" customWidth="1"/>
    <col min="6197" max="6197" width="0.1796875" style="1612" customWidth="1"/>
    <col min="6198" max="6198" width="18.81640625" style="1612" customWidth="1"/>
    <col min="6199" max="6202" width="25.7265625" style="1612" customWidth="1"/>
    <col min="6203" max="6203" width="14.7265625" style="1612" customWidth="1"/>
    <col min="6204" max="6204" width="22" style="1612" customWidth="1"/>
    <col min="6205" max="6205" width="15.26953125" style="1612" customWidth="1"/>
    <col min="6206" max="6209" width="25.7265625" style="1612" customWidth="1"/>
    <col min="6210" max="6210" width="15.7265625" style="1612" customWidth="1"/>
    <col min="6211" max="6211" width="22.453125" style="1612" customWidth="1"/>
    <col min="6212" max="6212" width="14.7265625" style="1612" customWidth="1"/>
    <col min="6213" max="6216" width="25.7265625" style="1612" customWidth="1"/>
    <col min="6217" max="6217" width="15.7265625" style="1612" customWidth="1"/>
    <col min="6218" max="6218" width="21" style="1612" customWidth="1"/>
    <col min="6219" max="6219" width="16.7265625" style="1612" customWidth="1"/>
    <col min="6220" max="6223" width="25.7265625" style="1612" customWidth="1"/>
    <col min="6224" max="6224" width="15.7265625" style="1612" customWidth="1"/>
    <col min="6225" max="6225" width="29.1796875" style="1612" customWidth="1"/>
    <col min="6226" max="6226" width="13.7265625" style="1612" customWidth="1"/>
    <col min="6227" max="6230" width="25.7265625" style="1612" customWidth="1"/>
    <col min="6231" max="6231" width="15.7265625" style="1612" customWidth="1"/>
    <col min="6232" max="6232" width="29.1796875" style="1612" customWidth="1"/>
    <col min="6233" max="6233" width="11.81640625" style="1612" customWidth="1"/>
    <col min="6234" max="6237" width="25.7265625" style="1612" customWidth="1"/>
    <col min="6238" max="6238" width="15.7265625" style="1612" customWidth="1"/>
    <col min="6239" max="6239" width="29.7265625" style="1612" customWidth="1"/>
    <col min="6240" max="6240" width="25.54296875" style="1612" customWidth="1"/>
    <col min="6241" max="6244" width="25.7265625" style="1612" customWidth="1"/>
    <col min="6245" max="6245" width="7.26953125" style="1612" customWidth="1"/>
    <col min="6246" max="6246" width="22.7265625" style="1612" customWidth="1"/>
    <col min="6247" max="6247" width="18.81640625" style="1612" customWidth="1"/>
    <col min="6248" max="6251" width="25.7265625" style="1612" customWidth="1"/>
    <col min="6252" max="6252" width="12.26953125" style="1612" customWidth="1"/>
    <col min="6253" max="6253" width="25.7265625" style="1612" customWidth="1"/>
    <col min="6254" max="6254" width="18.81640625" style="1612" customWidth="1"/>
    <col min="6255" max="6258" width="25.7265625" style="1612" customWidth="1"/>
    <col min="6259" max="6259" width="14.54296875" style="1612" customWidth="1"/>
    <col min="6260" max="6260" width="25.7265625" style="1612" customWidth="1"/>
    <col min="6261" max="6261" width="18.81640625" style="1612" customWidth="1"/>
    <col min="6262" max="6265" width="25.7265625" style="1612" customWidth="1"/>
    <col min="6266" max="6266" width="15.7265625" style="1612" customWidth="1"/>
    <col min="6267" max="6267" width="25.7265625" style="1612" customWidth="1"/>
    <col min="6268" max="6268" width="18.81640625" style="1612" customWidth="1"/>
    <col min="6269" max="6272" width="25.7265625" style="1612" customWidth="1"/>
    <col min="6273" max="6273" width="15.7265625" style="1612" customWidth="1"/>
    <col min="6274" max="6274" width="29.453125" style="1612" customWidth="1"/>
    <col min="6275" max="6275" width="18.81640625" style="1612" customWidth="1"/>
    <col min="6276" max="6276" width="25.7265625" style="1612" customWidth="1"/>
    <col min="6277" max="6277" width="29.7265625" style="1612" customWidth="1"/>
    <col min="6278" max="6279" width="25.7265625" style="1612" customWidth="1"/>
    <col min="6280" max="6280" width="13.7265625" style="1612" customWidth="1"/>
    <col min="6281" max="6281" width="29.1796875" style="1612" customWidth="1"/>
    <col min="6282" max="6282" width="23.7265625" style="1612" customWidth="1"/>
    <col min="6283" max="6286" width="24.81640625" style="1612" customWidth="1"/>
    <col min="6287" max="6287" width="14.7265625" style="1612" customWidth="1"/>
    <col min="6288" max="6288" width="30" style="1612" customWidth="1"/>
    <col min="6289" max="6289" width="22" style="1612" customWidth="1"/>
    <col min="6290" max="6290" width="19.26953125" style="1612" customWidth="1"/>
    <col min="6291" max="6291" width="14.1796875" style="1612" customWidth="1"/>
    <col min="6292" max="6438" width="9.1796875" style="1612"/>
    <col min="6439" max="6439" width="8.7265625" style="1612" customWidth="1"/>
    <col min="6440" max="6440" width="92.7265625" style="1612" customWidth="1"/>
    <col min="6441" max="6441" width="16.1796875" style="1612" customWidth="1"/>
    <col min="6442" max="6442" width="16.81640625" style="1612" customWidth="1"/>
    <col min="6443" max="6443" width="14.7265625" style="1612" customWidth="1"/>
    <col min="6444" max="6444" width="19.453125" style="1612" customWidth="1"/>
    <col min="6445" max="6445" width="15" style="1612" customWidth="1"/>
    <col min="6446" max="6446" width="12.7265625" style="1612" customWidth="1"/>
    <col min="6447" max="6448" width="12.1796875" style="1612" customWidth="1"/>
    <col min="6449" max="6449" width="15.81640625" style="1612" customWidth="1"/>
    <col min="6450" max="6450" width="22.1796875" style="1612" customWidth="1"/>
    <col min="6451" max="6451" width="11.453125" style="1612" customWidth="1"/>
    <col min="6452" max="6452" width="17.54296875" style="1612" customWidth="1"/>
    <col min="6453" max="6453" width="0.1796875" style="1612" customWidth="1"/>
    <col min="6454" max="6454" width="18.81640625" style="1612" customWidth="1"/>
    <col min="6455" max="6458" width="25.7265625" style="1612" customWidth="1"/>
    <col min="6459" max="6459" width="14.7265625" style="1612" customWidth="1"/>
    <col min="6460" max="6460" width="22" style="1612" customWidth="1"/>
    <col min="6461" max="6461" width="15.26953125" style="1612" customWidth="1"/>
    <col min="6462" max="6465" width="25.7265625" style="1612" customWidth="1"/>
    <col min="6466" max="6466" width="15.7265625" style="1612" customWidth="1"/>
    <col min="6467" max="6467" width="22.453125" style="1612" customWidth="1"/>
    <col min="6468" max="6468" width="14.7265625" style="1612" customWidth="1"/>
    <col min="6469" max="6472" width="25.7265625" style="1612" customWidth="1"/>
    <col min="6473" max="6473" width="15.7265625" style="1612" customWidth="1"/>
    <col min="6474" max="6474" width="21" style="1612" customWidth="1"/>
    <col min="6475" max="6475" width="16.7265625" style="1612" customWidth="1"/>
    <col min="6476" max="6479" width="25.7265625" style="1612" customWidth="1"/>
    <col min="6480" max="6480" width="15.7265625" style="1612" customWidth="1"/>
    <col min="6481" max="6481" width="29.1796875" style="1612" customWidth="1"/>
    <col min="6482" max="6482" width="13.7265625" style="1612" customWidth="1"/>
    <col min="6483" max="6486" width="25.7265625" style="1612" customWidth="1"/>
    <col min="6487" max="6487" width="15.7265625" style="1612" customWidth="1"/>
    <col min="6488" max="6488" width="29.1796875" style="1612" customWidth="1"/>
    <col min="6489" max="6489" width="11.81640625" style="1612" customWidth="1"/>
    <col min="6490" max="6493" width="25.7265625" style="1612" customWidth="1"/>
    <col min="6494" max="6494" width="15.7265625" style="1612" customWidth="1"/>
    <col min="6495" max="6495" width="29.7265625" style="1612" customWidth="1"/>
    <col min="6496" max="6496" width="25.54296875" style="1612" customWidth="1"/>
    <col min="6497" max="6500" width="25.7265625" style="1612" customWidth="1"/>
    <col min="6501" max="6501" width="7.26953125" style="1612" customWidth="1"/>
    <col min="6502" max="6502" width="22.7265625" style="1612" customWidth="1"/>
    <col min="6503" max="6503" width="18.81640625" style="1612" customWidth="1"/>
    <col min="6504" max="6507" width="25.7265625" style="1612" customWidth="1"/>
    <col min="6508" max="6508" width="12.26953125" style="1612" customWidth="1"/>
    <col min="6509" max="6509" width="25.7265625" style="1612" customWidth="1"/>
    <col min="6510" max="6510" width="18.81640625" style="1612" customWidth="1"/>
    <col min="6511" max="6514" width="25.7265625" style="1612" customWidth="1"/>
    <col min="6515" max="6515" width="14.54296875" style="1612" customWidth="1"/>
    <col min="6516" max="6516" width="25.7265625" style="1612" customWidth="1"/>
    <col min="6517" max="6517" width="18.81640625" style="1612" customWidth="1"/>
    <col min="6518" max="6521" width="25.7265625" style="1612" customWidth="1"/>
    <col min="6522" max="6522" width="15.7265625" style="1612" customWidth="1"/>
    <col min="6523" max="6523" width="25.7265625" style="1612" customWidth="1"/>
    <col min="6524" max="6524" width="18.81640625" style="1612" customWidth="1"/>
    <col min="6525" max="6528" width="25.7265625" style="1612" customWidth="1"/>
    <col min="6529" max="6529" width="15.7265625" style="1612" customWidth="1"/>
    <col min="6530" max="6530" width="29.453125" style="1612" customWidth="1"/>
    <col min="6531" max="6531" width="18.81640625" style="1612" customWidth="1"/>
    <col min="6532" max="6532" width="25.7265625" style="1612" customWidth="1"/>
    <col min="6533" max="6533" width="29.7265625" style="1612" customWidth="1"/>
    <col min="6534" max="6535" width="25.7265625" style="1612" customWidth="1"/>
    <col min="6536" max="6536" width="13.7265625" style="1612" customWidth="1"/>
    <col min="6537" max="6537" width="29.1796875" style="1612" customWidth="1"/>
    <col min="6538" max="6538" width="23.7265625" style="1612" customWidth="1"/>
    <col min="6539" max="6542" width="24.81640625" style="1612" customWidth="1"/>
    <col min="6543" max="6543" width="14.7265625" style="1612" customWidth="1"/>
    <col min="6544" max="6544" width="30" style="1612" customWidth="1"/>
    <col min="6545" max="6545" width="22" style="1612" customWidth="1"/>
    <col min="6546" max="6546" width="19.26953125" style="1612" customWidth="1"/>
    <col min="6547" max="6547" width="14.1796875" style="1612" customWidth="1"/>
    <col min="6548" max="6694" width="9.1796875" style="1612"/>
    <col min="6695" max="6695" width="8.7265625" style="1612" customWidth="1"/>
    <col min="6696" max="6696" width="92.7265625" style="1612" customWidth="1"/>
    <col min="6697" max="6697" width="16.1796875" style="1612" customWidth="1"/>
    <col min="6698" max="6698" width="16.81640625" style="1612" customWidth="1"/>
    <col min="6699" max="6699" width="14.7265625" style="1612" customWidth="1"/>
    <col min="6700" max="6700" width="19.453125" style="1612" customWidth="1"/>
    <col min="6701" max="6701" width="15" style="1612" customWidth="1"/>
    <col min="6702" max="6702" width="12.7265625" style="1612" customWidth="1"/>
    <col min="6703" max="6704" width="12.1796875" style="1612" customWidth="1"/>
    <col min="6705" max="6705" width="15.81640625" style="1612" customWidth="1"/>
    <col min="6706" max="6706" width="22.1796875" style="1612" customWidth="1"/>
    <col min="6707" max="6707" width="11.453125" style="1612" customWidth="1"/>
    <col min="6708" max="6708" width="17.54296875" style="1612" customWidth="1"/>
    <col min="6709" max="6709" width="0.1796875" style="1612" customWidth="1"/>
    <col min="6710" max="6710" width="18.81640625" style="1612" customWidth="1"/>
    <col min="6711" max="6714" width="25.7265625" style="1612" customWidth="1"/>
    <col min="6715" max="6715" width="14.7265625" style="1612" customWidth="1"/>
    <col min="6716" max="6716" width="22" style="1612" customWidth="1"/>
    <col min="6717" max="6717" width="15.26953125" style="1612" customWidth="1"/>
    <col min="6718" max="6721" width="25.7265625" style="1612" customWidth="1"/>
    <col min="6722" max="6722" width="15.7265625" style="1612" customWidth="1"/>
    <col min="6723" max="6723" width="22.453125" style="1612" customWidth="1"/>
    <col min="6724" max="6724" width="14.7265625" style="1612" customWidth="1"/>
    <col min="6725" max="6728" width="25.7265625" style="1612" customWidth="1"/>
    <col min="6729" max="6729" width="15.7265625" style="1612" customWidth="1"/>
    <col min="6730" max="6730" width="21" style="1612" customWidth="1"/>
    <col min="6731" max="6731" width="16.7265625" style="1612" customWidth="1"/>
    <col min="6732" max="6735" width="25.7265625" style="1612" customWidth="1"/>
    <col min="6736" max="6736" width="15.7265625" style="1612" customWidth="1"/>
    <col min="6737" max="6737" width="29.1796875" style="1612" customWidth="1"/>
    <col min="6738" max="6738" width="13.7265625" style="1612" customWidth="1"/>
    <col min="6739" max="6742" width="25.7265625" style="1612" customWidth="1"/>
    <col min="6743" max="6743" width="15.7265625" style="1612" customWidth="1"/>
    <col min="6744" max="6744" width="29.1796875" style="1612" customWidth="1"/>
    <col min="6745" max="6745" width="11.81640625" style="1612" customWidth="1"/>
    <col min="6746" max="6749" width="25.7265625" style="1612" customWidth="1"/>
    <col min="6750" max="6750" width="15.7265625" style="1612" customWidth="1"/>
    <col min="6751" max="6751" width="29.7265625" style="1612" customWidth="1"/>
    <col min="6752" max="6752" width="25.54296875" style="1612" customWidth="1"/>
    <col min="6753" max="6756" width="25.7265625" style="1612" customWidth="1"/>
    <col min="6757" max="6757" width="7.26953125" style="1612" customWidth="1"/>
    <col min="6758" max="6758" width="22.7265625" style="1612" customWidth="1"/>
    <col min="6759" max="6759" width="18.81640625" style="1612" customWidth="1"/>
    <col min="6760" max="6763" width="25.7265625" style="1612" customWidth="1"/>
    <col min="6764" max="6764" width="12.26953125" style="1612" customWidth="1"/>
    <col min="6765" max="6765" width="25.7265625" style="1612" customWidth="1"/>
    <col min="6766" max="6766" width="18.81640625" style="1612" customWidth="1"/>
    <col min="6767" max="6770" width="25.7265625" style="1612" customWidth="1"/>
    <col min="6771" max="6771" width="14.54296875" style="1612" customWidth="1"/>
    <col min="6772" max="6772" width="25.7265625" style="1612" customWidth="1"/>
    <col min="6773" max="6773" width="18.81640625" style="1612" customWidth="1"/>
    <col min="6774" max="6777" width="25.7265625" style="1612" customWidth="1"/>
    <col min="6778" max="6778" width="15.7265625" style="1612" customWidth="1"/>
    <col min="6779" max="6779" width="25.7265625" style="1612" customWidth="1"/>
    <col min="6780" max="6780" width="18.81640625" style="1612" customWidth="1"/>
    <col min="6781" max="6784" width="25.7265625" style="1612" customWidth="1"/>
    <col min="6785" max="6785" width="15.7265625" style="1612" customWidth="1"/>
    <col min="6786" max="6786" width="29.453125" style="1612" customWidth="1"/>
    <col min="6787" max="6787" width="18.81640625" style="1612" customWidth="1"/>
    <col min="6788" max="6788" width="25.7265625" style="1612" customWidth="1"/>
    <col min="6789" max="6789" width="29.7265625" style="1612" customWidth="1"/>
    <col min="6790" max="6791" width="25.7265625" style="1612" customWidth="1"/>
    <col min="6792" max="6792" width="13.7265625" style="1612" customWidth="1"/>
    <col min="6793" max="6793" width="29.1796875" style="1612" customWidth="1"/>
    <col min="6794" max="6794" width="23.7265625" style="1612" customWidth="1"/>
    <col min="6795" max="6798" width="24.81640625" style="1612" customWidth="1"/>
    <col min="6799" max="6799" width="14.7265625" style="1612" customWidth="1"/>
    <col min="6800" max="6800" width="30" style="1612" customWidth="1"/>
    <col min="6801" max="6801" width="22" style="1612" customWidth="1"/>
    <col min="6802" max="6802" width="19.26953125" style="1612" customWidth="1"/>
    <col min="6803" max="6803" width="14.1796875" style="1612" customWidth="1"/>
    <col min="6804" max="6950" width="9.1796875" style="1612"/>
    <col min="6951" max="6951" width="8.7265625" style="1612" customWidth="1"/>
    <col min="6952" max="6952" width="92.7265625" style="1612" customWidth="1"/>
    <col min="6953" max="6953" width="16.1796875" style="1612" customWidth="1"/>
    <col min="6954" max="6954" width="16.81640625" style="1612" customWidth="1"/>
    <col min="6955" max="6955" width="14.7265625" style="1612" customWidth="1"/>
    <col min="6956" max="6956" width="19.453125" style="1612" customWidth="1"/>
    <col min="6957" max="6957" width="15" style="1612" customWidth="1"/>
    <col min="6958" max="6958" width="12.7265625" style="1612" customWidth="1"/>
    <col min="6959" max="6960" width="12.1796875" style="1612" customWidth="1"/>
    <col min="6961" max="6961" width="15.81640625" style="1612" customWidth="1"/>
    <col min="6962" max="6962" width="22.1796875" style="1612" customWidth="1"/>
    <col min="6963" max="6963" width="11.453125" style="1612" customWidth="1"/>
    <col min="6964" max="6964" width="17.54296875" style="1612" customWidth="1"/>
    <col min="6965" max="6965" width="0.1796875" style="1612" customWidth="1"/>
    <col min="6966" max="6966" width="18.81640625" style="1612" customWidth="1"/>
    <col min="6967" max="6970" width="25.7265625" style="1612" customWidth="1"/>
    <col min="6971" max="6971" width="14.7265625" style="1612" customWidth="1"/>
    <col min="6972" max="6972" width="22" style="1612" customWidth="1"/>
    <col min="6973" max="6973" width="15.26953125" style="1612" customWidth="1"/>
    <col min="6974" max="6977" width="25.7265625" style="1612" customWidth="1"/>
    <col min="6978" max="6978" width="15.7265625" style="1612" customWidth="1"/>
    <col min="6979" max="6979" width="22.453125" style="1612" customWidth="1"/>
    <col min="6980" max="6980" width="14.7265625" style="1612" customWidth="1"/>
    <col min="6981" max="6984" width="25.7265625" style="1612" customWidth="1"/>
    <col min="6985" max="6985" width="15.7265625" style="1612" customWidth="1"/>
    <col min="6986" max="6986" width="21" style="1612" customWidth="1"/>
    <col min="6987" max="6987" width="16.7265625" style="1612" customWidth="1"/>
    <col min="6988" max="6991" width="25.7265625" style="1612" customWidth="1"/>
    <col min="6992" max="6992" width="15.7265625" style="1612" customWidth="1"/>
    <col min="6993" max="6993" width="29.1796875" style="1612" customWidth="1"/>
    <col min="6994" max="6994" width="13.7265625" style="1612" customWidth="1"/>
    <col min="6995" max="6998" width="25.7265625" style="1612" customWidth="1"/>
    <col min="6999" max="6999" width="15.7265625" style="1612" customWidth="1"/>
    <col min="7000" max="7000" width="29.1796875" style="1612" customWidth="1"/>
    <col min="7001" max="7001" width="11.81640625" style="1612" customWidth="1"/>
    <col min="7002" max="7005" width="25.7265625" style="1612" customWidth="1"/>
    <col min="7006" max="7006" width="15.7265625" style="1612" customWidth="1"/>
    <col min="7007" max="7007" width="29.7265625" style="1612" customWidth="1"/>
    <col min="7008" max="7008" width="25.54296875" style="1612" customWidth="1"/>
    <col min="7009" max="7012" width="25.7265625" style="1612" customWidth="1"/>
    <col min="7013" max="7013" width="7.26953125" style="1612" customWidth="1"/>
    <col min="7014" max="7014" width="22.7265625" style="1612" customWidth="1"/>
    <col min="7015" max="7015" width="18.81640625" style="1612" customWidth="1"/>
    <col min="7016" max="7019" width="25.7265625" style="1612" customWidth="1"/>
    <col min="7020" max="7020" width="12.26953125" style="1612" customWidth="1"/>
    <col min="7021" max="7021" width="25.7265625" style="1612" customWidth="1"/>
    <col min="7022" max="7022" width="18.81640625" style="1612" customWidth="1"/>
    <col min="7023" max="7026" width="25.7265625" style="1612" customWidth="1"/>
    <col min="7027" max="7027" width="14.54296875" style="1612" customWidth="1"/>
    <col min="7028" max="7028" width="25.7265625" style="1612" customWidth="1"/>
    <col min="7029" max="7029" width="18.81640625" style="1612" customWidth="1"/>
    <col min="7030" max="7033" width="25.7265625" style="1612" customWidth="1"/>
    <col min="7034" max="7034" width="15.7265625" style="1612" customWidth="1"/>
    <col min="7035" max="7035" width="25.7265625" style="1612" customWidth="1"/>
    <col min="7036" max="7036" width="18.81640625" style="1612" customWidth="1"/>
    <col min="7037" max="7040" width="25.7265625" style="1612" customWidth="1"/>
    <col min="7041" max="7041" width="15.7265625" style="1612" customWidth="1"/>
    <col min="7042" max="7042" width="29.453125" style="1612" customWidth="1"/>
    <col min="7043" max="7043" width="18.81640625" style="1612" customWidth="1"/>
    <col min="7044" max="7044" width="25.7265625" style="1612" customWidth="1"/>
    <col min="7045" max="7045" width="29.7265625" style="1612" customWidth="1"/>
    <col min="7046" max="7047" width="25.7265625" style="1612" customWidth="1"/>
    <col min="7048" max="7048" width="13.7265625" style="1612" customWidth="1"/>
    <col min="7049" max="7049" width="29.1796875" style="1612" customWidth="1"/>
    <col min="7050" max="7050" width="23.7265625" style="1612" customWidth="1"/>
    <col min="7051" max="7054" width="24.81640625" style="1612" customWidth="1"/>
    <col min="7055" max="7055" width="14.7265625" style="1612" customWidth="1"/>
    <col min="7056" max="7056" width="30" style="1612" customWidth="1"/>
    <col min="7057" max="7057" width="22" style="1612" customWidth="1"/>
    <col min="7058" max="7058" width="19.26953125" style="1612" customWidth="1"/>
    <col min="7059" max="7059" width="14.1796875" style="1612" customWidth="1"/>
    <col min="7060" max="7206" width="9.1796875" style="1612"/>
    <col min="7207" max="7207" width="8.7265625" style="1612" customWidth="1"/>
    <col min="7208" max="7208" width="92.7265625" style="1612" customWidth="1"/>
    <col min="7209" max="7209" width="16.1796875" style="1612" customWidth="1"/>
    <col min="7210" max="7210" width="16.81640625" style="1612" customWidth="1"/>
    <col min="7211" max="7211" width="14.7265625" style="1612" customWidth="1"/>
    <col min="7212" max="7212" width="19.453125" style="1612" customWidth="1"/>
    <col min="7213" max="7213" width="15" style="1612" customWidth="1"/>
    <col min="7214" max="7214" width="12.7265625" style="1612" customWidth="1"/>
    <col min="7215" max="7216" width="12.1796875" style="1612" customWidth="1"/>
    <col min="7217" max="7217" width="15.81640625" style="1612" customWidth="1"/>
    <col min="7218" max="7218" width="22.1796875" style="1612" customWidth="1"/>
    <col min="7219" max="7219" width="11.453125" style="1612" customWidth="1"/>
    <col min="7220" max="7220" width="17.54296875" style="1612" customWidth="1"/>
    <col min="7221" max="7221" width="0.1796875" style="1612" customWidth="1"/>
    <col min="7222" max="7222" width="18.81640625" style="1612" customWidth="1"/>
    <col min="7223" max="7226" width="25.7265625" style="1612" customWidth="1"/>
    <col min="7227" max="7227" width="14.7265625" style="1612" customWidth="1"/>
    <col min="7228" max="7228" width="22" style="1612" customWidth="1"/>
    <col min="7229" max="7229" width="15.26953125" style="1612" customWidth="1"/>
    <col min="7230" max="7233" width="25.7265625" style="1612" customWidth="1"/>
    <col min="7234" max="7234" width="15.7265625" style="1612" customWidth="1"/>
    <col min="7235" max="7235" width="22.453125" style="1612" customWidth="1"/>
    <col min="7236" max="7236" width="14.7265625" style="1612" customWidth="1"/>
    <col min="7237" max="7240" width="25.7265625" style="1612" customWidth="1"/>
    <col min="7241" max="7241" width="15.7265625" style="1612" customWidth="1"/>
    <col min="7242" max="7242" width="21" style="1612" customWidth="1"/>
    <col min="7243" max="7243" width="16.7265625" style="1612" customWidth="1"/>
    <col min="7244" max="7247" width="25.7265625" style="1612" customWidth="1"/>
    <col min="7248" max="7248" width="15.7265625" style="1612" customWidth="1"/>
    <col min="7249" max="7249" width="29.1796875" style="1612" customWidth="1"/>
    <col min="7250" max="7250" width="13.7265625" style="1612" customWidth="1"/>
    <col min="7251" max="7254" width="25.7265625" style="1612" customWidth="1"/>
    <col min="7255" max="7255" width="15.7265625" style="1612" customWidth="1"/>
    <col min="7256" max="7256" width="29.1796875" style="1612" customWidth="1"/>
    <col min="7257" max="7257" width="11.81640625" style="1612" customWidth="1"/>
    <col min="7258" max="7261" width="25.7265625" style="1612" customWidth="1"/>
    <col min="7262" max="7262" width="15.7265625" style="1612" customWidth="1"/>
    <col min="7263" max="7263" width="29.7265625" style="1612" customWidth="1"/>
    <col min="7264" max="7264" width="25.54296875" style="1612" customWidth="1"/>
    <col min="7265" max="7268" width="25.7265625" style="1612" customWidth="1"/>
    <col min="7269" max="7269" width="7.26953125" style="1612" customWidth="1"/>
    <col min="7270" max="7270" width="22.7265625" style="1612" customWidth="1"/>
    <col min="7271" max="7271" width="18.81640625" style="1612" customWidth="1"/>
    <col min="7272" max="7275" width="25.7265625" style="1612" customWidth="1"/>
    <col min="7276" max="7276" width="12.26953125" style="1612" customWidth="1"/>
    <col min="7277" max="7277" width="25.7265625" style="1612" customWidth="1"/>
    <col min="7278" max="7278" width="18.81640625" style="1612" customWidth="1"/>
    <col min="7279" max="7282" width="25.7265625" style="1612" customWidth="1"/>
    <col min="7283" max="7283" width="14.54296875" style="1612" customWidth="1"/>
    <col min="7284" max="7284" width="25.7265625" style="1612" customWidth="1"/>
    <col min="7285" max="7285" width="18.81640625" style="1612" customWidth="1"/>
    <col min="7286" max="7289" width="25.7265625" style="1612" customWidth="1"/>
    <col min="7290" max="7290" width="15.7265625" style="1612" customWidth="1"/>
    <col min="7291" max="7291" width="25.7265625" style="1612" customWidth="1"/>
    <col min="7292" max="7292" width="18.81640625" style="1612" customWidth="1"/>
    <col min="7293" max="7296" width="25.7265625" style="1612" customWidth="1"/>
    <col min="7297" max="7297" width="15.7265625" style="1612" customWidth="1"/>
    <col min="7298" max="7298" width="29.453125" style="1612" customWidth="1"/>
    <col min="7299" max="7299" width="18.81640625" style="1612" customWidth="1"/>
    <col min="7300" max="7300" width="25.7265625" style="1612" customWidth="1"/>
    <col min="7301" max="7301" width="29.7265625" style="1612" customWidth="1"/>
    <col min="7302" max="7303" width="25.7265625" style="1612" customWidth="1"/>
    <col min="7304" max="7304" width="13.7265625" style="1612" customWidth="1"/>
    <col min="7305" max="7305" width="29.1796875" style="1612" customWidth="1"/>
    <col min="7306" max="7306" width="23.7265625" style="1612" customWidth="1"/>
    <col min="7307" max="7310" width="24.81640625" style="1612" customWidth="1"/>
    <col min="7311" max="7311" width="14.7265625" style="1612" customWidth="1"/>
    <col min="7312" max="7312" width="30" style="1612" customWidth="1"/>
    <col min="7313" max="7313" width="22" style="1612" customWidth="1"/>
    <col min="7314" max="7314" width="19.26953125" style="1612" customWidth="1"/>
    <col min="7315" max="7315" width="14.1796875" style="1612" customWidth="1"/>
    <col min="7316" max="7462" width="9.1796875" style="1612"/>
    <col min="7463" max="7463" width="8.7265625" style="1612" customWidth="1"/>
    <col min="7464" max="7464" width="92.7265625" style="1612" customWidth="1"/>
    <col min="7465" max="7465" width="16.1796875" style="1612" customWidth="1"/>
    <col min="7466" max="7466" width="16.81640625" style="1612" customWidth="1"/>
    <col min="7467" max="7467" width="14.7265625" style="1612" customWidth="1"/>
    <col min="7468" max="7468" width="19.453125" style="1612" customWidth="1"/>
    <col min="7469" max="7469" width="15" style="1612" customWidth="1"/>
    <col min="7470" max="7470" width="12.7265625" style="1612" customWidth="1"/>
    <col min="7471" max="7472" width="12.1796875" style="1612" customWidth="1"/>
    <col min="7473" max="7473" width="15.81640625" style="1612" customWidth="1"/>
    <col min="7474" max="7474" width="22.1796875" style="1612" customWidth="1"/>
    <col min="7475" max="7475" width="11.453125" style="1612" customWidth="1"/>
    <col min="7476" max="7476" width="17.54296875" style="1612" customWidth="1"/>
    <col min="7477" max="7477" width="0.1796875" style="1612" customWidth="1"/>
    <col min="7478" max="7478" width="18.81640625" style="1612" customWidth="1"/>
    <col min="7479" max="7482" width="25.7265625" style="1612" customWidth="1"/>
    <col min="7483" max="7483" width="14.7265625" style="1612" customWidth="1"/>
    <col min="7484" max="7484" width="22" style="1612" customWidth="1"/>
    <col min="7485" max="7485" width="15.26953125" style="1612" customWidth="1"/>
    <col min="7486" max="7489" width="25.7265625" style="1612" customWidth="1"/>
    <col min="7490" max="7490" width="15.7265625" style="1612" customWidth="1"/>
    <col min="7491" max="7491" width="22.453125" style="1612" customWidth="1"/>
    <col min="7492" max="7492" width="14.7265625" style="1612" customWidth="1"/>
    <col min="7493" max="7496" width="25.7265625" style="1612" customWidth="1"/>
    <col min="7497" max="7497" width="15.7265625" style="1612" customWidth="1"/>
    <col min="7498" max="7498" width="21" style="1612" customWidth="1"/>
    <col min="7499" max="7499" width="16.7265625" style="1612" customWidth="1"/>
    <col min="7500" max="7503" width="25.7265625" style="1612" customWidth="1"/>
    <col min="7504" max="7504" width="15.7265625" style="1612" customWidth="1"/>
    <col min="7505" max="7505" width="29.1796875" style="1612" customWidth="1"/>
    <col min="7506" max="7506" width="13.7265625" style="1612" customWidth="1"/>
    <col min="7507" max="7510" width="25.7265625" style="1612" customWidth="1"/>
    <col min="7511" max="7511" width="15.7265625" style="1612" customWidth="1"/>
    <col min="7512" max="7512" width="29.1796875" style="1612" customWidth="1"/>
    <col min="7513" max="7513" width="11.81640625" style="1612" customWidth="1"/>
    <col min="7514" max="7517" width="25.7265625" style="1612" customWidth="1"/>
    <col min="7518" max="7518" width="15.7265625" style="1612" customWidth="1"/>
    <col min="7519" max="7519" width="29.7265625" style="1612" customWidth="1"/>
    <col min="7520" max="7520" width="25.54296875" style="1612" customWidth="1"/>
    <col min="7521" max="7524" width="25.7265625" style="1612" customWidth="1"/>
    <col min="7525" max="7525" width="7.26953125" style="1612" customWidth="1"/>
    <col min="7526" max="7526" width="22.7265625" style="1612" customWidth="1"/>
    <col min="7527" max="7527" width="18.81640625" style="1612" customWidth="1"/>
    <col min="7528" max="7531" width="25.7265625" style="1612" customWidth="1"/>
    <col min="7532" max="7532" width="12.26953125" style="1612" customWidth="1"/>
    <col min="7533" max="7533" width="25.7265625" style="1612" customWidth="1"/>
    <col min="7534" max="7534" width="18.81640625" style="1612" customWidth="1"/>
    <col min="7535" max="7538" width="25.7265625" style="1612" customWidth="1"/>
    <col min="7539" max="7539" width="14.54296875" style="1612" customWidth="1"/>
    <col min="7540" max="7540" width="25.7265625" style="1612" customWidth="1"/>
    <col min="7541" max="7541" width="18.81640625" style="1612" customWidth="1"/>
    <col min="7542" max="7545" width="25.7265625" style="1612" customWidth="1"/>
    <col min="7546" max="7546" width="15.7265625" style="1612" customWidth="1"/>
    <col min="7547" max="7547" width="25.7265625" style="1612" customWidth="1"/>
    <col min="7548" max="7548" width="18.81640625" style="1612" customWidth="1"/>
    <col min="7549" max="7552" width="25.7265625" style="1612" customWidth="1"/>
    <col min="7553" max="7553" width="15.7265625" style="1612" customWidth="1"/>
    <col min="7554" max="7554" width="29.453125" style="1612" customWidth="1"/>
    <col min="7555" max="7555" width="18.81640625" style="1612" customWidth="1"/>
    <col min="7556" max="7556" width="25.7265625" style="1612" customWidth="1"/>
    <col min="7557" max="7557" width="29.7265625" style="1612" customWidth="1"/>
    <col min="7558" max="7559" width="25.7265625" style="1612" customWidth="1"/>
    <col min="7560" max="7560" width="13.7265625" style="1612" customWidth="1"/>
    <col min="7561" max="7561" width="29.1796875" style="1612" customWidth="1"/>
    <col min="7562" max="7562" width="23.7265625" style="1612" customWidth="1"/>
    <col min="7563" max="7566" width="24.81640625" style="1612" customWidth="1"/>
    <col min="7567" max="7567" width="14.7265625" style="1612" customWidth="1"/>
    <col min="7568" max="7568" width="30" style="1612" customWidth="1"/>
    <col min="7569" max="7569" width="22" style="1612" customWidth="1"/>
    <col min="7570" max="7570" width="19.26953125" style="1612" customWidth="1"/>
    <col min="7571" max="7571" width="14.1796875" style="1612" customWidth="1"/>
    <col min="7572" max="7718" width="9.1796875" style="1612"/>
    <col min="7719" max="7719" width="8.7265625" style="1612" customWidth="1"/>
    <col min="7720" max="7720" width="92.7265625" style="1612" customWidth="1"/>
    <col min="7721" max="7721" width="16.1796875" style="1612" customWidth="1"/>
    <col min="7722" max="7722" width="16.81640625" style="1612" customWidth="1"/>
    <col min="7723" max="7723" width="14.7265625" style="1612" customWidth="1"/>
    <col min="7724" max="7724" width="19.453125" style="1612" customWidth="1"/>
    <col min="7725" max="7725" width="15" style="1612" customWidth="1"/>
    <col min="7726" max="7726" width="12.7265625" style="1612" customWidth="1"/>
    <col min="7727" max="7728" width="12.1796875" style="1612" customWidth="1"/>
    <col min="7729" max="7729" width="15.81640625" style="1612" customWidth="1"/>
    <col min="7730" max="7730" width="22.1796875" style="1612" customWidth="1"/>
    <col min="7731" max="7731" width="11.453125" style="1612" customWidth="1"/>
    <col min="7732" max="7732" width="17.54296875" style="1612" customWidth="1"/>
    <col min="7733" max="7733" width="0.1796875" style="1612" customWidth="1"/>
    <col min="7734" max="7734" width="18.81640625" style="1612" customWidth="1"/>
    <col min="7735" max="7738" width="25.7265625" style="1612" customWidth="1"/>
    <col min="7739" max="7739" width="14.7265625" style="1612" customWidth="1"/>
    <col min="7740" max="7740" width="22" style="1612" customWidth="1"/>
    <col min="7741" max="7741" width="15.26953125" style="1612" customWidth="1"/>
    <col min="7742" max="7745" width="25.7265625" style="1612" customWidth="1"/>
    <col min="7746" max="7746" width="15.7265625" style="1612" customWidth="1"/>
    <col min="7747" max="7747" width="22.453125" style="1612" customWidth="1"/>
    <col min="7748" max="7748" width="14.7265625" style="1612" customWidth="1"/>
    <col min="7749" max="7752" width="25.7265625" style="1612" customWidth="1"/>
    <col min="7753" max="7753" width="15.7265625" style="1612" customWidth="1"/>
    <col min="7754" max="7754" width="21" style="1612" customWidth="1"/>
    <col min="7755" max="7755" width="16.7265625" style="1612" customWidth="1"/>
    <col min="7756" max="7759" width="25.7265625" style="1612" customWidth="1"/>
    <col min="7760" max="7760" width="15.7265625" style="1612" customWidth="1"/>
    <col min="7761" max="7761" width="29.1796875" style="1612" customWidth="1"/>
    <col min="7762" max="7762" width="13.7265625" style="1612" customWidth="1"/>
    <col min="7763" max="7766" width="25.7265625" style="1612" customWidth="1"/>
    <col min="7767" max="7767" width="15.7265625" style="1612" customWidth="1"/>
    <col min="7768" max="7768" width="29.1796875" style="1612" customWidth="1"/>
    <col min="7769" max="7769" width="11.81640625" style="1612" customWidth="1"/>
    <col min="7770" max="7773" width="25.7265625" style="1612" customWidth="1"/>
    <col min="7774" max="7774" width="15.7265625" style="1612" customWidth="1"/>
    <col min="7775" max="7775" width="29.7265625" style="1612" customWidth="1"/>
    <col min="7776" max="7776" width="25.54296875" style="1612" customWidth="1"/>
    <col min="7777" max="7780" width="25.7265625" style="1612" customWidth="1"/>
    <col min="7781" max="7781" width="7.26953125" style="1612" customWidth="1"/>
    <col min="7782" max="7782" width="22.7265625" style="1612" customWidth="1"/>
    <col min="7783" max="7783" width="18.81640625" style="1612" customWidth="1"/>
    <col min="7784" max="7787" width="25.7265625" style="1612" customWidth="1"/>
    <col min="7788" max="7788" width="12.26953125" style="1612" customWidth="1"/>
    <col min="7789" max="7789" width="25.7265625" style="1612" customWidth="1"/>
    <col min="7790" max="7790" width="18.81640625" style="1612" customWidth="1"/>
    <col min="7791" max="7794" width="25.7265625" style="1612" customWidth="1"/>
    <col min="7795" max="7795" width="14.54296875" style="1612" customWidth="1"/>
    <col min="7796" max="7796" width="25.7265625" style="1612" customWidth="1"/>
    <col min="7797" max="7797" width="18.81640625" style="1612" customWidth="1"/>
    <col min="7798" max="7801" width="25.7265625" style="1612" customWidth="1"/>
    <col min="7802" max="7802" width="15.7265625" style="1612" customWidth="1"/>
    <col min="7803" max="7803" width="25.7265625" style="1612" customWidth="1"/>
    <col min="7804" max="7804" width="18.81640625" style="1612" customWidth="1"/>
    <col min="7805" max="7808" width="25.7265625" style="1612" customWidth="1"/>
    <col min="7809" max="7809" width="15.7265625" style="1612" customWidth="1"/>
    <col min="7810" max="7810" width="29.453125" style="1612" customWidth="1"/>
    <col min="7811" max="7811" width="18.81640625" style="1612" customWidth="1"/>
    <col min="7812" max="7812" width="25.7265625" style="1612" customWidth="1"/>
    <col min="7813" max="7813" width="29.7265625" style="1612" customWidth="1"/>
    <col min="7814" max="7815" width="25.7265625" style="1612" customWidth="1"/>
    <col min="7816" max="7816" width="13.7265625" style="1612" customWidth="1"/>
    <col min="7817" max="7817" width="29.1796875" style="1612" customWidth="1"/>
    <col min="7818" max="7818" width="23.7265625" style="1612" customWidth="1"/>
    <col min="7819" max="7822" width="24.81640625" style="1612" customWidth="1"/>
    <col min="7823" max="7823" width="14.7265625" style="1612" customWidth="1"/>
    <col min="7824" max="7824" width="30" style="1612" customWidth="1"/>
    <col min="7825" max="7825" width="22" style="1612" customWidth="1"/>
    <col min="7826" max="7826" width="19.26953125" style="1612" customWidth="1"/>
    <col min="7827" max="7827" width="14.1796875" style="1612" customWidth="1"/>
    <col min="7828" max="7974" width="9.1796875" style="1612"/>
    <col min="7975" max="7975" width="8.7265625" style="1612" customWidth="1"/>
    <col min="7976" max="7976" width="92.7265625" style="1612" customWidth="1"/>
    <col min="7977" max="7977" width="16.1796875" style="1612" customWidth="1"/>
    <col min="7978" max="7978" width="16.81640625" style="1612" customWidth="1"/>
    <col min="7979" max="7979" width="14.7265625" style="1612" customWidth="1"/>
    <col min="7980" max="7980" width="19.453125" style="1612" customWidth="1"/>
    <col min="7981" max="7981" width="15" style="1612" customWidth="1"/>
    <col min="7982" max="7982" width="12.7265625" style="1612" customWidth="1"/>
    <col min="7983" max="7984" width="12.1796875" style="1612" customWidth="1"/>
    <col min="7985" max="7985" width="15.81640625" style="1612" customWidth="1"/>
    <col min="7986" max="7986" width="22.1796875" style="1612" customWidth="1"/>
    <col min="7987" max="7987" width="11.453125" style="1612" customWidth="1"/>
    <col min="7988" max="7988" width="17.54296875" style="1612" customWidth="1"/>
    <col min="7989" max="7989" width="0.1796875" style="1612" customWidth="1"/>
    <col min="7990" max="7990" width="18.81640625" style="1612" customWidth="1"/>
    <col min="7991" max="7994" width="25.7265625" style="1612" customWidth="1"/>
    <col min="7995" max="7995" width="14.7265625" style="1612" customWidth="1"/>
    <col min="7996" max="7996" width="22" style="1612" customWidth="1"/>
    <col min="7997" max="7997" width="15.26953125" style="1612" customWidth="1"/>
    <col min="7998" max="8001" width="25.7265625" style="1612" customWidth="1"/>
    <col min="8002" max="8002" width="15.7265625" style="1612" customWidth="1"/>
    <col min="8003" max="8003" width="22.453125" style="1612" customWidth="1"/>
    <col min="8004" max="8004" width="14.7265625" style="1612" customWidth="1"/>
    <col min="8005" max="8008" width="25.7265625" style="1612" customWidth="1"/>
    <col min="8009" max="8009" width="15.7265625" style="1612" customWidth="1"/>
    <col min="8010" max="8010" width="21" style="1612" customWidth="1"/>
    <col min="8011" max="8011" width="16.7265625" style="1612" customWidth="1"/>
    <col min="8012" max="8015" width="25.7265625" style="1612" customWidth="1"/>
    <col min="8016" max="8016" width="15.7265625" style="1612" customWidth="1"/>
    <col min="8017" max="8017" width="29.1796875" style="1612" customWidth="1"/>
    <col min="8018" max="8018" width="13.7265625" style="1612" customWidth="1"/>
    <col min="8019" max="8022" width="25.7265625" style="1612" customWidth="1"/>
    <col min="8023" max="8023" width="15.7265625" style="1612" customWidth="1"/>
    <col min="8024" max="8024" width="29.1796875" style="1612" customWidth="1"/>
    <col min="8025" max="8025" width="11.81640625" style="1612" customWidth="1"/>
    <col min="8026" max="8029" width="25.7265625" style="1612" customWidth="1"/>
    <col min="8030" max="8030" width="15.7265625" style="1612" customWidth="1"/>
    <col min="8031" max="8031" width="29.7265625" style="1612" customWidth="1"/>
    <col min="8032" max="8032" width="25.54296875" style="1612" customWidth="1"/>
    <col min="8033" max="8036" width="25.7265625" style="1612" customWidth="1"/>
    <col min="8037" max="8037" width="7.26953125" style="1612" customWidth="1"/>
    <col min="8038" max="8038" width="22.7265625" style="1612" customWidth="1"/>
    <col min="8039" max="8039" width="18.81640625" style="1612" customWidth="1"/>
    <col min="8040" max="8043" width="25.7265625" style="1612" customWidth="1"/>
    <col min="8044" max="8044" width="12.26953125" style="1612" customWidth="1"/>
    <col min="8045" max="8045" width="25.7265625" style="1612" customWidth="1"/>
    <col min="8046" max="8046" width="18.81640625" style="1612" customWidth="1"/>
    <col min="8047" max="8050" width="25.7265625" style="1612" customWidth="1"/>
    <col min="8051" max="8051" width="14.54296875" style="1612" customWidth="1"/>
    <col min="8052" max="8052" width="25.7265625" style="1612" customWidth="1"/>
    <col min="8053" max="8053" width="18.81640625" style="1612" customWidth="1"/>
    <col min="8054" max="8057" width="25.7265625" style="1612" customWidth="1"/>
    <col min="8058" max="8058" width="15.7265625" style="1612" customWidth="1"/>
    <col min="8059" max="8059" width="25.7265625" style="1612" customWidth="1"/>
    <col min="8060" max="8060" width="18.81640625" style="1612" customWidth="1"/>
    <col min="8061" max="8064" width="25.7265625" style="1612" customWidth="1"/>
    <col min="8065" max="8065" width="15.7265625" style="1612" customWidth="1"/>
    <col min="8066" max="8066" width="29.453125" style="1612" customWidth="1"/>
    <col min="8067" max="8067" width="18.81640625" style="1612" customWidth="1"/>
    <col min="8068" max="8068" width="25.7265625" style="1612" customWidth="1"/>
    <col min="8069" max="8069" width="29.7265625" style="1612" customWidth="1"/>
    <col min="8070" max="8071" width="25.7265625" style="1612" customWidth="1"/>
    <col min="8072" max="8072" width="13.7265625" style="1612" customWidth="1"/>
    <col min="8073" max="8073" width="29.1796875" style="1612" customWidth="1"/>
    <col min="8074" max="8074" width="23.7265625" style="1612" customWidth="1"/>
    <col min="8075" max="8078" width="24.81640625" style="1612" customWidth="1"/>
    <col min="8079" max="8079" width="14.7265625" style="1612" customWidth="1"/>
    <col min="8080" max="8080" width="30" style="1612" customWidth="1"/>
    <col min="8081" max="8081" width="22" style="1612" customWidth="1"/>
    <col min="8082" max="8082" width="19.26953125" style="1612" customWidth="1"/>
    <col min="8083" max="8083" width="14.1796875" style="1612" customWidth="1"/>
    <col min="8084" max="8230" width="9.1796875" style="1612"/>
    <col min="8231" max="8231" width="8.7265625" style="1612" customWidth="1"/>
    <col min="8232" max="8232" width="92.7265625" style="1612" customWidth="1"/>
    <col min="8233" max="8233" width="16.1796875" style="1612" customWidth="1"/>
    <col min="8234" max="8234" width="16.81640625" style="1612" customWidth="1"/>
    <col min="8235" max="8235" width="14.7265625" style="1612" customWidth="1"/>
    <col min="8236" max="8236" width="19.453125" style="1612" customWidth="1"/>
    <col min="8237" max="8237" width="15" style="1612" customWidth="1"/>
    <col min="8238" max="8238" width="12.7265625" style="1612" customWidth="1"/>
    <col min="8239" max="8240" width="12.1796875" style="1612" customWidth="1"/>
    <col min="8241" max="8241" width="15.81640625" style="1612" customWidth="1"/>
    <col min="8242" max="8242" width="22.1796875" style="1612" customWidth="1"/>
    <col min="8243" max="8243" width="11.453125" style="1612" customWidth="1"/>
    <col min="8244" max="8244" width="17.54296875" style="1612" customWidth="1"/>
    <col min="8245" max="8245" width="0.1796875" style="1612" customWidth="1"/>
    <col min="8246" max="8246" width="18.81640625" style="1612" customWidth="1"/>
    <col min="8247" max="8250" width="25.7265625" style="1612" customWidth="1"/>
    <col min="8251" max="8251" width="14.7265625" style="1612" customWidth="1"/>
    <col min="8252" max="8252" width="22" style="1612" customWidth="1"/>
    <col min="8253" max="8253" width="15.26953125" style="1612" customWidth="1"/>
    <col min="8254" max="8257" width="25.7265625" style="1612" customWidth="1"/>
    <col min="8258" max="8258" width="15.7265625" style="1612" customWidth="1"/>
    <col min="8259" max="8259" width="22.453125" style="1612" customWidth="1"/>
    <col min="8260" max="8260" width="14.7265625" style="1612" customWidth="1"/>
    <col min="8261" max="8264" width="25.7265625" style="1612" customWidth="1"/>
    <col min="8265" max="8265" width="15.7265625" style="1612" customWidth="1"/>
    <col min="8266" max="8266" width="21" style="1612" customWidth="1"/>
    <col min="8267" max="8267" width="16.7265625" style="1612" customWidth="1"/>
    <col min="8268" max="8271" width="25.7265625" style="1612" customWidth="1"/>
    <col min="8272" max="8272" width="15.7265625" style="1612" customWidth="1"/>
    <col min="8273" max="8273" width="29.1796875" style="1612" customWidth="1"/>
    <col min="8274" max="8274" width="13.7265625" style="1612" customWidth="1"/>
    <col min="8275" max="8278" width="25.7265625" style="1612" customWidth="1"/>
    <col min="8279" max="8279" width="15.7265625" style="1612" customWidth="1"/>
    <col min="8280" max="8280" width="29.1796875" style="1612" customWidth="1"/>
    <col min="8281" max="8281" width="11.81640625" style="1612" customWidth="1"/>
    <col min="8282" max="8285" width="25.7265625" style="1612" customWidth="1"/>
    <col min="8286" max="8286" width="15.7265625" style="1612" customWidth="1"/>
    <col min="8287" max="8287" width="29.7265625" style="1612" customWidth="1"/>
    <col min="8288" max="8288" width="25.54296875" style="1612" customWidth="1"/>
    <col min="8289" max="8292" width="25.7265625" style="1612" customWidth="1"/>
    <col min="8293" max="8293" width="7.26953125" style="1612" customWidth="1"/>
    <col min="8294" max="8294" width="22.7265625" style="1612" customWidth="1"/>
    <col min="8295" max="8295" width="18.81640625" style="1612" customWidth="1"/>
    <col min="8296" max="8299" width="25.7265625" style="1612" customWidth="1"/>
    <col min="8300" max="8300" width="12.26953125" style="1612" customWidth="1"/>
    <col min="8301" max="8301" width="25.7265625" style="1612" customWidth="1"/>
    <col min="8302" max="8302" width="18.81640625" style="1612" customWidth="1"/>
    <col min="8303" max="8306" width="25.7265625" style="1612" customWidth="1"/>
    <col min="8307" max="8307" width="14.54296875" style="1612" customWidth="1"/>
    <col min="8308" max="8308" width="25.7265625" style="1612" customWidth="1"/>
    <col min="8309" max="8309" width="18.81640625" style="1612" customWidth="1"/>
    <col min="8310" max="8313" width="25.7265625" style="1612" customWidth="1"/>
    <col min="8314" max="8314" width="15.7265625" style="1612" customWidth="1"/>
    <col min="8315" max="8315" width="25.7265625" style="1612" customWidth="1"/>
    <col min="8316" max="8316" width="18.81640625" style="1612" customWidth="1"/>
    <col min="8317" max="8320" width="25.7265625" style="1612" customWidth="1"/>
    <col min="8321" max="8321" width="15.7265625" style="1612" customWidth="1"/>
    <col min="8322" max="8322" width="29.453125" style="1612" customWidth="1"/>
    <col min="8323" max="8323" width="18.81640625" style="1612" customWidth="1"/>
    <col min="8324" max="8324" width="25.7265625" style="1612" customWidth="1"/>
    <col min="8325" max="8325" width="29.7265625" style="1612" customWidth="1"/>
    <col min="8326" max="8327" width="25.7265625" style="1612" customWidth="1"/>
    <col min="8328" max="8328" width="13.7265625" style="1612" customWidth="1"/>
    <col min="8329" max="8329" width="29.1796875" style="1612" customWidth="1"/>
    <col min="8330" max="8330" width="23.7265625" style="1612" customWidth="1"/>
    <col min="8331" max="8334" width="24.81640625" style="1612" customWidth="1"/>
    <col min="8335" max="8335" width="14.7265625" style="1612" customWidth="1"/>
    <col min="8336" max="8336" width="30" style="1612" customWidth="1"/>
    <col min="8337" max="8337" width="22" style="1612" customWidth="1"/>
    <col min="8338" max="8338" width="19.26953125" style="1612" customWidth="1"/>
    <col min="8339" max="8339" width="14.1796875" style="1612" customWidth="1"/>
    <col min="8340" max="8486" width="9.1796875" style="1612"/>
    <col min="8487" max="8487" width="8.7265625" style="1612" customWidth="1"/>
    <col min="8488" max="8488" width="92.7265625" style="1612" customWidth="1"/>
    <col min="8489" max="8489" width="16.1796875" style="1612" customWidth="1"/>
    <col min="8490" max="8490" width="16.81640625" style="1612" customWidth="1"/>
    <col min="8491" max="8491" width="14.7265625" style="1612" customWidth="1"/>
    <col min="8492" max="8492" width="19.453125" style="1612" customWidth="1"/>
    <col min="8493" max="8493" width="15" style="1612" customWidth="1"/>
    <col min="8494" max="8494" width="12.7265625" style="1612" customWidth="1"/>
    <col min="8495" max="8496" width="12.1796875" style="1612" customWidth="1"/>
    <col min="8497" max="8497" width="15.81640625" style="1612" customWidth="1"/>
    <col min="8498" max="8498" width="22.1796875" style="1612" customWidth="1"/>
    <col min="8499" max="8499" width="11.453125" style="1612" customWidth="1"/>
    <col min="8500" max="8500" width="17.54296875" style="1612" customWidth="1"/>
    <col min="8501" max="8501" width="0.1796875" style="1612" customWidth="1"/>
    <col min="8502" max="8502" width="18.81640625" style="1612" customWidth="1"/>
    <col min="8503" max="8506" width="25.7265625" style="1612" customWidth="1"/>
    <col min="8507" max="8507" width="14.7265625" style="1612" customWidth="1"/>
    <col min="8508" max="8508" width="22" style="1612" customWidth="1"/>
    <col min="8509" max="8509" width="15.26953125" style="1612" customWidth="1"/>
    <col min="8510" max="8513" width="25.7265625" style="1612" customWidth="1"/>
    <col min="8514" max="8514" width="15.7265625" style="1612" customWidth="1"/>
    <col min="8515" max="8515" width="22.453125" style="1612" customWidth="1"/>
    <col min="8516" max="8516" width="14.7265625" style="1612" customWidth="1"/>
    <col min="8517" max="8520" width="25.7265625" style="1612" customWidth="1"/>
    <col min="8521" max="8521" width="15.7265625" style="1612" customWidth="1"/>
    <col min="8522" max="8522" width="21" style="1612" customWidth="1"/>
    <col min="8523" max="8523" width="16.7265625" style="1612" customWidth="1"/>
    <col min="8524" max="8527" width="25.7265625" style="1612" customWidth="1"/>
    <col min="8528" max="8528" width="15.7265625" style="1612" customWidth="1"/>
    <col min="8529" max="8529" width="29.1796875" style="1612" customWidth="1"/>
    <col min="8530" max="8530" width="13.7265625" style="1612" customWidth="1"/>
    <col min="8531" max="8534" width="25.7265625" style="1612" customWidth="1"/>
    <col min="8535" max="8535" width="15.7265625" style="1612" customWidth="1"/>
    <col min="8536" max="8536" width="29.1796875" style="1612" customWidth="1"/>
    <col min="8537" max="8537" width="11.81640625" style="1612" customWidth="1"/>
    <col min="8538" max="8541" width="25.7265625" style="1612" customWidth="1"/>
    <col min="8542" max="8542" width="15.7265625" style="1612" customWidth="1"/>
    <col min="8543" max="8543" width="29.7265625" style="1612" customWidth="1"/>
    <col min="8544" max="8544" width="25.54296875" style="1612" customWidth="1"/>
    <col min="8545" max="8548" width="25.7265625" style="1612" customWidth="1"/>
    <col min="8549" max="8549" width="7.26953125" style="1612" customWidth="1"/>
    <col min="8550" max="8550" width="22.7265625" style="1612" customWidth="1"/>
    <col min="8551" max="8551" width="18.81640625" style="1612" customWidth="1"/>
    <col min="8552" max="8555" width="25.7265625" style="1612" customWidth="1"/>
    <col min="8556" max="8556" width="12.26953125" style="1612" customWidth="1"/>
    <col min="8557" max="8557" width="25.7265625" style="1612" customWidth="1"/>
    <col min="8558" max="8558" width="18.81640625" style="1612" customWidth="1"/>
    <col min="8559" max="8562" width="25.7265625" style="1612" customWidth="1"/>
    <col min="8563" max="8563" width="14.54296875" style="1612" customWidth="1"/>
    <col min="8564" max="8564" width="25.7265625" style="1612" customWidth="1"/>
    <col min="8565" max="8565" width="18.81640625" style="1612" customWidth="1"/>
    <col min="8566" max="8569" width="25.7265625" style="1612" customWidth="1"/>
    <col min="8570" max="8570" width="15.7265625" style="1612" customWidth="1"/>
    <col min="8571" max="8571" width="25.7265625" style="1612" customWidth="1"/>
    <col min="8572" max="8572" width="18.81640625" style="1612" customWidth="1"/>
    <col min="8573" max="8576" width="25.7265625" style="1612" customWidth="1"/>
    <col min="8577" max="8577" width="15.7265625" style="1612" customWidth="1"/>
    <col min="8578" max="8578" width="29.453125" style="1612" customWidth="1"/>
    <col min="8579" max="8579" width="18.81640625" style="1612" customWidth="1"/>
    <col min="8580" max="8580" width="25.7265625" style="1612" customWidth="1"/>
    <col min="8581" max="8581" width="29.7265625" style="1612" customWidth="1"/>
    <col min="8582" max="8583" width="25.7265625" style="1612" customWidth="1"/>
    <col min="8584" max="8584" width="13.7265625" style="1612" customWidth="1"/>
    <col min="8585" max="8585" width="29.1796875" style="1612" customWidth="1"/>
    <col min="8586" max="8586" width="23.7265625" style="1612" customWidth="1"/>
    <col min="8587" max="8590" width="24.81640625" style="1612" customWidth="1"/>
    <col min="8591" max="8591" width="14.7265625" style="1612" customWidth="1"/>
    <col min="8592" max="8592" width="30" style="1612" customWidth="1"/>
    <col min="8593" max="8593" width="22" style="1612" customWidth="1"/>
    <col min="8594" max="8594" width="19.26953125" style="1612" customWidth="1"/>
    <col min="8595" max="8595" width="14.1796875" style="1612" customWidth="1"/>
    <col min="8596" max="8742" width="9.1796875" style="1612"/>
    <col min="8743" max="8743" width="8.7265625" style="1612" customWidth="1"/>
    <col min="8744" max="8744" width="92.7265625" style="1612" customWidth="1"/>
    <col min="8745" max="8745" width="16.1796875" style="1612" customWidth="1"/>
    <col min="8746" max="8746" width="16.81640625" style="1612" customWidth="1"/>
    <col min="8747" max="8747" width="14.7265625" style="1612" customWidth="1"/>
    <col min="8748" max="8748" width="19.453125" style="1612" customWidth="1"/>
    <col min="8749" max="8749" width="15" style="1612" customWidth="1"/>
    <col min="8750" max="8750" width="12.7265625" style="1612" customWidth="1"/>
    <col min="8751" max="8752" width="12.1796875" style="1612" customWidth="1"/>
    <col min="8753" max="8753" width="15.81640625" style="1612" customWidth="1"/>
    <col min="8754" max="8754" width="22.1796875" style="1612" customWidth="1"/>
    <col min="8755" max="8755" width="11.453125" style="1612" customWidth="1"/>
    <col min="8756" max="8756" width="17.54296875" style="1612" customWidth="1"/>
    <col min="8757" max="8757" width="0.1796875" style="1612" customWidth="1"/>
    <col min="8758" max="8758" width="18.81640625" style="1612" customWidth="1"/>
    <col min="8759" max="8762" width="25.7265625" style="1612" customWidth="1"/>
    <col min="8763" max="8763" width="14.7265625" style="1612" customWidth="1"/>
    <col min="8764" max="8764" width="22" style="1612" customWidth="1"/>
    <col min="8765" max="8765" width="15.26953125" style="1612" customWidth="1"/>
    <col min="8766" max="8769" width="25.7265625" style="1612" customWidth="1"/>
    <col min="8770" max="8770" width="15.7265625" style="1612" customWidth="1"/>
    <col min="8771" max="8771" width="22.453125" style="1612" customWidth="1"/>
    <col min="8772" max="8772" width="14.7265625" style="1612" customWidth="1"/>
    <col min="8773" max="8776" width="25.7265625" style="1612" customWidth="1"/>
    <col min="8777" max="8777" width="15.7265625" style="1612" customWidth="1"/>
    <col min="8778" max="8778" width="21" style="1612" customWidth="1"/>
    <col min="8779" max="8779" width="16.7265625" style="1612" customWidth="1"/>
    <col min="8780" max="8783" width="25.7265625" style="1612" customWidth="1"/>
    <col min="8784" max="8784" width="15.7265625" style="1612" customWidth="1"/>
    <col min="8785" max="8785" width="29.1796875" style="1612" customWidth="1"/>
    <col min="8786" max="8786" width="13.7265625" style="1612" customWidth="1"/>
    <col min="8787" max="8790" width="25.7265625" style="1612" customWidth="1"/>
    <col min="8791" max="8791" width="15.7265625" style="1612" customWidth="1"/>
    <col min="8792" max="8792" width="29.1796875" style="1612" customWidth="1"/>
    <col min="8793" max="8793" width="11.81640625" style="1612" customWidth="1"/>
    <col min="8794" max="8797" width="25.7265625" style="1612" customWidth="1"/>
    <col min="8798" max="8798" width="15.7265625" style="1612" customWidth="1"/>
    <col min="8799" max="8799" width="29.7265625" style="1612" customWidth="1"/>
    <col min="8800" max="8800" width="25.54296875" style="1612" customWidth="1"/>
    <col min="8801" max="8804" width="25.7265625" style="1612" customWidth="1"/>
    <col min="8805" max="8805" width="7.26953125" style="1612" customWidth="1"/>
    <col min="8806" max="8806" width="22.7265625" style="1612" customWidth="1"/>
    <col min="8807" max="8807" width="18.81640625" style="1612" customWidth="1"/>
    <col min="8808" max="8811" width="25.7265625" style="1612" customWidth="1"/>
    <col min="8812" max="8812" width="12.26953125" style="1612" customWidth="1"/>
    <col min="8813" max="8813" width="25.7265625" style="1612" customWidth="1"/>
    <col min="8814" max="8814" width="18.81640625" style="1612" customWidth="1"/>
    <col min="8815" max="8818" width="25.7265625" style="1612" customWidth="1"/>
    <col min="8819" max="8819" width="14.54296875" style="1612" customWidth="1"/>
    <col min="8820" max="8820" width="25.7265625" style="1612" customWidth="1"/>
    <col min="8821" max="8821" width="18.81640625" style="1612" customWidth="1"/>
    <col min="8822" max="8825" width="25.7265625" style="1612" customWidth="1"/>
    <col min="8826" max="8826" width="15.7265625" style="1612" customWidth="1"/>
    <col min="8827" max="8827" width="25.7265625" style="1612" customWidth="1"/>
    <col min="8828" max="8828" width="18.81640625" style="1612" customWidth="1"/>
    <col min="8829" max="8832" width="25.7265625" style="1612" customWidth="1"/>
    <col min="8833" max="8833" width="15.7265625" style="1612" customWidth="1"/>
    <col min="8834" max="8834" width="29.453125" style="1612" customWidth="1"/>
    <col min="8835" max="8835" width="18.81640625" style="1612" customWidth="1"/>
    <col min="8836" max="8836" width="25.7265625" style="1612" customWidth="1"/>
    <col min="8837" max="8837" width="29.7265625" style="1612" customWidth="1"/>
    <col min="8838" max="8839" width="25.7265625" style="1612" customWidth="1"/>
    <col min="8840" max="8840" width="13.7265625" style="1612" customWidth="1"/>
    <col min="8841" max="8841" width="29.1796875" style="1612" customWidth="1"/>
    <col min="8842" max="8842" width="23.7265625" style="1612" customWidth="1"/>
    <col min="8843" max="8846" width="24.81640625" style="1612" customWidth="1"/>
    <col min="8847" max="8847" width="14.7265625" style="1612" customWidth="1"/>
    <col min="8848" max="8848" width="30" style="1612" customWidth="1"/>
    <col min="8849" max="8849" width="22" style="1612" customWidth="1"/>
    <col min="8850" max="8850" width="19.26953125" style="1612" customWidth="1"/>
    <col min="8851" max="8851" width="14.1796875" style="1612" customWidth="1"/>
    <col min="8852" max="8998" width="9.1796875" style="1612"/>
    <col min="8999" max="8999" width="8.7265625" style="1612" customWidth="1"/>
    <col min="9000" max="9000" width="92.7265625" style="1612" customWidth="1"/>
    <col min="9001" max="9001" width="16.1796875" style="1612" customWidth="1"/>
    <col min="9002" max="9002" width="16.81640625" style="1612" customWidth="1"/>
    <col min="9003" max="9003" width="14.7265625" style="1612" customWidth="1"/>
    <col min="9004" max="9004" width="19.453125" style="1612" customWidth="1"/>
    <col min="9005" max="9005" width="15" style="1612" customWidth="1"/>
    <col min="9006" max="9006" width="12.7265625" style="1612" customWidth="1"/>
    <col min="9007" max="9008" width="12.1796875" style="1612" customWidth="1"/>
    <col min="9009" max="9009" width="15.81640625" style="1612" customWidth="1"/>
    <col min="9010" max="9010" width="22.1796875" style="1612" customWidth="1"/>
    <col min="9011" max="9011" width="11.453125" style="1612" customWidth="1"/>
    <col min="9012" max="9012" width="17.54296875" style="1612" customWidth="1"/>
    <col min="9013" max="9013" width="0.1796875" style="1612" customWidth="1"/>
    <col min="9014" max="9014" width="18.81640625" style="1612" customWidth="1"/>
    <col min="9015" max="9018" width="25.7265625" style="1612" customWidth="1"/>
    <col min="9019" max="9019" width="14.7265625" style="1612" customWidth="1"/>
    <col min="9020" max="9020" width="22" style="1612" customWidth="1"/>
    <col min="9021" max="9021" width="15.26953125" style="1612" customWidth="1"/>
    <col min="9022" max="9025" width="25.7265625" style="1612" customWidth="1"/>
    <col min="9026" max="9026" width="15.7265625" style="1612" customWidth="1"/>
    <col min="9027" max="9027" width="22.453125" style="1612" customWidth="1"/>
    <col min="9028" max="9028" width="14.7265625" style="1612" customWidth="1"/>
    <col min="9029" max="9032" width="25.7265625" style="1612" customWidth="1"/>
    <col min="9033" max="9033" width="15.7265625" style="1612" customWidth="1"/>
    <col min="9034" max="9034" width="21" style="1612" customWidth="1"/>
    <col min="9035" max="9035" width="16.7265625" style="1612" customWidth="1"/>
    <col min="9036" max="9039" width="25.7265625" style="1612" customWidth="1"/>
    <col min="9040" max="9040" width="15.7265625" style="1612" customWidth="1"/>
    <col min="9041" max="9041" width="29.1796875" style="1612" customWidth="1"/>
    <col min="9042" max="9042" width="13.7265625" style="1612" customWidth="1"/>
    <col min="9043" max="9046" width="25.7265625" style="1612" customWidth="1"/>
    <col min="9047" max="9047" width="15.7265625" style="1612" customWidth="1"/>
    <col min="9048" max="9048" width="29.1796875" style="1612" customWidth="1"/>
    <col min="9049" max="9049" width="11.81640625" style="1612" customWidth="1"/>
    <col min="9050" max="9053" width="25.7265625" style="1612" customWidth="1"/>
    <col min="9054" max="9054" width="15.7265625" style="1612" customWidth="1"/>
    <col min="9055" max="9055" width="29.7265625" style="1612" customWidth="1"/>
    <col min="9056" max="9056" width="25.54296875" style="1612" customWidth="1"/>
    <col min="9057" max="9060" width="25.7265625" style="1612" customWidth="1"/>
    <col min="9061" max="9061" width="7.26953125" style="1612" customWidth="1"/>
    <col min="9062" max="9062" width="22.7265625" style="1612" customWidth="1"/>
    <col min="9063" max="9063" width="18.81640625" style="1612" customWidth="1"/>
    <col min="9064" max="9067" width="25.7265625" style="1612" customWidth="1"/>
    <col min="9068" max="9068" width="12.26953125" style="1612" customWidth="1"/>
    <col min="9069" max="9069" width="25.7265625" style="1612" customWidth="1"/>
    <col min="9070" max="9070" width="18.81640625" style="1612" customWidth="1"/>
    <col min="9071" max="9074" width="25.7265625" style="1612" customWidth="1"/>
    <col min="9075" max="9075" width="14.54296875" style="1612" customWidth="1"/>
    <col min="9076" max="9076" width="25.7265625" style="1612" customWidth="1"/>
    <col min="9077" max="9077" width="18.81640625" style="1612" customWidth="1"/>
    <col min="9078" max="9081" width="25.7265625" style="1612" customWidth="1"/>
    <col min="9082" max="9082" width="15.7265625" style="1612" customWidth="1"/>
    <col min="9083" max="9083" width="25.7265625" style="1612" customWidth="1"/>
    <col min="9084" max="9084" width="18.81640625" style="1612" customWidth="1"/>
    <col min="9085" max="9088" width="25.7265625" style="1612" customWidth="1"/>
    <col min="9089" max="9089" width="15.7265625" style="1612" customWidth="1"/>
    <col min="9090" max="9090" width="29.453125" style="1612" customWidth="1"/>
    <col min="9091" max="9091" width="18.81640625" style="1612" customWidth="1"/>
    <col min="9092" max="9092" width="25.7265625" style="1612" customWidth="1"/>
    <col min="9093" max="9093" width="29.7265625" style="1612" customWidth="1"/>
    <col min="9094" max="9095" width="25.7265625" style="1612" customWidth="1"/>
    <col min="9096" max="9096" width="13.7265625" style="1612" customWidth="1"/>
    <col min="9097" max="9097" width="29.1796875" style="1612" customWidth="1"/>
    <col min="9098" max="9098" width="23.7265625" style="1612" customWidth="1"/>
    <col min="9099" max="9102" width="24.81640625" style="1612" customWidth="1"/>
    <col min="9103" max="9103" width="14.7265625" style="1612" customWidth="1"/>
    <col min="9104" max="9104" width="30" style="1612" customWidth="1"/>
    <col min="9105" max="9105" width="22" style="1612" customWidth="1"/>
    <col min="9106" max="9106" width="19.26953125" style="1612" customWidth="1"/>
    <col min="9107" max="9107" width="14.1796875" style="1612" customWidth="1"/>
    <col min="9108" max="9254" width="9.1796875" style="1612"/>
    <col min="9255" max="9255" width="8.7265625" style="1612" customWidth="1"/>
    <col min="9256" max="9256" width="92.7265625" style="1612" customWidth="1"/>
    <col min="9257" max="9257" width="16.1796875" style="1612" customWidth="1"/>
    <col min="9258" max="9258" width="16.81640625" style="1612" customWidth="1"/>
    <col min="9259" max="9259" width="14.7265625" style="1612" customWidth="1"/>
    <col min="9260" max="9260" width="19.453125" style="1612" customWidth="1"/>
    <col min="9261" max="9261" width="15" style="1612" customWidth="1"/>
    <col min="9262" max="9262" width="12.7265625" style="1612" customWidth="1"/>
    <col min="9263" max="9264" width="12.1796875" style="1612" customWidth="1"/>
    <col min="9265" max="9265" width="15.81640625" style="1612" customWidth="1"/>
    <col min="9266" max="9266" width="22.1796875" style="1612" customWidth="1"/>
    <col min="9267" max="9267" width="11.453125" style="1612" customWidth="1"/>
    <col min="9268" max="9268" width="17.54296875" style="1612" customWidth="1"/>
    <col min="9269" max="9269" width="0.1796875" style="1612" customWidth="1"/>
    <col min="9270" max="9270" width="18.81640625" style="1612" customWidth="1"/>
    <col min="9271" max="9274" width="25.7265625" style="1612" customWidth="1"/>
    <col min="9275" max="9275" width="14.7265625" style="1612" customWidth="1"/>
    <col min="9276" max="9276" width="22" style="1612" customWidth="1"/>
    <col min="9277" max="9277" width="15.26953125" style="1612" customWidth="1"/>
    <col min="9278" max="9281" width="25.7265625" style="1612" customWidth="1"/>
    <col min="9282" max="9282" width="15.7265625" style="1612" customWidth="1"/>
    <col min="9283" max="9283" width="22.453125" style="1612" customWidth="1"/>
    <col min="9284" max="9284" width="14.7265625" style="1612" customWidth="1"/>
    <col min="9285" max="9288" width="25.7265625" style="1612" customWidth="1"/>
    <col min="9289" max="9289" width="15.7265625" style="1612" customWidth="1"/>
    <col min="9290" max="9290" width="21" style="1612" customWidth="1"/>
    <col min="9291" max="9291" width="16.7265625" style="1612" customWidth="1"/>
    <col min="9292" max="9295" width="25.7265625" style="1612" customWidth="1"/>
    <col min="9296" max="9296" width="15.7265625" style="1612" customWidth="1"/>
    <col min="9297" max="9297" width="29.1796875" style="1612" customWidth="1"/>
    <col min="9298" max="9298" width="13.7265625" style="1612" customWidth="1"/>
    <col min="9299" max="9302" width="25.7265625" style="1612" customWidth="1"/>
    <col min="9303" max="9303" width="15.7265625" style="1612" customWidth="1"/>
    <col min="9304" max="9304" width="29.1796875" style="1612" customWidth="1"/>
    <col min="9305" max="9305" width="11.81640625" style="1612" customWidth="1"/>
    <col min="9306" max="9309" width="25.7265625" style="1612" customWidth="1"/>
    <col min="9310" max="9310" width="15.7265625" style="1612" customWidth="1"/>
    <col min="9311" max="9311" width="29.7265625" style="1612" customWidth="1"/>
    <col min="9312" max="9312" width="25.54296875" style="1612" customWidth="1"/>
    <col min="9313" max="9316" width="25.7265625" style="1612" customWidth="1"/>
    <col min="9317" max="9317" width="7.26953125" style="1612" customWidth="1"/>
    <col min="9318" max="9318" width="22.7265625" style="1612" customWidth="1"/>
    <col min="9319" max="9319" width="18.81640625" style="1612" customWidth="1"/>
    <col min="9320" max="9323" width="25.7265625" style="1612" customWidth="1"/>
    <col min="9324" max="9324" width="12.26953125" style="1612" customWidth="1"/>
    <col min="9325" max="9325" width="25.7265625" style="1612" customWidth="1"/>
    <col min="9326" max="9326" width="18.81640625" style="1612" customWidth="1"/>
    <col min="9327" max="9330" width="25.7265625" style="1612" customWidth="1"/>
    <col min="9331" max="9331" width="14.54296875" style="1612" customWidth="1"/>
    <col min="9332" max="9332" width="25.7265625" style="1612" customWidth="1"/>
    <col min="9333" max="9333" width="18.81640625" style="1612" customWidth="1"/>
    <col min="9334" max="9337" width="25.7265625" style="1612" customWidth="1"/>
    <col min="9338" max="9338" width="15.7265625" style="1612" customWidth="1"/>
    <col min="9339" max="9339" width="25.7265625" style="1612" customWidth="1"/>
    <col min="9340" max="9340" width="18.81640625" style="1612" customWidth="1"/>
    <col min="9341" max="9344" width="25.7265625" style="1612" customWidth="1"/>
    <col min="9345" max="9345" width="15.7265625" style="1612" customWidth="1"/>
    <col min="9346" max="9346" width="29.453125" style="1612" customWidth="1"/>
    <col min="9347" max="9347" width="18.81640625" style="1612" customWidth="1"/>
    <col min="9348" max="9348" width="25.7265625" style="1612" customWidth="1"/>
    <col min="9349" max="9349" width="29.7265625" style="1612" customWidth="1"/>
    <col min="9350" max="9351" width="25.7265625" style="1612" customWidth="1"/>
    <col min="9352" max="9352" width="13.7265625" style="1612" customWidth="1"/>
    <col min="9353" max="9353" width="29.1796875" style="1612" customWidth="1"/>
    <col min="9354" max="9354" width="23.7265625" style="1612" customWidth="1"/>
    <col min="9355" max="9358" width="24.81640625" style="1612" customWidth="1"/>
    <col min="9359" max="9359" width="14.7265625" style="1612" customWidth="1"/>
    <col min="9360" max="9360" width="30" style="1612" customWidth="1"/>
    <col min="9361" max="9361" width="22" style="1612" customWidth="1"/>
    <col min="9362" max="9362" width="19.26953125" style="1612" customWidth="1"/>
    <col min="9363" max="9363" width="14.1796875" style="1612" customWidth="1"/>
    <col min="9364" max="9510" width="9.1796875" style="1612"/>
    <col min="9511" max="9511" width="8.7265625" style="1612" customWidth="1"/>
    <col min="9512" max="9512" width="92.7265625" style="1612" customWidth="1"/>
    <col min="9513" max="9513" width="16.1796875" style="1612" customWidth="1"/>
    <col min="9514" max="9514" width="16.81640625" style="1612" customWidth="1"/>
    <col min="9515" max="9515" width="14.7265625" style="1612" customWidth="1"/>
    <col min="9516" max="9516" width="19.453125" style="1612" customWidth="1"/>
    <col min="9517" max="9517" width="15" style="1612" customWidth="1"/>
    <col min="9518" max="9518" width="12.7265625" style="1612" customWidth="1"/>
    <col min="9519" max="9520" width="12.1796875" style="1612" customWidth="1"/>
    <col min="9521" max="9521" width="15.81640625" style="1612" customWidth="1"/>
    <col min="9522" max="9522" width="22.1796875" style="1612" customWidth="1"/>
    <col min="9523" max="9523" width="11.453125" style="1612" customWidth="1"/>
    <col min="9524" max="9524" width="17.54296875" style="1612" customWidth="1"/>
    <col min="9525" max="9525" width="0.1796875" style="1612" customWidth="1"/>
    <col min="9526" max="9526" width="18.81640625" style="1612" customWidth="1"/>
    <col min="9527" max="9530" width="25.7265625" style="1612" customWidth="1"/>
    <col min="9531" max="9531" width="14.7265625" style="1612" customWidth="1"/>
    <col min="9532" max="9532" width="22" style="1612" customWidth="1"/>
    <col min="9533" max="9533" width="15.26953125" style="1612" customWidth="1"/>
    <col min="9534" max="9537" width="25.7265625" style="1612" customWidth="1"/>
    <col min="9538" max="9538" width="15.7265625" style="1612" customWidth="1"/>
    <col min="9539" max="9539" width="22.453125" style="1612" customWidth="1"/>
    <col min="9540" max="9540" width="14.7265625" style="1612" customWidth="1"/>
    <col min="9541" max="9544" width="25.7265625" style="1612" customWidth="1"/>
    <col min="9545" max="9545" width="15.7265625" style="1612" customWidth="1"/>
    <col min="9546" max="9546" width="21" style="1612" customWidth="1"/>
    <col min="9547" max="9547" width="16.7265625" style="1612" customWidth="1"/>
    <col min="9548" max="9551" width="25.7265625" style="1612" customWidth="1"/>
    <col min="9552" max="9552" width="15.7265625" style="1612" customWidth="1"/>
    <col min="9553" max="9553" width="29.1796875" style="1612" customWidth="1"/>
    <col min="9554" max="9554" width="13.7265625" style="1612" customWidth="1"/>
    <col min="9555" max="9558" width="25.7265625" style="1612" customWidth="1"/>
    <col min="9559" max="9559" width="15.7265625" style="1612" customWidth="1"/>
    <col min="9560" max="9560" width="29.1796875" style="1612" customWidth="1"/>
    <col min="9561" max="9561" width="11.81640625" style="1612" customWidth="1"/>
    <col min="9562" max="9565" width="25.7265625" style="1612" customWidth="1"/>
    <col min="9566" max="9566" width="15.7265625" style="1612" customWidth="1"/>
    <col min="9567" max="9567" width="29.7265625" style="1612" customWidth="1"/>
    <col min="9568" max="9568" width="25.54296875" style="1612" customWidth="1"/>
    <col min="9569" max="9572" width="25.7265625" style="1612" customWidth="1"/>
    <col min="9573" max="9573" width="7.26953125" style="1612" customWidth="1"/>
    <col min="9574" max="9574" width="22.7265625" style="1612" customWidth="1"/>
    <col min="9575" max="9575" width="18.81640625" style="1612" customWidth="1"/>
    <col min="9576" max="9579" width="25.7265625" style="1612" customWidth="1"/>
    <col min="9580" max="9580" width="12.26953125" style="1612" customWidth="1"/>
    <col min="9581" max="9581" width="25.7265625" style="1612" customWidth="1"/>
    <col min="9582" max="9582" width="18.81640625" style="1612" customWidth="1"/>
    <col min="9583" max="9586" width="25.7265625" style="1612" customWidth="1"/>
    <col min="9587" max="9587" width="14.54296875" style="1612" customWidth="1"/>
    <col min="9588" max="9588" width="25.7265625" style="1612" customWidth="1"/>
    <col min="9589" max="9589" width="18.81640625" style="1612" customWidth="1"/>
    <col min="9590" max="9593" width="25.7265625" style="1612" customWidth="1"/>
    <col min="9594" max="9594" width="15.7265625" style="1612" customWidth="1"/>
    <col min="9595" max="9595" width="25.7265625" style="1612" customWidth="1"/>
    <col min="9596" max="9596" width="18.81640625" style="1612" customWidth="1"/>
    <col min="9597" max="9600" width="25.7265625" style="1612" customWidth="1"/>
    <col min="9601" max="9601" width="15.7265625" style="1612" customWidth="1"/>
    <col min="9602" max="9602" width="29.453125" style="1612" customWidth="1"/>
    <col min="9603" max="9603" width="18.81640625" style="1612" customWidth="1"/>
    <col min="9604" max="9604" width="25.7265625" style="1612" customWidth="1"/>
    <col min="9605" max="9605" width="29.7265625" style="1612" customWidth="1"/>
    <col min="9606" max="9607" width="25.7265625" style="1612" customWidth="1"/>
    <col min="9608" max="9608" width="13.7265625" style="1612" customWidth="1"/>
    <col min="9609" max="9609" width="29.1796875" style="1612" customWidth="1"/>
    <col min="9610" max="9610" width="23.7265625" style="1612" customWidth="1"/>
    <col min="9611" max="9614" width="24.81640625" style="1612" customWidth="1"/>
    <col min="9615" max="9615" width="14.7265625" style="1612" customWidth="1"/>
    <col min="9616" max="9616" width="30" style="1612" customWidth="1"/>
    <col min="9617" max="9617" width="22" style="1612" customWidth="1"/>
    <col min="9618" max="9618" width="19.26953125" style="1612" customWidth="1"/>
    <col min="9619" max="9619" width="14.1796875" style="1612" customWidth="1"/>
    <col min="9620" max="9766" width="9.1796875" style="1612"/>
    <col min="9767" max="9767" width="8.7265625" style="1612" customWidth="1"/>
    <col min="9768" max="9768" width="92.7265625" style="1612" customWidth="1"/>
    <col min="9769" max="9769" width="16.1796875" style="1612" customWidth="1"/>
    <col min="9770" max="9770" width="16.81640625" style="1612" customWidth="1"/>
    <col min="9771" max="9771" width="14.7265625" style="1612" customWidth="1"/>
    <col min="9772" max="9772" width="19.453125" style="1612" customWidth="1"/>
    <col min="9773" max="9773" width="15" style="1612" customWidth="1"/>
    <col min="9774" max="9774" width="12.7265625" style="1612" customWidth="1"/>
    <col min="9775" max="9776" width="12.1796875" style="1612" customWidth="1"/>
    <col min="9777" max="9777" width="15.81640625" style="1612" customWidth="1"/>
    <col min="9778" max="9778" width="22.1796875" style="1612" customWidth="1"/>
    <col min="9779" max="9779" width="11.453125" style="1612" customWidth="1"/>
    <col min="9780" max="9780" width="17.54296875" style="1612" customWidth="1"/>
    <col min="9781" max="9781" width="0.1796875" style="1612" customWidth="1"/>
    <col min="9782" max="9782" width="18.81640625" style="1612" customWidth="1"/>
    <col min="9783" max="9786" width="25.7265625" style="1612" customWidth="1"/>
    <col min="9787" max="9787" width="14.7265625" style="1612" customWidth="1"/>
    <col min="9788" max="9788" width="22" style="1612" customWidth="1"/>
    <col min="9789" max="9789" width="15.26953125" style="1612" customWidth="1"/>
    <col min="9790" max="9793" width="25.7265625" style="1612" customWidth="1"/>
    <col min="9794" max="9794" width="15.7265625" style="1612" customWidth="1"/>
    <col min="9795" max="9795" width="22.453125" style="1612" customWidth="1"/>
    <col min="9796" max="9796" width="14.7265625" style="1612" customWidth="1"/>
    <col min="9797" max="9800" width="25.7265625" style="1612" customWidth="1"/>
    <col min="9801" max="9801" width="15.7265625" style="1612" customWidth="1"/>
    <col min="9802" max="9802" width="21" style="1612" customWidth="1"/>
    <col min="9803" max="9803" width="16.7265625" style="1612" customWidth="1"/>
    <col min="9804" max="9807" width="25.7265625" style="1612" customWidth="1"/>
    <col min="9808" max="9808" width="15.7265625" style="1612" customWidth="1"/>
    <col min="9809" max="9809" width="29.1796875" style="1612" customWidth="1"/>
    <col min="9810" max="9810" width="13.7265625" style="1612" customWidth="1"/>
    <col min="9811" max="9814" width="25.7265625" style="1612" customWidth="1"/>
    <col min="9815" max="9815" width="15.7265625" style="1612" customWidth="1"/>
    <col min="9816" max="9816" width="29.1796875" style="1612" customWidth="1"/>
    <col min="9817" max="9817" width="11.81640625" style="1612" customWidth="1"/>
    <col min="9818" max="9821" width="25.7265625" style="1612" customWidth="1"/>
    <col min="9822" max="9822" width="15.7265625" style="1612" customWidth="1"/>
    <col min="9823" max="9823" width="29.7265625" style="1612" customWidth="1"/>
    <col min="9824" max="9824" width="25.54296875" style="1612" customWidth="1"/>
    <col min="9825" max="9828" width="25.7265625" style="1612" customWidth="1"/>
    <col min="9829" max="9829" width="7.26953125" style="1612" customWidth="1"/>
    <col min="9830" max="9830" width="22.7265625" style="1612" customWidth="1"/>
    <col min="9831" max="9831" width="18.81640625" style="1612" customWidth="1"/>
    <col min="9832" max="9835" width="25.7265625" style="1612" customWidth="1"/>
    <col min="9836" max="9836" width="12.26953125" style="1612" customWidth="1"/>
    <col min="9837" max="9837" width="25.7265625" style="1612" customWidth="1"/>
    <col min="9838" max="9838" width="18.81640625" style="1612" customWidth="1"/>
    <col min="9839" max="9842" width="25.7265625" style="1612" customWidth="1"/>
    <col min="9843" max="9843" width="14.54296875" style="1612" customWidth="1"/>
    <col min="9844" max="9844" width="25.7265625" style="1612" customWidth="1"/>
    <col min="9845" max="9845" width="18.81640625" style="1612" customWidth="1"/>
    <col min="9846" max="9849" width="25.7265625" style="1612" customWidth="1"/>
    <col min="9850" max="9850" width="15.7265625" style="1612" customWidth="1"/>
    <col min="9851" max="9851" width="25.7265625" style="1612" customWidth="1"/>
    <col min="9852" max="9852" width="18.81640625" style="1612" customWidth="1"/>
    <col min="9853" max="9856" width="25.7265625" style="1612" customWidth="1"/>
    <col min="9857" max="9857" width="15.7265625" style="1612" customWidth="1"/>
    <col min="9858" max="9858" width="29.453125" style="1612" customWidth="1"/>
    <col min="9859" max="9859" width="18.81640625" style="1612" customWidth="1"/>
    <col min="9860" max="9860" width="25.7265625" style="1612" customWidth="1"/>
    <col min="9861" max="9861" width="29.7265625" style="1612" customWidth="1"/>
    <col min="9862" max="9863" width="25.7265625" style="1612" customWidth="1"/>
    <col min="9864" max="9864" width="13.7265625" style="1612" customWidth="1"/>
    <col min="9865" max="9865" width="29.1796875" style="1612" customWidth="1"/>
    <col min="9866" max="9866" width="23.7265625" style="1612" customWidth="1"/>
    <col min="9867" max="9870" width="24.81640625" style="1612" customWidth="1"/>
    <col min="9871" max="9871" width="14.7265625" style="1612" customWidth="1"/>
    <col min="9872" max="9872" width="30" style="1612" customWidth="1"/>
    <col min="9873" max="9873" width="22" style="1612" customWidth="1"/>
    <col min="9874" max="9874" width="19.26953125" style="1612" customWidth="1"/>
    <col min="9875" max="9875" width="14.1796875" style="1612" customWidth="1"/>
    <col min="9876" max="10022" width="9.1796875" style="1612"/>
    <col min="10023" max="10023" width="8.7265625" style="1612" customWidth="1"/>
    <col min="10024" max="10024" width="92.7265625" style="1612" customWidth="1"/>
    <col min="10025" max="10025" width="16.1796875" style="1612" customWidth="1"/>
    <col min="10026" max="10026" width="16.81640625" style="1612" customWidth="1"/>
    <col min="10027" max="10027" width="14.7265625" style="1612" customWidth="1"/>
    <col min="10028" max="10028" width="19.453125" style="1612" customWidth="1"/>
    <col min="10029" max="10029" width="15" style="1612" customWidth="1"/>
    <col min="10030" max="10030" width="12.7265625" style="1612" customWidth="1"/>
    <col min="10031" max="10032" width="12.1796875" style="1612" customWidth="1"/>
    <col min="10033" max="10033" width="15.81640625" style="1612" customWidth="1"/>
    <col min="10034" max="10034" width="22.1796875" style="1612" customWidth="1"/>
    <col min="10035" max="10035" width="11.453125" style="1612" customWidth="1"/>
    <col min="10036" max="10036" width="17.54296875" style="1612" customWidth="1"/>
    <col min="10037" max="10037" width="0.1796875" style="1612" customWidth="1"/>
    <col min="10038" max="10038" width="18.81640625" style="1612" customWidth="1"/>
    <col min="10039" max="10042" width="25.7265625" style="1612" customWidth="1"/>
    <col min="10043" max="10043" width="14.7265625" style="1612" customWidth="1"/>
    <col min="10044" max="10044" width="22" style="1612" customWidth="1"/>
    <col min="10045" max="10045" width="15.26953125" style="1612" customWidth="1"/>
    <col min="10046" max="10049" width="25.7265625" style="1612" customWidth="1"/>
    <col min="10050" max="10050" width="15.7265625" style="1612" customWidth="1"/>
    <col min="10051" max="10051" width="22.453125" style="1612" customWidth="1"/>
    <col min="10052" max="10052" width="14.7265625" style="1612" customWidth="1"/>
    <col min="10053" max="10056" width="25.7265625" style="1612" customWidth="1"/>
    <col min="10057" max="10057" width="15.7265625" style="1612" customWidth="1"/>
    <col min="10058" max="10058" width="21" style="1612" customWidth="1"/>
    <col min="10059" max="10059" width="16.7265625" style="1612" customWidth="1"/>
    <col min="10060" max="10063" width="25.7265625" style="1612" customWidth="1"/>
    <col min="10064" max="10064" width="15.7265625" style="1612" customWidth="1"/>
    <col min="10065" max="10065" width="29.1796875" style="1612" customWidth="1"/>
    <col min="10066" max="10066" width="13.7265625" style="1612" customWidth="1"/>
    <col min="10067" max="10070" width="25.7265625" style="1612" customWidth="1"/>
    <col min="10071" max="10071" width="15.7265625" style="1612" customWidth="1"/>
    <col min="10072" max="10072" width="29.1796875" style="1612" customWidth="1"/>
    <col min="10073" max="10073" width="11.81640625" style="1612" customWidth="1"/>
    <col min="10074" max="10077" width="25.7265625" style="1612" customWidth="1"/>
    <col min="10078" max="10078" width="15.7265625" style="1612" customWidth="1"/>
    <col min="10079" max="10079" width="29.7265625" style="1612" customWidth="1"/>
    <col min="10080" max="10080" width="25.54296875" style="1612" customWidth="1"/>
    <col min="10081" max="10084" width="25.7265625" style="1612" customWidth="1"/>
    <col min="10085" max="10085" width="7.26953125" style="1612" customWidth="1"/>
    <col min="10086" max="10086" width="22.7265625" style="1612" customWidth="1"/>
    <col min="10087" max="10087" width="18.81640625" style="1612" customWidth="1"/>
    <col min="10088" max="10091" width="25.7265625" style="1612" customWidth="1"/>
    <col min="10092" max="10092" width="12.26953125" style="1612" customWidth="1"/>
    <col min="10093" max="10093" width="25.7265625" style="1612" customWidth="1"/>
    <col min="10094" max="10094" width="18.81640625" style="1612" customWidth="1"/>
    <col min="10095" max="10098" width="25.7265625" style="1612" customWidth="1"/>
    <col min="10099" max="10099" width="14.54296875" style="1612" customWidth="1"/>
    <col min="10100" max="10100" width="25.7265625" style="1612" customWidth="1"/>
    <col min="10101" max="10101" width="18.81640625" style="1612" customWidth="1"/>
    <col min="10102" max="10105" width="25.7265625" style="1612" customWidth="1"/>
    <col min="10106" max="10106" width="15.7265625" style="1612" customWidth="1"/>
    <col min="10107" max="10107" width="25.7265625" style="1612" customWidth="1"/>
    <col min="10108" max="10108" width="18.81640625" style="1612" customWidth="1"/>
    <col min="10109" max="10112" width="25.7265625" style="1612" customWidth="1"/>
    <col min="10113" max="10113" width="15.7265625" style="1612" customWidth="1"/>
    <col min="10114" max="10114" width="29.453125" style="1612" customWidth="1"/>
    <col min="10115" max="10115" width="18.81640625" style="1612" customWidth="1"/>
    <col min="10116" max="10116" width="25.7265625" style="1612" customWidth="1"/>
    <col min="10117" max="10117" width="29.7265625" style="1612" customWidth="1"/>
    <col min="10118" max="10119" width="25.7265625" style="1612" customWidth="1"/>
    <col min="10120" max="10120" width="13.7265625" style="1612" customWidth="1"/>
    <col min="10121" max="10121" width="29.1796875" style="1612" customWidth="1"/>
    <col min="10122" max="10122" width="23.7265625" style="1612" customWidth="1"/>
    <col min="10123" max="10126" width="24.81640625" style="1612" customWidth="1"/>
    <col min="10127" max="10127" width="14.7265625" style="1612" customWidth="1"/>
    <col min="10128" max="10128" width="30" style="1612" customWidth="1"/>
    <col min="10129" max="10129" width="22" style="1612" customWidth="1"/>
    <col min="10130" max="10130" width="19.26953125" style="1612" customWidth="1"/>
    <col min="10131" max="10131" width="14.1796875" style="1612" customWidth="1"/>
    <col min="10132" max="10278" width="9.1796875" style="1612"/>
    <col min="10279" max="10279" width="8.7265625" style="1612" customWidth="1"/>
    <col min="10280" max="10280" width="92.7265625" style="1612" customWidth="1"/>
    <col min="10281" max="10281" width="16.1796875" style="1612" customWidth="1"/>
    <col min="10282" max="10282" width="16.81640625" style="1612" customWidth="1"/>
    <col min="10283" max="10283" width="14.7265625" style="1612" customWidth="1"/>
    <col min="10284" max="10284" width="19.453125" style="1612" customWidth="1"/>
    <col min="10285" max="10285" width="15" style="1612" customWidth="1"/>
    <col min="10286" max="10286" width="12.7265625" style="1612" customWidth="1"/>
    <col min="10287" max="10288" width="12.1796875" style="1612" customWidth="1"/>
    <col min="10289" max="10289" width="15.81640625" style="1612" customWidth="1"/>
    <col min="10290" max="10290" width="22.1796875" style="1612" customWidth="1"/>
    <col min="10291" max="10291" width="11.453125" style="1612" customWidth="1"/>
    <col min="10292" max="10292" width="17.54296875" style="1612" customWidth="1"/>
    <col min="10293" max="10293" width="0.1796875" style="1612" customWidth="1"/>
    <col min="10294" max="10294" width="18.81640625" style="1612" customWidth="1"/>
    <col min="10295" max="10298" width="25.7265625" style="1612" customWidth="1"/>
    <col min="10299" max="10299" width="14.7265625" style="1612" customWidth="1"/>
    <col min="10300" max="10300" width="22" style="1612" customWidth="1"/>
    <col min="10301" max="10301" width="15.26953125" style="1612" customWidth="1"/>
    <col min="10302" max="10305" width="25.7265625" style="1612" customWidth="1"/>
    <col min="10306" max="10306" width="15.7265625" style="1612" customWidth="1"/>
    <col min="10307" max="10307" width="22.453125" style="1612" customWidth="1"/>
    <col min="10308" max="10308" width="14.7265625" style="1612" customWidth="1"/>
    <col min="10309" max="10312" width="25.7265625" style="1612" customWidth="1"/>
    <col min="10313" max="10313" width="15.7265625" style="1612" customWidth="1"/>
    <col min="10314" max="10314" width="21" style="1612" customWidth="1"/>
    <col min="10315" max="10315" width="16.7265625" style="1612" customWidth="1"/>
    <col min="10316" max="10319" width="25.7265625" style="1612" customWidth="1"/>
    <col min="10320" max="10320" width="15.7265625" style="1612" customWidth="1"/>
    <col min="10321" max="10321" width="29.1796875" style="1612" customWidth="1"/>
    <col min="10322" max="10322" width="13.7265625" style="1612" customWidth="1"/>
    <col min="10323" max="10326" width="25.7265625" style="1612" customWidth="1"/>
    <col min="10327" max="10327" width="15.7265625" style="1612" customWidth="1"/>
    <col min="10328" max="10328" width="29.1796875" style="1612" customWidth="1"/>
    <col min="10329" max="10329" width="11.81640625" style="1612" customWidth="1"/>
    <col min="10330" max="10333" width="25.7265625" style="1612" customWidth="1"/>
    <col min="10334" max="10334" width="15.7265625" style="1612" customWidth="1"/>
    <col min="10335" max="10335" width="29.7265625" style="1612" customWidth="1"/>
    <col min="10336" max="10336" width="25.54296875" style="1612" customWidth="1"/>
    <col min="10337" max="10340" width="25.7265625" style="1612" customWidth="1"/>
    <col min="10341" max="10341" width="7.26953125" style="1612" customWidth="1"/>
    <col min="10342" max="10342" width="22.7265625" style="1612" customWidth="1"/>
    <col min="10343" max="10343" width="18.81640625" style="1612" customWidth="1"/>
    <col min="10344" max="10347" width="25.7265625" style="1612" customWidth="1"/>
    <col min="10348" max="10348" width="12.26953125" style="1612" customWidth="1"/>
    <col min="10349" max="10349" width="25.7265625" style="1612" customWidth="1"/>
    <col min="10350" max="10350" width="18.81640625" style="1612" customWidth="1"/>
    <col min="10351" max="10354" width="25.7265625" style="1612" customWidth="1"/>
    <col min="10355" max="10355" width="14.54296875" style="1612" customWidth="1"/>
    <col min="10356" max="10356" width="25.7265625" style="1612" customWidth="1"/>
    <col min="10357" max="10357" width="18.81640625" style="1612" customWidth="1"/>
    <col min="10358" max="10361" width="25.7265625" style="1612" customWidth="1"/>
    <col min="10362" max="10362" width="15.7265625" style="1612" customWidth="1"/>
    <col min="10363" max="10363" width="25.7265625" style="1612" customWidth="1"/>
    <col min="10364" max="10364" width="18.81640625" style="1612" customWidth="1"/>
    <col min="10365" max="10368" width="25.7265625" style="1612" customWidth="1"/>
    <col min="10369" max="10369" width="15.7265625" style="1612" customWidth="1"/>
    <col min="10370" max="10370" width="29.453125" style="1612" customWidth="1"/>
    <col min="10371" max="10371" width="18.81640625" style="1612" customWidth="1"/>
    <col min="10372" max="10372" width="25.7265625" style="1612" customWidth="1"/>
    <col min="10373" max="10373" width="29.7265625" style="1612" customWidth="1"/>
    <col min="10374" max="10375" width="25.7265625" style="1612" customWidth="1"/>
    <col min="10376" max="10376" width="13.7265625" style="1612" customWidth="1"/>
    <col min="10377" max="10377" width="29.1796875" style="1612" customWidth="1"/>
    <col min="10378" max="10378" width="23.7265625" style="1612" customWidth="1"/>
    <col min="10379" max="10382" width="24.81640625" style="1612" customWidth="1"/>
    <col min="10383" max="10383" width="14.7265625" style="1612" customWidth="1"/>
    <col min="10384" max="10384" width="30" style="1612" customWidth="1"/>
    <col min="10385" max="10385" width="22" style="1612" customWidth="1"/>
    <col min="10386" max="10386" width="19.26953125" style="1612" customWidth="1"/>
    <col min="10387" max="10387" width="14.1796875" style="1612" customWidth="1"/>
    <col min="10388" max="10534" width="9.1796875" style="1612"/>
    <col min="10535" max="10535" width="8.7265625" style="1612" customWidth="1"/>
    <col min="10536" max="10536" width="92.7265625" style="1612" customWidth="1"/>
    <col min="10537" max="10537" width="16.1796875" style="1612" customWidth="1"/>
    <col min="10538" max="10538" width="16.81640625" style="1612" customWidth="1"/>
    <col min="10539" max="10539" width="14.7265625" style="1612" customWidth="1"/>
    <col min="10540" max="10540" width="19.453125" style="1612" customWidth="1"/>
    <col min="10541" max="10541" width="15" style="1612" customWidth="1"/>
    <col min="10542" max="10542" width="12.7265625" style="1612" customWidth="1"/>
    <col min="10543" max="10544" width="12.1796875" style="1612" customWidth="1"/>
    <col min="10545" max="10545" width="15.81640625" style="1612" customWidth="1"/>
    <col min="10546" max="10546" width="22.1796875" style="1612" customWidth="1"/>
    <col min="10547" max="10547" width="11.453125" style="1612" customWidth="1"/>
    <col min="10548" max="10548" width="17.54296875" style="1612" customWidth="1"/>
    <col min="10549" max="10549" width="0.1796875" style="1612" customWidth="1"/>
    <col min="10550" max="10550" width="18.81640625" style="1612" customWidth="1"/>
    <col min="10551" max="10554" width="25.7265625" style="1612" customWidth="1"/>
    <col min="10555" max="10555" width="14.7265625" style="1612" customWidth="1"/>
    <col min="10556" max="10556" width="22" style="1612" customWidth="1"/>
    <col min="10557" max="10557" width="15.26953125" style="1612" customWidth="1"/>
    <col min="10558" max="10561" width="25.7265625" style="1612" customWidth="1"/>
    <col min="10562" max="10562" width="15.7265625" style="1612" customWidth="1"/>
    <col min="10563" max="10563" width="22.453125" style="1612" customWidth="1"/>
    <col min="10564" max="10564" width="14.7265625" style="1612" customWidth="1"/>
    <col min="10565" max="10568" width="25.7265625" style="1612" customWidth="1"/>
    <col min="10569" max="10569" width="15.7265625" style="1612" customWidth="1"/>
    <col min="10570" max="10570" width="21" style="1612" customWidth="1"/>
    <col min="10571" max="10571" width="16.7265625" style="1612" customWidth="1"/>
    <col min="10572" max="10575" width="25.7265625" style="1612" customWidth="1"/>
    <col min="10576" max="10576" width="15.7265625" style="1612" customWidth="1"/>
    <col min="10577" max="10577" width="29.1796875" style="1612" customWidth="1"/>
    <col min="10578" max="10578" width="13.7265625" style="1612" customWidth="1"/>
    <col min="10579" max="10582" width="25.7265625" style="1612" customWidth="1"/>
    <col min="10583" max="10583" width="15.7265625" style="1612" customWidth="1"/>
    <col min="10584" max="10584" width="29.1796875" style="1612" customWidth="1"/>
    <col min="10585" max="10585" width="11.81640625" style="1612" customWidth="1"/>
    <col min="10586" max="10589" width="25.7265625" style="1612" customWidth="1"/>
    <col min="10590" max="10590" width="15.7265625" style="1612" customWidth="1"/>
    <col min="10591" max="10591" width="29.7265625" style="1612" customWidth="1"/>
    <col min="10592" max="10592" width="25.54296875" style="1612" customWidth="1"/>
    <col min="10593" max="10596" width="25.7265625" style="1612" customWidth="1"/>
    <col min="10597" max="10597" width="7.26953125" style="1612" customWidth="1"/>
    <col min="10598" max="10598" width="22.7265625" style="1612" customWidth="1"/>
    <col min="10599" max="10599" width="18.81640625" style="1612" customWidth="1"/>
    <col min="10600" max="10603" width="25.7265625" style="1612" customWidth="1"/>
    <col min="10604" max="10604" width="12.26953125" style="1612" customWidth="1"/>
    <col min="10605" max="10605" width="25.7265625" style="1612" customWidth="1"/>
    <col min="10606" max="10606" width="18.81640625" style="1612" customWidth="1"/>
    <col min="10607" max="10610" width="25.7265625" style="1612" customWidth="1"/>
    <col min="10611" max="10611" width="14.54296875" style="1612" customWidth="1"/>
    <col min="10612" max="10612" width="25.7265625" style="1612" customWidth="1"/>
    <col min="10613" max="10613" width="18.81640625" style="1612" customWidth="1"/>
    <col min="10614" max="10617" width="25.7265625" style="1612" customWidth="1"/>
    <col min="10618" max="10618" width="15.7265625" style="1612" customWidth="1"/>
    <col min="10619" max="10619" width="25.7265625" style="1612" customWidth="1"/>
    <col min="10620" max="10620" width="18.81640625" style="1612" customWidth="1"/>
    <col min="10621" max="10624" width="25.7265625" style="1612" customWidth="1"/>
    <col min="10625" max="10625" width="15.7265625" style="1612" customWidth="1"/>
    <col min="10626" max="10626" width="29.453125" style="1612" customWidth="1"/>
    <col min="10627" max="10627" width="18.81640625" style="1612" customWidth="1"/>
    <col min="10628" max="10628" width="25.7265625" style="1612" customWidth="1"/>
    <col min="10629" max="10629" width="29.7265625" style="1612" customWidth="1"/>
    <col min="10630" max="10631" width="25.7265625" style="1612" customWidth="1"/>
    <col min="10632" max="10632" width="13.7265625" style="1612" customWidth="1"/>
    <col min="10633" max="10633" width="29.1796875" style="1612" customWidth="1"/>
    <col min="10634" max="10634" width="23.7265625" style="1612" customWidth="1"/>
    <col min="10635" max="10638" width="24.81640625" style="1612" customWidth="1"/>
    <col min="10639" max="10639" width="14.7265625" style="1612" customWidth="1"/>
    <col min="10640" max="10640" width="30" style="1612" customWidth="1"/>
    <col min="10641" max="10641" width="22" style="1612" customWidth="1"/>
    <col min="10642" max="10642" width="19.26953125" style="1612" customWidth="1"/>
    <col min="10643" max="10643" width="14.1796875" style="1612" customWidth="1"/>
    <col min="10644" max="10790" width="9.1796875" style="1612"/>
    <col min="10791" max="10791" width="8.7265625" style="1612" customWidth="1"/>
    <col min="10792" max="10792" width="92.7265625" style="1612" customWidth="1"/>
    <col min="10793" max="10793" width="16.1796875" style="1612" customWidth="1"/>
    <col min="10794" max="10794" width="16.81640625" style="1612" customWidth="1"/>
    <col min="10795" max="10795" width="14.7265625" style="1612" customWidth="1"/>
    <col min="10796" max="10796" width="19.453125" style="1612" customWidth="1"/>
    <col min="10797" max="10797" width="15" style="1612" customWidth="1"/>
    <col min="10798" max="10798" width="12.7265625" style="1612" customWidth="1"/>
    <col min="10799" max="10800" width="12.1796875" style="1612" customWidth="1"/>
    <col min="10801" max="10801" width="15.81640625" style="1612" customWidth="1"/>
    <col min="10802" max="10802" width="22.1796875" style="1612" customWidth="1"/>
    <col min="10803" max="10803" width="11.453125" style="1612" customWidth="1"/>
    <col min="10804" max="10804" width="17.54296875" style="1612" customWidth="1"/>
    <col min="10805" max="10805" width="0.1796875" style="1612" customWidth="1"/>
    <col min="10806" max="10806" width="18.81640625" style="1612" customWidth="1"/>
    <col min="10807" max="10810" width="25.7265625" style="1612" customWidth="1"/>
    <col min="10811" max="10811" width="14.7265625" style="1612" customWidth="1"/>
    <col min="10812" max="10812" width="22" style="1612" customWidth="1"/>
    <col min="10813" max="10813" width="15.26953125" style="1612" customWidth="1"/>
    <col min="10814" max="10817" width="25.7265625" style="1612" customWidth="1"/>
    <col min="10818" max="10818" width="15.7265625" style="1612" customWidth="1"/>
    <col min="10819" max="10819" width="22.453125" style="1612" customWidth="1"/>
    <col min="10820" max="10820" width="14.7265625" style="1612" customWidth="1"/>
    <col min="10821" max="10824" width="25.7265625" style="1612" customWidth="1"/>
    <col min="10825" max="10825" width="15.7265625" style="1612" customWidth="1"/>
    <col min="10826" max="10826" width="21" style="1612" customWidth="1"/>
    <col min="10827" max="10827" width="16.7265625" style="1612" customWidth="1"/>
    <col min="10828" max="10831" width="25.7265625" style="1612" customWidth="1"/>
    <col min="10832" max="10832" width="15.7265625" style="1612" customWidth="1"/>
    <col min="10833" max="10833" width="29.1796875" style="1612" customWidth="1"/>
    <col min="10834" max="10834" width="13.7265625" style="1612" customWidth="1"/>
    <col min="10835" max="10838" width="25.7265625" style="1612" customWidth="1"/>
    <col min="10839" max="10839" width="15.7265625" style="1612" customWidth="1"/>
    <col min="10840" max="10840" width="29.1796875" style="1612" customWidth="1"/>
    <col min="10841" max="10841" width="11.81640625" style="1612" customWidth="1"/>
    <col min="10842" max="10845" width="25.7265625" style="1612" customWidth="1"/>
    <col min="10846" max="10846" width="15.7265625" style="1612" customWidth="1"/>
    <col min="10847" max="10847" width="29.7265625" style="1612" customWidth="1"/>
    <col min="10848" max="10848" width="25.54296875" style="1612" customWidth="1"/>
    <col min="10849" max="10852" width="25.7265625" style="1612" customWidth="1"/>
    <col min="10853" max="10853" width="7.26953125" style="1612" customWidth="1"/>
    <col min="10854" max="10854" width="22.7265625" style="1612" customWidth="1"/>
    <col min="10855" max="10855" width="18.81640625" style="1612" customWidth="1"/>
    <col min="10856" max="10859" width="25.7265625" style="1612" customWidth="1"/>
    <col min="10860" max="10860" width="12.26953125" style="1612" customWidth="1"/>
    <col min="10861" max="10861" width="25.7265625" style="1612" customWidth="1"/>
    <col min="10862" max="10862" width="18.81640625" style="1612" customWidth="1"/>
    <col min="10863" max="10866" width="25.7265625" style="1612" customWidth="1"/>
    <col min="10867" max="10867" width="14.54296875" style="1612" customWidth="1"/>
    <col min="10868" max="10868" width="25.7265625" style="1612" customWidth="1"/>
    <col min="10869" max="10869" width="18.81640625" style="1612" customWidth="1"/>
    <col min="10870" max="10873" width="25.7265625" style="1612" customWidth="1"/>
    <col min="10874" max="10874" width="15.7265625" style="1612" customWidth="1"/>
    <col min="10875" max="10875" width="25.7265625" style="1612" customWidth="1"/>
    <col min="10876" max="10876" width="18.81640625" style="1612" customWidth="1"/>
    <col min="10877" max="10880" width="25.7265625" style="1612" customWidth="1"/>
    <col min="10881" max="10881" width="15.7265625" style="1612" customWidth="1"/>
    <col min="10882" max="10882" width="29.453125" style="1612" customWidth="1"/>
    <col min="10883" max="10883" width="18.81640625" style="1612" customWidth="1"/>
    <col min="10884" max="10884" width="25.7265625" style="1612" customWidth="1"/>
    <col min="10885" max="10885" width="29.7265625" style="1612" customWidth="1"/>
    <col min="10886" max="10887" width="25.7265625" style="1612" customWidth="1"/>
    <col min="10888" max="10888" width="13.7265625" style="1612" customWidth="1"/>
    <col min="10889" max="10889" width="29.1796875" style="1612" customWidth="1"/>
    <col min="10890" max="10890" width="23.7265625" style="1612" customWidth="1"/>
    <col min="10891" max="10894" width="24.81640625" style="1612" customWidth="1"/>
    <col min="10895" max="10895" width="14.7265625" style="1612" customWidth="1"/>
    <col min="10896" max="10896" width="30" style="1612" customWidth="1"/>
    <col min="10897" max="10897" width="22" style="1612" customWidth="1"/>
    <col min="10898" max="10898" width="19.26953125" style="1612" customWidth="1"/>
    <col min="10899" max="10899" width="14.1796875" style="1612" customWidth="1"/>
    <col min="10900" max="11046" width="9.1796875" style="1612"/>
    <col min="11047" max="11047" width="8.7265625" style="1612" customWidth="1"/>
    <col min="11048" max="11048" width="92.7265625" style="1612" customWidth="1"/>
    <col min="11049" max="11049" width="16.1796875" style="1612" customWidth="1"/>
    <col min="11050" max="11050" width="16.81640625" style="1612" customWidth="1"/>
    <col min="11051" max="11051" width="14.7265625" style="1612" customWidth="1"/>
    <col min="11052" max="11052" width="19.453125" style="1612" customWidth="1"/>
    <col min="11053" max="11053" width="15" style="1612" customWidth="1"/>
    <col min="11054" max="11054" width="12.7265625" style="1612" customWidth="1"/>
    <col min="11055" max="11056" width="12.1796875" style="1612" customWidth="1"/>
    <col min="11057" max="11057" width="15.81640625" style="1612" customWidth="1"/>
    <col min="11058" max="11058" width="22.1796875" style="1612" customWidth="1"/>
    <col min="11059" max="11059" width="11.453125" style="1612" customWidth="1"/>
    <col min="11060" max="11060" width="17.54296875" style="1612" customWidth="1"/>
    <col min="11061" max="11061" width="0.1796875" style="1612" customWidth="1"/>
    <col min="11062" max="11062" width="18.81640625" style="1612" customWidth="1"/>
    <col min="11063" max="11066" width="25.7265625" style="1612" customWidth="1"/>
    <col min="11067" max="11067" width="14.7265625" style="1612" customWidth="1"/>
    <col min="11068" max="11068" width="22" style="1612" customWidth="1"/>
    <col min="11069" max="11069" width="15.26953125" style="1612" customWidth="1"/>
    <col min="11070" max="11073" width="25.7265625" style="1612" customWidth="1"/>
    <col min="11074" max="11074" width="15.7265625" style="1612" customWidth="1"/>
    <col min="11075" max="11075" width="22.453125" style="1612" customWidth="1"/>
    <col min="11076" max="11076" width="14.7265625" style="1612" customWidth="1"/>
    <col min="11077" max="11080" width="25.7265625" style="1612" customWidth="1"/>
    <col min="11081" max="11081" width="15.7265625" style="1612" customWidth="1"/>
    <col min="11082" max="11082" width="21" style="1612" customWidth="1"/>
    <col min="11083" max="11083" width="16.7265625" style="1612" customWidth="1"/>
    <col min="11084" max="11087" width="25.7265625" style="1612" customWidth="1"/>
    <col min="11088" max="11088" width="15.7265625" style="1612" customWidth="1"/>
    <col min="11089" max="11089" width="29.1796875" style="1612" customWidth="1"/>
    <col min="11090" max="11090" width="13.7265625" style="1612" customWidth="1"/>
    <col min="11091" max="11094" width="25.7265625" style="1612" customWidth="1"/>
    <col min="11095" max="11095" width="15.7265625" style="1612" customWidth="1"/>
    <col min="11096" max="11096" width="29.1796875" style="1612" customWidth="1"/>
    <col min="11097" max="11097" width="11.81640625" style="1612" customWidth="1"/>
    <col min="11098" max="11101" width="25.7265625" style="1612" customWidth="1"/>
    <col min="11102" max="11102" width="15.7265625" style="1612" customWidth="1"/>
    <col min="11103" max="11103" width="29.7265625" style="1612" customWidth="1"/>
    <col min="11104" max="11104" width="25.54296875" style="1612" customWidth="1"/>
    <col min="11105" max="11108" width="25.7265625" style="1612" customWidth="1"/>
    <col min="11109" max="11109" width="7.26953125" style="1612" customWidth="1"/>
    <col min="11110" max="11110" width="22.7265625" style="1612" customWidth="1"/>
    <col min="11111" max="11111" width="18.81640625" style="1612" customWidth="1"/>
    <col min="11112" max="11115" width="25.7265625" style="1612" customWidth="1"/>
    <col min="11116" max="11116" width="12.26953125" style="1612" customWidth="1"/>
    <col min="11117" max="11117" width="25.7265625" style="1612" customWidth="1"/>
    <col min="11118" max="11118" width="18.81640625" style="1612" customWidth="1"/>
    <col min="11119" max="11122" width="25.7265625" style="1612" customWidth="1"/>
    <col min="11123" max="11123" width="14.54296875" style="1612" customWidth="1"/>
    <col min="11124" max="11124" width="25.7265625" style="1612" customWidth="1"/>
    <col min="11125" max="11125" width="18.81640625" style="1612" customWidth="1"/>
    <col min="11126" max="11129" width="25.7265625" style="1612" customWidth="1"/>
    <col min="11130" max="11130" width="15.7265625" style="1612" customWidth="1"/>
    <col min="11131" max="11131" width="25.7265625" style="1612" customWidth="1"/>
    <col min="11132" max="11132" width="18.81640625" style="1612" customWidth="1"/>
    <col min="11133" max="11136" width="25.7265625" style="1612" customWidth="1"/>
    <col min="11137" max="11137" width="15.7265625" style="1612" customWidth="1"/>
    <col min="11138" max="11138" width="29.453125" style="1612" customWidth="1"/>
    <col min="11139" max="11139" width="18.81640625" style="1612" customWidth="1"/>
    <col min="11140" max="11140" width="25.7265625" style="1612" customWidth="1"/>
    <col min="11141" max="11141" width="29.7265625" style="1612" customWidth="1"/>
    <col min="11142" max="11143" width="25.7265625" style="1612" customWidth="1"/>
    <col min="11144" max="11144" width="13.7265625" style="1612" customWidth="1"/>
    <col min="11145" max="11145" width="29.1796875" style="1612" customWidth="1"/>
    <col min="11146" max="11146" width="23.7265625" style="1612" customWidth="1"/>
    <col min="11147" max="11150" width="24.81640625" style="1612" customWidth="1"/>
    <col min="11151" max="11151" width="14.7265625" style="1612" customWidth="1"/>
    <col min="11152" max="11152" width="30" style="1612" customWidth="1"/>
    <col min="11153" max="11153" width="22" style="1612" customWidth="1"/>
    <col min="11154" max="11154" width="19.26953125" style="1612" customWidth="1"/>
    <col min="11155" max="11155" width="14.1796875" style="1612" customWidth="1"/>
    <col min="11156" max="11302" width="9.1796875" style="1612"/>
    <col min="11303" max="11303" width="8.7265625" style="1612" customWidth="1"/>
    <col min="11304" max="11304" width="92.7265625" style="1612" customWidth="1"/>
    <col min="11305" max="11305" width="16.1796875" style="1612" customWidth="1"/>
    <col min="11306" max="11306" width="16.81640625" style="1612" customWidth="1"/>
    <col min="11307" max="11307" width="14.7265625" style="1612" customWidth="1"/>
    <col min="11308" max="11308" width="19.453125" style="1612" customWidth="1"/>
    <col min="11309" max="11309" width="15" style="1612" customWidth="1"/>
    <col min="11310" max="11310" width="12.7265625" style="1612" customWidth="1"/>
    <col min="11311" max="11312" width="12.1796875" style="1612" customWidth="1"/>
    <col min="11313" max="11313" width="15.81640625" style="1612" customWidth="1"/>
    <col min="11314" max="11314" width="22.1796875" style="1612" customWidth="1"/>
    <col min="11315" max="11315" width="11.453125" style="1612" customWidth="1"/>
    <col min="11316" max="11316" width="17.54296875" style="1612" customWidth="1"/>
    <col min="11317" max="11317" width="0.1796875" style="1612" customWidth="1"/>
    <col min="11318" max="11318" width="18.81640625" style="1612" customWidth="1"/>
    <col min="11319" max="11322" width="25.7265625" style="1612" customWidth="1"/>
    <col min="11323" max="11323" width="14.7265625" style="1612" customWidth="1"/>
    <col min="11324" max="11324" width="22" style="1612" customWidth="1"/>
    <col min="11325" max="11325" width="15.26953125" style="1612" customWidth="1"/>
    <col min="11326" max="11329" width="25.7265625" style="1612" customWidth="1"/>
    <col min="11330" max="11330" width="15.7265625" style="1612" customWidth="1"/>
    <col min="11331" max="11331" width="22.453125" style="1612" customWidth="1"/>
    <col min="11332" max="11332" width="14.7265625" style="1612" customWidth="1"/>
    <col min="11333" max="11336" width="25.7265625" style="1612" customWidth="1"/>
    <col min="11337" max="11337" width="15.7265625" style="1612" customWidth="1"/>
    <col min="11338" max="11338" width="21" style="1612" customWidth="1"/>
    <col min="11339" max="11339" width="16.7265625" style="1612" customWidth="1"/>
    <col min="11340" max="11343" width="25.7265625" style="1612" customWidth="1"/>
    <col min="11344" max="11344" width="15.7265625" style="1612" customWidth="1"/>
    <col min="11345" max="11345" width="29.1796875" style="1612" customWidth="1"/>
    <col min="11346" max="11346" width="13.7265625" style="1612" customWidth="1"/>
    <col min="11347" max="11350" width="25.7265625" style="1612" customWidth="1"/>
    <col min="11351" max="11351" width="15.7265625" style="1612" customWidth="1"/>
    <col min="11352" max="11352" width="29.1796875" style="1612" customWidth="1"/>
    <col min="11353" max="11353" width="11.81640625" style="1612" customWidth="1"/>
    <col min="11354" max="11357" width="25.7265625" style="1612" customWidth="1"/>
    <col min="11358" max="11358" width="15.7265625" style="1612" customWidth="1"/>
    <col min="11359" max="11359" width="29.7265625" style="1612" customWidth="1"/>
    <col min="11360" max="11360" width="25.54296875" style="1612" customWidth="1"/>
    <col min="11361" max="11364" width="25.7265625" style="1612" customWidth="1"/>
    <col min="11365" max="11365" width="7.26953125" style="1612" customWidth="1"/>
    <col min="11366" max="11366" width="22.7265625" style="1612" customWidth="1"/>
    <col min="11367" max="11367" width="18.81640625" style="1612" customWidth="1"/>
    <col min="11368" max="11371" width="25.7265625" style="1612" customWidth="1"/>
    <col min="11372" max="11372" width="12.26953125" style="1612" customWidth="1"/>
    <col min="11373" max="11373" width="25.7265625" style="1612" customWidth="1"/>
    <col min="11374" max="11374" width="18.81640625" style="1612" customWidth="1"/>
    <col min="11375" max="11378" width="25.7265625" style="1612" customWidth="1"/>
    <col min="11379" max="11379" width="14.54296875" style="1612" customWidth="1"/>
    <col min="11380" max="11380" width="25.7265625" style="1612" customWidth="1"/>
    <col min="11381" max="11381" width="18.81640625" style="1612" customWidth="1"/>
    <col min="11382" max="11385" width="25.7265625" style="1612" customWidth="1"/>
    <col min="11386" max="11386" width="15.7265625" style="1612" customWidth="1"/>
    <col min="11387" max="11387" width="25.7265625" style="1612" customWidth="1"/>
    <col min="11388" max="11388" width="18.81640625" style="1612" customWidth="1"/>
    <col min="11389" max="11392" width="25.7265625" style="1612" customWidth="1"/>
    <col min="11393" max="11393" width="15.7265625" style="1612" customWidth="1"/>
    <col min="11394" max="11394" width="29.453125" style="1612" customWidth="1"/>
    <col min="11395" max="11395" width="18.81640625" style="1612" customWidth="1"/>
    <col min="11396" max="11396" width="25.7265625" style="1612" customWidth="1"/>
    <col min="11397" max="11397" width="29.7265625" style="1612" customWidth="1"/>
    <col min="11398" max="11399" width="25.7265625" style="1612" customWidth="1"/>
    <col min="11400" max="11400" width="13.7265625" style="1612" customWidth="1"/>
    <col min="11401" max="11401" width="29.1796875" style="1612" customWidth="1"/>
    <col min="11402" max="11402" width="23.7265625" style="1612" customWidth="1"/>
    <col min="11403" max="11406" width="24.81640625" style="1612" customWidth="1"/>
    <col min="11407" max="11407" width="14.7265625" style="1612" customWidth="1"/>
    <col min="11408" max="11408" width="30" style="1612" customWidth="1"/>
    <col min="11409" max="11409" width="22" style="1612" customWidth="1"/>
    <col min="11410" max="11410" width="19.26953125" style="1612" customWidth="1"/>
    <col min="11411" max="11411" width="14.1796875" style="1612" customWidth="1"/>
    <col min="11412" max="11558" width="9.1796875" style="1612"/>
    <col min="11559" max="11559" width="8.7265625" style="1612" customWidth="1"/>
    <col min="11560" max="11560" width="92.7265625" style="1612" customWidth="1"/>
    <col min="11561" max="11561" width="16.1796875" style="1612" customWidth="1"/>
    <col min="11562" max="11562" width="16.81640625" style="1612" customWidth="1"/>
    <col min="11563" max="11563" width="14.7265625" style="1612" customWidth="1"/>
    <col min="11564" max="11564" width="19.453125" style="1612" customWidth="1"/>
    <col min="11565" max="11565" width="15" style="1612" customWidth="1"/>
    <col min="11566" max="11566" width="12.7265625" style="1612" customWidth="1"/>
    <col min="11567" max="11568" width="12.1796875" style="1612" customWidth="1"/>
    <col min="11569" max="11569" width="15.81640625" style="1612" customWidth="1"/>
    <col min="11570" max="11570" width="22.1796875" style="1612" customWidth="1"/>
    <col min="11571" max="11571" width="11.453125" style="1612" customWidth="1"/>
    <col min="11572" max="11572" width="17.54296875" style="1612" customWidth="1"/>
    <col min="11573" max="11573" width="0.1796875" style="1612" customWidth="1"/>
    <col min="11574" max="11574" width="18.81640625" style="1612" customWidth="1"/>
    <col min="11575" max="11578" width="25.7265625" style="1612" customWidth="1"/>
    <col min="11579" max="11579" width="14.7265625" style="1612" customWidth="1"/>
    <col min="11580" max="11580" width="22" style="1612" customWidth="1"/>
    <col min="11581" max="11581" width="15.26953125" style="1612" customWidth="1"/>
    <col min="11582" max="11585" width="25.7265625" style="1612" customWidth="1"/>
    <col min="11586" max="11586" width="15.7265625" style="1612" customWidth="1"/>
    <col min="11587" max="11587" width="22.453125" style="1612" customWidth="1"/>
    <col min="11588" max="11588" width="14.7265625" style="1612" customWidth="1"/>
    <col min="11589" max="11592" width="25.7265625" style="1612" customWidth="1"/>
    <col min="11593" max="11593" width="15.7265625" style="1612" customWidth="1"/>
    <col min="11594" max="11594" width="21" style="1612" customWidth="1"/>
    <col min="11595" max="11595" width="16.7265625" style="1612" customWidth="1"/>
    <col min="11596" max="11599" width="25.7265625" style="1612" customWidth="1"/>
    <col min="11600" max="11600" width="15.7265625" style="1612" customWidth="1"/>
    <col min="11601" max="11601" width="29.1796875" style="1612" customWidth="1"/>
    <col min="11602" max="11602" width="13.7265625" style="1612" customWidth="1"/>
    <col min="11603" max="11606" width="25.7265625" style="1612" customWidth="1"/>
    <col min="11607" max="11607" width="15.7265625" style="1612" customWidth="1"/>
    <col min="11608" max="11608" width="29.1796875" style="1612" customWidth="1"/>
    <col min="11609" max="11609" width="11.81640625" style="1612" customWidth="1"/>
    <col min="11610" max="11613" width="25.7265625" style="1612" customWidth="1"/>
    <col min="11614" max="11614" width="15.7265625" style="1612" customWidth="1"/>
    <col min="11615" max="11615" width="29.7265625" style="1612" customWidth="1"/>
    <col min="11616" max="11616" width="25.54296875" style="1612" customWidth="1"/>
    <col min="11617" max="11620" width="25.7265625" style="1612" customWidth="1"/>
    <col min="11621" max="11621" width="7.26953125" style="1612" customWidth="1"/>
    <col min="11622" max="11622" width="22.7265625" style="1612" customWidth="1"/>
    <col min="11623" max="11623" width="18.81640625" style="1612" customWidth="1"/>
    <col min="11624" max="11627" width="25.7265625" style="1612" customWidth="1"/>
    <col min="11628" max="11628" width="12.26953125" style="1612" customWidth="1"/>
    <col min="11629" max="11629" width="25.7265625" style="1612" customWidth="1"/>
    <col min="11630" max="11630" width="18.81640625" style="1612" customWidth="1"/>
    <col min="11631" max="11634" width="25.7265625" style="1612" customWidth="1"/>
    <col min="11635" max="11635" width="14.54296875" style="1612" customWidth="1"/>
    <col min="11636" max="11636" width="25.7265625" style="1612" customWidth="1"/>
    <col min="11637" max="11637" width="18.81640625" style="1612" customWidth="1"/>
    <col min="11638" max="11641" width="25.7265625" style="1612" customWidth="1"/>
    <col min="11642" max="11642" width="15.7265625" style="1612" customWidth="1"/>
    <col min="11643" max="11643" width="25.7265625" style="1612" customWidth="1"/>
    <col min="11644" max="11644" width="18.81640625" style="1612" customWidth="1"/>
    <col min="11645" max="11648" width="25.7265625" style="1612" customWidth="1"/>
    <col min="11649" max="11649" width="15.7265625" style="1612" customWidth="1"/>
    <col min="11650" max="11650" width="29.453125" style="1612" customWidth="1"/>
    <col min="11651" max="11651" width="18.81640625" style="1612" customWidth="1"/>
    <col min="11652" max="11652" width="25.7265625" style="1612" customWidth="1"/>
    <col min="11653" max="11653" width="29.7265625" style="1612" customWidth="1"/>
    <col min="11654" max="11655" width="25.7265625" style="1612" customWidth="1"/>
    <col min="11656" max="11656" width="13.7265625" style="1612" customWidth="1"/>
    <col min="11657" max="11657" width="29.1796875" style="1612" customWidth="1"/>
    <col min="11658" max="11658" width="23.7265625" style="1612" customWidth="1"/>
    <col min="11659" max="11662" width="24.81640625" style="1612" customWidth="1"/>
    <col min="11663" max="11663" width="14.7265625" style="1612" customWidth="1"/>
    <col min="11664" max="11664" width="30" style="1612" customWidth="1"/>
    <col min="11665" max="11665" width="22" style="1612" customWidth="1"/>
    <col min="11666" max="11666" width="19.26953125" style="1612" customWidth="1"/>
    <col min="11667" max="11667" width="14.1796875" style="1612" customWidth="1"/>
    <col min="11668" max="11814" width="9.1796875" style="1612"/>
    <col min="11815" max="11815" width="8.7265625" style="1612" customWidth="1"/>
    <col min="11816" max="11816" width="92.7265625" style="1612" customWidth="1"/>
    <col min="11817" max="11817" width="16.1796875" style="1612" customWidth="1"/>
    <col min="11818" max="11818" width="16.81640625" style="1612" customWidth="1"/>
    <col min="11819" max="11819" width="14.7265625" style="1612" customWidth="1"/>
    <col min="11820" max="11820" width="19.453125" style="1612" customWidth="1"/>
    <col min="11821" max="11821" width="15" style="1612" customWidth="1"/>
    <col min="11822" max="11822" width="12.7265625" style="1612" customWidth="1"/>
    <col min="11823" max="11824" width="12.1796875" style="1612" customWidth="1"/>
    <col min="11825" max="11825" width="15.81640625" style="1612" customWidth="1"/>
    <col min="11826" max="11826" width="22.1796875" style="1612" customWidth="1"/>
    <col min="11827" max="11827" width="11.453125" style="1612" customWidth="1"/>
    <col min="11828" max="11828" width="17.54296875" style="1612" customWidth="1"/>
    <col min="11829" max="11829" width="0.1796875" style="1612" customWidth="1"/>
    <col min="11830" max="11830" width="18.81640625" style="1612" customWidth="1"/>
    <col min="11831" max="11834" width="25.7265625" style="1612" customWidth="1"/>
    <col min="11835" max="11835" width="14.7265625" style="1612" customWidth="1"/>
    <col min="11836" max="11836" width="22" style="1612" customWidth="1"/>
    <col min="11837" max="11837" width="15.26953125" style="1612" customWidth="1"/>
    <col min="11838" max="11841" width="25.7265625" style="1612" customWidth="1"/>
    <col min="11842" max="11842" width="15.7265625" style="1612" customWidth="1"/>
    <col min="11843" max="11843" width="22.453125" style="1612" customWidth="1"/>
    <col min="11844" max="11844" width="14.7265625" style="1612" customWidth="1"/>
    <col min="11845" max="11848" width="25.7265625" style="1612" customWidth="1"/>
    <col min="11849" max="11849" width="15.7265625" style="1612" customWidth="1"/>
    <col min="11850" max="11850" width="21" style="1612" customWidth="1"/>
    <col min="11851" max="11851" width="16.7265625" style="1612" customWidth="1"/>
    <col min="11852" max="11855" width="25.7265625" style="1612" customWidth="1"/>
    <col min="11856" max="11856" width="15.7265625" style="1612" customWidth="1"/>
    <col min="11857" max="11857" width="29.1796875" style="1612" customWidth="1"/>
    <col min="11858" max="11858" width="13.7265625" style="1612" customWidth="1"/>
    <col min="11859" max="11862" width="25.7265625" style="1612" customWidth="1"/>
    <col min="11863" max="11863" width="15.7265625" style="1612" customWidth="1"/>
    <col min="11864" max="11864" width="29.1796875" style="1612" customWidth="1"/>
    <col min="11865" max="11865" width="11.81640625" style="1612" customWidth="1"/>
    <col min="11866" max="11869" width="25.7265625" style="1612" customWidth="1"/>
    <col min="11870" max="11870" width="15.7265625" style="1612" customWidth="1"/>
    <col min="11871" max="11871" width="29.7265625" style="1612" customWidth="1"/>
    <col min="11872" max="11872" width="25.54296875" style="1612" customWidth="1"/>
    <col min="11873" max="11876" width="25.7265625" style="1612" customWidth="1"/>
    <col min="11877" max="11877" width="7.26953125" style="1612" customWidth="1"/>
    <col min="11878" max="11878" width="22.7265625" style="1612" customWidth="1"/>
    <col min="11879" max="11879" width="18.81640625" style="1612" customWidth="1"/>
    <col min="11880" max="11883" width="25.7265625" style="1612" customWidth="1"/>
    <col min="11884" max="11884" width="12.26953125" style="1612" customWidth="1"/>
    <col min="11885" max="11885" width="25.7265625" style="1612" customWidth="1"/>
    <col min="11886" max="11886" width="18.81640625" style="1612" customWidth="1"/>
    <col min="11887" max="11890" width="25.7265625" style="1612" customWidth="1"/>
    <col min="11891" max="11891" width="14.54296875" style="1612" customWidth="1"/>
    <col min="11892" max="11892" width="25.7265625" style="1612" customWidth="1"/>
    <col min="11893" max="11893" width="18.81640625" style="1612" customWidth="1"/>
    <col min="11894" max="11897" width="25.7265625" style="1612" customWidth="1"/>
    <col min="11898" max="11898" width="15.7265625" style="1612" customWidth="1"/>
    <col min="11899" max="11899" width="25.7265625" style="1612" customWidth="1"/>
    <col min="11900" max="11900" width="18.81640625" style="1612" customWidth="1"/>
    <col min="11901" max="11904" width="25.7265625" style="1612" customWidth="1"/>
    <col min="11905" max="11905" width="15.7265625" style="1612" customWidth="1"/>
    <col min="11906" max="11906" width="29.453125" style="1612" customWidth="1"/>
    <col min="11907" max="11907" width="18.81640625" style="1612" customWidth="1"/>
    <col min="11908" max="11908" width="25.7265625" style="1612" customWidth="1"/>
    <col min="11909" max="11909" width="29.7265625" style="1612" customWidth="1"/>
    <col min="11910" max="11911" width="25.7265625" style="1612" customWidth="1"/>
    <col min="11912" max="11912" width="13.7265625" style="1612" customWidth="1"/>
    <col min="11913" max="11913" width="29.1796875" style="1612" customWidth="1"/>
    <col min="11914" max="11914" width="23.7265625" style="1612" customWidth="1"/>
    <col min="11915" max="11918" width="24.81640625" style="1612" customWidth="1"/>
    <col min="11919" max="11919" width="14.7265625" style="1612" customWidth="1"/>
    <col min="11920" max="11920" width="30" style="1612" customWidth="1"/>
    <col min="11921" max="11921" width="22" style="1612" customWidth="1"/>
    <col min="11922" max="11922" width="19.26953125" style="1612" customWidth="1"/>
    <col min="11923" max="11923" width="14.1796875" style="1612" customWidth="1"/>
    <col min="11924" max="12070" width="9.1796875" style="1612"/>
    <col min="12071" max="12071" width="8.7265625" style="1612" customWidth="1"/>
    <col min="12072" max="12072" width="92.7265625" style="1612" customWidth="1"/>
    <col min="12073" max="12073" width="16.1796875" style="1612" customWidth="1"/>
    <col min="12074" max="12074" width="16.81640625" style="1612" customWidth="1"/>
    <col min="12075" max="12075" width="14.7265625" style="1612" customWidth="1"/>
    <col min="12076" max="12076" width="19.453125" style="1612" customWidth="1"/>
    <col min="12077" max="12077" width="15" style="1612" customWidth="1"/>
    <col min="12078" max="12078" width="12.7265625" style="1612" customWidth="1"/>
    <col min="12079" max="12080" width="12.1796875" style="1612" customWidth="1"/>
    <col min="12081" max="12081" width="15.81640625" style="1612" customWidth="1"/>
    <col min="12082" max="12082" width="22.1796875" style="1612" customWidth="1"/>
    <col min="12083" max="12083" width="11.453125" style="1612" customWidth="1"/>
    <col min="12084" max="12084" width="17.54296875" style="1612" customWidth="1"/>
    <col min="12085" max="12085" width="0.1796875" style="1612" customWidth="1"/>
    <col min="12086" max="12086" width="18.81640625" style="1612" customWidth="1"/>
    <col min="12087" max="12090" width="25.7265625" style="1612" customWidth="1"/>
    <col min="12091" max="12091" width="14.7265625" style="1612" customWidth="1"/>
    <col min="12092" max="12092" width="22" style="1612" customWidth="1"/>
    <col min="12093" max="12093" width="15.26953125" style="1612" customWidth="1"/>
    <col min="12094" max="12097" width="25.7265625" style="1612" customWidth="1"/>
    <col min="12098" max="12098" width="15.7265625" style="1612" customWidth="1"/>
    <col min="12099" max="12099" width="22.453125" style="1612" customWidth="1"/>
    <col min="12100" max="12100" width="14.7265625" style="1612" customWidth="1"/>
    <col min="12101" max="12104" width="25.7265625" style="1612" customWidth="1"/>
    <col min="12105" max="12105" width="15.7265625" style="1612" customWidth="1"/>
    <col min="12106" max="12106" width="21" style="1612" customWidth="1"/>
    <col min="12107" max="12107" width="16.7265625" style="1612" customWidth="1"/>
    <col min="12108" max="12111" width="25.7265625" style="1612" customWidth="1"/>
    <col min="12112" max="12112" width="15.7265625" style="1612" customWidth="1"/>
    <col min="12113" max="12113" width="29.1796875" style="1612" customWidth="1"/>
    <col min="12114" max="12114" width="13.7265625" style="1612" customWidth="1"/>
    <col min="12115" max="12118" width="25.7265625" style="1612" customWidth="1"/>
    <col min="12119" max="12119" width="15.7265625" style="1612" customWidth="1"/>
    <col min="12120" max="12120" width="29.1796875" style="1612" customWidth="1"/>
    <col min="12121" max="12121" width="11.81640625" style="1612" customWidth="1"/>
    <col min="12122" max="12125" width="25.7265625" style="1612" customWidth="1"/>
    <col min="12126" max="12126" width="15.7265625" style="1612" customWidth="1"/>
    <col min="12127" max="12127" width="29.7265625" style="1612" customWidth="1"/>
    <col min="12128" max="12128" width="25.54296875" style="1612" customWidth="1"/>
    <col min="12129" max="12132" width="25.7265625" style="1612" customWidth="1"/>
    <col min="12133" max="12133" width="7.26953125" style="1612" customWidth="1"/>
    <col min="12134" max="12134" width="22.7265625" style="1612" customWidth="1"/>
    <col min="12135" max="12135" width="18.81640625" style="1612" customWidth="1"/>
    <col min="12136" max="12139" width="25.7265625" style="1612" customWidth="1"/>
    <col min="12140" max="12140" width="12.26953125" style="1612" customWidth="1"/>
    <col min="12141" max="12141" width="25.7265625" style="1612" customWidth="1"/>
    <col min="12142" max="12142" width="18.81640625" style="1612" customWidth="1"/>
    <col min="12143" max="12146" width="25.7265625" style="1612" customWidth="1"/>
    <col min="12147" max="12147" width="14.54296875" style="1612" customWidth="1"/>
    <col min="12148" max="12148" width="25.7265625" style="1612" customWidth="1"/>
    <col min="12149" max="12149" width="18.81640625" style="1612" customWidth="1"/>
    <col min="12150" max="12153" width="25.7265625" style="1612" customWidth="1"/>
    <col min="12154" max="12154" width="15.7265625" style="1612" customWidth="1"/>
    <col min="12155" max="12155" width="25.7265625" style="1612" customWidth="1"/>
    <col min="12156" max="12156" width="18.81640625" style="1612" customWidth="1"/>
    <col min="12157" max="12160" width="25.7265625" style="1612" customWidth="1"/>
    <col min="12161" max="12161" width="15.7265625" style="1612" customWidth="1"/>
    <col min="12162" max="12162" width="29.453125" style="1612" customWidth="1"/>
    <col min="12163" max="12163" width="18.81640625" style="1612" customWidth="1"/>
    <col min="12164" max="12164" width="25.7265625" style="1612" customWidth="1"/>
    <col min="12165" max="12165" width="29.7265625" style="1612" customWidth="1"/>
    <col min="12166" max="12167" width="25.7265625" style="1612" customWidth="1"/>
    <col min="12168" max="12168" width="13.7265625" style="1612" customWidth="1"/>
    <col min="12169" max="12169" width="29.1796875" style="1612" customWidth="1"/>
    <col min="12170" max="12170" width="23.7265625" style="1612" customWidth="1"/>
    <col min="12171" max="12174" width="24.81640625" style="1612" customWidth="1"/>
    <col min="12175" max="12175" width="14.7265625" style="1612" customWidth="1"/>
    <col min="12176" max="12176" width="30" style="1612" customWidth="1"/>
    <col min="12177" max="12177" width="22" style="1612" customWidth="1"/>
    <col min="12178" max="12178" width="19.26953125" style="1612" customWidth="1"/>
    <col min="12179" max="12179" width="14.1796875" style="1612" customWidth="1"/>
    <col min="12180" max="12326" width="9.1796875" style="1612"/>
    <col min="12327" max="12327" width="8.7265625" style="1612" customWidth="1"/>
    <col min="12328" max="12328" width="92.7265625" style="1612" customWidth="1"/>
    <col min="12329" max="12329" width="16.1796875" style="1612" customWidth="1"/>
    <col min="12330" max="12330" width="16.81640625" style="1612" customWidth="1"/>
    <col min="12331" max="12331" width="14.7265625" style="1612" customWidth="1"/>
    <col min="12332" max="12332" width="19.453125" style="1612" customWidth="1"/>
    <col min="12333" max="12333" width="15" style="1612" customWidth="1"/>
    <col min="12334" max="12334" width="12.7265625" style="1612" customWidth="1"/>
    <col min="12335" max="12336" width="12.1796875" style="1612" customWidth="1"/>
    <col min="12337" max="12337" width="15.81640625" style="1612" customWidth="1"/>
    <col min="12338" max="12338" width="22.1796875" style="1612" customWidth="1"/>
    <col min="12339" max="12339" width="11.453125" style="1612" customWidth="1"/>
    <col min="12340" max="12340" width="17.54296875" style="1612" customWidth="1"/>
    <col min="12341" max="12341" width="0.1796875" style="1612" customWidth="1"/>
    <col min="12342" max="12342" width="18.81640625" style="1612" customWidth="1"/>
    <col min="12343" max="12346" width="25.7265625" style="1612" customWidth="1"/>
    <col min="12347" max="12347" width="14.7265625" style="1612" customWidth="1"/>
    <col min="12348" max="12348" width="22" style="1612" customWidth="1"/>
    <col min="12349" max="12349" width="15.26953125" style="1612" customWidth="1"/>
    <col min="12350" max="12353" width="25.7265625" style="1612" customWidth="1"/>
    <col min="12354" max="12354" width="15.7265625" style="1612" customWidth="1"/>
    <col min="12355" max="12355" width="22.453125" style="1612" customWidth="1"/>
    <col min="12356" max="12356" width="14.7265625" style="1612" customWidth="1"/>
    <col min="12357" max="12360" width="25.7265625" style="1612" customWidth="1"/>
    <col min="12361" max="12361" width="15.7265625" style="1612" customWidth="1"/>
    <col min="12362" max="12362" width="21" style="1612" customWidth="1"/>
    <col min="12363" max="12363" width="16.7265625" style="1612" customWidth="1"/>
    <col min="12364" max="12367" width="25.7265625" style="1612" customWidth="1"/>
    <col min="12368" max="12368" width="15.7265625" style="1612" customWidth="1"/>
    <col min="12369" max="12369" width="29.1796875" style="1612" customWidth="1"/>
    <col min="12370" max="12370" width="13.7265625" style="1612" customWidth="1"/>
    <col min="12371" max="12374" width="25.7265625" style="1612" customWidth="1"/>
    <col min="12375" max="12375" width="15.7265625" style="1612" customWidth="1"/>
    <col min="12376" max="12376" width="29.1796875" style="1612" customWidth="1"/>
    <col min="12377" max="12377" width="11.81640625" style="1612" customWidth="1"/>
    <col min="12378" max="12381" width="25.7265625" style="1612" customWidth="1"/>
    <col min="12382" max="12382" width="15.7265625" style="1612" customWidth="1"/>
    <col min="12383" max="12383" width="29.7265625" style="1612" customWidth="1"/>
    <col min="12384" max="12384" width="25.54296875" style="1612" customWidth="1"/>
    <col min="12385" max="12388" width="25.7265625" style="1612" customWidth="1"/>
    <col min="12389" max="12389" width="7.26953125" style="1612" customWidth="1"/>
    <col min="12390" max="12390" width="22.7265625" style="1612" customWidth="1"/>
    <col min="12391" max="12391" width="18.81640625" style="1612" customWidth="1"/>
    <col min="12392" max="12395" width="25.7265625" style="1612" customWidth="1"/>
    <col min="12396" max="12396" width="12.26953125" style="1612" customWidth="1"/>
    <col min="12397" max="12397" width="25.7265625" style="1612" customWidth="1"/>
    <col min="12398" max="12398" width="18.81640625" style="1612" customWidth="1"/>
    <col min="12399" max="12402" width="25.7265625" style="1612" customWidth="1"/>
    <col min="12403" max="12403" width="14.54296875" style="1612" customWidth="1"/>
    <col min="12404" max="12404" width="25.7265625" style="1612" customWidth="1"/>
    <col min="12405" max="12405" width="18.81640625" style="1612" customWidth="1"/>
    <col min="12406" max="12409" width="25.7265625" style="1612" customWidth="1"/>
    <col min="12410" max="12410" width="15.7265625" style="1612" customWidth="1"/>
    <col min="12411" max="12411" width="25.7265625" style="1612" customWidth="1"/>
    <col min="12412" max="12412" width="18.81640625" style="1612" customWidth="1"/>
    <col min="12413" max="12416" width="25.7265625" style="1612" customWidth="1"/>
    <col min="12417" max="12417" width="15.7265625" style="1612" customWidth="1"/>
    <col min="12418" max="12418" width="29.453125" style="1612" customWidth="1"/>
    <col min="12419" max="12419" width="18.81640625" style="1612" customWidth="1"/>
    <col min="12420" max="12420" width="25.7265625" style="1612" customWidth="1"/>
    <col min="12421" max="12421" width="29.7265625" style="1612" customWidth="1"/>
    <col min="12422" max="12423" width="25.7265625" style="1612" customWidth="1"/>
    <col min="12424" max="12424" width="13.7265625" style="1612" customWidth="1"/>
    <col min="12425" max="12425" width="29.1796875" style="1612" customWidth="1"/>
    <col min="12426" max="12426" width="23.7265625" style="1612" customWidth="1"/>
    <col min="12427" max="12430" width="24.81640625" style="1612" customWidth="1"/>
    <col min="12431" max="12431" width="14.7265625" style="1612" customWidth="1"/>
    <col min="12432" max="12432" width="30" style="1612" customWidth="1"/>
    <col min="12433" max="12433" width="22" style="1612" customWidth="1"/>
    <col min="12434" max="12434" width="19.26953125" style="1612" customWidth="1"/>
    <col min="12435" max="12435" width="14.1796875" style="1612" customWidth="1"/>
    <col min="12436" max="12582" width="9.1796875" style="1612"/>
    <col min="12583" max="12583" width="8.7265625" style="1612" customWidth="1"/>
    <col min="12584" max="12584" width="92.7265625" style="1612" customWidth="1"/>
    <col min="12585" max="12585" width="16.1796875" style="1612" customWidth="1"/>
    <col min="12586" max="12586" width="16.81640625" style="1612" customWidth="1"/>
    <col min="12587" max="12587" width="14.7265625" style="1612" customWidth="1"/>
    <col min="12588" max="12588" width="19.453125" style="1612" customWidth="1"/>
    <col min="12589" max="12589" width="15" style="1612" customWidth="1"/>
    <col min="12590" max="12590" width="12.7265625" style="1612" customWidth="1"/>
    <col min="12591" max="12592" width="12.1796875" style="1612" customWidth="1"/>
    <col min="12593" max="12593" width="15.81640625" style="1612" customWidth="1"/>
    <col min="12594" max="12594" width="22.1796875" style="1612" customWidth="1"/>
    <col min="12595" max="12595" width="11.453125" style="1612" customWidth="1"/>
    <col min="12596" max="12596" width="17.54296875" style="1612" customWidth="1"/>
    <col min="12597" max="12597" width="0.1796875" style="1612" customWidth="1"/>
    <col min="12598" max="12598" width="18.81640625" style="1612" customWidth="1"/>
    <col min="12599" max="12602" width="25.7265625" style="1612" customWidth="1"/>
    <col min="12603" max="12603" width="14.7265625" style="1612" customWidth="1"/>
    <col min="12604" max="12604" width="22" style="1612" customWidth="1"/>
    <col min="12605" max="12605" width="15.26953125" style="1612" customWidth="1"/>
    <col min="12606" max="12609" width="25.7265625" style="1612" customWidth="1"/>
    <col min="12610" max="12610" width="15.7265625" style="1612" customWidth="1"/>
    <col min="12611" max="12611" width="22.453125" style="1612" customWidth="1"/>
    <col min="12612" max="12612" width="14.7265625" style="1612" customWidth="1"/>
    <col min="12613" max="12616" width="25.7265625" style="1612" customWidth="1"/>
    <col min="12617" max="12617" width="15.7265625" style="1612" customWidth="1"/>
    <col min="12618" max="12618" width="21" style="1612" customWidth="1"/>
    <col min="12619" max="12619" width="16.7265625" style="1612" customWidth="1"/>
    <col min="12620" max="12623" width="25.7265625" style="1612" customWidth="1"/>
    <col min="12624" max="12624" width="15.7265625" style="1612" customWidth="1"/>
    <col min="12625" max="12625" width="29.1796875" style="1612" customWidth="1"/>
    <col min="12626" max="12626" width="13.7265625" style="1612" customWidth="1"/>
    <col min="12627" max="12630" width="25.7265625" style="1612" customWidth="1"/>
    <col min="12631" max="12631" width="15.7265625" style="1612" customWidth="1"/>
    <col min="12632" max="12632" width="29.1796875" style="1612" customWidth="1"/>
    <col min="12633" max="12633" width="11.81640625" style="1612" customWidth="1"/>
    <col min="12634" max="12637" width="25.7265625" style="1612" customWidth="1"/>
    <col min="12638" max="12638" width="15.7265625" style="1612" customWidth="1"/>
    <col min="12639" max="12639" width="29.7265625" style="1612" customWidth="1"/>
    <col min="12640" max="12640" width="25.54296875" style="1612" customWidth="1"/>
    <col min="12641" max="12644" width="25.7265625" style="1612" customWidth="1"/>
    <col min="12645" max="12645" width="7.26953125" style="1612" customWidth="1"/>
    <col min="12646" max="12646" width="22.7265625" style="1612" customWidth="1"/>
    <col min="12647" max="12647" width="18.81640625" style="1612" customWidth="1"/>
    <col min="12648" max="12651" width="25.7265625" style="1612" customWidth="1"/>
    <col min="12652" max="12652" width="12.26953125" style="1612" customWidth="1"/>
    <col min="12653" max="12653" width="25.7265625" style="1612" customWidth="1"/>
    <col min="12654" max="12654" width="18.81640625" style="1612" customWidth="1"/>
    <col min="12655" max="12658" width="25.7265625" style="1612" customWidth="1"/>
    <col min="12659" max="12659" width="14.54296875" style="1612" customWidth="1"/>
    <col min="12660" max="12660" width="25.7265625" style="1612" customWidth="1"/>
    <col min="12661" max="12661" width="18.81640625" style="1612" customWidth="1"/>
    <col min="12662" max="12665" width="25.7265625" style="1612" customWidth="1"/>
    <col min="12666" max="12666" width="15.7265625" style="1612" customWidth="1"/>
    <col min="12667" max="12667" width="25.7265625" style="1612" customWidth="1"/>
    <col min="12668" max="12668" width="18.81640625" style="1612" customWidth="1"/>
    <col min="12669" max="12672" width="25.7265625" style="1612" customWidth="1"/>
    <col min="12673" max="12673" width="15.7265625" style="1612" customWidth="1"/>
    <col min="12674" max="12674" width="29.453125" style="1612" customWidth="1"/>
    <col min="12675" max="12675" width="18.81640625" style="1612" customWidth="1"/>
    <col min="12676" max="12676" width="25.7265625" style="1612" customWidth="1"/>
    <col min="12677" max="12677" width="29.7265625" style="1612" customWidth="1"/>
    <col min="12678" max="12679" width="25.7265625" style="1612" customWidth="1"/>
    <col min="12680" max="12680" width="13.7265625" style="1612" customWidth="1"/>
    <col min="12681" max="12681" width="29.1796875" style="1612" customWidth="1"/>
    <col min="12682" max="12682" width="23.7265625" style="1612" customWidth="1"/>
    <col min="12683" max="12686" width="24.81640625" style="1612" customWidth="1"/>
    <col min="12687" max="12687" width="14.7265625" style="1612" customWidth="1"/>
    <col min="12688" max="12688" width="30" style="1612" customWidth="1"/>
    <col min="12689" max="12689" width="22" style="1612" customWidth="1"/>
    <col min="12690" max="12690" width="19.26953125" style="1612" customWidth="1"/>
    <col min="12691" max="12691" width="14.1796875" style="1612" customWidth="1"/>
    <col min="12692" max="12838" width="9.1796875" style="1612"/>
    <col min="12839" max="12839" width="8.7265625" style="1612" customWidth="1"/>
    <col min="12840" max="12840" width="92.7265625" style="1612" customWidth="1"/>
    <col min="12841" max="12841" width="16.1796875" style="1612" customWidth="1"/>
    <col min="12842" max="12842" width="16.81640625" style="1612" customWidth="1"/>
    <col min="12843" max="12843" width="14.7265625" style="1612" customWidth="1"/>
    <col min="12844" max="12844" width="19.453125" style="1612" customWidth="1"/>
    <col min="12845" max="12845" width="15" style="1612" customWidth="1"/>
    <col min="12846" max="12846" width="12.7265625" style="1612" customWidth="1"/>
    <col min="12847" max="12848" width="12.1796875" style="1612" customWidth="1"/>
    <col min="12849" max="12849" width="15.81640625" style="1612" customWidth="1"/>
    <col min="12850" max="12850" width="22.1796875" style="1612" customWidth="1"/>
    <col min="12851" max="12851" width="11.453125" style="1612" customWidth="1"/>
    <col min="12852" max="12852" width="17.54296875" style="1612" customWidth="1"/>
    <col min="12853" max="12853" width="0.1796875" style="1612" customWidth="1"/>
    <col min="12854" max="12854" width="18.81640625" style="1612" customWidth="1"/>
    <col min="12855" max="12858" width="25.7265625" style="1612" customWidth="1"/>
    <col min="12859" max="12859" width="14.7265625" style="1612" customWidth="1"/>
    <col min="12860" max="12860" width="22" style="1612" customWidth="1"/>
    <col min="12861" max="12861" width="15.26953125" style="1612" customWidth="1"/>
    <col min="12862" max="12865" width="25.7265625" style="1612" customWidth="1"/>
    <col min="12866" max="12866" width="15.7265625" style="1612" customWidth="1"/>
    <col min="12867" max="12867" width="22.453125" style="1612" customWidth="1"/>
    <col min="12868" max="12868" width="14.7265625" style="1612" customWidth="1"/>
    <col min="12869" max="12872" width="25.7265625" style="1612" customWidth="1"/>
    <col min="12873" max="12873" width="15.7265625" style="1612" customWidth="1"/>
    <col min="12874" max="12874" width="21" style="1612" customWidth="1"/>
    <col min="12875" max="12875" width="16.7265625" style="1612" customWidth="1"/>
    <col min="12876" max="12879" width="25.7265625" style="1612" customWidth="1"/>
    <col min="12880" max="12880" width="15.7265625" style="1612" customWidth="1"/>
    <col min="12881" max="12881" width="29.1796875" style="1612" customWidth="1"/>
    <col min="12882" max="12882" width="13.7265625" style="1612" customWidth="1"/>
    <col min="12883" max="12886" width="25.7265625" style="1612" customWidth="1"/>
    <col min="12887" max="12887" width="15.7265625" style="1612" customWidth="1"/>
    <col min="12888" max="12888" width="29.1796875" style="1612" customWidth="1"/>
    <col min="12889" max="12889" width="11.81640625" style="1612" customWidth="1"/>
    <col min="12890" max="12893" width="25.7265625" style="1612" customWidth="1"/>
    <col min="12894" max="12894" width="15.7265625" style="1612" customWidth="1"/>
    <col min="12895" max="12895" width="29.7265625" style="1612" customWidth="1"/>
    <col min="12896" max="12896" width="25.54296875" style="1612" customWidth="1"/>
    <col min="12897" max="12900" width="25.7265625" style="1612" customWidth="1"/>
    <col min="12901" max="12901" width="7.26953125" style="1612" customWidth="1"/>
    <col min="12902" max="12902" width="22.7265625" style="1612" customWidth="1"/>
    <col min="12903" max="12903" width="18.81640625" style="1612" customWidth="1"/>
    <col min="12904" max="12907" width="25.7265625" style="1612" customWidth="1"/>
    <col min="12908" max="12908" width="12.26953125" style="1612" customWidth="1"/>
    <col min="12909" max="12909" width="25.7265625" style="1612" customWidth="1"/>
    <col min="12910" max="12910" width="18.81640625" style="1612" customWidth="1"/>
    <col min="12911" max="12914" width="25.7265625" style="1612" customWidth="1"/>
    <col min="12915" max="12915" width="14.54296875" style="1612" customWidth="1"/>
    <col min="12916" max="12916" width="25.7265625" style="1612" customWidth="1"/>
    <col min="12917" max="12917" width="18.81640625" style="1612" customWidth="1"/>
    <col min="12918" max="12921" width="25.7265625" style="1612" customWidth="1"/>
    <col min="12922" max="12922" width="15.7265625" style="1612" customWidth="1"/>
    <col min="12923" max="12923" width="25.7265625" style="1612" customWidth="1"/>
    <col min="12924" max="12924" width="18.81640625" style="1612" customWidth="1"/>
    <col min="12925" max="12928" width="25.7265625" style="1612" customWidth="1"/>
    <col min="12929" max="12929" width="15.7265625" style="1612" customWidth="1"/>
    <col min="12930" max="12930" width="29.453125" style="1612" customWidth="1"/>
    <col min="12931" max="12931" width="18.81640625" style="1612" customWidth="1"/>
    <col min="12932" max="12932" width="25.7265625" style="1612" customWidth="1"/>
    <col min="12933" max="12933" width="29.7265625" style="1612" customWidth="1"/>
    <col min="12934" max="12935" width="25.7265625" style="1612" customWidth="1"/>
    <col min="12936" max="12936" width="13.7265625" style="1612" customWidth="1"/>
    <col min="12937" max="12937" width="29.1796875" style="1612" customWidth="1"/>
    <col min="12938" max="12938" width="23.7265625" style="1612" customWidth="1"/>
    <col min="12939" max="12942" width="24.81640625" style="1612" customWidth="1"/>
    <col min="12943" max="12943" width="14.7265625" style="1612" customWidth="1"/>
    <col min="12944" max="12944" width="30" style="1612" customWidth="1"/>
    <col min="12945" max="12945" width="22" style="1612" customWidth="1"/>
    <col min="12946" max="12946" width="19.26953125" style="1612" customWidth="1"/>
    <col min="12947" max="12947" width="14.1796875" style="1612" customWidth="1"/>
    <col min="12948" max="13094" width="9.1796875" style="1612"/>
    <col min="13095" max="13095" width="8.7265625" style="1612" customWidth="1"/>
    <col min="13096" max="13096" width="92.7265625" style="1612" customWidth="1"/>
    <col min="13097" max="13097" width="16.1796875" style="1612" customWidth="1"/>
    <col min="13098" max="13098" width="16.81640625" style="1612" customWidth="1"/>
    <col min="13099" max="13099" width="14.7265625" style="1612" customWidth="1"/>
    <col min="13100" max="13100" width="19.453125" style="1612" customWidth="1"/>
    <col min="13101" max="13101" width="15" style="1612" customWidth="1"/>
    <col min="13102" max="13102" width="12.7265625" style="1612" customWidth="1"/>
    <col min="13103" max="13104" width="12.1796875" style="1612" customWidth="1"/>
    <col min="13105" max="13105" width="15.81640625" style="1612" customWidth="1"/>
    <col min="13106" max="13106" width="22.1796875" style="1612" customWidth="1"/>
    <col min="13107" max="13107" width="11.453125" style="1612" customWidth="1"/>
    <col min="13108" max="13108" width="17.54296875" style="1612" customWidth="1"/>
    <col min="13109" max="13109" width="0.1796875" style="1612" customWidth="1"/>
    <col min="13110" max="13110" width="18.81640625" style="1612" customWidth="1"/>
    <col min="13111" max="13114" width="25.7265625" style="1612" customWidth="1"/>
    <col min="13115" max="13115" width="14.7265625" style="1612" customWidth="1"/>
    <col min="13116" max="13116" width="22" style="1612" customWidth="1"/>
    <col min="13117" max="13117" width="15.26953125" style="1612" customWidth="1"/>
    <col min="13118" max="13121" width="25.7265625" style="1612" customWidth="1"/>
    <col min="13122" max="13122" width="15.7265625" style="1612" customWidth="1"/>
    <col min="13123" max="13123" width="22.453125" style="1612" customWidth="1"/>
    <col min="13124" max="13124" width="14.7265625" style="1612" customWidth="1"/>
    <col min="13125" max="13128" width="25.7265625" style="1612" customWidth="1"/>
    <col min="13129" max="13129" width="15.7265625" style="1612" customWidth="1"/>
    <col min="13130" max="13130" width="21" style="1612" customWidth="1"/>
    <col min="13131" max="13131" width="16.7265625" style="1612" customWidth="1"/>
    <col min="13132" max="13135" width="25.7265625" style="1612" customWidth="1"/>
    <col min="13136" max="13136" width="15.7265625" style="1612" customWidth="1"/>
    <col min="13137" max="13137" width="29.1796875" style="1612" customWidth="1"/>
    <col min="13138" max="13138" width="13.7265625" style="1612" customWidth="1"/>
    <col min="13139" max="13142" width="25.7265625" style="1612" customWidth="1"/>
    <col min="13143" max="13143" width="15.7265625" style="1612" customWidth="1"/>
    <col min="13144" max="13144" width="29.1796875" style="1612" customWidth="1"/>
    <col min="13145" max="13145" width="11.81640625" style="1612" customWidth="1"/>
    <col min="13146" max="13149" width="25.7265625" style="1612" customWidth="1"/>
    <col min="13150" max="13150" width="15.7265625" style="1612" customWidth="1"/>
    <col min="13151" max="13151" width="29.7265625" style="1612" customWidth="1"/>
    <col min="13152" max="13152" width="25.54296875" style="1612" customWidth="1"/>
    <col min="13153" max="13156" width="25.7265625" style="1612" customWidth="1"/>
    <col min="13157" max="13157" width="7.26953125" style="1612" customWidth="1"/>
    <col min="13158" max="13158" width="22.7265625" style="1612" customWidth="1"/>
    <col min="13159" max="13159" width="18.81640625" style="1612" customWidth="1"/>
    <col min="13160" max="13163" width="25.7265625" style="1612" customWidth="1"/>
    <col min="13164" max="13164" width="12.26953125" style="1612" customWidth="1"/>
    <col min="13165" max="13165" width="25.7265625" style="1612" customWidth="1"/>
    <col min="13166" max="13166" width="18.81640625" style="1612" customWidth="1"/>
    <col min="13167" max="13170" width="25.7265625" style="1612" customWidth="1"/>
    <col min="13171" max="13171" width="14.54296875" style="1612" customWidth="1"/>
    <col min="13172" max="13172" width="25.7265625" style="1612" customWidth="1"/>
    <col min="13173" max="13173" width="18.81640625" style="1612" customWidth="1"/>
    <col min="13174" max="13177" width="25.7265625" style="1612" customWidth="1"/>
    <col min="13178" max="13178" width="15.7265625" style="1612" customWidth="1"/>
    <col min="13179" max="13179" width="25.7265625" style="1612" customWidth="1"/>
    <col min="13180" max="13180" width="18.81640625" style="1612" customWidth="1"/>
    <col min="13181" max="13184" width="25.7265625" style="1612" customWidth="1"/>
    <col min="13185" max="13185" width="15.7265625" style="1612" customWidth="1"/>
    <col min="13186" max="13186" width="29.453125" style="1612" customWidth="1"/>
    <col min="13187" max="13187" width="18.81640625" style="1612" customWidth="1"/>
    <col min="13188" max="13188" width="25.7265625" style="1612" customWidth="1"/>
    <col min="13189" max="13189" width="29.7265625" style="1612" customWidth="1"/>
    <col min="13190" max="13191" width="25.7265625" style="1612" customWidth="1"/>
    <col min="13192" max="13192" width="13.7265625" style="1612" customWidth="1"/>
    <col min="13193" max="13193" width="29.1796875" style="1612" customWidth="1"/>
    <col min="13194" max="13194" width="23.7265625" style="1612" customWidth="1"/>
    <col min="13195" max="13198" width="24.81640625" style="1612" customWidth="1"/>
    <col min="13199" max="13199" width="14.7265625" style="1612" customWidth="1"/>
    <col min="13200" max="13200" width="30" style="1612" customWidth="1"/>
    <col min="13201" max="13201" width="22" style="1612" customWidth="1"/>
    <col min="13202" max="13202" width="19.26953125" style="1612" customWidth="1"/>
    <col min="13203" max="13203" width="14.1796875" style="1612" customWidth="1"/>
    <col min="13204" max="13350" width="9.1796875" style="1612"/>
    <col min="13351" max="13351" width="8.7265625" style="1612" customWidth="1"/>
    <col min="13352" max="13352" width="92.7265625" style="1612" customWidth="1"/>
    <col min="13353" max="13353" width="16.1796875" style="1612" customWidth="1"/>
    <col min="13354" max="13354" width="16.81640625" style="1612" customWidth="1"/>
    <col min="13355" max="13355" width="14.7265625" style="1612" customWidth="1"/>
    <col min="13356" max="13356" width="19.453125" style="1612" customWidth="1"/>
    <col min="13357" max="13357" width="15" style="1612" customWidth="1"/>
    <col min="13358" max="13358" width="12.7265625" style="1612" customWidth="1"/>
    <col min="13359" max="13360" width="12.1796875" style="1612" customWidth="1"/>
    <col min="13361" max="13361" width="15.81640625" style="1612" customWidth="1"/>
    <col min="13362" max="13362" width="22.1796875" style="1612" customWidth="1"/>
    <col min="13363" max="13363" width="11.453125" style="1612" customWidth="1"/>
    <col min="13364" max="13364" width="17.54296875" style="1612" customWidth="1"/>
    <col min="13365" max="13365" width="0.1796875" style="1612" customWidth="1"/>
    <col min="13366" max="13366" width="18.81640625" style="1612" customWidth="1"/>
    <col min="13367" max="13370" width="25.7265625" style="1612" customWidth="1"/>
    <col min="13371" max="13371" width="14.7265625" style="1612" customWidth="1"/>
    <col min="13372" max="13372" width="22" style="1612" customWidth="1"/>
    <col min="13373" max="13373" width="15.26953125" style="1612" customWidth="1"/>
    <col min="13374" max="13377" width="25.7265625" style="1612" customWidth="1"/>
    <col min="13378" max="13378" width="15.7265625" style="1612" customWidth="1"/>
    <col min="13379" max="13379" width="22.453125" style="1612" customWidth="1"/>
    <col min="13380" max="13380" width="14.7265625" style="1612" customWidth="1"/>
    <col min="13381" max="13384" width="25.7265625" style="1612" customWidth="1"/>
    <col min="13385" max="13385" width="15.7265625" style="1612" customWidth="1"/>
    <col min="13386" max="13386" width="21" style="1612" customWidth="1"/>
    <col min="13387" max="13387" width="16.7265625" style="1612" customWidth="1"/>
    <col min="13388" max="13391" width="25.7265625" style="1612" customWidth="1"/>
    <col min="13392" max="13392" width="15.7265625" style="1612" customWidth="1"/>
    <col min="13393" max="13393" width="29.1796875" style="1612" customWidth="1"/>
    <col min="13394" max="13394" width="13.7265625" style="1612" customWidth="1"/>
    <col min="13395" max="13398" width="25.7265625" style="1612" customWidth="1"/>
    <col min="13399" max="13399" width="15.7265625" style="1612" customWidth="1"/>
    <col min="13400" max="13400" width="29.1796875" style="1612" customWidth="1"/>
    <col min="13401" max="13401" width="11.81640625" style="1612" customWidth="1"/>
    <col min="13402" max="13405" width="25.7265625" style="1612" customWidth="1"/>
    <col min="13406" max="13406" width="15.7265625" style="1612" customWidth="1"/>
    <col min="13407" max="13407" width="29.7265625" style="1612" customWidth="1"/>
    <col min="13408" max="13408" width="25.54296875" style="1612" customWidth="1"/>
    <col min="13409" max="13412" width="25.7265625" style="1612" customWidth="1"/>
    <col min="13413" max="13413" width="7.26953125" style="1612" customWidth="1"/>
    <col min="13414" max="13414" width="22.7265625" style="1612" customWidth="1"/>
    <col min="13415" max="13415" width="18.81640625" style="1612" customWidth="1"/>
    <col min="13416" max="13419" width="25.7265625" style="1612" customWidth="1"/>
    <col min="13420" max="13420" width="12.26953125" style="1612" customWidth="1"/>
    <col min="13421" max="13421" width="25.7265625" style="1612" customWidth="1"/>
    <col min="13422" max="13422" width="18.81640625" style="1612" customWidth="1"/>
    <col min="13423" max="13426" width="25.7265625" style="1612" customWidth="1"/>
    <col min="13427" max="13427" width="14.54296875" style="1612" customWidth="1"/>
    <col min="13428" max="13428" width="25.7265625" style="1612" customWidth="1"/>
    <col min="13429" max="13429" width="18.81640625" style="1612" customWidth="1"/>
    <col min="13430" max="13433" width="25.7265625" style="1612" customWidth="1"/>
    <col min="13434" max="13434" width="15.7265625" style="1612" customWidth="1"/>
    <col min="13435" max="13435" width="25.7265625" style="1612" customWidth="1"/>
    <col min="13436" max="13436" width="18.81640625" style="1612" customWidth="1"/>
    <col min="13437" max="13440" width="25.7265625" style="1612" customWidth="1"/>
    <col min="13441" max="13441" width="15.7265625" style="1612" customWidth="1"/>
    <col min="13442" max="13442" width="29.453125" style="1612" customWidth="1"/>
    <col min="13443" max="13443" width="18.81640625" style="1612" customWidth="1"/>
    <col min="13444" max="13444" width="25.7265625" style="1612" customWidth="1"/>
    <col min="13445" max="13445" width="29.7265625" style="1612" customWidth="1"/>
    <col min="13446" max="13447" width="25.7265625" style="1612" customWidth="1"/>
    <col min="13448" max="13448" width="13.7265625" style="1612" customWidth="1"/>
    <col min="13449" max="13449" width="29.1796875" style="1612" customWidth="1"/>
    <col min="13450" max="13450" width="23.7265625" style="1612" customWidth="1"/>
    <col min="13451" max="13454" width="24.81640625" style="1612" customWidth="1"/>
    <col min="13455" max="13455" width="14.7265625" style="1612" customWidth="1"/>
    <col min="13456" max="13456" width="30" style="1612" customWidth="1"/>
    <col min="13457" max="13457" width="22" style="1612" customWidth="1"/>
    <col min="13458" max="13458" width="19.26953125" style="1612" customWidth="1"/>
    <col min="13459" max="13459" width="14.1796875" style="1612" customWidth="1"/>
    <col min="13460" max="13606" width="9.1796875" style="1612"/>
    <col min="13607" max="13607" width="8.7265625" style="1612" customWidth="1"/>
    <col min="13608" max="13608" width="92.7265625" style="1612" customWidth="1"/>
    <col min="13609" max="13609" width="16.1796875" style="1612" customWidth="1"/>
    <col min="13610" max="13610" width="16.81640625" style="1612" customWidth="1"/>
    <col min="13611" max="13611" width="14.7265625" style="1612" customWidth="1"/>
    <col min="13612" max="13612" width="19.453125" style="1612" customWidth="1"/>
    <col min="13613" max="13613" width="15" style="1612" customWidth="1"/>
    <col min="13614" max="13614" width="12.7265625" style="1612" customWidth="1"/>
    <col min="13615" max="13616" width="12.1796875" style="1612" customWidth="1"/>
    <col min="13617" max="13617" width="15.81640625" style="1612" customWidth="1"/>
    <col min="13618" max="13618" width="22.1796875" style="1612" customWidth="1"/>
    <col min="13619" max="13619" width="11.453125" style="1612" customWidth="1"/>
    <col min="13620" max="13620" width="17.54296875" style="1612" customWidth="1"/>
    <col min="13621" max="13621" width="0.1796875" style="1612" customWidth="1"/>
    <col min="13622" max="13622" width="18.81640625" style="1612" customWidth="1"/>
    <col min="13623" max="13626" width="25.7265625" style="1612" customWidth="1"/>
    <col min="13627" max="13627" width="14.7265625" style="1612" customWidth="1"/>
    <col min="13628" max="13628" width="22" style="1612" customWidth="1"/>
    <col min="13629" max="13629" width="15.26953125" style="1612" customWidth="1"/>
    <col min="13630" max="13633" width="25.7265625" style="1612" customWidth="1"/>
    <col min="13634" max="13634" width="15.7265625" style="1612" customWidth="1"/>
    <col min="13635" max="13635" width="22.453125" style="1612" customWidth="1"/>
    <col min="13636" max="13636" width="14.7265625" style="1612" customWidth="1"/>
    <col min="13637" max="13640" width="25.7265625" style="1612" customWidth="1"/>
    <col min="13641" max="13641" width="15.7265625" style="1612" customWidth="1"/>
    <col min="13642" max="13642" width="21" style="1612" customWidth="1"/>
    <col min="13643" max="13643" width="16.7265625" style="1612" customWidth="1"/>
    <col min="13644" max="13647" width="25.7265625" style="1612" customWidth="1"/>
    <col min="13648" max="13648" width="15.7265625" style="1612" customWidth="1"/>
    <col min="13649" max="13649" width="29.1796875" style="1612" customWidth="1"/>
    <col min="13650" max="13650" width="13.7265625" style="1612" customWidth="1"/>
    <col min="13651" max="13654" width="25.7265625" style="1612" customWidth="1"/>
    <col min="13655" max="13655" width="15.7265625" style="1612" customWidth="1"/>
    <col min="13656" max="13656" width="29.1796875" style="1612" customWidth="1"/>
    <col min="13657" max="13657" width="11.81640625" style="1612" customWidth="1"/>
    <col min="13658" max="13661" width="25.7265625" style="1612" customWidth="1"/>
    <col min="13662" max="13662" width="15.7265625" style="1612" customWidth="1"/>
    <col min="13663" max="13663" width="29.7265625" style="1612" customWidth="1"/>
    <col min="13664" max="13664" width="25.54296875" style="1612" customWidth="1"/>
    <col min="13665" max="13668" width="25.7265625" style="1612" customWidth="1"/>
    <col min="13669" max="13669" width="7.26953125" style="1612" customWidth="1"/>
    <col min="13670" max="13670" width="22.7265625" style="1612" customWidth="1"/>
    <col min="13671" max="13671" width="18.81640625" style="1612" customWidth="1"/>
    <col min="13672" max="13675" width="25.7265625" style="1612" customWidth="1"/>
    <col min="13676" max="13676" width="12.26953125" style="1612" customWidth="1"/>
    <col min="13677" max="13677" width="25.7265625" style="1612" customWidth="1"/>
    <col min="13678" max="13678" width="18.81640625" style="1612" customWidth="1"/>
    <col min="13679" max="13682" width="25.7265625" style="1612" customWidth="1"/>
    <col min="13683" max="13683" width="14.54296875" style="1612" customWidth="1"/>
    <col min="13684" max="13684" width="25.7265625" style="1612" customWidth="1"/>
    <col min="13685" max="13685" width="18.81640625" style="1612" customWidth="1"/>
    <col min="13686" max="13689" width="25.7265625" style="1612" customWidth="1"/>
    <col min="13690" max="13690" width="15.7265625" style="1612" customWidth="1"/>
    <col min="13691" max="13691" width="25.7265625" style="1612" customWidth="1"/>
    <col min="13692" max="13692" width="18.81640625" style="1612" customWidth="1"/>
    <col min="13693" max="13696" width="25.7265625" style="1612" customWidth="1"/>
    <col min="13697" max="13697" width="15.7265625" style="1612" customWidth="1"/>
    <col min="13698" max="13698" width="29.453125" style="1612" customWidth="1"/>
    <col min="13699" max="13699" width="18.81640625" style="1612" customWidth="1"/>
    <col min="13700" max="13700" width="25.7265625" style="1612" customWidth="1"/>
    <col min="13701" max="13701" width="29.7265625" style="1612" customWidth="1"/>
    <col min="13702" max="13703" width="25.7265625" style="1612" customWidth="1"/>
    <col min="13704" max="13704" width="13.7265625" style="1612" customWidth="1"/>
    <col min="13705" max="13705" width="29.1796875" style="1612" customWidth="1"/>
    <col min="13706" max="13706" width="23.7265625" style="1612" customWidth="1"/>
    <col min="13707" max="13710" width="24.81640625" style="1612" customWidth="1"/>
    <col min="13711" max="13711" width="14.7265625" style="1612" customWidth="1"/>
    <col min="13712" max="13712" width="30" style="1612" customWidth="1"/>
    <col min="13713" max="13713" width="22" style="1612" customWidth="1"/>
    <col min="13714" max="13714" width="19.26953125" style="1612" customWidth="1"/>
    <col min="13715" max="13715" width="14.1796875" style="1612" customWidth="1"/>
    <col min="13716" max="13862" width="9.1796875" style="1612"/>
    <col min="13863" max="13863" width="8.7265625" style="1612" customWidth="1"/>
    <col min="13864" max="13864" width="92.7265625" style="1612" customWidth="1"/>
    <col min="13865" max="13865" width="16.1796875" style="1612" customWidth="1"/>
    <col min="13866" max="13866" width="16.81640625" style="1612" customWidth="1"/>
    <col min="13867" max="13867" width="14.7265625" style="1612" customWidth="1"/>
    <col min="13868" max="13868" width="19.453125" style="1612" customWidth="1"/>
    <col min="13869" max="13869" width="15" style="1612" customWidth="1"/>
    <col min="13870" max="13870" width="12.7265625" style="1612" customWidth="1"/>
    <col min="13871" max="13872" width="12.1796875" style="1612" customWidth="1"/>
    <col min="13873" max="13873" width="15.81640625" style="1612" customWidth="1"/>
    <col min="13874" max="13874" width="22.1796875" style="1612" customWidth="1"/>
    <col min="13875" max="13875" width="11.453125" style="1612" customWidth="1"/>
    <col min="13876" max="13876" width="17.54296875" style="1612" customWidth="1"/>
    <col min="13877" max="13877" width="0.1796875" style="1612" customWidth="1"/>
    <col min="13878" max="13878" width="18.81640625" style="1612" customWidth="1"/>
    <col min="13879" max="13882" width="25.7265625" style="1612" customWidth="1"/>
    <col min="13883" max="13883" width="14.7265625" style="1612" customWidth="1"/>
    <col min="13884" max="13884" width="22" style="1612" customWidth="1"/>
    <col min="13885" max="13885" width="15.26953125" style="1612" customWidth="1"/>
    <col min="13886" max="13889" width="25.7265625" style="1612" customWidth="1"/>
    <col min="13890" max="13890" width="15.7265625" style="1612" customWidth="1"/>
    <col min="13891" max="13891" width="22.453125" style="1612" customWidth="1"/>
    <col min="13892" max="13892" width="14.7265625" style="1612" customWidth="1"/>
    <col min="13893" max="13896" width="25.7265625" style="1612" customWidth="1"/>
    <col min="13897" max="13897" width="15.7265625" style="1612" customWidth="1"/>
    <col min="13898" max="13898" width="21" style="1612" customWidth="1"/>
    <col min="13899" max="13899" width="16.7265625" style="1612" customWidth="1"/>
    <col min="13900" max="13903" width="25.7265625" style="1612" customWidth="1"/>
    <col min="13904" max="13904" width="15.7265625" style="1612" customWidth="1"/>
    <col min="13905" max="13905" width="29.1796875" style="1612" customWidth="1"/>
    <col min="13906" max="13906" width="13.7265625" style="1612" customWidth="1"/>
    <col min="13907" max="13910" width="25.7265625" style="1612" customWidth="1"/>
    <col min="13911" max="13911" width="15.7265625" style="1612" customWidth="1"/>
    <col min="13912" max="13912" width="29.1796875" style="1612" customWidth="1"/>
    <col min="13913" max="13913" width="11.81640625" style="1612" customWidth="1"/>
    <col min="13914" max="13917" width="25.7265625" style="1612" customWidth="1"/>
    <col min="13918" max="13918" width="15.7265625" style="1612" customWidth="1"/>
    <col min="13919" max="13919" width="29.7265625" style="1612" customWidth="1"/>
    <col min="13920" max="13920" width="25.54296875" style="1612" customWidth="1"/>
    <col min="13921" max="13924" width="25.7265625" style="1612" customWidth="1"/>
    <col min="13925" max="13925" width="7.26953125" style="1612" customWidth="1"/>
    <col min="13926" max="13926" width="22.7265625" style="1612" customWidth="1"/>
    <col min="13927" max="13927" width="18.81640625" style="1612" customWidth="1"/>
    <col min="13928" max="13931" width="25.7265625" style="1612" customWidth="1"/>
    <col min="13932" max="13932" width="12.26953125" style="1612" customWidth="1"/>
    <col min="13933" max="13933" width="25.7265625" style="1612" customWidth="1"/>
    <col min="13934" max="13934" width="18.81640625" style="1612" customWidth="1"/>
    <col min="13935" max="13938" width="25.7265625" style="1612" customWidth="1"/>
    <col min="13939" max="13939" width="14.54296875" style="1612" customWidth="1"/>
    <col min="13940" max="13940" width="25.7265625" style="1612" customWidth="1"/>
    <col min="13941" max="13941" width="18.81640625" style="1612" customWidth="1"/>
    <col min="13942" max="13945" width="25.7265625" style="1612" customWidth="1"/>
    <col min="13946" max="13946" width="15.7265625" style="1612" customWidth="1"/>
    <col min="13947" max="13947" width="25.7265625" style="1612" customWidth="1"/>
    <col min="13948" max="13948" width="18.81640625" style="1612" customWidth="1"/>
    <col min="13949" max="13952" width="25.7265625" style="1612" customWidth="1"/>
    <col min="13953" max="13953" width="15.7265625" style="1612" customWidth="1"/>
    <col min="13954" max="13954" width="29.453125" style="1612" customWidth="1"/>
    <col min="13955" max="13955" width="18.81640625" style="1612" customWidth="1"/>
    <col min="13956" max="13956" width="25.7265625" style="1612" customWidth="1"/>
    <col min="13957" max="13957" width="29.7265625" style="1612" customWidth="1"/>
    <col min="13958" max="13959" width="25.7265625" style="1612" customWidth="1"/>
    <col min="13960" max="13960" width="13.7265625" style="1612" customWidth="1"/>
    <col min="13961" max="13961" width="29.1796875" style="1612" customWidth="1"/>
    <col min="13962" max="13962" width="23.7265625" style="1612" customWidth="1"/>
    <col min="13963" max="13966" width="24.81640625" style="1612" customWidth="1"/>
    <col min="13967" max="13967" width="14.7265625" style="1612" customWidth="1"/>
    <col min="13968" max="13968" width="30" style="1612" customWidth="1"/>
    <col min="13969" max="13969" width="22" style="1612" customWidth="1"/>
    <col min="13970" max="13970" width="19.26953125" style="1612" customWidth="1"/>
    <col min="13971" max="13971" width="14.1796875" style="1612" customWidth="1"/>
    <col min="13972" max="14118" width="9.1796875" style="1612"/>
    <col min="14119" max="14119" width="8.7265625" style="1612" customWidth="1"/>
    <col min="14120" max="14120" width="92.7265625" style="1612" customWidth="1"/>
    <col min="14121" max="14121" width="16.1796875" style="1612" customWidth="1"/>
    <col min="14122" max="14122" width="16.81640625" style="1612" customWidth="1"/>
    <col min="14123" max="14123" width="14.7265625" style="1612" customWidth="1"/>
    <col min="14124" max="14124" width="19.453125" style="1612" customWidth="1"/>
    <col min="14125" max="14125" width="15" style="1612" customWidth="1"/>
    <col min="14126" max="14126" width="12.7265625" style="1612" customWidth="1"/>
    <col min="14127" max="14128" width="12.1796875" style="1612" customWidth="1"/>
    <col min="14129" max="14129" width="15.81640625" style="1612" customWidth="1"/>
    <col min="14130" max="14130" width="22.1796875" style="1612" customWidth="1"/>
    <col min="14131" max="14131" width="11.453125" style="1612" customWidth="1"/>
    <col min="14132" max="14132" width="17.54296875" style="1612" customWidth="1"/>
    <col min="14133" max="14133" width="0.1796875" style="1612" customWidth="1"/>
    <col min="14134" max="14134" width="18.81640625" style="1612" customWidth="1"/>
    <col min="14135" max="14138" width="25.7265625" style="1612" customWidth="1"/>
    <col min="14139" max="14139" width="14.7265625" style="1612" customWidth="1"/>
    <col min="14140" max="14140" width="22" style="1612" customWidth="1"/>
    <col min="14141" max="14141" width="15.26953125" style="1612" customWidth="1"/>
    <col min="14142" max="14145" width="25.7265625" style="1612" customWidth="1"/>
    <col min="14146" max="14146" width="15.7265625" style="1612" customWidth="1"/>
    <col min="14147" max="14147" width="22.453125" style="1612" customWidth="1"/>
    <col min="14148" max="14148" width="14.7265625" style="1612" customWidth="1"/>
    <col min="14149" max="14152" width="25.7265625" style="1612" customWidth="1"/>
    <col min="14153" max="14153" width="15.7265625" style="1612" customWidth="1"/>
    <col min="14154" max="14154" width="21" style="1612" customWidth="1"/>
    <col min="14155" max="14155" width="16.7265625" style="1612" customWidth="1"/>
    <col min="14156" max="14159" width="25.7265625" style="1612" customWidth="1"/>
    <col min="14160" max="14160" width="15.7265625" style="1612" customWidth="1"/>
    <col min="14161" max="14161" width="29.1796875" style="1612" customWidth="1"/>
    <col min="14162" max="14162" width="13.7265625" style="1612" customWidth="1"/>
    <col min="14163" max="14166" width="25.7265625" style="1612" customWidth="1"/>
    <col min="14167" max="14167" width="15.7265625" style="1612" customWidth="1"/>
    <col min="14168" max="14168" width="29.1796875" style="1612" customWidth="1"/>
    <col min="14169" max="14169" width="11.81640625" style="1612" customWidth="1"/>
    <col min="14170" max="14173" width="25.7265625" style="1612" customWidth="1"/>
    <col min="14174" max="14174" width="15.7265625" style="1612" customWidth="1"/>
    <col min="14175" max="14175" width="29.7265625" style="1612" customWidth="1"/>
    <col min="14176" max="14176" width="25.54296875" style="1612" customWidth="1"/>
    <col min="14177" max="14180" width="25.7265625" style="1612" customWidth="1"/>
    <col min="14181" max="14181" width="7.26953125" style="1612" customWidth="1"/>
    <col min="14182" max="14182" width="22.7265625" style="1612" customWidth="1"/>
    <col min="14183" max="14183" width="18.81640625" style="1612" customWidth="1"/>
    <col min="14184" max="14187" width="25.7265625" style="1612" customWidth="1"/>
    <col min="14188" max="14188" width="12.26953125" style="1612" customWidth="1"/>
    <col min="14189" max="14189" width="25.7265625" style="1612" customWidth="1"/>
    <col min="14190" max="14190" width="18.81640625" style="1612" customWidth="1"/>
    <col min="14191" max="14194" width="25.7265625" style="1612" customWidth="1"/>
    <col min="14195" max="14195" width="14.54296875" style="1612" customWidth="1"/>
    <col min="14196" max="14196" width="25.7265625" style="1612" customWidth="1"/>
    <col min="14197" max="14197" width="18.81640625" style="1612" customWidth="1"/>
    <col min="14198" max="14201" width="25.7265625" style="1612" customWidth="1"/>
    <col min="14202" max="14202" width="15.7265625" style="1612" customWidth="1"/>
    <col min="14203" max="14203" width="25.7265625" style="1612" customWidth="1"/>
    <col min="14204" max="14204" width="18.81640625" style="1612" customWidth="1"/>
    <col min="14205" max="14208" width="25.7265625" style="1612" customWidth="1"/>
    <col min="14209" max="14209" width="15.7265625" style="1612" customWidth="1"/>
    <col min="14210" max="14210" width="29.453125" style="1612" customWidth="1"/>
    <col min="14211" max="14211" width="18.81640625" style="1612" customWidth="1"/>
    <col min="14212" max="14212" width="25.7265625" style="1612" customWidth="1"/>
    <col min="14213" max="14213" width="29.7265625" style="1612" customWidth="1"/>
    <col min="14214" max="14215" width="25.7265625" style="1612" customWidth="1"/>
    <col min="14216" max="14216" width="13.7265625" style="1612" customWidth="1"/>
    <col min="14217" max="14217" width="29.1796875" style="1612" customWidth="1"/>
    <col min="14218" max="14218" width="23.7265625" style="1612" customWidth="1"/>
    <col min="14219" max="14222" width="24.81640625" style="1612" customWidth="1"/>
    <col min="14223" max="14223" width="14.7265625" style="1612" customWidth="1"/>
    <col min="14224" max="14224" width="30" style="1612" customWidth="1"/>
    <col min="14225" max="14225" width="22" style="1612" customWidth="1"/>
    <col min="14226" max="14226" width="19.26953125" style="1612" customWidth="1"/>
    <col min="14227" max="14227" width="14.1796875" style="1612" customWidth="1"/>
    <col min="14228" max="14374" width="9.1796875" style="1612"/>
    <col min="14375" max="14375" width="8.7265625" style="1612" customWidth="1"/>
    <col min="14376" max="14376" width="92.7265625" style="1612" customWidth="1"/>
    <col min="14377" max="14377" width="16.1796875" style="1612" customWidth="1"/>
    <col min="14378" max="14378" width="16.81640625" style="1612" customWidth="1"/>
    <col min="14379" max="14379" width="14.7265625" style="1612" customWidth="1"/>
    <col min="14380" max="14380" width="19.453125" style="1612" customWidth="1"/>
    <col min="14381" max="14381" width="15" style="1612" customWidth="1"/>
    <col min="14382" max="14382" width="12.7265625" style="1612" customWidth="1"/>
    <col min="14383" max="14384" width="12.1796875" style="1612" customWidth="1"/>
    <col min="14385" max="14385" width="15.81640625" style="1612" customWidth="1"/>
    <col min="14386" max="14386" width="22.1796875" style="1612" customWidth="1"/>
    <col min="14387" max="14387" width="11.453125" style="1612" customWidth="1"/>
    <col min="14388" max="14388" width="17.54296875" style="1612" customWidth="1"/>
    <col min="14389" max="14389" width="0.1796875" style="1612" customWidth="1"/>
    <col min="14390" max="14390" width="18.81640625" style="1612" customWidth="1"/>
    <col min="14391" max="14394" width="25.7265625" style="1612" customWidth="1"/>
    <col min="14395" max="14395" width="14.7265625" style="1612" customWidth="1"/>
    <col min="14396" max="14396" width="22" style="1612" customWidth="1"/>
    <col min="14397" max="14397" width="15.26953125" style="1612" customWidth="1"/>
    <col min="14398" max="14401" width="25.7265625" style="1612" customWidth="1"/>
    <col min="14402" max="14402" width="15.7265625" style="1612" customWidth="1"/>
    <col min="14403" max="14403" width="22.453125" style="1612" customWidth="1"/>
    <col min="14404" max="14404" width="14.7265625" style="1612" customWidth="1"/>
    <col min="14405" max="14408" width="25.7265625" style="1612" customWidth="1"/>
    <col min="14409" max="14409" width="15.7265625" style="1612" customWidth="1"/>
    <col min="14410" max="14410" width="21" style="1612" customWidth="1"/>
    <col min="14411" max="14411" width="16.7265625" style="1612" customWidth="1"/>
    <col min="14412" max="14415" width="25.7265625" style="1612" customWidth="1"/>
    <col min="14416" max="14416" width="15.7265625" style="1612" customWidth="1"/>
    <col min="14417" max="14417" width="29.1796875" style="1612" customWidth="1"/>
    <col min="14418" max="14418" width="13.7265625" style="1612" customWidth="1"/>
    <col min="14419" max="14422" width="25.7265625" style="1612" customWidth="1"/>
    <col min="14423" max="14423" width="15.7265625" style="1612" customWidth="1"/>
    <col min="14424" max="14424" width="29.1796875" style="1612" customWidth="1"/>
    <col min="14425" max="14425" width="11.81640625" style="1612" customWidth="1"/>
    <col min="14426" max="14429" width="25.7265625" style="1612" customWidth="1"/>
    <col min="14430" max="14430" width="15.7265625" style="1612" customWidth="1"/>
    <col min="14431" max="14431" width="29.7265625" style="1612" customWidth="1"/>
    <col min="14432" max="14432" width="25.54296875" style="1612" customWidth="1"/>
    <col min="14433" max="14436" width="25.7265625" style="1612" customWidth="1"/>
    <col min="14437" max="14437" width="7.26953125" style="1612" customWidth="1"/>
    <col min="14438" max="14438" width="22.7265625" style="1612" customWidth="1"/>
    <col min="14439" max="14439" width="18.81640625" style="1612" customWidth="1"/>
    <col min="14440" max="14443" width="25.7265625" style="1612" customWidth="1"/>
    <col min="14444" max="14444" width="12.26953125" style="1612" customWidth="1"/>
    <col min="14445" max="14445" width="25.7265625" style="1612" customWidth="1"/>
    <col min="14446" max="14446" width="18.81640625" style="1612" customWidth="1"/>
    <col min="14447" max="14450" width="25.7265625" style="1612" customWidth="1"/>
    <col min="14451" max="14451" width="14.54296875" style="1612" customWidth="1"/>
    <col min="14452" max="14452" width="25.7265625" style="1612" customWidth="1"/>
    <col min="14453" max="14453" width="18.81640625" style="1612" customWidth="1"/>
    <col min="14454" max="14457" width="25.7265625" style="1612" customWidth="1"/>
    <col min="14458" max="14458" width="15.7265625" style="1612" customWidth="1"/>
    <col min="14459" max="14459" width="25.7265625" style="1612" customWidth="1"/>
    <col min="14460" max="14460" width="18.81640625" style="1612" customWidth="1"/>
    <col min="14461" max="14464" width="25.7265625" style="1612" customWidth="1"/>
    <col min="14465" max="14465" width="15.7265625" style="1612" customWidth="1"/>
    <col min="14466" max="14466" width="29.453125" style="1612" customWidth="1"/>
    <col min="14467" max="14467" width="18.81640625" style="1612" customWidth="1"/>
    <col min="14468" max="14468" width="25.7265625" style="1612" customWidth="1"/>
    <col min="14469" max="14469" width="29.7265625" style="1612" customWidth="1"/>
    <col min="14470" max="14471" width="25.7265625" style="1612" customWidth="1"/>
    <col min="14472" max="14472" width="13.7265625" style="1612" customWidth="1"/>
    <col min="14473" max="14473" width="29.1796875" style="1612" customWidth="1"/>
    <col min="14474" max="14474" width="23.7265625" style="1612" customWidth="1"/>
    <col min="14475" max="14478" width="24.81640625" style="1612" customWidth="1"/>
    <col min="14479" max="14479" width="14.7265625" style="1612" customWidth="1"/>
    <col min="14480" max="14480" width="30" style="1612" customWidth="1"/>
    <col min="14481" max="14481" width="22" style="1612" customWidth="1"/>
    <col min="14482" max="14482" width="19.26953125" style="1612" customWidth="1"/>
    <col min="14483" max="14483" width="14.1796875" style="1612" customWidth="1"/>
    <col min="14484" max="14630" width="9.1796875" style="1612"/>
    <col min="14631" max="14631" width="8.7265625" style="1612" customWidth="1"/>
    <col min="14632" max="14632" width="92.7265625" style="1612" customWidth="1"/>
    <col min="14633" max="14633" width="16.1796875" style="1612" customWidth="1"/>
    <col min="14634" max="14634" width="16.81640625" style="1612" customWidth="1"/>
    <col min="14635" max="14635" width="14.7265625" style="1612" customWidth="1"/>
    <col min="14636" max="14636" width="19.453125" style="1612" customWidth="1"/>
    <col min="14637" max="14637" width="15" style="1612" customWidth="1"/>
    <col min="14638" max="14638" width="12.7265625" style="1612" customWidth="1"/>
    <col min="14639" max="14640" width="12.1796875" style="1612" customWidth="1"/>
    <col min="14641" max="14641" width="15.81640625" style="1612" customWidth="1"/>
    <col min="14642" max="14642" width="22.1796875" style="1612" customWidth="1"/>
    <col min="14643" max="14643" width="11.453125" style="1612" customWidth="1"/>
    <col min="14644" max="14644" width="17.54296875" style="1612" customWidth="1"/>
    <col min="14645" max="14645" width="0.1796875" style="1612" customWidth="1"/>
    <col min="14646" max="14646" width="18.81640625" style="1612" customWidth="1"/>
    <col min="14647" max="14650" width="25.7265625" style="1612" customWidth="1"/>
    <col min="14651" max="14651" width="14.7265625" style="1612" customWidth="1"/>
    <col min="14652" max="14652" width="22" style="1612" customWidth="1"/>
    <col min="14653" max="14653" width="15.26953125" style="1612" customWidth="1"/>
    <col min="14654" max="14657" width="25.7265625" style="1612" customWidth="1"/>
    <col min="14658" max="14658" width="15.7265625" style="1612" customWidth="1"/>
    <col min="14659" max="14659" width="22.453125" style="1612" customWidth="1"/>
    <col min="14660" max="14660" width="14.7265625" style="1612" customWidth="1"/>
    <col min="14661" max="14664" width="25.7265625" style="1612" customWidth="1"/>
    <col min="14665" max="14665" width="15.7265625" style="1612" customWidth="1"/>
    <col min="14666" max="14666" width="21" style="1612" customWidth="1"/>
    <col min="14667" max="14667" width="16.7265625" style="1612" customWidth="1"/>
    <col min="14668" max="14671" width="25.7265625" style="1612" customWidth="1"/>
    <col min="14672" max="14672" width="15.7265625" style="1612" customWidth="1"/>
    <col min="14673" max="14673" width="29.1796875" style="1612" customWidth="1"/>
    <col min="14674" max="14674" width="13.7265625" style="1612" customWidth="1"/>
    <col min="14675" max="14678" width="25.7265625" style="1612" customWidth="1"/>
    <col min="14679" max="14679" width="15.7265625" style="1612" customWidth="1"/>
    <col min="14680" max="14680" width="29.1796875" style="1612" customWidth="1"/>
    <col min="14681" max="14681" width="11.81640625" style="1612" customWidth="1"/>
    <col min="14682" max="14685" width="25.7265625" style="1612" customWidth="1"/>
    <col min="14686" max="14686" width="15.7265625" style="1612" customWidth="1"/>
    <col min="14687" max="14687" width="29.7265625" style="1612" customWidth="1"/>
    <col min="14688" max="14688" width="25.54296875" style="1612" customWidth="1"/>
    <col min="14689" max="14692" width="25.7265625" style="1612" customWidth="1"/>
    <col min="14693" max="14693" width="7.26953125" style="1612" customWidth="1"/>
    <col min="14694" max="14694" width="22.7265625" style="1612" customWidth="1"/>
    <col min="14695" max="14695" width="18.81640625" style="1612" customWidth="1"/>
    <col min="14696" max="14699" width="25.7265625" style="1612" customWidth="1"/>
    <col min="14700" max="14700" width="12.26953125" style="1612" customWidth="1"/>
    <col min="14701" max="14701" width="25.7265625" style="1612" customWidth="1"/>
    <col min="14702" max="14702" width="18.81640625" style="1612" customWidth="1"/>
    <col min="14703" max="14706" width="25.7265625" style="1612" customWidth="1"/>
    <col min="14707" max="14707" width="14.54296875" style="1612" customWidth="1"/>
    <col min="14708" max="14708" width="25.7265625" style="1612" customWidth="1"/>
    <col min="14709" max="14709" width="18.81640625" style="1612" customWidth="1"/>
    <col min="14710" max="14713" width="25.7265625" style="1612" customWidth="1"/>
    <col min="14714" max="14714" width="15.7265625" style="1612" customWidth="1"/>
    <col min="14715" max="14715" width="25.7265625" style="1612" customWidth="1"/>
    <col min="14716" max="14716" width="18.81640625" style="1612" customWidth="1"/>
    <col min="14717" max="14720" width="25.7265625" style="1612" customWidth="1"/>
    <col min="14721" max="14721" width="15.7265625" style="1612" customWidth="1"/>
    <col min="14722" max="14722" width="29.453125" style="1612" customWidth="1"/>
    <col min="14723" max="14723" width="18.81640625" style="1612" customWidth="1"/>
    <col min="14724" max="14724" width="25.7265625" style="1612" customWidth="1"/>
    <col min="14725" max="14725" width="29.7265625" style="1612" customWidth="1"/>
    <col min="14726" max="14727" width="25.7265625" style="1612" customWidth="1"/>
    <col min="14728" max="14728" width="13.7265625" style="1612" customWidth="1"/>
    <col min="14729" max="14729" width="29.1796875" style="1612" customWidth="1"/>
    <col min="14730" max="14730" width="23.7265625" style="1612" customWidth="1"/>
    <col min="14731" max="14734" width="24.81640625" style="1612" customWidth="1"/>
    <col min="14735" max="14735" width="14.7265625" style="1612" customWidth="1"/>
    <col min="14736" max="14736" width="30" style="1612" customWidth="1"/>
    <col min="14737" max="14737" width="22" style="1612" customWidth="1"/>
    <col min="14738" max="14738" width="19.26953125" style="1612" customWidth="1"/>
    <col min="14739" max="14739" width="14.1796875" style="1612" customWidth="1"/>
    <col min="14740" max="14886" width="9.1796875" style="1612"/>
    <col min="14887" max="14887" width="8.7265625" style="1612" customWidth="1"/>
    <col min="14888" max="14888" width="92.7265625" style="1612" customWidth="1"/>
    <col min="14889" max="14889" width="16.1796875" style="1612" customWidth="1"/>
    <col min="14890" max="14890" width="16.81640625" style="1612" customWidth="1"/>
    <col min="14891" max="14891" width="14.7265625" style="1612" customWidth="1"/>
    <col min="14892" max="14892" width="19.453125" style="1612" customWidth="1"/>
    <col min="14893" max="14893" width="15" style="1612" customWidth="1"/>
    <col min="14894" max="14894" width="12.7265625" style="1612" customWidth="1"/>
    <col min="14895" max="14896" width="12.1796875" style="1612" customWidth="1"/>
    <col min="14897" max="14897" width="15.81640625" style="1612" customWidth="1"/>
    <col min="14898" max="14898" width="22.1796875" style="1612" customWidth="1"/>
    <col min="14899" max="14899" width="11.453125" style="1612" customWidth="1"/>
    <col min="14900" max="14900" width="17.54296875" style="1612" customWidth="1"/>
    <col min="14901" max="14901" width="0.1796875" style="1612" customWidth="1"/>
    <col min="14902" max="14902" width="18.81640625" style="1612" customWidth="1"/>
    <col min="14903" max="14906" width="25.7265625" style="1612" customWidth="1"/>
    <col min="14907" max="14907" width="14.7265625" style="1612" customWidth="1"/>
    <col min="14908" max="14908" width="22" style="1612" customWidth="1"/>
    <col min="14909" max="14909" width="15.26953125" style="1612" customWidth="1"/>
    <col min="14910" max="14913" width="25.7265625" style="1612" customWidth="1"/>
    <col min="14914" max="14914" width="15.7265625" style="1612" customWidth="1"/>
    <col min="14915" max="14915" width="22.453125" style="1612" customWidth="1"/>
    <col min="14916" max="14916" width="14.7265625" style="1612" customWidth="1"/>
    <col min="14917" max="14920" width="25.7265625" style="1612" customWidth="1"/>
    <col min="14921" max="14921" width="15.7265625" style="1612" customWidth="1"/>
    <col min="14922" max="14922" width="21" style="1612" customWidth="1"/>
    <col min="14923" max="14923" width="16.7265625" style="1612" customWidth="1"/>
    <col min="14924" max="14927" width="25.7265625" style="1612" customWidth="1"/>
    <col min="14928" max="14928" width="15.7265625" style="1612" customWidth="1"/>
    <col min="14929" max="14929" width="29.1796875" style="1612" customWidth="1"/>
    <col min="14930" max="14930" width="13.7265625" style="1612" customWidth="1"/>
    <col min="14931" max="14934" width="25.7265625" style="1612" customWidth="1"/>
    <col min="14935" max="14935" width="15.7265625" style="1612" customWidth="1"/>
    <col min="14936" max="14936" width="29.1796875" style="1612" customWidth="1"/>
    <col min="14937" max="14937" width="11.81640625" style="1612" customWidth="1"/>
    <col min="14938" max="14941" width="25.7265625" style="1612" customWidth="1"/>
    <col min="14942" max="14942" width="15.7265625" style="1612" customWidth="1"/>
    <col min="14943" max="14943" width="29.7265625" style="1612" customWidth="1"/>
    <col min="14944" max="14944" width="25.54296875" style="1612" customWidth="1"/>
    <col min="14945" max="14948" width="25.7265625" style="1612" customWidth="1"/>
    <col min="14949" max="14949" width="7.26953125" style="1612" customWidth="1"/>
    <col min="14950" max="14950" width="22.7265625" style="1612" customWidth="1"/>
    <col min="14951" max="14951" width="18.81640625" style="1612" customWidth="1"/>
    <col min="14952" max="14955" width="25.7265625" style="1612" customWidth="1"/>
    <col min="14956" max="14956" width="12.26953125" style="1612" customWidth="1"/>
    <col min="14957" max="14957" width="25.7265625" style="1612" customWidth="1"/>
    <col min="14958" max="14958" width="18.81640625" style="1612" customWidth="1"/>
    <col min="14959" max="14962" width="25.7265625" style="1612" customWidth="1"/>
    <col min="14963" max="14963" width="14.54296875" style="1612" customWidth="1"/>
    <col min="14964" max="14964" width="25.7265625" style="1612" customWidth="1"/>
    <col min="14965" max="14965" width="18.81640625" style="1612" customWidth="1"/>
    <col min="14966" max="14969" width="25.7265625" style="1612" customWidth="1"/>
    <col min="14970" max="14970" width="15.7265625" style="1612" customWidth="1"/>
    <col min="14971" max="14971" width="25.7265625" style="1612" customWidth="1"/>
    <col min="14972" max="14972" width="18.81640625" style="1612" customWidth="1"/>
    <col min="14973" max="14976" width="25.7265625" style="1612" customWidth="1"/>
    <col min="14977" max="14977" width="15.7265625" style="1612" customWidth="1"/>
    <col min="14978" max="14978" width="29.453125" style="1612" customWidth="1"/>
    <col min="14979" max="14979" width="18.81640625" style="1612" customWidth="1"/>
    <col min="14980" max="14980" width="25.7265625" style="1612" customWidth="1"/>
    <col min="14981" max="14981" width="29.7265625" style="1612" customWidth="1"/>
    <col min="14982" max="14983" width="25.7265625" style="1612" customWidth="1"/>
    <col min="14984" max="14984" width="13.7265625" style="1612" customWidth="1"/>
    <col min="14985" max="14985" width="29.1796875" style="1612" customWidth="1"/>
    <col min="14986" max="14986" width="23.7265625" style="1612" customWidth="1"/>
    <col min="14987" max="14990" width="24.81640625" style="1612" customWidth="1"/>
    <col min="14991" max="14991" width="14.7265625" style="1612" customWidth="1"/>
    <col min="14992" max="14992" width="30" style="1612" customWidth="1"/>
    <col min="14993" max="14993" width="22" style="1612" customWidth="1"/>
    <col min="14994" max="14994" width="19.26953125" style="1612" customWidth="1"/>
    <col min="14995" max="14995" width="14.1796875" style="1612" customWidth="1"/>
    <col min="14996" max="15142" width="9.1796875" style="1612"/>
    <col min="15143" max="15143" width="8.7265625" style="1612" customWidth="1"/>
    <col min="15144" max="15144" width="92.7265625" style="1612" customWidth="1"/>
    <col min="15145" max="15145" width="16.1796875" style="1612" customWidth="1"/>
    <col min="15146" max="15146" width="16.81640625" style="1612" customWidth="1"/>
    <col min="15147" max="15147" width="14.7265625" style="1612" customWidth="1"/>
    <col min="15148" max="15148" width="19.453125" style="1612" customWidth="1"/>
    <col min="15149" max="15149" width="15" style="1612" customWidth="1"/>
    <col min="15150" max="15150" width="12.7265625" style="1612" customWidth="1"/>
    <col min="15151" max="15152" width="12.1796875" style="1612" customWidth="1"/>
    <col min="15153" max="15153" width="15.81640625" style="1612" customWidth="1"/>
    <col min="15154" max="15154" width="22.1796875" style="1612" customWidth="1"/>
    <col min="15155" max="15155" width="11.453125" style="1612" customWidth="1"/>
    <col min="15156" max="15156" width="17.54296875" style="1612" customWidth="1"/>
    <col min="15157" max="15157" width="0.1796875" style="1612" customWidth="1"/>
    <col min="15158" max="15158" width="18.81640625" style="1612" customWidth="1"/>
    <col min="15159" max="15162" width="25.7265625" style="1612" customWidth="1"/>
    <col min="15163" max="15163" width="14.7265625" style="1612" customWidth="1"/>
    <col min="15164" max="15164" width="22" style="1612" customWidth="1"/>
    <col min="15165" max="15165" width="15.26953125" style="1612" customWidth="1"/>
    <col min="15166" max="15169" width="25.7265625" style="1612" customWidth="1"/>
    <col min="15170" max="15170" width="15.7265625" style="1612" customWidth="1"/>
    <col min="15171" max="15171" width="22.453125" style="1612" customWidth="1"/>
    <col min="15172" max="15172" width="14.7265625" style="1612" customWidth="1"/>
    <col min="15173" max="15176" width="25.7265625" style="1612" customWidth="1"/>
    <col min="15177" max="15177" width="15.7265625" style="1612" customWidth="1"/>
    <col min="15178" max="15178" width="21" style="1612" customWidth="1"/>
    <col min="15179" max="15179" width="16.7265625" style="1612" customWidth="1"/>
    <col min="15180" max="15183" width="25.7265625" style="1612" customWidth="1"/>
    <col min="15184" max="15184" width="15.7265625" style="1612" customWidth="1"/>
    <col min="15185" max="15185" width="29.1796875" style="1612" customWidth="1"/>
    <col min="15186" max="15186" width="13.7265625" style="1612" customWidth="1"/>
    <col min="15187" max="15190" width="25.7265625" style="1612" customWidth="1"/>
    <col min="15191" max="15191" width="15.7265625" style="1612" customWidth="1"/>
    <col min="15192" max="15192" width="29.1796875" style="1612" customWidth="1"/>
    <col min="15193" max="15193" width="11.81640625" style="1612" customWidth="1"/>
    <col min="15194" max="15197" width="25.7265625" style="1612" customWidth="1"/>
    <col min="15198" max="15198" width="15.7265625" style="1612" customWidth="1"/>
    <col min="15199" max="15199" width="29.7265625" style="1612" customWidth="1"/>
    <col min="15200" max="15200" width="25.54296875" style="1612" customWidth="1"/>
    <col min="15201" max="15204" width="25.7265625" style="1612" customWidth="1"/>
    <col min="15205" max="15205" width="7.26953125" style="1612" customWidth="1"/>
    <col min="15206" max="15206" width="22.7265625" style="1612" customWidth="1"/>
    <col min="15207" max="15207" width="18.81640625" style="1612" customWidth="1"/>
    <col min="15208" max="15211" width="25.7265625" style="1612" customWidth="1"/>
    <col min="15212" max="15212" width="12.26953125" style="1612" customWidth="1"/>
    <col min="15213" max="15213" width="25.7265625" style="1612" customWidth="1"/>
    <col min="15214" max="15214" width="18.81640625" style="1612" customWidth="1"/>
    <col min="15215" max="15218" width="25.7265625" style="1612" customWidth="1"/>
    <col min="15219" max="15219" width="14.54296875" style="1612" customWidth="1"/>
    <col min="15220" max="15220" width="25.7265625" style="1612" customWidth="1"/>
    <col min="15221" max="15221" width="18.81640625" style="1612" customWidth="1"/>
    <col min="15222" max="15225" width="25.7265625" style="1612" customWidth="1"/>
    <col min="15226" max="15226" width="15.7265625" style="1612" customWidth="1"/>
    <col min="15227" max="15227" width="25.7265625" style="1612" customWidth="1"/>
    <col min="15228" max="15228" width="18.81640625" style="1612" customWidth="1"/>
    <col min="15229" max="15232" width="25.7265625" style="1612" customWidth="1"/>
    <col min="15233" max="15233" width="15.7265625" style="1612" customWidth="1"/>
    <col min="15234" max="15234" width="29.453125" style="1612" customWidth="1"/>
    <col min="15235" max="15235" width="18.81640625" style="1612" customWidth="1"/>
    <col min="15236" max="15236" width="25.7265625" style="1612" customWidth="1"/>
    <col min="15237" max="15237" width="29.7265625" style="1612" customWidth="1"/>
    <col min="15238" max="15239" width="25.7265625" style="1612" customWidth="1"/>
    <col min="15240" max="15240" width="13.7265625" style="1612" customWidth="1"/>
    <col min="15241" max="15241" width="29.1796875" style="1612" customWidth="1"/>
    <col min="15242" max="15242" width="23.7265625" style="1612" customWidth="1"/>
    <col min="15243" max="15246" width="24.81640625" style="1612" customWidth="1"/>
    <col min="15247" max="15247" width="14.7265625" style="1612" customWidth="1"/>
    <col min="15248" max="15248" width="30" style="1612" customWidth="1"/>
    <col min="15249" max="15249" width="22" style="1612" customWidth="1"/>
    <col min="15250" max="15250" width="19.26953125" style="1612" customWidth="1"/>
    <col min="15251" max="15251" width="14.1796875" style="1612" customWidth="1"/>
    <col min="15252" max="15398" width="9.1796875" style="1612"/>
    <col min="15399" max="15399" width="8.7265625" style="1612" customWidth="1"/>
    <col min="15400" max="15400" width="92.7265625" style="1612" customWidth="1"/>
    <col min="15401" max="15401" width="16.1796875" style="1612" customWidth="1"/>
    <col min="15402" max="15402" width="16.81640625" style="1612" customWidth="1"/>
    <col min="15403" max="15403" width="14.7265625" style="1612" customWidth="1"/>
    <col min="15404" max="15404" width="19.453125" style="1612" customWidth="1"/>
    <col min="15405" max="15405" width="15" style="1612" customWidth="1"/>
    <col min="15406" max="15406" width="12.7265625" style="1612" customWidth="1"/>
    <col min="15407" max="15408" width="12.1796875" style="1612" customWidth="1"/>
    <col min="15409" max="15409" width="15.81640625" style="1612" customWidth="1"/>
    <col min="15410" max="15410" width="22.1796875" style="1612" customWidth="1"/>
    <col min="15411" max="15411" width="11.453125" style="1612" customWidth="1"/>
    <col min="15412" max="15412" width="17.54296875" style="1612" customWidth="1"/>
    <col min="15413" max="15413" width="0.1796875" style="1612" customWidth="1"/>
    <col min="15414" max="15414" width="18.81640625" style="1612" customWidth="1"/>
    <col min="15415" max="15418" width="25.7265625" style="1612" customWidth="1"/>
    <col min="15419" max="15419" width="14.7265625" style="1612" customWidth="1"/>
    <col min="15420" max="15420" width="22" style="1612" customWidth="1"/>
    <col min="15421" max="15421" width="15.26953125" style="1612" customWidth="1"/>
    <col min="15422" max="15425" width="25.7265625" style="1612" customWidth="1"/>
    <col min="15426" max="15426" width="15.7265625" style="1612" customWidth="1"/>
    <col min="15427" max="15427" width="22.453125" style="1612" customWidth="1"/>
    <col min="15428" max="15428" width="14.7265625" style="1612" customWidth="1"/>
    <col min="15429" max="15432" width="25.7265625" style="1612" customWidth="1"/>
    <col min="15433" max="15433" width="15.7265625" style="1612" customWidth="1"/>
    <col min="15434" max="15434" width="21" style="1612" customWidth="1"/>
    <col min="15435" max="15435" width="16.7265625" style="1612" customWidth="1"/>
    <col min="15436" max="15439" width="25.7265625" style="1612" customWidth="1"/>
    <col min="15440" max="15440" width="15.7265625" style="1612" customWidth="1"/>
    <col min="15441" max="15441" width="29.1796875" style="1612" customWidth="1"/>
    <col min="15442" max="15442" width="13.7265625" style="1612" customWidth="1"/>
    <col min="15443" max="15446" width="25.7265625" style="1612" customWidth="1"/>
    <col min="15447" max="15447" width="15.7265625" style="1612" customWidth="1"/>
    <col min="15448" max="15448" width="29.1796875" style="1612" customWidth="1"/>
    <col min="15449" max="15449" width="11.81640625" style="1612" customWidth="1"/>
    <col min="15450" max="15453" width="25.7265625" style="1612" customWidth="1"/>
    <col min="15454" max="15454" width="15.7265625" style="1612" customWidth="1"/>
    <col min="15455" max="15455" width="29.7265625" style="1612" customWidth="1"/>
    <col min="15456" max="15456" width="25.54296875" style="1612" customWidth="1"/>
    <col min="15457" max="15460" width="25.7265625" style="1612" customWidth="1"/>
    <col min="15461" max="15461" width="7.26953125" style="1612" customWidth="1"/>
    <col min="15462" max="15462" width="22.7265625" style="1612" customWidth="1"/>
    <col min="15463" max="15463" width="18.81640625" style="1612" customWidth="1"/>
    <col min="15464" max="15467" width="25.7265625" style="1612" customWidth="1"/>
    <col min="15468" max="15468" width="12.26953125" style="1612" customWidth="1"/>
    <col min="15469" max="15469" width="25.7265625" style="1612" customWidth="1"/>
    <col min="15470" max="15470" width="18.81640625" style="1612" customWidth="1"/>
    <col min="15471" max="15474" width="25.7265625" style="1612" customWidth="1"/>
    <col min="15475" max="15475" width="14.54296875" style="1612" customWidth="1"/>
    <col min="15476" max="15476" width="25.7265625" style="1612" customWidth="1"/>
    <col min="15477" max="15477" width="18.81640625" style="1612" customWidth="1"/>
    <col min="15478" max="15481" width="25.7265625" style="1612" customWidth="1"/>
    <col min="15482" max="15482" width="15.7265625" style="1612" customWidth="1"/>
    <col min="15483" max="15483" width="25.7265625" style="1612" customWidth="1"/>
    <col min="15484" max="15484" width="18.81640625" style="1612" customWidth="1"/>
    <col min="15485" max="15488" width="25.7265625" style="1612" customWidth="1"/>
    <col min="15489" max="15489" width="15.7265625" style="1612" customWidth="1"/>
    <col min="15490" max="15490" width="29.453125" style="1612" customWidth="1"/>
    <col min="15491" max="15491" width="18.81640625" style="1612" customWidth="1"/>
    <col min="15492" max="15492" width="25.7265625" style="1612" customWidth="1"/>
    <col min="15493" max="15493" width="29.7265625" style="1612" customWidth="1"/>
    <col min="15494" max="15495" width="25.7265625" style="1612" customWidth="1"/>
    <col min="15496" max="15496" width="13.7265625" style="1612" customWidth="1"/>
    <col min="15497" max="15497" width="29.1796875" style="1612" customWidth="1"/>
    <col min="15498" max="15498" width="23.7265625" style="1612" customWidth="1"/>
    <col min="15499" max="15502" width="24.81640625" style="1612" customWidth="1"/>
    <col min="15503" max="15503" width="14.7265625" style="1612" customWidth="1"/>
    <col min="15504" max="15504" width="30" style="1612" customWidth="1"/>
    <col min="15505" max="15505" width="22" style="1612" customWidth="1"/>
    <col min="15506" max="15506" width="19.26953125" style="1612" customWidth="1"/>
    <col min="15507" max="15507" width="14.1796875" style="1612" customWidth="1"/>
    <col min="15508" max="15654" width="9.1796875" style="1612"/>
    <col min="15655" max="15655" width="8.7265625" style="1612" customWidth="1"/>
    <col min="15656" max="15656" width="92.7265625" style="1612" customWidth="1"/>
    <col min="15657" max="15657" width="16.1796875" style="1612" customWidth="1"/>
    <col min="15658" max="15658" width="16.81640625" style="1612" customWidth="1"/>
    <col min="15659" max="15659" width="14.7265625" style="1612" customWidth="1"/>
    <col min="15660" max="15660" width="19.453125" style="1612" customWidth="1"/>
    <col min="15661" max="15661" width="15" style="1612" customWidth="1"/>
    <col min="15662" max="15662" width="12.7265625" style="1612" customWidth="1"/>
    <col min="15663" max="15664" width="12.1796875" style="1612" customWidth="1"/>
    <col min="15665" max="15665" width="15.81640625" style="1612" customWidth="1"/>
    <col min="15666" max="15666" width="22.1796875" style="1612" customWidth="1"/>
    <col min="15667" max="15667" width="11.453125" style="1612" customWidth="1"/>
    <col min="15668" max="15668" width="17.54296875" style="1612" customWidth="1"/>
    <col min="15669" max="15669" width="0.1796875" style="1612" customWidth="1"/>
    <col min="15670" max="15670" width="18.81640625" style="1612" customWidth="1"/>
    <col min="15671" max="15674" width="25.7265625" style="1612" customWidth="1"/>
    <col min="15675" max="15675" width="14.7265625" style="1612" customWidth="1"/>
    <col min="15676" max="15676" width="22" style="1612" customWidth="1"/>
    <col min="15677" max="15677" width="15.26953125" style="1612" customWidth="1"/>
    <col min="15678" max="15681" width="25.7265625" style="1612" customWidth="1"/>
    <col min="15682" max="15682" width="15.7265625" style="1612" customWidth="1"/>
    <col min="15683" max="15683" width="22.453125" style="1612" customWidth="1"/>
    <col min="15684" max="15684" width="14.7265625" style="1612" customWidth="1"/>
    <col min="15685" max="15688" width="25.7265625" style="1612" customWidth="1"/>
    <col min="15689" max="15689" width="15.7265625" style="1612" customWidth="1"/>
    <col min="15690" max="15690" width="21" style="1612" customWidth="1"/>
    <col min="15691" max="15691" width="16.7265625" style="1612" customWidth="1"/>
    <col min="15692" max="15695" width="25.7265625" style="1612" customWidth="1"/>
    <col min="15696" max="15696" width="15.7265625" style="1612" customWidth="1"/>
    <col min="15697" max="15697" width="29.1796875" style="1612" customWidth="1"/>
    <col min="15698" max="15698" width="13.7265625" style="1612" customWidth="1"/>
    <col min="15699" max="15702" width="25.7265625" style="1612" customWidth="1"/>
    <col min="15703" max="15703" width="15.7265625" style="1612" customWidth="1"/>
    <col min="15704" max="15704" width="29.1796875" style="1612" customWidth="1"/>
    <col min="15705" max="15705" width="11.81640625" style="1612" customWidth="1"/>
    <col min="15706" max="15709" width="25.7265625" style="1612" customWidth="1"/>
    <col min="15710" max="15710" width="15.7265625" style="1612" customWidth="1"/>
    <col min="15711" max="15711" width="29.7265625" style="1612" customWidth="1"/>
    <col min="15712" max="15712" width="25.54296875" style="1612" customWidth="1"/>
    <col min="15713" max="15716" width="25.7265625" style="1612" customWidth="1"/>
    <col min="15717" max="15717" width="7.26953125" style="1612" customWidth="1"/>
    <col min="15718" max="15718" width="22.7265625" style="1612" customWidth="1"/>
    <col min="15719" max="15719" width="18.81640625" style="1612" customWidth="1"/>
    <col min="15720" max="15723" width="25.7265625" style="1612" customWidth="1"/>
    <col min="15724" max="15724" width="12.26953125" style="1612" customWidth="1"/>
    <col min="15725" max="15725" width="25.7265625" style="1612" customWidth="1"/>
    <col min="15726" max="15726" width="18.81640625" style="1612" customWidth="1"/>
    <col min="15727" max="15730" width="25.7265625" style="1612" customWidth="1"/>
    <col min="15731" max="15731" width="14.54296875" style="1612" customWidth="1"/>
    <col min="15732" max="15732" width="25.7265625" style="1612" customWidth="1"/>
    <col min="15733" max="15733" width="18.81640625" style="1612" customWidth="1"/>
    <col min="15734" max="15737" width="25.7265625" style="1612" customWidth="1"/>
    <col min="15738" max="15738" width="15.7265625" style="1612" customWidth="1"/>
    <col min="15739" max="15739" width="25.7265625" style="1612" customWidth="1"/>
    <col min="15740" max="15740" width="18.81640625" style="1612" customWidth="1"/>
    <col min="15741" max="15744" width="25.7265625" style="1612" customWidth="1"/>
    <col min="15745" max="15745" width="15.7265625" style="1612" customWidth="1"/>
    <col min="15746" max="15746" width="29.453125" style="1612" customWidth="1"/>
    <col min="15747" max="15747" width="18.81640625" style="1612" customWidth="1"/>
    <col min="15748" max="15748" width="25.7265625" style="1612" customWidth="1"/>
    <col min="15749" max="15749" width="29.7265625" style="1612" customWidth="1"/>
    <col min="15750" max="15751" width="25.7265625" style="1612" customWidth="1"/>
    <col min="15752" max="15752" width="13.7265625" style="1612" customWidth="1"/>
    <col min="15753" max="15753" width="29.1796875" style="1612" customWidth="1"/>
    <col min="15754" max="15754" width="23.7265625" style="1612" customWidth="1"/>
    <col min="15755" max="15758" width="24.81640625" style="1612" customWidth="1"/>
    <col min="15759" max="15759" width="14.7265625" style="1612" customWidth="1"/>
    <col min="15760" max="15760" width="30" style="1612" customWidth="1"/>
    <col min="15761" max="15761" width="22" style="1612" customWidth="1"/>
    <col min="15762" max="15762" width="19.26953125" style="1612" customWidth="1"/>
    <col min="15763" max="15763" width="14.1796875" style="1612" customWidth="1"/>
    <col min="15764" max="15910" width="9.1796875" style="1612"/>
    <col min="15911" max="15911" width="8.7265625" style="1612" customWidth="1"/>
    <col min="15912" max="15912" width="92.7265625" style="1612" customWidth="1"/>
    <col min="15913" max="15913" width="16.1796875" style="1612" customWidth="1"/>
    <col min="15914" max="15914" width="16.81640625" style="1612" customWidth="1"/>
    <col min="15915" max="15915" width="14.7265625" style="1612" customWidth="1"/>
    <col min="15916" max="15916" width="19.453125" style="1612" customWidth="1"/>
    <col min="15917" max="15917" width="15" style="1612" customWidth="1"/>
    <col min="15918" max="15918" width="12.7265625" style="1612" customWidth="1"/>
    <col min="15919" max="15920" width="12.1796875" style="1612" customWidth="1"/>
    <col min="15921" max="15921" width="15.81640625" style="1612" customWidth="1"/>
    <col min="15922" max="15922" width="22.1796875" style="1612" customWidth="1"/>
    <col min="15923" max="15923" width="11.453125" style="1612" customWidth="1"/>
    <col min="15924" max="15924" width="17.54296875" style="1612" customWidth="1"/>
    <col min="15925" max="15925" width="0.1796875" style="1612" customWidth="1"/>
    <col min="15926" max="15926" width="18.81640625" style="1612" customWidth="1"/>
    <col min="15927" max="15930" width="25.7265625" style="1612" customWidth="1"/>
    <col min="15931" max="15931" width="14.7265625" style="1612" customWidth="1"/>
    <col min="15932" max="15932" width="22" style="1612" customWidth="1"/>
    <col min="15933" max="15933" width="15.26953125" style="1612" customWidth="1"/>
    <col min="15934" max="15937" width="25.7265625" style="1612" customWidth="1"/>
    <col min="15938" max="15938" width="15.7265625" style="1612" customWidth="1"/>
    <col min="15939" max="15939" width="22.453125" style="1612" customWidth="1"/>
    <col min="15940" max="15940" width="14.7265625" style="1612" customWidth="1"/>
    <col min="15941" max="15944" width="25.7265625" style="1612" customWidth="1"/>
    <col min="15945" max="15945" width="15.7265625" style="1612" customWidth="1"/>
    <col min="15946" max="15946" width="21" style="1612" customWidth="1"/>
    <col min="15947" max="15947" width="16.7265625" style="1612" customWidth="1"/>
    <col min="15948" max="15951" width="25.7265625" style="1612" customWidth="1"/>
    <col min="15952" max="15952" width="15.7265625" style="1612" customWidth="1"/>
    <col min="15953" max="15953" width="29.1796875" style="1612" customWidth="1"/>
    <col min="15954" max="15954" width="13.7265625" style="1612" customWidth="1"/>
    <col min="15955" max="15958" width="25.7265625" style="1612" customWidth="1"/>
    <col min="15959" max="15959" width="15.7265625" style="1612" customWidth="1"/>
    <col min="15960" max="15960" width="29.1796875" style="1612" customWidth="1"/>
    <col min="15961" max="15961" width="11.81640625" style="1612" customWidth="1"/>
    <col min="15962" max="15965" width="25.7265625" style="1612" customWidth="1"/>
    <col min="15966" max="15966" width="15.7265625" style="1612" customWidth="1"/>
    <col min="15967" max="15967" width="29.7265625" style="1612" customWidth="1"/>
    <col min="15968" max="15968" width="25.54296875" style="1612" customWidth="1"/>
    <col min="15969" max="15972" width="25.7265625" style="1612" customWidth="1"/>
    <col min="15973" max="15973" width="7.26953125" style="1612" customWidth="1"/>
    <col min="15974" max="15974" width="22.7265625" style="1612" customWidth="1"/>
    <col min="15975" max="15975" width="18.81640625" style="1612" customWidth="1"/>
    <col min="15976" max="15979" width="25.7265625" style="1612" customWidth="1"/>
    <col min="15980" max="15980" width="12.26953125" style="1612" customWidth="1"/>
    <col min="15981" max="15981" width="25.7265625" style="1612" customWidth="1"/>
    <col min="15982" max="15982" width="18.81640625" style="1612" customWidth="1"/>
    <col min="15983" max="15986" width="25.7265625" style="1612" customWidth="1"/>
    <col min="15987" max="15987" width="14.54296875" style="1612" customWidth="1"/>
    <col min="15988" max="15988" width="25.7265625" style="1612" customWidth="1"/>
    <col min="15989" max="15989" width="18.81640625" style="1612" customWidth="1"/>
    <col min="15990" max="15993" width="25.7265625" style="1612" customWidth="1"/>
    <col min="15994" max="15994" width="15.7265625" style="1612" customWidth="1"/>
    <col min="15995" max="15995" width="25.7265625" style="1612" customWidth="1"/>
    <col min="15996" max="15996" width="18.81640625" style="1612" customWidth="1"/>
    <col min="15997" max="16000" width="25.7265625" style="1612" customWidth="1"/>
    <col min="16001" max="16001" width="15.7265625" style="1612" customWidth="1"/>
    <col min="16002" max="16002" width="29.453125" style="1612" customWidth="1"/>
    <col min="16003" max="16003" width="18.81640625" style="1612" customWidth="1"/>
    <col min="16004" max="16004" width="25.7265625" style="1612" customWidth="1"/>
    <col min="16005" max="16005" width="29.7265625" style="1612" customWidth="1"/>
    <col min="16006" max="16007" width="25.7265625" style="1612" customWidth="1"/>
    <col min="16008" max="16008" width="13.7265625" style="1612" customWidth="1"/>
    <col min="16009" max="16009" width="29.1796875" style="1612" customWidth="1"/>
    <col min="16010" max="16010" width="23.7265625" style="1612" customWidth="1"/>
    <col min="16011" max="16014" width="24.81640625" style="1612" customWidth="1"/>
    <col min="16015" max="16015" width="14.7265625" style="1612" customWidth="1"/>
    <col min="16016" max="16016" width="30" style="1612" customWidth="1"/>
    <col min="16017" max="16017" width="22" style="1612" customWidth="1"/>
    <col min="16018" max="16018" width="19.26953125" style="1612" customWidth="1"/>
    <col min="16019" max="16019" width="14.1796875" style="1612" customWidth="1"/>
    <col min="16020" max="16166" width="9.1796875" style="1612"/>
    <col min="16167" max="16167" width="8.7265625" style="1612" customWidth="1"/>
    <col min="16168" max="16168" width="92.7265625" style="1612" customWidth="1"/>
    <col min="16169" max="16169" width="16.1796875" style="1612" customWidth="1"/>
    <col min="16170" max="16170" width="16.81640625" style="1612" customWidth="1"/>
    <col min="16171" max="16171" width="14.7265625" style="1612" customWidth="1"/>
    <col min="16172" max="16172" width="19.453125" style="1612" customWidth="1"/>
    <col min="16173" max="16173" width="15" style="1612" customWidth="1"/>
    <col min="16174" max="16174" width="12.7265625" style="1612" customWidth="1"/>
    <col min="16175" max="16176" width="12.1796875" style="1612" customWidth="1"/>
    <col min="16177" max="16177" width="15.81640625" style="1612" customWidth="1"/>
    <col min="16178" max="16178" width="22.1796875" style="1612" customWidth="1"/>
    <col min="16179" max="16179" width="11.453125" style="1612" customWidth="1"/>
    <col min="16180" max="16180" width="17.54296875" style="1612" customWidth="1"/>
    <col min="16181" max="16181" width="0.1796875" style="1612" customWidth="1"/>
    <col min="16182" max="16182" width="18.81640625" style="1612" customWidth="1"/>
    <col min="16183" max="16186" width="25.7265625" style="1612" customWidth="1"/>
    <col min="16187" max="16187" width="14.7265625" style="1612" customWidth="1"/>
    <col min="16188" max="16188" width="22" style="1612" customWidth="1"/>
    <col min="16189" max="16189" width="15.26953125" style="1612" customWidth="1"/>
    <col min="16190" max="16193" width="25.7265625" style="1612" customWidth="1"/>
    <col min="16194" max="16194" width="15.7265625" style="1612" customWidth="1"/>
    <col min="16195" max="16195" width="22.453125" style="1612" customWidth="1"/>
    <col min="16196" max="16196" width="14.7265625" style="1612" customWidth="1"/>
    <col min="16197" max="16200" width="25.7265625" style="1612" customWidth="1"/>
    <col min="16201" max="16201" width="15.7265625" style="1612" customWidth="1"/>
    <col min="16202" max="16202" width="21" style="1612" customWidth="1"/>
    <col min="16203" max="16203" width="16.7265625" style="1612" customWidth="1"/>
    <col min="16204" max="16207" width="25.7265625" style="1612" customWidth="1"/>
    <col min="16208" max="16208" width="15.7265625" style="1612" customWidth="1"/>
    <col min="16209" max="16209" width="29.1796875" style="1612" customWidth="1"/>
    <col min="16210" max="16210" width="13.7265625" style="1612" customWidth="1"/>
    <col min="16211" max="16214" width="25.7265625" style="1612" customWidth="1"/>
    <col min="16215" max="16215" width="15.7265625" style="1612" customWidth="1"/>
    <col min="16216" max="16216" width="29.1796875" style="1612" customWidth="1"/>
    <col min="16217" max="16217" width="11.81640625" style="1612" customWidth="1"/>
    <col min="16218" max="16221" width="25.7265625" style="1612" customWidth="1"/>
    <col min="16222" max="16222" width="15.7265625" style="1612" customWidth="1"/>
    <col min="16223" max="16223" width="29.7265625" style="1612" customWidth="1"/>
    <col min="16224" max="16224" width="25.54296875" style="1612" customWidth="1"/>
    <col min="16225" max="16228" width="25.7265625" style="1612" customWidth="1"/>
    <col min="16229" max="16229" width="7.26953125" style="1612" customWidth="1"/>
    <col min="16230" max="16230" width="22.7265625" style="1612" customWidth="1"/>
    <col min="16231" max="16231" width="18.81640625" style="1612" customWidth="1"/>
    <col min="16232" max="16235" width="25.7265625" style="1612" customWidth="1"/>
    <col min="16236" max="16236" width="12.26953125" style="1612" customWidth="1"/>
    <col min="16237" max="16237" width="25.7265625" style="1612" customWidth="1"/>
    <col min="16238" max="16238" width="18.81640625" style="1612" customWidth="1"/>
    <col min="16239" max="16242" width="25.7265625" style="1612" customWidth="1"/>
    <col min="16243" max="16243" width="14.54296875" style="1612" customWidth="1"/>
    <col min="16244" max="16244" width="25.7265625" style="1612" customWidth="1"/>
    <col min="16245" max="16245" width="18.81640625" style="1612" customWidth="1"/>
    <col min="16246" max="16249" width="25.7265625" style="1612" customWidth="1"/>
    <col min="16250" max="16250" width="15.7265625" style="1612" customWidth="1"/>
    <col min="16251" max="16251" width="25.7265625" style="1612" customWidth="1"/>
    <col min="16252" max="16252" width="18.81640625" style="1612" customWidth="1"/>
    <col min="16253" max="16256" width="25.7265625" style="1612" customWidth="1"/>
    <col min="16257" max="16257" width="15.7265625" style="1612" customWidth="1"/>
    <col min="16258" max="16258" width="29.453125" style="1612" customWidth="1"/>
    <col min="16259" max="16259" width="18.81640625" style="1612" customWidth="1"/>
    <col min="16260" max="16260" width="25.7265625" style="1612" customWidth="1"/>
    <col min="16261" max="16261" width="29.7265625" style="1612" customWidth="1"/>
    <col min="16262" max="16263" width="25.7265625" style="1612" customWidth="1"/>
    <col min="16264" max="16264" width="13.7265625" style="1612" customWidth="1"/>
    <col min="16265" max="16265" width="29.1796875" style="1612" customWidth="1"/>
    <col min="16266" max="16266" width="23.7265625" style="1612" customWidth="1"/>
    <col min="16267" max="16270" width="24.81640625" style="1612" customWidth="1"/>
    <col min="16271" max="16271" width="14.7265625" style="1612" customWidth="1"/>
    <col min="16272" max="16272" width="30" style="1612" customWidth="1"/>
    <col min="16273" max="16273" width="22" style="1612" customWidth="1"/>
    <col min="16274" max="16274" width="19.26953125" style="1612" customWidth="1"/>
    <col min="16275" max="16275" width="14.1796875" style="1612" customWidth="1"/>
    <col min="16276" max="16384" width="9.1796875" style="1612"/>
  </cols>
  <sheetData>
    <row r="1" spans="1:156" ht="18.75" customHeight="1">
      <c r="A1" s="1605" t="s">
        <v>1615</v>
      </c>
      <c r="B1" s="1606"/>
      <c r="C1" s="1607"/>
      <c r="D1" s="1607"/>
      <c r="E1" s="1607"/>
      <c r="F1" s="1607"/>
      <c r="G1" s="1607"/>
      <c r="H1" s="1607"/>
      <c r="I1" s="1607"/>
      <c r="J1" s="1607"/>
      <c r="K1" s="1607"/>
      <c r="L1" s="1607"/>
      <c r="M1" s="1607"/>
      <c r="N1" s="1607"/>
      <c r="O1" s="1608"/>
      <c r="P1" s="1608"/>
      <c r="Q1" s="1609"/>
      <c r="R1" s="1609"/>
      <c r="S1" s="1609"/>
      <c r="T1" s="1609"/>
      <c r="U1" s="1609"/>
      <c r="V1" s="1609"/>
      <c r="W1" s="1609"/>
      <c r="X1" s="1609"/>
      <c r="Y1" s="1608"/>
      <c r="Z1" s="1608"/>
      <c r="AA1" s="1609"/>
      <c r="AB1" s="1609"/>
      <c r="AC1" s="1609"/>
      <c r="AD1" s="1609"/>
      <c r="AE1" s="1609"/>
      <c r="AF1" s="1609"/>
      <c r="AG1" s="1609"/>
      <c r="AH1" s="1609"/>
      <c r="AI1" s="1608"/>
      <c r="AJ1" s="1608"/>
      <c r="AK1" s="1609"/>
      <c r="AL1" s="1609"/>
      <c r="AM1" s="1609"/>
      <c r="AN1" s="1609"/>
      <c r="AO1" s="1609"/>
      <c r="AP1" s="1609"/>
      <c r="AQ1" s="1609"/>
      <c r="AR1" s="1609"/>
      <c r="AS1" s="1608"/>
      <c r="AT1" s="1608"/>
      <c r="AU1" s="1609"/>
      <c r="AV1" s="1609"/>
      <c r="AW1" s="1609"/>
      <c r="AX1" s="1609"/>
      <c r="AY1" s="1609"/>
      <c r="AZ1" s="1609"/>
      <c r="BA1" s="1609"/>
      <c r="BB1" s="1609"/>
      <c r="BC1" s="1608"/>
      <c r="BD1" s="1608"/>
      <c r="BE1" s="1609"/>
      <c r="BF1" s="1609"/>
      <c r="BG1" s="1609"/>
      <c r="BH1" s="1609"/>
      <c r="BI1" s="1609"/>
      <c r="BJ1" s="1609"/>
      <c r="BK1" s="1609"/>
      <c r="BL1" s="1609"/>
      <c r="BM1" s="1608"/>
      <c r="BN1" s="1608"/>
      <c r="BO1" s="1609"/>
      <c r="BP1" s="1609"/>
      <c r="BQ1" s="1609"/>
      <c r="BR1" s="1609"/>
      <c r="BS1" s="1609"/>
      <c r="BT1" s="1609"/>
      <c r="BU1" s="1609"/>
      <c r="BV1" s="1609"/>
      <c r="BW1" s="1608"/>
      <c r="BX1" s="1608"/>
      <c r="BY1" s="1609"/>
      <c r="BZ1" s="1609"/>
      <c r="CA1" s="1609"/>
      <c r="CB1" s="1609"/>
      <c r="CC1" s="1609"/>
      <c r="CD1" s="1609"/>
      <c r="CE1" s="1609"/>
      <c r="CF1" s="1610"/>
      <c r="CG1" s="1608"/>
      <c r="CH1" s="1608"/>
      <c r="CI1" s="1609"/>
      <c r="CJ1" s="1609"/>
      <c r="CK1" s="1609"/>
      <c r="CL1" s="1609"/>
      <c r="CM1" s="1609"/>
      <c r="CN1" s="1609"/>
      <c r="CO1" s="1609"/>
      <c r="CP1" s="1609"/>
      <c r="CQ1" s="1608"/>
      <c r="CR1" s="1608"/>
      <c r="CS1" s="1609"/>
      <c r="CT1" s="1609"/>
      <c r="CU1" s="1609"/>
      <c r="CV1" s="1609"/>
      <c r="CW1" s="1609"/>
      <c r="CX1" s="1609"/>
      <c r="CY1" s="1609"/>
      <c r="CZ1" s="1609"/>
      <c r="DA1" s="1608"/>
      <c r="DB1" s="1608"/>
      <c r="DC1" s="1609"/>
      <c r="DD1" s="1609"/>
      <c r="DE1" s="1609"/>
      <c r="DF1" s="1609"/>
      <c r="DG1" s="1609"/>
      <c r="DH1" s="1609"/>
      <c r="DI1" s="1609"/>
      <c r="DJ1" s="1609"/>
      <c r="DK1" s="1608"/>
      <c r="DL1" s="1608"/>
      <c r="DM1" s="1609"/>
      <c r="DN1" s="1609"/>
      <c r="DO1" s="1609"/>
      <c r="DP1" s="1609"/>
      <c r="DQ1" s="1609"/>
      <c r="DR1" s="1609"/>
      <c r="DS1" s="1609"/>
      <c r="DT1" s="1609"/>
      <c r="DU1" s="1608"/>
      <c r="DV1" s="1608"/>
      <c r="DW1" s="1609"/>
      <c r="DX1" s="1609"/>
      <c r="DY1" s="1609"/>
      <c r="DZ1" s="1609"/>
      <c r="EA1" s="1609"/>
      <c r="EB1" s="1609"/>
      <c r="EC1" s="1609"/>
      <c r="ED1" s="1609"/>
      <c r="EE1" s="1607"/>
      <c r="EF1" s="1607"/>
      <c r="EG1" s="1609"/>
      <c r="EH1" s="1609"/>
      <c r="EI1" s="1609"/>
      <c r="EJ1" s="1609"/>
      <c r="EK1" s="1609"/>
      <c r="EL1" s="1609"/>
    </row>
    <row r="2" spans="1:156" ht="18.75" customHeight="1">
      <c r="A2" s="1614" t="s">
        <v>174</v>
      </c>
      <c r="B2" s="1615"/>
      <c r="C2" s="1616"/>
      <c r="D2" s="1616"/>
      <c r="E2" s="1616"/>
      <c r="F2" s="1616"/>
      <c r="G2" s="1616"/>
      <c r="H2" s="1616"/>
      <c r="I2" s="1617"/>
      <c r="J2" s="3155"/>
      <c r="K2" s="3155"/>
      <c r="L2" s="3155"/>
      <c r="M2" s="1616"/>
      <c r="N2" s="1616"/>
      <c r="O2" s="1618"/>
      <c r="P2" s="1618"/>
      <c r="Q2" s="1619"/>
      <c r="R2" s="1619"/>
      <c r="S2" s="1619"/>
      <c r="T2" s="1619"/>
      <c r="U2" s="1619"/>
      <c r="V2" s="1619"/>
      <c r="W2" s="1619"/>
      <c r="X2" s="1619"/>
      <c r="Y2" s="1618"/>
      <c r="Z2" s="1618"/>
      <c r="CC2" s="1611">
        <v>751160654</v>
      </c>
      <c r="CD2" s="1611" t="e">
        <f>CF93-CC2</f>
        <v>#REF!</v>
      </c>
      <c r="DW2" s="1622"/>
      <c r="DX2" s="1622"/>
      <c r="EE2" s="1623"/>
      <c r="EF2" s="1623"/>
    </row>
    <row r="3" spans="1:156" ht="23.25" customHeight="1">
      <c r="A3" s="1605" t="s">
        <v>1236</v>
      </c>
      <c r="B3" s="1606"/>
      <c r="C3" s="1607"/>
      <c r="D3" s="1607"/>
      <c r="E3" s="1607"/>
      <c r="F3" s="1607"/>
      <c r="G3" s="1607"/>
      <c r="H3" s="1607"/>
      <c r="I3" s="1607"/>
      <c r="J3" s="1607"/>
      <c r="K3" s="1607"/>
      <c r="L3" s="1607"/>
      <c r="M3" s="1607"/>
      <c r="N3" s="1607"/>
      <c r="O3" s="1608"/>
      <c r="P3" s="1608"/>
      <c r="R3" s="1979"/>
      <c r="T3" s="1979"/>
      <c r="U3" s="1609"/>
      <c r="V3" s="1609"/>
      <c r="W3" s="1609"/>
      <c r="X3" s="1609"/>
      <c r="Y3" s="1608"/>
      <c r="Z3" s="1608"/>
      <c r="AA3" s="1609"/>
      <c r="AB3" s="1609"/>
      <c r="AC3" s="1609"/>
      <c r="AD3" s="1979"/>
      <c r="AE3" s="1609"/>
      <c r="AF3" s="1609"/>
      <c r="AG3" s="1609"/>
      <c r="AH3" s="1609"/>
      <c r="AI3" s="1608"/>
      <c r="AJ3" s="1608"/>
      <c r="AL3" s="1609"/>
      <c r="AM3" s="1609"/>
      <c r="AN3" s="1609"/>
      <c r="AO3" s="1609"/>
      <c r="AP3" s="1609"/>
      <c r="AQ3" s="1609"/>
      <c r="AR3" s="1609"/>
      <c r="AS3" s="1608"/>
      <c r="AT3" s="1608"/>
      <c r="AV3" s="1609"/>
      <c r="AW3" s="1609"/>
      <c r="AX3" s="1609"/>
      <c r="AY3" s="1609"/>
      <c r="AZ3" s="1609"/>
      <c r="BA3" s="1609"/>
      <c r="BB3" s="1609"/>
      <c r="BC3" s="1608"/>
      <c r="BD3" s="1608"/>
      <c r="BF3" s="1609"/>
      <c r="BG3" s="1609"/>
      <c r="BH3" s="1609"/>
      <c r="BI3" s="1609"/>
      <c r="BJ3" s="1609"/>
      <c r="BK3" s="1609"/>
      <c r="BL3" s="1609"/>
      <c r="BM3" s="1608"/>
      <c r="BN3" s="1608"/>
      <c r="BP3" s="1609"/>
      <c r="BQ3" s="1609"/>
      <c r="BR3" s="1609"/>
      <c r="BS3" s="1609"/>
      <c r="BT3" s="1609"/>
      <c r="BU3" s="1609"/>
      <c r="BV3" s="1609"/>
      <c r="BW3" s="1608"/>
      <c r="BX3" s="1608"/>
      <c r="BZ3" s="1609"/>
      <c r="CA3" s="1609"/>
      <c r="CB3" s="1609"/>
      <c r="CC3" s="1609"/>
      <c r="CD3" s="1609"/>
      <c r="CE3" s="1609"/>
      <c r="CF3" s="1610"/>
      <c r="CG3" s="1608"/>
      <c r="CI3" s="1609"/>
      <c r="CJ3" s="1609"/>
      <c r="CK3" s="1609"/>
      <c r="CL3" s="1609"/>
      <c r="CM3" s="1609"/>
      <c r="CN3" s="1609"/>
      <c r="CO3" s="1609"/>
      <c r="CP3" s="1609"/>
      <c r="CQ3" s="1608"/>
      <c r="CR3" s="1608"/>
      <c r="CT3" s="1609"/>
      <c r="CU3" s="1609"/>
      <c r="CV3" s="1609"/>
      <c r="CW3" s="1609"/>
      <c r="CX3" s="1609"/>
      <c r="CY3" s="1609"/>
      <c r="CZ3" s="1609"/>
      <c r="DA3" s="1608"/>
      <c r="DB3" s="1608"/>
      <c r="DD3" s="1609"/>
      <c r="DE3" s="1609"/>
      <c r="DF3" s="1609"/>
      <c r="DG3" s="1609"/>
      <c r="DH3" s="1609"/>
      <c r="DI3" s="1609"/>
      <c r="DJ3" s="1609"/>
      <c r="DK3" s="1608"/>
      <c r="DM3" s="1609"/>
      <c r="DN3" s="1609"/>
      <c r="DO3" s="1609"/>
      <c r="DP3" s="1609"/>
      <c r="DQ3" s="1609"/>
      <c r="DR3" s="1609"/>
      <c r="DS3" s="1609"/>
      <c r="DT3" s="1609"/>
      <c r="DU3" s="1608"/>
      <c r="DV3" s="1608"/>
      <c r="DW3" s="1609"/>
      <c r="DX3" s="1979"/>
      <c r="DY3" s="1609"/>
      <c r="DZ3" s="1609"/>
      <c r="EA3" s="1609"/>
      <c r="EB3" s="1609"/>
      <c r="EC3" s="1609"/>
      <c r="ED3" s="1609"/>
      <c r="EE3" s="1607"/>
      <c r="EF3" s="1607"/>
      <c r="EG3" s="1609"/>
      <c r="EH3" s="1609"/>
      <c r="EI3" s="1609"/>
      <c r="EJ3" s="1609"/>
      <c r="EK3" s="1609"/>
      <c r="EL3" s="1609"/>
    </row>
    <row r="4" spans="1:156" ht="15" customHeight="1" thickBot="1">
      <c r="A4" s="3156"/>
      <c r="B4" s="3156"/>
      <c r="C4" s="3156"/>
      <c r="D4" s="3156"/>
      <c r="E4" s="3156"/>
      <c r="F4" s="3156"/>
      <c r="G4" s="3156"/>
      <c r="H4" s="3156"/>
      <c r="I4" s="3156"/>
      <c r="J4" s="3156"/>
      <c r="K4" s="3156"/>
      <c r="L4" s="3156"/>
      <c r="M4" s="3156"/>
      <c r="N4" s="3156"/>
      <c r="O4" s="3156"/>
      <c r="P4" s="3156"/>
      <c r="Q4" s="3156"/>
      <c r="R4" s="3156"/>
      <c r="S4" s="3156"/>
      <c r="T4" s="1980"/>
      <c r="U4" s="1609"/>
      <c r="EE4" s="1612"/>
      <c r="EF4" s="1612"/>
    </row>
    <row r="5" spans="1:156" s="1624" customFormat="1" ht="36" customHeight="1" thickBot="1">
      <c r="A5" s="3157" t="s">
        <v>12</v>
      </c>
      <c r="B5" s="3160" t="s">
        <v>1616</v>
      </c>
      <c r="C5" s="3163" t="s">
        <v>1617</v>
      </c>
      <c r="D5" s="3149" t="s">
        <v>1618</v>
      </c>
      <c r="E5" s="3149" t="s">
        <v>1844</v>
      </c>
      <c r="F5" s="3166" t="s">
        <v>1845</v>
      </c>
      <c r="G5" s="3149" t="s">
        <v>1620</v>
      </c>
      <c r="H5" s="3149" t="s">
        <v>1621</v>
      </c>
      <c r="I5" s="3149" t="s">
        <v>1622</v>
      </c>
      <c r="J5" s="3149" t="s">
        <v>1846</v>
      </c>
      <c r="K5" s="3149" t="s">
        <v>1624</v>
      </c>
      <c r="L5" s="3149" t="s">
        <v>1625</v>
      </c>
      <c r="M5" s="3149" t="s">
        <v>1626</v>
      </c>
      <c r="N5" s="3152" t="s">
        <v>1627</v>
      </c>
      <c r="O5" s="3143">
        <v>43922</v>
      </c>
      <c r="P5" s="3144"/>
      <c r="Q5" s="3145"/>
      <c r="R5" s="3145"/>
      <c r="S5" s="3145"/>
      <c r="T5" s="3145"/>
      <c r="U5" s="3145"/>
      <c r="V5" s="3145"/>
      <c r="W5" s="3145"/>
      <c r="X5" s="3147"/>
      <c r="Y5" s="3143">
        <v>43952</v>
      </c>
      <c r="Z5" s="3144"/>
      <c r="AA5" s="3145"/>
      <c r="AB5" s="3145"/>
      <c r="AC5" s="3145"/>
      <c r="AD5" s="3145"/>
      <c r="AE5" s="3145"/>
      <c r="AF5" s="3145"/>
      <c r="AG5" s="3145"/>
      <c r="AH5" s="3146"/>
      <c r="AI5" s="3143">
        <v>43983</v>
      </c>
      <c r="AJ5" s="3144"/>
      <c r="AK5" s="3145"/>
      <c r="AL5" s="3145"/>
      <c r="AM5" s="3145"/>
      <c r="AN5" s="3145"/>
      <c r="AO5" s="3145"/>
      <c r="AP5" s="3145"/>
      <c r="AQ5" s="3145"/>
      <c r="AR5" s="3146"/>
      <c r="AS5" s="3143">
        <v>44013</v>
      </c>
      <c r="AT5" s="3144"/>
      <c r="AU5" s="3145"/>
      <c r="AV5" s="3145"/>
      <c r="AW5" s="3145"/>
      <c r="AX5" s="3145"/>
      <c r="AY5" s="3145"/>
      <c r="AZ5" s="3145"/>
      <c r="BA5" s="3145"/>
      <c r="BB5" s="3146"/>
      <c r="BC5" s="3143">
        <v>44044</v>
      </c>
      <c r="BD5" s="3144"/>
      <c r="BE5" s="3145"/>
      <c r="BF5" s="3145"/>
      <c r="BG5" s="3145"/>
      <c r="BH5" s="3145"/>
      <c r="BI5" s="3145"/>
      <c r="BJ5" s="3145"/>
      <c r="BK5" s="3145"/>
      <c r="BL5" s="3146"/>
      <c r="BM5" s="3143">
        <v>44075</v>
      </c>
      <c r="BN5" s="3144"/>
      <c r="BO5" s="3145"/>
      <c r="BP5" s="3145"/>
      <c r="BQ5" s="3145"/>
      <c r="BR5" s="3145"/>
      <c r="BS5" s="3145"/>
      <c r="BT5" s="3145"/>
      <c r="BU5" s="3145"/>
      <c r="BV5" s="3146"/>
      <c r="BW5" s="3143">
        <v>44105</v>
      </c>
      <c r="BX5" s="3144"/>
      <c r="BY5" s="3145"/>
      <c r="BZ5" s="3145"/>
      <c r="CA5" s="3145"/>
      <c r="CB5" s="3145"/>
      <c r="CC5" s="3145"/>
      <c r="CD5" s="3145"/>
      <c r="CE5" s="3145"/>
      <c r="CF5" s="3146"/>
      <c r="CG5" s="3143">
        <v>44136</v>
      </c>
      <c r="CH5" s="3144"/>
      <c r="CI5" s="3145"/>
      <c r="CJ5" s="3145"/>
      <c r="CK5" s="3145"/>
      <c r="CL5" s="3145"/>
      <c r="CM5" s="3145"/>
      <c r="CN5" s="3145"/>
      <c r="CO5" s="3145"/>
      <c r="CP5" s="3146"/>
      <c r="CQ5" s="3143">
        <v>44166</v>
      </c>
      <c r="CR5" s="3144"/>
      <c r="CS5" s="3145"/>
      <c r="CT5" s="3145"/>
      <c r="CU5" s="3145"/>
      <c r="CV5" s="3145"/>
      <c r="CW5" s="3145"/>
      <c r="CX5" s="3145"/>
      <c r="CY5" s="3145"/>
      <c r="CZ5" s="3146"/>
      <c r="DA5" s="3143">
        <v>44197</v>
      </c>
      <c r="DB5" s="3144"/>
      <c r="DC5" s="3145"/>
      <c r="DD5" s="3145"/>
      <c r="DE5" s="3145"/>
      <c r="DF5" s="3145"/>
      <c r="DG5" s="3145"/>
      <c r="DH5" s="3145"/>
      <c r="DI5" s="3145"/>
      <c r="DJ5" s="3146"/>
      <c r="DK5" s="3143">
        <v>44228</v>
      </c>
      <c r="DL5" s="3144"/>
      <c r="DM5" s="3145"/>
      <c r="DN5" s="3145"/>
      <c r="DO5" s="3145"/>
      <c r="DP5" s="3145"/>
      <c r="DQ5" s="3145"/>
      <c r="DR5" s="3145"/>
      <c r="DS5" s="3145"/>
      <c r="DT5" s="3146"/>
      <c r="DU5" s="3143">
        <v>44256</v>
      </c>
      <c r="DV5" s="3144"/>
      <c r="DW5" s="3145"/>
      <c r="DX5" s="3145"/>
      <c r="DY5" s="3145"/>
      <c r="DZ5" s="3145"/>
      <c r="EA5" s="3145"/>
      <c r="EB5" s="3145"/>
      <c r="EC5" s="3145"/>
      <c r="ED5" s="3146"/>
      <c r="EE5" s="3140" t="s">
        <v>1847</v>
      </c>
      <c r="EF5" s="3141"/>
      <c r="EG5" s="3141"/>
      <c r="EH5" s="3141"/>
      <c r="EI5" s="3141"/>
      <c r="EJ5" s="3141"/>
      <c r="EK5" s="3141"/>
      <c r="EL5" s="3141"/>
      <c r="EM5" s="3141"/>
      <c r="EN5" s="3142"/>
      <c r="EO5" s="1609"/>
      <c r="EQ5" s="1625"/>
    </row>
    <row r="6" spans="1:156" s="1624" customFormat="1" ht="49.5" customHeight="1">
      <c r="A6" s="3158"/>
      <c r="B6" s="3161"/>
      <c r="C6" s="3164"/>
      <c r="D6" s="3150"/>
      <c r="E6" s="3150"/>
      <c r="F6" s="3167"/>
      <c r="G6" s="3150"/>
      <c r="H6" s="3150"/>
      <c r="I6" s="3150"/>
      <c r="J6" s="3150"/>
      <c r="K6" s="3150"/>
      <c r="L6" s="3150"/>
      <c r="M6" s="3150"/>
      <c r="N6" s="3153"/>
      <c r="O6" s="3135" t="s">
        <v>1628</v>
      </c>
      <c r="P6" s="3117" t="s">
        <v>1848</v>
      </c>
      <c r="Q6" s="3118"/>
      <c r="R6" s="3117" t="s">
        <v>1849</v>
      </c>
      <c r="S6" s="3118"/>
      <c r="T6" s="3117" t="s">
        <v>1850</v>
      </c>
      <c r="U6" s="3118"/>
      <c r="V6" s="1626" t="s">
        <v>1631</v>
      </c>
      <c r="W6" s="3119" t="s">
        <v>1632</v>
      </c>
      <c r="X6" s="3131"/>
      <c r="Y6" s="3135" t="s">
        <v>1628</v>
      </c>
      <c r="Z6" s="3117" t="s">
        <v>1848</v>
      </c>
      <c r="AA6" s="3118"/>
      <c r="AB6" s="3117" t="s">
        <v>1849</v>
      </c>
      <c r="AC6" s="3118"/>
      <c r="AD6" s="3117" t="s">
        <v>1850</v>
      </c>
      <c r="AE6" s="3118"/>
      <c r="AF6" s="1626" t="s">
        <v>2075</v>
      </c>
      <c r="AG6" s="3119" t="s">
        <v>1632</v>
      </c>
      <c r="AH6" s="3120"/>
      <c r="AI6" s="3135" t="s">
        <v>1628</v>
      </c>
      <c r="AJ6" s="3117" t="s">
        <v>1848</v>
      </c>
      <c r="AK6" s="3118"/>
      <c r="AL6" s="3117" t="s">
        <v>1849</v>
      </c>
      <c r="AM6" s="3118"/>
      <c r="AN6" s="3117" t="s">
        <v>1850</v>
      </c>
      <c r="AO6" s="3118"/>
      <c r="AP6" s="1626" t="s">
        <v>2075</v>
      </c>
      <c r="AQ6" s="3119" t="s">
        <v>1632</v>
      </c>
      <c r="AR6" s="3120"/>
      <c r="AS6" s="3148" t="s">
        <v>1628</v>
      </c>
      <c r="AT6" s="3117" t="s">
        <v>1634</v>
      </c>
      <c r="AU6" s="3118"/>
      <c r="AV6" s="3117" t="s">
        <v>1629</v>
      </c>
      <c r="AW6" s="3118"/>
      <c r="AX6" s="3117" t="s">
        <v>1630</v>
      </c>
      <c r="AY6" s="3118"/>
      <c r="AZ6" s="1627" t="s">
        <v>2075</v>
      </c>
      <c r="BA6" s="3138" t="s">
        <v>1632</v>
      </c>
      <c r="BB6" s="3139"/>
      <c r="BC6" s="3135" t="s">
        <v>1628</v>
      </c>
      <c r="BD6" s="3117" t="s">
        <v>1634</v>
      </c>
      <c r="BE6" s="3118"/>
      <c r="BF6" s="3117" t="s">
        <v>1629</v>
      </c>
      <c r="BG6" s="3118"/>
      <c r="BH6" s="3117" t="s">
        <v>1630</v>
      </c>
      <c r="BI6" s="3118"/>
      <c r="BJ6" s="1626" t="s">
        <v>2075</v>
      </c>
      <c r="BK6" s="3119" t="s">
        <v>1632</v>
      </c>
      <c r="BL6" s="3120"/>
      <c r="BM6" s="3135" t="s">
        <v>1628</v>
      </c>
      <c r="BN6" s="3117" t="s">
        <v>1634</v>
      </c>
      <c r="BO6" s="3118"/>
      <c r="BP6" s="3117" t="s">
        <v>1629</v>
      </c>
      <c r="BQ6" s="3118"/>
      <c r="BR6" s="3117" t="s">
        <v>1630</v>
      </c>
      <c r="BS6" s="3118"/>
      <c r="BT6" s="1626" t="s">
        <v>2075</v>
      </c>
      <c r="BU6" s="3119" t="s">
        <v>1636</v>
      </c>
      <c r="BV6" s="3120"/>
      <c r="BW6" s="3135" t="s">
        <v>1628</v>
      </c>
      <c r="BX6" s="3117" t="s">
        <v>1634</v>
      </c>
      <c r="BY6" s="3118"/>
      <c r="BZ6" s="3117" t="s">
        <v>1629</v>
      </c>
      <c r="CA6" s="3118"/>
      <c r="CB6" s="3117" t="s">
        <v>1630</v>
      </c>
      <c r="CC6" s="3118"/>
      <c r="CD6" s="1626" t="s">
        <v>2076</v>
      </c>
      <c r="CE6" s="3119" t="s">
        <v>1636</v>
      </c>
      <c r="CF6" s="3120"/>
      <c r="CG6" s="3135" t="s">
        <v>1628</v>
      </c>
      <c r="CH6" s="3117" t="s">
        <v>1634</v>
      </c>
      <c r="CI6" s="3118"/>
      <c r="CJ6" s="3117" t="s">
        <v>1629</v>
      </c>
      <c r="CK6" s="3118"/>
      <c r="CL6" s="3117" t="s">
        <v>1630</v>
      </c>
      <c r="CM6" s="3118"/>
      <c r="CN6" s="1626" t="s">
        <v>2075</v>
      </c>
      <c r="CO6" s="3119" t="s">
        <v>1636</v>
      </c>
      <c r="CP6" s="3120"/>
      <c r="CQ6" s="3135" t="s">
        <v>1628</v>
      </c>
      <c r="CR6" s="3117" t="s">
        <v>1634</v>
      </c>
      <c r="CS6" s="3118"/>
      <c r="CT6" s="3117" t="s">
        <v>1629</v>
      </c>
      <c r="CU6" s="3118"/>
      <c r="CV6" s="3117" t="s">
        <v>1635</v>
      </c>
      <c r="CW6" s="3118"/>
      <c r="CX6" s="1626" t="s">
        <v>2075</v>
      </c>
      <c r="CY6" s="3119" t="s">
        <v>1636</v>
      </c>
      <c r="CZ6" s="3120"/>
      <c r="DA6" s="3135" t="s">
        <v>1628</v>
      </c>
      <c r="DB6" s="3117" t="s">
        <v>1634</v>
      </c>
      <c r="DC6" s="3118"/>
      <c r="DD6" s="3117" t="s">
        <v>1629</v>
      </c>
      <c r="DE6" s="3118"/>
      <c r="DF6" s="3117" t="s">
        <v>1635</v>
      </c>
      <c r="DG6" s="3118"/>
      <c r="DH6" s="1626" t="s">
        <v>2075</v>
      </c>
      <c r="DI6" s="3131" t="s">
        <v>1636</v>
      </c>
      <c r="DJ6" s="3132"/>
      <c r="DK6" s="3134" t="s">
        <v>1628</v>
      </c>
      <c r="DL6" s="3129" t="s">
        <v>1634</v>
      </c>
      <c r="DM6" s="3130"/>
      <c r="DN6" s="3117" t="s">
        <v>1629</v>
      </c>
      <c r="DO6" s="3118"/>
      <c r="DP6" s="3117" t="s">
        <v>1635</v>
      </c>
      <c r="DQ6" s="3118"/>
      <c r="DR6" s="1626" t="s">
        <v>2075</v>
      </c>
      <c r="DS6" s="3131" t="s">
        <v>1636</v>
      </c>
      <c r="DT6" s="3132"/>
      <c r="DU6" s="3133" t="s">
        <v>1628</v>
      </c>
      <c r="DV6" s="3129" t="s">
        <v>1634</v>
      </c>
      <c r="DW6" s="3130"/>
      <c r="DX6" s="3117" t="s">
        <v>1629</v>
      </c>
      <c r="DY6" s="3118"/>
      <c r="DZ6" s="3117" t="s">
        <v>1630</v>
      </c>
      <c r="EA6" s="3118"/>
      <c r="EB6" s="1628" t="s">
        <v>2075</v>
      </c>
      <c r="EC6" s="3117" t="s">
        <v>1636</v>
      </c>
      <c r="ED6" s="3126"/>
      <c r="EE6" s="3127" t="s">
        <v>1628</v>
      </c>
      <c r="EF6" s="3117" t="s">
        <v>1638</v>
      </c>
      <c r="EG6" s="3118"/>
      <c r="EH6" s="3117" t="s">
        <v>1639</v>
      </c>
      <c r="EI6" s="3118"/>
      <c r="EJ6" s="3117" t="s">
        <v>1640</v>
      </c>
      <c r="EK6" s="3118"/>
      <c r="EL6" s="1626" t="s">
        <v>2076</v>
      </c>
      <c r="EM6" s="3119" t="s">
        <v>1636</v>
      </c>
      <c r="EN6" s="3120"/>
      <c r="EO6" s="1609"/>
      <c r="EQ6" s="1625"/>
      <c r="EZ6" s="3121" t="s">
        <v>1851</v>
      </c>
    </row>
    <row r="7" spans="1:156" s="1624" customFormat="1" ht="32.25" customHeight="1" thickBot="1">
      <c r="A7" s="3159"/>
      <c r="B7" s="3162"/>
      <c r="C7" s="3165"/>
      <c r="D7" s="3151"/>
      <c r="E7" s="3151"/>
      <c r="F7" s="3168"/>
      <c r="G7" s="3151"/>
      <c r="H7" s="3151"/>
      <c r="I7" s="3151"/>
      <c r="J7" s="3151"/>
      <c r="K7" s="3151"/>
      <c r="L7" s="3151"/>
      <c r="M7" s="3151"/>
      <c r="N7" s="3154"/>
      <c r="O7" s="3136"/>
      <c r="P7" s="1981" t="s">
        <v>2077</v>
      </c>
      <c r="Q7" s="1629" t="s">
        <v>2078</v>
      </c>
      <c r="R7" s="1981" t="s">
        <v>2077</v>
      </c>
      <c r="S7" s="1629" t="s">
        <v>1643</v>
      </c>
      <c r="T7" s="1629" t="s">
        <v>2077</v>
      </c>
      <c r="U7" s="1629" t="s">
        <v>1643</v>
      </c>
      <c r="V7" s="1629" t="s">
        <v>1643</v>
      </c>
      <c r="W7" s="1629" t="s">
        <v>2079</v>
      </c>
      <c r="X7" s="1630" t="s">
        <v>1643</v>
      </c>
      <c r="Y7" s="3136"/>
      <c r="Z7" s="1629" t="s">
        <v>2079</v>
      </c>
      <c r="AA7" s="1630" t="s">
        <v>1643</v>
      </c>
      <c r="AB7" s="1629" t="s">
        <v>2079</v>
      </c>
      <c r="AC7" s="1630" t="s">
        <v>1643</v>
      </c>
      <c r="AD7" s="1629" t="s">
        <v>2079</v>
      </c>
      <c r="AE7" s="1630" t="s">
        <v>1643</v>
      </c>
      <c r="AF7" s="1629" t="s">
        <v>1643</v>
      </c>
      <c r="AG7" s="1629" t="s">
        <v>1162</v>
      </c>
      <c r="AH7" s="1631" t="s">
        <v>1643</v>
      </c>
      <c r="AI7" s="3136"/>
      <c r="AJ7" s="1629" t="s">
        <v>2079</v>
      </c>
      <c r="AK7" s="1630" t="s">
        <v>1643</v>
      </c>
      <c r="AL7" s="1629" t="s">
        <v>2079</v>
      </c>
      <c r="AM7" s="1630" t="s">
        <v>1643</v>
      </c>
      <c r="AN7" s="1629" t="s">
        <v>2079</v>
      </c>
      <c r="AO7" s="1630" t="s">
        <v>1643</v>
      </c>
      <c r="AP7" s="1630" t="s">
        <v>1643</v>
      </c>
      <c r="AQ7" s="1629" t="s">
        <v>1162</v>
      </c>
      <c r="AR7" s="1630" t="s">
        <v>1643</v>
      </c>
      <c r="AS7" s="3136"/>
      <c r="AT7" s="1629" t="s">
        <v>1162</v>
      </c>
      <c r="AU7" s="1630" t="s">
        <v>1643</v>
      </c>
      <c r="AV7" s="1629" t="s">
        <v>1162</v>
      </c>
      <c r="AW7" s="1630" t="s">
        <v>1643</v>
      </c>
      <c r="AX7" s="1629" t="s">
        <v>1162</v>
      </c>
      <c r="AY7" s="1630" t="s">
        <v>1643</v>
      </c>
      <c r="AZ7" s="1629" t="s">
        <v>1643</v>
      </c>
      <c r="BA7" s="1629" t="s">
        <v>1162</v>
      </c>
      <c r="BB7" s="1631" t="s">
        <v>1643</v>
      </c>
      <c r="BC7" s="3136"/>
      <c r="BD7" s="1629" t="s">
        <v>1162</v>
      </c>
      <c r="BE7" s="1631" t="s">
        <v>1643</v>
      </c>
      <c r="BF7" s="1629" t="s">
        <v>1162</v>
      </c>
      <c r="BG7" s="1631" t="s">
        <v>1643</v>
      </c>
      <c r="BH7" s="1629" t="s">
        <v>1162</v>
      </c>
      <c r="BI7" s="1631" t="s">
        <v>1643</v>
      </c>
      <c r="BJ7" s="1629" t="s">
        <v>1643</v>
      </c>
      <c r="BK7" s="1629" t="s">
        <v>1162</v>
      </c>
      <c r="BL7" s="1631" t="s">
        <v>1643</v>
      </c>
      <c r="BM7" s="3136"/>
      <c r="BN7" s="1629" t="s">
        <v>1162</v>
      </c>
      <c r="BO7" s="1631" t="s">
        <v>1643</v>
      </c>
      <c r="BP7" s="1629" t="s">
        <v>1162</v>
      </c>
      <c r="BQ7" s="1631" t="s">
        <v>1643</v>
      </c>
      <c r="BR7" s="1629" t="s">
        <v>1162</v>
      </c>
      <c r="BS7" s="1631" t="s">
        <v>1643</v>
      </c>
      <c r="BT7" s="1629" t="s">
        <v>1643</v>
      </c>
      <c r="BU7" s="1629" t="s">
        <v>1162</v>
      </c>
      <c r="BV7" s="1629" t="s">
        <v>1643</v>
      </c>
      <c r="BW7" s="3136"/>
      <c r="BX7" s="1629" t="s">
        <v>1162</v>
      </c>
      <c r="BY7" s="1631" t="s">
        <v>1643</v>
      </c>
      <c r="BZ7" s="1629" t="s">
        <v>1162</v>
      </c>
      <c r="CA7" s="1631" t="s">
        <v>1643</v>
      </c>
      <c r="CB7" s="1629" t="s">
        <v>1162</v>
      </c>
      <c r="CC7" s="1631" t="s">
        <v>1643</v>
      </c>
      <c r="CD7" s="1631" t="s">
        <v>1643</v>
      </c>
      <c r="CE7" s="1629" t="s">
        <v>1162</v>
      </c>
      <c r="CF7" s="1631" t="s">
        <v>1643</v>
      </c>
      <c r="CG7" s="3136"/>
      <c r="CH7" s="1629" t="s">
        <v>1162</v>
      </c>
      <c r="CI7" s="1631" t="s">
        <v>1643</v>
      </c>
      <c r="CJ7" s="1629" t="s">
        <v>1162</v>
      </c>
      <c r="CK7" s="1631" t="s">
        <v>1643</v>
      </c>
      <c r="CL7" s="1629" t="s">
        <v>1162</v>
      </c>
      <c r="CM7" s="1631" t="s">
        <v>1643</v>
      </c>
      <c r="CN7" s="1631" t="s">
        <v>1643</v>
      </c>
      <c r="CO7" s="1629" t="s">
        <v>1162</v>
      </c>
      <c r="CP7" s="1631" t="s">
        <v>1643</v>
      </c>
      <c r="CQ7" s="3136"/>
      <c r="CR7" s="1629" t="s">
        <v>1162</v>
      </c>
      <c r="CS7" s="1631" t="s">
        <v>1643</v>
      </c>
      <c r="CT7" s="1629" t="s">
        <v>1162</v>
      </c>
      <c r="CU7" s="1631" t="s">
        <v>1643</v>
      </c>
      <c r="CV7" s="1629" t="s">
        <v>1162</v>
      </c>
      <c r="CW7" s="1631" t="s">
        <v>1643</v>
      </c>
      <c r="CX7" s="1631" t="s">
        <v>1643</v>
      </c>
      <c r="CY7" s="1629" t="s">
        <v>1162</v>
      </c>
      <c r="CZ7" s="1631" t="s">
        <v>1643</v>
      </c>
      <c r="DA7" s="3136"/>
      <c r="DB7" s="1629" t="s">
        <v>1162</v>
      </c>
      <c r="DC7" s="1631" t="s">
        <v>1643</v>
      </c>
      <c r="DD7" s="1629" t="s">
        <v>1162</v>
      </c>
      <c r="DE7" s="1631" t="s">
        <v>1643</v>
      </c>
      <c r="DF7" s="1629" t="s">
        <v>1162</v>
      </c>
      <c r="DG7" s="1631" t="s">
        <v>1643</v>
      </c>
      <c r="DH7" s="1631" t="s">
        <v>1643</v>
      </c>
      <c r="DI7" s="1629" t="s">
        <v>1162</v>
      </c>
      <c r="DJ7" s="1631" t="s">
        <v>1643</v>
      </c>
      <c r="DK7" s="3137"/>
      <c r="DL7" s="1629" t="s">
        <v>1162</v>
      </c>
      <c r="DM7" s="1631" t="s">
        <v>1643</v>
      </c>
      <c r="DN7" s="1629" t="s">
        <v>1162</v>
      </c>
      <c r="DO7" s="1631" t="s">
        <v>1643</v>
      </c>
      <c r="DP7" s="1629" t="s">
        <v>1162</v>
      </c>
      <c r="DQ7" s="1631" t="s">
        <v>1643</v>
      </c>
      <c r="DR7" s="1631" t="s">
        <v>1643</v>
      </c>
      <c r="DS7" s="1629" t="s">
        <v>1162</v>
      </c>
      <c r="DT7" s="1631" t="s">
        <v>1643</v>
      </c>
      <c r="DU7" s="3134"/>
      <c r="DV7" s="1629" t="s">
        <v>1162</v>
      </c>
      <c r="DW7" s="1631" t="s">
        <v>1643</v>
      </c>
      <c r="DX7" s="1629" t="s">
        <v>1162</v>
      </c>
      <c r="DY7" s="1631" t="s">
        <v>1643</v>
      </c>
      <c r="DZ7" s="1629" t="s">
        <v>1162</v>
      </c>
      <c r="EA7" s="1631" t="s">
        <v>1643</v>
      </c>
      <c r="EB7" s="1631" t="s">
        <v>1643</v>
      </c>
      <c r="EC7" s="1982" t="s">
        <v>1162</v>
      </c>
      <c r="ED7" s="1631" t="s">
        <v>1643</v>
      </c>
      <c r="EE7" s="3128"/>
      <c r="EF7" s="1982" t="s">
        <v>1162</v>
      </c>
      <c r="EG7" s="1631" t="s">
        <v>1643</v>
      </c>
      <c r="EH7" s="1982" t="s">
        <v>1162</v>
      </c>
      <c r="EI7" s="1631" t="s">
        <v>1643</v>
      </c>
      <c r="EJ7" s="1982" t="s">
        <v>1162</v>
      </c>
      <c r="EK7" s="1631" t="s">
        <v>1643</v>
      </c>
      <c r="EL7" s="1631" t="s">
        <v>1643</v>
      </c>
      <c r="EM7" s="1982" t="s">
        <v>1162</v>
      </c>
      <c r="EN7" s="1631" t="s">
        <v>1643</v>
      </c>
      <c r="EO7" s="1609"/>
      <c r="EQ7" s="1625"/>
      <c r="EZ7" s="3121"/>
    </row>
    <row r="8" spans="1:156" ht="21" customHeight="1">
      <c r="A8" s="1632" t="s">
        <v>57</v>
      </c>
      <c r="B8" s="1633" t="s">
        <v>1645</v>
      </c>
      <c r="C8" s="1634"/>
      <c r="D8" s="1635"/>
      <c r="E8" s="1635"/>
      <c r="F8" s="1635"/>
      <c r="G8" s="1635"/>
      <c r="H8" s="1635"/>
      <c r="I8" s="1635"/>
      <c r="J8" s="1635"/>
      <c r="K8" s="1635"/>
      <c r="L8" s="1635"/>
      <c r="M8" s="1635"/>
      <c r="N8" s="1636"/>
      <c r="O8" s="1983"/>
      <c r="P8" s="1984"/>
      <c r="Q8" s="1985"/>
      <c r="R8" s="1985"/>
      <c r="S8" s="1985"/>
      <c r="T8" s="1985"/>
      <c r="U8" s="1985"/>
      <c r="V8" s="1985"/>
      <c r="W8" s="1985"/>
      <c r="X8" s="1986"/>
      <c r="Y8" s="1983"/>
      <c r="Z8" s="1984"/>
      <c r="AA8" s="1985"/>
      <c r="AB8" s="1985"/>
      <c r="AC8" s="1985"/>
      <c r="AD8" s="1985"/>
      <c r="AE8" s="1985"/>
      <c r="AF8" s="1985"/>
      <c r="AG8" s="1985"/>
      <c r="AH8" s="1986"/>
      <c r="AI8" s="1983"/>
      <c r="AJ8" s="1984"/>
      <c r="AK8" s="1985"/>
      <c r="AL8" s="1985"/>
      <c r="AM8" s="1985"/>
      <c r="AN8" s="1985"/>
      <c r="AO8" s="1985"/>
      <c r="AP8" s="1985"/>
      <c r="AQ8" s="1985"/>
      <c r="AR8" s="1986"/>
      <c r="AS8" s="1983"/>
      <c r="AT8" s="1984"/>
      <c r="AU8" s="1985"/>
      <c r="AV8" s="1985"/>
      <c r="AW8" s="1985"/>
      <c r="AX8" s="1985"/>
      <c r="AY8" s="1985"/>
      <c r="AZ8" s="1985"/>
      <c r="BA8" s="1985"/>
      <c r="BB8" s="1986"/>
      <c r="BC8" s="1983"/>
      <c r="BD8" s="1984"/>
      <c r="BE8" s="1985"/>
      <c r="BF8" s="1985"/>
      <c r="BG8" s="1985"/>
      <c r="BH8" s="1985"/>
      <c r="BI8" s="1985"/>
      <c r="BJ8" s="1985"/>
      <c r="BK8" s="1985"/>
      <c r="BL8" s="1986"/>
      <c r="BM8" s="1983"/>
      <c r="BN8" s="1984"/>
      <c r="BO8" s="1985"/>
      <c r="BP8" s="1985"/>
      <c r="BQ8" s="1985"/>
      <c r="BR8" s="1985"/>
      <c r="BS8" s="1985"/>
      <c r="BT8" s="1985"/>
      <c r="BU8" s="1985"/>
      <c r="BV8" s="1986"/>
      <c r="BW8" s="1983"/>
      <c r="BX8" s="1984"/>
      <c r="BY8" s="1985"/>
      <c r="BZ8" s="1985"/>
      <c r="CA8" s="1985"/>
      <c r="CB8" s="1985"/>
      <c r="CC8" s="1985"/>
      <c r="CD8" s="1985"/>
      <c r="CE8" s="1985"/>
      <c r="CF8" s="1986"/>
      <c r="CG8" s="1983"/>
      <c r="CH8" s="1984"/>
      <c r="CI8" s="1985"/>
      <c r="CJ8" s="1985"/>
      <c r="CK8" s="1985"/>
      <c r="CL8" s="1985"/>
      <c r="CM8" s="1985"/>
      <c r="CN8" s="1985"/>
      <c r="CO8" s="1985"/>
      <c r="CP8" s="1986"/>
      <c r="CQ8" s="1983"/>
      <c r="CR8" s="1984"/>
      <c r="CS8" s="1985"/>
      <c r="CT8" s="1985"/>
      <c r="CU8" s="1985"/>
      <c r="CV8" s="1985"/>
      <c r="CW8" s="1985"/>
      <c r="CX8" s="1985"/>
      <c r="CY8" s="1985"/>
      <c r="CZ8" s="1986"/>
      <c r="DA8" s="1983"/>
      <c r="DB8" s="1984"/>
      <c r="DC8" s="1985"/>
      <c r="DD8" s="1985"/>
      <c r="DE8" s="1985"/>
      <c r="DF8" s="1985"/>
      <c r="DG8" s="1985"/>
      <c r="DH8" s="1985"/>
      <c r="DI8" s="1985"/>
      <c r="DJ8" s="1986"/>
      <c r="DK8" s="1983"/>
      <c r="DL8" s="1984"/>
      <c r="DM8" s="1985"/>
      <c r="DN8" s="1985"/>
      <c r="DO8" s="1985"/>
      <c r="DP8" s="1985"/>
      <c r="DQ8" s="1985"/>
      <c r="DR8" s="1985"/>
      <c r="DS8" s="1985"/>
      <c r="DT8" s="1987"/>
      <c r="DU8" s="1988"/>
      <c r="DV8" s="1988"/>
      <c r="DW8" s="1989"/>
      <c r="DX8" s="1989"/>
      <c r="DY8" s="1989"/>
      <c r="DZ8" s="1989"/>
      <c r="EA8" s="1989"/>
      <c r="EB8" s="1989"/>
      <c r="EC8" s="1989"/>
      <c r="ED8" s="1989"/>
      <c r="EE8" s="1990"/>
      <c r="EF8" s="1990"/>
      <c r="EG8" s="1985"/>
      <c r="EH8" s="1985"/>
      <c r="EI8" s="1985"/>
      <c r="EJ8" s="1985"/>
      <c r="EK8" s="1985"/>
      <c r="EL8" s="1985"/>
      <c r="EM8" s="1991"/>
      <c r="EN8" s="1992"/>
    </row>
    <row r="9" spans="1:156" ht="21" customHeight="1">
      <c r="A9" s="1637" t="s">
        <v>19</v>
      </c>
      <c r="B9" s="1638" t="s">
        <v>1646</v>
      </c>
      <c r="C9" s="1639"/>
      <c r="D9" s="1640"/>
      <c r="E9" s="1640"/>
      <c r="F9" s="1640"/>
      <c r="G9" s="1640"/>
      <c r="H9" s="1640"/>
      <c r="I9" s="1641"/>
      <c r="J9" s="1641"/>
      <c r="K9" s="1641"/>
      <c r="L9" s="1640"/>
      <c r="M9" s="1640"/>
      <c r="N9" s="1642"/>
      <c r="O9" s="1993"/>
      <c r="P9" s="1994"/>
      <c r="Q9" s="1989"/>
      <c r="R9" s="1989"/>
      <c r="S9" s="1989"/>
      <c r="T9" s="1989"/>
      <c r="U9" s="1989"/>
      <c r="V9" s="1989"/>
      <c r="W9" s="1989"/>
      <c r="X9" s="1995"/>
      <c r="Y9" s="1993"/>
      <c r="Z9" s="1994"/>
      <c r="AA9" s="1989"/>
      <c r="AB9" s="1989"/>
      <c r="AC9" s="1989"/>
      <c r="AD9" s="1989"/>
      <c r="AE9" s="1989"/>
      <c r="AF9" s="1989"/>
      <c r="AG9" s="1989"/>
      <c r="AH9" s="1995"/>
      <c r="AI9" s="1993"/>
      <c r="AJ9" s="1994"/>
      <c r="AK9" s="1989"/>
      <c r="AL9" s="1989"/>
      <c r="AM9" s="1989"/>
      <c r="AN9" s="1989"/>
      <c r="AO9" s="1989"/>
      <c r="AP9" s="1989"/>
      <c r="AQ9" s="1989"/>
      <c r="AR9" s="1995"/>
      <c r="AS9" s="1993"/>
      <c r="AT9" s="1994"/>
      <c r="AU9" s="1989"/>
      <c r="AV9" s="1989"/>
      <c r="AW9" s="1989"/>
      <c r="AX9" s="1989"/>
      <c r="AY9" s="1989"/>
      <c r="AZ9" s="1989"/>
      <c r="BA9" s="1989"/>
      <c r="BB9" s="1995"/>
      <c r="BC9" s="1993"/>
      <c r="BD9" s="1994"/>
      <c r="BE9" s="1989"/>
      <c r="BF9" s="1989"/>
      <c r="BG9" s="1989"/>
      <c r="BH9" s="1989"/>
      <c r="BI9" s="1989"/>
      <c r="BJ9" s="1989"/>
      <c r="BK9" s="1989"/>
      <c r="BL9" s="1995"/>
      <c r="BM9" s="1993"/>
      <c r="BN9" s="1994"/>
      <c r="BO9" s="1989"/>
      <c r="BP9" s="1989"/>
      <c r="BQ9" s="1989"/>
      <c r="BR9" s="1989"/>
      <c r="BS9" s="1989"/>
      <c r="BT9" s="1989"/>
      <c r="BU9" s="1989"/>
      <c r="BV9" s="1995"/>
      <c r="BW9" s="1993"/>
      <c r="BX9" s="1994"/>
      <c r="BY9" s="1989"/>
      <c r="BZ9" s="1989"/>
      <c r="CA9" s="1989"/>
      <c r="CB9" s="1989"/>
      <c r="CC9" s="1989"/>
      <c r="CD9" s="1989"/>
      <c r="CE9" s="1989"/>
      <c r="CF9" s="1995"/>
      <c r="CG9" s="1993"/>
      <c r="CH9" s="1994"/>
      <c r="CI9" s="1989"/>
      <c r="CJ9" s="1989"/>
      <c r="CK9" s="1989"/>
      <c r="CL9" s="1989"/>
      <c r="CM9" s="1989"/>
      <c r="CN9" s="1989"/>
      <c r="CO9" s="1989"/>
      <c r="CP9" s="1995"/>
      <c r="CQ9" s="1993"/>
      <c r="CR9" s="1994"/>
      <c r="CS9" s="1989"/>
      <c r="CT9" s="1989"/>
      <c r="CU9" s="1989"/>
      <c r="CV9" s="1989"/>
      <c r="CW9" s="1989"/>
      <c r="CX9" s="1989"/>
      <c r="CY9" s="1989"/>
      <c r="CZ9" s="1995"/>
      <c r="DA9" s="1993"/>
      <c r="DB9" s="1994"/>
      <c r="DC9" s="1989"/>
      <c r="DD9" s="1989"/>
      <c r="DE9" s="1989"/>
      <c r="DF9" s="1989"/>
      <c r="DG9" s="1989"/>
      <c r="DH9" s="1989"/>
      <c r="DI9" s="1989"/>
      <c r="DJ9" s="1995"/>
      <c r="DK9" s="1993"/>
      <c r="DL9" s="1994"/>
      <c r="DM9" s="1989"/>
      <c r="DN9" s="1989"/>
      <c r="DO9" s="1989"/>
      <c r="DP9" s="1989"/>
      <c r="DQ9" s="1989"/>
      <c r="DR9" s="1989"/>
      <c r="DS9" s="1989"/>
      <c r="DT9" s="1996"/>
      <c r="DU9" s="1988"/>
      <c r="DV9" s="1988"/>
      <c r="DW9" s="1989"/>
      <c r="DX9" s="1989"/>
      <c r="DY9" s="1989"/>
      <c r="DZ9" s="1989"/>
      <c r="EA9" s="1989"/>
      <c r="EB9" s="1989"/>
      <c r="EC9" s="1989"/>
      <c r="ED9" s="1989"/>
      <c r="EE9" s="1997">
        <f>SUM(O10,Y10,AI10,AS10,BC10,BM10,BW10,CG10,CQ10,DA10,DK9,DU9)</f>
        <v>0</v>
      </c>
      <c r="EF9" s="1997"/>
      <c r="EG9" s="1989"/>
      <c r="EH9" s="1989"/>
      <c r="EI9" s="1989"/>
      <c r="EJ9" s="1989"/>
      <c r="EK9" s="1989"/>
      <c r="EL9" s="1989"/>
      <c r="EM9" s="1998"/>
      <c r="EN9" s="1999"/>
    </row>
    <row r="10" spans="1:156" ht="21" customHeight="1">
      <c r="A10" s="1637"/>
      <c r="B10" s="1638"/>
      <c r="C10" s="1643"/>
      <c r="D10" s="1641"/>
      <c r="E10" s="1641"/>
      <c r="F10" s="1641"/>
      <c r="G10" s="1641"/>
      <c r="H10" s="1641"/>
      <c r="I10" s="1641"/>
      <c r="J10" s="1641"/>
      <c r="K10" s="1641"/>
      <c r="L10" s="1641"/>
      <c r="M10" s="1641"/>
      <c r="N10" s="1642"/>
      <c r="O10" s="2000"/>
      <c r="P10" s="2001"/>
      <c r="Q10" s="1989"/>
      <c r="R10" s="1989"/>
      <c r="S10" s="1989"/>
      <c r="T10" s="1989"/>
      <c r="U10" s="1989"/>
      <c r="V10" s="1989"/>
      <c r="W10" s="2002"/>
      <c r="X10" s="1995"/>
      <c r="Y10" s="1993"/>
      <c r="Z10" s="1994"/>
      <c r="AA10" s="1989"/>
      <c r="AB10" s="1989"/>
      <c r="AC10" s="1989"/>
      <c r="AD10" s="1989"/>
      <c r="AE10" s="1989"/>
      <c r="AF10" s="1989"/>
      <c r="AG10" s="1989"/>
      <c r="AH10" s="1995"/>
      <c r="AI10" s="1993"/>
      <c r="AJ10" s="1994"/>
      <c r="AK10" s="1989"/>
      <c r="AL10" s="1989"/>
      <c r="AM10" s="1989"/>
      <c r="AN10" s="1989"/>
      <c r="AO10" s="1989"/>
      <c r="AP10" s="1989"/>
      <c r="AQ10" s="1989"/>
      <c r="AR10" s="1995"/>
      <c r="AS10" s="1993"/>
      <c r="AT10" s="1994"/>
      <c r="AU10" s="1989"/>
      <c r="AV10" s="1989"/>
      <c r="AW10" s="1989"/>
      <c r="AX10" s="1989"/>
      <c r="AY10" s="1989"/>
      <c r="AZ10" s="1989"/>
      <c r="BA10" s="1989"/>
      <c r="BB10" s="1995"/>
      <c r="BC10" s="1993"/>
      <c r="BD10" s="1994"/>
      <c r="BE10" s="1989"/>
      <c r="BF10" s="1989"/>
      <c r="BG10" s="1989"/>
      <c r="BH10" s="1989"/>
      <c r="BI10" s="1989"/>
      <c r="BJ10" s="1989"/>
      <c r="BK10" s="1989"/>
      <c r="BL10" s="1995"/>
      <c r="BM10" s="1993"/>
      <c r="BN10" s="1994"/>
      <c r="BO10" s="1989"/>
      <c r="BP10" s="1989"/>
      <c r="BQ10" s="1989"/>
      <c r="BR10" s="1989"/>
      <c r="BS10" s="1989"/>
      <c r="BT10" s="1989"/>
      <c r="BU10" s="1989"/>
      <c r="BV10" s="1995"/>
      <c r="BW10" s="1993"/>
      <c r="BX10" s="1994"/>
      <c r="BY10" s="1989"/>
      <c r="BZ10" s="1989"/>
      <c r="CA10" s="1989"/>
      <c r="CB10" s="1989"/>
      <c r="CC10" s="1989"/>
      <c r="CD10" s="1989"/>
      <c r="CE10" s="1989"/>
      <c r="CF10" s="1995"/>
      <c r="CG10" s="1993"/>
      <c r="CH10" s="1994"/>
      <c r="CI10" s="1989"/>
      <c r="CJ10" s="1989"/>
      <c r="CK10" s="1989"/>
      <c r="CL10" s="1989"/>
      <c r="CM10" s="1989"/>
      <c r="CN10" s="1989"/>
      <c r="CO10" s="1989"/>
      <c r="CP10" s="1995"/>
      <c r="CQ10" s="1993"/>
      <c r="CR10" s="1994"/>
      <c r="CS10" s="1989"/>
      <c r="CT10" s="1989"/>
      <c r="CU10" s="1989"/>
      <c r="CV10" s="1989"/>
      <c r="CW10" s="1989"/>
      <c r="CX10" s="1989"/>
      <c r="CY10" s="1989"/>
      <c r="CZ10" s="1995"/>
      <c r="DA10" s="1993"/>
      <c r="DB10" s="1994"/>
      <c r="DC10" s="1989"/>
      <c r="DD10" s="1989"/>
      <c r="DE10" s="1989"/>
      <c r="DF10" s="1989"/>
      <c r="DG10" s="1989"/>
      <c r="DH10" s="1989"/>
      <c r="DI10" s="1989"/>
      <c r="DJ10" s="1995"/>
      <c r="DK10" s="1993"/>
      <c r="DL10" s="1994"/>
      <c r="DM10" s="1989"/>
      <c r="DN10" s="1989"/>
      <c r="DO10" s="1989"/>
      <c r="DP10" s="1989"/>
      <c r="DQ10" s="1989"/>
      <c r="DR10" s="1989"/>
      <c r="DS10" s="1989"/>
      <c r="DT10" s="1996"/>
      <c r="DU10" s="1988"/>
      <c r="DV10" s="1988"/>
      <c r="DW10" s="1989"/>
      <c r="DX10" s="1989"/>
      <c r="DY10" s="1989"/>
      <c r="DZ10" s="1989"/>
      <c r="EA10" s="1989"/>
      <c r="EB10" s="1989"/>
      <c r="EC10" s="1989"/>
      <c r="ED10" s="1989"/>
      <c r="EE10" s="1997">
        <f>SUM(O11,Y11,AI11,AS11,BC11,BM11,BW11,CG11,CQ11,DA11,DK10,DU10)</f>
        <v>0</v>
      </c>
      <c r="EF10" s="1997"/>
      <c r="EG10" s="1989"/>
      <c r="EH10" s="1989"/>
      <c r="EI10" s="1989"/>
      <c r="EJ10" s="1989"/>
      <c r="EK10" s="1989"/>
      <c r="EL10" s="1989"/>
      <c r="EM10" s="1998"/>
      <c r="EN10" s="1999"/>
    </row>
    <row r="11" spans="1:156" ht="21" customHeight="1">
      <c r="A11" s="1637" t="s">
        <v>20</v>
      </c>
      <c r="B11" s="1638" t="s">
        <v>1647</v>
      </c>
      <c r="C11" s="1643"/>
      <c r="D11" s="1641"/>
      <c r="E11" s="1641"/>
      <c r="F11" s="1641"/>
      <c r="G11" s="1641"/>
      <c r="H11" s="1641"/>
      <c r="I11" s="1641"/>
      <c r="J11" s="1641"/>
      <c r="K11" s="1641"/>
      <c r="L11" s="1641"/>
      <c r="M11" s="1641"/>
      <c r="N11" s="1642"/>
      <c r="O11" s="1993"/>
      <c r="P11" s="1994"/>
      <c r="Q11" s="1989"/>
      <c r="R11" s="1989"/>
      <c r="S11" s="1989"/>
      <c r="T11" s="1989"/>
      <c r="U11" s="1989"/>
      <c r="V11" s="1989"/>
      <c r="W11" s="1989"/>
      <c r="X11" s="1995"/>
      <c r="Y11" s="1993"/>
      <c r="Z11" s="1994"/>
      <c r="AA11" s="1989"/>
      <c r="AB11" s="1989"/>
      <c r="AC11" s="1989"/>
      <c r="AD11" s="1989"/>
      <c r="AE11" s="1989"/>
      <c r="AF11" s="1989"/>
      <c r="AG11" s="1989"/>
      <c r="AH11" s="1995"/>
      <c r="AI11" s="1993"/>
      <c r="AJ11" s="1994"/>
      <c r="AK11" s="1989"/>
      <c r="AL11" s="1989"/>
      <c r="AM11" s="1989"/>
      <c r="AN11" s="1989"/>
      <c r="AO11" s="1989"/>
      <c r="AP11" s="1989"/>
      <c r="AQ11" s="1989"/>
      <c r="AR11" s="1995"/>
      <c r="AS11" s="1993"/>
      <c r="AT11" s="1994"/>
      <c r="AU11" s="1989"/>
      <c r="AV11" s="1989"/>
      <c r="AW11" s="1989"/>
      <c r="AX11" s="1989"/>
      <c r="AY11" s="1989"/>
      <c r="AZ11" s="1989"/>
      <c r="BA11" s="1989"/>
      <c r="BB11" s="1995"/>
      <c r="BC11" s="1993"/>
      <c r="BD11" s="1994"/>
      <c r="BE11" s="1989"/>
      <c r="BF11" s="1989"/>
      <c r="BG11" s="1989"/>
      <c r="BH11" s="1989"/>
      <c r="BI11" s="1989"/>
      <c r="BJ11" s="1989"/>
      <c r="BK11" s="1989"/>
      <c r="BL11" s="1995"/>
      <c r="BM11" s="1993"/>
      <c r="BN11" s="1994"/>
      <c r="BO11" s="1989"/>
      <c r="BP11" s="1989"/>
      <c r="BQ11" s="1989"/>
      <c r="BR11" s="1989"/>
      <c r="BS11" s="1989"/>
      <c r="BT11" s="1989"/>
      <c r="BU11" s="1989"/>
      <c r="BV11" s="1995"/>
      <c r="BW11" s="1993"/>
      <c r="BX11" s="1994"/>
      <c r="BY11" s="1989"/>
      <c r="BZ11" s="1989"/>
      <c r="CA11" s="1989"/>
      <c r="CB11" s="1989"/>
      <c r="CC11" s="1989"/>
      <c r="CD11" s="1989"/>
      <c r="CE11" s="1989"/>
      <c r="CF11" s="1995"/>
      <c r="CG11" s="1993"/>
      <c r="CH11" s="1994"/>
      <c r="CI11" s="1989"/>
      <c r="CJ11" s="1989"/>
      <c r="CK11" s="1989"/>
      <c r="CL11" s="1989"/>
      <c r="CM11" s="1989"/>
      <c r="CN11" s="1989"/>
      <c r="CO11" s="1989"/>
      <c r="CP11" s="1995"/>
      <c r="CQ11" s="1993"/>
      <c r="CR11" s="1994"/>
      <c r="CS11" s="1989"/>
      <c r="CT11" s="1989"/>
      <c r="CU11" s="1989"/>
      <c r="CV11" s="1989"/>
      <c r="CW11" s="1989"/>
      <c r="CX11" s="1989"/>
      <c r="CY11" s="1989"/>
      <c r="CZ11" s="1995"/>
      <c r="DA11" s="1993"/>
      <c r="DB11" s="1994"/>
      <c r="DC11" s="1989"/>
      <c r="DD11" s="1989"/>
      <c r="DE11" s="1989"/>
      <c r="DF11" s="1989"/>
      <c r="DG11" s="1989"/>
      <c r="DH11" s="1989"/>
      <c r="DI11" s="1989"/>
      <c r="DJ11" s="1995"/>
      <c r="DK11" s="1993"/>
      <c r="DL11" s="1994"/>
      <c r="DM11" s="1989"/>
      <c r="DN11" s="1989"/>
      <c r="DO11" s="1989"/>
      <c r="DP11" s="1989"/>
      <c r="DQ11" s="1989"/>
      <c r="DR11" s="1989"/>
      <c r="DS11" s="1989"/>
      <c r="DT11" s="1996"/>
      <c r="DU11" s="1988"/>
      <c r="DV11" s="1988"/>
      <c r="DW11" s="1989"/>
      <c r="DX11" s="1989"/>
      <c r="DY11" s="1989"/>
      <c r="DZ11" s="1989"/>
      <c r="EA11" s="1989"/>
      <c r="EB11" s="1989"/>
      <c r="EC11" s="1989"/>
      <c r="ED11" s="1989"/>
      <c r="EE11" s="1997"/>
      <c r="EF11" s="1997"/>
      <c r="EG11" s="1989"/>
      <c r="EH11" s="1989"/>
      <c r="EI11" s="1989"/>
      <c r="EJ11" s="1989"/>
      <c r="EK11" s="1989"/>
      <c r="EL11" s="1989"/>
      <c r="EM11" s="1998"/>
      <c r="EN11" s="1999"/>
    </row>
    <row r="12" spans="1:156" ht="21" customHeight="1">
      <c r="A12" s="1652">
        <v>1</v>
      </c>
      <c r="B12" s="1644" t="s">
        <v>1648</v>
      </c>
      <c r="C12" s="1645">
        <v>630</v>
      </c>
      <c r="D12" s="1646">
        <f t="shared" ref="D12:D22" si="0">H12/C12*100</f>
        <v>100</v>
      </c>
      <c r="E12" s="1646">
        <v>84.12</v>
      </c>
      <c r="F12" s="1646">
        <v>8.5</v>
      </c>
      <c r="G12" s="1640"/>
      <c r="H12" s="1647">
        <v>630</v>
      </c>
      <c r="I12" s="1648" t="s">
        <v>1649</v>
      </c>
      <c r="J12" s="1649">
        <v>2</v>
      </c>
      <c r="K12" s="1648"/>
      <c r="L12" s="1640"/>
      <c r="M12" s="1640"/>
      <c r="N12" s="1642"/>
      <c r="O12" s="2000" t="e">
        <f>#REF!</f>
        <v>#REF!</v>
      </c>
      <c r="P12" s="2003">
        <f>IFERROR(Q12/O12*10,0)</f>
        <v>0</v>
      </c>
      <c r="Q12" s="1989" t="e">
        <f>#REF!/10^7</f>
        <v>#REF!</v>
      </c>
      <c r="R12" s="2003">
        <f>IFERROR($S12/O12*10,0)</f>
        <v>0</v>
      </c>
      <c r="S12" s="1989" t="e">
        <f>#REF!/10^7</f>
        <v>#REF!</v>
      </c>
      <c r="T12" s="2003">
        <f>IFERROR(U12/$O12*10,0)</f>
        <v>0</v>
      </c>
      <c r="U12" s="1989" t="e">
        <f>#REF!/10^7</f>
        <v>#REF!</v>
      </c>
      <c r="V12" s="1989" t="e">
        <f>#REF!/10^7</f>
        <v>#REF!</v>
      </c>
      <c r="W12" s="1989">
        <f>IFERROR(X12/(O12)*10,0)</f>
        <v>0</v>
      </c>
      <c r="X12" s="1999" t="e">
        <f>Q12+S12+U12+V12</f>
        <v>#REF!</v>
      </c>
      <c r="Y12" s="1993" t="e">
        <f>#REF!</f>
        <v>#REF!</v>
      </c>
      <c r="Z12" s="2003">
        <f>IFERROR(AA12/$Y12*10,0)</f>
        <v>0</v>
      </c>
      <c r="AA12" s="1989" t="e">
        <f>#REF!/10^7</f>
        <v>#REF!</v>
      </c>
      <c r="AB12" s="2003">
        <f>IFERROR(AC12/$Y12*10,0)</f>
        <v>0</v>
      </c>
      <c r="AC12" s="1989" t="e">
        <f>#REF!/10^7</f>
        <v>#REF!</v>
      </c>
      <c r="AD12" s="2003">
        <f>IFERROR(AE12/$Y12*10,0)</f>
        <v>0</v>
      </c>
      <c r="AE12" s="1989" t="e">
        <f>#REF!/10^7</f>
        <v>#REF!</v>
      </c>
      <c r="AF12" s="1989" t="e">
        <f>#REF!/10^7</f>
        <v>#REF!</v>
      </c>
      <c r="AG12" s="2002" t="e">
        <f>IF(Y12=0,0,(AH12/(Y12)*10))</f>
        <v>#REF!</v>
      </c>
      <c r="AH12" s="1999" t="e">
        <f t="shared" ref="AH12:AH24" si="1">AA12+AC12+AE12+AF12</f>
        <v>#REF!</v>
      </c>
      <c r="AI12" s="1993" t="e">
        <f>#REF!</f>
        <v>#REF!</v>
      </c>
      <c r="AJ12" s="2003">
        <f>IFERROR(AK12/$AI12*10,0)</f>
        <v>0</v>
      </c>
      <c r="AK12" s="1989" t="e">
        <f>#REF!/10^7</f>
        <v>#REF!</v>
      </c>
      <c r="AL12" s="2003">
        <f t="shared" ref="AJ12:AN76" si="2">IFERROR(AM12/$AI12*10,0)</f>
        <v>0</v>
      </c>
      <c r="AM12" s="1989" t="e">
        <f>#REF!/10^7</f>
        <v>#REF!</v>
      </c>
      <c r="AN12" s="2003">
        <f t="shared" si="2"/>
        <v>0</v>
      </c>
      <c r="AO12" s="1989" t="e">
        <f>#REF!/10^7</f>
        <v>#REF!</v>
      </c>
      <c r="AP12" s="1989" t="e">
        <f>#REF!/10^7</f>
        <v>#REF!</v>
      </c>
      <c r="AQ12" s="2002" t="e">
        <f>IF(AI12=0,0,(AR12/(AI12)*10))</f>
        <v>#REF!</v>
      </c>
      <c r="AR12" s="1999" t="e">
        <f t="shared" ref="AR12:AR24" si="3">AK12+AM12+AO12+AP12</f>
        <v>#REF!</v>
      </c>
      <c r="AS12" s="1993" t="e">
        <f>#REF!</f>
        <v>#REF!</v>
      </c>
      <c r="AT12" s="2003">
        <f>IFERROR(AU12/$AS12*10,0)</f>
        <v>0</v>
      </c>
      <c r="AU12" s="1989" t="e">
        <f>#REF!/10^7</f>
        <v>#REF!</v>
      </c>
      <c r="AV12" s="2003">
        <f>IFERROR(AW12/$AS12*10,0)</f>
        <v>0</v>
      </c>
      <c r="AW12" s="1989" t="e">
        <f>#REF!/10^7</f>
        <v>#REF!</v>
      </c>
      <c r="AX12" s="2003">
        <f>IFERROR(AY12/$AS12*10,0)</f>
        <v>0</v>
      </c>
      <c r="AY12" s="1989" t="e">
        <f>#REF!/10^7</f>
        <v>#REF!</v>
      </c>
      <c r="AZ12" s="1989" t="e">
        <f>#REF!/10^7</f>
        <v>#REF!</v>
      </c>
      <c r="BA12" s="2002" t="e">
        <f>IF(AS12=0,0,(BB12/(AS12)*10))</f>
        <v>#REF!</v>
      </c>
      <c r="BB12" s="1999" t="e">
        <f t="shared" ref="BB12:BB24" si="4">AU12+AW12+AY12+AZ12</f>
        <v>#REF!</v>
      </c>
      <c r="BC12" s="1993" t="e">
        <f>#REF!</f>
        <v>#REF!</v>
      </c>
      <c r="BD12" s="2003">
        <f>IFERROR(BE12/$BC12*10,0)</f>
        <v>0</v>
      </c>
      <c r="BE12" s="1989" t="e">
        <f>#REF!/10^7</f>
        <v>#REF!</v>
      </c>
      <c r="BF12" s="2003">
        <f>IFERROR(BG12/$BC12*10,0)</f>
        <v>0</v>
      </c>
      <c r="BG12" s="1989" t="e">
        <f>#REF!/10^7</f>
        <v>#REF!</v>
      </c>
      <c r="BH12" s="2003">
        <f>IFERROR(BI12/$BC12*10,0)</f>
        <v>0</v>
      </c>
      <c r="BI12" s="1989" t="e">
        <f>#REF!/10^7</f>
        <v>#REF!</v>
      </c>
      <c r="BJ12" s="1989" t="e">
        <f>#REF!/10^7</f>
        <v>#REF!</v>
      </c>
      <c r="BK12" s="2002" t="e">
        <f>IF(BC12=0,0,(BL12/(BC12)*10))</f>
        <v>#REF!</v>
      </c>
      <c r="BL12" s="1999" t="e">
        <f>BE12+BG12+BI12+BJ12</f>
        <v>#REF!</v>
      </c>
      <c r="BM12" s="1993" t="e">
        <f>#REF!</f>
        <v>#REF!</v>
      </c>
      <c r="BN12" s="2003">
        <f>IFERROR(BO12/$BM12*10,0)</f>
        <v>0</v>
      </c>
      <c r="BO12" s="1989" t="e">
        <f>#REF!/10^7</f>
        <v>#REF!</v>
      </c>
      <c r="BP12" s="2003">
        <f>IFERROR(BQ12/$BM12*10,0)</f>
        <v>0</v>
      </c>
      <c r="BQ12" s="1989" t="e">
        <f>#REF!/10^7</f>
        <v>#REF!</v>
      </c>
      <c r="BR12" s="2003">
        <f>IFERROR(BS12/$BM12*10,0)</f>
        <v>0</v>
      </c>
      <c r="BS12" s="1989" t="e">
        <f>#REF!/10^7</f>
        <v>#REF!</v>
      </c>
      <c r="BT12" s="1989" t="e">
        <f>#REF!/10^7</f>
        <v>#REF!</v>
      </c>
      <c r="BU12" s="2002" t="e">
        <f>IF(BM12=0,0,(BV12/(BM12)*10))</f>
        <v>#REF!</v>
      </c>
      <c r="BV12" s="1999" t="e">
        <f>BO12+BQ12+BS12+BT12</f>
        <v>#REF!</v>
      </c>
      <c r="BW12" s="1993" t="e">
        <f>#REF!</f>
        <v>#REF!</v>
      </c>
      <c r="BX12" s="2003">
        <f>IFERROR(BY12/$BW12*10,0)</f>
        <v>0</v>
      </c>
      <c r="BY12" s="1989" t="e">
        <f>#REF!/10^7</f>
        <v>#REF!</v>
      </c>
      <c r="BZ12" s="2003">
        <f>IFERROR(CA12/$BW12*10,0)</f>
        <v>0</v>
      </c>
      <c r="CA12" s="1989" t="e">
        <f>#REF!/10^7</f>
        <v>#REF!</v>
      </c>
      <c r="CB12" s="2003">
        <f>IFERROR(CC12/$BW12*10,0)</f>
        <v>0</v>
      </c>
      <c r="CC12" s="1989" t="e">
        <f>#REF!/10^7</f>
        <v>#REF!</v>
      </c>
      <c r="CD12" s="1989" t="e">
        <f>#REF!/10^7</f>
        <v>#REF!</v>
      </c>
      <c r="CE12" s="2002" t="e">
        <f>IF(BW12=0,0,(CF12/(BW12)*10))</f>
        <v>#REF!</v>
      </c>
      <c r="CF12" s="1999" t="e">
        <f>BY12+CA12+CC12+CD12</f>
        <v>#REF!</v>
      </c>
      <c r="CG12" s="1993" t="e">
        <f>#REF!</f>
        <v>#REF!</v>
      </c>
      <c r="CH12" s="2003">
        <f>IFERROR(CI12/$CG12*10,0)</f>
        <v>0</v>
      </c>
      <c r="CI12" s="1989" t="e">
        <f>#REF!/10^7</f>
        <v>#REF!</v>
      </c>
      <c r="CJ12" s="2003">
        <f>IFERROR(CK12/$CG12*10,0)</f>
        <v>0</v>
      </c>
      <c r="CK12" s="1989" t="e">
        <f>#REF!/10^7</f>
        <v>#REF!</v>
      </c>
      <c r="CL12" s="2003">
        <f>IFERROR(CM12/$CG12*10,0)</f>
        <v>0</v>
      </c>
      <c r="CM12" s="1989" t="e">
        <f>#REF!/10^7</f>
        <v>#REF!</v>
      </c>
      <c r="CN12" s="1989" t="e">
        <f>#REF!/10^7</f>
        <v>#REF!</v>
      </c>
      <c r="CO12" s="2002" t="e">
        <f>IF(CG12=0,0,(CP12/(CG12)*10))</f>
        <v>#REF!</v>
      </c>
      <c r="CP12" s="1999" t="e">
        <f>CI12+CK12+CM12+CN12</f>
        <v>#REF!</v>
      </c>
      <c r="CQ12" s="1993" t="e">
        <f>#REF!</f>
        <v>#REF!</v>
      </c>
      <c r="CR12" s="2003">
        <f>IFERROR(CS12/$CQ12*10,0)</f>
        <v>0</v>
      </c>
      <c r="CS12" s="1989" t="e">
        <f>#REF!/10^7</f>
        <v>#REF!</v>
      </c>
      <c r="CT12" s="2003">
        <f>IFERROR(CU12/$CQ12*10,0)</f>
        <v>0</v>
      </c>
      <c r="CU12" s="1989" t="e">
        <f>#REF!/10^7</f>
        <v>#REF!</v>
      </c>
      <c r="CV12" s="2003">
        <f>IFERROR(CW12/$CQ12*10,0)</f>
        <v>0</v>
      </c>
      <c r="CW12" s="1989" t="e">
        <f>#REF!/10^7</f>
        <v>#REF!</v>
      </c>
      <c r="CX12" s="1989" t="e">
        <f>#REF!/10^7</f>
        <v>#REF!</v>
      </c>
      <c r="CY12" s="2002" t="e">
        <f>IF(CQ12=0,0,(CZ12/(CQ12)*10))</f>
        <v>#REF!</v>
      </c>
      <c r="CZ12" s="1999" t="e">
        <f>CS12+CU12+CW12+CX12</f>
        <v>#REF!</v>
      </c>
      <c r="DA12" s="1993" t="e">
        <f>#REF!</f>
        <v>#REF!</v>
      </c>
      <c r="DB12" s="2003">
        <f>IFERROR(DC12/$DA12*10,0)</f>
        <v>0</v>
      </c>
      <c r="DC12" s="1989" t="e">
        <f>#REF!/10^7</f>
        <v>#REF!</v>
      </c>
      <c r="DD12" s="2003">
        <f>IFERROR(DE12/$DA12*10,0)</f>
        <v>0</v>
      </c>
      <c r="DE12" s="1989" t="e">
        <f>#REF!/10^7</f>
        <v>#REF!</v>
      </c>
      <c r="DF12" s="2003">
        <f>IFERROR(DG12/$DA12*10,0)</f>
        <v>0</v>
      </c>
      <c r="DG12" s="1989" t="e">
        <f>#REF!/10^7</f>
        <v>#REF!</v>
      </c>
      <c r="DH12" s="1989" t="e">
        <f>#REF!/10^7</f>
        <v>#REF!</v>
      </c>
      <c r="DI12" s="2002" t="e">
        <f>IF(DA12=0,0,(DJ12/(DA12)*10))</f>
        <v>#REF!</v>
      </c>
      <c r="DJ12" s="1999" t="e">
        <f>DC12+DE12+DG12+DH12</f>
        <v>#REF!</v>
      </c>
      <c r="DK12" s="1993" t="e">
        <f>#REF!</f>
        <v>#REF!</v>
      </c>
      <c r="DL12" s="2003">
        <f>IFERROR(DM12/$DK12*10,0)</f>
        <v>0</v>
      </c>
      <c r="DM12" s="1989" t="e">
        <f>#REF!/10^7</f>
        <v>#REF!</v>
      </c>
      <c r="DN12" s="2003">
        <f>IFERROR(DO12/$DK12*10,0)</f>
        <v>0</v>
      </c>
      <c r="DO12" s="1989" t="e">
        <f>#REF!/10^7</f>
        <v>#REF!</v>
      </c>
      <c r="DP12" s="2003">
        <f>IFERROR(DQ12/$DK12*10,0)</f>
        <v>0</v>
      </c>
      <c r="DQ12" s="1989" t="e">
        <f>#REF!/10^7</f>
        <v>#REF!</v>
      </c>
      <c r="DR12" s="1989" t="e">
        <f>#REF!/10^7</f>
        <v>#REF!</v>
      </c>
      <c r="DS12" s="2002" t="e">
        <f>IF(DK12=0,0,(DT12/(DK12)*10))</f>
        <v>#REF!</v>
      </c>
      <c r="DT12" s="2004" t="e">
        <f>DM12+DO12+DQ12+DR12</f>
        <v>#REF!</v>
      </c>
      <c r="DU12" s="1988" t="e">
        <f>#REF!</f>
        <v>#REF!</v>
      </c>
      <c r="DV12" s="2003">
        <f>IFERROR(DW12/$DU12*10,0)</f>
        <v>0</v>
      </c>
      <c r="DW12" s="1989" t="e">
        <f>#REF!/10^7</f>
        <v>#REF!</v>
      </c>
      <c r="DX12" s="2003">
        <f>IFERROR(DY12/$DU12*10,0)</f>
        <v>0</v>
      </c>
      <c r="DY12" s="1989" t="e">
        <f>#REF!/10^7</f>
        <v>#REF!</v>
      </c>
      <c r="DZ12" s="2003">
        <f>IFERROR(EA12/$DU12*10,0)</f>
        <v>0</v>
      </c>
      <c r="EA12" s="1989" t="e">
        <f>#REF!/10^7</f>
        <v>#REF!</v>
      </c>
      <c r="EB12" s="1989" t="e">
        <f>#REF!/10^7</f>
        <v>#REF!</v>
      </c>
      <c r="EC12" s="2002" t="e">
        <f>IF(DU12=0,0,(ED12/(DU12)*10))</f>
        <v>#REF!</v>
      </c>
      <c r="ED12" s="1998" t="e">
        <f>DW12+DY12+EA12+EB12</f>
        <v>#REF!</v>
      </c>
      <c r="EE12" s="2005" t="e">
        <f t="shared" ref="EE12:EE25" si="5">O12+Y12+AI12+AS12+BC12+BM12+BW12+CG12+CQ12+DA12+DK12+DU12</f>
        <v>#REF!</v>
      </c>
      <c r="EF12" s="2003">
        <f>IFERROR(EG12/$EE12*10,0)</f>
        <v>0</v>
      </c>
      <c r="EG12" s="1989" t="e">
        <f t="shared" ref="EG12:EG25" si="6">Q12+AA12+AK12+AU12+BE12+BO12+BY12+CI12+CS12+DC12+DM12+DW12</f>
        <v>#REF!</v>
      </c>
      <c r="EH12" s="2003">
        <f>IFERROR(EI12/$EE12*10,0)</f>
        <v>0</v>
      </c>
      <c r="EI12" s="1989" t="e">
        <f t="shared" ref="EI12:EI25" si="7">S12+AC12+AM12+AW12+BG12+BQ12+CA12+CK12+CU12+DE12+DO12+DY12</f>
        <v>#REF!</v>
      </c>
      <c r="EJ12" s="2003">
        <f>IFERROR(EK12/$EE12*10,0)</f>
        <v>0</v>
      </c>
      <c r="EK12" s="1989" t="e">
        <f t="shared" ref="EK12:EL25" si="8">U12+AE12+AO12+AY12+BI12+BS12+CC12+CM12+CW12+DG12+DQ12+EA12</f>
        <v>#REF!</v>
      </c>
      <c r="EL12" s="1989" t="e">
        <f t="shared" si="8"/>
        <v>#REF!</v>
      </c>
      <c r="EM12" s="2006" t="e">
        <f>IF(EE12=0,0,(EN12/(EE12)*10))</f>
        <v>#REF!</v>
      </c>
      <c r="EN12" s="1999" t="e">
        <f>EG12+EI12+EK12+EL12</f>
        <v>#REF!</v>
      </c>
      <c r="EP12" s="1613" t="e">
        <f>EA12-#REF!/10^7</f>
        <v>#REF!</v>
      </c>
      <c r="EW12" s="1611" t="s">
        <v>1649</v>
      </c>
      <c r="EX12" s="1612" t="s">
        <v>1649</v>
      </c>
      <c r="EZ12" s="1650">
        <f>IFERROR(EI12/(EE12*10^6),0)</f>
        <v>0</v>
      </c>
    </row>
    <row r="13" spans="1:156" ht="21" customHeight="1">
      <c r="A13" s="1652">
        <v>2</v>
      </c>
      <c r="B13" s="1644" t="s">
        <v>1650</v>
      </c>
      <c r="C13" s="1645">
        <v>1000</v>
      </c>
      <c r="D13" s="1646">
        <f t="shared" si="0"/>
        <v>100</v>
      </c>
      <c r="E13" s="1646">
        <v>82.52</v>
      </c>
      <c r="F13" s="1646">
        <v>6.55</v>
      </c>
      <c r="G13" s="1640"/>
      <c r="H13" s="1647">
        <v>1000</v>
      </c>
      <c r="I13" s="1648" t="s">
        <v>1649</v>
      </c>
      <c r="J13" s="1649">
        <v>2</v>
      </c>
      <c r="K13" s="1648"/>
      <c r="L13" s="1640"/>
      <c r="M13" s="1640"/>
      <c r="N13" s="1642"/>
      <c r="O13" s="2000" t="e">
        <f>#REF!</f>
        <v>#REF!</v>
      </c>
      <c r="P13" s="2003">
        <f t="shared" ref="P13:P76" si="9">IFERROR(Q13/O13*10,0)</f>
        <v>0</v>
      </c>
      <c r="Q13" s="1989" t="e">
        <f>#REF!/10^7</f>
        <v>#REF!</v>
      </c>
      <c r="R13" s="2003">
        <f t="shared" ref="R13:R76" si="10">IFERROR($S13/O13*10,0)</f>
        <v>0</v>
      </c>
      <c r="S13" s="1989" t="e">
        <f>#REF!/10^7</f>
        <v>#REF!</v>
      </c>
      <c r="T13" s="2003">
        <f t="shared" ref="T13:T76" si="11">IFERROR(U13/$O13*10,0)</f>
        <v>0</v>
      </c>
      <c r="U13" s="1989" t="e">
        <f>#REF!/10^7</f>
        <v>#REF!</v>
      </c>
      <c r="V13" s="1989" t="e">
        <f>#REF!/10^7</f>
        <v>#REF!</v>
      </c>
      <c r="W13" s="1989">
        <f t="shared" ref="W13:W76" si="12">IFERROR(X13/(O13)*10,0)</f>
        <v>0</v>
      </c>
      <c r="X13" s="1999" t="e">
        <f t="shared" ref="X13:X25" si="13">Q13+S13+U13+V13</f>
        <v>#REF!</v>
      </c>
      <c r="Y13" s="1993" t="e">
        <f>#REF!</f>
        <v>#REF!</v>
      </c>
      <c r="Z13" s="2003">
        <f t="shared" ref="Z13:Z76" si="14">IFERROR(AA13/$Y13*10,0)</f>
        <v>0</v>
      </c>
      <c r="AA13" s="1989" t="e">
        <f>#REF!/10^7</f>
        <v>#REF!</v>
      </c>
      <c r="AB13" s="2003">
        <f t="shared" ref="AB13:AB76" si="15">IFERROR(AC13/$Y13*10,0)</f>
        <v>0</v>
      </c>
      <c r="AC13" s="1989" t="e">
        <f>#REF!/10^7</f>
        <v>#REF!</v>
      </c>
      <c r="AD13" s="2003">
        <f t="shared" ref="AD13:AD76" si="16">IFERROR(AE13/$Y13*10,0)</f>
        <v>0</v>
      </c>
      <c r="AE13" s="1989" t="e">
        <f>#REF!/10^7</f>
        <v>#REF!</v>
      </c>
      <c r="AF13" s="1989" t="e">
        <f>#REF!/10^7</f>
        <v>#REF!</v>
      </c>
      <c r="AG13" s="2002" t="e">
        <f t="shared" ref="AG13:AG76" si="17">IF(Y13=0,0,(AH13/(Y13)*10))</f>
        <v>#REF!</v>
      </c>
      <c r="AH13" s="1999" t="e">
        <f t="shared" si="1"/>
        <v>#REF!</v>
      </c>
      <c r="AI13" s="1993" t="e">
        <f>#REF!</f>
        <v>#REF!</v>
      </c>
      <c r="AJ13" s="2003">
        <f t="shared" ref="AJ13:AJ23" si="18">IFERROR(AK13/$AI13*10,0)</f>
        <v>0</v>
      </c>
      <c r="AK13" s="1989" t="e">
        <f>#REF!/10^7</f>
        <v>#REF!</v>
      </c>
      <c r="AL13" s="2003">
        <f t="shared" si="2"/>
        <v>0</v>
      </c>
      <c r="AM13" s="1989" t="e">
        <f>#REF!/10^7</f>
        <v>#REF!</v>
      </c>
      <c r="AN13" s="2003">
        <f t="shared" si="2"/>
        <v>0</v>
      </c>
      <c r="AO13" s="1989" t="e">
        <f>#REF!/10^7</f>
        <v>#REF!</v>
      </c>
      <c r="AP13" s="1989" t="e">
        <f>#REF!/10^7</f>
        <v>#REF!</v>
      </c>
      <c r="AQ13" s="2002" t="e">
        <f t="shared" ref="AQ13:AQ76" si="19">IF(AI13=0,0,(AR13/(AI13)*10))</f>
        <v>#REF!</v>
      </c>
      <c r="AR13" s="1999" t="e">
        <f t="shared" si="3"/>
        <v>#REF!</v>
      </c>
      <c r="AS13" s="1993" t="e">
        <f>#REF!</f>
        <v>#REF!</v>
      </c>
      <c r="AT13" s="2003">
        <f t="shared" ref="AT13:AT76" si="20">IFERROR(AU13/$AS13*10,0)</f>
        <v>0</v>
      </c>
      <c r="AU13" s="1989" t="e">
        <f>#REF!/10^7</f>
        <v>#REF!</v>
      </c>
      <c r="AV13" s="2003">
        <f t="shared" ref="AV13:AV76" si="21">IFERROR(AW13/$AS13*10,0)</f>
        <v>0</v>
      </c>
      <c r="AW13" s="1989" t="e">
        <f>#REF!/10^7</f>
        <v>#REF!</v>
      </c>
      <c r="AX13" s="2003">
        <f t="shared" ref="AX13:AX76" si="22">IFERROR(AY13/$AS13*10,0)</f>
        <v>0</v>
      </c>
      <c r="AY13" s="1989" t="e">
        <f>#REF!/10^7</f>
        <v>#REF!</v>
      </c>
      <c r="AZ13" s="1989" t="e">
        <f>#REF!/10^7</f>
        <v>#REF!</v>
      </c>
      <c r="BA13" s="2002" t="e">
        <f t="shared" ref="BA13:BA76" si="23">IF(AS13=0,0,(BB13/(AS13)*10))</f>
        <v>#REF!</v>
      </c>
      <c r="BB13" s="1999" t="e">
        <f t="shared" si="4"/>
        <v>#REF!</v>
      </c>
      <c r="BC13" s="1993" t="e">
        <f>#REF!</f>
        <v>#REF!</v>
      </c>
      <c r="BD13" s="2003">
        <f t="shared" ref="BD13:BD76" si="24">IFERROR(BE13/$BC13*10,0)</f>
        <v>0</v>
      </c>
      <c r="BE13" s="1989" t="e">
        <f>#REF!/10^7</f>
        <v>#REF!</v>
      </c>
      <c r="BF13" s="2003">
        <f t="shared" ref="BF13:BF76" si="25">IFERROR(BG13/$BC13*10,0)</f>
        <v>0</v>
      </c>
      <c r="BG13" s="1989" t="e">
        <f>#REF!/10^7</f>
        <v>#REF!</v>
      </c>
      <c r="BH13" s="2003">
        <f t="shared" ref="BH13:BH76" si="26">IFERROR(BI13/$BC13*10,0)</f>
        <v>0</v>
      </c>
      <c r="BI13" s="1989" t="e">
        <f>#REF!/10^7</f>
        <v>#REF!</v>
      </c>
      <c r="BJ13" s="1989" t="e">
        <f>#REF!/10^7</f>
        <v>#REF!</v>
      </c>
      <c r="BK13" s="2002" t="e">
        <f t="shared" ref="BK13:BK76" si="27">IF(BC13=0,0,(BL13/(BC13)*10))</f>
        <v>#REF!</v>
      </c>
      <c r="BL13" s="1999" t="e">
        <f t="shared" ref="BL13:BL24" si="28">BE13+BG13+BI13+BJ13</f>
        <v>#REF!</v>
      </c>
      <c r="BM13" s="1993" t="e">
        <f>#REF!</f>
        <v>#REF!</v>
      </c>
      <c r="BN13" s="2003">
        <f t="shared" ref="BN13:BN76" si="29">IFERROR(BO13/$BM13*10,0)</f>
        <v>0</v>
      </c>
      <c r="BO13" s="1989" t="e">
        <f>#REF!/10^7</f>
        <v>#REF!</v>
      </c>
      <c r="BP13" s="2003">
        <f t="shared" ref="BP13:BP76" si="30">IFERROR(BQ13/$BM13*10,0)</f>
        <v>0</v>
      </c>
      <c r="BQ13" s="1989" t="e">
        <f>#REF!/10^7</f>
        <v>#REF!</v>
      </c>
      <c r="BR13" s="2003">
        <f t="shared" ref="BR13:BR76" si="31">IFERROR(BS13/$BM13*10,0)</f>
        <v>0</v>
      </c>
      <c r="BS13" s="1989" t="e">
        <f>#REF!/10^7</f>
        <v>#REF!</v>
      </c>
      <c r="BT13" s="1989" t="e">
        <f>#REF!/10^7</f>
        <v>#REF!</v>
      </c>
      <c r="BU13" s="2002" t="e">
        <f t="shared" ref="BU13:BU76" si="32">IF(BM13=0,0,(BV13/(BM13)*10))</f>
        <v>#REF!</v>
      </c>
      <c r="BV13" s="1999" t="e">
        <f t="shared" ref="BV13:BV24" si="33">BO13+BQ13+BS13+BT13</f>
        <v>#REF!</v>
      </c>
      <c r="BW13" s="1993" t="e">
        <f>#REF!</f>
        <v>#REF!</v>
      </c>
      <c r="BX13" s="2003">
        <f t="shared" ref="BX13:BX76" si="34">IFERROR(BY13/$BW13*10,0)</f>
        <v>0</v>
      </c>
      <c r="BY13" s="1989" t="e">
        <f>#REF!/10^7</f>
        <v>#REF!</v>
      </c>
      <c r="BZ13" s="2003">
        <f t="shared" ref="BZ13:BZ76" si="35">IFERROR(CA13/$BW13*10,0)</f>
        <v>0</v>
      </c>
      <c r="CA13" s="1989" t="e">
        <f>#REF!/10^7</f>
        <v>#REF!</v>
      </c>
      <c r="CB13" s="2003">
        <f t="shared" ref="CB13:CB76" si="36">IFERROR(CC13/$BW13*10,0)</f>
        <v>0</v>
      </c>
      <c r="CC13" s="1989" t="e">
        <f>#REF!/10^7</f>
        <v>#REF!</v>
      </c>
      <c r="CD13" s="1989" t="e">
        <f>#REF!/10^7</f>
        <v>#REF!</v>
      </c>
      <c r="CE13" s="2002" t="e">
        <f t="shared" ref="CE13:CE76" si="37">IF(BW13=0,0,(CF13/(BW13)*10))</f>
        <v>#REF!</v>
      </c>
      <c r="CF13" s="1999" t="e">
        <f t="shared" ref="CF13:CF24" si="38">BY13+CA13+CC13+CD13</f>
        <v>#REF!</v>
      </c>
      <c r="CG13" s="1993" t="e">
        <f>#REF!</f>
        <v>#REF!</v>
      </c>
      <c r="CH13" s="2003">
        <f t="shared" ref="CH13:CH76" si="39">IFERROR(CI13/$CG13*10,0)</f>
        <v>0</v>
      </c>
      <c r="CI13" s="1989" t="e">
        <f>#REF!/10^7</f>
        <v>#REF!</v>
      </c>
      <c r="CJ13" s="2003">
        <f t="shared" ref="CJ13:CJ76" si="40">IFERROR(CK13/$CG13*10,0)</f>
        <v>0</v>
      </c>
      <c r="CK13" s="1989" t="e">
        <f>#REF!/10^7</f>
        <v>#REF!</v>
      </c>
      <c r="CL13" s="2003">
        <f t="shared" ref="CL13:CL76" si="41">IFERROR(CM13/$CG13*10,0)</f>
        <v>0</v>
      </c>
      <c r="CM13" s="1989" t="e">
        <f>#REF!/10^7</f>
        <v>#REF!</v>
      </c>
      <c r="CN13" s="1989" t="e">
        <f>#REF!/10^7</f>
        <v>#REF!</v>
      </c>
      <c r="CO13" s="2002" t="e">
        <f t="shared" ref="CO13:CO76" si="42">IF(CG13=0,0,(CP13/(CG13)*10))</f>
        <v>#REF!</v>
      </c>
      <c r="CP13" s="1999" t="e">
        <f t="shared" ref="CP13:CP24" si="43">CI13+CK13+CM13+CN13</f>
        <v>#REF!</v>
      </c>
      <c r="CQ13" s="1993" t="e">
        <f>#REF!</f>
        <v>#REF!</v>
      </c>
      <c r="CR13" s="2003">
        <f t="shared" ref="CR13:CR76" si="44">IFERROR(CS13/$CQ13*10,0)</f>
        <v>0</v>
      </c>
      <c r="CS13" s="1989" t="e">
        <f>#REF!/10^7</f>
        <v>#REF!</v>
      </c>
      <c r="CT13" s="2003">
        <f t="shared" ref="CT13:CT76" si="45">IFERROR(CU13/$CQ13*10,0)</f>
        <v>0</v>
      </c>
      <c r="CU13" s="1989" t="e">
        <f>#REF!/10^7</f>
        <v>#REF!</v>
      </c>
      <c r="CV13" s="2003">
        <f t="shared" ref="CV13:CV76" si="46">IFERROR(CW13/$CQ13*10,0)</f>
        <v>0</v>
      </c>
      <c r="CW13" s="1989" t="e">
        <f>#REF!/10^7</f>
        <v>#REF!</v>
      </c>
      <c r="CX13" s="1989" t="e">
        <f>#REF!/10^7</f>
        <v>#REF!</v>
      </c>
      <c r="CY13" s="2002" t="e">
        <f t="shared" ref="CY13:CY76" si="47">IF(CQ13=0,0,(CZ13/(CQ13)*10))</f>
        <v>#REF!</v>
      </c>
      <c r="CZ13" s="1999" t="e">
        <f t="shared" ref="CZ13:CZ25" si="48">CS13+CU13+CW13+CX13</f>
        <v>#REF!</v>
      </c>
      <c r="DA13" s="1993" t="e">
        <f>#REF!</f>
        <v>#REF!</v>
      </c>
      <c r="DB13" s="2003">
        <f t="shared" ref="DB13:DB76" si="49">IFERROR(DC13/$DA13*10,0)</f>
        <v>0</v>
      </c>
      <c r="DC13" s="1989" t="e">
        <f>#REF!/10^7</f>
        <v>#REF!</v>
      </c>
      <c r="DD13" s="2003">
        <f t="shared" ref="DD13:DD76" si="50">IFERROR(DE13/$DA13*10,0)</f>
        <v>0</v>
      </c>
      <c r="DE13" s="1989" t="e">
        <f>#REF!/10^7</f>
        <v>#REF!</v>
      </c>
      <c r="DF13" s="2003">
        <f t="shared" ref="DF13:DF76" si="51">IFERROR(DG13/$DA13*10,0)</f>
        <v>0</v>
      </c>
      <c r="DG13" s="1989" t="e">
        <f>#REF!/10^7</f>
        <v>#REF!</v>
      </c>
      <c r="DH13" s="1989" t="e">
        <f>#REF!/10^7</f>
        <v>#REF!</v>
      </c>
      <c r="DI13" s="2002" t="e">
        <f t="shared" ref="DI13:DI76" si="52">IF(DA13=0,0,(DJ13/(DA13)*10))</f>
        <v>#REF!</v>
      </c>
      <c r="DJ13" s="1999" t="e">
        <f t="shared" ref="DJ13:DJ25" si="53">DC13+DE13+DG13+DH13</f>
        <v>#REF!</v>
      </c>
      <c r="DK13" s="1993" t="e">
        <f>#REF!</f>
        <v>#REF!</v>
      </c>
      <c r="DL13" s="2003">
        <f t="shared" ref="DL13:DL76" si="54">IFERROR(DM13/$DK13*10,0)</f>
        <v>0</v>
      </c>
      <c r="DM13" s="1989" t="e">
        <f>#REF!/10^7</f>
        <v>#REF!</v>
      </c>
      <c r="DN13" s="2003">
        <f t="shared" ref="DN13:DN76" si="55">IFERROR(DO13/$DK13*10,0)</f>
        <v>0</v>
      </c>
      <c r="DO13" s="1989" t="e">
        <f>#REF!/10^7</f>
        <v>#REF!</v>
      </c>
      <c r="DP13" s="2003">
        <f t="shared" ref="DP13:DP76" si="56">IFERROR(DQ13/$DK13*10,0)</f>
        <v>0</v>
      </c>
      <c r="DQ13" s="1989" t="e">
        <f>#REF!/10^7</f>
        <v>#REF!</v>
      </c>
      <c r="DR13" s="1989" t="e">
        <f>#REF!/10^7</f>
        <v>#REF!</v>
      </c>
      <c r="DS13" s="2002" t="e">
        <f t="shared" ref="DS13:DS76" si="57">IF(DK13=0,0,(DT13/(DK13)*10))</f>
        <v>#REF!</v>
      </c>
      <c r="DT13" s="2004" t="e">
        <f t="shared" ref="DT13:DT25" si="58">DM13+DO13+DQ13+DR13</f>
        <v>#REF!</v>
      </c>
      <c r="DU13" s="1988" t="e">
        <f>#REF!</f>
        <v>#REF!</v>
      </c>
      <c r="DV13" s="2003">
        <f t="shared" ref="DV13:DV76" si="59">IFERROR(DW13/$DU13*10,0)</f>
        <v>0</v>
      </c>
      <c r="DW13" s="1989" t="e">
        <f>#REF!/10^7</f>
        <v>#REF!</v>
      </c>
      <c r="DX13" s="2003">
        <f t="shared" ref="DX13:DX76" si="60">IFERROR(DY13/$DU13*10,0)</f>
        <v>0</v>
      </c>
      <c r="DY13" s="1989" t="e">
        <f>#REF!/10^7</f>
        <v>#REF!</v>
      </c>
      <c r="DZ13" s="2003">
        <f t="shared" ref="DZ13:DZ76" si="61">IFERROR(EA13/$DU13*10,0)</f>
        <v>0</v>
      </c>
      <c r="EA13" s="1989" t="e">
        <f>#REF!/10^7</f>
        <v>#REF!</v>
      </c>
      <c r="EB13" s="1989" t="e">
        <f>#REF!/10^7</f>
        <v>#REF!</v>
      </c>
      <c r="EC13" s="2002" t="e">
        <f t="shared" ref="EC13:EC76" si="62">IF(DU13=0,0,(ED13/(DU13)*10))</f>
        <v>#REF!</v>
      </c>
      <c r="ED13" s="1998" t="e">
        <f t="shared" ref="ED13:ED25" si="63">DW13+DY13+EA13+EB13</f>
        <v>#REF!</v>
      </c>
      <c r="EE13" s="2005" t="e">
        <f t="shared" si="5"/>
        <v>#REF!</v>
      </c>
      <c r="EF13" s="2003">
        <f t="shared" ref="EF13:EF76" si="64">IFERROR(EG13/$EE13*10,0)</f>
        <v>0</v>
      </c>
      <c r="EG13" s="1989" t="e">
        <f t="shared" si="6"/>
        <v>#REF!</v>
      </c>
      <c r="EH13" s="2003">
        <f t="shared" ref="EH13:EH76" si="65">IFERROR(EI13/$EE13*10,0)</f>
        <v>0</v>
      </c>
      <c r="EI13" s="1989" t="e">
        <f t="shared" si="7"/>
        <v>#REF!</v>
      </c>
      <c r="EJ13" s="2003">
        <f t="shared" ref="EJ13:EJ76" si="66">IFERROR(EK13/$EE13*10,0)</f>
        <v>0</v>
      </c>
      <c r="EK13" s="1989" t="e">
        <f t="shared" si="8"/>
        <v>#REF!</v>
      </c>
      <c r="EL13" s="1989" t="e">
        <f t="shared" si="8"/>
        <v>#REF!</v>
      </c>
      <c r="EM13" s="2006" t="e">
        <f t="shared" ref="EM13:EM76" si="67">IF(EE13=0,0,(EN13/(EE13)*10))</f>
        <v>#REF!</v>
      </c>
      <c r="EN13" s="1999" t="e">
        <f t="shared" ref="EN13:EN25" si="68">EG13+EI13+EK13+EL13</f>
        <v>#REF!</v>
      </c>
      <c r="EP13" s="1613" t="e">
        <f>EA13-#REF!/10^7</f>
        <v>#REF!</v>
      </c>
      <c r="EW13" s="1611" t="s">
        <v>1649</v>
      </c>
      <c r="EX13" s="1612" t="s">
        <v>1649</v>
      </c>
      <c r="EZ13" s="1650">
        <f t="shared" ref="EZ13:EZ76" si="69">IFERROR(EI13/(EE13*10^6),0)</f>
        <v>0</v>
      </c>
    </row>
    <row r="14" spans="1:156" ht="21" customHeight="1">
      <c r="A14" s="1652">
        <v>3</v>
      </c>
      <c r="B14" s="1644" t="s">
        <v>1651</v>
      </c>
      <c r="C14" s="1645">
        <v>660</v>
      </c>
      <c r="D14" s="1646">
        <f t="shared" si="0"/>
        <v>100</v>
      </c>
      <c r="E14" s="1646" t="s">
        <v>1594</v>
      </c>
      <c r="F14" s="1646">
        <v>9.8000000000000007</v>
      </c>
      <c r="G14" s="1641"/>
      <c r="H14" s="1651">
        <v>660</v>
      </c>
      <c r="I14" s="1648" t="s">
        <v>1649</v>
      </c>
      <c r="J14" s="1649">
        <v>2</v>
      </c>
      <c r="K14" s="1648"/>
      <c r="L14" s="1641"/>
      <c r="M14" s="1641"/>
      <c r="N14" s="1642"/>
      <c r="O14" s="2000" t="e">
        <f>#REF!</f>
        <v>#REF!</v>
      </c>
      <c r="P14" s="2003">
        <f t="shared" si="9"/>
        <v>0</v>
      </c>
      <c r="Q14" s="1989" t="e">
        <f>#REF!/10^7</f>
        <v>#REF!</v>
      </c>
      <c r="R14" s="2003">
        <f t="shared" si="10"/>
        <v>0</v>
      </c>
      <c r="S14" s="1989" t="e">
        <f>#REF!/10^7</f>
        <v>#REF!</v>
      </c>
      <c r="T14" s="2003">
        <f t="shared" si="11"/>
        <v>0</v>
      </c>
      <c r="U14" s="1989" t="e">
        <f>#REF!/10^7</f>
        <v>#REF!</v>
      </c>
      <c r="V14" s="1989" t="e">
        <f>#REF!/10^7</f>
        <v>#REF!</v>
      </c>
      <c r="W14" s="1989">
        <f t="shared" si="12"/>
        <v>0</v>
      </c>
      <c r="X14" s="1999" t="e">
        <f t="shared" si="13"/>
        <v>#REF!</v>
      </c>
      <c r="Y14" s="1993" t="e">
        <f>#REF!</f>
        <v>#REF!</v>
      </c>
      <c r="Z14" s="2003">
        <f t="shared" si="14"/>
        <v>0</v>
      </c>
      <c r="AA14" s="1989" t="e">
        <f>#REF!/10^7</f>
        <v>#REF!</v>
      </c>
      <c r="AB14" s="2003">
        <f t="shared" si="15"/>
        <v>0</v>
      </c>
      <c r="AC14" s="1989" t="e">
        <f>#REF!/10^7</f>
        <v>#REF!</v>
      </c>
      <c r="AD14" s="2003">
        <f t="shared" si="16"/>
        <v>0</v>
      </c>
      <c r="AE14" s="1989" t="e">
        <f>#REF!/10^7</f>
        <v>#REF!</v>
      </c>
      <c r="AF14" s="1989" t="e">
        <f>#REF!/10^7</f>
        <v>#REF!</v>
      </c>
      <c r="AG14" s="2002" t="e">
        <f t="shared" si="17"/>
        <v>#REF!</v>
      </c>
      <c r="AH14" s="1999" t="e">
        <f t="shared" si="1"/>
        <v>#REF!</v>
      </c>
      <c r="AI14" s="1993" t="e">
        <f>#REF!</f>
        <v>#REF!</v>
      </c>
      <c r="AJ14" s="2003">
        <f t="shared" si="18"/>
        <v>0</v>
      </c>
      <c r="AK14" s="1989" t="e">
        <f>#REF!/10^7</f>
        <v>#REF!</v>
      </c>
      <c r="AL14" s="2003">
        <f t="shared" si="2"/>
        <v>0</v>
      </c>
      <c r="AM14" s="1989" t="e">
        <f>#REF!/10^7</f>
        <v>#REF!</v>
      </c>
      <c r="AN14" s="2003">
        <f t="shared" si="2"/>
        <v>0</v>
      </c>
      <c r="AO14" s="1989" t="e">
        <f>#REF!/10^7</f>
        <v>#REF!</v>
      </c>
      <c r="AP14" s="1989" t="e">
        <f>#REF!/10^7</f>
        <v>#REF!</v>
      </c>
      <c r="AQ14" s="2002" t="e">
        <f t="shared" si="19"/>
        <v>#REF!</v>
      </c>
      <c r="AR14" s="1999" t="e">
        <f t="shared" si="3"/>
        <v>#REF!</v>
      </c>
      <c r="AS14" s="1993" t="e">
        <f>#REF!</f>
        <v>#REF!</v>
      </c>
      <c r="AT14" s="2003">
        <f t="shared" si="20"/>
        <v>0</v>
      </c>
      <c r="AU14" s="1989" t="e">
        <f>#REF!/10^7</f>
        <v>#REF!</v>
      </c>
      <c r="AV14" s="2003">
        <f t="shared" si="21"/>
        <v>0</v>
      </c>
      <c r="AW14" s="1989" t="e">
        <f>#REF!/10^7</f>
        <v>#REF!</v>
      </c>
      <c r="AX14" s="2003">
        <f t="shared" si="22"/>
        <v>0</v>
      </c>
      <c r="AY14" s="1989" t="e">
        <f>#REF!/10^7</f>
        <v>#REF!</v>
      </c>
      <c r="AZ14" s="1989" t="e">
        <f>#REF!/10^7</f>
        <v>#REF!</v>
      </c>
      <c r="BA14" s="2002" t="e">
        <f t="shared" si="23"/>
        <v>#REF!</v>
      </c>
      <c r="BB14" s="1999" t="e">
        <f t="shared" si="4"/>
        <v>#REF!</v>
      </c>
      <c r="BC14" s="1993" t="e">
        <f>#REF!</f>
        <v>#REF!</v>
      </c>
      <c r="BD14" s="2003">
        <f t="shared" si="24"/>
        <v>0</v>
      </c>
      <c r="BE14" s="1989" t="e">
        <f>#REF!/10^7</f>
        <v>#REF!</v>
      </c>
      <c r="BF14" s="2003">
        <f t="shared" si="25"/>
        <v>0</v>
      </c>
      <c r="BG14" s="1989" t="e">
        <f>#REF!/10^7</f>
        <v>#REF!</v>
      </c>
      <c r="BH14" s="2003">
        <f t="shared" si="26"/>
        <v>0</v>
      </c>
      <c r="BI14" s="1989" t="e">
        <f>#REF!/10^7</f>
        <v>#REF!</v>
      </c>
      <c r="BJ14" s="1989" t="e">
        <f>#REF!/10^7</f>
        <v>#REF!</v>
      </c>
      <c r="BK14" s="2002" t="e">
        <f t="shared" si="27"/>
        <v>#REF!</v>
      </c>
      <c r="BL14" s="1999" t="e">
        <f t="shared" si="28"/>
        <v>#REF!</v>
      </c>
      <c r="BM14" s="1993" t="e">
        <f>#REF!</f>
        <v>#REF!</v>
      </c>
      <c r="BN14" s="2003">
        <f t="shared" si="29"/>
        <v>0</v>
      </c>
      <c r="BO14" s="1989" t="e">
        <f>#REF!/10^7</f>
        <v>#REF!</v>
      </c>
      <c r="BP14" s="2003">
        <f t="shared" si="30"/>
        <v>0</v>
      </c>
      <c r="BQ14" s="1989" t="e">
        <f>#REF!/10^7</f>
        <v>#REF!</v>
      </c>
      <c r="BR14" s="2003">
        <f t="shared" si="31"/>
        <v>0</v>
      </c>
      <c r="BS14" s="1989" t="e">
        <f>#REF!/10^7</f>
        <v>#REF!</v>
      </c>
      <c r="BT14" s="1989" t="e">
        <f>#REF!/10^7</f>
        <v>#REF!</v>
      </c>
      <c r="BU14" s="2002" t="e">
        <f t="shared" si="32"/>
        <v>#REF!</v>
      </c>
      <c r="BV14" s="1999" t="e">
        <f t="shared" si="33"/>
        <v>#REF!</v>
      </c>
      <c r="BW14" s="1993" t="e">
        <f>#REF!</f>
        <v>#REF!</v>
      </c>
      <c r="BX14" s="2003">
        <f t="shared" si="34"/>
        <v>0</v>
      </c>
      <c r="BY14" s="1989" t="e">
        <f>#REF!/10^7</f>
        <v>#REF!</v>
      </c>
      <c r="BZ14" s="2003">
        <f t="shared" si="35"/>
        <v>0</v>
      </c>
      <c r="CA14" s="1989" t="e">
        <f>#REF!/10^7</f>
        <v>#REF!</v>
      </c>
      <c r="CB14" s="2003">
        <f t="shared" si="36"/>
        <v>0</v>
      </c>
      <c r="CC14" s="1989" t="e">
        <f>#REF!/10^7</f>
        <v>#REF!</v>
      </c>
      <c r="CD14" s="1989" t="e">
        <f>#REF!/10^7</f>
        <v>#REF!</v>
      </c>
      <c r="CE14" s="2002" t="e">
        <f t="shared" si="37"/>
        <v>#REF!</v>
      </c>
      <c r="CF14" s="1999" t="e">
        <f t="shared" si="38"/>
        <v>#REF!</v>
      </c>
      <c r="CG14" s="1993" t="e">
        <f>#REF!</f>
        <v>#REF!</v>
      </c>
      <c r="CH14" s="2003">
        <f t="shared" si="39"/>
        <v>0</v>
      </c>
      <c r="CI14" s="1989" t="e">
        <f>#REF!/10^7</f>
        <v>#REF!</v>
      </c>
      <c r="CJ14" s="2003">
        <f t="shared" si="40"/>
        <v>0</v>
      </c>
      <c r="CK14" s="1989" t="e">
        <f>#REF!/10^7</f>
        <v>#REF!</v>
      </c>
      <c r="CL14" s="2003">
        <f t="shared" si="41"/>
        <v>0</v>
      </c>
      <c r="CM14" s="1989" t="e">
        <f>#REF!/10^7</f>
        <v>#REF!</v>
      </c>
      <c r="CN14" s="1989" t="e">
        <f>#REF!/10^7</f>
        <v>#REF!</v>
      </c>
      <c r="CO14" s="2002" t="e">
        <f t="shared" si="42"/>
        <v>#REF!</v>
      </c>
      <c r="CP14" s="1999" t="e">
        <f t="shared" si="43"/>
        <v>#REF!</v>
      </c>
      <c r="CQ14" s="1993" t="e">
        <f>#REF!</f>
        <v>#REF!</v>
      </c>
      <c r="CR14" s="2003">
        <f t="shared" si="44"/>
        <v>0</v>
      </c>
      <c r="CS14" s="1989" t="e">
        <f>#REF!/10^7</f>
        <v>#REF!</v>
      </c>
      <c r="CT14" s="2003">
        <f t="shared" si="45"/>
        <v>0</v>
      </c>
      <c r="CU14" s="1989" t="e">
        <f>#REF!/10^7</f>
        <v>#REF!</v>
      </c>
      <c r="CV14" s="2003">
        <f t="shared" si="46"/>
        <v>0</v>
      </c>
      <c r="CW14" s="1989" t="e">
        <f>#REF!/10^7</f>
        <v>#REF!</v>
      </c>
      <c r="CX14" s="1989" t="e">
        <f>#REF!/10^7</f>
        <v>#REF!</v>
      </c>
      <c r="CY14" s="2002" t="e">
        <f t="shared" si="47"/>
        <v>#REF!</v>
      </c>
      <c r="CZ14" s="1999" t="e">
        <f t="shared" si="48"/>
        <v>#REF!</v>
      </c>
      <c r="DA14" s="1993" t="e">
        <f>#REF!</f>
        <v>#REF!</v>
      </c>
      <c r="DB14" s="2003">
        <f t="shared" si="49"/>
        <v>0</v>
      </c>
      <c r="DC14" s="1989" t="e">
        <f>#REF!/10^7</f>
        <v>#REF!</v>
      </c>
      <c r="DD14" s="2003">
        <f t="shared" si="50"/>
        <v>0</v>
      </c>
      <c r="DE14" s="1989" t="e">
        <f>#REF!/10^7</f>
        <v>#REF!</v>
      </c>
      <c r="DF14" s="2003">
        <f t="shared" si="51"/>
        <v>0</v>
      </c>
      <c r="DG14" s="1989" t="e">
        <f>#REF!/10^7</f>
        <v>#REF!</v>
      </c>
      <c r="DH14" s="1989" t="e">
        <f>#REF!/10^7</f>
        <v>#REF!</v>
      </c>
      <c r="DI14" s="2002" t="e">
        <f t="shared" si="52"/>
        <v>#REF!</v>
      </c>
      <c r="DJ14" s="1999" t="e">
        <f t="shared" si="53"/>
        <v>#REF!</v>
      </c>
      <c r="DK14" s="1993" t="e">
        <f>#REF!</f>
        <v>#REF!</v>
      </c>
      <c r="DL14" s="2003">
        <f t="shared" si="54"/>
        <v>0</v>
      </c>
      <c r="DM14" s="1989" t="e">
        <f>#REF!/10^7</f>
        <v>#REF!</v>
      </c>
      <c r="DN14" s="2003">
        <f t="shared" si="55"/>
        <v>0</v>
      </c>
      <c r="DO14" s="1989" t="e">
        <f>#REF!/10^7</f>
        <v>#REF!</v>
      </c>
      <c r="DP14" s="2003">
        <f t="shared" si="56"/>
        <v>0</v>
      </c>
      <c r="DQ14" s="1989" t="e">
        <f>#REF!/10^7</f>
        <v>#REF!</v>
      </c>
      <c r="DR14" s="1989" t="e">
        <f>#REF!/10^7</f>
        <v>#REF!</v>
      </c>
      <c r="DS14" s="2002" t="e">
        <f t="shared" si="57"/>
        <v>#REF!</v>
      </c>
      <c r="DT14" s="2004" t="e">
        <f t="shared" si="58"/>
        <v>#REF!</v>
      </c>
      <c r="DU14" s="1988" t="e">
        <f>#REF!</f>
        <v>#REF!</v>
      </c>
      <c r="DV14" s="2003">
        <f t="shared" si="59"/>
        <v>0</v>
      </c>
      <c r="DW14" s="1989" t="e">
        <f>#REF!/10^7</f>
        <v>#REF!</v>
      </c>
      <c r="DX14" s="2003">
        <f t="shared" si="60"/>
        <v>0</v>
      </c>
      <c r="DY14" s="1989" t="e">
        <f>#REF!/10^7</f>
        <v>#REF!</v>
      </c>
      <c r="DZ14" s="2003">
        <f t="shared" si="61"/>
        <v>0</v>
      </c>
      <c r="EA14" s="1989" t="e">
        <f>#REF!/10^7</f>
        <v>#REF!</v>
      </c>
      <c r="EB14" s="1989" t="e">
        <f>#REF!/10^7</f>
        <v>#REF!</v>
      </c>
      <c r="EC14" s="2002" t="e">
        <f t="shared" si="62"/>
        <v>#REF!</v>
      </c>
      <c r="ED14" s="1998" t="e">
        <f t="shared" si="63"/>
        <v>#REF!</v>
      </c>
      <c r="EE14" s="2005" t="e">
        <f t="shared" si="5"/>
        <v>#REF!</v>
      </c>
      <c r="EF14" s="2003">
        <f t="shared" si="64"/>
        <v>0</v>
      </c>
      <c r="EG14" s="1989" t="e">
        <f t="shared" si="6"/>
        <v>#REF!</v>
      </c>
      <c r="EH14" s="2003">
        <f t="shared" si="65"/>
        <v>0</v>
      </c>
      <c r="EI14" s="1989" t="e">
        <f t="shared" si="7"/>
        <v>#REF!</v>
      </c>
      <c r="EJ14" s="2003">
        <f t="shared" si="66"/>
        <v>0</v>
      </c>
      <c r="EK14" s="1989" t="e">
        <f t="shared" si="8"/>
        <v>#REF!</v>
      </c>
      <c r="EL14" s="1989" t="e">
        <f t="shared" si="8"/>
        <v>#REF!</v>
      </c>
      <c r="EM14" s="2006" t="e">
        <f t="shared" si="67"/>
        <v>#REF!</v>
      </c>
      <c r="EN14" s="1999" t="e">
        <f t="shared" si="68"/>
        <v>#REF!</v>
      </c>
      <c r="EP14" s="1613" t="e">
        <f>EA14-#REF!/10^7</f>
        <v>#REF!</v>
      </c>
      <c r="EW14" s="1611" t="e">
        <v>#N/A</v>
      </c>
      <c r="EX14" s="1612" t="s">
        <v>1649</v>
      </c>
      <c r="EZ14" s="1650">
        <f t="shared" si="69"/>
        <v>0</v>
      </c>
    </row>
    <row r="15" spans="1:156" ht="21" customHeight="1">
      <c r="A15" s="1652">
        <v>4</v>
      </c>
      <c r="B15" s="1644" t="s">
        <v>1652</v>
      </c>
      <c r="C15" s="1645">
        <v>220</v>
      </c>
      <c r="D15" s="1646">
        <f t="shared" si="0"/>
        <v>100</v>
      </c>
      <c r="E15" s="1646">
        <v>71.17</v>
      </c>
      <c r="F15" s="1646">
        <v>10.7</v>
      </c>
      <c r="G15" s="1641"/>
      <c r="H15" s="1651">
        <v>220</v>
      </c>
      <c r="I15" s="1648" t="s">
        <v>1649</v>
      </c>
      <c r="J15" s="1649">
        <v>2</v>
      </c>
      <c r="K15" s="1648"/>
      <c r="L15" s="1641"/>
      <c r="M15" s="1641"/>
      <c r="N15" s="1642"/>
      <c r="O15" s="2000" t="e">
        <f>#REF!</f>
        <v>#REF!</v>
      </c>
      <c r="P15" s="2003">
        <f t="shared" si="9"/>
        <v>0</v>
      </c>
      <c r="Q15" s="1989" t="e">
        <f>#REF!/10^7</f>
        <v>#REF!</v>
      </c>
      <c r="R15" s="2003">
        <f t="shared" si="10"/>
        <v>0</v>
      </c>
      <c r="S15" s="1989" t="e">
        <f>#REF!/10^7</f>
        <v>#REF!</v>
      </c>
      <c r="T15" s="2003">
        <f t="shared" si="11"/>
        <v>0</v>
      </c>
      <c r="U15" s="1989" t="e">
        <f>#REF!/10^7</f>
        <v>#REF!</v>
      </c>
      <c r="V15" s="1989" t="e">
        <f>#REF!/10^7</f>
        <v>#REF!</v>
      </c>
      <c r="W15" s="1989">
        <f t="shared" si="12"/>
        <v>0</v>
      </c>
      <c r="X15" s="1999" t="e">
        <f t="shared" si="13"/>
        <v>#REF!</v>
      </c>
      <c r="Y15" s="1993" t="e">
        <f>#REF!</f>
        <v>#REF!</v>
      </c>
      <c r="Z15" s="2003">
        <f t="shared" si="14"/>
        <v>0</v>
      </c>
      <c r="AA15" s="1989" t="e">
        <f>#REF!/10^7</f>
        <v>#REF!</v>
      </c>
      <c r="AB15" s="2003">
        <f t="shared" si="15"/>
        <v>0</v>
      </c>
      <c r="AC15" s="1989" t="e">
        <f>#REF!/10^7</f>
        <v>#REF!</v>
      </c>
      <c r="AD15" s="2003">
        <f t="shared" si="16"/>
        <v>0</v>
      </c>
      <c r="AE15" s="1989" t="e">
        <f>#REF!/10^7</f>
        <v>#REF!</v>
      </c>
      <c r="AF15" s="1989" t="e">
        <f>#REF!/10^7</f>
        <v>#REF!</v>
      </c>
      <c r="AG15" s="2002" t="e">
        <f t="shared" si="17"/>
        <v>#REF!</v>
      </c>
      <c r="AH15" s="1999" t="e">
        <f t="shared" si="1"/>
        <v>#REF!</v>
      </c>
      <c r="AI15" s="1993" t="e">
        <f>#REF!</f>
        <v>#REF!</v>
      </c>
      <c r="AJ15" s="2003">
        <f t="shared" si="18"/>
        <v>0</v>
      </c>
      <c r="AK15" s="1989" t="e">
        <f>#REF!/10^7</f>
        <v>#REF!</v>
      </c>
      <c r="AL15" s="2003">
        <f t="shared" si="2"/>
        <v>0</v>
      </c>
      <c r="AM15" s="1989" t="e">
        <f>#REF!/10^7</f>
        <v>#REF!</v>
      </c>
      <c r="AN15" s="2003">
        <f t="shared" si="2"/>
        <v>0</v>
      </c>
      <c r="AO15" s="1989" t="e">
        <f>#REF!/10^7</f>
        <v>#REF!</v>
      </c>
      <c r="AP15" s="1989" t="e">
        <f>#REF!/10^7</f>
        <v>#REF!</v>
      </c>
      <c r="AQ15" s="2002" t="e">
        <f t="shared" si="19"/>
        <v>#REF!</v>
      </c>
      <c r="AR15" s="1999" t="e">
        <f t="shared" si="3"/>
        <v>#REF!</v>
      </c>
      <c r="AS15" s="1993" t="e">
        <f>#REF!</f>
        <v>#REF!</v>
      </c>
      <c r="AT15" s="2003">
        <f t="shared" si="20"/>
        <v>0</v>
      </c>
      <c r="AU15" s="1989" t="e">
        <f>#REF!/10^7</f>
        <v>#REF!</v>
      </c>
      <c r="AV15" s="2003">
        <f t="shared" si="21"/>
        <v>0</v>
      </c>
      <c r="AW15" s="1989" t="e">
        <f>#REF!/10^7</f>
        <v>#REF!</v>
      </c>
      <c r="AX15" s="2003">
        <f t="shared" si="22"/>
        <v>0</v>
      </c>
      <c r="AY15" s="1989" t="e">
        <f>#REF!/10^7</f>
        <v>#REF!</v>
      </c>
      <c r="AZ15" s="1989" t="e">
        <f>#REF!/10^7</f>
        <v>#REF!</v>
      </c>
      <c r="BA15" s="2002" t="e">
        <f t="shared" si="23"/>
        <v>#REF!</v>
      </c>
      <c r="BB15" s="1999" t="e">
        <f t="shared" si="4"/>
        <v>#REF!</v>
      </c>
      <c r="BC15" s="1993" t="e">
        <f>#REF!</f>
        <v>#REF!</v>
      </c>
      <c r="BD15" s="2003">
        <f t="shared" si="24"/>
        <v>0</v>
      </c>
      <c r="BE15" s="1989" t="e">
        <f>#REF!/10^7</f>
        <v>#REF!</v>
      </c>
      <c r="BF15" s="2003">
        <f t="shared" si="25"/>
        <v>0</v>
      </c>
      <c r="BG15" s="1989" t="e">
        <f>#REF!/10^7</f>
        <v>#REF!</v>
      </c>
      <c r="BH15" s="2003">
        <f t="shared" si="26"/>
        <v>0</v>
      </c>
      <c r="BI15" s="1989" t="e">
        <f>#REF!/10^7</f>
        <v>#REF!</v>
      </c>
      <c r="BJ15" s="1989" t="e">
        <f>#REF!/10^7</f>
        <v>#REF!</v>
      </c>
      <c r="BK15" s="2002" t="e">
        <f t="shared" si="27"/>
        <v>#REF!</v>
      </c>
      <c r="BL15" s="1999" t="e">
        <f t="shared" si="28"/>
        <v>#REF!</v>
      </c>
      <c r="BM15" s="1993" t="e">
        <f>#REF!</f>
        <v>#REF!</v>
      </c>
      <c r="BN15" s="2003">
        <f t="shared" si="29"/>
        <v>0</v>
      </c>
      <c r="BO15" s="1989" t="e">
        <f>#REF!/10^7</f>
        <v>#REF!</v>
      </c>
      <c r="BP15" s="2003">
        <f t="shared" si="30"/>
        <v>0</v>
      </c>
      <c r="BQ15" s="1989" t="e">
        <f>#REF!/10^7</f>
        <v>#REF!</v>
      </c>
      <c r="BR15" s="2003">
        <f t="shared" si="31"/>
        <v>0</v>
      </c>
      <c r="BS15" s="1989" t="e">
        <f>#REF!/10^7</f>
        <v>#REF!</v>
      </c>
      <c r="BT15" s="1989" t="e">
        <f>#REF!/10^7</f>
        <v>#REF!</v>
      </c>
      <c r="BU15" s="2002" t="e">
        <f t="shared" si="32"/>
        <v>#REF!</v>
      </c>
      <c r="BV15" s="1999" t="e">
        <f t="shared" si="33"/>
        <v>#REF!</v>
      </c>
      <c r="BW15" s="1993" t="e">
        <f>#REF!</f>
        <v>#REF!</v>
      </c>
      <c r="BX15" s="2003">
        <f t="shared" si="34"/>
        <v>0</v>
      </c>
      <c r="BY15" s="1989" t="e">
        <f>#REF!/10^7</f>
        <v>#REF!</v>
      </c>
      <c r="BZ15" s="2003">
        <f t="shared" si="35"/>
        <v>0</v>
      </c>
      <c r="CA15" s="1989" t="e">
        <f>#REF!/10^7</f>
        <v>#REF!</v>
      </c>
      <c r="CB15" s="2003">
        <f t="shared" si="36"/>
        <v>0</v>
      </c>
      <c r="CC15" s="1989" t="e">
        <f>#REF!/10^7</f>
        <v>#REF!</v>
      </c>
      <c r="CD15" s="1989" t="e">
        <f>#REF!/10^7</f>
        <v>#REF!</v>
      </c>
      <c r="CE15" s="2002" t="e">
        <f t="shared" si="37"/>
        <v>#REF!</v>
      </c>
      <c r="CF15" s="1999" t="e">
        <f t="shared" si="38"/>
        <v>#REF!</v>
      </c>
      <c r="CG15" s="1993" t="e">
        <f>#REF!</f>
        <v>#REF!</v>
      </c>
      <c r="CH15" s="2003">
        <f t="shared" si="39"/>
        <v>0</v>
      </c>
      <c r="CI15" s="1989" t="e">
        <f>#REF!/10^7</f>
        <v>#REF!</v>
      </c>
      <c r="CJ15" s="2003">
        <f t="shared" si="40"/>
        <v>0</v>
      </c>
      <c r="CK15" s="1989" t="e">
        <f>#REF!/10^7</f>
        <v>#REF!</v>
      </c>
      <c r="CL15" s="2003">
        <f t="shared" si="41"/>
        <v>0</v>
      </c>
      <c r="CM15" s="1989" t="e">
        <f>#REF!/10^7</f>
        <v>#REF!</v>
      </c>
      <c r="CN15" s="1989" t="e">
        <f>#REF!/10^7</f>
        <v>#REF!</v>
      </c>
      <c r="CO15" s="2002" t="e">
        <f t="shared" si="42"/>
        <v>#REF!</v>
      </c>
      <c r="CP15" s="1999" t="e">
        <f t="shared" si="43"/>
        <v>#REF!</v>
      </c>
      <c r="CQ15" s="1993" t="e">
        <f>#REF!</f>
        <v>#REF!</v>
      </c>
      <c r="CR15" s="2003">
        <f t="shared" si="44"/>
        <v>0</v>
      </c>
      <c r="CS15" s="1989" t="e">
        <f>#REF!/10^7</f>
        <v>#REF!</v>
      </c>
      <c r="CT15" s="2003">
        <f t="shared" si="45"/>
        <v>0</v>
      </c>
      <c r="CU15" s="1989" t="e">
        <f>#REF!/10^7</f>
        <v>#REF!</v>
      </c>
      <c r="CV15" s="2003">
        <f t="shared" si="46"/>
        <v>0</v>
      </c>
      <c r="CW15" s="1989" t="e">
        <f>#REF!/10^7</f>
        <v>#REF!</v>
      </c>
      <c r="CX15" s="1989" t="e">
        <f>#REF!/10^7</f>
        <v>#REF!</v>
      </c>
      <c r="CY15" s="2002" t="e">
        <f t="shared" si="47"/>
        <v>#REF!</v>
      </c>
      <c r="CZ15" s="1999" t="e">
        <f t="shared" si="48"/>
        <v>#REF!</v>
      </c>
      <c r="DA15" s="1993" t="e">
        <f>#REF!</f>
        <v>#REF!</v>
      </c>
      <c r="DB15" s="2003">
        <f t="shared" si="49"/>
        <v>0</v>
      </c>
      <c r="DC15" s="1989" t="e">
        <f>#REF!/10^7</f>
        <v>#REF!</v>
      </c>
      <c r="DD15" s="2003">
        <f t="shared" si="50"/>
        <v>0</v>
      </c>
      <c r="DE15" s="1989" t="e">
        <f>#REF!/10^7</f>
        <v>#REF!</v>
      </c>
      <c r="DF15" s="2003">
        <f t="shared" si="51"/>
        <v>0</v>
      </c>
      <c r="DG15" s="1989" t="e">
        <f>#REF!/10^7</f>
        <v>#REF!</v>
      </c>
      <c r="DH15" s="1989" t="e">
        <f>#REF!/10^7</f>
        <v>#REF!</v>
      </c>
      <c r="DI15" s="2002" t="e">
        <f t="shared" si="52"/>
        <v>#REF!</v>
      </c>
      <c r="DJ15" s="1999" t="e">
        <f t="shared" si="53"/>
        <v>#REF!</v>
      </c>
      <c r="DK15" s="1993" t="e">
        <f>#REF!</f>
        <v>#REF!</v>
      </c>
      <c r="DL15" s="2003">
        <f t="shared" si="54"/>
        <v>0</v>
      </c>
      <c r="DM15" s="1989" t="e">
        <f>#REF!/10^7</f>
        <v>#REF!</v>
      </c>
      <c r="DN15" s="2003">
        <f t="shared" si="55"/>
        <v>0</v>
      </c>
      <c r="DO15" s="1989" t="e">
        <f>#REF!/10^7</f>
        <v>#REF!</v>
      </c>
      <c r="DP15" s="2003">
        <f t="shared" si="56"/>
        <v>0</v>
      </c>
      <c r="DQ15" s="1989" t="e">
        <f>#REF!/10^7</f>
        <v>#REF!</v>
      </c>
      <c r="DR15" s="1989" t="e">
        <f>#REF!/10^7</f>
        <v>#REF!</v>
      </c>
      <c r="DS15" s="2002" t="e">
        <f t="shared" si="57"/>
        <v>#REF!</v>
      </c>
      <c r="DT15" s="2004" t="e">
        <f t="shared" si="58"/>
        <v>#REF!</v>
      </c>
      <c r="DU15" s="1988" t="e">
        <f>#REF!</f>
        <v>#REF!</v>
      </c>
      <c r="DV15" s="2003">
        <f t="shared" si="59"/>
        <v>0</v>
      </c>
      <c r="DW15" s="1989" t="e">
        <f>#REF!/10^7</f>
        <v>#REF!</v>
      </c>
      <c r="DX15" s="2003">
        <f t="shared" si="60"/>
        <v>0</v>
      </c>
      <c r="DY15" s="1989" t="e">
        <f>#REF!/10^7</f>
        <v>#REF!</v>
      </c>
      <c r="DZ15" s="2003">
        <f t="shared" si="61"/>
        <v>0</v>
      </c>
      <c r="EA15" s="1989" t="e">
        <f>#REF!/10^7</f>
        <v>#REF!</v>
      </c>
      <c r="EB15" s="1989" t="e">
        <f>#REF!/10^7</f>
        <v>#REF!</v>
      </c>
      <c r="EC15" s="2002" t="e">
        <f t="shared" si="62"/>
        <v>#REF!</v>
      </c>
      <c r="ED15" s="1998" t="e">
        <f t="shared" si="63"/>
        <v>#REF!</v>
      </c>
      <c r="EE15" s="2005" t="e">
        <f t="shared" si="5"/>
        <v>#REF!</v>
      </c>
      <c r="EF15" s="2003">
        <f t="shared" si="64"/>
        <v>0</v>
      </c>
      <c r="EG15" s="1989" t="e">
        <f t="shared" si="6"/>
        <v>#REF!</v>
      </c>
      <c r="EH15" s="2003">
        <f t="shared" si="65"/>
        <v>0</v>
      </c>
      <c r="EI15" s="1989" t="e">
        <f t="shared" si="7"/>
        <v>#REF!</v>
      </c>
      <c r="EJ15" s="2003">
        <f t="shared" si="66"/>
        <v>0</v>
      </c>
      <c r="EK15" s="1989" t="e">
        <f t="shared" si="8"/>
        <v>#REF!</v>
      </c>
      <c r="EL15" s="1989" t="e">
        <f t="shared" si="8"/>
        <v>#REF!</v>
      </c>
      <c r="EM15" s="2006" t="e">
        <f t="shared" si="67"/>
        <v>#REF!</v>
      </c>
      <c r="EN15" s="1999" t="e">
        <f t="shared" si="68"/>
        <v>#REF!</v>
      </c>
      <c r="EP15" s="1613" t="e">
        <f>EA15-#REF!/10^7</f>
        <v>#REF!</v>
      </c>
      <c r="EW15" s="1611" t="e">
        <v>#N/A</v>
      </c>
      <c r="EX15" s="1612" t="s">
        <v>1649</v>
      </c>
      <c r="EZ15" s="1650">
        <f t="shared" si="69"/>
        <v>0</v>
      </c>
    </row>
    <row r="16" spans="1:156" ht="21" customHeight="1">
      <c r="A16" s="1652">
        <v>5</v>
      </c>
      <c r="B16" s="1644" t="s">
        <v>1653</v>
      </c>
      <c r="C16" s="1645">
        <v>420</v>
      </c>
      <c r="D16" s="1646">
        <f t="shared" si="0"/>
        <v>100</v>
      </c>
      <c r="E16" s="1646">
        <v>89.51</v>
      </c>
      <c r="F16" s="1646">
        <v>9</v>
      </c>
      <c r="G16" s="1641"/>
      <c r="H16" s="1651">
        <v>420</v>
      </c>
      <c r="I16" s="1648" t="s">
        <v>1649</v>
      </c>
      <c r="J16" s="1649">
        <v>2</v>
      </c>
      <c r="K16" s="1648"/>
      <c r="L16" s="1641"/>
      <c r="M16" s="1641"/>
      <c r="N16" s="1642"/>
      <c r="O16" s="2000" t="e">
        <f>#REF!</f>
        <v>#REF!</v>
      </c>
      <c r="P16" s="2003">
        <f t="shared" si="9"/>
        <v>0</v>
      </c>
      <c r="Q16" s="1989" t="e">
        <f>#REF!/10^7</f>
        <v>#REF!</v>
      </c>
      <c r="R16" s="2003">
        <f t="shared" si="10"/>
        <v>0</v>
      </c>
      <c r="S16" s="1989" t="e">
        <f>#REF!/10^7</f>
        <v>#REF!</v>
      </c>
      <c r="T16" s="2003">
        <f t="shared" si="11"/>
        <v>0</v>
      </c>
      <c r="U16" s="1989" t="e">
        <f>#REF!/10^7</f>
        <v>#REF!</v>
      </c>
      <c r="V16" s="1989" t="e">
        <f>#REF!/10^7</f>
        <v>#REF!</v>
      </c>
      <c r="W16" s="1989">
        <f t="shared" si="12"/>
        <v>0</v>
      </c>
      <c r="X16" s="1999" t="e">
        <f t="shared" si="13"/>
        <v>#REF!</v>
      </c>
      <c r="Y16" s="1993" t="e">
        <f>#REF!</f>
        <v>#REF!</v>
      </c>
      <c r="Z16" s="2003">
        <f t="shared" si="14"/>
        <v>0</v>
      </c>
      <c r="AA16" s="1989" t="e">
        <f>#REF!/10^7</f>
        <v>#REF!</v>
      </c>
      <c r="AB16" s="2003">
        <f t="shared" si="15"/>
        <v>0</v>
      </c>
      <c r="AC16" s="1989" t="e">
        <f>#REF!/10^7</f>
        <v>#REF!</v>
      </c>
      <c r="AD16" s="2003">
        <f t="shared" si="16"/>
        <v>0</v>
      </c>
      <c r="AE16" s="1989" t="e">
        <f>#REF!/10^7</f>
        <v>#REF!</v>
      </c>
      <c r="AF16" s="1989" t="e">
        <f>#REF!/10^7</f>
        <v>#REF!</v>
      </c>
      <c r="AG16" s="2002" t="e">
        <f t="shared" si="17"/>
        <v>#REF!</v>
      </c>
      <c r="AH16" s="1999" t="e">
        <f t="shared" si="1"/>
        <v>#REF!</v>
      </c>
      <c r="AI16" s="1993" t="e">
        <f>#REF!</f>
        <v>#REF!</v>
      </c>
      <c r="AJ16" s="2003">
        <f t="shared" si="18"/>
        <v>0</v>
      </c>
      <c r="AK16" s="1989" t="e">
        <f>#REF!/10^7</f>
        <v>#REF!</v>
      </c>
      <c r="AL16" s="2003">
        <f t="shared" si="2"/>
        <v>0</v>
      </c>
      <c r="AM16" s="1989" t="e">
        <f>#REF!/10^7</f>
        <v>#REF!</v>
      </c>
      <c r="AN16" s="2003">
        <f t="shared" si="2"/>
        <v>0</v>
      </c>
      <c r="AO16" s="1989" t="e">
        <f>#REF!/10^7</f>
        <v>#REF!</v>
      </c>
      <c r="AP16" s="1989" t="e">
        <f>#REF!/10^7</f>
        <v>#REF!</v>
      </c>
      <c r="AQ16" s="2002" t="e">
        <f t="shared" si="19"/>
        <v>#REF!</v>
      </c>
      <c r="AR16" s="1999" t="e">
        <f t="shared" si="3"/>
        <v>#REF!</v>
      </c>
      <c r="AS16" s="1993" t="e">
        <f>#REF!</f>
        <v>#REF!</v>
      </c>
      <c r="AT16" s="2003">
        <f t="shared" si="20"/>
        <v>0</v>
      </c>
      <c r="AU16" s="1989" t="e">
        <f>#REF!/10^7</f>
        <v>#REF!</v>
      </c>
      <c r="AV16" s="2003">
        <f t="shared" si="21"/>
        <v>0</v>
      </c>
      <c r="AW16" s="1989" t="e">
        <f>#REF!/10^7</f>
        <v>#REF!</v>
      </c>
      <c r="AX16" s="2003">
        <f t="shared" si="22"/>
        <v>0</v>
      </c>
      <c r="AY16" s="1989" t="e">
        <f>#REF!/10^7</f>
        <v>#REF!</v>
      </c>
      <c r="AZ16" s="1989" t="e">
        <f>#REF!/10^7</f>
        <v>#REF!</v>
      </c>
      <c r="BA16" s="2002" t="e">
        <f t="shared" si="23"/>
        <v>#REF!</v>
      </c>
      <c r="BB16" s="1999" t="e">
        <f t="shared" si="4"/>
        <v>#REF!</v>
      </c>
      <c r="BC16" s="1993" t="e">
        <f>#REF!</f>
        <v>#REF!</v>
      </c>
      <c r="BD16" s="2003">
        <f t="shared" si="24"/>
        <v>0</v>
      </c>
      <c r="BE16" s="1989" t="e">
        <f>#REF!/10^7</f>
        <v>#REF!</v>
      </c>
      <c r="BF16" s="2003">
        <f t="shared" si="25"/>
        <v>0</v>
      </c>
      <c r="BG16" s="1989" t="e">
        <f>#REF!/10^7</f>
        <v>#REF!</v>
      </c>
      <c r="BH16" s="2003">
        <f t="shared" si="26"/>
        <v>0</v>
      </c>
      <c r="BI16" s="1989" t="e">
        <f>#REF!/10^7</f>
        <v>#REF!</v>
      </c>
      <c r="BJ16" s="1989" t="e">
        <f>#REF!/10^7</f>
        <v>#REF!</v>
      </c>
      <c r="BK16" s="2002" t="e">
        <f t="shared" si="27"/>
        <v>#REF!</v>
      </c>
      <c r="BL16" s="1999" t="e">
        <f t="shared" si="28"/>
        <v>#REF!</v>
      </c>
      <c r="BM16" s="1993" t="e">
        <f>#REF!</f>
        <v>#REF!</v>
      </c>
      <c r="BN16" s="2003">
        <f t="shared" si="29"/>
        <v>0</v>
      </c>
      <c r="BO16" s="1989" t="e">
        <f>#REF!/10^7</f>
        <v>#REF!</v>
      </c>
      <c r="BP16" s="2003">
        <f t="shared" si="30"/>
        <v>0</v>
      </c>
      <c r="BQ16" s="1989" t="e">
        <f>#REF!/10^7</f>
        <v>#REF!</v>
      </c>
      <c r="BR16" s="2003">
        <f t="shared" si="31"/>
        <v>0</v>
      </c>
      <c r="BS16" s="1989" t="e">
        <f>#REF!/10^7</f>
        <v>#REF!</v>
      </c>
      <c r="BT16" s="1989" t="e">
        <f>#REF!/10^7</f>
        <v>#REF!</v>
      </c>
      <c r="BU16" s="2002" t="e">
        <f t="shared" si="32"/>
        <v>#REF!</v>
      </c>
      <c r="BV16" s="1999" t="e">
        <f t="shared" si="33"/>
        <v>#REF!</v>
      </c>
      <c r="BW16" s="1993" t="e">
        <f>#REF!</f>
        <v>#REF!</v>
      </c>
      <c r="BX16" s="2003">
        <f t="shared" si="34"/>
        <v>0</v>
      </c>
      <c r="BY16" s="1989" t="e">
        <f>#REF!/10^7</f>
        <v>#REF!</v>
      </c>
      <c r="BZ16" s="2003">
        <f t="shared" si="35"/>
        <v>0</v>
      </c>
      <c r="CA16" s="1989" t="e">
        <f>#REF!/10^7</f>
        <v>#REF!</v>
      </c>
      <c r="CB16" s="2003">
        <f t="shared" si="36"/>
        <v>0</v>
      </c>
      <c r="CC16" s="1989" t="e">
        <f>#REF!/10^7</f>
        <v>#REF!</v>
      </c>
      <c r="CD16" s="1989" t="e">
        <f>#REF!/10^7</f>
        <v>#REF!</v>
      </c>
      <c r="CE16" s="2002" t="e">
        <f t="shared" si="37"/>
        <v>#REF!</v>
      </c>
      <c r="CF16" s="1999" t="e">
        <f t="shared" si="38"/>
        <v>#REF!</v>
      </c>
      <c r="CG16" s="1993" t="e">
        <f>#REF!</f>
        <v>#REF!</v>
      </c>
      <c r="CH16" s="2003">
        <f t="shared" si="39"/>
        <v>0</v>
      </c>
      <c r="CI16" s="1989" t="e">
        <f>#REF!/10^7</f>
        <v>#REF!</v>
      </c>
      <c r="CJ16" s="2003">
        <f t="shared" si="40"/>
        <v>0</v>
      </c>
      <c r="CK16" s="1989" t="e">
        <f>#REF!/10^7</f>
        <v>#REF!</v>
      </c>
      <c r="CL16" s="2003">
        <f t="shared" si="41"/>
        <v>0</v>
      </c>
      <c r="CM16" s="1989" t="e">
        <f>#REF!/10^7</f>
        <v>#REF!</v>
      </c>
      <c r="CN16" s="1989" t="e">
        <f>#REF!/10^7</f>
        <v>#REF!</v>
      </c>
      <c r="CO16" s="2002" t="e">
        <f t="shared" si="42"/>
        <v>#REF!</v>
      </c>
      <c r="CP16" s="1999" t="e">
        <f t="shared" si="43"/>
        <v>#REF!</v>
      </c>
      <c r="CQ16" s="1993" t="e">
        <f>#REF!</f>
        <v>#REF!</v>
      </c>
      <c r="CR16" s="2003">
        <f t="shared" si="44"/>
        <v>0</v>
      </c>
      <c r="CS16" s="1989" t="e">
        <f>#REF!/10^7</f>
        <v>#REF!</v>
      </c>
      <c r="CT16" s="2003">
        <f t="shared" si="45"/>
        <v>0</v>
      </c>
      <c r="CU16" s="1989" t="e">
        <f>#REF!/10^7</f>
        <v>#REF!</v>
      </c>
      <c r="CV16" s="2003">
        <f t="shared" si="46"/>
        <v>0</v>
      </c>
      <c r="CW16" s="1989" t="e">
        <f>#REF!/10^7</f>
        <v>#REF!</v>
      </c>
      <c r="CX16" s="1989" t="e">
        <f>#REF!/10^7</f>
        <v>#REF!</v>
      </c>
      <c r="CY16" s="2002" t="e">
        <f t="shared" si="47"/>
        <v>#REF!</v>
      </c>
      <c r="CZ16" s="1999" t="e">
        <f t="shared" si="48"/>
        <v>#REF!</v>
      </c>
      <c r="DA16" s="1993" t="e">
        <f>#REF!</f>
        <v>#REF!</v>
      </c>
      <c r="DB16" s="2003">
        <f t="shared" si="49"/>
        <v>0</v>
      </c>
      <c r="DC16" s="1989" t="e">
        <f>#REF!/10^7</f>
        <v>#REF!</v>
      </c>
      <c r="DD16" s="2003">
        <f t="shared" si="50"/>
        <v>0</v>
      </c>
      <c r="DE16" s="1989" t="e">
        <f>#REF!/10^7</f>
        <v>#REF!</v>
      </c>
      <c r="DF16" s="2003">
        <f t="shared" si="51"/>
        <v>0</v>
      </c>
      <c r="DG16" s="1989" t="e">
        <f>#REF!/10^7</f>
        <v>#REF!</v>
      </c>
      <c r="DH16" s="1989" t="e">
        <f>#REF!/10^7</f>
        <v>#REF!</v>
      </c>
      <c r="DI16" s="2002" t="e">
        <f t="shared" si="52"/>
        <v>#REF!</v>
      </c>
      <c r="DJ16" s="1999" t="e">
        <f t="shared" si="53"/>
        <v>#REF!</v>
      </c>
      <c r="DK16" s="1993" t="e">
        <f>#REF!</f>
        <v>#REF!</v>
      </c>
      <c r="DL16" s="2003">
        <f t="shared" si="54"/>
        <v>0</v>
      </c>
      <c r="DM16" s="1989" t="e">
        <f>#REF!/10^7</f>
        <v>#REF!</v>
      </c>
      <c r="DN16" s="2003">
        <f t="shared" si="55"/>
        <v>0</v>
      </c>
      <c r="DO16" s="1989" t="e">
        <f>#REF!/10^7</f>
        <v>#REF!</v>
      </c>
      <c r="DP16" s="2003">
        <f t="shared" si="56"/>
        <v>0</v>
      </c>
      <c r="DQ16" s="1989" t="e">
        <f>#REF!/10^7</f>
        <v>#REF!</v>
      </c>
      <c r="DR16" s="1989" t="e">
        <f>#REF!/10^7</f>
        <v>#REF!</v>
      </c>
      <c r="DS16" s="2002" t="e">
        <f t="shared" si="57"/>
        <v>#REF!</v>
      </c>
      <c r="DT16" s="2004" t="e">
        <f t="shared" si="58"/>
        <v>#REF!</v>
      </c>
      <c r="DU16" s="1988" t="e">
        <f>#REF!</f>
        <v>#REF!</v>
      </c>
      <c r="DV16" s="2003">
        <f t="shared" si="59"/>
        <v>0</v>
      </c>
      <c r="DW16" s="1989" t="e">
        <f>#REF!/10^7</f>
        <v>#REF!</v>
      </c>
      <c r="DX16" s="2003">
        <f t="shared" si="60"/>
        <v>0</v>
      </c>
      <c r="DY16" s="1989" t="e">
        <f>#REF!/10^7</f>
        <v>#REF!</v>
      </c>
      <c r="DZ16" s="2003">
        <f t="shared" si="61"/>
        <v>0</v>
      </c>
      <c r="EA16" s="1989" t="e">
        <f>#REF!/10^7</f>
        <v>#REF!</v>
      </c>
      <c r="EB16" s="1989" t="e">
        <f>#REF!/10^7</f>
        <v>#REF!</v>
      </c>
      <c r="EC16" s="2002" t="e">
        <f t="shared" si="62"/>
        <v>#REF!</v>
      </c>
      <c r="ED16" s="1998" t="e">
        <f t="shared" si="63"/>
        <v>#REF!</v>
      </c>
      <c r="EE16" s="2005" t="e">
        <f t="shared" si="5"/>
        <v>#REF!</v>
      </c>
      <c r="EF16" s="2003">
        <f t="shared" si="64"/>
        <v>0</v>
      </c>
      <c r="EG16" s="1989" t="e">
        <f t="shared" si="6"/>
        <v>#REF!</v>
      </c>
      <c r="EH16" s="2003">
        <f t="shared" si="65"/>
        <v>0</v>
      </c>
      <c r="EI16" s="1989" t="e">
        <f t="shared" si="7"/>
        <v>#REF!</v>
      </c>
      <c r="EJ16" s="2003">
        <f t="shared" si="66"/>
        <v>0</v>
      </c>
      <c r="EK16" s="1989" t="e">
        <f t="shared" si="8"/>
        <v>#REF!</v>
      </c>
      <c r="EL16" s="1989" t="e">
        <f t="shared" si="8"/>
        <v>#REF!</v>
      </c>
      <c r="EM16" s="2006" t="e">
        <f t="shared" si="67"/>
        <v>#REF!</v>
      </c>
      <c r="EN16" s="1999" t="e">
        <f>EG16+EI16+EK16+EL16</f>
        <v>#REF!</v>
      </c>
      <c r="EP16" s="1613" t="e">
        <f>EA16-#REF!/10^7</f>
        <v>#REF!</v>
      </c>
      <c r="EW16" s="1611" t="s">
        <v>1649</v>
      </c>
      <c r="EX16" s="1612" t="s">
        <v>1649</v>
      </c>
      <c r="EZ16" s="1650">
        <f t="shared" si="69"/>
        <v>0</v>
      </c>
    </row>
    <row r="17" spans="1:156" ht="21" customHeight="1">
      <c r="A17" s="1652">
        <v>6</v>
      </c>
      <c r="B17" s="1644" t="s">
        <v>1654</v>
      </c>
      <c r="C17" s="1645">
        <v>94</v>
      </c>
      <c r="D17" s="1646">
        <f t="shared" si="0"/>
        <v>100</v>
      </c>
      <c r="E17" s="1646" t="s">
        <v>1594</v>
      </c>
      <c r="F17" s="1646">
        <v>10</v>
      </c>
      <c r="G17" s="1641"/>
      <c r="H17" s="1651">
        <v>94</v>
      </c>
      <c r="I17" s="1648" t="s">
        <v>1649</v>
      </c>
      <c r="J17" s="1649">
        <v>2</v>
      </c>
      <c r="K17" s="1648"/>
      <c r="L17" s="1641"/>
      <c r="M17" s="1641"/>
      <c r="N17" s="1642"/>
      <c r="O17" s="2000" t="e">
        <f>#REF!</f>
        <v>#REF!</v>
      </c>
      <c r="P17" s="2003">
        <f t="shared" si="9"/>
        <v>0</v>
      </c>
      <c r="Q17" s="1989" t="e">
        <f>#REF!/10^7</f>
        <v>#REF!</v>
      </c>
      <c r="R17" s="2003">
        <f t="shared" si="10"/>
        <v>0</v>
      </c>
      <c r="S17" s="1989" t="e">
        <f>#REF!/10^7</f>
        <v>#REF!</v>
      </c>
      <c r="T17" s="2003">
        <f t="shared" si="11"/>
        <v>0</v>
      </c>
      <c r="U17" s="1989" t="e">
        <f>#REF!/10^7</f>
        <v>#REF!</v>
      </c>
      <c r="V17" s="1989" t="e">
        <f>#REF!/10^7</f>
        <v>#REF!</v>
      </c>
      <c r="W17" s="1989">
        <f t="shared" si="12"/>
        <v>0</v>
      </c>
      <c r="X17" s="1999" t="e">
        <f t="shared" si="13"/>
        <v>#REF!</v>
      </c>
      <c r="Y17" s="1993" t="e">
        <f>#REF!</f>
        <v>#REF!</v>
      </c>
      <c r="Z17" s="2003">
        <f t="shared" si="14"/>
        <v>0</v>
      </c>
      <c r="AA17" s="1989" t="e">
        <f>#REF!/10^7</f>
        <v>#REF!</v>
      </c>
      <c r="AB17" s="2003">
        <f t="shared" si="15"/>
        <v>0</v>
      </c>
      <c r="AC17" s="1989" t="e">
        <f>#REF!/10^7</f>
        <v>#REF!</v>
      </c>
      <c r="AD17" s="2003">
        <f t="shared" si="16"/>
        <v>0</v>
      </c>
      <c r="AE17" s="1989" t="e">
        <f>#REF!/10^7</f>
        <v>#REF!</v>
      </c>
      <c r="AF17" s="1989" t="e">
        <f>#REF!/10^7</f>
        <v>#REF!</v>
      </c>
      <c r="AG17" s="2002" t="e">
        <f t="shared" si="17"/>
        <v>#REF!</v>
      </c>
      <c r="AH17" s="1999" t="e">
        <f t="shared" si="1"/>
        <v>#REF!</v>
      </c>
      <c r="AI17" s="1993" t="e">
        <f>#REF!</f>
        <v>#REF!</v>
      </c>
      <c r="AJ17" s="2003">
        <f t="shared" si="18"/>
        <v>0</v>
      </c>
      <c r="AK17" s="1989" t="e">
        <f>#REF!/10^7</f>
        <v>#REF!</v>
      </c>
      <c r="AL17" s="2003">
        <f t="shared" si="2"/>
        <v>0</v>
      </c>
      <c r="AM17" s="1989" t="e">
        <f>#REF!/10^7</f>
        <v>#REF!</v>
      </c>
      <c r="AN17" s="2003">
        <f t="shared" si="2"/>
        <v>0</v>
      </c>
      <c r="AO17" s="1989" t="e">
        <f>#REF!/10^7</f>
        <v>#REF!</v>
      </c>
      <c r="AP17" s="1989" t="e">
        <f>#REF!/10^7</f>
        <v>#REF!</v>
      </c>
      <c r="AQ17" s="2002" t="e">
        <f t="shared" si="19"/>
        <v>#REF!</v>
      </c>
      <c r="AR17" s="1999" t="e">
        <f t="shared" si="3"/>
        <v>#REF!</v>
      </c>
      <c r="AS17" s="1993" t="e">
        <f>#REF!</f>
        <v>#REF!</v>
      </c>
      <c r="AT17" s="2003">
        <f t="shared" si="20"/>
        <v>0</v>
      </c>
      <c r="AU17" s="1989" t="e">
        <f>#REF!/10^7</f>
        <v>#REF!</v>
      </c>
      <c r="AV17" s="2003">
        <f t="shared" si="21"/>
        <v>0</v>
      </c>
      <c r="AW17" s="1989" t="e">
        <f>#REF!/10^7</f>
        <v>#REF!</v>
      </c>
      <c r="AX17" s="2003">
        <f t="shared" si="22"/>
        <v>0</v>
      </c>
      <c r="AY17" s="1989" t="e">
        <f>#REF!/10^7</f>
        <v>#REF!</v>
      </c>
      <c r="AZ17" s="1989" t="e">
        <f>#REF!/10^7</f>
        <v>#REF!</v>
      </c>
      <c r="BA17" s="2002" t="e">
        <f t="shared" si="23"/>
        <v>#REF!</v>
      </c>
      <c r="BB17" s="1999" t="e">
        <f t="shared" si="4"/>
        <v>#REF!</v>
      </c>
      <c r="BC17" s="1993" t="e">
        <f>#REF!</f>
        <v>#REF!</v>
      </c>
      <c r="BD17" s="2003">
        <f t="shared" si="24"/>
        <v>0</v>
      </c>
      <c r="BE17" s="1989" t="e">
        <f>#REF!/10^7</f>
        <v>#REF!</v>
      </c>
      <c r="BF17" s="2003">
        <f t="shared" si="25"/>
        <v>0</v>
      </c>
      <c r="BG17" s="1989" t="e">
        <f>#REF!/10^7</f>
        <v>#REF!</v>
      </c>
      <c r="BH17" s="2003">
        <f t="shared" si="26"/>
        <v>0</v>
      </c>
      <c r="BI17" s="1989" t="e">
        <f>#REF!/10^7</f>
        <v>#REF!</v>
      </c>
      <c r="BJ17" s="1989" t="e">
        <f>#REF!/10^7</f>
        <v>#REF!</v>
      </c>
      <c r="BK17" s="2002" t="e">
        <f t="shared" si="27"/>
        <v>#REF!</v>
      </c>
      <c r="BL17" s="1999" t="e">
        <f t="shared" si="28"/>
        <v>#REF!</v>
      </c>
      <c r="BM17" s="1993" t="e">
        <f>#REF!</f>
        <v>#REF!</v>
      </c>
      <c r="BN17" s="2003">
        <f t="shared" si="29"/>
        <v>0</v>
      </c>
      <c r="BO17" s="1989" t="e">
        <f>#REF!/10^7</f>
        <v>#REF!</v>
      </c>
      <c r="BP17" s="2003">
        <f t="shared" si="30"/>
        <v>0</v>
      </c>
      <c r="BQ17" s="1989" t="e">
        <f>#REF!/10^7</f>
        <v>#REF!</v>
      </c>
      <c r="BR17" s="2003">
        <f t="shared" si="31"/>
        <v>0</v>
      </c>
      <c r="BS17" s="1989" t="e">
        <f>#REF!/10^7</f>
        <v>#REF!</v>
      </c>
      <c r="BT17" s="1989" t="e">
        <f>#REF!/10^7</f>
        <v>#REF!</v>
      </c>
      <c r="BU17" s="2002" t="e">
        <f t="shared" si="32"/>
        <v>#REF!</v>
      </c>
      <c r="BV17" s="1999" t="e">
        <f t="shared" si="33"/>
        <v>#REF!</v>
      </c>
      <c r="BW17" s="1993" t="e">
        <f>#REF!</f>
        <v>#REF!</v>
      </c>
      <c r="BX17" s="2003">
        <f t="shared" si="34"/>
        <v>0</v>
      </c>
      <c r="BY17" s="1989" t="e">
        <f>#REF!/10^7</f>
        <v>#REF!</v>
      </c>
      <c r="BZ17" s="2003">
        <f t="shared" si="35"/>
        <v>0</v>
      </c>
      <c r="CA17" s="1989" t="e">
        <f>#REF!/10^7</f>
        <v>#REF!</v>
      </c>
      <c r="CB17" s="2003">
        <f t="shared" si="36"/>
        <v>0</v>
      </c>
      <c r="CC17" s="1989" t="e">
        <f>#REF!/10^7</f>
        <v>#REF!</v>
      </c>
      <c r="CD17" s="1989" t="e">
        <f>#REF!/10^7</f>
        <v>#REF!</v>
      </c>
      <c r="CE17" s="2002" t="e">
        <f t="shared" si="37"/>
        <v>#REF!</v>
      </c>
      <c r="CF17" s="1999" t="e">
        <f t="shared" si="38"/>
        <v>#REF!</v>
      </c>
      <c r="CG17" s="1993" t="e">
        <f>#REF!</f>
        <v>#REF!</v>
      </c>
      <c r="CH17" s="2003">
        <f t="shared" si="39"/>
        <v>0</v>
      </c>
      <c r="CI17" s="1989" t="e">
        <f>#REF!/10^7</f>
        <v>#REF!</v>
      </c>
      <c r="CJ17" s="2003">
        <f t="shared" si="40"/>
        <v>0</v>
      </c>
      <c r="CK17" s="1989" t="e">
        <f>#REF!/10^7</f>
        <v>#REF!</v>
      </c>
      <c r="CL17" s="2003">
        <f t="shared" si="41"/>
        <v>0</v>
      </c>
      <c r="CM17" s="1989" t="e">
        <f>#REF!/10^7</f>
        <v>#REF!</v>
      </c>
      <c r="CN17" s="1989" t="e">
        <f>#REF!/10^7</f>
        <v>#REF!</v>
      </c>
      <c r="CO17" s="2002" t="e">
        <f t="shared" si="42"/>
        <v>#REF!</v>
      </c>
      <c r="CP17" s="1999" t="e">
        <f t="shared" si="43"/>
        <v>#REF!</v>
      </c>
      <c r="CQ17" s="1993" t="e">
        <f>#REF!</f>
        <v>#REF!</v>
      </c>
      <c r="CR17" s="2003">
        <f t="shared" si="44"/>
        <v>0</v>
      </c>
      <c r="CS17" s="1989" t="e">
        <f>#REF!/10^7</f>
        <v>#REF!</v>
      </c>
      <c r="CT17" s="2003">
        <f t="shared" si="45"/>
        <v>0</v>
      </c>
      <c r="CU17" s="1989" t="e">
        <f>#REF!/10^7</f>
        <v>#REF!</v>
      </c>
      <c r="CV17" s="2003">
        <f t="shared" si="46"/>
        <v>0</v>
      </c>
      <c r="CW17" s="1989" t="e">
        <f>#REF!/10^7</f>
        <v>#REF!</v>
      </c>
      <c r="CX17" s="1989" t="e">
        <f>#REF!/10^7</f>
        <v>#REF!</v>
      </c>
      <c r="CY17" s="2002" t="e">
        <f t="shared" si="47"/>
        <v>#REF!</v>
      </c>
      <c r="CZ17" s="1999" t="e">
        <f t="shared" si="48"/>
        <v>#REF!</v>
      </c>
      <c r="DA17" s="1993" t="e">
        <f>#REF!</f>
        <v>#REF!</v>
      </c>
      <c r="DB17" s="2003">
        <f t="shared" si="49"/>
        <v>0</v>
      </c>
      <c r="DC17" s="1989" t="e">
        <f>#REF!/10^7</f>
        <v>#REF!</v>
      </c>
      <c r="DD17" s="2003">
        <f t="shared" si="50"/>
        <v>0</v>
      </c>
      <c r="DE17" s="1989" t="e">
        <f>#REF!/10^7</f>
        <v>#REF!</v>
      </c>
      <c r="DF17" s="2003">
        <f t="shared" si="51"/>
        <v>0</v>
      </c>
      <c r="DG17" s="1989" t="e">
        <f>#REF!/10^7</f>
        <v>#REF!</v>
      </c>
      <c r="DH17" s="1989" t="e">
        <f>#REF!/10^7</f>
        <v>#REF!</v>
      </c>
      <c r="DI17" s="2002" t="e">
        <f t="shared" si="52"/>
        <v>#REF!</v>
      </c>
      <c r="DJ17" s="1999" t="e">
        <f t="shared" si="53"/>
        <v>#REF!</v>
      </c>
      <c r="DK17" s="1993" t="e">
        <f>#REF!</f>
        <v>#REF!</v>
      </c>
      <c r="DL17" s="2003">
        <f t="shared" si="54"/>
        <v>0</v>
      </c>
      <c r="DM17" s="1989" t="e">
        <f>#REF!/10^7</f>
        <v>#REF!</v>
      </c>
      <c r="DN17" s="2003">
        <f t="shared" si="55"/>
        <v>0</v>
      </c>
      <c r="DO17" s="1989" t="e">
        <f>#REF!/10^7</f>
        <v>#REF!</v>
      </c>
      <c r="DP17" s="2003">
        <f t="shared" si="56"/>
        <v>0</v>
      </c>
      <c r="DQ17" s="1989" t="e">
        <f>#REF!/10^7</f>
        <v>#REF!</v>
      </c>
      <c r="DR17" s="1989" t="e">
        <f>#REF!/10^7</f>
        <v>#REF!</v>
      </c>
      <c r="DS17" s="2002" t="e">
        <f t="shared" si="57"/>
        <v>#REF!</v>
      </c>
      <c r="DT17" s="2004" t="e">
        <f t="shared" si="58"/>
        <v>#REF!</v>
      </c>
      <c r="DU17" s="1988" t="e">
        <f>#REF!</f>
        <v>#REF!</v>
      </c>
      <c r="DV17" s="2003">
        <f t="shared" si="59"/>
        <v>0</v>
      </c>
      <c r="DW17" s="1989" t="e">
        <f>#REF!/10^7</f>
        <v>#REF!</v>
      </c>
      <c r="DX17" s="2003">
        <f t="shared" si="60"/>
        <v>0</v>
      </c>
      <c r="DY17" s="1989" t="e">
        <f>#REF!/10^7</f>
        <v>#REF!</v>
      </c>
      <c r="DZ17" s="2003">
        <f t="shared" si="61"/>
        <v>0</v>
      </c>
      <c r="EA17" s="1989" t="e">
        <f>#REF!/10^7</f>
        <v>#REF!</v>
      </c>
      <c r="EB17" s="1989" t="e">
        <f>#REF!/10^7</f>
        <v>#REF!</v>
      </c>
      <c r="EC17" s="2002" t="e">
        <f t="shared" si="62"/>
        <v>#REF!</v>
      </c>
      <c r="ED17" s="1998" t="e">
        <f t="shared" si="63"/>
        <v>#REF!</v>
      </c>
      <c r="EE17" s="2005" t="e">
        <f t="shared" si="5"/>
        <v>#REF!</v>
      </c>
      <c r="EF17" s="2003">
        <f t="shared" si="64"/>
        <v>0</v>
      </c>
      <c r="EG17" s="1989" t="e">
        <f t="shared" si="6"/>
        <v>#REF!</v>
      </c>
      <c r="EH17" s="2003">
        <f t="shared" si="65"/>
        <v>0</v>
      </c>
      <c r="EI17" s="1989" t="e">
        <f t="shared" si="7"/>
        <v>#REF!</v>
      </c>
      <c r="EJ17" s="2003">
        <f t="shared" si="66"/>
        <v>0</v>
      </c>
      <c r="EK17" s="1989" t="e">
        <f t="shared" si="8"/>
        <v>#REF!</v>
      </c>
      <c r="EL17" s="1989" t="e">
        <f t="shared" si="8"/>
        <v>#REF!</v>
      </c>
      <c r="EM17" s="2006" t="e">
        <f t="shared" si="67"/>
        <v>#REF!</v>
      </c>
      <c r="EN17" s="1999" t="e">
        <f t="shared" si="68"/>
        <v>#REF!</v>
      </c>
      <c r="EP17" s="1613" t="e">
        <f>EA17-#REF!/10^7</f>
        <v>#REF!</v>
      </c>
      <c r="EW17" s="1611" t="e">
        <v>#N/A</v>
      </c>
      <c r="EX17" s="1612" t="s">
        <v>1649</v>
      </c>
      <c r="EZ17" s="1650">
        <f t="shared" si="69"/>
        <v>0</v>
      </c>
    </row>
    <row r="18" spans="1:156" ht="21" customHeight="1">
      <c r="A18" s="1652">
        <v>7</v>
      </c>
      <c r="B18" s="1644" t="s">
        <v>1655</v>
      </c>
      <c r="C18" s="1645">
        <v>1000</v>
      </c>
      <c r="D18" s="1646">
        <f t="shared" si="0"/>
        <v>100</v>
      </c>
      <c r="E18" s="1646">
        <v>47.39</v>
      </c>
      <c r="F18" s="1646">
        <v>9.6999999999999993</v>
      </c>
      <c r="G18" s="1641"/>
      <c r="H18" s="1651">
        <v>1000</v>
      </c>
      <c r="I18" s="1648" t="s">
        <v>1649</v>
      </c>
      <c r="J18" s="1649">
        <v>2</v>
      </c>
      <c r="K18" s="1648"/>
      <c r="L18" s="1641"/>
      <c r="M18" s="1641"/>
      <c r="N18" s="1642"/>
      <c r="O18" s="2000" t="e">
        <f>#REF!</f>
        <v>#REF!</v>
      </c>
      <c r="P18" s="2003">
        <f t="shared" si="9"/>
        <v>0</v>
      </c>
      <c r="Q18" s="1989" t="e">
        <f>#REF!/10^7</f>
        <v>#REF!</v>
      </c>
      <c r="R18" s="2003">
        <f t="shared" si="10"/>
        <v>0</v>
      </c>
      <c r="S18" s="1989" t="e">
        <f>#REF!/10^7</f>
        <v>#REF!</v>
      </c>
      <c r="T18" s="2003">
        <f t="shared" si="11"/>
        <v>0</v>
      </c>
      <c r="U18" s="1989" t="e">
        <f>#REF!/10^7</f>
        <v>#REF!</v>
      </c>
      <c r="V18" s="1989" t="e">
        <f>#REF!/10^7</f>
        <v>#REF!</v>
      </c>
      <c r="W18" s="1989">
        <f t="shared" si="12"/>
        <v>0</v>
      </c>
      <c r="X18" s="1999" t="e">
        <f t="shared" si="13"/>
        <v>#REF!</v>
      </c>
      <c r="Y18" s="1993" t="e">
        <f>#REF!</f>
        <v>#REF!</v>
      </c>
      <c r="Z18" s="2003">
        <f t="shared" si="14"/>
        <v>0</v>
      </c>
      <c r="AA18" s="1989" t="e">
        <f>#REF!/10^7</f>
        <v>#REF!</v>
      </c>
      <c r="AB18" s="2003">
        <f t="shared" si="15"/>
        <v>0</v>
      </c>
      <c r="AC18" s="1989" t="e">
        <f>#REF!/10^7</f>
        <v>#REF!</v>
      </c>
      <c r="AD18" s="2003">
        <f t="shared" si="16"/>
        <v>0</v>
      </c>
      <c r="AE18" s="1989" t="e">
        <f>#REF!/10^7</f>
        <v>#REF!</v>
      </c>
      <c r="AF18" s="1989" t="e">
        <f>#REF!/10^7</f>
        <v>#REF!</v>
      </c>
      <c r="AG18" s="2002" t="e">
        <f t="shared" si="17"/>
        <v>#REF!</v>
      </c>
      <c r="AH18" s="1999" t="e">
        <f t="shared" si="1"/>
        <v>#REF!</v>
      </c>
      <c r="AI18" s="1993" t="e">
        <f>#REF!</f>
        <v>#REF!</v>
      </c>
      <c r="AJ18" s="2003">
        <f t="shared" si="18"/>
        <v>0</v>
      </c>
      <c r="AK18" s="1989" t="e">
        <f>#REF!/10^7</f>
        <v>#REF!</v>
      </c>
      <c r="AL18" s="2003">
        <f t="shared" si="2"/>
        <v>0</v>
      </c>
      <c r="AM18" s="1989" t="e">
        <f>#REF!/10^7</f>
        <v>#REF!</v>
      </c>
      <c r="AN18" s="2003">
        <f t="shared" si="2"/>
        <v>0</v>
      </c>
      <c r="AO18" s="1989" t="e">
        <f>#REF!/10^7</f>
        <v>#REF!</v>
      </c>
      <c r="AP18" s="1989" t="e">
        <f>#REF!/10^7</f>
        <v>#REF!</v>
      </c>
      <c r="AQ18" s="2002" t="e">
        <f t="shared" si="19"/>
        <v>#REF!</v>
      </c>
      <c r="AR18" s="1999" t="e">
        <f t="shared" si="3"/>
        <v>#REF!</v>
      </c>
      <c r="AS18" s="1993" t="e">
        <f>#REF!</f>
        <v>#REF!</v>
      </c>
      <c r="AT18" s="2003">
        <f t="shared" si="20"/>
        <v>0</v>
      </c>
      <c r="AU18" s="1989" t="e">
        <f>#REF!/10^7</f>
        <v>#REF!</v>
      </c>
      <c r="AV18" s="2003">
        <f t="shared" si="21"/>
        <v>0</v>
      </c>
      <c r="AW18" s="1989" t="e">
        <f>#REF!/10^7</f>
        <v>#REF!</v>
      </c>
      <c r="AX18" s="2003">
        <f t="shared" si="22"/>
        <v>0</v>
      </c>
      <c r="AY18" s="1989" t="e">
        <f>#REF!/10^7</f>
        <v>#REF!</v>
      </c>
      <c r="AZ18" s="1989" t="e">
        <f>#REF!/10^7</f>
        <v>#REF!</v>
      </c>
      <c r="BA18" s="2002" t="e">
        <f t="shared" si="23"/>
        <v>#REF!</v>
      </c>
      <c r="BB18" s="1999" t="e">
        <f t="shared" si="4"/>
        <v>#REF!</v>
      </c>
      <c r="BC18" s="1993" t="e">
        <f>#REF!</f>
        <v>#REF!</v>
      </c>
      <c r="BD18" s="2003">
        <f t="shared" si="24"/>
        <v>0</v>
      </c>
      <c r="BE18" s="1989" t="e">
        <f>#REF!/10^7</f>
        <v>#REF!</v>
      </c>
      <c r="BF18" s="2003">
        <f t="shared" si="25"/>
        <v>0</v>
      </c>
      <c r="BG18" s="1989" t="e">
        <f>#REF!/10^7</f>
        <v>#REF!</v>
      </c>
      <c r="BH18" s="2003">
        <f t="shared" si="26"/>
        <v>0</v>
      </c>
      <c r="BI18" s="1989" t="e">
        <f>#REF!/10^7</f>
        <v>#REF!</v>
      </c>
      <c r="BJ18" s="1989" t="e">
        <f>#REF!/10^7</f>
        <v>#REF!</v>
      </c>
      <c r="BK18" s="2002" t="e">
        <f t="shared" si="27"/>
        <v>#REF!</v>
      </c>
      <c r="BL18" s="1999" t="e">
        <f t="shared" si="28"/>
        <v>#REF!</v>
      </c>
      <c r="BM18" s="1993" t="e">
        <f>#REF!</f>
        <v>#REF!</v>
      </c>
      <c r="BN18" s="2003">
        <f t="shared" si="29"/>
        <v>0</v>
      </c>
      <c r="BO18" s="1989" t="e">
        <f>#REF!/10^7</f>
        <v>#REF!</v>
      </c>
      <c r="BP18" s="2003">
        <f t="shared" si="30"/>
        <v>0</v>
      </c>
      <c r="BQ18" s="1989" t="e">
        <f>#REF!/10^7</f>
        <v>#REF!</v>
      </c>
      <c r="BR18" s="2003">
        <f t="shared" si="31"/>
        <v>0</v>
      </c>
      <c r="BS18" s="1989" t="e">
        <f>#REF!/10^7</f>
        <v>#REF!</v>
      </c>
      <c r="BT18" s="1989" t="e">
        <f>#REF!/10^7</f>
        <v>#REF!</v>
      </c>
      <c r="BU18" s="2002" t="e">
        <f t="shared" si="32"/>
        <v>#REF!</v>
      </c>
      <c r="BV18" s="1999" t="e">
        <f t="shared" si="33"/>
        <v>#REF!</v>
      </c>
      <c r="BW18" s="1993" t="e">
        <f>#REF!</f>
        <v>#REF!</v>
      </c>
      <c r="BX18" s="2003">
        <f t="shared" si="34"/>
        <v>0</v>
      </c>
      <c r="BY18" s="1989" t="e">
        <f>#REF!/10^7</f>
        <v>#REF!</v>
      </c>
      <c r="BZ18" s="2003">
        <f t="shared" si="35"/>
        <v>0</v>
      </c>
      <c r="CA18" s="1989" t="e">
        <f>#REF!/10^7</f>
        <v>#REF!</v>
      </c>
      <c r="CB18" s="2003">
        <f t="shared" si="36"/>
        <v>0</v>
      </c>
      <c r="CC18" s="1989" t="e">
        <f>#REF!/10^7</f>
        <v>#REF!</v>
      </c>
      <c r="CD18" s="1989" t="e">
        <f>#REF!/10^7</f>
        <v>#REF!</v>
      </c>
      <c r="CE18" s="2002" t="e">
        <f t="shared" si="37"/>
        <v>#REF!</v>
      </c>
      <c r="CF18" s="1999" t="e">
        <f t="shared" si="38"/>
        <v>#REF!</v>
      </c>
      <c r="CG18" s="1993" t="e">
        <f>#REF!</f>
        <v>#REF!</v>
      </c>
      <c r="CH18" s="2003">
        <f t="shared" si="39"/>
        <v>0</v>
      </c>
      <c r="CI18" s="1989" t="e">
        <f>#REF!/10^7</f>
        <v>#REF!</v>
      </c>
      <c r="CJ18" s="2003">
        <f t="shared" si="40"/>
        <v>0</v>
      </c>
      <c r="CK18" s="1989" t="e">
        <f>#REF!/10^7</f>
        <v>#REF!</v>
      </c>
      <c r="CL18" s="2003">
        <f t="shared" si="41"/>
        <v>0</v>
      </c>
      <c r="CM18" s="1989" t="e">
        <f>#REF!/10^7</f>
        <v>#REF!</v>
      </c>
      <c r="CN18" s="1989" t="e">
        <f>#REF!/10^7</f>
        <v>#REF!</v>
      </c>
      <c r="CO18" s="2002" t="e">
        <f t="shared" si="42"/>
        <v>#REF!</v>
      </c>
      <c r="CP18" s="1999" t="e">
        <f t="shared" si="43"/>
        <v>#REF!</v>
      </c>
      <c r="CQ18" s="1993" t="e">
        <f>#REF!</f>
        <v>#REF!</v>
      </c>
      <c r="CR18" s="2003">
        <f t="shared" si="44"/>
        <v>0</v>
      </c>
      <c r="CS18" s="1989" t="e">
        <f>#REF!/10^7</f>
        <v>#REF!</v>
      </c>
      <c r="CT18" s="2003">
        <f t="shared" si="45"/>
        <v>0</v>
      </c>
      <c r="CU18" s="1989" t="e">
        <f>#REF!/10^7</f>
        <v>#REF!</v>
      </c>
      <c r="CV18" s="2003">
        <f t="shared" si="46"/>
        <v>0</v>
      </c>
      <c r="CW18" s="1989" t="e">
        <f>#REF!/10^7</f>
        <v>#REF!</v>
      </c>
      <c r="CX18" s="1989" t="e">
        <f>#REF!/10^7</f>
        <v>#REF!</v>
      </c>
      <c r="CY18" s="2002" t="e">
        <f t="shared" si="47"/>
        <v>#REF!</v>
      </c>
      <c r="CZ18" s="1999" t="e">
        <f t="shared" si="48"/>
        <v>#REF!</v>
      </c>
      <c r="DA18" s="1993" t="e">
        <f>#REF!</f>
        <v>#REF!</v>
      </c>
      <c r="DB18" s="2003">
        <f t="shared" si="49"/>
        <v>0</v>
      </c>
      <c r="DC18" s="1989" t="e">
        <f>#REF!/10^7</f>
        <v>#REF!</v>
      </c>
      <c r="DD18" s="2003">
        <f t="shared" si="50"/>
        <v>0</v>
      </c>
      <c r="DE18" s="1989" t="e">
        <f>#REF!/10^7</f>
        <v>#REF!</v>
      </c>
      <c r="DF18" s="2003">
        <f t="shared" si="51"/>
        <v>0</v>
      </c>
      <c r="DG18" s="1989" t="e">
        <f>#REF!/10^7</f>
        <v>#REF!</v>
      </c>
      <c r="DH18" s="1989" t="e">
        <f>#REF!/10^7</f>
        <v>#REF!</v>
      </c>
      <c r="DI18" s="2002" t="e">
        <f t="shared" si="52"/>
        <v>#REF!</v>
      </c>
      <c r="DJ18" s="1999" t="e">
        <f t="shared" si="53"/>
        <v>#REF!</v>
      </c>
      <c r="DK18" s="1993" t="e">
        <f>#REF!</f>
        <v>#REF!</v>
      </c>
      <c r="DL18" s="2003">
        <f t="shared" si="54"/>
        <v>0</v>
      </c>
      <c r="DM18" s="1989" t="e">
        <f>#REF!/10^7</f>
        <v>#REF!</v>
      </c>
      <c r="DN18" s="2003">
        <f t="shared" si="55"/>
        <v>0</v>
      </c>
      <c r="DO18" s="1989" t="e">
        <f>#REF!/10^7</f>
        <v>#REF!</v>
      </c>
      <c r="DP18" s="2003">
        <f t="shared" si="56"/>
        <v>0</v>
      </c>
      <c r="DQ18" s="1989" t="e">
        <f>#REF!/10^7</f>
        <v>#REF!</v>
      </c>
      <c r="DR18" s="1989" t="e">
        <f>#REF!/10^7</f>
        <v>#REF!</v>
      </c>
      <c r="DS18" s="2002" t="e">
        <f t="shared" si="57"/>
        <v>#REF!</v>
      </c>
      <c r="DT18" s="2004" t="e">
        <f t="shared" si="58"/>
        <v>#REF!</v>
      </c>
      <c r="DU18" s="1988" t="e">
        <f>#REF!</f>
        <v>#REF!</v>
      </c>
      <c r="DV18" s="2003">
        <f t="shared" si="59"/>
        <v>0</v>
      </c>
      <c r="DW18" s="1989" t="e">
        <f>#REF!/10^7</f>
        <v>#REF!</v>
      </c>
      <c r="DX18" s="2003">
        <f t="shared" si="60"/>
        <v>0</v>
      </c>
      <c r="DY18" s="1989" t="e">
        <f>#REF!/10^7</f>
        <v>#REF!</v>
      </c>
      <c r="DZ18" s="2003">
        <f t="shared" si="61"/>
        <v>0</v>
      </c>
      <c r="EA18" s="1989" t="e">
        <f>#REF!/10^7</f>
        <v>#REF!</v>
      </c>
      <c r="EB18" s="1989" t="e">
        <f>#REF!/10^7</f>
        <v>#REF!</v>
      </c>
      <c r="EC18" s="2002" t="e">
        <f t="shared" si="62"/>
        <v>#REF!</v>
      </c>
      <c r="ED18" s="1998" t="e">
        <f t="shared" si="63"/>
        <v>#REF!</v>
      </c>
      <c r="EE18" s="2005" t="e">
        <f t="shared" si="5"/>
        <v>#REF!</v>
      </c>
      <c r="EF18" s="2003">
        <f t="shared" si="64"/>
        <v>0</v>
      </c>
      <c r="EG18" s="1989" t="e">
        <f t="shared" si="6"/>
        <v>#REF!</v>
      </c>
      <c r="EH18" s="2003">
        <f t="shared" si="65"/>
        <v>0</v>
      </c>
      <c r="EI18" s="1989" t="e">
        <f t="shared" si="7"/>
        <v>#REF!</v>
      </c>
      <c r="EJ18" s="2003">
        <f t="shared" si="66"/>
        <v>0</v>
      </c>
      <c r="EK18" s="1989" t="e">
        <f t="shared" si="8"/>
        <v>#REF!</v>
      </c>
      <c r="EL18" s="1989" t="e">
        <f t="shared" si="8"/>
        <v>#REF!</v>
      </c>
      <c r="EM18" s="2006" t="e">
        <f t="shared" si="67"/>
        <v>#REF!</v>
      </c>
      <c r="EN18" s="1999" t="e">
        <f t="shared" si="68"/>
        <v>#REF!</v>
      </c>
      <c r="EP18" s="1613" t="e">
        <f>EA18-#REF!/10^7</f>
        <v>#REF!</v>
      </c>
      <c r="EW18" s="1611" t="s">
        <v>1649</v>
      </c>
      <c r="EX18" s="1612" t="s">
        <v>1649</v>
      </c>
      <c r="EZ18" s="1650">
        <f t="shared" si="69"/>
        <v>0</v>
      </c>
    </row>
    <row r="19" spans="1:156" ht="21" customHeight="1">
      <c r="A19" s="1652">
        <v>8</v>
      </c>
      <c r="B19" s="1644" t="s">
        <v>1656</v>
      </c>
      <c r="C19" s="1645">
        <v>110</v>
      </c>
      <c r="D19" s="1646">
        <f t="shared" si="0"/>
        <v>100</v>
      </c>
      <c r="E19" s="1646">
        <v>76.73</v>
      </c>
      <c r="F19" s="1646">
        <v>10.5</v>
      </c>
      <c r="G19" s="1641"/>
      <c r="H19" s="1651">
        <v>110</v>
      </c>
      <c r="I19" s="1648" t="s">
        <v>1649</v>
      </c>
      <c r="J19" s="1649">
        <v>2</v>
      </c>
      <c r="K19" s="1648"/>
      <c r="L19" s="1641"/>
      <c r="M19" s="1641"/>
      <c r="N19" s="1642"/>
      <c r="O19" s="2000" t="e">
        <f>#REF!</f>
        <v>#REF!</v>
      </c>
      <c r="P19" s="2003">
        <f t="shared" si="9"/>
        <v>0</v>
      </c>
      <c r="Q19" s="1989" t="e">
        <f>#REF!/10^7</f>
        <v>#REF!</v>
      </c>
      <c r="R19" s="2003">
        <f t="shared" si="10"/>
        <v>0</v>
      </c>
      <c r="S19" s="1989" t="e">
        <f>#REF!/10^7</f>
        <v>#REF!</v>
      </c>
      <c r="T19" s="2003">
        <f t="shared" si="11"/>
        <v>0</v>
      </c>
      <c r="U19" s="1989" t="e">
        <f>#REF!/10^7</f>
        <v>#REF!</v>
      </c>
      <c r="V19" s="1989" t="e">
        <f>#REF!/10^7</f>
        <v>#REF!</v>
      </c>
      <c r="W19" s="1989">
        <f t="shared" si="12"/>
        <v>0</v>
      </c>
      <c r="X19" s="1999" t="e">
        <f t="shared" si="13"/>
        <v>#REF!</v>
      </c>
      <c r="Y19" s="1993" t="e">
        <f>#REF!</f>
        <v>#REF!</v>
      </c>
      <c r="Z19" s="2003">
        <f t="shared" si="14"/>
        <v>0</v>
      </c>
      <c r="AA19" s="1989" t="e">
        <f>#REF!/10^7</f>
        <v>#REF!</v>
      </c>
      <c r="AB19" s="2003">
        <f t="shared" si="15"/>
        <v>0</v>
      </c>
      <c r="AC19" s="1989" t="e">
        <f>#REF!/10^7</f>
        <v>#REF!</v>
      </c>
      <c r="AD19" s="2003">
        <f t="shared" si="16"/>
        <v>0</v>
      </c>
      <c r="AE19" s="1989" t="e">
        <f>#REF!/10^7</f>
        <v>#REF!</v>
      </c>
      <c r="AF19" s="1989" t="e">
        <f>#REF!/10^7</f>
        <v>#REF!</v>
      </c>
      <c r="AG19" s="2002" t="e">
        <f t="shared" si="17"/>
        <v>#REF!</v>
      </c>
      <c r="AH19" s="1999" t="e">
        <f t="shared" si="1"/>
        <v>#REF!</v>
      </c>
      <c r="AI19" s="1993" t="e">
        <f>#REF!</f>
        <v>#REF!</v>
      </c>
      <c r="AJ19" s="2003">
        <f t="shared" si="18"/>
        <v>0</v>
      </c>
      <c r="AK19" s="1989" t="e">
        <f>#REF!/10^7</f>
        <v>#REF!</v>
      </c>
      <c r="AL19" s="2003">
        <f t="shared" si="2"/>
        <v>0</v>
      </c>
      <c r="AM19" s="1989" t="e">
        <f>#REF!/10^7</f>
        <v>#REF!</v>
      </c>
      <c r="AN19" s="2003">
        <f t="shared" si="2"/>
        <v>0</v>
      </c>
      <c r="AO19" s="1989" t="e">
        <f>#REF!/10^7</f>
        <v>#REF!</v>
      </c>
      <c r="AP19" s="1989" t="e">
        <f>#REF!/10^7</f>
        <v>#REF!</v>
      </c>
      <c r="AQ19" s="2002" t="e">
        <f t="shared" si="19"/>
        <v>#REF!</v>
      </c>
      <c r="AR19" s="1999" t="e">
        <f t="shared" si="3"/>
        <v>#REF!</v>
      </c>
      <c r="AS19" s="1993" t="e">
        <f>#REF!</f>
        <v>#REF!</v>
      </c>
      <c r="AT19" s="2003">
        <f t="shared" si="20"/>
        <v>0</v>
      </c>
      <c r="AU19" s="1989" t="e">
        <f>#REF!/10^7</f>
        <v>#REF!</v>
      </c>
      <c r="AV19" s="2003">
        <f t="shared" si="21"/>
        <v>0</v>
      </c>
      <c r="AW19" s="1989" t="e">
        <f>#REF!/10^7</f>
        <v>#REF!</v>
      </c>
      <c r="AX19" s="2003">
        <f t="shared" si="22"/>
        <v>0</v>
      </c>
      <c r="AY19" s="1989" t="e">
        <f>#REF!/10^7</f>
        <v>#REF!</v>
      </c>
      <c r="AZ19" s="1989" t="e">
        <f>#REF!/10^7</f>
        <v>#REF!</v>
      </c>
      <c r="BA19" s="2002" t="e">
        <f t="shared" si="23"/>
        <v>#REF!</v>
      </c>
      <c r="BB19" s="1999" t="e">
        <f t="shared" si="4"/>
        <v>#REF!</v>
      </c>
      <c r="BC19" s="1993" t="e">
        <f>#REF!</f>
        <v>#REF!</v>
      </c>
      <c r="BD19" s="2003">
        <f t="shared" si="24"/>
        <v>0</v>
      </c>
      <c r="BE19" s="1989" t="e">
        <f>#REF!/10^7</f>
        <v>#REF!</v>
      </c>
      <c r="BF19" s="2003">
        <f t="shared" si="25"/>
        <v>0</v>
      </c>
      <c r="BG19" s="1989" t="e">
        <f>#REF!/10^7</f>
        <v>#REF!</v>
      </c>
      <c r="BH19" s="2003">
        <f t="shared" si="26"/>
        <v>0</v>
      </c>
      <c r="BI19" s="1989" t="e">
        <f>#REF!/10^7</f>
        <v>#REF!</v>
      </c>
      <c r="BJ19" s="1989" t="e">
        <f>#REF!/10^7</f>
        <v>#REF!</v>
      </c>
      <c r="BK19" s="2002" t="e">
        <f t="shared" si="27"/>
        <v>#REF!</v>
      </c>
      <c r="BL19" s="1999" t="e">
        <f t="shared" si="28"/>
        <v>#REF!</v>
      </c>
      <c r="BM19" s="1993" t="e">
        <f>#REF!</f>
        <v>#REF!</v>
      </c>
      <c r="BN19" s="2003">
        <f t="shared" si="29"/>
        <v>0</v>
      </c>
      <c r="BO19" s="1989" t="e">
        <f>#REF!/10^7</f>
        <v>#REF!</v>
      </c>
      <c r="BP19" s="2003">
        <f t="shared" si="30"/>
        <v>0</v>
      </c>
      <c r="BQ19" s="1989" t="e">
        <f>#REF!/10^7</f>
        <v>#REF!</v>
      </c>
      <c r="BR19" s="2003">
        <f t="shared" si="31"/>
        <v>0</v>
      </c>
      <c r="BS19" s="1989" t="e">
        <f>#REF!/10^7</f>
        <v>#REF!</v>
      </c>
      <c r="BT19" s="1989" t="e">
        <f>#REF!/10^7</f>
        <v>#REF!</v>
      </c>
      <c r="BU19" s="2002" t="e">
        <f t="shared" si="32"/>
        <v>#REF!</v>
      </c>
      <c r="BV19" s="1999" t="e">
        <f t="shared" si="33"/>
        <v>#REF!</v>
      </c>
      <c r="BW19" s="1993" t="e">
        <f>#REF!</f>
        <v>#REF!</v>
      </c>
      <c r="BX19" s="2003">
        <f t="shared" si="34"/>
        <v>0</v>
      </c>
      <c r="BY19" s="1989" t="e">
        <f>#REF!/10^7</f>
        <v>#REF!</v>
      </c>
      <c r="BZ19" s="2003">
        <f t="shared" si="35"/>
        <v>0</v>
      </c>
      <c r="CA19" s="1989" t="e">
        <f>#REF!/10^7</f>
        <v>#REF!</v>
      </c>
      <c r="CB19" s="2003">
        <f t="shared" si="36"/>
        <v>0</v>
      </c>
      <c r="CC19" s="1989" t="e">
        <f>#REF!/10^7</f>
        <v>#REF!</v>
      </c>
      <c r="CD19" s="1989" t="e">
        <f>#REF!/10^7</f>
        <v>#REF!</v>
      </c>
      <c r="CE19" s="2002" t="e">
        <f t="shared" si="37"/>
        <v>#REF!</v>
      </c>
      <c r="CF19" s="1999" t="e">
        <f t="shared" si="38"/>
        <v>#REF!</v>
      </c>
      <c r="CG19" s="1993" t="e">
        <f>#REF!</f>
        <v>#REF!</v>
      </c>
      <c r="CH19" s="2003">
        <f t="shared" si="39"/>
        <v>0</v>
      </c>
      <c r="CI19" s="1989" t="e">
        <f>#REF!/10^7</f>
        <v>#REF!</v>
      </c>
      <c r="CJ19" s="2003">
        <f t="shared" si="40"/>
        <v>0</v>
      </c>
      <c r="CK19" s="1989" t="e">
        <f>#REF!/10^7</f>
        <v>#REF!</v>
      </c>
      <c r="CL19" s="2003">
        <f t="shared" si="41"/>
        <v>0</v>
      </c>
      <c r="CM19" s="1989" t="e">
        <f>#REF!/10^7</f>
        <v>#REF!</v>
      </c>
      <c r="CN19" s="1989" t="e">
        <f>#REF!/10^7</f>
        <v>#REF!</v>
      </c>
      <c r="CO19" s="2002" t="e">
        <f t="shared" si="42"/>
        <v>#REF!</v>
      </c>
      <c r="CP19" s="1999" t="e">
        <f t="shared" si="43"/>
        <v>#REF!</v>
      </c>
      <c r="CQ19" s="1993" t="e">
        <f>#REF!</f>
        <v>#REF!</v>
      </c>
      <c r="CR19" s="2003">
        <f t="shared" si="44"/>
        <v>0</v>
      </c>
      <c r="CS19" s="1989" t="e">
        <f>#REF!/10^7</f>
        <v>#REF!</v>
      </c>
      <c r="CT19" s="2003">
        <f t="shared" si="45"/>
        <v>0</v>
      </c>
      <c r="CU19" s="1989" t="e">
        <f>#REF!/10^7</f>
        <v>#REF!</v>
      </c>
      <c r="CV19" s="2003">
        <f t="shared" si="46"/>
        <v>0</v>
      </c>
      <c r="CW19" s="1989" t="e">
        <f>#REF!/10^7</f>
        <v>#REF!</v>
      </c>
      <c r="CX19" s="1989" t="e">
        <f>#REF!/10^7</f>
        <v>#REF!</v>
      </c>
      <c r="CY19" s="2002" t="e">
        <f t="shared" si="47"/>
        <v>#REF!</v>
      </c>
      <c r="CZ19" s="1999" t="e">
        <f t="shared" si="48"/>
        <v>#REF!</v>
      </c>
      <c r="DA19" s="1993" t="e">
        <f>#REF!</f>
        <v>#REF!</v>
      </c>
      <c r="DB19" s="2003">
        <f t="shared" si="49"/>
        <v>0</v>
      </c>
      <c r="DC19" s="1989" t="e">
        <f>#REF!/10^7</f>
        <v>#REF!</v>
      </c>
      <c r="DD19" s="2003">
        <f t="shared" si="50"/>
        <v>0</v>
      </c>
      <c r="DE19" s="1989" t="e">
        <f>#REF!/10^7</f>
        <v>#REF!</v>
      </c>
      <c r="DF19" s="2003">
        <f t="shared" si="51"/>
        <v>0</v>
      </c>
      <c r="DG19" s="1989" t="e">
        <f>#REF!/10^7</f>
        <v>#REF!</v>
      </c>
      <c r="DH19" s="1989" t="e">
        <f>#REF!/10^7</f>
        <v>#REF!</v>
      </c>
      <c r="DI19" s="2002" t="e">
        <f t="shared" si="52"/>
        <v>#REF!</v>
      </c>
      <c r="DJ19" s="1999" t="e">
        <f t="shared" si="53"/>
        <v>#REF!</v>
      </c>
      <c r="DK19" s="1993" t="e">
        <f>#REF!</f>
        <v>#REF!</v>
      </c>
      <c r="DL19" s="2003">
        <f t="shared" si="54"/>
        <v>0</v>
      </c>
      <c r="DM19" s="1989" t="e">
        <f>#REF!/10^7</f>
        <v>#REF!</v>
      </c>
      <c r="DN19" s="2003">
        <f t="shared" si="55"/>
        <v>0</v>
      </c>
      <c r="DO19" s="1989" t="e">
        <f>#REF!/10^7</f>
        <v>#REF!</v>
      </c>
      <c r="DP19" s="2003">
        <f t="shared" si="56"/>
        <v>0</v>
      </c>
      <c r="DQ19" s="1989" t="e">
        <f>#REF!/10^7</f>
        <v>#REF!</v>
      </c>
      <c r="DR19" s="1989" t="e">
        <f>#REF!/10^7</f>
        <v>#REF!</v>
      </c>
      <c r="DS19" s="2002" t="e">
        <f t="shared" si="57"/>
        <v>#REF!</v>
      </c>
      <c r="DT19" s="2004" t="e">
        <f t="shared" si="58"/>
        <v>#REF!</v>
      </c>
      <c r="DU19" s="1988" t="e">
        <f>#REF!</f>
        <v>#REF!</v>
      </c>
      <c r="DV19" s="2003">
        <f t="shared" si="59"/>
        <v>0</v>
      </c>
      <c r="DW19" s="1989" t="e">
        <f>#REF!/10^7</f>
        <v>#REF!</v>
      </c>
      <c r="DX19" s="2003">
        <f t="shared" si="60"/>
        <v>0</v>
      </c>
      <c r="DY19" s="1989" t="e">
        <f>#REF!/10^7</f>
        <v>#REF!</v>
      </c>
      <c r="DZ19" s="2003">
        <f t="shared" si="61"/>
        <v>0</v>
      </c>
      <c r="EA19" s="1989" t="e">
        <f>#REF!/10^7</f>
        <v>#REF!</v>
      </c>
      <c r="EB19" s="1989" t="e">
        <f>#REF!/10^7</f>
        <v>#REF!</v>
      </c>
      <c r="EC19" s="2002" t="e">
        <f t="shared" si="62"/>
        <v>#REF!</v>
      </c>
      <c r="ED19" s="1998" t="e">
        <f t="shared" si="63"/>
        <v>#REF!</v>
      </c>
      <c r="EE19" s="2005" t="e">
        <f t="shared" si="5"/>
        <v>#REF!</v>
      </c>
      <c r="EF19" s="2003">
        <f t="shared" si="64"/>
        <v>0</v>
      </c>
      <c r="EG19" s="1989" t="e">
        <f t="shared" si="6"/>
        <v>#REF!</v>
      </c>
      <c r="EH19" s="2003">
        <f t="shared" si="65"/>
        <v>0</v>
      </c>
      <c r="EI19" s="1989" t="e">
        <f t="shared" si="7"/>
        <v>#REF!</v>
      </c>
      <c r="EJ19" s="2003">
        <f t="shared" si="66"/>
        <v>0</v>
      </c>
      <c r="EK19" s="1989" t="e">
        <f t="shared" si="8"/>
        <v>#REF!</v>
      </c>
      <c r="EL19" s="1989" t="e">
        <f t="shared" si="8"/>
        <v>#REF!</v>
      </c>
      <c r="EM19" s="2006" t="e">
        <f t="shared" si="67"/>
        <v>#REF!</v>
      </c>
      <c r="EN19" s="1999" t="e">
        <f t="shared" si="68"/>
        <v>#REF!</v>
      </c>
      <c r="EP19" s="1613" t="e">
        <f>EA19-#REF!/10^7</f>
        <v>#REF!</v>
      </c>
      <c r="EW19" s="1611" t="e">
        <v>#N/A</v>
      </c>
      <c r="EX19" s="1612" t="s">
        <v>1649</v>
      </c>
      <c r="EZ19" s="1650">
        <f t="shared" si="69"/>
        <v>0</v>
      </c>
    </row>
    <row r="20" spans="1:156" ht="21" customHeight="1">
      <c r="A20" s="1652">
        <v>9</v>
      </c>
      <c r="B20" s="1644" t="s">
        <v>1657</v>
      </c>
      <c r="C20" s="1645">
        <v>500</v>
      </c>
      <c r="D20" s="1646">
        <f t="shared" si="0"/>
        <v>100</v>
      </c>
      <c r="E20" s="1646">
        <v>94.55</v>
      </c>
      <c r="F20" s="1646">
        <v>9</v>
      </c>
      <c r="G20" s="1641"/>
      <c r="H20" s="1651">
        <v>500</v>
      </c>
      <c r="I20" s="1648" t="s">
        <v>1649</v>
      </c>
      <c r="J20" s="1649">
        <v>2</v>
      </c>
      <c r="K20" s="1648"/>
      <c r="L20" s="1641"/>
      <c r="M20" s="1641"/>
      <c r="N20" s="1642"/>
      <c r="O20" s="2000" t="e">
        <f>#REF!</f>
        <v>#REF!</v>
      </c>
      <c r="P20" s="2003">
        <f t="shared" si="9"/>
        <v>0</v>
      </c>
      <c r="Q20" s="1989" t="e">
        <f>#REF!/10^7</f>
        <v>#REF!</v>
      </c>
      <c r="R20" s="2003">
        <f t="shared" si="10"/>
        <v>0</v>
      </c>
      <c r="S20" s="1989" t="e">
        <f>#REF!/10^7</f>
        <v>#REF!</v>
      </c>
      <c r="T20" s="2003">
        <f t="shared" si="11"/>
        <v>0</v>
      </c>
      <c r="U20" s="1989" t="e">
        <f>#REF!/10^7</f>
        <v>#REF!</v>
      </c>
      <c r="V20" s="1989" t="e">
        <f>#REF!/10^7</f>
        <v>#REF!</v>
      </c>
      <c r="W20" s="1989">
        <f t="shared" si="12"/>
        <v>0</v>
      </c>
      <c r="X20" s="1999" t="e">
        <f t="shared" si="13"/>
        <v>#REF!</v>
      </c>
      <c r="Y20" s="1993" t="e">
        <f>#REF!</f>
        <v>#REF!</v>
      </c>
      <c r="Z20" s="2003">
        <f t="shared" si="14"/>
        <v>0</v>
      </c>
      <c r="AA20" s="1989" t="e">
        <f>#REF!/10^7</f>
        <v>#REF!</v>
      </c>
      <c r="AB20" s="2003">
        <f t="shared" si="15"/>
        <v>0</v>
      </c>
      <c r="AC20" s="1989" t="e">
        <f>#REF!/10^7</f>
        <v>#REF!</v>
      </c>
      <c r="AD20" s="2003">
        <f t="shared" si="16"/>
        <v>0</v>
      </c>
      <c r="AE20" s="1989" t="e">
        <f>#REF!/10^7</f>
        <v>#REF!</v>
      </c>
      <c r="AF20" s="1989" t="e">
        <f>#REF!/10^7</f>
        <v>#REF!</v>
      </c>
      <c r="AG20" s="2002" t="e">
        <f t="shared" si="17"/>
        <v>#REF!</v>
      </c>
      <c r="AH20" s="1999" t="e">
        <f t="shared" si="1"/>
        <v>#REF!</v>
      </c>
      <c r="AI20" s="1993" t="e">
        <f>#REF!</f>
        <v>#REF!</v>
      </c>
      <c r="AJ20" s="2003">
        <f t="shared" si="18"/>
        <v>0</v>
      </c>
      <c r="AK20" s="1989" t="e">
        <f>#REF!/10^7</f>
        <v>#REF!</v>
      </c>
      <c r="AL20" s="2003">
        <f t="shared" si="2"/>
        <v>0</v>
      </c>
      <c r="AM20" s="1989" t="e">
        <f>#REF!/10^7</f>
        <v>#REF!</v>
      </c>
      <c r="AN20" s="2003">
        <f t="shared" si="2"/>
        <v>0</v>
      </c>
      <c r="AO20" s="1989" t="e">
        <f>#REF!/10^7</f>
        <v>#REF!</v>
      </c>
      <c r="AP20" s="1989" t="e">
        <f>#REF!/10^7</f>
        <v>#REF!</v>
      </c>
      <c r="AQ20" s="2002" t="e">
        <f t="shared" si="19"/>
        <v>#REF!</v>
      </c>
      <c r="AR20" s="1999" t="e">
        <f t="shared" si="3"/>
        <v>#REF!</v>
      </c>
      <c r="AS20" s="1993" t="e">
        <f>#REF!</f>
        <v>#REF!</v>
      </c>
      <c r="AT20" s="2003">
        <f t="shared" si="20"/>
        <v>0</v>
      </c>
      <c r="AU20" s="1989" t="e">
        <f>#REF!/10^7</f>
        <v>#REF!</v>
      </c>
      <c r="AV20" s="2003">
        <f t="shared" si="21"/>
        <v>0</v>
      </c>
      <c r="AW20" s="1989" t="e">
        <f>#REF!/10^7</f>
        <v>#REF!</v>
      </c>
      <c r="AX20" s="2003">
        <f t="shared" si="22"/>
        <v>0</v>
      </c>
      <c r="AY20" s="1989" t="e">
        <f>#REF!/10^7</f>
        <v>#REF!</v>
      </c>
      <c r="AZ20" s="1989" t="e">
        <f>#REF!/10^7</f>
        <v>#REF!</v>
      </c>
      <c r="BA20" s="2002" t="e">
        <f t="shared" si="23"/>
        <v>#REF!</v>
      </c>
      <c r="BB20" s="1999" t="e">
        <f t="shared" si="4"/>
        <v>#REF!</v>
      </c>
      <c r="BC20" s="1993" t="e">
        <f>#REF!</f>
        <v>#REF!</v>
      </c>
      <c r="BD20" s="2003">
        <f t="shared" si="24"/>
        <v>0</v>
      </c>
      <c r="BE20" s="1989" t="e">
        <f>#REF!/10^7</f>
        <v>#REF!</v>
      </c>
      <c r="BF20" s="2003">
        <f t="shared" si="25"/>
        <v>0</v>
      </c>
      <c r="BG20" s="1989" t="e">
        <f>#REF!/10^7</f>
        <v>#REF!</v>
      </c>
      <c r="BH20" s="2003">
        <f t="shared" si="26"/>
        <v>0</v>
      </c>
      <c r="BI20" s="1989" t="e">
        <f>#REF!/10^7</f>
        <v>#REF!</v>
      </c>
      <c r="BJ20" s="1989" t="e">
        <f>#REF!/10^7</f>
        <v>#REF!</v>
      </c>
      <c r="BK20" s="2002" t="e">
        <f t="shared" si="27"/>
        <v>#REF!</v>
      </c>
      <c r="BL20" s="1999" t="e">
        <f t="shared" si="28"/>
        <v>#REF!</v>
      </c>
      <c r="BM20" s="1993" t="e">
        <f>#REF!</f>
        <v>#REF!</v>
      </c>
      <c r="BN20" s="2003">
        <f t="shared" si="29"/>
        <v>0</v>
      </c>
      <c r="BO20" s="1989" t="e">
        <f>#REF!/10^7</f>
        <v>#REF!</v>
      </c>
      <c r="BP20" s="2003">
        <f t="shared" si="30"/>
        <v>0</v>
      </c>
      <c r="BQ20" s="1989" t="e">
        <f>#REF!/10^7</f>
        <v>#REF!</v>
      </c>
      <c r="BR20" s="2003">
        <f t="shared" si="31"/>
        <v>0</v>
      </c>
      <c r="BS20" s="1989" t="e">
        <f>#REF!/10^7</f>
        <v>#REF!</v>
      </c>
      <c r="BT20" s="1989" t="e">
        <f>#REF!/10^7</f>
        <v>#REF!</v>
      </c>
      <c r="BU20" s="2002" t="e">
        <f t="shared" si="32"/>
        <v>#REF!</v>
      </c>
      <c r="BV20" s="1999" t="e">
        <f t="shared" si="33"/>
        <v>#REF!</v>
      </c>
      <c r="BW20" s="1993" t="e">
        <f>#REF!</f>
        <v>#REF!</v>
      </c>
      <c r="BX20" s="2003">
        <f t="shared" si="34"/>
        <v>0</v>
      </c>
      <c r="BY20" s="1989" t="e">
        <f>#REF!/10^7</f>
        <v>#REF!</v>
      </c>
      <c r="BZ20" s="2003">
        <f t="shared" si="35"/>
        <v>0</v>
      </c>
      <c r="CA20" s="1989" t="e">
        <f>#REF!/10^7</f>
        <v>#REF!</v>
      </c>
      <c r="CB20" s="2003">
        <f t="shared" si="36"/>
        <v>0</v>
      </c>
      <c r="CC20" s="1989" t="e">
        <f>#REF!/10^7</f>
        <v>#REF!</v>
      </c>
      <c r="CD20" s="1989" t="e">
        <f>#REF!/10^7</f>
        <v>#REF!</v>
      </c>
      <c r="CE20" s="2002" t="e">
        <f t="shared" si="37"/>
        <v>#REF!</v>
      </c>
      <c r="CF20" s="1999" t="e">
        <f t="shared" si="38"/>
        <v>#REF!</v>
      </c>
      <c r="CG20" s="1993" t="e">
        <f>#REF!</f>
        <v>#REF!</v>
      </c>
      <c r="CH20" s="2003">
        <f t="shared" si="39"/>
        <v>0</v>
      </c>
      <c r="CI20" s="1989" t="e">
        <f>#REF!/10^7</f>
        <v>#REF!</v>
      </c>
      <c r="CJ20" s="2003">
        <f t="shared" si="40"/>
        <v>0</v>
      </c>
      <c r="CK20" s="1989" t="e">
        <f>#REF!/10^7</f>
        <v>#REF!</v>
      </c>
      <c r="CL20" s="2003">
        <f t="shared" si="41"/>
        <v>0</v>
      </c>
      <c r="CM20" s="1989" t="e">
        <f>#REF!/10^7</f>
        <v>#REF!</v>
      </c>
      <c r="CN20" s="1989" t="e">
        <f>#REF!/10^7</f>
        <v>#REF!</v>
      </c>
      <c r="CO20" s="2002" t="e">
        <f t="shared" si="42"/>
        <v>#REF!</v>
      </c>
      <c r="CP20" s="1999" t="e">
        <f t="shared" si="43"/>
        <v>#REF!</v>
      </c>
      <c r="CQ20" s="1993" t="e">
        <f>#REF!</f>
        <v>#REF!</v>
      </c>
      <c r="CR20" s="2003">
        <f t="shared" si="44"/>
        <v>0</v>
      </c>
      <c r="CS20" s="1989" t="e">
        <f>#REF!/10^7</f>
        <v>#REF!</v>
      </c>
      <c r="CT20" s="2003">
        <f t="shared" si="45"/>
        <v>0</v>
      </c>
      <c r="CU20" s="1989" t="e">
        <f>#REF!/10^7</f>
        <v>#REF!</v>
      </c>
      <c r="CV20" s="2003">
        <f t="shared" si="46"/>
        <v>0</v>
      </c>
      <c r="CW20" s="1989" t="e">
        <f>#REF!/10^7</f>
        <v>#REF!</v>
      </c>
      <c r="CX20" s="1989" t="e">
        <f>#REF!/10^7</f>
        <v>#REF!</v>
      </c>
      <c r="CY20" s="2002" t="e">
        <f t="shared" si="47"/>
        <v>#REF!</v>
      </c>
      <c r="CZ20" s="1999" t="e">
        <f t="shared" si="48"/>
        <v>#REF!</v>
      </c>
      <c r="DA20" s="1993" t="e">
        <f>#REF!</f>
        <v>#REF!</v>
      </c>
      <c r="DB20" s="2003">
        <f t="shared" si="49"/>
        <v>0</v>
      </c>
      <c r="DC20" s="1989" t="e">
        <f>#REF!/10^7</f>
        <v>#REF!</v>
      </c>
      <c r="DD20" s="2003">
        <f t="shared" si="50"/>
        <v>0</v>
      </c>
      <c r="DE20" s="1989" t="e">
        <f>#REF!/10^7</f>
        <v>#REF!</v>
      </c>
      <c r="DF20" s="2003">
        <f t="shared" si="51"/>
        <v>0</v>
      </c>
      <c r="DG20" s="1989" t="e">
        <f>#REF!/10^7</f>
        <v>#REF!</v>
      </c>
      <c r="DH20" s="1989" t="e">
        <f>#REF!/10^7</f>
        <v>#REF!</v>
      </c>
      <c r="DI20" s="2002" t="e">
        <f t="shared" si="52"/>
        <v>#REF!</v>
      </c>
      <c r="DJ20" s="1999" t="e">
        <f t="shared" si="53"/>
        <v>#REF!</v>
      </c>
      <c r="DK20" s="1993" t="e">
        <f>#REF!</f>
        <v>#REF!</v>
      </c>
      <c r="DL20" s="2003">
        <f t="shared" si="54"/>
        <v>0</v>
      </c>
      <c r="DM20" s="1989" t="e">
        <f>#REF!/10^7</f>
        <v>#REF!</v>
      </c>
      <c r="DN20" s="2003">
        <f t="shared" si="55"/>
        <v>0</v>
      </c>
      <c r="DO20" s="1989" t="e">
        <f>#REF!/10^7</f>
        <v>#REF!</v>
      </c>
      <c r="DP20" s="2003">
        <f t="shared" si="56"/>
        <v>0</v>
      </c>
      <c r="DQ20" s="1989" t="e">
        <f>#REF!/10^7</f>
        <v>#REF!</v>
      </c>
      <c r="DR20" s="1989" t="e">
        <f>#REF!/10^7</f>
        <v>#REF!</v>
      </c>
      <c r="DS20" s="2002" t="e">
        <f t="shared" si="57"/>
        <v>#REF!</v>
      </c>
      <c r="DT20" s="2004" t="e">
        <f t="shared" si="58"/>
        <v>#REF!</v>
      </c>
      <c r="DU20" s="1988" t="e">
        <f>#REF!</f>
        <v>#REF!</v>
      </c>
      <c r="DV20" s="2003">
        <f t="shared" si="59"/>
        <v>0</v>
      </c>
      <c r="DW20" s="1989" t="e">
        <f>#REF!/10^7</f>
        <v>#REF!</v>
      </c>
      <c r="DX20" s="2003">
        <f t="shared" si="60"/>
        <v>0</v>
      </c>
      <c r="DY20" s="1989" t="e">
        <f>#REF!/10^7</f>
        <v>#REF!</v>
      </c>
      <c r="DZ20" s="2003">
        <f t="shared" si="61"/>
        <v>0</v>
      </c>
      <c r="EA20" s="1989" t="e">
        <f>#REF!/10^7</f>
        <v>#REF!</v>
      </c>
      <c r="EB20" s="1989" t="e">
        <f>#REF!/10^7</f>
        <v>#REF!</v>
      </c>
      <c r="EC20" s="2002" t="e">
        <f t="shared" si="62"/>
        <v>#REF!</v>
      </c>
      <c r="ED20" s="1998" t="e">
        <f t="shared" si="63"/>
        <v>#REF!</v>
      </c>
      <c r="EE20" s="2005" t="e">
        <f t="shared" si="5"/>
        <v>#REF!</v>
      </c>
      <c r="EF20" s="2003">
        <f t="shared" si="64"/>
        <v>0</v>
      </c>
      <c r="EG20" s="1989" t="e">
        <f t="shared" si="6"/>
        <v>#REF!</v>
      </c>
      <c r="EH20" s="2003">
        <f t="shared" si="65"/>
        <v>0</v>
      </c>
      <c r="EI20" s="1989" t="e">
        <f t="shared" si="7"/>
        <v>#REF!</v>
      </c>
      <c r="EJ20" s="2003">
        <f t="shared" si="66"/>
        <v>0</v>
      </c>
      <c r="EK20" s="1989" t="e">
        <f t="shared" si="8"/>
        <v>#REF!</v>
      </c>
      <c r="EL20" s="1989" t="e">
        <f t="shared" si="8"/>
        <v>#REF!</v>
      </c>
      <c r="EM20" s="2006" t="e">
        <f t="shared" si="67"/>
        <v>#REF!</v>
      </c>
      <c r="EN20" s="1999" t="e">
        <f t="shared" si="68"/>
        <v>#REF!</v>
      </c>
      <c r="EP20" s="1613" t="e">
        <f>EA20-#REF!/10^7</f>
        <v>#REF!</v>
      </c>
      <c r="EW20" s="1611" t="s">
        <v>1649</v>
      </c>
      <c r="EX20" s="1612" t="s">
        <v>1649</v>
      </c>
      <c r="EZ20" s="1650">
        <f t="shared" si="69"/>
        <v>0</v>
      </c>
    </row>
    <row r="21" spans="1:156" ht="21" customHeight="1">
      <c r="A21" s="1652">
        <v>10</v>
      </c>
      <c r="B21" s="1644" t="s">
        <v>1658</v>
      </c>
      <c r="C21" s="1645">
        <v>500</v>
      </c>
      <c r="D21" s="1646">
        <f t="shared" si="0"/>
        <v>100</v>
      </c>
      <c r="E21" s="1646">
        <v>56.7</v>
      </c>
      <c r="F21" s="1646">
        <v>9</v>
      </c>
      <c r="G21" s="1641"/>
      <c r="H21" s="1651">
        <v>500</v>
      </c>
      <c r="I21" s="1648" t="s">
        <v>1649</v>
      </c>
      <c r="J21" s="1649">
        <v>2</v>
      </c>
      <c r="K21" s="1648"/>
      <c r="L21" s="1641"/>
      <c r="M21" s="1641"/>
      <c r="N21" s="1642"/>
      <c r="O21" s="2000" t="e">
        <f>#REF!</f>
        <v>#REF!</v>
      </c>
      <c r="P21" s="2003">
        <f t="shared" si="9"/>
        <v>0</v>
      </c>
      <c r="Q21" s="1989" t="e">
        <f>#REF!/10^7</f>
        <v>#REF!</v>
      </c>
      <c r="R21" s="2003">
        <f t="shared" si="10"/>
        <v>0</v>
      </c>
      <c r="S21" s="1989" t="e">
        <f>#REF!/10^7</f>
        <v>#REF!</v>
      </c>
      <c r="T21" s="2003">
        <f t="shared" si="11"/>
        <v>0</v>
      </c>
      <c r="U21" s="1989" t="e">
        <f>#REF!/10^7</f>
        <v>#REF!</v>
      </c>
      <c r="V21" s="1989" t="e">
        <f>#REF!/10^7</f>
        <v>#REF!</v>
      </c>
      <c r="W21" s="1989">
        <f t="shared" si="12"/>
        <v>0</v>
      </c>
      <c r="X21" s="1999" t="e">
        <f t="shared" si="13"/>
        <v>#REF!</v>
      </c>
      <c r="Y21" s="1993" t="e">
        <f>#REF!</f>
        <v>#REF!</v>
      </c>
      <c r="Z21" s="2003">
        <f t="shared" si="14"/>
        <v>0</v>
      </c>
      <c r="AA21" s="1989" t="e">
        <f>#REF!/10^7</f>
        <v>#REF!</v>
      </c>
      <c r="AB21" s="2003">
        <f t="shared" si="15"/>
        <v>0</v>
      </c>
      <c r="AC21" s="1989" t="e">
        <f>#REF!/10^7</f>
        <v>#REF!</v>
      </c>
      <c r="AD21" s="2003">
        <f t="shared" si="16"/>
        <v>0</v>
      </c>
      <c r="AE21" s="1989" t="e">
        <f>#REF!/10^7</f>
        <v>#REF!</v>
      </c>
      <c r="AF21" s="1989" t="e">
        <f>#REF!/10^7</f>
        <v>#REF!</v>
      </c>
      <c r="AG21" s="2002" t="e">
        <f t="shared" si="17"/>
        <v>#REF!</v>
      </c>
      <c r="AH21" s="1999" t="e">
        <f t="shared" si="1"/>
        <v>#REF!</v>
      </c>
      <c r="AI21" s="1993" t="e">
        <f>#REF!</f>
        <v>#REF!</v>
      </c>
      <c r="AJ21" s="2003">
        <f t="shared" si="18"/>
        <v>0</v>
      </c>
      <c r="AK21" s="1989" t="e">
        <f>#REF!/10^7</f>
        <v>#REF!</v>
      </c>
      <c r="AL21" s="2003">
        <f t="shared" si="2"/>
        <v>0</v>
      </c>
      <c r="AM21" s="1989" t="e">
        <f>#REF!/10^7</f>
        <v>#REF!</v>
      </c>
      <c r="AN21" s="2003">
        <f t="shared" si="2"/>
        <v>0</v>
      </c>
      <c r="AO21" s="1989" t="e">
        <f>#REF!/10^7</f>
        <v>#REF!</v>
      </c>
      <c r="AP21" s="1989" t="e">
        <f>#REF!/10^7</f>
        <v>#REF!</v>
      </c>
      <c r="AQ21" s="2002" t="e">
        <f t="shared" si="19"/>
        <v>#REF!</v>
      </c>
      <c r="AR21" s="1999" t="e">
        <f t="shared" si="3"/>
        <v>#REF!</v>
      </c>
      <c r="AS21" s="1993" t="e">
        <f>#REF!</f>
        <v>#REF!</v>
      </c>
      <c r="AT21" s="2003">
        <f t="shared" si="20"/>
        <v>0</v>
      </c>
      <c r="AU21" s="1989" t="e">
        <f>#REF!/10^7</f>
        <v>#REF!</v>
      </c>
      <c r="AV21" s="2003">
        <f t="shared" si="21"/>
        <v>0</v>
      </c>
      <c r="AW21" s="1989" t="e">
        <f>#REF!/10^7</f>
        <v>#REF!</v>
      </c>
      <c r="AX21" s="2003">
        <f t="shared" si="22"/>
        <v>0</v>
      </c>
      <c r="AY21" s="1989" t="e">
        <f>#REF!/10^7</f>
        <v>#REF!</v>
      </c>
      <c r="AZ21" s="1989" t="e">
        <f>#REF!/10^7</f>
        <v>#REF!</v>
      </c>
      <c r="BA21" s="2002" t="e">
        <f t="shared" si="23"/>
        <v>#REF!</v>
      </c>
      <c r="BB21" s="1999" t="e">
        <f t="shared" si="4"/>
        <v>#REF!</v>
      </c>
      <c r="BC21" s="1993" t="e">
        <f>#REF!</f>
        <v>#REF!</v>
      </c>
      <c r="BD21" s="2003">
        <f t="shared" si="24"/>
        <v>0</v>
      </c>
      <c r="BE21" s="1989" t="e">
        <f>#REF!/10^7</f>
        <v>#REF!</v>
      </c>
      <c r="BF21" s="2003">
        <f t="shared" si="25"/>
        <v>0</v>
      </c>
      <c r="BG21" s="1989" t="e">
        <f>#REF!/10^7</f>
        <v>#REF!</v>
      </c>
      <c r="BH21" s="2003">
        <f t="shared" si="26"/>
        <v>0</v>
      </c>
      <c r="BI21" s="1989" t="e">
        <f>#REF!/10^7</f>
        <v>#REF!</v>
      </c>
      <c r="BJ21" s="1989" t="e">
        <f>#REF!/10^7</f>
        <v>#REF!</v>
      </c>
      <c r="BK21" s="2002" t="e">
        <f t="shared" si="27"/>
        <v>#REF!</v>
      </c>
      <c r="BL21" s="1999" t="e">
        <f t="shared" si="28"/>
        <v>#REF!</v>
      </c>
      <c r="BM21" s="1993" t="e">
        <f>#REF!</f>
        <v>#REF!</v>
      </c>
      <c r="BN21" s="2003">
        <f t="shared" si="29"/>
        <v>0</v>
      </c>
      <c r="BO21" s="1989" t="e">
        <f>#REF!/10^7</f>
        <v>#REF!</v>
      </c>
      <c r="BP21" s="2003">
        <f t="shared" si="30"/>
        <v>0</v>
      </c>
      <c r="BQ21" s="1989" t="e">
        <f>#REF!/10^7</f>
        <v>#REF!</v>
      </c>
      <c r="BR21" s="2003">
        <f t="shared" si="31"/>
        <v>0</v>
      </c>
      <c r="BS21" s="1989" t="e">
        <f>#REF!/10^7</f>
        <v>#REF!</v>
      </c>
      <c r="BT21" s="1989" t="e">
        <f>#REF!/10^7</f>
        <v>#REF!</v>
      </c>
      <c r="BU21" s="2002" t="e">
        <f t="shared" si="32"/>
        <v>#REF!</v>
      </c>
      <c r="BV21" s="1999" t="e">
        <f t="shared" si="33"/>
        <v>#REF!</v>
      </c>
      <c r="BW21" s="1993" t="e">
        <f>#REF!</f>
        <v>#REF!</v>
      </c>
      <c r="BX21" s="2003">
        <f t="shared" si="34"/>
        <v>0</v>
      </c>
      <c r="BY21" s="1989" t="e">
        <f>#REF!/10^7</f>
        <v>#REF!</v>
      </c>
      <c r="BZ21" s="2003">
        <f t="shared" si="35"/>
        <v>0</v>
      </c>
      <c r="CA21" s="1989" t="e">
        <f>#REF!/10^7</f>
        <v>#REF!</v>
      </c>
      <c r="CB21" s="2003">
        <f t="shared" si="36"/>
        <v>0</v>
      </c>
      <c r="CC21" s="1989" t="e">
        <f>#REF!/10^7</f>
        <v>#REF!</v>
      </c>
      <c r="CD21" s="1989" t="e">
        <f>#REF!/10^7</f>
        <v>#REF!</v>
      </c>
      <c r="CE21" s="2002" t="e">
        <f t="shared" si="37"/>
        <v>#REF!</v>
      </c>
      <c r="CF21" s="1999" t="e">
        <f t="shared" si="38"/>
        <v>#REF!</v>
      </c>
      <c r="CG21" s="1993" t="e">
        <f>#REF!</f>
        <v>#REF!</v>
      </c>
      <c r="CH21" s="2003">
        <f t="shared" si="39"/>
        <v>0</v>
      </c>
      <c r="CI21" s="1989" t="e">
        <f>#REF!/10^7</f>
        <v>#REF!</v>
      </c>
      <c r="CJ21" s="2003">
        <f t="shared" si="40"/>
        <v>0</v>
      </c>
      <c r="CK21" s="1989" t="e">
        <f>#REF!/10^7</f>
        <v>#REF!</v>
      </c>
      <c r="CL21" s="2003">
        <f t="shared" si="41"/>
        <v>0</v>
      </c>
      <c r="CM21" s="1989" t="e">
        <f>#REF!/10^7</f>
        <v>#REF!</v>
      </c>
      <c r="CN21" s="1989" t="e">
        <f>#REF!/10^7</f>
        <v>#REF!</v>
      </c>
      <c r="CO21" s="2002" t="e">
        <f t="shared" si="42"/>
        <v>#REF!</v>
      </c>
      <c r="CP21" s="1999" t="e">
        <f t="shared" si="43"/>
        <v>#REF!</v>
      </c>
      <c r="CQ21" s="1993" t="e">
        <f>#REF!</f>
        <v>#REF!</v>
      </c>
      <c r="CR21" s="2003">
        <f t="shared" si="44"/>
        <v>0</v>
      </c>
      <c r="CS21" s="1989" t="e">
        <f>#REF!/10^7</f>
        <v>#REF!</v>
      </c>
      <c r="CT21" s="2003">
        <f t="shared" si="45"/>
        <v>0</v>
      </c>
      <c r="CU21" s="1989" t="e">
        <f>#REF!/10^7</f>
        <v>#REF!</v>
      </c>
      <c r="CV21" s="2003">
        <f t="shared" si="46"/>
        <v>0</v>
      </c>
      <c r="CW21" s="1989" t="e">
        <f>#REF!/10^7</f>
        <v>#REF!</v>
      </c>
      <c r="CX21" s="1989" t="e">
        <f>#REF!/10^7</f>
        <v>#REF!</v>
      </c>
      <c r="CY21" s="2002" t="e">
        <f t="shared" si="47"/>
        <v>#REF!</v>
      </c>
      <c r="CZ21" s="1999" t="e">
        <f t="shared" si="48"/>
        <v>#REF!</v>
      </c>
      <c r="DA21" s="1993" t="e">
        <f>#REF!</f>
        <v>#REF!</v>
      </c>
      <c r="DB21" s="2003">
        <f t="shared" si="49"/>
        <v>0</v>
      </c>
      <c r="DC21" s="1989" t="e">
        <f>#REF!/10^7</f>
        <v>#REF!</v>
      </c>
      <c r="DD21" s="2003">
        <f t="shared" si="50"/>
        <v>0</v>
      </c>
      <c r="DE21" s="1989" t="e">
        <f>#REF!/10^7</f>
        <v>#REF!</v>
      </c>
      <c r="DF21" s="2003">
        <f t="shared" si="51"/>
        <v>0</v>
      </c>
      <c r="DG21" s="1989" t="e">
        <f>#REF!/10^7</f>
        <v>#REF!</v>
      </c>
      <c r="DH21" s="1989" t="e">
        <f>#REF!/10^7</f>
        <v>#REF!</v>
      </c>
      <c r="DI21" s="2002" t="e">
        <f t="shared" si="52"/>
        <v>#REF!</v>
      </c>
      <c r="DJ21" s="1999" t="e">
        <f t="shared" si="53"/>
        <v>#REF!</v>
      </c>
      <c r="DK21" s="1993" t="e">
        <f>#REF!</f>
        <v>#REF!</v>
      </c>
      <c r="DL21" s="2003">
        <f t="shared" si="54"/>
        <v>0</v>
      </c>
      <c r="DM21" s="1989" t="e">
        <f>#REF!/10^7</f>
        <v>#REF!</v>
      </c>
      <c r="DN21" s="2003">
        <f t="shared" si="55"/>
        <v>0</v>
      </c>
      <c r="DO21" s="1989" t="e">
        <f>#REF!/10^7</f>
        <v>#REF!</v>
      </c>
      <c r="DP21" s="2003">
        <f t="shared" si="56"/>
        <v>0</v>
      </c>
      <c r="DQ21" s="1989" t="e">
        <f>#REF!/10^7</f>
        <v>#REF!</v>
      </c>
      <c r="DR21" s="1989" t="e">
        <f>#REF!/10^7</f>
        <v>#REF!</v>
      </c>
      <c r="DS21" s="2002" t="e">
        <f t="shared" si="57"/>
        <v>#REF!</v>
      </c>
      <c r="DT21" s="2004" t="e">
        <f t="shared" si="58"/>
        <v>#REF!</v>
      </c>
      <c r="DU21" s="1988" t="e">
        <f>#REF!</f>
        <v>#REF!</v>
      </c>
      <c r="DV21" s="2003">
        <f t="shared" si="59"/>
        <v>0</v>
      </c>
      <c r="DW21" s="1989" t="e">
        <f>#REF!/10^7</f>
        <v>#REF!</v>
      </c>
      <c r="DX21" s="2003">
        <f t="shared" si="60"/>
        <v>0</v>
      </c>
      <c r="DY21" s="1989" t="e">
        <f>#REF!/10^7</f>
        <v>#REF!</v>
      </c>
      <c r="DZ21" s="2003">
        <f t="shared" si="61"/>
        <v>0</v>
      </c>
      <c r="EA21" s="1989" t="e">
        <f>#REF!/10^7</f>
        <v>#REF!</v>
      </c>
      <c r="EB21" s="1989" t="e">
        <f>#REF!/10^7</f>
        <v>#REF!</v>
      </c>
      <c r="EC21" s="2002" t="e">
        <f t="shared" si="62"/>
        <v>#REF!</v>
      </c>
      <c r="ED21" s="1998" t="e">
        <f t="shared" si="63"/>
        <v>#REF!</v>
      </c>
      <c r="EE21" s="2005" t="e">
        <f t="shared" si="5"/>
        <v>#REF!</v>
      </c>
      <c r="EF21" s="2003">
        <f t="shared" si="64"/>
        <v>0</v>
      </c>
      <c r="EG21" s="1989" t="e">
        <f t="shared" si="6"/>
        <v>#REF!</v>
      </c>
      <c r="EH21" s="2003">
        <f t="shared" si="65"/>
        <v>0</v>
      </c>
      <c r="EI21" s="1989" t="e">
        <f t="shared" si="7"/>
        <v>#REF!</v>
      </c>
      <c r="EJ21" s="2003">
        <f t="shared" si="66"/>
        <v>0</v>
      </c>
      <c r="EK21" s="1989" t="e">
        <f t="shared" si="8"/>
        <v>#REF!</v>
      </c>
      <c r="EL21" s="1989" t="e">
        <f t="shared" si="8"/>
        <v>#REF!</v>
      </c>
      <c r="EM21" s="2006" t="e">
        <f t="shared" si="67"/>
        <v>#REF!</v>
      </c>
      <c r="EN21" s="1999" t="e">
        <f t="shared" si="68"/>
        <v>#REF!</v>
      </c>
      <c r="EP21" s="1613" t="e">
        <f>EA21-#REF!/10^7</f>
        <v>#REF!</v>
      </c>
      <c r="EW21" s="1611" t="s">
        <v>1649</v>
      </c>
      <c r="EX21" s="1612" t="s">
        <v>1649</v>
      </c>
      <c r="EZ21" s="1650">
        <f t="shared" si="69"/>
        <v>0</v>
      </c>
    </row>
    <row r="22" spans="1:156" ht="21" customHeight="1">
      <c r="A22" s="1652">
        <v>11</v>
      </c>
      <c r="B22" s="1644" t="s">
        <v>1659</v>
      </c>
      <c r="C22" s="1645">
        <v>1000</v>
      </c>
      <c r="D22" s="1646">
        <f t="shared" si="0"/>
        <v>100</v>
      </c>
      <c r="E22" s="1646">
        <v>64.25</v>
      </c>
      <c r="F22" s="1646">
        <v>6.25</v>
      </c>
      <c r="G22" s="1641"/>
      <c r="H22" s="1651">
        <v>1000</v>
      </c>
      <c r="I22" s="1648" t="s">
        <v>1649</v>
      </c>
      <c r="J22" s="1649">
        <v>2</v>
      </c>
      <c r="K22" s="1648"/>
      <c r="L22" s="1641"/>
      <c r="M22" s="1641"/>
      <c r="N22" s="1642"/>
      <c r="O22" s="2000" t="e">
        <f>#REF!</f>
        <v>#REF!</v>
      </c>
      <c r="P22" s="2003">
        <f t="shared" si="9"/>
        <v>0</v>
      </c>
      <c r="Q22" s="1989" t="e">
        <f>#REF!/10^7</f>
        <v>#REF!</v>
      </c>
      <c r="R22" s="2003">
        <f t="shared" si="10"/>
        <v>0</v>
      </c>
      <c r="S22" s="1989" t="e">
        <f>#REF!/10^7</f>
        <v>#REF!</v>
      </c>
      <c r="T22" s="2003">
        <f t="shared" si="11"/>
        <v>0</v>
      </c>
      <c r="U22" s="1989" t="e">
        <f>#REF!/10^7</f>
        <v>#REF!</v>
      </c>
      <c r="V22" s="1989" t="e">
        <f>#REF!/10^7</f>
        <v>#REF!</v>
      </c>
      <c r="W22" s="1989">
        <f t="shared" si="12"/>
        <v>0</v>
      </c>
      <c r="X22" s="1999" t="e">
        <f t="shared" si="13"/>
        <v>#REF!</v>
      </c>
      <c r="Y22" s="1993" t="e">
        <f>#REF!</f>
        <v>#REF!</v>
      </c>
      <c r="Z22" s="2003">
        <f t="shared" si="14"/>
        <v>0</v>
      </c>
      <c r="AA22" s="1989" t="e">
        <f>#REF!/10^7</f>
        <v>#REF!</v>
      </c>
      <c r="AB22" s="2003">
        <f t="shared" si="15"/>
        <v>0</v>
      </c>
      <c r="AC22" s="1989" t="e">
        <f>#REF!/10^7</f>
        <v>#REF!</v>
      </c>
      <c r="AD22" s="2003">
        <f t="shared" si="16"/>
        <v>0</v>
      </c>
      <c r="AE22" s="1989" t="e">
        <f>#REF!/10^7</f>
        <v>#REF!</v>
      </c>
      <c r="AF22" s="1989" t="e">
        <f>#REF!/10^7</f>
        <v>#REF!</v>
      </c>
      <c r="AG22" s="2002" t="e">
        <f t="shared" si="17"/>
        <v>#REF!</v>
      </c>
      <c r="AH22" s="1999" t="e">
        <f t="shared" si="1"/>
        <v>#REF!</v>
      </c>
      <c r="AI22" s="1993" t="e">
        <f>#REF!</f>
        <v>#REF!</v>
      </c>
      <c r="AJ22" s="2003">
        <f t="shared" si="18"/>
        <v>0</v>
      </c>
      <c r="AK22" s="1989" t="e">
        <f>#REF!/10^7</f>
        <v>#REF!</v>
      </c>
      <c r="AL22" s="2003">
        <f t="shared" si="2"/>
        <v>0</v>
      </c>
      <c r="AM22" s="1989" t="e">
        <f>#REF!/10^7</f>
        <v>#REF!</v>
      </c>
      <c r="AN22" s="2003">
        <f t="shared" si="2"/>
        <v>0</v>
      </c>
      <c r="AO22" s="1989" t="e">
        <f>#REF!/10^7</f>
        <v>#REF!</v>
      </c>
      <c r="AP22" s="1989" t="e">
        <f>#REF!/10^7</f>
        <v>#REF!</v>
      </c>
      <c r="AQ22" s="2002" t="e">
        <f t="shared" si="19"/>
        <v>#REF!</v>
      </c>
      <c r="AR22" s="1999" t="e">
        <f t="shared" si="3"/>
        <v>#REF!</v>
      </c>
      <c r="AS22" s="1993" t="e">
        <f>#REF!</f>
        <v>#REF!</v>
      </c>
      <c r="AT22" s="2003">
        <f t="shared" si="20"/>
        <v>0</v>
      </c>
      <c r="AU22" s="1989" t="e">
        <f>#REF!/10^7</f>
        <v>#REF!</v>
      </c>
      <c r="AV22" s="2003">
        <f t="shared" si="21"/>
        <v>0</v>
      </c>
      <c r="AW22" s="1989" t="e">
        <f>#REF!/10^7</f>
        <v>#REF!</v>
      </c>
      <c r="AX22" s="2003">
        <f t="shared" si="22"/>
        <v>0</v>
      </c>
      <c r="AY22" s="1989" t="e">
        <f>#REF!/10^7</f>
        <v>#REF!</v>
      </c>
      <c r="AZ22" s="1989" t="e">
        <f>#REF!/10^7</f>
        <v>#REF!</v>
      </c>
      <c r="BA22" s="2002" t="e">
        <f t="shared" si="23"/>
        <v>#REF!</v>
      </c>
      <c r="BB22" s="1999" t="e">
        <f t="shared" si="4"/>
        <v>#REF!</v>
      </c>
      <c r="BC22" s="1993" t="e">
        <f>#REF!</f>
        <v>#REF!</v>
      </c>
      <c r="BD22" s="2003">
        <f t="shared" si="24"/>
        <v>0</v>
      </c>
      <c r="BE22" s="1989" t="e">
        <f>#REF!/10^7</f>
        <v>#REF!</v>
      </c>
      <c r="BF22" s="2003">
        <f t="shared" si="25"/>
        <v>0</v>
      </c>
      <c r="BG22" s="1989" t="e">
        <f>#REF!/10^7</f>
        <v>#REF!</v>
      </c>
      <c r="BH22" s="2003">
        <f t="shared" si="26"/>
        <v>0</v>
      </c>
      <c r="BI22" s="1989" t="e">
        <f>#REF!/10^7</f>
        <v>#REF!</v>
      </c>
      <c r="BJ22" s="1989" t="e">
        <f>#REF!/10^7</f>
        <v>#REF!</v>
      </c>
      <c r="BK22" s="2002" t="e">
        <f t="shared" si="27"/>
        <v>#REF!</v>
      </c>
      <c r="BL22" s="1999" t="e">
        <f t="shared" si="28"/>
        <v>#REF!</v>
      </c>
      <c r="BM22" s="1993" t="e">
        <f>#REF!</f>
        <v>#REF!</v>
      </c>
      <c r="BN22" s="2003">
        <f t="shared" si="29"/>
        <v>0</v>
      </c>
      <c r="BO22" s="1989" t="e">
        <f>#REF!/10^7</f>
        <v>#REF!</v>
      </c>
      <c r="BP22" s="2003">
        <f t="shared" si="30"/>
        <v>0</v>
      </c>
      <c r="BQ22" s="1989" t="e">
        <f>#REF!/10^7</f>
        <v>#REF!</v>
      </c>
      <c r="BR22" s="2003">
        <f t="shared" si="31"/>
        <v>0</v>
      </c>
      <c r="BS22" s="1989" t="e">
        <f>#REF!/10^7</f>
        <v>#REF!</v>
      </c>
      <c r="BT22" s="1989" t="e">
        <f>#REF!/10^7</f>
        <v>#REF!</v>
      </c>
      <c r="BU22" s="2002" t="e">
        <f t="shared" si="32"/>
        <v>#REF!</v>
      </c>
      <c r="BV22" s="1999" t="e">
        <f t="shared" si="33"/>
        <v>#REF!</v>
      </c>
      <c r="BW22" s="1993" t="e">
        <f>#REF!</f>
        <v>#REF!</v>
      </c>
      <c r="BX22" s="2003">
        <f t="shared" si="34"/>
        <v>0</v>
      </c>
      <c r="BY22" s="1989" t="e">
        <f>#REF!/10^7</f>
        <v>#REF!</v>
      </c>
      <c r="BZ22" s="2003">
        <f t="shared" si="35"/>
        <v>0</v>
      </c>
      <c r="CA22" s="1989" t="e">
        <f>#REF!/10^7</f>
        <v>#REF!</v>
      </c>
      <c r="CB22" s="2003">
        <f t="shared" si="36"/>
        <v>0</v>
      </c>
      <c r="CC22" s="1989" t="e">
        <f>#REF!/10^7</f>
        <v>#REF!</v>
      </c>
      <c r="CD22" s="1989" t="e">
        <f>#REF!/10^7</f>
        <v>#REF!</v>
      </c>
      <c r="CE22" s="2002" t="e">
        <f t="shared" si="37"/>
        <v>#REF!</v>
      </c>
      <c r="CF22" s="1999" t="e">
        <f t="shared" si="38"/>
        <v>#REF!</v>
      </c>
      <c r="CG22" s="1993" t="e">
        <f>#REF!</f>
        <v>#REF!</v>
      </c>
      <c r="CH22" s="2003">
        <f t="shared" si="39"/>
        <v>0</v>
      </c>
      <c r="CI22" s="1989" t="e">
        <f>#REF!/10^7</f>
        <v>#REF!</v>
      </c>
      <c r="CJ22" s="2003">
        <f t="shared" si="40"/>
        <v>0</v>
      </c>
      <c r="CK22" s="1989" t="e">
        <f>#REF!/10^7</f>
        <v>#REF!</v>
      </c>
      <c r="CL22" s="2003">
        <f t="shared" si="41"/>
        <v>0</v>
      </c>
      <c r="CM22" s="1989" t="e">
        <f>#REF!/10^7</f>
        <v>#REF!</v>
      </c>
      <c r="CN22" s="1989" t="e">
        <f>#REF!/10^7</f>
        <v>#REF!</v>
      </c>
      <c r="CO22" s="2002" t="e">
        <f t="shared" si="42"/>
        <v>#REF!</v>
      </c>
      <c r="CP22" s="1999" t="e">
        <f t="shared" si="43"/>
        <v>#REF!</v>
      </c>
      <c r="CQ22" s="1993" t="e">
        <f>#REF!</f>
        <v>#REF!</v>
      </c>
      <c r="CR22" s="2003">
        <f t="shared" si="44"/>
        <v>0</v>
      </c>
      <c r="CS22" s="1989" t="e">
        <f>#REF!/10^7</f>
        <v>#REF!</v>
      </c>
      <c r="CT22" s="2003">
        <f t="shared" si="45"/>
        <v>0</v>
      </c>
      <c r="CU22" s="1989" t="e">
        <f>#REF!/10^7</f>
        <v>#REF!</v>
      </c>
      <c r="CV22" s="2003">
        <f t="shared" si="46"/>
        <v>0</v>
      </c>
      <c r="CW22" s="1989" t="e">
        <f>#REF!/10^7</f>
        <v>#REF!</v>
      </c>
      <c r="CX22" s="1989" t="e">
        <f>#REF!/10^7</f>
        <v>#REF!</v>
      </c>
      <c r="CY22" s="2002" t="e">
        <f t="shared" si="47"/>
        <v>#REF!</v>
      </c>
      <c r="CZ22" s="1999" t="e">
        <f t="shared" si="48"/>
        <v>#REF!</v>
      </c>
      <c r="DA22" s="1993" t="e">
        <f>#REF!</f>
        <v>#REF!</v>
      </c>
      <c r="DB22" s="2003">
        <f t="shared" si="49"/>
        <v>0</v>
      </c>
      <c r="DC22" s="1989" t="e">
        <f>#REF!/10^7</f>
        <v>#REF!</v>
      </c>
      <c r="DD22" s="2003">
        <f t="shared" si="50"/>
        <v>0</v>
      </c>
      <c r="DE22" s="1989" t="e">
        <f>#REF!/10^7</f>
        <v>#REF!</v>
      </c>
      <c r="DF22" s="2003">
        <f t="shared" si="51"/>
        <v>0</v>
      </c>
      <c r="DG22" s="1989" t="e">
        <f>#REF!/10^7</f>
        <v>#REF!</v>
      </c>
      <c r="DH22" s="1989" t="e">
        <f>#REF!/10^7</f>
        <v>#REF!</v>
      </c>
      <c r="DI22" s="2002" t="e">
        <f t="shared" si="52"/>
        <v>#REF!</v>
      </c>
      <c r="DJ22" s="1999" t="e">
        <f t="shared" si="53"/>
        <v>#REF!</v>
      </c>
      <c r="DK22" s="1993" t="e">
        <f>#REF!</f>
        <v>#REF!</v>
      </c>
      <c r="DL22" s="2003">
        <f t="shared" si="54"/>
        <v>0</v>
      </c>
      <c r="DM22" s="1989" t="e">
        <f>#REF!/10^7</f>
        <v>#REF!</v>
      </c>
      <c r="DN22" s="2003">
        <f t="shared" si="55"/>
        <v>0</v>
      </c>
      <c r="DO22" s="1989" t="e">
        <f>#REF!/10^7</f>
        <v>#REF!</v>
      </c>
      <c r="DP22" s="2003">
        <f t="shared" si="56"/>
        <v>0</v>
      </c>
      <c r="DQ22" s="1989" t="e">
        <f>#REF!/10^7</f>
        <v>#REF!</v>
      </c>
      <c r="DR22" s="1989" t="e">
        <f>#REF!/10^7</f>
        <v>#REF!</v>
      </c>
      <c r="DS22" s="2002" t="e">
        <f t="shared" si="57"/>
        <v>#REF!</v>
      </c>
      <c r="DT22" s="2004" t="e">
        <f t="shared" si="58"/>
        <v>#REF!</v>
      </c>
      <c r="DU22" s="1988" t="e">
        <f>#REF!</f>
        <v>#REF!</v>
      </c>
      <c r="DV22" s="2003">
        <f t="shared" si="59"/>
        <v>0</v>
      </c>
      <c r="DW22" s="1989" t="e">
        <f>#REF!/10^7</f>
        <v>#REF!</v>
      </c>
      <c r="DX22" s="2003">
        <f t="shared" si="60"/>
        <v>0</v>
      </c>
      <c r="DY22" s="1989" t="e">
        <f>#REF!/10^7</f>
        <v>#REF!</v>
      </c>
      <c r="DZ22" s="2003">
        <f t="shared" si="61"/>
        <v>0</v>
      </c>
      <c r="EA22" s="1989" t="e">
        <f>#REF!/10^7</f>
        <v>#REF!</v>
      </c>
      <c r="EB22" s="1989" t="e">
        <f>#REF!/10^7</f>
        <v>#REF!</v>
      </c>
      <c r="EC22" s="2002" t="e">
        <f t="shared" si="62"/>
        <v>#REF!</v>
      </c>
      <c r="ED22" s="1998" t="e">
        <f t="shared" si="63"/>
        <v>#REF!</v>
      </c>
      <c r="EE22" s="2005" t="e">
        <f t="shared" si="5"/>
        <v>#REF!</v>
      </c>
      <c r="EF22" s="2003">
        <f t="shared" si="64"/>
        <v>0</v>
      </c>
      <c r="EG22" s="1989" t="e">
        <f t="shared" si="6"/>
        <v>#REF!</v>
      </c>
      <c r="EH22" s="2003">
        <f t="shared" si="65"/>
        <v>0</v>
      </c>
      <c r="EI22" s="1989" t="e">
        <f t="shared" si="7"/>
        <v>#REF!</v>
      </c>
      <c r="EJ22" s="2003">
        <f t="shared" si="66"/>
        <v>0</v>
      </c>
      <c r="EK22" s="1989" t="e">
        <f t="shared" si="8"/>
        <v>#REF!</v>
      </c>
      <c r="EL22" s="1989" t="e">
        <f t="shared" si="8"/>
        <v>#REF!</v>
      </c>
      <c r="EM22" s="2006" t="e">
        <f t="shared" si="67"/>
        <v>#REF!</v>
      </c>
      <c r="EN22" s="1999" t="e">
        <f t="shared" si="68"/>
        <v>#REF!</v>
      </c>
      <c r="EP22" s="1613" t="e">
        <f>EA22-#REF!/10^7</f>
        <v>#REF!</v>
      </c>
      <c r="EW22" s="1611" t="s">
        <v>1649</v>
      </c>
      <c r="EX22" s="1612" t="s">
        <v>1649</v>
      </c>
      <c r="EZ22" s="1650">
        <f t="shared" si="69"/>
        <v>0</v>
      </c>
    </row>
    <row r="23" spans="1:156" ht="21" customHeight="1">
      <c r="A23" s="1652">
        <v>12</v>
      </c>
      <c r="B23" s="1644" t="s">
        <v>1852</v>
      </c>
      <c r="D23" s="1641"/>
      <c r="E23" s="1641"/>
      <c r="F23" s="1641"/>
      <c r="G23" s="1641"/>
      <c r="H23" s="1641"/>
      <c r="I23" s="1648"/>
      <c r="J23" s="1649"/>
      <c r="K23" s="1648"/>
      <c r="L23" s="1641"/>
      <c r="M23" s="1641"/>
      <c r="N23" s="1642"/>
      <c r="O23" s="2000" t="e">
        <f>#REF!</f>
        <v>#REF!</v>
      </c>
      <c r="P23" s="2003">
        <f t="shared" si="9"/>
        <v>0</v>
      </c>
      <c r="Q23" s="1989" t="e">
        <f>#REF!/10^7</f>
        <v>#REF!</v>
      </c>
      <c r="R23" s="2003">
        <f t="shared" si="10"/>
        <v>0</v>
      </c>
      <c r="S23" s="1989" t="e">
        <f>#REF!/10^7</f>
        <v>#REF!</v>
      </c>
      <c r="T23" s="2003">
        <f t="shared" si="11"/>
        <v>0</v>
      </c>
      <c r="U23" s="1989" t="e">
        <f>#REF!/10^7</f>
        <v>#REF!</v>
      </c>
      <c r="V23" s="1989" t="e">
        <f>#REF!/10^7</f>
        <v>#REF!</v>
      </c>
      <c r="W23" s="1989">
        <f t="shared" si="12"/>
        <v>0</v>
      </c>
      <c r="X23" s="1999" t="e">
        <f t="shared" si="13"/>
        <v>#REF!</v>
      </c>
      <c r="Y23" s="1993" t="e">
        <f>#REF!</f>
        <v>#REF!</v>
      </c>
      <c r="Z23" s="2003">
        <f t="shared" si="14"/>
        <v>0</v>
      </c>
      <c r="AA23" s="1989" t="e">
        <f>#REF!/10^7</f>
        <v>#REF!</v>
      </c>
      <c r="AB23" s="2003">
        <f t="shared" si="15"/>
        <v>0</v>
      </c>
      <c r="AC23" s="1989" t="e">
        <f>#REF!/10^7</f>
        <v>#REF!</v>
      </c>
      <c r="AD23" s="2003">
        <f t="shared" si="16"/>
        <v>0</v>
      </c>
      <c r="AE23" s="1989" t="e">
        <f>#REF!/10^7</f>
        <v>#REF!</v>
      </c>
      <c r="AF23" s="1989" t="e">
        <f>#REF!/10^7</f>
        <v>#REF!</v>
      </c>
      <c r="AG23" s="2002" t="e">
        <f t="shared" si="17"/>
        <v>#REF!</v>
      </c>
      <c r="AH23" s="1999" t="e">
        <f t="shared" si="1"/>
        <v>#REF!</v>
      </c>
      <c r="AI23" s="1993" t="e">
        <f>#REF!</f>
        <v>#REF!</v>
      </c>
      <c r="AJ23" s="2003">
        <f t="shared" si="18"/>
        <v>0</v>
      </c>
      <c r="AK23" s="1989" t="e">
        <f>#REF!/10^7</f>
        <v>#REF!</v>
      </c>
      <c r="AL23" s="2003">
        <f t="shared" si="2"/>
        <v>0</v>
      </c>
      <c r="AM23" s="1989" t="e">
        <f>#REF!/10^7</f>
        <v>#REF!</v>
      </c>
      <c r="AN23" s="2003">
        <f t="shared" si="2"/>
        <v>0</v>
      </c>
      <c r="AO23" s="1989" t="e">
        <f>#REF!/10^7</f>
        <v>#REF!</v>
      </c>
      <c r="AP23" s="1989" t="e">
        <f>#REF!/10^7</f>
        <v>#REF!</v>
      </c>
      <c r="AQ23" s="2002" t="e">
        <f t="shared" si="19"/>
        <v>#REF!</v>
      </c>
      <c r="AR23" s="1999" t="e">
        <f t="shared" si="3"/>
        <v>#REF!</v>
      </c>
      <c r="AS23" s="1993" t="e">
        <f>#REF!</f>
        <v>#REF!</v>
      </c>
      <c r="AT23" s="2003">
        <f t="shared" si="20"/>
        <v>0</v>
      </c>
      <c r="AU23" s="1989" t="e">
        <f>#REF!/10^7</f>
        <v>#REF!</v>
      </c>
      <c r="AV23" s="2003">
        <f t="shared" si="21"/>
        <v>0</v>
      </c>
      <c r="AW23" s="1989" t="e">
        <f>#REF!/10^7</f>
        <v>#REF!</v>
      </c>
      <c r="AX23" s="2003">
        <f t="shared" si="22"/>
        <v>0</v>
      </c>
      <c r="AY23" s="1989" t="e">
        <f>#REF!/10^7</f>
        <v>#REF!</v>
      </c>
      <c r="AZ23" s="1989" t="e">
        <f>#REF!/10^7</f>
        <v>#REF!</v>
      </c>
      <c r="BA23" s="2002" t="e">
        <f t="shared" si="23"/>
        <v>#REF!</v>
      </c>
      <c r="BB23" s="1999" t="e">
        <f t="shared" si="4"/>
        <v>#REF!</v>
      </c>
      <c r="BC23" s="1993"/>
      <c r="BD23" s="2003">
        <f t="shared" si="24"/>
        <v>0</v>
      </c>
      <c r="BE23" s="1989"/>
      <c r="BF23" s="2003">
        <f t="shared" si="25"/>
        <v>0</v>
      </c>
      <c r="BG23" s="1989"/>
      <c r="BH23" s="2003">
        <f t="shared" si="26"/>
        <v>0</v>
      </c>
      <c r="BI23" s="1989"/>
      <c r="BJ23" s="1989"/>
      <c r="BK23" s="2002">
        <f t="shared" si="27"/>
        <v>0</v>
      </c>
      <c r="BL23" s="1999">
        <f t="shared" si="28"/>
        <v>0</v>
      </c>
      <c r="BM23" s="1993"/>
      <c r="BN23" s="2003">
        <f t="shared" si="29"/>
        <v>0</v>
      </c>
      <c r="BO23" s="1989"/>
      <c r="BP23" s="2003">
        <f t="shared" si="30"/>
        <v>0</v>
      </c>
      <c r="BQ23" s="1989"/>
      <c r="BR23" s="2003">
        <f t="shared" si="31"/>
        <v>0</v>
      </c>
      <c r="BS23" s="1989"/>
      <c r="BT23" s="1989"/>
      <c r="BU23" s="2002">
        <f t="shared" si="32"/>
        <v>0</v>
      </c>
      <c r="BV23" s="1999">
        <f t="shared" si="33"/>
        <v>0</v>
      </c>
      <c r="BW23" s="1993" t="e">
        <f>#REF!</f>
        <v>#REF!</v>
      </c>
      <c r="BX23" s="2003">
        <f t="shared" si="34"/>
        <v>0</v>
      </c>
      <c r="BY23" s="1989" t="e">
        <f>#REF!/10^7</f>
        <v>#REF!</v>
      </c>
      <c r="BZ23" s="2003">
        <f t="shared" si="35"/>
        <v>0</v>
      </c>
      <c r="CA23" s="1989" t="e">
        <f>#REF!/10^7</f>
        <v>#REF!</v>
      </c>
      <c r="CB23" s="2003">
        <f t="shared" si="36"/>
        <v>0</v>
      </c>
      <c r="CC23" s="1989" t="e">
        <f>#REF!/10^7</f>
        <v>#REF!</v>
      </c>
      <c r="CD23" s="1989" t="e">
        <f>#REF!/10^7</f>
        <v>#REF!</v>
      </c>
      <c r="CE23" s="2002" t="e">
        <f t="shared" si="37"/>
        <v>#REF!</v>
      </c>
      <c r="CF23" s="1999" t="e">
        <f t="shared" si="38"/>
        <v>#REF!</v>
      </c>
      <c r="CG23" s="1993" t="e">
        <f>#REF!</f>
        <v>#REF!</v>
      </c>
      <c r="CH23" s="2003">
        <f t="shared" si="39"/>
        <v>0</v>
      </c>
      <c r="CI23" s="1989" t="e">
        <f>#REF!/10^7</f>
        <v>#REF!</v>
      </c>
      <c r="CJ23" s="2003">
        <f t="shared" si="40"/>
        <v>0</v>
      </c>
      <c r="CK23" s="1989" t="e">
        <f>#REF!/10^7</f>
        <v>#REF!</v>
      </c>
      <c r="CL23" s="2003">
        <f t="shared" si="41"/>
        <v>0</v>
      </c>
      <c r="CM23" s="1989" t="e">
        <f>#REF!/10^7</f>
        <v>#REF!</v>
      </c>
      <c r="CN23" s="1989" t="e">
        <f>#REF!/10^7</f>
        <v>#REF!</v>
      </c>
      <c r="CO23" s="2002" t="e">
        <f t="shared" si="42"/>
        <v>#REF!</v>
      </c>
      <c r="CP23" s="1999" t="e">
        <f t="shared" si="43"/>
        <v>#REF!</v>
      </c>
      <c r="CQ23" s="1993" t="e">
        <f>#REF!</f>
        <v>#REF!</v>
      </c>
      <c r="CR23" s="2003">
        <f t="shared" si="44"/>
        <v>0</v>
      </c>
      <c r="CS23" s="1989" t="e">
        <f>#REF!/10^7</f>
        <v>#REF!</v>
      </c>
      <c r="CT23" s="2003">
        <f t="shared" si="45"/>
        <v>0</v>
      </c>
      <c r="CU23" s="1989" t="e">
        <f>#REF!/10^7</f>
        <v>#REF!</v>
      </c>
      <c r="CV23" s="2003">
        <f t="shared" si="46"/>
        <v>0</v>
      </c>
      <c r="CW23" s="1989" t="e">
        <f>#REF!/10^7</f>
        <v>#REF!</v>
      </c>
      <c r="CX23" s="1989" t="e">
        <f>#REF!/10^7</f>
        <v>#REF!</v>
      </c>
      <c r="CY23" s="2002" t="e">
        <f t="shared" si="47"/>
        <v>#REF!</v>
      </c>
      <c r="CZ23" s="1999" t="e">
        <f t="shared" si="48"/>
        <v>#REF!</v>
      </c>
      <c r="DA23" s="1993" t="e">
        <f>#REF!</f>
        <v>#REF!</v>
      </c>
      <c r="DB23" s="2003">
        <f t="shared" si="49"/>
        <v>0</v>
      </c>
      <c r="DC23" s="1989" t="e">
        <f>#REF!/10^7</f>
        <v>#REF!</v>
      </c>
      <c r="DD23" s="2003">
        <f t="shared" si="50"/>
        <v>0</v>
      </c>
      <c r="DE23" s="1989" t="e">
        <f>#REF!/10^7</f>
        <v>#REF!</v>
      </c>
      <c r="DF23" s="2003">
        <f t="shared" si="51"/>
        <v>0</v>
      </c>
      <c r="DG23" s="1989" t="e">
        <f>#REF!/10^7</f>
        <v>#REF!</v>
      </c>
      <c r="DH23" s="1989" t="e">
        <f>#REF!/10^7</f>
        <v>#REF!</v>
      </c>
      <c r="DI23" s="2002" t="e">
        <f t="shared" si="52"/>
        <v>#REF!</v>
      </c>
      <c r="DJ23" s="1999" t="e">
        <f t="shared" si="53"/>
        <v>#REF!</v>
      </c>
      <c r="DK23" s="1993" t="e">
        <f>#REF!</f>
        <v>#REF!</v>
      </c>
      <c r="DL23" s="2003">
        <f t="shared" si="54"/>
        <v>0</v>
      </c>
      <c r="DM23" s="1989" t="e">
        <f>#REF!/10^7</f>
        <v>#REF!</v>
      </c>
      <c r="DN23" s="2003">
        <f t="shared" si="55"/>
        <v>0</v>
      </c>
      <c r="DO23" s="1989" t="e">
        <f>#REF!/10^7</f>
        <v>#REF!</v>
      </c>
      <c r="DP23" s="2003">
        <f t="shared" si="56"/>
        <v>0</v>
      </c>
      <c r="DQ23" s="1989" t="e">
        <f>#REF!/10^7</f>
        <v>#REF!</v>
      </c>
      <c r="DR23" s="1989" t="e">
        <f>#REF!/10^7</f>
        <v>#REF!</v>
      </c>
      <c r="DS23" s="2002" t="e">
        <f t="shared" si="57"/>
        <v>#REF!</v>
      </c>
      <c r="DT23" s="2004" t="e">
        <f t="shared" si="58"/>
        <v>#REF!</v>
      </c>
      <c r="DU23" s="1988" t="e">
        <f>#REF!</f>
        <v>#REF!</v>
      </c>
      <c r="DV23" s="2003">
        <f t="shared" si="59"/>
        <v>0</v>
      </c>
      <c r="DW23" s="1989" t="e">
        <f>#REF!/10^7</f>
        <v>#REF!</v>
      </c>
      <c r="DX23" s="2003">
        <f t="shared" si="60"/>
        <v>0</v>
      </c>
      <c r="DY23" s="1989" t="e">
        <f>#REF!/10^7</f>
        <v>#REF!</v>
      </c>
      <c r="DZ23" s="2003">
        <f t="shared" si="61"/>
        <v>0</v>
      </c>
      <c r="EA23" s="1989" t="e">
        <f>#REF!/10^7</f>
        <v>#REF!</v>
      </c>
      <c r="EB23" s="1989" t="e">
        <f>#REF!/10^7</f>
        <v>#REF!</v>
      </c>
      <c r="EC23" s="2002" t="e">
        <f t="shared" si="62"/>
        <v>#REF!</v>
      </c>
      <c r="ED23" s="1998" t="e">
        <f t="shared" si="63"/>
        <v>#REF!</v>
      </c>
      <c r="EE23" s="2005" t="e">
        <f t="shared" si="5"/>
        <v>#REF!</v>
      </c>
      <c r="EF23" s="2003">
        <f t="shared" si="64"/>
        <v>0</v>
      </c>
      <c r="EG23" s="1989" t="e">
        <f t="shared" si="6"/>
        <v>#REF!</v>
      </c>
      <c r="EH23" s="2003">
        <f t="shared" si="65"/>
        <v>0</v>
      </c>
      <c r="EI23" s="1989" t="e">
        <f t="shared" si="7"/>
        <v>#REF!</v>
      </c>
      <c r="EJ23" s="2003">
        <f t="shared" si="66"/>
        <v>0</v>
      </c>
      <c r="EK23" s="1989" t="e">
        <f t="shared" si="8"/>
        <v>#REF!</v>
      </c>
      <c r="EL23" s="1989" t="e">
        <f t="shared" si="8"/>
        <v>#REF!</v>
      </c>
      <c r="EM23" s="2006" t="e">
        <f t="shared" si="67"/>
        <v>#REF!</v>
      </c>
      <c r="EN23" s="1999" t="e">
        <f t="shared" si="68"/>
        <v>#REF!</v>
      </c>
      <c r="EP23" s="1613" t="e">
        <f>EA23-#REF!/10^7</f>
        <v>#REF!</v>
      </c>
      <c r="EW23" s="1611" t="e">
        <v>#N/A</v>
      </c>
      <c r="EX23" s="1612">
        <v>0</v>
      </c>
      <c r="EZ23" s="1650">
        <f t="shared" si="69"/>
        <v>0</v>
      </c>
    </row>
    <row r="24" spans="1:156" ht="21" customHeight="1">
      <c r="A24" s="1652">
        <v>13</v>
      </c>
      <c r="B24" s="1644"/>
      <c r="C24" s="1643"/>
      <c r="D24" s="1641"/>
      <c r="E24" s="1641"/>
      <c r="F24" s="1641"/>
      <c r="G24" s="1641"/>
      <c r="H24" s="1641"/>
      <c r="I24" s="1648"/>
      <c r="J24" s="1649"/>
      <c r="K24" s="1648"/>
      <c r="L24" s="1641"/>
      <c r="M24" s="1641"/>
      <c r="N24" s="1642"/>
      <c r="O24" s="2000" t="e">
        <f>#REF!</f>
        <v>#REF!</v>
      </c>
      <c r="P24" s="2003">
        <f t="shared" si="9"/>
        <v>0</v>
      </c>
      <c r="Q24" s="1989" t="e">
        <f>#REF!/10^7</f>
        <v>#REF!</v>
      </c>
      <c r="R24" s="2003">
        <f t="shared" si="10"/>
        <v>0</v>
      </c>
      <c r="S24" s="1989" t="e">
        <f>#REF!/10^7</f>
        <v>#REF!</v>
      </c>
      <c r="T24" s="2003">
        <f t="shared" si="11"/>
        <v>0</v>
      </c>
      <c r="U24" s="1989" t="e">
        <f>#REF!/10^7</f>
        <v>#REF!</v>
      </c>
      <c r="V24" s="1989" t="e">
        <f>#REF!/10^7</f>
        <v>#REF!</v>
      </c>
      <c r="W24" s="1989">
        <f t="shared" si="12"/>
        <v>0</v>
      </c>
      <c r="X24" s="1999" t="e">
        <f t="shared" si="13"/>
        <v>#REF!</v>
      </c>
      <c r="Y24" s="1993"/>
      <c r="Z24" s="2003">
        <f t="shared" si="14"/>
        <v>0</v>
      </c>
      <c r="AA24" s="1989"/>
      <c r="AB24" s="2003">
        <f t="shared" si="15"/>
        <v>0</v>
      </c>
      <c r="AC24" s="1989"/>
      <c r="AD24" s="2003">
        <f t="shared" si="16"/>
        <v>0</v>
      </c>
      <c r="AE24" s="1989"/>
      <c r="AF24" s="1989"/>
      <c r="AG24" s="2002">
        <f t="shared" si="17"/>
        <v>0</v>
      </c>
      <c r="AH24" s="1999">
        <f t="shared" si="1"/>
        <v>0</v>
      </c>
      <c r="AI24" s="1993"/>
      <c r="AJ24" s="2003">
        <f t="shared" si="2"/>
        <v>0</v>
      </c>
      <c r="AK24" s="1989"/>
      <c r="AL24" s="2003">
        <f t="shared" si="2"/>
        <v>0</v>
      </c>
      <c r="AM24" s="1989"/>
      <c r="AN24" s="2003">
        <f t="shared" si="2"/>
        <v>0</v>
      </c>
      <c r="AO24" s="1989"/>
      <c r="AP24" s="1989"/>
      <c r="AQ24" s="2002">
        <f t="shared" si="19"/>
        <v>0</v>
      </c>
      <c r="AR24" s="1999">
        <f t="shared" si="3"/>
        <v>0</v>
      </c>
      <c r="AS24" s="1993"/>
      <c r="AT24" s="2003">
        <f t="shared" si="20"/>
        <v>0</v>
      </c>
      <c r="AU24" s="1989"/>
      <c r="AV24" s="2003">
        <f t="shared" si="21"/>
        <v>0</v>
      </c>
      <c r="AW24" s="1989"/>
      <c r="AX24" s="2003">
        <f t="shared" si="22"/>
        <v>0</v>
      </c>
      <c r="AY24" s="1989"/>
      <c r="AZ24" s="1989"/>
      <c r="BA24" s="2002">
        <f t="shared" si="23"/>
        <v>0</v>
      </c>
      <c r="BB24" s="1999">
        <f t="shared" si="4"/>
        <v>0</v>
      </c>
      <c r="BC24" s="1993"/>
      <c r="BD24" s="2003">
        <f t="shared" si="24"/>
        <v>0</v>
      </c>
      <c r="BE24" s="1989"/>
      <c r="BF24" s="2003">
        <f t="shared" si="25"/>
        <v>0</v>
      </c>
      <c r="BG24" s="1989"/>
      <c r="BH24" s="2003">
        <f t="shared" si="26"/>
        <v>0</v>
      </c>
      <c r="BI24" s="1989"/>
      <c r="BJ24" s="1989"/>
      <c r="BK24" s="2002">
        <f t="shared" si="27"/>
        <v>0</v>
      </c>
      <c r="BL24" s="1999">
        <f t="shared" si="28"/>
        <v>0</v>
      </c>
      <c r="BM24" s="1993"/>
      <c r="BN24" s="2003">
        <f t="shared" si="29"/>
        <v>0</v>
      </c>
      <c r="BO24" s="1989"/>
      <c r="BP24" s="2003">
        <f t="shared" si="30"/>
        <v>0</v>
      </c>
      <c r="BQ24" s="1989"/>
      <c r="BR24" s="2003">
        <f t="shared" si="31"/>
        <v>0</v>
      </c>
      <c r="BS24" s="1989"/>
      <c r="BT24" s="1989"/>
      <c r="BU24" s="2002">
        <f t="shared" si="32"/>
        <v>0</v>
      </c>
      <c r="BV24" s="1999">
        <f t="shared" si="33"/>
        <v>0</v>
      </c>
      <c r="BW24" s="1993"/>
      <c r="BX24" s="2003">
        <f t="shared" si="34"/>
        <v>0</v>
      </c>
      <c r="BY24" s="1989"/>
      <c r="BZ24" s="2003">
        <f t="shared" si="35"/>
        <v>0</v>
      </c>
      <c r="CA24" s="1989"/>
      <c r="CB24" s="2003">
        <f t="shared" si="36"/>
        <v>0</v>
      </c>
      <c r="CC24" s="1989"/>
      <c r="CD24" s="1989"/>
      <c r="CE24" s="2002">
        <f t="shared" si="37"/>
        <v>0</v>
      </c>
      <c r="CF24" s="1999">
        <f t="shared" si="38"/>
        <v>0</v>
      </c>
      <c r="CG24" s="1993"/>
      <c r="CH24" s="2003">
        <f t="shared" si="39"/>
        <v>0</v>
      </c>
      <c r="CI24" s="1989"/>
      <c r="CJ24" s="2003">
        <f t="shared" si="40"/>
        <v>0</v>
      </c>
      <c r="CK24" s="1989"/>
      <c r="CL24" s="2003">
        <f t="shared" si="41"/>
        <v>0</v>
      </c>
      <c r="CM24" s="1989"/>
      <c r="CN24" s="1989"/>
      <c r="CO24" s="2002">
        <f t="shared" si="42"/>
        <v>0</v>
      </c>
      <c r="CP24" s="1999">
        <f t="shared" si="43"/>
        <v>0</v>
      </c>
      <c r="CQ24" s="1993"/>
      <c r="CR24" s="2003">
        <f t="shared" si="44"/>
        <v>0</v>
      </c>
      <c r="CS24" s="1989"/>
      <c r="CT24" s="2003">
        <f t="shared" si="45"/>
        <v>0</v>
      </c>
      <c r="CU24" s="1989"/>
      <c r="CV24" s="2003">
        <f t="shared" si="46"/>
        <v>0</v>
      </c>
      <c r="CW24" s="1989"/>
      <c r="CX24" s="1989"/>
      <c r="CY24" s="2002">
        <f t="shared" si="47"/>
        <v>0</v>
      </c>
      <c r="CZ24" s="1999">
        <f t="shared" si="48"/>
        <v>0</v>
      </c>
      <c r="DA24" s="1993"/>
      <c r="DB24" s="2003">
        <f t="shared" si="49"/>
        <v>0</v>
      </c>
      <c r="DC24" s="1989"/>
      <c r="DD24" s="2003">
        <f t="shared" si="50"/>
        <v>0</v>
      </c>
      <c r="DE24" s="1989"/>
      <c r="DF24" s="2003">
        <f t="shared" si="51"/>
        <v>0</v>
      </c>
      <c r="DG24" s="1989"/>
      <c r="DH24" s="1989"/>
      <c r="DI24" s="2002">
        <f t="shared" si="52"/>
        <v>0</v>
      </c>
      <c r="DJ24" s="1999">
        <f t="shared" si="53"/>
        <v>0</v>
      </c>
      <c r="DK24" s="1993"/>
      <c r="DL24" s="2003">
        <f t="shared" si="54"/>
        <v>0</v>
      </c>
      <c r="DM24" s="1989"/>
      <c r="DN24" s="2003">
        <f t="shared" si="55"/>
        <v>0</v>
      </c>
      <c r="DO24" s="1989"/>
      <c r="DP24" s="2003">
        <f t="shared" si="56"/>
        <v>0</v>
      </c>
      <c r="DQ24" s="1989"/>
      <c r="DR24" s="1989"/>
      <c r="DS24" s="2002">
        <f t="shared" si="57"/>
        <v>0</v>
      </c>
      <c r="DT24" s="2004">
        <f t="shared" si="58"/>
        <v>0</v>
      </c>
      <c r="DU24" s="1988"/>
      <c r="DV24" s="2003">
        <f t="shared" si="59"/>
        <v>0</v>
      </c>
      <c r="DW24" s="1989"/>
      <c r="DX24" s="2003">
        <f t="shared" si="60"/>
        <v>0</v>
      </c>
      <c r="DY24" s="1989"/>
      <c r="DZ24" s="2003">
        <f t="shared" si="61"/>
        <v>0</v>
      </c>
      <c r="EA24" s="1989"/>
      <c r="EB24" s="1989"/>
      <c r="EC24" s="2002">
        <f t="shared" si="62"/>
        <v>0</v>
      </c>
      <c r="ED24" s="1998">
        <f t="shared" si="63"/>
        <v>0</v>
      </c>
      <c r="EE24" s="2005" t="e">
        <f t="shared" si="5"/>
        <v>#REF!</v>
      </c>
      <c r="EF24" s="2003">
        <f t="shared" si="64"/>
        <v>0</v>
      </c>
      <c r="EG24" s="1989" t="e">
        <f t="shared" si="6"/>
        <v>#REF!</v>
      </c>
      <c r="EH24" s="2003">
        <f t="shared" si="65"/>
        <v>0</v>
      </c>
      <c r="EI24" s="1989" t="e">
        <f t="shared" si="7"/>
        <v>#REF!</v>
      </c>
      <c r="EJ24" s="2003">
        <f t="shared" si="66"/>
        <v>0</v>
      </c>
      <c r="EK24" s="1989" t="e">
        <f t="shared" si="8"/>
        <v>#REF!</v>
      </c>
      <c r="EL24" s="1989" t="e">
        <f t="shared" si="8"/>
        <v>#REF!</v>
      </c>
      <c r="EM24" s="2006" t="e">
        <f t="shared" si="67"/>
        <v>#REF!</v>
      </c>
      <c r="EN24" s="1999" t="e">
        <f t="shared" si="68"/>
        <v>#REF!</v>
      </c>
      <c r="EP24" s="1613" t="e">
        <f>EA24-#REF!/10^7</f>
        <v>#REF!</v>
      </c>
      <c r="EW24" s="1611" t="e">
        <v>#N/A</v>
      </c>
      <c r="EX24" s="1612" t="e">
        <v>#N/A</v>
      </c>
      <c r="EZ24" s="1650">
        <f t="shared" si="69"/>
        <v>0</v>
      </c>
    </row>
    <row r="25" spans="1:156" ht="21" customHeight="1">
      <c r="A25" s="1652">
        <v>14</v>
      </c>
      <c r="B25" s="1644"/>
      <c r="C25" s="1643"/>
      <c r="D25" s="1641"/>
      <c r="E25" s="1641"/>
      <c r="F25" s="1641"/>
      <c r="G25" s="1641"/>
      <c r="H25" s="1641"/>
      <c r="I25" s="1648"/>
      <c r="J25" s="1649"/>
      <c r="K25" s="1648"/>
      <c r="L25" s="1641"/>
      <c r="M25" s="1641"/>
      <c r="N25" s="1642"/>
      <c r="O25" s="2000" t="e">
        <f>#REF!</f>
        <v>#REF!</v>
      </c>
      <c r="P25" s="2003">
        <f t="shared" si="9"/>
        <v>0</v>
      </c>
      <c r="Q25" s="1989" t="e">
        <f>#REF!/10^7</f>
        <v>#REF!</v>
      </c>
      <c r="R25" s="2003">
        <f t="shared" si="10"/>
        <v>0</v>
      </c>
      <c r="S25" s="1989" t="e">
        <f>#REF!/10^7</f>
        <v>#REF!</v>
      </c>
      <c r="T25" s="2003">
        <f t="shared" si="11"/>
        <v>0</v>
      </c>
      <c r="U25" s="1989" t="e">
        <f>#REF!/10^7</f>
        <v>#REF!</v>
      </c>
      <c r="V25" s="1989" t="e">
        <f>#REF!/10^7</f>
        <v>#REF!</v>
      </c>
      <c r="W25" s="1989">
        <f t="shared" si="12"/>
        <v>0</v>
      </c>
      <c r="X25" s="1999" t="e">
        <f t="shared" si="13"/>
        <v>#REF!</v>
      </c>
      <c r="Y25" s="1993"/>
      <c r="Z25" s="2003">
        <f t="shared" si="14"/>
        <v>0</v>
      </c>
      <c r="AA25" s="1989"/>
      <c r="AB25" s="2003">
        <f t="shared" si="15"/>
        <v>0</v>
      </c>
      <c r="AC25" s="1989"/>
      <c r="AD25" s="2003">
        <f t="shared" si="16"/>
        <v>0</v>
      </c>
      <c r="AE25" s="1989"/>
      <c r="AF25" s="1989"/>
      <c r="AG25" s="2002">
        <f t="shared" si="17"/>
        <v>0</v>
      </c>
      <c r="AH25" s="1999"/>
      <c r="AI25" s="1993"/>
      <c r="AJ25" s="2003">
        <f t="shared" si="2"/>
        <v>0</v>
      </c>
      <c r="AK25" s="1989"/>
      <c r="AL25" s="2003">
        <f t="shared" si="2"/>
        <v>0</v>
      </c>
      <c r="AM25" s="1989"/>
      <c r="AN25" s="2003">
        <f t="shared" si="2"/>
        <v>0</v>
      </c>
      <c r="AO25" s="1989"/>
      <c r="AP25" s="1989"/>
      <c r="AQ25" s="2002">
        <f t="shared" si="19"/>
        <v>0</v>
      </c>
      <c r="AR25" s="1999"/>
      <c r="AS25" s="1993"/>
      <c r="AT25" s="2003">
        <f t="shared" si="20"/>
        <v>0</v>
      </c>
      <c r="AU25" s="1989"/>
      <c r="AV25" s="2003">
        <f t="shared" si="21"/>
        <v>0</v>
      </c>
      <c r="AW25" s="1989"/>
      <c r="AX25" s="2003">
        <f t="shared" si="22"/>
        <v>0</v>
      </c>
      <c r="AY25" s="1989"/>
      <c r="AZ25" s="1989"/>
      <c r="BA25" s="2002">
        <f t="shared" si="23"/>
        <v>0</v>
      </c>
      <c r="BB25" s="1999"/>
      <c r="BC25" s="1993"/>
      <c r="BD25" s="2003">
        <f t="shared" si="24"/>
        <v>0</v>
      </c>
      <c r="BE25" s="1989"/>
      <c r="BF25" s="2003">
        <f t="shared" si="25"/>
        <v>0</v>
      </c>
      <c r="BG25" s="1989"/>
      <c r="BH25" s="2003">
        <f t="shared" si="26"/>
        <v>0</v>
      </c>
      <c r="BI25" s="1989"/>
      <c r="BJ25" s="1989"/>
      <c r="BK25" s="2002">
        <f t="shared" si="27"/>
        <v>0</v>
      </c>
      <c r="BL25" s="1999"/>
      <c r="BM25" s="1993"/>
      <c r="BN25" s="2003">
        <f t="shared" si="29"/>
        <v>0</v>
      </c>
      <c r="BO25" s="1989"/>
      <c r="BP25" s="2003">
        <f t="shared" si="30"/>
        <v>0</v>
      </c>
      <c r="BQ25" s="1989"/>
      <c r="BR25" s="2003">
        <f t="shared" si="31"/>
        <v>0</v>
      </c>
      <c r="BS25" s="1989"/>
      <c r="BT25" s="1989"/>
      <c r="BU25" s="2002">
        <f t="shared" si="32"/>
        <v>0</v>
      </c>
      <c r="BV25" s="1999"/>
      <c r="BW25" s="1993"/>
      <c r="BX25" s="2003">
        <f t="shared" si="34"/>
        <v>0</v>
      </c>
      <c r="BY25" s="1989"/>
      <c r="BZ25" s="2003">
        <f t="shared" si="35"/>
        <v>0</v>
      </c>
      <c r="CA25" s="1989"/>
      <c r="CB25" s="2003">
        <f t="shared" si="36"/>
        <v>0</v>
      </c>
      <c r="CC25" s="1989"/>
      <c r="CD25" s="1989"/>
      <c r="CE25" s="2002">
        <f t="shared" si="37"/>
        <v>0</v>
      </c>
      <c r="CF25" s="1999"/>
      <c r="CG25" s="1993"/>
      <c r="CH25" s="2003">
        <f t="shared" si="39"/>
        <v>0</v>
      </c>
      <c r="CI25" s="1989"/>
      <c r="CJ25" s="2003">
        <f t="shared" si="40"/>
        <v>0</v>
      </c>
      <c r="CK25" s="1989"/>
      <c r="CL25" s="2003">
        <f t="shared" si="41"/>
        <v>0</v>
      </c>
      <c r="CM25" s="1989"/>
      <c r="CN25" s="1989"/>
      <c r="CO25" s="2002">
        <f t="shared" si="42"/>
        <v>0</v>
      </c>
      <c r="CP25" s="1999"/>
      <c r="CQ25" s="1993"/>
      <c r="CR25" s="2003">
        <f t="shared" si="44"/>
        <v>0</v>
      </c>
      <c r="CS25" s="1989"/>
      <c r="CT25" s="2003">
        <f t="shared" si="45"/>
        <v>0</v>
      </c>
      <c r="CU25" s="1989"/>
      <c r="CV25" s="2003">
        <f t="shared" si="46"/>
        <v>0</v>
      </c>
      <c r="CW25" s="1989"/>
      <c r="CX25" s="1989"/>
      <c r="CY25" s="2002">
        <f t="shared" si="47"/>
        <v>0</v>
      </c>
      <c r="CZ25" s="1999">
        <f t="shared" si="48"/>
        <v>0</v>
      </c>
      <c r="DA25" s="1993"/>
      <c r="DB25" s="2003">
        <f t="shared" si="49"/>
        <v>0</v>
      </c>
      <c r="DC25" s="1989"/>
      <c r="DD25" s="2003">
        <f t="shared" si="50"/>
        <v>0</v>
      </c>
      <c r="DE25" s="1989"/>
      <c r="DF25" s="2003">
        <f t="shared" si="51"/>
        <v>0</v>
      </c>
      <c r="DG25" s="1989"/>
      <c r="DH25" s="1989"/>
      <c r="DI25" s="2002">
        <f t="shared" si="52"/>
        <v>0</v>
      </c>
      <c r="DJ25" s="1999">
        <f t="shared" si="53"/>
        <v>0</v>
      </c>
      <c r="DK25" s="1993"/>
      <c r="DL25" s="2003">
        <f t="shared" si="54"/>
        <v>0</v>
      </c>
      <c r="DM25" s="1989"/>
      <c r="DN25" s="2003">
        <f t="shared" si="55"/>
        <v>0</v>
      </c>
      <c r="DO25" s="1989"/>
      <c r="DP25" s="2003">
        <f t="shared" si="56"/>
        <v>0</v>
      </c>
      <c r="DQ25" s="1989"/>
      <c r="DR25" s="1989"/>
      <c r="DS25" s="2002">
        <f t="shared" si="57"/>
        <v>0</v>
      </c>
      <c r="DT25" s="2004">
        <f t="shared" si="58"/>
        <v>0</v>
      </c>
      <c r="DU25" s="1988"/>
      <c r="DV25" s="2003">
        <f t="shared" si="59"/>
        <v>0</v>
      </c>
      <c r="DW25" s="1989"/>
      <c r="DX25" s="2003">
        <f t="shared" si="60"/>
        <v>0</v>
      </c>
      <c r="DY25" s="1989"/>
      <c r="DZ25" s="2003">
        <f t="shared" si="61"/>
        <v>0</v>
      </c>
      <c r="EA25" s="1989"/>
      <c r="EB25" s="1989"/>
      <c r="EC25" s="2002">
        <f t="shared" si="62"/>
        <v>0</v>
      </c>
      <c r="ED25" s="1998">
        <f t="shared" si="63"/>
        <v>0</v>
      </c>
      <c r="EE25" s="2005" t="e">
        <f t="shared" si="5"/>
        <v>#REF!</v>
      </c>
      <c r="EF25" s="2003">
        <f t="shared" si="64"/>
        <v>0</v>
      </c>
      <c r="EG25" s="1989" t="e">
        <f t="shared" si="6"/>
        <v>#REF!</v>
      </c>
      <c r="EH25" s="2003">
        <f t="shared" si="65"/>
        <v>0</v>
      </c>
      <c r="EI25" s="1989" t="e">
        <f t="shared" si="7"/>
        <v>#REF!</v>
      </c>
      <c r="EJ25" s="2003">
        <f t="shared" si="66"/>
        <v>0</v>
      </c>
      <c r="EK25" s="1989" t="e">
        <f t="shared" si="8"/>
        <v>#REF!</v>
      </c>
      <c r="EL25" s="1989" t="e">
        <f t="shared" si="8"/>
        <v>#REF!</v>
      </c>
      <c r="EM25" s="2006" t="e">
        <f t="shared" si="67"/>
        <v>#REF!</v>
      </c>
      <c r="EN25" s="1999" t="e">
        <f t="shared" si="68"/>
        <v>#REF!</v>
      </c>
      <c r="EP25" s="1613" t="e">
        <f>EA25-#REF!/10^7</f>
        <v>#REF!</v>
      </c>
      <c r="EW25" s="1611" t="e">
        <v>#N/A</v>
      </c>
      <c r="EX25" s="1612" t="e">
        <v>#N/A</v>
      </c>
      <c r="EZ25" s="1650">
        <f t="shared" si="69"/>
        <v>0</v>
      </c>
    </row>
    <row r="26" spans="1:156" s="1660" customFormat="1" ht="21" customHeight="1">
      <c r="A26" s="1637"/>
      <c r="B26" s="1654" t="s">
        <v>211</v>
      </c>
      <c r="C26" s="1655"/>
      <c r="D26" s="1656"/>
      <c r="E26" s="1656"/>
      <c r="F26" s="1656"/>
      <c r="G26" s="1656"/>
      <c r="H26" s="1656">
        <f>SUM(H12:H24)</f>
        <v>6134</v>
      </c>
      <c r="I26" s="1656"/>
      <c r="J26" s="1657"/>
      <c r="K26" s="1656"/>
      <c r="L26" s="1656"/>
      <c r="M26" s="1656"/>
      <c r="N26" s="1658"/>
      <c r="O26" s="2007" t="e">
        <f>SUM(O12:O25)</f>
        <v>#REF!</v>
      </c>
      <c r="P26" s="2003">
        <f t="shared" si="9"/>
        <v>0</v>
      </c>
      <c r="Q26" s="1826" t="e">
        <f>(SUM(Q12:Q25))</f>
        <v>#REF!</v>
      </c>
      <c r="R26" s="2003">
        <f t="shared" si="10"/>
        <v>0</v>
      </c>
      <c r="S26" s="1826" t="e">
        <f>SUM(S12:S25)</f>
        <v>#REF!</v>
      </c>
      <c r="T26" s="2003">
        <f t="shared" si="11"/>
        <v>0</v>
      </c>
      <c r="U26" s="1826" t="e">
        <f>SUM(U12:U25)</f>
        <v>#REF!</v>
      </c>
      <c r="V26" s="1826" t="e">
        <f>SUM(V12:V25)</f>
        <v>#REF!</v>
      </c>
      <c r="W26" s="1989">
        <f t="shared" si="12"/>
        <v>0</v>
      </c>
      <c r="X26" s="2008" t="e">
        <f t="shared" ref="X26:AF26" si="70">SUM(X12:X25)</f>
        <v>#REF!</v>
      </c>
      <c r="Y26" s="2007" t="e">
        <f t="shared" si="70"/>
        <v>#REF!</v>
      </c>
      <c r="Z26" s="2003">
        <f t="shared" si="14"/>
        <v>0</v>
      </c>
      <c r="AA26" s="1826" t="e">
        <f t="shared" si="70"/>
        <v>#REF!</v>
      </c>
      <c r="AB26" s="2003">
        <f t="shared" si="15"/>
        <v>0</v>
      </c>
      <c r="AC26" s="1826" t="e">
        <f t="shared" si="70"/>
        <v>#REF!</v>
      </c>
      <c r="AD26" s="2003">
        <f t="shared" si="16"/>
        <v>0</v>
      </c>
      <c r="AE26" s="1826" t="e">
        <f t="shared" si="70"/>
        <v>#REF!</v>
      </c>
      <c r="AF26" s="1826" t="e">
        <f t="shared" si="70"/>
        <v>#REF!</v>
      </c>
      <c r="AG26" s="2002" t="e">
        <f t="shared" si="17"/>
        <v>#REF!</v>
      </c>
      <c r="AH26" s="2008" t="e">
        <f t="shared" ref="AH26:AP26" si="71">SUM(AH12:AH25)</f>
        <v>#REF!</v>
      </c>
      <c r="AI26" s="2007" t="e">
        <f t="shared" si="71"/>
        <v>#REF!</v>
      </c>
      <c r="AJ26" s="2003">
        <f t="shared" si="2"/>
        <v>0</v>
      </c>
      <c r="AK26" s="1826" t="e">
        <f t="shared" si="71"/>
        <v>#REF!</v>
      </c>
      <c r="AL26" s="2003">
        <f t="shared" si="2"/>
        <v>0</v>
      </c>
      <c r="AM26" s="1826" t="e">
        <f t="shared" si="71"/>
        <v>#REF!</v>
      </c>
      <c r="AN26" s="2003">
        <f t="shared" si="2"/>
        <v>0</v>
      </c>
      <c r="AO26" s="1826" t="e">
        <f t="shared" si="71"/>
        <v>#REF!</v>
      </c>
      <c r="AP26" s="1826" t="e">
        <f t="shared" si="71"/>
        <v>#REF!</v>
      </c>
      <c r="AQ26" s="2002" t="e">
        <f t="shared" si="19"/>
        <v>#REF!</v>
      </c>
      <c r="AR26" s="2008" t="e">
        <f t="shared" ref="AR26:AZ26" si="72">SUM(AR12:AR25)</f>
        <v>#REF!</v>
      </c>
      <c r="AS26" s="2007" t="e">
        <f t="shared" si="72"/>
        <v>#REF!</v>
      </c>
      <c r="AT26" s="2003">
        <f t="shared" si="20"/>
        <v>0</v>
      </c>
      <c r="AU26" s="1826" t="e">
        <f t="shared" si="72"/>
        <v>#REF!</v>
      </c>
      <c r="AV26" s="2003">
        <f t="shared" si="21"/>
        <v>0</v>
      </c>
      <c r="AW26" s="1826" t="e">
        <f t="shared" si="72"/>
        <v>#REF!</v>
      </c>
      <c r="AX26" s="2003">
        <f t="shared" si="22"/>
        <v>0</v>
      </c>
      <c r="AY26" s="1826" t="e">
        <f t="shared" si="72"/>
        <v>#REF!</v>
      </c>
      <c r="AZ26" s="1826" t="e">
        <f t="shared" si="72"/>
        <v>#REF!</v>
      </c>
      <c r="BA26" s="2002" t="e">
        <f t="shared" si="23"/>
        <v>#REF!</v>
      </c>
      <c r="BB26" s="2008" t="e">
        <f>SUM(BB12:BB25)</f>
        <v>#REF!</v>
      </c>
      <c r="BC26" s="2007" t="e">
        <f>SUM(BC12:BC25)</f>
        <v>#REF!</v>
      </c>
      <c r="BD26" s="2003">
        <f t="shared" si="24"/>
        <v>0</v>
      </c>
      <c r="BE26" s="1826" t="e">
        <f>SUM(BE12:BE25)</f>
        <v>#REF!</v>
      </c>
      <c r="BF26" s="2003">
        <f t="shared" si="25"/>
        <v>0</v>
      </c>
      <c r="BG26" s="1826" t="e">
        <f>SUM(BG12:BG25)</f>
        <v>#REF!</v>
      </c>
      <c r="BH26" s="2003">
        <f t="shared" si="26"/>
        <v>0</v>
      </c>
      <c r="BI26" s="1826" t="e">
        <f>BI12+BI13+BI14+BI15+BI16+BI17+BI18+BI19+BI20+BI21+BI22</f>
        <v>#REF!</v>
      </c>
      <c r="BJ26" s="1826" t="e">
        <f>BJ12+BJ13+BJ14+BJ15+BJ16+BJ17+BJ18+BJ19+BJ20+BJ21+BJ22</f>
        <v>#REF!</v>
      </c>
      <c r="BK26" s="2002" t="e">
        <f t="shared" si="27"/>
        <v>#REF!</v>
      </c>
      <c r="BL26" s="2008" t="e">
        <f>SUM(BL12:BL25)</f>
        <v>#REF!</v>
      </c>
      <c r="BM26" s="2007" t="e">
        <f>SUM(BM12:BM25)</f>
        <v>#REF!</v>
      </c>
      <c r="BN26" s="2003">
        <f t="shared" si="29"/>
        <v>0</v>
      </c>
      <c r="BO26" s="1826" t="e">
        <f>SUM(BO12:BO25)</f>
        <v>#REF!</v>
      </c>
      <c r="BP26" s="2003">
        <f t="shared" si="30"/>
        <v>0</v>
      </c>
      <c r="BQ26" s="1826" t="e">
        <f>SUM(BQ12:BQ25)</f>
        <v>#REF!</v>
      </c>
      <c r="BR26" s="2003">
        <f t="shared" si="31"/>
        <v>0</v>
      </c>
      <c r="BS26" s="1826" t="e">
        <f>BS12+BS13+BS14+BS15+BS16+BS17+BS18+BS19+BS20+BS21+BS22</f>
        <v>#REF!</v>
      </c>
      <c r="BT26" s="1826" t="e">
        <f>BT12+BT13+BT14+BT15+BT16+BT17+BT18+BT19+BT20+BT21+BT22</f>
        <v>#REF!</v>
      </c>
      <c r="BU26" s="2002" t="e">
        <f t="shared" si="32"/>
        <v>#REF!</v>
      </c>
      <c r="BV26" s="2008" t="e">
        <f>SUM(BV12:BV25)</f>
        <v>#REF!</v>
      </c>
      <c r="BW26" s="2007" t="e">
        <f>SUM(BW12:BW25)</f>
        <v>#REF!</v>
      </c>
      <c r="BX26" s="2003">
        <f t="shared" si="34"/>
        <v>0</v>
      </c>
      <c r="BY26" s="1826" t="e">
        <f>SUM(BY12:BY25)</f>
        <v>#REF!</v>
      </c>
      <c r="BZ26" s="2003">
        <f t="shared" si="35"/>
        <v>0</v>
      </c>
      <c r="CA26" s="1826" t="e">
        <f>SUM(CA12:CA25)</f>
        <v>#REF!</v>
      </c>
      <c r="CB26" s="2003">
        <f t="shared" si="36"/>
        <v>0</v>
      </c>
      <c r="CC26" s="1826" t="e">
        <f>CC12+CC13+CC14+CC15+CC16+CC17+CC18+CC19+CC20+CC21+CC22</f>
        <v>#REF!</v>
      </c>
      <c r="CD26" s="1826" t="e">
        <f>CD12+CD13+CD14+CD15+CD16+CD17+CD18+CD19+CD20+CD21+CD22</f>
        <v>#REF!</v>
      </c>
      <c r="CE26" s="2002" t="e">
        <f t="shared" si="37"/>
        <v>#REF!</v>
      </c>
      <c r="CF26" s="2008" t="e">
        <f>SUM(CF12:CF25)</f>
        <v>#REF!</v>
      </c>
      <c r="CG26" s="2007" t="e">
        <f>SUM(CG12:CG25)</f>
        <v>#REF!</v>
      </c>
      <c r="CH26" s="2003">
        <f t="shared" si="39"/>
        <v>0</v>
      </c>
      <c r="CI26" s="1826" t="e">
        <f>SUM(CI12:CI25)</f>
        <v>#REF!</v>
      </c>
      <c r="CJ26" s="2003">
        <f t="shared" si="40"/>
        <v>0</v>
      </c>
      <c r="CK26" s="1826" t="e">
        <f>SUM(CK12:CK25)</f>
        <v>#REF!</v>
      </c>
      <c r="CL26" s="2003">
        <f t="shared" si="41"/>
        <v>0</v>
      </c>
      <c r="CM26" s="1826" t="e">
        <f>CM12+CM13+CM14+CM15+CM16+CM17+CM18+CM19+CM20+CM21+CM22</f>
        <v>#REF!</v>
      </c>
      <c r="CN26" s="1826" t="e">
        <f>CN12+CN13+CN14+CN15+CN16+CN17+CN18+CN19+CN20+CN21+CN22</f>
        <v>#REF!</v>
      </c>
      <c r="CO26" s="2002" t="e">
        <f t="shared" si="42"/>
        <v>#REF!</v>
      </c>
      <c r="CP26" s="2008" t="e">
        <f>SUM(CP12:CP25)</f>
        <v>#REF!</v>
      </c>
      <c r="CQ26" s="2007" t="e">
        <f>SUM(CQ12:CQ25)</f>
        <v>#REF!</v>
      </c>
      <c r="CR26" s="2003">
        <f t="shared" si="44"/>
        <v>0</v>
      </c>
      <c r="CS26" s="1826" t="e">
        <f>SUM(CS12:CS25)</f>
        <v>#REF!</v>
      </c>
      <c r="CT26" s="2003">
        <f t="shared" si="45"/>
        <v>0</v>
      </c>
      <c r="CU26" s="1826" t="e">
        <f>SUM(CU12:CU25)</f>
        <v>#REF!</v>
      </c>
      <c r="CV26" s="2003">
        <f t="shared" si="46"/>
        <v>0</v>
      </c>
      <c r="CW26" s="1826" t="e">
        <f>CW12+CW13+CW14+CW15+CW16+CW17+CW18+CW19+CW20+CW21+CW22</f>
        <v>#REF!</v>
      </c>
      <c r="CX26" s="1826" t="e">
        <f>CX12+CX13+CX14+CX15+CX16+CX17+CX18+CX19+CX20+CX21+CX22</f>
        <v>#REF!</v>
      </c>
      <c r="CY26" s="2002" t="e">
        <f t="shared" si="47"/>
        <v>#REF!</v>
      </c>
      <c r="CZ26" s="2008" t="e">
        <f>SUM(CZ12:CZ25)</f>
        <v>#REF!</v>
      </c>
      <c r="DA26" s="2007" t="e">
        <f>SUM(DA12:DA25)</f>
        <v>#REF!</v>
      </c>
      <c r="DB26" s="2003">
        <f t="shared" si="49"/>
        <v>0</v>
      </c>
      <c r="DC26" s="1826" t="e">
        <f>SUM(DC12:DC25)</f>
        <v>#REF!</v>
      </c>
      <c r="DD26" s="2003">
        <f t="shared" si="50"/>
        <v>0</v>
      </c>
      <c r="DE26" s="1826" t="e">
        <f>SUM(DE12:DE25)</f>
        <v>#REF!</v>
      </c>
      <c r="DF26" s="2003">
        <f t="shared" si="51"/>
        <v>0</v>
      </c>
      <c r="DG26" s="1826" t="e">
        <f>DG12+DG13+DG14+DG15+DG16+DG17+DG18+DG19+DG20+DG21+DG22</f>
        <v>#REF!</v>
      </c>
      <c r="DH26" s="1826" t="e">
        <f>DH12+DH13+DH14+DH15+DH16+DH17+DH18+DH19+DH20+DH21+DH22</f>
        <v>#REF!</v>
      </c>
      <c r="DI26" s="2002" t="e">
        <f t="shared" si="52"/>
        <v>#REF!</v>
      </c>
      <c r="DJ26" s="2008" t="e">
        <f>SUM(DJ12:DJ25)</f>
        <v>#REF!</v>
      </c>
      <c r="DK26" s="2007" t="e">
        <f>SUM(DK12:DK25)</f>
        <v>#REF!</v>
      </c>
      <c r="DL26" s="2003">
        <f t="shared" si="54"/>
        <v>0</v>
      </c>
      <c r="DM26" s="1826" t="e">
        <f>SUM(DM12:DM25)</f>
        <v>#REF!</v>
      </c>
      <c r="DN26" s="2003">
        <f t="shared" si="55"/>
        <v>0</v>
      </c>
      <c r="DO26" s="1826" t="e">
        <f>SUM(DO12:DO25)</f>
        <v>#REF!</v>
      </c>
      <c r="DP26" s="2003">
        <f t="shared" si="56"/>
        <v>0</v>
      </c>
      <c r="DQ26" s="1826" t="e">
        <f>DQ12+DQ13+DQ14+DQ15+DQ16+DQ17+DQ18+DQ19+DQ20+DQ21+DQ22+DQ23</f>
        <v>#REF!</v>
      </c>
      <c r="DR26" s="1826" t="e">
        <f>DR12+DR13+DR14+DR15+DR16+DR17+DR18+DR19+DR20+DR21+DR22</f>
        <v>#REF!</v>
      </c>
      <c r="DS26" s="2002" t="e">
        <f t="shared" si="57"/>
        <v>#REF!</v>
      </c>
      <c r="DT26" s="2009" t="e">
        <f t="shared" ref="DT26:EB26" si="73">SUM(DT12:DT25)</f>
        <v>#REF!</v>
      </c>
      <c r="DU26" s="2010" t="e">
        <f t="shared" si="73"/>
        <v>#REF!</v>
      </c>
      <c r="DV26" s="2003">
        <f t="shared" si="59"/>
        <v>0</v>
      </c>
      <c r="DW26" s="1826" t="e">
        <f t="shared" si="73"/>
        <v>#REF!</v>
      </c>
      <c r="DX26" s="2003">
        <f t="shared" si="60"/>
        <v>0</v>
      </c>
      <c r="DY26" s="1826" t="e">
        <f t="shared" si="73"/>
        <v>#REF!</v>
      </c>
      <c r="DZ26" s="2003">
        <f t="shared" si="61"/>
        <v>0</v>
      </c>
      <c r="EA26" s="1826" t="e">
        <f t="shared" si="73"/>
        <v>#REF!</v>
      </c>
      <c r="EB26" s="1826" t="e">
        <f t="shared" si="73"/>
        <v>#REF!</v>
      </c>
      <c r="EC26" s="2002" t="e">
        <f t="shared" si="62"/>
        <v>#REF!</v>
      </c>
      <c r="ED26" s="1826" t="e">
        <f t="shared" ref="ED26:EL26" si="74">SUM(ED12:ED25)</f>
        <v>#REF!</v>
      </c>
      <c r="EE26" s="2011" t="e">
        <f t="shared" si="74"/>
        <v>#REF!</v>
      </c>
      <c r="EF26" s="2003">
        <f t="shared" si="64"/>
        <v>0</v>
      </c>
      <c r="EG26" s="1826" t="e">
        <f t="shared" si="74"/>
        <v>#REF!</v>
      </c>
      <c r="EH26" s="2003">
        <f t="shared" si="65"/>
        <v>0</v>
      </c>
      <c r="EI26" s="1826" t="e">
        <f t="shared" si="74"/>
        <v>#REF!</v>
      </c>
      <c r="EJ26" s="2003">
        <f t="shared" si="66"/>
        <v>0</v>
      </c>
      <c r="EK26" s="1826" t="e">
        <f t="shared" si="74"/>
        <v>#REF!</v>
      </c>
      <c r="EL26" s="1826" t="e">
        <f t="shared" si="74"/>
        <v>#REF!</v>
      </c>
      <c r="EM26" s="2006" t="e">
        <f t="shared" si="67"/>
        <v>#REF!</v>
      </c>
      <c r="EN26" s="2008" t="e">
        <f>SUM(EN12:EN25)</f>
        <v>#REF!</v>
      </c>
      <c r="EO26" s="1659"/>
      <c r="EP26" s="1613" t="e">
        <f>EA26-#REF!/10^7</f>
        <v>#REF!</v>
      </c>
      <c r="EQ26" s="1661"/>
      <c r="EW26" s="1611" t="e">
        <v>#N/A</v>
      </c>
      <c r="EX26" s="1612">
        <v>0</v>
      </c>
      <c r="EZ26" s="1650">
        <f t="shared" si="69"/>
        <v>0</v>
      </c>
    </row>
    <row r="27" spans="1:156" ht="21" customHeight="1">
      <c r="A27" s="1652"/>
      <c r="B27" s="1644"/>
      <c r="C27" s="1662"/>
      <c r="D27" s="1648"/>
      <c r="E27" s="1648"/>
      <c r="F27" s="1648"/>
      <c r="G27" s="1648"/>
      <c r="H27" s="1648"/>
      <c r="I27" s="1648"/>
      <c r="J27" s="1663"/>
      <c r="K27" s="1648"/>
      <c r="L27" s="1648"/>
      <c r="M27" s="1648"/>
      <c r="N27" s="1642"/>
      <c r="O27" s="2000"/>
      <c r="P27" s="2003">
        <f t="shared" si="9"/>
        <v>0</v>
      </c>
      <c r="Q27" s="1989">
        <v>0</v>
      </c>
      <c r="R27" s="2003">
        <f t="shared" si="10"/>
        <v>0</v>
      </c>
      <c r="S27" s="1989"/>
      <c r="T27" s="2003">
        <f t="shared" si="11"/>
        <v>0</v>
      </c>
      <c r="U27" s="1989"/>
      <c r="V27" s="1989"/>
      <c r="W27" s="1989">
        <f t="shared" si="12"/>
        <v>0</v>
      </c>
      <c r="X27" s="1999"/>
      <c r="Y27" s="1993"/>
      <c r="Z27" s="2003">
        <f t="shared" si="14"/>
        <v>0</v>
      </c>
      <c r="AA27" s="1989"/>
      <c r="AB27" s="2003">
        <f t="shared" si="15"/>
        <v>0</v>
      </c>
      <c r="AC27" s="1989"/>
      <c r="AD27" s="2003">
        <f t="shared" si="16"/>
        <v>0</v>
      </c>
      <c r="AE27" s="1989"/>
      <c r="AF27" s="1989"/>
      <c r="AG27" s="2002">
        <f t="shared" si="17"/>
        <v>0</v>
      </c>
      <c r="AH27" s="1999"/>
      <c r="AI27" s="1993"/>
      <c r="AJ27" s="2003">
        <f t="shared" si="2"/>
        <v>0</v>
      </c>
      <c r="AK27" s="1989"/>
      <c r="AL27" s="2003">
        <f t="shared" si="2"/>
        <v>0</v>
      </c>
      <c r="AM27" s="1989"/>
      <c r="AN27" s="2003">
        <f t="shared" si="2"/>
        <v>0</v>
      </c>
      <c r="AO27" s="1989"/>
      <c r="AP27" s="1989"/>
      <c r="AQ27" s="2002">
        <f t="shared" si="19"/>
        <v>0</v>
      </c>
      <c r="AR27" s="1999"/>
      <c r="AS27" s="1993"/>
      <c r="AT27" s="2003">
        <f t="shared" si="20"/>
        <v>0</v>
      </c>
      <c r="AU27" s="1989"/>
      <c r="AV27" s="2003">
        <f t="shared" si="21"/>
        <v>0</v>
      </c>
      <c r="AW27" s="1989"/>
      <c r="AX27" s="2003">
        <f t="shared" si="22"/>
        <v>0</v>
      </c>
      <c r="AY27" s="1989"/>
      <c r="AZ27" s="1989"/>
      <c r="BA27" s="2002">
        <f t="shared" si="23"/>
        <v>0</v>
      </c>
      <c r="BB27" s="1999"/>
      <c r="BC27" s="1993"/>
      <c r="BD27" s="2003">
        <f t="shared" si="24"/>
        <v>0</v>
      </c>
      <c r="BE27" s="1989"/>
      <c r="BF27" s="2003">
        <f t="shared" si="25"/>
        <v>0</v>
      </c>
      <c r="BG27" s="1989"/>
      <c r="BH27" s="2003">
        <f t="shared" si="26"/>
        <v>0</v>
      </c>
      <c r="BI27" s="1989"/>
      <c r="BJ27" s="1989"/>
      <c r="BK27" s="2002">
        <f t="shared" si="27"/>
        <v>0</v>
      </c>
      <c r="BL27" s="1999"/>
      <c r="BM27" s="1993"/>
      <c r="BN27" s="2003">
        <f t="shared" si="29"/>
        <v>0</v>
      </c>
      <c r="BO27" s="1989"/>
      <c r="BP27" s="2003">
        <f t="shared" si="30"/>
        <v>0</v>
      </c>
      <c r="BQ27" s="1989"/>
      <c r="BR27" s="2003">
        <f t="shared" si="31"/>
        <v>0</v>
      </c>
      <c r="BS27" s="1989"/>
      <c r="BT27" s="1989"/>
      <c r="BU27" s="2002">
        <f t="shared" si="32"/>
        <v>0</v>
      </c>
      <c r="BV27" s="1999"/>
      <c r="BW27" s="1993"/>
      <c r="BX27" s="2003">
        <f t="shared" si="34"/>
        <v>0</v>
      </c>
      <c r="BY27" s="1989"/>
      <c r="BZ27" s="2003">
        <f t="shared" si="35"/>
        <v>0</v>
      </c>
      <c r="CA27" s="1989"/>
      <c r="CB27" s="2003">
        <f t="shared" si="36"/>
        <v>0</v>
      </c>
      <c r="CC27" s="1989"/>
      <c r="CD27" s="1989"/>
      <c r="CE27" s="2002">
        <f t="shared" si="37"/>
        <v>0</v>
      </c>
      <c r="CF27" s="1999"/>
      <c r="CG27" s="1993"/>
      <c r="CH27" s="2003">
        <f t="shared" si="39"/>
        <v>0</v>
      </c>
      <c r="CI27" s="1989"/>
      <c r="CJ27" s="2003">
        <f t="shared" si="40"/>
        <v>0</v>
      </c>
      <c r="CK27" s="1989"/>
      <c r="CL27" s="2003">
        <f t="shared" si="41"/>
        <v>0</v>
      </c>
      <c r="CM27" s="1989"/>
      <c r="CN27" s="1989"/>
      <c r="CO27" s="2002">
        <f t="shared" si="42"/>
        <v>0</v>
      </c>
      <c r="CP27" s="1999"/>
      <c r="CQ27" s="1993"/>
      <c r="CR27" s="2003">
        <f t="shared" si="44"/>
        <v>0</v>
      </c>
      <c r="CS27" s="1989"/>
      <c r="CT27" s="2003">
        <f t="shared" si="45"/>
        <v>0</v>
      </c>
      <c r="CU27" s="1989"/>
      <c r="CV27" s="2003">
        <f t="shared" si="46"/>
        <v>0</v>
      </c>
      <c r="CW27" s="1989"/>
      <c r="CX27" s="1989"/>
      <c r="CY27" s="2002">
        <f t="shared" si="47"/>
        <v>0</v>
      </c>
      <c r="CZ27" s="1999"/>
      <c r="DA27" s="1993"/>
      <c r="DB27" s="2003">
        <f t="shared" si="49"/>
        <v>0</v>
      </c>
      <c r="DC27" s="1989"/>
      <c r="DD27" s="2003">
        <f t="shared" si="50"/>
        <v>0</v>
      </c>
      <c r="DE27" s="1989"/>
      <c r="DF27" s="2003">
        <f t="shared" si="51"/>
        <v>0</v>
      </c>
      <c r="DG27" s="1989"/>
      <c r="DH27" s="1989"/>
      <c r="DI27" s="2002">
        <f t="shared" si="52"/>
        <v>0</v>
      </c>
      <c r="DJ27" s="1999"/>
      <c r="DK27" s="1993"/>
      <c r="DL27" s="2003">
        <f t="shared" si="54"/>
        <v>0</v>
      </c>
      <c r="DM27" s="1989"/>
      <c r="DN27" s="2003">
        <f t="shared" si="55"/>
        <v>0</v>
      </c>
      <c r="DO27" s="1989"/>
      <c r="DP27" s="2003">
        <f t="shared" si="56"/>
        <v>0</v>
      </c>
      <c r="DQ27" s="1989"/>
      <c r="DR27" s="1989"/>
      <c r="DS27" s="2002">
        <f t="shared" si="57"/>
        <v>0</v>
      </c>
      <c r="DT27" s="2004"/>
      <c r="DU27" s="1988"/>
      <c r="DV27" s="2003">
        <f t="shared" si="59"/>
        <v>0</v>
      </c>
      <c r="DW27" s="1989"/>
      <c r="DX27" s="2003">
        <f t="shared" si="60"/>
        <v>0</v>
      </c>
      <c r="DY27" s="1989"/>
      <c r="DZ27" s="2003">
        <f t="shared" si="61"/>
        <v>0</v>
      </c>
      <c r="EA27" s="1989"/>
      <c r="EB27" s="1989"/>
      <c r="EC27" s="2002">
        <f t="shared" si="62"/>
        <v>0</v>
      </c>
      <c r="ED27" s="1998"/>
      <c r="EE27" s="2005"/>
      <c r="EF27" s="2003">
        <f t="shared" si="64"/>
        <v>0</v>
      </c>
      <c r="EG27" s="1989"/>
      <c r="EH27" s="2003">
        <f t="shared" si="65"/>
        <v>0</v>
      </c>
      <c r="EI27" s="1989"/>
      <c r="EJ27" s="2003">
        <f t="shared" si="66"/>
        <v>0</v>
      </c>
      <c r="EK27" s="1989"/>
      <c r="EL27" s="1989"/>
      <c r="EM27" s="2006">
        <f t="shared" si="67"/>
        <v>0</v>
      </c>
      <c r="EN27" s="1999"/>
      <c r="EP27" s="1613" t="e">
        <f>EA27-#REF!/10^7</f>
        <v>#REF!</v>
      </c>
      <c r="EW27" s="1611" t="e">
        <v>#N/A</v>
      </c>
      <c r="EX27" s="1612" t="e">
        <v>#N/A</v>
      </c>
      <c r="EZ27" s="1650">
        <f t="shared" si="69"/>
        <v>0</v>
      </c>
    </row>
    <row r="28" spans="1:156" ht="21" customHeight="1">
      <c r="A28" s="1652" t="s">
        <v>21</v>
      </c>
      <c r="B28" s="1638" t="s">
        <v>1665</v>
      </c>
      <c r="C28" s="1662"/>
      <c r="D28" s="1648"/>
      <c r="E28" s="1648"/>
      <c r="F28" s="1648"/>
      <c r="G28" s="1648"/>
      <c r="H28" s="1648"/>
      <c r="I28" s="1648"/>
      <c r="J28" s="1663"/>
      <c r="K28" s="1648"/>
      <c r="L28" s="1648"/>
      <c r="M28" s="1648"/>
      <c r="N28" s="1642"/>
      <c r="O28" s="2000"/>
      <c r="P28" s="2003">
        <f t="shared" si="9"/>
        <v>0</v>
      </c>
      <c r="Q28" s="1989">
        <v>0</v>
      </c>
      <c r="R28" s="2003">
        <f t="shared" si="10"/>
        <v>0</v>
      </c>
      <c r="S28" s="1989"/>
      <c r="T28" s="2003">
        <f t="shared" si="11"/>
        <v>0</v>
      </c>
      <c r="U28" s="1989"/>
      <c r="V28" s="1989"/>
      <c r="W28" s="1989">
        <f t="shared" si="12"/>
        <v>0</v>
      </c>
      <c r="X28" s="1999">
        <f>Q28+S28+U28+V28</f>
        <v>0</v>
      </c>
      <c r="Y28" s="1993"/>
      <c r="Z28" s="2003">
        <f t="shared" si="14"/>
        <v>0</v>
      </c>
      <c r="AA28" s="1989"/>
      <c r="AB28" s="2003">
        <f t="shared" si="15"/>
        <v>0</v>
      </c>
      <c r="AC28" s="1989"/>
      <c r="AD28" s="2003">
        <f t="shared" si="16"/>
        <v>0</v>
      </c>
      <c r="AE28" s="1989"/>
      <c r="AF28" s="1989"/>
      <c r="AG28" s="2002">
        <f t="shared" si="17"/>
        <v>0</v>
      </c>
      <c r="AH28" s="1999">
        <f t="shared" ref="AH28:AH39" si="75">AA28+AC28+AE28+AF28</f>
        <v>0</v>
      </c>
      <c r="AI28" s="1993"/>
      <c r="AJ28" s="2003">
        <f t="shared" si="2"/>
        <v>0</v>
      </c>
      <c r="AK28" s="1989"/>
      <c r="AL28" s="2003">
        <f t="shared" si="2"/>
        <v>0</v>
      </c>
      <c r="AM28" s="1989"/>
      <c r="AN28" s="2003">
        <f t="shared" si="2"/>
        <v>0</v>
      </c>
      <c r="AO28" s="1989"/>
      <c r="AP28" s="1989"/>
      <c r="AQ28" s="2002">
        <f t="shared" si="19"/>
        <v>0</v>
      </c>
      <c r="AR28" s="1999">
        <f>AK28+AM28+AO28+AP28</f>
        <v>0</v>
      </c>
      <c r="AS28" s="1993"/>
      <c r="AT28" s="2003">
        <f t="shared" si="20"/>
        <v>0</v>
      </c>
      <c r="AU28" s="1989"/>
      <c r="AV28" s="2003">
        <f t="shared" si="21"/>
        <v>0</v>
      </c>
      <c r="AW28" s="1989"/>
      <c r="AX28" s="2003">
        <f t="shared" si="22"/>
        <v>0</v>
      </c>
      <c r="AY28" s="1989"/>
      <c r="AZ28" s="1989"/>
      <c r="BA28" s="2002">
        <f t="shared" si="23"/>
        <v>0</v>
      </c>
      <c r="BB28" s="1999">
        <f>AU28+AW28+AY28+AZ28</f>
        <v>0</v>
      </c>
      <c r="BC28" s="1993"/>
      <c r="BD28" s="2003">
        <f t="shared" si="24"/>
        <v>0</v>
      </c>
      <c r="BE28" s="1989"/>
      <c r="BF28" s="2003">
        <f t="shared" si="25"/>
        <v>0</v>
      </c>
      <c r="BG28" s="1989"/>
      <c r="BH28" s="2003">
        <f t="shared" si="26"/>
        <v>0</v>
      </c>
      <c r="BI28" s="1989"/>
      <c r="BJ28" s="1989"/>
      <c r="BK28" s="2002">
        <f t="shared" si="27"/>
        <v>0</v>
      </c>
      <c r="BL28" s="1999">
        <f>BE28+BG28+BI28+BJ28</f>
        <v>0</v>
      </c>
      <c r="BM28" s="1993"/>
      <c r="BN28" s="2003">
        <f t="shared" si="29"/>
        <v>0</v>
      </c>
      <c r="BO28" s="1989"/>
      <c r="BP28" s="2003">
        <f t="shared" si="30"/>
        <v>0</v>
      </c>
      <c r="BQ28" s="1989"/>
      <c r="BR28" s="2003">
        <f t="shared" si="31"/>
        <v>0</v>
      </c>
      <c r="BS28" s="1989"/>
      <c r="BT28" s="1989"/>
      <c r="BU28" s="2002">
        <f t="shared" si="32"/>
        <v>0</v>
      </c>
      <c r="BV28" s="1999">
        <f>BO28+BQ28+BS28+BT28</f>
        <v>0</v>
      </c>
      <c r="BW28" s="1993"/>
      <c r="BX28" s="2003">
        <f t="shared" si="34"/>
        <v>0</v>
      </c>
      <c r="BY28" s="1989"/>
      <c r="BZ28" s="2003">
        <f t="shared" si="35"/>
        <v>0</v>
      </c>
      <c r="CA28" s="1989"/>
      <c r="CB28" s="2003">
        <f t="shared" si="36"/>
        <v>0</v>
      </c>
      <c r="CC28" s="1989"/>
      <c r="CD28" s="1989"/>
      <c r="CE28" s="2002">
        <f t="shared" si="37"/>
        <v>0</v>
      </c>
      <c r="CF28" s="1999">
        <f>BY28+CA28+CC28+CD28</f>
        <v>0</v>
      </c>
      <c r="CG28" s="1993"/>
      <c r="CH28" s="2003">
        <f t="shared" si="39"/>
        <v>0</v>
      </c>
      <c r="CI28" s="1989"/>
      <c r="CJ28" s="2003">
        <f t="shared" si="40"/>
        <v>0</v>
      </c>
      <c r="CK28" s="1989"/>
      <c r="CL28" s="2003">
        <f t="shared" si="41"/>
        <v>0</v>
      </c>
      <c r="CM28" s="1989"/>
      <c r="CN28" s="1989"/>
      <c r="CO28" s="2002">
        <f t="shared" si="42"/>
        <v>0</v>
      </c>
      <c r="CP28" s="1999">
        <f>CI28+CK28+CM28+CN28</f>
        <v>0</v>
      </c>
      <c r="CQ28" s="1993"/>
      <c r="CR28" s="2003">
        <f t="shared" si="44"/>
        <v>0</v>
      </c>
      <c r="CS28" s="1989"/>
      <c r="CT28" s="2003">
        <f t="shared" si="45"/>
        <v>0</v>
      </c>
      <c r="CU28" s="1989"/>
      <c r="CV28" s="2003">
        <f t="shared" si="46"/>
        <v>0</v>
      </c>
      <c r="CW28" s="1989"/>
      <c r="CX28" s="1989"/>
      <c r="CY28" s="2002">
        <f t="shared" si="47"/>
        <v>0</v>
      </c>
      <c r="CZ28" s="1999">
        <f>CS28+CU28+CW28+CX28</f>
        <v>0</v>
      </c>
      <c r="DA28" s="1993"/>
      <c r="DB28" s="2003">
        <f t="shared" si="49"/>
        <v>0</v>
      </c>
      <c r="DC28" s="1989"/>
      <c r="DD28" s="2003">
        <f t="shared" si="50"/>
        <v>0</v>
      </c>
      <c r="DE28" s="1989"/>
      <c r="DF28" s="2003">
        <f t="shared" si="51"/>
        <v>0</v>
      </c>
      <c r="DG28" s="1989"/>
      <c r="DH28" s="1989"/>
      <c r="DI28" s="2002">
        <f t="shared" si="52"/>
        <v>0</v>
      </c>
      <c r="DJ28" s="1999">
        <f>DC28+DE28+DG28+DH28</f>
        <v>0</v>
      </c>
      <c r="DK28" s="1993"/>
      <c r="DL28" s="2003">
        <f t="shared" si="54"/>
        <v>0</v>
      </c>
      <c r="DM28" s="1989"/>
      <c r="DN28" s="2003">
        <f t="shared" si="55"/>
        <v>0</v>
      </c>
      <c r="DO28" s="1989"/>
      <c r="DP28" s="2003">
        <f t="shared" si="56"/>
        <v>0</v>
      </c>
      <c r="DQ28" s="1989"/>
      <c r="DR28" s="1989"/>
      <c r="DS28" s="2002">
        <f t="shared" si="57"/>
        <v>0</v>
      </c>
      <c r="DT28" s="2004">
        <f>DM28+DO28+DQ28+DR28</f>
        <v>0</v>
      </c>
      <c r="DU28" s="1988"/>
      <c r="DV28" s="2003">
        <f t="shared" si="59"/>
        <v>0</v>
      </c>
      <c r="DW28" s="1989"/>
      <c r="DX28" s="2003">
        <f t="shared" si="60"/>
        <v>0</v>
      </c>
      <c r="DY28" s="1989"/>
      <c r="DZ28" s="2003">
        <f t="shared" si="61"/>
        <v>0</v>
      </c>
      <c r="EA28" s="1989"/>
      <c r="EB28" s="1989"/>
      <c r="EC28" s="2002">
        <f t="shared" si="62"/>
        <v>0</v>
      </c>
      <c r="ED28" s="1998">
        <f>DW28+DY28+EA28+EB28</f>
        <v>0</v>
      </c>
      <c r="EE28" s="2005"/>
      <c r="EF28" s="2003">
        <f t="shared" si="64"/>
        <v>0</v>
      </c>
      <c r="EG28" s="1989"/>
      <c r="EH28" s="2003">
        <f t="shared" si="65"/>
        <v>0</v>
      </c>
      <c r="EI28" s="1989"/>
      <c r="EJ28" s="2003">
        <f t="shared" si="66"/>
        <v>0</v>
      </c>
      <c r="EK28" s="1989"/>
      <c r="EL28" s="1989"/>
      <c r="EM28" s="2006">
        <f t="shared" si="67"/>
        <v>0</v>
      </c>
      <c r="EN28" s="1999"/>
      <c r="EP28" s="1613" t="e">
        <f>EA28-#REF!/10^7</f>
        <v>#REF!</v>
      </c>
      <c r="EW28" s="1611" t="e">
        <v>#N/A</v>
      </c>
      <c r="EX28" s="1612">
        <v>0</v>
      </c>
      <c r="EZ28" s="1650">
        <f t="shared" si="69"/>
        <v>0</v>
      </c>
    </row>
    <row r="29" spans="1:156" ht="21" customHeight="1">
      <c r="A29" s="1652">
        <v>1</v>
      </c>
      <c r="B29" s="1644" t="s">
        <v>1666</v>
      </c>
      <c r="C29" s="1664">
        <v>300</v>
      </c>
      <c r="D29" s="1646">
        <f t="shared" ref="D29:D36" si="76">H29/C29*100</f>
        <v>85</v>
      </c>
      <c r="E29" s="1646">
        <v>62.63</v>
      </c>
      <c r="F29" s="1665">
        <v>1</v>
      </c>
      <c r="G29" s="1640"/>
      <c r="H29" s="1640">
        <v>255</v>
      </c>
      <c r="I29" s="1648" t="s">
        <v>1717</v>
      </c>
      <c r="J29" s="1649">
        <v>2</v>
      </c>
      <c r="K29" s="1648"/>
      <c r="L29" s="1640"/>
      <c r="M29" s="1640"/>
      <c r="N29" s="1642"/>
      <c r="O29" s="2000" t="e">
        <f>#REF!</f>
        <v>#REF!</v>
      </c>
      <c r="P29" s="2003">
        <f>IFERROR(Q29/O29*10,0)</f>
        <v>0</v>
      </c>
      <c r="Q29" s="1989" t="e">
        <f>#REF!/10^7</f>
        <v>#REF!</v>
      </c>
      <c r="R29" s="2003">
        <f>IFERROR($S29/O29*10,0)</f>
        <v>0</v>
      </c>
      <c r="S29" s="1989" t="e">
        <f>#REF!/10^7</f>
        <v>#REF!</v>
      </c>
      <c r="T29" s="2003">
        <f>IFERROR(U29/$O29*10,0)</f>
        <v>0</v>
      </c>
      <c r="U29" s="1989" t="e">
        <f>#REF!/10^7</f>
        <v>#REF!</v>
      </c>
      <c r="V29" s="1989" t="e">
        <f>#REF!/10^7</f>
        <v>#REF!</v>
      </c>
      <c r="W29" s="1989">
        <f>IFERROR(X29/(O29)*10,0)</f>
        <v>0</v>
      </c>
      <c r="X29" s="1999" t="e">
        <f>Q29+S29+U29+V29</f>
        <v>#REF!</v>
      </c>
      <c r="Y29" s="1993" t="e">
        <f>#REF!</f>
        <v>#REF!</v>
      </c>
      <c r="Z29" s="2003">
        <f>IFERROR(AA29/$Y29*10,0)</f>
        <v>0</v>
      </c>
      <c r="AA29" s="1989" t="e">
        <f>#REF!/10^7</f>
        <v>#REF!</v>
      </c>
      <c r="AB29" s="2003">
        <f>IFERROR(AC29/$Y29*10,0)</f>
        <v>0</v>
      </c>
      <c r="AC29" s="1989" t="e">
        <f>#REF!/10^7</f>
        <v>#REF!</v>
      </c>
      <c r="AD29" s="2003">
        <f>IFERROR(AE29/$Y29*10,0)</f>
        <v>0</v>
      </c>
      <c r="AE29" s="1989" t="e">
        <f>#REF!/10^7</f>
        <v>#REF!</v>
      </c>
      <c r="AF29" s="1989" t="e">
        <f>#REF!/10^7</f>
        <v>#REF!</v>
      </c>
      <c r="AG29" s="2002" t="e">
        <f>IF(Y29=0,0,(AH29/(Y29)*10))</f>
        <v>#REF!</v>
      </c>
      <c r="AH29" s="1999" t="e">
        <f t="shared" si="75"/>
        <v>#REF!</v>
      </c>
      <c r="AI29" s="1993" t="e">
        <f>#REF!</f>
        <v>#REF!</v>
      </c>
      <c r="AJ29" s="2003">
        <f>IFERROR(AK29/$AI29*10,0)</f>
        <v>0</v>
      </c>
      <c r="AK29" s="1989" t="e">
        <f>#REF!/10^7</f>
        <v>#REF!</v>
      </c>
      <c r="AL29" s="2003">
        <f t="shared" si="2"/>
        <v>0</v>
      </c>
      <c r="AM29" s="1989" t="e">
        <f>#REF!/10^7</f>
        <v>#REF!</v>
      </c>
      <c r="AN29" s="2003">
        <f t="shared" si="2"/>
        <v>0</v>
      </c>
      <c r="AO29" s="1989" t="e">
        <f>#REF!/10^7</f>
        <v>#REF!</v>
      </c>
      <c r="AP29" s="1989" t="e">
        <f>#REF!/10^7</f>
        <v>#REF!</v>
      </c>
      <c r="AQ29" s="2002" t="e">
        <f>IF(AI29=0,0,(AR29/(AI29)*10))</f>
        <v>#REF!</v>
      </c>
      <c r="AR29" s="1999" t="e">
        <f t="shared" ref="AR29:AR37" si="77">AK29+AM29+AO29+AP29</f>
        <v>#REF!</v>
      </c>
      <c r="AS29" s="1993" t="e">
        <f>#REF!</f>
        <v>#REF!</v>
      </c>
      <c r="AT29" s="2003">
        <f>IFERROR(AU29/$AS29*10,0)</f>
        <v>0</v>
      </c>
      <c r="AU29" s="1989" t="e">
        <f>#REF!/10^7</f>
        <v>#REF!</v>
      </c>
      <c r="AV29" s="2003">
        <f>IFERROR(AW29/$AS29*10,0)</f>
        <v>0</v>
      </c>
      <c r="AW29" s="1989" t="e">
        <f>#REF!/10^7</f>
        <v>#REF!</v>
      </c>
      <c r="AX29" s="2003">
        <f>IFERROR(AY29/$AS29*10,0)</f>
        <v>0</v>
      </c>
      <c r="AY29" s="1989" t="e">
        <f>#REF!/10^7</f>
        <v>#REF!</v>
      </c>
      <c r="AZ29" s="1989" t="e">
        <f>#REF!/10^7</f>
        <v>#REF!</v>
      </c>
      <c r="BA29" s="2002" t="e">
        <f>IF(AS29=0,0,(BB29/(AS29)*10))</f>
        <v>#REF!</v>
      </c>
      <c r="BB29" s="1999" t="e">
        <f t="shared" ref="BB29:BB39" si="78">AU29+AW29+AY29+AZ29</f>
        <v>#REF!</v>
      </c>
      <c r="BC29" s="1993" t="e">
        <f>#REF!</f>
        <v>#REF!</v>
      </c>
      <c r="BD29" s="2003">
        <f>IFERROR(BE29/$BC29*10,0)</f>
        <v>0</v>
      </c>
      <c r="BE29" s="1989" t="e">
        <f>#REF!/10^7</f>
        <v>#REF!</v>
      </c>
      <c r="BF29" s="2003">
        <f>IFERROR(BG29/$BC29*10,0)</f>
        <v>0</v>
      </c>
      <c r="BG29" s="1989" t="e">
        <f>#REF!/10^7</f>
        <v>#REF!</v>
      </c>
      <c r="BH29" s="2003">
        <f>IFERROR(BI29/$BC29*10,0)</f>
        <v>0</v>
      </c>
      <c r="BI29" s="1989" t="e">
        <f>#REF!/10^7</f>
        <v>#REF!</v>
      </c>
      <c r="BJ29" s="1989" t="e">
        <f>#REF!/10^7</f>
        <v>#REF!</v>
      </c>
      <c r="BK29" s="2002" t="e">
        <f>IF(BC29=0,0,(BL29/(BC29)*10))</f>
        <v>#REF!</v>
      </c>
      <c r="BL29" s="1999" t="e">
        <f>BE29+BG29+BI29+BJ29</f>
        <v>#REF!</v>
      </c>
      <c r="BM29" s="1993" t="e">
        <f>#REF!</f>
        <v>#REF!</v>
      </c>
      <c r="BN29" s="2003">
        <f>IFERROR(BO29/$BM29*10,0)</f>
        <v>0</v>
      </c>
      <c r="BO29" s="1989" t="e">
        <f>#REF!/10^7</f>
        <v>#REF!</v>
      </c>
      <c r="BP29" s="2003">
        <f>IFERROR(BQ29/$BM29*10,0)</f>
        <v>0</v>
      </c>
      <c r="BQ29" s="1989" t="e">
        <f>#REF!/10^7</f>
        <v>#REF!</v>
      </c>
      <c r="BR29" s="2003">
        <f>IFERROR(BS29/$BM29*10,0)</f>
        <v>0</v>
      </c>
      <c r="BS29" s="1989" t="e">
        <f>#REF!/10^7</f>
        <v>#REF!</v>
      </c>
      <c r="BT29" s="1989" t="e">
        <f>#REF!/10^7</f>
        <v>#REF!</v>
      </c>
      <c r="BU29" s="2002" t="e">
        <f>IF(BM29=0,0,(BV29/(BM29)*10))</f>
        <v>#REF!</v>
      </c>
      <c r="BV29" s="1999" t="e">
        <f>BO29+BQ29+BS29+BT29</f>
        <v>#REF!</v>
      </c>
      <c r="BW29" s="1993" t="e">
        <f>#REF!</f>
        <v>#REF!</v>
      </c>
      <c r="BX29" s="2003">
        <f>IFERROR(BY29/$BW29*10,0)</f>
        <v>0</v>
      </c>
      <c r="BY29" s="1989" t="e">
        <f>#REF!/10^7</f>
        <v>#REF!</v>
      </c>
      <c r="BZ29" s="2003">
        <f>IFERROR(CA29/$BW29*10,0)</f>
        <v>0</v>
      </c>
      <c r="CA29" s="1989" t="e">
        <f>#REF!/10^7</f>
        <v>#REF!</v>
      </c>
      <c r="CB29" s="2003">
        <f>IFERROR(CC29/$BW29*10,0)</f>
        <v>0</v>
      </c>
      <c r="CC29" s="1989" t="e">
        <f>#REF!/10^7</f>
        <v>#REF!</v>
      </c>
      <c r="CD29" s="1989" t="e">
        <f>#REF!/10^7</f>
        <v>#REF!</v>
      </c>
      <c r="CE29" s="2002" t="e">
        <f>IF(BW29=0,0,(CF29/(BW29)*10))</f>
        <v>#REF!</v>
      </c>
      <c r="CF29" s="1999" t="e">
        <f>BY29+CA29+CC29+CD29</f>
        <v>#REF!</v>
      </c>
      <c r="CG29" s="1993" t="e">
        <f>#REF!</f>
        <v>#REF!</v>
      </c>
      <c r="CH29" s="2003">
        <f>IFERROR(CI29/$CG29*10,0)</f>
        <v>0</v>
      </c>
      <c r="CI29" s="1989" t="e">
        <f>#REF!/10^7</f>
        <v>#REF!</v>
      </c>
      <c r="CJ29" s="2003">
        <f>IFERROR(CK29/$CG29*10,0)</f>
        <v>0</v>
      </c>
      <c r="CK29" s="1989" t="e">
        <f>#REF!/10^7</f>
        <v>#REF!</v>
      </c>
      <c r="CL29" s="2003">
        <f>IFERROR(CM29/$CG29*10,0)</f>
        <v>0</v>
      </c>
      <c r="CM29" s="1989" t="e">
        <f>#REF!/10^7</f>
        <v>#REF!</v>
      </c>
      <c r="CN29" s="1989" t="e">
        <f>#REF!/10^7</f>
        <v>#REF!</v>
      </c>
      <c r="CO29" s="2002" t="e">
        <f>IF(CG29=0,0,(CP29/(CG29)*10))</f>
        <v>#REF!</v>
      </c>
      <c r="CP29" s="1999" t="e">
        <f>CI29+CK29+CM29+CN29</f>
        <v>#REF!</v>
      </c>
      <c r="CQ29" s="1993" t="e">
        <f>#REF!</f>
        <v>#REF!</v>
      </c>
      <c r="CR29" s="2003">
        <f>IFERROR(CS29/$CQ29*10,0)</f>
        <v>0</v>
      </c>
      <c r="CS29" s="1989" t="e">
        <f>#REF!/10^7</f>
        <v>#REF!</v>
      </c>
      <c r="CT29" s="2003">
        <f>IFERROR(CU29/$CQ29*10,0)</f>
        <v>0</v>
      </c>
      <c r="CU29" s="1989" t="e">
        <f>#REF!/10^7</f>
        <v>#REF!</v>
      </c>
      <c r="CV29" s="2003">
        <f>IFERROR(CW29/$CQ29*10,0)</f>
        <v>0</v>
      </c>
      <c r="CW29" s="1989" t="e">
        <f>#REF!/10^7</f>
        <v>#REF!</v>
      </c>
      <c r="CX29" s="1989" t="e">
        <f>#REF!/10^7</f>
        <v>#REF!</v>
      </c>
      <c r="CY29" s="2002" t="e">
        <f>IF(CQ29=0,0,(CZ29/(CQ29)*10))</f>
        <v>#REF!</v>
      </c>
      <c r="CZ29" s="1999" t="e">
        <f>CS29+CU29+CW29+CX29</f>
        <v>#REF!</v>
      </c>
      <c r="DA29" s="1993" t="e">
        <f>#REF!</f>
        <v>#REF!</v>
      </c>
      <c r="DB29" s="2003">
        <f>IFERROR(DC29/$DA29*10,0)</f>
        <v>0</v>
      </c>
      <c r="DC29" s="1989" t="e">
        <f>#REF!/10^7</f>
        <v>#REF!</v>
      </c>
      <c r="DD29" s="2003">
        <f>IFERROR(DE29/$DA29*10,0)</f>
        <v>0</v>
      </c>
      <c r="DE29" s="1989" t="e">
        <f>#REF!/10^7</f>
        <v>#REF!</v>
      </c>
      <c r="DF29" s="2003">
        <f>IFERROR(DG29/$DA29*10,0)</f>
        <v>0</v>
      </c>
      <c r="DG29" s="1989" t="e">
        <f>#REF!/10^7</f>
        <v>#REF!</v>
      </c>
      <c r="DH29" s="1989" t="e">
        <f>#REF!/10^7</f>
        <v>#REF!</v>
      </c>
      <c r="DI29" s="2002" t="e">
        <f>IF(DA29=0,0,(DJ29/(DA29)*10))</f>
        <v>#REF!</v>
      </c>
      <c r="DJ29" s="1999" t="e">
        <f>DC29+DE29+DG29+DH29</f>
        <v>#REF!</v>
      </c>
      <c r="DK29" s="1993" t="e">
        <f>#REF!</f>
        <v>#REF!</v>
      </c>
      <c r="DL29" s="2003">
        <f>IFERROR(DM29/$DK29*10,0)</f>
        <v>0</v>
      </c>
      <c r="DM29" s="1989" t="e">
        <f>#REF!/10^7</f>
        <v>#REF!</v>
      </c>
      <c r="DN29" s="2003">
        <f>IFERROR(DO29/$DK29*10,0)</f>
        <v>0</v>
      </c>
      <c r="DO29" s="1989" t="e">
        <f>#REF!/10^7</f>
        <v>#REF!</v>
      </c>
      <c r="DP29" s="2003">
        <f>IFERROR(DQ29/$DK29*10,0)</f>
        <v>0</v>
      </c>
      <c r="DQ29" s="1989" t="e">
        <f>#REF!/10^7</f>
        <v>#REF!</v>
      </c>
      <c r="DR29" s="1989" t="e">
        <f>#REF!/10^7</f>
        <v>#REF!</v>
      </c>
      <c r="DS29" s="2002" t="e">
        <f>IF(DK29=0,0,(DT29/(DK29)*10))</f>
        <v>#REF!</v>
      </c>
      <c r="DT29" s="2004" t="e">
        <f>DM29+DO29+DQ29+DR29</f>
        <v>#REF!</v>
      </c>
      <c r="DU29" s="1988" t="e">
        <f>#REF!</f>
        <v>#REF!</v>
      </c>
      <c r="DV29" s="2003">
        <f>IFERROR(DW29/$DU29*10,0)</f>
        <v>0</v>
      </c>
      <c r="DW29" s="1989" t="e">
        <f>#REF!/10^7</f>
        <v>#REF!</v>
      </c>
      <c r="DX29" s="2003">
        <f>IFERROR(DY29/$DU29*10,0)</f>
        <v>0</v>
      </c>
      <c r="DY29" s="1989" t="e">
        <f>#REF!/10^7</f>
        <v>#REF!</v>
      </c>
      <c r="DZ29" s="2003">
        <f>IFERROR(EA29/$DU29*10,0)</f>
        <v>0</v>
      </c>
      <c r="EA29" s="1989" t="e">
        <f>#REF!/10^7</f>
        <v>#REF!</v>
      </c>
      <c r="EB29" s="1989" t="e">
        <f>#REF!/10^7</f>
        <v>#REF!</v>
      </c>
      <c r="EC29" s="2002" t="e">
        <f>IF(DU29=0,0,(ED29/(DU29)*10))</f>
        <v>#REF!</v>
      </c>
      <c r="ED29" s="1998" t="e">
        <f>DW29+DY29+EA29+EB29</f>
        <v>#REF!</v>
      </c>
      <c r="EE29" s="2005" t="e">
        <f>O29+Y29+AI29+AS29+BC29+BM29+BW29+CG29+CQ29+DA29+DK29+DU29</f>
        <v>#REF!</v>
      </c>
      <c r="EF29" s="2003">
        <f t="shared" si="64"/>
        <v>0</v>
      </c>
      <c r="EG29" s="1989" t="e">
        <f t="shared" ref="EG29:EG39" si="79">Q29+AA29+AK29+AU29+BE29+BO29+BY29+CI29+CS29+DC29+DM29+DW29</f>
        <v>#REF!</v>
      </c>
      <c r="EH29" s="2003">
        <f t="shared" si="65"/>
        <v>0</v>
      </c>
      <c r="EI29" s="1989" t="e">
        <f t="shared" ref="EI29:EI39" si="80">S29+AC29+AM29+AW29+BG29+BQ29+CA29+CK29+CU29+DE29+DO29+DY29</f>
        <v>#REF!</v>
      </c>
      <c r="EJ29" s="2003">
        <f t="shared" si="66"/>
        <v>0</v>
      </c>
      <c r="EK29" s="1989" t="e">
        <f t="shared" ref="EK29:EL39" si="81">U29+AE29+AO29+AY29+BI29+BS29+CC29+CM29+CW29+DG29+DQ29+EA29</f>
        <v>#REF!</v>
      </c>
      <c r="EL29" s="1989" t="e">
        <f t="shared" si="81"/>
        <v>#REF!</v>
      </c>
      <c r="EM29" s="2006" t="e">
        <f t="shared" si="67"/>
        <v>#REF!</v>
      </c>
      <c r="EN29" s="1999" t="e">
        <f>EG29+EI29+EK29+EL29</f>
        <v>#REF!</v>
      </c>
      <c r="EP29" s="1613" t="e">
        <f>EA29-#REF!/10^7</f>
        <v>#REF!</v>
      </c>
      <c r="EW29" s="1611" t="s">
        <v>1717</v>
      </c>
      <c r="EX29" s="1612" t="s">
        <v>1667</v>
      </c>
      <c r="EZ29" s="1650">
        <f t="shared" si="69"/>
        <v>0</v>
      </c>
    </row>
    <row r="30" spans="1:156" ht="21" customHeight="1">
      <c r="A30" s="1652">
        <v>2</v>
      </c>
      <c r="B30" s="1644" t="s">
        <v>1668</v>
      </c>
      <c r="C30" s="1666">
        <v>99</v>
      </c>
      <c r="D30" s="1646">
        <f t="shared" si="76"/>
        <v>100</v>
      </c>
      <c r="E30" s="1646">
        <v>65.680000000000007</v>
      </c>
      <c r="F30" s="1665">
        <v>1</v>
      </c>
      <c r="G30" s="1640"/>
      <c r="H30" s="1646">
        <v>99</v>
      </c>
      <c r="I30" s="1648" t="s">
        <v>1717</v>
      </c>
      <c r="J30" s="1649">
        <v>2</v>
      </c>
      <c r="K30" s="1648"/>
      <c r="L30" s="1640"/>
      <c r="M30" s="1640"/>
      <c r="N30" s="1642"/>
      <c r="O30" s="2000" t="e">
        <f>#REF!</f>
        <v>#REF!</v>
      </c>
      <c r="P30" s="2003">
        <f>IFERROR(Q30/O30*10,0)</f>
        <v>0</v>
      </c>
      <c r="Q30" s="1989" t="e">
        <f>#REF!/10^7</f>
        <v>#REF!</v>
      </c>
      <c r="R30" s="2003">
        <f>IFERROR($S30/O30*10,0)</f>
        <v>0</v>
      </c>
      <c r="S30" s="1989" t="e">
        <f>#REF!/10^7</f>
        <v>#REF!</v>
      </c>
      <c r="T30" s="2003">
        <f>IFERROR(U30/$O30*10,0)</f>
        <v>0</v>
      </c>
      <c r="U30" s="1989" t="e">
        <f>#REF!/10^7</f>
        <v>#REF!</v>
      </c>
      <c r="V30" s="1989" t="e">
        <f>#REF!/10^7</f>
        <v>#REF!</v>
      </c>
      <c r="W30" s="1989">
        <f>IFERROR(X30/(O30)*10,0)</f>
        <v>0</v>
      </c>
      <c r="X30" s="1999" t="e">
        <f>Q30+S30+U30+V30</f>
        <v>#REF!</v>
      </c>
      <c r="Y30" s="1993" t="e">
        <f>#REF!</f>
        <v>#REF!</v>
      </c>
      <c r="Z30" s="2003">
        <f>IFERROR(AA30/$Y30*10,0)</f>
        <v>0</v>
      </c>
      <c r="AA30" s="1989" t="e">
        <f>#REF!/10^7</f>
        <v>#REF!</v>
      </c>
      <c r="AB30" s="2003">
        <f>IFERROR(AC30/$Y30*10,0)</f>
        <v>0</v>
      </c>
      <c r="AC30" s="1989" t="e">
        <f>#REF!/10^7</f>
        <v>#REF!</v>
      </c>
      <c r="AD30" s="2003">
        <f>IFERROR(AE30/$Y30*10,0)</f>
        <v>0</v>
      </c>
      <c r="AE30" s="1989" t="e">
        <f>#REF!/10^7</f>
        <v>#REF!</v>
      </c>
      <c r="AF30" s="1989" t="e">
        <f>#REF!/10^7</f>
        <v>#REF!</v>
      </c>
      <c r="AG30" s="2002" t="e">
        <f>IF(Y30=0,0,(AH30/(Y30)*10))</f>
        <v>#REF!</v>
      </c>
      <c r="AH30" s="1999" t="e">
        <f t="shared" si="75"/>
        <v>#REF!</v>
      </c>
      <c r="AI30" s="1993" t="e">
        <f>#REF!</f>
        <v>#REF!</v>
      </c>
      <c r="AJ30" s="2003">
        <f>IFERROR(AK30/$AI30*10,0)</f>
        <v>0</v>
      </c>
      <c r="AK30" s="1989" t="e">
        <f>#REF!/10^7</f>
        <v>#REF!</v>
      </c>
      <c r="AL30" s="2003">
        <f t="shared" si="2"/>
        <v>0</v>
      </c>
      <c r="AM30" s="1989" t="e">
        <f>#REF!/10^7</f>
        <v>#REF!</v>
      </c>
      <c r="AN30" s="2003">
        <f t="shared" si="2"/>
        <v>0</v>
      </c>
      <c r="AO30" s="1989" t="e">
        <f>#REF!/10^7</f>
        <v>#REF!</v>
      </c>
      <c r="AP30" s="1989" t="e">
        <f>#REF!/10^7</f>
        <v>#REF!</v>
      </c>
      <c r="AQ30" s="2002" t="e">
        <f>IF(AI30=0,0,(AR30/(AI30)*10))</f>
        <v>#REF!</v>
      </c>
      <c r="AR30" s="1999" t="e">
        <f t="shared" si="77"/>
        <v>#REF!</v>
      </c>
      <c r="AS30" s="1993" t="e">
        <f>#REF!</f>
        <v>#REF!</v>
      </c>
      <c r="AT30" s="2003">
        <f>IFERROR(AU30/$AS30*10,0)</f>
        <v>0</v>
      </c>
      <c r="AU30" s="1989" t="e">
        <f>#REF!/10^7</f>
        <v>#REF!</v>
      </c>
      <c r="AV30" s="2003">
        <f>IFERROR(AW30/$AS30*10,0)</f>
        <v>0</v>
      </c>
      <c r="AW30" s="1989" t="e">
        <f>#REF!/10^7</f>
        <v>#REF!</v>
      </c>
      <c r="AX30" s="2003">
        <f>IFERROR(AY30/$AS30*10,0)</f>
        <v>0</v>
      </c>
      <c r="AY30" s="1989" t="e">
        <f>#REF!/10^7</f>
        <v>#REF!</v>
      </c>
      <c r="AZ30" s="1989" t="e">
        <f>#REF!/10^7</f>
        <v>#REF!</v>
      </c>
      <c r="BA30" s="2002" t="e">
        <f>IF(AS30=0,0,(BB30/(AS30)*10))</f>
        <v>#REF!</v>
      </c>
      <c r="BB30" s="1999" t="e">
        <f t="shared" si="78"/>
        <v>#REF!</v>
      </c>
      <c r="BC30" s="1993" t="e">
        <f>#REF!</f>
        <v>#REF!</v>
      </c>
      <c r="BD30" s="2003">
        <f>IFERROR(BE30/$BC30*10,0)</f>
        <v>0</v>
      </c>
      <c r="BE30" s="1989" t="e">
        <f>#REF!/10^7</f>
        <v>#REF!</v>
      </c>
      <c r="BF30" s="2003">
        <f>IFERROR(BG30/$BC30*10,0)</f>
        <v>0</v>
      </c>
      <c r="BG30" s="1989" t="e">
        <f>#REF!/10^7</f>
        <v>#REF!</v>
      </c>
      <c r="BH30" s="2003">
        <f>IFERROR(BI30/$BC30*10,0)</f>
        <v>0</v>
      </c>
      <c r="BI30" s="1989" t="e">
        <f>#REF!/10^7</f>
        <v>#REF!</v>
      </c>
      <c r="BJ30" s="1989" t="e">
        <f>#REF!/10^7</f>
        <v>#REF!</v>
      </c>
      <c r="BK30" s="2002" t="e">
        <f>IF(BC30=0,0,(BL30/(BC30)*10))</f>
        <v>#REF!</v>
      </c>
      <c r="BL30" s="1999" t="e">
        <f>BE30+BG30+BI30+BJ30</f>
        <v>#REF!</v>
      </c>
      <c r="BM30" s="1993" t="e">
        <f>#REF!</f>
        <v>#REF!</v>
      </c>
      <c r="BN30" s="2003">
        <f>IFERROR(BO30/$BM30*10,0)</f>
        <v>0</v>
      </c>
      <c r="BO30" s="1989" t="e">
        <f>#REF!/10^7</f>
        <v>#REF!</v>
      </c>
      <c r="BP30" s="2003">
        <f>IFERROR(BQ30/$BM30*10,0)</f>
        <v>0</v>
      </c>
      <c r="BQ30" s="1989" t="e">
        <f>#REF!/10^7</f>
        <v>#REF!</v>
      </c>
      <c r="BR30" s="2003">
        <f>IFERROR(BS30/$BM30*10,0)</f>
        <v>0</v>
      </c>
      <c r="BS30" s="1989" t="e">
        <f>#REF!/10^7</f>
        <v>#REF!</v>
      </c>
      <c r="BT30" s="1989" t="e">
        <f>#REF!/10^7</f>
        <v>#REF!</v>
      </c>
      <c r="BU30" s="2002" t="e">
        <f>IF(BM30=0,0,(BV30/(BM30)*10))</f>
        <v>#REF!</v>
      </c>
      <c r="BV30" s="1999" t="e">
        <f>BO30+BQ30+BS30+BT30</f>
        <v>#REF!</v>
      </c>
      <c r="BW30" s="1993" t="e">
        <f>#REF!</f>
        <v>#REF!</v>
      </c>
      <c r="BX30" s="2003">
        <f>IFERROR(BY30/$BW30*10,0)</f>
        <v>0</v>
      </c>
      <c r="BY30" s="1989" t="e">
        <f>#REF!/10^7</f>
        <v>#REF!</v>
      </c>
      <c r="BZ30" s="2003">
        <f>IFERROR(CA30/$BW30*10,0)</f>
        <v>0</v>
      </c>
      <c r="CA30" s="1989" t="e">
        <f>#REF!/10^7</f>
        <v>#REF!</v>
      </c>
      <c r="CB30" s="2003">
        <f>IFERROR(CC30/$BW30*10,0)</f>
        <v>0</v>
      </c>
      <c r="CC30" s="1989" t="e">
        <f>#REF!/10^7</f>
        <v>#REF!</v>
      </c>
      <c r="CD30" s="1989" t="e">
        <f>#REF!/10^7</f>
        <v>#REF!</v>
      </c>
      <c r="CE30" s="2002" t="e">
        <f>IF(BW30=0,0,(CF30/(BW30)*10))</f>
        <v>#REF!</v>
      </c>
      <c r="CF30" s="1999" t="e">
        <f>BY30+CA30+CC30+CD30</f>
        <v>#REF!</v>
      </c>
      <c r="CG30" s="1993" t="e">
        <f>#REF!</f>
        <v>#REF!</v>
      </c>
      <c r="CH30" s="2003">
        <f>IFERROR(CI30/$CG30*10,0)</f>
        <v>0</v>
      </c>
      <c r="CI30" s="1989" t="e">
        <f>#REF!/10^7</f>
        <v>#REF!</v>
      </c>
      <c r="CJ30" s="2003">
        <f>IFERROR(CK30/$CG30*10,0)</f>
        <v>0</v>
      </c>
      <c r="CK30" s="1989" t="e">
        <f>#REF!/10^7</f>
        <v>#REF!</v>
      </c>
      <c r="CL30" s="2003">
        <f>IFERROR(CM30/$CG30*10,0)</f>
        <v>0</v>
      </c>
      <c r="CM30" s="1989" t="e">
        <f>#REF!/10^7</f>
        <v>#REF!</v>
      </c>
      <c r="CN30" s="1989" t="e">
        <f>#REF!/10^7</f>
        <v>#REF!</v>
      </c>
      <c r="CO30" s="2002" t="e">
        <f>IF(CG30=0,0,(CP30/(CG30)*10))</f>
        <v>#REF!</v>
      </c>
      <c r="CP30" s="1999" t="e">
        <f>CI30+CK30+CM30+CN30</f>
        <v>#REF!</v>
      </c>
      <c r="CQ30" s="1993" t="e">
        <f>#REF!</f>
        <v>#REF!</v>
      </c>
      <c r="CR30" s="2003">
        <f>IFERROR(CS30/$CQ30*10,0)</f>
        <v>0</v>
      </c>
      <c r="CS30" s="1989" t="e">
        <f>#REF!/10^7</f>
        <v>#REF!</v>
      </c>
      <c r="CT30" s="2003">
        <f>IFERROR(CU30/$CQ30*10,0)</f>
        <v>0</v>
      </c>
      <c r="CU30" s="1989" t="e">
        <f>#REF!/10^7</f>
        <v>#REF!</v>
      </c>
      <c r="CV30" s="2003">
        <f>IFERROR(CW30/$CQ30*10,0)</f>
        <v>0</v>
      </c>
      <c r="CW30" s="1989" t="e">
        <f>#REF!/10^7</f>
        <v>#REF!</v>
      </c>
      <c r="CX30" s="1989" t="e">
        <f>#REF!/10^7</f>
        <v>#REF!</v>
      </c>
      <c r="CY30" s="2002" t="e">
        <f>IF(CQ30=0,0,(CZ30/(CQ30)*10))</f>
        <v>#REF!</v>
      </c>
      <c r="CZ30" s="1999" t="e">
        <f>CS30+CU30+CW30+CX30</f>
        <v>#REF!</v>
      </c>
      <c r="DA30" s="1993" t="e">
        <f>#REF!</f>
        <v>#REF!</v>
      </c>
      <c r="DB30" s="2003">
        <f>IFERROR(DC30/$DA30*10,0)</f>
        <v>0</v>
      </c>
      <c r="DC30" s="1989" t="e">
        <f>#REF!/10^7</f>
        <v>#REF!</v>
      </c>
      <c r="DD30" s="2003">
        <f>IFERROR(DE30/$DA30*10,0)</f>
        <v>0</v>
      </c>
      <c r="DE30" s="1989" t="e">
        <f>#REF!/10^7</f>
        <v>#REF!</v>
      </c>
      <c r="DF30" s="2003">
        <f>IFERROR(DG30/$DA30*10,0)</f>
        <v>0</v>
      </c>
      <c r="DG30" s="1989" t="e">
        <f>#REF!/10^7</f>
        <v>#REF!</v>
      </c>
      <c r="DH30" s="1989" t="e">
        <f>#REF!/10^7</f>
        <v>#REF!</v>
      </c>
      <c r="DI30" s="2002" t="e">
        <f>IF(DA30=0,0,(DJ30/(DA30)*10))</f>
        <v>#REF!</v>
      </c>
      <c r="DJ30" s="1999" t="e">
        <f>DC30+DE30+DG30+DH30</f>
        <v>#REF!</v>
      </c>
      <c r="DK30" s="1993" t="e">
        <f>#REF!</f>
        <v>#REF!</v>
      </c>
      <c r="DL30" s="2003">
        <f>IFERROR(DM30/$DK30*10,0)</f>
        <v>0</v>
      </c>
      <c r="DM30" s="1989" t="e">
        <f>#REF!/10^7</f>
        <v>#REF!</v>
      </c>
      <c r="DN30" s="2003">
        <f>IFERROR(DO30/$DK30*10,0)</f>
        <v>0</v>
      </c>
      <c r="DO30" s="1989" t="e">
        <f>#REF!/10^7</f>
        <v>#REF!</v>
      </c>
      <c r="DP30" s="2003">
        <f>IFERROR(DQ30/$DK30*10,0)</f>
        <v>0</v>
      </c>
      <c r="DQ30" s="1989" t="e">
        <f>#REF!/10^7</f>
        <v>#REF!</v>
      </c>
      <c r="DR30" s="1989" t="e">
        <f>#REF!/10^7</f>
        <v>#REF!</v>
      </c>
      <c r="DS30" s="2002" t="e">
        <f>IF(DK30=0,0,(DT30/(DK30)*10))</f>
        <v>#REF!</v>
      </c>
      <c r="DT30" s="2004" t="e">
        <f>DM30+DO30+DQ30+DR30</f>
        <v>#REF!</v>
      </c>
      <c r="DU30" s="1988" t="e">
        <f>#REF!</f>
        <v>#REF!</v>
      </c>
      <c r="DV30" s="2003">
        <f>IFERROR(DW30/$DU30*10,0)</f>
        <v>0</v>
      </c>
      <c r="DW30" s="1989" t="e">
        <f>#REF!/10^7</f>
        <v>#REF!</v>
      </c>
      <c r="DX30" s="2003">
        <f>IFERROR(DY30/$DU30*10,0)</f>
        <v>0</v>
      </c>
      <c r="DY30" s="1989" t="e">
        <f>#REF!/10^7</f>
        <v>#REF!</v>
      </c>
      <c r="DZ30" s="2003">
        <f>IFERROR(EA30/$DU30*10,0)</f>
        <v>0</v>
      </c>
      <c r="EA30" s="1989" t="e">
        <f>#REF!/10^7</f>
        <v>#REF!</v>
      </c>
      <c r="EB30" s="1989" t="e">
        <f>#REF!/10^7</f>
        <v>#REF!</v>
      </c>
      <c r="EC30" s="2002" t="e">
        <f>IF(DU30=0,0,(ED30/(DU30)*10))</f>
        <v>#REF!</v>
      </c>
      <c r="ED30" s="1998" t="e">
        <f>DW30+DY30+EA30+EB30</f>
        <v>#REF!</v>
      </c>
      <c r="EE30" s="2005" t="e">
        <f t="shared" ref="EE30:EE39" si="82">O30+Y30+AI30+AS30+BC30+BM30+BW30+CG30+CQ30+DA30+DK30+DU30</f>
        <v>#REF!</v>
      </c>
      <c r="EF30" s="2003">
        <f t="shared" si="64"/>
        <v>0</v>
      </c>
      <c r="EG30" s="1989" t="e">
        <f t="shared" si="79"/>
        <v>#REF!</v>
      </c>
      <c r="EH30" s="2003">
        <f t="shared" si="65"/>
        <v>0</v>
      </c>
      <c r="EI30" s="1989" t="e">
        <f t="shared" si="80"/>
        <v>#REF!</v>
      </c>
      <c r="EJ30" s="2003">
        <f t="shared" si="66"/>
        <v>0</v>
      </c>
      <c r="EK30" s="1989" t="e">
        <f t="shared" si="81"/>
        <v>#REF!</v>
      </c>
      <c r="EL30" s="1989" t="e">
        <f t="shared" si="81"/>
        <v>#REF!</v>
      </c>
      <c r="EM30" s="2006" t="e">
        <f t="shared" si="67"/>
        <v>#REF!</v>
      </c>
      <c r="EN30" s="1999" t="e">
        <f t="shared" ref="EN30:EN39" si="83">EG30+EI30+EK30+EL30</f>
        <v>#REF!</v>
      </c>
      <c r="EP30" s="1613" t="e">
        <f>EA30-#REF!/10^7</f>
        <v>#REF!</v>
      </c>
      <c r="EW30" s="1611" t="s">
        <v>1717</v>
      </c>
      <c r="EX30" s="1612" t="s">
        <v>1667</v>
      </c>
      <c r="EZ30" s="1650">
        <f t="shared" si="69"/>
        <v>0</v>
      </c>
    </row>
    <row r="31" spans="1:156" ht="21" customHeight="1">
      <c r="A31" s="1652">
        <v>3</v>
      </c>
      <c r="B31" s="1644" t="s">
        <v>1669</v>
      </c>
      <c r="C31" s="1664">
        <v>30</v>
      </c>
      <c r="D31" s="1646">
        <f t="shared" si="76"/>
        <v>66.666666666666657</v>
      </c>
      <c r="E31" s="1646">
        <v>98.51</v>
      </c>
      <c r="F31" s="1665">
        <v>1</v>
      </c>
      <c r="G31" s="1640"/>
      <c r="H31" s="1646">
        <v>20</v>
      </c>
      <c r="I31" s="1648" t="s">
        <v>1717</v>
      </c>
      <c r="J31" s="1649">
        <v>2</v>
      </c>
      <c r="K31" s="1648"/>
      <c r="L31" s="1640"/>
      <c r="M31" s="1640"/>
      <c r="N31" s="1642"/>
      <c r="O31" s="2000" t="e">
        <f>#REF!</f>
        <v>#REF!</v>
      </c>
      <c r="P31" s="2003">
        <f>IFERROR(Q31/O31*10,0)</f>
        <v>0</v>
      </c>
      <c r="Q31" s="1989">
        <v>0.25367909999999999</v>
      </c>
      <c r="R31" s="2003">
        <f t="shared" si="10"/>
        <v>0</v>
      </c>
      <c r="S31" s="1989">
        <v>2.2184000000000001E-3</v>
      </c>
      <c r="T31" s="2003">
        <f t="shared" si="11"/>
        <v>0</v>
      </c>
      <c r="U31" s="1989"/>
      <c r="V31" s="1989"/>
      <c r="W31" s="1989">
        <f t="shared" si="12"/>
        <v>0</v>
      </c>
      <c r="X31" s="1999">
        <f t="shared" ref="X31:X39" si="84">Q31+S31+U31+V31</f>
        <v>0.2558975</v>
      </c>
      <c r="Y31" s="1993">
        <v>6.1998059999999997</v>
      </c>
      <c r="Z31" s="2003">
        <f t="shared" si="14"/>
        <v>0.26615994113364194</v>
      </c>
      <c r="AA31" s="1989">
        <v>0.16501399999999999</v>
      </c>
      <c r="AB31" s="2003">
        <f t="shared" si="15"/>
        <v>0.79100007322809796</v>
      </c>
      <c r="AC31" s="1989">
        <v>0.49040470000000003</v>
      </c>
      <c r="AD31" s="2003">
        <f t="shared" si="16"/>
        <v>0</v>
      </c>
      <c r="AE31" s="1989"/>
      <c r="AF31" s="1989"/>
      <c r="AG31" s="2002">
        <f t="shared" si="17"/>
        <v>1.0571600143617397</v>
      </c>
      <c r="AH31" s="1999">
        <f t="shared" si="75"/>
        <v>0.65541870000000002</v>
      </c>
      <c r="AI31" s="1993">
        <v>-0.18249299999999999</v>
      </c>
      <c r="AJ31" s="2003">
        <f t="shared" si="2"/>
        <v>-10.869003194643083</v>
      </c>
      <c r="AK31" s="1989">
        <v>0.19835169999999999</v>
      </c>
      <c r="AL31" s="2003">
        <f t="shared" si="2"/>
        <v>0.79100020274750271</v>
      </c>
      <c r="AM31" s="1989">
        <v>-1.44352E-2</v>
      </c>
      <c r="AN31" s="2003">
        <f t="shared" si="2"/>
        <v>-0.17612730351301148</v>
      </c>
      <c r="AO31" s="1989">
        <v>3.2142E-3</v>
      </c>
      <c r="AP31" s="1989"/>
      <c r="AQ31" s="2002">
        <f t="shared" si="19"/>
        <v>-10.25413029540859</v>
      </c>
      <c r="AR31" s="1999">
        <f t="shared" si="77"/>
        <v>0.18713069999999998</v>
      </c>
      <c r="AS31" s="1993">
        <v>-2.47E-2</v>
      </c>
      <c r="AT31" s="2003">
        <f t="shared" si="20"/>
        <v>-106.12753036437248</v>
      </c>
      <c r="AU31" s="1989">
        <v>0.26213500000000001</v>
      </c>
      <c r="AV31" s="2003">
        <f t="shared" si="21"/>
        <v>0.79101214574898782</v>
      </c>
      <c r="AW31" s="1989">
        <v>-1.9537999999999999E-3</v>
      </c>
      <c r="AX31" s="2003">
        <f t="shared" si="22"/>
        <v>0</v>
      </c>
      <c r="AY31" s="1989"/>
      <c r="AZ31" s="1989"/>
      <c r="BA31" s="2002">
        <f t="shared" si="23"/>
        <v>-105.33651821862348</v>
      </c>
      <c r="BB31" s="1999">
        <f t="shared" si="78"/>
        <v>0.2601812</v>
      </c>
      <c r="BC31" s="1993">
        <v>2.8729550000000001</v>
      </c>
      <c r="BD31" s="2003">
        <f t="shared" si="24"/>
        <v>0.86935681206284121</v>
      </c>
      <c r="BE31" s="1989">
        <v>0.24976229999999999</v>
      </c>
      <c r="BF31" s="2003">
        <f t="shared" si="25"/>
        <v>0.79099985903016234</v>
      </c>
      <c r="BG31" s="1989">
        <v>0.2272507</v>
      </c>
      <c r="BH31" s="2003">
        <f t="shared" si="26"/>
        <v>0</v>
      </c>
      <c r="BI31" s="1989"/>
      <c r="BJ31" s="1989"/>
      <c r="BK31" s="2002">
        <f t="shared" si="27"/>
        <v>1.6603566710930036</v>
      </c>
      <c r="BL31" s="1999">
        <f t="shared" ref="BL31:BL39" si="85">BE31+BG31+BI31+BJ31</f>
        <v>0.47701300000000002</v>
      </c>
      <c r="BM31" s="1993">
        <v>9.9803230000000003</v>
      </c>
      <c r="BN31" s="2003">
        <f t="shared" si="29"/>
        <v>0.23351438625783955</v>
      </c>
      <c r="BO31" s="1989">
        <v>0.23305490000000001</v>
      </c>
      <c r="BP31" s="2003">
        <f t="shared" si="30"/>
        <v>0.79099995060280104</v>
      </c>
      <c r="BQ31" s="1989">
        <v>0.78944349999999996</v>
      </c>
      <c r="BR31" s="2003">
        <f t="shared" si="31"/>
        <v>0</v>
      </c>
      <c r="BS31" s="1989"/>
      <c r="BT31" s="1989"/>
      <c r="BU31" s="2002">
        <f t="shared" si="32"/>
        <v>1.0245143368606406</v>
      </c>
      <c r="BV31" s="1999">
        <f t="shared" ref="BV31:BV39" si="86">BO31+BQ31+BS31+BT31</f>
        <v>1.0224983999999999</v>
      </c>
      <c r="BW31" s="1993">
        <v>12.157393000000001</v>
      </c>
      <c r="BX31" s="2003">
        <f t="shared" si="34"/>
        <v>0.2130735594382776</v>
      </c>
      <c r="BY31" s="1989">
        <v>0.25904189999999999</v>
      </c>
      <c r="BZ31" s="2003">
        <f t="shared" si="35"/>
        <v>0.79100001126886321</v>
      </c>
      <c r="CA31" s="1989">
        <v>0.9616498</v>
      </c>
      <c r="CB31" s="2003">
        <f t="shared" si="36"/>
        <v>0</v>
      </c>
      <c r="CC31" s="1989"/>
      <c r="CD31" s="1989"/>
      <c r="CE31" s="2002">
        <f t="shared" si="37"/>
        <v>1.0040735707071407</v>
      </c>
      <c r="CF31" s="1999">
        <f t="shared" ref="CF31:CF39" si="87">BY31+CA31+CC31+CD31</f>
        <v>1.2206916999999999</v>
      </c>
      <c r="CG31" s="1993">
        <v>10.835608000000001</v>
      </c>
      <c r="CH31" s="2003">
        <f t="shared" si="39"/>
        <v>0.23388203043151801</v>
      </c>
      <c r="CI31" s="1989">
        <v>0.25342540000000002</v>
      </c>
      <c r="CJ31" s="2003">
        <f t="shared" si="40"/>
        <v>0.79100000664475856</v>
      </c>
      <c r="CK31" s="1989">
        <v>0.85709659999999999</v>
      </c>
      <c r="CL31" s="2003">
        <f t="shared" si="41"/>
        <v>0</v>
      </c>
      <c r="CM31" s="1989"/>
      <c r="CN31" s="1989"/>
      <c r="CO31" s="2002">
        <f t="shared" si="42"/>
        <v>1.0248820370762766</v>
      </c>
      <c r="CP31" s="1999">
        <f t="shared" ref="CP31:CP37" si="88">CI31+CK31+CM31+CN31</f>
        <v>1.110522</v>
      </c>
      <c r="CQ31" s="1993">
        <f>9683849/10^6</f>
        <v>9.6838490000000004</v>
      </c>
      <c r="CR31" s="2003">
        <f t="shared" si="44"/>
        <v>0.26868995995290718</v>
      </c>
      <c r="CS31" s="1989">
        <v>0.26019530000000002</v>
      </c>
      <c r="CT31" s="2003">
        <f t="shared" si="45"/>
        <v>0.79100004553974357</v>
      </c>
      <c r="CU31" s="1989">
        <v>0.76599249999999997</v>
      </c>
      <c r="CV31" s="2003">
        <f t="shared" si="46"/>
        <v>0</v>
      </c>
      <c r="CW31" s="1989"/>
      <c r="CX31" s="1989"/>
      <c r="CY31" s="2002">
        <f t="shared" si="47"/>
        <v>1.0596900054926506</v>
      </c>
      <c r="CZ31" s="1999">
        <f t="shared" ref="CZ31:CZ39" si="89">CS31+CU31+CW31+CX31</f>
        <v>1.0261878</v>
      </c>
      <c r="DA31" s="1993">
        <v>9.1302070000000004</v>
      </c>
      <c r="DB31" s="2003">
        <f t="shared" si="49"/>
        <v>0.27915456900374763</v>
      </c>
      <c r="DC31" s="1989">
        <v>0.25487389999999999</v>
      </c>
      <c r="DD31" s="2003">
        <f t="shared" si="50"/>
        <v>0.79100002880548059</v>
      </c>
      <c r="DE31" s="1989">
        <v>0.72219940000000005</v>
      </c>
      <c r="DF31" s="2003">
        <f t="shared" si="51"/>
        <v>0</v>
      </c>
      <c r="DG31" s="1989"/>
      <c r="DH31" s="1989"/>
      <c r="DI31" s="2002">
        <f t="shared" si="52"/>
        <v>1.0701545978092282</v>
      </c>
      <c r="DJ31" s="1999">
        <f t="shared" ref="DJ31:DJ39" si="90">DC31+DE31+DG31+DH31</f>
        <v>0.97707330000000003</v>
      </c>
      <c r="DK31" s="1993">
        <v>8.473217</v>
      </c>
      <c r="DL31" s="2003">
        <f t="shared" si="54"/>
        <v>0.23832589204312835</v>
      </c>
      <c r="DM31" s="1989">
        <v>0.2019387</v>
      </c>
      <c r="DN31" s="2003">
        <f t="shared" si="55"/>
        <v>0.79100004166068216</v>
      </c>
      <c r="DO31" s="1989">
        <v>0.67023149999999998</v>
      </c>
      <c r="DP31" s="2003">
        <f t="shared" si="56"/>
        <v>0</v>
      </c>
      <c r="DQ31" s="1989"/>
      <c r="DR31" s="1989"/>
      <c r="DS31" s="2002">
        <f t="shared" si="57"/>
        <v>1.0293259337038105</v>
      </c>
      <c r="DT31" s="2004">
        <f t="shared" ref="DT31:DT39" si="91">DM31+DO31+DQ31+DR31</f>
        <v>0.87217020000000001</v>
      </c>
      <c r="DU31" s="1988">
        <v>5.0570199999999996</v>
      </c>
      <c r="DV31" s="2003">
        <f t="shared" si="59"/>
        <v>0.34201309466840163</v>
      </c>
      <c r="DW31" s="1989">
        <v>0.17295670600000002</v>
      </c>
      <c r="DX31" s="2003">
        <f t="shared" si="60"/>
        <v>0.79100000000000004</v>
      </c>
      <c r="DY31" s="1989">
        <v>0.40001028199999999</v>
      </c>
      <c r="DZ31" s="2003">
        <f t="shared" si="61"/>
        <v>0</v>
      </c>
      <c r="EA31" s="1989"/>
      <c r="EB31" s="1989"/>
      <c r="EC31" s="2002">
        <f t="shared" si="62"/>
        <v>1.1330130946684016</v>
      </c>
      <c r="ED31" s="1998">
        <f t="shared" ref="ED31:ED39" si="92">DW31+DY31+EA31+EB31</f>
        <v>0.57296698800000001</v>
      </c>
      <c r="EE31" s="2005" t="e">
        <f t="shared" si="82"/>
        <v>#REF!</v>
      </c>
      <c r="EF31" s="2003">
        <f t="shared" si="64"/>
        <v>0</v>
      </c>
      <c r="EG31" s="1989">
        <f t="shared" si="79"/>
        <v>2.7644289059999996</v>
      </c>
      <c r="EH31" s="2003">
        <f t="shared" si="65"/>
        <v>0</v>
      </c>
      <c r="EI31" s="1989">
        <f t="shared" si="80"/>
        <v>5.8701083820000006</v>
      </c>
      <c r="EJ31" s="2003">
        <f t="shared" si="66"/>
        <v>0</v>
      </c>
      <c r="EK31" s="1989">
        <f t="shared" si="81"/>
        <v>3.2142E-3</v>
      </c>
      <c r="EL31" s="1989">
        <f t="shared" si="81"/>
        <v>0</v>
      </c>
      <c r="EM31" s="2006" t="e">
        <f t="shared" si="67"/>
        <v>#REF!</v>
      </c>
      <c r="EN31" s="1999">
        <f t="shared" si="83"/>
        <v>8.637751488000001</v>
      </c>
      <c r="EP31" s="1613" t="e">
        <f>EA31-#REF!/10^7</f>
        <v>#REF!</v>
      </c>
      <c r="EW31" s="1611" t="s">
        <v>1717</v>
      </c>
      <c r="EX31" s="1612" t="s">
        <v>1667</v>
      </c>
      <c r="EZ31" s="1650">
        <f t="shared" si="69"/>
        <v>0</v>
      </c>
    </row>
    <row r="32" spans="1:156" ht="21" customHeight="1">
      <c r="A32" s="1652">
        <v>4</v>
      </c>
      <c r="B32" s="1644" t="s">
        <v>1670</v>
      </c>
      <c r="C32" s="1664">
        <v>72</v>
      </c>
      <c r="D32" s="1646">
        <f t="shared" si="76"/>
        <v>80</v>
      </c>
      <c r="E32" s="1646">
        <v>69.38</v>
      </c>
      <c r="F32" s="1665">
        <v>1</v>
      </c>
      <c r="G32" s="1640"/>
      <c r="H32" s="1640">
        <v>57.6</v>
      </c>
      <c r="I32" s="1648" t="s">
        <v>1717</v>
      </c>
      <c r="J32" s="1649">
        <v>2</v>
      </c>
      <c r="K32" s="1648"/>
      <c r="L32" s="1640"/>
      <c r="M32" s="1640"/>
      <c r="N32" s="1642"/>
      <c r="O32" s="2000" t="e">
        <f>#REF!</f>
        <v>#REF!</v>
      </c>
      <c r="P32" s="2003">
        <f t="shared" ref="P32:P37" si="93">IFERROR(Q32/O32*10,0)</f>
        <v>0</v>
      </c>
      <c r="Q32" s="1989" t="e">
        <f>#REF!/10^7</f>
        <v>#REF!</v>
      </c>
      <c r="R32" s="2003">
        <f t="shared" si="10"/>
        <v>0</v>
      </c>
      <c r="S32" s="1989" t="e">
        <f>#REF!/10^7</f>
        <v>#REF!</v>
      </c>
      <c r="T32" s="2003">
        <f t="shared" si="11"/>
        <v>0</v>
      </c>
      <c r="U32" s="1989" t="e">
        <f>#REF!/10^7</f>
        <v>#REF!</v>
      </c>
      <c r="V32" s="1989" t="e">
        <f>#REF!/10^7</f>
        <v>#REF!</v>
      </c>
      <c r="W32" s="1989">
        <f t="shared" si="12"/>
        <v>0</v>
      </c>
      <c r="X32" s="1999" t="e">
        <f t="shared" si="84"/>
        <v>#REF!</v>
      </c>
      <c r="Y32" s="1993" t="e">
        <f>#REF!</f>
        <v>#REF!</v>
      </c>
      <c r="Z32" s="2003">
        <f t="shared" si="14"/>
        <v>0</v>
      </c>
      <c r="AA32" s="1989" t="e">
        <f>#REF!/10^7</f>
        <v>#REF!</v>
      </c>
      <c r="AB32" s="2003">
        <f t="shared" si="15"/>
        <v>0</v>
      </c>
      <c r="AC32" s="1989" t="e">
        <f>#REF!/10^7</f>
        <v>#REF!</v>
      </c>
      <c r="AD32" s="2003">
        <f t="shared" si="16"/>
        <v>0</v>
      </c>
      <c r="AE32" s="1989" t="e">
        <f>#REF!/10^7</f>
        <v>#REF!</v>
      </c>
      <c r="AF32" s="1989" t="e">
        <f>#REF!/10^7</f>
        <v>#REF!</v>
      </c>
      <c r="AG32" s="2002" t="e">
        <f t="shared" si="17"/>
        <v>#REF!</v>
      </c>
      <c r="AH32" s="1999" t="e">
        <f t="shared" si="75"/>
        <v>#REF!</v>
      </c>
      <c r="AI32" s="1993" t="e">
        <f>#REF!</f>
        <v>#REF!</v>
      </c>
      <c r="AJ32" s="2003">
        <f t="shared" si="2"/>
        <v>0</v>
      </c>
      <c r="AK32" s="1989" t="e">
        <f>#REF!/10^7</f>
        <v>#REF!</v>
      </c>
      <c r="AL32" s="2003">
        <f t="shared" si="2"/>
        <v>0</v>
      </c>
      <c r="AM32" s="1989" t="e">
        <f>#REF!/10^7</f>
        <v>#REF!</v>
      </c>
      <c r="AN32" s="2003">
        <f t="shared" si="2"/>
        <v>0</v>
      </c>
      <c r="AO32" s="1989" t="e">
        <f>#REF!/10^7</f>
        <v>#REF!</v>
      </c>
      <c r="AP32" s="1989" t="e">
        <f>#REF!/10^7</f>
        <v>#REF!</v>
      </c>
      <c r="AQ32" s="2002" t="e">
        <f t="shared" si="19"/>
        <v>#REF!</v>
      </c>
      <c r="AR32" s="1999" t="e">
        <f t="shared" si="77"/>
        <v>#REF!</v>
      </c>
      <c r="AS32" s="1993" t="e">
        <f>#REF!</f>
        <v>#REF!</v>
      </c>
      <c r="AT32" s="2003">
        <f t="shared" si="20"/>
        <v>0</v>
      </c>
      <c r="AU32" s="1989" t="e">
        <f>#REF!/10^7</f>
        <v>#REF!</v>
      </c>
      <c r="AV32" s="2003">
        <f t="shared" si="21"/>
        <v>0</v>
      </c>
      <c r="AW32" s="1989" t="e">
        <f>#REF!/10^7</f>
        <v>#REF!</v>
      </c>
      <c r="AX32" s="2003">
        <f t="shared" si="22"/>
        <v>0</v>
      </c>
      <c r="AY32" s="1989" t="e">
        <f>#REF!/10^7</f>
        <v>#REF!</v>
      </c>
      <c r="AZ32" s="1989" t="e">
        <f>#REF!/10^7</f>
        <v>#REF!</v>
      </c>
      <c r="BA32" s="2002" t="e">
        <f t="shared" si="23"/>
        <v>#REF!</v>
      </c>
      <c r="BB32" s="1999" t="e">
        <f t="shared" si="78"/>
        <v>#REF!</v>
      </c>
      <c r="BC32" s="1993" t="e">
        <f>#REF!</f>
        <v>#REF!</v>
      </c>
      <c r="BD32" s="2003">
        <f t="shared" si="24"/>
        <v>0</v>
      </c>
      <c r="BE32" s="1989" t="e">
        <f>#REF!/10^7</f>
        <v>#REF!</v>
      </c>
      <c r="BF32" s="2003">
        <f t="shared" si="25"/>
        <v>0</v>
      </c>
      <c r="BG32" s="1989" t="e">
        <f>#REF!/10^7</f>
        <v>#REF!</v>
      </c>
      <c r="BH32" s="2003">
        <f t="shared" si="26"/>
        <v>0</v>
      </c>
      <c r="BI32" s="1989" t="e">
        <f>#REF!/10^7</f>
        <v>#REF!</v>
      </c>
      <c r="BJ32" s="1989" t="e">
        <f>#REF!/10^7</f>
        <v>#REF!</v>
      </c>
      <c r="BK32" s="2002" t="e">
        <f t="shared" si="27"/>
        <v>#REF!</v>
      </c>
      <c r="BL32" s="1999" t="e">
        <f t="shared" si="85"/>
        <v>#REF!</v>
      </c>
      <c r="BM32" s="1993" t="e">
        <f>#REF!</f>
        <v>#REF!</v>
      </c>
      <c r="BN32" s="2003">
        <f t="shared" si="29"/>
        <v>0</v>
      </c>
      <c r="BO32" s="1989" t="e">
        <f>#REF!/10^7</f>
        <v>#REF!</v>
      </c>
      <c r="BP32" s="2003">
        <f t="shared" si="30"/>
        <v>0</v>
      </c>
      <c r="BQ32" s="1989" t="e">
        <f>#REF!/10^7</f>
        <v>#REF!</v>
      </c>
      <c r="BR32" s="2003">
        <f t="shared" si="31"/>
        <v>0</v>
      </c>
      <c r="BS32" s="1989" t="e">
        <f>#REF!/10^7</f>
        <v>#REF!</v>
      </c>
      <c r="BT32" s="1989" t="e">
        <f>#REF!/10^7</f>
        <v>#REF!</v>
      </c>
      <c r="BU32" s="2002" t="e">
        <f t="shared" si="32"/>
        <v>#REF!</v>
      </c>
      <c r="BV32" s="1999" t="e">
        <f t="shared" si="86"/>
        <v>#REF!</v>
      </c>
      <c r="BW32" s="1993" t="e">
        <f>#REF!</f>
        <v>#REF!</v>
      </c>
      <c r="BX32" s="2003">
        <f t="shared" si="34"/>
        <v>0</v>
      </c>
      <c r="BY32" s="1989" t="e">
        <f>#REF!/10^7</f>
        <v>#REF!</v>
      </c>
      <c r="BZ32" s="2003">
        <f t="shared" si="35"/>
        <v>0</v>
      </c>
      <c r="CA32" s="1989" t="e">
        <f>#REF!/10^7</f>
        <v>#REF!</v>
      </c>
      <c r="CB32" s="2003">
        <f t="shared" si="36"/>
        <v>0</v>
      </c>
      <c r="CC32" s="1989" t="e">
        <f>#REF!/10^7</f>
        <v>#REF!</v>
      </c>
      <c r="CD32" s="1989" t="e">
        <f>#REF!/10^7</f>
        <v>#REF!</v>
      </c>
      <c r="CE32" s="2002" t="e">
        <f t="shared" si="37"/>
        <v>#REF!</v>
      </c>
      <c r="CF32" s="1999" t="e">
        <f t="shared" si="87"/>
        <v>#REF!</v>
      </c>
      <c r="CG32" s="1993" t="e">
        <f>#REF!</f>
        <v>#REF!</v>
      </c>
      <c r="CH32" s="2003">
        <f t="shared" si="39"/>
        <v>0</v>
      </c>
      <c r="CI32" s="1989" t="e">
        <f>#REF!/10^7</f>
        <v>#REF!</v>
      </c>
      <c r="CJ32" s="2003">
        <f t="shared" si="40"/>
        <v>0</v>
      </c>
      <c r="CK32" s="1989" t="e">
        <f>#REF!/10^7</f>
        <v>#REF!</v>
      </c>
      <c r="CL32" s="2003">
        <f t="shared" si="41"/>
        <v>0</v>
      </c>
      <c r="CM32" s="1989" t="e">
        <f>#REF!/10^7</f>
        <v>#REF!</v>
      </c>
      <c r="CN32" s="1989" t="e">
        <f>#REF!/10^7</f>
        <v>#REF!</v>
      </c>
      <c r="CO32" s="2002" t="e">
        <f t="shared" si="42"/>
        <v>#REF!</v>
      </c>
      <c r="CP32" s="1999" t="e">
        <f t="shared" si="88"/>
        <v>#REF!</v>
      </c>
      <c r="CQ32" s="1993" t="e">
        <f>#REF!</f>
        <v>#REF!</v>
      </c>
      <c r="CR32" s="2003">
        <f t="shared" si="44"/>
        <v>0</v>
      </c>
      <c r="CS32" s="1989" t="e">
        <f>#REF!/10^7</f>
        <v>#REF!</v>
      </c>
      <c r="CT32" s="2003">
        <f t="shared" si="45"/>
        <v>0</v>
      </c>
      <c r="CU32" s="1989" t="e">
        <f>#REF!/10^7</f>
        <v>#REF!</v>
      </c>
      <c r="CV32" s="2003">
        <f t="shared" si="46"/>
        <v>0</v>
      </c>
      <c r="CW32" s="1989" t="e">
        <f>#REF!/10^7</f>
        <v>#REF!</v>
      </c>
      <c r="CX32" s="1989" t="e">
        <f>#REF!/10^7</f>
        <v>#REF!</v>
      </c>
      <c r="CY32" s="2002" t="e">
        <f t="shared" si="47"/>
        <v>#REF!</v>
      </c>
      <c r="CZ32" s="1999" t="e">
        <f t="shared" si="89"/>
        <v>#REF!</v>
      </c>
      <c r="DA32" s="1993" t="e">
        <f>#REF!</f>
        <v>#REF!</v>
      </c>
      <c r="DB32" s="2003">
        <f t="shared" si="49"/>
        <v>0</v>
      </c>
      <c r="DC32" s="1989" t="e">
        <f>#REF!/10^7</f>
        <v>#REF!</v>
      </c>
      <c r="DD32" s="2003">
        <f t="shared" si="50"/>
        <v>0</v>
      </c>
      <c r="DE32" s="1989" t="e">
        <f>#REF!/10^7</f>
        <v>#REF!</v>
      </c>
      <c r="DF32" s="2003">
        <f t="shared" si="51"/>
        <v>0</v>
      </c>
      <c r="DG32" s="1989" t="e">
        <f>#REF!/10^7</f>
        <v>#REF!</v>
      </c>
      <c r="DH32" s="1989" t="e">
        <f>#REF!/10^7</f>
        <v>#REF!</v>
      </c>
      <c r="DI32" s="2002" t="e">
        <f t="shared" si="52"/>
        <v>#REF!</v>
      </c>
      <c r="DJ32" s="1999" t="e">
        <f t="shared" si="90"/>
        <v>#REF!</v>
      </c>
      <c r="DK32" s="1993" t="e">
        <f>#REF!</f>
        <v>#REF!</v>
      </c>
      <c r="DL32" s="2003">
        <f t="shared" si="54"/>
        <v>0</v>
      </c>
      <c r="DM32" s="1989" t="e">
        <f>#REF!/10^7</f>
        <v>#REF!</v>
      </c>
      <c r="DN32" s="2003">
        <f t="shared" si="55"/>
        <v>0</v>
      </c>
      <c r="DO32" s="1989" t="e">
        <f>#REF!/10^7</f>
        <v>#REF!</v>
      </c>
      <c r="DP32" s="2003">
        <f t="shared" si="56"/>
        <v>0</v>
      </c>
      <c r="DQ32" s="1989" t="e">
        <f>#REF!/10^7</f>
        <v>#REF!</v>
      </c>
      <c r="DR32" s="1989" t="e">
        <f>#REF!/10^7</f>
        <v>#REF!</v>
      </c>
      <c r="DS32" s="2002" t="e">
        <f t="shared" si="57"/>
        <v>#REF!</v>
      </c>
      <c r="DT32" s="2004" t="e">
        <f t="shared" si="91"/>
        <v>#REF!</v>
      </c>
      <c r="DU32" s="1988" t="e">
        <f>#REF!</f>
        <v>#REF!</v>
      </c>
      <c r="DV32" s="2003">
        <f t="shared" si="59"/>
        <v>0</v>
      </c>
      <c r="DW32" s="1989" t="e">
        <f>#REF!/10^7</f>
        <v>#REF!</v>
      </c>
      <c r="DX32" s="2003">
        <f t="shared" si="60"/>
        <v>0</v>
      </c>
      <c r="DY32" s="1989" t="e">
        <f>#REF!/10^7</f>
        <v>#REF!</v>
      </c>
      <c r="DZ32" s="2003">
        <f t="shared" si="61"/>
        <v>0</v>
      </c>
      <c r="EA32" s="1989" t="e">
        <f>#REF!/10^7</f>
        <v>#REF!</v>
      </c>
      <c r="EB32" s="1989" t="e">
        <f>#REF!/10^7</f>
        <v>#REF!</v>
      </c>
      <c r="EC32" s="2002" t="e">
        <f t="shared" si="62"/>
        <v>#REF!</v>
      </c>
      <c r="ED32" s="1998" t="e">
        <f t="shared" si="92"/>
        <v>#REF!</v>
      </c>
      <c r="EE32" s="2005" t="e">
        <f t="shared" si="82"/>
        <v>#REF!</v>
      </c>
      <c r="EF32" s="2003">
        <f t="shared" si="64"/>
        <v>0</v>
      </c>
      <c r="EG32" s="1989" t="e">
        <f t="shared" si="79"/>
        <v>#REF!</v>
      </c>
      <c r="EH32" s="2003">
        <f t="shared" si="65"/>
        <v>0</v>
      </c>
      <c r="EI32" s="1989" t="e">
        <f t="shared" si="80"/>
        <v>#REF!</v>
      </c>
      <c r="EJ32" s="2003">
        <f t="shared" si="66"/>
        <v>0</v>
      </c>
      <c r="EK32" s="1989" t="e">
        <f t="shared" si="81"/>
        <v>#REF!</v>
      </c>
      <c r="EL32" s="1989" t="e">
        <f t="shared" si="81"/>
        <v>#REF!</v>
      </c>
      <c r="EM32" s="2006" t="e">
        <f t="shared" si="67"/>
        <v>#REF!</v>
      </c>
      <c r="EN32" s="1999" t="e">
        <f t="shared" si="83"/>
        <v>#REF!</v>
      </c>
      <c r="EP32" s="1613" t="e">
        <f>EA32-#REF!/10^7</f>
        <v>#REF!</v>
      </c>
      <c r="EW32" s="1611" t="s">
        <v>1717</v>
      </c>
      <c r="EX32" s="1612" t="s">
        <v>1667</v>
      </c>
      <c r="EZ32" s="1650">
        <f t="shared" si="69"/>
        <v>0</v>
      </c>
    </row>
    <row r="33" spans="1:156" ht="21" customHeight="1">
      <c r="A33" s="1652">
        <v>5</v>
      </c>
      <c r="B33" s="1644" t="s">
        <v>1671</v>
      </c>
      <c r="C33" s="1667">
        <v>13.7</v>
      </c>
      <c r="D33" s="1646">
        <f t="shared" si="76"/>
        <v>100</v>
      </c>
      <c r="E33" s="1646" t="s">
        <v>1594</v>
      </c>
      <c r="F33" s="1665">
        <v>1</v>
      </c>
      <c r="G33" s="1640"/>
      <c r="H33" s="1640">
        <v>13.7</v>
      </c>
      <c r="I33" s="1648" t="s">
        <v>1717</v>
      </c>
      <c r="J33" s="1649">
        <v>2</v>
      </c>
      <c r="K33" s="1648"/>
      <c r="L33" s="1640"/>
      <c r="M33" s="1640"/>
      <c r="N33" s="1642"/>
      <c r="O33" s="2000" t="e">
        <f>#REF!</f>
        <v>#REF!</v>
      </c>
      <c r="P33" s="2003">
        <f t="shared" si="93"/>
        <v>0</v>
      </c>
      <c r="Q33" s="1989" t="e">
        <f>#REF!/10^7</f>
        <v>#REF!</v>
      </c>
      <c r="R33" s="2003">
        <f t="shared" si="10"/>
        <v>0</v>
      </c>
      <c r="S33" s="1989" t="e">
        <f>#REF!/10^7</f>
        <v>#REF!</v>
      </c>
      <c r="T33" s="2003">
        <f t="shared" si="11"/>
        <v>0</v>
      </c>
      <c r="U33" s="1989" t="e">
        <f>#REF!/10^7</f>
        <v>#REF!</v>
      </c>
      <c r="V33" s="1989" t="e">
        <f>#REF!/10^7</f>
        <v>#REF!</v>
      </c>
      <c r="W33" s="1989">
        <f t="shared" si="12"/>
        <v>0</v>
      </c>
      <c r="X33" s="1999" t="e">
        <f t="shared" si="84"/>
        <v>#REF!</v>
      </c>
      <c r="Y33" s="1993" t="e">
        <f>#REF!</f>
        <v>#REF!</v>
      </c>
      <c r="Z33" s="2003">
        <f t="shared" si="14"/>
        <v>0</v>
      </c>
      <c r="AA33" s="1989" t="e">
        <f>#REF!/10^7</f>
        <v>#REF!</v>
      </c>
      <c r="AB33" s="2003">
        <f t="shared" si="15"/>
        <v>0</v>
      </c>
      <c r="AC33" s="1989" t="e">
        <f>#REF!/10^7</f>
        <v>#REF!</v>
      </c>
      <c r="AD33" s="2003">
        <f t="shared" si="16"/>
        <v>0</v>
      </c>
      <c r="AE33" s="1989" t="e">
        <f>#REF!/10^7</f>
        <v>#REF!</v>
      </c>
      <c r="AF33" s="1989" t="e">
        <f>#REF!/10^7</f>
        <v>#REF!</v>
      </c>
      <c r="AG33" s="2002" t="e">
        <f t="shared" si="17"/>
        <v>#REF!</v>
      </c>
      <c r="AH33" s="1999" t="e">
        <f t="shared" si="75"/>
        <v>#REF!</v>
      </c>
      <c r="AI33" s="1993" t="e">
        <f>#REF!</f>
        <v>#REF!</v>
      </c>
      <c r="AJ33" s="2003">
        <f t="shared" si="2"/>
        <v>0</v>
      </c>
      <c r="AK33" s="1989" t="e">
        <f>#REF!/10^7</f>
        <v>#REF!</v>
      </c>
      <c r="AL33" s="2003">
        <f t="shared" si="2"/>
        <v>0</v>
      </c>
      <c r="AM33" s="1989" t="e">
        <f>#REF!/10^7</f>
        <v>#REF!</v>
      </c>
      <c r="AN33" s="2003">
        <f t="shared" si="2"/>
        <v>0</v>
      </c>
      <c r="AO33" s="1989" t="e">
        <f>#REF!/10^7</f>
        <v>#REF!</v>
      </c>
      <c r="AP33" s="1989" t="e">
        <f>#REF!/10^7</f>
        <v>#REF!</v>
      </c>
      <c r="AQ33" s="2002" t="e">
        <f t="shared" si="19"/>
        <v>#REF!</v>
      </c>
      <c r="AR33" s="1999" t="e">
        <f t="shared" si="77"/>
        <v>#REF!</v>
      </c>
      <c r="AS33" s="1993" t="e">
        <f>#REF!</f>
        <v>#REF!</v>
      </c>
      <c r="AT33" s="2003">
        <f t="shared" si="20"/>
        <v>0</v>
      </c>
      <c r="AU33" s="1989" t="e">
        <f>#REF!/10^7</f>
        <v>#REF!</v>
      </c>
      <c r="AV33" s="2003">
        <f t="shared" si="21"/>
        <v>0</v>
      </c>
      <c r="AW33" s="1989" t="e">
        <f>#REF!/10^7</f>
        <v>#REF!</v>
      </c>
      <c r="AX33" s="2003">
        <f t="shared" si="22"/>
        <v>0</v>
      </c>
      <c r="AY33" s="1989" t="e">
        <f>#REF!/10^7</f>
        <v>#REF!</v>
      </c>
      <c r="AZ33" s="1989" t="e">
        <f>#REF!/10^7</f>
        <v>#REF!</v>
      </c>
      <c r="BA33" s="2002" t="e">
        <f t="shared" si="23"/>
        <v>#REF!</v>
      </c>
      <c r="BB33" s="1999" t="e">
        <f t="shared" si="78"/>
        <v>#REF!</v>
      </c>
      <c r="BC33" s="1993" t="e">
        <f>#REF!</f>
        <v>#REF!</v>
      </c>
      <c r="BD33" s="2003">
        <f t="shared" si="24"/>
        <v>0</v>
      </c>
      <c r="BE33" s="1989" t="e">
        <f>#REF!/10^7</f>
        <v>#REF!</v>
      </c>
      <c r="BF33" s="2003">
        <f t="shared" si="25"/>
        <v>0</v>
      </c>
      <c r="BG33" s="1989" t="e">
        <f>#REF!/10^7</f>
        <v>#REF!</v>
      </c>
      <c r="BH33" s="2003">
        <f t="shared" si="26"/>
        <v>0</v>
      </c>
      <c r="BI33" s="1989" t="e">
        <f>#REF!/10^7</f>
        <v>#REF!</v>
      </c>
      <c r="BJ33" s="1989" t="e">
        <f>#REF!/10^7</f>
        <v>#REF!</v>
      </c>
      <c r="BK33" s="2002" t="e">
        <f t="shared" si="27"/>
        <v>#REF!</v>
      </c>
      <c r="BL33" s="1999" t="e">
        <f t="shared" si="85"/>
        <v>#REF!</v>
      </c>
      <c r="BM33" s="1993" t="e">
        <f>#REF!</f>
        <v>#REF!</v>
      </c>
      <c r="BN33" s="2003">
        <f t="shared" si="29"/>
        <v>0</v>
      </c>
      <c r="BO33" s="1989" t="e">
        <f>#REF!/10^7</f>
        <v>#REF!</v>
      </c>
      <c r="BP33" s="2003">
        <f t="shared" si="30"/>
        <v>0</v>
      </c>
      <c r="BQ33" s="1989" t="e">
        <f>#REF!/10^7</f>
        <v>#REF!</v>
      </c>
      <c r="BR33" s="2003">
        <f t="shared" si="31"/>
        <v>0</v>
      </c>
      <c r="BS33" s="1989" t="e">
        <f>#REF!/10^7</f>
        <v>#REF!</v>
      </c>
      <c r="BT33" s="1989" t="e">
        <f>#REF!/10^7</f>
        <v>#REF!</v>
      </c>
      <c r="BU33" s="2002" t="e">
        <f t="shared" si="32"/>
        <v>#REF!</v>
      </c>
      <c r="BV33" s="1999" t="e">
        <f t="shared" si="86"/>
        <v>#REF!</v>
      </c>
      <c r="BW33" s="1993" t="e">
        <f>#REF!</f>
        <v>#REF!</v>
      </c>
      <c r="BX33" s="2003">
        <f t="shared" si="34"/>
        <v>0</v>
      </c>
      <c r="BY33" s="1989" t="e">
        <f>#REF!/10^7</f>
        <v>#REF!</v>
      </c>
      <c r="BZ33" s="2003">
        <f t="shared" si="35"/>
        <v>0</v>
      </c>
      <c r="CA33" s="1989" t="e">
        <f>#REF!/10^7</f>
        <v>#REF!</v>
      </c>
      <c r="CB33" s="2003">
        <f t="shared" si="36"/>
        <v>0</v>
      </c>
      <c r="CC33" s="1989" t="e">
        <f>#REF!/10^7</f>
        <v>#REF!</v>
      </c>
      <c r="CD33" s="1989" t="e">
        <f>#REF!/10^7</f>
        <v>#REF!</v>
      </c>
      <c r="CE33" s="2002" t="e">
        <f t="shared" si="37"/>
        <v>#REF!</v>
      </c>
      <c r="CF33" s="1999" t="e">
        <f t="shared" si="87"/>
        <v>#REF!</v>
      </c>
      <c r="CG33" s="1993" t="e">
        <f>#REF!</f>
        <v>#REF!</v>
      </c>
      <c r="CH33" s="2003">
        <f t="shared" si="39"/>
        <v>0</v>
      </c>
      <c r="CI33" s="1989" t="e">
        <f>#REF!/10^7</f>
        <v>#REF!</v>
      </c>
      <c r="CJ33" s="2003">
        <f t="shared" si="40"/>
        <v>0</v>
      </c>
      <c r="CK33" s="1989" t="e">
        <f>#REF!/10^7</f>
        <v>#REF!</v>
      </c>
      <c r="CL33" s="2003">
        <f t="shared" si="41"/>
        <v>0</v>
      </c>
      <c r="CM33" s="1989" t="e">
        <f>#REF!/10^7</f>
        <v>#REF!</v>
      </c>
      <c r="CN33" s="1989" t="e">
        <f>#REF!/10^7</f>
        <v>#REF!</v>
      </c>
      <c r="CO33" s="2002" t="e">
        <f t="shared" si="42"/>
        <v>#REF!</v>
      </c>
      <c r="CP33" s="1999" t="e">
        <f t="shared" si="88"/>
        <v>#REF!</v>
      </c>
      <c r="CQ33" s="1993" t="e">
        <f>#REF!</f>
        <v>#REF!</v>
      </c>
      <c r="CR33" s="2003">
        <f t="shared" si="44"/>
        <v>0</v>
      </c>
      <c r="CS33" s="1989" t="e">
        <f>#REF!/10^7</f>
        <v>#REF!</v>
      </c>
      <c r="CT33" s="2003">
        <f t="shared" si="45"/>
        <v>0</v>
      </c>
      <c r="CU33" s="1989" t="e">
        <f>#REF!/10^7</f>
        <v>#REF!</v>
      </c>
      <c r="CV33" s="2003">
        <f t="shared" si="46"/>
        <v>0</v>
      </c>
      <c r="CW33" s="1989" t="e">
        <f>#REF!/10^7</f>
        <v>#REF!</v>
      </c>
      <c r="CX33" s="1989" t="e">
        <f>#REF!/10^7</f>
        <v>#REF!</v>
      </c>
      <c r="CY33" s="2002" t="e">
        <f t="shared" si="47"/>
        <v>#REF!</v>
      </c>
      <c r="CZ33" s="1999" t="e">
        <f t="shared" si="89"/>
        <v>#REF!</v>
      </c>
      <c r="DA33" s="1993" t="e">
        <f>#REF!</f>
        <v>#REF!</v>
      </c>
      <c r="DB33" s="2003">
        <f t="shared" si="49"/>
        <v>0</v>
      </c>
      <c r="DC33" s="1989" t="e">
        <f>#REF!/10^7</f>
        <v>#REF!</v>
      </c>
      <c r="DD33" s="2003">
        <f t="shared" si="50"/>
        <v>0</v>
      </c>
      <c r="DE33" s="1989" t="e">
        <f>#REF!/10^7</f>
        <v>#REF!</v>
      </c>
      <c r="DF33" s="2003">
        <f t="shared" si="51"/>
        <v>0</v>
      </c>
      <c r="DG33" s="1989" t="e">
        <f>#REF!/10^7</f>
        <v>#REF!</v>
      </c>
      <c r="DH33" s="1989" t="e">
        <f>#REF!/10^7</f>
        <v>#REF!</v>
      </c>
      <c r="DI33" s="2002" t="e">
        <f t="shared" si="52"/>
        <v>#REF!</v>
      </c>
      <c r="DJ33" s="1999" t="e">
        <f t="shared" si="90"/>
        <v>#REF!</v>
      </c>
      <c r="DK33" s="1993" t="e">
        <f>#REF!</f>
        <v>#REF!</v>
      </c>
      <c r="DL33" s="2003">
        <f t="shared" si="54"/>
        <v>0</v>
      </c>
      <c r="DM33" s="1989" t="e">
        <f>#REF!/10^7</f>
        <v>#REF!</v>
      </c>
      <c r="DN33" s="2003">
        <f t="shared" si="55"/>
        <v>0</v>
      </c>
      <c r="DO33" s="1989" t="e">
        <f>#REF!/10^7</f>
        <v>#REF!</v>
      </c>
      <c r="DP33" s="2003">
        <f t="shared" si="56"/>
        <v>0</v>
      </c>
      <c r="DQ33" s="1989" t="e">
        <f>#REF!/10^7</f>
        <v>#REF!</v>
      </c>
      <c r="DR33" s="1989" t="e">
        <f>#REF!/10^7</f>
        <v>#REF!</v>
      </c>
      <c r="DS33" s="2002" t="e">
        <f t="shared" si="57"/>
        <v>#REF!</v>
      </c>
      <c r="DT33" s="2004" t="e">
        <f t="shared" si="91"/>
        <v>#REF!</v>
      </c>
      <c r="DU33" s="1988" t="e">
        <f>#REF!</f>
        <v>#REF!</v>
      </c>
      <c r="DV33" s="2003">
        <f t="shared" si="59"/>
        <v>0</v>
      </c>
      <c r="DW33" s="1989" t="e">
        <f>#REF!/10^7</f>
        <v>#REF!</v>
      </c>
      <c r="DX33" s="2003">
        <f t="shared" si="60"/>
        <v>0</v>
      </c>
      <c r="DY33" s="1989" t="e">
        <f>#REF!/10^7</f>
        <v>#REF!</v>
      </c>
      <c r="DZ33" s="2003">
        <f t="shared" si="61"/>
        <v>0</v>
      </c>
      <c r="EA33" s="1989" t="e">
        <f>#REF!/10^7</f>
        <v>#REF!</v>
      </c>
      <c r="EB33" s="1989" t="e">
        <f>#REF!/10^7</f>
        <v>#REF!</v>
      </c>
      <c r="EC33" s="2002" t="e">
        <f t="shared" si="62"/>
        <v>#REF!</v>
      </c>
      <c r="ED33" s="1998" t="e">
        <f t="shared" si="92"/>
        <v>#REF!</v>
      </c>
      <c r="EE33" s="2005" t="e">
        <f t="shared" si="82"/>
        <v>#REF!</v>
      </c>
      <c r="EF33" s="2003">
        <f t="shared" si="64"/>
        <v>0</v>
      </c>
      <c r="EG33" s="1989" t="e">
        <f t="shared" si="79"/>
        <v>#REF!</v>
      </c>
      <c r="EH33" s="2003">
        <f t="shared" si="65"/>
        <v>0</v>
      </c>
      <c r="EI33" s="1989" t="e">
        <f t="shared" si="80"/>
        <v>#REF!</v>
      </c>
      <c r="EJ33" s="2003">
        <f t="shared" si="66"/>
        <v>0</v>
      </c>
      <c r="EK33" s="1989" t="e">
        <f t="shared" si="81"/>
        <v>#REF!</v>
      </c>
      <c r="EL33" s="1989" t="e">
        <f t="shared" si="81"/>
        <v>#REF!</v>
      </c>
      <c r="EM33" s="2006" t="e">
        <f t="shared" si="67"/>
        <v>#REF!</v>
      </c>
      <c r="EN33" s="1999" t="e">
        <f t="shared" si="83"/>
        <v>#REF!</v>
      </c>
      <c r="EP33" s="1613" t="e">
        <f>EA33-#REF!/10^7</f>
        <v>#REF!</v>
      </c>
      <c r="EW33" s="1611" t="s">
        <v>1717</v>
      </c>
      <c r="EX33" s="1612" t="s">
        <v>1667</v>
      </c>
      <c r="EZ33" s="1650">
        <f t="shared" si="69"/>
        <v>0</v>
      </c>
    </row>
    <row r="34" spans="1:156" ht="21" customHeight="1">
      <c r="A34" s="1652">
        <v>6</v>
      </c>
      <c r="B34" s="1644" t="s">
        <v>1672</v>
      </c>
      <c r="C34" s="1645">
        <v>3.6</v>
      </c>
      <c r="D34" s="1646">
        <f t="shared" si="76"/>
        <v>100</v>
      </c>
      <c r="E34" s="1646" t="s">
        <v>1594</v>
      </c>
      <c r="F34" s="1665">
        <v>1</v>
      </c>
      <c r="G34" s="1640"/>
      <c r="H34" s="1640">
        <v>3.6</v>
      </c>
      <c r="I34" s="1648" t="s">
        <v>1717</v>
      </c>
      <c r="J34" s="1649">
        <v>2</v>
      </c>
      <c r="K34" s="1648"/>
      <c r="L34" s="1640"/>
      <c r="M34" s="1640"/>
      <c r="N34" s="1642"/>
      <c r="O34" s="2000" t="e">
        <f>#REF!</f>
        <v>#REF!</v>
      </c>
      <c r="P34" s="2003">
        <f t="shared" si="93"/>
        <v>0</v>
      </c>
      <c r="Q34" s="1989" t="e">
        <f>#REF!/10^7</f>
        <v>#REF!</v>
      </c>
      <c r="R34" s="2003">
        <f t="shared" si="10"/>
        <v>0</v>
      </c>
      <c r="S34" s="1989" t="e">
        <f>#REF!/10^7</f>
        <v>#REF!</v>
      </c>
      <c r="T34" s="2003">
        <f t="shared" si="11"/>
        <v>0</v>
      </c>
      <c r="U34" s="1989" t="e">
        <f>#REF!/10^7</f>
        <v>#REF!</v>
      </c>
      <c r="V34" s="1989" t="e">
        <f>#REF!/10^7</f>
        <v>#REF!</v>
      </c>
      <c r="W34" s="1989">
        <f t="shared" si="12"/>
        <v>0</v>
      </c>
      <c r="X34" s="1999" t="e">
        <f t="shared" si="84"/>
        <v>#REF!</v>
      </c>
      <c r="Y34" s="1993" t="e">
        <f>#REF!</f>
        <v>#REF!</v>
      </c>
      <c r="Z34" s="2003">
        <f t="shared" si="14"/>
        <v>0</v>
      </c>
      <c r="AA34" s="1989" t="e">
        <f>#REF!/10^7</f>
        <v>#REF!</v>
      </c>
      <c r="AB34" s="2003">
        <f t="shared" si="15"/>
        <v>0</v>
      </c>
      <c r="AC34" s="1989" t="e">
        <f>#REF!/10^7</f>
        <v>#REF!</v>
      </c>
      <c r="AD34" s="2003">
        <f t="shared" si="16"/>
        <v>0</v>
      </c>
      <c r="AE34" s="1989" t="e">
        <f>#REF!/10^7</f>
        <v>#REF!</v>
      </c>
      <c r="AF34" s="1989" t="e">
        <f>#REF!/10^7</f>
        <v>#REF!</v>
      </c>
      <c r="AG34" s="2002" t="e">
        <f t="shared" si="17"/>
        <v>#REF!</v>
      </c>
      <c r="AH34" s="1999" t="e">
        <f t="shared" si="75"/>
        <v>#REF!</v>
      </c>
      <c r="AI34" s="1993" t="e">
        <f>#REF!</f>
        <v>#REF!</v>
      </c>
      <c r="AJ34" s="2003">
        <f t="shared" si="2"/>
        <v>0</v>
      </c>
      <c r="AK34" s="1989" t="e">
        <f>#REF!/10^7</f>
        <v>#REF!</v>
      </c>
      <c r="AL34" s="2003">
        <f t="shared" si="2"/>
        <v>0</v>
      </c>
      <c r="AM34" s="1989" t="e">
        <f>#REF!/10^7</f>
        <v>#REF!</v>
      </c>
      <c r="AN34" s="2003">
        <f t="shared" si="2"/>
        <v>0</v>
      </c>
      <c r="AO34" s="1989" t="e">
        <f>#REF!/10^7</f>
        <v>#REF!</v>
      </c>
      <c r="AP34" s="1989" t="e">
        <f>#REF!/10^7</f>
        <v>#REF!</v>
      </c>
      <c r="AQ34" s="2002" t="e">
        <f t="shared" si="19"/>
        <v>#REF!</v>
      </c>
      <c r="AR34" s="1999" t="e">
        <f t="shared" si="77"/>
        <v>#REF!</v>
      </c>
      <c r="AS34" s="1993" t="e">
        <f>#REF!</f>
        <v>#REF!</v>
      </c>
      <c r="AT34" s="2003">
        <f t="shared" si="20"/>
        <v>0</v>
      </c>
      <c r="AU34" s="1989" t="e">
        <f>#REF!/10^7</f>
        <v>#REF!</v>
      </c>
      <c r="AV34" s="2003">
        <f t="shared" si="21"/>
        <v>0</v>
      </c>
      <c r="AW34" s="1989" t="e">
        <f>#REF!/10^7</f>
        <v>#REF!</v>
      </c>
      <c r="AX34" s="2003">
        <f t="shared" si="22"/>
        <v>0</v>
      </c>
      <c r="AY34" s="1989" t="e">
        <f>#REF!/10^7</f>
        <v>#REF!</v>
      </c>
      <c r="AZ34" s="1989" t="e">
        <f>#REF!/10^7</f>
        <v>#REF!</v>
      </c>
      <c r="BA34" s="2002" t="e">
        <f t="shared" si="23"/>
        <v>#REF!</v>
      </c>
      <c r="BB34" s="1999" t="e">
        <f t="shared" si="78"/>
        <v>#REF!</v>
      </c>
      <c r="BC34" s="1993" t="e">
        <f>#REF!</f>
        <v>#REF!</v>
      </c>
      <c r="BD34" s="2003">
        <f t="shared" si="24"/>
        <v>0</v>
      </c>
      <c r="BE34" s="1989" t="e">
        <f>#REF!/10^7</f>
        <v>#REF!</v>
      </c>
      <c r="BF34" s="2003">
        <f t="shared" si="25"/>
        <v>0</v>
      </c>
      <c r="BG34" s="1989" t="e">
        <f>#REF!/10^7</f>
        <v>#REF!</v>
      </c>
      <c r="BH34" s="2003">
        <f t="shared" si="26"/>
        <v>0</v>
      </c>
      <c r="BI34" s="1989" t="e">
        <f>#REF!/10^7</f>
        <v>#REF!</v>
      </c>
      <c r="BJ34" s="1989" t="e">
        <f>#REF!/10^7</f>
        <v>#REF!</v>
      </c>
      <c r="BK34" s="2002" t="e">
        <f t="shared" si="27"/>
        <v>#REF!</v>
      </c>
      <c r="BL34" s="1999" t="e">
        <f t="shared" si="85"/>
        <v>#REF!</v>
      </c>
      <c r="BM34" s="1993" t="e">
        <f>#REF!</f>
        <v>#REF!</v>
      </c>
      <c r="BN34" s="2003">
        <f t="shared" si="29"/>
        <v>0</v>
      </c>
      <c r="BO34" s="1989" t="e">
        <f>#REF!/10^7</f>
        <v>#REF!</v>
      </c>
      <c r="BP34" s="2003">
        <f t="shared" si="30"/>
        <v>0</v>
      </c>
      <c r="BQ34" s="1989" t="e">
        <f>#REF!/10^7</f>
        <v>#REF!</v>
      </c>
      <c r="BR34" s="2003">
        <f t="shared" si="31"/>
        <v>0</v>
      </c>
      <c r="BS34" s="1989" t="e">
        <f>#REF!/10^7</f>
        <v>#REF!</v>
      </c>
      <c r="BT34" s="1989" t="e">
        <f>#REF!/10^7</f>
        <v>#REF!</v>
      </c>
      <c r="BU34" s="2002" t="e">
        <f t="shared" si="32"/>
        <v>#REF!</v>
      </c>
      <c r="BV34" s="1999" t="e">
        <f t="shared" si="86"/>
        <v>#REF!</v>
      </c>
      <c r="BW34" s="1993" t="e">
        <f>#REF!</f>
        <v>#REF!</v>
      </c>
      <c r="BX34" s="2003">
        <f t="shared" si="34"/>
        <v>0</v>
      </c>
      <c r="BY34" s="1989" t="e">
        <f>#REF!/10^7</f>
        <v>#REF!</v>
      </c>
      <c r="BZ34" s="2003">
        <f t="shared" si="35"/>
        <v>0</v>
      </c>
      <c r="CA34" s="1989" t="e">
        <f>#REF!/10^7</f>
        <v>#REF!</v>
      </c>
      <c r="CB34" s="2003">
        <f t="shared" si="36"/>
        <v>0</v>
      </c>
      <c r="CC34" s="1989" t="e">
        <f>#REF!/10^7</f>
        <v>#REF!</v>
      </c>
      <c r="CD34" s="1989" t="e">
        <f>#REF!/10^7</f>
        <v>#REF!</v>
      </c>
      <c r="CE34" s="2002" t="e">
        <f t="shared" si="37"/>
        <v>#REF!</v>
      </c>
      <c r="CF34" s="1999" t="e">
        <f t="shared" si="87"/>
        <v>#REF!</v>
      </c>
      <c r="CG34" s="1993" t="e">
        <f>#REF!</f>
        <v>#REF!</v>
      </c>
      <c r="CH34" s="2003">
        <f t="shared" si="39"/>
        <v>0</v>
      </c>
      <c r="CI34" s="1989" t="e">
        <f>#REF!/10^7</f>
        <v>#REF!</v>
      </c>
      <c r="CJ34" s="2003">
        <f t="shared" si="40"/>
        <v>0</v>
      </c>
      <c r="CK34" s="1989" t="e">
        <f>#REF!/10^7</f>
        <v>#REF!</v>
      </c>
      <c r="CL34" s="2003">
        <f t="shared" si="41"/>
        <v>0</v>
      </c>
      <c r="CM34" s="1989" t="e">
        <f>#REF!/10^7</f>
        <v>#REF!</v>
      </c>
      <c r="CN34" s="1989" t="e">
        <f>#REF!/10^7</f>
        <v>#REF!</v>
      </c>
      <c r="CO34" s="2002" t="e">
        <f t="shared" si="42"/>
        <v>#REF!</v>
      </c>
      <c r="CP34" s="1999" t="e">
        <f t="shared" si="88"/>
        <v>#REF!</v>
      </c>
      <c r="CQ34" s="1993" t="e">
        <f>#REF!</f>
        <v>#REF!</v>
      </c>
      <c r="CR34" s="2003">
        <f t="shared" si="44"/>
        <v>0</v>
      </c>
      <c r="CS34" s="1989" t="e">
        <f>#REF!/10^7</f>
        <v>#REF!</v>
      </c>
      <c r="CT34" s="2003">
        <f t="shared" si="45"/>
        <v>0</v>
      </c>
      <c r="CU34" s="1989" t="e">
        <f>#REF!/10^7</f>
        <v>#REF!</v>
      </c>
      <c r="CV34" s="2003">
        <f t="shared" si="46"/>
        <v>0</v>
      </c>
      <c r="CW34" s="1989" t="e">
        <f>#REF!/10^7</f>
        <v>#REF!</v>
      </c>
      <c r="CX34" s="1989" t="e">
        <f>#REF!/10^7</f>
        <v>#REF!</v>
      </c>
      <c r="CY34" s="2002" t="e">
        <f t="shared" si="47"/>
        <v>#REF!</v>
      </c>
      <c r="CZ34" s="1999" t="e">
        <f t="shared" si="89"/>
        <v>#REF!</v>
      </c>
      <c r="DA34" s="1993" t="e">
        <f>#REF!</f>
        <v>#REF!</v>
      </c>
      <c r="DB34" s="2003">
        <f t="shared" si="49"/>
        <v>0</v>
      </c>
      <c r="DC34" s="1989" t="e">
        <f>#REF!/10^7</f>
        <v>#REF!</v>
      </c>
      <c r="DD34" s="2003">
        <f t="shared" si="50"/>
        <v>0</v>
      </c>
      <c r="DE34" s="1989" t="e">
        <f>#REF!/10^7</f>
        <v>#REF!</v>
      </c>
      <c r="DF34" s="2003">
        <f t="shared" si="51"/>
        <v>0</v>
      </c>
      <c r="DG34" s="1989" t="e">
        <f>#REF!/10^7</f>
        <v>#REF!</v>
      </c>
      <c r="DH34" s="1989" t="e">
        <f>#REF!/10^7</f>
        <v>#REF!</v>
      </c>
      <c r="DI34" s="2002" t="e">
        <f t="shared" si="52"/>
        <v>#REF!</v>
      </c>
      <c r="DJ34" s="1999" t="e">
        <f t="shared" si="90"/>
        <v>#REF!</v>
      </c>
      <c r="DK34" s="1993" t="e">
        <f>#REF!</f>
        <v>#REF!</v>
      </c>
      <c r="DL34" s="2003">
        <f t="shared" si="54"/>
        <v>0</v>
      </c>
      <c r="DM34" s="1989" t="e">
        <f>#REF!/10^7</f>
        <v>#REF!</v>
      </c>
      <c r="DN34" s="2003">
        <f t="shared" si="55"/>
        <v>0</v>
      </c>
      <c r="DO34" s="1989" t="e">
        <f>#REF!/10^7</f>
        <v>#REF!</v>
      </c>
      <c r="DP34" s="2003">
        <f t="shared" si="56"/>
        <v>0</v>
      </c>
      <c r="DQ34" s="1989" t="e">
        <f>#REF!/10^7</f>
        <v>#REF!</v>
      </c>
      <c r="DR34" s="1989" t="e">
        <f>#REF!/10^7</f>
        <v>#REF!</v>
      </c>
      <c r="DS34" s="2002" t="e">
        <f t="shared" si="57"/>
        <v>#REF!</v>
      </c>
      <c r="DT34" s="2004" t="e">
        <f t="shared" si="91"/>
        <v>#REF!</v>
      </c>
      <c r="DU34" s="1988" t="e">
        <f>#REF!</f>
        <v>#REF!</v>
      </c>
      <c r="DV34" s="2003">
        <f t="shared" si="59"/>
        <v>0</v>
      </c>
      <c r="DW34" s="1989" t="e">
        <f>#REF!/10^7</f>
        <v>#REF!</v>
      </c>
      <c r="DX34" s="2003">
        <f t="shared" si="60"/>
        <v>0</v>
      </c>
      <c r="DY34" s="1989" t="e">
        <f>#REF!/10^7</f>
        <v>#REF!</v>
      </c>
      <c r="DZ34" s="2003">
        <f t="shared" si="61"/>
        <v>0</v>
      </c>
      <c r="EA34" s="1989" t="e">
        <f>#REF!/10^7</f>
        <v>#REF!</v>
      </c>
      <c r="EB34" s="1989" t="e">
        <f>#REF!/10^7</f>
        <v>#REF!</v>
      </c>
      <c r="EC34" s="2002" t="e">
        <f t="shared" si="62"/>
        <v>#REF!</v>
      </c>
      <c r="ED34" s="1998" t="e">
        <f t="shared" si="92"/>
        <v>#REF!</v>
      </c>
      <c r="EE34" s="2005" t="e">
        <f t="shared" si="82"/>
        <v>#REF!</v>
      </c>
      <c r="EF34" s="2003">
        <f t="shared" si="64"/>
        <v>0</v>
      </c>
      <c r="EG34" s="1989" t="e">
        <f t="shared" si="79"/>
        <v>#REF!</v>
      </c>
      <c r="EH34" s="2003">
        <f t="shared" si="65"/>
        <v>0</v>
      </c>
      <c r="EI34" s="1989" t="e">
        <f t="shared" si="80"/>
        <v>#REF!</v>
      </c>
      <c r="EJ34" s="2003">
        <f t="shared" si="66"/>
        <v>0</v>
      </c>
      <c r="EK34" s="1989" t="e">
        <f t="shared" si="81"/>
        <v>#REF!</v>
      </c>
      <c r="EL34" s="1989" t="e">
        <f t="shared" si="81"/>
        <v>#REF!</v>
      </c>
      <c r="EM34" s="2006" t="e">
        <f t="shared" si="67"/>
        <v>#REF!</v>
      </c>
      <c r="EN34" s="1999" t="e">
        <f t="shared" si="83"/>
        <v>#REF!</v>
      </c>
      <c r="EP34" s="1613" t="e">
        <f>EA34-#REF!/10^7</f>
        <v>#REF!</v>
      </c>
      <c r="EW34" s="1611" t="s">
        <v>1717</v>
      </c>
      <c r="EX34" s="1612" t="s">
        <v>1667</v>
      </c>
      <c r="EZ34" s="1650">
        <f t="shared" si="69"/>
        <v>0</v>
      </c>
    </row>
    <row r="35" spans="1:156" ht="21" customHeight="1">
      <c r="A35" s="1652">
        <v>7</v>
      </c>
      <c r="B35" s="1644" t="s">
        <v>1673</v>
      </c>
      <c r="C35" s="1639">
        <v>3</v>
      </c>
      <c r="D35" s="1646">
        <f t="shared" si="76"/>
        <v>100</v>
      </c>
      <c r="E35" s="1646" t="s">
        <v>1594</v>
      </c>
      <c r="F35" s="1665">
        <v>1</v>
      </c>
      <c r="G35" s="1640"/>
      <c r="H35" s="1640">
        <v>3</v>
      </c>
      <c r="I35" s="1648" t="s">
        <v>1717</v>
      </c>
      <c r="J35" s="1649">
        <v>2</v>
      </c>
      <c r="K35" s="1648"/>
      <c r="L35" s="1640"/>
      <c r="M35" s="1640"/>
      <c r="N35" s="1642"/>
      <c r="O35" s="2000" t="e">
        <f>#REF!</f>
        <v>#REF!</v>
      </c>
      <c r="P35" s="2003">
        <f t="shared" si="93"/>
        <v>0</v>
      </c>
      <c r="Q35" s="1989" t="e">
        <f>#REF!/10^7</f>
        <v>#REF!</v>
      </c>
      <c r="R35" s="2003">
        <f t="shared" si="10"/>
        <v>0</v>
      </c>
      <c r="S35" s="1989" t="e">
        <f>#REF!/10^7</f>
        <v>#REF!</v>
      </c>
      <c r="T35" s="2003">
        <f t="shared" si="11"/>
        <v>0</v>
      </c>
      <c r="U35" s="1989" t="e">
        <f>#REF!/10^7</f>
        <v>#REF!</v>
      </c>
      <c r="V35" s="1989" t="e">
        <f>#REF!/10^7</f>
        <v>#REF!</v>
      </c>
      <c r="W35" s="1989">
        <f t="shared" si="12"/>
        <v>0</v>
      </c>
      <c r="X35" s="1999" t="e">
        <f t="shared" si="84"/>
        <v>#REF!</v>
      </c>
      <c r="Y35" s="1993" t="e">
        <f>#REF!</f>
        <v>#REF!</v>
      </c>
      <c r="Z35" s="2003">
        <f t="shared" si="14"/>
        <v>0</v>
      </c>
      <c r="AA35" s="1989" t="e">
        <f>#REF!/10^7</f>
        <v>#REF!</v>
      </c>
      <c r="AB35" s="2003">
        <f t="shared" si="15"/>
        <v>0</v>
      </c>
      <c r="AC35" s="1989" t="e">
        <f>#REF!/10^7</f>
        <v>#REF!</v>
      </c>
      <c r="AD35" s="2003">
        <f t="shared" si="16"/>
        <v>0</v>
      </c>
      <c r="AE35" s="1989" t="e">
        <f>#REF!/10^7</f>
        <v>#REF!</v>
      </c>
      <c r="AF35" s="1989" t="e">
        <f>#REF!/10^7</f>
        <v>#REF!</v>
      </c>
      <c r="AG35" s="2002" t="e">
        <f t="shared" si="17"/>
        <v>#REF!</v>
      </c>
      <c r="AH35" s="1999" t="e">
        <f t="shared" si="75"/>
        <v>#REF!</v>
      </c>
      <c r="AI35" s="1993" t="e">
        <f>#REF!</f>
        <v>#REF!</v>
      </c>
      <c r="AJ35" s="2003">
        <f t="shared" si="2"/>
        <v>0</v>
      </c>
      <c r="AK35" s="1989" t="e">
        <f>#REF!/10^7</f>
        <v>#REF!</v>
      </c>
      <c r="AL35" s="2003">
        <f t="shared" si="2"/>
        <v>0</v>
      </c>
      <c r="AM35" s="1989" t="e">
        <f>#REF!/10^7</f>
        <v>#REF!</v>
      </c>
      <c r="AN35" s="2003">
        <f t="shared" si="2"/>
        <v>0</v>
      </c>
      <c r="AO35" s="1989" t="e">
        <f>#REF!/10^7</f>
        <v>#REF!</v>
      </c>
      <c r="AP35" s="1989" t="e">
        <f>#REF!/10^7</f>
        <v>#REF!</v>
      </c>
      <c r="AQ35" s="2002" t="e">
        <f t="shared" si="19"/>
        <v>#REF!</v>
      </c>
      <c r="AR35" s="1999" t="e">
        <f t="shared" si="77"/>
        <v>#REF!</v>
      </c>
      <c r="AS35" s="1993" t="e">
        <f>#REF!</f>
        <v>#REF!</v>
      </c>
      <c r="AT35" s="2003">
        <f t="shared" si="20"/>
        <v>0</v>
      </c>
      <c r="AU35" s="1989" t="e">
        <f>#REF!/10^7</f>
        <v>#REF!</v>
      </c>
      <c r="AV35" s="2003">
        <f t="shared" si="21"/>
        <v>0</v>
      </c>
      <c r="AW35" s="1989" t="e">
        <f>#REF!/10^7</f>
        <v>#REF!</v>
      </c>
      <c r="AX35" s="2003">
        <f t="shared" si="22"/>
        <v>0</v>
      </c>
      <c r="AY35" s="1989" t="e">
        <f>#REF!/10^7</f>
        <v>#REF!</v>
      </c>
      <c r="AZ35" s="1989" t="e">
        <f>#REF!/10^7</f>
        <v>#REF!</v>
      </c>
      <c r="BA35" s="2002" t="e">
        <f t="shared" si="23"/>
        <v>#REF!</v>
      </c>
      <c r="BB35" s="1999" t="e">
        <f t="shared" si="78"/>
        <v>#REF!</v>
      </c>
      <c r="BC35" s="1993" t="e">
        <f>#REF!</f>
        <v>#REF!</v>
      </c>
      <c r="BD35" s="2003">
        <f t="shared" si="24"/>
        <v>0</v>
      </c>
      <c r="BE35" s="1989" t="e">
        <f>#REF!/10^7</f>
        <v>#REF!</v>
      </c>
      <c r="BF35" s="2003">
        <f t="shared" si="25"/>
        <v>0</v>
      </c>
      <c r="BG35" s="1989" t="e">
        <f>#REF!/10^7</f>
        <v>#REF!</v>
      </c>
      <c r="BH35" s="2003">
        <f t="shared" si="26"/>
        <v>0</v>
      </c>
      <c r="BI35" s="1989" t="e">
        <f>#REF!/10^7</f>
        <v>#REF!</v>
      </c>
      <c r="BJ35" s="1989" t="e">
        <f>#REF!/10^7</f>
        <v>#REF!</v>
      </c>
      <c r="BK35" s="2002" t="e">
        <f t="shared" si="27"/>
        <v>#REF!</v>
      </c>
      <c r="BL35" s="1999" t="e">
        <f t="shared" si="85"/>
        <v>#REF!</v>
      </c>
      <c r="BM35" s="1993" t="e">
        <f>#REF!</f>
        <v>#REF!</v>
      </c>
      <c r="BN35" s="2003">
        <f t="shared" si="29"/>
        <v>0</v>
      </c>
      <c r="BO35" s="1989" t="e">
        <f>#REF!/10^7</f>
        <v>#REF!</v>
      </c>
      <c r="BP35" s="2003">
        <f t="shared" si="30"/>
        <v>0</v>
      </c>
      <c r="BQ35" s="1989" t="e">
        <f>#REF!/10^7</f>
        <v>#REF!</v>
      </c>
      <c r="BR35" s="2003">
        <f t="shared" si="31"/>
        <v>0</v>
      </c>
      <c r="BS35" s="1989" t="e">
        <f>#REF!/10^7</f>
        <v>#REF!</v>
      </c>
      <c r="BT35" s="1989" t="e">
        <f>#REF!/10^7</f>
        <v>#REF!</v>
      </c>
      <c r="BU35" s="2002" t="e">
        <f t="shared" si="32"/>
        <v>#REF!</v>
      </c>
      <c r="BV35" s="1999" t="e">
        <f t="shared" si="86"/>
        <v>#REF!</v>
      </c>
      <c r="BW35" s="1993" t="e">
        <f>#REF!</f>
        <v>#REF!</v>
      </c>
      <c r="BX35" s="2003">
        <f t="shared" si="34"/>
        <v>0</v>
      </c>
      <c r="BY35" s="1989" t="e">
        <f>#REF!/10^7</f>
        <v>#REF!</v>
      </c>
      <c r="BZ35" s="2003">
        <f t="shared" si="35"/>
        <v>0</v>
      </c>
      <c r="CA35" s="1989" t="e">
        <f>#REF!/10^7</f>
        <v>#REF!</v>
      </c>
      <c r="CB35" s="2003">
        <f t="shared" si="36"/>
        <v>0</v>
      </c>
      <c r="CC35" s="1989" t="e">
        <f>#REF!/10^7</f>
        <v>#REF!</v>
      </c>
      <c r="CD35" s="1989" t="e">
        <f>#REF!/10^7</f>
        <v>#REF!</v>
      </c>
      <c r="CE35" s="2002" t="e">
        <f t="shared" si="37"/>
        <v>#REF!</v>
      </c>
      <c r="CF35" s="1999" t="e">
        <f t="shared" si="87"/>
        <v>#REF!</v>
      </c>
      <c r="CG35" s="1993" t="e">
        <f>#REF!</f>
        <v>#REF!</v>
      </c>
      <c r="CH35" s="2003">
        <f t="shared" si="39"/>
        <v>0</v>
      </c>
      <c r="CI35" s="1989" t="e">
        <f>#REF!/10^7</f>
        <v>#REF!</v>
      </c>
      <c r="CJ35" s="2003">
        <f t="shared" si="40"/>
        <v>0</v>
      </c>
      <c r="CK35" s="1989" t="e">
        <f>#REF!/10^7</f>
        <v>#REF!</v>
      </c>
      <c r="CL35" s="2003">
        <f t="shared" si="41"/>
        <v>0</v>
      </c>
      <c r="CM35" s="1989" t="e">
        <f>#REF!/10^7</f>
        <v>#REF!</v>
      </c>
      <c r="CN35" s="1989" t="e">
        <f>#REF!/10^7</f>
        <v>#REF!</v>
      </c>
      <c r="CO35" s="2002" t="e">
        <f t="shared" si="42"/>
        <v>#REF!</v>
      </c>
      <c r="CP35" s="1999" t="e">
        <f t="shared" si="88"/>
        <v>#REF!</v>
      </c>
      <c r="CQ35" s="1993" t="e">
        <f>#REF!</f>
        <v>#REF!</v>
      </c>
      <c r="CR35" s="2003">
        <f t="shared" si="44"/>
        <v>0</v>
      </c>
      <c r="CS35" s="1989" t="e">
        <f>#REF!/10^7</f>
        <v>#REF!</v>
      </c>
      <c r="CT35" s="2003">
        <f t="shared" si="45"/>
        <v>0</v>
      </c>
      <c r="CU35" s="1989" t="e">
        <f>#REF!/10^7</f>
        <v>#REF!</v>
      </c>
      <c r="CV35" s="2003">
        <f t="shared" si="46"/>
        <v>0</v>
      </c>
      <c r="CW35" s="1989" t="e">
        <f>#REF!/10^7</f>
        <v>#REF!</v>
      </c>
      <c r="CX35" s="1989" t="e">
        <f>#REF!/10^7</f>
        <v>#REF!</v>
      </c>
      <c r="CY35" s="2002" t="e">
        <f t="shared" si="47"/>
        <v>#REF!</v>
      </c>
      <c r="CZ35" s="1999" t="e">
        <f t="shared" si="89"/>
        <v>#REF!</v>
      </c>
      <c r="DA35" s="1993" t="e">
        <f>#REF!</f>
        <v>#REF!</v>
      </c>
      <c r="DB35" s="2003">
        <f t="shared" si="49"/>
        <v>0</v>
      </c>
      <c r="DC35" s="1989" t="e">
        <f>#REF!/10^7</f>
        <v>#REF!</v>
      </c>
      <c r="DD35" s="2003">
        <f t="shared" si="50"/>
        <v>0</v>
      </c>
      <c r="DE35" s="1989" t="e">
        <f>#REF!/10^7</f>
        <v>#REF!</v>
      </c>
      <c r="DF35" s="2003">
        <f t="shared" si="51"/>
        <v>0</v>
      </c>
      <c r="DG35" s="1989" t="e">
        <f>#REF!/10^7</f>
        <v>#REF!</v>
      </c>
      <c r="DH35" s="1989" t="e">
        <f>#REF!/10^7</f>
        <v>#REF!</v>
      </c>
      <c r="DI35" s="2002" t="e">
        <f t="shared" si="52"/>
        <v>#REF!</v>
      </c>
      <c r="DJ35" s="1999" t="e">
        <f t="shared" si="90"/>
        <v>#REF!</v>
      </c>
      <c r="DK35" s="1993" t="e">
        <f>#REF!</f>
        <v>#REF!</v>
      </c>
      <c r="DL35" s="2003">
        <f t="shared" si="54"/>
        <v>0</v>
      </c>
      <c r="DM35" s="1989" t="e">
        <f>#REF!/10^7</f>
        <v>#REF!</v>
      </c>
      <c r="DN35" s="2003">
        <f t="shared" si="55"/>
        <v>0</v>
      </c>
      <c r="DO35" s="1989" t="e">
        <f>#REF!/10^7</f>
        <v>#REF!</v>
      </c>
      <c r="DP35" s="2003">
        <f t="shared" si="56"/>
        <v>0</v>
      </c>
      <c r="DQ35" s="1989" t="e">
        <f>#REF!/10^7</f>
        <v>#REF!</v>
      </c>
      <c r="DR35" s="1989" t="e">
        <f>#REF!/10^7</f>
        <v>#REF!</v>
      </c>
      <c r="DS35" s="2002" t="e">
        <f t="shared" si="57"/>
        <v>#REF!</v>
      </c>
      <c r="DT35" s="2004" t="e">
        <f t="shared" si="91"/>
        <v>#REF!</v>
      </c>
      <c r="DU35" s="1988" t="e">
        <f>#REF!</f>
        <v>#REF!</v>
      </c>
      <c r="DV35" s="2003">
        <f t="shared" si="59"/>
        <v>0</v>
      </c>
      <c r="DW35" s="1989" t="e">
        <f>#REF!/10^7</f>
        <v>#REF!</v>
      </c>
      <c r="DX35" s="2003">
        <f t="shared" si="60"/>
        <v>0</v>
      </c>
      <c r="DY35" s="1989" t="e">
        <f>#REF!/10^7</f>
        <v>#REF!</v>
      </c>
      <c r="DZ35" s="2003">
        <f t="shared" si="61"/>
        <v>0</v>
      </c>
      <c r="EA35" s="1989" t="e">
        <f>#REF!/10^7</f>
        <v>#REF!</v>
      </c>
      <c r="EB35" s="1989" t="e">
        <f>#REF!/10^7</f>
        <v>#REF!</v>
      </c>
      <c r="EC35" s="2002" t="e">
        <f t="shared" si="62"/>
        <v>#REF!</v>
      </c>
      <c r="ED35" s="1998" t="e">
        <f t="shared" si="92"/>
        <v>#REF!</v>
      </c>
      <c r="EE35" s="2005" t="e">
        <f t="shared" si="82"/>
        <v>#REF!</v>
      </c>
      <c r="EF35" s="2003">
        <f t="shared" si="64"/>
        <v>0</v>
      </c>
      <c r="EG35" s="1989" t="e">
        <f t="shared" si="79"/>
        <v>#REF!</v>
      </c>
      <c r="EH35" s="2003">
        <f t="shared" si="65"/>
        <v>0</v>
      </c>
      <c r="EI35" s="1989" t="e">
        <f t="shared" si="80"/>
        <v>#REF!</v>
      </c>
      <c r="EJ35" s="2003">
        <f t="shared" si="66"/>
        <v>0</v>
      </c>
      <c r="EK35" s="1989" t="e">
        <f t="shared" si="81"/>
        <v>#REF!</v>
      </c>
      <c r="EL35" s="1989" t="e">
        <f t="shared" si="81"/>
        <v>#REF!</v>
      </c>
      <c r="EM35" s="2006" t="e">
        <f t="shared" si="67"/>
        <v>#REF!</v>
      </c>
      <c r="EN35" s="1999" t="e">
        <f t="shared" si="83"/>
        <v>#REF!</v>
      </c>
      <c r="EP35" s="1613" t="e">
        <f>EA35-#REF!/10^7</f>
        <v>#REF!</v>
      </c>
      <c r="EW35" s="1611" t="s">
        <v>1717</v>
      </c>
      <c r="EX35" s="1612" t="s">
        <v>1667</v>
      </c>
      <c r="EZ35" s="1650">
        <f t="shared" si="69"/>
        <v>0</v>
      </c>
    </row>
    <row r="36" spans="1:156" ht="21" customHeight="1">
      <c r="A36" s="1652">
        <v>8</v>
      </c>
      <c r="B36" s="1644" t="s">
        <v>1674</v>
      </c>
      <c r="C36" s="1639">
        <v>3</v>
      </c>
      <c r="D36" s="1646">
        <f t="shared" si="76"/>
        <v>100</v>
      </c>
      <c r="E36" s="1646" t="s">
        <v>1594</v>
      </c>
      <c r="F36" s="1665">
        <v>1</v>
      </c>
      <c r="G36" s="1640"/>
      <c r="H36" s="1640">
        <v>3</v>
      </c>
      <c r="I36" s="1648" t="s">
        <v>1717</v>
      </c>
      <c r="J36" s="1649">
        <v>2</v>
      </c>
      <c r="K36" s="1648"/>
      <c r="L36" s="1640"/>
      <c r="M36" s="1640"/>
      <c r="N36" s="1642"/>
      <c r="O36" s="2000" t="e">
        <f>#REF!</f>
        <v>#REF!</v>
      </c>
      <c r="P36" s="2003">
        <f t="shared" si="93"/>
        <v>0</v>
      </c>
      <c r="Q36" s="1989" t="e">
        <f>#REF!/10^7</f>
        <v>#REF!</v>
      </c>
      <c r="R36" s="2003">
        <f t="shared" si="10"/>
        <v>0</v>
      </c>
      <c r="S36" s="1989" t="e">
        <f>#REF!/10^7</f>
        <v>#REF!</v>
      </c>
      <c r="T36" s="2003">
        <f t="shared" si="11"/>
        <v>0</v>
      </c>
      <c r="U36" s="1989" t="e">
        <f>#REF!/10^7</f>
        <v>#REF!</v>
      </c>
      <c r="V36" s="1989" t="e">
        <f>#REF!/10^7</f>
        <v>#REF!</v>
      </c>
      <c r="W36" s="1989">
        <f t="shared" si="12"/>
        <v>0</v>
      </c>
      <c r="X36" s="1999" t="e">
        <f t="shared" si="84"/>
        <v>#REF!</v>
      </c>
      <c r="Y36" s="1993" t="e">
        <f>#REF!</f>
        <v>#REF!</v>
      </c>
      <c r="Z36" s="2003">
        <f t="shared" si="14"/>
        <v>0</v>
      </c>
      <c r="AA36" s="1989" t="e">
        <f>#REF!/10^7</f>
        <v>#REF!</v>
      </c>
      <c r="AB36" s="2003">
        <f t="shared" si="15"/>
        <v>0</v>
      </c>
      <c r="AC36" s="1989" t="e">
        <f>#REF!/10^7</f>
        <v>#REF!</v>
      </c>
      <c r="AD36" s="2003">
        <f t="shared" si="16"/>
        <v>0</v>
      </c>
      <c r="AE36" s="1989" t="e">
        <f>#REF!/10^7</f>
        <v>#REF!</v>
      </c>
      <c r="AF36" s="1989" t="e">
        <f>#REF!/10^7</f>
        <v>#REF!</v>
      </c>
      <c r="AG36" s="2002" t="e">
        <f t="shared" si="17"/>
        <v>#REF!</v>
      </c>
      <c r="AH36" s="1999" t="e">
        <f t="shared" si="75"/>
        <v>#REF!</v>
      </c>
      <c r="AI36" s="1993" t="e">
        <f>#REF!</f>
        <v>#REF!</v>
      </c>
      <c r="AJ36" s="2003">
        <f t="shared" si="2"/>
        <v>0</v>
      </c>
      <c r="AK36" s="1989" t="e">
        <f>#REF!/10^7</f>
        <v>#REF!</v>
      </c>
      <c r="AL36" s="2003">
        <f t="shared" si="2"/>
        <v>0</v>
      </c>
      <c r="AM36" s="1989" t="e">
        <f>#REF!/10^7</f>
        <v>#REF!</v>
      </c>
      <c r="AN36" s="2003">
        <f t="shared" si="2"/>
        <v>0</v>
      </c>
      <c r="AO36" s="1989" t="e">
        <f>#REF!/10^7</f>
        <v>#REF!</v>
      </c>
      <c r="AP36" s="1989" t="e">
        <f>#REF!/10^7</f>
        <v>#REF!</v>
      </c>
      <c r="AQ36" s="2002" t="e">
        <f t="shared" si="19"/>
        <v>#REF!</v>
      </c>
      <c r="AR36" s="1999" t="e">
        <f t="shared" si="77"/>
        <v>#REF!</v>
      </c>
      <c r="AS36" s="1993" t="e">
        <f>#REF!</f>
        <v>#REF!</v>
      </c>
      <c r="AT36" s="2003">
        <f t="shared" si="20"/>
        <v>0</v>
      </c>
      <c r="AU36" s="1989" t="e">
        <f>#REF!/10^7</f>
        <v>#REF!</v>
      </c>
      <c r="AV36" s="2003">
        <f t="shared" si="21"/>
        <v>0</v>
      </c>
      <c r="AW36" s="1989" t="e">
        <f>#REF!/10^7</f>
        <v>#REF!</v>
      </c>
      <c r="AX36" s="2003">
        <f t="shared" si="22"/>
        <v>0</v>
      </c>
      <c r="AY36" s="1989" t="e">
        <f>#REF!/10^7</f>
        <v>#REF!</v>
      </c>
      <c r="AZ36" s="1989" t="e">
        <f>#REF!/10^7</f>
        <v>#REF!</v>
      </c>
      <c r="BA36" s="2002" t="e">
        <f t="shared" si="23"/>
        <v>#REF!</v>
      </c>
      <c r="BB36" s="1999" t="e">
        <f t="shared" si="78"/>
        <v>#REF!</v>
      </c>
      <c r="BC36" s="1993" t="e">
        <f>#REF!</f>
        <v>#REF!</v>
      </c>
      <c r="BD36" s="2003">
        <f t="shared" si="24"/>
        <v>0</v>
      </c>
      <c r="BE36" s="1989" t="e">
        <f>#REF!/10^7</f>
        <v>#REF!</v>
      </c>
      <c r="BF36" s="2003">
        <f t="shared" si="25"/>
        <v>0</v>
      </c>
      <c r="BG36" s="1989" t="e">
        <f>#REF!/10^7</f>
        <v>#REF!</v>
      </c>
      <c r="BH36" s="2003">
        <f t="shared" si="26"/>
        <v>0</v>
      </c>
      <c r="BI36" s="1989" t="e">
        <f>#REF!/10^7</f>
        <v>#REF!</v>
      </c>
      <c r="BJ36" s="1989" t="e">
        <f>#REF!/10^7</f>
        <v>#REF!</v>
      </c>
      <c r="BK36" s="2002" t="e">
        <f t="shared" si="27"/>
        <v>#REF!</v>
      </c>
      <c r="BL36" s="1999" t="e">
        <f t="shared" si="85"/>
        <v>#REF!</v>
      </c>
      <c r="BM36" s="1993" t="e">
        <f>#REF!</f>
        <v>#REF!</v>
      </c>
      <c r="BN36" s="2003">
        <f t="shared" si="29"/>
        <v>0</v>
      </c>
      <c r="BO36" s="1989" t="e">
        <f>#REF!/10^7</f>
        <v>#REF!</v>
      </c>
      <c r="BP36" s="2003">
        <f t="shared" si="30"/>
        <v>0</v>
      </c>
      <c r="BQ36" s="1989" t="e">
        <f>#REF!/10^7</f>
        <v>#REF!</v>
      </c>
      <c r="BR36" s="2003">
        <f t="shared" si="31"/>
        <v>0</v>
      </c>
      <c r="BS36" s="1989" t="e">
        <f>#REF!/10^7</f>
        <v>#REF!</v>
      </c>
      <c r="BT36" s="1989" t="e">
        <f>#REF!/10^7</f>
        <v>#REF!</v>
      </c>
      <c r="BU36" s="2002" t="e">
        <f t="shared" si="32"/>
        <v>#REF!</v>
      </c>
      <c r="BV36" s="1999" t="e">
        <f t="shared" si="86"/>
        <v>#REF!</v>
      </c>
      <c r="BW36" s="1993" t="e">
        <f>#REF!</f>
        <v>#REF!</v>
      </c>
      <c r="BX36" s="2003">
        <f t="shared" si="34"/>
        <v>0</v>
      </c>
      <c r="BY36" s="1989" t="e">
        <f>#REF!/10^7</f>
        <v>#REF!</v>
      </c>
      <c r="BZ36" s="2003">
        <f t="shared" si="35"/>
        <v>0</v>
      </c>
      <c r="CA36" s="1989" t="e">
        <f>#REF!/10^7</f>
        <v>#REF!</v>
      </c>
      <c r="CB36" s="2003">
        <f t="shared" si="36"/>
        <v>0</v>
      </c>
      <c r="CC36" s="1989" t="e">
        <f>#REF!/10^7</f>
        <v>#REF!</v>
      </c>
      <c r="CD36" s="1989" t="e">
        <f>#REF!/10^7</f>
        <v>#REF!</v>
      </c>
      <c r="CE36" s="2002" t="e">
        <f t="shared" si="37"/>
        <v>#REF!</v>
      </c>
      <c r="CF36" s="1999" t="e">
        <f t="shared" si="87"/>
        <v>#REF!</v>
      </c>
      <c r="CG36" s="1993" t="e">
        <f>#REF!</f>
        <v>#REF!</v>
      </c>
      <c r="CH36" s="2003">
        <f t="shared" si="39"/>
        <v>0</v>
      </c>
      <c r="CI36" s="1989" t="e">
        <f>#REF!/10^7</f>
        <v>#REF!</v>
      </c>
      <c r="CJ36" s="2003">
        <f t="shared" si="40"/>
        <v>0</v>
      </c>
      <c r="CK36" s="1989" t="e">
        <f>#REF!/10^7</f>
        <v>#REF!</v>
      </c>
      <c r="CL36" s="2003">
        <f t="shared" si="41"/>
        <v>0</v>
      </c>
      <c r="CM36" s="1989" t="e">
        <f>#REF!/10^7</f>
        <v>#REF!</v>
      </c>
      <c r="CN36" s="1989" t="e">
        <f>#REF!/10^7</f>
        <v>#REF!</v>
      </c>
      <c r="CO36" s="2002" t="e">
        <f t="shared" si="42"/>
        <v>#REF!</v>
      </c>
      <c r="CP36" s="1999" t="e">
        <f t="shared" si="88"/>
        <v>#REF!</v>
      </c>
      <c r="CQ36" s="1993" t="e">
        <f>#REF!</f>
        <v>#REF!</v>
      </c>
      <c r="CR36" s="2003">
        <f t="shared" si="44"/>
        <v>0</v>
      </c>
      <c r="CS36" s="1989" t="e">
        <f>#REF!/10^7</f>
        <v>#REF!</v>
      </c>
      <c r="CT36" s="2003">
        <f t="shared" si="45"/>
        <v>0</v>
      </c>
      <c r="CU36" s="1989" t="e">
        <f>#REF!/10^7</f>
        <v>#REF!</v>
      </c>
      <c r="CV36" s="2003">
        <f t="shared" si="46"/>
        <v>0</v>
      </c>
      <c r="CW36" s="1989" t="e">
        <f>#REF!/10^7</f>
        <v>#REF!</v>
      </c>
      <c r="CX36" s="1989" t="e">
        <f>#REF!/10^7</f>
        <v>#REF!</v>
      </c>
      <c r="CY36" s="2002" t="e">
        <f t="shared" si="47"/>
        <v>#REF!</v>
      </c>
      <c r="CZ36" s="1999" t="e">
        <f t="shared" si="89"/>
        <v>#REF!</v>
      </c>
      <c r="DA36" s="1993" t="e">
        <f>#REF!</f>
        <v>#REF!</v>
      </c>
      <c r="DB36" s="2003">
        <f t="shared" si="49"/>
        <v>0</v>
      </c>
      <c r="DC36" s="1989" t="e">
        <f>#REF!/10^7</f>
        <v>#REF!</v>
      </c>
      <c r="DD36" s="2003">
        <f t="shared" si="50"/>
        <v>0</v>
      </c>
      <c r="DE36" s="1989" t="e">
        <f>#REF!/10^7</f>
        <v>#REF!</v>
      </c>
      <c r="DF36" s="2003">
        <f t="shared" si="51"/>
        <v>0</v>
      </c>
      <c r="DG36" s="1989" t="e">
        <f>#REF!/10^7</f>
        <v>#REF!</v>
      </c>
      <c r="DH36" s="1989" t="e">
        <f>#REF!/10^7</f>
        <v>#REF!</v>
      </c>
      <c r="DI36" s="2002" t="e">
        <f t="shared" si="52"/>
        <v>#REF!</v>
      </c>
      <c r="DJ36" s="1999" t="e">
        <f t="shared" si="90"/>
        <v>#REF!</v>
      </c>
      <c r="DK36" s="1993" t="e">
        <f>#REF!</f>
        <v>#REF!</v>
      </c>
      <c r="DL36" s="2003">
        <f t="shared" si="54"/>
        <v>0</v>
      </c>
      <c r="DM36" s="1989" t="e">
        <f>#REF!/10^7</f>
        <v>#REF!</v>
      </c>
      <c r="DN36" s="2003">
        <f t="shared" si="55"/>
        <v>0</v>
      </c>
      <c r="DO36" s="1989" t="e">
        <f>#REF!/10^7</f>
        <v>#REF!</v>
      </c>
      <c r="DP36" s="2003">
        <f t="shared" si="56"/>
        <v>0</v>
      </c>
      <c r="DQ36" s="1989" t="e">
        <f>#REF!/10^7</f>
        <v>#REF!</v>
      </c>
      <c r="DR36" s="1989" t="e">
        <f>#REF!/10^7</f>
        <v>#REF!</v>
      </c>
      <c r="DS36" s="2002" t="e">
        <f t="shared" si="57"/>
        <v>#REF!</v>
      </c>
      <c r="DT36" s="2004" t="e">
        <f t="shared" si="91"/>
        <v>#REF!</v>
      </c>
      <c r="DU36" s="1988" t="e">
        <f>#REF!</f>
        <v>#REF!</v>
      </c>
      <c r="DV36" s="2003">
        <f t="shared" si="59"/>
        <v>0</v>
      </c>
      <c r="DW36" s="1989" t="e">
        <f>#REF!/10^7</f>
        <v>#REF!</v>
      </c>
      <c r="DX36" s="2003">
        <f t="shared" si="60"/>
        <v>0</v>
      </c>
      <c r="DY36" s="1989" t="e">
        <f>#REF!/10^7</f>
        <v>#REF!</v>
      </c>
      <c r="DZ36" s="2003">
        <f t="shared" si="61"/>
        <v>0</v>
      </c>
      <c r="EA36" s="1989" t="e">
        <f>#REF!/10^7</f>
        <v>#REF!</v>
      </c>
      <c r="EB36" s="1989" t="e">
        <f>#REF!/10^7</f>
        <v>#REF!</v>
      </c>
      <c r="EC36" s="2002" t="e">
        <f t="shared" si="62"/>
        <v>#REF!</v>
      </c>
      <c r="ED36" s="1998" t="e">
        <f t="shared" si="92"/>
        <v>#REF!</v>
      </c>
      <c r="EE36" s="2005" t="e">
        <f t="shared" si="82"/>
        <v>#REF!</v>
      </c>
      <c r="EF36" s="2003">
        <f t="shared" si="64"/>
        <v>0</v>
      </c>
      <c r="EG36" s="1989" t="e">
        <f t="shared" si="79"/>
        <v>#REF!</v>
      </c>
      <c r="EH36" s="2003">
        <f t="shared" si="65"/>
        <v>0</v>
      </c>
      <c r="EI36" s="1989" t="e">
        <f t="shared" si="80"/>
        <v>#REF!</v>
      </c>
      <c r="EJ36" s="2003">
        <f t="shared" si="66"/>
        <v>0</v>
      </c>
      <c r="EK36" s="1989" t="e">
        <f t="shared" si="81"/>
        <v>#REF!</v>
      </c>
      <c r="EL36" s="1989" t="e">
        <f t="shared" si="81"/>
        <v>#REF!</v>
      </c>
      <c r="EM36" s="2006" t="e">
        <f t="shared" si="67"/>
        <v>#REF!</v>
      </c>
      <c r="EN36" s="1999" t="e">
        <f t="shared" si="83"/>
        <v>#REF!</v>
      </c>
      <c r="EP36" s="1613" t="e">
        <f>EA36-#REF!/10^7</f>
        <v>#REF!</v>
      </c>
      <c r="EW36" s="1611" t="s">
        <v>1717</v>
      </c>
      <c r="EX36" s="1612" t="s">
        <v>1667</v>
      </c>
      <c r="EZ36" s="1650">
        <f t="shared" si="69"/>
        <v>0</v>
      </c>
    </row>
    <row r="37" spans="1:156" ht="21" customHeight="1">
      <c r="A37" s="1652"/>
      <c r="B37" s="1644" t="s">
        <v>1853</v>
      </c>
      <c r="C37" s="1639"/>
      <c r="D37" s="1640"/>
      <c r="E37" s="1640"/>
      <c r="F37" s="1640"/>
      <c r="G37" s="1640"/>
      <c r="H37" s="1640"/>
      <c r="I37" s="1648"/>
      <c r="J37" s="1649"/>
      <c r="K37" s="1648"/>
      <c r="L37" s="1640"/>
      <c r="M37" s="1640"/>
      <c r="N37" s="1642"/>
      <c r="O37" s="2000" t="e">
        <f>#REF!</f>
        <v>#REF!</v>
      </c>
      <c r="P37" s="2003">
        <f t="shared" si="93"/>
        <v>0</v>
      </c>
      <c r="Q37" s="1989" t="e">
        <f>#REF!/10^7</f>
        <v>#REF!</v>
      </c>
      <c r="R37" s="2003">
        <f t="shared" si="10"/>
        <v>0</v>
      </c>
      <c r="S37" s="1989" t="e">
        <f>#REF!/10^7</f>
        <v>#REF!</v>
      </c>
      <c r="T37" s="2003">
        <f t="shared" si="11"/>
        <v>0</v>
      </c>
      <c r="U37" s="1989" t="e">
        <f>#REF!/10^7</f>
        <v>#REF!</v>
      </c>
      <c r="V37" s="1989" t="e">
        <f>#REF!/10^7</f>
        <v>#REF!</v>
      </c>
      <c r="W37" s="1989">
        <f t="shared" si="12"/>
        <v>0</v>
      </c>
      <c r="X37" s="1999" t="e">
        <f t="shared" si="84"/>
        <v>#REF!</v>
      </c>
      <c r="Y37" s="1993" t="e">
        <f>#REF!</f>
        <v>#REF!</v>
      </c>
      <c r="Z37" s="2003">
        <f t="shared" si="14"/>
        <v>0</v>
      </c>
      <c r="AA37" s="1989" t="e">
        <f>#REF!/10^7</f>
        <v>#REF!</v>
      </c>
      <c r="AB37" s="2003">
        <f t="shared" si="15"/>
        <v>0</v>
      </c>
      <c r="AC37" s="1989" t="e">
        <f>#REF!/10^7</f>
        <v>#REF!</v>
      </c>
      <c r="AD37" s="2003">
        <f t="shared" si="16"/>
        <v>0</v>
      </c>
      <c r="AE37" s="1989" t="e">
        <f>#REF!/10^7</f>
        <v>#REF!</v>
      </c>
      <c r="AF37" s="1989" t="e">
        <f>#REF!/10^7</f>
        <v>#REF!</v>
      </c>
      <c r="AG37" s="2002" t="e">
        <f t="shared" si="17"/>
        <v>#REF!</v>
      </c>
      <c r="AH37" s="1999" t="e">
        <f t="shared" si="75"/>
        <v>#REF!</v>
      </c>
      <c r="AI37" s="1993" t="e">
        <f>#REF!</f>
        <v>#REF!</v>
      </c>
      <c r="AJ37" s="2003">
        <f t="shared" si="2"/>
        <v>0</v>
      </c>
      <c r="AK37" s="1989" t="e">
        <f>#REF!/10^7</f>
        <v>#REF!</v>
      </c>
      <c r="AL37" s="2003">
        <f t="shared" si="2"/>
        <v>0</v>
      </c>
      <c r="AM37" s="1989" t="e">
        <f>#REF!/10^7</f>
        <v>#REF!</v>
      </c>
      <c r="AN37" s="2003">
        <f t="shared" si="2"/>
        <v>0</v>
      </c>
      <c r="AO37" s="1989" t="e">
        <f>#REF!/10^7</f>
        <v>#REF!</v>
      </c>
      <c r="AP37" s="1989" t="e">
        <f>#REF!/10^7</f>
        <v>#REF!</v>
      </c>
      <c r="AQ37" s="2002" t="e">
        <f t="shared" si="19"/>
        <v>#REF!</v>
      </c>
      <c r="AR37" s="1999" t="e">
        <f t="shared" si="77"/>
        <v>#REF!</v>
      </c>
      <c r="AS37" s="1993" t="e">
        <f>#REF!</f>
        <v>#REF!</v>
      </c>
      <c r="AT37" s="2003">
        <f t="shared" si="20"/>
        <v>0</v>
      </c>
      <c r="AU37" s="1989" t="e">
        <f>#REF!/10^7</f>
        <v>#REF!</v>
      </c>
      <c r="AV37" s="2003">
        <f t="shared" si="21"/>
        <v>0</v>
      </c>
      <c r="AW37" s="1989" t="e">
        <f>#REF!/10^7</f>
        <v>#REF!</v>
      </c>
      <c r="AX37" s="2003">
        <f t="shared" si="22"/>
        <v>0</v>
      </c>
      <c r="AY37" s="1989" t="e">
        <f>#REF!/10^7</f>
        <v>#REF!</v>
      </c>
      <c r="AZ37" s="1989" t="e">
        <f>#REF!/10^7</f>
        <v>#REF!</v>
      </c>
      <c r="BA37" s="2002" t="e">
        <f t="shared" si="23"/>
        <v>#REF!</v>
      </c>
      <c r="BB37" s="1999" t="e">
        <f t="shared" si="78"/>
        <v>#REF!</v>
      </c>
      <c r="BC37" s="1993" t="e">
        <f>#REF!</f>
        <v>#REF!</v>
      </c>
      <c r="BD37" s="2003">
        <f t="shared" si="24"/>
        <v>0</v>
      </c>
      <c r="BE37" s="1989" t="e">
        <f>#REF!/10^7</f>
        <v>#REF!</v>
      </c>
      <c r="BF37" s="2003">
        <f t="shared" si="25"/>
        <v>0</v>
      </c>
      <c r="BG37" s="1989" t="e">
        <f>#REF!/10^7</f>
        <v>#REF!</v>
      </c>
      <c r="BH37" s="2003">
        <f t="shared" si="26"/>
        <v>0</v>
      </c>
      <c r="BI37" s="1989" t="e">
        <f>#REF!/10^7</f>
        <v>#REF!</v>
      </c>
      <c r="BJ37" s="1989" t="e">
        <f>#REF!/10^7</f>
        <v>#REF!</v>
      </c>
      <c r="BK37" s="2002" t="e">
        <f t="shared" si="27"/>
        <v>#REF!</v>
      </c>
      <c r="BL37" s="1999" t="e">
        <f t="shared" si="85"/>
        <v>#REF!</v>
      </c>
      <c r="BM37" s="1993" t="e">
        <f>#REF!</f>
        <v>#REF!</v>
      </c>
      <c r="BN37" s="2003">
        <f t="shared" si="29"/>
        <v>0</v>
      </c>
      <c r="BO37" s="1989" t="e">
        <f>#REF!/10^7</f>
        <v>#REF!</v>
      </c>
      <c r="BP37" s="2003">
        <f t="shared" si="30"/>
        <v>0</v>
      </c>
      <c r="BQ37" s="1989" t="e">
        <f>#REF!/10^7</f>
        <v>#REF!</v>
      </c>
      <c r="BR37" s="2003">
        <f t="shared" si="31"/>
        <v>0</v>
      </c>
      <c r="BS37" s="1989" t="e">
        <f>#REF!/10^7</f>
        <v>#REF!</v>
      </c>
      <c r="BT37" s="1989" t="e">
        <f>#REF!/10^7</f>
        <v>#REF!</v>
      </c>
      <c r="BU37" s="2002" t="e">
        <f t="shared" si="32"/>
        <v>#REF!</v>
      </c>
      <c r="BV37" s="1999" t="e">
        <f t="shared" si="86"/>
        <v>#REF!</v>
      </c>
      <c r="BW37" s="1993" t="e">
        <f>#REF!</f>
        <v>#REF!</v>
      </c>
      <c r="BX37" s="2003">
        <f t="shared" si="34"/>
        <v>0</v>
      </c>
      <c r="BY37" s="1989" t="e">
        <f>#REF!/10^7</f>
        <v>#REF!</v>
      </c>
      <c r="BZ37" s="2003">
        <f t="shared" si="35"/>
        <v>0</v>
      </c>
      <c r="CA37" s="1989" t="e">
        <f>#REF!/10^7</f>
        <v>#REF!</v>
      </c>
      <c r="CB37" s="2003">
        <f t="shared" si="36"/>
        <v>0</v>
      </c>
      <c r="CC37" s="1989" t="e">
        <f>#REF!/10^7</f>
        <v>#REF!</v>
      </c>
      <c r="CD37" s="1989" t="e">
        <f>#REF!/10^7</f>
        <v>#REF!</v>
      </c>
      <c r="CE37" s="2002" t="e">
        <f t="shared" si="37"/>
        <v>#REF!</v>
      </c>
      <c r="CF37" s="1999" t="e">
        <f t="shared" si="87"/>
        <v>#REF!</v>
      </c>
      <c r="CG37" s="1993" t="e">
        <f>#REF!</f>
        <v>#REF!</v>
      </c>
      <c r="CH37" s="2003">
        <f t="shared" si="39"/>
        <v>0</v>
      </c>
      <c r="CI37" s="1989" t="e">
        <f>#REF!/10^7</f>
        <v>#REF!</v>
      </c>
      <c r="CJ37" s="2003">
        <f t="shared" si="40"/>
        <v>0</v>
      </c>
      <c r="CK37" s="1989" t="e">
        <f>#REF!/10^7</f>
        <v>#REF!</v>
      </c>
      <c r="CL37" s="2003">
        <f t="shared" si="41"/>
        <v>0</v>
      </c>
      <c r="CM37" s="1989" t="e">
        <f>#REF!/10^7</f>
        <v>#REF!</v>
      </c>
      <c r="CN37" s="1989" t="e">
        <f>#REF!/10^7</f>
        <v>#REF!</v>
      </c>
      <c r="CO37" s="2002" t="e">
        <f t="shared" si="42"/>
        <v>#REF!</v>
      </c>
      <c r="CP37" s="1999" t="e">
        <f t="shared" si="88"/>
        <v>#REF!</v>
      </c>
      <c r="CQ37" s="1993" t="e">
        <f>#REF!</f>
        <v>#REF!</v>
      </c>
      <c r="CR37" s="2003">
        <f t="shared" si="44"/>
        <v>0</v>
      </c>
      <c r="CS37" s="1989" t="e">
        <f>#REF!/10^7</f>
        <v>#REF!</v>
      </c>
      <c r="CT37" s="2003">
        <f t="shared" si="45"/>
        <v>0</v>
      </c>
      <c r="CU37" s="1989" t="e">
        <f>#REF!/10^7</f>
        <v>#REF!</v>
      </c>
      <c r="CV37" s="2003">
        <f t="shared" si="46"/>
        <v>0</v>
      </c>
      <c r="CW37" s="1989" t="e">
        <f>#REF!/10^7</f>
        <v>#REF!</v>
      </c>
      <c r="CX37" s="1989" t="e">
        <f>#REF!/10^7</f>
        <v>#REF!</v>
      </c>
      <c r="CY37" s="2002" t="e">
        <f t="shared" si="47"/>
        <v>#REF!</v>
      </c>
      <c r="CZ37" s="1999" t="e">
        <f t="shared" si="89"/>
        <v>#REF!</v>
      </c>
      <c r="DA37" s="1993" t="e">
        <f>#REF!</f>
        <v>#REF!</v>
      </c>
      <c r="DB37" s="2003">
        <f t="shared" si="49"/>
        <v>0</v>
      </c>
      <c r="DC37" s="1989" t="e">
        <f>#REF!/10^7</f>
        <v>#REF!</v>
      </c>
      <c r="DD37" s="2003">
        <f t="shared" si="50"/>
        <v>0</v>
      </c>
      <c r="DE37" s="1989" t="e">
        <f>#REF!/10^7</f>
        <v>#REF!</v>
      </c>
      <c r="DF37" s="2003">
        <f t="shared" si="51"/>
        <v>0</v>
      </c>
      <c r="DG37" s="1989" t="e">
        <f>#REF!/10^7</f>
        <v>#REF!</v>
      </c>
      <c r="DH37" s="1989" t="e">
        <f>#REF!/10^7</f>
        <v>#REF!</v>
      </c>
      <c r="DI37" s="2002" t="e">
        <f t="shared" si="52"/>
        <v>#REF!</v>
      </c>
      <c r="DJ37" s="1999" t="e">
        <f t="shared" si="90"/>
        <v>#REF!</v>
      </c>
      <c r="DK37" s="1993" t="e">
        <f>#REF!</f>
        <v>#REF!</v>
      </c>
      <c r="DL37" s="2003">
        <f t="shared" si="54"/>
        <v>0</v>
      </c>
      <c r="DM37" s="1989" t="e">
        <f>#REF!/10^7</f>
        <v>#REF!</v>
      </c>
      <c r="DN37" s="2003">
        <f t="shared" si="55"/>
        <v>0</v>
      </c>
      <c r="DO37" s="1989" t="e">
        <f>#REF!/10^7</f>
        <v>#REF!</v>
      </c>
      <c r="DP37" s="2003">
        <f t="shared" si="56"/>
        <v>0</v>
      </c>
      <c r="DQ37" s="1989" t="e">
        <f>#REF!/10^7</f>
        <v>#REF!</v>
      </c>
      <c r="DR37" s="1989" t="e">
        <f>#REF!/10^7</f>
        <v>#REF!</v>
      </c>
      <c r="DS37" s="2002" t="e">
        <f t="shared" si="57"/>
        <v>#REF!</v>
      </c>
      <c r="DT37" s="2004" t="e">
        <f t="shared" si="91"/>
        <v>#REF!</v>
      </c>
      <c r="DU37" s="1988" t="e">
        <f>#REF!</f>
        <v>#REF!</v>
      </c>
      <c r="DV37" s="2003">
        <f t="shared" si="59"/>
        <v>0</v>
      </c>
      <c r="DW37" s="1989" t="e">
        <f>#REF!/10^7</f>
        <v>#REF!</v>
      </c>
      <c r="DX37" s="2003">
        <f t="shared" si="60"/>
        <v>0</v>
      </c>
      <c r="DY37" s="1989" t="e">
        <f>#REF!/10^7</f>
        <v>#REF!</v>
      </c>
      <c r="DZ37" s="2003">
        <f t="shared" si="61"/>
        <v>0</v>
      </c>
      <c r="EA37" s="1989" t="e">
        <f>#REF!/10^7</f>
        <v>#REF!</v>
      </c>
      <c r="EB37" s="1989" t="e">
        <f>#REF!/10^7</f>
        <v>#REF!</v>
      </c>
      <c r="EC37" s="2002" t="e">
        <f t="shared" si="62"/>
        <v>#REF!</v>
      </c>
      <c r="ED37" s="1998" t="e">
        <f t="shared" si="92"/>
        <v>#REF!</v>
      </c>
      <c r="EE37" s="2005" t="e">
        <f t="shared" si="82"/>
        <v>#REF!</v>
      </c>
      <c r="EF37" s="2003">
        <f t="shared" si="64"/>
        <v>0</v>
      </c>
      <c r="EG37" s="1989" t="e">
        <f t="shared" si="79"/>
        <v>#REF!</v>
      </c>
      <c r="EH37" s="2003">
        <f t="shared" si="65"/>
        <v>0</v>
      </c>
      <c r="EI37" s="1989" t="e">
        <f t="shared" si="80"/>
        <v>#REF!</v>
      </c>
      <c r="EJ37" s="2003">
        <f t="shared" si="66"/>
        <v>0</v>
      </c>
      <c r="EK37" s="1989" t="e">
        <f t="shared" si="81"/>
        <v>#REF!</v>
      </c>
      <c r="EL37" s="1989" t="e">
        <f t="shared" si="81"/>
        <v>#REF!</v>
      </c>
      <c r="EM37" s="2006" t="e">
        <f t="shared" si="67"/>
        <v>#REF!</v>
      </c>
      <c r="EN37" s="1999" t="e">
        <f t="shared" si="83"/>
        <v>#REF!</v>
      </c>
      <c r="EP37" s="1613" t="e">
        <f>EA37-#REF!/10^7</f>
        <v>#REF!</v>
      </c>
      <c r="EW37" s="1611" t="e">
        <v>#N/A</v>
      </c>
      <c r="EX37" s="1612" t="e">
        <v>#N/A</v>
      </c>
      <c r="EZ37" s="1650">
        <f t="shared" si="69"/>
        <v>0</v>
      </c>
    </row>
    <row r="38" spans="1:156" ht="21" customHeight="1">
      <c r="A38" s="1652"/>
      <c r="B38" s="1644"/>
      <c r="C38" s="1639"/>
      <c r="D38" s="1640"/>
      <c r="E38" s="1640"/>
      <c r="F38" s="1640"/>
      <c r="G38" s="1640"/>
      <c r="H38" s="1640"/>
      <c r="I38" s="1648"/>
      <c r="J38" s="1649"/>
      <c r="K38" s="1648"/>
      <c r="L38" s="1640"/>
      <c r="M38" s="1640"/>
      <c r="N38" s="1642"/>
      <c r="O38" s="2000" t="e">
        <f>#REF!</f>
        <v>#REF!</v>
      </c>
      <c r="P38" s="2003">
        <f t="shared" si="9"/>
        <v>0</v>
      </c>
      <c r="Q38" s="1989">
        <v>0</v>
      </c>
      <c r="R38" s="2003">
        <f t="shared" si="10"/>
        <v>0</v>
      </c>
      <c r="S38" s="1989"/>
      <c r="T38" s="2003">
        <f t="shared" si="11"/>
        <v>0</v>
      </c>
      <c r="U38" s="1989"/>
      <c r="V38" s="1989"/>
      <c r="W38" s="1989">
        <f t="shared" si="12"/>
        <v>0</v>
      </c>
      <c r="X38" s="1999">
        <f t="shared" si="84"/>
        <v>0</v>
      </c>
      <c r="Y38" s="1993"/>
      <c r="Z38" s="2003">
        <f t="shared" si="14"/>
        <v>0</v>
      </c>
      <c r="AA38" s="1989"/>
      <c r="AB38" s="2003">
        <f t="shared" si="15"/>
        <v>0</v>
      </c>
      <c r="AC38" s="1989"/>
      <c r="AD38" s="2003">
        <f t="shared" si="16"/>
        <v>0</v>
      </c>
      <c r="AE38" s="1989"/>
      <c r="AF38" s="1989"/>
      <c r="AG38" s="2002">
        <f t="shared" si="17"/>
        <v>0</v>
      </c>
      <c r="AH38" s="1999">
        <f t="shared" si="75"/>
        <v>0</v>
      </c>
      <c r="AI38" s="1993"/>
      <c r="AJ38" s="2003">
        <f t="shared" si="2"/>
        <v>0</v>
      </c>
      <c r="AK38" s="1989"/>
      <c r="AL38" s="2003">
        <f t="shared" si="2"/>
        <v>0</v>
      </c>
      <c r="AM38" s="1989"/>
      <c r="AN38" s="2003">
        <f t="shared" si="2"/>
        <v>0</v>
      </c>
      <c r="AO38" s="1989"/>
      <c r="AP38" s="1989"/>
      <c r="AQ38" s="2002">
        <f t="shared" si="19"/>
        <v>0</v>
      </c>
      <c r="AR38" s="1999">
        <f>AK38+AM38+AO38+AP38</f>
        <v>0</v>
      </c>
      <c r="AS38" s="1993"/>
      <c r="AT38" s="2003">
        <f t="shared" si="20"/>
        <v>0</v>
      </c>
      <c r="AU38" s="1989"/>
      <c r="AV38" s="2003">
        <f t="shared" si="21"/>
        <v>0</v>
      </c>
      <c r="AW38" s="1989"/>
      <c r="AX38" s="2003">
        <f t="shared" si="22"/>
        <v>0</v>
      </c>
      <c r="AY38" s="1989"/>
      <c r="AZ38" s="1989"/>
      <c r="BA38" s="2002">
        <f t="shared" si="23"/>
        <v>0</v>
      </c>
      <c r="BB38" s="1999">
        <f t="shared" si="78"/>
        <v>0</v>
      </c>
      <c r="BC38" s="1993"/>
      <c r="BD38" s="2003">
        <f t="shared" si="24"/>
        <v>0</v>
      </c>
      <c r="BE38" s="1989"/>
      <c r="BF38" s="2003">
        <f t="shared" si="25"/>
        <v>0</v>
      </c>
      <c r="BG38" s="1989"/>
      <c r="BH38" s="2003">
        <f t="shared" si="26"/>
        <v>0</v>
      </c>
      <c r="BI38" s="1989"/>
      <c r="BJ38" s="1989"/>
      <c r="BK38" s="2002">
        <f t="shared" si="27"/>
        <v>0</v>
      </c>
      <c r="BL38" s="1999">
        <f t="shared" si="85"/>
        <v>0</v>
      </c>
      <c r="BM38" s="1993"/>
      <c r="BN38" s="2003">
        <f t="shared" si="29"/>
        <v>0</v>
      </c>
      <c r="BO38" s="1989"/>
      <c r="BP38" s="2003">
        <f t="shared" si="30"/>
        <v>0</v>
      </c>
      <c r="BQ38" s="1989"/>
      <c r="BR38" s="2003">
        <f t="shared" si="31"/>
        <v>0</v>
      </c>
      <c r="BS38" s="1989"/>
      <c r="BT38" s="1989"/>
      <c r="BU38" s="2002">
        <f t="shared" si="32"/>
        <v>0</v>
      </c>
      <c r="BV38" s="1999">
        <f t="shared" si="86"/>
        <v>0</v>
      </c>
      <c r="BW38" s="1993"/>
      <c r="BX38" s="2003">
        <f t="shared" si="34"/>
        <v>0</v>
      </c>
      <c r="BY38" s="1989"/>
      <c r="BZ38" s="2003">
        <f t="shared" si="35"/>
        <v>0</v>
      </c>
      <c r="CA38" s="1989"/>
      <c r="CB38" s="2003">
        <f t="shared" si="36"/>
        <v>0</v>
      </c>
      <c r="CC38" s="1989"/>
      <c r="CD38" s="1989"/>
      <c r="CE38" s="2002">
        <f t="shared" si="37"/>
        <v>0</v>
      </c>
      <c r="CF38" s="1999">
        <f t="shared" si="87"/>
        <v>0</v>
      </c>
      <c r="CG38" s="1993"/>
      <c r="CH38" s="2003">
        <f t="shared" si="39"/>
        <v>0</v>
      </c>
      <c r="CI38" s="1989"/>
      <c r="CJ38" s="2003">
        <f t="shared" si="40"/>
        <v>0</v>
      </c>
      <c r="CK38" s="1989"/>
      <c r="CL38" s="2003">
        <f t="shared" si="41"/>
        <v>0</v>
      </c>
      <c r="CM38" s="1989"/>
      <c r="CN38" s="1989"/>
      <c r="CO38" s="2002">
        <f t="shared" si="42"/>
        <v>0</v>
      </c>
      <c r="CP38" s="1999">
        <f>CI38+CK38+CM38+CN38</f>
        <v>0</v>
      </c>
      <c r="CQ38" s="1993"/>
      <c r="CR38" s="2003">
        <f t="shared" si="44"/>
        <v>0</v>
      </c>
      <c r="CS38" s="1989"/>
      <c r="CT38" s="2003">
        <f t="shared" si="45"/>
        <v>0</v>
      </c>
      <c r="CU38" s="1989"/>
      <c r="CV38" s="2003">
        <f t="shared" si="46"/>
        <v>0</v>
      </c>
      <c r="CW38" s="1989"/>
      <c r="CX38" s="1989"/>
      <c r="CY38" s="2002">
        <f t="shared" si="47"/>
        <v>0</v>
      </c>
      <c r="CZ38" s="1999">
        <f t="shared" si="89"/>
        <v>0</v>
      </c>
      <c r="DA38" s="1993"/>
      <c r="DB38" s="2003">
        <f t="shared" si="49"/>
        <v>0</v>
      </c>
      <c r="DC38" s="1989"/>
      <c r="DD38" s="2003">
        <f t="shared" si="50"/>
        <v>0</v>
      </c>
      <c r="DE38" s="1989"/>
      <c r="DF38" s="2003">
        <f t="shared" si="51"/>
        <v>0</v>
      </c>
      <c r="DG38" s="1989"/>
      <c r="DH38" s="1989"/>
      <c r="DI38" s="2002">
        <f t="shared" si="52"/>
        <v>0</v>
      </c>
      <c r="DJ38" s="1999">
        <f t="shared" si="90"/>
        <v>0</v>
      </c>
      <c r="DK38" s="1993"/>
      <c r="DL38" s="2003">
        <f t="shared" si="54"/>
        <v>0</v>
      </c>
      <c r="DM38" s="1989"/>
      <c r="DN38" s="2003">
        <f t="shared" si="55"/>
        <v>0</v>
      </c>
      <c r="DO38" s="1989"/>
      <c r="DP38" s="2003">
        <f t="shared" si="56"/>
        <v>0</v>
      </c>
      <c r="DQ38" s="1989"/>
      <c r="DR38" s="1989"/>
      <c r="DS38" s="2002">
        <f t="shared" si="57"/>
        <v>0</v>
      </c>
      <c r="DT38" s="2004">
        <f t="shared" si="91"/>
        <v>0</v>
      </c>
      <c r="DU38" s="1988"/>
      <c r="DV38" s="2003">
        <f t="shared" si="59"/>
        <v>0</v>
      </c>
      <c r="DW38" s="1989"/>
      <c r="DX38" s="2003">
        <f t="shared" si="60"/>
        <v>0</v>
      </c>
      <c r="DY38" s="1989"/>
      <c r="DZ38" s="2003">
        <f t="shared" si="61"/>
        <v>0</v>
      </c>
      <c r="EA38" s="1989"/>
      <c r="EB38" s="1989"/>
      <c r="EC38" s="2002">
        <f t="shared" si="62"/>
        <v>0</v>
      </c>
      <c r="ED38" s="1998">
        <f t="shared" si="92"/>
        <v>0</v>
      </c>
      <c r="EE38" s="2005" t="e">
        <f t="shared" si="82"/>
        <v>#REF!</v>
      </c>
      <c r="EF38" s="2003">
        <f t="shared" si="64"/>
        <v>0</v>
      </c>
      <c r="EG38" s="1989">
        <f t="shared" si="79"/>
        <v>0</v>
      </c>
      <c r="EH38" s="2003">
        <f t="shared" si="65"/>
        <v>0</v>
      </c>
      <c r="EI38" s="1989">
        <f t="shared" si="80"/>
        <v>0</v>
      </c>
      <c r="EJ38" s="2003">
        <f t="shared" si="66"/>
        <v>0</v>
      </c>
      <c r="EK38" s="1989">
        <f t="shared" si="81"/>
        <v>0</v>
      </c>
      <c r="EL38" s="1989">
        <f t="shared" si="81"/>
        <v>0</v>
      </c>
      <c r="EM38" s="2006" t="e">
        <f t="shared" si="67"/>
        <v>#REF!</v>
      </c>
      <c r="EN38" s="1999">
        <f t="shared" si="83"/>
        <v>0</v>
      </c>
      <c r="EP38" s="1613" t="e">
        <f>EA38-#REF!/10^7</f>
        <v>#REF!</v>
      </c>
      <c r="EW38" s="1611" t="e">
        <v>#N/A</v>
      </c>
      <c r="EX38" s="1612" t="e">
        <v>#N/A</v>
      </c>
      <c r="EZ38" s="1650">
        <f t="shared" si="69"/>
        <v>0</v>
      </c>
    </row>
    <row r="39" spans="1:156" ht="21" customHeight="1">
      <c r="A39" s="1652"/>
      <c r="B39" s="1644"/>
      <c r="C39" s="1639"/>
      <c r="D39" s="1640"/>
      <c r="E39" s="1640"/>
      <c r="F39" s="1640"/>
      <c r="G39" s="1640"/>
      <c r="H39" s="1640"/>
      <c r="I39" s="1648"/>
      <c r="J39" s="1649"/>
      <c r="K39" s="1648"/>
      <c r="L39" s="1640"/>
      <c r="M39" s="1640"/>
      <c r="N39" s="1642"/>
      <c r="O39" s="2000" t="e">
        <f>#REF!</f>
        <v>#REF!</v>
      </c>
      <c r="P39" s="2003">
        <f t="shared" si="9"/>
        <v>0</v>
      </c>
      <c r="Q39" s="1989">
        <v>0</v>
      </c>
      <c r="R39" s="2003">
        <f t="shared" si="10"/>
        <v>0</v>
      </c>
      <c r="S39" s="1989"/>
      <c r="T39" s="2003">
        <f t="shared" si="11"/>
        <v>0</v>
      </c>
      <c r="U39" s="1989"/>
      <c r="V39" s="1989"/>
      <c r="W39" s="1989">
        <f t="shared" si="12"/>
        <v>0</v>
      </c>
      <c r="X39" s="1999">
        <f t="shared" si="84"/>
        <v>0</v>
      </c>
      <c r="Y39" s="1993"/>
      <c r="Z39" s="2003">
        <f t="shared" si="14"/>
        <v>0</v>
      </c>
      <c r="AA39" s="1989"/>
      <c r="AB39" s="2003">
        <f t="shared" si="15"/>
        <v>0</v>
      </c>
      <c r="AC39" s="1989"/>
      <c r="AD39" s="2003">
        <f t="shared" si="16"/>
        <v>0</v>
      </c>
      <c r="AE39" s="1989"/>
      <c r="AF39" s="1989"/>
      <c r="AG39" s="2002">
        <f t="shared" si="17"/>
        <v>0</v>
      </c>
      <c r="AH39" s="1999">
        <f t="shared" si="75"/>
        <v>0</v>
      </c>
      <c r="AI39" s="1993"/>
      <c r="AJ39" s="2003">
        <f t="shared" si="2"/>
        <v>0</v>
      </c>
      <c r="AK39" s="1989"/>
      <c r="AL39" s="2003">
        <f t="shared" si="2"/>
        <v>0</v>
      </c>
      <c r="AM39" s="1989"/>
      <c r="AN39" s="2003">
        <f t="shared" si="2"/>
        <v>0</v>
      </c>
      <c r="AO39" s="1989"/>
      <c r="AP39" s="1989"/>
      <c r="AQ39" s="2002">
        <f t="shared" si="19"/>
        <v>0</v>
      </c>
      <c r="AR39" s="1999">
        <f>AK39+AM39+AO39+AP39</f>
        <v>0</v>
      </c>
      <c r="AS39" s="1993"/>
      <c r="AT39" s="2003">
        <f t="shared" si="20"/>
        <v>0</v>
      </c>
      <c r="AU39" s="1989"/>
      <c r="AV39" s="2003">
        <f t="shared" si="21"/>
        <v>0</v>
      </c>
      <c r="AW39" s="1989"/>
      <c r="AX39" s="2003">
        <f t="shared" si="22"/>
        <v>0</v>
      </c>
      <c r="AY39" s="1989"/>
      <c r="AZ39" s="1989"/>
      <c r="BA39" s="2002">
        <f t="shared" si="23"/>
        <v>0</v>
      </c>
      <c r="BB39" s="1999">
        <f t="shared" si="78"/>
        <v>0</v>
      </c>
      <c r="BC39" s="1993"/>
      <c r="BD39" s="2003">
        <f t="shared" si="24"/>
        <v>0</v>
      </c>
      <c r="BE39" s="1989"/>
      <c r="BF39" s="2003">
        <f t="shared" si="25"/>
        <v>0</v>
      </c>
      <c r="BG39" s="1989"/>
      <c r="BH39" s="2003">
        <f t="shared" si="26"/>
        <v>0</v>
      </c>
      <c r="BI39" s="1989"/>
      <c r="BJ39" s="1989"/>
      <c r="BK39" s="2002">
        <f t="shared" si="27"/>
        <v>0</v>
      </c>
      <c r="BL39" s="1999">
        <f t="shared" si="85"/>
        <v>0</v>
      </c>
      <c r="BM39" s="1993"/>
      <c r="BN39" s="2003">
        <f t="shared" si="29"/>
        <v>0</v>
      </c>
      <c r="BO39" s="1989"/>
      <c r="BP39" s="2003">
        <f t="shared" si="30"/>
        <v>0</v>
      </c>
      <c r="BQ39" s="1989"/>
      <c r="BR39" s="2003">
        <f t="shared" si="31"/>
        <v>0</v>
      </c>
      <c r="BS39" s="1989"/>
      <c r="BT39" s="1989"/>
      <c r="BU39" s="2002">
        <f t="shared" si="32"/>
        <v>0</v>
      </c>
      <c r="BV39" s="1999">
        <f t="shared" si="86"/>
        <v>0</v>
      </c>
      <c r="BW39" s="1993"/>
      <c r="BX39" s="2003">
        <f t="shared" si="34"/>
        <v>0</v>
      </c>
      <c r="BY39" s="1989"/>
      <c r="BZ39" s="2003">
        <f t="shared" si="35"/>
        <v>0</v>
      </c>
      <c r="CA39" s="1989"/>
      <c r="CB39" s="2003">
        <f t="shared" si="36"/>
        <v>0</v>
      </c>
      <c r="CC39" s="1989"/>
      <c r="CD39" s="1989"/>
      <c r="CE39" s="2002">
        <f t="shared" si="37"/>
        <v>0</v>
      </c>
      <c r="CF39" s="1999">
        <f t="shared" si="87"/>
        <v>0</v>
      </c>
      <c r="CG39" s="1993"/>
      <c r="CH39" s="2003">
        <f t="shared" si="39"/>
        <v>0</v>
      </c>
      <c r="CI39" s="1989"/>
      <c r="CJ39" s="2003">
        <f t="shared" si="40"/>
        <v>0</v>
      </c>
      <c r="CK39" s="1989"/>
      <c r="CL39" s="2003">
        <f t="shared" si="41"/>
        <v>0</v>
      </c>
      <c r="CM39" s="1989"/>
      <c r="CN39" s="1989"/>
      <c r="CO39" s="2002">
        <f t="shared" si="42"/>
        <v>0</v>
      </c>
      <c r="CP39" s="1999">
        <f>CI39+CK39+CM39+CN39</f>
        <v>0</v>
      </c>
      <c r="CQ39" s="1993"/>
      <c r="CR39" s="2003">
        <f t="shared" si="44"/>
        <v>0</v>
      </c>
      <c r="CS39" s="1989"/>
      <c r="CT39" s="2003">
        <f t="shared" si="45"/>
        <v>0</v>
      </c>
      <c r="CU39" s="1989"/>
      <c r="CV39" s="2003">
        <f t="shared" si="46"/>
        <v>0</v>
      </c>
      <c r="CW39" s="1989"/>
      <c r="CX39" s="1989"/>
      <c r="CY39" s="2002">
        <f t="shared" si="47"/>
        <v>0</v>
      </c>
      <c r="CZ39" s="1999">
        <f t="shared" si="89"/>
        <v>0</v>
      </c>
      <c r="DA39" s="1993"/>
      <c r="DB39" s="2003">
        <f t="shared" si="49"/>
        <v>0</v>
      </c>
      <c r="DC39" s="1989"/>
      <c r="DD39" s="2003">
        <f t="shared" si="50"/>
        <v>0</v>
      </c>
      <c r="DE39" s="1989"/>
      <c r="DF39" s="2003">
        <f t="shared" si="51"/>
        <v>0</v>
      </c>
      <c r="DG39" s="1989"/>
      <c r="DH39" s="1989"/>
      <c r="DI39" s="2002">
        <f t="shared" si="52"/>
        <v>0</v>
      </c>
      <c r="DJ39" s="1999">
        <f t="shared" si="90"/>
        <v>0</v>
      </c>
      <c r="DK39" s="1993"/>
      <c r="DL39" s="2003">
        <f t="shared" si="54"/>
        <v>0</v>
      </c>
      <c r="DM39" s="1989"/>
      <c r="DN39" s="2003">
        <f t="shared" si="55"/>
        <v>0</v>
      </c>
      <c r="DO39" s="1989"/>
      <c r="DP39" s="2003">
        <f t="shared" si="56"/>
        <v>0</v>
      </c>
      <c r="DQ39" s="1989"/>
      <c r="DR39" s="1989"/>
      <c r="DS39" s="2002">
        <f t="shared" si="57"/>
        <v>0</v>
      </c>
      <c r="DT39" s="2004">
        <f t="shared" si="91"/>
        <v>0</v>
      </c>
      <c r="DU39" s="1988"/>
      <c r="DV39" s="2003">
        <f t="shared" si="59"/>
        <v>0</v>
      </c>
      <c r="DW39" s="1989"/>
      <c r="DX39" s="2003">
        <f t="shared" si="60"/>
        <v>0</v>
      </c>
      <c r="DY39" s="1989"/>
      <c r="DZ39" s="2003">
        <f t="shared" si="61"/>
        <v>0</v>
      </c>
      <c r="EA39" s="1989"/>
      <c r="EB39" s="1989"/>
      <c r="EC39" s="2002">
        <f t="shared" si="62"/>
        <v>0</v>
      </c>
      <c r="ED39" s="1998">
        <f t="shared" si="92"/>
        <v>0</v>
      </c>
      <c r="EE39" s="2005" t="e">
        <f t="shared" si="82"/>
        <v>#REF!</v>
      </c>
      <c r="EF39" s="2003">
        <f t="shared" si="64"/>
        <v>0</v>
      </c>
      <c r="EG39" s="1989">
        <f t="shared" si="79"/>
        <v>0</v>
      </c>
      <c r="EH39" s="2003">
        <f t="shared" si="65"/>
        <v>0</v>
      </c>
      <c r="EI39" s="1989">
        <f t="shared" si="80"/>
        <v>0</v>
      </c>
      <c r="EJ39" s="2003">
        <f t="shared" si="66"/>
        <v>0</v>
      </c>
      <c r="EK39" s="1989">
        <f t="shared" si="81"/>
        <v>0</v>
      </c>
      <c r="EL39" s="1989">
        <f t="shared" si="81"/>
        <v>0</v>
      </c>
      <c r="EM39" s="2006" t="e">
        <f t="shared" si="67"/>
        <v>#REF!</v>
      </c>
      <c r="EN39" s="1999">
        <f t="shared" si="83"/>
        <v>0</v>
      </c>
      <c r="EP39" s="1613" t="e">
        <f>EA39-#REF!/10^7</f>
        <v>#REF!</v>
      </c>
      <c r="EW39" s="1611" t="e">
        <v>#N/A</v>
      </c>
      <c r="EX39" s="1612" t="e">
        <v>#N/A</v>
      </c>
      <c r="EZ39" s="1650">
        <f t="shared" si="69"/>
        <v>0</v>
      </c>
    </row>
    <row r="40" spans="1:156" s="1660" customFormat="1" ht="21" customHeight="1">
      <c r="A40" s="1637"/>
      <c r="B40" s="1654" t="s">
        <v>211</v>
      </c>
      <c r="C40" s="1655"/>
      <c r="D40" s="1656"/>
      <c r="E40" s="1656"/>
      <c r="F40" s="1656"/>
      <c r="G40" s="1656"/>
      <c r="H40" s="1656">
        <f>SUM(H29:H36)</f>
        <v>454.90000000000003</v>
      </c>
      <c r="I40" s="1656"/>
      <c r="J40" s="1657"/>
      <c r="K40" s="1656"/>
      <c r="L40" s="1656"/>
      <c r="M40" s="1656"/>
      <c r="N40" s="1658"/>
      <c r="O40" s="2007" t="e">
        <f>SUM(O29:O39)</f>
        <v>#REF!</v>
      </c>
      <c r="P40" s="2003">
        <f t="shared" si="9"/>
        <v>0</v>
      </c>
      <c r="Q40" s="1826" t="e">
        <f>(SUM(Q29:Q39))</f>
        <v>#REF!</v>
      </c>
      <c r="R40" s="2003">
        <f t="shared" si="10"/>
        <v>0</v>
      </c>
      <c r="S40" s="1826" t="e">
        <f>SUM(S29:S39)</f>
        <v>#REF!</v>
      </c>
      <c r="T40" s="2003">
        <f t="shared" si="11"/>
        <v>0</v>
      </c>
      <c r="U40" s="1826" t="e">
        <f>SUM(U29:U39)</f>
        <v>#REF!</v>
      </c>
      <c r="V40" s="1826" t="e">
        <f>SUM(V29:V39)</f>
        <v>#REF!</v>
      </c>
      <c r="W40" s="1989">
        <f t="shared" si="12"/>
        <v>0</v>
      </c>
      <c r="X40" s="2008" t="e">
        <f t="shared" ref="X40:AF40" si="94">SUM(X29:X39)</f>
        <v>#REF!</v>
      </c>
      <c r="Y40" s="2007" t="e">
        <f t="shared" si="94"/>
        <v>#REF!</v>
      </c>
      <c r="Z40" s="2003">
        <f t="shared" si="14"/>
        <v>0</v>
      </c>
      <c r="AA40" s="1826" t="e">
        <f t="shared" si="94"/>
        <v>#REF!</v>
      </c>
      <c r="AB40" s="2003">
        <f t="shared" si="15"/>
        <v>0</v>
      </c>
      <c r="AC40" s="1826" t="e">
        <f t="shared" si="94"/>
        <v>#REF!</v>
      </c>
      <c r="AD40" s="2003">
        <f t="shared" si="16"/>
        <v>0</v>
      </c>
      <c r="AE40" s="1826" t="e">
        <f t="shared" si="94"/>
        <v>#REF!</v>
      </c>
      <c r="AF40" s="1826" t="e">
        <f t="shared" si="94"/>
        <v>#REF!</v>
      </c>
      <c r="AG40" s="2002" t="e">
        <f t="shared" si="17"/>
        <v>#REF!</v>
      </c>
      <c r="AH40" s="2008" t="e">
        <f t="shared" ref="AH40:AP40" si="95">SUM(AH29:AH39)</f>
        <v>#REF!</v>
      </c>
      <c r="AI40" s="2007" t="e">
        <f t="shared" si="95"/>
        <v>#REF!</v>
      </c>
      <c r="AJ40" s="2003">
        <f t="shared" si="2"/>
        <v>0</v>
      </c>
      <c r="AK40" s="1826" t="e">
        <f t="shared" si="95"/>
        <v>#REF!</v>
      </c>
      <c r="AL40" s="2003">
        <f t="shared" si="2"/>
        <v>0</v>
      </c>
      <c r="AM40" s="1826" t="e">
        <f t="shared" si="95"/>
        <v>#REF!</v>
      </c>
      <c r="AN40" s="2003">
        <f t="shared" si="2"/>
        <v>0</v>
      </c>
      <c r="AO40" s="1826" t="e">
        <f t="shared" si="95"/>
        <v>#REF!</v>
      </c>
      <c r="AP40" s="1826" t="e">
        <f t="shared" si="95"/>
        <v>#REF!</v>
      </c>
      <c r="AQ40" s="2002" t="e">
        <f t="shared" si="19"/>
        <v>#REF!</v>
      </c>
      <c r="AR40" s="2008" t="e">
        <f t="shared" ref="AR40:AZ40" si="96">SUM(AR29:AR39)</f>
        <v>#REF!</v>
      </c>
      <c r="AS40" s="2007" t="e">
        <f t="shared" si="96"/>
        <v>#REF!</v>
      </c>
      <c r="AT40" s="2003">
        <f t="shared" si="20"/>
        <v>0</v>
      </c>
      <c r="AU40" s="1826" t="e">
        <f t="shared" si="96"/>
        <v>#REF!</v>
      </c>
      <c r="AV40" s="2003">
        <f t="shared" si="21"/>
        <v>0</v>
      </c>
      <c r="AW40" s="1826" t="e">
        <f t="shared" si="96"/>
        <v>#REF!</v>
      </c>
      <c r="AX40" s="2003">
        <f t="shared" si="22"/>
        <v>0</v>
      </c>
      <c r="AY40" s="1826" t="e">
        <f t="shared" si="96"/>
        <v>#REF!</v>
      </c>
      <c r="AZ40" s="1826" t="e">
        <f t="shared" si="96"/>
        <v>#REF!</v>
      </c>
      <c r="BA40" s="2002" t="e">
        <f t="shared" si="23"/>
        <v>#REF!</v>
      </c>
      <c r="BB40" s="2008" t="e">
        <f t="shared" ref="BB40:BJ40" si="97">SUM(BB29:BB39)</f>
        <v>#REF!</v>
      </c>
      <c r="BC40" s="2007" t="e">
        <f t="shared" si="97"/>
        <v>#REF!</v>
      </c>
      <c r="BD40" s="2003">
        <f t="shared" si="24"/>
        <v>0</v>
      </c>
      <c r="BE40" s="1826" t="e">
        <f t="shared" si="97"/>
        <v>#REF!</v>
      </c>
      <c r="BF40" s="2003">
        <f t="shared" si="25"/>
        <v>0</v>
      </c>
      <c r="BG40" s="1826" t="e">
        <f t="shared" si="97"/>
        <v>#REF!</v>
      </c>
      <c r="BH40" s="2003">
        <f t="shared" si="26"/>
        <v>0</v>
      </c>
      <c r="BI40" s="1826" t="e">
        <f t="shared" si="97"/>
        <v>#REF!</v>
      </c>
      <c r="BJ40" s="1826" t="e">
        <f t="shared" si="97"/>
        <v>#REF!</v>
      </c>
      <c r="BK40" s="2002" t="e">
        <f t="shared" si="27"/>
        <v>#REF!</v>
      </c>
      <c r="BL40" s="2008" t="e">
        <f t="shared" ref="BL40:BT40" si="98">SUM(BL29:BL39)</f>
        <v>#REF!</v>
      </c>
      <c r="BM40" s="2007" t="e">
        <f t="shared" si="98"/>
        <v>#REF!</v>
      </c>
      <c r="BN40" s="2003">
        <f t="shared" si="29"/>
        <v>0</v>
      </c>
      <c r="BO40" s="1826" t="e">
        <f t="shared" si="98"/>
        <v>#REF!</v>
      </c>
      <c r="BP40" s="2003">
        <f t="shared" si="30"/>
        <v>0</v>
      </c>
      <c r="BQ40" s="1826" t="e">
        <f t="shared" si="98"/>
        <v>#REF!</v>
      </c>
      <c r="BR40" s="2003">
        <f t="shared" si="31"/>
        <v>0</v>
      </c>
      <c r="BS40" s="1826" t="e">
        <f t="shared" si="98"/>
        <v>#REF!</v>
      </c>
      <c r="BT40" s="1826" t="e">
        <f t="shared" si="98"/>
        <v>#REF!</v>
      </c>
      <c r="BU40" s="2002" t="e">
        <f t="shared" si="32"/>
        <v>#REF!</v>
      </c>
      <c r="BV40" s="2008" t="e">
        <f t="shared" ref="BV40:CD40" si="99">SUM(BV29:BV39)</f>
        <v>#REF!</v>
      </c>
      <c r="BW40" s="2007" t="e">
        <f t="shared" si="99"/>
        <v>#REF!</v>
      </c>
      <c r="BX40" s="2003">
        <f t="shared" si="34"/>
        <v>0</v>
      </c>
      <c r="BY40" s="1826" t="e">
        <f t="shared" si="99"/>
        <v>#REF!</v>
      </c>
      <c r="BZ40" s="2003">
        <f t="shared" si="35"/>
        <v>0</v>
      </c>
      <c r="CA40" s="1826" t="e">
        <f t="shared" si="99"/>
        <v>#REF!</v>
      </c>
      <c r="CB40" s="2003">
        <f t="shared" si="36"/>
        <v>0</v>
      </c>
      <c r="CC40" s="1826" t="e">
        <f t="shared" si="99"/>
        <v>#REF!</v>
      </c>
      <c r="CD40" s="1826" t="e">
        <f t="shared" si="99"/>
        <v>#REF!</v>
      </c>
      <c r="CE40" s="2002" t="e">
        <f t="shared" si="37"/>
        <v>#REF!</v>
      </c>
      <c r="CF40" s="2008" t="e">
        <f t="shared" ref="CF40:CN40" si="100">SUM(CF29:CF39)</f>
        <v>#REF!</v>
      </c>
      <c r="CG40" s="2007" t="e">
        <f t="shared" si="100"/>
        <v>#REF!</v>
      </c>
      <c r="CH40" s="2003">
        <f t="shared" si="39"/>
        <v>0</v>
      </c>
      <c r="CI40" s="1826" t="e">
        <f t="shared" si="100"/>
        <v>#REF!</v>
      </c>
      <c r="CJ40" s="2003">
        <f t="shared" si="40"/>
        <v>0</v>
      </c>
      <c r="CK40" s="1826" t="e">
        <f t="shared" si="100"/>
        <v>#REF!</v>
      </c>
      <c r="CL40" s="2003">
        <f t="shared" si="41"/>
        <v>0</v>
      </c>
      <c r="CM40" s="1826" t="e">
        <f t="shared" si="100"/>
        <v>#REF!</v>
      </c>
      <c r="CN40" s="1826" t="e">
        <f t="shared" si="100"/>
        <v>#REF!</v>
      </c>
      <c r="CO40" s="2002" t="e">
        <f t="shared" si="42"/>
        <v>#REF!</v>
      </c>
      <c r="CP40" s="2008" t="e">
        <f t="shared" ref="CP40:CX40" si="101">SUM(CP29:CP39)</f>
        <v>#REF!</v>
      </c>
      <c r="CQ40" s="2007" t="e">
        <f t="shared" si="101"/>
        <v>#REF!</v>
      </c>
      <c r="CR40" s="2003">
        <f t="shared" si="44"/>
        <v>0</v>
      </c>
      <c r="CS40" s="1826" t="e">
        <f t="shared" si="101"/>
        <v>#REF!</v>
      </c>
      <c r="CT40" s="2003">
        <f t="shared" si="45"/>
        <v>0</v>
      </c>
      <c r="CU40" s="1826" t="e">
        <f t="shared" si="101"/>
        <v>#REF!</v>
      </c>
      <c r="CV40" s="2003">
        <f t="shared" si="46"/>
        <v>0</v>
      </c>
      <c r="CW40" s="1826" t="e">
        <f t="shared" si="101"/>
        <v>#REF!</v>
      </c>
      <c r="CX40" s="1826" t="e">
        <f t="shared" si="101"/>
        <v>#REF!</v>
      </c>
      <c r="CY40" s="2002" t="e">
        <f t="shared" si="47"/>
        <v>#REF!</v>
      </c>
      <c r="CZ40" s="2008" t="e">
        <f t="shared" ref="CZ40:DH40" si="102">SUM(CZ29:CZ39)</f>
        <v>#REF!</v>
      </c>
      <c r="DA40" s="2007" t="e">
        <f t="shared" si="102"/>
        <v>#REF!</v>
      </c>
      <c r="DB40" s="2003">
        <f t="shared" si="49"/>
        <v>0</v>
      </c>
      <c r="DC40" s="1826" t="e">
        <f t="shared" si="102"/>
        <v>#REF!</v>
      </c>
      <c r="DD40" s="2003">
        <f t="shared" si="50"/>
        <v>0</v>
      </c>
      <c r="DE40" s="1826" t="e">
        <f t="shared" si="102"/>
        <v>#REF!</v>
      </c>
      <c r="DF40" s="2003">
        <f t="shared" si="51"/>
        <v>0</v>
      </c>
      <c r="DG40" s="1826" t="e">
        <f t="shared" si="102"/>
        <v>#REF!</v>
      </c>
      <c r="DH40" s="1826" t="e">
        <f t="shared" si="102"/>
        <v>#REF!</v>
      </c>
      <c r="DI40" s="2002" t="e">
        <f t="shared" si="52"/>
        <v>#REF!</v>
      </c>
      <c r="DJ40" s="2008" t="e">
        <f t="shared" ref="DJ40:DR40" si="103">SUM(DJ29:DJ39)</f>
        <v>#REF!</v>
      </c>
      <c r="DK40" s="2007" t="e">
        <f>SUM(DK29:DK39)</f>
        <v>#REF!</v>
      </c>
      <c r="DL40" s="2003">
        <f t="shared" si="54"/>
        <v>0</v>
      </c>
      <c r="DM40" s="1826" t="e">
        <f t="shared" si="103"/>
        <v>#REF!</v>
      </c>
      <c r="DN40" s="2003">
        <f t="shared" si="55"/>
        <v>0</v>
      </c>
      <c r="DO40" s="1826" t="e">
        <f t="shared" si="103"/>
        <v>#REF!</v>
      </c>
      <c r="DP40" s="2003">
        <f t="shared" si="56"/>
        <v>0</v>
      </c>
      <c r="DQ40" s="1826" t="e">
        <f t="shared" si="103"/>
        <v>#REF!</v>
      </c>
      <c r="DR40" s="1826" t="e">
        <f t="shared" si="103"/>
        <v>#REF!</v>
      </c>
      <c r="DS40" s="2002" t="e">
        <f t="shared" si="57"/>
        <v>#REF!</v>
      </c>
      <c r="DT40" s="2009" t="e">
        <f t="shared" ref="DT40:EB40" si="104">SUM(DT29:DT39)</f>
        <v>#REF!</v>
      </c>
      <c r="DU40" s="2010" t="e">
        <f t="shared" si="104"/>
        <v>#REF!</v>
      </c>
      <c r="DV40" s="2003">
        <f t="shared" si="59"/>
        <v>0</v>
      </c>
      <c r="DW40" s="1826" t="e">
        <f t="shared" si="104"/>
        <v>#REF!</v>
      </c>
      <c r="DX40" s="2003">
        <f t="shared" si="60"/>
        <v>0</v>
      </c>
      <c r="DY40" s="1826" t="e">
        <f t="shared" si="104"/>
        <v>#REF!</v>
      </c>
      <c r="DZ40" s="2003">
        <f t="shared" si="61"/>
        <v>0</v>
      </c>
      <c r="EA40" s="1826" t="e">
        <f t="shared" si="104"/>
        <v>#REF!</v>
      </c>
      <c r="EB40" s="1826" t="e">
        <f t="shared" si="104"/>
        <v>#REF!</v>
      </c>
      <c r="EC40" s="2002" t="e">
        <f t="shared" si="62"/>
        <v>#REF!</v>
      </c>
      <c r="ED40" s="1826" t="e">
        <f>SUM(ED29:ED39)</f>
        <v>#REF!</v>
      </c>
      <c r="EE40" s="2011" t="e">
        <f>SUM(EE29:EE39)</f>
        <v>#REF!</v>
      </c>
      <c r="EF40" s="2003">
        <f t="shared" si="64"/>
        <v>0</v>
      </c>
      <c r="EG40" s="1826" t="e">
        <f t="shared" ref="EG40:EN40" si="105">SUM(EG29:EG39)</f>
        <v>#REF!</v>
      </c>
      <c r="EH40" s="2003">
        <f t="shared" si="65"/>
        <v>0</v>
      </c>
      <c r="EI40" s="1826" t="e">
        <f t="shared" si="105"/>
        <v>#REF!</v>
      </c>
      <c r="EJ40" s="2003">
        <f t="shared" si="66"/>
        <v>0</v>
      </c>
      <c r="EK40" s="1826" t="e">
        <f t="shared" si="105"/>
        <v>#REF!</v>
      </c>
      <c r="EL40" s="1826" t="e">
        <f t="shared" si="105"/>
        <v>#REF!</v>
      </c>
      <c r="EM40" s="2006" t="e">
        <f t="shared" si="67"/>
        <v>#REF!</v>
      </c>
      <c r="EN40" s="2008" t="e">
        <f t="shared" si="105"/>
        <v>#REF!</v>
      </c>
      <c r="EO40" s="1659"/>
      <c r="EP40" s="1613" t="e">
        <f>EA40-#REF!/10^7</f>
        <v>#REF!</v>
      </c>
      <c r="EQ40" s="1661"/>
      <c r="EW40" s="1611" t="e">
        <v>#N/A</v>
      </c>
      <c r="EX40" s="1612">
        <v>0</v>
      </c>
      <c r="EZ40" s="1650">
        <f t="shared" si="69"/>
        <v>0</v>
      </c>
    </row>
    <row r="41" spans="1:156" ht="21" customHeight="1">
      <c r="A41" s="1652"/>
      <c r="B41" s="1644"/>
      <c r="C41" s="1662"/>
      <c r="D41" s="1648"/>
      <c r="E41" s="1648"/>
      <c r="F41" s="1648"/>
      <c r="G41" s="1648"/>
      <c r="H41" s="1648"/>
      <c r="I41" s="1648"/>
      <c r="J41" s="1663"/>
      <c r="K41" s="1648"/>
      <c r="L41" s="1648"/>
      <c r="M41" s="1648"/>
      <c r="N41" s="1642"/>
      <c r="O41" s="2000"/>
      <c r="P41" s="2003">
        <f t="shared" si="9"/>
        <v>0</v>
      </c>
      <c r="Q41" s="1989">
        <v>0</v>
      </c>
      <c r="R41" s="2003">
        <f t="shared" si="10"/>
        <v>0</v>
      </c>
      <c r="S41" s="1989"/>
      <c r="T41" s="2003">
        <f t="shared" si="11"/>
        <v>0</v>
      </c>
      <c r="U41" s="1989"/>
      <c r="V41" s="1989"/>
      <c r="W41" s="1989">
        <f t="shared" si="12"/>
        <v>0</v>
      </c>
      <c r="X41" s="1999">
        <f>Q41+S41+U41+V41</f>
        <v>0</v>
      </c>
      <c r="Y41" s="1993"/>
      <c r="Z41" s="2003">
        <f t="shared" si="14"/>
        <v>0</v>
      </c>
      <c r="AA41" s="1989"/>
      <c r="AB41" s="2003">
        <f t="shared" si="15"/>
        <v>0</v>
      </c>
      <c r="AC41" s="1989"/>
      <c r="AD41" s="2003">
        <f t="shared" si="16"/>
        <v>0</v>
      </c>
      <c r="AE41" s="1989"/>
      <c r="AF41" s="1989"/>
      <c r="AG41" s="2002">
        <f t="shared" si="17"/>
        <v>0</v>
      </c>
      <c r="AH41" s="1999">
        <f t="shared" ref="AH41:AH81" si="106">AA41+AC41+AE41+AF41</f>
        <v>0</v>
      </c>
      <c r="AI41" s="1993"/>
      <c r="AJ41" s="2003">
        <f t="shared" si="2"/>
        <v>0</v>
      </c>
      <c r="AK41" s="1989"/>
      <c r="AL41" s="2003">
        <f t="shared" si="2"/>
        <v>0</v>
      </c>
      <c r="AM41" s="1989"/>
      <c r="AN41" s="2003">
        <f t="shared" si="2"/>
        <v>0</v>
      </c>
      <c r="AO41" s="1989"/>
      <c r="AP41" s="1989"/>
      <c r="AQ41" s="2002">
        <f t="shared" si="19"/>
        <v>0</v>
      </c>
      <c r="AR41" s="1999">
        <f t="shared" ref="AR41:AR81" si="107">AK41+AM41+AO41+AP41</f>
        <v>0</v>
      </c>
      <c r="AS41" s="1993"/>
      <c r="AT41" s="2003">
        <f t="shared" si="20"/>
        <v>0</v>
      </c>
      <c r="AU41" s="1989"/>
      <c r="AV41" s="2003">
        <f t="shared" si="21"/>
        <v>0</v>
      </c>
      <c r="AW41" s="1989"/>
      <c r="AX41" s="2003">
        <f t="shared" si="22"/>
        <v>0</v>
      </c>
      <c r="AY41" s="1989"/>
      <c r="AZ41" s="1989"/>
      <c r="BA41" s="2002">
        <f t="shared" si="23"/>
        <v>0</v>
      </c>
      <c r="BB41" s="1999">
        <f t="shared" ref="BB41:BB81" si="108">AU41+AW41+AY41+AZ41</f>
        <v>0</v>
      </c>
      <c r="BC41" s="1993"/>
      <c r="BD41" s="2003">
        <f t="shared" si="24"/>
        <v>0</v>
      </c>
      <c r="BE41" s="1989"/>
      <c r="BF41" s="2003">
        <f t="shared" si="25"/>
        <v>0</v>
      </c>
      <c r="BG41" s="1989"/>
      <c r="BH41" s="2003">
        <f t="shared" si="26"/>
        <v>0</v>
      </c>
      <c r="BI41" s="1989"/>
      <c r="BJ41" s="1989"/>
      <c r="BK41" s="2002">
        <f t="shared" si="27"/>
        <v>0</v>
      </c>
      <c r="BL41" s="1999">
        <f t="shared" ref="BL41:BL81" si="109">BE41+BG41+BI41+BJ41</f>
        <v>0</v>
      </c>
      <c r="BM41" s="1993"/>
      <c r="BN41" s="2003">
        <f t="shared" si="29"/>
        <v>0</v>
      </c>
      <c r="BO41" s="1989"/>
      <c r="BP41" s="2003">
        <f t="shared" si="30"/>
        <v>0</v>
      </c>
      <c r="BQ41" s="1989"/>
      <c r="BR41" s="2003">
        <f t="shared" si="31"/>
        <v>0</v>
      </c>
      <c r="BS41" s="1989"/>
      <c r="BT41" s="1989"/>
      <c r="BU41" s="2002">
        <f t="shared" si="32"/>
        <v>0</v>
      </c>
      <c r="BV41" s="1999">
        <f t="shared" ref="BV41:BV81" si="110">BO41+BQ41+BS41+BT41</f>
        <v>0</v>
      </c>
      <c r="BW41" s="1993"/>
      <c r="BX41" s="2003">
        <f t="shared" si="34"/>
        <v>0</v>
      </c>
      <c r="BY41" s="1989"/>
      <c r="BZ41" s="2003">
        <f t="shared" si="35"/>
        <v>0</v>
      </c>
      <c r="CA41" s="1989"/>
      <c r="CB41" s="2003">
        <f t="shared" si="36"/>
        <v>0</v>
      </c>
      <c r="CC41" s="1989"/>
      <c r="CD41" s="1989"/>
      <c r="CE41" s="2002">
        <f t="shared" si="37"/>
        <v>0</v>
      </c>
      <c r="CF41" s="1999">
        <f t="shared" ref="CF41:CF81" si="111">BY41+CA41+CC41+CD41</f>
        <v>0</v>
      </c>
      <c r="CG41" s="1993"/>
      <c r="CH41" s="2003">
        <f t="shared" si="39"/>
        <v>0</v>
      </c>
      <c r="CI41" s="1989"/>
      <c r="CJ41" s="2003">
        <f t="shared" si="40"/>
        <v>0</v>
      </c>
      <c r="CK41" s="1989"/>
      <c r="CL41" s="2003">
        <f t="shared" si="41"/>
        <v>0</v>
      </c>
      <c r="CM41" s="1989"/>
      <c r="CN41" s="1989"/>
      <c r="CO41" s="2002">
        <f t="shared" si="42"/>
        <v>0</v>
      </c>
      <c r="CP41" s="1999">
        <f t="shared" ref="CP41:CP81" si="112">CI41+CK41+CM41+CN41</f>
        <v>0</v>
      </c>
      <c r="CQ41" s="1993"/>
      <c r="CR41" s="2003">
        <f t="shared" si="44"/>
        <v>0</v>
      </c>
      <c r="CS41" s="1989"/>
      <c r="CT41" s="2003">
        <f t="shared" si="45"/>
        <v>0</v>
      </c>
      <c r="CU41" s="1989"/>
      <c r="CV41" s="2003">
        <f t="shared" si="46"/>
        <v>0</v>
      </c>
      <c r="CW41" s="1989"/>
      <c r="CX41" s="1989"/>
      <c r="CY41" s="2002">
        <f t="shared" si="47"/>
        <v>0</v>
      </c>
      <c r="CZ41" s="1999">
        <f>CS41+CU41+CW41+CX41</f>
        <v>0</v>
      </c>
      <c r="DA41" s="1993"/>
      <c r="DB41" s="2003">
        <f t="shared" si="49"/>
        <v>0</v>
      </c>
      <c r="DC41" s="1989"/>
      <c r="DD41" s="2003">
        <f t="shared" si="50"/>
        <v>0</v>
      </c>
      <c r="DE41" s="1989"/>
      <c r="DF41" s="2003">
        <f t="shared" si="51"/>
        <v>0</v>
      </c>
      <c r="DG41" s="1989"/>
      <c r="DH41" s="1989"/>
      <c r="DI41" s="2002">
        <f t="shared" si="52"/>
        <v>0</v>
      </c>
      <c r="DJ41" s="1999">
        <f>DC41+DE41+DG41+DH41</f>
        <v>0</v>
      </c>
      <c r="DK41" s="1993"/>
      <c r="DL41" s="2003">
        <f t="shared" si="54"/>
        <v>0</v>
      </c>
      <c r="DM41" s="1989"/>
      <c r="DN41" s="2003">
        <f t="shared" si="55"/>
        <v>0</v>
      </c>
      <c r="DO41" s="1989"/>
      <c r="DP41" s="2003">
        <f t="shared" si="56"/>
        <v>0</v>
      </c>
      <c r="DQ41" s="1989"/>
      <c r="DR41" s="1989"/>
      <c r="DS41" s="2002">
        <f t="shared" si="57"/>
        <v>0</v>
      </c>
      <c r="DT41" s="2004">
        <f>DM41+DO41+DQ41+DR41</f>
        <v>0</v>
      </c>
      <c r="DU41" s="1988"/>
      <c r="DV41" s="2003">
        <f t="shared" si="59"/>
        <v>0</v>
      </c>
      <c r="DW41" s="1989"/>
      <c r="DX41" s="2003">
        <f t="shared" si="60"/>
        <v>0</v>
      </c>
      <c r="DY41" s="1989"/>
      <c r="DZ41" s="2003">
        <f t="shared" si="61"/>
        <v>0</v>
      </c>
      <c r="EA41" s="1989"/>
      <c r="EB41" s="1989"/>
      <c r="EC41" s="2002">
        <f t="shared" si="62"/>
        <v>0</v>
      </c>
      <c r="ED41" s="1998">
        <f>DW41+DY41+EA41+EB41</f>
        <v>0</v>
      </c>
      <c r="EE41" s="2005"/>
      <c r="EF41" s="2003">
        <f t="shared" si="64"/>
        <v>0</v>
      </c>
      <c r="EG41" s="1989"/>
      <c r="EH41" s="2003">
        <f t="shared" si="65"/>
        <v>0</v>
      </c>
      <c r="EI41" s="1989"/>
      <c r="EJ41" s="2003">
        <f t="shared" si="66"/>
        <v>0</v>
      </c>
      <c r="EK41" s="1989"/>
      <c r="EL41" s="1989"/>
      <c r="EM41" s="2006">
        <f t="shared" si="67"/>
        <v>0</v>
      </c>
      <c r="EN41" s="1999"/>
      <c r="EP41" s="1613" t="e">
        <f>EA41-#REF!/10^7</f>
        <v>#REF!</v>
      </c>
      <c r="EW41" s="1611" t="e">
        <v>#N/A</v>
      </c>
      <c r="EX41" s="1612" t="e">
        <v>#N/A</v>
      </c>
      <c r="EZ41" s="1650">
        <f t="shared" si="69"/>
        <v>0</v>
      </c>
    </row>
    <row r="42" spans="1:156" ht="21" customHeight="1">
      <c r="A42" s="1652" t="s">
        <v>24</v>
      </c>
      <c r="B42" s="1638" t="s">
        <v>1675</v>
      </c>
      <c r="C42" s="1662"/>
      <c r="D42" s="1648"/>
      <c r="E42" s="1648"/>
      <c r="F42" s="1648"/>
      <c r="G42" s="1648"/>
      <c r="H42" s="1648"/>
      <c r="I42" s="1648"/>
      <c r="J42" s="1663"/>
      <c r="K42" s="1648"/>
      <c r="L42" s="1648"/>
      <c r="M42" s="1648"/>
      <c r="N42" s="1642"/>
      <c r="O42" s="2000"/>
      <c r="P42" s="2003">
        <f t="shared" si="9"/>
        <v>0</v>
      </c>
      <c r="Q42" s="1989">
        <v>0</v>
      </c>
      <c r="R42" s="2003">
        <f t="shared" si="10"/>
        <v>0</v>
      </c>
      <c r="S42" s="1989"/>
      <c r="T42" s="2003">
        <f t="shared" si="11"/>
        <v>0</v>
      </c>
      <c r="U42" s="1989"/>
      <c r="V42" s="1989"/>
      <c r="W42" s="1989">
        <f t="shared" si="12"/>
        <v>0</v>
      </c>
      <c r="X42" s="1999">
        <f>Q42+S42+U42+V42</f>
        <v>0</v>
      </c>
      <c r="Y42" s="1993"/>
      <c r="Z42" s="2003">
        <f t="shared" si="14"/>
        <v>0</v>
      </c>
      <c r="AA42" s="1989"/>
      <c r="AB42" s="2003">
        <f t="shared" si="15"/>
        <v>0</v>
      </c>
      <c r="AC42" s="1989"/>
      <c r="AD42" s="2003">
        <f t="shared" si="16"/>
        <v>0</v>
      </c>
      <c r="AE42" s="1989"/>
      <c r="AF42" s="1989"/>
      <c r="AG42" s="2002">
        <f t="shared" si="17"/>
        <v>0</v>
      </c>
      <c r="AH42" s="1999">
        <f t="shared" si="106"/>
        <v>0</v>
      </c>
      <c r="AI42" s="1993"/>
      <c r="AJ42" s="2003">
        <f t="shared" si="2"/>
        <v>0</v>
      </c>
      <c r="AK42" s="1989"/>
      <c r="AL42" s="2003">
        <f t="shared" si="2"/>
        <v>0</v>
      </c>
      <c r="AM42" s="1989"/>
      <c r="AN42" s="2003">
        <f t="shared" si="2"/>
        <v>0</v>
      </c>
      <c r="AO42" s="1989"/>
      <c r="AP42" s="1989"/>
      <c r="AQ42" s="2002">
        <f t="shared" si="19"/>
        <v>0</v>
      </c>
      <c r="AR42" s="1999">
        <f t="shared" si="107"/>
        <v>0</v>
      </c>
      <c r="AS42" s="1993"/>
      <c r="AT42" s="2003">
        <f t="shared" si="20"/>
        <v>0</v>
      </c>
      <c r="AU42" s="1989"/>
      <c r="AV42" s="2003">
        <f t="shared" si="21"/>
        <v>0</v>
      </c>
      <c r="AW42" s="1989"/>
      <c r="AX42" s="2003">
        <f t="shared" si="22"/>
        <v>0</v>
      </c>
      <c r="AY42" s="1989"/>
      <c r="AZ42" s="1989"/>
      <c r="BA42" s="2002">
        <f t="shared" si="23"/>
        <v>0</v>
      </c>
      <c r="BB42" s="1999">
        <f t="shared" si="108"/>
        <v>0</v>
      </c>
      <c r="BC42" s="1993"/>
      <c r="BD42" s="2003">
        <f t="shared" si="24"/>
        <v>0</v>
      </c>
      <c r="BE42" s="1989"/>
      <c r="BF42" s="2003">
        <f t="shared" si="25"/>
        <v>0</v>
      </c>
      <c r="BG42" s="1989"/>
      <c r="BH42" s="2003">
        <f t="shared" si="26"/>
        <v>0</v>
      </c>
      <c r="BI42" s="1989"/>
      <c r="BJ42" s="1989"/>
      <c r="BK42" s="2002">
        <f t="shared" si="27"/>
        <v>0</v>
      </c>
      <c r="BL42" s="1999">
        <f t="shared" si="109"/>
        <v>0</v>
      </c>
      <c r="BM42" s="1993"/>
      <c r="BN42" s="2003">
        <f t="shared" si="29"/>
        <v>0</v>
      </c>
      <c r="BO42" s="1989"/>
      <c r="BP42" s="2003">
        <f t="shared" si="30"/>
        <v>0</v>
      </c>
      <c r="BQ42" s="1989"/>
      <c r="BR42" s="2003">
        <f t="shared" si="31"/>
        <v>0</v>
      </c>
      <c r="BS42" s="1989"/>
      <c r="BT42" s="1989"/>
      <c r="BU42" s="2002">
        <f t="shared" si="32"/>
        <v>0</v>
      </c>
      <c r="BV42" s="1999">
        <f t="shared" si="110"/>
        <v>0</v>
      </c>
      <c r="BW42" s="1993"/>
      <c r="BX42" s="2003">
        <f t="shared" si="34"/>
        <v>0</v>
      </c>
      <c r="BY42" s="1989"/>
      <c r="BZ42" s="2003">
        <f t="shared" si="35"/>
        <v>0</v>
      </c>
      <c r="CA42" s="1989"/>
      <c r="CB42" s="2003">
        <f t="shared" si="36"/>
        <v>0</v>
      </c>
      <c r="CC42" s="1989"/>
      <c r="CD42" s="1989"/>
      <c r="CE42" s="2002">
        <f t="shared" si="37"/>
        <v>0</v>
      </c>
      <c r="CF42" s="1999">
        <f t="shared" si="111"/>
        <v>0</v>
      </c>
      <c r="CG42" s="1993"/>
      <c r="CH42" s="2003">
        <f t="shared" si="39"/>
        <v>0</v>
      </c>
      <c r="CI42" s="1989"/>
      <c r="CJ42" s="2003">
        <f t="shared" si="40"/>
        <v>0</v>
      </c>
      <c r="CK42" s="1989"/>
      <c r="CL42" s="2003">
        <f t="shared" si="41"/>
        <v>0</v>
      </c>
      <c r="CM42" s="1989"/>
      <c r="CN42" s="1989"/>
      <c r="CO42" s="2002">
        <f t="shared" si="42"/>
        <v>0</v>
      </c>
      <c r="CP42" s="1999">
        <f t="shared" si="112"/>
        <v>0</v>
      </c>
      <c r="CQ42" s="1993"/>
      <c r="CR42" s="2003">
        <f t="shared" si="44"/>
        <v>0</v>
      </c>
      <c r="CS42" s="1989"/>
      <c r="CT42" s="2003">
        <f t="shared" si="45"/>
        <v>0</v>
      </c>
      <c r="CU42" s="1989"/>
      <c r="CV42" s="2003">
        <f t="shared" si="46"/>
        <v>0</v>
      </c>
      <c r="CW42" s="1989"/>
      <c r="CX42" s="1989"/>
      <c r="CY42" s="2002">
        <f t="shared" si="47"/>
        <v>0</v>
      </c>
      <c r="CZ42" s="1999">
        <f>CS42+CU42+CW42+CX42</f>
        <v>0</v>
      </c>
      <c r="DA42" s="1993"/>
      <c r="DB42" s="2003">
        <f t="shared" si="49"/>
        <v>0</v>
      </c>
      <c r="DC42" s="1989"/>
      <c r="DD42" s="2003">
        <f t="shared" si="50"/>
        <v>0</v>
      </c>
      <c r="DE42" s="1989"/>
      <c r="DF42" s="2003">
        <f t="shared" si="51"/>
        <v>0</v>
      </c>
      <c r="DG42" s="1989"/>
      <c r="DH42" s="1989"/>
      <c r="DI42" s="2002">
        <f t="shared" si="52"/>
        <v>0</v>
      </c>
      <c r="DJ42" s="1999">
        <f>DC42+DE42+DG42+DH42</f>
        <v>0</v>
      </c>
      <c r="DK42" s="1993"/>
      <c r="DL42" s="2003">
        <f t="shared" si="54"/>
        <v>0</v>
      </c>
      <c r="DM42" s="1989"/>
      <c r="DN42" s="2003">
        <f t="shared" si="55"/>
        <v>0</v>
      </c>
      <c r="DO42" s="1989"/>
      <c r="DP42" s="2003">
        <f t="shared" si="56"/>
        <v>0</v>
      </c>
      <c r="DQ42" s="1989"/>
      <c r="DR42" s="1989"/>
      <c r="DS42" s="2002">
        <f t="shared" si="57"/>
        <v>0</v>
      </c>
      <c r="DT42" s="2004">
        <f>DM42+DO42+DQ42+DR42</f>
        <v>0</v>
      </c>
      <c r="DU42" s="1988"/>
      <c r="DV42" s="2003">
        <f t="shared" si="59"/>
        <v>0</v>
      </c>
      <c r="DW42" s="1989"/>
      <c r="DX42" s="2003">
        <f t="shared" si="60"/>
        <v>0</v>
      </c>
      <c r="DY42" s="1989"/>
      <c r="DZ42" s="2003">
        <f t="shared" si="61"/>
        <v>0</v>
      </c>
      <c r="EA42" s="1989"/>
      <c r="EB42" s="1989"/>
      <c r="EC42" s="2002">
        <f t="shared" si="62"/>
        <v>0</v>
      </c>
      <c r="ED42" s="1998">
        <f>DW42+DY42+EA42+EB42</f>
        <v>0</v>
      </c>
      <c r="EE42" s="2005"/>
      <c r="EF42" s="2003">
        <f t="shared" si="64"/>
        <v>0</v>
      </c>
      <c r="EG42" s="1989"/>
      <c r="EH42" s="2003">
        <f t="shared" si="65"/>
        <v>0</v>
      </c>
      <c r="EI42" s="1989"/>
      <c r="EJ42" s="2003">
        <f t="shared" si="66"/>
        <v>0</v>
      </c>
      <c r="EK42" s="1989"/>
      <c r="EL42" s="1989"/>
      <c r="EM42" s="2006">
        <f t="shared" si="67"/>
        <v>0</v>
      </c>
      <c r="EN42" s="1999"/>
      <c r="EP42" s="1613" t="e">
        <f>EA42-#REF!/10^7</f>
        <v>#REF!</v>
      </c>
      <c r="EW42" s="1611" t="e">
        <v>#N/A</v>
      </c>
      <c r="EX42" s="1612">
        <v>0</v>
      </c>
      <c r="EZ42" s="1650">
        <f t="shared" si="69"/>
        <v>0</v>
      </c>
    </row>
    <row r="43" spans="1:156" ht="21" customHeight="1">
      <c r="A43" s="1652" t="s">
        <v>19</v>
      </c>
      <c r="B43" s="1638" t="s">
        <v>1676</v>
      </c>
      <c r="C43" s="1662"/>
      <c r="D43" s="1648"/>
      <c r="E43" s="1648"/>
      <c r="F43" s="1648"/>
      <c r="G43" s="1648"/>
      <c r="H43" s="1648"/>
      <c r="I43" s="1648"/>
      <c r="J43" s="1649"/>
      <c r="K43" s="1648"/>
      <c r="L43" s="1648"/>
      <c r="M43" s="1648"/>
      <c r="N43" s="1642"/>
      <c r="O43" s="2000"/>
      <c r="P43" s="2003">
        <f t="shared" si="9"/>
        <v>0</v>
      </c>
      <c r="Q43" s="1989">
        <v>0</v>
      </c>
      <c r="R43" s="2003">
        <f t="shared" si="10"/>
        <v>0</v>
      </c>
      <c r="S43" s="1989"/>
      <c r="T43" s="2003">
        <f t="shared" si="11"/>
        <v>0</v>
      </c>
      <c r="U43" s="1989"/>
      <c r="V43" s="1989"/>
      <c r="W43" s="1989">
        <f t="shared" si="12"/>
        <v>0</v>
      </c>
      <c r="X43" s="1999">
        <f>Q43+S43+U43+V43</f>
        <v>0</v>
      </c>
      <c r="Y43" s="1993"/>
      <c r="Z43" s="2003">
        <f t="shared" si="14"/>
        <v>0</v>
      </c>
      <c r="AA43" s="1989"/>
      <c r="AB43" s="2003">
        <f t="shared" si="15"/>
        <v>0</v>
      </c>
      <c r="AC43" s="1989"/>
      <c r="AD43" s="2003">
        <f t="shared" si="16"/>
        <v>0</v>
      </c>
      <c r="AE43" s="1989"/>
      <c r="AF43" s="1989"/>
      <c r="AG43" s="2002">
        <f t="shared" si="17"/>
        <v>0</v>
      </c>
      <c r="AH43" s="1999">
        <f t="shared" si="106"/>
        <v>0</v>
      </c>
      <c r="AI43" s="1993"/>
      <c r="AJ43" s="2003">
        <f t="shared" si="2"/>
        <v>0</v>
      </c>
      <c r="AK43" s="1989"/>
      <c r="AL43" s="2003">
        <f t="shared" si="2"/>
        <v>0</v>
      </c>
      <c r="AM43" s="1989"/>
      <c r="AN43" s="2003">
        <f t="shared" si="2"/>
        <v>0</v>
      </c>
      <c r="AO43" s="1989"/>
      <c r="AP43" s="1989"/>
      <c r="AQ43" s="2002">
        <f t="shared" si="19"/>
        <v>0</v>
      </c>
      <c r="AR43" s="1999">
        <f t="shared" si="107"/>
        <v>0</v>
      </c>
      <c r="AS43" s="1993"/>
      <c r="AT43" s="2003">
        <f t="shared" si="20"/>
        <v>0</v>
      </c>
      <c r="AU43" s="1989"/>
      <c r="AV43" s="2003">
        <f t="shared" si="21"/>
        <v>0</v>
      </c>
      <c r="AW43" s="1989"/>
      <c r="AX43" s="2003">
        <f t="shared" si="22"/>
        <v>0</v>
      </c>
      <c r="AY43" s="1989"/>
      <c r="AZ43" s="1989"/>
      <c r="BA43" s="2002">
        <f t="shared" si="23"/>
        <v>0</v>
      </c>
      <c r="BB43" s="1999">
        <f t="shared" si="108"/>
        <v>0</v>
      </c>
      <c r="BC43" s="1993"/>
      <c r="BD43" s="2003">
        <f t="shared" si="24"/>
        <v>0</v>
      </c>
      <c r="BE43" s="1989"/>
      <c r="BF43" s="2003">
        <f t="shared" si="25"/>
        <v>0</v>
      </c>
      <c r="BG43" s="1989"/>
      <c r="BH43" s="2003">
        <f t="shared" si="26"/>
        <v>0</v>
      </c>
      <c r="BI43" s="1989"/>
      <c r="BJ43" s="1989"/>
      <c r="BK43" s="2002">
        <f t="shared" si="27"/>
        <v>0</v>
      </c>
      <c r="BL43" s="1999">
        <f t="shared" si="109"/>
        <v>0</v>
      </c>
      <c r="BM43" s="1993"/>
      <c r="BN43" s="2003">
        <f t="shared" si="29"/>
        <v>0</v>
      </c>
      <c r="BO43" s="1989"/>
      <c r="BP43" s="2003">
        <f t="shared" si="30"/>
        <v>0</v>
      </c>
      <c r="BQ43" s="1989"/>
      <c r="BR43" s="2003">
        <f t="shared" si="31"/>
        <v>0</v>
      </c>
      <c r="BS43" s="1989"/>
      <c r="BT43" s="1989"/>
      <c r="BU43" s="2002">
        <f t="shared" si="32"/>
        <v>0</v>
      </c>
      <c r="BV43" s="1999">
        <f t="shared" si="110"/>
        <v>0</v>
      </c>
      <c r="BW43" s="1993"/>
      <c r="BX43" s="2003">
        <f t="shared" si="34"/>
        <v>0</v>
      </c>
      <c r="BY43" s="1989"/>
      <c r="BZ43" s="2003">
        <f t="shared" si="35"/>
        <v>0</v>
      </c>
      <c r="CA43" s="1989"/>
      <c r="CB43" s="2003">
        <f t="shared" si="36"/>
        <v>0</v>
      </c>
      <c r="CC43" s="1989"/>
      <c r="CD43" s="1989"/>
      <c r="CE43" s="2002">
        <f t="shared" si="37"/>
        <v>0</v>
      </c>
      <c r="CF43" s="1999">
        <f t="shared" si="111"/>
        <v>0</v>
      </c>
      <c r="CG43" s="1993"/>
      <c r="CH43" s="2003">
        <f t="shared" si="39"/>
        <v>0</v>
      </c>
      <c r="CI43" s="1989"/>
      <c r="CJ43" s="2003">
        <f t="shared" si="40"/>
        <v>0</v>
      </c>
      <c r="CK43" s="1989"/>
      <c r="CL43" s="2003">
        <f t="shared" si="41"/>
        <v>0</v>
      </c>
      <c r="CM43" s="1989"/>
      <c r="CN43" s="1989"/>
      <c r="CO43" s="2002">
        <f t="shared" si="42"/>
        <v>0</v>
      </c>
      <c r="CP43" s="1999">
        <f t="shared" si="112"/>
        <v>0</v>
      </c>
      <c r="CQ43" s="1993"/>
      <c r="CR43" s="2003">
        <f t="shared" si="44"/>
        <v>0</v>
      </c>
      <c r="CS43" s="1989"/>
      <c r="CT43" s="2003">
        <f t="shared" si="45"/>
        <v>0</v>
      </c>
      <c r="CU43" s="1989"/>
      <c r="CV43" s="2003">
        <f t="shared" si="46"/>
        <v>0</v>
      </c>
      <c r="CW43" s="1989"/>
      <c r="CX43" s="1989"/>
      <c r="CY43" s="2002">
        <f t="shared" si="47"/>
        <v>0</v>
      </c>
      <c r="CZ43" s="1999">
        <f>CS43+CU43+CW43+CX43</f>
        <v>0</v>
      </c>
      <c r="DA43" s="1993"/>
      <c r="DB43" s="2003">
        <f t="shared" si="49"/>
        <v>0</v>
      </c>
      <c r="DC43" s="1989"/>
      <c r="DD43" s="2003">
        <f t="shared" si="50"/>
        <v>0</v>
      </c>
      <c r="DE43" s="1989"/>
      <c r="DF43" s="2003">
        <f t="shared" si="51"/>
        <v>0</v>
      </c>
      <c r="DG43" s="1989"/>
      <c r="DH43" s="1989"/>
      <c r="DI43" s="2002">
        <f t="shared" si="52"/>
        <v>0</v>
      </c>
      <c r="DJ43" s="1999">
        <f>DC43+DE43+DG43+DH43</f>
        <v>0</v>
      </c>
      <c r="DK43" s="1993"/>
      <c r="DL43" s="2003">
        <f t="shared" si="54"/>
        <v>0</v>
      </c>
      <c r="DM43" s="1989"/>
      <c r="DN43" s="2003">
        <f t="shared" si="55"/>
        <v>0</v>
      </c>
      <c r="DO43" s="1989"/>
      <c r="DP43" s="2003">
        <f t="shared" si="56"/>
        <v>0</v>
      </c>
      <c r="DQ43" s="1989"/>
      <c r="DR43" s="1989"/>
      <c r="DS43" s="2002">
        <f t="shared" si="57"/>
        <v>0</v>
      </c>
      <c r="DT43" s="2004">
        <f>DM43+DO43+DQ43+DR43</f>
        <v>0</v>
      </c>
      <c r="DU43" s="1988"/>
      <c r="DV43" s="2003">
        <f t="shared" si="59"/>
        <v>0</v>
      </c>
      <c r="DW43" s="1989"/>
      <c r="DX43" s="2003">
        <f t="shared" si="60"/>
        <v>0</v>
      </c>
      <c r="DY43" s="1989"/>
      <c r="DZ43" s="2003">
        <f t="shared" si="61"/>
        <v>0</v>
      </c>
      <c r="EA43" s="1989"/>
      <c r="EB43" s="1989"/>
      <c r="EC43" s="2002">
        <f t="shared" si="62"/>
        <v>0</v>
      </c>
      <c r="ED43" s="1998">
        <f>DW43+DY43+EA43+EB43</f>
        <v>0</v>
      </c>
      <c r="EE43" s="2005"/>
      <c r="EF43" s="2003">
        <f t="shared" si="64"/>
        <v>0</v>
      </c>
      <c r="EG43" s="1989"/>
      <c r="EH43" s="2003">
        <f t="shared" si="65"/>
        <v>0</v>
      </c>
      <c r="EI43" s="1989"/>
      <c r="EJ43" s="2003">
        <f t="shared" si="66"/>
        <v>0</v>
      </c>
      <c r="EK43" s="1989"/>
      <c r="EL43" s="1989"/>
      <c r="EM43" s="2006">
        <f t="shared" si="67"/>
        <v>0</v>
      </c>
      <c r="EN43" s="1999"/>
      <c r="EP43" s="1613" t="e">
        <f>EA43-#REF!/10^7</f>
        <v>#REF!</v>
      </c>
      <c r="EW43" s="1611" t="e">
        <v>#N/A</v>
      </c>
      <c r="EX43" s="1612">
        <v>0</v>
      </c>
      <c r="EZ43" s="1650">
        <f t="shared" si="69"/>
        <v>0</v>
      </c>
    </row>
    <row r="44" spans="1:156" ht="21" customHeight="1">
      <c r="A44" s="1652">
        <v>1</v>
      </c>
      <c r="B44" s="1668" t="s">
        <v>1677</v>
      </c>
      <c r="C44" s="1645">
        <v>419</v>
      </c>
      <c r="D44" s="1646">
        <f t="shared" ref="D44:D78" si="113">H44/C44*100</f>
        <v>21.766109785202865</v>
      </c>
      <c r="E44" s="1646">
        <v>86.200999999999993</v>
      </c>
      <c r="F44" s="1665">
        <v>2.75</v>
      </c>
      <c r="G44" s="1640"/>
      <c r="H44" s="1640">
        <v>91.2</v>
      </c>
      <c r="I44" s="1648" t="s">
        <v>1649</v>
      </c>
      <c r="J44" s="1649">
        <v>1</v>
      </c>
      <c r="K44" s="1648"/>
      <c r="L44" s="1640"/>
      <c r="M44" s="1640"/>
      <c r="N44" s="1642"/>
      <c r="O44" s="2000" t="e">
        <f>#REF!</f>
        <v>#REF!</v>
      </c>
      <c r="P44" s="2003">
        <f t="shared" si="9"/>
        <v>0</v>
      </c>
      <c r="Q44" s="1989" t="e">
        <f>#REF!/10^7</f>
        <v>#REF!</v>
      </c>
      <c r="R44" s="2003">
        <f t="shared" si="10"/>
        <v>0</v>
      </c>
      <c r="S44" s="1989" t="e">
        <f>#REF!/10^7</f>
        <v>#REF!</v>
      </c>
      <c r="T44" s="2003">
        <f t="shared" si="11"/>
        <v>0</v>
      </c>
      <c r="U44" s="1989" t="e">
        <f>#REF!/10^7</f>
        <v>#REF!</v>
      </c>
      <c r="V44" s="1989" t="e">
        <f>#REF!/10^7</f>
        <v>#REF!</v>
      </c>
      <c r="W44" s="1989">
        <f t="shared" si="12"/>
        <v>0</v>
      </c>
      <c r="X44" s="1999" t="e">
        <f t="shared" ref="X44:X81" si="114">Q44+S44+U44+V44</f>
        <v>#REF!</v>
      </c>
      <c r="Y44" s="1993" t="e">
        <f>#REF!</f>
        <v>#REF!</v>
      </c>
      <c r="Z44" s="2003">
        <f t="shared" si="14"/>
        <v>0</v>
      </c>
      <c r="AA44" s="1989" t="e">
        <f>#REF!/10^7</f>
        <v>#REF!</v>
      </c>
      <c r="AB44" s="2003">
        <f t="shared" si="15"/>
        <v>0</v>
      </c>
      <c r="AC44" s="1989" t="e">
        <f>#REF!/10^7</f>
        <v>#REF!</v>
      </c>
      <c r="AD44" s="2003">
        <f t="shared" si="16"/>
        <v>0</v>
      </c>
      <c r="AE44" s="1989" t="e">
        <f>#REF!/10^7</f>
        <v>#REF!</v>
      </c>
      <c r="AF44" s="1989" t="e">
        <f>#REF!/10^7</f>
        <v>#REF!</v>
      </c>
      <c r="AG44" s="2002" t="e">
        <f t="shared" si="17"/>
        <v>#REF!</v>
      </c>
      <c r="AH44" s="1999" t="e">
        <f t="shared" si="106"/>
        <v>#REF!</v>
      </c>
      <c r="AI44" s="1993" t="e">
        <f>#REF!</f>
        <v>#REF!</v>
      </c>
      <c r="AJ44" s="2003">
        <f t="shared" si="2"/>
        <v>0</v>
      </c>
      <c r="AK44" s="1989" t="e">
        <f>#REF!/10^7</f>
        <v>#REF!</v>
      </c>
      <c r="AL44" s="2003">
        <f t="shared" si="2"/>
        <v>0</v>
      </c>
      <c r="AM44" s="1989" t="e">
        <f>#REF!/10^7</f>
        <v>#REF!</v>
      </c>
      <c r="AN44" s="2003">
        <f t="shared" si="2"/>
        <v>0</v>
      </c>
      <c r="AO44" s="1989" t="e">
        <f>#REF!/10^7</f>
        <v>#REF!</v>
      </c>
      <c r="AP44" s="1989" t="e">
        <f>#REF!/10^7</f>
        <v>#REF!</v>
      </c>
      <c r="AQ44" s="2002" t="e">
        <f t="shared" si="19"/>
        <v>#REF!</v>
      </c>
      <c r="AR44" s="1999" t="e">
        <f t="shared" si="107"/>
        <v>#REF!</v>
      </c>
      <c r="AS44" s="1993" t="e">
        <f>#REF!</f>
        <v>#REF!</v>
      </c>
      <c r="AT44" s="2003">
        <f t="shared" si="20"/>
        <v>0</v>
      </c>
      <c r="AU44" s="1989" t="e">
        <f>#REF!/10^7</f>
        <v>#REF!</v>
      </c>
      <c r="AV44" s="2003">
        <f t="shared" si="21"/>
        <v>0</v>
      </c>
      <c r="AW44" s="1989" t="e">
        <f>#REF!/10^7</f>
        <v>#REF!</v>
      </c>
      <c r="AX44" s="2003">
        <f t="shared" si="22"/>
        <v>0</v>
      </c>
      <c r="AY44" s="1989" t="e">
        <f>#REF!/10^7</f>
        <v>#REF!</v>
      </c>
      <c r="AZ44" s="1989" t="e">
        <f>#REF!/10^7</f>
        <v>#REF!</v>
      </c>
      <c r="BA44" s="2002" t="e">
        <f t="shared" si="23"/>
        <v>#REF!</v>
      </c>
      <c r="BB44" s="1999" t="e">
        <f t="shared" si="108"/>
        <v>#REF!</v>
      </c>
      <c r="BC44" s="1993" t="e">
        <f>#REF!</f>
        <v>#REF!</v>
      </c>
      <c r="BD44" s="2003">
        <f t="shared" si="24"/>
        <v>0</v>
      </c>
      <c r="BE44" s="1989" t="e">
        <f>#REF!/10^7</f>
        <v>#REF!</v>
      </c>
      <c r="BF44" s="2003">
        <f t="shared" si="25"/>
        <v>0</v>
      </c>
      <c r="BG44" s="1989" t="e">
        <f>#REF!/10^7</f>
        <v>#REF!</v>
      </c>
      <c r="BH44" s="2003">
        <f t="shared" si="26"/>
        <v>0</v>
      </c>
      <c r="BI44" s="1989" t="e">
        <f>#REF!/10^7</f>
        <v>#REF!</v>
      </c>
      <c r="BJ44" s="1989" t="e">
        <f>#REF!/10^7</f>
        <v>#REF!</v>
      </c>
      <c r="BK44" s="2002" t="e">
        <f t="shared" si="27"/>
        <v>#REF!</v>
      </c>
      <c r="BL44" s="1999" t="e">
        <f t="shared" si="109"/>
        <v>#REF!</v>
      </c>
      <c r="BM44" s="1993" t="e">
        <f>#REF!</f>
        <v>#REF!</v>
      </c>
      <c r="BN44" s="2003">
        <f t="shared" si="29"/>
        <v>0</v>
      </c>
      <c r="BO44" s="1989" t="e">
        <f>#REF!/10^7</f>
        <v>#REF!</v>
      </c>
      <c r="BP44" s="2003">
        <f t="shared" si="30"/>
        <v>0</v>
      </c>
      <c r="BQ44" s="1989" t="e">
        <f>#REF!/10^7</f>
        <v>#REF!</v>
      </c>
      <c r="BR44" s="2003">
        <f t="shared" si="31"/>
        <v>0</v>
      </c>
      <c r="BS44" s="1989" t="e">
        <f>#REF!/10^7</f>
        <v>#REF!</v>
      </c>
      <c r="BT44" s="1989" t="e">
        <f>#REF!/10^7</f>
        <v>#REF!</v>
      </c>
      <c r="BU44" s="2002" t="e">
        <f t="shared" si="32"/>
        <v>#REF!</v>
      </c>
      <c r="BV44" s="1999" t="e">
        <f t="shared" si="110"/>
        <v>#REF!</v>
      </c>
      <c r="BW44" s="1993" t="e">
        <f>#REF!</f>
        <v>#REF!</v>
      </c>
      <c r="BX44" s="2003">
        <f t="shared" si="34"/>
        <v>0</v>
      </c>
      <c r="BY44" s="1989" t="e">
        <f>#REF!/10^7</f>
        <v>#REF!</v>
      </c>
      <c r="BZ44" s="2003">
        <f t="shared" si="35"/>
        <v>0</v>
      </c>
      <c r="CA44" s="1989" t="e">
        <f>#REF!/10^7</f>
        <v>#REF!</v>
      </c>
      <c r="CB44" s="2003">
        <f t="shared" si="36"/>
        <v>0</v>
      </c>
      <c r="CC44" s="1989" t="e">
        <f>#REF!/10^7</f>
        <v>#REF!</v>
      </c>
      <c r="CD44" s="1989" t="e">
        <f>#REF!/10^7</f>
        <v>#REF!</v>
      </c>
      <c r="CE44" s="2002" t="e">
        <f t="shared" si="37"/>
        <v>#REF!</v>
      </c>
      <c r="CF44" s="1999" t="e">
        <f t="shared" si="111"/>
        <v>#REF!</v>
      </c>
      <c r="CG44" s="1993" t="e">
        <f>#REF!</f>
        <v>#REF!</v>
      </c>
      <c r="CH44" s="2003">
        <f t="shared" si="39"/>
        <v>0</v>
      </c>
      <c r="CI44" s="1989" t="e">
        <f>#REF!/10^7</f>
        <v>#REF!</v>
      </c>
      <c r="CJ44" s="2003">
        <f t="shared" si="40"/>
        <v>0</v>
      </c>
      <c r="CK44" s="1989" t="e">
        <f>#REF!/10^7</f>
        <v>#REF!</v>
      </c>
      <c r="CL44" s="2003">
        <f t="shared" si="41"/>
        <v>0</v>
      </c>
      <c r="CM44" s="1989" t="e">
        <f>#REF!/10^7</f>
        <v>#REF!</v>
      </c>
      <c r="CN44" s="1989" t="e">
        <f>#REF!/10^7</f>
        <v>#REF!</v>
      </c>
      <c r="CO44" s="2002" t="e">
        <f t="shared" si="42"/>
        <v>#REF!</v>
      </c>
      <c r="CP44" s="1999" t="e">
        <f t="shared" si="112"/>
        <v>#REF!</v>
      </c>
      <c r="CQ44" s="1993" t="e">
        <f>#REF!</f>
        <v>#REF!</v>
      </c>
      <c r="CR44" s="2003">
        <f t="shared" si="44"/>
        <v>0</v>
      </c>
      <c r="CS44" s="1989" t="e">
        <f>#REF!/10^7</f>
        <v>#REF!</v>
      </c>
      <c r="CT44" s="2003">
        <f t="shared" si="45"/>
        <v>0</v>
      </c>
      <c r="CU44" s="1989" t="e">
        <f>#REF!/10^7</f>
        <v>#REF!</v>
      </c>
      <c r="CV44" s="2003">
        <f t="shared" si="46"/>
        <v>0</v>
      </c>
      <c r="CW44" s="1989" t="e">
        <f>#REF!/10^7</f>
        <v>#REF!</v>
      </c>
      <c r="CX44" s="1989" t="e">
        <f>#REF!/10^7</f>
        <v>#REF!</v>
      </c>
      <c r="CY44" s="2002" t="e">
        <f t="shared" si="47"/>
        <v>#REF!</v>
      </c>
      <c r="CZ44" s="1999" t="e">
        <f t="shared" ref="CZ44:CZ81" si="115">CS44+CU44+CW44+CX44</f>
        <v>#REF!</v>
      </c>
      <c r="DA44" s="1993" t="e">
        <f>#REF!</f>
        <v>#REF!</v>
      </c>
      <c r="DB44" s="2003">
        <f t="shared" si="49"/>
        <v>0</v>
      </c>
      <c r="DC44" s="1989" t="e">
        <f>#REF!/10^7</f>
        <v>#REF!</v>
      </c>
      <c r="DD44" s="2003">
        <f t="shared" si="50"/>
        <v>0</v>
      </c>
      <c r="DE44" s="1989" t="e">
        <f>#REF!/10^7</f>
        <v>#REF!</v>
      </c>
      <c r="DF44" s="2003">
        <f t="shared" si="51"/>
        <v>0</v>
      </c>
      <c r="DG44" s="1989" t="e">
        <f>#REF!/10^7</f>
        <v>#REF!</v>
      </c>
      <c r="DH44" s="1989" t="e">
        <f>#REF!/10^7</f>
        <v>#REF!</v>
      </c>
      <c r="DI44" s="2002" t="e">
        <f t="shared" si="52"/>
        <v>#REF!</v>
      </c>
      <c r="DJ44" s="1999" t="e">
        <f t="shared" ref="DJ44:DJ81" si="116">DC44+DE44+DG44+DH44</f>
        <v>#REF!</v>
      </c>
      <c r="DK44" s="1993" t="e">
        <f>#REF!</f>
        <v>#REF!</v>
      </c>
      <c r="DL44" s="2003">
        <f t="shared" si="54"/>
        <v>0</v>
      </c>
      <c r="DM44" s="1989" t="e">
        <f>#REF!/10^7</f>
        <v>#REF!</v>
      </c>
      <c r="DN44" s="2003">
        <f t="shared" si="55"/>
        <v>0</v>
      </c>
      <c r="DO44" s="1989" t="e">
        <f>#REF!/10^7</f>
        <v>#REF!</v>
      </c>
      <c r="DP44" s="2003">
        <f t="shared" si="56"/>
        <v>0</v>
      </c>
      <c r="DQ44" s="1989" t="e">
        <f>#REF!/10^7</f>
        <v>#REF!</v>
      </c>
      <c r="DR44" s="1989" t="e">
        <f>#REF!/10^7</f>
        <v>#REF!</v>
      </c>
      <c r="DS44" s="2002" t="e">
        <f t="shared" si="57"/>
        <v>#REF!</v>
      </c>
      <c r="DT44" s="2004" t="e">
        <f t="shared" ref="DT44:DT81" si="117">DM44+DO44+DQ44+DR44</f>
        <v>#REF!</v>
      </c>
      <c r="DU44" s="1988" t="e">
        <f>#REF!</f>
        <v>#REF!</v>
      </c>
      <c r="DV44" s="2003">
        <f t="shared" si="59"/>
        <v>0</v>
      </c>
      <c r="DW44" s="1989" t="e">
        <f>#REF!/10^7</f>
        <v>#REF!</v>
      </c>
      <c r="DX44" s="2003">
        <f t="shared" si="60"/>
        <v>0</v>
      </c>
      <c r="DY44" s="1989" t="e">
        <f>#REF!/10^7</f>
        <v>#REF!</v>
      </c>
      <c r="DZ44" s="2003">
        <f t="shared" si="61"/>
        <v>0</v>
      </c>
      <c r="EA44" s="1989" t="e">
        <f>#REF!/10^7</f>
        <v>#REF!</v>
      </c>
      <c r="EB44" s="1989" t="e">
        <f>#REF!/10^7</f>
        <v>#REF!</v>
      </c>
      <c r="EC44" s="2002" t="e">
        <f t="shared" si="62"/>
        <v>#REF!</v>
      </c>
      <c r="ED44" s="1998" t="e">
        <f t="shared" ref="ED44:ED81" si="118">DW44+DY44+EA44+EB44</f>
        <v>#REF!</v>
      </c>
      <c r="EE44" s="2005" t="e">
        <f>O44+Y44+AI44+AS44+BC44+BM44+BW44+CG44+CQ44+DA44+DK44+DU44</f>
        <v>#REF!</v>
      </c>
      <c r="EF44" s="2003">
        <f t="shared" si="64"/>
        <v>0</v>
      </c>
      <c r="EG44" s="1989" t="e">
        <f t="shared" ref="EG44:EG81" si="119">Q44+AA44+AK44+AU44+BE44+BO44+BY44+CI44+CS44+DC44+DM44+DW44</f>
        <v>#REF!</v>
      </c>
      <c r="EH44" s="2003">
        <f t="shared" si="65"/>
        <v>0</v>
      </c>
      <c r="EI44" s="1989" t="e">
        <f t="shared" ref="EI44:EI81" si="120">S44+AC44+AM44+AW44+BG44+BQ44+CA44+CK44+CU44+DE44+DO44+DY44</f>
        <v>#REF!</v>
      </c>
      <c r="EJ44" s="2003">
        <f t="shared" si="66"/>
        <v>0</v>
      </c>
      <c r="EK44" s="1989" t="e">
        <f t="shared" ref="EK44:EL81" si="121">U44+AE44+AO44+AY44+BI44+BS44+CC44+CM44+CW44+DG44+DQ44+EA44</f>
        <v>#REF!</v>
      </c>
      <c r="EL44" s="1989" t="e">
        <f t="shared" si="121"/>
        <v>#REF!</v>
      </c>
      <c r="EM44" s="2006" t="e">
        <f t="shared" si="67"/>
        <v>#REF!</v>
      </c>
      <c r="EN44" s="1999" t="e">
        <f>EG44+EI44+EK44+EL44</f>
        <v>#REF!</v>
      </c>
      <c r="EP44" s="1613" t="e">
        <f>EA44-#REF!/10^7</f>
        <v>#REF!</v>
      </c>
      <c r="EW44" s="1611" t="s">
        <v>1649</v>
      </c>
      <c r="EX44" s="1612" t="s">
        <v>1649</v>
      </c>
      <c r="EZ44" s="1650">
        <f t="shared" si="69"/>
        <v>0</v>
      </c>
    </row>
    <row r="45" spans="1:156" ht="21" customHeight="1">
      <c r="A45" s="1652">
        <v>2</v>
      </c>
      <c r="B45" s="1668" t="s">
        <v>1678</v>
      </c>
      <c r="C45" s="1645">
        <v>663</v>
      </c>
      <c r="D45" s="1646">
        <f t="shared" si="113"/>
        <v>32.076923076923073</v>
      </c>
      <c r="E45" s="1646">
        <v>94.954999999999998</v>
      </c>
      <c r="F45" s="1665">
        <v>2.75</v>
      </c>
      <c r="G45" s="1640"/>
      <c r="H45" s="1640">
        <v>212.67</v>
      </c>
      <c r="I45" s="1648" t="s">
        <v>1649</v>
      </c>
      <c r="J45" s="1649">
        <v>2</v>
      </c>
      <c r="K45" s="1648"/>
      <c r="L45" s="1640"/>
      <c r="M45" s="1640"/>
      <c r="N45" s="1642"/>
      <c r="O45" s="2000" t="e">
        <f>#REF!</f>
        <v>#REF!</v>
      </c>
      <c r="P45" s="2003">
        <f t="shared" si="9"/>
        <v>0</v>
      </c>
      <c r="Q45" s="1989" t="e">
        <f>#REF!/10^7</f>
        <v>#REF!</v>
      </c>
      <c r="R45" s="2003">
        <f t="shared" si="10"/>
        <v>0</v>
      </c>
      <c r="S45" s="1989" t="e">
        <f>#REF!/10^7</f>
        <v>#REF!</v>
      </c>
      <c r="T45" s="2003">
        <f t="shared" si="11"/>
        <v>0</v>
      </c>
      <c r="U45" s="1989" t="e">
        <f>#REF!/10^7</f>
        <v>#REF!</v>
      </c>
      <c r="V45" s="1989" t="e">
        <f>#REF!/10^7</f>
        <v>#REF!</v>
      </c>
      <c r="W45" s="1989">
        <f t="shared" si="12"/>
        <v>0</v>
      </c>
      <c r="X45" s="1999" t="e">
        <f t="shared" si="114"/>
        <v>#REF!</v>
      </c>
      <c r="Y45" s="1993" t="e">
        <f>#REF!</f>
        <v>#REF!</v>
      </c>
      <c r="Z45" s="2003">
        <f t="shared" si="14"/>
        <v>0</v>
      </c>
      <c r="AA45" s="1989" t="e">
        <f>#REF!/10^7</f>
        <v>#REF!</v>
      </c>
      <c r="AB45" s="2003">
        <f t="shared" si="15"/>
        <v>0</v>
      </c>
      <c r="AC45" s="1989" t="e">
        <f>#REF!/10^7</f>
        <v>#REF!</v>
      </c>
      <c r="AD45" s="2003">
        <f t="shared" si="16"/>
        <v>0</v>
      </c>
      <c r="AE45" s="1989" t="e">
        <f>#REF!/10^7</f>
        <v>#REF!</v>
      </c>
      <c r="AF45" s="1989" t="e">
        <f>#REF!/10^7</f>
        <v>#REF!</v>
      </c>
      <c r="AG45" s="2002" t="e">
        <f t="shared" si="17"/>
        <v>#REF!</v>
      </c>
      <c r="AH45" s="1999" t="e">
        <f t="shared" si="106"/>
        <v>#REF!</v>
      </c>
      <c r="AI45" s="1993" t="e">
        <f>#REF!</f>
        <v>#REF!</v>
      </c>
      <c r="AJ45" s="2003">
        <f t="shared" si="2"/>
        <v>0</v>
      </c>
      <c r="AK45" s="1989" t="e">
        <f>#REF!/10^7</f>
        <v>#REF!</v>
      </c>
      <c r="AL45" s="2003">
        <f t="shared" si="2"/>
        <v>0</v>
      </c>
      <c r="AM45" s="1989" t="e">
        <f>#REF!/10^7</f>
        <v>#REF!</v>
      </c>
      <c r="AN45" s="2003">
        <f t="shared" si="2"/>
        <v>0</v>
      </c>
      <c r="AO45" s="1989" t="e">
        <f>#REF!/10^7</f>
        <v>#REF!</v>
      </c>
      <c r="AP45" s="1989" t="e">
        <f>#REF!/10^7</f>
        <v>#REF!</v>
      </c>
      <c r="AQ45" s="2002" t="e">
        <f t="shared" si="19"/>
        <v>#REF!</v>
      </c>
      <c r="AR45" s="1999" t="e">
        <f t="shared" si="107"/>
        <v>#REF!</v>
      </c>
      <c r="AS45" s="1993" t="e">
        <f>#REF!</f>
        <v>#REF!</v>
      </c>
      <c r="AT45" s="2003">
        <f t="shared" si="20"/>
        <v>0</v>
      </c>
      <c r="AU45" s="1989" t="e">
        <f>#REF!/10^7</f>
        <v>#REF!</v>
      </c>
      <c r="AV45" s="2003">
        <f t="shared" si="21"/>
        <v>0</v>
      </c>
      <c r="AW45" s="1989" t="e">
        <f>#REF!/10^7</f>
        <v>#REF!</v>
      </c>
      <c r="AX45" s="2003">
        <f t="shared" si="22"/>
        <v>0</v>
      </c>
      <c r="AY45" s="1989" t="e">
        <f>#REF!/10^7</f>
        <v>#REF!</v>
      </c>
      <c r="AZ45" s="1989" t="e">
        <f>#REF!/10^7</f>
        <v>#REF!</v>
      </c>
      <c r="BA45" s="2002" t="e">
        <f t="shared" si="23"/>
        <v>#REF!</v>
      </c>
      <c r="BB45" s="1999" t="e">
        <f t="shared" si="108"/>
        <v>#REF!</v>
      </c>
      <c r="BC45" s="1993" t="e">
        <f>#REF!</f>
        <v>#REF!</v>
      </c>
      <c r="BD45" s="2003">
        <f t="shared" si="24"/>
        <v>0</v>
      </c>
      <c r="BE45" s="1989" t="e">
        <f>#REF!/10^7</f>
        <v>#REF!</v>
      </c>
      <c r="BF45" s="2003">
        <f t="shared" si="25"/>
        <v>0</v>
      </c>
      <c r="BG45" s="1989" t="e">
        <f>#REF!/10^7</f>
        <v>#REF!</v>
      </c>
      <c r="BH45" s="2003">
        <f t="shared" si="26"/>
        <v>0</v>
      </c>
      <c r="BI45" s="1989" t="e">
        <f>#REF!/10^7</f>
        <v>#REF!</v>
      </c>
      <c r="BJ45" s="1989" t="e">
        <f>#REF!/10^7</f>
        <v>#REF!</v>
      </c>
      <c r="BK45" s="2002" t="e">
        <f t="shared" si="27"/>
        <v>#REF!</v>
      </c>
      <c r="BL45" s="1999" t="e">
        <f t="shared" si="109"/>
        <v>#REF!</v>
      </c>
      <c r="BM45" s="1993" t="e">
        <f>#REF!</f>
        <v>#REF!</v>
      </c>
      <c r="BN45" s="2003">
        <f t="shared" si="29"/>
        <v>0</v>
      </c>
      <c r="BO45" s="1989" t="e">
        <f>#REF!/10^7</f>
        <v>#REF!</v>
      </c>
      <c r="BP45" s="2003">
        <f t="shared" si="30"/>
        <v>0</v>
      </c>
      <c r="BQ45" s="1989" t="e">
        <f>#REF!/10^7</f>
        <v>#REF!</v>
      </c>
      <c r="BR45" s="2003">
        <f t="shared" si="31"/>
        <v>0</v>
      </c>
      <c r="BS45" s="1989" t="e">
        <f>#REF!/10^7</f>
        <v>#REF!</v>
      </c>
      <c r="BT45" s="1989" t="e">
        <f>#REF!/10^7</f>
        <v>#REF!</v>
      </c>
      <c r="BU45" s="2002" t="e">
        <f t="shared" si="32"/>
        <v>#REF!</v>
      </c>
      <c r="BV45" s="1999" t="e">
        <f t="shared" si="110"/>
        <v>#REF!</v>
      </c>
      <c r="BW45" s="1993" t="e">
        <f>#REF!</f>
        <v>#REF!</v>
      </c>
      <c r="BX45" s="2003">
        <f t="shared" si="34"/>
        <v>0</v>
      </c>
      <c r="BY45" s="1989" t="e">
        <f>#REF!/10^7</f>
        <v>#REF!</v>
      </c>
      <c r="BZ45" s="2003">
        <f t="shared" si="35"/>
        <v>0</v>
      </c>
      <c r="CA45" s="1989" t="e">
        <f>#REF!/10^7</f>
        <v>#REF!</v>
      </c>
      <c r="CB45" s="2003">
        <f t="shared" si="36"/>
        <v>0</v>
      </c>
      <c r="CC45" s="1989" t="e">
        <f>#REF!/10^7</f>
        <v>#REF!</v>
      </c>
      <c r="CD45" s="1989" t="e">
        <f>#REF!/10^7</f>
        <v>#REF!</v>
      </c>
      <c r="CE45" s="2002" t="e">
        <f t="shared" si="37"/>
        <v>#REF!</v>
      </c>
      <c r="CF45" s="1999" t="e">
        <f t="shared" si="111"/>
        <v>#REF!</v>
      </c>
      <c r="CG45" s="1993" t="e">
        <f>#REF!</f>
        <v>#REF!</v>
      </c>
      <c r="CH45" s="2003">
        <f t="shared" si="39"/>
        <v>0</v>
      </c>
      <c r="CI45" s="1989" t="e">
        <f>#REF!/10^7</f>
        <v>#REF!</v>
      </c>
      <c r="CJ45" s="2003">
        <f t="shared" si="40"/>
        <v>0</v>
      </c>
      <c r="CK45" s="1989" t="e">
        <f>#REF!/10^7</f>
        <v>#REF!</v>
      </c>
      <c r="CL45" s="2003">
        <f t="shared" si="41"/>
        <v>0</v>
      </c>
      <c r="CM45" s="1989" t="e">
        <f>#REF!/10^7</f>
        <v>#REF!</v>
      </c>
      <c r="CN45" s="1989" t="e">
        <f>#REF!/10^7</f>
        <v>#REF!</v>
      </c>
      <c r="CO45" s="2002" t="e">
        <f t="shared" si="42"/>
        <v>#REF!</v>
      </c>
      <c r="CP45" s="1999" t="e">
        <f t="shared" si="112"/>
        <v>#REF!</v>
      </c>
      <c r="CQ45" s="1993" t="e">
        <f>#REF!</f>
        <v>#REF!</v>
      </c>
      <c r="CR45" s="2003">
        <f t="shared" si="44"/>
        <v>0</v>
      </c>
      <c r="CS45" s="1989" t="e">
        <f>#REF!/10^7</f>
        <v>#REF!</v>
      </c>
      <c r="CT45" s="2003">
        <f t="shared" si="45"/>
        <v>0</v>
      </c>
      <c r="CU45" s="1989" t="e">
        <f>#REF!/10^7</f>
        <v>#REF!</v>
      </c>
      <c r="CV45" s="2003">
        <f t="shared" si="46"/>
        <v>0</v>
      </c>
      <c r="CW45" s="1989" t="e">
        <f>#REF!/10^7</f>
        <v>#REF!</v>
      </c>
      <c r="CX45" s="1989" t="e">
        <f>#REF!/10^7</f>
        <v>#REF!</v>
      </c>
      <c r="CY45" s="2002" t="e">
        <f t="shared" si="47"/>
        <v>#REF!</v>
      </c>
      <c r="CZ45" s="1999" t="e">
        <f t="shared" si="115"/>
        <v>#REF!</v>
      </c>
      <c r="DA45" s="1993" t="e">
        <f>#REF!</f>
        <v>#REF!</v>
      </c>
      <c r="DB45" s="2003">
        <f t="shared" si="49"/>
        <v>0</v>
      </c>
      <c r="DC45" s="1989" t="e">
        <f>#REF!/10^7</f>
        <v>#REF!</v>
      </c>
      <c r="DD45" s="2003">
        <f t="shared" si="50"/>
        <v>0</v>
      </c>
      <c r="DE45" s="1989" t="e">
        <f>#REF!/10^7</f>
        <v>#REF!</v>
      </c>
      <c r="DF45" s="2003">
        <f t="shared" si="51"/>
        <v>0</v>
      </c>
      <c r="DG45" s="1989" t="e">
        <f>#REF!/10^7</f>
        <v>#REF!</v>
      </c>
      <c r="DH45" s="1989" t="e">
        <f>#REF!/10^7</f>
        <v>#REF!</v>
      </c>
      <c r="DI45" s="2002" t="e">
        <f t="shared" si="52"/>
        <v>#REF!</v>
      </c>
      <c r="DJ45" s="1999" t="e">
        <f t="shared" si="116"/>
        <v>#REF!</v>
      </c>
      <c r="DK45" s="1993" t="e">
        <f>#REF!</f>
        <v>#REF!</v>
      </c>
      <c r="DL45" s="2003">
        <f t="shared" si="54"/>
        <v>0</v>
      </c>
      <c r="DM45" s="1989" t="e">
        <f>#REF!/10^7</f>
        <v>#REF!</v>
      </c>
      <c r="DN45" s="2003">
        <f t="shared" si="55"/>
        <v>0</v>
      </c>
      <c r="DO45" s="1989" t="e">
        <f>#REF!/10^7</f>
        <v>#REF!</v>
      </c>
      <c r="DP45" s="2003">
        <f t="shared" si="56"/>
        <v>0</v>
      </c>
      <c r="DQ45" s="1989" t="e">
        <f>#REF!/10^7</f>
        <v>#REF!</v>
      </c>
      <c r="DR45" s="1989" t="e">
        <f>#REF!/10^7</f>
        <v>#REF!</v>
      </c>
      <c r="DS45" s="2002" t="e">
        <f t="shared" si="57"/>
        <v>#REF!</v>
      </c>
      <c r="DT45" s="2004" t="e">
        <f t="shared" si="117"/>
        <v>#REF!</v>
      </c>
      <c r="DU45" s="1988" t="e">
        <f>#REF!</f>
        <v>#REF!</v>
      </c>
      <c r="DV45" s="2003">
        <f t="shared" si="59"/>
        <v>0</v>
      </c>
      <c r="DW45" s="1989" t="e">
        <f>#REF!/10^7</f>
        <v>#REF!</v>
      </c>
      <c r="DX45" s="2003">
        <f t="shared" si="60"/>
        <v>0</v>
      </c>
      <c r="DY45" s="1989" t="e">
        <f>#REF!/10^7</f>
        <v>#REF!</v>
      </c>
      <c r="DZ45" s="2003">
        <f t="shared" si="61"/>
        <v>0</v>
      </c>
      <c r="EA45" s="1989" t="e">
        <f>#REF!/10^7</f>
        <v>#REF!</v>
      </c>
      <c r="EB45" s="1989" t="e">
        <f>#REF!/10^7</f>
        <v>#REF!</v>
      </c>
      <c r="EC45" s="2002" t="e">
        <f t="shared" si="62"/>
        <v>#REF!</v>
      </c>
      <c r="ED45" s="1998" t="e">
        <f t="shared" si="118"/>
        <v>#REF!</v>
      </c>
      <c r="EE45" s="2005" t="e">
        <f t="shared" ref="EE45:EE81" si="122">O45+Y45+AI45+AS45+BC45+BM45+BW45+CG45+CQ45+DA45+DK45+DU45</f>
        <v>#REF!</v>
      </c>
      <c r="EF45" s="2003">
        <f t="shared" si="64"/>
        <v>0</v>
      </c>
      <c r="EG45" s="1989" t="e">
        <f t="shared" si="119"/>
        <v>#REF!</v>
      </c>
      <c r="EH45" s="2003">
        <f t="shared" si="65"/>
        <v>0</v>
      </c>
      <c r="EI45" s="1989" t="e">
        <f t="shared" si="120"/>
        <v>#REF!</v>
      </c>
      <c r="EJ45" s="2003">
        <f t="shared" si="66"/>
        <v>0</v>
      </c>
      <c r="EK45" s="1989" t="e">
        <f t="shared" si="121"/>
        <v>#REF!</v>
      </c>
      <c r="EL45" s="1989" t="e">
        <f t="shared" si="121"/>
        <v>#REF!</v>
      </c>
      <c r="EM45" s="2006" t="e">
        <f t="shared" si="67"/>
        <v>#REF!</v>
      </c>
      <c r="EN45" s="1999" t="e">
        <f t="shared" ref="EN45:EN79" si="123">EG45+EI45+EK45+EL45</f>
        <v>#REF!</v>
      </c>
      <c r="EP45" s="1613" t="e">
        <f>EA45-#REF!/10^7</f>
        <v>#REF!</v>
      </c>
      <c r="EW45" s="1611" t="s">
        <v>1649</v>
      </c>
      <c r="EX45" s="1612" t="s">
        <v>1649</v>
      </c>
      <c r="EZ45" s="1650">
        <f t="shared" si="69"/>
        <v>0</v>
      </c>
    </row>
    <row r="46" spans="1:156" ht="21" customHeight="1">
      <c r="A46" s="1652">
        <v>3</v>
      </c>
      <c r="B46" s="1668" t="s">
        <v>1679</v>
      </c>
      <c r="C46" s="1645">
        <v>830</v>
      </c>
      <c r="D46" s="1646">
        <f t="shared" si="113"/>
        <v>29.591566265060244</v>
      </c>
      <c r="E46" s="1646">
        <v>92.832999999999998</v>
      </c>
      <c r="F46" s="1665">
        <v>2.75</v>
      </c>
      <c r="G46" s="1640"/>
      <c r="H46" s="1640">
        <v>245.61</v>
      </c>
      <c r="I46" s="1648" t="s">
        <v>1649</v>
      </c>
      <c r="J46" s="1649">
        <v>2</v>
      </c>
      <c r="K46" s="1648"/>
      <c r="L46" s="1640"/>
      <c r="M46" s="1640"/>
      <c r="N46" s="1642"/>
      <c r="O46" s="2000" t="e">
        <f>#REF!</f>
        <v>#REF!</v>
      </c>
      <c r="P46" s="2003">
        <f t="shared" si="9"/>
        <v>0</v>
      </c>
      <c r="Q46" s="1989" t="e">
        <f>#REF!/10^7</f>
        <v>#REF!</v>
      </c>
      <c r="R46" s="2003">
        <f t="shared" si="10"/>
        <v>0</v>
      </c>
      <c r="S46" s="1989" t="e">
        <f>#REF!/10^7</f>
        <v>#REF!</v>
      </c>
      <c r="T46" s="2003">
        <f t="shared" si="11"/>
        <v>0</v>
      </c>
      <c r="U46" s="1989" t="e">
        <f>#REF!/10^7</f>
        <v>#REF!</v>
      </c>
      <c r="V46" s="1989" t="e">
        <f>#REF!/10^7</f>
        <v>#REF!</v>
      </c>
      <c r="W46" s="1989">
        <f t="shared" si="12"/>
        <v>0</v>
      </c>
      <c r="X46" s="1999" t="e">
        <f t="shared" si="114"/>
        <v>#REF!</v>
      </c>
      <c r="Y46" s="1993" t="e">
        <f>#REF!</f>
        <v>#REF!</v>
      </c>
      <c r="Z46" s="2003">
        <f t="shared" si="14"/>
        <v>0</v>
      </c>
      <c r="AA46" s="1989" t="e">
        <f>#REF!/10^7</f>
        <v>#REF!</v>
      </c>
      <c r="AB46" s="2003">
        <f t="shared" si="15"/>
        <v>0</v>
      </c>
      <c r="AC46" s="1989" t="e">
        <f>#REF!/10^7</f>
        <v>#REF!</v>
      </c>
      <c r="AD46" s="2003">
        <f t="shared" si="16"/>
        <v>0</v>
      </c>
      <c r="AE46" s="1989" t="e">
        <f>#REF!/10^7</f>
        <v>#REF!</v>
      </c>
      <c r="AF46" s="1989" t="e">
        <f>#REF!/10^7</f>
        <v>#REF!</v>
      </c>
      <c r="AG46" s="2002" t="e">
        <f t="shared" si="17"/>
        <v>#REF!</v>
      </c>
      <c r="AH46" s="1999" t="e">
        <f t="shared" si="106"/>
        <v>#REF!</v>
      </c>
      <c r="AI46" s="1993" t="e">
        <f>#REF!</f>
        <v>#REF!</v>
      </c>
      <c r="AJ46" s="2003">
        <f t="shared" si="2"/>
        <v>0</v>
      </c>
      <c r="AK46" s="1989" t="e">
        <f>#REF!/10^7</f>
        <v>#REF!</v>
      </c>
      <c r="AL46" s="2003">
        <f t="shared" si="2"/>
        <v>0</v>
      </c>
      <c r="AM46" s="1989" t="e">
        <f>#REF!/10^7</f>
        <v>#REF!</v>
      </c>
      <c r="AN46" s="2003">
        <f t="shared" si="2"/>
        <v>0</v>
      </c>
      <c r="AO46" s="1989" t="e">
        <f>#REF!/10^7</f>
        <v>#REF!</v>
      </c>
      <c r="AP46" s="1989" t="e">
        <f>#REF!/10^7</f>
        <v>#REF!</v>
      </c>
      <c r="AQ46" s="2002" t="e">
        <f t="shared" si="19"/>
        <v>#REF!</v>
      </c>
      <c r="AR46" s="1999" t="e">
        <f t="shared" si="107"/>
        <v>#REF!</v>
      </c>
      <c r="AS46" s="1993" t="e">
        <f>#REF!</f>
        <v>#REF!</v>
      </c>
      <c r="AT46" s="2003">
        <f t="shared" si="20"/>
        <v>0</v>
      </c>
      <c r="AU46" s="1989" t="e">
        <f>#REF!/10^7</f>
        <v>#REF!</v>
      </c>
      <c r="AV46" s="2003">
        <f t="shared" si="21"/>
        <v>0</v>
      </c>
      <c r="AW46" s="1989" t="e">
        <f>#REF!/10^7</f>
        <v>#REF!</v>
      </c>
      <c r="AX46" s="2003">
        <f t="shared" si="22"/>
        <v>0</v>
      </c>
      <c r="AY46" s="1989" t="e">
        <f>#REF!/10^7</f>
        <v>#REF!</v>
      </c>
      <c r="AZ46" s="1989" t="e">
        <f>#REF!/10^7</f>
        <v>#REF!</v>
      </c>
      <c r="BA46" s="2002" t="e">
        <f t="shared" si="23"/>
        <v>#REF!</v>
      </c>
      <c r="BB46" s="1999" t="e">
        <f t="shared" si="108"/>
        <v>#REF!</v>
      </c>
      <c r="BC46" s="1993" t="e">
        <f>#REF!</f>
        <v>#REF!</v>
      </c>
      <c r="BD46" s="2003">
        <f t="shared" si="24"/>
        <v>0</v>
      </c>
      <c r="BE46" s="1989" t="e">
        <f>#REF!/10^7</f>
        <v>#REF!</v>
      </c>
      <c r="BF46" s="2003">
        <f t="shared" si="25"/>
        <v>0</v>
      </c>
      <c r="BG46" s="1989" t="e">
        <f>#REF!/10^7</f>
        <v>#REF!</v>
      </c>
      <c r="BH46" s="2003">
        <f t="shared" si="26"/>
        <v>0</v>
      </c>
      <c r="BI46" s="1989" t="e">
        <f>#REF!/10^7</f>
        <v>#REF!</v>
      </c>
      <c r="BJ46" s="1989" t="e">
        <f>#REF!/10^7</f>
        <v>#REF!</v>
      </c>
      <c r="BK46" s="2002" t="e">
        <f t="shared" si="27"/>
        <v>#REF!</v>
      </c>
      <c r="BL46" s="1999" t="e">
        <f t="shared" si="109"/>
        <v>#REF!</v>
      </c>
      <c r="BM46" s="1993" t="e">
        <f>#REF!</f>
        <v>#REF!</v>
      </c>
      <c r="BN46" s="2003">
        <f t="shared" si="29"/>
        <v>0</v>
      </c>
      <c r="BO46" s="1989" t="e">
        <f>#REF!/10^7</f>
        <v>#REF!</v>
      </c>
      <c r="BP46" s="2003">
        <f t="shared" si="30"/>
        <v>0</v>
      </c>
      <c r="BQ46" s="1989" t="e">
        <f>#REF!/10^7</f>
        <v>#REF!</v>
      </c>
      <c r="BR46" s="2003">
        <f t="shared" si="31"/>
        <v>0</v>
      </c>
      <c r="BS46" s="1989" t="e">
        <f>#REF!/10^7</f>
        <v>#REF!</v>
      </c>
      <c r="BT46" s="1989" t="e">
        <f>#REF!/10^7</f>
        <v>#REF!</v>
      </c>
      <c r="BU46" s="2002" t="e">
        <f t="shared" si="32"/>
        <v>#REF!</v>
      </c>
      <c r="BV46" s="1999" t="e">
        <f t="shared" si="110"/>
        <v>#REF!</v>
      </c>
      <c r="BW46" s="1993" t="e">
        <f>#REF!</f>
        <v>#REF!</v>
      </c>
      <c r="BX46" s="2003">
        <f t="shared" si="34"/>
        <v>0</v>
      </c>
      <c r="BY46" s="1989" t="e">
        <f>#REF!/10^7</f>
        <v>#REF!</v>
      </c>
      <c r="BZ46" s="2003">
        <f t="shared" si="35"/>
        <v>0</v>
      </c>
      <c r="CA46" s="1989" t="e">
        <f>#REF!/10^7</f>
        <v>#REF!</v>
      </c>
      <c r="CB46" s="2003">
        <f t="shared" si="36"/>
        <v>0</v>
      </c>
      <c r="CC46" s="1989" t="e">
        <f>#REF!/10^7</f>
        <v>#REF!</v>
      </c>
      <c r="CD46" s="1989" t="e">
        <f>#REF!/10^7</f>
        <v>#REF!</v>
      </c>
      <c r="CE46" s="2002" t="e">
        <f t="shared" si="37"/>
        <v>#REF!</v>
      </c>
      <c r="CF46" s="1999" t="e">
        <f t="shared" si="111"/>
        <v>#REF!</v>
      </c>
      <c r="CG46" s="1993" t="e">
        <f>#REF!</f>
        <v>#REF!</v>
      </c>
      <c r="CH46" s="2003">
        <f t="shared" si="39"/>
        <v>0</v>
      </c>
      <c r="CI46" s="1989" t="e">
        <f>#REF!/10^7</f>
        <v>#REF!</v>
      </c>
      <c r="CJ46" s="2003">
        <f t="shared" si="40"/>
        <v>0</v>
      </c>
      <c r="CK46" s="1989" t="e">
        <f>#REF!/10^7</f>
        <v>#REF!</v>
      </c>
      <c r="CL46" s="2003">
        <f t="shared" si="41"/>
        <v>0</v>
      </c>
      <c r="CM46" s="1989" t="e">
        <f>#REF!/10^7</f>
        <v>#REF!</v>
      </c>
      <c r="CN46" s="1989" t="e">
        <f>#REF!/10^7</f>
        <v>#REF!</v>
      </c>
      <c r="CO46" s="2002" t="e">
        <f t="shared" si="42"/>
        <v>#REF!</v>
      </c>
      <c r="CP46" s="1999" t="e">
        <f t="shared" si="112"/>
        <v>#REF!</v>
      </c>
      <c r="CQ46" s="1993" t="e">
        <f>#REF!</f>
        <v>#REF!</v>
      </c>
      <c r="CR46" s="2003">
        <f t="shared" si="44"/>
        <v>0</v>
      </c>
      <c r="CS46" s="1989" t="e">
        <f>#REF!/10^7</f>
        <v>#REF!</v>
      </c>
      <c r="CT46" s="2003">
        <f t="shared" si="45"/>
        <v>0</v>
      </c>
      <c r="CU46" s="1989" t="e">
        <f>#REF!/10^7</f>
        <v>#REF!</v>
      </c>
      <c r="CV46" s="2003">
        <f t="shared" si="46"/>
        <v>0</v>
      </c>
      <c r="CW46" s="1989" t="e">
        <f>#REF!/10^7</f>
        <v>#REF!</v>
      </c>
      <c r="CX46" s="1989" t="e">
        <f>#REF!/10^7</f>
        <v>#REF!</v>
      </c>
      <c r="CY46" s="2002" t="e">
        <f t="shared" si="47"/>
        <v>#REF!</v>
      </c>
      <c r="CZ46" s="1999" t="e">
        <f t="shared" si="115"/>
        <v>#REF!</v>
      </c>
      <c r="DA46" s="1993" t="e">
        <f>#REF!</f>
        <v>#REF!</v>
      </c>
      <c r="DB46" s="2003">
        <f t="shared" si="49"/>
        <v>0</v>
      </c>
      <c r="DC46" s="1989" t="e">
        <f>#REF!/10^7</f>
        <v>#REF!</v>
      </c>
      <c r="DD46" s="2003">
        <f t="shared" si="50"/>
        <v>0</v>
      </c>
      <c r="DE46" s="1989" t="e">
        <f>#REF!/10^7</f>
        <v>#REF!</v>
      </c>
      <c r="DF46" s="2003">
        <f t="shared" si="51"/>
        <v>0</v>
      </c>
      <c r="DG46" s="1989" t="e">
        <f>#REF!/10^7</f>
        <v>#REF!</v>
      </c>
      <c r="DH46" s="1989" t="e">
        <f>#REF!/10^7</f>
        <v>#REF!</v>
      </c>
      <c r="DI46" s="2002" t="e">
        <f t="shared" si="52"/>
        <v>#REF!</v>
      </c>
      <c r="DJ46" s="1999" t="e">
        <f t="shared" si="116"/>
        <v>#REF!</v>
      </c>
      <c r="DK46" s="1993" t="e">
        <f>#REF!</f>
        <v>#REF!</v>
      </c>
      <c r="DL46" s="2003">
        <f t="shared" si="54"/>
        <v>0</v>
      </c>
      <c r="DM46" s="1989" t="e">
        <f>#REF!/10^7</f>
        <v>#REF!</v>
      </c>
      <c r="DN46" s="2003">
        <f t="shared" si="55"/>
        <v>0</v>
      </c>
      <c r="DO46" s="1989" t="e">
        <f>#REF!/10^7</f>
        <v>#REF!</v>
      </c>
      <c r="DP46" s="2003">
        <f t="shared" si="56"/>
        <v>0</v>
      </c>
      <c r="DQ46" s="1989" t="e">
        <f>#REF!/10^7</f>
        <v>#REF!</v>
      </c>
      <c r="DR46" s="1989" t="e">
        <f>#REF!/10^7</f>
        <v>#REF!</v>
      </c>
      <c r="DS46" s="2002" t="e">
        <f t="shared" si="57"/>
        <v>#REF!</v>
      </c>
      <c r="DT46" s="2004" t="e">
        <f t="shared" si="117"/>
        <v>#REF!</v>
      </c>
      <c r="DU46" s="1988" t="e">
        <f>#REF!</f>
        <v>#REF!</v>
      </c>
      <c r="DV46" s="2003">
        <f t="shared" si="59"/>
        <v>0</v>
      </c>
      <c r="DW46" s="1989" t="e">
        <f>#REF!/10^7</f>
        <v>#REF!</v>
      </c>
      <c r="DX46" s="2003">
        <f t="shared" si="60"/>
        <v>0</v>
      </c>
      <c r="DY46" s="1989" t="e">
        <f>#REF!/10^7</f>
        <v>#REF!</v>
      </c>
      <c r="DZ46" s="2003">
        <f t="shared" si="61"/>
        <v>0</v>
      </c>
      <c r="EA46" s="1989" t="e">
        <f>#REF!/10^7</f>
        <v>#REF!</v>
      </c>
      <c r="EB46" s="1989" t="e">
        <f>#REF!/10^7</f>
        <v>#REF!</v>
      </c>
      <c r="EC46" s="2002" t="e">
        <f t="shared" si="62"/>
        <v>#REF!</v>
      </c>
      <c r="ED46" s="1998" t="e">
        <f t="shared" si="118"/>
        <v>#REF!</v>
      </c>
      <c r="EE46" s="2005" t="e">
        <f t="shared" si="122"/>
        <v>#REF!</v>
      </c>
      <c r="EF46" s="2003">
        <f t="shared" si="64"/>
        <v>0</v>
      </c>
      <c r="EG46" s="1989" t="e">
        <f t="shared" si="119"/>
        <v>#REF!</v>
      </c>
      <c r="EH46" s="2003">
        <f t="shared" si="65"/>
        <v>0</v>
      </c>
      <c r="EI46" s="1989" t="e">
        <f t="shared" si="120"/>
        <v>#REF!</v>
      </c>
      <c r="EJ46" s="2003">
        <f t="shared" si="66"/>
        <v>0</v>
      </c>
      <c r="EK46" s="1989" t="e">
        <f t="shared" si="121"/>
        <v>#REF!</v>
      </c>
      <c r="EL46" s="1989" t="e">
        <f t="shared" si="121"/>
        <v>#REF!</v>
      </c>
      <c r="EM46" s="2006" t="e">
        <f t="shared" si="67"/>
        <v>#REF!</v>
      </c>
      <c r="EN46" s="1999" t="e">
        <f t="shared" si="123"/>
        <v>#REF!</v>
      </c>
      <c r="EP46" s="1613" t="e">
        <f>EA46-#REF!/10^7</f>
        <v>#REF!</v>
      </c>
      <c r="EW46" s="1611" t="s">
        <v>1649</v>
      </c>
      <c r="EX46" s="1612" t="s">
        <v>1649</v>
      </c>
      <c r="EZ46" s="1650">
        <f t="shared" si="69"/>
        <v>0</v>
      </c>
    </row>
    <row r="47" spans="1:156" ht="21" customHeight="1">
      <c r="A47" s="1652">
        <v>4</v>
      </c>
      <c r="B47" s="1668" t="s">
        <v>1683</v>
      </c>
      <c r="C47" s="1645">
        <v>420</v>
      </c>
      <c r="D47" s="1646">
        <f t="shared" si="113"/>
        <v>68.095238095238102</v>
      </c>
      <c r="E47" s="1646">
        <v>95.561999999999998</v>
      </c>
      <c r="F47" s="1665">
        <v>9</v>
      </c>
      <c r="G47" s="1640"/>
      <c r="H47" s="1669">
        <v>286</v>
      </c>
      <c r="I47" s="1648" t="s">
        <v>1649</v>
      </c>
      <c r="J47" s="1649">
        <v>2</v>
      </c>
      <c r="K47" s="1648"/>
      <c r="L47" s="1640"/>
      <c r="M47" s="1640"/>
      <c r="N47" s="1642"/>
      <c r="O47" s="2000" t="e">
        <f>#REF!</f>
        <v>#REF!</v>
      </c>
      <c r="P47" s="2003">
        <f t="shared" si="9"/>
        <v>0</v>
      </c>
      <c r="Q47" s="1989" t="e">
        <f>#REF!/10^7</f>
        <v>#REF!</v>
      </c>
      <c r="R47" s="2003">
        <f t="shared" si="10"/>
        <v>0</v>
      </c>
      <c r="S47" s="1989" t="e">
        <f>#REF!/10^7</f>
        <v>#REF!</v>
      </c>
      <c r="T47" s="2003">
        <f t="shared" si="11"/>
        <v>0</v>
      </c>
      <c r="U47" s="1989" t="e">
        <f>#REF!/10^7</f>
        <v>#REF!</v>
      </c>
      <c r="V47" s="1989" t="e">
        <f>#REF!/10^7</f>
        <v>#REF!</v>
      </c>
      <c r="W47" s="1989">
        <f t="shared" si="12"/>
        <v>0</v>
      </c>
      <c r="X47" s="1999" t="e">
        <f t="shared" si="114"/>
        <v>#REF!</v>
      </c>
      <c r="Y47" s="1993" t="e">
        <f>#REF!</f>
        <v>#REF!</v>
      </c>
      <c r="Z47" s="2003">
        <f t="shared" si="14"/>
        <v>0</v>
      </c>
      <c r="AA47" s="1989" t="e">
        <f>#REF!/10^7</f>
        <v>#REF!</v>
      </c>
      <c r="AB47" s="2003">
        <f t="shared" si="15"/>
        <v>0</v>
      </c>
      <c r="AC47" s="1989" t="e">
        <f>#REF!/10^7</f>
        <v>#REF!</v>
      </c>
      <c r="AD47" s="2003">
        <f t="shared" si="16"/>
        <v>0</v>
      </c>
      <c r="AE47" s="1989" t="e">
        <f>#REF!/10^7</f>
        <v>#REF!</v>
      </c>
      <c r="AF47" s="1989" t="e">
        <f>#REF!/10^7</f>
        <v>#REF!</v>
      </c>
      <c r="AG47" s="2002" t="e">
        <f t="shared" si="17"/>
        <v>#REF!</v>
      </c>
      <c r="AH47" s="1999" t="e">
        <f t="shared" si="106"/>
        <v>#REF!</v>
      </c>
      <c r="AI47" s="1993" t="e">
        <f>#REF!</f>
        <v>#REF!</v>
      </c>
      <c r="AJ47" s="2003">
        <f t="shared" si="2"/>
        <v>0</v>
      </c>
      <c r="AK47" s="1989" t="e">
        <f>#REF!/10^7</f>
        <v>#REF!</v>
      </c>
      <c r="AL47" s="2003">
        <f t="shared" si="2"/>
        <v>0</v>
      </c>
      <c r="AM47" s="1989" t="e">
        <f>#REF!/10^7</f>
        <v>#REF!</v>
      </c>
      <c r="AN47" s="2003">
        <f t="shared" si="2"/>
        <v>0</v>
      </c>
      <c r="AO47" s="1989" t="e">
        <f>#REF!/10^7</f>
        <v>#REF!</v>
      </c>
      <c r="AP47" s="1989" t="e">
        <f>#REF!/10^7</f>
        <v>#REF!</v>
      </c>
      <c r="AQ47" s="2002" t="e">
        <f t="shared" si="19"/>
        <v>#REF!</v>
      </c>
      <c r="AR47" s="1999" t="e">
        <f t="shared" si="107"/>
        <v>#REF!</v>
      </c>
      <c r="AS47" s="1993" t="e">
        <f>#REF!</f>
        <v>#REF!</v>
      </c>
      <c r="AT47" s="2003">
        <f t="shared" si="20"/>
        <v>0</v>
      </c>
      <c r="AU47" s="1989" t="e">
        <f>#REF!/10^7</f>
        <v>#REF!</v>
      </c>
      <c r="AV47" s="2003">
        <f t="shared" si="21"/>
        <v>0</v>
      </c>
      <c r="AW47" s="1989" t="e">
        <f>#REF!/10^7</f>
        <v>#REF!</v>
      </c>
      <c r="AX47" s="2003">
        <f t="shared" si="22"/>
        <v>0</v>
      </c>
      <c r="AY47" s="1989" t="e">
        <f>#REF!/10^7</f>
        <v>#REF!</v>
      </c>
      <c r="AZ47" s="1989" t="e">
        <f>#REF!/10^7</f>
        <v>#REF!</v>
      </c>
      <c r="BA47" s="2002" t="e">
        <f t="shared" si="23"/>
        <v>#REF!</v>
      </c>
      <c r="BB47" s="1999" t="e">
        <f t="shared" si="108"/>
        <v>#REF!</v>
      </c>
      <c r="BC47" s="1993" t="e">
        <f>#REF!</f>
        <v>#REF!</v>
      </c>
      <c r="BD47" s="2003">
        <f t="shared" si="24"/>
        <v>0</v>
      </c>
      <c r="BE47" s="1989" t="e">
        <f>#REF!/10^7</f>
        <v>#REF!</v>
      </c>
      <c r="BF47" s="2003">
        <f t="shared" si="25"/>
        <v>0</v>
      </c>
      <c r="BG47" s="1989" t="e">
        <f>#REF!/10^7</f>
        <v>#REF!</v>
      </c>
      <c r="BH47" s="2003">
        <f t="shared" si="26"/>
        <v>0</v>
      </c>
      <c r="BI47" s="1989" t="e">
        <f>#REF!/10^7</f>
        <v>#REF!</v>
      </c>
      <c r="BJ47" s="1989" t="e">
        <f>#REF!/10^7</f>
        <v>#REF!</v>
      </c>
      <c r="BK47" s="2002" t="e">
        <f t="shared" si="27"/>
        <v>#REF!</v>
      </c>
      <c r="BL47" s="1999" t="e">
        <f t="shared" si="109"/>
        <v>#REF!</v>
      </c>
      <c r="BM47" s="1993" t="e">
        <f>#REF!</f>
        <v>#REF!</v>
      </c>
      <c r="BN47" s="2003">
        <f t="shared" si="29"/>
        <v>0</v>
      </c>
      <c r="BO47" s="1989" t="e">
        <f>#REF!/10^7</f>
        <v>#REF!</v>
      </c>
      <c r="BP47" s="2003">
        <f t="shared" si="30"/>
        <v>0</v>
      </c>
      <c r="BQ47" s="1989" t="e">
        <f>#REF!/10^7</f>
        <v>#REF!</v>
      </c>
      <c r="BR47" s="2003">
        <f t="shared" si="31"/>
        <v>0</v>
      </c>
      <c r="BS47" s="1989" t="e">
        <f>#REF!/10^7</f>
        <v>#REF!</v>
      </c>
      <c r="BT47" s="1989" t="e">
        <f>#REF!/10^7</f>
        <v>#REF!</v>
      </c>
      <c r="BU47" s="2002" t="e">
        <f t="shared" si="32"/>
        <v>#REF!</v>
      </c>
      <c r="BV47" s="1999" t="e">
        <f t="shared" si="110"/>
        <v>#REF!</v>
      </c>
      <c r="BW47" s="1993" t="e">
        <f>#REF!</f>
        <v>#REF!</v>
      </c>
      <c r="BX47" s="2003">
        <f t="shared" si="34"/>
        <v>0</v>
      </c>
      <c r="BY47" s="1989" t="e">
        <f>#REF!/10^7</f>
        <v>#REF!</v>
      </c>
      <c r="BZ47" s="2003">
        <f t="shared" si="35"/>
        <v>0</v>
      </c>
      <c r="CA47" s="1989" t="e">
        <f>#REF!/10^7</f>
        <v>#REF!</v>
      </c>
      <c r="CB47" s="2003">
        <f t="shared" si="36"/>
        <v>0</v>
      </c>
      <c r="CC47" s="1989" t="e">
        <f>#REF!/10^7</f>
        <v>#REF!</v>
      </c>
      <c r="CD47" s="1989" t="e">
        <f>#REF!/10^7</f>
        <v>#REF!</v>
      </c>
      <c r="CE47" s="2002" t="e">
        <f t="shared" si="37"/>
        <v>#REF!</v>
      </c>
      <c r="CF47" s="1999" t="e">
        <f t="shared" si="111"/>
        <v>#REF!</v>
      </c>
      <c r="CG47" s="1993" t="e">
        <f>#REF!</f>
        <v>#REF!</v>
      </c>
      <c r="CH47" s="2003">
        <f t="shared" si="39"/>
        <v>0</v>
      </c>
      <c r="CI47" s="1989" t="e">
        <f>#REF!/10^7</f>
        <v>#REF!</v>
      </c>
      <c r="CJ47" s="2003">
        <f t="shared" si="40"/>
        <v>0</v>
      </c>
      <c r="CK47" s="1989" t="e">
        <f>#REF!/10^7</f>
        <v>#REF!</v>
      </c>
      <c r="CL47" s="2003">
        <f t="shared" si="41"/>
        <v>0</v>
      </c>
      <c r="CM47" s="1989" t="e">
        <f>#REF!/10^7</f>
        <v>#REF!</v>
      </c>
      <c r="CN47" s="1989" t="e">
        <f>#REF!/10^7</f>
        <v>#REF!</v>
      </c>
      <c r="CO47" s="2002" t="e">
        <f t="shared" si="42"/>
        <v>#REF!</v>
      </c>
      <c r="CP47" s="1999" t="e">
        <f t="shared" si="112"/>
        <v>#REF!</v>
      </c>
      <c r="CQ47" s="1993" t="e">
        <f>#REF!</f>
        <v>#REF!</v>
      </c>
      <c r="CR47" s="2003">
        <f t="shared" si="44"/>
        <v>0</v>
      </c>
      <c r="CS47" s="1989" t="e">
        <f>#REF!/10^7</f>
        <v>#REF!</v>
      </c>
      <c r="CT47" s="2003">
        <f t="shared" si="45"/>
        <v>0</v>
      </c>
      <c r="CU47" s="1989" t="e">
        <f>#REF!/10^7</f>
        <v>#REF!</v>
      </c>
      <c r="CV47" s="2003">
        <f t="shared" si="46"/>
        <v>0</v>
      </c>
      <c r="CW47" s="1989" t="e">
        <f>#REF!/10^7</f>
        <v>#REF!</v>
      </c>
      <c r="CX47" s="1989" t="e">
        <f>#REF!/10^7</f>
        <v>#REF!</v>
      </c>
      <c r="CY47" s="2002" t="e">
        <f t="shared" si="47"/>
        <v>#REF!</v>
      </c>
      <c r="CZ47" s="1999" t="e">
        <f t="shared" si="115"/>
        <v>#REF!</v>
      </c>
      <c r="DA47" s="1993" t="e">
        <f>#REF!</f>
        <v>#REF!</v>
      </c>
      <c r="DB47" s="2003">
        <f t="shared" si="49"/>
        <v>0</v>
      </c>
      <c r="DC47" s="1989" t="e">
        <f>#REF!/10^7</f>
        <v>#REF!</v>
      </c>
      <c r="DD47" s="2003">
        <f t="shared" si="50"/>
        <v>0</v>
      </c>
      <c r="DE47" s="1989" t="e">
        <f>#REF!/10^7</f>
        <v>#REF!</v>
      </c>
      <c r="DF47" s="2003">
        <f t="shared" si="51"/>
        <v>0</v>
      </c>
      <c r="DG47" s="1989" t="e">
        <f>#REF!/10^7</f>
        <v>#REF!</v>
      </c>
      <c r="DH47" s="1989" t="e">
        <f>#REF!/10^7</f>
        <v>#REF!</v>
      </c>
      <c r="DI47" s="2002" t="e">
        <f t="shared" si="52"/>
        <v>#REF!</v>
      </c>
      <c r="DJ47" s="1999" t="e">
        <f t="shared" si="116"/>
        <v>#REF!</v>
      </c>
      <c r="DK47" s="1993" t="e">
        <f>#REF!</f>
        <v>#REF!</v>
      </c>
      <c r="DL47" s="2003">
        <f t="shared" si="54"/>
        <v>0</v>
      </c>
      <c r="DM47" s="1989" t="e">
        <f>#REF!/10^7</f>
        <v>#REF!</v>
      </c>
      <c r="DN47" s="2003">
        <f t="shared" si="55"/>
        <v>0</v>
      </c>
      <c r="DO47" s="1989" t="e">
        <f>#REF!/10^7</f>
        <v>#REF!</v>
      </c>
      <c r="DP47" s="2003">
        <f t="shared" si="56"/>
        <v>0</v>
      </c>
      <c r="DQ47" s="1989" t="e">
        <f>#REF!/10^7</f>
        <v>#REF!</v>
      </c>
      <c r="DR47" s="1989" t="e">
        <f>#REF!/10^7</f>
        <v>#REF!</v>
      </c>
      <c r="DS47" s="2002" t="e">
        <f t="shared" si="57"/>
        <v>#REF!</v>
      </c>
      <c r="DT47" s="2004" t="e">
        <f t="shared" si="117"/>
        <v>#REF!</v>
      </c>
      <c r="DU47" s="1988" t="e">
        <f>#REF!</f>
        <v>#REF!</v>
      </c>
      <c r="DV47" s="2003">
        <f t="shared" si="59"/>
        <v>0</v>
      </c>
      <c r="DW47" s="1989" t="e">
        <f>#REF!/10^7</f>
        <v>#REF!</v>
      </c>
      <c r="DX47" s="2003">
        <f t="shared" si="60"/>
        <v>0</v>
      </c>
      <c r="DY47" s="1989" t="e">
        <f>#REF!/10^7</f>
        <v>#REF!</v>
      </c>
      <c r="DZ47" s="2003">
        <f t="shared" si="61"/>
        <v>0</v>
      </c>
      <c r="EA47" s="1989" t="e">
        <f>#REF!/10^7</f>
        <v>#REF!</v>
      </c>
      <c r="EB47" s="1989" t="e">
        <f>#REF!/10^7</f>
        <v>#REF!</v>
      </c>
      <c r="EC47" s="2002" t="e">
        <f t="shared" si="62"/>
        <v>#REF!</v>
      </c>
      <c r="ED47" s="1998" t="e">
        <f t="shared" si="118"/>
        <v>#REF!</v>
      </c>
      <c r="EE47" s="2005" t="e">
        <f t="shared" si="122"/>
        <v>#REF!</v>
      </c>
      <c r="EF47" s="2003">
        <f t="shared" si="64"/>
        <v>0</v>
      </c>
      <c r="EG47" s="1989" t="e">
        <f t="shared" si="119"/>
        <v>#REF!</v>
      </c>
      <c r="EH47" s="2003">
        <f t="shared" si="65"/>
        <v>0</v>
      </c>
      <c r="EI47" s="1989" t="e">
        <f t="shared" si="120"/>
        <v>#REF!</v>
      </c>
      <c r="EJ47" s="2003">
        <f t="shared" si="66"/>
        <v>0</v>
      </c>
      <c r="EK47" s="1989" t="e">
        <f t="shared" si="121"/>
        <v>#REF!</v>
      </c>
      <c r="EL47" s="1989" t="e">
        <f t="shared" si="121"/>
        <v>#REF!</v>
      </c>
      <c r="EM47" s="2006" t="e">
        <f t="shared" si="67"/>
        <v>#REF!</v>
      </c>
      <c r="EN47" s="1999" t="e">
        <f t="shared" si="123"/>
        <v>#REF!</v>
      </c>
      <c r="EP47" s="1613" t="e">
        <f>EA47-#REF!/10^7</f>
        <v>#REF!</v>
      </c>
      <c r="EW47" s="1611" t="s">
        <v>1649</v>
      </c>
      <c r="EX47" s="1612" t="s">
        <v>1649</v>
      </c>
      <c r="EZ47" s="1650">
        <f t="shared" si="69"/>
        <v>0</v>
      </c>
    </row>
    <row r="48" spans="1:156" ht="21" customHeight="1">
      <c r="A48" s="1652">
        <v>5</v>
      </c>
      <c r="B48" s="1668" t="s">
        <v>1684</v>
      </c>
      <c r="C48" s="1645">
        <v>420</v>
      </c>
      <c r="D48" s="1646">
        <f t="shared" si="113"/>
        <v>30.714285714285715</v>
      </c>
      <c r="E48" s="1646">
        <v>98.739000000000004</v>
      </c>
      <c r="F48" s="1665">
        <v>9.8000000000000007</v>
      </c>
      <c r="G48" s="1640"/>
      <c r="H48" s="1640">
        <v>129</v>
      </c>
      <c r="I48" s="1648" t="s">
        <v>1649</v>
      </c>
      <c r="J48" s="1649">
        <v>2</v>
      </c>
      <c r="K48" s="1648"/>
      <c r="L48" s="1640"/>
      <c r="M48" s="1640"/>
      <c r="N48" s="1642"/>
      <c r="O48" s="2000" t="e">
        <f>#REF!</f>
        <v>#REF!</v>
      </c>
      <c r="P48" s="2003">
        <f t="shared" si="9"/>
        <v>0</v>
      </c>
      <c r="Q48" s="1989" t="e">
        <f>#REF!/10^7</f>
        <v>#REF!</v>
      </c>
      <c r="R48" s="2003">
        <f t="shared" si="10"/>
        <v>0</v>
      </c>
      <c r="S48" s="1989" t="e">
        <f>#REF!/10^7</f>
        <v>#REF!</v>
      </c>
      <c r="T48" s="2003">
        <f t="shared" si="11"/>
        <v>0</v>
      </c>
      <c r="U48" s="1989" t="e">
        <f>#REF!/10^7</f>
        <v>#REF!</v>
      </c>
      <c r="V48" s="1989" t="e">
        <f>#REF!/10^7</f>
        <v>#REF!</v>
      </c>
      <c r="W48" s="1989">
        <f t="shared" si="12"/>
        <v>0</v>
      </c>
      <c r="X48" s="1999" t="e">
        <f t="shared" si="114"/>
        <v>#REF!</v>
      </c>
      <c r="Y48" s="1993" t="e">
        <f>#REF!</f>
        <v>#REF!</v>
      </c>
      <c r="Z48" s="2003">
        <f t="shared" si="14"/>
        <v>0</v>
      </c>
      <c r="AA48" s="1989" t="e">
        <f>#REF!/10^7</f>
        <v>#REF!</v>
      </c>
      <c r="AB48" s="2003">
        <f t="shared" si="15"/>
        <v>0</v>
      </c>
      <c r="AC48" s="1989" t="e">
        <f>#REF!/10^7</f>
        <v>#REF!</v>
      </c>
      <c r="AD48" s="2003">
        <f t="shared" si="16"/>
        <v>0</v>
      </c>
      <c r="AE48" s="1989" t="e">
        <f>#REF!/10^7</f>
        <v>#REF!</v>
      </c>
      <c r="AF48" s="1989" t="e">
        <f>#REF!/10^7</f>
        <v>#REF!</v>
      </c>
      <c r="AG48" s="2002" t="e">
        <f t="shared" si="17"/>
        <v>#REF!</v>
      </c>
      <c r="AH48" s="1999" t="e">
        <f t="shared" si="106"/>
        <v>#REF!</v>
      </c>
      <c r="AI48" s="1993" t="e">
        <f>#REF!</f>
        <v>#REF!</v>
      </c>
      <c r="AJ48" s="2003">
        <f t="shared" si="2"/>
        <v>0</v>
      </c>
      <c r="AK48" s="1989" t="e">
        <f>#REF!/10^7</f>
        <v>#REF!</v>
      </c>
      <c r="AL48" s="2003">
        <f t="shared" si="2"/>
        <v>0</v>
      </c>
      <c r="AM48" s="1989" t="e">
        <f>#REF!/10^7</f>
        <v>#REF!</v>
      </c>
      <c r="AN48" s="2003">
        <f t="shared" si="2"/>
        <v>0</v>
      </c>
      <c r="AO48" s="1989" t="e">
        <f>#REF!/10^7</f>
        <v>#REF!</v>
      </c>
      <c r="AP48" s="1989" t="e">
        <f>#REF!/10^7</f>
        <v>#REF!</v>
      </c>
      <c r="AQ48" s="2002" t="e">
        <f t="shared" si="19"/>
        <v>#REF!</v>
      </c>
      <c r="AR48" s="1999" t="e">
        <f t="shared" si="107"/>
        <v>#REF!</v>
      </c>
      <c r="AS48" s="1993" t="e">
        <f>#REF!</f>
        <v>#REF!</v>
      </c>
      <c r="AT48" s="2003">
        <f t="shared" si="20"/>
        <v>0</v>
      </c>
      <c r="AU48" s="1989" t="e">
        <f>#REF!/10^7</f>
        <v>#REF!</v>
      </c>
      <c r="AV48" s="2003">
        <f t="shared" si="21"/>
        <v>0</v>
      </c>
      <c r="AW48" s="1989" t="e">
        <f>#REF!/10^7</f>
        <v>#REF!</v>
      </c>
      <c r="AX48" s="2003">
        <f t="shared" si="22"/>
        <v>0</v>
      </c>
      <c r="AY48" s="1989" t="e">
        <f>#REF!/10^7</f>
        <v>#REF!</v>
      </c>
      <c r="AZ48" s="1989" t="e">
        <f>#REF!/10^7</f>
        <v>#REF!</v>
      </c>
      <c r="BA48" s="2002" t="e">
        <f t="shared" si="23"/>
        <v>#REF!</v>
      </c>
      <c r="BB48" s="1999" t="e">
        <f t="shared" si="108"/>
        <v>#REF!</v>
      </c>
      <c r="BC48" s="1993" t="e">
        <f>#REF!</f>
        <v>#REF!</v>
      </c>
      <c r="BD48" s="2003">
        <f t="shared" si="24"/>
        <v>0</v>
      </c>
      <c r="BE48" s="1989" t="e">
        <f>#REF!/10^7</f>
        <v>#REF!</v>
      </c>
      <c r="BF48" s="2003">
        <f t="shared" si="25"/>
        <v>0</v>
      </c>
      <c r="BG48" s="1989" t="e">
        <f>#REF!/10^7</f>
        <v>#REF!</v>
      </c>
      <c r="BH48" s="2003">
        <f t="shared" si="26"/>
        <v>0</v>
      </c>
      <c r="BI48" s="1989" t="e">
        <f>#REF!/10^7</f>
        <v>#REF!</v>
      </c>
      <c r="BJ48" s="1989" t="e">
        <f>#REF!/10^7</f>
        <v>#REF!</v>
      </c>
      <c r="BK48" s="2002" t="e">
        <f t="shared" si="27"/>
        <v>#REF!</v>
      </c>
      <c r="BL48" s="1999" t="e">
        <f t="shared" si="109"/>
        <v>#REF!</v>
      </c>
      <c r="BM48" s="1993" t="e">
        <f>#REF!</f>
        <v>#REF!</v>
      </c>
      <c r="BN48" s="2003">
        <f t="shared" si="29"/>
        <v>0</v>
      </c>
      <c r="BO48" s="1989" t="e">
        <f>#REF!/10^7</f>
        <v>#REF!</v>
      </c>
      <c r="BP48" s="2003">
        <f t="shared" si="30"/>
        <v>0</v>
      </c>
      <c r="BQ48" s="1989" t="e">
        <f>#REF!/10^7</f>
        <v>#REF!</v>
      </c>
      <c r="BR48" s="2003">
        <f t="shared" si="31"/>
        <v>0</v>
      </c>
      <c r="BS48" s="1989" t="e">
        <f>#REF!/10^7</f>
        <v>#REF!</v>
      </c>
      <c r="BT48" s="1989" t="e">
        <f>#REF!/10^7</f>
        <v>#REF!</v>
      </c>
      <c r="BU48" s="2002" t="e">
        <f t="shared" si="32"/>
        <v>#REF!</v>
      </c>
      <c r="BV48" s="1999" t="e">
        <f t="shared" si="110"/>
        <v>#REF!</v>
      </c>
      <c r="BW48" s="1993" t="e">
        <f>#REF!</f>
        <v>#REF!</v>
      </c>
      <c r="BX48" s="2003">
        <f t="shared" si="34"/>
        <v>0</v>
      </c>
      <c r="BY48" s="1989" t="e">
        <f>#REF!/10^7</f>
        <v>#REF!</v>
      </c>
      <c r="BZ48" s="2003">
        <f t="shared" si="35"/>
        <v>0</v>
      </c>
      <c r="CA48" s="1989" t="e">
        <f>#REF!/10^7</f>
        <v>#REF!</v>
      </c>
      <c r="CB48" s="2003">
        <f t="shared" si="36"/>
        <v>0</v>
      </c>
      <c r="CC48" s="1989" t="e">
        <f>#REF!/10^7</f>
        <v>#REF!</v>
      </c>
      <c r="CD48" s="1989" t="e">
        <f>#REF!/10^7</f>
        <v>#REF!</v>
      </c>
      <c r="CE48" s="2002" t="e">
        <f t="shared" si="37"/>
        <v>#REF!</v>
      </c>
      <c r="CF48" s="1999" t="e">
        <f t="shared" si="111"/>
        <v>#REF!</v>
      </c>
      <c r="CG48" s="1993" t="e">
        <f>#REF!</f>
        <v>#REF!</v>
      </c>
      <c r="CH48" s="2003">
        <f t="shared" si="39"/>
        <v>0</v>
      </c>
      <c r="CI48" s="1989" t="e">
        <f>#REF!/10^7</f>
        <v>#REF!</v>
      </c>
      <c r="CJ48" s="2003">
        <f t="shared" si="40"/>
        <v>0</v>
      </c>
      <c r="CK48" s="1989" t="e">
        <f>#REF!/10^7</f>
        <v>#REF!</v>
      </c>
      <c r="CL48" s="2003">
        <f t="shared" si="41"/>
        <v>0</v>
      </c>
      <c r="CM48" s="1989" t="e">
        <f>#REF!/10^7</f>
        <v>#REF!</v>
      </c>
      <c r="CN48" s="1989" t="e">
        <f>#REF!/10^7</f>
        <v>#REF!</v>
      </c>
      <c r="CO48" s="2002" t="e">
        <f t="shared" si="42"/>
        <v>#REF!</v>
      </c>
      <c r="CP48" s="1999" t="e">
        <f t="shared" si="112"/>
        <v>#REF!</v>
      </c>
      <c r="CQ48" s="1993" t="e">
        <f>#REF!</f>
        <v>#REF!</v>
      </c>
      <c r="CR48" s="2003">
        <f t="shared" si="44"/>
        <v>0</v>
      </c>
      <c r="CS48" s="1989" t="e">
        <f>#REF!/10^7</f>
        <v>#REF!</v>
      </c>
      <c r="CT48" s="2003">
        <f t="shared" si="45"/>
        <v>0</v>
      </c>
      <c r="CU48" s="1989" t="e">
        <f>#REF!/10^7</f>
        <v>#REF!</v>
      </c>
      <c r="CV48" s="2003">
        <f t="shared" si="46"/>
        <v>0</v>
      </c>
      <c r="CW48" s="1989" t="e">
        <f>#REF!/10^7</f>
        <v>#REF!</v>
      </c>
      <c r="CX48" s="1989" t="e">
        <f>#REF!/10^7</f>
        <v>#REF!</v>
      </c>
      <c r="CY48" s="2002" t="e">
        <f t="shared" si="47"/>
        <v>#REF!</v>
      </c>
      <c r="CZ48" s="1999" t="e">
        <f t="shared" si="115"/>
        <v>#REF!</v>
      </c>
      <c r="DA48" s="1993" t="e">
        <f>#REF!</f>
        <v>#REF!</v>
      </c>
      <c r="DB48" s="2003">
        <f t="shared" si="49"/>
        <v>0</v>
      </c>
      <c r="DC48" s="1989" t="e">
        <f>#REF!/10^7</f>
        <v>#REF!</v>
      </c>
      <c r="DD48" s="2003">
        <f t="shared" si="50"/>
        <v>0</v>
      </c>
      <c r="DE48" s="1989" t="e">
        <f>#REF!/10^7</f>
        <v>#REF!</v>
      </c>
      <c r="DF48" s="2003">
        <f t="shared" si="51"/>
        <v>0</v>
      </c>
      <c r="DG48" s="1989" t="e">
        <f>#REF!/10^7</f>
        <v>#REF!</v>
      </c>
      <c r="DH48" s="1989" t="e">
        <f>#REF!/10^7</f>
        <v>#REF!</v>
      </c>
      <c r="DI48" s="2002" t="e">
        <f t="shared" si="52"/>
        <v>#REF!</v>
      </c>
      <c r="DJ48" s="1999" t="e">
        <f t="shared" si="116"/>
        <v>#REF!</v>
      </c>
      <c r="DK48" s="1993" t="e">
        <f>#REF!</f>
        <v>#REF!</v>
      </c>
      <c r="DL48" s="2003">
        <f t="shared" si="54"/>
        <v>0</v>
      </c>
      <c r="DM48" s="1989" t="e">
        <f>#REF!/10^7</f>
        <v>#REF!</v>
      </c>
      <c r="DN48" s="2003">
        <f t="shared" si="55"/>
        <v>0</v>
      </c>
      <c r="DO48" s="1989" t="e">
        <f>#REF!/10^7</f>
        <v>#REF!</v>
      </c>
      <c r="DP48" s="2003">
        <f t="shared" si="56"/>
        <v>0</v>
      </c>
      <c r="DQ48" s="1989" t="e">
        <f>#REF!/10^7</f>
        <v>#REF!</v>
      </c>
      <c r="DR48" s="1989" t="e">
        <f>#REF!/10^7</f>
        <v>#REF!</v>
      </c>
      <c r="DS48" s="2002" t="e">
        <f t="shared" si="57"/>
        <v>#REF!</v>
      </c>
      <c r="DT48" s="2004" t="e">
        <f t="shared" si="117"/>
        <v>#REF!</v>
      </c>
      <c r="DU48" s="1988" t="e">
        <f>#REF!</f>
        <v>#REF!</v>
      </c>
      <c r="DV48" s="2003">
        <f t="shared" si="59"/>
        <v>0</v>
      </c>
      <c r="DW48" s="1989" t="e">
        <f>#REF!/10^7</f>
        <v>#REF!</v>
      </c>
      <c r="DX48" s="2003">
        <f t="shared" si="60"/>
        <v>0</v>
      </c>
      <c r="DY48" s="1989" t="e">
        <f>#REF!/10^7</f>
        <v>#REF!</v>
      </c>
      <c r="DZ48" s="2003">
        <f t="shared" si="61"/>
        <v>0</v>
      </c>
      <c r="EA48" s="1989" t="e">
        <f>#REF!/10^7</f>
        <v>#REF!</v>
      </c>
      <c r="EB48" s="1989" t="e">
        <f>#REF!/10^7</f>
        <v>#REF!</v>
      </c>
      <c r="EC48" s="2002" t="e">
        <f t="shared" si="62"/>
        <v>#REF!</v>
      </c>
      <c r="ED48" s="1998" t="e">
        <f t="shared" si="118"/>
        <v>#REF!</v>
      </c>
      <c r="EE48" s="2005" t="e">
        <f t="shared" si="122"/>
        <v>#REF!</v>
      </c>
      <c r="EF48" s="2003">
        <f t="shared" si="64"/>
        <v>0</v>
      </c>
      <c r="EG48" s="1989" t="e">
        <f t="shared" si="119"/>
        <v>#REF!</v>
      </c>
      <c r="EH48" s="2003">
        <f t="shared" si="65"/>
        <v>0</v>
      </c>
      <c r="EI48" s="1989" t="e">
        <f t="shared" si="120"/>
        <v>#REF!</v>
      </c>
      <c r="EJ48" s="2003">
        <f t="shared" si="66"/>
        <v>0</v>
      </c>
      <c r="EK48" s="1989" t="e">
        <f t="shared" si="121"/>
        <v>#REF!</v>
      </c>
      <c r="EL48" s="1989" t="e">
        <f t="shared" si="121"/>
        <v>#REF!</v>
      </c>
      <c r="EM48" s="2006" t="e">
        <f t="shared" si="67"/>
        <v>#REF!</v>
      </c>
      <c r="EN48" s="1999" t="e">
        <f t="shared" si="123"/>
        <v>#REF!</v>
      </c>
      <c r="EP48" s="1613" t="e">
        <f>EA48-#REF!/10^7</f>
        <v>#REF!</v>
      </c>
      <c r="EW48" s="1611" t="s">
        <v>1649</v>
      </c>
      <c r="EX48" s="1612" t="s">
        <v>1649</v>
      </c>
      <c r="EZ48" s="1650">
        <f t="shared" si="69"/>
        <v>0</v>
      </c>
    </row>
    <row r="49" spans="1:156" ht="21" customHeight="1">
      <c r="A49" s="1652">
        <v>6</v>
      </c>
      <c r="B49" s="1668" t="s">
        <v>1685</v>
      </c>
      <c r="C49" s="1612">
        <v>210</v>
      </c>
      <c r="D49" s="1646">
        <f t="shared" si="113"/>
        <v>30</v>
      </c>
      <c r="E49" s="1646">
        <v>103.13</v>
      </c>
      <c r="F49" s="1665">
        <v>9</v>
      </c>
      <c r="G49" s="1640"/>
      <c r="H49" s="1640">
        <v>63</v>
      </c>
      <c r="I49" s="1648" t="s">
        <v>1649</v>
      </c>
      <c r="J49" s="1649">
        <v>2</v>
      </c>
      <c r="K49" s="1648"/>
      <c r="L49" s="1640"/>
      <c r="M49" s="1640"/>
      <c r="N49" s="1642"/>
      <c r="O49" s="2000" t="e">
        <f>#REF!</f>
        <v>#REF!</v>
      </c>
      <c r="P49" s="2003">
        <f t="shared" si="9"/>
        <v>0</v>
      </c>
      <c r="Q49" s="1989" t="e">
        <f>#REF!/10^7</f>
        <v>#REF!</v>
      </c>
      <c r="R49" s="2003">
        <f t="shared" si="10"/>
        <v>0</v>
      </c>
      <c r="S49" s="1989" t="e">
        <f>#REF!/10^7</f>
        <v>#REF!</v>
      </c>
      <c r="T49" s="2003">
        <f t="shared" si="11"/>
        <v>0</v>
      </c>
      <c r="U49" s="1989" t="e">
        <f>#REF!/10^7</f>
        <v>#REF!</v>
      </c>
      <c r="V49" s="1989" t="e">
        <f>#REF!/10^7</f>
        <v>#REF!</v>
      </c>
      <c r="W49" s="1989">
        <f t="shared" si="12"/>
        <v>0</v>
      </c>
      <c r="X49" s="1999" t="e">
        <f t="shared" si="114"/>
        <v>#REF!</v>
      </c>
      <c r="Y49" s="1993" t="e">
        <f>#REF!</f>
        <v>#REF!</v>
      </c>
      <c r="Z49" s="2003">
        <f t="shared" si="14"/>
        <v>0</v>
      </c>
      <c r="AA49" s="1989" t="e">
        <f>#REF!/10^7</f>
        <v>#REF!</v>
      </c>
      <c r="AB49" s="2003">
        <f t="shared" si="15"/>
        <v>0</v>
      </c>
      <c r="AC49" s="1989" t="e">
        <f>#REF!/10^7</f>
        <v>#REF!</v>
      </c>
      <c r="AD49" s="2003">
        <f t="shared" si="16"/>
        <v>0</v>
      </c>
      <c r="AE49" s="1989" t="e">
        <f>#REF!/10^7</f>
        <v>#REF!</v>
      </c>
      <c r="AF49" s="1989" t="e">
        <f>#REF!/10^7</f>
        <v>#REF!</v>
      </c>
      <c r="AG49" s="2002" t="e">
        <f t="shared" si="17"/>
        <v>#REF!</v>
      </c>
      <c r="AH49" s="1999" t="e">
        <f t="shared" si="106"/>
        <v>#REF!</v>
      </c>
      <c r="AI49" s="1993" t="e">
        <f>#REF!</f>
        <v>#REF!</v>
      </c>
      <c r="AJ49" s="2003">
        <f t="shared" si="2"/>
        <v>0</v>
      </c>
      <c r="AK49" s="1989" t="e">
        <f>#REF!/10^7</f>
        <v>#REF!</v>
      </c>
      <c r="AL49" s="2003">
        <f t="shared" si="2"/>
        <v>0</v>
      </c>
      <c r="AM49" s="1989" t="e">
        <f>#REF!/10^7</f>
        <v>#REF!</v>
      </c>
      <c r="AN49" s="2003">
        <f t="shared" si="2"/>
        <v>0</v>
      </c>
      <c r="AO49" s="1989" t="e">
        <f>#REF!/10^7</f>
        <v>#REF!</v>
      </c>
      <c r="AP49" s="1989" t="e">
        <f>#REF!/10^7</f>
        <v>#REF!</v>
      </c>
      <c r="AQ49" s="2002" t="e">
        <f t="shared" si="19"/>
        <v>#REF!</v>
      </c>
      <c r="AR49" s="1999" t="e">
        <f t="shared" si="107"/>
        <v>#REF!</v>
      </c>
      <c r="AS49" s="1993" t="e">
        <f>#REF!</f>
        <v>#REF!</v>
      </c>
      <c r="AT49" s="2003">
        <f t="shared" si="20"/>
        <v>0</v>
      </c>
      <c r="AU49" s="1989" t="e">
        <f>#REF!/10^7</f>
        <v>#REF!</v>
      </c>
      <c r="AV49" s="2003">
        <f t="shared" si="21"/>
        <v>0</v>
      </c>
      <c r="AW49" s="1989" t="e">
        <f>#REF!/10^7</f>
        <v>#REF!</v>
      </c>
      <c r="AX49" s="2003">
        <f t="shared" si="22"/>
        <v>0</v>
      </c>
      <c r="AY49" s="1989" t="e">
        <f>#REF!/10^7</f>
        <v>#REF!</v>
      </c>
      <c r="AZ49" s="1989" t="e">
        <f>#REF!/10^7</f>
        <v>#REF!</v>
      </c>
      <c r="BA49" s="2002" t="e">
        <f t="shared" si="23"/>
        <v>#REF!</v>
      </c>
      <c r="BB49" s="1999" t="e">
        <f t="shared" si="108"/>
        <v>#REF!</v>
      </c>
      <c r="BC49" s="1993" t="e">
        <f>#REF!</f>
        <v>#REF!</v>
      </c>
      <c r="BD49" s="2003">
        <f t="shared" si="24"/>
        <v>0</v>
      </c>
      <c r="BE49" s="1989" t="e">
        <f>#REF!/10^7</f>
        <v>#REF!</v>
      </c>
      <c r="BF49" s="2003">
        <f t="shared" si="25"/>
        <v>0</v>
      </c>
      <c r="BG49" s="1989" t="e">
        <f>#REF!/10^7</f>
        <v>#REF!</v>
      </c>
      <c r="BH49" s="2003">
        <f t="shared" si="26"/>
        <v>0</v>
      </c>
      <c r="BI49" s="1989" t="e">
        <f>#REF!/10^7</f>
        <v>#REF!</v>
      </c>
      <c r="BJ49" s="1989" t="e">
        <f>#REF!/10^7</f>
        <v>#REF!</v>
      </c>
      <c r="BK49" s="2002" t="e">
        <f t="shared" si="27"/>
        <v>#REF!</v>
      </c>
      <c r="BL49" s="1999" t="e">
        <f t="shared" si="109"/>
        <v>#REF!</v>
      </c>
      <c r="BM49" s="1993" t="e">
        <f>#REF!</f>
        <v>#REF!</v>
      </c>
      <c r="BN49" s="2003">
        <f t="shared" si="29"/>
        <v>0</v>
      </c>
      <c r="BO49" s="1989" t="e">
        <f>#REF!/10^7</f>
        <v>#REF!</v>
      </c>
      <c r="BP49" s="2003">
        <f t="shared" si="30"/>
        <v>0</v>
      </c>
      <c r="BQ49" s="1989" t="e">
        <f>#REF!/10^7</f>
        <v>#REF!</v>
      </c>
      <c r="BR49" s="2003">
        <f t="shared" si="31"/>
        <v>0</v>
      </c>
      <c r="BS49" s="1989" t="e">
        <f>#REF!/10^7</f>
        <v>#REF!</v>
      </c>
      <c r="BT49" s="1989" t="e">
        <f>#REF!/10^7</f>
        <v>#REF!</v>
      </c>
      <c r="BU49" s="2002" t="e">
        <f t="shared" si="32"/>
        <v>#REF!</v>
      </c>
      <c r="BV49" s="1999" t="e">
        <f t="shared" si="110"/>
        <v>#REF!</v>
      </c>
      <c r="BW49" s="1993" t="e">
        <f>#REF!</f>
        <v>#REF!</v>
      </c>
      <c r="BX49" s="2003">
        <f t="shared" si="34"/>
        <v>0</v>
      </c>
      <c r="BY49" s="1989" t="e">
        <f>#REF!/10^7</f>
        <v>#REF!</v>
      </c>
      <c r="BZ49" s="2003">
        <f t="shared" si="35"/>
        <v>0</v>
      </c>
      <c r="CA49" s="1989" t="e">
        <f>#REF!/10^7</f>
        <v>#REF!</v>
      </c>
      <c r="CB49" s="2003">
        <f t="shared" si="36"/>
        <v>0</v>
      </c>
      <c r="CC49" s="1989" t="e">
        <f>#REF!/10^7</f>
        <v>#REF!</v>
      </c>
      <c r="CD49" s="1989" t="e">
        <f>#REF!/10^7</f>
        <v>#REF!</v>
      </c>
      <c r="CE49" s="2002" t="e">
        <f t="shared" si="37"/>
        <v>#REF!</v>
      </c>
      <c r="CF49" s="1999" t="e">
        <f t="shared" si="111"/>
        <v>#REF!</v>
      </c>
      <c r="CG49" s="1993" t="e">
        <f>#REF!</f>
        <v>#REF!</v>
      </c>
      <c r="CH49" s="2003">
        <f t="shared" si="39"/>
        <v>0</v>
      </c>
      <c r="CI49" s="1989" t="e">
        <f>#REF!/10^7</f>
        <v>#REF!</v>
      </c>
      <c r="CJ49" s="2003">
        <f t="shared" si="40"/>
        <v>0</v>
      </c>
      <c r="CK49" s="1989" t="e">
        <f>#REF!/10^7</f>
        <v>#REF!</v>
      </c>
      <c r="CL49" s="2003">
        <f t="shared" si="41"/>
        <v>0</v>
      </c>
      <c r="CM49" s="1989" t="e">
        <f>#REF!/10^7</f>
        <v>#REF!</v>
      </c>
      <c r="CN49" s="1989" t="e">
        <f>#REF!/10^7</f>
        <v>#REF!</v>
      </c>
      <c r="CO49" s="2002" t="e">
        <f t="shared" si="42"/>
        <v>#REF!</v>
      </c>
      <c r="CP49" s="1999" t="e">
        <f t="shared" si="112"/>
        <v>#REF!</v>
      </c>
      <c r="CQ49" s="1993" t="e">
        <f>#REF!</f>
        <v>#REF!</v>
      </c>
      <c r="CR49" s="2003">
        <f t="shared" si="44"/>
        <v>0</v>
      </c>
      <c r="CS49" s="1989" t="e">
        <f>#REF!/10^7</f>
        <v>#REF!</v>
      </c>
      <c r="CT49" s="2003">
        <f t="shared" si="45"/>
        <v>0</v>
      </c>
      <c r="CU49" s="1989" t="e">
        <f>#REF!/10^7</f>
        <v>#REF!</v>
      </c>
      <c r="CV49" s="2003">
        <f t="shared" si="46"/>
        <v>0</v>
      </c>
      <c r="CW49" s="1989" t="e">
        <f>#REF!/10^7</f>
        <v>#REF!</v>
      </c>
      <c r="CX49" s="1989" t="e">
        <f>#REF!/10^7</f>
        <v>#REF!</v>
      </c>
      <c r="CY49" s="2002" t="e">
        <f t="shared" si="47"/>
        <v>#REF!</v>
      </c>
      <c r="CZ49" s="1999" t="e">
        <f t="shared" si="115"/>
        <v>#REF!</v>
      </c>
      <c r="DA49" s="1993" t="e">
        <f>#REF!</f>
        <v>#REF!</v>
      </c>
      <c r="DB49" s="2003">
        <f t="shared" si="49"/>
        <v>0</v>
      </c>
      <c r="DC49" s="1989" t="e">
        <f>#REF!/10^7</f>
        <v>#REF!</v>
      </c>
      <c r="DD49" s="2003">
        <f t="shared" si="50"/>
        <v>0</v>
      </c>
      <c r="DE49" s="1989" t="e">
        <f>#REF!/10^7</f>
        <v>#REF!</v>
      </c>
      <c r="DF49" s="2003">
        <f t="shared" si="51"/>
        <v>0</v>
      </c>
      <c r="DG49" s="1989" t="e">
        <f>#REF!/10^7</f>
        <v>#REF!</v>
      </c>
      <c r="DH49" s="1989" t="e">
        <f>#REF!/10^7</f>
        <v>#REF!</v>
      </c>
      <c r="DI49" s="2002" t="e">
        <f t="shared" si="52"/>
        <v>#REF!</v>
      </c>
      <c r="DJ49" s="1999" t="e">
        <f t="shared" si="116"/>
        <v>#REF!</v>
      </c>
      <c r="DK49" s="1993" t="e">
        <f>#REF!</f>
        <v>#REF!</v>
      </c>
      <c r="DL49" s="2003">
        <f t="shared" si="54"/>
        <v>0</v>
      </c>
      <c r="DM49" s="1989" t="e">
        <f>#REF!/10^7</f>
        <v>#REF!</v>
      </c>
      <c r="DN49" s="2003">
        <f t="shared" si="55"/>
        <v>0</v>
      </c>
      <c r="DO49" s="1989" t="e">
        <f>#REF!/10^7</f>
        <v>#REF!</v>
      </c>
      <c r="DP49" s="2003">
        <f t="shared" si="56"/>
        <v>0</v>
      </c>
      <c r="DQ49" s="1989" t="e">
        <f>#REF!/10^7</f>
        <v>#REF!</v>
      </c>
      <c r="DR49" s="1989" t="e">
        <f>#REF!/10^7</f>
        <v>#REF!</v>
      </c>
      <c r="DS49" s="2002" t="e">
        <f t="shared" si="57"/>
        <v>#REF!</v>
      </c>
      <c r="DT49" s="2004" t="e">
        <f t="shared" si="117"/>
        <v>#REF!</v>
      </c>
      <c r="DU49" s="1988" t="e">
        <f>#REF!</f>
        <v>#REF!</v>
      </c>
      <c r="DV49" s="2003">
        <f t="shared" si="59"/>
        <v>0</v>
      </c>
      <c r="DW49" s="1989" t="e">
        <f>#REF!/10^7</f>
        <v>#REF!</v>
      </c>
      <c r="DX49" s="2003">
        <f t="shared" si="60"/>
        <v>0</v>
      </c>
      <c r="DY49" s="1989" t="e">
        <f>#REF!/10^7</f>
        <v>#REF!</v>
      </c>
      <c r="DZ49" s="2003">
        <f t="shared" si="61"/>
        <v>0</v>
      </c>
      <c r="EA49" s="1989" t="e">
        <f>#REF!/10^7</f>
        <v>#REF!</v>
      </c>
      <c r="EB49" s="1989" t="e">
        <f>#REF!/10^7</f>
        <v>#REF!</v>
      </c>
      <c r="EC49" s="2002" t="e">
        <f t="shared" si="62"/>
        <v>#REF!</v>
      </c>
      <c r="ED49" s="1998" t="e">
        <f t="shared" si="118"/>
        <v>#REF!</v>
      </c>
      <c r="EE49" s="2005" t="e">
        <f t="shared" si="122"/>
        <v>#REF!</v>
      </c>
      <c r="EF49" s="2003">
        <f t="shared" si="64"/>
        <v>0</v>
      </c>
      <c r="EG49" s="1989" t="e">
        <f t="shared" si="119"/>
        <v>#REF!</v>
      </c>
      <c r="EH49" s="2003">
        <f t="shared" si="65"/>
        <v>0</v>
      </c>
      <c r="EI49" s="1989" t="e">
        <f t="shared" si="120"/>
        <v>#REF!</v>
      </c>
      <c r="EJ49" s="2003">
        <f t="shared" si="66"/>
        <v>0</v>
      </c>
      <c r="EK49" s="1989" t="e">
        <f t="shared" si="121"/>
        <v>#REF!</v>
      </c>
      <c r="EL49" s="1989" t="e">
        <f t="shared" si="121"/>
        <v>#REF!</v>
      </c>
      <c r="EM49" s="2006" t="e">
        <f t="shared" si="67"/>
        <v>#REF!</v>
      </c>
      <c r="EN49" s="1999" t="e">
        <f t="shared" si="123"/>
        <v>#REF!</v>
      </c>
      <c r="EP49" s="1613" t="e">
        <f>EA49-#REF!/10^7</f>
        <v>#REF!</v>
      </c>
      <c r="EW49" s="1611" t="s">
        <v>1649</v>
      </c>
      <c r="EX49" s="1612" t="s">
        <v>1649</v>
      </c>
      <c r="EZ49" s="1650">
        <f t="shared" si="69"/>
        <v>0</v>
      </c>
    </row>
    <row r="50" spans="1:156" ht="21" customHeight="1">
      <c r="A50" s="1652">
        <v>7</v>
      </c>
      <c r="B50" s="1668" t="s">
        <v>1686</v>
      </c>
      <c r="C50" s="1645">
        <v>500</v>
      </c>
      <c r="D50" s="1646">
        <f t="shared" si="113"/>
        <v>44.6</v>
      </c>
      <c r="E50" s="1646">
        <v>95.677999999999997</v>
      </c>
      <c r="F50" s="1670">
        <v>6.25</v>
      </c>
      <c r="G50" s="1640"/>
      <c r="H50" s="1640">
        <v>223</v>
      </c>
      <c r="I50" s="1648" t="s">
        <v>1649</v>
      </c>
      <c r="J50" s="1649">
        <v>2</v>
      </c>
      <c r="K50" s="1648"/>
      <c r="L50" s="1640"/>
      <c r="M50" s="1640"/>
      <c r="N50" s="1642"/>
      <c r="O50" s="2000" t="e">
        <f>#REF!</f>
        <v>#REF!</v>
      </c>
      <c r="P50" s="2003">
        <f t="shared" si="9"/>
        <v>0</v>
      </c>
      <c r="Q50" s="1989" t="e">
        <f>#REF!/10^7</f>
        <v>#REF!</v>
      </c>
      <c r="R50" s="2003">
        <f t="shared" si="10"/>
        <v>0</v>
      </c>
      <c r="S50" s="1989" t="e">
        <f>#REF!/10^7</f>
        <v>#REF!</v>
      </c>
      <c r="T50" s="2003">
        <f t="shared" si="11"/>
        <v>0</v>
      </c>
      <c r="U50" s="1989" t="e">
        <f>#REF!/10^7</f>
        <v>#REF!</v>
      </c>
      <c r="V50" s="1989" t="e">
        <f>#REF!/10^7</f>
        <v>#REF!</v>
      </c>
      <c r="W50" s="1989">
        <f t="shared" si="12"/>
        <v>0</v>
      </c>
      <c r="X50" s="1999" t="e">
        <f t="shared" si="114"/>
        <v>#REF!</v>
      </c>
      <c r="Y50" s="1993" t="e">
        <f>#REF!</f>
        <v>#REF!</v>
      </c>
      <c r="Z50" s="2003">
        <f t="shared" si="14"/>
        <v>0</v>
      </c>
      <c r="AA50" s="1989" t="e">
        <f>#REF!/10^7</f>
        <v>#REF!</v>
      </c>
      <c r="AB50" s="2003">
        <f t="shared" si="15"/>
        <v>0</v>
      </c>
      <c r="AC50" s="1989" t="e">
        <f>#REF!/10^7</f>
        <v>#REF!</v>
      </c>
      <c r="AD50" s="2003">
        <f t="shared" si="16"/>
        <v>0</v>
      </c>
      <c r="AE50" s="1989" t="e">
        <f>#REF!/10^7</f>
        <v>#REF!</v>
      </c>
      <c r="AF50" s="1989" t="e">
        <f>#REF!/10^7</f>
        <v>#REF!</v>
      </c>
      <c r="AG50" s="2002" t="e">
        <f t="shared" si="17"/>
        <v>#REF!</v>
      </c>
      <c r="AH50" s="1999" t="e">
        <f t="shared" si="106"/>
        <v>#REF!</v>
      </c>
      <c r="AI50" s="1993" t="e">
        <f>#REF!</f>
        <v>#REF!</v>
      </c>
      <c r="AJ50" s="2003">
        <f t="shared" si="2"/>
        <v>0</v>
      </c>
      <c r="AK50" s="1989" t="e">
        <f>#REF!/10^7</f>
        <v>#REF!</v>
      </c>
      <c r="AL50" s="2003">
        <f t="shared" si="2"/>
        <v>0</v>
      </c>
      <c r="AM50" s="1989" t="e">
        <f>#REF!/10^7</f>
        <v>#REF!</v>
      </c>
      <c r="AN50" s="2003">
        <f t="shared" si="2"/>
        <v>0</v>
      </c>
      <c r="AO50" s="1989" t="e">
        <f>#REF!/10^7</f>
        <v>#REF!</v>
      </c>
      <c r="AP50" s="1989" t="e">
        <f>#REF!/10^7</f>
        <v>#REF!</v>
      </c>
      <c r="AQ50" s="2002" t="e">
        <f t="shared" si="19"/>
        <v>#REF!</v>
      </c>
      <c r="AR50" s="1999" t="e">
        <f t="shared" si="107"/>
        <v>#REF!</v>
      </c>
      <c r="AS50" s="1993" t="e">
        <f>#REF!</f>
        <v>#REF!</v>
      </c>
      <c r="AT50" s="2003">
        <f t="shared" si="20"/>
        <v>0</v>
      </c>
      <c r="AU50" s="1989" t="e">
        <f>#REF!/10^7</f>
        <v>#REF!</v>
      </c>
      <c r="AV50" s="2003">
        <f t="shared" si="21"/>
        <v>0</v>
      </c>
      <c r="AW50" s="1989" t="e">
        <f>#REF!/10^7</f>
        <v>#REF!</v>
      </c>
      <c r="AX50" s="2003">
        <f t="shared" si="22"/>
        <v>0</v>
      </c>
      <c r="AY50" s="1989" t="e">
        <f>#REF!/10^7</f>
        <v>#REF!</v>
      </c>
      <c r="AZ50" s="1989" t="e">
        <f>#REF!/10^7</f>
        <v>#REF!</v>
      </c>
      <c r="BA50" s="2002" t="e">
        <f t="shared" si="23"/>
        <v>#REF!</v>
      </c>
      <c r="BB50" s="1999" t="e">
        <f t="shared" si="108"/>
        <v>#REF!</v>
      </c>
      <c r="BC50" s="1993" t="e">
        <f>#REF!</f>
        <v>#REF!</v>
      </c>
      <c r="BD50" s="2003">
        <f t="shared" si="24"/>
        <v>0</v>
      </c>
      <c r="BE50" s="1989" t="e">
        <f>#REF!/10^7</f>
        <v>#REF!</v>
      </c>
      <c r="BF50" s="2003">
        <f t="shared" si="25"/>
        <v>0</v>
      </c>
      <c r="BG50" s="1989" t="e">
        <f>#REF!/10^7</f>
        <v>#REF!</v>
      </c>
      <c r="BH50" s="2003">
        <f t="shared" si="26"/>
        <v>0</v>
      </c>
      <c r="BI50" s="1989" t="e">
        <f>#REF!/10^7</f>
        <v>#REF!</v>
      </c>
      <c r="BJ50" s="1989" t="e">
        <f>#REF!/10^7</f>
        <v>#REF!</v>
      </c>
      <c r="BK50" s="2002" t="e">
        <f t="shared" si="27"/>
        <v>#REF!</v>
      </c>
      <c r="BL50" s="1999" t="e">
        <f t="shared" si="109"/>
        <v>#REF!</v>
      </c>
      <c r="BM50" s="1993" t="e">
        <f>#REF!</f>
        <v>#REF!</v>
      </c>
      <c r="BN50" s="2003">
        <f t="shared" si="29"/>
        <v>0</v>
      </c>
      <c r="BO50" s="1989" t="e">
        <f>#REF!/10^7</f>
        <v>#REF!</v>
      </c>
      <c r="BP50" s="2003">
        <f t="shared" si="30"/>
        <v>0</v>
      </c>
      <c r="BQ50" s="1989" t="e">
        <f>#REF!/10^7</f>
        <v>#REF!</v>
      </c>
      <c r="BR50" s="2003">
        <f t="shared" si="31"/>
        <v>0</v>
      </c>
      <c r="BS50" s="1989" t="e">
        <f>#REF!/10^7</f>
        <v>#REF!</v>
      </c>
      <c r="BT50" s="1989" t="e">
        <f>#REF!/10^7</f>
        <v>#REF!</v>
      </c>
      <c r="BU50" s="2002" t="e">
        <f t="shared" si="32"/>
        <v>#REF!</v>
      </c>
      <c r="BV50" s="1999" t="e">
        <f t="shared" si="110"/>
        <v>#REF!</v>
      </c>
      <c r="BW50" s="1993" t="e">
        <f>#REF!</f>
        <v>#REF!</v>
      </c>
      <c r="BX50" s="2003">
        <f t="shared" si="34"/>
        <v>0</v>
      </c>
      <c r="BY50" s="1989" t="e">
        <f>#REF!/10^7</f>
        <v>#REF!</v>
      </c>
      <c r="BZ50" s="2003">
        <f t="shared" si="35"/>
        <v>0</v>
      </c>
      <c r="CA50" s="1989" t="e">
        <f>#REF!/10^7</f>
        <v>#REF!</v>
      </c>
      <c r="CB50" s="2003">
        <f t="shared" si="36"/>
        <v>0</v>
      </c>
      <c r="CC50" s="1989" t="e">
        <f>#REF!/10^7</f>
        <v>#REF!</v>
      </c>
      <c r="CD50" s="1989" t="e">
        <f>#REF!/10^7</f>
        <v>#REF!</v>
      </c>
      <c r="CE50" s="2002" t="e">
        <f t="shared" si="37"/>
        <v>#REF!</v>
      </c>
      <c r="CF50" s="1999" t="e">
        <f t="shared" si="111"/>
        <v>#REF!</v>
      </c>
      <c r="CG50" s="1993" t="e">
        <f>#REF!</f>
        <v>#REF!</v>
      </c>
      <c r="CH50" s="2003">
        <f t="shared" si="39"/>
        <v>0</v>
      </c>
      <c r="CI50" s="1989" t="e">
        <f>#REF!/10^7</f>
        <v>#REF!</v>
      </c>
      <c r="CJ50" s="2003">
        <f t="shared" si="40"/>
        <v>0</v>
      </c>
      <c r="CK50" s="1989" t="e">
        <f>#REF!/10^7</f>
        <v>#REF!</v>
      </c>
      <c r="CL50" s="2003">
        <f t="shared" si="41"/>
        <v>0</v>
      </c>
      <c r="CM50" s="1989" t="e">
        <f>#REF!/10^7</f>
        <v>#REF!</v>
      </c>
      <c r="CN50" s="1989" t="e">
        <f>#REF!/10^7</f>
        <v>#REF!</v>
      </c>
      <c r="CO50" s="2002" t="e">
        <f t="shared" si="42"/>
        <v>#REF!</v>
      </c>
      <c r="CP50" s="1999" t="e">
        <f t="shared" si="112"/>
        <v>#REF!</v>
      </c>
      <c r="CQ50" s="1993" t="e">
        <f>#REF!</f>
        <v>#REF!</v>
      </c>
      <c r="CR50" s="2003">
        <f t="shared" si="44"/>
        <v>0</v>
      </c>
      <c r="CS50" s="1989" t="e">
        <f>#REF!/10^7</f>
        <v>#REF!</v>
      </c>
      <c r="CT50" s="2003">
        <f t="shared" si="45"/>
        <v>0</v>
      </c>
      <c r="CU50" s="1989" t="e">
        <f>#REF!/10^7</f>
        <v>#REF!</v>
      </c>
      <c r="CV50" s="2003">
        <f t="shared" si="46"/>
        <v>0</v>
      </c>
      <c r="CW50" s="1989" t="e">
        <f>#REF!/10^7</f>
        <v>#REF!</v>
      </c>
      <c r="CX50" s="1989" t="e">
        <f>#REF!/10^7</f>
        <v>#REF!</v>
      </c>
      <c r="CY50" s="2002" t="e">
        <f t="shared" si="47"/>
        <v>#REF!</v>
      </c>
      <c r="CZ50" s="1999" t="e">
        <f t="shared" si="115"/>
        <v>#REF!</v>
      </c>
      <c r="DA50" s="1993" t="e">
        <f>#REF!</f>
        <v>#REF!</v>
      </c>
      <c r="DB50" s="2003">
        <f t="shared" si="49"/>
        <v>0</v>
      </c>
      <c r="DC50" s="1989" t="e">
        <f>#REF!/10^7</f>
        <v>#REF!</v>
      </c>
      <c r="DD50" s="2003">
        <f t="shared" si="50"/>
        <v>0</v>
      </c>
      <c r="DE50" s="1989" t="e">
        <f>#REF!/10^7</f>
        <v>#REF!</v>
      </c>
      <c r="DF50" s="2003">
        <f t="shared" si="51"/>
        <v>0</v>
      </c>
      <c r="DG50" s="1989" t="e">
        <f>#REF!/10^7</f>
        <v>#REF!</v>
      </c>
      <c r="DH50" s="1989" t="e">
        <f>#REF!/10^7</f>
        <v>#REF!</v>
      </c>
      <c r="DI50" s="2002" t="e">
        <f t="shared" si="52"/>
        <v>#REF!</v>
      </c>
      <c r="DJ50" s="1999" t="e">
        <f t="shared" si="116"/>
        <v>#REF!</v>
      </c>
      <c r="DK50" s="1993" t="e">
        <f>#REF!</f>
        <v>#REF!</v>
      </c>
      <c r="DL50" s="2003">
        <f t="shared" si="54"/>
        <v>0</v>
      </c>
      <c r="DM50" s="1989" t="e">
        <f>#REF!/10^7</f>
        <v>#REF!</v>
      </c>
      <c r="DN50" s="2003">
        <f t="shared" si="55"/>
        <v>0</v>
      </c>
      <c r="DO50" s="1989" t="e">
        <f>#REF!/10^7</f>
        <v>#REF!</v>
      </c>
      <c r="DP50" s="2003">
        <f t="shared" si="56"/>
        <v>0</v>
      </c>
      <c r="DQ50" s="1989" t="e">
        <f>#REF!/10^7</f>
        <v>#REF!</v>
      </c>
      <c r="DR50" s="1989" t="e">
        <f>#REF!/10^7</f>
        <v>#REF!</v>
      </c>
      <c r="DS50" s="2002" t="e">
        <f t="shared" si="57"/>
        <v>#REF!</v>
      </c>
      <c r="DT50" s="2004" t="e">
        <f t="shared" si="117"/>
        <v>#REF!</v>
      </c>
      <c r="DU50" s="1988" t="e">
        <f>#REF!</f>
        <v>#REF!</v>
      </c>
      <c r="DV50" s="2003">
        <f t="shared" si="59"/>
        <v>0</v>
      </c>
      <c r="DW50" s="1989" t="e">
        <f>#REF!/10^7</f>
        <v>#REF!</v>
      </c>
      <c r="DX50" s="2003">
        <f t="shared" si="60"/>
        <v>0</v>
      </c>
      <c r="DY50" s="1989" t="e">
        <f>#REF!/10^7</f>
        <v>#REF!</v>
      </c>
      <c r="DZ50" s="2003">
        <f t="shared" si="61"/>
        <v>0</v>
      </c>
      <c r="EA50" s="1989" t="e">
        <f>#REF!/10^7</f>
        <v>#REF!</v>
      </c>
      <c r="EB50" s="1989" t="e">
        <f>#REF!/10^7</f>
        <v>#REF!</v>
      </c>
      <c r="EC50" s="2002" t="e">
        <f t="shared" si="62"/>
        <v>#REF!</v>
      </c>
      <c r="ED50" s="1998" t="e">
        <f t="shared" si="118"/>
        <v>#REF!</v>
      </c>
      <c r="EE50" s="2005" t="e">
        <f t="shared" si="122"/>
        <v>#REF!</v>
      </c>
      <c r="EF50" s="2003">
        <f t="shared" si="64"/>
        <v>0</v>
      </c>
      <c r="EG50" s="1989" t="e">
        <f t="shared" si="119"/>
        <v>#REF!</v>
      </c>
      <c r="EH50" s="2003">
        <f t="shared" si="65"/>
        <v>0</v>
      </c>
      <c r="EI50" s="1989" t="e">
        <f t="shared" si="120"/>
        <v>#REF!</v>
      </c>
      <c r="EJ50" s="2003">
        <f t="shared" si="66"/>
        <v>0</v>
      </c>
      <c r="EK50" s="1989" t="e">
        <f t="shared" si="121"/>
        <v>#REF!</v>
      </c>
      <c r="EL50" s="1989" t="e">
        <f t="shared" si="121"/>
        <v>#REF!</v>
      </c>
      <c r="EM50" s="2006" t="e">
        <f t="shared" si="67"/>
        <v>#REF!</v>
      </c>
      <c r="EN50" s="1999" t="e">
        <f t="shared" si="123"/>
        <v>#REF!</v>
      </c>
      <c r="EP50" s="1613" t="e">
        <f>EA50-#REF!/10^7</f>
        <v>#REF!</v>
      </c>
      <c r="EW50" s="1611" t="s">
        <v>1649</v>
      </c>
      <c r="EX50" s="1612" t="s">
        <v>1649</v>
      </c>
      <c r="EZ50" s="1650">
        <f t="shared" si="69"/>
        <v>0</v>
      </c>
    </row>
    <row r="51" spans="1:156" ht="21" customHeight="1">
      <c r="A51" s="1652">
        <v>8</v>
      </c>
      <c r="B51" s="1668" t="s">
        <v>1687</v>
      </c>
      <c r="C51" s="1645">
        <v>1600</v>
      </c>
      <c r="D51" s="1646">
        <f t="shared" si="113"/>
        <v>0</v>
      </c>
      <c r="E51" s="1646">
        <v>89.234999999999999</v>
      </c>
      <c r="F51" s="1670">
        <v>6.78</v>
      </c>
      <c r="G51" s="1640"/>
      <c r="H51" s="1640"/>
      <c r="I51" s="1648" t="s">
        <v>1649</v>
      </c>
      <c r="J51" s="1649">
        <v>1</v>
      </c>
      <c r="K51" s="1648"/>
      <c r="L51" s="1640"/>
      <c r="M51" s="1640"/>
      <c r="N51" s="1642"/>
      <c r="O51" s="2000" t="e">
        <f>#REF!</f>
        <v>#REF!</v>
      </c>
      <c r="P51" s="2003">
        <f t="shared" si="9"/>
        <v>0</v>
      </c>
      <c r="Q51" s="1989" t="e">
        <f>#REF!/10^7</f>
        <v>#REF!</v>
      </c>
      <c r="R51" s="2003">
        <f t="shared" si="10"/>
        <v>0</v>
      </c>
      <c r="S51" s="1989" t="e">
        <f>#REF!/10^7</f>
        <v>#REF!</v>
      </c>
      <c r="T51" s="2003">
        <f t="shared" si="11"/>
        <v>0</v>
      </c>
      <c r="U51" s="1989" t="e">
        <f>#REF!/10^7</f>
        <v>#REF!</v>
      </c>
      <c r="V51" s="1989" t="e">
        <f>#REF!/10^7</f>
        <v>#REF!</v>
      </c>
      <c r="W51" s="1989">
        <f t="shared" si="12"/>
        <v>0</v>
      </c>
      <c r="X51" s="1999" t="e">
        <f t="shared" si="114"/>
        <v>#REF!</v>
      </c>
      <c r="Y51" s="1993" t="e">
        <f>#REF!</f>
        <v>#REF!</v>
      </c>
      <c r="Z51" s="2003">
        <f t="shared" si="14"/>
        <v>0</v>
      </c>
      <c r="AA51" s="1989" t="e">
        <f>#REF!/10^7</f>
        <v>#REF!</v>
      </c>
      <c r="AB51" s="2003">
        <f t="shared" si="15"/>
        <v>0</v>
      </c>
      <c r="AC51" s="1989" t="e">
        <f>#REF!/10^7</f>
        <v>#REF!</v>
      </c>
      <c r="AD51" s="2003">
        <f t="shared" si="16"/>
        <v>0</v>
      </c>
      <c r="AE51" s="1989" t="e">
        <f>#REF!/10^7</f>
        <v>#REF!</v>
      </c>
      <c r="AF51" s="1989" t="e">
        <f>#REF!/10^7</f>
        <v>#REF!</v>
      </c>
      <c r="AG51" s="2002" t="e">
        <f t="shared" si="17"/>
        <v>#REF!</v>
      </c>
      <c r="AH51" s="1999" t="e">
        <f t="shared" si="106"/>
        <v>#REF!</v>
      </c>
      <c r="AI51" s="1993" t="e">
        <f>#REF!</f>
        <v>#REF!</v>
      </c>
      <c r="AJ51" s="2003">
        <f t="shared" si="2"/>
        <v>0</v>
      </c>
      <c r="AK51" s="1989" t="e">
        <f>#REF!/10^7</f>
        <v>#REF!</v>
      </c>
      <c r="AL51" s="2003">
        <f t="shared" si="2"/>
        <v>0</v>
      </c>
      <c r="AM51" s="1989" t="e">
        <f>#REF!/10^7</f>
        <v>#REF!</v>
      </c>
      <c r="AN51" s="2003">
        <f t="shared" si="2"/>
        <v>0</v>
      </c>
      <c r="AO51" s="1989" t="e">
        <f>#REF!/10^7</f>
        <v>#REF!</v>
      </c>
      <c r="AP51" s="1989" t="e">
        <f>#REF!/10^7</f>
        <v>#REF!</v>
      </c>
      <c r="AQ51" s="2002" t="e">
        <f t="shared" si="19"/>
        <v>#REF!</v>
      </c>
      <c r="AR51" s="1999" t="e">
        <f t="shared" si="107"/>
        <v>#REF!</v>
      </c>
      <c r="AS51" s="1993" t="e">
        <f>#REF!</f>
        <v>#REF!</v>
      </c>
      <c r="AT51" s="2003">
        <f t="shared" si="20"/>
        <v>0</v>
      </c>
      <c r="AU51" s="1989" t="e">
        <f>#REF!/10^7</f>
        <v>#REF!</v>
      </c>
      <c r="AV51" s="2003">
        <f t="shared" si="21"/>
        <v>0</v>
      </c>
      <c r="AW51" s="1989" t="e">
        <f>#REF!/10^7</f>
        <v>#REF!</v>
      </c>
      <c r="AX51" s="2003">
        <f t="shared" si="22"/>
        <v>0</v>
      </c>
      <c r="AY51" s="1989" t="e">
        <f>#REF!/10^7</f>
        <v>#REF!</v>
      </c>
      <c r="AZ51" s="1989" t="e">
        <f>#REF!/10^7</f>
        <v>#REF!</v>
      </c>
      <c r="BA51" s="2002" t="e">
        <f t="shared" si="23"/>
        <v>#REF!</v>
      </c>
      <c r="BB51" s="1999" t="e">
        <f t="shared" si="108"/>
        <v>#REF!</v>
      </c>
      <c r="BC51" s="1993" t="e">
        <f>#REF!</f>
        <v>#REF!</v>
      </c>
      <c r="BD51" s="2003">
        <f t="shared" si="24"/>
        <v>0</v>
      </c>
      <c r="BE51" s="1989" t="e">
        <f>#REF!/10^7</f>
        <v>#REF!</v>
      </c>
      <c r="BF51" s="2003">
        <f t="shared" si="25"/>
        <v>0</v>
      </c>
      <c r="BG51" s="1989" t="e">
        <f>#REF!/10^7</f>
        <v>#REF!</v>
      </c>
      <c r="BH51" s="2003">
        <f t="shared" si="26"/>
        <v>0</v>
      </c>
      <c r="BI51" s="1989" t="e">
        <f>#REF!/10^7</f>
        <v>#REF!</v>
      </c>
      <c r="BJ51" s="1989" t="e">
        <f>#REF!/10^7</f>
        <v>#REF!</v>
      </c>
      <c r="BK51" s="2002" t="e">
        <f t="shared" si="27"/>
        <v>#REF!</v>
      </c>
      <c r="BL51" s="1999" t="e">
        <f t="shared" si="109"/>
        <v>#REF!</v>
      </c>
      <c r="BM51" s="1993" t="e">
        <f>#REF!</f>
        <v>#REF!</v>
      </c>
      <c r="BN51" s="2003">
        <f t="shared" si="29"/>
        <v>0</v>
      </c>
      <c r="BO51" s="1989" t="e">
        <f>#REF!/10^7</f>
        <v>#REF!</v>
      </c>
      <c r="BP51" s="2003">
        <f t="shared" si="30"/>
        <v>0</v>
      </c>
      <c r="BQ51" s="1989" t="e">
        <f>#REF!/10^7</f>
        <v>#REF!</v>
      </c>
      <c r="BR51" s="2003">
        <f t="shared" si="31"/>
        <v>0</v>
      </c>
      <c r="BS51" s="1989" t="e">
        <f>#REF!/10^7</f>
        <v>#REF!</v>
      </c>
      <c r="BT51" s="1989" t="e">
        <f>#REF!/10^7</f>
        <v>#REF!</v>
      </c>
      <c r="BU51" s="2002" t="e">
        <f t="shared" si="32"/>
        <v>#REF!</v>
      </c>
      <c r="BV51" s="1999" t="e">
        <f t="shared" si="110"/>
        <v>#REF!</v>
      </c>
      <c r="BW51" s="1993" t="e">
        <f>#REF!</f>
        <v>#REF!</v>
      </c>
      <c r="BX51" s="2003">
        <f t="shared" si="34"/>
        <v>0</v>
      </c>
      <c r="BY51" s="1989" t="e">
        <f>#REF!/10^7</f>
        <v>#REF!</v>
      </c>
      <c r="BZ51" s="2003">
        <f t="shared" si="35"/>
        <v>0</v>
      </c>
      <c r="CA51" s="1989" t="e">
        <f>#REF!/10^7</f>
        <v>#REF!</v>
      </c>
      <c r="CB51" s="2003">
        <f t="shared" si="36"/>
        <v>0</v>
      </c>
      <c r="CC51" s="1989" t="e">
        <f>#REF!/10^7</f>
        <v>#REF!</v>
      </c>
      <c r="CD51" s="1989" t="e">
        <f>#REF!/10^7</f>
        <v>#REF!</v>
      </c>
      <c r="CE51" s="2002" t="e">
        <f t="shared" si="37"/>
        <v>#REF!</v>
      </c>
      <c r="CF51" s="1999" t="e">
        <f t="shared" si="111"/>
        <v>#REF!</v>
      </c>
      <c r="CG51" s="1993" t="e">
        <f>#REF!</f>
        <v>#REF!</v>
      </c>
      <c r="CH51" s="2003">
        <f t="shared" si="39"/>
        <v>0</v>
      </c>
      <c r="CI51" s="1989" t="e">
        <f>#REF!/10^7</f>
        <v>#REF!</v>
      </c>
      <c r="CJ51" s="2003">
        <f t="shared" si="40"/>
        <v>0</v>
      </c>
      <c r="CK51" s="1989" t="e">
        <f>#REF!/10^7</f>
        <v>#REF!</v>
      </c>
      <c r="CL51" s="2003">
        <f t="shared" si="41"/>
        <v>0</v>
      </c>
      <c r="CM51" s="1989" t="e">
        <f>#REF!/10^7</f>
        <v>#REF!</v>
      </c>
      <c r="CN51" s="1989" t="e">
        <f>#REF!/10^7</f>
        <v>#REF!</v>
      </c>
      <c r="CO51" s="2002" t="e">
        <f t="shared" si="42"/>
        <v>#REF!</v>
      </c>
      <c r="CP51" s="1999" t="e">
        <f t="shared" si="112"/>
        <v>#REF!</v>
      </c>
      <c r="CQ51" s="1993" t="e">
        <f>#REF!</f>
        <v>#REF!</v>
      </c>
      <c r="CR51" s="2003">
        <f t="shared" si="44"/>
        <v>0</v>
      </c>
      <c r="CS51" s="1989" t="e">
        <f>#REF!/10^7</f>
        <v>#REF!</v>
      </c>
      <c r="CT51" s="2003">
        <f t="shared" si="45"/>
        <v>0</v>
      </c>
      <c r="CU51" s="1989" t="e">
        <f>#REF!/10^7</f>
        <v>#REF!</v>
      </c>
      <c r="CV51" s="2003">
        <f t="shared" si="46"/>
        <v>0</v>
      </c>
      <c r="CW51" s="1989" t="e">
        <f>#REF!/10^7</f>
        <v>#REF!</v>
      </c>
      <c r="CX51" s="1989" t="e">
        <f>#REF!/10^7</f>
        <v>#REF!</v>
      </c>
      <c r="CY51" s="2002" t="e">
        <f t="shared" si="47"/>
        <v>#REF!</v>
      </c>
      <c r="CZ51" s="1999" t="e">
        <f t="shared" si="115"/>
        <v>#REF!</v>
      </c>
      <c r="DA51" s="1993" t="e">
        <f>#REF!</f>
        <v>#REF!</v>
      </c>
      <c r="DB51" s="2003">
        <f t="shared" si="49"/>
        <v>0</v>
      </c>
      <c r="DC51" s="1989" t="e">
        <f>#REF!/10^7</f>
        <v>#REF!</v>
      </c>
      <c r="DD51" s="2003">
        <f t="shared" si="50"/>
        <v>0</v>
      </c>
      <c r="DE51" s="1989" t="e">
        <f>#REF!/10^7</f>
        <v>#REF!</v>
      </c>
      <c r="DF51" s="2003">
        <f t="shared" si="51"/>
        <v>0</v>
      </c>
      <c r="DG51" s="1989" t="e">
        <f>#REF!/10^7</f>
        <v>#REF!</v>
      </c>
      <c r="DH51" s="1989" t="e">
        <f>#REF!/10^7</f>
        <v>#REF!</v>
      </c>
      <c r="DI51" s="2002" t="e">
        <f t="shared" si="52"/>
        <v>#REF!</v>
      </c>
      <c r="DJ51" s="1999" t="e">
        <f t="shared" si="116"/>
        <v>#REF!</v>
      </c>
      <c r="DK51" s="1993" t="e">
        <f>#REF!</f>
        <v>#REF!</v>
      </c>
      <c r="DL51" s="2003">
        <f t="shared" si="54"/>
        <v>0</v>
      </c>
      <c r="DM51" s="1989" t="e">
        <f>#REF!/10^7</f>
        <v>#REF!</v>
      </c>
      <c r="DN51" s="2003">
        <f t="shared" si="55"/>
        <v>0</v>
      </c>
      <c r="DO51" s="1989" t="e">
        <f>#REF!/10^7</f>
        <v>#REF!</v>
      </c>
      <c r="DP51" s="2003">
        <f t="shared" si="56"/>
        <v>0</v>
      </c>
      <c r="DQ51" s="1989" t="e">
        <f>#REF!/10^7</f>
        <v>#REF!</v>
      </c>
      <c r="DR51" s="1989" t="e">
        <f>#REF!/10^7</f>
        <v>#REF!</v>
      </c>
      <c r="DS51" s="2002" t="e">
        <f t="shared" si="57"/>
        <v>#REF!</v>
      </c>
      <c r="DT51" s="2004" t="e">
        <f t="shared" si="117"/>
        <v>#REF!</v>
      </c>
      <c r="DU51" s="1988" t="e">
        <f>#REF!</f>
        <v>#REF!</v>
      </c>
      <c r="DV51" s="2003">
        <f t="shared" si="59"/>
        <v>0</v>
      </c>
      <c r="DW51" s="1989" t="e">
        <f>#REF!/10^7</f>
        <v>#REF!</v>
      </c>
      <c r="DX51" s="2003">
        <f t="shared" si="60"/>
        <v>0</v>
      </c>
      <c r="DY51" s="1989" t="e">
        <f>#REF!/10^7</f>
        <v>#REF!</v>
      </c>
      <c r="DZ51" s="2003">
        <f t="shared" si="61"/>
        <v>0</v>
      </c>
      <c r="EA51" s="1989" t="e">
        <f>#REF!/10^7</f>
        <v>#REF!</v>
      </c>
      <c r="EB51" s="1989" t="e">
        <f>#REF!/10^7</f>
        <v>#REF!</v>
      </c>
      <c r="EC51" s="2002" t="e">
        <f t="shared" si="62"/>
        <v>#REF!</v>
      </c>
      <c r="ED51" s="1998" t="e">
        <f t="shared" si="118"/>
        <v>#REF!</v>
      </c>
      <c r="EE51" s="2005" t="e">
        <f t="shared" si="122"/>
        <v>#REF!</v>
      </c>
      <c r="EF51" s="2003">
        <f t="shared" si="64"/>
        <v>0</v>
      </c>
      <c r="EG51" s="1989" t="e">
        <f t="shared" si="119"/>
        <v>#REF!</v>
      </c>
      <c r="EH51" s="2003">
        <f t="shared" si="65"/>
        <v>0</v>
      </c>
      <c r="EI51" s="1989" t="e">
        <f t="shared" si="120"/>
        <v>#REF!</v>
      </c>
      <c r="EJ51" s="2003">
        <f t="shared" si="66"/>
        <v>0</v>
      </c>
      <c r="EK51" s="1989" t="e">
        <f t="shared" si="121"/>
        <v>#REF!</v>
      </c>
      <c r="EL51" s="1989" t="e">
        <f t="shared" si="121"/>
        <v>#REF!</v>
      </c>
      <c r="EM51" s="2006" t="e">
        <f t="shared" si="67"/>
        <v>#REF!</v>
      </c>
      <c r="EN51" s="1999" t="e">
        <f t="shared" si="123"/>
        <v>#REF!</v>
      </c>
      <c r="EP51" s="1613" t="e">
        <f>EA51-#REF!/10^7</f>
        <v>#REF!</v>
      </c>
      <c r="EW51" s="1611" t="e">
        <v>#N/A</v>
      </c>
      <c r="EX51" s="1612" t="s">
        <v>1649</v>
      </c>
      <c r="EZ51" s="1650">
        <f t="shared" si="69"/>
        <v>0</v>
      </c>
    </row>
    <row r="52" spans="1:156" ht="21" customHeight="1">
      <c r="A52" s="1652">
        <v>9</v>
      </c>
      <c r="B52" s="1668" t="s">
        <v>1688</v>
      </c>
      <c r="C52" s="1645">
        <v>840</v>
      </c>
      <c r="D52" s="1646">
        <f t="shared" si="113"/>
        <v>0</v>
      </c>
      <c r="E52" s="1646">
        <v>88.73</v>
      </c>
      <c r="F52" s="1665">
        <v>9</v>
      </c>
      <c r="G52" s="1640"/>
      <c r="H52" s="1640"/>
      <c r="I52" s="1648" t="s">
        <v>1649</v>
      </c>
      <c r="J52" s="1649">
        <v>1</v>
      </c>
      <c r="K52" s="1648"/>
      <c r="L52" s="1640"/>
      <c r="M52" s="1640"/>
      <c r="N52" s="1642"/>
      <c r="O52" s="2000" t="e">
        <f>#REF!</f>
        <v>#REF!</v>
      </c>
      <c r="P52" s="2003">
        <f t="shared" si="9"/>
        <v>0</v>
      </c>
      <c r="Q52" s="1989" t="e">
        <f>#REF!/10^7</f>
        <v>#REF!</v>
      </c>
      <c r="R52" s="2003">
        <f t="shared" si="10"/>
        <v>0</v>
      </c>
      <c r="S52" s="1989" t="e">
        <f>#REF!/10^7</f>
        <v>#REF!</v>
      </c>
      <c r="T52" s="2003">
        <f t="shared" si="11"/>
        <v>0</v>
      </c>
      <c r="U52" s="1989" t="e">
        <f>#REF!/10^7</f>
        <v>#REF!</v>
      </c>
      <c r="V52" s="1989" t="e">
        <f>#REF!/10^7</f>
        <v>#REF!</v>
      </c>
      <c r="W52" s="1989">
        <f t="shared" si="12"/>
        <v>0</v>
      </c>
      <c r="X52" s="1999" t="e">
        <f t="shared" si="114"/>
        <v>#REF!</v>
      </c>
      <c r="Y52" s="1993" t="e">
        <f>#REF!</f>
        <v>#REF!</v>
      </c>
      <c r="Z52" s="2003">
        <f t="shared" si="14"/>
        <v>0</v>
      </c>
      <c r="AA52" s="1989" t="e">
        <f>#REF!/10^7</f>
        <v>#REF!</v>
      </c>
      <c r="AB52" s="2003">
        <f t="shared" si="15"/>
        <v>0</v>
      </c>
      <c r="AC52" s="1989" t="e">
        <f>#REF!/10^7</f>
        <v>#REF!</v>
      </c>
      <c r="AD52" s="2003">
        <f t="shared" si="16"/>
        <v>0</v>
      </c>
      <c r="AE52" s="1989" t="e">
        <f>#REF!/10^7</f>
        <v>#REF!</v>
      </c>
      <c r="AF52" s="1989" t="e">
        <f>#REF!/10^7</f>
        <v>#REF!</v>
      </c>
      <c r="AG52" s="2002" t="e">
        <f t="shared" si="17"/>
        <v>#REF!</v>
      </c>
      <c r="AH52" s="1999" t="e">
        <f t="shared" si="106"/>
        <v>#REF!</v>
      </c>
      <c r="AI52" s="1993" t="e">
        <f>#REF!</f>
        <v>#REF!</v>
      </c>
      <c r="AJ52" s="2003">
        <f t="shared" si="2"/>
        <v>0</v>
      </c>
      <c r="AK52" s="1989" t="e">
        <f>#REF!/10^7</f>
        <v>#REF!</v>
      </c>
      <c r="AL52" s="2003">
        <f t="shared" si="2"/>
        <v>0</v>
      </c>
      <c r="AM52" s="1989" t="e">
        <f>#REF!/10^7</f>
        <v>#REF!</v>
      </c>
      <c r="AN52" s="2003">
        <f t="shared" si="2"/>
        <v>0</v>
      </c>
      <c r="AO52" s="1989" t="e">
        <f>#REF!/10^7</f>
        <v>#REF!</v>
      </c>
      <c r="AP52" s="1989" t="e">
        <f>#REF!/10^7</f>
        <v>#REF!</v>
      </c>
      <c r="AQ52" s="2002" t="e">
        <f t="shared" si="19"/>
        <v>#REF!</v>
      </c>
      <c r="AR52" s="1999" t="e">
        <f t="shared" si="107"/>
        <v>#REF!</v>
      </c>
      <c r="AS52" s="1993" t="e">
        <f>#REF!</f>
        <v>#REF!</v>
      </c>
      <c r="AT52" s="2003">
        <f t="shared" si="20"/>
        <v>0</v>
      </c>
      <c r="AU52" s="1989" t="e">
        <f>#REF!/10^7</f>
        <v>#REF!</v>
      </c>
      <c r="AV52" s="2003">
        <f t="shared" si="21"/>
        <v>0</v>
      </c>
      <c r="AW52" s="1989" t="e">
        <f>#REF!/10^7</f>
        <v>#REF!</v>
      </c>
      <c r="AX52" s="2003">
        <f t="shared" si="22"/>
        <v>0</v>
      </c>
      <c r="AY52" s="1989" t="e">
        <f>#REF!/10^7</f>
        <v>#REF!</v>
      </c>
      <c r="AZ52" s="1989" t="e">
        <f>#REF!/10^7</f>
        <v>#REF!</v>
      </c>
      <c r="BA52" s="2002" t="e">
        <f t="shared" si="23"/>
        <v>#REF!</v>
      </c>
      <c r="BB52" s="1999" t="e">
        <f t="shared" si="108"/>
        <v>#REF!</v>
      </c>
      <c r="BC52" s="1993" t="e">
        <f>#REF!</f>
        <v>#REF!</v>
      </c>
      <c r="BD52" s="2003">
        <f t="shared" si="24"/>
        <v>0</v>
      </c>
      <c r="BE52" s="1989" t="e">
        <f>#REF!/10^7</f>
        <v>#REF!</v>
      </c>
      <c r="BF52" s="2003">
        <f t="shared" si="25"/>
        <v>0</v>
      </c>
      <c r="BG52" s="1989" t="e">
        <f>#REF!/10^7</f>
        <v>#REF!</v>
      </c>
      <c r="BH52" s="2003">
        <f t="shared" si="26"/>
        <v>0</v>
      </c>
      <c r="BI52" s="1989" t="e">
        <f>#REF!/10^7</f>
        <v>#REF!</v>
      </c>
      <c r="BJ52" s="1989" t="e">
        <f>#REF!/10^7</f>
        <v>#REF!</v>
      </c>
      <c r="BK52" s="2002" t="e">
        <f t="shared" si="27"/>
        <v>#REF!</v>
      </c>
      <c r="BL52" s="1999" t="e">
        <f t="shared" si="109"/>
        <v>#REF!</v>
      </c>
      <c r="BM52" s="1993" t="e">
        <f>#REF!</f>
        <v>#REF!</v>
      </c>
      <c r="BN52" s="2003">
        <f t="shared" si="29"/>
        <v>0</v>
      </c>
      <c r="BO52" s="1989" t="e">
        <f>#REF!/10^7</f>
        <v>#REF!</v>
      </c>
      <c r="BP52" s="2003">
        <f t="shared" si="30"/>
        <v>0</v>
      </c>
      <c r="BQ52" s="1989" t="e">
        <f>#REF!/10^7</f>
        <v>#REF!</v>
      </c>
      <c r="BR52" s="2003">
        <f t="shared" si="31"/>
        <v>0</v>
      </c>
      <c r="BS52" s="1989" t="e">
        <f>#REF!/10^7</f>
        <v>#REF!</v>
      </c>
      <c r="BT52" s="1989" t="e">
        <f>#REF!/10^7</f>
        <v>#REF!</v>
      </c>
      <c r="BU52" s="2002" t="e">
        <f t="shared" si="32"/>
        <v>#REF!</v>
      </c>
      <c r="BV52" s="1999" t="e">
        <f t="shared" si="110"/>
        <v>#REF!</v>
      </c>
      <c r="BW52" s="1993" t="e">
        <f>#REF!</f>
        <v>#REF!</v>
      </c>
      <c r="BX52" s="2003">
        <f t="shared" si="34"/>
        <v>0</v>
      </c>
      <c r="BY52" s="1989" t="e">
        <f>#REF!/10^7</f>
        <v>#REF!</v>
      </c>
      <c r="BZ52" s="2003">
        <f t="shared" si="35"/>
        <v>0</v>
      </c>
      <c r="CA52" s="1989" t="e">
        <f>#REF!/10^7</f>
        <v>#REF!</v>
      </c>
      <c r="CB52" s="2003">
        <f t="shared" si="36"/>
        <v>0</v>
      </c>
      <c r="CC52" s="1989" t="e">
        <f>#REF!/10^7</f>
        <v>#REF!</v>
      </c>
      <c r="CD52" s="1989" t="e">
        <f>#REF!/10^7</f>
        <v>#REF!</v>
      </c>
      <c r="CE52" s="2002" t="e">
        <f t="shared" si="37"/>
        <v>#REF!</v>
      </c>
      <c r="CF52" s="1999" t="e">
        <f t="shared" si="111"/>
        <v>#REF!</v>
      </c>
      <c r="CG52" s="1993" t="e">
        <f>#REF!</f>
        <v>#REF!</v>
      </c>
      <c r="CH52" s="2003">
        <f t="shared" si="39"/>
        <v>0</v>
      </c>
      <c r="CI52" s="1989" t="e">
        <f>#REF!/10^7</f>
        <v>#REF!</v>
      </c>
      <c r="CJ52" s="2003">
        <f t="shared" si="40"/>
        <v>0</v>
      </c>
      <c r="CK52" s="1989" t="e">
        <f>#REF!/10^7</f>
        <v>#REF!</v>
      </c>
      <c r="CL52" s="2003">
        <f t="shared" si="41"/>
        <v>0</v>
      </c>
      <c r="CM52" s="1989" t="e">
        <f>#REF!/10^7</f>
        <v>#REF!</v>
      </c>
      <c r="CN52" s="1989" t="e">
        <f>#REF!/10^7</f>
        <v>#REF!</v>
      </c>
      <c r="CO52" s="2002" t="e">
        <f t="shared" si="42"/>
        <v>#REF!</v>
      </c>
      <c r="CP52" s="1999" t="e">
        <f t="shared" si="112"/>
        <v>#REF!</v>
      </c>
      <c r="CQ52" s="1993" t="e">
        <f>#REF!</f>
        <v>#REF!</v>
      </c>
      <c r="CR52" s="2003">
        <f t="shared" si="44"/>
        <v>0</v>
      </c>
      <c r="CS52" s="1989" t="e">
        <f>#REF!/10^7</f>
        <v>#REF!</v>
      </c>
      <c r="CT52" s="2003">
        <f t="shared" si="45"/>
        <v>0</v>
      </c>
      <c r="CU52" s="1989" t="e">
        <f>#REF!/10^7</f>
        <v>#REF!</v>
      </c>
      <c r="CV52" s="2003">
        <f t="shared" si="46"/>
        <v>0</v>
      </c>
      <c r="CW52" s="1989" t="e">
        <f>#REF!/10^7</f>
        <v>#REF!</v>
      </c>
      <c r="CX52" s="1989" t="e">
        <f>#REF!/10^7</f>
        <v>#REF!</v>
      </c>
      <c r="CY52" s="2002" t="e">
        <f t="shared" si="47"/>
        <v>#REF!</v>
      </c>
      <c r="CZ52" s="1999" t="e">
        <f t="shared" si="115"/>
        <v>#REF!</v>
      </c>
      <c r="DA52" s="1993" t="e">
        <f>#REF!</f>
        <v>#REF!</v>
      </c>
      <c r="DB52" s="2003">
        <f t="shared" si="49"/>
        <v>0</v>
      </c>
      <c r="DC52" s="1989" t="e">
        <f>#REF!/10^7</f>
        <v>#REF!</v>
      </c>
      <c r="DD52" s="2003">
        <f t="shared" si="50"/>
        <v>0</v>
      </c>
      <c r="DE52" s="1989" t="e">
        <f>#REF!/10^7</f>
        <v>#REF!</v>
      </c>
      <c r="DF52" s="2003">
        <f t="shared" si="51"/>
        <v>0</v>
      </c>
      <c r="DG52" s="1989" t="e">
        <f>#REF!/10^7</f>
        <v>#REF!</v>
      </c>
      <c r="DH52" s="1989" t="e">
        <f>#REF!/10^7</f>
        <v>#REF!</v>
      </c>
      <c r="DI52" s="2002" t="e">
        <f t="shared" si="52"/>
        <v>#REF!</v>
      </c>
      <c r="DJ52" s="1999" t="e">
        <f t="shared" si="116"/>
        <v>#REF!</v>
      </c>
      <c r="DK52" s="1993" t="e">
        <f>#REF!</f>
        <v>#REF!</v>
      </c>
      <c r="DL52" s="2003">
        <f t="shared" si="54"/>
        <v>0</v>
      </c>
      <c r="DM52" s="1989" t="e">
        <f>#REF!/10^7</f>
        <v>#REF!</v>
      </c>
      <c r="DN52" s="2003">
        <f t="shared" si="55"/>
        <v>0</v>
      </c>
      <c r="DO52" s="1989" t="e">
        <f>#REF!/10^7</f>
        <v>#REF!</v>
      </c>
      <c r="DP52" s="2003">
        <f t="shared" si="56"/>
        <v>0</v>
      </c>
      <c r="DQ52" s="1989" t="e">
        <f>#REF!/10^7</f>
        <v>#REF!</v>
      </c>
      <c r="DR52" s="1989" t="e">
        <f>#REF!/10^7</f>
        <v>#REF!</v>
      </c>
      <c r="DS52" s="2002" t="e">
        <f t="shared" si="57"/>
        <v>#REF!</v>
      </c>
      <c r="DT52" s="2004" t="e">
        <f t="shared" si="117"/>
        <v>#REF!</v>
      </c>
      <c r="DU52" s="1988" t="e">
        <f>#REF!</f>
        <v>#REF!</v>
      </c>
      <c r="DV52" s="2003">
        <f t="shared" si="59"/>
        <v>0</v>
      </c>
      <c r="DW52" s="1989" t="e">
        <f>#REF!/10^7</f>
        <v>#REF!</v>
      </c>
      <c r="DX52" s="2003">
        <f t="shared" si="60"/>
        <v>0</v>
      </c>
      <c r="DY52" s="1989" t="e">
        <f>#REF!/10^7</f>
        <v>#REF!</v>
      </c>
      <c r="DZ52" s="2003">
        <f t="shared" si="61"/>
        <v>0</v>
      </c>
      <c r="EA52" s="1989" t="e">
        <f>#REF!/10^7</f>
        <v>#REF!</v>
      </c>
      <c r="EB52" s="1989" t="e">
        <f>#REF!/10^7</f>
        <v>#REF!</v>
      </c>
      <c r="EC52" s="2002" t="e">
        <f t="shared" si="62"/>
        <v>#REF!</v>
      </c>
      <c r="ED52" s="1998" t="e">
        <f t="shared" si="118"/>
        <v>#REF!</v>
      </c>
      <c r="EE52" s="2005" t="e">
        <f t="shared" si="122"/>
        <v>#REF!</v>
      </c>
      <c r="EF52" s="2003">
        <f t="shared" si="64"/>
        <v>0</v>
      </c>
      <c r="EG52" s="1989" t="e">
        <f t="shared" si="119"/>
        <v>#REF!</v>
      </c>
      <c r="EH52" s="2003">
        <f t="shared" si="65"/>
        <v>0</v>
      </c>
      <c r="EI52" s="1989" t="e">
        <f t="shared" si="120"/>
        <v>#REF!</v>
      </c>
      <c r="EJ52" s="2003">
        <f t="shared" si="66"/>
        <v>0</v>
      </c>
      <c r="EK52" s="1989" t="e">
        <f t="shared" si="121"/>
        <v>#REF!</v>
      </c>
      <c r="EL52" s="1989" t="e">
        <f t="shared" si="121"/>
        <v>#REF!</v>
      </c>
      <c r="EM52" s="2006" t="e">
        <f t="shared" si="67"/>
        <v>#REF!</v>
      </c>
      <c r="EN52" s="1999" t="e">
        <f t="shared" si="123"/>
        <v>#REF!</v>
      </c>
      <c r="EP52" s="1613" t="e">
        <f>EA52-#REF!/10^7</f>
        <v>#REF!</v>
      </c>
      <c r="EW52" s="1611" t="e">
        <v>#N/A</v>
      </c>
      <c r="EX52" s="1612" t="s">
        <v>1649</v>
      </c>
      <c r="EZ52" s="1650">
        <f t="shared" si="69"/>
        <v>0</v>
      </c>
    </row>
    <row r="53" spans="1:156" ht="21" customHeight="1">
      <c r="A53" s="1652">
        <v>10</v>
      </c>
      <c r="B53" s="1668" t="s">
        <v>1689</v>
      </c>
      <c r="C53" s="1645">
        <v>1500</v>
      </c>
      <c r="D53" s="1646">
        <f t="shared" si="113"/>
        <v>10</v>
      </c>
      <c r="E53" s="1646">
        <v>87.795000000000002</v>
      </c>
      <c r="F53" s="1665">
        <v>6.25</v>
      </c>
      <c r="G53" s="1640"/>
      <c r="H53" s="1640">
        <v>150</v>
      </c>
      <c r="I53" s="1648" t="s">
        <v>1649</v>
      </c>
      <c r="J53" s="1649">
        <v>1</v>
      </c>
      <c r="K53" s="1648"/>
      <c r="L53" s="1640"/>
      <c r="M53" s="1640"/>
      <c r="N53" s="1642"/>
      <c r="O53" s="2000" t="e">
        <f>#REF!</f>
        <v>#REF!</v>
      </c>
      <c r="P53" s="2003">
        <f t="shared" si="9"/>
        <v>0</v>
      </c>
      <c r="Q53" s="1989" t="e">
        <f>#REF!/10^7</f>
        <v>#REF!</v>
      </c>
      <c r="R53" s="2003">
        <f t="shared" si="10"/>
        <v>0</v>
      </c>
      <c r="S53" s="1989" t="e">
        <f>#REF!/10^7</f>
        <v>#REF!</v>
      </c>
      <c r="T53" s="2003">
        <f t="shared" si="11"/>
        <v>0</v>
      </c>
      <c r="U53" s="1989" t="e">
        <f>#REF!/10^7</f>
        <v>#REF!</v>
      </c>
      <c r="V53" s="1989" t="e">
        <f>#REF!/10^7</f>
        <v>#REF!</v>
      </c>
      <c r="W53" s="1989">
        <f t="shared" si="12"/>
        <v>0</v>
      </c>
      <c r="X53" s="1999" t="e">
        <f t="shared" si="114"/>
        <v>#REF!</v>
      </c>
      <c r="Y53" s="1993" t="e">
        <f>#REF!</f>
        <v>#REF!</v>
      </c>
      <c r="Z53" s="2003">
        <f t="shared" si="14"/>
        <v>0</v>
      </c>
      <c r="AA53" s="1989" t="e">
        <f>#REF!/10^7</f>
        <v>#REF!</v>
      </c>
      <c r="AB53" s="2003">
        <f t="shared" si="15"/>
        <v>0</v>
      </c>
      <c r="AC53" s="1989" t="e">
        <f>#REF!/10^7</f>
        <v>#REF!</v>
      </c>
      <c r="AD53" s="2003">
        <f t="shared" si="16"/>
        <v>0</v>
      </c>
      <c r="AE53" s="1989" t="e">
        <f>#REF!/10^7</f>
        <v>#REF!</v>
      </c>
      <c r="AF53" s="1989" t="e">
        <f>#REF!/10^7</f>
        <v>#REF!</v>
      </c>
      <c r="AG53" s="2002" t="e">
        <f t="shared" si="17"/>
        <v>#REF!</v>
      </c>
      <c r="AH53" s="1999" t="e">
        <f t="shared" si="106"/>
        <v>#REF!</v>
      </c>
      <c r="AI53" s="1993" t="e">
        <f>#REF!</f>
        <v>#REF!</v>
      </c>
      <c r="AJ53" s="2003">
        <f t="shared" si="2"/>
        <v>0</v>
      </c>
      <c r="AK53" s="1989" t="e">
        <f>#REF!/10^7</f>
        <v>#REF!</v>
      </c>
      <c r="AL53" s="2003">
        <f t="shared" si="2"/>
        <v>0</v>
      </c>
      <c r="AM53" s="1989" t="e">
        <f>#REF!/10^7</f>
        <v>#REF!</v>
      </c>
      <c r="AN53" s="2003">
        <f t="shared" si="2"/>
        <v>0</v>
      </c>
      <c r="AO53" s="1989" t="e">
        <f>#REF!/10^7</f>
        <v>#REF!</v>
      </c>
      <c r="AP53" s="1989" t="e">
        <f>#REF!/10^7</f>
        <v>#REF!</v>
      </c>
      <c r="AQ53" s="2002" t="e">
        <f t="shared" si="19"/>
        <v>#REF!</v>
      </c>
      <c r="AR53" s="1999" t="e">
        <f t="shared" si="107"/>
        <v>#REF!</v>
      </c>
      <c r="AS53" s="1993" t="e">
        <f>#REF!</f>
        <v>#REF!</v>
      </c>
      <c r="AT53" s="2003">
        <f t="shared" si="20"/>
        <v>0</v>
      </c>
      <c r="AU53" s="1989" t="e">
        <f>#REF!/10^7</f>
        <v>#REF!</v>
      </c>
      <c r="AV53" s="2003">
        <f t="shared" si="21"/>
        <v>0</v>
      </c>
      <c r="AW53" s="1989" t="e">
        <f>#REF!/10^7</f>
        <v>#REF!</v>
      </c>
      <c r="AX53" s="2003">
        <f t="shared" si="22"/>
        <v>0</v>
      </c>
      <c r="AY53" s="1989" t="e">
        <f>#REF!/10^7</f>
        <v>#REF!</v>
      </c>
      <c r="AZ53" s="1989" t="e">
        <f>#REF!/10^7</f>
        <v>#REF!</v>
      </c>
      <c r="BA53" s="2002" t="e">
        <f t="shared" si="23"/>
        <v>#REF!</v>
      </c>
      <c r="BB53" s="1999" t="e">
        <f t="shared" si="108"/>
        <v>#REF!</v>
      </c>
      <c r="BC53" s="1993" t="e">
        <f>#REF!</f>
        <v>#REF!</v>
      </c>
      <c r="BD53" s="2003">
        <f t="shared" si="24"/>
        <v>0</v>
      </c>
      <c r="BE53" s="1989" t="e">
        <f>#REF!/10^7</f>
        <v>#REF!</v>
      </c>
      <c r="BF53" s="2003">
        <f t="shared" si="25"/>
        <v>0</v>
      </c>
      <c r="BG53" s="1989" t="e">
        <f>#REF!/10^7</f>
        <v>#REF!</v>
      </c>
      <c r="BH53" s="2003">
        <f t="shared" si="26"/>
        <v>0</v>
      </c>
      <c r="BI53" s="1989" t="e">
        <f>#REF!/10^7</f>
        <v>#REF!</v>
      </c>
      <c r="BJ53" s="1989" t="e">
        <f>#REF!/10^7</f>
        <v>#REF!</v>
      </c>
      <c r="BK53" s="2002" t="e">
        <f t="shared" si="27"/>
        <v>#REF!</v>
      </c>
      <c r="BL53" s="1999" t="e">
        <f t="shared" si="109"/>
        <v>#REF!</v>
      </c>
      <c r="BM53" s="1993" t="e">
        <f>#REF!</f>
        <v>#REF!</v>
      </c>
      <c r="BN53" s="2003">
        <f t="shared" si="29"/>
        <v>0</v>
      </c>
      <c r="BO53" s="1989" t="e">
        <f>#REF!/10^7</f>
        <v>#REF!</v>
      </c>
      <c r="BP53" s="2003">
        <f t="shared" si="30"/>
        <v>0</v>
      </c>
      <c r="BQ53" s="1989" t="e">
        <f>#REF!/10^7</f>
        <v>#REF!</v>
      </c>
      <c r="BR53" s="2003">
        <f t="shared" si="31"/>
        <v>0</v>
      </c>
      <c r="BS53" s="1989" t="e">
        <f>#REF!/10^7</f>
        <v>#REF!</v>
      </c>
      <c r="BT53" s="1989" t="e">
        <f>#REF!/10^7</f>
        <v>#REF!</v>
      </c>
      <c r="BU53" s="2002" t="e">
        <f t="shared" si="32"/>
        <v>#REF!</v>
      </c>
      <c r="BV53" s="1999" t="e">
        <f t="shared" si="110"/>
        <v>#REF!</v>
      </c>
      <c r="BW53" s="1993" t="e">
        <f>#REF!</f>
        <v>#REF!</v>
      </c>
      <c r="BX53" s="2003">
        <f t="shared" si="34"/>
        <v>0</v>
      </c>
      <c r="BY53" s="1989" t="e">
        <f>#REF!/10^7</f>
        <v>#REF!</v>
      </c>
      <c r="BZ53" s="2003">
        <f t="shared" si="35"/>
        <v>0</v>
      </c>
      <c r="CA53" s="1989" t="e">
        <f>#REF!/10^7</f>
        <v>#REF!</v>
      </c>
      <c r="CB53" s="2003">
        <f t="shared" si="36"/>
        <v>0</v>
      </c>
      <c r="CC53" s="1989" t="e">
        <f>#REF!/10^7</f>
        <v>#REF!</v>
      </c>
      <c r="CD53" s="1989" t="e">
        <f>#REF!/10^7</f>
        <v>#REF!</v>
      </c>
      <c r="CE53" s="2002" t="e">
        <f t="shared" si="37"/>
        <v>#REF!</v>
      </c>
      <c r="CF53" s="1999" t="e">
        <f t="shared" si="111"/>
        <v>#REF!</v>
      </c>
      <c r="CG53" s="1993" t="e">
        <f>#REF!</f>
        <v>#REF!</v>
      </c>
      <c r="CH53" s="2003">
        <f t="shared" si="39"/>
        <v>0</v>
      </c>
      <c r="CI53" s="1989" t="e">
        <f>#REF!/10^7</f>
        <v>#REF!</v>
      </c>
      <c r="CJ53" s="2003">
        <f t="shared" si="40"/>
        <v>0</v>
      </c>
      <c r="CK53" s="1989" t="e">
        <f>#REF!/10^7</f>
        <v>#REF!</v>
      </c>
      <c r="CL53" s="2003">
        <f t="shared" si="41"/>
        <v>0</v>
      </c>
      <c r="CM53" s="1989" t="e">
        <f>#REF!/10^7</f>
        <v>#REF!</v>
      </c>
      <c r="CN53" s="1989" t="e">
        <f>#REF!/10^7</f>
        <v>#REF!</v>
      </c>
      <c r="CO53" s="2002" t="e">
        <f t="shared" si="42"/>
        <v>#REF!</v>
      </c>
      <c r="CP53" s="1999" t="e">
        <f t="shared" si="112"/>
        <v>#REF!</v>
      </c>
      <c r="CQ53" s="1993" t="e">
        <f>#REF!</f>
        <v>#REF!</v>
      </c>
      <c r="CR53" s="2003">
        <f t="shared" si="44"/>
        <v>0</v>
      </c>
      <c r="CS53" s="1989" t="e">
        <f>#REF!/10^7</f>
        <v>#REF!</v>
      </c>
      <c r="CT53" s="2003">
        <f t="shared" si="45"/>
        <v>0</v>
      </c>
      <c r="CU53" s="1989" t="e">
        <f>#REF!/10^7</f>
        <v>#REF!</v>
      </c>
      <c r="CV53" s="2003">
        <f t="shared" si="46"/>
        <v>0</v>
      </c>
      <c r="CW53" s="1989" t="e">
        <f>#REF!/10^7</f>
        <v>#REF!</v>
      </c>
      <c r="CX53" s="1989" t="e">
        <f>#REF!/10^7</f>
        <v>#REF!</v>
      </c>
      <c r="CY53" s="2002" t="e">
        <f t="shared" si="47"/>
        <v>#REF!</v>
      </c>
      <c r="CZ53" s="1999" t="e">
        <f t="shared" si="115"/>
        <v>#REF!</v>
      </c>
      <c r="DA53" s="1993" t="e">
        <f>#REF!</f>
        <v>#REF!</v>
      </c>
      <c r="DB53" s="2003">
        <f t="shared" si="49"/>
        <v>0</v>
      </c>
      <c r="DC53" s="1989" t="e">
        <f>#REF!/10^7</f>
        <v>#REF!</v>
      </c>
      <c r="DD53" s="2003">
        <f t="shared" si="50"/>
        <v>0</v>
      </c>
      <c r="DE53" s="1989" t="e">
        <f>#REF!/10^7</f>
        <v>#REF!</v>
      </c>
      <c r="DF53" s="2003">
        <f t="shared" si="51"/>
        <v>0</v>
      </c>
      <c r="DG53" s="1989" t="e">
        <f>#REF!/10^7</f>
        <v>#REF!</v>
      </c>
      <c r="DH53" s="1989" t="e">
        <f>#REF!/10^7</f>
        <v>#REF!</v>
      </c>
      <c r="DI53" s="2002" t="e">
        <f t="shared" si="52"/>
        <v>#REF!</v>
      </c>
      <c r="DJ53" s="1999" t="e">
        <f t="shared" si="116"/>
        <v>#REF!</v>
      </c>
      <c r="DK53" s="1993" t="e">
        <f>#REF!</f>
        <v>#REF!</v>
      </c>
      <c r="DL53" s="2003">
        <f t="shared" si="54"/>
        <v>0</v>
      </c>
      <c r="DM53" s="1989" t="e">
        <f>#REF!/10^7</f>
        <v>#REF!</v>
      </c>
      <c r="DN53" s="2003">
        <f t="shared" si="55"/>
        <v>0</v>
      </c>
      <c r="DO53" s="1989" t="e">
        <f>#REF!/10^7</f>
        <v>#REF!</v>
      </c>
      <c r="DP53" s="2003">
        <f t="shared" si="56"/>
        <v>0</v>
      </c>
      <c r="DQ53" s="1989" t="e">
        <f>#REF!/10^7</f>
        <v>#REF!</v>
      </c>
      <c r="DR53" s="1989" t="e">
        <f>#REF!/10^7</f>
        <v>#REF!</v>
      </c>
      <c r="DS53" s="2002" t="e">
        <f t="shared" si="57"/>
        <v>#REF!</v>
      </c>
      <c r="DT53" s="2004" t="e">
        <f t="shared" si="117"/>
        <v>#REF!</v>
      </c>
      <c r="DU53" s="1988" t="e">
        <f>#REF!</f>
        <v>#REF!</v>
      </c>
      <c r="DV53" s="2003">
        <f t="shared" si="59"/>
        <v>0</v>
      </c>
      <c r="DW53" s="1989" t="e">
        <f>#REF!/10^7</f>
        <v>#REF!</v>
      </c>
      <c r="DX53" s="2003">
        <f t="shared" si="60"/>
        <v>0</v>
      </c>
      <c r="DY53" s="1989" t="e">
        <f>#REF!/10^7</f>
        <v>#REF!</v>
      </c>
      <c r="DZ53" s="2003">
        <f t="shared" si="61"/>
        <v>0</v>
      </c>
      <c r="EA53" s="1989" t="e">
        <f>#REF!/10^7</f>
        <v>#REF!</v>
      </c>
      <c r="EB53" s="1989" t="e">
        <f>#REF!/10^7</f>
        <v>#REF!</v>
      </c>
      <c r="EC53" s="2002" t="e">
        <f t="shared" si="62"/>
        <v>#REF!</v>
      </c>
      <c r="ED53" s="1998" t="e">
        <f t="shared" si="118"/>
        <v>#REF!</v>
      </c>
      <c r="EE53" s="2005" t="e">
        <f t="shared" si="122"/>
        <v>#REF!</v>
      </c>
      <c r="EF53" s="2003">
        <f t="shared" si="64"/>
        <v>0</v>
      </c>
      <c r="EG53" s="1989" t="e">
        <f t="shared" si="119"/>
        <v>#REF!</v>
      </c>
      <c r="EH53" s="2003">
        <f t="shared" si="65"/>
        <v>0</v>
      </c>
      <c r="EI53" s="1989" t="e">
        <f t="shared" si="120"/>
        <v>#REF!</v>
      </c>
      <c r="EJ53" s="2003">
        <f t="shared" si="66"/>
        <v>0</v>
      </c>
      <c r="EK53" s="1989" t="e">
        <f t="shared" si="121"/>
        <v>#REF!</v>
      </c>
      <c r="EL53" s="1989" t="e">
        <f t="shared" si="121"/>
        <v>#REF!</v>
      </c>
      <c r="EM53" s="2006" t="e">
        <f t="shared" si="67"/>
        <v>#REF!</v>
      </c>
      <c r="EN53" s="1999" t="e">
        <f t="shared" si="123"/>
        <v>#REF!</v>
      </c>
      <c r="EP53" s="1613" t="e">
        <f>EA53-#REF!/10^7</f>
        <v>#REF!</v>
      </c>
      <c r="EW53" s="1611" t="s">
        <v>1649</v>
      </c>
      <c r="EX53" s="1612" t="s">
        <v>1649</v>
      </c>
      <c r="EZ53" s="1650">
        <f t="shared" si="69"/>
        <v>0</v>
      </c>
    </row>
    <row r="54" spans="1:156" ht="21" customHeight="1">
      <c r="A54" s="1652">
        <v>11</v>
      </c>
      <c r="B54" s="1668" t="s">
        <v>1690</v>
      </c>
      <c r="C54" s="1645">
        <v>840</v>
      </c>
      <c r="D54" s="1646">
        <f t="shared" si="113"/>
        <v>10</v>
      </c>
      <c r="E54" s="1646">
        <v>99.488</v>
      </c>
      <c r="F54" s="1665">
        <v>8.5</v>
      </c>
      <c r="G54" s="1640"/>
      <c r="H54" s="1640">
        <v>84</v>
      </c>
      <c r="I54" s="1648" t="s">
        <v>1649</v>
      </c>
      <c r="J54" s="1649">
        <v>1</v>
      </c>
      <c r="K54" s="1648"/>
      <c r="L54" s="1640"/>
      <c r="M54" s="1640"/>
      <c r="N54" s="1642"/>
      <c r="O54" s="2000" t="e">
        <f>#REF!</f>
        <v>#REF!</v>
      </c>
      <c r="P54" s="2003">
        <f t="shared" si="9"/>
        <v>0</v>
      </c>
      <c r="Q54" s="1989" t="e">
        <f>#REF!/10^7</f>
        <v>#REF!</v>
      </c>
      <c r="R54" s="2003">
        <f t="shared" si="10"/>
        <v>0</v>
      </c>
      <c r="S54" s="1989" t="e">
        <f>#REF!/10^7</f>
        <v>#REF!</v>
      </c>
      <c r="T54" s="2003">
        <f t="shared" si="11"/>
        <v>0</v>
      </c>
      <c r="U54" s="1989" t="e">
        <f>#REF!/10^7</f>
        <v>#REF!</v>
      </c>
      <c r="V54" s="1989" t="e">
        <f>#REF!/10^7</f>
        <v>#REF!</v>
      </c>
      <c r="W54" s="1989">
        <f t="shared" si="12"/>
        <v>0</v>
      </c>
      <c r="X54" s="1999" t="e">
        <f t="shared" si="114"/>
        <v>#REF!</v>
      </c>
      <c r="Y54" s="1993" t="e">
        <f>#REF!</f>
        <v>#REF!</v>
      </c>
      <c r="Z54" s="2003">
        <f t="shared" si="14"/>
        <v>0</v>
      </c>
      <c r="AA54" s="1989" t="e">
        <f>#REF!/10^7</f>
        <v>#REF!</v>
      </c>
      <c r="AB54" s="2003">
        <f t="shared" si="15"/>
        <v>0</v>
      </c>
      <c r="AC54" s="1989" t="e">
        <f>#REF!/10^7</f>
        <v>#REF!</v>
      </c>
      <c r="AD54" s="2003">
        <f t="shared" si="16"/>
        <v>0</v>
      </c>
      <c r="AE54" s="1989" t="e">
        <f>#REF!/10^7</f>
        <v>#REF!</v>
      </c>
      <c r="AF54" s="1989" t="e">
        <f>#REF!/10^7</f>
        <v>#REF!</v>
      </c>
      <c r="AG54" s="2002" t="e">
        <f t="shared" si="17"/>
        <v>#REF!</v>
      </c>
      <c r="AH54" s="1999" t="e">
        <f t="shared" si="106"/>
        <v>#REF!</v>
      </c>
      <c r="AI54" s="1993" t="e">
        <f>#REF!</f>
        <v>#REF!</v>
      </c>
      <c r="AJ54" s="2003">
        <f t="shared" si="2"/>
        <v>0</v>
      </c>
      <c r="AK54" s="1989" t="e">
        <f>#REF!/10^7</f>
        <v>#REF!</v>
      </c>
      <c r="AL54" s="2003">
        <f t="shared" si="2"/>
        <v>0</v>
      </c>
      <c r="AM54" s="1989" t="e">
        <f>#REF!/10^7</f>
        <v>#REF!</v>
      </c>
      <c r="AN54" s="2003">
        <f t="shared" si="2"/>
        <v>0</v>
      </c>
      <c r="AO54" s="1989" t="e">
        <f>#REF!/10^7</f>
        <v>#REF!</v>
      </c>
      <c r="AP54" s="1989" t="e">
        <f>#REF!/10^7</f>
        <v>#REF!</v>
      </c>
      <c r="AQ54" s="2002" t="e">
        <f t="shared" si="19"/>
        <v>#REF!</v>
      </c>
      <c r="AR54" s="1999" t="e">
        <f t="shared" si="107"/>
        <v>#REF!</v>
      </c>
      <c r="AS54" s="1993" t="e">
        <f>#REF!</f>
        <v>#REF!</v>
      </c>
      <c r="AT54" s="2003">
        <f t="shared" si="20"/>
        <v>0</v>
      </c>
      <c r="AU54" s="1989" t="e">
        <f>#REF!/10^7</f>
        <v>#REF!</v>
      </c>
      <c r="AV54" s="2003">
        <f t="shared" si="21"/>
        <v>0</v>
      </c>
      <c r="AW54" s="1989" t="e">
        <f>#REF!/10^7</f>
        <v>#REF!</v>
      </c>
      <c r="AX54" s="2003">
        <f t="shared" si="22"/>
        <v>0</v>
      </c>
      <c r="AY54" s="1989" t="e">
        <f>#REF!/10^7</f>
        <v>#REF!</v>
      </c>
      <c r="AZ54" s="1989" t="e">
        <f>#REF!/10^7</f>
        <v>#REF!</v>
      </c>
      <c r="BA54" s="2002" t="e">
        <f t="shared" si="23"/>
        <v>#REF!</v>
      </c>
      <c r="BB54" s="1999" t="e">
        <f t="shared" si="108"/>
        <v>#REF!</v>
      </c>
      <c r="BC54" s="1993" t="e">
        <f>#REF!</f>
        <v>#REF!</v>
      </c>
      <c r="BD54" s="2003">
        <f t="shared" si="24"/>
        <v>0</v>
      </c>
      <c r="BE54" s="1989" t="e">
        <f>#REF!/10^7</f>
        <v>#REF!</v>
      </c>
      <c r="BF54" s="2003">
        <f t="shared" si="25"/>
        <v>0</v>
      </c>
      <c r="BG54" s="1989" t="e">
        <f>#REF!/10^7</f>
        <v>#REF!</v>
      </c>
      <c r="BH54" s="2003">
        <f t="shared" si="26"/>
        <v>0</v>
      </c>
      <c r="BI54" s="1989" t="e">
        <f>#REF!/10^7</f>
        <v>#REF!</v>
      </c>
      <c r="BJ54" s="1989" t="e">
        <f>#REF!/10^7</f>
        <v>#REF!</v>
      </c>
      <c r="BK54" s="2002" t="e">
        <f t="shared" si="27"/>
        <v>#REF!</v>
      </c>
      <c r="BL54" s="1999" t="e">
        <f t="shared" si="109"/>
        <v>#REF!</v>
      </c>
      <c r="BM54" s="1993" t="e">
        <f>#REF!</f>
        <v>#REF!</v>
      </c>
      <c r="BN54" s="2003">
        <f t="shared" si="29"/>
        <v>0</v>
      </c>
      <c r="BO54" s="1989" t="e">
        <f>#REF!/10^7</f>
        <v>#REF!</v>
      </c>
      <c r="BP54" s="2003">
        <f t="shared" si="30"/>
        <v>0</v>
      </c>
      <c r="BQ54" s="1989" t="e">
        <f>#REF!/10^7</f>
        <v>#REF!</v>
      </c>
      <c r="BR54" s="2003">
        <f t="shared" si="31"/>
        <v>0</v>
      </c>
      <c r="BS54" s="1989" t="e">
        <f>#REF!/10^7</f>
        <v>#REF!</v>
      </c>
      <c r="BT54" s="1989" t="e">
        <f>#REF!/10^7</f>
        <v>#REF!</v>
      </c>
      <c r="BU54" s="2002" t="e">
        <f t="shared" si="32"/>
        <v>#REF!</v>
      </c>
      <c r="BV54" s="1999" t="e">
        <f t="shared" si="110"/>
        <v>#REF!</v>
      </c>
      <c r="BW54" s="1993" t="e">
        <f>#REF!</f>
        <v>#REF!</v>
      </c>
      <c r="BX54" s="2003">
        <f t="shared" si="34"/>
        <v>0</v>
      </c>
      <c r="BY54" s="1989" t="e">
        <f>#REF!/10^7</f>
        <v>#REF!</v>
      </c>
      <c r="BZ54" s="2003">
        <f t="shared" si="35"/>
        <v>0</v>
      </c>
      <c r="CA54" s="1989" t="e">
        <f>#REF!/10^7</f>
        <v>#REF!</v>
      </c>
      <c r="CB54" s="2003">
        <f t="shared" si="36"/>
        <v>0</v>
      </c>
      <c r="CC54" s="1989" t="e">
        <f>#REF!/10^7</f>
        <v>#REF!</v>
      </c>
      <c r="CD54" s="1989" t="e">
        <f>#REF!/10^7</f>
        <v>#REF!</v>
      </c>
      <c r="CE54" s="2002" t="e">
        <f t="shared" si="37"/>
        <v>#REF!</v>
      </c>
      <c r="CF54" s="1999" t="e">
        <f t="shared" si="111"/>
        <v>#REF!</v>
      </c>
      <c r="CG54" s="1993" t="e">
        <f>#REF!</f>
        <v>#REF!</v>
      </c>
      <c r="CH54" s="2003">
        <f t="shared" si="39"/>
        <v>0</v>
      </c>
      <c r="CI54" s="1989" t="e">
        <f>#REF!/10^7</f>
        <v>#REF!</v>
      </c>
      <c r="CJ54" s="2003">
        <f t="shared" si="40"/>
        <v>0</v>
      </c>
      <c r="CK54" s="1989" t="e">
        <f>#REF!/10^7</f>
        <v>#REF!</v>
      </c>
      <c r="CL54" s="2003">
        <f t="shared" si="41"/>
        <v>0</v>
      </c>
      <c r="CM54" s="1989" t="e">
        <f>#REF!/10^7</f>
        <v>#REF!</v>
      </c>
      <c r="CN54" s="1989" t="e">
        <f>#REF!/10^7</f>
        <v>#REF!</v>
      </c>
      <c r="CO54" s="2002" t="e">
        <f t="shared" si="42"/>
        <v>#REF!</v>
      </c>
      <c r="CP54" s="1999" t="e">
        <f t="shared" si="112"/>
        <v>#REF!</v>
      </c>
      <c r="CQ54" s="1993" t="e">
        <f>#REF!</f>
        <v>#REF!</v>
      </c>
      <c r="CR54" s="2003">
        <f t="shared" si="44"/>
        <v>0</v>
      </c>
      <c r="CS54" s="1989" t="e">
        <f>#REF!/10^7</f>
        <v>#REF!</v>
      </c>
      <c r="CT54" s="2003">
        <f t="shared" si="45"/>
        <v>0</v>
      </c>
      <c r="CU54" s="1989" t="e">
        <f>#REF!/10^7</f>
        <v>#REF!</v>
      </c>
      <c r="CV54" s="2003">
        <f t="shared" si="46"/>
        <v>0</v>
      </c>
      <c r="CW54" s="1989" t="e">
        <f>#REF!/10^7</f>
        <v>#REF!</v>
      </c>
      <c r="CX54" s="1989" t="e">
        <f>#REF!/10^7</f>
        <v>#REF!</v>
      </c>
      <c r="CY54" s="2002" t="e">
        <f t="shared" si="47"/>
        <v>#REF!</v>
      </c>
      <c r="CZ54" s="1999" t="e">
        <f t="shared" si="115"/>
        <v>#REF!</v>
      </c>
      <c r="DA54" s="1993" t="e">
        <f>#REF!</f>
        <v>#REF!</v>
      </c>
      <c r="DB54" s="2003">
        <f t="shared" si="49"/>
        <v>0</v>
      </c>
      <c r="DC54" s="1989" t="e">
        <f>#REF!/10^7</f>
        <v>#REF!</v>
      </c>
      <c r="DD54" s="2003">
        <f t="shared" si="50"/>
        <v>0</v>
      </c>
      <c r="DE54" s="1989" t="e">
        <f>#REF!/10^7</f>
        <v>#REF!</v>
      </c>
      <c r="DF54" s="2003">
        <f t="shared" si="51"/>
        <v>0</v>
      </c>
      <c r="DG54" s="1989" t="e">
        <f>#REF!/10^7</f>
        <v>#REF!</v>
      </c>
      <c r="DH54" s="1989" t="e">
        <f>#REF!/10^7</f>
        <v>#REF!</v>
      </c>
      <c r="DI54" s="2002" t="e">
        <f t="shared" si="52"/>
        <v>#REF!</v>
      </c>
      <c r="DJ54" s="1999" t="e">
        <f t="shared" si="116"/>
        <v>#REF!</v>
      </c>
      <c r="DK54" s="1993" t="e">
        <f>#REF!</f>
        <v>#REF!</v>
      </c>
      <c r="DL54" s="2003">
        <f t="shared" si="54"/>
        <v>0</v>
      </c>
      <c r="DM54" s="1989" t="e">
        <f>#REF!/10^7</f>
        <v>#REF!</v>
      </c>
      <c r="DN54" s="2003">
        <f t="shared" si="55"/>
        <v>0</v>
      </c>
      <c r="DO54" s="1989" t="e">
        <f>#REF!/10^7</f>
        <v>#REF!</v>
      </c>
      <c r="DP54" s="2003">
        <f t="shared" si="56"/>
        <v>0</v>
      </c>
      <c r="DQ54" s="1989" t="e">
        <f>#REF!/10^7</f>
        <v>#REF!</v>
      </c>
      <c r="DR54" s="1989" t="e">
        <f>#REF!/10^7</f>
        <v>#REF!</v>
      </c>
      <c r="DS54" s="2002" t="e">
        <f t="shared" si="57"/>
        <v>#REF!</v>
      </c>
      <c r="DT54" s="2004" t="e">
        <f t="shared" si="117"/>
        <v>#REF!</v>
      </c>
      <c r="DU54" s="1988" t="e">
        <f>#REF!</f>
        <v>#REF!</v>
      </c>
      <c r="DV54" s="2003">
        <f t="shared" si="59"/>
        <v>0</v>
      </c>
      <c r="DW54" s="1989" t="e">
        <f>#REF!/10^7</f>
        <v>#REF!</v>
      </c>
      <c r="DX54" s="2003">
        <f t="shared" si="60"/>
        <v>0</v>
      </c>
      <c r="DY54" s="1989" t="e">
        <f>#REF!/10^7</f>
        <v>#REF!</v>
      </c>
      <c r="DZ54" s="2003">
        <f t="shared" si="61"/>
        <v>0</v>
      </c>
      <c r="EA54" s="1989" t="e">
        <f>#REF!/10^7</f>
        <v>#REF!</v>
      </c>
      <c r="EB54" s="1989" t="e">
        <f>#REF!/10^7</f>
        <v>#REF!</v>
      </c>
      <c r="EC54" s="2002" t="e">
        <f t="shared" si="62"/>
        <v>#REF!</v>
      </c>
      <c r="ED54" s="1998" t="e">
        <f t="shared" si="118"/>
        <v>#REF!</v>
      </c>
      <c r="EE54" s="2005" t="e">
        <f t="shared" si="122"/>
        <v>#REF!</v>
      </c>
      <c r="EF54" s="2003">
        <f t="shared" si="64"/>
        <v>0</v>
      </c>
      <c r="EG54" s="1989" t="e">
        <f t="shared" si="119"/>
        <v>#REF!</v>
      </c>
      <c r="EH54" s="2003">
        <f t="shared" si="65"/>
        <v>0</v>
      </c>
      <c r="EI54" s="1989" t="e">
        <f t="shared" si="120"/>
        <v>#REF!</v>
      </c>
      <c r="EJ54" s="2003">
        <f t="shared" si="66"/>
        <v>0</v>
      </c>
      <c r="EK54" s="1989" t="e">
        <f t="shared" si="121"/>
        <v>#REF!</v>
      </c>
      <c r="EL54" s="1989" t="e">
        <f t="shared" si="121"/>
        <v>#REF!</v>
      </c>
      <c r="EM54" s="2006" t="e">
        <f t="shared" si="67"/>
        <v>#REF!</v>
      </c>
      <c r="EN54" s="1999" t="e">
        <f t="shared" si="123"/>
        <v>#REF!</v>
      </c>
      <c r="EP54" s="1613" t="e">
        <f>EA54-#REF!/10^7</f>
        <v>#REF!</v>
      </c>
      <c r="EW54" s="1611" t="s">
        <v>1649</v>
      </c>
      <c r="EX54" s="1612" t="s">
        <v>1649</v>
      </c>
      <c r="EZ54" s="1650">
        <f t="shared" si="69"/>
        <v>0</v>
      </c>
    </row>
    <row r="55" spans="1:156" ht="21" customHeight="1">
      <c r="A55" s="1652">
        <v>12</v>
      </c>
      <c r="B55" s="1668" t="s">
        <v>1691</v>
      </c>
      <c r="C55" s="1645">
        <v>980</v>
      </c>
      <c r="D55" s="1646">
        <f t="shared" si="113"/>
        <v>10</v>
      </c>
      <c r="E55" s="1646">
        <v>90.087000000000003</v>
      </c>
      <c r="F55" s="1665">
        <v>5.75</v>
      </c>
      <c r="G55" s="1640"/>
      <c r="H55" s="1640">
        <v>98</v>
      </c>
      <c r="I55" s="1648" t="s">
        <v>1649</v>
      </c>
      <c r="J55" s="1649">
        <v>1</v>
      </c>
      <c r="K55" s="1648"/>
      <c r="L55" s="1640"/>
      <c r="M55" s="1640"/>
      <c r="N55" s="1642"/>
      <c r="O55" s="2000" t="e">
        <f>#REF!</f>
        <v>#REF!</v>
      </c>
      <c r="P55" s="2003">
        <f t="shared" si="9"/>
        <v>0</v>
      </c>
      <c r="Q55" s="1989" t="e">
        <f>#REF!/10^7</f>
        <v>#REF!</v>
      </c>
      <c r="R55" s="2003">
        <f t="shared" si="10"/>
        <v>0</v>
      </c>
      <c r="S55" s="1989" t="e">
        <f>#REF!/10^7</f>
        <v>#REF!</v>
      </c>
      <c r="T55" s="2003">
        <f t="shared" si="11"/>
        <v>0</v>
      </c>
      <c r="U55" s="1989" t="e">
        <f>#REF!/10^7</f>
        <v>#REF!</v>
      </c>
      <c r="V55" s="1989" t="e">
        <f>#REF!/10^7</f>
        <v>#REF!</v>
      </c>
      <c r="W55" s="1989">
        <f t="shared" si="12"/>
        <v>0</v>
      </c>
      <c r="X55" s="1999" t="e">
        <f t="shared" si="114"/>
        <v>#REF!</v>
      </c>
      <c r="Y55" s="1993" t="e">
        <f>#REF!</f>
        <v>#REF!</v>
      </c>
      <c r="Z55" s="2003">
        <f t="shared" si="14"/>
        <v>0</v>
      </c>
      <c r="AA55" s="1989" t="e">
        <f>#REF!/10^7</f>
        <v>#REF!</v>
      </c>
      <c r="AB55" s="2003">
        <f t="shared" si="15"/>
        <v>0</v>
      </c>
      <c r="AC55" s="1989" t="e">
        <f>#REF!/10^7</f>
        <v>#REF!</v>
      </c>
      <c r="AD55" s="2003">
        <f t="shared" si="16"/>
        <v>0</v>
      </c>
      <c r="AE55" s="1989" t="e">
        <f>#REF!/10^7</f>
        <v>#REF!</v>
      </c>
      <c r="AF55" s="1989" t="e">
        <f>#REF!/10^7</f>
        <v>#REF!</v>
      </c>
      <c r="AG55" s="2002" t="e">
        <f t="shared" si="17"/>
        <v>#REF!</v>
      </c>
      <c r="AH55" s="1999" t="e">
        <f t="shared" si="106"/>
        <v>#REF!</v>
      </c>
      <c r="AI55" s="1993" t="e">
        <f>#REF!</f>
        <v>#REF!</v>
      </c>
      <c r="AJ55" s="2003">
        <f t="shared" si="2"/>
        <v>0</v>
      </c>
      <c r="AK55" s="1989" t="e">
        <f>#REF!/10^7</f>
        <v>#REF!</v>
      </c>
      <c r="AL55" s="2003">
        <f t="shared" si="2"/>
        <v>0</v>
      </c>
      <c r="AM55" s="1989" t="e">
        <f>#REF!/10^7</f>
        <v>#REF!</v>
      </c>
      <c r="AN55" s="2003">
        <f t="shared" si="2"/>
        <v>0</v>
      </c>
      <c r="AO55" s="1989" t="e">
        <f>#REF!/10^7</f>
        <v>#REF!</v>
      </c>
      <c r="AP55" s="1989" t="e">
        <f>#REF!/10^7</f>
        <v>#REF!</v>
      </c>
      <c r="AQ55" s="2002" t="e">
        <f t="shared" si="19"/>
        <v>#REF!</v>
      </c>
      <c r="AR55" s="1999" t="e">
        <f t="shared" si="107"/>
        <v>#REF!</v>
      </c>
      <c r="AS55" s="1993" t="e">
        <f>#REF!</f>
        <v>#REF!</v>
      </c>
      <c r="AT55" s="2003">
        <f t="shared" si="20"/>
        <v>0</v>
      </c>
      <c r="AU55" s="1989" t="e">
        <f>#REF!/10^7</f>
        <v>#REF!</v>
      </c>
      <c r="AV55" s="2003">
        <f t="shared" si="21"/>
        <v>0</v>
      </c>
      <c r="AW55" s="1989" t="e">
        <f>#REF!/10^7</f>
        <v>#REF!</v>
      </c>
      <c r="AX55" s="2003">
        <f t="shared" si="22"/>
        <v>0</v>
      </c>
      <c r="AY55" s="1989" t="e">
        <f>#REF!/10^7</f>
        <v>#REF!</v>
      </c>
      <c r="AZ55" s="1989" t="e">
        <f>#REF!/10^7</f>
        <v>#REF!</v>
      </c>
      <c r="BA55" s="2002" t="e">
        <f t="shared" si="23"/>
        <v>#REF!</v>
      </c>
      <c r="BB55" s="1999" t="e">
        <f t="shared" si="108"/>
        <v>#REF!</v>
      </c>
      <c r="BC55" s="1993" t="e">
        <f>#REF!</f>
        <v>#REF!</v>
      </c>
      <c r="BD55" s="2003">
        <f t="shared" si="24"/>
        <v>0</v>
      </c>
      <c r="BE55" s="1989" t="e">
        <f>#REF!/10^7</f>
        <v>#REF!</v>
      </c>
      <c r="BF55" s="2003">
        <f t="shared" si="25"/>
        <v>0</v>
      </c>
      <c r="BG55" s="1989" t="e">
        <f>#REF!/10^7</f>
        <v>#REF!</v>
      </c>
      <c r="BH55" s="2003">
        <f t="shared" si="26"/>
        <v>0</v>
      </c>
      <c r="BI55" s="1989" t="e">
        <f>#REF!/10^7</f>
        <v>#REF!</v>
      </c>
      <c r="BJ55" s="1989" t="e">
        <f>#REF!/10^7</f>
        <v>#REF!</v>
      </c>
      <c r="BK55" s="2002" t="e">
        <f t="shared" si="27"/>
        <v>#REF!</v>
      </c>
      <c r="BL55" s="1999" t="e">
        <f t="shared" si="109"/>
        <v>#REF!</v>
      </c>
      <c r="BM55" s="1993" t="e">
        <f>#REF!</f>
        <v>#REF!</v>
      </c>
      <c r="BN55" s="2003">
        <f t="shared" si="29"/>
        <v>0</v>
      </c>
      <c r="BO55" s="1989" t="e">
        <f>#REF!/10^7</f>
        <v>#REF!</v>
      </c>
      <c r="BP55" s="2003">
        <f t="shared" si="30"/>
        <v>0</v>
      </c>
      <c r="BQ55" s="1989" t="e">
        <f>#REF!/10^7</f>
        <v>#REF!</v>
      </c>
      <c r="BR55" s="2003">
        <f t="shared" si="31"/>
        <v>0</v>
      </c>
      <c r="BS55" s="1989" t="e">
        <f>#REF!/10^7</f>
        <v>#REF!</v>
      </c>
      <c r="BT55" s="1989" t="e">
        <f>#REF!/10^7</f>
        <v>#REF!</v>
      </c>
      <c r="BU55" s="2002" t="e">
        <f t="shared" si="32"/>
        <v>#REF!</v>
      </c>
      <c r="BV55" s="1999" t="e">
        <f t="shared" si="110"/>
        <v>#REF!</v>
      </c>
      <c r="BW55" s="1993" t="e">
        <f>#REF!</f>
        <v>#REF!</v>
      </c>
      <c r="BX55" s="2003">
        <f t="shared" si="34"/>
        <v>0</v>
      </c>
      <c r="BY55" s="1989" t="e">
        <f>#REF!/10^7</f>
        <v>#REF!</v>
      </c>
      <c r="BZ55" s="2003">
        <f t="shared" si="35"/>
        <v>0</v>
      </c>
      <c r="CA55" s="1989" t="e">
        <f>#REF!/10^7</f>
        <v>#REF!</v>
      </c>
      <c r="CB55" s="2003">
        <f t="shared" si="36"/>
        <v>0</v>
      </c>
      <c r="CC55" s="1989" t="e">
        <f>#REF!/10^7</f>
        <v>#REF!</v>
      </c>
      <c r="CD55" s="1989" t="e">
        <f>#REF!/10^7</f>
        <v>#REF!</v>
      </c>
      <c r="CE55" s="2002" t="e">
        <f t="shared" si="37"/>
        <v>#REF!</v>
      </c>
      <c r="CF55" s="1999" t="e">
        <f t="shared" si="111"/>
        <v>#REF!</v>
      </c>
      <c r="CG55" s="1993" t="e">
        <f>#REF!</f>
        <v>#REF!</v>
      </c>
      <c r="CH55" s="2003">
        <f t="shared" si="39"/>
        <v>0</v>
      </c>
      <c r="CI55" s="1989" t="e">
        <f>#REF!/10^7</f>
        <v>#REF!</v>
      </c>
      <c r="CJ55" s="2003">
        <f t="shared" si="40"/>
        <v>0</v>
      </c>
      <c r="CK55" s="1989" t="e">
        <f>#REF!/10^7</f>
        <v>#REF!</v>
      </c>
      <c r="CL55" s="2003">
        <f t="shared" si="41"/>
        <v>0</v>
      </c>
      <c r="CM55" s="1989" t="e">
        <f>#REF!/10^7</f>
        <v>#REF!</v>
      </c>
      <c r="CN55" s="1989" t="e">
        <f>#REF!/10^7</f>
        <v>#REF!</v>
      </c>
      <c r="CO55" s="2002" t="e">
        <f t="shared" si="42"/>
        <v>#REF!</v>
      </c>
      <c r="CP55" s="1999" t="e">
        <f t="shared" si="112"/>
        <v>#REF!</v>
      </c>
      <c r="CQ55" s="1993" t="e">
        <f>#REF!</f>
        <v>#REF!</v>
      </c>
      <c r="CR55" s="2003">
        <f t="shared" si="44"/>
        <v>0</v>
      </c>
      <c r="CS55" s="1989" t="e">
        <f>#REF!/10^7</f>
        <v>#REF!</v>
      </c>
      <c r="CT55" s="2003">
        <f t="shared" si="45"/>
        <v>0</v>
      </c>
      <c r="CU55" s="1989" t="e">
        <f>#REF!/10^7</f>
        <v>#REF!</v>
      </c>
      <c r="CV55" s="2003">
        <f t="shared" si="46"/>
        <v>0</v>
      </c>
      <c r="CW55" s="1989" t="e">
        <f>#REF!/10^7</f>
        <v>#REF!</v>
      </c>
      <c r="CX55" s="1989" t="e">
        <f>#REF!/10^7</f>
        <v>#REF!</v>
      </c>
      <c r="CY55" s="2002" t="e">
        <f t="shared" si="47"/>
        <v>#REF!</v>
      </c>
      <c r="CZ55" s="1999" t="e">
        <f t="shared" si="115"/>
        <v>#REF!</v>
      </c>
      <c r="DA55" s="1993" t="e">
        <f>#REF!</f>
        <v>#REF!</v>
      </c>
      <c r="DB55" s="2003">
        <f t="shared" si="49"/>
        <v>0</v>
      </c>
      <c r="DC55" s="1989" t="e">
        <f>#REF!/10^7</f>
        <v>#REF!</v>
      </c>
      <c r="DD55" s="2003">
        <f t="shared" si="50"/>
        <v>0</v>
      </c>
      <c r="DE55" s="1989" t="e">
        <f>#REF!/10^7</f>
        <v>#REF!</v>
      </c>
      <c r="DF55" s="2003">
        <f t="shared" si="51"/>
        <v>0</v>
      </c>
      <c r="DG55" s="1989" t="e">
        <f>#REF!/10^7</f>
        <v>#REF!</v>
      </c>
      <c r="DH55" s="1989" t="e">
        <f>#REF!/10^7</f>
        <v>#REF!</v>
      </c>
      <c r="DI55" s="2002" t="e">
        <f t="shared" si="52"/>
        <v>#REF!</v>
      </c>
      <c r="DJ55" s="1999" t="e">
        <f t="shared" si="116"/>
        <v>#REF!</v>
      </c>
      <c r="DK55" s="1993" t="e">
        <f>#REF!</f>
        <v>#REF!</v>
      </c>
      <c r="DL55" s="2003">
        <f t="shared" si="54"/>
        <v>0</v>
      </c>
      <c r="DM55" s="1989" t="e">
        <f>#REF!/10^7</f>
        <v>#REF!</v>
      </c>
      <c r="DN55" s="2003">
        <f t="shared" si="55"/>
        <v>0</v>
      </c>
      <c r="DO55" s="1989" t="e">
        <f>#REF!/10^7</f>
        <v>#REF!</v>
      </c>
      <c r="DP55" s="2003">
        <f t="shared" si="56"/>
        <v>0</v>
      </c>
      <c r="DQ55" s="1989" t="e">
        <f>#REF!/10^7</f>
        <v>#REF!</v>
      </c>
      <c r="DR55" s="1989" t="e">
        <f>#REF!/10^7</f>
        <v>#REF!</v>
      </c>
      <c r="DS55" s="2002" t="e">
        <f t="shared" si="57"/>
        <v>#REF!</v>
      </c>
      <c r="DT55" s="2004" t="e">
        <f t="shared" si="117"/>
        <v>#REF!</v>
      </c>
      <c r="DU55" s="1988" t="e">
        <f>#REF!</f>
        <v>#REF!</v>
      </c>
      <c r="DV55" s="2003">
        <f t="shared" si="59"/>
        <v>0</v>
      </c>
      <c r="DW55" s="1989" t="e">
        <f>#REF!/10^7</f>
        <v>#REF!</v>
      </c>
      <c r="DX55" s="2003">
        <f t="shared" si="60"/>
        <v>0</v>
      </c>
      <c r="DY55" s="1989" t="e">
        <f>#REF!/10^7</f>
        <v>#REF!</v>
      </c>
      <c r="DZ55" s="2003">
        <f t="shared" si="61"/>
        <v>0</v>
      </c>
      <c r="EA55" s="1989" t="e">
        <f>#REF!/10^7</f>
        <v>#REF!</v>
      </c>
      <c r="EB55" s="1989" t="e">
        <f>#REF!/10^7</f>
        <v>#REF!</v>
      </c>
      <c r="EC55" s="2002" t="e">
        <f t="shared" si="62"/>
        <v>#REF!</v>
      </c>
      <c r="ED55" s="1998" t="e">
        <f t="shared" si="118"/>
        <v>#REF!</v>
      </c>
      <c r="EE55" s="2005" t="e">
        <f t="shared" si="122"/>
        <v>#REF!</v>
      </c>
      <c r="EF55" s="2003">
        <f t="shared" si="64"/>
        <v>0</v>
      </c>
      <c r="EG55" s="1989" t="e">
        <f t="shared" si="119"/>
        <v>#REF!</v>
      </c>
      <c r="EH55" s="2003">
        <f t="shared" si="65"/>
        <v>0</v>
      </c>
      <c r="EI55" s="1989" t="e">
        <f t="shared" si="120"/>
        <v>#REF!</v>
      </c>
      <c r="EJ55" s="2003">
        <f t="shared" si="66"/>
        <v>0</v>
      </c>
      <c r="EK55" s="1989" t="e">
        <f t="shared" si="121"/>
        <v>#REF!</v>
      </c>
      <c r="EL55" s="1989" t="e">
        <f t="shared" si="121"/>
        <v>#REF!</v>
      </c>
      <c r="EM55" s="2006" t="e">
        <f t="shared" si="67"/>
        <v>#REF!</v>
      </c>
      <c r="EN55" s="1999" t="e">
        <f t="shared" si="123"/>
        <v>#REF!</v>
      </c>
      <c r="EP55" s="1613" t="e">
        <f>EA55-#REF!/10^7</f>
        <v>#REF!</v>
      </c>
      <c r="EW55" s="1611" t="s">
        <v>1649</v>
      </c>
      <c r="EX55" s="1612" t="s">
        <v>1649</v>
      </c>
      <c r="EZ55" s="1650">
        <f t="shared" si="69"/>
        <v>0</v>
      </c>
    </row>
    <row r="56" spans="1:156" ht="21" customHeight="1">
      <c r="A56" s="1652">
        <v>13</v>
      </c>
      <c r="B56" s="1668" t="s">
        <v>1692</v>
      </c>
      <c r="C56" s="1645">
        <v>1000</v>
      </c>
      <c r="D56" s="1646">
        <f t="shared" si="113"/>
        <v>32.6</v>
      </c>
      <c r="E56" s="1646">
        <v>87.912999999999997</v>
      </c>
      <c r="F56" s="1665">
        <v>8</v>
      </c>
      <c r="G56" s="1640"/>
      <c r="H56" s="1640">
        <v>326</v>
      </c>
      <c r="I56" s="1648" t="s">
        <v>1649</v>
      </c>
      <c r="J56" s="1649">
        <v>2</v>
      </c>
      <c r="K56" s="1648"/>
      <c r="L56" s="1640"/>
      <c r="M56" s="1640"/>
      <c r="N56" s="1642"/>
      <c r="O56" s="2000" t="e">
        <f>#REF!</f>
        <v>#REF!</v>
      </c>
      <c r="P56" s="2003">
        <f t="shared" si="9"/>
        <v>0</v>
      </c>
      <c r="Q56" s="1989" t="e">
        <f>#REF!/10^7</f>
        <v>#REF!</v>
      </c>
      <c r="R56" s="2003">
        <f t="shared" si="10"/>
        <v>0</v>
      </c>
      <c r="S56" s="1989" t="e">
        <f>#REF!/10^7</f>
        <v>#REF!</v>
      </c>
      <c r="T56" s="2003">
        <f t="shared" si="11"/>
        <v>0</v>
      </c>
      <c r="U56" s="1989" t="e">
        <f>#REF!/10^7</f>
        <v>#REF!</v>
      </c>
      <c r="V56" s="1989" t="e">
        <f>#REF!/10^7</f>
        <v>#REF!</v>
      </c>
      <c r="W56" s="1989">
        <f t="shared" si="12"/>
        <v>0</v>
      </c>
      <c r="X56" s="1999" t="e">
        <f t="shared" si="114"/>
        <v>#REF!</v>
      </c>
      <c r="Y56" s="1993" t="e">
        <f>#REF!</f>
        <v>#REF!</v>
      </c>
      <c r="Z56" s="2003">
        <f t="shared" si="14"/>
        <v>0</v>
      </c>
      <c r="AA56" s="1989" t="e">
        <f>#REF!/10^7</f>
        <v>#REF!</v>
      </c>
      <c r="AB56" s="2003">
        <f t="shared" si="15"/>
        <v>0</v>
      </c>
      <c r="AC56" s="1989" t="e">
        <f>#REF!/10^7</f>
        <v>#REF!</v>
      </c>
      <c r="AD56" s="2003">
        <f t="shared" si="16"/>
        <v>0</v>
      </c>
      <c r="AE56" s="1989" t="e">
        <f>#REF!/10^7</f>
        <v>#REF!</v>
      </c>
      <c r="AF56" s="1989" t="e">
        <f>#REF!/10^7</f>
        <v>#REF!</v>
      </c>
      <c r="AG56" s="2002" t="e">
        <f t="shared" si="17"/>
        <v>#REF!</v>
      </c>
      <c r="AH56" s="1999" t="e">
        <f t="shared" si="106"/>
        <v>#REF!</v>
      </c>
      <c r="AI56" s="1993" t="e">
        <f>#REF!</f>
        <v>#REF!</v>
      </c>
      <c r="AJ56" s="2003">
        <f t="shared" si="2"/>
        <v>0</v>
      </c>
      <c r="AK56" s="1989" t="e">
        <f>#REF!/10^7</f>
        <v>#REF!</v>
      </c>
      <c r="AL56" s="2003">
        <f t="shared" si="2"/>
        <v>0</v>
      </c>
      <c r="AM56" s="1989" t="e">
        <f>#REF!/10^7</f>
        <v>#REF!</v>
      </c>
      <c r="AN56" s="2003">
        <f t="shared" si="2"/>
        <v>0</v>
      </c>
      <c r="AO56" s="1989" t="e">
        <f>#REF!/10^7</f>
        <v>#REF!</v>
      </c>
      <c r="AP56" s="1989" t="e">
        <f>#REF!/10^7</f>
        <v>#REF!</v>
      </c>
      <c r="AQ56" s="2002" t="e">
        <f t="shared" si="19"/>
        <v>#REF!</v>
      </c>
      <c r="AR56" s="1999" t="e">
        <f t="shared" si="107"/>
        <v>#REF!</v>
      </c>
      <c r="AS56" s="1993" t="e">
        <f>#REF!</f>
        <v>#REF!</v>
      </c>
      <c r="AT56" s="2003">
        <f t="shared" si="20"/>
        <v>0</v>
      </c>
      <c r="AU56" s="1989" t="e">
        <f>#REF!/10^7</f>
        <v>#REF!</v>
      </c>
      <c r="AV56" s="2003">
        <f t="shared" si="21"/>
        <v>0</v>
      </c>
      <c r="AW56" s="1989" t="e">
        <f>#REF!/10^7</f>
        <v>#REF!</v>
      </c>
      <c r="AX56" s="2003">
        <f t="shared" si="22"/>
        <v>0</v>
      </c>
      <c r="AY56" s="1989" t="e">
        <f>#REF!/10^7</f>
        <v>#REF!</v>
      </c>
      <c r="AZ56" s="1989" t="e">
        <f>#REF!/10^7</f>
        <v>#REF!</v>
      </c>
      <c r="BA56" s="2002" t="e">
        <f t="shared" si="23"/>
        <v>#REF!</v>
      </c>
      <c r="BB56" s="1999" t="e">
        <f t="shared" si="108"/>
        <v>#REF!</v>
      </c>
      <c r="BC56" s="1993" t="e">
        <f>#REF!</f>
        <v>#REF!</v>
      </c>
      <c r="BD56" s="2003">
        <f t="shared" si="24"/>
        <v>0</v>
      </c>
      <c r="BE56" s="1989" t="e">
        <f>#REF!/10^7</f>
        <v>#REF!</v>
      </c>
      <c r="BF56" s="2003">
        <f t="shared" si="25"/>
        <v>0</v>
      </c>
      <c r="BG56" s="1989" t="e">
        <f>#REF!/10^7</f>
        <v>#REF!</v>
      </c>
      <c r="BH56" s="2003">
        <f t="shared" si="26"/>
        <v>0</v>
      </c>
      <c r="BI56" s="1989" t="e">
        <f>#REF!/10^7</f>
        <v>#REF!</v>
      </c>
      <c r="BJ56" s="1989" t="e">
        <f>#REF!/10^7</f>
        <v>#REF!</v>
      </c>
      <c r="BK56" s="2002" t="e">
        <f t="shared" si="27"/>
        <v>#REF!</v>
      </c>
      <c r="BL56" s="1999" t="e">
        <f t="shared" si="109"/>
        <v>#REF!</v>
      </c>
      <c r="BM56" s="1993" t="e">
        <f>#REF!</f>
        <v>#REF!</v>
      </c>
      <c r="BN56" s="2003">
        <f t="shared" si="29"/>
        <v>0</v>
      </c>
      <c r="BO56" s="1989" t="e">
        <f>#REF!/10^7</f>
        <v>#REF!</v>
      </c>
      <c r="BP56" s="2003">
        <f t="shared" si="30"/>
        <v>0</v>
      </c>
      <c r="BQ56" s="1989" t="e">
        <f>#REF!/10^7</f>
        <v>#REF!</v>
      </c>
      <c r="BR56" s="2003">
        <f t="shared" si="31"/>
        <v>0</v>
      </c>
      <c r="BS56" s="1989" t="e">
        <f>#REF!/10^7</f>
        <v>#REF!</v>
      </c>
      <c r="BT56" s="1989" t="e">
        <f>#REF!/10^7</f>
        <v>#REF!</v>
      </c>
      <c r="BU56" s="2002" t="e">
        <f t="shared" si="32"/>
        <v>#REF!</v>
      </c>
      <c r="BV56" s="1999" t="e">
        <f t="shared" si="110"/>
        <v>#REF!</v>
      </c>
      <c r="BW56" s="1993" t="e">
        <f>#REF!</f>
        <v>#REF!</v>
      </c>
      <c r="BX56" s="2003">
        <f t="shared" si="34"/>
        <v>0</v>
      </c>
      <c r="BY56" s="1989" t="e">
        <f>#REF!/10^7</f>
        <v>#REF!</v>
      </c>
      <c r="BZ56" s="2003">
        <f t="shared" si="35"/>
        <v>0</v>
      </c>
      <c r="CA56" s="1989" t="e">
        <f>#REF!/10^7</f>
        <v>#REF!</v>
      </c>
      <c r="CB56" s="2003">
        <f t="shared" si="36"/>
        <v>0</v>
      </c>
      <c r="CC56" s="1989" t="e">
        <f>#REF!/10^7</f>
        <v>#REF!</v>
      </c>
      <c r="CD56" s="1989" t="e">
        <f>#REF!/10^7</f>
        <v>#REF!</v>
      </c>
      <c r="CE56" s="2002" t="e">
        <f t="shared" si="37"/>
        <v>#REF!</v>
      </c>
      <c r="CF56" s="1999" t="e">
        <f t="shared" si="111"/>
        <v>#REF!</v>
      </c>
      <c r="CG56" s="1993" t="e">
        <f>#REF!</f>
        <v>#REF!</v>
      </c>
      <c r="CH56" s="2003">
        <f t="shared" si="39"/>
        <v>0</v>
      </c>
      <c r="CI56" s="1989" t="e">
        <f>#REF!/10^7</f>
        <v>#REF!</v>
      </c>
      <c r="CJ56" s="2003">
        <f t="shared" si="40"/>
        <v>0</v>
      </c>
      <c r="CK56" s="1989" t="e">
        <f>#REF!/10^7</f>
        <v>#REF!</v>
      </c>
      <c r="CL56" s="2003">
        <f t="shared" si="41"/>
        <v>0</v>
      </c>
      <c r="CM56" s="1989" t="e">
        <f>#REF!/10^7</f>
        <v>#REF!</v>
      </c>
      <c r="CN56" s="1989" t="e">
        <f>#REF!/10^7</f>
        <v>#REF!</v>
      </c>
      <c r="CO56" s="2002" t="e">
        <f t="shared" si="42"/>
        <v>#REF!</v>
      </c>
      <c r="CP56" s="1999" t="e">
        <f t="shared" si="112"/>
        <v>#REF!</v>
      </c>
      <c r="CQ56" s="1993" t="e">
        <f>#REF!</f>
        <v>#REF!</v>
      </c>
      <c r="CR56" s="2003">
        <f t="shared" si="44"/>
        <v>0</v>
      </c>
      <c r="CS56" s="1989" t="e">
        <f>#REF!/10^7</f>
        <v>#REF!</v>
      </c>
      <c r="CT56" s="2003">
        <f t="shared" si="45"/>
        <v>0</v>
      </c>
      <c r="CU56" s="1989" t="e">
        <f>#REF!/10^7</f>
        <v>#REF!</v>
      </c>
      <c r="CV56" s="2003">
        <f t="shared" si="46"/>
        <v>0</v>
      </c>
      <c r="CW56" s="1989" t="e">
        <f>#REF!/10^7</f>
        <v>#REF!</v>
      </c>
      <c r="CX56" s="1989" t="e">
        <f>#REF!/10^7</f>
        <v>#REF!</v>
      </c>
      <c r="CY56" s="2002" t="e">
        <f t="shared" si="47"/>
        <v>#REF!</v>
      </c>
      <c r="CZ56" s="1999" t="e">
        <f t="shared" si="115"/>
        <v>#REF!</v>
      </c>
      <c r="DA56" s="1993" t="e">
        <f>#REF!</f>
        <v>#REF!</v>
      </c>
      <c r="DB56" s="2003">
        <f t="shared" si="49"/>
        <v>0</v>
      </c>
      <c r="DC56" s="1989" t="e">
        <f>#REF!/10^7</f>
        <v>#REF!</v>
      </c>
      <c r="DD56" s="2003">
        <f t="shared" si="50"/>
        <v>0</v>
      </c>
      <c r="DE56" s="1989" t="e">
        <f>#REF!/10^7</f>
        <v>#REF!</v>
      </c>
      <c r="DF56" s="2003">
        <f t="shared" si="51"/>
        <v>0</v>
      </c>
      <c r="DG56" s="1989" t="e">
        <f>#REF!/10^7</f>
        <v>#REF!</v>
      </c>
      <c r="DH56" s="1989" t="e">
        <f>#REF!/10^7</f>
        <v>#REF!</v>
      </c>
      <c r="DI56" s="2002" t="e">
        <f t="shared" si="52"/>
        <v>#REF!</v>
      </c>
      <c r="DJ56" s="1999" t="e">
        <f t="shared" si="116"/>
        <v>#REF!</v>
      </c>
      <c r="DK56" s="1993" t="e">
        <f>#REF!</f>
        <v>#REF!</v>
      </c>
      <c r="DL56" s="2003">
        <f t="shared" si="54"/>
        <v>0</v>
      </c>
      <c r="DM56" s="1989" t="e">
        <f>#REF!/10^7</f>
        <v>#REF!</v>
      </c>
      <c r="DN56" s="2003">
        <f t="shared" si="55"/>
        <v>0</v>
      </c>
      <c r="DO56" s="1989" t="e">
        <f>#REF!/10^7</f>
        <v>#REF!</v>
      </c>
      <c r="DP56" s="2003">
        <f t="shared" si="56"/>
        <v>0</v>
      </c>
      <c r="DQ56" s="1989" t="e">
        <f>#REF!/10^7</f>
        <v>#REF!</v>
      </c>
      <c r="DR56" s="1989" t="e">
        <f>#REF!/10^7</f>
        <v>#REF!</v>
      </c>
      <c r="DS56" s="2002" t="e">
        <f t="shared" si="57"/>
        <v>#REF!</v>
      </c>
      <c r="DT56" s="2004" t="e">
        <f t="shared" si="117"/>
        <v>#REF!</v>
      </c>
      <c r="DU56" s="1988" t="e">
        <f>#REF!</f>
        <v>#REF!</v>
      </c>
      <c r="DV56" s="2003">
        <f t="shared" si="59"/>
        <v>0</v>
      </c>
      <c r="DW56" s="1989" t="e">
        <f>#REF!/10^7</f>
        <v>#REF!</v>
      </c>
      <c r="DX56" s="2003">
        <f t="shared" si="60"/>
        <v>0</v>
      </c>
      <c r="DY56" s="1989" t="e">
        <f>#REF!/10^7</f>
        <v>#REF!</v>
      </c>
      <c r="DZ56" s="2003">
        <f t="shared" si="61"/>
        <v>0</v>
      </c>
      <c r="EA56" s="1989" t="e">
        <f>#REF!/10^7</f>
        <v>#REF!</v>
      </c>
      <c r="EB56" s="1989" t="e">
        <f>#REF!/10^7</f>
        <v>#REF!</v>
      </c>
      <c r="EC56" s="2002" t="e">
        <f t="shared" si="62"/>
        <v>#REF!</v>
      </c>
      <c r="ED56" s="1998" t="e">
        <f t="shared" si="118"/>
        <v>#REF!</v>
      </c>
      <c r="EE56" s="2005" t="e">
        <f t="shared" si="122"/>
        <v>#REF!</v>
      </c>
      <c r="EF56" s="2003">
        <f t="shared" si="64"/>
        <v>0</v>
      </c>
      <c r="EG56" s="1989" t="e">
        <f t="shared" si="119"/>
        <v>#REF!</v>
      </c>
      <c r="EH56" s="2003">
        <f t="shared" si="65"/>
        <v>0</v>
      </c>
      <c r="EI56" s="1989" t="e">
        <f t="shared" si="120"/>
        <v>#REF!</v>
      </c>
      <c r="EJ56" s="2003">
        <f t="shared" si="66"/>
        <v>0</v>
      </c>
      <c r="EK56" s="1989" t="e">
        <f t="shared" si="121"/>
        <v>#REF!</v>
      </c>
      <c r="EL56" s="1989" t="e">
        <f t="shared" si="121"/>
        <v>#REF!</v>
      </c>
      <c r="EM56" s="2006" t="e">
        <f t="shared" si="67"/>
        <v>#REF!</v>
      </c>
      <c r="EN56" s="1999" t="e">
        <f t="shared" si="123"/>
        <v>#REF!</v>
      </c>
      <c r="EP56" s="1613" t="e">
        <f>EA56-#REF!/10^7</f>
        <v>#REF!</v>
      </c>
      <c r="EW56" s="1611" t="s">
        <v>1649</v>
      </c>
      <c r="EX56" s="1612" t="s">
        <v>1649</v>
      </c>
      <c r="EZ56" s="1650">
        <f t="shared" si="69"/>
        <v>0</v>
      </c>
    </row>
    <row r="57" spans="1:156" ht="21" customHeight="1">
      <c r="A57" s="1652">
        <v>14</v>
      </c>
      <c r="B57" s="1668" t="s">
        <v>1693</v>
      </c>
      <c r="C57" s="1645">
        <v>1000</v>
      </c>
      <c r="D57" s="1646">
        <f t="shared" si="113"/>
        <v>29.599999999999998</v>
      </c>
      <c r="E57" s="1646">
        <v>88.494</v>
      </c>
      <c r="F57" s="1670">
        <v>6.25</v>
      </c>
      <c r="G57" s="1640"/>
      <c r="H57" s="1640">
        <v>296</v>
      </c>
      <c r="I57" s="1648" t="s">
        <v>1649</v>
      </c>
      <c r="J57" s="1649">
        <v>2</v>
      </c>
      <c r="K57" s="1648"/>
      <c r="L57" s="1640"/>
      <c r="M57" s="1640"/>
      <c r="N57" s="1642"/>
      <c r="O57" s="2000" t="e">
        <f>#REF!</f>
        <v>#REF!</v>
      </c>
      <c r="P57" s="2003">
        <f t="shared" si="9"/>
        <v>0</v>
      </c>
      <c r="Q57" s="1989" t="e">
        <f>#REF!/10^7</f>
        <v>#REF!</v>
      </c>
      <c r="R57" s="2003">
        <f t="shared" si="10"/>
        <v>0</v>
      </c>
      <c r="S57" s="1989" t="e">
        <f>#REF!/10^7</f>
        <v>#REF!</v>
      </c>
      <c r="T57" s="2003">
        <f t="shared" si="11"/>
        <v>0</v>
      </c>
      <c r="U57" s="1989" t="e">
        <f>#REF!/10^7</f>
        <v>#REF!</v>
      </c>
      <c r="V57" s="1989" t="e">
        <f>#REF!/10^7</f>
        <v>#REF!</v>
      </c>
      <c r="W57" s="1989">
        <f t="shared" si="12"/>
        <v>0</v>
      </c>
      <c r="X57" s="1999" t="e">
        <f t="shared" si="114"/>
        <v>#REF!</v>
      </c>
      <c r="Y57" s="1993" t="e">
        <f>#REF!</f>
        <v>#REF!</v>
      </c>
      <c r="Z57" s="2003">
        <f t="shared" si="14"/>
        <v>0</v>
      </c>
      <c r="AA57" s="1989" t="e">
        <f>#REF!/10^7</f>
        <v>#REF!</v>
      </c>
      <c r="AB57" s="2003">
        <f t="shared" si="15"/>
        <v>0</v>
      </c>
      <c r="AC57" s="1989" t="e">
        <f>#REF!/10^7</f>
        <v>#REF!</v>
      </c>
      <c r="AD57" s="2003">
        <f t="shared" si="16"/>
        <v>0</v>
      </c>
      <c r="AE57" s="1989" t="e">
        <f>#REF!/10^7</f>
        <v>#REF!</v>
      </c>
      <c r="AF57" s="1989" t="e">
        <f>#REF!/10^7</f>
        <v>#REF!</v>
      </c>
      <c r="AG57" s="2002" t="e">
        <f t="shared" si="17"/>
        <v>#REF!</v>
      </c>
      <c r="AH57" s="1999" t="e">
        <f t="shared" si="106"/>
        <v>#REF!</v>
      </c>
      <c r="AI57" s="1993" t="e">
        <f>#REF!</f>
        <v>#REF!</v>
      </c>
      <c r="AJ57" s="2003">
        <f t="shared" si="2"/>
        <v>0</v>
      </c>
      <c r="AK57" s="1989" t="e">
        <f>#REF!/10^7</f>
        <v>#REF!</v>
      </c>
      <c r="AL57" s="2003">
        <f t="shared" si="2"/>
        <v>0</v>
      </c>
      <c r="AM57" s="1989" t="e">
        <f>#REF!/10^7</f>
        <v>#REF!</v>
      </c>
      <c r="AN57" s="2003">
        <f t="shared" si="2"/>
        <v>0</v>
      </c>
      <c r="AO57" s="1989" t="e">
        <f>#REF!/10^7</f>
        <v>#REF!</v>
      </c>
      <c r="AP57" s="1989" t="e">
        <f>#REF!/10^7</f>
        <v>#REF!</v>
      </c>
      <c r="AQ57" s="2002" t="e">
        <f t="shared" si="19"/>
        <v>#REF!</v>
      </c>
      <c r="AR57" s="1999" t="e">
        <f t="shared" si="107"/>
        <v>#REF!</v>
      </c>
      <c r="AS57" s="1993" t="e">
        <f>#REF!</f>
        <v>#REF!</v>
      </c>
      <c r="AT57" s="2003">
        <f t="shared" si="20"/>
        <v>0</v>
      </c>
      <c r="AU57" s="1989" t="e">
        <f>#REF!/10^7</f>
        <v>#REF!</v>
      </c>
      <c r="AV57" s="2003">
        <f t="shared" si="21"/>
        <v>0</v>
      </c>
      <c r="AW57" s="1989" t="e">
        <f>#REF!/10^7</f>
        <v>#REF!</v>
      </c>
      <c r="AX57" s="2003">
        <f t="shared" si="22"/>
        <v>0</v>
      </c>
      <c r="AY57" s="1989" t="e">
        <f>#REF!/10^7</f>
        <v>#REF!</v>
      </c>
      <c r="AZ57" s="1989" t="e">
        <f>#REF!/10^7</f>
        <v>#REF!</v>
      </c>
      <c r="BA57" s="2002" t="e">
        <f t="shared" si="23"/>
        <v>#REF!</v>
      </c>
      <c r="BB57" s="1999" t="e">
        <f t="shared" si="108"/>
        <v>#REF!</v>
      </c>
      <c r="BC57" s="1993" t="e">
        <f>#REF!</f>
        <v>#REF!</v>
      </c>
      <c r="BD57" s="2003">
        <f t="shared" si="24"/>
        <v>0</v>
      </c>
      <c r="BE57" s="1989" t="e">
        <f>#REF!/10^7</f>
        <v>#REF!</v>
      </c>
      <c r="BF57" s="2003">
        <f t="shared" si="25"/>
        <v>0</v>
      </c>
      <c r="BG57" s="1989" t="e">
        <f>#REF!/10^7</f>
        <v>#REF!</v>
      </c>
      <c r="BH57" s="2003">
        <f t="shared" si="26"/>
        <v>0</v>
      </c>
      <c r="BI57" s="1989" t="e">
        <f>#REF!/10^7</f>
        <v>#REF!</v>
      </c>
      <c r="BJ57" s="1989" t="e">
        <f>#REF!/10^7</f>
        <v>#REF!</v>
      </c>
      <c r="BK57" s="2002" t="e">
        <f t="shared" si="27"/>
        <v>#REF!</v>
      </c>
      <c r="BL57" s="1999" t="e">
        <f t="shared" si="109"/>
        <v>#REF!</v>
      </c>
      <c r="BM57" s="1993" t="e">
        <f>#REF!</f>
        <v>#REF!</v>
      </c>
      <c r="BN57" s="2003">
        <f t="shared" si="29"/>
        <v>0</v>
      </c>
      <c r="BO57" s="1989" t="e">
        <f>#REF!/10^7</f>
        <v>#REF!</v>
      </c>
      <c r="BP57" s="2003">
        <f t="shared" si="30"/>
        <v>0</v>
      </c>
      <c r="BQ57" s="1989" t="e">
        <f>#REF!/10^7</f>
        <v>#REF!</v>
      </c>
      <c r="BR57" s="2003">
        <f t="shared" si="31"/>
        <v>0</v>
      </c>
      <c r="BS57" s="1989" t="e">
        <f>#REF!/10^7</f>
        <v>#REF!</v>
      </c>
      <c r="BT57" s="1989" t="e">
        <f>#REF!/10^7</f>
        <v>#REF!</v>
      </c>
      <c r="BU57" s="2002" t="e">
        <f t="shared" si="32"/>
        <v>#REF!</v>
      </c>
      <c r="BV57" s="1999" t="e">
        <f t="shared" si="110"/>
        <v>#REF!</v>
      </c>
      <c r="BW57" s="1993" t="e">
        <f>#REF!</f>
        <v>#REF!</v>
      </c>
      <c r="BX57" s="2003">
        <f t="shared" si="34"/>
        <v>0</v>
      </c>
      <c r="BY57" s="1989" t="e">
        <f>#REF!/10^7</f>
        <v>#REF!</v>
      </c>
      <c r="BZ57" s="2003">
        <f t="shared" si="35"/>
        <v>0</v>
      </c>
      <c r="CA57" s="1989" t="e">
        <f>#REF!/10^7</f>
        <v>#REF!</v>
      </c>
      <c r="CB57" s="2003">
        <f t="shared" si="36"/>
        <v>0</v>
      </c>
      <c r="CC57" s="1989" t="e">
        <f>#REF!/10^7</f>
        <v>#REF!</v>
      </c>
      <c r="CD57" s="1989" t="e">
        <f>#REF!/10^7</f>
        <v>#REF!</v>
      </c>
      <c r="CE57" s="2002" t="e">
        <f t="shared" si="37"/>
        <v>#REF!</v>
      </c>
      <c r="CF57" s="1999" t="e">
        <f t="shared" si="111"/>
        <v>#REF!</v>
      </c>
      <c r="CG57" s="1993" t="e">
        <f>#REF!</f>
        <v>#REF!</v>
      </c>
      <c r="CH57" s="2003">
        <f t="shared" si="39"/>
        <v>0</v>
      </c>
      <c r="CI57" s="1989" t="e">
        <f>#REF!/10^7</f>
        <v>#REF!</v>
      </c>
      <c r="CJ57" s="2003">
        <f t="shared" si="40"/>
        <v>0</v>
      </c>
      <c r="CK57" s="1989" t="e">
        <f>#REF!/10^7</f>
        <v>#REF!</v>
      </c>
      <c r="CL57" s="2003">
        <f t="shared" si="41"/>
        <v>0</v>
      </c>
      <c r="CM57" s="1989" t="e">
        <f>#REF!/10^7</f>
        <v>#REF!</v>
      </c>
      <c r="CN57" s="1989" t="e">
        <f>#REF!/10^7</f>
        <v>#REF!</v>
      </c>
      <c r="CO57" s="2002" t="e">
        <f t="shared" si="42"/>
        <v>#REF!</v>
      </c>
      <c r="CP57" s="1999" t="e">
        <f t="shared" si="112"/>
        <v>#REF!</v>
      </c>
      <c r="CQ57" s="1993" t="e">
        <f>#REF!</f>
        <v>#REF!</v>
      </c>
      <c r="CR57" s="2003">
        <f t="shared" si="44"/>
        <v>0</v>
      </c>
      <c r="CS57" s="1989" t="e">
        <f>#REF!/10^7</f>
        <v>#REF!</v>
      </c>
      <c r="CT57" s="2003">
        <f t="shared" si="45"/>
        <v>0</v>
      </c>
      <c r="CU57" s="1989" t="e">
        <f>#REF!/10^7</f>
        <v>#REF!</v>
      </c>
      <c r="CV57" s="2003">
        <f t="shared" si="46"/>
        <v>0</v>
      </c>
      <c r="CW57" s="1989" t="e">
        <f>#REF!/10^7</f>
        <v>#REF!</v>
      </c>
      <c r="CX57" s="1989" t="e">
        <f>#REF!/10^7</f>
        <v>#REF!</v>
      </c>
      <c r="CY57" s="2002" t="e">
        <f t="shared" si="47"/>
        <v>#REF!</v>
      </c>
      <c r="CZ57" s="1999" t="e">
        <f t="shared" si="115"/>
        <v>#REF!</v>
      </c>
      <c r="DA57" s="1993" t="e">
        <f>#REF!</f>
        <v>#REF!</v>
      </c>
      <c r="DB57" s="2003">
        <f t="shared" si="49"/>
        <v>0</v>
      </c>
      <c r="DC57" s="1989" t="e">
        <f>#REF!/10^7</f>
        <v>#REF!</v>
      </c>
      <c r="DD57" s="2003">
        <f t="shared" si="50"/>
        <v>0</v>
      </c>
      <c r="DE57" s="1989" t="e">
        <f>#REF!/10^7</f>
        <v>#REF!</v>
      </c>
      <c r="DF57" s="2003">
        <f t="shared" si="51"/>
        <v>0</v>
      </c>
      <c r="DG57" s="1989" t="e">
        <f>#REF!/10^7</f>
        <v>#REF!</v>
      </c>
      <c r="DH57" s="1989" t="e">
        <f>#REF!/10^7</f>
        <v>#REF!</v>
      </c>
      <c r="DI57" s="2002" t="e">
        <f t="shared" si="52"/>
        <v>#REF!</v>
      </c>
      <c r="DJ57" s="1999" t="e">
        <f t="shared" si="116"/>
        <v>#REF!</v>
      </c>
      <c r="DK57" s="1993" t="e">
        <f>#REF!</f>
        <v>#REF!</v>
      </c>
      <c r="DL57" s="2003">
        <f t="shared" si="54"/>
        <v>0</v>
      </c>
      <c r="DM57" s="1989" t="e">
        <f>#REF!/10^7</f>
        <v>#REF!</v>
      </c>
      <c r="DN57" s="2003">
        <f t="shared" si="55"/>
        <v>0</v>
      </c>
      <c r="DO57" s="1989" t="e">
        <f>#REF!/10^7</f>
        <v>#REF!</v>
      </c>
      <c r="DP57" s="2003">
        <f t="shared" si="56"/>
        <v>0</v>
      </c>
      <c r="DQ57" s="1989" t="e">
        <f>#REF!/10^7</f>
        <v>#REF!</v>
      </c>
      <c r="DR57" s="1989" t="e">
        <f>#REF!/10^7</f>
        <v>#REF!</v>
      </c>
      <c r="DS57" s="2002" t="e">
        <f t="shared" si="57"/>
        <v>#REF!</v>
      </c>
      <c r="DT57" s="2004" t="e">
        <f t="shared" si="117"/>
        <v>#REF!</v>
      </c>
      <c r="DU57" s="1988" t="e">
        <f>#REF!</f>
        <v>#REF!</v>
      </c>
      <c r="DV57" s="2003">
        <f t="shared" si="59"/>
        <v>0</v>
      </c>
      <c r="DW57" s="1989" t="e">
        <f>#REF!/10^7</f>
        <v>#REF!</v>
      </c>
      <c r="DX57" s="2003">
        <f t="shared" si="60"/>
        <v>0</v>
      </c>
      <c r="DY57" s="1989" t="e">
        <f>#REF!/10^7</f>
        <v>#REF!</v>
      </c>
      <c r="DZ57" s="2003">
        <f t="shared" si="61"/>
        <v>0</v>
      </c>
      <c r="EA57" s="1989" t="e">
        <f>#REF!/10^7</f>
        <v>#REF!</v>
      </c>
      <c r="EB57" s="1989" t="e">
        <f>#REF!/10^7</f>
        <v>#REF!</v>
      </c>
      <c r="EC57" s="2002" t="e">
        <f t="shared" si="62"/>
        <v>#REF!</v>
      </c>
      <c r="ED57" s="1998" t="e">
        <f t="shared" si="118"/>
        <v>#REF!</v>
      </c>
      <c r="EE57" s="2005" t="e">
        <f t="shared" si="122"/>
        <v>#REF!</v>
      </c>
      <c r="EF57" s="2003">
        <f t="shared" si="64"/>
        <v>0</v>
      </c>
      <c r="EG57" s="1989" t="e">
        <f t="shared" si="119"/>
        <v>#REF!</v>
      </c>
      <c r="EH57" s="2003">
        <f t="shared" si="65"/>
        <v>0</v>
      </c>
      <c r="EI57" s="1989" t="e">
        <f t="shared" si="120"/>
        <v>#REF!</v>
      </c>
      <c r="EJ57" s="2003">
        <f t="shared" si="66"/>
        <v>0</v>
      </c>
      <c r="EK57" s="1989" t="e">
        <f t="shared" si="121"/>
        <v>#REF!</v>
      </c>
      <c r="EL57" s="1989" t="e">
        <f t="shared" si="121"/>
        <v>#REF!</v>
      </c>
      <c r="EM57" s="2006" t="e">
        <f t="shared" si="67"/>
        <v>#REF!</v>
      </c>
      <c r="EN57" s="1999" t="e">
        <f t="shared" si="123"/>
        <v>#REF!</v>
      </c>
      <c r="EP57" s="1613" t="e">
        <f>EA57-#REF!/10^7</f>
        <v>#REF!</v>
      </c>
      <c r="EW57" s="1611" t="s">
        <v>1649</v>
      </c>
      <c r="EX57" s="1612" t="s">
        <v>1649</v>
      </c>
      <c r="EZ57" s="1650">
        <f t="shared" si="69"/>
        <v>0</v>
      </c>
    </row>
    <row r="58" spans="1:156" ht="21" customHeight="1">
      <c r="A58" s="1652">
        <v>15</v>
      </c>
      <c r="B58" s="1668" t="s">
        <v>1694</v>
      </c>
      <c r="C58" s="1645">
        <v>1000</v>
      </c>
      <c r="D58" s="1646">
        <f t="shared" si="113"/>
        <v>32</v>
      </c>
      <c r="E58" s="1646">
        <v>101.139</v>
      </c>
      <c r="F58" s="1670">
        <v>6.25</v>
      </c>
      <c r="G58" s="1640"/>
      <c r="H58" s="1640">
        <v>320</v>
      </c>
      <c r="I58" s="1648" t="s">
        <v>1649</v>
      </c>
      <c r="J58" s="1649">
        <v>2</v>
      </c>
      <c r="K58" s="1648"/>
      <c r="L58" s="1640"/>
      <c r="M58" s="1640"/>
      <c r="N58" s="1642"/>
      <c r="O58" s="2000" t="e">
        <f>#REF!</f>
        <v>#REF!</v>
      </c>
      <c r="P58" s="2003">
        <f t="shared" si="9"/>
        <v>0</v>
      </c>
      <c r="Q58" s="1989" t="e">
        <f>#REF!/10^7</f>
        <v>#REF!</v>
      </c>
      <c r="R58" s="2003">
        <f t="shared" si="10"/>
        <v>0</v>
      </c>
      <c r="S58" s="1989" t="e">
        <f>#REF!/10^7</f>
        <v>#REF!</v>
      </c>
      <c r="T58" s="2003">
        <f t="shared" si="11"/>
        <v>0</v>
      </c>
      <c r="U58" s="1989" t="e">
        <f>#REF!/10^7</f>
        <v>#REF!</v>
      </c>
      <c r="V58" s="1989" t="e">
        <f>#REF!/10^7</f>
        <v>#REF!</v>
      </c>
      <c r="W58" s="1989">
        <f t="shared" si="12"/>
        <v>0</v>
      </c>
      <c r="X58" s="1999" t="e">
        <f t="shared" si="114"/>
        <v>#REF!</v>
      </c>
      <c r="Y58" s="1993" t="e">
        <f>#REF!</f>
        <v>#REF!</v>
      </c>
      <c r="Z58" s="2003">
        <f t="shared" si="14"/>
        <v>0</v>
      </c>
      <c r="AA58" s="1989" t="e">
        <f>#REF!/10^7</f>
        <v>#REF!</v>
      </c>
      <c r="AB58" s="2003">
        <f t="shared" si="15"/>
        <v>0</v>
      </c>
      <c r="AC58" s="1989" t="e">
        <f>#REF!/10^7</f>
        <v>#REF!</v>
      </c>
      <c r="AD58" s="2003">
        <f t="shared" si="16"/>
        <v>0</v>
      </c>
      <c r="AE58" s="1989" t="e">
        <f>#REF!/10^7</f>
        <v>#REF!</v>
      </c>
      <c r="AF58" s="1989" t="e">
        <f>#REF!/10^7</f>
        <v>#REF!</v>
      </c>
      <c r="AG58" s="2002" t="e">
        <f t="shared" si="17"/>
        <v>#REF!</v>
      </c>
      <c r="AH58" s="1999" t="e">
        <f t="shared" si="106"/>
        <v>#REF!</v>
      </c>
      <c r="AI58" s="1993" t="e">
        <f>#REF!</f>
        <v>#REF!</v>
      </c>
      <c r="AJ58" s="2003">
        <f t="shared" si="2"/>
        <v>0</v>
      </c>
      <c r="AK58" s="1989" t="e">
        <f>#REF!/10^7</f>
        <v>#REF!</v>
      </c>
      <c r="AL58" s="2003">
        <f t="shared" si="2"/>
        <v>0</v>
      </c>
      <c r="AM58" s="1989" t="e">
        <f>#REF!/10^7</f>
        <v>#REF!</v>
      </c>
      <c r="AN58" s="2003">
        <f t="shared" si="2"/>
        <v>0</v>
      </c>
      <c r="AO58" s="1989" t="e">
        <f>#REF!/10^7</f>
        <v>#REF!</v>
      </c>
      <c r="AP58" s="1989" t="e">
        <f>#REF!/10^7</f>
        <v>#REF!</v>
      </c>
      <c r="AQ58" s="2002" t="e">
        <f t="shared" si="19"/>
        <v>#REF!</v>
      </c>
      <c r="AR58" s="1999" t="e">
        <f t="shared" si="107"/>
        <v>#REF!</v>
      </c>
      <c r="AS58" s="1993" t="e">
        <f>#REF!</f>
        <v>#REF!</v>
      </c>
      <c r="AT58" s="2003">
        <f t="shared" si="20"/>
        <v>0</v>
      </c>
      <c r="AU58" s="1989" t="e">
        <f>#REF!/10^7</f>
        <v>#REF!</v>
      </c>
      <c r="AV58" s="2003">
        <f t="shared" si="21"/>
        <v>0</v>
      </c>
      <c r="AW58" s="1989" t="e">
        <f>#REF!/10^7</f>
        <v>#REF!</v>
      </c>
      <c r="AX58" s="2003">
        <f t="shared" si="22"/>
        <v>0</v>
      </c>
      <c r="AY58" s="1989" t="e">
        <f>#REF!/10^7</f>
        <v>#REF!</v>
      </c>
      <c r="AZ58" s="1989" t="e">
        <f>#REF!/10^7</f>
        <v>#REF!</v>
      </c>
      <c r="BA58" s="2002" t="e">
        <f t="shared" si="23"/>
        <v>#REF!</v>
      </c>
      <c r="BB58" s="1999" t="e">
        <f t="shared" si="108"/>
        <v>#REF!</v>
      </c>
      <c r="BC58" s="1993" t="e">
        <f>#REF!</f>
        <v>#REF!</v>
      </c>
      <c r="BD58" s="2003">
        <f t="shared" si="24"/>
        <v>0</v>
      </c>
      <c r="BE58" s="1989" t="e">
        <f>#REF!/10^7</f>
        <v>#REF!</v>
      </c>
      <c r="BF58" s="2003">
        <f t="shared" si="25"/>
        <v>0</v>
      </c>
      <c r="BG58" s="1989" t="e">
        <f>#REF!/10^7</f>
        <v>#REF!</v>
      </c>
      <c r="BH58" s="2003">
        <f t="shared" si="26"/>
        <v>0</v>
      </c>
      <c r="BI58" s="1989" t="e">
        <f>#REF!/10^7</f>
        <v>#REF!</v>
      </c>
      <c r="BJ58" s="1989" t="e">
        <f>#REF!/10^7</f>
        <v>#REF!</v>
      </c>
      <c r="BK58" s="2002" t="e">
        <f t="shared" si="27"/>
        <v>#REF!</v>
      </c>
      <c r="BL58" s="1999" t="e">
        <f t="shared" si="109"/>
        <v>#REF!</v>
      </c>
      <c r="BM58" s="1993" t="e">
        <f>#REF!</f>
        <v>#REF!</v>
      </c>
      <c r="BN58" s="2003">
        <f t="shared" si="29"/>
        <v>0</v>
      </c>
      <c r="BO58" s="1989" t="e">
        <f>#REF!/10^7</f>
        <v>#REF!</v>
      </c>
      <c r="BP58" s="2003">
        <f t="shared" si="30"/>
        <v>0</v>
      </c>
      <c r="BQ58" s="1989" t="e">
        <f>#REF!/10^7</f>
        <v>#REF!</v>
      </c>
      <c r="BR58" s="2003">
        <f t="shared" si="31"/>
        <v>0</v>
      </c>
      <c r="BS58" s="1989" t="e">
        <f>#REF!/10^7</f>
        <v>#REF!</v>
      </c>
      <c r="BT58" s="1989" t="e">
        <f>#REF!/10^7</f>
        <v>#REF!</v>
      </c>
      <c r="BU58" s="2002" t="e">
        <f t="shared" si="32"/>
        <v>#REF!</v>
      </c>
      <c r="BV58" s="1999" t="e">
        <f t="shared" si="110"/>
        <v>#REF!</v>
      </c>
      <c r="BW58" s="1993" t="e">
        <f>#REF!</f>
        <v>#REF!</v>
      </c>
      <c r="BX58" s="2003">
        <f t="shared" si="34"/>
        <v>0</v>
      </c>
      <c r="BY58" s="1989" t="e">
        <f>#REF!/10^7</f>
        <v>#REF!</v>
      </c>
      <c r="BZ58" s="2003">
        <f t="shared" si="35"/>
        <v>0</v>
      </c>
      <c r="CA58" s="1989" t="e">
        <f>#REF!/10^7</f>
        <v>#REF!</v>
      </c>
      <c r="CB58" s="2003">
        <f t="shared" si="36"/>
        <v>0</v>
      </c>
      <c r="CC58" s="1989" t="e">
        <f>#REF!/10^7</f>
        <v>#REF!</v>
      </c>
      <c r="CD58" s="1989" t="e">
        <f>#REF!/10^7</f>
        <v>#REF!</v>
      </c>
      <c r="CE58" s="2002" t="e">
        <f t="shared" si="37"/>
        <v>#REF!</v>
      </c>
      <c r="CF58" s="1999" t="e">
        <f t="shared" si="111"/>
        <v>#REF!</v>
      </c>
      <c r="CG58" s="1993" t="e">
        <f>#REF!</f>
        <v>#REF!</v>
      </c>
      <c r="CH58" s="2003">
        <f t="shared" si="39"/>
        <v>0</v>
      </c>
      <c r="CI58" s="1989" t="e">
        <f>#REF!/10^7</f>
        <v>#REF!</v>
      </c>
      <c r="CJ58" s="2003">
        <f t="shared" si="40"/>
        <v>0</v>
      </c>
      <c r="CK58" s="1989" t="e">
        <f>#REF!/10^7</f>
        <v>#REF!</v>
      </c>
      <c r="CL58" s="2003">
        <f t="shared" si="41"/>
        <v>0</v>
      </c>
      <c r="CM58" s="1989" t="e">
        <f>#REF!/10^7</f>
        <v>#REF!</v>
      </c>
      <c r="CN58" s="1989" t="e">
        <f>#REF!/10^7</f>
        <v>#REF!</v>
      </c>
      <c r="CO58" s="2002" t="e">
        <f t="shared" si="42"/>
        <v>#REF!</v>
      </c>
      <c r="CP58" s="1999" t="e">
        <f t="shared" si="112"/>
        <v>#REF!</v>
      </c>
      <c r="CQ58" s="1993" t="e">
        <f>#REF!</f>
        <v>#REF!</v>
      </c>
      <c r="CR58" s="2003">
        <f t="shared" si="44"/>
        <v>0</v>
      </c>
      <c r="CS58" s="1989" t="e">
        <f>#REF!/10^7</f>
        <v>#REF!</v>
      </c>
      <c r="CT58" s="2003">
        <f t="shared" si="45"/>
        <v>0</v>
      </c>
      <c r="CU58" s="1989" t="e">
        <f>#REF!/10^7</f>
        <v>#REF!</v>
      </c>
      <c r="CV58" s="2003">
        <f t="shared" si="46"/>
        <v>0</v>
      </c>
      <c r="CW58" s="1989" t="e">
        <f>#REF!/10^7</f>
        <v>#REF!</v>
      </c>
      <c r="CX58" s="1989" t="e">
        <f>#REF!/10^7</f>
        <v>#REF!</v>
      </c>
      <c r="CY58" s="2002" t="e">
        <f t="shared" si="47"/>
        <v>#REF!</v>
      </c>
      <c r="CZ58" s="1999" t="e">
        <f t="shared" si="115"/>
        <v>#REF!</v>
      </c>
      <c r="DA58" s="1993" t="e">
        <f>#REF!</f>
        <v>#REF!</v>
      </c>
      <c r="DB58" s="2003">
        <f t="shared" si="49"/>
        <v>0</v>
      </c>
      <c r="DC58" s="1989" t="e">
        <f>#REF!/10^7</f>
        <v>#REF!</v>
      </c>
      <c r="DD58" s="2003">
        <f t="shared" si="50"/>
        <v>0</v>
      </c>
      <c r="DE58" s="1989" t="e">
        <f>#REF!/10^7</f>
        <v>#REF!</v>
      </c>
      <c r="DF58" s="2003">
        <f t="shared" si="51"/>
        <v>0</v>
      </c>
      <c r="DG58" s="1989" t="e">
        <f>#REF!/10^7</f>
        <v>#REF!</v>
      </c>
      <c r="DH58" s="1989" t="e">
        <f>#REF!/10^7</f>
        <v>#REF!</v>
      </c>
      <c r="DI58" s="2002" t="e">
        <f t="shared" si="52"/>
        <v>#REF!</v>
      </c>
      <c r="DJ58" s="1999" t="e">
        <f t="shared" si="116"/>
        <v>#REF!</v>
      </c>
      <c r="DK58" s="1993" t="e">
        <f>#REF!</f>
        <v>#REF!</v>
      </c>
      <c r="DL58" s="2003">
        <f t="shared" si="54"/>
        <v>0</v>
      </c>
      <c r="DM58" s="1989" t="e">
        <f>#REF!/10^7</f>
        <v>#REF!</v>
      </c>
      <c r="DN58" s="2003">
        <f t="shared" si="55"/>
        <v>0</v>
      </c>
      <c r="DO58" s="1989" t="e">
        <f>#REF!/10^7</f>
        <v>#REF!</v>
      </c>
      <c r="DP58" s="2003">
        <f t="shared" si="56"/>
        <v>0</v>
      </c>
      <c r="DQ58" s="1989" t="e">
        <f>#REF!/10^7</f>
        <v>#REF!</v>
      </c>
      <c r="DR58" s="1989" t="e">
        <f>#REF!/10^7</f>
        <v>#REF!</v>
      </c>
      <c r="DS58" s="2002" t="e">
        <f t="shared" si="57"/>
        <v>#REF!</v>
      </c>
      <c r="DT58" s="2004" t="e">
        <f t="shared" si="117"/>
        <v>#REF!</v>
      </c>
      <c r="DU58" s="1988" t="e">
        <f>#REF!</f>
        <v>#REF!</v>
      </c>
      <c r="DV58" s="2003">
        <f t="shared" si="59"/>
        <v>0</v>
      </c>
      <c r="DW58" s="1989" t="e">
        <f>#REF!/10^7</f>
        <v>#REF!</v>
      </c>
      <c r="DX58" s="2003">
        <f t="shared" si="60"/>
        <v>0</v>
      </c>
      <c r="DY58" s="1989" t="e">
        <f>#REF!/10^7</f>
        <v>#REF!</v>
      </c>
      <c r="DZ58" s="2003">
        <f t="shared" si="61"/>
        <v>0</v>
      </c>
      <c r="EA58" s="1989" t="e">
        <f>#REF!/10^7</f>
        <v>#REF!</v>
      </c>
      <c r="EB58" s="1989" t="e">
        <f>#REF!/10^7</f>
        <v>#REF!</v>
      </c>
      <c r="EC58" s="2002" t="e">
        <f t="shared" si="62"/>
        <v>#REF!</v>
      </c>
      <c r="ED58" s="1998" t="e">
        <f t="shared" si="118"/>
        <v>#REF!</v>
      </c>
      <c r="EE58" s="2005" t="e">
        <f t="shared" si="122"/>
        <v>#REF!</v>
      </c>
      <c r="EF58" s="2003">
        <f t="shared" si="64"/>
        <v>0</v>
      </c>
      <c r="EG58" s="1989" t="e">
        <f t="shared" si="119"/>
        <v>#REF!</v>
      </c>
      <c r="EH58" s="2003">
        <f t="shared" si="65"/>
        <v>0</v>
      </c>
      <c r="EI58" s="1989" t="e">
        <f t="shared" si="120"/>
        <v>#REF!</v>
      </c>
      <c r="EJ58" s="2003">
        <f t="shared" si="66"/>
        <v>0</v>
      </c>
      <c r="EK58" s="1989" t="e">
        <f t="shared" si="121"/>
        <v>#REF!</v>
      </c>
      <c r="EL58" s="1989" t="e">
        <f t="shared" si="121"/>
        <v>#REF!</v>
      </c>
      <c r="EM58" s="2006" t="e">
        <f t="shared" si="67"/>
        <v>#REF!</v>
      </c>
      <c r="EN58" s="1999" t="e">
        <f t="shared" si="123"/>
        <v>#REF!</v>
      </c>
      <c r="EP58" s="1613" t="e">
        <f>EA58-#REF!/10^7</f>
        <v>#REF!</v>
      </c>
      <c r="EW58" s="1611" t="s">
        <v>1649</v>
      </c>
      <c r="EX58" s="1612" t="s">
        <v>1649</v>
      </c>
      <c r="EZ58" s="1650">
        <f t="shared" si="69"/>
        <v>0</v>
      </c>
    </row>
    <row r="59" spans="1:156" ht="21" customHeight="1">
      <c r="A59" s="1652">
        <v>16</v>
      </c>
      <c r="B59" s="1668" t="s">
        <v>1695</v>
      </c>
      <c r="C59" s="1645">
        <v>2000</v>
      </c>
      <c r="D59" s="1646">
        <f t="shared" si="113"/>
        <v>37.700000000000003</v>
      </c>
      <c r="E59" s="1646">
        <v>98.631</v>
      </c>
      <c r="F59" s="1670">
        <v>7.13</v>
      </c>
      <c r="G59" s="1640"/>
      <c r="H59" s="1640">
        <v>754</v>
      </c>
      <c r="I59" s="1648" t="s">
        <v>1649</v>
      </c>
      <c r="J59" s="1649">
        <v>1</v>
      </c>
      <c r="K59" s="1648"/>
      <c r="L59" s="1640"/>
      <c r="M59" s="1640"/>
      <c r="N59" s="1642"/>
      <c r="O59" s="2000" t="e">
        <f>#REF!</f>
        <v>#REF!</v>
      </c>
      <c r="P59" s="2003">
        <f t="shared" si="9"/>
        <v>0</v>
      </c>
      <c r="Q59" s="1989" t="e">
        <f>#REF!/10^7</f>
        <v>#REF!</v>
      </c>
      <c r="R59" s="2003">
        <f t="shared" si="10"/>
        <v>0</v>
      </c>
      <c r="S59" s="1989" t="e">
        <f>#REF!/10^7</f>
        <v>#REF!</v>
      </c>
      <c r="T59" s="2003">
        <f t="shared" si="11"/>
        <v>0</v>
      </c>
      <c r="U59" s="1989" t="e">
        <f>#REF!/10^7</f>
        <v>#REF!</v>
      </c>
      <c r="V59" s="1989" t="e">
        <f>#REF!/10^7</f>
        <v>#REF!</v>
      </c>
      <c r="W59" s="1989">
        <f t="shared" si="12"/>
        <v>0</v>
      </c>
      <c r="X59" s="1999" t="e">
        <f t="shared" si="114"/>
        <v>#REF!</v>
      </c>
      <c r="Y59" s="1993" t="e">
        <f>#REF!</f>
        <v>#REF!</v>
      </c>
      <c r="Z59" s="2003">
        <f t="shared" si="14"/>
        <v>0</v>
      </c>
      <c r="AA59" s="1989" t="e">
        <f>#REF!/10^7</f>
        <v>#REF!</v>
      </c>
      <c r="AB59" s="2003">
        <f t="shared" si="15"/>
        <v>0</v>
      </c>
      <c r="AC59" s="1989" t="e">
        <f>#REF!/10^7</f>
        <v>#REF!</v>
      </c>
      <c r="AD59" s="2003">
        <f t="shared" si="16"/>
        <v>0</v>
      </c>
      <c r="AE59" s="1989" t="e">
        <f>#REF!/10^7</f>
        <v>#REF!</v>
      </c>
      <c r="AF59" s="1989" t="e">
        <f>#REF!/10^7</f>
        <v>#REF!</v>
      </c>
      <c r="AG59" s="2002" t="e">
        <f t="shared" si="17"/>
        <v>#REF!</v>
      </c>
      <c r="AH59" s="1999" t="e">
        <f t="shared" si="106"/>
        <v>#REF!</v>
      </c>
      <c r="AI59" s="1993" t="e">
        <f>#REF!</f>
        <v>#REF!</v>
      </c>
      <c r="AJ59" s="2003">
        <f t="shared" si="2"/>
        <v>0</v>
      </c>
      <c r="AK59" s="1989" t="e">
        <f>#REF!/10^7</f>
        <v>#REF!</v>
      </c>
      <c r="AL59" s="2003">
        <f t="shared" si="2"/>
        <v>0</v>
      </c>
      <c r="AM59" s="1989" t="e">
        <f>#REF!/10^7</f>
        <v>#REF!</v>
      </c>
      <c r="AN59" s="2003">
        <f t="shared" si="2"/>
        <v>0</v>
      </c>
      <c r="AO59" s="1989" t="e">
        <f>#REF!/10^7</f>
        <v>#REF!</v>
      </c>
      <c r="AP59" s="1989" t="e">
        <f>#REF!/10^7</f>
        <v>#REF!</v>
      </c>
      <c r="AQ59" s="2002" t="e">
        <f t="shared" si="19"/>
        <v>#REF!</v>
      </c>
      <c r="AR59" s="1999" t="e">
        <f t="shared" si="107"/>
        <v>#REF!</v>
      </c>
      <c r="AS59" s="1993" t="e">
        <f>#REF!</f>
        <v>#REF!</v>
      </c>
      <c r="AT59" s="2003">
        <f t="shared" si="20"/>
        <v>0</v>
      </c>
      <c r="AU59" s="1989" t="e">
        <f>#REF!/10^7</f>
        <v>#REF!</v>
      </c>
      <c r="AV59" s="2003">
        <f t="shared" si="21"/>
        <v>0</v>
      </c>
      <c r="AW59" s="1989" t="e">
        <f>#REF!/10^7</f>
        <v>#REF!</v>
      </c>
      <c r="AX59" s="2003">
        <f t="shared" si="22"/>
        <v>0</v>
      </c>
      <c r="AY59" s="1989" t="e">
        <f>#REF!/10^7</f>
        <v>#REF!</v>
      </c>
      <c r="AZ59" s="1989" t="e">
        <f>#REF!/10^7</f>
        <v>#REF!</v>
      </c>
      <c r="BA59" s="2002" t="e">
        <f t="shared" si="23"/>
        <v>#REF!</v>
      </c>
      <c r="BB59" s="1999" t="e">
        <f t="shared" si="108"/>
        <v>#REF!</v>
      </c>
      <c r="BC59" s="1993" t="e">
        <f>#REF!</f>
        <v>#REF!</v>
      </c>
      <c r="BD59" s="2003">
        <f t="shared" si="24"/>
        <v>0</v>
      </c>
      <c r="BE59" s="1989" t="e">
        <f>#REF!/10^7</f>
        <v>#REF!</v>
      </c>
      <c r="BF59" s="2003">
        <f t="shared" si="25"/>
        <v>0</v>
      </c>
      <c r="BG59" s="1989" t="e">
        <f>#REF!/10^7</f>
        <v>#REF!</v>
      </c>
      <c r="BH59" s="2003">
        <f t="shared" si="26"/>
        <v>0</v>
      </c>
      <c r="BI59" s="1989" t="e">
        <f>#REF!/10^7</f>
        <v>#REF!</v>
      </c>
      <c r="BJ59" s="1989" t="e">
        <f>#REF!/10^7</f>
        <v>#REF!</v>
      </c>
      <c r="BK59" s="2002" t="e">
        <f t="shared" si="27"/>
        <v>#REF!</v>
      </c>
      <c r="BL59" s="1999" t="e">
        <f t="shared" si="109"/>
        <v>#REF!</v>
      </c>
      <c r="BM59" s="1993" t="e">
        <f>#REF!</f>
        <v>#REF!</v>
      </c>
      <c r="BN59" s="2003">
        <f t="shared" si="29"/>
        <v>0</v>
      </c>
      <c r="BO59" s="1989" t="e">
        <f>#REF!/10^7</f>
        <v>#REF!</v>
      </c>
      <c r="BP59" s="2003">
        <f t="shared" si="30"/>
        <v>0</v>
      </c>
      <c r="BQ59" s="1989" t="e">
        <f>#REF!/10^7</f>
        <v>#REF!</v>
      </c>
      <c r="BR59" s="2003">
        <f t="shared" si="31"/>
        <v>0</v>
      </c>
      <c r="BS59" s="1989" t="e">
        <f>#REF!/10^7</f>
        <v>#REF!</v>
      </c>
      <c r="BT59" s="1989" t="e">
        <f>#REF!/10^7</f>
        <v>#REF!</v>
      </c>
      <c r="BU59" s="2002" t="e">
        <f t="shared" si="32"/>
        <v>#REF!</v>
      </c>
      <c r="BV59" s="1999" t="e">
        <f t="shared" si="110"/>
        <v>#REF!</v>
      </c>
      <c r="BW59" s="1993" t="e">
        <f>#REF!</f>
        <v>#REF!</v>
      </c>
      <c r="BX59" s="2003">
        <f t="shared" si="34"/>
        <v>0</v>
      </c>
      <c r="BY59" s="1989" t="e">
        <f>#REF!/10^7</f>
        <v>#REF!</v>
      </c>
      <c r="BZ59" s="2003">
        <f t="shared" si="35"/>
        <v>0</v>
      </c>
      <c r="CA59" s="1989" t="e">
        <f>#REF!/10^7</f>
        <v>#REF!</v>
      </c>
      <c r="CB59" s="2003">
        <f t="shared" si="36"/>
        <v>0</v>
      </c>
      <c r="CC59" s="1989" t="e">
        <f>#REF!/10^7</f>
        <v>#REF!</v>
      </c>
      <c r="CD59" s="1989" t="e">
        <f>#REF!/10^7</f>
        <v>#REF!</v>
      </c>
      <c r="CE59" s="2002" t="e">
        <f t="shared" si="37"/>
        <v>#REF!</v>
      </c>
      <c r="CF59" s="1999" t="e">
        <f t="shared" si="111"/>
        <v>#REF!</v>
      </c>
      <c r="CG59" s="1993" t="e">
        <f>#REF!</f>
        <v>#REF!</v>
      </c>
      <c r="CH59" s="2003">
        <f t="shared" si="39"/>
        <v>0</v>
      </c>
      <c r="CI59" s="1989" t="e">
        <f>#REF!/10^7</f>
        <v>#REF!</v>
      </c>
      <c r="CJ59" s="2003">
        <f t="shared" si="40"/>
        <v>0</v>
      </c>
      <c r="CK59" s="1989" t="e">
        <f>#REF!/10^7</f>
        <v>#REF!</v>
      </c>
      <c r="CL59" s="2003">
        <f t="shared" si="41"/>
        <v>0</v>
      </c>
      <c r="CM59" s="1989" t="e">
        <f>#REF!/10^7</f>
        <v>#REF!</v>
      </c>
      <c r="CN59" s="1989" t="e">
        <f>#REF!/10^7</f>
        <v>#REF!</v>
      </c>
      <c r="CO59" s="2002" t="e">
        <f t="shared" si="42"/>
        <v>#REF!</v>
      </c>
      <c r="CP59" s="1999" t="e">
        <f t="shared" si="112"/>
        <v>#REF!</v>
      </c>
      <c r="CQ59" s="1993" t="e">
        <f>#REF!</f>
        <v>#REF!</v>
      </c>
      <c r="CR59" s="2003">
        <f t="shared" si="44"/>
        <v>0</v>
      </c>
      <c r="CS59" s="1989" t="e">
        <f>#REF!/10^7</f>
        <v>#REF!</v>
      </c>
      <c r="CT59" s="2003">
        <f t="shared" si="45"/>
        <v>0</v>
      </c>
      <c r="CU59" s="1989" t="e">
        <f>#REF!/10^7</f>
        <v>#REF!</v>
      </c>
      <c r="CV59" s="2003">
        <f t="shared" si="46"/>
        <v>0</v>
      </c>
      <c r="CW59" s="1989" t="e">
        <f>#REF!/10^7</f>
        <v>#REF!</v>
      </c>
      <c r="CX59" s="1989" t="e">
        <f>#REF!/10^7</f>
        <v>#REF!</v>
      </c>
      <c r="CY59" s="2002" t="e">
        <f t="shared" si="47"/>
        <v>#REF!</v>
      </c>
      <c r="CZ59" s="1999" t="e">
        <f t="shared" si="115"/>
        <v>#REF!</v>
      </c>
      <c r="DA59" s="1993" t="e">
        <f>#REF!</f>
        <v>#REF!</v>
      </c>
      <c r="DB59" s="2003">
        <f t="shared" si="49"/>
        <v>0</v>
      </c>
      <c r="DC59" s="1989" t="e">
        <f>#REF!/10^7</f>
        <v>#REF!</v>
      </c>
      <c r="DD59" s="2003">
        <f t="shared" si="50"/>
        <v>0</v>
      </c>
      <c r="DE59" s="1989" t="e">
        <f>#REF!/10^7</f>
        <v>#REF!</v>
      </c>
      <c r="DF59" s="2003">
        <f t="shared" si="51"/>
        <v>0</v>
      </c>
      <c r="DG59" s="1989" t="e">
        <f>#REF!/10^7</f>
        <v>#REF!</v>
      </c>
      <c r="DH59" s="1989" t="e">
        <f>#REF!/10^7</f>
        <v>#REF!</v>
      </c>
      <c r="DI59" s="2002" t="e">
        <f t="shared" si="52"/>
        <v>#REF!</v>
      </c>
      <c r="DJ59" s="1999" t="e">
        <f t="shared" si="116"/>
        <v>#REF!</v>
      </c>
      <c r="DK59" s="1993" t="e">
        <f>#REF!</f>
        <v>#REF!</v>
      </c>
      <c r="DL59" s="2003">
        <f t="shared" si="54"/>
        <v>0</v>
      </c>
      <c r="DM59" s="1989" t="e">
        <f>#REF!/10^7</f>
        <v>#REF!</v>
      </c>
      <c r="DN59" s="2003">
        <f t="shared" si="55"/>
        <v>0</v>
      </c>
      <c r="DO59" s="1989" t="e">
        <f>#REF!/10^7</f>
        <v>#REF!</v>
      </c>
      <c r="DP59" s="2003">
        <f t="shared" si="56"/>
        <v>0</v>
      </c>
      <c r="DQ59" s="1989" t="e">
        <f>#REF!/10^7</f>
        <v>#REF!</v>
      </c>
      <c r="DR59" s="1989" t="e">
        <f>#REF!/10^7</f>
        <v>#REF!</v>
      </c>
      <c r="DS59" s="2002" t="e">
        <f t="shared" si="57"/>
        <v>#REF!</v>
      </c>
      <c r="DT59" s="2004" t="e">
        <f t="shared" si="117"/>
        <v>#REF!</v>
      </c>
      <c r="DU59" s="1988" t="e">
        <f>#REF!</f>
        <v>#REF!</v>
      </c>
      <c r="DV59" s="2003">
        <f t="shared" si="59"/>
        <v>0</v>
      </c>
      <c r="DW59" s="1989" t="e">
        <f>#REF!/10^7</f>
        <v>#REF!</v>
      </c>
      <c r="DX59" s="2003">
        <f t="shared" si="60"/>
        <v>0</v>
      </c>
      <c r="DY59" s="1989" t="e">
        <f>#REF!/10^7</f>
        <v>#REF!</v>
      </c>
      <c r="DZ59" s="2003">
        <f t="shared" si="61"/>
        <v>0</v>
      </c>
      <c r="EA59" s="1989" t="e">
        <f>#REF!/10^7</f>
        <v>#REF!</v>
      </c>
      <c r="EB59" s="1989" t="e">
        <f>#REF!/10^7</f>
        <v>#REF!</v>
      </c>
      <c r="EC59" s="2002" t="e">
        <f t="shared" si="62"/>
        <v>#REF!</v>
      </c>
      <c r="ED59" s="1998" t="e">
        <f t="shared" si="118"/>
        <v>#REF!</v>
      </c>
      <c r="EE59" s="2005" t="e">
        <f t="shared" si="122"/>
        <v>#REF!</v>
      </c>
      <c r="EF59" s="2003">
        <f t="shared" si="64"/>
        <v>0</v>
      </c>
      <c r="EG59" s="1989" t="e">
        <f t="shared" si="119"/>
        <v>#REF!</v>
      </c>
      <c r="EH59" s="2003">
        <f t="shared" si="65"/>
        <v>0</v>
      </c>
      <c r="EI59" s="1989" t="e">
        <f t="shared" si="120"/>
        <v>#REF!</v>
      </c>
      <c r="EJ59" s="2003">
        <f t="shared" si="66"/>
        <v>0</v>
      </c>
      <c r="EK59" s="1989" t="e">
        <f t="shared" si="121"/>
        <v>#REF!</v>
      </c>
      <c r="EL59" s="1989" t="e">
        <f t="shared" si="121"/>
        <v>#REF!</v>
      </c>
      <c r="EM59" s="2006" t="e">
        <f t="shared" si="67"/>
        <v>#REF!</v>
      </c>
      <c r="EN59" s="1999" t="e">
        <f t="shared" si="123"/>
        <v>#REF!</v>
      </c>
      <c r="EP59" s="1613" t="e">
        <f>EA59-#REF!/10^7</f>
        <v>#REF!</v>
      </c>
      <c r="EW59" s="1611" t="s">
        <v>1649</v>
      </c>
      <c r="EX59" s="1612" t="s">
        <v>1649</v>
      </c>
      <c r="EZ59" s="1650">
        <f t="shared" si="69"/>
        <v>0</v>
      </c>
    </row>
    <row r="60" spans="1:156" ht="21" customHeight="1">
      <c r="A60" s="1652">
        <v>17</v>
      </c>
      <c r="B60" s="1668" t="s">
        <v>1682</v>
      </c>
      <c r="C60" s="1645">
        <v>440</v>
      </c>
      <c r="D60" s="1646">
        <f t="shared" si="113"/>
        <v>100</v>
      </c>
      <c r="E60" s="1646">
        <v>92.953000000000003</v>
      </c>
      <c r="F60" s="1665">
        <v>11.5</v>
      </c>
      <c r="G60" s="1640"/>
      <c r="H60" s="1640">
        <v>440</v>
      </c>
      <c r="I60" s="1648" t="s">
        <v>1649</v>
      </c>
      <c r="J60" s="1649">
        <v>2</v>
      </c>
      <c r="K60" s="1648"/>
      <c r="L60" s="1640"/>
      <c r="M60" s="1640"/>
      <c r="N60" s="1642"/>
      <c r="O60" s="2000" t="e">
        <f>#REF!</f>
        <v>#REF!</v>
      </c>
      <c r="P60" s="2003">
        <f t="shared" si="9"/>
        <v>0</v>
      </c>
      <c r="Q60" s="1989" t="e">
        <f>#REF!/10^7</f>
        <v>#REF!</v>
      </c>
      <c r="R60" s="2003">
        <f t="shared" si="10"/>
        <v>0</v>
      </c>
      <c r="S60" s="1989" t="e">
        <f>#REF!/10^7</f>
        <v>#REF!</v>
      </c>
      <c r="T60" s="2003">
        <f t="shared" si="11"/>
        <v>0</v>
      </c>
      <c r="U60" s="1989" t="e">
        <f>#REF!/10^7</f>
        <v>#REF!</v>
      </c>
      <c r="V60" s="1989" t="e">
        <f>#REF!/10^7</f>
        <v>#REF!</v>
      </c>
      <c r="W60" s="1989">
        <f t="shared" si="12"/>
        <v>0</v>
      </c>
      <c r="X60" s="1999" t="e">
        <f t="shared" si="114"/>
        <v>#REF!</v>
      </c>
      <c r="Y60" s="1993" t="e">
        <f>#REF!</f>
        <v>#REF!</v>
      </c>
      <c r="Z60" s="2003">
        <f t="shared" si="14"/>
        <v>0</v>
      </c>
      <c r="AA60" s="1989" t="e">
        <f>#REF!/10^7</f>
        <v>#REF!</v>
      </c>
      <c r="AB60" s="2003">
        <f t="shared" si="15"/>
        <v>0</v>
      </c>
      <c r="AC60" s="1989" t="e">
        <f>#REF!/10^7</f>
        <v>#REF!</v>
      </c>
      <c r="AD60" s="2003">
        <f t="shared" si="16"/>
        <v>0</v>
      </c>
      <c r="AE60" s="1989" t="e">
        <f>#REF!/10^7</f>
        <v>#REF!</v>
      </c>
      <c r="AF60" s="1989" t="e">
        <f>#REF!/10^7</f>
        <v>#REF!</v>
      </c>
      <c r="AG60" s="2002" t="e">
        <f t="shared" si="17"/>
        <v>#REF!</v>
      </c>
      <c r="AH60" s="1999" t="e">
        <f t="shared" si="106"/>
        <v>#REF!</v>
      </c>
      <c r="AI60" s="1993" t="e">
        <f>#REF!</f>
        <v>#REF!</v>
      </c>
      <c r="AJ60" s="2003">
        <f t="shared" si="2"/>
        <v>0</v>
      </c>
      <c r="AK60" s="1989" t="e">
        <f>#REF!/10^7</f>
        <v>#REF!</v>
      </c>
      <c r="AL60" s="2003">
        <f t="shared" si="2"/>
        <v>0</v>
      </c>
      <c r="AM60" s="1989" t="e">
        <f>#REF!/10^7</f>
        <v>#REF!</v>
      </c>
      <c r="AN60" s="2003">
        <f t="shared" si="2"/>
        <v>0</v>
      </c>
      <c r="AO60" s="1989" t="e">
        <f>#REF!/10^7</f>
        <v>#REF!</v>
      </c>
      <c r="AP60" s="1989" t="e">
        <f>#REF!/10^7</f>
        <v>#REF!</v>
      </c>
      <c r="AQ60" s="2002" t="e">
        <f t="shared" si="19"/>
        <v>#REF!</v>
      </c>
      <c r="AR60" s="1999" t="e">
        <f t="shared" si="107"/>
        <v>#REF!</v>
      </c>
      <c r="AS60" s="1993" t="e">
        <f>#REF!</f>
        <v>#REF!</v>
      </c>
      <c r="AT60" s="2003">
        <f t="shared" si="20"/>
        <v>0</v>
      </c>
      <c r="AU60" s="1989" t="e">
        <f>#REF!/10^7</f>
        <v>#REF!</v>
      </c>
      <c r="AV60" s="2003">
        <f t="shared" si="21"/>
        <v>0</v>
      </c>
      <c r="AW60" s="1989" t="e">
        <f>#REF!/10^7</f>
        <v>#REF!</v>
      </c>
      <c r="AX60" s="2003">
        <f t="shared" si="22"/>
        <v>0</v>
      </c>
      <c r="AY60" s="1989" t="e">
        <f>#REF!/10^7</f>
        <v>#REF!</v>
      </c>
      <c r="AZ60" s="1989" t="e">
        <f>#REF!/10^7</f>
        <v>#REF!</v>
      </c>
      <c r="BA60" s="2002" t="e">
        <f t="shared" si="23"/>
        <v>#REF!</v>
      </c>
      <c r="BB60" s="1999" t="e">
        <f t="shared" si="108"/>
        <v>#REF!</v>
      </c>
      <c r="BC60" s="1993" t="e">
        <f>#REF!</f>
        <v>#REF!</v>
      </c>
      <c r="BD60" s="2003">
        <f t="shared" si="24"/>
        <v>0</v>
      </c>
      <c r="BE60" s="1989" t="e">
        <f>#REF!/10^7</f>
        <v>#REF!</v>
      </c>
      <c r="BF60" s="2003">
        <f t="shared" si="25"/>
        <v>0</v>
      </c>
      <c r="BG60" s="1989" t="e">
        <f>#REF!/10^7</f>
        <v>#REF!</v>
      </c>
      <c r="BH60" s="2003">
        <f t="shared" si="26"/>
        <v>0</v>
      </c>
      <c r="BI60" s="1989" t="e">
        <f>#REF!/10^7</f>
        <v>#REF!</v>
      </c>
      <c r="BJ60" s="1989" t="e">
        <f>#REF!/10^7</f>
        <v>#REF!</v>
      </c>
      <c r="BK60" s="2002" t="e">
        <f t="shared" si="27"/>
        <v>#REF!</v>
      </c>
      <c r="BL60" s="1999" t="e">
        <f t="shared" si="109"/>
        <v>#REF!</v>
      </c>
      <c r="BM60" s="1993" t="e">
        <f>#REF!</f>
        <v>#REF!</v>
      </c>
      <c r="BN60" s="2003">
        <f t="shared" si="29"/>
        <v>0</v>
      </c>
      <c r="BO60" s="1989" t="e">
        <f>#REF!/10^7</f>
        <v>#REF!</v>
      </c>
      <c r="BP60" s="2003">
        <f t="shared" si="30"/>
        <v>0</v>
      </c>
      <c r="BQ60" s="1989" t="e">
        <f>#REF!/10^7</f>
        <v>#REF!</v>
      </c>
      <c r="BR60" s="2003">
        <f t="shared" si="31"/>
        <v>0</v>
      </c>
      <c r="BS60" s="1989" t="e">
        <f>#REF!/10^7</f>
        <v>#REF!</v>
      </c>
      <c r="BT60" s="1989" t="e">
        <f>#REF!/10^7</f>
        <v>#REF!</v>
      </c>
      <c r="BU60" s="2002" t="e">
        <f t="shared" si="32"/>
        <v>#REF!</v>
      </c>
      <c r="BV60" s="1999" t="e">
        <f t="shared" si="110"/>
        <v>#REF!</v>
      </c>
      <c r="BW60" s="1993" t="e">
        <f>#REF!</f>
        <v>#REF!</v>
      </c>
      <c r="BX60" s="2003">
        <f t="shared" si="34"/>
        <v>0</v>
      </c>
      <c r="BY60" s="1989" t="e">
        <f>#REF!/10^7</f>
        <v>#REF!</v>
      </c>
      <c r="BZ60" s="2003">
        <f t="shared" si="35"/>
        <v>0</v>
      </c>
      <c r="CA60" s="1989" t="e">
        <f>#REF!/10^7</f>
        <v>#REF!</v>
      </c>
      <c r="CB60" s="2003">
        <f t="shared" si="36"/>
        <v>0</v>
      </c>
      <c r="CC60" s="1989" t="e">
        <f>#REF!/10^7</f>
        <v>#REF!</v>
      </c>
      <c r="CD60" s="1989" t="e">
        <f>#REF!/10^7</f>
        <v>#REF!</v>
      </c>
      <c r="CE60" s="2002" t="e">
        <f t="shared" si="37"/>
        <v>#REF!</v>
      </c>
      <c r="CF60" s="1999" t="e">
        <f t="shared" si="111"/>
        <v>#REF!</v>
      </c>
      <c r="CG60" s="1993" t="e">
        <f>#REF!</f>
        <v>#REF!</v>
      </c>
      <c r="CH60" s="2003">
        <f t="shared" si="39"/>
        <v>0</v>
      </c>
      <c r="CI60" s="1989" t="e">
        <f>#REF!/10^7</f>
        <v>#REF!</v>
      </c>
      <c r="CJ60" s="2003">
        <f t="shared" si="40"/>
        <v>0</v>
      </c>
      <c r="CK60" s="1989" t="e">
        <f>#REF!/10^7</f>
        <v>#REF!</v>
      </c>
      <c r="CL60" s="2003">
        <f t="shared" si="41"/>
        <v>0</v>
      </c>
      <c r="CM60" s="1989" t="e">
        <f>#REF!/10^7</f>
        <v>#REF!</v>
      </c>
      <c r="CN60" s="1989" t="e">
        <f>#REF!/10^7</f>
        <v>#REF!</v>
      </c>
      <c r="CO60" s="2002" t="e">
        <f t="shared" si="42"/>
        <v>#REF!</v>
      </c>
      <c r="CP60" s="1999" t="e">
        <f t="shared" si="112"/>
        <v>#REF!</v>
      </c>
      <c r="CQ60" s="1993" t="e">
        <f>#REF!</f>
        <v>#REF!</v>
      </c>
      <c r="CR60" s="2003">
        <f t="shared" si="44"/>
        <v>0</v>
      </c>
      <c r="CS60" s="1989" t="e">
        <f>#REF!/10^7</f>
        <v>#REF!</v>
      </c>
      <c r="CT60" s="2003">
        <f t="shared" si="45"/>
        <v>0</v>
      </c>
      <c r="CU60" s="1989" t="e">
        <f>#REF!/10^7</f>
        <v>#REF!</v>
      </c>
      <c r="CV60" s="2003">
        <f t="shared" si="46"/>
        <v>0</v>
      </c>
      <c r="CW60" s="1989" t="e">
        <f>#REF!/10^7</f>
        <v>#REF!</v>
      </c>
      <c r="CX60" s="1989" t="e">
        <f>#REF!/10^7</f>
        <v>#REF!</v>
      </c>
      <c r="CY60" s="2002" t="e">
        <f t="shared" si="47"/>
        <v>#REF!</v>
      </c>
      <c r="CZ60" s="1999" t="e">
        <f t="shared" si="115"/>
        <v>#REF!</v>
      </c>
      <c r="DA60" s="1993" t="e">
        <f>#REF!</f>
        <v>#REF!</v>
      </c>
      <c r="DB60" s="2003">
        <f t="shared" si="49"/>
        <v>0</v>
      </c>
      <c r="DC60" s="1989" t="e">
        <f>#REF!/10^7</f>
        <v>#REF!</v>
      </c>
      <c r="DD60" s="2003">
        <f t="shared" si="50"/>
        <v>0</v>
      </c>
      <c r="DE60" s="1989" t="e">
        <f>#REF!/10^7</f>
        <v>#REF!</v>
      </c>
      <c r="DF60" s="2003">
        <f t="shared" si="51"/>
        <v>0</v>
      </c>
      <c r="DG60" s="1989" t="e">
        <f>#REF!/10^7</f>
        <v>#REF!</v>
      </c>
      <c r="DH60" s="1989" t="e">
        <f>#REF!/10^7</f>
        <v>#REF!</v>
      </c>
      <c r="DI60" s="2002" t="e">
        <f t="shared" si="52"/>
        <v>#REF!</v>
      </c>
      <c r="DJ60" s="1999" t="e">
        <f t="shared" si="116"/>
        <v>#REF!</v>
      </c>
      <c r="DK60" s="1993" t="e">
        <f>#REF!</f>
        <v>#REF!</v>
      </c>
      <c r="DL60" s="2003">
        <f t="shared" si="54"/>
        <v>0</v>
      </c>
      <c r="DM60" s="1989" t="e">
        <f>#REF!/10^7</f>
        <v>#REF!</v>
      </c>
      <c r="DN60" s="2003">
        <f t="shared" si="55"/>
        <v>0</v>
      </c>
      <c r="DO60" s="1989" t="e">
        <f>#REF!/10^7</f>
        <v>#REF!</v>
      </c>
      <c r="DP60" s="2003">
        <f t="shared" si="56"/>
        <v>0</v>
      </c>
      <c r="DQ60" s="1989" t="e">
        <f>#REF!/10^7</f>
        <v>#REF!</v>
      </c>
      <c r="DR60" s="1989" t="e">
        <f>#REF!/10^7</f>
        <v>#REF!</v>
      </c>
      <c r="DS60" s="2002" t="e">
        <f t="shared" si="57"/>
        <v>#REF!</v>
      </c>
      <c r="DT60" s="2004" t="e">
        <f t="shared" si="117"/>
        <v>#REF!</v>
      </c>
      <c r="DU60" s="1988" t="e">
        <f>#REF!</f>
        <v>#REF!</v>
      </c>
      <c r="DV60" s="2003">
        <f t="shared" si="59"/>
        <v>0</v>
      </c>
      <c r="DW60" s="1989" t="e">
        <f>#REF!/10^7</f>
        <v>#REF!</v>
      </c>
      <c r="DX60" s="2003">
        <f t="shared" si="60"/>
        <v>0</v>
      </c>
      <c r="DY60" s="1989" t="e">
        <f>#REF!/10^7</f>
        <v>#REF!</v>
      </c>
      <c r="DZ60" s="2003">
        <f t="shared" si="61"/>
        <v>0</v>
      </c>
      <c r="EA60" s="1989" t="e">
        <f>#REF!/10^7</f>
        <v>#REF!</v>
      </c>
      <c r="EB60" s="1989" t="e">
        <f>#REF!/10^7</f>
        <v>#REF!</v>
      </c>
      <c r="EC60" s="2002" t="e">
        <f t="shared" si="62"/>
        <v>#REF!</v>
      </c>
      <c r="ED60" s="1998" t="e">
        <f t="shared" si="118"/>
        <v>#REF!</v>
      </c>
      <c r="EE60" s="2005" t="e">
        <f t="shared" si="122"/>
        <v>#REF!</v>
      </c>
      <c r="EF60" s="2003">
        <f t="shared" si="64"/>
        <v>0</v>
      </c>
      <c r="EG60" s="1989" t="e">
        <f t="shared" si="119"/>
        <v>#REF!</v>
      </c>
      <c r="EH60" s="2003">
        <f t="shared" si="65"/>
        <v>0</v>
      </c>
      <c r="EI60" s="1989" t="e">
        <f t="shared" si="120"/>
        <v>#REF!</v>
      </c>
      <c r="EJ60" s="2003">
        <f t="shared" si="66"/>
        <v>0</v>
      </c>
      <c r="EK60" s="1989" t="e">
        <f t="shared" si="121"/>
        <v>#REF!</v>
      </c>
      <c r="EL60" s="1989" t="e">
        <f t="shared" si="121"/>
        <v>#REF!</v>
      </c>
      <c r="EM60" s="2006" t="e">
        <f t="shared" si="67"/>
        <v>#REF!</v>
      </c>
      <c r="EN60" s="1999" t="e">
        <f t="shared" si="123"/>
        <v>#REF!</v>
      </c>
      <c r="EP60" s="1613" t="e">
        <f>EA60-#REF!/10^7</f>
        <v>#REF!</v>
      </c>
      <c r="EW60" s="1611" t="s">
        <v>1649</v>
      </c>
      <c r="EX60" s="1612" t="s">
        <v>1649</v>
      </c>
      <c r="EZ60" s="1650">
        <f t="shared" si="69"/>
        <v>0</v>
      </c>
    </row>
    <row r="61" spans="1:156" ht="21" customHeight="1">
      <c r="A61" s="1652">
        <v>18</v>
      </c>
      <c r="B61" s="1668" t="s">
        <v>1680</v>
      </c>
      <c r="C61" s="1645">
        <v>657.39</v>
      </c>
      <c r="D61" s="1646">
        <f t="shared" si="113"/>
        <v>4.5635011180577738E-3</v>
      </c>
      <c r="E61" s="1646">
        <v>95.648200000000003</v>
      </c>
      <c r="F61" s="1670">
        <v>2.75</v>
      </c>
      <c r="G61" s="1640"/>
      <c r="H61" s="1640">
        <v>0.03</v>
      </c>
      <c r="I61" s="1648" t="s">
        <v>1649</v>
      </c>
      <c r="J61" s="1649">
        <v>1</v>
      </c>
      <c r="K61" s="1648"/>
      <c r="L61" s="1640"/>
      <c r="M61" s="1640"/>
      <c r="N61" s="1642"/>
      <c r="O61" s="2000" t="e">
        <f>#REF!</f>
        <v>#REF!</v>
      </c>
      <c r="P61" s="2003">
        <f t="shared" si="9"/>
        <v>0</v>
      </c>
      <c r="Q61" s="1989" t="e">
        <f>#REF!/10^7</f>
        <v>#REF!</v>
      </c>
      <c r="R61" s="2003">
        <f t="shared" si="10"/>
        <v>0</v>
      </c>
      <c r="S61" s="1989" t="e">
        <f>#REF!/10^7</f>
        <v>#REF!</v>
      </c>
      <c r="T61" s="2003">
        <f t="shared" si="11"/>
        <v>0</v>
      </c>
      <c r="U61" s="1989" t="e">
        <f>#REF!/10^7</f>
        <v>#REF!</v>
      </c>
      <c r="V61" s="1989" t="e">
        <f>#REF!/10^7</f>
        <v>#REF!</v>
      </c>
      <c r="W61" s="1989">
        <f t="shared" si="12"/>
        <v>0</v>
      </c>
      <c r="X61" s="1999" t="e">
        <f t="shared" si="114"/>
        <v>#REF!</v>
      </c>
      <c r="Y61" s="1993" t="e">
        <f>#REF!</f>
        <v>#REF!</v>
      </c>
      <c r="Z61" s="2003">
        <f t="shared" si="14"/>
        <v>0</v>
      </c>
      <c r="AA61" s="1989" t="e">
        <f>#REF!/10^7</f>
        <v>#REF!</v>
      </c>
      <c r="AB61" s="2003">
        <f t="shared" si="15"/>
        <v>0</v>
      </c>
      <c r="AC61" s="1989" t="e">
        <f>#REF!/10^7</f>
        <v>#REF!</v>
      </c>
      <c r="AD61" s="2003">
        <f t="shared" si="16"/>
        <v>0</v>
      </c>
      <c r="AE61" s="1989" t="e">
        <f>#REF!/10^7</f>
        <v>#REF!</v>
      </c>
      <c r="AF61" s="1989" t="e">
        <f>#REF!/10^7</f>
        <v>#REF!</v>
      </c>
      <c r="AG61" s="2002" t="e">
        <f t="shared" si="17"/>
        <v>#REF!</v>
      </c>
      <c r="AH61" s="1999" t="e">
        <f t="shared" si="106"/>
        <v>#REF!</v>
      </c>
      <c r="AI61" s="1993" t="e">
        <f>#REF!</f>
        <v>#REF!</v>
      </c>
      <c r="AJ61" s="2003">
        <f t="shared" si="2"/>
        <v>0</v>
      </c>
      <c r="AK61" s="1989" t="e">
        <f>#REF!/10^7</f>
        <v>#REF!</v>
      </c>
      <c r="AL61" s="2003">
        <f t="shared" si="2"/>
        <v>0</v>
      </c>
      <c r="AM61" s="1989" t="e">
        <f>#REF!/10^7</f>
        <v>#REF!</v>
      </c>
      <c r="AN61" s="2003">
        <f t="shared" si="2"/>
        <v>0</v>
      </c>
      <c r="AO61" s="1989" t="e">
        <f>#REF!/10^7</f>
        <v>#REF!</v>
      </c>
      <c r="AP61" s="1989" t="e">
        <f>#REF!/10^7</f>
        <v>#REF!</v>
      </c>
      <c r="AQ61" s="2002" t="e">
        <f t="shared" si="19"/>
        <v>#REF!</v>
      </c>
      <c r="AR61" s="1999" t="e">
        <f t="shared" si="107"/>
        <v>#REF!</v>
      </c>
      <c r="AS61" s="1993" t="e">
        <f>#REF!</f>
        <v>#REF!</v>
      </c>
      <c r="AT61" s="2003">
        <f t="shared" si="20"/>
        <v>0</v>
      </c>
      <c r="AU61" s="1989" t="e">
        <f>#REF!/10^7</f>
        <v>#REF!</v>
      </c>
      <c r="AV61" s="2003">
        <f t="shared" si="21"/>
        <v>0</v>
      </c>
      <c r="AW61" s="1989" t="e">
        <f>#REF!/10^7</f>
        <v>#REF!</v>
      </c>
      <c r="AX61" s="2003">
        <f t="shared" si="22"/>
        <v>0</v>
      </c>
      <c r="AY61" s="1989" t="e">
        <f>#REF!/10^7</f>
        <v>#REF!</v>
      </c>
      <c r="AZ61" s="1989" t="e">
        <f>#REF!/10^7</f>
        <v>#REF!</v>
      </c>
      <c r="BA61" s="2002" t="e">
        <f t="shared" si="23"/>
        <v>#REF!</v>
      </c>
      <c r="BB61" s="1999" t="e">
        <f t="shared" si="108"/>
        <v>#REF!</v>
      </c>
      <c r="BC61" s="1993" t="e">
        <f>#REF!</f>
        <v>#REF!</v>
      </c>
      <c r="BD61" s="2003">
        <f t="shared" si="24"/>
        <v>0</v>
      </c>
      <c r="BE61" s="1989" t="e">
        <f>#REF!/10^7</f>
        <v>#REF!</v>
      </c>
      <c r="BF61" s="2003">
        <f t="shared" si="25"/>
        <v>0</v>
      </c>
      <c r="BG61" s="1989" t="e">
        <f>#REF!/10^7</f>
        <v>#REF!</v>
      </c>
      <c r="BH61" s="2003">
        <f t="shared" si="26"/>
        <v>0</v>
      </c>
      <c r="BI61" s="1989" t="e">
        <f>#REF!/10^7</f>
        <v>#REF!</v>
      </c>
      <c r="BJ61" s="1989" t="e">
        <f>#REF!/10^7</f>
        <v>#REF!</v>
      </c>
      <c r="BK61" s="2002" t="e">
        <f t="shared" si="27"/>
        <v>#REF!</v>
      </c>
      <c r="BL61" s="1999" t="e">
        <f t="shared" si="109"/>
        <v>#REF!</v>
      </c>
      <c r="BM61" s="1993" t="e">
        <f>#REF!</f>
        <v>#REF!</v>
      </c>
      <c r="BN61" s="2003">
        <f t="shared" si="29"/>
        <v>0</v>
      </c>
      <c r="BO61" s="1989" t="e">
        <f>#REF!/10^7</f>
        <v>#REF!</v>
      </c>
      <c r="BP61" s="2003">
        <f t="shared" si="30"/>
        <v>0</v>
      </c>
      <c r="BQ61" s="1989" t="e">
        <f>#REF!/10^7</f>
        <v>#REF!</v>
      </c>
      <c r="BR61" s="2003">
        <f t="shared" si="31"/>
        <v>0</v>
      </c>
      <c r="BS61" s="1989" t="e">
        <f>#REF!/10^7</f>
        <v>#REF!</v>
      </c>
      <c r="BT61" s="1989" t="e">
        <f>#REF!/10^7</f>
        <v>#REF!</v>
      </c>
      <c r="BU61" s="2002" t="e">
        <f t="shared" si="32"/>
        <v>#REF!</v>
      </c>
      <c r="BV61" s="1999" t="e">
        <f t="shared" si="110"/>
        <v>#REF!</v>
      </c>
      <c r="BW61" s="1993" t="e">
        <f>#REF!</f>
        <v>#REF!</v>
      </c>
      <c r="BX61" s="2003">
        <f t="shared" si="34"/>
        <v>0</v>
      </c>
      <c r="BY61" s="1989" t="e">
        <f>#REF!/10^7</f>
        <v>#REF!</v>
      </c>
      <c r="BZ61" s="2003">
        <f t="shared" si="35"/>
        <v>0</v>
      </c>
      <c r="CA61" s="1989" t="e">
        <f>#REF!/10^7</f>
        <v>#REF!</v>
      </c>
      <c r="CB61" s="2003">
        <f t="shared" si="36"/>
        <v>0</v>
      </c>
      <c r="CC61" s="1989" t="e">
        <f>#REF!/10^7</f>
        <v>#REF!</v>
      </c>
      <c r="CD61" s="1989" t="e">
        <f>#REF!/10^7</f>
        <v>#REF!</v>
      </c>
      <c r="CE61" s="2002" t="e">
        <f t="shared" si="37"/>
        <v>#REF!</v>
      </c>
      <c r="CF61" s="1999" t="e">
        <f t="shared" si="111"/>
        <v>#REF!</v>
      </c>
      <c r="CG61" s="1993" t="e">
        <f>#REF!</f>
        <v>#REF!</v>
      </c>
      <c r="CH61" s="2003">
        <f t="shared" si="39"/>
        <v>0</v>
      </c>
      <c r="CI61" s="1989" t="e">
        <f>#REF!/10^7</f>
        <v>#REF!</v>
      </c>
      <c r="CJ61" s="2003">
        <f t="shared" si="40"/>
        <v>0</v>
      </c>
      <c r="CK61" s="1989" t="e">
        <f>#REF!/10^7</f>
        <v>#REF!</v>
      </c>
      <c r="CL61" s="2003">
        <f t="shared" si="41"/>
        <v>0</v>
      </c>
      <c r="CM61" s="1989" t="e">
        <f>#REF!/10^7</f>
        <v>#REF!</v>
      </c>
      <c r="CN61" s="1989" t="e">
        <f>#REF!/10^7</f>
        <v>#REF!</v>
      </c>
      <c r="CO61" s="2002" t="e">
        <f t="shared" si="42"/>
        <v>#REF!</v>
      </c>
      <c r="CP61" s="1999" t="e">
        <f t="shared" si="112"/>
        <v>#REF!</v>
      </c>
      <c r="CQ61" s="1993" t="e">
        <f>#REF!</f>
        <v>#REF!</v>
      </c>
      <c r="CR61" s="2003">
        <f t="shared" si="44"/>
        <v>0</v>
      </c>
      <c r="CS61" s="1989" t="e">
        <f>#REF!/10^7</f>
        <v>#REF!</v>
      </c>
      <c r="CT61" s="2003">
        <f t="shared" si="45"/>
        <v>0</v>
      </c>
      <c r="CU61" s="1989" t="e">
        <f>#REF!/10^7</f>
        <v>#REF!</v>
      </c>
      <c r="CV61" s="2003">
        <f t="shared" si="46"/>
        <v>0</v>
      </c>
      <c r="CW61" s="1989" t="e">
        <f>#REF!/10^7</f>
        <v>#REF!</v>
      </c>
      <c r="CX61" s="1989" t="e">
        <f>#REF!/10^7</f>
        <v>#REF!</v>
      </c>
      <c r="CY61" s="2002" t="e">
        <f t="shared" si="47"/>
        <v>#REF!</v>
      </c>
      <c r="CZ61" s="1999" t="e">
        <f t="shared" si="115"/>
        <v>#REF!</v>
      </c>
      <c r="DA61" s="1993" t="e">
        <f>#REF!</f>
        <v>#REF!</v>
      </c>
      <c r="DB61" s="2003">
        <f t="shared" si="49"/>
        <v>0</v>
      </c>
      <c r="DC61" s="1989" t="e">
        <f>#REF!/10^7</f>
        <v>#REF!</v>
      </c>
      <c r="DD61" s="2003">
        <f t="shared" si="50"/>
        <v>0</v>
      </c>
      <c r="DE61" s="1989" t="e">
        <f>#REF!/10^7</f>
        <v>#REF!</v>
      </c>
      <c r="DF61" s="2003">
        <f t="shared" si="51"/>
        <v>0</v>
      </c>
      <c r="DG61" s="1989" t="e">
        <f>#REF!/10^7</f>
        <v>#REF!</v>
      </c>
      <c r="DH61" s="1989" t="e">
        <f>#REF!/10^7</f>
        <v>#REF!</v>
      </c>
      <c r="DI61" s="2002" t="e">
        <f t="shared" si="52"/>
        <v>#REF!</v>
      </c>
      <c r="DJ61" s="1999" t="e">
        <f t="shared" si="116"/>
        <v>#REF!</v>
      </c>
      <c r="DK61" s="1993" t="e">
        <f>#REF!</f>
        <v>#REF!</v>
      </c>
      <c r="DL61" s="2003">
        <f t="shared" si="54"/>
        <v>0</v>
      </c>
      <c r="DM61" s="1989" t="e">
        <f>#REF!/10^7</f>
        <v>#REF!</v>
      </c>
      <c r="DN61" s="2003">
        <f t="shared" si="55"/>
        <v>0</v>
      </c>
      <c r="DO61" s="1989" t="e">
        <f>#REF!/10^7</f>
        <v>#REF!</v>
      </c>
      <c r="DP61" s="2003">
        <f t="shared" si="56"/>
        <v>0</v>
      </c>
      <c r="DQ61" s="1989" t="e">
        <f>#REF!/10^7</f>
        <v>#REF!</v>
      </c>
      <c r="DR61" s="1989" t="e">
        <f>#REF!/10^7</f>
        <v>#REF!</v>
      </c>
      <c r="DS61" s="2002" t="e">
        <f t="shared" si="57"/>
        <v>#REF!</v>
      </c>
      <c r="DT61" s="2004" t="e">
        <f t="shared" si="117"/>
        <v>#REF!</v>
      </c>
      <c r="DU61" s="1988" t="e">
        <f>#REF!</f>
        <v>#REF!</v>
      </c>
      <c r="DV61" s="2003">
        <f t="shared" si="59"/>
        <v>0</v>
      </c>
      <c r="DW61" s="1989" t="e">
        <f>#REF!/10^7</f>
        <v>#REF!</v>
      </c>
      <c r="DX61" s="2003">
        <f t="shared" si="60"/>
        <v>0</v>
      </c>
      <c r="DY61" s="1989" t="e">
        <f>#REF!/10^7</f>
        <v>#REF!</v>
      </c>
      <c r="DZ61" s="2003">
        <f t="shared" si="61"/>
        <v>0</v>
      </c>
      <c r="EA61" s="1989" t="e">
        <f>#REF!/10^7</f>
        <v>#REF!</v>
      </c>
      <c r="EB61" s="1989" t="e">
        <f>#REF!/10^7</f>
        <v>#REF!</v>
      </c>
      <c r="EC61" s="2002" t="e">
        <f t="shared" si="62"/>
        <v>#REF!</v>
      </c>
      <c r="ED61" s="1998" t="e">
        <f t="shared" si="118"/>
        <v>#REF!</v>
      </c>
      <c r="EE61" s="2005" t="e">
        <f t="shared" si="122"/>
        <v>#REF!</v>
      </c>
      <c r="EF61" s="2003">
        <f>IFERROR(EG61/$EE61*10,0)</f>
        <v>0</v>
      </c>
      <c r="EG61" s="1989" t="e">
        <f>Q61+AA61+AK61+AU61+BE61+BO61+BY61+CI61+CS61+DC61+DM61+DW61</f>
        <v>#REF!</v>
      </c>
      <c r="EH61" s="2003">
        <f t="shared" si="65"/>
        <v>0</v>
      </c>
      <c r="EI61" s="1989" t="e">
        <f t="shared" si="120"/>
        <v>#REF!</v>
      </c>
      <c r="EJ61" s="2003">
        <f t="shared" si="66"/>
        <v>0</v>
      </c>
      <c r="EK61" s="1989" t="e">
        <f t="shared" si="121"/>
        <v>#REF!</v>
      </c>
      <c r="EL61" s="1989" t="e">
        <f t="shared" si="121"/>
        <v>#REF!</v>
      </c>
      <c r="EM61" s="2006" t="e">
        <f t="shared" si="67"/>
        <v>#REF!</v>
      </c>
      <c r="EN61" s="1999" t="e">
        <f t="shared" si="123"/>
        <v>#REF!</v>
      </c>
      <c r="EP61" s="1613" t="e">
        <f>EA61-#REF!/10^7</f>
        <v>#REF!</v>
      </c>
      <c r="EW61" s="1611" t="e">
        <v>#N/A</v>
      </c>
      <c r="EX61" s="1612" t="s">
        <v>1649</v>
      </c>
      <c r="EZ61" s="1650">
        <f t="shared" si="69"/>
        <v>0</v>
      </c>
    </row>
    <row r="62" spans="1:156" ht="21" customHeight="1">
      <c r="A62" s="1652">
        <v>19</v>
      </c>
      <c r="B62" s="1668" t="s">
        <v>1696</v>
      </c>
      <c r="C62" s="1645">
        <v>2100</v>
      </c>
      <c r="D62" s="1646">
        <f t="shared" si="113"/>
        <v>0.12047619047619046</v>
      </c>
      <c r="E62" s="1646">
        <v>88.725899999999996</v>
      </c>
      <c r="F62" s="1670">
        <v>7.04</v>
      </c>
      <c r="G62" s="1640"/>
      <c r="H62" s="1669">
        <v>2.5299999999999998</v>
      </c>
      <c r="I62" s="1648" t="s">
        <v>1649</v>
      </c>
      <c r="J62" s="1649">
        <v>1</v>
      </c>
      <c r="K62" s="1648"/>
      <c r="L62" s="1640"/>
      <c r="M62" s="1640"/>
      <c r="N62" s="1642"/>
      <c r="O62" s="2000" t="e">
        <f>#REF!</f>
        <v>#REF!</v>
      </c>
      <c r="P62" s="2003">
        <f t="shared" si="9"/>
        <v>0</v>
      </c>
      <c r="Q62" s="1989" t="e">
        <f>#REF!/10^7</f>
        <v>#REF!</v>
      </c>
      <c r="R62" s="2003">
        <f t="shared" si="10"/>
        <v>0</v>
      </c>
      <c r="S62" s="1989" t="e">
        <f>#REF!/10^7</f>
        <v>#REF!</v>
      </c>
      <c r="T62" s="2003">
        <f t="shared" si="11"/>
        <v>0</v>
      </c>
      <c r="U62" s="1989" t="e">
        <f>#REF!/10^7</f>
        <v>#REF!</v>
      </c>
      <c r="V62" s="1989" t="e">
        <f>#REF!/10^7</f>
        <v>#REF!</v>
      </c>
      <c r="W62" s="1989">
        <f t="shared" si="12"/>
        <v>0</v>
      </c>
      <c r="X62" s="1999" t="e">
        <f t="shared" si="114"/>
        <v>#REF!</v>
      </c>
      <c r="Y62" s="1993" t="e">
        <f>#REF!</f>
        <v>#REF!</v>
      </c>
      <c r="Z62" s="2003">
        <f t="shared" si="14"/>
        <v>0</v>
      </c>
      <c r="AA62" s="1989" t="e">
        <f>#REF!/10^7</f>
        <v>#REF!</v>
      </c>
      <c r="AB62" s="2003">
        <f t="shared" si="15"/>
        <v>0</v>
      </c>
      <c r="AC62" s="1989" t="e">
        <f>#REF!/10^7</f>
        <v>#REF!</v>
      </c>
      <c r="AD62" s="2003">
        <f t="shared" si="16"/>
        <v>0</v>
      </c>
      <c r="AE62" s="1989" t="e">
        <f>#REF!/10^7</f>
        <v>#REF!</v>
      </c>
      <c r="AF62" s="1989" t="e">
        <f>#REF!/10^7</f>
        <v>#REF!</v>
      </c>
      <c r="AG62" s="2002" t="e">
        <f t="shared" si="17"/>
        <v>#REF!</v>
      </c>
      <c r="AH62" s="1999" t="e">
        <f t="shared" si="106"/>
        <v>#REF!</v>
      </c>
      <c r="AI62" s="1993" t="e">
        <f>#REF!</f>
        <v>#REF!</v>
      </c>
      <c r="AJ62" s="2003">
        <f t="shared" si="2"/>
        <v>0</v>
      </c>
      <c r="AK62" s="1989" t="e">
        <f>#REF!/10^7</f>
        <v>#REF!</v>
      </c>
      <c r="AL62" s="2003">
        <f t="shared" si="2"/>
        <v>0</v>
      </c>
      <c r="AM62" s="1989" t="e">
        <f>#REF!/10^7</f>
        <v>#REF!</v>
      </c>
      <c r="AN62" s="2003">
        <f t="shared" si="2"/>
        <v>0</v>
      </c>
      <c r="AO62" s="1989" t="e">
        <f>#REF!/10^7</f>
        <v>#REF!</v>
      </c>
      <c r="AP62" s="1989" t="e">
        <f>#REF!/10^7</f>
        <v>#REF!</v>
      </c>
      <c r="AQ62" s="2002" t="e">
        <f t="shared" si="19"/>
        <v>#REF!</v>
      </c>
      <c r="AR62" s="1999" t="e">
        <f t="shared" si="107"/>
        <v>#REF!</v>
      </c>
      <c r="AS62" s="1993" t="e">
        <f>#REF!</f>
        <v>#REF!</v>
      </c>
      <c r="AT62" s="2003">
        <f t="shared" si="20"/>
        <v>0</v>
      </c>
      <c r="AU62" s="1989" t="e">
        <f>#REF!/10^7</f>
        <v>#REF!</v>
      </c>
      <c r="AV62" s="2003">
        <f t="shared" si="21"/>
        <v>0</v>
      </c>
      <c r="AW62" s="1989" t="e">
        <f>#REF!/10^7</f>
        <v>#REF!</v>
      </c>
      <c r="AX62" s="2003">
        <f t="shared" si="22"/>
        <v>0</v>
      </c>
      <c r="AY62" s="1989" t="e">
        <f>#REF!/10^7</f>
        <v>#REF!</v>
      </c>
      <c r="AZ62" s="1989" t="e">
        <f>#REF!/10^7</f>
        <v>#REF!</v>
      </c>
      <c r="BA62" s="2002" t="e">
        <f t="shared" si="23"/>
        <v>#REF!</v>
      </c>
      <c r="BB62" s="1999" t="e">
        <f t="shared" si="108"/>
        <v>#REF!</v>
      </c>
      <c r="BC62" s="1993" t="e">
        <f>#REF!</f>
        <v>#REF!</v>
      </c>
      <c r="BD62" s="2003">
        <f t="shared" si="24"/>
        <v>0</v>
      </c>
      <c r="BE62" s="1989" t="e">
        <f>#REF!/10^7</f>
        <v>#REF!</v>
      </c>
      <c r="BF62" s="2003">
        <f t="shared" si="25"/>
        <v>0</v>
      </c>
      <c r="BG62" s="1989" t="e">
        <f>#REF!/10^7</f>
        <v>#REF!</v>
      </c>
      <c r="BH62" s="2003">
        <f t="shared" si="26"/>
        <v>0</v>
      </c>
      <c r="BI62" s="1989" t="e">
        <f>#REF!/10^7</f>
        <v>#REF!</v>
      </c>
      <c r="BJ62" s="1989" t="e">
        <f>#REF!/10^7</f>
        <v>#REF!</v>
      </c>
      <c r="BK62" s="2002" t="e">
        <f t="shared" si="27"/>
        <v>#REF!</v>
      </c>
      <c r="BL62" s="1999" t="e">
        <f t="shared" si="109"/>
        <v>#REF!</v>
      </c>
      <c r="BM62" s="1993" t="e">
        <f>#REF!</f>
        <v>#REF!</v>
      </c>
      <c r="BN62" s="2003">
        <f t="shared" si="29"/>
        <v>0</v>
      </c>
      <c r="BO62" s="1989" t="e">
        <f>#REF!/10^7</f>
        <v>#REF!</v>
      </c>
      <c r="BP62" s="2003">
        <f t="shared" si="30"/>
        <v>0</v>
      </c>
      <c r="BQ62" s="1989" t="e">
        <f>#REF!/10^7</f>
        <v>#REF!</v>
      </c>
      <c r="BR62" s="2003">
        <f t="shared" si="31"/>
        <v>0</v>
      </c>
      <c r="BS62" s="1989" t="e">
        <f>#REF!/10^7</f>
        <v>#REF!</v>
      </c>
      <c r="BT62" s="1989" t="e">
        <f>#REF!/10^7</f>
        <v>#REF!</v>
      </c>
      <c r="BU62" s="2002" t="e">
        <f t="shared" si="32"/>
        <v>#REF!</v>
      </c>
      <c r="BV62" s="1999" t="e">
        <f t="shared" si="110"/>
        <v>#REF!</v>
      </c>
      <c r="BW62" s="1993" t="e">
        <f>#REF!</f>
        <v>#REF!</v>
      </c>
      <c r="BX62" s="2003">
        <f t="shared" si="34"/>
        <v>0</v>
      </c>
      <c r="BY62" s="1989" t="e">
        <f>#REF!/10^7</f>
        <v>#REF!</v>
      </c>
      <c r="BZ62" s="2003">
        <f t="shared" si="35"/>
        <v>0</v>
      </c>
      <c r="CA62" s="1989" t="e">
        <f>#REF!/10^7</f>
        <v>#REF!</v>
      </c>
      <c r="CB62" s="2003">
        <f t="shared" si="36"/>
        <v>0</v>
      </c>
      <c r="CC62" s="1989" t="e">
        <f>#REF!/10^7</f>
        <v>#REF!</v>
      </c>
      <c r="CD62" s="1989" t="e">
        <f>#REF!/10^7</f>
        <v>#REF!</v>
      </c>
      <c r="CE62" s="2002" t="e">
        <f t="shared" si="37"/>
        <v>#REF!</v>
      </c>
      <c r="CF62" s="1999" t="e">
        <f t="shared" si="111"/>
        <v>#REF!</v>
      </c>
      <c r="CG62" s="1993" t="e">
        <f>#REF!</f>
        <v>#REF!</v>
      </c>
      <c r="CH62" s="2003">
        <f t="shared" si="39"/>
        <v>0</v>
      </c>
      <c r="CI62" s="1989" t="e">
        <f>#REF!/10^7</f>
        <v>#REF!</v>
      </c>
      <c r="CJ62" s="2003">
        <f t="shared" si="40"/>
        <v>0</v>
      </c>
      <c r="CK62" s="1989" t="e">
        <f>#REF!/10^7</f>
        <v>#REF!</v>
      </c>
      <c r="CL62" s="2003">
        <f t="shared" si="41"/>
        <v>0</v>
      </c>
      <c r="CM62" s="1989" t="e">
        <f>#REF!/10^7</f>
        <v>#REF!</v>
      </c>
      <c r="CN62" s="1989" t="e">
        <f>#REF!/10^7</f>
        <v>#REF!</v>
      </c>
      <c r="CO62" s="2002" t="e">
        <f t="shared" si="42"/>
        <v>#REF!</v>
      </c>
      <c r="CP62" s="1999" t="e">
        <f t="shared" si="112"/>
        <v>#REF!</v>
      </c>
      <c r="CQ62" s="1993" t="e">
        <f>#REF!</f>
        <v>#REF!</v>
      </c>
      <c r="CR62" s="2003">
        <f t="shared" si="44"/>
        <v>0</v>
      </c>
      <c r="CS62" s="1989" t="e">
        <f>#REF!/10^7</f>
        <v>#REF!</v>
      </c>
      <c r="CT62" s="2003">
        <f t="shared" si="45"/>
        <v>0</v>
      </c>
      <c r="CU62" s="1989" t="e">
        <f>#REF!/10^7</f>
        <v>#REF!</v>
      </c>
      <c r="CV62" s="2003">
        <f t="shared" si="46"/>
        <v>0</v>
      </c>
      <c r="CW62" s="1989" t="e">
        <f>#REF!/10^7</f>
        <v>#REF!</v>
      </c>
      <c r="CX62" s="1989" t="e">
        <f>#REF!/10^7</f>
        <v>#REF!</v>
      </c>
      <c r="CY62" s="2002" t="e">
        <f t="shared" si="47"/>
        <v>#REF!</v>
      </c>
      <c r="CZ62" s="1999" t="e">
        <f t="shared" si="115"/>
        <v>#REF!</v>
      </c>
      <c r="DA62" s="1993" t="e">
        <f>#REF!</f>
        <v>#REF!</v>
      </c>
      <c r="DB62" s="2003">
        <f t="shared" si="49"/>
        <v>0</v>
      </c>
      <c r="DC62" s="1989" t="e">
        <f>#REF!/10^7</f>
        <v>#REF!</v>
      </c>
      <c r="DD62" s="2003">
        <f t="shared" si="50"/>
        <v>0</v>
      </c>
      <c r="DE62" s="1989" t="e">
        <f>#REF!/10^7</f>
        <v>#REF!</v>
      </c>
      <c r="DF62" s="2003">
        <f t="shared" si="51"/>
        <v>0</v>
      </c>
      <c r="DG62" s="1989" t="e">
        <f>#REF!/10^7</f>
        <v>#REF!</v>
      </c>
      <c r="DH62" s="1989" t="e">
        <f>#REF!/10^7</f>
        <v>#REF!</v>
      </c>
      <c r="DI62" s="2002" t="e">
        <f t="shared" si="52"/>
        <v>#REF!</v>
      </c>
      <c r="DJ62" s="1999" t="e">
        <f t="shared" si="116"/>
        <v>#REF!</v>
      </c>
      <c r="DK62" s="1993" t="e">
        <f>#REF!</f>
        <v>#REF!</v>
      </c>
      <c r="DL62" s="2003">
        <f t="shared" si="54"/>
        <v>0</v>
      </c>
      <c r="DM62" s="1989" t="e">
        <f>#REF!/10^7</f>
        <v>#REF!</v>
      </c>
      <c r="DN62" s="2003">
        <f t="shared" si="55"/>
        <v>0</v>
      </c>
      <c r="DO62" s="1989" t="e">
        <f>#REF!/10^7</f>
        <v>#REF!</v>
      </c>
      <c r="DP62" s="2003">
        <f t="shared" si="56"/>
        <v>0</v>
      </c>
      <c r="DQ62" s="1989" t="e">
        <f>#REF!/10^7</f>
        <v>#REF!</v>
      </c>
      <c r="DR62" s="1989" t="e">
        <f>#REF!/10^7</f>
        <v>#REF!</v>
      </c>
      <c r="DS62" s="2002" t="e">
        <f t="shared" si="57"/>
        <v>#REF!</v>
      </c>
      <c r="DT62" s="2004" t="e">
        <f t="shared" si="117"/>
        <v>#REF!</v>
      </c>
      <c r="DU62" s="1988" t="e">
        <f>#REF!</f>
        <v>#REF!</v>
      </c>
      <c r="DV62" s="2003">
        <f t="shared" si="59"/>
        <v>0</v>
      </c>
      <c r="DW62" s="1989" t="e">
        <f>#REF!/10^7</f>
        <v>#REF!</v>
      </c>
      <c r="DX62" s="2003">
        <f t="shared" si="60"/>
        <v>0</v>
      </c>
      <c r="DY62" s="1989" t="e">
        <f>#REF!/10^7</f>
        <v>#REF!</v>
      </c>
      <c r="DZ62" s="2003">
        <f t="shared" si="61"/>
        <v>0</v>
      </c>
      <c r="EA62" s="1989" t="e">
        <f>#REF!/10^7</f>
        <v>#REF!</v>
      </c>
      <c r="EB62" s="1989" t="e">
        <f>#REF!/10^7</f>
        <v>#REF!</v>
      </c>
      <c r="EC62" s="2002" t="e">
        <f t="shared" si="62"/>
        <v>#REF!</v>
      </c>
      <c r="ED62" s="1998" t="e">
        <f t="shared" si="118"/>
        <v>#REF!</v>
      </c>
      <c r="EE62" s="2005" t="e">
        <f t="shared" si="122"/>
        <v>#REF!</v>
      </c>
      <c r="EF62" s="2003">
        <f t="shared" si="64"/>
        <v>0</v>
      </c>
      <c r="EG62" s="1989" t="e">
        <f t="shared" si="119"/>
        <v>#REF!</v>
      </c>
      <c r="EH62" s="2003">
        <f t="shared" si="65"/>
        <v>0</v>
      </c>
      <c r="EI62" s="1989" t="e">
        <f t="shared" si="120"/>
        <v>#REF!</v>
      </c>
      <c r="EJ62" s="2003">
        <f t="shared" si="66"/>
        <v>0</v>
      </c>
      <c r="EK62" s="1989" t="e">
        <f t="shared" si="121"/>
        <v>#REF!</v>
      </c>
      <c r="EL62" s="1989" t="e">
        <f t="shared" si="121"/>
        <v>#REF!</v>
      </c>
      <c r="EM62" s="2006" t="e">
        <f t="shared" si="67"/>
        <v>#REF!</v>
      </c>
      <c r="EN62" s="1999" t="e">
        <f t="shared" si="123"/>
        <v>#REF!</v>
      </c>
      <c r="EP62" s="1613" t="e">
        <f>EA62-#REF!/10^7</f>
        <v>#REF!</v>
      </c>
      <c r="EW62" s="1611" t="e">
        <v>#N/A</v>
      </c>
      <c r="EX62" s="1612" t="s">
        <v>1649</v>
      </c>
      <c r="EZ62" s="1650">
        <f t="shared" si="69"/>
        <v>0</v>
      </c>
    </row>
    <row r="63" spans="1:156" ht="21" customHeight="1">
      <c r="A63" s="1652">
        <v>20</v>
      </c>
      <c r="B63" s="1668" t="s">
        <v>1697</v>
      </c>
      <c r="C63" s="1645">
        <v>500</v>
      </c>
      <c r="D63" s="1646">
        <f t="shared" si="113"/>
        <v>0.312</v>
      </c>
      <c r="E63" s="1646">
        <v>87.401700000000005</v>
      </c>
      <c r="F63" s="1670">
        <v>6.25</v>
      </c>
      <c r="G63" s="1640"/>
      <c r="H63" s="1669">
        <v>1.56</v>
      </c>
      <c r="I63" s="1648" t="s">
        <v>1649</v>
      </c>
      <c r="J63" s="1649">
        <v>1</v>
      </c>
      <c r="K63" s="1648"/>
      <c r="L63" s="1640"/>
      <c r="M63" s="1640"/>
      <c r="N63" s="1642"/>
      <c r="O63" s="2000" t="e">
        <f>#REF!</f>
        <v>#REF!</v>
      </c>
      <c r="P63" s="2003">
        <f t="shared" si="9"/>
        <v>0</v>
      </c>
      <c r="Q63" s="1989" t="e">
        <f>#REF!/10^7</f>
        <v>#REF!</v>
      </c>
      <c r="R63" s="2003">
        <f t="shared" si="10"/>
        <v>0</v>
      </c>
      <c r="S63" s="1989" t="e">
        <f>#REF!/10^7</f>
        <v>#REF!</v>
      </c>
      <c r="T63" s="2003">
        <f t="shared" si="11"/>
        <v>0</v>
      </c>
      <c r="U63" s="1989" t="e">
        <f>#REF!/10^7</f>
        <v>#REF!</v>
      </c>
      <c r="V63" s="1989" t="e">
        <f>#REF!/10^7</f>
        <v>#REF!</v>
      </c>
      <c r="W63" s="1989">
        <f t="shared" si="12"/>
        <v>0</v>
      </c>
      <c r="X63" s="1999" t="e">
        <f t="shared" si="114"/>
        <v>#REF!</v>
      </c>
      <c r="Y63" s="1993" t="e">
        <f>#REF!</f>
        <v>#REF!</v>
      </c>
      <c r="Z63" s="2003">
        <f t="shared" si="14"/>
        <v>0</v>
      </c>
      <c r="AA63" s="1989" t="e">
        <f>#REF!/10^7</f>
        <v>#REF!</v>
      </c>
      <c r="AB63" s="2003">
        <f t="shared" si="15"/>
        <v>0</v>
      </c>
      <c r="AC63" s="1989" t="e">
        <f>#REF!/10^7</f>
        <v>#REF!</v>
      </c>
      <c r="AD63" s="2003">
        <f t="shared" si="16"/>
        <v>0</v>
      </c>
      <c r="AE63" s="1989" t="e">
        <f>#REF!/10^7</f>
        <v>#REF!</v>
      </c>
      <c r="AF63" s="1989" t="e">
        <f>#REF!/10^7</f>
        <v>#REF!</v>
      </c>
      <c r="AG63" s="2002" t="e">
        <f t="shared" si="17"/>
        <v>#REF!</v>
      </c>
      <c r="AH63" s="1999" t="e">
        <f t="shared" si="106"/>
        <v>#REF!</v>
      </c>
      <c r="AI63" s="1993" t="e">
        <f>#REF!</f>
        <v>#REF!</v>
      </c>
      <c r="AJ63" s="2003">
        <f t="shared" si="2"/>
        <v>0</v>
      </c>
      <c r="AK63" s="1989" t="e">
        <f>#REF!/10^7</f>
        <v>#REF!</v>
      </c>
      <c r="AL63" s="2003">
        <f t="shared" si="2"/>
        <v>0</v>
      </c>
      <c r="AM63" s="1989" t="e">
        <f>#REF!/10^7</f>
        <v>#REF!</v>
      </c>
      <c r="AN63" s="2003">
        <f t="shared" si="2"/>
        <v>0</v>
      </c>
      <c r="AO63" s="1989" t="e">
        <f>#REF!/10^7</f>
        <v>#REF!</v>
      </c>
      <c r="AP63" s="1989" t="e">
        <f>#REF!/10^7</f>
        <v>#REF!</v>
      </c>
      <c r="AQ63" s="2002" t="e">
        <f t="shared" si="19"/>
        <v>#REF!</v>
      </c>
      <c r="AR63" s="1999" t="e">
        <f t="shared" si="107"/>
        <v>#REF!</v>
      </c>
      <c r="AS63" s="1993" t="e">
        <f>#REF!</f>
        <v>#REF!</v>
      </c>
      <c r="AT63" s="2003">
        <f t="shared" si="20"/>
        <v>0</v>
      </c>
      <c r="AU63" s="1989" t="e">
        <f>#REF!/10^7</f>
        <v>#REF!</v>
      </c>
      <c r="AV63" s="2003">
        <f t="shared" si="21"/>
        <v>0</v>
      </c>
      <c r="AW63" s="1989" t="e">
        <f>#REF!/10^7</f>
        <v>#REF!</v>
      </c>
      <c r="AX63" s="2003">
        <f t="shared" si="22"/>
        <v>0</v>
      </c>
      <c r="AY63" s="1989" t="e">
        <f>#REF!/10^7</f>
        <v>#REF!</v>
      </c>
      <c r="AZ63" s="1989" t="e">
        <f>#REF!/10^7</f>
        <v>#REF!</v>
      </c>
      <c r="BA63" s="2002" t="e">
        <f t="shared" si="23"/>
        <v>#REF!</v>
      </c>
      <c r="BB63" s="1999" t="e">
        <f t="shared" si="108"/>
        <v>#REF!</v>
      </c>
      <c r="BC63" s="1993" t="e">
        <f>#REF!</f>
        <v>#REF!</v>
      </c>
      <c r="BD63" s="2003">
        <f t="shared" si="24"/>
        <v>0</v>
      </c>
      <c r="BE63" s="1989" t="e">
        <f>#REF!/10^7</f>
        <v>#REF!</v>
      </c>
      <c r="BF63" s="2003">
        <f t="shared" si="25"/>
        <v>0</v>
      </c>
      <c r="BG63" s="1989" t="e">
        <f>#REF!/10^7</f>
        <v>#REF!</v>
      </c>
      <c r="BH63" s="2003">
        <f t="shared" si="26"/>
        <v>0</v>
      </c>
      <c r="BI63" s="1989" t="e">
        <f>#REF!/10^7</f>
        <v>#REF!</v>
      </c>
      <c r="BJ63" s="1989" t="e">
        <f>#REF!/10^7</f>
        <v>#REF!</v>
      </c>
      <c r="BK63" s="2002" t="e">
        <f t="shared" si="27"/>
        <v>#REF!</v>
      </c>
      <c r="BL63" s="1999" t="e">
        <f t="shared" si="109"/>
        <v>#REF!</v>
      </c>
      <c r="BM63" s="1993" t="e">
        <f>#REF!</f>
        <v>#REF!</v>
      </c>
      <c r="BN63" s="2003">
        <f t="shared" si="29"/>
        <v>0</v>
      </c>
      <c r="BO63" s="1989" t="e">
        <f>#REF!/10^7</f>
        <v>#REF!</v>
      </c>
      <c r="BP63" s="2003">
        <f t="shared" si="30"/>
        <v>0</v>
      </c>
      <c r="BQ63" s="1989" t="e">
        <f>#REF!/10^7</f>
        <v>#REF!</v>
      </c>
      <c r="BR63" s="2003">
        <f t="shared" si="31"/>
        <v>0</v>
      </c>
      <c r="BS63" s="1989" t="e">
        <f>#REF!/10^7</f>
        <v>#REF!</v>
      </c>
      <c r="BT63" s="1989" t="e">
        <f>#REF!/10^7</f>
        <v>#REF!</v>
      </c>
      <c r="BU63" s="2002" t="e">
        <f t="shared" si="32"/>
        <v>#REF!</v>
      </c>
      <c r="BV63" s="1999" t="e">
        <f t="shared" si="110"/>
        <v>#REF!</v>
      </c>
      <c r="BW63" s="1993" t="e">
        <f>#REF!</f>
        <v>#REF!</v>
      </c>
      <c r="BX63" s="2003">
        <f t="shared" si="34"/>
        <v>0</v>
      </c>
      <c r="BY63" s="1989" t="e">
        <f>#REF!/10^7</f>
        <v>#REF!</v>
      </c>
      <c r="BZ63" s="2003">
        <f t="shared" si="35"/>
        <v>0</v>
      </c>
      <c r="CA63" s="1989" t="e">
        <f>#REF!/10^7</f>
        <v>#REF!</v>
      </c>
      <c r="CB63" s="2003">
        <f t="shared" si="36"/>
        <v>0</v>
      </c>
      <c r="CC63" s="1989" t="e">
        <f>#REF!/10^7</f>
        <v>#REF!</v>
      </c>
      <c r="CD63" s="1989" t="e">
        <f>#REF!/10^7</f>
        <v>#REF!</v>
      </c>
      <c r="CE63" s="2002" t="e">
        <f t="shared" si="37"/>
        <v>#REF!</v>
      </c>
      <c r="CF63" s="1999" t="e">
        <f t="shared" si="111"/>
        <v>#REF!</v>
      </c>
      <c r="CG63" s="1993" t="e">
        <f>#REF!</f>
        <v>#REF!</v>
      </c>
      <c r="CH63" s="2003">
        <f t="shared" si="39"/>
        <v>0</v>
      </c>
      <c r="CI63" s="1989" t="e">
        <f>#REF!/10^7</f>
        <v>#REF!</v>
      </c>
      <c r="CJ63" s="2003">
        <f t="shared" si="40"/>
        <v>0</v>
      </c>
      <c r="CK63" s="1989" t="e">
        <f>#REF!/10^7</f>
        <v>#REF!</v>
      </c>
      <c r="CL63" s="2003">
        <f t="shared" si="41"/>
        <v>0</v>
      </c>
      <c r="CM63" s="1989" t="e">
        <f>#REF!/10^7</f>
        <v>#REF!</v>
      </c>
      <c r="CN63" s="1989" t="e">
        <f>#REF!/10^7</f>
        <v>#REF!</v>
      </c>
      <c r="CO63" s="2002" t="e">
        <f t="shared" si="42"/>
        <v>#REF!</v>
      </c>
      <c r="CP63" s="1999" t="e">
        <f t="shared" si="112"/>
        <v>#REF!</v>
      </c>
      <c r="CQ63" s="1993" t="e">
        <f>#REF!</f>
        <v>#REF!</v>
      </c>
      <c r="CR63" s="2003">
        <f t="shared" si="44"/>
        <v>0</v>
      </c>
      <c r="CS63" s="1989" t="e">
        <f>#REF!/10^7</f>
        <v>#REF!</v>
      </c>
      <c r="CT63" s="2003">
        <f t="shared" si="45"/>
        <v>0</v>
      </c>
      <c r="CU63" s="1989" t="e">
        <f>#REF!/10^7</f>
        <v>#REF!</v>
      </c>
      <c r="CV63" s="2003">
        <f t="shared" si="46"/>
        <v>0</v>
      </c>
      <c r="CW63" s="1989" t="e">
        <f>#REF!/10^7</f>
        <v>#REF!</v>
      </c>
      <c r="CX63" s="1989" t="e">
        <f>#REF!/10^7</f>
        <v>#REF!</v>
      </c>
      <c r="CY63" s="2002" t="e">
        <f t="shared" si="47"/>
        <v>#REF!</v>
      </c>
      <c r="CZ63" s="1999" t="e">
        <f t="shared" si="115"/>
        <v>#REF!</v>
      </c>
      <c r="DA63" s="1993" t="e">
        <f>#REF!</f>
        <v>#REF!</v>
      </c>
      <c r="DB63" s="2003">
        <f t="shared" si="49"/>
        <v>0</v>
      </c>
      <c r="DC63" s="1989" t="e">
        <f>#REF!/10^7</f>
        <v>#REF!</v>
      </c>
      <c r="DD63" s="2003">
        <f t="shared" si="50"/>
        <v>0</v>
      </c>
      <c r="DE63" s="1989" t="e">
        <f>#REF!/10^7</f>
        <v>#REF!</v>
      </c>
      <c r="DF63" s="2003">
        <f t="shared" si="51"/>
        <v>0</v>
      </c>
      <c r="DG63" s="1989" t="e">
        <f>#REF!/10^7</f>
        <v>#REF!</v>
      </c>
      <c r="DH63" s="1989" t="e">
        <f>#REF!/10^7</f>
        <v>#REF!</v>
      </c>
      <c r="DI63" s="2002" t="e">
        <f t="shared" si="52"/>
        <v>#REF!</v>
      </c>
      <c r="DJ63" s="1999" t="e">
        <f t="shared" si="116"/>
        <v>#REF!</v>
      </c>
      <c r="DK63" s="1993" t="e">
        <f>#REF!</f>
        <v>#REF!</v>
      </c>
      <c r="DL63" s="2003">
        <f t="shared" si="54"/>
        <v>0</v>
      </c>
      <c r="DM63" s="1989" t="e">
        <f>#REF!/10^7</f>
        <v>#REF!</v>
      </c>
      <c r="DN63" s="2003">
        <f t="shared" si="55"/>
        <v>0</v>
      </c>
      <c r="DO63" s="1989" t="e">
        <f>#REF!/10^7</f>
        <v>#REF!</v>
      </c>
      <c r="DP63" s="2003">
        <f t="shared" si="56"/>
        <v>0</v>
      </c>
      <c r="DQ63" s="1989" t="e">
        <f>#REF!/10^7</f>
        <v>#REF!</v>
      </c>
      <c r="DR63" s="1989" t="e">
        <f>#REF!/10^7</f>
        <v>#REF!</v>
      </c>
      <c r="DS63" s="2002" t="e">
        <f t="shared" si="57"/>
        <v>#REF!</v>
      </c>
      <c r="DT63" s="2004" t="e">
        <f t="shared" si="117"/>
        <v>#REF!</v>
      </c>
      <c r="DU63" s="1988" t="e">
        <f>#REF!</f>
        <v>#REF!</v>
      </c>
      <c r="DV63" s="2003">
        <f t="shared" si="59"/>
        <v>0</v>
      </c>
      <c r="DW63" s="1989" t="e">
        <f>#REF!/10^7</f>
        <v>#REF!</v>
      </c>
      <c r="DX63" s="2003">
        <f t="shared" si="60"/>
        <v>0</v>
      </c>
      <c r="DY63" s="1989" t="e">
        <f>#REF!/10^7</f>
        <v>#REF!</v>
      </c>
      <c r="DZ63" s="2003">
        <f t="shared" si="61"/>
        <v>0</v>
      </c>
      <c r="EA63" s="1989" t="e">
        <f>#REF!/10^7</f>
        <v>#REF!</v>
      </c>
      <c r="EB63" s="1989" t="e">
        <f>#REF!/10^7</f>
        <v>#REF!</v>
      </c>
      <c r="EC63" s="2002" t="e">
        <f t="shared" si="62"/>
        <v>#REF!</v>
      </c>
      <c r="ED63" s="1998" t="e">
        <f t="shared" si="118"/>
        <v>#REF!</v>
      </c>
      <c r="EE63" s="2005" t="e">
        <f t="shared" si="122"/>
        <v>#REF!</v>
      </c>
      <c r="EF63" s="2003">
        <f t="shared" si="64"/>
        <v>0</v>
      </c>
      <c r="EG63" s="1989" t="e">
        <f t="shared" si="119"/>
        <v>#REF!</v>
      </c>
      <c r="EH63" s="2003">
        <f t="shared" si="65"/>
        <v>0</v>
      </c>
      <c r="EI63" s="1989" t="e">
        <f t="shared" si="120"/>
        <v>#REF!</v>
      </c>
      <c r="EJ63" s="2003">
        <f t="shared" si="66"/>
        <v>0</v>
      </c>
      <c r="EK63" s="1989" t="e">
        <f t="shared" si="121"/>
        <v>#REF!</v>
      </c>
      <c r="EL63" s="1989" t="e">
        <f t="shared" si="121"/>
        <v>#REF!</v>
      </c>
      <c r="EM63" s="2006" t="e">
        <f t="shared" si="67"/>
        <v>#REF!</v>
      </c>
      <c r="EN63" s="1999" t="e">
        <f t="shared" si="123"/>
        <v>#REF!</v>
      </c>
      <c r="EP63" s="1613" t="e">
        <f>EA63-#REF!/10^7</f>
        <v>#REF!</v>
      </c>
      <c r="EW63" s="1611" t="e">
        <v>#N/A</v>
      </c>
      <c r="EX63" s="1612" t="s">
        <v>1649</v>
      </c>
      <c r="EZ63" s="1650">
        <f t="shared" si="69"/>
        <v>0</v>
      </c>
    </row>
    <row r="64" spans="1:156" ht="21" customHeight="1">
      <c r="A64" s="1652">
        <v>21</v>
      </c>
      <c r="B64" s="1668" t="s">
        <v>1681</v>
      </c>
      <c r="C64" s="1645">
        <v>656.2</v>
      </c>
      <c r="D64" s="1646">
        <f t="shared" si="113"/>
        <v>4.5717768972874124E-3</v>
      </c>
      <c r="E64" s="1646">
        <v>94.361000000000004</v>
      </c>
      <c r="F64" s="1670">
        <v>2.75</v>
      </c>
      <c r="G64" s="1640"/>
      <c r="H64" s="1669">
        <v>0.03</v>
      </c>
      <c r="I64" s="1648" t="s">
        <v>1649</v>
      </c>
      <c r="J64" s="1649">
        <v>1</v>
      </c>
      <c r="K64" s="1648"/>
      <c r="L64" s="1640"/>
      <c r="M64" s="1640"/>
      <c r="N64" s="1642"/>
      <c r="O64" s="2000" t="e">
        <f>#REF!</f>
        <v>#REF!</v>
      </c>
      <c r="P64" s="2003">
        <f t="shared" si="9"/>
        <v>0</v>
      </c>
      <c r="Q64" s="1989" t="e">
        <f>#REF!/10^7</f>
        <v>#REF!</v>
      </c>
      <c r="R64" s="2003">
        <f t="shared" si="10"/>
        <v>0</v>
      </c>
      <c r="S64" s="1989" t="e">
        <f>#REF!/10^7</f>
        <v>#REF!</v>
      </c>
      <c r="T64" s="2003">
        <f t="shared" si="11"/>
        <v>0</v>
      </c>
      <c r="U64" s="1989" t="e">
        <f>#REF!/10^7</f>
        <v>#REF!</v>
      </c>
      <c r="V64" s="1989" t="e">
        <f>#REF!/10^7</f>
        <v>#REF!</v>
      </c>
      <c r="W64" s="1989">
        <f t="shared" si="12"/>
        <v>0</v>
      </c>
      <c r="X64" s="1999" t="e">
        <f t="shared" si="114"/>
        <v>#REF!</v>
      </c>
      <c r="Y64" s="1993" t="e">
        <f>#REF!</f>
        <v>#REF!</v>
      </c>
      <c r="Z64" s="2003">
        <f t="shared" si="14"/>
        <v>0</v>
      </c>
      <c r="AA64" s="1989" t="e">
        <f>#REF!/10^7</f>
        <v>#REF!</v>
      </c>
      <c r="AB64" s="2003">
        <f t="shared" si="15"/>
        <v>0</v>
      </c>
      <c r="AC64" s="1989" t="e">
        <f>#REF!/10^7</f>
        <v>#REF!</v>
      </c>
      <c r="AD64" s="2003">
        <f t="shared" si="16"/>
        <v>0</v>
      </c>
      <c r="AE64" s="1989" t="e">
        <f>#REF!/10^7</f>
        <v>#REF!</v>
      </c>
      <c r="AF64" s="1989" t="e">
        <f>#REF!/10^7</f>
        <v>#REF!</v>
      </c>
      <c r="AG64" s="2002" t="e">
        <f t="shared" si="17"/>
        <v>#REF!</v>
      </c>
      <c r="AH64" s="1999" t="e">
        <f t="shared" si="106"/>
        <v>#REF!</v>
      </c>
      <c r="AI64" s="1993" t="e">
        <f>#REF!</f>
        <v>#REF!</v>
      </c>
      <c r="AJ64" s="2003">
        <f t="shared" si="2"/>
        <v>0</v>
      </c>
      <c r="AK64" s="1989" t="e">
        <f>#REF!/10^7</f>
        <v>#REF!</v>
      </c>
      <c r="AL64" s="2003">
        <f t="shared" si="2"/>
        <v>0</v>
      </c>
      <c r="AM64" s="1989" t="e">
        <f>#REF!/10^7</f>
        <v>#REF!</v>
      </c>
      <c r="AN64" s="2003">
        <f t="shared" si="2"/>
        <v>0</v>
      </c>
      <c r="AO64" s="1989" t="e">
        <f>#REF!/10^7</f>
        <v>#REF!</v>
      </c>
      <c r="AP64" s="1989" t="e">
        <f>#REF!/10^7</f>
        <v>#REF!</v>
      </c>
      <c r="AQ64" s="2002" t="e">
        <f t="shared" si="19"/>
        <v>#REF!</v>
      </c>
      <c r="AR64" s="1999" t="e">
        <f t="shared" si="107"/>
        <v>#REF!</v>
      </c>
      <c r="AS64" s="1993" t="e">
        <f>#REF!</f>
        <v>#REF!</v>
      </c>
      <c r="AT64" s="2003">
        <f t="shared" si="20"/>
        <v>0</v>
      </c>
      <c r="AU64" s="1989" t="e">
        <f>#REF!/10^7</f>
        <v>#REF!</v>
      </c>
      <c r="AV64" s="2003">
        <f t="shared" si="21"/>
        <v>0</v>
      </c>
      <c r="AW64" s="1989" t="e">
        <f>#REF!/10^7</f>
        <v>#REF!</v>
      </c>
      <c r="AX64" s="2003">
        <f t="shared" si="22"/>
        <v>0</v>
      </c>
      <c r="AY64" s="1989" t="e">
        <f>#REF!/10^7</f>
        <v>#REF!</v>
      </c>
      <c r="AZ64" s="1989" t="e">
        <f>#REF!/10^7</f>
        <v>#REF!</v>
      </c>
      <c r="BA64" s="2002" t="e">
        <f t="shared" si="23"/>
        <v>#REF!</v>
      </c>
      <c r="BB64" s="1999" t="e">
        <f t="shared" si="108"/>
        <v>#REF!</v>
      </c>
      <c r="BC64" s="1993" t="e">
        <f>#REF!</f>
        <v>#REF!</v>
      </c>
      <c r="BD64" s="2003">
        <f t="shared" si="24"/>
        <v>0</v>
      </c>
      <c r="BE64" s="1989" t="e">
        <f>#REF!/10^7</f>
        <v>#REF!</v>
      </c>
      <c r="BF64" s="2003">
        <f t="shared" si="25"/>
        <v>0</v>
      </c>
      <c r="BG64" s="1989" t="e">
        <f>#REF!/10^7</f>
        <v>#REF!</v>
      </c>
      <c r="BH64" s="2003">
        <f t="shared" si="26"/>
        <v>0</v>
      </c>
      <c r="BI64" s="1989" t="e">
        <f>#REF!/10^7</f>
        <v>#REF!</v>
      </c>
      <c r="BJ64" s="1989" t="e">
        <f>#REF!/10^7</f>
        <v>#REF!</v>
      </c>
      <c r="BK64" s="2002" t="e">
        <f t="shared" si="27"/>
        <v>#REF!</v>
      </c>
      <c r="BL64" s="1999" t="e">
        <f t="shared" si="109"/>
        <v>#REF!</v>
      </c>
      <c r="BM64" s="1993" t="e">
        <f>#REF!</f>
        <v>#REF!</v>
      </c>
      <c r="BN64" s="2003">
        <f t="shared" si="29"/>
        <v>0</v>
      </c>
      <c r="BO64" s="1989" t="e">
        <f>#REF!/10^7</f>
        <v>#REF!</v>
      </c>
      <c r="BP64" s="2003">
        <f t="shared" si="30"/>
        <v>0</v>
      </c>
      <c r="BQ64" s="1989" t="e">
        <f>#REF!/10^7</f>
        <v>#REF!</v>
      </c>
      <c r="BR64" s="2003">
        <f t="shared" si="31"/>
        <v>0</v>
      </c>
      <c r="BS64" s="1989" t="e">
        <f>#REF!/10^7</f>
        <v>#REF!</v>
      </c>
      <c r="BT64" s="1989" t="e">
        <f>#REF!/10^7</f>
        <v>#REF!</v>
      </c>
      <c r="BU64" s="2002" t="e">
        <f t="shared" si="32"/>
        <v>#REF!</v>
      </c>
      <c r="BV64" s="1999" t="e">
        <f t="shared" si="110"/>
        <v>#REF!</v>
      </c>
      <c r="BW64" s="1993" t="e">
        <f>#REF!</f>
        <v>#REF!</v>
      </c>
      <c r="BX64" s="2003">
        <f t="shared" si="34"/>
        <v>0</v>
      </c>
      <c r="BY64" s="1989" t="e">
        <f>#REF!/10^7</f>
        <v>#REF!</v>
      </c>
      <c r="BZ64" s="2003">
        <f t="shared" si="35"/>
        <v>0</v>
      </c>
      <c r="CA64" s="1989" t="e">
        <f>#REF!/10^7</f>
        <v>#REF!</v>
      </c>
      <c r="CB64" s="2003">
        <f t="shared" si="36"/>
        <v>0</v>
      </c>
      <c r="CC64" s="1989" t="e">
        <f>#REF!/10^7</f>
        <v>#REF!</v>
      </c>
      <c r="CD64" s="1989" t="e">
        <f>#REF!/10^7</f>
        <v>#REF!</v>
      </c>
      <c r="CE64" s="2002" t="e">
        <f t="shared" si="37"/>
        <v>#REF!</v>
      </c>
      <c r="CF64" s="1999" t="e">
        <f t="shared" si="111"/>
        <v>#REF!</v>
      </c>
      <c r="CG64" s="1993" t="e">
        <f>#REF!</f>
        <v>#REF!</v>
      </c>
      <c r="CH64" s="2003">
        <f t="shared" si="39"/>
        <v>0</v>
      </c>
      <c r="CI64" s="1989" t="e">
        <f>#REF!/10^7</f>
        <v>#REF!</v>
      </c>
      <c r="CJ64" s="2003">
        <f t="shared" si="40"/>
        <v>0</v>
      </c>
      <c r="CK64" s="1989" t="e">
        <f>#REF!/10^7</f>
        <v>#REF!</v>
      </c>
      <c r="CL64" s="2003">
        <f t="shared" si="41"/>
        <v>0</v>
      </c>
      <c r="CM64" s="1989" t="e">
        <f>#REF!/10^7</f>
        <v>#REF!</v>
      </c>
      <c r="CN64" s="1989" t="e">
        <f>#REF!/10^7</f>
        <v>#REF!</v>
      </c>
      <c r="CO64" s="2002" t="e">
        <f t="shared" si="42"/>
        <v>#REF!</v>
      </c>
      <c r="CP64" s="1999" t="e">
        <f t="shared" si="112"/>
        <v>#REF!</v>
      </c>
      <c r="CQ64" s="1993" t="e">
        <f>#REF!</f>
        <v>#REF!</v>
      </c>
      <c r="CR64" s="2003">
        <f t="shared" si="44"/>
        <v>0</v>
      </c>
      <c r="CS64" s="1989" t="e">
        <f>#REF!/10^7</f>
        <v>#REF!</v>
      </c>
      <c r="CT64" s="2003">
        <f t="shared" si="45"/>
        <v>0</v>
      </c>
      <c r="CU64" s="1989" t="e">
        <f>#REF!/10^7</f>
        <v>#REF!</v>
      </c>
      <c r="CV64" s="2003">
        <f t="shared" si="46"/>
        <v>0</v>
      </c>
      <c r="CW64" s="1989" t="e">
        <f>#REF!/10^7</f>
        <v>#REF!</v>
      </c>
      <c r="CX64" s="1989" t="e">
        <f>#REF!/10^7</f>
        <v>#REF!</v>
      </c>
      <c r="CY64" s="2002" t="e">
        <f t="shared" si="47"/>
        <v>#REF!</v>
      </c>
      <c r="CZ64" s="1999" t="e">
        <f t="shared" si="115"/>
        <v>#REF!</v>
      </c>
      <c r="DA64" s="1993" t="e">
        <f>#REF!</f>
        <v>#REF!</v>
      </c>
      <c r="DB64" s="2003">
        <f t="shared" si="49"/>
        <v>0</v>
      </c>
      <c r="DC64" s="1989" t="e">
        <f>#REF!/10^7</f>
        <v>#REF!</v>
      </c>
      <c r="DD64" s="2003">
        <f t="shared" si="50"/>
        <v>0</v>
      </c>
      <c r="DE64" s="1989" t="e">
        <f>#REF!/10^7</f>
        <v>#REF!</v>
      </c>
      <c r="DF64" s="2003">
        <f t="shared" si="51"/>
        <v>0</v>
      </c>
      <c r="DG64" s="1989" t="e">
        <f>#REF!/10^7</f>
        <v>#REF!</v>
      </c>
      <c r="DH64" s="1989" t="e">
        <f>#REF!/10^7</f>
        <v>#REF!</v>
      </c>
      <c r="DI64" s="2002" t="e">
        <f t="shared" si="52"/>
        <v>#REF!</v>
      </c>
      <c r="DJ64" s="1999" t="e">
        <f t="shared" si="116"/>
        <v>#REF!</v>
      </c>
      <c r="DK64" s="1993" t="e">
        <f>#REF!</f>
        <v>#REF!</v>
      </c>
      <c r="DL64" s="2003">
        <f t="shared" si="54"/>
        <v>0</v>
      </c>
      <c r="DM64" s="1989" t="e">
        <f>#REF!/10^7</f>
        <v>#REF!</v>
      </c>
      <c r="DN64" s="2003">
        <f t="shared" si="55"/>
        <v>0</v>
      </c>
      <c r="DO64" s="1989" t="e">
        <f>#REF!/10^7</f>
        <v>#REF!</v>
      </c>
      <c r="DP64" s="2003">
        <f t="shared" si="56"/>
        <v>0</v>
      </c>
      <c r="DQ64" s="1989" t="e">
        <f>#REF!/10^7</f>
        <v>#REF!</v>
      </c>
      <c r="DR64" s="1989" t="e">
        <f>#REF!/10^7</f>
        <v>#REF!</v>
      </c>
      <c r="DS64" s="2002" t="e">
        <f t="shared" si="57"/>
        <v>#REF!</v>
      </c>
      <c r="DT64" s="2004" t="e">
        <f t="shared" si="117"/>
        <v>#REF!</v>
      </c>
      <c r="DU64" s="1988" t="e">
        <f>#REF!</f>
        <v>#REF!</v>
      </c>
      <c r="DV64" s="2003">
        <f t="shared" si="59"/>
        <v>0</v>
      </c>
      <c r="DW64" s="1989" t="e">
        <f>#REF!/10^7</f>
        <v>#REF!</v>
      </c>
      <c r="DX64" s="2003">
        <f t="shared" si="60"/>
        <v>0</v>
      </c>
      <c r="DY64" s="1989" t="e">
        <f>#REF!/10^7</f>
        <v>#REF!</v>
      </c>
      <c r="DZ64" s="2003">
        <f t="shared" si="61"/>
        <v>0</v>
      </c>
      <c r="EA64" s="1989" t="e">
        <f>#REF!/10^7</f>
        <v>#REF!</v>
      </c>
      <c r="EB64" s="1989" t="e">
        <f>#REF!/10^7</f>
        <v>#REF!</v>
      </c>
      <c r="EC64" s="2002" t="e">
        <f t="shared" si="62"/>
        <v>#REF!</v>
      </c>
      <c r="ED64" s="1998" t="e">
        <f t="shared" si="118"/>
        <v>#REF!</v>
      </c>
      <c r="EE64" s="2005" t="e">
        <f t="shared" si="122"/>
        <v>#REF!</v>
      </c>
      <c r="EF64" s="2003">
        <f t="shared" si="64"/>
        <v>0</v>
      </c>
      <c r="EG64" s="1989" t="e">
        <f t="shared" si="119"/>
        <v>#REF!</v>
      </c>
      <c r="EH64" s="2003">
        <f t="shared" si="65"/>
        <v>0</v>
      </c>
      <c r="EI64" s="1989" t="e">
        <f t="shared" si="120"/>
        <v>#REF!</v>
      </c>
      <c r="EJ64" s="2003">
        <f t="shared" si="66"/>
        <v>0</v>
      </c>
      <c r="EK64" s="1989" t="e">
        <f t="shared" si="121"/>
        <v>#REF!</v>
      </c>
      <c r="EL64" s="1989" t="e">
        <f t="shared" si="121"/>
        <v>#REF!</v>
      </c>
      <c r="EM64" s="2006" t="e">
        <f t="shared" si="67"/>
        <v>#REF!</v>
      </c>
      <c r="EN64" s="1999" t="e">
        <f t="shared" si="123"/>
        <v>#REF!</v>
      </c>
      <c r="EP64" s="1613" t="e">
        <f>EA64-#REF!/10^7</f>
        <v>#REF!</v>
      </c>
      <c r="EW64" s="1611" t="e">
        <v>#N/A</v>
      </c>
      <c r="EX64" s="1612" t="s">
        <v>1649</v>
      </c>
      <c r="EZ64" s="1650">
        <f t="shared" si="69"/>
        <v>0</v>
      </c>
    </row>
    <row r="65" spans="1:156" ht="21" customHeight="1">
      <c r="A65" s="1652">
        <v>22</v>
      </c>
      <c r="B65" s="1668" t="s">
        <v>1698</v>
      </c>
      <c r="C65" s="1612">
        <v>1000</v>
      </c>
      <c r="D65" s="1646">
        <f t="shared" si="113"/>
        <v>0.311</v>
      </c>
      <c r="E65" s="1646">
        <v>100.1354</v>
      </c>
      <c r="F65" s="1670">
        <v>6.25</v>
      </c>
      <c r="G65" s="1640"/>
      <c r="H65" s="1669">
        <v>3.11</v>
      </c>
      <c r="I65" s="1648" t="s">
        <v>1649</v>
      </c>
      <c r="J65" s="1649">
        <v>1</v>
      </c>
      <c r="K65" s="1648"/>
      <c r="L65" s="1640"/>
      <c r="M65" s="1640"/>
      <c r="N65" s="1642"/>
      <c r="O65" s="2000" t="e">
        <f>#REF!</f>
        <v>#REF!</v>
      </c>
      <c r="P65" s="2003">
        <f t="shared" si="9"/>
        <v>0</v>
      </c>
      <c r="Q65" s="1989" t="e">
        <f>#REF!/10^7</f>
        <v>#REF!</v>
      </c>
      <c r="R65" s="2003">
        <f t="shared" si="10"/>
        <v>0</v>
      </c>
      <c r="S65" s="1989" t="e">
        <f>#REF!/10^7</f>
        <v>#REF!</v>
      </c>
      <c r="T65" s="2003">
        <f t="shared" si="11"/>
        <v>0</v>
      </c>
      <c r="U65" s="1989" t="e">
        <f>#REF!/10^7</f>
        <v>#REF!</v>
      </c>
      <c r="V65" s="1989" t="e">
        <f>#REF!/10^7</f>
        <v>#REF!</v>
      </c>
      <c r="W65" s="1989">
        <f t="shared" si="12"/>
        <v>0</v>
      </c>
      <c r="X65" s="1999" t="e">
        <f t="shared" si="114"/>
        <v>#REF!</v>
      </c>
      <c r="Y65" s="1993" t="e">
        <f>#REF!</f>
        <v>#REF!</v>
      </c>
      <c r="Z65" s="2003">
        <f t="shared" si="14"/>
        <v>0</v>
      </c>
      <c r="AA65" s="1989" t="e">
        <f>#REF!/10^7</f>
        <v>#REF!</v>
      </c>
      <c r="AB65" s="2003">
        <f t="shared" si="15"/>
        <v>0</v>
      </c>
      <c r="AC65" s="1989" t="e">
        <f>#REF!/10^7</f>
        <v>#REF!</v>
      </c>
      <c r="AD65" s="2003">
        <f t="shared" si="16"/>
        <v>0</v>
      </c>
      <c r="AE65" s="1989" t="e">
        <f>#REF!/10^7</f>
        <v>#REF!</v>
      </c>
      <c r="AF65" s="1989" t="e">
        <f>#REF!/10^7</f>
        <v>#REF!</v>
      </c>
      <c r="AG65" s="2002" t="e">
        <f t="shared" si="17"/>
        <v>#REF!</v>
      </c>
      <c r="AH65" s="1999" t="e">
        <f t="shared" si="106"/>
        <v>#REF!</v>
      </c>
      <c r="AI65" s="1993" t="e">
        <f>#REF!</f>
        <v>#REF!</v>
      </c>
      <c r="AJ65" s="2003">
        <f t="shared" si="2"/>
        <v>0</v>
      </c>
      <c r="AK65" s="1989" t="e">
        <f>#REF!/10^7</f>
        <v>#REF!</v>
      </c>
      <c r="AL65" s="2003">
        <f t="shared" si="2"/>
        <v>0</v>
      </c>
      <c r="AM65" s="1989" t="e">
        <f>#REF!/10^7</f>
        <v>#REF!</v>
      </c>
      <c r="AN65" s="2003">
        <f t="shared" si="2"/>
        <v>0</v>
      </c>
      <c r="AO65" s="1989" t="e">
        <f>#REF!/10^7</f>
        <v>#REF!</v>
      </c>
      <c r="AP65" s="1989" t="e">
        <f>#REF!/10^7</f>
        <v>#REF!</v>
      </c>
      <c r="AQ65" s="2002" t="e">
        <f t="shared" si="19"/>
        <v>#REF!</v>
      </c>
      <c r="AR65" s="1999" t="e">
        <f t="shared" si="107"/>
        <v>#REF!</v>
      </c>
      <c r="AS65" s="1993" t="e">
        <f>#REF!</f>
        <v>#REF!</v>
      </c>
      <c r="AT65" s="2003">
        <f t="shared" si="20"/>
        <v>0</v>
      </c>
      <c r="AU65" s="1989" t="e">
        <f>#REF!/10^7</f>
        <v>#REF!</v>
      </c>
      <c r="AV65" s="2003">
        <f t="shared" si="21"/>
        <v>0</v>
      </c>
      <c r="AW65" s="1989" t="e">
        <f>#REF!/10^7</f>
        <v>#REF!</v>
      </c>
      <c r="AX65" s="2003">
        <f t="shared" si="22"/>
        <v>0</v>
      </c>
      <c r="AY65" s="1989" t="e">
        <f>#REF!/10^7</f>
        <v>#REF!</v>
      </c>
      <c r="AZ65" s="1989" t="e">
        <f>#REF!/10^7</f>
        <v>#REF!</v>
      </c>
      <c r="BA65" s="2002" t="e">
        <f t="shared" si="23"/>
        <v>#REF!</v>
      </c>
      <c r="BB65" s="1999" t="e">
        <f t="shared" si="108"/>
        <v>#REF!</v>
      </c>
      <c r="BC65" s="1993" t="e">
        <f>#REF!</f>
        <v>#REF!</v>
      </c>
      <c r="BD65" s="2003">
        <f t="shared" si="24"/>
        <v>0</v>
      </c>
      <c r="BE65" s="1989" t="e">
        <f>#REF!/10^7</f>
        <v>#REF!</v>
      </c>
      <c r="BF65" s="2003">
        <f t="shared" si="25"/>
        <v>0</v>
      </c>
      <c r="BG65" s="1989" t="e">
        <f>#REF!/10^7</f>
        <v>#REF!</v>
      </c>
      <c r="BH65" s="2003">
        <f t="shared" si="26"/>
        <v>0</v>
      </c>
      <c r="BI65" s="1989" t="e">
        <f>#REF!/10^7</f>
        <v>#REF!</v>
      </c>
      <c r="BJ65" s="1989" t="e">
        <f>#REF!/10^7</f>
        <v>#REF!</v>
      </c>
      <c r="BK65" s="2002" t="e">
        <f t="shared" si="27"/>
        <v>#REF!</v>
      </c>
      <c r="BL65" s="1999" t="e">
        <f t="shared" si="109"/>
        <v>#REF!</v>
      </c>
      <c r="BM65" s="1993" t="e">
        <f>#REF!</f>
        <v>#REF!</v>
      </c>
      <c r="BN65" s="2003">
        <f t="shared" si="29"/>
        <v>0</v>
      </c>
      <c r="BO65" s="1989" t="e">
        <f>#REF!/10^7</f>
        <v>#REF!</v>
      </c>
      <c r="BP65" s="2003">
        <f t="shared" si="30"/>
        <v>0</v>
      </c>
      <c r="BQ65" s="1989" t="e">
        <f>#REF!/10^7</f>
        <v>#REF!</v>
      </c>
      <c r="BR65" s="2003">
        <f t="shared" si="31"/>
        <v>0</v>
      </c>
      <c r="BS65" s="1989" t="e">
        <f>#REF!/10^7</f>
        <v>#REF!</v>
      </c>
      <c r="BT65" s="1989" t="e">
        <f>#REF!/10^7</f>
        <v>#REF!</v>
      </c>
      <c r="BU65" s="2002" t="e">
        <f t="shared" si="32"/>
        <v>#REF!</v>
      </c>
      <c r="BV65" s="1999" t="e">
        <f t="shared" si="110"/>
        <v>#REF!</v>
      </c>
      <c r="BW65" s="1993" t="e">
        <f>#REF!</f>
        <v>#REF!</v>
      </c>
      <c r="BX65" s="2003">
        <f t="shared" si="34"/>
        <v>0</v>
      </c>
      <c r="BY65" s="1989" t="e">
        <f>#REF!/10^7</f>
        <v>#REF!</v>
      </c>
      <c r="BZ65" s="2003">
        <f t="shared" si="35"/>
        <v>0</v>
      </c>
      <c r="CA65" s="1989" t="e">
        <f>#REF!/10^7</f>
        <v>#REF!</v>
      </c>
      <c r="CB65" s="2003">
        <f t="shared" si="36"/>
        <v>0</v>
      </c>
      <c r="CC65" s="1989" t="e">
        <f>#REF!/10^7</f>
        <v>#REF!</v>
      </c>
      <c r="CD65" s="1989" t="e">
        <f>#REF!/10^7</f>
        <v>#REF!</v>
      </c>
      <c r="CE65" s="2002" t="e">
        <f t="shared" si="37"/>
        <v>#REF!</v>
      </c>
      <c r="CF65" s="1999" t="e">
        <f t="shared" si="111"/>
        <v>#REF!</v>
      </c>
      <c r="CG65" s="1993" t="e">
        <f>#REF!</f>
        <v>#REF!</v>
      </c>
      <c r="CH65" s="2003">
        <f t="shared" si="39"/>
        <v>0</v>
      </c>
      <c r="CI65" s="1989" t="e">
        <f>#REF!/10^7</f>
        <v>#REF!</v>
      </c>
      <c r="CJ65" s="2003">
        <f t="shared" si="40"/>
        <v>0</v>
      </c>
      <c r="CK65" s="1989" t="e">
        <f>#REF!/10^7</f>
        <v>#REF!</v>
      </c>
      <c r="CL65" s="2003">
        <f t="shared" si="41"/>
        <v>0</v>
      </c>
      <c r="CM65" s="1989" t="e">
        <f>#REF!/10^7</f>
        <v>#REF!</v>
      </c>
      <c r="CN65" s="1989" t="e">
        <f>#REF!/10^7</f>
        <v>#REF!</v>
      </c>
      <c r="CO65" s="2002" t="e">
        <f t="shared" si="42"/>
        <v>#REF!</v>
      </c>
      <c r="CP65" s="1999" t="e">
        <f t="shared" si="112"/>
        <v>#REF!</v>
      </c>
      <c r="CQ65" s="1993" t="e">
        <f>#REF!</f>
        <v>#REF!</v>
      </c>
      <c r="CR65" s="2003">
        <f t="shared" si="44"/>
        <v>0</v>
      </c>
      <c r="CS65" s="1989" t="e">
        <f>#REF!/10^7</f>
        <v>#REF!</v>
      </c>
      <c r="CT65" s="2003">
        <f t="shared" si="45"/>
        <v>0</v>
      </c>
      <c r="CU65" s="1989" t="e">
        <f>#REF!/10^7</f>
        <v>#REF!</v>
      </c>
      <c r="CV65" s="2003">
        <f t="shared" si="46"/>
        <v>0</v>
      </c>
      <c r="CW65" s="1989" t="e">
        <f>#REF!/10^7</f>
        <v>#REF!</v>
      </c>
      <c r="CX65" s="1989" t="e">
        <f>#REF!/10^7</f>
        <v>#REF!</v>
      </c>
      <c r="CY65" s="2002" t="e">
        <f t="shared" si="47"/>
        <v>#REF!</v>
      </c>
      <c r="CZ65" s="1999" t="e">
        <f t="shared" si="115"/>
        <v>#REF!</v>
      </c>
      <c r="DA65" s="1993" t="e">
        <f>#REF!</f>
        <v>#REF!</v>
      </c>
      <c r="DB65" s="2003">
        <f t="shared" si="49"/>
        <v>0</v>
      </c>
      <c r="DC65" s="1989" t="e">
        <f>#REF!/10^7</f>
        <v>#REF!</v>
      </c>
      <c r="DD65" s="2003">
        <f t="shared" si="50"/>
        <v>0</v>
      </c>
      <c r="DE65" s="1989" t="e">
        <f>#REF!/10^7</f>
        <v>#REF!</v>
      </c>
      <c r="DF65" s="2003">
        <f t="shared" si="51"/>
        <v>0</v>
      </c>
      <c r="DG65" s="1989" t="e">
        <f>#REF!/10^7</f>
        <v>#REF!</v>
      </c>
      <c r="DH65" s="1989" t="e">
        <f>#REF!/10^7</f>
        <v>#REF!</v>
      </c>
      <c r="DI65" s="2002" t="e">
        <f t="shared" si="52"/>
        <v>#REF!</v>
      </c>
      <c r="DJ65" s="1999" t="e">
        <f t="shared" si="116"/>
        <v>#REF!</v>
      </c>
      <c r="DK65" s="1993" t="e">
        <f>#REF!</f>
        <v>#REF!</v>
      </c>
      <c r="DL65" s="2003">
        <f t="shared" si="54"/>
        <v>0</v>
      </c>
      <c r="DM65" s="1989" t="e">
        <f>#REF!/10^7</f>
        <v>#REF!</v>
      </c>
      <c r="DN65" s="2003">
        <f t="shared" si="55"/>
        <v>0</v>
      </c>
      <c r="DO65" s="1989" t="e">
        <f>#REF!/10^7</f>
        <v>#REF!</v>
      </c>
      <c r="DP65" s="2003">
        <f t="shared" si="56"/>
        <v>0</v>
      </c>
      <c r="DQ65" s="1989" t="e">
        <f>#REF!/10^7</f>
        <v>#REF!</v>
      </c>
      <c r="DR65" s="1989" t="e">
        <f>#REF!/10^7</f>
        <v>#REF!</v>
      </c>
      <c r="DS65" s="2002" t="e">
        <f t="shared" si="57"/>
        <v>#REF!</v>
      </c>
      <c r="DT65" s="2004" t="e">
        <f t="shared" si="117"/>
        <v>#REF!</v>
      </c>
      <c r="DU65" s="1988" t="e">
        <f>#REF!</f>
        <v>#REF!</v>
      </c>
      <c r="DV65" s="2003">
        <f t="shared" si="59"/>
        <v>0</v>
      </c>
      <c r="DW65" s="1989" t="e">
        <f>#REF!/10^7</f>
        <v>#REF!</v>
      </c>
      <c r="DX65" s="2003">
        <f t="shared" si="60"/>
        <v>0</v>
      </c>
      <c r="DY65" s="1989" t="e">
        <f>#REF!/10^7</f>
        <v>#REF!</v>
      </c>
      <c r="DZ65" s="2003">
        <f t="shared" si="61"/>
        <v>0</v>
      </c>
      <c r="EA65" s="1989" t="e">
        <f>#REF!/10^7</f>
        <v>#REF!</v>
      </c>
      <c r="EB65" s="1989" t="e">
        <f>#REF!/10^7</f>
        <v>#REF!</v>
      </c>
      <c r="EC65" s="2002" t="e">
        <f t="shared" si="62"/>
        <v>#REF!</v>
      </c>
      <c r="ED65" s="1998" t="e">
        <f t="shared" si="118"/>
        <v>#REF!</v>
      </c>
      <c r="EE65" s="2005" t="e">
        <f t="shared" si="122"/>
        <v>#REF!</v>
      </c>
      <c r="EF65" s="2003">
        <f t="shared" si="64"/>
        <v>0</v>
      </c>
      <c r="EG65" s="1989" t="e">
        <f t="shared" si="119"/>
        <v>#REF!</v>
      </c>
      <c r="EH65" s="2003">
        <f t="shared" si="65"/>
        <v>0</v>
      </c>
      <c r="EI65" s="1989" t="e">
        <f t="shared" si="120"/>
        <v>#REF!</v>
      </c>
      <c r="EJ65" s="2003">
        <f t="shared" si="66"/>
        <v>0</v>
      </c>
      <c r="EK65" s="1989" t="e">
        <f t="shared" si="121"/>
        <v>#REF!</v>
      </c>
      <c r="EL65" s="1989" t="e">
        <f t="shared" si="121"/>
        <v>#REF!</v>
      </c>
      <c r="EM65" s="2006" t="e">
        <f t="shared" si="67"/>
        <v>#REF!</v>
      </c>
      <c r="EN65" s="1999" t="e">
        <f t="shared" si="123"/>
        <v>#REF!</v>
      </c>
      <c r="EP65" s="1613" t="e">
        <f>EA65-#REF!/10^7</f>
        <v>#REF!</v>
      </c>
      <c r="EW65" s="1611" t="e">
        <v>#N/A</v>
      </c>
      <c r="EX65" s="1612" t="s">
        <v>1649</v>
      </c>
      <c r="EZ65" s="1650">
        <f t="shared" si="69"/>
        <v>0</v>
      </c>
    </row>
    <row r="66" spans="1:156" ht="21" customHeight="1">
      <c r="A66" s="1652">
        <v>23</v>
      </c>
      <c r="B66" s="1668" t="s">
        <v>1699</v>
      </c>
      <c r="C66" s="1645">
        <v>1320</v>
      </c>
      <c r="D66" s="1646">
        <f t="shared" si="113"/>
        <v>0.3113636363636364</v>
      </c>
      <c r="E66" s="1646">
        <v>89.256900000000002</v>
      </c>
      <c r="F66" s="1670">
        <v>6.25</v>
      </c>
      <c r="G66" s="1640"/>
      <c r="H66" s="1669">
        <v>4.1100000000000003</v>
      </c>
      <c r="I66" s="1648" t="s">
        <v>1649</v>
      </c>
      <c r="J66" s="1649">
        <v>1</v>
      </c>
      <c r="K66" s="1648"/>
      <c r="L66" s="1640"/>
      <c r="M66" s="1640"/>
      <c r="N66" s="1642"/>
      <c r="O66" s="2000" t="e">
        <f>#REF!</f>
        <v>#REF!</v>
      </c>
      <c r="P66" s="2003">
        <f t="shared" si="9"/>
        <v>0</v>
      </c>
      <c r="Q66" s="1989" t="e">
        <f>#REF!/10^7</f>
        <v>#REF!</v>
      </c>
      <c r="R66" s="2003">
        <f t="shared" si="10"/>
        <v>0</v>
      </c>
      <c r="S66" s="1989" t="e">
        <f>#REF!/10^7</f>
        <v>#REF!</v>
      </c>
      <c r="T66" s="2003">
        <f t="shared" si="11"/>
        <v>0</v>
      </c>
      <c r="U66" s="1989" t="e">
        <f>#REF!/10^7</f>
        <v>#REF!</v>
      </c>
      <c r="V66" s="1989" t="e">
        <f>#REF!/10^7</f>
        <v>#REF!</v>
      </c>
      <c r="W66" s="1989">
        <f t="shared" si="12"/>
        <v>0</v>
      </c>
      <c r="X66" s="1999" t="e">
        <f t="shared" si="114"/>
        <v>#REF!</v>
      </c>
      <c r="Y66" s="1993" t="e">
        <f>#REF!</f>
        <v>#REF!</v>
      </c>
      <c r="Z66" s="2003">
        <f t="shared" si="14"/>
        <v>0</v>
      </c>
      <c r="AA66" s="1989" t="e">
        <f>#REF!/10^7</f>
        <v>#REF!</v>
      </c>
      <c r="AB66" s="2003">
        <f t="shared" si="15"/>
        <v>0</v>
      </c>
      <c r="AC66" s="1989" t="e">
        <f>#REF!/10^7</f>
        <v>#REF!</v>
      </c>
      <c r="AD66" s="2003">
        <f t="shared" si="16"/>
        <v>0</v>
      </c>
      <c r="AE66" s="1989" t="e">
        <f>#REF!/10^7</f>
        <v>#REF!</v>
      </c>
      <c r="AF66" s="1989" t="e">
        <f>#REF!/10^7</f>
        <v>#REF!</v>
      </c>
      <c r="AG66" s="2002" t="e">
        <f t="shared" si="17"/>
        <v>#REF!</v>
      </c>
      <c r="AH66" s="1999" t="e">
        <f t="shared" si="106"/>
        <v>#REF!</v>
      </c>
      <c r="AI66" s="1993" t="e">
        <f>#REF!</f>
        <v>#REF!</v>
      </c>
      <c r="AJ66" s="2003">
        <f t="shared" si="2"/>
        <v>0</v>
      </c>
      <c r="AK66" s="1989" t="e">
        <f>#REF!/10^7</f>
        <v>#REF!</v>
      </c>
      <c r="AL66" s="2003">
        <f t="shared" si="2"/>
        <v>0</v>
      </c>
      <c r="AM66" s="1989" t="e">
        <f>#REF!/10^7</f>
        <v>#REF!</v>
      </c>
      <c r="AN66" s="2003">
        <f t="shared" si="2"/>
        <v>0</v>
      </c>
      <c r="AO66" s="1989" t="e">
        <f>#REF!/10^7</f>
        <v>#REF!</v>
      </c>
      <c r="AP66" s="1989" t="e">
        <f>#REF!/10^7</f>
        <v>#REF!</v>
      </c>
      <c r="AQ66" s="2002" t="e">
        <f t="shared" si="19"/>
        <v>#REF!</v>
      </c>
      <c r="AR66" s="1999" t="e">
        <f t="shared" si="107"/>
        <v>#REF!</v>
      </c>
      <c r="AS66" s="1993" t="e">
        <f>#REF!</f>
        <v>#REF!</v>
      </c>
      <c r="AT66" s="2003">
        <f t="shared" si="20"/>
        <v>0</v>
      </c>
      <c r="AU66" s="1989" t="e">
        <f>#REF!/10^7</f>
        <v>#REF!</v>
      </c>
      <c r="AV66" s="2003">
        <f t="shared" si="21"/>
        <v>0</v>
      </c>
      <c r="AW66" s="1989" t="e">
        <f>#REF!/10^7</f>
        <v>#REF!</v>
      </c>
      <c r="AX66" s="2003">
        <f t="shared" si="22"/>
        <v>0</v>
      </c>
      <c r="AY66" s="1989" t="e">
        <f>#REF!/10^7</f>
        <v>#REF!</v>
      </c>
      <c r="AZ66" s="1989" t="e">
        <f>#REF!/10^7</f>
        <v>#REF!</v>
      </c>
      <c r="BA66" s="2002" t="e">
        <f t="shared" si="23"/>
        <v>#REF!</v>
      </c>
      <c r="BB66" s="1999" t="e">
        <f t="shared" si="108"/>
        <v>#REF!</v>
      </c>
      <c r="BC66" s="1993" t="e">
        <f>#REF!</f>
        <v>#REF!</v>
      </c>
      <c r="BD66" s="2003">
        <f t="shared" si="24"/>
        <v>0</v>
      </c>
      <c r="BE66" s="1989" t="e">
        <f>#REF!/10^7</f>
        <v>#REF!</v>
      </c>
      <c r="BF66" s="2003">
        <f t="shared" si="25"/>
        <v>0</v>
      </c>
      <c r="BG66" s="1989" t="e">
        <f>#REF!/10^7</f>
        <v>#REF!</v>
      </c>
      <c r="BH66" s="2003">
        <f t="shared" si="26"/>
        <v>0</v>
      </c>
      <c r="BI66" s="1989" t="e">
        <f>#REF!/10^7</f>
        <v>#REF!</v>
      </c>
      <c r="BJ66" s="1989" t="e">
        <f>#REF!/10^7</f>
        <v>#REF!</v>
      </c>
      <c r="BK66" s="2002" t="e">
        <f t="shared" si="27"/>
        <v>#REF!</v>
      </c>
      <c r="BL66" s="1999" t="e">
        <f t="shared" si="109"/>
        <v>#REF!</v>
      </c>
      <c r="BM66" s="1993" t="e">
        <f>#REF!</f>
        <v>#REF!</v>
      </c>
      <c r="BN66" s="2003">
        <f t="shared" si="29"/>
        <v>0</v>
      </c>
      <c r="BO66" s="1989" t="e">
        <f>#REF!/10^7</f>
        <v>#REF!</v>
      </c>
      <c r="BP66" s="2003">
        <f t="shared" si="30"/>
        <v>0</v>
      </c>
      <c r="BQ66" s="1989" t="e">
        <f>#REF!/10^7</f>
        <v>#REF!</v>
      </c>
      <c r="BR66" s="2003">
        <f t="shared" si="31"/>
        <v>0</v>
      </c>
      <c r="BS66" s="1989" t="e">
        <f>#REF!/10^7</f>
        <v>#REF!</v>
      </c>
      <c r="BT66" s="1989" t="e">
        <f>#REF!/10^7</f>
        <v>#REF!</v>
      </c>
      <c r="BU66" s="2002" t="e">
        <f t="shared" si="32"/>
        <v>#REF!</v>
      </c>
      <c r="BV66" s="1999" t="e">
        <f t="shared" si="110"/>
        <v>#REF!</v>
      </c>
      <c r="BW66" s="1993" t="e">
        <f>#REF!</f>
        <v>#REF!</v>
      </c>
      <c r="BX66" s="2003">
        <f t="shared" si="34"/>
        <v>0</v>
      </c>
      <c r="BY66" s="1989" t="e">
        <f>#REF!/10^7</f>
        <v>#REF!</v>
      </c>
      <c r="BZ66" s="2003">
        <f t="shared" si="35"/>
        <v>0</v>
      </c>
      <c r="CA66" s="1989" t="e">
        <f>#REF!/10^7</f>
        <v>#REF!</v>
      </c>
      <c r="CB66" s="2003">
        <f t="shared" si="36"/>
        <v>0</v>
      </c>
      <c r="CC66" s="1989" t="e">
        <f>#REF!/10^7</f>
        <v>#REF!</v>
      </c>
      <c r="CD66" s="1989" t="e">
        <f>#REF!/10^7</f>
        <v>#REF!</v>
      </c>
      <c r="CE66" s="2002" t="e">
        <f t="shared" si="37"/>
        <v>#REF!</v>
      </c>
      <c r="CF66" s="1999" t="e">
        <f t="shared" si="111"/>
        <v>#REF!</v>
      </c>
      <c r="CG66" s="1993" t="e">
        <f>#REF!</f>
        <v>#REF!</v>
      </c>
      <c r="CH66" s="2003">
        <f t="shared" si="39"/>
        <v>0</v>
      </c>
      <c r="CI66" s="1989" t="e">
        <f>#REF!/10^7</f>
        <v>#REF!</v>
      </c>
      <c r="CJ66" s="2003">
        <f t="shared" si="40"/>
        <v>0</v>
      </c>
      <c r="CK66" s="1989" t="e">
        <f>#REF!/10^7</f>
        <v>#REF!</v>
      </c>
      <c r="CL66" s="2003">
        <f t="shared" si="41"/>
        <v>0</v>
      </c>
      <c r="CM66" s="1989" t="e">
        <f>#REF!/10^7</f>
        <v>#REF!</v>
      </c>
      <c r="CN66" s="1989" t="e">
        <f>#REF!/10^7</f>
        <v>#REF!</v>
      </c>
      <c r="CO66" s="2002" t="e">
        <f t="shared" si="42"/>
        <v>#REF!</v>
      </c>
      <c r="CP66" s="1999" t="e">
        <f t="shared" si="112"/>
        <v>#REF!</v>
      </c>
      <c r="CQ66" s="1993" t="e">
        <f>#REF!</f>
        <v>#REF!</v>
      </c>
      <c r="CR66" s="2003">
        <f t="shared" si="44"/>
        <v>0</v>
      </c>
      <c r="CS66" s="1989" t="e">
        <f>#REF!/10^7</f>
        <v>#REF!</v>
      </c>
      <c r="CT66" s="2003">
        <f t="shared" si="45"/>
        <v>0</v>
      </c>
      <c r="CU66" s="1989" t="e">
        <f>#REF!/10^7</f>
        <v>#REF!</v>
      </c>
      <c r="CV66" s="2003">
        <f t="shared" si="46"/>
        <v>0</v>
      </c>
      <c r="CW66" s="1989" t="e">
        <f>#REF!/10^7</f>
        <v>#REF!</v>
      </c>
      <c r="CX66" s="1989" t="e">
        <f>#REF!/10^7</f>
        <v>#REF!</v>
      </c>
      <c r="CY66" s="2002" t="e">
        <f t="shared" si="47"/>
        <v>#REF!</v>
      </c>
      <c r="CZ66" s="1999" t="e">
        <f t="shared" si="115"/>
        <v>#REF!</v>
      </c>
      <c r="DA66" s="1993" t="e">
        <f>#REF!</f>
        <v>#REF!</v>
      </c>
      <c r="DB66" s="2003">
        <f t="shared" si="49"/>
        <v>0</v>
      </c>
      <c r="DC66" s="1989" t="e">
        <f>#REF!/10^7</f>
        <v>#REF!</v>
      </c>
      <c r="DD66" s="2003">
        <f t="shared" si="50"/>
        <v>0</v>
      </c>
      <c r="DE66" s="1989" t="e">
        <f>#REF!/10^7</f>
        <v>#REF!</v>
      </c>
      <c r="DF66" s="2003">
        <f t="shared" si="51"/>
        <v>0</v>
      </c>
      <c r="DG66" s="1989" t="e">
        <f>#REF!/10^7</f>
        <v>#REF!</v>
      </c>
      <c r="DH66" s="1989" t="e">
        <f>#REF!/10^7</f>
        <v>#REF!</v>
      </c>
      <c r="DI66" s="2002" t="e">
        <f t="shared" si="52"/>
        <v>#REF!</v>
      </c>
      <c r="DJ66" s="1999" t="e">
        <f t="shared" si="116"/>
        <v>#REF!</v>
      </c>
      <c r="DK66" s="1993" t="e">
        <f>#REF!</f>
        <v>#REF!</v>
      </c>
      <c r="DL66" s="2003">
        <f t="shared" si="54"/>
        <v>0</v>
      </c>
      <c r="DM66" s="1989" t="e">
        <f>#REF!/10^7</f>
        <v>#REF!</v>
      </c>
      <c r="DN66" s="2003">
        <f t="shared" si="55"/>
        <v>0</v>
      </c>
      <c r="DO66" s="1989" t="e">
        <f>#REF!/10^7</f>
        <v>#REF!</v>
      </c>
      <c r="DP66" s="2003">
        <f t="shared" si="56"/>
        <v>0</v>
      </c>
      <c r="DQ66" s="1989" t="e">
        <f>#REF!/10^7</f>
        <v>#REF!</v>
      </c>
      <c r="DR66" s="1989" t="e">
        <f>#REF!/10^7</f>
        <v>#REF!</v>
      </c>
      <c r="DS66" s="2002" t="e">
        <f t="shared" si="57"/>
        <v>#REF!</v>
      </c>
      <c r="DT66" s="2004" t="e">
        <f t="shared" si="117"/>
        <v>#REF!</v>
      </c>
      <c r="DU66" s="1988" t="e">
        <f>#REF!</f>
        <v>#REF!</v>
      </c>
      <c r="DV66" s="2003">
        <f t="shared" si="59"/>
        <v>0</v>
      </c>
      <c r="DW66" s="1989" t="e">
        <f>#REF!/10^7</f>
        <v>#REF!</v>
      </c>
      <c r="DX66" s="2003">
        <f t="shared" si="60"/>
        <v>0</v>
      </c>
      <c r="DY66" s="1989" t="e">
        <f>#REF!/10^7</f>
        <v>#REF!</v>
      </c>
      <c r="DZ66" s="2003">
        <f t="shared" si="61"/>
        <v>0</v>
      </c>
      <c r="EA66" s="1989" t="e">
        <f>#REF!/10^7</f>
        <v>#REF!</v>
      </c>
      <c r="EB66" s="1989" t="e">
        <f>#REF!/10^7</f>
        <v>#REF!</v>
      </c>
      <c r="EC66" s="2002" t="e">
        <f t="shared" si="62"/>
        <v>#REF!</v>
      </c>
      <c r="ED66" s="1998" t="e">
        <f t="shared" si="118"/>
        <v>#REF!</v>
      </c>
      <c r="EE66" s="2005" t="e">
        <f t="shared" si="122"/>
        <v>#REF!</v>
      </c>
      <c r="EF66" s="2003">
        <f t="shared" si="64"/>
        <v>0</v>
      </c>
      <c r="EG66" s="1989" t="e">
        <f t="shared" si="119"/>
        <v>#REF!</v>
      </c>
      <c r="EH66" s="2003">
        <f t="shared" si="65"/>
        <v>0</v>
      </c>
      <c r="EI66" s="1989" t="e">
        <f t="shared" si="120"/>
        <v>#REF!</v>
      </c>
      <c r="EJ66" s="2003">
        <f t="shared" si="66"/>
        <v>0</v>
      </c>
      <c r="EK66" s="1989" t="e">
        <f t="shared" si="121"/>
        <v>#REF!</v>
      </c>
      <c r="EL66" s="1989" t="e">
        <f t="shared" si="121"/>
        <v>#REF!</v>
      </c>
      <c r="EM66" s="2006" t="e">
        <f t="shared" si="67"/>
        <v>#REF!</v>
      </c>
      <c r="EN66" s="1999" t="e">
        <f t="shared" si="123"/>
        <v>#REF!</v>
      </c>
      <c r="EP66" s="1613" t="e">
        <f>EA66-#REF!/10^7</f>
        <v>#REF!</v>
      </c>
      <c r="EW66" s="1611" t="e">
        <v>#N/A</v>
      </c>
      <c r="EX66" s="1612" t="s">
        <v>1649</v>
      </c>
      <c r="EZ66" s="1650">
        <f t="shared" si="69"/>
        <v>0</v>
      </c>
    </row>
    <row r="67" spans="1:156" ht="21" customHeight="1">
      <c r="A67" s="1652">
        <v>24</v>
      </c>
      <c r="B67" s="1668" t="s">
        <v>1700</v>
      </c>
      <c r="C67" s="1645">
        <v>660</v>
      </c>
      <c r="D67" s="1646">
        <f t="shared" si="113"/>
        <v>0.31060606060606055</v>
      </c>
      <c r="E67" s="1646">
        <v>94.679000000000002</v>
      </c>
      <c r="F67" s="1670">
        <v>6.25</v>
      </c>
      <c r="G67" s="1640"/>
      <c r="H67" s="1669">
        <v>2.0499999999999998</v>
      </c>
      <c r="I67" s="1648" t="s">
        <v>1649</v>
      </c>
      <c r="J67" s="1649">
        <v>1</v>
      </c>
      <c r="K67" s="1648"/>
      <c r="L67" s="1640"/>
      <c r="M67" s="1640"/>
      <c r="N67" s="1642"/>
      <c r="O67" s="2000" t="e">
        <f>#REF!</f>
        <v>#REF!</v>
      </c>
      <c r="P67" s="2003">
        <f t="shared" si="9"/>
        <v>0</v>
      </c>
      <c r="Q67" s="1989" t="e">
        <f>#REF!/10^7</f>
        <v>#REF!</v>
      </c>
      <c r="R67" s="2003">
        <f t="shared" si="10"/>
        <v>0</v>
      </c>
      <c r="S67" s="1989" t="e">
        <f>#REF!/10^7</f>
        <v>#REF!</v>
      </c>
      <c r="T67" s="2003">
        <f t="shared" si="11"/>
        <v>0</v>
      </c>
      <c r="U67" s="1989" t="e">
        <f>#REF!/10^7</f>
        <v>#REF!</v>
      </c>
      <c r="V67" s="1989" t="e">
        <f>#REF!/10^7</f>
        <v>#REF!</v>
      </c>
      <c r="W67" s="1989">
        <f t="shared" si="12"/>
        <v>0</v>
      </c>
      <c r="X67" s="1999" t="e">
        <f t="shared" si="114"/>
        <v>#REF!</v>
      </c>
      <c r="Y67" s="1993" t="e">
        <f>#REF!</f>
        <v>#REF!</v>
      </c>
      <c r="Z67" s="2003">
        <f t="shared" si="14"/>
        <v>0</v>
      </c>
      <c r="AA67" s="1989" t="e">
        <f>#REF!/10^7</f>
        <v>#REF!</v>
      </c>
      <c r="AB67" s="2003">
        <f t="shared" si="15"/>
        <v>0</v>
      </c>
      <c r="AC67" s="1989" t="e">
        <f>#REF!/10^7</f>
        <v>#REF!</v>
      </c>
      <c r="AD67" s="2003">
        <f t="shared" si="16"/>
        <v>0</v>
      </c>
      <c r="AE67" s="1989" t="e">
        <f>#REF!/10^7</f>
        <v>#REF!</v>
      </c>
      <c r="AF67" s="1989" t="e">
        <f>#REF!/10^7</f>
        <v>#REF!</v>
      </c>
      <c r="AG67" s="2002" t="e">
        <f t="shared" si="17"/>
        <v>#REF!</v>
      </c>
      <c r="AH67" s="1999" t="e">
        <f t="shared" si="106"/>
        <v>#REF!</v>
      </c>
      <c r="AI67" s="1993" t="e">
        <f>#REF!</f>
        <v>#REF!</v>
      </c>
      <c r="AJ67" s="2003">
        <f t="shared" si="2"/>
        <v>0</v>
      </c>
      <c r="AK67" s="1989" t="e">
        <f>#REF!/10^7</f>
        <v>#REF!</v>
      </c>
      <c r="AL67" s="2003">
        <f t="shared" si="2"/>
        <v>0</v>
      </c>
      <c r="AM67" s="1989" t="e">
        <f>#REF!/10^7</f>
        <v>#REF!</v>
      </c>
      <c r="AN67" s="2003">
        <f t="shared" si="2"/>
        <v>0</v>
      </c>
      <c r="AO67" s="1989" t="e">
        <f>#REF!/10^7</f>
        <v>#REF!</v>
      </c>
      <c r="AP67" s="1989" t="e">
        <f>#REF!/10^7</f>
        <v>#REF!</v>
      </c>
      <c r="AQ67" s="2002" t="e">
        <f t="shared" si="19"/>
        <v>#REF!</v>
      </c>
      <c r="AR67" s="1999" t="e">
        <f t="shared" si="107"/>
        <v>#REF!</v>
      </c>
      <c r="AS67" s="1993" t="e">
        <f>#REF!</f>
        <v>#REF!</v>
      </c>
      <c r="AT67" s="2003">
        <f t="shared" si="20"/>
        <v>0</v>
      </c>
      <c r="AU67" s="1989" t="e">
        <f>#REF!/10^7</f>
        <v>#REF!</v>
      </c>
      <c r="AV67" s="2003">
        <f t="shared" si="21"/>
        <v>0</v>
      </c>
      <c r="AW67" s="1989" t="e">
        <f>#REF!/10^7</f>
        <v>#REF!</v>
      </c>
      <c r="AX67" s="2003">
        <f t="shared" si="22"/>
        <v>0</v>
      </c>
      <c r="AY67" s="1989" t="e">
        <f>#REF!/10^7</f>
        <v>#REF!</v>
      </c>
      <c r="AZ67" s="1989" t="e">
        <f>#REF!/10^7</f>
        <v>#REF!</v>
      </c>
      <c r="BA67" s="2002" t="e">
        <f t="shared" si="23"/>
        <v>#REF!</v>
      </c>
      <c r="BB67" s="1999" t="e">
        <f t="shared" si="108"/>
        <v>#REF!</v>
      </c>
      <c r="BC67" s="1993" t="e">
        <f>#REF!</f>
        <v>#REF!</v>
      </c>
      <c r="BD67" s="2003">
        <f t="shared" si="24"/>
        <v>0</v>
      </c>
      <c r="BE67" s="1989" t="e">
        <f>#REF!/10^7</f>
        <v>#REF!</v>
      </c>
      <c r="BF67" s="2003">
        <f t="shared" si="25"/>
        <v>0</v>
      </c>
      <c r="BG67" s="1989" t="e">
        <f>#REF!/10^7</f>
        <v>#REF!</v>
      </c>
      <c r="BH67" s="2003">
        <f t="shared" si="26"/>
        <v>0</v>
      </c>
      <c r="BI67" s="1989" t="e">
        <f>#REF!/10^7</f>
        <v>#REF!</v>
      </c>
      <c r="BJ67" s="1989" t="e">
        <f>#REF!/10^7</f>
        <v>#REF!</v>
      </c>
      <c r="BK67" s="2002" t="e">
        <f t="shared" si="27"/>
        <v>#REF!</v>
      </c>
      <c r="BL67" s="1999" t="e">
        <f t="shared" si="109"/>
        <v>#REF!</v>
      </c>
      <c r="BM67" s="1993" t="e">
        <f>#REF!</f>
        <v>#REF!</v>
      </c>
      <c r="BN67" s="2003">
        <f t="shared" si="29"/>
        <v>0</v>
      </c>
      <c r="BO67" s="1989" t="e">
        <f>#REF!/10^7</f>
        <v>#REF!</v>
      </c>
      <c r="BP67" s="2003">
        <f t="shared" si="30"/>
        <v>0</v>
      </c>
      <c r="BQ67" s="1989" t="e">
        <f>#REF!/10^7</f>
        <v>#REF!</v>
      </c>
      <c r="BR67" s="2003">
        <f t="shared" si="31"/>
        <v>0</v>
      </c>
      <c r="BS67" s="1989" t="e">
        <f>#REF!/10^7</f>
        <v>#REF!</v>
      </c>
      <c r="BT67" s="1989" t="e">
        <f>#REF!/10^7</f>
        <v>#REF!</v>
      </c>
      <c r="BU67" s="2002" t="e">
        <f t="shared" si="32"/>
        <v>#REF!</v>
      </c>
      <c r="BV67" s="1999" t="e">
        <f t="shared" si="110"/>
        <v>#REF!</v>
      </c>
      <c r="BW67" s="1993" t="e">
        <f>#REF!</f>
        <v>#REF!</v>
      </c>
      <c r="BX67" s="2003">
        <f t="shared" si="34"/>
        <v>0</v>
      </c>
      <c r="BY67" s="1989" t="e">
        <f>#REF!/10^7</f>
        <v>#REF!</v>
      </c>
      <c r="BZ67" s="2003">
        <f t="shared" si="35"/>
        <v>0</v>
      </c>
      <c r="CA67" s="1989" t="e">
        <f>#REF!/10^7</f>
        <v>#REF!</v>
      </c>
      <c r="CB67" s="2003">
        <f t="shared" si="36"/>
        <v>0</v>
      </c>
      <c r="CC67" s="1989" t="e">
        <f>#REF!/10^7</f>
        <v>#REF!</v>
      </c>
      <c r="CD67" s="1989" t="e">
        <f>#REF!/10^7</f>
        <v>#REF!</v>
      </c>
      <c r="CE67" s="2002" t="e">
        <f t="shared" si="37"/>
        <v>#REF!</v>
      </c>
      <c r="CF67" s="1999" t="e">
        <f t="shared" si="111"/>
        <v>#REF!</v>
      </c>
      <c r="CG67" s="1993" t="e">
        <f>#REF!</f>
        <v>#REF!</v>
      </c>
      <c r="CH67" s="2003">
        <f t="shared" si="39"/>
        <v>0</v>
      </c>
      <c r="CI67" s="1989" t="e">
        <f>#REF!/10^7</f>
        <v>#REF!</v>
      </c>
      <c r="CJ67" s="2003">
        <f t="shared" si="40"/>
        <v>0</v>
      </c>
      <c r="CK67" s="1989" t="e">
        <f>#REF!/10^7</f>
        <v>#REF!</v>
      </c>
      <c r="CL67" s="2003">
        <f t="shared" si="41"/>
        <v>0</v>
      </c>
      <c r="CM67" s="1989" t="e">
        <f>#REF!/10^7</f>
        <v>#REF!</v>
      </c>
      <c r="CN67" s="1989" t="e">
        <f>#REF!/10^7</f>
        <v>#REF!</v>
      </c>
      <c r="CO67" s="2002" t="e">
        <f t="shared" si="42"/>
        <v>#REF!</v>
      </c>
      <c r="CP67" s="1999" t="e">
        <f t="shared" si="112"/>
        <v>#REF!</v>
      </c>
      <c r="CQ67" s="1993" t="e">
        <f>#REF!</f>
        <v>#REF!</v>
      </c>
      <c r="CR67" s="2003">
        <f t="shared" si="44"/>
        <v>0</v>
      </c>
      <c r="CS67" s="1989" t="e">
        <f>#REF!/10^7</f>
        <v>#REF!</v>
      </c>
      <c r="CT67" s="2003">
        <f t="shared" si="45"/>
        <v>0</v>
      </c>
      <c r="CU67" s="1989" t="e">
        <f>#REF!/10^7</f>
        <v>#REF!</v>
      </c>
      <c r="CV67" s="2003">
        <f t="shared" si="46"/>
        <v>0</v>
      </c>
      <c r="CW67" s="1989" t="e">
        <f>#REF!/10^7</f>
        <v>#REF!</v>
      </c>
      <c r="CX67" s="1989" t="e">
        <f>#REF!/10^7</f>
        <v>#REF!</v>
      </c>
      <c r="CY67" s="2002" t="e">
        <f t="shared" si="47"/>
        <v>#REF!</v>
      </c>
      <c r="CZ67" s="1999" t="e">
        <f t="shared" si="115"/>
        <v>#REF!</v>
      </c>
      <c r="DA67" s="1993" t="e">
        <f>#REF!</f>
        <v>#REF!</v>
      </c>
      <c r="DB67" s="2003">
        <f t="shared" si="49"/>
        <v>0</v>
      </c>
      <c r="DC67" s="1989" t="e">
        <f>#REF!/10^7</f>
        <v>#REF!</v>
      </c>
      <c r="DD67" s="2003">
        <f t="shared" si="50"/>
        <v>0</v>
      </c>
      <c r="DE67" s="1989" t="e">
        <f>#REF!/10^7</f>
        <v>#REF!</v>
      </c>
      <c r="DF67" s="2003">
        <f t="shared" si="51"/>
        <v>0</v>
      </c>
      <c r="DG67" s="1989" t="e">
        <f>#REF!/10^7</f>
        <v>#REF!</v>
      </c>
      <c r="DH67" s="1989" t="e">
        <f>#REF!/10^7</f>
        <v>#REF!</v>
      </c>
      <c r="DI67" s="2002" t="e">
        <f t="shared" si="52"/>
        <v>#REF!</v>
      </c>
      <c r="DJ67" s="1999" t="e">
        <f t="shared" si="116"/>
        <v>#REF!</v>
      </c>
      <c r="DK67" s="1993" t="e">
        <f>#REF!</f>
        <v>#REF!</v>
      </c>
      <c r="DL67" s="2003">
        <f t="shared" si="54"/>
        <v>0</v>
      </c>
      <c r="DM67" s="1989" t="e">
        <f>#REF!/10^7</f>
        <v>#REF!</v>
      </c>
      <c r="DN67" s="2003">
        <f t="shared" si="55"/>
        <v>0</v>
      </c>
      <c r="DO67" s="1989" t="e">
        <f>#REF!/10^7</f>
        <v>#REF!</v>
      </c>
      <c r="DP67" s="2003">
        <f t="shared" si="56"/>
        <v>0</v>
      </c>
      <c r="DQ67" s="1989" t="e">
        <f>#REF!/10^7</f>
        <v>#REF!</v>
      </c>
      <c r="DR67" s="1989" t="e">
        <f>#REF!/10^7</f>
        <v>#REF!</v>
      </c>
      <c r="DS67" s="2002" t="e">
        <f t="shared" si="57"/>
        <v>#REF!</v>
      </c>
      <c r="DT67" s="2004" t="e">
        <f t="shared" si="117"/>
        <v>#REF!</v>
      </c>
      <c r="DU67" s="1988" t="e">
        <f>#REF!</f>
        <v>#REF!</v>
      </c>
      <c r="DV67" s="2003">
        <f t="shared" si="59"/>
        <v>0</v>
      </c>
      <c r="DW67" s="1989" t="e">
        <f>#REF!/10^7</f>
        <v>#REF!</v>
      </c>
      <c r="DX67" s="2003">
        <f t="shared" si="60"/>
        <v>0</v>
      </c>
      <c r="DY67" s="1989" t="e">
        <f>#REF!/10^7</f>
        <v>#REF!</v>
      </c>
      <c r="DZ67" s="2003">
        <f t="shared" si="61"/>
        <v>0</v>
      </c>
      <c r="EA67" s="1989" t="e">
        <f>#REF!/10^7</f>
        <v>#REF!</v>
      </c>
      <c r="EB67" s="1989" t="e">
        <f>#REF!/10^7</f>
        <v>#REF!</v>
      </c>
      <c r="EC67" s="2002" t="e">
        <f t="shared" si="62"/>
        <v>#REF!</v>
      </c>
      <c r="ED67" s="1998" t="e">
        <f t="shared" si="118"/>
        <v>#REF!</v>
      </c>
      <c r="EE67" s="2005" t="e">
        <f t="shared" si="122"/>
        <v>#REF!</v>
      </c>
      <c r="EF67" s="2003">
        <f t="shared" si="64"/>
        <v>0</v>
      </c>
      <c r="EG67" s="1989" t="e">
        <f t="shared" si="119"/>
        <v>#REF!</v>
      </c>
      <c r="EH67" s="2003">
        <f t="shared" si="65"/>
        <v>0</v>
      </c>
      <c r="EI67" s="1989" t="e">
        <f t="shared" si="120"/>
        <v>#REF!</v>
      </c>
      <c r="EJ67" s="2003">
        <f t="shared" si="66"/>
        <v>0</v>
      </c>
      <c r="EK67" s="1989" t="e">
        <f t="shared" si="121"/>
        <v>#REF!</v>
      </c>
      <c r="EL67" s="1989" t="e">
        <f t="shared" si="121"/>
        <v>#REF!</v>
      </c>
      <c r="EM67" s="2006" t="e">
        <f t="shared" si="67"/>
        <v>#REF!</v>
      </c>
      <c r="EN67" s="1999" t="e">
        <f t="shared" si="123"/>
        <v>#REF!</v>
      </c>
      <c r="EP67" s="1613" t="e">
        <f>EA67-#REF!/10^7</f>
        <v>#REF!</v>
      </c>
      <c r="EW67" s="1611" t="e">
        <v>#N/A</v>
      </c>
      <c r="EX67" s="1612" t="s">
        <v>1649</v>
      </c>
      <c r="EZ67" s="1650">
        <f t="shared" si="69"/>
        <v>0</v>
      </c>
    </row>
    <row r="68" spans="1:156" ht="21" customHeight="1">
      <c r="A68" s="1652">
        <v>25</v>
      </c>
      <c r="B68" s="1668" t="s">
        <v>1701</v>
      </c>
      <c r="C68" s="1645">
        <v>1980</v>
      </c>
      <c r="D68" s="1646">
        <f t="shared" si="113"/>
        <v>0.31111111111111112</v>
      </c>
      <c r="E68" s="1646">
        <v>87.898099999999999</v>
      </c>
      <c r="F68" s="1670">
        <v>6.25</v>
      </c>
      <c r="G68" s="1640"/>
      <c r="H68" s="1669">
        <v>6.16</v>
      </c>
      <c r="I68" s="1648" t="s">
        <v>1649</v>
      </c>
      <c r="J68" s="1649">
        <v>1</v>
      </c>
      <c r="K68" s="1648"/>
      <c r="L68" s="1640"/>
      <c r="M68" s="1640"/>
      <c r="N68" s="1642"/>
      <c r="O68" s="2000" t="e">
        <f>#REF!</f>
        <v>#REF!</v>
      </c>
      <c r="P68" s="2003">
        <f t="shared" si="9"/>
        <v>0</v>
      </c>
      <c r="Q68" s="1989" t="e">
        <f>#REF!/10^7</f>
        <v>#REF!</v>
      </c>
      <c r="R68" s="2003">
        <f t="shared" si="10"/>
        <v>0</v>
      </c>
      <c r="S68" s="1989" t="e">
        <f>#REF!/10^7</f>
        <v>#REF!</v>
      </c>
      <c r="T68" s="2003">
        <f t="shared" si="11"/>
        <v>0</v>
      </c>
      <c r="U68" s="1989" t="e">
        <f>#REF!/10^7</f>
        <v>#REF!</v>
      </c>
      <c r="V68" s="1989" t="e">
        <f>#REF!/10^7</f>
        <v>#REF!</v>
      </c>
      <c r="W68" s="1989">
        <f t="shared" si="12"/>
        <v>0</v>
      </c>
      <c r="X68" s="1999" t="e">
        <f t="shared" si="114"/>
        <v>#REF!</v>
      </c>
      <c r="Y68" s="1993" t="e">
        <f>#REF!</f>
        <v>#REF!</v>
      </c>
      <c r="Z68" s="2003">
        <f t="shared" si="14"/>
        <v>0</v>
      </c>
      <c r="AA68" s="1989" t="e">
        <f>#REF!/10^7</f>
        <v>#REF!</v>
      </c>
      <c r="AB68" s="2003">
        <f t="shared" si="15"/>
        <v>0</v>
      </c>
      <c r="AC68" s="1989" t="e">
        <f>#REF!/10^7</f>
        <v>#REF!</v>
      </c>
      <c r="AD68" s="2003">
        <f t="shared" si="16"/>
        <v>0</v>
      </c>
      <c r="AE68" s="1989" t="e">
        <f>#REF!/10^7</f>
        <v>#REF!</v>
      </c>
      <c r="AF68" s="1989" t="e">
        <f>#REF!/10^7</f>
        <v>#REF!</v>
      </c>
      <c r="AG68" s="2002" t="e">
        <f t="shared" si="17"/>
        <v>#REF!</v>
      </c>
      <c r="AH68" s="1999" t="e">
        <f t="shared" si="106"/>
        <v>#REF!</v>
      </c>
      <c r="AI68" s="1993" t="e">
        <f>#REF!</f>
        <v>#REF!</v>
      </c>
      <c r="AJ68" s="2003">
        <f t="shared" si="2"/>
        <v>0</v>
      </c>
      <c r="AK68" s="1989" t="e">
        <f>#REF!/10^7</f>
        <v>#REF!</v>
      </c>
      <c r="AL68" s="2003">
        <f t="shared" si="2"/>
        <v>0</v>
      </c>
      <c r="AM68" s="1989" t="e">
        <f>#REF!/10^7</f>
        <v>#REF!</v>
      </c>
      <c r="AN68" s="2003">
        <f t="shared" si="2"/>
        <v>0</v>
      </c>
      <c r="AO68" s="1989" t="e">
        <f>#REF!/10^7</f>
        <v>#REF!</v>
      </c>
      <c r="AP68" s="1989" t="e">
        <f>#REF!/10^7</f>
        <v>#REF!</v>
      </c>
      <c r="AQ68" s="2002" t="e">
        <f t="shared" si="19"/>
        <v>#REF!</v>
      </c>
      <c r="AR68" s="1999" t="e">
        <f t="shared" si="107"/>
        <v>#REF!</v>
      </c>
      <c r="AS68" s="1993" t="e">
        <f>#REF!</f>
        <v>#REF!</v>
      </c>
      <c r="AT68" s="2003">
        <f t="shared" si="20"/>
        <v>0</v>
      </c>
      <c r="AU68" s="1989" t="e">
        <f>#REF!/10^7</f>
        <v>#REF!</v>
      </c>
      <c r="AV68" s="2003">
        <f t="shared" si="21"/>
        <v>0</v>
      </c>
      <c r="AW68" s="1989" t="e">
        <f>#REF!/10^7</f>
        <v>#REF!</v>
      </c>
      <c r="AX68" s="2003">
        <f t="shared" si="22"/>
        <v>0</v>
      </c>
      <c r="AY68" s="1989" t="e">
        <f>#REF!/10^7</f>
        <v>#REF!</v>
      </c>
      <c r="AZ68" s="1989" t="e">
        <f>#REF!/10^7</f>
        <v>#REF!</v>
      </c>
      <c r="BA68" s="2002" t="e">
        <f t="shared" si="23"/>
        <v>#REF!</v>
      </c>
      <c r="BB68" s="1999" t="e">
        <f t="shared" si="108"/>
        <v>#REF!</v>
      </c>
      <c r="BC68" s="1993" t="e">
        <f>#REF!</f>
        <v>#REF!</v>
      </c>
      <c r="BD68" s="2003">
        <f t="shared" si="24"/>
        <v>0</v>
      </c>
      <c r="BE68" s="1989" t="e">
        <f>#REF!/10^7</f>
        <v>#REF!</v>
      </c>
      <c r="BF68" s="2003">
        <f t="shared" si="25"/>
        <v>0</v>
      </c>
      <c r="BG68" s="1989" t="e">
        <f>#REF!/10^7</f>
        <v>#REF!</v>
      </c>
      <c r="BH68" s="2003">
        <f t="shared" si="26"/>
        <v>0</v>
      </c>
      <c r="BI68" s="1989" t="e">
        <f>#REF!/10^7</f>
        <v>#REF!</v>
      </c>
      <c r="BJ68" s="1989" t="e">
        <f>#REF!/10^7</f>
        <v>#REF!</v>
      </c>
      <c r="BK68" s="2002" t="e">
        <f t="shared" si="27"/>
        <v>#REF!</v>
      </c>
      <c r="BL68" s="1999" t="e">
        <f t="shared" si="109"/>
        <v>#REF!</v>
      </c>
      <c r="BM68" s="1993" t="e">
        <f>#REF!</f>
        <v>#REF!</v>
      </c>
      <c r="BN68" s="2003">
        <f t="shared" si="29"/>
        <v>0</v>
      </c>
      <c r="BO68" s="1989" t="e">
        <f>#REF!/10^7</f>
        <v>#REF!</v>
      </c>
      <c r="BP68" s="2003">
        <f t="shared" si="30"/>
        <v>0</v>
      </c>
      <c r="BQ68" s="1989" t="e">
        <f>#REF!/10^7</f>
        <v>#REF!</v>
      </c>
      <c r="BR68" s="2003">
        <f t="shared" si="31"/>
        <v>0</v>
      </c>
      <c r="BS68" s="1989" t="e">
        <f>#REF!/10^7</f>
        <v>#REF!</v>
      </c>
      <c r="BT68" s="1989" t="e">
        <f>#REF!/10^7</f>
        <v>#REF!</v>
      </c>
      <c r="BU68" s="2002" t="e">
        <f t="shared" si="32"/>
        <v>#REF!</v>
      </c>
      <c r="BV68" s="1999" t="e">
        <f t="shared" si="110"/>
        <v>#REF!</v>
      </c>
      <c r="BW68" s="1993" t="e">
        <f>#REF!</f>
        <v>#REF!</v>
      </c>
      <c r="BX68" s="2003">
        <f t="shared" si="34"/>
        <v>0</v>
      </c>
      <c r="BY68" s="1989" t="e">
        <f>#REF!/10^7</f>
        <v>#REF!</v>
      </c>
      <c r="BZ68" s="2003">
        <f t="shared" si="35"/>
        <v>0</v>
      </c>
      <c r="CA68" s="1989" t="e">
        <f>#REF!/10^7</f>
        <v>#REF!</v>
      </c>
      <c r="CB68" s="2003">
        <f t="shared" si="36"/>
        <v>0</v>
      </c>
      <c r="CC68" s="1989" t="e">
        <f>#REF!/10^7</f>
        <v>#REF!</v>
      </c>
      <c r="CD68" s="1989" t="e">
        <f>#REF!/10^7</f>
        <v>#REF!</v>
      </c>
      <c r="CE68" s="2002" t="e">
        <f t="shared" si="37"/>
        <v>#REF!</v>
      </c>
      <c r="CF68" s="1999" t="e">
        <f t="shared" si="111"/>
        <v>#REF!</v>
      </c>
      <c r="CG68" s="1993" t="e">
        <f>#REF!</f>
        <v>#REF!</v>
      </c>
      <c r="CH68" s="2003">
        <f t="shared" si="39"/>
        <v>0</v>
      </c>
      <c r="CI68" s="1989" t="e">
        <f>#REF!/10^7</f>
        <v>#REF!</v>
      </c>
      <c r="CJ68" s="2003">
        <f t="shared" si="40"/>
        <v>0</v>
      </c>
      <c r="CK68" s="1989" t="e">
        <f>#REF!/10^7</f>
        <v>#REF!</v>
      </c>
      <c r="CL68" s="2003">
        <f t="shared" si="41"/>
        <v>0</v>
      </c>
      <c r="CM68" s="1989" t="e">
        <f>#REF!/10^7</f>
        <v>#REF!</v>
      </c>
      <c r="CN68" s="1989" t="e">
        <f>#REF!/10^7</f>
        <v>#REF!</v>
      </c>
      <c r="CO68" s="2002" t="e">
        <f t="shared" si="42"/>
        <v>#REF!</v>
      </c>
      <c r="CP68" s="1999" t="e">
        <f t="shared" si="112"/>
        <v>#REF!</v>
      </c>
      <c r="CQ68" s="1993" t="e">
        <f>#REF!</f>
        <v>#REF!</v>
      </c>
      <c r="CR68" s="2003">
        <f t="shared" si="44"/>
        <v>0</v>
      </c>
      <c r="CS68" s="1989" t="e">
        <f>#REF!/10^7</f>
        <v>#REF!</v>
      </c>
      <c r="CT68" s="2003">
        <f t="shared" si="45"/>
        <v>0</v>
      </c>
      <c r="CU68" s="1989" t="e">
        <f>#REF!/10^7</f>
        <v>#REF!</v>
      </c>
      <c r="CV68" s="2003">
        <f t="shared" si="46"/>
        <v>0</v>
      </c>
      <c r="CW68" s="1989" t="e">
        <f>#REF!/10^7</f>
        <v>#REF!</v>
      </c>
      <c r="CX68" s="1989" t="e">
        <f>#REF!/10^7</f>
        <v>#REF!</v>
      </c>
      <c r="CY68" s="2002" t="e">
        <f t="shared" si="47"/>
        <v>#REF!</v>
      </c>
      <c r="CZ68" s="1999" t="e">
        <f t="shared" si="115"/>
        <v>#REF!</v>
      </c>
      <c r="DA68" s="1993" t="e">
        <f>#REF!</f>
        <v>#REF!</v>
      </c>
      <c r="DB68" s="2003">
        <f t="shared" si="49"/>
        <v>0</v>
      </c>
      <c r="DC68" s="1989" t="e">
        <f>#REF!/10^7</f>
        <v>#REF!</v>
      </c>
      <c r="DD68" s="2003">
        <f t="shared" si="50"/>
        <v>0</v>
      </c>
      <c r="DE68" s="1989" t="e">
        <f>#REF!/10^7</f>
        <v>#REF!</v>
      </c>
      <c r="DF68" s="2003">
        <f t="shared" si="51"/>
        <v>0</v>
      </c>
      <c r="DG68" s="1989" t="e">
        <f>#REF!/10^7</f>
        <v>#REF!</v>
      </c>
      <c r="DH68" s="1989" t="e">
        <f>#REF!/10^7</f>
        <v>#REF!</v>
      </c>
      <c r="DI68" s="2002" t="e">
        <f t="shared" si="52"/>
        <v>#REF!</v>
      </c>
      <c r="DJ68" s="1999" t="e">
        <f t="shared" si="116"/>
        <v>#REF!</v>
      </c>
      <c r="DK68" s="1993" t="e">
        <f>#REF!</f>
        <v>#REF!</v>
      </c>
      <c r="DL68" s="2003">
        <f t="shared" si="54"/>
        <v>0</v>
      </c>
      <c r="DM68" s="1989" t="e">
        <f>#REF!/10^7</f>
        <v>#REF!</v>
      </c>
      <c r="DN68" s="2003">
        <f t="shared" si="55"/>
        <v>0</v>
      </c>
      <c r="DO68" s="1989" t="e">
        <f>#REF!/10^7</f>
        <v>#REF!</v>
      </c>
      <c r="DP68" s="2003">
        <f t="shared" si="56"/>
        <v>0</v>
      </c>
      <c r="DQ68" s="1989" t="e">
        <f>#REF!/10^7</f>
        <v>#REF!</v>
      </c>
      <c r="DR68" s="1989" t="e">
        <f>#REF!/10^7</f>
        <v>#REF!</v>
      </c>
      <c r="DS68" s="2002" t="e">
        <f t="shared" si="57"/>
        <v>#REF!</v>
      </c>
      <c r="DT68" s="2004" t="e">
        <f t="shared" si="117"/>
        <v>#REF!</v>
      </c>
      <c r="DU68" s="1988" t="e">
        <f>#REF!</f>
        <v>#REF!</v>
      </c>
      <c r="DV68" s="2003">
        <f t="shared" si="59"/>
        <v>0</v>
      </c>
      <c r="DW68" s="1989" t="e">
        <f>#REF!/10^7</f>
        <v>#REF!</v>
      </c>
      <c r="DX68" s="2003">
        <f t="shared" si="60"/>
        <v>0</v>
      </c>
      <c r="DY68" s="1989" t="e">
        <f>#REF!/10^7</f>
        <v>#REF!</v>
      </c>
      <c r="DZ68" s="2003">
        <f t="shared" si="61"/>
        <v>0</v>
      </c>
      <c r="EA68" s="1989" t="e">
        <f>#REF!/10^7</f>
        <v>#REF!</v>
      </c>
      <c r="EB68" s="1989" t="e">
        <f>#REF!/10^7</f>
        <v>#REF!</v>
      </c>
      <c r="EC68" s="2002" t="e">
        <f t="shared" si="62"/>
        <v>#REF!</v>
      </c>
      <c r="ED68" s="1998" t="e">
        <f t="shared" si="118"/>
        <v>#REF!</v>
      </c>
      <c r="EE68" s="2005" t="e">
        <f t="shared" si="122"/>
        <v>#REF!</v>
      </c>
      <c r="EF68" s="2003">
        <f t="shared" si="64"/>
        <v>0</v>
      </c>
      <c r="EG68" s="1989" t="e">
        <f t="shared" si="119"/>
        <v>#REF!</v>
      </c>
      <c r="EH68" s="2003">
        <f t="shared" si="65"/>
        <v>0</v>
      </c>
      <c r="EI68" s="1989" t="e">
        <f t="shared" si="120"/>
        <v>#REF!</v>
      </c>
      <c r="EJ68" s="2003">
        <f t="shared" si="66"/>
        <v>0</v>
      </c>
      <c r="EK68" s="1989" t="e">
        <f t="shared" si="121"/>
        <v>#REF!</v>
      </c>
      <c r="EL68" s="1989" t="e">
        <f t="shared" si="121"/>
        <v>#REF!</v>
      </c>
      <c r="EM68" s="2006" t="e">
        <f t="shared" si="67"/>
        <v>#REF!</v>
      </c>
      <c r="EN68" s="1999" t="e">
        <f t="shared" si="123"/>
        <v>#REF!</v>
      </c>
      <c r="EP68" s="1613" t="e">
        <f>EA68-#REF!/10^7</f>
        <v>#REF!</v>
      </c>
      <c r="EW68" s="1611" t="e">
        <v>#N/A</v>
      </c>
      <c r="EX68" s="1612" t="s">
        <v>1649</v>
      </c>
      <c r="EZ68" s="1650">
        <f t="shared" si="69"/>
        <v>0</v>
      </c>
    </row>
    <row r="69" spans="1:156" ht="21" customHeight="1">
      <c r="A69" s="1652">
        <v>26</v>
      </c>
      <c r="B69" s="1668" t="s">
        <v>1702</v>
      </c>
      <c r="C69" s="1645">
        <v>1000</v>
      </c>
      <c r="D69" s="1646">
        <f t="shared" si="113"/>
        <v>0.20800000000000002</v>
      </c>
      <c r="E69" s="1646">
        <v>90.625799999999998</v>
      </c>
      <c r="F69" s="1670">
        <v>6.25</v>
      </c>
      <c r="G69" s="1640"/>
      <c r="H69" s="1669">
        <v>2.08</v>
      </c>
      <c r="I69" s="1648" t="s">
        <v>1649</v>
      </c>
      <c r="J69" s="1649">
        <v>1</v>
      </c>
      <c r="K69" s="1648"/>
      <c r="L69" s="1640"/>
      <c r="M69" s="1640"/>
      <c r="N69" s="1642"/>
      <c r="O69" s="2000" t="e">
        <f>#REF!</f>
        <v>#REF!</v>
      </c>
      <c r="P69" s="2003">
        <f t="shared" si="9"/>
        <v>0</v>
      </c>
      <c r="Q69" s="1989" t="e">
        <f>#REF!/10^7</f>
        <v>#REF!</v>
      </c>
      <c r="R69" s="2003">
        <f t="shared" si="10"/>
        <v>0</v>
      </c>
      <c r="S69" s="1989" t="e">
        <f>#REF!/10^7</f>
        <v>#REF!</v>
      </c>
      <c r="T69" s="2003">
        <f t="shared" si="11"/>
        <v>0</v>
      </c>
      <c r="U69" s="1989" t="e">
        <f>#REF!/10^7</f>
        <v>#REF!</v>
      </c>
      <c r="V69" s="1989" t="e">
        <f>#REF!/10^7</f>
        <v>#REF!</v>
      </c>
      <c r="W69" s="1989">
        <f t="shared" si="12"/>
        <v>0</v>
      </c>
      <c r="X69" s="1999" t="e">
        <f t="shared" si="114"/>
        <v>#REF!</v>
      </c>
      <c r="Y69" s="1993" t="e">
        <f>#REF!</f>
        <v>#REF!</v>
      </c>
      <c r="Z69" s="2003">
        <f t="shared" si="14"/>
        <v>0</v>
      </c>
      <c r="AA69" s="1989" t="e">
        <f>#REF!/10^7</f>
        <v>#REF!</v>
      </c>
      <c r="AB69" s="2003">
        <f t="shared" si="15"/>
        <v>0</v>
      </c>
      <c r="AC69" s="1989" t="e">
        <f>#REF!/10^7</f>
        <v>#REF!</v>
      </c>
      <c r="AD69" s="2003">
        <f t="shared" si="16"/>
        <v>0</v>
      </c>
      <c r="AE69" s="1989" t="e">
        <f>#REF!/10^7</f>
        <v>#REF!</v>
      </c>
      <c r="AF69" s="1989" t="e">
        <f>#REF!/10^7</f>
        <v>#REF!</v>
      </c>
      <c r="AG69" s="2002" t="e">
        <f t="shared" si="17"/>
        <v>#REF!</v>
      </c>
      <c r="AH69" s="1999" t="e">
        <f t="shared" si="106"/>
        <v>#REF!</v>
      </c>
      <c r="AI69" s="1993" t="e">
        <f>#REF!</f>
        <v>#REF!</v>
      </c>
      <c r="AJ69" s="2003">
        <f t="shared" si="2"/>
        <v>0</v>
      </c>
      <c r="AK69" s="1989" t="e">
        <f>#REF!/10^7</f>
        <v>#REF!</v>
      </c>
      <c r="AL69" s="2003">
        <f t="shared" si="2"/>
        <v>0</v>
      </c>
      <c r="AM69" s="1989" t="e">
        <f>#REF!/10^7</f>
        <v>#REF!</v>
      </c>
      <c r="AN69" s="2003">
        <f t="shared" si="2"/>
        <v>0</v>
      </c>
      <c r="AO69" s="1989" t="e">
        <f>#REF!/10^7</f>
        <v>#REF!</v>
      </c>
      <c r="AP69" s="1989" t="e">
        <f>#REF!/10^7</f>
        <v>#REF!</v>
      </c>
      <c r="AQ69" s="2002" t="e">
        <f t="shared" si="19"/>
        <v>#REF!</v>
      </c>
      <c r="AR69" s="1999" t="e">
        <f t="shared" si="107"/>
        <v>#REF!</v>
      </c>
      <c r="AS69" s="1993" t="e">
        <f>#REF!</f>
        <v>#REF!</v>
      </c>
      <c r="AT69" s="2003">
        <f t="shared" si="20"/>
        <v>0</v>
      </c>
      <c r="AU69" s="1989" t="e">
        <f>#REF!/10^7</f>
        <v>#REF!</v>
      </c>
      <c r="AV69" s="2003">
        <f t="shared" si="21"/>
        <v>0</v>
      </c>
      <c r="AW69" s="1989" t="e">
        <f>#REF!/10^7</f>
        <v>#REF!</v>
      </c>
      <c r="AX69" s="2003">
        <f t="shared" si="22"/>
        <v>0</v>
      </c>
      <c r="AY69" s="1989" t="e">
        <f>#REF!/10^7</f>
        <v>#REF!</v>
      </c>
      <c r="AZ69" s="1989" t="e">
        <f>#REF!/10^7</f>
        <v>#REF!</v>
      </c>
      <c r="BA69" s="2002" t="e">
        <f t="shared" si="23"/>
        <v>#REF!</v>
      </c>
      <c r="BB69" s="1999" t="e">
        <f t="shared" si="108"/>
        <v>#REF!</v>
      </c>
      <c r="BC69" s="1993" t="e">
        <f>#REF!</f>
        <v>#REF!</v>
      </c>
      <c r="BD69" s="2003">
        <f t="shared" si="24"/>
        <v>0</v>
      </c>
      <c r="BE69" s="1989" t="e">
        <f>#REF!/10^7</f>
        <v>#REF!</v>
      </c>
      <c r="BF69" s="2003">
        <f t="shared" si="25"/>
        <v>0</v>
      </c>
      <c r="BG69" s="1989" t="e">
        <f>#REF!/10^7</f>
        <v>#REF!</v>
      </c>
      <c r="BH69" s="2003">
        <f t="shared" si="26"/>
        <v>0</v>
      </c>
      <c r="BI69" s="1989" t="e">
        <f>#REF!/10^7</f>
        <v>#REF!</v>
      </c>
      <c r="BJ69" s="1989" t="e">
        <f>#REF!/10^7</f>
        <v>#REF!</v>
      </c>
      <c r="BK69" s="2002" t="e">
        <f t="shared" si="27"/>
        <v>#REF!</v>
      </c>
      <c r="BL69" s="1999" t="e">
        <f t="shared" si="109"/>
        <v>#REF!</v>
      </c>
      <c r="BM69" s="1993" t="e">
        <f>#REF!</f>
        <v>#REF!</v>
      </c>
      <c r="BN69" s="2003">
        <f t="shared" si="29"/>
        <v>0</v>
      </c>
      <c r="BO69" s="1989" t="e">
        <f>#REF!/10^7</f>
        <v>#REF!</v>
      </c>
      <c r="BP69" s="2003">
        <f t="shared" si="30"/>
        <v>0</v>
      </c>
      <c r="BQ69" s="1989" t="e">
        <f>#REF!/10^7</f>
        <v>#REF!</v>
      </c>
      <c r="BR69" s="2003">
        <f t="shared" si="31"/>
        <v>0</v>
      </c>
      <c r="BS69" s="1989" t="e">
        <f>#REF!/10^7</f>
        <v>#REF!</v>
      </c>
      <c r="BT69" s="1989" t="e">
        <f>#REF!/10^7</f>
        <v>#REF!</v>
      </c>
      <c r="BU69" s="2002" t="e">
        <f t="shared" si="32"/>
        <v>#REF!</v>
      </c>
      <c r="BV69" s="1999" t="e">
        <f t="shared" si="110"/>
        <v>#REF!</v>
      </c>
      <c r="BW69" s="1993" t="e">
        <f>#REF!</f>
        <v>#REF!</v>
      </c>
      <c r="BX69" s="2003">
        <f t="shared" si="34"/>
        <v>0</v>
      </c>
      <c r="BY69" s="1989" t="e">
        <f>#REF!/10^7</f>
        <v>#REF!</v>
      </c>
      <c r="BZ69" s="2003">
        <f t="shared" si="35"/>
        <v>0</v>
      </c>
      <c r="CA69" s="1989" t="e">
        <f>#REF!/10^7</f>
        <v>#REF!</v>
      </c>
      <c r="CB69" s="2003">
        <f t="shared" si="36"/>
        <v>0</v>
      </c>
      <c r="CC69" s="1989" t="e">
        <f>#REF!/10^7</f>
        <v>#REF!</v>
      </c>
      <c r="CD69" s="1989" t="e">
        <f>#REF!/10^7</f>
        <v>#REF!</v>
      </c>
      <c r="CE69" s="2002" t="e">
        <f t="shared" si="37"/>
        <v>#REF!</v>
      </c>
      <c r="CF69" s="1999" t="e">
        <f t="shared" si="111"/>
        <v>#REF!</v>
      </c>
      <c r="CG69" s="1993" t="e">
        <f>#REF!</f>
        <v>#REF!</v>
      </c>
      <c r="CH69" s="2003">
        <f t="shared" si="39"/>
        <v>0</v>
      </c>
      <c r="CI69" s="1989" t="e">
        <f>#REF!/10^7</f>
        <v>#REF!</v>
      </c>
      <c r="CJ69" s="2003">
        <f t="shared" si="40"/>
        <v>0</v>
      </c>
      <c r="CK69" s="1989" t="e">
        <f>#REF!/10^7</f>
        <v>#REF!</v>
      </c>
      <c r="CL69" s="2003">
        <f t="shared" si="41"/>
        <v>0</v>
      </c>
      <c r="CM69" s="1989" t="e">
        <f>#REF!/10^7</f>
        <v>#REF!</v>
      </c>
      <c r="CN69" s="1989" t="e">
        <f>#REF!/10^7</f>
        <v>#REF!</v>
      </c>
      <c r="CO69" s="2002" t="e">
        <f t="shared" si="42"/>
        <v>#REF!</v>
      </c>
      <c r="CP69" s="1999" t="e">
        <f t="shared" si="112"/>
        <v>#REF!</v>
      </c>
      <c r="CQ69" s="1993" t="e">
        <f>#REF!</f>
        <v>#REF!</v>
      </c>
      <c r="CR69" s="2003">
        <f t="shared" si="44"/>
        <v>0</v>
      </c>
      <c r="CS69" s="1989" t="e">
        <f>#REF!/10^7</f>
        <v>#REF!</v>
      </c>
      <c r="CT69" s="2003">
        <f t="shared" si="45"/>
        <v>0</v>
      </c>
      <c r="CU69" s="1989" t="e">
        <f>#REF!/10^7</f>
        <v>#REF!</v>
      </c>
      <c r="CV69" s="2003">
        <f t="shared" si="46"/>
        <v>0</v>
      </c>
      <c r="CW69" s="1989" t="e">
        <f>#REF!/10^7</f>
        <v>#REF!</v>
      </c>
      <c r="CX69" s="1989" t="e">
        <f>#REF!/10^7</f>
        <v>#REF!</v>
      </c>
      <c r="CY69" s="2002" t="e">
        <f t="shared" si="47"/>
        <v>#REF!</v>
      </c>
      <c r="CZ69" s="1999" t="e">
        <f t="shared" si="115"/>
        <v>#REF!</v>
      </c>
      <c r="DA69" s="1993" t="e">
        <f>#REF!</f>
        <v>#REF!</v>
      </c>
      <c r="DB69" s="2003">
        <f t="shared" si="49"/>
        <v>0</v>
      </c>
      <c r="DC69" s="1989" t="e">
        <f>#REF!/10^7</f>
        <v>#REF!</v>
      </c>
      <c r="DD69" s="2003">
        <f t="shared" si="50"/>
        <v>0</v>
      </c>
      <c r="DE69" s="1989" t="e">
        <f>#REF!/10^7</f>
        <v>#REF!</v>
      </c>
      <c r="DF69" s="2003">
        <f t="shared" si="51"/>
        <v>0</v>
      </c>
      <c r="DG69" s="1989" t="e">
        <f>#REF!/10^7</f>
        <v>#REF!</v>
      </c>
      <c r="DH69" s="1989" t="e">
        <f>#REF!/10^7</f>
        <v>#REF!</v>
      </c>
      <c r="DI69" s="2002" t="e">
        <f t="shared" si="52"/>
        <v>#REF!</v>
      </c>
      <c r="DJ69" s="1999" t="e">
        <f t="shared" si="116"/>
        <v>#REF!</v>
      </c>
      <c r="DK69" s="1993" t="e">
        <f>#REF!</f>
        <v>#REF!</v>
      </c>
      <c r="DL69" s="2003">
        <f t="shared" si="54"/>
        <v>0</v>
      </c>
      <c r="DM69" s="1989" t="e">
        <f>#REF!/10^7</f>
        <v>#REF!</v>
      </c>
      <c r="DN69" s="2003">
        <f t="shared" si="55"/>
        <v>0</v>
      </c>
      <c r="DO69" s="1989" t="e">
        <f>#REF!/10^7</f>
        <v>#REF!</v>
      </c>
      <c r="DP69" s="2003">
        <f t="shared" si="56"/>
        <v>0</v>
      </c>
      <c r="DQ69" s="1989" t="e">
        <f>#REF!/10^7</f>
        <v>#REF!</v>
      </c>
      <c r="DR69" s="1989" t="e">
        <f>#REF!/10^7</f>
        <v>#REF!</v>
      </c>
      <c r="DS69" s="2002" t="e">
        <f t="shared" si="57"/>
        <v>#REF!</v>
      </c>
      <c r="DT69" s="2004" t="e">
        <f t="shared" si="117"/>
        <v>#REF!</v>
      </c>
      <c r="DU69" s="1988" t="e">
        <f>#REF!</f>
        <v>#REF!</v>
      </c>
      <c r="DV69" s="2003">
        <f t="shared" si="59"/>
        <v>0</v>
      </c>
      <c r="DW69" s="1989" t="e">
        <f>#REF!/10^7</f>
        <v>#REF!</v>
      </c>
      <c r="DX69" s="2003">
        <f t="shared" si="60"/>
        <v>0</v>
      </c>
      <c r="DY69" s="1989" t="e">
        <f>#REF!/10^7</f>
        <v>#REF!</v>
      </c>
      <c r="DZ69" s="2003">
        <f t="shared" si="61"/>
        <v>0</v>
      </c>
      <c r="EA69" s="1989" t="e">
        <f>#REF!/10^7</f>
        <v>#REF!</v>
      </c>
      <c r="EB69" s="1989" t="e">
        <f>#REF!/10^7</f>
        <v>#REF!</v>
      </c>
      <c r="EC69" s="2002" t="e">
        <f t="shared" si="62"/>
        <v>#REF!</v>
      </c>
      <c r="ED69" s="1998" t="e">
        <f t="shared" si="118"/>
        <v>#REF!</v>
      </c>
      <c r="EE69" s="2005" t="e">
        <f t="shared" si="122"/>
        <v>#REF!</v>
      </c>
      <c r="EF69" s="2003">
        <f t="shared" si="64"/>
        <v>0</v>
      </c>
      <c r="EG69" s="1989" t="e">
        <f t="shared" si="119"/>
        <v>#REF!</v>
      </c>
      <c r="EH69" s="2003">
        <f t="shared" si="65"/>
        <v>0</v>
      </c>
      <c r="EI69" s="1989" t="e">
        <f t="shared" si="120"/>
        <v>#REF!</v>
      </c>
      <c r="EJ69" s="2003">
        <f t="shared" si="66"/>
        <v>0</v>
      </c>
      <c r="EK69" s="1989" t="e">
        <f t="shared" si="121"/>
        <v>#REF!</v>
      </c>
      <c r="EL69" s="1989" t="e">
        <f t="shared" si="121"/>
        <v>#REF!</v>
      </c>
      <c r="EM69" s="2006" t="e">
        <f t="shared" si="67"/>
        <v>#REF!</v>
      </c>
      <c r="EN69" s="1999" t="e">
        <f t="shared" si="123"/>
        <v>#REF!</v>
      </c>
      <c r="EP69" s="1613" t="e">
        <f>EA69-#REF!/10^7</f>
        <v>#REF!</v>
      </c>
      <c r="EW69" s="1611" t="e">
        <v>#N/A</v>
      </c>
      <c r="EX69" s="1612" t="s">
        <v>1649</v>
      </c>
      <c r="EZ69" s="1650">
        <f t="shared" si="69"/>
        <v>0</v>
      </c>
    </row>
    <row r="70" spans="1:156" ht="21" customHeight="1">
      <c r="A70" s="1652">
        <v>27</v>
      </c>
      <c r="B70" s="1668" t="s">
        <v>1703</v>
      </c>
      <c r="C70" s="1645">
        <v>1260</v>
      </c>
      <c r="D70" s="1646">
        <f t="shared" si="113"/>
        <v>0.23095238095238094</v>
      </c>
      <c r="E70" s="1646">
        <v>86.932400000000001</v>
      </c>
      <c r="F70" s="1665">
        <v>9</v>
      </c>
      <c r="G70" s="1640"/>
      <c r="H70" s="1669">
        <v>2.91</v>
      </c>
      <c r="I70" s="1648" t="s">
        <v>1649</v>
      </c>
      <c r="J70" s="1649">
        <v>1</v>
      </c>
      <c r="K70" s="1648"/>
      <c r="L70" s="1640"/>
      <c r="M70" s="1640"/>
      <c r="N70" s="1642"/>
      <c r="O70" s="2000" t="e">
        <f>#REF!</f>
        <v>#REF!</v>
      </c>
      <c r="P70" s="2003">
        <f t="shared" si="9"/>
        <v>0</v>
      </c>
      <c r="Q70" s="1989" t="e">
        <f>#REF!/10^7</f>
        <v>#REF!</v>
      </c>
      <c r="R70" s="2003">
        <f t="shared" si="10"/>
        <v>0</v>
      </c>
      <c r="S70" s="1989" t="e">
        <f>#REF!/10^7</f>
        <v>#REF!</v>
      </c>
      <c r="T70" s="2003">
        <f t="shared" si="11"/>
        <v>0</v>
      </c>
      <c r="U70" s="1989" t="e">
        <f>#REF!/10^7</f>
        <v>#REF!</v>
      </c>
      <c r="V70" s="1989" t="e">
        <f>#REF!/10^7</f>
        <v>#REF!</v>
      </c>
      <c r="W70" s="1989">
        <f t="shared" si="12"/>
        <v>0</v>
      </c>
      <c r="X70" s="1999" t="e">
        <f t="shared" si="114"/>
        <v>#REF!</v>
      </c>
      <c r="Y70" s="1993" t="e">
        <f>#REF!</f>
        <v>#REF!</v>
      </c>
      <c r="Z70" s="2003">
        <f t="shared" si="14"/>
        <v>0</v>
      </c>
      <c r="AA70" s="1989" t="e">
        <f>#REF!/10^7</f>
        <v>#REF!</v>
      </c>
      <c r="AB70" s="2003">
        <f t="shared" si="15"/>
        <v>0</v>
      </c>
      <c r="AC70" s="1989" t="e">
        <f>#REF!/10^7</f>
        <v>#REF!</v>
      </c>
      <c r="AD70" s="2003">
        <f t="shared" si="16"/>
        <v>0</v>
      </c>
      <c r="AE70" s="1989" t="e">
        <f>#REF!/10^7</f>
        <v>#REF!</v>
      </c>
      <c r="AF70" s="1989" t="e">
        <f>#REF!/10^7</f>
        <v>#REF!</v>
      </c>
      <c r="AG70" s="2002" t="e">
        <f t="shared" si="17"/>
        <v>#REF!</v>
      </c>
      <c r="AH70" s="1999" t="e">
        <f t="shared" si="106"/>
        <v>#REF!</v>
      </c>
      <c r="AI70" s="1993" t="e">
        <f>#REF!</f>
        <v>#REF!</v>
      </c>
      <c r="AJ70" s="2003">
        <f t="shared" si="2"/>
        <v>0</v>
      </c>
      <c r="AK70" s="1989" t="e">
        <f>#REF!/10^7</f>
        <v>#REF!</v>
      </c>
      <c r="AL70" s="2003">
        <f t="shared" si="2"/>
        <v>0</v>
      </c>
      <c r="AM70" s="1989" t="e">
        <f>#REF!/10^7</f>
        <v>#REF!</v>
      </c>
      <c r="AN70" s="2003">
        <f t="shared" si="2"/>
        <v>0</v>
      </c>
      <c r="AO70" s="1989" t="e">
        <f>#REF!/10^7</f>
        <v>#REF!</v>
      </c>
      <c r="AP70" s="1989" t="e">
        <f>#REF!/10^7</f>
        <v>#REF!</v>
      </c>
      <c r="AQ70" s="2002" t="e">
        <f t="shared" si="19"/>
        <v>#REF!</v>
      </c>
      <c r="AR70" s="1999" t="e">
        <f t="shared" si="107"/>
        <v>#REF!</v>
      </c>
      <c r="AS70" s="1993" t="e">
        <f>#REF!</f>
        <v>#REF!</v>
      </c>
      <c r="AT70" s="2003">
        <f t="shared" si="20"/>
        <v>0</v>
      </c>
      <c r="AU70" s="1989" t="e">
        <f>#REF!/10^7</f>
        <v>#REF!</v>
      </c>
      <c r="AV70" s="2003">
        <f t="shared" si="21"/>
        <v>0</v>
      </c>
      <c r="AW70" s="1989" t="e">
        <f>#REF!/10^7</f>
        <v>#REF!</v>
      </c>
      <c r="AX70" s="2003">
        <f t="shared" si="22"/>
        <v>0</v>
      </c>
      <c r="AY70" s="1989" t="e">
        <f>#REF!/10^7</f>
        <v>#REF!</v>
      </c>
      <c r="AZ70" s="1989" t="e">
        <f>#REF!/10^7</f>
        <v>#REF!</v>
      </c>
      <c r="BA70" s="2002" t="e">
        <f t="shared" si="23"/>
        <v>#REF!</v>
      </c>
      <c r="BB70" s="1999" t="e">
        <f t="shared" si="108"/>
        <v>#REF!</v>
      </c>
      <c r="BC70" s="1993" t="e">
        <f>#REF!</f>
        <v>#REF!</v>
      </c>
      <c r="BD70" s="2003">
        <f t="shared" si="24"/>
        <v>0</v>
      </c>
      <c r="BE70" s="1989" t="e">
        <f>#REF!/10^7</f>
        <v>#REF!</v>
      </c>
      <c r="BF70" s="2003">
        <f t="shared" si="25"/>
        <v>0</v>
      </c>
      <c r="BG70" s="1989" t="e">
        <f>#REF!/10^7</f>
        <v>#REF!</v>
      </c>
      <c r="BH70" s="2003">
        <f t="shared" si="26"/>
        <v>0</v>
      </c>
      <c r="BI70" s="1989" t="e">
        <f>#REF!/10^7</f>
        <v>#REF!</v>
      </c>
      <c r="BJ70" s="1989" t="e">
        <f>#REF!/10^7</f>
        <v>#REF!</v>
      </c>
      <c r="BK70" s="2002" t="e">
        <f t="shared" si="27"/>
        <v>#REF!</v>
      </c>
      <c r="BL70" s="1999" t="e">
        <f t="shared" si="109"/>
        <v>#REF!</v>
      </c>
      <c r="BM70" s="1993" t="e">
        <f>#REF!</f>
        <v>#REF!</v>
      </c>
      <c r="BN70" s="2003">
        <f t="shared" si="29"/>
        <v>0</v>
      </c>
      <c r="BO70" s="1989" t="e">
        <f>#REF!/10^7</f>
        <v>#REF!</v>
      </c>
      <c r="BP70" s="2003">
        <f t="shared" si="30"/>
        <v>0</v>
      </c>
      <c r="BQ70" s="1989" t="e">
        <f>#REF!/10^7</f>
        <v>#REF!</v>
      </c>
      <c r="BR70" s="2003">
        <f t="shared" si="31"/>
        <v>0</v>
      </c>
      <c r="BS70" s="1989" t="e">
        <f>#REF!/10^7</f>
        <v>#REF!</v>
      </c>
      <c r="BT70" s="1989" t="e">
        <f>#REF!/10^7</f>
        <v>#REF!</v>
      </c>
      <c r="BU70" s="2002" t="e">
        <f t="shared" si="32"/>
        <v>#REF!</v>
      </c>
      <c r="BV70" s="1999" t="e">
        <f t="shared" si="110"/>
        <v>#REF!</v>
      </c>
      <c r="BW70" s="1993" t="e">
        <f>#REF!</f>
        <v>#REF!</v>
      </c>
      <c r="BX70" s="2003">
        <f t="shared" si="34"/>
        <v>0</v>
      </c>
      <c r="BY70" s="1989" t="e">
        <f>#REF!/10^7</f>
        <v>#REF!</v>
      </c>
      <c r="BZ70" s="2003">
        <f t="shared" si="35"/>
        <v>0</v>
      </c>
      <c r="CA70" s="1989" t="e">
        <f>#REF!/10^7</f>
        <v>#REF!</v>
      </c>
      <c r="CB70" s="2003">
        <f t="shared" si="36"/>
        <v>0</v>
      </c>
      <c r="CC70" s="1989" t="e">
        <f>#REF!/10^7</f>
        <v>#REF!</v>
      </c>
      <c r="CD70" s="1989" t="e">
        <f>#REF!/10^7</f>
        <v>#REF!</v>
      </c>
      <c r="CE70" s="2002" t="e">
        <f t="shared" si="37"/>
        <v>#REF!</v>
      </c>
      <c r="CF70" s="1999" t="e">
        <f t="shared" si="111"/>
        <v>#REF!</v>
      </c>
      <c r="CG70" s="1993" t="e">
        <f>#REF!</f>
        <v>#REF!</v>
      </c>
      <c r="CH70" s="2003">
        <f t="shared" si="39"/>
        <v>0</v>
      </c>
      <c r="CI70" s="1989" t="e">
        <f>#REF!/10^7</f>
        <v>#REF!</v>
      </c>
      <c r="CJ70" s="2003">
        <f t="shared" si="40"/>
        <v>0</v>
      </c>
      <c r="CK70" s="1989" t="e">
        <f>#REF!/10^7</f>
        <v>#REF!</v>
      </c>
      <c r="CL70" s="2003">
        <f t="shared" si="41"/>
        <v>0</v>
      </c>
      <c r="CM70" s="1989" t="e">
        <f>#REF!/10^7</f>
        <v>#REF!</v>
      </c>
      <c r="CN70" s="1989" t="e">
        <f>#REF!/10^7</f>
        <v>#REF!</v>
      </c>
      <c r="CO70" s="2002" t="e">
        <f t="shared" si="42"/>
        <v>#REF!</v>
      </c>
      <c r="CP70" s="1999" t="e">
        <f t="shared" si="112"/>
        <v>#REF!</v>
      </c>
      <c r="CQ70" s="1993" t="e">
        <f>#REF!</f>
        <v>#REF!</v>
      </c>
      <c r="CR70" s="2003">
        <f t="shared" si="44"/>
        <v>0</v>
      </c>
      <c r="CS70" s="1989" t="e">
        <f>#REF!/10^7</f>
        <v>#REF!</v>
      </c>
      <c r="CT70" s="2003">
        <f t="shared" si="45"/>
        <v>0</v>
      </c>
      <c r="CU70" s="1989" t="e">
        <f>#REF!/10^7</f>
        <v>#REF!</v>
      </c>
      <c r="CV70" s="2003">
        <f t="shared" si="46"/>
        <v>0</v>
      </c>
      <c r="CW70" s="1989" t="e">
        <f>#REF!/10^7</f>
        <v>#REF!</v>
      </c>
      <c r="CX70" s="1989" t="e">
        <f>#REF!/10^7</f>
        <v>#REF!</v>
      </c>
      <c r="CY70" s="2002" t="e">
        <f t="shared" si="47"/>
        <v>#REF!</v>
      </c>
      <c r="CZ70" s="1999" t="e">
        <f t="shared" si="115"/>
        <v>#REF!</v>
      </c>
      <c r="DA70" s="1993" t="e">
        <f>#REF!</f>
        <v>#REF!</v>
      </c>
      <c r="DB70" s="2003">
        <f t="shared" si="49"/>
        <v>0</v>
      </c>
      <c r="DC70" s="1989" t="e">
        <f>#REF!/10^7</f>
        <v>#REF!</v>
      </c>
      <c r="DD70" s="2003">
        <f t="shared" si="50"/>
        <v>0</v>
      </c>
      <c r="DE70" s="1989" t="e">
        <f>#REF!/10^7</f>
        <v>#REF!</v>
      </c>
      <c r="DF70" s="2003">
        <f t="shared" si="51"/>
        <v>0</v>
      </c>
      <c r="DG70" s="1989" t="e">
        <f>#REF!/10^7</f>
        <v>#REF!</v>
      </c>
      <c r="DH70" s="1989" t="e">
        <f>#REF!/10^7</f>
        <v>#REF!</v>
      </c>
      <c r="DI70" s="2002" t="e">
        <f t="shared" si="52"/>
        <v>#REF!</v>
      </c>
      <c r="DJ70" s="1999" t="e">
        <f t="shared" si="116"/>
        <v>#REF!</v>
      </c>
      <c r="DK70" s="1993" t="e">
        <f>#REF!</f>
        <v>#REF!</v>
      </c>
      <c r="DL70" s="2003">
        <f t="shared" si="54"/>
        <v>0</v>
      </c>
      <c r="DM70" s="1989" t="e">
        <f>#REF!/10^7</f>
        <v>#REF!</v>
      </c>
      <c r="DN70" s="2003">
        <f t="shared" si="55"/>
        <v>0</v>
      </c>
      <c r="DO70" s="1989" t="e">
        <f>#REF!/10^7</f>
        <v>#REF!</v>
      </c>
      <c r="DP70" s="2003">
        <f t="shared" si="56"/>
        <v>0</v>
      </c>
      <c r="DQ70" s="1989" t="e">
        <f>#REF!/10^7</f>
        <v>#REF!</v>
      </c>
      <c r="DR70" s="1989" t="e">
        <f>#REF!/10^7</f>
        <v>#REF!</v>
      </c>
      <c r="DS70" s="2002" t="e">
        <f t="shared" si="57"/>
        <v>#REF!</v>
      </c>
      <c r="DT70" s="2004" t="e">
        <f t="shared" si="117"/>
        <v>#REF!</v>
      </c>
      <c r="DU70" s="1988" t="e">
        <f>#REF!</f>
        <v>#REF!</v>
      </c>
      <c r="DV70" s="2003">
        <f t="shared" si="59"/>
        <v>0</v>
      </c>
      <c r="DW70" s="1989" t="e">
        <f>#REF!/10^7</f>
        <v>#REF!</v>
      </c>
      <c r="DX70" s="2003">
        <f t="shared" si="60"/>
        <v>0</v>
      </c>
      <c r="DY70" s="1989" t="e">
        <f>#REF!/10^7</f>
        <v>#REF!</v>
      </c>
      <c r="DZ70" s="2003">
        <f t="shared" si="61"/>
        <v>0</v>
      </c>
      <c r="EA70" s="1989" t="e">
        <f>#REF!/10^7</f>
        <v>#REF!</v>
      </c>
      <c r="EB70" s="1989" t="e">
        <f>#REF!/10^7</f>
        <v>#REF!</v>
      </c>
      <c r="EC70" s="2002" t="e">
        <f t="shared" si="62"/>
        <v>#REF!</v>
      </c>
      <c r="ED70" s="1998" t="e">
        <f t="shared" si="118"/>
        <v>#REF!</v>
      </c>
      <c r="EE70" s="2005" t="e">
        <f t="shared" si="122"/>
        <v>#REF!</v>
      </c>
      <c r="EF70" s="2003">
        <f t="shared" si="64"/>
        <v>0</v>
      </c>
      <c r="EG70" s="1989" t="e">
        <f t="shared" si="119"/>
        <v>#REF!</v>
      </c>
      <c r="EH70" s="2003">
        <f t="shared" si="65"/>
        <v>0</v>
      </c>
      <c r="EI70" s="1989" t="e">
        <f t="shared" si="120"/>
        <v>#REF!</v>
      </c>
      <c r="EJ70" s="2003">
        <f t="shared" si="66"/>
        <v>0</v>
      </c>
      <c r="EK70" s="1989" t="e">
        <f t="shared" si="121"/>
        <v>#REF!</v>
      </c>
      <c r="EL70" s="1989" t="e">
        <f t="shared" si="121"/>
        <v>#REF!</v>
      </c>
      <c r="EM70" s="2006" t="e">
        <f t="shared" si="67"/>
        <v>#REF!</v>
      </c>
      <c r="EN70" s="1999" t="e">
        <f t="shared" si="123"/>
        <v>#REF!</v>
      </c>
      <c r="EP70" s="1613" t="e">
        <f>EA70-#REF!/10^7</f>
        <v>#REF!</v>
      </c>
      <c r="EW70" s="1611" t="e">
        <v>#N/A</v>
      </c>
      <c r="EX70" s="1612" t="s">
        <v>1649</v>
      </c>
      <c r="EZ70" s="1650">
        <f t="shared" si="69"/>
        <v>0</v>
      </c>
    </row>
    <row r="71" spans="1:156" ht="21" customHeight="1">
      <c r="A71" s="1652">
        <v>28</v>
      </c>
      <c r="B71" s="1668" t="s">
        <v>1704</v>
      </c>
      <c r="C71" s="1645">
        <v>1000</v>
      </c>
      <c r="D71" s="1646">
        <f t="shared" si="113"/>
        <v>0.219</v>
      </c>
      <c r="E71" s="1646">
        <v>84.820099999999996</v>
      </c>
      <c r="F71" s="1670">
        <v>7.05</v>
      </c>
      <c r="G71" s="1640"/>
      <c r="H71" s="1669">
        <v>2.19</v>
      </c>
      <c r="I71" s="1648" t="s">
        <v>1649</v>
      </c>
      <c r="J71" s="1649">
        <v>1</v>
      </c>
      <c r="K71" s="1648"/>
      <c r="L71" s="1640"/>
      <c r="M71" s="1640"/>
      <c r="N71" s="1642"/>
      <c r="O71" s="2000" t="e">
        <f>#REF!</f>
        <v>#REF!</v>
      </c>
      <c r="P71" s="2003">
        <f t="shared" si="9"/>
        <v>0</v>
      </c>
      <c r="Q71" s="1989" t="e">
        <f>#REF!/10^7</f>
        <v>#REF!</v>
      </c>
      <c r="R71" s="2003">
        <f t="shared" si="10"/>
        <v>0</v>
      </c>
      <c r="S71" s="1989" t="e">
        <f>#REF!/10^7</f>
        <v>#REF!</v>
      </c>
      <c r="T71" s="2003">
        <f t="shared" si="11"/>
        <v>0</v>
      </c>
      <c r="U71" s="1989" t="e">
        <f>#REF!/10^7</f>
        <v>#REF!</v>
      </c>
      <c r="V71" s="1989" t="e">
        <f>#REF!/10^7</f>
        <v>#REF!</v>
      </c>
      <c r="W71" s="1989">
        <f t="shared" si="12"/>
        <v>0</v>
      </c>
      <c r="X71" s="1999" t="e">
        <f t="shared" si="114"/>
        <v>#REF!</v>
      </c>
      <c r="Y71" s="1993" t="e">
        <f>#REF!</f>
        <v>#REF!</v>
      </c>
      <c r="Z71" s="2003">
        <f t="shared" si="14"/>
        <v>0</v>
      </c>
      <c r="AA71" s="1989" t="e">
        <f>#REF!/10^7</f>
        <v>#REF!</v>
      </c>
      <c r="AB71" s="2003">
        <f t="shared" si="15"/>
        <v>0</v>
      </c>
      <c r="AC71" s="1989" t="e">
        <f>#REF!/10^7</f>
        <v>#REF!</v>
      </c>
      <c r="AD71" s="2003">
        <f t="shared" si="16"/>
        <v>0</v>
      </c>
      <c r="AE71" s="1989" t="e">
        <f>#REF!/10^7</f>
        <v>#REF!</v>
      </c>
      <c r="AF71" s="1989" t="e">
        <f>#REF!/10^7</f>
        <v>#REF!</v>
      </c>
      <c r="AG71" s="2002" t="e">
        <f t="shared" si="17"/>
        <v>#REF!</v>
      </c>
      <c r="AH71" s="1999" t="e">
        <f t="shared" si="106"/>
        <v>#REF!</v>
      </c>
      <c r="AI71" s="1993" t="e">
        <f>#REF!</f>
        <v>#REF!</v>
      </c>
      <c r="AJ71" s="2003">
        <f t="shared" si="2"/>
        <v>0</v>
      </c>
      <c r="AK71" s="1989" t="e">
        <f>#REF!/10^7</f>
        <v>#REF!</v>
      </c>
      <c r="AL71" s="2003">
        <f t="shared" si="2"/>
        <v>0</v>
      </c>
      <c r="AM71" s="1989" t="e">
        <f>#REF!/10^7</f>
        <v>#REF!</v>
      </c>
      <c r="AN71" s="2003">
        <f t="shared" si="2"/>
        <v>0</v>
      </c>
      <c r="AO71" s="1989" t="e">
        <f>#REF!/10^7</f>
        <v>#REF!</v>
      </c>
      <c r="AP71" s="1989" t="e">
        <f>#REF!/10^7</f>
        <v>#REF!</v>
      </c>
      <c r="AQ71" s="2002" t="e">
        <f t="shared" si="19"/>
        <v>#REF!</v>
      </c>
      <c r="AR71" s="1999" t="e">
        <f t="shared" si="107"/>
        <v>#REF!</v>
      </c>
      <c r="AS71" s="1993" t="e">
        <f>#REF!</f>
        <v>#REF!</v>
      </c>
      <c r="AT71" s="2003">
        <f t="shared" si="20"/>
        <v>0</v>
      </c>
      <c r="AU71" s="1989" t="e">
        <f>#REF!/10^7</f>
        <v>#REF!</v>
      </c>
      <c r="AV71" s="2003">
        <f t="shared" si="21"/>
        <v>0</v>
      </c>
      <c r="AW71" s="1989" t="e">
        <f>#REF!/10^7</f>
        <v>#REF!</v>
      </c>
      <c r="AX71" s="2003">
        <f t="shared" si="22"/>
        <v>0</v>
      </c>
      <c r="AY71" s="1989" t="e">
        <f>#REF!/10^7</f>
        <v>#REF!</v>
      </c>
      <c r="AZ71" s="1989" t="e">
        <f>#REF!/10^7</f>
        <v>#REF!</v>
      </c>
      <c r="BA71" s="2002" t="e">
        <f t="shared" si="23"/>
        <v>#REF!</v>
      </c>
      <c r="BB71" s="1999" t="e">
        <f t="shared" si="108"/>
        <v>#REF!</v>
      </c>
      <c r="BC71" s="1993" t="e">
        <f>#REF!</f>
        <v>#REF!</v>
      </c>
      <c r="BD71" s="2003">
        <f t="shared" si="24"/>
        <v>0</v>
      </c>
      <c r="BE71" s="1989" t="e">
        <f>#REF!/10^7</f>
        <v>#REF!</v>
      </c>
      <c r="BF71" s="2003">
        <f t="shared" si="25"/>
        <v>0</v>
      </c>
      <c r="BG71" s="1989" t="e">
        <f>#REF!/10^7</f>
        <v>#REF!</v>
      </c>
      <c r="BH71" s="2003">
        <f t="shared" si="26"/>
        <v>0</v>
      </c>
      <c r="BI71" s="1989" t="e">
        <f>#REF!/10^7</f>
        <v>#REF!</v>
      </c>
      <c r="BJ71" s="1989" t="e">
        <f>#REF!/10^7</f>
        <v>#REF!</v>
      </c>
      <c r="BK71" s="2002" t="e">
        <f t="shared" si="27"/>
        <v>#REF!</v>
      </c>
      <c r="BL71" s="1999" t="e">
        <f t="shared" si="109"/>
        <v>#REF!</v>
      </c>
      <c r="BM71" s="1993" t="e">
        <f>#REF!</f>
        <v>#REF!</v>
      </c>
      <c r="BN71" s="2003">
        <f t="shared" si="29"/>
        <v>0</v>
      </c>
      <c r="BO71" s="1989" t="e">
        <f>#REF!/10^7</f>
        <v>#REF!</v>
      </c>
      <c r="BP71" s="2003">
        <f t="shared" si="30"/>
        <v>0</v>
      </c>
      <c r="BQ71" s="1989" t="e">
        <f>#REF!/10^7</f>
        <v>#REF!</v>
      </c>
      <c r="BR71" s="2003">
        <f t="shared" si="31"/>
        <v>0</v>
      </c>
      <c r="BS71" s="1989" t="e">
        <f>#REF!/10^7</f>
        <v>#REF!</v>
      </c>
      <c r="BT71" s="1989" t="e">
        <f>#REF!/10^7</f>
        <v>#REF!</v>
      </c>
      <c r="BU71" s="2002" t="e">
        <f t="shared" si="32"/>
        <v>#REF!</v>
      </c>
      <c r="BV71" s="1999" t="e">
        <f t="shared" si="110"/>
        <v>#REF!</v>
      </c>
      <c r="BW71" s="1993" t="e">
        <f>#REF!</f>
        <v>#REF!</v>
      </c>
      <c r="BX71" s="2003">
        <f t="shared" si="34"/>
        <v>0</v>
      </c>
      <c r="BY71" s="1989" t="e">
        <f>#REF!/10^7</f>
        <v>#REF!</v>
      </c>
      <c r="BZ71" s="2003">
        <f t="shared" si="35"/>
        <v>0</v>
      </c>
      <c r="CA71" s="1989" t="e">
        <f>#REF!/10^7</f>
        <v>#REF!</v>
      </c>
      <c r="CB71" s="2003">
        <f t="shared" si="36"/>
        <v>0</v>
      </c>
      <c r="CC71" s="1989" t="e">
        <f>#REF!/10^7</f>
        <v>#REF!</v>
      </c>
      <c r="CD71" s="1989" t="e">
        <f>#REF!/10^7</f>
        <v>#REF!</v>
      </c>
      <c r="CE71" s="2002" t="e">
        <f t="shared" si="37"/>
        <v>#REF!</v>
      </c>
      <c r="CF71" s="1999" t="e">
        <f t="shared" si="111"/>
        <v>#REF!</v>
      </c>
      <c r="CG71" s="1993" t="e">
        <f>#REF!</f>
        <v>#REF!</v>
      </c>
      <c r="CH71" s="2003">
        <f t="shared" si="39"/>
        <v>0</v>
      </c>
      <c r="CI71" s="1989" t="e">
        <f>#REF!/10^7</f>
        <v>#REF!</v>
      </c>
      <c r="CJ71" s="2003">
        <f t="shared" si="40"/>
        <v>0</v>
      </c>
      <c r="CK71" s="1989" t="e">
        <f>#REF!/10^7</f>
        <v>#REF!</v>
      </c>
      <c r="CL71" s="2003">
        <f t="shared" si="41"/>
        <v>0</v>
      </c>
      <c r="CM71" s="1989" t="e">
        <f>#REF!/10^7</f>
        <v>#REF!</v>
      </c>
      <c r="CN71" s="1989" t="e">
        <f>#REF!/10^7</f>
        <v>#REF!</v>
      </c>
      <c r="CO71" s="2002" t="e">
        <f t="shared" si="42"/>
        <v>#REF!</v>
      </c>
      <c r="CP71" s="1999" t="e">
        <f t="shared" si="112"/>
        <v>#REF!</v>
      </c>
      <c r="CQ71" s="1993" t="e">
        <f>#REF!</f>
        <v>#REF!</v>
      </c>
      <c r="CR71" s="2003">
        <f t="shared" si="44"/>
        <v>0</v>
      </c>
      <c r="CS71" s="1989" t="e">
        <f>#REF!/10^7</f>
        <v>#REF!</v>
      </c>
      <c r="CT71" s="2003">
        <f t="shared" si="45"/>
        <v>0</v>
      </c>
      <c r="CU71" s="1989" t="e">
        <f>#REF!/10^7</f>
        <v>#REF!</v>
      </c>
      <c r="CV71" s="2003">
        <f t="shared" si="46"/>
        <v>0</v>
      </c>
      <c r="CW71" s="1989" t="e">
        <f>#REF!/10^7</f>
        <v>#REF!</v>
      </c>
      <c r="CX71" s="1989" t="e">
        <f>#REF!/10^7</f>
        <v>#REF!</v>
      </c>
      <c r="CY71" s="2002" t="e">
        <f t="shared" si="47"/>
        <v>#REF!</v>
      </c>
      <c r="CZ71" s="1999" t="e">
        <f t="shared" si="115"/>
        <v>#REF!</v>
      </c>
      <c r="DA71" s="1993" t="e">
        <f>#REF!</f>
        <v>#REF!</v>
      </c>
      <c r="DB71" s="2003">
        <f t="shared" si="49"/>
        <v>0</v>
      </c>
      <c r="DC71" s="1989" t="e">
        <f>#REF!/10^7</f>
        <v>#REF!</v>
      </c>
      <c r="DD71" s="2003">
        <f t="shared" si="50"/>
        <v>0</v>
      </c>
      <c r="DE71" s="1989" t="e">
        <f>#REF!/10^7</f>
        <v>#REF!</v>
      </c>
      <c r="DF71" s="2003">
        <f t="shared" si="51"/>
        <v>0</v>
      </c>
      <c r="DG71" s="1989" t="e">
        <f>#REF!/10^7</f>
        <v>#REF!</v>
      </c>
      <c r="DH71" s="1989" t="e">
        <f>#REF!/10^7</f>
        <v>#REF!</v>
      </c>
      <c r="DI71" s="2002" t="e">
        <f t="shared" si="52"/>
        <v>#REF!</v>
      </c>
      <c r="DJ71" s="1999" t="e">
        <f t="shared" si="116"/>
        <v>#REF!</v>
      </c>
      <c r="DK71" s="1993" t="e">
        <f>#REF!</f>
        <v>#REF!</v>
      </c>
      <c r="DL71" s="2003">
        <f t="shared" si="54"/>
        <v>0</v>
      </c>
      <c r="DM71" s="1989" t="e">
        <f>#REF!/10^7</f>
        <v>#REF!</v>
      </c>
      <c r="DN71" s="2003">
        <f t="shared" si="55"/>
        <v>0</v>
      </c>
      <c r="DO71" s="1989" t="e">
        <f>#REF!/10^7</f>
        <v>#REF!</v>
      </c>
      <c r="DP71" s="2003">
        <f t="shared" si="56"/>
        <v>0</v>
      </c>
      <c r="DQ71" s="1989" t="e">
        <f>#REF!/10^7</f>
        <v>#REF!</v>
      </c>
      <c r="DR71" s="1989" t="e">
        <f>#REF!/10^7</f>
        <v>#REF!</v>
      </c>
      <c r="DS71" s="2002" t="e">
        <f t="shared" si="57"/>
        <v>#REF!</v>
      </c>
      <c r="DT71" s="2004" t="e">
        <f t="shared" si="117"/>
        <v>#REF!</v>
      </c>
      <c r="DU71" s="1988" t="e">
        <f>#REF!</f>
        <v>#REF!</v>
      </c>
      <c r="DV71" s="2003">
        <f t="shared" si="59"/>
        <v>0</v>
      </c>
      <c r="DW71" s="1989" t="e">
        <f>#REF!/10^7</f>
        <v>#REF!</v>
      </c>
      <c r="DX71" s="2003">
        <f t="shared" si="60"/>
        <v>0</v>
      </c>
      <c r="DY71" s="1989" t="e">
        <f>#REF!/10^7</f>
        <v>#REF!</v>
      </c>
      <c r="DZ71" s="2003">
        <f t="shared" si="61"/>
        <v>0</v>
      </c>
      <c r="EA71" s="1989" t="e">
        <f>#REF!/10^7</f>
        <v>#REF!</v>
      </c>
      <c r="EB71" s="1989" t="e">
        <f>#REF!/10^7</f>
        <v>#REF!</v>
      </c>
      <c r="EC71" s="2002" t="e">
        <f t="shared" si="62"/>
        <v>#REF!</v>
      </c>
      <c r="ED71" s="1998" t="e">
        <f t="shared" si="118"/>
        <v>#REF!</v>
      </c>
      <c r="EE71" s="2005" t="e">
        <f t="shared" si="122"/>
        <v>#REF!</v>
      </c>
      <c r="EF71" s="2003">
        <f t="shared" si="64"/>
        <v>0</v>
      </c>
      <c r="EG71" s="1989" t="e">
        <f t="shared" si="119"/>
        <v>#REF!</v>
      </c>
      <c r="EH71" s="2003">
        <f t="shared" si="65"/>
        <v>0</v>
      </c>
      <c r="EI71" s="1989" t="e">
        <f t="shared" si="120"/>
        <v>#REF!</v>
      </c>
      <c r="EJ71" s="2003">
        <f t="shared" si="66"/>
        <v>0</v>
      </c>
      <c r="EK71" s="1989" t="e">
        <f t="shared" si="121"/>
        <v>#REF!</v>
      </c>
      <c r="EL71" s="1989" t="e">
        <f t="shared" si="121"/>
        <v>#REF!</v>
      </c>
      <c r="EM71" s="2006" t="e">
        <f t="shared" si="67"/>
        <v>#REF!</v>
      </c>
      <c r="EN71" s="1999" t="e">
        <f t="shared" si="123"/>
        <v>#REF!</v>
      </c>
      <c r="EP71" s="1613" t="e">
        <f>EA71-#REF!/10^7</f>
        <v>#REF!</v>
      </c>
      <c r="EW71" s="1611" t="e">
        <v>#N/A</v>
      </c>
      <c r="EX71" s="1612" t="s">
        <v>1649</v>
      </c>
      <c r="EZ71" s="1650">
        <f t="shared" si="69"/>
        <v>0</v>
      </c>
    </row>
    <row r="72" spans="1:156" ht="21" customHeight="1">
      <c r="A72" s="1652">
        <v>29</v>
      </c>
      <c r="B72" s="1668" t="s">
        <v>1705</v>
      </c>
      <c r="C72" s="1645">
        <v>1000</v>
      </c>
      <c r="D72" s="1646">
        <f t="shared" si="113"/>
        <v>0.219</v>
      </c>
      <c r="E72" s="1646">
        <v>90.459400000000002</v>
      </c>
      <c r="F72" s="1670">
        <v>6.25</v>
      </c>
      <c r="G72" s="1640"/>
      <c r="H72" s="1669">
        <v>2.19</v>
      </c>
      <c r="I72" s="1648" t="s">
        <v>1649</v>
      </c>
      <c r="J72" s="1649">
        <v>1</v>
      </c>
      <c r="K72" s="1648"/>
      <c r="L72" s="1640"/>
      <c r="M72" s="1640"/>
      <c r="N72" s="1642"/>
      <c r="O72" s="2000" t="e">
        <f>#REF!</f>
        <v>#REF!</v>
      </c>
      <c r="P72" s="2003">
        <f t="shared" si="9"/>
        <v>0</v>
      </c>
      <c r="Q72" s="1989" t="e">
        <f>#REF!/10^7</f>
        <v>#REF!</v>
      </c>
      <c r="R72" s="2003">
        <f t="shared" si="10"/>
        <v>0</v>
      </c>
      <c r="S72" s="1989" t="e">
        <f>#REF!/10^7</f>
        <v>#REF!</v>
      </c>
      <c r="T72" s="2003">
        <f t="shared" si="11"/>
        <v>0</v>
      </c>
      <c r="U72" s="1989" t="e">
        <f>#REF!/10^7</f>
        <v>#REF!</v>
      </c>
      <c r="V72" s="1989" t="e">
        <f>#REF!/10^7</f>
        <v>#REF!</v>
      </c>
      <c r="W72" s="1989">
        <f t="shared" si="12"/>
        <v>0</v>
      </c>
      <c r="X72" s="1999" t="e">
        <f t="shared" si="114"/>
        <v>#REF!</v>
      </c>
      <c r="Y72" s="1993" t="e">
        <f>#REF!</f>
        <v>#REF!</v>
      </c>
      <c r="Z72" s="2003">
        <f t="shared" si="14"/>
        <v>0</v>
      </c>
      <c r="AA72" s="1989" t="e">
        <f>#REF!/10^7</f>
        <v>#REF!</v>
      </c>
      <c r="AB72" s="2003">
        <f t="shared" si="15"/>
        <v>0</v>
      </c>
      <c r="AC72" s="1989" t="e">
        <f>#REF!/10^7</f>
        <v>#REF!</v>
      </c>
      <c r="AD72" s="2003">
        <f t="shared" si="16"/>
        <v>0</v>
      </c>
      <c r="AE72" s="1989" t="e">
        <f>#REF!/10^7</f>
        <v>#REF!</v>
      </c>
      <c r="AF72" s="1989" t="e">
        <f>#REF!/10^7</f>
        <v>#REF!</v>
      </c>
      <c r="AG72" s="2002" t="e">
        <f t="shared" si="17"/>
        <v>#REF!</v>
      </c>
      <c r="AH72" s="1999" t="e">
        <f t="shared" si="106"/>
        <v>#REF!</v>
      </c>
      <c r="AI72" s="1993" t="e">
        <f>#REF!</f>
        <v>#REF!</v>
      </c>
      <c r="AJ72" s="2003">
        <f t="shared" si="2"/>
        <v>0</v>
      </c>
      <c r="AK72" s="1989" t="e">
        <f>#REF!/10^7</f>
        <v>#REF!</v>
      </c>
      <c r="AL72" s="2003">
        <f t="shared" si="2"/>
        <v>0</v>
      </c>
      <c r="AM72" s="1989" t="e">
        <f>#REF!/10^7</f>
        <v>#REF!</v>
      </c>
      <c r="AN72" s="2003">
        <f t="shared" si="2"/>
        <v>0</v>
      </c>
      <c r="AO72" s="1989" t="e">
        <f>#REF!/10^7</f>
        <v>#REF!</v>
      </c>
      <c r="AP72" s="1989" t="e">
        <f>#REF!/10^7</f>
        <v>#REF!</v>
      </c>
      <c r="AQ72" s="2002" t="e">
        <f t="shared" si="19"/>
        <v>#REF!</v>
      </c>
      <c r="AR72" s="1999" t="e">
        <f t="shared" si="107"/>
        <v>#REF!</v>
      </c>
      <c r="AS72" s="1993" t="e">
        <f>#REF!</f>
        <v>#REF!</v>
      </c>
      <c r="AT72" s="2003">
        <f t="shared" si="20"/>
        <v>0</v>
      </c>
      <c r="AU72" s="1989" t="e">
        <f>#REF!/10^7</f>
        <v>#REF!</v>
      </c>
      <c r="AV72" s="2003">
        <f t="shared" si="21"/>
        <v>0</v>
      </c>
      <c r="AW72" s="1989" t="e">
        <f>#REF!/10^7</f>
        <v>#REF!</v>
      </c>
      <c r="AX72" s="2003">
        <f t="shared" si="22"/>
        <v>0</v>
      </c>
      <c r="AY72" s="1989" t="e">
        <f>#REF!/10^7</f>
        <v>#REF!</v>
      </c>
      <c r="AZ72" s="1989" t="e">
        <f>#REF!/10^7</f>
        <v>#REF!</v>
      </c>
      <c r="BA72" s="2002" t="e">
        <f t="shared" si="23"/>
        <v>#REF!</v>
      </c>
      <c r="BB72" s="1999" t="e">
        <f t="shared" si="108"/>
        <v>#REF!</v>
      </c>
      <c r="BC72" s="1993" t="e">
        <f>#REF!</f>
        <v>#REF!</v>
      </c>
      <c r="BD72" s="2003">
        <f t="shared" si="24"/>
        <v>0</v>
      </c>
      <c r="BE72" s="1989" t="e">
        <f>#REF!/10^7</f>
        <v>#REF!</v>
      </c>
      <c r="BF72" s="2003">
        <f t="shared" si="25"/>
        <v>0</v>
      </c>
      <c r="BG72" s="1989" t="e">
        <f>#REF!/10^7</f>
        <v>#REF!</v>
      </c>
      <c r="BH72" s="2003">
        <f t="shared" si="26"/>
        <v>0</v>
      </c>
      <c r="BI72" s="1989" t="e">
        <f>#REF!/10^7</f>
        <v>#REF!</v>
      </c>
      <c r="BJ72" s="1989" t="e">
        <f>#REF!/10^7</f>
        <v>#REF!</v>
      </c>
      <c r="BK72" s="2002" t="e">
        <f t="shared" si="27"/>
        <v>#REF!</v>
      </c>
      <c r="BL72" s="1999" t="e">
        <f t="shared" si="109"/>
        <v>#REF!</v>
      </c>
      <c r="BM72" s="1993" t="e">
        <f>#REF!</f>
        <v>#REF!</v>
      </c>
      <c r="BN72" s="2003">
        <f t="shared" si="29"/>
        <v>0</v>
      </c>
      <c r="BO72" s="1989" t="e">
        <f>#REF!/10^7</f>
        <v>#REF!</v>
      </c>
      <c r="BP72" s="2003">
        <f t="shared" si="30"/>
        <v>0</v>
      </c>
      <c r="BQ72" s="1989" t="e">
        <f>#REF!/10^7</f>
        <v>#REF!</v>
      </c>
      <c r="BR72" s="2003">
        <f t="shared" si="31"/>
        <v>0</v>
      </c>
      <c r="BS72" s="1989" t="e">
        <f>#REF!/10^7</f>
        <v>#REF!</v>
      </c>
      <c r="BT72" s="1989" t="e">
        <f>#REF!/10^7</f>
        <v>#REF!</v>
      </c>
      <c r="BU72" s="2002" t="e">
        <f t="shared" si="32"/>
        <v>#REF!</v>
      </c>
      <c r="BV72" s="1999" t="e">
        <f t="shared" si="110"/>
        <v>#REF!</v>
      </c>
      <c r="BW72" s="1993" t="e">
        <f>#REF!</f>
        <v>#REF!</v>
      </c>
      <c r="BX72" s="2003">
        <f t="shared" si="34"/>
        <v>0</v>
      </c>
      <c r="BY72" s="1989" t="e">
        <f>#REF!/10^7</f>
        <v>#REF!</v>
      </c>
      <c r="BZ72" s="2003">
        <f t="shared" si="35"/>
        <v>0</v>
      </c>
      <c r="CA72" s="1989" t="e">
        <f>#REF!/10^7</f>
        <v>#REF!</v>
      </c>
      <c r="CB72" s="2003">
        <f t="shared" si="36"/>
        <v>0</v>
      </c>
      <c r="CC72" s="1989" t="e">
        <f>#REF!/10^7</f>
        <v>#REF!</v>
      </c>
      <c r="CD72" s="1989" t="e">
        <f>#REF!/10^7</f>
        <v>#REF!</v>
      </c>
      <c r="CE72" s="2002" t="e">
        <f t="shared" si="37"/>
        <v>#REF!</v>
      </c>
      <c r="CF72" s="1999" t="e">
        <f t="shared" si="111"/>
        <v>#REF!</v>
      </c>
      <c r="CG72" s="1993" t="e">
        <f>#REF!</f>
        <v>#REF!</v>
      </c>
      <c r="CH72" s="2003">
        <f t="shared" si="39"/>
        <v>0</v>
      </c>
      <c r="CI72" s="1989" t="e">
        <f>#REF!/10^7</f>
        <v>#REF!</v>
      </c>
      <c r="CJ72" s="2003">
        <f t="shared" si="40"/>
        <v>0</v>
      </c>
      <c r="CK72" s="1989" t="e">
        <f>#REF!/10^7</f>
        <v>#REF!</v>
      </c>
      <c r="CL72" s="2003">
        <f t="shared" si="41"/>
        <v>0</v>
      </c>
      <c r="CM72" s="1989" t="e">
        <f>#REF!/10^7</f>
        <v>#REF!</v>
      </c>
      <c r="CN72" s="1989" t="e">
        <f>#REF!/10^7</f>
        <v>#REF!</v>
      </c>
      <c r="CO72" s="2002" t="e">
        <f t="shared" si="42"/>
        <v>#REF!</v>
      </c>
      <c r="CP72" s="1999" t="e">
        <f t="shared" si="112"/>
        <v>#REF!</v>
      </c>
      <c r="CQ72" s="1993" t="e">
        <f>#REF!</f>
        <v>#REF!</v>
      </c>
      <c r="CR72" s="2003">
        <f t="shared" si="44"/>
        <v>0</v>
      </c>
      <c r="CS72" s="1989" t="e">
        <f>#REF!/10^7</f>
        <v>#REF!</v>
      </c>
      <c r="CT72" s="2003">
        <f t="shared" si="45"/>
        <v>0</v>
      </c>
      <c r="CU72" s="1989" t="e">
        <f>#REF!/10^7</f>
        <v>#REF!</v>
      </c>
      <c r="CV72" s="2003">
        <f t="shared" si="46"/>
        <v>0</v>
      </c>
      <c r="CW72" s="1989" t="e">
        <f>#REF!/10^7</f>
        <v>#REF!</v>
      </c>
      <c r="CX72" s="1989" t="e">
        <f>#REF!/10^7</f>
        <v>#REF!</v>
      </c>
      <c r="CY72" s="2002" t="e">
        <f t="shared" si="47"/>
        <v>#REF!</v>
      </c>
      <c r="CZ72" s="1999" t="e">
        <f t="shared" si="115"/>
        <v>#REF!</v>
      </c>
      <c r="DA72" s="1993" t="e">
        <f>#REF!</f>
        <v>#REF!</v>
      </c>
      <c r="DB72" s="2003">
        <f t="shared" si="49"/>
        <v>0</v>
      </c>
      <c r="DC72" s="1989" t="e">
        <f>#REF!/10^7</f>
        <v>#REF!</v>
      </c>
      <c r="DD72" s="2003">
        <f t="shared" si="50"/>
        <v>0</v>
      </c>
      <c r="DE72" s="1989" t="e">
        <f>#REF!/10^7</f>
        <v>#REF!</v>
      </c>
      <c r="DF72" s="2003">
        <f t="shared" si="51"/>
        <v>0</v>
      </c>
      <c r="DG72" s="1989" t="e">
        <f>#REF!/10^7</f>
        <v>#REF!</v>
      </c>
      <c r="DH72" s="1989" t="e">
        <f>#REF!/10^7</f>
        <v>#REF!</v>
      </c>
      <c r="DI72" s="2002" t="e">
        <f t="shared" si="52"/>
        <v>#REF!</v>
      </c>
      <c r="DJ72" s="1999" t="e">
        <f t="shared" si="116"/>
        <v>#REF!</v>
      </c>
      <c r="DK72" s="1993" t="e">
        <f>#REF!</f>
        <v>#REF!</v>
      </c>
      <c r="DL72" s="2003">
        <f t="shared" si="54"/>
        <v>0</v>
      </c>
      <c r="DM72" s="1989" t="e">
        <f>#REF!/10^7</f>
        <v>#REF!</v>
      </c>
      <c r="DN72" s="2003">
        <f t="shared" si="55"/>
        <v>0</v>
      </c>
      <c r="DO72" s="1989" t="e">
        <f>#REF!/10^7</f>
        <v>#REF!</v>
      </c>
      <c r="DP72" s="2003">
        <f t="shared" si="56"/>
        <v>0</v>
      </c>
      <c r="DQ72" s="1989" t="e">
        <f>#REF!/10^7</f>
        <v>#REF!</v>
      </c>
      <c r="DR72" s="1989" t="e">
        <f>#REF!/10^7</f>
        <v>#REF!</v>
      </c>
      <c r="DS72" s="2002" t="e">
        <f t="shared" si="57"/>
        <v>#REF!</v>
      </c>
      <c r="DT72" s="2004" t="e">
        <f t="shared" si="117"/>
        <v>#REF!</v>
      </c>
      <c r="DU72" s="1988" t="e">
        <f>#REF!</f>
        <v>#REF!</v>
      </c>
      <c r="DV72" s="2003">
        <f t="shared" si="59"/>
        <v>0</v>
      </c>
      <c r="DW72" s="1989" t="e">
        <f>#REF!/10^7</f>
        <v>#REF!</v>
      </c>
      <c r="DX72" s="2003">
        <f t="shared" si="60"/>
        <v>0</v>
      </c>
      <c r="DY72" s="1989" t="e">
        <f>#REF!/10^7</f>
        <v>#REF!</v>
      </c>
      <c r="DZ72" s="2003">
        <f t="shared" si="61"/>
        <v>0</v>
      </c>
      <c r="EA72" s="1989" t="e">
        <f>#REF!/10^7</f>
        <v>#REF!</v>
      </c>
      <c r="EB72" s="1989" t="e">
        <f>#REF!/10^7</f>
        <v>#REF!</v>
      </c>
      <c r="EC72" s="2002" t="e">
        <f t="shared" si="62"/>
        <v>#REF!</v>
      </c>
      <c r="ED72" s="1998" t="e">
        <f t="shared" si="118"/>
        <v>#REF!</v>
      </c>
      <c r="EE72" s="2005" t="e">
        <f t="shared" si="122"/>
        <v>#REF!</v>
      </c>
      <c r="EF72" s="2003">
        <f t="shared" si="64"/>
        <v>0</v>
      </c>
      <c r="EG72" s="1989" t="e">
        <f t="shared" si="119"/>
        <v>#REF!</v>
      </c>
      <c r="EH72" s="2003">
        <f t="shared" si="65"/>
        <v>0</v>
      </c>
      <c r="EI72" s="1989" t="e">
        <f t="shared" si="120"/>
        <v>#REF!</v>
      </c>
      <c r="EJ72" s="2003">
        <f t="shared" si="66"/>
        <v>0</v>
      </c>
      <c r="EK72" s="1989" t="e">
        <f t="shared" si="121"/>
        <v>#REF!</v>
      </c>
      <c r="EL72" s="1989" t="e">
        <f t="shared" si="121"/>
        <v>#REF!</v>
      </c>
      <c r="EM72" s="2006" t="e">
        <f t="shared" si="67"/>
        <v>#REF!</v>
      </c>
      <c r="EN72" s="1999" t="e">
        <f t="shared" si="123"/>
        <v>#REF!</v>
      </c>
      <c r="EP72" s="1613" t="e">
        <f>EA72-#REF!/10^7</f>
        <v>#REF!</v>
      </c>
      <c r="EW72" s="1611" t="e">
        <v>#N/A</v>
      </c>
      <c r="EX72" s="1612" t="s">
        <v>1649</v>
      </c>
      <c r="EZ72" s="1650">
        <f t="shared" si="69"/>
        <v>0</v>
      </c>
    </row>
    <row r="73" spans="1:156" ht="21" customHeight="1">
      <c r="A73" s="1652">
        <v>30</v>
      </c>
      <c r="B73" s="1668" t="s">
        <v>1706</v>
      </c>
      <c r="C73" s="1645">
        <v>1000</v>
      </c>
      <c r="D73" s="1646">
        <f t="shared" si="113"/>
        <v>0.311</v>
      </c>
      <c r="E73" s="1646">
        <v>92.121799999999993</v>
      </c>
      <c r="F73" s="1670">
        <v>6.25</v>
      </c>
      <c r="G73" s="1640"/>
      <c r="H73" s="1669">
        <v>3.11</v>
      </c>
      <c r="I73" s="1648" t="s">
        <v>1649</v>
      </c>
      <c r="J73" s="1649">
        <v>1</v>
      </c>
      <c r="K73" s="1648"/>
      <c r="L73" s="1640"/>
      <c r="M73" s="1640"/>
      <c r="N73" s="1642"/>
      <c r="O73" s="2000" t="e">
        <f>#REF!</f>
        <v>#REF!</v>
      </c>
      <c r="P73" s="2003">
        <f t="shared" si="9"/>
        <v>0</v>
      </c>
      <c r="Q73" s="1989" t="e">
        <f>#REF!/10^7</f>
        <v>#REF!</v>
      </c>
      <c r="R73" s="2003">
        <f t="shared" si="10"/>
        <v>0</v>
      </c>
      <c r="S73" s="1989" t="e">
        <f>#REF!/10^7</f>
        <v>#REF!</v>
      </c>
      <c r="T73" s="2003">
        <f t="shared" si="11"/>
        <v>0</v>
      </c>
      <c r="U73" s="1989" t="e">
        <f>#REF!/10^7</f>
        <v>#REF!</v>
      </c>
      <c r="V73" s="1989" t="e">
        <f>#REF!/10^7</f>
        <v>#REF!</v>
      </c>
      <c r="W73" s="1989">
        <f t="shared" si="12"/>
        <v>0</v>
      </c>
      <c r="X73" s="1999" t="e">
        <f t="shared" si="114"/>
        <v>#REF!</v>
      </c>
      <c r="Y73" s="1993" t="e">
        <f>#REF!</f>
        <v>#REF!</v>
      </c>
      <c r="Z73" s="2003">
        <f t="shared" si="14"/>
        <v>0</v>
      </c>
      <c r="AA73" s="1989" t="e">
        <f>#REF!/10^7</f>
        <v>#REF!</v>
      </c>
      <c r="AB73" s="2003">
        <f t="shared" si="15"/>
        <v>0</v>
      </c>
      <c r="AC73" s="1989" t="e">
        <f>#REF!/10^7</f>
        <v>#REF!</v>
      </c>
      <c r="AD73" s="2003">
        <f t="shared" si="16"/>
        <v>0</v>
      </c>
      <c r="AE73" s="1989" t="e">
        <f>#REF!/10^7</f>
        <v>#REF!</v>
      </c>
      <c r="AF73" s="1989" t="e">
        <f>#REF!/10^7</f>
        <v>#REF!</v>
      </c>
      <c r="AG73" s="2002" t="e">
        <f t="shared" si="17"/>
        <v>#REF!</v>
      </c>
      <c r="AH73" s="1999" t="e">
        <f t="shared" si="106"/>
        <v>#REF!</v>
      </c>
      <c r="AI73" s="1993" t="e">
        <f>#REF!</f>
        <v>#REF!</v>
      </c>
      <c r="AJ73" s="2003">
        <f t="shared" si="2"/>
        <v>0</v>
      </c>
      <c r="AK73" s="1989" t="e">
        <f>#REF!/10^7</f>
        <v>#REF!</v>
      </c>
      <c r="AL73" s="2003">
        <f t="shared" si="2"/>
        <v>0</v>
      </c>
      <c r="AM73" s="1989" t="e">
        <f>#REF!/10^7</f>
        <v>#REF!</v>
      </c>
      <c r="AN73" s="2003">
        <f t="shared" si="2"/>
        <v>0</v>
      </c>
      <c r="AO73" s="1989" t="e">
        <f>#REF!/10^7</f>
        <v>#REF!</v>
      </c>
      <c r="AP73" s="1989" t="e">
        <f>#REF!/10^7</f>
        <v>#REF!</v>
      </c>
      <c r="AQ73" s="2002" t="e">
        <f t="shared" si="19"/>
        <v>#REF!</v>
      </c>
      <c r="AR73" s="1999" t="e">
        <f t="shared" si="107"/>
        <v>#REF!</v>
      </c>
      <c r="AS73" s="1993" t="e">
        <f>#REF!</f>
        <v>#REF!</v>
      </c>
      <c r="AT73" s="2003">
        <f t="shared" si="20"/>
        <v>0</v>
      </c>
      <c r="AU73" s="1989" t="e">
        <f>#REF!/10^7</f>
        <v>#REF!</v>
      </c>
      <c r="AV73" s="2003">
        <f t="shared" si="21"/>
        <v>0</v>
      </c>
      <c r="AW73" s="1989" t="e">
        <f>#REF!/10^7</f>
        <v>#REF!</v>
      </c>
      <c r="AX73" s="2003">
        <f t="shared" si="22"/>
        <v>0</v>
      </c>
      <c r="AY73" s="1989" t="e">
        <f>#REF!/10^7</f>
        <v>#REF!</v>
      </c>
      <c r="AZ73" s="1989" t="e">
        <f>#REF!/10^7</f>
        <v>#REF!</v>
      </c>
      <c r="BA73" s="2002" t="e">
        <f t="shared" si="23"/>
        <v>#REF!</v>
      </c>
      <c r="BB73" s="1999" t="e">
        <f t="shared" si="108"/>
        <v>#REF!</v>
      </c>
      <c r="BC73" s="1993" t="e">
        <f>#REF!</f>
        <v>#REF!</v>
      </c>
      <c r="BD73" s="2003">
        <f t="shared" si="24"/>
        <v>0</v>
      </c>
      <c r="BE73" s="1989" t="e">
        <f>#REF!/10^7</f>
        <v>#REF!</v>
      </c>
      <c r="BF73" s="2003">
        <f t="shared" si="25"/>
        <v>0</v>
      </c>
      <c r="BG73" s="1989" t="e">
        <f>#REF!/10^7</f>
        <v>#REF!</v>
      </c>
      <c r="BH73" s="2003">
        <f t="shared" si="26"/>
        <v>0</v>
      </c>
      <c r="BI73" s="1989" t="e">
        <f>#REF!/10^7</f>
        <v>#REF!</v>
      </c>
      <c r="BJ73" s="1989" t="e">
        <f>#REF!/10^7</f>
        <v>#REF!</v>
      </c>
      <c r="BK73" s="2002" t="e">
        <f t="shared" si="27"/>
        <v>#REF!</v>
      </c>
      <c r="BL73" s="1999" t="e">
        <f t="shared" si="109"/>
        <v>#REF!</v>
      </c>
      <c r="BM73" s="1993" t="e">
        <f>#REF!</f>
        <v>#REF!</v>
      </c>
      <c r="BN73" s="2003">
        <f t="shared" si="29"/>
        <v>0</v>
      </c>
      <c r="BO73" s="1989" t="e">
        <f>#REF!/10^7</f>
        <v>#REF!</v>
      </c>
      <c r="BP73" s="2003">
        <f t="shared" si="30"/>
        <v>0</v>
      </c>
      <c r="BQ73" s="1989" t="e">
        <f>#REF!/10^7</f>
        <v>#REF!</v>
      </c>
      <c r="BR73" s="2003">
        <f t="shared" si="31"/>
        <v>0</v>
      </c>
      <c r="BS73" s="1989" t="e">
        <f>#REF!/10^7</f>
        <v>#REF!</v>
      </c>
      <c r="BT73" s="1989" t="e">
        <f>#REF!/10^7</f>
        <v>#REF!</v>
      </c>
      <c r="BU73" s="2002" t="e">
        <f t="shared" si="32"/>
        <v>#REF!</v>
      </c>
      <c r="BV73" s="1999" t="e">
        <f t="shared" si="110"/>
        <v>#REF!</v>
      </c>
      <c r="BW73" s="1993" t="e">
        <f>#REF!</f>
        <v>#REF!</v>
      </c>
      <c r="BX73" s="2003">
        <f t="shared" si="34"/>
        <v>0</v>
      </c>
      <c r="BY73" s="1989" t="e">
        <f>#REF!/10^7</f>
        <v>#REF!</v>
      </c>
      <c r="BZ73" s="2003">
        <f t="shared" si="35"/>
        <v>0</v>
      </c>
      <c r="CA73" s="1989" t="e">
        <f>#REF!/10^7</f>
        <v>#REF!</v>
      </c>
      <c r="CB73" s="2003">
        <f t="shared" si="36"/>
        <v>0</v>
      </c>
      <c r="CC73" s="1989" t="e">
        <f>#REF!/10^7</f>
        <v>#REF!</v>
      </c>
      <c r="CD73" s="1989" t="e">
        <f>#REF!/10^7</f>
        <v>#REF!</v>
      </c>
      <c r="CE73" s="2002" t="e">
        <f t="shared" si="37"/>
        <v>#REF!</v>
      </c>
      <c r="CF73" s="1999" t="e">
        <f t="shared" si="111"/>
        <v>#REF!</v>
      </c>
      <c r="CG73" s="1993" t="e">
        <f>#REF!</f>
        <v>#REF!</v>
      </c>
      <c r="CH73" s="2003">
        <f t="shared" si="39"/>
        <v>0</v>
      </c>
      <c r="CI73" s="1989" t="e">
        <f>#REF!/10^7</f>
        <v>#REF!</v>
      </c>
      <c r="CJ73" s="2003">
        <f t="shared" si="40"/>
        <v>0</v>
      </c>
      <c r="CK73" s="1989" t="e">
        <f>#REF!/10^7</f>
        <v>#REF!</v>
      </c>
      <c r="CL73" s="2003">
        <f t="shared" si="41"/>
        <v>0</v>
      </c>
      <c r="CM73" s="1989" t="e">
        <f>#REF!/10^7</f>
        <v>#REF!</v>
      </c>
      <c r="CN73" s="1989" t="e">
        <f>#REF!/10^7</f>
        <v>#REF!</v>
      </c>
      <c r="CO73" s="2002" t="e">
        <f t="shared" si="42"/>
        <v>#REF!</v>
      </c>
      <c r="CP73" s="1999" t="e">
        <f t="shared" si="112"/>
        <v>#REF!</v>
      </c>
      <c r="CQ73" s="1993" t="e">
        <f>#REF!</f>
        <v>#REF!</v>
      </c>
      <c r="CR73" s="2003">
        <f t="shared" si="44"/>
        <v>0</v>
      </c>
      <c r="CS73" s="1989" t="e">
        <f>#REF!/10^7</f>
        <v>#REF!</v>
      </c>
      <c r="CT73" s="2003">
        <f t="shared" si="45"/>
        <v>0</v>
      </c>
      <c r="CU73" s="1989" t="e">
        <f>#REF!/10^7</f>
        <v>#REF!</v>
      </c>
      <c r="CV73" s="2003">
        <f t="shared" si="46"/>
        <v>0</v>
      </c>
      <c r="CW73" s="1989" t="e">
        <f>#REF!/10^7</f>
        <v>#REF!</v>
      </c>
      <c r="CX73" s="1989" t="e">
        <f>#REF!/10^7</f>
        <v>#REF!</v>
      </c>
      <c r="CY73" s="2002" t="e">
        <f t="shared" si="47"/>
        <v>#REF!</v>
      </c>
      <c r="CZ73" s="1999" t="e">
        <f t="shared" si="115"/>
        <v>#REF!</v>
      </c>
      <c r="DA73" s="1993" t="e">
        <f>#REF!</f>
        <v>#REF!</v>
      </c>
      <c r="DB73" s="2003">
        <f t="shared" si="49"/>
        <v>0</v>
      </c>
      <c r="DC73" s="1989" t="e">
        <f>#REF!/10^7</f>
        <v>#REF!</v>
      </c>
      <c r="DD73" s="2003">
        <f t="shared" si="50"/>
        <v>0</v>
      </c>
      <c r="DE73" s="1989" t="e">
        <f>#REF!/10^7</f>
        <v>#REF!</v>
      </c>
      <c r="DF73" s="2003">
        <f t="shared" si="51"/>
        <v>0</v>
      </c>
      <c r="DG73" s="1989" t="e">
        <f>#REF!/10^7</f>
        <v>#REF!</v>
      </c>
      <c r="DH73" s="1989" t="e">
        <f>#REF!/10^7</f>
        <v>#REF!</v>
      </c>
      <c r="DI73" s="2002" t="e">
        <f t="shared" si="52"/>
        <v>#REF!</v>
      </c>
      <c r="DJ73" s="1999" t="e">
        <f t="shared" si="116"/>
        <v>#REF!</v>
      </c>
      <c r="DK73" s="1993" t="e">
        <f>#REF!</f>
        <v>#REF!</v>
      </c>
      <c r="DL73" s="2003">
        <f t="shared" si="54"/>
        <v>0</v>
      </c>
      <c r="DM73" s="1989" t="e">
        <f>#REF!/10^7</f>
        <v>#REF!</v>
      </c>
      <c r="DN73" s="2003">
        <f t="shared" si="55"/>
        <v>0</v>
      </c>
      <c r="DO73" s="1989" t="e">
        <f>#REF!/10^7</f>
        <v>#REF!</v>
      </c>
      <c r="DP73" s="2003">
        <f t="shared" si="56"/>
        <v>0</v>
      </c>
      <c r="DQ73" s="1989" t="e">
        <f>#REF!/10^7</f>
        <v>#REF!</v>
      </c>
      <c r="DR73" s="1989" t="e">
        <f>#REF!/10^7</f>
        <v>#REF!</v>
      </c>
      <c r="DS73" s="2002" t="e">
        <f t="shared" si="57"/>
        <v>#REF!</v>
      </c>
      <c r="DT73" s="2004" t="e">
        <f t="shared" si="117"/>
        <v>#REF!</v>
      </c>
      <c r="DU73" s="1988" t="e">
        <f>#REF!</f>
        <v>#REF!</v>
      </c>
      <c r="DV73" s="2003">
        <f t="shared" si="59"/>
        <v>0</v>
      </c>
      <c r="DW73" s="1989" t="e">
        <f>#REF!/10^7</f>
        <v>#REF!</v>
      </c>
      <c r="DX73" s="2003">
        <f t="shared" si="60"/>
        <v>0</v>
      </c>
      <c r="DY73" s="1989" t="e">
        <f>#REF!/10^7</f>
        <v>#REF!</v>
      </c>
      <c r="DZ73" s="2003">
        <f t="shared" si="61"/>
        <v>0</v>
      </c>
      <c r="EA73" s="1989" t="e">
        <f>#REF!/10^7</f>
        <v>#REF!</v>
      </c>
      <c r="EB73" s="1989" t="e">
        <f>#REF!/10^7</f>
        <v>#REF!</v>
      </c>
      <c r="EC73" s="2002" t="e">
        <f t="shared" si="62"/>
        <v>#REF!</v>
      </c>
      <c r="ED73" s="1998" t="e">
        <f t="shared" si="118"/>
        <v>#REF!</v>
      </c>
      <c r="EE73" s="2005" t="e">
        <f t="shared" si="122"/>
        <v>#REF!</v>
      </c>
      <c r="EF73" s="2003">
        <f t="shared" si="64"/>
        <v>0</v>
      </c>
      <c r="EG73" s="1989" t="e">
        <f t="shared" si="119"/>
        <v>#REF!</v>
      </c>
      <c r="EH73" s="2003">
        <f t="shared" si="65"/>
        <v>0</v>
      </c>
      <c r="EI73" s="1989" t="e">
        <f t="shared" si="120"/>
        <v>#REF!</v>
      </c>
      <c r="EJ73" s="2003">
        <f t="shared" si="66"/>
        <v>0</v>
      </c>
      <c r="EK73" s="1989" t="e">
        <f t="shared" si="121"/>
        <v>#REF!</v>
      </c>
      <c r="EL73" s="1989" t="e">
        <f t="shared" si="121"/>
        <v>#REF!</v>
      </c>
      <c r="EM73" s="2006" t="e">
        <f t="shared" si="67"/>
        <v>#REF!</v>
      </c>
      <c r="EN73" s="1999" t="e">
        <f t="shared" si="123"/>
        <v>#REF!</v>
      </c>
      <c r="EP73" s="1613" t="e">
        <f>EA73-#REF!/10^7</f>
        <v>#REF!</v>
      </c>
      <c r="EW73" s="1611" t="e">
        <v>#N/A</v>
      </c>
      <c r="EX73" s="1612" t="s">
        <v>1649</v>
      </c>
      <c r="EZ73" s="1650">
        <f t="shared" si="69"/>
        <v>0</v>
      </c>
    </row>
    <row r="74" spans="1:156" ht="21" customHeight="1">
      <c r="A74" s="1652">
        <v>31</v>
      </c>
      <c r="B74" s="1668" t="s">
        <v>1707</v>
      </c>
      <c r="C74" s="1645">
        <v>500</v>
      </c>
      <c r="D74" s="1646">
        <f t="shared" si="113"/>
        <v>0.312</v>
      </c>
      <c r="E74" s="1646">
        <v>98.541300000000007</v>
      </c>
      <c r="F74" s="1670">
        <v>7.25</v>
      </c>
      <c r="G74" s="1640"/>
      <c r="H74" s="1669">
        <v>1.56</v>
      </c>
      <c r="I74" s="1648" t="s">
        <v>1649</v>
      </c>
      <c r="J74" s="1649">
        <v>1</v>
      </c>
      <c r="K74" s="1648"/>
      <c r="L74" s="1640"/>
      <c r="M74" s="1640"/>
      <c r="N74" s="1642"/>
      <c r="O74" s="2000" t="e">
        <f>#REF!</f>
        <v>#REF!</v>
      </c>
      <c r="P74" s="2003">
        <f t="shared" si="9"/>
        <v>0</v>
      </c>
      <c r="Q74" s="1989" t="e">
        <f>#REF!/10^7</f>
        <v>#REF!</v>
      </c>
      <c r="R74" s="2003">
        <f t="shared" si="10"/>
        <v>0</v>
      </c>
      <c r="S74" s="1989" t="e">
        <f>#REF!/10^7</f>
        <v>#REF!</v>
      </c>
      <c r="T74" s="2003">
        <f t="shared" si="11"/>
        <v>0</v>
      </c>
      <c r="U74" s="1989" t="e">
        <f>#REF!/10^7</f>
        <v>#REF!</v>
      </c>
      <c r="V74" s="1989" t="e">
        <f>#REF!/10^7</f>
        <v>#REF!</v>
      </c>
      <c r="W74" s="1989">
        <f t="shared" si="12"/>
        <v>0</v>
      </c>
      <c r="X74" s="1999" t="e">
        <f t="shared" si="114"/>
        <v>#REF!</v>
      </c>
      <c r="Y74" s="1993" t="e">
        <f>#REF!</f>
        <v>#REF!</v>
      </c>
      <c r="Z74" s="2003">
        <f t="shared" si="14"/>
        <v>0</v>
      </c>
      <c r="AA74" s="1989" t="e">
        <f>#REF!/10^7</f>
        <v>#REF!</v>
      </c>
      <c r="AB74" s="2003">
        <f t="shared" si="15"/>
        <v>0</v>
      </c>
      <c r="AC74" s="1989" t="e">
        <f>#REF!/10^7</f>
        <v>#REF!</v>
      </c>
      <c r="AD74" s="2003">
        <f t="shared" si="16"/>
        <v>0</v>
      </c>
      <c r="AE74" s="1989" t="e">
        <f>#REF!/10^7</f>
        <v>#REF!</v>
      </c>
      <c r="AF74" s="1989" t="e">
        <f>#REF!/10^7</f>
        <v>#REF!</v>
      </c>
      <c r="AG74" s="2002" t="e">
        <f t="shared" si="17"/>
        <v>#REF!</v>
      </c>
      <c r="AH74" s="1999" t="e">
        <f t="shared" si="106"/>
        <v>#REF!</v>
      </c>
      <c r="AI74" s="1993" t="e">
        <f>#REF!</f>
        <v>#REF!</v>
      </c>
      <c r="AJ74" s="2003">
        <f t="shared" si="2"/>
        <v>0</v>
      </c>
      <c r="AK74" s="1989" t="e">
        <f>#REF!/10^7</f>
        <v>#REF!</v>
      </c>
      <c r="AL74" s="2003">
        <f t="shared" si="2"/>
        <v>0</v>
      </c>
      <c r="AM74" s="1989" t="e">
        <f>#REF!/10^7</f>
        <v>#REF!</v>
      </c>
      <c r="AN74" s="2003">
        <f t="shared" si="2"/>
        <v>0</v>
      </c>
      <c r="AO74" s="1989" t="e">
        <f>#REF!/10^7</f>
        <v>#REF!</v>
      </c>
      <c r="AP74" s="1989" t="e">
        <f>#REF!/10^7</f>
        <v>#REF!</v>
      </c>
      <c r="AQ74" s="2002" t="e">
        <f t="shared" si="19"/>
        <v>#REF!</v>
      </c>
      <c r="AR74" s="1999" t="e">
        <f t="shared" si="107"/>
        <v>#REF!</v>
      </c>
      <c r="AS74" s="1993" t="e">
        <f>#REF!</f>
        <v>#REF!</v>
      </c>
      <c r="AT74" s="2003">
        <f t="shared" si="20"/>
        <v>0</v>
      </c>
      <c r="AU74" s="1989" t="e">
        <f>#REF!/10^7</f>
        <v>#REF!</v>
      </c>
      <c r="AV74" s="2003">
        <f t="shared" si="21"/>
        <v>0</v>
      </c>
      <c r="AW74" s="1989" t="e">
        <f>#REF!/10^7</f>
        <v>#REF!</v>
      </c>
      <c r="AX74" s="2003">
        <f t="shared" si="22"/>
        <v>0</v>
      </c>
      <c r="AY74" s="1989" t="e">
        <f>#REF!/10^7</f>
        <v>#REF!</v>
      </c>
      <c r="AZ74" s="1989" t="e">
        <f>#REF!/10^7</f>
        <v>#REF!</v>
      </c>
      <c r="BA74" s="2002" t="e">
        <f t="shared" si="23"/>
        <v>#REF!</v>
      </c>
      <c r="BB74" s="1999" t="e">
        <f t="shared" si="108"/>
        <v>#REF!</v>
      </c>
      <c r="BC74" s="1993" t="e">
        <f>#REF!</f>
        <v>#REF!</v>
      </c>
      <c r="BD74" s="2003">
        <f t="shared" si="24"/>
        <v>0</v>
      </c>
      <c r="BE74" s="1989" t="e">
        <f>#REF!/10^7</f>
        <v>#REF!</v>
      </c>
      <c r="BF74" s="2003">
        <f t="shared" si="25"/>
        <v>0</v>
      </c>
      <c r="BG74" s="1989" t="e">
        <f>#REF!/10^7</f>
        <v>#REF!</v>
      </c>
      <c r="BH74" s="2003">
        <f t="shared" si="26"/>
        <v>0</v>
      </c>
      <c r="BI74" s="1989" t="e">
        <f>#REF!/10^7</f>
        <v>#REF!</v>
      </c>
      <c r="BJ74" s="1989" t="e">
        <f>#REF!/10^7</f>
        <v>#REF!</v>
      </c>
      <c r="BK74" s="2002" t="e">
        <f t="shared" si="27"/>
        <v>#REF!</v>
      </c>
      <c r="BL74" s="1999" t="e">
        <f t="shared" si="109"/>
        <v>#REF!</v>
      </c>
      <c r="BM74" s="1993" t="e">
        <f>#REF!</f>
        <v>#REF!</v>
      </c>
      <c r="BN74" s="2003">
        <f t="shared" si="29"/>
        <v>0</v>
      </c>
      <c r="BO74" s="1989" t="e">
        <f>#REF!/10^7</f>
        <v>#REF!</v>
      </c>
      <c r="BP74" s="2003">
        <f t="shared" si="30"/>
        <v>0</v>
      </c>
      <c r="BQ74" s="1989" t="e">
        <f>#REF!/10^7</f>
        <v>#REF!</v>
      </c>
      <c r="BR74" s="2003">
        <f t="shared" si="31"/>
        <v>0</v>
      </c>
      <c r="BS74" s="1989" t="e">
        <f>#REF!/10^7</f>
        <v>#REF!</v>
      </c>
      <c r="BT74" s="1989" t="e">
        <f>#REF!/10^7</f>
        <v>#REF!</v>
      </c>
      <c r="BU74" s="2002" t="e">
        <f t="shared" si="32"/>
        <v>#REF!</v>
      </c>
      <c r="BV74" s="1999" t="e">
        <f t="shared" si="110"/>
        <v>#REF!</v>
      </c>
      <c r="BW74" s="1993" t="e">
        <f>#REF!</f>
        <v>#REF!</v>
      </c>
      <c r="BX74" s="2003">
        <f t="shared" si="34"/>
        <v>0</v>
      </c>
      <c r="BY74" s="1989" t="e">
        <f>#REF!/10^7</f>
        <v>#REF!</v>
      </c>
      <c r="BZ74" s="2003">
        <f t="shared" si="35"/>
        <v>0</v>
      </c>
      <c r="CA74" s="1989" t="e">
        <f>#REF!/10^7</f>
        <v>#REF!</v>
      </c>
      <c r="CB74" s="2003">
        <f t="shared" si="36"/>
        <v>0</v>
      </c>
      <c r="CC74" s="1989" t="e">
        <f>#REF!/10^7</f>
        <v>#REF!</v>
      </c>
      <c r="CD74" s="1989" t="e">
        <f>#REF!/10^7</f>
        <v>#REF!</v>
      </c>
      <c r="CE74" s="2002" t="e">
        <f t="shared" si="37"/>
        <v>#REF!</v>
      </c>
      <c r="CF74" s="1999" t="e">
        <f t="shared" si="111"/>
        <v>#REF!</v>
      </c>
      <c r="CG74" s="1993" t="e">
        <f>#REF!</f>
        <v>#REF!</v>
      </c>
      <c r="CH74" s="2003">
        <f t="shared" si="39"/>
        <v>0</v>
      </c>
      <c r="CI74" s="1989" t="e">
        <f>#REF!/10^7</f>
        <v>#REF!</v>
      </c>
      <c r="CJ74" s="2003">
        <f t="shared" si="40"/>
        <v>0</v>
      </c>
      <c r="CK74" s="1989" t="e">
        <f>#REF!/10^7</f>
        <v>#REF!</v>
      </c>
      <c r="CL74" s="2003">
        <f t="shared" si="41"/>
        <v>0</v>
      </c>
      <c r="CM74" s="1989" t="e">
        <f>#REF!/10^7</f>
        <v>#REF!</v>
      </c>
      <c r="CN74" s="1989" t="e">
        <f>#REF!/10^7</f>
        <v>#REF!</v>
      </c>
      <c r="CO74" s="2002" t="e">
        <f t="shared" si="42"/>
        <v>#REF!</v>
      </c>
      <c r="CP74" s="1999" t="e">
        <f t="shared" si="112"/>
        <v>#REF!</v>
      </c>
      <c r="CQ74" s="1993" t="e">
        <f>#REF!</f>
        <v>#REF!</v>
      </c>
      <c r="CR74" s="2003">
        <f t="shared" si="44"/>
        <v>0</v>
      </c>
      <c r="CS74" s="1989" t="e">
        <f>#REF!/10^7</f>
        <v>#REF!</v>
      </c>
      <c r="CT74" s="2003">
        <f t="shared" si="45"/>
        <v>0</v>
      </c>
      <c r="CU74" s="1989" t="e">
        <f>#REF!/10^7</f>
        <v>#REF!</v>
      </c>
      <c r="CV74" s="2003">
        <f t="shared" si="46"/>
        <v>0</v>
      </c>
      <c r="CW74" s="1989" t="e">
        <f>#REF!/10^7</f>
        <v>#REF!</v>
      </c>
      <c r="CX74" s="1989" t="e">
        <f>#REF!/10^7</f>
        <v>#REF!</v>
      </c>
      <c r="CY74" s="2002" t="e">
        <f t="shared" si="47"/>
        <v>#REF!</v>
      </c>
      <c r="CZ74" s="1999" t="e">
        <f t="shared" si="115"/>
        <v>#REF!</v>
      </c>
      <c r="DA74" s="1993" t="e">
        <f>#REF!</f>
        <v>#REF!</v>
      </c>
      <c r="DB74" s="2003">
        <f t="shared" si="49"/>
        <v>0</v>
      </c>
      <c r="DC74" s="1989" t="e">
        <f>#REF!/10^7</f>
        <v>#REF!</v>
      </c>
      <c r="DD74" s="2003">
        <f t="shared" si="50"/>
        <v>0</v>
      </c>
      <c r="DE74" s="1989" t="e">
        <f>#REF!/10^7</f>
        <v>#REF!</v>
      </c>
      <c r="DF74" s="2003">
        <f t="shared" si="51"/>
        <v>0</v>
      </c>
      <c r="DG74" s="1989" t="e">
        <f>#REF!/10^7</f>
        <v>#REF!</v>
      </c>
      <c r="DH74" s="1989" t="e">
        <f>#REF!/10^7</f>
        <v>#REF!</v>
      </c>
      <c r="DI74" s="2002" t="e">
        <f t="shared" si="52"/>
        <v>#REF!</v>
      </c>
      <c r="DJ74" s="1999" t="e">
        <f t="shared" si="116"/>
        <v>#REF!</v>
      </c>
      <c r="DK74" s="1993" t="e">
        <f>#REF!</f>
        <v>#REF!</v>
      </c>
      <c r="DL74" s="2003">
        <f t="shared" si="54"/>
        <v>0</v>
      </c>
      <c r="DM74" s="1989" t="e">
        <f>#REF!/10^7</f>
        <v>#REF!</v>
      </c>
      <c r="DN74" s="2003">
        <f t="shared" si="55"/>
        <v>0</v>
      </c>
      <c r="DO74" s="1989" t="e">
        <f>#REF!/10^7</f>
        <v>#REF!</v>
      </c>
      <c r="DP74" s="2003">
        <f t="shared" si="56"/>
        <v>0</v>
      </c>
      <c r="DQ74" s="1989" t="e">
        <f>#REF!/10^7</f>
        <v>#REF!</v>
      </c>
      <c r="DR74" s="1989" t="e">
        <f>#REF!/10^7</f>
        <v>#REF!</v>
      </c>
      <c r="DS74" s="2002" t="e">
        <f t="shared" si="57"/>
        <v>#REF!</v>
      </c>
      <c r="DT74" s="2004" t="e">
        <f t="shared" si="117"/>
        <v>#REF!</v>
      </c>
      <c r="DU74" s="1988" t="e">
        <f>#REF!</f>
        <v>#REF!</v>
      </c>
      <c r="DV74" s="2003">
        <f t="shared" si="59"/>
        <v>0</v>
      </c>
      <c r="DW74" s="1989" t="e">
        <f>#REF!/10^7</f>
        <v>#REF!</v>
      </c>
      <c r="DX74" s="2003">
        <f t="shared" si="60"/>
        <v>0</v>
      </c>
      <c r="DY74" s="1989" t="e">
        <f>#REF!/10^7</f>
        <v>#REF!</v>
      </c>
      <c r="DZ74" s="2003">
        <f t="shared" si="61"/>
        <v>0</v>
      </c>
      <c r="EA74" s="1989" t="e">
        <f>#REF!/10^7</f>
        <v>#REF!</v>
      </c>
      <c r="EB74" s="1989" t="e">
        <f>#REF!/10^7</f>
        <v>#REF!</v>
      </c>
      <c r="EC74" s="2002" t="e">
        <f t="shared" si="62"/>
        <v>#REF!</v>
      </c>
      <c r="ED74" s="1998" t="e">
        <f t="shared" si="118"/>
        <v>#REF!</v>
      </c>
      <c r="EE74" s="2005" t="e">
        <f t="shared" si="122"/>
        <v>#REF!</v>
      </c>
      <c r="EF74" s="2003">
        <f t="shared" si="64"/>
        <v>0</v>
      </c>
      <c r="EG74" s="1989" t="e">
        <f t="shared" si="119"/>
        <v>#REF!</v>
      </c>
      <c r="EH74" s="2003">
        <f t="shared" si="65"/>
        <v>0</v>
      </c>
      <c r="EI74" s="1989" t="e">
        <f t="shared" si="120"/>
        <v>#REF!</v>
      </c>
      <c r="EJ74" s="2003">
        <f t="shared" si="66"/>
        <v>0</v>
      </c>
      <c r="EK74" s="1989" t="e">
        <f t="shared" si="121"/>
        <v>#REF!</v>
      </c>
      <c r="EL74" s="1989" t="e">
        <f t="shared" si="121"/>
        <v>#REF!</v>
      </c>
      <c r="EM74" s="2006" t="e">
        <f t="shared" si="67"/>
        <v>#REF!</v>
      </c>
      <c r="EN74" s="1999" t="e">
        <f t="shared" si="123"/>
        <v>#REF!</v>
      </c>
      <c r="EP74" s="1613" t="e">
        <f>EA74-#REF!/10^7</f>
        <v>#REF!</v>
      </c>
      <c r="EW74" s="1611" t="e">
        <v>#N/A</v>
      </c>
      <c r="EX74" s="1612" t="s">
        <v>1649</v>
      </c>
      <c r="EZ74" s="1650">
        <f t="shared" si="69"/>
        <v>0</v>
      </c>
    </row>
    <row r="75" spans="1:156" ht="21" customHeight="1">
      <c r="A75" s="1652">
        <v>32</v>
      </c>
      <c r="B75" s="1668" t="s">
        <v>1711</v>
      </c>
      <c r="C75" s="1645">
        <v>800</v>
      </c>
      <c r="D75" s="1646">
        <f t="shared" si="113"/>
        <v>0.24124999999999996</v>
      </c>
      <c r="E75" s="1646">
        <v>97.028700000000001</v>
      </c>
      <c r="F75" s="1670">
        <v>6.25</v>
      </c>
      <c r="G75" s="1640"/>
      <c r="H75" s="1640">
        <v>1.93</v>
      </c>
      <c r="I75" s="1648" t="s">
        <v>1649</v>
      </c>
      <c r="J75" s="1649">
        <v>1</v>
      </c>
      <c r="K75" s="1648"/>
      <c r="L75" s="1640"/>
      <c r="M75" s="1640"/>
      <c r="N75" s="1642"/>
      <c r="O75" s="2000" t="e">
        <f>#REF!</f>
        <v>#REF!</v>
      </c>
      <c r="P75" s="2003">
        <f t="shared" si="9"/>
        <v>0</v>
      </c>
      <c r="Q75" s="1989" t="e">
        <f>#REF!/10^7</f>
        <v>#REF!</v>
      </c>
      <c r="R75" s="2003">
        <f t="shared" si="10"/>
        <v>0</v>
      </c>
      <c r="S75" s="1989" t="e">
        <f>#REF!/10^7</f>
        <v>#REF!</v>
      </c>
      <c r="T75" s="2003">
        <f t="shared" si="11"/>
        <v>0</v>
      </c>
      <c r="U75" s="1989" t="e">
        <f>#REF!/10^7</f>
        <v>#REF!</v>
      </c>
      <c r="V75" s="1989" t="e">
        <f>#REF!/10^7</f>
        <v>#REF!</v>
      </c>
      <c r="W75" s="1989">
        <f t="shared" si="12"/>
        <v>0</v>
      </c>
      <c r="X75" s="1999" t="e">
        <f t="shared" si="114"/>
        <v>#REF!</v>
      </c>
      <c r="Y75" s="1993" t="e">
        <f>#REF!</f>
        <v>#REF!</v>
      </c>
      <c r="Z75" s="2003">
        <f t="shared" si="14"/>
        <v>0</v>
      </c>
      <c r="AA75" s="1989" t="e">
        <f>#REF!/10^7</f>
        <v>#REF!</v>
      </c>
      <c r="AB75" s="2003">
        <f t="shared" si="15"/>
        <v>0</v>
      </c>
      <c r="AC75" s="1989" t="e">
        <f>#REF!/10^7</f>
        <v>#REF!</v>
      </c>
      <c r="AD75" s="2003">
        <f t="shared" si="16"/>
        <v>0</v>
      </c>
      <c r="AE75" s="1989" t="e">
        <f>#REF!/10^7</f>
        <v>#REF!</v>
      </c>
      <c r="AF75" s="1989" t="e">
        <f>#REF!/10^7</f>
        <v>#REF!</v>
      </c>
      <c r="AG75" s="2002" t="e">
        <f t="shared" si="17"/>
        <v>#REF!</v>
      </c>
      <c r="AH75" s="1999" t="e">
        <f t="shared" si="106"/>
        <v>#REF!</v>
      </c>
      <c r="AI75" s="1993" t="e">
        <f>#REF!</f>
        <v>#REF!</v>
      </c>
      <c r="AJ75" s="2003">
        <f t="shared" si="2"/>
        <v>0</v>
      </c>
      <c r="AK75" s="1989" t="e">
        <f>#REF!/10^7</f>
        <v>#REF!</v>
      </c>
      <c r="AL75" s="2003">
        <f t="shared" si="2"/>
        <v>0</v>
      </c>
      <c r="AM75" s="1989" t="e">
        <f>#REF!/10^7</f>
        <v>#REF!</v>
      </c>
      <c r="AN75" s="2003">
        <f t="shared" si="2"/>
        <v>0</v>
      </c>
      <c r="AO75" s="1989" t="e">
        <f>#REF!/10^7</f>
        <v>#REF!</v>
      </c>
      <c r="AP75" s="1989" t="e">
        <f>#REF!/10^7</f>
        <v>#REF!</v>
      </c>
      <c r="AQ75" s="2002" t="e">
        <f t="shared" si="19"/>
        <v>#REF!</v>
      </c>
      <c r="AR75" s="1999" t="e">
        <f t="shared" si="107"/>
        <v>#REF!</v>
      </c>
      <c r="AS75" s="1993" t="e">
        <f>#REF!</f>
        <v>#REF!</v>
      </c>
      <c r="AT75" s="2003">
        <f t="shared" si="20"/>
        <v>0</v>
      </c>
      <c r="AU75" s="1989" t="e">
        <f>#REF!/10^7</f>
        <v>#REF!</v>
      </c>
      <c r="AV75" s="2003">
        <f t="shared" si="21"/>
        <v>0</v>
      </c>
      <c r="AW75" s="1989" t="e">
        <f>#REF!/10^7</f>
        <v>#REF!</v>
      </c>
      <c r="AX75" s="2003">
        <f t="shared" si="22"/>
        <v>0</v>
      </c>
      <c r="AY75" s="1989" t="e">
        <f>#REF!/10^7</f>
        <v>#REF!</v>
      </c>
      <c r="AZ75" s="1989" t="e">
        <f>#REF!/10^7</f>
        <v>#REF!</v>
      </c>
      <c r="BA75" s="2002" t="e">
        <f t="shared" si="23"/>
        <v>#REF!</v>
      </c>
      <c r="BB75" s="1999" t="e">
        <f t="shared" si="108"/>
        <v>#REF!</v>
      </c>
      <c r="BC75" s="1993" t="e">
        <f>#REF!</f>
        <v>#REF!</v>
      </c>
      <c r="BD75" s="2003">
        <f t="shared" si="24"/>
        <v>0</v>
      </c>
      <c r="BE75" s="1989" t="e">
        <f>#REF!/10^7</f>
        <v>#REF!</v>
      </c>
      <c r="BF75" s="2003">
        <f t="shared" si="25"/>
        <v>0</v>
      </c>
      <c r="BG75" s="1989" t="e">
        <f>#REF!/10^7</f>
        <v>#REF!</v>
      </c>
      <c r="BH75" s="2003">
        <f t="shared" si="26"/>
        <v>0</v>
      </c>
      <c r="BI75" s="1989" t="e">
        <f>#REF!/10^7</f>
        <v>#REF!</v>
      </c>
      <c r="BJ75" s="1989" t="e">
        <f>#REF!/10^7</f>
        <v>#REF!</v>
      </c>
      <c r="BK75" s="2002" t="e">
        <f t="shared" si="27"/>
        <v>#REF!</v>
      </c>
      <c r="BL75" s="1999" t="e">
        <f t="shared" si="109"/>
        <v>#REF!</v>
      </c>
      <c r="BM75" s="1993" t="e">
        <f>#REF!</f>
        <v>#REF!</v>
      </c>
      <c r="BN75" s="2003">
        <f t="shared" si="29"/>
        <v>0</v>
      </c>
      <c r="BO75" s="1989" t="e">
        <f>#REF!/10^7</f>
        <v>#REF!</v>
      </c>
      <c r="BP75" s="2003">
        <f t="shared" si="30"/>
        <v>0</v>
      </c>
      <c r="BQ75" s="1989" t="e">
        <f>#REF!/10^7</f>
        <v>#REF!</v>
      </c>
      <c r="BR75" s="2003">
        <f t="shared" si="31"/>
        <v>0</v>
      </c>
      <c r="BS75" s="1989" t="e">
        <f>#REF!/10^7</f>
        <v>#REF!</v>
      </c>
      <c r="BT75" s="1989" t="e">
        <f>#REF!/10^7</f>
        <v>#REF!</v>
      </c>
      <c r="BU75" s="2002" t="e">
        <f t="shared" si="32"/>
        <v>#REF!</v>
      </c>
      <c r="BV75" s="1999" t="e">
        <f t="shared" si="110"/>
        <v>#REF!</v>
      </c>
      <c r="BW75" s="1993" t="e">
        <f>#REF!</f>
        <v>#REF!</v>
      </c>
      <c r="BX75" s="2003">
        <f t="shared" si="34"/>
        <v>0</v>
      </c>
      <c r="BY75" s="1989" t="e">
        <f>#REF!/10^7</f>
        <v>#REF!</v>
      </c>
      <c r="BZ75" s="2003">
        <f t="shared" si="35"/>
        <v>0</v>
      </c>
      <c r="CA75" s="1989" t="e">
        <f>#REF!/10^7</f>
        <v>#REF!</v>
      </c>
      <c r="CB75" s="2003">
        <f t="shared" si="36"/>
        <v>0</v>
      </c>
      <c r="CC75" s="1989" t="e">
        <f>#REF!/10^7</f>
        <v>#REF!</v>
      </c>
      <c r="CD75" s="1989" t="e">
        <f>#REF!/10^7</f>
        <v>#REF!</v>
      </c>
      <c r="CE75" s="2002" t="e">
        <f t="shared" si="37"/>
        <v>#REF!</v>
      </c>
      <c r="CF75" s="1999" t="e">
        <f t="shared" si="111"/>
        <v>#REF!</v>
      </c>
      <c r="CG75" s="1993" t="e">
        <f>#REF!</f>
        <v>#REF!</v>
      </c>
      <c r="CH75" s="2003">
        <f t="shared" si="39"/>
        <v>0</v>
      </c>
      <c r="CI75" s="1989" t="e">
        <f>#REF!/10^7</f>
        <v>#REF!</v>
      </c>
      <c r="CJ75" s="2003">
        <f t="shared" si="40"/>
        <v>0</v>
      </c>
      <c r="CK75" s="1989" t="e">
        <f>#REF!/10^7</f>
        <v>#REF!</v>
      </c>
      <c r="CL75" s="2003">
        <f t="shared" si="41"/>
        <v>0</v>
      </c>
      <c r="CM75" s="1989" t="e">
        <f>#REF!/10^7</f>
        <v>#REF!</v>
      </c>
      <c r="CN75" s="1989" t="e">
        <f>#REF!/10^7</f>
        <v>#REF!</v>
      </c>
      <c r="CO75" s="2002" t="e">
        <f t="shared" si="42"/>
        <v>#REF!</v>
      </c>
      <c r="CP75" s="1999" t="e">
        <f t="shared" si="112"/>
        <v>#REF!</v>
      </c>
      <c r="CQ75" s="1993" t="e">
        <f>#REF!</f>
        <v>#REF!</v>
      </c>
      <c r="CR75" s="2003">
        <f t="shared" si="44"/>
        <v>0</v>
      </c>
      <c r="CS75" s="1989" t="e">
        <f>#REF!/10^7</f>
        <v>#REF!</v>
      </c>
      <c r="CT75" s="2003">
        <f t="shared" si="45"/>
        <v>0</v>
      </c>
      <c r="CU75" s="1989" t="e">
        <f>#REF!/10^7</f>
        <v>#REF!</v>
      </c>
      <c r="CV75" s="2003">
        <f t="shared" si="46"/>
        <v>0</v>
      </c>
      <c r="CW75" s="1989" t="e">
        <f>#REF!/10^7</f>
        <v>#REF!</v>
      </c>
      <c r="CX75" s="1989" t="e">
        <f>#REF!/10^7</f>
        <v>#REF!</v>
      </c>
      <c r="CY75" s="2002" t="e">
        <f t="shared" si="47"/>
        <v>#REF!</v>
      </c>
      <c r="CZ75" s="1999" t="e">
        <f t="shared" si="115"/>
        <v>#REF!</v>
      </c>
      <c r="DA75" s="1993" t="e">
        <f>#REF!</f>
        <v>#REF!</v>
      </c>
      <c r="DB75" s="2003">
        <f t="shared" si="49"/>
        <v>0</v>
      </c>
      <c r="DC75" s="1989" t="e">
        <f>#REF!/10^7</f>
        <v>#REF!</v>
      </c>
      <c r="DD75" s="2003">
        <f t="shared" si="50"/>
        <v>0</v>
      </c>
      <c r="DE75" s="1989" t="e">
        <f>#REF!/10^7</f>
        <v>#REF!</v>
      </c>
      <c r="DF75" s="2003">
        <f t="shared" si="51"/>
        <v>0</v>
      </c>
      <c r="DG75" s="1989" t="e">
        <f>#REF!/10^7</f>
        <v>#REF!</v>
      </c>
      <c r="DH75" s="1989" t="e">
        <f>#REF!/10^7</f>
        <v>#REF!</v>
      </c>
      <c r="DI75" s="2002" t="e">
        <f t="shared" si="52"/>
        <v>#REF!</v>
      </c>
      <c r="DJ75" s="1999" t="e">
        <f t="shared" si="116"/>
        <v>#REF!</v>
      </c>
      <c r="DK75" s="1993" t="e">
        <f>#REF!</f>
        <v>#REF!</v>
      </c>
      <c r="DL75" s="2003">
        <f t="shared" si="54"/>
        <v>0</v>
      </c>
      <c r="DM75" s="1989" t="e">
        <f>#REF!/10^7</f>
        <v>#REF!</v>
      </c>
      <c r="DN75" s="2003">
        <f t="shared" si="55"/>
        <v>0</v>
      </c>
      <c r="DO75" s="1989" t="e">
        <f>#REF!/10^7</f>
        <v>#REF!</v>
      </c>
      <c r="DP75" s="2003">
        <f t="shared" si="56"/>
        <v>0</v>
      </c>
      <c r="DQ75" s="1989" t="e">
        <f>#REF!/10^7</f>
        <v>#REF!</v>
      </c>
      <c r="DR75" s="1989" t="e">
        <f>#REF!/10^7</f>
        <v>#REF!</v>
      </c>
      <c r="DS75" s="2002" t="e">
        <f t="shared" si="57"/>
        <v>#REF!</v>
      </c>
      <c r="DT75" s="2004" t="e">
        <f t="shared" si="117"/>
        <v>#REF!</v>
      </c>
      <c r="DU75" s="1988" t="e">
        <f>#REF!</f>
        <v>#REF!</v>
      </c>
      <c r="DV75" s="2003">
        <f t="shared" si="59"/>
        <v>0</v>
      </c>
      <c r="DW75" s="1989" t="e">
        <f>#REF!/10^7</f>
        <v>#REF!</v>
      </c>
      <c r="DX75" s="2003">
        <f t="shared" si="60"/>
        <v>0</v>
      </c>
      <c r="DY75" s="1989" t="e">
        <f>#REF!/10^7</f>
        <v>#REF!</v>
      </c>
      <c r="DZ75" s="2003">
        <f t="shared" si="61"/>
        <v>0</v>
      </c>
      <c r="EA75" s="1989" t="e">
        <f>#REF!/10^7</f>
        <v>#REF!</v>
      </c>
      <c r="EB75" s="1989" t="e">
        <f>#REF!/10^7</f>
        <v>#REF!</v>
      </c>
      <c r="EC75" s="2002" t="e">
        <f t="shared" si="62"/>
        <v>#REF!</v>
      </c>
      <c r="ED75" s="1998" t="e">
        <f t="shared" si="118"/>
        <v>#REF!</v>
      </c>
      <c r="EE75" s="2005" t="e">
        <f t="shared" si="122"/>
        <v>#REF!</v>
      </c>
      <c r="EF75" s="2003">
        <f t="shared" si="64"/>
        <v>0</v>
      </c>
      <c r="EG75" s="1989" t="e">
        <f t="shared" si="119"/>
        <v>#REF!</v>
      </c>
      <c r="EH75" s="2003">
        <f t="shared" si="65"/>
        <v>0</v>
      </c>
      <c r="EI75" s="1989" t="e">
        <f t="shared" si="120"/>
        <v>#REF!</v>
      </c>
      <c r="EJ75" s="2003">
        <f t="shared" si="66"/>
        <v>0</v>
      </c>
      <c r="EK75" s="1989" t="e">
        <f t="shared" si="121"/>
        <v>#REF!</v>
      </c>
      <c r="EL75" s="1989" t="e">
        <f t="shared" si="121"/>
        <v>#REF!</v>
      </c>
      <c r="EM75" s="2006" t="e">
        <f t="shared" si="67"/>
        <v>#REF!</v>
      </c>
      <c r="EN75" s="1999" t="e">
        <f t="shared" si="123"/>
        <v>#REF!</v>
      </c>
      <c r="EP75" s="1613" t="e">
        <f>EA75-#REF!/10^7</f>
        <v>#REF!</v>
      </c>
      <c r="EW75" s="1611" t="e">
        <v>#N/A</v>
      </c>
      <c r="EX75" s="1612" t="s">
        <v>1649</v>
      </c>
      <c r="EZ75" s="1650">
        <f t="shared" si="69"/>
        <v>0</v>
      </c>
    </row>
    <row r="76" spans="1:156" ht="21" customHeight="1">
      <c r="A76" s="1652">
        <v>33</v>
      </c>
      <c r="B76" s="1668" t="s">
        <v>1712</v>
      </c>
      <c r="C76" s="1645">
        <v>1600</v>
      </c>
      <c r="D76" s="1646">
        <f t="shared" si="113"/>
        <v>0.24124999999999996</v>
      </c>
      <c r="E76" s="1646">
        <v>86.3446</v>
      </c>
      <c r="F76" s="1670">
        <v>6.25</v>
      </c>
      <c r="G76" s="1640"/>
      <c r="H76" s="1640">
        <v>3.86</v>
      </c>
      <c r="I76" s="1648" t="s">
        <v>1649</v>
      </c>
      <c r="J76" s="1649">
        <v>1</v>
      </c>
      <c r="K76" s="1648"/>
      <c r="L76" s="1640"/>
      <c r="M76" s="1640"/>
      <c r="N76" s="1642"/>
      <c r="O76" s="2000" t="e">
        <f>#REF!</f>
        <v>#REF!</v>
      </c>
      <c r="P76" s="2003">
        <f t="shared" si="9"/>
        <v>0</v>
      </c>
      <c r="Q76" s="1989" t="e">
        <f>#REF!/10^7</f>
        <v>#REF!</v>
      </c>
      <c r="R76" s="2003">
        <f t="shared" si="10"/>
        <v>0</v>
      </c>
      <c r="S76" s="1989" t="e">
        <f>#REF!/10^7</f>
        <v>#REF!</v>
      </c>
      <c r="T76" s="2003">
        <f t="shared" si="11"/>
        <v>0</v>
      </c>
      <c r="U76" s="1989" t="e">
        <f>#REF!/10^7</f>
        <v>#REF!</v>
      </c>
      <c r="V76" s="1989" t="e">
        <f>#REF!/10^7</f>
        <v>#REF!</v>
      </c>
      <c r="W76" s="1989">
        <f t="shared" si="12"/>
        <v>0</v>
      </c>
      <c r="X76" s="1999" t="e">
        <f t="shared" si="114"/>
        <v>#REF!</v>
      </c>
      <c r="Y76" s="1993" t="e">
        <f>#REF!</f>
        <v>#REF!</v>
      </c>
      <c r="Z76" s="2003">
        <f t="shared" si="14"/>
        <v>0</v>
      </c>
      <c r="AA76" s="1989" t="e">
        <f>#REF!/10^7</f>
        <v>#REF!</v>
      </c>
      <c r="AB76" s="2003">
        <f t="shared" si="15"/>
        <v>0</v>
      </c>
      <c r="AC76" s="1989" t="e">
        <f>#REF!/10^7</f>
        <v>#REF!</v>
      </c>
      <c r="AD76" s="2003">
        <f t="shared" si="16"/>
        <v>0</v>
      </c>
      <c r="AE76" s="1989" t="e">
        <f>#REF!/10^7</f>
        <v>#REF!</v>
      </c>
      <c r="AF76" s="1989" t="e">
        <f>#REF!/10^7</f>
        <v>#REF!</v>
      </c>
      <c r="AG76" s="2002" t="e">
        <f t="shared" si="17"/>
        <v>#REF!</v>
      </c>
      <c r="AH76" s="1999" t="e">
        <f t="shared" si="106"/>
        <v>#REF!</v>
      </c>
      <c r="AI76" s="1993" t="e">
        <f>#REF!</f>
        <v>#REF!</v>
      </c>
      <c r="AJ76" s="2003">
        <f t="shared" si="2"/>
        <v>0</v>
      </c>
      <c r="AK76" s="1989" t="e">
        <f>#REF!/10^7</f>
        <v>#REF!</v>
      </c>
      <c r="AL76" s="2003">
        <f t="shared" si="2"/>
        <v>0</v>
      </c>
      <c r="AM76" s="1989" t="e">
        <f>#REF!/10^7</f>
        <v>#REF!</v>
      </c>
      <c r="AN76" s="2003">
        <f t="shared" si="2"/>
        <v>0</v>
      </c>
      <c r="AO76" s="1989" t="e">
        <f>#REF!/10^7</f>
        <v>#REF!</v>
      </c>
      <c r="AP76" s="1989" t="e">
        <f>#REF!/10^7</f>
        <v>#REF!</v>
      </c>
      <c r="AQ76" s="2002" t="e">
        <f t="shared" si="19"/>
        <v>#REF!</v>
      </c>
      <c r="AR76" s="1999" t="e">
        <f t="shared" si="107"/>
        <v>#REF!</v>
      </c>
      <c r="AS76" s="1993" t="e">
        <f>#REF!</f>
        <v>#REF!</v>
      </c>
      <c r="AT76" s="2003">
        <f t="shared" si="20"/>
        <v>0</v>
      </c>
      <c r="AU76" s="1989" t="e">
        <f>#REF!/10^7</f>
        <v>#REF!</v>
      </c>
      <c r="AV76" s="2003">
        <f t="shared" si="21"/>
        <v>0</v>
      </c>
      <c r="AW76" s="1989" t="e">
        <f>#REF!/10^7</f>
        <v>#REF!</v>
      </c>
      <c r="AX76" s="2003">
        <f t="shared" si="22"/>
        <v>0</v>
      </c>
      <c r="AY76" s="1989" t="e">
        <f>#REF!/10^7</f>
        <v>#REF!</v>
      </c>
      <c r="AZ76" s="1989" t="e">
        <f>#REF!/10^7</f>
        <v>#REF!</v>
      </c>
      <c r="BA76" s="2002" t="e">
        <f t="shared" si="23"/>
        <v>#REF!</v>
      </c>
      <c r="BB76" s="1999" t="e">
        <f t="shared" si="108"/>
        <v>#REF!</v>
      </c>
      <c r="BC76" s="1993" t="e">
        <f>#REF!</f>
        <v>#REF!</v>
      </c>
      <c r="BD76" s="2003">
        <f t="shared" si="24"/>
        <v>0</v>
      </c>
      <c r="BE76" s="1989" t="e">
        <f>#REF!/10^7</f>
        <v>#REF!</v>
      </c>
      <c r="BF76" s="2003">
        <f t="shared" si="25"/>
        <v>0</v>
      </c>
      <c r="BG76" s="1989" t="e">
        <f>#REF!/10^7</f>
        <v>#REF!</v>
      </c>
      <c r="BH76" s="2003">
        <f t="shared" si="26"/>
        <v>0</v>
      </c>
      <c r="BI76" s="1989" t="e">
        <f>#REF!/10^7</f>
        <v>#REF!</v>
      </c>
      <c r="BJ76" s="1989" t="e">
        <f>#REF!/10^7</f>
        <v>#REF!</v>
      </c>
      <c r="BK76" s="2002" t="e">
        <f t="shared" si="27"/>
        <v>#REF!</v>
      </c>
      <c r="BL76" s="1999" t="e">
        <f t="shared" si="109"/>
        <v>#REF!</v>
      </c>
      <c r="BM76" s="1993" t="e">
        <f>#REF!</f>
        <v>#REF!</v>
      </c>
      <c r="BN76" s="2003">
        <f t="shared" si="29"/>
        <v>0</v>
      </c>
      <c r="BO76" s="1989" t="e">
        <f>#REF!/10^7</f>
        <v>#REF!</v>
      </c>
      <c r="BP76" s="2003">
        <f t="shared" si="30"/>
        <v>0</v>
      </c>
      <c r="BQ76" s="1989" t="e">
        <f>#REF!/10^7</f>
        <v>#REF!</v>
      </c>
      <c r="BR76" s="2003">
        <f t="shared" si="31"/>
        <v>0</v>
      </c>
      <c r="BS76" s="1989" t="e">
        <f>#REF!/10^7</f>
        <v>#REF!</v>
      </c>
      <c r="BT76" s="1989" t="e">
        <f>#REF!/10^7</f>
        <v>#REF!</v>
      </c>
      <c r="BU76" s="2002" t="e">
        <f t="shared" si="32"/>
        <v>#REF!</v>
      </c>
      <c r="BV76" s="1999" t="e">
        <f t="shared" si="110"/>
        <v>#REF!</v>
      </c>
      <c r="BW76" s="1993" t="e">
        <f>#REF!</f>
        <v>#REF!</v>
      </c>
      <c r="BX76" s="2003">
        <f t="shared" si="34"/>
        <v>0</v>
      </c>
      <c r="BY76" s="1989" t="e">
        <f>#REF!/10^7</f>
        <v>#REF!</v>
      </c>
      <c r="BZ76" s="2003">
        <f t="shared" si="35"/>
        <v>0</v>
      </c>
      <c r="CA76" s="1989" t="e">
        <f>#REF!/10^7</f>
        <v>#REF!</v>
      </c>
      <c r="CB76" s="2003">
        <f t="shared" si="36"/>
        <v>0</v>
      </c>
      <c r="CC76" s="1989" t="e">
        <f>#REF!/10^7</f>
        <v>#REF!</v>
      </c>
      <c r="CD76" s="1989" t="e">
        <f>#REF!/10^7</f>
        <v>#REF!</v>
      </c>
      <c r="CE76" s="2002" t="e">
        <f t="shared" si="37"/>
        <v>#REF!</v>
      </c>
      <c r="CF76" s="1999" t="e">
        <f t="shared" si="111"/>
        <v>#REF!</v>
      </c>
      <c r="CG76" s="1993" t="e">
        <f>#REF!</f>
        <v>#REF!</v>
      </c>
      <c r="CH76" s="2003">
        <f t="shared" si="39"/>
        <v>0</v>
      </c>
      <c r="CI76" s="1989" t="e">
        <f>#REF!/10^7</f>
        <v>#REF!</v>
      </c>
      <c r="CJ76" s="2003">
        <f t="shared" si="40"/>
        <v>0</v>
      </c>
      <c r="CK76" s="1989" t="e">
        <f>#REF!/10^7</f>
        <v>#REF!</v>
      </c>
      <c r="CL76" s="2003">
        <f t="shared" si="41"/>
        <v>0</v>
      </c>
      <c r="CM76" s="1989" t="e">
        <f>#REF!/10^7</f>
        <v>#REF!</v>
      </c>
      <c r="CN76" s="1989" t="e">
        <f>#REF!/10^7</f>
        <v>#REF!</v>
      </c>
      <c r="CO76" s="2002" t="e">
        <f t="shared" si="42"/>
        <v>#REF!</v>
      </c>
      <c r="CP76" s="1999" t="e">
        <f t="shared" si="112"/>
        <v>#REF!</v>
      </c>
      <c r="CQ76" s="1993" t="e">
        <f>#REF!</f>
        <v>#REF!</v>
      </c>
      <c r="CR76" s="2003">
        <f t="shared" si="44"/>
        <v>0</v>
      </c>
      <c r="CS76" s="1989" t="e">
        <f>#REF!/10^7</f>
        <v>#REF!</v>
      </c>
      <c r="CT76" s="2003">
        <f t="shared" si="45"/>
        <v>0</v>
      </c>
      <c r="CU76" s="1989" t="e">
        <f>#REF!/10^7</f>
        <v>#REF!</v>
      </c>
      <c r="CV76" s="2003">
        <f t="shared" si="46"/>
        <v>0</v>
      </c>
      <c r="CW76" s="1989" t="e">
        <f>#REF!/10^7</f>
        <v>#REF!</v>
      </c>
      <c r="CX76" s="1989" t="e">
        <f>#REF!/10^7</f>
        <v>#REF!</v>
      </c>
      <c r="CY76" s="2002" t="e">
        <f t="shared" si="47"/>
        <v>#REF!</v>
      </c>
      <c r="CZ76" s="1999" t="e">
        <f t="shared" si="115"/>
        <v>#REF!</v>
      </c>
      <c r="DA76" s="1993" t="e">
        <f>#REF!</f>
        <v>#REF!</v>
      </c>
      <c r="DB76" s="2003">
        <f t="shared" si="49"/>
        <v>0</v>
      </c>
      <c r="DC76" s="1989" t="e">
        <f>#REF!/10^7</f>
        <v>#REF!</v>
      </c>
      <c r="DD76" s="2003">
        <f t="shared" si="50"/>
        <v>0</v>
      </c>
      <c r="DE76" s="1989" t="e">
        <f>#REF!/10^7</f>
        <v>#REF!</v>
      </c>
      <c r="DF76" s="2003">
        <f t="shared" si="51"/>
        <v>0</v>
      </c>
      <c r="DG76" s="1989" t="e">
        <f>#REF!/10^7</f>
        <v>#REF!</v>
      </c>
      <c r="DH76" s="1989" t="e">
        <f>#REF!/10^7</f>
        <v>#REF!</v>
      </c>
      <c r="DI76" s="2002" t="e">
        <f t="shared" si="52"/>
        <v>#REF!</v>
      </c>
      <c r="DJ76" s="1999" t="e">
        <f t="shared" si="116"/>
        <v>#REF!</v>
      </c>
      <c r="DK76" s="1993" t="e">
        <f>#REF!</f>
        <v>#REF!</v>
      </c>
      <c r="DL76" s="2003">
        <f t="shared" si="54"/>
        <v>0</v>
      </c>
      <c r="DM76" s="1989" t="e">
        <f>#REF!/10^7</f>
        <v>#REF!</v>
      </c>
      <c r="DN76" s="2003">
        <f t="shared" si="55"/>
        <v>0</v>
      </c>
      <c r="DO76" s="1989" t="e">
        <f>#REF!/10^7</f>
        <v>#REF!</v>
      </c>
      <c r="DP76" s="2003">
        <f t="shared" si="56"/>
        <v>0</v>
      </c>
      <c r="DQ76" s="1989" t="e">
        <f>#REF!/10^7</f>
        <v>#REF!</v>
      </c>
      <c r="DR76" s="1989" t="e">
        <f>#REF!/10^7</f>
        <v>#REF!</v>
      </c>
      <c r="DS76" s="2002" t="e">
        <f t="shared" si="57"/>
        <v>#REF!</v>
      </c>
      <c r="DT76" s="2004" t="e">
        <f t="shared" si="117"/>
        <v>#REF!</v>
      </c>
      <c r="DU76" s="1988" t="e">
        <f>#REF!</f>
        <v>#REF!</v>
      </c>
      <c r="DV76" s="2003">
        <f t="shared" si="59"/>
        <v>0</v>
      </c>
      <c r="DW76" s="1989" t="e">
        <f>#REF!/10^7</f>
        <v>#REF!</v>
      </c>
      <c r="DX76" s="2003">
        <f t="shared" si="60"/>
        <v>0</v>
      </c>
      <c r="DY76" s="1989" t="e">
        <f>#REF!/10^7</f>
        <v>#REF!</v>
      </c>
      <c r="DZ76" s="2003">
        <f t="shared" si="61"/>
        <v>0</v>
      </c>
      <c r="EA76" s="1989" t="e">
        <f>#REF!/10^7</f>
        <v>#REF!</v>
      </c>
      <c r="EB76" s="1989" t="e">
        <f>#REF!/10^7</f>
        <v>#REF!</v>
      </c>
      <c r="EC76" s="2002" t="e">
        <f t="shared" si="62"/>
        <v>#REF!</v>
      </c>
      <c r="ED76" s="1998" t="e">
        <f t="shared" si="118"/>
        <v>#REF!</v>
      </c>
      <c r="EE76" s="2005" t="e">
        <f t="shared" si="122"/>
        <v>#REF!</v>
      </c>
      <c r="EF76" s="2003">
        <f t="shared" si="64"/>
        <v>0</v>
      </c>
      <c r="EG76" s="1989" t="e">
        <f t="shared" si="119"/>
        <v>#REF!</v>
      </c>
      <c r="EH76" s="2003">
        <f t="shared" si="65"/>
        <v>0</v>
      </c>
      <c r="EI76" s="1989" t="e">
        <f t="shared" si="120"/>
        <v>#REF!</v>
      </c>
      <c r="EJ76" s="2003">
        <f t="shared" si="66"/>
        <v>0</v>
      </c>
      <c r="EK76" s="1989" t="e">
        <f t="shared" si="121"/>
        <v>#REF!</v>
      </c>
      <c r="EL76" s="1989" t="e">
        <f t="shared" si="121"/>
        <v>#REF!</v>
      </c>
      <c r="EM76" s="2006" t="e">
        <f t="shared" si="67"/>
        <v>#REF!</v>
      </c>
      <c r="EN76" s="1999" t="e">
        <f t="shared" si="123"/>
        <v>#REF!</v>
      </c>
      <c r="EP76" s="1613" t="e">
        <f>EA76-#REF!/10^7</f>
        <v>#REF!</v>
      </c>
      <c r="EW76" s="1611" t="e">
        <v>#N/A</v>
      </c>
      <c r="EX76" s="1612" t="s">
        <v>1649</v>
      </c>
      <c r="EZ76" s="1650">
        <f t="shared" si="69"/>
        <v>0</v>
      </c>
    </row>
    <row r="77" spans="1:156" ht="21" customHeight="1">
      <c r="A77" s="1652">
        <v>34</v>
      </c>
      <c r="B77" s="1668" t="s">
        <v>1713</v>
      </c>
      <c r="C77" s="1645">
        <v>1320</v>
      </c>
      <c r="D77" s="1646">
        <f t="shared" si="113"/>
        <v>0.24090909090909093</v>
      </c>
      <c r="E77" s="1646">
        <v>97.252499999999998</v>
      </c>
      <c r="F77" s="1670">
        <v>6.25</v>
      </c>
      <c r="G77" s="1640"/>
      <c r="H77" s="1640">
        <v>3.18</v>
      </c>
      <c r="I77" s="1648" t="s">
        <v>1649</v>
      </c>
      <c r="J77" s="1649">
        <v>1</v>
      </c>
      <c r="K77" s="1648"/>
      <c r="L77" s="1640"/>
      <c r="M77" s="1640"/>
      <c r="N77" s="1642"/>
      <c r="O77" s="2000" t="e">
        <f>#REF!</f>
        <v>#REF!</v>
      </c>
      <c r="P77" s="2003">
        <f t="shared" ref="P77:P140" si="124">IFERROR(Q77/O77*10,0)</f>
        <v>0</v>
      </c>
      <c r="Q77" s="1989" t="e">
        <f>#REF!/10^7</f>
        <v>#REF!</v>
      </c>
      <c r="R77" s="2003">
        <f t="shared" ref="R77:R140" si="125">IFERROR($S77/O77*10,0)</f>
        <v>0</v>
      </c>
      <c r="S77" s="1989" t="e">
        <f>#REF!/10^7</f>
        <v>#REF!</v>
      </c>
      <c r="T77" s="2003">
        <f t="shared" ref="T77:T140" si="126">IFERROR(U77/$O77*10,0)</f>
        <v>0</v>
      </c>
      <c r="U77" s="1989" t="e">
        <f>#REF!/10^7</f>
        <v>#REF!</v>
      </c>
      <c r="V77" s="1989" t="e">
        <f>#REF!/10^7</f>
        <v>#REF!</v>
      </c>
      <c r="W77" s="1989">
        <f t="shared" ref="W77:W140" si="127">IFERROR(X77/(O77)*10,0)</f>
        <v>0</v>
      </c>
      <c r="X77" s="1999" t="e">
        <f t="shared" si="114"/>
        <v>#REF!</v>
      </c>
      <c r="Y77" s="1993" t="e">
        <f>#REF!</f>
        <v>#REF!</v>
      </c>
      <c r="Z77" s="2003">
        <f t="shared" ref="Z77:Z140" si="128">IFERROR(AA77/$Y77*10,0)</f>
        <v>0</v>
      </c>
      <c r="AA77" s="1989" t="e">
        <f>#REF!/10^7</f>
        <v>#REF!</v>
      </c>
      <c r="AB77" s="2003">
        <f t="shared" ref="AB77:AB140" si="129">IFERROR(AC77/$Y77*10,0)</f>
        <v>0</v>
      </c>
      <c r="AC77" s="1989" t="e">
        <f>#REF!/10^7</f>
        <v>#REF!</v>
      </c>
      <c r="AD77" s="2003">
        <f t="shared" ref="AD77:AD140" si="130">IFERROR(AE77/$Y77*10,0)</f>
        <v>0</v>
      </c>
      <c r="AE77" s="1989" t="e">
        <f>#REF!/10^7</f>
        <v>#REF!</v>
      </c>
      <c r="AF77" s="1989" t="e">
        <f>#REF!/10^7</f>
        <v>#REF!</v>
      </c>
      <c r="AG77" s="2002" t="e">
        <f t="shared" ref="AG77:AG140" si="131">IF(Y77=0,0,(AH77/(Y77)*10))</f>
        <v>#REF!</v>
      </c>
      <c r="AH77" s="1999" t="e">
        <f t="shared" si="106"/>
        <v>#REF!</v>
      </c>
      <c r="AI77" s="1993" t="e">
        <f>#REF!</f>
        <v>#REF!</v>
      </c>
      <c r="AJ77" s="2003">
        <f t="shared" ref="AJ77:AJ140" si="132">IFERROR(AK77/$AI77*10,0)</f>
        <v>0</v>
      </c>
      <c r="AK77" s="1989" t="e">
        <f>#REF!/10^7</f>
        <v>#REF!</v>
      </c>
      <c r="AL77" s="2003">
        <f t="shared" ref="AL77:AL140" si="133">IFERROR(AM77/$AI77*10,0)</f>
        <v>0</v>
      </c>
      <c r="AM77" s="1989" t="e">
        <f>#REF!/10^7</f>
        <v>#REF!</v>
      </c>
      <c r="AN77" s="2003">
        <f t="shared" ref="AN77:AN140" si="134">IFERROR(AO77/$AI77*10,0)</f>
        <v>0</v>
      </c>
      <c r="AO77" s="1989" t="e">
        <f>#REF!/10^7</f>
        <v>#REF!</v>
      </c>
      <c r="AP77" s="1989" t="e">
        <f>#REF!/10^7</f>
        <v>#REF!</v>
      </c>
      <c r="AQ77" s="2002" t="e">
        <f t="shared" ref="AQ77:AQ140" si="135">IF(AI77=0,0,(AR77/(AI77)*10))</f>
        <v>#REF!</v>
      </c>
      <c r="AR77" s="1999" t="e">
        <f t="shared" si="107"/>
        <v>#REF!</v>
      </c>
      <c r="AS77" s="1993" t="e">
        <f>#REF!</f>
        <v>#REF!</v>
      </c>
      <c r="AT77" s="2003">
        <f t="shared" ref="AT77:AT140" si="136">IFERROR(AU77/$AS77*10,0)</f>
        <v>0</v>
      </c>
      <c r="AU77" s="1989" t="e">
        <f>#REF!/10^7</f>
        <v>#REF!</v>
      </c>
      <c r="AV77" s="2003">
        <f t="shared" ref="AV77:AV140" si="137">IFERROR(AW77/$AS77*10,0)</f>
        <v>0</v>
      </c>
      <c r="AW77" s="1989" t="e">
        <f>#REF!/10^7</f>
        <v>#REF!</v>
      </c>
      <c r="AX77" s="2003">
        <f t="shared" ref="AX77:AX140" si="138">IFERROR(AY77/$AS77*10,0)</f>
        <v>0</v>
      </c>
      <c r="AY77" s="1989" t="e">
        <f>#REF!/10^7</f>
        <v>#REF!</v>
      </c>
      <c r="AZ77" s="1989" t="e">
        <f>#REF!/10^7</f>
        <v>#REF!</v>
      </c>
      <c r="BA77" s="2002" t="e">
        <f t="shared" ref="BA77:BA140" si="139">IF(AS77=0,0,(BB77/(AS77)*10))</f>
        <v>#REF!</v>
      </c>
      <c r="BB77" s="1999" t="e">
        <f t="shared" si="108"/>
        <v>#REF!</v>
      </c>
      <c r="BC77" s="1993" t="e">
        <f>#REF!</f>
        <v>#REF!</v>
      </c>
      <c r="BD77" s="2003">
        <f t="shared" ref="BD77:BD140" si="140">IFERROR(BE77/$BC77*10,0)</f>
        <v>0</v>
      </c>
      <c r="BE77" s="1989" t="e">
        <f>#REF!/10^7</f>
        <v>#REF!</v>
      </c>
      <c r="BF77" s="2003">
        <f t="shared" ref="BF77:BF140" si="141">IFERROR(BG77/$BC77*10,0)</f>
        <v>0</v>
      </c>
      <c r="BG77" s="1989" t="e">
        <f>#REF!/10^7</f>
        <v>#REF!</v>
      </c>
      <c r="BH77" s="2003">
        <f t="shared" ref="BH77:BH140" si="142">IFERROR(BI77/$BC77*10,0)</f>
        <v>0</v>
      </c>
      <c r="BI77" s="1989" t="e">
        <f>#REF!/10^7</f>
        <v>#REF!</v>
      </c>
      <c r="BJ77" s="1989" t="e">
        <f>#REF!/10^7</f>
        <v>#REF!</v>
      </c>
      <c r="BK77" s="2002" t="e">
        <f t="shared" ref="BK77:BK140" si="143">IF(BC77=0,0,(BL77/(BC77)*10))</f>
        <v>#REF!</v>
      </c>
      <c r="BL77" s="1999" t="e">
        <f t="shared" si="109"/>
        <v>#REF!</v>
      </c>
      <c r="BM77" s="1993" t="e">
        <f>#REF!</f>
        <v>#REF!</v>
      </c>
      <c r="BN77" s="2003">
        <f t="shared" ref="BN77:BN140" si="144">IFERROR(BO77/$BM77*10,0)</f>
        <v>0</v>
      </c>
      <c r="BO77" s="1989" t="e">
        <f>#REF!/10^7</f>
        <v>#REF!</v>
      </c>
      <c r="BP77" s="2003">
        <f t="shared" ref="BP77:BP140" si="145">IFERROR(BQ77/$BM77*10,0)</f>
        <v>0</v>
      </c>
      <c r="BQ77" s="1989" t="e">
        <f>#REF!/10^7</f>
        <v>#REF!</v>
      </c>
      <c r="BR77" s="2003">
        <f t="shared" ref="BR77:BR140" si="146">IFERROR(BS77/$BM77*10,0)</f>
        <v>0</v>
      </c>
      <c r="BS77" s="1989" t="e">
        <f>#REF!/10^7</f>
        <v>#REF!</v>
      </c>
      <c r="BT77" s="1989" t="e">
        <f>#REF!/10^7</f>
        <v>#REF!</v>
      </c>
      <c r="BU77" s="2002" t="e">
        <f t="shared" ref="BU77:BU140" si="147">IF(BM77=0,0,(BV77/(BM77)*10))</f>
        <v>#REF!</v>
      </c>
      <c r="BV77" s="1999" t="e">
        <f t="shared" si="110"/>
        <v>#REF!</v>
      </c>
      <c r="BW77" s="1993" t="e">
        <f>#REF!</f>
        <v>#REF!</v>
      </c>
      <c r="BX77" s="2003">
        <f t="shared" ref="BX77:BX140" si="148">IFERROR(BY77/$BW77*10,0)</f>
        <v>0</v>
      </c>
      <c r="BY77" s="1989" t="e">
        <f>#REF!/10^7</f>
        <v>#REF!</v>
      </c>
      <c r="BZ77" s="2003">
        <f t="shared" ref="BZ77:BZ140" si="149">IFERROR(CA77/$BW77*10,0)</f>
        <v>0</v>
      </c>
      <c r="CA77" s="1989" t="e">
        <f>#REF!/10^7</f>
        <v>#REF!</v>
      </c>
      <c r="CB77" s="2003">
        <f t="shared" ref="CB77:CB140" si="150">IFERROR(CC77/$BW77*10,0)</f>
        <v>0</v>
      </c>
      <c r="CC77" s="1989" t="e">
        <f>#REF!/10^7</f>
        <v>#REF!</v>
      </c>
      <c r="CD77" s="1989" t="e">
        <f>#REF!/10^7</f>
        <v>#REF!</v>
      </c>
      <c r="CE77" s="2002" t="e">
        <f t="shared" ref="CE77:CE140" si="151">IF(BW77=0,0,(CF77/(BW77)*10))</f>
        <v>#REF!</v>
      </c>
      <c r="CF77" s="1999" t="e">
        <f t="shared" si="111"/>
        <v>#REF!</v>
      </c>
      <c r="CG77" s="1993" t="e">
        <f>#REF!</f>
        <v>#REF!</v>
      </c>
      <c r="CH77" s="2003">
        <f t="shared" ref="CH77:CH140" si="152">IFERROR(CI77/$CG77*10,0)</f>
        <v>0</v>
      </c>
      <c r="CI77" s="1989" t="e">
        <f>#REF!/10^7</f>
        <v>#REF!</v>
      </c>
      <c r="CJ77" s="2003">
        <f t="shared" ref="CJ77:CJ140" si="153">IFERROR(CK77/$CG77*10,0)</f>
        <v>0</v>
      </c>
      <c r="CK77" s="1989" t="e">
        <f>#REF!/10^7</f>
        <v>#REF!</v>
      </c>
      <c r="CL77" s="2003">
        <f t="shared" ref="CL77:CL140" si="154">IFERROR(CM77/$CG77*10,0)</f>
        <v>0</v>
      </c>
      <c r="CM77" s="1989" t="e">
        <f>#REF!/10^7</f>
        <v>#REF!</v>
      </c>
      <c r="CN77" s="1989" t="e">
        <f>#REF!/10^7</f>
        <v>#REF!</v>
      </c>
      <c r="CO77" s="2002" t="e">
        <f t="shared" ref="CO77:CO140" si="155">IF(CG77=0,0,(CP77/(CG77)*10))</f>
        <v>#REF!</v>
      </c>
      <c r="CP77" s="1999" t="e">
        <f t="shared" si="112"/>
        <v>#REF!</v>
      </c>
      <c r="CQ77" s="1993" t="e">
        <f>#REF!</f>
        <v>#REF!</v>
      </c>
      <c r="CR77" s="2003">
        <f t="shared" ref="CR77:CR140" si="156">IFERROR(CS77/$CQ77*10,0)</f>
        <v>0</v>
      </c>
      <c r="CS77" s="1989" t="e">
        <f>#REF!/10^7</f>
        <v>#REF!</v>
      </c>
      <c r="CT77" s="2003">
        <f t="shared" ref="CT77:CT140" si="157">IFERROR(CU77/$CQ77*10,0)</f>
        <v>0</v>
      </c>
      <c r="CU77" s="1989" t="e">
        <f>#REF!/10^7</f>
        <v>#REF!</v>
      </c>
      <c r="CV77" s="2003">
        <f t="shared" ref="CV77:CV140" si="158">IFERROR(CW77/$CQ77*10,0)</f>
        <v>0</v>
      </c>
      <c r="CW77" s="1989" t="e">
        <f>#REF!/10^7</f>
        <v>#REF!</v>
      </c>
      <c r="CX77" s="1989" t="e">
        <f>#REF!/10^7</f>
        <v>#REF!</v>
      </c>
      <c r="CY77" s="2002" t="e">
        <f t="shared" ref="CY77:CY140" si="159">IF(CQ77=0,0,(CZ77/(CQ77)*10))</f>
        <v>#REF!</v>
      </c>
      <c r="CZ77" s="1999" t="e">
        <f t="shared" si="115"/>
        <v>#REF!</v>
      </c>
      <c r="DA77" s="1993" t="e">
        <f>#REF!</f>
        <v>#REF!</v>
      </c>
      <c r="DB77" s="2003">
        <f t="shared" ref="DB77:DB140" si="160">IFERROR(DC77/$DA77*10,0)</f>
        <v>0</v>
      </c>
      <c r="DC77" s="1989" t="e">
        <f>#REF!/10^7</f>
        <v>#REF!</v>
      </c>
      <c r="DD77" s="2003">
        <f t="shared" ref="DD77:DD140" si="161">IFERROR(DE77/$DA77*10,0)</f>
        <v>0</v>
      </c>
      <c r="DE77" s="1989" t="e">
        <f>#REF!/10^7</f>
        <v>#REF!</v>
      </c>
      <c r="DF77" s="2003">
        <f t="shared" ref="DF77:DF140" si="162">IFERROR(DG77/$DA77*10,0)</f>
        <v>0</v>
      </c>
      <c r="DG77" s="1989" t="e">
        <f>#REF!/10^7</f>
        <v>#REF!</v>
      </c>
      <c r="DH77" s="1989" t="e">
        <f>#REF!/10^7</f>
        <v>#REF!</v>
      </c>
      <c r="DI77" s="2002" t="e">
        <f t="shared" ref="DI77:DI140" si="163">IF(DA77=0,0,(DJ77/(DA77)*10))</f>
        <v>#REF!</v>
      </c>
      <c r="DJ77" s="1999" t="e">
        <f t="shared" si="116"/>
        <v>#REF!</v>
      </c>
      <c r="DK77" s="1993" t="e">
        <f>#REF!</f>
        <v>#REF!</v>
      </c>
      <c r="DL77" s="2003">
        <f t="shared" ref="DL77:DL140" si="164">IFERROR(DM77/$DK77*10,0)</f>
        <v>0</v>
      </c>
      <c r="DM77" s="1989" t="e">
        <f>#REF!/10^7</f>
        <v>#REF!</v>
      </c>
      <c r="DN77" s="2003">
        <f t="shared" ref="DN77:DN140" si="165">IFERROR(DO77/$DK77*10,0)</f>
        <v>0</v>
      </c>
      <c r="DO77" s="1989" t="e">
        <f>#REF!/10^7</f>
        <v>#REF!</v>
      </c>
      <c r="DP77" s="2003">
        <f t="shared" ref="DP77:DP140" si="166">IFERROR(DQ77/$DK77*10,0)</f>
        <v>0</v>
      </c>
      <c r="DQ77" s="1989" t="e">
        <f>#REF!/10^7</f>
        <v>#REF!</v>
      </c>
      <c r="DR77" s="1989" t="e">
        <f>#REF!/10^7</f>
        <v>#REF!</v>
      </c>
      <c r="DS77" s="2002" t="e">
        <f t="shared" ref="DS77:DS140" si="167">IF(DK77=0,0,(DT77/(DK77)*10))</f>
        <v>#REF!</v>
      </c>
      <c r="DT77" s="2004" t="e">
        <f t="shared" si="117"/>
        <v>#REF!</v>
      </c>
      <c r="DU77" s="1988" t="e">
        <f>#REF!</f>
        <v>#REF!</v>
      </c>
      <c r="DV77" s="2003">
        <f t="shared" ref="DV77:DV140" si="168">IFERROR(DW77/$DU77*10,0)</f>
        <v>0</v>
      </c>
      <c r="DW77" s="1989" t="e">
        <f>#REF!/10^7</f>
        <v>#REF!</v>
      </c>
      <c r="DX77" s="2003">
        <f t="shared" ref="DX77:DX140" si="169">IFERROR(DY77/$DU77*10,0)</f>
        <v>0</v>
      </c>
      <c r="DY77" s="1989" t="e">
        <f>#REF!/10^7</f>
        <v>#REF!</v>
      </c>
      <c r="DZ77" s="2003">
        <f t="shared" ref="DZ77:DZ140" si="170">IFERROR(EA77/$DU77*10,0)</f>
        <v>0</v>
      </c>
      <c r="EA77" s="1989" t="e">
        <f>#REF!/10^7</f>
        <v>#REF!</v>
      </c>
      <c r="EB77" s="1989" t="e">
        <f>#REF!/10^7</f>
        <v>#REF!</v>
      </c>
      <c r="EC77" s="2002" t="e">
        <f t="shared" ref="EC77:EC140" si="171">IF(DU77=0,0,(ED77/(DU77)*10))</f>
        <v>#REF!</v>
      </c>
      <c r="ED77" s="1998" t="e">
        <f t="shared" si="118"/>
        <v>#REF!</v>
      </c>
      <c r="EE77" s="2005" t="e">
        <f t="shared" si="122"/>
        <v>#REF!</v>
      </c>
      <c r="EF77" s="2003">
        <f t="shared" ref="EF77:EF140" si="172">IFERROR(EG77/$EE77*10,0)</f>
        <v>0</v>
      </c>
      <c r="EG77" s="1989" t="e">
        <f t="shared" si="119"/>
        <v>#REF!</v>
      </c>
      <c r="EH77" s="2003">
        <f t="shared" ref="EH77:EH140" si="173">IFERROR(EI77/$EE77*10,0)</f>
        <v>0</v>
      </c>
      <c r="EI77" s="1989" t="e">
        <f t="shared" si="120"/>
        <v>#REF!</v>
      </c>
      <c r="EJ77" s="2003">
        <f t="shared" ref="EJ77:EJ140" si="174">IFERROR(EK77/$EE77*10,0)</f>
        <v>0</v>
      </c>
      <c r="EK77" s="1989" t="e">
        <f t="shared" si="121"/>
        <v>#REF!</v>
      </c>
      <c r="EL77" s="1989" t="e">
        <f t="shared" si="121"/>
        <v>#REF!</v>
      </c>
      <c r="EM77" s="2006" t="e">
        <f t="shared" ref="EM77:EM140" si="175">IF(EE77=0,0,(EN77/(EE77)*10))</f>
        <v>#REF!</v>
      </c>
      <c r="EN77" s="1999" t="e">
        <f t="shared" si="123"/>
        <v>#REF!</v>
      </c>
      <c r="EP77" s="1613" t="e">
        <f>EA77-#REF!/10^7</f>
        <v>#REF!</v>
      </c>
      <c r="EW77" s="1611" t="e">
        <v>#N/A</v>
      </c>
      <c r="EX77" s="1612" t="s">
        <v>1649</v>
      </c>
      <c r="EZ77" s="1650">
        <f t="shared" ref="EZ77:EZ140" si="176">IFERROR(EI77/(EE77*10^6),0)</f>
        <v>0</v>
      </c>
    </row>
    <row r="78" spans="1:156" ht="21" customHeight="1">
      <c r="A78" s="1652">
        <v>35</v>
      </c>
      <c r="B78" s="1668" t="s">
        <v>1854</v>
      </c>
      <c r="C78" s="1645">
        <f>2*660</f>
        <v>1320</v>
      </c>
      <c r="D78" s="1646">
        <f t="shared" si="113"/>
        <v>71.474000000000004</v>
      </c>
      <c r="E78" s="1646">
        <v>91.412999999999997</v>
      </c>
      <c r="F78" s="1670">
        <v>5.75</v>
      </c>
      <c r="G78" s="1648"/>
      <c r="H78" s="1646">
        <v>943.45680000000004</v>
      </c>
      <c r="I78" s="1648" t="s">
        <v>1649</v>
      </c>
      <c r="J78" s="1649">
        <v>2</v>
      </c>
      <c r="K78" s="1641"/>
      <c r="L78" s="1648"/>
      <c r="M78" s="1648"/>
      <c r="N78" s="1671"/>
      <c r="O78" s="2000" t="e">
        <f>#REF!</f>
        <v>#REF!</v>
      </c>
      <c r="P78" s="2003">
        <f t="shared" si="124"/>
        <v>0</v>
      </c>
      <c r="Q78" s="1989" t="e">
        <f>#REF!/10^7</f>
        <v>#REF!</v>
      </c>
      <c r="R78" s="2003">
        <f t="shared" si="125"/>
        <v>0</v>
      </c>
      <c r="S78" s="1989" t="e">
        <f>#REF!/10^7</f>
        <v>#REF!</v>
      </c>
      <c r="T78" s="2003">
        <f t="shared" si="126"/>
        <v>0</v>
      </c>
      <c r="U78" s="1989" t="e">
        <f>#REF!/10^7</f>
        <v>#REF!</v>
      </c>
      <c r="V78" s="1989" t="e">
        <f>#REF!/10^7</f>
        <v>#REF!</v>
      </c>
      <c r="W78" s="1989">
        <f t="shared" si="127"/>
        <v>0</v>
      </c>
      <c r="X78" s="1999" t="e">
        <f t="shared" si="114"/>
        <v>#REF!</v>
      </c>
      <c r="Y78" s="1993" t="e">
        <f>#REF!</f>
        <v>#REF!</v>
      </c>
      <c r="Z78" s="2003">
        <f t="shared" si="128"/>
        <v>0</v>
      </c>
      <c r="AA78" s="1989" t="e">
        <f>#REF!/10^7</f>
        <v>#REF!</v>
      </c>
      <c r="AB78" s="2003">
        <f t="shared" si="129"/>
        <v>0</v>
      </c>
      <c r="AC78" s="1989" t="e">
        <f>#REF!/10^7</f>
        <v>#REF!</v>
      </c>
      <c r="AD78" s="2003">
        <f t="shared" si="130"/>
        <v>0</v>
      </c>
      <c r="AE78" s="1989" t="e">
        <f>#REF!/10^7</f>
        <v>#REF!</v>
      </c>
      <c r="AF78" s="1989" t="e">
        <f>#REF!/10^7</f>
        <v>#REF!</v>
      </c>
      <c r="AG78" s="2002" t="e">
        <f t="shared" si="131"/>
        <v>#REF!</v>
      </c>
      <c r="AH78" s="1999" t="e">
        <f t="shared" si="106"/>
        <v>#REF!</v>
      </c>
      <c r="AI78" s="1993" t="e">
        <f>#REF!</f>
        <v>#REF!</v>
      </c>
      <c r="AJ78" s="2003">
        <f t="shared" si="132"/>
        <v>0</v>
      </c>
      <c r="AK78" s="1989" t="e">
        <f>#REF!/10^7</f>
        <v>#REF!</v>
      </c>
      <c r="AL78" s="2003">
        <f t="shared" si="133"/>
        <v>0</v>
      </c>
      <c r="AM78" s="1989" t="e">
        <f>#REF!/10^7</f>
        <v>#REF!</v>
      </c>
      <c r="AN78" s="2003">
        <f t="shared" si="134"/>
        <v>0</v>
      </c>
      <c r="AO78" s="1989" t="e">
        <f>#REF!/10^7</f>
        <v>#REF!</v>
      </c>
      <c r="AP78" s="1989" t="e">
        <f>#REF!/10^7</f>
        <v>#REF!</v>
      </c>
      <c r="AQ78" s="2002" t="e">
        <f t="shared" si="135"/>
        <v>#REF!</v>
      </c>
      <c r="AR78" s="1999" t="e">
        <f t="shared" si="107"/>
        <v>#REF!</v>
      </c>
      <c r="AS78" s="1993" t="e">
        <f>#REF!</f>
        <v>#REF!</v>
      </c>
      <c r="AT78" s="2003">
        <f t="shared" si="136"/>
        <v>0</v>
      </c>
      <c r="AU78" s="1989" t="e">
        <f>#REF!/10^7</f>
        <v>#REF!</v>
      </c>
      <c r="AV78" s="2003">
        <f t="shared" si="137"/>
        <v>0</v>
      </c>
      <c r="AW78" s="1989" t="e">
        <f>#REF!/10^7</f>
        <v>#REF!</v>
      </c>
      <c r="AX78" s="2003">
        <f t="shared" si="138"/>
        <v>0</v>
      </c>
      <c r="AY78" s="1989" t="e">
        <f>#REF!/10^7</f>
        <v>#REF!</v>
      </c>
      <c r="AZ78" s="1989" t="e">
        <f>#REF!/10^7</f>
        <v>#REF!</v>
      </c>
      <c r="BA78" s="2002" t="e">
        <f t="shared" si="139"/>
        <v>#REF!</v>
      </c>
      <c r="BB78" s="1999" t="e">
        <f t="shared" si="108"/>
        <v>#REF!</v>
      </c>
      <c r="BC78" s="1993" t="e">
        <f>#REF!</f>
        <v>#REF!</v>
      </c>
      <c r="BD78" s="2003">
        <f t="shared" si="140"/>
        <v>0</v>
      </c>
      <c r="BE78" s="1989" t="e">
        <f>#REF!/10^7</f>
        <v>#REF!</v>
      </c>
      <c r="BF78" s="2003">
        <f t="shared" si="141"/>
        <v>0</v>
      </c>
      <c r="BG78" s="1989" t="e">
        <f>#REF!/10^7</f>
        <v>#REF!</v>
      </c>
      <c r="BH78" s="2003">
        <f t="shared" si="142"/>
        <v>0</v>
      </c>
      <c r="BI78" s="1989" t="e">
        <f>#REF!/10^7</f>
        <v>#REF!</v>
      </c>
      <c r="BJ78" s="1989" t="e">
        <f>#REF!/10^7</f>
        <v>#REF!</v>
      </c>
      <c r="BK78" s="2002" t="e">
        <f t="shared" si="143"/>
        <v>#REF!</v>
      </c>
      <c r="BL78" s="1999" t="e">
        <f t="shared" si="109"/>
        <v>#REF!</v>
      </c>
      <c r="BM78" s="1993" t="e">
        <f>#REF!</f>
        <v>#REF!</v>
      </c>
      <c r="BN78" s="2003">
        <f t="shared" si="144"/>
        <v>0</v>
      </c>
      <c r="BO78" s="1989" t="e">
        <f>#REF!/10^7</f>
        <v>#REF!</v>
      </c>
      <c r="BP78" s="2003">
        <f t="shared" si="145"/>
        <v>0</v>
      </c>
      <c r="BQ78" s="1989" t="e">
        <f>#REF!/10^7</f>
        <v>#REF!</v>
      </c>
      <c r="BR78" s="2003">
        <f t="shared" si="146"/>
        <v>0</v>
      </c>
      <c r="BS78" s="1989" t="e">
        <f>#REF!/10^7</f>
        <v>#REF!</v>
      </c>
      <c r="BT78" s="1989" t="e">
        <f>#REF!/10^7</f>
        <v>#REF!</v>
      </c>
      <c r="BU78" s="2002" t="e">
        <f t="shared" si="147"/>
        <v>#REF!</v>
      </c>
      <c r="BV78" s="1999" t="e">
        <f t="shared" si="110"/>
        <v>#REF!</v>
      </c>
      <c r="BW78" s="1993" t="e">
        <f>#REF!</f>
        <v>#REF!</v>
      </c>
      <c r="BX78" s="2003">
        <f t="shared" si="148"/>
        <v>0</v>
      </c>
      <c r="BY78" s="1989" t="e">
        <f>#REF!/10^7</f>
        <v>#REF!</v>
      </c>
      <c r="BZ78" s="2003">
        <f t="shared" si="149"/>
        <v>0</v>
      </c>
      <c r="CA78" s="1989" t="e">
        <f>#REF!/10^7</f>
        <v>#REF!</v>
      </c>
      <c r="CB78" s="2003">
        <f t="shared" si="150"/>
        <v>0</v>
      </c>
      <c r="CC78" s="1989" t="e">
        <f>#REF!/10^7</f>
        <v>#REF!</v>
      </c>
      <c r="CD78" s="1989" t="e">
        <f>#REF!/10^7</f>
        <v>#REF!</v>
      </c>
      <c r="CE78" s="2002" t="e">
        <f t="shared" si="151"/>
        <v>#REF!</v>
      </c>
      <c r="CF78" s="1999" t="e">
        <f t="shared" si="111"/>
        <v>#REF!</v>
      </c>
      <c r="CG78" s="1993" t="e">
        <f>#REF!</f>
        <v>#REF!</v>
      </c>
      <c r="CH78" s="2003">
        <f t="shared" si="152"/>
        <v>0</v>
      </c>
      <c r="CI78" s="1989" t="e">
        <f>#REF!/10^7</f>
        <v>#REF!</v>
      </c>
      <c r="CJ78" s="2003">
        <f t="shared" si="153"/>
        <v>0</v>
      </c>
      <c r="CK78" s="1989" t="e">
        <f>#REF!/10^7</f>
        <v>#REF!</v>
      </c>
      <c r="CL78" s="2003">
        <f t="shared" si="154"/>
        <v>0</v>
      </c>
      <c r="CM78" s="1989" t="e">
        <f>#REF!/10^7</f>
        <v>#REF!</v>
      </c>
      <c r="CN78" s="1989" t="e">
        <f>#REF!/10^7</f>
        <v>#REF!</v>
      </c>
      <c r="CO78" s="2002" t="e">
        <f t="shared" si="155"/>
        <v>#REF!</v>
      </c>
      <c r="CP78" s="1999" t="e">
        <f t="shared" si="112"/>
        <v>#REF!</v>
      </c>
      <c r="CQ78" s="1993" t="e">
        <f>#REF!</f>
        <v>#REF!</v>
      </c>
      <c r="CR78" s="2003">
        <f t="shared" si="156"/>
        <v>0</v>
      </c>
      <c r="CS78" s="1989" t="e">
        <f>#REF!/10^7</f>
        <v>#REF!</v>
      </c>
      <c r="CT78" s="2003">
        <f t="shared" si="157"/>
        <v>0</v>
      </c>
      <c r="CU78" s="1989" t="e">
        <f>#REF!/10^7</f>
        <v>#REF!</v>
      </c>
      <c r="CV78" s="2003">
        <f t="shared" si="158"/>
        <v>0</v>
      </c>
      <c r="CW78" s="1989" t="e">
        <f>#REF!/10^7</f>
        <v>#REF!</v>
      </c>
      <c r="CX78" s="1989" t="e">
        <f>#REF!/10^7</f>
        <v>#REF!</v>
      </c>
      <c r="CY78" s="2002" t="e">
        <f t="shared" si="159"/>
        <v>#REF!</v>
      </c>
      <c r="CZ78" s="1999" t="e">
        <f t="shared" si="115"/>
        <v>#REF!</v>
      </c>
      <c r="DA78" s="1993" t="e">
        <f>#REF!</f>
        <v>#REF!</v>
      </c>
      <c r="DB78" s="2003">
        <f t="shared" si="160"/>
        <v>0</v>
      </c>
      <c r="DC78" s="1989" t="e">
        <f>#REF!/10^7</f>
        <v>#REF!</v>
      </c>
      <c r="DD78" s="2003">
        <f t="shared" si="161"/>
        <v>0</v>
      </c>
      <c r="DE78" s="1989" t="e">
        <f>#REF!/10^7</f>
        <v>#REF!</v>
      </c>
      <c r="DF78" s="2003">
        <f t="shared" si="162"/>
        <v>0</v>
      </c>
      <c r="DG78" s="1989" t="e">
        <f>#REF!/10^7</f>
        <v>#REF!</v>
      </c>
      <c r="DH78" s="1989" t="e">
        <f>#REF!/10^7</f>
        <v>#REF!</v>
      </c>
      <c r="DI78" s="2002" t="e">
        <f t="shared" si="163"/>
        <v>#REF!</v>
      </c>
      <c r="DJ78" s="1999" t="e">
        <f t="shared" si="116"/>
        <v>#REF!</v>
      </c>
      <c r="DK78" s="1993" t="e">
        <f>#REF!</f>
        <v>#REF!</v>
      </c>
      <c r="DL78" s="2003">
        <f t="shared" si="164"/>
        <v>0</v>
      </c>
      <c r="DM78" s="1989" t="e">
        <f>#REF!/10^7</f>
        <v>#REF!</v>
      </c>
      <c r="DN78" s="2003">
        <f t="shared" si="165"/>
        <v>0</v>
      </c>
      <c r="DO78" s="1989" t="e">
        <f>#REF!/10^7</f>
        <v>#REF!</v>
      </c>
      <c r="DP78" s="2003">
        <f t="shared" si="166"/>
        <v>0</v>
      </c>
      <c r="DQ78" s="1989" t="e">
        <f>#REF!/10^7</f>
        <v>#REF!</v>
      </c>
      <c r="DR78" s="1989" t="e">
        <f>#REF!/10^7</f>
        <v>#REF!</v>
      </c>
      <c r="DS78" s="2002" t="e">
        <f t="shared" si="167"/>
        <v>#REF!</v>
      </c>
      <c r="DT78" s="2004" t="e">
        <f t="shared" si="117"/>
        <v>#REF!</v>
      </c>
      <c r="DU78" s="1988" t="e">
        <f>#REF!</f>
        <v>#REF!</v>
      </c>
      <c r="DV78" s="2003">
        <f t="shared" si="168"/>
        <v>0</v>
      </c>
      <c r="DW78" s="1989" t="e">
        <f>#REF!/10^7</f>
        <v>#REF!</v>
      </c>
      <c r="DX78" s="2003">
        <f t="shared" si="169"/>
        <v>0</v>
      </c>
      <c r="DY78" s="1989" t="e">
        <f>#REF!/10^7</f>
        <v>#REF!</v>
      </c>
      <c r="DZ78" s="2003">
        <f t="shared" si="170"/>
        <v>0</v>
      </c>
      <c r="EA78" s="1989" t="e">
        <f>#REF!/10^7</f>
        <v>#REF!</v>
      </c>
      <c r="EB78" s="1989" t="e">
        <f>#REF!/10^7</f>
        <v>#REF!</v>
      </c>
      <c r="EC78" s="2002" t="e">
        <f t="shared" si="171"/>
        <v>#REF!</v>
      </c>
      <c r="ED78" s="1998" t="e">
        <f t="shared" si="118"/>
        <v>#REF!</v>
      </c>
      <c r="EE78" s="2005" t="e">
        <f t="shared" si="122"/>
        <v>#REF!</v>
      </c>
      <c r="EF78" s="2003">
        <f t="shared" si="172"/>
        <v>0</v>
      </c>
      <c r="EG78" s="1989" t="e">
        <f t="shared" si="119"/>
        <v>#REF!</v>
      </c>
      <c r="EH78" s="2003">
        <f t="shared" si="173"/>
        <v>0</v>
      </c>
      <c r="EI78" s="1989" t="e">
        <f t="shared" si="120"/>
        <v>#REF!</v>
      </c>
      <c r="EJ78" s="2003">
        <f t="shared" si="174"/>
        <v>0</v>
      </c>
      <c r="EK78" s="1989" t="e">
        <f t="shared" si="121"/>
        <v>#REF!</v>
      </c>
      <c r="EL78" s="1989" t="e">
        <f t="shared" si="121"/>
        <v>#REF!</v>
      </c>
      <c r="EM78" s="2006" t="e">
        <f t="shared" si="175"/>
        <v>#REF!</v>
      </c>
      <c r="EN78" s="1999" t="e">
        <f t="shared" si="123"/>
        <v>#REF!</v>
      </c>
      <c r="EP78" s="1613" t="e">
        <f>EA78-#REF!/10^7</f>
        <v>#REF!</v>
      </c>
      <c r="EW78" s="1611" t="e">
        <v>#N/A</v>
      </c>
      <c r="EX78" s="1612" t="e">
        <v>#N/A</v>
      </c>
      <c r="EZ78" s="1650">
        <f t="shared" si="176"/>
        <v>0</v>
      </c>
    </row>
    <row r="79" spans="1:156" ht="21" customHeight="1">
      <c r="A79" s="1652">
        <v>36</v>
      </c>
      <c r="B79" s="1672" t="s">
        <v>1714</v>
      </c>
      <c r="C79" s="1645"/>
      <c r="D79" s="1648"/>
      <c r="E79" s="1648"/>
      <c r="F79" s="1648"/>
      <c r="G79" s="1648"/>
      <c r="H79" s="1648"/>
      <c r="I79" s="1648" t="s">
        <v>1649</v>
      </c>
      <c r="J79" s="1663"/>
      <c r="K79" s="1648"/>
      <c r="L79" s="1648"/>
      <c r="M79" s="1648"/>
      <c r="N79" s="1642"/>
      <c r="O79" s="2000" t="e">
        <f>#REF!</f>
        <v>#REF!</v>
      </c>
      <c r="P79" s="2003">
        <f t="shared" si="124"/>
        <v>0</v>
      </c>
      <c r="Q79" s="1989" t="e">
        <f>#REF!/10^7</f>
        <v>#REF!</v>
      </c>
      <c r="R79" s="2003">
        <f t="shared" si="125"/>
        <v>0</v>
      </c>
      <c r="S79" s="1989" t="e">
        <f>#REF!/10^7</f>
        <v>#REF!</v>
      </c>
      <c r="T79" s="2003">
        <f t="shared" si="126"/>
        <v>0</v>
      </c>
      <c r="U79" s="1989" t="e">
        <f>#REF!/10^7</f>
        <v>#REF!</v>
      </c>
      <c r="V79" s="1989" t="e">
        <f>#REF!/10^7</f>
        <v>#REF!</v>
      </c>
      <c r="W79" s="1989">
        <f t="shared" si="127"/>
        <v>0</v>
      </c>
      <c r="X79" s="1999" t="e">
        <f t="shared" si="114"/>
        <v>#REF!</v>
      </c>
      <c r="Y79" s="1993" t="e">
        <f>#REF!</f>
        <v>#REF!</v>
      </c>
      <c r="Z79" s="2003">
        <f t="shared" si="128"/>
        <v>0</v>
      </c>
      <c r="AA79" s="1989" t="e">
        <f>#REF!/10^7</f>
        <v>#REF!</v>
      </c>
      <c r="AB79" s="2003">
        <f t="shared" si="129"/>
        <v>0</v>
      </c>
      <c r="AC79" s="1989" t="e">
        <f>#REF!/10^7</f>
        <v>#REF!</v>
      </c>
      <c r="AD79" s="2003">
        <f t="shared" si="130"/>
        <v>0</v>
      </c>
      <c r="AE79" s="1989" t="e">
        <f>#REF!/10^7</f>
        <v>#REF!</v>
      </c>
      <c r="AF79" s="1989" t="e">
        <f>#REF!/10^7</f>
        <v>#REF!</v>
      </c>
      <c r="AG79" s="2002" t="e">
        <f t="shared" si="131"/>
        <v>#REF!</v>
      </c>
      <c r="AH79" s="1999" t="e">
        <f t="shared" si="106"/>
        <v>#REF!</v>
      </c>
      <c r="AI79" s="1993" t="e">
        <f>#REF!</f>
        <v>#REF!</v>
      </c>
      <c r="AJ79" s="2003">
        <f t="shared" si="132"/>
        <v>0</v>
      </c>
      <c r="AK79" s="1989" t="e">
        <f>#REF!/10^7</f>
        <v>#REF!</v>
      </c>
      <c r="AL79" s="2003">
        <f t="shared" si="133"/>
        <v>0</v>
      </c>
      <c r="AM79" s="1989" t="e">
        <f>#REF!/10^7</f>
        <v>#REF!</v>
      </c>
      <c r="AN79" s="2003">
        <f t="shared" si="134"/>
        <v>0</v>
      </c>
      <c r="AO79" s="1989" t="e">
        <f>#REF!/10^7</f>
        <v>#REF!</v>
      </c>
      <c r="AP79" s="1989" t="e">
        <f>#REF!/10^7</f>
        <v>#REF!</v>
      </c>
      <c r="AQ79" s="2002" t="e">
        <f t="shared" si="135"/>
        <v>#REF!</v>
      </c>
      <c r="AR79" s="1999" t="e">
        <f t="shared" si="107"/>
        <v>#REF!</v>
      </c>
      <c r="AS79" s="1993" t="e">
        <f>#REF!</f>
        <v>#REF!</v>
      </c>
      <c r="AT79" s="2003">
        <f t="shared" si="136"/>
        <v>0</v>
      </c>
      <c r="AU79" s="1989" t="e">
        <f>#REF!/10^7</f>
        <v>#REF!</v>
      </c>
      <c r="AV79" s="2003">
        <f t="shared" si="137"/>
        <v>0</v>
      </c>
      <c r="AW79" s="1989" t="e">
        <f>#REF!/10^7</f>
        <v>#REF!</v>
      </c>
      <c r="AX79" s="2003">
        <f t="shared" si="138"/>
        <v>0</v>
      </c>
      <c r="AY79" s="1989" t="e">
        <f>#REF!/10^7</f>
        <v>#REF!</v>
      </c>
      <c r="AZ79" s="1989" t="e">
        <f>#REF!/10^7</f>
        <v>#REF!</v>
      </c>
      <c r="BA79" s="2002" t="e">
        <f t="shared" si="139"/>
        <v>#REF!</v>
      </c>
      <c r="BB79" s="1999" t="e">
        <f t="shared" si="108"/>
        <v>#REF!</v>
      </c>
      <c r="BC79" s="1993" t="e">
        <f>#REF!</f>
        <v>#REF!</v>
      </c>
      <c r="BD79" s="2003">
        <f t="shared" si="140"/>
        <v>0</v>
      </c>
      <c r="BE79" s="1989" t="e">
        <f>#REF!/10^7</f>
        <v>#REF!</v>
      </c>
      <c r="BF79" s="2003">
        <f t="shared" si="141"/>
        <v>0</v>
      </c>
      <c r="BG79" s="1989" t="e">
        <f>#REF!/10^7</f>
        <v>#REF!</v>
      </c>
      <c r="BH79" s="2003">
        <f t="shared" si="142"/>
        <v>0</v>
      </c>
      <c r="BI79" s="1989" t="e">
        <f>#REF!/10^7</f>
        <v>#REF!</v>
      </c>
      <c r="BJ79" s="1989" t="e">
        <f>#REF!/10^7</f>
        <v>#REF!</v>
      </c>
      <c r="BK79" s="2002" t="e">
        <f t="shared" si="143"/>
        <v>#REF!</v>
      </c>
      <c r="BL79" s="1999" t="e">
        <f t="shared" si="109"/>
        <v>#REF!</v>
      </c>
      <c r="BM79" s="1993" t="e">
        <f>#REF!</f>
        <v>#REF!</v>
      </c>
      <c r="BN79" s="2003">
        <f t="shared" si="144"/>
        <v>0</v>
      </c>
      <c r="BO79" s="1989" t="e">
        <f>#REF!/10^7</f>
        <v>#REF!</v>
      </c>
      <c r="BP79" s="2003">
        <f t="shared" si="145"/>
        <v>0</v>
      </c>
      <c r="BQ79" s="1989" t="e">
        <f>#REF!/10^7</f>
        <v>#REF!</v>
      </c>
      <c r="BR79" s="2003">
        <f t="shared" si="146"/>
        <v>0</v>
      </c>
      <c r="BS79" s="1989" t="e">
        <f>#REF!/10^7</f>
        <v>#REF!</v>
      </c>
      <c r="BT79" s="1989" t="e">
        <f>#REF!/10^7</f>
        <v>#REF!</v>
      </c>
      <c r="BU79" s="2002" t="e">
        <f t="shared" si="147"/>
        <v>#REF!</v>
      </c>
      <c r="BV79" s="1999" t="e">
        <f t="shared" si="110"/>
        <v>#REF!</v>
      </c>
      <c r="BW79" s="1993" t="e">
        <f>#REF!</f>
        <v>#REF!</v>
      </c>
      <c r="BX79" s="2003">
        <f t="shared" si="148"/>
        <v>0</v>
      </c>
      <c r="BY79" s="1989" t="e">
        <f>#REF!/10^7</f>
        <v>#REF!</v>
      </c>
      <c r="BZ79" s="2003">
        <f t="shared" si="149"/>
        <v>0</v>
      </c>
      <c r="CA79" s="1989" t="e">
        <f>#REF!/10^7</f>
        <v>#REF!</v>
      </c>
      <c r="CB79" s="2003">
        <f t="shared" si="150"/>
        <v>0</v>
      </c>
      <c r="CC79" s="1989" t="e">
        <f>#REF!/10^7</f>
        <v>#REF!</v>
      </c>
      <c r="CD79" s="1989" t="e">
        <f>#REF!/10^7</f>
        <v>#REF!</v>
      </c>
      <c r="CE79" s="2002" t="e">
        <f t="shared" si="151"/>
        <v>#REF!</v>
      </c>
      <c r="CF79" s="1999" t="e">
        <f t="shared" si="111"/>
        <v>#REF!</v>
      </c>
      <c r="CG79" s="1993" t="e">
        <f>#REF!</f>
        <v>#REF!</v>
      </c>
      <c r="CH79" s="2003">
        <f t="shared" si="152"/>
        <v>0</v>
      </c>
      <c r="CI79" s="1989" t="e">
        <f>#REF!/10^7</f>
        <v>#REF!</v>
      </c>
      <c r="CJ79" s="2003">
        <f t="shared" si="153"/>
        <v>0</v>
      </c>
      <c r="CK79" s="1989" t="e">
        <f>#REF!/10^7</f>
        <v>#REF!</v>
      </c>
      <c r="CL79" s="2003">
        <f t="shared" si="154"/>
        <v>0</v>
      </c>
      <c r="CM79" s="1989" t="e">
        <f>#REF!/10^7</f>
        <v>#REF!</v>
      </c>
      <c r="CN79" s="1989" t="e">
        <f>#REF!/10^7</f>
        <v>#REF!</v>
      </c>
      <c r="CO79" s="2002" t="e">
        <f t="shared" si="155"/>
        <v>#REF!</v>
      </c>
      <c r="CP79" s="1999" t="e">
        <f t="shared" si="112"/>
        <v>#REF!</v>
      </c>
      <c r="CQ79" s="1993" t="e">
        <f>#REF!</f>
        <v>#REF!</v>
      </c>
      <c r="CR79" s="2003">
        <f t="shared" si="156"/>
        <v>0</v>
      </c>
      <c r="CS79" s="1989" t="e">
        <f>#REF!/10^7</f>
        <v>#REF!</v>
      </c>
      <c r="CT79" s="2003">
        <f t="shared" si="157"/>
        <v>0</v>
      </c>
      <c r="CU79" s="1989" t="e">
        <f>#REF!/10^7</f>
        <v>#REF!</v>
      </c>
      <c r="CV79" s="2003">
        <f t="shared" si="158"/>
        <v>0</v>
      </c>
      <c r="CW79" s="1989" t="e">
        <f>#REF!/10^7</f>
        <v>#REF!</v>
      </c>
      <c r="CX79" s="1989" t="e">
        <f>#REF!/10^7</f>
        <v>#REF!</v>
      </c>
      <c r="CY79" s="2002" t="e">
        <f t="shared" si="159"/>
        <v>#REF!</v>
      </c>
      <c r="CZ79" s="1999" t="e">
        <f t="shared" si="115"/>
        <v>#REF!</v>
      </c>
      <c r="DA79" s="1993" t="e">
        <f>#REF!</f>
        <v>#REF!</v>
      </c>
      <c r="DB79" s="2003">
        <f t="shared" si="160"/>
        <v>0</v>
      </c>
      <c r="DC79" s="1989" t="e">
        <f>#REF!/10^7</f>
        <v>#REF!</v>
      </c>
      <c r="DD79" s="2003">
        <f t="shared" si="161"/>
        <v>0</v>
      </c>
      <c r="DE79" s="1989" t="e">
        <f>#REF!/10^7</f>
        <v>#REF!</v>
      </c>
      <c r="DF79" s="2003">
        <f t="shared" si="162"/>
        <v>0</v>
      </c>
      <c r="DG79" s="1989" t="e">
        <f>#REF!/10^7</f>
        <v>#REF!</v>
      </c>
      <c r="DH79" s="1989" t="e">
        <f>#REF!/10^7</f>
        <v>#REF!</v>
      </c>
      <c r="DI79" s="2002" t="e">
        <f t="shared" si="163"/>
        <v>#REF!</v>
      </c>
      <c r="DJ79" s="1999" t="e">
        <f t="shared" si="116"/>
        <v>#REF!</v>
      </c>
      <c r="DK79" s="1993" t="e">
        <f>#REF!</f>
        <v>#REF!</v>
      </c>
      <c r="DL79" s="2003">
        <f t="shared" si="164"/>
        <v>0</v>
      </c>
      <c r="DM79" s="1989" t="e">
        <f>#REF!/10^7</f>
        <v>#REF!</v>
      </c>
      <c r="DN79" s="2003">
        <f t="shared" si="165"/>
        <v>0</v>
      </c>
      <c r="DO79" s="1989" t="e">
        <f>#REF!/10^7</f>
        <v>#REF!</v>
      </c>
      <c r="DP79" s="2003">
        <f t="shared" si="166"/>
        <v>0</v>
      </c>
      <c r="DQ79" s="1989" t="e">
        <f>#REF!/10^7</f>
        <v>#REF!</v>
      </c>
      <c r="DR79" s="1989" t="e">
        <f>#REF!/10^7</f>
        <v>#REF!</v>
      </c>
      <c r="DS79" s="2002" t="e">
        <f t="shared" si="167"/>
        <v>#REF!</v>
      </c>
      <c r="DT79" s="2004" t="e">
        <f t="shared" si="117"/>
        <v>#REF!</v>
      </c>
      <c r="DU79" s="1988" t="e">
        <f>#REF!</f>
        <v>#REF!</v>
      </c>
      <c r="DV79" s="2003">
        <f t="shared" si="168"/>
        <v>0</v>
      </c>
      <c r="DW79" s="1989" t="e">
        <f>#REF!/10^7</f>
        <v>#REF!</v>
      </c>
      <c r="DX79" s="2003">
        <f t="shared" si="169"/>
        <v>0</v>
      </c>
      <c r="DY79" s="1989" t="e">
        <f>#REF!/10^7</f>
        <v>#REF!</v>
      </c>
      <c r="DZ79" s="2003">
        <f t="shared" si="170"/>
        <v>0</v>
      </c>
      <c r="EA79" s="1989" t="e">
        <f>#REF!/10^7</f>
        <v>#REF!</v>
      </c>
      <c r="EB79" s="1989" t="e">
        <f>#REF!/10^7</f>
        <v>#REF!</v>
      </c>
      <c r="EC79" s="2002" t="e">
        <f t="shared" si="171"/>
        <v>#REF!</v>
      </c>
      <c r="ED79" s="1998" t="e">
        <f t="shared" si="118"/>
        <v>#REF!</v>
      </c>
      <c r="EE79" s="2005" t="e">
        <f t="shared" si="122"/>
        <v>#REF!</v>
      </c>
      <c r="EF79" s="2003">
        <f t="shared" si="172"/>
        <v>0</v>
      </c>
      <c r="EG79" s="1989" t="e">
        <f t="shared" si="119"/>
        <v>#REF!</v>
      </c>
      <c r="EH79" s="2003">
        <f t="shared" si="173"/>
        <v>0</v>
      </c>
      <c r="EI79" s="1989" t="e">
        <f t="shared" si="120"/>
        <v>#REF!</v>
      </c>
      <c r="EJ79" s="2003">
        <f t="shared" si="174"/>
        <v>0</v>
      </c>
      <c r="EK79" s="1989" t="e">
        <f t="shared" si="121"/>
        <v>#REF!</v>
      </c>
      <c r="EL79" s="1989" t="e">
        <f t="shared" si="121"/>
        <v>#REF!</v>
      </c>
      <c r="EM79" s="2006" t="e">
        <f t="shared" si="175"/>
        <v>#REF!</v>
      </c>
      <c r="EN79" s="1999" t="e">
        <f t="shared" si="123"/>
        <v>#REF!</v>
      </c>
      <c r="EP79" s="1613" t="e">
        <f>EA79-#REF!/10^7</f>
        <v>#REF!</v>
      </c>
      <c r="EW79" s="1611" t="e">
        <v>#N/A</v>
      </c>
      <c r="EX79" s="1612" t="s">
        <v>1649</v>
      </c>
      <c r="EZ79" s="1650">
        <f t="shared" si="176"/>
        <v>0</v>
      </c>
    </row>
    <row r="80" spans="1:156" ht="21" customHeight="1">
      <c r="A80" s="1652">
        <v>37</v>
      </c>
      <c r="B80" s="1668"/>
      <c r="C80" s="1645"/>
      <c r="D80" s="1648"/>
      <c r="E80" s="1648"/>
      <c r="F80" s="1648"/>
      <c r="G80" s="1648"/>
      <c r="H80" s="1648"/>
      <c r="I80" s="1648"/>
      <c r="J80" s="1663"/>
      <c r="K80" s="1648"/>
      <c r="L80" s="1648"/>
      <c r="M80" s="1648"/>
      <c r="N80" s="1642"/>
      <c r="O80" s="2000"/>
      <c r="P80" s="2003">
        <f t="shared" si="124"/>
        <v>0</v>
      </c>
      <c r="Q80" s="1989"/>
      <c r="R80" s="2003">
        <f t="shared" si="125"/>
        <v>0</v>
      </c>
      <c r="S80" s="1989"/>
      <c r="T80" s="2003">
        <f t="shared" si="126"/>
        <v>0</v>
      </c>
      <c r="U80" s="1989"/>
      <c r="V80" s="1989"/>
      <c r="W80" s="1989">
        <f t="shared" si="127"/>
        <v>0</v>
      </c>
      <c r="X80" s="1999">
        <f t="shared" si="114"/>
        <v>0</v>
      </c>
      <c r="Y80" s="1993"/>
      <c r="Z80" s="2003">
        <f t="shared" si="128"/>
        <v>0</v>
      </c>
      <c r="AA80" s="1989"/>
      <c r="AB80" s="2003">
        <f t="shared" si="129"/>
        <v>0</v>
      </c>
      <c r="AC80" s="1989"/>
      <c r="AD80" s="2003">
        <f t="shared" si="130"/>
        <v>0</v>
      </c>
      <c r="AE80" s="1989"/>
      <c r="AF80" s="1989"/>
      <c r="AG80" s="2002">
        <f t="shared" si="131"/>
        <v>0</v>
      </c>
      <c r="AH80" s="1999">
        <f t="shared" si="106"/>
        <v>0</v>
      </c>
      <c r="AI80" s="1993"/>
      <c r="AJ80" s="2003">
        <f t="shared" si="132"/>
        <v>0</v>
      </c>
      <c r="AK80" s="1989"/>
      <c r="AL80" s="2003">
        <f t="shared" si="133"/>
        <v>0</v>
      </c>
      <c r="AM80" s="1989"/>
      <c r="AN80" s="2003">
        <f t="shared" si="134"/>
        <v>0</v>
      </c>
      <c r="AO80" s="1989"/>
      <c r="AP80" s="1989"/>
      <c r="AQ80" s="2002">
        <f t="shared" si="135"/>
        <v>0</v>
      </c>
      <c r="AR80" s="1999">
        <f t="shared" si="107"/>
        <v>0</v>
      </c>
      <c r="AS80" s="1993"/>
      <c r="AT80" s="2003">
        <f t="shared" si="136"/>
        <v>0</v>
      </c>
      <c r="AU80" s="1989"/>
      <c r="AV80" s="2003">
        <f t="shared" si="137"/>
        <v>0</v>
      </c>
      <c r="AW80" s="1989"/>
      <c r="AX80" s="2003">
        <f t="shared" si="138"/>
        <v>0</v>
      </c>
      <c r="AY80" s="1989"/>
      <c r="AZ80" s="1989"/>
      <c r="BA80" s="2002">
        <f t="shared" si="139"/>
        <v>0</v>
      </c>
      <c r="BB80" s="1999">
        <f t="shared" si="108"/>
        <v>0</v>
      </c>
      <c r="BC80" s="1993"/>
      <c r="BD80" s="2003">
        <f t="shared" si="140"/>
        <v>0</v>
      </c>
      <c r="BE80" s="1989"/>
      <c r="BF80" s="2003">
        <f t="shared" si="141"/>
        <v>0</v>
      </c>
      <c r="BG80" s="1989"/>
      <c r="BH80" s="2003">
        <f t="shared" si="142"/>
        <v>0</v>
      </c>
      <c r="BI80" s="1989"/>
      <c r="BJ80" s="1989"/>
      <c r="BK80" s="2002">
        <f t="shared" si="143"/>
        <v>0</v>
      </c>
      <c r="BL80" s="1999">
        <f t="shared" si="109"/>
        <v>0</v>
      </c>
      <c r="BM80" s="1993"/>
      <c r="BN80" s="2003">
        <f t="shared" si="144"/>
        <v>0</v>
      </c>
      <c r="BO80" s="1989"/>
      <c r="BP80" s="2003">
        <f t="shared" si="145"/>
        <v>0</v>
      </c>
      <c r="BQ80" s="1989"/>
      <c r="BR80" s="2003">
        <f t="shared" si="146"/>
        <v>0</v>
      </c>
      <c r="BS80" s="1989"/>
      <c r="BT80" s="1989"/>
      <c r="BU80" s="2002">
        <f t="shared" si="147"/>
        <v>0</v>
      </c>
      <c r="BV80" s="1999">
        <f t="shared" si="110"/>
        <v>0</v>
      </c>
      <c r="BW80" s="1993"/>
      <c r="BX80" s="2003">
        <f t="shared" si="148"/>
        <v>0</v>
      </c>
      <c r="BY80" s="1989"/>
      <c r="BZ80" s="2003">
        <f t="shared" si="149"/>
        <v>0</v>
      </c>
      <c r="CA80" s="1989"/>
      <c r="CB80" s="2003">
        <f t="shared" si="150"/>
        <v>0</v>
      </c>
      <c r="CC80" s="1989"/>
      <c r="CD80" s="1989"/>
      <c r="CE80" s="2002">
        <f t="shared" si="151"/>
        <v>0</v>
      </c>
      <c r="CF80" s="1999">
        <f t="shared" si="111"/>
        <v>0</v>
      </c>
      <c r="CG80" s="1993"/>
      <c r="CH80" s="2003">
        <f t="shared" si="152"/>
        <v>0</v>
      </c>
      <c r="CI80" s="1989"/>
      <c r="CJ80" s="2003">
        <f t="shared" si="153"/>
        <v>0</v>
      </c>
      <c r="CK80" s="1989"/>
      <c r="CL80" s="2003">
        <f t="shared" si="154"/>
        <v>0</v>
      </c>
      <c r="CM80" s="1989"/>
      <c r="CN80" s="1989"/>
      <c r="CO80" s="2002">
        <f t="shared" si="155"/>
        <v>0</v>
      </c>
      <c r="CP80" s="1999">
        <f t="shared" si="112"/>
        <v>0</v>
      </c>
      <c r="CQ80" s="1993"/>
      <c r="CR80" s="2003">
        <f t="shared" si="156"/>
        <v>0</v>
      </c>
      <c r="CS80" s="1989"/>
      <c r="CT80" s="2003">
        <f t="shared" si="157"/>
        <v>0</v>
      </c>
      <c r="CU80" s="1989"/>
      <c r="CV80" s="2003">
        <f t="shared" si="158"/>
        <v>0</v>
      </c>
      <c r="CW80" s="1989"/>
      <c r="CX80" s="1989"/>
      <c r="CY80" s="2002">
        <f t="shared" si="159"/>
        <v>0</v>
      </c>
      <c r="CZ80" s="1999">
        <f t="shared" si="115"/>
        <v>0</v>
      </c>
      <c r="DA80" s="1993"/>
      <c r="DB80" s="2003">
        <f t="shared" si="160"/>
        <v>0</v>
      </c>
      <c r="DC80" s="1989"/>
      <c r="DD80" s="2003">
        <f t="shared" si="161"/>
        <v>0</v>
      </c>
      <c r="DE80" s="1989"/>
      <c r="DF80" s="2003">
        <f t="shared" si="162"/>
        <v>0</v>
      </c>
      <c r="DG80" s="1989"/>
      <c r="DH80" s="1989"/>
      <c r="DI80" s="2002">
        <f t="shared" si="163"/>
        <v>0</v>
      </c>
      <c r="DJ80" s="1999">
        <f t="shared" si="116"/>
        <v>0</v>
      </c>
      <c r="DK80" s="1993"/>
      <c r="DL80" s="2003">
        <f t="shared" si="164"/>
        <v>0</v>
      </c>
      <c r="DM80" s="1989"/>
      <c r="DN80" s="2003">
        <f t="shared" si="165"/>
        <v>0</v>
      </c>
      <c r="DO80" s="1989"/>
      <c r="DP80" s="2003">
        <f t="shared" si="166"/>
        <v>0</v>
      </c>
      <c r="DQ80" s="1989"/>
      <c r="DR80" s="1989"/>
      <c r="DS80" s="2002">
        <f t="shared" si="167"/>
        <v>0</v>
      </c>
      <c r="DT80" s="2004">
        <f t="shared" si="117"/>
        <v>0</v>
      </c>
      <c r="DU80" s="1988"/>
      <c r="DV80" s="2003">
        <f t="shared" si="168"/>
        <v>0</v>
      </c>
      <c r="DW80" s="1989"/>
      <c r="DX80" s="2003">
        <f t="shared" si="169"/>
        <v>0</v>
      </c>
      <c r="DY80" s="1989"/>
      <c r="DZ80" s="2003">
        <f t="shared" si="170"/>
        <v>0</v>
      </c>
      <c r="EA80" s="1989"/>
      <c r="EB80" s="1989"/>
      <c r="EC80" s="2002">
        <f t="shared" si="171"/>
        <v>0</v>
      </c>
      <c r="ED80" s="1998">
        <f t="shared" si="118"/>
        <v>0</v>
      </c>
      <c r="EE80" s="2005">
        <f t="shared" si="122"/>
        <v>0</v>
      </c>
      <c r="EF80" s="2003">
        <f t="shared" si="172"/>
        <v>0</v>
      </c>
      <c r="EG80" s="1989">
        <f t="shared" si="119"/>
        <v>0</v>
      </c>
      <c r="EH80" s="2003">
        <f t="shared" si="173"/>
        <v>0</v>
      </c>
      <c r="EI80" s="1989">
        <f t="shared" si="120"/>
        <v>0</v>
      </c>
      <c r="EJ80" s="2003">
        <f t="shared" si="174"/>
        <v>0</v>
      </c>
      <c r="EK80" s="1989">
        <f t="shared" si="121"/>
        <v>0</v>
      </c>
      <c r="EL80" s="1989">
        <f t="shared" si="121"/>
        <v>0</v>
      </c>
      <c r="EM80" s="2006">
        <f t="shared" si="175"/>
        <v>0</v>
      </c>
      <c r="EN80" s="1999">
        <f>EG80+EI80+EK80+EL80+ED80</f>
        <v>0</v>
      </c>
      <c r="EP80" s="1613" t="e">
        <f>EA80-#REF!/10^7</f>
        <v>#REF!</v>
      </c>
      <c r="EW80" s="1611" t="e">
        <v>#N/A</v>
      </c>
      <c r="EX80" s="1612" t="e">
        <v>#N/A</v>
      </c>
      <c r="EZ80" s="1650">
        <f t="shared" si="176"/>
        <v>0</v>
      </c>
    </row>
    <row r="81" spans="1:156" ht="21" customHeight="1">
      <c r="A81" s="1652">
        <v>38</v>
      </c>
      <c r="B81" s="1668"/>
      <c r="C81" s="1645"/>
      <c r="D81" s="1648"/>
      <c r="E81" s="1648"/>
      <c r="F81" s="1648"/>
      <c r="G81" s="1648"/>
      <c r="H81" s="1648"/>
      <c r="I81" s="1648"/>
      <c r="J81" s="1663"/>
      <c r="K81" s="1648"/>
      <c r="L81" s="1648"/>
      <c r="M81" s="1648"/>
      <c r="N81" s="1642"/>
      <c r="O81" s="2000"/>
      <c r="P81" s="2003">
        <f t="shared" si="124"/>
        <v>0</v>
      </c>
      <c r="Q81" s="1989"/>
      <c r="R81" s="2003">
        <f t="shared" si="125"/>
        <v>0</v>
      </c>
      <c r="S81" s="1989"/>
      <c r="T81" s="2003">
        <f t="shared" si="126"/>
        <v>0</v>
      </c>
      <c r="U81" s="1989"/>
      <c r="V81" s="1989"/>
      <c r="W81" s="1989">
        <f t="shared" si="127"/>
        <v>0</v>
      </c>
      <c r="X81" s="1999">
        <f t="shared" si="114"/>
        <v>0</v>
      </c>
      <c r="Y81" s="1993"/>
      <c r="Z81" s="2003">
        <f t="shared" si="128"/>
        <v>0</v>
      </c>
      <c r="AA81" s="1989"/>
      <c r="AB81" s="2003">
        <f t="shared" si="129"/>
        <v>0</v>
      </c>
      <c r="AC81" s="1989"/>
      <c r="AD81" s="2003">
        <f t="shared" si="130"/>
        <v>0</v>
      </c>
      <c r="AE81" s="1989"/>
      <c r="AF81" s="1989"/>
      <c r="AG81" s="2002">
        <f t="shared" si="131"/>
        <v>0</v>
      </c>
      <c r="AH81" s="1999">
        <f t="shared" si="106"/>
        <v>0</v>
      </c>
      <c r="AI81" s="1993"/>
      <c r="AJ81" s="2003">
        <f t="shared" si="132"/>
        <v>0</v>
      </c>
      <c r="AK81" s="1989"/>
      <c r="AL81" s="2003">
        <f t="shared" si="133"/>
        <v>0</v>
      </c>
      <c r="AM81" s="1989"/>
      <c r="AN81" s="2003">
        <f t="shared" si="134"/>
        <v>0</v>
      </c>
      <c r="AO81" s="1989"/>
      <c r="AP81" s="1989"/>
      <c r="AQ81" s="2002">
        <f t="shared" si="135"/>
        <v>0</v>
      </c>
      <c r="AR81" s="1999">
        <f t="shared" si="107"/>
        <v>0</v>
      </c>
      <c r="AS81" s="1993"/>
      <c r="AT81" s="2003">
        <f t="shared" si="136"/>
        <v>0</v>
      </c>
      <c r="AU81" s="1989"/>
      <c r="AV81" s="2003">
        <f t="shared" si="137"/>
        <v>0</v>
      </c>
      <c r="AW81" s="1989"/>
      <c r="AX81" s="2003">
        <f t="shared" si="138"/>
        <v>0</v>
      </c>
      <c r="AY81" s="1989"/>
      <c r="AZ81" s="1989"/>
      <c r="BA81" s="2002">
        <f t="shared" si="139"/>
        <v>0</v>
      </c>
      <c r="BB81" s="1999">
        <f t="shared" si="108"/>
        <v>0</v>
      </c>
      <c r="BC81" s="1993"/>
      <c r="BD81" s="2003">
        <f t="shared" si="140"/>
        <v>0</v>
      </c>
      <c r="BE81" s="1989"/>
      <c r="BF81" s="2003">
        <f t="shared" si="141"/>
        <v>0</v>
      </c>
      <c r="BG81" s="1989"/>
      <c r="BH81" s="2003">
        <f t="shared" si="142"/>
        <v>0</v>
      </c>
      <c r="BI81" s="1989"/>
      <c r="BJ81" s="1989"/>
      <c r="BK81" s="2002">
        <f t="shared" si="143"/>
        <v>0</v>
      </c>
      <c r="BL81" s="1999">
        <f t="shared" si="109"/>
        <v>0</v>
      </c>
      <c r="BM81" s="1993"/>
      <c r="BN81" s="2003">
        <f t="shared" si="144"/>
        <v>0</v>
      </c>
      <c r="BO81" s="1989"/>
      <c r="BP81" s="2003">
        <f t="shared" si="145"/>
        <v>0</v>
      </c>
      <c r="BQ81" s="1989"/>
      <c r="BR81" s="2003">
        <f t="shared" si="146"/>
        <v>0</v>
      </c>
      <c r="BS81" s="1989"/>
      <c r="BT81" s="1989"/>
      <c r="BU81" s="2002">
        <f t="shared" si="147"/>
        <v>0</v>
      </c>
      <c r="BV81" s="1999">
        <f t="shared" si="110"/>
        <v>0</v>
      </c>
      <c r="BW81" s="1993"/>
      <c r="BX81" s="2003">
        <f t="shared" si="148"/>
        <v>0</v>
      </c>
      <c r="BY81" s="1989"/>
      <c r="BZ81" s="2003">
        <f t="shared" si="149"/>
        <v>0</v>
      </c>
      <c r="CA81" s="1989"/>
      <c r="CB81" s="2003">
        <f t="shared" si="150"/>
        <v>0</v>
      </c>
      <c r="CC81" s="1989"/>
      <c r="CD81" s="1989"/>
      <c r="CE81" s="2002">
        <f t="shared" si="151"/>
        <v>0</v>
      </c>
      <c r="CF81" s="1999">
        <f t="shared" si="111"/>
        <v>0</v>
      </c>
      <c r="CG81" s="1993"/>
      <c r="CH81" s="2003">
        <f t="shared" si="152"/>
        <v>0</v>
      </c>
      <c r="CI81" s="1989"/>
      <c r="CJ81" s="2003">
        <f t="shared" si="153"/>
        <v>0</v>
      </c>
      <c r="CK81" s="1989"/>
      <c r="CL81" s="2003">
        <f t="shared" si="154"/>
        <v>0</v>
      </c>
      <c r="CM81" s="1989"/>
      <c r="CN81" s="1989"/>
      <c r="CO81" s="2002">
        <f t="shared" si="155"/>
        <v>0</v>
      </c>
      <c r="CP81" s="1999">
        <f t="shared" si="112"/>
        <v>0</v>
      </c>
      <c r="CQ81" s="1993"/>
      <c r="CR81" s="2003">
        <f t="shared" si="156"/>
        <v>0</v>
      </c>
      <c r="CS81" s="1989"/>
      <c r="CT81" s="2003">
        <f t="shared" si="157"/>
        <v>0</v>
      </c>
      <c r="CU81" s="1989"/>
      <c r="CV81" s="2003">
        <f t="shared" si="158"/>
        <v>0</v>
      </c>
      <c r="CW81" s="1989"/>
      <c r="CX81" s="1989"/>
      <c r="CY81" s="2002">
        <f t="shared" si="159"/>
        <v>0</v>
      </c>
      <c r="CZ81" s="1999">
        <f t="shared" si="115"/>
        <v>0</v>
      </c>
      <c r="DA81" s="1993"/>
      <c r="DB81" s="2003">
        <f t="shared" si="160"/>
        <v>0</v>
      </c>
      <c r="DC81" s="1989"/>
      <c r="DD81" s="2003">
        <f t="shared" si="161"/>
        <v>0</v>
      </c>
      <c r="DE81" s="1989"/>
      <c r="DF81" s="2003">
        <f t="shared" si="162"/>
        <v>0</v>
      </c>
      <c r="DG81" s="1989"/>
      <c r="DH81" s="1989"/>
      <c r="DI81" s="2002">
        <f t="shared" si="163"/>
        <v>0</v>
      </c>
      <c r="DJ81" s="1999">
        <f t="shared" si="116"/>
        <v>0</v>
      </c>
      <c r="DK81" s="1993"/>
      <c r="DL81" s="2003">
        <f t="shared" si="164"/>
        <v>0</v>
      </c>
      <c r="DM81" s="1989"/>
      <c r="DN81" s="2003">
        <f t="shared" si="165"/>
        <v>0</v>
      </c>
      <c r="DO81" s="1989"/>
      <c r="DP81" s="2003">
        <f t="shared" si="166"/>
        <v>0</v>
      </c>
      <c r="DQ81" s="1989"/>
      <c r="DR81" s="1989"/>
      <c r="DS81" s="2002">
        <f t="shared" si="167"/>
        <v>0</v>
      </c>
      <c r="DT81" s="2004">
        <f t="shared" si="117"/>
        <v>0</v>
      </c>
      <c r="DU81" s="1988"/>
      <c r="DV81" s="2003">
        <f t="shared" si="168"/>
        <v>0</v>
      </c>
      <c r="DW81" s="1989"/>
      <c r="DX81" s="2003">
        <f t="shared" si="169"/>
        <v>0</v>
      </c>
      <c r="DY81" s="1989"/>
      <c r="DZ81" s="2003">
        <f t="shared" si="170"/>
        <v>0</v>
      </c>
      <c r="EA81" s="1989"/>
      <c r="EB81" s="1989"/>
      <c r="EC81" s="2002">
        <f t="shared" si="171"/>
        <v>0</v>
      </c>
      <c r="ED81" s="1998">
        <f t="shared" si="118"/>
        <v>0</v>
      </c>
      <c r="EE81" s="2005">
        <f t="shared" si="122"/>
        <v>0</v>
      </c>
      <c r="EF81" s="2003">
        <f t="shared" si="172"/>
        <v>0</v>
      </c>
      <c r="EG81" s="1989">
        <f t="shared" si="119"/>
        <v>0</v>
      </c>
      <c r="EH81" s="2003">
        <f t="shared" si="173"/>
        <v>0</v>
      </c>
      <c r="EI81" s="1989">
        <f t="shared" si="120"/>
        <v>0</v>
      </c>
      <c r="EJ81" s="2003">
        <f t="shared" si="174"/>
        <v>0</v>
      </c>
      <c r="EK81" s="1989">
        <f t="shared" si="121"/>
        <v>0</v>
      </c>
      <c r="EL81" s="1989">
        <f t="shared" si="121"/>
        <v>0</v>
      </c>
      <c r="EM81" s="2006">
        <f t="shared" si="175"/>
        <v>0</v>
      </c>
      <c r="EN81" s="1999">
        <f>EG81+EI81+EK81+EL81+ED81</f>
        <v>0</v>
      </c>
      <c r="EP81" s="1613" t="e">
        <f>EA81-#REF!/10^7</f>
        <v>#REF!</v>
      </c>
      <c r="EW81" s="1611" t="e">
        <v>#N/A</v>
      </c>
      <c r="EX81" s="1612" t="e">
        <v>#N/A</v>
      </c>
      <c r="EZ81" s="1650">
        <f t="shared" si="176"/>
        <v>0</v>
      </c>
    </row>
    <row r="82" spans="1:156" s="1660" customFormat="1" ht="21" customHeight="1">
      <c r="A82" s="1637"/>
      <c r="B82" s="1673" t="s">
        <v>1855</v>
      </c>
      <c r="C82" s="1674"/>
      <c r="D82" s="1656"/>
      <c r="E82" s="1656"/>
      <c r="F82" s="1656"/>
      <c r="G82" s="1656"/>
      <c r="H82" s="1656">
        <f>SUM(H44:H78)</f>
        <v>4704.5268000000005</v>
      </c>
      <c r="I82" s="1656"/>
      <c r="J82" s="1657"/>
      <c r="K82" s="1656"/>
      <c r="L82" s="1656"/>
      <c r="M82" s="1656"/>
      <c r="N82" s="1658"/>
      <c r="O82" s="2007" t="e">
        <f>SUM(O44:O81)</f>
        <v>#REF!</v>
      </c>
      <c r="P82" s="2003">
        <f t="shared" si="124"/>
        <v>0</v>
      </c>
      <c r="Q82" s="1826" t="e">
        <f>SUM(Q44:Q81)</f>
        <v>#REF!</v>
      </c>
      <c r="R82" s="2003">
        <f t="shared" si="125"/>
        <v>0</v>
      </c>
      <c r="S82" s="1826" t="e">
        <f>SUM(S44:S81)</f>
        <v>#REF!</v>
      </c>
      <c r="T82" s="2003">
        <f t="shared" si="126"/>
        <v>0</v>
      </c>
      <c r="U82" s="1826" t="e">
        <f>SUM(U44:U81)</f>
        <v>#REF!</v>
      </c>
      <c r="V82" s="1826"/>
      <c r="W82" s="1989">
        <f t="shared" si="127"/>
        <v>0</v>
      </c>
      <c r="X82" s="2008" t="e">
        <f t="shared" ref="X82:AF82" si="177">SUM(X44:X81)</f>
        <v>#REF!</v>
      </c>
      <c r="Y82" s="2007" t="e">
        <f t="shared" si="177"/>
        <v>#REF!</v>
      </c>
      <c r="Z82" s="2003">
        <f t="shared" si="128"/>
        <v>0</v>
      </c>
      <c r="AA82" s="1826" t="e">
        <f t="shared" si="177"/>
        <v>#REF!</v>
      </c>
      <c r="AB82" s="2003">
        <f t="shared" si="129"/>
        <v>0</v>
      </c>
      <c r="AC82" s="1826" t="e">
        <f t="shared" si="177"/>
        <v>#REF!</v>
      </c>
      <c r="AD82" s="2003">
        <f t="shared" si="130"/>
        <v>0</v>
      </c>
      <c r="AE82" s="1826" t="e">
        <f t="shared" si="177"/>
        <v>#REF!</v>
      </c>
      <c r="AF82" s="1826" t="e">
        <f t="shared" si="177"/>
        <v>#REF!</v>
      </c>
      <c r="AG82" s="2002" t="e">
        <f t="shared" si="131"/>
        <v>#REF!</v>
      </c>
      <c r="AH82" s="2008" t="e">
        <f t="shared" ref="AH82:AP82" si="178">SUM(AH44:AH81)</f>
        <v>#REF!</v>
      </c>
      <c r="AI82" s="2007" t="e">
        <f t="shared" si="178"/>
        <v>#REF!</v>
      </c>
      <c r="AJ82" s="2003">
        <f t="shared" si="132"/>
        <v>0</v>
      </c>
      <c r="AK82" s="1826" t="e">
        <f t="shared" si="178"/>
        <v>#REF!</v>
      </c>
      <c r="AL82" s="2003">
        <f t="shared" si="133"/>
        <v>0</v>
      </c>
      <c r="AM82" s="1826" t="e">
        <f t="shared" si="178"/>
        <v>#REF!</v>
      </c>
      <c r="AN82" s="2003">
        <f t="shared" si="134"/>
        <v>0</v>
      </c>
      <c r="AO82" s="1826" t="e">
        <f t="shared" si="178"/>
        <v>#REF!</v>
      </c>
      <c r="AP82" s="1826" t="e">
        <f t="shared" si="178"/>
        <v>#REF!</v>
      </c>
      <c r="AQ82" s="2002" t="e">
        <f t="shared" si="135"/>
        <v>#REF!</v>
      </c>
      <c r="AR82" s="2008" t="e">
        <f t="shared" ref="AR82:AZ82" si="179">SUM(AR44:AR81)</f>
        <v>#REF!</v>
      </c>
      <c r="AS82" s="2007" t="e">
        <f t="shared" si="179"/>
        <v>#REF!</v>
      </c>
      <c r="AT82" s="2003">
        <f t="shared" si="136"/>
        <v>0</v>
      </c>
      <c r="AU82" s="1826" t="e">
        <f t="shared" si="179"/>
        <v>#REF!</v>
      </c>
      <c r="AV82" s="2003">
        <f t="shared" si="137"/>
        <v>0</v>
      </c>
      <c r="AW82" s="1826" t="e">
        <f t="shared" si="179"/>
        <v>#REF!</v>
      </c>
      <c r="AX82" s="2003">
        <f t="shared" si="138"/>
        <v>0</v>
      </c>
      <c r="AY82" s="1826" t="e">
        <f t="shared" si="179"/>
        <v>#REF!</v>
      </c>
      <c r="AZ82" s="1826" t="e">
        <f t="shared" si="179"/>
        <v>#REF!</v>
      </c>
      <c r="BA82" s="2002" t="e">
        <f t="shared" si="139"/>
        <v>#REF!</v>
      </c>
      <c r="BB82" s="2008" t="e">
        <f t="shared" ref="BB82:BJ82" si="180">SUM(BB44:BB81)</f>
        <v>#REF!</v>
      </c>
      <c r="BC82" s="2007" t="e">
        <f t="shared" si="180"/>
        <v>#REF!</v>
      </c>
      <c r="BD82" s="2003">
        <f t="shared" si="140"/>
        <v>0</v>
      </c>
      <c r="BE82" s="1826" t="e">
        <f t="shared" si="180"/>
        <v>#REF!</v>
      </c>
      <c r="BF82" s="2003">
        <f t="shared" si="141"/>
        <v>0</v>
      </c>
      <c r="BG82" s="1826" t="e">
        <f t="shared" si="180"/>
        <v>#REF!</v>
      </c>
      <c r="BH82" s="2003">
        <f t="shared" si="142"/>
        <v>0</v>
      </c>
      <c r="BI82" s="1826" t="e">
        <f t="shared" si="180"/>
        <v>#REF!</v>
      </c>
      <c r="BJ82" s="1826" t="e">
        <f t="shared" si="180"/>
        <v>#REF!</v>
      </c>
      <c r="BK82" s="2002" t="e">
        <f t="shared" si="143"/>
        <v>#REF!</v>
      </c>
      <c r="BL82" s="2008" t="e">
        <f t="shared" ref="BL82:BT82" si="181">SUM(BL44:BL81)</f>
        <v>#REF!</v>
      </c>
      <c r="BM82" s="2007" t="e">
        <f t="shared" si="181"/>
        <v>#REF!</v>
      </c>
      <c r="BN82" s="2003">
        <f t="shared" si="144"/>
        <v>0</v>
      </c>
      <c r="BO82" s="1826" t="e">
        <f t="shared" si="181"/>
        <v>#REF!</v>
      </c>
      <c r="BP82" s="2003">
        <f t="shared" si="145"/>
        <v>0</v>
      </c>
      <c r="BQ82" s="1826" t="e">
        <f t="shared" si="181"/>
        <v>#REF!</v>
      </c>
      <c r="BR82" s="2003">
        <f t="shared" si="146"/>
        <v>0</v>
      </c>
      <c r="BS82" s="1826" t="e">
        <f t="shared" si="181"/>
        <v>#REF!</v>
      </c>
      <c r="BT82" s="1826" t="e">
        <f t="shared" si="181"/>
        <v>#REF!</v>
      </c>
      <c r="BU82" s="2002" t="e">
        <f t="shared" si="147"/>
        <v>#REF!</v>
      </c>
      <c r="BV82" s="2008" t="e">
        <f t="shared" ref="BV82:CD82" si="182">SUM(BV44:BV81)</f>
        <v>#REF!</v>
      </c>
      <c r="BW82" s="2007" t="e">
        <f t="shared" si="182"/>
        <v>#REF!</v>
      </c>
      <c r="BX82" s="2003">
        <f t="shared" si="148"/>
        <v>0</v>
      </c>
      <c r="BY82" s="1826" t="e">
        <f t="shared" si="182"/>
        <v>#REF!</v>
      </c>
      <c r="BZ82" s="2003">
        <f t="shared" si="149"/>
        <v>0</v>
      </c>
      <c r="CA82" s="1826" t="e">
        <f>SUM(CA44:CA81)</f>
        <v>#REF!</v>
      </c>
      <c r="CB82" s="2003">
        <f t="shared" si="150"/>
        <v>0</v>
      </c>
      <c r="CC82" s="1826" t="e">
        <f t="shared" si="182"/>
        <v>#REF!</v>
      </c>
      <c r="CD82" s="1826" t="e">
        <f t="shared" si="182"/>
        <v>#REF!</v>
      </c>
      <c r="CE82" s="2002" t="e">
        <f t="shared" si="151"/>
        <v>#REF!</v>
      </c>
      <c r="CF82" s="2008" t="e">
        <f t="shared" ref="CF82:CN82" si="183">SUM(CF44:CF81)</f>
        <v>#REF!</v>
      </c>
      <c r="CG82" s="2007" t="e">
        <f t="shared" si="183"/>
        <v>#REF!</v>
      </c>
      <c r="CH82" s="2003">
        <f t="shared" si="152"/>
        <v>0</v>
      </c>
      <c r="CI82" s="1826" t="e">
        <f t="shared" si="183"/>
        <v>#REF!</v>
      </c>
      <c r="CJ82" s="2003">
        <f t="shared" si="153"/>
        <v>0</v>
      </c>
      <c r="CK82" s="1826" t="e">
        <f t="shared" si="183"/>
        <v>#REF!</v>
      </c>
      <c r="CL82" s="2003">
        <f t="shared" si="154"/>
        <v>0</v>
      </c>
      <c r="CM82" s="1826" t="e">
        <f t="shared" si="183"/>
        <v>#REF!</v>
      </c>
      <c r="CN82" s="1826" t="e">
        <f t="shared" si="183"/>
        <v>#REF!</v>
      </c>
      <c r="CO82" s="2002" t="e">
        <f t="shared" si="155"/>
        <v>#REF!</v>
      </c>
      <c r="CP82" s="2008" t="e">
        <f t="shared" ref="CP82:CX82" si="184">SUM(CP44:CP81)</f>
        <v>#REF!</v>
      </c>
      <c r="CQ82" s="2007" t="e">
        <f t="shared" si="184"/>
        <v>#REF!</v>
      </c>
      <c r="CR82" s="2003">
        <f t="shared" si="156"/>
        <v>0</v>
      </c>
      <c r="CS82" s="1826" t="e">
        <f t="shared" si="184"/>
        <v>#REF!</v>
      </c>
      <c r="CT82" s="2003">
        <f t="shared" si="157"/>
        <v>0</v>
      </c>
      <c r="CU82" s="1826" t="e">
        <f t="shared" si="184"/>
        <v>#REF!</v>
      </c>
      <c r="CV82" s="2003">
        <f t="shared" si="158"/>
        <v>0</v>
      </c>
      <c r="CW82" s="1826" t="e">
        <f t="shared" si="184"/>
        <v>#REF!</v>
      </c>
      <c r="CX82" s="1826" t="e">
        <f t="shared" si="184"/>
        <v>#REF!</v>
      </c>
      <c r="CY82" s="2002" t="e">
        <f t="shared" si="159"/>
        <v>#REF!</v>
      </c>
      <c r="CZ82" s="2008" t="e">
        <f t="shared" ref="CZ82:DH82" si="185">SUM(CZ44:CZ81)</f>
        <v>#REF!</v>
      </c>
      <c r="DA82" s="2007" t="e">
        <f t="shared" si="185"/>
        <v>#REF!</v>
      </c>
      <c r="DB82" s="2003">
        <f t="shared" si="160"/>
        <v>0</v>
      </c>
      <c r="DC82" s="1826" t="e">
        <f t="shared" si="185"/>
        <v>#REF!</v>
      </c>
      <c r="DD82" s="2003">
        <f t="shared" si="161"/>
        <v>0</v>
      </c>
      <c r="DE82" s="1826" t="e">
        <f t="shared" si="185"/>
        <v>#REF!</v>
      </c>
      <c r="DF82" s="2003">
        <f t="shared" si="162"/>
        <v>0</v>
      </c>
      <c r="DG82" s="1826" t="e">
        <f t="shared" si="185"/>
        <v>#REF!</v>
      </c>
      <c r="DH82" s="1826" t="e">
        <f t="shared" si="185"/>
        <v>#REF!</v>
      </c>
      <c r="DI82" s="2002" t="e">
        <f t="shared" si="163"/>
        <v>#REF!</v>
      </c>
      <c r="DJ82" s="2008" t="e">
        <f>SUM(DJ44:DJ81)</f>
        <v>#REF!</v>
      </c>
      <c r="DK82" s="2007" t="e">
        <f>DK44+DK45+DK46+DK47+DK48+DK49+DK50+DK51+DK52+DK53+DK54+DK55+DK56+DK57+DK58+DK59+DK60+DK61+DK62+DK63+DK64+DK65+DK66+DK67+DK68+DK69+DK70+DK71+DK72+DK73+DK74+DK75+DK76+DK77+DK78+DK79</f>
        <v>#REF!</v>
      </c>
      <c r="DL82" s="2003">
        <f t="shared" si="164"/>
        <v>0</v>
      </c>
      <c r="DM82" s="1826" t="e">
        <f>SUM(DM44:DM81)</f>
        <v>#REF!</v>
      </c>
      <c r="DN82" s="2003">
        <f t="shared" si="165"/>
        <v>0</v>
      </c>
      <c r="DO82" s="1826" t="e">
        <f>SUM(DO44:DO81)</f>
        <v>#REF!</v>
      </c>
      <c r="DP82" s="2003">
        <f t="shared" si="166"/>
        <v>0</v>
      </c>
      <c r="DQ82" s="1826" t="e">
        <f>SUM(DQ44:DQ81)</f>
        <v>#REF!</v>
      </c>
      <c r="DR82" s="1826" t="e">
        <f>SUM(DR44:DR81)</f>
        <v>#REF!</v>
      </c>
      <c r="DS82" s="2002" t="e">
        <f t="shared" si="167"/>
        <v>#REF!</v>
      </c>
      <c r="DT82" s="2009" t="e">
        <f t="shared" ref="DT82:EB82" si="186">SUM(DT44:DT81)</f>
        <v>#REF!</v>
      </c>
      <c r="DU82" s="2010" t="e">
        <f t="shared" si="186"/>
        <v>#REF!</v>
      </c>
      <c r="DV82" s="2003">
        <f t="shared" si="168"/>
        <v>0</v>
      </c>
      <c r="DW82" s="1826" t="e">
        <f t="shared" si="186"/>
        <v>#REF!</v>
      </c>
      <c r="DX82" s="2003">
        <f t="shared" si="169"/>
        <v>0</v>
      </c>
      <c r="DY82" s="1826" t="e">
        <f t="shared" si="186"/>
        <v>#REF!</v>
      </c>
      <c r="DZ82" s="2003">
        <f t="shared" si="170"/>
        <v>0</v>
      </c>
      <c r="EA82" s="1826" t="e">
        <f t="shared" si="186"/>
        <v>#REF!</v>
      </c>
      <c r="EB82" s="1826" t="e">
        <f t="shared" si="186"/>
        <v>#REF!</v>
      </c>
      <c r="EC82" s="2002" t="e">
        <f t="shared" si="171"/>
        <v>#REF!</v>
      </c>
      <c r="ED82" s="1826" t="e">
        <f t="shared" ref="ED82:EL82" si="187">SUM(ED44:ED81)</f>
        <v>#REF!</v>
      </c>
      <c r="EE82" s="2011" t="e">
        <f>SUM(EE44:EE81)</f>
        <v>#REF!</v>
      </c>
      <c r="EF82" s="2003">
        <f t="shared" si="172"/>
        <v>0</v>
      </c>
      <c r="EG82" s="1826" t="e">
        <f t="shared" si="187"/>
        <v>#REF!</v>
      </c>
      <c r="EH82" s="2003">
        <f t="shared" si="173"/>
        <v>0</v>
      </c>
      <c r="EI82" s="1826" t="e">
        <f t="shared" si="187"/>
        <v>#REF!</v>
      </c>
      <c r="EJ82" s="2003">
        <f t="shared" si="174"/>
        <v>0</v>
      </c>
      <c r="EK82" s="1826" t="e">
        <f t="shared" si="187"/>
        <v>#REF!</v>
      </c>
      <c r="EL82" s="1826" t="e">
        <f t="shared" si="187"/>
        <v>#REF!</v>
      </c>
      <c r="EM82" s="2006" t="e">
        <f t="shared" si="175"/>
        <v>#REF!</v>
      </c>
      <c r="EN82" s="2008" t="e">
        <f>SUM(EN44:EN81)</f>
        <v>#REF!</v>
      </c>
      <c r="EO82" s="1659"/>
      <c r="EP82" s="1613" t="e">
        <f>EA82-#REF!/10^7</f>
        <v>#REF!</v>
      </c>
      <c r="EQ82" s="1661"/>
      <c r="EW82" s="1611" t="e">
        <v>#N/A</v>
      </c>
      <c r="EX82" s="1612" t="e">
        <v>#N/A</v>
      </c>
      <c r="EZ82" s="1650">
        <f t="shared" si="176"/>
        <v>0</v>
      </c>
    </row>
    <row r="83" spans="1:156" ht="21" customHeight="1">
      <c r="A83" s="1652"/>
      <c r="B83" s="1668"/>
      <c r="C83" s="1645"/>
      <c r="D83" s="1648"/>
      <c r="E83" s="1648"/>
      <c r="F83" s="1648"/>
      <c r="G83" s="1648"/>
      <c r="H83" s="1648"/>
      <c r="I83" s="1648"/>
      <c r="J83" s="1663"/>
      <c r="K83" s="1648"/>
      <c r="L83" s="1648"/>
      <c r="M83" s="1648"/>
      <c r="N83" s="1642"/>
      <c r="O83" s="2000"/>
      <c r="P83" s="2003">
        <f t="shared" si="124"/>
        <v>0</v>
      </c>
      <c r="Q83" s="1989"/>
      <c r="R83" s="2003">
        <f t="shared" si="125"/>
        <v>0</v>
      </c>
      <c r="S83" s="1989"/>
      <c r="T83" s="2003">
        <f t="shared" si="126"/>
        <v>0</v>
      </c>
      <c r="U83" s="1989"/>
      <c r="V83" s="1989"/>
      <c r="W83" s="1989">
        <f t="shared" si="127"/>
        <v>0</v>
      </c>
      <c r="X83" s="2012"/>
      <c r="Y83" s="1993"/>
      <c r="Z83" s="2003">
        <f t="shared" si="128"/>
        <v>0</v>
      </c>
      <c r="AA83" s="1989"/>
      <c r="AB83" s="2003">
        <f t="shared" si="129"/>
        <v>0</v>
      </c>
      <c r="AC83" s="1989"/>
      <c r="AD83" s="2003">
        <f t="shared" si="130"/>
        <v>0</v>
      </c>
      <c r="AE83" s="1989"/>
      <c r="AF83" s="1989"/>
      <c r="AG83" s="2002">
        <f t="shared" si="131"/>
        <v>0</v>
      </c>
      <c r="AH83" s="1999"/>
      <c r="AI83" s="1993"/>
      <c r="AJ83" s="2003">
        <f t="shared" si="132"/>
        <v>0</v>
      </c>
      <c r="AK83" s="1989"/>
      <c r="AL83" s="2003">
        <f t="shared" si="133"/>
        <v>0</v>
      </c>
      <c r="AM83" s="1989"/>
      <c r="AN83" s="2003">
        <f t="shared" si="134"/>
        <v>0</v>
      </c>
      <c r="AO83" s="1989"/>
      <c r="AP83" s="1989"/>
      <c r="AQ83" s="2002">
        <f t="shared" si="135"/>
        <v>0</v>
      </c>
      <c r="AR83" s="1999"/>
      <c r="AS83" s="1993"/>
      <c r="AT83" s="2003">
        <f t="shared" si="136"/>
        <v>0</v>
      </c>
      <c r="AU83" s="1989"/>
      <c r="AV83" s="2003">
        <f t="shared" si="137"/>
        <v>0</v>
      </c>
      <c r="AW83" s="1989"/>
      <c r="AX83" s="2003">
        <f t="shared" si="138"/>
        <v>0</v>
      </c>
      <c r="AY83" s="1989"/>
      <c r="AZ83" s="1989"/>
      <c r="BA83" s="2002">
        <f t="shared" si="139"/>
        <v>0</v>
      </c>
      <c r="BB83" s="1999"/>
      <c r="BC83" s="1993"/>
      <c r="BD83" s="2003">
        <f t="shared" si="140"/>
        <v>0</v>
      </c>
      <c r="BE83" s="1989"/>
      <c r="BF83" s="2003">
        <f t="shared" si="141"/>
        <v>0</v>
      </c>
      <c r="BG83" s="1989"/>
      <c r="BH83" s="2003">
        <f t="shared" si="142"/>
        <v>0</v>
      </c>
      <c r="BI83" s="1989"/>
      <c r="BJ83" s="1989"/>
      <c r="BK83" s="2002">
        <f t="shared" si="143"/>
        <v>0</v>
      </c>
      <c r="BL83" s="1999"/>
      <c r="BM83" s="2000"/>
      <c r="BN83" s="2003">
        <f t="shared" si="144"/>
        <v>0</v>
      </c>
      <c r="BO83" s="1989"/>
      <c r="BP83" s="2003">
        <f t="shared" si="145"/>
        <v>0</v>
      </c>
      <c r="BQ83" s="1989"/>
      <c r="BR83" s="2003">
        <f t="shared" si="146"/>
        <v>0</v>
      </c>
      <c r="BS83" s="1989"/>
      <c r="BT83" s="1989"/>
      <c r="BU83" s="2002">
        <f t="shared" si="147"/>
        <v>0</v>
      </c>
      <c r="BV83" s="1999"/>
      <c r="BW83" s="2000"/>
      <c r="BX83" s="2003">
        <f t="shared" si="148"/>
        <v>0</v>
      </c>
      <c r="BY83" s="2013"/>
      <c r="BZ83" s="2003">
        <f t="shared" si="149"/>
        <v>0</v>
      </c>
      <c r="CA83" s="2013"/>
      <c r="CB83" s="2003">
        <f t="shared" si="150"/>
        <v>0</v>
      </c>
      <c r="CC83" s="2013"/>
      <c r="CD83" s="1989"/>
      <c r="CE83" s="2002">
        <f t="shared" si="151"/>
        <v>0</v>
      </c>
      <c r="CF83" s="1999"/>
      <c r="CG83" s="2000" t="e">
        <f t="shared" ref="CG83:CP83" si="188">CG82+CG114+CG172</f>
        <v>#REF!</v>
      </c>
      <c r="CH83" s="2003">
        <f t="shared" si="152"/>
        <v>0</v>
      </c>
      <c r="CI83" s="2013" t="e">
        <f>(CI82+CI114+CI172)/10000000</f>
        <v>#REF!</v>
      </c>
      <c r="CJ83" s="2003">
        <f t="shared" si="153"/>
        <v>0</v>
      </c>
      <c r="CK83" s="2013" t="e">
        <f>(CK82+CK114+CK172)/10000000</f>
        <v>#REF!</v>
      </c>
      <c r="CL83" s="2003">
        <f t="shared" si="154"/>
        <v>0</v>
      </c>
      <c r="CM83" s="2013" t="e">
        <f>(CM82+CM114+CM172)/10000000</f>
        <v>#REF!</v>
      </c>
      <c r="CN83" s="2013" t="e">
        <f t="shared" si="188"/>
        <v>#REF!</v>
      </c>
      <c r="CO83" s="2002" t="e">
        <f t="shared" si="155"/>
        <v>#REF!</v>
      </c>
      <c r="CP83" s="2013" t="e">
        <f t="shared" si="188"/>
        <v>#REF!</v>
      </c>
      <c r="CQ83" s="2014"/>
      <c r="CR83" s="2003">
        <f t="shared" si="156"/>
        <v>0</v>
      </c>
      <c r="CS83" s="2015"/>
      <c r="CT83" s="2003">
        <f t="shared" si="157"/>
        <v>0</v>
      </c>
      <c r="CU83" s="2015"/>
      <c r="CV83" s="2003">
        <f t="shared" si="158"/>
        <v>0</v>
      </c>
      <c r="CW83" s="1989"/>
      <c r="CX83" s="1989"/>
      <c r="CY83" s="2002">
        <f t="shared" si="159"/>
        <v>0</v>
      </c>
      <c r="CZ83" s="2012"/>
      <c r="DA83" s="2014"/>
      <c r="DB83" s="2003">
        <f t="shared" si="160"/>
        <v>0</v>
      </c>
      <c r="DC83" s="2015"/>
      <c r="DD83" s="2003">
        <f t="shared" si="161"/>
        <v>0</v>
      </c>
      <c r="DE83" s="2015"/>
      <c r="DF83" s="2003">
        <f t="shared" si="162"/>
        <v>0</v>
      </c>
      <c r="DG83" s="1989"/>
      <c r="DH83" s="1989"/>
      <c r="DI83" s="2002">
        <f t="shared" si="163"/>
        <v>0</v>
      </c>
      <c r="DJ83" s="2012"/>
      <c r="DK83" s="2014"/>
      <c r="DL83" s="2003">
        <f t="shared" si="164"/>
        <v>0</v>
      </c>
      <c r="DM83" s="2016"/>
      <c r="DN83" s="2003">
        <f t="shared" si="165"/>
        <v>0</v>
      </c>
      <c r="DO83" s="2016"/>
      <c r="DP83" s="2003">
        <f t="shared" si="166"/>
        <v>0</v>
      </c>
      <c r="DQ83" s="1989"/>
      <c r="DR83" s="1989"/>
      <c r="DS83" s="2002">
        <f t="shared" si="167"/>
        <v>0</v>
      </c>
      <c r="DT83" s="2017"/>
      <c r="DU83" s="2018"/>
      <c r="DV83" s="2003">
        <f t="shared" si="168"/>
        <v>0</v>
      </c>
      <c r="DW83" s="2015"/>
      <c r="DX83" s="2003">
        <f t="shared" si="169"/>
        <v>0</v>
      </c>
      <c r="DY83" s="2015"/>
      <c r="DZ83" s="2003">
        <f t="shared" si="170"/>
        <v>0</v>
      </c>
      <c r="EA83" s="1989"/>
      <c r="EB83" s="1989"/>
      <c r="EC83" s="2002">
        <f t="shared" si="171"/>
        <v>0</v>
      </c>
      <c r="ED83" s="2015"/>
      <c r="EE83" s="2005"/>
      <c r="EF83" s="2003">
        <f t="shared" si="172"/>
        <v>0</v>
      </c>
      <c r="EG83" s="1989"/>
      <c r="EH83" s="2003">
        <f t="shared" si="173"/>
        <v>0</v>
      </c>
      <c r="EI83" s="1989"/>
      <c r="EJ83" s="2003">
        <f t="shared" si="174"/>
        <v>0</v>
      </c>
      <c r="EK83" s="1989"/>
      <c r="EL83" s="1989"/>
      <c r="EM83" s="2006">
        <f t="shared" si="175"/>
        <v>0</v>
      </c>
      <c r="EN83" s="1999"/>
      <c r="EP83" s="1613" t="e">
        <f>EA83-#REF!/10^7</f>
        <v>#REF!</v>
      </c>
      <c r="EW83" s="1611" t="e">
        <v>#N/A</v>
      </c>
      <c r="EX83" s="1612" t="e">
        <v>#N/A</v>
      </c>
      <c r="EZ83" s="1650">
        <f t="shared" si="176"/>
        <v>0</v>
      </c>
    </row>
    <row r="84" spans="1:156" ht="21" customHeight="1">
      <c r="A84" s="1637" t="s">
        <v>26</v>
      </c>
      <c r="B84" s="1675" t="s">
        <v>1715</v>
      </c>
      <c r="C84" s="1645"/>
      <c r="D84" s="1646"/>
      <c r="E84" s="1646"/>
      <c r="F84" s="1648"/>
      <c r="G84" s="1648"/>
      <c r="H84" s="1648"/>
      <c r="I84" s="1648"/>
      <c r="J84" s="1663"/>
      <c r="K84" s="1648"/>
      <c r="L84" s="1648"/>
      <c r="M84" s="1648"/>
      <c r="N84" s="1642"/>
      <c r="O84" s="2000"/>
      <c r="P84" s="2003">
        <f t="shared" si="124"/>
        <v>0</v>
      </c>
      <c r="Q84" s="1989"/>
      <c r="R84" s="2003">
        <f t="shared" si="125"/>
        <v>0</v>
      </c>
      <c r="S84" s="1989"/>
      <c r="T84" s="2003">
        <f t="shared" si="126"/>
        <v>0</v>
      </c>
      <c r="U84" s="1989"/>
      <c r="V84" s="1989"/>
      <c r="W84" s="1989">
        <f t="shared" si="127"/>
        <v>0</v>
      </c>
      <c r="X84" s="1999"/>
      <c r="Y84" s="1993"/>
      <c r="Z84" s="2003">
        <f t="shared" si="128"/>
        <v>0</v>
      </c>
      <c r="AA84" s="1989"/>
      <c r="AB84" s="2003">
        <f t="shared" si="129"/>
        <v>0</v>
      </c>
      <c r="AC84" s="1989"/>
      <c r="AD84" s="2003">
        <f t="shared" si="130"/>
        <v>0</v>
      </c>
      <c r="AE84" s="1989"/>
      <c r="AF84" s="1989"/>
      <c r="AG84" s="2002">
        <f t="shared" si="131"/>
        <v>0</v>
      </c>
      <c r="AH84" s="1999"/>
      <c r="AI84" s="1993"/>
      <c r="AJ84" s="2003">
        <f t="shared" si="132"/>
        <v>0</v>
      </c>
      <c r="AK84" s="1989"/>
      <c r="AL84" s="2003">
        <f t="shared" si="133"/>
        <v>0</v>
      </c>
      <c r="AM84" s="1989"/>
      <c r="AN84" s="2003">
        <f t="shared" si="134"/>
        <v>0</v>
      </c>
      <c r="AO84" s="1989"/>
      <c r="AP84" s="1989"/>
      <c r="AQ84" s="2002">
        <f t="shared" si="135"/>
        <v>0</v>
      </c>
      <c r="AR84" s="1999"/>
      <c r="AS84" s="1993"/>
      <c r="AT84" s="2003">
        <f t="shared" si="136"/>
        <v>0</v>
      </c>
      <c r="AU84" s="1989"/>
      <c r="AV84" s="2003">
        <f t="shared" si="137"/>
        <v>0</v>
      </c>
      <c r="AW84" s="1989"/>
      <c r="AX84" s="2003">
        <f t="shared" si="138"/>
        <v>0</v>
      </c>
      <c r="AY84" s="1989"/>
      <c r="AZ84" s="1989"/>
      <c r="BA84" s="2002">
        <f t="shared" si="139"/>
        <v>0</v>
      </c>
      <c r="BB84" s="1999"/>
      <c r="BC84" s="1993"/>
      <c r="BD84" s="2003">
        <f t="shared" si="140"/>
        <v>0</v>
      </c>
      <c r="BE84" s="1989"/>
      <c r="BF84" s="2003">
        <f t="shared" si="141"/>
        <v>0</v>
      </c>
      <c r="BG84" s="1989"/>
      <c r="BH84" s="2003">
        <f t="shared" si="142"/>
        <v>0</v>
      </c>
      <c r="BI84" s="1989"/>
      <c r="BJ84" s="1989"/>
      <c r="BK84" s="2002">
        <f t="shared" si="143"/>
        <v>0</v>
      </c>
      <c r="BL84" s="1999"/>
      <c r="BM84" s="1993"/>
      <c r="BN84" s="2003">
        <f t="shared" si="144"/>
        <v>0</v>
      </c>
      <c r="BO84" s="1989"/>
      <c r="BP84" s="2003">
        <f t="shared" si="145"/>
        <v>0</v>
      </c>
      <c r="BQ84" s="1989"/>
      <c r="BR84" s="2003">
        <f t="shared" si="146"/>
        <v>0</v>
      </c>
      <c r="BS84" s="1989"/>
      <c r="BT84" s="1989"/>
      <c r="BU84" s="2002">
        <f t="shared" si="147"/>
        <v>0</v>
      </c>
      <c r="BV84" s="1999"/>
      <c r="BW84" s="1993"/>
      <c r="BX84" s="2003">
        <f t="shared" si="148"/>
        <v>0</v>
      </c>
      <c r="BY84" s="1989"/>
      <c r="BZ84" s="2003">
        <f t="shared" si="149"/>
        <v>0</v>
      </c>
      <c r="CA84" s="1989"/>
      <c r="CB84" s="2003">
        <f t="shared" si="150"/>
        <v>0</v>
      </c>
      <c r="CC84" s="1989"/>
      <c r="CD84" s="1989"/>
      <c r="CE84" s="2002">
        <f t="shared" si="151"/>
        <v>0</v>
      </c>
      <c r="CF84" s="1999"/>
      <c r="CG84" s="1993"/>
      <c r="CH84" s="2003">
        <f t="shared" si="152"/>
        <v>0</v>
      </c>
      <c r="CI84" s="1989"/>
      <c r="CJ84" s="2003">
        <f t="shared" si="153"/>
        <v>0</v>
      </c>
      <c r="CK84" s="1989">
        <v>0</v>
      </c>
      <c r="CL84" s="2003">
        <f t="shared" si="154"/>
        <v>0</v>
      </c>
      <c r="CM84" s="1989">
        <v>0</v>
      </c>
      <c r="CN84" s="1989"/>
      <c r="CO84" s="2002">
        <f t="shared" si="155"/>
        <v>0</v>
      </c>
      <c r="CP84" s="1999"/>
      <c r="CQ84" s="1993"/>
      <c r="CR84" s="2003">
        <f t="shared" si="156"/>
        <v>0</v>
      </c>
      <c r="CS84" s="1989"/>
      <c r="CT84" s="2003">
        <f t="shared" si="157"/>
        <v>0</v>
      </c>
      <c r="CU84" s="1989"/>
      <c r="CV84" s="2003">
        <f t="shared" si="158"/>
        <v>0</v>
      </c>
      <c r="CW84" s="1989"/>
      <c r="CX84" s="1989"/>
      <c r="CY84" s="2002">
        <f t="shared" si="159"/>
        <v>0</v>
      </c>
      <c r="CZ84" s="1999"/>
      <c r="DA84" s="1993"/>
      <c r="DB84" s="2003">
        <f t="shared" si="160"/>
        <v>0</v>
      </c>
      <c r="DC84" s="1989"/>
      <c r="DD84" s="2003">
        <f t="shared" si="161"/>
        <v>0</v>
      </c>
      <c r="DE84" s="1989"/>
      <c r="DF84" s="2003">
        <f t="shared" si="162"/>
        <v>0</v>
      </c>
      <c r="DG84" s="1989"/>
      <c r="DH84" s="1989"/>
      <c r="DI84" s="2002">
        <f t="shared" si="163"/>
        <v>0</v>
      </c>
      <c r="DJ84" s="1999"/>
      <c r="DK84" s="1993"/>
      <c r="DL84" s="2003">
        <f t="shared" si="164"/>
        <v>0</v>
      </c>
      <c r="DM84" s="1989"/>
      <c r="DN84" s="2003">
        <f t="shared" si="165"/>
        <v>0</v>
      </c>
      <c r="DO84" s="1989"/>
      <c r="DP84" s="2003">
        <f t="shared" si="166"/>
        <v>0</v>
      </c>
      <c r="DQ84" s="1989"/>
      <c r="DR84" s="1989"/>
      <c r="DS84" s="2002">
        <f t="shared" si="167"/>
        <v>0</v>
      </c>
      <c r="DT84" s="2004"/>
      <c r="DU84" s="1988"/>
      <c r="DV84" s="2003">
        <f t="shared" si="168"/>
        <v>0</v>
      </c>
      <c r="DW84" s="1989"/>
      <c r="DX84" s="2003">
        <f t="shared" si="169"/>
        <v>0</v>
      </c>
      <c r="DY84" s="1989"/>
      <c r="DZ84" s="2003">
        <f t="shared" si="170"/>
        <v>0</v>
      </c>
      <c r="EA84" s="1989"/>
      <c r="EB84" s="1989"/>
      <c r="EC84" s="2002">
        <f t="shared" si="171"/>
        <v>0</v>
      </c>
      <c r="ED84" s="1998"/>
      <c r="EE84" s="2005"/>
      <c r="EF84" s="2003">
        <f t="shared" si="172"/>
        <v>0</v>
      </c>
      <c r="EG84" s="1989"/>
      <c r="EH84" s="2003">
        <f t="shared" si="173"/>
        <v>0</v>
      </c>
      <c r="EI84" s="1989"/>
      <c r="EJ84" s="2003">
        <f t="shared" si="174"/>
        <v>0</v>
      </c>
      <c r="EK84" s="1989"/>
      <c r="EL84" s="1989"/>
      <c r="EM84" s="2006">
        <f t="shared" si="175"/>
        <v>0</v>
      </c>
      <c r="EN84" s="1999"/>
      <c r="EP84" s="1613" t="e">
        <f>EA84-#REF!/10^7</f>
        <v>#REF!</v>
      </c>
      <c r="EW84" s="1611" t="e">
        <v>#N/A</v>
      </c>
      <c r="EX84" s="1612">
        <v>0</v>
      </c>
      <c r="EZ84" s="1650">
        <f t="shared" si="176"/>
        <v>0</v>
      </c>
    </row>
    <row r="85" spans="1:156" s="1677" customFormat="1" ht="21" customHeight="1">
      <c r="A85" s="1652">
        <v>1</v>
      </c>
      <c r="B85" s="1644" t="s">
        <v>1716</v>
      </c>
      <c r="C85" s="1645">
        <v>440</v>
      </c>
      <c r="D85" s="1646">
        <f>H85/C85*100</f>
        <v>0.375</v>
      </c>
      <c r="E85" s="1646" t="s">
        <v>1391</v>
      </c>
      <c r="F85" s="1670" t="s">
        <v>1594</v>
      </c>
      <c r="G85" s="1640"/>
      <c r="H85" s="1640">
        <v>1.65</v>
      </c>
      <c r="I85" s="1648" t="s">
        <v>1717</v>
      </c>
      <c r="J85" s="1649">
        <v>1</v>
      </c>
      <c r="K85" s="1648"/>
      <c r="L85" s="1640"/>
      <c r="M85" s="1640"/>
      <c r="N85" s="1642"/>
      <c r="O85" s="2000" t="e">
        <f>#REF!</f>
        <v>#REF!</v>
      </c>
      <c r="P85" s="2003">
        <f t="shared" si="124"/>
        <v>0</v>
      </c>
      <c r="Q85" s="1989" t="e">
        <f>#REF!/10^7</f>
        <v>#REF!</v>
      </c>
      <c r="R85" s="2003">
        <f t="shared" si="125"/>
        <v>0</v>
      </c>
      <c r="S85" s="1989" t="e">
        <f>#REF!/10^7</f>
        <v>#REF!</v>
      </c>
      <c r="T85" s="2003">
        <f t="shared" si="126"/>
        <v>0</v>
      </c>
      <c r="U85" s="1989" t="e">
        <f>#REF!/10^7</f>
        <v>#REF!</v>
      </c>
      <c r="V85" s="1989" t="e">
        <f>#REF!/10^7</f>
        <v>#REF!</v>
      </c>
      <c r="W85" s="1989">
        <f t="shared" si="127"/>
        <v>0</v>
      </c>
      <c r="X85" s="1999" t="e">
        <f t="shared" ref="X85:X92" si="189">Q85+S85+U85+V85</f>
        <v>#REF!</v>
      </c>
      <c r="Y85" s="1993" t="e">
        <f>#REF!</f>
        <v>#REF!</v>
      </c>
      <c r="Z85" s="2003">
        <f t="shared" si="128"/>
        <v>0</v>
      </c>
      <c r="AA85" s="1989" t="e">
        <f>#REF!/10^7</f>
        <v>#REF!</v>
      </c>
      <c r="AB85" s="2003">
        <f t="shared" si="129"/>
        <v>0</v>
      </c>
      <c r="AC85" s="1989" t="e">
        <f>#REF!/10^7</f>
        <v>#REF!</v>
      </c>
      <c r="AD85" s="2003">
        <f t="shared" si="130"/>
        <v>0</v>
      </c>
      <c r="AE85" s="1989" t="e">
        <f>#REF!/10^7</f>
        <v>#REF!</v>
      </c>
      <c r="AF85" s="1989" t="e">
        <f>#REF!/10^7</f>
        <v>#REF!</v>
      </c>
      <c r="AG85" s="2002" t="e">
        <f t="shared" si="131"/>
        <v>#REF!</v>
      </c>
      <c r="AH85" s="1999" t="e">
        <f t="shared" ref="AH85:AH92" si="190">AA85+AC85+AE85+AF85</f>
        <v>#REF!</v>
      </c>
      <c r="AI85" s="1993" t="e">
        <f>#REF!</f>
        <v>#REF!</v>
      </c>
      <c r="AJ85" s="2003">
        <f t="shared" si="132"/>
        <v>0</v>
      </c>
      <c r="AK85" s="1989" t="e">
        <f>#REF!/10^7</f>
        <v>#REF!</v>
      </c>
      <c r="AL85" s="2003">
        <f t="shared" si="133"/>
        <v>0</v>
      </c>
      <c r="AM85" s="1989" t="e">
        <f>#REF!/10^7</f>
        <v>#REF!</v>
      </c>
      <c r="AN85" s="2003">
        <f t="shared" si="134"/>
        <v>0</v>
      </c>
      <c r="AO85" s="1989" t="e">
        <f>#REF!/10^7</f>
        <v>#REF!</v>
      </c>
      <c r="AP85" s="1989" t="e">
        <f>#REF!/10^7</f>
        <v>#REF!</v>
      </c>
      <c r="AQ85" s="2002" t="e">
        <f t="shared" si="135"/>
        <v>#REF!</v>
      </c>
      <c r="AR85" s="1999" t="e">
        <f t="shared" ref="AR85:AR92" si="191">AK85+AM85+AO85+AP85</f>
        <v>#REF!</v>
      </c>
      <c r="AS85" s="1993" t="e">
        <f>#REF!</f>
        <v>#REF!</v>
      </c>
      <c r="AT85" s="2003">
        <f t="shared" si="136"/>
        <v>0</v>
      </c>
      <c r="AU85" s="1989" t="e">
        <f>#REF!/10^7</f>
        <v>#REF!</v>
      </c>
      <c r="AV85" s="2003">
        <f t="shared" si="137"/>
        <v>0</v>
      </c>
      <c r="AW85" s="1989" t="e">
        <f>#REF!/10^7</f>
        <v>#REF!</v>
      </c>
      <c r="AX85" s="2003">
        <f t="shared" si="138"/>
        <v>0</v>
      </c>
      <c r="AY85" s="1989" t="e">
        <f>#REF!/10^7</f>
        <v>#REF!</v>
      </c>
      <c r="AZ85" s="1989" t="e">
        <f>#REF!/10^7</f>
        <v>#REF!</v>
      </c>
      <c r="BA85" s="2002" t="e">
        <f t="shared" si="139"/>
        <v>#REF!</v>
      </c>
      <c r="BB85" s="1999" t="e">
        <f t="shared" ref="BB85:BB92" si="192">AU85+AW85+AY85+AZ85</f>
        <v>#REF!</v>
      </c>
      <c r="BC85" s="1993" t="e">
        <f>#REF!</f>
        <v>#REF!</v>
      </c>
      <c r="BD85" s="2003">
        <f t="shared" si="140"/>
        <v>0</v>
      </c>
      <c r="BE85" s="1989" t="e">
        <f>#REF!/10^7</f>
        <v>#REF!</v>
      </c>
      <c r="BF85" s="2003">
        <f t="shared" si="141"/>
        <v>0</v>
      </c>
      <c r="BG85" s="1989" t="e">
        <f>#REF!/10^7</f>
        <v>#REF!</v>
      </c>
      <c r="BH85" s="2003">
        <f t="shared" si="142"/>
        <v>0</v>
      </c>
      <c r="BI85" s="1989" t="e">
        <f>#REF!/10^7</f>
        <v>#REF!</v>
      </c>
      <c r="BJ85" s="1989" t="e">
        <f>#REF!/10^7</f>
        <v>#REF!</v>
      </c>
      <c r="BK85" s="2002" t="e">
        <f t="shared" si="143"/>
        <v>#REF!</v>
      </c>
      <c r="BL85" s="1999" t="e">
        <f t="shared" ref="BL85:BL92" si="193">BE85+BG85+BI85+BJ85</f>
        <v>#REF!</v>
      </c>
      <c r="BM85" s="1993" t="e">
        <f>#REF!</f>
        <v>#REF!</v>
      </c>
      <c r="BN85" s="2003">
        <f t="shared" si="144"/>
        <v>0</v>
      </c>
      <c r="BO85" s="1989" t="e">
        <f>#REF!/10^7</f>
        <v>#REF!</v>
      </c>
      <c r="BP85" s="2003">
        <f t="shared" si="145"/>
        <v>0</v>
      </c>
      <c r="BQ85" s="1989" t="e">
        <f>#REF!/10^7</f>
        <v>#REF!</v>
      </c>
      <c r="BR85" s="2003">
        <f t="shared" si="146"/>
        <v>0</v>
      </c>
      <c r="BS85" s="1989" t="e">
        <f>#REF!/10^7</f>
        <v>#REF!</v>
      </c>
      <c r="BT85" s="1989" t="e">
        <f>#REF!/10^7</f>
        <v>#REF!</v>
      </c>
      <c r="BU85" s="2002" t="e">
        <f t="shared" si="147"/>
        <v>#REF!</v>
      </c>
      <c r="BV85" s="1999" t="e">
        <f t="shared" ref="BV85:BV92" si="194">BO85+BQ85+BS85+BT85</f>
        <v>#REF!</v>
      </c>
      <c r="BW85" s="1993" t="e">
        <f>#REF!</f>
        <v>#REF!</v>
      </c>
      <c r="BX85" s="2003">
        <f t="shared" si="148"/>
        <v>0</v>
      </c>
      <c r="BY85" s="1989" t="e">
        <f>#REF!/10^7</f>
        <v>#REF!</v>
      </c>
      <c r="BZ85" s="2003">
        <f t="shared" si="149"/>
        <v>0</v>
      </c>
      <c r="CA85" s="1989" t="e">
        <f>#REF!/10^7</f>
        <v>#REF!</v>
      </c>
      <c r="CB85" s="2003">
        <f t="shared" si="150"/>
        <v>0</v>
      </c>
      <c r="CC85" s="1989" t="e">
        <f>#REF!/10^7</f>
        <v>#REF!</v>
      </c>
      <c r="CD85" s="1989" t="e">
        <f>#REF!/10^7</f>
        <v>#REF!</v>
      </c>
      <c r="CE85" s="2002" t="e">
        <f t="shared" si="151"/>
        <v>#REF!</v>
      </c>
      <c r="CF85" s="1999" t="e">
        <f t="shared" ref="CF85:CF92" si="195">BY85+CA85+CC85+CD85</f>
        <v>#REF!</v>
      </c>
      <c r="CG85" s="1993" t="e">
        <f>#REF!</f>
        <v>#REF!</v>
      </c>
      <c r="CH85" s="2003">
        <f t="shared" si="152"/>
        <v>0</v>
      </c>
      <c r="CI85" s="1989" t="e">
        <f>#REF!/10^7</f>
        <v>#REF!</v>
      </c>
      <c r="CJ85" s="2003">
        <f t="shared" si="153"/>
        <v>0</v>
      </c>
      <c r="CK85" s="1989" t="e">
        <f>#REF!/10^7</f>
        <v>#REF!</v>
      </c>
      <c r="CL85" s="2003">
        <f t="shared" si="154"/>
        <v>0</v>
      </c>
      <c r="CM85" s="1989" t="e">
        <f>#REF!/10^7</f>
        <v>#REF!</v>
      </c>
      <c r="CN85" s="1989" t="e">
        <f>#REF!/10^7</f>
        <v>#REF!</v>
      </c>
      <c r="CO85" s="2002" t="e">
        <f t="shared" si="155"/>
        <v>#REF!</v>
      </c>
      <c r="CP85" s="1999" t="e">
        <f t="shared" ref="CP85:CP92" si="196">CI85+CK85+CM85+CN85</f>
        <v>#REF!</v>
      </c>
      <c r="CQ85" s="1993" t="e">
        <f>#REF!</f>
        <v>#REF!</v>
      </c>
      <c r="CR85" s="2003">
        <f t="shared" si="156"/>
        <v>0</v>
      </c>
      <c r="CS85" s="1989" t="e">
        <f>#REF!/10^7</f>
        <v>#REF!</v>
      </c>
      <c r="CT85" s="2003">
        <f t="shared" si="157"/>
        <v>0</v>
      </c>
      <c r="CU85" s="1989" t="e">
        <f>#REF!/10^7</f>
        <v>#REF!</v>
      </c>
      <c r="CV85" s="2003">
        <f t="shared" si="158"/>
        <v>0</v>
      </c>
      <c r="CW85" s="1989" t="e">
        <f>#REF!/10^7</f>
        <v>#REF!</v>
      </c>
      <c r="CX85" s="1989" t="e">
        <f>#REF!/10^7</f>
        <v>#REF!</v>
      </c>
      <c r="CY85" s="2002" t="e">
        <f t="shared" si="159"/>
        <v>#REF!</v>
      </c>
      <c r="CZ85" s="1999" t="e">
        <f t="shared" ref="CZ85:CZ92" si="197">CS85+CU85+CW85+CX85</f>
        <v>#REF!</v>
      </c>
      <c r="DA85" s="1993" t="e">
        <f>#REF!</f>
        <v>#REF!</v>
      </c>
      <c r="DB85" s="2003">
        <f t="shared" si="160"/>
        <v>0</v>
      </c>
      <c r="DC85" s="1989" t="e">
        <f>#REF!/10^7</f>
        <v>#REF!</v>
      </c>
      <c r="DD85" s="2003">
        <f t="shared" si="161"/>
        <v>0</v>
      </c>
      <c r="DE85" s="1989" t="e">
        <f>#REF!/10^7</f>
        <v>#REF!</v>
      </c>
      <c r="DF85" s="2003">
        <f t="shared" si="162"/>
        <v>0</v>
      </c>
      <c r="DG85" s="1989" t="e">
        <f>#REF!/10^7</f>
        <v>#REF!</v>
      </c>
      <c r="DH85" s="1989" t="e">
        <f>#REF!/10^7</f>
        <v>#REF!</v>
      </c>
      <c r="DI85" s="2002" t="e">
        <f t="shared" si="163"/>
        <v>#REF!</v>
      </c>
      <c r="DJ85" s="1999" t="e">
        <f t="shared" ref="DJ85:DJ92" si="198">DC85+DE85+DG85+DH85</f>
        <v>#REF!</v>
      </c>
      <c r="DK85" s="1993" t="e">
        <f>#REF!</f>
        <v>#REF!</v>
      </c>
      <c r="DL85" s="2003">
        <f t="shared" si="164"/>
        <v>0</v>
      </c>
      <c r="DM85" s="1989" t="e">
        <f>#REF!/10^7</f>
        <v>#REF!</v>
      </c>
      <c r="DN85" s="2003">
        <f t="shared" si="165"/>
        <v>0</v>
      </c>
      <c r="DO85" s="1989" t="e">
        <f>#REF!/10^7</f>
        <v>#REF!</v>
      </c>
      <c r="DP85" s="2003">
        <f t="shared" si="166"/>
        <v>0</v>
      </c>
      <c r="DQ85" s="1989" t="e">
        <f>#REF!/10^7</f>
        <v>#REF!</v>
      </c>
      <c r="DR85" s="1989" t="e">
        <f>#REF!/10^7</f>
        <v>#REF!</v>
      </c>
      <c r="DS85" s="2002" t="e">
        <f t="shared" si="167"/>
        <v>#REF!</v>
      </c>
      <c r="DT85" s="2004" t="e">
        <f t="shared" ref="DT85:DT92" si="199">DM85+DO85+DQ85+DR85</f>
        <v>#REF!</v>
      </c>
      <c r="DU85" s="1988" t="e">
        <f>#REF!</f>
        <v>#REF!</v>
      </c>
      <c r="DV85" s="2003">
        <f t="shared" si="168"/>
        <v>0</v>
      </c>
      <c r="DW85" s="1989" t="e">
        <f>#REF!/10^7</f>
        <v>#REF!</v>
      </c>
      <c r="DX85" s="2003">
        <f t="shared" si="169"/>
        <v>0</v>
      </c>
      <c r="DY85" s="1989" t="e">
        <f>#REF!/10^7</f>
        <v>#REF!</v>
      </c>
      <c r="DZ85" s="2003">
        <f t="shared" si="170"/>
        <v>0</v>
      </c>
      <c r="EA85" s="1989" t="e">
        <f>#REF!/10^7</f>
        <v>#REF!</v>
      </c>
      <c r="EB85" s="1989" t="e">
        <f>#REF!/10^7</f>
        <v>#REF!</v>
      </c>
      <c r="EC85" s="2002" t="e">
        <f t="shared" si="171"/>
        <v>#REF!</v>
      </c>
      <c r="ED85" s="1998" t="e">
        <f t="shared" ref="ED85:ED92" si="200">DW85+DY85+EA85+EB85</f>
        <v>#REF!</v>
      </c>
      <c r="EE85" s="2005" t="e">
        <f>O85+Y85+AI85+AS85+BC85+BM85+BW85+CG85+CQ85+DA85+DK85+DU85</f>
        <v>#REF!</v>
      </c>
      <c r="EF85" s="2003">
        <f t="shared" si="172"/>
        <v>0</v>
      </c>
      <c r="EG85" s="1989" t="e">
        <f t="shared" ref="EG85:EG92" si="201">Q85+AA85+AK85+AU85+BE85+BO85+BY85+CI85+CS85+DC85+DM85+DW85</f>
        <v>#REF!</v>
      </c>
      <c r="EH85" s="2003">
        <f t="shared" si="173"/>
        <v>0</v>
      </c>
      <c r="EI85" s="1989" t="e">
        <f t="shared" ref="EI85:EI92" si="202">S85+AC85+AM85+AW85+BG85+BQ85+CA85+CK85+CU85+DE85+DO85+DY85</f>
        <v>#REF!</v>
      </c>
      <c r="EJ85" s="2003">
        <f t="shared" si="174"/>
        <v>0</v>
      </c>
      <c r="EK85" s="1989" t="e">
        <f t="shared" ref="EK85:EL92" si="203">U85+AE85+AO85+AY85+BI85+BS85+CC85+CM85+CW85+DG85+DQ85+EA85</f>
        <v>#REF!</v>
      </c>
      <c r="EL85" s="1989" t="e">
        <f t="shared" si="203"/>
        <v>#REF!</v>
      </c>
      <c r="EM85" s="2006" t="e">
        <f t="shared" si="175"/>
        <v>#REF!</v>
      </c>
      <c r="EN85" s="1999" t="e">
        <f>EG85+EI85+EK85+EL85</f>
        <v>#REF!</v>
      </c>
      <c r="EO85" s="1676"/>
      <c r="EP85" s="1613" t="e">
        <f>EA85-#REF!/10^7</f>
        <v>#REF!</v>
      </c>
      <c r="EQ85" s="1678"/>
      <c r="EW85" s="1611" t="e">
        <v>#N/A</v>
      </c>
      <c r="EX85" s="1612" t="s">
        <v>1717</v>
      </c>
      <c r="EZ85" s="1650">
        <f t="shared" si="176"/>
        <v>0</v>
      </c>
    </row>
    <row r="86" spans="1:156" ht="21" customHeight="1">
      <c r="A86" s="1652">
        <v>2</v>
      </c>
      <c r="B86" s="1644" t="s">
        <v>1718</v>
      </c>
      <c r="C86" s="1645">
        <v>440</v>
      </c>
      <c r="D86" s="1646">
        <f>H86/C86*100</f>
        <v>31.363636363636367</v>
      </c>
      <c r="E86" s="1646" t="s">
        <v>1391</v>
      </c>
      <c r="F86" s="1670" t="s">
        <v>1594</v>
      </c>
      <c r="G86" s="1640"/>
      <c r="H86" s="1679">
        <v>138</v>
      </c>
      <c r="I86" s="1648" t="s">
        <v>1717</v>
      </c>
      <c r="J86" s="1649">
        <v>2</v>
      </c>
      <c r="K86" s="1648"/>
      <c r="L86" s="1640"/>
      <c r="M86" s="1640"/>
      <c r="N86" s="1642"/>
      <c r="O86" s="2000" t="e">
        <f>#REF!</f>
        <v>#REF!</v>
      </c>
      <c r="P86" s="2003">
        <f t="shared" si="124"/>
        <v>0</v>
      </c>
      <c r="Q86" s="1989" t="e">
        <f>#REF!/10^7</f>
        <v>#REF!</v>
      </c>
      <c r="R86" s="2003">
        <f t="shared" si="125"/>
        <v>0</v>
      </c>
      <c r="S86" s="1989" t="e">
        <f>#REF!/10^7</f>
        <v>#REF!</v>
      </c>
      <c r="T86" s="2003">
        <f t="shared" si="126"/>
        <v>0</v>
      </c>
      <c r="U86" s="1989" t="e">
        <f>#REF!/10^7</f>
        <v>#REF!</v>
      </c>
      <c r="V86" s="1989" t="e">
        <f>#REF!/10^7</f>
        <v>#REF!</v>
      </c>
      <c r="W86" s="1989">
        <f t="shared" si="127"/>
        <v>0</v>
      </c>
      <c r="X86" s="1999" t="e">
        <f t="shared" si="189"/>
        <v>#REF!</v>
      </c>
      <c r="Y86" s="1993" t="e">
        <f>#REF!</f>
        <v>#REF!</v>
      </c>
      <c r="Z86" s="2003">
        <f t="shared" si="128"/>
        <v>0</v>
      </c>
      <c r="AA86" s="1989" t="e">
        <f>#REF!/10^7</f>
        <v>#REF!</v>
      </c>
      <c r="AB86" s="2003">
        <f t="shared" si="129"/>
        <v>0</v>
      </c>
      <c r="AC86" s="1989" t="e">
        <f>#REF!/10^7</f>
        <v>#REF!</v>
      </c>
      <c r="AD86" s="2003">
        <f t="shared" si="130"/>
        <v>0</v>
      </c>
      <c r="AE86" s="1989" t="e">
        <f>#REF!/10^7</f>
        <v>#REF!</v>
      </c>
      <c r="AF86" s="1989" t="e">
        <f>#REF!/10^7</f>
        <v>#REF!</v>
      </c>
      <c r="AG86" s="2002" t="e">
        <f t="shared" si="131"/>
        <v>#REF!</v>
      </c>
      <c r="AH86" s="1999" t="e">
        <f t="shared" si="190"/>
        <v>#REF!</v>
      </c>
      <c r="AI86" s="1993" t="e">
        <f>#REF!</f>
        <v>#REF!</v>
      </c>
      <c r="AJ86" s="2003">
        <f t="shared" si="132"/>
        <v>0</v>
      </c>
      <c r="AK86" s="1989" t="e">
        <f>#REF!/10^7</f>
        <v>#REF!</v>
      </c>
      <c r="AL86" s="2003">
        <f t="shared" si="133"/>
        <v>0</v>
      </c>
      <c r="AM86" s="1989" t="e">
        <f>#REF!/10^7</f>
        <v>#REF!</v>
      </c>
      <c r="AN86" s="2003">
        <f t="shared" si="134"/>
        <v>0</v>
      </c>
      <c r="AO86" s="1989" t="e">
        <f>#REF!/10^7</f>
        <v>#REF!</v>
      </c>
      <c r="AP86" s="1989" t="e">
        <f>#REF!/10^7</f>
        <v>#REF!</v>
      </c>
      <c r="AQ86" s="2002" t="e">
        <f t="shared" si="135"/>
        <v>#REF!</v>
      </c>
      <c r="AR86" s="1999" t="e">
        <f t="shared" si="191"/>
        <v>#REF!</v>
      </c>
      <c r="AS86" s="1993" t="e">
        <f>#REF!</f>
        <v>#REF!</v>
      </c>
      <c r="AT86" s="2003">
        <f t="shared" si="136"/>
        <v>0</v>
      </c>
      <c r="AU86" s="1989" t="e">
        <f>#REF!/10^7</f>
        <v>#REF!</v>
      </c>
      <c r="AV86" s="2003">
        <f t="shared" si="137"/>
        <v>0</v>
      </c>
      <c r="AW86" s="1989" t="e">
        <f>#REF!/10^7</f>
        <v>#REF!</v>
      </c>
      <c r="AX86" s="2003">
        <f t="shared" si="138"/>
        <v>0</v>
      </c>
      <c r="AY86" s="1989" t="e">
        <f>#REF!/10^7</f>
        <v>#REF!</v>
      </c>
      <c r="AZ86" s="1989" t="e">
        <f>#REF!/10^7</f>
        <v>#REF!</v>
      </c>
      <c r="BA86" s="2002" t="e">
        <f t="shared" si="139"/>
        <v>#REF!</v>
      </c>
      <c r="BB86" s="1999" t="e">
        <f t="shared" si="192"/>
        <v>#REF!</v>
      </c>
      <c r="BC86" s="1993" t="e">
        <f>#REF!</f>
        <v>#REF!</v>
      </c>
      <c r="BD86" s="2003">
        <f t="shared" si="140"/>
        <v>0</v>
      </c>
      <c r="BE86" s="1989" t="e">
        <f>#REF!/10^7</f>
        <v>#REF!</v>
      </c>
      <c r="BF86" s="2003">
        <f t="shared" si="141"/>
        <v>0</v>
      </c>
      <c r="BG86" s="1989" t="e">
        <f>#REF!/10^7</f>
        <v>#REF!</v>
      </c>
      <c r="BH86" s="2003">
        <f t="shared" si="142"/>
        <v>0</v>
      </c>
      <c r="BI86" s="1989" t="e">
        <f>#REF!/10^7</f>
        <v>#REF!</v>
      </c>
      <c r="BJ86" s="1989" t="e">
        <f>#REF!/10^7</f>
        <v>#REF!</v>
      </c>
      <c r="BK86" s="2002" t="e">
        <f t="shared" si="143"/>
        <v>#REF!</v>
      </c>
      <c r="BL86" s="1999" t="e">
        <f t="shared" si="193"/>
        <v>#REF!</v>
      </c>
      <c r="BM86" s="1993" t="e">
        <f>#REF!</f>
        <v>#REF!</v>
      </c>
      <c r="BN86" s="2003">
        <f t="shared" si="144"/>
        <v>0</v>
      </c>
      <c r="BO86" s="1989" t="e">
        <f>#REF!/10^7</f>
        <v>#REF!</v>
      </c>
      <c r="BP86" s="2003">
        <f t="shared" si="145"/>
        <v>0</v>
      </c>
      <c r="BQ86" s="1989" t="e">
        <f>#REF!/10^7</f>
        <v>#REF!</v>
      </c>
      <c r="BR86" s="2003">
        <f t="shared" si="146"/>
        <v>0</v>
      </c>
      <c r="BS86" s="1989" t="e">
        <f>#REF!/10^7</f>
        <v>#REF!</v>
      </c>
      <c r="BT86" s="1989" t="e">
        <f>#REF!/10^7</f>
        <v>#REF!</v>
      </c>
      <c r="BU86" s="2002" t="e">
        <f t="shared" si="147"/>
        <v>#REF!</v>
      </c>
      <c r="BV86" s="1999" t="e">
        <f t="shared" si="194"/>
        <v>#REF!</v>
      </c>
      <c r="BW86" s="1993" t="e">
        <f>#REF!</f>
        <v>#REF!</v>
      </c>
      <c r="BX86" s="2003">
        <f t="shared" si="148"/>
        <v>0</v>
      </c>
      <c r="BY86" s="1989" t="e">
        <f>#REF!/10^7</f>
        <v>#REF!</v>
      </c>
      <c r="BZ86" s="2003">
        <f t="shared" si="149"/>
        <v>0</v>
      </c>
      <c r="CA86" s="1989" t="e">
        <f>#REF!/10^7</f>
        <v>#REF!</v>
      </c>
      <c r="CB86" s="2003">
        <f t="shared" si="150"/>
        <v>0</v>
      </c>
      <c r="CC86" s="1989" t="e">
        <f>#REF!/10^7</f>
        <v>#REF!</v>
      </c>
      <c r="CD86" s="1989" t="e">
        <f>#REF!/10^7</f>
        <v>#REF!</v>
      </c>
      <c r="CE86" s="2002" t="e">
        <f t="shared" si="151"/>
        <v>#REF!</v>
      </c>
      <c r="CF86" s="1999" t="e">
        <f t="shared" si="195"/>
        <v>#REF!</v>
      </c>
      <c r="CG86" s="1993" t="e">
        <f>#REF!</f>
        <v>#REF!</v>
      </c>
      <c r="CH86" s="2003">
        <f t="shared" si="152"/>
        <v>0</v>
      </c>
      <c r="CI86" s="1989" t="e">
        <f>#REF!/10^7</f>
        <v>#REF!</v>
      </c>
      <c r="CJ86" s="2003">
        <f t="shared" si="153"/>
        <v>0</v>
      </c>
      <c r="CK86" s="1989" t="e">
        <f>#REF!/10^7</f>
        <v>#REF!</v>
      </c>
      <c r="CL86" s="2003">
        <f t="shared" si="154"/>
        <v>0</v>
      </c>
      <c r="CM86" s="1989" t="e">
        <f>#REF!/10^7</f>
        <v>#REF!</v>
      </c>
      <c r="CN86" s="1989" t="e">
        <f>#REF!/10^7</f>
        <v>#REF!</v>
      </c>
      <c r="CO86" s="2002" t="e">
        <f t="shared" si="155"/>
        <v>#REF!</v>
      </c>
      <c r="CP86" s="1999" t="e">
        <f t="shared" si="196"/>
        <v>#REF!</v>
      </c>
      <c r="CQ86" s="1993" t="e">
        <f>#REF!</f>
        <v>#REF!</v>
      </c>
      <c r="CR86" s="2003">
        <f t="shared" si="156"/>
        <v>0</v>
      </c>
      <c r="CS86" s="1989" t="e">
        <f>#REF!/10^7</f>
        <v>#REF!</v>
      </c>
      <c r="CT86" s="2003">
        <f t="shared" si="157"/>
        <v>0</v>
      </c>
      <c r="CU86" s="1989" t="e">
        <f>#REF!/10^7</f>
        <v>#REF!</v>
      </c>
      <c r="CV86" s="2003">
        <f t="shared" si="158"/>
        <v>0</v>
      </c>
      <c r="CW86" s="1989" t="e">
        <f>#REF!/10^7</f>
        <v>#REF!</v>
      </c>
      <c r="CX86" s="1989" t="e">
        <f>#REF!/10^7</f>
        <v>#REF!</v>
      </c>
      <c r="CY86" s="2002" t="e">
        <f t="shared" si="159"/>
        <v>#REF!</v>
      </c>
      <c r="CZ86" s="1999" t="e">
        <f t="shared" si="197"/>
        <v>#REF!</v>
      </c>
      <c r="DA86" s="1993" t="e">
        <f>#REF!</f>
        <v>#REF!</v>
      </c>
      <c r="DB86" s="2003">
        <f t="shared" si="160"/>
        <v>0</v>
      </c>
      <c r="DC86" s="1989" t="e">
        <f>#REF!/10^7</f>
        <v>#REF!</v>
      </c>
      <c r="DD86" s="2003">
        <f t="shared" si="161"/>
        <v>0</v>
      </c>
      <c r="DE86" s="1989" t="e">
        <f>#REF!/10^7</f>
        <v>#REF!</v>
      </c>
      <c r="DF86" s="2003">
        <f t="shared" si="162"/>
        <v>0</v>
      </c>
      <c r="DG86" s="1989" t="e">
        <f>#REF!/10^7</f>
        <v>#REF!</v>
      </c>
      <c r="DH86" s="1989" t="e">
        <f>#REF!/10^7</f>
        <v>#REF!</v>
      </c>
      <c r="DI86" s="2002" t="e">
        <f t="shared" si="163"/>
        <v>#REF!</v>
      </c>
      <c r="DJ86" s="1999" t="e">
        <f t="shared" si="198"/>
        <v>#REF!</v>
      </c>
      <c r="DK86" s="1993" t="e">
        <f>#REF!</f>
        <v>#REF!</v>
      </c>
      <c r="DL86" s="2003">
        <f t="shared" si="164"/>
        <v>0</v>
      </c>
      <c r="DM86" s="1989" t="e">
        <f>#REF!/10^7</f>
        <v>#REF!</v>
      </c>
      <c r="DN86" s="2003">
        <f t="shared" si="165"/>
        <v>0</v>
      </c>
      <c r="DO86" s="1989" t="e">
        <f>#REF!/10^7</f>
        <v>#REF!</v>
      </c>
      <c r="DP86" s="2003">
        <f t="shared" si="166"/>
        <v>0</v>
      </c>
      <c r="DQ86" s="1989" t="e">
        <f>#REF!/10^7</f>
        <v>#REF!</v>
      </c>
      <c r="DR86" s="1989" t="e">
        <f>#REF!/10^7</f>
        <v>#REF!</v>
      </c>
      <c r="DS86" s="2002" t="e">
        <f t="shared" si="167"/>
        <v>#REF!</v>
      </c>
      <c r="DT86" s="2004" t="e">
        <f t="shared" si="199"/>
        <v>#REF!</v>
      </c>
      <c r="DU86" s="1988" t="e">
        <f>#REF!</f>
        <v>#REF!</v>
      </c>
      <c r="DV86" s="2003">
        <f t="shared" si="168"/>
        <v>0</v>
      </c>
      <c r="DW86" s="1989" t="e">
        <f>#REF!/10^7</f>
        <v>#REF!</v>
      </c>
      <c r="DX86" s="2003">
        <f t="shared" si="169"/>
        <v>0</v>
      </c>
      <c r="DY86" s="1989" t="e">
        <f>#REF!/10^7</f>
        <v>#REF!</v>
      </c>
      <c r="DZ86" s="2003">
        <f t="shared" si="170"/>
        <v>0</v>
      </c>
      <c r="EA86" s="1989" t="e">
        <f>#REF!/10^7</f>
        <v>#REF!</v>
      </c>
      <c r="EB86" s="1989" t="e">
        <f>#REF!/10^7</f>
        <v>#REF!</v>
      </c>
      <c r="EC86" s="2002" t="e">
        <f t="shared" si="171"/>
        <v>#REF!</v>
      </c>
      <c r="ED86" s="1998" t="e">
        <f t="shared" si="200"/>
        <v>#REF!</v>
      </c>
      <c r="EE86" s="2005" t="e">
        <f t="shared" ref="EE86:EE92" si="204">O86+Y86+AI86+AS86+BC86+BM86+BW86+CG86+CQ86+DA86+DK86+DU86</f>
        <v>#REF!</v>
      </c>
      <c r="EF86" s="2003">
        <f t="shared" si="172"/>
        <v>0</v>
      </c>
      <c r="EG86" s="1989" t="e">
        <f t="shared" si="201"/>
        <v>#REF!</v>
      </c>
      <c r="EH86" s="2003">
        <f t="shared" si="173"/>
        <v>0</v>
      </c>
      <c r="EI86" s="1989" t="e">
        <f t="shared" si="202"/>
        <v>#REF!</v>
      </c>
      <c r="EJ86" s="2003">
        <f t="shared" si="174"/>
        <v>0</v>
      </c>
      <c r="EK86" s="1989" t="e">
        <f t="shared" si="203"/>
        <v>#REF!</v>
      </c>
      <c r="EL86" s="1989" t="e">
        <f t="shared" si="203"/>
        <v>#REF!</v>
      </c>
      <c r="EM86" s="2006" t="e">
        <f t="shared" si="175"/>
        <v>#REF!</v>
      </c>
      <c r="EN86" s="1999" t="e">
        <f t="shared" ref="EN86:EN92" si="205">EG86+EI86+EK86+EL86</f>
        <v>#REF!</v>
      </c>
      <c r="EP86" s="1613" t="e">
        <f>EA86-#REF!/10^7</f>
        <v>#REF!</v>
      </c>
      <c r="EW86" s="1611" t="s">
        <v>1717</v>
      </c>
      <c r="EX86" s="1612" t="s">
        <v>1717</v>
      </c>
      <c r="EZ86" s="1650">
        <f t="shared" si="176"/>
        <v>0</v>
      </c>
    </row>
    <row r="87" spans="1:156" ht="21" customHeight="1">
      <c r="A87" s="1652">
        <v>3</v>
      </c>
      <c r="B87" s="1644" t="s">
        <v>1719</v>
      </c>
      <c r="C87" s="1612">
        <v>1080</v>
      </c>
      <c r="D87" s="1646">
        <f>H87/C87*100</f>
        <v>0.375</v>
      </c>
      <c r="E87" s="1646" t="s">
        <v>1391</v>
      </c>
      <c r="F87" s="1670" t="s">
        <v>1594</v>
      </c>
      <c r="G87" s="1640"/>
      <c r="H87" s="1612">
        <v>4.05</v>
      </c>
      <c r="I87" s="1648" t="s">
        <v>1717</v>
      </c>
      <c r="J87" s="1649">
        <v>1</v>
      </c>
      <c r="K87" s="1648"/>
      <c r="L87" s="1640"/>
      <c r="M87" s="1640"/>
      <c r="N87" s="1642"/>
      <c r="O87" s="2000" t="e">
        <f>#REF!</f>
        <v>#REF!</v>
      </c>
      <c r="P87" s="2003">
        <f t="shared" si="124"/>
        <v>0</v>
      </c>
      <c r="Q87" s="1989" t="e">
        <f>#REF!/10^7</f>
        <v>#REF!</v>
      </c>
      <c r="R87" s="2003">
        <f t="shared" si="125"/>
        <v>0</v>
      </c>
      <c r="S87" s="1989" t="e">
        <f>#REF!/10^7</f>
        <v>#REF!</v>
      </c>
      <c r="T87" s="2003">
        <f t="shared" si="126"/>
        <v>0</v>
      </c>
      <c r="U87" s="1989" t="e">
        <f>#REF!/10^7</f>
        <v>#REF!</v>
      </c>
      <c r="V87" s="1989" t="e">
        <f>#REF!/10^7</f>
        <v>#REF!</v>
      </c>
      <c r="W87" s="1989">
        <f t="shared" si="127"/>
        <v>0</v>
      </c>
      <c r="X87" s="1999" t="e">
        <f t="shared" si="189"/>
        <v>#REF!</v>
      </c>
      <c r="Y87" s="1993" t="e">
        <f>#REF!</f>
        <v>#REF!</v>
      </c>
      <c r="Z87" s="2003">
        <f t="shared" si="128"/>
        <v>0</v>
      </c>
      <c r="AA87" s="1989" t="e">
        <f>#REF!/10^7</f>
        <v>#REF!</v>
      </c>
      <c r="AB87" s="2003">
        <f t="shared" si="129"/>
        <v>0</v>
      </c>
      <c r="AC87" s="1989" t="e">
        <f>#REF!/10^7</f>
        <v>#REF!</v>
      </c>
      <c r="AD87" s="2003">
        <f t="shared" si="130"/>
        <v>0</v>
      </c>
      <c r="AE87" s="1989" t="e">
        <f>#REF!/10^7</f>
        <v>#REF!</v>
      </c>
      <c r="AF87" s="1989" t="e">
        <f>#REF!/10^7</f>
        <v>#REF!</v>
      </c>
      <c r="AG87" s="2002" t="e">
        <f t="shared" si="131"/>
        <v>#REF!</v>
      </c>
      <c r="AH87" s="1999" t="e">
        <f t="shared" si="190"/>
        <v>#REF!</v>
      </c>
      <c r="AI87" s="1993" t="e">
        <f>#REF!</f>
        <v>#REF!</v>
      </c>
      <c r="AJ87" s="2003">
        <f t="shared" si="132"/>
        <v>0</v>
      </c>
      <c r="AK87" s="1989" t="e">
        <f>#REF!/10^7</f>
        <v>#REF!</v>
      </c>
      <c r="AL87" s="2003">
        <f t="shared" si="133"/>
        <v>0</v>
      </c>
      <c r="AM87" s="1989" t="e">
        <f>#REF!/10^7</f>
        <v>#REF!</v>
      </c>
      <c r="AN87" s="2003">
        <f t="shared" si="134"/>
        <v>0</v>
      </c>
      <c r="AO87" s="1989" t="e">
        <f>#REF!/10^7</f>
        <v>#REF!</v>
      </c>
      <c r="AP87" s="1989" t="e">
        <f>#REF!/10^7</f>
        <v>#REF!</v>
      </c>
      <c r="AQ87" s="2002" t="e">
        <f t="shared" si="135"/>
        <v>#REF!</v>
      </c>
      <c r="AR87" s="1999" t="e">
        <f t="shared" si="191"/>
        <v>#REF!</v>
      </c>
      <c r="AS87" s="1993" t="e">
        <f>#REF!</f>
        <v>#REF!</v>
      </c>
      <c r="AT87" s="2003">
        <f t="shared" si="136"/>
        <v>0</v>
      </c>
      <c r="AU87" s="1989" t="e">
        <f>#REF!/10^7</f>
        <v>#REF!</v>
      </c>
      <c r="AV87" s="2003">
        <f t="shared" si="137"/>
        <v>0</v>
      </c>
      <c r="AW87" s="1989" t="e">
        <f>#REF!/10^7</f>
        <v>#REF!</v>
      </c>
      <c r="AX87" s="2003">
        <f t="shared" si="138"/>
        <v>0</v>
      </c>
      <c r="AY87" s="1989" t="e">
        <f>#REF!/10^7</f>
        <v>#REF!</v>
      </c>
      <c r="AZ87" s="1989" t="e">
        <f>#REF!/10^7</f>
        <v>#REF!</v>
      </c>
      <c r="BA87" s="2002" t="e">
        <f t="shared" si="139"/>
        <v>#REF!</v>
      </c>
      <c r="BB87" s="1999" t="e">
        <f t="shared" si="192"/>
        <v>#REF!</v>
      </c>
      <c r="BC87" s="1993" t="e">
        <f>#REF!</f>
        <v>#REF!</v>
      </c>
      <c r="BD87" s="2003">
        <f t="shared" si="140"/>
        <v>0</v>
      </c>
      <c r="BE87" s="1989" t="e">
        <f>#REF!/10^7</f>
        <v>#REF!</v>
      </c>
      <c r="BF87" s="2003">
        <f t="shared" si="141"/>
        <v>0</v>
      </c>
      <c r="BG87" s="1989" t="e">
        <f>#REF!/10^7</f>
        <v>#REF!</v>
      </c>
      <c r="BH87" s="2003">
        <f t="shared" si="142"/>
        <v>0</v>
      </c>
      <c r="BI87" s="1989" t="e">
        <f>#REF!/10^7</f>
        <v>#REF!</v>
      </c>
      <c r="BJ87" s="1989" t="e">
        <f>#REF!/10^7</f>
        <v>#REF!</v>
      </c>
      <c r="BK87" s="2002" t="e">
        <f t="shared" si="143"/>
        <v>#REF!</v>
      </c>
      <c r="BL87" s="1999" t="e">
        <f t="shared" si="193"/>
        <v>#REF!</v>
      </c>
      <c r="BM87" s="1993" t="e">
        <f>#REF!</f>
        <v>#REF!</v>
      </c>
      <c r="BN87" s="2003">
        <f t="shared" si="144"/>
        <v>0</v>
      </c>
      <c r="BO87" s="1989" t="e">
        <f>#REF!/10^7</f>
        <v>#REF!</v>
      </c>
      <c r="BP87" s="2003">
        <f t="shared" si="145"/>
        <v>0</v>
      </c>
      <c r="BQ87" s="1989" t="e">
        <f>#REF!/10^7</f>
        <v>#REF!</v>
      </c>
      <c r="BR87" s="2003">
        <f t="shared" si="146"/>
        <v>0</v>
      </c>
      <c r="BS87" s="1989" t="e">
        <f>#REF!/10^7</f>
        <v>#REF!</v>
      </c>
      <c r="BT87" s="1989" t="e">
        <f>#REF!/10^7</f>
        <v>#REF!</v>
      </c>
      <c r="BU87" s="2002" t="e">
        <f t="shared" si="147"/>
        <v>#REF!</v>
      </c>
      <c r="BV87" s="1999" t="e">
        <f t="shared" si="194"/>
        <v>#REF!</v>
      </c>
      <c r="BW87" s="1993" t="e">
        <f>#REF!</f>
        <v>#REF!</v>
      </c>
      <c r="BX87" s="2003">
        <f t="shared" si="148"/>
        <v>0</v>
      </c>
      <c r="BY87" s="1989" t="e">
        <f>#REF!/10^7</f>
        <v>#REF!</v>
      </c>
      <c r="BZ87" s="2003">
        <f t="shared" si="149"/>
        <v>0</v>
      </c>
      <c r="CA87" s="1989" t="e">
        <f>#REF!/10^7</f>
        <v>#REF!</v>
      </c>
      <c r="CB87" s="2003">
        <f t="shared" si="150"/>
        <v>0</v>
      </c>
      <c r="CC87" s="1989" t="e">
        <f>#REF!/10^7</f>
        <v>#REF!</v>
      </c>
      <c r="CD87" s="1989" t="e">
        <f>#REF!/10^7</f>
        <v>#REF!</v>
      </c>
      <c r="CE87" s="2002" t="e">
        <f t="shared" si="151"/>
        <v>#REF!</v>
      </c>
      <c r="CF87" s="1999" t="e">
        <f t="shared" si="195"/>
        <v>#REF!</v>
      </c>
      <c r="CG87" s="1993" t="e">
        <f>#REF!</f>
        <v>#REF!</v>
      </c>
      <c r="CH87" s="2003">
        <f t="shared" si="152"/>
        <v>0</v>
      </c>
      <c r="CI87" s="1989" t="e">
        <f>#REF!/10^7</f>
        <v>#REF!</v>
      </c>
      <c r="CJ87" s="2003">
        <f t="shared" si="153"/>
        <v>0</v>
      </c>
      <c r="CK87" s="1989" t="e">
        <f>#REF!/10^7</f>
        <v>#REF!</v>
      </c>
      <c r="CL87" s="2003">
        <f t="shared" si="154"/>
        <v>0</v>
      </c>
      <c r="CM87" s="1989" t="e">
        <f>#REF!/10^7</f>
        <v>#REF!</v>
      </c>
      <c r="CN87" s="1989" t="e">
        <f>#REF!/10^7</f>
        <v>#REF!</v>
      </c>
      <c r="CO87" s="2002" t="e">
        <f t="shared" si="155"/>
        <v>#REF!</v>
      </c>
      <c r="CP87" s="1999" t="e">
        <f t="shared" si="196"/>
        <v>#REF!</v>
      </c>
      <c r="CQ87" s="1993" t="e">
        <f>#REF!</f>
        <v>#REF!</v>
      </c>
      <c r="CR87" s="2003">
        <f t="shared" si="156"/>
        <v>0</v>
      </c>
      <c r="CS87" s="1989" t="e">
        <f>#REF!/10^7</f>
        <v>#REF!</v>
      </c>
      <c r="CT87" s="2003">
        <f t="shared" si="157"/>
        <v>0</v>
      </c>
      <c r="CU87" s="1989" t="e">
        <f>#REF!/10^7</f>
        <v>#REF!</v>
      </c>
      <c r="CV87" s="2003">
        <f t="shared" si="158"/>
        <v>0</v>
      </c>
      <c r="CW87" s="1989" t="e">
        <f>#REF!/10^7</f>
        <v>#REF!</v>
      </c>
      <c r="CX87" s="1989" t="e">
        <f>#REF!/10^7</f>
        <v>#REF!</v>
      </c>
      <c r="CY87" s="2002" t="e">
        <f t="shared" si="159"/>
        <v>#REF!</v>
      </c>
      <c r="CZ87" s="1999" t="e">
        <f t="shared" si="197"/>
        <v>#REF!</v>
      </c>
      <c r="DA87" s="1993" t="e">
        <f>#REF!</f>
        <v>#REF!</v>
      </c>
      <c r="DB87" s="2003">
        <f t="shared" si="160"/>
        <v>0</v>
      </c>
      <c r="DC87" s="1989" t="e">
        <f>#REF!/10^7</f>
        <v>#REF!</v>
      </c>
      <c r="DD87" s="2003">
        <f t="shared" si="161"/>
        <v>0</v>
      </c>
      <c r="DE87" s="1989" t="e">
        <f>#REF!/10^7</f>
        <v>#REF!</v>
      </c>
      <c r="DF87" s="2003">
        <f t="shared" si="162"/>
        <v>0</v>
      </c>
      <c r="DG87" s="1989" t="e">
        <f>#REF!/10^7</f>
        <v>#REF!</v>
      </c>
      <c r="DH87" s="1989" t="e">
        <f>#REF!/10^7</f>
        <v>#REF!</v>
      </c>
      <c r="DI87" s="2002" t="e">
        <f t="shared" si="163"/>
        <v>#REF!</v>
      </c>
      <c r="DJ87" s="1999" t="e">
        <f t="shared" si="198"/>
        <v>#REF!</v>
      </c>
      <c r="DK87" s="1993" t="e">
        <f>#REF!</f>
        <v>#REF!</v>
      </c>
      <c r="DL87" s="2003">
        <f t="shared" si="164"/>
        <v>0</v>
      </c>
      <c r="DM87" s="1989" t="e">
        <f>#REF!/10^7</f>
        <v>#REF!</v>
      </c>
      <c r="DN87" s="2003">
        <f t="shared" si="165"/>
        <v>0</v>
      </c>
      <c r="DO87" s="1989" t="e">
        <f>#REF!/10^7</f>
        <v>#REF!</v>
      </c>
      <c r="DP87" s="2003">
        <f t="shared" si="166"/>
        <v>0</v>
      </c>
      <c r="DQ87" s="1989" t="e">
        <f>#REF!/10^7</f>
        <v>#REF!</v>
      </c>
      <c r="DR87" s="1989" t="e">
        <f>#REF!/10^7</f>
        <v>#REF!</v>
      </c>
      <c r="DS87" s="2002" t="e">
        <f t="shared" si="167"/>
        <v>#REF!</v>
      </c>
      <c r="DT87" s="2004" t="e">
        <f t="shared" si="199"/>
        <v>#REF!</v>
      </c>
      <c r="DU87" s="1988" t="e">
        <f>#REF!</f>
        <v>#REF!</v>
      </c>
      <c r="DV87" s="2003">
        <f t="shared" si="168"/>
        <v>0</v>
      </c>
      <c r="DW87" s="1989" t="e">
        <f>#REF!/10^7</f>
        <v>#REF!</v>
      </c>
      <c r="DX87" s="2003">
        <f t="shared" si="169"/>
        <v>0</v>
      </c>
      <c r="DY87" s="1989" t="e">
        <f>#REF!/10^7</f>
        <v>#REF!</v>
      </c>
      <c r="DZ87" s="2003">
        <f t="shared" si="170"/>
        <v>0</v>
      </c>
      <c r="EA87" s="1989" t="e">
        <f>#REF!/10^7</f>
        <v>#REF!</v>
      </c>
      <c r="EB87" s="1989" t="e">
        <f>#REF!/10^7</f>
        <v>#REF!</v>
      </c>
      <c r="EC87" s="2002" t="e">
        <f t="shared" si="171"/>
        <v>#REF!</v>
      </c>
      <c r="ED87" s="1998" t="e">
        <f t="shared" si="200"/>
        <v>#REF!</v>
      </c>
      <c r="EE87" s="2005" t="e">
        <f t="shared" si="204"/>
        <v>#REF!</v>
      </c>
      <c r="EF87" s="2003">
        <f t="shared" si="172"/>
        <v>0</v>
      </c>
      <c r="EG87" s="1989" t="e">
        <f t="shared" si="201"/>
        <v>#REF!</v>
      </c>
      <c r="EH87" s="2003">
        <f t="shared" si="173"/>
        <v>0</v>
      </c>
      <c r="EI87" s="1989" t="e">
        <f t="shared" si="202"/>
        <v>#REF!</v>
      </c>
      <c r="EJ87" s="2003">
        <f t="shared" si="174"/>
        <v>0</v>
      </c>
      <c r="EK87" s="1989" t="e">
        <f t="shared" si="203"/>
        <v>#REF!</v>
      </c>
      <c r="EL87" s="1989" t="e">
        <f t="shared" si="203"/>
        <v>#REF!</v>
      </c>
      <c r="EM87" s="2006" t="e">
        <f t="shared" si="175"/>
        <v>#REF!</v>
      </c>
      <c r="EN87" s="1999" t="e">
        <f t="shared" si="205"/>
        <v>#REF!</v>
      </c>
      <c r="EP87" s="1613" t="e">
        <f>EA87-#REF!/10^7</f>
        <v>#REF!</v>
      </c>
      <c r="EW87" s="1611" t="e">
        <v>#N/A</v>
      </c>
      <c r="EX87" s="1612" t="s">
        <v>1717</v>
      </c>
      <c r="EZ87" s="1650">
        <f t="shared" si="176"/>
        <v>0</v>
      </c>
    </row>
    <row r="88" spans="1:156" ht="21" customHeight="1">
      <c r="A88" s="1652">
        <v>4</v>
      </c>
      <c r="B88" s="1644" t="s">
        <v>1720</v>
      </c>
      <c r="C88" s="1639">
        <v>440</v>
      </c>
      <c r="D88" s="1646">
        <f>H88/C88*100</f>
        <v>15</v>
      </c>
      <c r="E88" s="1646" t="s">
        <v>1391</v>
      </c>
      <c r="F88" s="1670" t="s">
        <v>1594</v>
      </c>
      <c r="G88" s="1640"/>
      <c r="H88" s="1640">
        <v>66</v>
      </c>
      <c r="I88" s="1648" t="s">
        <v>1717</v>
      </c>
      <c r="J88" s="1649">
        <v>1</v>
      </c>
      <c r="K88" s="1648"/>
      <c r="L88" s="1640"/>
      <c r="M88" s="1640"/>
      <c r="N88" s="1642"/>
      <c r="O88" s="2000" t="e">
        <f>#REF!</f>
        <v>#REF!</v>
      </c>
      <c r="P88" s="2003">
        <f t="shared" si="124"/>
        <v>0</v>
      </c>
      <c r="Q88" s="1989" t="e">
        <f>#REF!/10^7</f>
        <v>#REF!</v>
      </c>
      <c r="R88" s="2003">
        <f t="shared" si="125"/>
        <v>0</v>
      </c>
      <c r="S88" s="1989" t="e">
        <f>#REF!/10^7</f>
        <v>#REF!</v>
      </c>
      <c r="T88" s="2003">
        <f t="shared" si="126"/>
        <v>0</v>
      </c>
      <c r="U88" s="1989" t="e">
        <f>#REF!/10^7</f>
        <v>#REF!</v>
      </c>
      <c r="V88" s="1989" t="e">
        <f>#REF!/10^7</f>
        <v>#REF!</v>
      </c>
      <c r="W88" s="1989">
        <f t="shared" si="127"/>
        <v>0</v>
      </c>
      <c r="X88" s="1999" t="e">
        <f t="shared" si="189"/>
        <v>#REF!</v>
      </c>
      <c r="Y88" s="1993" t="e">
        <f>#REF!</f>
        <v>#REF!</v>
      </c>
      <c r="Z88" s="2003">
        <f t="shared" si="128"/>
        <v>0</v>
      </c>
      <c r="AA88" s="1989" t="e">
        <f>#REF!/10^7</f>
        <v>#REF!</v>
      </c>
      <c r="AB88" s="2003">
        <f t="shared" si="129"/>
        <v>0</v>
      </c>
      <c r="AC88" s="1989" t="e">
        <f>#REF!/10^7</f>
        <v>#REF!</v>
      </c>
      <c r="AD88" s="2003">
        <f t="shared" si="130"/>
        <v>0</v>
      </c>
      <c r="AE88" s="1989" t="e">
        <f>#REF!/10^7</f>
        <v>#REF!</v>
      </c>
      <c r="AF88" s="1989" t="e">
        <f>#REF!/10^7</f>
        <v>#REF!</v>
      </c>
      <c r="AG88" s="2002" t="e">
        <f t="shared" si="131"/>
        <v>#REF!</v>
      </c>
      <c r="AH88" s="1999" t="e">
        <f t="shared" si="190"/>
        <v>#REF!</v>
      </c>
      <c r="AI88" s="1993" t="e">
        <f>#REF!</f>
        <v>#REF!</v>
      </c>
      <c r="AJ88" s="2003">
        <f t="shared" si="132"/>
        <v>0</v>
      </c>
      <c r="AK88" s="1989" t="e">
        <f>#REF!/10^7</f>
        <v>#REF!</v>
      </c>
      <c r="AL88" s="2003">
        <f t="shared" si="133"/>
        <v>0</v>
      </c>
      <c r="AM88" s="1989" t="e">
        <f>#REF!/10^7</f>
        <v>#REF!</v>
      </c>
      <c r="AN88" s="2003">
        <f t="shared" si="134"/>
        <v>0</v>
      </c>
      <c r="AO88" s="1989" t="e">
        <f>#REF!/10^7</f>
        <v>#REF!</v>
      </c>
      <c r="AP88" s="1989" t="e">
        <f>#REF!/10^7</f>
        <v>#REF!</v>
      </c>
      <c r="AQ88" s="2002" t="e">
        <f t="shared" si="135"/>
        <v>#REF!</v>
      </c>
      <c r="AR88" s="1999" t="e">
        <f t="shared" si="191"/>
        <v>#REF!</v>
      </c>
      <c r="AS88" s="1993" t="e">
        <f>#REF!</f>
        <v>#REF!</v>
      </c>
      <c r="AT88" s="2003">
        <f t="shared" si="136"/>
        <v>0</v>
      </c>
      <c r="AU88" s="1989" t="e">
        <f>#REF!/10^7</f>
        <v>#REF!</v>
      </c>
      <c r="AV88" s="2003">
        <f t="shared" si="137"/>
        <v>0</v>
      </c>
      <c r="AW88" s="1989" t="e">
        <f>#REF!/10^7</f>
        <v>#REF!</v>
      </c>
      <c r="AX88" s="2003">
        <f t="shared" si="138"/>
        <v>0</v>
      </c>
      <c r="AY88" s="1989" t="e">
        <f>#REF!/10^7</f>
        <v>#REF!</v>
      </c>
      <c r="AZ88" s="1989" t="e">
        <f>#REF!/10^7</f>
        <v>#REF!</v>
      </c>
      <c r="BA88" s="2002" t="e">
        <f t="shared" si="139"/>
        <v>#REF!</v>
      </c>
      <c r="BB88" s="1999" t="e">
        <f t="shared" si="192"/>
        <v>#REF!</v>
      </c>
      <c r="BC88" s="1993" t="e">
        <f>#REF!</f>
        <v>#REF!</v>
      </c>
      <c r="BD88" s="2003">
        <f t="shared" si="140"/>
        <v>0</v>
      </c>
      <c r="BE88" s="1989" t="e">
        <f>#REF!/10^7</f>
        <v>#REF!</v>
      </c>
      <c r="BF88" s="2003">
        <f t="shared" si="141"/>
        <v>0</v>
      </c>
      <c r="BG88" s="1989" t="e">
        <f>#REF!/10^7</f>
        <v>#REF!</v>
      </c>
      <c r="BH88" s="2003">
        <f t="shared" si="142"/>
        <v>0</v>
      </c>
      <c r="BI88" s="1989" t="e">
        <f>#REF!/10^7</f>
        <v>#REF!</v>
      </c>
      <c r="BJ88" s="1989" t="e">
        <f>#REF!/10^7</f>
        <v>#REF!</v>
      </c>
      <c r="BK88" s="2002" t="e">
        <f t="shared" si="143"/>
        <v>#REF!</v>
      </c>
      <c r="BL88" s="1999" t="e">
        <f t="shared" si="193"/>
        <v>#REF!</v>
      </c>
      <c r="BM88" s="1993" t="e">
        <f>#REF!</f>
        <v>#REF!</v>
      </c>
      <c r="BN88" s="2003">
        <f t="shared" si="144"/>
        <v>0</v>
      </c>
      <c r="BO88" s="1989" t="e">
        <f>#REF!/10^7</f>
        <v>#REF!</v>
      </c>
      <c r="BP88" s="2003">
        <f t="shared" si="145"/>
        <v>0</v>
      </c>
      <c r="BQ88" s="1989" t="e">
        <f>#REF!/10^7</f>
        <v>#REF!</v>
      </c>
      <c r="BR88" s="2003">
        <f t="shared" si="146"/>
        <v>0</v>
      </c>
      <c r="BS88" s="1989" t="e">
        <f>#REF!/10^7</f>
        <v>#REF!</v>
      </c>
      <c r="BT88" s="1989" t="e">
        <f>#REF!/10^7</f>
        <v>#REF!</v>
      </c>
      <c r="BU88" s="2002" t="e">
        <f t="shared" si="147"/>
        <v>#REF!</v>
      </c>
      <c r="BV88" s="1999" t="e">
        <f t="shared" si="194"/>
        <v>#REF!</v>
      </c>
      <c r="BW88" s="1993" t="e">
        <f>#REF!</f>
        <v>#REF!</v>
      </c>
      <c r="BX88" s="2003">
        <f t="shared" si="148"/>
        <v>0</v>
      </c>
      <c r="BY88" s="1989" t="e">
        <f>#REF!/10^7</f>
        <v>#REF!</v>
      </c>
      <c r="BZ88" s="2003">
        <f t="shared" si="149"/>
        <v>0</v>
      </c>
      <c r="CA88" s="1989" t="e">
        <f>#REF!/10^7</f>
        <v>#REF!</v>
      </c>
      <c r="CB88" s="2003">
        <f t="shared" si="150"/>
        <v>0</v>
      </c>
      <c r="CC88" s="1989" t="e">
        <f>#REF!/10^7</f>
        <v>#REF!</v>
      </c>
      <c r="CD88" s="1989" t="e">
        <f>#REF!/10^7</f>
        <v>#REF!</v>
      </c>
      <c r="CE88" s="2002" t="e">
        <f t="shared" si="151"/>
        <v>#REF!</v>
      </c>
      <c r="CF88" s="1999" t="e">
        <f t="shared" si="195"/>
        <v>#REF!</v>
      </c>
      <c r="CG88" s="1993" t="e">
        <f>#REF!</f>
        <v>#REF!</v>
      </c>
      <c r="CH88" s="2003">
        <f t="shared" si="152"/>
        <v>0</v>
      </c>
      <c r="CI88" s="1989" t="e">
        <f>#REF!/10^7</f>
        <v>#REF!</v>
      </c>
      <c r="CJ88" s="2003">
        <f t="shared" si="153"/>
        <v>0</v>
      </c>
      <c r="CK88" s="1989" t="e">
        <f>#REF!/10^7</f>
        <v>#REF!</v>
      </c>
      <c r="CL88" s="2003">
        <f t="shared" si="154"/>
        <v>0</v>
      </c>
      <c r="CM88" s="1989" t="e">
        <f>#REF!/10^7</f>
        <v>#REF!</v>
      </c>
      <c r="CN88" s="1989" t="e">
        <f>#REF!/10^7</f>
        <v>#REF!</v>
      </c>
      <c r="CO88" s="2002" t="e">
        <f t="shared" si="155"/>
        <v>#REF!</v>
      </c>
      <c r="CP88" s="1999" t="e">
        <f t="shared" si="196"/>
        <v>#REF!</v>
      </c>
      <c r="CQ88" s="1993" t="e">
        <f>#REF!</f>
        <v>#REF!</v>
      </c>
      <c r="CR88" s="2003">
        <f t="shared" si="156"/>
        <v>0</v>
      </c>
      <c r="CS88" s="1989" t="e">
        <f>#REF!/10^7</f>
        <v>#REF!</v>
      </c>
      <c r="CT88" s="2003">
        <f t="shared" si="157"/>
        <v>0</v>
      </c>
      <c r="CU88" s="1989" t="e">
        <f>#REF!/10^7</f>
        <v>#REF!</v>
      </c>
      <c r="CV88" s="2003">
        <f t="shared" si="158"/>
        <v>0</v>
      </c>
      <c r="CW88" s="1989" t="e">
        <f>#REF!/10^7</f>
        <v>#REF!</v>
      </c>
      <c r="CX88" s="1989" t="e">
        <f>#REF!/10^7</f>
        <v>#REF!</v>
      </c>
      <c r="CY88" s="2002" t="e">
        <f t="shared" si="159"/>
        <v>#REF!</v>
      </c>
      <c r="CZ88" s="1999" t="e">
        <f t="shared" si="197"/>
        <v>#REF!</v>
      </c>
      <c r="DA88" s="1993" t="e">
        <f>#REF!</f>
        <v>#REF!</v>
      </c>
      <c r="DB88" s="2003">
        <f t="shared" si="160"/>
        <v>0</v>
      </c>
      <c r="DC88" s="1989" t="e">
        <f>#REF!/10^7</f>
        <v>#REF!</v>
      </c>
      <c r="DD88" s="2003">
        <f t="shared" si="161"/>
        <v>0</v>
      </c>
      <c r="DE88" s="1989" t="e">
        <f>#REF!/10^7</f>
        <v>#REF!</v>
      </c>
      <c r="DF88" s="2003">
        <f t="shared" si="162"/>
        <v>0</v>
      </c>
      <c r="DG88" s="1989" t="e">
        <f>#REF!/10^7</f>
        <v>#REF!</v>
      </c>
      <c r="DH88" s="1989" t="e">
        <f>#REF!/10^7</f>
        <v>#REF!</v>
      </c>
      <c r="DI88" s="2002" t="e">
        <f t="shared" si="163"/>
        <v>#REF!</v>
      </c>
      <c r="DJ88" s="1999" t="e">
        <f t="shared" si="198"/>
        <v>#REF!</v>
      </c>
      <c r="DK88" s="1993" t="e">
        <f>#REF!</f>
        <v>#REF!</v>
      </c>
      <c r="DL88" s="2003">
        <f t="shared" si="164"/>
        <v>0</v>
      </c>
      <c r="DM88" s="1989" t="e">
        <f>#REF!/10^7</f>
        <v>#REF!</v>
      </c>
      <c r="DN88" s="2003">
        <f t="shared" si="165"/>
        <v>0</v>
      </c>
      <c r="DO88" s="1989" t="e">
        <f>#REF!/10^7</f>
        <v>#REF!</v>
      </c>
      <c r="DP88" s="2003">
        <f t="shared" si="166"/>
        <v>0</v>
      </c>
      <c r="DQ88" s="1989" t="e">
        <f>#REF!/10^7</f>
        <v>#REF!</v>
      </c>
      <c r="DR88" s="1989" t="e">
        <f>#REF!/10^7</f>
        <v>#REF!</v>
      </c>
      <c r="DS88" s="2002" t="e">
        <f t="shared" si="167"/>
        <v>#REF!</v>
      </c>
      <c r="DT88" s="2004" t="e">
        <f t="shared" si="199"/>
        <v>#REF!</v>
      </c>
      <c r="DU88" s="1988" t="e">
        <f>#REF!</f>
        <v>#REF!</v>
      </c>
      <c r="DV88" s="2003">
        <f t="shared" si="168"/>
        <v>0</v>
      </c>
      <c r="DW88" s="1989" t="e">
        <f>#REF!/10^7</f>
        <v>#REF!</v>
      </c>
      <c r="DX88" s="2003">
        <f t="shared" si="169"/>
        <v>0</v>
      </c>
      <c r="DY88" s="1989" t="e">
        <f>#REF!/10^7</f>
        <v>#REF!</v>
      </c>
      <c r="DZ88" s="2003">
        <f t="shared" si="170"/>
        <v>0</v>
      </c>
      <c r="EA88" s="1989" t="e">
        <f>#REF!/10^7</f>
        <v>#REF!</v>
      </c>
      <c r="EB88" s="1989" t="e">
        <f>#REF!/10^7</f>
        <v>#REF!</v>
      </c>
      <c r="EC88" s="2002" t="e">
        <f t="shared" si="171"/>
        <v>#REF!</v>
      </c>
      <c r="ED88" s="1998" t="e">
        <f t="shared" si="200"/>
        <v>#REF!</v>
      </c>
      <c r="EE88" s="2005" t="e">
        <f t="shared" si="204"/>
        <v>#REF!</v>
      </c>
      <c r="EF88" s="2003">
        <f t="shared" si="172"/>
        <v>0</v>
      </c>
      <c r="EG88" s="1989" t="e">
        <f t="shared" si="201"/>
        <v>#REF!</v>
      </c>
      <c r="EH88" s="2003">
        <f t="shared" si="173"/>
        <v>0</v>
      </c>
      <c r="EI88" s="1989" t="e">
        <f t="shared" si="202"/>
        <v>#REF!</v>
      </c>
      <c r="EJ88" s="2003">
        <f t="shared" si="174"/>
        <v>0</v>
      </c>
      <c r="EK88" s="1989" t="e">
        <f t="shared" si="203"/>
        <v>#REF!</v>
      </c>
      <c r="EL88" s="1989" t="e">
        <f t="shared" si="203"/>
        <v>#REF!</v>
      </c>
      <c r="EM88" s="2006" t="e">
        <f t="shared" si="175"/>
        <v>#REF!</v>
      </c>
      <c r="EN88" s="1999" t="e">
        <f t="shared" si="205"/>
        <v>#REF!</v>
      </c>
      <c r="EP88" s="1613" t="e">
        <f>EA88-#REF!/10^7</f>
        <v>#REF!</v>
      </c>
      <c r="EW88" s="1611" t="s">
        <v>1717</v>
      </c>
      <c r="EX88" s="1612" t="s">
        <v>1717</v>
      </c>
      <c r="EZ88" s="1650">
        <f t="shared" si="176"/>
        <v>0</v>
      </c>
    </row>
    <row r="89" spans="1:156" ht="21" customHeight="1">
      <c r="A89" s="1652">
        <v>5</v>
      </c>
      <c r="B89" s="1644" t="s">
        <v>1721</v>
      </c>
      <c r="C89" s="1639">
        <v>440</v>
      </c>
      <c r="D89" s="1646">
        <f>H89/C89*100</f>
        <v>19.545454545454547</v>
      </c>
      <c r="E89" s="1646" t="s">
        <v>1391</v>
      </c>
      <c r="F89" s="1670" t="s">
        <v>1594</v>
      </c>
      <c r="G89" s="1640"/>
      <c r="H89" s="1640">
        <v>86</v>
      </c>
      <c r="I89" s="1648" t="s">
        <v>1717</v>
      </c>
      <c r="J89" s="1649">
        <v>1</v>
      </c>
      <c r="K89" s="1648"/>
      <c r="L89" s="1640"/>
      <c r="M89" s="1640"/>
      <c r="N89" s="1642"/>
      <c r="O89" s="2000" t="e">
        <f>#REF!</f>
        <v>#REF!</v>
      </c>
      <c r="P89" s="2003">
        <f t="shared" si="124"/>
        <v>0</v>
      </c>
      <c r="Q89" s="1989" t="e">
        <f>#REF!/10^7</f>
        <v>#REF!</v>
      </c>
      <c r="R89" s="2003">
        <f t="shared" si="125"/>
        <v>0</v>
      </c>
      <c r="S89" s="1989" t="e">
        <f>#REF!/10^7</f>
        <v>#REF!</v>
      </c>
      <c r="T89" s="2003">
        <f t="shared" si="126"/>
        <v>0</v>
      </c>
      <c r="U89" s="1989" t="e">
        <f>#REF!/10^7</f>
        <v>#REF!</v>
      </c>
      <c r="V89" s="1989" t="e">
        <f>#REF!/10^7</f>
        <v>#REF!</v>
      </c>
      <c r="W89" s="1989">
        <f t="shared" si="127"/>
        <v>0</v>
      </c>
      <c r="X89" s="1999" t="e">
        <f t="shared" si="189"/>
        <v>#REF!</v>
      </c>
      <c r="Y89" s="1993" t="e">
        <f>#REF!</f>
        <v>#REF!</v>
      </c>
      <c r="Z89" s="2003">
        <f t="shared" si="128"/>
        <v>0</v>
      </c>
      <c r="AA89" s="1989" t="e">
        <f>#REF!/10^7</f>
        <v>#REF!</v>
      </c>
      <c r="AB89" s="2003">
        <f t="shared" si="129"/>
        <v>0</v>
      </c>
      <c r="AC89" s="1989" t="e">
        <f>#REF!/10^7</f>
        <v>#REF!</v>
      </c>
      <c r="AD89" s="2003">
        <f t="shared" si="130"/>
        <v>0</v>
      </c>
      <c r="AE89" s="1989" t="e">
        <f>#REF!/10^7</f>
        <v>#REF!</v>
      </c>
      <c r="AF89" s="1989" t="e">
        <f>#REF!/10^7</f>
        <v>#REF!</v>
      </c>
      <c r="AG89" s="2002" t="e">
        <f t="shared" si="131"/>
        <v>#REF!</v>
      </c>
      <c r="AH89" s="1999" t="e">
        <f t="shared" si="190"/>
        <v>#REF!</v>
      </c>
      <c r="AI89" s="1993" t="e">
        <f>#REF!</f>
        <v>#REF!</v>
      </c>
      <c r="AJ89" s="2003">
        <f t="shared" si="132"/>
        <v>0</v>
      </c>
      <c r="AK89" s="1989" t="e">
        <f>#REF!/10^7</f>
        <v>#REF!</v>
      </c>
      <c r="AL89" s="2003">
        <f t="shared" si="133"/>
        <v>0</v>
      </c>
      <c r="AM89" s="1989" t="e">
        <f>#REF!/10^7</f>
        <v>#REF!</v>
      </c>
      <c r="AN89" s="2003">
        <f t="shared" si="134"/>
        <v>0</v>
      </c>
      <c r="AO89" s="1989" t="e">
        <f>#REF!/10^7</f>
        <v>#REF!</v>
      </c>
      <c r="AP89" s="1989" t="e">
        <f>#REF!/10^7</f>
        <v>#REF!</v>
      </c>
      <c r="AQ89" s="2002" t="e">
        <f t="shared" si="135"/>
        <v>#REF!</v>
      </c>
      <c r="AR89" s="1999" t="e">
        <f t="shared" si="191"/>
        <v>#REF!</v>
      </c>
      <c r="AS89" s="1993" t="e">
        <f>#REF!</f>
        <v>#REF!</v>
      </c>
      <c r="AT89" s="2003">
        <f t="shared" si="136"/>
        <v>0</v>
      </c>
      <c r="AU89" s="1989" t="e">
        <f>#REF!/10^7</f>
        <v>#REF!</v>
      </c>
      <c r="AV89" s="2003">
        <f t="shared" si="137"/>
        <v>0</v>
      </c>
      <c r="AW89" s="1989" t="e">
        <f>#REF!/10^7</f>
        <v>#REF!</v>
      </c>
      <c r="AX89" s="2003">
        <f t="shared" si="138"/>
        <v>0</v>
      </c>
      <c r="AY89" s="1989" t="e">
        <f>#REF!/10^7</f>
        <v>#REF!</v>
      </c>
      <c r="AZ89" s="1989" t="e">
        <f>#REF!/10^7</f>
        <v>#REF!</v>
      </c>
      <c r="BA89" s="2002" t="e">
        <f t="shared" si="139"/>
        <v>#REF!</v>
      </c>
      <c r="BB89" s="1999" t="e">
        <f t="shared" si="192"/>
        <v>#REF!</v>
      </c>
      <c r="BC89" s="1993" t="e">
        <f>#REF!</f>
        <v>#REF!</v>
      </c>
      <c r="BD89" s="2003">
        <f t="shared" si="140"/>
        <v>0</v>
      </c>
      <c r="BE89" s="1989" t="e">
        <f>#REF!/10^7</f>
        <v>#REF!</v>
      </c>
      <c r="BF89" s="2003">
        <f t="shared" si="141"/>
        <v>0</v>
      </c>
      <c r="BG89" s="1989" t="e">
        <f>#REF!/10^7</f>
        <v>#REF!</v>
      </c>
      <c r="BH89" s="2003">
        <f t="shared" si="142"/>
        <v>0</v>
      </c>
      <c r="BI89" s="1989" t="e">
        <f>#REF!/10^7</f>
        <v>#REF!</v>
      </c>
      <c r="BJ89" s="1989" t="e">
        <f>#REF!/10^7</f>
        <v>#REF!</v>
      </c>
      <c r="BK89" s="2002" t="e">
        <f t="shared" si="143"/>
        <v>#REF!</v>
      </c>
      <c r="BL89" s="1999" t="e">
        <f t="shared" si="193"/>
        <v>#REF!</v>
      </c>
      <c r="BM89" s="1993" t="e">
        <f>#REF!</f>
        <v>#REF!</v>
      </c>
      <c r="BN89" s="2003">
        <f t="shared" si="144"/>
        <v>0</v>
      </c>
      <c r="BO89" s="1989" t="e">
        <f>#REF!/10^7</f>
        <v>#REF!</v>
      </c>
      <c r="BP89" s="2003">
        <f t="shared" si="145"/>
        <v>0</v>
      </c>
      <c r="BQ89" s="1989" t="e">
        <f>#REF!/10^7</f>
        <v>#REF!</v>
      </c>
      <c r="BR89" s="2003">
        <f t="shared" si="146"/>
        <v>0</v>
      </c>
      <c r="BS89" s="1989" t="e">
        <f>#REF!/10^7</f>
        <v>#REF!</v>
      </c>
      <c r="BT89" s="1989" t="e">
        <f>#REF!/10^7</f>
        <v>#REF!</v>
      </c>
      <c r="BU89" s="2002" t="e">
        <f t="shared" si="147"/>
        <v>#REF!</v>
      </c>
      <c r="BV89" s="1999" t="e">
        <f t="shared" si="194"/>
        <v>#REF!</v>
      </c>
      <c r="BW89" s="1993" t="e">
        <f>#REF!</f>
        <v>#REF!</v>
      </c>
      <c r="BX89" s="2003">
        <f t="shared" si="148"/>
        <v>0</v>
      </c>
      <c r="BY89" s="1989" t="e">
        <f>#REF!/10^7</f>
        <v>#REF!</v>
      </c>
      <c r="BZ89" s="2003">
        <f t="shared" si="149"/>
        <v>0</v>
      </c>
      <c r="CA89" s="1989" t="e">
        <f>#REF!/10^7</f>
        <v>#REF!</v>
      </c>
      <c r="CB89" s="2003">
        <f t="shared" si="150"/>
        <v>0</v>
      </c>
      <c r="CC89" s="1989" t="e">
        <f>#REF!/10^7</f>
        <v>#REF!</v>
      </c>
      <c r="CD89" s="1989" t="e">
        <f>#REF!/10^7</f>
        <v>#REF!</v>
      </c>
      <c r="CE89" s="2002" t="e">
        <f t="shared" si="151"/>
        <v>#REF!</v>
      </c>
      <c r="CF89" s="1999" t="e">
        <f t="shared" si="195"/>
        <v>#REF!</v>
      </c>
      <c r="CG89" s="1993" t="e">
        <f>#REF!</f>
        <v>#REF!</v>
      </c>
      <c r="CH89" s="2003">
        <f t="shared" si="152"/>
        <v>0</v>
      </c>
      <c r="CI89" s="1989" t="e">
        <f>#REF!/10^7</f>
        <v>#REF!</v>
      </c>
      <c r="CJ89" s="2003">
        <f t="shared" si="153"/>
        <v>0</v>
      </c>
      <c r="CK89" s="1989" t="e">
        <f>#REF!/10^7</f>
        <v>#REF!</v>
      </c>
      <c r="CL89" s="2003">
        <f t="shared" si="154"/>
        <v>0</v>
      </c>
      <c r="CM89" s="1989" t="e">
        <f>#REF!/10^7</f>
        <v>#REF!</v>
      </c>
      <c r="CN89" s="1989" t="e">
        <f>#REF!/10^7</f>
        <v>#REF!</v>
      </c>
      <c r="CO89" s="2002" t="e">
        <f t="shared" si="155"/>
        <v>#REF!</v>
      </c>
      <c r="CP89" s="1999" t="e">
        <f t="shared" si="196"/>
        <v>#REF!</v>
      </c>
      <c r="CQ89" s="1993" t="e">
        <f>#REF!</f>
        <v>#REF!</v>
      </c>
      <c r="CR89" s="2003">
        <f t="shared" si="156"/>
        <v>0</v>
      </c>
      <c r="CS89" s="1989" t="e">
        <f>#REF!/10^7</f>
        <v>#REF!</v>
      </c>
      <c r="CT89" s="2003">
        <f t="shared" si="157"/>
        <v>0</v>
      </c>
      <c r="CU89" s="1989" t="e">
        <f>#REF!/10^7</f>
        <v>#REF!</v>
      </c>
      <c r="CV89" s="2003">
        <f t="shared" si="158"/>
        <v>0</v>
      </c>
      <c r="CW89" s="1989" t="e">
        <f>#REF!/10^7</f>
        <v>#REF!</v>
      </c>
      <c r="CX89" s="1989" t="e">
        <f>#REF!/10^7</f>
        <v>#REF!</v>
      </c>
      <c r="CY89" s="2002" t="e">
        <f t="shared" si="159"/>
        <v>#REF!</v>
      </c>
      <c r="CZ89" s="1999" t="e">
        <f t="shared" si="197"/>
        <v>#REF!</v>
      </c>
      <c r="DA89" s="1993" t="e">
        <f>#REF!</f>
        <v>#REF!</v>
      </c>
      <c r="DB89" s="2003">
        <f t="shared" si="160"/>
        <v>0</v>
      </c>
      <c r="DC89" s="1989" t="e">
        <f>#REF!/10^7</f>
        <v>#REF!</v>
      </c>
      <c r="DD89" s="2003">
        <f t="shared" si="161"/>
        <v>0</v>
      </c>
      <c r="DE89" s="1989" t="e">
        <f>#REF!/10^7</f>
        <v>#REF!</v>
      </c>
      <c r="DF89" s="2003">
        <f t="shared" si="162"/>
        <v>0</v>
      </c>
      <c r="DG89" s="1989" t="e">
        <f>#REF!/10^7</f>
        <v>#REF!</v>
      </c>
      <c r="DH89" s="1989" t="e">
        <f>#REF!/10^7</f>
        <v>#REF!</v>
      </c>
      <c r="DI89" s="2002" t="e">
        <f t="shared" si="163"/>
        <v>#REF!</v>
      </c>
      <c r="DJ89" s="1999" t="e">
        <f t="shared" si="198"/>
        <v>#REF!</v>
      </c>
      <c r="DK89" s="1993" t="e">
        <f>#REF!</f>
        <v>#REF!</v>
      </c>
      <c r="DL89" s="2003">
        <f t="shared" si="164"/>
        <v>0</v>
      </c>
      <c r="DM89" s="1989" t="e">
        <f>#REF!/10^7</f>
        <v>#REF!</v>
      </c>
      <c r="DN89" s="2003">
        <f t="shared" si="165"/>
        <v>0</v>
      </c>
      <c r="DO89" s="1989" t="e">
        <f>#REF!/10^7</f>
        <v>#REF!</v>
      </c>
      <c r="DP89" s="2003">
        <f t="shared" si="166"/>
        <v>0</v>
      </c>
      <c r="DQ89" s="1989" t="e">
        <f>#REF!/10^7</f>
        <v>#REF!</v>
      </c>
      <c r="DR89" s="1989" t="e">
        <f>#REF!/10^7</f>
        <v>#REF!</v>
      </c>
      <c r="DS89" s="2002" t="e">
        <f t="shared" si="167"/>
        <v>#REF!</v>
      </c>
      <c r="DT89" s="2004" t="e">
        <f t="shared" si="199"/>
        <v>#REF!</v>
      </c>
      <c r="DU89" s="1988" t="e">
        <f>#REF!</f>
        <v>#REF!</v>
      </c>
      <c r="DV89" s="2003">
        <f t="shared" si="168"/>
        <v>0</v>
      </c>
      <c r="DW89" s="1989" t="e">
        <f>#REF!/10^7</f>
        <v>#REF!</v>
      </c>
      <c r="DX89" s="2003">
        <f t="shared" si="169"/>
        <v>0</v>
      </c>
      <c r="DY89" s="1989" t="e">
        <f>#REF!/10^7</f>
        <v>#REF!</v>
      </c>
      <c r="DZ89" s="2003">
        <f t="shared" si="170"/>
        <v>0</v>
      </c>
      <c r="EA89" s="1989" t="e">
        <f>#REF!/10^7</f>
        <v>#REF!</v>
      </c>
      <c r="EB89" s="1989" t="e">
        <f>#REF!/10^7</f>
        <v>#REF!</v>
      </c>
      <c r="EC89" s="2002" t="e">
        <f t="shared" si="171"/>
        <v>#REF!</v>
      </c>
      <c r="ED89" s="1998" t="e">
        <f t="shared" si="200"/>
        <v>#REF!</v>
      </c>
      <c r="EE89" s="2005" t="e">
        <f t="shared" si="204"/>
        <v>#REF!</v>
      </c>
      <c r="EF89" s="2003">
        <f t="shared" si="172"/>
        <v>0</v>
      </c>
      <c r="EG89" s="1989" t="e">
        <f t="shared" si="201"/>
        <v>#REF!</v>
      </c>
      <c r="EH89" s="2003">
        <f t="shared" si="173"/>
        <v>0</v>
      </c>
      <c r="EI89" s="1989" t="e">
        <f t="shared" si="202"/>
        <v>#REF!</v>
      </c>
      <c r="EJ89" s="2003">
        <f t="shared" si="174"/>
        <v>0</v>
      </c>
      <c r="EK89" s="1989" t="e">
        <f t="shared" si="203"/>
        <v>#REF!</v>
      </c>
      <c r="EL89" s="1989" t="e">
        <f t="shared" si="203"/>
        <v>#REF!</v>
      </c>
      <c r="EM89" s="2006" t="e">
        <f t="shared" si="175"/>
        <v>#REF!</v>
      </c>
      <c r="EN89" s="1999" t="e">
        <f t="shared" si="205"/>
        <v>#REF!</v>
      </c>
      <c r="EP89" s="1613" t="e">
        <f>EA89-#REF!/10^7</f>
        <v>#REF!</v>
      </c>
      <c r="EW89" s="1611" t="s">
        <v>1717</v>
      </c>
      <c r="EX89" s="1612" t="s">
        <v>1717</v>
      </c>
      <c r="EZ89" s="1650">
        <f t="shared" si="176"/>
        <v>0</v>
      </c>
    </row>
    <row r="90" spans="1:156" ht="21" customHeight="1">
      <c r="A90" s="1652"/>
      <c r="B90" s="1644"/>
      <c r="C90" s="1639"/>
      <c r="D90" s="1640"/>
      <c r="E90" s="1640"/>
      <c r="F90" s="1640"/>
      <c r="G90" s="1640"/>
      <c r="H90" s="1640"/>
      <c r="I90" s="1648"/>
      <c r="J90" s="1649"/>
      <c r="K90" s="1648"/>
      <c r="L90" s="1640"/>
      <c r="M90" s="1640"/>
      <c r="N90" s="1642"/>
      <c r="O90" s="2000"/>
      <c r="P90" s="2003">
        <f t="shared" si="124"/>
        <v>0</v>
      </c>
      <c r="Q90" s="1989"/>
      <c r="R90" s="2003">
        <f t="shared" si="125"/>
        <v>0</v>
      </c>
      <c r="S90" s="1989"/>
      <c r="T90" s="2003">
        <f t="shared" si="126"/>
        <v>0</v>
      </c>
      <c r="U90" s="1989"/>
      <c r="V90" s="1989"/>
      <c r="W90" s="1989">
        <f t="shared" si="127"/>
        <v>0</v>
      </c>
      <c r="X90" s="1999">
        <f t="shared" si="189"/>
        <v>0</v>
      </c>
      <c r="Y90" s="1993"/>
      <c r="Z90" s="2003">
        <f t="shared" si="128"/>
        <v>0</v>
      </c>
      <c r="AA90" s="1989"/>
      <c r="AB90" s="2003">
        <f t="shared" si="129"/>
        <v>0</v>
      </c>
      <c r="AC90" s="1989"/>
      <c r="AD90" s="2003">
        <f t="shared" si="130"/>
        <v>0</v>
      </c>
      <c r="AE90" s="1989"/>
      <c r="AF90" s="1989"/>
      <c r="AG90" s="2002">
        <f t="shared" si="131"/>
        <v>0</v>
      </c>
      <c r="AH90" s="1999">
        <f t="shared" si="190"/>
        <v>0</v>
      </c>
      <c r="AI90" s="1993"/>
      <c r="AJ90" s="2003">
        <f t="shared" si="132"/>
        <v>0</v>
      </c>
      <c r="AK90" s="1989"/>
      <c r="AL90" s="2003">
        <f t="shared" si="133"/>
        <v>0</v>
      </c>
      <c r="AM90" s="1989"/>
      <c r="AN90" s="2003">
        <f t="shared" si="134"/>
        <v>0</v>
      </c>
      <c r="AO90" s="1989"/>
      <c r="AP90" s="1989"/>
      <c r="AQ90" s="2002">
        <f t="shared" si="135"/>
        <v>0</v>
      </c>
      <c r="AR90" s="1999">
        <f t="shared" si="191"/>
        <v>0</v>
      </c>
      <c r="AS90" s="1993"/>
      <c r="AT90" s="2003">
        <f t="shared" si="136"/>
        <v>0</v>
      </c>
      <c r="AU90" s="1989"/>
      <c r="AV90" s="2003">
        <f t="shared" si="137"/>
        <v>0</v>
      </c>
      <c r="AW90" s="1989"/>
      <c r="AX90" s="2003">
        <f t="shared" si="138"/>
        <v>0</v>
      </c>
      <c r="AY90" s="1989"/>
      <c r="AZ90" s="1989"/>
      <c r="BA90" s="2002">
        <f t="shared" si="139"/>
        <v>0</v>
      </c>
      <c r="BB90" s="1999">
        <f t="shared" si="192"/>
        <v>0</v>
      </c>
      <c r="BC90" s="1993"/>
      <c r="BD90" s="2003">
        <f t="shared" si="140"/>
        <v>0</v>
      </c>
      <c r="BE90" s="1989"/>
      <c r="BF90" s="2003">
        <f t="shared" si="141"/>
        <v>0</v>
      </c>
      <c r="BG90" s="1989"/>
      <c r="BH90" s="2003">
        <f t="shared" si="142"/>
        <v>0</v>
      </c>
      <c r="BI90" s="1989"/>
      <c r="BJ90" s="1989"/>
      <c r="BK90" s="2002">
        <f t="shared" si="143"/>
        <v>0</v>
      </c>
      <c r="BL90" s="1999">
        <f t="shared" si="193"/>
        <v>0</v>
      </c>
      <c r="BM90" s="1993"/>
      <c r="BN90" s="2003">
        <f t="shared" si="144"/>
        <v>0</v>
      </c>
      <c r="BO90" s="1989"/>
      <c r="BP90" s="2003">
        <f t="shared" si="145"/>
        <v>0</v>
      </c>
      <c r="BQ90" s="1989"/>
      <c r="BR90" s="2003">
        <f t="shared" si="146"/>
        <v>0</v>
      </c>
      <c r="BS90" s="1989"/>
      <c r="BT90" s="1989"/>
      <c r="BU90" s="2002">
        <f t="shared" si="147"/>
        <v>0</v>
      </c>
      <c r="BV90" s="1999">
        <f t="shared" si="194"/>
        <v>0</v>
      </c>
      <c r="BW90" s="1993"/>
      <c r="BX90" s="2003">
        <f t="shared" si="148"/>
        <v>0</v>
      </c>
      <c r="BY90" s="1989"/>
      <c r="BZ90" s="2003">
        <f t="shared" si="149"/>
        <v>0</v>
      </c>
      <c r="CA90" s="1989"/>
      <c r="CB90" s="2003">
        <f t="shared" si="150"/>
        <v>0</v>
      </c>
      <c r="CC90" s="1989"/>
      <c r="CD90" s="1989"/>
      <c r="CE90" s="2002">
        <f t="shared" si="151"/>
        <v>0</v>
      </c>
      <c r="CF90" s="1999">
        <f t="shared" si="195"/>
        <v>0</v>
      </c>
      <c r="CG90" s="1993"/>
      <c r="CH90" s="2003">
        <f t="shared" si="152"/>
        <v>0</v>
      </c>
      <c r="CI90" s="1989"/>
      <c r="CJ90" s="2003">
        <f t="shared" si="153"/>
        <v>0</v>
      </c>
      <c r="CK90" s="1989"/>
      <c r="CL90" s="2003">
        <f t="shared" si="154"/>
        <v>0</v>
      </c>
      <c r="CM90" s="1989"/>
      <c r="CN90" s="1989"/>
      <c r="CO90" s="2002">
        <f t="shared" si="155"/>
        <v>0</v>
      </c>
      <c r="CP90" s="1999">
        <f t="shared" si="196"/>
        <v>0</v>
      </c>
      <c r="CQ90" s="1993"/>
      <c r="CR90" s="2003">
        <f t="shared" si="156"/>
        <v>0</v>
      </c>
      <c r="CS90" s="1989"/>
      <c r="CT90" s="2003">
        <f t="shared" si="157"/>
        <v>0</v>
      </c>
      <c r="CU90" s="1989"/>
      <c r="CV90" s="2003">
        <f t="shared" si="158"/>
        <v>0</v>
      </c>
      <c r="CW90" s="1989"/>
      <c r="CX90" s="1989"/>
      <c r="CY90" s="2002">
        <f t="shared" si="159"/>
        <v>0</v>
      </c>
      <c r="CZ90" s="1999">
        <f t="shared" si="197"/>
        <v>0</v>
      </c>
      <c r="DA90" s="1993"/>
      <c r="DB90" s="2003">
        <f t="shared" si="160"/>
        <v>0</v>
      </c>
      <c r="DC90" s="1989"/>
      <c r="DD90" s="2003">
        <f t="shared" si="161"/>
        <v>0</v>
      </c>
      <c r="DE90" s="1989"/>
      <c r="DF90" s="2003">
        <f t="shared" si="162"/>
        <v>0</v>
      </c>
      <c r="DG90" s="1989"/>
      <c r="DH90" s="1989"/>
      <c r="DI90" s="2002">
        <f t="shared" si="163"/>
        <v>0</v>
      </c>
      <c r="DJ90" s="1999">
        <f t="shared" si="198"/>
        <v>0</v>
      </c>
      <c r="DK90" s="1993"/>
      <c r="DL90" s="2003">
        <f t="shared" si="164"/>
        <v>0</v>
      </c>
      <c r="DM90" s="1989"/>
      <c r="DN90" s="2003">
        <f t="shared" si="165"/>
        <v>0</v>
      </c>
      <c r="DO90" s="1989"/>
      <c r="DP90" s="2003">
        <f t="shared" si="166"/>
        <v>0</v>
      </c>
      <c r="DQ90" s="1989"/>
      <c r="DR90" s="1989"/>
      <c r="DS90" s="2002">
        <f t="shared" si="167"/>
        <v>0</v>
      </c>
      <c r="DT90" s="2004">
        <f t="shared" si="199"/>
        <v>0</v>
      </c>
      <c r="DU90" s="1988"/>
      <c r="DV90" s="2003">
        <f t="shared" si="168"/>
        <v>0</v>
      </c>
      <c r="DW90" s="1989"/>
      <c r="DX90" s="2003">
        <f t="shared" si="169"/>
        <v>0</v>
      </c>
      <c r="DY90" s="1989"/>
      <c r="DZ90" s="2003">
        <f t="shared" si="170"/>
        <v>0</v>
      </c>
      <c r="EA90" s="1989"/>
      <c r="EB90" s="1989"/>
      <c r="EC90" s="2002">
        <f t="shared" si="171"/>
        <v>0</v>
      </c>
      <c r="ED90" s="1998">
        <f t="shared" si="200"/>
        <v>0</v>
      </c>
      <c r="EE90" s="2005">
        <f t="shared" si="204"/>
        <v>0</v>
      </c>
      <c r="EF90" s="2003">
        <f t="shared" si="172"/>
        <v>0</v>
      </c>
      <c r="EG90" s="1989">
        <f t="shared" si="201"/>
        <v>0</v>
      </c>
      <c r="EH90" s="2003">
        <f t="shared" si="173"/>
        <v>0</v>
      </c>
      <c r="EI90" s="1989">
        <f t="shared" si="202"/>
        <v>0</v>
      </c>
      <c r="EJ90" s="2003">
        <f t="shared" si="174"/>
        <v>0</v>
      </c>
      <c r="EK90" s="1989">
        <f t="shared" si="203"/>
        <v>0</v>
      </c>
      <c r="EL90" s="1989">
        <f t="shared" si="203"/>
        <v>0</v>
      </c>
      <c r="EM90" s="2006">
        <f t="shared" si="175"/>
        <v>0</v>
      </c>
      <c r="EN90" s="1999">
        <f t="shared" si="205"/>
        <v>0</v>
      </c>
      <c r="EP90" s="1613" t="e">
        <f>EA90-#REF!/10^7</f>
        <v>#REF!</v>
      </c>
      <c r="EW90" s="1611" t="e">
        <v>#N/A</v>
      </c>
      <c r="EX90" s="1612" t="e">
        <v>#N/A</v>
      </c>
      <c r="EZ90" s="1650">
        <f t="shared" si="176"/>
        <v>0</v>
      </c>
    </row>
    <row r="91" spans="1:156" ht="21" customHeight="1">
      <c r="A91" s="1652"/>
      <c r="B91" s="1644"/>
      <c r="C91" s="1639"/>
      <c r="D91" s="1640"/>
      <c r="E91" s="1640"/>
      <c r="F91" s="1640"/>
      <c r="G91" s="1640"/>
      <c r="H91" s="1640"/>
      <c r="I91" s="1648"/>
      <c r="J91" s="1649"/>
      <c r="K91" s="1648"/>
      <c r="L91" s="1640"/>
      <c r="M91" s="1640"/>
      <c r="N91" s="1642"/>
      <c r="O91" s="2000"/>
      <c r="P91" s="2003">
        <f t="shared" si="124"/>
        <v>0</v>
      </c>
      <c r="Q91" s="1989"/>
      <c r="R91" s="2003">
        <f t="shared" si="125"/>
        <v>0</v>
      </c>
      <c r="S91" s="1989"/>
      <c r="T91" s="2003">
        <f t="shared" si="126"/>
        <v>0</v>
      </c>
      <c r="U91" s="1989"/>
      <c r="V91" s="1989"/>
      <c r="W91" s="1989">
        <f t="shared" si="127"/>
        <v>0</v>
      </c>
      <c r="X91" s="1999">
        <f t="shared" si="189"/>
        <v>0</v>
      </c>
      <c r="Y91" s="1993"/>
      <c r="Z91" s="2003">
        <f t="shared" si="128"/>
        <v>0</v>
      </c>
      <c r="AA91" s="1989"/>
      <c r="AB91" s="2003">
        <f t="shared" si="129"/>
        <v>0</v>
      </c>
      <c r="AC91" s="1989"/>
      <c r="AD91" s="2003">
        <f t="shared" si="130"/>
        <v>0</v>
      </c>
      <c r="AE91" s="1989"/>
      <c r="AF91" s="1989"/>
      <c r="AG91" s="2002">
        <f t="shared" si="131"/>
        <v>0</v>
      </c>
      <c r="AH91" s="1999">
        <f t="shared" si="190"/>
        <v>0</v>
      </c>
      <c r="AI91" s="1993"/>
      <c r="AJ91" s="2003">
        <f t="shared" si="132"/>
        <v>0</v>
      </c>
      <c r="AK91" s="1989"/>
      <c r="AL91" s="2003">
        <f t="shared" si="133"/>
        <v>0</v>
      </c>
      <c r="AM91" s="1989"/>
      <c r="AN91" s="2003">
        <f t="shared" si="134"/>
        <v>0</v>
      </c>
      <c r="AO91" s="1989"/>
      <c r="AP91" s="1989"/>
      <c r="AQ91" s="2002">
        <f t="shared" si="135"/>
        <v>0</v>
      </c>
      <c r="AR91" s="1999">
        <f t="shared" si="191"/>
        <v>0</v>
      </c>
      <c r="AS91" s="1993"/>
      <c r="AT91" s="2003">
        <f t="shared" si="136"/>
        <v>0</v>
      </c>
      <c r="AU91" s="1989"/>
      <c r="AV91" s="2003">
        <f t="shared" si="137"/>
        <v>0</v>
      </c>
      <c r="AW91" s="1989"/>
      <c r="AX91" s="2003">
        <f t="shared" si="138"/>
        <v>0</v>
      </c>
      <c r="AY91" s="1989"/>
      <c r="AZ91" s="1989"/>
      <c r="BA91" s="2002">
        <f t="shared" si="139"/>
        <v>0</v>
      </c>
      <c r="BB91" s="1999">
        <f t="shared" si="192"/>
        <v>0</v>
      </c>
      <c r="BC91" s="1993"/>
      <c r="BD91" s="2003">
        <f t="shared" si="140"/>
        <v>0</v>
      </c>
      <c r="BE91" s="1989"/>
      <c r="BF91" s="2003">
        <f t="shared" si="141"/>
        <v>0</v>
      </c>
      <c r="BG91" s="1989"/>
      <c r="BH91" s="2003">
        <f t="shared" si="142"/>
        <v>0</v>
      </c>
      <c r="BI91" s="1989"/>
      <c r="BJ91" s="1989"/>
      <c r="BK91" s="2002">
        <f t="shared" si="143"/>
        <v>0</v>
      </c>
      <c r="BL91" s="1999">
        <f t="shared" si="193"/>
        <v>0</v>
      </c>
      <c r="BM91" s="1993"/>
      <c r="BN91" s="2003">
        <f t="shared" si="144"/>
        <v>0</v>
      </c>
      <c r="BO91" s="1989"/>
      <c r="BP91" s="2003">
        <f t="shared" si="145"/>
        <v>0</v>
      </c>
      <c r="BQ91" s="1989"/>
      <c r="BR91" s="2003">
        <f t="shared" si="146"/>
        <v>0</v>
      </c>
      <c r="BS91" s="1989"/>
      <c r="BT91" s="1989"/>
      <c r="BU91" s="2002">
        <f t="shared" si="147"/>
        <v>0</v>
      </c>
      <c r="BV91" s="1999">
        <f t="shared" si="194"/>
        <v>0</v>
      </c>
      <c r="BW91" s="1993"/>
      <c r="BX91" s="2003">
        <f t="shared" si="148"/>
        <v>0</v>
      </c>
      <c r="BY91" s="1989"/>
      <c r="BZ91" s="2003">
        <f t="shared" si="149"/>
        <v>0</v>
      </c>
      <c r="CA91" s="1989"/>
      <c r="CB91" s="2003">
        <f t="shared" si="150"/>
        <v>0</v>
      </c>
      <c r="CC91" s="1989"/>
      <c r="CD91" s="1989"/>
      <c r="CE91" s="2002">
        <f t="shared" si="151"/>
        <v>0</v>
      </c>
      <c r="CF91" s="1999">
        <f t="shared" si="195"/>
        <v>0</v>
      </c>
      <c r="CG91" s="1993"/>
      <c r="CH91" s="2003">
        <f t="shared" si="152"/>
        <v>0</v>
      </c>
      <c r="CI91" s="1989"/>
      <c r="CJ91" s="2003">
        <f t="shared" si="153"/>
        <v>0</v>
      </c>
      <c r="CK91" s="1989"/>
      <c r="CL91" s="2003">
        <f t="shared" si="154"/>
        <v>0</v>
      </c>
      <c r="CM91" s="1989"/>
      <c r="CN91" s="1989"/>
      <c r="CO91" s="2002">
        <f t="shared" si="155"/>
        <v>0</v>
      </c>
      <c r="CP91" s="1999">
        <f t="shared" si="196"/>
        <v>0</v>
      </c>
      <c r="CQ91" s="1993"/>
      <c r="CR91" s="2003">
        <f t="shared" si="156"/>
        <v>0</v>
      </c>
      <c r="CS91" s="1989"/>
      <c r="CT91" s="2003">
        <f t="shared" si="157"/>
        <v>0</v>
      </c>
      <c r="CU91" s="1989"/>
      <c r="CV91" s="2003">
        <f t="shared" si="158"/>
        <v>0</v>
      </c>
      <c r="CW91" s="1989"/>
      <c r="CX91" s="1989"/>
      <c r="CY91" s="2002">
        <f t="shared" si="159"/>
        <v>0</v>
      </c>
      <c r="CZ91" s="1999">
        <f t="shared" si="197"/>
        <v>0</v>
      </c>
      <c r="DA91" s="1993"/>
      <c r="DB91" s="2003">
        <f t="shared" si="160"/>
        <v>0</v>
      </c>
      <c r="DC91" s="1989"/>
      <c r="DD91" s="2003">
        <f t="shared" si="161"/>
        <v>0</v>
      </c>
      <c r="DE91" s="1989"/>
      <c r="DF91" s="2003">
        <f t="shared" si="162"/>
        <v>0</v>
      </c>
      <c r="DG91" s="1989"/>
      <c r="DH91" s="1989"/>
      <c r="DI91" s="2002">
        <f t="shared" si="163"/>
        <v>0</v>
      </c>
      <c r="DJ91" s="1999">
        <f t="shared" si="198"/>
        <v>0</v>
      </c>
      <c r="DK91" s="1993"/>
      <c r="DL91" s="2003">
        <f t="shared" si="164"/>
        <v>0</v>
      </c>
      <c r="DM91" s="1989"/>
      <c r="DN91" s="2003">
        <f t="shared" si="165"/>
        <v>0</v>
      </c>
      <c r="DO91" s="1989"/>
      <c r="DP91" s="2003">
        <f t="shared" si="166"/>
        <v>0</v>
      </c>
      <c r="DQ91" s="1989"/>
      <c r="DR91" s="1989"/>
      <c r="DS91" s="2002">
        <f t="shared" si="167"/>
        <v>0</v>
      </c>
      <c r="DT91" s="2004">
        <f t="shared" si="199"/>
        <v>0</v>
      </c>
      <c r="DU91" s="1988"/>
      <c r="DV91" s="2003">
        <f t="shared" si="168"/>
        <v>0</v>
      </c>
      <c r="DW91" s="1989"/>
      <c r="DX91" s="2003">
        <f t="shared" si="169"/>
        <v>0</v>
      </c>
      <c r="DY91" s="1989"/>
      <c r="DZ91" s="2003">
        <f t="shared" si="170"/>
        <v>0</v>
      </c>
      <c r="EA91" s="1989"/>
      <c r="EB91" s="1989"/>
      <c r="EC91" s="2002">
        <f t="shared" si="171"/>
        <v>0</v>
      </c>
      <c r="ED91" s="1998">
        <f t="shared" si="200"/>
        <v>0</v>
      </c>
      <c r="EE91" s="2005">
        <f t="shared" si="204"/>
        <v>0</v>
      </c>
      <c r="EF91" s="2003">
        <f t="shared" si="172"/>
        <v>0</v>
      </c>
      <c r="EG91" s="1989">
        <f t="shared" si="201"/>
        <v>0</v>
      </c>
      <c r="EH91" s="2003">
        <f t="shared" si="173"/>
        <v>0</v>
      </c>
      <c r="EI91" s="1989">
        <f t="shared" si="202"/>
        <v>0</v>
      </c>
      <c r="EJ91" s="2003">
        <f t="shared" si="174"/>
        <v>0</v>
      </c>
      <c r="EK91" s="1989">
        <f t="shared" si="203"/>
        <v>0</v>
      </c>
      <c r="EL91" s="1989">
        <f t="shared" si="203"/>
        <v>0</v>
      </c>
      <c r="EM91" s="2006">
        <f t="shared" si="175"/>
        <v>0</v>
      </c>
      <c r="EN91" s="1999">
        <f t="shared" si="205"/>
        <v>0</v>
      </c>
      <c r="EP91" s="1613" t="e">
        <f>EA91-#REF!/10^7</f>
        <v>#REF!</v>
      </c>
      <c r="EW91" s="1611" t="e">
        <v>#N/A</v>
      </c>
      <c r="EX91" s="1612" t="e">
        <v>#N/A</v>
      </c>
      <c r="EZ91" s="1650">
        <f t="shared" si="176"/>
        <v>0</v>
      </c>
    </row>
    <row r="92" spans="1:156" ht="21" customHeight="1">
      <c r="A92" s="1652"/>
      <c r="B92" s="1644"/>
      <c r="C92" s="1639"/>
      <c r="D92" s="1640"/>
      <c r="E92" s="1640"/>
      <c r="F92" s="1640"/>
      <c r="G92" s="1640"/>
      <c r="H92" s="1640"/>
      <c r="I92" s="1648"/>
      <c r="J92" s="1649"/>
      <c r="K92" s="1648"/>
      <c r="L92" s="1640"/>
      <c r="M92" s="1640"/>
      <c r="N92" s="1642"/>
      <c r="O92" s="2000"/>
      <c r="P92" s="2003">
        <f t="shared" si="124"/>
        <v>0</v>
      </c>
      <c r="Q92" s="1989"/>
      <c r="R92" s="2003">
        <f t="shared" si="125"/>
        <v>0</v>
      </c>
      <c r="S92" s="1989"/>
      <c r="T92" s="2003">
        <f t="shared" si="126"/>
        <v>0</v>
      </c>
      <c r="U92" s="1989"/>
      <c r="V92" s="1989"/>
      <c r="W92" s="1989">
        <f t="shared" si="127"/>
        <v>0</v>
      </c>
      <c r="X92" s="1999">
        <f t="shared" si="189"/>
        <v>0</v>
      </c>
      <c r="Y92" s="1993"/>
      <c r="Z92" s="2003">
        <f t="shared" si="128"/>
        <v>0</v>
      </c>
      <c r="AA92" s="1989"/>
      <c r="AB92" s="2003">
        <f t="shared" si="129"/>
        <v>0</v>
      </c>
      <c r="AC92" s="1989"/>
      <c r="AD92" s="2003">
        <f t="shared" si="130"/>
        <v>0</v>
      </c>
      <c r="AE92" s="1989"/>
      <c r="AF92" s="1989"/>
      <c r="AG92" s="2002">
        <f t="shared" si="131"/>
        <v>0</v>
      </c>
      <c r="AH92" s="1999">
        <f t="shared" si="190"/>
        <v>0</v>
      </c>
      <c r="AI92" s="1993"/>
      <c r="AJ92" s="2003">
        <f t="shared" si="132"/>
        <v>0</v>
      </c>
      <c r="AK92" s="1989"/>
      <c r="AL92" s="2003">
        <f t="shared" si="133"/>
        <v>0</v>
      </c>
      <c r="AM92" s="1989"/>
      <c r="AN92" s="2003">
        <f t="shared" si="134"/>
        <v>0</v>
      </c>
      <c r="AO92" s="1989"/>
      <c r="AP92" s="1989"/>
      <c r="AQ92" s="2002">
        <f t="shared" si="135"/>
        <v>0</v>
      </c>
      <c r="AR92" s="1999">
        <f t="shared" si="191"/>
        <v>0</v>
      </c>
      <c r="AS92" s="1993"/>
      <c r="AT92" s="2003">
        <f t="shared" si="136"/>
        <v>0</v>
      </c>
      <c r="AU92" s="1989"/>
      <c r="AV92" s="2003">
        <f t="shared" si="137"/>
        <v>0</v>
      </c>
      <c r="AW92" s="1989"/>
      <c r="AX92" s="2003">
        <f t="shared" si="138"/>
        <v>0</v>
      </c>
      <c r="AY92" s="1989"/>
      <c r="AZ92" s="1989"/>
      <c r="BA92" s="2002">
        <f t="shared" si="139"/>
        <v>0</v>
      </c>
      <c r="BB92" s="1999">
        <f t="shared" si="192"/>
        <v>0</v>
      </c>
      <c r="BC92" s="1993"/>
      <c r="BD92" s="2003">
        <f t="shared" si="140"/>
        <v>0</v>
      </c>
      <c r="BE92" s="1989"/>
      <c r="BF92" s="2003">
        <f t="shared" si="141"/>
        <v>0</v>
      </c>
      <c r="BG92" s="1989"/>
      <c r="BH92" s="2003">
        <f t="shared" si="142"/>
        <v>0</v>
      </c>
      <c r="BI92" s="1989"/>
      <c r="BJ92" s="1989"/>
      <c r="BK92" s="2002">
        <f t="shared" si="143"/>
        <v>0</v>
      </c>
      <c r="BL92" s="1999">
        <f t="shared" si="193"/>
        <v>0</v>
      </c>
      <c r="BM92" s="1993"/>
      <c r="BN92" s="2003">
        <f t="shared" si="144"/>
        <v>0</v>
      </c>
      <c r="BO92" s="1989"/>
      <c r="BP92" s="2003">
        <f t="shared" si="145"/>
        <v>0</v>
      </c>
      <c r="BQ92" s="1989"/>
      <c r="BR92" s="2003">
        <f t="shared" si="146"/>
        <v>0</v>
      </c>
      <c r="BS92" s="1989"/>
      <c r="BT92" s="1989"/>
      <c r="BU92" s="2002">
        <f t="shared" si="147"/>
        <v>0</v>
      </c>
      <c r="BV92" s="1999">
        <f t="shared" si="194"/>
        <v>0</v>
      </c>
      <c r="BW92" s="1993"/>
      <c r="BX92" s="2003">
        <f t="shared" si="148"/>
        <v>0</v>
      </c>
      <c r="BY92" s="1989"/>
      <c r="BZ92" s="2003">
        <f t="shared" si="149"/>
        <v>0</v>
      </c>
      <c r="CA92" s="1989"/>
      <c r="CB92" s="2003">
        <f t="shared" si="150"/>
        <v>0</v>
      </c>
      <c r="CC92" s="1989"/>
      <c r="CD92" s="1989"/>
      <c r="CE92" s="2002">
        <f t="shared" si="151"/>
        <v>0</v>
      </c>
      <c r="CF92" s="1999">
        <f t="shared" si="195"/>
        <v>0</v>
      </c>
      <c r="CG92" s="1993"/>
      <c r="CH92" s="2003">
        <f t="shared" si="152"/>
        <v>0</v>
      </c>
      <c r="CI92" s="1989"/>
      <c r="CJ92" s="2003">
        <f t="shared" si="153"/>
        <v>0</v>
      </c>
      <c r="CK92" s="1989"/>
      <c r="CL92" s="2003">
        <f t="shared" si="154"/>
        <v>0</v>
      </c>
      <c r="CM92" s="1989"/>
      <c r="CN92" s="1989"/>
      <c r="CO92" s="2002">
        <f t="shared" si="155"/>
        <v>0</v>
      </c>
      <c r="CP92" s="1999">
        <f t="shared" si="196"/>
        <v>0</v>
      </c>
      <c r="CQ92" s="1993"/>
      <c r="CR92" s="2003">
        <f t="shared" si="156"/>
        <v>0</v>
      </c>
      <c r="CS92" s="1989"/>
      <c r="CT92" s="2003">
        <f t="shared" si="157"/>
        <v>0</v>
      </c>
      <c r="CU92" s="1989"/>
      <c r="CV92" s="2003">
        <f t="shared" si="158"/>
        <v>0</v>
      </c>
      <c r="CW92" s="1989"/>
      <c r="CX92" s="1989"/>
      <c r="CY92" s="2002">
        <f t="shared" si="159"/>
        <v>0</v>
      </c>
      <c r="CZ92" s="1999">
        <f t="shared" si="197"/>
        <v>0</v>
      </c>
      <c r="DA92" s="1993"/>
      <c r="DB92" s="2003">
        <f t="shared" si="160"/>
        <v>0</v>
      </c>
      <c r="DC92" s="1989"/>
      <c r="DD92" s="2003">
        <f t="shared" si="161"/>
        <v>0</v>
      </c>
      <c r="DE92" s="1989"/>
      <c r="DF92" s="2003">
        <f t="shared" si="162"/>
        <v>0</v>
      </c>
      <c r="DG92" s="1989"/>
      <c r="DH92" s="1989"/>
      <c r="DI92" s="2002">
        <f t="shared" si="163"/>
        <v>0</v>
      </c>
      <c r="DJ92" s="1999">
        <f t="shared" si="198"/>
        <v>0</v>
      </c>
      <c r="DK92" s="1993"/>
      <c r="DL92" s="2003">
        <f t="shared" si="164"/>
        <v>0</v>
      </c>
      <c r="DM92" s="1989"/>
      <c r="DN92" s="2003">
        <f t="shared" si="165"/>
        <v>0</v>
      </c>
      <c r="DO92" s="1989"/>
      <c r="DP92" s="2003">
        <f t="shared" si="166"/>
        <v>0</v>
      </c>
      <c r="DQ92" s="1989"/>
      <c r="DR92" s="1989"/>
      <c r="DS92" s="2002">
        <f t="shared" si="167"/>
        <v>0</v>
      </c>
      <c r="DT92" s="2004">
        <f t="shared" si="199"/>
        <v>0</v>
      </c>
      <c r="DU92" s="1988"/>
      <c r="DV92" s="2003">
        <f t="shared" si="168"/>
        <v>0</v>
      </c>
      <c r="DW92" s="1989"/>
      <c r="DX92" s="2003">
        <f t="shared" si="169"/>
        <v>0</v>
      </c>
      <c r="DY92" s="1989"/>
      <c r="DZ92" s="2003">
        <f t="shared" si="170"/>
        <v>0</v>
      </c>
      <c r="EA92" s="1989"/>
      <c r="EB92" s="1989"/>
      <c r="EC92" s="2002">
        <f t="shared" si="171"/>
        <v>0</v>
      </c>
      <c r="ED92" s="1998">
        <f t="shared" si="200"/>
        <v>0</v>
      </c>
      <c r="EE92" s="2005">
        <f t="shared" si="204"/>
        <v>0</v>
      </c>
      <c r="EF92" s="2003">
        <f t="shared" si="172"/>
        <v>0</v>
      </c>
      <c r="EG92" s="1989">
        <f t="shared" si="201"/>
        <v>0</v>
      </c>
      <c r="EH92" s="2003">
        <f t="shared" si="173"/>
        <v>0</v>
      </c>
      <c r="EI92" s="1989">
        <f t="shared" si="202"/>
        <v>0</v>
      </c>
      <c r="EJ92" s="2003">
        <f t="shared" si="174"/>
        <v>0</v>
      </c>
      <c r="EK92" s="1989">
        <f t="shared" si="203"/>
        <v>0</v>
      </c>
      <c r="EL92" s="1989">
        <f t="shared" si="203"/>
        <v>0</v>
      </c>
      <c r="EM92" s="2006">
        <f t="shared" si="175"/>
        <v>0</v>
      </c>
      <c r="EN92" s="1999">
        <f t="shared" si="205"/>
        <v>0</v>
      </c>
      <c r="EP92" s="1613" t="e">
        <f>EA92-#REF!/10^7</f>
        <v>#REF!</v>
      </c>
      <c r="EW92" s="1611" t="e">
        <v>#N/A</v>
      </c>
      <c r="EX92" s="1612" t="e">
        <v>#N/A</v>
      </c>
      <c r="EZ92" s="1650">
        <f t="shared" si="176"/>
        <v>0</v>
      </c>
    </row>
    <row r="93" spans="1:156" s="1660" customFormat="1" ht="21" customHeight="1">
      <c r="A93" s="1637"/>
      <c r="B93" s="1654" t="s">
        <v>211</v>
      </c>
      <c r="C93" s="1655"/>
      <c r="D93" s="1656"/>
      <c r="E93" s="1656"/>
      <c r="F93" s="1656"/>
      <c r="G93" s="1656"/>
      <c r="H93" s="1656">
        <f>SUM(H85:H89)</f>
        <v>295.70000000000005</v>
      </c>
      <c r="I93" s="1656"/>
      <c r="J93" s="1657"/>
      <c r="K93" s="1656"/>
      <c r="L93" s="1656"/>
      <c r="M93" s="1656"/>
      <c r="N93" s="1658"/>
      <c r="O93" s="2007" t="e">
        <f>SUM(O85:O92)</f>
        <v>#REF!</v>
      </c>
      <c r="P93" s="2003">
        <f t="shared" si="124"/>
        <v>0</v>
      </c>
      <c r="Q93" s="1826" t="e">
        <f>SUM(Q85:Q92)</f>
        <v>#REF!</v>
      </c>
      <c r="R93" s="2003">
        <f t="shared" si="125"/>
        <v>0</v>
      </c>
      <c r="S93" s="1826" t="e">
        <f>SUM(S85:S92)</f>
        <v>#REF!</v>
      </c>
      <c r="T93" s="2003">
        <f t="shared" si="126"/>
        <v>0</v>
      </c>
      <c r="U93" s="1826" t="e">
        <f>SUM(U85:U92)</f>
        <v>#REF!</v>
      </c>
      <c r="V93" s="1826"/>
      <c r="W93" s="1989">
        <f t="shared" si="127"/>
        <v>0</v>
      </c>
      <c r="X93" s="2008" t="e">
        <f t="shared" ref="X93:AF93" si="206">SUM(X85:X92)</f>
        <v>#REF!</v>
      </c>
      <c r="Y93" s="2007" t="e">
        <f t="shared" si="206"/>
        <v>#REF!</v>
      </c>
      <c r="Z93" s="2003">
        <f t="shared" si="128"/>
        <v>0</v>
      </c>
      <c r="AA93" s="1826" t="e">
        <f t="shared" si="206"/>
        <v>#REF!</v>
      </c>
      <c r="AB93" s="2003">
        <f t="shared" si="129"/>
        <v>0</v>
      </c>
      <c r="AC93" s="1826" t="e">
        <f t="shared" si="206"/>
        <v>#REF!</v>
      </c>
      <c r="AD93" s="2003">
        <f t="shared" si="130"/>
        <v>0</v>
      </c>
      <c r="AE93" s="1826" t="e">
        <f t="shared" si="206"/>
        <v>#REF!</v>
      </c>
      <c r="AF93" s="1826" t="e">
        <f t="shared" si="206"/>
        <v>#REF!</v>
      </c>
      <c r="AG93" s="2002" t="e">
        <f t="shared" si="131"/>
        <v>#REF!</v>
      </c>
      <c r="AH93" s="2008" t="e">
        <f t="shared" ref="AH93:AP93" si="207">SUM(AH85:AH92)</f>
        <v>#REF!</v>
      </c>
      <c r="AI93" s="2007" t="e">
        <f t="shared" si="207"/>
        <v>#REF!</v>
      </c>
      <c r="AJ93" s="2003">
        <f t="shared" si="132"/>
        <v>0</v>
      </c>
      <c r="AK93" s="1826" t="e">
        <f t="shared" si="207"/>
        <v>#REF!</v>
      </c>
      <c r="AL93" s="2003">
        <f t="shared" si="133"/>
        <v>0</v>
      </c>
      <c r="AM93" s="1826" t="e">
        <f t="shared" si="207"/>
        <v>#REF!</v>
      </c>
      <c r="AN93" s="2003">
        <f t="shared" si="134"/>
        <v>0</v>
      </c>
      <c r="AO93" s="1826" t="e">
        <f t="shared" si="207"/>
        <v>#REF!</v>
      </c>
      <c r="AP93" s="1826" t="e">
        <f t="shared" si="207"/>
        <v>#REF!</v>
      </c>
      <c r="AQ93" s="2002" t="e">
        <f t="shared" si="135"/>
        <v>#REF!</v>
      </c>
      <c r="AR93" s="2008" t="e">
        <f t="shared" ref="AR93:AZ93" si="208">SUM(AR85:AR92)</f>
        <v>#REF!</v>
      </c>
      <c r="AS93" s="2007" t="e">
        <f t="shared" si="208"/>
        <v>#REF!</v>
      </c>
      <c r="AT93" s="2003">
        <f t="shared" si="136"/>
        <v>0</v>
      </c>
      <c r="AU93" s="1826" t="e">
        <f t="shared" si="208"/>
        <v>#REF!</v>
      </c>
      <c r="AV93" s="2003">
        <f t="shared" si="137"/>
        <v>0</v>
      </c>
      <c r="AW93" s="1826" t="e">
        <f t="shared" si="208"/>
        <v>#REF!</v>
      </c>
      <c r="AX93" s="2003">
        <f t="shared" si="138"/>
        <v>0</v>
      </c>
      <c r="AY93" s="1826" t="e">
        <f>SUM(AY85:AY92)</f>
        <v>#REF!</v>
      </c>
      <c r="AZ93" s="1826" t="e">
        <f t="shared" si="208"/>
        <v>#REF!</v>
      </c>
      <c r="BA93" s="2002" t="e">
        <f t="shared" si="139"/>
        <v>#REF!</v>
      </c>
      <c r="BB93" s="2008" t="e">
        <f t="shared" ref="BB93:BJ93" si="209">SUM(BB85:BB92)</f>
        <v>#REF!</v>
      </c>
      <c r="BC93" s="2007" t="e">
        <f t="shared" si="209"/>
        <v>#REF!</v>
      </c>
      <c r="BD93" s="2003">
        <f t="shared" si="140"/>
        <v>0</v>
      </c>
      <c r="BE93" s="1826" t="e">
        <f t="shared" si="209"/>
        <v>#REF!</v>
      </c>
      <c r="BF93" s="2003">
        <f t="shared" si="141"/>
        <v>0</v>
      </c>
      <c r="BG93" s="1826" t="e">
        <f t="shared" si="209"/>
        <v>#REF!</v>
      </c>
      <c r="BH93" s="2003">
        <f t="shared" si="142"/>
        <v>0</v>
      </c>
      <c r="BI93" s="1826" t="e">
        <f t="shared" si="209"/>
        <v>#REF!</v>
      </c>
      <c r="BJ93" s="1826" t="e">
        <f t="shared" si="209"/>
        <v>#REF!</v>
      </c>
      <c r="BK93" s="2002" t="e">
        <f t="shared" si="143"/>
        <v>#REF!</v>
      </c>
      <c r="BL93" s="2008" t="e">
        <f t="shared" ref="BL93:BT93" si="210">SUM(BL85:BL92)</f>
        <v>#REF!</v>
      </c>
      <c r="BM93" s="2007" t="e">
        <f t="shared" si="210"/>
        <v>#REF!</v>
      </c>
      <c r="BN93" s="2003">
        <f t="shared" si="144"/>
        <v>0</v>
      </c>
      <c r="BO93" s="1826" t="e">
        <f t="shared" si="210"/>
        <v>#REF!</v>
      </c>
      <c r="BP93" s="2003">
        <f t="shared" si="145"/>
        <v>0</v>
      </c>
      <c r="BQ93" s="1826" t="e">
        <f t="shared" si="210"/>
        <v>#REF!</v>
      </c>
      <c r="BR93" s="2003">
        <f t="shared" si="146"/>
        <v>0</v>
      </c>
      <c r="BS93" s="1826" t="e">
        <f t="shared" si="210"/>
        <v>#REF!</v>
      </c>
      <c r="BT93" s="1826" t="e">
        <f t="shared" si="210"/>
        <v>#REF!</v>
      </c>
      <c r="BU93" s="2002" t="e">
        <f t="shared" si="147"/>
        <v>#REF!</v>
      </c>
      <c r="BV93" s="2008" t="e">
        <f t="shared" ref="BV93:CD93" si="211">SUM(BV85:BV92)</f>
        <v>#REF!</v>
      </c>
      <c r="BW93" s="2007" t="e">
        <f t="shared" si="211"/>
        <v>#REF!</v>
      </c>
      <c r="BX93" s="2003">
        <f t="shared" si="148"/>
        <v>0</v>
      </c>
      <c r="BY93" s="1826" t="e">
        <f t="shared" si="211"/>
        <v>#REF!</v>
      </c>
      <c r="BZ93" s="2003">
        <f t="shared" si="149"/>
        <v>0</v>
      </c>
      <c r="CA93" s="1826" t="e">
        <f>SUM(CA85:CA92)</f>
        <v>#REF!</v>
      </c>
      <c r="CB93" s="2003">
        <f t="shared" si="150"/>
        <v>0</v>
      </c>
      <c r="CC93" s="1826" t="e">
        <f>SUM(CC85:CC92)</f>
        <v>#REF!</v>
      </c>
      <c r="CD93" s="1826" t="e">
        <f t="shared" si="211"/>
        <v>#REF!</v>
      </c>
      <c r="CE93" s="2002" t="e">
        <f t="shared" si="151"/>
        <v>#REF!</v>
      </c>
      <c r="CF93" s="2008" t="e">
        <f t="shared" ref="CF93:CN93" si="212">SUM(CF85:CF92)</f>
        <v>#REF!</v>
      </c>
      <c r="CG93" s="2007" t="e">
        <f t="shared" si="212"/>
        <v>#REF!</v>
      </c>
      <c r="CH93" s="2003">
        <f t="shared" si="152"/>
        <v>0</v>
      </c>
      <c r="CI93" s="1826" t="e">
        <f t="shared" si="212"/>
        <v>#REF!</v>
      </c>
      <c r="CJ93" s="2003">
        <f t="shared" si="153"/>
        <v>0</v>
      </c>
      <c r="CK93" s="1826" t="e">
        <f t="shared" si="212"/>
        <v>#REF!</v>
      </c>
      <c r="CL93" s="2003">
        <f t="shared" si="154"/>
        <v>0</v>
      </c>
      <c r="CM93" s="1826" t="e">
        <f t="shared" si="212"/>
        <v>#REF!</v>
      </c>
      <c r="CN93" s="1826" t="e">
        <f t="shared" si="212"/>
        <v>#REF!</v>
      </c>
      <c r="CO93" s="2002" t="e">
        <f t="shared" si="155"/>
        <v>#REF!</v>
      </c>
      <c r="CP93" s="2008" t="e">
        <f t="shared" ref="CP93:CX93" si="213">SUM(CP85:CP92)</f>
        <v>#REF!</v>
      </c>
      <c r="CQ93" s="2007" t="e">
        <f t="shared" si="213"/>
        <v>#REF!</v>
      </c>
      <c r="CR93" s="2003">
        <f t="shared" si="156"/>
        <v>0</v>
      </c>
      <c r="CS93" s="1826" t="e">
        <f t="shared" si="213"/>
        <v>#REF!</v>
      </c>
      <c r="CT93" s="2003">
        <f t="shared" si="157"/>
        <v>0</v>
      </c>
      <c r="CU93" s="1826" t="e">
        <f t="shared" si="213"/>
        <v>#REF!</v>
      </c>
      <c r="CV93" s="2003">
        <f t="shared" si="158"/>
        <v>0</v>
      </c>
      <c r="CW93" s="1826" t="e">
        <f t="shared" si="213"/>
        <v>#REF!</v>
      </c>
      <c r="CX93" s="1826" t="e">
        <f t="shared" si="213"/>
        <v>#REF!</v>
      </c>
      <c r="CY93" s="2002" t="e">
        <f t="shared" si="159"/>
        <v>#REF!</v>
      </c>
      <c r="CZ93" s="2008" t="e">
        <f t="shared" ref="CZ93:DH93" si="214">SUM(CZ85:CZ92)</f>
        <v>#REF!</v>
      </c>
      <c r="DA93" s="2007" t="e">
        <f t="shared" si="214"/>
        <v>#REF!</v>
      </c>
      <c r="DB93" s="2003">
        <f t="shared" si="160"/>
        <v>0</v>
      </c>
      <c r="DC93" s="1826" t="e">
        <f t="shared" si="214"/>
        <v>#REF!</v>
      </c>
      <c r="DD93" s="2003">
        <f t="shared" si="161"/>
        <v>0</v>
      </c>
      <c r="DE93" s="1826" t="e">
        <f>SUM(DE85:DE92)</f>
        <v>#REF!</v>
      </c>
      <c r="DF93" s="2003">
        <f t="shared" si="162"/>
        <v>0</v>
      </c>
      <c r="DG93" s="1826" t="e">
        <f t="shared" si="214"/>
        <v>#REF!</v>
      </c>
      <c r="DH93" s="1826" t="e">
        <f t="shared" si="214"/>
        <v>#REF!</v>
      </c>
      <c r="DI93" s="2002" t="e">
        <f t="shared" si="163"/>
        <v>#REF!</v>
      </c>
      <c r="DJ93" s="2008" t="e">
        <f t="shared" ref="DJ93:DR93" si="215">SUM(DJ85:DJ92)</f>
        <v>#REF!</v>
      </c>
      <c r="DK93" s="2007" t="e">
        <f>SUM(DK85:DK92)</f>
        <v>#REF!</v>
      </c>
      <c r="DL93" s="2003">
        <f t="shared" si="164"/>
        <v>0</v>
      </c>
      <c r="DM93" s="1826" t="e">
        <f t="shared" si="215"/>
        <v>#REF!</v>
      </c>
      <c r="DN93" s="2003">
        <f t="shared" si="165"/>
        <v>0</v>
      </c>
      <c r="DO93" s="1826" t="e">
        <f t="shared" si="215"/>
        <v>#REF!</v>
      </c>
      <c r="DP93" s="2003">
        <f t="shared" si="166"/>
        <v>0</v>
      </c>
      <c r="DQ93" s="1826" t="e">
        <f>SUM(DQ85:DQ92)</f>
        <v>#REF!</v>
      </c>
      <c r="DR93" s="1826" t="e">
        <f t="shared" si="215"/>
        <v>#REF!</v>
      </c>
      <c r="DS93" s="2002" t="e">
        <f t="shared" si="167"/>
        <v>#REF!</v>
      </c>
      <c r="DT93" s="2009" t="e">
        <f t="shared" ref="DT93:EB93" si="216">SUM(DT85:DT92)</f>
        <v>#REF!</v>
      </c>
      <c r="DU93" s="2010" t="e">
        <f t="shared" si="216"/>
        <v>#REF!</v>
      </c>
      <c r="DV93" s="2003">
        <f t="shared" si="168"/>
        <v>0</v>
      </c>
      <c r="DW93" s="1826" t="e">
        <f t="shared" si="216"/>
        <v>#REF!</v>
      </c>
      <c r="DX93" s="2003">
        <f t="shared" si="169"/>
        <v>0</v>
      </c>
      <c r="DY93" s="1826" t="e">
        <f t="shared" si="216"/>
        <v>#REF!</v>
      </c>
      <c r="DZ93" s="2003">
        <f t="shared" si="170"/>
        <v>0</v>
      </c>
      <c r="EA93" s="1826" t="e">
        <f t="shared" si="216"/>
        <v>#REF!</v>
      </c>
      <c r="EB93" s="1826" t="e">
        <f t="shared" si="216"/>
        <v>#REF!</v>
      </c>
      <c r="EC93" s="2002" t="e">
        <f t="shared" si="171"/>
        <v>#REF!</v>
      </c>
      <c r="ED93" s="1826" t="e">
        <f t="shared" ref="ED93:EL93" si="217">SUM(ED85:ED92)</f>
        <v>#REF!</v>
      </c>
      <c r="EE93" s="2011" t="e">
        <f t="shared" si="217"/>
        <v>#REF!</v>
      </c>
      <c r="EF93" s="2003">
        <f t="shared" si="172"/>
        <v>0</v>
      </c>
      <c r="EG93" s="1826" t="e">
        <f t="shared" si="217"/>
        <v>#REF!</v>
      </c>
      <c r="EH93" s="2003">
        <f t="shared" si="173"/>
        <v>0</v>
      </c>
      <c r="EI93" s="1826" t="e">
        <f t="shared" si="217"/>
        <v>#REF!</v>
      </c>
      <c r="EJ93" s="2003">
        <f t="shared" si="174"/>
        <v>0</v>
      </c>
      <c r="EK93" s="1826" t="e">
        <f t="shared" si="217"/>
        <v>#REF!</v>
      </c>
      <c r="EL93" s="1826" t="e">
        <f t="shared" si="217"/>
        <v>#REF!</v>
      </c>
      <c r="EM93" s="2006" t="e">
        <f t="shared" si="175"/>
        <v>#REF!</v>
      </c>
      <c r="EN93" s="2008" t="e">
        <f>SUM(EN85:EN92)</f>
        <v>#REF!</v>
      </c>
      <c r="EO93" s="1659"/>
      <c r="EP93" s="1613" t="e">
        <f>EA93-#REF!/10^7</f>
        <v>#REF!</v>
      </c>
      <c r="EQ93" s="1661"/>
      <c r="EW93" s="1611" t="e">
        <v>#N/A</v>
      </c>
      <c r="EX93" s="1612">
        <v>0</v>
      </c>
      <c r="EZ93" s="1650">
        <f t="shared" si="176"/>
        <v>0</v>
      </c>
    </row>
    <row r="94" spans="1:156" ht="21" customHeight="1">
      <c r="A94" s="1652"/>
      <c r="B94" s="1680"/>
      <c r="C94" s="1662"/>
      <c r="D94" s="1648"/>
      <c r="E94" s="1648"/>
      <c r="F94" s="1648"/>
      <c r="G94" s="1648"/>
      <c r="H94" s="1648"/>
      <c r="I94" s="1648"/>
      <c r="J94" s="1663"/>
      <c r="K94" s="1648"/>
      <c r="L94" s="1648"/>
      <c r="M94" s="1648"/>
      <c r="N94" s="1642"/>
      <c r="O94" s="2000"/>
      <c r="P94" s="2003">
        <f t="shared" si="124"/>
        <v>0</v>
      </c>
      <c r="Q94" s="1989"/>
      <c r="R94" s="2003">
        <f t="shared" si="125"/>
        <v>0</v>
      </c>
      <c r="S94" s="1989"/>
      <c r="T94" s="2003">
        <f t="shared" si="126"/>
        <v>0</v>
      </c>
      <c r="U94" s="1989"/>
      <c r="V94" s="1989"/>
      <c r="W94" s="1989">
        <f t="shared" si="127"/>
        <v>0</v>
      </c>
      <c r="X94" s="1999">
        <f>Q94+S94+U94+V94</f>
        <v>0</v>
      </c>
      <c r="Y94" s="1993"/>
      <c r="Z94" s="2003">
        <f t="shared" si="128"/>
        <v>0</v>
      </c>
      <c r="AA94" s="1989"/>
      <c r="AB94" s="2003">
        <f t="shared" si="129"/>
        <v>0</v>
      </c>
      <c r="AC94" s="1989"/>
      <c r="AD94" s="2003">
        <f t="shared" si="130"/>
        <v>0</v>
      </c>
      <c r="AE94" s="1989"/>
      <c r="AF94" s="1989"/>
      <c r="AG94" s="2002">
        <f t="shared" si="131"/>
        <v>0</v>
      </c>
      <c r="AH94" s="1999">
        <f>AA94+AC94+AE94+AF94</f>
        <v>0</v>
      </c>
      <c r="AI94" s="1993"/>
      <c r="AJ94" s="2003">
        <f t="shared" si="132"/>
        <v>0</v>
      </c>
      <c r="AK94" s="1989"/>
      <c r="AL94" s="2003">
        <f t="shared" si="133"/>
        <v>0</v>
      </c>
      <c r="AM94" s="1989"/>
      <c r="AN94" s="2003">
        <f t="shared" si="134"/>
        <v>0</v>
      </c>
      <c r="AO94" s="1989"/>
      <c r="AP94" s="1989"/>
      <c r="AQ94" s="2002">
        <f t="shared" si="135"/>
        <v>0</v>
      </c>
      <c r="AR94" s="1999">
        <f>AK94+AM94+AO94+AP94</f>
        <v>0</v>
      </c>
      <c r="AS94" s="1993"/>
      <c r="AT94" s="2003">
        <f t="shared" si="136"/>
        <v>0</v>
      </c>
      <c r="AU94" s="1989"/>
      <c r="AV94" s="2003">
        <f t="shared" si="137"/>
        <v>0</v>
      </c>
      <c r="AW94" s="1989"/>
      <c r="AX94" s="2003">
        <f t="shared" si="138"/>
        <v>0</v>
      </c>
      <c r="AY94" s="1989"/>
      <c r="AZ94" s="1989"/>
      <c r="BA94" s="2002">
        <f t="shared" si="139"/>
        <v>0</v>
      </c>
      <c r="BB94" s="1999">
        <f>AU94+AW94+AY94+AZ94</f>
        <v>0</v>
      </c>
      <c r="BC94" s="1993"/>
      <c r="BD94" s="2003">
        <f t="shared" si="140"/>
        <v>0</v>
      </c>
      <c r="BE94" s="1989"/>
      <c r="BF94" s="2003">
        <f t="shared" si="141"/>
        <v>0</v>
      </c>
      <c r="BG94" s="1989"/>
      <c r="BH94" s="2003">
        <f t="shared" si="142"/>
        <v>0</v>
      </c>
      <c r="BI94" s="1989"/>
      <c r="BJ94" s="1989"/>
      <c r="BK94" s="2002">
        <f t="shared" si="143"/>
        <v>0</v>
      </c>
      <c r="BL94" s="1999">
        <f>BE94+BG94+BI94+BJ94</f>
        <v>0</v>
      </c>
      <c r="BM94" s="1993"/>
      <c r="BN94" s="2003">
        <f t="shared" si="144"/>
        <v>0</v>
      </c>
      <c r="BO94" s="1989"/>
      <c r="BP94" s="2003">
        <f t="shared" si="145"/>
        <v>0</v>
      </c>
      <c r="BQ94" s="1989"/>
      <c r="BR94" s="2003">
        <f t="shared" si="146"/>
        <v>0</v>
      </c>
      <c r="BS94" s="1989"/>
      <c r="BT94" s="1989"/>
      <c r="BU94" s="2002">
        <f t="shared" si="147"/>
        <v>0</v>
      </c>
      <c r="BV94" s="1999">
        <f>BO94+BQ94+BS94+BT94</f>
        <v>0</v>
      </c>
      <c r="BW94" s="1993"/>
      <c r="BX94" s="2003">
        <f t="shared" si="148"/>
        <v>0</v>
      </c>
      <c r="BY94" s="1989"/>
      <c r="BZ94" s="2003">
        <f t="shared" si="149"/>
        <v>0</v>
      </c>
      <c r="CA94" s="1989"/>
      <c r="CB94" s="2003">
        <f t="shared" si="150"/>
        <v>0</v>
      </c>
      <c r="CC94" s="1989"/>
      <c r="CD94" s="1989"/>
      <c r="CE94" s="2002">
        <f t="shared" si="151"/>
        <v>0</v>
      </c>
      <c r="CF94" s="1999">
        <f>BY94+CA94+CC94+CD94</f>
        <v>0</v>
      </c>
      <c r="CG94" s="1993"/>
      <c r="CH94" s="2003">
        <f t="shared" si="152"/>
        <v>0</v>
      </c>
      <c r="CI94" s="1989"/>
      <c r="CJ94" s="2003">
        <f t="shared" si="153"/>
        <v>0</v>
      </c>
      <c r="CK94" s="1989"/>
      <c r="CL94" s="2003">
        <f t="shared" si="154"/>
        <v>0</v>
      </c>
      <c r="CM94" s="1989"/>
      <c r="CN94" s="1989"/>
      <c r="CO94" s="2002">
        <f t="shared" si="155"/>
        <v>0</v>
      </c>
      <c r="CP94" s="1999">
        <f>CI94+CK94+CM94+CN94</f>
        <v>0</v>
      </c>
      <c r="CQ94" s="1993"/>
      <c r="CR94" s="2003">
        <f t="shared" si="156"/>
        <v>0</v>
      </c>
      <c r="CS94" s="1989"/>
      <c r="CT94" s="2003">
        <f t="shared" si="157"/>
        <v>0</v>
      </c>
      <c r="CU94" s="1989"/>
      <c r="CV94" s="2003">
        <f t="shared" si="158"/>
        <v>0</v>
      </c>
      <c r="CW94" s="1989"/>
      <c r="CX94" s="1989"/>
      <c r="CY94" s="2002">
        <f t="shared" si="159"/>
        <v>0</v>
      </c>
      <c r="CZ94" s="1999">
        <f>CS94+CU94+CW94+CX94</f>
        <v>0</v>
      </c>
      <c r="DA94" s="1993"/>
      <c r="DB94" s="2003">
        <f t="shared" si="160"/>
        <v>0</v>
      </c>
      <c r="DC94" s="1989"/>
      <c r="DD94" s="2003">
        <f t="shared" si="161"/>
        <v>0</v>
      </c>
      <c r="DE94" s="1989"/>
      <c r="DF94" s="2003">
        <f t="shared" si="162"/>
        <v>0</v>
      </c>
      <c r="DG94" s="1989"/>
      <c r="DH94" s="1989"/>
      <c r="DI94" s="2002">
        <f t="shared" si="163"/>
        <v>0</v>
      </c>
      <c r="DJ94" s="1999">
        <f>DC94+DE94+DG94+DH94</f>
        <v>0</v>
      </c>
      <c r="DK94" s="1993"/>
      <c r="DL94" s="2003">
        <f t="shared" si="164"/>
        <v>0</v>
      </c>
      <c r="DM94" s="1989"/>
      <c r="DN94" s="2003">
        <f t="shared" si="165"/>
        <v>0</v>
      </c>
      <c r="DO94" s="1989"/>
      <c r="DP94" s="2003">
        <f t="shared" si="166"/>
        <v>0</v>
      </c>
      <c r="DQ94" s="1989"/>
      <c r="DR94" s="1989"/>
      <c r="DS94" s="2002">
        <f t="shared" si="167"/>
        <v>0</v>
      </c>
      <c r="DT94" s="2004">
        <f>DM94+DO94+DQ94+DR94</f>
        <v>0</v>
      </c>
      <c r="DU94" s="1988"/>
      <c r="DV94" s="2003">
        <f t="shared" si="168"/>
        <v>0</v>
      </c>
      <c r="DW94" s="1989"/>
      <c r="DX94" s="2003">
        <f t="shared" si="169"/>
        <v>0</v>
      </c>
      <c r="DY94" s="1989"/>
      <c r="DZ94" s="2003">
        <f t="shared" si="170"/>
        <v>0</v>
      </c>
      <c r="EA94" s="1989"/>
      <c r="EB94" s="1989"/>
      <c r="EC94" s="2002">
        <f t="shared" si="171"/>
        <v>0</v>
      </c>
      <c r="ED94" s="1998">
        <f>DW94+DY94+EA94+EB94</f>
        <v>0</v>
      </c>
      <c r="EE94" s="2005"/>
      <c r="EF94" s="2003">
        <f t="shared" si="172"/>
        <v>0</v>
      </c>
      <c r="EG94" s="1989"/>
      <c r="EH94" s="2003">
        <f t="shared" si="173"/>
        <v>0</v>
      </c>
      <c r="EI94" s="1989"/>
      <c r="EJ94" s="2003">
        <f t="shared" si="174"/>
        <v>0</v>
      </c>
      <c r="EK94" s="1989"/>
      <c r="EL94" s="1989"/>
      <c r="EM94" s="2006">
        <f t="shared" si="175"/>
        <v>0</v>
      </c>
      <c r="EN94" s="1999"/>
      <c r="EP94" s="1613" t="e">
        <f>EA94-#REF!/10^7</f>
        <v>#REF!</v>
      </c>
      <c r="EW94" s="1611" t="e">
        <v>#N/A</v>
      </c>
      <c r="EX94" s="1612" t="e">
        <v>#N/A</v>
      </c>
      <c r="EZ94" s="1650">
        <f t="shared" si="176"/>
        <v>0</v>
      </c>
    </row>
    <row r="95" spans="1:156" ht="21" customHeight="1">
      <c r="A95" s="1637" t="s">
        <v>27</v>
      </c>
      <c r="B95" s="1638" t="s">
        <v>1722</v>
      </c>
      <c r="C95" s="1645"/>
      <c r="D95" s="1640"/>
      <c r="E95" s="1640"/>
      <c r="F95" s="1640"/>
      <c r="G95" s="1640"/>
      <c r="H95" s="1640"/>
      <c r="I95" s="1648"/>
      <c r="J95" s="1649"/>
      <c r="K95" s="1648"/>
      <c r="L95" s="1640"/>
      <c r="M95" s="1640"/>
      <c r="N95" s="1642"/>
      <c r="O95" s="2000"/>
      <c r="P95" s="2003">
        <f t="shared" si="124"/>
        <v>0</v>
      </c>
      <c r="Q95" s="1989"/>
      <c r="R95" s="2003">
        <f t="shared" si="125"/>
        <v>0</v>
      </c>
      <c r="S95" s="1989"/>
      <c r="T95" s="2003">
        <f t="shared" si="126"/>
        <v>0</v>
      </c>
      <c r="U95" s="1989"/>
      <c r="V95" s="1989"/>
      <c r="W95" s="1989">
        <f t="shared" si="127"/>
        <v>0</v>
      </c>
      <c r="X95" s="1999">
        <f>Q95+S95+U95+V95</f>
        <v>0</v>
      </c>
      <c r="Y95" s="1993"/>
      <c r="Z95" s="2003">
        <f t="shared" si="128"/>
        <v>0</v>
      </c>
      <c r="AA95" s="1989"/>
      <c r="AB95" s="2003">
        <f t="shared" si="129"/>
        <v>0</v>
      </c>
      <c r="AC95" s="1989"/>
      <c r="AD95" s="2003">
        <f t="shared" si="130"/>
        <v>0</v>
      </c>
      <c r="AE95" s="1989"/>
      <c r="AF95" s="1989"/>
      <c r="AG95" s="2002">
        <f t="shared" si="131"/>
        <v>0</v>
      </c>
      <c r="AH95" s="1999">
        <f>AA95+AC95+AE95+AF95</f>
        <v>0</v>
      </c>
      <c r="AI95" s="1993"/>
      <c r="AJ95" s="2003">
        <f t="shared" si="132"/>
        <v>0</v>
      </c>
      <c r="AK95" s="1989"/>
      <c r="AL95" s="2003">
        <f t="shared" si="133"/>
        <v>0</v>
      </c>
      <c r="AM95" s="1989"/>
      <c r="AN95" s="2003">
        <f t="shared" si="134"/>
        <v>0</v>
      </c>
      <c r="AO95" s="1989"/>
      <c r="AP95" s="1989"/>
      <c r="AQ95" s="2002">
        <f t="shared" si="135"/>
        <v>0</v>
      </c>
      <c r="AR95" s="1999">
        <f>AK95+AM95+AO95+AP95</f>
        <v>0</v>
      </c>
      <c r="AS95" s="1993"/>
      <c r="AT95" s="2003">
        <f t="shared" si="136"/>
        <v>0</v>
      </c>
      <c r="AU95" s="1989"/>
      <c r="AV95" s="2003">
        <f t="shared" si="137"/>
        <v>0</v>
      </c>
      <c r="AW95" s="1989"/>
      <c r="AX95" s="2003">
        <f t="shared" si="138"/>
        <v>0</v>
      </c>
      <c r="AY95" s="1989"/>
      <c r="AZ95" s="1989"/>
      <c r="BA95" s="2002">
        <f t="shared" si="139"/>
        <v>0</v>
      </c>
      <c r="BB95" s="1999">
        <f>AU95+AW95+AY95+AZ95</f>
        <v>0</v>
      </c>
      <c r="BC95" s="1993"/>
      <c r="BD95" s="2003">
        <f t="shared" si="140"/>
        <v>0</v>
      </c>
      <c r="BE95" s="1989"/>
      <c r="BF95" s="2003">
        <f t="shared" si="141"/>
        <v>0</v>
      </c>
      <c r="BG95" s="1989"/>
      <c r="BH95" s="2003">
        <f t="shared" si="142"/>
        <v>0</v>
      </c>
      <c r="BI95" s="1989"/>
      <c r="BJ95" s="1989"/>
      <c r="BK95" s="2002">
        <f t="shared" si="143"/>
        <v>0</v>
      </c>
      <c r="BL95" s="1999">
        <f>BE95+BG95+BI95+BJ95</f>
        <v>0</v>
      </c>
      <c r="BM95" s="1993"/>
      <c r="BN95" s="2003">
        <f t="shared" si="144"/>
        <v>0</v>
      </c>
      <c r="BO95" s="1989"/>
      <c r="BP95" s="2003">
        <f t="shared" si="145"/>
        <v>0</v>
      </c>
      <c r="BQ95" s="1989"/>
      <c r="BR95" s="2003">
        <f t="shared" si="146"/>
        <v>0</v>
      </c>
      <c r="BS95" s="1989"/>
      <c r="BT95" s="1989"/>
      <c r="BU95" s="2002">
        <f t="shared" si="147"/>
        <v>0</v>
      </c>
      <c r="BV95" s="1999">
        <f>BO95+BQ95+BS95+BT95</f>
        <v>0</v>
      </c>
      <c r="BW95" s="1993"/>
      <c r="BX95" s="2003">
        <f t="shared" si="148"/>
        <v>0</v>
      </c>
      <c r="BY95" s="1989"/>
      <c r="BZ95" s="2003">
        <f t="shared" si="149"/>
        <v>0</v>
      </c>
      <c r="CA95" s="1989"/>
      <c r="CB95" s="2003">
        <f t="shared" si="150"/>
        <v>0</v>
      </c>
      <c r="CC95" s="1989"/>
      <c r="CD95" s="1989"/>
      <c r="CE95" s="2002">
        <f t="shared" si="151"/>
        <v>0</v>
      </c>
      <c r="CF95" s="1999">
        <f>BY95+CA95+CC95+CD95</f>
        <v>0</v>
      </c>
      <c r="CG95" s="1993"/>
      <c r="CH95" s="2003">
        <f t="shared" si="152"/>
        <v>0</v>
      </c>
      <c r="CI95" s="1989"/>
      <c r="CJ95" s="2003">
        <f t="shared" si="153"/>
        <v>0</v>
      </c>
      <c r="CK95" s="1989"/>
      <c r="CL95" s="2003">
        <f t="shared" si="154"/>
        <v>0</v>
      </c>
      <c r="CM95" s="1989"/>
      <c r="CN95" s="1989"/>
      <c r="CO95" s="2002">
        <f t="shared" si="155"/>
        <v>0</v>
      </c>
      <c r="CP95" s="1999">
        <f>CI95+CK95+CM95+CN95</f>
        <v>0</v>
      </c>
      <c r="CQ95" s="1993"/>
      <c r="CR95" s="2003">
        <f t="shared" si="156"/>
        <v>0</v>
      </c>
      <c r="CS95" s="1989"/>
      <c r="CT95" s="2003">
        <f t="shared" si="157"/>
        <v>0</v>
      </c>
      <c r="CU95" s="1989"/>
      <c r="CV95" s="2003">
        <f t="shared" si="158"/>
        <v>0</v>
      </c>
      <c r="CW95" s="1989"/>
      <c r="CX95" s="1989"/>
      <c r="CY95" s="2002">
        <f t="shared" si="159"/>
        <v>0</v>
      </c>
      <c r="CZ95" s="1999">
        <f>CS95+CU95+CW95+CX95</f>
        <v>0</v>
      </c>
      <c r="DA95" s="1993"/>
      <c r="DB95" s="2003">
        <f t="shared" si="160"/>
        <v>0</v>
      </c>
      <c r="DC95" s="1989"/>
      <c r="DD95" s="2003">
        <f t="shared" si="161"/>
        <v>0</v>
      </c>
      <c r="DE95" s="1989"/>
      <c r="DF95" s="2003">
        <f t="shared" si="162"/>
        <v>0</v>
      </c>
      <c r="DG95" s="1989"/>
      <c r="DH95" s="1989"/>
      <c r="DI95" s="2002">
        <f t="shared" si="163"/>
        <v>0</v>
      </c>
      <c r="DJ95" s="1999">
        <f>DC95+DE95+DG95+DH95</f>
        <v>0</v>
      </c>
      <c r="DK95" s="1993"/>
      <c r="DL95" s="2003">
        <f t="shared" si="164"/>
        <v>0</v>
      </c>
      <c r="DM95" s="1989"/>
      <c r="DN95" s="2003">
        <f t="shared" si="165"/>
        <v>0</v>
      </c>
      <c r="DO95" s="1989"/>
      <c r="DP95" s="2003">
        <f t="shared" si="166"/>
        <v>0</v>
      </c>
      <c r="DQ95" s="1989"/>
      <c r="DR95" s="1989"/>
      <c r="DS95" s="2002">
        <f t="shared" si="167"/>
        <v>0</v>
      </c>
      <c r="DT95" s="2004">
        <f>DM95+DO95+DQ95+DR95</f>
        <v>0</v>
      </c>
      <c r="DU95" s="1988"/>
      <c r="DV95" s="2003">
        <f t="shared" si="168"/>
        <v>0</v>
      </c>
      <c r="DW95" s="1989"/>
      <c r="DX95" s="2003">
        <f t="shared" si="169"/>
        <v>0</v>
      </c>
      <c r="DY95" s="1989"/>
      <c r="DZ95" s="2003">
        <f t="shared" si="170"/>
        <v>0</v>
      </c>
      <c r="EA95" s="1989"/>
      <c r="EB95" s="1989"/>
      <c r="EC95" s="2002">
        <f t="shared" si="171"/>
        <v>0</v>
      </c>
      <c r="ED95" s="1998">
        <f>DW95+DY95+EA95+EB95</f>
        <v>0</v>
      </c>
      <c r="EE95" s="2005"/>
      <c r="EF95" s="2003">
        <f t="shared" si="172"/>
        <v>0</v>
      </c>
      <c r="EG95" s="1989"/>
      <c r="EH95" s="2003">
        <f t="shared" si="173"/>
        <v>0</v>
      </c>
      <c r="EI95" s="1989"/>
      <c r="EJ95" s="2003">
        <f t="shared" si="174"/>
        <v>0</v>
      </c>
      <c r="EK95" s="1989"/>
      <c r="EL95" s="1989"/>
      <c r="EM95" s="2006">
        <f t="shared" si="175"/>
        <v>0</v>
      </c>
      <c r="EN95" s="1999"/>
      <c r="EP95" s="1613" t="e">
        <f>EA95-#REF!/10^7</f>
        <v>#REF!</v>
      </c>
      <c r="EW95" s="1611" t="e">
        <v>#N/A</v>
      </c>
      <c r="EX95" s="1612">
        <v>0</v>
      </c>
      <c r="EZ95" s="1650">
        <f t="shared" si="176"/>
        <v>0</v>
      </c>
    </row>
    <row r="96" spans="1:156" ht="21" customHeight="1">
      <c r="A96" s="1652">
        <v>1</v>
      </c>
      <c r="B96" s="1644" t="s">
        <v>1723</v>
      </c>
      <c r="C96" s="1645">
        <v>690</v>
      </c>
      <c r="D96" s="1646">
        <f t="shared" ref="D96:D107" si="218">H96/C96*100</f>
        <v>6.9565217391304346</v>
      </c>
      <c r="E96" s="1646">
        <v>97.43</v>
      </c>
      <c r="F96" s="1665">
        <v>1</v>
      </c>
      <c r="G96" s="1640"/>
      <c r="H96" s="1646">
        <v>48</v>
      </c>
      <c r="I96" s="1648" t="s">
        <v>1717</v>
      </c>
      <c r="J96" s="1649">
        <v>1</v>
      </c>
      <c r="K96" s="1648"/>
      <c r="L96" s="1640"/>
      <c r="M96" s="1640"/>
      <c r="N96" s="1642"/>
      <c r="O96" s="2000" t="e">
        <f>#REF!</f>
        <v>#REF!</v>
      </c>
      <c r="P96" s="2003">
        <f t="shared" si="124"/>
        <v>0</v>
      </c>
      <c r="Q96" s="1989" t="e">
        <f>#REF!/10^7</f>
        <v>#REF!</v>
      </c>
      <c r="R96" s="2003">
        <f t="shared" si="125"/>
        <v>0</v>
      </c>
      <c r="S96" s="1989" t="e">
        <f>#REF!/10^7</f>
        <v>#REF!</v>
      </c>
      <c r="T96" s="2003">
        <f t="shared" si="126"/>
        <v>0</v>
      </c>
      <c r="U96" s="1989" t="e">
        <f>#REF!/10^7</f>
        <v>#REF!</v>
      </c>
      <c r="V96" s="1989" t="e">
        <f>#REF!/10^7</f>
        <v>#REF!</v>
      </c>
      <c r="W96" s="1989">
        <f t="shared" si="127"/>
        <v>0</v>
      </c>
      <c r="X96" s="1999" t="e">
        <f t="shared" ref="X96:X110" si="219">Q96+S96+U96+V96</f>
        <v>#REF!</v>
      </c>
      <c r="Y96" s="1993" t="e">
        <f>#REF!</f>
        <v>#REF!</v>
      </c>
      <c r="Z96" s="2003">
        <f t="shared" si="128"/>
        <v>0</v>
      </c>
      <c r="AA96" s="1989" t="e">
        <f>#REF!/10^7</f>
        <v>#REF!</v>
      </c>
      <c r="AB96" s="2003">
        <f t="shared" si="129"/>
        <v>0</v>
      </c>
      <c r="AC96" s="1989" t="e">
        <f>#REF!/10^7</f>
        <v>#REF!</v>
      </c>
      <c r="AD96" s="2003">
        <f t="shared" si="130"/>
        <v>0</v>
      </c>
      <c r="AE96" s="1989" t="e">
        <f>#REF!/10^7</f>
        <v>#REF!</v>
      </c>
      <c r="AF96" s="1989" t="e">
        <f>#REF!/10^7</f>
        <v>#REF!</v>
      </c>
      <c r="AG96" s="2002" t="e">
        <f t="shared" si="131"/>
        <v>#REF!</v>
      </c>
      <c r="AH96" s="1999" t="e">
        <f t="shared" ref="AH96:AH110" si="220">AA96+AC96+AE96+AF96</f>
        <v>#REF!</v>
      </c>
      <c r="AI96" s="1993" t="e">
        <f>#REF!</f>
        <v>#REF!</v>
      </c>
      <c r="AJ96" s="2003">
        <f t="shared" si="132"/>
        <v>0</v>
      </c>
      <c r="AK96" s="1989" t="e">
        <f>#REF!/10^7</f>
        <v>#REF!</v>
      </c>
      <c r="AL96" s="2003">
        <f t="shared" si="133"/>
        <v>0</v>
      </c>
      <c r="AM96" s="1989" t="e">
        <f>#REF!/10^7</f>
        <v>#REF!</v>
      </c>
      <c r="AN96" s="2003">
        <f t="shared" si="134"/>
        <v>0</v>
      </c>
      <c r="AO96" s="1989" t="e">
        <f>#REF!/10^7</f>
        <v>#REF!</v>
      </c>
      <c r="AP96" s="1989" t="e">
        <f>#REF!/10^7</f>
        <v>#REF!</v>
      </c>
      <c r="AQ96" s="2002" t="e">
        <f t="shared" si="135"/>
        <v>#REF!</v>
      </c>
      <c r="AR96" s="1999" t="e">
        <f t="shared" ref="AR96:AR110" si="221">AK96+AM96+AO96+AP96</f>
        <v>#REF!</v>
      </c>
      <c r="AS96" s="1993" t="e">
        <f>#REF!</f>
        <v>#REF!</v>
      </c>
      <c r="AT96" s="2003">
        <f t="shared" si="136"/>
        <v>0</v>
      </c>
      <c r="AU96" s="1989" t="e">
        <f>#REF!/10^7</f>
        <v>#REF!</v>
      </c>
      <c r="AV96" s="2003">
        <f t="shared" si="137"/>
        <v>0</v>
      </c>
      <c r="AW96" s="1989" t="e">
        <f>#REF!/10^7</f>
        <v>#REF!</v>
      </c>
      <c r="AX96" s="2003">
        <f t="shared" si="138"/>
        <v>0</v>
      </c>
      <c r="AY96" s="1989" t="e">
        <f>#REF!/10^7</f>
        <v>#REF!</v>
      </c>
      <c r="AZ96" s="1989" t="e">
        <f>#REF!/10^7</f>
        <v>#REF!</v>
      </c>
      <c r="BA96" s="2002" t="e">
        <f t="shared" si="139"/>
        <v>#REF!</v>
      </c>
      <c r="BB96" s="1999" t="e">
        <f t="shared" ref="BB96:BB110" si="222">AU96+AW96+AY96+AZ96</f>
        <v>#REF!</v>
      </c>
      <c r="BC96" s="1993" t="e">
        <f>#REF!</f>
        <v>#REF!</v>
      </c>
      <c r="BD96" s="2003">
        <f t="shared" si="140"/>
        <v>0</v>
      </c>
      <c r="BE96" s="1989" t="e">
        <f>#REF!/10^7</f>
        <v>#REF!</v>
      </c>
      <c r="BF96" s="2003">
        <f t="shared" si="141"/>
        <v>0</v>
      </c>
      <c r="BG96" s="1989" t="e">
        <f>#REF!/10^7</f>
        <v>#REF!</v>
      </c>
      <c r="BH96" s="2003">
        <f t="shared" si="142"/>
        <v>0</v>
      </c>
      <c r="BI96" s="1989" t="e">
        <f>#REF!/10^7</f>
        <v>#REF!</v>
      </c>
      <c r="BJ96" s="1989" t="e">
        <f>#REF!/10^7</f>
        <v>#REF!</v>
      </c>
      <c r="BK96" s="2002" t="e">
        <f t="shared" si="143"/>
        <v>#REF!</v>
      </c>
      <c r="BL96" s="1999" t="e">
        <f t="shared" ref="BL96:BL110" si="223">BE96+BG96+BI96+BJ96</f>
        <v>#REF!</v>
      </c>
      <c r="BM96" s="1993" t="e">
        <f>#REF!</f>
        <v>#REF!</v>
      </c>
      <c r="BN96" s="2003">
        <f t="shared" si="144"/>
        <v>0</v>
      </c>
      <c r="BO96" s="1989" t="e">
        <f>#REF!/10^7</f>
        <v>#REF!</v>
      </c>
      <c r="BP96" s="2003">
        <f t="shared" si="145"/>
        <v>0</v>
      </c>
      <c r="BQ96" s="1989" t="e">
        <f>#REF!/10^7</f>
        <v>#REF!</v>
      </c>
      <c r="BR96" s="2003">
        <f t="shared" si="146"/>
        <v>0</v>
      </c>
      <c r="BS96" s="1989" t="e">
        <f>#REF!/10^7</f>
        <v>#REF!</v>
      </c>
      <c r="BT96" s="1989" t="e">
        <f>#REF!/10^7</f>
        <v>#REF!</v>
      </c>
      <c r="BU96" s="2002" t="e">
        <f t="shared" si="147"/>
        <v>#REF!</v>
      </c>
      <c r="BV96" s="1999" t="e">
        <f t="shared" ref="BV96:BV110" si="224">BO96+BQ96+BS96+BT96</f>
        <v>#REF!</v>
      </c>
      <c r="BW96" s="1993" t="e">
        <f>#REF!</f>
        <v>#REF!</v>
      </c>
      <c r="BX96" s="2003">
        <f t="shared" si="148"/>
        <v>0</v>
      </c>
      <c r="BY96" s="1989" t="e">
        <f>#REF!/10^7</f>
        <v>#REF!</v>
      </c>
      <c r="BZ96" s="2003">
        <f t="shared" si="149"/>
        <v>0</v>
      </c>
      <c r="CA96" s="1989" t="e">
        <f>#REF!/10^7</f>
        <v>#REF!</v>
      </c>
      <c r="CB96" s="2003">
        <f t="shared" si="150"/>
        <v>0</v>
      </c>
      <c r="CC96" s="1989" t="e">
        <f>#REF!/10^7</f>
        <v>#REF!</v>
      </c>
      <c r="CD96" s="1989" t="e">
        <f>#REF!/10^7</f>
        <v>#REF!</v>
      </c>
      <c r="CE96" s="2002" t="e">
        <f t="shared" si="151"/>
        <v>#REF!</v>
      </c>
      <c r="CF96" s="1999" t="e">
        <f t="shared" ref="CF96:CF110" si="225">BY96+CA96+CC96+CD96</f>
        <v>#REF!</v>
      </c>
      <c r="CG96" s="1993" t="e">
        <f>#REF!</f>
        <v>#REF!</v>
      </c>
      <c r="CH96" s="2003">
        <f t="shared" si="152"/>
        <v>0</v>
      </c>
      <c r="CI96" s="1989" t="e">
        <f>#REF!/10^7</f>
        <v>#REF!</v>
      </c>
      <c r="CJ96" s="2003">
        <f t="shared" si="153"/>
        <v>0</v>
      </c>
      <c r="CK96" s="1989" t="e">
        <f>#REF!/10^7</f>
        <v>#REF!</v>
      </c>
      <c r="CL96" s="2003">
        <f t="shared" si="154"/>
        <v>0</v>
      </c>
      <c r="CM96" s="1989" t="e">
        <f>#REF!/10^7</f>
        <v>#REF!</v>
      </c>
      <c r="CN96" s="1989" t="e">
        <f>#REF!/10^7</f>
        <v>#REF!</v>
      </c>
      <c r="CO96" s="2002" t="e">
        <f t="shared" si="155"/>
        <v>#REF!</v>
      </c>
      <c r="CP96" s="1999" t="e">
        <f t="shared" ref="CP96:CP110" si="226">CI96+CK96+CM96+CN96</f>
        <v>#REF!</v>
      </c>
      <c r="CQ96" s="1993" t="e">
        <f>#REF!</f>
        <v>#REF!</v>
      </c>
      <c r="CR96" s="2003">
        <f t="shared" si="156"/>
        <v>0</v>
      </c>
      <c r="CS96" s="1989" t="e">
        <f>#REF!/10^7</f>
        <v>#REF!</v>
      </c>
      <c r="CT96" s="2003">
        <f t="shared" si="157"/>
        <v>0</v>
      </c>
      <c r="CU96" s="1989" t="e">
        <f>#REF!/10^7</f>
        <v>#REF!</v>
      </c>
      <c r="CV96" s="2003">
        <f t="shared" si="158"/>
        <v>0</v>
      </c>
      <c r="CW96" s="1989" t="e">
        <f>#REF!/10^7</f>
        <v>#REF!</v>
      </c>
      <c r="CX96" s="1989" t="e">
        <f>#REF!/10^7</f>
        <v>#REF!</v>
      </c>
      <c r="CY96" s="2002" t="e">
        <f t="shared" si="159"/>
        <v>#REF!</v>
      </c>
      <c r="CZ96" s="1999" t="e">
        <f t="shared" ref="CZ96:CZ110" si="227">CS96+CU96+CW96+CX96</f>
        <v>#REF!</v>
      </c>
      <c r="DA96" s="1993" t="e">
        <f>#REF!</f>
        <v>#REF!</v>
      </c>
      <c r="DB96" s="2003">
        <f t="shared" si="160"/>
        <v>0</v>
      </c>
      <c r="DC96" s="1989" t="e">
        <f>#REF!/10^7</f>
        <v>#REF!</v>
      </c>
      <c r="DD96" s="2003">
        <f t="shared" si="161"/>
        <v>0</v>
      </c>
      <c r="DE96" s="1989" t="e">
        <f>#REF!/10^7</f>
        <v>#REF!</v>
      </c>
      <c r="DF96" s="2003">
        <f t="shared" si="162"/>
        <v>0</v>
      </c>
      <c r="DG96" s="1989" t="e">
        <f>#REF!/10^7</f>
        <v>#REF!</v>
      </c>
      <c r="DH96" s="1989" t="e">
        <f>#REF!/10^7</f>
        <v>#REF!</v>
      </c>
      <c r="DI96" s="2002" t="e">
        <f t="shared" si="163"/>
        <v>#REF!</v>
      </c>
      <c r="DJ96" s="1999" t="e">
        <f t="shared" ref="DJ96:DJ110" si="228">DC96+DE96+DG96+DH96</f>
        <v>#REF!</v>
      </c>
      <c r="DK96" s="1993" t="e">
        <f>#REF!</f>
        <v>#REF!</v>
      </c>
      <c r="DL96" s="2003">
        <f t="shared" si="164"/>
        <v>0</v>
      </c>
      <c r="DM96" s="1989" t="e">
        <f>#REF!/10^7</f>
        <v>#REF!</v>
      </c>
      <c r="DN96" s="2003">
        <f t="shared" si="165"/>
        <v>0</v>
      </c>
      <c r="DO96" s="1989" t="e">
        <f>#REF!/10^7</f>
        <v>#REF!</v>
      </c>
      <c r="DP96" s="2003">
        <f t="shared" si="166"/>
        <v>0</v>
      </c>
      <c r="DQ96" s="1989" t="e">
        <f>#REF!/10^7</f>
        <v>#REF!</v>
      </c>
      <c r="DR96" s="1989" t="e">
        <f>#REF!/10^7</f>
        <v>#REF!</v>
      </c>
      <c r="DS96" s="2002" t="e">
        <f t="shared" si="167"/>
        <v>#REF!</v>
      </c>
      <c r="DT96" s="2004" t="e">
        <f t="shared" ref="DT96:DT110" si="229">DM96+DO96+DQ96+DR96</f>
        <v>#REF!</v>
      </c>
      <c r="DU96" s="1988" t="e">
        <f>#REF!</f>
        <v>#REF!</v>
      </c>
      <c r="DV96" s="2003">
        <f t="shared" si="168"/>
        <v>0</v>
      </c>
      <c r="DW96" s="1989" t="e">
        <f>#REF!/10^7</f>
        <v>#REF!</v>
      </c>
      <c r="DX96" s="2003">
        <f t="shared" si="169"/>
        <v>0</v>
      </c>
      <c r="DY96" s="1989" t="e">
        <f>#REF!/10^7</f>
        <v>#REF!</v>
      </c>
      <c r="DZ96" s="2003">
        <f t="shared" si="170"/>
        <v>0</v>
      </c>
      <c r="EA96" s="1989" t="e">
        <f>#REF!/10^7</f>
        <v>#REF!</v>
      </c>
      <c r="EB96" s="1989" t="e">
        <f>#REF!/10^7</f>
        <v>#REF!</v>
      </c>
      <c r="EC96" s="2002" t="e">
        <f t="shared" si="171"/>
        <v>#REF!</v>
      </c>
      <c r="ED96" s="1998" t="e">
        <f t="shared" ref="ED96:ED110" si="230">DW96+DY96+EA96+EB96</f>
        <v>#REF!</v>
      </c>
      <c r="EE96" s="2005" t="e">
        <f>O96+Y96+AI96+AS96+BC96+BM96+BW96+CG96+CQ96+DA96+DK96+DU96</f>
        <v>#REF!</v>
      </c>
      <c r="EF96" s="2003">
        <f t="shared" si="172"/>
        <v>0</v>
      </c>
      <c r="EG96" s="1989" t="e">
        <f t="shared" ref="EG96:EG110" si="231">Q96+AA96+AK96+AU96+BE96+BO96+BY96+CI96+CS96+DC96+DM96+DW96</f>
        <v>#REF!</v>
      </c>
      <c r="EH96" s="2003">
        <f t="shared" si="173"/>
        <v>0</v>
      </c>
      <c r="EI96" s="1989" t="e">
        <f t="shared" ref="EI96:EI110" si="232">S96+AC96+AM96+AW96+BG96+BQ96+CA96+CK96+CU96+DE96+DO96+DY96</f>
        <v>#REF!</v>
      </c>
      <c r="EJ96" s="2003">
        <f t="shared" si="174"/>
        <v>0</v>
      </c>
      <c r="EK96" s="1989" t="e">
        <f t="shared" ref="EK96:EL110" si="233">U96+AE96+AO96+AY96+BI96+BS96+CC96+CM96+CW96+DG96+DQ96+EA96</f>
        <v>#REF!</v>
      </c>
      <c r="EL96" s="1989" t="e">
        <f t="shared" si="233"/>
        <v>#REF!</v>
      </c>
      <c r="EM96" s="2006" t="e">
        <f t="shared" si="175"/>
        <v>#REF!</v>
      </c>
      <c r="EN96" s="1999" t="e">
        <f>EG96+EI96+EK96+EL96</f>
        <v>#REF!</v>
      </c>
      <c r="EP96" s="1613" t="e">
        <f>EA96-#REF!/10^7</f>
        <v>#REF!</v>
      </c>
      <c r="EW96" s="1611" t="s">
        <v>1717</v>
      </c>
      <c r="EX96" s="1612" t="s">
        <v>1717</v>
      </c>
      <c r="EZ96" s="1650">
        <f t="shared" si="176"/>
        <v>0</v>
      </c>
    </row>
    <row r="97" spans="1:156" ht="21" customHeight="1">
      <c r="A97" s="1652">
        <v>2</v>
      </c>
      <c r="B97" s="1644" t="s">
        <v>1724</v>
      </c>
      <c r="C97" s="1645">
        <v>94.2</v>
      </c>
      <c r="D97" s="1646">
        <f t="shared" si="218"/>
        <v>22.29299363057325</v>
      </c>
      <c r="E97" s="1646">
        <v>84.406999999999996</v>
      </c>
      <c r="F97" s="1665">
        <v>1.2</v>
      </c>
      <c r="G97" s="1640"/>
      <c r="H97" s="1646">
        <v>21</v>
      </c>
      <c r="I97" s="1648" t="s">
        <v>1717</v>
      </c>
      <c r="J97" s="1649">
        <v>1</v>
      </c>
      <c r="K97" s="1648"/>
      <c r="L97" s="1640"/>
      <c r="M97" s="1640"/>
      <c r="N97" s="1642"/>
      <c r="O97" s="2000" t="e">
        <f>#REF!</f>
        <v>#REF!</v>
      </c>
      <c r="P97" s="2003">
        <f t="shared" si="124"/>
        <v>0</v>
      </c>
      <c r="Q97" s="1989" t="e">
        <f>#REF!/10^7</f>
        <v>#REF!</v>
      </c>
      <c r="R97" s="2003">
        <f t="shared" si="125"/>
        <v>0</v>
      </c>
      <c r="S97" s="1989" t="e">
        <f>#REF!/10^7</f>
        <v>#REF!</v>
      </c>
      <c r="T97" s="2003">
        <f t="shared" si="126"/>
        <v>0</v>
      </c>
      <c r="U97" s="1989" t="e">
        <f>#REF!/10^7</f>
        <v>#REF!</v>
      </c>
      <c r="V97" s="1989" t="e">
        <f>#REF!/10^7</f>
        <v>#REF!</v>
      </c>
      <c r="W97" s="1989">
        <f t="shared" si="127"/>
        <v>0</v>
      </c>
      <c r="X97" s="1999" t="e">
        <f t="shared" si="219"/>
        <v>#REF!</v>
      </c>
      <c r="Y97" s="1993" t="e">
        <f>#REF!</f>
        <v>#REF!</v>
      </c>
      <c r="Z97" s="2003">
        <f t="shared" si="128"/>
        <v>0</v>
      </c>
      <c r="AA97" s="1989" t="e">
        <f>#REF!/10^7</f>
        <v>#REF!</v>
      </c>
      <c r="AB97" s="2003">
        <f t="shared" si="129"/>
        <v>0</v>
      </c>
      <c r="AC97" s="1989" t="e">
        <f>#REF!/10^7</f>
        <v>#REF!</v>
      </c>
      <c r="AD97" s="2003">
        <f t="shared" si="130"/>
        <v>0</v>
      </c>
      <c r="AE97" s="1989" t="e">
        <f>#REF!/10^7</f>
        <v>#REF!</v>
      </c>
      <c r="AF97" s="1989" t="e">
        <f>#REF!/10^7</f>
        <v>#REF!</v>
      </c>
      <c r="AG97" s="2002" t="e">
        <f t="shared" si="131"/>
        <v>#REF!</v>
      </c>
      <c r="AH97" s="1999" t="e">
        <f t="shared" si="220"/>
        <v>#REF!</v>
      </c>
      <c r="AI97" s="1993" t="e">
        <f>#REF!</f>
        <v>#REF!</v>
      </c>
      <c r="AJ97" s="2003">
        <f t="shared" si="132"/>
        <v>0</v>
      </c>
      <c r="AK97" s="1989" t="e">
        <f>#REF!/10^7</f>
        <v>#REF!</v>
      </c>
      <c r="AL97" s="2003">
        <f t="shared" si="133"/>
        <v>0</v>
      </c>
      <c r="AM97" s="1989" t="e">
        <f>#REF!/10^7</f>
        <v>#REF!</v>
      </c>
      <c r="AN97" s="2003">
        <f t="shared" si="134"/>
        <v>0</v>
      </c>
      <c r="AO97" s="1989" t="e">
        <f>#REF!/10^7</f>
        <v>#REF!</v>
      </c>
      <c r="AP97" s="1989" t="e">
        <f>#REF!/10^7</f>
        <v>#REF!</v>
      </c>
      <c r="AQ97" s="2002" t="e">
        <f t="shared" si="135"/>
        <v>#REF!</v>
      </c>
      <c r="AR97" s="1999" t="e">
        <f t="shared" si="221"/>
        <v>#REF!</v>
      </c>
      <c r="AS97" s="1993" t="e">
        <f>#REF!</f>
        <v>#REF!</v>
      </c>
      <c r="AT97" s="2003">
        <f t="shared" si="136"/>
        <v>0</v>
      </c>
      <c r="AU97" s="1989" t="e">
        <f>#REF!/10^7</f>
        <v>#REF!</v>
      </c>
      <c r="AV97" s="2003">
        <f t="shared" si="137"/>
        <v>0</v>
      </c>
      <c r="AW97" s="1989" t="e">
        <f>#REF!/10^7</f>
        <v>#REF!</v>
      </c>
      <c r="AX97" s="2003">
        <f t="shared" si="138"/>
        <v>0</v>
      </c>
      <c r="AY97" s="1989" t="e">
        <f>#REF!/10^7</f>
        <v>#REF!</v>
      </c>
      <c r="AZ97" s="1989" t="e">
        <f>#REF!/10^7</f>
        <v>#REF!</v>
      </c>
      <c r="BA97" s="2002" t="e">
        <f t="shared" si="139"/>
        <v>#REF!</v>
      </c>
      <c r="BB97" s="1999" t="e">
        <f t="shared" si="222"/>
        <v>#REF!</v>
      </c>
      <c r="BC97" s="1993" t="e">
        <f>#REF!</f>
        <v>#REF!</v>
      </c>
      <c r="BD97" s="2003">
        <f t="shared" si="140"/>
        <v>0</v>
      </c>
      <c r="BE97" s="1989" t="e">
        <f>#REF!/10^7</f>
        <v>#REF!</v>
      </c>
      <c r="BF97" s="2003">
        <f t="shared" si="141"/>
        <v>0</v>
      </c>
      <c r="BG97" s="1989" t="e">
        <f>#REF!/10^7</f>
        <v>#REF!</v>
      </c>
      <c r="BH97" s="2003">
        <f t="shared" si="142"/>
        <v>0</v>
      </c>
      <c r="BI97" s="1989" t="e">
        <f>#REF!/10^7</f>
        <v>#REF!</v>
      </c>
      <c r="BJ97" s="1989" t="e">
        <f>#REF!/10^7</f>
        <v>#REF!</v>
      </c>
      <c r="BK97" s="2002" t="e">
        <f t="shared" si="143"/>
        <v>#REF!</v>
      </c>
      <c r="BL97" s="1999" t="e">
        <f t="shared" si="223"/>
        <v>#REF!</v>
      </c>
      <c r="BM97" s="1993" t="e">
        <f>#REF!</f>
        <v>#REF!</v>
      </c>
      <c r="BN97" s="2003">
        <f t="shared" si="144"/>
        <v>0</v>
      </c>
      <c r="BO97" s="1989" t="e">
        <f>#REF!/10^7</f>
        <v>#REF!</v>
      </c>
      <c r="BP97" s="2003">
        <f t="shared" si="145"/>
        <v>0</v>
      </c>
      <c r="BQ97" s="1989" t="e">
        <f>#REF!/10^7</f>
        <v>#REF!</v>
      </c>
      <c r="BR97" s="2003">
        <f t="shared" si="146"/>
        <v>0</v>
      </c>
      <c r="BS97" s="1989" t="e">
        <f>#REF!/10^7</f>
        <v>#REF!</v>
      </c>
      <c r="BT97" s="1989" t="e">
        <f>#REF!/10^7</f>
        <v>#REF!</v>
      </c>
      <c r="BU97" s="2002" t="e">
        <f t="shared" si="147"/>
        <v>#REF!</v>
      </c>
      <c r="BV97" s="1999" t="e">
        <f t="shared" si="224"/>
        <v>#REF!</v>
      </c>
      <c r="BW97" s="1993" t="e">
        <f>#REF!</f>
        <v>#REF!</v>
      </c>
      <c r="BX97" s="2003">
        <f t="shared" si="148"/>
        <v>0</v>
      </c>
      <c r="BY97" s="1989" t="e">
        <f>#REF!/10^7</f>
        <v>#REF!</v>
      </c>
      <c r="BZ97" s="2003">
        <f t="shared" si="149"/>
        <v>0</v>
      </c>
      <c r="CA97" s="1989" t="e">
        <f>#REF!/10^7</f>
        <v>#REF!</v>
      </c>
      <c r="CB97" s="2003">
        <f t="shared" si="150"/>
        <v>0</v>
      </c>
      <c r="CC97" s="1989" t="e">
        <f>#REF!/10^7</f>
        <v>#REF!</v>
      </c>
      <c r="CD97" s="1989" t="e">
        <f>#REF!/10^7</f>
        <v>#REF!</v>
      </c>
      <c r="CE97" s="2002" t="e">
        <f t="shared" si="151"/>
        <v>#REF!</v>
      </c>
      <c r="CF97" s="1999" t="e">
        <f t="shared" si="225"/>
        <v>#REF!</v>
      </c>
      <c r="CG97" s="1993" t="e">
        <f>#REF!</f>
        <v>#REF!</v>
      </c>
      <c r="CH97" s="2003">
        <f t="shared" si="152"/>
        <v>0</v>
      </c>
      <c r="CI97" s="1989" t="e">
        <f>#REF!/10^7</f>
        <v>#REF!</v>
      </c>
      <c r="CJ97" s="2003">
        <f t="shared" si="153"/>
        <v>0</v>
      </c>
      <c r="CK97" s="1989" t="e">
        <f>#REF!/10^7</f>
        <v>#REF!</v>
      </c>
      <c r="CL97" s="2003">
        <f t="shared" si="154"/>
        <v>0</v>
      </c>
      <c r="CM97" s="1989" t="e">
        <f>#REF!/10^7</f>
        <v>#REF!</v>
      </c>
      <c r="CN97" s="1989" t="e">
        <f>#REF!/10^7</f>
        <v>#REF!</v>
      </c>
      <c r="CO97" s="2002" t="e">
        <f t="shared" si="155"/>
        <v>#REF!</v>
      </c>
      <c r="CP97" s="1999" t="e">
        <f t="shared" si="226"/>
        <v>#REF!</v>
      </c>
      <c r="CQ97" s="1993" t="e">
        <f>#REF!</f>
        <v>#REF!</v>
      </c>
      <c r="CR97" s="2003">
        <f t="shared" si="156"/>
        <v>0</v>
      </c>
      <c r="CS97" s="1989" t="e">
        <f>#REF!/10^7</f>
        <v>#REF!</v>
      </c>
      <c r="CT97" s="2003">
        <f t="shared" si="157"/>
        <v>0</v>
      </c>
      <c r="CU97" s="1989" t="e">
        <f>#REF!/10^7</f>
        <v>#REF!</v>
      </c>
      <c r="CV97" s="2003">
        <f t="shared" si="158"/>
        <v>0</v>
      </c>
      <c r="CW97" s="1989" t="e">
        <f>#REF!/10^7</f>
        <v>#REF!</v>
      </c>
      <c r="CX97" s="1989" t="e">
        <f>#REF!/10^7</f>
        <v>#REF!</v>
      </c>
      <c r="CY97" s="2002" t="e">
        <f t="shared" si="159"/>
        <v>#REF!</v>
      </c>
      <c r="CZ97" s="1999" t="e">
        <f t="shared" si="227"/>
        <v>#REF!</v>
      </c>
      <c r="DA97" s="1993" t="e">
        <f>#REF!</f>
        <v>#REF!</v>
      </c>
      <c r="DB97" s="2003">
        <f t="shared" si="160"/>
        <v>0</v>
      </c>
      <c r="DC97" s="1989" t="e">
        <f>#REF!/10^7</f>
        <v>#REF!</v>
      </c>
      <c r="DD97" s="2003">
        <f t="shared" si="161"/>
        <v>0</v>
      </c>
      <c r="DE97" s="1989" t="e">
        <f>#REF!/10^7</f>
        <v>#REF!</v>
      </c>
      <c r="DF97" s="2003">
        <f t="shared" si="162"/>
        <v>0</v>
      </c>
      <c r="DG97" s="1989" t="e">
        <f>#REF!/10^7</f>
        <v>#REF!</v>
      </c>
      <c r="DH97" s="1989" t="e">
        <f>#REF!/10^7</f>
        <v>#REF!</v>
      </c>
      <c r="DI97" s="2002" t="e">
        <f t="shared" si="163"/>
        <v>#REF!</v>
      </c>
      <c r="DJ97" s="1999" t="e">
        <f t="shared" si="228"/>
        <v>#REF!</v>
      </c>
      <c r="DK97" s="1993" t="e">
        <f>#REF!</f>
        <v>#REF!</v>
      </c>
      <c r="DL97" s="2003">
        <f t="shared" si="164"/>
        <v>0</v>
      </c>
      <c r="DM97" s="1989" t="e">
        <f>#REF!/10^7</f>
        <v>#REF!</v>
      </c>
      <c r="DN97" s="2003">
        <f t="shared" si="165"/>
        <v>0</v>
      </c>
      <c r="DO97" s="1989" t="e">
        <f>#REF!/10^7</f>
        <v>#REF!</v>
      </c>
      <c r="DP97" s="2003">
        <f t="shared" si="166"/>
        <v>0</v>
      </c>
      <c r="DQ97" s="1989" t="e">
        <f>#REF!/10^7</f>
        <v>#REF!</v>
      </c>
      <c r="DR97" s="1989" t="e">
        <f>#REF!/10^7</f>
        <v>#REF!</v>
      </c>
      <c r="DS97" s="2002" t="e">
        <f t="shared" si="167"/>
        <v>#REF!</v>
      </c>
      <c r="DT97" s="2004" t="e">
        <f t="shared" si="229"/>
        <v>#REF!</v>
      </c>
      <c r="DU97" s="1988" t="e">
        <f>#REF!</f>
        <v>#REF!</v>
      </c>
      <c r="DV97" s="2003">
        <f t="shared" si="168"/>
        <v>0</v>
      </c>
      <c r="DW97" s="1989" t="e">
        <f>#REF!/10^7</f>
        <v>#REF!</v>
      </c>
      <c r="DX97" s="2003">
        <f t="shared" si="169"/>
        <v>0</v>
      </c>
      <c r="DY97" s="1989" t="e">
        <f>#REF!/10^7</f>
        <v>#REF!</v>
      </c>
      <c r="DZ97" s="2003">
        <f t="shared" si="170"/>
        <v>0</v>
      </c>
      <c r="EA97" s="1989" t="e">
        <f>#REF!/10^7</f>
        <v>#REF!</v>
      </c>
      <c r="EB97" s="1989" t="e">
        <f>#REF!/10^7</f>
        <v>#REF!</v>
      </c>
      <c r="EC97" s="2002" t="e">
        <f t="shared" si="171"/>
        <v>#REF!</v>
      </c>
      <c r="ED97" s="1998" t="e">
        <f t="shared" si="230"/>
        <v>#REF!</v>
      </c>
      <c r="EE97" s="2005" t="e">
        <f t="shared" ref="EE97:EE110" si="234">O97+Y97+AI97+AS97+BC97+BM97+BW97+CG97+CQ97+DA97+DK97+DU97</f>
        <v>#REF!</v>
      </c>
      <c r="EF97" s="2003">
        <f t="shared" si="172"/>
        <v>0</v>
      </c>
      <c r="EG97" s="1989" t="e">
        <f t="shared" si="231"/>
        <v>#REF!</v>
      </c>
      <c r="EH97" s="2003">
        <f t="shared" si="173"/>
        <v>0</v>
      </c>
      <c r="EI97" s="1989" t="e">
        <f t="shared" si="232"/>
        <v>#REF!</v>
      </c>
      <c r="EJ97" s="2003">
        <f t="shared" si="174"/>
        <v>0</v>
      </c>
      <c r="EK97" s="1989" t="e">
        <f t="shared" si="233"/>
        <v>#REF!</v>
      </c>
      <c r="EL97" s="1989" t="e">
        <f t="shared" si="233"/>
        <v>#REF!</v>
      </c>
      <c r="EM97" s="2006" t="e">
        <f t="shared" si="175"/>
        <v>#REF!</v>
      </c>
      <c r="EN97" s="1999" t="e">
        <f t="shared" ref="EN97:EN110" si="235">EG97+EI97+EK97+EL97</f>
        <v>#REF!</v>
      </c>
      <c r="EP97" s="1613" t="e">
        <f>EA97-#REF!/10^7</f>
        <v>#REF!</v>
      </c>
      <c r="EW97" s="1611" t="s">
        <v>1717</v>
      </c>
      <c r="EX97" s="1612" t="s">
        <v>1717</v>
      </c>
      <c r="EZ97" s="1650">
        <f t="shared" si="176"/>
        <v>0</v>
      </c>
    </row>
    <row r="98" spans="1:156" ht="21" customHeight="1">
      <c r="A98" s="1652">
        <v>3</v>
      </c>
      <c r="B98" s="1644" t="s">
        <v>1725</v>
      </c>
      <c r="C98" s="1645">
        <v>540</v>
      </c>
      <c r="D98" s="1646">
        <f t="shared" si="218"/>
        <v>20.185185185185187</v>
      </c>
      <c r="E98" s="1646">
        <v>95.186999999999998</v>
      </c>
      <c r="F98" s="1665">
        <v>1.2</v>
      </c>
      <c r="G98" s="1640"/>
      <c r="H98" s="1646">
        <v>109</v>
      </c>
      <c r="I98" s="1648" t="s">
        <v>1717</v>
      </c>
      <c r="J98" s="1649">
        <v>1</v>
      </c>
      <c r="K98" s="1648"/>
      <c r="L98" s="1640"/>
      <c r="M98" s="1640"/>
      <c r="N98" s="1642"/>
      <c r="O98" s="2000" t="e">
        <f>#REF!</f>
        <v>#REF!</v>
      </c>
      <c r="P98" s="2003">
        <f t="shared" si="124"/>
        <v>0</v>
      </c>
      <c r="Q98" s="1989" t="e">
        <f>#REF!/10^7</f>
        <v>#REF!</v>
      </c>
      <c r="R98" s="2003">
        <f t="shared" si="125"/>
        <v>0</v>
      </c>
      <c r="S98" s="1989" t="e">
        <f>#REF!/10^7</f>
        <v>#REF!</v>
      </c>
      <c r="T98" s="2003">
        <f t="shared" si="126"/>
        <v>0</v>
      </c>
      <c r="U98" s="1989" t="e">
        <f>#REF!/10^7</f>
        <v>#REF!</v>
      </c>
      <c r="V98" s="1989" t="e">
        <f>#REF!/10^7</f>
        <v>#REF!</v>
      </c>
      <c r="W98" s="1989">
        <f t="shared" si="127"/>
        <v>0</v>
      </c>
      <c r="X98" s="1999" t="e">
        <f t="shared" si="219"/>
        <v>#REF!</v>
      </c>
      <c r="Y98" s="1993" t="e">
        <f>#REF!</f>
        <v>#REF!</v>
      </c>
      <c r="Z98" s="2003">
        <f t="shared" si="128"/>
        <v>0</v>
      </c>
      <c r="AA98" s="1989" t="e">
        <f>#REF!/10^7</f>
        <v>#REF!</v>
      </c>
      <c r="AB98" s="2003">
        <f t="shared" si="129"/>
        <v>0</v>
      </c>
      <c r="AC98" s="1989" t="e">
        <f>#REF!/10^7</f>
        <v>#REF!</v>
      </c>
      <c r="AD98" s="2003">
        <f t="shared" si="130"/>
        <v>0</v>
      </c>
      <c r="AE98" s="1989" t="e">
        <f>#REF!/10^7</f>
        <v>#REF!</v>
      </c>
      <c r="AF98" s="1989" t="e">
        <f>#REF!/10^7</f>
        <v>#REF!</v>
      </c>
      <c r="AG98" s="2002" t="e">
        <f t="shared" si="131"/>
        <v>#REF!</v>
      </c>
      <c r="AH98" s="1999" t="e">
        <f t="shared" si="220"/>
        <v>#REF!</v>
      </c>
      <c r="AI98" s="1993" t="e">
        <f>#REF!</f>
        <v>#REF!</v>
      </c>
      <c r="AJ98" s="2003">
        <f t="shared" si="132"/>
        <v>0</v>
      </c>
      <c r="AK98" s="1989" t="e">
        <f>#REF!/10^7</f>
        <v>#REF!</v>
      </c>
      <c r="AL98" s="2003">
        <f t="shared" si="133"/>
        <v>0</v>
      </c>
      <c r="AM98" s="1989" t="e">
        <f>#REF!/10^7</f>
        <v>#REF!</v>
      </c>
      <c r="AN98" s="2003">
        <f t="shared" si="134"/>
        <v>0</v>
      </c>
      <c r="AO98" s="1989" t="e">
        <f>#REF!/10^7</f>
        <v>#REF!</v>
      </c>
      <c r="AP98" s="1989" t="e">
        <f>#REF!/10^7</f>
        <v>#REF!</v>
      </c>
      <c r="AQ98" s="2002" t="e">
        <f t="shared" si="135"/>
        <v>#REF!</v>
      </c>
      <c r="AR98" s="1999" t="e">
        <f t="shared" si="221"/>
        <v>#REF!</v>
      </c>
      <c r="AS98" s="1993" t="e">
        <f>#REF!</f>
        <v>#REF!</v>
      </c>
      <c r="AT98" s="2003">
        <f t="shared" si="136"/>
        <v>0</v>
      </c>
      <c r="AU98" s="1989" t="e">
        <f>#REF!/10^7</f>
        <v>#REF!</v>
      </c>
      <c r="AV98" s="2003">
        <f t="shared" si="137"/>
        <v>0</v>
      </c>
      <c r="AW98" s="1989" t="e">
        <f>#REF!/10^7</f>
        <v>#REF!</v>
      </c>
      <c r="AX98" s="2003">
        <f t="shared" si="138"/>
        <v>0</v>
      </c>
      <c r="AY98" s="1989" t="e">
        <f>#REF!/10^7</f>
        <v>#REF!</v>
      </c>
      <c r="AZ98" s="1989" t="e">
        <f>#REF!/10^7</f>
        <v>#REF!</v>
      </c>
      <c r="BA98" s="2002" t="e">
        <f t="shared" si="139"/>
        <v>#REF!</v>
      </c>
      <c r="BB98" s="1999" t="e">
        <f t="shared" si="222"/>
        <v>#REF!</v>
      </c>
      <c r="BC98" s="1993" t="e">
        <f>#REF!</f>
        <v>#REF!</v>
      </c>
      <c r="BD98" s="2003">
        <f t="shared" si="140"/>
        <v>0</v>
      </c>
      <c r="BE98" s="1989" t="e">
        <f>#REF!/10^7</f>
        <v>#REF!</v>
      </c>
      <c r="BF98" s="2003">
        <f t="shared" si="141"/>
        <v>0</v>
      </c>
      <c r="BG98" s="1989" t="e">
        <f>#REF!/10^7</f>
        <v>#REF!</v>
      </c>
      <c r="BH98" s="2003">
        <f t="shared" si="142"/>
        <v>0</v>
      </c>
      <c r="BI98" s="1989" t="e">
        <f>#REF!/10^7</f>
        <v>#REF!</v>
      </c>
      <c r="BJ98" s="1989" t="e">
        <f>#REF!/10^7</f>
        <v>#REF!</v>
      </c>
      <c r="BK98" s="2002" t="e">
        <f t="shared" si="143"/>
        <v>#REF!</v>
      </c>
      <c r="BL98" s="1999" t="e">
        <f t="shared" si="223"/>
        <v>#REF!</v>
      </c>
      <c r="BM98" s="1993" t="e">
        <f>#REF!</f>
        <v>#REF!</v>
      </c>
      <c r="BN98" s="2003">
        <f t="shared" si="144"/>
        <v>0</v>
      </c>
      <c r="BO98" s="1989" t="e">
        <f>#REF!/10^7</f>
        <v>#REF!</v>
      </c>
      <c r="BP98" s="2003">
        <f t="shared" si="145"/>
        <v>0</v>
      </c>
      <c r="BQ98" s="1989" t="e">
        <f>#REF!/10^7</f>
        <v>#REF!</v>
      </c>
      <c r="BR98" s="2003">
        <f t="shared" si="146"/>
        <v>0</v>
      </c>
      <c r="BS98" s="1989" t="e">
        <f>#REF!/10^7</f>
        <v>#REF!</v>
      </c>
      <c r="BT98" s="1989" t="e">
        <f>#REF!/10^7</f>
        <v>#REF!</v>
      </c>
      <c r="BU98" s="2002" t="e">
        <f t="shared" si="147"/>
        <v>#REF!</v>
      </c>
      <c r="BV98" s="1999" t="e">
        <f t="shared" si="224"/>
        <v>#REF!</v>
      </c>
      <c r="BW98" s="1993" t="e">
        <f>#REF!</f>
        <v>#REF!</v>
      </c>
      <c r="BX98" s="2003">
        <f t="shared" si="148"/>
        <v>0</v>
      </c>
      <c r="BY98" s="1989" t="e">
        <f>#REF!/10^7</f>
        <v>#REF!</v>
      </c>
      <c r="BZ98" s="2003">
        <f t="shared" si="149"/>
        <v>0</v>
      </c>
      <c r="CA98" s="1989" t="e">
        <f>#REF!/10^7</f>
        <v>#REF!</v>
      </c>
      <c r="CB98" s="2003">
        <f t="shared" si="150"/>
        <v>0</v>
      </c>
      <c r="CC98" s="1989" t="e">
        <f>#REF!/10^7</f>
        <v>#REF!</v>
      </c>
      <c r="CD98" s="1989" t="e">
        <f>#REF!/10^7</f>
        <v>#REF!</v>
      </c>
      <c r="CE98" s="2002" t="e">
        <f t="shared" si="151"/>
        <v>#REF!</v>
      </c>
      <c r="CF98" s="1999" t="e">
        <f t="shared" si="225"/>
        <v>#REF!</v>
      </c>
      <c r="CG98" s="1993" t="e">
        <f>#REF!</f>
        <v>#REF!</v>
      </c>
      <c r="CH98" s="2003">
        <f t="shared" si="152"/>
        <v>0</v>
      </c>
      <c r="CI98" s="1989" t="e">
        <f>#REF!/10^7</f>
        <v>#REF!</v>
      </c>
      <c r="CJ98" s="2003">
        <f t="shared" si="153"/>
        <v>0</v>
      </c>
      <c r="CK98" s="1989" t="e">
        <f>#REF!/10^7</f>
        <v>#REF!</v>
      </c>
      <c r="CL98" s="2003">
        <f t="shared" si="154"/>
        <v>0</v>
      </c>
      <c r="CM98" s="1989" t="e">
        <f>#REF!/10^7</f>
        <v>#REF!</v>
      </c>
      <c r="CN98" s="1989" t="e">
        <f>#REF!/10^7</f>
        <v>#REF!</v>
      </c>
      <c r="CO98" s="2002" t="e">
        <f t="shared" si="155"/>
        <v>#REF!</v>
      </c>
      <c r="CP98" s="1999" t="e">
        <f t="shared" si="226"/>
        <v>#REF!</v>
      </c>
      <c r="CQ98" s="1993" t="e">
        <f>#REF!</f>
        <v>#REF!</v>
      </c>
      <c r="CR98" s="2003">
        <f t="shared" si="156"/>
        <v>0</v>
      </c>
      <c r="CS98" s="1989" t="e">
        <f>#REF!/10^7</f>
        <v>#REF!</v>
      </c>
      <c r="CT98" s="2003">
        <f t="shared" si="157"/>
        <v>0</v>
      </c>
      <c r="CU98" s="1989" t="e">
        <f>#REF!/10^7</f>
        <v>#REF!</v>
      </c>
      <c r="CV98" s="2003">
        <f t="shared" si="158"/>
        <v>0</v>
      </c>
      <c r="CW98" s="1989" t="e">
        <f>#REF!/10^7</f>
        <v>#REF!</v>
      </c>
      <c r="CX98" s="1989" t="e">
        <f>#REF!/10^7</f>
        <v>#REF!</v>
      </c>
      <c r="CY98" s="2002" t="e">
        <f t="shared" si="159"/>
        <v>#REF!</v>
      </c>
      <c r="CZ98" s="1999" t="e">
        <f t="shared" si="227"/>
        <v>#REF!</v>
      </c>
      <c r="DA98" s="1993" t="e">
        <f>#REF!</f>
        <v>#REF!</v>
      </c>
      <c r="DB98" s="2003">
        <f t="shared" si="160"/>
        <v>0</v>
      </c>
      <c r="DC98" s="1989" t="e">
        <f>#REF!/10^7</f>
        <v>#REF!</v>
      </c>
      <c r="DD98" s="2003">
        <f t="shared" si="161"/>
        <v>0</v>
      </c>
      <c r="DE98" s="1989" t="e">
        <f>#REF!/10^7</f>
        <v>#REF!</v>
      </c>
      <c r="DF98" s="2003">
        <f t="shared" si="162"/>
        <v>0</v>
      </c>
      <c r="DG98" s="1989" t="e">
        <f>#REF!/10^7</f>
        <v>#REF!</v>
      </c>
      <c r="DH98" s="1989" t="e">
        <f>#REF!/10^7</f>
        <v>#REF!</v>
      </c>
      <c r="DI98" s="2002" t="e">
        <f t="shared" si="163"/>
        <v>#REF!</v>
      </c>
      <c r="DJ98" s="1999" t="e">
        <f t="shared" si="228"/>
        <v>#REF!</v>
      </c>
      <c r="DK98" s="1993" t="e">
        <f>#REF!</f>
        <v>#REF!</v>
      </c>
      <c r="DL98" s="2003">
        <f t="shared" si="164"/>
        <v>0</v>
      </c>
      <c r="DM98" s="1989" t="e">
        <f>#REF!/10^7</f>
        <v>#REF!</v>
      </c>
      <c r="DN98" s="2003">
        <f t="shared" si="165"/>
        <v>0</v>
      </c>
      <c r="DO98" s="1989" t="e">
        <f>#REF!/10^7</f>
        <v>#REF!</v>
      </c>
      <c r="DP98" s="2003">
        <f t="shared" si="166"/>
        <v>0</v>
      </c>
      <c r="DQ98" s="1989" t="e">
        <f>#REF!/10^7</f>
        <v>#REF!</v>
      </c>
      <c r="DR98" s="1989" t="e">
        <f>#REF!/10^7</f>
        <v>#REF!</v>
      </c>
      <c r="DS98" s="2002" t="e">
        <f t="shared" si="167"/>
        <v>#REF!</v>
      </c>
      <c r="DT98" s="2004" t="e">
        <f t="shared" si="229"/>
        <v>#REF!</v>
      </c>
      <c r="DU98" s="1988" t="e">
        <f>#REF!</f>
        <v>#REF!</v>
      </c>
      <c r="DV98" s="2003">
        <f t="shared" si="168"/>
        <v>0</v>
      </c>
      <c r="DW98" s="1989" t="e">
        <f>#REF!/10^7</f>
        <v>#REF!</v>
      </c>
      <c r="DX98" s="2003">
        <f t="shared" si="169"/>
        <v>0</v>
      </c>
      <c r="DY98" s="1989" t="e">
        <f>#REF!/10^7</f>
        <v>#REF!</v>
      </c>
      <c r="DZ98" s="2003">
        <f t="shared" si="170"/>
        <v>0</v>
      </c>
      <c r="EA98" s="1989" t="e">
        <f>#REF!/10^7</f>
        <v>#REF!</v>
      </c>
      <c r="EB98" s="1989" t="e">
        <f>#REF!/10^7</f>
        <v>#REF!</v>
      </c>
      <c r="EC98" s="2002" t="e">
        <f t="shared" si="171"/>
        <v>#REF!</v>
      </c>
      <c r="ED98" s="1998" t="e">
        <f t="shared" si="230"/>
        <v>#REF!</v>
      </c>
      <c r="EE98" s="2005" t="e">
        <f t="shared" si="234"/>
        <v>#REF!</v>
      </c>
      <c r="EF98" s="2003">
        <f t="shared" si="172"/>
        <v>0</v>
      </c>
      <c r="EG98" s="1989" t="e">
        <f t="shared" si="231"/>
        <v>#REF!</v>
      </c>
      <c r="EH98" s="2003">
        <f t="shared" si="173"/>
        <v>0</v>
      </c>
      <c r="EI98" s="1989" t="e">
        <f t="shared" si="232"/>
        <v>#REF!</v>
      </c>
      <c r="EJ98" s="2003">
        <f t="shared" si="174"/>
        <v>0</v>
      </c>
      <c r="EK98" s="1989" t="e">
        <f t="shared" si="233"/>
        <v>#REF!</v>
      </c>
      <c r="EL98" s="1989" t="e">
        <f t="shared" si="233"/>
        <v>#REF!</v>
      </c>
      <c r="EM98" s="2006" t="e">
        <f t="shared" si="175"/>
        <v>#REF!</v>
      </c>
      <c r="EN98" s="1999" t="e">
        <f t="shared" si="235"/>
        <v>#REF!</v>
      </c>
      <c r="EP98" s="1613" t="e">
        <f>EA98-#REF!/10^7</f>
        <v>#REF!</v>
      </c>
      <c r="EW98" s="1611" t="s">
        <v>1717</v>
      </c>
      <c r="EX98" s="1612" t="s">
        <v>1717</v>
      </c>
      <c r="EZ98" s="1650">
        <f t="shared" si="176"/>
        <v>0</v>
      </c>
    </row>
    <row r="99" spans="1:156" ht="21" customHeight="1">
      <c r="A99" s="1652">
        <v>4</v>
      </c>
      <c r="B99" s="1644" t="s">
        <v>1726</v>
      </c>
      <c r="C99" s="1645">
        <v>480</v>
      </c>
      <c r="D99" s="1646">
        <f t="shared" si="218"/>
        <v>20</v>
      </c>
      <c r="E99" s="1646">
        <v>93.605999999999995</v>
      </c>
      <c r="F99" s="1665">
        <v>1.2</v>
      </c>
      <c r="G99" s="1640"/>
      <c r="H99" s="1646">
        <v>96</v>
      </c>
      <c r="I99" s="1648" t="s">
        <v>1717</v>
      </c>
      <c r="J99" s="1649">
        <v>1</v>
      </c>
      <c r="K99" s="1648"/>
      <c r="L99" s="1640"/>
      <c r="M99" s="1640"/>
      <c r="N99" s="1642"/>
      <c r="O99" s="2000" t="e">
        <f>#REF!</f>
        <v>#REF!</v>
      </c>
      <c r="P99" s="2003">
        <f t="shared" si="124"/>
        <v>0</v>
      </c>
      <c r="Q99" s="1989" t="e">
        <f>#REF!/10^7</f>
        <v>#REF!</v>
      </c>
      <c r="R99" s="2003">
        <f t="shared" si="125"/>
        <v>0</v>
      </c>
      <c r="S99" s="1989" t="e">
        <f>#REF!/10^7</f>
        <v>#REF!</v>
      </c>
      <c r="T99" s="2003">
        <f t="shared" si="126"/>
        <v>0</v>
      </c>
      <c r="U99" s="1989" t="e">
        <f>#REF!/10^7</f>
        <v>#REF!</v>
      </c>
      <c r="V99" s="1989" t="e">
        <f>#REF!/10^7</f>
        <v>#REF!</v>
      </c>
      <c r="W99" s="1989">
        <f t="shared" si="127"/>
        <v>0</v>
      </c>
      <c r="X99" s="1999" t="e">
        <f t="shared" si="219"/>
        <v>#REF!</v>
      </c>
      <c r="Y99" s="1993" t="e">
        <f>#REF!</f>
        <v>#REF!</v>
      </c>
      <c r="Z99" s="2003">
        <f t="shared" si="128"/>
        <v>0</v>
      </c>
      <c r="AA99" s="1989" t="e">
        <f>#REF!/10^7</f>
        <v>#REF!</v>
      </c>
      <c r="AB99" s="2003">
        <f t="shared" si="129"/>
        <v>0</v>
      </c>
      <c r="AC99" s="1989" t="e">
        <f>#REF!/10^7</f>
        <v>#REF!</v>
      </c>
      <c r="AD99" s="2003">
        <f t="shared" si="130"/>
        <v>0</v>
      </c>
      <c r="AE99" s="1989" t="e">
        <f>#REF!/10^7</f>
        <v>#REF!</v>
      </c>
      <c r="AF99" s="1989" t="e">
        <f>#REF!/10^7</f>
        <v>#REF!</v>
      </c>
      <c r="AG99" s="2002" t="e">
        <f t="shared" si="131"/>
        <v>#REF!</v>
      </c>
      <c r="AH99" s="1999" t="e">
        <f t="shared" si="220"/>
        <v>#REF!</v>
      </c>
      <c r="AI99" s="1993" t="e">
        <f>#REF!</f>
        <v>#REF!</v>
      </c>
      <c r="AJ99" s="2003">
        <f t="shared" si="132"/>
        <v>0</v>
      </c>
      <c r="AK99" s="1989" t="e">
        <f>#REF!/10^7</f>
        <v>#REF!</v>
      </c>
      <c r="AL99" s="2003">
        <f t="shared" si="133"/>
        <v>0</v>
      </c>
      <c r="AM99" s="1989" t="e">
        <f>#REF!/10^7</f>
        <v>#REF!</v>
      </c>
      <c r="AN99" s="2003">
        <f t="shared" si="134"/>
        <v>0</v>
      </c>
      <c r="AO99" s="1989" t="e">
        <f>#REF!/10^7</f>
        <v>#REF!</v>
      </c>
      <c r="AP99" s="1989" t="e">
        <f>#REF!/10^7</f>
        <v>#REF!</v>
      </c>
      <c r="AQ99" s="2002" t="e">
        <f t="shared" si="135"/>
        <v>#REF!</v>
      </c>
      <c r="AR99" s="1999" t="e">
        <f t="shared" si="221"/>
        <v>#REF!</v>
      </c>
      <c r="AS99" s="1993" t="e">
        <f>#REF!</f>
        <v>#REF!</v>
      </c>
      <c r="AT99" s="2003">
        <f t="shared" si="136"/>
        <v>0</v>
      </c>
      <c r="AU99" s="1989" t="e">
        <f>#REF!/10^7</f>
        <v>#REF!</v>
      </c>
      <c r="AV99" s="2003">
        <f t="shared" si="137"/>
        <v>0</v>
      </c>
      <c r="AW99" s="1989" t="e">
        <f>#REF!/10^7</f>
        <v>#REF!</v>
      </c>
      <c r="AX99" s="2003">
        <f t="shared" si="138"/>
        <v>0</v>
      </c>
      <c r="AY99" s="1989" t="e">
        <f>#REF!/10^7</f>
        <v>#REF!</v>
      </c>
      <c r="AZ99" s="1989" t="e">
        <f>#REF!/10^7</f>
        <v>#REF!</v>
      </c>
      <c r="BA99" s="2002" t="e">
        <f t="shared" si="139"/>
        <v>#REF!</v>
      </c>
      <c r="BB99" s="1999" t="e">
        <f t="shared" si="222"/>
        <v>#REF!</v>
      </c>
      <c r="BC99" s="1993" t="e">
        <f>#REF!</f>
        <v>#REF!</v>
      </c>
      <c r="BD99" s="2003">
        <f t="shared" si="140"/>
        <v>0</v>
      </c>
      <c r="BE99" s="1989" t="e">
        <f>#REF!/10^7</f>
        <v>#REF!</v>
      </c>
      <c r="BF99" s="2003">
        <f t="shared" si="141"/>
        <v>0</v>
      </c>
      <c r="BG99" s="1989" t="e">
        <f>#REF!/10^7</f>
        <v>#REF!</v>
      </c>
      <c r="BH99" s="2003">
        <f t="shared" si="142"/>
        <v>0</v>
      </c>
      <c r="BI99" s="1989" t="e">
        <f>#REF!/10^7</f>
        <v>#REF!</v>
      </c>
      <c r="BJ99" s="1989" t="e">
        <f>#REF!/10^7</f>
        <v>#REF!</v>
      </c>
      <c r="BK99" s="2002" t="e">
        <f t="shared" si="143"/>
        <v>#REF!</v>
      </c>
      <c r="BL99" s="1999" t="e">
        <f t="shared" si="223"/>
        <v>#REF!</v>
      </c>
      <c r="BM99" s="1993" t="e">
        <f>#REF!</f>
        <v>#REF!</v>
      </c>
      <c r="BN99" s="2003">
        <f t="shared" si="144"/>
        <v>0</v>
      </c>
      <c r="BO99" s="1989" t="e">
        <f>#REF!/10^7</f>
        <v>#REF!</v>
      </c>
      <c r="BP99" s="2003">
        <f t="shared" si="145"/>
        <v>0</v>
      </c>
      <c r="BQ99" s="1989" t="e">
        <f>#REF!/10^7</f>
        <v>#REF!</v>
      </c>
      <c r="BR99" s="2003">
        <f t="shared" si="146"/>
        <v>0</v>
      </c>
      <c r="BS99" s="1989" t="e">
        <f>#REF!/10^7</f>
        <v>#REF!</v>
      </c>
      <c r="BT99" s="1989" t="e">
        <f>#REF!/10^7</f>
        <v>#REF!</v>
      </c>
      <c r="BU99" s="2002" t="e">
        <f t="shared" si="147"/>
        <v>#REF!</v>
      </c>
      <c r="BV99" s="1999" t="e">
        <f t="shared" si="224"/>
        <v>#REF!</v>
      </c>
      <c r="BW99" s="1993" t="e">
        <f>#REF!</f>
        <v>#REF!</v>
      </c>
      <c r="BX99" s="2003">
        <f t="shared" si="148"/>
        <v>0</v>
      </c>
      <c r="BY99" s="1989" t="e">
        <f>#REF!/10^7</f>
        <v>#REF!</v>
      </c>
      <c r="BZ99" s="2003">
        <f t="shared" si="149"/>
        <v>0</v>
      </c>
      <c r="CA99" s="1989" t="e">
        <f>#REF!/10^7</f>
        <v>#REF!</v>
      </c>
      <c r="CB99" s="2003">
        <f t="shared" si="150"/>
        <v>0</v>
      </c>
      <c r="CC99" s="1989" t="e">
        <f>#REF!/10^7</f>
        <v>#REF!</v>
      </c>
      <c r="CD99" s="1989" t="e">
        <f>#REF!/10^7</f>
        <v>#REF!</v>
      </c>
      <c r="CE99" s="2002" t="e">
        <f t="shared" si="151"/>
        <v>#REF!</v>
      </c>
      <c r="CF99" s="1999" t="e">
        <f t="shared" si="225"/>
        <v>#REF!</v>
      </c>
      <c r="CG99" s="1993" t="e">
        <f>#REF!</f>
        <v>#REF!</v>
      </c>
      <c r="CH99" s="2003">
        <f t="shared" si="152"/>
        <v>0</v>
      </c>
      <c r="CI99" s="1989" t="e">
        <f>#REF!/10^7</f>
        <v>#REF!</v>
      </c>
      <c r="CJ99" s="2003">
        <f t="shared" si="153"/>
        <v>0</v>
      </c>
      <c r="CK99" s="1989" t="e">
        <f>#REF!/10^7</f>
        <v>#REF!</v>
      </c>
      <c r="CL99" s="2003">
        <f t="shared" si="154"/>
        <v>0</v>
      </c>
      <c r="CM99" s="1989" t="e">
        <f>#REF!/10^7</f>
        <v>#REF!</v>
      </c>
      <c r="CN99" s="1989" t="e">
        <f>#REF!/10^7</f>
        <v>#REF!</v>
      </c>
      <c r="CO99" s="2002" t="e">
        <f t="shared" si="155"/>
        <v>#REF!</v>
      </c>
      <c r="CP99" s="1999" t="e">
        <f t="shared" si="226"/>
        <v>#REF!</v>
      </c>
      <c r="CQ99" s="1993" t="e">
        <f>#REF!</f>
        <v>#REF!</v>
      </c>
      <c r="CR99" s="2003">
        <f t="shared" si="156"/>
        <v>0</v>
      </c>
      <c r="CS99" s="1989" t="e">
        <f>#REF!/10^7</f>
        <v>#REF!</v>
      </c>
      <c r="CT99" s="2003">
        <f t="shared" si="157"/>
        <v>0</v>
      </c>
      <c r="CU99" s="1989" t="e">
        <f>#REF!/10^7</f>
        <v>#REF!</v>
      </c>
      <c r="CV99" s="2003">
        <f t="shared" si="158"/>
        <v>0</v>
      </c>
      <c r="CW99" s="1989" t="e">
        <f>#REF!/10^7</f>
        <v>#REF!</v>
      </c>
      <c r="CX99" s="1989" t="e">
        <f>#REF!/10^7</f>
        <v>#REF!</v>
      </c>
      <c r="CY99" s="2002" t="e">
        <f t="shared" si="159"/>
        <v>#REF!</v>
      </c>
      <c r="CZ99" s="1999" t="e">
        <f t="shared" si="227"/>
        <v>#REF!</v>
      </c>
      <c r="DA99" s="1993" t="e">
        <f>#REF!</f>
        <v>#REF!</v>
      </c>
      <c r="DB99" s="2003">
        <f t="shared" si="160"/>
        <v>0</v>
      </c>
      <c r="DC99" s="1989" t="e">
        <f>#REF!/10^7</f>
        <v>#REF!</v>
      </c>
      <c r="DD99" s="2003">
        <f t="shared" si="161"/>
        <v>0</v>
      </c>
      <c r="DE99" s="1989" t="e">
        <f>#REF!/10^7</f>
        <v>#REF!</v>
      </c>
      <c r="DF99" s="2003">
        <f t="shared" si="162"/>
        <v>0</v>
      </c>
      <c r="DG99" s="1989" t="e">
        <f>#REF!/10^7</f>
        <v>#REF!</v>
      </c>
      <c r="DH99" s="1989" t="e">
        <f>#REF!/10^7</f>
        <v>#REF!</v>
      </c>
      <c r="DI99" s="2002" t="e">
        <f t="shared" si="163"/>
        <v>#REF!</v>
      </c>
      <c r="DJ99" s="1999" t="e">
        <f t="shared" si="228"/>
        <v>#REF!</v>
      </c>
      <c r="DK99" s="1993" t="e">
        <f>#REF!</f>
        <v>#REF!</v>
      </c>
      <c r="DL99" s="2003">
        <f t="shared" si="164"/>
        <v>0</v>
      </c>
      <c r="DM99" s="1989" t="e">
        <f>#REF!/10^7</f>
        <v>#REF!</v>
      </c>
      <c r="DN99" s="2003">
        <f t="shared" si="165"/>
        <v>0</v>
      </c>
      <c r="DO99" s="1989" t="e">
        <f>#REF!/10^7</f>
        <v>#REF!</v>
      </c>
      <c r="DP99" s="2003">
        <f t="shared" si="166"/>
        <v>0</v>
      </c>
      <c r="DQ99" s="1989" t="e">
        <f>#REF!/10^7</f>
        <v>#REF!</v>
      </c>
      <c r="DR99" s="1989" t="e">
        <f>#REF!/10^7</f>
        <v>#REF!</v>
      </c>
      <c r="DS99" s="2002" t="e">
        <f t="shared" si="167"/>
        <v>#REF!</v>
      </c>
      <c r="DT99" s="2004" t="e">
        <f t="shared" si="229"/>
        <v>#REF!</v>
      </c>
      <c r="DU99" s="1988" t="e">
        <f>#REF!</f>
        <v>#REF!</v>
      </c>
      <c r="DV99" s="2003">
        <f t="shared" si="168"/>
        <v>0</v>
      </c>
      <c r="DW99" s="1989" t="e">
        <f>#REF!/10^7</f>
        <v>#REF!</v>
      </c>
      <c r="DX99" s="2003">
        <f t="shared" si="169"/>
        <v>0</v>
      </c>
      <c r="DY99" s="1989" t="e">
        <f>#REF!/10^7</f>
        <v>#REF!</v>
      </c>
      <c r="DZ99" s="2003">
        <f t="shared" si="170"/>
        <v>0</v>
      </c>
      <c r="EA99" s="1989" t="e">
        <f>#REF!/10^7</f>
        <v>#REF!</v>
      </c>
      <c r="EB99" s="1989" t="e">
        <f>#REF!/10^7</f>
        <v>#REF!</v>
      </c>
      <c r="EC99" s="2002" t="e">
        <f t="shared" si="171"/>
        <v>#REF!</v>
      </c>
      <c r="ED99" s="1998" t="e">
        <f t="shared" si="230"/>
        <v>#REF!</v>
      </c>
      <c r="EE99" s="2005" t="e">
        <f t="shared" si="234"/>
        <v>#REF!</v>
      </c>
      <c r="EF99" s="2003">
        <f t="shared" si="172"/>
        <v>0</v>
      </c>
      <c r="EG99" s="1989" t="e">
        <f t="shared" si="231"/>
        <v>#REF!</v>
      </c>
      <c r="EH99" s="2003">
        <f t="shared" si="173"/>
        <v>0</v>
      </c>
      <c r="EI99" s="1989" t="e">
        <f t="shared" si="232"/>
        <v>#REF!</v>
      </c>
      <c r="EJ99" s="2003">
        <f t="shared" si="174"/>
        <v>0</v>
      </c>
      <c r="EK99" s="1989" t="e">
        <f t="shared" si="233"/>
        <v>#REF!</v>
      </c>
      <c r="EL99" s="1989" t="e">
        <f t="shared" si="233"/>
        <v>#REF!</v>
      </c>
      <c r="EM99" s="2006" t="e">
        <f t="shared" si="175"/>
        <v>#REF!</v>
      </c>
      <c r="EN99" s="1999" t="e">
        <f t="shared" si="235"/>
        <v>#REF!</v>
      </c>
      <c r="EP99" s="1613" t="e">
        <f>EA99-#REF!/10^7</f>
        <v>#REF!</v>
      </c>
      <c r="EW99" s="1611" t="s">
        <v>1717</v>
      </c>
      <c r="EX99" s="1612" t="s">
        <v>1717</v>
      </c>
      <c r="EZ99" s="1650">
        <f t="shared" si="176"/>
        <v>0</v>
      </c>
    </row>
    <row r="100" spans="1:156" ht="21" customHeight="1">
      <c r="A100" s="1652">
        <v>5</v>
      </c>
      <c r="B100" s="1644" t="s">
        <v>1727</v>
      </c>
      <c r="C100" s="1645">
        <v>300</v>
      </c>
      <c r="D100" s="1646">
        <f t="shared" si="218"/>
        <v>20.666666666666668</v>
      </c>
      <c r="E100" s="1646">
        <v>54.895000000000003</v>
      </c>
      <c r="F100" s="1665">
        <v>1.2</v>
      </c>
      <c r="G100" s="1640"/>
      <c r="H100" s="1646">
        <v>62</v>
      </c>
      <c r="I100" s="1648" t="s">
        <v>1717</v>
      </c>
      <c r="J100" s="1649">
        <v>1</v>
      </c>
      <c r="K100" s="1648"/>
      <c r="L100" s="1640"/>
      <c r="M100" s="1640"/>
      <c r="N100" s="1642"/>
      <c r="O100" s="2000" t="e">
        <f>#REF!</f>
        <v>#REF!</v>
      </c>
      <c r="P100" s="2003">
        <f t="shared" si="124"/>
        <v>0</v>
      </c>
      <c r="Q100" s="1989" t="e">
        <f>#REF!/10^7</f>
        <v>#REF!</v>
      </c>
      <c r="R100" s="2003">
        <f t="shared" si="125"/>
        <v>0</v>
      </c>
      <c r="S100" s="1989" t="e">
        <f>#REF!/10^7</f>
        <v>#REF!</v>
      </c>
      <c r="T100" s="2003">
        <f t="shared" si="126"/>
        <v>0</v>
      </c>
      <c r="U100" s="1989" t="e">
        <f>#REF!/10^7</f>
        <v>#REF!</v>
      </c>
      <c r="V100" s="1989" t="e">
        <f>#REF!/10^7</f>
        <v>#REF!</v>
      </c>
      <c r="W100" s="1989">
        <f t="shared" si="127"/>
        <v>0</v>
      </c>
      <c r="X100" s="1999" t="e">
        <f t="shared" si="219"/>
        <v>#REF!</v>
      </c>
      <c r="Y100" s="1993" t="e">
        <f>#REF!</f>
        <v>#REF!</v>
      </c>
      <c r="Z100" s="2003">
        <f t="shared" si="128"/>
        <v>0</v>
      </c>
      <c r="AA100" s="1989" t="e">
        <f>#REF!/10^7</f>
        <v>#REF!</v>
      </c>
      <c r="AB100" s="2003">
        <f t="shared" si="129"/>
        <v>0</v>
      </c>
      <c r="AC100" s="1989" t="e">
        <f>#REF!/10^7</f>
        <v>#REF!</v>
      </c>
      <c r="AD100" s="2003">
        <f t="shared" si="130"/>
        <v>0</v>
      </c>
      <c r="AE100" s="1989" t="e">
        <f>#REF!/10^7</f>
        <v>#REF!</v>
      </c>
      <c r="AF100" s="1989" t="e">
        <f>#REF!/10^7</f>
        <v>#REF!</v>
      </c>
      <c r="AG100" s="2002" t="e">
        <f t="shared" si="131"/>
        <v>#REF!</v>
      </c>
      <c r="AH100" s="1999" t="e">
        <f t="shared" si="220"/>
        <v>#REF!</v>
      </c>
      <c r="AI100" s="1993" t="e">
        <f>#REF!</f>
        <v>#REF!</v>
      </c>
      <c r="AJ100" s="2003">
        <f t="shared" si="132"/>
        <v>0</v>
      </c>
      <c r="AK100" s="1989" t="e">
        <f>#REF!/10^7</f>
        <v>#REF!</v>
      </c>
      <c r="AL100" s="2003">
        <f t="shared" si="133"/>
        <v>0</v>
      </c>
      <c r="AM100" s="1989" t="e">
        <f>#REF!/10^7</f>
        <v>#REF!</v>
      </c>
      <c r="AN100" s="2003">
        <f t="shared" si="134"/>
        <v>0</v>
      </c>
      <c r="AO100" s="1989" t="e">
        <f>#REF!/10^7</f>
        <v>#REF!</v>
      </c>
      <c r="AP100" s="1989" t="e">
        <f>#REF!/10^7</f>
        <v>#REF!</v>
      </c>
      <c r="AQ100" s="2002" t="e">
        <f t="shared" si="135"/>
        <v>#REF!</v>
      </c>
      <c r="AR100" s="1999" t="e">
        <f t="shared" si="221"/>
        <v>#REF!</v>
      </c>
      <c r="AS100" s="1993" t="e">
        <f>#REF!</f>
        <v>#REF!</v>
      </c>
      <c r="AT100" s="2003">
        <f t="shared" si="136"/>
        <v>0</v>
      </c>
      <c r="AU100" s="1989" t="e">
        <f>#REF!/10^7</f>
        <v>#REF!</v>
      </c>
      <c r="AV100" s="2003">
        <f t="shared" si="137"/>
        <v>0</v>
      </c>
      <c r="AW100" s="1989" t="e">
        <f>#REF!/10^7</f>
        <v>#REF!</v>
      </c>
      <c r="AX100" s="2003">
        <f t="shared" si="138"/>
        <v>0</v>
      </c>
      <c r="AY100" s="1989" t="e">
        <f>#REF!/10^7</f>
        <v>#REF!</v>
      </c>
      <c r="AZ100" s="1989" t="e">
        <f>#REF!/10^7</f>
        <v>#REF!</v>
      </c>
      <c r="BA100" s="2002" t="e">
        <f t="shared" si="139"/>
        <v>#REF!</v>
      </c>
      <c r="BB100" s="1999" t="e">
        <f t="shared" si="222"/>
        <v>#REF!</v>
      </c>
      <c r="BC100" s="1993" t="e">
        <f>#REF!</f>
        <v>#REF!</v>
      </c>
      <c r="BD100" s="2003">
        <f t="shared" si="140"/>
        <v>0</v>
      </c>
      <c r="BE100" s="1989" t="e">
        <f>#REF!/10^7</f>
        <v>#REF!</v>
      </c>
      <c r="BF100" s="2003">
        <f t="shared" si="141"/>
        <v>0</v>
      </c>
      <c r="BG100" s="1989" t="e">
        <f>#REF!/10^7</f>
        <v>#REF!</v>
      </c>
      <c r="BH100" s="2003">
        <f t="shared" si="142"/>
        <v>0</v>
      </c>
      <c r="BI100" s="1989" t="e">
        <f>#REF!/10^7</f>
        <v>#REF!</v>
      </c>
      <c r="BJ100" s="1989" t="e">
        <f>#REF!/10^7</f>
        <v>#REF!</v>
      </c>
      <c r="BK100" s="2002" t="e">
        <f t="shared" si="143"/>
        <v>#REF!</v>
      </c>
      <c r="BL100" s="1999" t="e">
        <f t="shared" si="223"/>
        <v>#REF!</v>
      </c>
      <c r="BM100" s="1993" t="e">
        <f>#REF!</f>
        <v>#REF!</v>
      </c>
      <c r="BN100" s="2003">
        <f t="shared" si="144"/>
        <v>0</v>
      </c>
      <c r="BO100" s="1989" t="e">
        <f>#REF!/10^7</f>
        <v>#REF!</v>
      </c>
      <c r="BP100" s="2003">
        <f t="shared" si="145"/>
        <v>0</v>
      </c>
      <c r="BQ100" s="1989" t="e">
        <f>#REF!/10^7</f>
        <v>#REF!</v>
      </c>
      <c r="BR100" s="2003">
        <f t="shared" si="146"/>
        <v>0</v>
      </c>
      <c r="BS100" s="1989" t="e">
        <f>#REF!/10^7</f>
        <v>#REF!</v>
      </c>
      <c r="BT100" s="1989" t="e">
        <f>#REF!/10^7</f>
        <v>#REF!</v>
      </c>
      <c r="BU100" s="2002" t="e">
        <f t="shared" si="147"/>
        <v>#REF!</v>
      </c>
      <c r="BV100" s="1999" t="e">
        <f t="shared" si="224"/>
        <v>#REF!</v>
      </c>
      <c r="BW100" s="1993" t="e">
        <f>#REF!</f>
        <v>#REF!</v>
      </c>
      <c r="BX100" s="2003">
        <f t="shared" si="148"/>
        <v>0</v>
      </c>
      <c r="BY100" s="1989" t="e">
        <f>#REF!/10^7</f>
        <v>#REF!</v>
      </c>
      <c r="BZ100" s="2003">
        <f t="shared" si="149"/>
        <v>0</v>
      </c>
      <c r="CA100" s="1989" t="e">
        <f>#REF!/10^7</f>
        <v>#REF!</v>
      </c>
      <c r="CB100" s="2003">
        <f t="shared" si="150"/>
        <v>0</v>
      </c>
      <c r="CC100" s="1989" t="e">
        <f>#REF!/10^7</f>
        <v>#REF!</v>
      </c>
      <c r="CD100" s="1989" t="e">
        <f>#REF!/10^7</f>
        <v>#REF!</v>
      </c>
      <c r="CE100" s="2002" t="e">
        <f t="shared" si="151"/>
        <v>#REF!</v>
      </c>
      <c r="CF100" s="1999" t="e">
        <f t="shared" si="225"/>
        <v>#REF!</v>
      </c>
      <c r="CG100" s="1993" t="e">
        <f>#REF!</f>
        <v>#REF!</v>
      </c>
      <c r="CH100" s="2003">
        <f t="shared" si="152"/>
        <v>0</v>
      </c>
      <c r="CI100" s="1989" t="e">
        <f>#REF!/10^7</f>
        <v>#REF!</v>
      </c>
      <c r="CJ100" s="2003">
        <f t="shared" si="153"/>
        <v>0</v>
      </c>
      <c r="CK100" s="1989" t="e">
        <f>#REF!/10^7</f>
        <v>#REF!</v>
      </c>
      <c r="CL100" s="2003">
        <f t="shared" si="154"/>
        <v>0</v>
      </c>
      <c r="CM100" s="1989" t="e">
        <f>#REF!/10^7</f>
        <v>#REF!</v>
      </c>
      <c r="CN100" s="1989" t="e">
        <f>#REF!/10^7</f>
        <v>#REF!</v>
      </c>
      <c r="CO100" s="2002" t="e">
        <f t="shared" si="155"/>
        <v>#REF!</v>
      </c>
      <c r="CP100" s="1999" t="e">
        <f t="shared" si="226"/>
        <v>#REF!</v>
      </c>
      <c r="CQ100" s="1993" t="e">
        <f>#REF!</f>
        <v>#REF!</v>
      </c>
      <c r="CR100" s="2003">
        <f t="shared" si="156"/>
        <v>0</v>
      </c>
      <c r="CS100" s="1989" t="e">
        <f>#REF!/10^7</f>
        <v>#REF!</v>
      </c>
      <c r="CT100" s="2003">
        <f t="shared" si="157"/>
        <v>0</v>
      </c>
      <c r="CU100" s="1989" t="e">
        <f>#REF!/10^7</f>
        <v>#REF!</v>
      </c>
      <c r="CV100" s="2003">
        <f t="shared" si="158"/>
        <v>0</v>
      </c>
      <c r="CW100" s="1989" t="e">
        <f>#REF!/10^7</f>
        <v>#REF!</v>
      </c>
      <c r="CX100" s="1989" t="e">
        <f>#REF!/10^7</f>
        <v>#REF!</v>
      </c>
      <c r="CY100" s="2002" t="e">
        <f t="shared" si="159"/>
        <v>#REF!</v>
      </c>
      <c r="CZ100" s="1999" t="e">
        <f t="shared" si="227"/>
        <v>#REF!</v>
      </c>
      <c r="DA100" s="1993" t="e">
        <f>#REF!</f>
        <v>#REF!</v>
      </c>
      <c r="DB100" s="2003">
        <f t="shared" si="160"/>
        <v>0</v>
      </c>
      <c r="DC100" s="1989" t="e">
        <f>#REF!/10^7</f>
        <v>#REF!</v>
      </c>
      <c r="DD100" s="2003">
        <f t="shared" si="161"/>
        <v>0</v>
      </c>
      <c r="DE100" s="1989" t="e">
        <f>#REF!/10^7</f>
        <v>#REF!</v>
      </c>
      <c r="DF100" s="2003">
        <f t="shared" si="162"/>
        <v>0</v>
      </c>
      <c r="DG100" s="1989" t="e">
        <f>#REF!/10^7</f>
        <v>#REF!</v>
      </c>
      <c r="DH100" s="1989" t="e">
        <f>#REF!/10^7</f>
        <v>#REF!</v>
      </c>
      <c r="DI100" s="2002" t="e">
        <f t="shared" si="163"/>
        <v>#REF!</v>
      </c>
      <c r="DJ100" s="1999" t="e">
        <f t="shared" si="228"/>
        <v>#REF!</v>
      </c>
      <c r="DK100" s="1993" t="e">
        <f>#REF!</f>
        <v>#REF!</v>
      </c>
      <c r="DL100" s="2003">
        <f t="shared" si="164"/>
        <v>0</v>
      </c>
      <c r="DM100" s="1989" t="e">
        <f>#REF!/10^7</f>
        <v>#REF!</v>
      </c>
      <c r="DN100" s="2003">
        <f t="shared" si="165"/>
        <v>0</v>
      </c>
      <c r="DO100" s="1989" t="e">
        <f>#REF!/10^7</f>
        <v>#REF!</v>
      </c>
      <c r="DP100" s="2003">
        <f t="shared" si="166"/>
        <v>0</v>
      </c>
      <c r="DQ100" s="1989" t="e">
        <f>#REF!/10^7</f>
        <v>#REF!</v>
      </c>
      <c r="DR100" s="1989" t="e">
        <f>#REF!/10^7</f>
        <v>#REF!</v>
      </c>
      <c r="DS100" s="2002" t="e">
        <f t="shared" si="167"/>
        <v>#REF!</v>
      </c>
      <c r="DT100" s="2004" t="e">
        <f t="shared" si="229"/>
        <v>#REF!</v>
      </c>
      <c r="DU100" s="1988" t="e">
        <f>#REF!</f>
        <v>#REF!</v>
      </c>
      <c r="DV100" s="2003">
        <f t="shared" si="168"/>
        <v>0</v>
      </c>
      <c r="DW100" s="1989" t="e">
        <f>#REF!/10^7</f>
        <v>#REF!</v>
      </c>
      <c r="DX100" s="2003">
        <f t="shared" si="169"/>
        <v>0</v>
      </c>
      <c r="DY100" s="1989" t="e">
        <f>#REF!/10^7</f>
        <v>#REF!</v>
      </c>
      <c r="DZ100" s="2003">
        <f t="shared" si="170"/>
        <v>0</v>
      </c>
      <c r="EA100" s="1989" t="e">
        <f>#REF!/10^7</f>
        <v>#REF!</v>
      </c>
      <c r="EB100" s="1989" t="e">
        <f>#REF!/10^7</f>
        <v>#REF!</v>
      </c>
      <c r="EC100" s="2002" t="e">
        <f t="shared" si="171"/>
        <v>#REF!</v>
      </c>
      <c r="ED100" s="1998" t="e">
        <f t="shared" si="230"/>
        <v>#REF!</v>
      </c>
      <c r="EE100" s="2005" t="e">
        <f t="shared" si="234"/>
        <v>#REF!</v>
      </c>
      <c r="EF100" s="2003">
        <f t="shared" si="172"/>
        <v>0</v>
      </c>
      <c r="EG100" s="1989" t="e">
        <f t="shared" si="231"/>
        <v>#REF!</v>
      </c>
      <c r="EH100" s="2003">
        <f t="shared" si="173"/>
        <v>0</v>
      </c>
      <c r="EI100" s="1989" t="e">
        <f t="shared" si="232"/>
        <v>#REF!</v>
      </c>
      <c r="EJ100" s="2003">
        <f t="shared" si="174"/>
        <v>0</v>
      </c>
      <c r="EK100" s="1989" t="e">
        <f t="shared" si="233"/>
        <v>#REF!</v>
      </c>
      <c r="EL100" s="1989" t="e">
        <f t="shared" si="233"/>
        <v>#REF!</v>
      </c>
      <c r="EM100" s="2006" t="e">
        <f t="shared" si="175"/>
        <v>#REF!</v>
      </c>
      <c r="EN100" s="1999" t="e">
        <f t="shared" si="235"/>
        <v>#REF!</v>
      </c>
      <c r="EP100" s="1613" t="e">
        <f>EA100-#REF!/10^7</f>
        <v>#REF!</v>
      </c>
      <c r="EW100" s="1611" t="s">
        <v>1717</v>
      </c>
      <c r="EX100" s="1612" t="s">
        <v>1717</v>
      </c>
      <c r="EZ100" s="1650">
        <f t="shared" si="176"/>
        <v>0</v>
      </c>
    </row>
    <row r="101" spans="1:156" ht="21" customHeight="1">
      <c r="A101" s="1652">
        <v>6</v>
      </c>
      <c r="B101" s="1644" t="s">
        <v>1728</v>
      </c>
      <c r="C101" s="1645">
        <v>280</v>
      </c>
      <c r="D101" s="1646">
        <f t="shared" si="218"/>
        <v>20</v>
      </c>
      <c r="E101" s="1646">
        <v>98.988</v>
      </c>
      <c r="F101" s="1665">
        <v>1.2</v>
      </c>
      <c r="G101" s="1640"/>
      <c r="H101" s="1646">
        <v>56</v>
      </c>
      <c r="I101" s="1648" t="s">
        <v>1717</v>
      </c>
      <c r="J101" s="1649">
        <v>1</v>
      </c>
      <c r="K101" s="1648"/>
      <c r="L101" s="1640"/>
      <c r="M101" s="1640"/>
      <c r="N101" s="1642"/>
      <c r="O101" s="2000" t="e">
        <f>#REF!</f>
        <v>#REF!</v>
      </c>
      <c r="P101" s="2003">
        <f t="shared" si="124"/>
        <v>0</v>
      </c>
      <c r="Q101" s="1989" t="e">
        <f>#REF!/10^7</f>
        <v>#REF!</v>
      </c>
      <c r="R101" s="2003">
        <f t="shared" si="125"/>
        <v>0</v>
      </c>
      <c r="S101" s="1989" t="e">
        <f>#REF!/10^7</f>
        <v>#REF!</v>
      </c>
      <c r="T101" s="2003">
        <f t="shared" si="126"/>
        <v>0</v>
      </c>
      <c r="U101" s="1989" t="e">
        <f>#REF!/10^7</f>
        <v>#REF!</v>
      </c>
      <c r="V101" s="1989" t="e">
        <f>#REF!/10^7</f>
        <v>#REF!</v>
      </c>
      <c r="W101" s="1989">
        <f t="shared" si="127"/>
        <v>0</v>
      </c>
      <c r="X101" s="1999" t="e">
        <f t="shared" si="219"/>
        <v>#REF!</v>
      </c>
      <c r="Y101" s="1993" t="e">
        <f>#REF!</f>
        <v>#REF!</v>
      </c>
      <c r="Z101" s="2003">
        <f t="shared" si="128"/>
        <v>0</v>
      </c>
      <c r="AA101" s="1989" t="e">
        <f>#REF!/10^7</f>
        <v>#REF!</v>
      </c>
      <c r="AB101" s="2003">
        <f t="shared" si="129"/>
        <v>0</v>
      </c>
      <c r="AC101" s="1989" t="e">
        <f>#REF!/10^7</f>
        <v>#REF!</v>
      </c>
      <c r="AD101" s="2003">
        <f t="shared" si="130"/>
        <v>0</v>
      </c>
      <c r="AE101" s="1989" t="e">
        <f>#REF!/10^7</f>
        <v>#REF!</v>
      </c>
      <c r="AF101" s="1989" t="e">
        <f>#REF!/10^7</f>
        <v>#REF!</v>
      </c>
      <c r="AG101" s="2002" t="e">
        <f t="shared" si="131"/>
        <v>#REF!</v>
      </c>
      <c r="AH101" s="1999" t="e">
        <f t="shared" si="220"/>
        <v>#REF!</v>
      </c>
      <c r="AI101" s="1993" t="e">
        <f>#REF!</f>
        <v>#REF!</v>
      </c>
      <c r="AJ101" s="2003">
        <f t="shared" si="132"/>
        <v>0</v>
      </c>
      <c r="AK101" s="1989" t="e">
        <f>#REF!/10^7</f>
        <v>#REF!</v>
      </c>
      <c r="AL101" s="2003">
        <f t="shared" si="133"/>
        <v>0</v>
      </c>
      <c r="AM101" s="1989" t="e">
        <f>#REF!/10^7</f>
        <v>#REF!</v>
      </c>
      <c r="AN101" s="2003">
        <f t="shared" si="134"/>
        <v>0</v>
      </c>
      <c r="AO101" s="1989" t="e">
        <f>#REF!/10^7</f>
        <v>#REF!</v>
      </c>
      <c r="AP101" s="1989" t="e">
        <f>#REF!/10^7</f>
        <v>#REF!</v>
      </c>
      <c r="AQ101" s="2002" t="e">
        <f t="shared" si="135"/>
        <v>#REF!</v>
      </c>
      <c r="AR101" s="1999" t="e">
        <f t="shared" si="221"/>
        <v>#REF!</v>
      </c>
      <c r="AS101" s="1993" t="e">
        <f>#REF!</f>
        <v>#REF!</v>
      </c>
      <c r="AT101" s="2003">
        <f t="shared" si="136"/>
        <v>0</v>
      </c>
      <c r="AU101" s="1989" t="e">
        <f>#REF!/10^7</f>
        <v>#REF!</v>
      </c>
      <c r="AV101" s="2003">
        <f t="shared" si="137"/>
        <v>0</v>
      </c>
      <c r="AW101" s="1989" t="e">
        <f>#REF!/10^7</f>
        <v>#REF!</v>
      </c>
      <c r="AX101" s="2003">
        <f t="shared" si="138"/>
        <v>0</v>
      </c>
      <c r="AY101" s="1989" t="e">
        <f>#REF!/10^7</f>
        <v>#REF!</v>
      </c>
      <c r="AZ101" s="1989" t="e">
        <f>#REF!/10^7</f>
        <v>#REF!</v>
      </c>
      <c r="BA101" s="2002" t="e">
        <f t="shared" si="139"/>
        <v>#REF!</v>
      </c>
      <c r="BB101" s="1999" t="e">
        <f t="shared" si="222"/>
        <v>#REF!</v>
      </c>
      <c r="BC101" s="1993" t="e">
        <f>#REF!</f>
        <v>#REF!</v>
      </c>
      <c r="BD101" s="2003">
        <f t="shared" si="140"/>
        <v>0</v>
      </c>
      <c r="BE101" s="1989" t="e">
        <f>#REF!/10^7</f>
        <v>#REF!</v>
      </c>
      <c r="BF101" s="2003">
        <f t="shared" si="141"/>
        <v>0</v>
      </c>
      <c r="BG101" s="1989" t="e">
        <f>#REF!/10^7</f>
        <v>#REF!</v>
      </c>
      <c r="BH101" s="2003">
        <f t="shared" si="142"/>
        <v>0</v>
      </c>
      <c r="BI101" s="1989" t="e">
        <f>#REF!/10^7</f>
        <v>#REF!</v>
      </c>
      <c r="BJ101" s="1989" t="e">
        <f>#REF!/10^7</f>
        <v>#REF!</v>
      </c>
      <c r="BK101" s="2002" t="e">
        <f t="shared" si="143"/>
        <v>#REF!</v>
      </c>
      <c r="BL101" s="1999" t="e">
        <f t="shared" si="223"/>
        <v>#REF!</v>
      </c>
      <c r="BM101" s="1993" t="e">
        <f>#REF!</f>
        <v>#REF!</v>
      </c>
      <c r="BN101" s="2003">
        <f t="shared" si="144"/>
        <v>0</v>
      </c>
      <c r="BO101" s="1989" t="e">
        <f>#REF!/10^7</f>
        <v>#REF!</v>
      </c>
      <c r="BP101" s="2003">
        <f t="shared" si="145"/>
        <v>0</v>
      </c>
      <c r="BQ101" s="1989" t="e">
        <f>#REF!/10^7</f>
        <v>#REF!</v>
      </c>
      <c r="BR101" s="2003">
        <f t="shared" si="146"/>
        <v>0</v>
      </c>
      <c r="BS101" s="1989" t="e">
        <f>#REF!/10^7</f>
        <v>#REF!</v>
      </c>
      <c r="BT101" s="1989" t="e">
        <f>#REF!/10^7</f>
        <v>#REF!</v>
      </c>
      <c r="BU101" s="2002" t="e">
        <f t="shared" si="147"/>
        <v>#REF!</v>
      </c>
      <c r="BV101" s="1999" t="e">
        <f t="shared" si="224"/>
        <v>#REF!</v>
      </c>
      <c r="BW101" s="1993" t="e">
        <f>#REF!</f>
        <v>#REF!</v>
      </c>
      <c r="BX101" s="2003">
        <f t="shared" si="148"/>
        <v>0</v>
      </c>
      <c r="BY101" s="1989" t="e">
        <f>#REF!/10^7</f>
        <v>#REF!</v>
      </c>
      <c r="BZ101" s="2003">
        <f t="shared" si="149"/>
        <v>0</v>
      </c>
      <c r="CA101" s="1989" t="e">
        <f>#REF!/10^7</f>
        <v>#REF!</v>
      </c>
      <c r="CB101" s="2003">
        <f t="shared" si="150"/>
        <v>0</v>
      </c>
      <c r="CC101" s="1989" t="e">
        <f>#REF!/10^7</f>
        <v>#REF!</v>
      </c>
      <c r="CD101" s="1989" t="e">
        <f>#REF!/10^7</f>
        <v>#REF!</v>
      </c>
      <c r="CE101" s="2002" t="e">
        <f t="shared" si="151"/>
        <v>#REF!</v>
      </c>
      <c r="CF101" s="1999" t="e">
        <f t="shared" si="225"/>
        <v>#REF!</v>
      </c>
      <c r="CG101" s="1993" t="e">
        <f>#REF!</f>
        <v>#REF!</v>
      </c>
      <c r="CH101" s="2003">
        <f t="shared" si="152"/>
        <v>0</v>
      </c>
      <c r="CI101" s="1989" t="e">
        <f>#REF!/10^7</f>
        <v>#REF!</v>
      </c>
      <c r="CJ101" s="2003">
        <f t="shared" si="153"/>
        <v>0</v>
      </c>
      <c r="CK101" s="1989" t="e">
        <f>#REF!/10^7</f>
        <v>#REF!</v>
      </c>
      <c r="CL101" s="2003">
        <f t="shared" si="154"/>
        <v>0</v>
      </c>
      <c r="CM101" s="1989" t="e">
        <f>#REF!/10^7</f>
        <v>#REF!</v>
      </c>
      <c r="CN101" s="1989" t="e">
        <f>#REF!/10^7</f>
        <v>#REF!</v>
      </c>
      <c r="CO101" s="2002" t="e">
        <f t="shared" si="155"/>
        <v>#REF!</v>
      </c>
      <c r="CP101" s="1999" t="e">
        <f t="shared" si="226"/>
        <v>#REF!</v>
      </c>
      <c r="CQ101" s="1993" t="e">
        <f>#REF!</f>
        <v>#REF!</v>
      </c>
      <c r="CR101" s="2003">
        <f t="shared" si="156"/>
        <v>0</v>
      </c>
      <c r="CS101" s="1989" t="e">
        <f>#REF!/10^7</f>
        <v>#REF!</v>
      </c>
      <c r="CT101" s="2003">
        <f t="shared" si="157"/>
        <v>0</v>
      </c>
      <c r="CU101" s="1989" t="e">
        <f>#REF!/10^7</f>
        <v>#REF!</v>
      </c>
      <c r="CV101" s="2003">
        <f t="shared" si="158"/>
        <v>0</v>
      </c>
      <c r="CW101" s="1989" t="e">
        <f>#REF!/10^7</f>
        <v>#REF!</v>
      </c>
      <c r="CX101" s="1989" t="e">
        <f>#REF!/10^7</f>
        <v>#REF!</v>
      </c>
      <c r="CY101" s="2002" t="e">
        <f t="shared" si="159"/>
        <v>#REF!</v>
      </c>
      <c r="CZ101" s="1999" t="e">
        <f t="shared" si="227"/>
        <v>#REF!</v>
      </c>
      <c r="DA101" s="1993" t="e">
        <f>#REF!</f>
        <v>#REF!</v>
      </c>
      <c r="DB101" s="2003">
        <f t="shared" si="160"/>
        <v>0</v>
      </c>
      <c r="DC101" s="1989" t="e">
        <f>#REF!/10^7</f>
        <v>#REF!</v>
      </c>
      <c r="DD101" s="2003">
        <f t="shared" si="161"/>
        <v>0</v>
      </c>
      <c r="DE101" s="1989" t="e">
        <f>#REF!/10^7</f>
        <v>#REF!</v>
      </c>
      <c r="DF101" s="2003">
        <f t="shared" si="162"/>
        <v>0</v>
      </c>
      <c r="DG101" s="1989" t="e">
        <f>#REF!/10^7</f>
        <v>#REF!</v>
      </c>
      <c r="DH101" s="1989" t="e">
        <f>#REF!/10^7</f>
        <v>#REF!</v>
      </c>
      <c r="DI101" s="2002" t="e">
        <f t="shared" si="163"/>
        <v>#REF!</v>
      </c>
      <c r="DJ101" s="1999" t="e">
        <f t="shared" si="228"/>
        <v>#REF!</v>
      </c>
      <c r="DK101" s="1993" t="e">
        <f>#REF!</f>
        <v>#REF!</v>
      </c>
      <c r="DL101" s="2003">
        <f t="shared" si="164"/>
        <v>0</v>
      </c>
      <c r="DM101" s="1989" t="e">
        <f>#REF!/10^7</f>
        <v>#REF!</v>
      </c>
      <c r="DN101" s="2003">
        <f t="shared" si="165"/>
        <v>0</v>
      </c>
      <c r="DO101" s="1989" t="e">
        <f>#REF!/10^7</f>
        <v>#REF!</v>
      </c>
      <c r="DP101" s="2003">
        <f t="shared" si="166"/>
        <v>0</v>
      </c>
      <c r="DQ101" s="1989" t="e">
        <f>#REF!/10^7</f>
        <v>#REF!</v>
      </c>
      <c r="DR101" s="1989" t="e">
        <f>#REF!/10^7</f>
        <v>#REF!</v>
      </c>
      <c r="DS101" s="2002" t="e">
        <f t="shared" si="167"/>
        <v>#REF!</v>
      </c>
      <c r="DT101" s="2004" t="e">
        <f t="shared" si="229"/>
        <v>#REF!</v>
      </c>
      <c r="DU101" s="1988" t="e">
        <f>#REF!</f>
        <v>#REF!</v>
      </c>
      <c r="DV101" s="2003">
        <f t="shared" si="168"/>
        <v>0</v>
      </c>
      <c r="DW101" s="1989" t="e">
        <f>#REF!/10^7</f>
        <v>#REF!</v>
      </c>
      <c r="DX101" s="2003">
        <f t="shared" si="169"/>
        <v>0</v>
      </c>
      <c r="DY101" s="1989" t="e">
        <f>#REF!/10^7</f>
        <v>#REF!</v>
      </c>
      <c r="DZ101" s="2003">
        <f t="shared" si="170"/>
        <v>0</v>
      </c>
      <c r="EA101" s="1989" t="e">
        <f>#REF!/10^7</f>
        <v>#REF!</v>
      </c>
      <c r="EB101" s="1989" t="e">
        <f>#REF!/10^7</f>
        <v>#REF!</v>
      </c>
      <c r="EC101" s="2002" t="e">
        <f t="shared" si="171"/>
        <v>#REF!</v>
      </c>
      <c r="ED101" s="1998" t="e">
        <f t="shared" si="230"/>
        <v>#REF!</v>
      </c>
      <c r="EE101" s="2005" t="e">
        <f t="shared" si="234"/>
        <v>#REF!</v>
      </c>
      <c r="EF101" s="2003">
        <f t="shared" si="172"/>
        <v>0</v>
      </c>
      <c r="EG101" s="1989" t="e">
        <f t="shared" si="231"/>
        <v>#REF!</v>
      </c>
      <c r="EH101" s="2003">
        <f t="shared" si="173"/>
        <v>0</v>
      </c>
      <c r="EI101" s="1989" t="e">
        <f t="shared" si="232"/>
        <v>#REF!</v>
      </c>
      <c r="EJ101" s="2003">
        <f t="shared" si="174"/>
        <v>0</v>
      </c>
      <c r="EK101" s="1989" t="e">
        <f t="shared" si="233"/>
        <v>#REF!</v>
      </c>
      <c r="EL101" s="1989" t="e">
        <f t="shared" si="233"/>
        <v>#REF!</v>
      </c>
      <c r="EM101" s="2006" t="e">
        <f t="shared" si="175"/>
        <v>#REF!</v>
      </c>
      <c r="EN101" s="1999" t="e">
        <f t="shared" si="235"/>
        <v>#REF!</v>
      </c>
      <c r="EP101" s="1613" t="e">
        <f>EA101-#REF!/10^7</f>
        <v>#REF!</v>
      </c>
      <c r="EW101" s="1611" t="s">
        <v>1717</v>
      </c>
      <c r="EX101" s="1612" t="s">
        <v>1717</v>
      </c>
      <c r="EZ101" s="1650">
        <f t="shared" si="176"/>
        <v>0</v>
      </c>
    </row>
    <row r="102" spans="1:156" ht="21" customHeight="1">
      <c r="A102" s="1652">
        <v>7</v>
      </c>
      <c r="B102" s="1644" t="s">
        <v>1729</v>
      </c>
      <c r="C102" s="1645">
        <v>390</v>
      </c>
      <c r="D102" s="1646">
        <f t="shared" si="218"/>
        <v>21.794871794871796</v>
      </c>
      <c r="E102" s="1646">
        <v>79.745999999999995</v>
      </c>
      <c r="F102" s="1665">
        <v>1.2</v>
      </c>
      <c r="G102" s="1640"/>
      <c r="H102" s="1646">
        <v>85</v>
      </c>
      <c r="I102" s="1648" t="s">
        <v>1717</v>
      </c>
      <c r="J102" s="1649">
        <v>1</v>
      </c>
      <c r="K102" s="1648"/>
      <c r="L102" s="1640"/>
      <c r="M102" s="1640"/>
      <c r="N102" s="1642"/>
      <c r="O102" s="2000" t="e">
        <f>#REF!</f>
        <v>#REF!</v>
      </c>
      <c r="P102" s="2003">
        <f t="shared" si="124"/>
        <v>0</v>
      </c>
      <c r="Q102" s="1989" t="e">
        <f>#REF!/10^7</f>
        <v>#REF!</v>
      </c>
      <c r="R102" s="2003">
        <f t="shared" si="125"/>
        <v>0</v>
      </c>
      <c r="S102" s="1989" t="e">
        <f>#REF!/10^7</f>
        <v>#REF!</v>
      </c>
      <c r="T102" s="2003">
        <f t="shared" si="126"/>
        <v>0</v>
      </c>
      <c r="U102" s="1989" t="e">
        <f>#REF!/10^7</f>
        <v>#REF!</v>
      </c>
      <c r="V102" s="1989" t="e">
        <f>#REF!/10^7</f>
        <v>#REF!</v>
      </c>
      <c r="W102" s="1989">
        <f t="shared" si="127"/>
        <v>0</v>
      </c>
      <c r="X102" s="1999" t="e">
        <f t="shared" si="219"/>
        <v>#REF!</v>
      </c>
      <c r="Y102" s="1993" t="e">
        <f>#REF!</f>
        <v>#REF!</v>
      </c>
      <c r="Z102" s="2003">
        <f t="shared" si="128"/>
        <v>0</v>
      </c>
      <c r="AA102" s="1989" t="e">
        <f>#REF!/10^7</f>
        <v>#REF!</v>
      </c>
      <c r="AB102" s="2003">
        <f t="shared" si="129"/>
        <v>0</v>
      </c>
      <c r="AC102" s="1989" t="e">
        <f>#REF!/10^7</f>
        <v>#REF!</v>
      </c>
      <c r="AD102" s="2003">
        <f t="shared" si="130"/>
        <v>0</v>
      </c>
      <c r="AE102" s="1989" t="e">
        <f>#REF!/10^7</f>
        <v>#REF!</v>
      </c>
      <c r="AF102" s="1989" t="e">
        <f>#REF!/10^7</f>
        <v>#REF!</v>
      </c>
      <c r="AG102" s="2002" t="e">
        <f t="shared" si="131"/>
        <v>#REF!</v>
      </c>
      <c r="AH102" s="1999" t="e">
        <f t="shared" si="220"/>
        <v>#REF!</v>
      </c>
      <c r="AI102" s="1993" t="e">
        <f>#REF!</f>
        <v>#REF!</v>
      </c>
      <c r="AJ102" s="2003">
        <f t="shared" si="132"/>
        <v>0</v>
      </c>
      <c r="AK102" s="1989" t="e">
        <f>#REF!/10^7</f>
        <v>#REF!</v>
      </c>
      <c r="AL102" s="2003">
        <f t="shared" si="133"/>
        <v>0</v>
      </c>
      <c r="AM102" s="1989" t="e">
        <f>#REF!/10^7</f>
        <v>#REF!</v>
      </c>
      <c r="AN102" s="2003">
        <f t="shared" si="134"/>
        <v>0</v>
      </c>
      <c r="AO102" s="1989" t="e">
        <f>#REF!/10^7</f>
        <v>#REF!</v>
      </c>
      <c r="AP102" s="1989" t="e">
        <f>#REF!/10^7</f>
        <v>#REF!</v>
      </c>
      <c r="AQ102" s="2002" t="e">
        <f t="shared" si="135"/>
        <v>#REF!</v>
      </c>
      <c r="AR102" s="1999" t="e">
        <f t="shared" si="221"/>
        <v>#REF!</v>
      </c>
      <c r="AS102" s="1993" t="e">
        <f>#REF!</f>
        <v>#REF!</v>
      </c>
      <c r="AT102" s="2003">
        <f t="shared" si="136"/>
        <v>0</v>
      </c>
      <c r="AU102" s="1989" t="e">
        <f>#REF!/10^7</f>
        <v>#REF!</v>
      </c>
      <c r="AV102" s="2003">
        <f t="shared" si="137"/>
        <v>0</v>
      </c>
      <c r="AW102" s="1989" t="e">
        <f>#REF!/10^7</f>
        <v>#REF!</v>
      </c>
      <c r="AX102" s="2003">
        <f t="shared" si="138"/>
        <v>0</v>
      </c>
      <c r="AY102" s="1989" t="e">
        <f>#REF!/10^7</f>
        <v>#REF!</v>
      </c>
      <c r="AZ102" s="1989" t="e">
        <f>#REF!/10^7</f>
        <v>#REF!</v>
      </c>
      <c r="BA102" s="2002" t="e">
        <f t="shared" si="139"/>
        <v>#REF!</v>
      </c>
      <c r="BB102" s="1999" t="e">
        <f t="shared" si="222"/>
        <v>#REF!</v>
      </c>
      <c r="BC102" s="1993" t="e">
        <f>#REF!</f>
        <v>#REF!</v>
      </c>
      <c r="BD102" s="2003">
        <f t="shared" si="140"/>
        <v>0</v>
      </c>
      <c r="BE102" s="1989" t="e">
        <f>#REF!/10^7</f>
        <v>#REF!</v>
      </c>
      <c r="BF102" s="2003">
        <f t="shared" si="141"/>
        <v>0</v>
      </c>
      <c r="BG102" s="1989" t="e">
        <f>#REF!/10^7</f>
        <v>#REF!</v>
      </c>
      <c r="BH102" s="2003">
        <f t="shared" si="142"/>
        <v>0</v>
      </c>
      <c r="BI102" s="1989" t="e">
        <f>#REF!/10^7</f>
        <v>#REF!</v>
      </c>
      <c r="BJ102" s="1989" t="e">
        <f>#REF!/10^7</f>
        <v>#REF!</v>
      </c>
      <c r="BK102" s="2002" t="e">
        <f t="shared" si="143"/>
        <v>#REF!</v>
      </c>
      <c r="BL102" s="1999" t="e">
        <f t="shared" si="223"/>
        <v>#REF!</v>
      </c>
      <c r="BM102" s="1993" t="e">
        <f>#REF!</f>
        <v>#REF!</v>
      </c>
      <c r="BN102" s="2003">
        <f t="shared" si="144"/>
        <v>0</v>
      </c>
      <c r="BO102" s="1989" t="e">
        <f>#REF!/10^7</f>
        <v>#REF!</v>
      </c>
      <c r="BP102" s="2003">
        <f t="shared" si="145"/>
        <v>0</v>
      </c>
      <c r="BQ102" s="1989" t="e">
        <f>#REF!/10^7</f>
        <v>#REF!</v>
      </c>
      <c r="BR102" s="2003">
        <f t="shared" si="146"/>
        <v>0</v>
      </c>
      <c r="BS102" s="1989" t="e">
        <f>#REF!/10^7</f>
        <v>#REF!</v>
      </c>
      <c r="BT102" s="1989" t="e">
        <f>#REF!/10^7</f>
        <v>#REF!</v>
      </c>
      <c r="BU102" s="2002" t="e">
        <f t="shared" si="147"/>
        <v>#REF!</v>
      </c>
      <c r="BV102" s="1999" t="e">
        <f t="shared" si="224"/>
        <v>#REF!</v>
      </c>
      <c r="BW102" s="1993" t="e">
        <f>#REF!</f>
        <v>#REF!</v>
      </c>
      <c r="BX102" s="2003">
        <f t="shared" si="148"/>
        <v>0</v>
      </c>
      <c r="BY102" s="1989" t="e">
        <f>#REF!/10^7</f>
        <v>#REF!</v>
      </c>
      <c r="BZ102" s="2003">
        <f t="shared" si="149"/>
        <v>0</v>
      </c>
      <c r="CA102" s="1989" t="e">
        <f>#REF!/10^7</f>
        <v>#REF!</v>
      </c>
      <c r="CB102" s="2003">
        <f t="shared" si="150"/>
        <v>0</v>
      </c>
      <c r="CC102" s="1989" t="e">
        <f>#REF!/10^7</f>
        <v>#REF!</v>
      </c>
      <c r="CD102" s="1989" t="e">
        <f>#REF!/10^7</f>
        <v>#REF!</v>
      </c>
      <c r="CE102" s="2002" t="e">
        <f t="shared" si="151"/>
        <v>#REF!</v>
      </c>
      <c r="CF102" s="1999" t="e">
        <f t="shared" si="225"/>
        <v>#REF!</v>
      </c>
      <c r="CG102" s="1993" t="e">
        <f>#REF!</f>
        <v>#REF!</v>
      </c>
      <c r="CH102" s="2003">
        <f t="shared" si="152"/>
        <v>0</v>
      </c>
      <c r="CI102" s="1989" t="e">
        <f>#REF!/10^7</f>
        <v>#REF!</v>
      </c>
      <c r="CJ102" s="2003">
        <f t="shared" si="153"/>
        <v>0</v>
      </c>
      <c r="CK102" s="1989" t="e">
        <f>#REF!/10^7</f>
        <v>#REF!</v>
      </c>
      <c r="CL102" s="2003">
        <f t="shared" si="154"/>
        <v>0</v>
      </c>
      <c r="CM102" s="1989" t="e">
        <f>#REF!/10^7</f>
        <v>#REF!</v>
      </c>
      <c r="CN102" s="1989" t="e">
        <f>#REF!/10^7</f>
        <v>#REF!</v>
      </c>
      <c r="CO102" s="2002" t="e">
        <f t="shared" si="155"/>
        <v>#REF!</v>
      </c>
      <c r="CP102" s="1999" t="e">
        <f t="shared" si="226"/>
        <v>#REF!</v>
      </c>
      <c r="CQ102" s="1993" t="e">
        <f>#REF!</f>
        <v>#REF!</v>
      </c>
      <c r="CR102" s="2003">
        <f t="shared" si="156"/>
        <v>0</v>
      </c>
      <c r="CS102" s="1989" t="e">
        <f>#REF!/10^7</f>
        <v>#REF!</v>
      </c>
      <c r="CT102" s="2003">
        <f t="shared" si="157"/>
        <v>0</v>
      </c>
      <c r="CU102" s="1989" t="e">
        <f>#REF!/10^7</f>
        <v>#REF!</v>
      </c>
      <c r="CV102" s="2003">
        <f t="shared" si="158"/>
        <v>0</v>
      </c>
      <c r="CW102" s="1989" t="e">
        <f>#REF!/10^7</f>
        <v>#REF!</v>
      </c>
      <c r="CX102" s="1989" t="e">
        <f>#REF!/10^7</f>
        <v>#REF!</v>
      </c>
      <c r="CY102" s="2002" t="e">
        <f t="shared" si="159"/>
        <v>#REF!</v>
      </c>
      <c r="CZ102" s="1999" t="e">
        <f t="shared" si="227"/>
        <v>#REF!</v>
      </c>
      <c r="DA102" s="1993" t="e">
        <f>#REF!</f>
        <v>#REF!</v>
      </c>
      <c r="DB102" s="2003">
        <f t="shared" si="160"/>
        <v>0</v>
      </c>
      <c r="DC102" s="1989" t="e">
        <f>#REF!/10^7</f>
        <v>#REF!</v>
      </c>
      <c r="DD102" s="2003">
        <f t="shared" si="161"/>
        <v>0</v>
      </c>
      <c r="DE102" s="1989" t="e">
        <f>#REF!/10^7</f>
        <v>#REF!</v>
      </c>
      <c r="DF102" s="2003">
        <f t="shared" si="162"/>
        <v>0</v>
      </c>
      <c r="DG102" s="1989" t="e">
        <f>#REF!/10^7</f>
        <v>#REF!</v>
      </c>
      <c r="DH102" s="1989" t="e">
        <f>#REF!/10^7</f>
        <v>#REF!</v>
      </c>
      <c r="DI102" s="2002" t="e">
        <f t="shared" si="163"/>
        <v>#REF!</v>
      </c>
      <c r="DJ102" s="1999" t="e">
        <f t="shared" si="228"/>
        <v>#REF!</v>
      </c>
      <c r="DK102" s="1993" t="e">
        <f>#REF!</f>
        <v>#REF!</v>
      </c>
      <c r="DL102" s="2003">
        <f t="shared" si="164"/>
        <v>0</v>
      </c>
      <c r="DM102" s="1989" t="e">
        <f>#REF!/10^7</f>
        <v>#REF!</v>
      </c>
      <c r="DN102" s="2003">
        <f t="shared" si="165"/>
        <v>0</v>
      </c>
      <c r="DO102" s="1989" t="e">
        <f>#REF!/10^7</f>
        <v>#REF!</v>
      </c>
      <c r="DP102" s="2003">
        <f t="shared" si="166"/>
        <v>0</v>
      </c>
      <c r="DQ102" s="1989" t="e">
        <f>#REF!/10^7</f>
        <v>#REF!</v>
      </c>
      <c r="DR102" s="1989" t="e">
        <f>#REF!/10^7</f>
        <v>#REF!</v>
      </c>
      <c r="DS102" s="2002" t="e">
        <f t="shared" si="167"/>
        <v>#REF!</v>
      </c>
      <c r="DT102" s="2004" t="e">
        <f t="shared" si="229"/>
        <v>#REF!</v>
      </c>
      <c r="DU102" s="1988" t="e">
        <f>#REF!</f>
        <v>#REF!</v>
      </c>
      <c r="DV102" s="2003">
        <f t="shared" si="168"/>
        <v>0</v>
      </c>
      <c r="DW102" s="1989" t="e">
        <f>#REF!/10^7</f>
        <v>#REF!</v>
      </c>
      <c r="DX102" s="2003">
        <f t="shared" si="169"/>
        <v>0</v>
      </c>
      <c r="DY102" s="1989" t="e">
        <f>#REF!/10^7</f>
        <v>#REF!</v>
      </c>
      <c r="DZ102" s="2003">
        <f t="shared" si="170"/>
        <v>0</v>
      </c>
      <c r="EA102" s="1989" t="e">
        <f>#REF!/10^7</f>
        <v>#REF!</v>
      </c>
      <c r="EB102" s="1989" t="e">
        <f>#REF!/10^7</f>
        <v>#REF!</v>
      </c>
      <c r="EC102" s="2002" t="e">
        <f t="shared" si="171"/>
        <v>#REF!</v>
      </c>
      <c r="ED102" s="1998" t="e">
        <f t="shared" si="230"/>
        <v>#REF!</v>
      </c>
      <c r="EE102" s="2005" t="e">
        <f t="shared" si="234"/>
        <v>#REF!</v>
      </c>
      <c r="EF102" s="2003">
        <f t="shared" si="172"/>
        <v>0</v>
      </c>
      <c r="EG102" s="1989" t="e">
        <f t="shared" si="231"/>
        <v>#REF!</v>
      </c>
      <c r="EH102" s="2003">
        <f t="shared" si="173"/>
        <v>0</v>
      </c>
      <c r="EI102" s="1989" t="e">
        <f t="shared" si="232"/>
        <v>#REF!</v>
      </c>
      <c r="EJ102" s="2003">
        <f t="shared" si="174"/>
        <v>0</v>
      </c>
      <c r="EK102" s="1989" t="e">
        <f t="shared" si="233"/>
        <v>#REF!</v>
      </c>
      <c r="EL102" s="1989" t="e">
        <f t="shared" si="233"/>
        <v>#REF!</v>
      </c>
      <c r="EM102" s="2006" t="e">
        <f t="shared" si="175"/>
        <v>#REF!</v>
      </c>
      <c r="EN102" s="1999" t="e">
        <f t="shared" si="235"/>
        <v>#REF!</v>
      </c>
      <c r="EP102" s="1613" t="e">
        <f>EA102-#REF!/10^7</f>
        <v>#REF!</v>
      </c>
      <c r="EW102" s="1611" t="s">
        <v>1717</v>
      </c>
      <c r="EX102" s="1612" t="s">
        <v>1717</v>
      </c>
      <c r="EZ102" s="1650">
        <f t="shared" si="176"/>
        <v>0</v>
      </c>
    </row>
    <row r="103" spans="1:156" ht="21" customHeight="1">
      <c r="A103" s="1652">
        <v>8</v>
      </c>
      <c r="B103" s="1644" t="s">
        <v>1730</v>
      </c>
      <c r="C103" s="1645">
        <v>120</v>
      </c>
      <c r="D103" s="1646">
        <f t="shared" si="218"/>
        <v>22.5</v>
      </c>
      <c r="E103" s="1646">
        <v>109.04</v>
      </c>
      <c r="F103" s="1665">
        <v>1.2</v>
      </c>
      <c r="G103" s="1640"/>
      <c r="H103" s="1646">
        <v>27</v>
      </c>
      <c r="I103" s="1648" t="s">
        <v>1717</v>
      </c>
      <c r="J103" s="1649">
        <v>1</v>
      </c>
      <c r="K103" s="1648"/>
      <c r="L103" s="1640"/>
      <c r="M103" s="1640"/>
      <c r="N103" s="1642"/>
      <c r="O103" s="2000" t="e">
        <f>#REF!</f>
        <v>#REF!</v>
      </c>
      <c r="P103" s="2003">
        <f t="shared" si="124"/>
        <v>0</v>
      </c>
      <c r="Q103" s="1989" t="e">
        <f>#REF!/10^7</f>
        <v>#REF!</v>
      </c>
      <c r="R103" s="2003">
        <f t="shared" si="125"/>
        <v>0</v>
      </c>
      <c r="S103" s="1989" t="e">
        <f>#REF!/10^7</f>
        <v>#REF!</v>
      </c>
      <c r="T103" s="2003">
        <f t="shared" si="126"/>
        <v>0</v>
      </c>
      <c r="U103" s="1989" t="e">
        <f>#REF!/10^7</f>
        <v>#REF!</v>
      </c>
      <c r="V103" s="1989" t="e">
        <f>#REF!/10^7</f>
        <v>#REF!</v>
      </c>
      <c r="W103" s="1989">
        <f t="shared" si="127"/>
        <v>0</v>
      </c>
      <c r="X103" s="1999" t="e">
        <f t="shared" si="219"/>
        <v>#REF!</v>
      </c>
      <c r="Y103" s="1993" t="e">
        <f>#REF!</f>
        <v>#REF!</v>
      </c>
      <c r="Z103" s="2003">
        <f t="shared" si="128"/>
        <v>0</v>
      </c>
      <c r="AA103" s="1989" t="e">
        <f>#REF!/10^7</f>
        <v>#REF!</v>
      </c>
      <c r="AB103" s="2003">
        <f t="shared" si="129"/>
        <v>0</v>
      </c>
      <c r="AC103" s="1989" t="e">
        <f>#REF!/10^7</f>
        <v>#REF!</v>
      </c>
      <c r="AD103" s="2003">
        <f t="shared" si="130"/>
        <v>0</v>
      </c>
      <c r="AE103" s="1989" t="e">
        <f>#REF!/10^7</f>
        <v>#REF!</v>
      </c>
      <c r="AF103" s="1989" t="e">
        <f>#REF!/10^7</f>
        <v>#REF!</v>
      </c>
      <c r="AG103" s="2002" t="e">
        <f t="shared" si="131"/>
        <v>#REF!</v>
      </c>
      <c r="AH103" s="1999" t="e">
        <f t="shared" si="220"/>
        <v>#REF!</v>
      </c>
      <c r="AI103" s="1993" t="e">
        <f>#REF!</f>
        <v>#REF!</v>
      </c>
      <c r="AJ103" s="2003">
        <f t="shared" si="132"/>
        <v>0</v>
      </c>
      <c r="AK103" s="1989" t="e">
        <f>#REF!/10^7</f>
        <v>#REF!</v>
      </c>
      <c r="AL103" s="2003">
        <f t="shared" si="133"/>
        <v>0</v>
      </c>
      <c r="AM103" s="1989" t="e">
        <f>#REF!/10^7</f>
        <v>#REF!</v>
      </c>
      <c r="AN103" s="2003">
        <f t="shared" si="134"/>
        <v>0</v>
      </c>
      <c r="AO103" s="1989" t="e">
        <f>#REF!/10^7</f>
        <v>#REF!</v>
      </c>
      <c r="AP103" s="1989" t="e">
        <f>#REF!/10^7</f>
        <v>#REF!</v>
      </c>
      <c r="AQ103" s="2002" t="e">
        <f t="shared" si="135"/>
        <v>#REF!</v>
      </c>
      <c r="AR103" s="1999" t="e">
        <f t="shared" si="221"/>
        <v>#REF!</v>
      </c>
      <c r="AS103" s="1993" t="e">
        <f>#REF!</f>
        <v>#REF!</v>
      </c>
      <c r="AT103" s="2003">
        <f t="shared" si="136"/>
        <v>0</v>
      </c>
      <c r="AU103" s="1989" t="e">
        <f>#REF!/10^7</f>
        <v>#REF!</v>
      </c>
      <c r="AV103" s="2003">
        <f t="shared" si="137"/>
        <v>0</v>
      </c>
      <c r="AW103" s="1989" t="e">
        <f>#REF!/10^7</f>
        <v>#REF!</v>
      </c>
      <c r="AX103" s="2003">
        <f t="shared" si="138"/>
        <v>0</v>
      </c>
      <c r="AY103" s="1989" t="e">
        <f>#REF!/10^7</f>
        <v>#REF!</v>
      </c>
      <c r="AZ103" s="1989" t="e">
        <f>#REF!/10^7</f>
        <v>#REF!</v>
      </c>
      <c r="BA103" s="2002" t="e">
        <f t="shared" si="139"/>
        <v>#REF!</v>
      </c>
      <c r="BB103" s="1999" t="e">
        <f t="shared" si="222"/>
        <v>#REF!</v>
      </c>
      <c r="BC103" s="1993" t="e">
        <f>#REF!</f>
        <v>#REF!</v>
      </c>
      <c r="BD103" s="2003">
        <f t="shared" si="140"/>
        <v>0</v>
      </c>
      <c r="BE103" s="1989" t="e">
        <f>#REF!/10^7</f>
        <v>#REF!</v>
      </c>
      <c r="BF103" s="2003">
        <f t="shared" si="141"/>
        <v>0</v>
      </c>
      <c r="BG103" s="1989" t="e">
        <f>#REF!/10^7</f>
        <v>#REF!</v>
      </c>
      <c r="BH103" s="2003">
        <f t="shared" si="142"/>
        <v>0</v>
      </c>
      <c r="BI103" s="1989" t="e">
        <f>#REF!/10^7</f>
        <v>#REF!</v>
      </c>
      <c r="BJ103" s="1989" t="e">
        <f>#REF!/10^7</f>
        <v>#REF!</v>
      </c>
      <c r="BK103" s="2002" t="e">
        <f t="shared" si="143"/>
        <v>#REF!</v>
      </c>
      <c r="BL103" s="1999" t="e">
        <f t="shared" si="223"/>
        <v>#REF!</v>
      </c>
      <c r="BM103" s="1993" t="e">
        <f>#REF!</f>
        <v>#REF!</v>
      </c>
      <c r="BN103" s="2003">
        <f t="shared" si="144"/>
        <v>0</v>
      </c>
      <c r="BO103" s="1989" t="e">
        <f>#REF!/10^7</f>
        <v>#REF!</v>
      </c>
      <c r="BP103" s="2003">
        <f t="shared" si="145"/>
        <v>0</v>
      </c>
      <c r="BQ103" s="1989" t="e">
        <f>#REF!/10^7</f>
        <v>#REF!</v>
      </c>
      <c r="BR103" s="2003">
        <f t="shared" si="146"/>
        <v>0</v>
      </c>
      <c r="BS103" s="1989" t="e">
        <f>#REF!/10^7</f>
        <v>#REF!</v>
      </c>
      <c r="BT103" s="1989" t="e">
        <f>#REF!/10^7</f>
        <v>#REF!</v>
      </c>
      <c r="BU103" s="2002" t="e">
        <f t="shared" si="147"/>
        <v>#REF!</v>
      </c>
      <c r="BV103" s="1999" t="e">
        <f t="shared" si="224"/>
        <v>#REF!</v>
      </c>
      <c r="BW103" s="1993" t="e">
        <f>#REF!</f>
        <v>#REF!</v>
      </c>
      <c r="BX103" s="2003">
        <f t="shared" si="148"/>
        <v>0</v>
      </c>
      <c r="BY103" s="1989" t="e">
        <f>#REF!/10^7</f>
        <v>#REF!</v>
      </c>
      <c r="BZ103" s="2003">
        <f t="shared" si="149"/>
        <v>0</v>
      </c>
      <c r="CA103" s="1989" t="e">
        <f>#REF!/10^7</f>
        <v>#REF!</v>
      </c>
      <c r="CB103" s="2003">
        <f t="shared" si="150"/>
        <v>0</v>
      </c>
      <c r="CC103" s="1989" t="e">
        <f>#REF!/10^7</f>
        <v>#REF!</v>
      </c>
      <c r="CD103" s="1989" t="e">
        <f>#REF!/10^7</f>
        <v>#REF!</v>
      </c>
      <c r="CE103" s="2002" t="e">
        <f t="shared" si="151"/>
        <v>#REF!</v>
      </c>
      <c r="CF103" s="1999" t="e">
        <f t="shared" si="225"/>
        <v>#REF!</v>
      </c>
      <c r="CG103" s="1993" t="e">
        <f>#REF!</f>
        <v>#REF!</v>
      </c>
      <c r="CH103" s="2003">
        <f t="shared" si="152"/>
        <v>0</v>
      </c>
      <c r="CI103" s="1989" t="e">
        <f>#REF!/10^7</f>
        <v>#REF!</v>
      </c>
      <c r="CJ103" s="2003">
        <f t="shared" si="153"/>
        <v>0</v>
      </c>
      <c r="CK103" s="1989" t="e">
        <f>#REF!/10^7</f>
        <v>#REF!</v>
      </c>
      <c r="CL103" s="2003">
        <f t="shared" si="154"/>
        <v>0</v>
      </c>
      <c r="CM103" s="1989" t="e">
        <f>#REF!/10^7</f>
        <v>#REF!</v>
      </c>
      <c r="CN103" s="1989" t="e">
        <f>#REF!/10^7</f>
        <v>#REF!</v>
      </c>
      <c r="CO103" s="2002" t="e">
        <f t="shared" si="155"/>
        <v>#REF!</v>
      </c>
      <c r="CP103" s="1999" t="e">
        <f t="shared" si="226"/>
        <v>#REF!</v>
      </c>
      <c r="CQ103" s="1993" t="e">
        <f>#REF!</f>
        <v>#REF!</v>
      </c>
      <c r="CR103" s="2003">
        <f t="shared" si="156"/>
        <v>0</v>
      </c>
      <c r="CS103" s="1989" t="e">
        <f>#REF!/10^7</f>
        <v>#REF!</v>
      </c>
      <c r="CT103" s="2003">
        <f t="shared" si="157"/>
        <v>0</v>
      </c>
      <c r="CU103" s="1989" t="e">
        <f>#REF!/10^7</f>
        <v>#REF!</v>
      </c>
      <c r="CV103" s="2003">
        <f t="shared" si="158"/>
        <v>0</v>
      </c>
      <c r="CW103" s="1989" t="e">
        <f>#REF!/10^7</f>
        <v>#REF!</v>
      </c>
      <c r="CX103" s="1989" t="e">
        <f>#REF!/10^7</f>
        <v>#REF!</v>
      </c>
      <c r="CY103" s="2002" t="e">
        <f t="shared" si="159"/>
        <v>#REF!</v>
      </c>
      <c r="CZ103" s="1999" t="e">
        <f t="shared" si="227"/>
        <v>#REF!</v>
      </c>
      <c r="DA103" s="1993" t="e">
        <f>#REF!</f>
        <v>#REF!</v>
      </c>
      <c r="DB103" s="2003">
        <f t="shared" si="160"/>
        <v>0</v>
      </c>
      <c r="DC103" s="1989" t="e">
        <f>#REF!/10^7</f>
        <v>#REF!</v>
      </c>
      <c r="DD103" s="2003">
        <f t="shared" si="161"/>
        <v>0</v>
      </c>
      <c r="DE103" s="1989" t="e">
        <f>#REF!/10^7</f>
        <v>#REF!</v>
      </c>
      <c r="DF103" s="2003">
        <f t="shared" si="162"/>
        <v>0</v>
      </c>
      <c r="DG103" s="1989" t="e">
        <f>#REF!/10^7</f>
        <v>#REF!</v>
      </c>
      <c r="DH103" s="1989" t="e">
        <f>#REF!/10^7</f>
        <v>#REF!</v>
      </c>
      <c r="DI103" s="2002" t="e">
        <f t="shared" si="163"/>
        <v>#REF!</v>
      </c>
      <c r="DJ103" s="1999" t="e">
        <f t="shared" si="228"/>
        <v>#REF!</v>
      </c>
      <c r="DK103" s="1993" t="e">
        <f>#REF!</f>
        <v>#REF!</v>
      </c>
      <c r="DL103" s="2003">
        <f t="shared" si="164"/>
        <v>0</v>
      </c>
      <c r="DM103" s="1989" t="e">
        <f>#REF!/10^7</f>
        <v>#REF!</v>
      </c>
      <c r="DN103" s="2003">
        <f t="shared" si="165"/>
        <v>0</v>
      </c>
      <c r="DO103" s="1989" t="e">
        <f>#REF!/10^7</f>
        <v>#REF!</v>
      </c>
      <c r="DP103" s="2003">
        <f t="shared" si="166"/>
        <v>0</v>
      </c>
      <c r="DQ103" s="1989" t="e">
        <f>#REF!/10^7</f>
        <v>#REF!</v>
      </c>
      <c r="DR103" s="1989" t="e">
        <f>#REF!/10^7</f>
        <v>#REF!</v>
      </c>
      <c r="DS103" s="2002" t="e">
        <f t="shared" si="167"/>
        <v>#REF!</v>
      </c>
      <c r="DT103" s="2004" t="e">
        <f t="shared" si="229"/>
        <v>#REF!</v>
      </c>
      <c r="DU103" s="1988" t="e">
        <f>#REF!</f>
        <v>#REF!</v>
      </c>
      <c r="DV103" s="2003">
        <f t="shared" si="168"/>
        <v>0</v>
      </c>
      <c r="DW103" s="1989" t="e">
        <f>#REF!/10^7</f>
        <v>#REF!</v>
      </c>
      <c r="DX103" s="2003">
        <f t="shared" si="169"/>
        <v>0</v>
      </c>
      <c r="DY103" s="1989" t="e">
        <f>#REF!/10^7</f>
        <v>#REF!</v>
      </c>
      <c r="DZ103" s="2003">
        <f t="shared" si="170"/>
        <v>0</v>
      </c>
      <c r="EA103" s="1989" t="e">
        <f>#REF!/10^7</f>
        <v>#REF!</v>
      </c>
      <c r="EB103" s="1989" t="e">
        <f>#REF!/10^7</f>
        <v>#REF!</v>
      </c>
      <c r="EC103" s="2002" t="e">
        <f t="shared" si="171"/>
        <v>#REF!</v>
      </c>
      <c r="ED103" s="1998" t="e">
        <f t="shared" si="230"/>
        <v>#REF!</v>
      </c>
      <c r="EE103" s="2005" t="e">
        <f t="shared" si="234"/>
        <v>#REF!</v>
      </c>
      <c r="EF103" s="2003">
        <f t="shared" si="172"/>
        <v>0</v>
      </c>
      <c r="EG103" s="1989" t="e">
        <f t="shared" si="231"/>
        <v>#REF!</v>
      </c>
      <c r="EH103" s="2003">
        <f t="shared" si="173"/>
        <v>0</v>
      </c>
      <c r="EI103" s="1989" t="e">
        <f t="shared" si="232"/>
        <v>#REF!</v>
      </c>
      <c r="EJ103" s="2003">
        <f t="shared" si="174"/>
        <v>0</v>
      </c>
      <c r="EK103" s="1989" t="e">
        <f t="shared" si="233"/>
        <v>#REF!</v>
      </c>
      <c r="EL103" s="1989" t="e">
        <f t="shared" si="233"/>
        <v>#REF!</v>
      </c>
      <c r="EM103" s="2006" t="e">
        <f t="shared" si="175"/>
        <v>#REF!</v>
      </c>
      <c r="EN103" s="1999" t="e">
        <f t="shared" si="235"/>
        <v>#REF!</v>
      </c>
      <c r="EP103" s="1613" t="e">
        <f>EA103-#REF!/10^7</f>
        <v>#REF!</v>
      </c>
      <c r="EW103" s="1611" t="s">
        <v>1717</v>
      </c>
      <c r="EX103" s="1612" t="s">
        <v>1717</v>
      </c>
      <c r="EZ103" s="1650">
        <f t="shared" si="176"/>
        <v>0</v>
      </c>
    </row>
    <row r="104" spans="1:156" ht="21" customHeight="1">
      <c r="A104" s="1652">
        <v>9</v>
      </c>
      <c r="B104" s="1644" t="s">
        <v>1731</v>
      </c>
      <c r="C104" s="1645">
        <v>231</v>
      </c>
      <c r="D104" s="1646">
        <f t="shared" si="218"/>
        <v>20.346320346320347</v>
      </c>
      <c r="E104" s="1646">
        <v>93.159000000000006</v>
      </c>
      <c r="F104" s="1665">
        <v>1.2</v>
      </c>
      <c r="G104" s="1640"/>
      <c r="H104" s="1646">
        <v>47</v>
      </c>
      <c r="I104" s="1648" t="s">
        <v>1717</v>
      </c>
      <c r="J104" s="1649">
        <v>1</v>
      </c>
      <c r="K104" s="1648"/>
      <c r="L104" s="1640"/>
      <c r="M104" s="1640"/>
      <c r="N104" s="1642"/>
      <c r="O104" s="2000" t="e">
        <f>#REF!</f>
        <v>#REF!</v>
      </c>
      <c r="P104" s="2003">
        <f t="shared" si="124"/>
        <v>0</v>
      </c>
      <c r="Q104" s="1989" t="e">
        <f>#REF!/10^7</f>
        <v>#REF!</v>
      </c>
      <c r="R104" s="2003">
        <f t="shared" si="125"/>
        <v>0</v>
      </c>
      <c r="S104" s="1989" t="e">
        <f>#REF!/10^7</f>
        <v>#REF!</v>
      </c>
      <c r="T104" s="2003">
        <f t="shared" si="126"/>
        <v>0</v>
      </c>
      <c r="U104" s="1989" t="e">
        <f>#REF!/10^7</f>
        <v>#REF!</v>
      </c>
      <c r="V104" s="1989" t="e">
        <f>#REF!/10^7</f>
        <v>#REF!</v>
      </c>
      <c r="W104" s="1989">
        <f t="shared" si="127"/>
        <v>0</v>
      </c>
      <c r="X104" s="1999" t="e">
        <f t="shared" si="219"/>
        <v>#REF!</v>
      </c>
      <c r="Y104" s="1993" t="e">
        <f>#REF!</f>
        <v>#REF!</v>
      </c>
      <c r="Z104" s="2003">
        <f t="shared" si="128"/>
        <v>0</v>
      </c>
      <c r="AA104" s="1989" t="e">
        <f>#REF!/10^7</f>
        <v>#REF!</v>
      </c>
      <c r="AB104" s="2003">
        <f t="shared" si="129"/>
        <v>0</v>
      </c>
      <c r="AC104" s="1989" t="e">
        <f>#REF!/10^7</f>
        <v>#REF!</v>
      </c>
      <c r="AD104" s="2003">
        <f t="shared" si="130"/>
        <v>0</v>
      </c>
      <c r="AE104" s="1989" t="e">
        <f>#REF!/10^7</f>
        <v>#REF!</v>
      </c>
      <c r="AF104" s="1989" t="e">
        <f>#REF!/10^7</f>
        <v>#REF!</v>
      </c>
      <c r="AG104" s="2002" t="e">
        <f t="shared" si="131"/>
        <v>#REF!</v>
      </c>
      <c r="AH104" s="1999" t="e">
        <f t="shared" si="220"/>
        <v>#REF!</v>
      </c>
      <c r="AI104" s="1993" t="e">
        <f>#REF!</f>
        <v>#REF!</v>
      </c>
      <c r="AJ104" s="2003">
        <f t="shared" si="132"/>
        <v>0</v>
      </c>
      <c r="AK104" s="1989" t="e">
        <f>#REF!/10^7</f>
        <v>#REF!</v>
      </c>
      <c r="AL104" s="2003">
        <f t="shared" si="133"/>
        <v>0</v>
      </c>
      <c r="AM104" s="1989" t="e">
        <f>#REF!/10^7</f>
        <v>#REF!</v>
      </c>
      <c r="AN104" s="2003">
        <f t="shared" si="134"/>
        <v>0</v>
      </c>
      <c r="AO104" s="1989" t="e">
        <f>#REF!/10^7</f>
        <v>#REF!</v>
      </c>
      <c r="AP104" s="1989" t="e">
        <f>#REF!/10^7</f>
        <v>#REF!</v>
      </c>
      <c r="AQ104" s="2002" t="e">
        <f t="shared" si="135"/>
        <v>#REF!</v>
      </c>
      <c r="AR104" s="1999" t="e">
        <f t="shared" si="221"/>
        <v>#REF!</v>
      </c>
      <c r="AS104" s="1993" t="e">
        <f>#REF!</f>
        <v>#REF!</v>
      </c>
      <c r="AT104" s="2003">
        <f t="shared" si="136"/>
        <v>0</v>
      </c>
      <c r="AU104" s="1989" t="e">
        <f>#REF!/10^7</f>
        <v>#REF!</v>
      </c>
      <c r="AV104" s="2003">
        <f t="shared" si="137"/>
        <v>0</v>
      </c>
      <c r="AW104" s="1989" t="e">
        <f>#REF!/10^7</f>
        <v>#REF!</v>
      </c>
      <c r="AX104" s="2003">
        <f t="shared" si="138"/>
        <v>0</v>
      </c>
      <c r="AY104" s="1989" t="e">
        <f>#REF!/10^7</f>
        <v>#REF!</v>
      </c>
      <c r="AZ104" s="1989" t="e">
        <f>#REF!/10^7</f>
        <v>#REF!</v>
      </c>
      <c r="BA104" s="2002" t="e">
        <f t="shared" si="139"/>
        <v>#REF!</v>
      </c>
      <c r="BB104" s="1999" t="e">
        <f t="shared" si="222"/>
        <v>#REF!</v>
      </c>
      <c r="BC104" s="1993" t="e">
        <f>#REF!</f>
        <v>#REF!</v>
      </c>
      <c r="BD104" s="2003">
        <f t="shared" si="140"/>
        <v>0</v>
      </c>
      <c r="BE104" s="1989" t="e">
        <f>#REF!/10^7</f>
        <v>#REF!</v>
      </c>
      <c r="BF104" s="2003">
        <f t="shared" si="141"/>
        <v>0</v>
      </c>
      <c r="BG104" s="1989" t="e">
        <f>#REF!/10^7</f>
        <v>#REF!</v>
      </c>
      <c r="BH104" s="2003">
        <f t="shared" si="142"/>
        <v>0</v>
      </c>
      <c r="BI104" s="1989" t="e">
        <f>#REF!/10^7</f>
        <v>#REF!</v>
      </c>
      <c r="BJ104" s="1989" t="e">
        <f>#REF!/10^7</f>
        <v>#REF!</v>
      </c>
      <c r="BK104" s="2002" t="e">
        <f t="shared" si="143"/>
        <v>#REF!</v>
      </c>
      <c r="BL104" s="1999" t="e">
        <f t="shared" si="223"/>
        <v>#REF!</v>
      </c>
      <c r="BM104" s="1993" t="e">
        <f>#REF!</f>
        <v>#REF!</v>
      </c>
      <c r="BN104" s="2003">
        <f t="shared" si="144"/>
        <v>0</v>
      </c>
      <c r="BO104" s="1989" t="e">
        <f>#REF!/10^7</f>
        <v>#REF!</v>
      </c>
      <c r="BP104" s="2003">
        <f t="shared" si="145"/>
        <v>0</v>
      </c>
      <c r="BQ104" s="1989" t="e">
        <f>#REF!/10^7</f>
        <v>#REF!</v>
      </c>
      <c r="BR104" s="2003">
        <f t="shared" si="146"/>
        <v>0</v>
      </c>
      <c r="BS104" s="1989" t="e">
        <f>#REF!/10^7</f>
        <v>#REF!</v>
      </c>
      <c r="BT104" s="1989" t="e">
        <f>#REF!/10^7</f>
        <v>#REF!</v>
      </c>
      <c r="BU104" s="2002" t="e">
        <f t="shared" si="147"/>
        <v>#REF!</v>
      </c>
      <c r="BV104" s="1999" t="e">
        <f t="shared" si="224"/>
        <v>#REF!</v>
      </c>
      <c r="BW104" s="1993" t="e">
        <f>#REF!</f>
        <v>#REF!</v>
      </c>
      <c r="BX104" s="2003">
        <f t="shared" si="148"/>
        <v>0</v>
      </c>
      <c r="BY104" s="1989" t="e">
        <f>#REF!/10^7</f>
        <v>#REF!</v>
      </c>
      <c r="BZ104" s="2003">
        <f t="shared" si="149"/>
        <v>0</v>
      </c>
      <c r="CA104" s="1989" t="e">
        <f>#REF!/10^7</f>
        <v>#REF!</v>
      </c>
      <c r="CB104" s="2003">
        <f t="shared" si="150"/>
        <v>0</v>
      </c>
      <c r="CC104" s="1989" t="e">
        <f>#REF!/10^7</f>
        <v>#REF!</v>
      </c>
      <c r="CD104" s="1989" t="e">
        <f>#REF!/10^7</f>
        <v>#REF!</v>
      </c>
      <c r="CE104" s="2002" t="e">
        <f t="shared" si="151"/>
        <v>#REF!</v>
      </c>
      <c r="CF104" s="1999" t="e">
        <f t="shared" si="225"/>
        <v>#REF!</v>
      </c>
      <c r="CG104" s="1993" t="e">
        <f>#REF!</f>
        <v>#REF!</v>
      </c>
      <c r="CH104" s="2003">
        <f t="shared" si="152"/>
        <v>0</v>
      </c>
      <c r="CI104" s="1989" t="e">
        <f>#REF!/10^7</f>
        <v>#REF!</v>
      </c>
      <c r="CJ104" s="2003">
        <f t="shared" si="153"/>
        <v>0</v>
      </c>
      <c r="CK104" s="1989" t="e">
        <f>#REF!/10^7</f>
        <v>#REF!</v>
      </c>
      <c r="CL104" s="2003">
        <f t="shared" si="154"/>
        <v>0</v>
      </c>
      <c r="CM104" s="1989" t="e">
        <f>#REF!/10^7</f>
        <v>#REF!</v>
      </c>
      <c r="CN104" s="1989" t="e">
        <f>#REF!/10^7</f>
        <v>#REF!</v>
      </c>
      <c r="CO104" s="2002" t="e">
        <f t="shared" si="155"/>
        <v>#REF!</v>
      </c>
      <c r="CP104" s="1999" t="e">
        <f t="shared" si="226"/>
        <v>#REF!</v>
      </c>
      <c r="CQ104" s="1993" t="e">
        <f>#REF!</f>
        <v>#REF!</v>
      </c>
      <c r="CR104" s="2003">
        <f t="shared" si="156"/>
        <v>0</v>
      </c>
      <c r="CS104" s="1989" t="e">
        <f>#REF!/10^7</f>
        <v>#REF!</v>
      </c>
      <c r="CT104" s="2003">
        <f t="shared" si="157"/>
        <v>0</v>
      </c>
      <c r="CU104" s="1989" t="e">
        <f>#REF!/10^7</f>
        <v>#REF!</v>
      </c>
      <c r="CV104" s="2003">
        <f t="shared" si="158"/>
        <v>0</v>
      </c>
      <c r="CW104" s="1989" t="e">
        <f>#REF!/10^7</f>
        <v>#REF!</v>
      </c>
      <c r="CX104" s="1989" t="e">
        <f>#REF!/10^7</f>
        <v>#REF!</v>
      </c>
      <c r="CY104" s="2002" t="e">
        <f t="shared" si="159"/>
        <v>#REF!</v>
      </c>
      <c r="CZ104" s="1999" t="e">
        <f t="shared" si="227"/>
        <v>#REF!</v>
      </c>
      <c r="DA104" s="1993" t="e">
        <f>#REF!</f>
        <v>#REF!</v>
      </c>
      <c r="DB104" s="2003">
        <f t="shared" si="160"/>
        <v>0</v>
      </c>
      <c r="DC104" s="1989" t="e">
        <f>#REF!/10^7</f>
        <v>#REF!</v>
      </c>
      <c r="DD104" s="2003">
        <f t="shared" si="161"/>
        <v>0</v>
      </c>
      <c r="DE104" s="1989" t="e">
        <f>#REF!/10^7</f>
        <v>#REF!</v>
      </c>
      <c r="DF104" s="2003">
        <f t="shared" si="162"/>
        <v>0</v>
      </c>
      <c r="DG104" s="1989" t="e">
        <f>#REF!/10^7</f>
        <v>#REF!</v>
      </c>
      <c r="DH104" s="1989" t="e">
        <f>#REF!/10^7</f>
        <v>#REF!</v>
      </c>
      <c r="DI104" s="2002" t="e">
        <f t="shared" si="163"/>
        <v>#REF!</v>
      </c>
      <c r="DJ104" s="1999" t="e">
        <f t="shared" si="228"/>
        <v>#REF!</v>
      </c>
      <c r="DK104" s="1993" t="e">
        <f>#REF!</f>
        <v>#REF!</v>
      </c>
      <c r="DL104" s="2003">
        <f t="shared" si="164"/>
        <v>0</v>
      </c>
      <c r="DM104" s="1989" t="e">
        <f>#REF!/10^7</f>
        <v>#REF!</v>
      </c>
      <c r="DN104" s="2003">
        <f t="shared" si="165"/>
        <v>0</v>
      </c>
      <c r="DO104" s="1989" t="e">
        <f>#REF!/10^7</f>
        <v>#REF!</v>
      </c>
      <c r="DP104" s="2003">
        <f t="shared" si="166"/>
        <v>0</v>
      </c>
      <c r="DQ104" s="1989" t="e">
        <f>#REF!/10^7</f>
        <v>#REF!</v>
      </c>
      <c r="DR104" s="1989" t="e">
        <f>#REF!/10^7</f>
        <v>#REF!</v>
      </c>
      <c r="DS104" s="2002" t="e">
        <f t="shared" si="167"/>
        <v>#REF!</v>
      </c>
      <c r="DT104" s="2004" t="e">
        <f t="shared" si="229"/>
        <v>#REF!</v>
      </c>
      <c r="DU104" s="1988" t="e">
        <f>#REF!</f>
        <v>#REF!</v>
      </c>
      <c r="DV104" s="2003">
        <f t="shared" si="168"/>
        <v>0</v>
      </c>
      <c r="DW104" s="1989" t="e">
        <f>#REF!/10^7</f>
        <v>#REF!</v>
      </c>
      <c r="DX104" s="2003">
        <f t="shared" si="169"/>
        <v>0</v>
      </c>
      <c r="DY104" s="1989" t="e">
        <f>#REF!/10^7</f>
        <v>#REF!</v>
      </c>
      <c r="DZ104" s="2003">
        <f t="shared" si="170"/>
        <v>0</v>
      </c>
      <c r="EA104" s="1989" t="e">
        <f>#REF!/10^7</f>
        <v>#REF!</v>
      </c>
      <c r="EB104" s="1989" t="e">
        <f>#REF!/10^7</f>
        <v>#REF!</v>
      </c>
      <c r="EC104" s="2002" t="e">
        <f t="shared" si="171"/>
        <v>#REF!</v>
      </c>
      <c r="ED104" s="1998" t="e">
        <f t="shared" si="230"/>
        <v>#REF!</v>
      </c>
      <c r="EE104" s="2005" t="e">
        <f t="shared" si="234"/>
        <v>#REF!</v>
      </c>
      <c r="EF104" s="2003">
        <f t="shared" si="172"/>
        <v>0</v>
      </c>
      <c r="EG104" s="1989" t="e">
        <f t="shared" si="231"/>
        <v>#REF!</v>
      </c>
      <c r="EH104" s="2003">
        <f t="shared" si="173"/>
        <v>0</v>
      </c>
      <c r="EI104" s="1989" t="e">
        <f t="shared" si="232"/>
        <v>#REF!</v>
      </c>
      <c r="EJ104" s="2003">
        <f t="shared" si="174"/>
        <v>0</v>
      </c>
      <c r="EK104" s="1989" t="e">
        <f t="shared" si="233"/>
        <v>#REF!</v>
      </c>
      <c r="EL104" s="1989" t="e">
        <f t="shared" si="233"/>
        <v>#REF!</v>
      </c>
      <c r="EM104" s="2006" t="e">
        <f t="shared" si="175"/>
        <v>#REF!</v>
      </c>
      <c r="EN104" s="1999" t="e">
        <f t="shared" si="235"/>
        <v>#REF!</v>
      </c>
      <c r="EP104" s="1613" t="e">
        <f>EA104-#REF!/10^7</f>
        <v>#REF!</v>
      </c>
      <c r="EW104" s="1611" t="s">
        <v>1717</v>
      </c>
      <c r="EX104" s="1612" t="s">
        <v>1717</v>
      </c>
      <c r="EZ104" s="1650">
        <f t="shared" si="176"/>
        <v>0</v>
      </c>
    </row>
    <row r="105" spans="1:156" ht="21" customHeight="1">
      <c r="A105" s="1652">
        <v>10</v>
      </c>
      <c r="B105" s="1644" t="s">
        <v>1732</v>
      </c>
      <c r="C105" s="1645">
        <v>240</v>
      </c>
      <c r="D105" s="1646">
        <f t="shared" si="218"/>
        <v>26.25</v>
      </c>
      <c r="E105" s="1646">
        <v>97.91</v>
      </c>
      <c r="F105" s="1665">
        <v>1.2</v>
      </c>
      <c r="G105" s="1640"/>
      <c r="H105" s="1681">
        <v>63</v>
      </c>
      <c r="I105" s="1648" t="s">
        <v>1717</v>
      </c>
      <c r="J105" s="1649">
        <v>1</v>
      </c>
      <c r="K105" s="1648"/>
      <c r="L105" s="1640"/>
      <c r="M105" s="1640"/>
      <c r="N105" s="1642"/>
      <c r="O105" s="2000" t="e">
        <f>#REF!</f>
        <v>#REF!</v>
      </c>
      <c r="P105" s="2003">
        <f t="shared" si="124"/>
        <v>0</v>
      </c>
      <c r="Q105" s="1989" t="e">
        <f>#REF!/10^7</f>
        <v>#REF!</v>
      </c>
      <c r="R105" s="2003">
        <f t="shared" si="125"/>
        <v>0</v>
      </c>
      <c r="S105" s="1989" t="e">
        <f>#REF!/10^7</f>
        <v>#REF!</v>
      </c>
      <c r="T105" s="2003">
        <f t="shared" si="126"/>
        <v>0</v>
      </c>
      <c r="U105" s="1989" t="e">
        <f>#REF!/10^7</f>
        <v>#REF!</v>
      </c>
      <c r="V105" s="1989" t="e">
        <f>#REF!/10^7</f>
        <v>#REF!</v>
      </c>
      <c r="W105" s="1989">
        <f t="shared" si="127"/>
        <v>0</v>
      </c>
      <c r="X105" s="1999" t="e">
        <f t="shared" si="219"/>
        <v>#REF!</v>
      </c>
      <c r="Y105" s="1993" t="e">
        <f>#REF!</f>
        <v>#REF!</v>
      </c>
      <c r="Z105" s="2003">
        <f t="shared" si="128"/>
        <v>0</v>
      </c>
      <c r="AA105" s="1989" t="e">
        <f>#REF!/10^7</f>
        <v>#REF!</v>
      </c>
      <c r="AB105" s="2003">
        <f t="shared" si="129"/>
        <v>0</v>
      </c>
      <c r="AC105" s="1989" t="e">
        <f>#REF!/10^7</f>
        <v>#REF!</v>
      </c>
      <c r="AD105" s="2003">
        <f t="shared" si="130"/>
        <v>0</v>
      </c>
      <c r="AE105" s="1989" t="e">
        <f>#REF!/10^7</f>
        <v>#REF!</v>
      </c>
      <c r="AF105" s="1989" t="e">
        <f>#REF!/10^7</f>
        <v>#REF!</v>
      </c>
      <c r="AG105" s="2002" t="e">
        <f t="shared" si="131"/>
        <v>#REF!</v>
      </c>
      <c r="AH105" s="1999" t="e">
        <f t="shared" si="220"/>
        <v>#REF!</v>
      </c>
      <c r="AI105" s="1993" t="e">
        <f>#REF!</f>
        <v>#REF!</v>
      </c>
      <c r="AJ105" s="2003">
        <f t="shared" si="132"/>
        <v>0</v>
      </c>
      <c r="AK105" s="1989" t="e">
        <f>#REF!/10^7</f>
        <v>#REF!</v>
      </c>
      <c r="AL105" s="2003">
        <f t="shared" si="133"/>
        <v>0</v>
      </c>
      <c r="AM105" s="1989" t="e">
        <f>#REF!/10^7</f>
        <v>#REF!</v>
      </c>
      <c r="AN105" s="2003">
        <f t="shared" si="134"/>
        <v>0</v>
      </c>
      <c r="AO105" s="1989" t="e">
        <f>#REF!/10^7</f>
        <v>#REF!</v>
      </c>
      <c r="AP105" s="1989" t="e">
        <f>#REF!/10^7</f>
        <v>#REF!</v>
      </c>
      <c r="AQ105" s="2002" t="e">
        <f t="shared" si="135"/>
        <v>#REF!</v>
      </c>
      <c r="AR105" s="1999" t="e">
        <f t="shared" si="221"/>
        <v>#REF!</v>
      </c>
      <c r="AS105" s="1993" t="e">
        <f>#REF!</f>
        <v>#REF!</v>
      </c>
      <c r="AT105" s="2003">
        <f t="shared" si="136"/>
        <v>0</v>
      </c>
      <c r="AU105" s="1989" t="e">
        <f>#REF!/10^7</f>
        <v>#REF!</v>
      </c>
      <c r="AV105" s="2003">
        <f t="shared" si="137"/>
        <v>0</v>
      </c>
      <c r="AW105" s="1989" t="e">
        <f>#REF!/10^7</f>
        <v>#REF!</v>
      </c>
      <c r="AX105" s="2003">
        <f t="shared" si="138"/>
        <v>0</v>
      </c>
      <c r="AY105" s="1989" t="e">
        <f>#REF!/10^7</f>
        <v>#REF!</v>
      </c>
      <c r="AZ105" s="1989" t="e">
        <f>#REF!/10^7</f>
        <v>#REF!</v>
      </c>
      <c r="BA105" s="2002" t="e">
        <f t="shared" si="139"/>
        <v>#REF!</v>
      </c>
      <c r="BB105" s="1999" t="e">
        <f t="shared" si="222"/>
        <v>#REF!</v>
      </c>
      <c r="BC105" s="1993" t="e">
        <f>#REF!</f>
        <v>#REF!</v>
      </c>
      <c r="BD105" s="2003">
        <f t="shared" si="140"/>
        <v>0</v>
      </c>
      <c r="BE105" s="1989" t="e">
        <f>#REF!/10^7</f>
        <v>#REF!</v>
      </c>
      <c r="BF105" s="2003">
        <f t="shared" si="141"/>
        <v>0</v>
      </c>
      <c r="BG105" s="1989" t="e">
        <f>#REF!/10^7</f>
        <v>#REF!</v>
      </c>
      <c r="BH105" s="2003">
        <f t="shared" si="142"/>
        <v>0</v>
      </c>
      <c r="BI105" s="1989" t="e">
        <f>#REF!/10^7</f>
        <v>#REF!</v>
      </c>
      <c r="BJ105" s="1989" t="e">
        <f>#REF!/10^7</f>
        <v>#REF!</v>
      </c>
      <c r="BK105" s="2002" t="e">
        <f t="shared" si="143"/>
        <v>#REF!</v>
      </c>
      <c r="BL105" s="1999" t="e">
        <f t="shared" si="223"/>
        <v>#REF!</v>
      </c>
      <c r="BM105" s="1993" t="e">
        <f>#REF!</f>
        <v>#REF!</v>
      </c>
      <c r="BN105" s="2003">
        <f t="shared" si="144"/>
        <v>0</v>
      </c>
      <c r="BO105" s="1989" t="e">
        <f>#REF!/10^7</f>
        <v>#REF!</v>
      </c>
      <c r="BP105" s="2003">
        <f t="shared" si="145"/>
        <v>0</v>
      </c>
      <c r="BQ105" s="1989" t="e">
        <f>#REF!/10^7</f>
        <v>#REF!</v>
      </c>
      <c r="BR105" s="2003">
        <f t="shared" si="146"/>
        <v>0</v>
      </c>
      <c r="BS105" s="1989" t="e">
        <f>#REF!/10^7</f>
        <v>#REF!</v>
      </c>
      <c r="BT105" s="1989" t="e">
        <f>#REF!/10^7</f>
        <v>#REF!</v>
      </c>
      <c r="BU105" s="2002" t="e">
        <f t="shared" si="147"/>
        <v>#REF!</v>
      </c>
      <c r="BV105" s="1999" t="e">
        <f t="shared" si="224"/>
        <v>#REF!</v>
      </c>
      <c r="BW105" s="1993" t="e">
        <f>#REF!</f>
        <v>#REF!</v>
      </c>
      <c r="BX105" s="2003">
        <f t="shared" si="148"/>
        <v>0</v>
      </c>
      <c r="BY105" s="1989" t="e">
        <f>#REF!/10^7</f>
        <v>#REF!</v>
      </c>
      <c r="BZ105" s="2003">
        <f t="shared" si="149"/>
        <v>0</v>
      </c>
      <c r="CA105" s="1989" t="e">
        <f>#REF!/10^7</f>
        <v>#REF!</v>
      </c>
      <c r="CB105" s="2003">
        <f t="shared" si="150"/>
        <v>0</v>
      </c>
      <c r="CC105" s="1989" t="e">
        <f>#REF!/10^7</f>
        <v>#REF!</v>
      </c>
      <c r="CD105" s="1989" t="e">
        <f>#REF!/10^7</f>
        <v>#REF!</v>
      </c>
      <c r="CE105" s="2002" t="e">
        <f t="shared" si="151"/>
        <v>#REF!</v>
      </c>
      <c r="CF105" s="1999" t="e">
        <f t="shared" si="225"/>
        <v>#REF!</v>
      </c>
      <c r="CG105" s="1993" t="e">
        <f>#REF!</f>
        <v>#REF!</v>
      </c>
      <c r="CH105" s="2003">
        <f t="shared" si="152"/>
        <v>0</v>
      </c>
      <c r="CI105" s="1989" t="e">
        <f>#REF!/10^7</f>
        <v>#REF!</v>
      </c>
      <c r="CJ105" s="2003">
        <f t="shared" si="153"/>
        <v>0</v>
      </c>
      <c r="CK105" s="1989" t="e">
        <f>#REF!/10^7</f>
        <v>#REF!</v>
      </c>
      <c r="CL105" s="2003">
        <f t="shared" si="154"/>
        <v>0</v>
      </c>
      <c r="CM105" s="1989" t="e">
        <f>#REF!/10^7</f>
        <v>#REF!</v>
      </c>
      <c r="CN105" s="1989" t="e">
        <f>#REF!/10^7</f>
        <v>#REF!</v>
      </c>
      <c r="CO105" s="2002" t="e">
        <f t="shared" si="155"/>
        <v>#REF!</v>
      </c>
      <c r="CP105" s="1999" t="e">
        <f t="shared" si="226"/>
        <v>#REF!</v>
      </c>
      <c r="CQ105" s="1993" t="e">
        <f>#REF!</f>
        <v>#REF!</v>
      </c>
      <c r="CR105" s="2003">
        <f t="shared" si="156"/>
        <v>0</v>
      </c>
      <c r="CS105" s="1989" t="e">
        <f>#REF!/10^7</f>
        <v>#REF!</v>
      </c>
      <c r="CT105" s="2003">
        <f t="shared" si="157"/>
        <v>0</v>
      </c>
      <c r="CU105" s="1989" t="e">
        <f>#REF!/10^7</f>
        <v>#REF!</v>
      </c>
      <c r="CV105" s="2003">
        <f t="shared" si="158"/>
        <v>0</v>
      </c>
      <c r="CW105" s="1989" t="e">
        <f>#REF!/10^7</f>
        <v>#REF!</v>
      </c>
      <c r="CX105" s="1989" t="e">
        <f>#REF!/10^7</f>
        <v>#REF!</v>
      </c>
      <c r="CY105" s="2002" t="e">
        <f t="shared" si="159"/>
        <v>#REF!</v>
      </c>
      <c r="CZ105" s="1999" t="e">
        <f t="shared" si="227"/>
        <v>#REF!</v>
      </c>
      <c r="DA105" s="1993" t="e">
        <f>#REF!</f>
        <v>#REF!</v>
      </c>
      <c r="DB105" s="2003">
        <f t="shared" si="160"/>
        <v>0</v>
      </c>
      <c r="DC105" s="1989" t="e">
        <f>#REF!/10^7</f>
        <v>#REF!</v>
      </c>
      <c r="DD105" s="2003">
        <f t="shared" si="161"/>
        <v>0</v>
      </c>
      <c r="DE105" s="1989" t="e">
        <f>#REF!/10^7</f>
        <v>#REF!</v>
      </c>
      <c r="DF105" s="2003">
        <f t="shared" si="162"/>
        <v>0</v>
      </c>
      <c r="DG105" s="1989" t="e">
        <f>#REF!/10^7</f>
        <v>#REF!</v>
      </c>
      <c r="DH105" s="1989" t="e">
        <f>#REF!/10^7</f>
        <v>#REF!</v>
      </c>
      <c r="DI105" s="2002" t="e">
        <f t="shared" si="163"/>
        <v>#REF!</v>
      </c>
      <c r="DJ105" s="1999" t="e">
        <f t="shared" si="228"/>
        <v>#REF!</v>
      </c>
      <c r="DK105" s="1993" t="e">
        <f>#REF!</f>
        <v>#REF!</v>
      </c>
      <c r="DL105" s="2003">
        <f t="shared" si="164"/>
        <v>0</v>
      </c>
      <c r="DM105" s="1989" t="e">
        <f>#REF!/10^7</f>
        <v>#REF!</v>
      </c>
      <c r="DN105" s="2003">
        <f t="shared" si="165"/>
        <v>0</v>
      </c>
      <c r="DO105" s="1989" t="e">
        <f>#REF!/10^7</f>
        <v>#REF!</v>
      </c>
      <c r="DP105" s="2003">
        <f t="shared" si="166"/>
        <v>0</v>
      </c>
      <c r="DQ105" s="1989" t="e">
        <f>#REF!/10^7</f>
        <v>#REF!</v>
      </c>
      <c r="DR105" s="1989" t="e">
        <f>#REF!/10^7</f>
        <v>#REF!</v>
      </c>
      <c r="DS105" s="2002" t="e">
        <f t="shared" si="167"/>
        <v>#REF!</v>
      </c>
      <c r="DT105" s="2004" t="e">
        <f t="shared" si="229"/>
        <v>#REF!</v>
      </c>
      <c r="DU105" s="1988" t="e">
        <f>#REF!</f>
        <v>#REF!</v>
      </c>
      <c r="DV105" s="2003">
        <f t="shared" si="168"/>
        <v>0</v>
      </c>
      <c r="DW105" s="1989" t="e">
        <f>#REF!/10^7</f>
        <v>#REF!</v>
      </c>
      <c r="DX105" s="2003">
        <f t="shared" si="169"/>
        <v>0</v>
      </c>
      <c r="DY105" s="1989" t="e">
        <f>#REF!/10^7</f>
        <v>#REF!</v>
      </c>
      <c r="DZ105" s="2003">
        <f t="shared" si="170"/>
        <v>0</v>
      </c>
      <c r="EA105" s="1989" t="e">
        <f>#REF!/10^7</f>
        <v>#REF!</v>
      </c>
      <c r="EB105" s="1989" t="e">
        <f>#REF!/10^7</f>
        <v>#REF!</v>
      </c>
      <c r="EC105" s="2002" t="e">
        <f t="shared" si="171"/>
        <v>#REF!</v>
      </c>
      <c r="ED105" s="1998" t="e">
        <f t="shared" si="230"/>
        <v>#REF!</v>
      </c>
      <c r="EE105" s="2005" t="e">
        <f t="shared" si="234"/>
        <v>#REF!</v>
      </c>
      <c r="EF105" s="2003">
        <f t="shared" si="172"/>
        <v>0</v>
      </c>
      <c r="EG105" s="1989" t="e">
        <f t="shared" si="231"/>
        <v>#REF!</v>
      </c>
      <c r="EH105" s="2003">
        <f t="shared" si="173"/>
        <v>0</v>
      </c>
      <c r="EI105" s="1989" t="e">
        <f t="shared" si="232"/>
        <v>#REF!</v>
      </c>
      <c r="EJ105" s="2003">
        <f t="shared" si="174"/>
        <v>0</v>
      </c>
      <c r="EK105" s="1989" t="e">
        <f t="shared" si="233"/>
        <v>#REF!</v>
      </c>
      <c r="EL105" s="1989" t="e">
        <f t="shared" si="233"/>
        <v>#REF!</v>
      </c>
      <c r="EM105" s="2006" t="e">
        <f t="shared" si="175"/>
        <v>#REF!</v>
      </c>
      <c r="EN105" s="1999" t="e">
        <f t="shared" si="235"/>
        <v>#REF!</v>
      </c>
      <c r="EP105" s="1613" t="e">
        <f>EA105-#REF!/10^7</f>
        <v>#REF!</v>
      </c>
      <c r="EW105" s="1611" t="s">
        <v>1717</v>
      </c>
      <c r="EX105" s="1612" t="s">
        <v>1717</v>
      </c>
      <c r="EZ105" s="1650">
        <f t="shared" si="176"/>
        <v>0</v>
      </c>
    </row>
    <row r="106" spans="1:156" ht="21" customHeight="1">
      <c r="A106" s="1652">
        <v>11</v>
      </c>
      <c r="B106" s="1644" t="s">
        <v>1733</v>
      </c>
      <c r="C106" s="1645">
        <v>520</v>
      </c>
      <c r="D106" s="1646">
        <f t="shared" si="218"/>
        <v>26.153846153846157</v>
      </c>
      <c r="E106" s="1646">
        <v>43</v>
      </c>
      <c r="F106" s="1665">
        <v>1.2</v>
      </c>
      <c r="G106" s="1640"/>
      <c r="H106" s="1681">
        <v>136</v>
      </c>
      <c r="I106" s="1648" t="s">
        <v>1717</v>
      </c>
      <c r="J106" s="1649">
        <v>1</v>
      </c>
      <c r="K106" s="1648"/>
      <c r="L106" s="1640"/>
      <c r="M106" s="1640"/>
      <c r="N106" s="1642"/>
      <c r="O106" s="2000" t="e">
        <f>#REF!</f>
        <v>#REF!</v>
      </c>
      <c r="P106" s="2003">
        <f t="shared" si="124"/>
        <v>0</v>
      </c>
      <c r="Q106" s="1989" t="e">
        <f>#REF!/10^7</f>
        <v>#REF!</v>
      </c>
      <c r="R106" s="2003">
        <f t="shared" si="125"/>
        <v>0</v>
      </c>
      <c r="S106" s="1989" t="e">
        <f>#REF!/10^7</f>
        <v>#REF!</v>
      </c>
      <c r="T106" s="2003">
        <f t="shared" si="126"/>
        <v>0</v>
      </c>
      <c r="U106" s="1989" t="e">
        <f>#REF!/10^7</f>
        <v>#REF!</v>
      </c>
      <c r="V106" s="1989" t="e">
        <f>#REF!/10^7</f>
        <v>#REF!</v>
      </c>
      <c r="W106" s="1989">
        <f t="shared" si="127"/>
        <v>0</v>
      </c>
      <c r="X106" s="1999" t="e">
        <f t="shared" si="219"/>
        <v>#REF!</v>
      </c>
      <c r="Y106" s="1993" t="e">
        <f>#REF!</f>
        <v>#REF!</v>
      </c>
      <c r="Z106" s="2003">
        <f t="shared" si="128"/>
        <v>0</v>
      </c>
      <c r="AA106" s="1989" t="e">
        <f>#REF!/10^7</f>
        <v>#REF!</v>
      </c>
      <c r="AB106" s="2003">
        <f t="shared" si="129"/>
        <v>0</v>
      </c>
      <c r="AC106" s="1989" t="e">
        <f>#REF!/10^7</f>
        <v>#REF!</v>
      </c>
      <c r="AD106" s="2003">
        <f t="shared" si="130"/>
        <v>0</v>
      </c>
      <c r="AE106" s="1989" t="e">
        <f>#REF!/10^7</f>
        <v>#REF!</v>
      </c>
      <c r="AF106" s="1989" t="e">
        <f>#REF!/10^7</f>
        <v>#REF!</v>
      </c>
      <c r="AG106" s="2002" t="e">
        <f t="shared" si="131"/>
        <v>#REF!</v>
      </c>
      <c r="AH106" s="1999" t="e">
        <f t="shared" si="220"/>
        <v>#REF!</v>
      </c>
      <c r="AI106" s="1993" t="e">
        <f>#REF!</f>
        <v>#REF!</v>
      </c>
      <c r="AJ106" s="2003">
        <f t="shared" si="132"/>
        <v>0</v>
      </c>
      <c r="AK106" s="1989" t="e">
        <f>#REF!/10^7</f>
        <v>#REF!</v>
      </c>
      <c r="AL106" s="2003">
        <f t="shared" si="133"/>
        <v>0</v>
      </c>
      <c r="AM106" s="1989" t="e">
        <f>#REF!/10^7</f>
        <v>#REF!</v>
      </c>
      <c r="AN106" s="2003">
        <f t="shared" si="134"/>
        <v>0</v>
      </c>
      <c r="AO106" s="1989" t="e">
        <f>#REF!/10^7</f>
        <v>#REF!</v>
      </c>
      <c r="AP106" s="1989" t="e">
        <f>#REF!/10^7</f>
        <v>#REF!</v>
      </c>
      <c r="AQ106" s="2002" t="e">
        <f t="shared" si="135"/>
        <v>#REF!</v>
      </c>
      <c r="AR106" s="1999" t="e">
        <f t="shared" si="221"/>
        <v>#REF!</v>
      </c>
      <c r="AS106" s="1993" t="e">
        <f>#REF!</f>
        <v>#REF!</v>
      </c>
      <c r="AT106" s="2003">
        <f t="shared" si="136"/>
        <v>0</v>
      </c>
      <c r="AU106" s="1989" t="e">
        <f>#REF!/10^7</f>
        <v>#REF!</v>
      </c>
      <c r="AV106" s="2003">
        <f t="shared" si="137"/>
        <v>0</v>
      </c>
      <c r="AW106" s="1989" t="e">
        <f>#REF!/10^7</f>
        <v>#REF!</v>
      </c>
      <c r="AX106" s="2003">
        <f t="shared" si="138"/>
        <v>0</v>
      </c>
      <c r="AY106" s="1989" t="e">
        <f>#REF!/10^7</f>
        <v>#REF!</v>
      </c>
      <c r="AZ106" s="1989" t="e">
        <f>#REF!/10^7</f>
        <v>#REF!</v>
      </c>
      <c r="BA106" s="2002" t="e">
        <f t="shared" si="139"/>
        <v>#REF!</v>
      </c>
      <c r="BB106" s="1999" t="e">
        <f t="shared" si="222"/>
        <v>#REF!</v>
      </c>
      <c r="BC106" s="1993" t="e">
        <f>#REF!</f>
        <v>#REF!</v>
      </c>
      <c r="BD106" s="2003">
        <f t="shared" si="140"/>
        <v>0</v>
      </c>
      <c r="BE106" s="1989" t="e">
        <f>#REF!/10^7</f>
        <v>#REF!</v>
      </c>
      <c r="BF106" s="2003">
        <f t="shared" si="141"/>
        <v>0</v>
      </c>
      <c r="BG106" s="1989" t="e">
        <f>#REF!/10^7</f>
        <v>#REF!</v>
      </c>
      <c r="BH106" s="2003">
        <f t="shared" si="142"/>
        <v>0</v>
      </c>
      <c r="BI106" s="1989" t="e">
        <f>#REF!/10^7</f>
        <v>#REF!</v>
      </c>
      <c r="BJ106" s="1989" t="e">
        <f>#REF!/10^7</f>
        <v>#REF!</v>
      </c>
      <c r="BK106" s="2002" t="e">
        <f t="shared" si="143"/>
        <v>#REF!</v>
      </c>
      <c r="BL106" s="1999" t="e">
        <f t="shared" si="223"/>
        <v>#REF!</v>
      </c>
      <c r="BM106" s="1993" t="e">
        <f>#REF!</f>
        <v>#REF!</v>
      </c>
      <c r="BN106" s="2003">
        <f t="shared" si="144"/>
        <v>0</v>
      </c>
      <c r="BO106" s="1989" t="e">
        <f>#REF!/10^7</f>
        <v>#REF!</v>
      </c>
      <c r="BP106" s="2003">
        <f t="shared" si="145"/>
        <v>0</v>
      </c>
      <c r="BQ106" s="1989" t="e">
        <f>#REF!/10^7</f>
        <v>#REF!</v>
      </c>
      <c r="BR106" s="2003">
        <f t="shared" si="146"/>
        <v>0</v>
      </c>
      <c r="BS106" s="1989" t="e">
        <f>#REF!/10^7</f>
        <v>#REF!</v>
      </c>
      <c r="BT106" s="1989" t="e">
        <f>#REF!/10^7</f>
        <v>#REF!</v>
      </c>
      <c r="BU106" s="2002" t="e">
        <f t="shared" si="147"/>
        <v>#REF!</v>
      </c>
      <c r="BV106" s="1999" t="e">
        <f t="shared" si="224"/>
        <v>#REF!</v>
      </c>
      <c r="BW106" s="1993" t="e">
        <f>#REF!</f>
        <v>#REF!</v>
      </c>
      <c r="BX106" s="2003">
        <f t="shared" si="148"/>
        <v>0</v>
      </c>
      <c r="BY106" s="1989" t="e">
        <f>#REF!/10^7</f>
        <v>#REF!</v>
      </c>
      <c r="BZ106" s="2003">
        <f t="shared" si="149"/>
        <v>0</v>
      </c>
      <c r="CA106" s="1989" t="e">
        <f>#REF!/10^7</f>
        <v>#REF!</v>
      </c>
      <c r="CB106" s="2003">
        <f t="shared" si="150"/>
        <v>0</v>
      </c>
      <c r="CC106" s="1989" t="e">
        <f>#REF!/10^7</f>
        <v>#REF!</v>
      </c>
      <c r="CD106" s="1989" t="e">
        <f>#REF!/10^7</f>
        <v>#REF!</v>
      </c>
      <c r="CE106" s="2002" t="e">
        <f t="shared" si="151"/>
        <v>#REF!</v>
      </c>
      <c r="CF106" s="1999" t="e">
        <f t="shared" si="225"/>
        <v>#REF!</v>
      </c>
      <c r="CG106" s="1993" t="e">
        <f>#REF!</f>
        <v>#REF!</v>
      </c>
      <c r="CH106" s="2003">
        <f t="shared" si="152"/>
        <v>0</v>
      </c>
      <c r="CI106" s="1989" t="e">
        <f>#REF!/10^7</f>
        <v>#REF!</v>
      </c>
      <c r="CJ106" s="2003">
        <f t="shared" si="153"/>
        <v>0</v>
      </c>
      <c r="CK106" s="1989" t="e">
        <f>#REF!/10^7</f>
        <v>#REF!</v>
      </c>
      <c r="CL106" s="2003">
        <f t="shared" si="154"/>
        <v>0</v>
      </c>
      <c r="CM106" s="1989" t="e">
        <f>#REF!/10^7</f>
        <v>#REF!</v>
      </c>
      <c r="CN106" s="1989" t="e">
        <f>#REF!/10^7</f>
        <v>#REF!</v>
      </c>
      <c r="CO106" s="2002" t="e">
        <f t="shared" si="155"/>
        <v>#REF!</v>
      </c>
      <c r="CP106" s="1999" t="e">
        <f t="shared" si="226"/>
        <v>#REF!</v>
      </c>
      <c r="CQ106" s="1993" t="e">
        <f>#REF!</f>
        <v>#REF!</v>
      </c>
      <c r="CR106" s="2003">
        <f t="shared" si="156"/>
        <v>0</v>
      </c>
      <c r="CS106" s="1989" t="e">
        <f>#REF!/10^7</f>
        <v>#REF!</v>
      </c>
      <c r="CT106" s="2003">
        <f t="shared" si="157"/>
        <v>0</v>
      </c>
      <c r="CU106" s="1989" t="e">
        <f>#REF!/10^7</f>
        <v>#REF!</v>
      </c>
      <c r="CV106" s="2003">
        <f t="shared" si="158"/>
        <v>0</v>
      </c>
      <c r="CW106" s="1989" t="e">
        <f>#REF!/10^7</f>
        <v>#REF!</v>
      </c>
      <c r="CX106" s="1989" t="e">
        <f>#REF!/10^7</f>
        <v>#REF!</v>
      </c>
      <c r="CY106" s="2002" t="e">
        <f t="shared" si="159"/>
        <v>#REF!</v>
      </c>
      <c r="CZ106" s="1999" t="e">
        <f t="shared" si="227"/>
        <v>#REF!</v>
      </c>
      <c r="DA106" s="1993" t="e">
        <f>#REF!</f>
        <v>#REF!</v>
      </c>
      <c r="DB106" s="2003">
        <f t="shared" si="160"/>
        <v>0</v>
      </c>
      <c r="DC106" s="1989" t="e">
        <f>#REF!/10^7</f>
        <v>#REF!</v>
      </c>
      <c r="DD106" s="2003">
        <f t="shared" si="161"/>
        <v>0</v>
      </c>
      <c r="DE106" s="1989" t="e">
        <f>#REF!/10^7</f>
        <v>#REF!</v>
      </c>
      <c r="DF106" s="2003">
        <f t="shared" si="162"/>
        <v>0</v>
      </c>
      <c r="DG106" s="1989" t="e">
        <f>#REF!/10^7</f>
        <v>#REF!</v>
      </c>
      <c r="DH106" s="1989" t="e">
        <f>#REF!/10^7</f>
        <v>#REF!</v>
      </c>
      <c r="DI106" s="2002" t="e">
        <f t="shared" si="163"/>
        <v>#REF!</v>
      </c>
      <c r="DJ106" s="1999" t="e">
        <f t="shared" si="228"/>
        <v>#REF!</v>
      </c>
      <c r="DK106" s="1993" t="e">
        <f>#REF!</f>
        <v>#REF!</v>
      </c>
      <c r="DL106" s="2003">
        <f t="shared" si="164"/>
        <v>0</v>
      </c>
      <c r="DM106" s="1989" t="e">
        <f>#REF!/10^7</f>
        <v>#REF!</v>
      </c>
      <c r="DN106" s="2003">
        <f t="shared" si="165"/>
        <v>0</v>
      </c>
      <c r="DO106" s="1989" t="e">
        <f>#REF!/10^7</f>
        <v>#REF!</v>
      </c>
      <c r="DP106" s="2003">
        <f t="shared" si="166"/>
        <v>0</v>
      </c>
      <c r="DQ106" s="1989" t="e">
        <f>#REF!/10^7</f>
        <v>#REF!</v>
      </c>
      <c r="DR106" s="1989" t="e">
        <f>#REF!/10^7</f>
        <v>#REF!</v>
      </c>
      <c r="DS106" s="2002" t="e">
        <f t="shared" si="167"/>
        <v>#REF!</v>
      </c>
      <c r="DT106" s="2004" t="e">
        <f t="shared" si="229"/>
        <v>#REF!</v>
      </c>
      <c r="DU106" s="1988" t="e">
        <f>#REF!</f>
        <v>#REF!</v>
      </c>
      <c r="DV106" s="2003">
        <f t="shared" si="168"/>
        <v>0</v>
      </c>
      <c r="DW106" s="1989" t="e">
        <f>#REF!/10^7</f>
        <v>#REF!</v>
      </c>
      <c r="DX106" s="2003">
        <f t="shared" si="169"/>
        <v>0</v>
      </c>
      <c r="DY106" s="1989" t="e">
        <f>#REF!/10^7</f>
        <v>#REF!</v>
      </c>
      <c r="DZ106" s="2003">
        <f t="shared" si="170"/>
        <v>0</v>
      </c>
      <c r="EA106" s="1989" t="e">
        <f>#REF!/10^7</f>
        <v>#REF!</v>
      </c>
      <c r="EB106" s="1989" t="e">
        <f>#REF!/10^7</f>
        <v>#REF!</v>
      </c>
      <c r="EC106" s="2002" t="e">
        <f t="shared" si="171"/>
        <v>#REF!</v>
      </c>
      <c r="ED106" s="1998" t="e">
        <f t="shared" si="230"/>
        <v>#REF!</v>
      </c>
      <c r="EE106" s="2005" t="e">
        <f t="shared" si="234"/>
        <v>#REF!</v>
      </c>
      <c r="EF106" s="2003">
        <f t="shared" si="172"/>
        <v>0</v>
      </c>
      <c r="EG106" s="1989" t="e">
        <f t="shared" si="231"/>
        <v>#REF!</v>
      </c>
      <c r="EH106" s="2003">
        <f t="shared" si="173"/>
        <v>0</v>
      </c>
      <c r="EI106" s="1989" t="e">
        <f t="shared" si="232"/>
        <v>#REF!</v>
      </c>
      <c r="EJ106" s="2003">
        <f t="shared" si="174"/>
        <v>0</v>
      </c>
      <c r="EK106" s="1989" t="e">
        <f t="shared" si="233"/>
        <v>#REF!</v>
      </c>
      <c r="EL106" s="1989" t="e">
        <f t="shared" si="233"/>
        <v>#REF!</v>
      </c>
      <c r="EM106" s="2006" t="e">
        <f t="shared" si="175"/>
        <v>#REF!</v>
      </c>
      <c r="EN106" s="1999" t="e">
        <f t="shared" si="235"/>
        <v>#REF!</v>
      </c>
      <c r="EP106" s="1613" t="e">
        <f>EA106-#REF!/10^7</f>
        <v>#REF!</v>
      </c>
      <c r="EW106" s="1611" t="s">
        <v>1717</v>
      </c>
      <c r="EX106" s="1612" t="s">
        <v>1717</v>
      </c>
      <c r="EZ106" s="1650">
        <f t="shared" si="176"/>
        <v>0</v>
      </c>
    </row>
    <row r="107" spans="1:156" ht="21" customHeight="1">
      <c r="A107" s="1652">
        <v>12</v>
      </c>
      <c r="B107" s="1644" t="s">
        <v>1734</v>
      </c>
      <c r="C107" s="1645">
        <v>330</v>
      </c>
      <c r="D107" s="1646">
        <f t="shared" si="218"/>
        <v>41.696969696969695</v>
      </c>
      <c r="E107" s="1646">
        <v>48.917000000000002</v>
      </c>
      <c r="F107" s="1665">
        <v>1.2</v>
      </c>
      <c r="G107" s="1640"/>
      <c r="H107" s="1646">
        <v>137.6</v>
      </c>
      <c r="I107" s="1648" t="s">
        <v>1717</v>
      </c>
      <c r="J107" s="1649">
        <v>1</v>
      </c>
      <c r="K107" s="1648"/>
      <c r="L107" s="1640"/>
      <c r="M107" s="1640"/>
      <c r="N107" s="1642"/>
      <c r="O107" s="2000" t="e">
        <f>#REF!</f>
        <v>#REF!</v>
      </c>
      <c r="P107" s="2003">
        <f t="shared" si="124"/>
        <v>0</v>
      </c>
      <c r="Q107" s="1989" t="e">
        <f>#REF!/10^7</f>
        <v>#REF!</v>
      </c>
      <c r="R107" s="2003">
        <f t="shared" si="125"/>
        <v>0</v>
      </c>
      <c r="S107" s="1989" t="e">
        <f>#REF!/10^7</f>
        <v>#REF!</v>
      </c>
      <c r="T107" s="2003">
        <f t="shared" si="126"/>
        <v>0</v>
      </c>
      <c r="U107" s="1989" t="e">
        <f>#REF!/10^7</f>
        <v>#REF!</v>
      </c>
      <c r="V107" s="1989" t="e">
        <f>#REF!/10^7</f>
        <v>#REF!</v>
      </c>
      <c r="W107" s="1989">
        <f t="shared" si="127"/>
        <v>0</v>
      </c>
      <c r="X107" s="1999" t="e">
        <f t="shared" si="219"/>
        <v>#REF!</v>
      </c>
      <c r="Y107" s="1993" t="e">
        <f>#REF!</f>
        <v>#REF!</v>
      </c>
      <c r="Z107" s="2003">
        <f t="shared" si="128"/>
        <v>0</v>
      </c>
      <c r="AA107" s="1989" t="e">
        <f>#REF!/10^7</f>
        <v>#REF!</v>
      </c>
      <c r="AB107" s="2003">
        <f t="shared" si="129"/>
        <v>0</v>
      </c>
      <c r="AC107" s="1989" t="e">
        <f>#REF!/10^7</f>
        <v>#REF!</v>
      </c>
      <c r="AD107" s="2003">
        <f t="shared" si="130"/>
        <v>0</v>
      </c>
      <c r="AE107" s="1989" t="e">
        <f>#REF!/10^7</f>
        <v>#REF!</v>
      </c>
      <c r="AF107" s="1989" t="e">
        <f>#REF!/10^7</f>
        <v>#REF!</v>
      </c>
      <c r="AG107" s="2002" t="e">
        <f t="shared" si="131"/>
        <v>#REF!</v>
      </c>
      <c r="AH107" s="1999" t="e">
        <f t="shared" si="220"/>
        <v>#REF!</v>
      </c>
      <c r="AI107" s="1993" t="e">
        <f>#REF!</f>
        <v>#REF!</v>
      </c>
      <c r="AJ107" s="2003">
        <f t="shared" si="132"/>
        <v>0</v>
      </c>
      <c r="AK107" s="1989" t="e">
        <f>#REF!/10^7</f>
        <v>#REF!</v>
      </c>
      <c r="AL107" s="2003">
        <f t="shared" si="133"/>
        <v>0</v>
      </c>
      <c r="AM107" s="1989" t="e">
        <f>#REF!/10^7</f>
        <v>#REF!</v>
      </c>
      <c r="AN107" s="2003">
        <f t="shared" si="134"/>
        <v>0</v>
      </c>
      <c r="AO107" s="1989" t="e">
        <f>#REF!/10^7</f>
        <v>#REF!</v>
      </c>
      <c r="AP107" s="1989" t="e">
        <f>#REF!/10^7</f>
        <v>#REF!</v>
      </c>
      <c r="AQ107" s="2002" t="e">
        <f t="shared" si="135"/>
        <v>#REF!</v>
      </c>
      <c r="AR107" s="1999" t="e">
        <f t="shared" si="221"/>
        <v>#REF!</v>
      </c>
      <c r="AS107" s="1993" t="e">
        <f>#REF!</f>
        <v>#REF!</v>
      </c>
      <c r="AT107" s="2003">
        <f t="shared" si="136"/>
        <v>0</v>
      </c>
      <c r="AU107" s="1989" t="e">
        <f>#REF!/10^7</f>
        <v>#REF!</v>
      </c>
      <c r="AV107" s="2003">
        <f t="shared" si="137"/>
        <v>0</v>
      </c>
      <c r="AW107" s="1989" t="e">
        <f>#REF!/10^7</f>
        <v>#REF!</v>
      </c>
      <c r="AX107" s="2003">
        <f t="shared" si="138"/>
        <v>0</v>
      </c>
      <c r="AY107" s="1989" t="e">
        <f>#REF!/10^7</f>
        <v>#REF!</v>
      </c>
      <c r="AZ107" s="1989" t="e">
        <f>#REF!/10^7</f>
        <v>#REF!</v>
      </c>
      <c r="BA107" s="2002" t="e">
        <f t="shared" si="139"/>
        <v>#REF!</v>
      </c>
      <c r="BB107" s="1999" t="e">
        <f t="shared" si="222"/>
        <v>#REF!</v>
      </c>
      <c r="BC107" s="1993" t="e">
        <f>#REF!</f>
        <v>#REF!</v>
      </c>
      <c r="BD107" s="2003">
        <f t="shared" si="140"/>
        <v>0</v>
      </c>
      <c r="BE107" s="1989" t="e">
        <f>#REF!/10^7</f>
        <v>#REF!</v>
      </c>
      <c r="BF107" s="2003">
        <f t="shared" si="141"/>
        <v>0</v>
      </c>
      <c r="BG107" s="1989" t="e">
        <f>#REF!/10^7</f>
        <v>#REF!</v>
      </c>
      <c r="BH107" s="2003">
        <f t="shared" si="142"/>
        <v>0</v>
      </c>
      <c r="BI107" s="1989" t="e">
        <f>#REF!/10^7</f>
        <v>#REF!</v>
      </c>
      <c r="BJ107" s="1989" t="e">
        <f>#REF!/10^7</f>
        <v>#REF!</v>
      </c>
      <c r="BK107" s="2002" t="e">
        <f t="shared" si="143"/>
        <v>#REF!</v>
      </c>
      <c r="BL107" s="1999" t="e">
        <f t="shared" si="223"/>
        <v>#REF!</v>
      </c>
      <c r="BM107" s="1993" t="e">
        <f>#REF!</f>
        <v>#REF!</v>
      </c>
      <c r="BN107" s="2003">
        <f t="shared" si="144"/>
        <v>0</v>
      </c>
      <c r="BO107" s="1989" t="e">
        <f>#REF!/10^7</f>
        <v>#REF!</v>
      </c>
      <c r="BP107" s="2003">
        <f t="shared" si="145"/>
        <v>0</v>
      </c>
      <c r="BQ107" s="1989" t="e">
        <f>#REF!/10^7</f>
        <v>#REF!</v>
      </c>
      <c r="BR107" s="2003">
        <f t="shared" si="146"/>
        <v>0</v>
      </c>
      <c r="BS107" s="1989" t="e">
        <f>#REF!/10^7</f>
        <v>#REF!</v>
      </c>
      <c r="BT107" s="1989" t="e">
        <f>#REF!/10^7</f>
        <v>#REF!</v>
      </c>
      <c r="BU107" s="2002" t="e">
        <f t="shared" si="147"/>
        <v>#REF!</v>
      </c>
      <c r="BV107" s="1999" t="e">
        <f t="shared" si="224"/>
        <v>#REF!</v>
      </c>
      <c r="BW107" s="1993" t="e">
        <f>#REF!</f>
        <v>#REF!</v>
      </c>
      <c r="BX107" s="2003">
        <f t="shared" si="148"/>
        <v>0</v>
      </c>
      <c r="BY107" s="1989" t="e">
        <f>#REF!/10^7</f>
        <v>#REF!</v>
      </c>
      <c r="BZ107" s="2003">
        <f t="shared" si="149"/>
        <v>0</v>
      </c>
      <c r="CA107" s="1989" t="e">
        <f>#REF!/10^7</f>
        <v>#REF!</v>
      </c>
      <c r="CB107" s="2003">
        <f t="shared" si="150"/>
        <v>0</v>
      </c>
      <c r="CC107" s="1989" t="e">
        <f>#REF!/10^7</f>
        <v>#REF!</v>
      </c>
      <c r="CD107" s="1989" t="e">
        <f>#REF!/10^7</f>
        <v>#REF!</v>
      </c>
      <c r="CE107" s="2002" t="e">
        <f t="shared" si="151"/>
        <v>#REF!</v>
      </c>
      <c r="CF107" s="1999" t="e">
        <f t="shared" si="225"/>
        <v>#REF!</v>
      </c>
      <c r="CG107" s="1993" t="e">
        <f>#REF!</f>
        <v>#REF!</v>
      </c>
      <c r="CH107" s="2003">
        <f t="shared" si="152"/>
        <v>0</v>
      </c>
      <c r="CI107" s="1989" t="e">
        <f>#REF!/10^7</f>
        <v>#REF!</v>
      </c>
      <c r="CJ107" s="2003">
        <f t="shared" si="153"/>
        <v>0</v>
      </c>
      <c r="CK107" s="1989" t="e">
        <f>#REF!/10^7</f>
        <v>#REF!</v>
      </c>
      <c r="CL107" s="2003">
        <f t="shared" si="154"/>
        <v>0</v>
      </c>
      <c r="CM107" s="1989" t="e">
        <f>#REF!/10^7</f>
        <v>#REF!</v>
      </c>
      <c r="CN107" s="1989" t="e">
        <f>#REF!/10^7</f>
        <v>#REF!</v>
      </c>
      <c r="CO107" s="2002" t="e">
        <f t="shared" si="155"/>
        <v>#REF!</v>
      </c>
      <c r="CP107" s="1999" t="e">
        <f t="shared" si="226"/>
        <v>#REF!</v>
      </c>
      <c r="CQ107" s="1993" t="e">
        <f>#REF!</f>
        <v>#REF!</v>
      </c>
      <c r="CR107" s="2003">
        <f t="shared" si="156"/>
        <v>0</v>
      </c>
      <c r="CS107" s="1989" t="e">
        <f>#REF!/10^7</f>
        <v>#REF!</v>
      </c>
      <c r="CT107" s="2003">
        <f t="shared" si="157"/>
        <v>0</v>
      </c>
      <c r="CU107" s="1989" t="e">
        <f>#REF!/10^7</f>
        <v>#REF!</v>
      </c>
      <c r="CV107" s="2003">
        <f t="shared" si="158"/>
        <v>0</v>
      </c>
      <c r="CW107" s="1989" t="e">
        <f>#REF!/10^7</f>
        <v>#REF!</v>
      </c>
      <c r="CX107" s="1989" t="e">
        <f>#REF!/10^7</f>
        <v>#REF!</v>
      </c>
      <c r="CY107" s="2002" t="e">
        <f t="shared" si="159"/>
        <v>#REF!</v>
      </c>
      <c r="CZ107" s="1999" t="e">
        <f t="shared" si="227"/>
        <v>#REF!</v>
      </c>
      <c r="DA107" s="1993" t="e">
        <f>#REF!</f>
        <v>#REF!</v>
      </c>
      <c r="DB107" s="2003">
        <f t="shared" si="160"/>
        <v>0</v>
      </c>
      <c r="DC107" s="1989" t="e">
        <f>#REF!/10^7</f>
        <v>#REF!</v>
      </c>
      <c r="DD107" s="2003">
        <f t="shared" si="161"/>
        <v>0</v>
      </c>
      <c r="DE107" s="1989" t="e">
        <f>#REF!/10^7</f>
        <v>#REF!</v>
      </c>
      <c r="DF107" s="2003">
        <f t="shared" si="162"/>
        <v>0</v>
      </c>
      <c r="DG107" s="1989" t="e">
        <f>#REF!/10^7</f>
        <v>#REF!</v>
      </c>
      <c r="DH107" s="1989" t="e">
        <f>#REF!/10^7</f>
        <v>#REF!</v>
      </c>
      <c r="DI107" s="2002" t="e">
        <f t="shared" si="163"/>
        <v>#REF!</v>
      </c>
      <c r="DJ107" s="1999" t="e">
        <f t="shared" si="228"/>
        <v>#REF!</v>
      </c>
      <c r="DK107" s="1993" t="e">
        <f>#REF!</f>
        <v>#REF!</v>
      </c>
      <c r="DL107" s="2003">
        <f t="shared" si="164"/>
        <v>0</v>
      </c>
      <c r="DM107" s="1989" t="e">
        <f>#REF!/10^7</f>
        <v>#REF!</v>
      </c>
      <c r="DN107" s="2003">
        <f t="shared" si="165"/>
        <v>0</v>
      </c>
      <c r="DO107" s="1989" t="e">
        <f>#REF!/10^7</f>
        <v>#REF!</v>
      </c>
      <c r="DP107" s="2003">
        <f t="shared" si="166"/>
        <v>0</v>
      </c>
      <c r="DQ107" s="1989" t="e">
        <f>#REF!/10^7</f>
        <v>#REF!</v>
      </c>
      <c r="DR107" s="1989" t="e">
        <f>#REF!/10^7</f>
        <v>#REF!</v>
      </c>
      <c r="DS107" s="2002" t="e">
        <f t="shared" si="167"/>
        <v>#REF!</v>
      </c>
      <c r="DT107" s="2004" t="e">
        <f t="shared" si="229"/>
        <v>#REF!</v>
      </c>
      <c r="DU107" s="1988" t="e">
        <f>#REF!</f>
        <v>#REF!</v>
      </c>
      <c r="DV107" s="2003">
        <f t="shared" si="168"/>
        <v>0</v>
      </c>
      <c r="DW107" s="1989" t="e">
        <f>#REF!/10^7</f>
        <v>#REF!</v>
      </c>
      <c r="DX107" s="2003">
        <f t="shared" si="169"/>
        <v>0</v>
      </c>
      <c r="DY107" s="1989" t="e">
        <f>#REF!/10^7</f>
        <v>#REF!</v>
      </c>
      <c r="DZ107" s="2003">
        <f t="shared" si="170"/>
        <v>0</v>
      </c>
      <c r="EA107" s="1989" t="e">
        <f>#REF!/10^7</f>
        <v>#REF!</v>
      </c>
      <c r="EB107" s="1989" t="e">
        <f>#REF!/10^7</f>
        <v>#REF!</v>
      </c>
      <c r="EC107" s="2002" t="e">
        <f t="shared" si="171"/>
        <v>#REF!</v>
      </c>
      <c r="ED107" s="1998" t="e">
        <f t="shared" si="230"/>
        <v>#REF!</v>
      </c>
      <c r="EE107" s="2005" t="e">
        <f t="shared" si="234"/>
        <v>#REF!</v>
      </c>
      <c r="EF107" s="2003">
        <f t="shared" si="172"/>
        <v>0</v>
      </c>
      <c r="EG107" s="1989" t="e">
        <f t="shared" si="231"/>
        <v>#REF!</v>
      </c>
      <c r="EH107" s="2003">
        <f t="shared" si="173"/>
        <v>0</v>
      </c>
      <c r="EI107" s="1989" t="e">
        <f t="shared" si="232"/>
        <v>#REF!</v>
      </c>
      <c r="EJ107" s="2003">
        <f t="shared" si="174"/>
        <v>0</v>
      </c>
      <c r="EK107" s="1989" t="e">
        <f t="shared" si="233"/>
        <v>#REF!</v>
      </c>
      <c r="EL107" s="1989" t="e">
        <f t="shared" si="233"/>
        <v>#REF!</v>
      </c>
      <c r="EM107" s="2006" t="e">
        <f t="shared" si="175"/>
        <v>#REF!</v>
      </c>
      <c r="EN107" s="1999" t="e">
        <f t="shared" si="235"/>
        <v>#REF!</v>
      </c>
      <c r="EP107" s="1613" t="e">
        <f>EA107-#REF!/10^7</f>
        <v>#REF!</v>
      </c>
      <c r="EW107" s="1611" t="s">
        <v>1717</v>
      </c>
      <c r="EX107" s="1612" t="s">
        <v>1717</v>
      </c>
      <c r="EZ107" s="1650">
        <f t="shared" si="176"/>
        <v>0</v>
      </c>
    </row>
    <row r="108" spans="1:156" ht="21" customHeight="1">
      <c r="A108" s="1652">
        <v>13</v>
      </c>
      <c r="B108" s="1672" t="s">
        <v>1738</v>
      </c>
      <c r="C108" s="1639"/>
      <c r="D108" s="1640"/>
      <c r="E108" s="1640"/>
      <c r="F108" s="1640"/>
      <c r="G108" s="1640"/>
      <c r="H108" s="1640"/>
      <c r="I108" s="1648"/>
      <c r="J108" s="1649"/>
      <c r="K108" s="1648"/>
      <c r="L108" s="1640"/>
      <c r="M108" s="1640"/>
      <c r="N108" s="1642"/>
      <c r="O108" s="2000" t="e">
        <f>#REF!</f>
        <v>#REF!</v>
      </c>
      <c r="P108" s="2003">
        <f t="shared" si="124"/>
        <v>0</v>
      </c>
      <c r="Q108" s="1989" t="e">
        <f>#REF!/10^7</f>
        <v>#REF!</v>
      </c>
      <c r="R108" s="2003">
        <f t="shared" si="125"/>
        <v>0</v>
      </c>
      <c r="S108" s="1989" t="e">
        <f>#REF!/10^7</f>
        <v>#REF!</v>
      </c>
      <c r="T108" s="2003">
        <f t="shared" si="126"/>
        <v>0</v>
      </c>
      <c r="U108" s="1989" t="e">
        <f>#REF!/10^7</f>
        <v>#REF!</v>
      </c>
      <c r="V108" s="1989" t="e">
        <f>#REF!/10^7</f>
        <v>#REF!</v>
      </c>
      <c r="W108" s="1989">
        <f t="shared" si="127"/>
        <v>0</v>
      </c>
      <c r="X108" s="1999" t="e">
        <f t="shared" si="219"/>
        <v>#REF!</v>
      </c>
      <c r="Y108" s="1993" t="e">
        <f>#REF!</f>
        <v>#REF!</v>
      </c>
      <c r="Z108" s="2003">
        <f t="shared" si="128"/>
        <v>0</v>
      </c>
      <c r="AA108" s="1989" t="e">
        <f>#REF!/10^7</f>
        <v>#REF!</v>
      </c>
      <c r="AB108" s="2003">
        <f t="shared" si="129"/>
        <v>0</v>
      </c>
      <c r="AC108" s="1989" t="e">
        <f>#REF!/10^7</f>
        <v>#REF!</v>
      </c>
      <c r="AD108" s="2003">
        <f t="shared" si="130"/>
        <v>0</v>
      </c>
      <c r="AE108" s="1989" t="e">
        <f>#REF!/10^7</f>
        <v>#REF!</v>
      </c>
      <c r="AF108" s="1989" t="e">
        <f>#REF!/10^7</f>
        <v>#REF!</v>
      </c>
      <c r="AG108" s="2002" t="e">
        <f t="shared" si="131"/>
        <v>#REF!</v>
      </c>
      <c r="AH108" s="1999" t="e">
        <f t="shared" si="220"/>
        <v>#REF!</v>
      </c>
      <c r="AI108" s="1993" t="e">
        <f>#REF!</f>
        <v>#REF!</v>
      </c>
      <c r="AJ108" s="2003">
        <f t="shared" si="132"/>
        <v>0</v>
      </c>
      <c r="AK108" s="1989" t="e">
        <f>#REF!/10^7</f>
        <v>#REF!</v>
      </c>
      <c r="AL108" s="2003">
        <f t="shared" si="133"/>
        <v>0</v>
      </c>
      <c r="AM108" s="1989" t="e">
        <f>#REF!/10^7</f>
        <v>#REF!</v>
      </c>
      <c r="AN108" s="2003">
        <f t="shared" si="134"/>
        <v>0</v>
      </c>
      <c r="AO108" s="1989" t="e">
        <f>#REF!/10^7</f>
        <v>#REF!</v>
      </c>
      <c r="AP108" s="1989" t="e">
        <f>#REF!/10^7</f>
        <v>#REF!</v>
      </c>
      <c r="AQ108" s="2002" t="e">
        <f t="shared" si="135"/>
        <v>#REF!</v>
      </c>
      <c r="AR108" s="1999" t="e">
        <f t="shared" si="221"/>
        <v>#REF!</v>
      </c>
      <c r="AS108" s="1993" t="e">
        <f>#REF!</f>
        <v>#REF!</v>
      </c>
      <c r="AT108" s="2003">
        <f t="shared" si="136"/>
        <v>0</v>
      </c>
      <c r="AU108" s="1989" t="e">
        <f>#REF!/10^7</f>
        <v>#REF!</v>
      </c>
      <c r="AV108" s="2003">
        <f t="shared" si="137"/>
        <v>0</v>
      </c>
      <c r="AW108" s="1989" t="e">
        <f>#REF!/10^7</f>
        <v>#REF!</v>
      </c>
      <c r="AX108" s="2003">
        <f t="shared" si="138"/>
        <v>0</v>
      </c>
      <c r="AY108" s="1989" t="e">
        <f>#REF!/10^7</f>
        <v>#REF!</v>
      </c>
      <c r="AZ108" s="1989" t="e">
        <f>#REF!/10^7</f>
        <v>#REF!</v>
      </c>
      <c r="BA108" s="2002" t="e">
        <f t="shared" si="139"/>
        <v>#REF!</v>
      </c>
      <c r="BB108" s="1999" t="e">
        <f t="shared" si="222"/>
        <v>#REF!</v>
      </c>
      <c r="BC108" s="1993" t="e">
        <f>#REF!</f>
        <v>#REF!</v>
      </c>
      <c r="BD108" s="2003">
        <f t="shared" si="140"/>
        <v>0</v>
      </c>
      <c r="BE108" s="1989" t="e">
        <f>#REF!/10^7</f>
        <v>#REF!</v>
      </c>
      <c r="BF108" s="2003">
        <f t="shared" si="141"/>
        <v>0</v>
      </c>
      <c r="BG108" s="1989" t="e">
        <f>#REF!/10^7</f>
        <v>#REF!</v>
      </c>
      <c r="BH108" s="2003">
        <f t="shared" si="142"/>
        <v>0</v>
      </c>
      <c r="BI108" s="1989" t="e">
        <f>#REF!/10^7</f>
        <v>#REF!</v>
      </c>
      <c r="BJ108" s="1989" t="e">
        <f>#REF!/10^7</f>
        <v>#REF!</v>
      </c>
      <c r="BK108" s="2002" t="e">
        <f t="shared" si="143"/>
        <v>#REF!</v>
      </c>
      <c r="BL108" s="1999" t="e">
        <f t="shared" si="223"/>
        <v>#REF!</v>
      </c>
      <c r="BM108" s="1993" t="e">
        <f>#REF!</f>
        <v>#REF!</v>
      </c>
      <c r="BN108" s="2003">
        <f t="shared" si="144"/>
        <v>0</v>
      </c>
      <c r="BO108" s="1989" t="e">
        <f>#REF!/10^7</f>
        <v>#REF!</v>
      </c>
      <c r="BP108" s="2003">
        <f t="shared" si="145"/>
        <v>0</v>
      </c>
      <c r="BQ108" s="1989" t="e">
        <f>#REF!/10^7</f>
        <v>#REF!</v>
      </c>
      <c r="BR108" s="2003">
        <f t="shared" si="146"/>
        <v>0</v>
      </c>
      <c r="BS108" s="1989" t="e">
        <f>#REF!/10^7</f>
        <v>#REF!</v>
      </c>
      <c r="BT108" s="1989" t="e">
        <f>#REF!/10^7</f>
        <v>#REF!</v>
      </c>
      <c r="BU108" s="2002" t="e">
        <f t="shared" si="147"/>
        <v>#REF!</v>
      </c>
      <c r="BV108" s="1999" t="e">
        <f t="shared" si="224"/>
        <v>#REF!</v>
      </c>
      <c r="BW108" s="1993" t="e">
        <f>#REF!</f>
        <v>#REF!</v>
      </c>
      <c r="BX108" s="2003">
        <f t="shared" si="148"/>
        <v>0</v>
      </c>
      <c r="BY108" s="1989" t="e">
        <f>#REF!/10^7</f>
        <v>#REF!</v>
      </c>
      <c r="BZ108" s="2003">
        <f t="shared" si="149"/>
        <v>0</v>
      </c>
      <c r="CA108" s="1989" t="e">
        <f>#REF!/10^7</f>
        <v>#REF!</v>
      </c>
      <c r="CB108" s="2003">
        <f t="shared" si="150"/>
        <v>0</v>
      </c>
      <c r="CC108" s="1989" t="e">
        <f>#REF!/10^7</f>
        <v>#REF!</v>
      </c>
      <c r="CD108" s="1989" t="e">
        <f>#REF!/10^7</f>
        <v>#REF!</v>
      </c>
      <c r="CE108" s="2002" t="e">
        <f t="shared" si="151"/>
        <v>#REF!</v>
      </c>
      <c r="CF108" s="1999" t="e">
        <f t="shared" si="225"/>
        <v>#REF!</v>
      </c>
      <c r="CG108" s="1993" t="e">
        <f>#REF!</f>
        <v>#REF!</v>
      </c>
      <c r="CH108" s="2003">
        <f t="shared" si="152"/>
        <v>0</v>
      </c>
      <c r="CI108" s="1989" t="e">
        <f>#REF!/10^7</f>
        <v>#REF!</v>
      </c>
      <c r="CJ108" s="2003">
        <f t="shared" si="153"/>
        <v>0</v>
      </c>
      <c r="CK108" s="1989" t="e">
        <f>#REF!/10^7</f>
        <v>#REF!</v>
      </c>
      <c r="CL108" s="2003">
        <f t="shared" si="154"/>
        <v>0</v>
      </c>
      <c r="CM108" s="1989" t="e">
        <f>#REF!/10^7</f>
        <v>#REF!</v>
      </c>
      <c r="CN108" s="1989" t="e">
        <f>#REF!/10^7</f>
        <v>#REF!</v>
      </c>
      <c r="CO108" s="2002" t="e">
        <f t="shared" si="155"/>
        <v>#REF!</v>
      </c>
      <c r="CP108" s="1999" t="e">
        <f t="shared" si="226"/>
        <v>#REF!</v>
      </c>
      <c r="CQ108" s="1993" t="e">
        <f>#REF!</f>
        <v>#REF!</v>
      </c>
      <c r="CR108" s="2003">
        <f t="shared" si="156"/>
        <v>0</v>
      </c>
      <c r="CS108" s="1989" t="e">
        <f>#REF!/10^7</f>
        <v>#REF!</v>
      </c>
      <c r="CT108" s="2003">
        <f t="shared" si="157"/>
        <v>0</v>
      </c>
      <c r="CU108" s="1989" t="e">
        <f>#REF!/10^7</f>
        <v>#REF!</v>
      </c>
      <c r="CV108" s="2003">
        <f t="shared" si="158"/>
        <v>0</v>
      </c>
      <c r="CW108" s="1989" t="e">
        <f>#REF!/10^7</f>
        <v>#REF!</v>
      </c>
      <c r="CX108" s="1989" t="e">
        <f>#REF!/10^7</f>
        <v>#REF!</v>
      </c>
      <c r="CY108" s="2002" t="e">
        <f t="shared" si="159"/>
        <v>#REF!</v>
      </c>
      <c r="CZ108" s="1999" t="e">
        <f t="shared" si="227"/>
        <v>#REF!</v>
      </c>
      <c r="DA108" s="1993" t="e">
        <f>#REF!</f>
        <v>#REF!</v>
      </c>
      <c r="DB108" s="2003">
        <f t="shared" si="160"/>
        <v>0</v>
      </c>
      <c r="DC108" s="1989" t="e">
        <f>#REF!/10^7</f>
        <v>#REF!</v>
      </c>
      <c r="DD108" s="2003">
        <f t="shared" si="161"/>
        <v>0</v>
      </c>
      <c r="DE108" s="1989" t="e">
        <f>#REF!/10^7</f>
        <v>#REF!</v>
      </c>
      <c r="DF108" s="2003">
        <f t="shared" si="162"/>
        <v>0</v>
      </c>
      <c r="DG108" s="1989" t="e">
        <f>#REF!/10^7</f>
        <v>#REF!</v>
      </c>
      <c r="DH108" s="1989" t="e">
        <f>#REF!/10^7</f>
        <v>#REF!</v>
      </c>
      <c r="DI108" s="2002" t="e">
        <f t="shared" si="163"/>
        <v>#REF!</v>
      </c>
      <c r="DJ108" s="1999" t="e">
        <f t="shared" si="228"/>
        <v>#REF!</v>
      </c>
      <c r="DK108" s="1993" t="e">
        <f>#REF!</f>
        <v>#REF!</v>
      </c>
      <c r="DL108" s="2003">
        <f t="shared" si="164"/>
        <v>0</v>
      </c>
      <c r="DM108" s="1989" t="e">
        <f>#REF!/10^7</f>
        <v>#REF!</v>
      </c>
      <c r="DN108" s="2003">
        <f t="shared" si="165"/>
        <v>0</v>
      </c>
      <c r="DO108" s="1989" t="e">
        <f>#REF!/10^7</f>
        <v>#REF!</v>
      </c>
      <c r="DP108" s="2003">
        <f t="shared" si="166"/>
        <v>0</v>
      </c>
      <c r="DQ108" s="1989" t="e">
        <f>#REF!/10^7</f>
        <v>#REF!</v>
      </c>
      <c r="DR108" s="1989" t="e">
        <f>#REF!/10^7</f>
        <v>#REF!</v>
      </c>
      <c r="DS108" s="2002" t="e">
        <f t="shared" si="167"/>
        <v>#REF!</v>
      </c>
      <c r="DT108" s="2004" t="e">
        <f t="shared" si="229"/>
        <v>#REF!</v>
      </c>
      <c r="DU108" s="1988" t="e">
        <f>#REF!</f>
        <v>#REF!</v>
      </c>
      <c r="DV108" s="2003">
        <f t="shared" si="168"/>
        <v>0</v>
      </c>
      <c r="DW108" s="1989" t="e">
        <f>#REF!/10^7</f>
        <v>#REF!</v>
      </c>
      <c r="DX108" s="2003">
        <f t="shared" si="169"/>
        <v>0</v>
      </c>
      <c r="DY108" s="1989" t="e">
        <f>#REF!/10^7</f>
        <v>#REF!</v>
      </c>
      <c r="DZ108" s="2003">
        <f t="shared" si="170"/>
        <v>0</v>
      </c>
      <c r="EA108" s="1989" t="e">
        <f>#REF!/10^7</f>
        <v>#REF!</v>
      </c>
      <c r="EB108" s="1989" t="e">
        <f>#REF!/10^7</f>
        <v>#REF!</v>
      </c>
      <c r="EC108" s="2002" t="e">
        <f t="shared" si="171"/>
        <v>#REF!</v>
      </c>
      <c r="ED108" s="1998" t="e">
        <f t="shared" si="230"/>
        <v>#REF!</v>
      </c>
      <c r="EE108" s="2005" t="e">
        <f t="shared" si="234"/>
        <v>#REF!</v>
      </c>
      <c r="EF108" s="2003">
        <f t="shared" si="172"/>
        <v>0</v>
      </c>
      <c r="EG108" s="1989" t="e">
        <f t="shared" si="231"/>
        <v>#REF!</v>
      </c>
      <c r="EH108" s="2003">
        <f t="shared" si="173"/>
        <v>0</v>
      </c>
      <c r="EI108" s="1989" t="e">
        <f t="shared" si="232"/>
        <v>#REF!</v>
      </c>
      <c r="EJ108" s="2003">
        <f t="shared" si="174"/>
        <v>0</v>
      </c>
      <c r="EK108" s="1989" t="e">
        <f t="shared" si="233"/>
        <v>#REF!</v>
      </c>
      <c r="EL108" s="1989" t="e">
        <f t="shared" si="233"/>
        <v>#REF!</v>
      </c>
      <c r="EM108" s="2006" t="e">
        <f t="shared" si="175"/>
        <v>#REF!</v>
      </c>
      <c r="EN108" s="1999" t="e">
        <f t="shared" si="235"/>
        <v>#REF!</v>
      </c>
      <c r="EP108" s="1613" t="e">
        <f>EA108-#REF!/10^7</f>
        <v>#REF!</v>
      </c>
      <c r="EW108" s="1611" t="e">
        <v>#N/A</v>
      </c>
      <c r="EX108" s="1612">
        <v>0</v>
      </c>
      <c r="EZ108" s="1650">
        <f t="shared" si="176"/>
        <v>0</v>
      </c>
    </row>
    <row r="109" spans="1:156" ht="21" customHeight="1">
      <c r="A109" s="1652">
        <v>14</v>
      </c>
      <c r="B109" s="1644"/>
      <c r="C109" s="1639"/>
      <c r="D109" s="1640"/>
      <c r="E109" s="1640"/>
      <c r="F109" s="1640"/>
      <c r="G109" s="1640"/>
      <c r="H109" s="1640"/>
      <c r="I109" s="1648"/>
      <c r="J109" s="1649"/>
      <c r="K109" s="1648"/>
      <c r="L109" s="1640"/>
      <c r="M109" s="1640"/>
      <c r="N109" s="1642"/>
      <c r="O109" s="2000"/>
      <c r="P109" s="2003">
        <f t="shared" si="124"/>
        <v>0</v>
      </c>
      <c r="Q109" s="1989"/>
      <c r="R109" s="2003">
        <f t="shared" si="125"/>
        <v>0</v>
      </c>
      <c r="S109" s="1989"/>
      <c r="T109" s="2003">
        <f t="shared" si="126"/>
        <v>0</v>
      </c>
      <c r="U109" s="1989"/>
      <c r="V109" s="1989"/>
      <c r="W109" s="1989">
        <f t="shared" si="127"/>
        <v>0</v>
      </c>
      <c r="X109" s="1999">
        <f t="shared" si="219"/>
        <v>0</v>
      </c>
      <c r="Y109" s="1993"/>
      <c r="Z109" s="2003">
        <f t="shared" si="128"/>
        <v>0</v>
      </c>
      <c r="AA109" s="1989"/>
      <c r="AB109" s="2003">
        <f t="shared" si="129"/>
        <v>0</v>
      </c>
      <c r="AC109" s="1989"/>
      <c r="AD109" s="2003">
        <f t="shared" si="130"/>
        <v>0</v>
      </c>
      <c r="AE109" s="1989"/>
      <c r="AF109" s="1989"/>
      <c r="AG109" s="2002">
        <f t="shared" si="131"/>
        <v>0</v>
      </c>
      <c r="AH109" s="1999">
        <f t="shared" si="220"/>
        <v>0</v>
      </c>
      <c r="AI109" s="1993"/>
      <c r="AJ109" s="2003">
        <f t="shared" si="132"/>
        <v>0</v>
      </c>
      <c r="AK109" s="1989"/>
      <c r="AL109" s="2003">
        <f t="shared" si="133"/>
        <v>0</v>
      </c>
      <c r="AM109" s="1989"/>
      <c r="AN109" s="2003">
        <f t="shared" si="134"/>
        <v>0</v>
      </c>
      <c r="AO109" s="1989"/>
      <c r="AP109" s="1989"/>
      <c r="AQ109" s="2002">
        <f t="shared" si="135"/>
        <v>0</v>
      </c>
      <c r="AR109" s="1999">
        <f t="shared" si="221"/>
        <v>0</v>
      </c>
      <c r="AS109" s="1993"/>
      <c r="AT109" s="2003">
        <f t="shared" si="136"/>
        <v>0</v>
      </c>
      <c r="AU109" s="1989"/>
      <c r="AV109" s="2003">
        <f t="shared" si="137"/>
        <v>0</v>
      </c>
      <c r="AW109" s="1989"/>
      <c r="AX109" s="2003">
        <f t="shared" si="138"/>
        <v>0</v>
      </c>
      <c r="AY109" s="1989"/>
      <c r="AZ109" s="1989"/>
      <c r="BA109" s="2002">
        <f t="shared" si="139"/>
        <v>0</v>
      </c>
      <c r="BB109" s="1999">
        <f t="shared" si="222"/>
        <v>0</v>
      </c>
      <c r="BC109" s="1993"/>
      <c r="BD109" s="2003">
        <f t="shared" si="140"/>
        <v>0</v>
      </c>
      <c r="BE109" s="1989"/>
      <c r="BF109" s="2003">
        <f t="shared" si="141"/>
        <v>0</v>
      </c>
      <c r="BG109" s="1989"/>
      <c r="BH109" s="2003">
        <f t="shared" si="142"/>
        <v>0</v>
      </c>
      <c r="BI109" s="1989"/>
      <c r="BJ109" s="1989"/>
      <c r="BK109" s="2002">
        <f t="shared" si="143"/>
        <v>0</v>
      </c>
      <c r="BL109" s="1999">
        <f t="shared" si="223"/>
        <v>0</v>
      </c>
      <c r="BM109" s="1993"/>
      <c r="BN109" s="2003">
        <f t="shared" si="144"/>
        <v>0</v>
      </c>
      <c r="BO109" s="1989"/>
      <c r="BP109" s="2003">
        <f t="shared" si="145"/>
        <v>0</v>
      </c>
      <c r="BQ109" s="1989"/>
      <c r="BR109" s="2003">
        <f t="shared" si="146"/>
        <v>0</v>
      </c>
      <c r="BS109" s="1989"/>
      <c r="BT109" s="1989"/>
      <c r="BU109" s="2002">
        <f t="shared" si="147"/>
        <v>0</v>
      </c>
      <c r="BV109" s="1999">
        <f t="shared" si="224"/>
        <v>0</v>
      </c>
      <c r="BW109" s="1993"/>
      <c r="BX109" s="2003">
        <f t="shared" si="148"/>
        <v>0</v>
      </c>
      <c r="BY109" s="1989"/>
      <c r="BZ109" s="2003">
        <f t="shared" si="149"/>
        <v>0</v>
      </c>
      <c r="CA109" s="1989"/>
      <c r="CB109" s="2003">
        <f t="shared" si="150"/>
        <v>0</v>
      </c>
      <c r="CC109" s="1989"/>
      <c r="CD109" s="1989"/>
      <c r="CE109" s="2002">
        <f t="shared" si="151"/>
        <v>0</v>
      </c>
      <c r="CF109" s="1999">
        <f t="shared" si="225"/>
        <v>0</v>
      </c>
      <c r="CG109" s="1993"/>
      <c r="CH109" s="2003">
        <f t="shared" si="152"/>
        <v>0</v>
      </c>
      <c r="CI109" s="1989"/>
      <c r="CJ109" s="2003">
        <f t="shared" si="153"/>
        <v>0</v>
      </c>
      <c r="CK109" s="1989"/>
      <c r="CL109" s="2003">
        <f t="shared" si="154"/>
        <v>0</v>
      </c>
      <c r="CM109" s="1989"/>
      <c r="CN109" s="1989"/>
      <c r="CO109" s="2002">
        <f t="shared" si="155"/>
        <v>0</v>
      </c>
      <c r="CP109" s="1999">
        <f t="shared" si="226"/>
        <v>0</v>
      </c>
      <c r="CQ109" s="1993"/>
      <c r="CR109" s="2003">
        <f t="shared" si="156"/>
        <v>0</v>
      </c>
      <c r="CS109" s="1989"/>
      <c r="CT109" s="2003">
        <f t="shared" si="157"/>
        <v>0</v>
      </c>
      <c r="CU109" s="1989"/>
      <c r="CV109" s="2003">
        <f t="shared" si="158"/>
        <v>0</v>
      </c>
      <c r="CW109" s="1989"/>
      <c r="CX109" s="1989"/>
      <c r="CY109" s="2002">
        <f t="shared" si="159"/>
        <v>0</v>
      </c>
      <c r="CZ109" s="1999">
        <f t="shared" si="227"/>
        <v>0</v>
      </c>
      <c r="DA109" s="1993"/>
      <c r="DB109" s="2003">
        <f t="shared" si="160"/>
        <v>0</v>
      </c>
      <c r="DC109" s="1989"/>
      <c r="DD109" s="2003">
        <f t="shared" si="161"/>
        <v>0</v>
      </c>
      <c r="DE109" s="1989"/>
      <c r="DF109" s="2003">
        <f t="shared" si="162"/>
        <v>0</v>
      </c>
      <c r="DG109" s="1989"/>
      <c r="DH109" s="1989"/>
      <c r="DI109" s="2002">
        <f t="shared" si="163"/>
        <v>0</v>
      </c>
      <c r="DJ109" s="1999">
        <f t="shared" si="228"/>
        <v>0</v>
      </c>
      <c r="DK109" s="1993"/>
      <c r="DL109" s="2003">
        <f t="shared" si="164"/>
        <v>0</v>
      </c>
      <c r="DM109" s="1989"/>
      <c r="DN109" s="2003">
        <f t="shared" si="165"/>
        <v>0</v>
      </c>
      <c r="DO109" s="1989"/>
      <c r="DP109" s="2003">
        <f t="shared" si="166"/>
        <v>0</v>
      </c>
      <c r="DQ109" s="1989"/>
      <c r="DR109" s="1989"/>
      <c r="DS109" s="2002">
        <f t="shared" si="167"/>
        <v>0</v>
      </c>
      <c r="DT109" s="2004">
        <f t="shared" si="229"/>
        <v>0</v>
      </c>
      <c r="DU109" s="1988"/>
      <c r="DV109" s="2003">
        <f t="shared" si="168"/>
        <v>0</v>
      </c>
      <c r="DW109" s="1989"/>
      <c r="DX109" s="2003">
        <f t="shared" si="169"/>
        <v>0</v>
      </c>
      <c r="DY109" s="1989"/>
      <c r="DZ109" s="2003">
        <f t="shared" si="170"/>
        <v>0</v>
      </c>
      <c r="EA109" s="1989"/>
      <c r="EB109" s="1989"/>
      <c r="EC109" s="2002">
        <f t="shared" si="171"/>
        <v>0</v>
      </c>
      <c r="ED109" s="1998">
        <f t="shared" si="230"/>
        <v>0</v>
      </c>
      <c r="EE109" s="2005">
        <f t="shared" si="234"/>
        <v>0</v>
      </c>
      <c r="EF109" s="2003">
        <f t="shared" si="172"/>
        <v>0</v>
      </c>
      <c r="EG109" s="1989">
        <f t="shared" si="231"/>
        <v>0</v>
      </c>
      <c r="EH109" s="2003">
        <f t="shared" si="173"/>
        <v>0</v>
      </c>
      <c r="EI109" s="1989">
        <f t="shared" si="232"/>
        <v>0</v>
      </c>
      <c r="EJ109" s="2003">
        <f t="shared" si="174"/>
        <v>0</v>
      </c>
      <c r="EK109" s="1989">
        <f t="shared" si="233"/>
        <v>0</v>
      </c>
      <c r="EL109" s="1989">
        <f t="shared" si="233"/>
        <v>0</v>
      </c>
      <c r="EM109" s="2006">
        <f t="shared" si="175"/>
        <v>0</v>
      </c>
      <c r="EN109" s="1999">
        <f t="shared" si="235"/>
        <v>0</v>
      </c>
      <c r="EP109" s="1613" t="e">
        <f>EA109-#REF!/10^7</f>
        <v>#REF!</v>
      </c>
      <c r="EW109" s="1611" t="e">
        <v>#N/A</v>
      </c>
      <c r="EX109" s="1612" t="e">
        <v>#N/A</v>
      </c>
      <c r="EZ109" s="1650">
        <f t="shared" si="176"/>
        <v>0</v>
      </c>
    </row>
    <row r="110" spans="1:156" ht="21" customHeight="1">
      <c r="A110" s="1652">
        <v>15</v>
      </c>
      <c r="B110" s="1644"/>
      <c r="C110" s="1639"/>
      <c r="D110" s="1640"/>
      <c r="E110" s="1640"/>
      <c r="F110" s="1640"/>
      <c r="G110" s="1640"/>
      <c r="H110" s="1640"/>
      <c r="I110" s="1648"/>
      <c r="J110" s="1649"/>
      <c r="K110" s="1648"/>
      <c r="L110" s="1640"/>
      <c r="M110" s="1640"/>
      <c r="N110" s="1642"/>
      <c r="O110" s="2000"/>
      <c r="P110" s="2003">
        <f t="shared" si="124"/>
        <v>0</v>
      </c>
      <c r="Q110" s="1989"/>
      <c r="R110" s="2003">
        <f t="shared" si="125"/>
        <v>0</v>
      </c>
      <c r="S110" s="1989"/>
      <c r="T110" s="2003">
        <f t="shared" si="126"/>
        <v>0</v>
      </c>
      <c r="U110" s="1989"/>
      <c r="V110" s="1989"/>
      <c r="W110" s="1989">
        <f t="shared" si="127"/>
        <v>0</v>
      </c>
      <c r="X110" s="1999">
        <f t="shared" si="219"/>
        <v>0</v>
      </c>
      <c r="Y110" s="1993"/>
      <c r="Z110" s="2003">
        <f t="shared" si="128"/>
        <v>0</v>
      </c>
      <c r="AA110" s="1989"/>
      <c r="AB110" s="2003">
        <f t="shared" si="129"/>
        <v>0</v>
      </c>
      <c r="AC110" s="1989"/>
      <c r="AD110" s="2003">
        <f t="shared" si="130"/>
        <v>0</v>
      </c>
      <c r="AE110" s="1989"/>
      <c r="AF110" s="1989"/>
      <c r="AG110" s="2002">
        <f t="shared" si="131"/>
        <v>0</v>
      </c>
      <c r="AH110" s="1999">
        <f t="shared" si="220"/>
        <v>0</v>
      </c>
      <c r="AI110" s="1993"/>
      <c r="AJ110" s="2003">
        <f t="shared" si="132"/>
        <v>0</v>
      </c>
      <c r="AK110" s="1989"/>
      <c r="AL110" s="2003">
        <f t="shared" si="133"/>
        <v>0</v>
      </c>
      <c r="AM110" s="1989"/>
      <c r="AN110" s="2003">
        <f t="shared" si="134"/>
        <v>0</v>
      </c>
      <c r="AO110" s="1989"/>
      <c r="AP110" s="1989"/>
      <c r="AQ110" s="2002">
        <f t="shared" si="135"/>
        <v>0</v>
      </c>
      <c r="AR110" s="1999">
        <f t="shared" si="221"/>
        <v>0</v>
      </c>
      <c r="AS110" s="1993"/>
      <c r="AT110" s="2003">
        <f t="shared" si="136"/>
        <v>0</v>
      </c>
      <c r="AU110" s="1989"/>
      <c r="AV110" s="2003">
        <f t="shared" si="137"/>
        <v>0</v>
      </c>
      <c r="AW110" s="1989"/>
      <c r="AX110" s="2003">
        <f t="shared" si="138"/>
        <v>0</v>
      </c>
      <c r="AY110" s="1989"/>
      <c r="AZ110" s="1989"/>
      <c r="BA110" s="2002">
        <f t="shared" si="139"/>
        <v>0</v>
      </c>
      <c r="BB110" s="1999">
        <f t="shared" si="222"/>
        <v>0</v>
      </c>
      <c r="BC110" s="1993"/>
      <c r="BD110" s="2003">
        <f t="shared" si="140"/>
        <v>0</v>
      </c>
      <c r="BE110" s="1989"/>
      <c r="BF110" s="2003">
        <f t="shared" si="141"/>
        <v>0</v>
      </c>
      <c r="BG110" s="1989"/>
      <c r="BH110" s="2003">
        <f t="shared" si="142"/>
        <v>0</v>
      </c>
      <c r="BI110" s="1989"/>
      <c r="BJ110" s="1989"/>
      <c r="BK110" s="2002">
        <f t="shared" si="143"/>
        <v>0</v>
      </c>
      <c r="BL110" s="1999">
        <f t="shared" si="223"/>
        <v>0</v>
      </c>
      <c r="BM110" s="1993"/>
      <c r="BN110" s="2003">
        <f t="shared" si="144"/>
        <v>0</v>
      </c>
      <c r="BO110" s="1989"/>
      <c r="BP110" s="2003">
        <f t="shared" si="145"/>
        <v>0</v>
      </c>
      <c r="BQ110" s="1989"/>
      <c r="BR110" s="2003">
        <f t="shared" si="146"/>
        <v>0</v>
      </c>
      <c r="BS110" s="1989"/>
      <c r="BT110" s="1989"/>
      <c r="BU110" s="2002">
        <f t="shared" si="147"/>
        <v>0</v>
      </c>
      <c r="BV110" s="1999">
        <f t="shared" si="224"/>
        <v>0</v>
      </c>
      <c r="BW110" s="1993"/>
      <c r="BX110" s="2003">
        <f t="shared" si="148"/>
        <v>0</v>
      </c>
      <c r="BY110" s="1989"/>
      <c r="BZ110" s="2003">
        <f t="shared" si="149"/>
        <v>0</v>
      </c>
      <c r="CA110" s="1989"/>
      <c r="CB110" s="2003">
        <f t="shared" si="150"/>
        <v>0</v>
      </c>
      <c r="CC110" s="1989"/>
      <c r="CD110" s="1989"/>
      <c r="CE110" s="2002">
        <f t="shared" si="151"/>
        <v>0</v>
      </c>
      <c r="CF110" s="1999">
        <f t="shared" si="225"/>
        <v>0</v>
      </c>
      <c r="CG110" s="1993"/>
      <c r="CH110" s="2003">
        <f t="shared" si="152"/>
        <v>0</v>
      </c>
      <c r="CI110" s="1989"/>
      <c r="CJ110" s="2003">
        <f t="shared" si="153"/>
        <v>0</v>
      </c>
      <c r="CK110" s="1989"/>
      <c r="CL110" s="2003">
        <f t="shared" si="154"/>
        <v>0</v>
      </c>
      <c r="CM110" s="1989"/>
      <c r="CN110" s="1989"/>
      <c r="CO110" s="2002">
        <f t="shared" si="155"/>
        <v>0</v>
      </c>
      <c r="CP110" s="1999">
        <f t="shared" si="226"/>
        <v>0</v>
      </c>
      <c r="CQ110" s="1993"/>
      <c r="CR110" s="2003">
        <f t="shared" si="156"/>
        <v>0</v>
      </c>
      <c r="CS110" s="1989"/>
      <c r="CT110" s="2003">
        <f t="shared" si="157"/>
        <v>0</v>
      </c>
      <c r="CU110" s="1989"/>
      <c r="CV110" s="2003">
        <f t="shared" si="158"/>
        <v>0</v>
      </c>
      <c r="CW110" s="1989"/>
      <c r="CX110" s="1989"/>
      <c r="CY110" s="2002">
        <f t="shared" si="159"/>
        <v>0</v>
      </c>
      <c r="CZ110" s="1999">
        <f t="shared" si="227"/>
        <v>0</v>
      </c>
      <c r="DA110" s="1993"/>
      <c r="DB110" s="2003">
        <f t="shared" si="160"/>
        <v>0</v>
      </c>
      <c r="DC110" s="1989"/>
      <c r="DD110" s="2003">
        <f t="shared" si="161"/>
        <v>0</v>
      </c>
      <c r="DE110" s="1989"/>
      <c r="DF110" s="2003">
        <f t="shared" si="162"/>
        <v>0</v>
      </c>
      <c r="DG110" s="1989"/>
      <c r="DH110" s="1989"/>
      <c r="DI110" s="2002">
        <f t="shared" si="163"/>
        <v>0</v>
      </c>
      <c r="DJ110" s="1999">
        <f t="shared" si="228"/>
        <v>0</v>
      </c>
      <c r="DK110" s="1993"/>
      <c r="DL110" s="2003">
        <f t="shared" si="164"/>
        <v>0</v>
      </c>
      <c r="DM110" s="1989"/>
      <c r="DN110" s="2003">
        <f t="shared" si="165"/>
        <v>0</v>
      </c>
      <c r="DO110" s="1989"/>
      <c r="DP110" s="2003">
        <f t="shared" si="166"/>
        <v>0</v>
      </c>
      <c r="DQ110" s="1989"/>
      <c r="DR110" s="1989"/>
      <c r="DS110" s="2002">
        <f t="shared" si="167"/>
        <v>0</v>
      </c>
      <c r="DT110" s="2004">
        <f t="shared" si="229"/>
        <v>0</v>
      </c>
      <c r="DU110" s="1988"/>
      <c r="DV110" s="2003">
        <f t="shared" si="168"/>
        <v>0</v>
      </c>
      <c r="DW110" s="1989"/>
      <c r="DX110" s="2003">
        <f t="shared" si="169"/>
        <v>0</v>
      </c>
      <c r="DY110" s="1989"/>
      <c r="DZ110" s="2003">
        <f t="shared" si="170"/>
        <v>0</v>
      </c>
      <c r="EA110" s="1989"/>
      <c r="EB110" s="1989"/>
      <c r="EC110" s="2002">
        <f t="shared" si="171"/>
        <v>0</v>
      </c>
      <c r="ED110" s="1998">
        <f t="shared" si="230"/>
        <v>0</v>
      </c>
      <c r="EE110" s="2005">
        <f t="shared" si="234"/>
        <v>0</v>
      </c>
      <c r="EF110" s="2003">
        <f t="shared" si="172"/>
        <v>0</v>
      </c>
      <c r="EG110" s="1989">
        <f t="shared" si="231"/>
        <v>0</v>
      </c>
      <c r="EH110" s="2003">
        <f t="shared" si="173"/>
        <v>0</v>
      </c>
      <c r="EI110" s="1989">
        <f t="shared" si="232"/>
        <v>0</v>
      </c>
      <c r="EJ110" s="2003">
        <f t="shared" si="174"/>
        <v>0</v>
      </c>
      <c r="EK110" s="1989">
        <f t="shared" si="233"/>
        <v>0</v>
      </c>
      <c r="EL110" s="1989">
        <f t="shared" si="233"/>
        <v>0</v>
      </c>
      <c r="EM110" s="2006">
        <f t="shared" si="175"/>
        <v>0</v>
      </c>
      <c r="EN110" s="1999">
        <f t="shared" si="235"/>
        <v>0</v>
      </c>
      <c r="EP110" s="1613" t="e">
        <f>EA110-#REF!/10^7</f>
        <v>#REF!</v>
      </c>
      <c r="EW110" s="1611" t="e">
        <v>#N/A</v>
      </c>
      <c r="EX110" s="1612" t="e">
        <v>#N/A</v>
      </c>
      <c r="EZ110" s="1650">
        <f t="shared" si="176"/>
        <v>0</v>
      </c>
    </row>
    <row r="111" spans="1:156" s="1660" customFormat="1" ht="21" customHeight="1">
      <c r="A111" s="1637"/>
      <c r="B111" s="1654" t="s">
        <v>211</v>
      </c>
      <c r="C111" s="1655"/>
      <c r="D111" s="1656"/>
      <c r="E111" s="1656"/>
      <c r="F111" s="1656"/>
      <c r="G111" s="1656"/>
      <c r="H111" s="1656"/>
      <c r="I111" s="1656"/>
      <c r="J111" s="1657"/>
      <c r="K111" s="1656"/>
      <c r="L111" s="1656"/>
      <c r="M111" s="1656"/>
      <c r="N111" s="1658"/>
      <c r="O111" s="2007" t="e">
        <f>SUM(O96:O110)</f>
        <v>#REF!</v>
      </c>
      <c r="P111" s="2003">
        <f t="shared" si="124"/>
        <v>0</v>
      </c>
      <c r="Q111" s="1826" t="e">
        <f>SUM(Q96:Q110)</f>
        <v>#REF!</v>
      </c>
      <c r="R111" s="2003">
        <f t="shared" si="125"/>
        <v>0</v>
      </c>
      <c r="S111" s="1826" t="e">
        <f>SUM(S96:S110)</f>
        <v>#REF!</v>
      </c>
      <c r="T111" s="2003">
        <f t="shared" si="126"/>
        <v>0</v>
      </c>
      <c r="U111" s="1826" t="e">
        <f>SUM(U96:U110)</f>
        <v>#REF!</v>
      </c>
      <c r="V111" s="1826"/>
      <c r="W111" s="1989">
        <f t="shared" si="127"/>
        <v>0</v>
      </c>
      <c r="X111" s="2008" t="e">
        <f t="shared" ref="X111:AF111" si="236">SUM(X96:X110)</f>
        <v>#REF!</v>
      </c>
      <c r="Y111" s="2007" t="e">
        <f t="shared" si="236"/>
        <v>#REF!</v>
      </c>
      <c r="Z111" s="2003">
        <f t="shared" si="128"/>
        <v>0</v>
      </c>
      <c r="AA111" s="1826" t="e">
        <f t="shared" si="236"/>
        <v>#REF!</v>
      </c>
      <c r="AB111" s="2003">
        <f t="shared" si="129"/>
        <v>0</v>
      </c>
      <c r="AC111" s="1826" t="e">
        <f t="shared" si="236"/>
        <v>#REF!</v>
      </c>
      <c r="AD111" s="2003">
        <f t="shared" si="130"/>
        <v>0</v>
      </c>
      <c r="AE111" s="1826" t="e">
        <f t="shared" si="236"/>
        <v>#REF!</v>
      </c>
      <c r="AF111" s="1826" t="e">
        <f t="shared" si="236"/>
        <v>#REF!</v>
      </c>
      <c r="AG111" s="2002" t="e">
        <f t="shared" si="131"/>
        <v>#REF!</v>
      </c>
      <c r="AH111" s="2008" t="e">
        <f t="shared" ref="AH111:AP111" si="237">SUM(AH96:AH110)</f>
        <v>#REF!</v>
      </c>
      <c r="AI111" s="2007" t="e">
        <f t="shared" si="237"/>
        <v>#REF!</v>
      </c>
      <c r="AJ111" s="2003">
        <f t="shared" si="132"/>
        <v>0</v>
      </c>
      <c r="AK111" s="1826" t="e">
        <f t="shared" si="237"/>
        <v>#REF!</v>
      </c>
      <c r="AL111" s="2003">
        <f t="shared" si="133"/>
        <v>0</v>
      </c>
      <c r="AM111" s="1826" t="e">
        <f t="shared" si="237"/>
        <v>#REF!</v>
      </c>
      <c r="AN111" s="2003">
        <f t="shared" si="134"/>
        <v>0</v>
      </c>
      <c r="AO111" s="1826" t="e">
        <f t="shared" si="237"/>
        <v>#REF!</v>
      </c>
      <c r="AP111" s="1826" t="e">
        <f t="shared" si="237"/>
        <v>#REF!</v>
      </c>
      <c r="AQ111" s="2002" t="e">
        <f t="shared" si="135"/>
        <v>#REF!</v>
      </c>
      <c r="AR111" s="2008" t="e">
        <f t="shared" ref="AR111:AZ111" si="238">SUM(AR96:AR110)</f>
        <v>#REF!</v>
      </c>
      <c r="AS111" s="2007" t="e">
        <f t="shared" si="238"/>
        <v>#REF!</v>
      </c>
      <c r="AT111" s="2003">
        <f t="shared" si="136"/>
        <v>0</v>
      </c>
      <c r="AU111" s="1826" t="e">
        <f t="shared" si="238"/>
        <v>#REF!</v>
      </c>
      <c r="AV111" s="2003">
        <f t="shared" si="137"/>
        <v>0</v>
      </c>
      <c r="AW111" s="1826" t="e">
        <f t="shared" si="238"/>
        <v>#REF!</v>
      </c>
      <c r="AX111" s="2003">
        <f t="shared" si="138"/>
        <v>0</v>
      </c>
      <c r="AY111" s="1826" t="e">
        <f t="shared" si="238"/>
        <v>#REF!</v>
      </c>
      <c r="AZ111" s="1826" t="e">
        <f t="shared" si="238"/>
        <v>#REF!</v>
      </c>
      <c r="BA111" s="2002" t="e">
        <f t="shared" si="139"/>
        <v>#REF!</v>
      </c>
      <c r="BB111" s="2008" t="e">
        <f t="shared" ref="BB111:BJ111" si="239">SUM(BB96:BB110)</f>
        <v>#REF!</v>
      </c>
      <c r="BC111" s="2007" t="e">
        <f t="shared" si="239"/>
        <v>#REF!</v>
      </c>
      <c r="BD111" s="2003">
        <f t="shared" si="140"/>
        <v>0</v>
      </c>
      <c r="BE111" s="1826" t="e">
        <f t="shared" si="239"/>
        <v>#REF!</v>
      </c>
      <c r="BF111" s="2003">
        <f t="shared" si="141"/>
        <v>0</v>
      </c>
      <c r="BG111" s="1826" t="e">
        <f t="shared" si="239"/>
        <v>#REF!</v>
      </c>
      <c r="BH111" s="2003">
        <f t="shared" si="142"/>
        <v>0</v>
      </c>
      <c r="BI111" s="1826" t="e">
        <f t="shared" si="239"/>
        <v>#REF!</v>
      </c>
      <c r="BJ111" s="1826" t="e">
        <f t="shared" si="239"/>
        <v>#REF!</v>
      </c>
      <c r="BK111" s="2002" t="e">
        <f t="shared" si="143"/>
        <v>#REF!</v>
      </c>
      <c r="BL111" s="2008" t="e">
        <f t="shared" ref="BL111:BT111" si="240">SUM(BL96:BL110)</f>
        <v>#REF!</v>
      </c>
      <c r="BM111" s="2007" t="e">
        <f t="shared" si="240"/>
        <v>#REF!</v>
      </c>
      <c r="BN111" s="2003">
        <f t="shared" si="144"/>
        <v>0</v>
      </c>
      <c r="BO111" s="1826" t="e">
        <f t="shared" si="240"/>
        <v>#REF!</v>
      </c>
      <c r="BP111" s="2003">
        <f t="shared" si="145"/>
        <v>0</v>
      </c>
      <c r="BQ111" s="1826" t="e">
        <f t="shared" si="240"/>
        <v>#REF!</v>
      </c>
      <c r="BR111" s="2003">
        <f t="shared" si="146"/>
        <v>0</v>
      </c>
      <c r="BS111" s="1826" t="e">
        <f t="shared" si="240"/>
        <v>#REF!</v>
      </c>
      <c r="BT111" s="1826" t="e">
        <f t="shared" si="240"/>
        <v>#REF!</v>
      </c>
      <c r="BU111" s="2002" t="e">
        <f t="shared" si="147"/>
        <v>#REF!</v>
      </c>
      <c r="BV111" s="2008" t="e">
        <f t="shared" ref="BV111:CD111" si="241">SUM(BV96:BV110)</f>
        <v>#REF!</v>
      </c>
      <c r="BW111" s="2007" t="e">
        <f t="shared" si="241"/>
        <v>#REF!</v>
      </c>
      <c r="BX111" s="2003">
        <f t="shared" si="148"/>
        <v>0</v>
      </c>
      <c r="BY111" s="1826" t="e">
        <f t="shared" si="241"/>
        <v>#REF!</v>
      </c>
      <c r="BZ111" s="2003">
        <f t="shared" si="149"/>
        <v>0</v>
      </c>
      <c r="CA111" s="1826" t="e">
        <f t="shared" si="241"/>
        <v>#REF!</v>
      </c>
      <c r="CB111" s="2003">
        <f t="shared" si="150"/>
        <v>0</v>
      </c>
      <c r="CC111" s="1826" t="e">
        <f t="shared" si="241"/>
        <v>#REF!</v>
      </c>
      <c r="CD111" s="1826" t="e">
        <f t="shared" si="241"/>
        <v>#REF!</v>
      </c>
      <c r="CE111" s="2002" t="e">
        <f t="shared" si="151"/>
        <v>#REF!</v>
      </c>
      <c r="CF111" s="2008" t="e">
        <f t="shared" ref="CF111:CN111" si="242">SUM(CF96:CF110)</f>
        <v>#REF!</v>
      </c>
      <c r="CG111" s="2007" t="e">
        <f t="shared" si="242"/>
        <v>#REF!</v>
      </c>
      <c r="CH111" s="2003">
        <f t="shared" si="152"/>
        <v>0</v>
      </c>
      <c r="CI111" s="1826" t="e">
        <f t="shared" si="242"/>
        <v>#REF!</v>
      </c>
      <c r="CJ111" s="2003">
        <f t="shared" si="153"/>
        <v>0</v>
      </c>
      <c r="CK111" s="1826" t="e">
        <f t="shared" si="242"/>
        <v>#REF!</v>
      </c>
      <c r="CL111" s="2003">
        <f t="shared" si="154"/>
        <v>0</v>
      </c>
      <c r="CM111" s="1826" t="e">
        <f t="shared" si="242"/>
        <v>#REF!</v>
      </c>
      <c r="CN111" s="1826" t="e">
        <f t="shared" si="242"/>
        <v>#REF!</v>
      </c>
      <c r="CO111" s="2002" t="e">
        <f t="shared" si="155"/>
        <v>#REF!</v>
      </c>
      <c r="CP111" s="2008" t="e">
        <f t="shared" ref="CP111:CX111" si="243">SUM(CP96:CP110)</f>
        <v>#REF!</v>
      </c>
      <c r="CQ111" s="2007" t="e">
        <f t="shared" si="243"/>
        <v>#REF!</v>
      </c>
      <c r="CR111" s="2003">
        <f t="shared" si="156"/>
        <v>0</v>
      </c>
      <c r="CS111" s="1826" t="e">
        <f t="shared" si="243"/>
        <v>#REF!</v>
      </c>
      <c r="CT111" s="2003">
        <f t="shared" si="157"/>
        <v>0</v>
      </c>
      <c r="CU111" s="1826" t="e">
        <f t="shared" si="243"/>
        <v>#REF!</v>
      </c>
      <c r="CV111" s="2003">
        <f t="shared" si="158"/>
        <v>0</v>
      </c>
      <c r="CW111" s="1826" t="e">
        <f t="shared" si="243"/>
        <v>#REF!</v>
      </c>
      <c r="CX111" s="1826" t="e">
        <f t="shared" si="243"/>
        <v>#REF!</v>
      </c>
      <c r="CY111" s="2002" t="e">
        <f t="shared" si="159"/>
        <v>#REF!</v>
      </c>
      <c r="CZ111" s="2008" t="e">
        <f t="shared" ref="CZ111:DH111" si="244">SUM(CZ96:CZ110)</f>
        <v>#REF!</v>
      </c>
      <c r="DA111" s="2007" t="e">
        <f t="shared" si="244"/>
        <v>#REF!</v>
      </c>
      <c r="DB111" s="2003">
        <f t="shared" si="160"/>
        <v>0</v>
      </c>
      <c r="DC111" s="1826" t="e">
        <f t="shared" si="244"/>
        <v>#REF!</v>
      </c>
      <c r="DD111" s="2003">
        <f t="shared" si="161"/>
        <v>0</v>
      </c>
      <c r="DE111" s="1826" t="e">
        <f>SUM(DE96:DE110)</f>
        <v>#REF!</v>
      </c>
      <c r="DF111" s="2003">
        <f t="shared" si="162"/>
        <v>0</v>
      </c>
      <c r="DG111" s="1826" t="e">
        <f t="shared" si="244"/>
        <v>#REF!</v>
      </c>
      <c r="DH111" s="1826" t="e">
        <f t="shared" si="244"/>
        <v>#REF!</v>
      </c>
      <c r="DI111" s="2002" t="e">
        <f t="shared" si="163"/>
        <v>#REF!</v>
      </c>
      <c r="DJ111" s="2008" t="e">
        <f t="shared" ref="DJ111:DR111" si="245">SUM(DJ96:DJ110)</f>
        <v>#REF!</v>
      </c>
      <c r="DK111" s="2007" t="e">
        <f>SUM(DK96:DK110)</f>
        <v>#REF!</v>
      </c>
      <c r="DL111" s="2003">
        <f t="shared" si="164"/>
        <v>0</v>
      </c>
      <c r="DM111" s="1826" t="e">
        <f t="shared" si="245"/>
        <v>#REF!</v>
      </c>
      <c r="DN111" s="2003">
        <f t="shared" si="165"/>
        <v>0</v>
      </c>
      <c r="DO111" s="1826" t="e">
        <f>SUM(DO96:DO110)</f>
        <v>#REF!</v>
      </c>
      <c r="DP111" s="2003">
        <f t="shared" si="166"/>
        <v>0</v>
      </c>
      <c r="DQ111" s="1826" t="e">
        <f>SUM(DQ96:DQ110)</f>
        <v>#REF!</v>
      </c>
      <c r="DR111" s="1826" t="e">
        <f t="shared" si="245"/>
        <v>#REF!</v>
      </c>
      <c r="DS111" s="2002" t="e">
        <f t="shared" si="167"/>
        <v>#REF!</v>
      </c>
      <c r="DT111" s="2009" t="e">
        <f t="shared" ref="DT111:EB111" si="246">SUM(DT96:DT110)</f>
        <v>#REF!</v>
      </c>
      <c r="DU111" s="2010" t="e">
        <f>SUM(DU96:DU110)</f>
        <v>#REF!</v>
      </c>
      <c r="DV111" s="2003">
        <f t="shared" si="168"/>
        <v>0</v>
      </c>
      <c r="DW111" s="1826" t="e">
        <f t="shared" si="246"/>
        <v>#REF!</v>
      </c>
      <c r="DX111" s="2003">
        <f t="shared" si="169"/>
        <v>0</v>
      </c>
      <c r="DY111" s="1826" t="e">
        <f t="shared" si="246"/>
        <v>#REF!</v>
      </c>
      <c r="DZ111" s="2003">
        <f t="shared" si="170"/>
        <v>0</v>
      </c>
      <c r="EA111" s="1826" t="e">
        <f t="shared" si="246"/>
        <v>#REF!</v>
      </c>
      <c r="EB111" s="1826" t="e">
        <f t="shared" si="246"/>
        <v>#REF!</v>
      </c>
      <c r="EC111" s="2002" t="e">
        <f t="shared" si="171"/>
        <v>#REF!</v>
      </c>
      <c r="ED111" s="1826" t="e">
        <f t="shared" ref="ED111:EL111" si="247">SUM(ED96:ED110)</f>
        <v>#REF!</v>
      </c>
      <c r="EE111" s="2011" t="e">
        <f t="shared" si="247"/>
        <v>#REF!</v>
      </c>
      <c r="EF111" s="2003">
        <f t="shared" si="172"/>
        <v>0</v>
      </c>
      <c r="EG111" s="1826" t="e">
        <f t="shared" si="247"/>
        <v>#REF!</v>
      </c>
      <c r="EH111" s="2003">
        <f t="shared" si="173"/>
        <v>0</v>
      </c>
      <c r="EI111" s="1826" t="e">
        <f t="shared" si="247"/>
        <v>#REF!</v>
      </c>
      <c r="EJ111" s="2003">
        <f t="shared" si="174"/>
        <v>0</v>
      </c>
      <c r="EK111" s="1826" t="e">
        <f t="shared" si="247"/>
        <v>#REF!</v>
      </c>
      <c r="EL111" s="1826" t="e">
        <f t="shared" si="247"/>
        <v>#REF!</v>
      </c>
      <c r="EM111" s="2006" t="e">
        <f t="shared" si="175"/>
        <v>#REF!</v>
      </c>
      <c r="EN111" s="2008" t="e">
        <f>SUM(EN96:EN110)</f>
        <v>#REF!</v>
      </c>
      <c r="EO111" s="1659"/>
      <c r="EP111" s="1613" t="e">
        <f>EA111-#REF!/10^7</f>
        <v>#REF!</v>
      </c>
      <c r="EQ111" s="1661"/>
      <c r="EW111" s="1611" t="e">
        <v>#N/A</v>
      </c>
      <c r="EX111" s="1612">
        <v>0</v>
      </c>
      <c r="EZ111" s="1650">
        <f t="shared" si="176"/>
        <v>0</v>
      </c>
    </row>
    <row r="112" spans="1:156" ht="21" customHeight="1">
      <c r="A112" s="1652"/>
      <c r="B112" s="1644"/>
      <c r="C112" s="1662"/>
      <c r="D112" s="1648"/>
      <c r="E112" s="1648"/>
      <c r="F112" s="1648"/>
      <c r="G112" s="1648"/>
      <c r="H112" s="1648"/>
      <c r="I112" s="1648"/>
      <c r="J112" s="1663"/>
      <c r="K112" s="1648"/>
      <c r="L112" s="1648"/>
      <c r="M112" s="1648"/>
      <c r="N112" s="1642"/>
      <c r="O112" s="2000"/>
      <c r="P112" s="2003">
        <f t="shared" si="124"/>
        <v>0</v>
      </c>
      <c r="Q112" s="1989"/>
      <c r="R112" s="2003">
        <f t="shared" si="125"/>
        <v>0</v>
      </c>
      <c r="S112" s="1989"/>
      <c r="T112" s="2003">
        <f t="shared" si="126"/>
        <v>0</v>
      </c>
      <c r="U112" s="1989"/>
      <c r="V112" s="1989"/>
      <c r="W112" s="1989">
        <f t="shared" si="127"/>
        <v>0</v>
      </c>
      <c r="X112" s="1999"/>
      <c r="Y112" s="1993"/>
      <c r="Z112" s="2003">
        <f t="shared" si="128"/>
        <v>0</v>
      </c>
      <c r="AA112" s="1989"/>
      <c r="AB112" s="2003">
        <f t="shared" si="129"/>
        <v>0</v>
      </c>
      <c r="AC112" s="1989"/>
      <c r="AD112" s="2003">
        <f t="shared" si="130"/>
        <v>0</v>
      </c>
      <c r="AE112" s="1989"/>
      <c r="AF112" s="1989"/>
      <c r="AG112" s="2002">
        <f t="shared" si="131"/>
        <v>0</v>
      </c>
      <c r="AH112" s="1999"/>
      <c r="AI112" s="1993"/>
      <c r="AJ112" s="2003">
        <f t="shared" si="132"/>
        <v>0</v>
      </c>
      <c r="AK112" s="1989"/>
      <c r="AL112" s="2003">
        <f t="shared" si="133"/>
        <v>0</v>
      </c>
      <c r="AM112" s="1989"/>
      <c r="AN112" s="2003">
        <f t="shared" si="134"/>
        <v>0</v>
      </c>
      <c r="AO112" s="1989"/>
      <c r="AP112" s="1989"/>
      <c r="AQ112" s="2002">
        <f t="shared" si="135"/>
        <v>0</v>
      </c>
      <c r="AR112" s="1999"/>
      <c r="AS112" s="1993"/>
      <c r="AT112" s="2003">
        <f t="shared" si="136"/>
        <v>0</v>
      </c>
      <c r="AU112" s="1989"/>
      <c r="AV112" s="2003">
        <f t="shared" si="137"/>
        <v>0</v>
      </c>
      <c r="AW112" s="1989"/>
      <c r="AX112" s="2003">
        <f t="shared" si="138"/>
        <v>0</v>
      </c>
      <c r="AY112" s="1989"/>
      <c r="AZ112" s="1989"/>
      <c r="BA112" s="2002">
        <f t="shared" si="139"/>
        <v>0</v>
      </c>
      <c r="BB112" s="1999"/>
      <c r="BC112" s="1993"/>
      <c r="BD112" s="2003">
        <f t="shared" si="140"/>
        <v>0</v>
      </c>
      <c r="BE112" s="1989"/>
      <c r="BF112" s="2003">
        <f t="shared" si="141"/>
        <v>0</v>
      </c>
      <c r="BG112" s="1989"/>
      <c r="BH112" s="2003">
        <f t="shared" si="142"/>
        <v>0</v>
      </c>
      <c r="BI112" s="1989"/>
      <c r="BJ112" s="1989"/>
      <c r="BK112" s="2002">
        <f t="shared" si="143"/>
        <v>0</v>
      </c>
      <c r="BL112" s="1999"/>
      <c r="BM112" s="1993"/>
      <c r="BN112" s="2003">
        <f t="shared" si="144"/>
        <v>0</v>
      </c>
      <c r="BO112" s="1989"/>
      <c r="BP112" s="2003">
        <f t="shared" si="145"/>
        <v>0</v>
      </c>
      <c r="BQ112" s="1989"/>
      <c r="BR112" s="2003">
        <f t="shared" si="146"/>
        <v>0</v>
      </c>
      <c r="BS112" s="1989"/>
      <c r="BT112" s="1989"/>
      <c r="BU112" s="2002">
        <f t="shared" si="147"/>
        <v>0</v>
      </c>
      <c r="BV112" s="1999"/>
      <c r="BW112" s="1993"/>
      <c r="BX112" s="2003">
        <f t="shared" si="148"/>
        <v>0</v>
      </c>
      <c r="BY112" s="1989"/>
      <c r="BZ112" s="2003">
        <f t="shared" si="149"/>
        <v>0</v>
      </c>
      <c r="CA112" s="1989"/>
      <c r="CB112" s="2003">
        <f t="shared" si="150"/>
        <v>0</v>
      </c>
      <c r="CC112" s="1989"/>
      <c r="CD112" s="1989"/>
      <c r="CE112" s="2002">
        <f t="shared" si="151"/>
        <v>0</v>
      </c>
      <c r="CF112" s="1999"/>
      <c r="CG112" s="1993"/>
      <c r="CH112" s="2003">
        <f t="shared" si="152"/>
        <v>0</v>
      </c>
      <c r="CI112" s="1989"/>
      <c r="CJ112" s="2003">
        <f t="shared" si="153"/>
        <v>0</v>
      </c>
      <c r="CK112" s="1989"/>
      <c r="CL112" s="2003">
        <f t="shared" si="154"/>
        <v>0</v>
      </c>
      <c r="CM112" s="1989"/>
      <c r="CN112" s="1989"/>
      <c r="CO112" s="2002">
        <f t="shared" si="155"/>
        <v>0</v>
      </c>
      <c r="CP112" s="1999"/>
      <c r="CQ112" s="1993"/>
      <c r="CR112" s="2003">
        <f t="shared" si="156"/>
        <v>0</v>
      </c>
      <c r="CS112" s="1989"/>
      <c r="CT112" s="2003">
        <f t="shared" si="157"/>
        <v>0</v>
      </c>
      <c r="CU112" s="1989"/>
      <c r="CV112" s="2003">
        <f t="shared" si="158"/>
        <v>0</v>
      </c>
      <c r="CW112" s="1989"/>
      <c r="CX112" s="1989"/>
      <c r="CY112" s="2002">
        <f t="shared" si="159"/>
        <v>0</v>
      </c>
      <c r="CZ112" s="1999"/>
      <c r="DA112" s="1993"/>
      <c r="DB112" s="2003">
        <f t="shared" si="160"/>
        <v>0</v>
      </c>
      <c r="DC112" s="1989"/>
      <c r="DD112" s="2003">
        <f t="shared" si="161"/>
        <v>0</v>
      </c>
      <c r="DE112" s="1989"/>
      <c r="DF112" s="2003">
        <f t="shared" si="162"/>
        <v>0</v>
      </c>
      <c r="DG112" s="1989"/>
      <c r="DH112" s="1989"/>
      <c r="DI112" s="2002">
        <f t="shared" si="163"/>
        <v>0</v>
      </c>
      <c r="DJ112" s="1999"/>
      <c r="DK112" s="1993"/>
      <c r="DL112" s="2003">
        <f t="shared" si="164"/>
        <v>0</v>
      </c>
      <c r="DM112" s="1989"/>
      <c r="DN112" s="2003">
        <f t="shared" si="165"/>
        <v>0</v>
      </c>
      <c r="DO112" s="1989"/>
      <c r="DP112" s="2003">
        <f t="shared" si="166"/>
        <v>0</v>
      </c>
      <c r="DQ112" s="1989"/>
      <c r="DR112" s="1989"/>
      <c r="DS112" s="2002">
        <f t="shared" si="167"/>
        <v>0</v>
      </c>
      <c r="DT112" s="2004"/>
      <c r="DU112" s="1988"/>
      <c r="DV112" s="2003">
        <f t="shared" si="168"/>
        <v>0</v>
      </c>
      <c r="DW112" s="1989"/>
      <c r="DX112" s="2003">
        <f t="shared" si="169"/>
        <v>0</v>
      </c>
      <c r="DY112" s="1989"/>
      <c r="DZ112" s="2003">
        <f t="shared" si="170"/>
        <v>0</v>
      </c>
      <c r="EA112" s="1989"/>
      <c r="EB112" s="1989"/>
      <c r="EC112" s="2002">
        <f t="shared" si="171"/>
        <v>0</v>
      </c>
      <c r="ED112" s="1998"/>
      <c r="EE112" s="2005"/>
      <c r="EF112" s="2003">
        <f t="shared" si="172"/>
        <v>0</v>
      </c>
      <c r="EG112" s="1989"/>
      <c r="EH112" s="2003">
        <f t="shared" si="173"/>
        <v>0</v>
      </c>
      <c r="EI112" s="1989"/>
      <c r="EJ112" s="2003">
        <f t="shared" si="174"/>
        <v>0</v>
      </c>
      <c r="EK112" s="1989"/>
      <c r="EL112" s="1989"/>
      <c r="EM112" s="2006">
        <f t="shared" si="175"/>
        <v>0</v>
      </c>
      <c r="EN112" s="1999"/>
      <c r="EP112" s="1613" t="e">
        <f>EA112-#REF!/10^7</f>
        <v>#REF!</v>
      </c>
      <c r="EW112" s="1611" t="e">
        <v>#N/A</v>
      </c>
      <c r="EX112" s="1612" t="e">
        <v>#N/A</v>
      </c>
      <c r="EZ112" s="1650">
        <f t="shared" si="176"/>
        <v>0</v>
      </c>
    </row>
    <row r="113" spans="1:156" ht="21" customHeight="1">
      <c r="A113" s="1652" t="s">
        <v>28</v>
      </c>
      <c r="B113" s="1638" t="s">
        <v>1739</v>
      </c>
      <c r="C113" s="1639"/>
      <c r="D113" s="1640"/>
      <c r="E113" s="1640"/>
      <c r="F113" s="1640"/>
      <c r="G113" s="1640"/>
      <c r="H113" s="1640"/>
      <c r="I113" s="1648"/>
      <c r="J113" s="1649"/>
      <c r="K113" s="1648"/>
      <c r="L113" s="1640"/>
      <c r="M113" s="1640"/>
      <c r="N113" s="1642"/>
      <c r="O113" s="2000"/>
      <c r="P113" s="2003">
        <f t="shared" si="124"/>
        <v>0</v>
      </c>
      <c r="Q113" s="1989"/>
      <c r="R113" s="2003">
        <f t="shared" si="125"/>
        <v>0</v>
      </c>
      <c r="S113" s="1989"/>
      <c r="T113" s="2003">
        <f t="shared" si="126"/>
        <v>0</v>
      </c>
      <c r="U113" s="1989"/>
      <c r="V113" s="1989"/>
      <c r="W113" s="1989">
        <f t="shared" si="127"/>
        <v>0</v>
      </c>
      <c r="X113" s="1999">
        <f t="shared" ref="X113:X118" si="248">Q113+S113+U113+V113</f>
        <v>0</v>
      </c>
      <c r="Y113" s="1993"/>
      <c r="Z113" s="2003">
        <f t="shared" si="128"/>
        <v>0</v>
      </c>
      <c r="AA113" s="1989"/>
      <c r="AB113" s="2003">
        <f t="shared" si="129"/>
        <v>0</v>
      </c>
      <c r="AC113" s="1989"/>
      <c r="AD113" s="2003">
        <f t="shared" si="130"/>
        <v>0</v>
      </c>
      <c r="AE113" s="1989"/>
      <c r="AF113" s="1989"/>
      <c r="AG113" s="2002">
        <f t="shared" si="131"/>
        <v>0</v>
      </c>
      <c r="AH113" s="1999">
        <f t="shared" ref="AH113:AH118" si="249">AA113+AC113+AE113+AF113</f>
        <v>0</v>
      </c>
      <c r="AI113" s="1993"/>
      <c r="AJ113" s="2003">
        <f t="shared" si="132"/>
        <v>0</v>
      </c>
      <c r="AK113" s="1989"/>
      <c r="AL113" s="2003">
        <f t="shared" si="133"/>
        <v>0</v>
      </c>
      <c r="AM113" s="1989"/>
      <c r="AN113" s="2003">
        <f t="shared" si="134"/>
        <v>0</v>
      </c>
      <c r="AO113" s="1989"/>
      <c r="AP113" s="1989"/>
      <c r="AQ113" s="2002">
        <f t="shared" si="135"/>
        <v>0</v>
      </c>
      <c r="AR113" s="1999">
        <f t="shared" ref="AR113:AR118" si="250">AK113+AM113+AO113+AP113</f>
        <v>0</v>
      </c>
      <c r="AS113" s="1993"/>
      <c r="AT113" s="2003">
        <f t="shared" si="136"/>
        <v>0</v>
      </c>
      <c r="AU113" s="1989"/>
      <c r="AV113" s="2003">
        <f t="shared" si="137"/>
        <v>0</v>
      </c>
      <c r="AW113" s="1989"/>
      <c r="AX113" s="2003">
        <f t="shared" si="138"/>
        <v>0</v>
      </c>
      <c r="AY113" s="1989"/>
      <c r="AZ113" s="1989"/>
      <c r="BA113" s="2002">
        <f t="shared" si="139"/>
        <v>0</v>
      </c>
      <c r="BB113" s="1999">
        <f t="shared" ref="BB113:BB118" si="251">AU113+AW113+AY113+AZ113</f>
        <v>0</v>
      </c>
      <c r="BC113" s="1993"/>
      <c r="BD113" s="2003">
        <f t="shared" si="140"/>
        <v>0</v>
      </c>
      <c r="BE113" s="1989"/>
      <c r="BF113" s="2003">
        <f t="shared" si="141"/>
        <v>0</v>
      </c>
      <c r="BG113" s="1989"/>
      <c r="BH113" s="2003">
        <f t="shared" si="142"/>
        <v>0</v>
      </c>
      <c r="BI113" s="1989"/>
      <c r="BJ113" s="1989"/>
      <c r="BK113" s="2002">
        <f t="shared" si="143"/>
        <v>0</v>
      </c>
      <c r="BL113" s="1999">
        <f t="shared" ref="BL113:BL118" si="252">BE113+BG113+BI113+BJ113</f>
        <v>0</v>
      </c>
      <c r="BM113" s="1993"/>
      <c r="BN113" s="2003">
        <f t="shared" si="144"/>
        <v>0</v>
      </c>
      <c r="BO113" s="1989"/>
      <c r="BP113" s="2003">
        <f t="shared" si="145"/>
        <v>0</v>
      </c>
      <c r="BQ113" s="1989"/>
      <c r="BR113" s="2003">
        <f t="shared" si="146"/>
        <v>0</v>
      </c>
      <c r="BS113" s="1989"/>
      <c r="BT113" s="1989"/>
      <c r="BU113" s="2002">
        <f t="shared" si="147"/>
        <v>0</v>
      </c>
      <c r="BV113" s="1999">
        <f t="shared" ref="BV113:BV118" si="253">BO113+BQ113+BS113+BT113</f>
        <v>0</v>
      </c>
      <c r="BW113" s="1993"/>
      <c r="BX113" s="2003">
        <f t="shared" si="148"/>
        <v>0</v>
      </c>
      <c r="BY113" s="1989"/>
      <c r="BZ113" s="2003">
        <f t="shared" si="149"/>
        <v>0</v>
      </c>
      <c r="CA113" s="1989"/>
      <c r="CB113" s="2003">
        <f t="shared" si="150"/>
        <v>0</v>
      </c>
      <c r="CC113" s="1989"/>
      <c r="CD113" s="1989"/>
      <c r="CE113" s="2002">
        <f t="shared" si="151"/>
        <v>0</v>
      </c>
      <c r="CF113" s="1999">
        <f t="shared" ref="CF113:CF118" si="254">BY113+CA113+CC113+CD113</f>
        <v>0</v>
      </c>
      <c r="CG113" s="1993"/>
      <c r="CH113" s="2003">
        <f t="shared" si="152"/>
        <v>0</v>
      </c>
      <c r="CI113" s="1989"/>
      <c r="CJ113" s="2003">
        <f t="shared" si="153"/>
        <v>0</v>
      </c>
      <c r="CK113" s="1989"/>
      <c r="CL113" s="2003">
        <f t="shared" si="154"/>
        <v>0</v>
      </c>
      <c r="CM113" s="1989"/>
      <c r="CN113" s="1989"/>
      <c r="CO113" s="2002">
        <f t="shared" si="155"/>
        <v>0</v>
      </c>
      <c r="CP113" s="1999">
        <f t="shared" ref="CP113:CP118" si="255">CI113+CK113+CM113+CN113</f>
        <v>0</v>
      </c>
      <c r="CQ113" s="1993"/>
      <c r="CR113" s="2003">
        <f t="shared" si="156"/>
        <v>0</v>
      </c>
      <c r="CS113" s="1989"/>
      <c r="CT113" s="2003">
        <f t="shared" si="157"/>
        <v>0</v>
      </c>
      <c r="CU113" s="1989"/>
      <c r="CV113" s="2003">
        <f t="shared" si="158"/>
        <v>0</v>
      </c>
      <c r="CW113" s="1989"/>
      <c r="CX113" s="1989"/>
      <c r="CY113" s="2002">
        <f t="shared" si="159"/>
        <v>0</v>
      </c>
      <c r="CZ113" s="1999">
        <f t="shared" ref="CZ113:CZ118" si="256">CS113+CU113+CW113+CX113</f>
        <v>0</v>
      </c>
      <c r="DA113" s="1993"/>
      <c r="DB113" s="2003">
        <f t="shared" si="160"/>
        <v>0</v>
      </c>
      <c r="DC113" s="1989"/>
      <c r="DD113" s="2003">
        <f t="shared" si="161"/>
        <v>0</v>
      </c>
      <c r="DE113" s="1989"/>
      <c r="DF113" s="2003">
        <f t="shared" si="162"/>
        <v>0</v>
      </c>
      <c r="DG113" s="1989"/>
      <c r="DH113" s="1989"/>
      <c r="DI113" s="2002">
        <f t="shared" si="163"/>
        <v>0</v>
      </c>
      <c r="DJ113" s="1999">
        <f t="shared" ref="DJ113:DJ118" si="257">DC113+DE113+DG113+DH113</f>
        <v>0</v>
      </c>
      <c r="DK113" s="1993"/>
      <c r="DL113" s="2003">
        <f t="shared" si="164"/>
        <v>0</v>
      </c>
      <c r="DM113" s="1989"/>
      <c r="DN113" s="2003">
        <f t="shared" si="165"/>
        <v>0</v>
      </c>
      <c r="DO113" s="1989"/>
      <c r="DP113" s="2003">
        <f t="shared" si="166"/>
        <v>0</v>
      </c>
      <c r="DQ113" s="1989"/>
      <c r="DR113" s="1989"/>
      <c r="DS113" s="2002">
        <f t="shared" si="167"/>
        <v>0</v>
      </c>
      <c r="DT113" s="2004">
        <f t="shared" ref="DT113:DT118" si="258">DM113+DO113+DQ113+DR113</f>
        <v>0</v>
      </c>
      <c r="DU113" s="1988"/>
      <c r="DV113" s="2003">
        <f t="shared" si="168"/>
        <v>0</v>
      </c>
      <c r="DW113" s="1989"/>
      <c r="DX113" s="2003">
        <f t="shared" si="169"/>
        <v>0</v>
      </c>
      <c r="DY113" s="1989"/>
      <c r="DZ113" s="2003">
        <f t="shared" si="170"/>
        <v>0</v>
      </c>
      <c r="EA113" s="1989"/>
      <c r="EB113" s="1989"/>
      <c r="EC113" s="2002">
        <f t="shared" si="171"/>
        <v>0</v>
      </c>
      <c r="ED113" s="1998">
        <f t="shared" ref="ED113:ED118" si="259">DW113+DY113+EA113+EB113</f>
        <v>0</v>
      </c>
      <c r="EE113" s="2005"/>
      <c r="EF113" s="2003">
        <f t="shared" si="172"/>
        <v>0</v>
      </c>
      <c r="EG113" s="1989"/>
      <c r="EH113" s="2003">
        <f t="shared" si="173"/>
        <v>0</v>
      </c>
      <c r="EI113" s="1989"/>
      <c r="EJ113" s="2003">
        <f t="shared" si="174"/>
        <v>0</v>
      </c>
      <c r="EK113" s="1989"/>
      <c r="EL113" s="1989"/>
      <c r="EM113" s="2006">
        <f t="shared" si="175"/>
        <v>0</v>
      </c>
      <c r="EN113" s="1999"/>
      <c r="EP113" s="1613" t="e">
        <f>EA113-#REF!/10^7</f>
        <v>#REF!</v>
      </c>
      <c r="EW113" s="1611" t="e">
        <v>#N/A</v>
      </c>
      <c r="EX113" s="1612">
        <v>0</v>
      </c>
      <c r="EZ113" s="1650">
        <f t="shared" si="176"/>
        <v>0</v>
      </c>
    </row>
    <row r="114" spans="1:156" ht="21" customHeight="1">
      <c r="A114" s="1652">
        <v>1</v>
      </c>
      <c r="B114" s="1644" t="s">
        <v>1740</v>
      </c>
      <c r="C114" s="1682">
        <v>800</v>
      </c>
      <c r="D114" s="1646">
        <f>H114/C114*100</f>
        <v>19.89</v>
      </c>
      <c r="E114" s="1646">
        <v>110.101</v>
      </c>
      <c r="F114" s="1665">
        <v>1</v>
      </c>
      <c r="G114" s="1640"/>
      <c r="H114" s="1669">
        <v>159.12</v>
      </c>
      <c r="I114" s="1648" t="s">
        <v>1717</v>
      </c>
      <c r="J114" s="1649">
        <v>1</v>
      </c>
      <c r="K114" s="1648"/>
      <c r="L114" s="1640"/>
      <c r="M114" s="1640"/>
      <c r="N114" s="1642"/>
      <c r="O114" s="2000" t="e">
        <f>#REF!</f>
        <v>#REF!</v>
      </c>
      <c r="P114" s="2003">
        <f t="shared" si="124"/>
        <v>0</v>
      </c>
      <c r="Q114" s="1989" t="e">
        <f>#REF!/10^7</f>
        <v>#REF!</v>
      </c>
      <c r="R114" s="2003">
        <f t="shared" si="125"/>
        <v>0</v>
      </c>
      <c r="S114" s="1989" t="e">
        <f>#REF!/10^7</f>
        <v>#REF!</v>
      </c>
      <c r="T114" s="2003">
        <f t="shared" si="126"/>
        <v>0</v>
      </c>
      <c r="U114" s="1989" t="e">
        <f>#REF!/10^7</f>
        <v>#REF!</v>
      </c>
      <c r="V114" s="1989" t="e">
        <f>#REF!/10^7</f>
        <v>#REF!</v>
      </c>
      <c r="W114" s="1989">
        <f t="shared" si="127"/>
        <v>0</v>
      </c>
      <c r="X114" s="1999" t="e">
        <f t="shared" si="248"/>
        <v>#REF!</v>
      </c>
      <c r="Y114" s="1993" t="e">
        <f>#REF!</f>
        <v>#REF!</v>
      </c>
      <c r="Z114" s="2003">
        <f t="shared" si="128"/>
        <v>0</v>
      </c>
      <c r="AA114" s="1989" t="e">
        <f>#REF!/10^7</f>
        <v>#REF!</v>
      </c>
      <c r="AB114" s="2003">
        <f t="shared" si="129"/>
        <v>0</v>
      </c>
      <c r="AC114" s="1989" t="e">
        <f>#REF!/10^7</f>
        <v>#REF!</v>
      </c>
      <c r="AD114" s="2003">
        <f t="shared" si="130"/>
        <v>0</v>
      </c>
      <c r="AE114" s="1989" t="e">
        <f>#REF!/10^7</f>
        <v>#REF!</v>
      </c>
      <c r="AF114" s="1989" t="e">
        <f>#REF!/10^7</f>
        <v>#REF!</v>
      </c>
      <c r="AG114" s="2002" t="e">
        <f t="shared" si="131"/>
        <v>#REF!</v>
      </c>
      <c r="AH114" s="1999" t="e">
        <f t="shared" si="249"/>
        <v>#REF!</v>
      </c>
      <c r="AI114" s="1993" t="e">
        <f>#REF!</f>
        <v>#REF!</v>
      </c>
      <c r="AJ114" s="2003">
        <f t="shared" si="132"/>
        <v>0</v>
      </c>
      <c r="AK114" s="1989" t="e">
        <f>#REF!/10^7</f>
        <v>#REF!</v>
      </c>
      <c r="AL114" s="2003">
        <f t="shared" si="133"/>
        <v>0</v>
      </c>
      <c r="AM114" s="1989" t="e">
        <f>#REF!/10^7</f>
        <v>#REF!</v>
      </c>
      <c r="AN114" s="2003">
        <f t="shared" si="134"/>
        <v>0</v>
      </c>
      <c r="AO114" s="1989" t="e">
        <f>#REF!/10^7</f>
        <v>#REF!</v>
      </c>
      <c r="AP114" s="1989" t="e">
        <f>#REF!/10^7</f>
        <v>#REF!</v>
      </c>
      <c r="AQ114" s="2002" t="e">
        <f t="shared" si="135"/>
        <v>#REF!</v>
      </c>
      <c r="AR114" s="1999" t="e">
        <f t="shared" si="250"/>
        <v>#REF!</v>
      </c>
      <c r="AS114" s="1993" t="e">
        <f>#REF!</f>
        <v>#REF!</v>
      </c>
      <c r="AT114" s="2003">
        <f t="shared" si="136"/>
        <v>0</v>
      </c>
      <c r="AU114" s="1989" t="e">
        <f>#REF!/10^7</f>
        <v>#REF!</v>
      </c>
      <c r="AV114" s="2003">
        <f t="shared" si="137"/>
        <v>0</v>
      </c>
      <c r="AW114" s="1989" t="e">
        <f>#REF!/10^7</f>
        <v>#REF!</v>
      </c>
      <c r="AX114" s="2003">
        <f t="shared" si="138"/>
        <v>0</v>
      </c>
      <c r="AY114" s="1989" t="e">
        <f>#REF!/10^7</f>
        <v>#REF!</v>
      </c>
      <c r="AZ114" s="1989" t="e">
        <f>#REF!/10^7</f>
        <v>#REF!</v>
      </c>
      <c r="BA114" s="2002" t="e">
        <f t="shared" si="139"/>
        <v>#REF!</v>
      </c>
      <c r="BB114" s="1999" t="e">
        <f t="shared" si="251"/>
        <v>#REF!</v>
      </c>
      <c r="BC114" s="1993" t="e">
        <f>#REF!</f>
        <v>#REF!</v>
      </c>
      <c r="BD114" s="2003">
        <f t="shared" si="140"/>
        <v>0</v>
      </c>
      <c r="BE114" s="1989" t="e">
        <f>#REF!/10^7</f>
        <v>#REF!</v>
      </c>
      <c r="BF114" s="2003">
        <f t="shared" si="141"/>
        <v>0</v>
      </c>
      <c r="BG114" s="1989" t="e">
        <f>#REF!/10^7</f>
        <v>#REF!</v>
      </c>
      <c r="BH114" s="2003">
        <f t="shared" si="142"/>
        <v>0</v>
      </c>
      <c r="BI114" s="1989" t="e">
        <f>#REF!/10^7</f>
        <v>#REF!</v>
      </c>
      <c r="BJ114" s="1989" t="e">
        <f>#REF!/10^7</f>
        <v>#REF!</v>
      </c>
      <c r="BK114" s="2002" t="e">
        <f t="shared" si="143"/>
        <v>#REF!</v>
      </c>
      <c r="BL114" s="1999" t="e">
        <f t="shared" si="252"/>
        <v>#REF!</v>
      </c>
      <c r="BM114" s="1993" t="e">
        <f>#REF!</f>
        <v>#REF!</v>
      </c>
      <c r="BN114" s="2003">
        <f t="shared" si="144"/>
        <v>0</v>
      </c>
      <c r="BO114" s="1989" t="e">
        <f>#REF!/10^7</f>
        <v>#REF!</v>
      </c>
      <c r="BP114" s="2003">
        <f t="shared" si="145"/>
        <v>0</v>
      </c>
      <c r="BQ114" s="1989" t="e">
        <f>#REF!/10^7</f>
        <v>#REF!</v>
      </c>
      <c r="BR114" s="2003">
        <f t="shared" si="146"/>
        <v>0</v>
      </c>
      <c r="BS114" s="1989" t="e">
        <f>#REF!/10^7</f>
        <v>#REF!</v>
      </c>
      <c r="BT114" s="1989" t="e">
        <f>#REF!/10^7</f>
        <v>#REF!</v>
      </c>
      <c r="BU114" s="2002" t="e">
        <f t="shared" si="147"/>
        <v>#REF!</v>
      </c>
      <c r="BV114" s="1999" t="e">
        <f t="shared" si="253"/>
        <v>#REF!</v>
      </c>
      <c r="BW114" s="1993" t="e">
        <f>#REF!</f>
        <v>#REF!</v>
      </c>
      <c r="BX114" s="2003">
        <f t="shared" si="148"/>
        <v>0</v>
      </c>
      <c r="BY114" s="1989" t="e">
        <f>#REF!/10^7</f>
        <v>#REF!</v>
      </c>
      <c r="BZ114" s="2003">
        <f t="shared" si="149"/>
        <v>0</v>
      </c>
      <c r="CA114" s="1989" t="e">
        <f>#REF!/10^7</f>
        <v>#REF!</v>
      </c>
      <c r="CB114" s="2003">
        <f t="shared" si="150"/>
        <v>0</v>
      </c>
      <c r="CC114" s="1989" t="e">
        <f>#REF!/10^7</f>
        <v>#REF!</v>
      </c>
      <c r="CD114" s="1989" t="e">
        <f>#REF!/10^7</f>
        <v>#REF!</v>
      </c>
      <c r="CE114" s="2002" t="e">
        <f t="shared" si="151"/>
        <v>#REF!</v>
      </c>
      <c r="CF114" s="1999" t="e">
        <f t="shared" si="254"/>
        <v>#REF!</v>
      </c>
      <c r="CG114" s="1993" t="e">
        <f>#REF!</f>
        <v>#REF!</v>
      </c>
      <c r="CH114" s="2003">
        <f t="shared" si="152"/>
        <v>0</v>
      </c>
      <c r="CI114" s="1989" t="e">
        <f>#REF!/10^7</f>
        <v>#REF!</v>
      </c>
      <c r="CJ114" s="2003">
        <f t="shared" si="153"/>
        <v>0</v>
      </c>
      <c r="CK114" s="1989" t="e">
        <f>#REF!/10^7</f>
        <v>#REF!</v>
      </c>
      <c r="CL114" s="2003">
        <f t="shared" si="154"/>
        <v>0</v>
      </c>
      <c r="CM114" s="1989" t="e">
        <f>#REF!/10^7</f>
        <v>#REF!</v>
      </c>
      <c r="CN114" s="1989" t="e">
        <f>#REF!/10^7</f>
        <v>#REF!</v>
      </c>
      <c r="CO114" s="2002" t="e">
        <f t="shared" si="155"/>
        <v>#REF!</v>
      </c>
      <c r="CP114" s="1999" t="e">
        <f t="shared" si="255"/>
        <v>#REF!</v>
      </c>
      <c r="CQ114" s="1993" t="e">
        <f>#REF!</f>
        <v>#REF!</v>
      </c>
      <c r="CR114" s="2003">
        <f t="shared" si="156"/>
        <v>0</v>
      </c>
      <c r="CS114" s="1989" t="e">
        <f>#REF!/10^7</f>
        <v>#REF!</v>
      </c>
      <c r="CT114" s="2003">
        <f t="shared" si="157"/>
        <v>0</v>
      </c>
      <c r="CU114" s="1989" t="e">
        <f>#REF!/10^7</f>
        <v>#REF!</v>
      </c>
      <c r="CV114" s="2003">
        <f t="shared" si="158"/>
        <v>0</v>
      </c>
      <c r="CW114" s="1989" t="e">
        <f>#REF!/10^7</f>
        <v>#REF!</v>
      </c>
      <c r="CX114" s="1989" t="e">
        <f>#REF!/10^7</f>
        <v>#REF!</v>
      </c>
      <c r="CY114" s="2002" t="e">
        <f t="shared" si="159"/>
        <v>#REF!</v>
      </c>
      <c r="CZ114" s="1999" t="e">
        <f t="shared" si="256"/>
        <v>#REF!</v>
      </c>
      <c r="DA114" s="1993" t="e">
        <f>#REF!</f>
        <v>#REF!</v>
      </c>
      <c r="DB114" s="2003">
        <f t="shared" si="160"/>
        <v>0</v>
      </c>
      <c r="DC114" s="1989" t="e">
        <f>#REF!/10^7</f>
        <v>#REF!</v>
      </c>
      <c r="DD114" s="2003">
        <f t="shared" si="161"/>
        <v>0</v>
      </c>
      <c r="DE114" s="1989" t="e">
        <f>#REF!/10^7</f>
        <v>#REF!</v>
      </c>
      <c r="DF114" s="2003">
        <f t="shared" si="162"/>
        <v>0</v>
      </c>
      <c r="DG114" s="1989" t="e">
        <f>#REF!/10^7</f>
        <v>#REF!</v>
      </c>
      <c r="DH114" s="1989" t="e">
        <f>#REF!/10^7</f>
        <v>#REF!</v>
      </c>
      <c r="DI114" s="2002" t="e">
        <f t="shared" si="163"/>
        <v>#REF!</v>
      </c>
      <c r="DJ114" s="1999" t="e">
        <f t="shared" si="257"/>
        <v>#REF!</v>
      </c>
      <c r="DK114" s="1993" t="e">
        <f>#REF!</f>
        <v>#REF!</v>
      </c>
      <c r="DL114" s="2003">
        <f t="shared" si="164"/>
        <v>0</v>
      </c>
      <c r="DM114" s="1989" t="e">
        <f>#REF!/10^7</f>
        <v>#REF!</v>
      </c>
      <c r="DN114" s="2003">
        <f t="shared" si="165"/>
        <v>0</v>
      </c>
      <c r="DO114" s="1989" t="e">
        <f>#REF!/10^7</f>
        <v>#REF!</v>
      </c>
      <c r="DP114" s="2003">
        <f t="shared" si="166"/>
        <v>0</v>
      </c>
      <c r="DQ114" s="1989" t="e">
        <f>#REF!/10^7</f>
        <v>#REF!</v>
      </c>
      <c r="DR114" s="1989" t="e">
        <f>#REF!/10^7</f>
        <v>#REF!</v>
      </c>
      <c r="DS114" s="2002" t="e">
        <f t="shared" si="167"/>
        <v>#REF!</v>
      </c>
      <c r="DT114" s="2004" t="e">
        <f t="shared" si="258"/>
        <v>#REF!</v>
      </c>
      <c r="DU114" s="1988" t="e">
        <f>#REF!</f>
        <v>#REF!</v>
      </c>
      <c r="DV114" s="2003">
        <f t="shared" si="168"/>
        <v>0</v>
      </c>
      <c r="DW114" s="1989" t="e">
        <f>#REF!/10^7</f>
        <v>#REF!</v>
      </c>
      <c r="DX114" s="2003">
        <f t="shared" si="169"/>
        <v>0</v>
      </c>
      <c r="DY114" s="1989" t="e">
        <f>#REF!/10^7</f>
        <v>#REF!</v>
      </c>
      <c r="DZ114" s="2003">
        <f t="shared" si="170"/>
        <v>0</v>
      </c>
      <c r="EA114" s="1989" t="e">
        <f>#REF!/10^7</f>
        <v>#REF!</v>
      </c>
      <c r="EB114" s="1989" t="e">
        <f>#REF!/10^7</f>
        <v>#REF!</v>
      </c>
      <c r="EC114" s="2002" t="e">
        <f t="shared" si="171"/>
        <v>#REF!</v>
      </c>
      <c r="ED114" s="1998" t="e">
        <f t="shared" si="259"/>
        <v>#REF!</v>
      </c>
      <c r="EE114" s="2005" t="e">
        <f>O114+Y114+AI114+AS114+BC114+BM114+BW114+CG114+CQ114+DA114+DK114+DU114</f>
        <v>#REF!</v>
      </c>
      <c r="EF114" s="2003">
        <f t="shared" si="172"/>
        <v>0</v>
      </c>
      <c r="EG114" s="1989" t="e">
        <f>Q114+AA114+AK114+AU114+BE114+BO114+BY114+CI114+CS114+DC114+DM114+DW114</f>
        <v>#REF!</v>
      </c>
      <c r="EH114" s="2003">
        <f t="shared" si="173"/>
        <v>0</v>
      </c>
      <c r="EI114" s="1989" t="e">
        <f>S114+AC114+AM114+AW114+BG114+BQ114+CA114+CK114+CU114+DE114+DO114+DY114</f>
        <v>#REF!</v>
      </c>
      <c r="EJ114" s="2003">
        <f t="shared" si="174"/>
        <v>0</v>
      </c>
      <c r="EK114" s="1989" t="e">
        <f t="shared" ref="EK114:EL118" si="260">U114+AE114+AO114+AY114+BI114+BS114+CC114+CM114+CW114+DG114+DQ114+EA114</f>
        <v>#REF!</v>
      </c>
      <c r="EL114" s="1989" t="e">
        <f t="shared" si="260"/>
        <v>#REF!</v>
      </c>
      <c r="EM114" s="2006" t="e">
        <f t="shared" si="175"/>
        <v>#REF!</v>
      </c>
      <c r="EN114" s="1999" t="e">
        <f>EG114+EI114+EK114+EL114</f>
        <v>#REF!</v>
      </c>
      <c r="EP114" s="1613" t="e">
        <f>EA114-#REF!/10^7</f>
        <v>#REF!</v>
      </c>
      <c r="EW114" s="1611" t="s">
        <v>1717</v>
      </c>
      <c r="EX114" s="1612" t="s">
        <v>1717</v>
      </c>
      <c r="EZ114" s="1650">
        <f t="shared" si="176"/>
        <v>0</v>
      </c>
    </row>
    <row r="115" spans="1:156" ht="21" customHeight="1">
      <c r="A115" s="1652">
        <v>2</v>
      </c>
      <c r="B115" s="1644" t="s">
        <v>1743</v>
      </c>
      <c r="C115" s="1682">
        <v>8</v>
      </c>
      <c r="D115" s="1646">
        <f>H115/C115*100</f>
        <v>42.5</v>
      </c>
      <c r="E115" s="1646">
        <v>87.852000000000004</v>
      </c>
      <c r="F115" s="1670" t="s">
        <v>1594</v>
      </c>
      <c r="G115" s="1640"/>
      <c r="H115" s="1640">
        <v>3.4</v>
      </c>
      <c r="I115" s="1648" t="s">
        <v>1717</v>
      </c>
      <c r="J115" s="1649">
        <v>1</v>
      </c>
      <c r="K115" s="1648"/>
      <c r="L115" s="1640"/>
      <c r="M115" s="1640"/>
      <c r="N115" s="1642"/>
      <c r="O115" s="2000" t="e">
        <f>#REF!</f>
        <v>#REF!</v>
      </c>
      <c r="P115" s="2003">
        <f t="shared" si="124"/>
        <v>0</v>
      </c>
      <c r="Q115" s="1989" t="e">
        <f>#REF!/10^7</f>
        <v>#REF!</v>
      </c>
      <c r="R115" s="2003">
        <f t="shared" si="125"/>
        <v>0</v>
      </c>
      <c r="S115" s="1989" t="e">
        <f>#REF!/10^7</f>
        <v>#REF!</v>
      </c>
      <c r="T115" s="2003">
        <f t="shared" si="126"/>
        <v>0</v>
      </c>
      <c r="U115" s="1989" t="e">
        <f>#REF!/10^7</f>
        <v>#REF!</v>
      </c>
      <c r="V115" s="1989" t="e">
        <f>#REF!/10^7</f>
        <v>#REF!</v>
      </c>
      <c r="W115" s="1989">
        <f t="shared" si="127"/>
        <v>0</v>
      </c>
      <c r="X115" s="1999" t="e">
        <f t="shared" si="248"/>
        <v>#REF!</v>
      </c>
      <c r="Y115" s="1993" t="e">
        <f>#REF!</f>
        <v>#REF!</v>
      </c>
      <c r="Z115" s="2003">
        <f t="shared" si="128"/>
        <v>0</v>
      </c>
      <c r="AA115" s="1989" t="e">
        <f>#REF!/10^7</f>
        <v>#REF!</v>
      </c>
      <c r="AB115" s="2003">
        <f t="shared" si="129"/>
        <v>0</v>
      </c>
      <c r="AC115" s="1989" t="e">
        <f>#REF!/10^7</f>
        <v>#REF!</v>
      </c>
      <c r="AD115" s="2003">
        <f t="shared" si="130"/>
        <v>0</v>
      </c>
      <c r="AE115" s="1989" t="e">
        <f>#REF!/10^7</f>
        <v>#REF!</v>
      </c>
      <c r="AF115" s="1989" t="e">
        <f>#REF!/10^7</f>
        <v>#REF!</v>
      </c>
      <c r="AG115" s="2002" t="e">
        <f t="shared" si="131"/>
        <v>#REF!</v>
      </c>
      <c r="AH115" s="1999" t="e">
        <f t="shared" si="249"/>
        <v>#REF!</v>
      </c>
      <c r="AI115" s="1993" t="e">
        <f>#REF!</f>
        <v>#REF!</v>
      </c>
      <c r="AJ115" s="2003">
        <f t="shared" si="132"/>
        <v>0</v>
      </c>
      <c r="AK115" s="1989" t="e">
        <f>#REF!/10^7</f>
        <v>#REF!</v>
      </c>
      <c r="AL115" s="2003">
        <f t="shared" si="133"/>
        <v>0</v>
      </c>
      <c r="AM115" s="1989" t="e">
        <f>#REF!/10^7</f>
        <v>#REF!</v>
      </c>
      <c r="AN115" s="2003">
        <f t="shared" si="134"/>
        <v>0</v>
      </c>
      <c r="AO115" s="1989" t="e">
        <f>#REF!/10^7</f>
        <v>#REF!</v>
      </c>
      <c r="AP115" s="1989" t="e">
        <f>#REF!/10^7</f>
        <v>#REF!</v>
      </c>
      <c r="AQ115" s="2002" t="e">
        <f t="shared" si="135"/>
        <v>#REF!</v>
      </c>
      <c r="AR115" s="1999" t="e">
        <f t="shared" si="250"/>
        <v>#REF!</v>
      </c>
      <c r="AS115" s="1993" t="e">
        <f>#REF!</f>
        <v>#REF!</v>
      </c>
      <c r="AT115" s="2003">
        <f t="shared" si="136"/>
        <v>0</v>
      </c>
      <c r="AU115" s="1989" t="e">
        <f>#REF!/10^7</f>
        <v>#REF!</v>
      </c>
      <c r="AV115" s="2003">
        <f t="shared" si="137"/>
        <v>0</v>
      </c>
      <c r="AW115" s="1989" t="e">
        <f>#REF!/10^7</f>
        <v>#REF!</v>
      </c>
      <c r="AX115" s="2003">
        <f t="shared" si="138"/>
        <v>0</v>
      </c>
      <c r="AY115" s="1989" t="e">
        <f>#REF!/10^7</f>
        <v>#REF!</v>
      </c>
      <c r="AZ115" s="1989" t="e">
        <f>#REF!/10^7</f>
        <v>#REF!</v>
      </c>
      <c r="BA115" s="2002" t="e">
        <f t="shared" si="139"/>
        <v>#REF!</v>
      </c>
      <c r="BB115" s="1999" t="e">
        <f t="shared" si="251"/>
        <v>#REF!</v>
      </c>
      <c r="BC115" s="1993" t="e">
        <f>#REF!</f>
        <v>#REF!</v>
      </c>
      <c r="BD115" s="2003">
        <f t="shared" si="140"/>
        <v>0</v>
      </c>
      <c r="BE115" s="1989" t="e">
        <f>#REF!/10^7</f>
        <v>#REF!</v>
      </c>
      <c r="BF115" s="2003">
        <f t="shared" si="141"/>
        <v>0</v>
      </c>
      <c r="BG115" s="1989" t="e">
        <f>#REF!/10^7</f>
        <v>#REF!</v>
      </c>
      <c r="BH115" s="2003">
        <f t="shared" si="142"/>
        <v>0</v>
      </c>
      <c r="BI115" s="1989" t="e">
        <f>#REF!/10^7</f>
        <v>#REF!</v>
      </c>
      <c r="BJ115" s="1989" t="e">
        <f>#REF!/10^7</f>
        <v>#REF!</v>
      </c>
      <c r="BK115" s="2002" t="e">
        <f t="shared" si="143"/>
        <v>#REF!</v>
      </c>
      <c r="BL115" s="1999" t="e">
        <f t="shared" si="252"/>
        <v>#REF!</v>
      </c>
      <c r="BM115" s="1993" t="e">
        <f>#REF!</f>
        <v>#REF!</v>
      </c>
      <c r="BN115" s="2003">
        <f t="shared" si="144"/>
        <v>0</v>
      </c>
      <c r="BO115" s="1989" t="e">
        <f>#REF!/10^7</f>
        <v>#REF!</v>
      </c>
      <c r="BP115" s="2003">
        <f t="shared" si="145"/>
        <v>0</v>
      </c>
      <c r="BQ115" s="1989" t="e">
        <f>#REF!/10^7</f>
        <v>#REF!</v>
      </c>
      <c r="BR115" s="2003">
        <f t="shared" si="146"/>
        <v>0</v>
      </c>
      <c r="BS115" s="1989" t="e">
        <f>#REF!/10^7</f>
        <v>#REF!</v>
      </c>
      <c r="BT115" s="1989" t="e">
        <f>#REF!/10^7</f>
        <v>#REF!</v>
      </c>
      <c r="BU115" s="2002" t="e">
        <f t="shared" si="147"/>
        <v>#REF!</v>
      </c>
      <c r="BV115" s="1999" t="e">
        <f t="shared" si="253"/>
        <v>#REF!</v>
      </c>
      <c r="BW115" s="1993" t="e">
        <f>#REF!</f>
        <v>#REF!</v>
      </c>
      <c r="BX115" s="2003">
        <f t="shared" si="148"/>
        <v>0</v>
      </c>
      <c r="BY115" s="1989" t="e">
        <f>#REF!/10^7</f>
        <v>#REF!</v>
      </c>
      <c r="BZ115" s="2003">
        <f t="shared" si="149"/>
        <v>0</v>
      </c>
      <c r="CA115" s="1989" t="e">
        <f>#REF!/10^7</f>
        <v>#REF!</v>
      </c>
      <c r="CB115" s="2003">
        <f t="shared" si="150"/>
        <v>0</v>
      </c>
      <c r="CC115" s="1989" t="e">
        <f>#REF!/10^7</f>
        <v>#REF!</v>
      </c>
      <c r="CD115" s="1989" t="e">
        <f>#REF!/10^7</f>
        <v>#REF!</v>
      </c>
      <c r="CE115" s="2002" t="e">
        <f t="shared" si="151"/>
        <v>#REF!</v>
      </c>
      <c r="CF115" s="1999" t="e">
        <f t="shared" si="254"/>
        <v>#REF!</v>
      </c>
      <c r="CG115" s="1993" t="e">
        <f>#REF!</f>
        <v>#REF!</v>
      </c>
      <c r="CH115" s="2003">
        <f t="shared" si="152"/>
        <v>0</v>
      </c>
      <c r="CI115" s="1989" t="e">
        <f>#REF!/10^7</f>
        <v>#REF!</v>
      </c>
      <c r="CJ115" s="2003">
        <f t="shared" si="153"/>
        <v>0</v>
      </c>
      <c r="CK115" s="1989" t="e">
        <f>#REF!/10^7</f>
        <v>#REF!</v>
      </c>
      <c r="CL115" s="2003">
        <f t="shared" si="154"/>
        <v>0</v>
      </c>
      <c r="CM115" s="1989" t="e">
        <f>#REF!/10^7</f>
        <v>#REF!</v>
      </c>
      <c r="CN115" s="1989" t="e">
        <f>#REF!/10^7</f>
        <v>#REF!</v>
      </c>
      <c r="CO115" s="2002" t="e">
        <f t="shared" si="155"/>
        <v>#REF!</v>
      </c>
      <c r="CP115" s="1999" t="e">
        <f t="shared" si="255"/>
        <v>#REF!</v>
      </c>
      <c r="CQ115" s="1993" t="e">
        <f>#REF!</f>
        <v>#REF!</v>
      </c>
      <c r="CR115" s="2003">
        <f t="shared" si="156"/>
        <v>0</v>
      </c>
      <c r="CS115" s="1989" t="e">
        <f>#REF!/10^7</f>
        <v>#REF!</v>
      </c>
      <c r="CT115" s="2003">
        <f t="shared" si="157"/>
        <v>0</v>
      </c>
      <c r="CU115" s="1989" t="e">
        <f>#REF!/10^7</f>
        <v>#REF!</v>
      </c>
      <c r="CV115" s="2003">
        <f t="shared" si="158"/>
        <v>0</v>
      </c>
      <c r="CW115" s="1989" t="e">
        <f>#REF!/10^7</f>
        <v>#REF!</v>
      </c>
      <c r="CX115" s="1989" t="e">
        <f>#REF!/10^7</f>
        <v>#REF!</v>
      </c>
      <c r="CY115" s="2002" t="e">
        <f t="shared" si="159"/>
        <v>#REF!</v>
      </c>
      <c r="CZ115" s="1999" t="e">
        <f t="shared" si="256"/>
        <v>#REF!</v>
      </c>
      <c r="DA115" s="1993" t="e">
        <f>#REF!</f>
        <v>#REF!</v>
      </c>
      <c r="DB115" s="2003">
        <f t="shared" si="160"/>
        <v>0</v>
      </c>
      <c r="DC115" s="1989" t="e">
        <f>#REF!/10^7</f>
        <v>#REF!</v>
      </c>
      <c r="DD115" s="2003">
        <f t="shared" si="161"/>
        <v>0</v>
      </c>
      <c r="DE115" s="1989" t="e">
        <f>#REF!/10^7</f>
        <v>#REF!</v>
      </c>
      <c r="DF115" s="2003">
        <f t="shared" si="162"/>
        <v>0</v>
      </c>
      <c r="DG115" s="1989" t="e">
        <f>#REF!/10^7</f>
        <v>#REF!</v>
      </c>
      <c r="DH115" s="1989" t="e">
        <f>#REF!/10^7</f>
        <v>#REF!</v>
      </c>
      <c r="DI115" s="2002" t="e">
        <f t="shared" si="163"/>
        <v>#REF!</v>
      </c>
      <c r="DJ115" s="1999" t="e">
        <f t="shared" si="257"/>
        <v>#REF!</v>
      </c>
      <c r="DK115" s="1993" t="e">
        <f>#REF!</f>
        <v>#REF!</v>
      </c>
      <c r="DL115" s="2003">
        <f t="shared" si="164"/>
        <v>0</v>
      </c>
      <c r="DM115" s="1989" t="e">
        <f>#REF!/10^7</f>
        <v>#REF!</v>
      </c>
      <c r="DN115" s="2003">
        <f t="shared" si="165"/>
        <v>0</v>
      </c>
      <c r="DO115" s="1989" t="e">
        <f>#REF!/10^7</f>
        <v>#REF!</v>
      </c>
      <c r="DP115" s="2003">
        <f t="shared" si="166"/>
        <v>0</v>
      </c>
      <c r="DQ115" s="1989" t="e">
        <f>#REF!/10^7</f>
        <v>#REF!</v>
      </c>
      <c r="DR115" s="1989" t="e">
        <f>#REF!/10^7</f>
        <v>#REF!</v>
      </c>
      <c r="DS115" s="2002" t="e">
        <f t="shared" si="167"/>
        <v>#REF!</v>
      </c>
      <c r="DT115" s="2004" t="e">
        <f t="shared" si="258"/>
        <v>#REF!</v>
      </c>
      <c r="DU115" s="1988" t="e">
        <f>#REF!</f>
        <v>#REF!</v>
      </c>
      <c r="DV115" s="2003">
        <f t="shared" si="168"/>
        <v>0</v>
      </c>
      <c r="DW115" s="1989" t="e">
        <f>#REF!/10^7</f>
        <v>#REF!</v>
      </c>
      <c r="DX115" s="2003">
        <f t="shared" si="169"/>
        <v>0</v>
      </c>
      <c r="DY115" s="1989" t="e">
        <f>#REF!/10^7</f>
        <v>#REF!</v>
      </c>
      <c r="DZ115" s="2003">
        <f t="shared" si="170"/>
        <v>0</v>
      </c>
      <c r="EA115" s="1989" t="e">
        <f>#REF!/10^7</f>
        <v>#REF!</v>
      </c>
      <c r="EB115" s="1989" t="e">
        <f>#REF!/10^7</f>
        <v>#REF!</v>
      </c>
      <c r="EC115" s="2002" t="e">
        <f t="shared" si="171"/>
        <v>#REF!</v>
      </c>
      <c r="ED115" s="1998" t="e">
        <f t="shared" si="259"/>
        <v>#REF!</v>
      </c>
      <c r="EE115" s="2005" t="e">
        <f>O115+Y115+AI115+AS115+BC115+BM115+BW115+CG115+CQ115+DA115+DK115+DU115</f>
        <v>#REF!</v>
      </c>
      <c r="EF115" s="2003">
        <f t="shared" si="172"/>
        <v>0</v>
      </c>
      <c r="EG115" s="1989" t="e">
        <f>Q115+AA115+AK115+AU115+BE115+BO115+BY115+CI115+CS115+DC115+DM115+DW115</f>
        <v>#REF!</v>
      </c>
      <c r="EH115" s="2003">
        <f t="shared" si="173"/>
        <v>0</v>
      </c>
      <c r="EI115" s="1989" t="e">
        <f>S115+AC115+AM115+AW115+BG115+BQ115+CA115+CK115+CU115+DE115+DO115+DY115</f>
        <v>#REF!</v>
      </c>
      <c r="EJ115" s="2003">
        <f t="shared" si="174"/>
        <v>0</v>
      </c>
      <c r="EK115" s="1989" t="e">
        <f t="shared" si="260"/>
        <v>#REF!</v>
      </c>
      <c r="EL115" s="1989" t="e">
        <f t="shared" si="260"/>
        <v>#REF!</v>
      </c>
      <c r="EM115" s="2006" t="e">
        <f t="shared" si="175"/>
        <v>#REF!</v>
      </c>
      <c r="EN115" s="1999" t="e">
        <f>EG115+EI115+EK115+EL115</f>
        <v>#REF!</v>
      </c>
      <c r="EP115" s="1613" t="e">
        <f>EA115-#REF!/10^7</f>
        <v>#REF!</v>
      </c>
      <c r="EW115" s="1611" t="s">
        <v>1717</v>
      </c>
      <c r="EX115" s="1612" t="s">
        <v>1717</v>
      </c>
      <c r="EZ115" s="1650">
        <f t="shared" si="176"/>
        <v>0</v>
      </c>
    </row>
    <row r="116" spans="1:156" ht="21" customHeight="1">
      <c r="A116" s="1652">
        <v>3</v>
      </c>
      <c r="B116" s="1644"/>
      <c r="C116" s="1639"/>
      <c r="D116" s="1640"/>
      <c r="E116" s="1640"/>
      <c r="F116" s="1640"/>
      <c r="G116" s="1640"/>
      <c r="H116" s="1640"/>
      <c r="I116" s="1648"/>
      <c r="J116" s="1649"/>
      <c r="K116" s="1648"/>
      <c r="L116" s="1640"/>
      <c r="M116" s="1640"/>
      <c r="N116" s="1642"/>
      <c r="O116" s="2000"/>
      <c r="P116" s="2003">
        <f t="shared" si="124"/>
        <v>0</v>
      </c>
      <c r="Q116" s="1989"/>
      <c r="R116" s="2003">
        <f t="shared" si="125"/>
        <v>0</v>
      </c>
      <c r="S116" s="1989"/>
      <c r="T116" s="2003">
        <f t="shared" si="126"/>
        <v>0</v>
      </c>
      <c r="U116" s="1989"/>
      <c r="V116" s="1989"/>
      <c r="W116" s="1989">
        <f t="shared" si="127"/>
        <v>0</v>
      </c>
      <c r="X116" s="1999">
        <f t="shared" si="248"/>
        <v>0</v>
      </c>
      <c r="Y116" s="1993"/>
      <c r="Z116" s="2003">
        <f t="shared" si="128"/>
        <v>0</v>
      </c>
      <c r="AA116" s="1989"/>
      <c r="AB116" s="2003">
        <f t="shared" si="129"/>
        <v>0</v>
      </c>
      <c r="AC116" s="1989"/>
      <c r="AD116" s="2003">
        <f t="shared" si="130"/>
        <v>0</v>
      </c>
      <c r="AE116" s="1989"/>
      <c r="AF116" s="1989"/>
      <c r="AG116" s="2002">
        <f t="shared" si="131"/>
        <v>0</v>
      </c>
      <c r="AH116" s="1999">
        <f t="shared" si="249"/>
        <v>0</v>
      </c>
      <c r="AI116" s="1993"/>
      <c r="AJ116" s="2003">
        <f t="shared" si="132"/>
        <v>0</v>
      </c>
      <c r="AK116" s="1989"/>
      <c r="AL116" s="2003">
        <f t="shared" si="133"/>
        <v>0</v>
      </c>
      <c r="AM116" s="1989"/>
      <c r="AN116" s="2003">
        <f t="shared" si="134"/>
        <v>0</v>
      </c>
      <c r="AO116" s="1989"/>
      <c r="AP116" s="1989"/>
      <c r="AQ116" s="2002">
        <f t="shared" si="135"/>
        <v>0</v>
      </c>
      <c r="AR116" s="1999">
        <f t="shared" si="250"/>
        <v>0</v>
      </c>
      <c r="AS116" s="1993"/>
      <c r="AT116" s="2003">
        <f t="shared" si="136"/>
        <v>0</v>
      </c>
      <c r="AU116" s="1989"/>
      <c r="AV116" s="2003">
        <f t="shared" si="137"/>
        <v>0</v>
      </c>
      <c r="AW116" s="1989"/>
      <c r="AX116" s="2003">
        <f t="shared" si="138"/>
        <v>0</v>
      </c>
      <c r="AY116" s="1989">
        <v>0</v>
      </c>
      <c r="AZ116" s="1989"/>
      <c r="BA116" s="2002">
        <f t="shared" si="139"/>
        <v>0</v>
      </c>
      <c r="BB116" s="1999">
        <f t="shared" si="251"/>
        <v>0</v>
      </c>
      <c r="BC116" s="1993"/>
      <c r="BD116" s="2003">
        <f t="shared" si="140"/>
        <v>0</v>
      </c>
      <c r="BE116" s="1989"/>
      <c r="BF116" s="2003">
        <f t="shared" si="141"/>
        <v>0</v>
      </c>
      <c r="BG116" s="1989"/>
      <c r="BH116" s="2003">
        <f t="shared" si="142"/>
        <v>0</v>
      </c>
      <c r="BI116" s="1989"/>
      <c r="BJ116" s="1989"/>
      <c r="BK116" s="2002">
        <f t="shared" si="143"/>
        <v>0</v>
      </c>
      <c r="BL116" s="1999">
        <f t="shared" si="252"/>
        <v>0</v>
      </c>
      <c r="BM116" s="1993"/>
      <c r="BN116" s="2003">
        <f t="shared" si="144"/>
        <v>0</v>
      </c>
      <c r="BO116" s="1989"/>
      <c r="BP116" s="2003">
        <f t="shared" si="145"/>
        <v>0</v>
      </c>
      <c r="BQ116" s="1989"/>
      <c r="BR116" s="2003">
        <f t="shared" si="146"/>
        <v>0</v>
      </c>
      <c r="BS116" s="1989"/>
      <c r="BT116" s="1989"/>
      <c r="BU116" s="2002">
        <f t="shared" si="147"/>
        <v>0</v>
      </c>
      <c r="BV116" s="1999">
        <f t="shared" si="253"/>
        <v>0</v>
      </c>
      <c r="BW116" s="1993"/>
      <c r="BX116" s="2003">
        <f t="shared" si="148"/>
        <v>0</v>
      </c>
      <c r="BY116" s="1989"/>
      <c r="BZ116" s="2003">
        <f t="shared" si="149"/>
        <v>0</v>
      </c>
      <c r="CA116" s="1989"/>
      <c r="CB116" s="2003">
        <f t="shared" si="150"/>
        <v>0</v>
      </c>
      <c r="CC116" s="1989"/>
      <c r="CD116" s="1989"/>
      <c r="CE116" s="2002">
        <f t="shared" si="151"/>
        <v>0</v>
      </c>
      <c r="CF116" s="1999">
        <f t="shared" si="254"/>
        <v>0</v>
      </c>
      <c r="CG116" s="1993"/>
      <c r="CH116" s="2003">
        <f t="shared" si="152"/>
        <v>0</v>
      </c>
      <c r="CI116" s="1989"/>
      <c r="CJ116" s="2003">
        <f t="shared" si="153"/>
        <v>0</v>
      </c>
      <c r="CK116" s="1989"/>
      <c r="CL116" s="2003">
        <f t="shared" si="154"/>
        <v>0</v>
      </c>
      <c r="CM116" s="1989"/>
      <c r="CN116" s="1989"/>
      <c r="CO116" s="2002">
        <f t="shared" si="155"/>
        <v>0</v>
      </c>
      <c r="CP116" s="1999">
        <f t="shared" si="255"/>
        <v>0</v>
      </c>
      <c r="CQ116" s="1993"/>
      <c r="CR116" s="2003">
        <f t="shared" si="156"/>
        <v>0</v>
      </c>
      <c r="CS116" s="1989"/>
      <c r="CT116" s="2003">
        <f t="shared" si="157"/>
        <v>0</v>
      </c>
      <c r="CU116" s="1989"/>
      <c r="CV116" s="2003">
        <f t="shared" si="158"/>
        <v>0</v>
      </c>
      <c r="CW116" s="1989"/>
      <c r="CX116" s="1989"/>
      <c r="CY116" s="2002">
        <f t="shared" si="159"/>
        <v>0</v>
      </c>
      <c r="CZ116" s="1999">
        <f t="shared" si="256"/>
        <v>0</v>
      </c>
      <c r="DA116" s="1993"/>
      <c r="DB116" s="2003">
        <f t="shared" si="160"/>
        <v>0</v>
      </c>
      <c r="DC116" s="1989"/>
      <c r="DD116" s="2003">
        <f t="shared" si="161"/>
        <v>0</v>
      </c>
      <c r="DE116" s="1989"/>
      <c r="DF116" s="2003">
        <f t="shared" si="162"/>
        <v>0</v>
      </c>
      <c r="DG116" s="1989"/>
      <c r="DH116" s="1989"/>
      <c r="DI116" s="2002">
        <f t="shared" si="163"/>
        <v>0</v>
      </c>
      <c r="DJ116" s="1999">
        <f t="shared" si="257"/>
        <v>0</v>
      </c>
      <c r="DK116" s="1993"/>
      <c r="DL116" s="2003">
        <f t="shared" si="164"/>
        <v>0</v>
      </c>
      <c r="DM116" s="1989"/>
      <c r="DN116" s="2003">
        <f t="shared" si="165"/>
        <v>0</v>
      </c>
      <c r="DO116" s="1989"/>
      <c r="DP116" s="2003">
        <f t="shared" si="166"/>
        <v>0</v>
      </c>
      <c r="DQ116" s="1989"/>
      <c r="DR116" s="1989"/>
      <c r="DS116" s="2002">
        <f t="shared" si="167"/>
        <v>0</v>
      </c>
      <c r="DT116" s="2004">
        <f t="shared" si="258"/>
        <v>0</v>
      </c>
      <c r="DU116" s="1988"/>
      <c r="DV116" s="2003">
        <f t="shared" si="168"/>
        <v>0</v>
      </c>
      <c r="DW116" s="1989"/>
      <c r="DX116" s="2003">
        <f t="shared" si="169"/>
        <v>0</v>
      </c>
      <c r="DY116" s="1989"/>
      <c r="DZ116" s="2003">
        <f t="shared" si="170"/>
        <v>0</v>
      </c>
      <c r="EA116" s="1989"/>
      <c r="EB116" s="1989"/>
      <c r="EC116" s="2002">
        <f t="shared" si="171"/>
        <v>0</v>
      </c>
      <c r="ED116" s="1998">
        <f t="shared" si="259"/>
        <v>0</v>
      </c>
      <c r="EE116" s="2005">
        <f>O116+Y116+AI116+AS116+BC116+BM116+BW116+CG116+CQ116+DA116+DK116+DU116</f>
        <v>0</v>
      </c>
      <c r="EF116" s="2003">
        <f t="shared" si="172"/>
        <v>0</v>
      </c>
      <c r="EG116" s="1989">
        <f>Q116+AA116+AK116+AU116+BE116+BO116+BY116+CI116+CS116+DC116+DM116+DW116</f>
        <v>0</v>
      </c>
      <c r="EH116" s="2003">
        <f t="shared" si="173"/>
        <v>0</v>
      </c>
      <c r="EI116" s="1989">
        <f>S116+AC116+AM116+AW116+BG116+BQ116+CA116+CK116+CU116+DE116+DO116+DY116</f>
        <v>0</v>
      </c>
      <c r="EJ116" s="2003">
        <f t="shared" si="174"/>
        <v>0</v>
      </c>
      <c r="EK116" s="1989">
        <f t="shared" si="260"/>
        <v>0</v>
      </c>
      <c r="EL116" s="1989">
        <f t="shared" si="260"/>
        <v>0</v>
      </c>
      <c r="EM116" s="2006">
        <f t="shared" si="175"/>
        <v>0</v>
      </c>
      <c r="EN116" s="1999">
        <f>EG116+EI116+EK116+EL116</f>
        <v>0</v>
      </c>
      <c r="EP116" s="1613" t="e">
        <f>EA116-#REF!/10^7</f>
        <v>#REF!</v>
      </c>
      <c r="EW116" s="1611" t="e">
        <v>#N/A</v>
      </c>
      <c r="EX116" s="1612" t="e">
        <v>#N/A</v>
      </c>
      <c r="EZ116" s="1650">
        <f t="shared" si="176"/>
        <v>0</v>
      </c>
    </row>
    <row r="117" spans="1:156" ht="21" customHeight="1">
      <c r="A117" s="1652">
        <v>4</v>
      </c>
      <c r="B117" s="1644"/>
      <c r="C117" s="1639"/>
      <c r="D117" s="1640"/>
      <c r="E117" s="1640"/>
      <c r="F117" s="1640"/>
      <c r="G117" s="1640"/>
      <c r="H117" s="1640"/>
      <c r="I117" s="1648"/>
      <c r="J117" s="1649"/>
      <c r="K117" s="1648"/>
      <c r="L117" s="1640"/>
      <c r="M117" s="1640"/>
      <c r="N117" s="1642"/>
      <c r="O117" s="2000"/>
      <c r="P117" s="2003">
        <f t="shared" si="124"/>
        <v>0</v>
      </c>
      <c r="Q117" s="1989"/>
      <c r="R117" s="2003">
        <f t="shared" si="125"/>
        <v>0</v>
      </c>
      <c r="S117" s="1989"/>
      <c r="T117" s="2003">
        <f t="shared" si="126"/>
        <v>0</v>
      </c>
      <c r="U117" s="1989"/>
      <c r="V117" s="1989"/>
      <c r="W117" s="1989">
        <f t="shared" si="127"/>
        <v>0</v>
      </c>
      <c r="X117" s="1999">
        <f t="shared" si="248"/>
        <v>0</v>
      </c>
      <c r="Y117" s="1993"/>
      <c r="Z117" s="2003">
        <f t="shared" si="128"/>
        <v>0</v>
      </c>
      <c r="AA117" s="1989"/>
      <c r="AB117" s="2003">
        <f t="shared" si="129"/>
        <v>0</v>
      </c>
      <c r="AC117" s="1989"/>
      <c r="AD117" s="2003">
        <f t="shared" si="130"/>
        <v>0</v>
      </c>
      <c r="AE117" s="1989"/>
      <c r="AF117" s="1989"/>
      <c r="AG117" s="2002">
        <f t="shared" si="131"/>
        <v>0</v>
      </c>
      <c r="AH117" s="1999">
        <f t="shared" si="249"/>
        <v>0</v>
      </c>
      <c r="AI117" s="1993"/>
      <c r="AJ117" s="2003">
        <f t="shared" si="132"/>
        <v>0</v>
      </c>
      <c r="AK117" s="1989"/>
      <c r="AL117" s="2003">
        <f t="shared" si="133"/>
        <v>0</v>
      </c>
      <c r="AM117" s="1989"/>
      <c r="AN117" s="2003">
        <f t="shared" si="134"/>
        <v>0</v>
      </c>
      <c r="AO117" s="1989"/>
      <c r="AP117" s="1989"/>
      <c r="AQ117" s="2002">
        <f t="shared" si="135"/>
        <v>0</v>
      </c>
      <c r="AR117" s="1999">
        <f t="shared" si="250"/>
        <v>0</v>
      </c>
      <c r="AS117" s="1993"/>
      <c r="AT117" s="2003">
        <f t="shared" si="136"/>
        <v>0</v>
      </c>
      <c r="AU117" s="1989"/>
      <c r="AV117" s="2003">
        <f t="shared" si="137"/>
        <v>0</v>
      </c>
      <c r="AW117" s="1989"/>
      <c r="AX117" s="2003">
        <f t="shared" si="138"/>
        <v>0</v>
      </c>
      <c r="AY117" s="1989"/>
      <c r="AZ117" s="1989"/>
      <c r="BA117" s="2002">
        <f t="shared" si="139"/>
        <v>0</v>
      </c>
      <c r="BB117" s="1999">
        <f t="shared" si="251"/>
        <v>0</v>
      </c>
      <c r="BC117" s="1993"/>
      <c r="BD117" s="2003">
        <f t="shared" si="140"/>
        <v>0</v>
      </c>
      <c r="BE117" s="1989"/>
      <c r="BF117" s="2003">
        <f t="shared" si="141"/>
        <v>0</v>
      </c>
      <c r="BG117" s="1989"/>
      <c r="BH117" s="2003">
        <f t="shared" si="142"/>
        <v>0</v>
      </c>
      <c r="BI117" s="1989"/>
      <c r="BJ117" s="1989"/>
      <c r="BK117" s="2002">
        <f t="shared" si="143"/>
        <v>0</v>
      </c>
      <c r="BL117" s="1999">
        <f t="shared" si="252"/>
        <v>0</v>
      </c>
      <c r="BM117" s="1993"/>
      <c r="BN117" s="2003">
        <f t="shared" si="144"/>
        <v>0</v>
      </c>
      <c r="BO117" s="1989"/>
      <c r="BP117" s="2003">
        <f t="shared" si="145"/>
        <v>0</v>
      </c>
      <c r="BQ117" s="1989"/>
      <c r="BR117" s="2003">
        <f t="shared" si="146"/>
        <v>0</v>
      </c>
      <c r="BS117" s="1989"/>
      <c r="BT117" s="1989"/>
      <c r="BU117" s="2002">
        <f t="shared" si="147"/>
        <v>0</v>
      </c>
      <c r="BV117" s="1999">
        <f t="shared" si="253"/>
        <v>0</v>
      </c>
      <c r="BW117" s="1993"/>
      <c r="BX117" s="2003">
        <f t="shared" si="148"/>
        <v>0</v>
      </c>
      <c r="BY117" s="1989"/>
      <c r="BZ117" s="2003">
        <f t="shared" si="149"/>
        <v>0</v>
      </c>
      <c r="CA117" s="1989"/>
      <c r="CB117" s="2003">
        <f t="shared" si="150"/>
        <v>0</v>
      </c>
      <c r="CC117" s="1989"/>
      <c r="CD117" s="1989"/>
      <c r="CE117" s="2002">
        <f t="shared" si="151"/>
        <v>0</v>
      </c>
      <c r="CF117" s="1999">
        <f t="shared" si="254"/>
        <v>0</v>
      </c>
      <c r="CG117" s="1993"/>
      <c r="CH117" s="2003">
        <f t="shared" si="152"/>
        <v>0</v>
      </c>
      <c r="CI117" s="1989"/>
      <c r="CJ117" s="2003">
        <f t="shared" si="153"/>
        <v>0</v>
      </c>
      <c r="CK117" s="1989"/>
      <c r="CL117" s="2003">
        <f t="shared" si="154"/>
        <v>0</v>
      </c>
      <c r="CM117" s="1989"/>
      <c r="CN117" s="1989"/>
      <c r="CO117" s="2002">
        <f t="shared" si="155"/>
        <v>0</v>
      </c>
      <c r="CP117" s="1999">
        <f t="shared" si="255"/>
        <v>0</v>
      </c>
      <c r="CQ117" s="1993"/>
      <c r="CR117" s="2003">
        <f t="shared" si="156"/>
        <v>0</v>
      </c>
      <c r="CS117" s="1989"/>
      <c r="CT117" s="2003">
        <f t="shared" si="157"/>
        <v>0</v>
      </c>
      <c r="CU117" s="1989"/>
      <c r="CV117" s="2003">
        <f t="shared" si="158"/>
        <v>0</v>
      </c>
      <c r="CW117" s="1989"/>
      <c r="CX117" s="1989"/>
      <c r="CY117" s="2002">
        <f t="shared" si="159"/>
        <v>0</v>
      </c>
      <c r="CZ117" s="1999">
        <f t="shared" si="256"/>
        <v>0</v>
      </c>
      <c r="DA117" s="1993"/>
      <c r="DB117" s="2003">
        <f t="shared" si="160"/>
        <v>0</v>
      </c>
      <c r="DC117" s="1989"/>
      <c r="DD117" s="2003">
        <f t="shared" si="161"/>
        <v>0</v>
      </c>
      <c r="DE117" s="1989"/>
      <c r="DF117" s="2003">
        <f t="shared" si="162"/>
        <v>0</v>
      </c>
      <c r="DG117" s="1989"/>
      <c r="DH117" s="1989"/>
      <c r="DI117" s="2002">
        <f t="shared" si="163"/>
        <v>0</v>
      </c>
      <c r="DJ117" s="1999">
        <f t="shared" si="257"/>
        <v>0</v>
      </c>
      <c r="DK117" s="1993"/>
      <c r="DL117" s="2003">
        <f t="shared" si="164"/>
        <v>0</v>
      </c>
      <c r="DM117" s="1989"/>
      <c r="DN117" s="2003">
        <f t="shared" si="165"/>
        <v>0</v>
      </c>
      <c r="DO117" s="1989"/>
      <c r="DP117" s="2003">
        <f t="shared" si="166"/>
        <v>0</v>
      </c>
      <c r="DQ117" s="1989"/>
      <c r="DR117" s="1989"/>
      <c r="DS117" s="2002">
        <f t="shared" si="167"/>
        <v>0</v>
      </c>
      <c r="DT117" s="2004">
        <f t="shared" si="258"/>
        <v>0</v>
      </c>
      <c r="DU117" s="1988"/>
      <c r="DV117" s="2003">
        <f t="shared" si="168"/>
        <v>0</v>
      </c>
      <c r="DW117" s="1989"/>
      <c r="DX117" s="2003">
        <f t="shared" si="169"/>
        <v>0</v>
      </c>
      <c r="DY117" s="1989"/>
      <c r="DZ117" s="2003">
        <f t="shared" si="170"/>
        <v>0</v>
      </c>
      <c r="EA117" s="1989"/>
      <c r="EB117" s="1989"/>
      <c r="EC117" s="2002">
        <f t="shared" si="171"/>
        <v>0</v>
      </c>
      <c r="ED117" s="1998">
        <f t="shared" si="259"/>
        <v>0</v>
      </c>
      <c r="EE117" s="2005">
        <f>O117+Y117+AI117+AS117+BC117+BM117+BW117+CG117+CQ117+DA117+DK117+DU117</f>
        <v>0</v>
      </c>
      <c r="EF117" s="2003">
        <f t="shared" si="172"/>
        <v>0</v>
      </c>
      <c r="EG117" s="1989">
        <f>Q117+AA117+AK117+AU117+BE117+BO117+BY117+CI117+CS117+DC117+DM117+DW117</f>
        <v>0</v>
      </c>
      <c r="EH117" s="2003">
        <f t="shared" si="173"/>
        <v>0</v>
      </c>
      <c r="EI117" s="1989">
        <f>S117+AC117+AM117+AW117+BG117+BQ117+CA117+CK117+CU117+DE117+DO117+DY117</f>
        <v>0</v>
      </c>
      <c r="EJ117" s="2003">
        <f t="shared" si="174"/>
        <v>0</v>
      </c>
      <c r="EK117" s="1989">
        <f t="shared" si="260"/>
        <v>0</v>
      </c>
      <c r="EL117" s="1989">
        <f t="shared" si="260"/>
        <v>0</v>
      </c>
      <c r="EM117" s="2006">
        <f t="shared" si="175"/>
        <v>0</v>
      </c>
      <c r="EN117" s="1999">
        <f>EG117+EI117+EK117+EL117</f>
        <v>0</v>
      </c>
      <c r="EP117" s="1613" t="e">
        <f>EA117-#REF!/10^7</f>
        <v>#REF!</v>
      </c>
      <c r="EW117" s="1611" t="e">
        <v>#N/A</v>
      </c>
      <c r="EX117" s="1612" t="e">
        <v>#N/A</v>
      </c>
      <c r="EZ117" s="1650">
        <f t="shared" si="176"/>
        <v>0</v>
      </c>
    </row>
    <row r="118" spans="1:156" ht="21" customHeight="1">
      <c r="A118" s="1652">
        <v>5</v>
      </c>
      <c r="B118" s="1644"/>
      <c r="C118" s="1639"/>
      <c r="D118" s="1640"/>
      <c r="E118" s="1640"/>
      <c r="F118" s="1640"/>
      <c r="G118" s="1640"/>
      <c r="H118" s="1640"/>
      <c r="I118" s="1648"/>
      <c r="J118" s="1649"/>
      <c r="K118" s="1648"/>
      <c r="L118" s="1640"/>
      <c r="M118" s="1640"/>
      <c r="N118" s="1642"/>
      <c r="O118" s="2000"/>
      <c r="P118" s="2003">
        <f t="shared" si="124"/>
        <v>0</v>
      </c>
      <c r="Q118" s="1989"/>
      <c r="R118" s="2003">
        <f t="shared" si="125"/>
        <v>0</v>
      </c>
      <c r="S118" s="1989"/>
      <c r="T118" s="2003">
        <f t="shared" si="126"/>
        <v>0</v>
      </c>
      <c r="U118" s="1989"/>
      <c r="V118" s="1989"/>
      <c r="W118" s="1989">
        <f t="shared" si="127"/>
        <v>0</v>
      </c>
      <c r="X118" s="1999">
        <f t="shared" si="248"/>
        <v>0</v>
      </c>
      <c r="Y118" s="1993"/>
      <c r="Z118" s="2003">
        <f t="shared" si="128"/>
        <v>0</v>
      </c>
      <c r="AA118" s="1989"/>
      <c r="AB118" s="2003">
        <f t="shared" si="129"/>
        <v>0</v>
      </c>
      <c r="AC118" s="1989"/>
      <c r="AD118" s="2003">
        <f t="shared" si="130"/>
        <v>0</v>
      </c>
      <c r="AE118" s="1989"/>
      <c r="AF118" s="1989"/>
      <c r="AG118" s="2002">
        <f t="shared" si="131"/>
        <v>0</v>
      </c>
      <c r="AH118" s="1999">
        <f t="shared" si="249"/>
        <v>0</v>
      </c>
      <c r="AI118" s="1993"/>
      <c r="AJ118" s="2003">
        <f t="shared" si="132"/>
        <v>0</v>
      </c>
      <c r="AK118" s="1989"/>
      <c r="AL118" s="2003">
        <f t="shared" si="133"/>
        <v>0</v>
      </c>
      <c r="AM118" s="1989"/>
      <c r="AN118" s="2003">
        <f t="shared" si="134"/>
        <v>0</v>
      </c>
      <c r="AO118" s="1989"/>
      <c r="AP118" s="1989"/>
      <c r="AQ118" s="2002">
        <f t="shared" si="135"/>
        <v>0</v>
      </c>
      <c r="AR118" s="1999">
        <f t="shared" si="250"/>
        <v>0</v>
      </c>
      <c r="AS118" s="1993"/>
      <c r="AT118" s="2003">
        <f t="shared" si="136"/>
        <v>0</v>
      </c>
      <c r="AU118" s="1989"/>
      <c r="AV118" s="2003">
        <f t="shared" si="137"/>
        <v>0</v>
      </c>
      <c r="AW118" s="1989"/>
      <c r="AX118" s="2003">
        <f t="shared" si="138"/>
        <v>0</v>
      </c>
      <c r="AY118" s="1989"/>
      <c r="AZ118" s="1989"/>
      <c r="BA118" s="2002">
        <f t="shared" si="139"/>
        <v>0</v>
      </c>
      <c r="BB118" s="1999">
        <f t="shared" si="251"/>
        <v>0</v>
      </c>
      <c r="BC118" s="1993"/>
      <c r="BD118" s="2003">
        <f t="shared" si="140"/>
        <v>0</v>
      </c>
      <c r="BE118" s="1989"/>
      <c r="BF118" s="2003">
        <f t="shared" si="141"/>
        <v>0</v>
      </c>
      <c r="BG118" s="1989"/>
      <c r="BH118" s="2003">
        <f t="shared" si="142"/>
        <v>0</v>
      </c>
      <c r="BI118" s="1989"/>
      <c r="BJ118" s="1989"/>
      <c r="BK118" s="2002">
        <f t="shared" si="143"/>
        <v>0</v>
      </c>
      <c r="BL118" s="1999">
        <f t="shared" si="252"/>
        <v>0</v>
      </c>
      <c r="BM118" s="1993"/>
      <c r="BN118" s="2003">
        <f t="shared" si="144"/>
        <v>0</v>
      </c>
      <c r="BO118" s="1989"/>
      <c r="BP118" s="2003">
        <f t="shared" si="145"/>
        <v>0</v>
      </c>
      <c r="BQ118" s="1989"/>
      <c r="BR118" s="2003">
        <f t="shared" si="146"/>
        <v>0</v>
      </c>
      <c r="BS118" s="1989"/>
      <c r="BT118" s="1989"/>
      <c r="BU118" s="2002">
        <f t="shared" si="147"/>
        <v>0</v>
      </c>
      <c r="BV118" s="1999">
        <f t="shared" si="253"/>
        <v>0</v>
      </c>
      <c r="BW118" s="1993"/>
      <c r="BX118" s="2003">
        <f t="shared" si="148"/>
        <v>0</v>
      </c>
      <c r="BY118" s="1989"/>
      <c r="BZ118" s="2003">
        <f t="shared" si="149"/>
        <v>0</v>
      </c>
      <c r="CA118" s="1989"/>
      <c r="CB118" s="2003">
        <f t="shared" si="150"/>
        <v>0</v>
      </c>
      <c r="CC118" s="1989"/>
      <c r="CD118" s="1989"/>
      <c r="CE118" s="2002">
        <f t="shared" si="151"/>
        <v>0</v>
      </c>
      <c r="CF118" s="1999">
        <f t="shared" si="254"/>
        <v>0</v>
      </c>
      <c r="CG118" s="1993"/>
      <c r="CH118" s="2003">
        <f t="shared" si="152"/>
        <v>0</v>
      </c>
      <c r="CI118" s="1989"/>
      <c r="CJ118" s="2003">
        <f t="shared" si="153"/>
        <v>0</v>
      </c>
      <c r="CK118" s="1989"/>
      <c r="CL118" s="2003">
        <f t="shared" si="154"/>
        <v>0</v>
      </c>
      <c r="CM118" s="1989"/>
      <c r="CN118" s="1989"/>
      <c r="CO118" s="2002">
        <f t="shared" si="155"/>
        <v>0</v>
      </c>
      <c r="CP118" s="1999">
        <f t="shared" si="255"/>
        <v>0</v>
      </c>
      <c r="CQ118" s="1993"/>
      <c r="CR118" s="2003">
        <f t="shared" si="156"/>
        <v>0</v>
      </c>
      <c r="CS118" s="1989"/>
      <c r="CT118" s="2003">
        <f t="shared" si="157"/>
        <v>0</v>
      </c>
      <c r="CU118" s="1989"/>
      <c r="CV118" s="2003">
        <f t="shared" si="158"/>
        <v>0</v>
      </c>
      <c r="CW118" s="1989"/>
      <c r="CX118" s="1989"/>
      <c r="CY118" s="2002">
        <f t="shared" si="159"/>
        <v>0</v>
      </c>
      <c r="CZ118" s="1999">
        <f t="shared" si="256"/>
        <v>0</v>
      </c>
      <c r="DA118" s="1993"/>
      <c r="DB118" s="2003">
        <f t="shared" si="160"/>
        <v>0</v>
      </c>
      <c r="DC118" s="1989"/>
      <c r="DD118" s="2003">
        <f t="shared" si="161"/>
        <v>0</v>
      </c>
      <c r="DE118" s="1989"/>
      <c r="DF118" s="2003">
        <f t="shared" si="162"/>
        <v>0</v>
      </c>
      <c r="DG118" s="1989"/>
      <c r="DH118" s="1989"/>
      <c r="DI118" s="2002">
        <f t="shared" si="163"/>
        <v>0</v>
      </c>
      <c r="DJ118" s="1999">
        <f t="shared" si="257"/>
        <v>0</v>
      </c>
      <c r="DK118" s="1993"/>
      <c r="DL118" s="2003">
        <f t="shared" si="164"/>
        <v>0</v>
      </c>
      <c r="DM118" s="1989"/>
      <c r="DN118" s="2003">
        <f t="shared" si="165"/>
        <v>0</v>
      </c>
      <c r="DO118" s="1989"/>
      <c r="DP118" s="2003">
        <f t="shared" si="166"/>
        <v>0</v>
      </c>
      <c r="DQ118" s="1989"/>
      <c r="DR118" s="1989"/>
      <c r="DS118" s="2002">
        <f t="shared" si="167"/>
        <v>0</v>
      </c>
      <c r="DT118" s="2004">
        <f t="shared" si="258"/>
        <v>0</v>
      </c>
      <c r="DU118" s="1988"/>
      <c r="DV118" s="2003">
        <f t="shared" si="168"/>
        <v>0</v>
      </c>
      <c r="DW118" s="1989"/>
      <c r="DX118" s="2003">
        <f t="shared" si="169"/>
        <v>0</v>
      </c>
      <c r="DY118" s="1989"/>
      <c r="DZ118" s="2003">
        <f t="shared" si="170"/>
        <v>0</v>
      </c>
      <c r="EA118" s="1989"/>
      <c r="EB118" s="1989"/>
      <c r="EC118" s="2002">
        <f t="shared" si="171"/>
        <v>0</v>
      </c>
      <c r="ED118" s="1998">
        <f t="shared" si="259"/>
        <v>0</v>
      </c>
      <c r="EE118" s="2005">
        <f>O118+Y118+AI118+AS118+BC118+BM118+BW118+CG118+CQ118+DA118+DK118+DU118</f>
        <v>0</v>
      </c>
      <c r="EF118" s="2003">
        <f t="shared" si="172"/>
        <v>0</v>
      </c>
      <c r="EG118" s="1989">
        <f>Q118+AA118+AK118+AU118+BE118+BO118+BY118+CI118+CS118+DC118+DM118+DW118</f>
        <v>0</v>
      </c>
      <c r="EH118" s="2003">
        <f t="shared" si="173"/>
        <v>0</v>
      </c>
      <c r="EI118" s="1989">
        <f>S118+AC118+AM118+AW118+BG118+BQ118+CA118+CK118+CU118+DE118+DO118+DY118</f>
        <v>0</v>
      </c>
      <c r="EJ118" s="2003">
        <f t="shared" si="174"/>
        <v>0</v>
      </c>
      <c r="EK118" s="1989">
        <f t="shared" si="260"/>
        <v>0</v>
      </c>
      <c r="EL118" s="1989">
        <f t="shared" si="260"/>
        <v>0</v>
      </c>
      <c r="EM118" s="2006">
        <f t="shared" si="175"/>
        <v>0</v>
      </c>
      <c r="EN118" s="1999">
        <f>EG118+EI118+EK118+EL118</f>
        <v>0</v>
      </c>
      <c r="EP118" s="1613" t="e">
        <f>EA118-#REF!/10^7</f>
        <v>#REF!</v>
      </c>
      <c r="EW118" s="1611" t="e">
        <v>#N/A</v>
      </c>
      <c r="EX118" s="1612" t="e">
        <v>#N/A</v>
      </c>
      <c r="EZ118" s="1650">
        <f t="shared" si="176"/>
        <v>0</v>
      </c>
    </row>
    <row r="119" spans="1:156" s="1660" customFormat="1" ht="21" customHeight="1">
      <c r="A119" s="1637"/>
      <c r="B119" s="1654" t="s">
        <v>211</v>
      </c>
      <c r="C119" s="1655"/>
      <c r="D119" s="1656"/>
      <c r="E119" s="1656"/>
      <c r="F119" s="1656"/>
      <c r="G119" s="1656"/>
      <c r="H119" s="1656"/>
      <c r="I119" s="1656"/>
      <c r="J119" s="1657"/>
      <c r="K119" s="1656"/>
      <c r="L119" s="1656"/>
      <c r="M119" s="1656"/>
      <c r="N119" s="1658"/>
      <c r="O119" s="2007" t="e">
        <f>SUM(O114:O118)</f>
        <v>#REF!</v>
      </c>
      <c r="P119" s="2003">
        <f t="shared" si="124"/>
        <v>0</v>
      </c>
      <c r="Q119" s="1826" t="e">
        <f>SUM(Q114:Q118)</f>
        <v>#REF!</v>
      </c>
      <c r="R119" s="2003">
        <f t="shared" si="125"/>
        <v>0</v>
      </c>
      <c r="S119" s="1826" t="e">
        <f>SUM(S114:S118)</f>
        <v>#REF!</v>
      </c>
      <c r="T119" s="2003">
        <f t="shared" si="126"/>
        <v>0</v>
      </c>
      <c r="U119" s="1826" t="e">
        <f>SUM(U114:U118)</f>
        <v>#REF!</v>
      </c>
      <c r="V119" s="1826"/>
      <c r="W119" s="1989">
        <f t="shared" si="127"/>
        <v>0</v>
      </c>
      <c r="X119" s="2008" t="e">
        <f>X114+X115</f>
        <v>#REF!</v>
      </c>
      <c r="Y119" s="2007" t="e">
        <f>SUM(Y114:Y118)</f>
        <v>#REF!</v>
      </c>
      <c r="Z119" s="2003">
        <f t="shared" si="128"/>
        <v>0</v>
      </c>
      <c r="AA119" s="1826" t="e">
        <f>SUM(AA114:AA118)</f>
        <v>#REF!</v>
      </c>
      <c r="AB119" s="2003">
        <f t="shared" si="129"/>
        <v>0</v>
      </c>
      <c r="AC119" s="1826" t="e">
        <f>SUM(AC114:AC118)</f>
        <v>#REF!</v>
      </c>
      <c r="AD119" s="2003">
        <f t="shared" si="130"/>
        <v>0</v>
      </c>
      <c r="AE119" s="1826" t="e">
        <f>SUM(AE114:AE118)</f>
        <v>#REF!</v>
      </c>
      <c r="AF119" s="1826" t="e">
        <f>SUM(AF114:AF118)</f>
        <v>#REF!</v>
      </c>
      <c r="AG119" s="2002" t="e">
        <f t="shared" si="131"/>
        <v>#REF!</v>
      </c>
      <c r="AH119" s="2008" t="e">
        <f t="shared" ref="AH119:AP119" si="261">SUM(AH114:AH118)</f>
        <v>#REF!</v>
      </c>
      <c r="AI119" s="2007" t="e">
        <f t="shared" si="261"/>
        <v>#REF!</v>
      </c>
      <c r="AJ119" s="2003">
        <f t="shared" si="132"/>
        <v>0</v>
      </c>
      <c r="AK119" s="1826" t="e">
        <f t="shared" si="261"/>
        <v>#REF!</v>
      </c>
      <c r="AL119" s="2003">
        <f t="shared" si="133"/>
        <v>0</v>
      </c>
      <c r="AM119" s="1826" t="e">
        <f t="shared" si="261"/>
        <v>#REF!</v>
      </c>
      <c r="AN119" s="2003">
        <f t="shared" si="134"/>
        <v>0</v>
      </c>
      <c r="AO119" s="1826" t="e">
        <f t="shared" si="261"/>
        <v>#REF!</v>
      </c>
      <c r="AP119" s="1826" t="e">
        <f t="shared" si="261"/>
        <v>#REF!</v>
      </c>
      <c r="AQ119" s="2002" t="e">
        <f t="shared" si="135"/>
        <v>#REF!</v>
      </c>
      <c r="AR119" s="2008" t="e">
        <f t="shared" ref="AR119:AZ119" si="262">SUM(AR114:AR118)</f>
        <v>#REF!</v>
      </c>
      <c r="AS119" s="2007" t="e">
        <f t="shared" si="262"/>
        <v>#REF!</v>
      </c>
      <c r="AT119" s="2003">
        <f t="shared" si="136"/>
        <v>0</v>
      </c>
      <c r="AU119" s="1826" t="e">
        <f t="shared" si="262"/>
        <v>#REF!</v>
      </c>
      <c r="AV119" s="2003">
        <f t="shared" si="137"/>
        <v>0</v>
      </c>
      <c r="AW119" s="1826" t="e">
        <f t="shared" si="262"/>
        <v>#REF!</v>
      </c>
      <c r="AX119" s="2003">
        <f t="shared" si="138"/>
        <v>0</v>
      </c>
      <c r="AY119" s="1826" t="e">
        <f t="shared" si="262"/>
        <v>#REF!</v>
      </c>
      <c r="AZ119" s="1826" t="e">
        <f t="shared" si="262"/>
        <v>#REF!</v>
      </c>
      <c r="BA119" s="2002" t="e">
        <f t="shared" si="139"/>
        <v>#REF!</v>
      </c>
      <c r="BB119" s="2008" t="e">
        <f>SUM(BB114:BB118)</f>
        <v>#REF!</v>
      </c>
      <c r="BC119" s="2007" t="e">
        <f>BC114+BC115</f>
        <v>#REF!</v>
      </c>
      <c r="BD119" s="2003">
        <f t="shared" si="140"/>
        <v>0</v>
      </c>
      <c r="BE119" s="1826" t="e">
        <f>BE114+BE115</f>
        <v>#REF!</v>
      </c>
      <c r="BF119" s="2003">
        <f t="shared" si="141"/>
        <v>0</v>
      </c>
      <c r="BG119" s="1826" t="e">
        <f>BG114+BG115</f>
        <v>#REF!</v>
      </c>
      <c r="BH119" s="2003">
        <f t="shared" si="142"/>
        <v>0</v>
      </c>
      <c r="BI119" s="1826" t="e">
        <f>BI114+BI115</f>
        <v>#REF!</v>
      </c>
      <c r="BJ119" s="1826" t="e">
        <f>BJ114+BJ115</f>
        <v>#REF!</v>
      </c>
      <c r="BK119" s="2002" t="e">
        <f t="shared" si="143"/>
        <v>#REF!</v>
      </c>
      <c r="BL119" s="2008" t="e">
        <f t="shared" ref="BL119:BT119" si="263">BL114+BL115</f>
        <v>#REF!</v>
      </c>
      <c r="BM119" s="2007" t="e">
        <f t="shared" si="263"/>
        <v>#REF!</v>
      </c>
      <c r="BN119" s="2003">
        <f t="shared" si="144"/>
        <v>0</v>
      </c>
      <c r="BO119" s="1826" t="e">
        <f t="shared" si="263"/>
        <v>#REF!</v>
      </c>
      <c r="BP119" s="2003">
        <f t="shared" si="145"/>
        <v>0</v>
      </c>
      <c r="BQ119" s="1826" t="e">
        <f t="shared" si="263"/>
        <v>#REF!</v>
      </c>
      <c r="BR119" s="2003">
        <f t="shared" si="146"/>
        <v>0</v>
      </c>
      <c r="BS119" s="1826" t="e">
        <f t="shared" si="263"/>
        <v>#REF!</v>
      </c>
      <c r="BT119" s="1826" t="e">
        <f t="shared" si="263"/>
        <v>#REF!</v>
      </c>
      <c r="BU119" s="2002" t="e">
        <f t="shared" si="147"/>
        <v>#REF!</v>
      </c>
      <c r="BV119" s="2008" t="e">
        <f t="shared" ref="BV119:CD119" si="264">BV114+BV115</f>
        <v>#REF!</v>
      </c>
      <c r="BW119" s="2007" t="e">
        <f t="shared" si="264"/>
        <v>#REF!</v>
      </c>
      <c r="BX119" s="2003">
        <f t="shared" si="148"/>
        <v>0</v>
      </c>
      <c r="BY119" s="1826" t="e">
        <f t="shared" si="264"/>
        <v>#REF!</v>
      </c>
      <c r="BZ119" s="2003">
        <f t="shared" si="149"/>
        <v>0</v>
      </c>
      <c r="CA119" s="1826" t="e">
        <f t="shared" si="264"/>
        <v>#REF!</v>
      </c>
      <c r="CB119" s="2003">
        <f t="shared" si="150"/>
        <v>0</v>
      </c>
      <c r="CC119" s="1826" t="e">
        <f t="shared" si="264"/>
        <v>#REF!</v>
      </c>
      <c r="CD119" s="1826" t="e">
        <f t="shared" si="264"/>
        <v>#REF!</v>
      </c>
      <c r="CE119" s="2002" t="e">
        <f t="shared" si="151"/>
        <v>#REF!</v>
      </c>
      <c r="CF119" s="2008" t="e">
        <f t="shared" ref="CF119:CN119" si="265">CF114+CF115</f>
        <v>#REF!</v>
      </c>
      <c r="CG119" s="2007" t="e">
        <f t="shared" si="265"/>
        <v>#REF!</v>
      </c>
      <c r="CH119" s="2003">
        <f t="shared" si="152"/>
        <v>0</v>
      </c>
      <c r="CI119" s="1826" t="e">
        <f t="shared" si="265"/>
        <v>#REF!</v>
      </c>
      <c r="CJ119" s="2003">
        <f t="shared" si="153"/>
        <v>0</v>
      </c>
      <c r="CK119" s="1826" t="e">
        <f t="shared" si="265"/>
        <v>#REF!</v>
      </c>
      <c r="CL119" s="2003">
        <f t="shared" si="154"/>
        <v>0</v>
      </c>
      <c r="CM119" s="1826" t="e">
        <f t="shared" si="265"/>
        <v>#REF!</v>
      </c>
      <c r="CN119" s="1826" t="e">
        <f t="shared" si="265"/>
        <v>#REF!</v>
      </c>
      <c r="CO119" s="2002" t="e">
        <f t="shared" si="155"/>
        <v>#REF!</v>
      </c>
      <c r="CP119" s="2008" t="e">
        <f t="shared" ref="CP119:CX119" si="266">CP114+CP115</f>
        <v>#REF!</v>
      </c>
      <c r="CQ119" s="2007" t="e">
        <f t="shared" si="266"/>
        <v>#REF!</v>
      </c>
      <c r="CR119" s="2003">
        <f t="shared" si="156"/>
        <v>0</v>
      </c>
      <c r="CS119" s="1826" t="e">
        <f t="shared" si="266"/>
        <v>#REF!</v>
      </c>
      <c r="CT119" s="2003">
        <f t="shared" si="157"/>
        <v>0</v>
      </c>
      <c r="CU119" s="1826" t="e">
        <f t="shared" si="266"/>
        <v>#REF!</v>
      </c>
      <c r="CV119" s="2003">
        <f t="shared" si="158"/>
        <v>0</v>
      </c>
      <c r="CW119" s="1826" t="e">
        <f t="shared" si="266"/>
        <v>#REF!</v>
      </c>
      <c r="CX119" s="1826" t="e">
        <f t="shared" si="266"/>
        <v>#REF!</v>
      </c>
      <c r="CY119" s="2002" t="e">
        <f t="shared" si="159"/>
        <v>#REF!</v>
      </c>
      <c r="CZ119" s="2008" t="e">
        <f t="shared" ref="CZ119:DH119" si="267">CZ114+CZ115</f>
        <v>#REF!</v>
      </c>
      <c r="DA119" s="2007" t="e">
        <f t="shared" si="267"/>
        <v>#REF!</v>
      </c>
      <c r="DB119" s="2003">
        <f t="shared" si="160"/>
        <v>0</v>
      </c>
      <c r="DC119" s="1826" t="e">
        <f t="shared" si="267"/>
        <v>#REF!</v>
      </c>
      <c r="DD119" s="2003">
        <f t="shared" si="161"/>
        <v>0</v>
      </c>
      <c r="DE119" s="1826" t="e">
        <f>DE114+DE115</f>
        <v>#REF!</v>
      </c>
      <c r="DF119" s="2003">
        <f t="shared" si="162"/>
        <v>0</v>
      </c>
      <c r="DG119" s="1826" t="e">
        <f t="shared" si="267"/>
        <v>#REF!</v>
      </c>
      <c r="DH119" s="1826" t="e">
        <f t="shared" si="267"/>
        <v>#REF!</v>
      </c>
      <c r="DI119" s="2002" t="e">
        <f t="shared" si="163"/>
        <v>#REF!</v>
      </c>
      <c r="DJ119" s="2008" t="e">
        <f t="shared" ref="DJ119:DR119" si="268">DJ114+DJ115</f>
        <v>#REF!</v>
      </c>
      <c r="DK119" s="2007" t="e">
        <f>DK114+DK115</f>
        <v>#REF!</v>
      </c>
      <c r="DL119" s="2003">
        <f t="shared" si="164"/>
        <v>0</v>
      </c>
      <c r="DM119" s="1826" t="e">
        <f t="shared" si="268"/>
        <v>#REF!</v>
      </c>
      <c r="DN119" s="2003">
        <f t="shared" si="165"/>
        <v>0</v>
      </c>
      <c r="DO119" s="1826" t="e">
        <f t="shared" si="268"/>
        <v>#REF!</v>
      </c>
      <c r="DP119" s="2003">
        <f t="shared" si="166"/>
        <v>0</v>
      </c>
      <c r="DQ119" s="1826" t="e">
        <f t="shared" si="268"/>
        <v>#REF!</v>
      </c>
      <c r="DR119" s="1826" t="e">
        <f t="shared" si="268"/>
        <v>#REF!</v>
      </c>
      <c r="DS119" s="2002" t="e">
        <f t="shared" si="167"/>
        <v>#REF!</v>
      </c>
      <c r="DT119" s="2009" t="e">
        <f>DT114+DT115</f>
        <v>#REF!</v>
      </c>
      <c r="DU119" s="2010" t="e">
        <f>SUM(DU114:DU118)</f>
        <v>#REF!</v>
      </c>
      <c r="DV119" s="2003">
        <f t="shared" si="168"/>
        <v>0</v>
      </c>
      <c r="DW119" s="1826" t="e">
        <f>SUM(DW114:DW118)</f>
        <v>#REF!</v>
      </c>
      <c r="DX119" s="2003">
        <f t="shared" si="169"/>
        <v>0</v>
      </c>
      <c r="DY119" s="1826" t="e">
        <f>SUM(DY114:DY118)</f>
        <v>#REF!</v>
      </c>
      <c r="DZ119" s="2003">
        <f t="shared" si="170"/>
        <v>0</v>
      </c>
      <c r="EA119" s="1826" t="e">
        <f>SUM(EA114:EA118)</f>
        <v>#REF!</v>
      </c>
      <c r="EB119" s="1826" t="e">
        <f>SUM(EB114:EB118)</f>
        <v>#REF!</v>
      </c>
      <c r="EC119" s="2002" t="e">
        <f t="shared" si="171"/>
        <v>#REF!</v>
      </c>
      <c r="ED119" s="1826" t="e">
        <f>ED114+ED115</f>
        <v>#REF!</v>
      </c>
      <c r="EE119" s="2011" t="e">
        <f>SUM(EE114:EE118)</f>
        <v>#REF!</v>
      </c>
      <c r="EF119" s="2003">
        <f t="shared" si="172"/>
        <v>0</v>
      </c>
      <c r="EG119" s="1826" t="e">
        <f>SUM(EG114:EG118)</f>
        <v>#REF!</v>
      </c>
      <c r="EH119" s="2003">
        <f t="shared" si="173"/>
        <v>0</v>
      </c>
      <c r="EI119" s="1826" t="e">
        <f>SUM(EI114:EI118)</f>
        <v>#REF!</v>
      </c>
      <c r="EJ119" s="2003">
        <f t="shared" si="174"/>
        <v>0</v>
      </c>
      <c r="EK119" s="1826" t="e">
        <f>SUM(EK114:EK118)</f>
        <v>#REF!</v>
      </c>
      <c r="EL119" s="1826" t="e">
        <f>SUM(EL114:EL118)</f>
        <v>#REF!</v>
      </c>
      <c r="EM119" s="2006" t="e">
        <f t="shared" si="175"/>
        <v>#REF!</v>
      </c>
      <c r="EN119" s="2008" t="e">
        <f>SUM(EN114:EN118)</f>
        <v>#REF!</v>
      </c>
      <c r="EO119" s="1659"/>
      <c r="EP119" s="1613" t="e">
        <f>EA119-#REF!/10^7</f>
        <v>#REF!</v>
      </c>
      <c r="EQ119" s="1661"/>
      <c r="EW119" s="1611" t="e">
        <v>#N/A</v>
      </c>
      <c r="EX119" s="1612">
        <v>0</v>
      </c>
      <c r="EZ119" s="1650">
        <f t="shared" si="176"/>
        <v>0</v>
      </c>
    </row>
    <row r="120" spans="1:156" ht="21" customHeight="1">
      <c r="A120" s="1652"/>
      <c r="B120" s="1644"/>
      <c r="C120" s="1662"/>
      <c r="D120" s="1648"/>
      <c r="E120" s="1648"/>
      <c r="F120" s="1648"/>
      <c r="G120" s="1648"/>
      <c r="H120" s="1648"/>
      <c r="I120" s="1648"/>
      <c r="J120" s="1663"/>
      <c r="K120" s="1648"/>
      <c r="L120" s="1648"/>
      <c r="M120" s="1648"/>
      <c r="N120" s="1642"/>
      <c r="O120" s="2000"/>
      <c r="P120" s="2003">
        <f t="shared" si="124"/>
        <v>0</v>
      </c>
      <c r="Q120" s="1989"/>
      <c r="R120" s="2003">
        <f t="shared" si="125"/>
        <v>0</v>
      </c>
      <c r="S120" s="1989"/>
      <c r="T120" s="2003">
        <f t="shared" si="126"/>
        <v>0</v>
      </c>
      <c r="U120" s="1989"/>
      <c r="V120" s="1989"/>
      <c r="W120" s="1989">
        <f t="shared" si="127"/>
        <v>0</v>
      </c>
      <c r="X120" s="1999">
        <f t="shared" ref="X120:X127" si="269">Q120+S120+U120+V120</f>
        <v>0</v>
      </c>
      <c r="Y120" s="1993"/>
      <c r="Z120" s="2003">
        <f t="shared" si="128"/>
        <v>0</v>
      </c>
      <c r="AA120" s="1989"/>
      <c r="AB120" s="2003">
        <f t="shared" si="129"/>
        <v>0</v>
      </c>
      <c r="AC120" s="1989"/>
      <c r="AD120" s="2003">
        <f t="shared" si="130"/>
        <v>0</v>
      </c>
      <c r="AE120" s="1989"/>
      <c r="AF120" s="1989"/>
      <c r="AG120" s="2002">
        <f t="shared" si="131"/>
        <v>0</v>
      </c>
      <c r="AH120" s="1999">
        <f t="shared" ref="AH120:AH127" si="270">AA120+AC120+AE120+AF120</f>
        <v>0</v>
      </c>
      <c r="AI120" s="1993"/>
      <c r="AJ120" s="2003">
        <f t="shared" si="132"/>
        <v>0</v>
      </c>
      <c r="AK120" s="1989"/>
      <c r="AL120" s="2003">
        <f t="shared" si="133"/>
        <v>0</v>
      </c>
      <c r="AM120" s="1989"/>
      <c r="AN120" s="2003">
        <f t="shared" si="134"/>
        <v>0</v>
      </c>
      <c r="AO120" s="1989"/>
      <c r="AP120" s="1989"/>
      <c r="AQ120" s="2002">
        <f t="shared" si="135"/>
        <v>0</v>
      </c>
      <c r="AR120" s="1999">
        <f t="shared" ref="AR120:AR127" si="271">AK120+AM120+AO120+AP120</f>
        <v>0</v>
      </c>
      <c r="AS120" s="1993"/>
      <c r="AT120" s="2003">
        <f t="shared" si="136"/>
        <v>0</v>
      </c>
      <c r="AU120" s="1989"/>
      <c r="AV120" s="2003">
        <f t="shared" si="137"/>
        <v>0</v>
      </c>
      <c r="AW120" s="1989"/>
      <c r="AX120" s="2003">
        <f t="shared" si="138"/>
        <v>0</v>
      </c>
      <c r="AY120" s="1989"/>
      <c r="AZ120" s="1989"/>
      <c r="BA120" s="2002">
        <f t="shared" si="139"/>
        <v>0</v>
      </c>
      <c r="BB120" s="1999">
        <f t="shared" ref="BB120:BB127" si="272">AU120+AW120+AY120+AZ120</f>
        <v>0</v>
      </c>
      <c r="BC120" s="1993"/>
      <c r="BD120" s="2003">
        <f t="shared" si="140"/>
        <v>0</v>
      </c>
      <c r="BE120" s="1989"/>
      <c r="BF120" s="2003">
        <f t="shared" si="141"/>
        <v>0</v>
      </c>
      <c r="BG120" s="1989"/>
      <c r="BH120" s="2003">
        <f t="shared" si="142"/>
        <v>0</v>
      </c>
      <c r="BI120" s="1989"/>
      <c r="BJ120" s="1989"/>
      <c r="BK120" s="2002">
        <f t="shared" si="143"/>
        <v>0</v>
      </c>
      <c r="BL120" s="1999">
        <f t="shared" ref="BL120:BL127" si="273">BE120+BG120+BI120+BJ120</f>
        <v>0</v>
      </c>
      <c r="BM120" s="1993"/>
      <c r="BN120" s="2003">
        <f t="shared" si="144"/>
        <v>0</v>
      </c>
      <c r="BO120" s="1989"/>
      <c r="BP120" s="2003">
        <f t="shared" si="145"/>
        <v>0</v>
      </c>
      <c r="BQ120" s="1989"/>
      <c r="BR120" s="2003">
        <f t="shared" si="146"/>
        <v>0</v>
      </c>
      <c r="BS120" s="1989"/>
      <c r="BT120" s="1989"/>
      <c r="BU120" s="2002">
        <f t="shared" si="147"/>
        <v>0</v>
      </c>
      <c r="BV120" s="1999">
        <f t="shared" ref="BV120:BV127" si="274">BO120+BQ120+BS120+BT120</f>
        <v>0</v>
      </c>
      <c r="BW120" s="1993"/>
      <c r="BX120" s="2003">
        <f t="shared" si="148"/>
        <v>0</v>
      </c>
      <c r="BY120" s="1989"/>
      <c r="BZ120" s="2003">
        <f t="shared" si="149"/>
        <v>0</v>
      </c>
      <c r="CA120" s="1989"/>
      <c r="CB120" s="2003">
        <f t="shared" si="150"/>
        <v>0</v>
      </c>
      <c r="CC120" s="1989"/>
      <c r="CD120" s="1989"/>
      <c r="CE120" s="2002">
        <f t="shared" si="151"/>
        <v>0</v>
      </c>
      <c r="CF120" s="1999">
        <f t="shared" ref="CF120:CF127" si="275">BY120+CA120+CC120+CD120</f>
        <v>0</v>
      </c>
      <c r="CG120" s="1993"/>
      <c r="CH120" s="2003">
        <f t="shared" si="152"/>
        <v>0</v>
      </c>
      <c r="CI120" s="1989"/>
      <c r="CJ120" s="2003">
        <f t="shared" si="153"/>
        <v>0</v>
      </c>
      <c r="CK120" s="1989"/>
      <c r="CL120" s="2003">
        <f t="shared" si="154"/>
        <v>0</v>
      </c>
      <c r="CM120" s="1989"/>
      <c r="CN120" s="1989"/>
      <c r="CO120" s="2002">
        <f t="shared" si="155"/>
        <v>0</v>
      </c>
      <c r="CP120" s="1999">
        <f t="shared" ref="CP120:CP127" si="276">CI120+CK120+CM120+CN120</f>
        <v>0</v>
      </c>
      <c r="CQ120" s="1993"/>
      <c r="CR120" s="2003">
        <f t="shared" si="156"/>
        <v>0</v>
      </c>
      <c r="CS120" s="1989"/>
      <c r="CT120" s="2003">
        <f t="shared" si="157"/>
        <v>0</v>
      </c>
      <c r="CU120" s="1989"/>
      <c r="CV120" s="2003">
        <f t="shared" si="158"/>
        <v>0</v>
      </c>
      <c r="CW120" s="1989"/>
      <c r="CX120" s="1989"/>
      <c r="CY120" s="2002">
        <f t="shared" si="159"/>
        <v>0</v>
      </c>
      <c r="CZ120" s="1999">
        <f t="shared" ref="CZ120:CZ127" si="277">CS120+CU120+CW120+CX120</f>
        <v>0</v>
      </c>
      <c r="DA120" s="1993"/>
      <c r="DB120" s="2003">
        <f t="shared" si="160"/>
        <v>0</v>
      </c>
      <c r="DC120" s="1989"/>
      <c r="DD120" s="2003">
        <f t="shared" si="161"/>
        <v>0</v>
      </c>
      <c r="DE120" s="1989"/>
      <c r="DF120" s="2003">
        <f t="shared" si="162"/>
        <v>0</v>
      </c>
      <c r="DG120" s="1989"/>
      <c r="DH120" s="1989"/>
      <c r="DI120" s="2002">
        <f t="shared" si="163"/>
        <v>0</v>
      </c>
      <c r="DJ120" s="1999">
        <f t="shared" ref="DJ120:DJ127" si="278">DC120+DE120+DG120+DH120</f>
        <v>0</v>
      </c>
      <c r="DK120" s="1993"/>
      <c r="DL120" s="2003">
        <f t="shared" si="164"/>
        <v>0</v>
      </c>
      <c r="DM120" s="1989"/>
      <c r="DN120" s="2003">
        <f t="shared" si="165"/>
        <v>0</v>
      </c>
      <c r="DO120" s="1989"/>
      <c r="DP120" s="2003">
        <f t="shared" si="166"/>
        <v>0</v>
      </c>
      <c r="DQ120" s="1989"/>
      <c r="DR120" s="1989"/>
      <c r="DS120" s="2002">
        <f t="shared" si="167"/>
        <v>0</v>
      </c>
      <c r="DT120" s="2004">
        <f t="shared" ref="DT120:DT127" si="279">DM120+DO120+DQ120+DR120</f>
        <v>0</v>
      </c>
      <c r="DU120" s="1988"/>
      <c r="DV120" s="2003">
        <f t="shared" si="168"/>
        <v>0</v>
      </c>
      <c r="DW120" s="1989"/>
      <c r="DX120" s="2003">
        <f t="shared" si="169"/>
        <v>0</v>
      </c>
      <c r="DY120" s="1989"/>
      <c r="DZ120" s="2003">
        <f t="shared" si="170"/>
        <v>0</v>
      </c>
      <c r="EA120" s="1989"/>
      <c r="EB120" s="1989"/>
      <c r="EC120" s="2002">
        <f t="shared" si="171"/>
        <v>0</v>
      </c>
      <c r="ED120" s="1998">
        <f t="shared" ref="ED120:ED127" si="280">DW120+DY120+EA120+EB120</f>
        <v>0</v>
      </c>
      <c r="EE120" s="2005"/>
      <c r="EF120" s="2003">
        <f t="shared" si="172"/>
        <v>0</v>
      </c>
      <c r="EG120" s="1989"/>
      <c r="EH120" s="2003">
        <f t="shared" si="173"/>
        <v>0</v>
      </c>
      <c r="EI120" s="1989"/>
      <c r="EJ120" s="2003">
        <f t="shared" si="174"/>
        <v>0</v>
      </c>
      <c r="EK120" s="1989"/>
      <c r="EL120" s="1989"/>
      <c r="EM120" s="2006">
        <f t="shared" si="175"/>
        <v>0</v>
      </c>
      <c r="EN120" s="1999"/>
      <c r="EP120" s="1613" t="e">
        <f>EA120-#REF!/10^7</f>
        <v>#REF!</v>
      </c>
      <c r="EW120" s="1611" t="e">
        <v>#N/A</v>
      </c>
      <c r="EX120" s="1612" t="e">
        <v>#N/A</v>
      </c>
      <c r="EZ120" s="1650">
        <f t="shared" si="176"/>
        <v>0</v>
      </c>
    </row>
    <row r="121" spans="1:156" ht="21" customHeight="1">
      <c r="A121" s="1652" t="s">
        <v>30</v>
      </c>
      <c r="B121" s="1638" t="s">
        <v>1744</v>
      </c>
      <c r="C121" s="1662"/>
      <c r="D121" s="1648"/>
      <c r="E121" s="1648"/>
      <c r="F121" s="1648"/>
      <c r="G121" s="1648"/>
      <c r="H121" s="1648"/>
      <c r="I121" s="1648"/>
      <c r="J121" s="1663"/>
      <c r="K121" s="1648"/>
      <c r="L121" s="1648"/>
      <c r="M121" s="1648"/>
      <c r="N121" s="1642"/>
      <c r="O121" s="2000"/>
      <c r="P121" s="2003">
        <f t="shared" si="124"/>
        <v>0</v>
      </c>
      <c r="Q121" s="1989"/>
      <c r="R121" s="2003">
        <f t="shared" si="125"/>
        <v>0</v>
      </c>
      <c r="S121" s="1989"/>
      <c r="T121" s="2003">
        <f t="shared" si="126"/>
        <v>0</v>
      </c>
      <c r="U121" s="1989"/>
      <c r="V121" s="1989"/>
      <c r="W121" s="1989">
        <f t="shared" si="127"/>
        <v>0</v>
      </c>
      <c r="X121" s="1999">
        <f t="shared" si="269"/>
        <v>0</v>
      </c>
      <c r="Y121" s="1993"/>
      <c r="Z121" s="2003">
        <f t="shared" si="128"/>
        <v>0</v>
      </c>
      <c r="AA121" s="1989"/>
      <c r="AB121" s="2003">
        <f t="shared" si="129"/>
        <v>0</v>
      </c>
      <c r="AC121" s="1989"/>
      <c r="AD121" s="2003">
        <f t="shared" si="130"/>
        <v>0</v>
      </c>
      <c r="AE121" s="1989"/>
      <c r="AF121" s="1989"/>
      <c r="AG121" s="2002">
        <f t="shared" si="131"/>
        <v>0</v>
      </c>
      <c r="AH121" s="1999">
        <f t="shared" si="270"/>
        <v>0</v>
      </c>
      <c r="AI121" s="1993"/>
      <c r="AJ121" s="2003">
        <f t="shared" si="132"/>
        <v>0</v>
      </c>
      <c r="AK121" s="1989"/>
      <c r="AL121" s="2003">
        <f t="shared" si="133"/>
        <v>0</v>
      </c>
      <c r="AM121" s="1989"/>
      <c r="AN121" s="2003">
        <f t="shared" si="134"/>
        <v>0</v>
      </c>
      <c r="AO121" s="1989"/>
      <c r="AP121" s="1989"/>
      <c r="AQ121" s="2002">
        <f t="shared" si="135"/>
        <v>0</v>
      </c>
      <c r="AR121" s="1999">
        <f t="shared" si="271"/>
        <v>0</v>
      </c>
      <c r="AS121" s="1993"/>
      <c r="AT121" s="2003">
        <f t="shared" si="136"/>
        <v>0</v>
      </c>
      <c r="AU121" s="1989"/>
      <c r="AV121" s="2003">
        <f t="shared" si="137"/>
        <v>0</v>
      </c>
      <c r="AW121" s="1989"/>
      <c r="AX121" s="2003">
        <f t="shared" si="138"/>
        <v>0</v>
      </c>
      <c r="AY121" s="1989"/>
      <c r="AZ121" s="1989"/>
      <c r="BA121" s="2002">
        <f t="shared" si="139"/>
        <v>0</v>
      </c>
      <c r="BB121" s="1999">
        <f t="shared" si="272"/>
        <v>0</v>
      </c>
      <c r="BC121" s="1993"/>
      <c r="BD121" s="2003">
        <f t="shared" si="140"/>
        <v>0</v>
      </c>
      <c r="BE121" s="1989"/>
      <c r="BF121" s="2003">
        <f t="shared" si="141"/>
        <v>0</v>
      </c>
      <c r="BG121" s="1989"/>
      <c r="BH121" s="2003">
        <f t="shared" si="142"/>
        <v>0</v>
      </c>
      <c r="BI121" s="1989"/>
      <c r="BJ121" s="1989"/>
      <c r="BK121" s="2002">
        <f t="shared" si="143"/>
        <v>0</v>
      </c>
      <c r="BL121" s="1999">
        <f t="shared" si="273"/>
        <v>0</v>
      </c>
      <c r="BM121" s="1993"/>
      <c r="BN121" s="2003">
        <f t="shared" si="144"/>
        <v>0</v>
      </c>
      <c r="BO121" s="1989"/>
      <c r="BP121" s="2003">
        <f t="shared" si="145"/>
        <v>0</v>
      </c>
      <c r="BQ121" s="1989"/>
      <c r="BR121" s="2003">
        <f t="shared" si="146"/>
        <v>0</v>
      </c>
      <c r="BS121" s="1989"/>
      <c r="BT121" s="1989"/>
      <c r="BU121" s="2002">
        <f t="shared" si="147"/>
        <v>0</v>
      </c>
      <c r="BV121" s="1999">
        <f t="shared" si="274"/>
        <v>0</v>
      </c>
      <c r="BW121" s="1993"/>
      <c r="BX121" s="2003">
        <f t="shared" si="148"/>
        <v>0</v>
      </c>
      <c r="BY121" s="1989"/>
      <c r="BZ121" s="2003">
        <f t="shared" si="149"/>
        <v>0</v>
      </c>
      <c r="CA121" s="1989"/>
      <c r="CB121" s="2003">
        <f t="shared" si="150"/>
        <v>0</v>
      </c>
      <c r="CC121" s="1989"/>
      <c r="CD121" s="1989"/>
      <c r="CE121" s="2002">
        <f t="shared" si="151"/>
        <v>0</v>
      </c>
      <c r="CF121" s="1999">
        <f t="shared" si="275"/>
        <v>0</v>
      </c>
      <c r="CG121" s="1993"/>
      <c r="CH121" s="2003">
        <f t="shared" si="152"/>
        <v>0</v>
      </c>
      <c r="CI121" s="1989"/>
      <c r="CJ121" s="2003">
        <f t="shared" si="153"/>
        <v>0</v>
      </c>
      <c r="CK121" s="1989"/>
      <c r="CL121" s="2003">
        <f t="shared" si="154"/>
        <v>0</v>
      </c>
      <c r="CM121" s="1989"/>
      <c r="CN121" s="1989"/>
      <c r="CO121" s="2002">
        <f t="shared" si="155"/>
        <v>0</v>
      </c>
      <c r="CP121" s="1999">
        <f t="shared" si="276"/>
        <v>0</v>
      </c>
      <c r="CQ121" s="1993"/>
      <c r="CR121" s="2003">
        <f t="shared" si="156"/>
        <v>0</v>
      </c>
      <c r="CS121" s="1989"/>
      <c r="CT121" s="2003">
        <f t="shared" si="157"/>
        <v>0</v>
      </c>
      <c r="CU121" s="1989"/>
      <c r="CV121" s="2003">
        <f t="shared" si="158"/>
        <v>0</v>
      </c>
      <c r="CW121" s="1989"/>
      <c r="CX121" s="1989"/>
      <c r="CY121" s="2002">
        <f t="shared" si="159"/>
        <v>0</v>
      </c>
      <c r="CZ121" s="1999">
        <f t="shared" si="277"/>
        <v>0</v>
      </c>
      <c r="DA121" s="1993"/>
      <c r="DB121" s="2003">
        <f t="shared" si="160"/>
        <v>0</v>
      </c>
      <c r="DC121" s="1989"/>
      <c r="DD121" s="2003">
        <f t="shared" si="161"/>
        <v>0</v>
      </c>
      <c r="DE121" s="1989"/>
      <c r="DF121" s="2003">
        <f t="shared" si="162"/>
        <v>0</v>
      </c>
      <c r="DG121" s="1989"/>
      <c r="DH121" s="1989"/>
      <c r="DI121" s="2002">
        <f t="shared" si="163"/>
        <v>0</v>
      </c>
      <c r="DJ121" s="1999">
        <f t="shared" si="278"/>
        <v>0</v>
      </c>
      <c r="DK121" s="1993"/>
      <c r="DL121" s="2003">
        <f t="shared" si="164"/>
        <v>0</v>
      </c>
      <c r="DM121" s="1989"/>
      <c r="DN121" s="2003">
        <f t="shared" si="165"/>
        <v>0</v>
      </c>
      <c r="DO121" s="1989"/>
      <c r="DP121" s="2003">
        <f t="shared" si="166"/>
        <v>0</v>
      </c>
      <c r="DQ121" s="1989"/>
      <c r="DR121" s="1989"/>
      <c r="DS121" s="2002">
        <f t="shared" si="167"/>
        <v>0</v>
      </c>
      <c r="DT121" s="2004">
        <f t="shared" si="279"/>
        <v>0</v>
      </c>
      <c r="DU121" s="1988"/>
      <c r="DV121" s="2003">
        <f t="shared" si="168"/>
        <v>0</v>
      </c>
      <c r="DW121" s="1989"/>
      <c r="DX121" s="2003">
        <f t="shared" si="169"/>
        <v>0</v>
      </c>
      <c r="DY121" s="1989"/>
      <c r="DZ121" s="2003">
        <f t="shared" si="170"/>
        <v>0</v>
      </c>
      <c r="EA121" s="1989"/>
      <c r="EB121" s="1989"/>
      <c r="EC121" s="2002">
        <f t="shared" si="171"/>
        <v>0</v>
      </c>
      <c r="ED121" s="1998">
        <f t="shared" si="280"/>
        <v>0</v>
      </c>
      <c r="EE121" s="2005"/>
      <c r="EF121" s="2003">
        <f t="shared" si="172"/>
        <v>0</v>
      </c>
      <c r="EG121" s="1989"/>
      <c r="EH121" s="2003">
        <f t="shared" si="173"/>
        <v>0</v>
      </c>
      <c r="EI121" s="1989"/>
      <c r="EJ121" s="2003">
        <f t="shared" si="174"/>
        <v>0</v>
      </c>
      <c r="EK121" s="1989"/>
      <c r="EL121" s="1989"/>
      <c r="EM121" s="2006">
        <f t="shared" si="175"/>
        <v>0</v>
      </c>
      <c r="EN121" s="1999"/>
      <c r="EP121" s="1613" t="e">
        <f>EA121-#REF!/10^7</f>
        <v>#REF!</v>
      </c>
      <c r="EW121" s="1611" t="e">
        <v>#N/A</v>
      </c>
      <c r="EX121" s="1612">
        <v>0</v>
      </c>
      <c r="EZ121" s="1650">
        <f t="shared" si="176"/>
        <v>0</v>
      </c>
    </row>
    <row r="122" spans="1:156" ht="21" customHeight="1">
      <c r="A122" s="1652"/>
      <c r="B122" s="1638" t="s">
        <v>1745</v>
      </c>
      <c r="C122" s="1662"/>
      <c r="D122" s="1648"/>
      <c r="E122" s="1648"/>
      <c r="F122" s="1683"/>
      <c r="G122" s="1648"/>
      <c r="H122" s="1648"/>
      <c r="I122" s="1648"/>
      <c r="J122" s="1649"/>
      <c r="K122" s="1648"/>
      <c r="L122" s="1648"/>
      <c r="M122" s="1648"/>
      <c r="N122" s="1642"/>
      <c r="O122" s="2000"/>
      <c r="P122" s="2003">
        <f t="shared" si="124"/>
        <v>0</v>
      </c>
      <c r="Q122" s="1989"/>
      <c r="R122" s="2003">
        <f t="shared" si="125"/>
        <v>0</v>
      </c>
      <c r="S122" s="1989"/>
      <c r="T122" s="2003">
        <f t="shared" si="126"/>
        <v>0</v>
      </c>
      <c r="U122" s="1989"/>
      <c r="V122" s="1989"/>
      <c r="W122" s="1989">
        <f t="shared" si="127"/>
        <v>0</v>
      </c>
      <c r="X122" s="1999">
        <f t="shared" si="269"/>
        <v>0</v>
      </c>
      <c r="Y122" s="1993"/>
      <c r="Z122" s="2003">
        <f t="shared" si="128"/>
        <v>0</v>
      </c>
      <c r="AA122" s="1989"/>
      <c r="AB122" s="2003">
        <f t="shared" si="129"/>
        <v>0</v>
      </c>
      <c r="AC122" s="1989"/>
      <c r="AD122" s="2003">
        <f t="shared" si="130"/>
        <v>0</v>
      </c>
      <c r="AE122" s="1989"/>
      <c r="AF122" s="1989"/>
      <c r="AG122" s="2002">
        <f t="shared" si="131"/>
        <v>0</v>
      </c>
      <c r="AH122" s="1999">
        <f t="shared" si="270"/>
        <v>0</v>
      </c>
      <c r="AI122" s="1993"/>
      <c r="AJ122" s="2003">
        <f t="shared" si="132"/>
        <v>0</v>
      </c>
      <c r="AK122" s="1989"/>
      <c r="AL122" s="2003">
        <f t="shared" si="133"/>
        <v>0</v>
      </c>
      <c r="AM122" s="1989"/>
      <c r="AN122" s="2003">
        <f t="shared" si="134"/>
        <v>0</v>
      </c>
      <c r="AO122" s="1989"/>
      <c r="AP122" s="1989"/>
      <c r="AQ122" s="2002">
        <f t="shared" si="135"/>
        <v>0</v>
      </c>
      <c r="AR122" s="1999">
        <f t="shared" si="271"/>
        <v>0</v>
      </c>
      <c r="AS122" s="1993"/>
      <c r="AT122" s="2003">
        <f t="shared" si="136"/>
        <v>0</v>
      </c>
      <c r="AU122" s="1989"/>
      <c r="AV122" s="2003">
        <f t="shared" si="137"/>
        <v>0</v>
      </c>
      <c r="AW122" s="1989"/>
      <c r="AX122" s="2003">
        <f t="shared" si="138"/>
        <v>0</v>
      </c>
      <c r="AY122" s="1989"/>
      <c r="AZ122" s="1989"/>
      <c r="BA122" s="2002">
        <f t="shared" si="139"/>
        <v>0</v>
      </c>
      <c r="BB122" s="1999">
        <f t="shared" si="272"/>
        <v>0</v>
      </c>
      <c r="BC122" s="1993"/>
      <c r="BD122" s="2003">
        <f t="shared" si="140"/>
        <v>0</v>
      </c>
      <c r="BE122" s="1989"/>
      <c r="BF122" s="2003">
        <f t="shared" si="141"/>
        <v>0</v>
      </c>
      <c r="BG122" s="1989"/>
      <c r="BH122" s="2003">
        <f t="shared" si="142"/>
        <v>0</v>
      </c>
      <c r="BI122" s="1989"/>
      <c r="BJ122" s="1989"/>
      <c r="BK122" s="2002">
        <f t="shared" si="143"/>
        <v>0</v>
      </c>
      <c r="BL122" s="1999">
        <f t="shared" si="273"/>
        <v>0</v>
      </c>
      <c r="BM122" s="1993"/>
      <c r="BN122" s="2003">
        <f t="shared" si="144"/>
        <v>0</v>
      </c>
      <c r="BO122" s="1989"/>
      <c r="BP122" s="2003">
        <f t="shared" si="145"/>
        <v>0</v>
      </c>
      <c r="BQ122" s="1989"/>
      <c r="BR122" s="2003">
        <f t="shared" si="146"/>
        <v>0</v>
      </c>
      <c r="BS122" s="1989"/>
      <c r="BT122" s="1989"/>
      <c r="BU122" s="2002">
        <f t="shared" si="147"/>
        <v>0</v>
      </c>
      <c r="BV122" s="1999">
        <f t="shared" si="274"/>
        <v>0</v>
      </c>
      <c r="BW122" s="1993"/>
      <c r="BX122" s="2003">
        <f t="shared" si="148"/>
        <v>0</v>
      </c>
      <c r="BY122" s="1989"/>
      <c r="BZ122" s="2003">
        <f t="shared" si="149"/>
        <v>0</v>
      </c>
      <c r="CA122" s="1989"/>
      <c r="CB122" s="2003">
        <f t="shared" si="150"/>
        <v>0</v>
      </c>
      <c r="CC122" s="1989"/>
      <c r="CD122" s="1989"/>
      <c r="CE122" s="2002">
        <f t="shared" si="151"/>
        <v>0</v>
      </c>
      <c r="CF122" s="1999">
        <f t="shared" si="275"/>
        <v>0</v>
      </c>
      <c r="CG122" s="1993"/>
      <c r="CH122" s="2003">
        <f t="shared" si="152"/>
        <v>0</v>
      </c>
      <c r="CI122" s="1989"/>
      <c r="CJ122" s="2003">
        <f t="shared" si="153"/>
        <v>0</v>
      </c>
      <c r="CK122" s="1989"/>
      <c r="CL122" s="2003">
        <f t="shared" si="154"/>
        <v>0</v>
      </c>
      <c r="CM122" s="1989"/>
      <c r="CN122" s="1989"/>
      <c r="CO122" s="2002">
        <f t="shared" si="155"/>
        <v>0</v>
      </c>
      <c r="CP122" s="1999">
        <f t="shared" si="276"/>
        <v>0</v>
      </c>
      <c r="CQ122" s="1993"/>
      <c r="CR122" s="2003">
        <f t="shared" si="156"/>
        <v>0</v>
      </c>
      <c r="CS122" s="1989"/>
      <c r="CT122" s="2003">
        <f t="shared" si="157"/>
        <v>0</v>
      </c>
      <c r="CU122" s="1989"/>
      <c r="CV122" s="2003">
        <f t="shared" si="158"/>
        <v>0</v>
      </c>
      <c r="CW122" s="1989"/>
      <c r="CX122" s="1989"/>
      <c r="CY122" s="2002">
        <f t="shared" si="159"/>
        <v>0</v>
      </c>
      <c r="CZ122" s="1999">
        <f t="shared" si="277"/>
        <v>0</v>
      </c>
      <c r="DA122" s="1993"/>
      <c r="DB122" s="2003">
        <f t="shared" si="160"/>
        <v>0</v>
      </c>
      <c r="DC122" s="1989"/>
      <c r="DD122" s="2003">
        <f t="shared" si="161"/>
        <v>0</v>
      </c>
      <c r="DE122" s="1989"/>
      <c r="DF122" s="2003">
        <f t="shared" si="162"/>
        <v>0</v>
      </c>
      <c r="DG122" s="1989"/>
      <c r="DH122" s="1989"/>
      <c r="DI122" s="2002">
        <f t="shared" si="163"/>
        <v>0</v>
      </c>
      <c r="DJ122" s="1999">
        <f t="shared" si="278"/>
        <v>0</v>
      </c>
      <c r="DK122" s="1993"/>
      <c r="DL122" s="2003">
        <f t="shared" si="164"/>
        <v>0</v>
      </c>
      <c r="DM122" s="1989"/>
      <c r="DN122" s="2003">
        <f t="shared" si="165"/>
        <v>0</v>
      </c>
      <c r="DO122" s="1989"/>
      <c r="DP122" s="2003">
        <f t="shared" si="166"/>
        <v>0</v>
      </c>
      <c r="DQ122" s="1989"/>
      <c r="DR122" s="1989"/>
      <c r="DS122" s="2002">
        <f t="shared" si="167"/>
        <v>0</v>
      </c>
      <c r="DT122" s="2004">
        <f t="shared" si="279"/>
        <v>0</v>
      </c>
      <c r="DU122" s="1988"/>
      <c r="DV122" s="2003">
        <f t="shared" si="168"/>
        <v>0</v>
      </c>
      <c r="DW122" s="1989"/>
      <c r="DX122" s="2003">
        <f t="shared" si="169"/>
        <v>0</v>
      </c>
      <c r="DY122" s="1989"/>
      <c r="DZ122" s="2003">
        <f t="shared" si="170"/>
        <v>0</v>
      </c>
      <c r="EA122" s="1989"/>
      <c r="EB122" s="1989"/>
      <c r="EC122" s="2002">
        <f t="shared" si="171"/>
        <v>0</v>
      </c>
      <c r="ED122" s="1998">
        <f t="shared" si="280"/>
        <v>0</v>
      </c>
      <c r="EE122" s="2005"/>
      <c r="EF122" s="2003">
        <f t="shared" si="172"/>
        <v>0</v>
      </c>
      <c r="EG122" s="1989"/>
      <c r="EH122" s="2003">
        <f t="shared" si="173"/>
        <v>0</v>
      </c>
      <c r="EI122" s="1989"/>
      <c r="EJ122" s="2003">
        <f t="shared" si="174"/>
        <v>0</v>
      </c>
      <c r="EK122" s="1989"/>
      <c r="EL122" s="1989"/>
      <c r="EM122" s="2006">
        <f t="shared" si="175"/>
        <v>0</v>
      </c>
      <c r="EN122" s="1999"/>
      <c r="EP122" s="1613" t="e">
        <f>EA122-#REF!/10^7</f>
        <v>#REF!</v>
      </c>
      <c r="EW122" s="1611" t="e">
        <v>#N/A</v>
      </c>
      <c r="EX122" s="1612">
        <v>0</v>
      </c>
      <c r="EZ122" s="1650">
        <f t="shared" si="176"/>
        <v>0</v>
      </c>
    </row>
    <row r="123" spans="1:156" ht="21" customHeight="1">
      <c r="A123" s="1652">
        <v>1</v>
      </c>
      <c r="B123" s="1644" t="s">
        <v>1746</v>
      </c>
      <c r="C123" s="1684">
        <v>1000</v>
      </c>
      <c r="D123" s="1646">
        <f>H123/C123*100</f>
        <v>37.4</v>
      </c>
      <c r="E123" s="1646">
        <v>63.915999999999997</v>
      </c>
      <c r="F123" s="1651">
        <v>1.2</v>
      </c>
      <c r="G123" s="1648"/>
      <c r="H123" s="1648">
        <v>374</v>
      </c>
      <c r="I123" s="1648" t="s">
        <v>1717</v>
      </c>
      <c r="J123" s="1649">
        <v>1</v>
      </c>
      <c r="K123" s="1648"/>
      <c r="L123" s="1648"/>
      <c r="M123" s="1648"/>
      <c r="N123" s="1642"/>
      <c r="O123" s="2000" t="e">
        <f>#REF!</f>
        <v>#REF!</v>
      </c>
      <c r="P123" s="2003">
        <f t="shared" si="124"/>
        <v>0</v>
      </c>
      <c r="Q123" s="1989" t="e">
        <f>#REF!/10^7</f>
        <v>#REF!</v>
      </c>
      <c r="R123" s="2003">
        <f t="shared" si="125"/>
        <v>0</v>
      </c>
      <c r="S123" s="1989" t="e">
        <f>#REF!/10^7</f>
        <v>#REF!</v>
      </c>
      <c r="T123" s="2003">
        <f t="shared" si="126"/>
        <v>0</v>
      </c>
      <c r="U123" s="1989" t="e">
        <f>#REF!/10^7</f>
        <v>#REF!</v>
      </c>
      <c r="V123" s="1989" t="e">
        <f>#REF!/10^7</f>
        <v>#REF!</v>
      </c>
      <c r="W123" s="1989">
        <f t="shared" si="127"/>
        <v>0</v>
      </c>
      <c r="X123" s="1999" t="e">
        <f t="shared" si="269"/>
        <v>#REF!</v>
      </c>
      <c r="Y123" s="1993" t="e">
        <f>#REF!</f>
        <v>#REF!</v>
      </c>
      <c r="Z123" s="2003">
        <f t="shared" si="128"/>
        <v>0</v>
      </c>
      <c r="AA123" s="1989" t="e">
        <f>#REF!/10^7</f>
        <v>#REF!</v>
      </c>
      <c r="AB123" s="2003">
        <f t="shared" si="129"/>
        <v>0</v>
      </c>
      <c r="AC123" s="1989" t="e">
        <f>#REF!/10^7</f>
        <v>#REF!</v>
      </c>
      <c r="AD123" s="2003">
        <f t="shared" si="130"/>
        <v>0</v>
      </c>
      <c r="AE123" s="1989" t="e">
        <f>#REF!/10^7</f>
        <v>#REF!</v>
      </c>
      <c r="AF123" s="1989" t="e">
        <f>#REF!/10^7</f>
        <v>#REF!</v>
      </c>
      <c r="AG123" s="2002" t="e">
        <f t="shared" si="131"/>
        <v>#REF!</v>
      </c>
      <c r="AH123" s="1999" t="e">
        <f t="shared" si="270"/>
        <v>#REF!</v>
      </c>
      <c r="AI123" s="1993" t="e">
        <f>#REF!</f>
        <v>#REF!</v>
      </c>
      <c r="AJ123" s="2003">
        <f t="shared" si="132"/>
        <v>0</v>
      </c>
      <c r="AK123" s="1989" t="e">
        <f>#REF!/10^7</f>
        <v>#REF!</v>
      </c>
      <c r="AL123" s="2003">
        <f t="shared" si="133"/>
        <v>0</v>
      </c>
      <c r="AM123" s="1989" t="e">
        <f>#REF!/10^7</f>
        <v>#REF!</v>
      </c>
      <c r="AN123" s="2003">
        <f t="shared" si="134"/>
        <v>0</v>
      </c>
      <c r="AO123" s="1989" t="e">
        <f>#REF!/10^7</f>
        <v>#REF!</v>
      </c>
      <c r="AP123" s="1989" t="e">
        <f>#REF!/10^7</f>
        <v>#REF!</v>
      </c>
      <c r="AQ123" s="2002" t="e">
        <f t="shared" si="135"/>
        <v>#REF!</v>
      </c>
      <c r="AR123" s="1999" t="e">
        <f t="shared" si="271"/>
        <v>#REF!</v>
      </c>
      <c r="AS123" s="1993" t="e">
        <f>#REF!</f>
        <v>#REF!</v>
      </c>
      <c r="AT123" s="2003">
        <f t="shared" si="136"/>
        <v>0</v>
      </c>
      <c r="AU123" s="1989" t="e">
        <f>#REF!/10^7</f>
        <v>#REF!</v>
      </c>
      <c r="AV123" s="2003">
        <f t="shared" si="137"/>
        <v>0</v>
      </c>
      <c r="AW123" s="1989" t="e">
        <f>#REF!/10^7</f>
        <v>#REF!</v>
      </c>
      <c r="AX123" s="2003">
        <f t="shared" si="138"/>
        <v>0</v>
      </c>
      <c r="AY123" s="1989" t="e">
        <f>#REF!/10^7</f>
        <v>#REF!</v>
      </c>
      <c r="AZ123" s="1989" t="e">
        <f>#REF!/10^7</f>
        <v>#REF!</v>
      </c>
      <c r="BA123" s="2002" t="e">
        <f t="shared" si="139"/>
        <v>#REF!</v>
      </c>
      <c r="BB123" s="1999" t="e">
        <f t="shared" si="272"/>
        <v>#REF!</v>
      </c>
      <c r="BC123" s="1993" t="e">
        <f>#REF!</f>
        <v>#REF!</v>
      </c>
      <c r="BD123" s="2003">
        <f t="shared" si="140"/>
        <v>0</v>
      </c>
      <c r="BE123" s="1989" t="e">
        <f>#REF!/10^7</f>
        <v>#REF!</v>
      </c>
      <c r="BF123" s="2003">
        <f t="shared" si="141"/>
        <v>0</v>
      </c>
      <c r="BG123" s="1989" t="e">
        <f>#REF!/10^7</f>
        <v>#REF!</v>
      </c>
      <c r="BH123" s="2003">
        <f t="shared" si="142"/>
        <v>0</v>
      </c>
      <c r="BI123" s="1989" t="e">
        <f>#REF!/10^7</f>
        <v>#REF!</v>
      </c>
      <c r="BJ123" s="1989" t="e">
        <f>#REF!/10^7</f>
        <v>#REF!</v>
      </c>
      <c r="BK123" s="2002" t="e">
        <f t="shared" si="143"/>
        <v>#REF!</v>
      </c>
      <c r="BL123" s="1999" t="e">
        <f t="shared" si="273"/>
        <v>#REF!</v>
      </c>
      <c r="BM123" s="1993" t="e">
        <f>#REF!</f>
        <v>#REF!</v>
      </c>
      <c r="BN123" s="2003">
        <f t="shared" si="144"/>
        <v>0</v>
      </c>
      <c r="BO123" s="1989" t="e">
        <f>#REF!/10^7</f>
        <v>#REF!</v>
      </c>
      <c r="BP123" s="2003">
        <f t="shared" si="145"/>
        <v>0</v>
      </c>
      <c r="BQ123" s="1989" t="e">
        <f>#REF!/10^7</f>
        <v>#REF!</v>
      </c>
      <c r="BR123" s="2003">
        <f t="shared" si="146"/>
        <v>0</v>
      </c>
      <c r="BS123" s="1989" t="e">
        <f>#REF!/10^7</f>
        <v>#REF!</v>
      </c>
      <c r="BT123" s="1989" t="e">
        <f>#REF!/10^7</f>
        <v>#REF!</v>
      </c>
      <c r="BU123" s="2002" t="e">
        <f t="shared" si="147"/>
        <v>#REF!</v>
      </c>
      <c r="BV123" s="1999" t="e">
        <f t="shared" si="274"/>
        <v>#REF!</v>
      </c>
      <c r="BW123" s="1993" t="e">
        <f>#REF!</f>
        <v>#REF!</v>
      </c>
      <c r="BX123" s="2003">
        <f t="shared" si="148"/>
        <v>0</v>
      </c>
      <c r="BY123" s="1989" t="e">
        <f>#REF!/10^7</f>
        <v>#REF!</v>
      </c>
      <c r="BZ123" s="2003">
        <f t="shared" si="149"/>
        <v>0</v>
      </c>
      <c r="CA123" s="1989" t="e">
        <f>#REF!/10^7</f>
        <v>#REF!</v>
      </c>
      <c r="CB123" s="2003">
        <f t="shared" si="150"/>
        <v>0</v>
      </c>
      <c r="CC123" s="1989" t="e">
        <f>#REF!/10^7</f>
        <v>#REF!</v>
      </c>
      <c r="CD123" s="1989" t="e">
        <f>#REF!/10^7</f>
        <v>#REF!</v>
      </c>
      <c r="CE123" s="2002" t="e">
        <f t="shared" si="151"/>
        <v>#REF!</v>
      </c>
      <c r="CF123" s="1999" t="e">
        <f t="shared" si="275"/>
        <v>#REF!</v>
      </c>
      <c r="CG123" s="1993" t="e">
        <f>#REF!</f>
        <v>#REF!</v>
      </c>
      <c r="CH123" s="2003">
        <f t="shared" si="152"/>
        <v>0</v>
      </c>
      <c r="CI123" s="1989" t="e">
        <f>#REF!/10^7</f>
        <v>#REF!</v>
      </c>
      <c r="CJ123" s="2003">
        <f t="shared" si="153"/>
        <v>0</v>
      </c>
      <c r="CK123" s="1989" t="e">
        <f>#REF!/10^7</f>
        <v>#REF!</v>
      </c>
      <c r="CL123" s="2003">
        <f t="shared" si="154"/>
        <v>0</v>
      </c>
      <c r="CM123" s="1989" t="e">
        <f>#REF!/10^7</f>
        <v>#REF!</v>
      </c>
      <c r="CN123" s="1989" t="e">
        <f>#REF!/10^7</f>
        <v>#REF!</v>
      </c>
      <c r="CO123" s="2002" t="e">
        <f t="shared" si="155"/>
        <v>#REF!</v>
      </c>
      <c r="CP123" s="1999" t="e">
        <f t="shared" si="276"/>
        <v>#REF!</v>
      </c>
      <c r="CQ123" s="1993" t="e">
        <f>#REF!</f>
        <v>#REF!</v>
      </c>
      <c r="CR123" s="2003">
        <f t="shared" si="156"/>
        <v>0</v>
      </c>
      <c r="CS123" s="1989" t="e">
        <f>#REF!/10^7</f>
        <v>#REF!</v>
      </c>
      <c r="CT123" s="2003">
        <f t="shared" si="157"/>
        <v>0</v>
      </c>
      <c r="CU123" s="1989" t="e">
        <f>#REF!/10^7</f>
        <v>#REF!</v>
      </c>
      <c r="CV123" s="2003">
        <f t="shared" si="158"/>
        <v>0</v>
      </c>
      <c r="CW123" s="1989" t="e">
        <f>#REF!/10^7</f>
        <v>#REF!</v>
      </c>
      <c r="CX123" s="1989" t="e">
        <f>#REF!/10^7</f>
        <v>#REF!</v>
      </c>
      <c r="CY123" s="2002" t="e">
        <f t="shared" si="159"/>
        <v>#REF!</v>
      </c>
      <c r="CZ123" s="1999" t="e">
        <f t="shared" si="277"/>
        <v>#REF!</v>
      </c>
      <c r="DA123" s="1993" t="e">
        <f>#REF!</f>
        <v>#REF!</v>
      </c>
      <c r="DB123" s="2003">
        <f t="shared" si="160"/>
        <v>0</v>
      </c>
      <c r="DC123" s="1989" t="e">
        <f>#REF!/10^7</f>
        <v>#REF!</v>
      </c>
      <c r="DD123" s="2003">
        <f t="shared" si="161"/>
        <v>0</v>
      </c>
      <c r="DE123" s="1989" t="e">
        <f>#REF!/10^7</f>
        <v>#REF!</v>
      </c>
      <c r="DF123" s="2003">
        <f t="shared" si="162"/>
        <v>0</v>
      </c>
      <c r="DG123" s="1989" t="e">
        <f>#REF!/10^7</f>
        <v>#REF!</v>
      </c>
      <c r="DH123" s="1989" t="e">
        <f>#REF!/10^7</f>
        <v>#REF!</v>
      </c>
      <c r="DI123" s="2002" t="e">
        <f t="shared" si="163"/>
        <v>#REF!</v>
      </c>
      <c r="DJ123" s="1999" t="e">
        <f t="shared" si="278"/>
        <v>#REF!</v>
      </c>
      <c r="DK123" s="1993" t="e">
        <f>#REF!</f>
        <v>#REF!</v>
      </c>
      <c r="DL123" s="2003">
        <f t="shared" si="164"/>
        <v>0</v>
      </c>
      <c r="DM123" s="1989" t="e">
        <f>#REF!/10^7</f>
        <v>#REF!</v>
      </c>
      <c r="DN123" s="2003">
        <f t="shared" si="165"/>
        <v>0</v>
      </c>
      <c r="DO123" s="1989" t="e">
        <f>#REF!/10^7</f>
        <v>#REF!</v>
      </c>
      <c r="DP123" s="2003">
        <f t="shared" si="166"/>
        <v>0</v>
      </c>
      <c r="DQ123" s="1989" t="e">
        <f>#REF!/10^7</f>
        <v>#REF!</v>
      </c>
      <c r="DR123" s="1989" t="e">
        <f>#REF!/10^7</f>
        <v>#REF!</v>
      </c>
      <c r="DS123" s="2002" t="e">
        <f t="shared" si="167"/>
        <v>#REF!</v>
      </c>
      <c r="DT123" s="2004" t="e">
        <f t="shared" si="279"/>
        <v>#REF!</v>
      </c>
      <c r="DU123" s="1988" t="e">
        <f>#REF!</f>
        <v>#REF!</v>
      </c>
      <c r="DV123" s="2003">
        <f t="shared" si="168"/>
        <v>0</v>
      </c>
      <c r="DW123" s="1989" t="e">
        <f>#REF!/10^7</f>
        <v>#REF!</v>
      </c>
      <c r="DX123" s="2003">
        <f t="shared" si="169"/>
        <v>0</v>
      </c>
      <c r="DY123" s="1989" t="e">
        <f>#REF!/10^7</f>
        <v>#REF!</v>
      </c>
      <c r="DZ123" s="2003">
        <f t="shared" si="170"/>
        <v>0</v>
      </c>
      <c r="EA123" s="1989" t="e">
        <f>#REF!/10^7</f>
        <v>#REF!</v>
      </c>
      <c r="EB123" s="1989" t="e">
        <f>#REF!/10^7</f>
        <v>#REF!</v>
      </c>
      <c r="EC123" s="2002" t="e">
        <f t="shared" si="171"/>
        <v>#REF!</v>
      </c>
      <c r="ED123" s="1998" t="e">
        <f t="shared" si="280"/>
        <v>#REF!</v>
      </c>
      <c r="EE123" s="2005" t="e">
        <f>O123+Y123+AI123+AS123+BC123+BM123+BW123+CG123+CQ123+DA123+DK123+DU123</f>
        <v>#REF!</v>
      </c>
      <c r="EF123" s="2003">
        <f t="shared" si="172"/>
        <v>0</v>
      </c>
      <c r="EG123" s="1989" t="e">
        <f>Q123+AA123+AK123+AU123+BE123+BO123+BY123+CI123+CS123+DC123+DM123+DW123</f>
        <v>#REF!</v>
      </c>
      <c r="EH123" s="2003">
        <f t="shared" si="173"/>
        <v>0</v>
      </c>
      <c r="EI123" s="1989" t="e">
        <f>S123+AC123+AM123+AW123+BG123+BQ123+CA123+CK123+CU123+DE123+DO123+DY123</f>
        <v>#REF!</v>
      </c>
      <c r="EJ123" s="2003">
        <f t="shared" si="174"/>
        <v>0</v>
      </c>
      <c r="EK123" s="1989" t="e">
        <f t="shared" ref="EK123:EL127" si="281">U123+AE123+AO123+AY123+BI123+BS123+CC123+CM123+CW123+DG123+DQ123+EA123</f>
        <v>#REF!</v>
      </c>
      <c r="EL123" s="1989" t="e">
        <f t="shared" si="281"/>
        <v>#REF!</v>
      </c>
      <c r="EM123" s="2006" t="e">
        <f t="shared" si="175"/>
        <v>#REF!</v>
      </c>
      <c r="EN123" s="1999" t="e">
        <f>EG123+EI123+EK123+EL123</f>
        <v>#REF!</v>
      </c>
      <c r="EP123" s="1613" t="e">
        <f>EA123-#REF!/10^7</f>
        <v>#REF!</v>
      </c>
      <c r="EW123" s="1611" t="s">
        <v>1717</v>
      </c>
      <c r="EX123" s="1612" t="s">
        <v>1717</v>
      </c>
      <c r="EZ123" s="1650">
        <f t="shared" si="176"/>
        <v>0</v>
      </c>
    </row>
    <row r="124" spans="1:156" ht="21" customHeight="1">
      <c r="A124" s="1652">
        <v>2</v>
      </c>
      <c r="B124" s="1644" t="s">
        <v>1747</v>
      </c>
      <c r="C124" s="1684">
        <v>400</v>
      </c>
      <c r="D124" s="1646">
        <f>H124/C124*100</f>
        <v>38.75</v>
      </c>
      <c r="E124" s="1646">
        <v>68.599999999999994</v>
      </c>
      <c r="F124" s="1651">
        <v>1</v>
      </c>
      <c r="G124" s="1648"/>
      <c r="H124" s="1648">
        <v>155</v>
      </c>
      <c r="I124" s="1648" t="s">
        <v>1717</v>
      </c>
      <c r="J124" s="1649">
        <v>1</v>
      </c>
      <c r="K124" s="1648"/>
      <c r="L124" s="1648"/>
      <c r="M124" s="1648"/>
      <c r="N124" s="1642"/>
      <c r="O124" s="2000" t="e">
        <f>#REF!</f>
        <v>#REF!</v>
      </c>
      <c r="P124" s="2003">
        <f t="shared" si="124"/>
        <v>0</v>
      </c>
      <c r="Q124" s="1989" t="e">
        <f>#REF!/10^7</f>
        <v>#REF!</v>
      </c>
      <c r="R124" s="2003">
        <f t="shared" si="125"/>
        <v>0</v>
      </c>
      <c r="S124" s="1989" t="e">
        <f>#REF!/10^7</f>
        <v>#REF!</v>
      </c>
      <c r="T124" s="2003">
        <f t="shared" si="126"/>
        <v>0</v>
      </c>
      <c r="U124" s="1989" t="e">
        <f>#REF!/10^7</f>
        <v>#REF!</v>
      </c>
      <c r="V124" s="1989" t="e">
        <f>#REF!/10^7</f>
        <v>#REF!</v>
      </c>
      <c r="W124" s="1989">
        <f t="shared" si="127"/>
        <v>0</v>
      </c>
      <c r="X124" s="1999" t="e">
        <f t="shared" si="269"/>
        <v>#REF!</v>
      </c>
      <c r="Y124" s="1993" t="e">
        <f>#REF!</f>
        <v>#REF!</v>
      </c>
      <c r="Z124" s="2003">
        <f t="shared" si="128"/>
        <v>0</v>
      </c>
      <c r="AA124" s="1989" t="e">
        <f>#REF!/10^7</f>
        <v>#REF!</v>
      </c>
      <c r="AB124" s="2003">
        <f t="shared" si="129"/>
        <v>0</v>
      </c>
      <c r="AC124" s="1989" t="e">
        <f>#REF!/10^7</f>
        <v>#REF!</v>
      </c>
      <c r="AD124" s="2003">
        <f t="shared" si="130"/>
        <v>0</v>
      </c>
      <c r="AE124" s="1989" t="e">
        <f>#REF!/10^7</f>
        <v>#REF!</v>
      </c>
      <c r="AF124" s="1989" t="e">
        <f>#REF!/10^7</f>
        <v>#REF!</v>
      </c>
      <c r="AG124" s="2002" t="e">
        <f t="shared" si="131"/>
        <v>#REF!</v>
      </c>
      <c r="AH124" s="1999" t="e">
        <f t="shared" si="270"/>
        <v>#REF!</v>
      </c>
      <c r="AI124" s="1993" t="e">
        <f>#REF!</f>
        <v>#REF!</v>
      </c>
      <c r="AJ124" s="2003">
        <f t="shared" si="132"/>
        <v>0</v>
      </c>
      <c r="AK124" s="1989" t="e">
        <f>#REF!/10^7</f>
        <v>#REF!</v>
      </c>
      <c r="AL124" s="2003">
        <f t="shared" si="133"/>
        <v>0</v>
      </c>
      <c r="AM124" s="1989" t="e">
        <f>#REF!/10^7</f>
        <v>#REF!</v>
      </c>
      <c r="AN124" s="2003">
        <f t="shared" si="134"/>
        <v>0</v>
      </c>
      <c r="AO124" s="1989" t="e">
        <f>#REF!/10^7</f>
        <v>#REF!</v>
      </c>
      <c r="AP124" s="1989" t="e">
        <f>#REF!/10^7</f>
        <v>#REF!</v>
      </c>
      <c r="AQ124" s="2002" t="e">
        <f t="shared" si="135"/>
        <v>#REF!</v>
      </c>
      <c r="AR124" s="1999" t="e">
        <f t="shared" si="271"/>
        <v>#REF!</v>
      </c>
      <c r="AS124" s="1993" t="e">
        <f>#REF!</f>
        <v>#REF!</v>
      </c>
      <c r="AT124" s="2003">
        <f t="shared" si="136"/>
        <v>0</v>
      </c>
      <c r="AU124" s="1989" t="e">
        <f>#REF!/10^7</f>
        <v>#REF!</v>
      </c>
      <c r="AV124" s="2003">
        <f t="shared" si="137"/>
        <v>0</v>
      </c>
      <c r="AW124" s="1989" t="e">
        <f>#REF!/10^7</f>
        <v>#REF!</v>
      </c>
      <c r="AX124" s="2003">
        <f t="shared" si="138"/>
        <v>0</v>
      </c>
      <c r="AY124" s="1989" t="e">
        <f>#REF!/10^7</f>
        <v>#REF!</v>
      </c>
      <c r="AZ124" s="1989" t="e">
        <f>#REF!/10^7</f>
        <v>#REF!</v>
      </c>
      <c r="BA124" s="2002" t="e">
        <f t="shared" si="139"/>
        <v>#REF!</v>
      </c>
      <c r="BB124" s="1999" t="e">
        <f t="shared" si="272"/>
        <v>#REF!</v>
      </c>
      <c r="BC124" s="1993" t="e">
        <f>#REF!</f>
        <v>#REF!</v>
      </c>
      <c r="BD124" s="2003">
        <f t="shared" si="140"/>
        <v>0</v>
      </c>
      <c r="BE124" s="1989" t="e">
        <f>#REF!/10^7</f>
        <v>#REF!</v>
      </c>
      <c r="BF124" s="2003">
        <f t="shared" si="141"/>
        <v>0</v>
      </c>
      <c r="BG124" s="1989" t="e">
        <f>#REF!/10^7</f>
        <v>#REF!</v>
      </c>
      <c r="BH124" s="2003">
        <f t="shared" si="142"/>
        <v>0</v>
      </c>
      <c r="BI124" s="1989" t="e">
        <f>#REF!/10^7</f>
        <v>#REF!</v>
      </c>
      <c r="BJ124" s="1989" t="e">
        <f>#REF!/10^7</f>
        <v>#REF!</v>
      </c>
      <c r="BK124" s="2002" t="e">
        <f t="shared" si="143"/>
        <v>#REF!</v>
      </c>
      <c r="BL124" s="1999" t="e">
        <f t="shared" si="273"/>
        <v>#REF!</v>
      </c>
      <c r="BM124" s="1993" t="e">
        <f>#REF!</f>
        <v>#REF!</v>
      </c>
      <c r="BN124" s="2003">
        <f t="shared" si="144"/>
        <v>0</v>
      </c>
      <c r="BO124" s="1989" t="e">
        <f>#REF!/10^7</f>
        <v>#REF!</v>
      </c>
      <c r="BP124" s="2003">
        <f t="shared" si="145"/>
        <v>0</v>
      </c>
      <c r="BQ124" s="1989" t="e">
        <f>#REF!/10^7</f>
        <v>#REF!</v>
      </c>
      <c r="BR124" s="2003">
        <f t="shared" si="146"/>
        <v>0</v>
      </c>
      <c r="BS124" s="1989" t="e">
        <f>#REF!/10^7</f>
        <v>#REF!</v>
      </c>
      <c r="BT124" s="1989" t="e">
        <f>#REF!/10^7</f>
        <v>#REF!</v>
      </c>
      <c r="BU124" s="2002" t="e">
        <f t="shared" si="147"/>
        <v>#REF!</v>
      </c>
      <c r="BV124" s="1999" t="e">
        <f t="shared" si="274"/>
        <v>#REF!</v>
      </c>
      <c r="BW124" s="1993" t="e">
        <f>#REF!</f>
        <v>#REF!</v>
      </c>
      <c r="BX124" s="2003">
        <f t="shared" si="148"/>
        <v>0</v>
      </c>
      <c r="BY124" s="1989" t="e">
        <f>#REF!/10^7</f>
        <v>#REF!</v>
      </c>
      <c r="BZ124" s="2003">
        <f t="shared" si="149"/>
        <v>0</v>
      </c>
      <c r="CA124" s="1989" t="e">
        <f>#REF!/10^7</f>
        <v>#REF!</v>
      </c>
      <c r="CB124" s="2003">
        <f t="shared" si="150"/>
        <v>0</v>
      </c>
      <c r="CC124" s="1989" t="e">
        <f>#REF!/10^7</f>
        <v>#REF!</v>
      </c>
      <c r="CD124" s="1989" t="e">
        <f>#REF!/10^7</f>
        <v>#REF!</v>
      </c>
      <c r="CE124" s="2002" t="e">
        <f t="shared" si="151"/>
        <v>#REF!</v>
      </c>
      <c r="CF124" s="1999" t="e">
        <f t="shared" si="275"/>
        <v>#REF!</v>
      </c>
      <c r="CG124" s="1993" t="e">
        <f>#REF!</f>
        <v>#REF!</v>
      </c>
      <c r="CH124" s="2003">
        <f t="shared" si="152"/>
        <v>0</v>
      </c>
      <c r="CI124" s="1989" t="e">
        <f>#REF!/10^7</f>
        <v>#REF!</v>
      </c>
      <c r="CJ124" s="2003">
        <f t="shared" si="153"/>
        <v>0</v>
      </c>
      <c r="CK124" s="1989" t="e">
        <f>#REF!/10^7</f>
        <v>#REF!</v>
      </c>
      <c r="CL124" s="2003">
        <f t="shared" si="154"/>
        <v>0</v>
      </c>
      <c r="CM124" s="1989" t="e">
        <f>#REF!/10^7</f>
        <v>#REF!</v>
      </c>
      <c r="CN124" s="1989" t="e">
        <f>#REF!/10^7</f>
        <v>#REF!</v>
      </c>
      <c r="CO124" s="2002" t="e">
        <f t="shared" si="155"/>
        <v>#REF!</v>
      </c>
      <c r="CP124" s="1999" t="e">
        <f t="shared" si="276"/>
        <v>#REF!</v>
      </c>
      <c r="CQ124" s="1993" t="e">
        <f>#REF!</f>
        <v>#REF!</v>
      </c>
      <c r="CR124" s="2003">
        <f t="shared" si="156"/>
        <v>0</v>
      </c>
      <c r="CS124" s="1989" t="e">
        <f>#REF!/10^7</f>
        <v>#REF!</v>
      </c>
      <c r="CT124" s="2003">
        <f t="shared" si="157"/>
        <v>0</v>
      </c>
      <c r="CU124" s="1989" t="e">
        <f>#REF!/10^7</f>
        <v>#REF!</v>
      </c>
      <c r="CV124" s="2003">
        <f t="shared" si="158"/>
        <v>0</v>
      </c>
      <c r="CW124" s="1989" t="e">
        <f>#REF!/10^7</f>
        <v>#REF!</v>
      </c>
      <c r="CX124" s="1989" t="e">
        <f>#REF!/10^7</f>
        <v>#REF!</v>
      </c>
      <c r="CY124" s="2002" t="e">
        <f t="shared" si="159"/>
        <v>#REF!</v>
      </c>
      <c r="CZ124" s="1999" t="e">
        <f t="shared" si="277"/>
        <v>#REF!</v>
      </c>
      <c r="DA124" s="1993" t="e">
        <f>#REF!</f>
        <v>#REF!</v>
      </c>
      <c r="DB124" s="2003">
        <f t="shared" si="160"/>
        <v>0</v>
      </c>
      <c r="DC124" s="1989" t="e">
        <f>#REF!/10^7</f>
        <v>#REF!</v>
      </c>
      <c r="DD124" s="2003">
        <f t="shared" si="161"/>
        <v>0</v>
      </c>
      <c r="DE124" s="1989" t="e">
        <f>#REF!/10^7</f>
        <v>#REF!</v>
      </c>
      <c r="DF124" s="2003">
        <f t="shared" si="162"/>
        <v>0</v>
      </c>
      <c r="DG124" s="1989" t="e">
        <f>#REF!/10^7</f>
        <v>#REF!</v>
      </c>
      <c r="DH124" s="1989" t="e">
        <f>#REF!/10^7</f>
        <v>#REF!</v>
      </c>
      <c r="DI124" s="2002" t="e">
        <f t="shared" si="163"/>
        <v>#REF!</v>
      </c>
      <c r="DJ124" s="1999" t="e">
        <f t="shared" si="278"/>
        <v>#REF!</v>
      </c>
      <c r="DK124" s="1993" t="e">
        <f>#REF!</f>
        <v>#REF!</v>
      </c>
      <c r="DL124" s="2003">
        <f t="shared" si="164"/>
        <v>0</v>
      </c>
      <c r="DM124" s="1989" t="e">
        <f>#REF!/10^7</f>
        <v>#REF!</v>
      </c>
      <c r="DN124" s="2003">
        <f t="shared" si="165"/>
        <v>0</v>
      </c>
      <c r="DO124" s="1989" t="e">
        <f>#REF!/10^7</f>
        <v>#REF!</v>
      </c>
      <c r="DP124" s="2003">
        <f t="shared" si="166"/>
        <v>0</v>
      </c>
      <c r="DQ124" s="1989" t="e">
        <f>#REF!/10^7</f>
        <v>#REF!</v>
      </c>
      <c r="DR124" s="1989" t="e">
        <f>#REF!/10^7</f>
        <v>#REF!</v>
      </c>
      <c r="DS124" s="2002" t="e">
        <f t="shared" si="167"/>
        <v>#REF!</v>
      </c>
      <c r="DT124" s="2004" t="e">
        <f t="shared" si="279"/>
        <v>#REF!</v>
      </c>
      <c r="DU124" s="1988" t="e">
        <f>#REF!</f>
        <v>#REF!</v>
      </c>
      <c r="DV124" s="2003">
        <f t="shared" si="168"/>
        <v>0</v>
      </c>
      <c r="DW124" s="1989" t="e">
        <f>#REF!/10^7</f>
        <v>#REF!</v>
      </c>
      <c r="DX124" s="2003">
        <f t="shared" si="169"/>
        <v>0</v>
      </c>
      <c r="DY124" s="1989" t="e">
        <f>#REF!/10^7</f>
        <v>#REF!</v>
      </c>
      <c r="DZ124" s="2003">
        <f t="shared" si="170"/>
        <v>0</v>
      </c>
      <c r="EA124" s="1989" t="e">
        <f>#REF!/10^7</f>
        <v>#REF!</v>
      </c>
      <c r="EB124" s="1989" t="e">
        <f>#REF!/10^7</f>
        <v>#REF!</v>
      </c>
      <c r="EC124" s="2002" t="e">
        <f t="shared" si="171"/>
        <v>#REF!</v>
      </c>
      <c r="ED124" s="1998" t="e">
        <f t="shared" si="280"/>
        <v>#REF!</v>
      </c>
      <c r="EE124" s="2005" t="e">
        <f>O124+Y124+AI124+AS124+BC124+BM124+BW124+CG124+CQ124+DA124+DK124+DU124</f>
        <v>#REF!</v>
      </c>
      <c r="EF124" s="2003">
        <f t="shared" si="172"/>
        <v>0</v>
      </c>
      <c r="EG124" s="1989" t="e">
        <f>Q124+AA124+AK124+AU124+BE124+BO124+BY124+CI124+CS124+DC124+DM124+DW124</f>
        <v>#REF!</v>
      </c>
      <c r="EH124" s="2003">
        <f t="shared" si="173"/>
        <v>0</v>
      </c>
      <c r="EI124" s="1989" t="e">
        <f>S124+AC124+AM124+AW124+BG124+BQ124+CA124+CK124+CU124+DE124+DO124+DY124</f>
        <v>#REF!</v>
      </c>
      <c r="EJ124" s="2003">
        <f t="shared" si="174"/>
        <v>0</v>
      </c>
      <c r="EK124" s="1989" t="e">
        <f t="shared" si="281"/>
        <v>#REF!</v>
      </c>
      <c r="EL124" s="1989" t="e">
        <f t="shared" si="281"/>
        <v>#REF!</v>
      </c>
      <c r="EM124" s="2006" t="e">
        <f t="shared" si="175"/>
        <v>#REF!</v>
      </c>
      <c r="EN124" s="1999" t="e">
        <f>EG124+EI124+EK124+EL124</f>
        <v>#REF!</v>
      </c>
      <c r="EP124" s="1613" t="e">
        <f>EA124-#REF!/10^7</f>
        <v>#REF!</v>
      </c>
      <c r="EW124" s="1611" t="s">
        <v>1717</v>
      </c>
      <c r="EX124" s="1612" t="s">
        <v>1717</v>
      </c>
      <c r="EZ124" s="1650">
        <f t="shared" si="176"/>
        <v>0</v>
      </c>
    </row>
    <row r="125" spans="1:156" ht="21" customHeight="1">
      <c r="A125" s="1652">
        <v>3</v>
      </c>
      <c r="B125" s="1644" t="s">
        <v>1856</v>
      </c>
      <c r="C125" s="1662">
        <v>24</v>
      </c>
      <c r="D125" s="1646">
        <f>H125/C125*100</f>
        <v>100</v>
      </c>
      <c r="E125" s="1648"/>
      <c r="F125" s="1648"/>
      <c r="G125" s="1648"/>
      <c r="H125" s="1648">
        <v>24</v>
      </c>
      <c r="I125" s="1648" t="s">
        <v>1717</v>
      </c>
      <c r="J125" s="1649">
        <v>2</v>
      </c>
      <c r="K125" s="1648"/>
      <c r="L125" s="1648"/>
      <c r="M125" s="1648"/>
      <c r="N125" s="1642"/>
      <c r="O125" s="2000" t="e">
        <f>#REF!</f>
        <v>#REF!</v>
      </c>
      <c r="P125" s="2003">
        <f t="shared" si="124"/>
        <v>0</v>
      </c>
      <c r="Q125" s="1989" t="e">
        <f>#REF!/10^7</f>
        <v>#REF!</v>
      </c>
      <c r="R125" s="2003">
        <f t="shared" si="125"/>
        <v>0</v>
      </c>
      <c r="S125" s="1989" t="e">
        <f>#REF!/10^7</f>
        <v>#REF!</v>
      </c>
      <c r="T125" s="2003">
        <f t="shared" si="126"/>
        <v>0</v>
      </c>
      <c r="U125" s="1989" t="e">
        <f>#REF!/10^7</f>
        <v>#REF!</v>
      </c>
      <c r="V125" s="1989" t="e">
        <f>#REF!/10^7</f>
        <v>#REF!</v>
      </c>
      <c r="W125" s="1989">
        <f t="shared" si="127"/>
        <v>0</v>
      </c>
      <c r="X125" s="1999" t="e">
        <f t="shared" si="269"/>
        <v>#REF!</v>
      </c>
      <c r="Y125" s="1993" t="e">
        <f>#REF!</f>
        <v>#REF!</v>
      </c>
      <c r="Z125" s="2003">
        <f t="shared" si="128"/>
        <v>0</v>
      </c>
      <c r="AA125" s="1989" t="e">
        <f>#REF!/10^7</f>
        <v>#REF!</v>
      </c>
      <c r="AB125" s="2003">
        <f t="shared" si="129"/>
        <v>0</v>
      </c>
      <c r="AC125" s="1989" t="e">
        <f>#REF!/10^7</f>
        <v>#REF!</v>
      </c>
      <c r="AD125" s="2003">
        <f t="shared" si="130"/>
        <v>0</v>
      </c>
      <c r="AE125" s="1989" t="e">
        <f>#REF!/10^7</f>
        <v>#REF!</v>
      </c>
      <c r="AF125" s="1989" t="e">
        <f>#REF!/10^7</f>
        <v>#REF!</v>
      </c>
      <c r="AG125" s="2002" t="e">
        <f t="shared" si="131"/>
        <v>#REF!</v>
      </c>
      <c r="AH125" s="1999" t="e">
        <f t="shared" si="270"/>
        <v>#REF!</v>
      </c>
      <c r="AI125" s="1993" t="e">
        <f>#REF!</f>
        <v>#REF!</v>
      </c>
      <c r="AJ125" s="2003">
        <f t="shared" si="132"/>
        <v>0</v>
      </c>
      <c r="AK125" s="1989" t="e">
        <f>#REF!/10^7</f>
        <v>#REF!</v>
      </c>
      <c r="AL125" s="2003">
        <f t="shared" si="133"/>
        <v>0</v>
      </c>
      <c r="AM125" s="1989" t="e">
        <f>#REF!/10^7</f>
        <v>#REF!</v>
      </c>
      <c r="AN125" s="2003">
        <f t="shared" si="134"/>
        <v>0</v>
      </c>
      <c r="AO125" s="1989" t="e">
        <f>#REF!/10^7</f>
        <v>#REF!</v>
      </c>
      <c r="AP125" s="1989" t="e">
        <f>#REF!/10^7</f>
        <v>#REF!</v>
      </c>
      <c r="AQ125" s="2002" t="e">
        <f t="shared" si="135"/>
        <v>#REF!</v>
      </c>
      <c r="AR125" s="1999" t="e">
        <f t="shared" si="271"/>
        <v>#REF!</v>
      </c>
      <c r="AS125" s="1993" t="e">
        <f>#REF!</f>
        <v>#REF!</v>
      </c>
      <c r="AT125" s="2003">
        <f t="shared" si="136"/>
        <v>0</v>
      </c>
      <c r="AU125" s="1989" t="e">
        <f>#REF!/10^7</f>
        <v>#REF!</v>
      </c>
      <c r="AV125" s="2003">
        <f t="shared" si="137"/>
        <v>0</v>
      </c>
      <c r="AW125" s="1989" t="e">
        <f>#REF!/10^7</f>
        <v>#REF!</v>
      </c>
      <c r="AX125" s="2003">
        <f t="shared" si="138"/>
        <v>0</v>
      </c>
      <c r="AY125" s="1989" t="e">
        <f>#REF!/10^7</f>
        <v>#REF!</v>
      </c>
      <c r="AZ125" s="1989" t="e">
        <f>#REF!/10^7</f>
        <v>#REF!</v>
      </c>
      <c r="BA125" s="2002" t="e">
        <f t="shared" si="139"/>
        <v>#REF!</v>
      </c>
      <c r="BB125" s="1999" t="e">
        <f t="shared" si="272"/>
        <v>#REF!</v>
      </c>
      <c r="BC125" s="1993" t="e">
        <f>#REF!</f>
        <v>#REF!</v>
      </c>
      <c r="BD125" s="2003">
        <f t="shared" si="140"/>
        <v>0</v>
      </c>
      <c r="BE125" s="1989" t="e">
        <f>#REF!/10^7</f>
        <v>#REF!</v>
      </c>
      <c r="BF125" s="2003">
        <f t="shared" si="141"/>
        <v>0</v>
      </c>
      <c r="BG125" s="1989" t="e">
        <f>#REF!/10^7</f>
        <v>#REF!</v>
      </c>
      <c r="BH125" s="2003">
        <f t="shared" si="142"/>
        <v>0</v>
      </c>
      <c r="BI125" s="1989" t="e">
        <f>#REF!/10^7</f>
        <v>#REF!</v>
      </c>
      <c r="BJ125" s="1989" t="e">
        <f>#REF!/10^7</f>
        <v>#REF!</v>
      </c>
      <c r="BK125" s="2002" t="e">
        <f t="shared" si="143"/>
        <v>#REF!</v>
      </c>
      <c r="BL125" s="1999" t="e">
        <f t="shared" si="273"/>
        <v>#REF!</v>
      </c>
      <c r="BM125" s="1993" t="e">
        <f>#REF!</f>
        <v>#REF!</v>
      </c>
      <c r="BN125" s="2003">
        <f t="shared" si="144"/>
        <v>0</v>
      </c>
      <c r="BO125" s="1989" t="e">
        <f>#REF!/10^7</f>
        <v>#REF!</v>
      </c>
      <c r="BP125" s="2003">
        <f t="shared" si="145"/>
        <v>0</v>
      </c>
      <c r="BQ125" s="1989" t="e">
        <f>#REF!/10^7</f>
        <v>#REF!</v>
      </c>
      <c r="BR125" s="2003">
        <f t="shared" si="146"/>
        <v>0</v>
      </c>
      <c r="BS125" s="1989" t="e">
        <f>#REF!/10^7</f>
        <v>#REF!</v>
      </c>
      <c r="BT125" s="1989" t="e">
        <f>#REF!/10^7</f>
        <v>#REF!</v>
      </c>
      <c r="BU125" s="2002" t="e">
        <f t="shared" si="147"/>
        <v>#REF!</v>
      </c>
      <c r="BV125" s="1999" t="e">
        <f t="shared" si="274"/>
        <v>#REF!</v>
      </c>
      <c r="BW125" s="1993" t="e">
        <f>#REF!</f>
        <v>#REF!</v>
      </c>
      <c r="BX125" s="2003">
        <f t="shared" si="148"/>
        <v>0</v>
      </c>
      <c r="BY125" s="1989" t="e">
        <f>#REF!/10^7</f>
        <v>#REF!</v>
      </c>
      <c r="BZ125" s="2003">
        <f t="shared" si="149"/>
        <v>0</v>
      </c>
      <c r="CA125" s="1989" t="e">
        <f>#REF!/10^7</f>
        <v>#REF!</v>
      </c>
      <c r="CB125" s="2003">
        <f t="shared" si="150"/>
        <v>0</v>
      </c>
      <c r="CC125" s="1989" t="e">
        <f>#REF!/10^7</f>
        <v>#REF!</v>
      </c>
      <c r="CD125" s="1989" t="e">
        <f>#REF!/10^7</f>
        <v>#REF!</v>
      </c>
      <c r="CE125" s="2002" t="e">
        <f t="shared" si="151"/>
        <v>#REF!</v>
      </c>
      <c r="CF125" s="1999" t="e">
        <f t="shared" si="275"/>
        <v>#REF!</v>
      </c>
      <c r="CG125" s="1993" t="e">
        <f>#REF!</f>
        <v>#REF!</v>
      </c>
      <c r="CH125" s="2003">
        <f t="shared" si="152"/>
        <v>0</v>
      </c>
      <c r="CI125" s="1989" t="e">
        <f>#REF!/10^7</f>
        <v>#REF!</v>
      </c>
      <c r="CJ125" s="2003">
        <f t="shared" si="153"/>
        <v>0</v>
      </c>
      <c r="CK125" s="1989" t="e">
        <f>#REF!/10^7</f>
        <v>#REF!</v>
      </c>
      <c r="CL125" s="2003">
        <f t="shared" si="154"/>
        <v>0</v>
      </c>
      <c r="CM125" s="1989" t="e">
        <f>#REF!/10^7</f>
        <v>#REF!</v>
      </c>
      <c r="CN125" s="1989" t="e">
        <f>#REF!/10^7</f>
        <v>#REF!</v>
      </c>
      <c r="CO125" s="2002" t="e">
        <f t="shared" si="155"/>
        <v>#REF!</v>
      </c>
      <c r="CP125" s="1999" t="e">
        <f t="shared" si="276"/>
        <v>#REF!</v>
      </c>
      <c r="CQ125" s="1993" t="e">
        <f>#REF!</f>
        <v>#REF!</v>
      </c>
      <c r="CR125" s="2003">
        <f t="shared" si="156"/>
        <v>0</v>
      </c>
      <c r="CS125" s="1989" t="e">
        <f>#REF!/10^7</f>
        <v>#REF!</v>
      </c>
      <c r="CT125" s="2003">
        <f t="shared" si="157"/>
        <v>0</v>
      </c>
      <c r="CU125" s="1989" t="e">
        <f>#REF!/10^7</f>
        <v>#REF!</v>
      </c>
      <c r="CV125" s="2003">
        <f t="shared" si="158"/>
        <v>0</v>
      </c>
      <c r="CW125" s="1989" t="e">
        <f>#REF!/10^7</f>
        <v>#REF!</v>
      </c>
      <c r="CX125" s="1989" t="e">
        <f>#REF!/10^7</f>
        <v>#REF!</v>
      </c>
      <c r="CY125" s="2002" t="e">
        <f t="shared" si="159"/>
        <v>#REF!</v>
      </c>
      <c r="CZ125" s="1999" t="e">
        <f t="shared" si="277"/>
        <v>#REF!</v>
      </c>
      <c r="DA125" s="1993" t="e">
        <f>#REF!</f>
        <v>#REF!</v>
      </c>
      <c r="DB125" s="2003">
        <f t="shared" si="160"/>
        <v>0</v>
      </c>
      <c r="DC125" s="1989" t="e">
        <f>#REF!/10^7</f>
        <v>#REF!</v>
      </c>
      <c r="DD125" s="2003">
        <f t="shared" si="161"/>
        <v>0</v>
      </c>
      <c r="DE125" s="1989" t="e">
        <f>#REF!/10^7</f>
        <v>#REF!</v>
      </c>
      <c r="DF125" s="2003">
        <f t="shared" si="162"/>
        <v>0</v>
      </c>
      <c r="DG125" s="1989" t="e">
        <f>#REF!/10^7</f>
        <v>#REF!</v>
      </c>
      <c r="DH125" s="1989" t="e">
        <f>#REF!/10^7</f>
        <v>#REF!</v>
      </c>
      <c r="DI125" s="2002" t="e">
        <f t="shared" si="163"/>
        <v>#REF!</v>
      </c>
      <c r="DJ125" s="1999" t="e">
        <f t="shared" si="278"/>
        <v>#REF!</v>
      </c>
      <c r="DK125" s="1993" t="e">
        <f>#REF!</f>
        <v>#REF!</v>
      </c>
      <c r="DL125" s="2003">
        <f t="shared" si="164"/>
        <v>0</v>
      </c>
      <c r="DM125" s="1989" t="e">
        <f>#REF!/10^7</f>
        <v>#REF!</v>
      </c>
      <c r="DN125" s="2003">
        <f t="shared" si="165"/>
        <v>0</v>
      </c>
      <c r="DO125" s="1989" t="e">
        <f>#REF!/10^7</f>
        <v>#REF!</v>
      </c>
      <c r="DP125" s="2003">
        <f t="shared" si="166"/>
        <v>0</v>
      </c>
      <c r="DQ125" s="1989" t="e">
        <f>#REF!/10^7</f>
        <v>#REF!</v>
      </c>
      <c r="DR125" s="1989" t="e">
        <f>#REF!/10^7</f>
        <v>#REF!</v>
      </c>
      <c r="DS125" s="2002" t="e">
        <f t="shared" si="167"/>
        <v>#REF!</v>
      </c>
      <c r="DT125" s="2004" t="e">
        <f t="shared" si="279"/>
        <v>#REF!</v>
      </c>
      <c r="DU125" s="1988" t="e">
        <f>#REF!</f>
        <v>#REF!</v>
      </c>
      <c r="DV125" s="2003">
        <f t="shared" si="168"/>
        <v>0</v>
      </c>
      <c r="DW125" s="1989" t="e">
        <f>#REF!/10^7</f>
        <v>#REF!</v>
      </c>
      <c r="DX125" s="2003">
        <f t="shared" si="169"/>
        <v>0</v>
      </c>
      <c r="DY125" s="1989" t="e">
        <f>#REF!/10^7</f>
        <v>#REF!</v>
      </c>
      <c r="DZ125" s="2003">
        <f t="shared" si="170"/>
        <v>0</v>
      </c>
      <c r="EA125" s="1989" t="e">
        <f>#REF!/10^7</f>
        <v>#REF!</v>
      </c>
      <c r="EB125" s="1989" t="e">
        <f>#REF!/10^7</f>
        <v>#REF!</v>
      </c>
      <c r="EC125" s="2002" t="e">
        <f t="shared" si="171"/>
        <v>#REF!</v>
      </c>
      <c r="ED125" s="1998" t="e">
        <f t="shared" si="280"/>
        <v>#REF!</v>
      </c>
      <c r="EE125" s="2005" t="e">
        <f>O125+Y125+AI125+AS125+BC125+BM125+BW125+CG125+CQ125+DA125+DK125+DU125</f>
        <v>#REF!</v>
      </c>
      <c r="EF125" s="2003">
        <f t="shared" si="172"/>
        <v>0</v>
      </c>
      <c r="EG125" s="1989" t="e">
        <f>Q125+AA125+AK125+AU125+BE125+BO125+BY125+CI125+CS125+DC125+DM125+DW125</f>
        <v>#REF!</v>
      </c>
      <c r="EH125" s="2003">
        <f t="shared" si="173"/>
        <v>0</v>
      </c>
      <c r="EI125" s="1989" t="e">
        <f>S125+AC125+AM125+AW125+BG125+BQ125+CA125+CK125+CU125+DE125+DO125+DY125</f>
        <v>#REF!</v>
      </c>
      <c r="EJ125" s="2003">
        <f t="shared" si="174"/>
        <v>0</v>
      </c>
      <c r="EK125" s="1989" t="e">
        <f t="shared" si="281"/>
        <v>#REF!</v>
      </c>
      <c r="EL125" s="1989" t="e">
        <f t="shared" si="281"/>
        <v>#REF!</v>
      </c>
      <c r="EM125" s="2006" t="e">
        <f t="shared" si="175"/>
        <v>#REF!</v>
      </c>
      <c r="EN125" s="1999" t="e">
        <f>EG125+EI125+EK125+EL125</f>
        <v>#REF!</v>
      </c>
      <c r="EP125" s="1613" t="e">
        <f>EA125-#REF!/10^7</f>
        <v>#REF!</v>
      </c>
      <c r="EW125" s="1611" t="e">
        <v>#N/A</v>
      </c>
      <c r="EX125" s="1612" t="e">
        <v>#N/A</v>
      </c>
      <c r="EZ125" s="1650">
        <f t="shared" si="176"/>
        <v>0</v>
      </c>
    </row>
    <row r="126" spans="1:156" ht="21" customHeight="1">
      <c r="A126" s="1652">
        <v>4</v>
      </c>
      <c r="B126" s="1644"/>
      <c r="C126" s="1662"/>
      <c r="D126" s="1648"/>
      <c r="E126" s="1648"/>
      <c r="F126" s="1648"/>
      <c r="G126" s="1648"/>
      <c r="H126" s="1648"/>
      <c r="I126" s="1648"/>
      <c r="J126" s="1649"/>
      <c r="K126" s="1648"/>
      <c r="L126" s="1648"/>
      <c r="M126" s="1648"/>
      <c r="N126" s="1642"/>
      <c r="O126" s="2000"/>
      <c r="P126" s="2003">
        <f t="shared" si="124"/>
        <v>0</v>
      </c>
      <c r="Q126" s="1989"/>
      <c r="R126" s="2003">
        <f t="shared" si="125"/>
        <v>0</v>
      </c>
      <c r="S126" s="1989"/>
      <c r="T126" s="2003">
        <f t="shared" si="126"/>
        <v>0</v>
      </c>
      <c r="U126" s="1989"/>
      <c r="V126" s="1989"/>
      <c r="W126" s="1989">
        <f t="shared" si="127"/>
        <v>0</v>
      </c>
      <c r="X126" s="1999">
        <f t="shared" si="269"/>
        <v>0</v>
      </c>
      <c r="Y126" s="1993"/>
      <c r="Z126" s="2003">
        <f t="shared" si="128"/>
        <v>0</v>
      </c>
      <c r="AA126" s="1989"/>
      <c r="AB126" s="2003">
        <f t="shared" si="129"/>
        <v>0</v>
      </c>
      <c r="AC126" s="1989"/>
      <c r="AD126" s="2003">
        <f t="shared" si="130"/>
        <v>0</v>
      </c>
      <c r="AE126" s="1989"/>
      <c r="AF126" s="1989"/>
      <c r="AG126" s="2002">
        <f t="shared" si="131"/>
        <v>0</v>
      </c>
      <c r="AH126" s="1999">
        <f t="shared" si="270"/>
        <v>0</v>
      </c>
      <c r="AI126" s="1993"/>
      <c r="AJ126" s="2003">
        <f t="shared" si="132"/>
        <v>0</v>
      </c>
      <c r="AK126" s="1989"/>
      <c r="AL126" s="2003">
        <f t="shared" si="133"/>
        <v>0</v>
      </c>
      <c r="AM126" s="1989"/>
      <c r="AN126" s="2003">
        <f t="shared" si="134"/>
        <v>0</v>
      </c>
      <c r="AO126" s="1989"/>
      <c r="AP126" s="1989"/>
      <c r="AQ126" s="2002">
        <f t="shared" si="135"/>
        <v>0</v>
      </c>
      <c r="AR126" s="1999">
        <f t="shared" si="271"/>
        <v>0</v>
      </c>
      <c r="AS126" s="1993"/>
      <c r="AT126" s="2003">
        <f t="shared" si="136"/>
        <v>0</v>
      </c>
      <c r="AU126" s="1989"/>
      <c r="AV126" s="2003">
        <f t="shared" si="137"/>
        <v>0</v>
      </c>
      <c r="AW126" s="1989"/>
      <c r="AX126" s="2003">
        <f t="shared" si="138"/>
        <v>0</v>
      </c>
      <c r="AY126" s="1989"/>
      <c r="AZ126" s="1989"/>
      <c r="BA126" s="2002">
        <f t="shared" si="139"/>
        <v>0</v>
      </c>
      <c r="BB126" s="1999">
        <f t="shared" si="272"/>
        <v>0</v>
      </c>
      <c r="BC126" s="1993"/>
      <c r="BD126" s="2003">
        <f t="shared" si="140"/>
        <v>0</v>
      </c>
      <c r="BE126" s="1989"/>
      <c r="BF126" s="2003">
        <f t="shared" si="141"/>
        <v>0</v>
      </c>
      <c r="BG126" s="1989"/>
      <c r="BH126" s="2003">
        <f t="shared" si="142"/>
        <v>0</v>
      </c>
      <c r="BI126" s="1989"/>
      <c r="BJ126" s="1989"/>
      <c r="BK126" s="2002">
        <f t="shared" si="143"/>
        <v>0</v>
      </c>
      <c r="BL126" s="1999">
        <f t="shared" si="273"/>
        <v>0</v>
      </c>
      <c r="BM126" s="1993"/>
      <c r="BN126" s="2003">
        <f t="shared" si="144"/>
        <v>0</v>
      </c>
      <c r="BO126" s="1989"/>
      <c r="BP126" s="2003">
        <f t="shared" si="145"/>
        <v>0</v>
      </c>
      <c r="BQ126" s="1989"/>
      <c r="BR126" s="2003">
        <f t="shared" si="146"/>
        <v>0</v>
      </c>
      <c r="BS126" s="1989"/>
      <c r="BT126" s="1989"/>
      <c r="BU126" s="2002">
        <f t="shared" si="147"/>
        <v>0</v>
      </c>
      <c r="BV126" s="1999">
        <f t="shared" si="274"/>
        <v>0</v>
      </c>
      <c r="BW126" s="1993"/>
      <c r="BX126" s="2003">
        <f t="shared" si="148"/>
        <v>0</v>
      </c>
      <c r="BY126" s="1989"/>
      <c r="BZ126" s="2003">
        <f t="shared" si="149"/>
        <v>0</v>
      </c>
      <c r="CA126" s="1989"/>
      <c r="CB126" s="2003">
        <f t="shared" si="150"/>
        <v>0</v>
      </c>
      <c r="CC126" s="1989"/>
      <c r="CD126" s="1989"/>
      <c r="CE126" s="2002">
        <f t="shared" si="151"/>
        <v>0</v>
      </c>
      <c r="CF126" s="1999">
        <f t="shared" si="275"/>
        <v>0</v>
      </c>
      <c r="CG126" s="1993"/>
      <c r="CH126" s="2003">
        <f t="shared" si="152"/>
        <v>0</v>
      </c>
      <c r="CI126" s="1989"/>
      <c r="CJ126" s="2003">
        <f t="shared" si="153"/>
        <v>0</v>
      </c>
      <c r="CK126" s="1989"/>
      <c r="CL126" s="2003">
        <f t="shared" si="154"/>
        <v>0</v>
      </c>
      <c r="CM126" s="1989"/>
      <c r="CN126" s="1989"/>
      <c r="CO126" s="2002">
        <f t="shared" si="155"/>
        <v>0</v>
      </c>
      <c r="CP126" s="1999">
        <f t="shared" si="276"/>
        <v>0</v>
      </c>
      <c r="CQ126" s="1993"/>
      <c r="CR126" s="2003">
        <f t="shared" si="156"/>
        <v>0</v>
      </c>
      <c r="CS126" s="1989"/>
      <c r="CT126" s="2003">
        <f t="shared" si="157"/>
        <v>0</v>
      </c>
      <c r="CU126" s="1989"/>
      <c r="CV126" s="2003">
        <f t="shared" si="158"/>
        <v>0</v>
      </c>
      <c r="CW126" s="1989"/>
      <c r="CX126" s="1989"/>
      <c r="CY126" s="2002">
        <f t="shared" si="159"/>
        <v>0</v>
      </c>
      <c r="CZ126" s="1999">
        <f t="shared" si="277"/>
        <v>0</v>
      </c>
      <c r="DA126" s="1993"/>
      <c r="DB126" s="2003">
        <f t="shared" si="160"/>
        <v>0</v>
      </c>
      <c r="DC126" s="1989"/>
      <c r="DD126" s="2003">
        <f t="shared" si="161"/>
        <v>0</v>
      </c>
      <c r="DE126" s="1989"/>
      <c r="DF126" s="2003">
        <f t="shared" si="162"/>
        <v>0</v>
      </c>
      <c r="DG126" s="1989"/>
      <c r="DH126" s="1989"/>
      <c r="DI126" s="2002">
        <f t="shared" si="163"/>
        <v>0</v>
      </c>
      <c r="DJ126" s="1999">
        <f t="shared" si="278"/>
        <v>0</v>
      </c>
      <c r="DK126" s="1993"/>
      <c r="DL126" s="2003">
        <f t="shared" si="164"/>
        <v>0</v>
      </c>
      <c r="DM126" s="1989"/>
      <c r="DN126" s="2003">
        <f t="shared" si="165"/>
        <v>0</v>
      </c>
      <c r="DO126" s="1989"/>
      <c r="DP126" s="2003">
        <f t="shared" si="166"/>
        <v>0</v>
      </c>
      <c r="DQ126" s="1989"/>
      <c r="DR126" s="1989"/>
      <c r="DS126" s="2002">
        <f t="shared" si="167"/>
        <v>0</v>
      </c>
      <c r="DT126" s="2004">
        <f t="shared" si="279"/>
        <v>0</v>
      </c>
      <c r="DU126" s="1988"/>
      <c r="DV126" s="2003">
        <f t="shared" si="168"/>
        <v>0</v>
      </c>
      <c r="DW126" s="1989"/>
      <c r="DX126" s="2003">
        <f t="shared" si="169"/>
        <v>0</v>
      </c>
      <c r="DY126" s="1989"/>
      <c r="DZ126" s="2003">
        <f t="shared" si="170"/>
        <v>0</v>
      </c>
      <c r="EA126" s="1989"/>
      <c r="EB126" s="1989"/>
      <c r="EC126" s="2002">
        <f t="shared" si="171"/>
        <v>0</v>
      </c>
      <c r="ED126" s="1998">
        <f t="shared" si="280"/>
        <v>0</v>
      </c>
      <c r="EE126" s="2005">
        <f>O126+Y126+AI126+AS126+BC126+BM126+BW126+CG126+CQ126+DA126+DK126+DU126</f>
        <v>0</v>
      </c>
      <c r="EF126" s="2003">
        <f t="shared" si="172"/>
        <v>0</v>
      </c>
      <c r="EG126" s="1989">
        <f>Q126+AA126+AK126+AU126+BE126+BO126+BY126+CI126+CS126+DC126+DM126+DW126</f>
        <v>0</v>
      </c>
      <c r="EH126" s="2003">
        <f t="shared" si="173"/>
        <v>0</v>
      </c>
      <c r="EI126" s="1989">
        <f>S126+AC126+AM126+AW126+BG126+BQ126+CA126+CK126+CU126+DE126+DO126+DY126</f>
        <v>0</v>
      </c>
      <c r="EJ126" s="2003">
        <f t="shared" si="174"/>
        <v>0</v>
      </c>
      <c r="EK126" s="1989">
        <f t="shared" si="281"/>
        <v>0</v>
      </c>
      <c r="EL126" s="1989">
        <f t="shared" si="281"/>
        <v>0</v>
      </c>
      <c r="EM126" s="2006">
        <f t="shared" si="175"/>
        <v>0</v>
      </c>
      <c r="EN126" s="1999">
        <f>EG126+EI126+EK126+EL126</f>
        <v>0</v>
      </c>
      <c r="EP126" s="1613" t="e">
        <f>EA126-#REF!/10^7</f>
        <v>#REF!</v>
      </c>
      <c r="EW126" s="1611" t="e">
        <v>#N/A</v>
      </c>
      <c r="EX126" s="1612" t="e">
        <v>#N/A</v>
      </c>
      <c r="EZ126" s="1650">
        <f t="shared" si="176"/>
        <v>0</v>
      </c>
    </row>
    <row r="127" spans="1:156" ht="21" customHeight="1">
      <c r="A127" s="1652">
        <v>5</v>
      </c>
      <c r="B127" s="1644"/>
      <c r="C127" s="1662"/>
      <c r="D127" s="1648"/>
      <c r="E127" s="1648"/>
      <c r="F127" s="1648"/>
      <c r="G127" s="1648"/>
      <c r="H127" s="1648"/>
      <c r="I127" s="1648"/>
      <c r="J127" s="1649"/>
      <c r="K127" s="1648"/>
      <c r="L127" s="1648"/>
      <c r="M127" s="1648"/>
      <c r="N127" s="1642"/>
      <c r="O127" s="2000"/>
      <c r="P127" s="2003">
        <f t="shared" si="124"/>
        <v>0</v>
      </c>
      <c r="Q127" s="1989"/>
      <c r="R127" s="2003">
        <f t="shared" si="125"/>
        <v>0</v>
      </c>
      <c r="S127" s="1989"/>
      <c r="T127" s="2003">
        <f t="shared" si="126"/>
        <v>0</v>
      </c>
      <c r="U127" s="1989"/>
      <c r="V127" s="1989"/>
      <c r="W127" s="1989">
        <f t="shared" si="127"/>
        <v>0</v>
      </c>
      <c r="X127" s="1999">
        <f t="shared" si="269"/>
        <v>0</v>
      </c>
      <c r="Y127" s="1993"/>
      <c r="Z127" s="2003">
        <f t="shared" si="128"/>
        <v>0</v>
      </c>
      <c r="AA127" s="1989"/>
      <c r="AB127" s="2003">
        <f t="shared" si="129"/>
        <v>0</v>
      </c>
      <c r="AC127" s="1989"/>
      <c r="AD127" s="2003">
        <f t="shared" si="130"/>
        <v>0</v>
      </c>
      <c r="AE127" s="1989"/>
      <c r="AF127" s="1989"/>
      <c r="AG127" s="2002">
        <f t="shared" si="131"/>
        <v>0</v>
      </c>
      <c r="AH127" s="1999">
        <f t="shared" si="270"/>
        <v>0</v>
      </c>
      <c r="AI127" s="1993"/>
      <c r="AJ127" s="2003">
        <f t="shared" si="132"/>
        <v>0</v>
      </c>
      <c r="AK127" s="1989"/>
      <c r="AL127" s="2003">
        <f t="shared" si="133"/>
        <v>0</v>
      </c>
      <c r="AM127" s="1989"/>
      <c r="AN127" s="2003">
        <f t="shared" si="134"/>
        <v>0</v>
      </c>
      <c r="AO127" s="1989"/>
      <c r="AP127" s="1989"/>
      <c r="AQ127" s="2002">
        <f t="shared" si="135"/>
        <v>0</v>
      </c>
      <c r="AR127" s="1999">
        <f t="shared" si="271"/>
        <v>0</v>
      </c>
      <c r="AS127" s="1993"/>
      <c r="AT127" s="2003">
        <f t="shared" si="136"/>
        <v>0</v>
      </c>
      <c r="AU127" s="1989"/>
      <c r="AV127" s="2003">
        <f t="shared" si="137"/>
        <v>0</v>
      </c>
      <c r="AW127" s="1989"/>
      <c r="AX127" s="2003">
        <f t="shared" si="138"/>
        <v>0</v>
      </c>
      <c r="AY127" s="1989"/>
      <c r="AZ127" s="1989"/>
      <c r="BA127" s="2002">
        <f t="shared" si="139"/>
        <v>0</v>
      </c>
      <c r="BB127" s="1999">
        <f t="shared" si="272"/>
        <v>0</v>
      </c>
      <c r="BC127" s="1993"/>
      <c r="BD127" s="2003">
        <f t="shared" si="140"/>
        <v>0</v>
      </c>
      <c r="BE127" s="1989"/>
      <c r="BF127" s="2003">
        <f t="shared" si="141"/>
        <v>0</v>
      </c>
      <c r="BG127" s="1989"/>
      <c r="BH127" s="2003">
        <f t="shared" si="142"/>
        <v>0</v>
      </c>
      <c r="BI127" s="1989"/>
      <c r="BJ127" s="1989"/>
      <c r="BK127" s="2002">
        <f t="shared" si="143"/>
        <v>0</v>
      </c>
      <c r="BL127" s="1999">
        <f t="shared" si="273"/>
        <v>0</v>
      </c>
      <c r="BM127" s="1993"/>
      <c r="BN127" s="2003">
        <f t="shared" si="144"/>
        <v>0</v>
      </c>
      <c r="BO127" s="1989"/>
      <c r="BP127" s="2003">
        <f t="shared" si="145"/>
        <v>0</v>
      </c>
      <c r="BQ127" s="1989"/>
      <c r="BR127" s="2003">
        <f t="shared" si="146"/>
        <v>0</v>
      </c>
      <c r="BS127" s="1989"/>
      <c r="BT127" s="1989"/>
      <c r="BU127" s="2002">
        <f t="shared" si="147"/>
        <v>0</v>
      </c>
      <c r="BV127" s="1999">
        <f t="shared" si="274"/>
        <v>0</v>
      </c>
      <c r="BW127" s="1993"/>
      <c r="BX127" s="2003">
        <f t="shared" si="148"/>
        <v>0</v>
      </c>
      <c r="BY127" s="1989"/>
      <c r="BZ127" s="2003">
        <f t="shared" si="149"/>
        <v>0</v>
      </c>
      <c r="CA127" s="1989"/>
      <c r="CB127" s="2003">
        <f t="shared" si="150"/>
        <v>0</v>
      </c>
      <c r="CC127" s="1989"/>
      <c r="CD127" s="1989"/>
      <c r="CE127" s="2002">
        <f t="shared" si="151"/>
        <v>0</v>
      </c>
      <c r="CF127" s="1999">
        <f t="shared" si="275"/>
        <v>0</v>
      </c>
      <c r="CG127" s="1993"/>
      <c r="CH127" s="2003">
        <f t="shared" si="152"/>
        <v>0</v>
      </c>
      <c r="CI127" s="1989"/>
      <c r="CJ127" s="2003">
        <f t="shared" si="153"/>
        <v>0</v>
      </c>
      <c r="CK127" s="1989"/>
      <c r="CL127" s="2003">
        <f t="shared" si="154"/>
        <v>0</v>
      </c>
      <c r="CM127" s="1989"/>
      <c r="CN127" s="1989"/>
      <c r="CO127" s="2002">
        <f t="shared" si="155"/>
        <v>0</v>
      </c>
      <c r="CP127" s="1999">
        <f t="shared" si="276"/>
        <v>0</v>
      </c>
      <c r="CQ127" s="1993"/>
      <c r="CR127" s="2003">
        <f t="shared" si="156"/>
        <v>0</v>
      </c>
      <c r="CS127" s="1989"/>
      <c r="CT127" s="2003">
        <f t="shared" si="157"/>
        <v>0</v>
      </c>
      <c r="CU127" s="1989"/>
      <c r="CV127" s="2003">
        <f t="shared" si="158"/>
        <v>0</v>
      </c>
      <c r="CW127" s="1989"/>
      <c r="CX127" s="1989"/>
      <c r="CY127" s="2002">
        <f t="shared" si="159"/>
        <v>0</v>
      </c>
      <c r="CZ127" s="1999">
        <f t="shared" si="277"/>
        <v>0</v>
      </c>
      <c r="DA127" s="1993"/>
      <c r="DB127" s="2003">
        <f t="shared" si="160"/>
        <v>0</v>
      </c>
      <c r="DC127" s="1989"/>
      <c r="DD127" s="2003">
        <f t="shared" si="161"/>
        <v>0</v>
      </c>
      <c r="DE127" s="1989"/>
      <c r="DF127" s="2003">
        <f t="shared" si="162"/>
        <v>0</v>
      </c>
      <c r="DG127" s="1989"/>
      <c r="DH127" s="1989"/>
      <c r="DI127" s="2002">
        <f t="shared" si="163"/>
        <v>0</v>
      </c>
      <c r="DJ127" s="1999">
        <f t="shared" si="278"/>
        <v>0</v>
      </c>
      <c r="DK127" s="1993"/>
      <c r="DL127" s="2003">
        <f t="shared" si="164"/>
        <v>0</v>
      </c>
      <c r="DM127" s="1989"/>
      <c r="DN127" s="2003">
        <f t="shared" si="165"/>
        <v>0</v>
      </c>
      <c r="DO127" s="1989"/>
      <c r="DP127" s="2003">
        <f t="shared" si="166"/>
        <v>0</v>
      </c>
      <c r="DQ127" s="1989"/>
      <c r="DR127" s="1989"/>
      <c r="DS127" s="2002">
        <f t="shared" si="167"/>
        <v>0</v>
      </c>
      <c r="DT127" s="2004">
        <f t="shared" si="279"/>
        <v>0</v>
      </c>
      <c r="DU127" s="1988"/>
      <c r="DV127" s="2003">
        <f t="shared" si="168"/>
        <v>0</v>
      </c>
      <c r="DW127" s="1989"/>
      <c r="DX127" s="2003">
        <f t="shared" si="169"/>
        <v>0</v>
      </c>
      <c r="DY127" s="1989"/>
      <c r="DZ127" s="2003">
        <f t="shared" si="170"/>
        <v>0</v>
      </c>
      <c r="EA127" s="1989"/>
      <c r="EB127" s="1989"/>
      <c r="EC127" s="2002">
        <f t="shared" si="171"/>
        <v>0</v>
      </c>
      <c r="ED127" s="1998">
        <f t="shared" si="280"/>
        <v>0</v>
      </c>
      <c r="EE127" s="2005">
        <f>O127+Y127+AI127+AS127+BC127+BM127+BW127+CG127+CQ127+DA127+DK127+DU127</f>
        <v>0</v>
      </c>
      <c r="EF127" s="2003">
        <f t="shared" si="172"/>
        <v>0</v>
      </c>
      <c r="EG127" s="1989">
        <f>Q127+AA127+AK127+AU127+BE127+BO127+BY127+CI127+CS127+DC127+DM127+DW127</f>
        <v>0</v>
      </c>
      <c r="EH127" s="2003">
        <f t="shared" si="173"/>
        <v>0</v>
      </c>
      <c r="EI127" s="1989">
        <f>S127+AC127+AM127+AW127+BG127+BQ127+CA127+CK127+CU127+DE127+DO127+DY127</f>
        <v>0</v>
      </c>
      <c r="EJ127" s="2003">
        <f t="shared" si="174"/>
        <v>0</v>
      </c>
      <c r="EK127" s="1989">
        <f t="shared" si="281"/>
        <v>0</v>
      </c>
      <c r="EL127" s="1989">
        <f t="shared" si="281"/>
        <v>0</v>
      </c>
      <c r="EM127" s="2006">
        <f t="shared" si="175"/>
        <v>0</v>
      </c>
      <c r="EN127" s="1999">
        <f>EG127+EI127+EK127+EL127</f>
        <v>0</v>
      </c>
      <c r="EP127" s="1613" t="e">
        <f>EA127-#REF!/10^7</f>
        <v>#REF!</v>
      </c>
      <c r="EW127" s="1611" t="e">
        <v>#N/A</v>
      </c>
      <c r="EX127" s="1612" t="e">
        <v>#N/A</v>
      </c>
      <c r="EZ127" s="1650">
        <f t="shared" si="176"/>
        <v>0</v>
      </c>
    </row>
    <row r="128" spans="1:156" s="1660" customFormat="1" ht="21" customHeight="1">
      <c r="A128" s="1637"/>
      <c r="B128" s="1654" t="s">
        <v>211</v>
      </c>
      <c r="C128" s="1655"/>
      <c r="D128" s="1656"/>
      <c r="E128" s="1656"/>
      <c r="F128" s="1656"/>
      <c r="G128" s="1656"/>
      <c r="H128" s="1656"/>
      <c r="I128" s="1656"/>
      <c r="J128" s="1657"/>
      <c r="K128" s="1656"/>
      <c r="L128" s="1656"/>
      <c r="M128" s="1656"/>
      <c r="N128" s="1658"/>
      <c r="O128" s="2007" t="e">
        <f>SUM(O123:O127)</f>
        <v>#REF!</v>
      </c>
      <c r="P128" s="2003">
        <f t="shared" si="124"/>
        <v>0</v>
      </c>
      <c r="Q128" s="1826" t="e">
        <f>SUM(Q123:Q127)</f>
        <v>#REF!</v>
      </c>
      <c r="R128" s="2003">
        <f t="shared" si="125"/>
        <v>0</v>
      </c>
      <c r="S128" s="1826" t="e">
        <f>SUM(S123:S127)</f>
        <v>#REF!</v>
      </c>
      <c r="T128" s="2003">
        <f t="shared" si="126"/>
        <v>0</v>
      </c>
      <c r="U128" s="1826" t="e">
        <f>SUM(U123:U127)</f>
        <v>#REF!</v>
      </c>
      <c r="V128" s="1826"/>
      <c r="W128" s="1989">
        <f t="shared" si="127"/>
        <v>0</v>
      </c>
      <c r="X128" s="2008" t="e">
        <f t="shared" ref="X128:AF128" si="282">SUM(X123:X127)</f>
        <v>#REF!</v>
      </c>
      <c r="Y128" s="2007" t="e">
        <f t="shared" si="282"/>
        <v>#REF!</v>
      </c>
      <c r="Z128" s="2003">
        <f t="shared" si="128"/>
        <v>0</v>
      </c>
      <c r="AA128" s="1826" t="e">
        <f t="shared" si="282"/>
        <v>#REF!</v>
      </c>
      <c r="AB128" s="2003">
        <f t="shared" si="129"/>
        <v>0</v>
      </c>
      <c r="AC128" s="1826" t="e">
        <f t="shared" si="282"/>
        <v>#REF!</v>
      </c>
      <c r="AD128" s="2003">
        <f t="shared" si="130"/>
        <v>0</v>
      </c>
      <c r="AE128" s="1826" t="e">
        <f t="shared" si="282"/>
        <v>#REF!</v>
      </c>
      <c r="AF128" s="1826" t="e">
        <f t="shared" si="282"/>
        <v>#REF!</v>
      </c>
      <c r="AG128" s="2002" t="e">
        <f t="shared" si="131"/>
        <v>#REF!</v>
      </c>
      <c r="AH128" s="2008" t="e">
        <f t="shared" ref="AH128:AP128" si="283">SUM(AH123:AH127)</f>
        <v>#REF!</v>
      </c>
      <c r="AI128" s="2007" t="e">
        <f t="shared" si="283"/>
        <v>#REF!</v>
      </c>
      <c r="AJ128" s="2003">
        <f t="shared" si="132"/>
        <v>0</v>
      </c>
      <c r="AK128" s="1826" t="e">
        <f t="shared" si="283"/>
        <v>#REF!</v>
      </c>
      <c r="AL128" s="2003">
        <f t="shared" si="133"/>
        <v>0</v>
      </c>
      <c r="AM128" s="1826" t="e">
        <f t="shared" si="283"/>
        <v>#REF!</v>
      </c>
      <c r="AN128" s="2003">
        <f t="shared" si="134"/>
        <v>0</v>
      </c>
      <c r="AO128" s="1826" t="e">
        <f t="shared" si="283"/>
        <v>#REF!</v>
      </c>
      <c r="AP128" s="1826" t="e">
        <f t="shared" si="283"/>
        <v>#REF!</v>
      </c>
      <c r="AQ128" s="2002" t="e">
        <f t="shared" si="135"/>
        <v>#REF!</v>
      </c>
      <c r="AR128" s="2008" t="e">
        <f t="shared" ref="AR128:AZ128" si="284">SUM(AR123:AR127)</f>
        <v>#REF!</v>
      </c>
      <c r="AS128" s="2007" t="e">
        <f t="shared" si="284"/>
        <v>#REF!</v>
      </c>
      <c r="AT128" s="2003">
        <f t="shared" si="136"/>
        <v>0</v>
      </c>
      <c r="AU128" s="1826" t="e">
        <f t="shared" si="284"/>
        <v>#REF!</v>
      </c>
      <c r="AV128" s="2003">
        <f t="shared" si="137"/>
        <v>0</v>
      </c>
      <c r="AW128" s="1826" t="e">
        <f t="shared" si="284"/>
        <v>#REF!</v>
      </c>
      <c r="AX128" s="2003">
        <f t="shared" si="138"/>
        <v>0</v>
      </c>
      <c r="AY128" s="1826" t="e">
        <f t="shared" si="284"/>
        <v>#REF!</v>
      </c>
      <c r="AZ128" s="1826" t="e">
        <f t="shared" si="284"/>
        <v>#REF!</v>
      </c>
      <c r="BA128" s="2002" t="e">
        <f t="shared" si="139"/>
        <v>#REF!</v>
      </c>
      <c r="BB128" s="2008" t="e">
        <f t="shared" ref="BB128:BJ128" si="285">SUM(BB123:BB127)</f>
        <v>#REF!</v>
      </c>
      <c r="BC128" s="2007" t="e">
        <f t="shared" si="285"/>
        <v>#REF!</v>
      </c>
      <c r="BD128" s="2003">
        <f t="shared" si="140"/>
        <v>0</v>
      </c>
      <c r="BE128" s="1826" t="e">
        <f t="shared" si="285"/>
        <v>#REF!</v>
      </c>
      <c r="BF128" s="2003">
        <f t="shared" si="141"/>
        <v>0</v>
      </c>
      <c r="BG128" s="1826" t="e">
        <f t="shared" si="285"/>
        <v>#REF!</v>
      </c>
      <c r="BH128" s="2003">
        <f t="shared" si="142"/>
        <v>0</v>
      </c>
      <c r="BI128" s="1826" t="e">
        <f t="shared" si="285"/>
        <v>#REF!</v>
      </c>
      <c r="BJ128" s="1826" t="e">
        <f t="shared" si="285"/>
        <v>#REF!</v>
      </c>
      <c r="BK128" s="2002" t="e">
        <f t="shared" si="143"/>
        <v>#REF!</v>
      </c>
      <c r="BL128" s="2008" t="e">
        <f t="shared" ref="BL128:BT128" si="286">SUM(BL123:BL127)</f>
        <v>#REF!</v>
      </c>
      <c r="BM128" s="2007" t="e">
        <f t="shared" si="286"/>
        <v>#REF!</v>
      </c>
      <c r="BN128" s="2003">
        <f t="shared" si="144"/>
        <v>0</v>
      </c>
      <c r="BO128" s="1826" t="e">
        <f t="shared" si="286"/>
        <v>#REF!</v>
      </c>
      <c r="BP128" s="2003">
        <f t="shared" si="145"/>
        <v>0</v>
      </c>
      <c r="BQ128" s="1826" t="e">
        <f t="shared" si="286"/>
        <v>#REF!</v>
      </c>
      <c r="BR128" s="2003">
        <f t="shared" si="146"/>
        <v>0</v>
      </c>
      <c r="BS128" s="1826" t="e">
        <f t="shared" si="286"/>
        <v>#REF!</v>
      </c>
      <c r="BT128" s="1826" t="e">
        <f t="shared" si="286"/>
        <v>#REF!</v>
      </c>
      <c r="BU128" s="2002" t="e">
        <f t="shared" si="147"/>
        <v>#REF!</v>
      </c>
      <c r="BV128" s="2008" t="e">
        <f t="shared" ref="BV128:CD128" si="287">SUM(BV123:BV127)</f>
        <v>#REF!</v>
      </c>
      <c r="BW128" s="2007" t="e">
        <f t="shared" si="287"/>
        <v>#REF!</v>
      </c>
      <c r="BX128" s="2003">
        <f t="shared" si="148"/>
        <v>0</v>
      </c>
      <c r="BY128" s="1826" t="e">
        <f t="shared" si="287"/>
        <v>#REF!</v>
      </c>
      <c r="BZ128" s="2003">
        <f t="shared" si="149"/>
        <v>0</v>
      </c>
      <c r="CA128" s="1826" t="e">
        <f t="shared" si="287"/>
        <v>#REF!</v>
      </c>
      <c r="CB128" s="2003">
        <f t="shared" si="150"/>
        <v>0</v>
      </c>
      <c r="CC128" s="1826" t="e">
        <f t="shared" si="287"/>
        <v>#REF!</v>
      </c>
      <c r="CD128" s="1826" t="e">
        <f t="shared" si="287"/>
        <v>#REF!</v>
      </c>
      <c r="CE128" s="2002" t="e">
        <f t="shared" si="151"/>
        <v>#REF!</v>
      </c>
      <c r="CF128" s="2008" t="e">
        <f t="shared" ref="CF128:CN128" si="288">SUM(CF123:CF127)</f>
        <v>#REF!</v>
      </c>
      <c r="CG128" s="2007" t="e">
        <f t="shared" si="288"/>
        <v>#REF!</v>
      </c>
      <c r="CH128" s="2003">
        <f t="shared" si="152"/>
        <v>0</v>
      </c>
      <c r="CI128" s="1826" t="e">
        <f t="shared" si="288"/>
        <v>#REF!</v>
      </c>
      <c r="CJ128" s="2003">
        <f t="shared" si="153"/>
        <v>0</v>
      </c>
      <c r="CK128" s="1826" t="e">
        <f t="shared" si="288"/>
        <v>#REF!</v>
      </c>
      <c r="CL128" s="2003">
        <f t="shared" si="154"/>
        <v>0</v>
      </c>
      <c r="CM128" s="1826" t="e">
        <f t="shared" si="288"/>
        <v>#REF!</v>
      </c>
      <c r="CN128" s="1826" t="e">
        <f t="shared" si="288"/>
        <v>#REF!</v>
      </c>
      <c r="CO128" s="2002" t="e">
        <f t="shared" si="155"/>
        <v>#REF!</v>
      </c>
      <c r="CP128" s="2008" t="e">
        <f t="shared" ref="CP128:CX128" si="289">SUM(CP123:CP127)</f>
        <v>#REF!</v>
      </c>
      <c r="CQ128" s="2007" t="e">
        <f t="shared" si="289"/>
        <v>#REF!</v>
      </c>
      <c r="CR128" s="2003">
        <f t="shared" si="156"/>
        <v>0</v>
      </c>
      <c r="CS128" s="1826" t="e">
        <f t="shared" si="289"/>
        <v>#REF!</v>
      </c>
      <c r="CT128" s="2003">
        <f t="shared" si="157"/>
        <v>0</v>
      </c>
      <c r="CU128" s="1826" t="e">
        <f t="shared" si="289"/>
        <v>#REF!</v>
      </c>
      <c r="CV128" s="2003">
        <f t="shared" si="158"/>
        <v>0</v>
      </c>
      <c r="CW128" s="1826" t="e">
        <f t="shared" si="289"/>
        <v>#REF!</v>
      </c>
      <c r="CX128" s="1826" t="e">
        <f t="shared" si="289"/>
        <v>#REF!</v>
      </c>
      <c r="CY128" s="2002" t="e">
        <f t="shared" si="159"/>
        <v>#REF!</v>
      </c>
      <c r="CZ128" s="2008" t="e">
        <f t="shared" ref="CZ128:DH128" si="290">SUM(CZ123:CZ127)</f>
        <v>#REF!</v>
      </c>
      <c r="DA128" s="2007" t="e">
        <f t="shared" si="290"/>
        <v>#REF!</v>
      </c>
      <c r="DB128" s="2003">
        <f t="shared" si="160"/>
        <v>0</v>
      </c>
      <c r="DC128" s="1826" t="e">
        <f t="shared" si="290"/>
        <v>#REF!</v>
      </c>
      <c r="DD128" s="2003">
        <f t="shared" si="161"/>
        <v>0</v>
      </c>
      <c r="DE128" s="1826" t="e">
        <f>SUM(DE123:DE127)</f>
        <v>#REF!</v>
      </c>
      <c r="DF128" s="2003">
        <f t="shared" si="162"/>
        <v>0</v>
      </c>
      <c r="DG128" s="1826" t="e">
        <f t="shared" si="290"/>
        <v>#REF!</v>
      </c>
      <c r="DH128" s="1826" t="e">
        <f t="shared" si="290"/>
        <v>#REF!</v>
      </c>
      <c r="DI128" s="2002" t="e">
        <f t="shared" si="163"/>
        <v>#REF!</v>
      </c>
      <c r="DJ128" s="2008" t="e">
        <f t="shared" ref="DJ128:DR128" si="291">SUM(DJ123:DJ127)</f>
        <v>#REF!</v>
      </c>
      <c r="DK128" s="2007" t="e">
        <f>SUM(DK123:DK127)</f>
        <v>#REF!</v>
      </c>
      <c r="DL128" s="2003">
        <f t="shared" si="164"/>
        <v>0</v>
      </c>
      <c r="DM128" s="1826" t="e">
        <f t="shared" si="291"/>
        <v>#REF!</v>
      </c>
      <c r="DN128" s="2003">
        <f t="shared" si="165"/>
        <v>0</v>
      </c>
      <c r="DO128" s="1826" t="e">
        <f t="shared" si="291"/>
        <v>#REF!</v>
      </c>
      <c r="DP128" s="2003">
        <f t="shared" si="166"/>
        <v>0</v>
      </c>
      <c r="DQ128" s="1826" t="e">
        <f>SUM(DQ123:DQ127)</f>
        <v>#REF!</v>
      </c>
      <c r="DR128" s="1826" t="e">
        <f t="shared" si="291"/>
        <v>#REF!</v>
      </c>
      <c r="DS128" s="2002" t="e">
        <f t="shared" si="167"/>
        <v>#REF!</v>
      </c>
      <c r="DT128" s="2009" t="e">
        <f t="shared" ref="DT128:EB128" si="292">SUM(DT123:DT127)</f>
        <v>#REF!</v>
      </c>
      <c r="DU128" s="2010" t="e">
        <f t="shared" si="292"/>
        <v>#REF!</v>
      </c>
      <c r="DV128" s="2003">
        <f t="shared" si="168"/>
        <v>0</v>
      </c>
      <c r="DW128" s="1826" t="e">
        <f t="shared" si="292"/>
        <v>#REF!</v>
      </c>
      <c r="DX128" s="2003">
        <f t="shared" si="169"/>
        <v>0</v>
      </c>
      <c r="DY128" s="1826" t="e">
        <f t="shared" si="292"/>
        <v>#REF!</v>
      </c>
      <c r="DZ128" s="2003">
        <f t="shared" si="170"/>
        <v>0</v>
      </c>
      <c r="EA128" s="1826" t="e">
        <f t="shared" si="292"/>
        <v>#REF!</v>
      </c>
      <c r="EB128" s="1826" t="e">
        <f t="shared" si="292"/>
        <v>#REF!</v>
      </c>
      <c r="EC128" s="2002" t="e">
        <f t="shared" si="171"/>
        <v>#REF!</v>
      </c>
      <c r="ED128" s="1826" t="e">
        <f>SUM(ED123:ED127)</f>
        <v>#REF!</v>
      </c>
      <c r="EE128" s="2019" t="e">
        <f>SUM(EE123:EE127)</f>
        <v>#REF!</v>
      </c>
      <c r="EF128" s="2003">
        <f t="shared" si="172"/>
        <v>0</v>
      </c>
      <c r="EG128" s="1826" t="e">
        <f t="shared" ref="EG128:EN128" si="293">SUM(EG123:EG127)</f>
        <v>#REF!</v>
      </c>
      <c r="EH128" s="2003">
        <f t="shared" si="173"/>
        <v>0</v>
      </c>
      <c r="EI128" s="1826" t="e">
        <f t="shared" si="293"/>
        <v>#REF!</v>
      </c>
      <c r="EJ128" s="2003">
        <f t="shared" si="174"/>
        <v>0</v>
      </c>
      <c r="EK128" s="1826" t="e">
        <f t="shared" si="293"/>
        <v>#REF!</v>
      </c>
      <c r="EL128" s="1826" t="e">
        <f t="shared" si="293"/>
        <v>#REF!</v>
      </c>
      <c r="EM128" s="2006" t="e">
        <f t="shared" si="175"/>
        <v>#REF!</v>
      </c>
      <c r="EN128" s="2008" t="e">
        <f t="shared" si="293"/>
        <v>#REF!</v>
      </c>
      <c r="EO128" s="1659"/>
      <c r="EP128" s="1613" t="e">
        <f>EA128-#REF!/10^7</f>
        <v>#REF!</v>
      </c>
      <c r="EQ128" s="1661"/>
      <c r="EW128" s="1611" t="e">
        <v>#N/A</v>
      </c>
      <c r="EX128" s="1612">
        <v>0</v>
      </c>
      <c r="EZ128" s="1650">
        <f t="shared" si="176"/>
        <v>0</v>
      </c>
    </row>
    <row r="129" spans="1:156" ht="21" customHeight="1">
      <c r="A129" s="1652"/>
      <c r="B129" s="1644"/>
      <c r="C129" s="1662"/>
      <c r="D129" s="1648"/>
      <c r="E129" s="1648"/>
      <c r="F129" s="1648"/>
      <c r="G129" s="1648"/>
      <c r="H129" s="1648"/>
      <c r="I129" s="1648"/>
      <c r="J129" s="1649"/>
      <c r="K129" s="1648"/>
      <c r="L129" s="1648"/>
      <c r="M129" s="1648"/>
      <c r="N129" s="1642"/>
      <c r="O129" s="2000"/>
      <c r="P129" s="2003">
        <f t="shared" si="124"/>
        <v>0</v>
      </c>
      <c r="Q129" s="1989"/>
      <c r="R129" s="2003">
        <f t="shared" si="125"/>
        <v>0</v>
      </c>
      <c r="S129" s="1989"/>
      <c r="T129" s="2003">
        <f t="shared" si="126"/>
        <v>0</v>
      </c>
      <c r="U129" s="1989"/>
      <c r="V129" s="1989"/>
      <c r="W129" s="1989">
        <f t="shared" si="127"/>
        <v>0</v>
      </c>
      <c r="X129" s="1999"/>
      <c r="Y129" s="1993"/>
      <c r="Z129" s="2003">
        <f t="shared" si="128"/>
        <v>0</v>
      </c>
      <c r="AA129" s="1989"/>
      <c r="AB129" s="2003">
        <f t="shared" si="129"/>
        <v>0</v>
      </c>
      <c r="AC129" s="1989"/>
      <c r="AD129" s="2003">
        <f t="shared" si="130"/>
        <v>0</v>
      </c>
      <c r="AE129" s="1989"/>
      <c r="AF129" s="1989"/>
      <c r="AG129" s="2002">
        <f t="shared" si="131"/>
        <v>0</v>
      </c>
      <c r="AH129" s="1999">
        <f t="shared" ref="AH129:AH135" si="294">AA129+AC129+AE129+AF129</f>
        <v>0</v>
      </c>
      <c r="AI129" s="1993"/>
      <c r="AJ129" s="2003">
        <f t="shared" si="132"/>
        <v>0</v>
      </c>
      <c r="AK129" s="1989"/>
      <c r="AL129" s="2003">
        <f t="shared" si="133"/>
        <v>0</v>
      </c>
      <c r="AM129" s="1989"/>
      <c r="AN129" s="2003">
        <f t="shared" si="134"/>
        <v>0</v>
      </c>
      <c r="AO129" s="1989"/>
      <c r="AP129" s="1989"/>
      <c r="AQ129" s="2002">
        <f t="shared" si="135"/>
        <v>0</v>
      </c>
      <c r="AR129" s="1999"/>
      <c r="AS129" s="1993"/>
      <c r="AT129" s="2003">
        <f t="shared" si="136"/>
        <v>0</v>
      </c>
      <c r="AU129" s="1989"/>
      <c r="AV129" s="2003">
        <f t="shared" si="137"/>
        <v>0</v>
      </c>
      <c r="AW129" s="1989"/>
      <c r="AX129" s="2003">
        <f t="shared" si="138"/>
        <v>0</v>
      </c>
      <c r="AY129" s="1989"/>
      <c r="AZ129" s="1989"/>
      <c r="BA129" s="2002">
        <f t="shared" si="139"/>
        <v>0</v>
      </c>
      <c r="BB129" s="1999"/>
      <c r="BC129" s="1993"/>
      <c r="BD129" s="2003">
        <f t="shared" si="140"/>
        <v>0</v>
      </c>
      <c r="BE129" s="1989"/>
      <c r="BF129" s="2003">
        <f t="shared" si="141"/>
        <v>0</v>
      </c>
      <c r="BG129" s="1989"/>
      <c r="BH129" s="2003">
        <f t="shared" si="142"/>
        <v>0</v>
      </c>
      <c r="BI129" s="1989"/>
      <c r="BJ129" s="1989"/>
      <c r="BK129" s="2002">
        <f t="shared" si="143"/>
        <v>0</v>
      </c>
      <c r="BL129" s="1999"/>
      <c r="BM129" s="1993"/>
      <c r="BN129" s="2003">
        <f t="shared" si="144"/>
        <v>0</v>
      </c>
      <c r="BO129" s="1989"/>
      <c r="BP129" s="2003">
        <f t="shared" si="145"/>
        <v>0</v>
      </c>
      <c r="BQ129" s="1989"/>
      <c r="BR129" s="2003">
        <f t="shared" si="146"/>
        <v>0</v>
      </c>
      <c r="BS129" s="1989"/>
      <c r="BT129" s="1989"/>
      <c r="BU129" s="2002">
        <f t="shared" si="147"/>
        <v>0</v>
      </c>
      <c r="BV129" s="1999"/>
      <c r="BW129" s="1993"/>
      <c r="BX129" s="2003">
        <f t="shared" si="148"/>
        <v>0</v>
      </c>
      <c r="BY129" s="1989"/>
      <c r="BZ129" s="2003">
        <f t="shared" si="149"/>
        <v>0</v>
      </c>
      <c r="CA129" s="1989"/>
      <c r="CB129" s="2003">
        <f t="shared" si="150"/>
        <v>0</v>
      </c>
      <c r="CC129" s="1989"/>
      <c r="CD129" s="1989"/>
      <c r="CE129" s="2002">
        <f t="shared" si="151"/>
        <v>0</v>
      </c>
      <c r="CF129" s="1999"/>
      <c r="CG129" s="1993"/>
      <c r="CH129" s="2003">
        <f t="shared" si="152"/>
        <v>0</v>
      </c>
      <c r="CI129" s="1989"/>
      <c r="CJ129" s="2003">
        <f t="shared" si="153"/>
        <v>0</v>
      </c>
      <c r="CK129" s="1989"/>
      <c r="CL129" s="2003">
        <f t="shared" si="154"/>
        <v>0</v>
      </c>
      <c r="CM129" s="1989"/>
      <c r="CN129" s="1989"/>
      <c r="CO129" s="2002">
        <f t="shared" si="155"/>
        <v>0</v>
      </c>
      <c r="CP129" s="1999"/>
      <c r="CQ129" s="1993"/>
      <c r="CR129" s="2003">
        <f t="shared" si="156"/>
        <v>0</v>
      </c>
      <c r="CS129" s="1989"/>
      <c r="CT129" s="2003">
        <f t="shared" si="157"/>
        <v>0</v>
      </c>
      <c r="CU129" s="1989"/>
      <c r="CV129" s="2003">
        <f t="shared" si="158"/>
        <v>0</v>
      </c>
      <c r="CW129" s="1989"/>
      <c r="CX129" s="1989"/>
      <c r="CY129" s="2002">
        <f t="shared" si="159"/>
        <v>0</v>
      </c>
      <c r="CZ129" s="1999"/>
      <c r="DA129" s="1993"/>
      <c r="DB129" s="2003">
        <f t="shared" si="160"/>
        <v>0</v>
      </c>
      <c r="DC129" s="1989"/>
      <c r="DD129" s="2003">
        <f t="shared" si="161"/>
        <v>0</v>
      </c>
      <c r="DE129" s="1989"/>
      <c r="DF129" s="2003">
        <f t="shared" si="162"/>
        <v>0</v>
      </c>
      <c r="DG129" s="1989"/>
      <c r="DH129" s="1989"/>
      <c r="DI129" s="2002">
        <f t="shared" si="163"/>
        <v>0</v>
      </c>
      <c r="DJ129" s="1999"/>
      <c r="DK129" s="1993"/>
      <c r="DL129" s="2003">
        <f t="shared" si="164"/>
        <v>0</v>
      </c>
      <c r="DM129" s="1989"/>
      <c r="DN129" s="2003">
        <f t="shared" si="165"/>
        <v>0</v>
      </c>
      <c r="DO129" s="1989"/>
      <c r="DP129" s="2003">
        <f t="shared" si="166"/>
        <v>0</v>
      </c>
      <c r="DQ129" s="1989"/>
      <c r="DR129" s="1989"/>
      <c r="DS129" s="2002">
        <f t="shared" si="167"/>
        <v>0</v>
      </c>
      <c r="DT129" s="2004"/>
      <c r="DU129" s="1988"/>
      <c r="DV129" s="2003">
        <f t="shared" si="168"/>
        <v>0</v>
      </c>
      <c r="DW129" s="1989"/>
      <c r="DX129" s="2003">
        <f t="shared" si="169"/>
        <v>0</v>
      </c>
      <c r="DY129" s="1989"/>
      <c r="DZ129" s="2003">
        <f t="shared" si="170"/>
        <v>0</v>
      </c>
      <c r="EA129" s="1989"/>
      <c r="EB129" s="1989"/>
      <c r="EC129" s="2002">
        <f t="shared" si="171"/>
        <v>0</v>
      </c>
      <c r="ED129" s="1998"/>
      <c r="EE129" s="2005"/>
      <c r="EF129" s="2003">
        <f t="shared" si="172"/>
        <v>0</v>
      </c>
      <c r="EG129" s="1989"/>
      <c r="EH129" s="2003">
        <f t="shared" si="173"/>
        <v>0</v>
      </c>
      <c r="EI129" s="1989"/>
      <c r="EJ129" s="2003">
        <f t="shared" si="174"/>
        <v>0</v>
      </c>
      <c r="EK129" s="1989"/>
      <c r="EL129" s="1989"/>
      <c r="EM129" s="2006">
        <f t="shared" si="175"/>
        <v>0</v>
      </c>
      <c r="EN129" s="1999"/>
      <c r="EP129" s="1613" t="e">
        <f>EA129-#REF!/10^7</f>
        <v>#REF!</v>
      </c>
      <c r="EW129" s="1611" t="e">
        <v>#N/A</v>
      </c>
      <c r="EX129" s="1612" t="e">
        <v>#N/A</v>
      </c>
      <c r="EZ129" s="1650">
        <f t="shared" si="176"/>
        <v>0</v>
      </c>
    </row>
    <row r="130" spans="1:156" ht="21" customHeight="1">
      <c r="A130" s="1637" t="s">
        <v>129</v>
      </c>
      <c r="B130" s="1638" t="s">
        <v>1752</v>
      </c>
      <c r="C130" s="1662"/>
      <c r="D130" s="1648"/>
      <c r="E130" s="1648"/>
      <c r="F130" s="1648"/>
      <c r="G130" s="1648"/>
      <c r="H130" s="1648"/>
      <c r="I130" s="1648"/>
      <c r="J130" s="1649"/>
      <c r="K130" s="1648"/>
      <c r="L130" s="1648"/>
      <c r="M130" s="1648"/>
      <c r="N130" s="1642"/>
      <c r="O130" s="2000"/>
      <c r="P130" s="2003">
        <f t="shared" si="124"/>
        <v>0</v>
      </c>
      <c r="Q130" s="1989"/>
      <c r="R130" s="2003">
        <f t="shared" si="125"/>
        <v>0</v>
      </c>
      <c r="S130" s="1989"/>
      <c r="T130" s="2003">
        <f t="shared" si="126"/>
        <v>0</v>
      </c>
      <c r="U130" s="1989"/>
      <c r="V130" s="1989"/>
      <c r="W130" s="1989">
        <f t="shared" si="127"/>
        <v>0</v>
      </c>
      <c r="X130" s="1999">
        <f t="shared" ref="X130:X135" si="295">Q130+S130+U130+V130</f>
        <v>0</v>
      </c>
      <c r="Y130" s="1993"/>
      <c r="Z130" s="2003">
        <f t="shared" si="128"/>
        <v>0</v>
      </c>
      <c r="AA130" s="1989"/>
      <c r="AB130" s="2003">
        <f t="shared" si="129"/>
        <v>0</v>
      </c>
      <c r="AC130" s="1989"/>
      <c r="AD130" s="2003">
        <f t="shared" si="130"/>
        <v>0</v>
      </c>
      <c r="AE130" s="1989"/>
      <c r="AF130" s="1989"/>
      <c r="AG130" s="2002">
        <f t="shared" si="131"/>
        <v>0</v>
      </c>
      <c r="AH130" s="1999">
        <f t="shared" si="294"/>
        <v>0</v>
      </c>
      <c r="AI130" s="1993"/>
      <c r="AJ130" s="2003">
        <f t="shared" si="132"/>
        <v>0</v>
      </c>
      <c r="AK130" s="1989"/>
      <c r="AL130" s="2003">
        <f t="shared" si="133"/>
        <v>0</v>
      </c>
      <c r="AM130" s="1989"/>
      <c r="AN130" s="2003">
        <f t="shared" si="134"/>
        <v>0</v>
      </c>
      <c r="AO130" s="1989"/>
      <c r="AP130" s="1989"/>
      <c r="AQ130" s="2002">
        <f t="shared" si="135"/>
        <v>0</v>
      </c>
      <c r="AR130" s="1999">
        <f t="shared" ref="AR130:AR135" si="296">AK130+AM130+AO130+AP130</f>
        <v>0</v>
      </c>
      <c r="AS130" s="1993"/>
      <c r="AT130" s="2003">
        <f t="shared" si="136"/>
        <v>0</v>
      </c>
      <c r="AU130" s="1989"/>
      <c r="AV130" s="2003">
        <f t="shared" si="137"/>
        <v>0</v>
      </c>
      <c r="AW130" s="1989"/>
      <c r="AX130" s="2003">
        <f t="shared" si="138"/>
        <v>0</v>
      </c>
      <c r="AY130" s="1989"/>
      <c r="AZ130" s="1989"/>
      <c r="BA130" s="2002">
        <f t="shared" si="139"/>
        <v>0</v>
      </c>
      <c r="BB130" s="1999">
        <f t="shared" ref="BB130:BB135" si="297">AU130+AW130+AY130+AZ130</f>
        <v>0</v>
      </c>
      <c r="BC130" s="1993"/>
      <c r="BD130" s="2003">
        <f t="shared" si="140"/>
        <v>0</v>
      </c>
      <c r="BE130" s="1989"/>
      <c r="BF130" s="2003">
        <f t="shared" si="141"/>
        <v>0</v>
      </c>
      <c r="BG130" s="1989"/>
      <c r="BH130" s="2003">
        <f t="shared" si="142"/>
        <v>0</v>
      </c>
      <c r="BI130" s="1989"/>
      <c r="BJ130" s="1989"/>
      <c r="BK130" s="2002">
        <f t="shared" si="143"/>
        <v>0</v>
      </c>
      <c r="BL130" s="1999">
        <f t="shared" ref="BL130:BL135" si="298">BE130+BG130+BI130+BJ130</f>
        <v>0</v>
      </c>
      <c r="BM130" s="1993"/>
      <c r="BN130" s="2003">
        <f t="shared" si="144"/>
        <v>0</v>
      </c>
      <c r="BO130" s="1989"/>
      <c r="BP130" s="2003">
        <f t="shared" si="145"/>
        <v>0</v>
      </c>
      <c r="BQ130" s="1989"/>
      <c r="BR130" s="2003">
        <f t="shared" si="146"/>
        <v>0</v>
      </c>
      <c r="BS130" s="1989"/>
      <c r="BT130" s="1989"/>
      <c r="BU130" s="2002">
        <f t="shared" si="147"/>
        <v>0</v>
      </c>
      <c r="BV130" s="1999">
        <f t="shared" ref="BV130:BV135" si="299">BO130+BQ130+BS130+BT130</f>
        <v>0</v>
      </c>
      <c r="BW130" s="1993"/>
      <c r="BX130" s="2003">
        <f t="shared" si="148"/>
        <v>0</v>
      </c>
      <c r="BY130" s="1989"/>
      <c r="BZ130" s="2003">
        <f t="shared" si="149"/>
        <v>0</v>
      </c>
      <c r="CA130" s="1989"/>
      <c r="CB130" s="2003">
        <f t="shared" si="150"/>
        <v>0</v>
      </c>
      <c r="CC130" s="1989"/>
      <c r="CD130" s="1989"/>
      <c r="CE130" s="2002">
        <f t="shared" si="151"/>
        <v>0</v>
      </c>
      <c r="CF130" s="1999">
        <f t="shared" ref="CF130:CF135" si="300">BY130+CA130+CC130+CD130</f>
        <v>0</v>
      </c>
      <c r="CG130" s="1993"/>
      <c r="CH130" s="2003">
        <f t="shared" si="152"/>
        <v>0</v>
      </c>
      <c r="CI130" s="1989"/>
      <c r="CJ130" s="2003">
        <f t="shared" si="153"/>
        <v>0</v>
      </c>
      <c r="CK130" s="1989"/>
      <c r="CL130" s="2003">
        <f t="shared" si="154"/>
        <v>0</v>
      </c>
      <c r="CM130" s="1989"/>
      <c r="CN130" s="1989"/>
      <c r="CO130" s="2002">
        <f t="shared" si="155"/>
        <v>0</v>
      </c>
      <c r="CP130" s="1999">
        <f t="shared" ref="CP130:CP135" si="301">CI130+CK130+CM130+CN130</f>
        <v>0</v>
      </c>
      <c r="CQ130" s="1993"/>
      <c r="CR130" s="2003">
        <f t="shared" si="156"/>
        <v>0</v>
      </c>
      <c r="CS130" s="1989"/>
      <c r="CT130" s="2003">
        <f t="shared" si="157"/>
        <v>0</v>
      </c>
      <c r="CU130" s="1989"/>
      <c r="CV130" s="2003">
        <f t="shared" si="158"/>
        <v>0</v>
      </c>
      <c r="CW130" s="1989"/>
      <c r="CX130" s="1989"/>
      <c r="CY130" s="2002">
        <f t="shared" si="159"/>
        <v>0</v>
      </c>
      <c r="CZ130" s="1999">
        <f t="shared" ref="CZ130:CZ135" si="302">CS130+CU130+CW130+CX130</f>
        <v>0</v>
      </c>
      <c r="DA130" s="1993"/>
      <c r="DB130" s="2003">
        <f t="shared" si="160"/>
        <v>0</v>
      </c>
      <c r="DC130" s="1989"/>
      <c r="DD130" s="2003">
        <f t="shared" si="161"/>
        <v>0</v>
      </c>
      <c r="DE130" s="1989"/>
      <c r="DF130" s="2003">
        <f t="shared" si="162"/>
        <v>0</v>
      </c>
      <c r="DG130" s="1989"/>
      <c r="DH130" s="1989"/>
      <c r="DI130" s="2002">
        <f t="shared" si="163"/>
        <v>0</v>
      </c>
      <c r="DJ130" s="1999">
        <f t="shared" ref="DJ130:DJ135" si="303">DC130+DE130+DG130+DH130</f>
        <v>0</v>
      </c>
      <c r="DK130" s="1993"/>
      <c r="DL130" s="2003">
        <f t="shared" si="164"/>
        <v>0</v>
      </c>
      <c r="DM130" s="1989"/>
      <c r="DN130" s="2003">
        <f t="shared" si="165"/>
        <v>0</v>
      </c>
      <c r="DO130" s="1989"/>
      <c r="DP130" s="2003">
        <f t="shared" si="166"/>
        <v>0</v>
      </c>
      <c r="DQ130" s="1989"/>
      <c r="DR130" s="1989"/>
      <c r="DS130" s="2002">
        <f t="shared" si="167"/>
        <v>0</v>
      </c>
      <c r="DT130" s="2004">
        <f>DM130+DO130+DQ130+DR130</f>
        <v>0</v>
      </c>
      <c r="DU130" s="1988"/>
      <c r="DV130" s="2003">
        <f t="shared" si="168"/>
        <v>0</v>
      </c>
      <c r="DW130" s="1989"/>
      <c r="DX130" s="2003">
        <f t="shared" si="169"/>
        <v>0</v>
      </c>
      <c r="DY130" s="1989"/>
      <c r="DZ130" s="2003">
        <f t="shared" si="170"/>
        <v>0</v>
      </c>
      <c r="EA130" s="1989"/>
      <c r="EB130" s="1989"/>
      <c r="EC130" s="2002">
        <f t="shared" si="171"/>
        <v>0</v>
      </c>
      <c r="ED130" s="1998">
        <f t="shared" ref="ED130:ED135" si="304">DW130+DY130+EA130+EB130</f>
        <v>0</v>
      </c>
      <c r="EE130" s="2005"/>
      <c r="EF130" s="2003">
        <f t="shared" si="172"/>
        <v>0</v>
      </c>
      <c r="EG130" s="1989"/>
      <c r="EH130" s="2003">
        <f t="shared" si="173"/>
        <v>0</v>
      </c>
      <c r="EI130" s="1989"/>
      <c r="EJ130" s="2003">
        <f t="shared" si="174"/>
        <v>0</v>
      </c>
      <c r="EK130" s="1989"/>
      <c r="EL130" s="1989"/>
      <c r="EM130" s="2006">
        <f t="shared" si="175"/>
        <v>0</v>
      </c>
      <c r="EN130" s="1999"/>
      <c r="EP130" s="1613" t="e">
        <f>EA130-#REF!/10^7</f>
        <v>#REF!</v>
      </c>
      <c r="EW130" s="1611" t="e">
        <v>#N/A</v>
      </c>
      <c r="EX130" s="1612">
        <v>0</v>
      </c>
      <c r="EZ130" s="1650">
        <f t="shared" si="176"/>
        <v>0</v>
      </c>
    </row>
    <row r="131" spans="1:156" ht="21" customHeight="1">
      <c r="A131" s="1637">
        <v>1</v>
      </c>
      <c r="B131" s="1644" t="s">
        <v>1753</v>
      </c>
      <c r="C131" s="1684">
        <v>412</v>
      </c>
      <c r="D131" s="1646">
        <f>H131/C131*100</f>
        <v>17.597087378640776</v>
      </c>
      <c r="E131" s="1646">
        <v>99.012</v>
      </c>
      <c r="F131" s="1641">
        <v>1</v>
      </c>
      <c r="G131" s="1648"/>
      <c r="H131" s="1685">
        <v>72.5</v>
      </c>
      <c r="I131" s="1648" t="s">
        <v>1717</v>
      </c>
      <c r="J131" s="1649">
        <v>1</v>
      </c>
      <c r="K131" s="1648"/>
      <c r="L131" s="1648"/>
      <c r="M131" s="1648"/>
      <c r="N131" s="1642"/>
      <c r="O131" s="2000" t="e">
        <f>#REF!</f>
        <v>#REF!</v>
      </c>
      <c r="P131" s="2003">
        <f t="shared" si="124"/>
        <v>0</v>
      </c>
      <c r="Q131" s="1989" t="e">
        <f>#REF!/10^7</f>
        <v>#REF!</v>
      </c>
      <c r="R131" s="2003">
        <f t="shared" si="125"/>
        <v>0</v>
      </c>
      <c r="S131" s="1989" t="e">
        <f>#REF!/10^7</f>
        <v>#REF!</v>
      </c>
      <c r="T131" s="2003">
        <f t="shared" si="126"/>
        <v>0</v>
      </c>
      <c r="U131" s="1989" t="e">
        <f>#REF!/10^7</f>
        <v>#REF!</v>
      </c>
      <c r="V131" s="1989" t="e">
        <f>#REF!/10^7</f>
        <v>#REF!</v>
      </c>
      <c r="W131" s="1989">
        <f t="shared" si="127"/>
        <v>0</v>
      </c>
      <c r="X131" s="1999" t="e">
        <f t="shared" si="295"/>
        <v>#REF!</v>
      </c>
      <c r="Y131" s="1993" t="e">
        <f>#REF!</f>
        <v>#REF!</v>
      </c>
      <c r="Z131" s="2003">
        <f t="shared" si="128"/>
        <v>0</v>
      </c>
      <c r="AA131" s="1989" t="e">
        <f>#REF!/10^7</f>
        <v>#REF!</v>
      </c>
      <c r="AB131" s="2003">
        <f t="shared" si="129"/>
        <v>0</v>
      </c>
      <c r="AC131" s="1989" t="e">
        <f>#REF!/10^7</f>
        <v>#REF!</v>
      </c>
      <c r="AD131" s="2003">
        <f t="shared" si="130"/>
        <v>0</v>
      </c>
      <c r="AE131" s="1989" t="e">
        <f>#REF!/10^7</f>
        <v>#REF!</v>
      </c>
      <c r="AF131" s="1989" t="e">
        <f>#REF!/10^7</f>
        <v>#REF!</v>
      </c>
      <c r="AG131" s="2002" t="e">
        <f t="shared" si="131"/>
        <v>#REF!</v>
      </c>
      <c r="AH131" s="1999" t="e">
        <f t="shared" si="294"/>
        <v>#REF!</v>
      </c>
      <c r="AI131" s="1993" t="e">
        <f>#REF!</f>
        <v>#REF!</v>
      </c>
      <c r="AJ131" s="2003">
        <f t="shared" si="132"/>
        <v>0</v>
      </c>
      <c r="AK131" s="1989" t="e">
        <f>#REF!/10^7</f>
        <v>#REF!</v>
      </c>
      <c r="AL131" s="2003">
        <f t="shared" si="133"/>
        <v>0</v>
      </c>
      <c r="AM131" s="1989" t="e">
        <f>#REF!/10^7</f>
        <v>#REF!</v>
      </c>
      <c r="AN131" s="2003">
        <f t="shared" si="134"/>
        <v>0</v>
      </c>
      <c r="AO131" s="1989" t="e">
        <f>#REF!/10^7</f>
        <v>#REF!</v>
      </c>
      <c r="AP131" s="1989" t="e">
        <f>#REF!/10^7</f>
        <v>#REF!</v>
      </c>
      <c r="AQ131" s="2002" t="e">
        <f t="shared" si="135"/>
        <v>#REF!</v>
      </c>
      <c r="AR131" s="1999" t="e">
        <f t="shared" si="296"/>
        <v>#REF!</v>
      </c>
      <c r="AS131" s="1993" t="e">
        <f>#REF!</f>
        <v>#REF!</v>
      </c>
      <c r="AT131" s="2003">
        <f t="shared" si="136"/>
        <v>0</v>
      </c>
      <c r="AU131" s="1989" t="e">
        <f>#REF!/10^7</f>
        <v>#REF!</v>
      </c>
      <c r="AV131" s="2003">
        <f t="shared" si="137"/>
        <v>0</v>
      </c>
      <c r="AW131" s="1989" t="e">
        <f>#REF!/10^7</f>
        <v>#REF!</v>
      </c>
      <c r="AX131" s="2003">
        <f t="shared" si="138"/>
        <v>0</v>
      </c>
      <c r="AY131" s="1989" t="e">
        <f>#REF!/10^7</f>
        <v>#REF!</v>
      </c>
      <c r="AZ131" s="1989" t="e">
        <f>#REF!/10^7</f>
        <v>#REF!</v>
      </c>
      <c r="BA131" s="2002" t="e">
        <f t="shared" si="139"/>
        <v>#REF!</v>
      </c>
      <c r="BB131" s="1999" t="e">
        <f t="shared" si="297"/>
        <v>#REF!</v>
      </c>
      <c r="BC131" s="1993" t="e">
        <f>#REF!</f>
        <v>#REF!</v>
      </c>
      <c r="BD131" s="2003">
        <f t="shared" si="140"/>
        <v>0</v>
      </c>
      <c r="BE131" s="1989" t="e">
        <f>#REF!/10^7</f>
        <v>#REF!</v>
      </c>
      <c r="BF131" s="2003">
        <f t="shared" si="141"/>
        <v>0</v>
      </c>
      <c r="BG131" s="1989" t="e">
        <f>#REF!/10^7</f>
        <v>#REF!</v>
      </c>
      <c r="BH131" s="2003">
        <f t="shared" si="142"/>
        <v>0</v>
      </c>
      <c r="BI131" s="1989" t="e">
        <f>#REF!/10^7</f>
        <v>#REF!</v>
      </c>
      <c r="BJ131" s="1989" t="e">
        <f>#REF!/10^7</f>
        <v>#REF!</v>
      </c>
      <c r="BK131" s="2002" t="e">
        <f t="shared" si="143"/>
        <v>#REF!</v>
      </c>
      <c r="BL131" s="1999" t="e">
        <f t="shared" si="298"/>
        <v>#REF!</v>
      </c>
      <c r="BM131" s="1993" t="e">
        <f>#REF!</f>
        <v>#REF!</v>
      </c>
      <c r="BN131" s="2003">
        <f t="shared" si="144"/>
        <v>0</v>
      </c>
      <c r="BO131" s="1989" t="e">
        <f>#REF!/10^7</f>
        <v>#REF!</v>
      </c>
      <c r="BP131" s="2003">
        <f t="shared" si="145"/>
        <v>0</v>
      </c>
      <c r="BQ131" s="1989" t="e">
        <f>#REF!/10^7</f>
        <v>#REF!</v>
      </c>
      <c r="BR131" s="2003">
        <f t="shared" si="146"/>
        <v>0</v>
      </c>
      <c r="BS131" s="1989" t="e">
        <f>#REF!/10^7</f>
        <v>#REF!</v>
      </c>
      <c r="BT131" s="1989" t="e">
        <f>#REF!/10^7</f>
        <v>#REF!</v>
      </c>
      <c r="BU131" s="2002" t="e">
        <f t="shared" si="147"/>
        <v>#REF!</v>
      </c>
      <c r="BV131" s="1999" t="e">
        <f t="shared" si="299"/>
        <v>#REF!</v>
      </c>
      <c r="BW131" s="1993" t="e">
        <f>#REF!</f>
        <v>#REF!</v>
      </c>
      <c r="BX131" s="2003">
        <f t="shared" si="148"/>
        <v>0</v>
      </c>
      <c r="BY131" s="1989" t="e">
        <f>#REF!/10^7</f>
        <v>#REF!</v>
      </c>
      <c r="BZ131" s="2003">
        <f t="shared" si="149"/>
        <v>0</v>
      </c>
      <c r="CA131" s="1989" t="e">
        <f>#REF!/10^7</f>
        <v>#REF!</v>
      </c>
      <c r="CB131" s="2003">
        <f t="shared" si="150"/>
        <v>0</v>
      </c>
      <c r="CC131" s="1989" t="e">
        <f>#REF!/10^7</f>
        <v>#REF!</v>
      </c>
      <c r="CD131" s="1989" t="e">
        <f>#REF!/10^7</f>
        <v>#REF!</v>
      </c>
      <c r="CE131" s="2002" t="e">
        <f t="shared" si="151"/>
        <v>#REF!</v>
      </c>
      <c r="CF131" s="1999" t="e">
        <f t="shared" si="300"/>
        <v>#REF!</v>
      </c>
      <c r="CG131" s="1993" t="e">
        <f>#REF!</f>
        <v>#REF!</v>
      </c>
      <c r="CH131" s="2003">
        <f t="shared" si="152"/>
        <v>0</v>
      </c>
      <c r="CI131" s="1989" t="e">
        <f>#REF!/10^7</f>
        <v>#REF!</v>
      </c>
      <c r="CJ131" s="2003">
        <f t="shared" si="153"/>
        <v>0</v>
      </c>
      <c r="CK131" s="1989" t="e">
        <f>#REF!/10^7</f>
        <v>#REF!</v>
      </c>
      <c r="CL131" s="2003">
        <f t="shared" si="154"/>
        <v>0</v>
      </c>
      <c r="CM131" s="1989" t="e">
        <f>#REF!/10^7</f>
        <v>#REF!</v>
      </c>
      <c r="CN131" s="1989" t="e">
        <f>#REF!/10^7</f>
        <v>#REF!</v>
      </c>
      <c r="CO131" s="2002" t="e">
        <f t="shared" si="155"/>
        <v>#REF!</v>
      </c>
      <c r="CP131" s="1999" t="e">
        <f t="shared" si="301"/>
        <v>#REF!</v>
      </c>
      <c r="CQ131" s="1993" t="e">
        <f>#REF!</f>
        <v>#REF!</v>
      </c>
      <c r="CR131" s="2003">
        <f t="shared" si="156"/>
        <v>0</v>
      </c>
      <c r="CS131" s="1989" t="e">
        <f>#REF!/10^7</f>
        <v>#REF!</v>
      </c>
      <c r="CT131" s="2003">
        <f t="shared" si="157"/>
        <v>0</v>
      </c>
      <c r="CU131" s="1989" t="e">
        <f>#REF!/10^7</f>
        <v>#REF!</v>
      </c>
      <c r="CV131" s="2003">
        <f t="shared" si="158"/>
        <v>0</v>
      </c>
      <c r="CW131" s="1989" t="e">
        <f>#REF!/10^7</f>
        <v>#REF!</v>
      </c>
      <c r="CX131" s="1989" t="e">
        <f>#REF!/10^7</f>
        <v>#REF!</v>
      </c>
      <c r="CY131" s="2002" t="e">
        <f t="shared" si="159"/>
        <v>#REF!</v>
      </c>
      <c r="CZ131" s="1999" t="e">
        <f t="shared" si="302"/>
        <v>#REF!</v>
      </c>
      <c r="DA131" s="1993" t="e">
        <f>#REF!</f>
        <v>#REF!</v>
      </c>
      <c r="DB131" s="2003">
        <f t="shared" si="160"/>
        <v>0</v>
      </c>
      <c r="DC131" s="1989" t="e">
        <f>#REF!/10^7</f>
        <v>#REF!</v>
      </c>
      <c r="DD131" s="2003">
        <f t="shared" si="161"/>
        <v>0</v>
      </c>
      <c r="DE131" s="1989" t="e">
        <f>#REF!/10^7</f>
        <v>#REF!</v>
      </c>
      <c r="DF131" s="2003">
        <f t="shared" si="162"/>
        <v>0</v>
      </c>
      <c r="DG131" s="1989" t="e">
        <f>#REF!/10^7</f>
        <v>#REF!</v>
      </c>
      <c r="DH131" s="1989" t="e">
        <f>#REF!/10^7</f>
        <v>#REF!</v>
      </c>
      <c r="DI131" s="2002" t="e">
        <f t="shared" si="163"/>
        <v>#REF!</v>
      </c>
      <c r="DJ131" s="1999" t="e">
        <f t="shared" si="303"/>
        <v>#REF!</v>
      </c>
      <c r="DK131" s="1993" t="e">
        <f>#REF!</f>
        <v>#REF!</v>
      </c>
      <c r="DL131" s="2003">
        <f t="shared" si="164"/>
        <v>0</v>
      </c>
      <c r="DM131" s="1989" t="e">
        <f>#REF!/10^7</f>
        <v>#REF!</v>
      </c>
      <c r="DN131" s="2003">
        <f t="shared" si="165"/>
        <v>0</v>
      </c>
      <c r="DO131" s="1989" t="e">
        <f>#REF!/10^7</f>
        <v>#REF!</v>
      </c>
      <c r="DP131" s="2003">
        <f t="shared" si="166"/>
        <v>0</v>
      </c>
      <c r="DQ131" s="1989" t="e">
        <f>#REF!/10^7</f>
        <v>#REF!</v>
      </c>
      <c r="DR131" s="1989" t="e">
        <f>#REF!/10^7</f>
        <v>#REF!</v>
      </c>
      <c r="DS131" s="2002" t="e">
        <f t="shared" si="167"/>
        <v>#REF!</v>
      </c>
      <c r="DT131" s="2004" t="e">
        <f t="shared" ref="DT131:DT132" si="305">DM131+DO131+DQ131+DR131</f>
        <v>#REF!</v>
      </c>
      <c r="DU131" s="1988" t="e">
        <f>#REF!</f>
        <v>#REF!</v>
      </c>
      <c r="DV131" s="2003">
        <f t="shared" si="168"/>
        <v>0</v>
      </c>
      <c r="DW131" s="1989" t="e">
        <f>#REF!/10^7</f>
        <v>#REF!</v>
      </c>
      <c r="DX131" s="2003">
        <f t="shared" si="169"/>
        <v>0</v>
      </c>
      <c r="DY131" s="1989" t="e">
        <f>#REF!/10^7</f>
        <v>#REF!</v>
      </c>
      <c r="DZ131" s="2003">
        <f t="shared" si="170"/>
        <v>0</v>
      </c>
      <c r="EA131" s="1989" t="e">
        <f>#REF!/10^7</f>
        <v>#REF!</v>
      </c>
      <c r="EB131" s="1989" t="e">
        <f>#REF!/10^7</f>
        <v>#REF!</v>
      </c>
      <c r="EC131" s="2002" t="e">
        <f t="shared" si="171"/>
        <v>#REF!</v>
      </c>
      <c r="ED131" s="1998" t="e">
        <f t="shared" si="304"/>
        <v>#REF!</v>
      </c>
      <c r="EE131" s="2005" t="e">
        <f>O131+Y131+AI131+AS131+BC131+BM131+BW131+CG131+CQ131+DA131+DK131+DU131</f>
        <v>#REF!</v>
      </c>
      <c r="EF131" s="2003">
        <f t="shared" si="172"/>
        <v>0</v>
      </c>
      <c r="EG131" s="1989" t="e">
        <f>Q131+AA131+AK131+AU131+BE131+BO131+BY131+CI131+CS131+DC131+DM131+DW131</f>
        <v>#REF!</v>
      </c>
      <c r="EH131" s="2003">
        <f t="shared" si="173"/>
        <v>0</v>
      </c>
      <c r="EI131" s="1989" t="e">
        <f>S131+AC131+AM131+AW131+BG131+BQ131+CA131+CK131+CU131+DE131+DO131+DY131</f>
        <v>#REF!</v>
      </c>
      <c r="EJ131" s="2003">
        <f t="shared" si="174"/>
        <v>0</v>
      </c>
      <c r="EK131" s="1989" t="e">
        <f t="shared" ref="EK131:EL135" si="306">U131+AE131+AO131+AY131+BI131+BS131+CC131+CM131+CW131+DG131+DQ131+EA131</f>
        <v>#REF!</v>
      </c>
      <c r="EL131" s="1989" t="e">
        <f t="shared" si="306"/>
        <v>#REF!</v>
      </c>
      <c r="EM131" s="2006" t="e">
        <f t="shared" si="175"/>
        <v>#REF!</v>
      </c>
      <c r="EN131" s="1999" t="e">
        <f>EG131+EI131+EK131+EL131</f>
        <v>#REF!</v>
      </c>
      <c r="EP131" s="1613" t="e">
        <f>EA131-#REF!/10^7</f>
        <v>#REF!</v>
      </c>
      <c r="EW131" s="1611" t="s">
        <v>1717</v>
      </c>
      <c r="EX131" s="1612" t="s">
        <v>1717</v>
      </c>
      <c r="EZ131" s="1650">
        <f t="shared" si="176"/>
        <v>0</v>
      </c>
    </row>
    <row r="132" spans="1:156" ht="21" customHeight="1">
      <c r="A132" s="1637">
        <v>2</v>
      </c>
      <c r="B132" s="1644" t="s">
        <v>1754</v>
      </c>
      <c r="C132" s="1684">
        <v>1500</v>
      </c>
      <c r="D132" s="1646">
        <f>H132/C132*100</f>
        <v>18.866666666666667</v>
      </c>
      <c r="E132" s="1646">
        <v>101.759</v>
      </c>
      <c r="F132" s="1641">
        <v>1.2</v>
      </c>
      <c r="G132" s="1648"/>
      <c r="H132" s="1685">
        <v>283</v>
      </c>
      <c r="I132" s="1648" t="s">
        <v>1717</v>
      </c>
      <c r="J132" s="1649">
        <v>1</v>
      </c>
      <c r="K132" s="1641"/>
      <c r="L132" s="1648"/>
      <c r="M132" s="1648"/>
      <c r="N132" s="1671"/>
      <c r="O132" s="2000" t="e">
        <f>#REF!</f>
        <v>#REF!</v>
      </c>
      <c r="P132" s="2003">
        <f t="shared" si="124"/>
        <v>0</v>
      </c>
      <c r="Q132" s="1989" t="e">
        <f>#REF!/10^7</f>
        <v>#REF!</v>
      </c>
      <c r="R132" s="2003">
        <f t="shared" si="125"/>
        <v>0</v>
      </c>
      <c r="S132" s="1989" t="e">
        <f>#REF!/10^7</f>
        <v>#REF!</v>
      </c>
      <c r="T132" s="2003">
        <f t="shared" si="126"/>
        <v>0</v>
      </c>
      <c r="U132" s="1989" t="e">
        <f>#REF!/10^7</f>
        <v>#REF!</v>
      </c>
      <c r="V132" s="1989" t="e">
        <f>#REF!/10^7</f>
        <v>#REF!</v>
      </c>
      <c r="W132" s="1989">
        <f t="shared" si="127"/>
        <v>0</v>
      </c>
      <c r="X132" s="1999" t="e">
        <f t="shared" si="295"/>
        <v>#REF!</v>
      </c>
      <c r="Y132" s="1993" t="e">
        <f>#REF!</f>
        <v>#REF!</v>
      </c>
      <c r="Z132" s="2003">
        <f t="shared" si="128"/>
        <v>0</v>
      </c>
      <c r="AA132" s="1989" t="e">
        <f>#REF!/10^7</f>
        <v>#REF!</v>
      </c>
      <c r="AB132" s="2003">
        <f t="shared" si="129"/>
        <v>0</v>
      </c>
      <c r="AC132" s="1989" t="e">
        <f>#REF!/10^7</f>
        <v>#REF!</v>
      </c>
      <c r="AD132" s="2003">
        <f t="shared" si="130"/>
        <v>0</v>
      </c>
      <c r="AE132" s="1989" t="e">
        <f>#REF!/10^7</f>
        <v>#REF!</v>
      </c>
      <c r="AF132" s="1989" t="e">
        <f>#REF!/10^7</f>
        <v>#REF!</v>
      </c>
      <c r="AG132" s="2002" t="e">
        <f t="shared" si="131"/>
        <v>#REF!</v>
      </c>
      <c r="AH132" s="1999" t="e">
        <f t="shared" si="294"/>
        <v>#REF!</v>
      </c>
      <c r="AI132" s="1993" t="e">
        <f>#REF!</f>
        <v>#REF!</v>
      </c>
      <c r="AJ132" s="2003">
        <f t="shared" si="132"/>
        <v>0</v>
      </c>
      <c r="AK132" s="1989" t="e">
        <f>#REF!/10^7</f>
        <v>#REF!</v>
      </c>
      <c r="AL132" s="2003">
        <f t="shared" si="133"/>
        <v>0</v>
      </c>
      <c r="AM132" s="1989" t="e">
        <f>#REF!/10^7</f>
        <v>#REF!</v>
      </c>
      <c r="AN132" s="2003">
        <f t="shared" si="134"/>
        <v>0</v>
      </c>
      <c r="AO132" s="1989" t="e">
        <f>#REF!/10^7</f>
        <v>#REF!</v>
      </c>
      <c r="AP132" s="1989" t="e">
        <f>#REF!/10^7</f>
        <v>#REF!</v>
      </c>
      <c r="AQ132" s="2002" t="e">
        <f t="shared" si="135"/>
        <v>#REF!</v>
      </c>
      <c r="AR132" s="1999" t="e">
        <f t="shared" si="296"/>
        <v>#REF!</v>
      </c>
      <c r="AS132" s="1993" t="e">
        <f>#REF!</f>
        <v>#REF!</v>
      </c>
      <c r="AT132" s="2003">
        <f t="shared" si="136"/>
        <v>0</v>
      </c>
      <c r="AU132" s="1989" t="e">
        <f>#REF!/10^7</f>
        <v>#REF!</v>
      </c>
      <c r="AV132" s="2003">
        <f t="shared" si="137"/>
        <v>0</v>
      </c>
      <c r="AW132" s="1989" t="e">
        <f>#REF!/10^7</f>
        <v>#REF!</v>
      </c>
      <c r="AX132" s="2003">
        <f t="shared" si="138"/>
        <v>0</v>
      </c>
      <c r="AY132" s="1989" t="e">
        <f>#REF!/10^7</f>
        <v>#REF!</v>
      </c>
      <c r="AZ132" s="1989" t="e">
        <f>#REF!/10^7</f>
        <v>#REF!</v>
      </c>
      <c r="BA132" s="2002" t="e">
        <f t="shared" si="139"/>
        <v>#REF!</v>
      </c>
      <c r="BB132" s="1999" t="e">
        <f t="shared" si="297"/>
        <v>#REF!</v>
      </c>
      <c r="BC132" s="1993" t="e">
        <f>#REF!</f>
        <v>#REF!</v>
      </c>
      <c r="BD132" s="2003">
        <f t="shared" si="140"/>
        <v>0</v>
      </c>
      <c r="BE132" s="1989" t="e">
        <f>#REF!/10^7</f>
        <v>#REF!</v>
      </c>
      <c r="BF132" s="2003">
        <f t="shared" si="141"/>
        <v>0</v>
      </c>
      <c r="BG132" s="1989" t="e">
        <f>#REF!/10^7</f>
        <v>#REF!</v>
      </c>
      <c r="BH132" s="2003">
        <f t="shared" si="142"/>
        <v>0</v>
      </c>
      <c r="BI132" s="1989" t="e">
        <f>#REF!/10^7</f>
        <v>#REF!</v>
      </c>
      <c r="BJ132" s="1989" t="e">
        <f>#REF!/10^7</f>
        <v>#REF!</v>
      </c>
      <c r="BK132" s="2002" t="e">
        <f t="shared" si="143"/>
        <v>#REF!</v>
      </c>
      <c r="BL132" s="1999" t="e">
        <f t="shared" si="298"/>
        <v>#REF!</v>
      </c>
      <c r="BM132" s="1993" t="e">
        <f>#REF!</f>
        <v>#REF!</v>
      </c>
      <c r="BN132" s="2003">
        <f t="shared" si="144"/>
        <v>0</v>
      </c>
      <c r="BO132" s="1989" t="e">
        <f>#REF!/10^7</f>
        <v>#REF!</v>
      </c>
      <c r="BP132" s="2003">
        <f t="shared" si="145"/>
        <v>0</v>
      </c>
      <c r="BQ132" s="1989" t="e">
        <f>#REF!/10^7</f>
        <v>#REF!</v>
      </c>
      <c r="BR132" s="2003">
        <f t="shared" si="146"/>
        <v>0</v>
      </c>
      <c r="BS132" s="1989" t="e">
        <f>#REF!/10^7</f>
        <v>#REF!</v>
      </c>
      <c r="BT132" s="1989" t="e">
        <f>#REF!/10^7</f>
        <v>#REF!</v>
      </c>
      <c r="BU132" s="2002" t="e">
        <f t="shared" si="147"/>
        <v>#REF!</v>
      </c>
      <c r="BV132" s="1999" t="e">
        <f t="shared" si="299"/>
        <v>#REF!</v>
      </c>
      <c r="BW132" s="1993" t="e">
        <f>#REF!</f>
        <v>#REF!</v>
      </c>
      <c r="BX132" s="2003">
        <f t="shared" si="148"/>
        <v>0</v>
      </c>
      <c r="BY132" s="1989" t="e">
        <f>#REF!/10^7</f>
        <v>#REF!</v>
      </c>
      <c r="BZ132" s="2003">
        <f t="shared" si="149"/>
        <v>0</v>
      </c>
      <c r="CA132" s="1989" t="e">
        <f>#REF!/10^7</f>
        <v>#REF!</v>
      </c>
      <c r="CB132" s="2003">
        <f t="shared" si="150"/>
        <v>0</v>
      </c>
      <c r="CC132" s="1989" t="e">
        <f>#REF!/10^7</f>
        <v>#REF!</v>
      </c>
      <c r="CD132" s="1989" t="e">
        <f>#REF!/10^7</f>
        <v>#REF!</v>
      </c>
      <c r="CE132" s="2002" t="e">
        <f t="shared" si="151"/>
        <v>#REF!</v>
      </c>
      <c r="CF132" s="1999" t="e">
        <f t="shared" si="300"/>
        <v>#REF!</v>
      </c>
      <c r="CG132" s="1993" t="e">
        <f>#REF!</f>
        <v>#REF!</v>
      </c>
      <c r="CH132" s="2003">
        <f t="shared" si="152"/>
        <v>0</v>
      </c>
      <c r="CI132" s="1989" t="e">
        <f>#REF!/10^7</f>
        <v>#REF!</v>
      </c>
      <c r="CJ132" s="2003">
        <f t="shared" si="153"/>
        <v>0</v>
      </c>
      <c r="CK132" s="1989" t="e">
        <f>#REF!/10^7</f>
        <v>#REF!</v>
      </c>
      <c r="CL132" s="2003">
        <f t="shared" si="154"/>
        <v>0</v>
      </c>
      <c r="CM132" s="1989" t="e">
        <f>#REF!/10^7</f>
        <v>#REF!</v>
      </c>
      <c r="CN132" s="1989" t="e">
        <f>#REF!/10^7</f>
        <v>#REF!</v>
      </c>
      <c r="CO132" s="2002" t="e">
        <f t="shared" si="155"/>
        <v>#REF!</v>
      </c>
      <c r="CP132" s="1999" t="e">
        <f t="shared" si="301"/>
        <v>#REF!</v>
      </c>
      <c r="CQ132" s="1993" t="e">
        <f>#REF!</f>
        <v>#REF!</v>
      </c>
      <c r="CR132" s="2003">
        <f t="shared" si="156"/>
        <v>0</v>
      </c>
      <c r="CS132" s="1989" t="e">
        <f>#REF!/10^7</f>
        <v>#REF!</v>
      </c>
      <c r="CT132" s="2003">
        <f t="shared" si="157"/>
        <v>0</v>
      </c>
      <c r="CU132" s="1989" t="e">
        <f>#REF!/10^7</f>
        <v>#REF!</v>
      </c>
      <c r="CV132" s="2003">
        <f t="shared" si="158"/>
        <v>0</v>
      </c>
      <c r="CW132" s="1989" t="e">
        <f>#REF!/10^7</f>
        <v>#REF!</v>
      </c>
      <c r="CX132" s="1989" t="e">
        <f>#REF!/10^7</f>
        <v>#REF!</v>
      </c>
      <c r="CY132" s="2002" t="e">
        <f t="shared" si="159"/>
        <v>#REF!</v>
      </c>
      <c r="CZ132" s="1999" t="e">
        <f t="shared" si="302"/>
        <v>#REF!</v>
      </c>
      <c r="DA132" s="1993" t="e">
        <f>#REF!</f>
        <v>#REF!</v>
      </c>
      <c r="DB132" s="2003">
        <f t="shared" si="160"/>
        <v>0</v>
      </c>
      <c r="DC132" s="1989" t="e">
        <f>#REF!/10^7</f>
        <v>#REF!</v>
      </c>
      <c r="DD132" s="2003">
        <f t="shared" si="161"/>
        <v>0</v>
      </c>
      <c r="DE132" s="1989" t="e">
        <f>#REF!/10^7</f>
        <v>#REF!</v>
      </c>
      <c r="DF132" s="2003">
        <f t="shared" si="162"/>
        <v>0</v>
      </c>
      <c r="DG132" s="1989" t="e">
        <f>#REF!/10^7</f>
        <v>#REF!</v>
      </c>
      <c r="DH132" s="1989" t="e">
        <f>#REF!/10^7</f>
        <v>#REF!</v>
      </c>
      <c r="DI132" s="2002" t="e">
        <f t="shared" si="163"/>
        <v>#REF!</v>
      </c>
      <c r="DJ132" s="1999" t="e">
        <f t="shared" si="303"/>
        <v>#REF!</v>
      </c>
      <c r="DK132" s="1993" t="e">
        <f>#REF!</f>
        <v>#REF!</v>
      </c>
      <c r="DL132" s="2003">
        <f t="shared" si="164"/>
        <v>0</v>
      </c>
      <c r="DM132" s="1989" t="e">
        <f>#REF!/10^7</f>
        <v>#REF!</v>
      </c>
      <c r="DN132" s="2003">
        <f t="shared" si="165"/>
        <v>0</v>
      </c>
      <c r="DO132" s="1989" t="e">
        <f>#REF!/10^7</f>
        <v>#REF!</v>
      </c>
      <c r="DP132" s="2003">
        <f t="shared" si="166"/>
        <v>0</v>
      </c>
      <c r="DQ132" s="1989" t="e">
        <f>#REF!/10^7</f>
        <v>#REF!</v>
      </c>
      <c r="DR132" s="1989" t="e">
        <f>#REF!/10^7</f>
        <v>#REF!</v>
      </c>
      <c r="DS132" s="2002" t="e">
        <f t="shared" si="167"/>
        <v>#REF!</v>
      </c>
      <c r="DT132" s="2004" t="e">
        <f t="shared" si="305"/>
        <v>#REF!</v>
      </c>
      <c r="DU132" s="1988" t="e">
        <f>#REF!</f>
        <v>#REF!</v>
      </c>
      <c r="DV132" s="2003">
        <f t="shared" si="168"/>
        <v>0</v>
      </c>
      <c r="DW132" s="1989" t="e">
        <f>#REF!/10^7</f>
        <v>#REF!</v>
      </c>
      <c r="DX132" s="2003">
        <f t="shared" si="169"/>
        <v>0</v>
      </c>
      <c r="DY132" s="1989" t="e">
        <f>#REF!/10^7</f>
        <v>#REF!</v>
      </c>
      <c r="DZ132" s="2003">
        <f t="shared" si="170"/>
        <v>0</v>
      </c>
      <c r="EA132" s="1989" t="e">
        <f>#REF!/10^7</f>
        <v>#REF!</v>
      </c>
      <c r="EB132" s="1989" t="e">
        <f>#REF!/10^7</f>
        <v>#REF!</v>
      </c>
      <c r="EC132" s="2002" t="e">
        <f t="shared" si="171"/>
        <v>#REF!</v>
      </c>
      <c r="ED132" s="1998" t="e">
        <f t="shared" si="304"/>
        <v>#REF!</v>
      </c>
      <c r="EE132" s="2005" t="e">
        <f>O132+Y132+AI132+AS132+BC132+BM132+BW132+CG132+CQ132+DA132+DK132+DU132</f>
        <v>#REF!</v>
      </c>
      <c r="EF132" s="2003">
        <f t="shared" si="172"/>
        <v>0</v>
      </c>
      <c r="EG132" s="1989" t="e">
        <f>Q132+AA132+AK132+AU132+BE132+BO132+BY132+CI132+CS132+DC132+DM132+DW132</f>
        <v>#REF!</v>
      </c>
      <c r="EH132" s="2003">
        <f t="shared" si="173"/>
        <v>0</v>
      </c>
      <c r="EI132" s="1989" t="e">
        <f>S132+AC132+AM132+AW132+BG132+BQ132+CA132+CK132+CU132+DE132+DO132+DY132</f>
        <v>#REF!</v>
      </c>
      <c r="EJ132" s="2003">
        <f t="shared" si="174"/>
        <v>0</v>
      </c>
      <c r="EK132" s="1989" t="e">
        <f t="shared" si="306"/>
        <v>#REF!</v>
      </c>
      <c r="EL132" s="1989" t="e">
        <f t="shared" si="306"/>
        <v>#REF!</v>
      </c>
      <c r="EM132" s="2006" t="e">
        <f t="shared" si="175"/>
        <v>#REF!</v>
      </c>
      <c r="EN132" s="1999" t="e">
        <f>EG132+EI132+EK132+EL132</f>
        <v>#REF!</v>
      </c>
      <c r="EP132" s="1613" t="e">
        <f>EA132-#REF!/10^7</f>
        <v>#REF!</v>
      </c>
      <c r="EW132" s="1611" t="s">
        <v>1717</v>
      </c>
      <c r="EX132" s="1612" t="s">
        <v>1717</v>
      </c>
      <c r="EZ132" s="1650">
        <f t="shared" si="176"/>
        <v>0</v>
      </c>
    </row>
    <row r="133" spans="1:156" ht="21" customHeight="1">
      <c r="A133" s="1637">
        <v>3</v>
      </c>
      <c r="B133" s="1644"/>
      <c r="C133" s="1662"/>
      <c r="D133" s="1648"/>
      <c r="E133" s="1648"/>
      <c r="F133" s="1648"/>
      <c r="G133" s="1648"/>
      <c r="H133" s="1648"/>
      <c r="I133" s="1641"/>
      <c r="J133" s="1649"/>
      <c r="K133" s="1641"/>
      <c r="L133" s="1648"/>
      <c r="M133" s="1648"/>
      <c r="N133" s="1671"/>
      <c r="O133" s="2000"/>
      <c r="P133" s="2003">
        <f t="shared" si="124"/>
        <v>0</v>
      </c>
      <c r="Q133" s="1998"/>
      <c r="R133" s="2003">
        <f t="shared" si="125"/>
        <v>0</v>
      </c>
      <c r="S133" s="1998"/>
      <c r="T133" s="2003">
        <f t="shared" si="126"/>
        <v>0</v>
      </c>
      <c r="U133" s="1989"/>
      <c r="V133" s="1989"/>
      <c r="W133" s="1989">
        <f t="shared" si="127"/>
        <v>0</v>
      </c>
      <c r="X133" s="1999">
        <f t="shared" si="295"/>
        <v>0</v>
      </c>
      <c r="Y133" s="2000"/>
      <c r="Z133" s="2003">
        <f t="shared" si="128"/>
        <v>0</v>
      </c>
      <c r="AA133" s="1998"/>
      <c r="AB133" s="2003">
        <f t="shared" si="129"/>
        <v>0</v>
      </c>
      <c r="AC133" s="1998"/>
      <c r="AD133" s="2003">
        <f t="shared" si="130"/>
        <v>0</v>
      </c>
      <c r="AE133" s="1989"/>
      <c r="AF133" s="1989"/>
      <c r="AG133" s="2002">
        <f t="shared" si="131"/>
        <v>0</v>
      </c>
      <c r="AH133" s="1999">
        <f t="shared" si="294"/>
        <v>0</v>
      </c>
      <c r="AI133" s="2000"/>
      <c r="AJ133" s="2003">
        <f t="shared" si="132"/>
        <v>0</v>
      </c>
      <c r="AK133" s="1998"/>
      <c r="AL133" s="2003">
        <f t="shared" si="133"/>
        <v>0</v>
      </c>
      <c r="AM133" s="1998"/>
      <c r="AN133" s="2003">
        <f t="shared" si="134"/>
        <v>0</v>
      </c>
      <c r="AO133" s="1989"/>
      <c r="AP133" s="1989"/>
      <c r="AQ133" s="2002">
        <f t="shared" si="135"/>
        <v>0</v>
      </c>
      <c r="AR133" s="1999">
        <f t="shared" si="296"/>
        <v>0</v>
      </c>
      <c r="AS133" s="2000"/>
      <c r="AT133" s="2003">
        <f t="shared" si="136"/>
        <v>0</v>
      </c>
      <c r="AU133" s="1998"/>
      <c r="AV133" s="2003">
        <f t="shared" si="137"/>
        <v>0</v>
      </c>
      <c r="AW133" s="1998"/>
      <c r="AX133" s="2003">
        <f t="shared" si="138"/>
        <v>0</v>
      </c>
      <c r="AY133" s="1989"/>
      <c r="AZ133" s="1989"/>
      <c r="BA133" s="2002">
        <f t="shared" si="139"/>
        <v>0</v>
      </c>
      <c r="BB133" s="1999">
        <f t="shared" si="297"/>
        <v>0</v>
      </c>
      <c r="BC133" s="2000"/>
      <c r="BD133" s="2003">
        <f t="shared" si="140"/>
        <v>0</v>
      </c>
      <c r="BE133" s="1998"/>
      <c r="BF133" s="2003">
        <f t="shared" si="141"/>
        <v>0</v>
      </c>
      <c r="BG133" s="1998"/>
      <c r="BH133" s="2003">
        <f t="shared" si="142"/>
        <v>0</v>
      </c>
      <c r="BI133" s="1989"/>
      <c r="BJ133" s="1989"/>
      <c r="BK133" s="2002">
        <f t="shared" si="143"/>
        <v>0</v>
      </c>
      <c r="BL133" s="1999">
        <f t="shared" si="298"/>
        <v>0</v>
      </c>
      <c r="BM133" s="2000"/>
      <c r="BN133" s="2003">
        <f t="shared" si="144"/>
        <v>0</v>
      </c>
      <c r="BO133" s="1998"/>
      <c r="BP133" s="2003">
        <f t="shared" si="145"/>
        <v>0</v>
      </c>
      <c r="BQ133" s="1998"/>
      <c r="BR133" s="2003">
        <f t="shared" si="146"/>
        <v>0</v>
      </c>
      <c r="BS133" s="1989"/>
      <c r="BT133" s="1989"/>
      <c r="BU133" s="2002">
        <f t="shared" si="147"/>
        <v>0</v>
      </c>
      <c r="BV133" s="1999">
        <f t="shared" si="299"/>
        <v>0</v>
      </c>
      <c r="BW133" s="2000"/>
      <c r="BX133" s="2003">
        <f t="shared" si="148"/>
        <v>0</v>
      </c>
      <c r="BY133" s="1998"/>
      <c r="BZ133" s="2003">
        <f t="shared" si="149"/>
        <v>0</v>
      </c>
      <c r="CA133" s="1998"/>
      <c r="CB133" s="2003">
        <f t="shared" si="150"/>
        <v>0</v>
      </c>
      <c r="CC133" s="1989"/>
      <c r="CD133" s="1989"/>
      <c r="CE133" s="2002">
        <f t="shared" si="151"/>
        <v>0</v>
      </c>
      <c r="CF133" s="1999">
        <f t="shared" si="300"/>
        <v>0</v>
      </c>
      <c r="CG133" s="2000"/>
      <c r="CH133" s="2003">
        <f t="shared" si="152"/>
        <v>0</v>
      </c>
      <c r="CI133" s="1998"/>
      <c r="CJ133" s="2003">
        <f t="shared" si="153"/>
        <v>0</v>
      </c>
      <c r="CK133" s="1998"/>
      <c r="CL133" s="2003">
        <f t="shared" si="154"/>
        <v>0</v>
      </c>
      <c r="CM133" s="1989"/>
      <c r="CN133" s="1989"/>
      <c r="CO133" s="2002">
        <f t="shared" si="155"/>
        <v>0</v>
      </c>
      <c r="CP133" s="1999">
        <f t="shared" si="301"/>
        <v>0</v>
      </c>
      <c r="CQ133" s="2000"/>
      <c r="CR133" s="2003">
        <f t="shared" si="156"/>
        <v>0</v>
      </c>
      <c r="CS133" s="1998"/>
      <c r="CT133" s="2003">
        <f t="shared" si="157"/>
        <v>0</v>
      </c>
      <c r="CU133" s="1998"/>
      <c r="CV133" s="2003">
        <f t="shared" si="158"/>
        <v>0</v>
      </c>
      <c r="CW133" s="1989"/>
      <c r="CX133" s="1989"/>
      <c r="CY133" s="2002">
        <f t="shared" si="159"/>
        <v>0</v>
      </c>
      <c r="CZ133" s="1999">
        <f t="shared" si="302"/>
        <v>0</v>
      </c>
      <c r="DA133" s="2000"/>
      <c r="DB133" s="2003">
        <f t="shared" si="160"/>
        <v>0</v>
      </c>
      <c r="DD133" s="2003">
        <f t="shared" si="161"/>
        <v>0</v>
      </c>
      <c r="DE133" s="1989"/>
      <c r="DF133" s="2003">
        <f t="shared" si="162"/>
        <v>0</v>
      </c>
      <c r="DG133" s="1989"/>
      <c r="DH133" s="1989"/>
      <c r="DI133" s="2002">
        <f t="shared" si="163"/>
        <v>0</v>
      </c>
      <c r="DJ133" s="1999"/>
      <c r="DK133" s="2000"/>
      <c r="DL133" s="2003">
        <f t="shared" si="164"/>
        <v>0</v>
      </c>
      <c r="DN133" s="2003">
        <f t="shared" si="165"/>
        <v>0</v>
      </c>
      <c r="DO133" s="1989"/>
      <c r="DP133" s="2003">
        <f t="shared" si="166"/>
        <v>0</v>
      </c>
      <c r="DQ133" s="1989"/>
      <c r="DR133" s="1989"/>
      <c r="DS133" s="2002">
        <f t="shared" si="167"/>
        <v>0</v>
      </c>
      <c r="DT133" s="2004"/>
      <c r="DU133" s="2020"/>
      <c r="DV133" s="2003">
        <f t="shared" si="168"/>
        <v>0</v>
      </c>
      <c r="DW133" s="1989"/>
      <c r="DX133" s="2003">
        <f t="shared" si="169"/>
        <v>0</v>
      </c>
      <c r="DY133" s="1989"/>
      <c r="DZ133" s="2003">
        <f t="shared" si="170"/>
        <v>0</v>
      </c>
      <c r="EA133" s="1989"/>
      <c r="EB133" s="1989"/>
      <c r="EC133" s="2002">
        <f t="shared" si="171"/>
        <v>0</v>
      </c>
      <c r="ED133" s="1998">
        <f t="shared" si="304"/>
        <v>0</v>
      </c>
      <c r="EE133" s="2005">
        <f>O133+Y133+AI133+AS133+BC133+BM133+BW133+CG133+CQ133+DA133+DK133+DU133</f>
        <v>0</v>
      </c>
      <c r="EF133" s="2003">
        <f t="shared" si="172"/>
        <v>0</v>
      </c>
      <c r="EG133" s="1989">
        <f>Q133+AA133+AK133+AU133+BE133+BO133+BY133+CI133+CS133+DC133+DM133+DW133</f>
        <v>0</v>
      </c>
      <c r="EH133" s="2003">
        <f t="shared" si="173"/>
        <v>0</v>
      </c>
      <c r="EI133" s="1989">
        <f>S133+AC133+AM133+AW133+BG133+BQ133+CA133+CK133+CU133+DE133+DO133+DY133</f>
        <v>0</v>
      </c>
      <c r="EJ133" s="2003">
        <f t="shared" si="174"/>
        <v>0</v>
      </c>
      <c r="EK133" s="1989">
        <f t="shared" si="306"/>
        <v>0</v>
      </c>
      <c r="EL133" s="1989">
        <f t="shared" si="306"/>
        <v>0</v>
      </c>
      <c r="EM133" s="2006">
        <f t="shared" si="175"/>
        <v>0</v>
      </c>
      <c r="EN133" s="1999">
        <f>EG133+EI133+EK133+EL133</f>
        <v>0</v>
      </c>
      <c r="EP133" s="1613" t="e">
        <f>EA133-#REF!/10^7</f>
        <v>#REF!</v>
      </c>
      <c r="EW133" s="1611" t="e">
        <v>#N/A</v>
      </c>
      <c r="EX133" s="1612" t="e">
        <v>#N/A</v>
      </c>
      <c r="EZ133" s="1650">
        <f t="shared" si="176"/>
        <v>0</v>
      </c>
    </row>
    <row r="134" spans="1:156" ht="21" customHeight="1">
      <c r="A134" s="1637">
        <v>4</v>
      </c>
      <c r="B134" s="1644"/>
      <c r="C134" s="1662"/>
      <c r="D134" s="1648"/>
      <c r="E134" s="1648"/>
      <c r="F134" s="1648"/>
      <c r="G134" s="1648"/>
      <c r="H134" s="1648"/>
      <c r="I134" s="1641"/>
      <c r="J134" s="1649"/>
      <c r="K134" s="1641"/>
      <c r="L134" s="1648"/>
      <c r="M134" s="1648"/>
      <c r="N134" s="1671"/>
      <c r="O134" s="2000"/>
      <c r="P134" s="2003">
        <f t="shared" si="124"/>
        <v>0</v>
      </c>
      <c r="Q134" s="1998"/>
      <c r="R134" s="2003">
        <f t="shared" si="125"/>
        <v>0</v>
      </c>
      <c r="S134" s="1998"/>
      <c r="T134" s="2003">
        <f t="shared" si="126"/>
        <v>0</v>
      </c>
      <c r="U134" s="1989"/>
      <c r="V134" s="1989"/>
      <c r="W134" s="1989">
        <f t="shared" si="127"/>
        <v>0</v>
      </c>
      <c r="X134" s="1999">
        <f t="shared" si="295"/>
        <v>0</v>
      </c>
      <c r="Y134" s="2000"/>
      <c r="Z134" s="2003">
        <f t="shared" si="128"/>
        <v>0</v>
      </c>
      <c r="AA134" s="1998"/>
      <c r="AB134" s="2003">
        <f t="shared" si="129"/>
        <v>0</v>
      </c>
      <c r="AC134" s="1998"/>
      <c r="AD134" s="2003">
        <f t="shared" si="130"/>
        <v>0</v>
      </c>
      <c r="AE134" s="1989"/>
      <c r="AF134" s="1989"/>
      <c r="AG134" s="2002">
        <f t="shared" si="131"/>
        <v>0</v>
      </c>
      <c r="AH134" s="1999">
        <f t="shared" si="294"/>
        <v>0</v>
      </c>
      <c r="AI134" s="2000"/>
      <c r="AJ134" s="2003">
        <f t="shared" si="132"/>
        <v>0</v>
      </c>
      <c r="AK134" s="1998"/>
      <c r="AL134" s="2003">
        <f t="shared" si="133"/>
        <v>0</v>
      </c>
      <c r="AM134" s="1998"/>
      <c r="AN134" s="2003">
        <f t="shared" si="134"/>
        <v>0</v>
      </c>
      <c r="AO134" s="1989"/>
      <c r="AP134" s="1989"/>
      <c r="AQ134" s="2002">
        <f t="shared" si="135"/>
        <v>0</v>
      </c>
      <c r="AR134" s="1999">
        <f t="shared" si="296"/>
        <v>0</v>
      </c>
      <c r="AS134" s="2000"/>
      <c r="AT134" s="2003">
        <f t="shared" si="136"/>
        <v>0</v>
      </c>
      <c r="AU134" s="1998"/>
      <c r="AV134" s="2003">
        <f t="shared" si="137"/>
        <v>0</v>
      </c>
      <c r="AW134" s="1998"/>
      <c r="AX134" s="2003">
        <f t="shared" si="138"/>
        <v>0</v>
      </c>
      <c r="AY134" s="1989"/>
      <c r="AZ134" s="1989"/>
      <c r="BA134" s="2002">
        <f t="shared" si="139"/>
        <v>0</v>
      </c>
      <c r="BB134" s="1999">
        <f t="shared" si="297"/>
        <v>0</v>
      </c>
      <c r="BC134" s="2000"/>
      <c r="BD134" s="2003">
        <f t="shared" si="140"/>
        <v>0</v>
      </c>
      <c r="BE134" s="1998"/>
      <c r="BF134" s="2003">
        <f t="shared" si="141"/>
        <v>0</v>
      </c>
      <c r="BG134" s="1998"/>
      <c r="BH134" s="2003">
        <f t="shared" si="142"/>
        <v>0</v>
      </c>
      <c r="BI134" s="1989"/>
      <c r="BJ134" s="1989"/>
      <c r="BK134" s="2002">
        <f t="shared" si="143"/>
        <v>0</v>
      </c>
      <c r="BL134" s="1999">
        <f t="shared" si="298"/>
        <v>0</v>
      </c>
      <c r="BM134" s="2000"/>
      <c r="BN134" s="2003">
        <f t="shared" si="144"/>
        <v>0</v>
      </c>
      <c r="BO134" s="1998"/>
      <c r="BP134" s="2003">
        <f t="shared" si="145"/>
        <v>0</v>
      </c>
      <c r="BQ134" s="1998"/>
      <c r="BR134" s="2003">
        <f t="shared" si="146"/>
        <v>0</v>
      </c>
      <c r="BS134" s="1989"/>
      <c r="BT134" s="1989"/>
      <c r="BU134" s="2002">
        <f t="shared" si="147"/>
        <v>0</v>
      </c>
      <c r="BV134" s="1999">
        <f t="shared" si="299"/>
        <v>0</v>
      </c>
      <c r="BW134" s="2000"/>
      <c r="BX134" s="2003">
        <f t="shared" si="148"/>
        <v>0</v>
      </c>
      <c r="BY134" s="1998"/>
      <c r="BZ134" s="2003">
        <f t="shared" si="149"/>
        <v>0</v>
      </c>
      <c r="CA134" s="1998"/>
      <c r="CB134" s="2003">
        <f t="shared" si="150"/>
        <v>0</v>
      </c>
      <c r="CC134" s="1989"/>
      <c r="CD134" s="1989"/>
      <c r="CE134" s="2002">
        <f t="shared" si="151"/>
        <v>0</v>
      </c>
      <c r="CF134" s="1999">
        <f t="shared" si="300"/>
        <v>0</v>
      </c>
      <c r="CG134" s="2000"/>
      <c r="CH134" s="2003">
        <f t="shared" si="152"/>
        <v>0</v>
      </c>
      <c r="CI134" s="1998"/>
      <c r="CJ134" s="2003">
        <f t="shared" si="153"/>
        <v>0</v>
      </c>
      <c r="CK134" s="1998"/>
      <c r="CL134" s="2003">
        <f t="shared" si="154"/>
        <v>0</v>
      </c>
      <c r="CM134" s="1989"/>
      <c r="CN134" s="1989"/>
      <c r="CO134" s="2002">
        <f t="shared" si="155"/>
        <v>0</v>
      </c>
      <c r="CP134" s="1999">
        <f t="shared" si="301"/>
        <v>0</v>
      </c>
      <c r="CQ134" s="2000"/>
      <c r="CR134" s="2003">
        <f t="shared" si="156"/>
        <v>0</v>
      </c>
      <c r="CS134" s="1998"/>
      <c r="CT134" s="2003">
        <f t="shared" si="157"/>
        <v>0</v>
      </c>
      <c r="CU134" s="1998"/>
      <c r="CV134" s="2003">
        <f t="shared" si="158"/>
        <v>0</v>
      </c>
      <c r="CW134" s="1989"/>
      <c r="CX134" s="1989"/>
      <c r="CY134" s="2002">
        <f t="shared" si="159"/>
        <v>0</v>
      </c>
      <c r="CZ134" s="1999">
        <f t="shared" si="302"/>
        <v>0</v>
      </c>
      <c r="DA134" s="2000"/>
      <c r="DB134" s="2003">
        <f t="shared" si="160"/>
        <v>0</v>
      </c>
      <c r="DC134" s="1998"/>
      <c r="DD134" s="2003">
        <f t="shared" si="161"/>
        <v>0</v>
      </c>
      <c r="DE134" s="1998"/>
      <c r="DF134" s="2003">
        <f t="shared" si="162"/>
        <v>0</v>
      </c>
      <c r="DG134" s="1989"/>
      <c r="DH134" s="1989"/>
      <c r="DI134" s="2002">
        <f t="shared" si="163"/>
        <v>0</v>
      </c>
      <c r="DJ134" s="1999">
        <f t="shared" si="303"/>
        <v>0</v>
      </c>
      <c r="DK134" s="2000"/>
      <c r="DL134" s="2003">
        <f t="shared" si="164"/>
        <v>0</v>
      </c>
      <c r="DM134" s="1998"/>
      <c r="DN134" s="2003">
        <f t="shared" si="165"/>
        <v>0</v>
      </c>
      <c r="DO134" s="1998"/>
      <c r="DP134" s="2003">
        <f t="shared" si="166"/>
        <v>0</v>
      </c>
      <c r="DQ134" s="1989"/>
      <c r="DR134" s="1989"/>
      <c r="DS134" s="2002">
        <f t="shared" si="167"/>
        <v>0</v>
      </c>
      <c r="DT134" s="2004">
        <f>DM134+DO134+DQ134+DR134</f>
        <v>0</v>
      </c>
      <c r="DU134" s="2020"/>
      <c r="DV134" s="2003">
        <f t="shared" si="168"/>
        <v>0</v>
      </c>
      <c r="DW134" s="1998"/>
      <c r="DX134" s="2003">
        <f t="shared" si="169"/>
        <v>0</v>
      </c>
      <c r="DY134" s="1998"/>
      <c r="DZ134" s="2003">
        <f t="shared" si="170"/>
        <v>0</v>
      </c>
      <c r="EA134" s="1989"/>
      <c r="EB134" s="1989"/>
      <c r="EC134" s="2002">
        <f t="shared" si="171"/>
        <v>0</v>
      </c>
      <c r="ED134" s="1998">
        <f t="shared" si="304"/>
        <v>0</v>
      </c>
      <c r="EE134" s="2005">
        <f>O134+Y134+AI134+AS134+BC134+BM134+BW134+CG134+CQ134+DA134+DK134+DU134</f>
        <v>0</v>
      </c>
      <c r="EF134" s="2003">
        <f t="shared" si="172"/>
        <v>0</v>
      </c>
      <c r="EG134" s="1989">
        <f>Q134+AA134+AK134+AU134+BE134+BO134+BY134+CI134+CS134+DC134+DM134+DW134</f>
        <v>0</v>
      </c>
      <c r="EH134" s="2003">
        <f t="shared" si="173"/>
        <v>0</v>
      </c>
      <c r="EI134" s="1989">
        <f>S134+AC134+AM134+AW134+BG134+BQ134+CA134+CK134+CU134+DE134+DO134+DY134</f>
        <v>0</v>
      </c>
      <c r="EJ134" s="2003">
        <f t="shared" si="174"/>
        <v>0</v>
      </c>
      <c r="EK134" s="1989">
        <f t="shared" si="306"/>
        <v>0</v>
      </c>
      <c r="EL134" s="1989">
        <f t="shared" si="306"/>
        <v>0</v>
      </c>
      <c r="EM134" s="2006">
        <f t="shared" si="175"/>
        <v>0</v>
      </c>
      <c r="EN134" s="1999">
        <f>EG134+EI134+EK134+EL134</f>
        <v>0</v>
      </c>
      <c r="EP134" s="1613" t="e">
        <f>EA134-#REF!/10^7</f>
        <v>#REF!</v>
      </c>
      <c r="EW134" s="1611" t="e">
        <v>#N/A</v>
      </c>
      <c r="EX134" s="1612" t="e">
        <v>#N/A</v>
      </c>
      <c r="EZ134" s="1650">
        <f t="shared" si="176"/>
        <v>0</v>
      </c>
    </row>
    <row r="135" spans="1:156" ht="21" customHeight="1">
      <c r="A135" s="1637">
        <v>5</v>
      </c>
      <c r="B135" s="1644"/>
      <c r="C135" s="1662"/>
      <c r="D135" s="1648"/>
      <c r="E135" s="1648"/>
      <c r="F135" s="1648"/>
      <c r="G135" s="1648"/>
      <c r="H135" s="1648"/>
      <c r="I135" s="1641"/>
      <c r="J135" s="1649"/>
      <c r="K135" s="1641"/>
      <c r="L135" s="1648"/>
      <c r="M135" s="1648"/>
      <c r="N135" s="1671"/>
      <c r="O135" s="2000"/>
      <c r="P135" s="2003">
        <f t="shared" si="124"/>
        <v>0</v>
      </c>
      <c r="Q135" s="1998"/>
      <c r="R135" s="2003">
        <f t="shared" si="125"/>
        <v>0</v>
      </c>
      <c r="S135" s="1998"/>
      <c r="T135" s="2003">
        <f t="shared" si="126"/>
        <v>0</v>
      </c>
      <c r="U135" s="1989"/>
      <c r="V135" s="1989"/>
      <c r="W135" s="1989">
        <f t="shared" si="127"/>
        <v>0</v>
      </c>
      <c r="X135" s="1999">
        <f t="shared" si="295"/>
        <v>0</v>
      </c>
      <c r="Y135" s="2000"/>
      <c r="Z135" s="2003">
        <f t="shared" si="128"/>
        <v>0</v>
      </c>
      <c r="AA135" s="1998"/>
      <c r="AB135" s="2003">
        <f t="shared" si="129"/>
        <v>0</v>
      </c>
      <c r="AC135" s="1998"/>
      <c r="AD135" s="2003">
        <f t="shared" si="130"/>
        <v>0</v>
      </c>
      <c r="AE135" s="1989"/>
      <c r="AF135" s="1989"/>
      <c r="AG135" s="2002">
        <f t="shared" si="131"/>
        <v>0</v>
      </c>
      <c r="AH135" s="1999">
        <f t="shared" si="294"/>
        <v>0</v>
      </c>
      <c r="AI135" s="2000"/>
      <c r="AJ135" s="2003">
        <f t="shared" si="132"/>
        <v>0</v>
      </c>
      <c r="AK135" s="1998"/>
      <c r="AL135" s="2003">
        <f t="shared" si="133"/>
        <v>0</v>
      </c>
      <c r="AM135" s="1998"/>
      <c r="AN135" s="2003">
        <f t="shared" si="134"/>
        <v>0</v>
      </c>
      <c r="AO135" s="1989"/>
      <c r="AP135" s="1989"/>
      <c r="AQ135" s="2002">
        <f t="shared" si="135"/>
        <v>0</v>
      </c>
      <c r="AR135" s="1999">
        <f t="shared" si="296"/>
        <v>0</v>
      </c>
      <c r="AS135" s="2000"/>
      <c r="AT135" s="2003">
        <f t="shared" si="136"/>
        <v>0</v>
      </c>
      <c r="AU135" s="1998"/>
      <c r="AV135" s="2003">
        <f t="shared" si="137"/>
        <v>0</v>
      </c>
      <c r="AW135" s="1998"/>
      <c r="AX135" s="2003">
        <f t="shared" si="138"/>
        <v>0</v>
      </c>
      <c r="AY135" s="1989"/>
      <c r="AZ135" s="1989"/>
      <c r="BA135" s="2002">
        <f t="shared" si="139"/>
        <v>0</v>
      </c>
      <c r="BB135" s="1999">
        <f t="shared" si="297"/>
        <v>0</v>
      </c>
      <c r="BC135" s="2000"/>
      <c r="BD135" s="2003">
        <f t="shared" si="140"/>
        <v>0</v>
      </c>
      <c r="BE135" s="1998"/>
      <c r="BF135" s="2003">
        <f t="shared" si="141"/>
        <v>0</v>
      </c>
      <c r="BG135" s="1998"/>
      <c r="BH135" s="2003">
        <f t="shared" si="142"/>
        <v>0</v>
      </c>
      <c r="BI135" s="1989"/>
      <c r="BJ135" s="1989"/>
      <c r="BK135" s="2002">
        <f t="shared" si="143"/>
        <v>0</v>
      </c>
      <c r="BL135" s="1999">
        <f t="shared" si="298"/>
        <v>0</v>
      </c>
      <c r="BM135" s="2000"/>
      <c r="BN135" s="2003">
        <f t="shared" si="144"/>
        <v>0</v>
      </c>
      <c r="BO135" s="1998"/>
      <c r="BP135" s="2003">
        <f t="shared" si="145"/>
        <v>0</v>
      </c>
      <c r="BQ135" s="1998"/>
      <c r="BR135" s="2003">
        <f t="shared" si="146"/>
        <v>0</v>
      </c>
      <c r="BS135" s="1989"/>
      <c r="BT135" s="1989"/>
      <c r="BU135" s="2002">
        <f t="shared" si="147"/>
        <v>0</v>
      </c>
      <c r="BV135" s="1999">
        <f t="shared" si="299"/>
        <v>0</v>
      </c>
      <c r="BW135" s="2000"/>
      <c r="BX135" s="2003">
        <f t="shared" si="148"/>
        <v>0</v>
      </c>
      <c r="BY135" s="1998"/>
      <c r="BZ135" s="2003">
        <f t="shared" si="149"/>
        <v>0</v>
      </c>
      <c r="CA135" s="1998"/>
      <c r="CB135" s="2003">
        <f t="shared" si="150"/>
        <v>0</v>
      </c>
      <c r="CC135" s="1989"/>
      <c r="CD135" s="1989"/>
      <c r="CE135" s="2002">
        <f t="shared" si="151"/>
        <v>0</v>
      </c>
      <c r="CF135" s="1999">
        <f t="shared" si="300"/>
        <v>0</v>
      </c>
      <c r="CG135" s="2000"/>
      <c r="CH135" s="2003">
        <f t="shared" si="152"/>
        <v>0</v>
      </c>
      <c r="CI135" s="1998"/>
      <c r="CJ135" s="2003">
        <f t="shared" si="153"/>
        <v>0</v>
      </c>
      <c r="CK135" s="1998"/>
      <c r="CL135" s="2003">
        <f t="shared" si="154"/>
        <v>0</v>
      </c>
      <c r="CM135" s="1989"/>
      <c r="CN135" s="1989"/>
      <c r="CO135" s="2002">
        <f t="shared" si="155"/>
        <v>0</v>
      </c>
      <c r="CP135" s="1999">
        <f t="shared" si="301"/>
        <v>0</v>
      </c>
      <c r="CQ135" s="2000"/>
      <c r="CR135" s="2003">
        <f t="shared" si="156"/>
        <v>0</v>
      </c>
      <c r="CS135" s="1998"/>
      <c r="CT135" s="2003">
        <f t="shared" si="157"/>
        <v>0</v>
      </c>
      <c r="CU135" s="1998"/>
      <c r="CV135" s="2003">
        <f t="shared" si="158"/>
        <v>0</v>
      </c>
      <c r="CW135" s="1989"/>
      <c r="CX135" s="1989"/>
      <c r="CY135" s="2002">
        <f t="shared" si="159"/>
        <v>0</v>
      </c>
      <c r="CZ135" s="1999">
        <f t="shared" si="302"/>
        <v>0</v>
      </c>
      <c r="DA135" s="2000"/>
      <c r="DB135" s="2003">
        <f t="shared" si="160"/>
        <v>0</v>
      </c>
      <c r="DC135" s="1998"/>
      <c r="DD135" s="2003">
        <f t="shared" si="161"/>
        <v>0</v>
      </c>
      <c r="DE135" s="1998"/>
      <c r="DF135" s="2003">
        <f t="shared" si="162"/>
        <v>0</v>
      </c>
      <c r="DG135" s="1989"/>
      <c r="DH135" s="1989"/>
      <c r="DI135" s="2002">
        <f t="shared" si="163"/>
        <v>0</v>
      </c>
      <c r="DJ135" s="1999">
        <f t="shared" si="303"/>
        <v>0</v>
      </c>
      <c r="DK135" s="2000"/>
      <c r="DL135" s="2003">
        <f t="shared" si="164"/>
        <v>0</v>
      </c>
      <c r="DM135" s="1998"/>
      <c r="DN135" s="2003">
        <f t="shared" si="165"/>
        <v>0</v>
      </c>
      <c r="DO135" s="1998"/>
      <c r="DP135" s="2003">
        <f t="shared" si="166"/>
        <v>0</v>
      </c>
      <c r="DQ135" s="1989"/>
      <c r="DR135" s="1989"/>
      <c r="DS135" s="2002">
        <f t="shared" si="167"/>
        <v>0</v>
      </c>
      <c r="DT135" s="2004">
        <f>DM135+DO135+DQ135+DR135</f>
        <v>0</v>
      </c>
      <c r="DU135" s="2020"/>
      <c r="DV135" s="2003">
        <f t="shared" si="168"/>
        <v>0</v>
      </c>
      <c r="DW135" s="1998"/>
      <c r="DX135" s="2003">
        <f t="shared" si="169"/>
        <v>0</v>
      </c>
      <c r="DY135" s="1998"/>
      <c r="DZ135" s="2003">
        <f t="shared" si="170"/>
        <v>0</v>
      </c>
      <c r="EA135" s="1989"/>
      <c r="EB135" s="1989"/>
      <c r="EC135" s="2002">
        <f t="shared" si="171"/>
        <v>0</v>
      </c>
      <c r="ED135" s="1998">
        <f t="shared" si="304"/>
        <v>0</v>
      </c>
      <c r="EE135" s="2005">
        <f>O135+Y135+AI135+AS135+BC135+BM135+BW135+CG135+CQ135+DA135+DK135+DU135</f>
        <v>0</v>
      </c>
      <c r="EF135" s="2003">
        <f t="shared" si="172"/>
        <v>0</v>
      </c>
      <c r="EG135" s="1989">
        <f>Q135+AA135+AK135+AU135+BE135+BO135+BY135+CI135+CS135+DC135+DM135+DW135</f>
        <v>0</v>
      </c>
      <c r="EH135" s="2003">
        <f t="shared" si="173"/>
        <v>0</v>
      </c>
      <c r="EI135" s="1989">
        <f>S135+AC135+AM135+AW135+BG135+BQ135+CA135+CK135+CU135+DE135+DO135+DY135</f>
        <v>0</v>
      </c>
      <c r="EJ135" s="2003">
        <f t="shared" si="174"/>
        <v>0</v>
      </c>
      <c r="EK135" s="1989">
        <f t="shared" si="306"/>
        <v>0</v>
      </c>
      <c r="EL135" s="1989">
        <f t="shared" si="306"/>
        <v>0</v>
      </c>
      <c r="EM135" s="2006">
        <f t="shared" si="175"/>
        <v>0</v>
      </c>
      <c r="EN135" s="1999">
        <f>EG135+EI135+EK135+EL135</f>
        <v>0</v>
      </c>
      <c r="EP135" s="1613" t="e">
        <f>EA135-#REF!/10^7</f>
        <v>#REF!</v>
      </c>
      <c r="EW135" s="1611" t="e">
        <v>#N/A</v>
      </c>
      <c r="EX135" s="1612" t="e">
        <v>#N/A</v>
      </c>
      <c r="EZ135" s="1650">
        <f t="shared" si="176"/>
        <v>0</v>
      </c>
    </row>
    <row r="136" spans="1:156" s="1660" customFormat="1" ht="21" customHeight="1">
      <c r="A136" s="2021"/>
      <c r="B136" s="1654" t="s">
        <v>211</v>
      </c>
      <c r="C136" s="1655"/>
      <c r="D136" s="1656"/>
      <c r="E136" s="1656"/>
      <c r="F136" s="1656"/>
      <c r="G136" s="1656"/>
      <c r="H136" s="1656"/>
      <c r="I136" s="1656"/>
      <c r="J136" s="1657"/>
      <c r="K136" s="1656"/>
      <c r="L136" s="1656"/>
      <c r="M136" s="1656"/>
      <c r="N136" s="1658"/>
      <c r="O136" s="2007" t="e">
        <f>SUM(O131:O135)</f>
        <v>#REF!</v>
      </c>
      <c r="P136" s="2003">
        <f t="shared" si="124"/>
        <v>0</v>
      </c>
      <c r="Q136" s="1826" t="e">
        <f>SUM(Q131:Q135)</f>
        <v>#REF!</v>
      </c>
      <c r="R136" s="2003">
        <f t="shared" si="125"/>
        <v>0</v>
      </c>
      <c r="S136" s="1826" t="e">
        <f>SUM(S131:S135)</f>
        <v>#REF!</v>
      </c>
      <c r="T136" s="2003">
        <f t="shared" si="126"/>
        <v>0</v>
      </c>
      <c r="U136" s="1826" t="e">
        <f>SUM(U131:U135)</f>
        <v>#REF!</v>
      </c>
      <c r="V136" s="1826"/>
      <c r="W136" s="1989">
        <f t="shared" si="127"/>
        <v>0</v>
      </c>
      <c r="X136" s="2008" t="e">
        <f>X131+X132+X133+X134+X135</f>
        <v>#REF!</v>
      </c>
      <c r="Y136" s="2007" t="e">
        <f>SUM(Y131:Y135)</f>
        <v>#REF!</v>
      </c>
      <c r="Z136" s="2003">
        <f t="shared" si="128"/>
        <v>0</v>
      </c>
      <c r="AA136" s="1826" t="e">
        <f>SUM(AA131:AA135)</f>
        <v>#REF!</v>
      </c>
      <c r="AB136" s="2003">
        <f t="shared" si="129"/>
        <v>0</v>
      </c>
      <c r="AC136" s="1826" t="e">
        <f>SUM(AC131:AC135)</f>
        <v>#REF!</v>
      </c>
      <c r="AD136" s="2003">
        <f t="shared" si="130"/>
        <v>0</v>
      </c>
      <c r="AE136" s="1826" t="e">
        <f>SUM(AE131:AE135)</f>
        <v>#REF!</v>
      </c>
      <c r="AF136" s="1826" t="e">
        <f>SUM(AF131:AF135)</f>
        <v>#REF!</v>
      </c>
      <c r="AG136" s="2002" t="e">
        <f t="shared" si="131"/>
        <v>#REF!</v>
      </c>
      <c r="AH136" s="2008" t="e">
        <f t="shared" ref="AH136:AP136" si="307">SUM(AH131:AH135)</f>
        <v>#REF!</v>
      </c>
      <c r="AI136" s="2007" t="e">
        <f t="shared" si="307"/>
        <v>#REF!</v>
      </c>
      <c r="AJ136" s="2003">
        <f t="shared" si="132"/>
        <v>0</v>
      </c>
      <c r="AK136" s="1826" t="e">
        <f t="shared" si="307"/>
        <v>#REF!</v>
      </c>
      <c r="AL136" s="2003">
        <f t="shared" si="133"/>
        <v>0</v>
      </c>
      <c r="AM136" s="1826" t="e">
        <f t="shared" si="307"/>
        <v>#REF!</v>
      </c>
      <c r="AN136" s="2003">
        <f t="shared" si="134"/>
        <v>0</v>
      </c>
      <c r="AO136" s="1826" t="e">
        <f t="shared" si="307"/>
        <v>#REF!</v>
      </c>
      <c r="AP136" s="1826" t="e">
        <f t="shared" si="307"/>
        <v>#REF!</v>
      </c>
      <c r="AQ136" s="2002" t="e">
        <f t="shared" si="135"/>
        <v>#REF!</v>
      </c>
      <c r="AR136" s="2008" t="e">
        <f t="shared" ref="AR136:AZ136" si="308">SUM(AR131:AR135)</f>
        <v>#REF!</v>
      </c>
      <c r="AS136" s="2007" t="e">
        <f t="shared" si="308"/>
        <v>#REF!</v>
      </c>
      <c r="AT136" s="2003">
        <f t="shared" si="136"/>
        <v>0</v>
      </c>
      <c r="AU136" s="1826" t="e">
        <f t="shared" si="308"/>
        <v>#REF!</v>
      </c>
      <c r="AV136" s="2003">
        <f t="shared" si="137"/>
        <v>0</v>
      </c>
      <c r="AW136" s="1826" t="e">
        <f t="shared" si="308"/>
        <v>#REF!</v>
      </c>
      <c r="AX136" s="2003">
        <f t="shared" si="138"/>
        <v>0</v>
      </c>
      <c r="AY136" s="1826" t="e">
        <f t="shared" si="308"/>
        <v>#REF!</v>
      </c>
      <c r="AZ136" s="1826" t="e">
        <f t="shared" si="308"/>
        <v>#REF!</v>
      </c>
      <c r="BA136" s="2002" t="e">
        <f t="shared" si="139"/>
        <v>#REF!</v>
      </c>
      <c r="BB136" s="2008" t="e">
        <f>SUM(BB131:BB135)</f>
        <v>#REF!</v>
      </c>
      <c r="BC136" s="2007" t="e">
        <f>BC131+BC132+BC133+BC134+BC135</f>
        <v>#REF!</v>
      </c>
      <c r="BD136" s="2003">
        <f t="shared" si="140"/>
        <v>0</v>
      </c>
      <c r="BE136" s="1826" t="e">
        <f>BE131+BE132+BE133+BE134+BE135</f>
        <v>#REF!</v>
      </c>
      <c r="BF136" s="2003">
        <f t="shared" si="141"/>
        <v>0</v>
      </c>
      <c r="BG136" s="1826" t="e">
        <f>BG131+BG132+BG133+BG134+BG135</f>
        <v>#REF!</v>
      </c>
      <c r="BH136" s="2003">
        <f t="shared" si="142"/>
        <v>0</v>
      </c>
      <c r="BI136" s="1826" t="e">
        <f>BI131+BI132+BI133+BI134+BI135</f>
        <v>#REF!</v>
      </c>
      <c r="BJ136" s="1826" t="e">
        <f>BJ131+BJ132+BJ133+BJ134+BJ135</f>
        <v>#REF!</v>
      </c>
      <c r="BK136" s="2002" t="e">
        <f t="shared" si="143"/>
        <v>#REF!</v>
      </c>
      <c r="BL136" s="2008" t="e">
        <f t="shared" ref="BL136:BT136" si="309">BL131+BL132+BL133+BL134+BL135</f>
        <v>#REF!</v>
      </c>
      <c r="BM136" s="2007" t="e">
        <f t="shared" si="309"/>
        <v>#REF!</v>
      </c>
      <c r="BN136" s="2003">
        <f t="shared" si="144"/>
        <v>0</v>
      </c>
      <c r="BO136" s="1826" t="e">
        <f t="shared" si="309"/>
        <v>#REF!</v>
      </c>
      <c r="BP136" s="2003">
        <f t="shared" si="145"/>
        <v>0</v>
      </c>
      <c r="BQ136" s="1826" t="e">
        <f t="shared" si="309"/>
        <v>#REF!</v>
      </c>
      <c r="BR136" s="2003">
        <f t="shared" si="146"/>
        <v>0</v>
      </c>
      <c r="BS136" s="1826" t="e">
        <f t="shared" si="309"/>
        <v>#REF!</v>
      </c>
      <c r="BT136" s="1826" t="e">
        <f t="shared" si="309"/>
        <v>#REF!</v>
      </c>
      <c r="BU136" s="2002" t="e">
        <f t="shared" si="147"/>
        <v>#REF!</v>
      </c>
      <c r="BV136" s="2008" t="e">
        <f t="shared" ref="BV136:CD136" si="310">BV131+BV132+BV133+BV134+BV135</f>
        <v>#REF!</v>
      </c>
      <c r="BW136" s="2007" t="e">
        <f t="shared" si="310"/>
        <v>#REF!</v>
      </c>
      <c r="BX136" s="2003">
        <f t="shared" si="148"/>
        <v>0</v>
      </c>
      <c r="BY136" s="1826" t="e">
        <f t="shared" si="310"/>
        <v>#REF!</v>
      </c>
      <c r="BZ136" s="2003">
        <f t="shared" si="149"/>
        <v>0</v>
      </c>
      <c r="CA136" s="1826" t="e">
        <f t="shared" si="310"/>
        <v>#REF!</v>
      </c>
      <c r="CB136" s="2003">
        <f t="shared" si="150"/>
        <v>0</v>
      </c>
      <c r="CC136" s="1826" t="e">
        <f t="shared" si="310"/>
        <v>#REF!</v>
      </c>
      <c r="CD136" s="1826" t="e">
        <f t="shared" si="310"/>
        <v>#REF!</v>
      </c>
      <c r="CE136" s="2002" t="e">
        <f t="shared" si="151"/>
        <v>#REF!</v>
      </c>
      <c r="CF136" s="2008" t="e">
        <f t="shared" ref="CF136:CN136" si="311">CF131+CF132+CF133+CF134+CF135</f>
        <v>#REF!</v>
      </c>
      <c r="CG136" s="2007" t="e">
        <f t="shared" si="311"/>
        <v>#REF!</v>
      </c>
      <c r="CH136" s="2003">
        <f t="shared" si="152"/>
        <v>0</v>
      </c>
      <c r="CI136" s="1826" t="e">
        <f>CI131+CI132+CI133+CI134+CI135</f>
        <v>#REF!</v>
      </c>
      <c r="CJ136" s="2003">
        <f t="shared" si="153"/>
        <v>0</v>
      </c>
      <c r="CK136" s="1826" t="e">
        <f>CK131+CK132+CK133+CK134+CK135</f>
        <v>#REF!</v>
      </c>
      <c r="CL136" s="2003">
        <f t="shared" si="154"/>
        <v>0</v>
      </c>
      <c r="CM136" s="1826" t="e">
        <f t="shared" si="311"/>
        <v>#REF!</v>
      </c>
      <c r="CN136" s="1826" t="e">
        <f t="shared" si="311"/>
        <v>#REF!</v>
      </c>
      <c r="CO136" s="2002" t="e">
        <f t="shared" si="155"/>
        <v>#REF!</v>
      </c>
      <c r="CP136" s="2008" t="e">
        <f t="shared" ref="CP136:CX136" si="312">CP131+CP132+CP133+CP134+CP135</f>
        <v>#REF!</v>
      </c>
      <c r="CQ136" s="2007" t="e">
        <f t="shared" si="312"/>
        <v>#REF!</v>
      </c>
      <c r="CR136" s="2003">
        <f t="shared" si="156"/>
        <v>0</v>
      </c>
      <c r="CS136" s="1826" t="e">
        <f>CS131+CS132+CS133+CS134+CS135</f>
        <v>#REF!</v>
      </c>
      <c r="CT136" s="2003">
        <f t="shared" si="157"/>
        <v>0</v>
      </c>
      <c r="CU136" s="1826" t="e">
        <f t="shared" si="312"/>
        <v>#REF!</v>
      </c>
      <c r="CV136" s="2003">
        <f t="shared" si="158"/>
        <v>0</v>
      </c>
      <c r="CW136" s="1826" t="e">
        <f t="shared" si="312"/>
        <v>#REF!</v>
      </c>
      <c r="CX136" s="1826" t="e">
        <f t="shared" si="312"/>
        <v>#REF!</v>
      </c>
      <c r="CY136" s="2002" t="e">
        <f t="shared" si="159"/>
        <v>#REF!</v>
      </c>
      <c r="CZ136" s="2008" t="e">
        <f t="shared" ref="CZ136:DH136" si="313">CZ131+CZ132+CZ133+CZ134+CZ135</f>
        <v>#REF!</v>
      </c>
      <c r="DA136" s="2007" t="e">
        <f t="shared" si="313"/>
        <v>#REF!</v>
      </c>
      <c r="DB136" s="2003">
        <f t="shared" si="160"/>
        <v>0</v>
      </c>
      <c r="DC136" s="1826" t="e">
        <f>DC131+DC132+DC133+DC134+DC135</f>
        <v>#REF!</v>
      </c>
      <c r="DD136" s="2003">
        <f t="shared" si="161"/>
        <v>0</v>
      </c>
      <c r="DE136" s="1826" t="e">
        <f>DE131+DE132+DE133+DE134+DE135</f>
        <v>#REF!</v>
      </c>
      <c r="DF136" s="2003">
        <f t="shared" si="162"/>
        <v>0</v>
      </c>
      <c r="DG136" s="1826" t="e">
        <f t="shared" si="313"/>
        <v>#REF!</v>
      </c>
      <c r="DH136" s="1826" t="e">
        <f t="shared" si="313"/>
        <v>#REF!</v>
      </c>
      <c r="DI136" s="2002" t="e">
        <f t="shared" si="163"/>
        <v>#REF!</v>
      </c>
      <c r="DJ136" s="2008" t="e">
        <f>DJ131+DJ132+DJ133+DJ134+DJ135</f>
        <v>#REF!</v>
      </c>
      <c r="DK136" s="2007" t="e">
        <f>DK131+DK132+DK133+DK134+DK135</f>
        <v>#REF!</v>
      </c>
      <c r="DL136" s="2003">
        <f t="shared" si="164"/>
        <v>0</v>
      </c>
      <c r="DM136" s="1826" t="e">
        <f>DM131+DM132+DM133+DM134+DM135</f>
        <v>#REF!</v>
      </c>
      <c r="DN136" s="2003">
        <f t="shared" si="165"/>
        <v>0</v>
      </c>
      <c r="DO136" s="1826" t="e">
        <f>DO131+DO132+DO133+DO134+DO135</f>
        <v>#REF!</v>
      </c>
      <c r="DP136" s="2003">
        <f t="shared" si="166"/>
        <v>0</v>
      </c>
      <c r="DQ136" s="1826" t="e">
        <f>DQ131+DQ132+DQ133+DQ134+DQ135</f>
        <v>#REF!</v>
      </c>
      <c r="DR136" s="1826" t="e">
        <f>DR131+DR132+DR133+DR134+DR135</f>
        <v>#REF!</v>
      </c>
      <c r="DS136" s="2002" t="e">
        <f t="shared" si="167"/>
        <v>#REF!</v>
      </c>
      <c r="DT136" s="2009" t="e">
        <f>DT131+DT132+DT133+DT134+DT135</f>
        <v>#REF!</v>
      </c>
      <c r="DU136" s="2010" t="e">
        <f>SUM(DU131:DU135)</f>
        <v>#REF!</v>
      </c>
      <c r="DV136" s="2003">
        <f t="shared" si="168"/>
        <v>0</v>
      </c>
      <c r="DW136" s="1826" t="e">
        <f>SUM(DW131:DW135)</f>
        <v>#REF!</v>
      </c>
      <c r="DX136" s="2003">
        <f t="shared" si="169"/>
        <v>0</v>
      </c>
      <c r="DY136" s="1826" t="e">
        <f>SUM(DY131:DY135)</f>
        <v>#REF!</v>
      </c>
      <c r="DZ136" s="2003">
        <f t="shared" si="170"/>
        <v>0</v>
      </c>
      <c r="EA136" s="1826" t="e">
        <f>SUM(EA131:EA135)</f>
        <v>#REF!</v>
      </c>
      <c r="EB136" s="1826" t="e">
        <f>SUM(EB131:EB135)</f>
        <v>#REF!</v>
      </c>
      <c r="EC136" s="2002" t="e">
        <f t="shared" si="171"/>
        <v>#REF!</v>
      </c>
      <c r="ED136" s="1826" t="e">
        <f>ED131+ED132+ED133+ED134+ED135</f>
        <v>#REF!</v>
      </c>
      <c r="EE136" s="2011" t="e">
        <f>SUM(EE131:EE135)</f>
        <v>#REF!</v>
      </c>
      <c r="EF136" s="2003">
        <f t="shared" si="172"/>
        <v>0</v>
      </c>
      <c r="EG136" s="1826" t="e">
        <f>SUM(EG131:EG135)</f>
        <v>#REF!</v>
      </c>
      <c r="EH136" s="2003">
        <f t="shared" si="173"/>
        <v>0</v>
      </c>
      <c r="EI136" s="1826" t="e">
        <f>SUM(EI131:EI135)</f>
        <v>#REF!</v>
      </c>
      <c r="EJ136" s="2003">
        <f t="shared" si="174"/>
        <v>0</v>
      </c>
      <c r="EK136" s="1826" t="e">
        <f>SUM(EK131:EK135)</f>
        <v>#REF!</v>
      </c>
      <c r="EL136" s="1826" t="e">
        <f>SUM(EL131:EL135)</f>
        <v>#REF!</v>
      </c>
      <c r="EM136" s="2006" t="e">
        <f t="shared" si="175"/>
        <v>#REF!</v>
      </c>
      <c r="EN136" s="2008" t="e">
        <f>SUM(EN131:EN135)</f>
        <v>#REF!</v>
      </c>
      <c r="EO136" s="1659"/>
      <c r="EP136" s="1613" t="e">
        <f>EA136-#REF!/10^7</f>
        <v>#REF!</v>
      </c>
      <c r="EQ136" s="1661"/>
      <c r="EW136" s="1611" t="e">
        <v>#N/A</v>
      </c>
      <c r="EX136" s="1612">
        <v>0</v>
      </c>
      <c r="EZ136" s="1650">
        <f t="shared" si="176"/>
        <v>0</v>
      </c>
    </row>
    <row r="137" spans="1:156" ht="21" customHeight="1">
      <c r="A137" s="1652"/>
      <c r="B137" s="1644"/>
      <c r="C137" s="1662"/>
      <c r="D137" s="1648"/>
      <c r="E137" s="1648"/>
      <c r="F137" s="1648"/>
      <c r="G137" s="1648"/>
      <c r="H137" s="1648"/>
      <c r="I137" s="1648"/>
      <c r="J137" s="1663"/>
      <c r="K137" s="1648"/>
      <c r="L137" s="1648"/>
      <c r="M137" s="1648"/>
      <c r="N137" s="1642"/>
      <c r="O137" s="2000"/>
      <c r="P137" s="2003">
        <f t="shared" si="124"/>
        <v>0</v>
      </c>
      <c r="Q137" s="1989"/>
      <c r="R137" s="2003">
        <f t="shared" si="125"/>
        <v>0</v>
      </c>
      <c r="S137" s="1989"/>
      <c r="T137" s="2003">
        <f t="shared" si="126"/>
        <v>0</v>
      </c>
      <c r="U137" s="1989"/>
      <c r="V137" s="1989"/>
      <c r="W137" s="1989">
        <f t="shared" si="127"/>
        <v>0</v>
      </c>
      <c r="X137" s="1999">
        <f>Q137+S137+U137+V137</f>
        <v>0</v>
      </c>
      <c r="Y137" s="1993"/>
      <c r="Z137" s="2003">
        <f t="shared" si="128"/>
        <v>0</v>
      </c>
      <c r="AA137" s="1989"/>
      <c r="AB137" s="2003">
        <f t="shared" si="129"/>
        <v>0</v>
      </c>
      <c r="AC137" s="1989"/>
      <c r="AD137" s="2003">
        <f t="shared" si="130"/>
        <v>0</v>
      </c>
      <c r="AE137" s="1989"/>
      <c r="AF137" s="1989"/>
      <c r="AG137" s="2002">
        <f t="shared" si="131"/>
        <v>0</v>
      </c>
      <c r="AH137" s="1999">
        <f t="shared" ref="AH137:AH143" si="314">AA137+AC137+AE137+AF137</f>
        <v>0</v>
      </c>
      <c r="AI137" s="1993"/>
      <c r="AJ137" s="2003">
        <f t="shared" si="132"/>
        <v>0</v>
      </c>
      <c r="AK137" s="1989"/>
      <c r="AL137" s="2003">
        <f t="shared" si="133"/>
        <v>0</v>
      </c>
      <c r="AM137" s="1989"/>
      <c r="AN137" s="2003">
        <f t="shared" si="134"/>
        <v>0</v>
      </c>
      <c r="AO137" s="1989"/>
      <c r="AP137" s="1989"/>
      <c r="AQ137" s="2002">
        <f t="shared" si="135"/>
        <v>0</v>
      </c>
      <c r="AR137" s="1999">
        <f t="shared" ref="AR137:AR143" si="315">AK137+AM137+AO137+AP137</f>
        <v>0</v>
      </c>
      <c r="AS137" s="1993"/>
      <c r="AT137" s="2003">
        <f t="shared" si="136"/>
        <v>0</v>
      </c>
      <c r="AU137" s="1989"/>
      <c r="AV137" s="2003">
        <f t="shared" si="137"/>
        <v>0</v>
      </c>
      <c r="AW137" s="1989"/>
      <c r="AX137" s="2003">
        <f t="shared" si="138"/>
        <v>0</v>
      </c>
      <c r="AY137" s="1989"/>
      <c r="AZ137" s="1989"/>
      <c r="BA137" s="2002">
        <f t="shared" si="139"/>
        <v>0</v>
      </c>
      <c r="BB137" s="1999">
        <f>AU137+AW137+AY137+AZ137</f>
        <v>0</v>
      </c>
      <c r="BC137" s="1993"/>
      <c r="BD137" s="2003">
        <f t="shared" si="140"/>
        <v>0</v>
      </c>
      <c r="BE137" s="1989"/>
      <c r="BF137" s="2003">
        <f t="shared" si="141"/>
        <v>0</v>
      </c>
      <c r="BG137" s="1989"/>
      <c r="BH137" s="2003">
        <f t="shared" si="142"/>
        <v>0</v>
      </c>
      <c r="BI137" s="1989"/>
      <c r="BJ137" s="1989"/>
      <c r="BK137" s="2002">
        <f t="shared" si="143"/>
        <v>0</v>
      </c>
      <c r="BL137" s="1999">
        <f>BE137+BG137+BI137+BJ137</f>
        <v>0</v>
      </c>
      <c r="BM137" s="1993"/>
      <c r="BN137" s="2003">
        <f t="shared" si="144"/>
        <v>0</v>
      </c>
      <c r="BO137" s="1989"/>
      <c r="BP137" s="2003">
        <f t="shared" si="145"/>
        <v>0</v>
      </c>
      <c r="BQ137" s="1989"/>
      <c r="BR137" s="2003">
        <f t="shared" si="146"/>
        <v>0</v>
      </c>
      <c r="BS137" s="1989"/>
      <c r="BT137" s="1989"/>
      <c r="BU137" s="2002">
        <f t="shared" si="147"/>
        <v>0</v>
      </c>
      <c r="BV137" s="1999">
        <f>BO137+BQ137+BS137+BT137</f>
        <v>0</v>
      </c>
      <c r="BW137" s="1993"/>
      <c r="BX137" s="2003">
        <f t="shared" si="148"/>
        <v>0</v>
      </c>
      <c r="BY137" s="1989"/>
      <c r="BZ137" s="2003">
        <f t="shared" si="149"/>
        <v>0</v>
      </c>
      <c r="CA137" s="1989"/>
      <c r="CB137" s="2003">
        <f t="shared" si="150"/>
        <v>0</v>
      </c>
      <c r="CC137" s="1989"/>
      <c r="CD137" s="1989"/>
      <c r="CE137" s="2002">
        <f t="shared" si="151"/>
        <v>0</v>
      </c>
      <c r="CF137" s="1999">
        <f>BY137+CA137+CC137+CD137</f>
        <v>0</v>
      </c>
      <c r="CG137" s="1993"/>
      <c r="CH137" s="2003">
        <f t="shared" si="152"/>
        <v>0</v>
      </c>
      <c r="CI137" s="1989"/>
      <c r="CJ137" s="2003">
        <f t="shared" si="153"/>
        <v>0</v>
      </c>
      <c r="CK137" s="1989"/>
      <c r="CL137" s="2003">
        <f t="shared" si="154"/>
        <v>0</v>
      </c>
      <c r="CM137" s="1989"/>
      <c r="CN137" s="1989"/>
      <c r="CO137" s="2002">
        <f t="shared" si="155"/>
        <v>0</v>
      </c>
      <c r="CP137" s="1999">
        <f>CI137+CK137+CM137+CN137</f>
        <v>0</v>
      </c>
      <c r="CQ137" s="1993"/>
      <c r="CR137" s="2003">
        <f t="shared" si="156"/>
        <v>0</v>
      </c>
      <c r="CS137" s="1989"/>
      <c r="CT137" s="2003">
        <f t="shared" si="157"/>
        <v>0</v>
      </c>
      <c r="CU137" s="1989"/>
      <c r="CV137" s="2003">
        <f t="shared" si="158"/>
        <v>0</v>
      </c>
      <c r="CW137" s="1989"/>
      <c r="CX137" s="1989"/>
      <c r="CY137" s="2002">
        <f t="shared" si="159"/>
        <v>0</v>
      </c>
      <c r="CZ137" s="1999">
        <f>CS137+CU137+CW137+CX137</f>
        <v>0</v>
      </c>
      <c r="DA137" s="1993"/>
      <c r="DB137" s="2003">
        <f t="shared" si="160"/>
        <v>0</v>
      </c>
      <c r="DC137" s="1989"/>
      <c r="DD137" s="2003">
        <f t="shared" si="161"/>
        <v>0</v>
      </c>
      <c r="DE137" s="1989"/>
      <c r="DF137" s="2003">
        <f t="shared" si="162"/>
        <v>0</v>
      </c>
      <c r="DG137" s="1989"/>
      <c r="DH137" s="1989"/>
      <c r="DI137" s="2002">
        <f t="shared" si="163"/>
        <v>0</v>
      </c>
      <c r="DJ137" s="1999">
        <f>DC137+DE137+DG137+DH137</f>
        <v>0</v>
      </c>
      <c r="DK137" s="1993"/>
      <c r="DL137" s="2003">
        <f t="shared" si="164"/>
        <v>0</v>
      </c>
      <c r="DM137" s="1989"/>
      <c r="DN137" s="2003">
        <f t="shared" si="165"/>
        <v>0</v>
      </c>
      <c r="DO137" s="1989"/>
      <c r="DP137" s="2003">
        <f t="shared" si="166"/>
        <v>0</v>
      </c>
      <c r="DQ137" s="1989"/>
      <c r="DR137" s="1989"/>
      <c r="DS137" s="2002">
        <f t="shared" si="167"/>
        <v>0</v>
      </c>
      <c r="DT137" s="2004">
        <f>DM137+DO137+DQ137+DR137</f>
        <v>0</v>
      </c>
      <c r="DU137" s="1988"/>
      <c r="DV137" s="2003">
        <f t="shared" si="168"/>
        <v>0</v>
      </c>
      <c r="DW137" s="1989"/>
      <c r="DX137" s="2003">
        <f t="shared" si="169"/>
        <v>0</v>
      </c>
      <c r="DY137" s="1989"/>
      <c r="DZ137" s="2003">
        <f t="shared" si="170"/>
        <v>0</v>
      </c>
      <c r="EA137" s="1989"/>
      <c r="EB137" s="1989"/>
      <c r="EC137" s="2002">
        <f t="shared" si="171"/>
        <v>0</v>
      </c>
      <c r="ED137" s="1998">
        <f>DW137+DY137+EA137+EB137</f>
        <v>0</v>
      </c>
      <c r="EE137" s="2005"/>
      <c r="EF137" s="2003">
        <f t="shared" si="172"/>
        <v>0</v>
      </c>
      <c r="EG137" s="1989"/>
      <c r="EH137" s="2003">
        <f t="shared" si="173"/>
        <v>0</v>
      </c>
      <c r="EI137" s="1989"/>
      <c r="EJ137" s="2003">
        <f t="shared" si="174"/>
        <v>0</v>
      </c>
      <c r="EK137" s="1989"/>
      <c r="EL137" s="1989"/>
      <c r="EM137" s="2006">
        <f t="shared" si="175"/>
        <v>0</v>
      </c>
      <c r="EN137" s="1999"/>
      <c r="EP137" s="1613" t="e">
        <f>EA137-#REF!/10^7</f>
        <v>#REF!</v>
      </c>
      <c r="EW137" s="1611" t="e">
        <v>#N/A</v>
      </c>
      <c r="EX137" s="1612" t="e">
        <v>#N/A</v>
      </c>
      <c r="EZ137" s="1650">
        <f t="shared" si="176"/>
        <v>0</v>
      </c>
    </row>
    <row r="138" spans="1:156" ht="21" customHeight="1">
      <c r="A138" s="1652" t="s">
        <v>136</v>
      </c>
      <c r="B138" s="1638" t="s">
        <v>1755</v>
      </c>
      <c r="C138" s="1662"/>
      <c r="D138" s="1648"/>
      <c r="E138" s="1648"/>
      <c r="F138" s="1648"/>
      <c r="G138" s="1648"/>
      <c r="H138" s="1648"/>
      <c r="I138" s="1648"/>
      <c r="J138" s="1649"/>
      <c r="K138" s="1648"/>
      <c r="L138" s="1648"/>
      <c r="M138" s="1648"/>
      <c r="N138" s="1642"/>
      <c r="O138" s="2000"/>
      <c r="P138" s="2003">
        <f t="shared" si="124"/>
        <v>0</v>
      </c>
      <c r="Q138" s="1989"/>
      <c r="R138" s="2003">
        <f t="shared" si="125"/>
        <v>0</v>
      </c>
      <c r="S138" s="1989"/>
      <c r="T138" s="2003">
        <f t="shared" si="126"/>
        <v>0</v>
      </c>
      <c r="U138" s="1989"/>
      <c r="V138" s="1989"/>
      <c r="W138" s="1989">
        <f t="shared" si="127"/>
        <v>0</v>
      </c>
      <c r="X138" s="1999">
        <f>Q138+S138+U138+V138</f>
        <v>0</v>
      </c>
      <c r="Y138" s="1993"/>
      <c r="Z138" s="2003">
        <f t="shared" si="128"/>
        <v>0</v>
      </c>
      <c r="AA138" s="1989"/>
      <c r="AB138" s="2003">
        <f t="shared" si="129"/>
        <v>0</v>
      </c>
      <c r="AC138" s="1989"/>
      <c r="AD138" s="2003">
        <f t="shared" si="130"/>
        <v>0</v>
      </c>
      <c r="AE138" s="1989"/>
      <c r="AF138" s="1989"/>
      <c r="AG138" s="2002">
        <f t="shared" si="131"/>
        <v>0</v>
      </c>
      <c r="AH138" s="1999">
        <f t="shared" si="314"/>
        <v>0</v>
      </c>
      <c r="AI138" s="1993"/>
      <c r="AJ138" s="2003">
        <f t="shared" si="132"/>
        <v>0</v>
      </c>
      <c r="AK138" s="1989"/>
      <c r="AL138" s="2003">
        <f t="shared" si="133"/>
        <v>0</v>
      </c>
      <c r="AM138" s="1989"/>
      <c r="AN138" s="2003">
        <f t="shared" si="134"/>
        <v>0</v>
      </c>
      <c r="AO138" s="1989"/>
      <c r="AP138" s="1989"/>
      <c r="AQ138" s="2002">
        <f t="shared" si="135"/>
        <v>0</v>
      </c>
      <c r="AR138" s="1999">
        <f t="shared" si="315"/>
        <v>0</v>
      </c>
      <c r="AS138" s="1993"/>
      <c r="AT138" s="2003">
        <f t="shared" si="136"/>
        <v>0</v>
      </c>
      <c r="AU138" s="1989"/>
      <c r="AV138" s="2003">
        <f t="shared" si="137"/>
        <v>0</v>
      </c>
      <c r="AW138" s="1989"/>
      <c r="AX138" s="2003">
        <f t="shared" si="138"/>
        <v>0</v>
      </c>
      <c r="AY138" s="1989"/>
      <c r="AZ138" s="1989"/>
      <c r="BA138" s="2002">
        <f t="shared" si="139"/>
        <v>0</v>
      </c>
      <c r="BB138" s="1999">
        <f>AU138+AW138+AY138+AZ138</f>
        <v>0</v>
      </c>
      <c r="BC138" s="1993"/>
      <c r="BD138" s="2003">
        <f t="shared" si="140"/>
        <v>0</v>
      </c>
      <c r="BE138" s="1989"/>
      <c r="BF138" s="2003">
        <f t="shared" si="141"/>
        <v>0</v>
      </c>
      <c r="BG138" s="1989"/>
      <c r="BH138" s="2003">
        <f t="shared" si="142"/>
        <v>0</v>
      </c>
      <c r="BI138" s="1989"/>
      <c r="BJ138" s="1989"/>
      <c r="BK138" s="2002">
        <f t="shared" si="143"/>
        <v>0</v>
      </c>
      <c r="BL138" s="1999">
        <f>BE138+BG138+BI138+BJ138</f>
        <v>0</v>
      </c>
      <c r="BM138" s="1993"/>
      <c r="BN138" s="2003">
        <f t="shared" si="144"/>
        <v>0</v>
      </c>
      <c r="BO138" s="1989"/>
      <c r="BP138" s="2003">
        <f t="shared" si="145"/>
        <v>0</v>
      </c>
      <c r="BQ138" s="1989"/>
      <c r="BR138" s="2003">
        <f t="shared" si="146"/>
        <v>0</v>
      </c>
      <c r="BS138" s="1989"/>
      <c r="BT138" s="1989"/>
      <c r="BU138" s="2002">
        <f t="shared" si="147"/>
        <v>0</v>
      </c>
      <c r="BV138" s="1999">
        <f>BO138+BQ138+BS138+BT138</f>
        <v>0</v>
      </c>
      <c r="BW138" s="1993"/>
      <c r="BX138" s="2003">
        <f t="shared" si="148"/>
        <v>0</v>
      </c>
      <c r="BY138" s="1989"/>
      <c r="BZ138" s="2003">
        <f t="shared" si="149"/>
        <v>0</v>
      </c>
      <c r="CA138" s="1989"/>
      <c r="CB138" s="2003">
        <f t="shared" si="150"/>
        <v>0</v>
      </c>
      <c r="CC138" s="1989"/>
      <c r="CD138" s="1989"/>
      <c r="CE138" s="2002">
        <f t="shared" si="151"/>
        <v>0</v>
      </c>
      <c r="CF138" s="1999">
        <f>BY138+CA138+CC138+CD138</f>
        <v>0</v>
      </c>
      <c r="CG138" s="1993"/>
      <c r="CH138" s="2003">
        <f t="shared" si="152"/>
        <v>0</v>
      </c>
      <c r="CI138" s="1989"/>
      <c r="CJ138" s="2003">
        <f t="shared" si="153"/>
        <v>0</v>
      </c>
      <c r="CK138" s="1989"/>
      <c r="CL138" s="2003">
        <f t="shared" si="154"/>
        <v>0</v>
      </c>
      <c r="CM138" s="1989"/>
      <c r="CN138" s="1989"/>
      <c r="CO138" s="2002">
        <f t="shared" si="155"/>
        <v>0</v>
      </c>
      <c r="CP138" s="1999">
        <f>CI138+CK138+CM138+CN138</f>
        <v>0</v>
      </c>
      <c r="CQ138" s="1993"/>
      <c r="CR138" s="2003">
        <f t="shared" si="156"/>
        <v>0</v>
      </c>
      <c r="CS138" s="1989"/>
      <c r="CT138" s="2003">
        <f t="shared" si="157"/>
        <v>0</v>
      </c>
      <c r="CU138" s="1989"/>
      <c r="CV138" s="2003">
        <f t="shared" si="158"/>
        <v>0</v>
      </c>
      <c r="CW138" s="1989"/>
      <c r="CX138" s="1989"/>
      <c r="CY138" s="2002">
        <f t="shared" si="159"/>
        <v>0</v>
      </c>
      <c r="CZ138" s="1999">
        <f>CS138+CU138+CW138+CX138</f>
        <v>0</v>
      </c>
      <c r="DA138" s="1993"/>
      <c r="DB138" s="2003">
        <f t="shared" si="160"/>
        <v>0</v>
      </c>
      <c r="DC138" s="1989"/>
      <c r="DD138" s="2003">
        <f t="shared" si="161"/>
        <v>0</v>
      </c>
      <c r="DE138" s="1989"/>
      <c r="DF138" s="2003">
        <f t="shared" si="162"/>
        <v>0</v>
      </c>
      <c r="DG138" s="1989"/>
      <c r="DH138" s="1989"/>
      <c r="DI138" s="2002">
        <f t="shared" si="163"/>
        <v>0</v>
      </c>
      <c r="DJ138" s="1999">
        <f>DC138+DE138+DG138+DH138</f>
        <v>0</v>
      </c>
      <c r="DK138" s="1993"/>
      <c r="DL138" s="2003">
        <f t="shared" si="164"/>
        <v>0</v>
      </c>
      <c r="DM138" s="1989"/>
      <c r="DN138" s="2003">
        <f t="shared" si="165"/>
        <v>0</v>
      </c>
      <c r="DO138" s="1989"/>
      <c r="DP138" s="2003">
        <f t="shared" si="166"/>
        <v>0</v>
      </c>
      <c r="DQ138" s="1989"/>
      <c r="DR138" s="1989"/>
      <c r="DS138" s="2002">
        <f t="shared" si="167"/>
        <v>0</v>
      </c>
      <c r="DT138" s="2004">
        <f>DM138+DO138+DQ138+DR138</f>
        <v>0</v>
      </c>
      <c r="DU138" s="1988"/>
      <c r="DV138" s="2003">
        <f t="shared" si="168"/>
        <v>0</v>
      </c>
      <c r="DW138" s="1989"/>
      <c r="DX138" s="2003">
        <f t="shared" si="169"/>
        <v>0</v>
      </c>
      <c r="DY138" s="1989"/>
      <c r="DZ138" s="2003">
        <f t="shared" si="170"/>
        <v>0</v>
      </c>
      <c r="EA138" s="1989"/>
      <c r="EB138" s="1989"/>
      <c r="EC138" s="2002">
        <f t="shared" si="171"/>
        <v>0</v>
      </c>
      <c r="ED138" s="1998">
        <f>DW138+DY138+EA138+EB138</f>
        <v>0</v>
      </c>
      <c r="EE138" s="2005"/>
      <c r="EF138" s="2003">
        <f t="shared" si="172"/>
        <v>0</v>
      </c>
      <c r="EG138" s="1989"/>
      <c r="EH138" s="2003">
        <f t="shared" si="173"/>
        <v>0</v>
      </c>
      <c r="EI138" s="1989"/>
      <c r="EJ138" s="2003">
        <f t="shared" si="174"/>
        <v>0</v>
      </c>
      <c r="EK138" s="1989"/>
      <c r="EL138" s="1989"/>
      <c r="EM138" s="2006">
        <f t="shared" si="175"/>
        <v>0</v>
      </c>
      <c r="EN138" s="1999"/>
      <c r="EP138" s="1613" t="e">
        <f>EA138-#REF!/10^7</f>
        <v>#REF!</v>
      </c>
      <c r="EW138" s="1611" t="e">
        <v>#N/A</v>
      </c>
      <c r="EX138" s="1612">
        <v>0</v>
      </c>
      <c r="EZ138" s="1650">
        <f t="shared" si="176"/>
        <v>0</v>
      </c>
    </row>
    <row r="139" spans="1:156" ht="21" customHeight="1">
      <c r="A139" s="1652">
        <v>1</v>
      </c>
      <c r="B139" s="1644" t="s">
        <v>1756</v>
      </c>
      <c r="C139" s="1662">
        <v>600</v>
      </c>
      <c r="D139" s="1646">
        <f>H139/C139*100</f>
        <v>9.1666666666666661</v>
      </c>
      <c r="E139" s="1646"/>
      <c r="F139" s="1648"/>
      <c r="G139" s="1648"/>
      <c r="H139" s="1648">
        <v>55</v>
      </c>
      <c r="I139" s="1648" t="s">
        <v>1717</v>
      </c>
      <c r="J139" s="1649">
        <v>1</v>
      </c>
      <c r="K139" s="1648"/>
      <c r="L139" s="1648"/>
      <c r="M139" s="1648"/>
      <c r="N139" s="1642"/>
      <c r="O139" s="2000" t="e">
        <f>#REF!</f>
        <v>#REF!</v>
      </c>
      <c r="P139" s="2003">
        <f>IFERROR(Q139/O139*10,0)</f>
        <v>0</v>
      </c>
      <c r="Q139" s="1989" t="e">
        <f>#REF!/10^7</f>
        <v>#REF!</v>
      </c>
      <c r="R139" s="2003">
        <f>IFERROR($S139/O139*10,0)</f>
        <v>0</v>
      </c>
      <c r="S139" s="1989" t="e">
        <f>#REF!/10^7</f>
        <v>#REF!</v>
      </c>
      <c r="T139" s="2003">
        <f>IFERROR(U139/$O139*10,0)</f>
        <v>0</v>
      </c>
      <c r="U139" s="1989" t="e">
        <f>#REF!/10^7</f>
        <v>#REF!</v>
      </c>
      <c r="V139" s="1989" t="e">
        <f>#REF!/10^7</f>
        <v>#REF!</v>
      </c>
      <c r="W139" s="1989">
        <f>IFERROR(X139/(O139)*10,0)</f>
        <v>0</v>
      </c>
      <c r="X139" s="1999" t="e">
        <f>Q139+S139+U139+V139</f>
        <v>#REF!</v>
      </c>
      <c r="Y139" s="1993" t="e">
        <f>#REF!</f>
        <v>#REF!</v>
      </c>
      <c r="Z139" s="2003">
        <f>IFERROR(AA139/$Y139*10,0)</f>
        <v>0</v>
      </c>
      <c r="AA139" s="1989" t="e">
        <f>#REF!/10^7</f>
        <v>#REF!</v>
      </c>
      <c r="AB139" s="2003">
        <f>IFERROR(AC139/$Y139*10,0)</f>
        <v>0</v>
      </c>
      <c r="AC139" s="1989" t="e">
        <f>#REF!/10^7</f>
        <v>#REF!</v>
      </c>
      <c r="AD139" s="2003">
        <f>IFERROR(AE139/$Y139*10,0)</f>
        <v>0</v>
      </c>
      <c r="AE139" s="1989" t="e">
        <f>#REF!/10^7</f>
        <v>#REF!</v>
      </c>
      <c r="AF139" s="1989" t="e">
        <f>#REF!/10^7</f>
        <v>#REF!</v>
      </c>
      <c r="AG139" s="2002" t="e">
        <f>IF(Y139=0,0,(AH139/(Y139)*10))</f>
        <v>#REF!</v>
      </c>
      <c r="AH139" s="1999" t="e">
        <f t="shared" si="314"/>
        <v>#REF!</v>
      </c>
      <c r="AI139" s="1993" t="e">
        <f>#REF!</f>
        <v>#REF!</v>
      </c>
      <c r="AJ139" s="2003">
        <f>IFERROR(AK139/$AI139*10,0)</f>
        <v>0</v>
      </c>
      <c r="AK139" s="1989" t="e">
        <f>#REF!/10^7</f>
        <v>#REF!</v>
      </c>
      <c r="AL139" s="2003">
        <f t="shared" si="133"/>
        <v>0</v>
      </c>
      <c r="AM139" s="1989" t="e">
        <f>#REF!/10^7</f>
        <v>#REF!</v>
      </c>
      <c r="AN139" s="2003">
        <f t="shared" si="134"/>
        <v>0</v>
      </c>
      <c r="AO139" s="1989" t="e">
        <f>#REF!/10^7</f>
        <v>#REF!</v>
      </c>
      <c r="AP139" s="1989" t="e">
        <f>#REF!/10^7</f>
        <v>#REF!</v>
      </c>
      <c r="AQ139" s="2002" t="e">
        <f>IF(AI139=0,0,(AR139/(AI139)*10))</f>
        <v>#REF!</v>
      </c>
      <c r="AR139" s="1999" t="e">
        <f t="shared" si="315"/>
        <v>#REF!</v>
      </c>
      <c r="AS139" s="1993" t="e">
        <f>#REF!</f>
        <v>#REF!</v>
      </c>
      <c r="AT139" s="2003">
        <f>IFERROR(AU139/$AS139*10,0)</f>
        <v>0</v>
      </c>
      <c r="AU139" s="1989" t="e">
        <f>#REF!/10^7</f>
        <v>#REF!</v>
      </c>
      <c r="AV139" s="2003">
        <f>IFERROR(AW139/$AS139*10,0)</f>
        <v>0</v>
      </c>
      <c r="AW139" s="1989" t="e">
        <f>#REF!/10^7</f>
        <v>#REF!</v>
      </c>
      <c r="AX139" s="2003">
        <f>IFERROR(AY139/$AS139*10,0)</f>
        <v>0</v>
      </c>
      <c r="AY139" s="1989" t="e">
        <f>#REF!/10^7</f>
        <v>#REF!</v>
      </c>
      <c r="AZ139" s="1989" t="e">
        <f>#REF!/10^7</f>
        <v>#REF!</v>
      </c>
      <c r="BA139" s="2002" t="e">
        <f>IF(AS139=0,0,(BB139/(AS139)*10))</f>
        <v>#REF!</v>
      </c>
      <c r="BB139" s="1999" t="e">
        <f t="shared" ref="BB139" si="316">AU139+AW139+AY139+AZ139</f>
        <v>#REF!</v>
      </c>
      <c r="BC139" s="1993" t="e">
        <f>#REF!</f>
        <v>#REF!</v>
      </c>
      <c r="BD139" s="2003">
        <f>IFERROR(BE139/$BC139*10,0)</f>
        <v>0</v>
      </c>
      <c r="BE139" s="1989" t="e">
        <f>#REF!/10^7</f>
        <v>#REF!</v>
      </c>
      <c r="BF139" s="2003">
        <f>IFERROR(BG139/$BC139*10,0)</f>
        <v>0</v>
      </c>
      <c r="BG139" s="1989" t="e">
        <f>#REF!/10^7</f>
        <v>#REF!</v>
      </c>
      <c r="BH139" s="2003">
        <f>IFERROR(BI139/$BC139*10,0)</f>
        <v>0</v>
      </c>
      <c r="BI139" s="1989" t="e">
        <f>#REF!/10^7</f>
        <v>#REF!</v>
      </c>
      <c r="BJ139" s="1989" t="e">
        <f>#REF!/10^7</f>
        <v>#REF!</v>
      </c>
      <c r="BK139" s="2002" t="e">
        <f>IF(BC139=0,0,(BL139/(BC139)*10))</f>
        <v>#REF!</v>
      </c>
      <c r="BL139" s="1999" t="e">
        <f>BE139+BG139+BI139+BJ139</f>
        <v>#REF!</v>
      </c>
      <c r="BM139" s="1993" t="e">
        <f>#REF!</f>
        <v>#REF!</v>
      </c>
      <c r="BN139" s="2003">
        <f>IFERROR(BO139/$BM139*10,0)</f>
        <v>0</v>
      </c>
      <c r="BO139" s="1989" t="e">
        <f>#REF!/10^7</f>
        <v>#REF!</v>
      </c>
      <c r="BP139" s="2003">
        <f>IFERROR(BQ139/$BM139*10,0)</f>
        <v>0</v>
      </c>
      <c r="BQ139" s="1989" t="e">
        <f>#REF!/10^7</f>
        <v>#REF!</v>
      </c>
      <c r="BR139" s="2003">
        <f>IFERROR(BS139/$BM139*10,0)</f>
        <v>0</v>
      </c>
      <c r="BS139" s="1989" t="e">
        <f>#REF!/10^7</f>
        <v>#REF!</v>
      </c>
      <c r="BT139" s="1989" t="e">
        <f>#REF!/10^7</f>
        <v>#REF!</v>
      </c>
      <c r="BU139" s="2002" t="e">
        <f>IF(BM139=0,0,(BV139/(BM139)*10))</f>
        <v>#REF!</v>
      </c>
      <c r="BV139" s="1999" t="e">
        <f>BO139+BQ139+BS139+BT139</f>
        <v>#REF!</v>
      </c>
      <c r="BW139" s="1993" t="e">
        <f>#REF!</f>
        <v>#REF!</v>
      </c>
      <c r="BX139" s="2003">
        <f>IFERROR(BY139/$BW139*10,0)</f>
        <v>0</v>
      </c>
      <c r="BY139" s="1989" t="e">
        <f>#REF!/10^7</f>
        <v>#REF!</v>
      </c>
      <c r="BZ139" s="2003">
        <f>IFERROR(CA139/$BW139*10,0)</f>
        <v>0</v>
      </c>
      <c r="CA139" s="1989" t="e">
        <f>#REF!/10^7</f>
        <v>#REF!</v>
      </c>
      <c r="CB139" s="2003">
        <f>IFERROR(CC139/$BW139*10,0)</f>
        <v>0</v>
      </c>
      <c r="CC139" s="1989" t="e">
        <f>#REF!/10^7</f>
        <v>#REF!</v>
      </c>
      <c r="CD139" s="1989" t="e">
        <f>#REF!/10^7</f>
        <v>#REF!</v>
      </c>
      <c r="CE139" s="2002" t="e">
        <f>IF(BW139=0,0,(CF139/(BW139)*10))</f>
        <v>#REF!</v>
      </c>
      <c r="CF139" s="1999" t="e">
        <f>BY139+CA139+CC139+CD139</f>
        <v>#REF!</v>
      </c>
      <c r="CG139" s="1993" t="e">
        <f>#REF!</f>
        <v>#REF!</v>
      </c>
      <c r="CH139" s="2003">
        <f>IFERROR(CI139/$CG139*10,0)</f>
        <v>0</v>
      </c>
      <c r="CI139" s="1989" t="e">
        <f>#REF!/10^7</f>
        <v>#REF!</v>
      </c>
      <c r="CJ139" s="2003">
        <f>IFERROR(CK139/$CG139*10,0)</f>
        <v>0</v>
      </c>
      <c r="CK139" s="1989" t="e">
        <f>#REF!/10^7</f>
        <v>#REF!</v>
      </c>
      <c r="CL139" s="2003">
        <f>IFERROR(CM139/$CG139*10,0)</f>
        <v>0</v>
      </c>
      <c r="CM139" s="1989" t="e">
        <f>#REF!/10^7</f>
        <v>#REF!</v>
      </c>
      <c r="CN139" s="1989" t="e">
        <f>#REF!/10^7</f>
        <v>#REF!</v>
      </c>
      <c r="CO139" s="2002" t="e">
        <f>IF(CG139=0,0,(CP139/(CG139)*10))</f>
        <v>#REF!</v>
      </c>
      <c r="CP139" s="1999" t="e">
        <f>CI139+CK139+CM139+CN139</f>
        <v>#REF!</v>
      </c>
      <c r="CQ139" s="1993" t="e">
        <f>#REF!</f>
        <v>#REF!</v>
      </c>
      <c r="CR139" s="2003">
        <f>IFERROR(CS139/$CQ139*10,0)</f>
        <v>0</v>
      </c>
      <c r="CS139" s="1989" t="e">
        <f>#REF!/10^7</f>
        <v>#REF!</v>
      </c>
      <c r="CT139" s="2003">
        <f>IFERROR(CU139/$CQ139*10,0)</f>
        <v>0</v>
      </c>
      <c r="CU139" s="1989" t="e">
        <f>#REF!/10^7</f>
        <v>#REF!</v>
      </c>
      <c r="CV139" s="2003">
        <f>IFERROR(CW139/$CQ139*10,0)</f>
        <v>0</v>
      </c>
      <c r="CW139" s="1989" t="e">
        <f>#REF!/10^7</f>
        <v>#REF!</v>
      </c>
      <c r="CX139" s="1989" t="e">
        <f>#REF!/10^7</f>
        <v>#REF!</v>
      </c>
      <c r="CY139" s="2002" t="e">
        <f>IF(CQ139=0,0,(CZ139/(CQ139)*10))</f>
        <v>#REF!</v>
      </c>
      <c r="CZ139" s="1999" t="e">
        <f>CS139+CU139+CW139+CX139</f>
        <v>#REF!</v>
      </c>
      <c r="DA139" s="1993" t="e">
        <f>#REF!</f>
        <v>#REF!</v>
      </c>
      <c r="DB139" s="2003">
        <f>IFERROR(DC139/$DA139*10,0)</f>
        <v>0</v>
      </c>
      <c r="DC139" s="1989" t="e">
        <f>#REF!/10^7</f>
        <v>#REF!</v>
      </c>
      <c r="DD139" s="2003">
        <f>IFERROR(DE139/$DA139*10,0)</f>
        <v>0</v>
      </c>
      <c r="DE139" s="1989" t="e">
        <f>#REF!/10^7</f>
        <v>#REF!</v>
      </c>
      <c r="DF139" s="2003">
        <f>IFERROR(DG139/$DA139*10,0)</f>
        <v>0</v>
      </c>
      <c r="DG139" s="1989" t="e">
        <f>#REF!/10^7</f>
        <v>#REF!</v>
      </c>
      <c r="DH139" s="1989" t="e">
        <f>#REF!/10^7</f>
        <v>#REF!</v>
      </c>
      <c r="DI139" s="2002" t="e">
        <f>IF(DA139=0,0,(DJ139/(DA139)*10))</f>
        <v>#REF!</v>
      </c>
      <c r="DJ139" s="1999" t="e">
        <f>DC139+DE139+DG139+DH139</f>
        <v>#REF!</v>
      </c>
      <c r="DK139" s="1993" t="e">
        <f>#REF!</f>
        <v>#REF!</v>
      </c>
      <c r="DL139" s="2003">
        <f>IFERROR(DM139/$DK139*10,0)</f>
        <v>0</v>
      </c>
      <c r="DM139" s="1989" t="e">
        <f>#REF!/10^7</f>
        <v>#REF!</v>
      </c>
      <c r="DN139" s="2003">
        <f>IFERROR(DO139/$DK139*10,0)</f>
        <v>0</v>
      </c>
      <c r="DO139" s="1989" t="e">
        <f>#REF!/10^7</f>
        <v>#REF!</v>
      </c>
      <c r="DP139" s="2003">
        <f>IFERROR(DQ139/$DK139*10,0)</f>
        <v>0</v>
      </c>
      <c r="DQ139" s="1989" t="e">
        <f>#REF!/10^7</f>
        <v>#REF!</v>
      </c>
      <c r="DR139" s="1989" t="e">
        <f>#REF!/10^7</f>
        <v>#REF!</v>
      </c>
      <c r="DS139" s="2002" t="e">
        <f>IF(DK139=0,0,(DT139/(DK139)*10))</f>
        <v>#REF!</v>
      </c>
      <c r="DT139" s="2004" t="e">
        <f>DM139+DO139+DQ139+DR139</f>
        <v>#REF!</v>
      </c>
      <c r="DU139" s="1988" t="e">
        <f>#REF!</f>
        <v>#REF!</v>
      </c>
      <c r="DV139" s="2003">
        <f>IFERROR(DW139/$DU139*10,0)</f>
        <v>0</v>
      </c>
      <c r="DW139" s="1989" t="e">
        <f>#REF!/10^7</f>
        <v>#REF!</v>
      </c>
      <c r="DX139" s="2003">
        <f>IFERROR(DY139/$DU139*10,0)</f>
        <v>0</v>
      </c>
      <c r="DY139" s="1989" t="e">
        <f>#REF!/10^7</f>
        <v>#REF!</v>
      </c>
      <c r="DZ139" s="2003">
        <f>IFERROR(EA139/$DU139*10,0)</f>
        <v>0</v>
      </c>
      <c r="EA139" s="1989" t="e">
        <f>#REF!/10^7</f>
        <v>#REF!</v>
      </c>
      <c r="EB139" s="1989" t="e">
        <f>#REF!/10^7</f>
        <v>#REF!</v>
      </c>
      <c r="EC139" s="2002" t="e">
        <f>IF(DU139=0,0,(ED139/(DU139)*10))</f>
        <v>#REF!</v>
      </c>
      <c r="ED139" s="1998" t="e">
        <f>DW139+DY139+EA139+EB139</f>
        <v>#REF!</v>
      </c>
      <c r="EE139" s="2005" t="e">
        <f>O139+Y139+AI139+AS139+BC139+BM139+BW139+CG139+CQ139+DA139+DK139+DU139</f>
        <v>#REF!</v>
      </c>
      <c r="EF139" s="2003">
        <f t="shared" si="172"/>
        <v>0</v>
      </c>
      <c r="EG139" s="1989" t="e">
        <f>Q139+AA139+AK139+AU139+BE139+BO139+BY139+CI139+CS139+DC139+DM139+DW139</f>
        <v>#REF!</v>
      </c>
      <c r="EH139" s="2003">
        <f t="shared" si="173"/>
        <v>0</v>
      </c>
      <c r="EI139" s="1989" t="e">
        <f>S139+AC139+AM139+AW139+BG139+BQ139+CA139+CK139+CU139+DE139+DO139+DY139</f>
        <v>#REF!</v>
      </c>
      <c r="EJ139" s="2003">
        <f t="shared" si="174"/>
        <v>0</v>
      </c>
      <c r="EK139" s="1989" t="e">
        <f>U139+AE139+AO139+AY139+BI139+BS139+CC139+CM139+CW139+DG139+DQ139+EA139</f>
        <v>#REF!</v>
      </c>
      <c r="EL139" s="1989" t="e">
        <f>V139+AF139+AP139+AZ139+BJ139+BT139+CD139+CN139+CX139+DH139+DR139+EB139</f>
        <v>#REF!</v>
      </c>
      <c r="EM139" s="2006" t="e">
        <f t="shared" si="175"/>
        <v>#REF!</v>
      </c>
      <c r="EN139" s="1999" t="e">
        <f>EG139+EI139+EK139+EL139</f>
        <v>#REF!</v>
      </c>
      <c r="EP139" s="1613" t="e">
        <f>EA139-#REF!/10^7</f>
        <v>#REF!</v>
      </c>
      <c r="EW139" s="1611" t="s">
        <v>1717</v>
      </c>
      <c r="EX139" s="1612" t="s">
        <v>1717</v>
      </c>
      <c r="EZ139" s="1650">
        <f t="shared" si="176"/>
        <v>0</v>
      </c>
    </row>
    <row r="140" spans="1:156" ht="21" customHeight="1">
      <c r="A140" s="1652"/>
      <c r="B140" s="1644"/>
      <c r="C140" s="1662"/>
      <c r="D140" s="1648"/>
      <c r="E140" s="1648"/>
      <c r="F140" s="1648"/>
      <c r="G140" s="1648"/>
      <c r="H140" s="1648"/>
      <c r="I140" s="1648"/>
      <c r="J140" s="1663"/>
      <c r="K140" s="1648"/>
      <c r="L140" s="1648"/>
      <c r="M140" s="1648"/>
      <c r="N140" s="1642"/>
      <c r="O140" s="2000"/>
      <c r="P140" s="2003">
        <f t="shared" si="124"/>
        <v>0</v>
      </c>
      <c r="Q140" s="1989"/>
      <c r="R140" s="2003">
        <f t="shared" si="125"/>
        <v>0</v>
      </c>
      <c r="S140" s="1989"/>
      <c r="T140" s="2003">
        <f t="shared" si="126"/>
        <v>0</v>
      </c>
      <c r="U140" s="1989"/>
      <c r="V140" s="1989"/>
      <c r="W140" s="1989">
        <f t="shared" si="127"/>
        <v>0</v>
      </c>
      <c r="X140" s="1999">
        <f>Q140+S140+U140+V140</f>
        <v>0</v>
      </c>
      <c r="Y140" s="1993"/>
      <c r="Z140" s="2003">
        <f t="shared" si="128"/>
        <v>0</v>
      </c>
      <c r="AA140" s="1989"/>
      <c r="AB140" s="2003">
        <f t="shared" si="129"/>
        <v>0</v>
      </c>
      <c r="AC140" s="1989"/>
      <c r="AD140" s="2003">
        <f t="shared" si="130"/>
        <v>0</v>
      </c>
      <c r="AE140" s="1989"/>
      <c r="AF140" s="1989"/>
      <c r="AG140" s="2002">
        <f t="shared" si="131"/>
        <v>0</v>
      </c>
      <c r="AH140" s="1999">
        <f t="shared" si="314"/>
        <v>0</v>
      </c>
      <c r="AI140" s="1993"/>
      <c r="AJ140" s="2003">
        <f t="shared" si="132"/>
        <v>0</v>
      </c>
      <c r="AK140" s="1989"/>
      <c r="AL140" s="2003">
        <f t="shared" si="133"/>
        <v>0</v>
      </c>
      <c r="AM140" s="1989"/>
      <c r="AN140" s="2003">
        <f t="shared" si="134"/>
        <v>0</v>
      </c>
      <c r="AO140" s="1989"/>
      <c r="AP140" s="1989"/>
      <c r="AQ140" s="2002">
        <f t="shared" si="135"/>
        <v>0</v>
      </c>
      <c r="AR140" s="1999">
        <f t="shared" si="315"/>
        <v>0</v>
      </c>
      <c r="AS140" s="1993"/>
      <c r="AT140" s="2003">
        <f t="shared" si="136"/>
        <v>0</v>
      </c>
      <c r="AU140" s="1989"/>
      <c r="AV140" s="2003">
        <f t="shared" si="137"/>
        <v>0</v>
      </c>
      <c r="AW140" s="1989"/>
      <c r="AX140" s="2003">
        <f t="shared" si="138"/>
        <v>0</v>
      </c>
      <c r="AY140" s="1989"/>
      <c r="AZ140" s="1989"/>
      <c r="BA140" s="2002">
        <f t="shared" si="139"/>
        <v>0</v>
      </c>
      <c r="BB140" s="1999">
        <f>AU140+AW140+AY140+AZ140</f>
        <v>0</v>
      </c>
      <c r="BC140" s="1993"/>
      <c r="BD140" s="2003">
        <f t="shared" si="140"/>
        <v>0</v>
      </c>
      <c r="BE140" s="1989"/>
      <c r="BF140" s="2003">
        <f t="shared" si="141"/>
        <v>0</v>
      </c>
      <c r="BG140" s="1989"/>
      <c r="BH140" s="2003">
        <f t="shared" si="142"/>
        <v>0</v>
      </c>
      <c r="BI140" s="1989"/>
      <c r="BJ140" s="1989"/>
      <c r="BK140" s="2002">
        <f t="shared" si="143"/>
        <v>0</v>
      </c>
      <c r="BL140" s="1999">
        <f>BE140+BG140+BI140+BJ140</f>
        <v>0</v>
      </c>
      <c r="BM140" s="1993"/>
      <c r="BN140" s="2003">
        <f t="shared" si="144"/>
        <v>0</v>
      </c>
      <c r="BO140" s="1989"/>
      <c r="BP140" s="2003">
        <f t="shared" si="145"/>
        <v>0</v>
      </c>
      <c r="BQ140" s="1989"/>
      <c r="BR140" s="2003">
        <f t="shared" si="146"/>
        <v>0</v>
      </c>
      <c r="BS140" s="1989"/>
      <c r="BT140" s="1989"/>
      <c r="BU140" s="2002">
        <f t="shared" si="147"/>
        <v>0</v>
      </c>
      <c r="BV140" s="1999">
        <f>BO140+BQ140+BS140+BT140</f>
        <v>0</v>
      </c>
      <c r="BW140" s="1993"/>
      <c r="BX140" s="2003">
        <f t="shared" si="148"/>
        <v>0</v>
      </c>
      <c r="BY140" s="1989"/>
      <c r="BZ140" s="2003">
        <f t="shared" si="149"/>
        <v>0</v>
      </c>
      <c r="CA140" s="1989"/>
      <c r="CB140" s="2003">
        <f t="shared" si="150"/>
        <v>0</v>
      </c>
      <c r="CC140" s="1989"/>
      <c r="CD140" s="1989"/>
      <c r="CE140" s="2002">
        <f t="shared" si="151"/>
        <v>0</v>
      </c>
      <c r="CF140" s="1999">
        <f>BY140+CA140+CC140+CD140</f>
        <v>0</v>
      </c>
      <c r="CG140" s="1993"/>
      <c r="CH140" s="2003">
        <f t="shared" si="152"/>
        <v>0</v>
      </c>
      <c r="CI140" s="1989"/>
      <c r="CJ140" s="2003">
        <f t="shared" si="153"/>
        <v>0</v>
      </c>
      <c r="CK140" s="1989"/>
      <c r="CL140" s="2003">
        <f t="shared" si="154"/>
        <v>0</v>
      </c>
      <c r="CM140" s="1989"/>
      <c r="CN140" s="1989"/>
      <c r="CO140" s="2002">
        <f t="shared" si="155"/>
        <v>0</v>
      </c>
      <c r="CP140" s="1999">
        <f>CI140+CK140+CM140+CN140</f>
        <v>0</v>
      </c>
      <c r="CQ140" s="1993"/>
      <c r="CR140" s="2003">
        <f t="shared" si="156"/>
        <v>0</v>
      </c>
      <c r="CS140" s="1989"/>
      <c r="CT140" s="2003">
        <f t="shared" si="157"/>
        <v>0</v>
      </c>
      <c r="CU140" s="1989"/>
      <c r="CV140" s="2003">
        <f t="shared" si="158"/>
        <v>0</v>
      </c>
      <c r="CW140" s="1989"/>
      <c r="CX140" s="1989"/>
      <c r="CY140" s="2002">
        <f t="shared" si="159"/>
        <v>0</v>
      </c>
      <c r="CZ140" s="1999">
        <f>CS140+CU140+CW140+CX140</f>
        <v>0</v>
      </c>
      <c r="DA140" s="1993"/>
      <c r="DB140" s="2003">
        <f t="shared" si="160"/>
        <v>0</v>
      </c>
      <c r="DC140" s="1989"/>
      <c r="DD140" s="2003">
        <f t="shared" si="161"/>
        <v>0</v>
      </c>
      <c r="DE140" s="1989"/>
      <c r="DF140" s="2003">
        <f t="shared" si="162"/>
        <v>0</v>
      </c>
      <c r="DG140" s="1989"/>
      <c r="DH140" s="1989"/>
      <c r="DI140" s="2002">
        <f t="shared" si="163"/>
        <v>0</v>
      </c>
      <c r="DJ140" s="1999">
        <f>DC140+DE140+DG140+DH140</f>
        <v>0</v>
      </c>
      <c r="DK140" s="1993"/>
      <c r="DL140" s="2003">
        <f t="shared" si="164"/>
        <v>0</v>
      </c>
      <c r="DM140" s="1989"/>
      <c r="DN140" s="2003">
        <f t="shared" si="165"/>
        <v>0</v>
      </c>
      <c r="DO140" s="1989"/>
      <c r="DP140" s="2003">
        <f t="shared" si="166"/>
        <v>0</v>
      </c>
      <c r="DQ140" s="1989"/>
      <c r="DR140" s="1989"/>
      <c r="DS140" s="2002">
        <f t="shared" si="167"/>
        <v>0</v>
      </c>
      <c r="DT140" s="2004">
        <f>DM140+DO140+DQ140+DR140</f>
        <v>0</v>
      </c>
      <c r="DU140" s="1988"/>
      <c r="DV140" s="2003">
        <f t="shared" si="168"/>
        <v>0</v>
      </c>
      <c r="DW140" s="1989"/>
      <c r="DX140" s="2003">
        <f t="shared" si="169"/>
        <v>0</v>
      </c>
      <c r="DY140" s="1989"/>
      <c r="DZ140" s="2003">
        <f t="shared" si="170"/>
        <v>0</v>
      </c>
      <c r="EA140" s="1989"/>
      <c r="EB140" s="1989"/>
      <c r="EC140" s="2002">
        <f t="shared" si="171"/>
        <v>0</v>
      </c>
      <c r="ED140" s="1998">
        <f>DW140+DY140+EA140+EB140</f>
        <v>0</v>
      </c>
      <c r="EE140" s="2005">
        <f>O140+Y140+AI140+AS140+BC140+BM140+BW140+CG140+CQ140+DA140+DK140+DU140</f>
        <v>0</v>
      </c>
      <c r="EF140" s="2003">
        <f t="shared" si="172"/>
        <v>0</v>
      </c>
      <c r="EG140" s="1989">
        <f>Q140+AA140+AK140+AU140+BE140+BO140+BY140+CI140+CS140+DC140+DM140+DW140</f>
        <v>0</v>
      </c>
      <c r="EH140" s="2003">
        <f t="shared" si="173"/>
        <v>0</v>
      </c>
      <c r="EI140" s="1989">
        <f>S140+AC140+AM140+AW140+BG140+BQ140+CA140+CK140+CU140+DE140+DO140+DY140</f>
        <v>0</v>
      </c>
      <c r="EJ140" s="2003">
        <f t="shared" si="174"/>
        <v>0</v>
      </c>
      <c r="EK140" s="1989">
        <f>U140+AE140+AO140+AY140+BI140+BS140+CC140+CM140+CW140+DG140+DQ140+EA140</f>
        <v>0</v>
      </c>
      <c r="EL140" s="1989">
        <f>V140+AF140+AP140+AZ140+BJ140+BT140+CD140+CN140+CX140+DH140+DR140+EB140</f>
        <v>0</v>
      </c>
      <c r="EM140" s="2006">
        <f t="shared" si="175"/>
        <v>0</v>
      </c>
      <c r="EN140" s="1999">
        <f>EG140+EI140+EK140+EL140</f>
        <v>0</v>
      </c>
      <c r="EP140" s="1613" t="e">
        <f>EA140-#REF!/10^7</f>
        <v>#REF!</v>
      </c>
      <c r="EW140" s="1611" t="e">
        <v>#N/A</v>
      </c>
      <c r="EX140" s="1612" t="e">
        <v>#N/A</v>
      </c>
      <c r="EZ140" s="1650">
        <f t="shared" si="176"/>
        <v>0</v>
      </c>
    </row>
    <row r="141" spans="1:156" s="1660" customFormat="1" ht="21" customHeight="1">
      <c r="A141" s="1637"/>
      <c r="B141" s="1654" t="s">
        <v>211</v>
      </c>
      <c r="C141" s="1655"/>
      <c r="D141" s="1656"/>
      <c r="E141" s="1656"/>
      <c r="F141" s="1656"/>
      <c r="G141" s="1656"/>
      <c r="H141" s="1656"/>
      <c r="I141" s="1656"/>
      <c r="J141" s="1657"/>
      <c r="K141" s="1656"/>
      <c r="L141" s="1656"/>
      <c r="M141" s="1656"/>
      <c r="N141" s="1658"/>
      <c r="O141" s="2007" t="e">
        <f>SUM(O139:O140)</f>
        <v>#REF!</v>
      </c>
      <c r="P141" s="2003">
        <f t="shared" ref="P141:P204" si="317">IFERROR(Q141/O141*10,0)</f>
        <v>0</v>
      </c>
      <c r="Q141" s="1826" t="e">
        <f>SUM(Q139:Q140)</f>
        <v>#REF!</v>
      </c>
      <c r="R141" s="2003">
        <f t="shared" ref="R141:R204" si="318">IFERROR($S141/O141*10,0)</f>
        <v>0</v>
      </c>
      <c r="S141" s="1826" t="e">
        <f>SUM(S139:S140)</f>
        <v>#REF!</v>
      </c>
      <c r="T141" s="2003">
        <f t="shared" ref="T141:T204" si="319">IFERROR(U141/$O141*10,0)</f>
        <v>0</v>
      </c>
      <c r="U141" s="1826" t="e">
        <f>SUM(U139:U140)</f>
        <v>#REF!</v>
      </c>
      <c r="V141" s="1826"/>
      <c r="W141" s="1989">
        <f t="shared" ref="W141:W204" si="320">IFERROR(X141/(O141)*10,0)</f>
        <v>0</v>
      </c>
      <c r="X141" s="2008" t="e">
        <f>X139</f>
        <v>#REF!</v>
      </c>
      <c r="Y141" s="2007" t="e">
        <f>SUM(Y139:Y140)</f>
        <v>#REF!</v>
      </c>
      <c r="Z141" s="2003">
        <f t="shared" ref="Z141:Z204" si="321">IFERROR(AA141/$Y141*10,0)</f>
        <v>0</v>
      </c>
      <c r="AA141" s="1826" t="e">
        <f>SUM(AA139:AA140)</f>
        <v>#REF!</v>
      </c>
      <c r="AB141" s="2003">
        <f t="shared" ref="AB141:AB204" si="322">IFERROR(AC141/$Y141*10,0)</f>
        <v>0</v>
      </c>
      <c r="AC141" s="1826" t="e">
        <f>SUM(AC139:AC140)</f>
        <v>#REF!</v>
      </c>
      <c r="AD141" s="2003">
        <f t="shared" ref="AD141:AD204" si="323">IFERROR(AE141/$Y141*10,0)</f>
        <v>0</v>
      </c>
      <c r="AE141" s="1826" t="e">
        <f>SUM(AE139:AE140)</f>
        <v>#REF!</v>
      </c>
      <c r="AF141" s="1826" t="e">
        <f>SUM(AF139:AF140)</f>
        <v>#REF!</v>
      </c>
      <c r="AG141" s="2002" t="e">
        <f t="shared" ref="AG141:AG204" si="324">IF(Y141=0,0,(AH141/(Y141)*10))</f>
        <v>#REF!</v>
      </c>
      <c r="AH141" s="2008" t="e">
        <f t="shared" ref="AH141:AP141" si="325">SUM(AH139:AH140)</f>
        <v>#REF!</v>
      </c>
      <c r="AI141" s="2007" t="e">
        <f t="shared" si="325"/>
        <v>#REF!</v>
      </c>
      <c r="AJ141" s="2003">
        <f t="shared" ref="AJ141:AJ204" si="326">IFERROR(AK141/$AI141*10,0)</f>
        <v>0</v>
      </c>
      <c r="AK141" s="1826" t="e">
        <f t="shared" si="325"/>
        <v>#REF!</v>
      </c>
      <c r="AL141" s="2003">
        <f t="shared" ref="AL141:AL204" si="327">IFERROR(AM141/$AI141*10,0)</f>
        <v>0</v>
      </c>
      <c r="AM141" s="1826" t="e">
        <f t="shared" si="325"/>
        <v>#REF!</v>
      </c>
      <c r="AN141" s="2003">
        <f t="shared" ref="AN141:AN204" si="328">IFERROR(AO141/$AI141*10,0)</f>
        <v>0</v>
      </c>
      <c r="AO141" s="1826" t="e">
        <f t="shared" si="325"/>
        <v>#REF!</v>
      </c>
      <c r="AP141" s="1826" t="e">
        <f t="shared" si="325"/>
        <v>#REF!</v>
      </c>
      <c r="AQ141" s="2002" t="e">
        <f t="shared" ref="AQ141:AQ204" si="329">IF(AI141=0,0,(AR141/(AI141)*10))</f>
        <v>#REF!</v>
      </c>
      <c r="AR141" s="2008" t="e">
        <f t="shared" ref="AR141:AZ141" si="330">SUM(AR139:AR140)</f>
        <v>#REF!</v>
      </c>
      <c r="AS141" s="2007" t="e">
        <f t="shared" si="330"/>
        <v>#REF!</v>
      </c>
      <c r="AT141" s="2003">
        <f t="shared" ref="AT141:AT204" si="331">IFERROR(AU141/$AS141*10,0)</f>
        <v>0</v>
      </c>
      <c r="AU141" s="1826" t="e">
        <f t="shared" si="330"/>
        <v>#REF!</v>
      </c>
      <c r="AV141" s="2003">
        <f t="shared" ref="AV141:AV204" si="332">IFERROR(AW141/$AS141*10,0)</f>
        <v>0</v>
      </c>
      <c r="AW141" s="1826" t="e">
        <f t="shared" si="330"/>
        <v>#REF!</v>
      </c>
      <c r="AX141" s="2003">
        <f t="shared" ref="AX141:AX204" si="333">IFERROR(AY141/$AS141*10,0)</f>
        <v>0</v>
      </c>
      <c r="AY141" s="1826" t="e">
        <f t="shared" si="330"/>
        <v>#REF!</v>
      </c>
      <c r="AZ141" s="1826" t="e">
        <f t="shared" si="330"/>
        <v>#REF!</v>
      </c>
      <c r="BA141" s="2002" t="e">
        <f t="shared" ref="BA141:BA204" si="334">IF(AS141=0,0,(BB141/(AS141)*10))</f>
        <v>#REF!</v>
      </c>
      <c r="BB141" s="2008" t="e">
        <f>SUM(BB139:BB140)</f>
        <v>#REF!</v>
      </c>
      <c r="BC141" s="2007" t="e">
        <f>BC139</f>
        <v>#REF!</v>
      </c>
      <c r="BD141" s="2003">
        <f t="shared" ref="BD141:BD204" si="335">IFERROR(BE141/$BC141*10,0)</f>
        <v>0</v>
      </c>
      <c r="BE141" s="1826" t="e">
        <f>BE139</f>
        <v>#REF!</v>
      </c>
      <c r="BF141" s="2003">
        <f t="shared" ref="BF141:BF204" si="336">IFERROR(BG141/$BC141*10,0)</f>
        <v>0</v>
      </c>
      <c r="BG141" s="1826" t="e">
        <f>BG139</f>
        <v>#REF!</v>
      </c>
      <c r="BH141" s="2003">
        <f t="shared" ref="BH141:BH204" si="337">IFERROR(BI141/$BC141*10,0)</f>
        <v>0</v>
      </c>
      <c r="BI141" s="1826" t="e">
        <f>BI139</f>
        <v>#REF!</v>
      </c>
      <c r="BJ141" s="1826"/>
      <c r="BK141" s="2002" t="e">
        <f t="shared" ref="BK141:BK204" si="338">IF(BC141=0,0,(BL141/(BC141)*10))</f>
        <v>#REF!</v>
      </c>
      <c r="BL141" s="2008" t="e">
        <f>BE141+BG141+BI141+BJ141</f>
        <v>#REF!</v>
      </c>
      <c r="BM141" s="2007" t="e">
        <f>BM139</f>
        <v>#REF!</v>
      </c>
      <c r="BN141" s="2003">
        <f t="shared" ref="BN141:BN204" si="339">IFERROR(BO141/$BM141*10,0)</f>
        <v>0</v>
      </c>
      <c r="BO141" s="1826" t="e">
        <f>BO139</f>
        <v>#REF!</v>
      </c>
      <c r="BP141" s="2003">
        <f t="shared" ref="BP141:BP204" si="340">IFERROR(BQ141/$BM141*10,0)</f>
        <v>0</v>
      </c>
      <c r="BQ141" s="1826" t="e">
        <f>BQ139</f>
        <v>#REF!</v>
      </c>
      <c r="BR141" s="2003">
        <f t="shared" ref="BR141:BR204" si="341">IFERROR(BS141/$BM141*10,0)</f>
        <v>0</v>
      </c>
      <c r="BS141" s="1826" t="e">
        <f>BS139</f>
        <v>#REF!</v>
      </c>
      <c r="BT141" s="1826"/>
      <c r="BU141" s="2002" t="e">
        <f t="shared" ref="BU141:BU204" si="342">IF(BM141=0,0,(BV141/(BM141)*10))</f>
        <v>#REF!</v>
      </c>
      <c r="BV141" s="2008" t="e">
        <f>BO141+BQ141+BS141+BT141</f>
        <v>#REF!</v>
      </c>
      <c r="BW141" s="2007" t="e">
        <f>BW139</f>
        <v>#REF!</v>
      </c>
      <c r="BX141" s="2003">
        <f t="shared" ref="BX141:BX204" si="343">IFERROR(BY141/$BW141*10,0)</f>
        <v>0</v>
      </c>
      <c r="BY141" s="1826" t="e">
        <f>BY139</f>
        <v>#REF!</v>
      </c>
      <c r="BZ141" s="2003">
        <f t="shared" ref="BZ141:BZ204" si="344">IFERROR(CA141/$BW141*10,0)</f>
        <v>0</v>
      </c>
      <c r="CA141" s="1826" t="e">
        <f>CA139</f>
        <v>#REF!</v>
      </c>
      <c r="CB141" s="2003">
        <f t="shared" ref="CB141:CB204" si="345">IFERROR(CC141/$BW141*10,0)</f>
        <v>0</v>
      </c>
      <c r="CC141" s="1826" t="e">
        <f>CC139</f>
        <v>#REF!</v>
      </c>
      <c r="CD141" s="1826"/>
      <c r="CE141" s="2002" t="e">
        <f t="shared" ref="CE141:CE204" si="346">IF(BW141=0,0,(CF141/(BW141)*10))</f>
        <v>#REF!</v>
      </c>
      <c r="CF141" s="2008" t="e">
        <f>BY141+CA141+CC141+CD141</f>
        <v>#REF!</v>
      </c>
      <c r="CG141" s="2007" t="e">
        <f>CG139</f>
        <v>#REF!</v>
      </c>
      <c r="CH141" s="2003">
        <f t="shared" ref="CH141:CH204" si="347">IFERROR(CI141/$CG141*10,0)</f>
        <v>0</v>
      </c>
      <c r="CI141" s="1826" t="e">
        <f>CI139</f>
        <v>#REF!</v>
      </c>
      <c r="CJ141" s="2003">
        <f t="shared" ref="CJ141:CJ204" si="348">IFERROR(CK141/$CG141*10,0)</f>
        <v>0</v>
      </c>
      <c r="CK141" s="1826" t="e">
        <f>CK139</f>
        <v>#REF!</v>
      </c>
      <c r="CL141" s="2003">
        <f t="shared" ref="CL141:CL204" si="349">IFERROR(CM141/$CG141*10,0)</f>
        <v>0</v>
      </c>
      <c r="CM141" s="1826" t="e">
        <f>CM139</f>
        <v>#REF!</v>
      </c>
      <c r="CN141" s="1826"/>
      <c r="CO141" s="2002" t="e">
        <f t="shared" ref="CO141:CO204" si="350">IF(CG141=0,0,(CP141/(CG141)*10))</f>
        <v>#REF!</v>
      </c>
      <c r="CP141" s="2008" t="e">
        <f>CI141+CK141+CM141+CN141</f>
        <v>#REF!</v>
      </c>
      <c r="CQ141" s="2007" t="e">
        <f>CQ139</f>
        <v>#REF!</v>
      </c>
      <c r="CR141" s="2003">
        <f t="shared" ref="CR141:CR204" si="351">IFERROR(CS141/$CQ141*10,0)</f>
        <v>0</v>
      </c>
      <c r="CS141" s="1826" t="e">
        <f>CS139</f>
        <v>#REF!</v>
      </c>
      <c r="CT141" s="2003">
        <f t="shared" ref="CT141:CT204" si="352">IFERROR(CU141/$CQ141*10,0)</f>
        <v>0</v>
      </c>
      <c r="CU141" s="1826" t="e">
        <f>CU139</f>
        <v>#REF!</v>
      </c>
      <c r="CV141" s="2003">
        <f t="shared" ref="CV141:CV204" si="353">IFERROR(CW141/$CQ141*10,0)</f>
        <v>0</v>
      </c>
      <c r="CW141" s="1826" t="e">
        <f>CW139</f>
        <v>#REF!</v>
      </c>
      <c r="CX141" s="1826"/>
      <c r="CY141" s="2002" t="e">
        <f t="shared" ref="CY141:CY204" si="354">IF(CQ141=0,0,(CZ141/(CQ141)*10))</f>
        <v>#REF!</v>
      </c>
      <c r="CZ141" s="2008" t="e">
        <f>CZ139</f>
        <v>#REF!</v>
      </c>
      <c r="DA141" s="2007" t="e">
        <f>DA139</f>
        <v>#REF!</v>
      </c>
      <c r="DB141" s="2003">
        <f t="shared" ref="DB141:DB204" si="355">IFERROR(DC141/$DA141*10,0)</f>
        <v>0</v>
      </c>
      <c r="DC141" s="1826" t="e">
        <f>DC139</f>
        <v>#REF!</v>
      </c>
      <c r="DD141" s="2003">
        <f t="shared" ref="DD141:DD204" si="356">IFERROR(DE141/$DA141*10,0)</f>
        <v>0</v>
      </c>
      <c r="DE141" s="1826" t="e">
        <f>DE139</f>
        <v>#REF!</v>
      </c>
      <c r="DF141" s="2003">
        <f t="shared" ref="DF141:DF204" si="357">IFERROR(DG141/$DA141*10,0)</f>
        <v>0</v>
      </c>
      <c r="DG141" s="1826" t="e">
        <f>DG139</f>
        <v>#REF!</v>
      </c>
      <c r="DH141" s="1826"/>
      <c r="DI141" s="2002" t="e">
        <f t="shared" ref="DI141:DI204" si="358">IF(DA141=0,0,(DJ141/(DA141)*10))</f>
        <v>#REF!</v>
      </c>
      <c r="DJ141" s="2008" t="e">
        <f>DJ139</f>
        <v>#REF!</v>
      </c>
      <c r="DK141" s="2007" t="e">
        <f>DK139</f>
        <v>#REF!</v>
      </c>
      <c r="DL141" s="2003">
        <f t="shared" ref="DL141:DL204" si="359">IFERROR(DM141/$DK141*10,0)</f>
        <v>0</v>
      </c>
      <c r="DM141" s="1826" t="e">
        <f>DM139</f>
        <v>#REF!</v>
      </c>
      <c r="DN141" s="2003">
        <f t="shared" ref="DN141:DN204" si="360">IFERROR(DO141/$DK141*10,0)</f>
        <v>0</v>
      </c>
      <c r="DO141" s="1826" t="e">
        <f>DO139</f>
        <v>#REF!</v>
      </c>
      <c r="DP141" s="2003">
        <f t="shared" ref="DP141:DP204" si="361">IFERROR(DQ141/$DK141*10,0)</f>
        <v>0</v>
      </c>
      <c r="DQ141" s="1826" t="e">
        <f>DQ139</f>
        <v>#REF!</v>
      </c>
      <c r="DR141" s="1826"/>
      <c r="DS141" s="2002" t="e">
        <f t="shared" ref="DS141:DS204" si="362">IF(DK141=0,0,(DT141/(DK141)*10))</f>
        <v>#REF!</v>
      </c>
      <c r="DT141" s="2009" t="e">
        <f t="shared" ref="DT141:EB141" si="363">DT139</f>
        <v>#REF!</v>
      </c>
      <c r="DU141" s="2010" t="e">
        <f t="shared" si="363"/>
        <v>#REF!</v>
      </c>
      <c r="DV141" s="2003">
        <f t="shared" ref="DV141:DV204" si="364">IFERROR(DW141/$DU141*10,0)</f>
        <v>0</v>
      </c>
      <c r="DW141" s="1826" t="e">
        <f t="shared" si="363"/>
        <v>#REF!</v>
      </c>
      <c r="DX141" s="2003">
        <f t="shared" ref="DX141:DX204" si="365">IFERROR(DY141/$DU141*10,0)</f>
        <v>0</v>
      </c>
      <c r="DY141" s="1826" t="e">
        <f t="shared" si="363"/>
        <v>#REF!</v>
      </c>
      <c r="DZ141" s="2003">
        <f t="shared" ref="DZ141:DZ204" si="366">IFERROR(EA141/$DU141*10,0)</f>
        <v>0</v>
      </c>
      <c r="EA141" s="1826" t="e">
        <f t="shared" si="363"/>
        <v>#REF!</v>
      </c>
      <c r="EB141" s="1826" t="e">
        <f t="shared" si="363"/>
        <v>#REF!</v>
      </c>
      <c r="EC141" s="2002" t="e">
        <f t="shared" ref="EC141:EC204" si="367">IF(DU141=0,0,(ED141/(DU141)*10))</f>
        <v>#REF!</v>
      </c>
      <c r="ED141" s="1826" t="e">
        <f>ED139</f>
        <v>#REF!</v>
      </c>
      <c r="EE141" s="2011" t="e">
        <f>SUM(EE139:EE140)</f>
        <v>#REF!</v>
      </c>
      <c r="EF141" s="2003">
        <f t="shared" ref="EF141:EF204" si="368">IFERROR(EG141/$EE141*10,0)</f>
        <v>0</v>
      </c>
      <c r="EG141" s="1826" t="e">
        <f>SUM(EG139:EG140)</f>
        <v>#REF!</v>
      </c>
      <c r="EH141" s="2003">
        <f t="shared" ref="EH141:EH204" si="369">IFERROR(EI141/$EE141*10,0)</f>
        <v>0</v>
      </c>
      <c r="EI141" s="1826" t="e">
        <f>SUM(EI139:EI140)</f>
        <v>#REF!</v>
      </c>
      <c r="EJ141" s="2003">
        <f t="shared" ref="EJ141:EJ204" si="370">IFERROR(EK141/$EE141*10,0)</f>
        <v>0</v>
      </c>
      <c r="EK141" s="1826" t="e">
        <f>SUM(EK139:EK140)</f>
        <v>#REF!</v>
      </c>
      <c r="EL141" s="1826" t="e">
        <f>SUM(EL139:EL140)</f>
        <v>#REF!</v>
      </c>
      <c r="EM141" s="2006" t="e">
        <f t="shared" ref="EM141:EM204" si="371">IF(EE141=0,0,(EN141/(EE141)*10))</f>
        <v>#REF!</v>
      </c>
      <c r="EN141" s="2008" t="e">
        <f>SUM(EN139:EN140)</f>
        <v>#REF!</v>
      </c>
      <c r="EO141" s="1659"/>
      <c r="EP141" s="1613" t="e">
        <f>EA141-#REF!/10^7</f>
        <v>#REF!</v>
      </c>
      <c r="EQ141" s="1661"/>
      <c r="EW141" s="1611" t="e">
        <v>#N/A</v>
      </c>
      <c r="EX141" s="1612">
        <v>0</v>
      </c>
      <c r="EZ141" s="1650">
        <f t="shared" ref="EZ141:EZ204" si="372">IFERROR(EI141/(EE141*10^6),0)</f>
        <v>0</v>
      </c>
    </row>
    <row r="142" spans="1:156" ht="21" customHeight="1">
      <c r="A142" s="1652"/>
      <c r="B142" s="1644"/>
      <c r="C142" s="1662"/>
      <c r="D142" s="1648"/>
      <c r="E142" s="1648"/>
      <c r="F142" s="1648"/>
      <c r="G142" s="1648"/>
      <c r="H142" s="1648"/>
      <c r="I142" s="1648"/>
      <c r="J142" s="1663"/>
      <c r="K142" s="1648"/>
      <c r="L142" s="1648"/>
      <c r="M142" s="1648"/>
      <c r="N142" s="1642"/>
      <c r="O142" s="2000"/>
      <c r="P142" s="2003">
        <f t="shared" si="317"/>
        <v>0</v>
      </c>
      <c r="Q142" s="1989"/>
      <c r="R142" s="2003">
        <f t="shared" si="318"/>
        <v>0</v>
      </c>
      <c r="S142" s="1989"/>
      <c r="T142" s="2003">
        <f t="shared" si="319"/>
        <v>0</v>
      </c>
      <c r="U142" s="1989"/>
      <c r="V142" s="1989"/>
      <c r="W142" s="1989">
        <f t="shared" si="320"/>
        <v>0</v>
      </c>
      <c r="X142" s="1999"/>
      <c r="Y142" s="1993"/>
      <c r="Z142" s="2003">
        <f t="shared" si="321"/>
        <v>0</v>
      </c>
      <c r="AA142" s="1989"/>
      <c r="AB142" s="2003">
        <f t="shared" si="322"/>
        <v>0</v>
      </c>
      <c r="AC142" s="1989"/>
      <c r="AD142" s="2003">
        <f t="shared" si="323"/>
        <v>0</v>
      </c>
      <c r="AE142" s="1989"/>
      <c r="AF142" s="1989"/>
      <c r="AG142" s="2002">
        <f t="shared" si="324"/>
        <v>0</v>
      </c>
      <c r="AH142" s="1999">
        <f t="shared" si="314"/>
        <v>0</v>
      </c>
      <c r="AI142" s="1993"/>
      <c r="AJ142" s="2003">
        <f t="shared" si="326"/>
        <v>0</v>
      </c>
      <c r="AK142" s="1989"/>
      <c r="AL142" s="2003">
        <f t="shared" si="327"/>
        <v>0</v>
      </c>
      <c r="AM142" s="1989"/>
      <c r="AN142" s="2003">
        <f t="shared" si="328"/>
        <v>0</v>
      </c>
      <c r="AO142" s="1989"/>
      <c r="AP142" s="1989"/>
      <c r="AQ142" s="2002">
        <f t="shared" si="329"/>
        <v>0</v>
      </c>
      <c r="AR142" s="1999"/>
      <c r="AS142" s="1993"/>
      <c r="AT142" s="2003">
        <f t="shared" si="331"/>
        <v>0</v>
      </c>
      <c r="AU142" s="1989"/>
      <c r="AV142" s="2003">
        <f t="shared" si="332"/>
        <v>0</v>
      </c>
      <c r="AW142" s="1989"/>
      <c r="AX142" s="2003">
        <f t="shared" si="333"/>
        <v>0</v>
      </c>
      <c r="AY142" s="1989"/>
      <c r="AZ142" s="1989"/>
      <c r="BA142" s="2002">
        <f t="shared" si="334"/>
        <v>0</v>
      </c>
      <c r="BB142" s="1999"/>
      <c r="BC142" s="1993"/>
      <c r="BD142" s="2003">
        <f t="shared" si="335"/>
        <v>0</v>
      </c>
      <c r="BE142" s="1989"/>
      <c r="BF142" s="2003">
        <f t="shared" si="336"/>
        <v>0</v>
      </c>
      <c r="BG142" s="1989"/>
      <c r="BH142" s="2003">
        <f t="shared" si="337"/>
        <v>0</v>
      </c>
      <c r="BI142" s="1989"/>
      <c r="BJ142" s="1989"/>
      <c r="BK142" s="2002">
        <f t="shared" si="338"/>
        <v>0</v>
      </c>
      <c r="BL142" s="1999"/>
      <c r="BM142" s="1993"/>
      <c r="BN142" s="2003">
        <f t="shared" si="339"/>
        <v>0</v>
      </c>
      <c r="BO142" s="1989"/>
      <c r="BP142" s="2003">
        <f t="shared" si="340"/>
        <v>0</v>
      </c>
      <c r="BQ142" s="1989"/>
      <c r="BR142" s="2003">
        <f t="shared" si="341"/>
        <v>0</v>
      </c>
      <c r="BS142" s="1989"/>
      <c r="BT142" s="1989"/>
      <c r="BU142" s="2002">
        <f t="shared" si="342"/>
        <v>0</v>
      </c>
      <c r="BV142" s="1999"/>
      <c r="BW142" s="1993"/>
      <c r="BX142" s="2003">
        <f t="shared" si="343"/>
        <v>0</v>
      </c>
      <c r="BY142" s="1989"/>
      <c r="BZ142" s="2003">
        <f t="shared" si="344"/>
        <v>0</v>
      </c>
      <c r="CA142" s="1989"/>
      <c r="CB142" s="2003">
        <f t="shared" si="345"/>
        <v>0</v>
      </c>
      <c r="CC142" s="1989"/>
      <c r="CD142" s="1989"/>
      <c r="CE142" s="2002">
        <f t="shared" si="346"/>
        <v>0</v>
      </c>
      <c r="CF142" s="1999"/>
      <c r="CG142" s="1993"/>
      <c r="CH142" s="2003">
        <f t="shared" si="347"/>
        <v>0</v>
      </c>
      <c r="CI142" s="1989"/>
      <c r="CJ142" s="2003">
        <f t="shared" si="348"/>
        <v>0</v>
      </c>
      <c r="CK142" s="1989"/>
      <c r="CL142" s="2003">
        <f t="shared" si="349"/>
        <v>0</v>
      </c>
      <c r="CM142" s="1989"/>
      <c r="CN142" s="1989"/>
      <c r="CO142" s="2002">
        <f t="shared" si="350"/>
        <v>0</v>
      </c>
      <c r="CP142" s="1999"/>
      <c r="CQ142" s="1993"/>
      <c r="CR142" s="2003">
        <f t="shared" si="351"/>
        <v>0</v>
      </c>
      <c r="CS142" s="1989"/>
      <c r="CT142" s="2003">
        <f t="shared" si="352"/>
        <v>0</v>
      </c>
      <c r="CU142" s="1989"/>
      <c r="CV142" s="2003">
        <f t="shared" si="353"/>
        <v>0</v>
      </c>
      <c r="CW142" s="1989"/>
      <c r="CX142" s="1989"/>
      <c r="CY142" s="2002">
        <f t="shared" si="354"/>
        <v>0</v>
      </c>
      <c r="CZ142" s="1999"/>
      <c r="DA142" s="1993"/>
      <c r="DB142" s="2003">
        <f t="shared" si="355"/>
        <v>0</v>
      </c>
      <c r="DC142" s="1989"/>
      <c r="DD142" s="2003">
        <f t="shared" si="356"/>
        <v>0</v>
      </c>
      <c r="DE142" s="1989"/>
      <c r="DF142" s="2003">
        <f t="shared" si="357"/>
        <v>0</v>
      </c>
      <c r="DG142" s="1989"/>
      <c r="DH142" s="1989"/>
      <c r="DI142" s="2002">
        <f t="shared" si="358"/>
        <v>0</v>
      </c>
      <c r="DJ142" s="1999"/>
      <c r="DK142" s="1993"/>
      <c r="DL142" s="2003">
        <f t="shared" si="359"/>
        <v>0</v>
      </c>
      <c r="DM142" s="1989"/>
      <c r="DN142" s="2003">
        <f t="shared" si="360"/>
        <v>0</v>
      </c>
      <c r="DO142" s="1989"/>
      <c r="DP142" s="2003">
        <f t="shared" si="361"/>
        <v>0</v>
      </c>
      <c r="DQ142" s="1989"/>
      <c r="DR142" s="1989"/>
      <c r="DS142" s="2002">
        <f t="shared" si="362"/>
        <v>0</v>
      </c>
      <c r="DT142" s="2004"/>
      <c r="DU142" s="1988"/>
      <c r="DV142" s="2003">
        <f t="shared" si="364"/>
        <v>0</v>
      </c>
      <c r="DW142" s="1989"/>
      <c r="DX142" s="2003">
        <f t="shared" si="365"/>
        <v>0</v>
      </c>
      <c r="DY142" s="1989"/>
      <c r="DZ142" s="2003">
        <f t="shared" si="366"/>
        <v>0</v>
      </c>
      <c r="EA142" s="1989"/>
      <c r="EB142" s="1989"/>
      <c r="EC142" s="2002">
        <f t="shared" si="367"/>
        <v>0</v>
      </c>
      <c r="ED142" s="1998"/>
      <c r="EE142" s="2005"/>
      <c r="EF142" s="2003">
        <f t="shared" si="368"/>
        <v>0</v>
      </c>
      <c r="EG142" s="1989"/>
      <c r="EH142" s="2003">
        <f t="shared" si="369"/>
        <v>0</v>
      </c>
      <c r="EI142" s="1989"/>
      <c r="EJ142" s="2003">
        <f t="shared" si="370"/>
        <v>0</v>
      </c>
      <c r="EK142" s="1989"/>
      <c r="EL142" s="1989"/>
      <c r="EM142" s="2006">
        <f t="shared" si="371"/>
        <v>0</v>
      </c>
      <c r="EN142" s="1999"/>
      <c r="EP142" s="1613" t="e">
        <f>EA142-#REF!/10^7</f>
        <v>#REF!</v>
      </c>
      <c r="EW142" s="1611" t="e">
        <v>#N/A</v>
      </c>
      <c r="EX142" s="1612" t="e">
        <v>#N/A</v>
      </c>
      <c r="EZ142" s="1650">
        <f t="shared" si="372"/>
        <v>0</v>
      </c>
    </row>
    <row r="143" spans="1:156" ht="21" customHeight="1">
      <c r="A143" s="1637" t="s">
        <v>706</v>
      </c>
      <c r="B143" s="1638" t="s">
        <v>1757</v>
      </c>
      <c r="C143" s="1662"/>
      <c r="D143" s="1648"/>
      <c r="E143" s="1648"/>
      <c r="F143" s="1648"/>
      <c r="G143" s="1648"/>
      <c r="H143" s="1648"/>
      <c r="I143" s="1648"/>
      <c r="J143" s="1649"/>
      <c r="K143" s="1648"/>
      <c r="L143" s="1648"/>
      <c r="M143" s="1648"/>
      <c r="N143" s="1642"/>
      <c r="O143" s="2000"/>
      <c r="P143" s="2003">
        <f t="shared" si="317"/>
        <v>0</v>
      </c>
      <c r="Q143" s="1989"/>
      <c r="R143" s="2003">
        <f t="shared" si="318"/>
        <v>0</v>
      </c>
      <c r="S143" s="1989"/>
      <c r="T143" s="2003">
        <f t="shared" si="319"/>
        <v>0</v>
      </c>
      <c r="U143" s="1989"/>
      <c r="V143" s="1989"/>
      <c r="W143" s="1989">
        <f t="shared" si="320"/>
        <v>0</v>
      </c>
      <c r="X143" s="1999"/>
      <c r="Y143" s="1993"/>
      <c r="Z143" s="2003">
        <f t="shared" si="321"/>
        <v>0</v>
      </c>
      <c r="AA143" s="1989"/>
      <c r="AB143" s="2003">
        <f t="shared" si="322"/>
        <v>0</v>
      </c>
      <c r="AC143" s="1989"/>
      <c r="AD143" s="2003">
        <f t="shared" si="323"/>
        <v>0</v>
      </c>
      <c r="AE143" s="1989"/>
      <c r="AF143" s="1989"/>
      <c r="AG143" s="2002">
        <f t="shared" si="324"/>
        <v>0</v>
      </c>
      <c r="AH143" s="1999">
        <f t="shared" si="314"/>
        <v>0</v>
      </c>
      <c r="AI143" s="1993"/>
      <c r="AJ143" s="2003">
        <f t="shared" si="326"/>
        <v>0</v>
      </c>
      <c r="AK143" s="1989"/>
      <c r="AL143" s="2003">
        <f t="shared" si="327"/>
        <v>0</v>
      </c>
      <c r="AM143" s="1989"/>
      <c r="AN143" s="2003">
        <f t="shared" si="328"/>
        <v>0</v>
      </c>
      <c r="AO143" s="1989"/>
      <c r="AP143" s="1989"/>
      <c r="AQ143" s="2002">
        <f t="shared" si="329"/>
        <v>0</v>
      </c>
      <c r="AR143" s="1999">
        <f t="shared" si="315"/>
        <v>0</v>
      </c>
      <c r="AS143" s="1993"/>
      <c r="AT143" s="2003">
        <f t="shared" si="331"/>
        <v>0</v>
      </c>
      <c r="AU143" s="1989"/>
      <c r="AV143" s="2003">
        <f t="shared" si="332"/>
        <v>0</v>
      </c>
      <c r="AW143" s="1989"/>
      <c r="AX143" s="2003">
        <f t="shared" si="333"/>
        <v>0</v>
      </c>
      <c r="AY143" s="1989"/>
      <c r="AZ143" s="1989"/>
      <c r="BA143" s="2002">
        <f t="shared" si="334"/>
        <v>0</v>
      </c>
      <c r="BB143" s="1999">
        <f>AU143+AW143+AY143+AZ143</f>
        <v>0</v>
      </c>
      <c r="BC143" s="1993"/>
      <c r="BD143" s="2003">
        <f t="shared" si="335"/>
        <v>0</v>
      </c>
      <c r="BE143" s="1989"/>
      <c r="BF143" s="2003">
        <f t="shared" si="336"/>
        <v>0</v>
      </c>
      <c r="BG143" s="1989"/>
      <c r="BH143" s="2003">
        <f t="shared" si="337"/>
        <v>0</v>
      </c>
      <c r="BI143" s="1989"/>
      <c r="BJ143" s="1989"/>
      <c r="BK143" s="2002">
        <f t="shared" si="338"/>
        <v>0</v>
      </c>
      <c r="BL143" s="1999">
        <f>BE143+BG143+BI143+BJ143</f>
        <v>0</v>
      </c>
      <c r="BM143" s="1993"/>
      <c r="BN143" s="2003">
        <f t="shared" si="339"/>
        <v>0</v>
      </c>
      <c r="BO143" s="1989"/>
      <c r="BP143" s="2003">
        <f t="shared" si="340"/>
        <v>0</v>
      </c>
      <c r="BQ143" s="1989"/>
      <c r="BR143" s="2003">
        <f t="shared" si="341"/>
        <v>0</v>
      </c>
      <c r="BS143" s="1989"/>
      <c r="BT143" s="1989"/>
      <c r="BU143" s="2002">
        <f t="shared" si="342"/>
        <v>0</v>
      </c>
      <c r="BV143" s="1999">
        <f>BO143+BQ143+BS143+BT143</f>
        <v>0</v>
      </c>
      <c r="BW143" s="1993"/>
      <c r="BX143" s="2003">
        <f t="shared" si="343"/>
        <v>0</v>
      </c>
      <c r="BY143" s="1989"/>
      <c r="BZ143" s="2003">
        <f t="shared" si="344"/>
        <v>0</v>
      </c>
      <c r="CA143" s="1989"/>
      <c r="CB143" s="2003">
        <f t="shared" si="345"/>
        <v>0</v>
      </c>
      <c r="CC143" s="1989"/>
      <c r="CD143" s="1989"/>
      <c r="CE143" s="2002">
        <f t="shared" si="346"/>
        <v>0</v>
      </c>
      <c r="CF143" s="1999">
        <f>BY143+CA143+CC143+CD143</f>
        <v>0</v>
      </c>
      <c r="CG143" s="1993"/>
      <c r="CH143" s="2003">
        <f t="shared" si="347"/>
        <v>0</v>
      </c>
      <c r="CI143" s="1989"/>
      <c r="CJ143" s="2003">
        <f t="shared" si="348"/>
        <v>0</v>
      </c>
      <c r="CK143" s="1989"/>
      <c r="CL143" s="2003">
        <f t="shared" si="349"/>
        <v>0</v>
      </c>
      <c r="CM143" s="1989"/>
      <c r="CN143" s="1989"/>
      <c r="CO143" s="2002">
        <f t="shared" si="350"/>
        <v>0</v>
      </c>
      <c r="CP143" s="1999">
        <f>CI143+CK143+CM143+CN143</f>
        <v>0</v>
      </c>
      <c r="CQ143" s="1993"/>
      <c r="CR143" s="2003">
        <f t="shared" si="351"/>
        <v>0</v>
      </c>
      <c r="CS143" s="1989"/>
      <c r="CT143" s="2003">
        <f t="shared" si="352"/>
        <v>0</v>
      </c>
      <c r="CU143" s="1989"/>
      <c r="CV143" s="2003">
        <f t="shared" si="353"/>
        <v>0</v>
      </c>
      <c r="CW143" s="1989"/>
      <c r="CX143" s="1989"/>
      <c r="CY143" s="2002">
        <f t="shared" si="354"/>
        <v>0</v>
      </c>
      <c r="CZ143" s="1999">
        <f>CS143+CU143+CW143+CX143</f>
        <v>0</v>
      </c>
      <c r="DA143" s="1993"/>
      <c r="DB143" s="2003">
        <f t="shared" si="355"/>
        <v>0</v>
      </c>
      <c r="DC143" s="1989"/>
      <c r="DD143" s="2003">
        <f t="shared" si="356"/>
        <v>0</v>
      </c>
      <c r="DE143" s="1989"/>
      <c r="DF143" s="2003">
        <f t="shared" si="357"/>
        <v>0</v>
      </c>
      <c r="DG143" s="1989"/>
      <c r="DH143" s="1989"/>
      <c r="DI143" s="2002">
        <f t="shared" si="358"/>
        <v>0</v>
      </c>
      <c r="DJ143" s="1999">
        <f>DC143+DE143+DG143+DH143</f>
        <v>0</v>
      </c>
      <c r="DK143" s="1993"/>
      <c r="DL143" s="2003">
        <f t="shared" si="359"/>
        <v>0</v>
      </c>
      <c r="DM143" s="1989"/>
      <c r="DN143" s="2003">
        <f t="shared" si="360"/>
        <v>0</v>
      </c>
      <c r="DO143" s="1989"/>
      <c r="DP143" s="2003">
        <f t="shared" si="361"/>
        <v>0</v>
      </c>
      <c r="DQ143" s="1989"/>
      <c r="DR143" s="1989"/>
      <c r="DS143" s="2002">
        <f t="shared" si="362"/>
        <v>0</v>
      </c>
      <c r="DT143" s="2004">
        <f>DM143+DO143+DQ143+DR143</f>
        <v>0</v>
      </c>
      <c r="DU143" s="1988"/>
      <c r="DV143" s="2003">
        <f t="shared" si="364"/>
        <v>0</v>
      </c>
      <c r="DW143" s="1989"/>
      <c r="DX143" s="2003">
        <f t="shared" si="365"/>
        <v>0</v>
      </c>
      <c r="DY143" s="1989"/>
      <c r="DZ143" s="2003">
        <f t="shared" si="366"/>
        <v>0</v>
      </c>
      <c r="EA143" s="1989"/>
      <c r="EB143" s="1989"/>
      <c r="EC143" s="2002">
        <f t="shared" si="367"/>
        <v>0</v>
      </c>
      <c r="ED143" s="1998"/>
      <c r="EE143" s="2005"/>
      <c r="EF143" s="2003">
        <f t="shared" si="368"/>
        <v>0</v>
      </c>
      <c r="EG143" s="1989"/>
      <c r="EH143" s="2003">
        <f t="shared" si="369"/>
        <v>0</v>
      </c>
      <c r="EI143" s="1989"/>
      <c r="EJ143" s="2003">
        <f t="shared" si="370"/>
        <v>0</v>
      </c>
      <c r="EK143" s="1989"/>
      <c r="EL143" s="1989"/>
      <c r="EM143" s="2006">
        <f t="shared" si="371"/>
        <v>0</v>
      </c>
      <c r="EN143" s="1999"/>
      <c r="EP143" s="1613" t="e">
        <f>EA143-#REF!/10^7</f>
        <v>#REF!</v>
      </c>
      <c r="EW143" s="1611" t="e">
        <v>#N/A</v>
      </c>
      <c r="EX143" s="1612">
        <v>0</v>
      </c>
      <c r="EZ143" s="1650">
        <f t="shared" si="372"/>
        <v>0</v>
      </c>
    </row>
    <row r="144" spans="1:156" ht="21" customHeight="1">
      <c r="A144" s="1637"/>
      <c r="B144" s="1638" t="s">
        <v>1745</v>
      </c>
      <c r="C144" s="1645"/>
      <c r="D144" s="1648"/>
      <c r="E144" s="1648"/>
      <c r="F144" s="1648"/>
      <c r="G144" s="1648"/>
      <c r="H144" s="1648"/>
      <c r="I144" s="1648"/>
      <c r="J144" s="1649"/>
      <c r="K144" s="1648"/>
      <c r="L144" s="1648"/>
      <c r="M144" s="1648"/>
      <c r="N144" s="1642"/>
      <c r="O144" s="2000"/>
      <c r="P144" s="2003">
        <f t="shared" si="317"/>
        <v>0</v>
      </c>
      <c r="Q144" s="1989"/>
      <c r="R144" s="2003">
        <f t="shared" si="318"/>
        <v>0</v>
      </c>
      <c r="S144" s="1989"/>
      <c r="T144" s="2003">
        <f t="shared" si="319"/>
        <v>0</v>
      </c>
      <c r="U144" s="1989"/>
      <c r="V144" s="1989"/>
      <c r="W144" s="1989">
        <f t="shared" si="320"/>
        <v>0</v>
      </c>
      <c r="X144" s="1999"/>
      <c r="Y144" s="1993"/>
      <c r="Z144" s="2003">
        <f t="shared" si="321"/>
        <v>0</v>
      </c>
      <c r="AA144" s="1989"/>
      <c r="AB144" s="2003">
        <f t="shared" si="322"/>
        <v>0</v>
      </c>
      <c r="AC144" s="1989"/>
      <c r="AD144" s="2003">
        <f t="shared" si="323"/>
        <v>0</v>
      </c>
      <c r="AE144" s="1989"/>
      <c r="AF144" s="1989"/>
      <c r="AG144" s="2002">
        <f t="shared" si="324"/>
        <v>0</v>
      </c>
      <c r="AH144" s="1995"/>
      <c r="AI144" s="1993"/>
      <c r="AJ144" s="2003">
        <f t="shared" si="326"/>
        <v>0</v>
      </c>
      <c r="AK144" s="1989"/>
      <c r="AL144" s="2003">
        <f t="shared" si="327"/>
        <v>0</v>
      </c>
      <c r="AM144" s="1989"/>
      <c r="AN144" s="2003">
        <f t="shared" si="328"/>
        <v>0</v>
      </c>
      <c r="AO144" s="1989"/>
      <c r="AP144" s="1989"/>
      <c r="AQ144" s="2002">
        <f t="shared" si="329"/>
        <v>0</v>
      </c>
      <c r="AR144" s="1995"/>
      <c r="AS144" s="1993"/>
      <c r="AT144" s="2003">
        <f t="shared" si="331"/>
        <v>0</v>
      </c>
      <c r="AU144" s="1989"/>
      <c r="AV144" s="2003">
        <f t="shared" si="332"/>
        <v>0</v>
      </c>
      <c r="AW144" s="1989"/>
      <c r="AX144" s="2003">
        <f t="shared" si="333"/>
        <v>0</v>
      </c>
      <c r="AY144" s="1989"/>
      <c r="AZ144" s="1989"/>
      <c r="BA144" s="2002">
        <f t="shared" si="334"/>
        <v>0</v>
      </c>
      <c r="BB144" s="1995"/>
      <c r="BC144" s="1993"/>
      <c r="BD144" s="2003">
        <f t="shared" si="335"/>
        <v>0</v>
      </c>
      <c r="BE144" s="1989"/>
      <c r="BF144" s="2003">
        <f t="shared" si="336"/>
        <v>0</v>
      </c>
      <c r="BG144" s="1989"/>
      <c r="BH144" s="2003">
        <f t="shared" si="337"/>
        <v>0</v>
      </c>
      <c r="BI144" s="1989"/>
      <c r="BJ144" s="1989"/>
      <c r="BK144" s="2002">
        <f t="shared" si="338"/>
        <v>0</v>
      </c>
      <c r="BL144" s="1995"/>
      <c r="BM144" s="1993"/>
      <c r="BN144" s="2003">
        <f t="shared" si="339"/>
        <v>0</v>
      </c>
      <c r="BO144" s="1989"/>
      <c r="BP144" s="2003">
        <f t="shared" si="340"/>
        <v>0</v>
      </c>
      <c r="BQ144" s="1989"/>
      <c r="BR144" s="2003">
        <f t="shared" si="341"/>
        <v>0</v>
      </c>
      <c r="BS144" s="1989"/>
      <c r="BT144" s="1989"/>
      <c r="BU144" s="2002">
        <f t="shared" si="342"/>
        <v>0</v>
      </c>
      <c r="BV144" s="1995"/>
      <c r="BW144" s="1993"/>
      <c r="BX144" s="2003">
        <f t="shared" si="343"/>
        <v>0</v>
      </c>
      <c r="BY144" s="1989"/>
      <c r="BZ144" s="2003">
        <f t="shared" si="344"/>
        <v>0</v>
      </c>
      <c r="CA144" s="1989"/>
      <c r="CB144" s="2003">
        <f t="shared" si="345"/>
        <v>0</v>
      </c>
      <c r="CC144" s="1989"/>
      <c r="CD144" s="1989"/>
      <c r="CE144" s="2002">
        <f t="shared" si="346"/>
        <v>0</v>
      </c>
      <c r="CF144" s="1995"/>
      <c r="CG144" s="1993"/>
      <c r="CH144" s="2003">
        <f t="shared" si="347"/>
        <v>0</v>
      </c>
      <c r="CI144" s="1989"/>
      <c r="CJ144" s="2003">
        <f t="shared" si="348"/>
        <v>0</v>
      </c>
      <c r="CK144" s="1989"/>
      <c r="CL144" s="2003">
        <f t="shared" si="349"/>
        <v>0</v>
      </c>
      <c r="CM144" s="1989"/>
      <c r="CN144" s="1989"/>
      <c r="CO144" s="2002">
        <f t="shared" si="350"/>
        <v>0</v>
      </c>
      <c r="CP144" s="1995"/>
      <c r="CQ144" s="1993"/>
      <c r="CR144" s="2003">
        <f t="shared" si="351"/>
        <v>0</v>
      </c>
      <c r="CS144" s="1989"/>
      <c r="CT144" s="2003">
        <f t="shared" si="352"/>
        <v>0</v>
      </c>
      <c r="CU144" s="1989"/>
      <c r="CV144" s="2003">
        <f t="shared" si="353"/>
        <v>0</v>
      </c>
      <c r="CW144" s="1989"/>
      <c r="CX144" s="1989"/>
      <c r="CY144" s="2002">
        <f t="shared" si="354"/>
        <v>0</v>
      </c>
      <c r="CZ144" s="1999">
        <f t="shared" ref="CZ144:CZ152" si="373">CS144+CU144+CW144+CX144</f>
        <v>0</v>
      </c>
      <c r="DA144" s="1993"/>
      <c r="DB144" s="2003">
        <f t="shared" si="355"/>
        <v>0</v>
      </c>
      <c r="DC144" s="1989"/>
      <c r="DD144" s="2003">
        <f t="shared" si="356"/>
        <v>0</v>
      </c>
      <c r="DE144" s="1989"/>
      <c r="DF144" s="2003">
        <f t="shared" si="357"/>
        <v>0</v>
      </c>
      <c r="DG144" s="1989"/>
      <c r="DH144" s="1989"/>
      <c r="DI144" s="2002">
        <f t="shared" si="358"/>
        <v>0</v>
      </c>
      <c r="DJ144" s="1999">
        <f t="shared" ref="DJ144:DJ152" si="374">DC144+DE144+DG144+DH144</f>
        <v>0</v>
      </c>
      <c r="DK144" s="1993"/>
      <c r="DL144" s="2003">
        <f t="shared" si="359"/>
        <v>0</v>
      </c>
      <c r="DM144" s="1989"/>
      <c r="DN144" s="2003">
        <f t="shared" si="360"/>
        <v>0</v>
      </c>
      <c r="DO144" s="1989"/>
      <c r="DP144" s="2003">
        <f t="shared" si="361"/>
        <v>0</v>
      </c>
      <c r="DQ144" s="1989"/>
      <c r="DR144" s="1989"/>
      <c r="DS144" s="2002">
        <f t="shared" si="362"/>
        <v>0</v>
      </c>
      <c r="DT144" s="2004">
        <f t="shared" ref="DT144:DT152" si="375">DM144+DO144+DQ144+DR144</f>
        <v>0</v>
      </c>
      <c r="DU144" s="1988"/>
      <c r="DV144" s="2003">
        <f t="shared" si="364"/>
        <v>0</v>
      </c>
      <c r="DW144" s="1989"/>
      <c r="DX144" s="2003">
        <f t="shared" si="365"/>
        <v>0</v>
      </c>
      <c r="DY144" s="1989"/>
      <c r="DZ144" s="2003">
        <f t="shared" si="366"/>
        <v>0</v>
      </c>
      <c r="EA144" s="1989"/>
      <c r="EB144" s="1989"/>
      <c r="EC144" s="2002">
        <f t="shared" si="367"/>
        <v>0</v>
      </c>
      <c r="ED144" s="1998"/>
      <c r="EE144" s="2005"/>
      <c r="EF144" s="2003">
        <f t="shared" si="368"/>
        <v>0</v>
      </c>
      <c r="EG144" s="1989"/>
      <c r="EH144" s="2003">
        <f t="shared" si="369"/>
        <v>0</v>
      </c>
      <c r="EI144" s="1989"/>
      <c r="EJ144" s="2003">
        <f t="shared" si="370"/>
        <v>0</v>
      </c>
      <c r="EK144" s="1989"/>
      <c r="EL144" s="1989"/>
      <c r="EM144" s="2006">
        <f t="shared" si="371"/>
        <v>0</v>
      </c>
      <c r="EN144" s="1999"/>
      <c r="EP144" s="1613" t="e">
        <f>EA144-#REF!/10^7</f>
        <v>#REF!</v>
      </c>
      <c r="EW144" s="1611" t="e">
        <v>#N/A</v>
      </c>
      <c r="EX144" s="1612">
        <v>0</v>
      </c>
      <c r="EZ144" s="1650">
        <f t="shared" si="372"/>
        <v>0</v>
      </c>
    </row>
    <row r="145" spans="1:156" ht="21" customHeight="1">
      <c r="A145" s="1652">
        <v>1</v>
      </c>
      <c r="B145" s="1680" t="s">
        <v>1758</v>
      </c>
      <c r="C145" s="1645">
        <v>1020</v>
      </c>
      <c r="D145" s="1646">
        <f>H145/C145*100</f>
        <v>4.3656862745098044</v>
      </c>
      <c r="E145" s="1646" t="s">
        <v>1594</v>
      </c>
      <c r="F145" s="1648" t="s">
        <v>1594</v>
      </c>
      <c r="G145" s="1648"/>
      <c r="H145" s="1648">
        <v>44.53</v>
      </c>
      <c r="I145" s="1648" t="s">
        <v>1717</v>
      </c>
      <c r="J145" s="1649">
        <v>1</v>
      </c>
      <c r="K145" s="1648"/>
      <c r="L145" s="1648"/>
      <c r="M145" s="1648"/>
      <c r="N145" s="1642"/>
      <c r="O145" s="2000" t="e">
        <f>#REF!</f>
        <v>#REF!</v>
      </c>
      <c r="P145" s="2003">
        <f t="shared" si="317"/>
        <v>0</v>
      </c>
      <c r="Q145" s="1989" t="e">
        <f>#REF!/10^7</f>
        <v>#REF!</v>
      </c>
      <c r="R145" s="2003">
        <f t="shared" si="318"/>
        <v>0</v>
      </c>
      <c r="S145" s="1989" t="e">
        <f>#REF!/10^7</f>
        <v>#REF!</v>
      </c>
      <c r="T145" s="2003">
        <f t="shared" si="319"/>
        <v>0</v>
      </c>
      <c r="U145" s="1989" t="e">
        <f>#REF!/10^7</f>
        <v>#REF!</v>
      </c>
      <c r="V145" s="1989" t="e">
        <f>#REF!/10^7</f>
        <v>#REF!</v>
      </c>
      <c r="W145" s="1989">
        <f t="shared" si="320"/>
        <v>0</v>
      </c>
      <c r="X145" s="1999" t="e">
        <f t="shared" ref="X145:X152" si="376">Q145+S145+U145+V145</f>
        <v>#REF!</v>
      </c>
      <c r="Y145" s="1993" t="e">
        <f>#REF!</f>
        <v>#REF!</v>
      </c>
      <c r="Z145" s="2003">
        <f t="shared" si="321"/>
        <v>0</v>
      </c>
      <c r="AA145" s="1989" t="e">
        <f>#REF!/10^7</f>
        <v>#REF!</v>
      </c>
      <c r="AB145" s="2003">
        <f t="shared" si="322"/>
        <v>0</v>
      </c>
      <c r="AC145" s="1989" t="e">
        <f>#REF!/10^7</f>
        <v>#REF!</v>
      </c>
      <c r="AD145" s="2003">
        <f t="shared" si="323"/>
        <v>0</v>
      </c>
      <c r="AE145" s="1989" t="e">
        <f>#REF!/10^7</f>
        <v>#REF!</v>
      </c>
      <c r="AF145" s="1989" t="e">
        <f>#REF!/10^7</f>
        <v>#REF!</v>
      </c>
      <c r="AG145" s="2002" t="e">
        <f t="shared" si="324"/>
        <v>#REF!</v>
      </c>
      <c r="AH145" s="1999" t="e">
        <f t="shared" ref="AH145:AH149" si="377">AA145+AC145+AE145+AF145</f>
        <v>#REF!</v>
      </c>
      <c r="AI145" s="1993" t="e">
        <f>#REF!</f>
        <v>#REF!</v>
      </c>
      <c r="AJ145" s="2003">
        <f t="shared" si="326"/>
        <v>0</v>
      </c>
      <c r="AK145" s="1989" t="e">
        <f>#REF!/10^7</f>
        <v>#REF!</v>
      </c>
      <c r="AL145" s="2003">
        <f t="shared" si="327"/>
        <v>0</v>
      </c>
      <c r="AM145" s="1989" t="e">
        <f>#REF!/10^7</f>
        <v>#REF!</v>
      </c>
      <c r="AN145" s="2003">
        <f t="shared" si="328"/>
        <v>0</v>
      </c>
      <c r="AO145" s="1989" t="e">
        <f>#REF!/10^7</f>
        <v>#REF!</v>
      </c>
      <c r="AP145" s="1989" t="e">
        <f>#REF!/10^7</f>
        <v>#REF!</v>
      </c>
      <c r="AQ145" s="2002" t="e">
        <f t="shared" si="329"/>
        <v>#REF!</v>
      </c>
      <c r="AR145" s="1999" t="e">
        <f t="shared" ref="AR145:AR149" si="378">AK145+AM145+AO145+AP145</f>
        <v>#REF!</v>
      </c>
      <c r="AS145" s="1993" t="e">
        <f>#REF!</f>
        <v>#REF!</v>
      </c>
      <c r="AT145" s="2003">
        <f t="shared" si="331"/>
        <v>0</v>
      </c>
      <c r="AU145" s="1989" t="e">
        <f>#REF!/10^7</f>
        <v>#REF!</v>
      </c>
      <c r="AV145" s="2003">
        <f t="shared" si="332"/>
        <v>0</v>
      </c>
      <c r="AW145" s="1989" t="e">
        <f>#REF!/10^7</f>
        <v>#REF!</v>
      </c>
      <c r="AX145" s="2003">
        <f t="shared" si="333"/>
        <v>0</v>
      </c>
      <c r="AY145" s="1989" t="e">
        <f>#REF!/10^7</f>
        <v>#REF!</v>
      </c>
      <c r="AZ145" s="1989" t="e">
        <f>#REF!/10^7</f>
        <v>#REF!</v>
      </c>
      <c r="BA145" s="2002" t="e">
        <f t="shared" si="334"/>
        <v>#REF!</v>
      </c>
      <c r="BB145" s="1999" t="e">
        <f t="shared" ref="BB145:BB149" si="379">AU145+AW145+AY145+AZ145</f>
        <v>#REF!</v>
      </c>
      <c r="BC145" s="1993" t="e">
        <f>#REF!</f>
        <v>#REF!</v>
      </c>
      <c r="BD145" s="2003">
        <f t="shared" si="335"/>
        <v>0</v>
      </c>
      <c r="BE145" s="1989" t="e">
        <f>#REF!/10^7</f>
        <v>#REF!</v>
      </c>
      <c r="BF145" s="2003">
        <f t="shared" si="336"/>
        <v>0</v>
      </c>
      <c r="BG145" s="1989" t="e">
        <f>#REF!/10^7</f>
        <v>#REF!</v>
      </c>
      <c r="BH145" s="2003">
        <f t="shared" si="337"/>
        <v>0</v>
      </c>
      <c r="BI145" s="1989" t="e">
        <f>#REF!/10^7</f>
        <v>#REF!</v>
      </c>
      <c r="BJ145" s="1989" t="e">
        <f>#REF!/10^7</f>
        <v>#REF!</v>
      </c>
      <c r="BK145" s="2002" t="e">
        <f t="shared" si="338"/>
        <v>#REF!</v>
      </c>
      <c r="BL145" s="1999" t="e">
        <f t="shared" ref="BL145:BL149" si="380">BE145+BG145+BI145+BJ145</f>
        <v>#REF!</v>
      </c>
      <c r="BM145" s="1993" t="e">
        <f>#REF!</f>
        <v>#REF!</v>
      </c>
      <c r="BN145" s="2003">
        <f t="shared" si="339"/>
        <v>0</v>
      </c>
      <c r="BO145" s="1989" t="e">
        <f>#REF!/10^7</f>
        <v>#REF!</v>
      </c>
      <c r="BP145" s="2003">
        <f t="shared" si="340"/>
        <v>0</v>
      </c>
      <c r="BQ145" s="1989" t="e">
        <f>#REF!/10^7</f>
        <v>#REF!</v>
      </c>
      <c r="BR145" s="2003">
        <f t="shared" si="341"/>
        <v>0</v>
      </c>
      <c r="BS145" s="1989" t="e">
        <f>#REF!/10^7</f>
        <v>#REF!</v>
      </c>
      <c r="BT145" s="1989" t="e">
        <f>#REF!/10^7</f>
        <v>#REF!</v>
      </c>
      <c r="BU145" s="2002" t="e">
        <f t="shared" si="342"/>
        <v>#REF!</v>
      </c>
      <c r="BV145" s="1999" t="e">
        <f t="shared" ref="BV145:BV149" si="381">BO145+BQ145+BS145+BT145</f>
        <v>#REF!</v>
      </c>
      <c r="BW145" s="1993" t="e">
        <f>#REF!</f>
        <v>#REF!</v>
      </c>
      <c r="BX145" s="2003">
        <f t="shared" si="343"/>
        <v>0</v>
      </c>
      <c r="BY145" s="1989" t="e">
        <f>#REF!/10^7</f>
        <v>#REF!</v>
      </c>
      <c r="BZ145" s="2003">
        <f t="shared" si="344"/>
        <v>0</v>
      </c>
      <c r="CA145" s="1989" t="e">
        <f>#REF!/10^7</f>
        <v>#REF!</v>
      </c>
      <c r="CB145" s="2003">
        <f t="shared" si="345"/>
        <v>0</v>
      </c>
      <c r="CC145" s="1989" t="e">
        <f>#REF!/10^7</f>
        <v>#REF!</v>
      </c>
      <c r="CD145" s="1989" t="e">
        <f>#REF!/10^7</f>
        <v>#REF!</v>
      </c>
      <c r="CE145" s="2002" t="e">
        <f t="shared" si="346"/>
        <v>#REF!</v>
      </c>
      <c r="CF145" s="1999" t="e">
        <f t="shared" ref="CF145:CF149" si="382">BY145+CA145+CC145+CD145</f>
        <v>#REF!</v>
      </c>
      <c r="CG145" s="1993" t="e">
        <f>#REF!</f>
        <v>#REF!</v>
      </c>
      <c r="CH145" s="2003">
        <f t="shared" si="347"/>
        <v>0</v>
      </c>
      <c r="CI145" s="1989" t="e">
        <f>#REF!/10^7</f>
        <v>#REF!</v>
      </c>
      <c r="CJ145" s="2003">
        <f t="shared" si="348"/>
        <v>0</v>
      </c>
      <c r="CK145" s="1989" t="e">
        <f>#REF!/10^7</f>
        <v>#REF!</v>
      </c>
      <c r="CL145" s="2003">
        <f t="shared" si="349"/>
        <v>0</v>
      </c>
      <c r="CM145" s="1989" t="e">
        <f>#REF!/10^7</f>
        <v>#REF!</v>
      </c>
      <c r="CN145" s="1989" t="e">
        <f>#REF!/10^7</f>
        <v>#REF!</v>
      </c>
      <c r="CO145" s="2002" t="e">
        <f t="shared" si="350"/>
        <v>#REF!</v>
      </c>
      <c r="CP145" s="1999" t="e">
        <f t="shared" ref="CP145:CP149" si="383">CI145+CK145+CM145+CN145</f>
        <v>#REF!</v>
      </c>
      <c r="CQ145" s="1993" t="e">
        <f>#REF!</f>
        <v>#REF!</v>
      </c>
      <c r="CR145" s="2003">
        <f t="shared" si="351"/>
        <v>0</v>
      </c>
      <c r="CS145" s="1989" t="e">
        <f>#REF!/10^7</f>
        <v>#REF!</v>
      </c>
      <c r="CT145" s="2003">
        <f t="shared" si="352"/>
        <v>0</v>
      </c>
      <c r="CU145" s="1989" t="e">
        <f>#REF!/10^7</f>
        <v>#REF!</v>
      </c>
      <c r="CV145" s="2003">
        <f t="shared" si="353"/>
        <v>0</v>
      </c>
      <c r="CW145" s="1989" t="e">
        <f>#REF!/10^7</f>
        <v>#REF!</v>
      </c>
      <c r="CX145" s="1989" t="e">
        <f>#REF!/10^7</f>
        <v>#REF!</v>
      </c>
      <c r="CY145" s="2002" t="e">
        <f t="shared" si="354"/>
        <v>#REF!</v>
      </c>
      <c r="CZ145" s="1999" t="e">
        <f t="shared" si="373"/>
        <v>#REF!</v>
      </c>
      <c r="DA145" s="1993" t="e">
        <f>#REF!</f>
        <v>#REF!</v>
      </c>
      <c r="DB145" s="2003">
        <f t="shared" si="355"/>
        <v>0</v>
      </c>
      <c r="DC145" s="1989" t="e">
        <f>#REF!/10^7</f>
        <v>#REF!</v>
      </c>
      <c r="DD145" s="2003">
        <f t="shared" si="356"/>
        <v>0</v>
      </c>
      <c r="DE145" s="1989" t="e">
        <f>#REF!/10^7</f>
        <v>#REF!</v>
      </c>
      <c r="DF145" s="2003">
        <f t="shared" si="357"/>
        <v>0</v>
      </c>
      <c r="DG145" s="1989" t="e">
        <f>#REF!/10^7</f>
        <v>#REF!</v>
      </c>
      <c r="DH145" s="1989" t="e">
        <f>#REF!/10^7</f>
        <v>#REF!</v>
      </c>
      <c r="DI145" s="2002" t="e">
        <f t="shared" si="358"/>
        <v>#REF!</v>
      </c>
      <c r="DJ145" s="1999" t="e">
        <f t="shared" si="374"/>
        <v>#REF!</v>
      </c>
      <c r="DK145" s="1993" t="e">
        <f>#REF!</f>
        <v>#REF!</v>
      </c>
      <c r="DL145" s="2003">
        <f t="shared" si="359"/>
        <v>0</v>
      </c>
      <c r="DM145" s="1989" t="e">
        <f>#REF!/10^7</f>
        <v>#REF!</v>
      </c>
      <c r="DN145" s="2003">
        <f t="shared" si="360"/>
        <v>0</v>
      </c>
      <c r="DO145" s="1989" t="e">
        <f>#REF!/10^7</f>
        <v>#REF!</v>
      </c>
      <c r="DP145" s="2003">
        <f t="shared" si="361"/>
        <v>0</v>
      </c>
      <c r="DQ145" s="1989" t="e">
        <f>#REF!/10^7</f>
        <v>#REF!</v>
      </c>
      <c r="DR145" s="1989" t="e">
        <f>#REF!/10^7</f>
        <v>#REF!</v>
      </c>
      <c r="DS145" s="2002" t="e">
        <f t="shared" si="362"/>
        <v>#REF!</v>
      </c>
      <c r="DT145" s="2004" t="e">
        <f t="shared" si="375"/>
        <v>#REF!</v>
      </c>
      <c r="DU145" s="1988" t="e">
        <f>#REF!</f>
        <v>#REF!</v>
      </c>
      <c r="DV145" s="2003">
        <f t="shared" si="364"/>
        <v>0</v>
      </c>
      <c r="DW145" s="1989" t="e">
        <f>#REF!/10^7</f>
        <v>#REF!</v>
      </c>
      <c r="DX145" s="2003">
        <f t="shared" si="365"/>
        <v>0</v>
      </c>
      <c r="DY145" s="1989" t="e">
        <f>#REF!/10^7</f>
        <v>#REF!</v>
      </c>
      <c r="DZ145" s="2003">
        <f t="shared" si="366"/>
        <v>0</v>
      </c>
      <c r="EA145" s="1989" t="e">
        <f>#REF!/10^7</f>
        <v>#REF!</v>
      </c>
      <c r="EB145" s="1989" t="e">
        <f>#REF!/10^7</f>
        <v>#REF!</v>
      </c>
      <c r="EC145" s="2002" t="e">
        <f t="shared" si="367"/>
        <v>#REF!</v>
      </c>
      <c r="ED145" s="1998" t="e">
        <f t="shared" ref="ED145:ED152" si="384">DW145+DY145+EA145+EB145</f>
        <v>#REF!</v>
      </c>
      <c r="EE145" s="2005" t="e">
        <f>O145+Y145+AI145+AS145+BC145+BM145+BW145+CG145+CQ145+DA145+DK145+DU145</f>
        <v>#REF!</v>
      </c>
      <c r="EF145" s="2003">
        <f t="shared" si="368"/>
        <v>0</v>
      </c>
      <c r="EG145" s="1989" t="e">
        <f t="shared" ref="EG145:EG152" si="385">Q145+AA145+AK145+AU145+BE145+BO145+BY145+CI145+CS145+DC145+DM145+DW145</f>
        <v>#REF!</v>
      </c>
      <c r="EH145" s="2003">
        <f t="shared" si="369"/>
        <v>0</v>
      </c>
      <c r="EI145" s="1989" t="e">
        <f t="shared" ref="EI145:EI152" si="386">S145+AC145+AM145+AW145+BG145+BQ145+CA145+CK145+CU145+DE145+DO145+DY145</f>
        <v>#REF!</v>
      </c>
      <c r="EJ145" s="2003">
        <f t="shared" si="370"/>
        <v>0</v>
      </c>
      <c r="EK145" s="1989" t="e">
        <f t="shared" ref="EK145:EL152" si="387">U145+AE145+AO145+AY145+BI145+BS145+CC145+CM145+CW145+DG145+DQ145+EA145</f>
        <v>#REF!</v>
      </c>
      <c r="EL145" s="1989" t="e">
        <f t="shared" si="387"/>
        <v>#REF!</v>
      </c>
      <c r="EM145" s="2006" t="e">
        <f t="shared" si="371"/>
        <v>#REF!</v>
      </c>
      <c r="EN145" s="1999" t="e">
        <f>EG145+EI145+EK145+EL145</f>
        <v>#REF!</v>
      </c>
      <c r="EP145" s="1613" t="e">
        <f>EA145-#REF!/10^7</f>
        <v>#REF!</v>
      </c>
      <c r="EW145" s="1611" t="e">
        <v>#N/A</v>
      </c>
      <c r="EX145" s="1612" t="s">
        <v>1717</v>
      </c>
      <c r="EZ145" s="1650">
        <f t="shared" si="372"/>
        <v>0</v>
      </c>
    </row>
    <row r="146" spans="1:156" ht="21" customHeight="1">
      <c r="A146" s="1652">
        <v>2</v>
      </c>
      <c r="B146" s="1644" t="s">
        <v>1762</v>
      </c>
      <c r="C146" s="1645">
        <v>330</v>
      </c>
      <c r="D146" s="1646">
        <f>H146/C146*100</f>
        <v>87.999999999999986</v>
      </c>
      <c r="E146" s="1646">
        <v>59.59</v>
      </c>
      <c r="F146" s="1641">
        <v>1</v>
      </c>
      <c r="G146" s="1648"/>
      <c r="H146" s="1648">
        <v>290.39999999999998</v>
      </c>
      <c r="I146" s="1648" t="s">
        <v>1717</v>
      </c>
      <c r="J146" s="1649">
        <v>1</v>
      </c>
      <c r="K146" s="1648"/>
      <c r="L146" s="1648"/>
      <c r="M146" s="1648"/>
      <c r="N146" s="1642"/>
      <c r="O146" s="2000" t="e">
        <f>#REF!</f>
        <v>#REF!</v>
      </c>
      <c r="P146" s="2003">
        <f t="shared" si="317"/>
        <v>0</v>
      </c>
      <c r="Q146" s="1989" t="e">
        <f>#REF!/10^7</f>
        <v>#REF!</v>
      </c>
      <c r="R146" s="2003">
        <f t="shared" si="318"/>
        <v>0</v>
      </c>
      <c r="S146" s="1989" t="e">
        <f>#REF!/10^7</f>
        <v>#REF!</v>
      </c>
      <c r="T146" s="2003">
        <f t="shared" si="319"/>
        <v>0</v>
      </c>
      <c r="U146" s="1989" t="e">
        <f>#REF!/10^7</f>
        <v>#REF!</v>
      </c>
      <c r="V146" s="1989" t="e">
        <f>#REF!/10^7</f>
        <v>#REF!</v>
      </c>
      <c r="W146" s="1989">
        <f t="shared" si="320"/>
        <v>0</v>
      </c>
      <c r="X146" s="1999" t="e">
        <f t="shared" si="376"/>
        <v>#REF!</v>
      </c>
      <c r="Y146" s="1993" t="e">
        <f>#REF!</f>
        <v>#REF!</v>
      </c>
      <c r="Z146" s="2003">
        <f t="shared" si="321"/>
        <v>0</v>
      </c>
      <c r="AA146" s="1989" t="e">
        <f>#REF!/10^7</f>
        <v>#REF!</v>
      </c>
      <c r="AB146" s="2003">
        <f t="shared" si="322"/>
        <v>0</v>
      </c>
      <c r="AC146" s="1989" t="e">
        <f>#REF!/10^7</f>
        <v>#REF!</v>
      </c>
      <c r="AD146" s="2003">
        <f t="shared" si="323"/>
        <v>0</v>
      </c>
      <c r="AE146" s="1989" t="e">
        <f>#REF!/10^7</f>
        <v>#REF!</v>
      </c>
      <c r="AF146" s="1989" t="e">
        <f>#REF!/10^7</f>
        <v>#REF!</v>
      </c>
      <c r="AG146" s="2002" t="e">
        <f t="shared" si="324"/>
        <v>#REF!</v>
      </c>
      <c r="AH146" s="1999" t="e">
        <f t="shared" si="377"/>
        <v>#REF!</v>
      </c>
      <c r="AI146" s="1993" t="e">
        <f>#REF!</f>
        <v>#REF!</v>
      </c>
      <c r="AJ146" s="2003">
        <f t="shared" si="326"/>
        <v>0</v>
      </c>
      <c r="AK146" s="1989" t="e">
        <f>#REF!/10^7</f>
        <v>#REF!</v>
      </c>
      <c r="AL146" s="2003">
        <f t="shared" si="327"/>
        <v>0</v>
      </c>
      <c r="AM146" s="1989" t="e">
        <f>#REF!/10^7</f>
        <v>#REF!</v>
      </c>
      <c r="AN146" s="2003">
        <f t="shared" si="328"/>
        <v>0</v>
      </c>
      <c r="AO146" s="1989" t="e">
        <f>#REF!/10^7</f>
        <v>#REF!</v>
      </c>
      <c r="AP146" s="1989" t="e">
        <f>#REF!/10^7</f>
        <v>#REF!</v>
      </c>
      <c r="AQ146" s="2002" t="e">
        <f t="shared" si="329"/>
        <v>#REF!</v>
      </c>
      <c r="AR146" s="1999" t="e">
        <f t="shared" si="378"/>
        <v>#REF!</v>
      </c>
      <c r="AS146" s="1993" t="e">
        <f>#REF!</f>
        <v>#REF!</v>
      </c>
      <c r="AT146" s="2003">
        <f t="shared" si="331"/>
        <v>0</v>
      </c>
      <c r="AU146" s="1989" t="e">
        <f>#REF!/10^7</f>
        <v>#REF!</v>
      </c>
      <c r="AV146" s="2003">
        <f t="shared" si="332"/>
        <v>0</v>
      </c>
      <c r="AW146" s="1989" t="e">
        <f>#REF!/10^7</f>
        <v>#REF!</v>
      </c>
      <c r="AX146" s="2003">
        <f t="shared" si="333"/>
        <v>0</v>
      </c>
      <c r="AY146" s="1989" t="e">
        <f>#REF!/10^7</f>
        <v>#REF!</v>
      </c>
      <c r="AZ146" s="1989" t="e">
        <f>#REF!/10^7</f>
        <v>#REF!</v>
      </c>
      <c r="BA146" s="2002" t="e">
        <f t="shared" si="334"/>
        <v>#REF!</v>
      </c>
      <c r="BB146" s="1999" t="e">
        <f t="shared" si="379"/>
        <v>#REF!</v>
      </c>
      <c r="BC146" s="1993" t="e">
        <f>#REF!</f>
        <v>#REF!</v>
      </c>
      <c r="BD146" s="2003">
        <f t="shared" si="335"/>
        <v>0</v>
      </c>
      <c r="BE146" s="1989" t="e">
        <f>#REF!/10^7</f>
        <v>#REF!</v>
      </c>
      <c r="BF146" s="2003">
        <f t="shared" si="336"/>
        <v>0</v>
      </c>
      <c r="BG146" s="1989" t="e">
        <f>#REF!/10^7</f>
        <v>#REF!</v>
      </c>
      <c r="BH146" s="2003">
        <f t="shared" si="337"/>
        <v>0</v>
      </c>
      <c r="BI146" s="1989" t="e">
        <f>#REF!/10^7</f>
        <v>#REF!</v>
      </c>
      <c r="BJ146" s="1989" t="e">
        <f>#REF!/10^7</f>
        <v>#REF!</v>
      </c>
      <c r="BK146" s="2002" t="e">
        <f t="shared" si="338"/>
        <v>#REF!</v>
      </c>
      <c r="BL146" s="1999" t="e">
        <f t="shared" si="380"/>
        <v>#REF!</v>
      </c>
      <c r="BM146" s="1993" t="e">
        <f>#REF!</f>
        <v>#REF!</v>
      </c>
      <c r="BN146" s="2003">
        <f t="shared" si="339"/>
        <v>0</v>
      </c>
      <c r="BO146" s="1989" t="e">
        <f>#REF!/10^7</f>
        <v>#REF!</v>
      </c>
      <c r="BP146" s="2003">
        <f t="shared" si="340"/>
        <v>0</v>
      </c>
      <c r="BQ146" s="1989" t="e">
        <f>#REF!/10^7</f>
        <v>#REF!</v>
      </c>
      <c r="BR146" s="2003">
        <f t="shared" si="341"/>
        <v>0</v>
      </c>
      <c r="BS146" s="1989" t="e">
        <f>#REF!/10^7</f>
        <v>#REF!</v>
      </c>
      <c r="BT146" s="1989" t="e">
        <f>#REF!/10^7</f>
        <v>#REF!</v>
      </c>
      <c r="BU146" s="2002" t="e">
        <f t="shared" si="342"/>
        <v>#REF!</v>
      </c>
      <c r="BV146" s="1999" t="e">
        <f t="shared" si="381"/>
        <v>#REF!</v>
      </c>
      <c r="BW146" s="1993" t="e">
        <f>#REF!</f>
        <v>#REF!</v>
      </c>
      <c r="BX146" s="2003">
        <f t="shared" si="343"/>
        <v>0</v>
      </c>
      <c r="BY146" s="1989" t="e">
        <f>#REF!/10^7</f>
        <v>#REF!</v>
      </c>
      <c r="BZ146" s="2003">
        <f t="shared" si="344"/>
        <v>0</v>
      </c>
      <c r="CA146" s="1989" t="e">
        <f>#REF!/10^7</f>
        <v>#REF!</v>
      </c>
      <c r="CB146" s="2003">
        <f t="shared" si="345"/>
        <v>0</v>
      </c>
      <c r="CC146" s="1989" t="e">
        <f>#REF!/10^7</f>
        <v>#REF!</v>
      </c>
      <c r="CD146" s="1989" t="e">
        <f>#REF!/10^7</f>
        <v>#REF!</v>
      </c>
      <c r="CE146" s="2002" t="e">
        <f t="shared" si="346"/>
        <v>#REF!</v>
      </c>
      <c r="CF146" s="1999" t="e">
        <f t="shared" si="382"/>
        <v>#REF!</v>
      </c>
      <c r="CG146" s="1993" t="e">
        <f>#REF!</f>
        <v>#REF!</v>
      </c>
      <c r="CH146" s="2003">
        <f t="shared" si="347"/>
        <v>0</v>
      </c>
      <c r="CI146" s="1989" t="e">
        <f>#REF!/10^7</f>
        <v>#REF!</v>
      </c>
      <c r="CJ146" s="2003">
        <f t="shared" si="348"/>
        <v>0</v>
      </c>
      <c r="CK146" s="1989" t="e">
        <f>#REF!/10^7</f>
        <v>#REF!</v>
      </c>
      <c r="CL146" s="2003">
        <f t="shared" si="349"/>
        <v>0</v>
      </c>
      <c r="CM146" s="1989" t="e">
        <f>#REF!/10^7</f>
        <v>#REF!</v>
      </c>
      <c r="CN146" s="1989" t="e">
        <f>#REF!/10^7</f>
        <v>#REF!</v>
      </c>
      <c r="CO146" s="2002" t="e">
        <f t="shared" si="350"/>
        <v>#REF!</v>
      </c>
      <c r="CP146" s="1999" t="e">
        <f t="shared" si="383"/>
        <v>#REF!</v>
      </c>
      <c r="CQ146" s="1993" t="e">
        <f>#REF!</f>
        <v>#REF!</v>
      </c>
      <c r="CR146" s="2003">
        <f t="shared" si="351"/>
        <v>0</v>
      </c>
      <c r="CS146" s="1989" t="e">
        <f>#REF!/10^7</f>
        <v>#REF!</v>
      </c>
      <c r="CT146" s="2003">
        <f t="shared" si="352"/>
        <v>0</v>
      </c>
      <c r="CU146" s="1989" t="e">
        <f>#REF!/10^7</f>
        <v>#REF!</v>
      </c>
      <c r="CV146" s="2003">
        <f t="shared" si="353"/>
        <v>0</v>
      </c>
      <c r="CW146" s="1989" t="e">
        <f>#REF!/10^7</f>
        <v>#REF!</v>
      </c>
      <c r="CX146" s="1989" t="e">
        <f>#REF!/10^7</f>
        <v>#REF!</v>
      </c>
      <c r="CY146" s="2002" t="e">
        <f t="shared" si="354"/>
        <v>#REF!</v>
      </c>
      <c r="CZ146" s="1999" t="e">
        <f t="shared" si="373"/>
        <v>#REF!</v>
      </c>
      <c r="DA146" s="1993" t="e">
        <f>#REF!</f>
        <v>#REF!</v>
      </c>
      <c r="DB146" s="2003">
        <f t="shared" si="355"/>
        <v>0</v>
      </c>
      <c r="DC146" s="1989" t="e">
        <f>#REF!/10^7</f>
        <v>#REF!</v>
      </c>
      <c r="DD146" s="2003">
        <f t="shared" si="356"/>
        <v>0</v>
      </c>
      <c r="DE146" s="1989" t="e">
        <f>#REF!/10^7</f>
        <v>#REF!</v>
      </c>
      <c r="DF146" s="2003">
        <f t="shared" si="357"/>
        <v>0</v>
      </c>
      <c r="DG146" s="1989" t="e">
        <f>#REF!/10^7</f>
        <v>#REF!</v>
      </c>
      <c r="DH146" s="1989" t="e">
        <f>#REF!/10^7</f>
        <v>#REF!</v>
      </c>
      <c r="DI146" s="2002" t="e">
        <f t="shared" si="358"/>
        <v>#REF!</v>
      </c>
      <c r="DJ146" s="1999" t="e">
        <f t="shared" si="374"/>
        <v>#REF!</v>
      </c>
      <c r="DK146" s="1993" t="e">
        <f>#REF!</f>
        <v>#REF!</v>
      </c>
      <c r="DL146" s="2003">
        <f t="shared" si="359"/>
        <v>0</v>
      </c>
      <c r="DM146" s="1989" t="e">
        <f>#REF!/10^7</f>
        <v>#REF!</v>
      </c>
      <c r="DN146" s="2003">
        <f t="shared" si="360"/>
        <v>0</v>
      </c>
      <c r="DO146" s="1989" t="e">
        <f>#REF!/10^7</f>
        <v>#REF!</v>
      </c>
      <c r="DP146" s="2003">
        <f t="shared" si="361"/>
        <v>0</v>
      </c>
      <c r="DQ146" s="1989" t="e">
        <f>#REF!/10^7</f>
        <v>#REF!</v>
      </c>
      <c r="DR146" s="1989" t="e">
        <f>#REF!/10^7</f>
        <v>#REF!</v>
      </c>
      <c r="DS146" s="2002" t="e">
        <f t="shared" si="362"/>
        <v>#REF!</v>
      </c>
      <c r="DT146" s="2004" t="e">
        <f t="shared" si="375"/>
        <v>#REF!</v>
      </c>
      <c r="DU146" s="1988" t="e">
        <f>#REF!</f>
        <v>#REF!</v>
      </c>
      <c r="DV146" s="2003">
        <f t="shared" si="364"/>
        <v>0</v>
      </c>
      <c r="DW146" s="1989" t="e">
        <f>#REF!/10^7</f>
        <v>#REF!</v>
      </c>
      <c r="DX146" s="2003">
        <f t="shared" si="365"/>
        <v>0</v>
      </c>
      <c r="DY146" s="1989" t="e">
        <f>#REF!/10^7</f>
        <v>#REF!</v>
      </c>
      <c r="DZ146" s="2003">
        <f t="shared" si="366"/>
        <v>0</v>
      </c>
      <c r="EA146" s="1989" t="e">
        <f>#REF!/10^7</f>
        <v>#REF!</v>
      </c>
      <c r="EB146" s="1989" t="e">
        <f>#REF!/10^7</f>
        <v>#REF!</v>
      </c>
      <c r="EC146" s="2002" t="e">
        <f t="shared" si="367"/>
        <v>#REF!</v>
      </c>
      <c r="ED146" s="1998" t="e">
        <f t="shared" si="384"/>
        <v>#REF!</v>
      </c>
      <c r="EE146" s="2005" t="e">
        <f t="shared" ref="EE146:EE152" si="388">O146+Y146+AI146+AS146+BC146+BM146+BW146+CG146+CQ146+DA146+DK146+DU146</f>
        <v>#REF!</v>
      </c>
      <c r="EF146" s="2003">
        <f t="shared" si="368"/>
        <v>0</v>
      </c>
      <c r="EG146" s="1989" t="e">
        <f t="shared" si="385"/>
        <v>#REF!</v>
      </c>
      <c r="EH146" s="2003">
        <f t="shared" si="369"/>
        <v>0</v>
      </c>
      <c r="EI146" s="1989" t="e">
        <f t="shared" si="386"/>
        <v>#REF!</v>
      </c>
      <c r="EJ146" s="2003">
        <f t="shared" si="370"/>
        <v>0</v>
      </c>
      <c r="EK146" s="1989" t="e">
        <f t="shared" si="387"/>
        <v>#REF!</v>
      </c>
      <c r="EL146" s="1989" t="e">
        <f t="shared" si="387"/>
        <v>#REF!</v>
      </c>
      <c r="EM146" s="2006" t="e">
        <f t="shared" si="371"/>
        <v>#REF!</v>
      </c>
      <c r="EN146" s="1999" t="e">
        <f t="shared" ref="EN146:EN152" si="389">EG146+EI146+EK146+EL146</f>
        <v>#REF!</v>
      </c>
      <c r="EP146" s="1613" t="e">
        <f>EA146-#REF!/10^7</f>
        <v>#REF!</v>
      </c>
      <c r="EW146" s="1611" t="s">
        <v>1717</v>
      </c>
      <c r="EX146" s="1612" t="s">
        <v>1717</v>
      </c>
      <c r="EZ146" s="1650">
        <f t="shared" si="372"/>
        <v>0</v>
      </c>
    </row>
    <row r="147" spans="1:156" ht="21" customHeight="1">
      <c r="A147" s="1652">
        <v>3</v>
      </c>
      <c r="B147" s="1644" t="s">
        <v>1759</v>
      </c>
      <c r="C147" s="1645">
        <v>400</v>
      </c>
      <c r="D147" s="1646">
        <f>H147/C147*100</f>
        <v>88</v>
      </c>
      <c r="E147" s="1646">
        <v>99.19</v>
      </c>
      <c r="F147" s="1641">
        <v>0.5</v>
      </c>
      <c r="G147" s="1648"/>
      <c r="H147" s="1648">
        <v>352</v>
      </c>
      <c r="I147" s="1648" t="s">
        <v>1717</v>
      </c>
      <c r="J147" s="1649">
        <v>2</v>
      </c>
      <c r="K147" s="1648"/>
      <c r="L147" s="1648"/>
      <c r="M147" s="1648"/>
      <c r="N147" s="1642"/>
      <c r="O147" s="2000" t="e">
        <f>#REF!</f>
        <v>#REF!</v>
      </c>
      <c r="P147" s="2003">
        <f t="shared" si="317"/>
        <v>0</v>
      </c>
      <c r="Q147" s="1989" t="e">
        <f>#REF!/10^7</f>
        <v>#REF!</v>
      </c>
      <c r="R147" s="2003">
        <f t="shared" si="318"/>
        <v>0</v>
      </c>
      <c r="S147" s="1989" t="e">
        <f>#REF!/10^7</f>
        <v>#REF!</v>
      </c>
      <c r="T147" s="2003">
        <f t="shared" si="319"/>
        <v>0</v>
      </c>
      <c r="U147" s="1989" t="e">
        <f>#REF!/10^7</f>
        <v>#REF!</v>
      </c>
      <c r="V147" s="1989" t="e">
        <f>#REF!/10^7</f>
        <v>#REF!</v>
      </c>
      <c r="W147" s="1989">
        <f t="shared" si="320"/>
        <v>0</v>
      </c>
      <c r="X147" s="1999" t="e">
        <f t="shared" si="376"/>
        <v>#REF!</v>
      </c>
      <c r="Y147" s="1993" t="e">
        <f>#REF!</f>
        <v>#REF!</v>
      </c>
      <c r="Z147" s="2003">
        <f t="shared" si="321"/>
        <v>0</v>
      </c>
      <c r="AA147" s="1989" t="e">
        <f>#REF!/10^7</f>
        <v>#REF!</v>
      </c>
      <c r="AB147" s="2003">
        <f t="shared" si="322"/>
        <v>0</v>
      </c>
      <c r="AC147" s="1989" t="e">
        <f>#REF!/10^7</f>
        <v>#REF!</v>
      </c>
      <c r="AD147" s="2003">
        <f t="shared" si="323"/>
        <v>0</v>
      </c>
      <c r="AE147" s="1989" t="e">
        <f>#REF!/10^7</f>
        <v>#REF!</v>
      </c>
      <c r="AF147" s="1989" t="e">
        <f>#REF!/10^7</f>
        <v>#REF!</v>
      </c>
      <c r="AG147" s="2002" t="e">
        <f t="shared" si="324"/>
        <v>#REF!</v>
      </c>
      <c r="AH147" s="1999" t="e">
        <f t="shared" si="377"/>
        <v>#REF!</v>
      </c>
      <c r="AI147" s="1993" t="e">
        <f>#REF!</f>
        <v>#REF!</v>
      </c>
      <c r="AJ147" s="2003">
        <f t="shared" si="326"/>
        <v>0</v>
      </c>
      <c r="AK147" s="1989" t="e">
        <f>#REF!/10^7</f>
        <v>#REF!</v>
      </c>
      <c r="AL147" s="2003">
        <f t="shared" si="327"/>
        <v>0</v>
      </c>
      <c r="AM147" s="1989" t="e">
        <f>#REF!/10^7</f>
        <v>#REF!</v>
      </c>
      <c r="AN147" s="2003">
        <f t="shared" si="328"/>
        <v>0</v>
      </c>
      <c r="AO147" s="1989" t="e">
        <f>#REF!/10^7</f>
        <v>#REF!</v>
      </c>
      <c r="AP147" s="1989" t="e">
        <f>#REF!/10^7</f>
        <v>#REF!</v>
      </c>
      <c r="AQ147" s="2002" t="e">
        <f t="shared" si="329"/>
        <v>#REF!</v>
      </c>
      <c r="AR147" s="1999" t="e">
        <f t="shared" si="378"/>
        <v>#REF!</v>
      </c>
      <c r="AS147" s="1993" t="e">
        <f>#REF!</f>
        <v>#REF!</v>
      </c>
      <c r="AT147" s="2003">
        <f t="shared" si="331"/>
        <v>0</v>
      </c>
      <c r="AU147" s="1989" t="e">
        <f>#REF!/10^7</f>
        <v>#REF!</v>
      </c>
      <c r="AV147" s="2003">
        <f t="shared" si="332"/>
        <v>0</v>
      </c>
      <c r="AW147" s="1989" t="e">
        <f>#REF!/10^7</f>
        <v>#REF!</v>
      </c>
      <c r="AX147" s="2003">
        <f t="shared" si="333"/>
        <v>0</v>
      </c>
      <c r="AY147" s="1989" t="e">
        <f>#REF!/10^7</f>
        <v>#REF!</v>
      </c>
      <c r="AZ147" s="1989" t="e">
        <f>#REF!/10^7</f>
        <v>#REF!</v>
      </c>
      <c r="BA147" s="2002" t="e">
        <f t="shared" si="334"/>
        <v>#REF!</v>
      </c>
      <c r="BB147" s="1999" t="e">
        <f t="shared" si="379"/>
        <v>#REF!</v>
      </c>
      <c r="BC147" s="1993" t="e">
        <f>#REF!</f>
        <v>#REF!</v>
      </c>
      <c r="BD147" s="2003">
        <f t="shared" si="335"/>
        <v>0</v>
      </c>
      <c r="BE147" s="1989" t="e">
        <f>#REF!/10^7</f>
        <v>#REF!</v>
      </c>
      <c r="BF147" s="2003">
        <f t="shared" si="336"/>
        <v>0</v>
      </c>
      <c r="BG147" s="1989" t="e">
        <f>#REF!/10^7</f>
        <v>#REF!</v>
      </c>
      <c r="BH147" s="2003">
        <f t="shared" si="337"/>
        <v>0</v>
      </c>
      <c r="BI147" s="1989" t="e">
        <f>#REF!/10^7</f>
        <v>#REF!</v>
      </c>
      <c r="BJ147" s="1989" t="e">
        <f>#REF!/10^7</f>
        <v>#REF!</v>
      </c>
      <c r="BK147" s="2002" t="e">
        <f t="shared" si="338"/>
        <v>#REF!</v>
      </c>
      <c r="BL147" s="1999" t="e">
        <f t="shared" si="380"/>
        <v>#REF!</v>
      </c>
      <c r="BM147" s="1993" t="e">
        <f>#REF!</f>
        <v>#REF!</v>
      </c>
      <c r="BN147" s="2003">
        <f t="shared" si="339"/>
        <v>0</v>
      </c>
      <c r="BO147" s="1989" t="e">
        <f>#REF!/10^7</f>
        <v>#REF!</v>
      </c>
      <c r="BP147" s="2003">
        <f t="shared" si="340"/>
        <v>0</v>
      </c>
      <c r="BQ147" s="1989" t="e">
        <f>#REF!/10^7</f>
        <v>#REF!</v>
      </c>
      <c r="BR147" s="2003">
        <f t="shared" si="341"/>
        <v>0</v>
      </c>
      <c r="BS147" s="1989" t="e">
        <f>#REF!/10^7</f>
        <v>#REF!</v>
      </c>
      <c r="BT147" s="1989" t="e">
        <f>#REF!/10^7</f>
        <v>#REF!</v>
      </c>
      <c r="BU147" s="2002" t="e">
        <f t="shared" si="342"/>
        <v>#REF!</v>
      </c>
      <c r="BV147" s="1999" t="e">
        <f t="shared" si="381"/>
        <v>#REF!</v>
      </c>
      <c r="BW147" s="1993" t="e">
        <f>#REF!</f>
        <v>#REF!</v>
      </c>
      <c r="BX147" s="2003">
        <f t="shared" si="343"/>
        <v>0</v>
      </c>
      <c r="BY147" s="1989" t="e">
        <f>#REF!/10^7</f>
        <v>#REF!</v>
      </c>
      <c r="BZ147" s="2003">
        <f t="shared" si="344"/>
        <v>0</v>
      </c>
      <c r="CA147" s="1989" t="e">
        <f>#REF!/10^7</f>
        <v>#REF!</v>
      </c>
      <c r="CB147" s="2003">
        <f t="shared" si="345"/>
        <v>0</v>
      </c>
      <c r="CC147" s="1989" t="e">
        <f>#REF!/10^7</f>
        <v>#REF!</v>
      </c>
      <c r="CD147" s="1989" t="e">
        <f>#REF!/10^7</f>
        <v>#REF!</v>
      </c>
      <c r="CE147" s="2002" t="e">
        <f t="shared" si="346"/>
        <v>#REF!</v>
      </c>
      <c r="CF147" s="1999" t="e">
        <f t="shared" si="382"/>
        <v>#REF!</v>
      </c>
      <c r="CG147" s="1993" t="e">
        <f>#REF!</f>
        <v>#REF!</v>
      </c>
      <c r="CH147" s="2003">
        <f t="shared" si="347"/>
        <v>0</v>
      </c>
      <c r="CI147" s="1989" t="e">
        <f>#REF!/10^7</f>
        <v>#REF!</v>
      </c>
      <c r="CJ147" s="2003">
        <f t="shared" si="348"/>
        <v>0</v>
      </c>
      <c r="CK147" s="1989" t="e">
        <f>#REF!/10^7</f>
        <v>#REF!</v>
      </c>
      <c r="CL147" s="2003">
        <f t="shared" si="349"/>
        <v>0</v>
      </c>
      <c r="CM147" s="1989" t="e">
        <f>#REF!/10^7</f>
        <v>#REF!</v>
      </c>
      <c r="CN147" s="1989" t="e">
        <f>#REF!/10^7</f>
        <v>#REF!</v>
      </c>
      <c r="CO147" s="2002" t="e">
        <f t="shared" si="350"/>
        <v>#REF!</v>
      </c>
      <c r="CP147" s="1999" t="e">
        <f t="shared" si="383"/>
        <v>#REF!</v>
      </c>
      <c r="CQ147" s="1993" t="e">
        <f>#REF!</f>
        <v>#REF!</v>
      </c>
      <c r="CR147" s="2003">
        <f t="shared" si="351"/>
        <v>0</v>
      </c>
      <c r="CS147" s="1989" t="e">
        <f>#REF!/10^7</f>
        <v>#REF!</v>
      </c>
      <c r="CT147" s="2003">
        <f t="shared" si="352"/>
        <v>0</v>
      </c>
      <c r="CU147" s="1989" t="e">
        <f>#REF!/10^7</f>
        <v>#REF!</v>
      </c>
      <c r="CV147" s="2003">
        <f t="shared" si="353"/>
        <v>0</v>
      </c>
      <c r="CW147" s="1989" t="e">
        <f>#REF!/10^7</f>
        <v>#REF!</v>
      </c>
      <c r="CX147" s="1989" t="e">
        <f>#REF!/10^7</f>
        <v>#REF!</v>
      </c>
      <c r="CY147" s="2002" t="e">
        <f t="shared" si="354"/>
        <v>#REF!</v>
      </c>
      <c r="CZ147" s="1999" t="e">
        <f t="shared" si="373"/>
        <v>#REF!</v>
      </c>
      <c r="DA147" s="1993" t="e">
        <f>#REF!</f>
        <v>#REF!</v>
      </c>
      <c r="DB147" s="2003">
        <f t="shared" si="355"/>
        <v>0</v>
      </c>
      <c r="DC147" s="1989" t="e">
        <f>#REF!/10^7</f>
        <v>#REF!</v>
      </c>
      <c r="DD147" s="2003">
        <f t="shared" si="356"/>
        <v>0</v>
      </c>
      <c r="DE147" s="1989" t="e">
        <f>#REF!/10^7</f>
        <v>#REF!</v>
      </c>
      <c r="DF147" s="2003">
        <f t="shared" si="357"/>
        <v>0</v>
      </c>
      <c r="DG147" s="1989" t="e">
        <f>#REF!/10^7</f>
        <v>#REF!</v>
      </c>
      <c r="DH147" s="1989" t="e">
        <f>#REF!/10^7</f>
        <v>#REF!</v>
      </c>
      <c r="DI147" s="2002" t="e">
        <f t="shared" si="358"/>
        <v>#REF!</v>
      </c>
      <c r="DJ147" s="1999" t="e">
        <f t="shared" si="374"/>
        <v>#REF!</v>
      </c>
      <c r="DK147" s="1993" t="e">
        <f>#REF!</f>
        <v>#REF!</v>
      </c>
      <c r="DL147" s="2003">
        <f t="shared" si="359"/>
        <v>0</v>
      </c>
      <c r="DM147" s="1989" t="e">
        <f>#REF!/10^7</f>
        <v>#REF!</v>
      </c>
      <c r="DN147" s="2003">
        <f t="shared" si="360"/>
        <v>0</v>
      </c>
      <c r="DO147" s="1989" t="e">
        <f>#REF!/10^7</f>
        <v>#REF!</v>
      </c>
      <c r="DP147" s="2003">
        <f t="shared" si="361"/>
        <v>0</v>
      </c>
      <c r="DQ147" s="1989" t="e">
        <f>#REF!/10^7</f>
        <v>#REF!</v>
      </c>
      <c r="DR147" s="1989" t="e">
        <f>#REF!/10^7</f>
        <v>#REF!</v>
      </c>
      <c r="DS147" s="2002" t="e">
        <f t="shared" si="362"/>
        <v>#REF!</v>
      </c>
      <c r="DT147" s="2004" t="e">
        <f t="shared" si="375"/>
        <v>#REF!</v>
      </c>
      <c r="DU147" s="1988" t="e">
        <f>#REF!</f>
        <v>#REF!</v>
      </c>
      <c r="DV147" s="2003">
        <f t="shared" si="364"/>
        <v>0</v>
      </c>
      <c r="DW147" s="1989" t="e">
        <f>#REF!/10^7</f>
        <v>#REF!</v>
      </c>
      <c r="DX147" s="2003">
        <f t="shared" si="365"/>
        <v>0</v>
      </c>
      <c r="DY147" s="1989" t="e">
        <f>#REF!/10^7</f>
        <v>#REF!</v>
      </c>
      <c r="DZ147" s="2003">
        <f t="shared" si="366"/>
        <v>0</v>
      </c>
      <c r="EA147" s="1989" t="e">
        <f>#REF!/10^7</f>
        <v>#REF!</v>
      </c>
      <c r="EB147" s="1989" t="e">
        <f>#REF!/10^7</f>
        <v>#REF!</v>
      </c>
      <c r="EC147" s="2002" t="e">
        <f t="shared" si="367"/>
        <v>#REF!</v>
      </c>
      <c r="ED147" s="1998" t="e">
        <f t="shared" si="384"/>
        <v>#REF!</v>
      </c>
      <c r="EE147" s="2005" t="e">
        <f t="shared" si="388"/>
        <v>#REF!</v>
      </c>
      <c r="EF147" s="2003">
        <f t="shared" si="368"/>
        <v>0</v>
      </c>
      <c r="EG147" s="1989" t="e">
        <f t="shared" si="385"/>
        <v>#REF!</v>
      </c>
      <c r="EH147" s="2003">
        <f t="shared" si="369"/>
        <v>0</v>
      </c>
      <c r="EI147" s="1989" t="e">
        <f t="shared" si="386"/>
        <v>#REF!</v>
      </c>
      <c r="EJ147" s="2003">
        <f t="shared" si="370"/>
        <v>0</v>
      </c>
      <c r="EK147" s="1989" t="e">
        <f t="shared" si="387"/>
        <v>#REF!</v>
      </c>
      <c r="EL147" s="1989" t="e">
        <f t="shared" si="387"/>
        <v>#REF!</v>
      </c>
      <c r="EM147" s="2006" t="e">
        <f t="shared" si="371"/>
        <v>#REF!</v>
      </c>
      <c r="EN147" s="1999" t="e">
        <f t="shared" si="389"/>
        <v>#REF!</v>
      </c>
      <c r="EP147" s="1613" t="e">
        <f>EA147-#REF!/10^7</f>
        <v>#REF!</v>
      </c>
      <c r="EW147" s="1611" t="s">
        <v>1717</v>
      </c>
      <c r="EX147" s="1612" t="s">
        <v>1717</v>
      </c>
      <c r="EZ147" s="1650">
        <f t="shared" si="372"/>
        <v>0</v>
      </c>
    </row>
    <row r="148" spans="1:156" ht="21" customHeight="1">
      <c r="A148" s="1652">
        <v>4</v>
      </c>
      <c r="B148" s="1644" t="s">
        <v>1760</v>
      </c>
      <c r="C148" s="1645">
        <v>1000</v>
      </c>
      <c r="D148" s="1646">
        <f>H148/C148*100</f>
        <v>20</v>
      </c>
      <c r="E148" s="1646">
        <v>88.42</v>
      </c>
      <c r="F148" s="1641">
        <v>1.2</v>
      </c>
      <c r="G148" s="1648"/>
      <c r="H148" s="1648">
        <v>200</v>
      </c>
      <c r="I148" s="1648" t="s">
        <v>1717</v>
      </c>
      <c r="J148" s="1649">
        <v>1</v>
      </c>
      <c r="K148" s="1648"/>
      <c r="L148" s="1648"/>
      <c r="M148" s="1648"/>
      <c r="N148" s="1642"/>
      <c r="O148" s="2000" t="e">
        <f>#REF!</f>
        <v>#REF!</v>
      </c>
      <c r="P148" s="2003">
        <f t="shared" si="317"/>
        <v>0</v>
      </c>
      <c r="Q148" s="1989" t="e">
        <f>#REF!/10^7</f>
        <v>#REF!</v>
      </c>
      <c r="R148" s="2003">
        <f t="shared" si="318"/>
        <v>0</v>
      </c>
      <c r="S148" s="1989" t="e">
        <f>#REF!/10^7</f>
        <v>#REF!</v>
      </c>
      <c r="T148" s="2003">
        <f t="shared" si="319"/>
        <v>0</v>
      </c>
      <c r="U148" s="1989" t="e">
        <f>#REF!/10^7</f>
        <v>#REF!</v>
      </c>
      <c r="V148" s="1989" t="e">
        <f>#REF!/10^7</f>
        <v>#REF!</v>
      </c>
      <c r="W148" s="1989">
        <f t="shared" si="320"/>
        <v>0</v>
      </c>
      <c r="X148" s="1999" t="e">
        <f t="shared" si="376"/>
        <v>#REF!</v>
      </c>
      <c r="Y148" s="1993" t="e">
        <f>#REF!</f>
        <v>#REF!</v>
      </c>
      <c r="Z148" s="2003">
        <f t="shared" si="321"/>
        <v>0</v>
      </c>
      <c r="AA148" s="1989" t="e">
        <f>#REF!/10^7</f>
        <v>#REF!</v>
      </c>
      <c r="AB148" s="2003">
        <f t="shared" si="322"/>
        <v>0</v>
      </c>
      <c r="AC148" s="1989" t="e">
        <f>#REF!/10^7</f>
        <v>#REF!</v>
      </c>
      <c r="AD148" s="2003">
        <f t="shared" si="323"/>
        <v>0</v>
      </c>
      <c r="AE148" s="1989" t="e">
        <f>#REF!/10^7</f>
        <v>#REF!</v>
      </c>
      <c r="AF148" s="1989" t="e">
        <f>#REF!/10^7</f>
        <v>#REF!</v>
      </c>
      <c r="AG148" s="2002" t="e">
        <f t="shared" si="324"/>
        <v>#REF!</v>
      </c>
      <c r="AH148" s="1999" t="e">
        <f t="shared" si="377"/>
        <v>#REF!</v>
      </c>
      <c r="AI148" s="1993" t="e">
        <f>#REF!</f>
        <v>#REF!</v>
      </c>
      <c r="AJ148" s="2003">
        <f t="shared" si="326"/>
        <v>0</v>
      </c>
      <c r="AK148" s="1989" t="e">
        <f>#REF!/10^7</f>
        <v>#REF!</v>
      </c>
      <c r="AL148" s="2003">
        <f t="shared" si="327"/>
        <v>0</v>
      </c>
      <c r="AM148" s="1989" t="e">
        <f>#REF!/10^7</f>
        <v>#REF!</v>
      </c>
      <c r="AN148" s="2003">
        <f t="shared" si="328"/>
        <v>0</v>
      </c>
      <c r="AO148" s="1989" t="e">
        <f>#REF!/10^7</f>
        <v>#REF!</v>
      </c>
      <c r="AP148" s="1989" t="e">
        <f>#REF!/10^7</f>
        <v>#REF!</v>
      </c>
      <c r="AQ148" s="2002" t="e">
        <f t="shared" si="329"/>
        <v>#REF!</v>
      </c>
      <c r="AR148" s="1999" t="e">
        <f t="shared" si="378"/>
        <v>#REF!</v>
      </c>
      <c r="AS148" s="1993" t="e">
        <f>#REF!</f>
        <v>#REF!</v>
      </c>
      <c r="AT148" s="2003">
        <f t="shared" si="331"/>
        <v>0</v>
      </c>
      <c r="AU148" s="1989" t="e">
        <f>#REF!/10^7</f>
        <v>#REF!</v>
      </c>
      <c r="AV148" s="2003">
        <f t="shared" si="332"/>
        <v>0</v>
      </c>
      <c r="AW148" s="1989" t="e">
        <f>#REF!/10^7</f>
        <v>#REF!</v>
      </c>
      <c r="AX148" s="2003">
        <f t="shared" si="333"/>
        <v>0</v>
      </c>
      <c r="AY148" s="1989" t="e">
        <f>#REF!/10^7</f>
        <v>#REF!</v>
      </c>
      <c r="AZ148" s="1989" t="e">
        <f>#REF!/10^7</f>
        <v>#REF!</v>
      </c>
      <c r="BA148" s="2002" t="e">
        <f t="shared" si="334"/>
        <v>#REF!</v>
      </c>
      <c r="BB148" s="1999" t="e">
        <f t="shared" si="379"/>
        <v>#REF!</v>
      </c>
      <c r="BC148" s="1993" t="e">
        <f>#REF!</f>
        <v>#REF!</v>
      </c>
      <c r="BD148" s="2003">
        <f t="shared" si="335"/>
        <v>0</v>
      </c>
      <c r="BE148" s="1989" t="e">
        <f>#REF!/10^7</f>
        <v>#REF!</v>
      </c>
      <c r="BF148" s="2003">
        <f t="shared" si="336"/>
        <v>0</v>
      </c>
      <c r="BG148" s="1989" t="e">
        <f>#REF!/10^7</f>
        <v>#REF!</v>
      </c>
      <c r="BH148" s="2003">
        <f t="shared" si="337"/>
        <v>0</v>
      </c>
      <c r="BI148" s="1989" t="e">
        <f>#REF!/10^7</f>
        <v>#REF!</v>
      </c>
      <c r="BJ148" s="1989" t="e">
        <f>#REF!/10^7</f>
        <v>#REF!</v>
      </c>
      <c r="BK148" s="2002" t="e">
        <f t="shared" si="338"/>
        <v>#REF!</v>
      </c>
      <c r="BL148" s="1999" t="e">
        <f t="shared" si="380"/>
        <v>#REF!</v>
      </c>
      <c r="BM148" s="1993" t="e">
        <f>#REF!</f>
        <v>#REF!</v>
      </c>
      <c r="BN148" s="2003">
        <f t="shared" si="339"/>
        <v>0</v>
      </c>
      <c r="BO148" s="1989" t="e">
        <f>#REF!/10^7</f>
        <v>#REF!</v>
      </c>
      <c r="BP148" s="2003">
        <f t="shared" si="340"/>
        <v>0</v>
      </c>
      <c r="BQ148" s="1989" t="e">
        <f>#REF!/10^7</f>
        <v>#REF!</v>
      </c>
      <c r="BR148" s="2003">
        <f t="shared" si="341"/>
        <v>0</v>
      </c>
      <c r="BS148" s="1989" t="e">
        <f>#REF!/10^7</f>
        <v>#REF!</v>
      </c>
      <c r="BT148" s="1989" t="e">
        <f>#REF!/10^7</f>
        <v>#REF!</v>
      </c>
      <c r="BU148" s="2002" t="e">
        <f t="shared" si="342"/>
        <v>#REF!</v>
      </c>
      <c r="BV148" s="1999" t="e">
        <f t="shared" si="381"/>
        <v>#REF!</v>
      </c>
      <c r="BW148" s="1993" t="e">
        <f>#REF!</f>
        <v>#REF!</v>
      </c>
      <c r="BX148" s="2003">
        <f t="shared" si="343"/>
        <v>0</v>
      </c>
      <c r="BY148" s="1989" t="e">
        <f>#REF!/10^7</f>
        <v>#REF!</v>
      </c>
      <c r="BZ148" s="2003">
        <f t="shared" si="344"/>
        <v>0</v>
      </c>
      <c r="CA148" s="1989" t="e">
        <f>#REF!/10^7</f>
        <v>#REF!</v>
      </c>
      <c r="CB148" s="2003">
        <f t="shared" si="345"/>
        <v>0</v>
      </c>
      <c r="CC148" s="1989" t="e">
        <f>#REF!/10^7</f>
        <v>#REF!</v>
      </c>
      <c r="CD148" s="1989" t="e">
        <f>#REF!/10^7</f>
        <v>#REF!</v>
      </c>
      <c r="CE148" s="2002" t="e">
        <f t="shared" si="346"/>
        <v>#REF!</v>
      </c>
      <c r="CF148" s="1999" t="e">
        <f t="shared" si="382"/>
        <v>#REF!</v>
      </c>
      <c r="CG148" s="1993" t="e">
        <f>#REF!</f>
        <v>#REF!</v>
      </c>
      <c r="CH148" s="2003">
        <f t="shared" si="347"/>
        <v>0</v>
      </c>
      <c r="CI148" s="1989" t="e">
        <f>#REF!/10^7</f>
        <v>#REF!</v>
      </c>
      <c r="CJ148" s="2003">
        <f t="shared" si="348"/>
        <v>0</v>
      </c>
      <c r="CK148" s="1989" t="e">
        <f>#REF!/10^7</f>
        <v>#REF!</v>
      </c>
      <c r="CL148" s="2003">
        <f t="shared" si="349"/>
        <v>0</v>
      </c>
      <c r="CM148" s="1989" t="e">
        <f>#REF!/10^7</f>
        <v>#REF!</v>
      </c>
      <c r="CN148" s="1989" t="e">
        <f>#REF!/10^7</f>
        <v>#REF!</v>
      </c>
      <c r="CO148" s="2002" t="e">
        <f t="shared" si="350"/>
        <v>#REF!</v>
      </c>
      <c r="CP148" s="1999" t="e">
        <f t="shared" si="383"/>
        <v>#REF!</v>
      </c>
      <c r="CQ148" s="1993" t="e">
        <f>#REF!</f>
        <v>#REF!</v>
      </c>
      <c r="CR148" s="2003">
        <f t="shared" si="351"/>
        <v>0</v>
      </c>
      <c r="CS148" s="1989" t="e">
        <f>#REF!/10^7</f>
        <v>#REF!</v>
      </c>
      <c r="CT148" s="2003">
        <f t="shared" si="352"/>
        <v>0</v>
      </c>
      <c r="CU148" s="1989" t="e">
        <f>#REF!/10^7</f>
        <v>#REF!</v>
      </c>
      <c r="CV148" s="2003">
        <f t="shared" si="353"/>
        <v>0</v>
      </c>
      <c r="CW148" s="1989" t="e">
        <f>#REF!/10^7</f>
        <v>#REF!</v>
      </c>
      <c r="CX148" s="1989" t="e">
        <f>#REF!/10^7</f>
        <v>#REF!</v>
      </c>
      <c r="CY148" s="2002" t="e">
        <f t="shared" si="354"/>
        <v>#REF!</v>
      </c>
      <c r="CZ148" s="1999" t="e">
        <f t="shared" si="373"/>
        <v>#REF!</v>
      </c>
      <c r="DA148" s="1993" t="e">
        <f>#REF!</f>
        <v>#REF!</v>
      </c>
      <c r="DB148" s="2003">
        <f t="shared" si="355"/>
        <v>0</v>
      </c>
      <c r="DC148" s="1989" t="e">
        <f>#REF!/10^7</f>
        <v>#REF!</v>
      </c>
      <c r="DD148" s="2003">
        <f t="shared" si="356"/>
        <v>0</v>
      </c>
      <c r="DE148" s="1989" t="e">
        <f>#REF!/10^7</f>
        <v>#REF!</v>
      </c>
      <c r="DF148" s="2003">
        <f t="shared" si="357"/>
        <v>0</v>
      </c>
      <c r="DG148" s="1989" t="e">
        <f>#REF!/10^7</f>
        <v>#REF!</v>
      </c>
      <c r="DH148" s="1989" t="e">
        <f>#REF!/10^7</f>
        <v>#REF!</v>
      </c>
      <c r="DI148" s="2002" t="e">
        <f t="shared" si="358"/>
        <v>#REF!</v>
      </c>
      <c r="DJ148" s="1999" t="e">
        <f t="shared" si="374"/>
        <v>#REF!</v>
      </c>
      <c r="DK148" s="1993" t="e">
        <f>#REF!</f>
        <v>#REF!</v>
      </c>
      <c r="DL148" s="2003">
        <f t="shared" si="359"/>
        <v>0</v>
      </c>
      <c r="DM148" s="1989" t="e">
        <f>#REF!/10^7</f>
        <v>#REF!</v>
      </c>
      <c r="DN148" s="2003">
        <f t="shared" si="360"/>
        <v>0</v>
      </c>
      <c r="DO148" s="1989" t="e">
        <f>#REF!/10^7</f>
        <v>#REF!</v>
      </c>
      <c r="DP148" s="2003">
        <f t="shared" si="361"/>
        <v>0</v>
      </c>
      <c r="DQ148" s="1989" t="e">
        <f>#REF!/10^7</f>
        <v>#REF!</v>
      </c>
      <c r="DR148" s="1989" t="e">
        <f>#REF!/10^7</f>
        <v>#REF!</v>
      </c>
      <c r="DS148" s="2002" t="e">
        <f t="shared" si="362"/>
        <v>#REF!</v>
      </c>
      <c r="DT148" s="2004" t="e">
        <f t="shared" si="375"/>
        <v>#REF!</v>
      </c>
      <c r="DU148" s="1988" t="e">
        <f>#REF!</f>
        <v>#REF!</v>
      </c>
      <c r="DV148" s="2003">
        <f t="shared" si="364"/>
        <v>0</v>
      </c>
      <c r="DW148" s="1989" t="e">
        <f>#REF!/10^7</f>
        <v>#REF!</v>
      </c>
      <c r="DX148" s="2003">
        <f t="shared" si="365"/>
        <v>0</v>
      </c>
      <c r="DY148" s="1989" t="e">
        <f>#REF!/10^7</f>
        <v>#REF!</v>
      </c>
      <c r="DZ148" s="2003">
        <f t="shared" si="366"/>
        <v>0</v>
      </c>
      <c r="EA148" s="1989" t="e">
        <f>#REF!/10^7</f>
        <v>#REF!</v>
      </c>
      <c r="EB148" s="1989" t="e">
        <f>#REF!/10^7</f>
        <v>#REF!</v>
      </c>
      <c r="EC148" s="2002" t="e">
        <f t="shared" si="367"/>
        <v>#REF!</v>
      </c>
      <c r="ED148" s="1998" t="e">
        <f t="shared" si="384"/>
        <v>#REF!</v>
      </c>
      <c r="EE148" s="2005" t="e">
        <f t="shared" si="388"/>
        <v>#REF!</v>
      </c>
      <c r="EF148" s="2003">
        <f t="shared" si="368"/>
        <v>0</v>
      </c>
      <c r="EG148" s="1989" t="e">
        <f t="shared" si="385"/>
        <v>#REF!</v>
      </c>
      <c r="EH148" s="2003">
        <f t="shared" si="369"/>
        <v>0</v>
      </c>
      <c r="EI148" s="1989" t="e">
        <f t="shared" si="386"/>
        <v>#REF!</v>
      </c>
      <c r="EJ148" s="2003">
        <f t="shared" si="370"/>
        <v>0</v>
      </c>
      <c r="EK148" s="1989" t="e">
        <f t="shared" si="387"/>
        <v>#REF!</v>
      </c>
      <c r="EL148" s="1989" t="e">
        <f t="shared" si="387"/>
        <v>#REF!</v>
      </c>
      <c r="EM148" s="2006" t="e">
        <f t="shared" si="371"/>
        <v>#REF!</v>
      </c>
      <c r="EN148" s="1999" t="e">
        <f t="shared" si="389"/>
        <v>#REF!</v>
      </c>
      <c r="EP148" s="1613" t="e">
        <f>EA148-#REF!/10^7</f>
        <v>#REF!</v>
      </c>
      <c r="EW148" s="1611" t="s">
        <v>1717</v>
      </c>
      <c r="EX148" s="1612" t="s">
        <v>1717</v>
      </c>
      <c r="EZ148" s="1650">
        <f t="shared" si="372"/>
        <v>0</v>
      </c>
    </row>
    <row r="149" spans="1:156" ht="21" customHeight="1">
      <c r="A149" s="1652">
        <v>5</v>
      </c>
      <c r="B149" s="1644" t="s">
        <v>1761</v>
      </c>
      <c r="C149" s="1645">
        <v>1200</v>
      </c>
      <c r="D149" s="1646">
        <f>H149/C149*100</f>
        <v>16.666666666666664</v>
      </c>
      <c r="E149" s="1646">
        <v>110</v>
      </c>
      <c r="F149" s="1641">
        <v>1.2</v>
      </c>
      <c r="G149" s="1648"/>
      <c r="H149" s="1648">
        <v>200</v>
      </c>
      <c r="I149" s="1648" t="s">
        <v>1717</v>
      </c>
      <c r="J149" s="1649">
        <v>1</v>
      </c>
      <c r="K149" s="1648"/>
      <c r="L149" s="1648"/>
      <c r="M149" s="1648"/>
      <c r="N149" s="1642"/>
      <c r="O149" s="2000" t="e">
        <f>#REF!</f>
        <v>#REF!</v>
      </c>
      <c r="P149" s="2003">
        <f t="shared" si="317"/>
        <v>0</v>
      </c>
      <c r="Q149" s="1989" t="e">
        <f>#REF!/10^7</f>
        <v>#REF!</v>
      </c>
      <c r="R149" s="2003">
        <f t="shared" si="318"/>
        <v>0</v>
      </c>
      <c r="S149" s="1989" t="e">
        <f>#REF!/10^7</f>
        <v>#REF!</v>
      </c>
      <c r="T149" s="2003">
        <f t="shared" si="319"/>
        <v>0</v>
      </c>
      <c r="U149" s="1989" t="e">
        <f>#REF!/10^7</f>
        <v>#REF!</v>
      </c>
      <c r="V149" s="1989" t="e">
        <f>#REF!/10^7</f>
        <v>#REF!</v>
      </c>
      <c r="W149" s="1989">
        <f t="shared" si="320"/>
        <v>0</v>
      </c>
      <c r="X149" s="1999" t="e">
        <f t="shared" si="376"/>
        <v>#REF!</v>
      </c>
      <c r="Y149" s="1993" t="e">
        <f>#REF!</f>
        <v>#REF!</v>
      </c>
      <c r="Z149" s="2003">
        <f t="shared" si="321"/>
        <v>0</v>
      </c>
      <c r="AA149" s="1989" t="e">
        <f>#REF!/10^7</f>
        <v>#REF!</v>
      </c>
      <c r="AB149" s="2003">
        <f t="shared" si="322"/>
        <v>0</v>
      </c>
      <c r="AC149" s="1989" t="e">
        <f>#REF!/10^7</f>
        <v>#REF!</v>
      </c>
      <c r="AD149" s="2003">
        <f t="shared" si="323"/>
        <v>0</v>
      </c>
      <c r="AE149" s="1989" t="e">
        <f>#REF!/10^7</f>
        <v>#REF!</v>
      </c>
      <c r="AF149" s="1989" t="e">
        <f>#REF!/10^7</f>
        <v>#REF!</v>
      </c>
      <c r="AG149" s="2002" t="e">
        <f t="shared" si="324"/>
        <v>#REF!</v>
      </c>
      <c r="AH149" s="1999" t="e">
        <f t="shared" si="377"/>
        <v>#REF!</v>
      </c>
      <c r="AI149" s="1993" t="e">
        <f>#REF!</f>
        <v>#REF!</v>
      </c>
      <c r="AJ149" s="2003">
        <f t="shared" si="326"/>
        <v>0</v>
      </c>
      <c r="AK149" s="1989" t="e">
        <f>#REF!/10^7</f>
        <v>#REF!</v>
      </c>
      <c r="AL149" s="2003">
        <f t="shared" si="327"/>
        <v>0</v>
      </c>
      <c r="AM149" s="1989" t="e">
        <f>#REF!/10^7</f>
        <v>#REF!</v>
      </c>
      <c r="AN149" s="2003">
        <f t="shared" si="328"/>
        <v>0</v>
      </c>
      <c r="AO149" s="1989" t="e">
        <f>#REF!/10^7</f>
        <v>#REF!</v>
      </c>
      <c r="AP149" s="1989" t="e">
        <f>#REF!/10^7</f>
        <v>#REF!</v>
      </c>
      <c r="AQ149" s="2002" t="e">
        <f t="shared" si="329"/>
        <v>#REF!</v>
      </c>
      <c r="AR149" s="1999" t="e">
        <f t="shared" si="378"/>
        <v>#REF!</v>
      </c>
      <c r="AS149" s="1993" t="e">
        <f>#REF!</f>
        <v>#REF!</v>
      </c>
      <c r="AT149" s="2003">
        <f t="shared" si="331"/>
        <v>0</v>
      </c>
      <c r="AU149" s="1989" t="e">
        <f>#REF!/10^7</f>
        <v>#REF!</v>
      </c>
      <c r="AV149" s="2003">
        <f t="shared" si="332"/>
        <v>0</v>
      </c>
      <c r="AW149" s="1989" t="e">
        <f>#REF!/10^7</f>
        <v>#REF!</v>
      </c>
      <c r="AX149" s="2003">
        <f t="shared" si="333"/>
        <v>0</v>
      </c>
      <c r="AY149" s="1989" t="e">
        <f>#REF!/10^7</f>
        <v>#REF!</v>
      </c>
      <c r="AZ149" s="1989" t="e">
        <f>#REF!/10^7</f>
        <v>#REF!</v>
      </c>
      <c r="BA149" s="2002" t="e">
        <f t="shared" si="334"/>
        <v>#REF!</v>
      </c>
      <c r="BB149" s="1999" t="e">
        <f t="shared" si="379"/>
        <v>#REF!</v>
      </c>
      <c r="BC149" s="1993" t="e">
        <f>#REF!</f>
        <v>#REF!</v>
      </c>
      <c r="BD149" s="2003">
        <f t="shared" si="335"/>
        <v>0</v>
      </c>
      <c r="BE149" s="1989" t="e">
        <f>#REF!/10^7</f>
        <v>#REF!</v>
      </c>
      <c r="BF149" s="2003">
        <f t="shared" si="336"/>
        <v>0</v>
      </c>
      <c r="BG149" s="1989" t="e">
        <f>#REF!/10^7</f>
        <v>#REF!</v>
      </c>
      <c r="BH149" s="2003">
        <f t="shared" si="337"/>
        <v>0</v>
      </c>
      <c r="BI149" s="1989" t="e">
        <f>#REF!/10^7</f>
        <v>#REF!</v>
      </c>
      <c r="BJ149" s="1989" t="e">
        <f>#REF!/10^7</f>
        <v>#REF!</v>
      </c>
      <c r="BK149" s="2002" t="e">
        <f t="shared" si="338"/>
        <v>#REF!</v>
      </c>
      <c r="BL149" s="1999" t="e">
        <f t="shared" si="380"/>
        <v>#REF!</v>
      </c>
      <c r="BM149" s="1993" t="e">
        <f>#REF!</f>
        <v>#REF!</v>
      </c>
      <c r="BN149" s="2003">
        <f t="shared" si="339"/>
        <v>0</v>
      </c>
      <c r="BO149" s="1989" t="e">
        <f>#REF!/10^7</f>
        <v>#REF!</v>
      </c>
      <c r="BP149" s="2003">
        <f t="shared" si="340"/>
        <v>0</v>
      </c>
      <c r="BQ149" s="1989" t="e">
        <f>#REF!/10^7</f>
        <v>#REF!</v>
      </c>
      <c r="BR149" s="2003">
        <f t="shared" si="341"/>
        <v>0</v>
      </c>
      <c r="BS149" s="1989" t="e">
        <f>#REF!/10^7</f>
        <v>#REF!</v>
      </c>
      <c r="BT149" s="1989" t="e">
        <f>#REF!/10^7</f>
        <v>#REF!</v>
      </c>
      <c r="BU149" s="2002" t="e">
        <f t="shared" si="342"/>
        <v>#REF!</v>
      </c>
      <c r="BV149" s="1999" t="e">
        <f t="shared" si="381"/>
        <v>#REF!</v>
      </c>
      <c r="BW149" s="1993" t="e">
        <f>#REF!</f>
        <v>#REF!</v>
      </c>
      <c r="BX149" s="2003">
        <f t="shared" si="343"/>
        <v>0</v>
      </c>
      <c r="BY149" s="1989" t="e">
        <f>#REF!/10^7</f>
        <v>#REF!</v>
      </c>
      <c r="BZ149" s="2003">
        <f t="shared" si="344"/>
        <v>0</v>
      </c>
      <c r="CA149" s="1989" t="e">
        <f>#REF!/10^7</f>
        <v>#REF!</v>
      </c>
      <c r="CB149" s="2003">
        <f t="shared" si="345"/>
        <v>0</v>
      </c>
      <c r="CC149" s="1989" t="e">
        <f>#REF!/10^7</f>
        <v>#REF!</v>
      </c>
      <c r="CD149" s="1989" t="e">
        <f>#REF!/10^7</f>
        <v>#REF!</v>
      </c>
      <c r="CE149" s="2002" t="e">
        <f t="shared" si="346"/>
        <v>#REF!</v>
      </c>
      <c r="CF149" s="1999" t="e">
        <f t="shared" si="382"/>
        <v>#REF!</v>
      </c>
      <c r="CG149" s="1993" t="e">
        <f>#REF!</f>
        <v>#REF!</v>
      </c>
      <c r="CH149" s="2003">
        <f t="shared" si="347"/>
        <v>0</v>
      </c>
      <c r="CI149" s="1989" t="e">
        <f>#REF!/10^7</f>
        <v>#REF!</v>
      </c>
      <c r="CJ149" s="2003">
        <f t="shared" si="348"/>
        <v>0</v>
      </c>
      <c r="CK149" s="1989" t="e">
        <f>#REF!/10^7</f>
        <v>#REF!</v>
      </c>
      <c r="CL149" s="2003">
        <f t="shared" si="349"/>
        <v>0</v>
      </c>
      <c r="CM149" s="1989" t="e">
        <f>#REF!/10^7</f>
        <v>#REF!</v>
      </c>
      <c r="CN149" s="1989" t="e">
        <f>#REF!/10^7</f>
        <v>#REF!</v>
      </c>
      <c r="CO149" s="2002" t="e">
        <f t="shared" si="350"/>
        <v>#REF!</v>
      </c>
      <c r="CP149" s="1999" t="e">
        <f t="shared" si="383"/>
        <v>#REF!</v>
      </c>
      <c r="CQ149" s="1993" t="e">
        <f>#REF!</f>
        <v>#REF!</v>
      </c>
      <c r="CR149" s="2003">
        <f t="shared" si="351"/>
        <v>0</v>
      </c>
      <c r="CS149" s="1989" t="e">
        <f>#REF!/10^7</f>
        <v>#REF!</v>
      </c>
      <c r="CT149" s="2003">
        <f t="shared" si="352"/>
        <v>0</v>
      </c>
      <c r="CU149" s="1989" t="e">
        <f>#REF!/10^7</f>
        <v>#REF!</v>
      </c>
      <c r="CV149" s="2003">
        <f t="shared" si="353"/>
        <v>0</v>
      </c>
      <c r="CW149" s="1989" t="e">
        <f>#REF!/10^7</f>
        <v>#REF!</v>
      </c>
      <c r="CX149" s="1989" t="e">
        <f>#REF!/10^7</f>
        <v>#REF!</v>
      </c>
      <c r="CY149" s="2002" t="e">
        <f t="shared" si="354"/>
        <v>#REF!</v>
      </c>
      <c r="CZ149" s="1999" t="e">
        <f t="shared" si="373"/>
        <v>#REF!</v>
      </c>
      <c r="DA149" s="1993" t="e">
        <f>#REF!</f>
        <v>#REF!</v>
      </c>
      <c r="DB149" s="2003">
        <f t="shared" si="355"/>
        <v>0</v>
      </c>
      <c r="DC149" s="1989" t="e">
        <f>#REF!/10^7</f>
        <v>#REF!</v>
      </c>
      <c r="DD149" s="2003">
        <f t="shared" si="356"/>
        <v>0</v>
      </c>
      <c r="DE149" s="1989" t="e">
        <f>#REF!/10^7</f>
        <v>#REF!</v>
      </c>
      <c r="DF149" s="2003">
        <f t="shared" si="357"/>
        <v>0</v>
      </c>
      <c r="DG149" s="1989" t="e">
        <f>#REF!/10^7</f>
        <v>#REF!</v>
      </c>
      <c r="DH149" s="1989" t="e">
        <f>#REF!/10^7</f>
        <v>#REF!</v>
      </c>
      <c r="DI149" s="2002" t="e">
        <f t="shared" si="358"/>
        <v>#REF!</v>
      </c>
      <c r="DJ149" s="1999" t="e">
        <f t="shared" si="374"/>
        <v>#REF!</v>
      </c>
      <c r="DK149" s="1993" t="e">
        <f>#REF!</f>
        <v>#REF!</v>
      </c>
      <c r="DL149" s="2003">
        <f t="shared" si="359"/>
        <v>0</v>
      </c>
      <c r="DM149" s="1989" t="e">
        <f>#REF!/10^7</f>
        <v>#REF!</v>
      </c>
      <c r="DN149" s="2003">
        <f t="shared" si="360"/>
        <v>0</v>
      </c>
      <c r="DO149" s="1989" t="e">
        <f>#REF!/10^7</f>
        <v>#REF!</v>
      </c>
      <c r="DP149" s="2003">
        <f t="shared" si="361"/>
        <v>0</v>
      </c>
      <c r="DQ149" s="1989" t="e">
        <f>#REF!/10^7</f>
        <v>#REF!</v>
      </c>
      <c r="DR149" s="1989" t="e">
        <f>#REF!/10^7</f>
        <v>#REF!</v>
      </c>
      <c r="DS149" s="2002" t="e">
        <f t="shared" si="362"/>
        <v>#REF!</v>
      </c>
      <c r="DT149" s="2004" t="e">
        <f t="shared" si="375"/>
        <v>#REF!</v>
      </c>
      <c r="DU149" s="1988" t="e">
        <f>#REF!</f>
        <v>#REF!</v>
      </c>
      <c r="DV149" s="2003">
        <f t="shared" si="364"/>
        <v>0</v>
      </c>
      <c r="DW149" s="1989" t="e">
        <f>#REF!/10^7</f>
        <v>#REF!</v>
      </c>
      <c r="DX149" s="2003">
        <f t="shared" si="365"/>
        <v>0</v>
      </c>
      <c r="DY149" s="1989" t="e">
        <f>#REF!/10^7</f>
        <v>#REF!</v>
      </c>
      <c r="DZ149" s="2003">
        <f t="shared" si="366"/>
        <v>0</v>
      </c>
      <c r="EA149" s="1989" t="e">
        <f>#REF!/10^7</f>
        <v>#REF!</v>
      </c>
      <c r="EB149" s="1989" t="e">
        <f>#REF!/10^7</f>
        <v>#REF!</v>
      </c>
      <c r="EC149" s="2002" t="e">
        <f t="shared" si="367"/>
        <v>#REF!</v>
      </c>
      <c r="ED149" s="1998" t="e">
        <f t="shared" si="384"/>
        <v>#REF!</v>
      </c>
      <c r="EE149" s="2005" t="e">
        <f t="shared" si="388"/>
        <v>#REF!</v>
      </c>
      <c r="EF149" s="2003">
        <f t="shared" si="368"/>
        <v>0</v>
      </c>
      <c r="EG149" s="1989" t="e">
        <f t="shared" si="385"/>
        <v>#REF!</v>
      </c>
      <c r="EH149" s="2003">
        <f t="shared" si="369"/>
        <v>0</v>
      </c>
      <c r="EI149" s="1989" t="e">
        <f t="shared" si="386"/>
        <v>#REF!</v>
      </c>
      <c r="EJ149" s="2003">
        <f t="shared" si="370"/>
        <v>0</v>
      </c>
      <c r="EK149" s="1989" t="e">
        <f t="shared" si="387"/>
        <v>#REF!</v>
      </c>
      <c r="EL149" s="1989" t="e">
        <f t="shared" si="387"/>
        <v>#REF!</v>
      </c>
      <c r="EM149" s="2006" t="e">
        <f t="shared" si="371"/>
        <v>#REF!</v>
      </c>
      <c r="EN149" s="1999" t="e">
        <f t="shared" si="389"/>
        <v>#REF!</v>
      </c>
      <c r="EP149" s="1613" t="e">
        <f>EA149-#REF!/10^7</f>
        <v>#REF!</v>
      </c>
      <c r="EW149" s="1611" t="s">
        <v>1717</v>
      </c>
      <c r="EX149" s="1612" t="s">
        <v>1717</v>
      </c>
      <c r="EZ149" s="1650">
        <f t="shared" si="372"/>
        <v>0</v>
      </c>
    </row>
    <row r="150" spans="1:156" ht="21" customHeight="1">
      <c r="A150" s="1652"/>
      <c r="B150" s="1644"/>
      <c r="C150" s="1662"/>
      <c r="D150" s="1648"/>
      <c r="E150" s="1648"/>
      <c r="F150" s="1648"/>
      <c r="G150" s="1648"/>
      <c r="H150" s="1648"/>
      <c r="I150" s="1648"/>
      <c r="J150" s="1649"/>
      <c r="K150" s="1648"/>
      <c r="L150" s="1648"/>
      <c r="M150" s="1648"/>
      <c r="N150" s="1642"/>
      <c r="O150" s="2000"/>
      <c r="P150" s="2003">
        <f t="shared" si="317"/>
        <v>0</v>
      </c>
      <c r="Q150" s="1989"/>
      <c r="R150" s="2003">
        <f t="shared" si="318"/>
        <v>0</v>
      </c>
      <c r="S150" s="1989"/>
      <c r="T150" s="2003">
        <f t="shared" si="319"/>
        <v>0</v>
      </c>
      <c r="U150" s="1989"/>
      <c r="V150" s="1989"/>
      <c r="W150" s="1989">
        <f t="shared" si="320"/>
        <v>0</v>
      </c>
      <c r="X150" s="1999">
        <f t="shared" si="376"/>
        <v>0</v>
      </c>
      <c r="Y150" s="1993"/>
      <c r="Z150" s="2003">
        <f t="shared" si="321"/>
        <v>0</v>
      </c>
      <c r="AA150" s="1989"/>
      <c r="AB150" s="2003">
        <f t="shared" si="322"/>
        <v>0</v>
      </c>
      <c r="AC150" s="1989"/>
      <c r="AD150" s="2003">
        <f t="shared" si="323"/>
        <v>0</v>
      </c>
      <c r="AE150" s="1989"/>
      <c r="AF150" s="1989"/>
      <c r="AG150" s="2002">
        <f t="shared" si="324"/>
        <v>0</v>
      </c>
      <c r="AH150" s="1999">
        <v>0</v>
      </c>
      <c r="AI150" s="1993"/>
      <c r="AJ150" s="2003">
        <f t="shared" si="326"/>
        <v>0</v>
      </c>
      <c r="AK150" s="1989"/>
      <c r="AL150" s="2003">
        <f t="shared" si="327"/>
        <v>0</v>
      </c>
      <c r="AM150" s="1989"/>
      <c r="AN150" s="2003">
        <f t="shared" si="328"/>
        <v>0</v>
      </c>
      <c r="AO150" s="1989"/>
      <c r="AP150" s="1989"/>
      <c r="AQ150" s="2002">
        <f t="shared" si="329"/>
        <v>0</v>
      </c>
      <c r="AR150" s="1999">
        <v>0</v>
      </c>
      <c r="AS150" s="1993"/>
      <c r="AT150" s="2003">
        <f t="shared" si="331"/>
        <v>0</v>
      </c>
      <c r="AU150" s="1989"/>
      <c r="AV150" s="2003">
        <f t="shared" si="332"/>
        <v>0</v>
      </c>
      <c r="AW150" s="1989"/>
      <c r="AX150" s="2003">
        <f t="shared" si="333"/>
        <v>0</v>
      </c>
      <c r="AY150" s="1989"/>
      <c r="AZ150" s="1989"/>
      <c r="BA150" s="2002">
        <f t="shared" si="334"/>
        <v>0</v>
      </c>
      <c r="BB150" s="1999">
        <v>0</v>
      </c>
      <c r="BC150" s="1993"/>
      <c r="BD150" s="2003">
        <f t="shared" si="335"/>
        <v>0</v>
      </c>
      <c r="BE150" s="1989"/>
      <c r="BF150" s="2003">
        <f t="shared" si="336"/>
        <v>0</v>
      </c>
      <c r="BG150" s="1989"/>
      <c r="BH150" s="2003">
        <f t="shared" si="337"/>
        <v>0</v>
      </c>
      <c r="BI150" s="1989"/>
      <c r="BJ150" s="1989"/>
      <c r="BK150" s="2002">
        <f t="shared" si="338"/>
        <v>0</v>
      </c>
      <c r="BL150" s="1999">
        <v>0</v>
      </c>
      <c r="BM150" s="1993"/>
      <c r="BN150" s="2003">
        <f t="shared" si="339"/>
        <v>0</v>
      </c>
      <c r="BO150" s="1989"/>
      <c r="BP150" s="2003">
        <f t="shared" si="340"/>
        <v>0</v>
      </c>
      <c r="BQ150" s="1989"/>
      <c r="BR150" s="2003">
        <f t="shared" si="341"/>
        <v>0</v>
      </c>
      <c r="BS150" s="1989"/>
      <c r="BT150" s="1989"/>
      <c r="BU150" s="2002">
        <f t="shared" si="342"/>
        <v>0</v>
      </c>
      <c r="BV150" s="1999">
        <v>0</v>
      </c>
      <c r="BW150" s="1993"/>
      <c r="BX150" s="2003">
        <f t="shared" si="343"/>
        <v>0</v>
      </c>
      <c r="BY150" s="1989"/>
      <c r="BZ150" s="2003">
        <f t="shared" si="344"/>
        <v>0</v>
      </c>
      <c r="CA150" s="1989"/>
      <c r="CB150" s="2003">
        <f t="shared" si="345"/>
        <v>0</v>
      </c>
      <c r="CC150" s="1989"/>
      <c r="CD150" s="1989"/>
      <c r="CE150" s="2002">
        <f t="shared" si="346"/>
        <v>0</v>
      </c>
      <c r="CF150" s="1999">
        <v>0</v>
      </c>
      <c r="CG150" s="1993"/>
      <c r="CH150" s="2003">
        <f t="shared" si="347"/>
        <v>0</v>
      </c>
      <c r="CI150" s="1989"/>
      <c r="CJ150" s="2003">
        <f t="shared" si="348"/>
        <v>0</v>
      </c>
      <c r="CK150" s="1989"/>
      <c r="CL150" s="2003">
        <f t="shared" si="349"/>
        <v>0</v>
      </c>
      <c r="CM150" s="1989"/>
      <c r="CN150" s="1989"/>
      <c r="CO150" s="2002">
        <f t="shared" si="350"/>
        <v>0</v>
      </c>
      <c r="CP150" s="1999">
        <v>0</v>
      </c>
      <c r="CQ150" s="1993"/>
      <c r="CR150" s="2003">
        <f t="shared" si="351"/>
        <v>0</v>
      </c>
      <c r="CS150" s="1989"/>
      <c r="CT150" s="2003">
        <f t="shared" si="352"/>
        <v>0</v>
      </c>
      <c r="CU150" s="1989"/>
      <c r="CV150" s="2003">
        <f t="shared" si="353"/>
        <v>0</v>
      </c>
      <c r="CW150" s="1989"/>
      <c r="CX150" s="1989"/>
      <c r="CY150" s="2002">
        <f t="shared" si="354"/>
        <v>0</v>
      </c>
      <c r="CZ150" s="1999">
        <f t="shared" si="373"/>
        <v>0</v>
      </c>
      <c r="DA150" s="1993"/>
      <c r="DB150" s="2003">
        <f t="shared" si="355"/>
        <v>0</v>
      </c>
      <c r="DC150" s="1989"/>
      <c r="DD150" s="2003">
        <f t="shared" si="356"/>
        <v>0</v>
      </c>
      <c r="DE150" s="1989"/>
      <c r="DF150" s="2003">
        <f t="shared" si="357"/>
        <v>0</v>
      </c>
      <c r="DG150" s="1989"/>
      <c r="DH150" s="1989"/>
      <c r="DI150" s="2002">
        <f t="shared" si="358"/>
        <v>0</v>
      </c>
      <c r="DJ150" s="1999">
        <f t="shared" si="374"/>
        <v>0</v>
      </c>
      <c r="DK150" s="1993"/>
      <c r="DL150" s="2003">
        <f t="shared" si="359"/>
        <v>0</v>
      </c>
      <c r="DM150" s="1989"/>
      <c r="DN150" s="2003">
        <f t="shared" si="360"/>
        <v>0</v>
      </c>
      <c r="DO150" s="1989"/>
      <c r="DP150" s="2003">
        <f t="shared" si="361"/>
        <v>0</v>
      </c>
      <c r="DQ150" s="1989"/>
      <c r="DR150" s="1989"/>
      <c r="DS150" s="2002">
        <f t="shared" si="362"/>
        <v>0</v>
      </c>
      <c r="DT150" s="2004">
        <f t="shared" si="375"/>
        <v>0</v>
      </c>
      <c r="DU150" s="1988"/>
      <c r="DV150" s="2003">
        <f t="shared" si="364"/>
        <v>0</v>
      </c>
      <c r="DW150" s="1989"/>
      <c r="DX150" s="2003">
        <f t="shared" si="365"/>
        <v>0</v>
      </c>
      <c r="DY150" s="1989"/>
      <c r="DZ150" s="2003">
        <f t="shared" si="366"/>
        <v>0</v>
      </c>
      <c r="EA150" s="1989"/>
      <c r="EB150" s="1989"/>
      <c r="EC150" s="2002">
        <f t="shared" si="367"/>
        <v>0</v>
      </c>
      <c r="ED150" s="1998">
        <f t="shared" si="384"/>
        <v>0</v>
      </c>
      <c r="EE150" s="2005">
        <f t="shared" si="388"/>
        <v>0</v>
      </c>
      <c r="EF150" s="2003">
        <f t="shared" si="368"/>
        <v>0</v>
      </c>
      <c r="EG150" s="1989">
        <f t="shared" si="385"/>
        <v>0</v>
      </c>
      <c r="EH150" s="2003">
        <f t="shared" si="369"/>
        <v>0</v>
      </c>
      <c r="EI150" s="1989">
        <f t="shared" si="386"/>
        <v>0</v>
      </c>
      <c r="EJ150" s="2003">
        <f t="shared" si="370"/>
        <v>0</v>
      </c>
      <c r="EK150" s="1989">
        <f t="shared" si="387"/>
        <v>0</v>
      </c>
      <c r="EL150" s="1989">
        <f t="shared" si="387"/>
        <v>0</v>
      </c>
      <c r="EM150" s="2006">
        <f t="shared" si="371"/>
        <v>0</v>
      </c>
      <c r="EN150" s="1999">
        <f t="shared" si="389"/>
        <v>0</v>
      </c>
      <c r="EP150" s="1613" t="e">
        <f>EA150-#REF!/10^7</f>
        <v>#REF!</v>
      </c>
      <c r="EW150" s="1611" t="e">
        <v>#N/A</v>
      </c>
      <c r="EX150" s="1612" t="e">
        <v>#N/A</v>
      </c>
      <c r="EZ150" s="1650">
        <f t="shared" si="372"/>
        <v>0</v>
      </c>
    </row>
    <row r="151" spans="1:156" ht="21" customHeight="1">
      <c r="A151" s="1652">
        <v>6</v>
      </c>
      <c r="B151" s="1644"/>
      <c r="C151" s="1662"/>
      <c r="D151" s="1648"/>
      <c r="E151" s="1648"/>
      <c r="F151" s="1648"/>
      <c r="G151" s="1648"/>
      <c r="H151" s="1648"/>
      <c r="I151" s="1648"/>
      <c r="J151" s="1649"/>
      <c r="K151" s="1648"/>
      <c r="L151" s="1648"/>
      <c r="M151" s="1648"/>
      <c r="N151" s="1642"/>
      <c r="O151" s="2000"/>
      <c r="P151" s="2003">
        <f t="shared" si="317"/>
        <v>0</v>
      </c>
      <c r="Q151" s="1989"/>
      <c r="R151" s="2003">
        <f t="shared" si="318"/>
        <v>0</v>
      </c>
      <c r="S151" s="1989"/>
      <c r="T151" s="2003">
        <f t="shared" si="319"/>
        <v>0</v>
      </c>
      <c r="U151" s="1989"/>
      <c r="V151" s="1989"/>
      <c r="W151" s="1989">
        <f t="shared" si="320"/>
        <v>0</v>
      </c>
      <c r="X151" s="1999">
        <f t="shared" si="376"/>
        <v>0</v>
      </c>
      <c r="Y151" s="1993"/>
      <c r="Z151" s="2003">
        <f t="shared" si="321"/>
        <v>0</v>
      </c>
      <c r="AA151" s="1989"/>
      <c r="AB151" s="2003">
        <f t="shared" si="322"/>
        <v>0</v>
      </c>
      <c r="AC151" s="1989"/>
      <c r="AD151" s="2003">
        <f t="shared" si="323"/>
        <v>0</v>
      </c>
      <c r="AE151" s="1989"/>
      <c r="AF151" s="1989"/>
      <c r="AG151" s="2002">
        <f t="shared" si="324"/>
        <v>0</v>
      </c>
      <c r="AH151" s="1999">
        <f>AA151+AC151+AE151+AF151</f>
        <v>0</v>
      </c>
      <c r="AI151" s="1993"/>
      <c r="AJ151" s="2003">
        <f t="shared" si="326"/>
        <v>0</v>
      </c>
      <c r="AK151" s="1989"/>
      <c r="AL151" s="2003">
        <f t="shared" si="327"/>
        <v>0</v>
      </c>
      <c r="AM151" s="1989"/>
      <c r="AN151" s="2003">
        <f t="shared" si="328"/>
        <v>0</v>
      </c>
      <c r="AO151" s="1989"/>
      <c r="AP151" s="1989"/>
      <c r="AQ151" s="2002">
        <f t="shared" si="329"/>
        <v>0</v>
      </c>
      <c r="AR151" s="1999"/>
      <c r="AS151" s="1993"/>
      <c r="AT151" s="2003">
        <f t="shared" si="331"/>
        <v>0</v>
      </c>
      <c r="AU151" s="1989"/>
      <c r="AV151" s="2003">
        <f t="shared" si="332"/>
        <v>0</v>
      </c>
      <c r="AW151" s="1989"/>
      <c r="AX151" s="2003">
        <f t="shared" si="333"/>
        <v>0</v>
      </c>
      <c r="AY151" s="1989"/>
      <c r="AZ151" s="1989"/>
      <c r="BA151" s="2002">
        <f t="shared" si="334"/>
        <v>0</v>
      </c>
      <c r="BB151" s="1999"/>
      <c r="BC151" s="1993"/>
      <c r="BD151" s="2003">
        <f t="shared" si="335"/>
        <v>0</v>
      </c>
      <c r="BE151" s="1989"/>
      <c r="BF151" s="2003">
        <f t="shared" si="336"/>
        <v>0</v>
      </c>
      <c r="BG151" s="1989"/>
      <c r="BH151" s="2003">
        <f t="shared" si="337"/>
        <v>0</v>
      </c>
      <c r="BI151" s="1989"/>
      <c r="BJ151" s="1989"/>
      <c r="BK151" s="2002">
        <f t="shared" si="338"/>
        <v>0</v>
      </c>
      <c r="BL151" s="1999"/>
      <c r="BM151" s="2000"/>
      <c r="BN151" s="2003">
        <f t="shared" si="339"/>
        <v>0</v>
      </c>
      <c r="BO151" s="1989"/>
      <c r="BP151" s="2003">
        <f t="shared" si="340"/>
        <v>0</v>
      </c>
      <c r="BQ151" s="1989"/>
      <c r="BR151" s="2003">
        <f t="shared" si="341"/>
        <v>0</v>
      </c>
      <c r="BS151" s="1989"/>
      <c r="BT151" s="1989"/>
      <c r="BU151" s="2002">
        <f t="shared" si="342"/>
        <v>0</v>
      </c>
      <c r="BV151" s="1999"/>
      <c r="BW151" s="2000"/>
      <c r="BX151" s="2003">
        <f t="shared" si="343"/>
        <v>0</v>
      </c>
      <c r="BY151" s="1989"/>
      <c r="BZ151" s="2003">
        <f t="shared" si="344"/>
        <v>0</v>
      </c>
      <c r="CA151" s="1989"/>
      <c r="CB151" s="2003">
        <f t="shared" si="345"/>
        <v>0</v>
      </c>
      <c r="CC151" s="1989"/>
      <c r="CD151" s="1989"/>
      <c r="CE151" s="2002">
        <f t="shared" si="346"/>
        <v>0</v>
      </c>
      <c r="CF151" s="1999"/>
      <c r="CG151" s="2000"/>
      <c r="CH151" s="2003">
        <f t="shared" si="347"/>
        <v>0</v>
      </c>
      <c r="CI151" s="1989"/>
      <c r="CJ151" s="2003">
        <f t="shared" si="348"/>
        <v>0</v>
      </c>
      <c r="CK151" s="1989"/>
      <c r="CL151" s="2003">
        <f t="shared" si="349"/>
        <v>0</v>
      </c>
      <c r="CM151" s="1989"/>
      <c r="CN151" s="1989"/>
      <c r="CO151" s="2002">
        <f t="shared" si="350"/>
        <v>0</v>
      </c>
      <c r="CP151" s="1999"/>
      <c r="CQ151" s="2000"/>
      <c r="CR151" s="2003">
        <f t="shared" si="351"/>
        <v>0</v>
      </c>
      <c r="CS151" s="1989"/>
      <c r="CT151" s="2003">
        <f t="shared" si="352"/>
        <v>0</v>
      </c>
      <c r="CU151" s="1989"/>
      <c r="CV151" s="2003">
        <f t="shared" si="353"/>
        <v>0</v>
      </c>
      <c r="CW151" s="1989"/>
      <c r="CX151" s="1989"/>
      <c r="CY151" s="2002">
        <f t="shared" si="354"/>
        <v>0</v>
      </c>
      <c r="CZ151" s="1999">
        <f t="shared" si="373"/>
        <v>0</v>
      </c>
      <c r="DA151" s="2000"/>
      <c r="DB151" s="2003">
        <f t="shared" si="355"/>
        <v>0</v>
      </c>
      <c r="DC151" s="1989"/>
      <c r="DD151" s="2003">
        <f t="shared" si="356"/>
        <v>0</v>
      </c>
      <c r="DE151" s="1989"/>
      <c r="DF151" s="2003">
        <f t="shared" si="357"/>
        <v>0</v>
      </c>
      <c r="DG151" s="1989"/>
      <c r="DH151" s="1989"/>
      <c r="DI151" s="2002">
        <f t="shared" si="358"/>
        <v>0</v>
      </c>
      <c r="DJ151" s="1999">
        <f t="shared" si="374"/>
        <v>0</v>
      </c>
      <c r="DK151" s="2000"/>
      <c r="DL151" s="2003">
        <f t="shared" si="359"/>
        <v>0</v>
      </c>
      <c r="DM151" s="1989"/>
      <c r="DN151" s="2003">
        <f t="shared" si="360"/>
        <v>0</v>
      </c>
      <c r="DO151" s="1989"/>
      <c r="DP151" s="2003">
        <f t="shared" si="361"/>
        <v>0</v>
      </c>
      <c r="DQ151" s="1989"/>
      <c r="DR151" s="1989"/>
      <c r="DS151" s="2002">
        <f t="shared" si="362"/>
        <v>0</v>
      </c>
      <c r="DT151" s="2004">
        <f t="shared" si="375"/>
        <v>0</v>
      </c>
      <c r="DU151" s="2020"/>
      <c r="DV151" s="2003">
        <f t="shared" si="364"/>
        <v>0</v>
      </c>
      <c r="DW151" s="1989"/>
      <c r="DX151" s="2003">
        <f t="shared" si="365"/>
        <v>0</v>
      </c>
      <c r="DY151" s="1989"/>
      <c r="DZ151" s="2003">
        <f t="shared" si="366"/>
        <v>0</v>
      </c>
      <c r="EA151" s="1989"/>
      <c r="EB151" s="1989"/>
      <c r="EC151" s="2002">
        <f t="shared" si="367"/>
        <v>0</v>
      </c>
      <c r="ED151" s="1998">
        <f t="shared" si="384"/>
        <v>0</v>
      </c>
      <c r="EE151" s="2005">
        <f t="shared" si="388"/>
        <v>0</v>
      </c>
      <c r="EF151" s="2003">
        <f t="shared" si="368"/>
        <v>0</v>
      </c>
      <c r="EG151" s="1989">
        <f t="shared" si="385"/>
        <v>0</v>
      </c>
      <c r="EH151" s="2003">
        <f t="shared" si="369"/>
        <v>0</v>
      </c>
      <c r="EI151" s="1989">
        <f t="shared" si="386"/>
        <v>0</v>
      </c>
      <c r="EJ151" s="2003">
        <f t="shared" si="370"/>
        <v>0</v>
      </c>
      <c r="EK151" s="1989">
        <f t="shared" si="387"/>
        <v>0</v>
      </c>
      <c r="EL151" s="1989">
        <f t="shared" si="387"/>
        <v>0</v>
      </c>
      <c r="EM151" s="2006">
        <f t="shared" si="371"/>
        <v>0</v>
      </c>
      <c r="EN151" s="1999">
        <f t="shared" si="389"/>
        <v>0</v>
      </c>
      <c r="EP151" s="1613" t="e">
        <f>EA151-#REF!/10^7</f>
        <v>#REF!</v>
      </c>
      <c r="EW151" s="1611" t="e">
        <v>#N/A</v>
      </c>
      <c r="EX151" s="1612" t="e">
        <v>#N/A</v>
      </c>
      <c r="EZ151" s="1650">
        <f t="shared" si="372"/>
        <v>0</v>
      </c>
    </row>
    <row r="152" spans="1:156" ht="21" customHeight="1">
      <c r="A152" s="1652">
        <v>7</v>
      </c>
      <c r="B152" s="1644"/>
      <c r="C152" s="1662"/>
      <c r="D152" s="1648"/>
      <c r="E152" s="1648"/>
      <c r="F152" s="1648"/>
      <c r="G152" s="1648"/>
      <c r="H152" s="1648"/>
      <c r="I152" s="1648"/>
      <c r="J152" s="1649"/>
      <c r="K152" s="1648"/>
      <c r="L152" s="1648"/>
      <c r="M152" s="1648"/>
      <c r="N152" s="1642"/>
      <c r="O152" s="2000"/>
      <c r="P152" s="2003">
        <f t="shared" si="317"/>
        <v>0</v>
      </c>
      <c r="Q152" s="1989"/>
      <c r="R152" s="2003">
        <f t="shared" si="318"/>
        <v>0</v>
      </c>
      <c r="S152" s="1989"/>
      <c r="T152" s="2003">
        <f t="shared" si="319"/>
        <v>0</v>
      </c>
      <c r="U152" s="1989"/>
      <c r="V152" s="1989"/>
      <c r="W152" s="1989">
        <f t="shared" si="320"/>
        <v>0</v>
      </c>
      <c r="X152" s="1999">
        <f t="shared" si="376"/>
        <v>0</v>
      </c>
      <c r="Y152" s="1993"/>
      <c r="Z152" s="2003">
        <f t="shared" si="321"/>
        <v>0</v>
      </c>
      <c r="AA152" s="1989"/>
      <c r="AB152" s="2003">
        <f t="shared" si="322"/>
        <v>0</v>
      </c>
      <c r="AC152" s="1989"/>
      <c r="AD152" s="2003">
        <f t="shared" si="323"/>
        <v>0</v>
      </c>
      <c r="AE152" s="1989"/>
      <c r="AF152" s="1989"/>
      <c r="AG152" s="2002">
        <f t="shared" si="324"/>
        <v>0</v>
      </c>
      <c r="AH152" s="1999">
        <f>AA152+AC152+AE152+AF152</f>
        <v>0</v>
      </c>
      <c r="AI152" s="1993"/>
      <c r="AJ152" s="2003">
        <f t="shared" si="326"/>
        <v>0</v>
      </c>
      <c r="AK152" s="1989"/>
      <c r="AL152" s="2003">
        <f t="shared" si="327"/>
        <v>0</v>
      </c>
      <c r="AM152" s="1989"/>
      <c r="AN152" s="2003">
        <f t="shared" si="328"/>
        <v>0</v>
      </c>
      <c r="AO152" s="1989"/>
      <c r="AP152" s="1989"/>
      <c r="AQ152" s="2002">
        <f t="shared" si="329"/>
        <v>0</v>
      </c>
      <c r="AR152" s="1999">
        <f>AK152+AM152+AO152+AP152</f>
        <v>0</v>
      </c>
      <c r="AS152" s="1993"/>
      <c r="AT152" s="2003">
        <f t="shared" si="331"/>
        <v>0</v>
      </c>
      <c r="AU152" s="1989"/>
      <c r="AV152" s="2003">
        <f t="shared" si="332"/>
        <v>0</v>
      </c>
      <c r="AW152" s="1989"/>
      <c r="AX152" s="2003">
        <f t="shared" si="333"/>
        <v>0</v>
      </c>
      <c r="AY152" s="1989"/>
      <c r="AZ152" s="1989"/>
      <c r="BA152" s="2002">
        <f t="shared" si="334"/>
        <v>0</v>
      </c>
      <c r="BB152" s="1999">
        <f>AU152+AW152+AY152+AZ152</f>
        <v>0</v>
      </c>
      <c r="BC152" s="1993"/>
      <c r="BD152" s="2003">
        <f t="shared" si="335"/>
        <v>0</v>
      </c>
      <c r="BE152" s="1989"/>
      <c r="BF152" s="2003">
        <f t="shared" si="336"/>
        <v>0</v>
      </c>
      <c r="BG152" s="1989"/>
      <c r="BH152" s="2003">
        <f t="shared" si="337"/>
        <v>0</v>
      </c>
      <c r="BI152" s="1989"/>
      <c r="BJ152" s="1989"/>
      <c r="BK152" s="2002">
        <f t="shared" si="338"/>
        <v>0</v>
      </c>
      <c r="BL152" s="1999">
        <f>BE152+BG152+BI152+BJ152</f>
        <v>0</v>
      </c>
      <c r="BM152" s="1993"/>
      <c r="BN152" s="2003">
        <f t="shared" si="339"/>
        <v>0</v>
      </c>
      <c r="BO152" s="1989"/>
      <c r="BP152" s="2003">
        <f t="shared" si="340"/>
        <v>0</v>
      </c>
      <c r="BQ152" s="1989"/>
      <c r="BR152" s="2003">
        <f t="shared" si="341"/>
        <v>0</v>
      </c>
      <c r="BS152" s="1989"/>
      <c r="BT152" s="1989"/>
      <c r="BU152" s="2002">
        <f t="shared" si="342"/>
        <v>0</v>
      </c>
      <c r="BV152" s="1999">
        <f>BO152+BQ152+BS152+BT152</f>
        <v>0</v>
      </c>
      <c r="BW152" s="1993"/>
      <c r="BX152" s="2003">
        <f t="shared" si="343"/>
        <v>0</v>
      </c>
      <c r="BY152" s="1989"/>
      <c r="BZ152" s="2003">
        <f t="shared" si="344"/>
        <v>0</v>
      </c>
      <c r="CA152" s="1989"/>
      <c r="CB152" s="2003">
        <f t="shared" si="345"/>
        <v>0</v>
      </c>
      <c r="CC152" s="1989"/>
      <c r="CD152" s="1989"/>
      <c r="CE152" s="2002">
        <f t="shared" si="346"/>
        <v>0</v>
      </c>
      <c r="CF152" s="1999">
        <f>BY152+CA152+CC152+CD152</f>
        <v>0</v>
      </c>
      <c r="CG152" s="1993"/>
      <c r="CH152" s="2003">
        <f t="shared" si="347"/>
        <v>0</v>
      </c>
      <c r="CI152" s="1989"/>
      <c r="CJ152" s="2003">
        <f t="shared" si="348"/>
        <v>0</v>
      </c>
      <c r="CK152" s="1989"/>
      <c r="CL152" s="2003">
        <f t="shared" si="349"/>
        <v>0</v>
      </c>
      <c r="CM152" s="1989"/>
      <c r="CN152" s="1989"/>
      <c r="CO152" s="2002">
        <f t="shared" si="350"/>
        <v>0</v>
      </c>
      <c r="CP152" s="1999">
        <f>CI152+CK152+CM152+CN152</f>
        <v>0</v>
      </c>
      <c r="CQ152" s="1993"/>
      <c r="CR152" s="2003">
        <f t="shared" si="351"/>
        <v>0</v>
      </c>
      <c r="CS152" s="1989"/>
      <c r="CT152" s="2003">
        <f t="shared" si="352"/>
        <v>0</v>
      </c>
      <c r="CU152" s="1989"/>
      <c r="CV152" s="2003">
        <f t="shared" si="353"/>
        <v>0</v>
      </c>
      <c r="CW152" s="1989"/>
      <c r="CX152" s="1989"/>
      <c r="CY152" s="2002">
        <f t="shared" si="354"/>
        <v>0</v>
      </c>
      <c r="CZ152" s="1999">
        <f t="shared" si="373"/>
        <v>0</v>
      </c>
      <c r="DA152" s="1993"/>
      <c r="DB152" s="2003">
        <f t="shared" si="355"/>
        <v>0</v>
      </c>
      <c r="DC152" s="1989"/>
      <c r="DD152" s="2003">
        <f t="shared" si="356"/>
        <v>0</v>
      </c>
      <c r="DE152" s="1989"/>
      <c r="DF152" s="2003">
        <f t="shared" si="357"/>
        <v>0</v>
      </c>
      <c r="DG152" s="1989"/>
      <c r="DH152" s="1989"/>
      <c r="DI152" s="2002">
        <f t="shared" si="358"/>
        <v>0</v>
      </c>
      <c r="DJ152" s="1999">
        <f t="shared" si="374"/>
        <v>0</v>
      </c>
      <c r="DK152" s="1993"/>
      <c r="DL152" s="2003">
        <f t="shared" si="359"/>
        <v>0</v>
      </c>
      <c r="DM152" s="1989"/>
      <c r="DN152" s="2003">
        <f t="shared" si="360"/>
        <v>0</v>
      </c>
      <c r="DO152" s="1989"/>
      <c r="DP152" s="2003">
        <f t="shared" si="361"/>
        <v>0</v>
      </c>
      <c r="DQ152" s="1989"/>
      <c r="DR152" s="1989"/>
      <c r="DS152" s="2002">
        <f t="shared" si="362"/>
        <v>0</v>
      </c>
      <c r="DT152" s="2004">
        <f t="shared" si="375"/>
        <v>0</v>
      </c>
      <c r="DU152" s="1988"/>
      <c r="DV152" s="2003">
        <f t="shared" si="364"/>
        <v>0</v>
      </c>
      <c r="DW152" s="1989"/>
      <c r="DX152" s="2003">
        <f t="shared" si="365"/>
        <v>0</v>
      </c>
      <c r="DY152" s="1989"/>
      <c r="DZ152" s="2003">
        <f t="shared" si="366"/>
        <v>0</v>
      </c>
      <c r="EA152" s="1989"/>
      <c r="EB152" s="1989"/>
      <c r="EC152" s="2002">
        <f t="shared" si="367"/>
        <v>0</v>
      </c>
      <c r="ED152" s="1998">
        <f t="shared" si="384"/>
        <v>0</v>
      </c>
      <c r="EE152" s="2005">
        <f t="shared" si="388"/>
        <v>0</v>
      </c>
      <c r="EF152" s="2003">
        <f t="shared" si="368"/>
        <v>0</v>
      </c>
      <c r="EG152" s="1989">
        <f t="shared" si="385"/>
        <v>0</v>
      </c>
      <c r="EH152" s="2003">
        <f t="shared" si="369"/>
        <v>0</v>
      </c>
      <c r="EI152" s="1989">
        <f t="shared" si="386"/>
        <v>0</v>
      </c>
      <c r="EJ152" s="2003">
        <f t="shared" si="370"/>
        <v>0</v>
      </c>
      <c r="EK152" s="1989">
        <f t="shared" si="387"/>
        <v>0</v>
      </c>
      <c r="EL152" s="1989">
        <f t="shared" si="387"/>
        <v>0</v>
      </c>
      <c r="EM152" s="2006">
        <f t="shared" si="371"/>
        <v>0</v>
      </c>
      <c r="EN152" s="1999">
        <f t="shared" si="389"/>
        <v>0</v>
      </c>
      <c r="EP152" s="1613" t="e">
        <f>EA152-#REF!/10^7</f>
        <v>#REF!</v>
      </c>
      <c r="EW152" s="1611" t="e">
        <v>#N/A</v>
      </c>
      <c r="EX152" s="1612" t="e">
        <v>#N/A</v>
      </c>
      <c r="EZ152" s="1650">
        <f t="shared" si="372"/>
        <v>0</v>
      </c>
    </row>
    <row r="153" spans="1:156" s="1660" customFormat="1" ht="21" customHeight="1">
      <c r="A153" s="1637"/>
      <c r="B153" s="1654" t="s">
        <v>211</v>
      </c>
      <c r="C153" s="1655"/>
      <c r="D153" s="1656"/>
      <c r="E153" s="1656"/>
      <c r="F153" s="1656"/>
      <c r="G153" s="1656"/>
      <c r="H153" s="1656"/>
      <c r="I153" s="1656"/>
      <c r="J153" s="1657"/>
      <c r="K153" s="1656"/>
      <c r="L153" s="1656"/>
      <c r="M153" s="1656"/>
      <c r="N153" s="1658"/>
      <c r="O153" s="2007" t="e">
        <f>SUM(O145:O152)</f>
        <v>#REF!</v>
      </c>
      <c r="P153" s="2003">
        <f t="shared" si="317"/>
        <v>0</v>
      </c>
      <c r="Q153" s="1826" t="e">
        <f>SUM(Q145:Q152)</f>
        <v>#REF!</v>
      </c>
      <c r="R153" s="2003">
        <f t="shared" si="318"/>
        <v>0</v>
      </c>
      <c r="S153" s="1826" t="e">
        <f>SUM(S145:S152)</f>
        <v>#REF!</v>
      </c>
      <c r="T153" s="2003">
        <f t="shared" si="319"/>
        <v>0</v>
      </c>
      <c r="U153" s="1826" t="e">
        <f>SUM(U145:U152)</f>
        <v>#REF!</v>
      </c>
      <c r="V153" s="1826"/>
      <c r="W153" s="1989">
        <f t="shared" si="320"/>
        <v>0</v>
      </c>
      <c r="X153" s="2008" t="e">
        <f t="shared" ref="X153:AF153" si="390">SUM(X145:X152)</f>
        <v>#REF!</v>
      </c>
      <c r="Y153" s="2007" t="e">
        <f t="shared" si="390"/>
        <v>#REF!</v>
      </c>
      <c r="Z153" s="2003">
        <f t="shared" si="321"/>
        <v>0</v>
      </c>
      <c r="AA153" s="1826" t="e">
        <f t="shared" si="390"/>
        <v>#REF!</v>
      </c>
      <c r="AB153" s="2003">
        <f t="shared" si="322"/>
        <v>0</v>
      </c>
      <c r="AC153" s="1826" t="e">
        <f t="shared" si="390"/>
        <v>#REF!</v>
      </c>
      <c r="AD153" s="2003">
        <f t="shared" si="323"/>
        <v>0</v>
      </c>
      <c r="AE153" s="1826" t="e">
        <f t="shared" si="390"/>
        <v>#REF!</v>
      </c>
      <c r="AF153" s="1826" t="e">
        <f t="shared" si="390"/>
        <v>#REF!</v>
      </c>
      <c r="AG153" s="2002" t="e">
        <f t="shared" si="324"/>
        <v>#REF!</v>
      </c>
      <c r="AH153" s="2008" t="e">
        <f t="shared" ref="AH153:AP153" si="391">SUM(AH145:AH152)</f>
        <v>#REF!</v>
      </c>
      <c r="AI153" s="2007" t="e">
        <f t="shared" si="391"/>
        <v>#REF!</v>
      </c>
      <c r="AJ153" s="2003">
        <f t="shared" si="326"/>
        <v>0</v>
      </c>
      <c r="AK153" s="1826" t="e">
        <f t="shared" si="391"/>
        <v>#REF!</v>
      </c>
      <c r="AL153" s="2003">
        <f t="shared" si="327"/>
        <v>0</v>
      </c>
      <c r="AM153" s="1826" t="e">
        <f t="shared" si="391"/>
        <v>#REF!</v>
      </c>
      <c r="AN153" s="2003">
        <f t="shared" si="328"/>
        <v>0</v>
      </c>
      <c r="AO153" s="1826" t="e">
        <f t="shared" si="391"/>
        <v>#REF!</v>
      </c>
      <c r="AP153" s="1826" t="e">
        <f t="shared" si="391"/>
        <v>#REF!</v>
      </c>
      <c r="AQ153" s="2002" t="e">
        <f t="shared" si="329"/>
        <v>#REF!</v>
      </c>
      <c r="AR153" s="2008" t="e">
        <f t="shared" ref="AR153:AZ153" si="392">SUM(AR145:AR152)</f>
        <v>#REF!</v>
      </c>
      <c r="AS153" s="2007" t="e">
        <f t="shared" si="392"/>
        <v>#REF!</v>
      </c>
      <c r="AT153" s="2003">
        <f t="shared" si="331"/>
        <v>0</v>
      </c>
      <c r="AU153" s="1826" t="e">
        <f t="shared" si="392"/>
        <v>#REF!</v>
      </c>
      <c r="AV153" s="2003">
        <f t="shared" si="332"/>
        <v>0</v>
      </c>
      <c r="AW153" s="1826" t="e">
        <f t="shared" si="392"/>
        <v>#REF!</v>
      </c>
      <c r="AX153" s="2003">
        <f t="shared" si="333"/>
        <v>0</v>
      </c>
      <c r="AY153" s="1826" t="e">
        <f t="shared" si="392"/>
        <v>#REF!</v>
      </c>
      <c r="AZ153" s="1826" t="e">
        <f t="shared" si="392"/>
        <v>#REF!</v>
      </c>
      <c r="BA153" s="2002" t="e">
        <f t="shared" si="334"/>
        <v>#REF!</v>
      </c>
      <c r="BB153" s="2008" t="e">
        <f t="shared" ref="BB153:BJ153" si="393">SUM(BB145:BB152)</f>
        <v>#REF!</v>
      </c>
      <c r="BC153" s="2007" t="e">
        <f t="shared" si="393"/>
        <v>#REF!</v>
      </c>
      <c r="BD153" s="2003">
        <f t="shared" si="335"/>
        <v>0</v>
      </c>
      <c r="BE153" s="1826" t="e">
        <f t="shared" si="393"/>
        <v>#REF!</v>
      </c>
      <c r="BF153" s="2003">
        <f t="shared" si="336"/>
        <v>0</v>
      </c>
      <c r="BG153" s="1826" t="e">
        <f t="shared" si="393"/>
        <v>#REF!</v>
      </c>
      <c r="BH153" s="2003">
        <f t="shared" si="337"/>
        <v>0</v>
      </c>
      <c r="BI153" s="1826" t="e">
        <f t="shared" si="393"/>
        <v>#REF!</v>
      </c>
      <c r="BJ153" s="1826" t="e">
        <f t="shared" si="393"/>
        <v>#REF!</v>
      </c>
      <c r="BK153" s="2002" t="e">
        <f t="shared" si="338"/>
        <v>#REF!</v>
      </c>
      <c r="BL153" s="2008" t="e">
        <f t="shared" ref="BL153:BT153" si="394">SUM(BL145:BL152)</f>
        <v>#REF!</v>
      </c>
      <c r="BM153" s="2007" t="e">
        <f t="shared" si="394"/>
        <v>#REF!</v>
      </c>
      <c r="BN153" s="2003">
        <f t="shared" si="339"/>
        <v>0</v>
      </c>
      <c r="BO153" s="1826" t="e">
        <f t="shared" si="394"/>
        <v>#REF!</v>
      </c>
      <c r="BP153" s="2003">
        <f t="shared" si="340"/>
        <v>0</v>
      </c>
      <c r="BQ153" s="1826" t="e">
        <f t="shared" si="394"/>
        <v>#REF!</v>
      </c>
      <c r="BR153" s="2003">
        <f t="shared" si="341"/>
        <v>0</v>
      </c>
      <c r="BS153" s="1826" t="e">
        <f t="shared" si="394"/>
        <v>#REF!</v>
      </c>
      <c r="BT153" s="1826" t="e">
        <f t="shared" si="394"/>
        <v>#REF!</v>
      </c>
      <c r="BU153" s="2002" t="e">
        <f t="shared" si="342"/>
        <v>#REF!</v>
      </c>
      <c r="BV153" s="2008" t="e">
        <f t="shared" ref="BV153:CD153" si="395">SUM(BV145:BV152)</f>
        <v>#REF!</v>
      </c>
      <c r="BW153" s="2007" t="e">
        <f t="shared" si="395"/>
        <v>#REF!</v>
      </c>
      <c r="BX153" s="2003">
        <f t="shared" si="343"/>
        <v>0</v>
      </c>
      <c r="BY153" s="1826" t="e">
        <f t="shared" si="395"/>
        <v>#REF!</v>
      </c>
      <c r="BZ153" s="2003">
        <f t="shared" si="344"/>
        <v>0</v>
      </c>
      <c r="CA153" s="1826" t="e">
        <f t="shared" si="395"/>
        <v>#REF!</v>
      </c>
      <c r="CB153" s="2003">
        <f t="shared" si="345"/>
        <v>0</v>
      </c>
      <c r="CC153" s="1826" t="e">
        <f t="shared" si="395"/>
        <v>#REF!</v>
      </c>
      <c r="CD153" s="1826" t="e">
        <f t="shared" si="395"/>
        <v>#REF!</v>
      </c>
      <c r="CE153" s="2002" t="e">
        <f t="shared" si="346"/>
        <v>#REF!</v>
      </c>
      <c r="CF153" s="2008" t="e">
        <f t="shared" ref="CF153:CN153" si="396">SUM(CF145:CF152)</f>
        <v>#REF!</v>
      </c>
      <c r="CG153" s="2007" t="e">
        <f t="shared" si="396"/>
        <v>#REF!</v>
      </c>
      <c r="CH153" s="2003">
        <f t="shared" si="347"/>
        <v>0</v>
      </c>
      <c r="CI153" s="1826" t="e">
        <f t="shared" si="396"/>
        <v>#REF!</v>
      </c>
      <c r="CJ153" s="2003">
        <f t="shared" si="348"/>
        <v>0</v>
      </c>
      <c r="CK153" s="1826" t="e">
        <f t="shared" si="396"/>
        <v>#REF!</v>
      </c>
      <c r="CL153" s="2003">
        <f t="shared" si="349"/>
        <v>0</v>
      </c>
      <c r="CM153" s="1826" t="e">
        <f t="shared" si="396"/>
        <v>#REF!</v>
      </c>
      <c r="CN153" s="1826" t="e">
        <f t="shared" si="396"/>
        <v>#REF!</v>
      </c>
      <c r="CO153" s="2002" t="e">
        <f t="shared" si="350"/>
        <v>#REF!</v>
      </c>
      <c r="CP153" s="2008" t="e">
        <f t="shared" ref="CP153:CX153" si="397">SUM(CP145:CP152)</f>
        <v>#REF!</v>
      </c>
      <c r="CQ153" s="2007" t="e">
        <f t="shared" si="397"/>
        <v>#REF!</v>
      </c>
      <c r="CR153" s="2003">
        <f t="shared" si="351"/>
        <v>0</v>
      </c>
      <c r="CS153" s="1826" t="e">
        <f t="shared" si="397"/>
        <v>#REF!</v>
      </c>
      <c r="CT153" s="2003">
        <f t="shared" si="352"/>
        <v>0</v>
      </c>
      <c r="CU153" s="1826" t="e">
        <f t="shared" si="397"/>
        <v>#REF!</v>
      </c>
      <c r="CV153" s="2003">
        <f t="shared" si="353"/>
        <v>0</v>
      </c>
      <c r="CW153" s="1826" t="e">
        <f t="shared" si="397"/>
        <v>#REF!</v>
      </c>
      <c r="CX153" s="1826" t="e">
        <f t="shared" si="397"/>
        <v>#REF!</v>
      </c>
      <c r="CY153" s="2002" t="e">
        <f t="shared" si="354"/>
        <v>#REF!</v>
      </c>
      <c r="CZ153" s="2008" t="e">
        <f t="shared" ref="CZ153:DH153" si="398">SUM(CZ145:CZ152)</f>
        <v>#REF!</v>
      </c>
      <c r="DA153" s="2007" t="e">
        <f t="shared" si="398"/>
        <v>#REF!</v>
      </c>
      <c r="DB153" s="2003">
        <f t="shared" si="355"/>
        <v>0</v>
      </c>
      <c r="DC153" s="1826" t="e">
        <f t="shared" si="398"/>
        <v>#REF!</v>
      </c>
      <c r="DD153" s="2003">
        <f t="shared" si="356"/>
        <v>0</v>
      </c>
      <c r="DE153" s="1826" t="e">
        <f>SUM(DE145:DE152)</f>
        <v>#REF!</v>
      </c>
      <c r="DF153" s="2003">
        <f t="shared" si="357"/>
        <v>0</v>
      </c>
      <c r="DG153" s="1826" t="e">
        <f t="shared" si="398"/>
        <v>#REF!</v>
      </c>
      <c r="DH153" s="1826" t="e">
        <f t="shared" si="398"/>
        <v>#REF!</v>
      </c>
      <c r="DI153" s="2002" t="e">
        <f t="shared" si="358"/>
        <v>#REF!</v>
      </c>
      <c r="DJ153" s="2008" t="e">
        <f t="shared" ref="DJ153:DR153" si="399">SUM(DJ145:DJ152)</f>
        <v>#REF!</v>
      </c>
      <c r="DK153" s="2007" t="e">
        <f>SUM(DK145:DK152)</f>
        <v>#REF!</v>
      </c>
      <c r="DL153" s="2003">
        <f t="shared" si="359"/>
        <v>0</v>
      </c>
      <c r="DM153" s="1826" t="e">
        <f t="shared" si="399"/>
        <v>#REF!</v>
      </c>
      <c r="DN153" s="2003">
        <f t="shared" si="360"/>
        <v>0</v>
      </c>
      <c r="DO153" s="1826" t="e">
        <f t="shared" si="399"/>
        <v>#REF!</v>
      </c>
      <c r="DP153" s="2003">
        <f t="shared" si="361"/>
        <v>0</v>
      </c>
      <c r="DQ153" s="1826" t="e">
        <f t="shared" si="399"/>
        <v>#REF!</v>
      </c>
      <c r="DR153" s="1826" t="e">
        <f t="shared" si="399"/>
        <v>#REF!</v>
      </c>
      <c r="DS153" s="2002" t="e">
        <f t="shared" si="362"/>
        <v>#REF!</v>
      </c>
      <c r="DT153" s="2009" t="e">
        <f t="shared" ref="DT153:EB153" si="400">SUM(DT145:DT152)</f>
        <v>#REF!</v>
      </c>
      <c r="DU153" s="2010" t="e">
        <f t="shared" si="400"/>
        <v>#REF!</v>
      </c>
      <c r="DV153" s="2003">
        <f t="shared" si="364"/>
        <v>0</v>
      </c>
      <c r="DW153" s="1826" t="e">
        <f t="shared" si="400"/>
        <v>#REF!</v>
      </c>
      <c r="DX153" s="2003">
        <f t="shared" si="365"/>
        <v>0</v>
      </c>
      <c r="DY153" s="1826" t="e">
        <f t="shared" si="400"/>
        <v>#REF!</v>
      </c>
      <c r="DZ153" s="2003">
        <f t="shared" si="366"/>
        <v>0</v>
      </c>
      <c r="EA153" s="1826" t="e">
        <f t="shared" si="400"/>
        <v>#REF!</v>
      </c>
      <c r="EB153" s="1826" t="e">
        <f t="shared" si="400"/>
        <v>#REF!</v>
      </c>
      <c r="EC153" s="2002" t="e">
        <f t="shared" si="367"/>
        <v>#REF!</v>
      </c>
      <c r="ED153" s="1826" t="e">
        <f t="shared" ref="ED153:EL153" si="401">SUM(ED145:ED152)</f>
        <v>#REF!</v>
      </c>
      <c r="EE153" s="2011" t="e">
        <f t="shared" si="401"/>
        <v>#REF!</v>
      </c>
      <c r="EF153" s="2003">
        <f t="shared" si="368"/>
        <v>0</v>
      </c>
      <c r="EG153" s="1826" t="e">
        <f t="shared" si="401"/>
        <v>#REF!</v>
      </c>
      <c r="EH153" s="2003">
        <f t="shared" si="369"/>
        <v>0</v>
      </c>
      <c r="EI153" s="1826" t="e">
        <f t="shared" si="401"/>
        <v>#REF!</v>
      </c>
      <c r="EJ153" s="2003">
        <f t="shared" si="370"/>
        <v>0</v>
      </c>
      <c r="EK153" s="1826" t="e">
        <f t="shared" si="401"/>
        <v>#REF!</v>
      </c>
      <c r="EL153" s="1826" t="e">
        <f t="shared" si="401"/>
        <v>#REF!</v>
      </c>
      <c r="EM153" s="2006" t="e">
        <f t="shared" si="371"/>
        <v>#REF!</v>
      </c>
      <c r="EN153" s="2008" t="e">
        <f>SUM(EN145:EN152)</f>
        <v>#REF!</v>
      </c>
      <c r="EO153" s="1659"/>
      <c r="EP153" s="1613" t="e">
        <f>EA153-#REF!/10^7</f>
        <v>#REF!</v>
      </c>
      <c r="EQ153" s="1661"/>
      <c r="EW153" s="1611" t="e">
        <v>#N/A</v>
      </c>
      <c r="EX153" s="1612">
        <v>0</v>
      </c>
      <c r="EZ153" s="1650">
        <f t="shared" si="372"/>
        <v>0</v>
      </c>
    </row>
    <row r="154" spans="1:156" s="1686" customFormat="1" ht="21" customHeight="1">
      <c r="A154" s="1652">
        <v>8</v>
      </c>
      <c r="B154" s="1644"/>
      <c r="C154" s="1662"/>
      <c r="D154" s="1648"/>
      <c r="E154" s="1648"/>
      <c r="F154" s="1648"/>
      <c r="G154" s="1648"/>
      <c r="H154" s="1648"/>
      <c r="I154" s="1648"/>
      <c r="J154" s="1649"/>
      <c r="K154" s="1648"/>
      <c r="L154" s="1648"/>
      <c r="M154" s="1648"/>
      <c r="N154" s="1642"/>
      <c r="O154" s="2000"/>
      <c r="P154" s="2003">
        <f t="shared" si="317"/>
        <v>0</v>
      </c>
      <c r="Q154" s="1989"/>
      <c r="R154" s="2003">
        <f t="shared" si="318"/>
        <v>0</v>
      </c>
      <c r="S154" s="1989"/>
      <c r="T154" s="2003">
        <f t="shared" si="319"/>
        <v>0</v>
      </c>
      <c r="U154" s="1989"/>
      <c r="V154" s="1989"/>
      <c r="W154" s="1989">
        <f t="shared" si="320"/>
        <v>0</v>
      </c>
      <c r="X154" s="1999"/>
      <c r="Y154" s="1993"/>
      <c r="Z154" s="2003">
        <f t="shared" si="321"/>
        <v>0</v>
      </c>
      <c r="AA154" s="1989"/>
      <c r="AB154" s="2003">
        <f t="shared" si="322"/>
        <v>0</v>
      </c>
      <c r="AC154" s="1989"/>
      <c r="AD154" s="2003">
        <f t="shared" si="323"/>
        <v>0</v>
      </c>
      <c r="AE154" s="1989"/>
      <c r="AF154" s="1989"/>
      <c r="AG154" s="2002">
        <f t="shared" si="324"/>
        <v>0</v>
      </c>
      <c r="AH154" s="1999">
        <f t="shared" ref="AH154" si="402">AA154+AC154+AE154+AF154</f>
        <v>0</v>
      </c>
      <c r="AI154" s="1993"/>
      <c r="AJ154" s="2003">
        <f t="shared" si="326"/>
        <v>0</v>
      </c>
      <c r="AK154" s="1989"/>
      <c r="AL154" s="2003">
        <f t="shared" si="327"/>
        <v>0</v>
      </c>
      <c r="AM154" s="1989"/>
      <c r="AN154" s="2003">
        <f t="shared" si="328"/>
        <v>0</v>
      </c>
      <c r="AO154" s="1989"/>
      <c r="AP154" s="1989"/>
      <c r="AQ154" s="2002">
        <f t="shared" si="329"/>
        <v>0</v>
      </c>
      <c r="AR154" s="1999">
        <f>AK154+AM154+AO154+AP154</f>
        <v>0</v>
      </c>
      <c r="AS154" s="1993"/>
      <c r="AT154" s="2003">
        <f t="shared" si="331"/>
        <v>0</v>
      </c>
      <c r="AU154" s="1989"/>
      <c r="AV154" s="2003">
        <f t="shared" si="332"/>
        <v>0</v>
      </c>
      <c r="AW154" s="1989"/>
      <c r="AX154" s="2003">
        <f t="shared" si="333"/>
        <v>0</v>
      </c>
      <c r="AY154" s="1989"/>
      <c r="AZ154" s="1989"/>
      <c r="BA154" s="2002">
        <f t="shared" si="334"/>
        <v>0</v>
      </c>
      <c r="BB154" s="1999">
        <f>AU154+AW154+AY154+AZ154</f>
        <v>0</v>
      </c>
      <c r="BC154" s="1993"/>
      <c r="BD154" s="2003">
        <f t="shared" si="335"/>
        <v>0</v>
      </c>
      <c r="BE154" s="1989"/>
      <c r="BF154" s="2003">
        <f t="shared" si="336"/>
        <v>0</v>
      </c>
      <c r="BG154" s="1989"/>
      <c r="BH154" s="2003">
        <f t="shared" si="337"/>
        <v>0</v>
      </c>
      <c r="BI154" s="1989"/>
      <c r="BJ154" s="1989"/>
      <c r="BK154" s="2002">
        <f t="shared" si="338"/>
        <v>0</v>
      </c>
      <c r="BL154" s="1999">
        <f>BE154+BG154+BI154+BJ154</f>
        <v>0</v>
      </c>
      <c r="BM154" s="1993"/>
      <c r="BN154" s="2003">
        <f t="shared" si="339"/>
        <v>0</v>
      </c>
      <c r="BO154" s="1989"/>
      <c r="BP154" s="2003">
        <f t="shared" si="340"/>
        <v>0</v>
      </c>
      <c r="BQ154" s="1989"/>
      <c r="BR154" s="2003">
        <f t="shared" si="341"/>
        <v>0</v>
      </c>
      <c r="BS154" s="1989"/>
      <c r="BT154" s="1989"/>
      <c r="BU154" s="2002">
        <f t="shared" si="342"/>
        <v>0</v>
      </c>
      <c r="BV154" s="1999">
        <f>BO154+BQ154+BS154+BT154</f>
        <v>0</v>
      </c>
      <c r="BW154" s="1993"/>
      <c r="BX154" s="2003">
        <f t="shared" si="343"/>
        <v>0</v>
      </c>
      <c r="BY154" s="1989"/>
      <c r="BZ154" s="2003">
        <f t="shared" si="344"/>
        <v>0</v>
      </c>
      <c r="CA154" s="1989"/>
      <c r="CB154" s="2003">
        <f t="shared" si="345"/>
        <v>0</v>
      </c>
      <c r="CC154" s="1989"/>
      <c r="CD154" s="1989"/>
      <c r="CE154" s="2002">
        <f t="shared" si="346"/>
        <v>0</v>
      </c>
      <c r="CF154" s="1999"/>
      <c r="CG154" s="1993"/>
      <c r="CH154" s="2003">
        <f t="shared" si="347"/>
        <v>0</v>
      </c>
      <c r="CI154" s="1989"/>
      <c r="CJ154" s="2003">
        <f t="shared" si="348"/>
        <v>0</v>
      </c>
      <c r="CK154" s="1989"/>
      <c r="CL154" s="2003">
        <f t="shared" si="349"/>
        <v>0</v>
      </c>
      <c r="CM154" s="1989"/>
      <c r="CN154" s="1989"/>
      <c r="CO154" s="2002">
        <f t="shared" si="350"/>
        <v>0</v>
      </c>
      <c r="CP154" s="1999"/>
      <c r="CQ154" s="1993"/>
      <c r="CR154" s="2003">
        <f t="shared" si="351"/>
        <v>0</v>
      </c>
      <c r="CS154" s="1989"/>
      <c r="CT154" s="2003">
        <f t="shared" si="352"/>
        <v>0</v>
      </c>
      <c r="CU154" s="1989"/>
      <c r="CV154" s="2003">
        <f t="shared" si="353"/>
        <v>0</v>
      </c>
      <c r="CW154" s="1989"/>
      <c r="CX154" s="1989"/>
      <c r="CY154" s="2002">
        <f t="shared" si="354"/>
        <v>0</v>
      </c>
      <c r="CZ154" s="1999"/>
      <c r="DA154" s="1993"/>
      <c r="DB154" s="2003">
        <f t="shared" si="355"/>
        <v>0</v>
      </c>
      <c r="DC154" s="1989"/>
      <c r="DD154" s="2003">
        <f t="shared" si="356"/>
        <v>0</v>
      </c>
      <c r="DE154" s="1989"/>
      <c r="DF154" s="2003">
        <f t="shared" si="357"/>
        <v>0</v>
      </c>
      <c r="DG154" s="1989"/>
      <c r="DH154" s="1989"/>
      <c r="DI154" s="2002">
        <f t="shared" si="358"/>
        <v>0</v>
      </c>
      <c r="DJ154" s="1999"/>
      <c r="DK154" s="1993"/>
      <c r="DL154" s="2003">
        <f t="shared" si="359"/>
        <v>0</v>
      </c>
      <c r="DM154" s="1989"/>
      <c r="DN154" s="2003">
        <f t="shared" si="360"/>
        <v>0</v>
      </c>
      <c r="DO154" s="1989"/>
      <c r="DP154" s="2003">
        <f t="shared" si="361"/>
        <v>0</v>
      </c>
      <c r="DQ154" s="1989"/>
      <c r="DR154" s="1989"/>
      <c r="DS154" s="2002">
        <f t="shared" si="362"/>
        <v>0</v>
      </c>
      <c r="DT154" s="2004"/>
      <c r="DU154" s="1988"/>
      <c r="DV154" s="2003">
        <f t="shared" si="364"/>
        <v>0</v>
      </c>
      <c r="DW154" s="1989"/>
      <c r="DX154" s="2003">
        <f t="shared" si="365"/>
        <v>0</v>
      </c>
      <c r="DY154" s="1989"/>
      <c r="DZ154" s="2003">
        <f t="shared" si="366"/>
        <v>0</v>
      </c>
      <c r="EA154" s="1989"/>
      <c r="EB154" s="1989"/>
      <c r="EC154" s="2002">
        <f t="shared" si="367"/>
        <v>0</v>
      </c>
      <c r="ED154" s="1998"/>
      <c r="EE154" s="2005"/>
      <c r="EF154" s="2003">
        <f t="shared" si="368"/>
        <v>0</v>
      </c>
      <c r="EG154" s="1989"/>
      <c r="EH154" s="2003">
        <f t="shared" si="369"/>
        <v>0</v>
      </c>
      <c r="EI154" s="1989"/>
      <c r="EJ154" s="2003">
        <f t="shared" si="370"/>
        <v>0</v>
      </c>
      <c r="EK154" s="1989"/>
      <c r="EL154" s="1989"/>
      <c r="EM154" s="2006">
        <f t="shared" si="371"/>
        <v>0</v>
      </c>
      <c r="EN154" s="1999"/>
      <c r="EO154" s="1621"/>
      <c r="EP154" s="1613" t="e">
        <f>EA154-#REF!/10^7</f>
        <v>#REF!</v>
      </c>
      <c r="EQ154" s="1687"/>
      <c r="EW154" s="1611" t="e">
        <v>#N/A</v>
      </c>
      <c r="EX154" s="1612" t="e">
        <v>#N/A</v>
      </c>
      <c r="EZ154" s="1650">
        <f t="shared" si="372"/>
        <v>0</v>
      </c>
    </row>
    <row r="155" spans="1:156" ht="21" customHeight="1">
      <c r="A155" s="1652"/>
      <c r="B155" s="1638" t="s">
        <v>1750</v>
      </c>
      <c r="D155" s="1648"/>
      <c r="E155" s="1648"/>
      <c r="F155" s="1648"/>
      <c r="G155" s="1648"/>
      <c r="H155" s="1648"/>
      <c r="I155" s="1648"/>
      <c r="J155" s="1649"/>
      <c r="K155" s="1648"/>
      <c r="L155" s="1648"/>
      <c r="M155" s="1648"/>
      <c r="N155" s="1642"/>
      <c r="O155" s="2000"/>
      <c r="P155" s="2003">
        <f t="shared" si="317"/>
        <v>0</v>
      </c>
      <c r="Q155" s="1989"/>
      <c r="R155" s="2003">
        <f t="shared" si="318"/>
        <v>0</v>
      </c>
      <c r="S155" s="1989"/>
      <c r="T155" s="2003">
        <f t="shared" si="319"/>
        <v>0</v>
      </c>
      <c r="U155" s="1989"/>
      <c r="V155" s="1989"/>
      <c r="W155" s="1989">
        <f t="shared" si="320"/>
        <v>0</v>
      </c>
      <c r="X155" s="1999"/>
      <c r="Y155" s="1993"/>
      <c r="Z155" s="2003">
        <f t="shared" si="321"/>
        <v>0</v>
      </c>
      <c r="AA155" s="1989"/>
      <c r="AB155" s="2003">
        <f t="shared" si="322"/>
        <v>0</v>
      </c>
      <c r="AC155" s="1989"/>
      <c r="AD155" s="2003">
        <f t="shared" si="323"/>
        <v>0</v>
      </c>
      <c r="AE155" s="1989"/>
      <c r="AF155" s="1989"/>
      <c r="AG155" s="2002">
        <f t="shared" si="324"/>
        <v>0</v>
      </c>
      <c r="AH155" s="1999"/>
      <c r="AI155" s="1993"/>
      <c r="AJ155" s="2003">
        <f t="shared" si="326"/>
        <v>0</v>
      </c>
      <c r="AK155" s="1989"/>
      <c r="AL155" s="2003">
        <f t="shared" si="327"/>
        <v>0</v>
      </c>
      <c r="AM155" s="1989"/>
      <c r="AN155" s="2003">
        <f t="shared" si="328"/>
        <v>0</v>
      </c>
      <c r="AO155" s="1989"/>
      <c r="AP155" s="1989"/>
      <c r="AQ155" s="2002">
        <f t="shared" si="329"/>
        <v>0</v>
      </c>
      <c r="AR155" s="1999"/>
      <c r="AS155" s="1993"/>
      <c r="AT155" s="2003">
        <f t="shared" si="331"/>
        <v>0</v>
      </c>
      <c r="AU155" s="1989"/>
      <c r="AV155" s="2003">
        <f t="shared" si="332"/>
        <v>0</v>
      </c>
      <c r="AW155" s="1989"/>
      <c r="AX155" s="2003">
        <f t="shared" si="333"/>
        <v>0</v>
      </c>
      <c r="AY155" s="1989"/>
      <c r="AZ155" s="1989"/>
      <c r="BA155" s="2002">
        <f t="shared" si="334"/>
        <v>0</v>
      </c>
      <c r="BB155" s="1999"/>
      <c r="BC155" s="1993"/>
      <c r="BD155" s="2003">
        <f t="shared" si="335"/>
        <v>0</v>
      </c>
      <c r="BE155" s="1989"/>
      <c r="BF155" s="2003">
        <f t="shared" si="336"/>
        <v>0</v>
      </c>
      <c r="BG155" s="1989"/>
      <c r="BH155" s="2003">
        <f t="shared" si="337"/>
        <v>0</v>
      </c>
      <c r="BI155" s="1989"/>
      <c r="BJ155" s="1989"/>
      <c r="BK155" s="2002">
        <f t="shared" si="338"/>
        <v>0</v>
      </c>
      <c r="BL155" s="1999"/>
      <c r="BM155" s="1993"/>
      <c r="BN155" s="2003">
        <f t="shared" si="339"/>
        <v>0</v>
      </c>
      <c r="BO155" s="1989"/>
      <c r="BP155" s="2003">
        <f t="shared" si="340"/>
        <v>0</v>
      </c>
      <c r="BQ155" s="1989"/>
      <c r="BR155" s="2003">
        <f t="shared" si="341"/>
        <v>0</v>
      </c>
      <c r="BS155" s="1989"/>
      <c r="BT155" s="1989"/>
      <c r="BU155" s="2002">
        <f t="shared" si="342"/>
        <v>0</v>
      </c>
      <c r="BV155" s="1999"/>
      <c r="BW155" s="1993"/>
      <c r="BX155" s="2003">
        <f t="shared" si="343"/>
        <v>0</v>
      </c>
      <c r="BY155" s="1989"/>
      <c r="BZ155" s="2003">
        <f t="shared" si="344"/>
        <v>0</v>
      </c>
      <c r="CA155" s="1989"/>
      <c r="CB155" s="2003">
        <f t="shared" si="345"/>
        <v>0</v>
      </c>
      <c r="CC155" s="1989"/>
      <c r="CD155" s="1989"/>
      <c r="CE155" s="2002">
        <f t="shared" si="346"/>
        <v>0</v>
      </c>
      <c r="CF155" s="1999"/>
      <c r="CG155" s="1993"/>
      <c r="CH155" s="2003">
        <f t="shared" si="347"/>
        <v>0</v>
      </c>
      <c r="CI155" s="1989"/>
      <c r="CJ155" s="2003">
        <f t="shared" si="348"/>
        <v>0</v>
      </c>
      <c r="CK155" s="1989"/>
      <c r="CL155" s="2003">
        <f t="shared" si="349"/>
        <v>0</v>
      </c>
      <c r="CM155" s="1989"/>
      <c r="CN155" s="1989"/>
      <c r="CO155" s="2002">
        <f t="shared" si="350"/>
        <v>0</v>
      </c>
      <c r="CP155" s="1999"/>
      <c r="CQ155" s="1993"/>
      <c r="CR155" s="2003">
        <f t="shared" si="351"/>
        <v>0</v>
      </c>
      <c r="CS155" s="1989"/>
      <c r="CT155" s="2003">
        <f t="shared" si="352"/>
        <v>0</v>
      </c>
      <c r="CU155" s="1989"/>
      <c r="CV155" s="2003">
        <f t="shared" si="353"/>
        <v>0</v>
      </c>
      <c r="CW155" s="1989"/>
      <c r="CX155" s="1989"/>
      <c r="CY155" s="2002">
        <f t="shared" si="354"/>
        <v>0</v>
      </c>
      <c r="CZ155" s="1999"/>
      <c r="DA155" s="1993"/>
      <c r="DB155" s="2003">
        <f t="shared" si="355"/>
        <v>0</v>
      </c>
      <c r="DC155" s="1989"/>
      <c r="DD155" s="2003">
        <f t="shared" si="356"/>
        <v>0</v>
      </c>
      <c r="DE155" s="1989"/>
      <c r="DF155" s="2003">
        <f t="shared" si="357"/>
        <v>0</v>
      </c>
      <c r="DG155" s="1989"/>
      <c r="DH155" s="1989"/>
      <c r="DI155" s="2002">
        <f t="shared" si="358"/>
        <v>0</v>
      </c>
      <c r="DJ155" s="1999"/>
      <c r="DK155" s="1993"/>
      <c r="DL155" s="2003">
        <f t="shared" si="359"/>
        <v>0</v>
      </c>
      <c r="DM155" s="1989"/>
      <c r="DN155" s="2003">
        <f t="shared" si="360"/>
        <v>0</v>
      </c>
      <c r="DO155" s="1989"/>
      <c r="DP155" s="2003">
        <f t="shared" si="361"/>
        <v>0</v>
      </c>
      <c r="DQ155" s="1989"/>
      <c r="DR155" s="1989"/>
      <c r="DS155" s="2002">
        <f t="shared" si="362"/>
        <v>0</v>
      </c>
      <c r="DT155" s="2004"/>
      <c r="DU155" s="1988"/>
      <c r="DV155" s="2003">
        <f t="shared" si="364"/>
        <v>0</v>
      </c>
      <c r="DW155" s="1989"/>
      <c r="DX155" s="2003">
        <f t="shared" si="365"/>
        <v>0</v>
      </c>
      <c r="DY155" s="1989"/>
      <c r="DZ155" s="2003">
        <f t="shared" si="366"/>
        <v>0</v>
      </c>
      <c r="EA155" s="1989"/>
      <c r="EB155" s="1989"/>
      <c r="EC155" s="2002">
        <f t="shared" si="367"/>
        <v>0</v>
      </c>
      <c r="ED155" s="1998"/>
      <c r="EE155" s="2005"/>
      <c r="EF155" s="2003">
        <f t="shared" si="368"/>
        <v>0</v>
      </c>
      <c r="EG155" s="1989"/>
      <c r="EH155" s="2003">
        <f t="shared" si="369"/>
        <v>0</v>
      </c>
      <c r="EI155" s="1989"/>
      <c r="EJ155" s="2003">
        <f t="shared" si="370"/>
        <v>0</v>
      </c>
      <c r="EK155" s="1989"/>
      <c r="EL155" s="1989"/>
      <c r="EM155" s="2006">
        <f t="shared" si="371"/>
        <v>0</v>
      </c>
      <c r="EN155" s="1999"/>
      <c r="EP155" s="1613" t="e">
        <f>EA155-#REF!/10^7</f>
        <v>#REF!</v>
      </c>
      <c r="EW155" s="1611" t="e">
        <v>#N/A</v>
      </c>
      <c r="EX155" s="1612">
        <v>0</v>
      </c>
      <c r="EZ155" s="1650">
        <f t="shared" si="372"/>
        <v>0</v>
      </c>
    </row>
    <row r="156" spans="1:156" ht="21" customHeight="1">
      <c r="A156" s="1652">
        <v>1</v>
      </c>
      <c r="B156" s="1644" t="s">
        <v>1764</v>
      </c>
      <c r="C156" s="1645">
        <v>1320</v>
      </c>
      <c r="D156" s="1646">
        <f t="shared" ref="D156:D171" si="403">H156/C156*100</f>
        <v>77.575757575757578</v>
      </c>
      <c r="E156" s="1646">
        <v>26.62</v>
      </c>
      <c r="F156" s="1641">
        <v>6.25</v>
      </c>
      <c r="G156" s="1648"/>
      <c r="H156" s="1648">
        <v>1024</v>
      </c>
      <c r="I156" s="1648" t="s">
        <v>1649</v>
      </c>
      <c r="J156" s="1649">
        <v>2</v>
      </c>
      <c r="K156" s="1648"/>
      <c r="L156" s="1648"/>
      <c r="M156" s="1648"/>
      <c r="N156" s="1642"/>
      <c r="O156" s="2000" t="e">
        <f>#REF!</f>
        <v>#REF!</v>
      </c>
      <c r="P156" s="2003">
        <f t="shared" si="317"/>
        <v>0</v>
      </c>
      <c r="Q156" s="1989" t="e">
        <f>#REF!/10^7</f>
        <v>#REF!</v>
      </c>
      <c r="R156" s="2003">
        <f t="shared" si="318"/>
        <v>0</v>
      </c>
      <c r="S156" s="1989" t="e">
        <f>#REF!/10^7</f>
        <v>#REF!</v>
      </c>
      <c r="T156" s="2003">
        <f t="shared" si="319"/>
        <v>0</v>
      </c>
      <c r="U156" s="1989" t="e">
        <f>#REF!/10^7</f>
        <v>#REF!</v>
      </c>
      <c r="V156" s="1989" t="e">
        <f>#REF!/10^7</f>
        <v>#REF!</v>
      </c>
      <c r="W156" s="1989">
        <f t="shared" si="320"/>
        <v>0</v>
      </c>
      <c r="X156" s="1999" t="e">
        <f t="shared" ref="X156:X175" si="404">Q156+S156+U156+V156</f>
        <v>#REF!</v>
      </c>
      <c r="Y156" s="1993" t="e">
        <f>#REF!</f>
        <v>#REF!</v>
      </c>
      <c r="Z156" s="2003">
        <f t="shared" si="321"/>
        <v>0</v>
      </c>
      <c r="AA156" s="1989" t="e">
        <f>#REF!/10^7</f>
        <v>#REF!</v>
      </c>
      <c r="AB156" s="2003">
        <f t="shared" si="322"/>
        <v>0</v>
      </c>
      <c r="AC156" s="1989" t="e">
        <f>#REF!/10^7</f>
        <v>#REF!</v>
      </c>
      <c r="AD156" s="2003">
        <f t="shared" si="323"/>
        <v>0</v>
      </c>
      <c r="AE156" s="1989" t="e">
        <f>#REF!/10^7</f>
        <v>#REF!</v>
      </c>
      <c r="AF156" s="1989" t="e">
        <f>#REF!/10^7</f>
        <v>#REF!</v>
      </c>
      <c r="AG156" s="2002" t="e">
        <f t="shared" si="324"/>
        <v>#REF!</v>
      </c>
      <c r="AH156" s="1999" t="e">
        <f t="shared" ref="AH156:AH175" si="405">AA156+AC156+AE156+AF156</f>
        <v>#REF!</v>
      </c>
      <c r="AI156" s="1993" t="e">
        <f>#REF!</f>
        <v>#REF!</v>
      </c>
      <c r="AJ156" s="2003">
        <f t="shared" si="326"/>
        <v>0</v>
      </c>
      <c r="AK156" s="1989" t="e">
        <f>#REF!/10^7</f>
        <v>#REF!</v>
      </c>
      <c r="AL156" s="2003">
        <f t="shared" si="327"/>
        <v>0</v>
      </c>
      <c r="AM156" s="1989" t="e">
        <f>#REF!/10^7</f>
        <v>#REF!</v>
      </c>
      <c r="AN156" s="2003">
        <f t="shared" si="328"/>
        <v>0</v>
      </c>
      <c r="AO156" s="1989" t="e">
        <f>#REF!/10^7</f>
        <v>#REF!</v>
      </c>
      <c r="AP156" s="1989" t="e">
        <f>#REF!/10^7</f>
        <v>#REF!</v>
      </c>
      <c r="AQ156" s="2002" t="e">
        <f t="shared" si="329"/>
        <v>#REF!</v>
      </c>
      <c r="AR156" s="1999" t="e">
        <f t="shared" ref="AR156:AR172" si="406">AK156+AM156+AO156+AP156</f>
        <v>#REF!</v>
      </c>
      <c r="AS156" s="1993" t="e">
        <f>#REF!</f>
        <v>#REF!</v>
      </c>
      <c r="AT156" s="2003">
        <f t="shared" si="331"/>
        <v>0</v>
      </c>
      <c r="AU156" s="1989" t="e">
        <f>#REF!/10^7</f>
        <v>#REF!</v>
      </c>
      <c r="AV156" s="2003">
        <f t="shared" si="332"/>
        <v>0</v>
      </c>
      <c r="AW156" s="1989" t="e">
        <f>#REF!/10^7</f>
        <v>#REF!</v>
      </c>
      <c r="AX156" s="2003">
        <f t="shared" si="333"/>
        <v>0</v>
      </c>
      <c r="AY156" s="1989" t="e">
        <f>#REF!/10^7</f>
        <v>#REF!</v>
      </c>
      <c r="AZ156" s="1989" t="e">
        <f>#REF!/10^7</f>
        <v>#REF!</v>
      </c>
      <c r="BA156" s="2002" t="e">
        <f t="shared" si="334"/>
        <v>#REF!</v>
      </c>
      <c r="BB156" s="1999" t="e">
        <f t="shared" ref="BB156:BB172" si="407">AU156+AW156+AY156+AZ156</f>
        <v>#REF!</v>
      </c>
      <c r="BC156" s="1993" t="e">
        <f>#REF!</f>
        <v>#REF!</v>
      </c>
      <c r="BD156" s="2003">
        <f t="shared" si="335"/>
        <v>0</v>
      </c>
      <c r="BE156" s="1989" t="e">
        <f>#REF!/10^7</f>
        <v>#REF!</v>
      </c>
      <c r="BF156" s="2003">
        <f t="shared" si="336"/>
        <v>0</v>
      </c>
      <c r="BG156" s="1989" t="e">
        <f>#REF!/10^7</f>
        <v>#REF!</v>
      </c>
      <c r="BH156" s="2003">
        <f t="shared" si="337"/>
        <v>0</v>
      </c>
      <c r="BI156" s="1989" t="e">
        <f>#REF!/10^7</f>
        <v>#REF!</v>
      </c>
      <c r="BJ156" s="1989" t="e">
        <f>#REF!/10^7</f>
        <v>#REF!</v>
      </c>
      <c r="BK156" s="2002" t="e">
        <f t="shared" si="338"/>
        <v>#REF!</v>
      </c>
      <c r="BL156" s="1999" t="e">
        <f t="shared" ref="BL156:BL172" si="408">BE156+BG156+BI156+BJ156</f>
        <v>#REF!</v>
      </c>
      <c r="BM156" s="1993" t="e">
        <f>#REF!</f>
        <v>#REF!</v>
      </c>
      <c r="BN156" s="2003">
        <f t="shared" si="339"/>
        <v>0</v>
      </c>
      <c r="BO156" s="1989" t="e">
        <f>#REF!/10^7</f>
        <v>#REF!</v>
      </c>
      <c r="BP156" s="2003">
        <f t="shared" si="340"/>
        <v>0</v>
      </c>
      <c r="BQ156" s="1989" t="e">
        <f>#REF!/10^7</f>
        <v>#REF!</v>
      </c>
      <c r="BR156" s="2003">
        <f t="shared" si="341"/>
        <v>0</v>
      </c>
      <c r="BS156" s="1989" t="e">
        <f>#REF!/10^7</f>
        <v>#REF!</v>
      </c>
      <c r="BT156" s="1989" t="e">
        <f>#REF!/10^7</f>
        <v>#REF!</v>
      </c>
      <c r="BU156" s="2002" t="e">
        <f t="shared" si="342"/>
        <v>#REF!</v>
      </c>
      <c r="BV156" s="1999" t="e">
        <f t="shared" ref="BV156:BV172" si="409">BO156+BQ156+BS156+BT156</f>
        <v>#REF!</v>
      </c>
      <c r="BW156" s="1993" t="e">
        <f>#REF!</f>
        <v>#REF!</v>
      </c>
      <c r="BX156" s="2003">
        <f t="shared" si="343"/>
        <v>0</v>
      </c>
      <c r="BY156" s="1989" t="e">
        <f>#REF!/10^7</f>
        <v>#REF!</v>
      </c>
      <c r="BZ156" s="2003">
        <f t="shared" si="344"/>
        <v>0</v>
      </c>
      <c r="CA156" s="1989" t="e">
        <f>#REF!/10^7</f>
        <v>#REF!</v>
      </c>
      <c r="CB156" s="2003">
        <f t="shared" si="345"/>
        <v>0</v>
      </c>
      <c r="CC156" s="1989" t="e">
        <f>#REF!/10^7</f>
        <v>#REF!</v>
      </c>
      <c r="CD156" s="1989" t="e">
        <f>#REF!/10^7</f>
        <v>#REF!</v>
      </c>
      <c r="CE156" s="2002" t="e">
        <f t="shared" si="346"/>
        <v>#REF!</v>
      </c>
      <c r="CF156" s="1999" t="e">
        <f t="shared" ref="CF156:CF172" si="410">BY156+CA156+CC156+CD156</f>
        <v>#REF!</v>
      </c>
      <c r="CG156" s="1993" t="e">
        <f>#REF!</f>
        <v>#REF!</v>
      </c>
      <c r="CH156" s="2003">
        <f t="shared" si="347"/>
        <v>0</v>
      </c>
      <c r="CI156" s="1989" t="e">
        <f>#REF!/10^7</f>
        <v>#REF!</v>
      </c>
      <c r="CJ156" s="2003">
        <f t="shared" si="348"/>
        <v>0</v>
      </c>
      <c r="CK156" s="1989" t="e">
        <f>#REF!/10^7</f>
        <v>#REF!</v>
      </c>
      <c r="CL156" s="2003">
        <f t="shared" si="349"/>
        <v>0</v>
      </c>
      <c r="CM156" s="1989" t="e">
        <f>#REF!/10^7</f>
        <v>#REF!</v>
      </c>
      <c r="CN156" s="1989" t="e">
        <f>#REF!/10^7</f>
        <v>#REF!</v>
      </c>
      <c r="CO156" s="2002" t="e">
        <f t="shared" si="350"/>
        <v>#REF!</v>
      </c>
      <c r="CP156" s="1999" t="e">
        <f t="shared" ref="CP156:CP172" si="411">CI156+CK156+CM156+CN156</f>
        <v>#REF!</v>
      </c>
      <c r="CQ156" s="1993" t="e">
        <f>#REF!</f>
        <v>#REF!</v>
      </c>
      <c r="CR156" s="2003">
        <f t="shared" si="351"/>
        <v>0</v>
      </c>
      <c r="CS156" s="1989" t="e">
        <f>#REF!/10^7</f>
        <v>#REF!</v>
      </c>
      <c r="CT156" s="2003">
        <f t="shared" si="352"/>
        <v>0</v>
      </c>
      <c r="CU156" s="1989" t="e">
        <f>#REF!/10^7</f>
        <v>#REF!</v>
      </c>
      <c r="CV156" s="2003">
        <f t="shared" si="353"/>
        <v>0</v>
      </c>
      <c r="CW156" s="1989" t="e">
        <f>#REF!/10^7</f>
        <v>#REF!</v>
      </c>
      <c r="CX156" s="1989" t="e">
        <f>#REF!/10^7</f>
        <v>#REF!</v>
      </c>
      <c r="CY156" s="2002" t="e">
        <f t="shared" si="354"/>
        <v>#REF!</v>
      </c>
      <c r="CZ156" s="1999" t="e">
        <f t="shared" ref="CZ156:CZ175" si="412">CS156+CU156+CW156+CX156</f>
        <v>#REF!</v>
      </c>
      <c r="DA156" s="1993" t="e">
        <f>#REF!</f>
        <v>#REF!</v>
      </c>
      <c r="DB156" s="2003">
        <f t="shared" si="355"/>
        <v>0</v>
      </c>
      <c r="DC156" s="1989" t="e">
        <f>#REF!/10^7</f>
        <v>#REF!</v>
      </c>
      <c r="DD156" s="2003">
        <f t="shared" si="356"/>
        <v>0</v>
      </c>
      <c r="DE156" s="1989" t="e">
        <f>#REF!/10^7</f>
        <v>#REF!</v>
      </c>
      <c r="DF156" s="2003">
        <f t="shared" si="357"/>
        <v>0</v>
      </c>
      <c r="DG156" s="1989" t="e">
        <f>#REF!/10^7</f>
        <v>#REF!</v>
      </c>
      <c r="DH156" s="1989" t="e">
        <f>#REF!/10^7</f>
        <v>#REF!</v>
      </c>
      <c r="DI156" s="2002" t="e">
        <f t="shared" si="358"/>
        <v>#REF!</v>
      </c>
      <c r="DJ156" s="1999" t="e">
        <f t="shared" ref="DJ156:DJ175" si="413">DC156+DE156+DG156+DH156</f>
        <v>#REF!</v>
      </c>
      <c r="DK156" s="1993" t="e">
        <f>#REF!</f>
        <v>#REF!</v>
      </c>
      <c r="DL156" s="2003">
        <f t="shared" si="359"/>
        <v>0</v>
      </c>
      <c r="DM156" s="1989" t="e">
        <f>#REF!/10^7</f>
        <v>#REF!</v>
      </c>
      <c r="DN156" s="2003">
        <f t="shared" si="360"/>
        <v>0</v>
      </c>
      <c r="DO156" s="1989" t="e">
        <f>#REF!/10^7</f>
        <v>#REF!</v>
      </c>
      <c r="DP156" s="2003">
        <f t="shared" si="361"/>
        <v>0</v>
      </c>
      <c r="DQ156" s="1989" t="e">
        <f>#REF!/10^7</f>
        <v>#REF!</v>
      </c>
      <c r="DR156" s="1989" t="e">
        <f>#REF!/10^7</f>
        <v>#REF!</v>
      </c>
      <c r="DS156" s="2002" t="e">
        <f t="shared" si="362"/>
        <v>#REF!</v>
      </c>
      <c r="DT156" s="2004" t="e">
        <f t="shared" ref="DT156:DT175" si="414">DM156+DO156+DQ156+DR156</f>
        <v>#REF!</v>
      </c>
      <c r="DU156" s="1988" t="e">
        <f>#REF!</f>
        <v>#REF!</v>
      </c>
      <c r="DV156" s="2003">
        <f t="shared" si="364"/>
        <v>0</v>
      </c>
      <c r="DW156" s="1989" t="e">
        <f>#REF!/10^7</f>
        <v>#REF!</v>
      </c>
      <c r="DX156" s="2003">
        <f t="shared" si="365"/>
        <v>0</v>
      </c>
      <c r="DY156" s="1989" t="e">
        <f>#REF!/10^7</f>
        <v>#REF!</v>
      </c>
      <c r="DZ156" s="2003">
        <f t="shared" si="366"/>
        <v>0</v>
      </c>
      <c r="EA156" s="1989" t="e">
        <f>#REF!/10^7</f>
        <v>#REF!</v>
      </c>
      <c r="EB156" s="1989" t="e">
        <f>#REF!/10^7</f>
        <v>#REF!</v>
      </c>
      <c r="EC156" s="2002" t="e">
        <f t="shared" si="367"/>
        <v>#REF!</v>
      </c>
      <c r="ED156" s="1998" t="e">
        <f t="shared" ref="ED156:ED175" si="415">DW156+DY156+EA156+EB156</f>
        <v>#REF!</v>
      </c>
      <c r="EE156" s="2005" t="e">
        <f>O156+Y156+AI156+AS156+BC156+BM156+BW156+CG156+CQ156+DA156+DK156+DU156</f>
        <v>#REF!</v>
      </c>
      <c r="EF156" s="2003">
        <f t="shared" si="368"/>
        <v>0</v>
      </c>
      <c r="EG156" s="1989" t="e">
        <f t="shared" ref="EG156:EG175" si="416">Q156+AA156+AK156+AU156+BE156+BO156+BY156+CI156+CS156+DC156+DM156+DW156</f>
        <v>#REF!</v>
      </c>
      <c r="EH156" s="2003">
        <f t="shared" si="369"/>
        <v>0</v>
      </c>
      <c r="EI156" s="1989" t="e">
        <f t="shared" ref="EI156:EI175" si="417">S156+AC156+AM156+AW156+BG156+BQ156+CA156+CK156+CU156+DE156+DO156+DY156</f>
        <v>#REF!</v>
      </c>
      <c r="EJ156" s="2003">
        <f t="shared" si="370"/>
        <v>0</v>
      </c>
      <c r="EK156" s="1989" t="e">
        <f t="shared" ref="EK156:EL175" si="418">U156+AE156+AO156+AY156+BI156+BS156+CC156+CM156+CW156+DG156+DQ156+EA156</f>
        <v>#REF!</v>
      </c>
      <c r="EL156" s="1989" t="e">
        <f t="shared" si="418"/>
        <v>#REF!</v>
      </c>
      <c r="EM156" s="2006" t="e">
        <f t="shared" si="371"/>
        <v>#REF!</v>
      </c>
      <c r="EN156" s="1999" t="e">
        <f>EG156+EI156+EK156+EL156</f>
        <v>#REF!</v>
      </c>
      <c r="EP156" s="1613" t="e">
        <f>EA156-#REF!/10^7</f>
        <v>#REF!</v>
      </c>
      <c r="EW156" s="1611" t="e">
        <v>#N/A</v>
      </c>
      <c r="EX156" s="1612" t="s">
        <v>1649</v>
      </c>
      <c r="EZ156" s="1650">
        <f t="shared" si="372"/>
        <v>0</v>
      </c>
    </row>
    <row r="157" spans="1:156" s="1677" customFormat="1" ht="21" customHeight="1">
      <c r="A157" s="1652">
        <v>2</v>
      </c>
      <c r="B157" s="1644" t="s">
        <v>1765</v>
      </c>
      <c r="C157" s="1645">
        <v>1200</v>
      </c>
      <c r="D157" s="1646">
        <f t="shared" si="403"/>
        <v>91.666666666666657</v>
      </c>
      <c r="E157" s="1646">
        <v>81.25</v>
      </c>
      <c r="F157" s="1651">
        <v>7.5</v>
      </c>
      <c r="G157" s="1648"/>
      <c r="H157" s="1648">
        <v>1100</v>
      </c>
      <c r="I157" s="1648" t="s">
        <v>1649</v>
      </c>
      <c r="J157" s="1649">
        <v>2</v>
      </c>
      <c r="K157" s="1648"/>
      <c r="L157" s="1648"/>
      <c r="M157" s="1648"/>
      <c r="N157" s="1642"/>
      <c r="O157" s="2000" t="e">
        <f>#REF!</f>
        <v>#REF!</v>
      </c>
      <c r="P157" s="2003">
        <f t="shared" si="317"/>
        <v>0</v>
      </c>
      <c r="Q157" s="1989" t="e">
        <f>#REF!/10^7</f>
        <v>#REF!</v>
      </c>
      <c r="R157" s="2003">
        <f t="shared" si="318"/>
        <v>0</v>
      </c>
      <c r="S157" s="1989" t="e">
        <f>#REF!/10^7</f>
        <v>#REF!</v>
      </c>
      <c r="T157" s="2003">
        <f t="shared" si="319"/>
        <v>0</v>
      </c>
      <c r="U157" s="1989" t="e">
        <f>#REF!/10^7</f>
        <v>#REF!</v>
      </c>
      <c r="V157" s="1989" t="e">
        <f>#REF!/10^7</f>
        <v>#REF!</v>
      </c>
      <c r="W157" s="1989">
        <f t="shared" si="320"/>
        <v>0</v>
      </c>
      <c r="X157" s="1999" t="e">
        <f t="shared" si="404"/>
        <v>#REF!</v>
      </c>
      <c r="Y157" s="1993" t="e">
        <f>#REF!</f>
        <v>#REF!</v>
      </c>
      <c r="Z157" s="2003">
        <f t="shared" si="321"/>
        <v>0</v>
      </c>
      <c r="AA157" s="1989" t="e">
        <f>#REF!/10^7</f>
        <v>#REF!</v>
      </c>
      <c r="AB157" s="2003">
        <f t="shared" si="322"/>
        <v>0</v>
      </c>
      <c r="AC157" s="1989" t="e">
        <f>#REF!/10^7</f>
        <v>#REF!</v>
      </c>
      <c r="AD157" s="2003">
        <f t="shared" si="323"/>
        <v>0</v>
      </c>
      <c r="AE157" s="1989" t="e">
        <f>#REF!/10^7</f>
        <v>#REF!</v>
      </c>
      <c r="AF157" s="1989" t="e">
        <f>#REF!/10^7</f>
        <v>#REF!</v>
      </c>
      <c r="AG157" s="2002" t="e">
        <f t="shared" si="324"/>
        <v>#REF!</v>
      </c>
      <c r="AH157" s="1999" t="e">
        <f t="shared" si="405"/>
        <v>#REF!</v>
      </c>
      <c r="AI157" s="1993" t="e">
        <f>#REF!</f>
        <v>#REF!</v>
      </c>
      <c r="AJ157" s="2003">
        <f t="shared" si="326"/>
        <v>0</v>
      </c>
      <c r="AK157" s="1989" t="e">
        <f>#REF!/10^7</f>
        <v>#REF!</v>
      </c>
      <c r="AL157" s="2003">
        <f t="shared" si="327"/>
        <v>0</v>
      </c>
      <c r="AM157" s="1989" t="e">
        <f>#REF!/10^7</f>
        <v>#REF!</v>
      </c>
      <c r="AN157" s="2003">
        <f t="shared" si="328"/>
        <v>0</v>
      </c>
      <c r="AO157" s="1989" t="e">
        <f>#REF!/10^7</f>
        <v>#REF!</v>
      </c>
      <c r="AP157" s="1989" t="e">
        <f>#REF!/10^7</f>
        <v>#REF!</v>
      </c>
      <c r="AQ157" s="2002" t="e">
        <f t="shared" si="329"/>
        <v>#REF!</v>
      </c>
      <c r="AR157" s="1999" t="e">
        <f t="shared" si="406"/>
        <v>#REF!</v>
      </c>
      <c r="AS157" s="1993" t="e">
        <f>#REF!</f>
        <v>#REF!</v>
      </c>
      <c r="AT157" s="2003">
        <f t="shared" si="331"/>
        <v>0</v>
      </c>
      <c r="AU157" s="1989" t="e">
        <f>#REF!/10^7</f>
        <v>#REF!</v>
      </c>
      <c r="AV157" s="2003">
        <f t="shared" si="332"/>
        <v>0</v>
      </c>
      <c r="AW157" s="1989" t="e">
        <f>#REF!/10^7</f>
        <v>#REF!</v>
      </c>
      <c r="AX157" s="2003">
        <f t="shared" si="333"/>
        <v>0</v>
      </c>
      <c r="AY157" s="1989" t="e">
        <f>#REF!/10^7</f>
        <v>#REF!</v>
      </c>
      <c r="AZ157" s="1989" t="e">
        <f>#REF!/10^7</f>
        <v>#REF!</v>
      </c>
      <c r="BA157" s="2002" t="e">
        <f t="shared" si="334"/>
        <v>#REF!</v>
      </c>
      <c r="BB157" s="1999" t="e">
        <f t="shared" si="407"/>
        <v>#REF!</v>
      </c>
      <c r="BC157" s="1993" t="e">
        <f>#REF!</f>
        <v>#REF!</v>
      </c>
      <c r="BD157" s="2003">
        <f t="shared" si="335"/>
        <v>0</v>
      </c>
      <c r="BE157" s="1989" t="e">
        <f>#REF!/10^7</f>
        <v>#REF!</v>
      </c>
      <c r="BF157" s="2003">
        <f t="shared" si="336"/>
        <v>0</v>
      </c>
      <c r="BG157" s="1989" t="e">
        <f>#REF!/10^7</f>
        <v>#REF!</v>
      </c>
      <c r="BH157" s="2003">
        <f t="shared" si="337"/>
        <v>0</v>
      </c>
      <c r="BI157" s="1989" t="e">
        <f>#REF!/10^7</f>
        <v>#REF!</v>
      </c>
      <c r="BJ157" s="1989" t="e">
        <f>#REF!/10^7</f>
        <v>#REF!</v>
      </c>
      <c r="BK157" s="2002" t="e">
        <f t="shared" si="338"/>
        <v>#REF!</v>
      </c>
      <c r="BL157" s="1999" t="e">
        <f t="shared" si="408"/>
        <v>#REF!</v>
      </c>
      <c r="BM157" s="1993" t="e">
        <f>#REF!</f>
        <v>#REF!</v>
      </c>
      <c r="BN157" s="2003">
        <f t="shared" si="339"/>
        <v>0</v>
      </c>
      <c r="BO157" s="1989" t="e">
        <f>#REF!/10^7</f>
        <v>#REF!</v>
      </c>
      <c r="BP157" s="2003">
        <f t="shared" si="340"/>
        <v>0</v>
      </c>
      <c r="BQ157" s="1989" t="e">
        <f>#REF!/10^7</f>
        <v>#REF!</v>
      </c>
      <c r="BR157" s="2003">
        <f t="shared" si="341"/>
        <v>0</v>
      </c>
      <c r="BS157" s="1989" t="e">
        <f>#REF!/10^7</f>
        <v>#REF!</v>
      </c>
      <c r="BT157" s="1989" t="e">
        <f>#REF!/10^7</f>
        <v>#REF!</v>
      </c>
      <c r="BU157" s="2002" t="e">
        <f t="shared" si="342"/>
        <v>#REF!</v>
      </c>
      <c r="BV157" s="1999" t="e">
        <f t="shared" si="409"/>
        <v>#REF!</v>
      </c>
      <c r="BW157" s="1993" t="e">
        <f>#REF!</f>
        <v>#REF!</v>
      </c>
      <c r="BX157" s="2003">
        <f t="shared" si="343"/>
        <v>0</v>
      </c>
      <c r="BY157" s="1989" t="e">
        <f>#REF!/10^7</f>
        <v>#REF!</v>
      </c>
      <c r="BZ157" s="2003">
        <f t="shared" si="344"/>
        <v>0</v>
      </c>
      <c r="CA157" s="1989" t="e">
        <f>#REF!/10^7</f>
        <v>#REF!</v>
      </c>
      <c r="CB157" s="2003">
        <f t="shared" si="345"/>
        <v>0</v>
      </c>
      <c r="CC157" s="1989" t="e">
        <f>#REF!/10^7</f>
        <v>#REF!</v>
      </c>
      <c r="CD157" s="1989" t="e">
        <f>#REF!/10^7</f>
        <v>#REF!</v>
      </c>
      <c r="CE157" s="2002" t="e">
        <f t="shared" si="346"/>
        <v>#REF!</v>
      </c>
      <c r="CF157" s="1999" t="e">
        <f t="shared" si="410"/>
        <v>#REF!</v>
      </c>
      <c r="CG157" s="1993" t="e">
        <f>#REF!</f>
        <v>#REF!</v>
      </c>
      <c r="CH157" s="2003">
        <f t="shared" si="347"/>
        <v>0</v>
      </c>
      <c r="CI157" s="1989" t="e">
        <f>#REF!/10^7</f>
        <v>#REF!</v>
      </c>
      <c r="CJ157" s="2003">
        <f t="shared" si="348"/>
        <v>0</v>
      </c>
      <c r="CK157" s="1989" t="e">
        <f>#REF!/10^7</f>
        <v>#REF!</v>
      </c>
      <c r="CL157" s="2003">
        <f t="shared" si="349"/>
        <v>0</v>
      </c>
      <c r="CM157" s="1989" t="e">
        <f>#REF!/10^7</f>
        <v>#REF!</v>
      </c>
      <c r="CN157" s="1989" t="e">
        <f>#REF!/10^7</f>
        <v>#REF!</v>
      </c>
      <c r="CO157" s="2002" t="e">
        <f t="shared" si="350"/>
        <v>#REF!</v>
      </c>
      <c r="CP157" s="1999" t="e">
        <f t="shared" si="411"/>
        <v>#REF!</v>
      </c>
      <c r="CQ157" s="1993" t="e">
        <f>#REF!</f>
        <v>#REF!</v>
      </c>
      <c r="CR157" s="2003">
        <f t="shared" si="351"/>
        <v>0</v>
      </c>
      <c r="CS157" s="1989" t="e">
        <f>#REF!/10^7</f>
        <v>#REF!</v>
      </c>
      <c r="CT157" s="2003">
        <f t="shared" si="352"/>
        <v>0</v>
      </c>
      <c r="CU157" s="1989" t="e">
        <f>#REF!/10^7</f>
        <v>#REF!</v>
      </c>
      <c r="CV157" s="2003">
        <f t="shared" si="353"/>
        <v>0</v>
      </c>
      <c r="CW157" s="1989" t="e">
        <f>#REF!/10^7</f>
        <v>#REF!</v>
      </c>
      <c r="CX157" s="1989" t="e">
        <f>#REF!/10^7</f>
        <v>#REF!</v>
      </c>
      <c r="CY157" s="2002" t="e">
        <f t="shared" si="354"/>
        <v>#REF!</v>
      </c>
      <c r="CZ157" s="1999" t="e">
        <f t="shared" si="412"/>
        <v>#REF!</v>
      </c>
      <c r="DA157" s="1993" t="e">
        <f>#REF!</f>
        <v>#REF!</v>
      </c>
      <c r="DB157" s="2003">
        <f t="shared" si="355"/>
        <v>0</v>
      </c>
      <c r="DC157" s="1989" t="e">
        <f>#REF!/10^7</f>
        <v>#REF!</v>
      </c>
      <c r="DD157" s="2003">
        <f t="shared" si="356"/>
        <v>0</v>
      </c>
      <c r="DE157" s="1989" t="e">
        <f>#REF!/10^7</f>
        <v>#REF!</v>
      </c>
      <c r="DF157" s="2003">
        <f t="shared" si="357"/>
        <v>0</v>
      </c>
      <c r="DG157" s="1989" t="e">
        <f>#REF!/10^7</f>
        <v>#REF!</v>
      </c>
      <c r="DH157" s="1989" t="e">
        <f>#REF!/10^7</f>
        <v>#REF!</v>
      </c>
      <c r="DI157" s="2002" t="e">
        <f t="shared" si="358"/>
        <v>#REF!</v>
      </c>
      <c r="DJ157" s="1999" t="e">
        <f t="shared" si="413"/>
        <v>#REF!</v>
      </c>
      <c r="DK157" s="1993" t="e">
        <f>#REF!</f>
        <v>#REF!</v>
      </c>
      <c r="DL157" s="2003">
        <f t="shared" si="359"/>
        <v>0</v>
      </c>
      <c r="DM157" s="1989" t="e">
        <f>#REF!/10^7</f>
        <v>#REF!</v>
      </c>
      <c r="DN157" s="2003">
        <f t="shared" si="360"/>
        <v>0</v>
      </c>
      <c r="DO157" s="1989" t="e">
        <f>#REF!/10^7</f>
        <v>#REF!</v>
      </c>
      <c r="DP157" s="2003">
        <f t="shared" si="361"/>
        <v>0</v>
      </c>
      <c r="DQ157" s="1989" t="e">
        <f>#REF!/10^7</f>
        <v>#REF!</v>
      </c>
      <c r="DR157" s="1989" t="e">
        <f>#REF!/10^7</f>
        <v>#REF!</v>
      </c>
      <c r="DS157" s="2002" t="e">
        <f t="shared" si="362"/>
        <v>#REF!</v>
      </c>
      <c r="DT157" s="2004" t="e">
        <f t="shared" si="414"/>
        <v>#REF!</v>
      </c>
      <c r="DU157" s="1988" t="e">
        <f>#REF!</f>
        <v>#REF!</v>
      </c>
      <c r="DV157" s="2003">
        <f t="shared" si="364"/>
        <v>0</v>
      </c>
      <c r="DW157" s="1989" t="e">
        <f>#REF!/10^7</f>
        <v>#REF!</v>
      </c>
      <c r="DX157" s="2003">
        <f t="shared" si="365"/>
        <v>0</v>
      </c>
      <c r="DY157" s="1989" t="e">
        <f>#REF!/10^7</f>
        <v>#REF!</v>
      </c>
      <c r="DZ157" s="2003">
        <f t="shared" si="366"/>
        <v>0</v>
      </c>
      <c r="EA157" s="1989" t="e">
        <f>#REF!/10^7</f>
        <v>#REF!</v>
      </c>
      <c r="EB157" s="1989" t="e">
        <f>#REF!/10^7</f>
        <v>#REF!</v>
      </c>
      <c r="EC157" s="2002" t="e">
        <f t="shared" si="367"/>
        <v>#REF!</v>
      </c>
      <c r="ED157" s="1998" t="e">
        <f t="shared" si="415"/>
        <v>#REF!</v>
      </c>
      <c r="EE157" s="2005" t="e">
        <f t="shared" ref="EE157:EE175" si="419">O157+Y157+AI157+AS157+BC157+BM157+BW157+CG157+CQ157+DA157+DK157+DU157</f>
        <v>#REF!</v>
      </c>
      <c r="EF157" s="2003">
        <f t="shared" si="368"/>
        <v>0</v>
      </c>
      <c r="EG157" s="1989" t="e">
        <f t="shared" si="416"/>
        <v>#REF!</v>
      </c>
      <c r="EH157" s="2003">
        <f t="shared" si="369"/>
        <v>0</v>
      </c>
      <c r="EI157" s="1989" t="e">
        <f t="shared" si="417"/>
        <v>#REF!</v>
      </c>
      <c r="EJ157" s="2003">
        <f t="shared" si="370"/>
        <v>0</v>
      </c>
      <c r="EK157" s="1989" t="e">
        <f t="shared" si="418"/>
        <v>#REF!</v>
      </c>
      <c r="EL157" s="1989" t="e">
        <f t="shared" si="418"/>
        <v>#REF!</v>
      </c>
      <c r="EM157" s="2006" t="e">
        <f t="shared" si="371"/>
        <v>#REF!</v>
      </c>
      <c r="EN157" s="1999" t="e">
        <f t="shared" ref="EN157:EN175" si="420">EG157+EI157+EK157+EL157</f>
        <v>#REF!</v>
      </c>
      <c r="EO157" s="1676"/>
      <c r="EP157" s="1613" t="e">
        <f>EA157-#REF!/10^7</f>
        <v>#REF!</v>
      </c>
      <c r="EQ157" s="1678"/>
      <c r="EW157" s="1611" t="s">
        <v>1649</v>
      </c>
      <c r="EX157" s="1612" t="s">
        <v>1649</v>
      </c>
      <c r="EZ157" s="1650">
        <f t="shared" si="372"/>
        <v>0</v>
      </c>
    </row>
    <row r="158" spans="1:156" ht="21" customHeight="1">
      <c r="A158" s="1652">
        <v>3</v>
      </c>
      <c r="B158" s="1644" t="s">
        <v>1780</v>
      </c>
      <c r="C158" s="1645"/>
      <c r="D158" s="1646" t="e">
        <f t="shared" si="403"/>
        <v>#DIV/0!</v>
      </c>
      <c r="E158" s="1646"/>
      <c r="F158" s="1651">
        <v>5.75</v>
      </c>
      <c r="G158" s="1648"/>
      <c r="H158" s="1648"/>
      <c r="I158" s="1648" t="s">
        <v>1649</v>
      </c>
      <c r="J158" s="1649">
        <v>1</v>
      </c>
      <c r="K158" s="1648"/>
      <c r="L158" s="1648"/>
      <c r="M158" s="1648"/>
      <c r="N158" s="1642"/>
      <c r="O158" s="2000" t="e">
        <f>#REF!</f>
        <v>#REF!</v>
      </c>
      <c r="P158" s="2003">
        <f t="shared" si="317"/>
        <v>0</v>
      </c>
      <c r="Q158" s="1989" t="e">
        <f>#REF!/10^7</f>
        <v>#REF!</v>
      </c>
      <c r="R158" s="2003">
        <f t="shared" si="318"/>
        <v>0</v>
      </c>
      <c r="S158" s="1989" t="e">
        <f>#REF!/10^7</f>
        <v>#REF!</v>
      </c>
      <c r="T158" s="2003">
        <f t="shared" si="319"/>
        <v>0</v>
      </c>
      <c r="U158" s="1989" t="e">
        <f>#REF!/10^7</f>
        <v>#REF!</v>
      </c>
      <c r="V158" s="1989" t="e">
        <f>#REF!/10^7</f>
        <v>#REF!</v>
      </c>
      <c r="W158" s="1989">
        <f t="shared" si="320"/>
        <v>0</v>
      </c>
      <c r="X158" s="1999" t="e">
        <f t="shared" si="404"/>
        <v>#REF!</v>
      </c>
      <c r="Y158" s="1993" t="e">
        <f>#REF!</f>
        <v>#REF!</v>
      </c>
      <c r="Z158" s="2003">
        <f t="shared" si="321"/>
        <v>0</v>
      </c>
      <c r="AA158" s="1989" t="e">
        <f>#REF!/10^7</f>
        <v>#REF!</v>
      </c>
      <c r="AB158" s="2003">
        <f t="shared" si="322"/>
        <v>0</v>
      </c>
      <c r="AC158" s="1989" t="e">
        <f>#REF!/10^7</f>
        <v>#REF!</v>
      </c>
      <c r="AD158" s="2003">
        <f t="shared" si="323"/>
        <v>0</v>
      </c>
      <c r="AE158" s="1989" t="e">
        <f>#REF!/10^7</f>
        <v>#REF!</v>
      </c>
      <c r="AF158" s="1989" t="e">
        <f>#REF!/10^7</f>
        <v>#REF!</v>
      </c>
      <c r="AG158" s="2002" t="e">
        <f t="shared" si="324"/>
        <v>#REF!</v>
      </c>
      <c r="AH158" s="1999" t="e">
        <f t="shared" si="405"/>
        <v>#REF!</v>
      </c>
      <c r="AI158" s="1993" t="e">
        <f>#REF!</f>
        <v>#REF!</v>
      </c>
      <c r="AJ158" s="2003">
        <f t="shared" si="326"/>
        <v>0</v>
      </c>
      <c r="AK158" s="1989" t="e">
        <f>#REF!/10^7</f>
        <v>#REF!</v>
      </c>
      <c r="AL158" s="2003">
        <f t="shared" si="327"/>
        <v>0</v>
      </c>
      <c r="AM158" s="1989" t="e">
        <f>#REF!/10^7</f>
        <v>#REF!</v>
      </c>
      <c r="AN158" s="2003">
        <f t="shared" si="328"/>
        <v>0</v>
      </c>
      <c r="AO158" s="1989" t="e">
        <f>#REF!/10^7</f>
        <v>#REF!</v>
      </c>
      <c r="AP158" s="1989" t="e">
        <f>#REF!/10^7</f>
        <v>#REF!</v>
      </c>
      <c r="AQ158" s="2002" t="e">
        <f t="shared" si="329"/>
        <v>#REF!</v>
      </c>
      <c r="AR158" s="1999" t="e">
        <f t="shared" si="406"/>
        <v>#REF!</v>
      </c>
      <c r="AS158" s="1993" t="e">
        <f>#REF!</f>
        <v>#REF!</v>
      </c>
      <c r="AT158" s="2003">
        <f t="shared" si="331"/>
        <v>0</v>
      </c>
      <c r="AU158" s="1989" t="e">
        <f>#REF!/10^7</f>
        <v>#REF!</v>
      </c>
      <c r="AV158" s="2003">
        <f t="shared" si="332"/>
        <v>0</v>
      </c>
      <c r="AW158" s="1989" t="e">
        <f>#REF!/10^7</f>
        <v>#REF!</v>
      </c>
      <c r="AX158" s="2003">
        <f t="shared" si="333"/>
        <v>0</v>
      </c>
      <c r="AY158" s="1989" t="e">
        <f>#REF!/10^7</f>
        <v>#REF!</v>
      </c>
      <c r="AZ158" s="1989" t="e">
        <f>#REF!/10^7</f>
        <v>#REF!</v>
      </c>
      <c r="BA158" s="2002" t="e">
        <f t="shared" si="334"/>
        <v>#REF!</v>
      </c>
      <c r="BB158" s="1999" t="e">
        <f t="shared" si="407"/>
        <v>#REF!</v>
      </c>
      <c r="BC158" s="1993" t="e">
        <f>#REF!</f>
        <v>#REF!</v>
      </c>
      <c r="BD158" s="2003">
        <f t="shared" si="335"/>
        <v>0</v>
      </c>
      <c r="BE158" s="1989" t="e">
        <f>#REF!/10^7</f>
        <v>#REF!</v>
      </c>
      <c r="BF158" s="2003">
        <f t="shared" si="336"/>
        <v>0</v>
      </c>
      <c r="BG158" s="1989" t="e">
        <f>#REF!/10^7</f>
        <v>#REF!</v>
      </c>
      <c r="BH158" s="2003">
        <f t="shared" si="337"/>
        <v>0</v>
      </c>
      <c r="BI158" s="1989" t="e">
        <f>#REF!/10^7</f>
        <v>#REF!</v>
      </c>
      <c r="BJ158" s="1989" t="e">
        <f>#REF!/10^7</f>
        <v>#REF!</v>
      </c>
      <c r="BK158" s="2002" t="e">
        <f t="shared" si="338"/>
        <v>#REF!</v>
      </c>
      <c r="BL158" s="1999" t="e">
        <f t="shared" si="408"/>
        <v>#REF!</v>
      </c>
      <c r="BM158" s="1993" t="e">
        <f>#REF!</f>
        <v>#REF!</v>
      </c>
      <c r="BN158" s="2003">
        <f t="shared" si="339"/>
        <v>0</v>
      </c>
      <c r="BO158" s="1989" t="e">
        <f>#REF!/10^7</f>
        <v>#REF!</v>
      </c>
      <c r="BP158" s="2003">
        <f t="shared" si="340"/>
        <v>0</v>
      </c>
      <c r="BQ158" s="1989" t="e">
        <f>#REF!/10^7</f>
        <v>#REF!</v>
      </c>
      <c r="BR158" s="2003">
        <f t="shared" si="341"/>
        <v>0</v>
      </c>
      <c r="BS158" s="1989" t="e">
        <f>#REF!/10^7</f>
        <v>#REF!</v>
      </c>
      <c r="BT158" s="1989" t="e">
        <f>#REF!/10^7</f>
        <v>#REF!</v>
      </c>
      <c r="BU158" s="2002" t="e">
        <f t="shared" si="342"/>
        <v>#REF!</v>
      </c>
      <c r="BV158" s="1999" t="e">
        <f t="shared" si="409"/>
        <v>#REF!</v>
      </c>
      <c r="BW158" s="1993" t="e">
        <f>#REF!</f>
        <v>#REF!</v>
      </c>
      <c r="BX158" s="2003">
        <f t="shared" si="343"/>
        <v>0</v>
      </c>
      <c r="BY158" s="1989" t="e">
        <f>#REF!/10^7</f>
        <v>#REF!</v>
      </c>
      <c r="BZ158" s="2003">
        <f t="shared" si="344"/>
        <v>0</v>
      </c>
      <c r="CA158" s="1989" t="e">
        <f>#REF!/10^7</f>
        <v>#REF!</v>
      </c>
      <c r="CB158" s="2003">
        <f t="shared" si="345"/>
        <v>0</v>
      </c>
      <c r="CC158" s="1989" t="e">
        <f>#REF!/10^7</f>
        <v>#REF!</v>
      </c>
      <c r="CD158" s="1989" t="e">
        <f>#REF!/10^7</f>
        <v>#REF!</v>
      </c>
      <c r="CE158" s="2002" t="e">
        <f t="shared" si="346"/>
        <v>#REF!</v>
      </c>
      <c r="CF158" s="1999" t="e">
        <f t="shared" si="410"/>
        <v>#REF!</v>
      </c>
      <c r="CG158" s="1993" t="e">
        <f>#REF!</f>
        <v>#REF!</v>
      </c>
      <c r="CH158" s="2003">
        <f t="shared" si="347"/>
        <v>0</v>
      </c>
      <c r="CI158" s="1989" t="e">
        <f>#REF!/10^7</f>
        <v>#REF!</v>
      </c>
      <c r="CJ158" s="2003">
        <f t="shared" si="348"/>
        <v>0</v>
      </c>
      <c r="CK158" s="1989" t="e">
        <f>#REF!/10^7</f>
        <v>#REF!</v>
      </c>
      <c r="CL158" s="2003">
        <f t="shared" si="349"/>
        <v>0</v>
      </c>
      <c r="CM158" s="1989" t="e">
        <f>#REF!/10^7</f>
        <v>#REF!</v>
      </c>
      <c r="CN158" s="1989" t="e">
        <f>#REF!/10^7</f>
        <v>#REF!</v>
      </c>
      <c r="CO158" s="2002" t="e">
        <f t="shared" si="350"/>
        <v>#REF!</v>
      </c>
      <c r="CP158" s="1999" t="e">
        <f t="shared" si="411"/>
        <v>#REF!</v>
      </c>
      <c r="CQ158" s="1993" t="e">
        <f>#REF!</f>
        <v>#REF!</v>
      </c>
      <c r="CR158" s="2003">
        <f t="shared" si="351"/>
        <v>0</v>
      </c>
      <c r="CS158" s="1989" t="e">
        <f>#REF!/10^7</f>
        <v>#REF!</v>
      </c>
      <c r="CT158" s="2003">
        <f t="shared" si="352"/>
        <v>0</v>
      </c>
      <c r="CU158" s="1989" t="e">
        <f>#REF!/10^7</f>
        <v>#REF!</v>
      </c>
      <c r="CV158" s="2003">
        <f t="shared" si="353"/>
        <v>0</v>
      </c>
      <c r="CW158" s="1989" t="e">
        <f>#REF!/10^7</f>
        <v>#REF!</v>
      </c>
      <c r="CX158" s="1989" t="e">
        <f>#REF!/10^7</f>
        <v>#REF!</v>
      </c>
      <c r="CY158" s="2002" t="e">
        <f t="shared" si="354"/>
        <v>#REF!</v>
      </c>
      <c r="CZ158" s="1999" t="e">
        <f t="shared" si="412"/>
        <v>#REF!</v>
      </c>
      <c r="DA158" s="1993" t="e">
        <f>#REF!</f>
        <v>#REF!</v>
      </c>
      <c r="DB158" s="2003">
        <f t="shared" si="355"/>
        <v>0</v>
      </c>
      <c r="DC158" s="1989" t="e">
        <f>#REF!/10^7</f>
        <v>#REF!</v>
      </c>
      <c r="DD158" s="2003">
        <f t="shared" si="356"/>
        <v>0</v>
      </c>
      <c r="DE158" s="1989" t="e">
        <f>#REF!/10^7</f>
        <v>#REF!</v>
      </c>
      <c r="DF158" s="2003">
        <f t="shared" si="357"/>
        <v>0</v>
      </c>
      <c r="DG158" s="1989" t="e">
        <f>#REF!/10^7</f>
        <v>#REF!</v>
      </c>
      <c r="DH158" s="1989" t="e">
        <f>#REF!/10^7</f>
        <v>#REF!</v>
      </c>
      <c r="DI158" s="2002" t="e">
        <f t="shared" si="358"/>
        <v>#REF!</v>
      </c>
      <c r="DJ158" s="1999" t="e">
        <f t="shared" si="413"/>
        <v>#REF!</v>
      </c>
      <c r="DK158" s="1993" t="e">
        <f>#REF!</f>
        <v>#REF!</v>
      </c>
      <c r="DL158" s="2003">
        <f t="shared" si="359"/>
        <v>0</v>
      </c>
      <c r="DM158" s="1989" t="e">
        <f>#REF!/10^7</f>
        <v>#REF!</v>
      </c>
      <c r="DN158" s="2003">
        <f t="shared" si="360"/>
        <v>0</v>
      </c>
      <c r="DO158" s="1989" t="e">
        <f>#REF!/10^7</f>
        <v>#REF!</v>
      </c>
      <c r="DP158" s="2003">
        <f t="shared" si="361"/>
        <v>0</v>
      </c>
      <c r="DQ158" s="1989" t="e">
        <f>#REF!/10^7</f>
        <v>#REF!</v>
      </c>
      <c r="DR158" s="1989" t="e">
        <f>#REF!/10^7</f>
        <v>#REF!</v>
      </c>
      <c r="DS158" s="2002" t="e">
        <f t="shared" si="362"/>
        <v>#REF!</v>
      </c>
      <c r="DT158" s="2004" t="e">
        <f t="shared" si="414"/>
        <v>#REF!</v>
      </c>
      <c r="DU158" s="1988" t="e">
        <f>#REF!</f>
        <v>#REF!</v>
      </c>
      <c r="DV158" s="2003">
        <f t="shared" si="364"/>
        <v>0</v>
      </c>
      <c r="DW158" s="1989" t="e">
        <f>#REF!/10^7</f>
        <v>#REF!</v>
      </c>
      <c r="DX158" s="2003">
        <f t="shared" si="365"/>
        <v>0</v>
      </c>
      <c r="DY158" s="1989" t="e">
        <f>#REF!/10^7</f>
        <v>#REF!</v>
      </c>
      <c r="DZ158" s="2003">
        <f t="shared" si="366"/>
        <v>0</v>
      </c>
      <c r="EA158" s="1989" t="e">
        <f>#REF!/10^7</f>
        <v>#REF!</v>
      </c>
      <c r="EB158" s="1989" t="e">
        <f>#REF!/10^7</f>
        <v>#REF!</v>
      </c>
      <c r="EC158" s="2002" t="e">
        <f t="shared" si="367"/>
        <v>#REF!</v>
      </c>
      <c r="ED158" s="1998" t="e">
        <f t="shared" si="415"/>
        <v>#REF!</v>
      </c>
      <c r="EE158" s="2005" t="e">
        <f t="shared" si="419"/>
        <v>#REF!</v>
      </c>
      <c r="EF158" s="2003">
        <f t="shared" si="368"/>
        <v>0</v>
      </c>
      <c r="EG158" s="1989" t="e">
        <f t="shared" si="416"/>
        <v>#REF!</v>
      </c>
      <c r="EH158" s="2003">
        <f t="shared" si="369"/>
        <v>0</v>
      </c>
      <c r="EI158" s="1989" t="e">
        <f t="shared" si="417"/>
        <v>#REF!</v>
      </c>
      <c r="EJ158" s="2003">
        <f t="shared" si="370"/>
        <v>0</v>
      </c>
      <c r="EK158" s="1989" t="e">
        <f t="shared" si="418"/>
        <v>#REF!</v>
      </c>
      <c r="EL158" s="1989" t="e">
        <f t="shared" si="418"/>
        <v>#REF!</v>
      </c>
      <c r="EM158" s="2006" t="e">
        <f t="shared" si="371"/>
        <v>#REF!</v>
      </c>
      <c r="EN158" s="1999" t="e">
        <f t="shared" si="420"/>
        <v>#REF!</v>
      </c>
      <c r="EO158" s="1611" t="s">
        <v>2080</v>
      </c>
      <c r="EP158" s="1613" t="e">
        <f>EA158-#REF!/10^7</f>
        <v>#REF!</v>
      </c>
      <c r="EW158" s="1611" t="e">
        <v>#N/A</v>
      </c>
      <c r="EX158" s="1612" t="s">
        <v>1649</v>
      </c>
      <c r="EZ158" s="1650">
        <f t="shared" si="372"/>
        <v>0</v>
      </c>
    </row>
    <row r="159" spans="1:156" ht="21" customHeight="1">
      <c r="A159" s="1652">
        <v>4</v>
      </c>
      <c r="B159" s="1644" t="s">
        <v>1766</v>
      </c>
      <c r="C159" s="1645">
        <v>90</v>
      </c>
      <c r="D159" s="1646">
        <f t="shared" si="403"/>
        <v>100</v>
      </c>
      <c r="E159" s="1646">
        <v>70.97</v>
      </c>
      <c r="F159" s="1651">
        <v>9.75</v>
      </c>
      <c r="G159" s="1648"/>
      <c r="H159" s="1648">
        <v>90</v>
      </c>
      <c r="I159" s="1648" t="s">
        <v>1649</v>
      </c>
      <c r="J159" s="1649">
        <v>2</v>
      </c>
      <c r="K159" s="1648"/>
      <c r="L159" s="1648"/>
      <c r="M159" s="1648"/>
      <c r="N159" s="1642"/>
      <c r="O159" s="2000" t="e">
        <f>#REF!</f>
        <v>#REF!</v>
      </c>
      <c r="P159" s="2003">
        <f t="shared" si="317"/>
        <v>0</v>
      </c>
      <c r="Q159" s="1989" t="e">
        <f>#REF!/10^7</f>
        <v>#REF!</v>
      </c>
      <c r="R159" s="2003">
        <f t="shared" si="318"/>
        <v>0</v>
      </c>
      <c r="S159" s="1989" t="e">
        <f>#REF!/10^7</f>
        <v>#REF!</v>
      </c>
      <c r="T159" s="2003">
        <f t="shared" si="319"/>
        <v>0</v>
      </c>
      <c r="U159" s="1989" t="e">
        <f>#REF!/10^7</f>
        <v>#REF!</v>
      </c>
      <c r="V159" s="1989" t="e">
        <f>#REF!/10^7</f>
        <v>#REF!</v>
      </c>
      <c r="W159" s="1989">
        <f t="shared" si="320"/>
        <v>0</v>
      </c>
      <c r="X159" s="1999" t="e">
        <f t="shared" si="404"/>
        <v>#REF!</v>
      </c>
      <c r="Y159" s="1993" t="e">
        <f>#REF!</f>
        <v>#REF!</v>
      </c>
      <c r="Z159" s="2003">
        <f t="shared" si="321"/>
        <v>0</v>
      </c>
      <c r="AA159" s="1989" t="e">
        <f>#REF!/10^7</f>
        <v>#REF!</v>
      </c>
      <c r="AB159" s="2003">
        <f t="shared" si="322"/>
        <v>0</v>
      </c>
      <c r="AC159" s="1989" t="e">
        <f>#REF!/10^7</f>
        <v>#REF!</v>
      </c>
      <c r="AD159" s="2003">
        <f t="shared" si="323"/>
        <v>0</v>
      </c>
      <c r="AE159" s="1989" t="e">
        <f>#REF!/10^7</f>
        <v>#REF!</v>
      </c>
      <c r="AF159" s="1989" t="e">
        <f>#REF!/10^7</f>
        <v>#REF!</v>
      </c>
      <c r="AG159" s="2002" t="e">
        <f t="shared" si="324"/>
        <v>#REF!</v>
      </c>
      <c r="AH159" s="1999" t="e">
        <f t="shared" si="405"/>
        <v>#REF!</v>
      </c>
      <c r="AI159" s="1993" t="e">
        <f>#REF!</f>
        <v>#REF!</v>
      </c>
      <c r="AJ159" s="2003">
        <f t="shared" si="326"/>
        <v>0</v>
      </c>
      <c r="AK159" s="1989" t="e">
        <f>#REF!/10^7</f>
        <v>#REF!</v>
      </c>
      <c r="AL159" s="2003">
        <f t="shared" si="327"/>
        <v>0</v>
      </c>
      <c r="AM159" s="1989" t="e">
        <f>#REF!/10^7</f>
        <v>#REF!</v>
      </c>
      <c r="AN159" s="2003">
        <f t="shared" si="328"/>
        <v>0</v>
      </c>
      <c r="AO159" s="1989" t="e">
        <f>#REF!/10^7</f>
        <v>#REF!</v>
      </c>
      <c r="AP159" s="1989" t="e">
        <f>#REF!/10^7</f>
        <v>#REF!</v>
      </c>
      <c r="AQ159" s="2002" t="e">
        <f t="shared" si="329"/>
        <v>#REF!</v>
      </c>
      <c r="AR159" s="1999" t="e">
        <f t="shared" si="406"/>
        <v>#REF!</v>
      </c>
      <c r="AS159" s="1993" t="e">
        <f>#REF!</f>
        <v>#REF!</v>
      </c>
      <c r="AT159" s="2003">
        <f t="shared" si="331"/>
        <v>0</v>
      </c>
      <c r="AU159" s="1989" t="e">
        <f>#REF!/10^7</f>
        <v>#REF!</v>
      </c>
      <c r="AV159" s="2003">
        <f t="shared" si="332"/>
        <v>0</v>
      </c>
      <c r="AW159" s="1989" t="e">
        <f>#REF!/10^7</f>
        <v>#REF!</v>
      </c>
      <c r="AX159" s="2003">
        <f t="shared" si="333"/>
        <v>0</v>
      </c>
      <c r="AY159" s="1989" t="e">
        <f>#REF!/10^7</f>
        <v>#REF!</v>
      </c>
      <c r="AZ159" s="1989" t="e">
        <f>#REF!/10^7</f>
        <v>#REF!</v>
      </c>
      <c r="BA159" s="2002" t="e">
        <f t="shared" si="334"/>
        <v>#REF!</v>
      </c>
      <c r="BB159" s="1999" t="e">
        <f t="shared" si="407"/>
        <v>#REF!</v>
      </c>
      <c r="BC159" s="1993" t="e">
        <f>#REF!</f>
        <v>#REF!</v>
      </c>
      <c r="BD159" s="2003">
        <f t="shared" si="335"/>
        <v>0</v>
      </c>
      <c r="BE159" s="1989" t="e">
        <f>#REF!/10^7</f>
        <v>#REF!</v>
      </c>
      <c r="BF159" s="2003">
        <f t="shared" si="336"/>
        <v>0</v>
      </c>
      <c r="BG159" s="1989" t="e">
        <f>#REF!/10^7</f>
        <v>#REF!</v>
      </c>
      <c r="BH159" s="2003">
        <f t="shared" si="337"/>
        <v>0</v>
      </c>
      <c r="BI159" s="1989" t="e">
        <f>#REF!/10^7</f>
        <v>#REF!</v>
      </c>
      <c r="BJ159" s="1989" t="e">
        <f>#REF!/10^7</f>
        <v>#REF!</v>
      </c>
      <c r="BK159" s="2002" t="e">
        <f t="shared" si="338"/>
        <v>#REF!</v>
      </c>
      <c r="BL159" s="1999" t="e">
        <f t="shared" si="408"/>
        <v>#REF!</v>
      </c>
      <c r="BM159" s="1993" t="e">
        <f>#REF!</f>
        <v>#REF!</v>
      </c>
      <c r="BN159" s="2003">
        <f t="shared" si="339"/>
        <v>0</v>
      </c>
      <c r="BO159" s="1989" t="e">
        <f>#REF!/10^7</f>
        <v>#REF!</v>
      </c>
      <c r="BP159" s="2003">
        <f t="shared" si="340"/>
        <v>0</v>
      </c>
      <c r="BQ159" s="1989" t="e">
        <f>#REF!/10^7</f>
        <v>#REF!</v>
      </c>
      <c r="BR159" s="2003">
        <f t="shared" si="341"/>
        <v>0</v>
      </c>
      <c r="BS159" s="1989" t="e">
        <f>#REF!/10^7</f>
        <v>#REF!</v>
      </c>
      <c r="BT159" s="1989" t="e">
        <f>#REF!/10^7</f>
        <v>#REF!</v>
      </c>
      <c r="BU159" s="2002" t="e">
        <f t="shared" si="342"/>
        <v>#REF!</v>
      </c>
      <c r="BV159" s="1999" t="e">
        <f t="shared" si="409"/>
        <v>#REF!</v>
      </c>
      <c r="BW159" s="1993" t="e">
        <f>#REF!</f>
        <v>#REF!</v>
      </c>
      <c r="BX159" s="2003">
        <f t="shared" si="343"/>
        <v>0</v>
      </c>
      <c r="BY159" s="1989" t="e">
        <f>#REF!/10^7</f>
        <v>#REF!</v>
      </c>
      <c r="BZ159" s="2003">
        <f t="shared" si="344"/>
        <v>0</v>
      </c>
      <c r="CA159" s="1989" t="e">
        <f>#REF!/10^7</f>
        <v>#REF!</v>
      </c>
      <c r="CB159" s="2003">
        <f t="shared" si="345"/>
        <v>0</v>
      </c>
      <c r="CC159" s="1989" t="e">
        <f>#REF!/10^7</f>
        <v>#REF!</v>
      </c>
      <c r="CD159" s="1989" t="e">
        <f>#REF!/10^7</f>
        <v>#REF!</v>
      </c>
      <c r="CE159" s="2002" t="e">
        <f t="shared" si="346"/>
        <v>#REF!</v>
      </c>
      <c r="CF159" s="1999" t="e">
        <f t="shared" si="410"/>
        <v>#REF!</v>
      </c>
      <c r="CG159" s="1993" t="e">
        <f>#REF!</f>
        <v>#REF!</v>
      </c>
      <c r="CH159" s="2003">
        <f t="shared" si="347"/>
        <v>0</v>
      </c>
      <c r="CI159" s="1989" t="e">
        <f>#REF!/10^7</f>
        <v>#REF!</v>
      </c>
      <c r="CJ159" s="2003">
        <f t="shared" si="348"/>
        <v>0</v>
      </c>
      <c r="CK159" s="1989" t="e">
        <f>#REF!/10^7</f>
        <v>#REF!</v>
      </c>
      <c r="CL159" s="2003">
        <f t="shared" si="349"/>
        <v>0</v>
      </c>
      <c r="CM159" s="1989" t="e">
        <f>#REF!/10^7</f>
        <v>#REF!</v>
      </c>
      <c r="CN159" s="1989" t="e">
        <f>#REF!/10^7</f>
        <v>#REF!</v>
      </c>
      <c r="CO159" s="2002" t="e">
        <f t="shared" si="350"/>
        <v>#REF!</v>
      </c>
      <c r="CP159" s="1999" t="e">
        <f t="shared" si="411"/>
        <v>#REF!</v>
      </c>
      <c r="CQ159" s="1993" t="e">
        <f>#REF!</f>
        <v>#REF!</v>
      </c>
      <c r="CR159" s="2003">
        <f t="shared" si="351"/>
        <v>0</v>
      </c>
      <c r="CS159" s="1989" t="e">
        <f>#REF!/10^7</f>
        <v>#REF!</v>
      </c>
      <c r="CT159" s="2003">
        <f t="shared" si="352"/>
        <v>0</v>
      </c>
      <c r="CU159" s="1989" t="e">
        <f>#REF!/10^7</f>
        <v>#REF!</v>
      </c>
      <c r="CV159" s="2003">
        <f t="shared" si="353"/>
        <v>0</v>
      </c>
      <c r="CW159" s="1989" t="e">
        <f>#REF!/10^7</f>
        <v>#REF!</v>
      </c>
      <c r="CX159" s="1989" t="e">
        <f>#REF!/10^7</f>
        <v>#REF!</v>
      </c>
      <c r="CY159" s="2002" t="e">
        <f t="shared" si="354"/>
        <v>#REF!</v>
      </c>
      <c r="CZ159" s="1999" t="e">
        <f t="shared" si="412"/>
        <v>#REF!</v>
      </c>
      <c r="DA159" s="1993" t="e">
        <f>#REF!</f>
        <v>#REF!</v>
      </c>
      <c r="DB159" s="2003">
        <f t="shared" si="355"/>
        <v>0</v>
      </c>
      <c r="DC159" s="1989" t="e">
        <f>#REF!/10^7</f>
        <v>#REF!</v>
      </c>
      <c r="DD159" s="2003">
        <f t="shared" si="356"/>
        <v>0</v>
      </c>
      <c r="DE159" s="1989" t="e">
        <f>#REF!/10^7</f>
        <v>#REF!</v>
      </c>
      <c r="DF159" s="2003">
        <f t="shared" si="357"/>
        <v>0</v>
      </c>
      <c r="DG159" s="1989" t="e">
        <f>#REF!/10^7</f>
        <v>#REF!</v>
      </c>
      <c r="DH159" s="1989" t="e">
        <f>#REF!/10^7</f>
        <v>#REF!</v>
      </c>
      <c r="DI159" s="2002" t="e">
        <f t="shared" si="358"/>
        <v>#REF!</v>
      </c>
      <c r="DJ159" s="1999" t="e">
        <f t="shared" si="413"/>
        <v>#REF!</v>
      </c>
      <c r="DK159" s="1993" t="e">
        <f>#REF!</f>
        <v>#REF!</v>
      </c>
      <c r="DL159" s="2003">
        <f t="shared" si="359"/>
        <v>0</v>
      </c>
      <c r="DM159" s="1989" t="e">
        <f>#REF!/10^7</f>
        <v>#REF!</v>
      </c>
      <c r="DN159" s="2003">
        <f t="shared" si="360"/>
        <v>0</v>
      </c>
      <c r="DO159" s="1989" t="e">
        <f>#REF!/10^7</f>
        <v>#REF!</v>
      </c>
      <c r="DP159" s="2003">
        <f t="shared" si="361"/>
        <v>0</v>
      </c>
      <c r="DQ159" s="1989" t="e">
        <f>#REF!/10^7</f>
        <v>#REF!</v>
      </c>
      <c r="DR159" s="1989" t="e">
        <f>#REF!/10^7</f>
        <v>#REF!</v>
      </c>
      <c r="DS159" s="2002" t="e">
        <f t="shared" si="362"/>
        <v>#REF!</v>
      </c>
      <c r="DT159" s="2004" t="e">
        <f t="shared" si="414"/>
        <v>#REF!</v>
      </c>
      <c r="DU159" s="1988" t="e">
        <f>#REF!</f>
        <v>#REF!</v>
      </c>
      <c r="DV159" s="2003">
        <f t="shared" si="364"/>
        <v>0</v>
      </c>
      <c r="DW159" s="1989" t="e">
        <f>#REF!/10^7</f>
        <v>#REF!</v>
      </c>
      <c r="DX159" s="2003">
        <f t="shared" si="365"/>
        <v>0</v>
      </c>
      <c r="DY159" s="1989" t="e">
        <f>#REF!/10^7</f>
        <v>#REF!</v>
      </c>
      <c r="DZ159" s="2003">
        <f t="shared" si="366"/>
        <v>0</v>
      </c>
      <c r="EA159" s="1989" t="e">
        <f>#REF!/10^7</f>
        <v>#REF!</v>
      </c>
      <c r="EB159" s="1989" t="e">
        <f>#REF!/10^7</f>
        <v>#REF!</v>
      </c>
      <c r="EC159" s="2002" t="e">
        <f t="shared" si="367"/>
        <v>#REF!</v>
      </c>
      <c r="ED159" s="1998" t="e">
        <f t="shared" si="415"/>
        <v>#REF!</v>
      </c>
      <c r="EE159" s="2005" t="e">
        <f t="shared" si="419"/>
        <v>#REF!</v>
      </c>
      <c r="EF159" s="2003">
        <f t="shared" si="368"/>
        <v>0</v>
      </c>
      <c r="EG159" s="1989" t="e">
        <f t="shared" si="416"/>
        <v>#REF!</v>
      </c>
      <c r="EH159" s="2003">
        <f t="shared" si="369"/>
        <v>0</v>
      </c>
      <c r="EI159" s="1989" t="e">
        <f t="shared" si="417"/>
        <v>#REF!</v>
      </c>
      <c r="EJ159" s="2003">
        <f t="shared" si="370"/>
        <v>0</v>
      </c>
      <c r="EK159" s="1989" t="e">
        <f t="shared" si="418"/>
        <v>#REF!</v>
      </c>
      <c r="EL159" s="1989" t="e">
        <f t="shared" si="418"/>
        <v>#REF!</v>
      </c>
      <c r="EM159" s="2006" t="e">
        <f t="shared" si="371"/>
        <v>#REF!</v>
      </c>
      <c r="EN159" s="1999" t="e">
        <f t="shared" si="420"/>
        <v>#REF!</v>
      </c>
      <c r="EP159" s="1613" t="e">
        <f>EA159-#REF!/10^7</f>
        <v>#REF!</v>
      </c>
      <c r="EW159" s="1611" t="s">
        <v>1649</v>
      </c>
      <c r="EX159" s="1612" t="s">
        <v>1649</v>
      </c>
      <c r="EZ159" s="1650">
        <f t="shared" si="372"/>
        <v>0</v>
      </c>
    </row>
    <row r="160" spans="1:156" ht="21" customHeight="1">
      <c r="A160" s="1652">
        <v>5</v>
      </c>
      <c r="B160" s="1644" t="s">
        <v>1767</v>
      </c>
      <c r="C160" s="1688">
        <v>90</v>
      </c>
      <c r="D160" s="1646">
        <f t="shared" si="403"/>
        <v>100</v>
      </c>
      <c r="E160" s="1646">
        <v>68.11</v>
      </c>
      <c r="F160" s="1651">
        <v>9.75</v>
      </c>
      <c r="G160" s="1648"/>
      <c r="H160" s="1648">
        <v>90</v>
      </c>
      <c r="I160" s="1648" t="s">
        <v>1649</v>
      </c>
      <c r="J160" s="1649">
        <v>2</v>
      </c>
      <c r="K160" s="1648"/>
      <c r="L160" s="1648"/>
      <c r="M160" s="1648"/>
      <c r="N160" s="1642"/>
      <c r="O160" s="2000" t="e">
        <f>#REF!</f>
        <v>#REF!</v>
      </c>
      <c r="P160" s="2003">
        <f t="shared" si="317"/>
        <v>0</v>
      </c>
      <c r="Q160" s="1989" t="e">
        <f>#REF!/10^7</f>
        <v>#REF!</v>
      </c>
      <c r="R160" s="2003">
        <f t="shared" si="318"/>
        <v>0</v>
      </c>
      <c r="S160" s="1989" t="e">
        <f>#REF!/10^7</f>
        <v>#REF!</v>
      </c>
      <c r="T160" s="2003">
        <f t="shared" si="319"/>
        <v>0</v>
      </c>
      <c r="U160" s="1989" t="e">
        <f>#REF!/10^7</f>
        <v>#REF!</v>
      </c>
      <c r="V160" s="1989" t="e">
        <f>#REF!/10^7</f>
        <v>#REF!</v>
      </c>
      <c r="W160" s="1989">
        <f t="shared" si="320"/>
        <v>0</v>
      </c>
      <c r="X160" s="1999" t="e">
        <f t="shared" si="404"/>
        <v>#REF!</v>
      </c>
      <c r="Y160" s="1993" t="e">
        <f>#REF!</f>
        <v>#REF!</v>
      </c>
      <c r="Z160" s="2003">
        <f t="shared" si="321"/>
        <v>0</v>
      </c>
      <c r="AA160" s="1989" t="e">
        <f>#REF!/10^7</f>
        <v>#REF!</v>
      </c>
      <c r="AB160" s="2003">
        <f t="shared" si="322"/>
        <v>0</v>
      </c>
      <c r="AC160" s="1989" t="e">
        <f>#REF!/10^7</f>
        <v>#REF!</v>
      </c>
      <c r="AD160" s="2003">
        <f t="shared" si="323"/>
        <v>0</v>
      </c>
      <c r="AE160" s="1989" t="e">
        <f>#REF!/10^7</f>
        <v>#REF!</v>
      </c>
      <c r="AF160" s="1989" t="e">
        <f>#REF!/10^7</f>
        <v>#REF!</v>
      </c>
      <c r="AG160" s="2002" t="e">
        <f t="shared" si="324"/>
        <v>#REF!</v>
      </c>
      <c r="AH160" s="1999" t="e">
        <f t="shared" si="405"/>
        <v>#REF!</v>
      </c>
      <c r="AI160" s="1993" t="e">
        <f>#REF!</f>
        <v>#REF!</v>
      </c>
      <c r="AJ160" s="2003">
        <f t="shared" si="326"/>
        <v>0</v>
      </c>
      <c r="AK160" s="1989" t="e">
        <f>#REF!/10^7</f>
        <v>#REF!</v>
      </c>
      <c r="AL160" s="2003">
        <f t="shared" si="327"/>
        <v>0</v>
      </c>
      <c r="AM160" s="1989" t="e">
        <f>#REF!/10^7</f>
        <v>#REF!</v>
      </c>
      <c r="AN160" s="2003">
        <f t="shared" si="328"/>
        <v>0</v>
      </c>
      <c r="AO160" s="1989" t="e">
        <f>#REF!/10^7</f>
        <v>#REF!</v>
      </c>
      <c r="AP160" s="1989" t="e">
        <f>#REF!/10^7</f>
        <v>#REF!</v>
      </c>
      <c r="AQ160" s="2002" t="e">
        <f t="shared" si="329"/>
        <v>#REF!</v>
      </c>
      <c r="AR160" s="1999" t="e">
        <f t="shared" si="406"/>
        <v>#REF!</v>
      </c>
      <c r="AS160" s="1993" t="e">
        <f>#REF!</f>
        <v>#REF!</v>
      </c>
      <c r="AT160" s="2003">
        <f t="shared" si="331"/>
        <v>0</v>
      </c>
      <c r="AU160" s="1989" t="e">
        <f>#REF!/10^7</f>
        <v>#REF!</v>
      </c>
      <c r="AV160" s="2003">
        <f t="shared" si="332"/>
        <v>0</v>
      </c>
      <c r="AW160" s="1989" t="e">
        <f>#REF!/10^7</f>
        <v>#REF!</v>
      </c>
      <c r="AX160" s="2003">
        <f t="shared" si="333"/>
        <v>0</v>
      </c>
      <c r="AY160" s="1989" t="e">
        <f>#REF!/10^7</f>
        <v>#REF!</v>
      </c>
      <c r="AZ160" s="1989" t="e">
        <f>#REF!/10^7</f>
        <v>#REF!</v>
      </c>
      <c r="BA160" s="2002" t="e">
        <f t="shared" si="334"/>
        <v>#REF!</v>
      </c>
      <c r="BB160" s="1999" t="e">
        <f t="shared" si="407"/>
        <v>#REF!</v>
      </c>
      <c r="BC160" s="1993" t="e">
        <f>#REF!</f>
        <v>#REF!</v>
      </c>
      <c r="BD160" s="2003">
        <f t="shared" si="335"/>
        <v>0</v>
      </c>
      <c r="BE160" s="1989" t="e">
        <f>#REF!/10^7</f>
        <v>#REF!</v>
      </c>
      <c r="BF160" s="2003">
        <f t="shared" si="336"/>
        <v>0</v>
      </c>
      <c r="BG160" s="1989" t="e">
        <f>#REF!/10^7</f>
        <v>#REF!</v>
      </c>
      <c r="BH160" s="2003">
        <f t="shared" si="337"/>
        <v>0</v>
      </c>
      <c r="BI160" s="1989" t="e">
        <f>#REF!/10^7</f>
        <v>#REF!</v>
      </c>
      <c r="BJ160" s="1989" t="e">
        <f>#REF!/10^7</f>
        <v>#REF!</v>
      </c>
      <c r="BK160" s="2002" t="e">
        <f t="shared" si="338"/>
        <v>#REF!</v>
      </c>
      <c r="BL160" s="1999" t="e">
        <f t="shared" si="408"/>
        <v>#REF!</v>
      </c>
      <c r="BM160" s="1993" t="e">
        <f>#REF!</f>
        <v>#REF!</v>
      </c>
      <c r="BN160" s="2003">
        <f t="shared" si="339"/>
        <v>0</v>
      </c>
      <c r="BO160" s="1989" t="e">
        <f>#REF!/10^7</f>
        <v>#REF!</v>
      </c>
      <c r="BP160" s="2003">
        <f t="shared" si="340"/>
        <v>0</v>
      </c>
      <c r="BQ160" s="1989" t="e">
        <f>#REF!/10^7</f>
        <v>#REF!</v>
      </c>
      <c r="BR160" s="2003">
        <f t="shared" si="341"/>
        <v>0</v>
      </c>
      <c r="BS160" s="1989" t="e">
        <f>#REF!/10^7</f>
        <v>#REF!</v>
      </c>
      <c r="BT160" s="1989" t="e">
        <f>#REF!/10^7</f>
        <v>#REF!</v>
      </c>
      <c r="BU160" s="2002" t="e">
        <f t="shared" si="342"/>
        <v>#REF!</v>
      </c>
      <c r="BV160" s="1999" t="e">
        <f t="shared" si="409"/>
        <v>#REF!</v>
      </c>
      <c r="BW160" s="1993" t="e">
        <f>#REF!</f>
        <v>#REF!</v>
      </c>
      <c r="BX160" s="2003">
        <f t="shared" si="343"/>
        <v>0</v>
      </c>
      <c r="BY160" s="1989" t="e">
        <f>#REF!/10^7</f>
        <v>#REF!</v>
      </c>
      <c r="BZ160" s="2003">
        <f t="shared" si="344"/>
        <v>0</v>
      </c>
      <c r="CA160" s="1989" t="e">
        <f>#REF!/10^7</f>
        <v>#REF!</v>
      </c>
      <c r="CB160" s="2003">
        <f t="shared" si="345"/>
        <v>0</v>
      </c>
      <c r="CC160" s="1989" t="e">
        <f>#REF!/10^7</f>
        <v>#REF!</v>
      </c>
      <c r="CD160" s="1989" t="e">
        <f>#REF!/10^7</f>
        <v>#REF!</v>
      </c>
      <c r="CE160" s="2002" t="e">
        <f t="shared" si="346"/>
        <v>#REF!</v>
      </c>
      <c r="CF160" s="1999" t="e">
        <f t="shared" si="410"/>
        <v>#REF!</v>
      </c>
      <c r="CG160" s="1993" t="e">
        <f>#REF!</f>
        <v>#REF!</v>
      </c>
      <c r="CH160" s="2003">
        <f t="shared" si="347"/>
        <v>0</v>
      </c>
      <c r="CI160" s="1989" t="e">
        <f>#REF!/10^7</f>
        <v>#REF!</v>
      </c>
      <c r="CJ160" s="2003">
        <f t="shared" si="348"/>
        <v>0</v>
      </c>
      <c r="CK160" s="1989" t="e">
        <f>#REF!/10^7</f>
        <v>#REF!</v>
      </c>
      <c r="CL160" s="2003">
        <f t="shared" si="349"/>
        <v>0</v>
      </c>
      <c r="CM160" s="1989" t="e">
        <f>#REF!/10^7</f>
        <v>#REF!</v>
      </c>
      <c r="CN160" s="1989" t="e">
        <f>#REF!/10^7</f>
        <v>#REF!</v>
      </c>
      <c r="CO160" s="2002" t="e">
        <f t="shared" si="350"/>
        <v>#REF!</v>
      </c>
      <c r="CP160" s="1999" t="e">
        <f t="shared" si="411"/>
        <v>#REF!</v>
      </c>
      <c r="CQ160" s="1993" t="e">
        <f>#REF!</f>
        <v>#REF!</v>
      </c>
      <c r="CR160" s="2003">
        <f t="shared" si="351"/>
        <v>0</v>
      </c>
      <c r="CS160" s="1989" t="e">
        <f>#REF!/10^7</f>
        <v>#REF!</v>
      </c>
      <c r="CT160" s="2003">
        <f t="shared" si="352"/>
        <v>0</v>
      </c>
      <c r="CU160" s="1989" t="e">
        <f>#REF!/10^7</f>
        <v>#REF!</v>
      </c>
      <c r="CV160" s="2003">
        <f t="shared" si="353"/>
        <v>0</v>
      </c>
      <c r="CW160" s="1989" t="e">
        <f>#REF!/10^7</f>
        <v>#REF!</v>
      </c>
      <c r="CX160" s="1989" t="e">
        <f>#REF!/10^7</f>
        <v>#REF!</v>
      </c>
      <c r="CY160" s="2002" t="e">
        <f t="shared" si="354"/>
        <v>#REF!</v>
      </c>
      <c r="CZ160" s="1999" t="e">
        <f t="shared" si="412"/>
        <v>#REF!</v>
      </c>
      <c r="DA160" s="1993" t="e">
        <f>#REF!</f>
        <v>#REF!</v>
      </c>
      <c r="DB160" s="2003">
        <f t="shared" si="355"/>
        <v>0</v>
      </c>
      <c r="DC160" s="1989" t="e">
        <f>#REF!/10^7</f>
        <v>#REF!</v>
      </c>
      <c r="DD160" s="2003">
        <f t="shared" si="356"/>
        <v>0</v>
      </c>
      <c r="DE160" s="1989" t="e">
        <f>#REF!/10^7</f>
        <v>#REF!</v>
      </c>
      <c r="DF160" s="2003">
        <f t="shared" si="357"/>
        <v>0</v>
      </c>
      <c r="DG160" s="1989" t="e">
        <f>#REF!/10^7</f>
        <v>#REF!</v>
      </c>
      <c r="DH160" s="1989" t="e">
        <f>#REF!/10^7</f>
        <v>#REF!</v>
      </c>
      <c r="DI160" s="2002" t="e">
        <f t="shared" si="358"/>
        <v>#REF!</v>
      </c>
      <c r="DJ160" s="1999" t="e">
        <f t="shared" si="413"/>
        <v>#REF!</v>
      </c>
      <c r="DK160" s="1993" t="e">
        <f>#REF!</f>
        <v>#REF!</v>
      </c>
      <c r="DL160" s="2003">
        <f t="shared" si="359"/>
        <v>0</v>
      </c>
      <c r="DM160" s="1989" t="e">
        <f>#REF!/10^7</f>
        <v>#REF!</v>
      </c>
      <c r="DN160" s="2003">
        <f t="shared" si="360"/>
        <v>0</v>
      </c>
      <c r="DO160" s="1989" t="e">
        <f>#REF!/10^7</f>
        <v>#REF!</v>
      </c>
      <c r="DP160" s="2003">
        <f t="shared" si="361"/>
        <v>0</v>
      </c>
      <c r="DQ160" s="1989" t="e">
        <f>#REF!/10^7</f>
        <v>#REF!</v>
      </c>
      <c r="DR160" s="1989" t="e">
        <f>#REF!/10^7</f>
        <v>#REF!</v>
      </c>
      <c r="DS160" s="2002" t="e">
        <f t="shared" si="362"/>
        <v>#REF!</v>
      </c>
      <c r="DT160" s="2004" t="e">
        <f t="shared" si="414"/>
        <v>#REF!</v>
      </c>
      <c r="DU160" s="1988" t="e">
        <f>#REF!</f>
        <v>#REF!</v>
      </c>
      <c r="DV160" s="2003">
        <f t="shared" si="364"/>
        <v>0</v>
      </c>
      <c r="DW160" s="1989" t="e">
        <f>#REF!/10^7</f>
        <v>#REF!</v>
      </c>
      <c r="DX160" s="2003">
        <f t="shared" si="365"/>
        <v>0</v>
      </c>
      <c r="DY160" s="1989" t="e">
        <f>#REF!/10^7</f>
        <v>#REF!</v>
      </c>
      <c r="DZ160" s="2003">
        <f t="shared" si="366"/>
        <v>0</v>
      </c>
      <c r="EA160" s="1989" t="e">
        <f>#REF!/10^7</f>
        <v>#REF!</v>
      </c>
      <c r="EB160" s="1989" t="e">
        <f>#REF!/10^7</f>
        <v>#REF!</v>
      </c>
      <c r="EC160" s="2002" t="e">
        <f t="shared" si="367"/>
        <v>#REF!</v>
      </c>
      <c r="ED160" s="1998" t="e">
        <f t="shared" si="415"/>
        <v>#REF!</v>
      </c>
      <c r="EE160" s="2005" t="e">
        <f t="shared" si="419"/>
        <v>#REF!</v>
      </c>
      <c r="EF160" s="2003">
        <f t="shared" si="368"/>
        <v>0</v>
      </c>
      <c r="EG160" s="1989" t="e">
        <f t="shared" si="416"/>
        <v>#REF!</v>
      </c>
      <c r="EH160" s="2003">
        <f t="shared" si="369"/>
        <v>0</v>
      </c>
      <c r="EI160" s="1989" t="e">
        <f t="shared" si="417"/>
        <v>#REF!</v>
      </c>
      <c r="EJ160" s="2003">
        <f t="shared" si="370"/>
        <v>0</v>
      </c>
      <c r="EK160" s="1989" t="e">
        <f t="shared" si="418"/>
        <v>#REF!</v>
      </c>
      <c r="EL160" s="1989" t="e">
        <f t="shared" si="418"/>
        <v>#REF!</v>
      </c>
      <c r="EM160" s="2006" t="e">
        <f t="shared" si="371"/>
        <v>#REF!</v>
      </c>
      <c r="EN160" s="1999" t="e">
        <f t="shared" si="420"/>
        <v>#REF!</v>
      </c>
      <c r="EP160" s="1613" t="e">
        <f>EA160-#REF!/10^7</f>
        <v>#REF!</v>
      </c>
      <c r="EW160" s="1611" t="e">
        <v>#N/A</v>
      </c>
      <c r="EX160" s="1612" t="s">
        <v>1649</v>
      </c>
      <c r="EZ160" s="1650">
        <f t="shared" si="372"/>
        <v>0</v>
      </c>
    </row>
    <row r="161" spans="1:156" ht="21" customHeight="1">
      <c r="A161" s="1652">
        <v>6</v>
      </c>
      <c r="B161" s="1644" t="s">
        <v>1768</v>
      </c>
      <c r="C161" s="1645">
        <v>90</v>
      </c>
      <c r="D161" s="1646">
        <f t="shared" si="403"/>
        <v>100</v>
      </c>
      <c r="E161" s="1646">
        <v>68.2</v>
      </c>
      <c r="F161" s="1651">
        <v>9.75</v>
      </c>
      <c r="G161" s="1648"/>
      <c r="H161" s="1648">
        <v>90</v>
      </c>
      <c r="I161" s="1648" t="s">
        <v>1649</v>
      </c>
      <c r="J161" s="1649">
        <v>2</v>
      </c>
      <c r="K161" s="1648"/>
      <c r="L161" s="1648"/>
      <c r="M161" s="1648"/>
      <c r="N161" s="1642"/>
      <c r="O161" s="2000" t="e">
        <f>#REF!</f>
        <v>#REF!</v>
      </c>
      <c r="P161" s="2003">
        <f t="shared" si="317"/>
        <v>0</v>
      </c>
      <c r="Q161" s="1989" t="e">
        <f>#REF!/10^7</f>
        <v>#REF!</v>
      </c>
      <c r="R161" s="2003">
        <f t="shared" si="318"/>
        <v>0</v>
      </c>
      <c r="S161" s="1989" t="e">
        <f>#REF!/10^7</f>
        <v>#REF!</v>
      </c>
      <c r="T161" s="2003">
        <f t="shared" si="319"/>
        <v>0</v>
      </c>
      <c r="U161" s="1989" t="e">
        <f>#REF!/10^7</f>
        <v>#REF!</v>
      </c>
      <c r="V161" s="1989" t="e">
        <f>#REF!/10^7</f>
        <v>#REF!</v>
      </c>
      <c r="W161" s="1989">
        <f t="shared" si="320"/>
        <v>0</v>
      </c>
      <c r="X161" s="1999" t="e">
        <f t="shared" si="404"/>
        <v>#REF!</v>
      </c>
      <c r="Y161" s="1993" t="e">
        <f>#REF!</f>
        <v>#REF!</v>
      </c>
      <c r="Z161" s="2003">
        <f t="shared" si="321"/>
        <v>0</v>
      </c>
      <c r="AA161" s="1989" t="e">
        <f>#REF!/10^7</f>
        <v>#REF!</v>
      </c>
      <c r="AB161" s="2003">
        <f t="shared" si="322"/>
        <v>0</v>
      </c>
      <c r="AC161" s="1989" t="e">
        <f>#REF!/10^7</f>
        <v>#REF!</v>
      </c>
      <c r="AD161" s="2003">
        <f t="shared" si="323"/>
        <v>0</v>
      </c>
      <c r="AE161" s="1989" t="e">
        <f>#REF!/10^7</f>
        <v>#REF!</v>
      </c>
      <c r="AF161" s="1989" t="e">
        <f>#REF!/10^7</f>
        <v>#REF!</v>
      </c>
      <c r="AG161" s="2002" t="e">
        <f t="shared" si="324"/>
        <v>#REF!</v>
      </c>
      <c r="AH161" s="1999" t="e">
        <f t="shared" si="405"/>
        <v>#REF!</v>
      </c>
      <c r="AI161" s="1993" t="e">
        <f>#REF!</f>
        <v>#REF!</v>
      </c>
      <c r="AJ161" s="2003">
        <f t="shared" si="326"/>
        <v>0</v>
      </c>
      <c r="AK161" s="1989" t="e">
        <f>#REF!/10^7</f>
        <v>#REF!</v>
      </c>
      <c r="AL161" s="2003">
        <f t="shared" si="327"/>
        <v>0</v>
      </c>
      <c r="AM161" s="1989" t="e">
        <f>#REF!/10^7</f>
        <v>#REF!</v>
      </c>
      <c r="AN161" s="2003">
        <f t="shared" si="328"/>
        <v>0</v>
      </c>
      <c r="AO161" s="1989" t="e">
        <f>#REF!/10^7</f>
        <v>#REF!</v>
      </c>
      <c r="AP161" s="1989" t="e">
        <f>#REF!/10^7</f>
        <v>#REF!</v>
      </c>
      <c r="AQ161" s="2002" t="e">
        <f t="shared" si="329"/>
        <v>#REF!</v>
      </c>
      <c r="AR161" s="1999" t="e">
        <f t="shared" si="406"/>
        <v>#REF!</v>
      </c>
      <c r="AS161" s="1993" t="e">
        <f>#REF!</f>
        <v>#REF!</v>
      </c>
      <c r="AT161" s="2003">
        <f t="shared" si="331"/>
        <v>0</v>
      </c>
      <c r="AU161" s="1989" t="e">
        <f>#REF!/10^7</f>
        <v>#REF!</v>
      </c>
      <c r="AV161" s="2003">
        <f t="shared" si="332"/>
        <v>0</v>
      </c>
      <c r="AW161" s="1989" t="e">
        <f>#REF!/10^7</f>
        <v>#REF!</v>
      </c>
      <c r="AX161" s="2003">
        <f t="shared" si="333"/>
        <v>0</v>
      </c>
      <c r="AY161" s="1989" t="e">
        <f>#REF!/10^7</f>
        <v>#REF!</v>
      </c>
      <c r="AZ161" s="1989" t="e">
        <f>#REF!/10^7</f>
        <v>#REF!</v>
      </c>
      <c r="BA161" s="2002" t="e">
        <f t="shared" si="334"/>
        <v>#REF!</v>
      </c>
      <c r="BB161" s="1999" t="e">
        <f t="shared" si="407"/>
        <v>#REF!</v>
      </c>
      <c r="BC161" s="1993" t="e">
        <f>#REF!</f>
        <v>#REF!</v>
      </c>
      <c r="BD161" s="2003">
        <f t="shared" si="335"/>
        <v>0</v>
      </c>
      <c r="BE161" s="1989" t="e">
        <f>#REF!/10^7</f>
        <v>#REF!</v>
      </c>
      <c r="BF161" s="2003">
        <f t="shared" si="336"/>
        <v>0</v>
      </c>
      <c r="BG161" s="1989" t="e">
        <f>#REF!/10^7</f>
        <v>#REF!</v>
      </c>
      <c r="BH161" s="2003">
        <f t="shared" si="337"/>
        <v>0</v>
      </c>
      <c r="BI161" s="1989" t="e">
        <f>#REF!/10^7</f>
        <v>#REF!</v>
      </c>
      <c r="BJ161" s="1989" t="e">
        <f>#REF!/10^7</f>
        <v>#REF!</v>
      </c>
      <c r="BK161" s="2002" t="e">
        <f t="shared" si="338"/>
        <v>#REF!</v>
      </c>
      <c r="BL161" s="1999" t="e">
        <f t="shared" si="408"/>
        <v>#REF!</v>
      </c>
      <c r="BM161" s="1993" t="e">
        <f>#REF!</f>
        <v>#REF!</v>
      </c>
      <c r="BN161" s="2003">
        <f t="shared" si="339"/>
        <v>0</v>
      </c>
      <c r="BO161" s="1989" t="e">
        <f>#REF!/10^7</f>
        <v>#REF!</v>
      </c>
      <c r="BP161" s="2003">
        <f t="shared" si="340"/>
        <v>0</v>
      </c>
      <c r="BQ161" s="1989" t="e">
        <f>#REF!/10^7</f>
        <v>#REF!</v>
      </c>
      <c r="BR161" s="2003">
        <f t="shared" si="341"/>
        <v>0</v>
      </c>
      <c r="BS161" s="1989" t="e">
        <f>#REF!/10^7</f>
        <v>#REF!</v>
      </c>
      <c r="BT161" s="1989" t="e">
        <f>#REF!/10^7</f>
        <v>#REF!</v>
      </c>
      <c r="BU161" s="2002" t="e">
        <f t="shared" si="342"/>
        <v>#REF!</v>
      </c>
      <c r="BV161" s="1999" t="e">
        <f t="shared" si="409"/>
        <v>#REF!</v>
      </c>
      <c r="BW161" s="1993" t="e">
        <f>#REF!</f>
        <v>#REF!</v>
      </c>
      <c r="BX161" s="2003">
        <f t="shared" si="343"/>
        <v>0</v>
      </c>
      <c r="BY161" s="1989" t="e">
        <f>#REF!/10^7</f>
        <v>#REF!</v>
      </c>
      <c r="BZ161" s="2003">
        <f t="shared" si="344"/>
        <v>0</v>
      </c>
      <c r="CA161" s="1989" t="e">
        <f>#REF!/10^7</f>
        <v>#REF!</v>
      </c>
      <c r="CB161" s="2003">
        <f t="shared" si="345"/>
        <v>0</v>
      </c>
      <c r="CC161" s="1989" t="e">
        <f>#REF!/10^7</f>
        <v>#REF!</v>
      </c>
      <c r="CD161" s="1989" t="e">
        <f>#REF!/10^7</f>
        <v>#REF!</v>
      </c>
      <c r="CE161" s="2002" t="e">
        <f t="shared" si="346"/>
        <v>#REF!</v>
      </c>
      <c r="CF161" s="1999" t="e">
        <f t="shared" si="410"/>
        <v>#REF!</v>
      </c>
      <c r="CG161" s="1993" t="e">
        <f>#REF!</f>
        <v>#REF!</v>
      </c>
      <c r="CH161" s="2003">
        <f t="shared" si="347"/>
        <v>0</v>
      </c>
      <c r="CI161" s="1989" t="e">
        <f>#REF!/10^7</f>
        <v>#REF!</v>
      </c>
      <c r="CJ161" s="2003">
        <f t="shared" si="348"/>
        <v>0</v>
      </c>
      <c r="CK161" s="1989" t="e">
        <f>#REF!/10^7</f>
        <v>#REF!</v>
      </c>
      <c r="CL161" s="2003">
        <f t="shared" si="349"/>
        <v>0</v>
      </c>
      <c r="CM161" s="1989" t="e">
        <f>#REF!/10^7</f>
        <v>#REF!</v>
      </c>
      <c r="CN161" s="1989" t="e">
        <f>#REF!/10^7</f>
        <v>#REF!</v>
      </c>
      <c r="CO161" s="2002" t="e">
        <f t="shared" si="350"/>
        <v>#REF!</v>
      </c>
      <c r="CP161" s="1999" t="e">
        <f t="shared" si="411"/>
        <v>#REF!</v>
      </c>
      <c r="CQ161" s="1993" t="e">
        <f>#REF!</f>
        <v>#REF!</v>
      </c>
      <c r="CR161" s="2003">
        <f t="shared" si="351"/>
        <v>0</v>
      </c>
      <c r="CS161" s="1989" t="e">
        <f>#REF!/10^7</f>
        <v>#REF!</v>
      </c>
      <c r="CT161" s="2003">
        <f t="shared" si="352"/>
        <v>0</v>
      </c>
      <c r="CU161" s="1989" t="e">
        <f>#REF!/10^7</f>
        <v>#REF!</v>
      </c>
      <c r="CV161" s="2003">
        <f t="shared" si="353"/>
        <v>0</v>
      </c>
      <c r="CW161" s="1989" t="e">
        <f>#REF!/10^7</f>
        <v>#REF!</v>
      </c>
      <c r="CX161" s="1989" t="e">
        <f>#REF!/10^7</f>
        <v>#REF!</v>
      </c>
      <c r="CY161" s="2002" t="e">
        <f t="shared" si="354"/>
        <v>#REF!</v>
      </c>
      <c r="CZ161" s="1999" t="e">
        <f t="shared" si="412"/>
        <v>#REF!</v>
      </c>
      <c r="DA161" s="1993" t="e">
        <f>#REF!</f>
        <v>#REF!</v>
      </c>
      <c r="DB161" s="2003">
        <f t="shared" si="355"/>
        <v>0</v>
      </c>
      <c r="DC161" s="1989" t="e">
        <f>#REF!/10^7</f>
        <v>#REF!</v>
      </c>
      <c r="DD161" s="2003">
        <f t="shared" si="356"/>
        <v>0</v>
      </c>
      <c r="DE161" s="1989" t="e">
        <f>#REF!/10^7</f>
        <v>#REF!</v>
      </c>
      <c r="DF161" s="2003">
        <f t="shared" si="357"/>
        <v>0</v>
      </c>
      <c r="DG161" s="1989" t="e">
        <f>#REF!/10^7</f>
        <v>#REF!</v>
      </c>
      <c r="DH161" s="1989" t="e">
        <f>#REF!/10^7</f>
        <v>#REF!</v>
      </c>
      <c r="DI161" s="2002" t="e">
        <f t="shared" si="358"/>
        <v>#REF!</v>
      </c>
      <c r="DJ161" s="1999" t="e">
        <f t="shared" si="413"/>
        <v>#REF!</v>
      </c>
      <c r="DK161" s="1993" t="e">
        <f>#REF!</f>
        <v>#REF!</v>
      </c>
      <c r="DL161" s="2003">
        <f t="shared" si="359"/>
        <v>0</v>
      </c>
      <c r="DM161" s="1989" t="e">
        <f>#REF!/10^7</f>
        <v>#REF!</v>
      </c>
      <c r="DN161" s="2003">
        <f t="shared" si="360"/>
        <v>0</v>
      </c>
      <c r="DO161" s="1989" t="e">
        <f>#REF!/10^7</f>
        <v>#REF!</v>
      </c>
      <c r="DP161" s="2003">
        <f t="shared" si="361"/>
        <v>0</v>
      </c>
      <c r="DQ161" s="1989" t="e">
        <f>#REF!/10^7</f>
        <v>#REF!</v>
      </c>
      <c r="DR161" s="1989" t="e">
        <f>#REF!/10^7</f>
        <v>#REF!</v>
      </c>
      <c r="DS161" s="2002" t="e">
        <f t="shared" si="362"/>
        <v>#REF!</v>
      </c>
      <c r="DT161" s="2004" t="e">
        <f t="shared" si="414"/>
        <v>#REF!</v>
      </c>
      <c r="DU161" s="1988" t="e">
        <f>#REF!</f>
        <v>#REF!</v>
      </c>
      <c r="DV161" s="2003">
        <f t="shared" si="364"/>
        <v>0</v>
      </c>
      <c r="DW161" s="1989" t="e">
        <f>#REF!/10^7</f>
        <v>#REF!</v>
      </c>
      <c r="DX161" s="2003">
        <f t="shared" si="365"/>
        <v>0</v>
      </c>
      <c r="DY161" s="1989" t="e">
        <f>#REF!/10^7</f>
        <v>#REF!</v>
      </c>
      <c r="DZ161" s="2003">
        <f t="shared" si="366"/>
        <v>0</v>
      </c>
      <c r="EA161" s="1989" t="e">
        <f>#REF!/10^7</f>
        <v>#REF!</v>
      </c>
      <c r="EB161" s="1989" t="e">
        <f>#REF!/10^7</f>
        <v>#REF!</v>
      </c>
      <c r="EC161" s="2002" t="e">
        <f t="shared" si="367"/>
        <v>#REF!</v>
      </c>
      <c r="ED161" s="1998" t="e">
        <f t="shared" si="415"/>
        <v>#REF!</v>
      </c>
      <c r="EE161" s="2005" t="e">
        <f t="shared" si="419"/>
        <v>#REF!</v>
      </c>
      <c r="EF161" s="2003">
        <f t="shared" si="368"/>
        <v>0</v>
      </c>
      <c r="EG161" s="1989" t="e">
        <f t="shared" si="416"/>
        <v>#REF!</v>
      </c>
      <c r="EH161" s="2003">
        <f t="shared" si="369"/>
        <v>0</v>
      </c>
      <c r="EI161" s="1989" t="e">
        <f t="shared" si="417"/>
        <v>#REF!</v>
      </c>
      <c r="EJ161" s="2003">
        <f t="shared" si="370"/>
        <v>0</v>
      </c>
      <c r="EK161" s="1989" t="e">
        <f t="shared" si="418"/>
        <v>#REF!</v>
      </c>
      <c r="EL161" s="1989" t="e">
        <f t="shared" si="418"/>
        <v>#REF!</v>
      </c>
      <c r="EM161" s="2006" t="e">
        <f t="shared" si="371"/>
        <v>#REF!</v>
      </c>
      <c r="EN161" s="1999" t="e">
        <f t="shared" si="420"/>
        <v>#REF!</v>
      </c>
      <c r="EP161" s="1613" t="e">
        <f>EA161-#REF!/10^7</f>
        <v>#REF!</v>
      </c>
      <c r="EW161" s="1611" t="s">
        <v>1649</v>
      </c>
      <c r="EX161" s="1612" t="s">
        <v>1649</v>
      </c>
      <c r="EZ161" s="1650">
        <f t="shared" si="372"/>
        <v>0</v>
      </c>
    </row>
    <row r="162" spans="1:156" ht="21" customHeight="1">
      <c r="A162" s="1652">
        <v>7</v>
      </c>
      <c r="B162" s="1644" t="s">
        <v>1769</v>
      </c>
      <c r="C162" s="1645">
        <v>90</v>
      </c>
      <c r="D162" s="1646">
        <f t="shared" si="403"/>
        <v>100</v>
      </c>
      <c r="E162" s="1646">
        <v>66</v>
      </c>
      <c r="F162" s="1651">
        <v>9.75</v>
      </c>
      <c r="G162" s="1648"/>
      <c r="H162" s="1648">
        <v>90</v>
      </c>
      <c r="I162" s="1648" t="s">
        <v>1649</v>
      </c>
      <c r="J162" s="1649">
        <v>2</v>
      </c>
      <c r="K162" s="1648"/>
      <c r="L162" s="1648"/>
      <c r="M162" s="1648"/>
      <c r="N162" s="1642"/>
      <c r="O162" s="2000" t="e">
        <f>#REF!</f>
        <v>#REF!</v>
      </c>
      <c r="P162" s="2003">
        <f t="shared" si="317"/>
        <v>0</v>
      </c>
      <c r="Q162" s="1989" t="e">
        <f>#REF!/10^7</f>
        <v>#REF!</v>
      </c>
      <c r="R162" s="2003">
        <f t="shared" si="318"/>
        <v>0</v>
      </c>
      <c r="S162" s="1989" t="e">
        <f>#REF!/10^7</f>
        <v>#REF!</v>
      </c>
      <c r="T162" s="2003">
        <f t="shared" si="319"/>
        <v>0</v>
      </c>
      <c r="U162" s="1989" t="e">
        <f>#REF!/10^7</f>
        <v>#REF!</v>
      </c>
      <c r="V162" s="1989" t="e">
        <f>#REF!/10^7</f>
        <v>#REF!</v>
      </c>
      <c r="W162" s="1989">
        <f t="shared" si="320"/>
        <v>0</v>
      </c>
      <c r="X162" s="1999" t="e">
        <f t="shared" si="404"/>
        <v>#REF!</v>
      </c>
      <c r="Y162" s="1993" t="e">
        <f>#REF!</f>
        <v>#REF!</v>
      </c>
      <c r="Z162" s="2003">
        <f t="shared" si="321"/>
        <v>0</v>
      </c>
      <c r="AA162" s="1989" t="e">
        <f>#REF!/10^7</f>
        <v>#REF!</v>
      </c>
      <c r="AB162" s="2003">
        <f t="shared" si="322"/>
        <v>0</v>
      </c>
      <c r="AC162" s="1989" t="e">
        <f>#REF!/10^7</f>
        <v>#REF!</v>
      </c>
      <c r="AD162" s="2003">
        <f t="shared" si="323"/>
        <v>0</v>
      </c>
      <c r="AE162" s="1989" t="e">
        <f>#REF!/10^7</f>
        <v>#REF!</v>
      </c>
      <c r="AF162" s="1989" t="e">
        <f>#REF!/10^7</f>
        <v>#REF!</v>
      </c>
      <c r="AG162" s="2002" t="e">
        <f t="shared" si="324"/>
        <v>#REF!</v>
      </c>
      <c r="AH162" s="1999" t="e">
        <f t="shared" si="405"/>
        <v>#REF!</v>
      </c>
      <c r="AI162" s="1993" t="e">
        <f>#REF!</f>
        <v>#REF!</v>
      </c>
      <c r="AJ162" s="2003">
        <f t="shared" si="326"/>
        <v>0</v>
      </c>
      <c r="AK162" s="1989" t="e">
        <f>#REF!/10^7</f>
        <v>#REF!</v>
      </c>
      <c r="AL162" s="2003">
        <f t="shared" si="327"/>
        <v>0</v>
      </c>
      <c r="AM162" s="1989" t="e">
        <f>#REF!/10^7</f>
        <v>#REF!</v>
      </c>
      <c r="AN162" s="2003">
        <f t="shared" si="328"/>
        <v>0</v>
      </c>
      <c r="AO162" s="1989" t="e">
        <f>#REF!/10^7</f>
        <v>#REF!</v>
      </c>
      <c r="AP162" s="1989" t="e">
        <f>#REF!/10^7</f>
        <v>#REF!</v>
      </c>
      <c r="AQ162" s="2002" t="e">
        <f t="shared" si="329"/>
        <v>#REF!</v>
      </c>
      <c r="AR162" s="1999" t="e">
        <f t="shared" si="406"/>
        <v>#REF!</v>
      </c>
      <c r="AS162" s="1993" t="e">
        <f>#REF!</f>
        <v>#REF!</v>
      </c>
      <c r="AT162" s="2003">
        <f t="shared" si="331"/>
        <v>0</v>
      </c>
      <c r="AU162" s="1989" t="e">
        <f>#REF!/10^7</f>
        <v>#REF!</v>
      </c>
      <c r="AV162" s="2003">
        <f t="shared" si="332"/>
        <v>0</v>
      </c>
      <c r="AW162" s="1989" t="e">
        <f>#REF!/10^7</f>
        <v>#REF!</v>
      </c>
      <c r="AX162" s="2003">
        <f t="shared" si="333"/>
        <v>0</v>
      </c>
      <c r="AY162" s="1989" t="e">
        <f>#REF!/10^7</f>
        <v>#REF!</v>
      </c>
      <c r="AZ162" s="1989" t="e">
        <f>#REF!/10^7</f>
        <v>#REF!</v>
      </c>
      <c r="BA162" s="2002" t="e">
        <f t="shared" si="334"/>
        <v>#REF!</v>
      </c>
      <c r="BB162" s="1999" t="e">
        <f t="shared" si="407"/>
        <v>#REF!</v>
      </c>
      <c r="BC162" s="1993" t="e">
        <f>#REF!</f>
        <v>#REF!</v>
      </c>
      <c r="BD162" s="2003">
        <f t="shared" si="335"/>
        <v>0</v>
      </c>
      <c r="BE162" s="1989" t="e">
        <f>#REF!/10^7</f>
        <v>#REF!</v>
      </c>
      <c r="BF162" s="2003">
        <f t="shared" si="336"/>
        <v>0</v>
      </c>
      <c r="BG162" s="1989" t="e">
        <f>#REF!/10^7</f>
        <v>#REF!</v>
      </c>
      <c r="BH162" s="2003">
        <f t="shared" si="337"/>
        <v>0</v>
      </c>
      <c r="BI162" s="1989" t="e">
        <f>#REF!/10^7</f>
        <v>#REF!</v>
      </c>
      <c r="BJ162" s="1989" t="e">
        <f>#REF!/10^7</f>
        <v>#REF!</v>
      </c>
      <c r="BK162" s="2002" t="e">
        <f t="shared" si="338"/>
        <v>#REF!</v>
      </c>
      <c r="BL162" s="1999" t="e">
        <f t="shared" si="408"/>
        <v>#REF!</v>
      </c>
      <c r="BM162" s="1993" t="e">
        <f>#REF!</f>
        <v>#REF!</v>
      </c>
      <c r="BN162" s="2003">
        <f t="shared" si="339"/>
        <v>0</v>
      </c>
      <c r="BO162" s="1989" t="e">
        <f>#REF!/10^7</f>
        <v>#REF!</v>
      </c>
      <c r="BP162" s="2003">
        <f t="shared" si="340"/>
        <v>0</v>
      </c>
      <c r="BQ162" s="1989" t="e">
        <f>#REF!/10^7</f>
        <v>#REF!</v>
      </c>
      <c r="BR162" s="2003">
        <f t="shared" si="341"/>
        <v>0</v>
      </c>
      <c r="BS162" s="1989" t="e">
        <f>#REF!/10^7</f>
        <v>#REF!</v>
      </c>
      <c r="BT162" s="1989" t="e">
        <f>#REF!/10^7</f>
        <v>#REF!</v>
      </c>
      <c r="BU162" s="2002" t="e">
        <f t="shared" si="342"/>
        <v>#REF!</v>
      </c>
      <c r="BV162" s="1999" t="e">
        <f t="shared" si="409"/>
        <v>#REF!</v>
      </c>
      <c r="BW162" s="1993" t="e">
        <f>#REF!</f>
        <v>#REF!</v>
      </c>
      <c r="BX162" s="2003">
        <f t="shared" si="343"/>
        <v>0</v>
      </c>
      <c r="BY162" s="1989" t="e">
        <f>#REF!/10^7</f>
        <v>#REF!</v>
      </c>
      <c r="BZ162" s="2003">
        <f t="shared" si="344"/>
        <v>0</v>
      </c>
      <c r="CA162" s="1989" t="e">
        <f>#REF!/10^7</f>
        <v>#REF!</v>
      </c>
      <c r="CB162" s="2003">
        <f t="shared" si="345"/>
        <v>0</v>
      </c>
      <c r="CC162" s="1989" t="e">
        <f>#REF!/10^7</f>
        <v>#REF!</v>
      </c>
      <c r="CD162" s="1989" t="e">
        <f>#REF!/10^7</f>
        <v>#REF!</v>
      </c>
      <c r="CE162" s="2002" t="e">
        <f t="shared" si="346"/>
        <v>#REF!</v>
      </c>
      <c r="CF162" s="1999" t="e">
        <f t="shared" si="410"/>
        <v>#REF!</v>
      </c>
      <c r="CG162" s="1993" t="e">
        <f>#REF!</f>
        <v>#REF!</v>
      </c>
      <c r="CH162" s="2003">
        <f t="shared" si="347"/>
        <v>0</v>
      </c>
      <c r="CI162" s="1989" t="e">
        <f>#REF!/10^7</f>
        <v>#REF!</v>
      </c>
      <c r="CJ162" s="2003">
        <f t="shared" si="348"/>
        <v>0</v>
      </c>
      <c r="CK162" s="1989" t="e">
        <f>#REF!/10^7</f>
        <v>#REF!</v>
      </c>
      <c r="CL162" s="2003">
        <f t="shared" si="349"/>
        <v>0</v>
      </c>
      <c r="CM162" s="1989" t="e">
        <f>#REF!/10^7</f>
        <v>#REF!</v>
      </c>
      <c r="CN162" s="1989" t="e">
        <f>#REF!/10^7</f>
        <v>#REF!</v>
      </c>
      <c r="CO162" s="2002" t="e">
        <f t="shared" si="350"/>
        <v>#REF!</v>
      </c>
      <c r="CP162" s="1999" t="e">
        <f t="shared" si="411"/>
        <v>#REF!</v>
      </c>
      <c r="CQ162" s="1993" t="e">
        <f>#REF!</f>
        <v>#REF!</v>
      </c>
      <c r="CR162" s="2003">
        <f t="shared" si="351"/>
        <v>0</v>
      </c>
      <c r="CS162" s="1989" t="e">
        <f>#REF!/10^7</f>
        <v>#REF!</v>
      </c>
      <c r="CT162" s="2003">
        <f t="shared" si="352"/>
        <v>0</v>
      </c>
      <c r="CU162" s="1989" t="e">
        <f>#REF!/10^7</f>
        <v>#REF!</v>
      </c>
      <c r="CV162" s="2003">
        <f t="shared" si="353"/>
        <v>0</v>
      </c>
      <c r="CW162" s="1989" t="e">
        <f>#REF!/10^7</f>
        <v>#REF!</v>
      </c>
      <c r="CX162" s="1989" t="e">
        <f>#REF!/10^7</f>
        <v>#REF!</v>
      </c>
      <c r="CY162" s="2002" t="e">
        <f t="shared" si="354"/>
        <v>#REF!</v>
      </c>
      <c r="CZ162" s="1999" t="e">
        <f t="shared" si="412"/>
        <v>#REF!</v>
      </c>
      <c r="DA162" s="1993" t="e">
        <f>#REF!</f>
        <v>#REF!</v>
      </c>
      <c r="DB162" s="2003">
        <f t="shared" si="355"/>
        <v>0</v>
      </c>
      <c r="DC162" s="1989" t="e">
        <f>#REF!/10^7</f>
        <v>#REF!</v>
      </c>
      <c r="DD162" s="2003">
        <f t="shared" si="356"/>
        <v>0</v>
      </c>
      <c r="DE162" s="1989" t="e">
        <f>#REF!/10^7</f>
        <v>#REF!</v>
      </c>
      <c r="DF162" s="2003">
        <f t="shared" si="357"/>
        <v>0</v>
      </c>
      <c r="DG162" s="1989" t="e">
        <f>#REF!/10^7</f>
        <v>#REF!</v>
      </c>
      <c r="DH162" s="1989" t="e">
        <f>#REF!/10^7</f>
        <v>#REF!</v>
      </c>
      <c r="DI162" s="2002" t="e">
        <f t="shared" si="358"/>
        <v>#REF!</v>
      </c>
      <c r="DJ162" s="1999" t="e">
        <f t="shared" si="413"/>
        <v>#REF!</v>
      </c>
      <c r="DK162" s="1993" t="e">
        <f>#REF!</f>
        <v>#REF!</v>
      </c>
      <c r="DL162" s="2003">
        <f t="shared" si="359"/>
        <v>0</v>
      </c>
      <c r="DM162" s="1989" t="e">
        <f>#REF!/10^7</f>
        <v>#REF!</v>
      </c>
      <c r="DN162" s="2003">
        <f t="shared" si="360"/>
        <v>0</v>
      </c>
      <c r="DO162" s="1989" t="e">
        <f>#REF!/10^7</f>
        <v>#REF!</v>
      </c>
      <c r="DP162" s="2003">
        <f t="shared" si="361"/>
        <v>0</v>
      </c>
      <c r="DQ162" s="1989" t="e">
        <f>#REF!/10^7</f>
        <v>#REF!</v>
      </c>
      <c r="DR162" s="1989" t="e">
        <f>#REF!/10^7</f>
        <v>#REF!</v>
      </c>
      <c r="DS162" s="2002" t="e">
        <f t="shared" si="362"/>
        <v>#REF!</v>
      </c>
      <c r="DT162" s="2004" t="e">
        <f t="shared" si="414"/>
        <v>#REF!</v>
      </c>
      <c r="DU162" s="1988" t="e">
        <f>#REF!</f>
        <v>#REF!</v>
      </c>
      <c r="DV162" s="2003">
        <f t="shared" si="364"/>
        <v>0</v>
      </c>
      <c r="DW162" s="1989" t="e">
        <f>#REF!/10^7</f>
        <v>#REF!</v>
      </c>
      <c r="DX162" s="2003">
        <f t="shared" si="365"/>
        <v>0</v>
      </c>
      <c r="DY162" s="1989" t="e">
        <f>#REF!/10^7</f>
        <v>#REF!</v>
      </c>
      <c r="DZ162" s="2003">
        <f t="shared" si="366"/>
        <v>0</v>
      </c>
      <c r="EA162" s="1989" t="e">
        <f>#REF!/10^7</f>
        <v>#REF!</v>
      </c>
      <c r="EB162" s="1989" t="e">
        <f>#REF!/10^7</f>
        <v>#REF!</v>
      </c>
      <c r="EC162" s="2002" t="e">
        <f t="shared" si="367"/>
        <v>#REF!</v>
      </c>
      <c r="ED162" s="1998" t="e">
        <f t="shared" si="415"/>
        <v>#REF!</v>
      </c>
      <c r="EE162" s="2005" t="e">
        <f t="shared" si="419"/>
        <v>#REF!</v>
      </c>
      <c r="EF162" s="2003">
        <f t="shared" si="368"/>
        <v>0</v>
      </c>
      <c r="EG162" s="1989" t="e">
        <f t="shared" si="416"/>
        <v>#REF!</v>
      </c>
      <c r="EH162" s="2003">
        <f t="shared" si="369"/>
        <v>0</v>
      </c>
      <c r="EI162" s="1989" t="e">
        <f t="shared" si="417"/>
        <v>#REF!</v>
      </c>
      <c r="EJ162" s="2003">
        <f t="shared" si="370"/>
        <v>0</v>
      </c>
      <c r="EK162" s="1989" t="e">
        <f t="shared" si="418"/>
        <v>#REF!</v>
      </c>
      <c r="EL162" s="1989" t="e">
        <f t="shared" si="418"/>
        <v>#REF!</v>
      </c>
      <c r="EM162" s="2006" t="e">
        <f t="shared" si="371"/>
        <v>#REF!</v>
      </c>
      <c r="EN162" s="1999" t="e">
        <f t="shared" si="420"/>
        <v>#REF!</v>
      </c>
      <c r="EP162" s="1613" t="e">
        <f>EA162-#REF!/10^7</f>
        <v>#REF!</v>
      </c>
      <c r="EW162" s="1611" t="s">
        <v>1649</v>
      </c>
      <c r="EX162" s="1612" t="s">
        <v>1649</v>
      </c>
      <c r="EZ162" s="1650">
        <f t="shared" si="372"/>
        <v>0</v>
      </c>
    </row>
    <row r="163" spans="1:156" ht="21" customHeight="1">
      <c r="A163" s="1652">
        <v>8</v>
      </c>
      <c r="B163" s="1644" t="s">
        <v>1770</v>
      </c>
      <c r="C163" s="1645">
        <v>90</v>
      </c>
      <c r="D163" s="1646">
        <f t="shared" si="403"/>
        <v>100</v>
      </c>
      <c r="E163" s="1646">
        <v>66.739999999999995</v>
      </c>
      <c r="F163" s="1651">
        <v>9.75</v>
      </c>
      <c r="G163" s="1648"/>
      <c r="H163" s="1648">
        <v>90</v>
      </c>
      <c r="I163" s="1648" t="s">
        <v>1649</v>
      </c>
      <c r="J163" s="1649">
        <v>2</v>
      </c>
      <c r="K163" s="1648"/>
      <c r="L163" s="1648"/>
      <c r="M163" s="1648"/>
      <c r="N163" s="1642"/>
      <c r="O163" s="2000" t="e">
        <f>#REF!</f>
        <v>#REF!</v>
      </c>
      <c r="P163" s="2003">
        <f t="shared" si="317"/>
        <v>0</v>
      </c>
      <c r="Q163" s="1989" t="e">
        <f>#REF!/10^7</f>
        <v>#REF!</v>
      </c>
      <c r="R163" s="2003">
        <f t="shared" si="318"/>
        <v>0</v>
      </c>
      <c r="S163" s="1989" t="e">
        <f>#REF!/10^7</f>
        <v>#REF!</v>
      </c>
      <c r="T163" s="2003">
        <f t="shared" si="319"/>
        <v>0</v>
      </c>
      <c r="U163" s="1989" t="e">
        <f>#REF!/10^7</f>
        <v>#REF!</v>
      </c>
      <c r="V163" s="1989" t="e">
        <f>#REF!/10^7</f>
        <v>#REF!</v>
      </c>
      <c r="W163" s="1989">
        <f t="shared" si="320"/>
        <v>0</v>
      </c>
      <c r="X163" s="1999" t="e">
        <f t="shared" si="404"/>
        <v>#REF!</v>
      </c>
      <c r="Y163" s="1993" t="e">
        <f>#REF!</f>
        <v>#REF!</v>
      </c>
      <c r="Z163" s="2003">
        <f t="shared" si="321"/>
        <v>0</v>
      </c>
      <c r="AA163" s="1989" t="e">
        <f>#REF!/10^7</f>
        <v>#REF!</v>
      </c>
      <c r="AB163" s="2003">
        <f t="shared" si="322"/>
        <v>0</v>
      </c>
      <c r="AC163" s="1989" t="e">
        <f>#REF!/10^7</f>
        <v>#REF!</v>
      </c>
      <c r="AD163" s="2003">
        <f t="shared" si="323"/>
        <v>0</v>
      </c>
      <c r="AE163" s="1989" t="e">
        <f>#REF!/10^7</f>
        <v>#REF!</v>
      </c>
      <c r="AF163" s="1989" t="e">
        <f>#REF!/10^7</f>
        <v>#REF!</v>
      </c>
      <c r="AG163" s="2002" t="e">
        <f t="shared" si="324"/>
        <v>#REF!</v>
      </c>
      <c r="AH163" s="1999" t="e">
        <f t="shared" si="405"/>
        <v>#REF!</v>
      </c>
      <c r="AI163" s="1993" t="e">
        <f>#REF!</f>
        <v>#REF!</v>
      </c>
      <c r="AJ163" s="2003">
        <f t="shared" si="326"/>
        <v>0</v>
      </c>
      <c r="AK163" s="1989" t="e">
        <f>#REF!/10^7</f>
        <v>#REF!</v>
      </c>
      <c r="AL163" s="2003">
        <f t="shared" si="327"/>
        <v>0</v>
      </c>
      <c r="AM163" s="1989" t="e">
        <f>#REF!/10^7</f>
        <v>#REF!</v>
      </c>
      <c r="AN163" s="2003">
        <f t="shared" si="328"/>
        <v>0</v>
      </c>
      <c r="AO163" s="1989" t="e">
        <f>#REF!/10^7</f>
        <v>#REF!</v>
      </c>
      <c r="AP163" s="1989" t="e">
        <f>#REF!/10^7</f>
        <v>#REF!</v>
      </c>
      <c r="AQ163" s="2002" t="e">
        <f t="shared" si="329"/>
        <v>#REF!</v>
      </c>
      <c r="AR163" s="1999" t="e">
        <f t="shared" si="406"/>
        <v>#REF!</v>
      </c>
      <c r="AS163" s="1993" t="e">
        <f>#REF!</f>
        <v>#REF!</v>
      </c>
      <c r="AT163" s="2003">
        <f t="shared" si="331"/>
        <v>0</v>
      </c>
      <c r="AU163" s="1989" t="e">
        <f>#REF!/10^7</f>
        <v>#REF!</v>
      </c>
      <c r="AV163" s="2003">
        <f t="shared" si="332"/>
        <v>0</v>
      </c>
      <c r="AW163" s="1989" t="e">
        <f>#REF!/10^7</f>
        <v>#REF!</v>
      </c>
      <c r="AX163" s="2003">
        <f t="shared" si="333"/>
        <v>0</v>
      </c>
      <c r="AY163" s="1989" t="e">
        <f>#REF!/10^7</f>
        <v>#REF!</v>
      </c>
      <c r="AZ163" s="1989" t="e">
        <f>#REF!/10^7</f>
        <v>#REF!</v>
      </c>
      <c r="BA163" s="2002" t="e">
        <f t="shared" si="334"/>
        <v>#REF!</v>
      </c>
      <c r="BB163" s="1999" t="e">
        <f t="shared" si="407"/>
        <v>#REF!</v>
      </c>
      <c r="BC163" s="1993" t="e">
        <f>#REF!</f>
        <v>#REF!</v>
      </c>
      <c r="BD163" s="2003">
        <f t="shared" si="335"/>
        <v>0</v>
      </c>
      <c r="BE163" s="1989" t="e">
        <f>#REF!/10^7</f>
        <v>#REF!</v>
      </c>
      <c r="BF163" s="2003">
        <f t="shared" si="336"/>
        <v>0</v>
      </c>
      <c r="BG163" s="1989" t="e">
        <f>#REF!/10^7</f>
        <v>#REF!</v>
      </c>
      <c r="BH163" s="2003">
        <f t="shared" si="337"/>
        <v>0</v>
      </c>
      <c r="BI163" s="1989" t="e">
        <f>#REF!/10^7</f>
        <v>#REF!</v>
      </c>
      <c r="BJ163" s="1989" t="e">
        <f>#REF!/10^7</f>
        <v>#REF!</v>
      </c>
      <c r="BK163" s="2002" t="e">
        <f t="shared" si="338"/>
        <v>#REF!</v>
      </c>
      <c r="BL163" s="1999" t="e">
        <f t="shared" si="408"/>
        <v>#REF!</v>
      </c>
      <c r="BM163" s="1993" t="e">
        <f>#REF!</f>
        <v>#REF!</v>
      </c>
      <c r="BN163" s="2003">
        <f t="shared" si="339"/>
        <v>0</v>
      </c>
      <c r="BO163" s="1989" t="e">
        <f>#REF!/10^7</f>
        <v>#REF!</v>
      </c>
      <c r="BP163" s="2003">
        <f t="shared" si="340"/>
        <v>0</v>
      </c>
      <c r="BQ163" s="1989" t="e">
        <f>#REF!/10^7</f>
        <v>#REF!</v>
      </c>
      <c r="BR163" s="2003">
        <f t="shared" si="341"/>
        <v>0</v>
      </c>
      <c r="BS163" s="1989" t="e">
        <f>#REF!/10^7</f>
        <v>#REF!</v>
      </c>
      <c r="BT163" s="1989" t="e">
        <f>#REF!/10^7</f>
        <v>#REF!</v>
      </c>
      <c r="BU163" s="2002" t="e">
        <f t="shared" si="342"/>
        <v>#REF!</v>
      </c>
      <c r="BV163" s="1999" t="e">
        <f t="shared" si="409"/>
        <v>#REF!</v>
      </c>
      <c r="BW163" s="1993" t="e">
        <f>#REF!</f>
        <v>#REF!</v>
      </c>
      <c r="BX163" s="2003">
        <f t="shared" si="343"/>
        <v>0</v>
      </c>
      <c r="BY163" s="1989" t="e">
        <f>#REF!/10^7</f>
        <v>#REF!</v>
      </c>
      <c r="BZ163" s="2003">
        <f t="shared" si="344"/>
        <v>0</v>
      </c>
      <c r="CA163" s="1989" t="e">
        <f>#REF!/10^7</f>
        <v>#REF!</v>
      </c>
      <c r="CB163" s="2003">
        <f t="shared" si="345"/>
        <v>0</v>
      </c>
      <c r="CC163" s="1989" t="e">
        <f>#REF!/10^7</f>
        <v>#REF!</v>
      </c>
      <c r="CD163" s="1989" t="e">
        <f>#REF!/10^7</f>
        <v>#REF!</v>
      </c>
      <c r="CE163" s="2002" t="e">
        <f t="shared" si="346"/>
        <v>#REF!</v>
      </c>
      <c r="CF163" s="1999" t="e">
        <f t="shared" si="410"/>
        <v>#REF!</v>
      </c>
      <c r="CG163" s="1993" t="e">
        <f>#REF!</f>
        <v>#REF!</v>
      </c>
      <c r="CH163" s="2003">
        <f t="shared" si="347"/>
        <v>0</v>
      </c>
      <c r="CI163" s="1989" t="e">
        <f>#REF!/10^7</f>
        <v>#REF!</v>
      </c>
      <c r="CJ163" s="2003">
        <f t="shared" si="348"/>
        <v>0</v>
      </c>
      <c r="CK163" s="1989" t="e">
        <f>#REF!/10^7</f>
        <v>#REF!</v>
      </c>
      <c r="CL163" s="2003">
        <f t="shared" si="349"/>
        <v>0</v>
      </c>
      <c r="CM163" s="1989" t="e">
        <f>#REF!/10^7</f>
        <v>#REF!</v>
      </c>
      <c r="CN163" s="1989" t="e">
        <f>#REF!/10^7</f>
        <v>#REF!</v>
      </c>
      <c r="CO163" s="2002" t="e">
        <f t="shared" si="350"/>
        <v>#REF!</v>
      </c>
      <c r="CP163" s="1999" t="e">
        <f t="shared" si="411"/>
        <v>#REF!</v>
      </c>
      <c r="CQ163" s="1993" t="e">
        <f>#REF!</f>
        <v>#REF!</v>
      </c>
      <c r="CR163" s="2003">
        <f t="shared" si="351"/>
        <v>0</v>
      </c>
      <c r="CS163" s="1989" t="e">
        <f>#REF!/10^7</f>
        <v>#REF!</v>
      </c>
      <c r="CT163" s="2003">
        <f t="shared" si="352"/>
        <v>0</v>
      </c>
      <c r="CU163" s="1989" t="e">
        <f>#REF!/10^7</f>
        <v>#REF!</v>
      </c>
      <c r="CV163" s="2003">
        <f t="shared" si="353"/>
        <v>0</v>
      </c>
      <c r="CW163" s="1989" t="e">
        <f>#REF!/10^7</f>
        <v>#REF!</v>
      </c>
      <c r="CX163" s="1989" t="e">
        <f>#REF!/10^7</f>
        <v>#REF!</v>
      </c>
      <c r="CY163" s="2002" t="e">
        <f t="shared" si="354"/>
        <v>#REF!</v>
      </c>
      <c r="CZ163" s="1999" t="e">
        <f t="shared" si="412"/>
        <v>#REF!</v>
      </c>
      <c r="DA163" s="1993" t="e">
        <f>#REF!</f>
        <v>#REF!</v>
      </c>
      <c r="DB163" s="2003">
        <f t="shared" si="355"/>
        <v>0</v>
      </c>
      <c r="DC163" s="1989" t="e">
        <f>#REF!/10^7</f>
        <v>#REF!</v>
      </c>
      <c r="DD163" s="2003">
        <f t="shared" si="356"/>
        <v>0</v>
      </c>
      <c r="DE163" s="1989" t="e">
        <f>#REF!/10^7</f>
        <v>#REF!</v>
      </c>
      <c r="DF163" s="2003">
        <f t="shared" si="357"/>
        <v>0</v>
      </c>
      <c r="DG163" s="1989" t="e">
        <f>#REF!/10^7</f>
        <v>#REF!</v>
      </c>
      <c r="DH163" s="1989" t="e">
        <f>#REF!/10^7</f>
        <v>#REF!</v>
      </c>
      <c r="DI163" s="2002" t="e">
        <f t="shared" si="358"/>
        <v>#REF!</v>
      </c>
      <c r="DJ163" s="1999" t="e">
        <f t="shared" si="413"/>
        <v>#REF!</v>
      </c>
      <c r="DK163" s="1993" t="e">
        <f>#REF!</f>
        <v>#REF!</v>
      </c>
      <c r="DL163" s="2003">
        <f t="shared" si="359"/>
        <v>0</v>
      </c>
      <c r="DM163" s="1989" t="e">
        <f>#REF!/10^7</f>
        <v>#REF!</v>
      </c>
      <c r="DN163" s="2003">
        <f t="shared" si="360"/>
        <v>0</v>
      </c>
      <c r="DO163" s="1989" t="e">
        <f>#REF!/10^7</f>
        <v>#REF!</v>
      </c>
      <c r="DP163" s="2003">
        <f t="shared" si="361"/>
        <v>0</v>
      </c>
      <c r="DQ163" s="1989" t="e">
        <f>#REF!/10^7</f>
        <v>#REF!</v>
      </c>
      <c r="DR163" s="1989" t="e">
        <f>#REF!/10^7</f>
        <v>#REF!</v>
      </c>
      <c r="DS163" s="2002" t="e">
        <f t="shared" si="362"/>
        <v>#REF!</v>
      </c>
      <c r="DT163" s="2004" t="e">
        <f t="shared" si="414"/>
        <v>#REF!</v>
      </c>
      <c r="DU163" s="1988" t="e">
        <f>#REF!</f>
        <v>#REF!</v>
      </c>
      <c r="DV163" s="2003">
        <f t="shared" si="364"/>
        <v>0</v>
      </c>
      <c r="DW163" s="1989" t="e">
        <f>#REF!/10^7</f>
        <v>#REF!</v>
      </c>
      <c r="DX163" s="2003">
        <f t="shared" si="365"/>
        <v>0</v>
      </c>
      <c r="DY163" s="1989" t="e">
        <f>#REF!/10^7</f>
        <v>#REF!</v>
      </c>
      <c r="DZ163" s="2003">
        <f t="shared" si="366"/>
        <v>0</v>
      </c>
      <c r="EA163" s="1989" t="e">
        <f>#REF!/10^7</f>
        <v>#REF!</v>
      </c>
      <c r="EB163" s="1989" t="e">
        <f>#REF!/10^7</f>
        <v>#REF!</v>
      </c>
      <c r="EC163" s="2002" t="e">
        <f t="shared" si="367"/>
        <v>#REF!</v>
      </c>
      <c r="ED163" s="1998" t="e">
        <f t="shared" si="415"/>
        <v>#REF!</v>
      </c>
      <c r="EE163" s="2005" t="e">
        <f t="shared" si="419"/>
        <v>#REF!</v>
      </c>
      <c r="EF163" s="2003">
        <f t="shared" si="368"/>
        <v>0</v>
      </c>
      <c r="EG163" s="1989" t="e">
        <f t="shared" si="416"/>
        <v>#REF!</v>
      </c>
      <c r="EH163" s="2003">
        <f t="shared" si="369"/>
        <v>0</v>
      </c>
      <c r="EI163" s="1989" t="e">
        <f t="shared" si="417"/>
        <v>#REF!</v>
      </c>
      <c r="EJ163" s="2003">
        <f t="shared" si="370"/>
        <v>0</v>
      </c>
      <c r="EK163" s="1989" t="e">
        <f t="shared" si="418"/>
        <v>#REF!</v>
      </c>
      <c r="EL163" s="1989" t="e">
        <f t="shared" si="418"/>
        <v>#REF!</v>
      </c>
      <c r="EM163" s="2006" t="e">
        <f t="shared" si="371"/>
        <v>#REF!</v>
      </c>
      <c r="EN163" s="1999" t="e">
        <f t="shared" si="420"/>
        <v>#REF!</v>
      </c>
      <c r="EP163" s="1613" t="e">
        <f>EA163-#REF!/10^7</f>
        <v>#REF!</v>
      </c>
      <c r="EW163" s="1611" t="s">
        <v>1649</v>
      </c>
      <c r="EX163" s="1612" t="s">
        <v>1649</v>
      </c>
      <c r="EZ163" s="1650">
        <f t="shared" si="372"/>
        <v>0</v>
      </c>
    </row>
    <row r="164" spans="1:156" ht="21" customHeight="1">
      <c r="A164" s="1652">
        <v>9</v>
      </c>
      <c r="B164" s="1644" t="s">
        <v>1771</v>
      </c>
      <c r="C164" s="1645">
        <v>3600</v>
      </c>
      <c r="D164" s="1646">
        <f t="shared" si="403"/>
        <v>27.777777777777779</v>
      </c>
      <c r="E164" s="1646">
        <v>69.400000000000006</v>
      </c>
      <c r="F164" s="1689" t="s">
        <v>1594</v>
      </c>
      <c r="G164" s="1648"/>
      <c r="H164" s="1648">
        <v>1000</v>
      </c>
      <c r="I164" s="1648" t="s">
        <v>1649</v>
      </c>
      <c r="J164" s="1649">
        <v>1</v>
      </c>
      <c r="K164" s="1648"/>
      <c r="L164" s="1648"/>
      <c r="M164" s="1648"/>
      <c r="N164" s="1642"/>
      <c r="O164" s="2000" t="e">
        <f>#REF!</f>
        <v>#REF!</v>
      </c>
      <c r="P164" s="2003">
        <f t="shared" si="317"/>
        <v>0</v>
      </c>
      <c r="Q164" s="1989" t="e">
        <f>#REF!/10^7</f>
        <v>#REF!</v>
      </c>
      <c r="R164" s="2003">
        <f t="shared" si="318"/>
        <v>0</v>
      </c>
      <c r="S164" s="1989" t="e">
        <f>#REF!/10^7</f>
        <v>#REF!</v>
      </c>
      <c r="T164" s="2003">
        <f t="shared" si="319"/>
        <v>0</v>
      </c>
      <c r="U164" s="1989" t="e">
        <f>#REF!/10^7</f>
        <v>#REF!</v>
      </c>
      <c r="V164" s="1989" t="e">
        <f>#REF!/10^7</f>
        <v>#REF!</v>
      </c>
      <c r="W164" s="1989">
        <f t="shared" si="320"/>
        <v>0</v>
      </c>
      <c r="X164" s="1999" t="e">
        <f t="shared" si="404"/>
        <v>#REF!</v>
      </c>
      <c r="Y164" s="1993" t="e">
        <f>#REF!</f>
        <v>#REF!</v>
      </c>
      <c r="Z164" s="2003">
        <f t="shared" si="321"/>
        <v>0</v>
      </c>
      <c r="AA164" s="1989" t="e">
        <f>#REF!/10^7</f>
        <v>#REF!</v>
      </c>
      <c r="AB164" s="2003">
        <f t="shared" si="322"/>
        <v>0</v>
      </c>
      <c r="AC164" s="1989" t="e">
        <f>#REF!/10^7</f>
        <v>#REF!</v>
      </c>
      <c r="AD164" s="2003">
        <f t="shared" si="323"/>
        <v>0</v>
      </c>
      <c r="AE164" s="1989" t="e">
        <f>#REF!/10^7</f>
        <v>#REF!</v>
      </c>
      <c r="AF164" s="1989" t="e">
        <f>#REF!/10^7</f>
        <v>#REF!</v>
      </c>
      <c r="AG164" s="2002" t="e">
        <f t="shared" si="324"/>
        <v>#REF!</v>
      </c>
      <c r="AH164" s="1999" t="e">
        <f t="shared" si="405"/>
        <v>#REF!</v>
      </c>
      <c r="AI164" s="1993" t="e">
        <f>#REF!</f>
        <v>#REF!</v>
      </c>
      <c r="AJ164" s="2003">
        <f t="shared" si="326"/>
        <v>0</v>
      </c>
      <c r="AK164" s="1989" t="e">
        <f>#REF!/10^7</f>
        <v>#REF!</v>
      </c>
      <c r="AL164" s="2003">
        <f t="shared" si="327"/>
        <v>0</v>
      </c>
      <c r="AM164" s="1989" t="e">
        <f>#REF!/10^7</f>
        <v>#REF!</v>
      </c>
      <c r="AN164" s="2003">
        <f t="shared" si="328"/>
        <v>0</v>
      </c>
      <c r="AO164" s="1989" t="e">
        <f>#REF!/10^7</f>
        <v>#REF!</v>
      </c>
      <c r="AP164" s="1989" t="e">
        <f>#REF!/10^7</f>
        <v>#REF!</v>
      </c>
      <c r="AQ164" s="2002" t="e">
        <f t="shared" si="329"/>
        <v>#REF!</v>
      </c>
      <c r="AR164" s="1999" t="e">
        <f t="shared" si="406"/>
        <v>#REF!</v>
      </c>
      <c r="AS164" s="1993" t="e">
        <f>#REF!</f>
        <v>#REF!</v>
      </c>
      <c r="AT164" s="2003">
        <f t="shared" si="331"/>
        <v>0</v>
      </c>
      <c r="AU164" s="1989" t="e">
        <f>#REF!/10^7</f>
        <v>#REF!</v>
      </c>
      <c r="AV164" s="2003">
        <f t="shared" si="332"/>
        <v>0</v>
      </c>
      <c r="AW164" s="1989" t="e">
        <f>#REF!/10^7</f>
        <v>#REF!</v>
      </c>
      <c r="AX164" s="2003">
        <f t="shared" si="333"/>
        <v>0</v>
      </c>
      <c r="AY164" s="1989" t="e">
        <f>#REF!/10^7</f>
        <v>#REF!</v>
      </c>
      <c r="AZ164" s="1989" t="e">
        <f>#REF!/10^7</f>
        <v>#REF!</v>
      </c>
      <c r="BA164" s="2002" t="e">
        <f t="shared" si="334"/>
        <v>#REF!</v>
      </c>
      <c r="BB164" s="1999" t="e">
        <f t="shared" si="407"/>
        <v>#REF!</v>
      </c>
      <c r="BC164" s="1993" t="e">
        <f>#REF!</f>
        <v>#REF!</v>
      </c>
      <c r="BD164" s="2003">
        <f t="shared" si="335"/>
        <v>0</v>
      </c>
      <c r="BE164" s="1989" t="e">
        <f>#REF!/10^7</f>
        <v>#REF!</v>
      </c>
      <c r="BF164" s="2003">
        <f t="shared" si="336"/>
        <v>0</v>
      </c>
      <c r="BG164" s="1989" t="e">
        <f>#REF!/10^7</f>
        <v>#REF!</v>
      </c>
      <c r="BH164" s="2003">
        <f t="shared" si="337"/>
        <v>0</v>
      </c>
      <c r="BI164" s="1989" t="e">
        <f>#REF!/10^7</f>
        <v>#REF!</v>
      </c>
      <c r="BJ164" s="1989" t="e">
        <f>#REF!/10^7</f>
        <v>#REF!</v>
      </c>
      <c r="BK164" s="2002" t="e">
        <f t="shared" si="338"/>
        <v>#REF!</v>
      </c>
      <c r="BL164" s="1999" t="e">
        <f t="shared" si="408"/>
        <v>#REF!</v>
      </c>
      <c r="BM164" s="1993" t="e">
        <f>#REF!</f>
        <v>#REF!</v>
      </c>
      <c r="BN164" s="2003">
        <f t="shared" si="339"/>
        <v>0</v>
      </c>
      <c r="BO164" s="1989" t="e">
        <f>#REF!/10^7</f>
        <v>#REF!</v>
      </c>
      <c r="BP164" s="2003">
        <f t="shared" si="340"/>
        <v>0</v>
      </c>
      <c r="BQ164" s="1989" t="e">
        <f>#REF!/10^7</f>
        <v>#REF!</v>
      </c>
      <c r="BR164" s="2003">
        <f t="shared" si="341"/>
        <v>0</v>
      </c>
      <c r="BS164" s="1989" t="e">
        <f>#REF!/10^7</f>
        <v>#REF!</v>
      </c>
      <c r="BT164" s="1989" t="e">
        <f>#REF!/10^7</f>
        <v>#REF!</v>
      </c>
      <c r="BU164" s="2002" t="e">
        <f t="shared" si="342"/>
        <v>#REF!</v>
      </c>
      <c r="BV164" s="1999" t="e">
        <f t="shared" si="409"/>
        <v>#REF!</v>
      </c>
      <c r="BW164" s="1993" t="e">
        <f>#REF!</f>
        <v>#REF!</v>
      </c>
      <c r="BX164" s="2003">
        <f t="shared" si="343"/>
        <v>0</v>
      </c>
      <c r="BY164" s="1989" t="e">
        <f>#REF!/10^7</f>
        <v>#REF!</v>
      </c>
      <c r="BZ164" s="2003">
        <f t="shared" si="344"/>
        <v>0</v>
      </c>
      <c r="CA164" s="1989" t="e">
        <f>#REF!/10^7</f>
        <v>#REF!</v>
      </c>
      <c r="CB164" s="2003">
        <f t="shared" si="345"/>
        <v>0</v>
      </c>
      <c r="CC164" s="1989" t="e">
        <f>#REF!/10^7</f>
        <v>#REF!</v>
      </c>
      <c r="CD164" s="1989" t="e">
        <f>#REF!/10^7</f>
        <v>#REF!</v>
      </c>
      <c r="CE164" s="2002" t="e">
        <f t="shared" si="346"/>
        <v>#REF!</v>
      </c>
      <c r="CF164" s="1999" t="e">
        <f t="shared" si="410"/>
        <v>#REF!</v>
      </c>
      <c r="CG164" s="1993" t="e">
        <f>#REF!</f>
        <v>#REF!</v>
      </c>
      <c r="CH164" s="2003">
        <f t="shared" si="347"/>
        <v>0</v>
      </c>
      <c r="CI164" s="1989" t="e">
        <f>#REF!/10^7</f>
        <v>#REF!</v>
      </c>
      <c r="CJ164" s="2003">
        <f t="shared" si="348"/>
        <v>0</v>
      </c>
      <c r="CK164" s="1989" t="e">
        <f>#REF!/10^7</f>
        <v>#REF!</v>
      </c>
      <c r="CL164" s="2003">
        <f t="shared" si="349"/>
        <v>0</v>
      </c>
      <c r="CM164" s="1989" t="e">
        <f>#REF!/10^7</f>
        <v>#REF!</v>
      </c>
      <c r="CN164" s="1989" t="e">
        <f>#REF!/10^7</f>
        <v>#REF!</v>
      </c>
      <c r="CO164" s="2002" t="e">
        <f t="shared" si="350"/>
        <v>#REF!</v>
      </c>
      <c r="CP164" s="1999" t="e">
        <f t="shared" si="411"/>
        <v>#REF!</v>
      </c>
      <c r="CQ164" s="1993" t="e">
        <f>#REF!</f>
        <v>#REF!</v>
      </c>
      <c r="CR164" s="2003">
        <f t="shared" si="351"/>
        <v>0</v>
      </c>
      <c r="CS164" s="1989" t="e">
        <f>#REF!/10^7</f>
        <v>#REF!</v>
      </c>
      <c r="CT164" s="2003">
        <f t="shared" si="352"/>
        <v>0</v>
      </c>
      <c r="CU164" s="1989" t="e">
        <f>#REF!/10^7</f>
        <v>#REF!</v>
      </c>
      <c r="CV164" s="2003">
        <f t="shared" si="353"/>
        <v>0</v>
      </c>
      <c r="CW164" s="1989" t="e">
        <f>#REF!/10^7</f>
        <v>#REF!</v>
      </c>
      <c r="CX164" s="1989" t="e">
        <f>#REF!/10^7</f>
        <v>#REF!</v>
      </c>
      <c r="CY164" s="2002" t="e">
        <f t="shared" si="354"/>
        <v>#REF!</v>
      </c>
      <c r="CZ164" s="1999" t="e">
        <f t="shared" si="412"/>
        <v>#REF!</v>
      </c>
      <c r="DA164" s="1993" t="e">
        <f>#REF!</f>
        <v>#REF!</v>
      </c>
      <c r="DB164" s="2003">
        <f t="shared" si="355"/>
        <v>0</v>
      </c>
      <c r="DC164" s="1989" t="e">
        <f>#REF!/10^7</f>
        <v>#REF!</v>
      </c>
      <c r="DD164" s="2003">
        <f t="shared" si="356"/>
        <v>0</v>
      </c>
      <c r="DE164" s="1989" t="e">
        <f>#REF!/10^7</f>
        <v>#REF!</v>
      </c>
      <c r="DF164" s="2003">
        <f t="shared" si="357"/>
        <v>0</v>
      </c>
      <c r="DG164" s="1989" t="e">
        <f>#REF!/10^7</f>
        <v>#REF!</v>
      </c>
      <c r="DH164" s="1989" t="e">
        <f>#REF!/10^7</f>
        <v>#REF!</v>
      </c>
      <c r="DI164" s="2002" t="e">
        <f t="shared" si="358"/>
        <v>#REF!</v>
      </c>
      <c r="DJ164" s="1999" t="e">
        <f t="shared" si="413"/>
        <v>#REF!</v>
      </c>
      <c r="DK164" s="1993" t="e">
        <f>#REF!</f>
        <v>#REF!</v>
      </c>
      <c r="DL164" s="2003">
        <f t="shared" si="359"/>
        <v>0</v>
      </c>
      <c r="DM164" s="1989" t="e">
        <f>#REF!/10^7</f>
        <v>#REF!</v>
      </c>
      <c r="DN164" s="2003">
        <f t="shared" si="360"/>
        <v>0</v>
      </c>
      <c r="DO164" s="1989" t="e">
        <f>#REF!/10^7</f>
        <v>#REF!</v>
      </c>
      <c r="DP164" s="2003">
        <f t="shared" si="361"/>
        <v>0</v>
      </c>
      <c r="DQ164" s="1989" t="e">
        <f>#REF!/10^7</f>
        <v>#REF!</v>
      </c>
      <c r="DR164" s="1989" t="e">
        <f>#REF!/10^7</f>
        <v>#REF!</v>
      </c>
      <c r="DS164" s="2002" t="e">
        <f t="shared" si="362"/>
        <v>#REF!</v>
      </c>
      <c r="DT164" s="2004" t="e">
        <f t="shared" si="414"/>
        <v>#REF!</v>
      </c>
      <c r="DU164" s="1988" t="e">
        <f>#REF!</f>
        <v>#REF!</v>
      </c>
      <c r="DV164" s="2003">
        <f t="shared" si="364"/>
        <v>0</v>
      </c>
      <c r="DW164" s="1989" t="e">
        <f>#REF!/10^7</f>
        <v>#REF!</v>
      </c>
      <c r="DX164" s="2003">
        <f t="shared" si="365"/>
        <v>0</v>
      </c>
      <c r="DY164" s="1989" t="e">
        <f>#REF!/10^7</f>
        <v>#REF!</v>
      </c>
      <c r="DZ164" s="2003">
        <f t="shared" si="366"/>
        <v>0</v>
      </c>
      <c r="EA164" s="1989" t="e">
        <f>#REF!/10^7</f>
        <v>#REF!</v>
      </c>
      <c r="EB164" s="1989" t="e">
        <f>#REF!/10^7</f>
        <v>#REF!</v>
      </c>
      <c r="EC164" s="2002" t="e">
        <f t="shared" si="367"/>
        <v>#REF!</v>
      </c>
      <c r="ED164" s="1998" t="e">
        <f t="shared" si="415"/>
        <v>#REF!</v>
      </c>
      <c r="EE164" s="2005" t="e">
        <f t="shared" si="419"/>
        <v>#REF!</v>
      </c>
      <c r="EF164" s="2003">
        <f t="shared" si="368"/>
        <v>0</v>
      </c>
      <c r="EG164" s="1989" t="e">
        <f t="shared" si="416"/>
        <v>#REF!</v>
      </c>
      <c r="EH164" s="2003">
        <f t="shared" si="369"/>
        <v>0</v>
      </c>
      <c r="EI164" s="1989" t="e">
        <f t="shared" si="417"/>
        <v>#REF!</v>
      </c>
      <c r="EJ164" s="2003">
        <f t="shared" si="370"/>
        <v>0</v>
      </c>
      <c r="EK164" s="1989" t="e">
        <f t="shared" si="418"/>
        <v>#REF!</v>
      </c>
      <c r="EL164" s="1989" t="e">
        <f t="shared" si="418"/>
        <v>#REF!</v>
      </c>
      <c r="EM164" s="2006" t="e">
        <f t="shared" si="371"/>
        <v>#REF!</v>
      </c>
      <c r="EN164" s="1999" t="e">
        <f t="shared" si="420"/>
        <v>#REF!</v>
      </c>
      <c r="EP164" s="1613" t="e">
        <f>EA164-#REF!/10^7</f>
        <v>#REF!</v>
      </c>
      <c r="EW164" s="1611" t="s">
        <v>1649</v>
      </c>
      <c r="EX164" s="1612" t="s">
        <v>1649</v>
      </c>
      <c r="EZ164" s="1650">
        <f t="shared" si="372"/>
        <v>0</v>
      </c>
    </row>
    <row r="165" spans="1:156" ht="21" customHeight="1">
      <c r="A165" s="1652">
        <v>10</v>
      </c>
      <c r="B165" s="1644" t="s">
        <v>1772</v>
      </c>
      <c r="C165" s="1645">
        <v>1980</v>
      </c>
      <c r="D165" s="1646">
        <f t="shared" si="403"/>
        <v>100</v>
      </c>
      <c r="E165" s="1646">
        <v>77.930000000000007</v>
      </c>
      <c r="F165" s="1689">
        <v>5.75</v>
      </c>
      <c r="G165" s="1648"/>
      <c r="H165" s="1648">
        <v>1980</v>
      </c>
      <c r="I165" s="1648" t="s">
        <v>1649</v>
      </c>
      <c r="J165" s="1649">
        <v>2</v>
      </c>
      <c r="K165" s="1648"/>
      <c r="L165" s="1648"/>
      <c r="M165" s="1648"/>
      <c r="N165" s="1642"/>
      <c r="O165" s="2000" t="e">
        <f>#REF!</f>
        <v>#REF!</v>
      </c>
      <c r="P165" s="2003">
        <f t="shared" si="317"/>
        <v>0</v>
      </c>
      <c r="Q165" s="1989" t="e">
        <f>#REF!/10^7</f>
        <v>#REF!</v>
      </c>
      <c r="R165" s="2003">
        <f t="shared" si="318"/>
        <v>0</v>
      </c>
      <c r="S165" s="1989" t="e">
        <f>#REF!/10^7</f>
        <v>#REF!</v>
      </c>
      <c r="T165" s="2003">
        <f t="shared" si="319"/>
        <v>0</v>
      </c>
      <c r="U165" s="1989" t="e">
        <f>#REF!/10^7</f>
        <v>#REF!</v>
      </c>
      <c r="V165" s="1989" t="e">
        <f>#REF!/10^7</f>
        <v>#REF!</v>
      </c>
      <c r="W165" s="1989">
        <f t="shared" si="320"/>
        <v>0</v>
      </c>
      <c r="X165" s="1999" t="e">
        <f t="shared" si="404"/>
        <v>#REF!</v>
      </c>
      <c r="Y165" s="1993" t="e">
        <f>#REF!</f>
        <v>#REF!</v>
      </c>
      <c r="Z165" s="2003">
        <f t="shared" si="321"/>
        <v>0</v>
      </c>
      <c r="AA165" s="1989" t="e">
        <f>#REF!/10^7</f>
        <v>#REF!</v>
      </c>
      <c r="AB165" s="2003">
        <f t="shared" si="322"/>
        <v>0</v>
      </c>
      <c r="AC165" s="1989" t="e">
        <f>#REF!/10^7</f>
        <v>#REF!</v>
      </c>
      <c r="AD165" s="2003">
        <f t="shared" si="323"/>
        <v>0</v>
      </c>
      <c r="AE165" s="1989" t="e">
        <f>#REF!/10^7</f>
        <v>#REF!</v>
      </c>
      <c r="AF165" s="1989" t="e">
        <f>#REF!/10^7</f>
        <v>#REF!</v>
      </c>
      <c r="AG165" s="2002" t="e">
        <f t="shared" si="324"/>
        <v>#REF!</v>
      </c>
      <c r="AH165" s="1999" t="e">
        <f t="shared" si="405"/>
        <v>#REF!</v>
      </c>
      <c r="AI165" s="1993" t="e">
        <f>#REF!</f>
        <v>#REF!</v>
      </c>
      <c r="AJ165" s="2003">
        <f t="shared" si="326"/>
        <v>0</v>
      </c>
      <c r="AK165" s="1989" t="e">
        <f>#REF!/10^7</f>
        <v>#REF!</v>
      </c>
      <c r="AL165" s="2003">
        <f t="shared" si="327"/>
        <v>0</v>
      </c>
      <c r="AM165" s="1989" t="e">
        <f>#REF!/10^7</f>
        <v>#REF!</v>
      </c>
      <c r="AN165" s="2003">
        <f t="shared" si="328"/>
        <v>0</v>
      </c>
      <c r="AO165" s="1989" t="e">
        <f>#REF!/10^7</f>
        <v>#REF!</v>
      </c>
      <c r="AP165" s="1989" t="e">
        <f>#REF!/10^7</f>
        <v>#REF!</v>
      </c>
      <c r="AQ165" s="2002" t="e">
        <f t="shared" si="329"/>
        <v>#REF!</v>
      </c>
      <c r="AR165" s="1999" t="e">
        <f t="shared" si="406"/>
        <v>#REF!</v>
      </c>
      <c r="AS165" s="1993" t="e">
        <f>#REF!</f>
        <v>#REF!</v>
      </c>
      <c r="AT165" s="2003">
        <f t="shared" si="331"/>
        <v>0</v>
      </c>
      <c r="AU165" s="1989" t="e">
        <f>#REF!/10^7</f>
        <v>#REF!</v>
      </c>
      <c r="AV165" s="2003">
        <f t="shared" si="332"/>
        <v>0</v>
      </c>
      <c r="AW165" s="1989" t="e">
        <f>#REF!/10^7</f>
        <v>#REF!</v>
      </c>
      <c r="AX165" s="2003">
        <f t="shared" si="333"/>
        <v>0</v>
      </c>
      <c r="AY165" s="1989" t="e">
        <f>#REF!/10^7</f>
        <v>#REF!</v>
      </c>
      <c r="AZ165" s="1989" t="e">
        <f>#REF!/10^7</f>
        <v>#REF!</v>
      </c>
      <c r="BA165" s="2002" t="e">
        <f t="shared" si="334"/>
        <v>#REF!</v>
      </c>
      <c r="BB165" s="1999" t="e">
        <f t="shared" si="407"/>
        <v>#REF!</v>
      </c>
      <c r="BC165" s="1993" t="e">
        <f>#REF!</f>
        <v>#REF!</v>
      </c>
      <c r="BD165" s="2003">
        <f t="shared" si="335"/>
        <v>0</v>
      </c>
      <c r="BE165" s="1989" t="e">
        <f>#REF!/10^7</f>
        <v>#REF!</v>
      </c>
      <c r="BF165" s="2003">
        <f t="shared" si="336"/>
        <v>0</v>
      </c>
      <c r="BG165" s="1989" t="e">
        <f>#REF!/10^7</f>
        <v>#REF!</v>
      </c>
      <c r="BH165" s="2003">
        <f t="shared" si="337"/>
        <v>0</v>
      </c>
      <c r="BI165" s="1989" t="e">
        <f>#REF!/10^7</f>
        <v>#REF!</v>
      </c>
      <c r="BJ165" s="1989" t="e">
        <f>#REF!/10^7</f>
        <v>#REF!</v>
      </c>
      <c r="BK165" s="2002" t="e">
        <f t="shared" si="338"/>
        <v>#REF!</v>
      </c>
      <c r="BL165" s="1999" t="e">
        <f t="shared" si="408"/>
        <v>#REF!</v>
      </c>
      <c r="BM165" s="1993" t="e">
        <f>#REF!</f>
        <v>#REF!</v>
      </c>
      <c r="BN165" s="2003">
        <f t="shared" si="339"/>
        <v>0</v>
      </c>
      <c r="BO165" s="1989" t="e">
        <f>#REF!/10^7</f>
        <v>#REF!</v>
      </c>
      <c r="BP165" s="2003">
        <f t="shared" si="340"/>
        <v>0</v>
      </c>
      <c r="BQ165" s="1989" t="e">
        <f>#REF!/10^7</f>
        <v>#REF!</v>
      </c>
      <c r="BR165" s="2003">
        <f t="shared" si="341"/>
        <v>0</v>
      </c>
      <c r="BS165" s="1989" t="e">
        <f>#REF!/10^7</f>
        <v>#REF!</v>
      </c>
      <c r="BT165" s="1989" t="e">
        <f>#REF!/10^7</f>
        <v>#REF!</v>
      </c>
      <c r="BU165" s="2002" t="e">
        <f t="shared" si="342"/>
        <v>#REF!</v>
      </c>
      <c r="BV165" s="1999" t="e">
        <f t="shared" si="409"/>
        <v>#REF!</v>
      </c>
      <c r="BW165" s="1993" t="e">
        <f>#REF!</f>
        <v>#REF!</v>
      </c>
      <c r="BX165" s="2003">
        <f t="shared" si="343"/>
        <v>0</v>
      </c>
      <c r="BY165" s="1989" t="e">
        <f>#REF!/10^7</f>
        <v>#REF!</v>
      </c>
      <c r="BZ165" s="2003">
        <f t="shared" si="344"/>
        <v>0</v>
      </c>
      <c r="CA165" s="1989" t="e">
        <f>#REF!/10^7</f>
        <v>#REF!</v>
      </c>
      <c r="CB165" s="2003">
        <f t="shared" si="345"/>
        <v>0</v>
      </c>
      <c r="CC165" s="1989" t="e">
        <f>#REF!/10^7</f>
        <v>#REF!</v>
      </c>
      <c r="CD165" s="1989" t="e">
        <f>#REF!/10^7</f>
        <v>#REF!</v>
      </c>
      <c r="CE165" s="2002" t="e">
        <f t="shared" si="346"/>
        <v>#REF!</v>
      </c>
      <c r="CF165" s="1999" t="e">
        <f t="shared" si="410"/>
        <v>#REF!</v>
      </c>
      <c r="CG165" s="1993" t="e">
        <f>#REF!</f>
        <v>#REF!</v>
      </c>
      <c r="CH165" s="2003">
        <f t="shared" si="347"/>
        <v>0</v>
      </c>
      <c r="CI165" s="1989" t="e">
        <f>#REF!/10^7</f>
        <v>#REF!</v>
      </c>
      <c r="CJ165" s="2003">
        <f t="shared" si="348"/>
        <v>0</v>
      </c>
      <c r="CK165" s="1989" t="e">
        <f>#REF!/10^7</f>
        <v>#REF!</v>
      </c>
      <c r="CL165" s="2003">
        <f t="shared" si="349"/>
        <v>0</v>
      </c>
      <c r="CM165" s="1989" t="e">
        <f>#REF!/10^7</f>
        <v>#REF!</v>
      </c>
      <c r="CN165" s="1989" t="e">
        <f>#REF!/10^7</f>
        <v>#REF!</v>
      </c>
      <c r="CO165" s="2002" t="e">
        <f t="shared" si="350"/>
        <v>#REF!</v>
      </c>
      <c r="CP165" s="1999" t="e">
        <f t="shared" si="411"/>
        <v>#REF!</v>
      </c>
      <c r="CQ165" s="1993" t="e">
        <f>#REF!</f>
        <v>#REF!</v>
      </c>
      <c r="CR165" s="2003">
        <f t="shared" si="351"/>
        <v>0</v>
      </c>
      <c r="CS165" s="1989" t="e">
        <f>#REF!/10^7</f>
        <v>#REF!</v>
      </c>
      <c r="CT165" s="2003">
        <f t="shared" si="352"/>
        <v>0</v>
      </c>
      <c r="CU165" s="1989" t="e">
        <f>#REF!/10^7</f>
        <v>#REF!</v>
      </c>
      <c r="CV165" s="2003">
        <f t="shared" si="353"/>
        <v>0</v>
      </c>
      <c r="CW165" s="1989" t="e">
        <f>#REF!/10^7</f>
        <v>#REF!</v>
      </c>
      <c r="CX165" s="1989" t="e">
        <f>#REF!/10^7</f>
        <v>#REF!</v>
      </c>
      <c r="CY165" s="2002" t="e">
        <f t="shared" si="354"/>
        <v>#REF!</v>
      </c>
      <c r="CZ165" s="1999" t="e">
        <f t="shared" si="412"/>
        <v>#REF!</v>
      </c>
      <c r="DA165" s="1993" t="e">
        <f>#REF!</f>
        <v>#REF!</v>
      </c>
      <c r="DB165" s="2003">
        <f t="shared" si="355"/>
        <v>0</v>
      </c>
      <c r="DC165" s="1989" t="e">
        <f>#REF!/10^7</f>
        <v>#REF!</v>
      </c>
      <c r="DD165" s="2003">
        <f t="shared" si="356"/>
        <v>0</v>
      </c>
      <c r="DE165" s="1989" t="e">
        <f>#REF!/10^7</f>
        <v>#REF!</v>
      </c>
      <c r="DF165" s="2003">
        <f t="shared" si="357"/>
        <v>0</v>
      </c>
      <c r="DG165" s="1989" t="e">
        <f>#REF!/10^7</f>
        <v>#REF!</v>
      </c>
      <c r="DH165" s="1989" t="e">
        <f>#REF!/10^7</f>
        <v>#REF!</v>
      </c>
      <c r="DI165" s="2002" t="e">
        <f t="shared" si="358"/>
        <v>#REF!</v>
      </c>
      <c r="DJ165" s="1999" t="e">
        <f t="shared" si="413"/>
        <v>#REF!</v>
      </c>
      <c r="DK165" s="1993" t="e">
        <f>#REF!</f>
        <v>#REF!</v>
      </c>
      <c r="DL165" s="2003">
        <f t="shared" si="359"/>
        <v>0</v>
      </c>
      <c r="DM165" s="1989" t="e">
        <f>#REF!/10^7</f>
        <v>#REF!</v>
      </c>
      <c r="DN165" s="2003">
        <f t="shared" si="360"/>
        <v>0</v>
      </c>
      <c r="DO165" s="1989" t="e">
        <f>#REF!/10^7</f>
        <v>#REF!</v>
      </c>
      <c r="DP165" s="2003">
        <f t="shared" si="361"/>
        <v>0</v>
      </c>
      <c r="DQ165" s="1989" t="e">
        <f>#REF!/10^7</f>
        <v>#REF!</v>
      </c>
      <c r="DR165" s="1989" t="e">
        <f>#REF!/10^7</f>
        <v>#REF!</v>
      </c>
      <c r="DS165" s="2002" t="e">
        <f t="shared" si="362"/>
        <v>#REF!</v>
      </c>
      <c r="DT165" s="2004" t="e">
        <f t="shared" si="414"/>
        <v>#REF!</v>
      </c>
      <c r="DU165" s="1988" t="e">
        <f>#REF!</f>
        <v>#REF!</v>
      </c>
      <c r="DV165" s="2003">
        <f t="shared" si="364"/>
        <v>0</v>
      </c>
      <c r="DW165" s="1989" t="e">
        <f>#REF!/10^7</f>
        <v>#REF!</v>
      </c>
      <c r="DX165" s="2003">
        <f t="shared" si="365"/>
        <v>0</v>
      </c>
      <c r="DY165" s="1989" t="e">
        <f>#REF!/10^7</f>
        <v>#REF!</v>
      </c>
      <c r="DZ165" s="2003">
        <f t="shared" si="366"/>
        <v>0</v>
      </c>
      <c r="EA165" s="1989" t="e">
        <f>#REF!/10^7</f>
        <v>#REF!</v>
      </c>
      <c r="EB165" s="1989" t="e">
        <f>#REF!/10^7</f>
        <v>#REF!</v>
      </c>
      <c r="EC165" s="2002" t="e">
        <f t="shared" si="367"/>
        <v>#REF!</v>
      </c>
      <c r="ED165" s="1998" t="e">
        <f t="shared" si="415"/>
        <v>#REF!</v>
      </c>
      <c r="EE165" s="2005" t="e">
        <f t="shared" si="419"/>
        <v>#REF!</v>
      </c>
      <c r="EF165" s="2003">
        <f t="shared" si="368"/>
        <v>0</v>
      </c>
      <c r="EG165" s="1989" t="e">
        <f t="shared" si="416"/>
        <v>#REF!</v>
      </c>
      <c r="EH165" s="2003">
        <f t="shared" si="369"/>
        <v>0</v>
      </c>
      <c r="EI165" s="1989" t="e">
        <f t="shared" si="417"/>
        <v>#REF!</v>
      </c>
      <c r="EJ165" s="2003">
        <f t="shared" si="370"/>
        <v>0</v>
      </c>
      <c r="EK165" s="1989" t="e">
        <f t="shared" si="418"/>
        <v>#REF!</v>
      </c>
      <c r="EL165" s="1989" t="e">
        <f t="shared" si="418"/>
        <v>#REF!</v>
      </c>
      <c r="EM165" s="2006" t="e">
        <f t="shared" si="371"/>
        <v>#REF!</v>
      </c>
      <c r="EN165" s="1999" t="e">
        <f t="shared" si="420"/>
        <v>#REF!</v>
      </c>
      <c r="EP165" s="1613" t="e">
        <f>EA165-#REF!/10^7</f>
        <v>#REF!</v>
      </c>
      <c r="EW165" s="1611" t="s">
        <v>1649</v>
      </c>
      <c r="EX165" s="1612" t="s">
        <v>1649</v>
      </c>
      <c r="EZ165" s="1650">
        <f t="shared" si="372"/>
        <v>0</v>
      </c>
    </row>
    <row r="166" spans="1:156" ht="21" customHeight="1">
      <c r="A166" s="1652">
        <v>11</v>
      </c>
      <c r="B166" s="1644" t="s">
        <v>1773</v>
      </c>
      <c r="C166" s="1645">
        <v>1200</v>
      </c>
      <c r="D166" s="1646">
        <f t="shared" si="403"/>
        <v>30.083333333333336</v>
      </c>
      <c r="E166" s="1646">
        <v>87.41</v>
      </c>
      <c r="F166" s="1689" t="s">
        <v>1594</v>
      </c>
      <c r="G166" s="1648"/>
      <c r="H166" s="1648">
        <v>361</v>
      </c>
      <c r="I166" s="1648" t="s">
        <v>1649</v>
      </c>
      <c r="J166" s="1649">
        <v>1</v>
      </c>
      <c r="K166" s="1648"/>
      <c r="L166" s="1648"/>
      <c r="M166" s="1648"/>
      <c r="N166" s="1642"/>
      <c r="O166" s="2000" t="e">
        <f>#REF!</f>
        <v>#REF!</v>
      </c>
      <c r="P166" s="2003">
        <f t="shared" si="317"/>
        <v>0</v>
      </c>
      <c r="Q166" s="1989" t="e">
        <f>#REF!/10^7</f>
        <v>#REF!</v>
      </c>
      <c r="R166" s="2003">
        <f t="shared" si="318"/>
        <v>0</v>
      </c>
      <c r="S166" s="1989" t="e">
        <f>#REF!/10^7</f>
        <v>#REF!</v>
      </c>
      <c r="T166" s="2003">
        <f t="shared" si="319"/>
        <v>0</v>
      </c>
      <c r="U166" s="1989" t="e">
        <f>#REF!/10^7</f>
        <v>#REF!</v>
      </c>
      <c r="V166" s="1989" t="e">
        <f>#REF!/10^7</f>
        <v>#REF!</v>
      </c>
      <c r="W166" s="1989">
        <f t="shared" si="320"/>
        <v>0</v>
      </c>
      <c r="X166" s="1999" t="e">
        <f t="shared" si="404"/>
        <v>#REF!</v>
      </c>
      <c r="Y166" s="1993" t="e">
        <f>#REF!</f>
        <v>#REF!</v>
      </c>
      <c r="Z166" s="2003">
        <f t="shared" si="321"/>
        <v>0</v>
      </c>
      <c r="AA166" s="1989" t="e">
        <f>#REF!/10^7</f>
        <v>#REF!</v>
      </c>
      <c r="AB166" s="2003">
        <f t="shared" si="322"/>
        <v>0</v>
      </c>
      <c r="AC166" s="1989" t="e">
        <f>#REF!/10^7</f>
        <v>#REF!</v>
      </c>
      <c r="AD166" s="2003">
        <f t="shared" si="323"/>
        <v>0</v>
      </c>
      <c r="AE166" s="1989" t="e">
        <f>#REF!/10^7</f>
        <v>#REF!</v>
      </c>
      <c r="AF166" s="1989" t="e">
        <f>#REF!/10^7</f>
        <v>#REF!</v>
      </c>
      <c r="AG166" s="2002" t="e">
        <f t="shared" si="324"/>
        <v>#REF!</v>
      </c>
      <c r="AH166" s="1999" t="e">
        <f t="shared" si="405"/>
        <v>#REF!</v>
      </c>
      <c r="AI166" s="1993" t="e">
        <f>#REF!</f>
        <v>#REF!</v>
      </c>
      <c r="AJ166" s="2003">
        <f t="shared" si="326"/>
        <v>0</v>
      </c>
      <c r="AK166" s="1989" t="e">
        <f>#REF!/10^7</f>
        <v>#REF!</v>
      </c>
      <c r="AL166" s="2003">
        <f t="shared" si="327"/>
        <v>0</v>
      </c>
      <c r="AM166" s="1989" t="e">
        <f>#REF!/10^7</f>
        <v>#REF!</v>
      </c>
      <c r="AN166" s="2003">
        <f t="shared" si="328"/>
        <v>0</v>
      </c>
      <c r="AO166" s="1989" t="e">
        <f>#REF!/10^7</f>
        <v>#REF!</v>
      </c>
      <c r="AP166" s="1989" t="e">
        <f>#REF!/10^7</f>
        <v>#REF!</v>
      </c>
      <c r="AQ166" s="2002" t="e">
        <f t="shared" si="329"/>
        <v>#REF!</v>
      </c>
      <c r="AR166" s="1999" t="e">
        <f t="shared" si="406"/>
        <v>#REF!</v>
      </c>
      <c r="AS166" s="1993" t="e">
        <f>#REF!</f>
        <v>#REF!</v>
      </c>
      <c r="AT166" s="2003">
        <f t="shared" si="331"/>
        <v>0</v>
      </c>
      <c r="AU166" s="1989" t="e">
        <f>#REF!/10^7</f>
        <v>#REF!</v>
      </c>
      <c r="AV166" s="2003">
        <f t="shared" si="332"/>
        <v>0</v>
      </c>
      <c r="AW166" s="1989" t="e">
        <f>#REF!/10^7</f>
        <v>#REF!</v>
      </c>
      <c r="AX166" s="2003">
        <f t="shared" si="333"/>
        <v>0</v>
      </c>
      <c r="AY166" s="1989" t="e">
        <f>#REF!/10^7</f>
        <v>#REF!</v>
      </c>
      <c r="AZ166" s="1989" t="e">
        <f>#REF!/10^7</f>
        <v>#REF!</v>
      </c>
      <c r="BA166" s="2002" t="e">
        <f t="shared" si="334"/>
        <v>#REF!</v>
      </c>
      <c r="BB166" s="1999" t="e">
        <f t="shared" si="407"/>
        <v>#REF!</v>
      </c>
      <c r="BC166" s="1993" t="e">
        <f>#REF!</f>
        <v>#REF!</v>
      </c>
      <c r="BD166" s="2003">
        <f t="shared" si="335"/>
        <v>0</v>
      </c>
      <c r="BE166" s="1989" t="e">
        <f>#REF!/10^7</f>
        <v>#REF!</v>
      </c>
      <c r="BF166" s="2003">
        <f t="shared" si="336"/>
        <v>0</v>
      </c>
      <c r="BG166" s="1989" t="e">
        <f>#REF!/10^7</f>
        <v>#REF!</v>
      </c>
      <c r="BH166" s="2003">
        <f t="shared" si="337"/>
        <v>0</v>
      </c>
      <c r="BI166" s="1989" t="e">
        <f>#REF!/10^7</f>
        <v>#REF!</v>
      </c>
      <c r="BJ166" s="1989" t="e">
        <f>#REF!/10^7</f>
        <v>#REF!</v>
      </c>
      <c r="BK166" s="2002" t="e">
        <f t="shared" si="338"/>
        <v>#REF!</v>
      </c>
      <c r="BL166" s="1999" t="e">
        <f t="shared" si="408"/>
        <v>#REF!</v>
      </c>
      <c r="BM166" s="1993" t="e">
        <f>#REF!</f>
        <v>#REF!</v>
      </c>
      <c r="BN166" s="2003">
        <f t="shared" si="339"/>
        <v>0</v>
      </c>
      <c r="BO166" s="1989" t="e">
        <f>#REF!/10^7</f>
        <v>#REF!</v>
      </c>
      <c r="BP166" s="2003">
        <f t="shared" si="340"/>
        <v>0</v>
      </c>
      <c r="BQ166" s="1989" t="e">
        <f>#REF!/10^7</f>
        <v>#REF!</v>
      </c>
      <c r="BR166" s="2003">
        <f t="shared" si="341"/>
        <v>0</v>
      </c>
      <c r="BS166" s="1989" t="e">
        <f>#REF!/10^7</f>
        <v>#REF!</v>
      </c>
      <c r="BT166" s="1989" t="e">
        <f>#REF!/10^7</f>
        <v>#REF!</v>
      </c>
      <c r="BU166" s="2002" t="e">
        <f t="shared" si="342"/>
        <v>#REF!</v>
      </c>
      <c r="BV166" s="1999" t="e">
        <f t="shared" si="409"/>
        <v>#REF!</v>
      </c>
      <c r="BW166" s="1993" t="e">
        <f>#REF!</f>
        <v>#REF!</v>
      </c>
      <c r="BX166" s="2003">
        <f t="shared" si="343"/>
        <v>0</v>
      </c>
      <c r="BY166" s="1989" t="e">
        <f>#REF!/10^7</f>
        <v>#REF!</v>
      </c>
      <c r="BZ166" s="2003">
        <f t="shared" si="344"/>
        <v>0</v>
      </c>
      <c r="CA166" s="1989" t="e">
        <f>#REF!/10^7</f>
        <v>#REF!</v>
      </c>
      <c r="CB166" s="2003">
        <f t="shared" si="345"/>
        <v>0</v>
      </c>
      <c r="CC166" s="1989" t="e">
        <f>#REF!/10^7</f>
        <v>#REF!</v>
      </c>
      <c r="CD166" s="1989" t="e">
        <f>#REF!/10^7</f>
        <v>#REF!</v>
      </c>
      <c r="CE166" s="2002" t="e">
        <f t="shared" si="346"/>
        <v>#REF!</v>
      </c>
      <c r="CF166" s="1999" t="e">
        <f t="shared" si="410"/>
        <v>#REF!</v>
      </c>
      <c r="CG166" s="1993" t="e">
        <f>#REF!</f>
        <v>#REF!</v>
      </c>
      <c r="CH166" s="2003">
        <f t="shared" si="347"/>
        <v>0</v>
      </c>
      <c r="CI166" s="1989" t="e">
        <f>#REF!/10^7</f>
        <v>#REF!</v>
      </c>
      <c r="CJ166" s="2003">
        <f t="shared" si="348"/>
        <v>0</v>
      </c>
      <c r="CK166" s="1989" t="e">
        <f>#REF!/10^7</f>
        <v>#REF!</v>
      </c>
      <c r="CL166" s="2003">
        <f t="shared" si="349"/>
        <v>0</v>
      </c>
      <c r="CM166" s="1989" t="e">
        <f>#REF!/10^7</f>
        <v>#REF!</v>
      </c>
      <c r="CN166" s="1989" t="e">
        <f>#REF!/10^7</f>
        <v>#REF!</v>
      </c>
      <c r="CO166" s="2002" t="e">
        <f t="shared" si="350"/>
        <v>#REF!</v>
      </c>
      <c r="CP166" s="1999" t="e">
        <f t="shared" si="411"/>
        <v>#REF!</v>
      </c>
      <c r="CQ166" s="1993" t="e">
        <f>#REF!</f>
        <v>#REF!</v>
      </c>
      <c r="CR166" s="2003">
        <f t="shared" si="351"/>
        <v>0</v>
      </c>
      <c r="CS166" s="1989" t="e">
        <f>#REF!/10^7</f>
        <v>#REF!</v>
      </c>
      <c r="CT166" s="2003">
        <f t="shared" si="352"/>
        <v>0</v>
      </c>
      <c r="CU166" s="1989" t="e">
        <f>#REF!/10^7</f>
        <v>#REF!</v>
      </c>
      <c r="CV166" s="2003">
        <f t="shared" si="353"/>
        <v>0</v>
      </c>
      <c r="CW166" s="1989" t="e">
        <f>#REF!/10^7</f>
        <v>#REF!</v>
      </c>
      <c r="CX166" s="1989" t="e">
        <f>#REF!/10^7</f>
        <v>#REF!</v>
      </c>
      <c r="CY166" s="2002" t="e">
        <f t="shared" si="354"/>
        <v>#REF!</v>
      </c>
      <c r="CZ166" s="1999" t="e">
        <f t="shared" si="412"/>
        <v>#REF!</v>
      </c>
      <c r="DA166" s="1993" t="e">
        <f>#REF!</f>
        <v>#REF!</v>
      </c>
      <c r="DB166" s="2003">
        <f t="shared" si="355"/>
        <v>0</v>
      </c>
      <c r="DC166" s="1989" t="e">
        <f>#REF!/10^7</f>
        <v>#REF!</v>
      </c>
      <c r="DD166" s="2003">
        <f t="shared" si="356"/>
        <v>0</v>
      </c>
      <c r="DE166" s="1989" t="e">
        <f>#REF!/10^7</f>
        <v>#REF!</v>
      </c>
      <c r="DF166" s="2003">
        <f t="shared" si="357"/>
        <v>0</v>
      </c>
      <c r="DG166" s="1989" t="e">
        <f>#REF!/10^7</f>
        <v>#REF!</v>
      </c>
      <c r="DH166" s="1989" t="e">
        <f>#REF!/10^7</f>
        <v>#REF!</v>
      </c>
      <c r="DI166" s="2002" t="e">
        <f t="shared" si="358"/>
        <v>#REF!</v>
      </c>
      <c r="DJ166" s="1999" t="e">
        <f t="shared" si="413"/>
        <v>#REF!</v>
      </c>
      <c r="DK166" s="1993" t="e">
        <f>#REF!</f>
        <v>#REF!</v>
      </c>
      <c r="DL166" s="2003">
        <f t="shared" si="359"/>
        <v>0</v>
      </c>
      <c r="DM166" s="1989" t="e">
        <f>#REF!/10^7</f>
        <v>#REF!</v>
      </c>
      <c r="DN166" s="2003">
        <f t="shared" si="360"/>
        <v>0</v>
      </c>
      <c r="DO166" s="1989" t="e">
        <f>#REF!/10^7</f>
        <v>#REF!</v>
      </c>
      <c r="DP166" s="2003">
        <f t="shared" si="361"/>
        <v>0</v>
      </c>
      <c r="DQ166" s="1989" t="e">
        <f>#REF!/10^7</f>
        <v>#REF!</v>
      </c>
      <c r="DR166" s="1989" t="e">
        <f>#REF!/10^7</f>
        <v>#REF!</v>
      </c>
      <c r="DS166" s="2002" t="e">
        <f t="shared" si="362"/>
        <v>#REF!</v>
      </c>
      <c r="DT166" s="2004" t="e">
        <f t="shared" si="414"/>
        <v>#REF!</v>
      </c>
      <c r="DU166" s="1988" t="e">
        <f>#REF!</f>
        <v>#REF!</v>
      </c>
      <c r="DV166" s="2003">
        <f t="shared" si="364"/>
        <v>0</v>
      </c>
      <c r="DW166" s="1989" t="e">
        <f>#REF!/10^7</f>
        <v>#REF!</v>
      </c>
      <c r="DX166" s="2003">
        <f t="shared" si="365"/>
        <v>0</v>
      </c>
      <c r="DY166" s="1989" t="e">
        <f>#REF!/10^7</f>
        <v>#REF!</v>
      </c>
      <c r="DZ166" s="2003">
        <f t="shared" si="366"/>
        <v>0</v>
      </c>
      <c r="EA166" s="1989" t="e">
        <f>#REF!/10^7</f>
        <v>#REF!</v>
      </c>
      <c r="EB166" s="1989" t="e">
        <f>#REF!/10^7</f>
        <v>#REF!</v>
      </c>
      <c r="EC166" s="2002" t="e">
        <f t="shared" si="367"/>
        <v>#REF!</v>
      </c>
      <c r="ED166" s="1998" t="e">
        <f t="shared" si="415"/>
        <v>#REF!</v>
      </c>
      <c r="EE166" s="2005" t="e">
        <f t="shared" si="419"/>
        <v>#REF!</v>
      </c>
      <c r="EF166" s="2003">
        <f t="shared" si="368"/>
        <v>0</v>
      </c>
      <c r="EG166" s="1989" t="e">
        <f t="shared" si="416"/>
        <v>#REF!</v>
      </c>
      <c r="EH166" s="2003">
        <f t="shared" si="369"/>
        <v>0</v>
      </c>
      <c r="EI166" s="1989" t="e">
        <f t="shared" si="417"/>
        <v>#REF!</v>
      </c>
      <c r="EJ166" s="2003">
        <f t="shared" si="370"/>
        <v>0</v>
      </c>
      <c r="EK166" s="1989" t="e">
        <f t="shared" si="418"/>
        <v>#REF!</v>
      </c>
      <c r="EL166" s="1989" t="e">
        <f t="shared" si="418"/>
        <v>#REF!</v>
      </c>
      <c r="EM166" s="2006" t="e">
        <f t="shared" si="371"/>
        <v>#REF!</v>
      </c>
      <c r="EN166" s="1999" t="e">
        <f t="shared" si="420"/>
        <v>#REF!</v>
      </c>
      <c r="EP166" s="1613" t="e">
        <f>EA166-#REF!/10^7</f>
        <v>#REF!</v>
      </c>
      <c r="EW166" s="1611" t="s">
        <v>1649</v>
      </c>
      <c r="EX166" s="1612" t="s">
        <v>1649</v>
      </c>
      <c r="EZ166" s="1650">
        <f t="shared" si="372"/>
        <v>0</v>
      </c>
    </row>
    <row r="167" spans="1:156" s="1677" customFormat="1" ht="21" customHeight="1">
      <c r="A167" s="1652">
        <v>12</v>
      </c>
      <c r="B167" s="1644" t="s">
        <v>1774</v>
      </c>
      <c r="C167" s="1645">
        <v>1980</v>
      </c>
      <c r="D167" s="1646">
        <f t="shared" si="403"/>
        <v>90</v>
      </c>
      <c r="E167" s="1646">
        <v>69.727000000000004</v>
      </c>
      <c r="F167" s="1689" t="s">
        <v>1594</v>
      </c>
      <c r="G167" s="1648"/>
      <c r="H167" s="1648">
        <v>1782</v>
      </c>
      <c r="I167" s="1648" t="s">
        <v>1649</v>
      </c>
      <c r="J167" s="1649">
        <v>2</v>
      </c>
      <c r="K167" s="1648"/>
      <c r="L167" s="1648"/>
      <c r="M167" s="1648"/>
      <c r="N167" s="1642"/>
      <c r="O167" s="2000" t="e">
        <f>#REF!</f>
        <v>#REF!</v>
      </c>
      <c r="P167" s="2003">
        <f t="shared" si="317"/>
        <v>0</v>
      </c>
      <c r="Q167" s="1989" t="e">
        <f>#REF!/10^7</f>
        <v>#REF!</v>
      </c>
      <c r="R167" s="2003">
        <f t="shared" si="318"/>
        <v>0</v>
      </c>
      <c r="S167" s="1989" t="e">
        <f>#REF!/10^7</f>
        <v>#REF!</v>
      </c>
      <c r="T167" s="2003">
        <f t="shared" si="319"/>
        <v>0</v>
      </c>
      <c r="U167" s="1989" t="e">
        <f>#REF!/10^7</f>
        <v>#REF!</v>
      </c>
      <c r="V167" s="1989" t="e">
        <f>#REF!/10^7</f>
        <v>#REF!</v>
      </c>
      <c r="W167" s="1989">
        <f t="shared" si="320"/>
        <v>0</v>
      </c>
      <c r="X167" s="1999" t="e">
        <f t="shared" si="404"/>
        <v>#REF!</v>
      </c>
      <c r="Y167" s="1993" t="e">
        <f>#REF!</f>
        <v>#REF!</v>
      </c>
      <c r="Z167" s="2003">
        <f t="shared" si="321"/>
        <v>0</v>
      </c>
      <c r="AA167" s="1989" t="e">
        <f>#REF!/10^7</f>
        <v>#REF!</v>
      </c>
      <c r="AB167" s="2003">
        <f t="shared" si="322"/>
        <v>0</v>
      </c>
      <c r="AC167" s="1989" t="e">
        <f>#REF!/10^7</f>
        <v>#REF!</v>
      </c>
      <c r="AD167" s="2003">
        <f t="shared" si="323"/>
        <v>0</v>
      </c>
      <c r="AE167" s="1989" t="e">
        <f>#REF!/10^7</f>
        <v>#REF!</v>
      </c>
      <c r="AF167" s="1989" t="e">
        <f>#REF!/10^7</f>
        <v>#REF!</v>
      </c>
      <c r="AG167" s="2002" t="e">
        <f t="shared" si="324"/>
        <v>#REF!</v>
      </c>
      <c r="AH167" s="1999" t="e">
        <f t="shared" si="405"/>
        <v>#REF!</v>
      </c>
      <c r="AI167" s="1993" t="e">
        <f>#REF!</f>
        <v>#REF!</v>
      </c>
      <c r="AJ167" s="2003">
        <f t="shared" si="326"/>
        <v>0</v>
      </c>
      <c r="AK167" s="1989" t="e">
        <f>#REF!/10^7</f>
        <v>#REF!</v>
      </c>
      <c r="AL167" s="2003">
        <f t="shared" si="327"/>
        <v>0</v>
      </c>
      <c r="AM167" s="1989" t="e">
        <f>#REF!/10^7</f>
        <v>#REF!</v>
      </c>
      <c r="AN167" s="2003">
        <f t="shared" si="328"/>
        <v>0</v>
      </c>
      <c r="AO167" s="1989" t="e">
        <f>#REF!/10^7</f>
        <v>#REF!</v>
      </c>
      <c r="AP167" s="1989" t="e">
        <f>#REF!/10^7</f>
        <v>#REF!</v>
      </c>
      <c r="AQ167" s="2002" t="e">
        <f t="shared" si="329"/>
        <v>#REF!</v>
      </c>
      <c r="AR167" s="1999" t="e">
        <f t="shared" si="406"/>
        <v>#REF!</v>
      </c>
      <c r="AS167" s="1993" t="e">
        <f>#REF!</f>
        <v>#REF!</v>
      </c>
      <c r="AT167" s="2003">
        <f t="shared" si="331"/>
        <v>0</v>
      </c>
      <c r="AU167" s="1989" t="e">
        <f>#REF!/10^7</f>
        <v>#REF!</v>
      </c>
      <c r="AV167" s="2003">
        <f t="shared" si="332"/>
        <v>0</v>
      </c>
      <c r="AW167" s="1989" t="e">
        <f>#REF!/10^7</f>
        <v>#REF!</v>
      </c>
      <c r="AX167" s="2003">
        <f t="shared" si="333"/>
        <v>0</v>
      </c>
      <c r="AY167" s="1989" t="e">
        <f>#REF!/10^7</f>
        <v>#REF!</v>
      </c>
      <c r="AZ167" s="1989" t="e">
        <f>#REF!/10^7</f>
        <v>#REF!</v>
      </c>
      <c r="BA167" s="2002" t="e">
        <f t="shared" si="334"/>
        <v>#REF!</v>
      </c>
      <c r="BB167" s="1999" t="e">
        <f t="shared" si="407"/>
        <v>#REF!</v>
      </c>
      <c r="BC167" s="1993" t="e">
        <f>#REF!</f>
        <v>#REF!</v>
      </c>
      <c r="BD167" s="2003">
        <f t="shared" si="335"/>
        <v>0</v>
      </c>
      <c r="BE167" s="1989" t="e">
        <f>#REF!/10^7</f>
        <v>#REF!</v>
      </c>
      <c r="BF167" s="2003">
        <f t="shared" si="336"/>
        <v>0</v>
      </c>
      <c r="BG167" s="1989" t="e">
        <f>#REF!/10^7</f>
        <v>#REF!</v>
      </c>
      <c r="BH167" s="2003">
        <f t="shared" si="337"/>
        <v>0</v>
      </c>
      <c r="BI167" s="1989" t="e">
        <f>#REF!/10^7</f>
        <v>#REF!</v>
      </c>
      <c r="BJ167" s="1989" t="e">
        <f>#REF!/10^7</f>
        <v>#REF!</v>
      </c>
      <c r="BK167" s="2002" t="e">
        <f t="shared" si="338"/>
        <v>#REF!</v>
      </c>
      <c r="BL167" s="1999" t="e">
        <f t="shared" si="408"/>
        <v>#REF!</v>
      </c>
      <c r="BM167" s="1993" t="e">
        <f>#REF!</f>
        <v>#REF!</v>
      </c>
      <c r="BN167" s="2003">
        <f t="shared" si="339"/>
        <v>0</v>
      </c>
      <c r="BO167" s="1989" t="e">
        <f>#REF!/10^7</f>
        <v>#REF!</v>
      </c>
      <c r="BP167" s="2003">
        <f t="shared" si="340"/>
        <v>0</v>
      </c>
      <c r="BQ167" s="1989" t="e">
        <f>#REF!/10^7</f>
        <v>#REF!</v>
      </c>
      <c r="BR167" s="2003">
        <f t="shared" si="341"/>
        <v>0</v>
      </c>
      <c r="BS167" s="1989" t="e">
        <f>#REF!/10^7</f>
        <v>#REF!</v>
      </c>
      <c r="BT167" s="1989" t="e">
        <f>#REF!/10^7</f>
        <v>#REF!</v>
      </c>
      <c r="BU167" s="2002" t="e">
        <f t="shared" si="342"/>
        <v>#REF!</v>
      </c>
      <c r="BV167" s="1999" t="e">
        <f t="shared" si="409"/>
        <v>#REF!</v>
      </c>
      <c r="BW167" s="1993" t="e">
        <f>#REF!</f>
        <v>#REF!</v>
      </c>
      <c r="BX167" s="2003">
        <f t="shared" si="343"/>
        <v>0</v>
      </c>
      <c r="BY167" s="1989" t="e">
        <f>#REF!/10^7</f>
        <v>#REF!</v>
      </c>
      <c r="BZ167" s="2003">
        <f t="shared" si="344"/>
        <v>0</v>
      </c>
      <c r="CA167" s="1989" t="e">
        <f>#REF!/10^7</f>
        <v>#REF!</v>
      </c>
      <c r="CB167" s="2003">
        <f t="shared" si="345"/>
        <v>0</v>
      </c>
      <c r="CC167" s="1989" t="e">
        <f>#REF!/10^7</f>
        <v>#REF!</v>
      </c>
      <c r="CD167" s="1989" t="e">
        <f>#REF!/10^7</f>
        <v>#REF!</v>
      </c>
      <c r="CE167" s="2002" t="e">
        <f t="shared" si="346"/>
        <v>#REF!</v>
      </c>
      <c r="CF167" s="1999" t="e">
        <f t="shared" si="410"/>
        <v>#REF!</v>
      </c>
      <c r="CG167" s="1993" t="e">
        <f>#REF!</f>
        <v>#REF!</v>
      </c>
      <c r="CH167" s="2003">
        <f t="shared" si="347"/>
        <v>0</v>
      </c>
      <c r="CI167" s="1989" t="e">
        <f>#REF!/10^7</f>
        <v>#REF!</v>
      </c>
      <c r="CJ167" s="2003">
        <f t="shared" si="348"/>
        <v>0</v>
      </c>
      <c r="CK167" s="1989" t="e">
        <f>#REF!/10^7</f>
        <v>#REF!</v>
      </c>
      <c r="CL167" s="2003">
        <f t="shared" si="349"/>
        <v>0</v>
      </c>
      <c r="CM167" s="1989" t="e">
        <f>#REF!/10^7</f>
        <v>#REF!</v>
      </c>
      <c r="CN167" s="1989" t="e">
        <f>#REF!/10^7</f>
        <v>#REF!</v>
      </c>
      <c r="CO167" s="2002" t="e">
        <f t="shared" si="350"/>
        <v>#REF!</v>
      </c>
      <c r="CP167" s="1999" t="e">
        <f t="shared" si="411"/>
        <v>#REF!</v>
      </c>
      <c r="CQ167" s="1993" t="e">
        <f>#REF!</f>
        <v>#REF!</v>
      </c>
      <c r="CR167" s="2003">
        <f t="shared" si="351"/>
        <v>0</v>
      </c>
      <c r="CS167" s="1989" t="e">
        <f>#REF!/10^7</f>
        <v>#REF!</v>
      </c>
      <c r="CT167" s="2003">
        <f t="shared" si="352"/>
        <v>0</v>
      </c>
      <c r="CU167" s="1989" t="e">
        <f>#REF!/10^7</f>
        <v>#REF!</v>
      </c>
      <c r="CV167" s="2003">
        <f t="shared" si="353"/>
        <v>0</v>
      </c>
      <c r="CW167" s="1989" t="e">
        <f>#REF!/10^7</f>
        <v>#REF!</v>
      </c>
      <c r="CX167" s="1989" t="e">
        <f>#REF!/10^7</f>
        <v>#REF!</v>
      </c>
      <c r="CY167" s="2002" t="e">
        <f t="shared" si="354"/>
        <v>#REF!</v>
      </c>
      <c r="CZ167" s="1999" t="e">
        <f t="shared" si="412"/>
        <v>#REF!</v>
      </c>
      <c r="DA167" s="1993" t="e">
        <f>#REF!</f>
        <v>#REF!</v>
      </c>
      <c r="DB167" s="2003">
        <f t="shared" si="355"/>
        <v>0</v>
      </c>
      <c r="DC167" s="1989" t="e">
        <f>#REF!/10^7</f>
        <v>#REF!</v>
      </c>
      <c r="DD167" s="2003">
        <f t="shared" si="356"/>
        <v>0</v>
      </c>
      <c r="DE167" s="1989" t="e">
        <f>#REF!/10^7</f>
        <v>#REF!</v>
      </c>
      <c r="DF167" s="2003">
        <f t="shared" si="357"/>
        <v>0</v>
      </c>
      <c r="DG167" s="1989" t="e">
        <f>#REF!/10^7</f>
        <v>#REF!</v>
      </c>
      <c r="DH167" s="1989" t="e">
        <f>#REF!/10^7</f>
        <v>#REF!</v>
      </c>
      <c r="DI167" s="2002" t="e">
        <f t="shared" si="358"/>
        <v>#REF!</v>
      </c>
      <c r="DJ167" s="1999" t="e">
        <f t="shared" si="413"/>
        <v>#REF!</v>
      </c>
      <c r="DK167" s="1993" t="e">
        <f>#REF!</f>
        <v>#REF!</v>
      </c>
      <c r="DL167" s="2003">
        <f t="shared" si="359"/>
        <v>0</v>
      </c>
      <c r="DM167" s="1989" t="e">
        <f>#REF!/10^7</f>
        <v>#REF!</v>
      </c>
      <c r="DN167" s="2003">
        <f t="shared" si="360"/>
        <v>0</v>
      </c>
      <c r="DO167" s="1989" t="e">
        <f>#REF!/10^7</f>
        <v>#REF!</v>
      </c>
      <c r="DP167" s="2003">
        <f t="shared" si="361"/>
        <v>0</v>
      </c>
      <c r="DQ167" s="1989" t="e">
        <f>#REF!/10^7</f>
        <v>#REF!</v>
      </c>
      <c r="DR167" s="1989" t="e">
        <f>#REF!/10^7</f>
        <v>#REF!</v>
      </c>
      <c r="DS167" s="2002" t="e">
        <f t="shared" si="362"/>
        <v>#REF!</v>
      </c>
      <c r="DT167" s="2004" t="e">
        <f t="shared" si="414"/>
        <v>#REF!</v>
      </c>
      <c r="DU167" s="1988" t="e">
        <f>#REF!</f>
        <v>#REF!</v>
      </c>
      <c r="DV167" s="2003">
        <f t="shared" si="364"/>
        <v>0</v>
      </c>
      <c r="DW167" s="1989" t="e">
        <f>#REF!/10^7</f>
        <v>#REF!</v>
      </c>
      <c r="DX167" s="2003">
        <f t="shared" si="365"/>
        <v>0</v>
      </c>
      <c r="DY167" s="1989" t="e">
        <f>#REF!/10^7</f>
        <v>#REF!</v>
      </c>
      <c r="DZ167" s="2003">
        <f t="shared" si="366"/>
        <v>0</v>
      </c>
      <c r="EA167" s="1989" t="e">
        <f>#REF!/10^7</f>
        <v>#REF!</v>
      </c>
      <c r="EB167" s="1989" t="e">
        <f>#REF!/10^7</f>
        <v>#REF!</v>
      </c>
      <c r="EC167" s="2002" t="e">
        <f t="shared" si="367"/>
        <v>#REF!</v>
      </c>
      <c r="ED167" s="1998" t="e">
        <f t="shared" si="415"/>
        <v>#REF!</v>
      </c>
      <c r="EE167" s="2005" t="e">
        <f t="shared" si="419"/>
        <v>#REF!</v>
      </c>
      <c r="EF167" s="2003">
        <f t="shared" si="368"/>
        <v>0</v>
      </c>
      <c r="EG167" s="1989" t="e">
        <f t="shared" si="416"/>
        <v>#REF!</v>
      </c>
      <c r="EH167" s="2003">
        <f t="shared" si="369"/>
        <v>0</v>
      </c>
      <c r="EI167" s="1989" t="e">
        <f t="shared" si="417"/>
        <v>#REF!</v>
      </c>
      <c r="EJ167" s="2003">
        <f t="shared" si="370"/>
        <v>0</v>
      </c>
      <c r="EK167" s="1989" t="e">
        <f t="shared" si="418"/>
        <v>#REF!</v>
      </c>
      <c r="EL167" s="1989" t="e">
        <f t="shared" si="418"/>
        <v>#REF!</v>
      </c>
      <c r="EM167" s="2006" t="e">
        <f t="shared" si="371"/>
        <v>#REF!</v>
      </c>
      <c r="EN167" s="1999" t="e">
        <f t="shared" si="420"/>
        <v>#REF!</v>
      </c>
      <c r="EO167" s="1676"/>
      <c r="EP167" s="1613" t="e">
        <f>EA167-#REF!/10^7</f>
        <v>#REF!</v>
      </c>
      <c r="EQ167" s="1678"/>
      <c r="EW167" s="1611" t="s">
        <v>1649</v>
      </c>
      <c r="EX167" s="1612" t="s">
        <v>1649</v>
      </c>
      <c r="EZ167" s="1650">
        <f t="shared" si="372"/>
        <v>0</v>
      </c>
    </row>
    <row r="168" spans="1:156" s="1677" customFormat="1" ht="21" customHeight="1">
      <c r="A168" s="1652">
        <v>13</v>
      </c>
      <c r="B168" s="1644" t="s">
        <v>1775</v>
      </c>
      <c r="C168" s="1645">
        <v>1540</v>
      </c>
      <c r="D168" s="1646">
        <f t="shared" si="403"/>
        <v>22.727272727272727</v>
      </c>
      <c r="E168" s="1646">
        <v>74.05</v>
      </c>
      <c r="F168" s="1689" t="s">
        <v>1594</v>
      </c>
      <c r="G168" s="1648"/>
      <c r="H168" s="1648">
        <v>350</v>
      </c>
      <c r="I168" s="1648" t="s">
        <v>1649</v>
      </c>
      <c r="J168" s="1649">
        <v>1</v>
      </c>
      <c r="K168" s="1648"/>
      <c r="L168" s="1648"/>
      <c r="M168" s="1648"/>
      <c r="N168" s="1642"/>
      <c r="O168" s="2000" t="e">
        <f>#REF!</f>
        <v>#REF!</v>
      </c>
      <c r="P168" s="2003">
        <f t="shared" si="317"/>
        <v>0</v>
      </c>
      <c r="Q168" s="1989" t="e">
        <f>#REF!/10^7</f>
        <v>#REF!</v>
      </c>
      <c r="R168" s="2003">
        <f t="shared" si="318"/>
        <v>0</v>
      </c>
      <c r="S168" s="1989" t="e">
        <f>#REF!/10^7</f>
        <v>#REF!</v>
      </c>
      <c r="T168" s="2003">
        <f t="shared" si="319"/>
        <v>0</v>
      </c>
      <c r="U168" s="1989" t="e">
        <f>#REF!/10^7</f>
        <v>#REF!</v>
      </c>
      <c r="V168" s="1989" t="e">
        <f>#REF!/10^7</f>
        <v>#REF!</v>
      </c>
      <c r="W168" s="1989">
        <f t="shared" si="320"/>
        <v>0</v>
      </c>
      <c r="X168" s="1999" t="e">
        <f t="shared" si="404"/>
        <v>#REF!</v>
      </c>
      <c r="Y168" s="1993" t="e">
        <f>#REF!</f>
        <v>#REF!</v>
      </c>
      <c r="Z168" s="2003">
        <f t="shared" si="321"/>
        <v>0</v>
      </c>
      <c r="AA168" s="1989" t="e">
        <f>#REF!/10^7</f>
        <v>#REF!</v>
      </c>
      <c r="AB168" s="2003">
        <f t="shared" si="322"/>
        <v>0</v>
      </c>
      <c r="AC168" s="1989" t="e">
        <f>#REF!/10^7</f>
        <v>#REF!</v>
      </c>
      <c r="AD168" s="2003">
        <f t="shared" si="323"/>
        <v>0</v>
      </c>
      <c r="AE168" s="1989" t="e">
        <f>#REF!/10^7</f>
        <v>#REF!</v>
      </c>
      <c r="AF168" s="1989" t="e">
        <f>#REF!/10^7</f>
        <v>#REF!</v>
      </c>
      <c r="AG168" s="2002" t="e">
        <f t="shared" si="324"/>
        <v>#REF!</v>
      </c>
      <c r="AH168" s="1999" t="e">
        <f t="shared" si="405"/>
        <v>#REF!</v>
      </c>
      <c r="AI168" s="1993" t="e">
        <f>#REF!</f>
        <v>#REF!</v>
      </c>
      <c r="AJ168" s="2003">
        <f t="shared" si="326"/>
        <v>0</v>
      </c>
      <c r="AK168" s="1989" t="e">
        <f>#REF!/10^7</f>
        <v>#REF!</v>
      </c>
      <c r="AL168" s="2003">
        <f t="shared" si="327"/>
        <v>0</v>
      </c>
      <c r="AM168" s="1989" t="e">
        <f>#REF!/10^7</f>
        <v>#REF!</v>
      </c>
      <c r="AN168" s="2003">
        <f t="shared" si="328"/>
        <v>0</v>
      </c>
      <c r="AO168" s="1989" t="e">
        <f>#REF!/10^7</f>
        <v>#REF!</v>
      </c>
      <c r="AP168" s="1989" t="e">
        <f>#REF!/10^7</f>
        <v>#REF!</v>
      </c>
      <c r="AQ168" s="2002" t="e">
        <f t="shared" si="329"/>
        <v>#REF!</v>
      </c>
      <c r="AR168" s="1999" t="e">
        <f t="shared" si="406"/>
        <v>#REF!</v>
      </c>
      <c r="AS168" s="1993" t="e">
        <f>#REF!</f>
        <v>#REF!</v>
      </c>
      <c r="AT168" s="2003">
        <f t="shared" si="331"/>
        <v>0</v>
      </c>
      <c r="AU168" s="1989" t="e">
        <f>#REF!/10^7</f>
        <v>#REF!</v>
      </c>
      <c r="AV168" s="2003">
        <f t="shared" si="332"/>
        <v>0</v>
      </c>
      <c r="AW168" s="1989" t="e">
        <f>#REF!/10^7</f>
        <v>#REF!</v>
      </c>
      <c r="AX168" s="2003">
        <f t="shared" si="333"/>
        <v>0</v>
      </c>
      <c r="AY168" s="1989" t="e">
        <f>#REF!/10^7</f>
        <v>#REF!</v>
      </c>
      <c r="AZ168" s="1989" t="e">
        <f>#REF!/10^7</f>
        <v>#REF!</v>
      </c>
      <c r="BA168" s="2002" t="e">
        <f t="shared" si="334"/>
        <v>#REF!</v>
      </c>
      <c r="BB168" s="1999" t="e">
        <f t="shared" si="407"/>
        <v>#REF!</v>
      </c>
      <c r="BC168" s="1993" t="e">
        <f>#REF!</f>
        <v>#REF!</v>
      </c>
      <c r="BD168" s="2003">
        <f t="shared" si="335"/>
        <v>0</v>
      </c>
      <c r="BE168" s="1989" t="e">
        <f>#REF!/10^7</f>
        <v>#REF!</v>
      </c>
      <c r="BF168" s="2003">
        <f t="shared" si="336"/>
        <v>0</v>
      </c>
      <c r="BG168" s="1989" t="e">
        <f>#REF!/10^7</f>
        <v>#REF!</v>
      </c>
      <c r="BH168" s="2003">
        <f t="shared" si="337"/>
        <v>0</v>
      </c>
      <c r="BI168" s="1989" t="e">
        <f>#REF!/10^7</f>
        <v>#REF!</v>
      </c>
      <c r="BJ168" s="1989" t="e">
        <f>#REF!/10^7</f>
        <v>#REF!</v>
      </c>
      <c r="BK168" s="2002" t="e">
        <f t="shared" si="338"/>
        <v>#REF!</v>
      </c>
      <c r="BL168" s="1999" t="e">
        <f t="shared" si="408"/>
        <v>#REF!</v>
      </c>
      <c r="BM168" s="1993" t="e">
        <f>#REF!</f>
        <v>#REF!</v>
      </c>
      <c r="BN168" s="2003">
        <f t="shared" si="339"/>
        <v>0</v>
      </c>
      <c r="BO168" s="1989" t="e">
        <f>#REF!/10^7</f>
        <v>#REF!</v>
      </c>
      <c r="BP168" s="2003">
        <f t="shared" si="340"/>
        <v>0</v>
      </c>
      <c r="BQ168" s="1989" t="e">
        <f>#REF!/10^7</f>
        <v>#REF!</v>
      </c>
      <c r="BR168" s="2003">
        <f t="shared" si="341"/>
        <v>0</v>
      </c>
      <c r="BS168" s="1989" t="e">
        <f>#REF!/10^7</f>
        <v>#REF!</v>
      </c>
      <c r="BT168" s="1989" t="e">
        <f>#REF!/10^7</f>
        <v>#REF!</v>
      </c>
      <c r="BU168" s="2002" t="e">
        <f t="shared" si="342"/>
        <v>#REF!</v>
      </c>
      <c r="BV168" s="1999" t="e">
        <f t="shared" si="409"/>
        <v>#REF!</v>
      </c>
      <c r="BW168" s="1993" t="e">
        <f>#REF!</f>
        <v>#REF!</v>
      </c>
      <c r="BX168" s="2003">
        <f t="shared" si="343"/>
        <v>0</v>
      </c>
      <c r="BY168" s="1989" t="e">
        <f>#REF!/10^7</f>
        <v>#REF!</v>
      </c>
      <c r="BZ168" s="2003">
        <f t="shared" si="344"/>
        <v>0</v>
      </c>
      <c r="CA168" s="1989" t="e">
        <f>#REF!/10^7</f>
        <v>#REF!</v>
      </c>
      <c r="CB168" s="2003">
        <f t="shared" si="345"/>
        <v>0</v>
      </c>
      <c r="CC168" s="1989" t="e">
        <f>#REF!/10^7</f>
        <v>#REF!</v>
      </c>
      <c r="CD168" s="1989" t="e">
        <f>#REF!/10^7</f>
        <v>#REF!</v>
      </c>
      <c r="CE168" s="2002" t="e">
        <f t="shared" si="346"/>
        <v>#REF!</v>
      </c>
      <c r="CF168" s="1999" t="e">
        <f t="shared" si="410"/>
        <v>#REF!</v>
      </c>
      <c r="CG168" s="1993" t="e">
        <f>#REF!</f>
        <v>#REF!</v>
      </c>
      <c r="CH168" s="2003">
        <f t="shared" si="347"/>
        <v>0</v>
      </c>
      <c r="CI168" s="1989" t="e">
        <f>#REF!/10^7</f>
        <v>#REF!</v>
      </c>
      <c r="CJ168" s="2003">
        <f t="shared" si="348"/>
        <v>0</v>
      </c>
      <c r="CK168" s="1989" t="e">
        <f>#REF!/10^7</f>
        <v>#REF!</v>
      </c>
      <c r="CL168" s="2003">
        <f t="shared" si="349"/>
        <v>0</v>
      </c>
      <c r="CM168" s="1989" t="e">
        <f>#REF!/10^7</f>
        <v>#REF!</v>
      </c>
      <c r="CN168" s="1989" t="e">
        <f>#REF!/10^7</f>
        <v>#REF!</v>
      </c>
      <c r="CO168" s="2002" t="e">
        <f t="shared" si="350"/>
        <v>#REF!</v>
      </c>
      <c r="CP168" s="1999" t="e">
        <f t="shared" si="411"/>
        <v>#REF!</v>
      </c>
      <c r="CQ168" s="1993" t="e">
        <f>#REF!</f>
        <v>#REF!</v>
      </c>
      <c r="CR168" s="2003">
        <f t="shared" si="351"/>
        <v>0</v>
      </c>
      <c r="CS168" s="1989" t="e">
        <f>#REF!/10^7</f>
        <v>#REF!</v>
      </c>
      <c r="CT168" s="2003">
        <f t="shared" si="352"/>
        <v>0</v>
      </c>
      <c r="CU168" s="1989" t="e">
        <f>#REF!/10^7</f>
        <v>#REF!</v>
      </c>
      <c r="CV168" s="2003">
        <f t="shared" si="353"/>
        <v>0</v>
      </c>
      <c r="CW168" s="1989" t="e">
        <f>#REF!/10^7</f>
        <v>#REF!</v>
      </c>
      <c r="CX168" s="1989" t="e">
        <f>#REF!/10^7</f>
        <v>#REF!</v>
      </c>
      <c r="CY168" s="2002" t="e">
        <f t="shared" si="354"/>
        <v>#REF!</v>
      </c>
      <c r="CZ168" s="1999" t="e">
        <f t="shared" si="412"/>
        <v>#REF!</v>
      </c>
      <c r="DA168" s="1993" t="e">
        <f>#REF!</f>
        <v>#REF!</v>
      </c>
      <c r="DB168" s="2003">
        <f t="shared" si="355"/>
        <v>0</v>
      </c>
      <c r="DC168" s="1989" t="e">
        <f>#REF!/10^7</f>
        <v>#REF!</v>
      </c>
      <c r="DD168" s="2003">
        <f t="shared" si="356"/>
        <v>0</v>
      </c>
      <c r="DE168" s="1989" t="e">
        <f>#REF!/10^7</f>
        <v>#REF!</v>
      </c>
      <c r="DF168" s="2003">
        <f t="shared" si="357"/>
        <v>0</v>
      </c>
      <c r="DG168" s="1989" t="e">
        <f>#REF!/10^7</f>
        <v>#REF!</v>
      </c>
      <c r="DH168" s="1989" t="e">
        <f>#REF!/10^7</f>
        <v>#REF!</v>
      </c>
      <c r="DI168" s="2002" t="e">
        <f t="shared" si="358"/>
        <v>#REF!</v>
      </c>
      <c r="DJ168" s="1999" t="e">
        <f t="shared" si="413"/>
        <v>#REF!</v>
      </c>
      <c r="DK168" s="1993" t="e">
        <f>#REF!</f>
        <v>#REF!</v>
      </c>
      <c r="DL168" s="2003">
        <f t="shared" si="359"/>
        <v>0</v>
      </c>
      <c r="DM168" s="1989" t="e">
        <f>#REF!/10^7</f>
        <v>#REF!</v>
      </c>
      <c r="DN168" s="2003">
        <f t="shared" si="360"/>
        <v>0</v>
      </c>
      <c r="DO168" s="1989" t="e">
        <f>#REF!/10^7</f>
        <v>#REF!</v>
      </c>
      <c r="DP168" s="2003">
        <f t="shared" si="361"/>
        <v>0</v>
      </c>
      <c r="DQ168" s="1989" t="e">
        <f>#REF!/10^7</f>
        <v>#REF!</v>
      </c>
      <c r="DR168" s="1989" t="e">
        <f>#REF!/10^7</f>
        <v>#REF!</v>
      </c>
      <c r="DS168" s="2002" t="e">
        <f t="shared" si="362"/>
        <v>#REF!</v>
      </c>
      <c r="DT168" s="2004" t="e">
        <f t="shared" si="414"/>
        <v>#REF!</v>
      </c>
      <c r="DU168" s="1988" t="e">
        <f>#REF!</f>
        <v>#REF!</v>
      </c>
      <c r="DV168" s="2003">
        <f t="shared" si="364"/>
        <v>0</v>
      </c>
      <c r="DW168" s="1989" t="e">
        <f>#REF!/10^7</f>
        <v>#REF!</v>
      </c>
      <c r="DX168" s="2003">
        <f t="shared" si="365"/>
        <v>0</v>
      </c>
      <c r="DY168" s="1989" t="e">
        <f>#REF!/10^7</f>
        <v>#REF!</v>
      </c>
      <c r="DZ168" s="2003">
        <f t="shared" si="366"/>
        <v>0</v>
      </c>
      <c r="EA168" s="1989" t="e">
        <f>#REF!/10^7</f>
        <v>#REF!</v>
      </c>
      <c r="EB168" s="1989" t="e">
        <f>#REF!/10^7</f>
        <v>#REF!</v>
      </c>
      <c r="EC168" s="2002" t="e">
        <f t="shared" si="367"/>
        <v>#REF!</v>
      </c>
      <c r="ED168" s="1998" t="e">
        <f t="shared" si="415"/>
        <v>#REF!</v>
      </c>
      <c r="EE168" s="2005" t="e">
        <f t="shared" si="419"/>
        <v>#REF!</v>
      </c>
      <c r="EF168" s="2003">
        <f t="shared" si="368"/>
        <v>0</v>
      </c>
      <c r="EG168" s="1989" t="e">
        <f t="shared" si="416"/>
        <v>#REF!</v>
      </c>
      <c r="EH168" s="2003">
        <f t="shared" si="369"/>
        <v>0</v>
      </c>
      <c r="EI168" s="1989" t="e">
        <f t="shared" si="417"/>
        <v>#REF!</v>
      </c>
      <c r="EJ168" s="2003">
        <f t="shared" si="370"/>
        <v>0</v>
      </c>
      <c r="EK168" s="1989" t="e">
        <f t="shared" si="418"/>
        <v>#REF!</v>
      </c>
      <c r="EL168" s="1989" t="e">
        <f t="shared" si="418"/>
        <v>#REF!</v>
      </c>
      <c r="EM168" s="2006" t="e">
        <f t="shared" si="371"/>
        <v>#REF!</v>
      </c>
      <c r="EN168" s="1999" t="e">
        <f t="shared" si="420"/>
        <v>#REF!</v>
      </c>
      <c r="EO168" s="1676"/>
      <c r="EP168" s="1613" t="e">
        <f>EA168-#REF!/10^7</f>
        <v>#REF!</v>
      </c>
      <c r="EQ168" s="1678"/>
      <c r="EW168" s="1611" t="s">
        <v>1649</v>
      </c>
      <c r="EX168" s="1612" t="s">
        <v>1649</v>
      </c>
      <c r="EZ168" s="1650">
        <f t="shared" si="372"/>
        <v>0</v>
      </c>
    </row>
    <row r="169" spans="1:156" s="1696" customFormat="1" ht="21" customHeight="1">
      <c r="A169" s="1652">
        <v>14</v>
      </c>
      <c r="B169" s="1644" t="s">
        <v>1776</v>
      </c>
      <c r="C169" s="1690">
        <v>1200</v>
      </c>
      <c r="D169" s="1691">
        <f t="shared" si="403"/>
        <v>100</v>
      </c>
      <c r="E169" s="1691">
        <v>97.564999999999998</v>
      </c>
      <c r="F169" s="1692">
        <v>8.5</v>
      </c>
      <c r="G169" s="1693"/>
      <c r="H169" s="1693">
        <v>1200</v>
      </c>
      <c r="I169" s="1648" t="s">
        <v>1649</v>
      </c>
      <c r="J169" s="1649">
        <v>2</v>
      </c>
      <c r="K169" s="1693"/>
      <c r="L169" s="1693"/>
      <c r="M169" s="1693"/>
      <c r="N169" s="1694"/>
      <c r="O169" s="2000" t="e">
        <f>#REF!</f>
        <v>#REF!</v>
      </c>
      <c r="P169" s="2003">
        <f t="shared" si="317"/>
        <v>0</v>
      </c>
      <c r="Q169" s="1989" t="e">
        <f>#REF!/10^7</f>
        <v>#REF!</v>
      </c>
      <c r="R169" s="2003">
        <f t="shared" si="318"/>
        <v>0</v>
      </c>
      <c r="S169" s="1989" t="e">
        <f>#REF!/10^7</f>
        <v>#REF!</v>
      </c>
      <c r="T169" s="2003">
        <f t="shared" si="319"/>
        <v>0</v>
      </c>
      <c r="U169" s="1989" t="e">
        <f>#REF!/10^7</f>
        <v>#REF!</v>
      </c>
      <c r="V169" s="1989" t="e">
        <f>#REF!/10^7</f>
        <v>#REF!</v>
      </c>
      <c r="W169" s="1989">
        <f t="shared" si="320"/>
        <v>0</v>
      </c>
      <c r="X169" s="1999" t="e">
        <f t="shared" si="404"/>
        <v>#REF!</v>
      </c>
      <c r="Y169" s="1993" t="e">
        <f>#REF!</f>
        <v>#REF!</v>
      </c>
      <c r="Z169" s="2003">
        <f t="shared" si="321"/>
        <v>0</v>
      </c>
      <c r="AA169" s="1989" t="e">
        <f>#REF!/10^7</f>
        <v>#REF!</v>
      </c>
      <c r="AB169" s="2003">
        <f t="shared" si="322"/>
        <v>0</v>
      </c>
      <c r="AC169" s="1989" t="e">
        <f>#REF!/10^7</f>
        <v>#REF!</v>
      </c>
      <c r="AD169" s="2003">
        <f t="shared" si="323"/>
        <v>0</v>
      </c>
      <c r="AE169" s="1989" t="e">
        <f>#REF!/10^7</f>
        <v>#REF!</v>
      </c>
      <c r="AF169" s="1989" t="e">
        <f>#REF!/10^7</f>
        <v>#REF!</v>
      </c>
      <c r="AG169" s="2002" t="e">
        <f t="shared" si="324"/>
        <v>#REF!</v>
      </c>
      <c r="AH169" s="1999" t="e">
        <f t="shared" si="405"/>
        <v>#REF!</v>
      </c>
      <c r="AI169" s="1993" t="e">
        <f>#REF!</f>
        <v>#REF!</v>
      </c>
      <c r="AJ169" s="2003">
        <f t="shared" si="326"/>
        <v>0</v>
      </c>
      <c r="AK169" s="1989" t="e">
        <f>#REF!/10^7</f>
        <v>#REF!</v>
      </c>
      <c r="AL169" s="2003">
        <f t="shared" si="327"/>
        <v>0</v>
      </c>
      <c r="AM169" s="1989" t="e">
        <f>#REF!/10^7</f>
        <v>#REF!</v>
      </c>
      <c r="AN169" s="2003">
        <f t="shared" si="328"/>
        <v>0</v>
      </c>
      <c r="AO169" s="1989" t="e">
        <f>#REF!/10^7</f>
        <v>#REF!</v>
      </c>
      <c r="AP169" s="1989" t="e">
        <f>#REF!/10^7</f>
        <v>#REF!</v>
      </c>
      <c r="AQ169" s="2002" t="e">
        <f t="shared" si="329"/>
        <v>#REF!</v>
      </c>
      <c r="AR169" s="1999" t="e">
        <f t="shared" si="406"/>
        <v>#REF!</v>
      </c>
      <c r="AS169" s="1993" t="e">
        <f>#REF!</f>
        <v>#REF!</v>
      </c>
      <c r="AT169" s="2003">
        <f t="shared" si="331"/>
        <v>0</v>
      </c>
      <c r="AU169" s="1989" t="e">
        <f>#REF!/10^7</f>
        <v>#REF!</v>
      </c>
      <c r="AV169" s="2003">
        <f t="shared" si="332"/>
        <v>0</v>
      </c>
      <c r="AW169" s="1989" t="e">
        <f>#REF!/10^7</f>
        <v>#REF!</v>
      </c>
      <c r="AX169" s="2003">
        <f t="shared" si="333"/>
        <v>0</v>
      </c>
      <c r="AY169" s="1989" t="e">
        <f>#REF!/10^7</f>
        <v>#REF!</v>
      </c>
      <c r="AZ169" s="1989" t="e">
        <f>#REF!/10^7</f>
        <v>#REF!</v>
      </c>
      <c r="BA169" s="2002" t="e">
        <f t="shared" si="334"/>
        <v>#REF!</v>
      </c>
      <c r="BB169" s="1999" t="e">
        <f t="shared" si="407"/>
        <v>#REF!</v>
      </c>
      <c r="BC169" s="1993" t="e">
        <f>#REF!</f>
        <v>#REF!</v>
      </c>
      <c r="BD169" s="2003">
        <f t="shared" si="335"/>
        <v>0</v>
      </c>
      <c r="BE169" s="1989" t="e">
        <f>#REF!/10^7</f>
        <v>#REF!</v>
      </c>
      <c r="BF169" s="2003">
        <f t="shared" si="336"/>
        <v>0</v>
      </c>
      <c r="BG169" s="1989" t="e">
        <f>#REF!/10^7</f>
        <v>#REF!</v>
      </c>
      <c r="BH169" s="2003">
        <f t="shared" si="337"/>
        <v>0</v>
      </c>
      <c r="BI169" s="1989" t="e">
        <f>#REF!/10^7</f>
        <v>#REF!</v>
      </c>
      <c r="BJ169" s="1989" t="e">
        <f>#REF!/10^7</f>
        <v>#REF!</v>
      </c>
      <c r="BK169" s="2002" t="e">
        <f t="shared" si="338"/>
        <v>#REF!</v>
      </c>
      <c r="BL169" s="1999" t="e">
        <f t="shared" si="408"/>
        <v>#REF!</v>
      </c>
      <c r="BM169" s="1993" t="e">
        <f>#REF!</f>
        <v>#REF!</v>
      </c>
      <c r="BN169" s="2003">
        <f t="shared" si="339"/>
        <v>0</v>
      </c>
      <c r="BO169" s="1989" t="e">
        <f>#REF!/10^7</f>
        <v>#REF!</v>
      </c>
      <c r="BP169" s="2003">
        <f t="shared" si="340"/>
        <v>0</v>
      </c>
      <c r="BQ169" s="1989" t="e">
        <f>#REF!/10^7</f>
        <v>#REF!</v>
      </c>
      <c r="BR169" s="2003">
        <f t="shared" si="341"/>
        <v>0</v>
      </c>
      <c r="BS169" s="1989" t="e">
        <f>#REF!/10^7</f>
        <v>#REF!</v>
      </c>
      <c r="BT169" s="1989" t="e">
        <f>#REF!/10^7</f>
        <v>#REF!</v>
      </c>
      <c r="BU169" s="2002" t="e">
        <f t="shared" si="342"/>
        <v>#REF!</v>
      </c>
      <c r="BV169" s="1999" t="e">
        <f t="shared" si="409"/>
        <v>#REF!</v>
      </c>
      <c r="BW169" s="1993" t="e">
        <f>#REF!</f>
        <v>#REF!</v>
      </c>
      <c r="BX169" s="2003">
        <f t="shared" si="343"/>
        <v>0</v>
      </c>
      <c r="BY169" s="1989" t="e">
        <f>#REF!/10^7</f>
        <v>#REF!</v>
      </c>
      <c r="BZ169" s="2003">
        <f t="shared" si="344"/>
        <v>0</v>
      </c>
      <c r="CA169" s="1989" t="e">
        <f>#REF!/10^7</f>
        <v>#REF!</v>
      </c>
      <c r="CB169" s="2003">
        <f t="shared" si="345"/>
        <v>0</v>
      </c>
      <c r="CC169" s="1989" t="e">
        <f>#REF!/10^7</f>
        <v>#REF!</v>
      </c>
      <c r="CD169" s="1989" t="e">
        <f>#REF!/10^7</f>
        <v>#REF!</v>
      </c>
      <c r="CE169" s="2002" t="e">
        <f t="shared" si="346"/>
        <v>#REF!</v>
      </c>
      <c r="CF169" s="1999" t="e">
        <f t="shared" si="410"/>
        <v>#REF!</v>
      </c>
      <c r="CG169" s="1993" t="e">
        <f>#REF!</f>
        <v>#REF!</v>
      </c>
      <c r="CH169" s="2003">
        <f t="shared" si="347"/>
        <v>0</v>
      </c>
      <c r="CI169" s="1989" t="e">
        <f>#REF!/10^7</f>
        <v>#REF!</v>
      </c>
      <c r="CJ169" s="2003">
        <f t="shared" si="348"/>
        <v>0</v>
      </c>
      <c r="CK169" s="1989" t="e">
        <f>#REF!/10^7</f>
        <v>#REF!</v>
      </c>
      <c r="CL169" s="2003">
        <f t="shared" si="349"/>
        <v>0</v>
      </c>
      <c r="CM169" s="1989" t="e">
        <f>#REF!/10^7</f>
        <v>#REF!</v>
      </c>
      <c r="CN169" s="1989" t="e">
        <f>#REF!/10^7</f>
        <v>#REF!</v>
      </c>
      <c r="CO169" s="2002" t="e">
        <f t="shared" si="350"/>
        <v>#REF!</v>
      </c>
      <c r="CP169" s="1999" t="e">
        <f t="shared" si="411"/>
        <v>#REF!</v>
      </c>
      <c r="CQ169" s="1993" t="e">
        <f>#REF!</f>
        <v>#REF!</v>
      </c>
      <c r="CR169" s="2003">
        <f t="shared" si="351"/>
        <v>0</v>
      </c>
      <c r="CS169" s="1989" t="e">
        <f>#REF!/10^7</f>
        <v>#REF!</v>
      </c>
      <c r="CT169" s="2003">
        <f t="shared" si="352"/>
        <v>0</v>
      </c>
      <c r="CU169" s="1989" t="e">
        <f>#REF!/10^7</f>
        <v>#REF!</v>
      </c>
      <c r="CV169" s="2003">
        <f t="shared" si="353"/>
        <v>0</v>
      </c>
      <c r="CW169" s="1989" t="e">
        <f>#REF!/10^7</f>
        <v>#REF!</v>
      </c>
      <c r="CX169" s="1989" t="e">
        <f>#REF!/10^7</f>
        <v>#REF!</v>
      </c>
      <c r="CY169" s="2002" t="e">
        <f t="shared" si="354"/>
        <v>#REF!</v>
      </c>
      <c r="CZ169" s="1999" t="e">
        <f t="shared" si="412"/>
        <v>#REF!</v>
      </c>
      <c r="DA169" s="1993" t="e">
        <f>#REF!</f>
        <v>#REF!</v>
      </c>
      <c r="DB169" s="2003">
        <f t="shared" si="355"/>
        <v>0</v>
      </c>
      <c r="DC169" s="1989" t="e">
        <f>#REF!/10^7</f>
        <v>#REF!</v>
      </c>
      <c r="DD169" s="2003">
        <f t="shared" si="356"/>
        <v>0</v>
      </c>
      <c r="DE169" s="1989" t="e">
        <f>#REF!/10^7</f>
        <v>#REF!</v>
      </c>
      <c r="DF169" s="2003">
        <f t="shared" si="357"/>
        <v>0</v>
      </c>
      <c r="DG169" s="1989" t="e">
        <f>#REF!/10^7</f>
        <v>#REF!</v>
      </c>
      <c r="DH169" s="1989" t="e">
        <f>#REF!/10^7</f>
        <v>#REF!</v>
      </c>
      <c r="DI169" s="2002" t="e">
        <f t="shared" si="358"/>
        <v>#REF!</v>
      </c>
      <c r="DJ169" s="1999" t="e">
        <f t="shared" si="413"/>
        <v>#REF!</v>
      </c>
      <c r="DK169" s="1993" t="e">
        <f>#REF!</f>
        <v>#REF!</v>
      </c>
      <c r="DL169" s="2003">
        <f t="shared" si="359"/>
        <v>0</v>
      </c>
      <c r="DM169" s="1989" t="e">
        <f>#REF!/10^7</f>
        <v>#REF!</v>
      </c>
      <c r="DN169" s="2003">
        <f t="shared" si="360"/>
        <v>0</v>
      </c>
      <c r="DO169" s="1989" t="e">
        <f>#REF!/10^7</f>
        <v>#REF!</v>
      </c>
      <c r="DP169" s="2003">
        <f t="shared" si="361"/>
        <v>0</v>
      </c>
      <c r="DQ169" s="1989" t="e">
        <f>#REF!/10^7</f>
        <v>#REF!</v>
      </c>
      <c r="DR169" s="1989" t="e">
        <f>#REF!/10^7</f>
        <v>#REF!</v>
      </c>
      <c r="DS169" s="2002" t="e">
        <f t="shared" si="362"/>
        <v>#REF!</v>
      </c>
      <c r="DT169" s="2004" t="e">
        <f t="shared" si="414"/>
        <v>#REF!</v>
      </c>
      <c r="DU169" s="1988" t="e">
        <f>#REF!</f>
        <v>#REF!</v>
      </c>
      <c r="DV169" s="2003">
        <f t="shared" si="364"/>
        <v>0</v>
      </c>
      <c r="DW169" s="1989" t="e">
        <f>#REF!/10^7</f>
        <v>#REF!</v>
      </c>
      <c r="DX169" s="2003">
        <f t="shared" si="365"/>
        <v>0</v>
      </c>
      <c r="DY169" s="1989" t="e">
        <f>#REF!/10^7</f>
        <v>#REF!</v>
      </c>
      <c r="DZ169" s="2003">
        <f t="shared" si="366"/>
        <v>0</v>
      </c>
      <c r="EA169" s="1989" t="e">
        <f>#REF!/10^7</f>
        <v>#REF!</v>
      </c>
      <c r="EB169" s="1989" t="e">
        <f>#REF!/10^7</f>
        <v>#REF!</v>
      </c>
      <c r="EC169" s="2002" t="e">
        <f t="shared" si="367"/>
        <v>#REF!</v>
      </c>
      <c r="ED169" s="1998" t="e">
        <f t="shared" si="415"/>
        <v>#REF!</v>
      </c>
      <c r="EE169" s="2022" t="e">
        <f t="shared" si="419"/>
        <v>#REF!</v>
      </c>
      <c r="EF169" s="2003">
        <f t="shared" si="368"/>
        <v>0</v>
      </c>
      <c r="EG169" s="2023" t="e">
        <f t="shared" si="416"/>
        <v>#REF!</v>
      </c>
      <c r="EH169" s="2003">
        <f t="shared" si="369"/>
        <v>0</v>
      </c>
      <c r="EI169" s="2023" t="e">
        <f t="shared" si="417"/>
        <v>#REF!</v>
      </c>
      <c r="EJ169" s="2003">
        <f t="shared" si="370"/>
        <v>0</v>
      </c>
      <c r="EK169" s="2023" t="e">
        <f t="shared" si="418"/>
        <v>#REF!</v>
      </c>
      <c r="EL169" s="2023" t="e">
        <f t="shared" si="418"/>
        <v>#REF!</v>
      </c>
      <c r="EM169" s="2006" t="e">
        <f t="shared" si="371"/>
        <v>#REF!</v>
      </c>
      <c r="EN169" s="2024" t="e">
        <f t="shared" si="420"/>
        <v>#REF!</v>
      </c>
      <c r="EO169" s="1695"/>
      <c r="EP169" s="1613" t="e">
        <f>EA169-#REF!/10^7</f>
        <v>#REF!</v>
      </c>
      <c r="EQ169" s="1697"/>
      <c r="EW169" s="1611" t="s">
        <v>1649</v>
      </c>
      <c r="EX169" s="1612" t="s">
        <v>1649</v>
      </c>
      <c r="EZ169" s="1650">
        <f t="shared" si="372"/>
        <v>0</v>
      </c>
    </row>
    <row r="170" spans="1:156" s="1677" customFormat="1" ht="21" customHeight="1">
      <c r="A170" s="1652">
        <v>15</v>
      </c>
      <c r="B170" s="1644" t="s">
        <v>1777</v>
      </c>
      <c r="C170" s="1698">
        <v>4000</v>
      </c>
      <c r="D170" s="1646">
        <f t="shared" si="403"/>
        <v>12.375</v>
      </c>
      <c r="E170" s="1646">
        <v>93.91</v>
      </c>
      <c r="F170" s="1689" t="s">
        <v>1594</v>
      </c>
      <c r="G170" s="1648"/>
      <c r="H170" s="1648">
        <v>495</v>
      </c>
      <c r="I170" s="1648" t="s">
        <v>1649</v>
      </c>
      <c r="J170" s="1649">
        <v>1</v>
      </c>
      <c r="K170" s="1648"/>
      <c r="L170" s="1648"/>
      <c r="M170" s="1648"/>
      <c r="N170" s="1642"/>
      <c r="O170" s="2000" t="e">
        <f>#REF!</f>
        <v>#REF!</v>
      </c>
      <c r="P170" s="2003">
        <f t="shared" si="317"/>
        <v>0</v>
      </c>
      <c r="Q170" s="1989" t="e">
        <f>#REF!/10^7</f>
        <v>#REF!</v>
      </c>
      <c r="R170" s="2003">
        <f t="shared" si="318"/>
        <v>0</v>
      </c>
      <c r="S170" s="1989" t="e">
        <f>#REF!/10^7</f>
        <v>#REF!</v>
      </c>
      <c r="T170" s="2003">
        <f t="shared" si="319"/>
        <v>0</v>
      </c>
      <c r="U170" s="1989" t="e">
        <f>#REF!/10^7</f>
        <v>#REF!</v>
      </c>
      <c r="V170" s="1989" t="e">
        <f>#REF!/10^7</f>
        <v>#REF!</v>
      </c>
      <c r="W170" s="1989">
        <f t="shared" si="320"/>
        <v>0</v>
      </c>
      <c r="X170" s="1999" t="e">
        <f t="shared" si="404"/>
        <v>#REF!</v>
      </c>
      <c r="Y170" s="1993" t="e">
        <f>#REF!</f>
        <v>#REF!</v>
      </c>
      <c r="Z170" s="2003">
        <f t="shared" si="321"/>
        <v>0</v>
      </c>
      <c r="AA170" s="1989" t="e">
        <f>#REF!/10^7</f>
        <v>#REF!</v>
      </c>
      <c r="AB170" s="2003">
        <f t="shared" si="322"/>
        <v>0</v>
      </c>
      <c r="AC170" s="1989" t="e">
        <f>#REF!/10^7</f>
        <v>#REF!</v>
      </c>
      <c r="AD170" s="2003">
        <f t="shared" si="323"/>
        <v>0</v>
      </c>
      <c r="AE170" s="1989" t="e">
        <f>#REF!/10^7</f>
        <v>#REF!</v>
      </c>
      <c r="AF170" s="1989" t="e">
        <f>#REF!/10^7</f>
        <v>#REF!</v>
      </c>
      <c r="AG170" s="2002" t="e">
        <f t="shared" si="324"/>
        <v>#REF!</v>
      </c>
      <c r="AH170" s="1999" t="e">
        <f t="shared" si="405"/>
        <v>#REF!</v>
      </c>
      <c r="AI170" s="1993" t="e">
        <f>#REF!</f>
        <v>#REF!</v>
      </c>
      <c r="AJ170" s="2003">
        <f t="shared" si="326"/>
        <v>0</v>
      </c>
      <c r="AK170" s="1989" t="e">
        <f>#REF!/10^7</f>
        <v>#REF!</v>
      </c>
      <c r="AL170" s="2003">
        <f t="shared" si="327"/>
        <v>0</v>
      </c>
      <c r="AM170" s="1989" t="e">
        <f>#REF!/10^7</f>
        <v>#REF!</v>
      </c>
      <c r="AN170" s="2003">
        <f t="shared" si="328"/>
        <v>0</v>
      </c>
      <c r="AO170" s="1989" t="e">
        <f>#REF!/10^7</f>
        <v>#REF!</v>
      </c>
      <c r="AP170" s="1989" t="e">
        <f>#REF!/10^7</f>
        <v>#REF!</v>
      </c>
      <c r="AQ170" s="2002" t="e">
        <f t="shared" si="329"/>
        <v>#REF!</v>
      </c>
      <c r="AR170" s="1999" t="e">
        <f t="shared" si="406"/>
        <v>#REF!</v>
      </c>
      <c r="AS170" s="1993" t="e">
        <f>#REF!</f>
        <v>#REF!</v>
      </c>
      <c r="AT170" s="2003">
        <f t="shared" si="331"/>
        <v>0</v>
      </c>
      <c r="AU170" s="1989" t="e">
        <f>#REF!/10^7</f>
        <v>#REF!</v>
      </c>
      <c r="AV170" s="2003">
        <f t="shared" si="332"/>
        <v>0</v>
      </c>
      <c r="AW170" s="1989" t="e">
        <f>#REF!/10^7</f>
        <v>#REF!</v>
      </c>
      <c r="AX170" s="2003">
        <f t="shared" si="333"/>
        <v>0</v>
      </c>
      <c r="AY170" s="1989" t="e">
        <f>#REF!/10^7</f>
        <v>#REF!</v>
      </c>
      <c r="AZ170" s="1989" t="e">
        <f>#REF!/10^7</f>
        <v>#REF!</v>
      </c>
      <c r="BA170" s="2002" t="e">
        <f t="shared" si="334"/>
        <v>#REF!</v>
      </c>
      <c r="BB170" s="1999" t="e">
        <f t="shared" si="407"/>
        <v>#REF!</v>
      </c>
      <c r="BC170" s="1993" t="e">
        <f>#REF!</f>
        <v>#REF!</v>
      </c>
      <c r="BD170" s="2003">
        <f t="shared" si="335"/>
        <v>0</v>
      </c>
      <c r="BE170" s="1989" t="e">
        <f>#REF!/10^7</f>
        <v>#REF!</v>
      </c>
      <c r="BF170" s="2003">
        <f t="shared" si="336"/>
        <v>0</v>
      </c>
      <c r="BG170" s="1989" t="e">
        <f>#REF!/10^7</f>
        <v>#REF!</v>
      </c>
      <c r="BH170" s="2003">
        <f t="shared" si="337"/>
        <v>0</v>
      </c>
      <c r="BI170" s="1989" t="e">
        <f>#REF!/10^7</f>
        <v>#REF!</v>
      </c>
      <c r="BJ170" s="1989" t="e">
        <f>#REF!/10^7</f>
        <v>#REF!</v>
      </c>
      <c r="BK170" s="2002" t="e">
        <f t="shared" si="338"/>
        <v>#REF!</v>
      </c>
      <c r="BL170" s="1999" t="e">
        <f t="shared" si="408"/>
        <v>#REF!</v>
      </c>
      <c r="BM170" s="1993" t="e">
        <f>#REF!</f>
        <v>#REF!</v>
      </c>
      <c r="BN170" s="2003">
        <f t="shared" si="339"/>
        <v>0</v>
      </c>
      <c r="BO170" s="1989" t="e">
        <f>#REF!/10^7</f>
        <v>#REF!</v>
      </c>
      <c r="BP170" s="2003">
        <f t="shared" si="340"/>
        <v>0</v>
      </c>
      <c r="BQ170" s="1989" t="e">
        <f>#REF!/10^7</f>
        <v>#REF!</v>
      </c>
      <c r="BR170" s="2003">
        <f t="shared" si="341"/>
        <v>0</v>
      </c>
      <c r="BS170" s="1989" t="e">
        <f>#REF!/10^7</f>
        <v>#REF!</v>
      </c>
      <c r="BT170" s="1989" t="e">
        <f>#REF!/10^7</f>
        <v>#REF!</v>
      </c>
      <c r="BU170" s="2002" t="e">
        <f t="shared" si="342"/>
        <v>#REF!</v>
      </c>
      <c r="BV170" s="1999" t="e">
        <f t="shared" si="409"/>
        <v>#REF!</v>
      </c>
      <c r="BW170" s="1993" t="e">
        <f>#REF!</f>
        <v>#REF!</v>
      </c>
      <c r="BX170" s="2003">
        <f t="shared" si="343"/>
        <v>0</v>
      </c>
      <c r="BY170" s="1989" t="e">
        <f>#REF!/10^7</f>
        <v>#REF!</v>
      </c>
      <c r="BZ170" s="2003">
        <f t="shared" si="344"/>
        <v>0</v>
      </c>
      <c r="CA170" s="1989" t="e">
        <f>#REF!/10^7</f>
        <v>#REF!</v>
      </c>
      <c r="CB170" s="2003">
        <f t="shared" si="345"/>
        <v>0</v>
      </c>
      <c r="CC170" s="1989" t="e">
        <f>#REF!/10^7</f>
        <v>#REF!</v>
      </c>
      <c r="CD170" s="1989" t="e">
        <f>#REF!/10^7</f>
        <v>#REF!</v>
      </c>
      <c r="CE170" s="2002" t="e">
        <f t="shared" si="346"/>
        <v>#REF!</v>
      </c>
      <c r="CF170" s="1999" t="e">
        <f t="shared" si="410"/>
        <v>#REF!</v>
      </c>
      <c r="CG170" s="1993" t="e">
        <f>#REF!</f>
        <v>#REF!</v>
      </c>
      <c r="CH170" s="2003">
        <f t="shared" si="347"/>
        <v>0</v>
      </c>
      <c r="CI170" s="1989" t="e">
        <f>#REF!/10^7</f>
        <v>#REF!</v>
      </c>
      <c r="CJ170" s="2003">
        <f t="shared" si="348"/>
        <v>0</v>
      </c>
      <c r="CK170" s="1989" t="e">
        <f>#REF!/10^7</f>
        <v>#REF!</v>
      </c>
      <c r="CL170" s="2003">
        <f t="shared" si="349"/>
        <v>0</v>
      </c>
      <c r="CM170" s="1989" t="e">
        <f>#REF!/10^7</f>
        <v>#REF!</v>
      </c>
      <c r="CN170" s="1989" t="e">
        <f>#REF!/10^7</f>
        <v>#REF!</v>
      </c>
      <c r="CO170" s="2002" t="e">
        <f t="shared" si="350"/>
        <v>#REF!</v>
      </c>
      <c r="CP170" s="1999" t="e">
        <f t="shared" si="411"/>
        <v>#REF!</v>
      </c>
      <c r="CQ170" s="1993" t="e">
        <f>#REF!</f>
        <v>#REF!</v>
      </c>
      <c r="CR170" s="2003">
        <f t="shared" si="351"/>
        <v>0</v>
      </c>
      <c r="CS170" s="1989" t="e">
        <f>#REF!/10^7</f>
        <v>#REF!</v>
      </c>
      <c r="CT170" s="2003">
        <f t="shared" si="352"/>
        <v>0</v>
      </c>
      <c r="CU170" s="1989" t="e">
        <f>#REF!/10^7</f>
        <v>#REF!</v>
      </c>
      <c r="CV170" s="2003">
        <f t="shared" si="353"/>
        <v>0</v>
      </c>
      <c r="CW170" s="1989" t="e">
        <f>#REF!/10^7</f>
        <v>#REF!</v>
      </c>
      <c r="CX170" s="1989" t="e">
        <f>#REF!/10^7</f>
        <v>#REF!</v>
      </c>
      <c r="CY170" s="2002" t="e">
        <f t="shared" si="354"/>
        <v>#REF!</v>
      </c>
      <c r="CZ170" s="1999" t="e">
        <f t="shared" si="412"/>
        <v>#REF!</v>
      </c>
      <c r="DA170" s="1993" t="e">
        <f>#REF!</f>
        <v>#REF!</v>
      </c>
      <c r="DB170" s="2003">
        <f t="shared" si="355"/>
        <v>0</v>
      </c>
      <c r="DC170" s="1989" t="e">
        <f>#REF!/10^7</f>
        <v>#REF!</v>
      </c>
      <c r="DD170" s="2003">
        <f t="shared" si="356"/>
        <v>0</v>
      </c>
      <c r="DE170" s="1989" t="e">
        <f>#REF!/10^7</f>
        <v>#REF!</v>
      </c>
      <c r="DF170" s="2003">
        <f t="shared" si="357"/>
        <v>0</v>
      </c>
      <c r="DG170" s="1989" t="e">
        <f>#REF!/10^7</f>
        <v>#REF!</v>
      </c>
      <c r="DH170" s="1989" t="e">
        <f>#REF!/10^7</f>
        <v>#REF!</v>
      </c>
      <c r="DI170" s="2002" t="e">
        <f t="shared" si="358"/>
        <v>#REF!</v>
      </c>
      <c r="DJ170" s="1999" t="e">
        <f t="shared" si="413"/>
        <v>#REF!</v>
      </c>
      <c r="DK170" s="1993" t="e">
        <f>#REF!</f>
        <v>#REF!</v>
      </c>
      <c r="DL170" s="2003">
        <f t="shared" si="359"/>
        <v>0</v>
      </c>
      <c r="DM170" s="1989" t="e">
        <f>#REF!/10^7</f>
        <v>#REF!</v>
      </c>
      <c r="DN170" s="2003">
        <f t="shared" si="360"/>
        <v>0</v>
      </c>
      <c r="DO170" s="1989" t="e">
        <f>#REF!/10^7</f>
        <v>#REF!</v>
      </c>
      <c r="DP170" s="2003">
        <f t="shared" si="361"/>
        <v>0</v>
      </c>
      <c r="DQ170" s="1989" t="e">
        <f>#REF!/10^7</f>
        <v>#REF!</v>
      </c>
      <c r="DR170" s="1989" t="e">
        <f>#REF!/10^7</f>
        <v>#REF!</v>
      </c>
      <c r="DS170" s="2002" t="e">
        <f t="shared" si="362"/>
        <v>#REF!</v>
      </c>
      <c r="DT170" s="2004" t="e">
        <f t="shared" si="414"/>
        <v>#REF!</v>
      </c>
      <c r="DU170" s="1988" t="e">
        <f>#REF!</f>
        <v>#REF!</v>
      </c>
      <c r="DV170" s="2003">
        <f t="shared" si="364"/>
        <v>0</v>
      </c>
      <c r="DW170" s="1989" t="e">
        <f>#REF!/10^7</f>
        <v>#REF!</v>
      </c>
      <c r="DX170" s="2003">
        <f t="shared" si="365"/>
        <v>0</v>
      </c>
      <c r="DY170" s="1989" t="e">
        <f>#REF!/10^7</f>
        <v>#REF!</v>
      </c>
      <c r="DZ170" s="2003">
        <f t="shared" si="366"/>
        <v>0</v>
      </c>
      <c r="EA170" s="1989" t="e">
        <f>#REF!/10^7</f>
        <v>#REF!</v>
      </c>
      <c r="EB170" s="1989" t="e">
        <f>#REF!/10^7</f>
        <v>#REF!</v>
      </c>
      <c r="EC170" s="2002" t="e">
        <f t="shared" si="367"/>
        <v>#REF!</v>
      </c>
      <c r="ED170" s="1998" t="e">
        <f t="shared" si="415"/>
        <v>#REF!</v>
      </c>
      <c r="EE170" s="2005" t="e">
        <f t="shared" si="419"/>
        <v>#REF!</v>
      </c>
      <c r="EF170" s="2003">
        <f t="shared" si="368"/>
        <v>0</v>
      </c>
      <c r="EG170" s="1989" t="e">
        <f t="shared" si="416"/>
        <v>#REF!</v>
      </c>
      <c r="EH170" s="2003">
        <f t="shared" si="369"/>
        <v>0</v>
      </c>
      <c r="EI170" s="1989" t="e">
        <f t="shared" si="417"/>
        <v>#REF!</v>
      </c>
      <c r="EJ170" s="2003">
        <f t="shared" si="370"/>
        <v>0</v>
      </c>
      <c r="EK170" s="1989" t="e">
        <f t="shared" si="418"/>
        <v>#REF!</v>
      </c>
      <c r="EL170" s="1989" t="e">
        <f t="shared" si="418"/>
        <v>#REF!</v>
      </c>
      <c r="EM170" s="2006" t="e">
        <f t="shared" si="371"/>
        <v>#REF!</v>
      </c>
      <c r="EN170" s="1999" t="e">
        <f t="shared" si="420"/>
        <v>#REF!</v>
      </c>
      <c r="EO170" s="1676"/>
      <c r="EP170" s="1613" t="e">
        <f>EA170-#REF!/10^7</f>
        <v>#REF!</v>
      </c>
      <c r="EQ170" s="1678"/>
      <c r="EW170" s="1611" t="s">
        <v>1649</v>
      </c>
      <c r="EX170" s="1612" t="s">
        <v>1649</v>
      </c>
      <c r="EZ170" s="1650">
        <f t="shared" si="372"/>
        <v>0</v>
      </c>
    </row>
    <row r="171" spans="1:156" ht="21" customHeight="1">
      <c r="A171" s="1652">
        <v>16</v>
      </c>
      <c r="B171" s="1644" t="s">
        <v>1778</v>
      </c>
      <c r="C171" s="1645">
        <v>600</v>
      </c>
      <c r="D171" s="1646">
        <f t="shared" si="403"/>
        <v>65</v>
      </c>
      <c r="E171" s="1646">
        <v>50.03</v>
      </c>
      <c r="F171" s="1699" t="s">
        <v>1594</v>
      </c>
      <c r="G171" s="1648"/>
      <c r="H171" s="1648">
        <v>390</v>
      </c>
      <c r="I171" s="1648" t="s">
        <v>1649</v>
      </c>
      <c r="J171" s="1649">
        <v>1</v>
      </c>
      <c r="K171" s="1648"/>
      <c r="L171" s="1648"/>
      <c r="M171" s="1648"/>
      <c r="N171" s="1642"/>
      <c r="O171" s="2000" t="e">
        <f>#REF!</f>
        <v>#REF!</v>
      </c>
      <c r="P171" s="2003">
        <f t="shared" si="317"/>
        <v>0</v>
      </c>
      <c r="Q171" s="1989" t="e">
        <f>#REF!/10^7</f>
        <v>#REF!</v>
      </c>
      <c r="R171" s="2003">
        <f t="shared" si="318"/>
        <v>0</v>
      </c>
      <c r="S171" s="1989" t="e">
        <f>#REF!/10^7</f>
        <v>#REF!</v>
      </c>
      <c r="T171" s="2003">
        <f t="shared" si="319"/>
        <v>0</v>
      </c>
      <c r="U171" s="1989" t="e">
        <f>#REF!/10^7</f>
        <v>#REF!</v>
      </c>
      <c r="V171" s="1989" t="e">
        <f>#REF!/10^7</f>
        <v>#REF!</v>
      </c>
      <c r="W171" s="1989">
        <f t="shared" si="320"/>
        <v>0</v>
      </c>
      <c r="X171" s="1999" t="e">
        <f t="shared" si="404"/>
        <v>#REF!</v>
      </c>
      <c r="Y171" s="1993" t="e">
        <f>#REF!</f>
        <v>#REF!</v>
      </c>
      <c r="Z171" s="2003">
        <f t="shared" si="321"/>
        <v>0</v>
      </c>
      <c r="AA171" s="1989" t="e">
        <f>#REF!/10^7</f>
        <v>#REF!</v>
      </c>
      <c r="AB171" s="2003">
        <f t="shared" si="322"/>
        <v>0</v>
      </c>
      <c r="AC171" s="1989" t="e">
        <f>#REF!/10^7</f>
        <v>#REF!</v>
      </c>
      <c r="AD171" s="2003">
        <f t="shared" si="323"/>
        <v>0</v>
      </c>
      <c r="AE171" s="1989" t="e">
        <f>#REF!/10^7</f>
        <v>#REF!</v>
      </c>
      <c r="AF171" s="1989" t="e">
        <f>#REF!/10^7</f>
        <v>#REF!</v>
      </c>
      <c r="AG171" s="2002" t="e">
        <f t="shared" si="324"/>
        <v>#REF!</v>
      </c>
      <c r="AH171" s="1999" t="e">
        <f t="shared" si="405"/>
        <v>#REF!</v>
      </c>
      <c r="AI171" s="1993" t="e">
        <f>#REF!</f>
        <v>#REF!</v>
      </c>
      <c r="AJ171" s="2003">
        <f t="shared" si="326"/>
        <v>0</v>
      </c>
      <c r="AK171" s="1989" t="e">
        <f>#REF!/10^7</f>
        <v>#REF!</v>
      </c>
      <c r="AL171" s="2003">
        <f t="shared" si="327"/>
        <v>0</v>
      </c>
      <c r="AM171" s="1989" t="e">
        <f>#REF!/10^7</f>
        <v>#REF!</v>
      </c>
      <c r="AN171" s="2003">
        <f t="shared" si="328"/>
        <v>0</v>
      </c>
      <c r="AO171" s="1989" t="e">
        <f>#REF!/10^7</f>
        <v>#REF!</v>
      </c>
      <c r="AP171" s="1989" t="e">
        <f>#REF!/10^7</f>
        <v>#REF!</v>
      </c>
      <c r="AQ171" s="2002" t="e">
        <f t="shared" si="329"/>
        <v>#REF!</v>
      </c>
      <c r="AR171" s="1999" t="e">
        <f t="shared" si="406"/>
        <v>#REF!</v>
      </c>
      <c r="AS171" s="1993" t="e">
        <f>#REF!</f>
        <v>#REF!</v>
      </c>
      <c r="AT171" s="2003">
        <f t="shared" si="331"/>
        <v>0</v>
      </c>
      <c r="AU171" s="1989" t="e">
        <f>#REF!/10^7</f>
        <v>#REF!</v>
      </c>
      <c r="AV171" s="2003">
        <f t="shared" si="332"/>
        <v>0</v>
      </c>
      <c r="AW171" s="1989" t="e">
        <f>#REF!/10^7</f>
        <v>#REF!</v>
      </c>
      <c r="AX171" s="2003">
        <f t="shared" si="333"/>
        <v>0</v>
      </c>
      <c r="AY171" s="1989" t="e">
        <f>#REF!/10^7</f>
        <v>#REF!</v>
      </c>
      <c r="AZ171" s="1989" t="e">
        <f>#REF!/10^7</f>
        <v>#REF!</v>
      </c>
      <c r="BA171" s="2002" t="e">
        <f t="shared" si="334"/>
        <v>#REF!</v>
      </c>
      <c r="BB171" s="1999" t="e">
        <f t="shared" si="407"/>
        <v>#REF!</v>
      </c>
      <c r="BC171" s="1993" t="e">
        <f>#REF!</f>
        <v>#REF!</v>
      </c>
      <c r="BD171" s="2003">
        <f t="shared" si="335"/>
        <v>0</v>
      </c>
      <c r="BE171" s="1989" t="e">
        <f>#REF!/10^7</f>
        <v>#REF!</v>
      </c>
      <c r="BF171" s="2003">
        <f t="shared" si="336"/>
        <v>0</v>
      </c>
      <c r="BG171" s="1989" t="e">
        <f>#REF!/10^7</f>
        <v>#REF!</v>
      </c>
      <c r="BH171" s="2003">
        <f t="shared" si="337"/>
        <v>0</v>
      </c>
      <c r="BI171" s="1989" t="e">
        <f>#REF!/10^7</f>
        <v>#REF!</v>
      </c>
      <c r="BJ171" s="1989" t="e">
        <f>#REF!/10^7</f>
        <v>#REF!</v>
      </c>
      <c r="BK171" s="2002" t="e">
        <f t="shared" si="338"/>
        <v>#REF!</v>
      </c>
      <c r="BL171" s="1999" t="e">
        <f t="shared" si="408"/>
        <v>#REF!</v>
      </c>
      <c r="BM171" s="1993" t="e">
        <f>#REF!</f>
        <v>#REF!</v>
      </c>
      <c r="BN171" s="2003">
        <f t="shared" si="339"/>
        <v>0</v>
      </c>
      <c r="BO171" s="1989" t="e">
        <f>#REF!/10^7</f>
        <v>#REF!</v>
      </c>
      <c r="BP171" s="2003">
        <f t="shared" si="340"/>
        <v>0</v>
      </c>
      <c r="BQ171" s="1989" t="e">
        <f>#REF!/10^7</f>
        <v>#REF!</v>
      </c>
      <c r="BR171" s="2003">
        <f t="shared" si="341"/>
        <v>0</v>
      </c>
      <c r="BS171" s="1989" t="e">
        <f>#REF!/10^7</f>
        <v>#REF!</v>
      </c>
      <c r="BT171" s="1989" t="e">
        <f>#REF!/10^7</f>
        <v>#REF!</v>
      </c>
      <c r="BU171" s="2002" t="e">
        <f t="shared" si="342"/>
        <v>#REF!</v>
      </c>
      <c r="BV171" s="1999" t="e">
        <f t="shared" si="409"/>
        <v>#REF!</v>
      </c>
      <c r="BW171" s="1993" t="e">
        <f>#REF!</f>
        <v>#REF!</v>
      </c>
      <c r="BX171" s="2003">
        <f t="shared" si="343"/>
        <v>0</v>
      </c>
      <c r="BY171" s="1989" t="e">
        <f>#REF!/10^7</f>
        <v>#REF!</v>
      </c>
      <c r="BZ171" s="2003">
        <f t="shared" si="344"/>
        <v>0</v>
      </c>
      <c r="CA171" s="1989" t="e">
        <f>#REF!/10^7</f>
        <v>#REF!</v>
      </c>
      <c r="CB171" s="2003">
        <f t="shared" si="345"/>
        <v>0</v>
      </c>
      <c r="CC171" s="1989" t="e">
        <f>#REF!/10^7</f>
        <v>#REF!</v>
      </c>
      <c r="CD171" s="1989" t="e">
        <f>#REF!/10^7</f>
        <v>#REF!</v>
      </c>
      <c r="CE171" s="2002" t="e">
        <f t="shared" si="346"/>
        <v>#REF!</v>
      </c>
      <c r="CF171" s="1999" t="e">
        <f t="shared" si="410"/>
        <v>#REF!</v>
      </c>
      <c r="CG171" s="1993" t="e">
        <f>#REF!</f>
        <v>#REF!</v>
      </c>
      <c r="CH171" s="2003">
        <f t="shared" si="347"/>
        <v>0</v>
      </c>
      <c r="CI171" s="1989" t="e">
        <f>#REF!/10^7</f>
        <v>#REF!</v>
      </c>
      <c r="CJ171" s="2003">
        <f t="shared" si="348"/>
        <v>0</v>
      </c>
      <c r="CK171" s="1989" t="e">
        <f>#REF!/10^7</f>
        <v>#REF!</v>
      </c>
      <c r="CL171" s="2003">
        <f t="shared" si="349"/>
        <v>0</v>
      </c>
      <c r="CM171" s="1989" t="e">
        <f>#REF!/10^7</f>
        <v>#REF!</v>
      </c>
      <c r="CN171" s="1989" t="e">
        <f>#REF!/10^7</f>
        <v>#REF!</v>
      </c>
      <c r="CO171" s="2002" t="e">
        <f t="shared" si="350"/>
        <v>#REF!</v>
      </c>
      <c r="CP171" s="1999" t="e">
        <f t="shared" si="411"/>
        <v>#REF!</v>
      </c>
      <c r="CQ171" s="1993" t="e">
        <f>#REF!</f>
        <v>#REF!</v>
      </c>
      <c r="CR171" s="2003">
        <f t="shared" si="351"/>
        <v>0</v>
      </c>
      <c r="CS171" s="1989" t="e">
        <f>#REF!/10^7</f>
        <v>#REF!</v>
      </c>
      <c r="CT171" s="2003">
        <f t="shared" si="352"/>
        <v>0</v>
      </c>
      <c r="CU171" s="1989" t="e">
        <f>#REF!/10^7</f>
        <v>#REF!</v>
      </c>
      <c r="CV171" s="2003">
        <f t="shared" si="353"/>
        <v>0</v>
      </c>
      <c r="CW171" s="1989" t="e">
        <f>#REF!/10^7</f>
        <v>#REF!</v>
      </c>
      <c r="CX171" s="1989" t="e">
        <f>#REF!/10^7</f>
        <v>#REF!</v>
      </c>
      <c r="CY171" s="2002" t="e">
        <f t="shared" si="354"/>
        <v>#REF!</v>
      </c>
      <c r="CZ171" s="1999" t="e">
        <f t="shared" si="412"/>
        <v>#REF!</v>
      </c>
      <c r="DA171" s="1993" t="e">
        <f>#REF!</f>
        <v>#REF!</v>
      </c>
      <c r="DB171" s="2003">
        <f t="shared" si="355"/>
        <v>0</v>
      </c>
      <c r="DC171" s="1989" t="e">
        <f>#REF!/10^7</f>
        <v>#REF!</v>
      </c>
      <c r="DD171" s="2003">
        <f t="shared" si="356"/>
        <v>0</v>
      </c>
      <c r="DE171" s="1989" t="e">
        <f>#REF!/10^7</f>
        <v>#REF!</v>
      </c>
      <c r="DF171" s="2003">
        <f t="shared" si="357"/>
        <v>0</v>
      </c>
      <c r="DG171" s="1989" t="e">
        <f>#REF!/10^7</f>
        <v>#REF!</v>
      </c>
      <c r="DH171" s="1989" t="e">
        <f>#REF!/10^7</f>
        <v>#REF!</v>
      </c>
      <c r="DI171" s="2002" t="e">
        <f t="shared" si="358"/>
        <v>#REF!</v>
      </c>
      <c r="DJ171" s="1999" t="e">
        <f t="shared" si="413"/>
        <v>#REF!</v>
      </c>
      <c r="DK171" s="1993" t="e">
        <f>#REF!</f>
        <v>#REF!</v>
      </c>
      <c r="DL171" s="2003">
        <f t="shared" si="359"/>
        <v>0</v>
      </c>
      <c r="DM171" s="1989" t="e">
        <f>#REF!/10^7</f>
        <v>#REF!</v>
      </c>
      <c r="DN171" s="2003">
        <f t="shared" si="360"/>
        <v>0</v>
      </c>
      <c r="DO171" s="1989" t="e">
        <f>#REF!/10^7</f>
        <v>#REF!</v>
      </c>
      <c r="DP171" s="2003">
        <f t="shared" si="361"/>
        <v>0</v>
      </c>
      <c r="DQ171" s="1989" t="e">
        <f>#REF!/10^7</f>
        <v>#REF!</v>
      </c>
      <c r="DR171" s="1989" t="e">
        <f>#REF!/10^7</f>
        <v>#REF!</v>
      </c>
      <c r="DS171" s="2002" t="e">
        <f t="shared" si="362"/>
        <v>#REF!</v>
      </c>
      <c r="DT171" s="2004" t="e">
        <f t="shared" si="414"/>
        <v>#REF!</v>
      </c>
      <c r="DU171" s="1988" t="e">
        <f>#REF!</f>
        <v>#REF!</v>
      </c>
      <c r="DV171" s="2003">
        <f t="shared" si="364"/>
        <v>0</v>
      </c>
      <c r="DW171" s="1989" t="e">
        <f>#REF!/10^7</f>
        <v>#REF!</v>
      </c>
      <c r="DX171" s="2003">
        <f t="shared" si="365"/>
        <v>0</v>
      </c>
      <c r="DY171" s="1989" t="e">
        <f>#REF!/10^7</f>
        <v>#REF!</v>
      </c>
      <c r="DZ171" s="2003">
        <f t="shared" si="366"/>
        <v>0</v>
      </c>
      <c r="EA171" s="1989" t="e">
        <f>#REF!/10^7</f>
        <v>#REF!</v>
      </c>
      <c r="EB171" s="1989" t="e">
        <f>#REF!/10^7</f>
        <v>#REF!</v>
      </c>
      <c r="EC171" s="2002" t="e">
        <f t="shared" si="367"/>
        <v>#REF!</v>
      </c>
      <c r="ED171" s="1998" t="e">
        <f t="shared" si="415"/>
        <v>#REF!</v>
      </c>
      <c r="EE171" s="2005" t="e">
        <f t="shared" si="419"/>
        <v>#REF!</v>
      </c>
      <c r="EF171" s="2003">
        <f t="shared" si="368"/>
        <v>0</v>
      </c>
      <c r="EG171" s="1989" t="e">
        <f t="shared" si="416"/>
        <v>#REF!</v>
      </c>
      <c r="EH171" s="2003">
        <f t="shared" si="369"/>
        <v>0</v>
      </c>
      <c r="EI171" s="1989" t="e">
        <f t="shared" si="417"/>
        <v>#REF!</v>
      </c>
      <c r="EJ171" s="2003">
        <f t="shared" si="370"/>
        <v>0</v>
      </c>
      <c r="EK171" s="1989" t="e">
        <f t="shared" si="418"/>
        <v>#REF!</v>
      </c>
      <c r="EL171" s="1989" t="e">
        <f t="shared" si="418"/>
        <v>#REF!</v>
      </c>
      <c r="EM171" s="2006" t="e">
        <f t="shared" si="371"/>
        <v>#REF!</v>
      </c>
      <c r="EN171" s="1999" t="e">
        <f t="shared" si="420"/>
        <v>#REF!</v>
      </c>
      <c r="EP171" s="1613" t="e">
        <f>EA171-#REF!/10^7</f>
        <v>#REF!</v>
      </c>
      <c r="EW171" s="1611" t="s">
        <v>1649</v>
      </c>
      <c r="EX171" s="1612" t="s">
        <v>1649</v>
      </c>
      <c r="EZ171" s="1650">
        <f t="shared" si="372"/>
        <v>0</v>
      </c>
    </row>
    <row r="172" spans="1:156" ht="21" customHeight="1">
      <c r="A172" s="1652">
        <v>17</v>
      </c>
      <c r="B172" s="1644" t="s">
        <v>1779</v>
      </c>
      <c r="C172" s="1662" t="s">
        <v>1594</v>
      </c>
      <c r="D172" s="1646" t="e">
        <f>H172/C172*100</f>
        <v>#VALUE!</v>
      </c>
      <c r="E172" s="1646"/>
      <c r="F172" s="1699" t="s">
        <v>1594</v>
      </c>
      <c r="G172" s="1648"/>
      <c r="H172" s="1648" t="s">
        <v>1594</v>
      </c>
      <c r="I172" s="1648" t="s">
        <v>1649</v>
      </c>
      <c r="J172" s="1649">
        <v>1</v>
      </c>
      <c r="K172" s="1648"/>
      <c r="L172" s="1648"/>
      <c r="M172" s="1648"/>
      <c r="N172" s="1642"/>
      <c r="O172" s="2000" t="e">
        <f>#REF!</f>
        <v>#REF!</v>
      </c>
      <c r="P172" s="2003">
        <f t="shared" si="317"/>
        <v>0</v>
      </c>
      <c r="Q172" s="1989" t="e">
        <f>#REF!/10^7</f>
        <v>#REF!</v>
      </c>
      <c r="R172" s="2003">
        <f t="shared" si="318"/>
        <v>0</v>
      </c>
      <c r="S172" s="1989" t="e">
        <f>#REF!/10^7</f>
        <v>#REF!</v>
      </c>
      <c r="T172" s="2003">
        <f t="shared" si="319"/>
        <v>0</v>
      </c>
      <c r="U172" s="1989" t="e">
        <f>#REF!/10^7</f>
        <v>#REF!</v>
      </c>
      <c r="V172" s="1989" t="e">
        <f>#REF!/10^7</f>
        <v>#REF!</v>
      </c>
      <c r="W172" s="1989">
        <f t="shared" si="320"/>
        <v>0</v>
      </c>
      <c r="X172" s="1999" t="e">
        <f t="shared" si="404"/>
        <v>#REF!</v>
      </c>
      <c r="Y172" s="1993" t="e">
        <f>#REF!</f>
        <v>#REF!</v>
      </c>
      <c r="Z172" s="2003">
        <f t="shared" si="321"/>
        <v>0</v>
      </c>
      <c r="AA172" s="1989" t="e">
        <f>#REF!/10^7</f>
        <v>#REF!</v>
      </c>
      <c r="AB172" s="2003">
        <f t="shared" si="322"/>
        <v>0</v>
      </c>
      <c r="AC172" s="1989" t="e">
        <f>#REF!/10^7</f>
        <v>#REF!</v>
      </c>
      <c r="AD172" s="2003">
        <f t="shared" si="323"/>
        <v>0</v>
      </c>
      <c r="AE172" s="1989" t="e">
        <f>#REF!/10^7</f>
        <v>#REF!</v>
      </c>
      <c r="AF172" s="1989" t="e">
        <f>#REF!/10^7</f>
        <v>#REF!</v>
      </c>
      <c r="AG172" s="2002" t="e">
        <f t="shared" si="324"/>
        <v>#REF!</v>
      </c>
      <c r="AH172" s="1999" t="e">
        <f t="shared" si="405"/>
        <v>#REF!</v>
      </c>
      <c r="AI172" s="1993" t="e">
        <f>#REF!</f>
        <v>#REF!</v>
      </c>
      <c r="AJ172" s="2003">
        <f t="shared" si="326"/>
        <v>0</v>
      </c>
      <c r="AK172" s="1989" t="e">
        <f>#REF!/10^7</f>
        <v>#REF!</v>
      </c>
      <c r="AL172" s="2003">
        <f t="shared" si="327"/>
        <v>0</v>
      </c>
      <c r="AM172" s="1989" t="e">
        <f>#REF!/10^7</f>
        <v>#REF!</v>
      </c>
      <c r="AN172" s="2003">
        <f t="shared" si="328"/>
        <v>0</v>
      </c>
      <c r="AO172" s="1989" t="e">
        <f>#REF!/10^7</f>
        <v>#REF!</v>
      </c>
      <c r="AP172" s="1989" t="e">
        <f>#REF!/10^7</f>
        <v>#REF!</v>
      </c>
      <c r="AQ172" s="2002" t="e">
        <f t="shared" si="329"/>
        <v>#REF!</v>
      </c>
      <c r="AR172" s="1999" t="e">
        <f t="shared" si="406"/>
        <v>#REF!</v>
      </c>
      <c r="AS172" s="1993" t="e">
        <f>#REF!</f>
        <v>#REF!</v>
      </c>
      <c r="AT172" s="2003">
        <f t="shared" si="331"/>
        <v>0</v>
      </c>
      <c r="AU172" s="1989" t="e">
        <f>#REF!/10^7</f>
        <v>#REF!</v>
      </c>
      <c r="AV172" s="2003">
        <f t="shared" si="332"/>
        <v>0</v>
      </c>
      <c r="AW172" s="1989" t="e">
        <f>#REF!/10^7</f>
        <v>#REF!</v>
      </c>
      <c r="AX172" s="2003">
        <f t="shared" si="333"/>
        <v>0</v>
      </c>
      <c r="AY172" s="1989" t="e">
        <f>#REF!/10^7</f>
        <v>#REF!</v>
      </c>
      <c r="AZ172" s="1989" t="e">
        <f>#REF!/10^7</f>
        <v>#REF!</v>
      </c>
      <c r="BA172" s="2002" t="e">
        <f t="shared" si="334"/>
        <v>#REF!</v>
      </c>
      <c r="BB172" s="1999" t="e">
        <f t="shared" si="407"/>
        <v>#REF!</v>
      </c>
      <c r="BC172" s="1993" t="e">
        <f>#REF!</f>
        <v>#REF!</v>
      </c>
      <c r="BD172" s="2003">
        <f t="shared" si="335"/>
        <v>0</v>
      </c>
      <c r="BE172" s="1989" t="e">
        <f>#REF!/10^7</f>
        <v>#REF!</v>
      </c>
      <c r="BF172" s="2003">
        <f t="shared" si="336"/>
        <v>0</v>
      </c>
      <c r="BG172" s="1989" t="e">
        <f>#REF!/10^7</f>
        <v>#REF!</v>
      </c>
      <c r="BH172" s="2003">
        <f t="shared" si="337"/>
        <v>0</v>
      </c>
      <c r="BI172" s="1989" t="e">
        <f>#REF!/10^7</f>
        <v>#REF!</v>
      </c>
      <c r="BJ172" s="1989" t="e">
        <f>#REF!/10^7</f>
        <v>#REF!</v>
      </c>
      <c r="BK172" s="2002" t="e">
        <f t="shared" si="338"/>
        <v>#REF!</v>
      </c>
      <c r="BL172" s="1999" t="e">
        <f t="shared" si="408"/>
        <v>#REF!</v>
      </c>
      <c r="BM172" s="1993" t="e">
        <f>#REF!</f>
        <v>#REF!</v>
      </c>
      <c r="BN172" s="2003">
        <f t="shared" si="339"/>
        <v>0</v>
      </c>
      <c r="BO172" s="1989" t="e">
        <f>#REF!/10^7</f>
        <v>#REF!</v>
      </c>
      <c r="BP172" s="2003">
        <f t="shared" si="340"/>
        <v>0</v>
      </c>
      <c r="BQ172" s="1989" t="e">
        <f>#REF!/10^7</f>
        <v>#REF!</v>
      </c>
      <c r="BR172" s="2003">
        <f t="shared" si="341"/>
        <v>0</v>
      </c>
      <c r="BS172" s="1989" t="e">
        <f>#REF!/10^7</f>
        <v>#REF!</v>
      </c>
      <c r="BT172" s="1989" t="e">
        <f>#REF!/10^7</f>
        <v>#REF!</v>
      </c>
      <c r="BU172" s="2002" t="e">
        <f t="shared" si="342"/>
        <v>#REF!</v>
      </c>
      <c r="BV172" s="1999" t="e">
        <f t="shared" si="409"/>
        <v>#REF!</v>
      </c>
      <c r="BW172" s="1993" t="e">
        <f>#REF!</f>
        <v>#REF!</v>
      </c>
      <c r="BX172" s="2003">
        <f t="shared" si="343"/>
        <v>0</v>
      </c>
      <c r="BY172" s="1989" t="e">
        <f>#REF!/10^7</f>
        <v>#REF!</v>
      </c>
      <c r="BZ172" s="2003">
        <f t="shared" si="344"/>
        <v>0</v>
      </c>
      <c r="CA172" s="1989" t="e">
        <f>#REF!/10^7</f>
        <v>#REF!</v>
      </c>
      <c r="CB172" s="2003">
        <f t="shared" si="345"/>
        <v>0</v>
      </c>
      <c r="CC172" s="1989" t="e">
        <f>#REF!/10^7</f>
        <v>#REF!</v>
      </c>
      <c r="CD172" s="1989" t="e">
        <f>#REF!/10^7</f>
        <v>#REF!</v>
      </c>
      <c r="CE172" s="2002" t="e">
        <f t="shared" si="346"/>
        <v>#REF!</v>
      </c>
      <c r="CF172" s="1999" t="e">
        <f t="shared" si="410"/>
        <v>#REF!</v>
      </c>
      <c r="CG172" s="1993" t="e">
        <f>#REF!</f>
        <v>#REF!</v>
      </c>
      <c r="CH172" s="2003">
        <f t="shared" si="347"/>
        <v>0</v>
      </c>
      <c r="CI172" s="1989" t="e">
        <f>#REF!/10^7</f>
        <v>#REF!</v>
      </c>
      <c r="CJ172" s="2003">
        <f t="shared" si="348"/>
        <v>0</v>
      </c>
      <c r="CK172" s="1989" t="e">
        <f>#REF!/10^7</f>
        <v>#REF!</v>
      </c>
      <c r="CL172" s="2003">
        <f t="shared" si="349"/>
        <v>0</v>
      </c>
      <c r="CM172" s="1989" t="e">
        <f>#REF!/10^7</f>
        <v>#REF!</v>
      </c>
      <c r="CN172" s="1989" t="e">
        <f>#REF!/10^7</f>
        <v>#REF!</v>
      </c>
      <c r="CO172" s="2002" t="e">
        <f t="shared" si="350"/>
        <v>#REF!</v>
      </c>
      <c r="CP172" s="1999" t="e">
        <f t="shared" si="411"/>
        <v>#REF!</v>
      </c>
      <c r="CQ172" s="1993" t="e">
        <f>#REF!</f>
        <v>#REF!</v>
      </c>
      <c r="CR172" s="2003">
        <f t="shared" si="351"/>
        <v>0</v>
      </c>
      <c r="CS172" s="1989" t="e">
        <f>#REF!/10^7</f>
        <v>#REF!</v>
      </c>
      <c r="CT172" s="2003">
        <f t="shared" si="352"/>
        <v>0</v>
      </c>
      <c r="CU172" s="1989" t="e">
        <f>#REF!/10^7</f>
        <v>#REF!</v>
      </c>
      <c r="CV172" s="2003">
        <f t="shared" si="353"/>
        <v>0</v>
      </c>
      <c r="CW172" s="1989" t="e">
        <f>#REF!/10^7</f>
        <v>#REF!</v>
      </c>
      <c r="CX172" s="1989" t="e">
        <f>#REF!/10^7</f>
        <v>#REF!</v>
      </c>
      <c r="CY172" s="2002" t="e">
        <f t="shared" si="354"/>
        <v>#REF!</v>
      </c>
      <c r="CZ172" s="1999" t="e">
        <f t="shared" si="412"/>
        <v>#REF!</v>
      </c>
      <c r="DA172" s="1993" t="e">
        <f>#REF!</f>
        <v>#REF!</v>
      </c>
      <c r="DB172" s="2003">
        <f t="shared" si="355"/>
        <v>0</v>
      </c>
      <c r="DC172" s="1989" t="e">
        <f>#REF!/10^7</f>
        <v>#REF!</v>
      </c>
      <c r="DD172" s="2003">
        <f t="shared" si="356"/>
        <v>0</v>
      </c>
      <c r="DE172" s="1989" t="e">
        <f>#REF!/10^7</f>
        <v>#REF!</v>
      </c>
      <c r="DF172" s="2003">
        <f t="shared" si="357"/>
        <v>0</v>
      </c>
      <c r="DG172" s="1989" t="e">
        <f>#REF!/10^7</f>
        <v>#REF!</v>
      </c>
      <c r="DH172" s="1989" t="e">
        <f>#REF!/10^7</f>
        <v>#REF!</v>
      </c>
      <c r="DI172" s="2002" t="e">
        <f t="shared" si="358"/>
        <v>#REF!</v>
      </c>
      <c r="DJ172" s="1999" t="e">
        <f t="shared" si="413"/>
        <v>#REF!</v>
      </c>
      <c r="DK172" s="1993" t="e">
        <f>#REF!</f>
        <v>#REF!</v>
      </c>
      <c r="DL172" s="2003">
        <f t="shared" si="359"/>
        <v>0</v>
      </c>
      <c r="DM172" s="1989" t="e">
        <f>#REF!/10^7</f>
        <v>#REF!</v>
      </c>
      <c r="DN172" s="2003">
        <f t="shared" si="360"/>
        <v>0</v>
      </c>
      <c r="DO172" s="1989" t="e">
        <f>#REF!/10^7</f>
        <v>#REF!</v>
      </c>
      <c r="DP172" s="2003">
        <f t="shared" si="361"/>
        <v>0</v>
      </c>
      <c r="DQ172" s="1989" t="e">
        <f>#REF!/10^7</f>
        <v>#REF!</v>
      </c>
      <c r="DR172" s="1989" t="e">
        <f>#REF!/10^7</f>
        <v>#REF!</v>
      </c>
      <c r="DS172" s="2002" t="e">
        <f t="shared" si="362"/>
        <v>#REF!</v>
      </c>
      <c r="DT172" s="2004" t="e">
        <f t="shared" si="414"/>
        <v>#REF!</v>
      </c>
      <c r="DU172" s="1988" t="e">
        <f>#REF!</f>
        <v>#REF!</v>
      </c>
      <c r="DV172" s="2003">
        <f t="shared" si="364"/>
        <v>0</v>
      </c>
      <c r="DW172" s="1989" t="e">
        <f>#REF!/10^7</f>
        <v>#REF!</v>
      </c>
      <c r="DX172" s="2003">
        <f t="shared" si="365"/>
        <v>0</v>
      </c>
      <c r="DY172" s="1989" t="e">
        <f>#REF!/10^7</f>
        <v>#REF!</v>
      </c>
      <c r="DZ172" s="2003">
        <f t="shared" si="366"/>
        <v>0</v>
      </c>
      <c r="EA172" s="1989" t="e">
        <f>#REF!/10^7</f>
        <v>#REF!</v>
      </c>
      <c r="EB172" s="1989" t="e">
        <f>#REF!/10^7</f>
        <v>#REF!</v>
      </c>
      <c r="EC172" s="2002" t="e">
        <f t="shared" si="367"/>
        <v>#REF!</v>
      </c>
      <c r="ED172" s="1998" t="e">
        <f t="shared" si="415"/>
        <v>#REF!</v>
      </c>
      <c r="EE172" s="2005" t="e">
        <f t="shared" si="419"/>
        <v>#REF!</v>
      </c>
      <c r="EF172" s="2003">
        <f t="shared" si="368"/>
        <v>0</v>
      </c>
      <c r="EG172" s="1989" t="e">
        <f t="shared" si="416"/>
        <v>#REF!</v>
      </c>
      <c r="EH172" s="2003">
        <f t="shared" si="369"/>
        <v>0</v>
      </c>
      <c r="EI172" s="1989" t="e">
        <f t="shared" si="417"/>
        <v>#REF!</v>
      </c>
      <c r="EJ172" s="2003">
        <f t="shared" si="370"/>
        <v>0</v>
      </c>
      <c r="EK172" s="1989" t="e">
        <f t="shared" si="418"/>
        <v>#REF!</v>
      </c>
      <c r="EL172" s="1989" t="e">
        <f t="shared" si="418"/>
        <v>#REF!</v>
      </c>
      <c r="EM172" s="2006" t="e">
        <f t="shared" si="371"/>
        <v>#REF!</v>
      </c>
      <c r="EN172" s="1999" t="e">
        <f t="shared" si="420"/>
        <v>#REF!</v>
      </c>
      <c r="EP172" s="1613" t="e">
        <f>EA172-#REF!/10^7</f>
        <v>#REF!</v>
      </c>
      <c r="EW172" s="1611" t="s">
        <v>1649</v>
      </c>
      <c r="EX172" s="1612" t="s">
        <v>1649</v>
      </c>
      <c r="EZ172" s="1650">
        <f t="shared" si="372"/>
        <v>0</v>
      </c>
    </row>
    <row r="173" spans="1:156" ht="21" customHeight="1">
      <c r="A173" s="1652">
        <v>18</v>
      </c>
      <c r="B173" s="1644"/>
      <c r="C173" s="1662"/>
      <c r="D173" s="1648"/>
      <c r="E173" s="1648"/>
      <c r="F173" s="1648"/>
      <c r="G173" s="1648"/>
      <c r="H173" s="1648"/>
      <c r="I173" s="1648"/>
      <c r="J173" s="1649"/>
      <c r="K173" s="1648"/>
      <c r="L173" s="1648"/>
      <c r="M173" s="1648"/>
      <c r="N173" s="1642"/>
      <c r="O173" s="2000"/>
      <c r="P173" s="2003">
        <f t="shared" si="317"/>
        <v>0</v>
      </c>
      <c r="Q173" s="1989"/>
      <c r="R173" s="2003">
        <f t="shared" si="318"/>
        <v>0</v>
      </c>
      <c r="S173" s="1989"/>
      <c r="T173" s="2003">
        <f t="shared" si="319"/>
        <v>0</v>
      </c>
      <c r="U173" s="1989"/>
      <c r="V173" s="1989"/>
      <c r="W173" s="1989">
        <f t="shared" si="320"/>
        <v>0</v>
      </c>
      <c r="X173" s="1999">
        <f t="shared" si="404"/>
        <v>0</v>
      </c>
      <c r="Y173" s="1993"/>
      <c r="Z173" s="2003">
        <f t="shared" si="321"/>
        <v>0</v>
      </c>
      <c r="AA173" s="1989"/>
      <c r="AB173" s="2003">
        <f t="shared" si="322"/>
        <v>0</v>
      </c>
      <c r="AC173" s="1989"/>
      <c r="AD173" s="2003">
        <f t="shared" si="323"/>
        <v>0</v>
      </c>
      <c r="AE173" s="1989"/>
      <c r="AF173" s="1989"/>
      <c r="AG173" s="2002">
        <f t="shared" si="324"/>
        <v>0</v>
      </c>
      <c r="AH173" s="1999">
        <f t="shared" si="405"/>
        <v>0</v>
      </c>
      <c r="AI173" s="1993"/>
      <c r="AJ173" s="2003">
        <f t="shared" si="326"/>
        <v>0</v>
      </c>
      <c r="AK173" s="1989"/>
      <c r="AL173" s="2003">
        <f t="shared" si="327"/>
        <v>0</v>
      </c>
      <c r="AM173" s="1989"/>
      <c r="AN173" s="2003">
        <f t="shared" si="328"/>
        <v>0</v>
      </c>
      <c r="AO173" s="1989"/>
      <c r="AP173" s="1989"/>
      <c r="AQ173" s="2002">
        <f t="shared" si="329"/>
        <v>0</v>
      </c>
      <c r="AR173" s="1999"/>
      <c r="AS173" s="1993"/>
      <c r="AT173" s="2003">
        <f t="shared" si="331"/>
        <v>0</v>
      </c>
      <c r="AU173" s="1989"/>
      <c r="AV173" s="2003">
        <f t="shared" si="332"/>
        <v>0</v>
      </c>
      <c r="AW173" s="1989"/>
      <c r="AX173" s="2003">
        <f t="shared" si="333"/>
        <v>0</v>
      </c>
      <c r="AY173" s="1989"/>
      <c r="AZ173" s="1989"/>
      <c r="BA173" s="2002">
        <f t="shared" si="334"/>
        <v>0</v>
      </c>
      <c r="BB173" s="1999"/>
      <c r="BC173" s="1993"/>
      <c r="BD173" s="2003">
        <f t="shared" si="335"/>
        <v>0</v>
      </c>
      <c r="BE173" s="1989"/>
      <c r="BF173" s="2003">
        <f t="shared" si="336"/>
        <v>0</v>
      </c>
      <c r="BG173" s="1989"/>
      <c r="BH173" s="2003">
        <f t="shared" si="337"/>
        <v>0</v>
      </c>
      <c r="BI173" s="1989"/>
      <c r="BJ173" s="1989"/>
      <c r="BK173" s="2002">
        <f t="shared" si="338"/>
        <v>0</v>
      </c>
      <c r="BL173" s="1999"/>
      <c r="BM173" s="1993"/>
      <c r="BN173" s="2003">
        <f t="shared" si="339"/>
        <v>0</v>
      </c>
      <c r="BO173" s="1989"/>
      <c r="BP173" s="2003">
        <f t="shared" si="340"/>
        <v>0</v>
      </c>
      <c r="BQ173" s="1989"/>
      <c r="BR173" s="2003">
        <f t="shared" si="341"/>
        <v>0</v>
      </c>
      <c r="BS173" s="1989"/>
      <c r="BT173" s="1989"/>
      <c r="BU173" s="2002">
        <f t="shared" si="342"/>
        <v>0</v>
      </c>
      <c r="BV173" s="1999"/>
      <c r="BW173" s="1993"/>
      <c r="BX173" s="2003">
        <f t="shared" si="343"/>
        <v>0</v>
      </c>
      <c r="BY173" s="1989"/>
      <c r="BZ173" s="2003">
        <f t="shared" si="344"/>
        <v>0</v>
      </c>
      <c r="CA173" s="1989"/>
      <c r="CB173" s="2003">
        <f t="shared" si="345"/>
        <v>0</v>
      </c>
      <c r="CC173" s="1989"/>
      <c r="CD173" s="1989"/>
      <c r="CE173" s="2002">
        <f t="shared" si="346"/>
        <v>0</v>
      </c>
      <c r="CF173" s="1999"/>
      <c r="CG173" s="1993"/>
      <c r="CH173" s="2003">
        <f t="shared" si="347"/>
        <v>0</v>
      </c>
      <c r="CI173" s="1989"/>
      <c r="CJ173" s="2003">
        <f t="shared" si="348"/>
        <v>0</v>
      </c>
      <c r="CK173" s="1989"/>
      <c r="CL173" s="2003">
        <f t="shared" si="349"/>
        <v>0</v>
      </c>
      <c r="CM173" s="1989"/>
      <c r="CN173" s="1989"/>
      <c r="CO173" s="2002">
        <f t="shared" si="350"/>
        <v>0</v>
      </c>
      <c r="CP173" s="1999"/>
      <c r="CQ173" s="1993"/>
      <c r="CR173" s="2003">
        <f t="shared" si="351"/>
        <v>0</v>
      </c>
      <c r="CS173" s="1989"/>
      <c r="CT173" s="2003">
        <f t="shared" si="352"/>
        <v>0</v>
      </c>
      <c r="CU173" s="1989"/>
      <c r="CV173" s="2003">
        <f t="shared" si="353"/>
        <v>0</v>
      </c>
      <c r="CW173" s="1989"/>
      <c r="CX173" s="1989"/>
      <c r="CY173" s="2002">
        <f t="shared" si="354"/>
        <v>0</v>
      </c>
      <c r="CZ173" s="1999">
        <f t="shared" si="412"/>
        <v>0</v>
      </c>
      <c r="DA173" s="1993"/>
      <c r="DB173" s="2003">
        <f t="shared" si="355"/>
        <v>0</v>
      </c>
      <c r="DC173" s="1989"/>
      <c r="DD173" s="2003">
        <f t="shared" si="356"/>
        <v>0</v>
      </c>
      <c r="DE173" s="1989"/>
      <c r="DF173" s="2003">
        <f t="shared" si="357"/>
        <v>0</v>
      </c>
      <c r="DG173" s="1989"/>
      <c r="DH173" s="1989"/>
      <c r="DI173" s="2002">
        <f t="shared" si="358"/>
        <v>0</v>
      </c>
      <c r="DJ173" s="1999">
        <f t="shared" si="413"/>
        <v>0</v>
      </c>
      <c r="DK173" s="1993"/>
      <c r="DL173" s="2003">
        <f t="shared" si="359"/>
        <v>0</v>
      </c>
      <c r="DM173" s="1989"/>
      <c r="DN173" s="2003">
        <f t="shared" si="360"/>
        <v>0</v>
      </c>
      <c r="DO173" s="1989"/>
      <c r="DP173" s="2003">
        <f t="shared" si="361"/>
        <v>0</v>
      </c>
      <c r="DQ173" s="1989"/>
      <c r="DR173" s="1989"/>
      <c r="DS173" s="2002">
        <f t="shared" si="362"/>
        <v>0</v>
      </c>
      <c r="DT173" s="2004">
        <f t="shared" si="414"/>
        <v>0</v>
      </c>
      <c r="DU173" s="1988"/>
      <c r="DV173" s="2003">
        <f t="shared" si="364"/>
        <v>0</v>
      </c>
      <c r="DW173" s="1989"/>
      <c r="DX173" s="2003">
        <f t="shared" si="365"/>
        <v>0</v>
      </c>
      <c r="DY173" s="1989"/>
      <c r="DZ173" s="2003">
        <f t="shared" si="366"/>
        <v>0</v>
      </c>
      <c r="EA173" s="1989"/>
      <c r="EB173" s="1989"/>
      <c r="EC173" s="2002">
        <f t="shared" si="367"/>
        <v>0</v>
      </c>
      <c r="ED173" s="1998">
        <f t="shared" si="415"/>
        <v>0</v>
      </c>
      <c r="EE173" s="2005">
        <f t="shared" si="419"/>
        <v>0</v>
      </c>
      <c r="EF173" s="2003">
        <f t="shared" si="368"/>
        <v>0</v>
      </c>
      <c r="EG173" s="1989">
        <f t="shared" si="416"/>
        <v>0</v>
      </c>
      <c r="EH173" s="2003">
        <f t="shared" si="369"/>
        <v>0</v>
      </c>
      <c r="EI173" s="1989">
        <f t="shared" si="417"/>
        <v>0</v>
      </c>
      <c r="EJ173" s="2003">
        <f t="shared" si="370"/>
        <v>0</v>
      </c>
      <c r="EK173" s="1989">
        <f t="shared" si="418"/>
        <v>0</v>
      </c>
      <c r="EL173" s="1989">
        <f t="shared" si="418"/>
        <v>0</v>
      </c>
      <c r="EM173" s="2006">
        <f t="shared" si="371"/>
        <v>0</v>
      </c>
      <c r="EN173" s="1999">
        <f t="shared" si="420"/>
        <v>0</v>
      </c>
      <c r="EP173" s="1613" t="e">
        <f>EA173-#REF!/10^7</f>
        <v>#REF!</v>
      </c>
      <c r="EW173" s="1611" t="e">
        <v>#N/A</v>
      </c>
      <c r="EX173" s="1612" t="e">
        <v>#N/A</v>
      </c>
      <c r="EZ173" s="1650">
        <f t="shared" si="372"/>
        <v>0</v>
      </c>
    </row>
    <row r="174" spans="1:156" ht="21" customHeight="1">
      <c r="A174" s="1652">
        <v>19</v>
      </c>
      <c r="B174" s="1644"/>
      <c r="C174" s="1662"/>
      <c r="D174" s="1648"/>
      <c r="E174" s="1648"/>
      <c r="F174" s="1648"/>
      <c r="G174" s="1648"/>
      <c r="H174" s="1648"/>
      <c r="I174" s="1648"/>
      <c r="J174" s="1649"/>
      <c r="K174" s="1648"/>
      <c r="L174" s="1648"/>
      <c r="M174" s="1648"/>
      <c r="N174" s="1642"/>
      <c r="O174" s="2000"/>
      <c r="P174" s="2003">
        <f t="shared" si="317"/>
        <v>0</v>
      </c>
      <c r="Q174" s="1989"/>
      <c r="R174" s="2003">
        <f t="shared" si="318"/>
        <v>0</v>
      </c>
      <c r="S174" s="1989"/>
      <c r="T174" s="2003">
        <f t="shared" si="319"/>
        <v>0</v>
      </c>
      <c r="U174" s="1989"/>
      <c r="V174" s="1989"/>
      <c r="W174" s="1989">
        <f t="shared" si="320"/>
        <v>0</v>
      </c>
      <c r="X174" s="1999">
        <f t="shared" si="404"/>
        <v>0</v>
      </c>
      <c r="Y174" s="1993"/>
      <c r="Z174" s="2003">
        <f t="shared" si="321"/>
        <v>0</v>
      </c>
      <c r="AA174" s="1989"/>
      <c r="AB174" s="2003">
        <f t="shared" si="322"/>
        <v>0</v>
      </c>
      <c r="AC174" s="1989"/>
      <c r="AD174" s="2003">
        <f t="shared" si="323"/>
        <v>0</v>
      </c>
      <c r="AE174" s="1989"/>
      <c r="AF174" s="1989"/>
      <c r="AG174" s="2002">
        <f t="shared" si="324"/>
        <v>0</v>
      </c>
      <c r="AH174" s="1999">
        <f t="shared" si="405"/>
        <v>0</v>
      </c>
      <c r="AI174" s="1993"/>
      <c r="AJ174" s="2003">
        <f t="shared" si="326"/>
        <v>0</v>
      </c>
      <c r="AK174" s="1989"/>
      <c r="AL174" s="2003">
        <f t="shared" si="327"/>
        <v>0</v>
      </c>
      <c r="AM174" s="1989"/>
      <c r="AN174" s="2003">
        <f t="shared" si="328"/>
        <v>0</v>
      </c>
      <c r="AO174" s="1989"/>
      <c r="AP174" s="1989"/>
      <c r="AQ174" s="2002">
        <f t="shared" si="329"/>
        <v>0</v>
      </c>
      <c r="AR174" s="1999">
        <f t="shared" ref="AR174:AR175" si="421">AK174+AM174+AO174+AP174</f>
        <v>0</v>
      </c>
      <c r="AS174" s="1993"/>
      <c r="AT174" s="2003">
        <f t="shared" si="331"/>
        <v>0</v>
      </c>
      <c r="AU174" s="1989"/>
      <c r="AV174" s="2003">
        <f t="shared" si="332"/>
        <v>0</v>
      </c>
      <c r="AW174" s="1989"/>
      <c r="AX174" s="2003">
        <f t="shared" si="333"/>
        <v>0</v>
      </c>
      <c r="AY174" s="1989"/>
      <c r="AZ174" s="1989"/>
      <c r="BA174" s="2002">
        <f t="shared" si="334"/>
        <v>0</v>
      </c>
      <c r="BB174" s="1999">
        <f>AU174+AW174+AY174+AZ174</f>
        <v>0</v>
      </c>
      <c r="BC174" s="1993"/>
      <c r="BD174" s="2003">
        <f t="shared" si="335"/>
        <v>0</v>
      </c>
      <c r="BE174" s="1989"/>
      <c r="BF174" s="2003">
        <f t="shared" si="336"/>
        <v>0</v>
      </c>
      <c r="BG174" s="1989"/>
      <c r="BH174" s="2003">
        <f t="shared" si="337"/>
        <v>0</v>
      </c>
      <c r="BI174" s="1989"/>
      <c r="BJ174" s="1989"/>
      <c r="BK174" s="2002">
        <f t="shared" si="338"/>
        <v>0</v>
      </c>
      <c r="BL174" s="1999">
        <f>BE174+BG174+BI174+BJ174</f>
        <v>0</v>
      </c>
      <c r="BM174" s="1993"/>
      <c r="BN174" s="2003">
        <f t="shared" si="339"/>
        <v>0</v>
      </c>
      <c r="BO174" s="1989"/>
      <c r="BP174" s="2003">
        <f t="shared" si="340"/>
        <v>0</v>
      </c>
      <c r="BQ174" s="1989"/>
      <c r="BR174" s="2003">
        <f t="shared" si="341"/>
        <v>0</v>
      </c>
      <c r="BS174" s="1989"/>
      <c r="BT174" s="1989"/>
      <c r="BU174" s="2002">
        <f t="shared" si="342"/>
        <v>0</v>
      </c>
      <c r="BV174" s="1999">
        <f>BO174+BQ174+BS174+BT174</f>
        <v>0</v>
      </c>
      <c r="BW174" s="1993"/>
      <c r="BX174" s="2003">
        <f t="shared" si="343"/>
        <v>0</v>
      </c>
      <c r="BY174" s="1989"/>
      <c r="BZ174" s="2003">
        <f t="shared" si="344"/>
        <v>0</v>
      </c>
      <c r="CA174" s="1989"/>
      <c r="CB174" s="2003">
        <f t="shared" si="345"/>
        <v>0</v>
      </c>
      <c r="CC174" s="1989"/>
      <c r="CD174" s="1989"/>
      <c r="CE174" s="2002">
        <f t="shared" si="346"/>
        <v>0</v>
      </c>
      <c r="CF174" s="1999">
        <f>BY174+CA174+CC174+CD174</f>
        <v>0</v>
      </c>
      <c r="CG174" s="1993"/>
      <c r="CH174" s="2003">
        <f t="shared" si="347"/>
        <v>0</v>
      </c>
      <c r="CI174" s="1989"/>
      <c r="CJ174" s="2003">
        <f t="shared" si="348"/>
        <v>0</v>
      </c>
      <c r="CK174" s="1989"/>
      <c r="CL174" s="2003">
        <f t="shared" si="349"/>
        <v>0</v>
      </c>
      <c r="CM174" s="1989"/>
      <c r="CN174" s="1989"/>
      <c r="CO174" s="2002">
        <f t="shared" si="350"/>
        <v>0</v>
      </c>
      <c r="CP174" s="1999">
        <f>CI174+CK174+CM174+CN174</f>
        <v>0</v>
      </c>
      <c r="CQ174" s="1993"/>
      <c r="CR174" s="2003">
        <f t="shared" si="351"/>
        <v>0</v>
      </c>
      <c r="CS174" s="1989"/>
      <c r="CT174" s="2003">
        <f t="shared" si="352"/>
        <v>0</v>
      </c>
      <c r="CU174" s="1989"/>
      <c r="CV174" s="2003">
        <f t="shared" si="353"/>
        <v>0</v>
      </c>
      <c r="CW174" s="1989"/>
      <c r="CX174" s="1989"/>
      <c r="CY174" s="2002">
        <f t="shared" si="354"/>
        <v>0</v>
      </c>
      <c r="CZ174" s="1999">
        <f t="shared" si="412"/>
        <v>0</v>
      </c>
      <c r="DA174" s="1993"/>
      <c r="DB174" s="2003">
        <f t="shared" si="355"/>
        <v>0</v>
      </c>
      <c r="DC174" s="1989"/>
      <c r="DD174" s="2003">
        <f t="shared" si="356"/>
        <v>0</v>
      </c>
      <c r="DE174" s="1989"/>
      <c r="DF174" s="2003">
        <f t="shared" si="357"/>
        <v>0</v>
      </c>
      <c r="DG174" s="1989"/>
      <c r="DH174" s="1989"/>
      <c r="DI174" s="2002">
        <f t="shared" si="358"/>
        <v>0</v>
      </c>
      <c r="DJ174" s="1999">
        <f t="shared" si="413"/>
        <v>0</v>
      </c>
      <c r="DK174" s="1993"/>
      <c r="DL174" s="2003">
        <f t="shared" si="359"/>
        <v>0</v>
      </c>
      <c r="DM174" s="1989"/>
      <c r="DN174" s="2003">
        <f t="shared" si="360"/>
        <v>0</v>
      </c>
      <c r="DO174" s="1989"/>
      <c r="DP174" s="2003">
        <f t="shared" si="361"/>
        <v>0</v>
      </c>
      <c r="DQ174" s="1989"/>
      <c r="DR174" s="1989"/>
      <c r="DS174" s="2002">
        <f t="shared" si="362"/>
        <v>0</v>
      </c>
      <c r="DT174" s="2004">
        <f t="shared" si="414"/>
        <v>0</v>
      </c>
      <c r="DU174" s="1988"/>
      <c r="DV174" s="2003">
        <f t="shared" si="364"/>
        <v>0</v>
      </c>
      <c r="DW174" s="1989"/>
      <c r="DX174" s="2003">
        <f t="shared" si="365"/>
        <v>0</v>
      </c>
      <c r="DY174" s="1989"/>
      <c r="DZ174" s="2003">
        <f t="shared" si="366"/>
        <v>0</v>
      </c>
      <c r="EA174" s="1989"/>
      <c r="EB174" s="1989"/>
      <c r="EC174" s="2002">
        <f t="shared" si="367"/>
        <v>0</v>
      </c>
      <c r="ED174" s="1998">
        <f t="shared" si="415"/>
        <v>0</v>
      </c>
      <c r="EE174" s="2005">
        <f t="shared" si="419"/>
        <v>0</v>
      </c>
      <c r="EF174" s="2003">
        <f t="shared" si="368"/>
        <v>0</v>
      </c>
      <c r="EG174" s="1989">
        <f t="shared" si="416"/>
        <v>0</v>
      </c>
      <c r="EH174" s="2003">
        <f t="shared" si="369"/>
        <v>0</v>
      </c>
      <c r="EI174" s="1989">
        <f t="shared" si="417"/>
        <v>0</v>
      </c>
      <c r="EJ174" s="2003">
        <f t="shared" si="370"/>
        <v>0</v>
      </c>
      <c r="EK174" s="1989">
        <f t="shared" si="418"/>
        <v>0</v>
      </c>
      <c r="EL174" s="1989">
        <f t="shared" si="418"/>
        <v>0</v>
      </c>
      <c r="EM174" s="2006">
        <f t="shared" si="371"/>
        <v>0</v>
      </c>
      <c r="EN174" s="1999">
        <f t="shared" si="420"/>
        <v>0</v>
      </c>
      <c r="EP174" s="1613" t="e">
        <f>EA174-#REF!/10^7</f>
        <v>#REF!</v>
      </c>
      <c r="EW174" s="1611" t="e">
        <v>#N/A</v>
      </c>
      <c r="EX174" s="1612" t="e">
        <v>#N/A</v>
      </c>
      <c r="EZ174" s="1650">
        <f t="shared" si="372"/>
        <v>0</v>
      </c>
    </row>
    <row r="175" spans="1:156" ht="21" customHeight="1">
      <c r="A175" s="1652">
        <v>20</v>
      </c>
      <c r="B175" s="1700"/>
      <c r="D175" s="1648"/>
      <c r="E175" s="1648"/>
      <c r="F175" s="1648"/>
      <c r="G175" s="1648"/>
      <c r="H175" s="1648"/>
      <c r="I175" s="1641"/>
      <c r="J175" s="1649"/>
      <c r="K175" s="1641"/>
      <c r="L175" s="1648"/>
      <c r="M175" s="1648"/>
      <c r="N175" s="1671"/>
      <c r="O175" s="2000"/>
      <c r="P175" s="2003">
        <f t="shared" si="317"/>
        <v>0</v>
      </c>
      <c r="Q175" s="1998"/>
      <c r="R175" s="2003">
        <f t="shared" si="318"/>
        <v>0</v>
      </c>
      <c r="S175" s="1998"/>
      <c r="T175" s="2003">
        <f t="shared" si="319"/>
        <v>0</v>
      </c>
      <c r="U175" s="1989"/>
      <c r="V175" s="1989"/>
      <c r="W175" s="1989">
        <f t="shared" si="320"/>
        <v>0</v>
      </c>
      <c r="X175" s="1999">
        <f t="shared" si="404"/>
        <v>0</v>
      </c>
      <c r="Y175" s="2000"/>
      <c r="Z175" s="2003">
        <f t="shared" si="321"/>
        <v>0</v>
      </c>
      <c r="AA175" s="1998"/>
      <c r="AB175" s="2003">
        <f t="shared" si="322"/>
        <v>0</v>
      </c>
      <c r="AC175" s="1998"/>
      <c r="AD175" s="2003">
        <f t="shared" si="323"/>
        <v>0</v>
      </c>
      <c r="AE175" s="1989"/>
      <c r="AF175" s="1989"/>
      <c r="AG175" s="2002">
        <f t="shared" si="324"/>
        <v>0</v>
      </c>
      <c r="AH175" s="1999">
        <f t="shared" si="405"/>
        <v>0</v>
      </c>
      <c r="AI175" s="2000"/>
      <c r="AJ175" s="2003">
        <f t="shared" si="326"/>
        <v>0</v>
      </c>
      <c r="AK175" s="1998"/>
      <c r="AL175" s="2003">
        <f t="shared" si="327"/>
        <v>0</v>
      </c>
      <c r="AM175" s="1998"/>
      <c r="AN175" s="2003">
        <f t="shared" si="328"/>
        <v>0</v>
      </c>
      <c r="AO175" s="1989"/>
      <c r="AP175" s="1989"/>
      <c r="AQ175" s="2002">
        <f t="shared" si="329"/>
        <v>0</v>
      </c>
      <c r="AR175" s="1999">
        <f t="shared" si="421"/>
        <v>0</v>
      </c>
      <c r="AS175" s="2000"/>
      <c r="AT175" s="2003">
        <f t="shared" si="331"/>
        <v>0</v>
      </c>
      <c r="AU175" s="1998"/>
      <c r="AV175" s="2003">
        <f t="shared" si="332"/>
        <v>0</v>
      </c>
      <c r="AW175" s="1998"/>
      <c r="AX175" s="2003">
        <f t="shared" si="333"/>
        <v>0</v>
      </c>
      <c r="AY175" s="1989"/>
      <c r="AZ175" s="1989"/>
      <c r="BA175" s="2002">
        <f t="shared" si="334"/>
        <v>0</v>
      </c>
      <c r="BB175" s="1999">
        <f>AU175+AW175+AY175+AZ175</f>
        <v>0</v>
      </c>
      <c r="BC175" s="2000"/>
      <c r="BD175" s="2003">
        <f t="shared" si="335"/>
        <v>0</v>
      </c>
      <c r="BE175" s="1998"/>
      <c r="BF175" s="2003">
        <f t="shared" si="336"/>
        <v>0</v>
      </c>
      <c r="BG175" s="1998"/>
      <c r="BH175" s="2003">
        <f t="shared" si="337"/>
        <v>0</v>
      </c>
      <c r="BI175" s="1989"/>
      <c r="BJ175" s="1989"/>
      <c r="BK175" s="2002">
        <f t="shared" si="338"/>
        <v>0</v>
      </c>
      <c r="BL175" s="1999">
        <f>BE175+BG175+BI175+BJ175</f>
        <v>0</v>
      </c>
      <c r="BM175" s="2000"/>
      <c r="BN175" s="2003">
        <f t="shared" si="339"/>
        <v>0</v>
      </c>
      <c r="BO175" s="1998"/>
      <c r="BP175" s="2003">
        <f t="shared" si="340"/>
        <v>0</v>
      </c>
      <c r="BQ175" s="1998"/>
      <c r="BR175" s="2003">
        <f t="shared" si="341"/>
        <v>0</v>
      </c>
      <c r="BS175" s="1989"/>
      <c r="BT175" s="1989"/>
      <c r="BU175" s="2002">
        <f t="shared" si="342"/>
        <v>0</v>
      </c>
      <c r="BV175" s="1999">
        <f>BO175+BQ175+BS175+BT175</f>
        <v>0</v>
      </c>
      <c r="BW175" s="2000"/>
      <c r="BX175" s="2003">
        <f t="shared" si="343"/>
        <v>0</v>
      </c>
      <c r="BY175" s="1998"/>
      <c r="BZ175" s="2003">
        <f t="shared" si="344"/>
        <v>0</v>
      </c>
      <c r="CA175" s="1998"/>
      <c r="CB175" s="2003">
        <f t="shared" si="345"/>
        <v>0</v>
      </c>
      <c r="CC175" s="1989"/>
      <c r="CD175" s="1989"/>
      <c r="CE175" s="2002">
        <f t="shared" si="346"/>
        <v>0</v>
      </c>
      <c r="CF175" s="1999">
        <f>BY175+CA175+CC175+CD175</f>
        <v>0</v>
      </c>
      <c r="CG175" s="2000"/>
      <c r="CH175" s="2003">
        <f t="shared" si="347"/>
        <v>0</v>
      </c>
      <c r="CI175" s="1998"/>
      <c r="CJ175" s="2003">
        <f t="shared" si="348"/>
        <v>0</v>
      </c>
      <c r="CK175" s="1998"/>
      <c r="CL175" s="2003">
        <f t="shared" si="349"/>
        <v>0</v>
      </c>
      <c r="CM175" s="1989"/>
      <c r="CN175" s="1989"/>
      <c r="CO175" s="2002">
        <f t="shared" si="350"/>
        <v>0</v>
      </c>
      <c r="CP175" s="1999">
        <f>CI175+CK175+CM175+CN175</f>
        <v>0</v>
      </c>
      <c r="CQ175" s="2000"/>
      <c r="CR175" s="2003">
        <f t="shared" si="351"/>
        <v>0</v>
      </c>
      <c r="CS175" s="1998"/>
      <c r="CT175" s="2003">
        <f t="shared" si="352"/>
        <v>0</v>
      </c>
      <c r="CU175" s="1998"/>
      <c r="CV175" s="2003">
        <f t="shared" si="353"/>
        <v>0</v>
      </c>
      <c r="CW175" s="1989"/>
      <c r="CX175" s="1989"/>
      <c r="CY175" s="2002">
        <f t="shared" si="354"/>
        <v>0</v>
      </c>
      <c r="CZ175" s="1999">
        <f t="shared" si="412"/>
        <v>0</v>
      </c>
      <c r="DA175" s="2000"/>
      <c r="DB175" s="2003">
        <f t="shared" si="355"/>
        <v>0</v>
      </c>
      <c r="DC175" s="1998"/>
      <c r="DD175" s="2003">
        <f t="shared" si="356"/>
        <v>0</v>
      </c>
      <c r="DE175" s="1998"/>
      <c r="DF175" s="2003">
        <f t="shared" si="357"/>
        <v>0</v>
      </c>
      <c r="DG175" s="1989"/>
      <c r="DH175" s="1989"/>
      <c r="DI175" s="2002">
        <f t="shared" si="358"/>
        <v>0</v>
      </c>
      <c r="DJ175" s="1999">
        <f t="shared" si="413"/>
        <v>0</v>
      </c>
      <c r="DK175" s="2000"/>
      <c r="DL175" s="2003">
        <f t="shared" si="359"/>
        <v>0</v>
      </c>
      <c r="DM175" s="1998"/>
      <c r="DN175" s="2003">
        <f t="shared" si="360"/>
        <v>0</v>
      </c>
      <c r="DO175" s="1998"/>
      <c r="DP175" s="2003">
        <f t="shared" si="361"/>
        <v>0</v>
      </c>
      <c r="DQ175" s="1989"/>
      <c r="DR175" s="1989"/>
      <c r="DS175" s="2002">
        <f t="shared" si="362"/>
        <v>0</v>
      </c>
      <c r="DT175" s="2004">
        <f t="shared" si="414"/>
        <v>0</v>
      </c>
      <c r="DU175" s="2020"/>
      <c r="DV175" s="2003">
        <f t="shared" si="364"/>
        <v>0</v>
      </c>
      <c r="DW175" s="1998"/>
      <c r="DX175" s="2003">
        <f t="shared" si="365"/>
        <v>0</v>
      </c>
      <c r="DY175" s="1998"/>
      <c r="DZ175" s="2003">
        <f t="shared" si="366"/>
        <v>0</v>
      </c>
      <c r="EA175" s="1989"/>
      <c r="EB175" s="1989"/>
      <c r="EC175" s="2002">
        <f t="shared" si="367"/>
        <v>0</v>
      </c>
      <c r="ED175" s="1998">
        <f t="shared" si="415"/>
        <v>0</v>
      </c>
      <c r="EE175" s="2005">
        <f t="shared" si="419"/>
        <v>0</v>
      </c>
      <c r="EF175" s="2003">
        <f t="shared" si="368"/>
        <v>0</v>
      </c>
      <c r="EG175" s="1989">
        <f t="shared" si="416"/>
        <v>0</v>
      </c>
      <c r="EH175" s="2003">
        <f t="shared" si="369"/>
        <v>0</v>
      </c>
      <c r="EI175" s="1989">
        <f t="shared" si="417"/>
        <v>0</v>
      </c>
      <c r="EJ175" s="2003">
        <f t="shared" si="370"/>
        <v>0</v>
      </c>
      <c r="EK175" s="1989">
        <f t="shared" si="418"/>
        <v>0</v>
      </c>
      <c r="EL175" s="1989">
        <f t="shared" si="418"/>
        <v>0</v>
      </c>
      <c r="EM175" s="2006">
        <f t="shared" si="371"/>
        <v>0</v>
      </c>
      <c r="EN175" s="1999">
        <f t="shared" si="420"/>
        <v>0</v>
      </c>
      <c r="EP175" s="1613" t="e">
        <f>EA175-#REF!/10^7</f>
        <v>#REF!</v>
      </c>
      <c r="EW175" s="1611" t="e">
        <v>#N/A</v>
      </c>
      <c r="EX175" s="1612" t="e">
        <v>#N/A</v>
      </c>
      <c r="EZ175" s="1650">
        <f t="shared" si="372"/>
        <v>0</v>
      </c>
    </row>
    <row r="176" spans="1:156" s="1660" customFormat="1" ht="21" customHeight="1">
      <c r="A176" s="1637"/>
      <c r="B176" s="1654" t="s">
        <v>211</v>
      </c>
      <c r="C176" s="1655"/>
      <c r="D176" s="1656"/>
      <c r="E176" s="1656"/>
      <c r="F176" s="1656"/>
      <c r="G176" s="1656"/>
      <c r="H176" s="1656"/>
      <c r="I176" s="1656"/>
      <c r="J176" s="1657"/>
      <c r="K176" s="1656"/>
      <c r="L176" s="1656"/>
      <c r="M176" s="1656"/>
      <c r="N176" s="1658"/>
      <c r="O176" s="2007" t="e">
        <f>SUM(O156:O175)</f>
        <v>#REF!</v>
      </c>
      <c r="P176" s="2003">
        <f t="shared" si="317"/>
        <v>0</v>
      </c>
      <c r="Q176" s="1826" t="e">
        <f>SUM(Q156:Q175)</f>
        <v>#REF!</v>
      </c>
      <c r="R176" s="2003">
        <f t="shared" si="318"/>
        <v>0</v>
      </c>
      <c r="S176" s="1826" t="e">
        <f>SUM(S156:S175)</f>
        <v>#REF!</v>
      </c>
      <c r="T176" s="2003">
        <f t="shared" si="319"/>
        <v>0</v>
      </c>
      <c r="U176" s="1826" t="e">
        <f>SUM(U156:U175)</f>
        <v>#REF!</v>
      </c>
      <c r="V176" s="1826"/>
      <c r="W176" s="1989">
        <f t="shared" si="320"/>
        <v>0</v>
      </c>
      <c r="X176" s="2008" t="e">
        <f t="shared" ref="X176:AF176" si="422">SUM(X156:X175)</f>
        <v>#REF!</v>
      </c>
      <c r="Y176" s="2007" t="e">
        <f t="shared" si="422"/>
        <v>#REF!</v>
      </c>
      <c r="Z176" s="2003">
        <f t="shared" si="321"/>
        <v>0</v>
      </c>
      <c r="AA176" s="1826" t="e">
        <f t="shared" si="422"/>
        <v>#REF!</v>
      </c>
      <c r="AB176" s="2003">
        <f t="shared" si="322"/>
        <v>0</v>
      </c>
      <c r="AC176" s="1826" t="e">
        <f t="shared" si="422"/>
        <v>#REF!</v>
      </c>
      <c r="AD176" s="2003">
        <f t="shared" si="323"/>
        <v>0</v>
      </c>
      <c r="AE176" s="1826" t="e">
        <f t="shared" si="422"/>
        <v>#REF!</v>
      </c>
      <c r="AF176" s="1826" t="e">
        <f t="shared" si="422"/>
        <v>#REF!</v>
      </c>
      <c r="AG176" s="2002" t="e">
        <f t="shared" si="324"/>
        <v>#REF!</v>
      </c>
      <c r="AH176" s="2008" t="e">
        <f t="shared" ref="AH176:AP176" si="423">SUM(AH156:AH175)</f>
        <v>#REF!</v>
      </c>
      <c r="AI176" s="2007" t="e">
        <f t="shared" si="423"/>
        <v>#REF!</v>
      </c>
      <c r="AJ176" s="2003">
        <f t="shared" si="326"/>
        <v>0</v>
      </c>
      <c r="AK176" s="1826" t="e">
        <f t="shared" si="423"/>
        <v>#REF!</v>
      </c>
      <c r="AL176" s="2003">
        <f t="shared" si="327"/>
        <v>0</v>
      </c>
      <c r="AM176" s="1826" t="e">
        <f t="shared" si="423"/>
        <v>#REF!</v>
      </c>
      <c r="AN176" s="2003">
        <f t="shared" si="328"/>
        <v>0</v>
      </c>
      <c r="AO176" s="1826" t="e">
        <f t="shared" si="423"/>
        <v>#REF!</v>
      </c>
      <c r="AP176" s="1826" t="e">
        <f t="shared" si="423"/>
        <v>#REF!</v>
      </c>
      <c r="AQ176" s="2002" t="e">
        <f t="shared" si="329"/>
        <v>#REF!</v>
      </c>
      <c r="AR176" s="2008" t="e">
        <f t="shared" ref="AR176:AZ176" si="424">SUM(AR156:AR175)</f>
        <v>#REF!</v>
      </c>
      <c r="AS176" s="2007" t="e">
        <f t="shared" si="424"/>
        <v>#REF!</v>
      </c>
      <c r="AT176" s="2003">
        <f t="shared" si="331"/>
        <v>0</v>
      </c>
      <c r="AU176" s="1826" t="e">
        <f t="shared" si="424"/>
        <v>#REF!</v>
      </c>
      <c r="AV176" s="2003">
        <f t="shared" si="332"/>
        <v>0</v>
      </c>
      <c r="AW176" s="1826" t="e">
        <f t="shared" si="424"/>
        <v>#REF!</v>
      </c>
      <c r="AX176" s="2003">
        <f t="shared" si="333"/>
        <v>0</v>
      </c>
      <c r="AY176" s="1826" t="e">
        <f t="shared" si="424"/>
        <v>#REF!</v>
      </c>
      <c r="AZ176" s="1826" t="e">
        <f t="shared" si="424"/>
        <v>#REF!</v>
      </c>
      <c r="BA176" s="2002" t="e">
        <f t="shared" si="334"/>
        <v>#REF!</v>
      </c>
      <c r="BB176" s="2008" t="e">
        <f t="shared" ref="BB176:BJ176" si="425">SUM(BB156:BB175)</f>
        <v>#REF!</v>
      </c>
      <c r="BC176" s="2007" t="e">
        <f t="shared" si="425"/>
        <v>#REF!</v>
      </c>
      <c r="BD176" s="2003">
        <f t="shared" si="335"/>
        <v>0</v>
      </c>
      <c r="BE176" s="1826" t="e">
        <f t="shared" si="425"/>
        <v>#REF!</v>
      </c>
      <c r="BF176" s="2003">
        <f t="shared" si="336"/>
        <v>0</v>
      </c>
      <c r="BG176" s="1826" t="e">
        <f t="shared" si="425"/>
        <v>#REF!</v>
      </c>
      <c r="BH176" s="2003">
        <f t="shared" si="337"/>
        <v>0</v>
      </c>
      <c r="BI176" s="1826" t="e">
        <f t="shared" si="425"/>
        <v>#REF!</v>
      </c>
      <c r="BJ176" s="1826" t="e">
        <f t="shared" si="425"/>
        <v>#REF!</v>
      </c>
      <c r="BK176" s="2002" t="e">
        <f t="shared" si="338"/>
        <v>#REF!</v>
      </c>
      <c r="BL176" s="2008" t="e">
        <f t="shared" ref="BL176:BT176" si="426">SUM(BL156:BL175)</f>
        <v>#REF!</v>
      </c>
      <c r="BM176" s="2007" t="e">
        <f t="shared" si="426"/>
        <v>#REF!</v>
      </c>
      <c r="BN176" s="2003">
        <f t="shared" si="339"/>
        <v>0</v>
      </c>
      <c r="BO176" s="1826" t="e">
        <f t="shared" si="426"/>
        <v>#REF!</v>
      </c>
      <c r="BP176" s="2003">
        <f t="shared" si="340"/>
        <v>0</v>
      </c>
      <c r="BQ176" s="1826" t="e">
        <f t="shared" si="426"/>
        <v>#REF!</v>
      </c>
      <c r="BR176" s="2003">
        <f t="shared" si="341"/>
        <v>0</v>
      </c>
      <c r="BS176" s="1826" t="e">
        <f t="shared" si="426"/>
        <v>#REF!</v>
      </c>
      <c r="BT176" s="1826" t="e">
        <f t="shared" si="426"/>
        <v>#REF!</v>
      </c>
      <c r="BU176" s="2002" t="e">
        <f t="shared" si="342"/>
        <v>#REF!</v>
      </c>
      <c r="BV176" s="2008" t="e">
        <f t="shared" ref="BV176:CD176" si="427">SUM(BV156:BV175)</f>
        <v>#REF!</v>
      </c>
      <c r="BW176" s="2007" t="e">
        <f t="shared" si="427"/>
        <v>#REF!</v>
      </c>
      <c r="BX176" s="2003">
        <f t="shared" si="343"/>
        <v>0</v>
      </c>
      <c r="BY176" s="1826" t="e">
        <f t="shared" si="427"/>
        <v>#REF!</v>
      </c>
      <c r="BZ176" s="2003">
        <f t="shared" si="344"/>
        <v>0</v>
      </c>
      <c r="CA176" s="1826" t="e">
        <f t="shared" si="427"/>
        <v>#REF!</v>
      </c>
      <c r="CB176" s="2003">
        <f t="shared" si="345"/>
        <v>0</v>
      </c>
      <c r="CC176" s="1826" t="e">
        <f t="shared" si="427"/>
        <v>#REF!</v>
      </c>
      <c r="CD176" s="1826" t="e">
        <f t="shared" si="427"/>
        <v>#REF!</v>
      </c>
      <c r="CE176" s="2002" t="e">
        <f t="shared" si="346"/>
        <v>#REF!</v>
      </c>
      <c r="CF176" s="2008" t="e">
        <f t="shared" ref="CF176:CN176" si="428">SUM(CF156:CF175)</f>
        <v>#REF!</v>
      </c>
      <c r="CG176" s="2007" t="e">
        <f t="shared" si="428"/>
        <v>#REF!</v>
      </c>
      <c r="CH176" s="2003">
        <f t="shared" si="347"/>
        <v>0</v>
      </c>
      <c r="CI176" s="1826" t="e">
        <f t="shared" si="428"/>
        <v>#REF!</v>
      </c>
      <c r="CJ176" s="2003">
        <f t="shared" si="348"/>
        <v>0</v>
      </c>
      <c r="CK176" s="1826" t="e">
        <f t="shared" si="428"/>
        <v>#REF!</v>
      </c>
      <c r="CL176" s="2003">
        <f t="shared" si="349"/>
        <v>0</v>
      </c>
      <c r="CM176" s="1826" t="e">
        <f t="shared" si="428"/>
        <v>#REF!</v>
      </c>
      <c r="CN176" s="1826" t="e">
        <f t="shared" si="428"/>
        <v>#REF!</v>
      </c>
      <c r="CO176" s="2002" t="e">
        <f t="shared" si="350"/>
        <v>#REF!</v>
      </c>
      <c r="CP176" s="2008" t="e">
        <f t="shared" ref="CP176:CX176" si="429">SUM(CP156:CP175)</f>
        <v>#REF!</v>
      </c>
      <c r="CQ176" s="2007" t="e">
        <f t="shared" si="429"/>
        <v>#REF!</v>
      </c>
      <c r="CR176" s="2003">
        <f t="shared" si="351"/>
        <v>0</v>
      </c>
      <c r="CS176" s="1826" t="e">
        <f t="shared" si="429"/>
        <v>#REF!</v>
      </c>
      <c r="CT176" s="2003">
        <f t="shared" si="352"/>
        <v>0</v>
      </c>
      <c r="CU176" s="1826" t="e">
        <f t="shared" si="429"/>
        <v>#REF!</v>
      </c>
      <c r="CV176" s="2003">
        <f t="shared" si="353"/>
        <v>0</v>
      </c>
      <c r="CW176" s="1826" t="e">
        <f t="shared" si="429"/>
        <v>#REF!</v>
      </c>
      <c r="CX176" s="1826" t="e">
        <f t="shared" si="429"/>
        <v>#REF!</v>
      </c>
      <c r="CY176" s="2002" t="e">
        <f t="shared" si="354"/>
        <v>#REF!</v>
      </c>
      <c r="CZ176" s="2008" t="e">
        <f t="shared" ref="CZ176:DH176" si="430">SUM(CZ156:CZ175)</f>
        <v>#REF!</v>
      </c>
      <c r="DA176" s="2007" t="e">
        <f>SUM(DA156:DA175)</f>
        <v>#REF!</v>
      </c>
      <c r="DB176" s="2003">
        <f t="shared" si="355"/>
        <v>0</v>
      </c>
      <c r="DC176" s="1826" t="e">
        <f t="shared" si="430"/>
        <v>#REF!</v>
      </c>
      <c r="DD176" s="2003">
        <f t="shared" si="356"/>
        <v>0</v>
      </c>
      <c r="DE176" s="1826" t="e">
        <f t="shared" si="430"/>
        <v>#REF!</v>
      </c>
      <c r="DF176" s="2003">
        <f t="shared" si="357"/>
        <v>0</v>
      </c>
      <c r="DG176" s="1826" t="e">
        <f t="shared" si="430"/>
        <v>#REF!</v>
      </c>
      <c r="DH176" s="1826" t="e">
        <f t="shared" si="430"/>
        <v>#REF!</v>
      </c>
      <c r="DI176" s="2002" t="e">
        <f t="shared" si="358"/>
        <v>#REF!</v>
      </c>
      <c r="DJ176" s="2008" t="e">
        <f t="shared" ref="DJ176:DR176" si="431">SUM(DJ156:DJ175)</f>
        <v>#REF!</v>
      </c>
      <c r="DK176" s="2007" t="e">
        <f>SUM(DK156:DK175)</f>
        <v>#REF!</v>
      </c>
      <c r="DL176" s="2003">
        <f t="shared" si="359"/>
        <v>0</v>
      </c>
      <c r="DM176" s="1826" t="e">
        <f t="shared" si="431"/>
        <v>#REF!</v>
      </c>
      <c r="DN176" s="2003">
        <f t="shared" si="360"/>
        <v>0</v>
      </c>
      <c r="DO176" s="1826" t="e">
        <f>SUM(DO156:DO175)</f>
        <v>#REF!</v>
      </c>
      <c r="DP176" s="2003">
        <f t="shared" si="361"/>
        <v>0</v>
      </c>
      <c r="DQ176" s="1826" t="e">
        <f t="shared" si="431"/>
        <v>#REF!</v>
      </c>
      <c r="DR176" s="1826" t="e">
        <f t="shared" si="431"/>
        <v>#REF!</v>
      </c>
      <c r="DS176" s="2002" t="e">
        <f t="shared" si="362"/>
        <v>#REF!</v>
      </c>
      <c r="DT176" s="2009" t="e">
        <f t="shared" ref="DT176:EB176" si="432">SUM(DT156:DT175)</f>
        <v>#REF!</v>
      </c>
      <c r="DU176" s="2010" t="e">
        <f>SUM(DU156:DU175)</f>
        <v>#REF!</v>
      </c>
      <c r="DV176" s="2003">
        <f t="shared" si="364"/>
        <v>0</v>
      </c>
      <c r="DW176" s="1826" t="e">
        <f t="shared" si="432"/>
        <v>#REF!</v>
      </c>
      <c r="DX176" s="2003">
        <f t="shared" si="365"/>
        <v>0</v>
      </c>
      <c r="DY176" s="1826" t="e">
        <f t="shared" si="432"/>
        <v>#REF!</v>
      </c>
      <c r="DZ176" s="2003">
        <f t="shared" si="366"/>
        <v>0</v>
      </c>
      <c r="EA176" s="1826" t="e">
        <f t="shared" si="432"/>
        <v>#REF!</v>
      </c>
      <c r="EB176" s="1826" t="e">
        <f t="shared" si="432"/>
        <v>#REF!</v>
      </c>
      <c r="EC176" s="2002" t="e">
        <f t="shared" si="367"/>
        <v>#REF!</v>
      </c>
      <c r="ED176" s="1826" t="e">
        <f t="shared" ref="ED176:EL176" si="433">SUM(ED156:ED175)</f>
        <v>#REF!</v>
      </c>
      <c r="EE176" s="2011" t="e">
        <f t="shared" si="433"/>
        <v>#REF!</v>
      </c>
      <c r="EF176" s="2003">
        <f t="shared" si="368"/>
        <v>0</v>
      </c>
      <c r="EG176" s="1826" t="e">
        <f t="shared" si="433"/>
        <v>#REF!</v>
      </c>
      <c r="EH176" s="2003">
        <f t="shared" si="369"/>
        <v>0</v>
      </c>
      <c r="EI176" s="1826" t="e">
        <f t="shared" si="433"/>
        <v>#REF!</v>
      </c>
      <c r="EJ176" s="2003">
        <f t="shared" si="370"/>
        <v>0</v>
      </c>
      <c r="EK176" s="1826" t="e">
        <f t="shared" si="433"/>
        <v>#REF!</v>
      </c>
      <c r="EL176" s="1826" t="e">
        <f t="shared" si="433"/>
        <v>#REF!</v>
      </c>
      <c r="EM176" s="2006" t="e">
        <f t="shared" si="371"/>
        <v>#REF!</v>
      </c>
      <c r="EN176" s="2008" t="e">
        <f>SUM(EN156:EN175)</f>
        <v>#REF!</v>
      </c>
      <c r="EO176" s="1659"/>
      <c r="EP176" s="1613" t="e">
        <f>EA176-#REF!/10^7</f>
        <v>#REF!</v>
      </c>
      <c r="EQ176" s="1661"/>
      <c r="EW176" s="1611" t="e">
        <v>#N/A</v>
      </c>
      <c r="EX176" s="1612">
        <v>0</v>
      </c>
      <c r="EZ176" s="1650">
        <f t="shared" si="372"/>
        <v>0</v>
      </c>
    </row>
    <row r="177" spans="1:156" ht="21" customHeight="1">
      <c r="A177" s="1652"/>
      <c r="B177" s="1638"/>
      <c r="C177" s="1662"/>
      <c r="D177" s="1648"/>
      <c r="E177" s="1648"/>
      <c r="F177" s="1648"/>
      <c r="G177" s="1648"/>
      <c r="H177" s="1648"/>
      <c r="I177" s="1641"/>
      <c r="J177" s="1649"/>
      <c r="K177" s="1641"/>
      <c r="L177" s="1648"/>
      <c r="M177" s="1648"/>
      <c r="N177" s="1671"/>
      <c r="O177" s="2000"/>
      <c r="P177" s="2003">
        <f t="shared" si="317"/>
        <v>0</v>
      </c>
      <c r="Q177" s="1989"/>
      <c r="R177" s="2003">
        <f t="shared" si="318"/>
        <v>0</v>
      </c>
      <c r="S177" s="1998"/>
      <c r="T177" s="2003">
        <f t="shared" si="319"/>
        <v>0</v>
      </c>
      <c r="U177" s="1989"/>
      <c r="V177" s="1989"/>
      <c r="W177" s="1989">
        <f t="shared" si="320"/>
        <v>0</v>
      </c>
      <c r="X177" s="1999">
        <f t="shared" ref="X177:X182" si="434">Q177+S177+U177+V177</f>
        <v>0</v>
      </c>
      <c r="Y177" s="2000"/>
      <c r="Z177" s="2003">
        <f t="shared" si="321"/>
        <v>0</v>
      </c>
      <c r="AA177" s="1998"/>
      <c r="AB177" s="2003">
        <f t="shared" si="322"/>
        <v>0</v>
      </c>
      <c r="AC177" s="1998"/>
      <c r="AD177" s="2003">
        <f t="shared" si="323"/>
        <v>0</v>
      </c>
      <c r="AE177" s="1989"/>
      <c r="AF177" s="1989"/>
      <c r="AG177" s="2002">
        <f t="shared" si="324"/>
        <v>0</v>
      </c>
      <c r="AH177" s="1999">
        <f t="shared" ref="AH177:AH182" si="435">AA177+AC177+AE177+AF177</f>
        <v>0</v>
      </c>
      <c r="AI177" s="2000"/>
      <c r="AJ177" s="2003">
        <f t="shared" si="326"/>
        <v>0</v>
      </c>
      <c r="AK177" s="1998"/>
      <c r="AL177" s="2003">
        <f t="shared" si="327"/>
        <v>0</v>
      </c>
      <c r="AM177" s="1998"/>
      <c r="AN177" s="2003">
        <f t="shared" si="328"/>
        <v>0</v>
      </c>
      <c r="AO177" s="1989"/>
      <c r="AP177" s="1989"/>
      <c r="AQ177" s="2002">
        <f t="shared" si="329"/>
        <v>0</v>
      </c>
      <c r="AR177" s="1999">
        <f t="shared" ref="AR177:AR182" si="436">AK177+AM177+AO177+AP177</f>
        <v>0</v>
      </c>
      <c r="AS177" s="2000"/>
      <c r="AT177" s="2003">
        <f t="shared" si="331"/>
        <v>0</v>
      </c>
      <c r="AU177" s="1998"/>
      <c r="AV177" s="2003">
        <f t="shared" si="332"/>
        <v>0</v>
      </c>
      <c r="AW177" s="1998"/>
      <c r="AX177" s="2003">
        <f t="shared" si="333"/>
        <v>0</v>
      </c>
      <c r="AY177" s="1989"/>
      <c r="AZ177" s="1989"/>
      <c r="BA177" s="2002">
        <f t="shared" si="334"/>
        <v>0</v>
      </c>
      <c r="BB177" s="1999">
        <f t="shared" ref="BB177:BB182" si="437">AU177+AW177+AY177+AZ177</f>
        <v>0</v>
      </c>
      <c r="BC177" s="2000"/>
      <c r="BD177" s="2003">
        <f t="shared" si="335"/>
        <v>0</v>
      </c>
      <c r="BE177" s="1998"/>
      <c r="BF177" s="2003">
        <f t="shared" si="336"/>
        <v>0</v>
      </c>
      <c r="BG177" s="1998"/>
      <c r="BH177" s="2003">
        <f t="shared" si="337"/>
        <v>0</v>
      </c>
      <c r="BI177" s="1989"/>
      <c r="BJ177" s="1989"/>
      <c r="BK177" s="2002">
        <f t="shared" si="338"/>
        <v>0</v>
      </c>
      <c r="BL177" s="1999">
        <f t="shared" ref="BL177:BL240" si="438">BE177+BG177+BI177+BJ177</f>
        <v>0</v>
      </c>
      <c r="BM177" s="2000"/>
      <c r="BN177" s="2003">
        <f t="shared" si="339"/>
        <v>0</v>
      </c>
      <c r="BO177" s="1998"/>
      <c r="BP177" s="2003">
        <f t="shared" si="340"/>
        <v>0</v>
      </c>
      <c r="BQ177" s="1998" t="e">
        <f>933.736175-BM167</f>
        <v>#REF!</v>
      </c>
      <c r="BR177" s="2003">
        <f t="shared" si="341"/>
        <v>0</v>
      </c>
      <c r="BS177" s="1989"/>
      <c r="BT177" s="1989"/>
      <c r="BU177" s="2002">
        <f t="shared" si="342"/>
        <v>0</v>
      </c>
      <c r="BV177" s="1999" t="e">
        <f t="shared" ref="BV177:BV240" si="439">BO177+BQ177+BS177+BT177</f>
        <v>#REF!</v>
      </c>
      <c r="BW177" s="2000"/>
      <c r="BX177" s="2003">
        <f t="shared" si="343"/>
        <v>0</v>
      </c>
      <c r="BY177" s="1998"/>
      <c r="BZ177" s="2003">
        <f t="shared" si="344"/>
        <v>0</v>
      </c>
      <c r="CA177" s="1998"/>
      <c r="CB177" s="2003">
        <f t="shared" si="345"/>
        <v>0</v>
      </c>
      <c r="CC177" s="1989"/>
      <c r="CD177" s="1989"/>
      <c r="CE177" s="2002">
        <f t="shared" si="346"/>
        <v>0</v>
      </c>
      <c r="CF177" s="1999">
        <f t="shared" ref="CF177:CF240" si="440">BY177+CA177+CC177+CD177</f>
        <v>0</v>
      </c>
      <c r="CG177" s="2000"/>
      <c r="CH177" s="2003">
        <f t="shared" si="347"/>
        <v>0</v>
      </c>
      <c r="CI177" s="1998"/>
      <c r="CJ177" s="2003">
        <f t="shared" si="348"/>
        <v>0</v>
      </c>
      <c r="CK177" s="1998"/>
      <c r="CL177" s="2003">
        <f t="shared" si="349"/>
        <v>0</v>
      </c>
      <c r="CM177" s="1989"/>
      <c r="CN177" s="1989"/>
      <c r="CO177" s="2002">
        <f t="shared" si="350"/>
        <v>0</v>
      </c>
      <c r="CP177" s="1999">
        <f t="shared" ref="CP177:CP240" si="441">CI177+CK177+CM177+CN177</f>
        <v>0</v>
      </c>
      <c r="CQ177" s="2000"/>
      <c r="CR177" s="2003">
        <f t="shared" si="351"/>
        <v>0</v>
      </c>
      <c r="CS177" s="1998"/>
      <c r="CT177" s="2003">
        <f t="shared" si="352"/>
        <v>0</v>
      </c>
      <c r="CU177" s="1998"/>
      <c r="CV177" s="2003">
        <f t="shared" si="353"/>
        <v>0</v>
      </c>
      <c r="CW177" s="1989"/>
      <c r="CX177" s="1989"/>
      <c r="CY177" s="2002">
        <f t="shared" si="354"/>
        <v>0</v>
      </c>
      <c r="CZ177" s="1999">
        <f t="shared" ref="CZ177:CZ240" si="442">CS177+CU177+CW177+CX177</f>
        <v>0</v>
      </c>
      <c r="DA177" s="2000" t="s">
        <v>541</v>
      </c>
      <c r="DB177" s="2003">
        <f t="shared" si="355"/>
        <v>0</v>
      </c>
      <c r="DC177" s="1998"/>
      <c r="DD177" s="2003">
        <f t="shared" si="356"/>
        <v>0</v>
      </c>
      <c r="DE177" s="1998"/>
      <c r="DF177" s="2003">
        <f t="shared" si="357"/>
        <v>0</v>
      </c>
      <c r="DG177" s="1989"/>
      <c r="DH177" s="1989"/>
      <c r="DI177" s="2002" t="e">
        <f t="shared" si="358"/>
        <v>#VALUE!</v>
      </c>
      <c r="DJ177" s="1999">
        <f t="shared" ref="DJ177:DJ182" si="443">DC177+DE177+DG177+DH177</f>
        <v>0</v>
      </c>
      <c r="DK177" s="2000" t="s">
        <v>541</v>
      </c>
      <c r="DL177" s="2003">
        <f t="shared" si="359"/>
        <v>0</v>
      </c>
      <c r="DM177" s="1998"/>
      <c r="DN177" s="2003">
        <f t="shared" si="360"/>
        <v>0</v>
      </c>
      <c r="DO177" s="1998"/>
      <c r="DP177" s="2003">
        <f t="shared" si="361"/>
        <v>0</v>
      </c>
      <c r="DQ177" s="1989"/>
      <c r="DR177" s="1989"/>
      <c r="DS177" s="2002" t="e">
        <f t="shared" si="362"/>
        <v>#VALUE!</v>
      </c>
      <c r="DT177" s="2004">
        <f t="shared" ref="DT177:DT182" si="444">DM177+DO177+DQ177+DR177</f>
        <v>0</v>
      </c>
      <c r="DU177" s="2020" t="s">
        <v>541</v>
      </c>
      <c r="DV177" s="2003">
        <f t="shared" si="364"/>
        <v>0</v>
      </c>
      <c r="DW177" s="1998"/>
      <c r="DX177" s="2003">
        <f t="shared" si="365"/>
        <v>0</v>
      </c>
      <c r="DY177" s="1998"/>
      <c r="DZ177" s="2003">
        <f t="shared" si="366"/>
        <v>0</v>
      </c>
      <c r="EA177" s="1989"/>
      <c r="EB177" s="1989"/>
      <c r="EC177" s="2002"/>
      <c r="ED177" s="1998">
        <f t="shared" ref="ED177:ED182" si="445">DW177+DY177+EA177+EB177</f>
        <v>0</v>
      </c>
      <c r="EE177" s="2005"/>
      <c r="EF177" s="2003">
        <f t="shared" si="368"/>
        <v>0</v>
      </c>
      <c r="EG177" s="1989"/>
      <c r="EH177" s="2003">
        <f t="shared" si="369"/>
        <v>0</v>
      </c>
      <c r="EI177" s="1989"/>
      <c r="EJ177" s="2003">
        <f t="shared" si="370"/>
        <v>0</v>
      </c>
      <c r="EK177" s="1989"/>
      <c r="EL177" s="1989"/>
      <c r="EM177" s="2006">
        <f t="shared" si="371"/>
        <v>0</v>
      </c>
      <c r="EN177" s="1999"/>
      <c r="EP177" s="1613" t="e">
        <f>EA177-#REF!/10^7</f>
        <v>#REF!</v>
      </c>
      <c r="EW177" s="1611" t="e">
        <v>#N/A</v>
      </c>
      <c r="EX177" s="1612" t="e">
        <v>#N/A</v>
      </c>
      <c r="EZ177" s="1650">
        <f t="shared" si="372"/>
        <v>0</v>
      </c>
    </row>
    <row r="178" spans="1:156" ht="21" customHeight="1">
      <c r="A178" s="1652"/>
      <c r="B178" s="1638" t="s">
        <v>1781</v>
      </c>
      <c r="C178" s="1662"/>
      <c r="D178" s="1648"/>
      <c r="E178" s="1648"/>
      <c r="F178" s="1648"/>
      <c r="G178" s="1648"/>
      <c r="H178" s="1648"/>
      <c r="I178" s="1648"/>
      <c r="J178" s="1663"/>
      <c r="K178" s="1648"/>
      <c r="L178" s="1648"/>
      <c r="M178" s="1648"/>
      <c r="N178" s="1642"/>
      <c r="O178" s="2000"/>
      <c r="P178" s="2003">
        <f t="shared" si="317"/>
        <v>0</v>
      </c>
      <c r="Q178" s="1989"/>
      <c r="R178" s="2003">
        <f t="shared" si="318"/>
        <v>0</v>
      </c>
      <c r="S178" s="1989"/>
      <c r="T178" s="2003">
        <f t="shared" si="319"/>
        <v>0</v>
      </c>
      <c r="U178" s="1989"/>
      <c r="V178" s="1989"/>
      <c r="W178" s="1989">
        <f t="shared" si="320"/>
        <v>0</v>
      </c>
      <c r="X178" s="1999">
        <f t="shared" si="434"/>
        <v>0</v>
      </c>
      <c r="Y178" s="1993"/>
      <c r="Z178" s="2003">
        <f t="shared" si="321"/>
        <v>0</v>
      </c>
      <c r="AA178" s="1989"/>
      <c r="AB178" s="2003">
        <f t="shared" si="322"/>
        <v>0</v>
      </c>
      <c r="AC178" s="1989"/>
      <c r="AD178" s="2003">
        <f t="shared" si="323"/>
        <v>0</v>
      </c>
      <c r="AE178" s="1989"/>
      <c r="AF178" s="1989"/>
      <c r="AG178" s="2002">
        <f t="shared" si="324"/>
        <v>0</v>
      </c>
      <c r="AH178" s="1999">
        <f t="shared" si="435"/>
        <v>0</v>
      </c>
      <c r="AI178" s="1993"/>
      <c r="AJ178" s="2003">
        <f t="shared" si="326"/>
        <v>0</v>
      </c>
      <c r="AK178" s="1989"/>
      <c r="AL178" s="2003">
        <f t="shared" si="327"/>
        <v>0</v>
      </c>
      <c r="AM178" s="1989"/>
      <c r="AN178" s="2003">
        <f t="shared" si="328"/>
        <v>0</v>
      </c>
      <c r="AO178" s="1989"/>
      <c r="AP178" s="1989"/>
      <c r="AQ178" s="2002">
        <f t="shared" si="329"/>
        <v>0</v>
      </c>
      <c r="AR178" s="1999">
        <f t="shared" si="436"/>
        <v>0</v>
      </c>
      <c r="AS178" s="1993"/>
      <c r="AT178" s="2003">
        <f t="shared" si="331"/>
        <v>0</v>
      </c>
      <c r="AU178" s="1989"/>
      <c r="AV178" s="2003">
        <f t="shared" si="332"/>
        <v>0</v>
      </c>
      <c r="AW178" s="1989"/>
      <c r="AX178" s="2003">
        <f t="shared" si="333"/>
        <v>0</v>
      </c>
      <c r="AY178" s="1989"/>
      <c r="AZ178" s="1989"/>
      <c r="BA178" s="2002">
        <f t="shared" si="334"/>
        <v>0</v>
      </c>
      <c r="BB178" s="1999">
        <f t="shared" si="437"/>
        <v>0</v>
      </c>
      <c r="BC178" s="1993"/>
      <c r="BD178" s="2003">
        <f t="shared" si="335"/>
        <v>0</v>
      </c>
      <c r="BE178" s="1989"/>
      <c r="BF178" s="2003">
        <f t="shared" si="336"/>
        <v>0</v>
      </c>
      <c r="BG178" s="1989"/>
      <c r="BH178" s="2003">
        <f t="shared" si="337"/>
        <v>0</v>
      </c>
      <c r="BI178" s="1989"/>
      <c r="BJ178" s="1989"/>
      <c r="BK178" s="2002">
        <f t="shared" si="338"/>
        <v>0</v>
      </c>
      <c r="BL178" s="1999">
        <f t="shared" si="438"/>
        <v>0</v>
      </c>
      <c r="BM178" s="1993"/>
      <c r="BN178" s="2003">
        <f t="shared" si="339"/>
        <v>0</v>
      </c>
      <c r="BO178" s="1989"/>
      <c r="BP178" s="2003">
        <f t="shared" si="340"/>
        <v>0</v>
      </c>
      <c r="BQ178" s="1989"/>
      <c r="BR178" s="2003">
        <f t="shared" si="341"/>
        <v>0</v>
      </c>
      <c r="BS178" s="1989"/>
      <c r="BT178" s="1989"/>
      <c r="BU178" s="2002">
        <f t="shared" si="342"/>
        <v>0</v>
      </c>
      <c r="BV178" s="1999">
        <f t="shared" si="439"/>
        <v>0</v>
      </c>
      <c r="BW178" s="1993"/>
      <c r="BX178" s="2003">
        <f t="shared" si="343"/>
        <v>0</v>
      </c>
      <c r="BY178" s="1989"/>
      <c r="BZ178" s="2003">
        <f t="shared" si="344"/>
        <v>0</v>
      </c>
      <c r="CA178" s="1989"/>
      <c r="CB178" s="2003">
        <f t="shared" si="345"/>
        <v>0</v>
      </c>
      <c r="CC178" s="1989"/>
      <c r="CD178" s="1989"/>
      <c r="CE178" s="2002">
        <f t="shared" si="346"/>
        <v>0</v>
      </c>
      <c r="CF178" s="1999">
        <f t="shared" si="440"/>
        <v>0</v>
      </c>
      <c r="CG178" s="1993"/>
      <c r="CH178" s="2003">
        <f t="shared" si="347"/>
        <v>0</v>
      </c>
      <c r="CI178" s="1989"/>
      <c r="CJ178" s="2003">
        <f t="shared" si="348"/>
        <v>0</v>
      </c>
      <c r="CK178" s="1989"/>
      <c r="CL178" s="2003">
        <f t="shared" si="349"/>
        <v>0</v>
      </c>
      <c r="CM178" s="1989"/>
      <c r="CN178" s="1989"/>
      <c r="CO178" s="2002">
        <f t="shared" si="350"/>
        <v>0</v>
      </c>
      <c r="CP178" s="1999">
        <f t="shared" si="441"/>
        <v>0</v>
      </c>
      <c r="CQ178" s="1993"/>
      <c r="CR178" s="2003">
        <f t="shared" si="351"/>
        <v>0</v>
      </c>
      <c r="CS178" s="1989"/>
      <c r="CT178" s="2003">
        <f t="shared" si="352"/>
        <v>0</v>
      </c>
      <c r="CU178" s="1989"/>
      <c r="CV178" s="2003">
        <f t="shared" si="353"/>
        <v>0</v>
      </c>
      <c r="CW178" s="1989"/>
      <c r="CX178" s="1989"/>
      <c r="CY178" s="2002">
        <f t="shared" si="354"/>
        <v>0</v>
      </c>
      <c r="CZ178" s="1999">
        <f t="shared" si="442"/>
        <v>0</v>
      </c>
      <c r="DA178" s="1993"/>
      <c r="DB178" s="2003">
        <f t="shared" si="355"/>
        <v>0</v>
      </c>
      <c r="DC178" s="1989"/>
      <c r="DD178" s="2003">
        <f t="shared" si="356"/>
        <v>0</v>
      </c>
      <c r="DE178" s="1989"/>
      <c r="DF178" s="2003">
        <f t="shared" si="357"/>
        <v>0</v>
      </c>
      <c r="DG178" s="1989"/>
      <c r="DH178" s="1989"/>
      <c r="DI178" s="2002">
        <f t="shared" si="358"/>
        <v>0</v>
      </c>
      <c r="DJ178" s="1999">
        <f t="shared" si="443"/>
        <v>0</v>
      </c>
      <c r="DK178" s="1993"/>
      <c r="DL178" s="2003">
        <f t="shared" si="359"/>
        <v>0</v>
      </c>
      <c r="DM178" s="1989"/>
      <c r="DN178" s="2003">
        <f t="shared" si="360"/>
        <v>0</v>
      </c>
      <c r="DO178" s="1989"/>
      <c r="DP178" s="2003">
        <f t="shared" si="361"/>
        <v>0</v>
      </c>
      <c r="DQ178" s="1989"/>
      <c r="DR178" s="1989"/>
      <c r="DS178" s="2002">
        <f t="shared" si="362"/>
        <v>0</v>
      </c>
      <c r="DT178" s="2004">
        <f t="shared" si="444"/>
        <v>0</v>
      </c>
      <c r="DU178" s="1988"/>
      <c r="DV178" s="2003">
        <f t="shared" si="364"/>
        <v>0</v>
      </c>
      <c r="DW178" s="1989"/>
      <c r="DX178" s="2003">
        <f t="shared" si="365"/>
        <v>0</v>
      </c>
      <c r="DY178" s="1989"/>
      <c r="DZ178" s="2003">
        <f t="shared" si="366"/>
        <v>0</v>
      </c>
      <c r="EA178" s="1989"/>
      <c r="EB178" s="1989"/>
      <c r="EC178" s="2002">
        <f t="shared" si="367"/>
        <v>0</v>
      </c>
      <c r="ED178" s="1998">
        <f t="shared" si="445"/>
        <v>0</v>
      </c>
      <c r="EE178" s="2005"/>
      <c r="EF178" s="2003">
        <f t="shared" si="368"/>
        <v>0</v>
      </c>
      <c r="EG178" s="1989"/>
      <c r="EH178" s="2003">
        <f t="shared" si="369"/>
        <v>0</v>
      </c>
      <c r="EI178" s="1989"/>
      <c r="EJ178" s="2003">
        <f t="shared" si="370"/>
        <v>0</v>
      </c>
      <c r="EK178" s="1989"/>
      <c r="EL178" s="1989"/>
      <c r="EM178" s="2006">
        <f t="shared" si="371"/>
        <v>0</v>
      </c>
      <c r="EN178" s="1999"/>
      <c r="EP178" s="1613" t="e">
        <f>EA178-#REF!/10^7</f>
        <v>#REF!</v>
      </c>
      <c r="EW178" s="1611" t="e">
        <v>#N/A</v>
      </c>
      <c r="EX178" s="1612">
        <v>0</v>
      </c>
      <c r="EZ178" s="1650">
        <f t="shared" si="372"/>
        <v>0</v>
      </c>
    </row>
    <row r="179" spans="1:156" ht="21" customHeight="1">
      <c r="A179" s="1652"/>
      <c r="B179" s="1644"/>
      <c r="C179" s="1662"/>
      <c r="D179" s="1648"/>
      <c r="E179" s="1648"/>
      <c r="F179" s="1648"/>
      <c r="G179" s="1648"/>
      <c r="H179" s="1648"/>
      <c r="I179" s="1648"/>
      <c r="J179" s="1663"/>
      <c r="K179" s="1648"/>
      <c r="L179" s="1648"/>
      <c r="M179" s="1648"/>
      <c r="N179" s="1642"/>
      <c r="O179" s="2000"/>
      <c r="P179" s="2003">
        <f t="shared" si="317"/>
        <v>0</v>
      </c>
      <c r="Q179" s="1989"/>
      <c r="R179" s="2003">
        <f t="shared" si="318"/>
        <v>0</v>
      </c>
      <c r="S179" s="1989"/>
      <c r="T179" s="2003">
        <f t="shared" si="319"/>
        <v>0</v>
      </c>
      <c r="U179" s="1989"/>
      <c r="V179" s="1989"/>
      <c r="W179" s="1989">
        <f t="shared" si="320"/>
        <v>0</v>
      </c>
      <c r="X179" s="1999">
        <f t="shared" si="434"/>
        <v>0</v>
      </c>
      <c r="Y179" s="1993"/>
      <c r="Z179" s="2003">
        <f t="shared" si="321"/>
        <v>0</v>
      </c>
      <c r="AA179" s="1989"/>
      <c r="AB179" s="2003">
        <f t="shared" si="322"/>
        <v>0</v>
      </c>
      <c r="AC179" s="1989"/>
      <c r="AD179" s="2003">
        <f t="shared" si="323"/>
        <v>0</v>
      </c>
      <c r="AE179" s="1989"/>
      <c r="AF179" s="1989"/>
      <c r="AG179" s="2002">
        <f t="shared" si="324"/>
        <v>0</v>
      </c>
      <c r="AH179" s="1999">
        <f t="shared" si="435"/>
        <v>0</v>
      </c>
      <c r="AI179" s="1993"/>
      <c r="AJ179" s="2003">
        <f t="shared" si="326"/>
        <v>0</v>
      </c>
      <c r="AK179" s="1989"/>
      <c r="AL179" s="2003">
        <f t="shared" si="327"/>
        <v>0</v>
      </c>
      <c r="AM179" s="1989"/>
      <c r="AN179" s="2003">
        <f t="shared" si="328"/>
        <v>0</v>
      </c>
      <c r="AO179" s="1989"/>
      <c r="AP179" s="1989"/>
      <c r="AQ179" s="2002">
        <f t="shared" si="329"/>
        <v>0</v>
      </c>
      <c r="AR179" s="1999">
        <f t="shared" si="436"/>
        <v>0</v>
      </c>
      <c r="AS179" s="1993"/>
      <c r="AT179" s="2003">
        <f t="shared" si="331"/>
        <v>0</v>
      </c>
      <c r="AU179" s="1989"/>
      <c r="AV179" s="2003">
        <f t="shared" si="332"/>
        <v>0</v>
      </c>
      <c r="AW179" s="1989"/>
      <c r="AX179" s="2003">
        <f t="shared" si="333"/>
        <v>0</v>
      </c>
      <c r="AY179" s="1989"/>
      <c r="AZ179" s="1989"/>
      <c r="BA179" s="2002">
        <f t="shared" si="334"/>
        <v>0</v>
      </c>
      <c r="BB179" s="1999">
        <f t="shared" si="437"/>
        <v>0</v>
      </c>
      <c r="BC179" s="1993"/>
      <c r="BD179" s="2003">
        <f t="shared" si="335"/>
        <v>0</v>
      </c>
      <c r="BE179" s="1989"/>
      <c r="BF179" s="2003">
        <f t="shared" si="336"/>
        <v>0</v>
      </c>
      <c r="BG179" s="1989"/>
      <c r="BH179" s="2003">
        <f t="shared" si="337"/>
        <v>0</v>
      </c>
      <c r="BI179" s="1989"/>
      <c r="BJ179" s="1989"/>
      <c r="BK179" s="2002">
        <f t="shared" si="338"/>
        <v>0</v>
      </c>
      <c r="BL179" s="1999">
        <f t="shared" si="438"/>
        <v>0</v>
      </c>
      <c r="BM179" s="1993"/>
      <c r="BN179" s="2003">
        <f t="shared" si="339"/>
        <v>0</v>
      </c>
      <c r="BO179" s="1989"/>
      <c r="BP179" s="2003">
        <f t="shared" si="340"/>
        <v>0</v>
      </c>
      <c r="BQ179" s="1989"/>
      <c r="BR179" s="2003">
        <f t="shared" si="341"/>
        <v>0</v>
      </c>
      <c r="BS179" s="1989"/>
      <c r="BT179" s="1989"/>
      <c r="BU179" s="2002">
        <f t="shared" si="342"/>
        <v>0</v>
      </c>
      <c r="BV179" s="1999">
        <f t="shared" si="439"/>
        <v>0</v>
      </c>
      <c r="BW179" s="1993"/>
      <c r="BX179" s="2003">
        <f t="shared" si="343"/>
        <v>0</v>
      </c>
      <c r="BY179" s="1989"/>
      <c r="BZ179" s="2003">
        <f t="shared" si="344"/>
        <v>0</v>
      </c>
      <c r="CA179" s="1989"/>
      <c r="CB179" s="2003">
        <f t="shared" si="345"/>
        <v>0</v>
      </c>
      <c r="CC179" s="1989"/>
      <c r="CD179" s="1989"/>
      <c r="CE179" s="2002">
        <f t="shared" si="346"/>
        <v>0</v>
      </c>
      <c r="CF179" s="1999">
        <f t="shared" si="440"/>
        <v>0</v>
      </c>
      <c r="CG179" s="1993"/>
      <c r="CH179" s="2003">
        <f t="shared" si="347"/>
        <v>0</v>
      </c>
      <c r="CI179" s="1989"/>
      <c r="CJ179" s="2003">
        <f t="shared" si="348"/>
        <v>0</v>
      </c>
      <c r="CK179" s="1989"/>
      <c r="CL179" s="2003">
        <f t="shared" si="349"/>
        <v>0</v>
      </c>
      <c r="CM179" s="1989"/>
      <c r="CN179" s="1989"/>
      <c r="CO179" s="2002">
        <f t="shared" si="350"/>
        <v>0</v>
      </c>
      <c r="CP179" s="1999">
        <f t="shared" si="441"/>
        <v>0</v>
      </c>
      <c r="CQ179" s="1993"/>
      <c r="CR179" s="2003">
        <f t="shared" si="351"/>
        <v>0</v>
      </c>
      <c r="CS179" s="1989"/>
      <c r="CT179" s="2003">
        <f t="shared" si="352"/>
        <v>0</v>
      </c>
      <c r="CU179" s="1989"/>
      <c r="CV179" s="2003">
        <f t="shared" si="353"/>
        <v>0</v>
      </c>
      <c r="CW179" s="1989"/>
      <c r="CX179" s="1989"/>
      <c r="CY179" s="2002">
        <f t="shared" si="354"/>
        <v>0</v>
      </c>
      <c r="CZ179" s="1999">
        <f t="shared" si="442"/>
        <v>0</v>
      </c>
      <c r="DA179" s="1993"/>
      <c r="DB179" s="2003">
        <f t="shared" si="355"/>
        <v>0</v>
      </c>
      <c r="DC179" s="1989"/>
      <c r="DD179" s="2003">
        <f t="shared" si="356"/>
        <v>0</v>
      </c>
      <c r="DE179" s="1989"/>
      <c r="DF179" s="2003">
        <f t="shared" si="357"/>
        <v>0</v>
      </c>
      <c r="DG179" s="1989"/>
      <c r="DH179" s="1989"/>
      <c r="DI179" s="2002">
        <f t="shared" si="358"/>
        <v>0</v>
      </c>
      <c r="DJ179" s="1999">
        <f t="shared" si="443"/>
        <v>0</v>
      </c>
      <c r="DK179" s="1993"/>
      <c r="DL179" s="2003">
        <f t="shared" si="359"/>
        <v>0</v>
      </c>
      <c r="DM179" s="1989"/>
      <c r="DN179" s="2003">
        <f t="shared" si="360"/>
        <v>0</v>
      </c>
      <c r="DO179" s="1989"/>
      <c r="DP179" s="2003">
        <f t="shared" si="361"/>
        <v>0</v>
      </c>
      <c r="DQ179" s="1989"/>
      <c r="DR179" s="1989"/>
      <c r="DS179" s="2002">
        <f t="shared" si="362"/>
        <v>0</v>
      </c>
      <c r="DT179" s="2004">
        <f t="shared" si="444"/>
        <v>0</v>
      </c>
      <c r="DU179" s="1988"/>
      <c r="DV179" s="2003">
        <f t="shared" si="364"/>
        <v>0</v>
      </c>
      <c r="DW179" s="1989"/>
      <c r="DX179" s="2003">
        <f t="shared" si="365"/>
        <v>0</v>
      </c>
      <c r="DY179" s="1989"/>
      <c r="DZ179" s="2003">
        <f t="shared" si="366"/>
        <v>0</v>
      </c>
      <c r="EA179" s="1989"/>
      <c r="EB179" s="1989"/>
      <c r="EC179" s="2002">
        <f t="shared" si="367"/>
        <v>0</v>
      </c>
      <c r="ED179" s="1998">
        <f t="shared" si="445"/>
        <v>0</v>
      </c>
      <c r="EE179" s="2005"/>
      <c r="EF179" s="2003">
        <f t="shared" si="368"/>
        <v>0</v>
      </c>
      <c r="EG179" s="1989"/>
      <c r="EH179" s="2003">
        <f t="shared" si="369"/>
        <v>0</v>
      </c>
      <c r="EI179" s="1989"/>
      <c r="EJ179" s="2003">
        <f t="shared" si="370"/>
        <v>0</v>
      </c>
      <c r="EK179" s="1989"/>
      <c r="EL179" s="1989"/>
      <c r="EM179" s="2006">
        <f t="shared" si="371"/>
        <v>0</v>
      </c>
      <c r="EN179" s="1999"/>
      <c r="EP179" s="1613" t="e">
        <f>EA179-#REF!/10^7</f>
        <v>#REF!</v>
      </c>
      <c r="EW179" s="1611" t="e">
        <v>#N/A</v>
      </c>
      <c r="EX179" s="1612" t="e">
        <v>#N/A</v>
      </c>
      <c r="EZ179" s="1650">
        <f t="shared" si="372"/>
        <v>0</v>
      </c>
    </row>
    <row r="180" spans="1:156" ht="21" customHeight="1">
      <c r="A180" s="1637" t="s">
        <v>58</v>
      </c>
      <c r="B180" s="1638" t="s">
        <v>1782</v>
      </c>
      <c r="C180" s="1662"/>
      <c r="D180" s="1648"/>
      <c r="E180" s="1648"/>
      <c r="F180" s="1648"/>
      <c r="G180" s="1648"/>
      <c r="H180" s="1648"/>
      <c r="I180" s="1648"/>
      <c r="J180" s="1663"/>
      <c r="K180" s="1648"/>
      <c r="L180" s="1648"/>
      <c r="M180" s="1648"/>
      <c r="N180" s="1642"/>
      <c r="O180" s="2000"/>
      <c r="P180" s="2003">
        <f t="shared" si="317"/>
        <v>0</v>
      </c>
      <c r="Q180" s="1989"/>
      <c r="R180" s="2003">
        <f t="shared" si="318"/>
        <v>0</v>
      </c>
      <c r="S180" s="1989"/>
      <c r="T180" s="2003">
        <f t="shared" si="319"/>
        <v>0</v>
      </c>
      <c r="U180" s="1989"/>
      <c r="V180" s="1989"/>
      <c r="W180" s="1989">
        <f t="shared" si="320"/>
        <v>0</v>
      </c>
      <c r="X180" s="1999">
        <f t="shared" si="434"/>
        <v>0</v>
      </c>
      <c r="Y180" s="1993"/>
      <c r="Z180" s="2003">
        <f t="shared" si="321"/>
        <v>0</v>
      </c>
      <c r="AA180" s="1989"/>
      <c r="AB180" s="2003">
        <f t="shared" si="322"/>
        <v>0</v>
      </c>
      <c r="AC180" s="1989"/>
      <c r="AD180" s="2003">
        <f t="shared" si="323"/>
        <v>0</v>
      </c>
      <c r="AE180" s="1989"/>
      <c r="AF180" s="1989"/>
      <c r="AG180" s="2002">
        <f t="shared" si="324"/>
        <v>0</v>
      </c>
      <c r="AH180" s="1999">
        <f t="shared" si="435"/>
        <v>0</v>
      </c>
      <c r="AI180" s="1993"/>
      <c r="AJ180" s="2003">
        <f t="shared" si="326"/>
        <v>0</v>
      </c>
      <c r="AK180" s="1989"/>
      <c r="AL180" s="2003">
        <f t="shared" si="327"/>
        <v>0</v>
      </c>
      <c r="AM180" s="1989"/>
      <c r="AN180" s="2003">
        <f t="shared" si="328"/>
        <v>0</v>
      </c>
      <c r="AO180" s="1989"/>
      <c r="AP180" s="1989"/>
      <c r="AQ180" s="2002">
        <f t="shared" si="329"/>
        <v>0</v>
      </c>
      <c r="AR180" s="1999">
        <f t="shared" si="436"/>
        <v>0</v>
      </c>
      <c r="AS180" s="1993"/>
      <c r="AT180" s="2003">
        <f t="shared" si="331"/>
        <v>0</v>
      </c>
      <c r="AU180" s="1989"/>
      <c r="AV180" s="2003">
        <f t="shared" si="332"/>
        <v>0</v>
      </c>
      <c r="AW180" s="1989"/>
      <c r="AX180" s="2003">
        <f t="shared" si="333"/>
        <v>0</v>
      </c>
      <c r="AY180" s="1989"/>
      <c r="AZ180" s="1989"/>
      <c r="BA180" s="2002">
        <f t="shared" si="334"/>
        <v>0</v>
      </c>
      <c r="BB180" s="1999">
        <f t="shared" si="437"/>
        <v>0</v>
      </c>
      <c r="BC180" s="1993"/>
      <c r="BD180" s="2003">
        <f t="shared" si="335"/>
        <v>0</v>
      </c>
      <c r="BE180" s="1989"/>
      <c r="BF180" s="2003">
        <f t="shared" si="336"/>
        <v>0</v>
      </c>
      <c r="BG180" s="1989"/>
      <c r="BH180" s="2003">
        <f t="shared" si="337"/>
        <v>0</v>
      </c>
      <c r="BI180" s="1989"/>
      <c r="BJ180" s="1989"/>
      <c r="BK180" s="2002">
        <f t="shared" si="338"/>
        <v>0</v>
      </c>
      <c r="BL180" s="1999">
        <f t="shared" si="438"/>
        <v>0</v>
      </c>
      <c r="BM180" s="1993"/>
      <c r="BN180" s="2003">
        <f t="shared" si="339"/>
        <v>0</v>
      </c>
      <c r="BO180" s="1989"/>
      <c r="BP180" s="2003">
        <f t="shared" si="340"/>
        <v>0</v>
      </c>
      <c r="BQ180" s="1989"/>
      <c r="BR180" s="2003">
        <f t="shared" si="341"/>
        <v>0</v>
      </c>
      <c r="BS180" s="1989"/>
      <c r="BT180" s="1989"/>
      <c r="BU180" s="2002">
        <f t="shared" si="342"/>
        <v>0</v>
      </c>
      <c r="BV180" s="1999">
        <f t="shared" si="439"/>
        <v>0</v>
      </c>
      <c r="BW180" s="1993"/>
      <c r="BX180" s="2003">
        <f t="shared" si="343"/>
        <v>0</v>
      </c>
      <c r="BY180" s="1989"/>
      <c r="BZ180" s="2003">
        <f t="shared" si="344"/>
        <v>0</v>
      </c>
      <c r="CA180" s="1989"/>
      <c r="CB180" s="2003">
        <f t="shared" si="345"/>
        <v>0</v>
      </c>
      <c r="CC180" s="1989"/>
      <c r="CD180" s="1989"/>
      <c r="CE180" s="2002">
        <f t="shared" si="346"/>
        <v>0</v>
      </c>
      <c r="CF180" s="1999">
        <f t="shared" si="440"/>
        <v>0</v>
      </c>
      <c r="CG180" s="1993"/>
      <c r="CH180" s="2003">
        <f t="shared" si="347"/>
        <v>0</v>
      </c>
      <c r="CI180" s="1989"/>
      <c r="CJ180" s="2003">
        <f t="shared" si="348"/>
        <v>0</v>
      </c>
      <c r="CK180" s="1989"/>
      <c r="CL180" s="2003">
        <f t="shared" si="349"/>
        <v>0</v>
      </c>
      <c r="CM180" s="1989"/>
      <c r="CN180" s="1989"/>
      <c r="CO180" s="2002">
        <f t="shared" si="350"/>
        <v>0</v>
      </c>
      <c r="CP180" s="1999">
        <f t="shared" si="441"/>
        <v>0</v>
      </c>
      <c r="CQ180" s="1993"/>
      <c r="CR180" s="2003">
        <f t="shared" si="351"/>
        <v>0</v>
      </c>
      <c r="CS180" s="1989"/>
      <c r="CT180" s="2003">
        <f t="shared" si="352"/>
        <v>0</v>
      </c>
      <c r="CU180" s="1989"/>
      <c r="CV180" s="2003">
        <f t="shared" si="353"/>
        <v>0</v>
      </c>
      <c r="CW180" s="1989"/>
      <c r="CX180" s="1989"/>
      <c r="CY180" s="2002">
        <f t="shared" si="354"/>
        <v>0</v>
      </c>
      <c r="CZ180" s="1999">
        <f t="shared" si="442"/>
        <v>0</v>
      </c>
      <c r="DA180" s="1993"/>
      <c r="DB180" s="2003">
        <f t="shared" si="355"/>
        <v>0</v>
      </c>
      <c r="DC180" s="1989"/>
      <c r="DD180" s="2003">
        <f t="shared" si="356"/>
        <v>0</v>
      </c>
      <c r="DE180" s="1989"/>
      <c r="DF180" s="2003">
        <f t="shared" si="357"/>
        <v>0</v>
      </c>
      <c r="DG180" s="1989"/>
      <c r="DH180" s="1989"/>
      <c r="DI180" s="2002">
        <f t="shared" si="358"/>
        <v>0</v>
      </c>
      <c r="DJ180" s="1999">
        <f t="shared" si="443"/>
        <v>0</v>
      </c>
      <c r="DK180" s="1993"/>
      <c r="DL180" s="2003">
        <f t="shared" si="359"/>
        <v>0</v>
      </c>
      <c r="DM180" s="1989"/>
      <c r="DN180" s="2003">
        <f t="shared" si="360"/>
        <v>0</v>
      </c>
      <c r="DO180" s="1989"/>
      <c r="DP180" s="2003">
        <f t="shared" si="361"/>
        <v>0</v>
      </c>
      <c r="DQ180" s="1989"/>
      <c r="DR180" s="1989"/>
      <c r="DS180" s="2002">
        <f t="shared" si="362"/>
        <v>0</v>
      </c>
      <c r="DT180" s="2004">
        <f t="shared" si="444"/>
        <v>0</v>
      </c>
      <c r="DU180" s="1988"/>
      <c r="DV180" s="2003">
        <f t="shared" si="364"/>
        <v>0</v>
      </c>
      <c r="DW180" s="1989"/>
      <c r="DX180" s="2003">
        <f t="shared" si="365"/>
        <v>0</v>
      </c>
      <c r="DY180" s="1989"/>
      <c r="DZ180" s="2003">
        <f t="shared" si="366"/>
        <v>0</v>
      </c>
      <c r="EA180" s="1989"/>
      <c r="EB180" s="1989"/>
      <c r="EC180" s="2002">
        <f t="shared" si="367"/>
        <v>0</v>
      </c>
      <c r="ED180" s="1998">
        <f t="shared" si="445"/>
        <v>0</v>
      </c>
      <c r="EE180" s="2005"/>
      <c r="EF180" s="2003">
        <f t="shared" si="368"/>
        <v>0</v>
      </c>
      <c r="EG180" s="1989"/>
      <c r="EH180" s="2003">
        <f t="shared" si="369"/>
        <v>0</v>
      </c>
      <c r="EI180" s="1989"/>
      <c r="EJ180" s="2003">
        <f t="shared" si="370"/>
        <v>0</v>
      </c>
      <c r="EK180" s="1989"/>
      <c r="EL180" s="1989"/>
      <c r="EM180" s="2006">
        <f t="shared" si="371"/>
        <v>0</v>
      </c>
      <c r="EN180" s="1999"/>
      <c r="EP180" s="1613" t="e">
        <f>EA180-#REF!/10^7</f>
        <v>#REF!</v>
      </c>
      <c r="EW180" s="1611" t="e">
        <v>#N/A</v>
      </c>
      <c r="EX180" s="1612">
        <v>0</v>
      </c>
      <c r="EZ180" s="1650">
        <f t="shared" si="372"/>
        <v>0</v>
      </c>
    </row>
    <row r="181" spans="1:156" ht="21" customHeight="1">
      <c r="A181" s="1637"/>
      <c r="B181" s="1701" t="s">
        <v>1857</v>
      </c>
      <c r="C181" s="1662"/>
      <c r="D181" s="1648"/>
      <c r="E181" s="1648"/>
      <c r="F181" s="1648"/>
      <c r="G181" s="1648"/>
      <c r="H181" s="1648"/>
      <c r="I181" s="1648"/>
      <c r="J181" s="1663">
        <v>1</v>
      </c>
      <c r="K181" s="1648"/>
      <c r="L181" s="1648"/>
      <c r="M181" s="1648"/>
      <c r="N181" s="1642"/>
      <c r="O181" s="2000" t="e">
        <f>#REF!</f>
        <v>#REF!</v>
      </c>
      <c r="P181" s="2003">
        <f t="shared" si="317"/>
        <v>0</v>
      </c>
      <c r="Q181" s="1989" t="e">
        <f>#REF!/10^7</f>
        <v>#REF!</v>
      </c>
      <c r="R181" s="2003">
        <f t="shared" si="318"/>
        <v>0</v>
      </c>
      <c r="S181" s="1989" t="e">
        <f>#REF!/10^7</f>
        <v>#REF!</v>
      </c>
      <c r="T181" s="2003">
        <f t="shared" si="319"/>
        <v>0</v>
      </c>
      <c r="U181" s="1989" t="e">
        <f>#REF!/10^7</f>
        <v>#REF!</v>
      </c>
      <c r="V181" s="1989" t="e">
        <f>#REF!/10^7</f>
        <v>#REF!</v>
      </c>
      <c r="W181" s="1989">
        <f t="shared" si="320"/>
        <v>0</v>
      </c>
      <c r="X181" s="1999" t="e">
        <f t="shared" si="434"/>
        <v>#REF!</v>
      </c>
      <c r="Y181" s="1993" t="e">
        <f>#REF!</f>
        <v>#REF!</v>
      </c>
      <c r="Z181" s="2003">
        <f t="shared" si="321"/>
        <v>0</v>
      </c>
      <c r="AA181" s="1989" t="e">
        <f>#REF!/10^7</f>
        <v>#REF!</v>
      </c>
      <c r="AB181" s="2003">
        <f t="shared" si="322"/>
        <v>0</v>
      </c>
      <c r="AC181" s="1989" t="e">
        <f>#REF!/10^7</f>
        <v>#REF!</v>
      </c>
      <c r="AD181" s="2003">
        <f t="shared" si="323"/>
        <v>0</v>
      </c>
      <c r="AE181" s="1989" t="e">
        <f>#REF!/10^7</f>
        <v>#REF!</v>
      </c>
      <c r="AF181" s="1989" t="e">
        <f>#REF!/10^7</f>
        <v>#REF!</v>
      </c>
      <c r="AG181" s="2002" t="e">
        <f t="shared" si="324"/>
        <v>#REF!</v>
      </c>
      <c r="AH181" s="1999" t="e">
        <f t="shared" si="435"/>
        <v>#REF!</v>
      </c>
      <c r="AI181" s="1993" t="e">
        <f>#REF!</f>
        <v>#REF!</v>
      </c>
      <c r="AJ181" s="2003">
        <f t="shared" si="326"/>
        <v>0</v>
      </c>
      <c r="AK181" s="1989" t="e">
        <f>#REF!/10^7</f>
        <v>#REF!</v>
      </c>
      <c r="AL181" s="2003">
        <f t="shared" si="327"/>
        <v>0</v>
      </c>
      <c r="AM181" s="1989" t="e">
        <f>#REF!/10^7</f>
        <v>#REF!</v>
      </c>
      <c r="AN181" s="2003">
        <f t="shared" si="328"/>
        <v>0</v>
      </c>
      <c r="AO181" s="1989" t="e">
        <f>#REF!/10^7</f>
        <v>#REF!</v>
      </c>
      <c r="AP181" s="1989" t="e">
        <f>#REF!/10^7</f>
        <v>#REF!</v>
      </c>
      <c r="AQ181" s="2002" t="e">
        <f t="shared" si="329"/>
        <v>#REF!</v>
      </c>
      <c r="AR181" s="1999" t="e">
        <f t="shared" si="436"/>
        <v>#REF!</v>
      </c>
      <c r="AS181" s="1993" t="e">
        <f>#REF!</f>
        <v>#REF!</v>
      </c>
      <c r="AT181" s="2003">
        <f t="shared" si="331"/>
        <v>0</v>
      </c>
      <c r="AU181" s="1989" t="e">
        <f>#REF!/10^7</f>
        <v>#REF!</v>
      </c>
      <c r="AV181" s="2003">
        <f t="shared" si="332"/>
        <v>0</v>
      </c>
      <c r="AW181" s="1989" t="e">
        <f>#REF!/10^7</f>
        <v>#REF!</v>
      </c>
      <c r="AX181" s="2003">
        <f t="shared" si="333"/>
        <v>0</v>
      </c>
      <c r="AY181" s="1989" t="e">
        <f>#REF!/10^7</f>
        <v>#REF!</v>
      </c>
      <c r="AZ181" s="1989" t="e">
        <f>#REF!/10^7</f>
        <v>#REF!</v>
      </c>
      <c r="BA181" s="2002" t="e">
        <f t="shared" si="334"/>
        <v>#REF!</v>
      </c>
      <c r="BB181" s="1999" t="e">
        <f t="shared" si="437"/>
        <v>#REF!</v>
      </c>
      <c r="BC181" s="1993" t="e">
        <f>#REF!</f>
        <v>#REF!</v>
      </c>
      <c r="BD181" s="2003">
        <f t="shared" si="335"/>
        <v>0</v>
      </c>
      <c r="BE181" s="1989" t="e">
        <f>#REF!/10^7</f>
        <v>#REF!</v>
      </c>
      <c r="BF181" s="2003">
        <f t="shared" si="336"/>
        <v>0</v>
      </c>
      <c r="BG181" s="1989" t="e">
        <f>#REF!/10^7</f>
        <v>#REF!</v>
      </c>
      <c r="BH181" s="2003">
        <f t="shared" si="337"/>
        <v>0</v>
      </c>
      <c r="BI181" s="1989" t="e">
        <f>#REF!/10^7</f>
        <v>#REF!</v>
      </c>
      <c r="BJ181" s="1989" t="e">
        <f>#REF!/10^7</f>
        <v>#REF!</v>
      </c>
      <c r="BK181" s="2002" t="e">
        <f t="shared" si="338"/>
        <v>#REF!</v>
      </c>
      <c r="BL181" s="1999" t="e">
        <f t="shared" si="438"/>
        <v>#REF!</v>
      </c>
      <c r="BM181" s="1993" t="e">
        <f>#REF!</f>
        <v>#REF!</v>
      </c>
      <c r="BN181" s="2003">
        <f t="shared" si="339"/>
        <v>0</v>
      </c>
      <c r="BO181" s="1989" t="e">
        <f>#REF!/10^7</f>
        <v>#REF!</v>
      </c>
      <c r="BP181" s="2003">
        <f t="shared" si="340"/>
        <v>0</v>
      </c>
      <c r="BQ181" s="1989" t="e">
        <f>#REF!/10^7</f>
        <v>#REF!</v>
      </c>
      <c r="BR181" s="2003">
        <f t="shared" si="341"/>
        <v>0</v>
      </c>
      <c r="BS181" s="1989" t="e">
        <f>#REF!/10^7</f>
        <v>#REF!</v>
      </c>
      <c r="BT181" s="1989" t="e">
        <f>#REF!/10^7</f>
        <v>#REF!</v>
      </c>
      <c r="BU181" s="2002" t="e">
        <f t="shared" si="342"/>
        <v>#REF!</v>
      </c>
      <c r="BV181" s="1999" t="e">
        <f t="shared" si="439"/>
        <v>#REF!</v>
      </c>
      <c r="BW181" s="1993" t="e">
        <f>#REF!</f>
        <v>#REF!</v>
      </c>
      <c r="BX181" s="2003">
        <f t="shared" si="343"/>
        <v>0</v>
      </c>
      <c r="BY181" s="1989" t="e">
        <f>#REF!/10^7</f>
        <v>#REF!</v>
      </c>
      <c r="BZ181" s="2003">
        <f t="shared" si="344"/>
        <v>0</v>
      </c>
      <c r="CA181" s="1989" t="e">
        <f>#REF!/10^7</f>
        <v>#REF!</v>
      </c>
      <c r="CB181" s="2003">
        <f t="shared" si="345"/>
        <v>0</v>
      </c>
      <c r="CC181" s="1989" t="e">
        <f>#REF!/10^7</f>
        <v>#REF!</v>
      </c>
      <c r="CD181" s="1989" t="e">
        <f>#REF!/10^7</f>
        <v>#REF!</v>
      </c>
      <c r="CE181" s="2002" t="e">
        <f t="shared" si="346"/>
        <v>#REF!</v>
      </c>
      <c r="CF181" s="1999" t="e">
        <f t="shared" si="440"/>
        <v>#REF!</v>
      </c>
      <c r="CG181" s="1993" t="e">
        <f>#REF!</f>
        <v>#REF!</v>
      </c>
      <c r="CH181" s="2003">
        <f t="shared" si="347"/>
        <v>0</v>
      </c>
      <c r="CI181" s="1989" t="e">
        <f>#REF!/10^7</f>
        <v>#REF!</v>
      </c>
      <c r="CJ181" s="2003">
        <f t="shared" si="348"/>
        <v>0</v>
      </c>
      <c r="CK181" s="1989" t="e">
        <f>#REF!/10^7</f>
        <v>#REF!</v>
      </c>
      <c r="CL181" s="2003">
        <f t="shared" si="349"/>
        <v>0</v>
      </c>
      <c r="CM181" s="1989" t="e">
        <f>#REF!/10^7</f>
        <v>#REF!</v>
      </c>
      <c r="CN181" s="1989" t="e">
        <f>#REF!/10^7</f>
        <v>#REF!</v>
      </c>
      <c r="CO181" s="2002" t="e">
        <f t="shared" si="350"/>
        <v>#REF!</v>
      </c>
      <c r="CP181" s="1999" t="e">
        <f t="shared" si="441"/>
        <v>#REF!</v>
      </c>
      <c r="CQ181" s="1993" t="e">
        <f>#REF!</f>
        <v>#REF!</v>
      </c>
      <c r="CR181" s="2003">
        <f t="shared" si="351"/>
        <v>0</v>
      </c>
      <c r="CS181" s="1989" t="e">
        <f>#REF!/10^7</f>
        <v>#REF!</v>
      </c>
      <c r="CT181" s="2003">
        <f t="shared" si="352"/>
        <v>0</v>
      </c>
      <c r="CU181" s="1989" t="e">
        <f>#REF!/10^7</f>
        <v>#REF!</v>
      </c>
      <c r="CV181" s="2003">
        <f t="shared" si="353"/>
        <v>0</v>
      </c>
      <c r="CW181" s="1989" t="e">
        <f>#REF!/10^7</f>
        <v>#REF!</v>
      </c>
      <c r="CX181" s="1989" t="e">
        <f>#REF!/10^7</f>
        <v>#REF!</v>
      </c>
      <c r="CY181" s="2002" t="e">
        <f t="shared" si="354"/>
        <v>#REF!</v>
      </c>
      <c r="CZ181" s="1999" t="e">
        <f t="shared" si="442"/>
        <v>#REF!</v>
      </c>
      <c r="DA181" s="1993" t="e">
        <f>#REF!</f>
        <v>#REF!</v>
      </c>
      <c r="DB181" s="2003">
        <f t="shared" si="355"/>
        <v>0</v>
      </c>
      <c r="DC181" s="1989" t="e">
        <f>#REF!/10^7</f>
        <v>#REF!</v>
      </c>
      <c r="DD181" s="2003">
        <f t="shared" si="356"/>
        <v>0</v>
      </c>
      <c r="DE181" s="1989" t="e">
        <f>#REF!/10^7</f>
        <v>#REF!</v>
      </c>
      <c r="DF181" s="2003">
        <f t="shared" si="357"/>
        <v>0</v>
      </c>
      <c r="DG181" s="1989" t="e">
        <f>#REF!/10^7</f>
        <v>#REF!</v>
      </c>
      <c r="DH181" s="1989" t="e">
        <f>#REF!/10^7</f>
        <v>#REF!</v>
      </c>
      <c r="DI181" s="2002" t="e">
        <f t="shared" si="358"/>
        <v>#REF!</v>
      </c>
      <c r="DJ181" s="1999" t="e">
        <f t="shared" si="443"/>
        <v>#REF!</v>
      </c>
      <c r="DK181" s="1993" t="e">
        <f>#REF!</f>
        <v>#REF!</v>
      </c>
      <c r="DL181" s="2003">
        <f t="shared" si="359"/>
        <v>0</v>
      </c>
      <c r="DM181" s="1989" t="e">
        <f>#REF!/10^7</f>
        <v>#REF!</v>
      </c>
      <c r="DN181" s="2003">
        <f t="shared" si="360"/>
        <v>0</v>
      </c>
      <c r="DO181" s="1989" t="e">
        <f>#REF!/10^7</f>
        <v>#REF!</v>
      </c>
      <c r="DP181" s="2003">
        <f t="shared" si="361"/>
        <v>0</v>
      </c>
      <c r="DQ181" s="1989" t="e">
        <f>#REF!/10^7</f>
        <v>#REF!</v>
      </c>
      <c r="DR181" s="1989" t="e">
        <f>#REF!/10^7</f>
        <v>#REF!</v>
      </c>
      <c r="DS181" s="2002" t="e">
        <f t="shared" si="362"/>
        <v>#REF!</v>
      </c>
      <c r="DT181" s="2004" t="e">
        <f t="shared" si="444"/>
        <v>#REF!</v>
      </c>
      <c r="DU181" s="1988" t="e">
        <f>#REF!</f>
        <v>#REF!</v>
      </c>
      <c r="DV181" s="2003">
        <f t="shared" si="364"/>
        <v>0</v>
      </c>
      <c r="DW181" s="1989" t="e">
        <f>#REF!/10^7</f>
        <v>#REF!</v>
      </c>
      <c r="DX181" s="2003">
        <f t="shared" si="365"/>
        <v>0</v>
      </c>
      <c r="DY181" s="1989" t="e">
        <f>#REF!/10^7</f>
        <v>#REF!</v>
      </c>
      <c r="DZ181" s="2003">
        <f t="shared" si="366"/>
        <v>0</v>
      </c>
      <c r="EA181" s="1989" t="e">
        <f>#REF!/10^7</f>
        <v>#REF!</v>
      </c>
      <c r="EB181" s="1989" t="e">
        <f>#REF!/10^7</f>
        <v>#REF!</v>
      </c>
      <c r="EC181" s="2002" t="e">
        <f t="shared" si="367"/>
        <v>#REF!</v>
      </c>
      <c r="ED181" s="1998" t="e">
        <f t="shared" si="445"/>
        <v>#REF!</v>
      </c>
      <c r="EE181" s="2005" t="e">
        <f>O181+Y181+AI181+AS181+BC181+BM181+BW181+CG181+CQ181+DA181+DK181+DU181</f>
        <v>#REF!</v>
      </c>
      <c r="EF181" s="2003">
        <f t="shared" si="368"/>
        <v>0</v>
      </c>
      <c r="EG181" s="1989" t="e">
        <f>Q181+AA181+AK181+AU181+BE181+BO181+BY181+CI181+CS181+DC181+DM181+DW181</f>
        <v>#REF!</v>
      </c>
      <c r="EH181" s="2003">
        <f t="shared" si="369"/>
        <v>0</v>
      </c>
      <c r="EI181" s="1989" t="e">
        <f>S181+AC181+AM181+AW181+BG181+BQ181+CA181+CK181+CU181+DE181+DO181+DY181</f>
        <v>#REF!</v>
      </c>
      <c r="EJ181" s="2003">
        <f t="shared" si="370"/>
        <v>0</v>
      </c>
      <c r="EK181" s="1989" t="e">
        <f>U181+AE181+AO181+AY181+BI181+BS181+CC181+CM181+CW181+DG181+DQ181+EA181</f>
        <v>#REF!</v>
      </c>
      <c r="EL181" s="1989" t="e">
        <f>V181+AF181+AP181+AZ181+BJ181+BT181+CD181+CN181+CX181+DH181+DR181+EB181</f>
        <v>#REF!</v>
      </c>
      <c r="EM181" s="2006" t="e">
        <f t="shared" si="371"/>
        <v>#REF!</v>
      </c>
      <c r="EN181" s="1999" t="e">
        <f>EG181+EI181+EK181+EL181</f>
        <v>#REF!</v>
      </c>
      <c r="EP181" s="1613" t="e">
        <f>EA181-#REF!/10^7</f>
        <v>#REF!</v>
      </c>
      <c r="EW181" s="1611" t="e">
        <v>#N/A</v>
      </c>
      <c r="EX181" s="1612" t="e">
        <v>#N/A</v>
      </c>
      <c r="EZ181" s="1650">
        <f t="shared" si="372"/>
        <v>0</v>
      </c>
    </row>
    <row r="182" spans="1:156" ht="21" customHeight="1">
      <c r="A182" s="1637"/>
      <c r="B182" s="1668" t="s">
        <v>1858</v>
      </c>
      <c r="C182" s="1662"/>
      <c r="D182" s="1648"/>
      <c r="E182" s="1648"/>
      <c r="F182" s="1648"/>
      <c r="G182" s="1648"/>
      <c r="H182" s="1648"/>
      <c r="I182" s="1648"/>
      <c r="J182" s="1663">
        <v>1</v>
      </c>
      <c r="K182" s="1648"/>
      <c r="L182" s="1648"/>
      <c r="M182" s="1648"/>
      <c r="N182" s="1642"/>
      <c r="O182" s="2000" t="e">
        <f>#REF!</f>
        <v>#REF!</v>
      </c>
      <c r="P182" s="2003">
        <f t="shared" si="317"/>
        <v>0</v>
      </c>
      <c r="Q182" s="1989" t="e">
        <f>#REF!/10^7</f>
        <v>#REF!</v>
      </c>
      <c r="R182" s="2003">
        <f t="shared" si="318"/>
        <v>0</v>
      </c>
      <c r="S182" s="1989" t="e">
        <f>#REF!/10^7</f>
        <v>#REF!</v>
      </c>
      <c r="T182" s="2003">
        <f t="shared" si="319"/>
        <v>0</v>
      </c>
      <c r="U182" s="1989" t="e">
        <f>#REF!/10^7</f>
        <v>#REF!</v>
      </c>
      <c r="V182" s="1989" t="e">
        <f>#REF!/10^7</f>
        <v>#REF!</v>
      </c>
      <c r="W182" s="1989">
        <f t="shared" si="320"/>
        <v>0</v>
      </c>
      <c r="X182" s="1999" t="e">
        <f t="shared" si="434"/>
        <v>#REF!</v>
      </c>
      <c r="Y182" s="1993" t="e">
        <f>#REF!</f>
        <v>#REF!</v>
      </c>
      <c r="Z182" s="2003">
        <f t="shared" si="321"/>
        <v>0</v>
      </c>
      <c r="AA182" s="1989" t="e">
        <f>#REF!/10^7</f>
        <v>#REF!</v>
      </c>
      <c r="AB182" s="2003">
        <f t="shared" si="322"/>
        <v>0</v>
      </c>
      <c r="AC182" s="1989" t="e">
        <f>#REF!/10^7</f>
        <v>#REF!</v>
      </c>
      <c r="AD182" s="2003">
        <f t="shared" si="323"/>
        <v>0</v>
      </c>
      <c r="AE182" s="1989" t="e">
        <f>#REF!/10^7</f>
        <v>#REF!</v>
      </c>
      <c r="AF182" s="1989" t="e">
        <f>#REF!/10^7</f>
        <v>#REF!</v>
      </c>
      <c r="AG182" s="2002" t="e">
        <f t="shared" si="324"/>
        <v>#REF!</v>
      </c>
      <c r="AH182" s="1999" t="e">
        <f t="shared" si="435"/>
        <v>#REF!</v>
      </c>
      <c r="AI182" s="1993" t="e">
        <f>#REF!</f>
        <v>#REF!</v>
      </c>
      <c r="AJ182" s="2003">
        <f t="shared" si="326"/>
        <v>0</v>
      </c>
      <c r="AK182" s="1989" t="e">
        <f>#REF!/10^7</f>
        <v>#REF!</v>
      </c>
      <c r="AL182" s="2003">
        <f t="shared" si="327"/>
        <v>0</v>
      </c>
      <c r="AM182" s="1989" t="e">
        <f>#REF!/10^7</f>
        <v>#REF!</v>
      </c>
      <c r="AN182" s="2003">
        <f t="shared" si="328"/>
        <v>0</v>
      </c>
      <c r="AO182" s="1989" t="e">
        <f>#REF!/10^7</f>
        <v>#REF!</v>
      </c>
      <c r="AP182" s="1989" t="e">
        <f>#REF!/10^7</f>
        <v>#REF!</v>
      </c>
      <c r="AQ182" s="2002" t="e">
        <f t="shared" si="329"/>
        <v>#REF!</v>
      </c>
      <c r="AR182" s="1999" t="e">
        <f t="shared" si="436"/>
        <v>#REF!</v>
      </c>
      <c r="AS182" s="1993" t="e">
        <f>#REF!</f>
        <v>#REF!</v>
      </c>
      <c r="AT182" s="2003">
        <f t="shared" si="331"/>
        <v>0</v>
      </c>
      <c r="AU182" s="1989" t="e">
        <f>#REF!/10^7</f>
        <v>#REF!</v>
      </c>
      <c r="AV182" s="2003">
        <f t="shared" si="332"/>
        <v>0</v>
      </c>
      <c r="AW182" s="1989" t="e">
        <f>#REF!/10^7</f>
        <v>#REF!</v>
      </c>
      <c r="AX182" s="2003">
        <f t="shared" si="333"/>
        <v>0</v>
      </c>
      <c r="AY182" s="1989" t="e">
        <f>#REF!/10^7</f>
        <v>#REF!</v>
      </c>
      <c r="AZ182" s="1989" t="e">
        <f>#REF!/10^7</f>
        <v>#REF!</v>
      </c>
      <c r="BA182" s="2002" t="e">
        <f t="shared" si="334"/>
        <v>#REF!</v>
      </c>
      <c r="BB182" s="1999" t="e">
        <f t="shared" si="437"/>
        <v>#REF!</v>
      </c>
      <c r="BC182" s="1993" t="e">
        <f>#REF!</f>
        <v>#REF!</v>
      </c>
      <c r="BD182" s="2003">
        <f t="shared" si="335"/>
        <v>0</v>
      </c>
      <c r="BE182" s="1989" t="e">
        <f>#REF!/10^7</f>
        <v>#REF!</v>
      </c>
      <c r="BF182" s="2003">
        <f t="shared" si="336"/>
        <v>0</v>
      </c>
      <c r="BG182" s="1989" t="e">
        <f>#REF!/10^7</f>
        <v>#REF!</v>
      </c>
      <c r="BH182" s="2003">
        <f t="shared" si="337"/>
        <v>0</v>
      </c>
      <c r="BI182" s="1989" t="e">
        <f>#REF!/10^7</f>
        <v>#REF!</v>
      </c>
      <c r="BJ182" s="1989" t="e">
        <f>#REF!/10^7</f>
        <v>#REF!</v>
      </c>
      <c r="BK182" s="2002" t="e">
        <f t="shared" si="338"/>
        <v>#REF!</v>
      </c>
      <c r="BL182" s="1999" t="e">
        <f t="shared" si="438"/>
        <v>#REF!</v>
      </c>
      <c r="BM182" s="1993" t="e">
        <f>#REF!</f>
        <v>#REF!</v>
      </c>
      <c r="BN182" s="2003">
        <f t="shared" si="339"/>
        <v>0</v>
      </c>
      <c r="BO182" s="1989" t="e">
        <f>#REF!/10^7</f>
        <v>#REF!</v>
      </c>
      <c r="BP182" s="2003">
        <f t="shared" si="340"/>
        <v>0</v>
      </c>
      <c r="BQ182" s="1989" t="e">
        <f>#REF!/10^7</f>
        <v>#REF!</v>
      </c>
      <c r="BR182" s="2003">
        <f t="shared" si="341"/>
        <v>0</v>
      </c>
      <c r="BS182" s="1989" t="e">
        <f>#REF!/10^7</f>
        <v>#REF!</v>
      </c>
      <c r="BT182" s="1989" t="e">
        <f>#REF!/10^7</f>
        <v>#REF!</v>
      </c>
      <c r="BU182" s="2002" t="e">
        <f t="shared" si="342"/>
        <v>#REF!</v>
      </c>
      <c r="BV182" s="1999" t="e">
        <f t="shared" si="439"/>
        <v>#REF!</v>
      </c>
      <c r="BW182" s="1993" t="e">
        <f>#REF!</f>
        <v>#REF!</v>
      </c>
      <c r="BX182" s="2003">
        <f t="shared" si="343"/>
        <v>0</v>
      </c>
      <c r="BY182" s="1989" t="e">
        <f>#REF!/10^7</f>
        <v>#REF!</v>
      </c>
      <c r="BZ182" s="2003">
        <f t="shared" si="344"/>
        <v>0</v>
      </c>
      <c r="CA182" s="1989" t="e">
        <f>#REF!/10^7</f>
        <v>#REF!</v>
      </c>
      <c r="CB182" s="2003">
        <f t="shared" si="345"/>
        <v>0</v>
      </c>
      <c r="CC182" s="1989" t="e">
        <f>#REF!/10^7</f>
        <v>#REF!</v>
      </c>
      <c r="CD182" s="1989" t="e">
        <f>#REF!/10^7</f>
        <v>#REF!</v>
      </c>
      <c r="CE182" s="2002" t="e">
        <f t="shared" si="346"/>
        <v>#REF!</v>
      </c>
      <c r="CF182" s="1999" t="e">
        <f t="shared" si="440"/>
        <v>#REF!</v>
      </c>
      <c r="CG182" s="1993" t="e">
        <f>#REF!</f>
        <v>#REF!</v>
      </c>
      <c r="CH182" s="2003">
        <f t="shared" si="347"/>
        <v>0</v>
      </c>
      <c r="CI182" s="1989" t="e">
        <f>#REF!/10^7</f>
        <v>#REF!</v>
      </c>
      <c r="CJ182" s="2003">
        <f t="shared" si="348"/>
        <v>0</v>
      </c>
      <c r="CK182" s="1989" t="e">
        <f>#REF!/10^7</f>
        <v>#REF!</v>
      </c>
      <c r="CL182" s="2003">
        <f t="shared" si="349"/>
        <v>0</v>
      </c>
      <c r="CM182" s="1989" t="e">
        <f>#REF!/10^7</f>
        <v>#REF!</v>
      </c>
      <c r="CN182" s="1989" t="e">
        <f>#REF!/10^7</f>
        <v>#REF!</v>
      </c>
      <c r="CO182" s="2002" t="e">
        <f t="shared" si="350"/>
        <v>#REF!</v>
      </c>
      <c r="CP182" s="1999" t="e">
        <f t="shared" si="441"/>
        <v>#REF!</v>
      </c>
      <c r="CQ182" s="1993" t="e">
        <f>#REF!</f>
        <v>#REF!</v>
      </c>
      <c r="CR182" s="2003">
        <f t="shared" si="351"/>
        <v>0</v>
      </c>
      <c r="CS182" s="1989" t="e">
        <f>#REF!/10^7</f>
        <v>#REF!</v>
      </c>
      <c r="CT182" s="2003">
        <f t="shared" si="352"/>
        <v>0</v>
      </c>
      <c r="CU182" s="1989" t="e">
        <f>#REF!/10^7</f>
        <v>#REF!</v>
      </c>
      <c r="CV182" s="2003">
        <f t="shared" si="353"/>
        <v>0</v>
      </c>
      <c r="CW182" s="1989" t="e">
        <f>#REF!/10^7</f>
        <v>#REF!</v>
      </c>
      <c r="CX182" s="1989" t="e">
        <f>#REF!/10^7</f>
        <v>#REF!</v>
      </c>
      <c r="CY182" s="2002" t="e">
        <f t="shared" si="354"/>
        <v>#REF!</v>
      </c>
      <c r="CZ182" s="1999" t="e">
        <f t="shared" si="442"/>
        <v>#REF!</v>
      </c>
      <c r="DA182" s="1993" t="e">
        <f>#REF!</f>
        <v>#REF!</v>
      </c>
      <c r="DB182" s="2003">
        <f t="shared" si="355"/>
        <v>0</v>
      </c>
      <c r="DC182" s="1989" t="e">
        <f>#REF!/10^7</f>
        <v>#REF!</v>
      </c>
      <c r="DD182" s="2003">
        <f t="shared" si="356"/>
        <v>0</v>
      </c>
      <c r="DE182" s="1989" t="e">
        <f>#REF!/10^7</f>
        <v>#REF!</v>
      </c>
      <c r="DF182" s="2003">
        <f t="shared" si="357"/>
        <v>0</v>
      </c>
      <c r="DG182" s="1989" t="e">
        <f>#REF!/10^7</f>
        <v>#REF!</v>
      </c>
      <c r="DH182" s="1989" t="e">
        <f>#REF!/10^7</f>
        <v>#REF!</v>
      </c>
      <c r="DI182" s="2002" t="e">
        <f t="shared" si="358"/>
        <v>#REF!</v>
      </c>
      <c r="DJ182" s="1999" t="e">
        <f t="shared" si="443"/>
        <v>#REF!</v>
      </c>
      <c r="DK182" s="1993" t="e">
        <f>#REF!</f>
        <v>#REF!</v>
      </c>
      <c r="DL182" s="2003">
        <f t="shared" si="359"/>
        <v>0</v>
      </c>
      <c r="DM182" s="1989" t="e">
        <f>#REF!/10^7</f>
        <v>#REF!</v>
      </c>
      <c r="DN182" s="2003">
        <f t="shared" si="360"/>
        <v>0</v>
      </c>
      <c r="DO182" s="1989" t="e">
        <f>#REF!/10^7</f>
        <v>#REF!</v>
      </c>
      <c r="DP182" s="2003">
        <f t="shared" si="361"/>
        <v>0</v>
      </c>
      <c r="DQ182" s="1989" t="e">
        <f>#REF!/10^7</f>
        <v>#REF!</v>
      </c>
      <c r="DR182" s="1989" t="e">
        <f>#REF!/10^7</f>
        <v>#REF!</v>
      </c>
      <c r="DS182" s="2002" t="e">
        <f t="shared" si="362"/>
        <v>#REF!</v>
      </c>
      <c r="DT182" s="2004" t="e">
        <f t="shared" si="444"/>
        <v>#REF!</v>
      </c>
      <c r="DU182" s="1988" t="e">
        <f>#REF!</f>
        <v>#REF!</v>
      </c>
      <c r="DV182" s="2003">
        <f t="shared" si="364"/>
        <v>0</v>
      </c>
      <c r="DW182" s="1989" t="e">
        <f>#REF!/10^7</f>
        <v>#REF!</v>
      </c>
      <c r="DX182" s="2003">
        <f t="shared" si="365"/>
        <v>0</v>
      </c>
      <c r="DY182" s="1989" t="e">
        <f>#REF!/10^7</f>
        <v>#REF!</v>
      </c>
      <c r="DZ182" s="2003">
        <f t="shared" si="366"/>
        <v>0</v>
      </c>
      <c r="EA182" s="1989" t="e">
        <f>#REF!/10^7</f>
        <v>#REF!</v>
      </c>
      <c r="EB182" s="1989" t="e">
        <f>#REF!/10^7</f>
        <v>#REF!</v>
      </c>
      <c r="EC182" s="2002" t="e">
        <f t="shared" si="367"/>
        <v>#REF!</v>
      </c>
      <c r="ED182" s="1998" t="e">
        <f t="shared" si="445"/>
        <v>#REF!</v>
      </c>
      <c r="EE182" s="2005" t="e">
        <f>O182+Y182+AI182+AS182+BC182+BM182+BW182+CG182+CQ182+DA182+DK182+DU182</f>
        <v>#REF!</v>
      </c>
      <c r="EF182" s="2003">
        <f t="shared" si="368"/>
        <v>0</v>
      </c>
      <c r="EG182" s="1989" t="e">
        <f>Q182+AA182+AK182+AU182+BE182+BO182+BY182+CI182+CS182+DC182+DM182+DW182</f>
        <v>#REF!</v>
      </c>
      <c r="EH182" s="2003">
        <f t="shared" si="369"/>
        <v>0</v>
      </c>
      <c r="EI182" s="1989" t="e">
        <f>S182+AC182+AM182+AW182+BG182+BQ182+CA182+CK182+CU182+DE182+DO182+DY182</f>
        <v>#REF!</v>
      </c>
      <c r="EJ182" s="2003">
        <f t="shared" si="370"/>
        <v>0</v>
      </c>
      <c r="EK182" s="1989" t="e">
        <f>U182+AE182+AO182+AY182+BI182+BS182+CC182+CM182+CW182+DG182+DQ182+EA182</f>
        <v>#REF!</v>
      </c>
      <c r="EL182" s="1989" t="e">
        <f>V182+AF182+AP182+AZ182+BJ182+BT182+CD182+CN182+CX182+DH182+DR182+EB182</f>
        <v>#REF!</v>
      </c>
      <c r="EM182" s="2006" t="e">
        <f t="shared" si="371"/>
        <v>#REF!</v>
      </c>
      <c r="EN182" s="1999" t="e">
        <f>EG182+EI182+EK182+EL182</f>
        <v>#REF!</v>
      </c>
      <c r="EP182" s="1613" t="e">
        <f>EA182-#REF!/10^7</f>
        <v>#REF!</v>
      </c>
      <c r="EW182" s="1611" t="e">
        <v>#N/A</v>
      </c>
      <c r="EX182" s="1612" t="e">
        <v>#N/A</v>
      </c>
      <c r="EZ182" s="1650">
        <f t="shared" si="372"/>
        <v>0</v>
      </c>
    </row>
    <row r="183" spans="1:156" s="1660" customFormat="1" ht="21" customHeight="1">
      <c r="A183" s="1637"/>
      <c r="B183" s="1654" t="s">
        <v>211</v>
      </c>
      <c r="C183" s="1655"/>
      <c r="D183" s="1656"/>
      <c r="E183" s="1656"/>
      <c r="F183" s="1656"/>
      <c r="G183" s="1656"/>
      <c r="H183" s="1656"/>
      <c r="I183" s="1656"/>
      <c r="J183" s="1657"/>
      <c r="K183" s="1656"/>
      <c r="L183" s="1656"/>
      <c r="M183" s="1656"/>
      <c r="N183" s="1658"/>
      <c r="O183" s="2007" t="e">
        <f>SUM(O181:O182)</f>
        <v>#REF!</v>
      </c>
      <c r="P183" s="2003">
        <f t="shared" si="317"/>
        <v>0</v>
      </c>
      <c r="Q183" s="1826" t="e">
        <f>SUM(Q181:Q182)</f>
        <v>#REF!</v>
      </c>
      <c r="R183" s="2003">
        <f t="shared" si="318"/>
        <v>0</v>
      </c>
      <c r="S183" s="1826" t="e">
        <f>SUM(S181:S182)</f>
        <v>#REF!</v>
      </c>
      <c r="T183" s="2003">
        <f t="shared" si="319"/>
        <v>0</v>
      </c>
      <c r="U183" s="1826" t="e">
        <f>SUM(U181:U182)</f>
        <v>#REF!</v>
      </c>
      <c r="V183" s="1826"/>
      <c r="W183" s="1989">
        <f t="shared" si="320"/>
        <v>0</v>
      </c>
      <c r="X183" s="2008" t="e">
        <f t="shared" ref="X183:AF183" si="446">SUM(X181:X182)</f>
        <v>#REF!</v>
      </c>
      <c r="Y183" s="2007" t="e">
        <f t="shared" si="446"/>
        <v>#REF!</v>
      </c>
      <c r="Z183" s="2003">
        <f t="shared" si="321"/>
        <v>0</v>
      </c>
      <c r="AA183" s="1826" t="e">
        <f t="shared" si="446"/>
        <v>#REF!</v>
      </c>
      <c r="AB183" s="2003">
        <f t="shared" si="322"/>
        <v>0</v>
      </c>
      <c r="AC183" s="1826" t="e">
        <f t="shared" si="446"/>
        <v>#REF!</v>
      </c>
      <c r="AD183" s="2003">
        <f t="shared" si="323"/>
        <v>0</v>
      </c>
      <c r="AE183" s="1826" t="e">
        <f t="shared" si="446"/>
        <v>#REF!</v>
      </c>
      <c r="AF183" s="1826" t="e">
        <f t="shared" si="446"/>
        <v>#REF!</v>
      </c>
      <c r="AG183" s="2002" t="e">
        <f t="shared" si="324"/>
        <v>#REF!</v>
      </c>
      <c r="AH183" s="2008" t="e">
        <f t="shared" ref="AH183:AP183" si="447">SUM(AH181:AH182)</f>
        <v>#REF!</v>
      </c>
      <c r="AI183" s="2007" t="e">
        <f t="shared" si="447"/>
        <v>#REF!</v>
      </c>
      <c r="AJ183" s="2003">
        <f t="shared" si="326"/>
        <v>0</v>
      </c>
      <c r="AK183" s="1826" t="e">
        <f t="shared" si="447"/>
        <v>#REF!</v>
      </c>
      <c r="AL183" s="2003">
        <f t="shared" si="327"/>
        <v>0</v>
      </c>
      <c r="AM183" s="1826" t="e">
        <f t="shared" si="447"/>
        <v>#REF!</v>
      </c>
      <c r="AN183" s="2003">
        <f t="shared" si="328"/>
        <v>0</v>
      </c>
      <c r="AO183" s="1826" t="e">
        <f t="shared" si="447"/>
        <v>#REF!</v>
      </c>
      <c r="AP183" s="1826" t="e">
        <f t="shared" si="447"/>
        <v>#REF!</v>
      </c>
      <c r="AQ183" s="2002" t="e">
        <f t="shared" si="329"/>
        <v>#REF!</v>
      </c>
      <c r="AR183" s="2008" t="e">
        <f t="shared" ref="AR183:AZ183" si="448">SUM(AR181:AR182)</f>
        <v>#REF!</v>
      </c>
      <c r="AS183" s="2007" t="e">
        <f t="shared" si="448"/>
        <v>#REF!</v>
      </c>
      <c r="AT183" s="2003">
        <f t="shared" si="331"/>
        <v>0</v>
      </c>
      <c r="AU183" s="1826" t="e">
        <f t="shared" si="448"/>
        <v>#REF!</v>
      </c>
      <c r="AV183" s="2003">
        <f t="shared" si="332"/>
        <v>0</v>
      </c>
      <c r="AW183" s="1826" t="e">
        <f t="shared" si="448"/>
        <v>#REF!</v>
      </c>
      <c r="AX183" s="2003">
        <f t="shared" si="333"/>
        <v>0</v>
      </c>
      <c r="AY183" s="1826" t="e">
        <f t="shared" si="448"/>
        <v>#REF!</v>
      </c>
      <c r="AZ183" s="1826" t="e">
        <f t="shared" si="448"/>
        <v>#REF!</v>
      </c>
      <c r="BA183" s="2002" t="e">
        <f t="shared" si="334"/>
        <v>#REF!</v>
      </c>
      <c r="BB183" s="2008" t="e">
        <f>SUM(BB181:BB182)</f>
        <v>#REF!</v>
      </c>
      <c r="BC183" s="2007"/>
      <c r="BD183" s="2003">
        <f t="shared" si="335"/>
        <v>0</v>
      </c>
      <c r="BE183" s="1826"/>
      <c r="BF183" s="2003">
        <f t="shared" si="336"/>
        <v>0</v>
      </c>
      <c r="BG183" s="1826"/>
      <c r="BH183" s="2003">
        <f t="shared" si="337"/>
        <v>0</v>
      </c>
      <c r="BI183" s="1826"/>
      <c r="BJ183" s="1826"/>
      <c r="BK183" s="2002">
        <f t="shared" si="338"/>
        <v>0</v>
      </c>
      <c r="BL183" s="2008">
        <f t="shared" si="438"/>
        <v>0</v>
      </c>
      <c r="BM183" s="2007"/>
      <c r="BN183" s="2003">
        <f t="shared" si="339"/>
        <v>0</v>
      </c>
      <c r="BO183" s="1826"/>
      <c r="BP183" s="2003">
        <f t="shared" si="340"/>
        <v>0</v>
      </c>
      <c r="BQ183" s="1826"/>
      <c r="BR183" s="2003">
        <f t="shared" si="341"/>
        <v>0</v>
      </c>
      <c r="BS183" s="1826"/>
      <c r="BT183" s="1826"/>
      <c r="BU183" s="2002">
        <f t="shared" si="342"/>
        <v>0</v>
      </c>
      <c r="BV183" s="2008">
        <f t="shared" si="439"/>
        <v>0</v>
      </c>
      <c r="BW183" s="2007"/>
      <c r="BX183" s="2003">
        <f t="shared" si="343"/>
        <v>0</v>
      </c>
      <c r="BY183" s="1826"/>
      <c r="BZ183" s="2003">
        <f t="shared" si="344"/>
        <v>0</v>
      </c>
      <c r="CA183" s="1826"/>
      <c r="CB183" s="2003">
        <f t="shared" si="345"/>
        <v>0</v>
      </c>
      <c r="CC183" s="1826"/>
      <c r="CD183" s="1826"/>
      <c r="CE183" s="2002">
        <f t="shared" si="346"/>
        <v>0</v>
      </c>
      <c r="CF183" s="2008">
        <f t="shared" si="440"/>
        <v>0</v>
      </c>
      <c r="CG183" s="2007"/>
      <c r="CH183" s="2003">
        <f t="shared" si="347"/>
        <v>0</v>
      </c>
      <c r="CI183" s="1826"/>
      <c r="CJ183" s="2003">
        <f t="shared" si="348"/>
        <v>0</v>
      </c>
      <c r="CK183" s="1826"/>
      <c r="CL183" s="2003">
        <f t="shared" si="349"/>
        <v>0</v>
      </c>
      <c r="CM183" s="1826"/>
      <c r="CN183" s="1826"/>
      <c r="CO183" s="2002">
        <f t="shared" si="350"/>
        <v>0</v>
      </c>
      <c r="CP183" s="2008">
        <f t="shared" si="441"/>
        <v>0</v>
      </c>
      <c r="CQ183" s="2007" t="e">
        <f>SUM(CQ181:CQ182)</f>
        <v>#REF!</v>
      </c>
      <c r="CR183" s="2003">
        <f t="shared" si="351"/>
        <v>0</v>
      </c>
      <c r="CS183" s="1826" t="e">
        <f>SUM(CS181:CS182)</f>
        <v>#REF!</v>
      </c>
      <c r="CT183" s="2003">
        <f t="shared" si="352"/>
        <v>0</v>
      </c>
      <c r="CU183" s="1826" t="e">
        <f>SUM(CU181:CU182)</f>
        <v>#REF!</v>
      </c>
      <c r="CV183" s="2003">
        <f t="shared" si="353"/>
        <v>0</v>
      </c>
      <c r="CW183" s="1826" t="e">
        <f>SUM(CW181:CW182)</f>
        <v>#REF!</v>
      </c>
      <c r="CX183" s="1826" t="e">
        <f>SUM(CX181:CX182)</f>
        <v>#REF!</v>
      </c>
      <c r="CY183" s="2002" t="e">
        <f t="shared" si="354"/>
        <v>#REF!</v>
      </c>
      <c r="CZ183" s="2008" t="e">
        <f t="shared" ref="CZ183:DH183" si="449">SUM(CZ181:CZ182)</f>
        <v>#REF!</v>
      </c>
      <c r="DA183" s="2007" t="e">
        <f t="shared" si="449"/>
        <v>#REF!</v>
      </c>
      <c r="DB183" s="2003">
        <f t="shared" si="355"/>
        <v>0</v>
      </c>
      <c r="DC183" s="1826" t="e">
        <f t="shared" si="449"/>
        <v>#REF!</v>
      </c>
      <c r="DD183" s="2003">
        <f t="shared" si="356"/>
        <v>0</v>
      </c>
      <c r="DE183" s="1826" t="e">
        <f t="shared" si="449"/>
        <v>#REF!</v>
      </c>
      <c r="DF183" s="2003">
        <f t="shared" si="357"/>
        <v>0</v>
      </c>
      <c r="DG183" s="1826" t="e">
        <f t="shared" si="449"/>
        <v>#REF!</v>
      </c>
      <c r="DH183" s="1826" t="e">
        <f t="shared" si="449"/>
        <v>#REF!</v>
      </c>
      <c r="DI183" s="2002" t="e">
        <f t="shared" si="358"/>
        <v>#REF!</v>
      </c>
      <c r="DJ183" s="2008" t="e">
        <f t="shared" ref="DJ183:DR183" si="450">SUM(DJ181:DJ182)</f>
        <v>#REF!</v>
      </c>
      <c r="DK183" s="2007" t="e">
        <f t="shared" si="450"/>
        <v>#REF!</v>
      </c>
      <c r="DL183" s="2003">
        <f t="shared" si="359"/>
        <v>0</v>
      </c>
      <c r="DM183" s="1826" t="e">
        <f t="shared" si="450"/>
        <v>#REF!</v>
      </c>
      <c r="DN183" s="2003">
        <f t="shared" si="360"/>
        <v>0</v>
      </c>
      <c r="DO183" s="1826" t="e">
        <f t="shared" si="450"/>
        <v>#REF!</v>
      </c>
      <c r="DP183" s="2003">
        <f t="shared" si="361"/>
        <v>0</v>
      </c>
      <c r="DQ183" s="1826" t="e">
        <f t="shared" si="450"/>
        <v>#REF!</v>
      </c>
      <c r="DR183" s="1826" t="e">
        <f t="shared" si="450"/>
        <v>#REF!</v>
      </c>
      <c r="DS183" s="2002" t="e">
        <f t="shared" si="362"/>
        <v>#REF!</v>
      </c>
      <c r="DT183" s="2009" t="e">
        <f t="shared" ref="DT183:EB183" si="451">SUM(DT181:DT182)</f>
        <v>#REF!</v>
      </c>
      <c r="DU183" s="2010" t="e">
        <f t="shared" si="451"/>
        <v>#REF!</v>
      </c>
      <c r="DV183" s="2003">
        <f t="shared" si="364"/>
        <v>0</v>
      </c>
      <c r="DW183" s="1826" t="e">
        <f t="shared" si="451"/>
        <v>#REF!</v>
      </c>
      <c r="DX183" s="2003">
        <f t="shared" si="365"/>
        <v>0</v>
      </c>
      <c r="DY183" s="1826" t="e">
        <f t="shared" si="451"/>
        <v>#REF!</v>
      </c>
      <c r="DZ183" s="2003">
        <f t="shared" si="366"/>
        <v>0</v>
      </c>
      <c r="EA183" s="1826" t="e">
        <f t="shared" si="451"/>
        <v>#REF!</v>
      </c>
      <c r="EB183" s="1826" t="e">
        <f t="shared" si="451"/>
        <v>#REF!</v>
      </c>
      <c r="EC183" s="2002" t="e">
        <f t="shared" si="367"/>
        <v>#REF!</v>
      </c>
      <c r="ED183" s="1826" t="e">
        <f t="shared" ref="ED183:EL183" si="452">SUM(ED181:ED182)</f>
        <v>#REF!</v>
      </c>
      <c r="EE183" s="2011" t="e">
        <f t="shared" si="452"/>
        <v>#REF!</v>
      </c>
      <c r="EF183" s="2003">
        <f t="shared" si="368"/>
        <v>0</v>
      </c>
      <c r="EG183" s="1826" t="e">
        <f t="shared" si="452"/>
        <v>#REF!</v>
      </c>
      <c r="EH183" s="2003">
        <f t="shared" si="369"/>
        <v>0</v>
      </c>
      <c r="EI183" s="1826" t="e">
        <f t="shared" si="452"/>
        <v>#REF!</v>
      </c>
      <c r="EJ183" s="2003">
        <f t="shared" si="370"/>
        <v>0</v>
      </c>
      <c r="EK183" s="1826" t="e">
        <f t="shared" si="452"/>
        <v>#REF!</v>
      </c>
      <c r="EL183" s="1826" t="e">
        <f t="shared" si="452"/>
        <v>#REF!</v>
      </c>
      <c r="EM183" s="2006" t="e">
        <f t="shared" si="371"/>
        <v>#REF!</v>
      </c>
      <c r="EN183" s="2008" t="e">
        <f>SUM(EN181:EN182)</f>
        <v>#REF!</v>
      </c>
      <c r="EO183" s="1659"/>
      <c r="EP183" s="1613" t="e">
        <f>EA183-#REF!/10^7</f>
        <v>#REF!</v>
      </c>
      <c r="EQ183" s="1661"/>
      <c r="EW183" s="1611" t="e">
        <v>#N/A</v>
      </c>
      <c r="EX183" s="1612">
        <v>0</v>
      </c>
      <c r="EZ183" s="1650">
        <f t="shared" si="372"/>
        <v>0</v>
      </c>
    </row>
    <row r="184" spans="1:156" ht="21" customHeight="1">
      <c r="A184" s="1652"/>
      <c r="B184" s="1644"/>
      <c r="C184" s="1662"/>
      <c r="D184" s="1648"/>
      <c r="E184" s="1648"/>
      <c r="F184" s="1648"/>
      <c r="G184" s="1648"/>
      <c r="H184" s="1648"/>
      <c r="I184" s="1648"/>
      <c r="J184" s="1663"/>
      <c r="K184" s="1648"/>
      <c r="L184" s="1648"/>
      <c r="M184" s="1648"/>
      <c r="N184" s="1642"/>
      <c r="O184" s="2000"/>
      <c r="P184" s="2003">
        <f t="shared" si="317"/>
        <v>0</v>
      </c>
      <c r="Q184" s="1989"/>
      <c r="R184" s="2003">
        <f t="shared" si="318"/>
        <v>0</v>
      </c>
      <c r="S184" s="1989"/>
      <c r="T184" s="2003">
        <f t="shared" si="319"/>
        <v>0</v>
      </c>
      <c r="U184" s="1989"/>
      <c r="V184" s="1989"/>
      <c r="W184" s="1989">
        <f t="shared" si="320"/>
        <v>0</v>
      </c>
      <c r="X184" s="1999">
        <f>Q184+S184+U184+V184</f>
        <v>0</v>
      </c>
      <c r="Y184" s="1993"/>
      <c r="Z184" s="2003">
        <f t="shared" si="321"/>
        <v>0</v>
      </c>
      <c r="AA184" s="1989"/>
      <c r="AB184" s="2003">
        <f t="shared" si="322"/>
        <v>0</v>
      </c>
      <c r="AC184" s="1989"/>
      <c r="AD184" s="2003">
        <f t="shared" si="323"/>
        <v>0</v>
      </c>
      <c r="AE184" s="1989"/>
      <c r="AF184" s="1989"/>
      <c r="AG184" s="2002">
        <f t="shared" si="324"/>
        <v>0</v>
      </c>
      <c r="AH184" s="1999">
        <f>AA184+AC184+AE184+AF184</f>
        <v>0</v>
      </c>
      <c r="AI184" s="1993"/>
      <c r="AJ184" s="2003">
        <f t="shared" si="326"/>
        <v>0</v>
      </c>
      <c r="AK184" s="1989"/>
      <c r="AL184" s="2003">
        <f t="shared" si="327"/>
        <v>0</v>
      </c>
      <c r="AM184" s="1989"/>
      <c r="AN184" s="2003">
        <f t="shared" si="328"/>
        <v>0</v>
      </c>
      <c r="AO184" s="1989"/>
      <c r="AP184" s="1989"/>
      <c r="AQ184" s="2002">
        <f t="shared" si="329"/>
        <v>0</v>
      </c>
      <c r="AR184" s="1999">
        <f>AK184+AM184+AO184+AP184</f>
        <v>0</v>
      </c>
      <c r="AS184" s="1993"/>
      <c r="AT184" s="2003">
        <f t="shared" si="331"/>
        <v>0</v>
      </c>
      <c r="AU184" s="1989"/>
      <c r="AV184" s="2003">
        <f t="shared" si="332"/>
        <v>0</v>
      </c>
      <c r="AW184" s="1989"/>
      <c r="AX184" s="2003">
        <f t="shared" si="333"/>
        <v>0</v>
      </c>
      <c r="AY184" s="1989"/>
      <c r="AZ184" s="1989"/>
      <c r="BA184" s="2002">
        <f t="shared" si="334"/>
        <v>0</v>
      </c>
      <c r="BB184" s="1999">
        <f>AU184+AW184+AY184+AZ184</f>
        <v>0</v>
      </c>
      <c r="BC184" s="1993"/>
      <c r="BD184" s="2003">
        <f t="shared" si="335"/>
        <v>0</v>
      </c>
      <c r="BE184" s="1989"/>
      <c r="BF184" s="2003">
        <f t="shared" si="336"/>
        <v>0</v>
      </c>
      <c r="BG184" s="1989"/>
      <c r="BH184" s="2003">
        <f t="shared" si="337"/>
        <v>0</v>
      </c>
      <c r="BI184" s="1989"/>
      <c r="BJ184" s="1989"/>
      <c r="BK184" s="2002">
        <f t="shared" si="338"/>
        <v>0</v>
      </c>
      <c r="BL184" s="1999">
        <f t="shared" si="438"/>
        <v>0</v>
      </c>
      <c r="BM184" s="1993"/>
      <c r="BN184" s="2003">
        <f t="shared" si="339"/>
        <v>0</v>
      </c>
      <c r="BO184" s="1989"/>
      <c r="BP184" s="2003">
        <f t="shared" si="340"/>
        <v>0</v>
      </c>
      <c r="BQ184" s="1989"/>
      <c r="BR184" s="2003">
        <f t="shared" si="341"/>
        <v>0</v>
      </c>
      <c r="BS184" s="1989"/>
      <c r="BT184" s="1989"/>
      <c r="BU184" s="2002">
        <f t="shared" si="342"/>
        <v>0</v>
      </c>
      <c r="BV184" s="1999">
        <f t="shared" si="439"/>
        <v>0</v>
      </c>
      <c r="BW184" s="1993"/>
      <c r="BX184" s="2003">
        <f t="shared" si="343"/>
        <v>0</v>
      </c>
      <c r="BY184" s="1989"/>
      <c r="BZ184" s="2003">
        <f t="shared" si="344"/>
        <v>0</v>
      </c>
      <c r="CA184" s="1989"/>
      <c r="CB184" s="2003">
        <f t="shared" si="345"/>
        <v>0</v>
      </c>
      <c r="CC184" s="1989"/>
      <c r="CD184" s="1989"/>
      <c r="CE184" s="2002">
        <f t="shared" si="346"/>
        <v>0</v>
      </c>
      <c r="CF184" s="1999">
        <f t="shared" si="440"/>
        <v>0</v>
      </c>
      <c r="CG184" s="1993"/>
      <c r="CH184" s="2003">
        <f t="shared" si="347"/>
        <v>0</v>
      </c>
      <c r="CI184" s="1989"/>
      <c r="CJ184" s="2003">
        <f t="shared" si="348"/>
        <v>0</v>
      </c>
      <c r="CK184" s="1989"/>
      <c r="CL184" s="2003">
        <f t="shared" si="349"/>
        <v>0</v>
      </c>
      <c r="CM184" s="1989"/>
      <c r="CN184" s="1989"/>
      <c r="CO184" s="2002">
        <f t="shared" si="350"/>
        <v>0</v>
      </c>
      <c r="CP184" s="1999">
        <f t="shared" si="441"/>
        <v>0</v>
      </c>
      <c r="CQ184" s="1993"/>
      <c r="CR184" s="2003">
        <f t="shared" si="351"/>
        <v>0</v>
      </c>
      <c r="CS184" s="1989"/>
      <c r="CT184" s="2003">
        <f t="shared" si="352"/>
        <v>0</v>
      </c>
      <c r="CU184" s="1989"/>
      <c r="CV184" s="2003">
        <f t="shared" si="353"/>
        <v>0</v>
      </c>
      <c r="CW184" s="1989"/>
      <c r="CX184" s="1989"/>
      <c r="CY184" s="2002">
        <f t="shared" si="354"/>
        <v>0</v>
      </c>
      <c r="CZ184" s="1999">
        <f t="shared" si="442"/>
        <v>0</v>
      </c>
      <c r="DA184" s="1993"/>
      <c r="DB184" s="2003">
        <f t="shared" si="355"/>
        <v>0</v>
      </c>
      <c r="DC184" s="1989"/>
      <c r="DD184" s="2003">
        <f t="shared" si="356"/>
        <v>0</v>
      </c>
      <c r="DE184" s="1989"/>
      <c r="DF184" s="2003">
        <f t="shared" si="357"/>
        <v>0</v>
      </c>
      <c r="DG184" s="1989"/>
      <c r="DH184" s="1989"/>
      <c r="DI184" s="2002">
        <f t="shared" si="358"/>
        <v>0</v>
      </c>
      <c r="DJ184" s="1999">
        <f>DC184+DE184+DG184+DH184</f>
        <v>0</v>
      </c>
      <c r="DK184" s="1993"/>
      <c r="DL184" s="2003">
        <f t="shared" si="359"/>
        <v>0</v>
      </c>
      <c r="DM184" s="1989"/>
      <c r="DN184" s="2003">
        <f t="shared" si="360"/>
        <v>0</v>
      </c>
      <c r="DO184" s="1989"/>
      <c r="DP184" s="2003">
        <f t="shared" si="361"/>
        <v>0</v>
      </c>
      <c r="DQ184" s="1989"/>
      <c r="DR184" s="1989"/>
      <c r="DS184" s="2002">
        <f t="shared" si="362"/>
        <v>0</v>
      </c>
      <c r="DT184" s="2004">
        <f>DM184+DO184+DQ184+DR184</f>
        <v>0</v>
      </c>
      <c r="DU184" s="1988"/>
      <c r="DV184" s="2003">
        <f t="shared" si="364"/>
        <v>0</v>
      </c>
      <c r="DW184" s="1989"/>
      <c r="DX184" s="2003">
        <f t="shared" si="365"/>
        <v>0</v>
      </c>
      <c r="DY184" s="1989"/>
      <c r="DZ184" s="2003">
        <f t="shared" si="366"/>
        <v>0</v>
      </c>
      <c r="EA184" s="1989"/>
      <c r="EB184" s="1989"/>
      <c r="EC184" s="2002">
        <f t="shared" si="367"/>
        <v>0</v>
      </c>
      <c r="ED184" s="1998">
        <f>DW184+DY184+EA184+EB184</f>
        <v>0</v>
      </c>
      <c r="EE184" s="2005"/>
      <c r="EF184" s="2003">
        <f t="shared" si="368"/>
        <v>0</v>
      </c>
      <c r="EG184" s="1989"/>
      <c r="EH184" s="2003">
        <f t="shared" si="369"/>
        <v>0</v>
      </c>
      <c r="EI184" s="1989"/>
      <c r="EJ184" s="2003">
        <f t="shared" si="370"/>
        <v>0</v>
      </c>
      <c r="EK184" s="1989"/>
      <c r="EL184" s="1989"/>
      <c r="EM184" s="2006">
        <f t="shared" si="371"/>
        <v>0</v>
      </c>
      <c r="EN184" s="1999"/>
      <c r="EP184" s="1613" t="e">
        <f>EA184-#REF!/10^7</f>
        <v>#REF!</v>
      </c>
      <c r="EW184" s="1611" t="e">
        <v>#N/A</v>
      </c>
      <c r="EX184" s="1612" t="e">
        <v>#N/A</v>
      </c>
      <c r="EZ184" s="1650">
        <f t="shared" si="372"/>
        <v>0</v>
      </c>
    </row>
    <row r="185" spans="1:156" ht="21" customHeight="1">
      <c r="A185" s="1637" t="s">
        <v>67</v>
      </c>
      <c r="B185" s="1638" t="s">
        <v>1783</v>
      </c>
      <c r="C185" s="1662"/>
      <c r="D185" s="1648"/>
      <c r="E185" s="1648"/>
      <c r="F185" s="1648"/>
      <c r="G185" s="1648"/>
      <c r="H185" s="1648"/>
      <c r="I185" s="1648"/>
      <c r="J185" s="1663"/>
      <c r="K185" s="1648"/>
      <c r="L185" s="1648"/>
      <c r="M185" s="1648"/>
      <c r="N185" s="1642"/>
      <c r="O185" s="2000"/>
      <c r="P185" s="2003">
        <f t="shared" si="317"/>
        <v>0</v>
      </c>
      <c r="Q185" s="1989"/>
      <c r="R185" s="2003">
        <f t="shared" si="318"/>
        <v>0</v>
      </c>
      <c r="S185" s="1989"/>
      <c r="T185" s="2003">
        <f t="shared" si="319"/>
        <v>0</v>
      </c>
      <c r="U185" s="1989"/>
      <c r="V185" s="1989"/>
      <c r="W185" s="1989">
        <f t="shared" si="320"/>
        <v>0</v>
      </c>
      <c r="X185" s="1999">
        <f>Q185+S185+U185+V185</f>
        <v>0</v>
      </c>
      <c r="Y185" s="1993"/>
      <c r="Z185" s="2003">
        <f t="shared" si="321"/>
        <v>0</v>
      </c>
      <c r="AA185" s="1989"/>
      <c r="AB185" s="2003">
        <f t="shared" si="322"/>
        <v>0</v>
      </c>
      <c r="AC185" s="1989"/>
      <c r="AD185" s="2003">
        <f t="shared" si="323"/>
        <v>0</v>
      </c>
      <c r="AE185" s="1989"/>
      <c r="AF185" s="1989"/>
      <c r="AG185" s="2002">
        <f t="shared" si="324"/>
        <v>0</v>
      </c>
      <c r="AH185" s="1999">
        <f>AA185+AC185+AE185+AF185</f>
        <v>0</v>
      </c>
      <c r="AI185" s="1993"/>
      <c r="AJ185" s="2003">
        <f t="shared" si="326"/>
        <v>0</v>
      </c>
      <c r="AK185" s="1989"/>
      <c r="AL185" s="2003">
        <f t="shared" si="327"/>
        <v>0</v>
      </c>
      <c r="AM185" s="1989"/>
      <c r="AN185" s="2003">
        <f t="shared" si="328"/>
        <v>0</v>
      </c>
      <c r="AO185" s="1989"/>
      <c r="AP185" s="1989"/>
      <c r="AQ185" s="2002">
        <f t="shared" si="329"/>
        <v>0</v>
      </c>
      <c r="AR185" s="1999">
        <f>AK185+AM185+AO185+AP185</f>
        <v>0</v>
      </c>
      <c r="AS185" s="1993"/>
      <c r="AT185" s="2003">
        <f t="shared" si="331"/>
        <v>0</v>
      </c>
      <c r="AU185" s="1989"/>
      <c r="AV185" s="2003">
        <f t="shared" si="332"/>
        <v>0</v>
      </c>
      <c r="AW185" s="1989"/>
      <c r="AX185" s="2003">
        <f t="shared" si="333"/>
        <v>0</v>
      </c>
      <c r="AY185" s="1989"/>
      <c r="AZ185" s="1989"/>
      <c r="BA185" s="2002">
        <f t="shared" si="334"/>
        <v>0</v>
      </c>
      <c r="BB185" s="1999">
        <f>AU185+AW185+AY185+AZ185</f>
        <v>0</v>
      </c>
      <c r="BC185" s="1993"/>
      <c r="BD185" s="2003">
        <f t="shared" si="335"/>
        <v>0</v>
      </c>
      <c r="BE185" s="1989"/>
      <c r="BF185" s="2003">
        <f t="shared" si="336"/>
        <v>0</v>
      </c>
      <c r="BG185" s="1989"/>
      <c r="BH185" s="2003">
        <f t="shared" si="337"/>
        <v>0</v>
      </c>
      <c r="BI185" s="1989"/>
      <c r="BJ185" s="1989"/>
      <c r="BK185" s="2002">
        <f t="shared" si="338"/>
        <v>0</v>
      </c>
      <c r="BL185" s="1999">
        <f t="shared" si="438"/>
        <v>0</v>
      </c>
      <c r="BM185" s="1993"/>
      <c r="BN185" s="2003">
        <f t="shared" si="339"/>
        <v>0</v>
      </c>
      <c r="BO185" s="1989"/>
      <c r="BP185" s="2003">
        <f t="shared" si="340"/>
        <v>0</v>
      </c>
      <c r="BQ185" s="1989"/>
      <c r="BR185" s="2003">
        <f t="shared" si="341"/>
        <v>0</v>
      </c>
      <c r="BS185" s="1989"/>
      <c r="BT185" s="1989"/>
      <c r="BU185" s="2002">
        <f t="shared" si="342"/>
        <v>0</v>
      </c>
      <c r="BV185" s="1999">
        <f t="shared" si="439"/>
        <v>0</v>
      </c>
      <c r="BW185" s="1993"/>
      <c r="BX185" s="2003">
        <f t="shared" si="343"/>
        <v>0</v>
      </c>
      <c r="BY185" s="1989"/>
      <c r="BZ185" s="2003">
        <f t="shared" si="344"/>
        <v>0</v>
      </c>
      <c r="CA185" s="1989"/>
      <c r="CB185" s="2003">
        <f t="shared" si="345"/>
        <v>0</v>
      </c>
      <c r="CC185" s="1989"/>
      <c r="CD185" s="1989"/>
      <c r="CE185" s="2002">
        <f t="shared" si="346"/>
        <v>0</v>
      </c>
      <c r="CF185" s="1999">
        <f t="shared" si="440"/>
        <v>0</v>
      </c>
      <c r="CG185" s="1993"/>
      <c r="CH185" s="2003">
        <f t="shared" si="347"/>
        <v>0</v>
      </c>
      <c r="CI185" s="1989"/>
      <c r="CJ185" s="2003">
        <f t="shared" si="348"/>
        <v>0</v>
      </c>
      <c r="CK185" s="1989"/>
      <c r="CL185" s="2003">
        <f t="shared" si="349"/>
        <v>0</v>
      </c>
      <c r="CM185" s="1989"/>
      <c r="CN185" s="1989"/>
      <c r="CO185" s="2002">
        <f t="shared" si="350"/>
        <v>0</v>
      </c>
      <c r="CP185" s="1999">
        <f t="shared" si="441"/>
        <v>0</v>
      </c>
      <c r="CQ185" s="1993"/>
      <c r="CR185" s="2003">
        <f t="shared" si="351"/>
        <v>0</v>
      </c>
      <c r="CS185" s="1989"/>
      <c r="CT185" s="2003">
        <f t="shared" si="352"/>
        <v>0</v>
      </c>
      <c r="CU185" s="1989"/>
      <c r="CV185" s="2003">
        <f t="shared" si="353"/>
        <v>0</v>
      </c>
      <c r="CW185" s="1989"/>
      <c r="CX185" s="1989"/>
      <c r="CY185" s="2002">
        <f t="shared" si="354"/>
        <v>0</v>
      </c>
      <c r="CZ185" s="1999">
        <f t="shared" si="442"/>
        <v>0</v>
      </c>
      <c r="DA185" s="1993"/>
      <c r="DB185" s="2003">
        <f t="shared" si="355"/>
        <v>0</v>
      </c>
      <c r="DC185" s="1989"/>
      <c r="DD185" s="2003">
        <f t="shared" si="356"/>
        <v>0</v>
      </c>
      <c r="DE185" s="1989"/>
      <c r="DF185" s="2003">
        <f t="shared" si="357"/>
        <v>0</v>
      </c>
      <c r="DG185" s="1989"/>
      <c r="DH185" s="1989"/>
      <c r="DI185" s="2002">
        <f t="shared" si="358"/>
        <v>0</v>
      </c>
      <c r="DJ185" s="1999">
        <f>DC185+DE185+DG185+DH185</f>
        <v>0</v>
      </c>
      <c r="DK185" s="1993"/>
      <c r="DL185" s="2003">
        <f t="shared" si="359"/>
        <v>0</v>
      </c>
      <c r="DM185" s="1989"/>
      <c r="DN185" s="2003">
        <f t="shared" si="360"/>
        <v>0</v>
      </c>
      <c r="DO185" s="1989"/>
      <c r="DP185" s="2003">
        <f t="shared" si="361"/>
        <v>0</v>
      </c>
      <c r="DQ185" s="1989"/>
      <c r="DR185" s="1989"/>
      <c r="DS185" s="2002">
        <f t="shared" si="362"/>
        <v>0</v>
      </c>
      <c r="DT185" s="2004">
        <f>DM185+DO185+DQ185+DR185</f>
        <v>0</v>
      </c>
      <c r="DU185" s="1988"/>
      <c r="DV185" s="2003">
        <f t="shared" si="364"/>
        <v>0</v>
      </c>
      <c r="DW185" s="1989"/>
      <c r="DX185" s="2003">
        <f t="shared" si="365"/>
        <v>0</v>
      </c>
      <c r="DY185" s="1989"/>
      <c r="DZ185" s="2003">
        <f t="shared" si="366"/>
        <v>0</v>
      </c>
      <c r="EA185" s="1989"/>
      <c r="EB185" s="1989"/>
      <c r="EC185" s="2002">
        <f t="shared" si="367"/>
        <v>0</v>
      </c>
      <c r="ED185" s="1998">
        <f>DW185+DY185+EA185+EB185</f>
        <v>0</v>
      </c>
      <c r="EE185" s="2005"/>
      <c r="EF185" s="2003">
        <f t="shared" si="368"/>
        <v>0</v>
      </c>
      <c r="EG185" s="1989"/>
      <c r="EH185" s="2003">
        <f t="shared" si="369"/>
        <v>0</v>
      </c>
      <c r="EI185" s="1989"/>
      <c r="EJ185" s="2003">
        <f t="shared" si="370"/>
        <v>0</v>
      </c>
      <c r="EK185" s="1989"/>
      <c r="EL185" s="1989"/>
      <c r="EM185" s="2006">
        <f t="shared" si="371"/>
        <v>0</v>
      </c>
      <c r="EN185" s="1999"/>
      <c r="EP185" s="1613" t="e">
        <f>EA185-#REF!/10^7</f>
        <v>#REF!</v>
      </c>
      <c r="EW185" s="1611" t="e">
        <v>#N/A</v>
      </c>
      <c r="EX185" s="1612">
        <v>0</v>
      </c>
      <c r="EZ185" s="1650">
        <f t="shared" si="372"/>
        <v>0</v>
      </c>
    </row>
    <row r="186" spans="1:156" ht="21" customHeight="1">
      <c r="A186" s="1637"/>
      <c r="B186" s="1701" t="s">
        <v>1857</v>
      </c>
      <c r="C186" s="1662"/>
      <c r="D186" s="1646" t="e">
        <f>H186/C186*100</f>
        <v>#DIV/0!</v>
      </c>
      <c r="E186" s="1646"/>
      <c r="F186" s="1648"/>
      <c r="G186" s="1648"/>
      <c r="H186" s="1648"/>
      <c r="I186" s="1648"/>
      <c r="J186" s="1663">
        <v>1</v>
      </c>
      <c r="K186" s="1648"/>
      <c r="L186" s="1648"/>
      <c r="M186" s="1648"/>
      <c r="N186" s="1642"/>
      <c r="O186" s="2000" t="e">
        <f>#REF!</f>
        <v>#REF!</v>
      </c>
      <c r="P186" s="2003">
        <f t="shared" si="317"/>
        <v>0</v>
      </c>
      <c r="Q186" s="1989" t="e">
        <f>#REF!/10^7</f>
        <v>#REF!</v>
      </c>
      <c r="R186" s="2003">
        <f t="shared" si="318"/>
        <v>0</v>
      </c>
      <c r="S186" s="1989" t="e">
        <f>#REF!/10^7</f>
        <v>#REF!</v>
      </c>
      <c r="T186" s="2003">
        <f t="shared" si="319"/>
        <v>0</v>
      </c>
      <c r="U186" s="1989" t="e">
        <f>#REF!/10^7</f>
        <v>#REF!</v>
      </c>
      <c r="V186" s="1989" t="e">
        <f>#REF!/10^7</f>
        <v>#REF!</v>
      </c>
      <c r="W186" s="1989">
        <f t="shared" si="320"/>
        <v>0</v>
      </c>
      <c r="X186" s="1999" t="e">
        <f t="shared" ref="X186:X187" si="453">Q186+S186+U186+V186</f>
        <v>#REF!</v>
      </c>
      <c r="Y186" s="1993" t="e">
        <f>#REF!</f>
        <v>#REF!</v>
      </c>
      <c r="Z186" s="2003">
        <f t="shared" si="321"/>
        <v>0</v>
      </c>
      <c r="AA186" s="1989" t="e">
        <f>#REF!/10^7</f>
        <v>#REF!</v>
      </c>
      <c r="AB186" s="2003">
        <f t="shared" si="322"/>
        <v>0</v>
      </c>
      <c r="AC186" s="1989" t="e">
        <f>#REF!/10^7</f>
        <v>#REF!</v>
      </c>
      <c r="AD186" s="2003">
        <f t="shared" si="323"/>
        <v>0</v>
      </c>
      <c r="AE186" s="1989" t="e">
        <f>#REF!/10^7</f>
        <v>#REF!</v>
      </c>
      <c r="AF186" s="1989" t="e">
        <f>#REF!/10^7</f>
        <v>#REF!</v>
      </c>
      <c r="AG186" s="2002" t="e">
        <f t="shared" si="324"/>
        <v>#REF!</v>
      </c>
      <c r="AH186" s="1999" t="e">
        <f t="shared" ref="AH186:AH187" si="454">AA186+AC186+AE186+AF186</f>
        <v>#REF!</v>
      </c>
      <c r="AI186" s="1993" t="e">
        <f>#REF!</f>
        <v>#REF!</v>
      </c>
      <c r="AJ186" s="2003">
        <f t="shared" si="326"/>
        <v>0</v>
      </c>
      <c r="AK186" s="1989" t="e">
        <f>#REF!/10^7</f>
        <v>#REF!</v>
      </c>
      <c r="AL186" s="2003">
        <f t="shared" si="327"/>
        <v>0</v>
      </c>
      <c r="AM186" s="1989" t="e">
        <f>#REF!/10^7</f>
        <v>#REF!</v>
      </c>
      <c r="AN186" s="2003">
        <f t="shared" si="328"/>
        <v>0</v>
      </c>
      <c r="AO186" s="1989" t="e">
        <f>#REF!/10^7</f>
        <v>#REF!</v>
      </c>
      <c r="AP186" s="1989" t="e">
        <f>#REF!/10^7</f>
        <v>#REF!</v>
      </c>
      <c r="AQ186" s="2002" t="e">
        <f t="shared" si="329"/>
        <v>#REF!</v>
      </c>
      <c r="AR186" s="1999" t="e">
        <f t="shared" ref="AR186:AR187" si="455">AK186+AM186+AO186+AP186</f>
        <v>#REF!</v>
      </c>
      <c r="AS186" s="1993" t="e">
        <f>#REF!</f>
        <v>#REF!</v>
      </c>
      <c r="AT186" s="2003">
        <f t="shared" si="331"/>
        <v>0</v>
      </c>
      <c r="AU186" s="1989" t="e">
        <f>#REF!/10^7</f>
        <v>#REF!</v>
      </c>
      <c r="AV186" s="2003">
        <f t="shared" si="332"/>
        <v>0</v>
      </c>
      <c r="AW186" s="1989" t="e">
        <f>#REF!/10^7</f>
        <v>#REF!</v>
      </c>
      <c r="AX186" s="2003">
        <f t="shared" si="333"/>
        <v>0</v>
      </c>
      <c r="AY186" s="1989" t="e">
        <f>#REF!/10^7</f>
        <v>#REF!</v>
      </c>
      <c r="AZ186" s="1989" t="e">
        <f>#REF!/10^7</f>
        <v>#REF!</v>
      </c>
      <c r="BA186" s="2002" t="e">
        <f t="shared" si="334"/>
        <v>#REF!</v>
      </c>
      <c r="BB186" s="1999" t="e">
        <f t="shared" ref="BB186:BB187" si="456">AU186+AW186+AY186+AZ186</f>
        <v>#REF!</v>
      </c>
      <c r="BC186" s="1993" t="e">
        <f>#REF!</f>
        <v>#REF!</v>
      </c>
      <c r="BD186" s="2003">
        <f t="shared" si="335"/>
        <v>0</v>
      </c>
      <c r="BE186" s="1989" t="e">
        <f>#REF!/10^7</f>
        <v>#REF!</v>
      </c>
      <c r="BF186" s="2003">
        <f t="shared" si="336"/>
        <v>0</v>
      </c>
      <c r="BG186" s="1989" t="e">
        <f>#REF!/10^7</f>
        <v>#REF!</v>
      </c>
      <c r="BH186" s="2003">
        <f t="shared" si="337"/>
        <v>0</v>
      </c>
      <c r="BI186" s="1989" t="e">
        <f>#REF!/10^7</f>
        <v>#REF!</v>
      </c>
      <c r="BJ186" s="1989" t="e">
        <f>#REF!/10^7</f>
        <v>#REF!</v>
      </c>
      <c r="BK186" s="2002" t="e">
        <f t="shared" si="338"/>
        <v>#REF!</v>
      </c>
      <c r="BL186" s="1999" t="e">
        <f t="shared" si="438"/>
        <v>#REF!</v>
      </c>
      <c r="BM186" s="1993" t="e">
        <f>#REF!</f>
        <v>#REF!</v>
      </c>
      <c r="BN186" s="2003">
        <f t="shared" si="339"/>
        <v>0</v>
      </c>
      <c r="BO186" s="1989" t="e">
        <f>#REF!/10^7</f>
        <v>#REF!</v>
      </c>
      <c r="BP186" s="2003">
        <f t="shared" si="340"/>
        <v>0</v>
      </c>
      <c r="BQ186" s="1989" t="e">
        <f>#REF!/10^7</f>
        <v>#REF!</v>
      </c>
      <c r="BR186" s="2003">
        <f t="shared" si="341"/>
        <v>0</v>
      </c>
      <c r="BS186" s="1989" t="e">
        <f>#REF!/10^7</f>
        <v>#REF!</v>
      </c>
      <c r="BT186" s="1989" t="e">
        <f>#REF!/10^7</f>
        <v>#REF!</v>
      </c>
      <c r="BU186" s="2002" t="e">
        <f t="shared" si="342"/>
        <v>#REF!</v>
      </c>
      <c r="BV186" s="1999" t="e">
        <f t="shared" si="439"/>
        <v>#REF!</v>
      </c>
      <c r="BW186" s="1993" t="e">
        <f>#REF!</f>
        <v>#REF!</v>
      </c>
      <c r="BX186" s="2003">
        <f t="shared" si="343"/>
        <v>0</v>
      </c>
      <c r="BY186" s="1989" t="e">
        <f>#REF!/10^7</f>
        <v>#REF!</v>
      </c>
      <c r="BZ186" s="2003">
        <f t="shared" si="344"/>
        <v>0</v>
      </c>
      <c r="CA186" s="1989" t="e">
        <f>#REF!/10^7</f>
        <v>#REF!</v>
      </c>
      <c r="CB186" s="2003">
        <f t="shared" si="345"/>
        <v>0</v>
      </c>
      <c r="CC186" s="1989" t="e">
        <f>#REF!/10^7</f>
        <v>#REF!</v>
      </c>
      <c r="CD186" s="1989" t="e">
        <f>#REF!/10^7</f>
        <v>#REF!</v>
      </c>
      <c r="CE186" s="2002" t="e">
        <f t="shared" si="346"/>
        <v>#REF!</v>
      </c>
      <c r="CF186" s="1999" t="e">
        <f t="shared" si="440"/>
        <v>#REF!</v>
      </c>
      <c r="CG186" s="1993" t="e">
        <f>#REF!</f>
        <v>#REF!</v>
      </c>
      <c r="CH186" s="2003">
        <f t="shared" si="347"/>
        <v>0</v>
      </c>
      <c r="CI186" s="1989" t="e">
        <f>#REF!/10^7</f>
        <v>#REF!</v>
      </c>
      <c r="CJ186" s="2003">
        <f t="shared" si="348"/>
        <v>0</v>
      </c>
      <c r="CK186" s="1989" t="e">
        <f>#REF!/10^7</f>
        <v>#REF!</v>
      </c>
      <c r="CL186" s="2003">
        <f t="shared" si="349"/>
        <v>0</v>
      </c>
      <c r="CM186" s="1989" t="e">
        <f>#REF!/10^7</f>
        <v>#REF!</v>
      </c>
      <c r="CN186" s="1989" t="e">
        <f>#REF!/10^7</f>
        <v>#REF!</v>
      </c>
      <c r="CO186" s="2002" t="e">
        <f t="shared" si="350"/>
        <v>#REF!</v>
      </c>
      <c r="CP186" s="1999" t="e">
        <f t="shared" si="441"/>
        <v>#REF!</v>
      </c>
      <c r="CQ186" s="1993" t="e">
        <f>#REF!</f>
        <v>#REF!</v>
      </c>
      <c r="CR186" s="2003">
        <f t="shared" si="351"/>
        <v>0</v>
      </c>
      <c r="CS186" s="1989" t="e">
        <f>#REF!/10^7</f>
        <v>#REF!</v>
      </c>
      <c r="CT186" s="2003">
        <f t="shared" si="352"/>
        <v>0</v>
      </c>
      <c r="CU186" s="1989" t="e">
        <f>#REF!/10^7</f>
        <v>#REF!</v>
      </c>
      <c r="CV186" s="2003">
        <f t="shared" si="353"/>
        <v>0</v>
      </c>
      <c r="CW186" s="1989" t="e">
        <f>#REF!/10^7</f>
        <v>#REF!</v>
      </c>
      <c r="CX186" s="1989" t="e">
        <f>#REF!/10^7</f>
        <v>#REF!</v>
      </c>
      <c r="CY186" s="2002" t="e">
        <f t="shared" si="354"/>
        <v>#REF!</v>
      </c>
      <c r="CZ186" s="1999" t="e">
        <f t="shared" si="442"/>
        <v>#REF!</v>
      </c>
      <c r="DA186" s="1993" t="e">
        <f>#REF!</f>
        <v>#REF!</v>
      </c>
      <c r="DB186" s="2003">
        <f t="shared" si="355"/>
        <v>0</v>
      </c>
      <c r="DC186" s="1989" t="e">
        <f>#REF!/10^7</f>
        <v>#REF!</v>
      </c>
      <c r="DD186" s="2003">
        <f t="shared" si="356"/>
        <v>0</v>
      </c>
      <c r="DE186" s="1989" t="e">
        <f>#REF!/10^7</f>
        <v>#REF!</v>
      </c>
      <c r="DF186" s="2003">
        <f t="shared" si="357"/>
        <v>0</v>
      </c>
      <c r="DG186" s="1989" t="e">
        <f>#REF!/10^7</f>
        <v>#REF!</v>
      </c>
      <c r="DH186" s="1989" t="e">
        <f>#REF!/10^7</f>
        <v>#REF!</v>
      </c>
      <c r="DI186" s="2002" t="e">
        <f t="shared" si="358"/>
        <v>#REF!</v>
      </c>
      <c r="DJ186" s="1999" t="e">
        <f t="shared" ref="DJ186:DJ187" si="457">DC186+DE186+DG186+DH186</f>
        <v>#REF!</v>
      </c>
      <c r="DK186" s="1993" t="e">
        <f>#REF!</f>
        <v>#REF!</v>
      </c>
      <c r="DL186" s="2003">
        <f t="shared" si="359"/>
        <v>0</v>
      </c>
      <c r="DM186" s="1989" t="e">
        <f>#REF!/10^7</f>
        <v>#REF!</v>
      </c>
      <c r="DN186" s="2003">
        <f t="shared" si="360"/>
        <v>0</v>
      </c>
      <c r="DO186" s="1989" t="e">
        <f>#REF!/10^7</f>
        <v>#REF!</v>
      </c>
      <c r="DP186" s="2003">
        <f t="shared" si="361"/>
        <v>0</v>
      </c>
      <c r="DQ186" s="1989" t="e">
        <f>#REF!/10^7</f>
        <v>#REF!</v>
      </c>
      <c r="DR186" s="1989" t="e">
        <f>#REF!/10^7</f>
        <v>#REF!</v>
      </c>
      <c r="DS186" s="2002" t="e">
        <f t="shared" si="362"/>
        <v>#REF!</v>
      </c>
      <c r="DT186" s="2004" t="e">
        <f t="shared" ref="DT186:DT187" si="458">DM186+DO186+DQ186+DR186</f>
        <v>#REF!</v>
      </c>
      <c r="DU186" s="1988" t="e">
        <f>#REF!</f>
        <v>#REF!</v>
      </c>
      <c r="DV186" s="2003">
        <f t="shared" si="364"/>
        <v>0</v>
      </c>
      <c r="DW186" s="1989" t="e">
        <f>#REF!/10^7</f>
        <v>#REF!</v>
      </c>
      <c r="DX186" s="2003">
        <f t="shared" si="365"/>
        <v>0</v>
      </c>
      <c r="DY186" s="1989" t="e">
        <f>#REF!/10^7</f>
        <v>#REF!</v>
      </c>
      <c r="DZ186" s="2003">
        <f t="shared" si="366"/>
        <v>0</v>
      </c>
      <c r="EA186" s="1989" t="e">
        <f>#REF!/10^7</f>
        <v>#REF!</v>
      </c>
      <c r="EB186" s="1989" t="e">
        <f>#REF!/10^7</f>
        <v>#REF!</v>
      </c>
      <c r="EC186" s="2002" t="e">
        <f t="shared" si="367"/>
        <v>#REF!</v>
      </c>
      <c r="ED186" s="1998" t="e">
        <f t="shared" ref="ED186:ED187" si="459">DW186+DY186+EA186+EB186</f>
        <v>#REF!</v>
      </c>
      <c r="EE186" s="2005" t="e">
        <f>O186+Y186+AI186+AS186+BC186+BM186+BW186+CG186+CQ186+DA186+DK186+DU186</f>
        <v>#REF!</v>
      </c>
      <c r="EF186" s="2003">
        <f t="shared" si="368"/>
        <v>0</v>
      </c>
      <c r="EG186" s="1989" t="e">
        <f>Q186+AA186+AK186+AU186+BE186+BO186+BY186+CI186+CS186+DC186+DM186+DW186</f>
        <v>#REF!</v>
      </c>
      <c r="EH186" s="2003">
        <f t="shared" si="369"/>
        <v>0</v>
      </c>
      <c r="EI186" s="1989" t="e">
        <f>S186+AC186+AM186+AW186+BG186+BQ186+CA186+CK186+CU186+DE186+DO186+DY186</f>
        <v>#REF!</v>
      </c>
      <c r="EJ186" s="2003">
        <f t="shared" si="370"/>
        <v>0</v>
      </c>
      <c r="EK186" s="1989" t="e">
        <f>U186+AE186+AO186+AY186+BI186+BS186+CC186+CM186+CW186+DG186+DQ186+EA186</f>
        <v>#REF!</v>
      </c>
      <c r="EL186" s="1989" t="e">
        <f>V186+AF186+AP186+AZ186+BJ186+BT186+CD186+CN186+CX186+DH186+DR186+EB186</f>
        <v>#REF!</v>
      </c>
      <c r="EM186" s="2006" t="e">
        <f t="shared" si="371"/>
        <v>#REF!</v>
      </c>
      <c r="EN186" s="1999" t="e">
        <f>EG186+EI186+EK186+EL186</f>
        <v>#REF!</v>
      </c>
      <c r="EP186" s="1613" t="e">
        <f>EA186-#REF!/10^7</f>
        <v>#REF!</v>
      </c>
      <c r="EW186" s="1611" t="e">
        <v>#N/A</v>
      </c>
      <c r="EX186" s="1612" t="e">
        <v>#N/A</v>
      </c>
      <c r="EZ186" s="1650">
        <f t="shared" si="372"/>
        <v>0</v>
      </c>
    </row>
    <row r="187" spans="1:156" ht="21" customHeight="1">
      <c r="A187" s="1637"/>
      <c r="B187" s="1668" t="s">
        <v>1858</v>
      </c>
      <c r="C187" s="1662"/>
      <c r="D187" s="1646" t="e">
        <f>H187/C187*100</f>
        <v>#DIV/0!</v>
      </c>
      <c r="E187" s="1646"/>
      <c r="F187" s="1648"/>
      <c r="G187" s="1648"/>
      <c r="H187" s="1648"/>
      <c r="I187" s="1648"/>
      <c r="J187" s="1663">
        <v>1</v>
      </c>
      <c r="K187" s="1648"/>
      <c r="L187" s="1648"/>
      <c r="M187" s="1648"/>
      <c r="N187" s="1642"/>
      <c r="O187" s="2000" t="e">
        <f>#REF!</f>
        <v>#REF!</v>
      </c>
      <c r="P187" s="2003">
        <f t="shared" si="317"/>
        <v>0</v>
      </c>
      <c r="Q187" s="1989" t="e">
        <f>#REF!/10^7</f>
        <v>#REF!</v>
      </c>
      <c r="R187" s="2003">
        <f t="shared" si="318"/>
        <v>0</v>
      </c>
      <c r="S187" s="1989" t="e">
        <f>#REF!/10^7</f>
        <v>#REF!</v>
      </c>
      <c r="T187" s="2003">
        <f t="shared" si="319"/>
        <v>0</v>
      </c>
      <c r="U187" s="1989" t="e">
        <f>#REF!/10^7</f>
        <v>#REF!</v>
      </c>
      <c r="V187" s="1989" t="e">
        <f>#REF!/10^7</f>
        <v>#REF!</v>
      </c>
      <c r="W187" s="1989">
        <f t="shared" si="320"/>
        <v>0</v>
      </c>
      <c r="X187" s="1999" t="e">
        <f t="shared" si="453"/>
        <v>#REF!</v>
      </c>
      <c r="Y187" s="1993" t="e">
        <f>#REF!</f>
        <v>#REF!</v>
      </c>
      <c r="Z187" s="2003">
        <f t="shared" si="321"/>
        <v>0</v>
      </c>
      <c r="AA187" s="1989" t="e">
        <f>#REF!/10^7</f>
        <v>#REF!</v>
      </c>
      <c r="AB187" s="2003">
        <f t="shared" si="322"/>
        <v>0</v>
      </c>
      <c r="AC187" s="1989" t="e">
        <f>#REF!/10^7</f>
        <v>#REF!</v>
      </c>
      <c r="AD187" s="2003">
        <f t="shared" si="323"/>
        <v>0</v>
      </c>
      <c r="AE187" s="1989" t="e">
        <f>#REF!/10^7</f>
        <v>#REF!</v>
      </c>
      <c r="AF187" s="1989" t="e">
        <f>#REF!/10^7</f>
        <v>#REF!</v>
      </c>
      <c r="AG187" s="2002" t="e">
        <f t="shared" si="324"/>
        <v>#REF!</v>
      </c>
      <c r="AH187" s="1999" t="e">
        <f t="shared" si="454"/>
        <v>#REF!</v>
      </c>
      <c r="AI187" s="1993" t="e">
        <f>#REF!</f>
        <v>#REF!</v>
      </c>
      <c r="AJ187" s="2003">
        <f t="shared" si="326"/>
        <v>0</v>
      </c>
      <c r="AK187" s="1989" t="e">
        <f>#REF!/10^7</f>
        <v>#REF!</v>
      </c>
      <c r="AL187" s="2003">
        <f t="shared" si="327"/>
        <v>0</v>
      </c>
      <c r="AM187" s="1989" t="e">
        <f>#REF!/10^7</f>
        <v>#REF!</v>
      </c>
      <c r="AN187" s="2003">
        <f t="shared" si="328"/>
        <v>0</v>
      </c>
      <c r="AO187" s="1989" t="e">
        <f>#REF!/10^7</f>
        <v>#REF!</v>
      </c>
      <c r="AP187" s="1989" t="e">
        <f>#REF!/10^7</f>
        <v>#REF!</v>
      </c>
      <c r="AQ187" s="2002" t="e">
        <f t="shared" si="329"/>
        <v>#REF!</v>
      </c>
      <c r="AR187" s="1999" t="e">
        <f t="shared" si="455"/>
        <v>#REF!</v>
      </c>
      <c r="AS187" s="1993" t="e">
        <f>#REF!</f>
        <v>#REF!</v>
      </c>
      <c r="AT187" s="2003">
        <f t="shared" si="331"/>
        <v>0</v>
      </c>
      <c r="AU187" s="1989" t="e">
        <f>#REF!/10^7</f>
        <v>#REF!</v>
      </c>
      <c r="AV187" s="2003">
        <f t="shared" si="332"/>
        <v>0</v>
      </c>
      <c r="AW187" s="1989" t="e">
        <f>#REF!/10^7</f>
        <v>#REF!</v>
      </c>
      <c r="AX187" s="2003">
        <f t="shared" si="333"/>
        <v>0</v>
      </c>
      <c r="AY187" s="1989" t="e">
        <f>#REF!/10^7</f>
        <v>#REF!</v>
      </c>
      <c r="AZ187" s="1989" t="e">
        <f>#REF!/10^7</f>
        <v>#REF!</v>
      </c>
      <c r="BA187" s="2002" t="e">
        <f t="shared" si="334"/>
        <v>#REF!</v>
      </c>
      <c r="BB187" s="1999" t="e">
        <f t="shared" si="456"/>
        <v>#REF!</v>
      </c>
      <c r="BC187" s="1993" t="e">
        <f>#REF!</f>
        <v>#REF!</v>
      </c>
      <c r="BD187" s="2003">
        <f t="shared" si="335"/>
        <v>0</v>
      </c>
      <c r="BE187" s="1989" t="e">
        <f>#REF!/10^7</f>
        <v>#REF!</v>
      </c>
      <c r="BF187" s="2003">
        <f t="shared" si="336"/>
        <v>0</v>
      </c>
      <c r="BG187" s="1989" t="e">
        <f>#REF!/10^7</f>
        <v>#REF!</v>
      </c>
      <c r="BH187" s="2003">
        <f t="shared" si="337"/>
        <v>0</v>
      </c>
      <c r="BI187" s="1989" t="e">
        <f>#REF!/10^7</f>
        <v>#REF!</v>
      </c>
      <c r="BJ187" s="1989" t="e">
        <f>#REF!/10^7</f>
        <v>#REF!</v>
      </c>
      <c r="BK187" s="2002" t="e">
        <f t="shared" si="338"/>
        <v>#REF!</v>
      </c>
      <c r="BL187" s="1999" t="e">
        <f t="shared" si="438"/>
        <v>#REF!</v>
      </c>
      <c r="BM187" s="1993" t="e">
        <f>#REF!</f>
        <v>#REF!</v>
      </c>
      <c r="BN187" s="2003">
        <f t="shared" si="339"/>
        <v>0</v>
      </c>
      <c r="BO187" s="1989" t="e">
        <f>#REF!/10^7</f>
        <v>#REF!</v>
      </c>
      <c r="BP187" s="2003">
        <f t="shared" si="340"/>
        <v>0</v>
      </c>
      <c r="BQ187" s="1989" t="e">
        <f>#REF!/10^7</f>
        <v>#REF!</v>
      </c>
      <c r="BR187" s="2003">
        <f t="shared" si="341"/>
        <v>0</v>
      </c>
      <c r="BS187" s="1989" t="e">
        <f>#REF!/10^7</f>
        <v>#REF!</v>
      </c>
      <c r="BT187" s="1989" t="e">
        <f>#REF!/10^7</f>
        <v>#REF!</v>
      </c>
      <c r="BU187" s="2002" t="e">
        <f t="shared" si="342"/>
        <v>#REF!</v>
      </c>
      <c r="BV187" s="1999" t="e">
        <f t="shared" si="439"/>
        <v>#REF!</v>
      </c>
      <c r="BW187" s="1993" t="e">
        <f>#REF!</f>
        <v>#REF!</v>
      </c>
      <c r="BX187" s="2003">
        <f t="shared" si="343"/>
        <v>0</v>
      </c>
      <c r="BY187" s="1989" t="e">
        <f>#REF!/10^7</f>
        <v>#REF!</v>
      </c>
      <c r="BZ187" s="2003">
        <f t="shared" si="344"/>
        <v>0</v>
      </c>
      <c r="CA187" s="1989" t="e">
        <f>#REF!/10^7</f>
        <v>#REF!</v>
      </c>
      <c r="CB187" s="2003">
        <f t="shared" si="345"/>
        <v>0</v>
      </c>
      <c r="CC187" s="1989" t="e">
        <f>#REF!/10^7</f>
        <v>#REF!</v>
      </c>
      <c r="CD187" s="1989" t="e">
        <f>#REF!/10^7</f>
        <v>#REF!</v>
      </c>
      <c r="CE187" s="2002" t="e">
        <f t="shared" si="346"/>
        <v>#REF!</v>
      </c>
      <c r="CF187" s="1999" t="e">
        <f t="shared" si="440"/>
        <v>#REF!</v>
      </c>
      <c r="CG187" s="1993" t="e">
        <f>#REF!</f>
        <v>#REF!</v>
      </c>
      <c r="CH187" s="2003">
        <f t="shared" si="347"/>
        <v>0</v>
      </c>
      <c r="CI187" s="1989" t="e">
        <f>#REF!/10^7</f>
        <v>#REF!</v>
      </c>
      <c r="CJ187" s="2003">
        <f t="shared" si="348"/>
        <v>0</v>
      </c>
      <c r="CK187" s="1989" t="e">
        <f>#REF!/10^7</f>
        <v>#REF!</v>
      </c>
      <c r="CL187" s="2003">
        <f t="shared" si="349"/>
        <v>0</v>
      </c>
      <c r="CM187" s="1989" t="e">
        <f>#REF!/10^7</f>
        <v>#REF!</v>
      </c>
      <c r="CN187" s="1989" t="e">
        <f>#REF!/10^7</f>
        <v>#REF!</v>
      </c>
      <c r="CO187" s="2002" t="e">
        <f t="shared" si="350"/>
        <v>#REF!</v>
      </c>
      <c r="CP187" s="1999" t="e">
        <f t="shared" si="441"/>
        <v>#REF!</v>
      </c>
      <c r="CQ187" s="1993" t="e">
        <f>#REF!</f>
        <v>#REF!</v>
      </c>
      <c r="CR187" s="2003">
        <f t="shared" si="351"/>
        <v>0</v>
      </c>
      <c r="CS187" s="1989" t="e">
        <f>#REF!/10^7</f>
        <v>#REF!</v>
      </c>
      <c r="CT187" s="2003">
        <f t="shared" si="352"/>
        <v>0</v>
      </c>
      <c r="CU187" s="1989" t="e">
        <f>#REF!/10^7</f>
        <v>#REF!</v>
      </c>
      <c r="CV187" s="2003">
        <f t="shared" si="353"/>
        <v>0</v>
      </c>
      <c r="CW187" s="1989" t="e">
        <f>#REF!/10^7</f>
        <v>#REF!</v>
      </c>
      <c r="CX187" s="1989" t="e">
        <f>#REF!/10^7</f>
        <v>#REF!</v>
      </c>
      <c r="CY187" s="2002" t="e">
        <f t="shared" si="354"/>
        <v>#REF!</v>
      </c>
      <c r="CZ187" s="1999" t="e">
        <f t="shared" si="442"/>
        <v>#REF!</v>
      </c>
      <c r="DA187" s="1993" t="e">
        <f>#REF!</f>
        <v>#REF!</v>
      </c>
      <c r="DB187" s="2003">
        <f t="shared" si="355"/>
        <v>0</v>
      </c>
      <c r="DC187" s="1989" t="e">
        <f>#REF!/10^7</f>
        <v>#REF!</v>
      </c>
      <c r="DD187" s="2003">
        <f t="shared" si="356"/>
        <v>0</v>
      </c>
      <c r="DE187" s="1989" t="e">
        <f>#REF!/10^7</f>
        <v>#REF!</v>
      </c>
      <c r="DF187" s="2003">
        <f t="shared" si="357"/>
        <v>0</v>
      </c>
      <c r="DG187" s="1989" t="e">
        <f>#REF!/10^7</f>
        <v>#REF!</v>
      </c>
      <c r="DH187" s="1989" t="e">
        <f>#REF!/10^7</f>
        <v>#REF!</v>
      </c>
      <c r="DI187" s="2002" t="e">
        <f t="shared" si="358"/>
        <v>#REF!</v>
      </c>
      <c r="DJ187" s="1999" t="e">
        <f t="shared" si="457"/>
        <v>#REF!</v>
      </c>
      <c r="DK187" s="1993" t="e">
        <f>#REF!</f>
        <v>#REF!</v>
      </c>
      <c r="DL187" s="2003">
        <f t="shared" si="359"/>
        <v>0</v>
      </c>
      <c r="DM187" s="1989" t="e">
        <f>#REF!/10^7</f>
        <v>#REF!</v>
      </c>
      <c r="DN187" s="2003">
        <f t="shared" si="360"/>
        <v>0</v>
      </c>
      <c r="DO187" s="1989" t="e">
        <f>#REF!/10^7</f>
        <v>#REF!</v>
      </c>
      <c r="DP187" s="2003">
        <f t="shared" si="361"/>
        <v>0</v>
      </c>
      <c r="DQ187" s="1989" t="e">
        <f>#REF!/10^7</f>
        <v>#REF!</v>
      </c>
      <c r="DR187" s="1989" t="e">
        <f>#REF!/10^7</f>
        <v>#REF!</v>
      </c>
      <c r="DS187" s="2002" t="e">
        <f t="shared" si="362"/>
        <v>#REF!</v>
      </c>
      <c r="DT187" s="2004" t="e">
        <f t="shared" si="458"/>
        <v>#REF!</v>
      </c>
      <c r="DU187" s="1988" t="e">
        <f>#REF!</f>
        <v>#REF!</v>
      </c>
      <c r="DV187" s="2003">
        <f t="shared" si="364"/>
        <v>0</v>
      </c>
      <c r="DW187" s="1989" t="e">
        <f>#REF!/10^7</f>
        <v>#REF!</v>
      </c>
      <c r="DX187" s="2003">
        <f t="shared" si="365"/>
        <v>0</v>
      </c>
      <c r="DY187" s="1989" t="e">
        <f>#REF!/10^7</f>
        <v>#REF!</v>
      </c>
      <c r="DZ187" s="2003">
        <f t="shared" si="366"/>
        <v>0</v>
      </c>
      <c r="EA187" s="1989" t="e">
        <f>#REF!/10^7</f>
        <v>#REF!</v>
      </c>
      <c r="EB187" s="1989" t="e">
        <f>#REF!/10^7</f>
        <v>#REF!</v>
      </c>
      <c r="EC187" s="2002" t="e">
        <f t="shared" si="367"/>
        <v>#REF!</v>
      </c>
      <c r="ED187" s="1998" t="e">
        <f t="shared" si="459"/>
        <v>#REF!</v>
      </c>
      <c r="EE187" s="2005" t="e">
        <f>O187+Y187+AI187+AS187+BC187+BM187+BW187+CG187+CQ187+DA187+DK187+DU187</f>
        <v>#REF!</v>
      </c>
      <c r="EF187" s="2003">
        <f t="shared" si="368"/>
        <v>0</v>
      </c>
      <c r="EG187" s="1989" t="e">
        <f>Q187+AA187+AK187+AU187+BE187+BO187+BY187+CI187+CS187+DC187+DM187+DW187</f>
        <v>#REF!</v>
      </c>
      <c r="EH187" s="2003">
        <f t="shared" si="369"/>
        <v>0</v>
      </c>
      <c r="EI187" s="1989" t="e">
        <f>S187+AC187+AM187+AW187+BG187+BQ187+CA187+CK187+CU187+DE187+DO187+DY187</f>
        <v>#REF!</v>
      </c>
      <c r="EJ187" s="2003">
        <f t="shared" si="370"/>
        <v>0</v>
      </c>
      <c r="EK187" s="1989" t="e">
        <f>U187+AE187+AO187+AY187+BI187+BS187+CC187+CM187+CW187+DG187+DQ187+EA187</f>
        <v>#REF!</v>
      </c>
      <c r="EL187" s="1989" t="e">
        <f>V187+AF187+AP187+AZ187+BJ187+BT187+CD187+CN187+CX187+DH187+DR187+EB187</f>
        <v>#REF!</v>
      </c>
      <c r="EM187" s="2006" t="e">
        <f t="shared" si="371"/>
        <v>#REF!</v>
      </c>
      <c r="EN187" s="1999" t="e">
        <f>EG187+EI187+EK187+EL187</f>
        <v>#REF!</v>
      </c>
      <c r="EP187" s="1613" t="e">
        <f>EA187-#REF!/10^7</f>
        <v>#REF!</v>
      </c>
      <c r="EW187" s="1611" t="e">
        <v>#N/A</v>
      </c>
      <c r="EX187" s="1612" t="e">
        <v>#N/A</v>
      </c>
      <c r="EZ187" s="1650">
        <f t="shared" si="372"/>
        <v>0</v>
      </c>
    </row>
    <row r="188" spans="1:156" s="1660" customFormat="1" ht="21" customHeight="1">
      <c r="A188" s="2025"/>
      <c r="B188" s="1654" t="s">
        <v>211</v>
      </c>
      <c r="C188" s="1655"/>
      <c r="D188" s="1656"/>
      <c r="E188" s="1656"/>
      <c r="F188" s="1656"/>
      <c r="G188" s="1656"/>
      <c r="H188" s="1656"/>
      <c r="I188" s="1656"/>
      <c r="J188" s="1657"/>
      <c r="K188" s="1656"/>
      <c r="L188" s="1656"/>
      <c r="M188" s="1656"/>
      <c r="N188" s="1658"/>
      <c r="O188" s="2007" t="e">
        <f>SUM(O186:O187)</f>
        <v>#REF!</v>
      </c>
      <c r="P188" s="2003">
        <f t="shared" si="317"/>
        <v>0</v>
      </c>
      <c r="Q188" s="1826" t="e">
        <f>SUM(Q186:Q187)</f>
        <v>#REF!</v>
      </c>
      <c r="R188" s="2003">
        <f t="shared" si="318"/>
        <v>0</v>
      </c>
      <c r="S188" s="1826" t="e">
        <f>SUM(S186:S187)</f>
        <v>#REF!</v>
      </c>
      <c r="T188" s="2003">
        <f t="shared" si="319"/>
        <v>0</v>
      </c>
      <c r="U188" s="1826" t="e">
        <f>SUM(U186:U187)</f>
        <v>#REF!</v>
      </c>
      <c r="V188" s="1826"/>
      <c r="W188" s="1989">
        <f t="shared" si="320"/>
        <v>0</v>
      </c>
      <c r="X188" s="2008" t="e">
        <f t="shared" ref="X188:AF188" si="460">SUM(X186:X187)</f>
        <v>#REF!</v>
      </c>
      <c r="Y188" s="2007" t="e">
        <f t="shared" si="460"/>
        <v>#REF!</v>
      </c>
      <c r="Z188" s="2003">
        <f t="shared" si="321"/>
        <v>0</v>
      </c>
      <c r="AA188" s="1826" t="e">
        <f t="shared" si="460"/>
        <v>#REF!</v>
      </c>
      <c r="AB188" s="2003">
        <f t="shared" si="322"/>
        <v>0</v>
      </c>
      <c r="AC188" s="1826" t="e">
        <f t="shared" si="460"/>
        <v>#REF!</v>
      </c>
      <c r="AD188" s="2003">
        <f t="shared" si="323"/>
        <v>0</v>
      </c>
      <c r="AE188" s="1826" t="e">
        <f t="shared" si="460"/>
        <v>#REF!</v>
      </c>
      <c r="AF188" s="1826" t="e">
        <f t="shared" si="460"/>
        <v>#REF!</v>
      </c>
      <c r="AG188" s="2002" t="e">
        <f t="shared" si="324"/>
        <v>#REF!</v>
      </c>
      <c r="AH188" s="2008" t="e">
        <f t="shared" ref="AH188:AP188" si="461">SUM(AH186:AH187)</f>
        <v>#REF!</v>
      </c>
      <c r="AI188" s="2007" t="e">
        <f t="shared" si="461"/>
        <v>#REF!</v>
      </c>
      <c r="AJ188" s="2003">
        <f t="shared" si="326"/>
        <v>0</v>
      </c>
      <c r="AK188" s="1826" t="e">
        <f t="shared" si="461"/>
        <v>#REF!</v>
      </c>
      <c r="AL188" s="2003">
        <f t="shared" si="327"/>
        <v>0</v>
      </c>
      <c r="AM188" s="1826" t="e">
        <f t="shared" si="461"/>
        <v>#REF!</v>
      </c>
      <c r="AN188" s="2003">
        <f t="shared" si="328"/>
        <v>0</v>
      </c>
      <c r="AO188" s="1826" t="e">
        <f t="shared" si="461"/>
        <v>#REF!</v>
      </c>
      <c r="AP188" s="1826" t="e">
        <f t="shared" si="461"/>
        <v>#REF!</v>
      </c>
      <c r="AQ188" s="2002" t="e">
        <f t="shared" si="329"/>
        <v>#REF!</v>
      </c>
      <c r="AR188" s="2008" t="e">
        <f t="shared" ref="AR188:AZ188" si="462">SUM(AR186:AR187)</f>
        <v>#REF!</v>
      </c>
      <c r="AS188" s="2007" t="e">
        <f t="shared" si="462"/>
        <v>#REF!</v>
      </c>
      <c r="AT188" s="2003">
        <f t="shared" si="331"/>
        <v>0</v>
      </c>
      <c r="AU188" s="1826" t="e">
        <f t="shared" si="462"/>
        <v>#REF!</v>
      </c>
      <c r="AV188" s="2003">
        <f t="shared" si="332"/>
        <v>0</v>
      </c>
      <c r="AW188" s="1826" t="e">
        <f t="shared" si="462"/>
        <v>#REF!</v>
      </c>
      <c r="AX188" s="2003">
        <f t="shared" si="333"/>
        <v>0</v>
      </c>
      <c r="AY188" s="1826" t="e">
        <f t="shared" si="462"/>
        <v>#REF!</v>
      </c>
      <c r="AZ188" s="1826" t="e">
        <f t="shared" si="462"/>
        <v>#REF!</v>
      </c>
      <c r="BA188" s="2002" t="e">
        <f t="shared" si="334"/>
        <v>#REF!</v>
      </c>
      <c r="BB188" s="2008" t="e">
        <f>SUM(BB186:BB187)</f>
        <v>#REF!</v>
      </c>
      <c r="BC188" s="2007"/>
      <c r="BD188" s="2003">
        <f t="shared" si="335"/>
        <v>0</v>
      </c>
      <c r="BE188" s="1826"/>
      <c r="BF188" s="2003">
        <f t="shared" si="336"/>
        <v>0</v>
      </c>
      <c r="BG188" s="1826"/>
      <c r="BH188" s="2003">
        <f t="shared" si="337"/>
        <v>0</v>
      </c>
      <c r="BI188" s="1826"/>
      <c r="BJ188" s="1826"/>
      <c r="BK188" s="2002">
        <f t="shared" si="338"/>
        <v>0</v>
      </c>
      <c r="BL188" s="2008">
        <f t="shared" si="438"/>
        <v>0</v>
      </c>
      <c r="BM188" s="2007"/>
      <c r="BN188" s="2003">
        <f t="shared" si="339"/>
        <v>0</v>
      </c>
      <c r="BO188" s="1826"/>
      <c r="BP188" s="2003">
        <f t="shared" si="340"/>
        <v>0</v>
      </c>
      <c r="BQ188" s="1826"/>
      <c r="BR188" s="2003">
        <f t="shared" si="341"/>
        <v>0</v>
      </c>
      <c r="BS188" s="1826"/>
      <c r="BT188" s="1826"/>
      <c r="BU188" s="2002">
        <f t="shared" si="342"/>
        <v>0</v>
      </c>
      <c r="BV188" s="2008">
        <f t="shared" si="439"/>
        <v>0</v>
      </c>
      <c r="BW188" s="2007"/>
      <c r="BX188" s="2003">
        <f t="shared" si="343"/>
        <v>0</v>
      </c>
      <c r="BY188" s="1826"/>
      <c r="BZ188" s="2003">
        <f t="shared" si="344"/>
        <v>0</v>
      </c>
      <c r="CA188" s="1826"/>
      <c r="CB188" s="2003">
        <f t="shared" si="345"/>
        <v>0</v>
      </c>
      <c r="CC188" s="1826"/>
      <c r="CD188" s="1826"/>
      <c r="CE188" s="2002">
        <f t="shared" si="346"/>
        <v>0</v>
      </c>
      <c r="CF188" s="2008">
        <f t="shared" si="440"/>
        <v>0</v>
      </c>
      <c r="CG188" s="2007"/>
      <c r="CH188" s="2003">
        <f t="shared" si="347"/>
        <v>0</v>
      </c>
      <c r="CI188" s="1826"/>
      <c r="CJ188" s="2003">
        <f t="shared" si="348"/>
        <v>0</v>
      </c>
      <c r="CK188" s="1826"/>
      <c r="CL188" s="2003">
        <f t="shared" si="349"/>
        <v>0</v>
      </c>
      <c r="CM188" s="1826"/>
      <c r="CN188" s="1826"/>
      <c r="CO188" s="2002">
        <f t="shared" si="350"/>
        <v>0</v>
      </c>
      <c r="CP188" s="2008">
        <f t="shared" si="441"/>
        <v>0</v>
      </c>
      <c r="CQ188" s="2007" t="e">
        <f>SUM(CQ186:CQ187)</f>
        <v>#REF!</v>
      </c>
      <c r="CR188" s="2003">
        <f t="shared" si="351"/>
        <v>0</v>
      </c>
      <c r="CS188" s="1826" t="e">
        <f>SUM(CS186:CS187)</f>
        <v>#REF!</v>
      </c>
      <c r="CT188" s="2003">
        <f t="shared" si="352"/>
        <v>0</v>
      </c>
      <c r="CU188" s="1826" t="e">
        <f>SUM(CU186:CU187)</f>
        <v>#REF!</v>
      </c>
      <c r="CV188" s="2003">
        <f t="shared" si="353"/>
        <v>0</v>
      </c>
      <c r="CW188" s="1826" t="e">
        <f>SUM(CW186:CW187)</f>
        <v>#REF!</v>
      </c>
      <c r="CX188" s="1826" t="e">
        <f>SUM(CX186:CX187)</f>
        <v>#REF!</v>
      </c>
      <c r="CY188" s="2002" t="e">
        <f t="shared" si="354"/>
        <v>#REF!</v>
      </c>
      <c r="CZ188" s="2008" t="e">
        <f t="shared" ref="CZ188:DH188" si="463">SUM(CZ186:CZ187)</f>
        <v>#REF!</v>
      </c>
      <c r="DA188" s="2007" t="e">
        <f t="shared" si="463"/>
        <v>#REF!</v>
      </c>
      <c r="DB188" s="2003">
        <f t="shared" si="355"/>
        <v>0</v>
      </c>
      <c r="DC188" s="1826" t="e">
        <f t="shared" si="463"/>
        <v>#REF!</v>
      </c>
      <c r="DD188" s="2003">
        <f t="shared" si="356"/>
        <v>0</v>
      </c>
      <c r="DE188" s="1826" t="e">
        <f t="shared" si="463"/>
        <v>#REF!</v>
      </c>
      <c r="DF188" s="2003">
        <f t="shared" si="357"/>
        <v>0</v>
      </c>
      <c r="DG188" s="1826" t="e">
        <f t="shared" si="463"/>
        <v>#REF!</v>
      </c>
      <c r="DH188" s="1826" t="e">
        <f t="shared" si="463"/>
        <v>#REF!</v>
      </c>
      <c r="DI188" s="2002" t="e">
        <f t="shared" si="358"/>
        <v>#REF!</v>
      </c>
      <c r="DJ188" s="2008" t="e">
        <f t="shared" ref="DJ188:DR188" si="464">SUM(DJ186:DJ187)</f>
        <v>#REF!</v>
      </c>
      <c r="DK188" s="2007" t="e">
        <f t="shared" si="464"/>
        <v>#REF!</v>
      </c>
      <c r="DL188" s="2003">
        <f t="shared" si="359"/>
        <v>0</v>
      </c>
      <c r="DM188" s="1826" t="e">
        <f t="shared" si="464"/>
        <v>#REF!</v>
      </c>
      <c r="DN188" s="2003">
        <f t="shared" si="360"/>
        <v>0</v>
      </c>
      <c r="DO188" s="1826" t="e">
        <f t="shared" si="464"/>
        <v>#REF!</v>
      </c>
      <c r="DP188" s="2003">
        <f t="shared" si="361"/>
        <v>0</v>
      </c>
      <c r="DQ188" s="1826" t="e">
        <f t="shared" si="464"/>
        <v>#REF!</v>
      </c>
      <c r="DR188" s="1826" t="e">
        <f t="shared" si="464"/>
        <v>#REF!</v>
      </c>
      <c r="DS188" s="2002" t="e">
        <f t="shared" si="362"/>
        <v>#REF!</v>
      </c>
      <c r="DT188" s="2009" t="e">
        <f t="shared" ref="DT188:EB188" si="465">SUM(DT186:DT187)</f>
        <v>#REF!</v>
      </c>
      <c r="DU188" s="2010" t="e">
        <f t="shared" si="465"/>
        <v>#REF!</v>
      </c>
      <c r="DV188" s="2003">
        <f t="shared" si="364"/>
        <v>0</v>
      </c>
      <c r="DW188" s="1826" t="e">
        <f t="shared" si="465"/>
        <v>#REF!</v>
      </c>
      <c r="DX188" s="2003">
        <f t="shared" si="365"/>
        <v>0</v>
      </c>
      <c r="DY188" s="1826" t="e">
        <f t="shared" si="465"/>
        <v>#REF!</v>
      </c>
      <c r="DZ188" s="2003">
        <f t="shared" si="366"/>
        <v>0</v>
      </c>
      <c r="EA188" s="1826" t="e">
        <f t="shared" si="465"/>
        <v>#REF!</v>
      </c>
      <c r="EB188" s="1826" t="e">
        <f t="shared" si="465"/>
        <v>#REF!</v>
      </c>
      <c r="EC188" s="2002" t="e">
        <f t="shared" si="367"/>
        <v>#REF!</v>
      </c>
      <c r="ED188" s="1826" t="e">
        <f t="shared" ref="ED188:EL188" si="466">SUM(ED186:ED187)</f>
        <v>#REF!</v>
      </c>
      <c r="EE188" s="2011" t="e">
        <f t="shared" si="466"/>
        <v>#REF!</v>
      </c>
      <c r="EF188" s="2003">
        <f t="shared" si="368"/>
        <v>0</v>
      </c>
      <c r="EG188" s="1826" t="e">
        <f t="shared" si="466"/>
        <v>#REF!</v>
      </c>
      <c r="EH188" s="2003">
        <f t="shared" si="369"/>
        <v>0</v>
      </c>
      <c r="EI188" s="1826" t="e">
        <f t="shared" si="466"/>
        <v>#REF!</v>
      </c>
      <c r="EJ188" s="2003">
        <f t="shared" si="370"/>
        <v>0</v>
      </c>
      <c r="EK188" s="1826" t="e">
        <f t="shared" si="466"/>
        <v>#REF!</v>
      </c>
      <c r="EL188" s="1826" t="e">
        <f t="shared" si="466"/>
        <v>#REF!</v>
      </c>
      <c r="EM188" s="2006" t="e">
        <f t="shared" si="371"/>
        <v>#REF!</v>
      </c>
      <c r="EN188" s="2008" t="e">
        <f>SUM(EN186:EN187)</f>
        <v>#REF!</v>
      </c>
      <c r="EO188" s="1659"/>
      <c r="EP188" s="1613" t="e">
        <f>EA188-#REF!/10^7</f>
        <v>#REF!</v>
      </c>
      <c r="EQ188" s="1661"/>
      <c r="EW188" s="1611" t="e">
        <v>#N/A</v>
      </c>
      <c r="EX188" s="1612">
        <v>0</v>
      </c>
      <c r="EZ188" s="1650">
        <f t="shared" si="372"/>
        <v>0</v>
      </c>
    </row>
    <row r="189" spans="1:156" ht="21" customHeight="1">
      <c r="A189" s="1652"/>
      <c r="B189" s="1644"/>
      <c r="C189" s="1662"/>
      <c r="D189" s="1648"/>
      <c r="E189" s="1648"/>
      <c r="F189" s="1648"/>
      <c r="G189" s="1648"/>
      <c r="H189" s="1648"/>
      <c r="I189" s="1648"/>
      <c r="J189" s="1663"/>
      <c r="K189" s="1648"/>
      <c r="L189" s="1648"/>
      <c r="M189" s="1648"/>
      <c r="N189" s="1642"/>
      <c r="O189" s="2000"/>
      <c r="P189" s="2003">
        <f t="shared" si="317"/>
        <v>0</v>
      </c>
      <c r="Q189" s="1989"/>
      <c r="R189" s="2003">
        <f t="shared" si="318"/>
        <v>0</v>
      </c>
      <c r="S189" s="1989"/>
      <c r="T189" s="2003">
        <f t="shared" si="319"/>
        <v>0</v>
      </c>
      <c r="U189" s="1989"/>
      <c r="V189" s="1989"/>
      <c r="W189" s="1989">
        <f t="shared" si="320"/>
        <v>0</v>
      </c>
      <c r="X189" s="1999">
        <f t="shared" ref="X189:X252" si="467">Q189+S189+U189+V189</f>
        <v>0</v>
      </c>
      <c r="Y189" s="1993"/>
      <c r="Z189" s="2003">
        <f t="shared" si="321"/>
        <v>0</v>
      </c>
      <c r="AA189" s="1989"/>
      <c r="AB189" s="2003">
        <f t="shared" si="322"/>
        <v>0</v>
      </c>
      <c r="AC189" s="1989"/>
      <c r="AD189" s="2003">
        <f t="shared" si="323"/>
        <v>0</v>
      </c>
      <c r="AE189" s="1989"/>
      <c r="AF189" s="1989"/>
      <c r="AG189" s="2002">
        <f t="shared" si="324"/>
        <v>0</v>
      </c>
      <c r="AH189" s="1999">
        <f t="shared" ref="AH189:AH252" si="468">AA189+AC189+AE189+AF189</f>
        <v>0</v>
      </c>
      <c r="AI189" s="1993"/>
      <c r="AJ189" s="2003">
        <f t="shared" si="326"/>
        <v>0</v>
      </c>
      <c r="AK189" s="1989"/>
      <c r="AL189" s="2003">
        <f t="shared" si="327"/>
        <v>0</v>
      </c>
      <c r="AM189" s="1989"/>
      <c r="AN189" s="2003">
        <f t="shared" si="328"/>
        <v>0</v>
      </c>
      <c r="AO189" s="1989"/>
      <c r="AP189" s="1989"/>
      <c r="AQ189" s="2002">
        <f t="shared" si="329"/>
        <v>0</v>
      </c>
      <c r="AR189" s="1999">
        <f t="shared" ref="AR189:AR252" si="469">AK189+AM189+AO189+AP189</f>
        <v>0</v>
      </c>
      <c r="AS189" s="1993"/>
      <c r="AT189" s="2003">
        <f t="shared" si="331"/>
        <v>0</v>
      </c>
      <c r="AU189" s="1989"/>
      <c r="AV189" s="2003">
        <f t="shared" si="332"/>
        <v>0</v>
      </c>
      <c r="AW189" s="1989"/>
      <c r="AX189" s="2003">
        <f t="shared" si="333"/>
        <v>0</v>
      </c>
      <c r="AY189" s="1989"/>
      <c r="AZ189" s="1989"/>
      <c r="BA189" s="2002">
        <f t="shared" si="334"/>
        <v>0</v>
      </c>
      <c r="BB189" s="1999">
        <f t="shared" ref="BB189:BB252" si="470">AU189+AW189+AY189+AZ189</f>
        <v>0</v>
      </c>
      <c r="BC189" s="1993"/>
      <c r="BD189" s="2003">
        <f t="shared" si="335"/>
        <v>0</v>
      </c>
      <c r="BE189" s="1989"/>
      <c r="BF189" s="2003">
        <f t="shared" si="336"/>
        <v>0</v>
      </c>
      <c r="BG189" s="1989"/>
      <c r="BH189" s="2003">
        <f t="shared" si="337"/>
        <v>0</v>
      </c>
      <c r="BI189" s="1989"/>
      <c r="BJ189" s="1989"/>
      <c r="BK189" s="2002">
        <f t="shared" si="338"/>
        <v>0</v>
      </c>
      <c r="BL189" s="1999">
        <f t="shared" si="438"/>
        <v>0</v>
      </c>
      <c r="BM189" s="1993"/>
      <c r="BN189" s="2003">
        <f t="shared" si="339"/>
        <v>0</v>
      </c>
      <c r="BO189" s="1989"/>
      <c r="BP189" s="2003">
        <f t="shared" si="340"/>
        <v>0</v>
      </c>
      <c r="BQ189" s="1989"/>
      <c r="BR189" s="2003">
        <f t="shared" si="341"/>
        <v>0</v>
      </c>
      <c r="BS189" s="1989"/>
      <c r="BT189" s="1989"/>
      <c r="BU189" s="2002">
        <f t="shared" si="342"/>
        <v>0</v>
      </c>
      <c r="BV189" s="1999">
        <f t="shared" si="439"/>
        <v>0</v>
      </c>
      <c r="BW189" s="1993"/>
      <c r="BX189" s="2003">
        <f t="shared" si="343"/>
        <v>0</v>
      </c>
      <c r="BY189" s="1989"/>
      <c r="BZ189" s="2003">
        <f t="shared" si="344"/>
        <v>0</v>
      </c>
      <c r="CA189" s="1989"/>
      <c r="CB189" s="2003">
        <f t="shared" si="345"/>
        <v>0</v>
      </c>
      <c r="CC189" s="1989"/>
      <c r="CD189" s="1989"/>
      <c r="CE189" s="2002">
        <f t="shared" si="346"/>
        <v>0</v>
      </c>
      <c r="CF189" s="1999">
        <f t="shared" si="440"/>
        <v>0</v>
      </c>
      <c r="CG189" s="1993"/>
      <c r="CH189" s="2003">
        <f t="shared" si="347"/>
        <v>0</v>
      </c>
      <c r="CI189" s="1989"/>
      <c r="CJ189" s="2003">
        <f t="shared" si="348"/>
        <v>0</v>
      </c>
      <c r="CK189" s="1989"/>
      <c r="CL189" s="2003">
        <f t="shared" si="349"/>
        <v>0</v>
      </c>
      <c r="CM189" s="1989"/>
      <c r="CN189" s="1989"/>
      <c r="CO189" s="2002">
        <f t="shared" si="350"/>
        <v>0</v>
      </c>
      <c r="CP189" s="1999">
        <f t="shared" si="441"/>
        <v>0</v>
      </c>
      <c r="CQ189" s="1993"/>
      <c r="CR189" s="2003">
        <f t="shared" si="351"/>
        <v>0</v>
      </c>
      <c r="CS189" s="1989"/>
      <c r="CT189" s="2003">
        <f t="shared" si="352"/>
        <v>0</v>
      </c>
      <c r="CU189" s="1989"/>
      <c r="CV189" s="2003">
        <f t="shared" si="353"/>
        <v>0</v>
      </c>
      <c r="CW189" s="1989"/>
      <c r="CX189" s="1989"/>
      <c r="CY189" s="2002">
        <f t="shared" si="354"/>
        <v>0</v>
      </c>
      <c r="CZ189" s="1999">
        <f t="shared" si="442"/>
        <v>0</v>
      </c>
      <c r="DA189" s="1993"/>
      <c r="DB189" s="2003">
        <f t="shared" si="355"/>
        <v>0</v>
      </c>
      <c r="DC189" s="1989"/>
      <c r="DD189" s="2003">
        <f t="shared" si="356"/>
        <v>0</v>
      </c>
      <c r="DE189" s="1989"/>
      <c r="DF189" s="2003">
        <f t="shared" si="357"/>
        <v>0</v>
      </c>
      <c r="DG189" s="1989"/>
      <c r="DH189" s="1989"/>
      <c r="DI189" s="2002">
        <f t="shared" si="358"/>
        <v>0</v>
      </c>
      <c r="DJ189" s="1999">
        <f t="shared" ref="DJ189:DJ252" si="471">DC189+DE189+DG189+DH189</f>
        <v>0</v>
      </c>
      <c r="DK189" s="1993"/>
      <c r="DL189" s="2003">
        <f t="shared" si="359"/>
        <v>0</v>
      </c>
      <c r="DM189" s="1989"/>
      <c r="DN189" s="2003">
        <f t="shared" si="360"/>
        <v>0</v>
      </c>
      <c r="DO189" s="1989"/>
      <c r="DP189" s="2003">
        <f t="shared" si="361"/>
        <v>0</v>
      </c>
      <c r="DQ189" s="1989"/>
      <c r="DR189" s="1989"/>
      <c r="DS189" s="2002">
        <f t="shared" si="362"/>
        <v>0</v>
      </c>
      <c r="DT189" s="2004">
        <f t="shared" ref="DT189:DT252" si="472">DM189+DO189+DQ189+DR189</f>
        <v>0</v>
      </c>
      <c r="DU189" s="1988"/>
      <c r="DV189" s="2003">
        <f t="shared" si="364"/>
        <v>0</v>
      </c>
      <c r="DW189" s="1989"/>
      <c r="DX189" s="2003">
        <f t="shared" si="365"/>
        <v>0</v>
      </c>
      <c r="DY189" s="1989"/>
      <c r="DZ189" s="2003">
        <f t="shared" si="366"/>
        <v>0</v>
      </c>
      <c r="EA189" s="1989"/>
      <c r="EB189" s="1989"/>
      <c r="EC189" s="2002">
        <f t="shared" si="367"/>
        <v>0</v>
      </c>
      <c r="ED189" s="1998">
        <f t="shared" ref="ED189:ED252" si="473">DW189+DY189+EA189+EB189</f>
        <v>0</v>
      </c>
      <c r="EE189" s="2005"/>
      <c r="EF189" s="2003">
        <f t="shared" si="368"/>
        <v>0</v>
      </c>
      <c r="EG189" s="1989"/>
      <c r="EH189" s="2003">
        <f t="shared" si="369"/>
        <v>0</v>
      </c>
      <c r="EI189" s="1989"/>
      <c r="EJ189" s="2003">
        <f t="shared" si="370"/>
        <v>0</v>
      </c>
      <c r="EK189" s="1989"/>
      <c r="EL189" s="1989"/>
      <c r="EM189" s="2006">
        <f t="shared" si="371"/>
        <v>0</v>
      </c>
      <c r="EN189" s="1999"/>
      <c r="EP189" s="1613" t="e">
        <f>EA189-#REF!/10^7</f>
        <v>#REF!</v>
      </c>
      <c r="EW189" s="1611" t="e">
        <v>#N/A</v>
      </c>
      <c r="EX189" s="1612" t="e">
        <v>#N/A</v>
      </c>
      <c r="EZ189" s="1650">
        <f t="shared" si="372"/>
        <v>0</v>
      </c>
    </row>
    <row r="190" spans="1:156" ht="21" customHeight="1">
      <c r="A190" s="1637" t="s">
        <v>68</v>
      </c>
      <c r="B190" s="1638" t="s">
        <v>1785</v>
      </c>
      <c r="C190" s="1662"/>
      <c r="D190" s="1648"/>
      <c r="E190" s="1648"/>
      <c r="F190" s="1648"/>
      <c r="G190" s="1648"/>
      <c r="H190" s="1648"/>
      <c r="I190" s="1648"/>
      <c r="J190" s="1649"/>
      <c r="K190" s="1648"/>
      <c r="L190" s="1648"/>
      <c r="M190" s="1648"/>
      <c r="N190" s="1642"/>
      <c r="O190" s="2000"/>
      <c r="P190" s="2003">
        <f t="shared" si="317"/>
        <v>0</v>
      </c>
      <c r="Q190" s="1989"/>
      <c r="R190" s="2003">
        <f t="shared" si="318"/>
        <v>0</v>
      </c>
      <c r="S190" s="1989"/>
      <c r="T190" s="2003">
        <f t="shared" si="319"/>
        <v>0</v>
      </c>
      <c r="U190" s="1989"/>
      <c r="V190" s="1989"/>
      <c r="W190" s="1989">
        <f t="shared" si="320"/>
        <v>0</v>
      </c>
      <c r="X190" s="1999">
        <f t="shared" si="467"/>
        <v>0</v>
      </c>
      <c r="Y190" s="1993"/>
      <c r="Z190" s="2003">
        <f t="shared" si="321"/>
        <v>0</v>
      </c>
      <c r="AA190" s="1989"/>
      <c r="AB190" s="2003">
        <f t="shared" si="322"/>
        <v>0</v>
      </c>
      <c r="AC190" s="1989"/>
      <c r="AD190" s="2003">
        <f t="shared" si="323"/>
        <v>0</v>
      </c>
      <c r="AE190" s="1989"/>
      <c r="AF190" s="1989"/>
      <c r="AG190" s="2002">
        <f t="shared" si="324"/>
        <v>0</v>
      </c>
      <c r="AH190" s="1999">
        <f t="shared" si="468"/>
        <v>0</v>
      </c>
      <c r="AI190" s="1993"/>
      <c r="AJ190" s="2003">
        <f t="shared" si="326"/>
        <v>0</v>
      </c>
      <c r="AK190" s="1989"/>
      <c r="AL190" s="2003">
        <f t="shared" si="327"/>
        <v>0</v>
      </c>
      <c r="AM190" s="1989"/>
      <c r="AN190" s="2003">
        <f t="shared" si="328"/>
        <v>0</v>
      </c>
      <c r="AO190" s="1989"/>
      <c r="AP190" s="1989"/>
      <c r="AQ190" s="2002">
        <f t="shared" si="329"/>
        <v>0</v>
      </c>
      <c r="AR190" s="1999">
        <f t="shared" si="469"/>
        <v>0</v>
      </c>
      <c r="AS190" s="1993"/>
      <c r="AT190" s="2003">
        <f t="shared" si="331"/>
        <v>0</v>
      </c>
      <c r="AU190" s="1989"/>
      <c r="AV190" s="2003">
        <f t="shared" si="332"/>
        <v>0</v>
      </c>
      <c r="AW190" s="1989"/>
      <c r="AX190" s="2003">
        <f t="shared" si="333"/>
        <v>0</v>
      </c>
      <c r="AY190" s="1989"/>
      <c r="AZ190" s="1989"/>
      <c r="BA190" s="2002">
        <f t="shared" si="334"/>
        <v>0</v>
      </c>
      <c r="BB190" s="1999">
        <f t="shared" si="470"/>
        <v>0</v>
      </c>
      <c r="BC190" s="1993"/>
      <c r="BD190" s="2003">
        <f t="shared" si="335"/>
        <v>0</v>
      </c>
      <c r="BE190" s="1989"/>
      <c r="BF190" s="2003">
        <f t="shared" si="336"/>
        <v>0</v>
      </c>
      <c r="BG190" s="1989"/>
      <c r="BH190" s="2003">
        <f t="shared" si="337"/>
        <v>0</v>
      </c>
      <c r="BI190" s="1989"/>
      <c r="BJ190" s="1989"/>
      <c r="BK190" s="2002">
        <f t="shared" si="338"/>
        <v>0</v>
      </c>
      <c r="BL190" s="1999">
        <f t="shared" si="438"/>
        <v>0</v>
      </c>
      <c r="BM190" s="1993"/>
      <c r="BN190" s="2003">
        <f t="shared" si="339"/>
        <v>0</v>
      </c>
      <c r="BO190" s="1989"/>
      <c r="BP190" s="2003">
        <f t="shared" si="340"/>
        <v>0</v>
      </c>
      <c r="BQ190" s="1989"/>
      <c r="BR190" s="2003">
        <f t="shared" si="341"/>
        <v>0</v>
      </c>
      <c r="BS190" s="1989"/>
      <c r="BT190" s="1989"/>
      <c r="BU190" s="2002">
        <f t="shared" si="342"/>
        <v>0</v>
      </c>
      <c r="BV190" s="1999">
        <f t="shared" si="439"/>
        <v>0</v>
      </c>
      <c r="BW190" s="1993"/>
      <c r="BX190" s="2003">
        <f t="shared" si="343"/>
        <v>0</v>
      </c>
      <c r="BY190" s="1989"/>
      <c r="BZ190" s="2003">
        <f t="shared" si="344"/>
        <v>0</v>
      </c>
      <c r="CA190" s="1989"/>
      <c r="CB190" s="2003">
        <f t="shared" si="345"/>
        <v>0</v>
      </c>
      <c r="CC190" s="1989"/>
      <c r="CD190" s="1989"/>
      <c r="CE190" s="2002">
        <f t="shared" si="346"/>
        <v>0</v>
      </c>
      <c r="CF190" s="1999">
        <f t="shared" si="440"/>
        <v>0</v>
      </c>
      <c r="CG190" s="1993"/>
      <c r="CH190" s="2003">
        <f t="shared" si="347"/>
        <v>0</v>
      </c>
      <c r="CI190" s="1989"/>
      <c r="CJ190" s="2003">
        <f t="shared" si="348"/>
        <v>0</v>
      </c>
      <c r="CK190" s="1989"/>
      <c r="CL190" s="2003">
        <f t="shared" si="349"/>
        <v>0</v>
      </c>
      <c r="CM190" s="1989"/>
      <c r="CN190" s="1989"/>
      <c r="CO190" s="2002">
        <f t="shared" si="350"/>
        <v>0</v>
      </c>
      <c r="CP190" s="1999">
        <f t="shared" si="441"/>
        <v>0</v>
      </c>
      <c r="CQ190" s="1993"/>
      <c r="CR190" s="2003">
        <f t="shared" si="351"/>
        <v>0</v>
      </c>
      <c r="CS190" s="1989"/>
      <c r="CT190" s="2003">
        <f t="shared" si="352"/>
        <v>0</v>
      </c>
      <c r="CU190" s="1989"/>
      <c r="CV190" s="2003">
        <f t="shared" si="353"/>
        <v>0</v>
      </c>
      <c r="CW190" s="1989"/>
      <c r="CX190" s="1989"/>
      <c r="CY190" s="2002">
        <f t="shared" si="354"/>
        <v>0</v>
      </c>
      <c r="CZ190" s="1999">
        <f t="shared" si="442"/>
        <v>0</v>
      </c>
      <c r="DA190" s="1993"/>
      <c r="DB190" s="2003">
        <f t="shared" si="355"/>
        <v>0</v>
      </c>
      <c r="DC190" s="1989"/>
      <c r="DD190" s="2003">
        <f t="shared" si="356"/>
        <v>0</v>
      </c>
      <c r="DE190" s="1989"/>
      <c r="DF190" s="2003">
        <f t="shared" si="357"/>
        <v>0</v>
      </c>
      <c r="DG190" s="1989"/>
      <c r="DH190" s="1989"/>
      <c r="DI190" s="2002">
        <f t="shared" si="358"/>
        <v>0</v>
      </c>
      <c r="DJ190" s="1999">
        <f t="shared" si="471"/>
        <v>0</v>
      </c>
      <c r="DK190" s="1993"/>
      <c r="DL190" s="2003">
        <f t="shared" si="359"/>
        <v>0</v>
      </c>
      <c r="DM190" s="1989"/>
      <c r="DN190" s="2003">
        <f t="shared" si="360"/>
        <v>0</v>
      </c>
      <c r="DO190" s="1989"/>
      <c r="DP190" s="2003">
        <f t="shared" si="361"/>
        <v>0</v>
      </c>
      <c r="DQ190" s="1989"/>
      <c r="DR190" s="1989"/>
      <c r="DS190" s="2002">
        <f t="shared" si="362"/>
        <v>0</v>
      </c>
      <c r="DT190" s="2004">
        <f t="shared" si="472"/>
        <v>0</v>
      </c>
      <c r="DU190" s="1988"/>
      <c r="DV190" s="2003">
        <f t="shared" si="364"/>
        <v>0</v>
      </c>
      <c r="DW190" s="1989"/>
      <c r="DX190" s="2003">
        <f t="shared" si="365"/>
        <v>0</v>
      </c>
      <c r="DY190" s="1989"/>
      <c r="DZ190" s="2003">
        <f t="shared" si="366"/>
        <v>0</v>
      </c>
      <c r="EA190" s="1989"/>
      <c r="EB190" s="1989"/>
      <c r="EC190" s="2002">
        <f t="shared" si="367"/>
        <v>0</v>
      </c>
      <c r="ED190" s="1998">
        <f t="shared" si="473"/>
        <v>0</v>
      </c>
      <c r="EE190" s="2005"/>
      <c r="EF190" s="2003">
        <f t="shared" si="368"/>
        <v>0</v>
      </c>
      <c r="EG190" s="1989"/>
      <c r="EH190" s="2003">
        <f t="shared" si="369"/>
        <v>0</v>
      </c>
      <c r="EI190" s="1989"/>
      <c r="EJ190" s="2003">
        <f t="shared" si="370"/>
        <v>0</v>
      </c>
      <c r="EK190" s="1989"/>
      <c r="EL190" s="1989"/>
      <c r="EM190" s="2006">
        <f t="shared" si="371"/>
        <v>0</v>
      </c>
      <c r="EN190" s="1999"/>
      <c r="EP190" s="1613" t="e">
        <f>EA190-#REF!/10^7</f>
        <v>#REF!</v>
      </c>
      <c r="EW190" s="1611" t="e">
        <v>#N/A</v>
      </c>
      <c r="EX190" s="1612">
        <v>0</v>
      </c>
      <c r="EZ190" s="1650">
        <f t="shared" si="372"/>
        <v>0</v>
      </c>
    </row>
    <row r="191" spans="1:156" ht="21" customHeight="1">
      <c r="A191" s="1652">
        <v>1</v>
      </c>
      <c r="B191" s="1701" t="s">
        <v>1859</v>
      </c>
      <c r="C191" s="1662">
        <v>26.5</v>
      </c>
      <c r="D191" s="1646">
        <f t="shared" ref="D191:D240" si="474">H191/C191*100</f>
        <v>100</v>
      </c>
      <c r="E191" s="1646"/>
      <c r="F191" s="1648" t="s">
        <v>1594</v>
      </c>
      <c r="G191" s="1648"/>
      <c r="H191" s="1648">
        <v>26.5</v>
      </c>
      <c r="I191" s="1648" t="s">
        <v>1717</v>
      </c>
      <c r="J191" s="1649">
        <v>2</v>
      </c>
      <c r="K191" s="1648"/>
      <c r="L191" s="1648"/>
      <c r="M191" s="1648"/>
      <c r="N191" s="1642"/>
      <c r="O191" s="2000" t="e">
        <f>#REF!</f>
        <v>#REF!</v>
      </c>
      <c r="P191" s="2003">
        <f t="shared" si="317"/>
        <v>0</v>
      </c>
      <c r="Q191" s="1989" t="e">
        <f>#REF!/10^7</f>
        <v>#REF!</v>
      </c>
      <c r="R191" s="2003">
        <f t="shared" si="318"/>
        <v>0</v>
      </c>
      <c r="S191" s="1989" t="e">
        <f>#REF!/10^7</f>
        <v>#REF!</v>
      </c>
      <c r="T191" s="2003">
        <f t="shared" si="319"/>
        <v>0</v>
      </c>
      <c r="U191" s="1989" t="e">
        <f>#REF!/10^7</f>
        <v>#REF!</v>
      </c>
      <c r="V191" s="1989" t="e">
        <f>#REF!/10^7</f>
        <v>#REF!</v>
      </c>
      <c r="W191" s="1989">
        <f t="shared" si="320"/>
        <v>0</v>
      </c>
      <c r="X191" s="1999" t="e">
        <f t="shared" si="467"/>
        <v>#REF!</v>
      </c>
      <c r="Y191" s="1993" t="e">
        <f>#REF!</f>
        <v>#REF!</v>
      </c>
      <c r="Z191" s="2003">
        <f t="shared" si="321"/>
        <v>0</v>
      </c>
      <c r="AA191" s="1989" t="e">
        <f>#REF!/10^7</f>
        <v>#REF!</v>
      </c>
      <c r="AB191" s="2003">
        <f t="shared" si="322"/>
        <v>0</v>
      </c>
      <c r="AC191" s="1989" t="e">
        <f>#REF!/10^7</f>
        <v>#REF!</v>
      </c>
      <c r="AD191" s="2003">
        <f t="shared" si="323"/>
        <v>0</v>
      </c>
      <c r="AE191" s="1989" t="e">
        <f>#REF!/10^7</f>
        <v>#REF!</v>
      </c>
      <c r="AF191" s="1989" t="e">
        <f>#REF!/10^7</f>
        <v>#REF!</v>
      </c>
      <c r="AG191" s="2002" t="e">
        <f t="shared" si="324"/>
        <v>#REF!</v>
      </c>
      <c r="AH191" s="1999" t="e">
        <f t="shared" si="468"/>
        <v>#REF!</v>
      </c>
      <c r="AI191" s="1993" t="e">
        <f>#REF!</f>
        <v>#REF!</v>
      </c>
      <c r="AJ191" s="2003">
        <f t="shared" si="326"/>
        <v>0</v>
      </c>
      <c r="AK191" s="1989" t="e">
        <f>#REF!/10^7</f>
        <v>#REF!</v>
      </c>
      <c r="AL191" s="2003">
        <f t="shared" si="327"/>
        <v>0</v>
      </c>
      <c r="AM191" s="1989" t="e">
        <f>#REF!/10^7</f>
        <v>#REF!</v>
      </c>
      <c r="AN191" s="2003">
        <f t="shared" si="328"/>
        <v>0</v>
      </c>
      <c r="AO191" s="1989" t="e">
        <f>#REF!/10^7</f>
        <v>#REF!</v>
      </c>
      <c r="AP191" s="1989" t="e">
        <f>#REF!/10^7</f>
        <v>#REF!</v>
      </c>
      <c r="AQ191" s="2002" t="e">
        <f t="shared" si="329"/>
        <v>#REF!</v>
      </c>
      <c r="AR191" s="1999" t="e">
        <f t="shared" si="469"/>
        <v>#REF!</v>
      </c>
      <c r="AS191" s="1993" t="e">
        <f>#REF!</f>
        <v>#REF!</v>
      </c>
      <c r="AT191" s="2003">
        <f t="shared" si="331"/>
        <v>0</v>
      </c>
      <c r="AU191" s="1989" t="e">
        <f>#REF!/10^7</f>
        <v>#REF!</v>
      </c>
      <c r="AV191" s="2003">
        <f t="shared" si="332"/>
        <v>0</v>
      </c>
      <c r="AW191" s="1989" t="e">
        <f>#REF!/10^7</f>
        <v>#REF!</v>
      </c>
      <c r="AX191" s="2003">
        <f t="shared" si="333"/>
        <v>0</v>
      </c>
      <c r="AY191" s="1989" t="e">
        <f>#REF!/10^7</f>
        <v>#REF!</v>
      </c>
      <c r="AZ191" s="1989" t="e">
        <f>#REF!/10^7</f>
        <v>#REF!</v>
      </c>
      <c r="BA191" s="2002" t="e">
        <f t="shared" si="334"/>
        <v>#REF!</v>
      </c>
      <c r="BB191" s="1999" t="e">
        <f t="shared" si="470"/>
        <v>#REF!</v>
      </c>
      <c r="BC191" s="1993" t="e">
        <f>#REF!</f>
        <v>#REF!</v>
      </c>
      <c r="BD191" s="2003">
        <f t="shared" si="335"/>
        <v>0</v>
      </c>
      <c r="BE191" s="1989" t="e">
        <f>#REF!/10^7</f>
        <v>#REF!</v>
      </c>
      <c r="BF191" s="2003">
        <f t="shared" si="336"/>
        <v>0</v>
      </c>
      <c r="BG191" s="1989" t="e">
        <f>#REF!/10^7</f>
        <v>#REF!</v>
      </c>
      <c r="BH191" s="2003">
        <f t="shared" si="337"/>
        <v>0</v>
      </c>
      <c r="BI191" s="1989" t="e">
        <f>#REF!/10^7</f>
        <v>#REF!</v>
      </c>
      <c r="BJ191" s="1989" t="e">
        <f>#REF!/10^7</f>
        <v>#REF!</v>
      </c>
      <c r="BK191" s="2002" t="e">
        <f t="shared" si="338"/>
        <v>#REF!</v>
      </c>
      <c r="BL191" s="1999" t="e">
        <f t="shared" si="438"/>
        <v>#REF!</v>
      </c>
      <c r="BM191" s="1993" t="e">
        <f>#REF!</f>
        <v>#REF!</v>
      </c>
      <c r="BN191" s="2003">
        <f t="shared" si="339"/>
        <v>0</v>
      </c>
      <c r="BO191" s="1989" t="e">
        <f>#REF!/10^7</f>
        <v>#REF!</v>
      </c>
      <c r="BP191" s="2003">
        <f t="shared" si="340"/>
        <v>0</v>
      </c>
      <c r="BQ191" s="1989" t="e">
        <f>#REF!/10^7</f>
        <v>#REF!</v>
      </c>
      <c r="BR191" s="2003">
        <f t="shared" si="341"/>
        <v>0</v>
      </c>
      <c r="BS191" s="1989" t="e">
        <f>#REF!/10^7</f>
        <v>#REF!</v>
      </c>
      <c r="BT191" s="1989" t="e">
        <f>#REF!/10^7</f>
        <v>#REF!</v>
      </c>
      <c r="BU191" s="2002" t="e">
        <f t="shared" si="342"/>
        <v>#REF!</v>
      </c>
      <c r="BV191" s="1999" t="e">
        <f t="shared" si="439"/>
        <v>#REF!</v>
      </c>
      <c r="BW191" s="1993" t="e">
        <f>#REF!</f>
        <v>#REF!</v>
      </c>
      <c r="BX191" s="2003">
        <f t="shared" si="343"/>
        <v>0</v>
      </c>
      <c r="BY191" s="1989" t="e">
        <f>#REF!/10^7</f>
        <v>#REF!</v>
      </c>
      <c r="BZ191" s="2003">
        <f t="shared" si="344"/>
        <v>0</v>
      </c>
      <c r="CA191" s="1989" t="e">
        <f>#REF!/10^7</f>
        <v>#REF!</v>
      </c>
      <c r="CB191" s="2003">
        <f t="shared" si="345"/>
        <v>0</v>
      </c>
      <c r="CC191" s="1989" t="e">
        <f>#REF!/10^7</f>
        <v>#REF!</v>
      </c>
      <c r="CD191" s="1989" t="e">
        <f>#REF!/10^7</f>
        <v>#REF!</v>
      </c>
      <c r="CE191" s="2002" t="e">
        <f t="shared" si="346"/>
        <v>#REF!</v>
      </c>
      <c r="CF191" s="1999" t="e">
        <f t="shared" si="440"/>
        <v>#REF!</v>
      </c>
      <c r="CG191" s="1993" t="e">
        <f>#REF!</f>
        <v>#REF!</v>
      </c>
      <c r="CH191" s="2003">
        <f t="shared" si="347"/>
        <v>0</v>
      </c>
      <c r="CI191" s="1989" t="e">
        <f>#REF!/10^7</f>
        <v>#REF!</v>
      </c>
      <c r="CJ191" s="2003">
        <f t="shared" si="348"/>
        <v>0</v>
      </c>
      <c r="CK191" s="1989" t="e">
        <f>#REF!/10^7</f>
        <v>#REF!</v>
      </c>
      <c r="CL191" s="2003">
        <f t="shared" si="349"/>
        <v>0</v>
      </c>
      <c r="CM191" s="1989" t="e">
        <f>#REF!/10^7</f>
        <v>#REF!</v>
      </c>
      <c r="CN191" s="1989" t="e">
        <f>#REF!/10^7</f>
        <v>#REF!</v>
      </c>
      <c r="CO191" s="2002" t="e">
        <f t="shared" si="350"/>
        <v>#REF!</v>
      </c>
      <c r="CP191" s="1999" t="e">
        <f t="shared" si="441"/>
        <v>#REF!</v>
      </c>
      <c r="CQ191" s="1993" t="e">
        <f>#REF!</f>
        <v>#REF!</v>
      </c>
      <c r="CR191" s="2003">
        <f t="shared" si="351"/>
        <v>0</v>
      </c>
      <c r="CS191" s="1989" t="e">
        <f>#REF!/10^7</f>
        <v>#REF!</v>
      </c>
      <c r="CT191" s="2003">
        <f t="shared" si="352"/>
        <v>0</v>
      </c>
      <c r="CU191" s="1989" t="e">
        <f>#REF!/10^7</f>
        <v>#REF!</v>
      </c>
      <c r="CV191" s="2003">
        <f t="shared" si="353"/>
        <v>0</v>
      </c>
      <c r="CW191" s="1989" t="e">
        <f>#REF!/10^7</f>
        <v>#REF!</v>
      </c>
      <c r="CX191" s="1989" t="e">
        <f>#REF!/10^7</f>
        <v>#REF!</v>
      </c>
      <c r="CY191" s="2002" t="e">
        <f t="shared" si="354"/>
        <v>#REF!</v>
      </c>
      <c r="CZ191" s="1999" t="e">
        <f t="shared" si="442"/>
        <v>#REF!</v>
      </c>
      <c r="DA191" s="1993" t="e">
        <f>#REF!</f>
        <v>#REF!</v>
      </c>
      <c r="DB191" s="2003">
        <f t="shared" si="355"/>
        <v>0</v>
      </c>
      <c r="DC191" s="1989" t="e">
        <f>#REF!/10^7</f>
        <v>#REF!</v>
      </c>
      <c r="DD191" s="2003">
        <f t="shared" si="356"/>
        <v>0</v>
      </c>
      <c r="DE191" s="1989" t="e">
        <f>#REF!/10^7</f>
        <v>#REF!</v>
      </c>
      <c r="DF191" s="2003">
        <f t="shared" si="357"/>
        <v>0</v>
      </c>
      <c r="DG191" s="1989" t="e">
        <f>#REF!/10^7</f>
        <v>#REF!</v>
      </c>
      <c r="DH191" s="1989" t="e">
        <f>#REF!/10^7</f>
        <v>#REF!</v>
      </c>
      <c r="DI191" s="2002" t="e">
        <f t="shared" si="358"/>
        <v>#REF!</v>
      </c>
      <c r="DJ191" s="1999" t="e">
        <f t="shared" si="471"/>
        <v>#REF!</v>
      </c>
      <c r="DK191" s="1993" t="e">
        <f>#REF!</f>
        <v>#REF!</v>
      </c>
      <c r="DL191" s="2003">
        <f t="shared" si="359"/>
        <v>0</v>
      </c>
      <c r="DM191" s="1989" t="e">
        <f>#REF!/10^7</f>
        <v>#REF!</v>
      </c>
      <c r="DN191" s="2003">
        <f t="shared" si="360"/>
        <v>0</v>
      </c>
      <c r="DO191" s="1989" t="e">
        <f>#REF!/10^7</f>
        <v>#REF!</v>
      </c>
      <c r="DP191" s="2003">
        <f t="shared" si="361"/>
        <v>0</v>
      </c>
      <c r="DQ191" s="1989" t="e">
        <f>#REF!/10^7</f>
        <v>#REF!</v>
      </c>
      <c r="DR191" s="1989" t="e">
        <f>#REF!/10^7</f>
        <v>#REF!</v>
      </c>
      <c r="DS191" s="2002" t="e">
        <f t="shared" si="362"/>
        <v>#REF!</v>
      </c>
      <c r="DT191" s="2004" t="e">
        <f t="shared" si="472"/>
        <v>#REF!</v>
      </c>
      <c r="DU191" s="1988" t="e">
        <f>#REF!</f>
        <v>#REF!</v>
      </c>
      <c r="DV191" s="2003">
        <f t="shared" si="364"/>
        <v>0</v>
      </c>
      <c r="DW191" s="1989" t="e">
        <f>#REF!/10^7</f>
        <v>#REF!</v>
      </c>
      <c r="DX191" s="2003">
        <f t="shared" si="365"/>
        <v>0</v>
      </c>
      <c r="DY191" s="1989" t="e">
        <f>#REF!/10^7</f>
        <v>#REF!</v>
      </c>
      <c r="DZ191" s="2003">
        <f t="shared" si="366"/>
        <v>0</v>
      </c>
      <c r="EA191" s="1989" t="e">
        <f>#REF!/10^7</f>
        <v>#REF!</v>
      </c>
      <c r="EB191" s="1989" t="e">
        <f>#REF!/10^7</f>
        <v>#REF!</v>
      </c>
      <c r="EC191" s="2002" t="e">
        <f t="shared" si="367"/>
        <v>#REF!</v>
      </c>
      <c r="ED191" s="1998" t="e">
        <f t="shared" si="473"/>
        <v>#REF!</v>
      </c>
      <c r="EE191" s="2005" t="e">
        <f t="shared" ref="EE191:EE254" si="475">O191+Y191+AI191+AS191+BC191+BM191+BW191+CG191+CQ191+DA191+DK191+DU191</f>
        <v>#REF!</v>
      </c>
      <c r="EF191" s="2003">
        <f t="shared" si="368"/>
        <v>0</v>
      </c>
      <c r="EG191" s="1989" t="e">
        <f t="shared" ref="EG191:EG254" si="476">Q191+AA191+AK191+AU191+BE191+BO191+BY191+CI191+CS191+DC191+DM191+DW191</f>
        <v>#REF!</v>
      </c>
      <c r="EH191" s="2003">
        <f t="shared" si="369"/>
        <v>0</v>
      </c>
      <c r="EI191" s="1989" t="e">
        <f t="shared" ref="EI191:EI254" si="477">S191+AC191+AM191+AW191+BG191+BQ191+CA191+CK191+CU191+DE191+DO191+DY191</f>
        <v>#REF!</v>
      </c>
      <c r="EJ191" s="2003">
        <f t="shared" si="370"/>
        <v>0</v>
      </c>
      <c r="EK191" s="1989" t="e">
        <f t="shared" ref="EK191:EL222" si="478">U191+AE191+AO191+AY191+BI191+BS191+CC191+CM191+CW191+DG191+DQ191+EA191</f>
        <v>#REF!</v>
      </c>
      <c r="EL191" s="1989" t="e">
        <f t="shared" si="478"/>
        <v>#REF!</v>
      </c>
      <c r="EM191" s="2006" t="e">
        <f t="shared" si="371"/>
        <v>#REF!</v>
      </c>
      <c r="EN191" s="1999" t="e">
        <f t="shared" ref="EN191:EN254" si="479">EG191+EI191+EK191+EL191</f>
        <v>#REF!</v>
      </c>
      <c r="EP191" s="1613" t="e">
        <f>EA191-#REF!/10^7</f>
        <v>#REF!</v>
      </c>
      <c r="EW191" s="1611" t="e">
        <v>#N/A</v>
      </c>
      <c r="EX191" s="1612" t="e">
        <v>#N/A</v>
      </c>
      <c r="EZ191" s="1650">
        <f t="shared" si="372"/>
        <v>0</v>
      </c>
    </row>
    <row r="192" spans="1:156" ht="21" customHeight="1">
      <c r="A192" s="1652">
        <v>2</v>
      </c>
      <c r="B192" s="1701" t="s">
        <v>1860</v>
      </c>
      <c r="C192" s="1662">
        <v>0</v>
      </c>
      <c r="D192" s="1646" t="e">
        <f t="shared" si="474"/>
        <v>#DIV/0!</v>
      </c>
      <c r="E192" s="1646"/>
      <c r="F192" s="1648" t="s">
        <v>1594</v>
      </c>
      <c r="G192" s="1648"/>
      <c r="H192" s="1648">
        <v>0</v>
      </c>
      <c r="I192" s="1648" t="s">
        <v>1717</v>
      </c>
      <c r="J192" s="1649">
        <v>2</v>
      </c>
      <c r="K192" s="1648"/>
      <c r="L192" s="1648"/>
      <c r="M192" s="1648"/>
      <c r="N192" s="1642"/>
      <c r="O192" s="2000" t="e">
        <f>#REF!</f>
        <v>#REF!</v>
      </c>
      <c r="P192" s="2003">
        <f t="shared" si="317"/>
        <v>0</v>
      </c>
      <c r="Q192" s="1989" t="e">
        <f>#REF!/10^7</f>
        <v>#REF!</v>
      </c>
      <c r="R192" s="2003">
        <f t="shared" si="318"/>
        <v>0</v>
      </c>
      <c r="S192" s="1989" t="e">
        <f>#REF!/10^7</f>
        <v>#REF!</v>
      </c>
      <c r="T192" s="2003">
        <f t="shared" si="319"/>
        <v>0</v>
      </c>
      <c r="U192" s="1989" t="e">
        <f>#REF!/10^7</f>
        <v>#REF!</v>
      </c>
      <c r="V192" s="1989" t="e">
        <f>#REF!/10^7</f>
        <v>#REF!</v>
      </c>
      <c r="W192" s="1989">
        <f t="shared" si="320"/>
        <v>0</v>
      </c>
      <c r="X192" s="1999" t="e">
        <f t="shared" si="467"/>
        <v>#REF!</v>
      </c>
      <c r="Y192" s="1993" t="e">
        <f>#REF!</f>
        <v>#REF!</v>
      </c>
      <c r="Z192" s="2003">
        <f t="shared" si="321"/>
        <v>0</v>
      </c>
      <c r="AA192" s="1989" t="e">
        <f>#REF!/10^7</f>
        <v>#REF!</v>
      </c>
      <c r="AB192" s="2003">
        <f t="shared" si="322"/>
        <v>0</v>
      </c>
      <c r="AC192" s="1989" t="e">
        <f>#REF!/10^7</f>
        <v>#REF!</v>
      </c>
      <c r="AD192" s="2003">
        <f t="shared" si="323"/>
        <v>0</v>
      </c>
      <c r="AE192" s="1989" t="e">
        <f>#REF!/10^7</f>
        <v>#REF!</v>
      </c>
      <c r="AF192" s="1989" t="e">
        <f>#REF!/10^7</f>
        <v>#REF!</v>
      </c>
      <c r="AG192" s="2002" t="e">
        <f t="shared" si="324"/>
        <v>#REF!</v>
      </c>
      <c r="AH192" s="1999" t="e">
        <f t="shared" si="468"/>
        <v>#REF!</v>
      </c>
      <c r="AI192" s="1993" t="e">
        <f>#REF!</f>
        <v>#REF!</v>
      </c>
      <c r="AJ192" s="2003">
        <f t="shared" si="326"/>
        <v>0</v>
      </c>
      <c r="AK192" s="1989" t="e">
        <f>#REF!/10^7</f>
        <v>#REF!</v>
      </c>
      <c r="AL192" s="2003">
        <f t="shared" si="327"/>
        <v>0</v>
      </c>
      <c r="AM192" s="1989" t="e">
        <f>#REF!/10^7</f>
        <v>#REF!</v>
      </c>
      <c r="AN192" s="2003">
        <f t="shared" si="328"/>
        <v>0</v>
      </c>
      <c r="AO192" s="1989" t="e">
        <f>#REF!/10^7</f>
        <v>#REF!</v>
      </c>
      <c r="AP192" s="1989" t="e">
        <f>#REF!/10^7</f>
        <v>#REF!</v>
      </c>
      <c r="AQ192" s="2002" t="e">
        <f t="shared" si="329"/>
        <v>#REF!</v>
      </c>
      <c r="AR192" s="1999" t="e">
        <f t="shared" si="469"/>
        <v>#REF!</v>
      </c>
      <c r="AS192" s="1993" t="e">
        <f>#REF!</f>
        <v>#REF!</v>
      </c>
      <c r="AT192" s="2003">
        <f t="shared" si="331"/>
        <v>0</v>
      </c>
      <c r="AU192" s="1989" t="e">
        <f>#REF!/10^7</f>
        <v>#REF!</v>
      </c>
      <c r="AV192" s="2003">
        <f t="shared" si="332"/>
        <v>0</v>
      </c>
      <c r="AW192" s="1989" t="e">
        <f>#REF!/10^7</f>
        <v>#REF!</v>
      </c>
      <c r="AX192" s="2003">
        <f t="shared" si="333"/>
        <v>0</v>
      </c>
      <c r="AY192" s="1989" t="e">
        <f>#REF!/10^7</f>
        <v>#REF!</v>
      </c>
      <c r="AZ192" s="1989" t="e">
        <f>#REF!/10^7</f>
        <v>#REF!</v>
      </c>
      <c r="BA192" s="2002" t="e">
        <f t="shared" si="334"/>
        <v>#REF!</v>
      </c>
      <c r="BB192" s="1999" t="e">
        <f t="shared" si="470"/>
        <v>#REF!</v>
      </c>
      <c r="BC192" s="1993" t="e">
        <f>#REF!</f>
        <v>#REF!</v>
      </c>
      <c r="BD192" s="2003">
        <f t="shared" si="335"/>
        <v>0</v>
      </c>
      <c r="BE192" s="1989" t="e">
        <f>#REF!/10^7</f>
        <v>#REF!</v>
      </c>
      <c r="BF192" s="2003">
        <f t="shared" si="336"/>
        <v>0</v>
      </c>
      <c r="BG192" s="1989" t="e">
        <f>#REF!/10^7</f>
        <v>#REF!</v>
      </c>
      <c r="BH192" s="2003">
        <f t="shared" si="337"/>
        <v>0</v>
      </c>
      <c r="BI192" s="1989" t="e">
        <f>#REF!/10^7</f>
        <v>#REF!</v>
      </c>
      <c r="BJ192" s="1989" t="e">
        <f>#REF!/10^7</f>
        <v>#REF!</v>
      </c>
      <c r="BK192" s="2002" t="e">
        <f t="shared" si="338"/>
        <v>#REF!</v>
      </c>
      <c r="BL192" s="1999" t="e">
        <f t="shared" si="438"/>
        <v>#REF!</v>
      </c>
      <c r="BM192" s="1993" t="e">
        <f>#REF!</f>
        <v>#REF!</v>
      </c>
      <c r="BN192" s="2003">
        <f t="shared" si="339"/>
        <v>0</v>
      </c>
      <c r="BO192" s="1989" t="e">
        <f>#REF!/10^7</f>
        <v>#REF!</v>
      </c>
      <c r="BP192" s="2003">
        <f t="shared" si="340"/>
        <v>0</v>
      </c>
      <c r="BQ192" s="1989" t="e">
        <f>#REF!/10^7</f>
        <v>#REF!</v>
      </c>
      <c r="BR192" s="2003">
        <f t="shared" si="341"/>
        <v>0</v>
      </c>
      <c r="BS192" s="1989" t="e">
        <f>#REF!/10^7</f>
        <v>#REF!</v>
      </c>
      <c r="BT192" s="1989" t="e">
        <f>#REF!/10^7</f>
        <v>#REF!</v>
      </c>
      <c r="BU192" s="2002" t="e">
        <f t="shared" si="342"/>
        <v>#REF!</v>
      </c>
      <c r="BV192" s="1999" t="e">
        <f t="shared" si="439"/>
        <v>#REF!</v>
      </c>
      <c r="BW192" s="1993" t="e">
        <f>#REF!</f>
        <v>#REF!</v>
      </c>
      <c r="BX192" s="2003">
        <f t="shared" si="343"/>
        <v>0</v>
      </c>
      <c r="BY192" s="1989" t="e">
        <f>#REF!/10^7</f>
        <v>#REF!</v>
      </c>
      <c r="BZ192" s="2003">
        <f t="shared" si="344"/>
        <v>0</v>
      </c>
      <c r="CA192" s="1989" t="e">
        <f>#REF!/10^7</f>
        <v>#REF!</v>
      </c>
      <c r="CB192" s="2003">
        <f t="shared" si="345"/>
        <v>0</v>
      </c>
      <c r="CC192" s="1989" t="e">
        <f>#REF!/10^7</f>
        <v>#REF!</v>
      </c>
      <c r="CD192" s="1989" t="e">
        <f>#REF!/10^7</f>
        <v>#REF!</v>
      </c>
      <c r="CE192" s="2002" t="e">
        <f t="shared" si="346"/>
        <v>#REF!</v>
      </c>
      <c r="CF192" s="1999" t="e">
        <f t="shared" si="440"/>
        <v>#REF!</v>
      </c>
      <c r="CG192" s="1993" t="e">
        <f>#REF!</f>
        <v>#REF!</v>
      </c>
      <c r="CH192" s="2003">
        <f t="shared" si="347"/>
        <v>0</v>
      </c>
      <c r="CI192" s="1989" t="e">
        <f>#REF!/10^7</f>
        <v>#REF!</v>
      </c>
      <c r="CJ192" s="2003">
        <f t="shared" si="348"/>
        <v>0</v>
      </c>
      <c r="CK192" s="1989" t="e">
        <f>#REF!/10^7</f>
        <v>#REF!</v>
      </c>
      <c r="CL192" s="2003">
        <f t="shared" si="349"/>
        <v>0</v>
      </c>
      <c r="CM192" s="1989" t="e">
        <f>#REF!/10^7</f>
        <v>#REF!</v>
      </c>
      <c r="CN192" s="1989" t="e">
        <f>#REF!/10^7</f>
        <v>#REF!</v>
      </c>
      <c r="CO192" s="2002" t="e">
        <f t="shared" si="350"/>
        <v>#REF!</v>
      </c>
      <c r="CP192" s="1999" t="e">
        <f t="shared" si="441"/>
        <v>#REF!</v>
      </c>
      <c r="CQ192" s="1993" t="e">
        <f>#REF!</f>
        <v>#REF!</v>
      </c>
      <c r="CR192" s="2003">
        <f t="shared" si="351"/>
        <v>0</v>
      </c>
      <c r="CS192" s="1989" t="e">
        <f>#REF!/10^7</f>
        <v>#REF!</v>
      </c>
      <c r="CT192" s="2003">
        <f t="shared" si="352"/>
        <v>0</v>
      </c>
      <c r="CU192" s="1989" t="e">
        <f>#REF!/10^7</f>
        <v>#REF!</v>
      </c>
      <c r="CV192" s="2003">
        <f t="shared" si="353"/>
        <v>0</v>
      </c>
      <c r="CW192" s="1989" t="e">
        <f>#REF!/10^7</f>
        <v>#REF!</v>
      </c>
      <c r="CX192" s="1989" t="e">
        <f>#REF!/10^7</f>
        <v>#REF!</v>
      </c>
      <c r="CY192" s="2002" t="e">
        <f t="shared" si="354"/>
        <v>#REF!</v>
      </c>
      <c r="CZ192" s="1999" t="e">
        <f t="shared" si="442"/>
        <v>#REF!</v>
      </c>
      <c r="DA192" s="1993" t="e">
        <f>#REF!</f>
        <v>#REF!</v>
      </c>
      <c r="DB192" s="2003">
        <f t="shared" si="355"/>
        <v>0</v>
      </c>
      <c r="DC192" s="1989" t="e">
        <f>#REF!/10^7</f>
        <v>#REF!</v>
      </c>
      <c r="DD192" s="2003">
        <f t="shared" si="356"/>
        <v>0</v>
      </c>
      <c r="DE192" s="1989" t="e">
        <f>#REF!/10^7</f>
        <v>#REF!</v>
      </c>
      <c r="DF192" s="2003">
        <f t="shared" si="357"/>
        <v>0</v>
      </c>
      <c r="DG192" s="1989" t="e">
        <f>#REF!/10^7</f>
        <v>#REF!</v>
      </c>
      <c r="DH192" s="1989" t="e">
        <f>#REF!/10^7</f>
        <v>#REF!</v>
      </c>
      <c r="DI192" s="2002" t="e">
        <f t="shared" si="358"/>
        <v>#REF!</v>
      </c>
      <c r="DJ192" s="1999" t="e">
        <f t="shared" si="471"/>
        <v>#REF!</v>
      </c>
      <c r="DK192" s="1993" t="e">
        <f>#REF!</f>
        <v>#REF!</v>
      </c>
      <c r="DL192" s="2003">
        <f t="shared" si="359"/>
        <v>0</v>
      </c>
      <c r="DM192" s="1989" t="e">
        <f>#REF!/10^7</f>
        <v>#REF!</v>
      </c>
      <c r="DN192" s="2003">
        <f t="shared" si="360"/>
        <v>0</v>
      </c>
      <c r="DO192" s="1989" t="e">
        <f>#REF!/10^7</f>
        <v>#REF!</v>
      </c>
      <c r="DP192" s="2003">
        <f t="shared" si="361"/>
        <v>0</v>
      </c>
      <c r="DQ192" s="1989" t="e">
        <f>#REF!/10^7</f>
        <v>#REF!</v>
      </c>
      <c r="DR192" s="1989" t="e">
        <f>#REF!/10^7</f>
        <v>#REF!</v>
      </c>
      <c r="DS192" s="2002" t="e">
        <f t="shared" si="362"/>
        <v>#REF!</v>
      </c>
      <c r="DT192" s="2004" t="e">
        <f t="shared" si="472"/>
        <v>#REF!</v>
      </c>
      <c r="DU192" s="1988" t="e">
        <f>#REF!</f>
        <v>#REF!</v>
      </c>
      <c r="DV192" s="2003">
        <f t="shared" si="364"/>
        <v>0</v>
      </c>
      <c r="DW192" s="1989" t="e">
        <f>#REF!/10^7</f>
        <v>#REF!</v>
      </c>
      <c r="DX192" s="2003">
        <f t="shared" si="365"/>
        <v>0</v>
      </c>
      <c r="DY192" s="1989" t="e">
        <f>#REF!/10^7</f>
        <v>#REF!</v>
      </c>
      <c r="DZ192" s="2003">
        <f t="shared" si="366"/>
        <v>0</v>
      </c>
      <c r="EA192" s="1989" t="e">
        <f>#REF!/10^7</f>
        <v>#REF!</v>
      </c>
      <c r="EB192" s="1989" t="e">
        <f>#REF!/10^7</f>
        <v>#REF!</v>
      </c>
      <c r="EC192" s="2002" t="e">
        <f t="shared" si="367"/>
        <v>#REF!</v>
      </c>
      <c r="ED192" s="1998" t="e">
        <f t="shared" si="473"/>
        <v>#REF!</v>
      </c>
      <c r="EE192" s="2005" t="e">
        <f t="shared" si="475"/>
        <v>#REF!</v>
      </c>
      <c r="EF192" s="2003">
        <f t="shared" si="368"/>
        <v>0</v>
      </c>
      <c r="EG192" s="1989" t="e">
        <f t="shared" si="476"/>
        <v>#REF!</v>
      </c>
      <c r="EH192" s="2003">
        <f t="shared" si="369"/>
        <v>0</v>
      </c>
      <c r="EI192" s="1989" t="e">
        <f t="shared" si="477"/>
        <v>#REF!</v>
      </c>
      <c r="EJ192" s="2003">
        <f t="shared" si="370"/>
        <v>0</v>
      </c>
      <c r="EK192" s="1989" t="e">
        <f t="shared" si="478"/>
        <v>#REF!</v>
      </c>
      <c r="EL192" s="1989" t="e">
        <f t="shared" si="478"/>
        <v>#REF!</v>
      </c>
      <c r="EM192" s="2006" t="e">
        <f t="shared" si="371"/>
        <v>#REF!</v>
      </c>
      <c r="EN192" s="1999" t="e">
        <f t="shared" si="479"/>
        <v>#REF!</v>
      </c>
      <c r="EP192" s="1613" t="e">
        <f>EA192-#REF!/10^7</f>
        <v>#REF!</v>
      </c>
      <c r="EW192" s="1611" t="e">
        <v>#N/A</v>
      </c>
      <c r="EX192" s="1612" t="e">
        <v>#N/A</v>
      </c>
      <c r="EZ192" s="1650">
        <f t="shared" si="372"/>
        <v>0</v>
      </c>
    </row>
    <row r="193" spans="1:156" ht="21" customHeight="1">
      <c r="A193" s="1652">
        <v>3</v>
      </c>
      <c r="B193" s="1701" t="s">
        <v>1861</v>
      </c>
      <c r="C193" s="1662">
        <v>11</v>
      </c>
      <c r="D193" s="1646">
        <f t="shared" si="474"/>
        <v>100</v>
      </c>
      <c r="E193" s="1646"/>
      <c r="F193" s="1648" t="s">
        <v>1594</v>
      </c>
      <c r="G193" s="1648"/>
      <c r="H193" s="1648">
        <v>11</v>
      </c>
      <c r="I193" s="1648" t="s">
        <v>1717</v>
      </c>
      <c r="J193" s="1649">
        <v>2</v>
      </c>
      <c r="K193" s="1648"/>
      <c r="L193" s="1648"/>
      <c r="M193" s="1648"/>
      <c r="N193" s="1642"/>
      <c r="O193" s="2000" t="e">
        <f>#REF!</f>
        <v>#REF!</v>
      </c>
      <c r="P193" s="2003">
        <f t="shared" si="317"/>
        <v>0</v>
      </c>
      <c r="Q193" s="1989" t="e">
        <f>#REF!/10^7</f>
        <v>#REF!</v>
      </c>
      <c r="R193" s="2003">
        <f t="shared" si="318"/>
        <v>0</v>
      </c>
      <c r="S193" s="1989" t="e">
        <f>#REF!/10^7</f>
        <v>#REF!</v>
      </c>
      <c r="T193" s="2003">
        <f t="shared" si="319"/>
        <v>0</v>
      </c>
      <c r="U193" s="1989" t="e">
        <f>#REF!/10^7</f>
        <v>#REF!</v>
      </c>
      <c r="V193" s="1989" t="e">
        <f>#REF!/10^7</f>
        <v>#REF!</v>
      </c>
      <c r="W193" s="1989">
        <f t="shared" si="320"/>
        <v>0</v>
      </c>
      <c r="X193" s="1999" t="e">
        <f t="shared" si="467"/>
        <v>#REF!</v>
      </c>
      <c r="Y193" s="1993" t="e">
        <f>#REF!</f>
        <v>#REF!</v>
      </c>
      <c r="Z193" s="2003">
        <f t="shared" si="321"/>
        <v>0</v>
      </c>
      <c r="AA193" s="1989" t="e">
        <f>#REF!/10^7</f>
        <v>#REF!</v>
      </c>
      <c r="AB193" s="2003">
        <f t="shared" si="322"/>
        <v>0</v>
      </c>
      <c r="AC193" s="1989" t="e">
        <f>#REF!/10^7</f>
        <v>#REF!</v>
      </c>
      <c r="AD193" s="2003">
        <f t="shared" si="323"/>
        <v>0</v>
      </c>
      <c r="AE193" s="1989" t="e">
        <f>#REF!/10^7</f>
        <v>#REF!</v>
      </c>
      <c r="AF193" s="1989" t="e">
        <f>#REF!/10^7</f>
        <v>#REF!</v>
      </c>
      <c r="AG193" s="2002" t="e">
        <f t="shared" si="324"/>
        <v>#REF!</v>
      </c>
      <c r="AH193" s="1999" t="e">
        <f t="shared" si="468"/>
        <v>#REF!</v>
      </c>
      <c r="AI193" s="1993" t="e">
        <f>#REF!</f>
        <v>#REF!</v>
      </c>
      <c r="AJ193" s="2003">
        <f t="shared" si="326"/>
        <v>0</v>
      </c>
      <c r="AK193" s="1989" t="e">
        <f>#REF!/10^7</f>
        <v>#REF!</v>
      </c>
      <c r="AL193" s="2003">
        <f t="shared" si="327"/>
        <v>0</v>
      </c>
      <c r="AM193" s="1989" t="e">
        <f>#REF!/10^7</f>
        <v>#REF!</v>
      </c>
      <c r="AN193" s="2003">
        <f t="shared" si="328"/>
        <v>0</v>
      </c>
      <c r="AO193" s="1989" t="e">
        <f>#REF!/10^7</f>
        <v>#REF!</v>
      </c>
      <c r="AP193" s="1989" t="e">
        <f>#REF!/10^7</f>
        <v>#REF!</v>
      </c>
      <c r="AQ193" s="2002" t="e">
        <f t="shared" si="329"/>
        <v>#REF!</v>
      </c>
      <c r="AR193" s="1999" t="e">
        <f t="shared" si="469"/>
        <v>#REF!</v>
      </c>
      <c r="AS193" s="1993" t="e">
        <f>#REF!</f>
        <v>#REF!</v>
      </c>
      <c r="AT193" s="2003">
        <f t="shared" si="331"/>
        <v>0</v>
      </c>
      <c r="AU193" s="1989" t="e">
        <f>#REF!/10^7</f>
        <v>#REF!</v>
      </c>
      <c r="AV193" s="2003">
        <f t="shared" si="332"/>
        <v>0</v>
      </c>
      <c r="AW193" s="1989" t="e">
        <f>#REF!/10^7</f>
        <v>#REF!</v>
      </c>
      <c r="AX193" s="2003">
        <f t="shared" si="333"/>
        <v>0</v>
      </c>
      <c r="AY193" s="1989" t="e">
        <f>#REF!/10^7</f>
        <v>#REF!</v>
      </c>
      <c r="AZ193" s="1989" t="e">
        <f>#REF!/10^7</f>
        <v>#REF!</v>
      </c>
      <c r="BA193" s="2002" t="e">
        <f t="shared" si="334"/>
        <v>#REF!</v>
      </c>
      <c r="BB193" s="1999" t="e">
        <f t="shared" si="470"/>
        <v>#REF!</v>
      </c>
      <c r="BC193" s="1993" t="e">
        <f>#REF!</f>
        <v>#REF!</v>
      </c>
      <c r="BD193" s="2003">
        <f t="shared" si="335"/>
        <v>0</v>
      </c>
      <c r="BE193" s="1989" t="e">
        <f>#REF!/10^7</f>
        <v>#REF!</v>
      </c>
      <c r="BF193" s="2003">
        <f t="shared" si="336"/>
        <v>0</v>
      </c>
      <c r="BG193" s="1989" t="e">
        <f>#REF!/10^7</f>
        <v>#REF!</v>
      </c>
      <c r="BH193" s="2003">
        <f t="shared" si="337"/>
        <v>0</v>
      </c>
      <c r="BI193" s="1989" t="e">
        <f>#REF!/10^7</f>
        <v>#REF!</v>
      </c>
      <c r="BJ193" s="1989" t="e">
        <f>#REF!/10^7</f>
        <v>#REF!</v>
      </c>
      <c r="BK193" s="2002" t="e">
        <f t="shared" si="338"/>
        <v>#REF!</v>
      </c>
      <c r="BL193" s="1999" t="e">
        <f t="shared" si="438"/>
        <v>#REF!</v>
      </c>
      <c r="BM193" s="1993" t="e">
        <f>#REF!</f>
        <v>#REF!</v>
      </c>
      <c r="BN193" s="2003">
        <f t="shared" si="339"/>
        <v>0</v>
      </c>
      <c r="BO193" s="1989" t="e">
        <f>#REF!/10^7</f>
        <v>#REF!</v>
      </c>
      <c r="BP193" s="2003">
        <f t="shared" si="340"/>
        <v>0</v>
      </c>
      <c r="BQ193" s="1989" t="e">
        <f>#REF!/10^7</f>
        <v>#REF!</v>
      </c>
      <c r="BR193" s="2003">
        <f t="shared" si="341"/>
        <v>0</v>
      </c>
      <c r="BS193" s="1989" t="e">
        <f>#REF!/10^7</f>
        <v>#REF!</v>
      </c>
      <c r="BT193" s="1989" t="e">
        <f>#REF!/10^7</f>
        <v>#REF!</v>
      </c>
      <c r="BU193" s="2002" t="e">
        <f t="shared" si="342"/>
        <v>#REF!</v>
      </c>
      <c r="BV193" s="1999" t="e">
        <f t="shared" si="439"/>
        <v>#REF!</v>
      </c>
      <c r="BW193" s="1993" t="e">
        <f>#REF!</f>
        <v>#REF!</v>
      </c>
      <c r="BX193" s="2003">
        <f t="shared" si="343"/>
        <v>0</v>
      </c>
      <c r="BY193" s="1989" t="e">
        <f>#REF!/10^7</f>
        <v>#REF!</v>
      </c>
      <c r="BZ193" s="2003">
        <f t="shared" si="344"/>
        <v>0</v>
      </c>
      <c r="CA193" s="1989" t="e">
        <f>#REF!/10^7</f>
        <v>#REF!</v>
      </c>
      <c r="CB193" s="2003">
        <f t="shared" si="345"/>
        <v>0</v>
      </c>
      <c r="CC193" s="1989" t="e">
        <f>#REF!/10^7</f>
        <v>#REF!</v>
      </c>
      <c r="CD193" s="1989" t="e">
        <f>#REF!/10^7</f>
        <v>#REF!</v>
      </c>
      <c r="CE193" s="2002" t="e">
        <f t="shared" si="346"/>
        <v>#REF!</v>
      </c>
      <c r="CF193" s="1999" t="e">
        <f t="shared" si="440"/>
        <v>#REF!</v>
      </c>
      <c r="CG193" s="1993" t="e">
        <f>#REF!</f>
        <v>#REF!</v>
      </c>
      <c r="CH193" s="2003">
        <f t="shared" si="347"/>
        <v>0</v>
      </c>
      <c r="CI193" s="1989" t="e">
        <f>#REF!/10^7</f>
        <v>#REF!</v>
      </c>
      <c r="CJ193" s="2003">
        <f t="shared" si="348"/>
        <v>0</v>
      </c>
      <c r="CK193" s="1989" t="e">
        <f>#REF!/10^7</f>
        <v>#REF!</v>
      </c>
      <c r="CL193" s="2003">
        <f t="shared" si="349"/>
        <v>0</v>
      </c>
      <c r="CM193" s="1989" t="e">
        <f>#REF!/10^7</f>
        <v>#REF!</v>
      </c>
      <c r="CN193" s="1989" t="e">
        <f>#REF!/10^7</f>
        <v>#REF!</v>
      </c>
      <c r="CO193" s="2002" t="e">
        <f t="shared" si="350"/>
        <v>#REF!</v>
      </c>
      <c r="CP193" s="1999" t="e">
        <f t="shared" si="441"/>
        <v>#REF!</v>
      </c>
      <c r="CQ193" s="1993" t="e">
        <f>#REF!</f>
        <v>#REF!</v>
      </c>
      <c r="CR193" s="2003">
        <f t="shared" si="351"/>
        <v>0</v>
      </c>
      <c r="CS193" s="1989" t="e">
        <f>#REF!/10^7</f>
        <v>#REF!</v>
      </c>
      <c r="CT193" s="2003">
        <f t="shared" si="352"/>
        <v>0</v>
      </c>
      <c r="CU193" s="1989" t="e">
        <f>#REF!/10^7</f>
        <v>#REF!</v>
      </c>
      <c r="CV193" s="2003">
        <f t="shared" si="353"/>
        <v>0</v>
      </c>
      <c r="CW193" s="1989" t="e">
        <f>#REF!/10^7</f>
        <v>#REF!</v>
      </c>
      <c r="CX193" s="1989" t="e">
        <f>#REF!/10^7</f>
        <v>#REF!</v>
      </c>
      <c r="CY193" s="2002" t="e">
        <f t="shared" si="354"/>
        <v>#REF!</v>
      </c>
      <c r="CZ193" s="1999" t="e">
        <f t="shared" si="442"/>
        <v>#REF!</v>
      </c>
      <c r="DA193" s="1993" t="e">
        <f>#REF!</f>
        <v>#REF!</v>
      </c>
      <c r="DB193" s="2003">
        <f t="shared" si="355"/>
        <v>0</v>
      </c>
      <c r="DC193" s="1989" t="e">
        <f>#REF!/10^7</f>
        <v>#REF!</v>
      </c>
      <c r="DD193" s="2003">
        <f t="shared" si="356"/>
        <v>0</v>
      </c>
      <c r="DE193" s="1989" t="e">
        <f>#REF!/10^7</f>
        <v>#REF!</v>
      </c>
      <c r="DF193" s="2003">
        <f t="shared" si="357"/>
        <v>0</v>
      </c>
      <c r="DG193" s="1989" t="e">
        <f>#REF!/10^7</f>
        <v>#REF!</v>
      </c>
      <c r="DH193" s="1989" t="e">
        <f>#REF!/10^7</f>
        <v>#REF!</v>
      </c>
      <c r="DI193" s="2002" t="e">
        <f t="shared" si="358"/>
        <v>#REF!</v>
      </c>
      <c r="DJ193" s="1999" t="e">
        <f t="shared" si="471"/>
        <v>#REF!</v>
      </c>
      <c r="DK193" s="1993" t="e">
        <f>#REF!</f>
        <v>#REF!</v>
      </c>
      <c r="DL193" s="2003">
        <f t="shared" si="359"/>
        <v>0</v>
      </c>
      <c r="DM193" s="1989" t="e">
        <f>#REF!/10^7</f>
        <v>#REF!</v>
      </c>
      <c r="DN193" s="2003">
        <f t="shared" si="360"/>
        <v>0</v>
      </c>
      <c r="DO193" s="1989" t="e">
        <f>#REF!/10^7</f>
        <v>#REF!</v>
      </c>
      <c r="DP193" s="2003">
        <f t="shared" si="361"/>
        <v>0</v>
      </c>
      <c r="DQ193" s="1989" t="e">
        <f>#REF!/10^7</f>
        <v>#REF!</v>
      </c>
      <c r="DR193" s="1989" t="e">
        <f>#REF!/10^7</f>
        <v>#REF!</v>
      </c>
      <c r="DS193" s="2002" t="e">
        <f t="shared" si="362"/>
        <v>#REF!</v>
      </c>
      <c r="DT193" s="2004" t="e">
        <f t="shared" si="472"/>
        <v>#REF!</v>
      </c>
      <c r="DU193" s="1988" t="e">
        <f>#REF!</f>
        <v>#REF!</v>
      </c>
      <c r="DV193" s="2003">
        <f t="shared" si="364"/>
        <v>0</v>
      </c>
      <c r="DW193" s="1989" t="e">
        <f>#REF!/10^7</f>
        <v>#REF!</v>
      </c>
      <c r="DX193" s="2003">
        <f t="shared" si="365"/>
        <v>0</v>
      </c>
      <c r="DY193" s="1989" t="e">
        <f>#REF!/10^7</f>
        <v>#REF!</v>
      </c>
      <c r="DZ193" s="2003">
        <f t="shared" si="366"/>
        <v>0</v>
      </c>
      <c r="EA193" s="1989" t="e">
        <f>#REF!/10^7</f>
        <v>#REF!</v>
      </c>
      <c r="EB193" s="1989" t="e">
        <f>#REF!/10^7</f>
        <v>#REF!</v>
      </c>
      <c r="EC193" s="2002" t="e">
        <f t="shared" si="367"/>
        <v>#REF!</v>
      </c>
      <c r="ED193" s="1998" t="e">
        <f t="shared" si="473"/>
        <v>#REF!</v>
      </c>
      <c r="EE193" s="2005" t="e">
        <f t="shared" si="475"/>
        <v>#REF!</v>
      </c>
      <c r="EF193" s="2003">
        <f t="shared" si="368"/>
        <v>0</v>
      </c>
      <c r="EG193" s="1989" t="e">
        <f t="shared" si="476"/>
        <v>#REF!</v>
      </c>
      <c r="EH193" s="2003">
        <f t="shared" si="369"/>
        <v>0</v>
      </c>
      <c r="EI193" s="1989" t="e">
        <f t="shared" si="477"/>
        <v>#REF!</v>
      </c>
      <c r="EJ193" s="2003">
        <f t="shared" si="370"/>
        <v>0</v>
      </c>
      <c r="EK193" s="1989" t="e">
        <f t="shared" si="478"/>
        <v>#REF!</v>
      </c>
      <c r="EL193" s="1989" t="e">
        <f t="shared" si="478"/>
        <v>#REF!</v>
      </c>
      <c r="EM193" s="2006" t="e">
        <f t="shared" si="371"/>
        <v>#REF!</v>
      </c>
      <c r="EN193" s="1999" t="e">
        <f t="shared" si="479"/>
        <v>#REF!</v>
      </c>
      <c r="EO193" s="1613">
        <v>30.352093499999999</v>
      </c>
      <c r="EP193" s="1613" t="e">
        <f>EA193-#REF!/10^7</f>
        <v>#REF!</v>
      </c>
      <c r="ER193" s="1612" t="e">
        <f>EO193=EE193</f>
        <v>#REF!</v>
      </c>
      <c r="EW193" s="1611" t="e">
        <v>#N/A</v>
      </c>
      <c r="EX193" s="1612" t="e">
        <v>#N/A</v>
      </c>
      <c r="EZ193" s="1650">
        <f t="shared" si="372"/>
        <v>0</v>
      </c>
    </row>
    <row r="194" spans="1:156" ht="21" customHeight="1">
      <c r="A194" s="1652">
        <v>4</v>
      </c>
      <c r="B194" s="1701" t="s">
        <v>1862</v>
      </c>
      <c r="C194" s="1662">
        <v>26.5</v>
      </c>
      <c r="D194" s="1646">
        <f t="shared" si="474"/>
        <v>100</v>
      </c>
      <c r="E194" s="1646"/>
      <c r="F194" s="1648" t="s">
        <v>1594</v>
      </c>
      <c r="G194" s="1648"/>
      <c r="H194" s="1648">
        <v>26.5</v>
      </c>
      <c r="I194" s="1648" t="s">
        <v>1717</v>
      </c>
      <c r="J194" s="1649">
        <v>2</v>
      </c>
      <c r="K194" s="1648"/>
      <c r="L194" s="1648"/>
      <c r="M194" s="1648"/>
      <c r="N194" s="1642"/>
      <c r="O194" s="2000" t="e">
        <f>#REF!</f>
        <v>#REF!</v>
      </c>
      <c r="P194" s="2003">
        <f t="shared" si="317"/>
        <v>0</v>
      </c>
      <c r="Q194" s="1989" t="e">
        <f>#REF!/10^7</f>
        <v>#REF!</v>
      </c>
      <c r="R194" s="2003">
        <f t="shared" si="318"/>
        <v>0</v>
      </c>
      <c r="S194" s="1989" t="e">
        <f>#REF!/10^7</f>
        <v>#REF!</v>
      </c>
      <c r="T194" s="2003">
        <f t="shared" si="319"/>
        <v>0</v>
      </c>
      <c r="U194" s="1989" t="e">
        <f>#REF!/10^7</f>
        <v>#REF!</v>
      </c>
      <c r="V194" s="1989" t="e">
        <f>#REF!/10^7</f>
        <v>#REF!</v>
      </c>
      <c r="W194" s="1989">
        <f t="shared" si="320"/>
        <v>0</v>
      </c>
      <c r="X194" s="1999" t="e">
        <f t="shared" si="467"/>
        <v>#REF!</v>
      </c>
      <c r="Y194" s="1993" t="e">
        <f>#REF!</f>
        <v>#REF!</v>
      </c>
      <c r="Z194" s="2003">
        <f t="shared" si="321"/>
        <v>0</v>
      </c>
      <c r="AA194" s="1989" t="e">
        <f>#REF!/10^7</f>
        <v>#REF!</v>
      </c>
      <c r="AB194" s="2003">
        <f t="shared" si="322"/>
        <v>0</v>
      </c>
      <c r="AC194" s="1989" t="e">
        <f>#REF!/10^7</f>
        <v>#REF!</v>
      </c>
      <c r="AD194" s="2003">
        <f t="shared" si="323"/>
        <v>0</v>
      </c>
      <c r="AE194" s="1989" t="e">
        <f>#REF!/10^7</f>
        <v>#REF!</v>
      </c>
      <c r="AF194" s="1989" t="e">
        <f>#REF!/10^7</f>
        <v>#REF!</v>
      </c>
      <c r="AG194" s="2002" t="e">
        <f t="shared" si="324"/>
        <v>#REF!</v>
      </c>
      <c r="AH194" s="1999" t="e">
        <f t="shared" si="468"/>
        <v>#REF!</v>
      </c>
      <c r="AI194" s="1993" t="e">
        <f>#REF!</f>
        <v>#REF!</v>
      </c>
      <c r="AJ194" s="2003">
        <f t="shared" si="326"/>
        <v>0</v>
      </c>
      <c r="AK194" s="1989" t="e">
        <f>#REF!/10^7</f>
        <v>#REF!</v>
      </c>
      <c r="AL194" s="2003">
        <f t="shared" si="327"/>
        <v>0</v>
      </c>
      <c r="AM194" s="1989" t="e">
        <f>#REF!/10^7</f>
        <v>#REF!</v>
      </c>
      <c r="AN194" s="2003">
        <f t="shared" si="328"/>
        <v>0</v>
      </c>
      <c r="AO194" s="1989" t="e">
        <f>#REF!/10^7</f>
        <v>#REF!</v>
      </c>
      <c r="AP194" s="1989" t="e">
        <f>#REF!/10^7</f>
        <v>#REF!</v>
      </c>
      <c r="AQ194" s="2002" t="e">
        <f t="shared" si="329"/>
        <v>#REF!</v>
      </c>
      <c r="AR194" s="1999" t="e">
        <f t="shared" si="469"/>
        <v>#REF!</v>
      </c>
      <c r="AS194" s="1993" t="e">
        <f>#REF!</f>
        <v>#REF!</v>
      </c>
      <c r="AT194" s="2003">
        <f t="shared" si="331"/>
        <v>0</v>
      </c>
      <c r="AU194" s="1989" t="e">
        <f>#REF!/10^7</f>
        <v>#REF!</v>
      </c>
      <c r="AV194" s="2003">
        <f t="shared" si="332"/>
        <v>0</v>
      </c>
      <c r="AW194" s="1989" t="e">
        <f>#REF!/10^7</f>
        <v>#REF!</v>
      </c>
      <c r="AX194" s="2003">
        <f t="shared" si="333"/>
        <v>0</v>
      </c>
      <c r="AY194" s="1989" t="e">
        <f>#REF!/10^7</f>
        <v>#REF!</v>
      </c>
      <c r="AZ194" s="1989" t="e">
        <f>#REF!/10^7</f>
        <v>#REF!</v>
      </c>
      <c r="BA194" s="2002" t="e">
        <f t="shared" si="334"/>
        <v>#REF!</v>
      </c>
      <c r="BB194" s="1999" t="e">
        <f t="shared" si="470"/>
        <v>#REF!</v>
      </c>
      <c r="BC194" s="1993" t="e">
        <f>#REF!</f>
        <v>#REF!</v>
      </c>
      <c r="BD194" s="2003">
        <f t="shared" si="335"/>
        <v>0</v>
      </c>
      <c r="BE194" s="1989" t="e">
        <f>#REF!/10^7</f>
        <v>#REF!</v>
      </c>
      <c r="BF194" s="2003">
        <f t="shared" si="336"/>
        <v>0</v>
      </c>
      <c r="BG194" s="1989" t="e">
        <f>#REF!/10^7</f>
        <v>#REF!</v>
      </c>
      <c r="BH194" s="2003">
        <f t="shared" si="337"/>
        <v>0</v>
      </c>
      <c r="BI194" s="1989" t="e">
        <f>#REF!/10^7</f>
        <v>#REF!</v>
      </c>
      <c r="BJ194" s="1989" t="e">
        <f>#REF!/10^7</f>
        <v>#REF!</v>
      </c>
      <c r="BK194" s="2002" t="e">
        <f t="shared" si="338"/>
        <v>#REF!</v>
      </c>
      <c r="BL194" s="1999" t="e">
        <f t="shared" si="438"/>
        <v>#REF!</v>
      </c>
      <c r="BM194" s="1993" t="e">
        <f>#REF!</f>
        <v>#REF!</v>
      </c>
      <c r="BN194" s="2003">
        <f t="shared" si="339"/>
        <v>0</v>
      </c>
      <c r="BO194" s="1989" t="e">
        <f>#REF!/10^7</f>
        <v>#REF!</v>
      </c>
      <c r="BP194" s="2003">
        <f t="shared" si="340"/>
        <v>0</v>
      </c>
      <c r="BQ194" s="1989" t="e">
        <f>#REF!/10^7</f>
        <v>#REF!</v>
      </c>
      <c r="BR194" s="2003">
        <f t="shared" si="341"/>
        <v>0</v>
      </c>
      <c r="BS194" s="1989" t="e">
        <f>#REF!/10^7</f>
        <v>#REF!</v>
      </c>
      <c r="BT194" s="1989" t="e">
        <f>#REF!/10^7</f>
        <v>#REF!</v>
      </c>
      <c r="BU194" s="2002" t="e">
        <f t="shared" si="342"/>
        <v>#REF!</v>
      </c>
      <c r="BV194" s="1999" t="e">
        <f t="shared" si="439"/>
        <v>#REF!</v>
      </c>
      <c r="BW194" s="1993" t="e">
        <f>#REF!</f>
        <v>#REF!</v>
      </c>
      <c r="BX194" s="2003">
        <f t="shared" si="343"/>
        <v>0</v>
      </c>
      <c r="BY194" s="1989" t="e">
        <f>#REF!/10^7</f>
        <v>#REF!</v>
      </c>
      <c r="BZ194" s="2003">
        <f t="shared" si="344"/>
        <v>0</v>
      </c>
      <c r="CA194" s="1989" t="e">
        <f>#REF!/10^7</f>
        <v>#REF!</v>
      </c>
      <c r="CB194" s="2003">
        <f t="shared" si="345"/>
        <v>0</v>
      </c>
      <c r="CC194" s="1989" t="e">
        <f>#REF!/10^7</f>
        <v>#REF!</v>
      </c>
      <c r="CD194" s="1989" t="e">
        <f>#REF!/10^7</f>
        <v>#REF!</v>
      </c>
      <c r="CE194" s="2002" t="e">
        <f t="shared" si="346"/>
        <v>#REF!</v>
      </c>
      <c r="CF194" s="1999" t="e">
        <f t="shared" si="440"/>
        <v>#REF!</v>
      </c>
      <c r="CG194" s="1993" t="e">
        <f>#REF!</f>
        <v>#REF!</v>
      </c>
      <c r="CH194" s="2003">
        <f t="shared" si="347"/>
        <v>0</v>
      </c>
      <c r="CI194" s="1989" t="e">
        <f>#REF!/10^7</f>
        <v>#REF!</v>
      </c>
      <c r="CJ194" s="2003">
        <f t="shared" si="348"/>
        <v>0</v>
      </c>
      <c r="CK194" s="1989" t="e">
        <f>#REF!/10^7</f>
        <v>#REF!</v>
      </c>
      <c r="CL194" s="2003">
        <f t="shared" si="349"/>
        <v>0</v>
      </c>
      <c r="CM194" s="1989" t="e">
        <f>#REF!/10^7</f>
        <v>#REF!</v>
      </c>
      <c r="CN194" s="1989" t="e">
        <f>#REF!/10^7</f>
        <v>#REF!</v>
      </c>
      <c r="CO194" s="2002" t="e">
        <f t="shared" si="350"/>
        <v>#REF!</v>
      </c>
      <c r="CP194" s="1999" t="e">
        <f t="shared" si="441"/>
        <v>#REF!</v>
      </c>
      <c r="CQ194" s="1993" t="e">
        <f>#REF!</f>
        <v>#REF!</v>
      </c>
      <c r="CR194" s="2003">
        <f t="shared" si="351"/>
        <v>0</v>
      </c>
      <c r="CS194" s="1989" t="e">
        <f>#REF!/10^7</f>
        <v>#REF!</v>
      </c>
      <c r="CT194" s="2003">
        <f t="shared" si="352"/>
        <v>0</v>
      </c>
      <c r="CU194" s="1989" t="e">
        <f>#REF!/10^7</f>
        <v>#REF!</v>
      </c>
      <c r="CV194" s="2003">
        <f t="shared" si="353"/>
        <v>0</v>
      </c>
      <c r="CW194" s="1989" t="e">
        <f>#REF!/10^7</f>
        <v>#REF!</v>
      </c>
      <c r="CX194" s="1989" t="e">
        <f>#REF!/10^7</f>
        <v>#REF!</v>
      </c>
      <c r="CY194" s="2002" t="e">
        <f t="shared" si="354"/>
        <v>#REF!</v>
      </c>
      <c r="CZ194" s="1999" t="e">
        <f t="shared" si="442"/>
        <v>#REF!</v>
      </c>
      <c r="DA194" s="1993" t="e">
        <f>#REF!</f>
        <v>#REF!</v>
      </c>
      <c r="DB194" s="2003">
        <f t="shared" si="355"/>
        <v>0</v>
      </c>
      <c r="DC194" s="1989" t="e">
        <f>#REF!/10^7</f>
        <v>#REF!</v>
      </c>
      <c r="DD194" s="2003">
        <f t="shared" si="356"/>
        <v>0</v>
      </c>
      <c r="DE194" s="1989" t="e">
        <f>#REF!/10^7</f>
        <v>#REF!</v>
      </c>
      <c r="DF194" s="2003">
        <f t="shared" si="357"/>
        <v>0</v>
      </c>
      <c r="DG194" s="1989" t="e">
        <f>#REF!/10^7</f>
        <v>#REF!</v>
      </c>
      <c r="DH194" s="1989" t="e">
        <f>#REF!/10^7</f>
        <v>#REF!</v>
      </c>
      <c r="DI194" s="2002" t="e">
        <f t="shared" si="358"/>
        <v>#REF!</v>
      </c>
      <c r="DJ194" s="1999" t="e">
        <f t="shared" si="471"/>
        <v>#REF!</v>
      </c>
      <c r="DK194" s="1993" t="e">
        <f>#REF!</f>
        <v>#REF!</v>
      </c>
      <c r="DL194" s="2003">
        <f t="shared" si="359"/>
        <v>0</v>
      </c>
      <c r="DM194" s="1989" t="e">
        <f>#REF!/10^7</f>
        <v>#REF!</v>
      </c>
      <c r="DN194" s="2003">
        <f t="shared" si="360"/>
        <v>0</v>
      </c>
      <c r="DO194" s="1989" t="e">
        <f>#REF!/10^7</f>
        <v>#REF!</v>
      </c>
      <c r="DP194" s="2003">
        <f t="shared" si="361"/>
        <v>0</v>
      </c>
      <c r="DQ194" s="1989" t="e">
        <f>#REF!/10^7</f>
        <v>#REF!</v>
      </c>
      <c r="DR194" s="1989" t="e">
        <f>#REF!/10^7</f>
        <v>#REF!</v>
      </c>
      <c r="DS194" s="2002" t="e">
        <f t="shared" si="362"/>
        <v>#REF!</v>
      </c>
      <c r="DT194" s="2004" t="e">
        <f t="shared" si="472"/>
        <v>#REF!</v>
      </c>
      <c r="DU194" s="1988" t="e">
        <f>#REF!</f>
        <v>#REF!</v>
      </c>
      <c r="DV194" s="2003">
        <f t="shared" si="364"/>
        <v>0</v>
      </c>
      <c r="DW194" s="1989" t="e">
        <f>#REF!/10^7</f>
        <v>#REF!</v>
      </c>
      <c r="DX194" s="2003">
        <f t="shared" si="365"/>
        <v>0</v>
      </c>
      <c r="DY194" s="1989" t="e">
        <f>#REF!/10^7</f>
        <v>#REF!</v>
      </c>
      <c r="DZ194" s="2003">
        <f t="shared" si="366"/>
        <v>0</v>
      </c>
      <c r="EA194" s="1989" t="e">
        <f>#REF!/10^7</f>
        <v>#REF!</v>
      </c>
      <c r="EB194" s="1989" t="e">
        <f>#REF!/10^7</f>
        <v>#REF!</v>
      </c>
      <c r="EC194" s="2002" t="e">
        <f t="shared" si="367"/>
        <v>#REF!</v>
      </c>
      <c r="ED194" s="1998" t="e">
        <f t="shared" si="473"/>
        <v>#REF!</v>
      </c>
      <c r="EE194" s="2005" t="e">
        <f t="shared" si="475"/>
        <v>#REF!</v>
      </c>
      <c r="EF194" s="2003">
        <f t="shared" si="368"/>
        <v>0</v>
      </c>
      <c r="EG194" s="1989" t="e">
        <f t="shared" si="476"/>
        <v>#REF!</v>
      </c>
      <c r="EH194" s="2003">
        <f t="shared" si="369"/>
        <v>0</v>
      </c>
      <c r="EI194" s="1989" t="e">
        <f t="shared" si="477"/>
        <v>#REF!</v>
      </c>
      <c r="EJ194" s="2003">
        <f t="shared" si="370"/>
        <v>0</v>
      </c>
      <c r="EK194" s="1989" t="e">
        <f t="shared" si="478"/>
        <v>#REF!</v>
      </c>
      <c r="EL194" s="1989" t="e">
        <f t="shared" si="478"/>
        <v>#REF!</v>
      </c>
      <c r="EM194" s="2006" t="e">
        <f t="shared" si="371"/>
        <v>#REF!</v>
      </c>
      <c r="EN194" s="1999" t="e">
        <f t="shared" si="479"/>
        <v>#REF!</v>
      </c>
      <c r="EO194" s="1613">
        <v>39.553584000000001</v>
      </c>
      <c r="EP194" s="1613" t="e">
        <f>EA194-#REF!/10^7</f>
        <v>#REF!</v>
      </c>
      <c r="ER194" s="1612" t="e">
        <f t="shared" ref="ER194:ER257" si="480">EO194=EE194</f>
        <v>#REF!</v>
      </c>
      <c r="EW194" s="1611" t="e">
        <v>#N/A</v>
      </c>
      <c r="EX194" s="1612" t="e">
        <v>#N/A</v>
      </c>
      <c r="EZ194" s="1650">
        <f t="shared" si="372"/>
        <v>0</v>
      </c>
    </row>
    <row r="195" spans="1:156" ht="21" customHeight="1">
      <c r="A195" s="1652">
        <v>5</v>
      </c>
      <c r="B195" s="1701" t="s">
        <v>1863</v>
      </c>
      <c r="C195" s="1662">
        <v>13.5</v>
      </c>
      <c r="D195" s="1646">
        <f t="shared" si="474"/>
        <v>100</v>
      </c>
      <c r="E195" s="1646"/>
      <c r="F195" s="1648" t="s">
        <v>1594</v>
      </c>
      <c r="G195" s="1648"/>
      <c r="H195" s="1648">
        <v>13.5</v>
      </c>
      <c r="I195" s="1648" t="s">
        <v>1717</v>
      </c>
      <c r="J195" s="1649">
        <v>2</v>
      </c>
      <c r="K195" s="1648"/>
      <c r="L195" s="1648"/>
      <c r="M195" s="1648"/>
      <c r="N195" s="1642"/>
      <c r="O195" s="2000" t="e">
        <f>#REF!</f>
        <v>#REF!</v>
      </c>
      <c r="P195" s="2003">
        <f t="shared" si="317"/>
        <v>0</v>
      </c>
      <c r="Q195" s="1989" t="e">
        <f>#REF!/10^7</f>
        <v>#REF!</v>
      </c>
      <c r="R195" s="2003">
        <f t="shared" si="318"/>
        <v>0</v>
      </c>
      <c r="S195" s="1989" t="e">
        <f>#REF!/10^7</f>
        <v>#REF!</v>
      </c>
      <c r="T195" s="2003">
        <f t="shared" si="319"/>
        <v>0</v>
      </c>
      <c r="U195" s="1989" t="e">
        <f>#REF!/10^7</f>
        <v>#REF!</v>
      </c>
      <c r="V195" s="1989" t="e">
        <f>#REF!/10^7</f>
        <v>#REF!</v>
      </c>
      <c r="W195" s="1989">
        <f t="shared" si="320"/>
        <v>0</v>
      </c>
      <c r="X195" s="1999" t="e">
        <f t="shared" si="467"/>
        <v>#REF!</v>
      </c>
      <c r="Y195" s="1993" t="e">
        <f>#REF!</f>
        <v>#REF!</v>
      </c>
      <c r="Z195" s="2003">
        <f t="shared" si="321"/>
        <v>0</v>
      </c>
      <c r="AA195" s="1989" t="e">
        <f>#REF!/10^7</f>
        <v>#REF!</v>
      </c>
      <c r="AB195" s="2003">
        <f t="shared" si="322"/>
        <v>0</v>
      </c>
      <c r="AC195" s="1989" t="e">
        <f>#REF!/10^7</f>
        <v>#REF!</v>
      </c>
      <c r="AD195" s="2003">
        <f t="shared" si="323"/>
        <v>0</v>
      </c>
      <c r="AE195" s="1989" t="e">
        <f>#REF!/10^7</f>
        <v>#REF!</v>
      </c>
      <c r="AF195" s="1989" t="e">
        <f>#REF!/10^7</f>
        <v>#REF!</v>
      </c>
      <c r="AG195" s="2002" t="e">
        <f t="shared" si="324"/>
        <v>#REF!</v>
      </c>
      <c r="AH195" s="1999" t="e">
        <f t="shared" si="468"/>
        <v>#REF!</v>
      </c>
      <c r="AI195" s="1993" t="e">
        <f>#REF!</f>
        <v>#REF!</v>
      </c>
      <c r="AJ195" s="2003">
        <f t="shared" si="326"/>
        <v>0</v>
      </c>
      <c r="AK195" s="1989" t="e">
        <f>#REF!/10^7</f>
        <v>#REF!</v>
      </c>
      <c r="AL195" s="2003">
        <f t="shared" si="327"/>
        <v>0</v>
      </c>
      <c r="AM195" s="1989" t="e">
        <f>#REF!/10^7</f>
        <v>#REF!</v>
      </c>
      <c r="AN195" s="2003">
        <f t="shared" si="328"/>
        <v>0</v>
      </c>
      <c r="AO195" s="1989" t="e">
        <f>#REF!/10^7</f>
        <v>#REF!</v>
      </c>
      <c r="AP195" s="1989" t="e">
        <f>#REF!/10^7</f>
        <v>#REF!</v>
      </c>
      <c r="AQ195" s="2002" t="e">
        <f t="shared" si="329"/>
        <v>#REF!</v>
      </c>
      <c r="AR195" s="1999" t="e">
        <f t="shared" si="469"/>
        <v>#REF!</v>
      </c>
      <c r="AS195" s="1993" t="e">
        <f>#REF!</f>
        <v>#REF!</v>
      </c>
      <c r="AT195" s="2003">
        <f t="shared" si="331"/>
        <v>0</v>
      </c>
      <c r="AU195" s="1989" t="e">
        <f>#REF!/10^7</f>
        <v>#REF!</v>
      </c>
      <c r="AV195" s="2003">
        <f t="shared" si="332"/>
        <v>0</v>
      </c>
      <c r="AW195" s="1989" t="e">
        <f>#REF!/10^7</f>
        <v>#REF!</v>
      </c>
      <c r="AX195" s="2003">
        <f t="shared" si="333"/>
        <v>0</v>
      </c>
      <c r="AY195" s="1989" t="e">
        <f>#REF!/10^7</f>
        <v>#REF!</v>
      </c>
      <c r="AZ195" s="1989" t="e">
        <f>#REF!/10^7</f>
        <v>#REF!</v>
      </c>
      <c r="BA195" s="2002" t="e">
        <f t="shared" si="334"/>
        <v>#REF!</v>
      </c>
      <c r="BB195" s="1999" t="e">
        <f t="shared" si="470"/>
        <v>#REF!</v>
      </c>
      <c r="BC195" s="1993" t="e">
        <f>#REF!</f>
        <v>#REF!</v>
      </c>
      <c r="BD195" s="2003">
        <f t="shared" si="335"/>
        <v>0</v>
      </c>
      <c r="BE195" s="1989" t="e">
        <f>#REF!/10^7</f>
        <v>#REF!</v>
      </c>
      <c r="BF195" s="2003">
        <f t="shared" si="336"/>
        <v>0</v>
      </c>
      <c r="BG195" s="1989" t="e">
        <f>#REF!/10^7</f>
        <v>#REF!</v>
      </c>
      <c r="BH195" s="2003">
        <f t="shared" si="337"/>
        <v>0</v>
      </c>
      <c r="BI195" s="1989" t="e">
        <f>#REF!/10^7</f>
        <v>#REF!</v>
      </c>
      <c r="BJ195" s="1989" t="e">
        <f>#REF!/10^7</f>
        <v>#REF!</v>
      </c>
      <c r="BK195" s="2002" t="e">
        <f t="shared" si="338"/>
        <v>#REF!</v>
      </c>
      <c r="BL195" s="1999" t="e">
        <f t="shared" si="438"/>
        <v>#REF!</v>
      </c>
      <c r="BM195" s="1993" t="e">
        <f>#REF!</f>
        <v>#REF!</v>
      </c>
      <c r="BN195" s="2003">
        <f t="shared" si="339"/>
        <v>0</v>
      </c>
      <c r="BO195" s="1989" t="e">
        <f>#REF!/10^7</f>
        <v>#REF!</v>
      </c>
      <c r="BP195" s="2003">
        <f t="shared" si="340"/>
        <v>0</v>
      </c>
      <c r="BQ195" s="1989" t="e">
        <f>#REF!/10^7</f>
        <v>#REF!</v>
      </c>
      <c r="BR195" s="2003">
        <f t="shared" si="341"/>
        <v>0</v>
      </c>
      <c r="BS195" s="1989" t="e">
        <f>#REF!/10^7</f>
        <v>#REF!</v>
      </c>
      <c r="BT195" s="1989" t="e">
        <f>#REF!/10^7</f>
        <v>#REF!</v>
      </c>
      <c r="BU195" s="2002" t="e">
        <f t="shared" si="342"/>
        <v>#REF!</v>
      </c>
      <c r="BV195" s="1999" t="e">
        <f t="shared" si="439"/>
        <v>#REF!</v>
      </c>
      <c r="BW195" s="1993" t="e">
        <f>#REF!</f>
        <v>#REF!</v>
      </c>
      <c r="BX195" s="2003">
        <f t="shared" si="343"/>
        <v>0</v>
      </c>
      <c r="BY195" s="1989" t="e">
        <f>#REF!/10^7</f>
        <v>#REF!</v>
      </c>
      <c r="BZ195" s="2003">
        <f t="shared" si="344"/>
        <v>0</v>
      </c>
      <c r="CA195" s="1989" t="e">
        <f>#REF!/10^7</f>
        <v>#REF!</v>
      </c>
      <c r="CB195" s="2003">
        <f t="shared" si="345"/>
        <v>0</v>
      </c>
      <c r="CC195" s="1989" t="e">
        <f>#REF!/10^7</f>
        <v>#REF!</v>
      </c>
      <c r="CD195" s="1989" t="e">
        <f>#REF!/10^7</f>
        <v>#REF!</v>
      </c>
      <c r="CE195" s="2002" t="e">
        <f t="shared" si="346"/>
        <v>#REF!</v>
      </c>
      <c r="CF195" s="1999" t="e">
        <f t="shared" si="440"/>
        <v>#REF!</v>
      </c>
      <c r="CG195" s="1993" t="e">
        <f>#REF!</f>
        <v>#REF!</v>
      </c>
      <c r="CH195" s="2003">
        <f t="shared" si="347"/>
        <v>0</v>
      </c>
      <c r="CI195" s="1989" t="e">
        <f>#REF!/10^7</f>
        <v>#REF!</v>
      </c>
      <c r="CJ195" s="2003">
        <f t="shared" si="348"/>
        <v>0</v>
      </c>
      <c r="CK195" s="1989" t="e">
        <f>#REF!/10^7</f>
        <v>#REF!</v>
      </c>
      <c r="CL195" s="2003">
        <f t="shared" si="349"/>
        <v>0</v>
      </c>
      <c r="CM195" s="1989" t="e">
        <f>#REF!/10^7</f>
        <v>#REF!</v>
      </c>
      <c r="CN195" s="1989" t="e">
        <f>#REF!/10^7</f>
        <v>#REF!</v>
      </c>
      <c r="CO195" s="2002" t="e">
        <f t="shared" si="350"/>
        <v>#REF!</v>
      </c>
      <c r="CP195" s="1999" t="e">
        <f t="shared" si="441"/>
        <v>#REF!</v>
      </c>
      <c r="CQ195" s="1993" t="e">
        <f>#REF!</f>
        <v>#REF!</v>
      </c>
      <c r="CR195" s="2003">
        <f t="shared" si="351"/>
        <v>0</v>
      </c>
      <c r="CS195" s="1989" t="e">
        <f>#REF!/10^7</f>
        <v>#REF!</v>
      </c>
      <c r="CT195" s="2003">
        <f t="shared" si="352"/>
        <v>0</v>
      </c>
      <c r="CU195" s="1989" t="e">
        <f>#REF!/10^7</f>
        <v>#REF!</v>
      </c>
      <c r="CV195" s="2003">
        <f t="shared" si="353"/>
        <v>0</v>
      </c>
      <c r="CW195" s="1989" t="e">
        <f>#REF!/10^7</f>
        <v>#REF!</v>
      </c>
      <c r="CX195" s="1989" t="e">
        <f>#REF!/10^7</f>
        <v>#REF!</v>
      </c>
      <c r="CY195" s="2002" t="e">
        <f t="shared" si="354"/>
        <v>#REF!</v>
      </c>
      <c r="CZ195" s="1999" t="e">
        <f t="shared" si="442"/>
        <v>#REF!</v>
      </c>
      <c r="DA195" s="1993" t="e">
        <f>#REF!</f>
        <v>#REF!</v>
      </c>
      <c r="DB195" s="2003">
        <f t="shared" si="355"/>
        <v>0</v>
      </c>
      <c r="DC195" s="1989" t="e">
        <f>#REF!/10^7</f>
        <v>#REF!</v>
      </c>
      <c r="DD195" s="2003">
        <f t="shared" si="356"/>
        <v>0</v>
      </c>
      <c r="DE195" s="1989" t="e">
        <f>#REF!/10^7</f>
        <v>#REF!</v>
      </c>
      <c r="DF195" s="2003">
        <f t="shared" si="357"/>
        <v>0</v>
      </c>
      <c r="DG195" s="1989" t="e">
        <f>#REF!/10^7</f>
        <v>#REF!</v>
      </c>
      <c r="DH195" s="1989" t="e">
        <f>#REF!/10^7</f>
        <v>#REF!</v>
      </c>
      <c r="DI195" s="2002" t="e">
        <f t="shared" si="358"/>
        <v>#REF!</v>
      </c>
      <c r="DJ195" s="1999" t="e">
        <f t="shared" si="471"/>
        <v>#REF!</v>
      </c>
      <c r="DK195" s="1993" t="e">
        <f>#REF!</f>
        <v>#REF!</v>
      </c>
      <c r="DL195" s="2003">
        <f t="shared" si="359"/>
        <v>0</v>
      </c>
      <c r="DM195" s="1989" t="e">
        <f>#REF!/10^7</f>
        <v>#REF!</v>
      </c>
      <c r="DN195" s="2003">
        <f t="shared" si="360"/>
        <v>0</v>
      </c>
      <c r="DO195" s="1989" t="e">
        <f>#REF!/10^7</f>
        <v>#REF!</v>
      </c>
      <c r="DP195" s="2003">
        <f t="shared" si="361"/>
        <v>0</v>
      </c>
      <c r="DQ195" s="1989" t="e">
        <f>#REF!/10^7</f>
        <v>#REF!</v>
      </c>
      <c r="DR195" s="1989" t="e">
        <f>#REF!/10^7</f>
        <v>#REF!</v>
      </c>
      <c r="DS195" s="2002" t="e">
        <f t="shared" si="362"/>
        <v>#REF!</v>
      </c>
      <c r="DT195" s="2004" t="e">
        <f t="shared" si="472"/>
        <v>#REF!</v>
      </c>
      <c r="DU195" s="1988" t="e">
        <f>#REF!</f>
        <v>#REF!</v>
      </c>
      <c r="DV195" s="2003">
        <f t="shared" si="364"/>
        <v>0</v>
      </c>
      <c r="DW195" s="1989" t="e">
        <f>#REF!/10^7</f>
        <v>#REF!</v>
      </c>
      <c r="DX195" s="2003">
        <f t="shared" si="365"/>
        <v>0</v>
      </c>
      <c r="DY195" s="1989" t="e">
        <f>#REF!/10^7</f>
        <v>#REF!</v>
      </c>
      <c r="DZ195" s="2003">
        <f t="shared" si="366"/>
        <v>0</v>
      </c>
      <c r="EA195" s="1989" t="e">
        <f>#REF!/10^7</f>
        <v>#REF!</v>
      </c>
      <c r="EB195" s="1989" t="e">
        <f>#REF!/10^7</f>
        <v>#REF!</v>
      </c>
      <c r="EC195" s="2002" t="e">
        <f t="shared" si="367"/>
        <v>#REF!</v>
      </c>
      <c r="ED195" s="1998" t="e">
        <f t="shared" si="473"/>
        <v>#REF!</v>
      </c>
      <c r="EE195" s="2005" t="e">
        <f t="shared" si="475"/>
        <v>#REF!</v>
      </c>
      <c r="EF195" s="2003">
        <f t="shared" si="368"/>
        <v>0</v>
      </c>
      <c r="EG195" s="1989" t="e">
        <f t="shared" si="476"/>
        <v>#REF!</v>
      </c>
      <c r="EH195" s="2003">
        <f t="shared" si="369"/>
        <v>0</v>
      </c>
      <c r="EI195" s="1989" t="e">
        <f t="shared" si="477"/>
        <v>#REF!</v>
      </c>
      <c r="EJ195" s="2003">
        <f t="shared" si="370"/>
        <v>0</v>
      </c>
      <c r="EK195" s="1989" t="e">
        <f t="shared" si="478"/>
        <v>#REF!</v>
      </c>
      <c r="EL195" s="1989" t="e">
        <f t="shared" si="478"/>
        <v>#REF!</v>
      </c>
      <c r="EM195" s="2006" t="e">
        <f t="shared" si="371"/>
        <v>#REF!</v>
      </c>
      <c r="EN195" s="1999" t="e">
        <f t="shared" si="479"/>
        <v>#REF!</v>
      </c>
      <c r="EO195" s="1613">
        <v>62.012506000000002</v>
      </c>
      <c r="EP195" s="1613" t="e">
        <f>EA195-#REF!/10^7</f>
        <v>#REF!</v>
      </c>
      <c r="ER195" s="1612" t="e">
        <f t="shared" si="480"/>
        <v>#REF!</v>
      </c>
      <c r="EW195" s="1611" t="e">
        <v>#N/A</v>
      </c>
      <c r="EX195" s="1612" t="e">
        <v>#N/A</v>
      </c>
      <c r="EZ195" s="1650">
        <f t="shared" si="372"/>
        <v>0</v>
      </c>
    </row>
    <row r="196" spans="1:156" ht="21" customHeight="1">
      <c r="A196" s="1652">
        <v>6</v>
      </c>
      <c r="B196" s="1701" t="s">
        <v>1864</v>
      </c>
      <c r="C196" s="1662">
        <v>12</v>
      </c>
      <c r="D196" s="1646">
        <f t="shared" si="474"/>
        <v>100</v>
      </c>
      <c r="E196" s="1646"/>
      <c r="F196" s="1648" t="s">
        <v>1594</v>
      </c>
      <c r="G196" s="1648"/>
      <c r="H196" s="1648">
        <v>12</v>
      </c>
      <c r="I196" s="1648" t="s">
        <v>1717</v>
      </c>
      <c r="J196" s="1649">
        <v>2</v>
      </c>
      <c r="K196" s="1648"/>
      <c r="L196" s="1648"/>
      <c r="M196" s="1648"/>
      <c r="N196" s="1642"/>
      <c r="O196" s="2000" t="e">
        <f>#REF!</f>
        <v>#REF!</v>
      </c>
      <c r="P196" s="2003">
        <f t="shared" si="317"/>
        <v>0</v>
      </c>
      <c r="Q196" s="1989" t="e">
        <f>#REF!/10^7</f>
        <v>#REF!</v>
      </c>
      <c r="R196" s="2003">
        <f t="shared" si="318"/>
        <v>0</v>
      </c>
      <c r="S196" s="1989" t="e">
        <f>#REF!/10^7</f>
        <v>#REF!</v>
      </c>
      <c r="T196" s="2003">
        <f t="shared" si="319"/>
        <v>0</v>
      </c>
      <c r="U196" s="1989" t="e">
        <f>#REF!/10^7</f>
        <v>#REF!</v>
      </c>
      <c r="V196" s="1989" t="e">
        <f>#REF!/10^7</f>
        <v>#REF!</v>
      </c>
      <c r="W196" s="1989">
        <f t="shared" si="320"/>
        <v>0</v>
      </c>
      <c r="X196" s="1999" t="e">
        <f t="shared" si="467"/>
        <v>#REF!</v>
      </c>
      <c r="Y196" s="1993" t="e">
        <f>#REF!</f>
        <v>#REF!</v>
      </c>
      <c r="Z196" s="2003">
        <f t="shared" si="321"/>
        <v>0</v>
      </c>
      <c r="AA196" s="1989" t="e">
        <f>#REF!/10^7</f>
        <v>#REF!</v>
      </c>
      <c r="AB196" s="2003">
        <f t="shared" si="322"/>
        <v>0</v>
      </c>
      <c r="AC196" s="1989" t="e">
        <f>#REF!/10^7</f>
        <v>#REF!</v>
      </c>
      <c r="AD196" s="2003">
        <f t="shared" si="323"/>
        <v>0</v>
      </c>
      <c r="AE196" s="1989" t="e">
        <f>#REF!/10^7</f>
        <v>#REF!</v>
      </c>
      <c r="AF196" s="1989" t="e">
        <f>#REF!/10^7</f>
        <v>#REF!</v>
      </c>
      <c r="AG196" s="2002" t="e">
        <f t="shared" si="324"/>
        <v>#REF!</v>
      </c>
      <c r="AH196" s="1999" t="e">
        <f t="shared" si="468"/>
        <v>#REF!</v>
      </c>
      <c r="AI196" s="1993" t="e">
        <f>#REF!</f>
        <v>#REF!</v>
      </c>
      <c r="AJ196" s="2003">
        <f t="shared" si="326"/>
        <v>0</v>
      </c>
      <c r="AK196" s="1989" t="e">
        <f>#REF!/10^7</f>
        <v>#REF!</v>
      </c>
      <c r="AL196" s="2003">
        <f t="shared" si="327"/>
        <v>0</v>
      </c>
      <c r="AM196" s="1989" t="e">
        <f>#REF!/10^7</f>
        <v>#REF!</v>
      </c>
      <c r="AN196" s="2003">
        <f t="shared" si="328"/>
        <v>0</v>
      </c>
      <c r="AO196" s="1989" t="e">
        <f>#REF!/10^7</f>
        <v>#REF!</v>
      </c>
      <c r="AP196" s="1989" t="e">
        <f>#REF!/10^7</f>
        <v>#REF!</v>
      </c>
      <c r="AQ196" s="2002" t="e">
        <f t="shared" si="329"/>
        <v>#REF!</v>
      </c>
      <c r="AR196" s="1999" t="e">
        <f t="shared" si="469"/>
        <v>#REF!</v>
      </c>
      <c r="AS196" s="1993" t="e">
        <f>#REF!</f>
        <v>#REF!</v>
      </c>
      <c r="AT196" s="2003">
        <f t="shared" si="331"/>
        <v>0</v>
      </c>
      <c r="AU196" s="1989" t="e">
        <f>#REF!/10^7</f>
        <v>#REF!</v>
      </c>
      <c r="AV196" s="2003">
        <f t="shared" si="332"/>
        <v>0</v>
      </c>
      <c r="AW196" s="1989" t="e">
        <f>#REF!/10^7</f>
        <v>#REF!</v>
      </c>
      <c r="AX196" s="2003">
        <f t="shared" si="333"/>
        <v>0</v>
      </c>
      <c r="AY196" s="1989" t="e">
        <f>#REF!/10^7</f>
        <v>#REF!</v>
      </c>
      <c r="AZ196" s="1989" t="e">
        <f>#REF!/10^7</f>
        <v>#REF!</v>
      </c>
      <c r="BA196" s="2002" t="e">
        <f t="shared" si="334"/>
        <v>#REF!</v>
      </c>
      <c r="BB196" s="1999" t="e">
        <f t="shared" si="470"/>
        <v>#REF!</v>
      </c>
      <c r="BC196" s="1993" t="e">
        <f>#REF!</f>
        <v>#REF!</v>
      </c>
      <c r="BD196" s="2003">
        <f t="shared" si="335"/>
        <v>0</v>
      </c>
      <c r="BE196" s="1989" t="e">
        <f>#REF!/10^7</f>
        <v>#REF!</v>
      </c>
      <c r="BF196" s="2003">
        <f t="shared" si="336"/>
        <v>0</v>
      </c>
      <c r="BG196" s="1989" t="e">
        <f>#REF!/10^7</f>
        <v>#REF!</v>
      </c>
      <c r="BH196" s="2003">
        <f t="shared" si="337"/>
        <v>0</v>
      </c>
      <c r="BI196" s="1989" t="e">
        <f>#REF!/10^7</f>
        <v>#REF!</v>
      </c>
      <c r="BJ196" s="1989" t="e">
        <f>#REF!/10^7</f>
        <v>#REF!</v>
      </c>
      <c r="BK196" s="2002" t="e">
        <f t="shared" si="338"/>
        <v>#REF!</v>
      </c>
      <c r="BL196" s="1999" t="e">
        <f t="shared" si="438"/>
        <v>#REF!</v>
      </c>
      <c r="BM196" s="1993" t="e">
        <f>#REF!</f>
        <v>#REF!</v>
      </c>
      <c r="BN196" s="2003">
        <f t="shared" si="339"/>
        <v>0</v>
      </c>
      <c r="BO196" s="1989" t="e">
        <f>#REF!/10^7</f>
        <v>#REF!</v>
      </c>
      <c r="BP196" s="2003">
        <f t="shared" si="340"/>
        <v>0</v>
      </c>
      <c r="BQ196" s="1989" t="e">
        <f>#REF!/10^7</f>
        <v>#REF!</v>
      </c>
      <c r="BR196" s="2003">
        <f t="shared" si="341"/>
        <v>0</v>
      </c>
      <c r="BS196" s="1989" t="e">
        <f>#REF!/10^7</f>
        <v>#REF!</v>
      </c>
      <c r="BT196" s="1989" t="e">
        <f>#REF!/10^7</f>
        <v>#REF!</v>
      </c>
      <c r="BU196" s="2002" t="e">
        <f t="shared" si="342"/>
        <v>#REF!</v>
      </c>
      <c r="BV196" s="1999" t="e">
        <f t="shared" si="439"/>
        <v>#REF!</v>
      </c>
      <c r="BW196" s="1993" t="e">
        <f>#REF!</f>
        <v>#REF!</v>
      </c>
      <c r="BX196" s="2003">
        <f t="shared" si="343"/>
        <v>0</v>
      </c>
      <c r="BY196" s="1989" t="e">
        <f>#REF!/10^7</f>
        <v>#REF!</v>
      </c>
      <c r="BZ196" s="2003">
        <f t="shared" si="344"/>
        <v>0</v>
      </c>
      <c r="CA196" s="1989" t="e">
        <f>#REF!/10^7</f>
        <v>#REF!</v>
      </c>
      <c r="CB196" s="2003">
        <f t="shared" si="345"/>
        <v>0</v>
      </c>
      <c r="CC196" s="1989" t="e">
        <f>#REF!/10^7</f>
        <v>#REF!</v>
      </c>
      <c r="CD196" s="1989" t="e">
        <f>#REF!/10^7</f>
        <v>#REF!</v>
      </c>
      <c r="CE196" s="2002" t="e">
        <f t="shared" si="346"/>
        <v>#REF!</v>
      </c>
      <c r="CF196" s="1999" t="e">
        <f t="shared" si="440"/>
        <v>#REF!</v>
      </c>
      <c r="CG196" s="1993" t="e">
        <f>#REF!</f>
        <v>#REF!</v>
      </c>
      <c r="CH196" s="2003">
        <f t="shared" si="347"/>
        <v>0</v>
      </c>
      <c r="CI196" s="1989" t="e">
        <f>#REF!/10^7</f>
        <v>#REF!</v>
      </c>
      <c r="CJ196" s="2003">
        <f t="shared" si="348"/>
        <v>0</v>
      </c>
      <c r="CK196" s="1989" t="e">
        <f>#REF!/10^7</f>
        <v>#REF!</v>
      </c>
      <c r="CL196" s="2003">
        <f t="shared" si="349"/>
        <v>0</v>
      </c>
      <c r="CM196" s="1989" t="e">
        <f>#REF!/10^7</f>
        <v>#REF!</v>
      </c>
      <c r="CN196" s="1989" t="e">
        <f>#REF!/10^7</f>
        <v>#REF!</v>
      </c>
      <c r="CO196" s="2002" t="e">
        <f t="shared" si="350"/>
        <v>#REF!</v>
      </c>
      <c r="CP196" s="1999" t="e">
        <f t="shared" si="441"/>
        <v>#REF!</v>
      </c>
      <c r="CQ196" s="1993" t="e">
        <f>#REF!</f>
        <v>#REF!</v>
      </c>
      <c r="CR196" s="2003">
        <f t="shared" si="351"/>
        <v>0</v>
      </c>
      <c r="CS196" s="1989" t="e">
        <f>#REF!/10^7</f>
        <v>#REF!</v>
      </c>
      <c r="CT196" s="2003">
        <f t="shared" si="352"/>
        <v>0</v>
      </c>
      <c r="CU196" s="1989" t="e">
        <f>#REF!/10^7</f>
        <v>#REF!</v>
      </c>
      <c r="CV196" s="2003">
        <f t="shared" si="353"/>
        <v>0</v>
      </c>
      <c r="CW196" s="1989" t="e">
        <f>#REF!/10^7</f>
        <v>#REF!</v>
      </c>
      <c r="CX196" s="1989" t="e">
        <f>#REF!/10^7</f>
        <v>#REF!</v>
      </c>
      <c r="CY196" s="2002" t="e">
        <f t="shared" si="354"/>
        <v>#REF!</v>
      </c>
      <c r="CZ196" s="1999" t="e">
        <f t="shared" si="442"/>
        <v>#REF!</v>
      </c>
      <c r="DA196" s="1993" t="e">
        <f>#REF!</f>
        <v>#REF!</v>
      </c>
      <c r="DB196" s="2003">
        <f t="shared" si="355"/>
        <v>0</v>
      </c>
      <c r="DC196" s="1989" t="e">
        <f>#REF!/10^7</f>
        <v>#REF!</v>
      </c>
      <c r="DD196" s="2003">
        <f t="shared" si="356"/>
        <v>0</v>
      </c>
      <c r="DE196" s="1989" t="e">
        <f>#REF!/10^7</f>
        <v>#REF!</v>
      </c>
      <c r="DF196" s="2003">
        <f t="shared" si="357"/>
        <v>0</v>
      </c>
      <c r="DG196" s="1989" t="e">
        <f>#REF!/10^7</f>
        <v>#REF!</v>
      </c>
      <c r="DH196" s="1989" t="e">
        <f>#REF!/10^7</f>
        <v>#REF!</v>
      </c>
      <c r="DI196" s="2002" t="e">
        <f t="shared" si="358"/>
        <v>#REF!</v>
      </c>
      <c r="DJ196" s="1999" t="e">
        <f t="shared" si="471"/>
        <v>#REF!</v>
      </c>
      <c r="DK196" s="1993" t="e">
        <f>#REF!</f>
        <v>#REF!</v>
      </c>
      <c r="DL196" s="2003">
        <f t="shared" si="359"/>
        <v>0</v>
      </c>
      <c r="DM196" s="1989" t="e">
        <f>#REF!/10^7</f>
        <v>#REF!</v>
      </c>
      <c r="DN196" s="2003">
        <f t="shared" si="360"/>
        <v>0</v>
      </c>
      <c r="DO196" s="1989" t="e">
        <f>#REF!/10^7</f>
        <v>#REF!</v>
      </c>
      <c r="DP196" s="2003">
        <f t="shared" si="361"/>
        <v>0</v>
      </c>
      <c r="DQ196" s="1989" t="e">
        <f>#REF!/10^7</f>
        <v>#REF!</v>
      </c>
      <c r="DR196" s="1989" t="e">
        <f>#REF!/10^7</f>
        <v>#REF!</v>
      </c>
      <c r="DS196" s="2002" t="e">
        <f t="shared" si="362"/>
        <v>#REF!</v>
      </c>
      <c r="DT196" s="2004" t="e">
        <f t="shared" si="472"/>
        <v>#REF!</v>
      </c>
      <c r="DU196" s="1988" t="e">
        <f>#REF!</f>
        <v>#REF!</v>
      </c>
      <c r="DV196" s="2003">
        <f t="shared" si="364"/>
        <v>0</v>
      </c>
      <c r="DW196" s="1989" t="e">
        <f>#REF!/10^7</f>
        <v>#REF!</v>
      </c>
      <c r="DX196" s="2003">
        <f t="shared" si="365"/>
        <v>0</v>
      </c>
      <c r="DY196" s="1989" t="e">
        <f>#REF!/10^7</f>
        <v>#REF!</v>
      </c>
      <c r="DZ196" s="2003">
        <f t="shared" si="366"/>
        <v>0</v>
      </c>
      <c r="EA196" s="1989" t="e">
        <f>#REF!/10^7</f>
        <v>#REF!</v>
      </c>
      <c r="EB196" s="1989" t="e">
        <f>#REF!/10^7</f>
        <v>#REF!</v>
      </c>
      <c r="EC196" s="2002" t="e">
        <f t="shared" si="367"/>
        <v>#REF!</v>
      </c>
      <c r="ED196" s="1998" t="e">
        <f t="shared" si="473"/>
        <v>#REF!</v>
      </c>
      <c r="EE196" s="2005" t="e">
        <f t="shared" si="475"/>
        <v>#REF!</v>
      </c>
      <c r="EF196" s="2003">
        <f t="shared" si="368"/>
        <v>0</v>
      </c>
      <c r="EG196" s="1989" t="e">
        <f t="shared" si="476"/>
        <v>#REF!</v>
      </c>
      <c r="EH196" s="2003">
        <f t="shared" si="369"/>
        <v>0</v>
      </c>
      <c r="EI196" s="1989" t="e">
        <f t="shared" si="477"/>
        <v>#REF!</v>
      </c>
      <c r="EJ196" s="2003">
        <f t="shared" si="370"/>
        <v>0</v>
      </c>
      <c r="EK196" s="1989" t="e">
        <f t="shared" si="478"/>
        <v>#REF!</v>
      </c>
      <c r="EL196" s="1989" t="e">
        <f t="shared" si="478"/>
        <v>#REF!</v>
      </c>
      <c r="EM196" s="2006" t="e">
        <f t="shared" si="371"/>
        <v>#REF!</v>
      </c>
      <c r="EN196" s="1999" t="e">
        <f t="shared" si="479"/>
        <v>#REF!</v>
      </c>
      <c r="EO196" s="1613">
        <v>12.791876999999999</v>
      </c>
      <c r="EP196" s="1613" t="e">
        <f>EA196-#REF!/10^7</f>
        <v>#REF!</v>
      </c>
      <c r="ER196" s="1612" t="e">
        <f t="shared" si="480"/>
        <v>#REF!</v>
      </c>
      <c r="EW196" s="1611" t="e">
        <v>#N/A</v>
      </c>
      <c r="EX196" s="1612" t="e">
        <v>#N/A</v>
      </c>
      <c r="EZ196" s="1650">
        <f t="shared" si="372"/>
        <v>0</v>
      </c>
    </row>
    <row r="197" spans="1:156" ht="21" customHeight="1">
      <c r="A197" s="1652">
        <v>7</v>
      </c>
      <c r="B197" s="1701" t="s">
        <v>1865</v>
      </c>
      <c r="C197" s="1662">
        <v>10</v>
      </c>
      <c r="D197" s="1646">
        <f t="shared" si="474"/>
        <v>100</v>
      </c>
      <c r="E197" s="1646"/>
      <c r="F197" s="1648" t="s">
        <v>1594</v>
      </c>
      <c r="G197" s="1648"/>
      <c r="H197" s="1648">
        <v>10</v>
      </c>
      <c r="I197" s="1648" t="s">
        <v>1717</v>
      </c>
      <c r="J197" s="1649">
        <v>2</v>
      </c>
      <c r="K197" s="1648"/>
      <c r="L197" s="1648"/>
      <c r="M197" s="1648"/>
      <c r="N197" s="1642"/>
      <c r="O197" s="2000" t="e">
        <f>#REF!</f>
        <v>#REF!</v>
      </c>
      <c r="P197" s="2003">
        <f t="shared" si="317"/>
        <v>0</v>
      </c>
      <c r="Q197" s="1989" t="e">
        <f>#REF!/10^7</f>
        <v>#REF!</v>
      </c>
      <c r="R197" s="2003">
        <f t="shared" si="318"/>
        <v>0</v>
      </c>
      <c r="S197" s="1989" t="e">
        <f>#REF!/10^7</f>
        <v>#REF!</v>
      </c>
      <c r="T197" s="2003">
        <f t="shared" si="319"/>
        <v>0</v>
      </c>
      <c r="U197" s="1989" t="e">
        <f>#REF!/10^7</f>
        <v>#REF!</v>
      </c>
      <c r="V197" s="1989" t="e">
        <f>#REF!/10^7</f>
        <v>#REF!</v>
      </c>
      <c r="W197" s="1989">
        <f t="shared" si="320"/>
        <v>0</v>
      </c>
      <c r="X197" s="1999" t="e">
        <f t="shared" si="467"/>
        <v>#REF!</v>
      </c>
      <c r="Y197" s="1993" t="e">
        <f>#REF!</f>
        <v>#REF!</v>
      </c>
      <c r="Z197" s="2003">
        <f t="shared" si="321"/>
        <v>0</v>
      </c>
      <c r="AA197" s="1989" t="e">
        <f>#REF!/10^7</f>
        <v>#REF!</v>
      </c>
      <c r="AB197" s="2003">
        <f t="shared" si="322"/>
        <v>0</v>
      </c>
      <c r="AC197" s="1989" t="e">
        <f>#REF!/10^7</f>
        <v>#REF!</v>
      </c>
      <c r="AD197" s="2003">
        <f t="shared" si="323"/>
        <v>0</v>
      </c>
      <c r="AE197" s="1989" t="e">
        <f>#REF!/10^7</f>
        <v>#REF!</v>
      </c>
      <c r="AF197" s="1989" t="e">
        <f>#REF!/10^7</f>
        <v>#REF!</v>
      </c>
      <c r="AG197" s="2002" t="e">
        <f t="shared" si="324"/>
        <v>#REF!</v>
      </c>
      <c r="AH197" s="1999" t="e">
        <f t="shared" si="468"/>
        <v>#REF!</v>
      </c>
      <c r="AI197" s="1993" t="e">
        <f>#REF!</f>
        <v>#REF!</v>
      </c>
      <c r="AJ197" s="2003">
        <f t="shared" si="326"/>
        <v>0</v>
      </c>
      <c r="AK197" s="1989" t="e">
        <f>#REF!/10^7</f>
        <v>#REF!</v>
      </c>
      <c r="AL197" s="2003">
        <f t="shared" si="327"/>
        <v>0</v>
      </c>
      <c r="AM197" s="1989" t="e">
        <f>#REF!/10^7</f>
        <v>#REF!</v>
      </c>
      <c r="AN197" s="2003">
        <f t="shared" si="328"/>
        <v>0</v>
      </c>
      <c r="AO197" s="1989" t="e">
        <f>#REF!/10^7</f>
        <v>#REF!</v>
      </c>
      <c r="AP197" s="1989" t="e">
        <f>#REF!/10^7</f>
        <v>#REF!</v>
      </c>
      <c r="AQ197" s="2002" t="e">
        <f t="shared" si="329"/>
        <v>#REF!</v>
      </c>
      <c r="AR197" s="1999" t="e">
        <f t="shared" si="469"/>
        <v>#REF!</v>
      </c>
      <c r="AS197" s="1993" t="e">
        <f>#REF!</f>
        <v>#REF!</v>
      </c>
      <c r="AT197" s="2003">
        <f t="shared" si="331"/>
        <v>0</v>
      </c>
      <c r="AU197" s="1989" t="e">
        <f>#REF!/10^7</f>
        <v>#REF!</v>
      </c>
      <c r="AV197" s="2003">
        <f t="shared" si="332"/>
        <v>0</v>
      </c>
      <c r="AW197" s="1989" t="e">
        <f>#REF!/10^7</f>
        <v>#REF!</v>
      </c>
      <c r="AX197" s="2003">
        <f t="shared" si="333"/>
        <v>0</v>
      </c>
      <c r="AY197" s="1989" t="e">
        <f>#REF!/10^7</f>
        <v>#REF!</v>
      </c>
      <c r="AZ197" s="1989" t="e">
        <f>#REF!/10^7</f>
        <v>#REF!</v>
      </c>
      <c r="BA197" s="2002" t="e">
        <f t="shared" si="334"/>
        <v>#REF!</v>
      </c>
      <c r="BB197" s="1999" t="e">
        <f t="shared" si="470"/>
        <v>#REF!</v>
      </c>
      <c r="BC197" s="1993" t="e">
        <f>#REF!</f>
        <v>#REF!</v>
      </c>
      <c r="BD197" s="2003">
        <f t="shared" si="335"/>
        <v>0</v>
      </c>
      <c r="BE197" s="1989" t="e">
        <f>#REF!/10^7</f>
        <v>#REF!</v>
      </c>
      <c r="BF197" s="2003">
        <f t="shared" si="336"/>
        <v>0</v>
      </c>
      <c r="BG197" s="1989" t="e">
        <f>#REF!/10^7</f>
        <v>#REF!</v>
      </c>
      <c r="BH197" s="2003">
        <f t="shared" si="337"/>
        <v>0</v>
      </c>
      <c r="BI197" s="1989" t="e">
        <f>#REF!/10^7</f>
        <v>#REF!</v>
      </c>
      <c r="BJ197" s="1989" t="e">
        <f>#REF!/10^7</f>
        <v>#REF!</v>
      </c>
      <c r="BK197" s="2002" t="e">
        <f t="shared" si="338"/>
        <v>#REF!</v>
      </c>
      <c r="BL197" s="1999" t="e">
        <f t="shared" si="438"/>
        <v>#REF!</v>
      </c>
      <c r="BM197" s="1993" t="e">
        <f>#REF!</f>
        <v>#REF!</v>
      </c>
      <c r="BN197" s="2003">
        <f t="shared" si="339"/>
        <v>0</v>
      </c>
      <c r="BO197" s="1989" t="e">
        <f>#REF!/10^7</f>
        <v>#REF!</v>
      </c>
      <c r="BP197" s="2003">
        <f t="shared" si="340"/>
        <v>0</v>
      </c>
      <c r="BQ197" s="1989" t="e">
        <f>#REF!/10^7</f>
        <v>#REF!</v>
      </c>
      <c r="BR197" s="2003">
        <f t="shared" si="341"/>
        <v>0</v>
      </c>
      <c r="BS197" s="1989" t="e">
        <f>#REF!/10^7</f>
        <v>#REF!</v>
      </c>
      <c r="BT197" s="1989" t="e">
        <f>#REF!/10^7</f>
        <v>#REF!</v>
      </c>
      <c r="BU197" s="2002" t="e">
        <f t="shared" si="342"/>
        <v>#REF!</v>
      </c>
      <c r="BV197" s="1999" t="e">
        <f t="shared" si="439"/>
        <v>#REF!</v>
      </c>
      <c r="BW197" s="1993" t="e">
        <f>#REF!</f>
        <v>#REF!</v>
      </c>
      <c r="BX197" s="2003">
        <f t="shared" si="343"/>
        <v>0</v>
      </c>
      <c r="BY197" s="1989" t="e">
        <f>#REF!/10^7</f>
        <v>#REF!</v>
      </c>
      <c r="BZ197" s="2003">
        <f t="shared" si="344"/>
        <v>0</v>
      </c>
      <c r="CA197" s="1989" t="e">
        <f>#REF!/10^7</f>
        <v>#REF!</v>
      </c>
      <c r="CB197" s="2003">
        <f t="shared" si="345"/>
        <v>0</v>
      </c>
      <c r="CC197" s="1989" t="e">
        <f>#REF!/10^7</f>
        <v>#REF!</v>
      </c>
      <c r="CD197" s="1989" t="e">
        <f>#REF!/10^7</f>
        <v>#REF!</v>
      </c>
      <c r="CE197" s="2002" t="e">
        <f t="shared" si="346"/>
        <v>#REF!</v>
      </c>
      <c r="CF197" s="1999" t="e">
        <f t="shared" si="440"/>
        <v>#REF!</v>
      </c>
      <c r="CG197" s="1993" t="e">
        <f>#REF!</f>
        <v>#REF!</v>
      </c>
      <c r="CH197" s="2003">
        <f t="shared" si="347"/>
        <v>0</v>
      </c>
      <c r="CI197" s="1989" t="e">
        <f>#REF!/10^7</f>
        <v>#REF!</v>
      </c>
      <c r="CJ197" s="2003">
        <f t="shared" si="348"/>
        <v>0</v>
      </c>
      <c r="CK197" s="1989" t="e">
        <f>#REF!/10^7</f>
        <v>#REF!</v>
      </c>
      <c r="CL197" s="2003">
        <f t="shared" si="349"/>
        <v>0</v>
      </c>
      <c r="CM197" s="1989" t="e">
        <f>#REF!/10^7</f>
        <v>#REF!</v>
      </c>
      <c r="CN197" s="1989" t="e">
        <f>#REF!/10^7</f>
        <v>#REF!</v>
      </c>
      <c r="CO197" s="2002" t="e">
        <f t="shared" si="350"/>
        <v>#REF!</v>
      </c>
      <c r="CP197" s="1999" t="e">
        <f t="shared" si="441"/>
        <v>#REF!</v>
      </c>
      <c r="CQ197" s="1993" t="e">
        <f>#REF!</f>
        <v>#REF!</v>
      </c>
      <c r="CR197" s="2003">
        <f t="shared" si="351"/>
        <v>0</v>
      </c>
      <c r="CS197" s="1989" t="e">
        <f>#REF!/10^7</f>
        <v>#REF!</v>
      </c>
      <c r="CT197" s="2003">
        <f t="shared" si="352"/>
        <v>0</v>
      </c>
      <c r="CU197" s="1989" t="e">
        <f>#REF!/10^7</f>
        <v>#REF!</v>
      </c>
      <c r="CV197" s="2003">
        <f t="shared" si="353"/>
        <v>0</v>
      </c>
      <c r="CW197" s="1989" t="e">
        <f>#REF!/10^7</f>
        <v>#REF!</v>
      </c>
      <c r="CX197" s="1989" t="e">
        <f>#REF!/10^7</f>
        <v>#REF!</v>
      </c>
      <c r="CY197" s="2002" t="e">
        <f t="shared" si="354"/>
        <v>#REF!</v>
      </c>
      <c r="CZ197" s="1999" t="e">
        <f t="shared" si="442"/>
        <v>#REF!</v>
      </c>
      <c r="DA197" s="1993" t="e">
        <f>#REF!</f>
        <v>#REF!</v>
      </c>
      <c r="DB197" s="2003">
        <f t="shared" si="355"/>
        <v>0</v>
      </c>
      <c r="DC197" s="1989" t="e">
        <f>#REF!/10^7</f>
        <v>#REF!</v>
      </c>
      <c r="DD197" s="2003">
        <f t="shared" si="356"/>
        <v>0</v>
      </c>
      <c r="DE197" s="1989" t="e">
        <f>#REF!/10^7</f>
        <v>#REF!</v>
      </c>
      <c r="DF197" s="2003">
        <f t="shared" si="357"/>
        <v>0</v>
      </c>
      <c r="DG197" s="1989" t="e">
        <f>#REF!/10^7</f>
        <v>#REF!</v>
      </c>
      <c r="DH197" s="1989" t="e">
        <f>#REF!/10^7</f>
        <v>#REF!</v>
      </c>
      <c r="DI197" s="2002" t="e">
        <f t="shared" si="358"/>
        <v>#REF!</v>
      </c>
      <c r="DJ197" s="1999" t="e">
        <f t="shared" si="471"/>
        <v>#REF!</v>
      </c>
      <c r="DK197" s="1993" t="e">
        <f>#REF!</f>
        <v>#REF!</v>
      </c>
      <c r="DL197" s="2003">
        <f t="shared" si="359"/>
        <v>0</v>
      </c>
      <c r="DM197" s="1989" t="e">
        <f>#REF!/10^7</f>
        <v>#REF!</v>
      </c>
      <c r="DN197" s="2003">
        <f t="shared" si="360"/>
        <v>0</v>
      </c>
      <c r="DO197" s="1989" t="e">
        <f>#REF!/10^7</f>
        <v>#REF!</v>
      </c>
      <c r="DP197" s="2003">
        <f t="shared" si="361"/>
        <v>0</v>
      </c>
      <c r="DQ197" s="1989" t="e">
        <f>#REF!/10^7</f>
        <v>#REF!</v>
      </c>
      <c r="DR197" s="1989" t="e">
        <f>#REF!/10^7</f>
        <v>#REF!</v>
      </c>
      <c r="DS197" s="2002" t="e">
        <f t="shared" si="362"/>
        <v>#REF!</v>
      </c>
      <c r="DT197" s="2004" t="e">
        <f t="shared" si="472"/>
        <v>#REF!</v>
      </c>
      <c r="DU197" s="1988" t="e">
        <f>#REF!</f>
        <v>#REF!</v>
      </c>
      <c r="DV197" s="2003">
        <f t="shared" si="364"/>
        <v>0</v>
      </c>
      <c r="DW197" s="1989" t="e">
        <f>#REF!/10^7</f>
        <v>#REF!</v>
      </c>
      <c r="DX197" s="2003">
        <f t="shared" si="365"/>
        <v>0</v>
      </c>
      <c r="DY197" s="1989" t="e">
        <f>#REF!/10^7</f>
        <v>#REF!</v>
      </c>
      <c r="DZ197" s="2003">
        <f t="shared" si="366"/>
        <v>0</v>
      </c>
      <c r="EA197" s="1989" t="e">
        <f>#REF!/10^7</f>
        <v>#REF!</v>
      </c>
      <c r="EB197" s="1989" t="e">
        <f>#REF!/10^7</f>
        <v>#REF!</v>
      </c>
      <c r="EC197" s="2002" t="e">
        <f t="shared" si="367"/>
        <v>#REF!</v>
      </c>
      <c r="ED197" s="1998" t="e">
        <f t="shared" si="473"/>
        <v>#REF!</v>
      </c>
      <c r="EE197" s="2005" t="e">
        <f t="shared" si="475"/>
        <v>#REF!</v>
      </c>
      <c r="EF197" s="2003">
        <f t="shared" si="368"/>
        <v>0</v>
      </c>
      <c r="EG197" s="1989" t="e">
        <f t="shared" si="476"/>
        <v>#REF!</v>
      </c>
      <c r="EH197" s="2003">
        <f t="shared" si="369"/>
        <v>0</v>
      </c>
      <c r="EI197" s="1989" t="e">
        <f t="shared" si="477"/>
        <v>#REF!</v>
      </c>
      <c r="EJ197" s="2003">
        <f t="shared" si="370"/>
        <v>0</v>
      </c>
      <c r="EK197" s="1989" t="e">
        <f t="shared" si="478"/>
        <v>#REF!</v>
      </c>
      <c r="EL197" s="1989" t="e">
        <f t="shared" si="478"/>
        <v>#REF!</v>
      </c>
      <c r="EM197" s="2006" t="e">
        <f t="shared" si="371"/>
        <v>#REF!</v>
      </c>
      <c r="EN197" s="1999" t="e">
        <f t="shared" si="479"/>
        <v>#REF!</v>
      </c>
      <c r="EO197" s="1613">
        <v>28.517693999999999</v>
      </c>
      <c r="EP197" s="1613" t="e">
        <f>EA197-#REF!/10^7</f>
        <v>#REF!</v>
      </c>
      <c r="ER197" s="1612" t="e">
        <f t="shared" si="480"/>
        <v>#REF!</v>
      </c>
      <c r="EW197" s="1611" t="e">
        <v>#N/A</v>
      </c>
      <c r="EX197" s="1612" t="e">
        <v>#N/A</v>
      </c>
      <c r="EZ197" s="1650">
        <f t="shared" si="372"/>
        <v>0</v>
      </c>
    </row>
    <row r="198" spans="1:156" ht="21" customHeight="1">
      <c r="A198" s="1652">
        <v>8</v>
      </c>
      <c r="B198" s="1701" t="s">
        <v>1866</v>
      </c>
      <c r="C198" s="1662">
        <v>20</v>
      </c>
      <c r="D198" s="1646">
        <f t="shared" si="474"/>
        <v>100</v>
      </c>
      <c r="E198" s="1646"/>
      <c r="F198" s="1648" t="s">
        <v>1594</v>
      </c>
      <c r="G198" s="1648"/>
      <c r="H198" s="1648">
        <v>20</v>
      </c>
      <c r="I198" s="1648" t="s">
        <v>1717</v>
      </c>
      <c r="J198" s="1649">
        <v>2</v>
      </c>
      <c r="K198" s="1648"/>
      <c r="L198" s="1648"/>
      <c r="M198" s="1648"/>
      <c r="N198" s="1642"/>
      <c r="O198" s="2000" t="e">
        <f>#REF!</f>
        <v>#REF!</v>
      </c>
      <c r="P198" s="2003">
        <f t="shared" si="317"/>
        <v>0</v>
      </c>
      <c r="Q198" s="1989" t="e">
        <f>#REF!/10^7</f>
        <v>#REF!</v>
      </c>
      <c r="R198" s="2003">
        <f t="shared" si="318"/>
        <v>0</v>
      </c>
      <c r="S198" s="1989" t="e">
        <f>#REF!/10^7</f>
        <v>#REF!</v>
      </c>
      <c r="T198" s="2003">
        <f t="shared" si="319"/>
        <v>0</v>
      </c>
      <c r="U198" s="1989" t="e">
        <f>#REF!/10^7</f>
        <v>#REF!</v>
      </c>
      <c r="V198" s="1989" t="e">
        <f>#REF!/10^7</f>
        <v>#REF!</v>
      </c>
      <c r="W198" s="1989">
        <f t="shared" si="320"/>
        <v>0</v>
      </c>
      <c r="X198" s="1999" t="e">
        <f t="shared" si="467"/>
        <v>#REF!</v>
      </c>
      <c r="Y198" s="1993" t="e">
        <f>#REF!</f>
        <v>#REF!</v>
      </c>
      <c r="Z198" s="2003">
        <f t="shared" si="321"/>
        <v>0</v>
      </c>
      <c r="AA198" s="1989" t="e">
        <f>#REF!/10^7</f>
        <v>#REF!</v>
      </c>
      <c r="AB198" s="2003">
        <f t="shared" si="322"/>
        <v>0</v>
      </c>
      <c r="AC198" s="1989" t="e">
        <f>#REF!/10^7</f>
        <v>#REF!</v>
      </c>
      <c r="AD198" s="2003">
        <f t="shared" si="323"/>
        <v>0</v>
      </c>
      <c r="AE198" s="1989" t="e">
        <f>#REF!/10^7</f>
        <v>#REF!</v>
      </c>
      <c r="AF198" s="1989" t="e">
        <f>#REF!/10^7</f>
        <v>#REF!</v>
      </c>
      <c r="AG198" s="2002" t="e">
        <f t="shared" si="324"/>
        <v>#REF!</v>
      </c>
      <c r="AH198" s="1999" t="e">
        <f t="shared" si="468"/>
        <v>#REF!</v>
      </c>
      <c r="AI198" s="1993" t="e">
        <f>#REF!</f>
        <v>#REF!</v>
      </c>
      <c r="AJ198" s="2003">
        <f t="shared" si="326"/>
        <v>0</v>
      </c>
      <c r="AK198" s="1989" t="e">
        <f>#REF!/10^7</f>
        <v>#REF!</v>
      </c>
      <c r="AL198" s="2003">
        <f t="shared" si="327"/>
        <v>0</v>
      </c>
      <c r="AM198" s="1989" t="e">
        <f>#REF!/10^7</f>
        <v>#REF!</v>
      </c>
      <c r="AN198" s="2003">
        <f t="shared" si="328"/>
        <v>0</v>
      </c>
      <c r="AO198" s="1989" t="e">
        <f>#REF!/10^7</f>
        <v>#REF!</v>
      </c>
      <c r="AP198" s="1989" t="e">
        <f>#REF!/10^7</f>
        <v>#REF!</v>
      </c>
      <c r="AQ198" s="2002" t="e">
        <f t="shared" si="329"/>
        <v>#REF!</v>
      </c>
      <c r="AR198" s="1999" t="e">
        <f t="shared" si="469"/>
        <v>#REF!</v>
      </c>
      <c r="AS198" s="1993" t="e">
        <f>#REF!</f>
        <v>#REF!</v>
      </c>
      <c r="AT198" s="2003">
        <f t="shared" si="331"/>
        <v>0</v>
      </c>
      <c r="AU198" s="1989" t="e">
        <f>#REF!/10^7</f>
        <v>#REF!</v>
      </c>
      <c r="AV198" s="2003">
        <f t="shared" si="332"/>
        <v>0</v>
      </c>
      <c r="AW198" s="1989" t="e">
        <f>#REF!/10^7</f>
        <v>#REF!</v>
      </c>
      <c r="AX198" s="2003">
        <f t="shared" si="333"/>
        <v>0</v>
      </c>
      <c r="AY198" s="1989" t="e">
        <f>#REF!/10^7</f>
        <v>#REF!</v>
      </c>
      <c r="AZ198" s="1989" t="e">
        <f>#REF!/10^7</f>
        <v>#REF!</v>
      </c>
      <c r="BA198" s="2002" t="e">
        <f t="shared" si="334"/>
        <v>#REF!</v>
      </c>
      <c r="BB198" s="1999" t="e">
        <f t="shared" si="470"/>
        <v>#REF!</v>
      </c>
      <c r="BC198" s="1993" t="e">
        <f>#REF!</f>
        <v>#REF!</v>
      </c>
      <c r="BD198" s="2003">
        <f t="shared" si="335"/>
        <v>0</v>
      </c>
      <c r="BE198" s="1989" t="e">
        <f>#REF!/10^7</f>
        <v>#REF!</v>
      </c>
      <c r="BF198" s="2003">
        <f t="shared" si="336"/>
        <v>0</v>
      </c>
      <c r="BG198" s="1989" t="e">
        <f>#REF!/10^7</f>
        <v>#REF!</v>
      </c>
      <c r="BH198" s="2003">
        <f t="shared" si="337"/>
        <v>0</v>
      </c>
      <c r="BI198" s="1989" t="e">
        <f>#REF!/10^7</f>
        <v>#REF!</v>
      </c>
      <c r="BJ198" s="1989" t="e">
        <f>#REF!/10^7</f>
        <v>#REF!</v>
      </c>
      <c r="BK198" s="2002" t="e">
        <f t="shared" si="338"/>
        <v>#REF!</v>
      </c>
      <c r="BL198" s="1999" t="e">
        <f t="shared" si="438"/>
        <v>#REF!</v>
      </c>
      <c r="BM198" s="1993" t="e">
        <f>#REF!</f>
        <v>#REF!</v>
      </c>
      <c r="BN198" s="2003">
        <f t="shared" si="339"/>
        <v>0</v>
      </c>
      <c r="BO198" s="1989" t="e">
        <f>#REF!/10^7</f>
        <v>#REF!</v>
      </c>
      <c r="BP198" s="2003">
        <f t="shared" si="340"/>
        <v>0</v>
      </c>
      <c r="BQ198" s="1989" t="e">
        <f>#REF!/10^7</f>
        <v>#REF!</v>
      </c>
      <c r="BR198" s="2003">
        <f t="shared" si="341"/>
        <v>0</v>
      </c>
      <c r="BS198" s="1989" t="e">
        <f>#REF!/10^7</f>
        <v>#REF!</v>
      </c>
      <c r="BT198" s="1989" t="e">
        <f>#REF!/10^7</f>
        <v>#REF!</v>
      </c>
      <c r="BU198" s="2002" t="e">
        <f t="shared" si="342"/>
        <v>#REF!</v>
      </c>
      <c r="BV198" s="1999" t="e">
        <f t="shared" si="439"/>
        <v>#REF!</v>
      </c>
      <c r="BW198" s="1993" t="e">
        <f>#REF!</f>
        <v>#REF!</v>
      </c>
      <c r="BX198" s="2003">
        <f t="shared" si="343"/>
        <v>0</v>
      </c>
      <c r="BY198" s="1989" t="e">
        <f>#REF!/10^7</f>
        <v>#REF!</v>
      </c>
      <c r="BZ198" s="2003">
        <f t="shared" si="344"/>
        <v>0</v>
      </c>
      <c r="CA198" s="1989" t="e">
        <f>#REF!/10^7</f>
        <v>#REF!</v>
      </c>
      <c r="CB198" s="2003">
        <f t="shared" si="345"/>
        <v>0</v>
      </c>
      <c r="CC198" s="1989" t="e">
        <f>#REF!/10^7</f>
        <v>#REF!</v>
      </c>
      <c r="CD198" s="1989" t="e">
        <f>#REF!/10^7</f>
        <v>#REF!</v>
      </c>
      <c r="CE198" s="2002" t="e">
        <f t="shared" si="346"/>
        <v>#REF!</v>
      </c>
      <c r="CF198" s="1999" t="e">
        <f t="shared" si="440"/>
        <v>#REF!</v>
      </c>
      <c r="CG198" s="1993" t="e">
        <f>#REF!</f>
        <v>#REF!</v>
      </c>
      <c r="CH198" s="2003">
        <f t="shared" si="347"/>
        <v>0</v>
      </c>
      <c r="CI198" s="1989" t="e">
        <f>#REF!/10^7</f>
        <v>#REF!</v>
      </c>
      <c r="CJ198" s="2003">
        <f t="shared" si="348"/>
        <v>0</v>
      </c>
      <c r="CK198" s="1989" t="e">
        <f>#REF!/10^7</f>
        <v>#REF!</v>
      </c>
      <c r="CL198" s="2003">
        <f t="shared" si="349"/>
        <v>0</v>
      </c>
      <c r="CM198" s="1989" t="e">
        <f>#REF!/10^7</f>
        <v>#REF!</v>
      </c>
      <c r="CN198" s="1989" t="e">
        <f>#REF!/10^7</f>
        <v>#REF!</v>
      </c>
      <c r="CO198" s="2002" t="e">
        <f t="shared" si="350"/>
        <v>#REF!</v>
      </c>
      <c r="CP198" s="1999" t="e">
        <f t="shared" si="441"/>
        <v>#REF!</v>
      </c>
      <c r="CQ198" s="1993" t="e">
        <f>#REF!</f>
        <v>#REF!</v>
      </c>
      <c r="CR198" s="2003">
        <f t="shared" si="351"/>
        <v>0</v>
      </c>
      <c r="CS198" s="1989" t="e">
        <f>#REF!/10^7</f>
        <v>#REF!</v>
      </c>
      <c r="CT198" s="2003">
        <f t="shared" si="352"/>
        <v>0</v>
      </c>
      <c r="CU198" s="1989" t="e">
        <f>#REF!/10^7</f>
        <v>#REF!</v>
      </c>
      <c r="CV198" s="2003">
        <f t="shared" si="353"/>
        <v>0</v>
      </c>
      <c r="CW198" s="1989" t="e">
        <f>#REF!/10^7</f>
        <v>#REF!</v>
      </c>
      <c r="CX198" s="1989" t="e">
        <f>#REF!/10^7</f>
        <v>#REF!</v>
      </c>
      <c r="CY198" s="2002" t="e">
        <f t="shared" si="354"/>
        <v>#REF!</v>
      </c>
      <c r="CZ198" s="1999" t="e">
        <f t="shared" si="442"/>
        <v>#REF!</v>
      </c>
      <c r="DA198" s="1993" t="e">
        <f>#REF!</f>
        <v>#REF!</v>
      </c>
      <c r="DB198" s="2003">
        <f t="shared" si="355"/>
        <v>0</v>
      </c>
      <c r="DC198" s="1989" t="e">
        <f>#REF!/10^7</f>
        <v>#REF!</v>
      </c>
      <c r="DD198" s="2003">
        <f t="shared" si="356"/>
        <v>0</v>
      </c>
      <c r="DE198" s="1989" t="e">
        <f>#REF!/10^7</f>
        <v>#REF!</v>
      </c>
      <c r="DF198" s="2003">
        <f t="shared" si="357"/>
        <v>0</v>
      </c>
      <c r="DG198" s="1989" t="e">
        <f>#REF!/10^7</f>
        <v>#REF!</v>
      </c>
      <c r="DH198" s="1989" t="e">
        <f>#REF!/10^7</f>
        <v>#REF!</v>
      </c>
      <c r="DI198" s="2002" t="e">
        <f t="shared" si="358"/>
        <v>#REF!</v>
      </c>
      <c r="DJ198" s="1999" t="e">
        <f t="shared" si="471"/>
        <v>#REF!</v>
      </c>
      <c r="DK198" s="1993" t="e">
        <f>#REF!</f>
        <v>#REF!</v>
      </c>
      <c r="DL198" s="2003">
        <f t="shared" si="359"/>
        <v>0</v>
      </c>
      <c r="DM198" s="1989" t="e">
        <f>#REF!/10^7</f>
        <v>#REF!</v>
      </c>
      <c r="DN198" s="2003">
        <f t="shared" si="360"/>
        <v>0</v>
      </c>
      <c r="DO198" s="1989" t="e">
        <f>#REF!/10^7</f>
        <v>#REF!</v>
      </c>
      <c r="DP198" s="2003">
        <f t="shared" si="361"/>
        <v>0</v>
      </c>
      <c r="DQ198" s="1989" t="e">
        <f>#REF!/10^7</f>
        <v>#REF!</v>
      </c>
      <c r="DR198" s="1989" t="e">
        <f>#REF!/10^7</f>
        <v>#REF!</v>
      </c>
      <c r="DS198" s="2002" t="e">
        <f t="shared" si="362"/>
        <v>#REF!</v>
      </c>
      <c r="DT198" s="2004" t="e">
        <f t="shared" si="472"/>
        <v>#REF!</v>
      </c>
      <c r="DU198" s="1988" t="e">
        <f>#REF!</f>
        <v>#REF!</v>
      </c>
      <c r="DV198" s="2003">
        <f t="shared" si="364"/>
        <v>0</v>
      </c>
      <c r="DW198" s="1989" t="e">
        <f>#REF!/10^7</f>
        <v>#REF!</v>
      </c>
      <c r="DX198" s="2003">
        <f t="shared" si="365"/>
        <v>0</v>
      </c>
      <c r="DY198" s="1989" t="e">
        <f>#REF!/10^7</f>
        <v>#REF!</v>
      </c>
      <c r="DZ198" s="2003">
        <f t="shared" si="366"/>
        <v>0</v>
      </c>
      <c r="EA198" s="1989" t="e">
        <f>#REF!/10^7</f>
        <v>#REF!</v>
      </c>
      <c r="EB198" s="1989" t="e">
        <f>#REF!/10^7</f>
        <v>#REF!</v>
      </c>
      <c r="EC198" s="2002" t="e">
        <f t="shared" si="367"/>
        <v>#REF!</v>
      </c>
      <c r="ED198" s="1998" t="e">
        <f t="shared" si="473"/>
        <v>#REF!</v>
      </c>
      <c r="EE198" s="2005" t="e">
        <f t="shared" si="475"/>
        <v>#REF!</v>
      </c>
      <c r="EF198" s="2003">
        <f t="shared" si="368"/>
        <v>0</v>
      </c>
      <c r="EG198" s="1989" t="e">
        <f t="shared" si="476"/>
        <v>#REF!</v>
      </c>
      <c r="EH198" s="2003">
        <f t="shared" si="369"/>
        <v>0</v>
      </c>
      <c r="EI198" s="1989" t="e">
        <f t="shared" si="477"/>
        <v>#REF!</v>
      </c>
      <c r="EJ198" s="2003">
        <f t="shared" si="370"/>
        <v>0</v>
      </c>
      <c r="EK198" s="1989" t="e">
        <f t="shared" si="478"/>
        <v>#REF!</v>
      </c>
      <c r="EL198" s="1989" t="e">
        <f t="shared" si="478"/>
        <v>#REF!</v>
      </c>
      <c r="EM198" s="2006" t="e">
        <f t="shared" si="371"/>
        <v>#REF!</v>
      </c>
      <c r="EN198" s="1999" t="e">
        <f t="shared" si="479"/>
        <v>#REF!</v>
      </c>
      <c r="EO198" s="1613">
        <v>14.263446999999999</v>
      </c>
      <c r="EP198" s="1613" t="e">
        <f>EA198-#REF!/10^7</f>
        <v>#REF!</v>
      </c>
      <c r="ER198" s="1612" t="e">
        <f t="shared" si="480"/>
        <v>#REF!</v>
      </c>
      <c r="EW198" s="1611" t="e">
        <v>#N/A</v>
      </c>
      <c r="EX198" s="1612" t="e">
        <v>#N/A</v>
      </c>
      <c r="EZ198" s="1650">
        <f t="shared" si="372"/>
        <v>0</v>
      </c>
    </row>
    <row r="199" spans="1:156" ht="21" customHeight="1">
      <c r="A199" s="1652">
        <v>9</v>
      </c>
      <c r="B199" s="1701" t="s">
        <v>1867</v>
      </c>
      <c r="C199" s="1662">
        <v>10</v>
      </c>
      <c r="D199" s="1646">
        <f t="shared" si="474"/>
        <v>100</v>
      </c>
      <c r="E199" s="1646"/>
      <c r="F199" s="1648" t="s">
        <v>1594</v>
      </c>
      <c r="G199" s="1648"/>
      <c r="H199" s="1648">
        <v>10</v>
      </c>
      <c r="I199" s="1648" t="s">
        <v>1717</v>
      </c>
      <c r="J199" s="1649">
        <v>2</v>
      </c>
      <c r="K199" s="1648"/>
      <c r="L199" s="1648"/>
      <c r="M199" s="1648"/>
      <c r="N199" s="1642"/>
      <c r="O199" s="2000" t="e">
        <f>#REF!</f>
        <v>#REF!</v>
      </c>
      <c r="P199" s="2003">
        <f t="shared" si="317"/>
        <v>0</v>
      </c>
      <c r="Q199" s="1989" t="e">
        <f>#REF!/10^7</f>
        <v>#REF!</v>
      </c>
      <c r="R199" s="2003">
        <f t="shared" si="318"/>
        <v>0</v>
      </c>
      <c r="S199" s="1989" t="e">
        <f>#REF!/10^7</f>
        <v>#REF!</v>
      </c>
      <c r="T199" s="2003">
        <f t="shared" si="319"/>
        <v>0</v>
      </c>
      <c r="U199" s="1989" t="e">
        <f>#REF!/10^7</f>
        <v>#REF!</v>
      </c>
      <c r="V199" s="1989" t="e">
        <f>#REF!/10^7</f>
        <v>#REF!</v>
      </c>
      <c r="W199" s="1989">
        <f t="shared" si="320"/>
        <v>0</v>
      </c>
      <c r="X199" s="1999" t="e">
        <f t="shared" si="467"/>
        <v>#REF!</v>
      </c>
      <c r="Y199" s="1993" t="e">
        <f>#REF!</f>
        <v>#REF!</v>
      </c>
      <c r="Z199" s="2003">
        <f t="shared" si="321"/>
        <v>0</v>
      </c>
      <c r="AA199" s="1989" t="e">
        <f>#REF!/10^7</f>
        <v>#REF!</v>
      </c>
      <c r="AB199" s="2003">
        <f t="shared" si="322"/>
        <v>0</v>
      </c>
      <c r="AC199" s="1989" t="e">
        <f>#REF!/10^7</f>
        <v>#REF!</v>
      </c>
      <c r="AD199" s="2003">
        <f t="shared" si="323"/>
        <v>0</v>
      </c>
      <c r="AE199" s="1989" t="e">
        <f>#REF!/10^7</f>
        <v>#REF!</v>
      </c>
      <c r="AF199" s="1989" t="e">
        <f>#REF!/10^7</f>
        <v>#REF!</v>
      </c>
      <c r="AG199" s="2002" t="e">
        <f t="shared" si="324"/>
        <v>#REF!</v>
      </c>
      <c r="AH199" s="1999" t="e">
        <f t="shared" si="468"/>
        <v>#REF!</v>
      </c>
      <c r="AI199" s="1993" t="e">
        <f>#REF!</f>
        <v>#REF!</v>
      </c>
      <c r="AJ199" s="2003">
        <f t="shared" si="326"/>
        <v>0</v>
      </c>
      <c r="AK199" s="1989" t="e">
        <f>#REF!/10^7</f>
        <v>#REF!</v>
      </c>
      <c r="AL199" s="2003">
        <f t="shared" si="327"/>
        <v>0</v>
      </c>
      <c r="AM199" s="1989" t="e">
        <f>#REF!/10^7</f>
        <v>#REF!</v>
      </c>
      <c r="AN199" s="2003">
        <f t="shared" si="328"/>
        <v>0</v>
      </c>
      <c r="AO199" s="1989" t="e">
        <f>#REF!/10^7</f>
        <v>#REF!</v>
      </c>
      <c r="AP199" s="1989" t="e">
        <f>#REF!/10^7</f>
        <v>#REF!</v>
      </c>
      <c r="AQ199" s="2002" t="e">
        <f t="shared" si="329"/>
        <v>#REF!</v>
      </c>
      <c r="AR199" s="1999" t="e">
        <f t="shared" si="469"/>
        <v>#REF!</v>
      </c>
      <c r="AS199" s="1993" t="e">
        <f>#REF!</f>
        <v>#REF!</v>
      </c>
      <c r="AT199" s="2003">
        <f t="shared" si="331"/>
        <v>0</v>
      </c>
      <c r="AU199" s="1989" t="e">
        <f>#REF!/10^7</f>
        <v>#REF!</v>
      </c>
      <c r="AV199" s="2003">
        <f t="shared" si="332"/>
        <v>0</v>
      </c>
      <c r="AW199" s="1989" t="e">
        <f>#REF!/10^7</f>
        <v>#REF!</v>
      </c>
      <c r="AX199" s="2003">
        <f t="shared" si="333"/>
        <v>0</v>
      </c>
      <c r="AY199" s="1989" t="e">
        <f>#REF!/10^7</f>
        <v>#REF!</v>
      </c>
      <c r="AZ199" s="1989" t="e">
        <f>#REF!/10^7</f>
        <v>#REF!</v>
      </c>
      <c r="BA199" s="2002" t="e">
        <f t="shared" si="334"/>
        <v>#REF!</v>
      </c>
      <c r="BB199" s="1999" t="e">
        <f t="shared" si="470"/>
        <v>#REF!</v>
      </c>
      <c r="BC199" s="1993" t="e">
        <f>#REF!</f>
        <v>#REF!</v>
      </c>
      <c r="BD199" s="2003">
        <f t="shared" si="335"/>
        <v>0</v>
      </c>
      <c r="BE199" s="1989" t="e">
        <f>#REF!/10^7</f>
        <v>#REF!</v>
      </c>
      <c r="BF199" s="2003">
        <f t="shared" si="336"/>
        <v>0</v>
      </c>
      <c r="BG199" s="1989" t="e">
        <f>#REF!/10^7</f>
        <v>#REF!</v>
      </c>
      <c r="BH199" s="2003">
        <f t="shared" si="337"/>
        <v>0</v>
      </c>
      <c r="BI199" s="1989" t="e">
        <f>#REF!/10^7</f>
        <v>#REF!</v>
      </c>
      <c r="BJ199" s="1989" t="e">
        <f>#REF!/10^7</f>
        <v>#REF!</v>
      </c>
      <c r="BK199" s="2002" t="e">
        <f t="shared" si="338"/>
        <v>#REF!</v>
      </c>
      <c r="BL199" s="1999" t="e">
        <f t="shared" si="438"/>
        <v>#REF!</v>
      </c>
      <c r="BM199" s="1993" t="e">
        <f>#REF!</f>
        <v>#REF!</v>
      </c>
      <c r="BN199" s="2003">
        <f t="shared" si="339"/>
        <v>0</v>
      </c>
      <c r="BO199" s="1989" t="e">
        <f>#REF!/10^7</f>
        <v>#REF!</v>
      </c>
      <c r="BP199" s="2003">
        <f t="shared" si="340"/>
        <v>0</v>
      </c>
      <c r="BQ199" s="1989" t="e">
        <f>#REF!/10^7</f>
        <v>#REF!</v>
      </c>
      <c r="BR199" s="2003">
        <f t="shared" si="341"/>
        <v>0</v>
      </c>
      <c r="BS199" s="1989" t="e">
        <f>#REF!/10^7</f>
        <v>#REF!</v>
      </c>
      <c r="BT199" s="1989" t="e">
        <f>#REF!/10^7</f>
        <v>#REF!</v>
      </c>
      <c r="BU199" s="2002" t="e">
        <f t="shared" si="342"/>
        <v>#REF!</v>
      </c>
      <c r="BV199" s="1999" t="e">
        <f t="shared" si="439"/>
        <v>#REF!</v>
      </c>
      <c r="BW199" s="1993" t="e">
        <f>#REF!</f>
        <v>#REF!</v>
      </c>
      <c r="BX199" s="2003">
        <f t="shared" si="343"/>
        <v>0</v>
      </c>
      <c r="BY199" s="1989" t="e">
        <f>#REF!/10^7</f>
        <v>#REF!</v>
      </c>
      <c r="BZ199" s="2003">
        <f t="shared" si="344"/>
        <v>0</v>
      </c>
      <c r="CA199" s="1989" t="e">
        <f>#REF!/10^7</f>
        <v>#REF!</v>
      </c>
      <c r="CB199" s="2003">
        <f t="shared" si="345"/>
        <v>0</v>
      </c>
      <c r="CC199" s="1989" t="e">
        <f>#REF!/10^7</f>
        <v>#REF!</v>
      </c>
      <c r="CD199" s="1989" t="e">
        <f>#REF!/10^7</f>
        <v>#REF!</v>
      </c>
      <c r="CE199" s="2002" t="e">
        <f t="shared" si="346"/>
        <v>#REF!</v>
      </c>
      <c r="CF199" s="1999" t="e">
        <f t="shared" si="440"/>
        <v>#REF!</v>
      </c>
      <c r="CG199" s="1993" t="e">
        <f>#REF!</f>
        <v>#REF!</v>
      </c>
      <c r="CH199" s="2003">
        <f t="shared" si="347"/>
        <v>0</v>
      </c>
      <c r="CI199" s="1989" t="e">
        <f>#REF!/10^7</f>
        <v>#REF!</v>
      </c>
      <c r="CJ199" s="2003">
        <f t="shared" si="348"/>
        <v>0</v>
      </c>
      <c r="CK199" s="1989" t="e">
        <f>#REF!/10^7</f>
        <v>#REF!</v>
      </c>
      <c r="CL199" s="2003">
        <f t="shared" si="349"/>
        <v>0</v>
      </c>
      <c r="CM199" s="1989" t="e">
        <f>#REF!/10^7</f>
        <v>#REF!</v>
      </c>
      <c r="CN199" s="1989" t="e">
        <f>#REF!/10^7</f>
        <v>#REF!</v>
      </c>
      <c r="CO199" s="2002" t="e">
        <f t="shared" si="350"/>
        <v>#REF!</v>
      </c>
      <c r="CP199" s="1999" t="e">
        <f t="shared" si="441"/>
        <v>#REF!</v>
      </c>
      <c r="CQ199" s="1993" t="e">
        <f>#REF!</f>
        <v>#REF!</v>
      </c>
      <c r="CR199" s="2003">
        <f t="shared" si="351"/>
        <v>0</v>
      </c>
      <c r="CS199" s="1989" t="e">
        <f>#REF!/10^7</f>
        <v>#REF!</v>
      </c>
      <c r="CT199" s="2003">
        <f t="shared" si="352"/>
        <v>0</v>
      </c>
      <c r="CU199" s="1989" t="e">
        <f>#REF!/10^7</f>
        <v>#REF!</v>
      </c>
      <c r="CV199" s="2003">
        <f t="shared" si="353"/>
        <v>0</v>
      </c>
      <c r="CW199" s="1989" t="e">
        <f>#REF!/10^7</f>
        <v>#REF!</v>
      </c>
      <c r="CX199" s="1989" t="e">
        <f>#REF!/10^7</f>
        <v>#REF!</v>
      </c>
      <c r="CY199" s="2002" t="e">
        <f t="shared" si="354"/>
        <v>#REF!</v>
      </c>
      <c r="CZ199" s="1999" t="e">
        <f t="shared" si="442"/>
        <v>#REF!</v>
      </c>
      <c r="DA199" s="1993" t="e">
        <f>#REF!</f>
        <v>#REF!</v>
      </c>
      <c r="DB199" s="2003">
        <f t="shared" si="355"/>
        <v>0</v>
      </c>
      <c r="DC199" s="1989" t="e">
        <f>#REF!/10^7</f>
        <v>#REF!</v>
      </c>
      <c r="DD199" s="2003">
        <f t="shared" si="356"/>
        <v>0</v>
      </c>
      <c r="DE199" s="1989" t="e">
        <f>#REF!/10^7</f>
        <v>#REF!</v>
      </c>
      <c r="DF199" s="2003">
        <f t="shared" si="357"/>
        <v>0</v>
      </c>
      <c r="DG199" s="1989" t="e">
        <f>#REF!/10^7</f>
        <v>#REF!</v>
      </c>
      <c r="DH199" s="1989" t="e">
        <f>#REF!/10^7</f>
        <v>#REF!</v>
      </c>
      <c r="DI199" s="2002" t="e">
        <f t="shared" si="358"/>
        <v>#REF!</v>
      </c>
      <c r="DJ199" s="1999" t="e">
        <f t="shared" si="471"/>
        <v>#REF!</v>
      </c>
      <c r="DK199" s="1993" t="e">
        <f>#REF!</f>
        <v>#REF!</v>
      </c>
      <c r="DL199" s="2003">
        <f t="shared" si="359"/>
        <v>0</v>
      </c>
      <c r="DM199" s="1989" t="e">
        <f>#REF!/10^7</f>
        <v>#REF!</v>
      </c>
      <c r="DN199" s="2003">
        <f t="shared" si="360"/>
        <v>0</v>
      </c>
      <c r="DO199" s="1989" t="e">
        <f>#REF!/10^7</f>
        <v>#REF!</v>
      </c>
      <c r="DP199" s="2003">
        <f t="shared" si="361"/>
        <v>0</v>
      </c>
      <c r="DQ199" s="1989" t="e">
        <f>#REF!/10^7</f>
        <v>#REF!</v>
      </c>
      <c r="DR199" s="1989" t="e">
        <f>#REF!/10^7</f>
        <v>#REF!</v>
      </c>
      <c r="DS199" s="2002" t="e">
        <f t="shared" si="362"/>
        <v>#REF!</v>
      </c>
      <c r="DT199" s="2004" t="e">
        <f t="shared" si="472"/>
        <v>#REF!</v>
      </c>
      <c r="DU199" s="1988" t="e">
        <f>#REF!</f>
        <v>#REF!</v>
      </c>
      <c r="DV199" s="2003">
        <f t="shared" si="364"/>
        <v>0</v>
      </c>
      <c r="DW199" s="1989" t="e">
        <f>#REF!/10^7</f>
        <v>#REF!</v>
      </c>
      <c r="DX199" s="2003">
        <f t="shared" si="365"/>
        <v>0</v>
      </c>
      <c r="DY199" s="1989" t="e">
        <f>#REF!/10^7</f>
        <v>#REF!</v>
      </c>
      <c r="DZ199" s="2003">
        <f t="shared" si="366"/>
        <v>0</v>
      </c>
      <c r="EA199" s="1989" t="e">
        <f>#REF!/10^7</f>
        <v>#REF!</v>
      </c>
      <c r="EB199" s="1989" t="e">
        <f>#REF!/10^7</f>
        <v>#REF!</v>
      </c>
      <c r="EC199" s="2002" t="e">
        <f t="shared" si="367"/>
        <v>#REF!</v>
      </c>
      <c r="ED199" s="1998" t="e">
        <f t="shared" si="473"/>
        <v>#REF!</v>
      </c>
      <c r="EE199" s="2005" t="e">
        <f t="shared" si="475"/>
        <v>#REF!</v>
      </c>
      <c r="EF199" s="2003">
        <f t="shared" si="368"/>
        <v>0</v>
      </c>
      <c r="EG199" s="1989" t="e">
        <f t="shared" si="476"/>
        <v>#REF!</v>
      </c>
      <c r="EH199" s="2003">
        <f t="shared" si="369"/>
        <v>0</v>
      </c>
      <c r="EI199" s="1989" t="e">
        <f t="shared" si="477"/>
        <v>#REF!</v>
      </c>
      <c r="EJ199" s="2003">
        <f t="shared" si="370"/>
        <v>0</v>
      </c>
      <c r="EK199" s="1989" t="e">
        <f t="shared" si="478"/>
        <v>#REF!</v>
      </c>
      <c r="EL199" s="1989" t="e">
        <f t="shared" si="478"/>
        <v>#REF!</v>
      </c>
      <c r="EM199" s="2006" t="e">
        <f t="shared" si="371"/>
        <v>#REF!</v>
      </c>
      <c r="EN199" s="1999" t="e">
        <f t="shared" si="479"/>
        <v>#REF!</v>
      </c>
      <c r="EO199" s="1613">
        <v>3.030548</v>
      </c>
      <c r="EP199" s="1613" t="e">
        <f>EA199-#REF!/10^7</f>
        <v>#REF!</v>
      </c>
      <c r="ER199" s="1612" t="e">
        <f t="shared" si="480"/>
        <v>#REF!</v>
      </c>
      <c r="EW199" s="1611" t="e">
        <v>#N/A</v>
      </c>
      <c r="EX199" s="1612" t="e">
        <v>#N/A</v>
      </c>
      <c r="EZ199" s="1650">
        <f t="shared" si="372"/>
        <v>0</v>
      </c>
    </row>
    <row r="200" spans="1:156" ht="21" customHeight="1">
      <c r="A200" s="1652">
        <v>10</v>
      </c>
      <c r="B200" s="1701" t="s">
        <v>1868</v>
      </c>
      <c r="C200" s="1662">
        <v>12</v>
      </c>
      <c r="D200" s="1646">
        <f t="shared" si="474"/>
        <v>100</v>
      </c>
      <c r="E200" s="1646"/>
      <c r="F200" s="1648" t="s">
        <v>1594</v>
      </c>
      <c r="G200" s="1648"/>
      <c r="H200" s="1648">
        <v>12</v>
      </c>
      <c r="I200" s="1648" t="s">
        <v>1717</v>
      </c>
      <c r="J200" s="1649">
        <v>2</v>
      </c>
      <c r="K200" s="1648"/>
      <c r="L200" s="1648"/>
      <c r="M200" s="1648"/>
      <c r="N200" s="1642"/>
      <c r="O200" s="2000" t="e">
        <f>#REF!</f>
        <v>#REF!</v>
      </c>
      <c r="P200" s="2003">
        <f t="shared" si="317"/>
        <v>0</v>
      </c>
      <c r="Q200" s="1989" t="e">
        <f>#REF!/10^7</f>
        <v>#REF!</v>
      </c>
      <c r="R200" s="2003">
        <f t="shared" si="318"/>
        <v>0</v>
      </c>
      <c r="S200" s="1989" t="e">
        <f>#REF!/10^7</f>
        <v>#REF!</v>
      </c>
      <c r="T200" s="2003">
        <f t="shared" si="319"/>
        <v>0</v>
      </c>
      <c r="U200" s="1989" t="e">
        <f>#REF!/10^7</f>
        <v>#REF!</v>
      </c>
      <c r="V200" s="1989" t="e">
        <f>#REF!/10^7</f>
        <v>#REF!</v>
      </c>
      <c r="W200" s="1989">
        <f t="shared" si="320"/>
        <v>0</v>
      </c>
      <c r="X200" s="1999" t="e">
        <f t="shared" si="467"/>
        <v>#REF!</v>
      </c>
      <c r="Y200" s="1993" t="e">
        <f>#REF!</f>
        <v>#REF!</v>
      </c>
      <c r="Z200" s="2003">
        <f t="shared" si="321"/>
        <v>0</v>
      </c>
      <c r="AA200" s="1989" t="e">
        <f>#REF!/10^7</f>
        <v>#REF!</v>
      </c>
      <c r="AB200" s="2003">
        <f t="shared" si="322"/>
        <v>0</v>
      </c>
      <c r="AC200" s="1989" t="e">
        <f>#REF!/10^7</f>
        <v>#REF!</v>
      </c>
      <c r="AD200" s="2003">
        <f t="shared" si="323"/>
        <v>0</v>
      </c>
      <c r="AE200" s="1989" t="e">
        <f>#REF!/10^7</f>
        <v>#REF!</v>
      </c>
      <c r="AF200" s="1989" t="e">
        <f>#REF!/10^7</f>
        <v>#REF!</v>
      </c>
      <c r="AG200" s="2002" t="e">
        <f t="shared" si="324"/>
        <v>#REF!</v>
      </c>
      <c r="AH200" s="1999" t="e">
        <f t="shared" si="468"/>
        <v>#REF!</v>
      </c>
      <c r="AI200" s="1993" t="e">
        <f>#REF!</f>
        <v>#REF!</v>
      </c>
      <c r="AJ200" s="2003">
        <f t="shared" si="326"/>
        <v>0</v>
      </c>
      <c r="AK200" s="1989" t="e">
        <f>#REF!/10^7</f>
        <v>#REF!</v>
      </c>
      <c r="AL200" s="2003">
        <f t="shared" si="327"/>
        <v>0</v>
      </c>
      <c r="AM200" s="1989" t="e">
        <f>#REF!/10^7</f>
        <v>#REF!</v>
      </c>
      <c r="AN200" s="2003">
        <f t="shared" si="328"/>
        <v>0</v>
      </c>
      <c r="AO200" s="1989" t="e">
        <f>#REF!/10^7</f>
        <v>#REF!</v>
      </c>
      <c r="AP200" s="1989" t="e">
        <f>#REF!/10^7</f>
        <v>#REF!</v>
      </c>
      <c r="AQ200" s="2002" t="e">
        <f t="shared" si="329"/>
        <v>#REF!</v>
      </c>
      <c r="AR200" s="1999" t="e">
        <f t="shared" si="469"/>
        <v>#REF!</v>
      </c>
      <c r="AS200" s="1993" t="e">
        <f>#REF!</f>
        <v>#REF!</v>
      </c>
      <c r="AT200" s="2003">
        <f t="shared" si="331"/>
        <v>0</v>
      </c>
      <c r="AU200" s="1989" t="e">
        <f>#REF!/10^7</f>
        <v>#REF!</v>
      </c>
      <c r="AV200" s="2003">
        <f t="shared" si="332"/>
        <v>0</v>
      </c>
      <c r="AW200" s="1989" t="e">
        <f>#REF!/10^7</f>
        <v>#REF!</v>
      </c>
      <c r="AX200" s="2003">
        <f t="shared" si="333"/>
        <v>0</v>
      </c>
      <c r="AY200" s="1989" t="e">
        <f>#REF!/10^7</f>
        <v>#REF!</v>
      </c>
      <c r="AZ200" s="1989" t="e">
        <f>#REF!/10^7</f>
        <v>#REF!</v>
      </c>
      <c r="BA200" s="2002" t="e">
        <f t="shared" si="334"/>
        <v>#REF!</v>
      </c>
      <c r="BB200" s="1999" t="e">
        <f t="shared" si="470"/>
        <v>#REF!</v>
      </c>
      <c r="BC200" s="1993" t="e">
        <f>#REF!</f>
        <v>#REF!</v>
      </c>
      <c r="BD200" s="2003">
        <f t="shared" si="335"/>
        <v>0</v>
      </c>
      <c r="BE200" s="1989" t="e">
        <f>#REF!/10^7</f>
        <v>#REF!</v>
      </c>
      <c r="BF200" s="2003">
        <f t="shared" si="336"/>
        <v>0</v>
      </c>
      <c r="BG200" s="1989" t="e">
        <f>#REF!/10^7</f>
        <v>#REF!</v>
      </c>
      <c r="BH200" s="2003">
        <f t="shared" si="337"/>
        <v>0</v>
      </c>
      <c r="BI200" s="1989" t="e">
        <f>#REF!/10^7</f>
        <v>#REF!</v>
      </c>
      <c r="BJ200" s="1989" t="e">
        <f>#REF!/10^7</f>
        <v>#REF!</v>
      </c>
      <c r="BK200" s="2002" t="e">
        <f t="shared" si="338"/>
        <v>#REF!</v>
      </c>
      <c r="BL200" s="1999" t="e">
        <f t="shared" si="438"/>
        <v>#REF!</v>
      </c>
      <c r="BM200" s="1993" t="e">
        <f>#REF!</f>
        <v>#REF!</v>
      </c>
      <c r="BN200" s="2003">
        <f t="shared" si="339"/>
        <v>0</v>
      </c>
      <c r="BO200" s="1989" t="e">
        <f>#REF!/10^7</f>
        <v>#REF!</v>
      </c>
      <c r="BP200" s="2003">
        <f t="shared" si="340"/>
        <v>0</v>
      </c>
      <c r="BQ200" s="1989" t="e">
        <f>#REF!/10^7</f>
        <v>#REF!</v>
      </c>
      <c r="BR200" s="2003">
        <f t="shared" si="341"/>
        <v>0</v>
      </c>
      <c r="BS200" s="1989" t="e">
        <f>#REF!/10^7</f>
        <v>#REF!</v>
      </c>
      <c r="BT200" s="1989" t="e">
        <f>#REF!/10^7</f>
        <v>#REF!</v>
      </c>
      <c r="BU200" s="2002" t="e">
        <f t="shared" si="342"/>
        <v>#REF!</v>
      </c>
      <c r="BV200" s="1999" t="e">
        <f t="shared" si="439"/>
        <v>#REF!</v>
      </c>
      <c r="BW200" s="1993" t="e">
        <f>#REF!</f>
        <v>#REF!</v>
      </c>
      <c r="BX200" s="2003">
        <f t="shared" si="343"/>
        <v>0</v>
      </c>
      <c r="BY200" s="1989" t="e">
        <f>#REF!/10^7</f>
        <v>#REF!</v>
      </c>
      <c r="BZ200" s="2003">
        <f t="shared" si="344"/>
        <v>0</v>
      </c>
      <c r="CA200" s="1989" t="e">
        <f>#REF!/10^7</f>
        <v>#REF!</v>
      </c>
      <c r="CB200" s="2003">
        <f t="shared" si="345"/>
        <v>0</v>
      </c>
      <c r="CC200" s="1989" t="e">
        <f>#REF!/10^7</f>
        <v>#REF!</v>
      </c>
      <c r="CD200" s="1989" t="e">
        <f>#REF!/10^7</f>
        <v>#REF!</v>
      </c>
      <c r="CE200" s="2002" t="e">
        <f t="shared" si="346"/>
        <v>#REF!</v>
      </c>
      <c r="CF200" s="1999" t="e">
        <f t="shared" si="440"/>
        <v>#REF!</v>
      </c>
      <c r="CG200" s="1993" t="e">
        <f>#REF!</f>
        <v>#REF!</v>
      </c>
      <c r="CH200" s="2003">
        <f t="shared" si="347"/>
        <v>0</v>
      </c>
      <c r="CI200" s="1989" t="e">
        <f>#REF!/10^7</f>
        <v>#REF!</v>
      </c>
      <c r="CJ200" s="2003">
        <f t="shared" si="348"/>
        <v>0</v>
      </c>
      <c r="CK200" s="1989" t="e">
        <f>#REF!/10^7</f>
        <v>#REF!</v>
      </c>
      <c r="CL200" s="2003">
        <f t="shared" si="349"/>
        <v>0</v>
      </c>
      <c r="CM200" s="1989" t="e">
        <f>#REF!/10^7</f>
        <v>#REF!</v>
      </c>
      <c r="CN200" s="1989" t="e">
        <f>#REF!/10^7</f>
        <v>#REF!</v>
      </c>
      <c r="CO200" s="2002" t="e">
        <f t="shared" si="350"/>
        <v>#REF!</v>
      </c>
      <c r="CP200" s="1999" t="e">
        <f t="shared" si="441"/>
        <v>#REF!</v>
      </c>
      <c r="CQ200" s="1993" t="e">
        <f>#REF!</f>
        <v>#REF!</v>
      </c>
      <c r="CR200" s="2003">
        <f t="shared" si="351"/>
        <v>0</v>
      </c>
      <c r="CS200" s="1989" t="e">
        <f>#REF!/10^7</f>
        <v>#REF!</v>
      </c>
      <c r="CT200" s="2003">
        <f t="shared" si="352"/>
        <v>0</v>
      </c>
      <c r="CU200" s="1989" t="e">
        <f>#REF!/10^7</f>
        <v>#REF!</v>
      </c>
      <c r="CV200" s="2003">
        <f t="shared" si="353"/>
        <v>0</v>
      </c>
      <c r="CW200" s="1989" t="e">
        <f>#REF!/10^7</f>
        <v>#REF!</v>
      </c>
      <c r="CX200" s="1989" t="e">
        <f>#REF!/10^7</f>
        <v>#REF!</v>
      </c>
      <c r="CY200" s="2002" t="e">
        <f t="shared" si="354"/>
        <v>#REF!</v>
      </c>
      <c r="CZ200" s="1999" t="e">
        <f t="shared" si="442"/>
        <v>#REF!</v>
      </c>
      <c r="DA200" s="1993" t="e">
        <f>#REF!</f>
        <v>#REF!</v>
      </c>
      <c r="DB200" s="2003">
        <f t="shared" si="355"/>
        <v>0</v>
      </c>
      <c r="DC200" s="1989" t="e">
        <f>#REF!/10^7</f>
        <v>#REF!</v>
      </c>
      <c r="DD200" s="2003">
        <f t="shared" si="356"/>
        <v>0</v>
      </c>
      <c r="DE200" s="1989" t="e">
        <f>#REF!/10^7</f>
        <v>#REF!</v>
      </c>
      <c r="DF200" s="2003">
        <f t="shared" si="357"/>
        <v>0</v>
      </c>
      <c r="DG200" s="1989" t="e">
        <f>#REF!/10^7</f>
        <v>#REF!</v>
      </c>
      <c r="DH200" s="1989" t="e">
        <f>#REF!/10^7</f>
        <v>#REF!</v>
      </c>
      <c r="DI200" s="2002" t="e">
        <f t="shared" si="358"/>
        <v>#REF!</v>
      </c>
      <c r="DJ200" s="1999" t="e">
        <f t="shared" si="471"/>
        <v>#REF!</v>
      </c>
      <c r="DK200" s="1993" t="e">
        <f>#REF!</f>
        <v>#REF!</v>
      </c>
      <c r="DL200" s="2003">
        <f t="shared" si="359"/>
        <v>0</v>
      </c>
      <c r="DM200" s="1989" t="e">
        <f>#REF!/10^7</f>
        <v>#REF!</v>
      </c>
      <c r="DN200" s="2003">
        <f t="shared" si="360"/>
        <v>0</v>
      </c>
      <c r="DO200" s="1989" t="e">
        <f>#REF!/10^7</f>
        <v>#REF!</v>
      </c>
      <c r="DP200" s="2003">
        <f t="shared" si="361"/>
        <v>0</v>
      </c>
      <c r="DQ200" s="1989" t="e">
        <f>#REF!/10^7</f>
        <v>#REF!</v>
      </c>
      <c r="DR200" s="1989" t="e">
        <f>#REF!/10^7</f>
        <v>#REF!</v>
      </c>
      <c r="DS200" s="2002" t="e">
        <f t="shared" si="362"/>
        <v>#REF!</v>
      </c>
      <c r="DT200" s="2004" t="e">
        <f t="shared" si="472"/>
        <v>#REF!</v>
      </c>
      <c r="DU200" s="1988" t="e">
        <f>#REF!</f>
        <v>#REF!</v>
      </c>
      <c r="DV200" s="2003">
        <f t="shared" si="364"/>
        <v>0</v>
      </c>
      <c r="DW200" s="1989" t="e">
        <f>#REF!/10^7</f>
        <v>#REF!</v>
      </c>
      <c r="DX200" s="2003">
        <f t="shared" si="365"/>
        <v>0</v>
      </c>
      <c r="DY200" s="1989" t="e">
        <f>#REF!/10^7</f>
        <v>#REF!</v>
      </c>
      <c r="DZ200" s="2003">
        <f t="shared" si="366"/>
        <v>0</v>
      </c>
      <c r="EA200" s="1989" t="e">
        <f>#REF!/10^7</f>
        <v>#REF!</v>
      </c>
      <c r="EB200" s="1989" t="e">
        <f>#REF!/10^7</f>
        <v>#REF!</v>
      </c>
      <c r="EC200" s="2002" t="e">
        <f t="shared" si="367"/>
        <v>#REF!</v>
      </c>
      <c r="ED200" s="1998" t="e">
        <f t="shared" si="473"/>
        <v>#REF!</v>
      </c>
      <c r="EE200" s="2005" t="e">
        <f t="shared" si="475"/>
        <v>#REF!</v>
      </c>
      <c r="EF200" s="2003">
        <f t="shared" si="368"/>
        <v>0</v>
      </c>
      <c r="EG200" s="1989" t="e">
        <f t="shared" si="476"/>
        <v>#REF!</v>
      </c>
      <c r="EH200" s="2003">
        <f t="shared" si="369"/>
        <v>0</v>
      </c>
      <c r="EI200" s="1989" t="e">
        <f t="shared" si="477"/>
        <v>#REF!</v>
      </c>
      <c r="EJ200" s="2003">
        <f t="shared" si="370"/>
        <v>0</v>
      </c>
      <c r="EK200" s="1989" t="e">
        <f t="shared" si="478"/>
        <v>#REF!</v>
      </c>
      <c r="EL200" s="1989" t="e">
        <f t="shared" si="478"/>
        <v>#REF!</v>
      </c>
      <c r="EM200" s="2006" t="e">
        <f t="shared" si="371"/>
        <v>#REF!</v>
      </c>
      <c r="EN200" s="1999" t="e">
        <f t="shared" si="479"/>
        <v>#REF!</v>
      </c>
      <c r="EO200" s="1613">
        <v>4.4371539999999996</v>
      </c>
      <c r="EP200" s="1613" t="e">
        <f>EA200-#REF!/10^7</f>
        <v>#REF!</v>
      </c>
      <c r="ER200" s="1612" t="e">
        <f t="shared" si="480"/>
        <v>#REF!</v>
      </c>
      <c r="EW200" s="1611" t="e">
        <v>#N/A</v>
      </c>
      <c r="EX200" s="1612" t="e">
        <v>#N/A</v>
      </c>
      <c r="EZ200" s="1650">
        <f t="shared" si="372"/>
        <v>0</v>
      </c>
    </row>
    <row r="201" spans="1:156" ht="21" customHeight="1">
      <c r="A201" s="1652">
        <v>11</v>
      </c>
      <c r="B201" s="1701" t="s">
        <v>1869</v>
      </c>
      <c r="C201" s="1662">
        <v>10</v>
      </c>
      <c r="D201" s="1646">
        <f t="shared" si="474"/>
        <v>100</v>
      </c>
      <c r="E201" s="1646"/>
      <c r="F201" s="1648" t="s">
        <v>1594</v>
      </c>
      <c r="G201" s="1648"/>
      <c r="H201" s="1648">
        <v>10</v>
      </c>
      <c r="I201" s="1648" t="s">
        <v>1717</v>
      </c>
      <c r="J201" s="1649">
        <v>2</v>
      </c>
      <c r="K201" s="1648"/>
      <c r="L201" s="1648"/>
      <c r="M201" s="1648"/>
      <c r="N201" s="1642"/>
      <c r="O201" s="2000" t="e">
        <f>#REF!</f>
        <v>#REF!</v>
      </c>
      <c r="P201" s="2003">
        <f t="shared" si="317"/>
        <v>0</v>
      </c>
      <c r="Q201" s="1989" t="e">
        <f>#REF!/10^7</f>
        <v>#REF!</v>
      </c>
      <c r="R201" s="2003">
        <f t="shared" si="318"/>
        <v>0</v>
      </c>
      <c r="S201" s="1989" t="e">
        <f>#REF!/10^7</f>
        <v>#REF!</v>
      </c>
      <c r="T201" s="2003">
        <f t="shared" si="319"/>
        <v>0</v>
      </c>
      <c r="U201" s="1989" t="e">
        <f>#REF!/10^7</f>
        <v>#REF!</v>
      </c>
      <c r="V201" s="1989" t="e">
        <f>#REF!/10^7</f>
        <v>#REF!</v>
      </c>
      <c r="W201" s="1989">
        <f t="shared" si="320"/>
        <v>0</v>
      </c>
      <c r="X201" s="1999" t="e">
        <f t="shared" si="467"/>
        <v>#REF!</v>
      </c>
      <c r="Y201" s="1993" t="e">
        <f>#REF!</f>
        <v>#REF!</v>
      </c>
      <c r="Z201" s="2003">
        <f t="shared" si="321"/>
        <v>0</v>
      </c>
      <c r="AA201" s="1989" t="e">
        <f>#REF!/10^7</f>
        <v>#REF!</v>
      </c>
      <c r="AB201" s="2003">
        <f t="shared" si="322"/>
        <v>0</v>
      </c>
      <c r="AC201" s="1989" t="e">
        <f>#REF!/10^7</f>
        <v>#REF!</v>
      </c>
      <c r="AD201" s="2003">
        <f t="shared" si="323"/>
        <v>0</v>
      </c>
      <c r="AE201" s="1989" t="e">
        <f>#REF!/10^7</f>
        <v>#REF!</v>
      </c>
      <c r="AF201" s="1989" t="e">
        <f>#REF!/10^7</f>
        <v>#REF!</v>
      </c>
      <c r="AG201" s="2002" t="e">
        <f t="shared" si="324"/>
        <v>#REF!</v>
      </c>
      <c r="AH201" s="1999" t="e">
        <f t="shared" si="468"/>
        <v>#REF!</v>
      </c>
      <c r="AI201" s="1993" t="e">
        <f>#REF!</f>
        <v>#REF!</v>
      </c>
      <c r="AJ201" s="2003">
        <f t="shared" si="326"/>
        <v>0</v>
      </c>
      <c r="AK201" s="1989" t="e">
        <f>#REF!/10^7</f>
        <v>#REF!</v>
      </c>
      <c r="AL201" s="2003">
        <f t="shared" si="327"/>
        <v>0</v>
      </c>
      <c r="AM201" s="1989" t="e">
        <f>#REF!/10^7</f>
        <v>#REF!</v>
      </c>
      <c r="AN201" s="2003">
        <f t="shared" si="328"/>
        <v>0</v>
      </c>
      <c r="AO201" s="1989" t="e">
        <f>#REF!/10^7</f>
        <v>#REF!</v>
      </c>
      <c r="AP201" s="1989" t="e">
        <f>#REF!/10^7</f>
        <v>#REF!</v>
      </c>
      <c r="AQ201" s="2002" t="e">
        <f t="shared" si="329"/>
        <v>#REF!</v>
      </c>
      <c r="AR201" s="1999" t="e">
        <f t="shared" si="469"/>
        <v>#REF!</v>
      </c>
      <c r="AS201" s="1993" t="e">
        <f>#REF!</f>
        <v>#REF!</v>
      </c>
      <c r="AT201" s="2003">
        <f t="shared" si="331"/>
        <v>0</v>
      </c>
      <c r="AU201" s="1989" t="e">
        <f>#REF!/10^7</f>
        <v>#REF!</v>
      </c>
      <c r="AV201" s="2003">
        <f t="shared" si="332"/>
        <v>0</v>
      </c>
      <c r="AW201" s="1989" t="e">
        <f>#REF!/10^7</f>
        <v>#REF!</v>
      </c>
      <c r="AX201" s="2003">
        <f t="shared" si="333"/>
        <v>0</v>
      </c>
      <c r="AY201" s="1989" t="e">
        <f>#REF!/10^7</f>
        <v>#REF!</v>
      </c>
      <c r="AZ201" s="1989" t="e">
        <f>#REF!/10^7</f>
        <v>#REF!</v>
      </c>
      <c r="BA201" s="2002" t="e">
        <f t="shared" si="334"/>
        <v>#REF!</v>
      </c>
      <c r="BB201" s="1999" t="e">
        <f t="shared" si="470"/>
        <v>#REF!</v>
      </c>
      <c r="BC201" s="1993" t="e">
        <f>#REF!</f>
        <v>#REF!</v>
      </c>
      <c r="BD201" s="2003">
        <f t="shared" si="335"/>
        <v>0</v>
      </c>
      <c r="BE201" s="1989" t="e">
        <f>#REF!/10^7</f>
        <v>#REF!</v>
      </c>
      <c r="BF201" s="2003">
        <f t="shared" si="336"/>
        <v>0</v>
      </c>
      <c r="BG201" s="1989" t="e">
        <f>#REF!/10^7</f>
        <v>#REF!</v>
      </c>
      <c r="BH201" s="2003">
        <f t="shared" si="337"/>
        <v>0</v>
      </c>
      <c r="BI201" s="1989" t="e">
        <f>#REF!/10^7</f>
        <v>#REF!</v>
      </c>
      <c r="BJ201" s="1989" t="e">
        <f>#REF!/10^7</f>
        <v>#REF!</v>
      </c>
      <c r="BK201" s="2002" t="e">
        <f t="shared" si="338"/>
        <v>#REF!</v>
      </c>
      <c r="BL201" s="1999" t="e">
        <f t="shared" si="438"/>
        <v>#REF!</v>
      </c>
      <c r="BM201" s="1993" t="e">
        <f>#REF!</f>
        <v>#REF!</v>
      </c>
      <c r="BN201" s="2003">
        <f t="shared" si="339"/>
        <v>0</v>
      </c>
      <c r="BO201" s="1989" t="e">
        <f>#REF!/10^7</f>
        <v>#REF!</v>
      </c>
      <c r="BP201" s="2003">
        <f t="shared" si="340"/>
        <v>0</v>
      </c>
      <c r="BQ201" s="1989" t="e">
        <f>#REF!/10^7</f>
        <v>#REF!</v>
      </c>
      <c r="BR201" s="2003">
        <f t="shared" si="341"/>
        <v>0</v>
      </c>
      <c r="BS201" s="1989" t="e">
        <f>#REF!/10^7</f>
        <v>#REF!</v>
      </c>
      <c r="BT201" s="1989" t="e">
        <f>#REF!/10^7</f>
        <v>#REF!</v>
      </c>
      <c r="BU201" s="2002" t="e">
        <f t="shared" si="342"/>
        <v>#REF!</v>
      </c>
      <c r="BV201" s="1999" t="e">
        <f t="shared" si="439"/>
        <v>#REF!</v>
      </c>
      <c r="BW201" s="1993" t="e">
        <f>#REF!</f>
        <v>#REF!</v>
      </c>
      <c r="BX201" s="2003">
        <f t="shared" si="343"/>
        <v>0</v>
      </c>
      <c r="BY201" s="1989" t="e">
        <f>#REF!/10^7</f>
        <v>#REF!</v>
      </c>
      <c r="BZ201" s="2003">
        <f t="shared" si="344"/>
        <v>0</v>
      </c>
      <c r="CA201" s="1989" t="e">
        <f>#REF!/10^7</f>
        <v>#REF!</v>
      </c>
      <c r="CB201" s="2003">
        <f t="shared" si="345"/>
        <v>0</v>
      </c>
      <c r="CC201" s="1989" t="e">
        <f>#REF!/10^7</f>
        <v>#REF!</v>
      </c>
      <c r="CD201" s="1989" t="e">
        <f>#REF!/10^7</f>
        <v>#REF!</v>
      </c>
      <c r="CE201" s="2002" t="e">
        <f t="shared" si="346"/>
        <v>#REF!</v>
      </c>
      <c r="CF201" s="1999" t="e">
        <f t="shared" si="440"/>
        <v>#REF!</v>
      </c>
      <c r="CG201" s="1993" t="e">
        <f>#REF!</f>
        <v>#REF!</v>
      </c>
      <c r="CH201" s="2003">
        <f t="shared" si="347"/>
        <v>0</v>
      </c>
      <c r="CI201" s="1989" t="e">
        <f>#REF!/10^7</f>
        <v>#REF!</v>
      </c>
      <c r="CJ201" s="2003">
        <f t="shared" si="348"/>
        <v>0</v>
      </c>
      <c r="CK201" s="1989" t="e">
        <f>#REF!/10^7</f>
        <v>#REF!</v>
      </c>
      <c r="CL201" s="2003">
        <f t="shared" si="349"/>
        <v>0</v>
      </c>
      <c r="CM201" s="1989" t="e">
        <f>#REF!/10^7</f>
        <v>#REF!</v>
      </c>
      <c r="CN201" s="1989" t="e">
        <f>#REF!/10^7</f>
        <v>#REF!</v>
      </c>
      <c r="CO201" s="2002" t="e">
        <f t="shared" si="350"/>
        <v>#REF!</v>
      </c>
      <c r="CP201" s="1999" t="e">
        <f t="shared" si="441"/>
        <v>#REF!</v>
      </c>
      <c r="CQ201" s="1993" t="e">
        <f>#REF!</f>
        <v>#REF!</v>
      </c>
      <c r="CR201" s="2003">
        <f t="shared" si="351"/>
        <v>0</v>
      </c>
      <c r="CS201" s="1989" t="e">
        <f>#REF!/10^7</f>
        <v>#REF!</v>
      </c>
      <c r="CT201" s="2003">
        <f t="shared" si="352"/>
        <v>0</v>
      </c>
      <c r="CU201" s="1989" t="e">
        <f>#REF!/10^7</f>
        <v>#REF!</v>
      </c>
      <c r="CV201" s="2003">
        <f t="shared" si="353"/>
        <v>0</v>
      </c>
      <c r="CW201" s="1989" t="e">
        <f>#REF!/10^7</f>
        <v>#REF!</v>
      </c>
      <c r="CX201" s="1989" t="e">
        <f>#REF!/10^7</f>
        <v>#REF!</v>
      </c>
      <c r="CY201" s="2002" t="e">
        <f t="shared" si="354"/>
        <v>#REF!</v>
      </c>
      <c r="CZ201" s="1999" t="e">
        <f t="shared" si="442"/>
        <v>#REF!</v>
      </c>
      <c r="DA201" s="1993" t="e">
        <f>#REF!</f>
        <v>#REF!</v>
      </c>
      <c r="DB201" s="2003">
        <f t="shared" si="355"/>
        <v>0</v>
      </c>
      <c r="DC201" s="1989" t="e">
        <f>#REF!/10^7</f>
        <v>#REF!</v>
      </c>
      <c r="DD201" s="2003">
        <f t="shared" si="356"/>
        <v>0</v>
      </c>
      <c r="DE201" s="1989" t="e">
        <f>#REF!/10^7</f>
        <v>#REF!</v>
      </c>
      <c r="DF201" s="2003">
        <f t="shared" si="357"/>
        <v>0</v>
      </c>
      <c r="DG201" s="1989" t="e">
        <f>#REF!/10^7</f>
        <v>#REF!</v>
      </c>
      <c r="DH201" s="1989" t="e">
        <f>#REF!/10^7</f>
        <v>#REF!</v>
      </c>
      <c r="DI201" s="2002" t="e">
        <f t="shared" si="358"/>
        <v>#REF!</v>
      </c>
      <c r="DJ201" s="1999" t="e">
        <f t="shared" si="471"/>
        <v>#REF!</v>
      </c>
      <c r="DK201" s="1993" t="e">
        <f>#REF!</f>
        <v>#REF!</v>
      </c>
      <c r="DL201" s="2003">
        <f t="shared" si="359"/>
        <v>0</v>
      </c>
      <c r="DM201" s="1989" t="e">
        <f>#REF!/10^7</f>
        <v>#REF!</v>
      </c>
      <c r="DN201" s="2003">
        <f t="shared" si="360"/>
        <v>0</v>
      </c>
      <c r="DO201" s="1989" t="e">
        <f>#REF!/10^7</f>
        <v>#REF!</v>
      </c>
      <c r="DP201" s="2003">
        <f t="shared" si="361"/>
        <v>0</v>
      </c>
      <c r="DQ201" s="1989" t="e">
        <f>#REF!/10^7</f>
        <v>#REF!</v>
      </c>
      <c r="DR201" s="1989" t="e">
        <f>#REF!/10^7</f>
        <v>#REF!</v>
      </c>
      <c r="DS201" s="2002" t="e">
        <f t="shared" si="362"/>
        <v>#REF!</v>
      </c>
      <c r="DT201" s="2004" t="e">
        <f t="shared" si="472"/>
        <v>#REF!</v>
      </c>
      <c r="DU201" s="1988" t="e">
        <f>#REF!</f>
        <v>#REF!</v>
      </c>
      <c r="DV201" s="2003">
        <f t="shared" si="364"/>
        <v>0</v>
      </c>
      <c r="DW201" s="1989" t="e">
        <f>#REF!/10^7</f>
        <v>#REF!</v>
      </c>
      <c r="DX201" s="2003">
        <f t="shared" si="365"/>
        <v>0</v>
      </c>
      <c r="DY201" s="1989" t="e">
        <f>#REF!/10^7</f>
        <v>#REF!</v>
      </c>
      <c r="DZ201" s="2003">
        <f t="shared" si="366"/>
        <v>0</v>
      </c>
      <c r="EA201" s="1989" t="e">
        <f>#REF!/10^7</f>
        <v>#REF!</v>
      </c>
      <c r="EB201" s="1989" t="e">
        <f>#REF!/10^7</f>
        <v>#REF!</v>
      </c>
      <c r="EC201" s="2002" t="e">
        <f t="shared" si="367"/>
        <v>#REF!</v>
      </c>
      <c r="ED201" s="1998" t="e">
        <f t="shared" si="473"/>
        <v>#REF!</v>
      </c>
      <c r="EE201" s="2005" t="e">
        <f t="shared" si="475"/>
        <v>#REF!</v>
      </c>
      <c r="EF201" s="2003">
        <f t="shared" si="368"/>
        <v>0</v>
      </c>
      <c r="EG201" s="1989" t="e">
        <f t="shared" si="476"/>
        <v>#REF!</v>
      </c>
      <c r="EH201" s="2003">
        <f t="shared" si="369"/>
        <v>0</v>
      </c>
      <c r="EI201" s="1989" t="e">
        <f t="shared" si="477"/>
        <v>#REF!</v>
      </c>
      <c r="EJ201" s="2003">
        <f t="shared" si="370"/>
        <v>0</v>
      </c>
      <c r="EK201" s="1989" t="e">
        <f t="shared" si="478"/>
        <v>#REF!</v>
      </c>
      <c r="EL201" s="1989" t="e">
        <f t="shared" si="478"/>
        <v>#REF!</v>
      </c>
      <c r="EM201" s="2006" t="e">
        <f t="shared" si="371"/>
        <v>#REF!</v>
      </c>
      <c r="EN201" s="1999" t="e">
        <f t="shared" si="479"/>
        <v>#REF!</v>
      </c>
      <c r="EO201" s="1613">
        <v>30.846185999999999</v>
      </c>
      <c r="EP201" s="1613" t="e">
        <f>EA201-#REF!/10^7</f>
        <v>#REF!</v>
      </c>
      <c r="ER201" s="1612" t="e">
        <f t="shared" si="480"/>
        <v>#REF!</v>
      </c>
      <c r="EW201" s="1611" t="e">
        <v>#N/A</v>
      </c>
      <c r="EX201" s="1612" t="e">
        <v>#N/A</v>
      </c>
      <c r="EZ201" s="1650">
        <f t="shared" si="372"/>
        <v>0</v>
      </c>
    </row>
    <row r="202" spans="1:156" ht="21" customHeight="1">
      <c r="A202" s="1652">
        <v>12</v>
      </c>
      <c r="B202" s="1701" t="s">
        <v>1870</v>
      </c>
      <c r="C202" s="1662">
        <v>20</v>
      </c>
      <c r="D202" s="1646">
        <f t="shared" si="474"/>
        <v>100</v>
      </c>
      <c r="E202" s="1646"/>
      <c r="F202" s="1648" t="s">
        <v>1594</v>
      </c>
      <c r="G202" s="1648"/>
      <c r="H202" s="1648">
        <v>20</v>
      </c>
      <c r="I202" s="1648" t="s">
        <v>1717</v>
      </c>
      <c r="J202" s="1649">
        <v>2</v>
      </c>
      <c r="K202" s="1648"/>
      <c r="L202" s="1648"/>
      <c r="M202" s="1648"/>
      <c r="N202" s="1642"/>
      <c r="O202" s="2000" t="e">
        <f>#REF!</f>
        <v>#REF!</v>
      </c>
      <c r="P202" s="2003">
        <f t="shared" si="317"/>
        <v>0</v>
      </c>
      <c r="Q202" s="1989" t="e">
        <f>#REF!/10^7</f>
        <v>#REF!</v>
      </c>
      <c r="R202" s="2003">
        <f t="shared" si="318"/>
        <v>0</v>
      </c>
      <c r="S202" s="1989" t="e">
        <f>#REF!/10^7</f>
        <v>#REF!</v>
      </c>
      <c r="T202" s="2003">
        <f t="shared" si="319"/>
        <v>0</v>
      </c>
      <c r="U202" s="1989" t="e">
        <f>#REF!/10^7</f>
        <v>#REF!</v>
      </c>
      <c r="V202" s="1989" t="e">
        <f>#REF!/10^7</f>
        <v>#REF!</v>
      </c>
      <c r="W202" s="1989">
        <f t="shared" si="320"/>
        <v>0</v>
      </c>
      <c r="X202" s="1999" t="e">
        <f t="shared" si="467"/>
        <v>#REF!</v>
      </c>
      <c r="Y202" s="1993" t="e">
        <f>#REF!</f>
        <v>#REF!</v>
      </c>
      <c r="Z202" s="2003">
        <f t="shared" si="321"/>
        <v>0</v>
      </c>
      <c r="AA202" s="1989" t="e">
        <f>#REF!/10^7</f>
        <v>#REF!</v>
      </c>
      <c r="AB202" s="2003">
        <f t="shared" si="322"/>
        <v>0</v>
      </c>
      <c r="AC202" s="1989" t="e">
        <f>#REF!/10^7</f>
        <v>#REF!</v>
      </c>
      <c r="AD202" s="2003">
        <f t="shared" si="323"/>
        <v>0</v>
      </c>
      <c r="AE202" s="1989" t="e">
        <f>#REF!/10^7</f>
        <v>#REF!</v>
      </c>
      <c r="AF202" s="1989" t="e">
        <f>#REF!/10^7</f>
        <v>#REF!</v>
      </c>
      <c r="AG202" s="2002" t="e">
        <f t="shared" si="324"/>
        <v>#REF!</v>
      </c>
      <c r="AH202" s="1999" t="e">
        <f t="shared" si="468"/>
        <v>#REF!</v>
      </c>
      <c r="AI202" s="1993" t="e">
        <f>#REF!</f>
        <v>#REF!</v>
      </c>
      <c r="AJ202" s="2003">
        <f t="shared" si="326"/>
        <v>0</v>
      </c>
      <c r="AK202" s="1989" t="e">
        <f>#REF!/10^7</f>
        <v>#REF!</v>
      </c>
      <c r="AL202" s="2003">
        <f t="shared" si="327"/>
        <v>0</v>
      </c>
      <c r="AM202" s="1989" t="e">
        <f>#REF!/10^7</f>
        <v>#REF!</v>
      </c>
      <c r="AN202" s="2003">
        <f t="shared" si="328"/>
        <v>0</v>
      </c>
      <c r="AO202" s="1989" t="e">
        <f>#REF!/10^7</f>
        <v>#REF!</v>
      </c>
      <c r="AP202" s="1989" t="e">
        <f>#REF!/10^7</f>
        <v>#REF!</v>
      </c>
      <c r="AQ202" s="2002" t="e">
        <f t="shared" si="329"/>
        <v>#REF!</v>
      </c>
      <c r="AR202" s="1999" t="e">
        <f t="shared" si="469"/>
        <v>#REF!</v>
      </c>
      <c r="AS202" s="1993" t="e">
        <f>#REF!</f>
        <v>#REF!</v>
      </c>
      <c r="AT202" s="2003">
        <f t="shared" si="331"/>
        <v>0</v>
      </c>
      <c r="AU202" s="1989" t="e">
        <f>#REF!/10^7</f>
        <v>#REF!</v>
      </c>
      <c r="AV202" s="2003">
        <f t="shared" si="332"/>
        <v>0</v>
      </c>
      <c r="AW202" s="1989" t="e">
        <f>#REF!/10^7</f>
        <v>#REF!</v>
      </c>
      <c r="AX202" s="2003">
        <f t="shared" si="333"/>
        <v>0</v>
      </c>
      <c r="AY202" s="1989" t="e">
        <f>#REF!/10^7</f>
        <v>#REF!</v>
      </c>
      <c r="AZ202" s="1989" t="e">
        <f>#REF!/10^7</f>
        <v>#REF!</v>
      </c>
      <c r="BA202" s="2002" t="e">
        <f t="shared" si="334"/>
        <v>#REF!</v>
      </c>
      <c r="BB202" s="1999" t="e">
        <f t="shared" si="470"/>
        <v>#REF!</v>
      </c>
      <c r="BC202" s="1993" t="e">
        <f>#REF!</f>
        <v>#REF!</v>
      </c>
      <c r="BD202" s="2003">
        <f t="shared" si="335"/>
        <v>0</v>
      </c>
      <c r="BE202" s="1989" t="e">
        <f>#REF!/10^7</f>
        <v>#REF!</v>
      </c>
      <c r="BF202" s="2003">
        <f t="shared" si="336"/>
        <v>0</v>
      </c>
      <c r="BG202" s="1989" t="e">
        <f>#REF!/10^7</f>
        <v>#REF!</v>
      </c>
      <c r="BH202" s="2003">
        <f t="shared" si="337"/>
        <v>0</v>
      </c>
      <c r="BI202" s="1989" t="e">
        <f>#REF!/10^7</f>
        <v>#REF!</v>
      </c>
      <c r="BJ202" s="1989" t="e">
        <f>#REF!/10^7</f>
        <v>#REF!</v>
      </c>
      <c r="BK202" s="2002" t="e">
        <f t="shared" si="338"/>
        <v>#REF!</v>
      </c>
      <c r="BL202" s="1999" t="e">
        <f t="shared" si="438"/>
        <v>#REF!</v>
      </c>
      <c r="BM202" s="1993" t="e">
        <f>#REF!</f>
        <v>#REF!</v>
      </c>
      <c r="BN202" s="2003">
        <f t="shared" si="339"/>
        <v>0</v>
      </c>
      <c r="BO202" s="1989" t="e">
        <f>#REF!/10^7</f>
        <v>#REF!</v>
      </c>
      <c r="BP202" s="2003">
        <f t="shared" si="340"/>
        <v>0</v>
      </c>
      <c r="BQ202" s="1989" t="e">
        <f>#REF!/10^7</f>
        <v>#REF!</v>
      </c>
      <c r="BR202" s="2003">
        <f t="shared" si="341"/>
        <v>0</v>
      </c>
      <c r="BS202" s="1989" t="e">
        <f>#REF!/10^7</f>
        <v>#REF!</v>
      </c>
      <c r="BT202" s="1989" t="e">
        <f>#REF!/10^7</f>
        <v>#REF!</v>
      </c>
      <c r="BU202" s="2002" t="e">
        <f t="shared" si="342"/>
        <v>#REF!</v>
      </c>
      <c r="BV202" s="1999" t="e">
        <f t="shared" si="439"/>
        <v>#REF!</v>
      </c>
      <c r="BW202" s="1993" t="e">
        <f>#REF!</f>
        <v>#REF!</v>
      </c>
      <c r="BX202" s="2003">
        <f t="shared" si="343"/>
        <v>0</v>
      </c>
      <c r="BY202" s="1989" t="e">
        <f>#REF!/10^7</f>
        <v>#REF!</v>
      </c>
      <c r="BZ202" s="2003">
        <f t="shared" si="344"/>
        <v>0</v>
      </c>
      <c r="CA202" s="1989" t="e">
        <f>#REF!/10^7</f>
        <v>#REF!</v>
      </c>
      <c r="CB202" s="2003">
        <f t="shared" si="345"/>
        <v>0</v>
      </c>
      <c r="CC202" s="1989" t="e">
        <f>#REF!/10^7</f>
        <v>#REF!</v>
      </c>
      <c r="CD202" s="1989" t="e">
        <f>#REF!/10^7</f>
        <v>#REF!</v>
      </c>
      <c r="CE202" s="2002" t="e">
        <f t="shared" si="346"/>
        <v>#REF!</v>
      </c>
      <c r="CF202" s="1999" t="e">
        <f t="shared" si="440"/>
        <v>#REF!</v>
      </c>
      <c r="CG202" s="1993" t="e">
        <f>#REF!</f>
        <v>#REF!</v>
      </c>
      <c r="CH202" s="2003">
        <f t="shared" si="347"/>
        <v>0</v>
      </c>
      <c r="CI202" s="1989" t="e">
        <f>#REF!/10^7</f>
        <v>#REF!</v>
      </c>
      <c r="CJ202" s="2003">
        <f t="shared" si="348"/>
        <v>0</v>
      </c>
      <c r="CK202" s="1989" t="e">
        <f>#REF!/10^7</f>
        <v>#REF!</v>
      </c>
      <c r="CL202" s="2003">
        <f t="shared" si="349"/>
        <v>0</v>
      </c>
      <c r="CM202" s="1989" t="e">
        <f>#REF!/10^7</f>
        <v>#REF!</v>
      </c>
      <c r="CN202" s="1989" t="e">
        <f>#REF!/10^7</f>
        <v>#REF!</v>
      </c>
      <c r="CO202" s="2002" t="e">
        <f t="shared" si="350"/>
        <v>#REF!</v>
      </c>
      <c r="CP202" s="1999" t="e">
        <f t="shared" si="441"/>
        <v>#REF!</v>
      </c>
      <c r="CQ202" s="1993" t="e">
        <f>#REF!</f>
        <v>#REF!</v>
      </c>
      <c r="CR202" s="2003">
        <f t="shared" si="351"/>
        <v>0</v>
      </c>
      <c r="CS202" s="1989" t="e">
        <f>#REF!/10^7</f>
        <v>#REF!</v>
      </c>
      <c r="CT202" s="2003">
        <f t="shared" si="352"/>
        <v>0</v>
      </c>
      <c r="CU202" s="1989" t="e">
        <f>#REF!/10^7</f>
        <v>#REF!</v>
      </c>
      <c r="CV202" s="2003">
        <f t="shared" si="353"/>
        <v>0</v>
      </c>
      <c r="CW202" s="1989" t="e">
        <f>#REF!/10^7</f>
        <v>#REF!</v>
      </c>
      <c r="CX202" s="1989" t="e">
        <f>#REF!/10^7</f>
        <v>#REF!</v>
      </c>
      <c r="CY202" s="2002" t="e">
        <f t="shared" si="354"/>
        <v>#REF!</v>
      </c>
      <c r="CZ202" s="1999" t="e">
        <f t="shared" si="442"/>
        <v>#REF!</v>
      </c>
      <c r="DA202" s="1993" t="e">
        <f>#REF!</f>
        <v>#REF!</v>
      </c>
      <c r="DB202" s="2003">
        <f t="shared" si="355"/>
        <v>0</v>
      </c>
      <c r="DC202" s="1989" t="e">
        <f>#REF!/10^7</f>
        <v>#REF!</v>
      </c>
      <c r="DD202" s="2003">
        <f t="shared" si="356"/>
        <v>0</v>
      </c>
      <c r="DE202" s="1989" t="e">
        <f>#REF!/10^7</f>
        <v>#REF!</v>
      </c>
      <c r="DF202" s="2003">
        <f t="shared" si="357"/>
        <v>0</v>
      </c>
      <c r="DG202" s="1989" t="e">
        <f>#REF!/10^7</f>
        <v>#REF!</v>
      </c>
      <c r="DH202" s="1989" t="e">
        <f>#REF!/10^7</f>
        <v>#REF!</v>
      </c>
      <c r="DI202" s="2002" t="e">
        <f t="shared" si="358"/>
        <v>#REF!</v>
      </c>
      <c r="DJ202" s="1999" t="e">
        <f t="shared" si="471"/>
        <v>#REF!</v>
      </c>
      <c r="DK202" s="1993" t="e">
        <f>#REF!</f>
        <v>#REF!</v>
      </c>
      <c r="DL202" s="2003">
        <f t="shared" si="359"/>
        <v>0</v>
      </c>
      <c r="DM202" s="1989" t="e">
        <f>#REF!/10^7</f>
        <v>#REF!</v>
      </c>
      <c r="DN202" s="2003">
        <f t="shared" si="360"/>
        <v>0</v>
      </c>
      <c r="DO202" s="1989" t="e">
        <f>#REF!/10^7</f>
        <v>#REF!</v>
      </c>
      <c r="DP202" s="2003">
        <f t="shared" si="361"/>
        <v>0</v>
      </c>
      <c r="DQ202" s="1989" t="e">
        <f>#REF!/10^7</f>
        <v>#REF!</v>
      </c>
      <c r="DR202" s="1989" t="e">
        <f>#REF!/10^7</f>
        <v>#REF!</v>
      </c>
      <c r="DS202" s="2002" t="e">
        <f t="shared" si="362"/>
        <v>#REF!</v>
      </c>
      <c r="DT202" s="2004" t="e">
        <f t="shared" si="472"/>
        <v>#REF!</v>
      </c>
      <c r="DU202" s="1988" t="e">
        <f>#REF!</f>
        <v>#REF!</v>
      </c>
      <c r="DV202" s="2003">
        <f t="shared" si="364"/>
        <v>0</v>
      </c>
      <c r="DW202" s="1989" t="e">
        <f>#REF!/10^7</f>
        <v>#REF!</v>
      </c>
      <c r="DX202" s="2003">
        <f t="shared" si="365"/>
        <v>0</v>
      </c>
      <c r="DY202" s="1989" t="e">
        <f>#REF!/10^7</f>
        <v>#REF!</v>
      </c>
      <c r="DZ202" s="2003">
        <f t="shared" si="366"/>
        <v>0</v>
      </c>
      <c r="EA202" s="1989" t="e">
        <f>#REF!/10^7</f>
        <v>#REF!</v>
      </c>
      <c r="EB202" s="1989" t="e">
        <f>#REF!/10^7</f>
        <v>#REF!</v>
      </c>
      <c r="EC202" s="2002" t="e">
        <f t="shared" si="367"/>
        <v>#REF!</v>
      </c>
      <c r="ED202" s="1998" t="e">
        <f t="shared" si="473"/>
        <v>#REF!</v>
      </c>
      <c r="EE202" s="2005" t="e">
        <f t="shared" si="475"/>
        <v>#REF!</v>
      </c>
      <c r="EF202" s="2003">
        <f t="shared" si="368"/>
        <v>0</v>
      </c>
      <c r="EG202" s="1989" t="e">
        <f t="shared" si="476"/>
        <v>#REF!</v>
      </c>
      <c r="EH202" s="2003">
        <f t="shared" si="369"/>
        <v>0</v>
      </c>
      <c r="EI202" s="1989" t="e">
        <f t="shared" si="477"/>
        <v>#REF!</v>
      </c>
      <c r="EJ202" s="2003">
        <f t="shared" si="370"/>
        <v>0</v>
      </c>
      <c r="EK202" s="1989" t="e">
        <f t="shared" si="478"/>
        <v>#REF!</v>
      </c>
      <c r="EL202" s="1989" t="e">
        <f t="shared" si="478"/>
        <v>#REF!</v>
      </c>
      <c r="EM202" s="2006" t="e">
        <f t="shared" si="371"/>
        <v>#REF!</v>
      </c>
      <c r="EN202" s="1999" t="e">
        <f t="shared" si="479"/>
        <v>#REF!</v>
      </c>
      <c r="EO202" s="1613">
        <v>31.909645999999999</v>
      </c>
      <c r="EP202" s="1613" t="e">
        <f>EA202-#REF!/10^7</f>
        <v>#REF!</v>
      </c>
      <c r="ER202" s="1612" t="e">
        <f t="shared" si="480"/>
        <v>#REF!</v>
      </c>
      <c r="EW202" s="1611" t="e">
        <v>#N/A</v>
      </c>
      <c r="EX202" s="1612" t="e">
        <v>#N/A</v>
      </c>
      <c r="EZ202" s="1650">
        <f t="shared" si="372"/>
        <v>0</v>
      </c>
    </row>
    <row r="203" spans="1:156" ht="21" customHeight="1">
      <c r="A203" s="1652">
        <v>13</v>
      </c>
      <c r="B203" s="1701" t="s">
        <v>1871</v>
      </c>
      <c r="C203" s="1662">
        <v>12</v>
      </c>
      <c r="D203" s="1646">
        <f t="shared" si="474"/>
        <v>100</v>
      </c>
      <c r="E203" s="1646"/>
      <c r="F203" s="1648" t="s">
        <v>1594</v>
      </c>
      <c r="G203" s="1648"/>
      <c r="H203" s="1648">
        <v>12</v>
      </c>
      <c r="I203" s="1648" t="s">
        <v>1717</v>
      </c>
      <c r="J203" s="1649">
        <v>2</v>
      </c>
      <c r="K203" s="1648"/>
      <c r="L203" s="1648"/>
      <c r="M203" s="1648"/>
      <c r="N203" s="1642"/>
      <c r="O203" s="2000" t="e">
        <f>#REF!</f>
        <v>#REF!</v>
      </c>
      <c r="P203" s="2003">
        <f t="shared" si="317"/>
        <v>0</v>
      </c>
      <c r="Q203" s="1989" t="e">
        <f>#REF!/10^7</f>
        <v>#REF!</v>
      </c>
      <c r="R203" s="2003">
        <f t="shared" si="318"/>
        <v>0</v>
      </c>
      <c r="S203" s="1989" t="e">
        <f>#REF!/10^7</f>
        <v>#REF!</v>
      </c>
      <c r="T203" s="2003">
        <f t="shared" si="319"/>
        <v>0</v>
      </c>
      <c r="U203" s="1989" t="e">
        <f>#REF!/10^7</f>
        <v>#REF!</v>
      </c>
      <c r="V203" s="1989" t="e">
        <f>#REF!/10^7</f>
        <v>#REF!</v>
      </c>
      <c r="W203" s="1989">
        <f t="shared" si="320"/>
        <v>0</v>
      </c>
      <c r="X203" s="1999" t="e">
        <f t="shared" si="467"/>
        <v>#REF!</v>
      </c>
      <c r="Y203" s="1993" t="e">
        <f>#REF!</f>
        <v>#REF!</v>
      </c>
      <c r="Z203" s="2003">
        <f t="shared" si="321"/>
        <v>0</v>
      </c>
      <c r="AA203" s="1989" t="e">
        <f>#REF!/10^7</f>
        <v>#REF!</v>
      </c>
      <c r="AB203" s="2003">
        <f t="shared" si="322"/>
        <v>0</v>
      </c>
      <c r="AC203" s="1989" t="e">
        <f>#REF!/10^7</f>
        <v>#REF!</v>
      </c>
      <c r="AD203" s="2003">
        <f t="shared" si="323"/>
        <v>0</v>
      </c>
      <c r="AE203" s="1989" t="e">
        <f>#REF!/10^7</f>
        <v>#REF!</v>
      </c>
      <c r="AF203" s="1989" t="e">
        <f>#REF!/10^7</f>
        <v>#REF!</v>
      </c>
      <c r="AG203" s="2002" t="e">
        <f t="shared" si="324"/>
        <v>#REF!</v>
      </c>
      <c r="AH203" s="1999" t="e">
        <f t="shared" si="468"/>
        <v>#REF!</v>
      </c>
      <c r="AI203" s="1993" t="e">
        <f>#REF!</f>
        <v>#REF!</v>
      </c>
      <c r="AJ203" s="2003">
        <f t="shared" si="326"/>
        <v>0</v>
      </c>
      <c r="AK203" s="1989" t="e">
        <f>#REF!/10^7</f>
        <v>#REF!</v>
      </c>
      <c r="AL203" s="2003">
        <f t="shared" si="327"/>
        <v>0</v>
      </c>
      <c r="AM203" s="1989" t="e">
        <f>#REF!/10^7</f>
        <v>#REF!</v>
      </c>
      <c r="AN203" s="2003">
        <f t="shared" si="328"/>
        <v>0</v>
      </c>
      <c r="AO203" s="1989" t="e">
        <f>#REF!/10^7</f>
        <v>#REF!</v>
      </c>
      <c r="AP203" s="1989" t="e">
        <f>#REF!/10^7</f>
        <v>#REF!</v>
      </c>
      <c r="AQ203" s="2002" t="e">
        <f t="shared" si="329"/>
        <v>#REF!</v>
      </c>
      <c r="AR203" s="1999" t="e">
        <f t="shared" si="469"/>
        <v>#REF!</v>
      </c>
      <c r="AS203" s="1993" t="e">
        <f>#REF!</f>
        <v>#REF!</v>
      </c>
      <c r="AT203" s="2003">
        <f t="shared" si="331"/>
        <v>0</v>
      </c>
      <c r="AU203" s="1989" t="e">
        <f>#REF!/10^7</f>
        <v>#REF!</v>
      </c>
      <c r="AV203" s="2003">
        <f t="shared" si="332"/>
        <v>0</v>
      </c>
      <c r="AW203" s="1989" t="e">
        <f>#REF!/10^7</f>
        <v>#REF!</v>
      </c>
      <c r="AX203" s="2003">
        <f t="shared" si="333"/>
        <v>0</v>
      </c>
      <c r="AY203" s="1989" t="e">
        <f>#REF!/10^7</f>
        <v>#REF!</v>
      </c>
      <c r="AZ203" s="1989" t="e">
        <f>#REF!/10^7</f>
        <v>#REF!</v>
      </c>
      <c r="BA203" s="2002" t="e">
        <f t="shared" si="334"/>
        <v>#REF!</v>
      </c>
      <c r="BB203" s="1999" t="e">
        <f t="shared" si="470"/>
        <v>#REF!</v>
      </c>
      <c r="BC203" s="1993" t="e">
        <f>#REF!</f>
        <v>#REF!</v>
      </c>
      <c r="BD203" s="2003">
        <f t="shared" si="335"/>
        <v>0</v>
      </c>
      <c r="BE203" s="1989" t="e">
        <f>#REF!/10^7</f>
        <v>#REF!</v>
      </c>
      <c r="BF203" s="2003">
        <f t="shared" si="336"/>
        <v>0</v>
      </c>
      <c r="BG203" s="1989" t="e">
        <f>#REF!/10^7</f>
        <v>#REF!</v>
      </c>
      <c r="BH203" s="2003">
        <f t="shared" si="337"/>
        <v>0</v>
      </c>
      <c r="BI203" s="1989" t="e">
        <f>#REF!/10^7</f>
        <v>#REF!</v>
      </c>
      <c r="BJ203" s="1989" t="e">
        <f>#REF!/10^7</f>
        <v>#REF!</v>
      </c>
      <c r="BK203" s="2002" t="e">
        <f t="shared" si="338"/>
        <v>#REF!</v>
      </c>
      <c r="BL203" s="1999" t="e">
        <f t="shared" si="438"/>
        <v>#REF!</v>
      </c>
      <c r="BM203" s="1993" t="e">
        <f>#REF!</f>
        <v>#REF!</v>
      </c>
      <c r="BN203" s="2003">
        <f t="shared" si="339"/>
        <v>0</v>
      </c>
      <c r="BO203" s="1989" t="e">
        <f>#REF!/10^7</f>
        <v>#REF!</v>
      </c>
      <c r="BP203" s="2003">
        <f t="shared" si="340"/>
        <v>0</v>
      </c>
      <c r="BQ203" s="1989" t="e">
        <f>#REF!/10^7</f>
        <v>#REF!</v>
      </c>
      <c r="BR203" s="2003">
        <f t="shared" si="341"/>
        <v>0</v>
      </c>
      <c r="BS203" s="1989" t="e">
        <f>#REF!/10^7</f>
        <v>#REF!</v>
      </c>
      <c r="BT203" s="1989" t="e">
        <f>#REF!/10^7</f>
        <v>#REF!</v>
      </c>
      <c r="BU203" s="2002" t="e">
        <f t="shared" si="342"/>
        <v>#REF!</v>
      </c>
      <c r="BV203" s="1999" t="e">
        <f t="shared" si="439"/>
        <v>#REF!</v>
      </c>
      <c r="BW203" s="1993" t="e">
        <f>#REF!</f>
        <v>#REF!</v>
      </c>
      <c r="BX203" s="2003">
        <f t="shared" si="343"/>
        <v>0</v>
      </c>
      <c r="BY203" s="1989" t="e">
        <f>#REF!/10^7</f>
        <v>#REF!</v>
      </c>
      <c r="BZ203" s="2003">
        <f t="shared" si="344"/>
        <v>0</v>
      </c>
      <c r="CA203" s="1989" t="e">
        <f>#REF!/10^7</f>
        <v>#REF!</v>
      </c>
      <c r="CB203" s="2003">
        <f t="shared" si="345"/>
        <v>0</v>
      </c>
      <c r="CC203" s="1989" t="e">
        <f>#REF!/10^7</f>
        <v>#REF!</v>
      </c>
      <c r="CD203" s="1989" t="e">
        <f>#REF!/10^7</f>
        <v>#REF!</v>
      </c>
      <c r="CE203" s="2002" t="e">
        <f t="shared" si="346"/>
        <v>#REF!</v>
      </c>
      <c r="CF203" s="1999" t="e">
        <f t="shared" si="440"/>
        <v>#REF!</v>
      </c>
      <c r="CG203" s="1993" t="e">
        <f>#REF!</f>
        <v>#REF!</v>
      </c>
      <c r="CH203" s="2003">
        <f t="shared" si="347"/>
        <v>0</v>
      </c>
      <c r="CI203" s="1989" t="e">
        <f>#REF!/10^7</f>
        <v>#REF!</v>
      </c>
      <c r="CJ203" s="2003">
        <f t="shared" si="348"/>
        <v>0</v>
      </c>
      <c r="CK203" s="1989" t="e">
        <f>#REF!/10^7</f>
        <v>#REF!</v>
      </c>
      <c r="CL203" s="2003">
        <f t="shared" si="349"/>
        <v>0</v>
      </c>
      <c r="CM203" s="1989" t="e">
        <f>#REF!/10^7</f>
        <v>#REF!</v>
      </c>
      <c r="CN203" s="1989" t="e">
        <f>#REF!/10^7</f>
        <v>#REF!</v>
      </c>
      <c r="CO203" s="2002" t="e">
        <f t="shared" si="350"/>
        <v>#REF!</v>
      </c>
      <c r="CP203" s="1999" t="e">
        <f t="shared" si="441"/>
        <v>#REF!</v>
      </c>
      <c r="CQ203" s="1993" t="e">
        <f>#REF!</f>
        <v>#REF!</v>
      </c>
      <c r="CR203" s="2003">
        <f t="shared" si="351"/>
        <v>0</v>
      </c>
      <c r="CS203" s="1989" t="e">
        <f>#REF!/10^7</f>
        <v>#REF!</v>
      </c>
      <c r="CT203" s="2003">
        <f t="shared" si="352"/>
        <v>0</v>
      </c>
      <c r="CU203" s="1989" t="e">
        <f>#REF!/10^7</f>
        <v>#REF!</v>
      </c>
      <c r="CV203" s="2003">
        <f t="shared" si="353"/>
        <v>0</v>
      </c>
      <c r="CW203" s="1989" t="e">
        <f>#REF!/10^7</f>
        <v>#REF!</v>
      </c>
      <c r="CX203" s="1989" t="e">
        <f>#REF!/10^7</f>
        <v>#REF!</v>
      </c>
      <c r="CY203" s="2002" t="e">
        <f t="shared" si="354"/>
        <v>#REF!</v>
      </c>
      <c r="CZ203" s="1999" t="e">
        <f t="shared" si="442"/>
        <v>#REF!</v>
      </c>
      <c r="DA203" s="1993" t="e">
        <f>#REF!</f>
        <v>#REF!</v>
      </c>
      <c r="DB203" s="2003">
        <f t="shared" si="355"/>
        <v>0</v>
      </c>
      <c r="DC203" s="1989" t="e">
        <f>#REF!/10^7</f>
        <v>#REF!</v>
      </c>
      <c r="DD203" s="2003">
        <f t="shared" si="356"/>
        <v>0</v>
      </c>
      <c r="DE203" s="1989" t="e">
        <f>#REF!/10^7</f>
        <v>#REF!</v>
      </c>
      <c r="DF203" s="2003">
        <f t="shared" si="357"/>
        <v>0</v>
      </c>
      <c r="DG203" s="1989" t="e">
        <f>#REF!/10^7</f>
        <v>#REF!</v>
      </c>
      <c r="DH203" s="1989" t="e">
        <f>#REF!/10^7</f>
        <v>#REF!</v>
      </c>
      <c r="DI203" s="2002" t="e">
        <f t="shared" si="358"/>
        <v>#REF!</v>
      </c>
      <c r="DJ203" s="1999" t="e">
        <f t="shared" si="471"/>
        <v>#REF!</v>
      </c>
      <c r="DK203" s="1993" t="e">
        <f>#REF!</f>
        <v>#REF!</v>
      </c>
      <c r="DL203" s="2003">
        <f t="shared" si="359"/>
        <v>0</v>
      </c>
      <c r="DM203" s="1989" t="e">
        <f>#REF!/10^7</f>
        <v>#REF!</v>
      </c>
      <c r="DN203" s="2003">
        <f t="shared" si="360"/>
        <v>0</v>
      </c>
      <c r="DO203" s="1989" t="e">
        <f>#REF!/10^7</f>
        <v>#REF!</v>
      </c>
      <c r="DP203" s="2003">
        <f t="shared" si="361"/>
        <v>0</v>
      </c>
      <c r="DQ203" s="1989" t="e">
        <f>#REF!/10^7</f>
        <v>#REF!</v>
      </c>
      <c r="DR203" s="1989" t="e">
        <f>#REF!/10^7</f>
        <v>#REF!</v>
      </c>
      <c r="DS203" s="2002" t="e">
        <f t="shared" si="362"/>
        <v>#REF!</v>
      </c>
      <c r="DT203" s="2004" t="e">
        <f t="shared" si="472"/>
        <v>#REF!</v>
      </c>
      <c r="DU203" s="1988" t="e">
        <f>#REF!</f>
        <v>#REF!</v>
      </c>
      <c r="DV203" s="2003">
        <f t="shared" si="364"/>
        <v>0</v>
      </c>
      <c r="DW203" s="1989" t="e">
        <f>#REF!/10^7</f>
        <v>#REF!</v>
      </c>
      <c r="DX203" s="2003">
        <f t="shared" si="365"/>
        <v>0</v>
      </c>
      <c r="DY203" s="1989" t="e">
        <f>#REF!/10^7</f>
        <v>#REF!</v>
      </c>
      <c r="DZ203" s="2003">
        <f t="shared" si="366"/>
        <v>0</v>
      </c>
      <c r="EA203" s="1989" t="e">
        <f>#REF!/10^7</f>
        <v>#REF!</v>
      </c>
      <c r="EB203" s="1989" t="e">
        <f>#REF!/10^7</f>
        <v>#REF!</v>
      </c>
      <c r="EC203" s="2002" t="e">
        <f t="shared" si="367"/>
        <v>#REF!</v>
      </c>
      <c r="ED203" s="1998" t="e">
        <f t="shared" si="473"/>
        <v>#REF!</v>
      </c>
      <c r="EE203" s="2005" t="e">
        <f t="shared" si="475"/>
        <v>#REF!</v>
      </c>
      <c r="EF203" s="2003">
        <f t="shared" si="368"/>
        <v>0</v>
      </c>
      <c r="EG203" s="1989" t="e">
        <f t="shared" si="476"/>
        <v>#REF!</v>
      </c>
      <c r="EH203" s="2003">
        <f t="shared" si="369"/>
        <v>0</v>
      </c>
      <c r="EI203" s="1989" t="e">
        <f t="shared" si="477"/>
        <v>#REF!</v>
      </c>
      <c r="EJ203" s="2003">
        <f t="shared" si="370"/>
        <v>0</v>
      </c>
      <c r="EK203" s="1989" t="e">
        <f t="shared" si="478"/>
        <v>#REF!</v>
      </c>
      <c r="EL203" s="1989" t="e">
        <f t="shared" si="478"/>
        <v>#REF!</v>
      </c>
      <c r="EM203" s="2006" t="e">
        <f t="shared" si="371"/>
        <v>#REF!</v>
      </c>
      <c r="EN203" s="1999" t="e">
        <f t="shared" si="479"/>
        <v>#REF!</v>
      </c>
      <c r="EO203" s="1613">
        <v>12.33457741</v>
      </c>
      <c r="EP203" s="1613" t="e">
        <f>EA203-#REF!/10^7</f>
        <v>#REF!</v>
      </c>
      <c r="ER203" s="1612" t="e">
        <f t="shared" si="480"/>
        <v>#REF!</v>
      </c>
      <c r="EW203" s="1611" t="e">
        <v>#N/A</v>
      </c>
      <c r="EX203" s="1612" t="e">
        <v>#N/A</v>
      </c>
      <c r="EZ203" s="1650">
        <f t="shared" si="372"/>
        <v>0</v>
      </c>
    </row>
    <row r="204" spans="1:156" ht="21" customHeight="1">
      <c r="A204" s="1652">
        <v>14</v>
      </c>
      <c r="B204" s="1701" t="s">
        <v>1872</v>
      </c>
      <c r="C204" s="1662">
        <v>12</v>
      </c>
      <c r="D204" s="1646">
        <f t="shared" si="474"/>
        <v>100</v>
      </c>
      <c r="E204" s="1646"/>
      <c r="F204" s="1648" t="s">
        <v>1594</v>
      </c>
      <c r="G204" s="1648"/>
      <c r="H204" s="1648">
        <v>12</v>
      </c>
      <c r="I204" s="1648" t="s">
        <v>1717</v>
      </c>
      <c r="J204" s="1649">
        <v>2</v>
      </c>
      <c r="K204" s="1648"/>
      <c r="L204" s="1648"/>
      <c r="M204" s="1648"/>
      <c r="N204" s="1642"/>
      <c r="O204" s="2000" t="e">
        <f>#REF!</f>
        <v>#REF!</v>
      </c>
      <c r="P204" s="2003">
        <f t="shared" si="317"/>
        <v>0</v>
      </c>
      <c r="Q204" s="1989" t="e">
        <f>#REF!/10^7</f>
        <v>#REF!</v>
      </c>
      <c r="R204" s="2003">
        <f t="shared" si="318"/>
        <v>0</v>
      </c>
      <c r="S204" s="1989" t="e">
        <f>#REF!/10^7</f>
        <v>#REF!</v>
      </c>
      <c r="T204" s="2003">
        <f t="shared" si="319"/>
        <v>0</v>
      </c>
      <c r="U204" s="1989" t="e">
        <f>#REF!/10^7</f>
        <v>#REF!</v>
      </c>
      <c r="V204" s="1989" t="e">
        <f>#REF!/10^7</f>
        <v>#REF!</v>
      </c>
      <c r="W204" s="1989">
        <f t="shared" si="320"/>
        <v>0</v>
      </c>
      <c r="X204" s="1999" t="e">
        <f t="shared" si="467"/>
        <v>#REF!</v>
      </c>
      <c r="Y204" s="1993" t="e">
        <f>#REF!</f>
        <v>#REF!</v>
      </c>
      <c r="Z204" s="2003">
        <f t="shared" si="321"/>
        <v>0</v>
      </c>
      <c r="AA204" s="1989" t="e">
        <f>#REF!/10^7</f>
        <v>#REF!</v>
      </c>
      <c r="AB204" s="2003">
        <f t="shared" si="322"/>
        <v>0</v>
      </c>
      <c r="AC204" s="1989" t="e">
        <f>#REF!/10^7</f>
        <v>#REF!</v>
      </c>
      <c r="AD204" s="2003">
        <f t="shared" si="323"/>
        <v>0</v>
      </c>
      <c r="AE204" s="1989" t="e">
        <f>#REF!/10^7</f>
        <v>#REF!</v>
      </c>
      <c r="AF204" s="1989" t="e">
        <f>#REF!/10^7</f>
        <v>#REF!</v>
      </c>
      <c r="AG204" s="2002" t="e">
        <f t="shared" si="324"/>
        <v>#REF!</v>
      </c>
      <c r="AH204" s="1999" t="e">
        <f t="shared" si="468"/>
        <v>#REF!</v>
      </c>
      <c r="AI204" s="1993" t="e">
        <f>#REF!</f>
        <v>#REF!</v>
      </c>
      <c r="AJ204" s="2003">
        <f t="shared" si="326"/>
        <v>0</v>
      </c>
      <c r="AK204" s="1989" t="e">
        <f>#REF!/10^7</f>
        <v>#REF!</v>
      </c>
      <c r="AL204" s="2003">
        <f t="shared" si="327"/>
        <v>0</v>
      </c>
      <c r="AM204" s="1989" t="e">
        <f>#REF!/10^7</f>
        <v>#REF!</v>
      </c>
      <c r="AN204" s="2003">
        <f t="shared" si="328"/>
        <v>0</v>
      </c>
      <c r="AO204" s="1989" t="e">
        <f>#REF!/10^7</f>
        <v>#REF!</v>
      </c>
      <c r="AP204" s="1989" t="e">
        <f>#REF!/10^7</f>
        <v>#REF!</v>
      </c>
      <c r="AQ204" s="2002" t="e">
        <f t="shared" si="329"/>
        <v>#REF!</v>
      </c>
      <c r="AR204" s="1999" t="e">
        <f t="shared" si="469"/>
        <v>#REF!</v>
      </c>
      <c r="AS204" s="1993" t="e">
        <f>#REF!</f>
        <v>#REF!</v>
      </c>
      <c r="AT204" s="2003">
        <f t="shared" si="331"/>
        <v>0</v>
      </c>
      <c r="AU204" s="1989" t="e">
        <f>#REF!/10^7</f>
        <v>#REF!</v>
      </c>
      <c r="AV204" s="2003">
        <f t="shared" si="332"/>
        <v>0</v>
      </c>
      <c r="AW204" s="1989" t="e">
        <f>#REF!/10^7</f>
        <v>#REF!</v>
      </c>
      <c r="AX204" s="2003">
        <f t="shared" si="333"/>
        <v>0</v>
      </c>
      <c r="AY204" s="1989" t="e">
        <f>#REF!/10^7</f>
        <v>#REF!</v>
      </c>
      <c r="AZ204" s="1989" t="e">
        <f>#REF!/10^7</f>
        <v>#REF!</v>
      </c>
      <c r="BA204" s="2002" t="e">
        <f t="shared" si="334"/>
        <v>#REF!</v>
      </c>
      <c r="BB204" s="1999" t="e">
        <f t="shared" si="470"/>
        <v>#REF!</v>
      </c>
      <c r="BC204" s="1993" t="e">
        <f>#REF!</f>
        <v>#REF!</v>
      </c>
      <c r="BD204" s="2003">
        <f t="shared" si="335"/>
        <v>0</v>
      </c>
      <c r="BE204" s="1989" t="e">
        <f>#REF!/10^7</f>
        <v>#REF!</v>
      </c>
      <c r="BF204" s="2003">
        <f t="shared" si="336"/>
        <v>0</v>
      </c>
      <c r="BG204" s="1989" t="e">
        <f>#REF!/10^7</f>
        <v>#REF!</v>
      </c>
      <c r="BH204" s="2003">
        <f t="shared" si="337"/>
        <v>0</v>
      </c>
      <c r="BI204" s="1989" t="e">
        <f>#REF!/10^7</f>
        <v>#REF!</v>
      </c>
      <c r="BJ204" s="1989" t="e">
        <f>#REF!/10^7</f>
        <v>#REF!</v>
      </c>
      <c r="BK204" s="2002" t="e">
        <f t="shared" si="338"/>
        <v>#REF!</v>
      </c>
      <c r="BL204" s="1999" t="e">
        <f t="shared" si="438"/>
        <v>#REF!</v>
      </c>
      <c r="BM204" s="1993" t="e">
        <f>#REF!</f>
        <v>#REF!</v>
      </c>
      <c r="BN204" s="2003">
        <f t="shared" si="339"/>
        <v>0</v>
      </c>
      <c r="BO204" s="1989" t="e">
        <f>#REF!/10^7</f>
        <v>#REF!</v>
      </c>
      <c r="BP204" s="2003">
        <f t="shared" si="340"/>
        <v>0</v>
      </c>
      <c r="BQ204" s="1989" t="e">
        <f>#REF!/10^7</f>
        <v>#REF!</v>
      </c>
      <c r="BR204" s="2003">
        <f t="shared" si="341"/>
        <v>0</v>
      </c>
      <c r="BS204" s="1989" t="e">
        <f>#REF!/10^7</f>
        <v>#REF!</v>
      </c>
      <c r="BT204" s="1989" t="e">
        <f>#REF!/10^7</f>
        <v>#REF!</v>
      </c>
      <c r="BU204" s="2002" t="e">
        <f t="shared" si="342"/>
        <v>#REF!</v>
      </c>
      <c r="BV204" s="1999" t="e">
        <f t="shared" si="439"/>
        <v>#REF!</v>
      </c>
      <c r="BW204" s="1993" t="e">
        <f>#REF!</f>
        <v>#REF!</v>
      </c>
      <c r="BX204" s="2003">
        <f t="shared" si="343"/>
        <v>0</v>
      </c>
      <c r="BY204" s="1989" t="e">
        <f>#REF!/10^7</f>
        <v>#REF!</v>
      </c>
      <c r="BZ204" s="2003">
        <f t="shared" si="344"/>
        <v>0</v>
      </c>
      <c r="CA204" s="1989" t="e">
        <f>#REF!/10^7</f>
        <v>#REF!</v>
      </c>
      <c r="CB204" s="2003">
        <f t="shared" si="345"/>
        <v>0</v>
      </c>
      <c r="CC204" s="1989" t="e">
        <f>#REF!/10^7</f>
        <v>#REF!</v>
      </c>
      <c r="CD204" s="1989" t="e">
        <f>#REF!/10^7</f>
        <v>#REF!</v>
      </c>
      <c r="CE204" s="2002" t="e">
        <f t="shared" si="346"/>
        <v>#REF!</v>
      </c>
      <c r="CF204" s="1999" t="e">
        <f t="shared" si="440"/>
        <v>#REF!</v>
      </c>
      <c r="CG204" s="1993" t="e">
        <f>#REF!</f>
        <v>#REF!</v>
      </c>
      <c r="CH204" s="2003">
        <f t="shared" si="347"/>
        <v>0</v>
      </c>
      <c r="CI204" s="1989" t="e">
        <f>#REF!/10^7</f>
        <v>#REF!</v>
      </c>
      <c r="CJ204" s="2003">
        <f t="shared" si="348"/>
        <v>0</v>
      </c>
      <c r="CK204" s="1989" t="e">
        <f>#REF!/10^7</f>
        <v>#REF!</v>
      </c>
      <c r="CL204" s="2003">
        <f t="shared" si="349"/>
        <v>0</v>
      </c>
      <c r="CM204" s="1989" t="e">
        <f>#REF!/10^7</f>
        <v>#REF!</v>
      </c>
      <c r="CN204" s="1989" t="e">
        <f>#REF!/10^7</f>
        <v>#REF!</v>
      </c>
      <c r="CO204" s="2002" t="e">
        <f t="shared" si="350"/>
        <v>#REF!</v>
      </c>
      <c r="CP204" s="1999" t="e">
        <f t="shared" si="441"/>
        <v>#REF!</v>
      </c>
      <c r="CQ204" s="1993" t="e">
        <f>#REF!</f>
        <v>#REF!</v>
      </c>
      <c r="CR204" s="2003">
        <f t="shared" si="351"/>
        <v>0</v>
      </c>
      <c r="CS204" s="1989" t="e">
        <f>#REF!/10^7</f>
        <v>#REF!</v>
      </c>
      <c r="CT204" s="2003">
        <f t="shared" si="352"/>
        <v>0</v>
      </c>
      <c r="CU204" s="1989" t="e">
        <f>#REF!/10^7</f>
        <v>#REF!</v>
      </c>
      <c r="CV204" s="2003">
        <f t="shared" si="353"/>
        <v>0</v>
      </c>
      <c r="CW204" s="1989" t="e">
        <f>#REF!/10^7</f>
        <v>#REF!</v>
      </c>
      <c r="CX204" s="1989" t="e">
        <f>#REF!/10^7</f>
        <v>#REF!</v>
      </c>
      <c r="CY204" s="2002" t="e">
        <f t="shared" si="354"/>
        <v>#REF!</v>
      </c>
      <c r="CZ204" s="1999" t="e">
        <f t="shared" si="442"/>
        <v>#REF!</v>
      </c>
      <c r="DA204" s="1993" t="e">
        <f>#REF!</f>
        <v>#REF!</v>
      </c>
      <c r="DB204" s="2003">
        <f t="shared" si="355"/>
        <v>0</v>
      </c>
      <c r="DC204" s="1989" t="e">
        <f>#REF!/10^7</f>
        <v>#REF!</v>
      </c>
      <c r="DD204" s="2003">
        <f t="shared" si="356"/>
        <v>0</v>
      </c>
      <c r="DE204" s="1989" t="e">
        <f>#REF!/10^7</f>
        <v>#REF!</v>
      </c>
      <c r="DF204" s="2003">
        <f t="shared" si="357"/>
        <v>0</v>
      </c>
      <c r="DG204" s="1989" t="e">
        <f>#REF!/10^7</f>
        <v>#REF!</v>
      </c>
      <c r="DH204" s="1989" t="e">
        <f>#REF!/10^7</f>
        <v>#REF!</v>
      </c>
      <c r="DI204" s="2002" t="e">
        <f t="shared" si="358"/>
        <v>#REF!</v>
      </c>
      <c r="DJ204" s="1999" t="e">
        <f t="shared" si="471"/>
        <v>#REF!</v>
      </c>
      <c r="DK204" s="1993" t="e">
        <f>#REF!</f>
        <v>#REF!</v>
      </c>
      <c r="DL204" s="2003">
        <f t="shared" si="359"/>
        <v>0</v>
      </c>
      <c r="DM204" s="1989" t="e">
        <f>#REF!/10^7</f>
        <v>#REF!</v>
      </c>
      <c r="DN204" s="2003">
        <f t="shared" si="360"/>
        <v>0</v>
      </c>
      <c r="DO204" s="1989" t="e">
        <f>#REF!/10^7</f>
        <v>#REF!</v>
      </c>
      <c r="DP204" s="2003">
        <f t="shared" si="361"/>
        <v>0</v>
      </c>
      <c r="DQ204" s="1989" t="e">
        <f>#REF!/10^7</f>
        <v>#REF!</v>
      </c>
      <c r="DR204" s="1989" t="e">
        <f>#REF!/10^7</f>
        <v>#REF!</v>
      </c>
      <c r="DS204" s="2002" t="e">
        <f t="shared" si="362"/>
        <v>#REF!</v>
      </c>
      <c r="DT204" s="2004" t="e">
        <f t="shared" si="472"/>
        <v>#REF!</v>
      </c>
      <c r="DU204" s="1988" t="e">
        <f>#REF!</f>
        <v>#REF!</v>
      </c>
      <c r="DV204" s="2003">
        <f t="shared" si="364"/>
        <v>0</v>
      </c>
      <c r="DW204" s="1989" t="e">
        <f>#REF!/10^7</f>
        <v>#REF!</v>
      </c>
      <c r="DX204" s="2003">
        <f t="shared" si="365"/>
        <v>0</v>
      </c>
      <c r="DY204" s="1989" t="e">
        <f>#REF!/10^7</f>
        <v>#REF!</v>
      </c>
      <c r="DZ204" s="2003">
        <f t="shared" si="366"/>
        <v>0</v>
      </c>
      <c r="EA204" s="1989" t="e">
        <f>#REF!/10^7</f>
        <v>#REF!</v>
      </c>
      <c r="EB204" s="1989" t="e">
        <f>#REF!/10^7</f>
        <v>#REF!</v>
      </c>
      <c r="EC204" s="2002" t="e">
        <f t="shared" si="367"/>
        <v>#REF!</v>
      </c>
      <c r="ED204" s="1998" t="e">
        <f t="shared" si="473"/>
        <v>#REF!</v>
      </c>
      <c r="EE204" s="2005" t="e">
        <f t="shared" si="475"/>
        <v>#REF!</v>
      </c>
      <c r="EF204" s="2003">
        <f t="shared" si="368"/>
        <v>0</v>
      </c>
      <c r="EG204" s="1989" t="e">
        <f t="shared" si="476"/>
        <v>#REF!</v>
      </c>
      <c r="EH204" s="2003">
        <f t="shared" si="369"/>
        <v>0</v>
      </c>
      <c r="EI204" s="1989" t="e">
        <f t="shared" si="477"/>
        <v>#REF!</v>
      </c>
      <c r="EJ204" s="2003">
        <f t="shared" si="370"/>
        <v>0</v>
      </c>
      <c r="EK204" s="1989" t="e">
        <f t="shared" si="478"/>
        <v>#REF!</v>
      </c>
      <c r="EL204" s="1989" t="e">
        <f t="shared" si="478"/>
        <v>#REF!</v>
      </c>
      <c r="EM204" s="2006" t="e">
        <f t="shared" si="371"/>
        <v>#REF!</v>
      </c>
      <c r="EN204" s="1999" t="e">
        <f t="shared" si="479"/>
        <v>#REF!</v>
      </c>
      <c r="EO204" s="1613">
        <v>10.391002</v>
      </c>
      <c r="EP204" s="1613" t="e">
        <f>EA204-#REF!/10^7</f>
        <v>#REF!</v>
      </c>
      <c r="ER204" s="1612" t="e">
        <f t="shared" si="480"/>
        <v>#REF!</v>
      </c>
      <c r="EW204" s="1611" t="e">
        <v>#N/A</v>
      </c>
      <c r="EX204" s="1612" t="e">
        <v>#N/A</v>
      </c>
      <c r="EZ204" s="1650">
        <f t="shared" si="372"/>
        <v>0</v>
      </c>
    </row>
    <row r="205" spans="1:156" ht="21" customHeight="1">
      <c r="A205" s="1652">
        <v>15</v>
      </c>
      <c r="B205" s="1701" t="s">
        <v>1873</v>
      </c>
      <c r="C205" s="1662">
        <v>10</v>
      </c>
      <c r="D205" s="1646">
        <f t="shared" si="474"/>
        <v>100</v>
      </c>
      <c r="E205" s="1646"/>
      <c r="F205" s="1648" t="s">
        <v>1594</v>
      </c>
      <c r="G205" s="1648"/>
      <c r="H205" s="1648">
        <v>10</v>
      </c>
      <c r="I205" s="1648" t="s">
        <v>1717</v>
      </c>
      <c r="J205" s="1649">
        <v>2</v>
      </c>
      <c r="K205" s="1648"/>
      <c r="L205" s="1648"/>
      <c r="M205" s="1648"/>
      <c r="N205" s="1642"/>
      <c r="O205" s="2000" t="e">
        <f>#REF!</f>
        <v>#REF!</v>
      </c>
      <c r="P205" s="2003">
        <f t="shared" ref="P205:P268" si="481">IFERROR(Q205/O205*10,0)</f>
        <v>0</v>
      </c>
      <c r="Q205" s="1989" t="e">
        <f>#REF!/10^7</f>
        <v>#REF!</v>
      </c>
      <c r="R205" s="2003">
        <f t="shared" ref="R205:R268" si="482">IFERROR($S205/O205*10,0)</f>
        <v>0</v>
      </c>
      <c r="S205" s="1989" t="e">
        <f>#REF!/10^7</f>
        <v>#REF!</v>
      </c>
      <c r="T205" s="2003">
        <f t="shared" ref="T205:T268" si="483">IFERROR(U205/$O205*10,0)</f>
        <v>0</v>
      </c>
      <c r="U205" s="1989" t="e">
        <f>#REF!/10^7</f>
        <v>#REF!</v>
      </c>
      <c r="V205" s="1989" t="e">
        <f>#REF!/10^7</f>
        <v>#REF!</v>
      </c>
      <c r="W205" s="1989">
        <f t="shared" ref="W205:W268" si="484">IFERROR(X205/(O205)*10,0)</f>
        <v>0</v>
      </c>
      <c r="X205" s="1999" t="e">
        <f t="shared" si="467"/>
        <v>#REF!</v>
      </c>
      <c r="Y205" s="1993" t="e">
        <f>#REF!</f>
        <v>#REF!</v>
      </c>
      <c r="Z205" s="2003">
        <f t="shared" ref="Z205:Z268" si="485">IFERROR(AA205/$Y205*10,0)</f>
        <v>0</v>
      </c>
      <c r="AA205" s="1989" t="e">
        <f>#REF!/10^7</f>
        <v>#REF!</v>
      </c>
      <c r="AB205" s="2003">
        <f t="shared" ref="AB205:AB268" si="486">IFERROR(AC205/$Y205*10,0)</f>
        <v>0</v>
      </c>
      <c r="AC205" s="1989" t="e">
        <f>#REF!/10^7</f>
        <v>#REF!</v>
      </c>
      <c r="AD205" s="2003">
        <f t="shared" ref="AD205:AD268" si="487">IFERROR(AE205/$Y205*10,0)</f>
        <v>0</v>
      </c>
      <c r="AE205" s="1989" t="e">
        <f>#REF!/10^7</f>
        <v>#REF!</v>
      </c>
      <c r="AF205" s="1989" t="e">
        <f>#REF!/10^7</f>
        <v>#REF!</v>
      </c>
      <c r="AG205" s="2002" t="e">
        <f t="shared" ref="AG205:AG268" si="488">IF(Y205=0,0,(AH205/(Y205)*10))</f>
        <v>#REF!</v>
      </c>
      <c r="AH205" s="1999" t="e">
        <f t="shared" si="468"/>
        <v>#REF!</v>
      </c>
      <c r="AI205" s="1993" t="e">
        <f>#REF!</f>
        <v>#REF!</v>
      </c>
      <c r="AJ205" s="2003">
        <f t="shared" ref="AJ205:AJ268" si="489">IFERROR(AK205/$AI205*10,0)</f>
        <v>0</v>
      </c>
      <c r="AK205" s="1989" t="e">
        <f>#REF!/10^7</f>
        <v>#REF!</v>
      </c>
      <c r="AL205" s="2003">
        <f t="shared" ref="AL205:AL268" si="490">IFERROR(AM205/$AI205*10,0)</f>
        <v>0</v>
      </c>
      <c r="AM205" s="1989" t="e">
        <f>#REF!/10^7</f>
        <v>#REF!</v>
      </c>
      <c r="AN205" s="2003">
        <f t="shared" ref="AN205:AN268" si="491">IFERROR(AO205/$AI205*10,0)</f>
        <v>0</v>
      </c>
      <c r="AO205" s="1989" t="e">
        <f>#REF!/10^7</f>
        <v>#REF!</v>
      </c>
      <c r="AP205" s="1989" t="e">
        <f>#REF!/10^7</f>
        <v>#REF!</v>
      </c>
      <c r="AQ205" s="2002" t="e">
        <f t="shared" ref="AQ205:AQ268" si="492">IF(AI205=0,0,(AR205/(AI205)*10))</f>
        <v>#REF!</v>
      </c>
      <c r="AR205" s="1999" t="e">
        <f t="shared" si="469"/>
        <v>#REF!</v>
      </c>
      <c r="AS205" s="1993" t="e">
        <f>#REF!</f>
        <v>#REF!</v>
      </c>
      <c r="AT205" s="2003">
        <f t="shared" ref="AT205:AT268" si="493">IFERROR(AU205/$AS205*10,0)</f>
        <v>0</v>
      </c>
      <c r="AU205" s="1989" t="e">
        <f>#REF!/10^7</f>
        <v>#REF!</v>
      </c>
      <c r="AV205" s="2003">
        <f t="shared" ref="AV205:AV268" si="494">IFERROR(AW205/$AS205*10,0)</f>
        <v>0</v>
      </c>
      <c r="AW205" s="1989" t="e">
        <f>#REF!/10^7</f>
        <v>#REF!</v>
      </c>
      <c r="AX205" s="2003">
        <f t="shared" ref="AX205:AX268" si="495">IFERROR(AY205/$AS205*10,0)</f>
        <v>0</v>
      </c>
      <c r="AY205" s="1989" t="e">
        <f>#REF!/10^7</f>
        <v>#REF!</v>
      </c>
      <c r="AZ205" s="1989" t="e">
        <f>#REF!/10^7</f>
        <v>#REF!</v>
      </c>
      <c r="BA205" s="2002" t="e">
        <f t="shared" ref="BA205:BA268" si="496">IF(AS205=0,0,(BB205/(AS205)*10))</f>
        <v>#REF!</v>
      </c>
      <c r="BB205" s="1999" t="e">
        <f t="shared" si="470"/>
        <v>#REF!</v>
      </c>
      <c r="BC205" s="1993" t="e">
        <f>#REF!</f>
        <v>#REF!</v>
      </c>
      <c r="BD205" s="2003">
        <f t="shared" ref="BD205:BD268" si="497">IFERROR(BE205/$BC205*10,0)</f>
        <v>0</v>
      </c>
      <c r="BE205" s="1989" t="e">
        <f>#REF!/10^7</f>
        <v>#REF!</v>
      </c>
      <c r="BF205" s="2003">
        <f t="shared" ref="BF205:BF268" si="498">IFERROR(BG205/$BC205*10,0)</f>
        <v>0</v>
      </c>
      <c r="BG205" s="1989" t="e">
        <f>#REF!/10^7</f>
        <v>#REF!</v>
      </c>
      <c r="BH205" s="2003">
        <f t="shared" ref="BH205:BH268" si="499">IFERROR(BI205/$BC205*10,0)</f>
        <v>0</v>
      </c>
      <c r="BI205" s="1989" t="e">
        <f>#REF!/10^7</f>
        <v>#REF!</v>
      </c>
      <c r="BJ205" s="1989" t="e">
        <f>#REF!/10^7</f>
        <v>#REF!</v>
      </c>
      <c r="BK205" s="2002" t="e">
        <f t="shared" ref="BK205:BK268" si="500">IF(BC205=0,0,(BL205/(BC205)*10))</f>
        <v>#REF!</v>
      </c>
      <c r="BL205" s="1999" t="e">
        <f t="shared" si="438"/>
        <v>#REF!</v>
      </c>
      <c r="BM205" s="1993" t="e">
        <f>#REF!</f>
        <v>#REF!</v>
      </c>
      <c r="BN205" s="2003">
        <f t="shared" ref="BN205:BN268" si="501">IFERROR(BO205/$BM205*10,0)</f>
        <v>0</v>
      </c>
      <c r="BO205" s="1989" t="e">
        <f>#REF!/10^7</f>
        <v>#REF!</v>
      </c>
      <c r="BP205" s="2003">
        <f t="shared" ref="BP205:BP268" si="502">IFERROR(BQ205/$BM205*10,0)</f>
        <v>0</v>
      </c>
      <c r="BQ205" s="1989" t="e">
        <f>#REF!/10^7</f>
        <v>#REF!</v>
      </c>
      <c r="BR205" s="2003">
        <f t="shared" ref="BR205:BR268" si="503">IFERROR(BS205/$BM205*10,0)</f>
        <v>0</v>
      </c>
      <c r="BS205" s="1989" t="e">
        <f>#REF!/10^7</f>
        <v>#REF!</v>
      </c>
      <c r="BT205" s="1989" t="e">
        <f>#REF!/10^7</f>
        <v>#REF!</v>
      </c>
      <c r="BU205" s="2002" t="e">
        <f t="shared" ref="BU205:BU268" si="504">IF(BM205=0,0,(BV205/(BM205)*10))</f>
        <v>#REF!</v>
      </c>
      <c r="BV205" s="1999" t="e">
        <f t="shared" si="439"/>
        <v>#REF!</v>
      </c>
      <c r="BW205" s="1993" t="e">
        <f>#REF!</f>
        <v>#REF!</v>
      </c>
      <c r="BX205" s="2003">
        <f t="shared" ref="BX205:BX268" si="505">IFERROR(BY205/$BW205*10,0)</f>
        <v>0</v>
      </c>
      <c r="BY205" s="1989" t="e">
        <f>#REF!/10^7</f>
        <v>#REF!</v>
      </c>
      <c r="BZ205" s="2003">
        <f t="shared" ref="BZ205:BZ268" si="506">IFERROR(CA205/$BW205*10,0)</f>
        <v>0</v>
      </c>
      <c r="CA205" s="1989" t="e">
        <f>#REF!/10^7</f>
        <v>#REF!</v>
      </c>
      <c r="CB205" s="2003">
        <f t="shared" ref="CB205:CB268" si="507">IFERROR(CC205/$BW205*10,0)</f>
        <v>0</v>
      </c>
      <c r="CC205" s="1989" t="e">
        <f>#REF!/10^7</f>
        <v>#REF!</v>
      </c>
      <c r="CD205" s="1989" t="e">
        <f>#REF!/10^7</f>
        <v>#REF!</v>
      </c>
      <c r="CE205" s="2002" t="e">
        <f t="shared" ref="CE205:CE268" si="508">IF(BW205=0,0,(CF205/(BW205)*10))</f>
        <v>#REF!</v>
      </c>
      <c r="CF205" s="1999" t="e">
        <f t="shared" si="440"/>
        <v>#REF!</v>
      </c>
      <c r="CG205" s="1993" t="e">
        <f>#REF!</f>
        <v>#REF!</v>
      </c>
      <c r="CH205" s="2003">
        <f t="shared" ref="CH205:CH268" si="509">IFERROR(CI205/$CG205*10,0)</f>
        <v>0</v>
      </c>
      <c r="CI205" s="1989" t="e">
        <f>#REF!/10^7</f>
        <v>#REF!</v>
      </c>
      <c r="CJ205" s="2003">
        <f t="shared" ref="CJ205:CJ268" si="510">IFERROR(CK205/$CG205*10,0)</f>
        <v>0</v>
      </c>
      <c r="CK205" s="1989" t="e">
        <f>#REF!/10^7</f>
        <v>#REF!</v>
      </c>
      <c r="CL205" s="2003">
        <f t="shared" ref="CL205:CL268" si="511">IFERROR(CM205/$CG205*10,0)</f>
        <v>0</v>
      </c>
      <c r="CM205" s="1989" t="e">
        <f>#REF!/10^7</f>
        <v>#REF!</v>
      </c>
      <c r="CN205" s="1989" t="e">
        <f>#REF!/10^7</f>
        <v>#REF!</v>
      </c>
      <c r="CO205" s="2002" t="e">
        <f t="shared" ref="CO205:CO268" si="512">IF(CG205=0,0,(CP205/(CG205)*10))</f>
        <v>#REF!</v>
      </c>
      <c r="CP205" s="1999" t="e">
        <f t="shared" si="441"/>
        <v>#REF!</v>
      </c>
      <c r="CQ205" s="1993" t="e">
        <f>#REF!</f>
        <v>#REF!</v>
      </c>
      <c r="CR205" s="2003">
        <f t="shared" ref="CR205:CR268" si="513">IFERROR(CS205/$CQ205*10,0)</f>
        <v>0</v>
      </c>
      <c r="CS205" s="1989" t="e">
        <f>#REF!/10^7</f>
        <v>#REF!</v>
      </c>
      <c r="CT205" s="2003">
        <f t="shared" ref="CT205:CT268" si="514">IFERROR(CU205/$CQ205*10,0)</f>
        <v>0</v>
      </c>
      <c r="CU205" s="1989" t="e">
        <f>#REF!/10^7</f>
        <v>#REF!</v>
      </c>
      <c r="CV205" s="2003">
        <f t="shared" ref="CV205:CV268" si="515">IFERROR(CW205/$CQ205*10,0)</f>
        <v>0</v>
      </c>
      <c r="CW205" s="1989" t="e">
        <f>#REF!/10^7</f>
        <v>#REF!</v>
      </c>
      <c r="CX205" s="1989" t="e">
        <f>#REF!/10^7</f>
        <v>#REF!</v>
      </c>
      <c r="CY205" s="2002" t="e">
        <f t="shared" ref="CY205:CY268" si="516">IF(CQ205=0,0,(CZ205/(CQ205)*10))</f>
        <v>#REF!</v>
      </c>
      <c r="CZ205" s="1999" t="e">
        <f t="shared" si="442"/>
        <v>#REF!</v>
      </c>
      <c r="DA205" s="1993" t="e">
        <f>#REF!</f>
        <v>#REF!</v>
      </c>
      <c r="DB205" s="2003">
        <f t="shared" ref="DB205:DB268" si="517">IFERROR(DC205/$DA205*10,0)</f>
        <v>0</v>
      </c>
      <c r="DC205" s="1989" t="e">
        <f>#REF!/10^7</f>
        <v>#REF!</v>
      </c>
      <c r="DD205" s="2003">
        <f t="shared" ref="DD205:DD268" si="518">IFERROR(DE205/$DA205*10,0)</f>
        <v>0</v>
      </c>
      <c r="DE205" s="1989" t="e">
        <f>#REF!/10^7</f>
        <v>#REF!</v>
      </c>
      <c r="DF205" s="2003">
        <f t="shared" ref="DF205:DF268" si="519">IFERROR(DG205/$DA205*10,0)</f>
        <v>0</v>
      </c>
      <c r="DG205" s="1989" t="e">
        <f>#REF!/10^7</f>
        <v>#REF!</v>
      </c>
      <c r="DH205" s="1989" t="e">
        <f>#REF!/10^7</f>
        <v>#REF!</v>
      </c>
      <c r="DI205" s="2002" t="e">
        <f t="shared" ref="DI205:DI268" si="520">IF(DA205=0,0,(DJ205/(DA205)*10))</f>
        <v>#REF!</v>
      </c>
      <c r="DJ205" s="1999" t="e">
        <f t="shared" si="471"/>
        <v>#REF!</v>
      </c>
      <c r="DK205" s="1993" t="e">
        <f>#REF!</f>
        <v>#REF!</v>
      </c>
      <c r="DL205" s="2003">
        <f t="shared" ref="DL205:DL268" si="521">IFERROR(DM205/$DK205*10,0)</f>
        <v>0</v>
      </c>
      <c r="DM205" s="1989" t="e">
        <f>#REF!/10^7</f>
        <v>#REF!</v>
      </c>
      <c r="DN205" s="2003">
        <f t="shared" ref="DN205:DN268" si="522">IFERROR(DO205/$DK205*10,0)</f>
        <v>0</v>
      </c>
      <c r="DO205" s="1989" t="e">
        <f>#REF!/10^7</f>
        <v>#REF!</v>
      </c>
      <c r="DP205" s="2003">
        <f t="shared" ref="DP205:DP268" si="523">IFERROR(DQ205/$DK205*10,0)</f>
        <v>0</v>
      </c>
      <c r="DQ205" s="1989" t="e">
        <f>#REF!/10^7</f>
        <v>#REF!</v>
      </c>
      <c r="DR205" s="1989" t="e">
        <f>#REF!/10^7</f>
        <v>#REF!</v>
      </c>
      <c r="DS205" s="2002" t="e">
        <f t="shared" ref="DS205:DS268" si="524">IF(DK205=0,0,(DT205/(DK205)*10))</f>
        <v>#REF!</v>
      </c>
      <c r="DT205" s="2004" t="e">
        <f t="shared" si="472"/>
        <v>#REF!</v>
      </c>
      <c r="DU205" s="1988" t="e">
        <f>#REF!</f>
        <v>#REF!</v>
      </c>
      <c r="DV205" s="2003">
        <f t="shared" ref="DV205:DV268" si="525">IFERROR(DW205/$DU205*10,0)</f>
        <v>0</v>
      </c>
      <c r="DW205" s="1989" t="e">
        <f>#REF!/10^7</f>
        <v>#REF!</v>
      </c>
      <c r="DX205" s="2003">
        <f t="shared" ref="DX205:DX268" si="526">IFERROR(DY205/$DU205*10,0)</f>
        <v>0</v>
      </c>
      <c r="DY205" s="1989" t="e">
        <f>#REF!/10^7</f>
        <v>#REF!</v>
      </c>
      <c r="DZ205" s="2003">
        <f t="shared" ref="DZ205:DZ268" si="527">IFERROR(EA205/$DU205*10,0)</f>
        <v>0</v>
      </c>
      <c r="EA205" s="1989" t="e">
        <f>#REF!/10^7</f>
        <v>#REF!</v>
      </c>
      <c r="EB205" s="1989" t="e">
        <f>#REF!/10^7</f>
        <v>#REF!</v>
      </c>
      <c r="EC205" s="2002" t="e">
        <f t="shared" ref="EC205:EC268" si="528">IF(DU205=0,0,(ED205/(DU205)*10))</f>
        <v>#REF!</v>
      </c>
      <c r="ED205" s="1998" t="e">
        <f t="shared" si="473"/>
        <v>#REF!</v>
      </c>
      <c r="EE205" s="2005" t="e">
        <f t="shared" si="475"/>
        <v>#REF!</v>
      </c>
      <c r="EF205" s="2003">
        <f t="shared" ref="EF205:EF268" si="529">IFERROR(EG205/$EE205*10,0)</f>
        <v>0</v>
      </c>
      <c r="EG205" s="1989" t="e">
        <f t="shared" si="476"/>
        <v>#REF!</v>
      </c>
      <c r="EH205" s="2003">
        <f t="shared" ref="EH205:EH268" si="530">IFERROR(EI205/$EE205*10,0)</f>
        <v>0</v>
      </c>
      <c r="EI205" s="1989" t="e">
        <f t="shared" si="477"/>
        <v>#REF!</v>
      </c>
      <c r="EJ205" s="2003">
        <f t="shared" ref="EJ205:EJ268" si="531">IFERROR(EK205/$EE205*10,0)</f>
        <v>0</v>
      </c>
      <c r="EK205" s="1989" t="e">
        <f t="shared" si="478"/>
        <v>#REF!</v>
      </c>
      <c r="EL205" s="1989" t="e">
        <f t="shared" si="478"/>
        <v>#REF!</v>
      </c>
      <c r="EM205" s="2006" t="e">
        <f t="shared" ref="EM205:EM268" si="532">IF(EE205=0,0,(EN205/(EE205)*10))</f>
        <v>#REF!</v>
      </c>
      <c r="EN205" s="1999" t="e">
        <f t="shared" si="479"/>
        <v>#REF!</v>
      </c>
      <c r="EO205" s="1613">
        <v>34.066036500000003</v>
      </c>
      <c r="EP205" s="1613" t="e">
        <f>EA205-#REF!/10^7</f>
        <v>#REF!</v>
      </c>
      <c r="ER205" s="1612" t="e">
        <f t="shared" si="480"/>
        <v>#REF!</v>
      </c>
      <c r="EW205" s="1611" t="e">
        <v>#N/A</v>
      </c>
      <c r="EX205" s="1612" t="e">
        <v>#N/A</v>
      </c>
      <c r="EZ205" s="1650">
        <f t="shared" ref="EZ205:EZ268" si="533">IFERROR(EI205/(EE205*10^6),0)</f>
        <v>0</v>
      </c>
    </row>
    <row r="206" spans="1:156" ht="21" customHeight="1">
      <c r="A206" s="1652">
        <v>16</v>
      </c>
      <c r="B206" s="1701" t="s">
        <v>1874</v>
      </c>
      <c r="C206" s="1662">
        <v>12</v>
      </c>
      <c r="D206" s="1646">
        <f t="shared" si="474"/>
        <v>100</v>
      </c>
      <c r="E206" s="1646"/>
      <c r="F206" s="1648" t="s">
        <v>1594</v>
      </c>
      <c r="G206" s="1648"/>
      <c r="H206" s="1648">
        <v>12</v>
      </c>
      <c r="I206" s="1648" t="s">
        <v>1717</v>
      </c>
      <c r="J206" s="1649">
        <v>2</v>
      </c>
      <c r="K206" s="1648"/>
      <c r="L206" s="1648"/>
      <c r="M206" s="1648"/>
      <c r="N206" s="1642"/>
      <c r="O206" s="2000" t="e">
        <f>#REF!</f>
        <v>#REF!</v>
      </c>
      <c r="P206" s="2003">
        <f t="shared" si="481"/>
        <v>0</v>
      </c>
      <c r="Q206" s="1989" t="e">
        <f>#REF!/10^7</f>
        <v>#REF!</v>
      </c>
      <c r="R206" s="2003">
        <f t="shared" si="482"/>
        <v>0</v>
      </c>
      <c r="S206" s="1989" t="e">
        <f>#REF!/10^7</f>
        <v>#REF!</v>
      </c>
      <c r="T206" s="2003">
        <f t="shared" si="483"/>
        <v>0</v>
      </c>
      <c r="U206" s="1989" t="e">
        <f>#REF!/10^7</f>
        <v>#REF!</v>
      </c>
      <c r="V206" s="1989" t="e">
        <f>#REF!/10^7</f>
        <v>#REF!</v>
      </c>
      <c r="W206" s="1989">
        <f t="shared" si="484"/>
        <v>0</v>
      </c>
      <c r="X206" s="1999" t="e">
        <f t="shared" si="467"/>
        <v>#REF!</v>
      </c>
      <c r="Y206" s="1993" t="e">
        <f>#REF!</f>
        <v>#REF!</v>
      </c>
      <c r="Z206" s="2003">
        <f t="shared" si="485"/>
        <v>0</v>
      </c>
      <c r="AA206" s="1989" t="e">
        <f>#REF!/10^7</f>
        <v>#REF!</v>
      </c>
      <c r="AB206" s="2003">
        <f t="shared" si="486"/>
        <v>0</v>
      </c>
      <c r="AC206" s="1989" t="e">
        <f>#REF!/10^7</f>
        <v>#REF!</v>
      </c>
      <c r="AD206" s="2003">
        <f t="shared" si="487"/>
        <v>0</v>
      </c>
      <c r="AE206" s="1989" t="e">
        <f>#REF!/10^7</f>
        <v>#REF!</v>
      </c>
      <c r="AF206" s="1989" t="e">
        <f>#REF!/10^7</f>
        <v>#REF!</v>
      </c>
      <c r="AG206" s="2002" t="e">
        <f t="shared" si="488"/>
        <v>#REF!</v>
      </c>
      <c r="AH206" s="1999" t="e">
        <f t="shared" si="468"/>
        <v>#REF!</v>
      </c>
      <c r="AI206" s="1993" t="e">
        <f>#REF!</f>
        <v>#REF!</v>
      </c>
      <c r="AJ206" s="2003">
        <f t="shared" si="489"/>
        <v>0</v>
      </c>
      <c r="AK206" s="1989" t="e">
        <f>#REF!/10^7</f>
        <v>#REF!</v>
      </c>
      <c r="AL206" s="2003">
        <f t="shared" si="490"/>
        <v>0</v>
      </c>
      <c r="AM206" s="1989" t="e">
        <f>#REF!/10^7</f>
        <v>#REF!</v>
      </c>
      <c r="AN206" s="2003">
        <f t="shared" si="491"/>
        <v>0</v>
      </c>
      <c r="AO206" s="1989" t="e">
        <f>#REF!/10^7</f>
        <v>#REF!</v>
      </c>
      <c r="AP206" s="1989" t="e">
        <f>#REF!/10^7</f>
        <v>#REF!</v>
      </c>
      <c r="AQ206" s="2002" t="e">
        <f t="shared" si="492"/>
        <v>#REF!</v>
      </c>
      <c r="AR206" s="1999" t="e">
        <f t="shared" si="469"/>
        <v>#REF!</v>
      </c>
      <c r="AS206" s="1993" t="e">
        <f>#REF!</f>
        <v>#REF!</v>
      </c>
      <c r="AT206" s="2003">
        <f t="shared" si="493"/>
        <v>0</v>
      </c>
      <c r="AU206" s="1989" t="e">
        <f>#REF!/10^7</f>
        <v>#REF!</v>
      </c>
      <c r="AV206" s="2003">
        <f t="shared" si="494"/>
        <v>0</v>
      </c>
      <c r="AW206" s="1989" t="e">
        <f>#REF!/10^7</f>
        <v>#REF!</v>
      </c>
      <c r="AX206" s="2003">
        <f t="shared" si="495"/>
        <v>0</v>
      </c>
      <c r="AY206" s="1989" t="e">
        <f>#REF!/10^7</f>
        <v>#REF!</v>
      </c>
      <c r="AZ206" s="1989" t="e">
        <f>#REF!/10^7</f>
        <v>#REF!</v>
      </c>
      <c r="BA206" s="2002" t="e">
        <f t="shared" si="496"/>
        <v>#REF!</v>
      </c>
      <c r="BB206" s="1999" t="e">
        <f t="shared" si="470"/>
        <v>#REF!</v>
      </c>
      <c r="BC206" s="1993" t="e">
        <f>#REF!</f>
        <v>#REF!</v>
      </c>
      <c r="BD206" s="2003">
        <f t="shared" si="497"/>
        <v>0</v>
      </c>
      <c r="BE206" s="1989" t="e">
        <f>#REF!/10^7</f>
        <v>#REF!</v>
      </c>
      <c r="BF206" s="2003">
        <f t="shared" si="498"/>
        <v>0</v>
      </c>
      <c r="BG206" s="1989" t="e">
        <f>#REF!/10^7</f>
        <v>#REF!</v>
      </c>
      <c r="BH206" s="2003">
        <f t="shared" si="499"/>
        <v>0</v>
      </c>
      <c r="BI206" s="1989" t="e">
        <f>#REF!/10^7</f>
        <v>#REF!</v>
      </c>
      <c r="BJ206" s="1989" t="e">
        <f>#REF!/10^7</f>
        <v>#REF!</v>
      </c>
      <c r="BK206" s="2002" t="e">
        <f t="shared" si="500"/>
        <v>#REF!</v>
      </c>
      <c r="BL206" s="1999" t="e">
        <f t="shared" si="438"/>
        <v>#REF!</v>
      </c>
      <c r="BM206" s="1993" t="e">
        <f>#REF!</f>
        <v>#REF!</v>
      </c>
      <c r="BN206" s="2003">
        <f t="shared" si="501"/>
        <v>0</v>
      </c>
      <c r="BO206" s="1989" t="e">
        <f>#REF!/10^7</f>
        <v>#REF!</v>
      </c>
      <c r="BP206" s="2003">
        <f t="shared" si="502"/>
        <v>0</v>
      </c>
      <c r="BQ206" s="1989" t="e">
        <f>#REF!/10^7</f>
        <v>#REF!</v>
      </c>
      <c r="BR206" s="2003">
        <f t="shared" si="503"/>
        <v>0</v>
      </c>
      <c r="BS206" s="1989" t="e">
        <f>#REF!/10^7</f>
        <v>#REF!</v>
      </c>
      <c r="BT206" s="1989" t="e">
        <f>#REF!/10^7</f>
        <v>#REF!</v>
      </c>
      <c r="BU206" s="2002" t="e">
        <f t="shared" si="504"/>
        <v>#REF!</v>
      </c>
      <c r="BV206" s="1999" t="e">
        <f t="shared" si="439"/>
        <v>#REF!</v>
      </c>
      <c r="BW206" s="1993" t="e">
        <f>#REF!</f>
        <v>#REF!</v>
      </c>
      <c r="BX206" s="2003">
        <f t="shared" si="505"/>
        <v>0</v>
      </c>
      <c r="BY206" s="1989" t="e">
        <f>#REF!/10^7</f>
        <v>#REF!</v>
      </c>
      <c r="BZ206" s="2003">
        <f t="shared" si="506"/>
        <v>0</v>
      </c>
      <c r="CA206" s="1989" t="e">
        <f>#REF!/10^7</f>
        <v>#REF!</v>
      </c>
      <c r="CB206" s="2003">
        <f t="shared" si="507"/>
        <v>0</v>
      </c>
      <c r="CC206" s="1989" t="e">
        <f>#REF!/10^7</f>
        <v>#REF!</v>
      </c>
      <c r="CD206" s="1989" t="e">
        <f>#REF!/10^7</f>
        <v>#REF!</v>
      </c>
      <c r="CE206" s="2002" t="e">
        <f t="shared" si="508"/>
        <v>#REF!</v>
      </c>
      <c r="CF206" s="1999" t="e">
        <f t="shared" si="440"/>
        <v>#REF!</v>
      </c>
      <c r="CG206" s="1993" t="e">
        <f>#REF!</f>
        <v>#REF!</v>
      </c>
      <c r="CH206" s="2003">
        <f t="shared" si="509"/>
        <v>0</v>
      </c>
      <c r="CI206" s="1989" t="e">
        <f>#REF!/10^7</f>
        <v>#REF!</v>
      </c>
      <c r="CJ206" s="2003">
        <f t="shared" si="510"/>
        <v>0</v>
      </c>
      <c r="CK206" s="1989" t="e">
        <f>#REF!/10^7</f>
        <v>#REF!</v>
      </c>
      <c r="CL206" s="2003">
        <f t="shared" si="511"/>
        <v>0</v>
      </c>
      <c r="CM206" s="1989" t="e">
        <f>#REF!/10^7</f>
        <v>#REF!</v>
      </c>
      <c r="CN206" s="1989" t="e">
        <f>#REF!/10^7</f>
        <v>#REF!</v>
      </c>
      <c r="CO206" s="2002" t="e">
        <f t="shared" si="512"/>
        <v>#REF!</v>
      </c>
      <c r="CP206" s="1999" t="e">
        <f t="shared" si="441"/>
        <v>#REF!</v>
      </c>
      <c r="CQ206" s="1993" t="e">
        <f>#REF!</f>
        <v>#REF!</v>
      </c>
      <c r="CR206" s="2003">
        <f t="shared" si="513"/>
        <v>0</v>
      </c>
      <c r="CS206" s="1989" t="e">
        <f>#REF!/10^7</f>
        <v>#REF!</v>
      </c>
      <c r="CT206" s="2003">
        <f t="shared" si="514"/>
        <v>0</v>
      </c>
      <c r="CU206" s="1989" t="e">
        <f>#REF!/10^7</f>
        <v>#REF!</v>
      </c>
      <c r="CV206" s="2003">
        <f t="shared" si="515"/>
        <v>0</v>
      </c>
      <c r="CW206" s="1989" t="e">
        <f>#REF!/10^7</f>
        <v>#REF!</v>
      </c>
      <c r="CX206" s="1989" t="e">
        <f>#REF!/10^7</f>
        <v>#REF!</v>
      </c>
      <c r="CY206" s="2002" t="e">
        <f t="shared" si="516"/>
        <v>#REF!</v>
      </c>
      <c r="CZ206" s="1999" t="e">
        <f t="shared" si="442"/>
        <v>#REF!</v>
      </c>
      <c r="DA206" s="1993" t="e">
        <f>#REF!</f>
        <v>#REF!</v>
      </c>
      <c r="DB206" s="2003">
        <f t="shared" si="517"/>
        <v>0</v>
      </c>
      <c r="DC206" s="1989" t="e">
        <f>#REF!/10^7</f>
        <v>#REF!</v>
      </c>
      <c r="DD206" s="2003">
        <f t="shared" si="518"/>
        <v>0</v>
      </c>
      <c r="DE206" s="1989" t="e">
        <f>#REF!/10^7</f>
        <v>#REF!</v>
      </c>
      <c r="DF206" s="2003">
        <f t="shared" si="519"/>
        <v>0</v>
      </c>
      <c r="DG206" s="1989" t="e">
        <f>#REF!/10^7</f>
        <v>#REF!</v>
      </c>
      <c r="DH206" s="1989" t="e">
        <f>#REF!/10^7</f>
        <v>#REF!</v>
      </c>
      <c r="DI206" s="2002" t="e">
        <f t="shared" si="520"/>
        <v>#REF!</v>
      </c>
      <c r="DJ206" s="1999" t="e">
        <f t="shared" si="471"/>
        <v>#REF!</v>
      </c>
      <c r="DK206" s="1993" t="e">
        <f>#REF!</f>
        <v>#REF!</v>
      </c>
      <c r="DL206" s="2003">
        <f t="shared" si="521"/>
        <v>0</v>
      </c>
      <c r="DM206" s="1989" t="e">
        <f>#REF!/10^7</f>
        <v>#REF!</v>
      </c>
      <c r="DN206" s="2003">
        <f t="shared" si="522"/>
        <v>0</v>
      </c>
      <c r="DO206" s="1989" t="e">
        <f>#REF!/10^7</f>
        <v>#REF!</v>
      </c>
      <c r="DP206" s="2003">
        <f t="shared" si="523"/>
        <v>0</v>
      </c>
      <c r="DQ206" s="1989" t="e">
        <f>#REF!/10^7</f>
        <v>#REF!</v>
      </c>
      <c r="DR206" s="1989" t="e">
        <f>#REF!/10^7</f>
        <v>#REF!</v>
      </c>
      <c r="DS206" s="2002" t="e">
        <f t="shared" si="524"/>
        <v>#REF!</v>
      </c>
      <c r="DT206" s="2004" t="e">
        <f t="shared" si="472"/>
        <v>#REF!</v>
      </c>
      <c r="DU206" s="1988" t="e">
        <f>#REF!</f>
        <v>#REF!</v>
      </c>
      <c r="DV206" s="2003">
        <f t="shared" si="525"/>
        <v>0</v>
      </c>
      <c r="DW206" s="1989" t="e">
        <f>#REF!/10^7</f>
        <v>#REF!</v>
      </c>
      <c r="DX206" s="2003">
        <f t="shared" si="526"/>
        <v>0</v>
      </c>
      <c r="DY206" s="1989" t="e">
        <f>#REF!/10^7</f>
        <v>#REF!</v>
      </c>
      <c r="DZ206" s="2003">
        <f t="shared" si="527"/>
        <v>0</v>
      </c>
      <c r="EA206" s="1989" t="e">
        <f>#REF!/10^7</f>
        <v>#REF!</v>
      </c>
      <c r="EB206" s="1989" t="e">
        <f>#REF!/10^7</f>
        <v>#REF!</v>
      </c>
      <c r="EC206" s="2002" t="e">
        <f t="shared" si="528"/>
        <v>#REF!</v>
      </c>
      <c r="ED206" s="1998" t="e">
        <f t="shared" si="473"/>
        <v>#REF!</v>
      </c>
      <c r="EE206" s="2005" t="e">
        <f t="shared" si="475"/>
        <v>#REF!</v>
      </c>
      <c r="EF206" s="2003">
        <f t="shared" si="529"/>
        <v>0</v>
      </c>
      <c r="EG206" s="1989" t="e">
        <f t="shared" si="476"/>
        <v>#REF!</v>
      </c>
      <c r="EH206" s="2003">
        <f t="shared" si="530"/>
        <v>0</v>
      </c>
      <c r="EI206" s="1989" t="e">
        <f t="shared" si="477"/>
        <v>#REF!</v>
      </c>
      <c r="EJ206" s="2003">
        <f t="shared" si="531"/>
        <v>0</v>
      </c>
      <c r="EK206" s="1989" t="e">
        <f t="shared" si="478"/>
        <v>#REF!</v>
      </c>
      <c r="EL206" s="1989" t="e">
        <f t="shared" si="478"/>
        <v>#REF!</v>
      </c>
      <c r="EM206" s="2006" t="e">
        <f t="shared" si="532"/>
        <v>#REF!</v>
      </c>
      <c r="EN206" s="1999" t="e">
        <f t="shared" si="479"/>
        <v>#REF!</v>
      </c>
      <c r="EO206" s="1613">
        <v>23.021477999999998</v>
      </c>
      <c r="EP206" s="1613" t="e">
        <f>EA206-#REF!/10^7</f>
        <v>#REF!</v>
      </c>
      <c r="ER206" s="1612" t="e">
        <f t="shared" si="480"/>
        <v>#REF!</v>
      </c>
      <c r="EW206" s="1611" t="e">
        <v>#N/A</v>
      </c>
      <c r="EX206" s="1612" t="e">
        <v>#N/A</v>
      </c>
      <c r="EZ206" s="1650">
        <f t="shared" si="533"/>
        <v>0</v>
      </c>
    </row>
    <row r="207" spans="1:156" ht="21" customHeight="1">
      <c r="A207" s="1652">
        <v>17</v>
      </c>
      <c r="B207" s="1701" t="s">
        <v>1875</v>
      </c>
      <c r="C207" s="1662">
        <v>27.25</v>
      </c>
      <c r="D207" s="1646">
        <f t="shared" si="474"/>
        <v>100</v>
      </c>
      <c r="E207" s="1646"/>
      <c r="F207" s="1648" t="s">
        <v>1594</v>
      </c>
      <c r="G207" s="1648"/>
      <c r="H207" s="1648">
        <v>27.25</v>
      </c>
      <c r="I207" s="1648" t="s">
        <v>1717</v>
      </c>
      <c r="J207" s="1649">
        <v>2</v>
      </c>
      <c r="K207" s="1648"/>
      <c r="L207" s="1648"/>
      <c r="M207" s="1648"/>
      <c r="N207" s="1642"/>
      <c r="O207" s="2000" t="e">
        <f>#REF!</f>
        <v>#REF!</v>
      </c>
      <c r="P207" s="2003">
        <f t="shared" si="481"/>
        <v>0</v>
      </c>
      <c r="Q207" s="1989" t="e">
        <f>#REF!/10^7</f>
        <v>#REF!</v>
      </c>
      <c r="R207" s="2003">
        <f t="shared" si="482"/>
        <v>0</v>
      </c>
      <c r="S207" s="1989" t="e">
        <f>#REF!/10^7</f>
        <v>#REF!</v>
      </c>
      <c r="T207" s="2003">
        <f t="shared" si="483"/>
        <v>0</v>
      </c>
      <c r="U207" s="1989" t="e">
        <f>#REF!/10^7</f>
        <v>#REF!</v>
      </c>
      <c r="V207" s="1989" t="e">
        <f>#REF!/10^7</f>
        <v>#REF!</v>
      </c>
      <c r="W207" s="1989">
        <f t="shared" si="484"/>
        <v>0</v>
      </c>
      <c r="X207" s="1999" t="e">
        <f t="shared" si="467"/>
        <v>#REF!</v>
      </c>
      <c r="Y207" s="1993" t="e">
        <f>#REF!</f>
        <v>#REF!</v>
      </c>
      <c r="Z207" s="2003">
        <f t="shared" si="485"/>
        <v>0</v>
      </c>
      <c r="AA207" s="1989" t="e">
        <f>#REF!/10^7</f>
        <v>#REF!</v>
      </c>
      <c r="AB207" s="2003">
        <f t="shared" si="486"/>
        <v>0</v>
      </c>
      <c r="AC207" s="1989" t="e">
        <f>#REF!/10^7</f>
        <v>#REF!</v>
      </c>
      <c r="AD207" s="2003">
        <f t="shared" si="487"/>
        <v>0</v>
      </c>
      <c r="AE207" s="1989" t="e">
        <f>#REF!/10^7</f>
        <v>#REF!</v>
      </c>
      <c r="AF207" s="1989" t="e">
        <f>#REF!/10^7</f>
        <v>#REF!</v>
      </c>
      <c r="AG207" s="2002" t="e">
        <f t="shared" si="488"/>
        <v>#REF!</v>
      </c>
      <c r="AH207" s="1999" t="e">
        <f t="shared" si="468"/>
        <v>#REF!</v>
      </c>
      <c r="AI207" s="1993" t="e">
        <f>#REF!</f>
        <v>#REF!</v>
      </c>
      <c r="AJ207" s="2003">
        <f t="shared" si="489"/>
        <v>0</v>
      </c>
      <c r="AK207" s="1989" t="e">
        <f>#REF!/10^7</f>
        <v>#REF!</v>
      </c>
      <c r="AL207" s="2003">
        <f t="shared" si="490"/>
        <v>0</v>
      </c>
      <c r="AM207" s="1989" t="e">
        <f>#REF!/10^7</f>
        <v>#REF!</v>
      </c>
      <c r="AN207" s="2003">
        <f t="shared" si="491"/>
        <v>0</v>
      </c>
      <c r="AO207" s="1989" t="e">
        <f>#REF!/10^7</f>
        <v>#REF!</v>
      </c>
      <c r="AP207" s="1989" t="e">
        <f>#REF!/10^7</f>
        <v>#REF!</v>
      </c>
      <c r="AQ207" s="2002" t="e">
        <f t="shared" si="492"/>
        <v>#REF!</v>
      </c>
      <c r="AR207" s="1999" t="e">
        <f t="shared" si="469"/>
        <v>#REF!</v>
      </c>
      <c r="AS207" s="1993" t="e">
        <f>#REF!</f>
        <v>#REF!</v>
      </c>
      <c r="AT207" s="2003">
        <f t="shared" si="493"/>
        <v>0</v>
      </c>
      <c r="AU207" s="1989" t="e">
        <f>#REF!/10^7</f>
        <v>#REF!</v>
      </c>
      <c r="AV207" s="2003">
        <f t="shared" si="494"/>
        <v>0</v>
      </c>
      <c r="AW207" s="1989" t="e">
        <f>#REF!/10^7</f>
        <v>#REF!</v>
      </c>
      <c r="AX207" s="2003">
        <f t="shared" si="495"/>
        <v>0</v>
      </c>
      <c r="AY207" s="1989" t="e">
        <f>#REF!/10^7</f>
        <v>#REF!</v>
      </c>
      <c r="AZ207" s="1989" t="e">
        <f>#REF!/10^7</f>
        <v>#REF!</v>
      </c>
      <c r="BA207" s="2002" t="e">
        <f t="shared" si="496"/>
        <v>#REF!</v>
      </c>
      <c r="BB207" s="1999" t="e">
        <f t="shared" si="470"/>
        <v>#REF!</v>
      </c>
      <c r="BC207" s="1993" t="e">
        <f>#REF!</f>
        <v>#REF!</v>
      </c>
      <c r="BD207" s="2003">
        <f t="shared" si="497"/>
        <v>0</v>
      </c>
      <c r="BE207" s="1989" t="e">
        <f>#REF!/10^7</f>
        <v>#REF!</v>
      </c>
      <c r="BF207" s="2003">
        <f t="shared" si="498"/>
        <v>0</v>
      </c>
      <c r="BG207" s="1989" t="e">
        <f>#REF!/10^7</f>
        <v>#REF!</v>
      </c>
      <c r="BH207" s="2003">
        <f t="shared" si="499"/>
        <v>0</v>
      </c>
      <c r="BI207" s="1989" t="e">
        <f>#REF!/10^7</f>
        <v>#REF!</v>
      </c>
      <c r="BJ207" s="1989" t="e">
        <f>#REF!/10^7</f>
        <v>#REF!</v>
      </c>
      <c r="BK207" s="2002" t="e">
        <f t="shared" si="500"/>
        <v>#REF!</v>
      </c>
      <c r="BL207" s="1999" t="e">
        <f t="shared" si="438"/>
        <v>#REF!</v>
      </c>
      <c r="BM207" s="1993" t="e">
        <f>#REF!</f>
        <v>#REF!</v>
      </c>
      <c r="BN207" s="2003">
        <f t="shared" si="501"/>
        <v>0</v>
      </c>
      <c r="BO207" s="1989" t="e">
        <f>#REF!/10^7</f>
        <v>#REF!</v>
      </c>
      <c r="BP207" s="2003">
        <f t="shared" si="502"/>
        <v>0</v>
      </c>
      <c r="BQ207" s="1989" t="e">
        <f>#REF!/10^7</f>
        <v>#REF!</v>
      </c>
      <c r="BR207" s="2003">
        <f t="shared" si="503"/>
        <v>0</v>
      </c>
      <c r="BS207" s="1989" t="e">
        <f>#REF!/10^7</f>
        <v>#REF!</v>
      </c>
      <c r="BT207" s="1989" t="e">
        <f>#REF!/10^7</f>
        <v>#REF!</v>
      </c>
      <c r="BU207" s="2002" t="e">
        <f t="shared" si="504"/>
        <v>#REF!</v>
      </c>
      <c r="BV207" s="1999" t="e">
        <f t="shared" si="439"/>
        <v>#REF!</v>
      </c>
      <c r="BW207" s="1993" t="e">
        <f>#REF!</f>
        <v>#REF!</v>
      </c>
      <c r="BX207" s="2003">
        <f t="shared" si="505"/>
        <v>0</v>
      </c>
      <c r="BY207" s="1989" t="e">
        <f>#REF!/10^7</f>
        <v>#REF!</v>
      </c>
      <c r="BZ207" s="2003">
        <f t="shared" si="506"/>
        <v>0</v>
      </c>
      <c r="CA207" s="1989" t="e">
        <f>#REF!/10^7</f>
        <v>#REF!</v>
      </c>
      <c r="CB207" s="2003">
        <f t="shared" si="507"/>
        <v>0</v>
      </c>
      <c r="CC207" s="1989" t="e">
        <f>#REF!/10^7</f>
        <v>#REF!</v>
      </c>
      <c r="CD207" s="1989" t="e">
        <f>#REF!/10^7</f>
        <v>#REF!</v>
      </c>
      <c r="CE207" s="2002" t="e">
        <f t="shared" si="508"/>
        <v>#REF!</v>
      </c>
      <c r="CF207" s="1999" t="e">
        <f t="shared" si="440"/>
        <v>#REF!</v>
      </c>
      <c r="CG207" s="1993" t="e">
        <f>#REF!</f>
        <v>#REF!</v>
      </c>
      <c r="CH207" s="2003">
        <f t="shared" si="509"/>
        <v>0</v>
      </c>
      <c r="CI207" s="1989" t="e">
        <f>#REF!/10^7</f>
        <v>#REF!</v>
      </c>
      <c r="CJ207" s="2003">
        <f t="shared" si="510"/>
        <v>0</v>
      </c>
      <c r="CK207" s="1989" t="e">
        <f>#REF!/10^7</f>
        <v>#REF!</v>
      </c>
      <c r="CL207" s="2003">
        <f t="shared" si="511"/>
        <v>0</v>
      </c>
      <c r="CM207" s="1989" t="e">
        <f>#REF!/10^7</f>
        <v>#REF!</v>
      </c>
      <c r="CN207" s="1989" t="e">
        <f>#REF!/10^7</f>
        <v>#REF!</v>
      </c>
      <c r="CO207" s="2002" t="e">
        <f t="shared" si="512"/>
        <v>#REF!</v>
      </c>
      <c r="CP207" s="1999" t="e">
        <f t="shared" si="441"/>
        <v>#REF!</v>
      </c>
      <c r="CQ207" s="1993" t="e">
        <f>#REF!</f>
        <v>#REF!</v>
      </c>
      <c r="CR207" s="2003">
        <f t="shared" si="513"/>
        <v>0</v>
      </c>
      <c r="CS207" s="1989" t="e">
        <f>#REF!/10^7</f>
        <v>#REF!</v>
      </c>
      <c r="CT207" s="2003">
        <f t="shared" si="514"/>
        <v>0</v>
      </c>
      <c r="CU207" s="1989" t="e">
        <f>#REF!/10^7</f>
        <v>#REF!</v>
      </c>
      <c r="CV207" s="2003">
        <f t="shared" si="515"/>
        <v>0</v>
      </c>
      <c r="CW207" s="1989" t="e">
        <f>#REF!/10^7</f>
        <v>#REF!</v>
      </c>
      <c r="CX207" s="1989" t="e">
        <f>#REF!/10^7</f>
        <v>#REF!</v>
      </c>
      <c r="CY207" s="2002" t="e">
        <f t="shared" si="516"/>
        <v>#REF!</v>
      </c>
      <c r="CZ207" s="1999" t="e">
        <f t="shared" si="442"/>
        <v>#REF!</v>
      </c>
      <c r="DA207" s="1993" t="e">
        <f>#REF!</f>
        <v>#REF!</v>
      </c>
      <c r="DB207" s="2003">
        <f t="shared" si="517"/>
        <v>0</v>
      </c>
      <c r="DC207" s="1989" t="e">
        <f>#REF!/10^7</f>
        <v>#REF!</v>
      </c>
      <c r="DD207" s="2003">
        <f t="shared" si="518"/>
        <v>0</v>
      </c>
      <c r="DE207" s="1989" t="e">
        <f>#REF!/10^7</f>
        <v>#REF!</v>
      </c>
      <c r="DF207" s="2003">
        <f t="shared" si="519"/>
        <v>0</v>
      </c>
      <c r="DG207" s="1989" t="e">
        <f>#REF!/10^7</f>
        <v>#REF!</v>
      </c>
      <c r="DH207" s="1989" t="e">
        <f>#REF!/10^7</f>
        <v>#REF!</v>
      </c>
      <c r="DI207" s="2002" t="e">
        <f t="shared" si="520"/>
        <v>#REF!</v>
      </c>
      <c r="DJ207" s="1999" t="e">
        <f t="shared" si="471"/>
        <v>#REF!</v>
      </c>
      <c r="DK207" s="1993" t="e">
        <f>#REF!</f>
        <v>#REF!</v>
      </c>
      <c r="DL207" s="2003">
        <f t="shared" si="521"/>
        <v>0</v>
      </c>
      <c r="DM207" s="1989" t="e">
        <f>#REF!/10^7</f>
        <v>#REF!</v>
      </c>
      <c r="DN207" s="2003">
        <f t="shared" si="522"/>
        <v>0</v>
      </c>
      <c r="DO207" s="1989" t="e">
        <f>#REF!/10^7</f>
        <v>#REF!</v>
      </c>
      <c r="DP207" s="2003">
        <f t="shared" si="523"/>
        <v>0</v>
      </c>
      <c r="DQ207" s="1989" t="e">
        <f>#REF!/10^7</f>
        <v>#REF!</v>
      </c>
      <c r="DR207" s="1989" t="e">
        <f>#REF!/10^7</f>
        <v>#REF!</v>
      </c>
      <c r="DS207" s="2002" t="e">
        <f t="shared" si="524"/>
        <v>#REF!</v>
      </c>
      <c r="DT207" s="2004" t="e">
        <f t="shared" si="472"/>
        <v>#REF!</v>
      </c>
      <c r="DU207" s="1988" t="e">
        <f>#REF!</f>
        <v>#REF!</v>
      </c>
      <c r="DV207" s="2003">
        <f t="shared" si="525"/>
        <v>0</v>
      </c>
      <c r="DW207" s="1989" t="e">
        <f>#REF!/10^7</f>
        <v>#REF!</v>
      </c>
      <c r="DX207" s="2003">
        <f t="shared" si="526"/>
        <v>0</v>
      </c>
      <c r="DY207" s="1989" t="e">
        <f>#REF!/10^7</f>
        <v>#REF!</v>
      </c>
      <c r="DZ207" s="2003">
        <f t="shared" si="527"/>
        <v>0</v>
      </c>
      <c r="EA207" s="1989" t="e">
        <f>#REF!/10^7</f>
        <v>#REF!</v>
      </c>
      <c r="EB207" s="1989" t="e">
        <f>#REF!/10^7</f>
        <v>#REF!</v>
      </c>
      <c r="EC207" s="2002" t="e">
        <f t="shared" si="528"/>
        <v>#REF!</v>
      </c>
      <c r="ED207" s="1998" t="e">
        <f t="shared" si="473"/>
        <v>#REF!</v>
      </c>
      <c r="EE207" s="2005" t="e">
        <f t="shared" si="475"/>
        <v>#REF!</v>
      </c>
      <c r="EF207" s="2003">
        <f t="shared" si="529"/>
        <v>0</v>
      </c>
      <c r="EG207" s="1989" t="e">
        <f t="shared" si="476"/>
        <v>#REF!</v>
      </c>
      <c r="EH207" s="2003">
        <f t="shared" si="530"/>
        <v>0</v>
      </c>
      <c r="EI207" s="1989" t="e">
        <f t="shared" si="477"/>
        <v>#REF!</v>
      </c>
      <c r="EJ207" s="2003">
        <f t="shared" si="531"/>
        <v>0</v>
      </c>
      <c r="EK207" s="1989" t="e">
        <f t="shared" si="478"/>
        <v>#REF!</v>
      </c>
      <c r="EL207" s="1989" t="e">
        <f t="shared" si="478"/>
        <v>#REF!</v>
      </c>
      <c r="EM207" s="2006" t="e">
        <f t="shared" si="532"/>
        <v>#REF!</v>
      </c>
      <c r="EN207" s="1999" t="e">
        <f t="shared" si="479"/>
        <v>#REF!</v>
      </c>
      <c r="EO207" s="1613">
        <v>65.529659499999994</v>
      </c>
      <c r="EP207" s="1613" t="e">
        <f>EA207-#REF!/10^7</f>
        <v>#REF!</v>
      </c>
      <c r="ER207" s="1612" t="e">
        <f t="shared" si="480"/>
        <v>#REF!</v>
      </c>
      <c r="EW207" s="1611" t="e">
        <v>#N/A</v>
      </c>
      <c r="EX207" s="1612" t="e">
        <v>#N/A</v>
      </c>
      <c r="EZ207" s="1650">
        <f t="shared" si="533"/>
        <v>0</v>
      </c>
    </row>
    <row r="208" spans="1:156" ht="21" customHeight="1">
      <c r="A208" s="1652">
        <v>18</v>
      </c>
      <c r="B208" s="1701" t="s">
        <v>1876</v>
      </c>
      <c r="C208" s="1662">
        <v>10</v>
      </c>
      <c r="D208" s="1646">
        <f t="shared" si="474"/>
        <v>100</v>
      </c>
      <c r="E208" s="1646"/>
      <c r="F208" s="1648" t="s">
        <v>1594</v>
      </c>
      <c r="G208" s="1648"/>
      <c r="H208" s="1648">
        <v>10</v>
      </c>
      <c r="I208" s="1648" t="s">
        <v>1717</v>
      </c>
      <c r="J208" s="1649">
        <v>2</v>
      </c>
      <c r="K208" s="1648"/>
      <c r="L208" s="1648"/>
      <c r="M208" s="1648"/>
      <c r="N208" s="1642"/>
      <c r="O208" s="2000" t="e">
        <f>#REF!</f>
        <v>#REF!</v>
      </c>
      <c r="P208" s="2003">
        <f t="shared" si="481"/>
        <v>0</v>
      </c>
      <c r="Q208" s="1989" t="e">
        <f>#REF!/10^7</f>
        <v>#REF!</v>
      </c>
      <c r="R208" s="2003">
        <f t="shared" si="482"/>
        <v>0</v>
      </c>
      <c r="S208" s="1989" t="e">
        <f>#REF!/10^7</f>
        <v>#REF!</v>
      </c>
      <c r="T208" s="2003">
        <f t="shared" si="483"/>
        <v>0</v>
      </c>
      <c r="U208" s="1989" t="e">
        <f>#REF!/10^7</f>
        <v>#REF!</v>
      </c>
      <c r="V208" s="1989" t="e">
        <f>#REF!/10^7</f>
        <v>#REF!</v>
      </c>
      <c r="W208" s="1989">
        <f t="shared" si="484"/>
        <v>0</v>
      </c>
      <c r="X208" s="1999" t="e">
        <f t="shared" si="467"/>
        <v>#REF!</v>
      </c>
      <c r="Y208" s="1993" t="e">
        <f>#REF!</f>
        <v>#REF!</v>
      </c>
      <c r="Z208" s="2003">
        <f t="shared" si="485"/>
        <v>0</v>
      </c>
      <c r="AA208" s="1989" t="e">
        <f>#REF!/10^7</f>
        <v>#REF!</v>
      </c>
      <c r="AB208" s="2003">
        <f t="shared" si="486"/>
        <v>0</v>
      </c>
      <c r="AC208" s="1989" t="e">
        <f>#REF!/10^7</f>
        <v>#REF!</v>
      </c>
      <c r="AD208" s="2003">
        <f t="shared" si="487"/>
        <v>0</v>
      </c>
      <c r="AE208" s="1989" t="e">
        <f>#REF!/10^7</f>
        <v>#REF!</v>
      </c>
      <c r="AF208" s="1989" t="e">
        <f>#REF!/10^7</f>
        <v>#REF!</v>
      </c>
      <c r="AG208" s="2002" t="e">
        <f t="shared" si="488"/>
        <v>#REF!</v>
      </c>
      <c r="AH208" s="1999" t="e">
        <f t="shared" si="468"/>
        <v>#REF!</v>
      </c>
      <c r="AI208" s="1993" t="e">
        <f>#REF!</f>
        <v>#REF!</v>
      </c>
      <c r="AJ208" s="2003">
        <f t="shared" si="489"/>
        <v>0</v>
      </c>
      <c r="AK208" s="1989" t="e">
        <f>#REF!/10^7</f>
        <v>#REF!</v>
      </c>
      <c r="AL208" s="2003">
        <f t="shared" si="490"/>
        <v>0</v>
      </c>
      <c r="AM208" s="1989" t="e">
        <f>#REF!/10^7</f>
        <v>#REF!</v>
      </c>
      <c r="AN208" s="2003">
        <f t="shared" si="491"/>
        <v>0</v>
      </c>
      <c r="AO208" s="1989" t="e">
        <f>#REF!/10^7</f>
        <v>#REF!</v>
      </c>
      <c r="AP208" s="1989" t="e">
        <f>#REF!/10^7</f>
        <v>#REF!</v>
      </c>
      <c r="AQ208" s="2002" t="e">
        <f t="shared" si="492"/>
        <v>#REF!</v>
      </c>
      <c r="AR208" s="1999" t="e">
        <f t="shared" si="469"/>
        <v>#REF!</v>
      </c>
      <c r="AS208" s="1993" t="e">
        <f>#REF!</f>
        <v>#REF!</v>
      </c>
      <c r="AT208" s="2003">
        <f t="shared" si="493"/>
        <v>0</v>
      </c>
      <c r="AU208" s="1989" t="e">
        <f>#REF!/10^7</f>
        <v>#REF!</v>
      </c>
      <c r="AV208" s="2003">
        <f t="shared" si="494"/>
        <v>0</v>
      </c>
      <c r="AW208" s="1989" t="e">
        <f>#REF!/10^7</f>
        <v>#REF!</v>
      </c>
      <c r="AX208" s="2003">
        <f t="shared" si="495"/>
        <v>0</v>
      </c>
      <c r="AY208" s="1989" t="e">
        <f>#REF!/10^7</f>
        <v>#REF!</v>
      </c>
      <c r="AZ208" s="1989" t="e">
        <f>#REF!/10^7</f>
        <v>#REF!</v>
      </c>
      <c r="BA208" s="2002" t="e">
        <f t="shared" si="496"/>
        <v>#REF!</v>
      </c>
      <c r="BB208" s="1999" t="e">
        <f t="shared" si="470"/>
        <v>#REF!</v>
      </c>
      <c r="BC208" s="1993" t="e">
        <f>#REF!</f>
        <v>#REF!</v>
      </c>
      <c r="BD208" s="2003">
        <f t="shared" si="497"/>
        <v>0</v>
      </c>
      <c r="BE208" s="1989" t="e">
        <f>#REF!/10^7</f>
        <v>#REF!</v>
      </c>
      <c r="BF208" s="2003">
        <f t="shared" si="498"/>
        <v>0</v>
      </c>
      <c r="BG208" s="1989" t="e">
        <f>#REF!/10^7</f>
        <v>#REF!</v>
      </c>
      <c r="BH208" s="2003">
        <f t="shared" si="499"/>
        <v>0</v>
      </c>
      <c r="BI208" s="1989" t="e">
        <f>#REF!/10^7</f>
        <v>#REF!</v>
      </c>
      <c r="BJ208" s="1989" t="e">
        <f>#REF!/10^7</f>
        <v>#REF!</v>
      </c>
      <c r="BK208" s="2002" t="e">
        <f t="shared" si="500"/>
        <v>#REF!</v>
      </c>
      <c r="BL208" s="1999" t="e">
        <f t="shared" si="438"/>
        <v>#REF!</v>
      </c>
      <c r="BM208" s="1993" t="e">
        <f>#REF!</f>
        <v>#REF!</v>
      </c>
      <c r="BN208" s="2003">
        <f t="shared" si="501"/>
        <v>0</v>
      </c>
      <c r="BO208" s="1989" t="e">
        <f>#REF!/10^7</f>
        <v>#REF!</v>
      </c>
      <c r="BP208" s="2003">
        <f t="shared" si="502"/>
        <v>0</v>
      </c>
      <c r="BQ208" s="1989" t="e">
        <f>#REF!/10^7</f>
        <v>#REF!</v>
      </c>
      <c r="BR208" s="2003">
        <f t="shared" si="503"/>
        <v>0</v>
      </c>
      <c r="BS208" s="1989" t="e">
        <f>#REF!/10^7</f>
        <v>#REF!</v>
      </c>
      <c r="BT208" s="1989" t="e">
        <f>#REF!/10^7</f>
        <v>#REF!</v>
      </c>
      <c r="BU208" s="2002" t="e">
        <f t="shared" si="504"/>
        <v>#REF!</v>
      </c>
      <c r="BV208" s="1999" t="e">
        <f t="shared" si="439"/>
        <v>#REF!</v>
      </c>
      <c r="BW208" s="1993" t="e">
        <f>#REF!</f>
        <v>#REF!</v>
      </c>
      <c r="BX208" s="2003">
        <f t="shared" si="505"/>
        <v>0</v>
      </c>
      <c r="BY208" s="1989" t="e">
        <f>#REF!/10^7</f>
        <v>#REF!</v>
      </c>
      <c r="BZ208" s="2003">
        <f t="shared" si="506"/>
        <v>0</v>
      </c>
      <c r="CA208" s="1989" t="e">
        <f>#REF!/10^7</f>
        <v>#REF!</v>
      </c>
      <c r="CB208" s="2003">
        <f t="shared" si="507"/>
        <v>0</v>
      </c>
      <c r="CC208" s="1989" t="e">
        <f>#REF!/10^7</f>
        <v>#REF!</v>
      </c>
      <c r="CD208" s="1989" t="e">
        <f>#REF!/10^7</f>
        <v>#REF!</v>
      </c>
      <c r="CE208" s="2002" t="e">
        <f t="shared" si="508"/>
        <v>#REF!</v>
      </c>
      <c r="CF208" s="1999" t="e">
        <f t="shared" si="440"/>
        <v>#REF!</v>
      </c>
      <c r="CG208" s="1993" t="e">
        <f>#REF!</f>
        <v>#REF!</v>
      </c>
      <c r="CH208" s="2003">
        <f t="shared" si="509"/>
        <v>0</v>
      </c>
      <c r="CI208" s="1989" t="e">
        <f>#REF!/10^7</f>
        <v>#REF!</v>
      </c>
      <c r="CJ208" s="2003">
        <f t="shared" si="510"/>
        <v>0</v>
      </c>
      <c r="CK208" s="1989" t="e">
        <f>#REF!/10^7</f>
        <v>#REF!</v>
      </c>
      <c r="CL208" s="2003">
        <f t="shared" si="511"/>
        <v>0</v>
      </c>
      <c r="CM208" s="1989" t="e">
        <f>#REF!/10^7</f>
        <v>#REF!</v>
      </c>
      <c r="CN208" s="1989" t="e">
        <f>#REF!/10^7</f>
        <v>#REF!</v>
      </c>
      <c r="CO208" s="2002" t="e">
        <f t="shared" si="512"/>
        <v>#REF!</v>
      </c>
      <c r="CP208" s="1999" t="e">
        <f t="shared" si="441"/>
        <v>#REF!</v>
      </c>
      <c r="CQ208" s="1993" t="e">
        <f>#REF!</f>
        <v>#REF!</v>
      </c>
      <c r="CR208" s="2003">
        <f t="shared" si="513"/>
        <v>0</v>
      </c>
      <c r="CS208" s="1989" t="e">
        <f>#REF!/10^7</f>
        <v>#REF!</v>
      </c>
      <c r="CT208" s="2003">
        <f t="shared" si="514"/>
        <v>0</v>
      </c>
      <c r="CU208" s="1989" t="e">
        <f>#REF!/10^7</f>
        <v>#REF!</v>
      </c>
      <c r="CV208" s="2003">
        <f t="shared" si="515"/>
        <v>0</v>
      </c>
      <c r="CW208" s="1989" t="e">
        <f>#REF!/10^7</f>
        <v>#REF!</v>
      </c>
      <c r="CX208" s="1989" t="e">
        <f>#REF!/10^7</f>
        <v>#REF!</v>
      </c>
      <c r="CY208" s="2002" t="e">
        <f t="shared" si="516"/>
        <v>#REF!</v>
      </c>
      <c r="CZ208" s="1999" t="e">
        <f t="shared" si="442"/>
        <v>#REF!</v>
      </c>
      <c r="DA208" s="1993" t="e">
        <f>#REF!</f>
        <v>#REF!</v>
      </c>
      <c r="DB208" s="2003">
        <f t="shared" si="517"/>
        <v>0</v>
      </c>
      <c r="DC208" s="1989" t="e">
        <f>#REF!/10^7</f>
        <v>#REF!</v>
      </c>
      <c r="DD208" s="2003">
        <f t="shared" si="518"/>
        <v>0</v>
      </c>
      <c r="DE208" s="1989" t="e">
        <f>#REF!/10^7</f>
        <v>#REF!</v>
      </c>
      <c r="DF208" s="2003">
        <f t="shared" si="519"/>
        <v>0</v>
      </c>
      <c r="DG208" s="1989" t="e">
        <f>#REF!/10^7</f>
        <v>#REF!</v>
      </c>
      <c r="DH208" s="1989" t="e">
        <f>#REF!/10^7</f>
        <v>#REF!</v>
      </c>
      <c r="DI208" s="2002" t="e">
        <f t="shared" si="520"/>
        <v>#REF!</v>
      </c>
      <c r="DJ208" s="1999" t="e">
        <f t="shared" si="471"/>
        <v>#REF!</v>
      </c>
      <c r="DK208" s="1993" t="e">
        <f>#REF!</f>
        <v>#REF!</v>
      </c>
      <c r="DL208" s="2003">
        <f t="shared" si="521"/>
        <v>0</v>
      </c>
      <c r="DM208" s="1989" t="e">
        <f>#REF!/10^7</f>
        <v>#REF!</v>
      </c>
      <c r="DN208" s="2003">
        <f t="shared" si="522"/>
        <v>0</v>
      </c>
      <c r="DO208" s="1989" t="e">
        <f>#REF!/10^7</f>
        <v>#REF!</v>
      </c>
      <c r="DP208" s="2003">
        <f t="shared" si="523"/>
        <v>0</v>
      </c>
      <c r="DQ208" s="1989" t="e">
        <f>#REF!/10^7</f>
        <v>#REF!</v>
      </c>
      <c r="DR208" s="1989" t="e">
        <f>#REF!/10^7</f>
        <v>#REF!</v>
      </c>
      <c r="DS208" s="2002" t="e">
        <f t="shared" si="524"/>
        <v>#REF!</v>
      </c>
      <c r="DT208" s="2004" t="e">
        <f t="shared" si="472"/>
        <v>#REF!</v>
      </c>
      <c r="DU208" s="1988" t="e">
        <f>#REF!</f>
        <v>#REF!</v>
      </c>
      <c r="DV208" s="2003">
        <f t="shared" si="525"/>
        <v>0</v>
      </c>
      <c r="DW208" s="1989" t="e">
        <f>#REF!/10^7</f>
        <v>#REF!</v>
      </c>
      <c r="DX208" s="2003">
        <f t="shared" si="526"/>
        <v>0</v>
      </c>
      <c r="DY208" s="1989" t="e">
        <f>#REF!/10^7</f>
        <v>#REF!</v>
      </c>
      <c r="DZ208" s="2003">
        <f t="shared" si="527"/>
        <v>0</v>
      </c>
      <c r="EA208" s="1989" t="e">
        <f>#REF!/10^7</f>
        <v>#REF!</v>
      </c>
      <c r="EB208" s="1989" t="e">
        <f>#REF!/10^7</f>
        <v>#REF!</v>
      </c>
      <c r="EC208" s="2002" t="e">
        <f t="shared" si="528"/>
        <v>#REF!</v>
      </c>
      <c r="ED208" s="1998" t="e">
        <f t="shared" si="473"/>
        <v>#REF!</v>
      </c>
      <c r="EE208" s="2005" t="e">
        <f t="shared" si="475"/>
        <v>#REF!</v>
      </c>
      <c r="EF208" s="2003">
        <f t="shared" si="529"/>
        <v>0</v>
      </c>
      <c r="EG208" s="1989" t="e">
        <f t="shared" si="476"/>
        <v>#REF!</v>
      </c>
      <c r="EH208" s="2003">
        <f t="shared" si="530"/>
        <v>0</v>
      </c>
      <c r="EI208" s="1989" t="e">
        <f t="shared" si="477"/>
        <v>#REF!</v>
      </c>
      <c r="EJ208" s="2003">
        <f t="shared" si="531"/>
        <v>0</v>
      </c>
      <c r="EK208" s="1989" t="e">
        <f t="shared" si="478"/>
        <v>#REF!</v>
      </c>
      <c r="EL208" s="1989" t="e">
        <f t="shared" si="478"/>
        <v>#REF!</v>
      </c>
      <c r="EM208" s="2006" t="e">
        <f t="shared" si="532"/>
        <v>#REF!</v>
      </c>
      <c r="EN208" s="1999" t="e">
        <f t="shared" si="479"/>
        <v>#REF!</v>
      </c>
      <c r="EO208" s="1613">
        <v>31.464303999999998</v>
      </c>
      <c r="EP208" s="1613" t="e">
        <f>EA208-#REF!/10^7</f>
        <v>#REF!</v>
      </c>
      <c r="ER208" s="1612" t="e">
        <f t="shared" si="480"/>
        <v>#REF!</v>
      </c>
      <c r="EW208" s="1611" t="e">
        <v>#N/A</v>
      </c>
      <c r="EX208" s="1612" t="e">
        <v>#N/A</v>
      </c>
      <c r="EZ208" s="1650">
        <f t="shared" si="533"/>
        <v>0</v>
      </c>
    </row>
    <row r="209" spans="1:156" ht="21" customHeight="1">
      <c r="A209" s="1652">
        <v>19</v>
      </c>
      <c r="B209" s="1701" t="s">
        <v>1877</v>
      </c>
      <c r="C209" s="1662">
        <v>10</v>
      </c>
      <c r="D209" s="1646">
        <f t="shared" si="474"/>
        <v>100</v>
      </c>
      <c r="E209" s="1646"/>
      <c r="F209" s="1648" t="s">
        <v>1594</v>
      </c>
      <c r="G209" s="1648"/>
      <c r="H209" s="1648">
        <v>10</v>
      </c>
      <c r="I209" s="1648" t="s">
        <v>1717</v>
      </c>
      <c r="J209" s="1649">
        <v>2</v>
      </c>
      <c r="K209" s="1648"/>
      <c r="L209" s="1648"/>
      <c r="M209" s="1648"/>
      <c r="N209" s="1642"/>
      <c r="O209" s="2000" t="e">
        <f>#REF!</f>
        <v>#REF!</v>
      </c>
      <c r="P209" s="2003">
        <f t="shared" si="481"/>
        <v>0</v>
      </c>
      <c r="Q209" s="1989" t="e">
        <f>#REF!/10^7</f>
        <v>#REF!</v>
      </c>
      <c r="R209" s="2003">
        <f t="shared" si="482"/>
        <v>0</v>
      </c>
      <c r="S209" s="1989" t="e">
        <f>#REF!/10^7</f>
        <v>#REF!</v>
      </c>
      <c r="T209" s="2003">
        <f t="shared" si="483"/>
        <v>0</v>
      </c>
      <c r="U209" s="1989" t="e">
        <f>#REF!/10^7</f>
        <v>#REF!</v>
      </c>
      <c r="V209" s="1989" t="e">
        <f>#REF!/10^7</f>
        <v>#REF!</v>
      </c>
      <c r="W209" s="1989">
        <f t="shared" si="484"/>
        <v>0</v>
      </c>
      <c r="X209" s="1999" t="e">
        <f t="shared" si="467"/>
        <v>#REF!</v>
      </c>
      <c r="Y209" s="1993" t="e">
        <f>#REF!</f>
        <v>#REF!</v>
      </c>
      <c r="Z209" s="2003">
        <f t="shared" si="485"/>
        <v>0</v>
      </c>
      <c r="AA209" s="1989" t="e">
        <f>#REF!/10^7</f>
        <v>#REF!</v>
      </c>
      <c r="AB209" s="2003">
        <f t="shared" si="486"/>
        <v>0</v>
      </c>
      <c r="AC209" s="1989" t="e">
        <f>#REF!/10^7</f>
        <v>#REF!</v>
      </c>
      <c r="AD209" s="2003">
        <f t="shared" si="487"/>
        <v>0</v>
      </c>
      <c r="AE209" s="1989" t="e">
        <f>#REF!/10^7</f>
        <v>#REF!</v>
      </c>
      <c r="AF209" s="1989" t="e">
        <f>#REF!/10^7</f>
        <v>#REF!</v>
      </c>
      <c r="AG209" s="2002" t="e">
        <f t="shared" si="488"/>
        <v>#REF!</v>
      </c>
      <c r="AH209" s="1999" t="e">
        <f t="shared" si="468"/>
        <v>#REF!</v>
      </c>
      <c r="AI209" s="1993" t="e">
        <f>#REF!</f>
        <v>#REF!</v>
      </c>
      <c r="AJ209" s="2003">
        <f t="shared" si="489"/>
        <v>0</v>
      </c>
      <c r="AK209" s="1989" t="e">
        <f>#REF!/10^7</f>
        <v>#REF!</v>
      </c>
      <c r="AL209" s="2003">
        <f t="shared" si="490"/>
        <v>0</v>
      </c>
      <c r="AM209" s="1989" t="e">
        <f>#REF!/10^7</f>
        <v>#REF!</v>
      </c>
      <c r="AN209" s="2003">
        <f t="shared" si="491"/>
        <v>0</v>
      </c>
      <c r="AO209" s="1989" t="e">
        <f>#REF!/10^7</f>
        <v>#REF!</v>
      </c>
      <c r="AP209" s="1989" t="e">
        <f>#REF!/10^7</f>
        <v>#REF!</v>
      </c>
      <c r="AQ209" s="2002" t="e">
        <f t="shared" si="492"/>
        <v>#REF!</v>
      </c>
      <c r="AR209" s="1999" t="e">
        <f t="shared" si="469"/>
        <v>#REF!</v>
      </c>
      <c r="AS209" s="1993" t="e">
        <f>#REF!</f>
        <v>#REF!</v>
      </c>
      <c r="AT209" s="2003">
        <f t="shared" si="493"/>
        <v>0</v>
      </c>
      <c r="AU209" s="1989" t="e">
        <f>#REF!/10^7</f>
        <v>#REF!</v>
      </c>
      <c r="AV209" s="2003">
        <f t="shared" si="494"/>
        <v>0</v>
      </c>
      <c r="AW209" s="1989" t="e">
        <f>#REF!/10^7</f>
        <v>#REF!</v>
      </c>
      <c r="AX209" s="2003">
        <f t="shared" si="495"/>
        <v>0</v>
      </c>
      <c r="AY209" s="1989" t="e">
        <f>#REF!/10^7</f>
        <v>#REF!</v>
      </c>
      <c r="AZ209" s="1989" t="e">
        <f>#REF!/10^7</f>
        <v>#REF!</v>
      </c>
      <c r="BA209" s="2002" t="e">
        <f t="shared" si="496"/>
        <v>#REF!</v>
      </c>
      <c r="BB209" s="1999" t="e">
        <f t="shared" si="470"/>
        <v>#REF!</v>
      </c>
      <c r="BC209" s="1993" t="e">
        <f>#REF!</f>
        <v>#REF!</v>
      </c>
      <c r="BD209" s="2003">
        <f t="shared" si="497"/>
        <v>0</v>
      </c>
      <c r="BE209" s="1989" t="e">
        <f>#REF!/10^7</f>
        <v>#REF!</v>
      </c>
      <c r="BF209" s="2003">
        <f t="shared" si="498"/>
        <v>0</v>
      </c>
      <c r="BG209" s="1989" t="e">
        <f>#REF!/10^7</f>
        <v>#REF!</v>
      </c>
      <c r="BH209" s="2003">
        <f t="shared" si="499"/>
        <v>0</v>
      </c>
      <c r="BI209" s="1989" t="e">
        <f>#REF!/10^7</f>
        <v>#REF!</v>
      </c>
      <c r="BJ209" s="1989" t="e">
        <f>#REF!/10^7</f>
        <v>#REF!</v>
      </c>
      <c r="BK209" s="2002" t="e">
        <f t="shared" si="500"/>
        <v>#REF!</v>
      </c>
      <c r="BL209" s="1999" t="e">
        <f t="shared" si="438"/>
        <v>#REF!</v>
      </c>
      <c r="BM209" s="1993" t="e">
        <f>#REF!</f>
        <v>#REF!</v>
      </c>
      <c r="BN209" s="2003">
        <f t="shared" si="501"/>
        <v>0</v>
      </c>
      <c r="BO209" s="1989" t="e">
        <f>#REF!/10^7</f>
        <v>#REF!</v>
      </c>
      <c r="BP209" s="2003">
        <f t="shared" si="502"/>
        <v>0</v>
      </c>
      <c r="BQ209" s="1989" t="e">
        <f>#REF!/10^7</f>
        <v>#REF!</v>
      </c>
      <c r="BR209" s="2003">
        <f t="shared" si="503"/>
        <v>0</v>
      </c>
      <c r="BS209" s="1989" t="e">
        <f>#REF!/10^7</f>
        <v>#REF!</v>
      </c>
      <c r="BT209" s="1989" t="e">
        <f>#REF!/10^7</f>
        <v>#REF!</v>
      </c>
      <c r="BU209" s="2002" t="e">
        <f t="shared" si="504"/>
        <v>#REF!</v>
      </c>
      <c r="BV209" s="1999" t="e">
        <f t="shared" si="439"/>
        <v>#REF!</v>
      </c>
      <c r="BW209" s="1993" t="e">
        <f>#REF!</f>
        <v>#REF!</v>
      </c>
      <c r="BX209" s="2003">
        <f t="shared" si="505"/>
        <v>0</v>
      </c>
      <c r="BY209" s="1989" t="e">
        <f>#REF!/10^7</f>
        <v>#REF!</v>
      </c>
      <c r="BZ209" s="2003">
        <f t="shared" si="506"/>
        <v>0</v>
      </c>
      <c r="CA209" s="1989" t="e">
        <f>#REF!/10^7</f>
        <v>#REF!</v>
      </c>
      <c r="CB209" s="2003">
        <f t="shared" si="507"/>
        <v>0</v>
      </c>
      <c r="CC209" s="1989" t="e">
        <f>#REF!/10^7</f>
        <v>#REF!</v>
      </c>
      <c r="CD209" s="1989" t="e">
        <f>#REF!/10^7</f>
        <v>#REF!</v>
      </c>
      <c r="CE209" s="2002" t="e">
        <f t="shared" si="508"/>
        <v>#REF!</v>
      </c>
      <c r="CF209" s="1999" t="e">
        <f t="shared" si="440"/>
        <v>#REF!</v>
      </c>
      <c r="CG209" s="1993" t="e">
        <f>#REF!</f>
        <v>#REF!</v>
      </c>
      <c r="CH209" s="2003">
        <f t="shared" si="509"/>
        <v>0</v>
      </c>
      <c r="CI209" s="1989" t="e">
        <f>#REF!/10^7</f>
        <v>#REF!</v>
      </c>
      <c r="CJ209" s="2003">
        <f t="shared" si="510"/>
        <v>0</v>
      </c>
      <c r="CK209" s="1989" t="e">
        <f>#REF!/10^7</f>
        <v>#REF!</v>
      </c>
      <c r="CL209" s="2003">
        <f t="shared" si="511"/>
        <v>0</v>
      </c>
      <c r="CM209" s="1989" t="e">
        <f>#REF!/10^7</f>
        <v>#REF!</v>
      </c>
      <c r="CN209" s="1989" t="e">
        <f>#REF!/10^7</f>
        <v>#REF!</v>
      </c>
      <c r="CO209" s="2002" t="e">
        <f t="shared" si="512"/>
        <v>#REF!</v>
      </c>
      <c r="CP209" s="1999" t="e">
        <f t="shared" si="441"/>
        <v>#REF!</v>
      </c>
      <c r="CQ209" s="1993" t="e">
        <f>#REF!</f>
        <v>#REF!</v>
      </c>
      <c r="CR209" s="2003">
        <f t="shared" si="513"/>
        <v>0</v>
      </c>
      <c r="CS209" s="1989" t="e">
        <f>#REF!/10^7</f>
        <v>#REF!</v>
      </c>
      <c r="CT209" s="2003">
        <f t="shared" si="514"/>
        <v>0</v>
      </c>
      <c r="CU209" s="1989" t="e">
        <f>#REF!/10^7</f>
        <v>#REF!</v>
      </c>
      <c r="CV209" s="2003">
        <f t="shared" si="515"/>
        <v>0</v>
      </c>
      <c r="CW209" s="1989" t="e">
        <f>#REF!/10^7</f>
        <v>#REF!</v>
      </c>
      <c r="CX209" s="1989" t="e">
        <f>#REF!/10^7</f>
        <v>#REF!</v>
      </c>
      <c r="CY209" s="2002" t="e">
        <f t="shared" si="516"/>
        <v>#REF!</v>
      </c>
      <c r="CZ209" s="1999" t="e">
        <f t="shared" si="442"/>
        <v>#REF!</v>
      </c>
      <c r="DA209" s="1993" t="e">
        <f>#REF!</f>
        <v>#REF!</v>
      </c>
      <c r="DB209" s="2003">
        <f t="shared" si="517"/>
        <v>0</v>
      </c>
      <c r="DC209" s="1989" t="e">
        <f>#REF!/10^7</f>
        <v>#REF!</v>
      </c>
      <c r="DD209" s="2003">
        <f t="shared" si="518"/>
        <v>0</v>
      </c>
      <c r="DE209" s="1989" t="e">
        <f>#REF!/10^7</f>
        <v>#REF!</v>
      </c>
      <c r="DF209" s="2003">
        <f t="shared" si="519"/>
        <v>0</v>
      </c>
      <c r="DG209" s="1989" t="e">
        <f>#REF!/10^7</f>
        <v>#REF!</v>
      </c>
      <c r="DH209" s="1989" t="e">
        <f>#REF!/10^7</f>
        <v>#REF!</v>
      </c>
      <c r="DI209" s="2002" t="e">
        <f t="shared" si="520"/>
        <v>#REF!</v>
      </c>
      <c r="DJ209" s="1999" t="e">
        <f t="shared" si="471"/>
        <v>#REF!</v>
      </c>
      <c r="DK209" s="1993" t="e">
        <f>#REF!</f>
        <v>#REF!</v>
      </c>
      <c r="DL209" s="2003">
        <f t="shared" si="521"/>
        <v>0</v>
      </c>
      <c r="DM209" s="1989" t="e">
        <f>#REF!/10^7</f>
        <v>#REF!</v>
      </c>
      <c r="DN209" s="2003">
        <f t="shared" si="522"/>
        <v>0</v>
      </c>
      <c r="DO209" s="1989" t="e">
        <f>#REF!/10^7</f>
        <v>#REF!</v>
      </c>
      <c r="DP209" s="2003">
        <f t="shared" si="523"/>
        <v>0</v>
      </c>
      <c r="DQ209" s="1989" t="e">
        <f>#REF!/10^7</f>
        <v>#REF!</v>
      </c>
      <c r="DR209" s="1989" t="e">
        <f>#REF!/10^7</f>
        <v>#REF!</v>
      </c>
      <c r="DS209" s="2002" t="e">
        <f t="shared" si="524"/>
        <v>#REF!</v>
      </c>
      <c r="DT209" s="2004" t="e">
        <f t="shared" si="472"/>
        <v>#REF!</v>
      </c>
      <c r="DU209" s="1988" t="e">
        <f>#REF!</f>
        <v>#REF!</v>
      </c>
      <c r="DV209" s="2003">
        <f t="shared" si="525"/>
        <v>0</v>
      </c>
      <c r="DW209" s="1989" t="e">
        <f>#REF!/10^7</f>
        <v>#REF!</v>
      </c>
      <c r="DX209" s="2003">
        <f t="shared" si="526"/>
        <v>0</v>
      </c>
      <c r="DY209" s="1989" t="e">
        <f>#REF!/10^7</f>
        <v>#REF!</v>
      </c>
      <c r="DZ209" s="2003">
        <f t="shared" si="527"/>
        <v>0</v>
      </c>
      <c r="EA209" s="1989" t="e">
        <f>#REF!/10^7</f>
        <v>#REF!</v>
      </c>
      <c r="EB209" s="1989" t="e">
        <f>#REF!/10^7</f>
        <v>#REF!</v>
      </c>
      <c r="EC209" s="2002" t="e">
        <f t="shared" si="528"/>
        <v>#REF!</v>
      </c>
      <c r="ED209" s="1998" t="e">
        <f t="shared" si="473"/>
        <v>#REF!</v>
      </c>
      <c r="EE209" s="2005" t="e">
        <f t="shared" si="475"/>
        <v>#REF!</v>
      </c>
      <c r="EF209" s="2003">
        <f t="shared" si="529"/>
        <v>0</v>
      </c>
      <c r="EG209" s="1989" t="e">
        <f t="shared" si="476"/>
        <v>#REF!</v>
      </c>
      <c r="EH209" s="2003">
        <f t="shared" si="530"/>
        <v>0</v>
      </c>
      <c r="EI209" s="1989" t="e">
        <f t="shared" si="477"/>
        <v>#REF!</v>
      </c>
      <c r="EJ209" s="2003">
        <f t="shared" si="531"/>
        <v>0</v>
      </c>
      <c r="EK209" s="1989" t="e">
        <f t="shared" si="478"/>
        <v>#REF!</v>
      </c>
      <c r="EL209" s="1989" t="e">
        <f t="shared" si="478"/>
        <v>#REF!</v>
      </c>
      <c r="EM209" s="2006" t="e">
        <f t="shared" si="532"/>
        <v>#REF!</v>
      </c>
      <c r="EN209" s="1999" t="e">
        <f t="shared" si="479"/>
        <v>#REF!</v>
      </c>
      <c r="EO209" s="1613">
        <v>19.095614999999999</v>
      </c>
      <c r="EP209" s="1613" t="e">
        <f>EA209-#REF!/10^7</f>
        <v>#REF!</v>
      </c>
      <c r="ER209" s="1612" t="e">
        <f t="shared" si="480"/>
        <v>#REF!</v>
      </c>
      <c r="EW209" s="1611" t="e">
        <v>#N/A</v>
      </c>
      <c r="EX209" s="1612" t="e">
        <v>#N/A</v>
      </c>
      <c r="EZ209" s="1650">
        <f t="shared" si="533"/>
        <v>0</v>
      </c>
    </row>
    <row r="210" spans="1:156" ht="21" customHeight="1">
      <c r="A210" s="1652">
        <v>20</v>
      </c>
      <c r="B210" s="1701" t="s">
        <v>1878</v>
      </c>
      <c r="C210" s="1662">
        <v>25</v>
      </c>
      <c r="D210" s="1646">
        <f t="shared" si="474"/>
        <v>100</v>
      </c>
      <c r="E210" s="1646"/>
      <c r="F210" s="1648" t="s">
        <v>1594</v>
      </c>
      <c r="G210" s="1648"/>
      <c r="H210" s="1648">
        <v>25</v>
      </c>
      <c r="I210" s="1648" t="s">
        <v>1717</v>
      </c>
      <c r="J210" s="1649">
        <v>2</v>
      </c>
      <c r="K210" s="1648"/>
      <c r="L210" s="1648"/>
      <c r="M210" s="1648"/>
      <c r="N210" s="1642"/>
      <c r="O210" s="2000" t="e">
        <f>#REF!</f>
        <v>#REF!</v>
      </c>
      <c r="P210" s="2003">
        <f t="shared" si="481"/>
        <v>0</v>
      </c>
      <c r="Q210" s="1989" t="e">
        <f>#REF!/10^7</f>
        <v>#REF!</v>
      </c>
      <c r="R210" s="2003">
        <f t="shared" si="482"/>
        <v>0</v>
      </c>
      <c r="S210" s="1989" t="e">
        <f>#REF!/10^7</f>
        <v>#REF!</v>
      </c>
      <c r="T210" s="2003">
        <f t="shared" si="483"/>
        <v>0</v>
      </c>
      <c r="U210" s="1989" t="e">
        <f>#REF!/10^7</f>
        <v>#REF!</v>
      </c>
      <c r="V210" s="1989" t="e">
        <f>#REF!/10^7</f>
        <v>#REF!</v>
      </c>
      <c r="W210" s="1989">
        <f t="shared" si="484"/>
        <v>0</v>
      </c>
      <c r="X210" s="1999" t="e">
        <f t="shared" si="467"/>
        <v>#REF!</v>
      </c>
      <c r="Y210" s="1993" t="e">
        <f>#REF!</f>
        <v>#REF!</v>
      </c>
      <c r="Z210" s="2003">
        <f t="shared" si="485"/>
        <v>0</v>
      </c>
      <c r="AA210" s="1989" t="e">
        <f>#REF!/10^7</f>
        <v>#REF!</v>
      </c>
      <c r="AB210" s="2003">
        <f t="shared" si="486"/>
        <v>0</v>
      </c>
      <c r="AC210" s="1989" t="e">
        <f>#REF!/10^7</f>
        <v>#REF!</v>
      </c>
      <c r="AD210" s="2003">
        <f t="shared" si="487"/>
        <v>0</v>
      </c>
      <c r="AE210" s="1989" t="e">
        <f>#REF!/10^7</f>
        <v>#REF!</v>
      </c>
      <c r="AF210" s="1989" t="e">
        <f>#REF!/10^7</f>
        <v>#REF!</v>
      </c>
      <c r="AG210" s="2002" t="e">
        <f t="shared" si="488"/>
        <v>#REF!</v>
      </c>
      <c r="AH210" s="1999" t="e">
        <f t="shared" si="468"/>
        <v>#REF!</v>
      </c>
      <c r="AI210" s="1993" t="e">
        <f>#REF!</f>
        <v>#REF!</v>
      </c>
      <c r="AJ210" s="2003">
        <f t="shared" si="489"/>
        <v>0</v>
      </c>
      <c r="AK210" s="1989" t="e">
        <f>#REF!/10^7</f>
        <v>#REF!</v>
      </c>
      <c r="AL210" s="2003">
        <f t="shared" si="490"/>
        <v>0</v>
      </c>
      <c r="AM210" s="1989" t="e">
        <f>#REF!/10^7</f>
        <v>#REF!</v>
      </c>
      <c r="AN210" s="2003">
        <f t="shared" si="491"/>
        <v>0</v>
      </c>
      <c r="AO210" s="1989" t="e">
        <f>#REF!/10^7</f>
        <v>#REF!</v>
      </c>
      <c r="AP210" s="1989" t="e">
        <f>#REF!/10^7</f>
        <v>#REF!</v>
      </c>
      <c r="AQ210" s="2002" t="e">
        <f t="shared" si="492"/>
        <v>#REF!</v>
      </c>
      <c r="AR210" s="1999" t="e">
        <f t="shared" si="469"/>
        <v>#REF!</v>
      </c>
      <c r="AS210" s="1993" t="e">
        <f>#REF!</f>
        <v>#REF!</v>
      </c>
      <c r="AT210" s="2003">
        <f t="shared" si="493"/>
        <v>0</v>
      </c>
      <c r="AU210" s="1989" t="e">
        <f>#REF!/10^7</f>
        <v>#REF!</v>
      </c>
      <c r="AV210" s="2003">
        <f t="shared" si="494"/>
        <v>0</v>
      </c>
      <c r="AW210" s="1989" t="e">
        <f>#REF!/10^7</f>
        <v>#REF!</v>
      </c>
      <c r="AX210" s="2003">
        <f t="shared" si="495"/>
        <v>0</v>
      </c>
      <c r="AY210" s="1989" t="e">
        <f>#REF!/10^7</f>
        <v>#REF!</v>
      </c>
      <c r="AZ210" s="1989" t="e">
        <f>#REF!/10^7</f>
        <v>#REF!</v>
      </c>
      <c r="BA210" s="2002" t="e">
        <f t="shared" si="496"/>
        <v>#REF!</v>
      </c>
      <c r="BB210" s="1999" t="e">
        <f t="shared" si="470"/>
        <v>#REF!</v>
      </c>
      <c r="BC210" s="1993" t="e">
        <f>#REF!</f>
        <v>#REF!</v>
      </c>
      <c r="BD210" s="2003">
        <f t="shared" si="497"/>
        <v>0</v>
      </c>
      <c r="BE210" s="1989" t="e">
        <f>#REF!/10^7</f>
        <v>#REF!</v>
      </c>
      <c r="BF210" s="2003">
        <f t="shared" si="498"/>
        <v>0</v>
      </c>
      <c r="BG210" s="1989" t="e">
        <f>#REF!/10^7</f>
        <v>#REF!</v>
      </c>
      <c r="BH210" s="2003">
        <f t="shared" si="499"/>
        <v>0</v>
      </c>
      <c r="BI210" s="1989" t="e">
        <f>#REF!/10^7</f>
        <v>#REF!</v>
      </c>
      <c r="BJ210" s="1989" t="e">
        <f>#REF!/10^7</f>
        <v>#REF!</v>
      </c>
      <c r="BK210" s="2002" t="e">
        <f t="shared" si="500"/>
        <v>#REF!</v>
      </c>
      <c r="BL210" s="1999" t="e">
        <f t="shared" si="438"/>
        <v>#REF!</v>
      </c>
      <c r="BM210" s="1993" t="e">
        <f>#REF!</f>
        <v>#REF!</v>
      </c>
      <c r="BN210" s="2003">
        <f t="shared" si="501"/>
        <v>0</v>
      </c>
      <c r="BO210" s="1989" t="e">
        <f>#REF!/10^7</f>
        <v>#REF!</v>
      </c>
      <c r="BP210" s="2003">
        <f t="shared" si="502"/>
        <v>0</v>
      </c>
      <c r="BQ210" s="1989" t="e">
        <f>#REF!/10^7</f>
        <v>#REF!</v>
      </c>
      <c r="BR210" s="2003">
        <f t="shared" si="503"/>
        <v>0</v>
      </c>
      <c r="BS210" s="1989" t="e">
        <f>#REF!/10^7</f>
        <v>#REF!</v>
      </c>
      <c r="BT210" s="1989" t="e">
        <f>#REF!/10^7</f>
        <v>#REF!</v>
      </c>
      <c r="BU210" s="2002" t="e">
        <f t="shared" si="504"/>
        <v>#REF!</v>
      </c>
      <c r="BV210" s="1999" t="e">
        <f t="shared" si="439"/>
        <v>#REF!</v>
      </c>
      <c r="BW210" s="1993" t="e">
        <f>#REF!</f>
        <v>#REF!</v>
      </c>
      <c r="BX210" s="2003">
        <f t="shared" si="505"/>
        <v>0</v>
      </c>
      <c r="BY210" s="1989" t="e">
        <f>#REF!/10^7</f>
        <v>#REF!</v>
      </c>
      <c r="BZ210" s="2003">
        <f t="shared" si="506"/>
        <v>0</v>
      </c>
      <c r="CA210" s="1989" t="e">
        <f>#REF!/10^7</f>
        <v>#REF!</v>
      </c>
      <c r="CB210" s="2003">
        <f t="shared" si="507"/>
        <v>0</v>
      </c>
      <c r="CC210" s="1989" t="e">
        <f>#REF!/10^7</f>
        <v>#REF!</v>
      </c>
      <c r="CD210" s="1989" t="e">
        <f>#REF!/10^7</f>
        <v>#REF!</v>
      </c>
      <c r="CE210" s="2002" t="e">
        <f t="shared" si="508"/>
        <v>#REF!</v>
      </c>
      <c r="CF210" s="1999" t="e">
        <f t="shared" si="440"/>
        <v>#REF!</v>
      </c>
      <c r="CG210" s="1993" t="e">
        <f>#REF!</f>
        <v>#REF!</v>
      </c>
      <c r="CH210" s="2003">
        <f t="shared" si="509"/>
        <v>0</v>
      </c>
      <c r="CI210" s="1989" t="e">
        <f>#REF!/10^7</f>
        <v>#REF!</v>
      </c>
      <c r="CJ210" s="2003">
        <f t="shared" si="510"/>
        <v>0</v>
      </c>
      <c r="CK210" s="1989" t="e">
        <f>#REF!/10^7</f>
        <v>#REF!</v>
      </c>
      <c r="CL210" s="2003">
        <f t="shared" si="511"/>
        <v>0</v>
      </c>
      <c r="CM210" s="1989" t="e">
        <f>#REF!/10^7</f>
        <v>#REF!</v>
      </c>
      <c r="CN210" s="1989" t="e">
        <f>#REF!/10^7</f>
        <v>#REF!</v>
      </c>
      <c r="CO210" s="2002" t="e">
        <f t="shared" si="512"/>
        <v>#REF!</v>
      </c>
      <c r="CP210" s="1999" t="e">
        <f t="shared" si="441"/>
        <v>#REF!</v>
      </c>
      <c r="CQ210" s="1993" t="e">
        <f>#REF!</f>
        <v>#REF!</v>
      </c>
      <c r="CR210" s="2003">
        <f t="shared" si="513"/>
        <v>0</v>
      </c>
      <c r="CS210" s="1989" t="e">
        <f>#REF!/10^7</f>
        <v>#REF!</v>
      </c>
      <c r="CT210" s="2003">
        <f t="shared" si="514"/>
        <v>0</v>
      </c>
      <c r="CU210" s="1989" t="e">
        <f>#REF!/10^7</f>
        <v>#REF!</v>
      </c>
      <c r="CV210" s="2003">
        <f t="shared" si="515"/>
        <v>0</v>
      </c>
      <c r="CW210" s="1989" t="e">
        <f>#REF!/10^7</f>
        <v>#REF!</v>
      </c>
      <c r="CX210" s="1989" t="e">
        <f>#REF!/10^7</f>
        <v>#REF!</v>
      </c>
      <c r="CY210" s="2002" t="e">
        <f t="shared" si="516"/>
        <v>#REF!</v>
      </c>
      <c r="CZ210" s="1999" t="e">
        <f t="shared" si="442"/>
        <v>#REF!</v>
      </c>
      <c r="DA210" s="1993" t="e">
        <f>#REF!</f>
        <v>#REF!</v>
      </c>
      <c r="DB210" s="2003">
        <f t="shared" si="517"/>
        <v>0</v>
      </c>
      <c r="DC210" s="1989" t="e">
        <f>#REF!/10^7</f>
        <v>#REF!</v>
      </c>
      <c r="DD210" s="2003">
        <f t="shared" si="518"/>
        <v>0</v>
      </c>
      <c r="DE210" s="1989" t="e">
        <f>#REF!/10^7</f>
        <v>#REF!</v>
      </c>
      <c r="DF210" s="2003">
        <f t="shared" si="519"/>
        <v>0</v>
      </c>
      <c r="DG210" s="1989" t="e">
        <f>#REF!/10^7</f>
        <v>#REF!</v>
      </c>
      <c r="DH210" s="1989" t="e">
        <f>#REF!/10^7</f>
        <v>#REF!</v>
      </c>
      <c r="DI210" s="2002" t="e">
        <f t="shared" si="520"/>
        <v>#REF!</v>
      </c>
      <c r="DJ210" s="1999" t="e">
        <f t="shared" si="471"/>
        <v>#REF!</v>
      </c>
      <c r="DK210" s="1993" t="e">
        <f>#REF!</f>
        <v>#REF!</v>
      </c>
      <c r="DL210" s="2003">
        <f t="shared" si="521"/>
        <v>0</v>
      </c>
      <c r="DM210" s="1989" t="e">
        <f>#REF!/10^7</f>
        <v>#REF!</v>
      </c>
      <c r="DN210" s="2003">
        <f t="shared" si="522"/>
        <v>0</v>
      </c>
      <c r="DO210" s="1989" t="e">
        <f>#REF!/10^7</f>
        <v>#REF!</v>
      </c>
      <c r="DP210" s="2003">
        <f t="shared" si="523"/>
        <v>0</v>
      </c>
      <c r="DQ210" s="1989" t="e">
        <f>#REF!/10^7</f>
        <v>#REF!</v>
      </c>
      <c r="DR210" s="1989" t="e">
        <f>#REF!/10^7</f>
        <v>#REF!</v>
      </c>
      <c r="DS210" s="2002" t="e">
        <f t="shared" si="524"/>
        <v>#REF!</v>
      </c>
      <c r="DT210" s="2004" t="e">
        <f t="shared" si="472"/>
        <v>#REF!</v>
      </c>
      <c r="DU210" s="1988" t="e">
        <f>#REF!</f>
        <v>#REF!</v>
      </c>
      <c r="DV210" s="2003">
        <f t="shared" si="525"/>
        <v>0</v>
      </c>
      <c r="DW210" s="1989" t="e">
        <f>#REF!/10^7</f>
        <v>#REF!</v>
      </c>
      <c r="DX210" s="2003">
        <f t="shared" si="526"/>
        <v>0</v>
      </c>
      <c r="DY210" s="1989" t="e">
        <f>#REF!/10^7</f>
        <v>#REF!</v>
      </c>
      <c r="DZ210" s="2003">
        <f t="shared" si="527"/>
        <v>0</v>
      </c>
      <c r="EA210" s="1989" t="e">
        <f>#REF!/10^7</f>
        <v>#REF!</v>
      </c>
      <c r="EB210" s="1989" t="e">
        <f>#REF!/10^7</f>
        <v>#REF!</v>
      </c>
      <c r="EC210" s="2002" t="e">
        <f t="shared" si="528"/>
        <v>#REF!</v>
      </c>
      <c r="ED210" s="1998" t="e">
        <f t="shared" si="473"/>
        <v>#REF!</v>
      </c>
      <c r="EE210" s="2005" t="e">
        <f t="shared" si="475"/>
        <v>#REF!</v>
      </c>
      <c r="EF210" s="2003">
        <f t="shared" si="529"/>
        <v>0</v>
      </c>
      <c r="EG210" s="1989" t="e">
        <f t="shared" si="476"/>
        <v>#REF!</v>
      </c>
      <c r="EH210" s="2003">
        <f t="shared" si="530"/>
        <v>0</v>
      </c>
      <c r="EI210" s="1989" t="e">
        <f t="shared" si="477"/>
        <v>#REF!</v>
      </c>
      <c r="EJ210" s="2003">
        <f t="shared" si="531"/>
        <v>0</v>
      </c>
      <c r="EK210" s="1989" t="e">
        <f t="shared" si="478"/>
        <v>#REF!</v>
      </c>
      <c r="EL210" s="1989" t="e">
        <f t="shared" si="478"/>
        <v>#REF!</v>
      </c>
      <c r="EM210" s="2006" t="e">
        <f t="shared" si="532"/>
        <v>#REF!</v>
      </c>
      <c r="EN210" s="1999" t="e">
        <f t="shared" si="479"/>
        <v>#REF!</v>
      </c>
      <c r="EO210" s="1613">
        <v>80.606650000000002</v>
      </c>
      <c r="EP210" s="1613" t="e">
        <f>EA210-#REF!/10^7</f>
        <v>#REF!</v>
      </c>
      <c r="ER210" s="1612" t="e">
        <f t="shared" si="480"/>
        <v>#REF!</v>
      </c>
      <c r="EW210" s="1611" t="e">
        <v>#N/A</v>
      </c>
      <c r="EX210" s="1612" t="e">
        <v>#N/A</v>
      </c>
      <c r="EZ210" s="1650">
        <f t="shared" si="533"/>
        <v>0</v>
      </c>
    </row>
    <row r="211" spans="1:156" ht="21" customHeight="1">
      <c r="A211" s="1652">
        <v>21</v>
      </c>
      <c r="B211" s="1701" t="s">
        <v>1879</v>
      </c>
      <c r="C211" s="1662">
        <v>25</v>
      </c>
      <c r="D211" s="1646">
        <f t="shared" si="474"/>
        <v>100</v>
      </c>
      <c r="E211" s="1646"/>
      <c r="F211" s="1648" t="s">
        <v>1594</v>
      </c>
      <c r="G211" s="1648"/>
      <c r="H211" s="1648">
        <v>25</v>
      </c>
      <c r="I211" s="1648" t="s">
        <v>1717</v>
      </c>
      <c r="J211" s="1649">
        <v>2</v>
      </c>
      <c r="K211" s="1648"/>
      <c r="L211" s="1648"/>
      <c r="M211" s="1648"/>
      <c r="N211" s="1642"/>
      <c r="O211" s="2000" t="e">
        <f>#REF!</f>
        <v>#REF!</v>
      </c>
      <c r="P211" s="2003">
        <f t="shared" si="481"/>
        <v>0</v>
      </c>
      <c r="Q211" s="1989" t="e">
        <f>#REF!/10^7</f>
        <v>#REF!</v>
      </c>
      <c r="R211" s="2003">
        <f t="shared" si="482"/>
        <v>0</v>
      </c>
      <c r="S211" s="1989" t="e">
        <f>#REF!/10^7</f>
        <v>#REF!</v>
      </c>
      <c r="T211" s="2003">
        <f t="shared" si="483"/>
        <v>0</v>
      </c>
      <c r="U211" s="1989" t="e">
        <f>#REF!/10^7</f>
        <v>#REF!</v>
      </c>
      <c r="V211" s="1989" t="e">
        <f>#REF!/10^7</f>
        <v>#REF!</v>
      </c>
      <c r="W211" s="1989">
        <f t="shared" si="484"/>
        <v>0</v>
      </c>
      <c r="X211" s="1999" t="e">
        <f t="shared" si="467"/>
        <v>#REF!</v>
      </c>
      <c r="Y211" s="1993" t="e">
        <f>#REF!</f>
        <v>#REF!</v>
      </c>
      <c r="Z211" s="2003">
        <f t="shared" si="485"/>
        <v>0</v>
      </c>
      <c r="AA211" s="1989" t="e">
        <f>#REF!/10^7</f>
        <v>#REF!</v>
      </c>
      <c r="AB211" s="2003">
        <f t="shared" si="486"/>
        <v>0</v>
      </c>
      <c r="AC211" s="1989" t="e">
        <f>#REF!/10^7</f>
        <v>#REF!</v>
      </c>
      <c r="AD211" s="2003">
        <f t="shared" si="487"/>
        <v>0</v>
      </c>
      <c r="AE211" s="1989" t="e">
        <f>#REF!/10^7</f>
        <v>#REF!</v>
      </c>
      <c r="AF211" s="1989" t="e">
        <f>#REF!/10^7</f>
        <v>#REF!</v>
      </c>
      <c r="AG211" s="2002" t="e">
        <f t="shared" si="488"/>
        <v>#REF!</v>
      </c>
      <c r="AH211" s="1999" t="e">
        <f t="shared" si="468"/>
        <v>#REF!</v>
      </c>
      <c r="AI211" s="1993" t="e">
        <f>#REF!</f>
        <v>#REF!</v>
      </c>
      <c r="AJ211" s="2003">
        <f t="shared" si="489"/>
        <v>0</v>
      </c>
      <c r="AK211" s="1989" t="e">
        <f>#REF!/10^7</f>
        <v>#REF!</v>
      </c>
      <c r="AL211" s="2003">
        <f t="shared" si="490"/>
        <v>0</v>
      </c>
      <c r="AM211" s="1989" t="e">
        <f>#REF!/10^7</f>
        <v>#REF!</v>
      </c>
      <c r="AN211" s="2003">
        <f t="shared" si="491"/>
        <v>0</v>
      </c>
      <c r="AO211" s="1989" t="e">
        <f>#REF!/10^7</f>
        <v>#REF!</v>
      </c>
      <c r="AP211" s="1989" t="e">
        <f>#REF!/10^7</f>
        <v>#REF!</v>
      </c>
      <c r="AQ211" s="2002" t="e">
        <f t="shared" si="492"/>
        <v>#REF!</v>
      </c>
      <c r="AR211" s="1999" t="e">
        <f t="shared" si="469"/>
        <v>#REF!</v>
      </c>
      <c r="AS211" s="1993" t="e">
        <f>#REF!</f>
        <v>#REF!</v>
      </c>
      <c r="AT211" s="2003">
        <f t="shared" si="493"/>
        <v>0</v>
      </c>
      <c r="AU211" s="1989" t="e">
        <f>#REF!/10^7</f>
        <v>#REF!</v>
      </c>
      <c r="AV211" s="2003">
        <f t="shared" si="494"/>
        <v>0</v>
      </c>
      <c r="AW211" s="1989" t="e">
        <f>#REF!/10^7</f>
        <v>#REF!</v>
      </c>
      <c r="AX211" s="2003">
        <f t="shared" si="495"/>
        <v>0</v>
      </c>
      <c r="AY211" s="1989" t="e">
        <f>#REF!/10^7</f>
        <v>#REF!</v>
      </c>
      <c r="AZ211" s="1989" t="e">
        <f>#REF!/10^7</f>
        <v>#REF!</v>
      </c>
      <c r="BA211" s="2002" t="e">
        <f t="shared" si="496"/>
        <v>#REF!</v>
      </c>
      <c r="BB211" s="1999" t="e">
        <f t="shared" si="470"/>
        <v>#REF!</v>
      </c>
      <c r="BC211" s="1993" t="e">
        <f>#REF!</f>
        <v>#REF!</v>
      </c>
      <c r="BD211" s="2003">
        <f t="shared" si="497"/>
        <v>0</v>
      </c>
      <c r="BE211" s="1989" t="e">
        <f>#REF!/10^7</f>
        <v>#REF!</v>
      </c>
      <c r="BF211" s="2003">
        <f t="shared" si="498"/>
        <v>0</v>
      </c>
      <c r="BG211" s="1989" t="e">
        <f>#REF!/10^7</f>
        <v>#REF!</v>
      </c>
      <c r="BH211" s="2003">
        <f t="shared" si="499"/>
        <v>0</v>
      </c>
      <c r="BI211" s="1989" t="e">
        <f>#REF!/10^7</f>
        <v>#REF!</v>
      </c>
      <c r="BJ211" s="1989" t="e">
        <f>#REF!/10^7</f>
        <v>#REF!</v>
      </c>
      <c r="BK211" s="2002" t="e">
        <f t="shared" si="500"/>
        <v>#REF!</v>
      </c>
      <c r="BL211" s="1999" t="e">
        <f t="shared" si="438"/>
        <v>#REF!</v>
      </c>
      <c r="BM211" s="1993" t="e">
        <f>#REF!</f>
        <v>#REF!</v>
      </c>
      <c r="BN211" s="2003">
        <f t="shared" si="501"/>
        <v>0</v>
      </c>
      <c r="BO211" s="1989" t="e">
        <f>#REF!/10^7</f>
        <v>#REF!</v>
      </c>
      <c r="BP211" s="2003">
        <f t="shared" si="502"/>
        <v>0</v>
      </c>
      <c r="BQ211" s="1989" t="e">
        <f>#REF!/10^7</f>
        <v>#REF!</v>
      </c>
      <c r="BR211" s="2003">
        <f t="shared" si="503"/>
        <v>0</v>
      </c>
      <c r="BS211" s="1989" t="e">
        <f>#REF!/10^7</f>
        <v>#REF!</v>
      </c>
      <c r="BT211" s="1989" t="e">
        <f>#REF!/10^7</f>
        <v>#REF!</v>
      </c>
      <c r="BU211" s="2002" t="e">
        <f t="shared" si="504"/>
        <v>#REF!</v>
      </c>
      <c r="BV211" s="1999" t="e">
        <f t="shared" si="439"/>
        <v>#REF!</v>
      </c>
      <c r="BW211" s="1993" t="e">
        <f>#REF!</f>
        <v>#REF!</v>
      </c>
      <c r="BX211" s="2003">
        <f t="shared" si="505"/>
        <v>0</v>
      </c>
      <c r="BY211" s="1989" t="e">
        <f>#REF!/10^7</f>
        <v>#REF!</v>
      </c>
      <c r="BZ211" s="2003">
        <f t="shared" si="506"/>
        <v>0</v>
      </c>
      <c r="CA211" s="1989" t="e">
        <f>#REF!/10^7</f>
        <v>#REF!</v>
      </c>
      <c r="CB211" s="2003">
        <f t="shared" si="507"/>
        <v>0</v>
      </c>
      <c r="CC211" s="1989" t="e">
        <f>#REF!/10^7</f>
        <v>#REF!</v>
      </c>
      <c r="CD211" s="1989" t="e">
        <f>#REF!/10^7</f>
        <v>#REF!</v>
      </c>
      <c r="CE211" s="2002" t="e">
        <f t="shared" si="508"/>
        <v>#REF!</v>
      </c>
      <c r="CF211" s="1999" t="e">
        <f t="shared" si="440"/>
        <v>#REF!</v>
      </c>
      <c r="CG211" s="1993" t="e">
        <f>#REF!</f>
        <v>#REF!</v>
      </c>
      <c r="CH211" s="2003">
        <f t="shared" si="509"/>
        <v>0</v>
      </c>
      <c r="CI211" s="1989" t="e">
        <f>#REF!/10^7</f>
        <v>#REF!</v>
      </c>
      <c r="CJ211" s="2003">
        <f t="shared" si="510"/>
        <v>0</v>
      </c>
      <c r="CK211" s="1989" t="e">
        <f>#REF!/10^7</f>
        <v>#REF!</v>
      </c>
      <c r="CL211" s="2003">
        <f t="shared" si="511"/>
        <v>0</v>
      </c>
      <c r="CM211" s="1989" t="e">
        <f>#REF!/10^7</f>
        <v>#REF!</v>
      </c>
      <c r="CN211" s="1989" t="e">
        <f>#REF!/10^7</f>
        <v>#REF!</v>
      </c>
      <c r="CO211" s="2002" t="e">
        <f t="shared" si="512"/>
        <v>#REF!</v>
      </c>
      <c r="CP211" s="1999" t="e">
        <f t="shared" si="441"/>
        <v>#REF!</v>
      </c>
      <c r="CQ211" s="1993" t="e">
        <f>#REF!</f>
        <v>#REF!</v>
      </c>
      <c r="CR211" s="2003">
        <f t="shared" si="513"/>
        <v>0</v>
      </c>
      <c r="CS211" s="1989" t="e">
        <f>#REF!/10^7</f>
        <v>#REF!</v>
      </c>
      <c r="CT211" s="2003">
        <f t="shared" si="514"/>
        <v>0</v>
      </c>
      <c r="CU211" s="1989" t="e">
        <f>#REF!/10^7</f>
        <v>#REF!</v>
      </c>
      <c r="CV211" s="2003">
        <f t="shared" si="515"/>
        <v>0</v>
      </c>
      <c r="CW211" s="1989" t="e">
        <f>#REF!/10^7</f>
        <v>#REF!</v>
      </c>
      <c r="CX211" s="1989" t="e">
        <f>#REF!/10^7</f>
        <v>#REF!</v>
      </c>
      <c r="CY211" s="2002" t="e">
        <f t="shared" si="516"/>
        <v>#REF!</v>
      </c>
      <c r="CZ211" s="1999" t="e">
        <f t="shared" si="442"/>
        <v>#REF!</v>
      </c>
      <c r="DA211" s="1993" t="e">
        <f>#REF!</f>
        <v>#REF!</v>
      </c>
      <c r="DB211" s="2003">
        <f t="shared" si="517"/>
        <v>0</v>
      </c>
      <c r="DC211" s="1989" t="e">
        <f>#REF!/10^7</f>
        <v>#REF!</v>
      </c>
      <c r="DD211" s="2003">
        <f t="shared" si="518"/>
        <v>0</v>
      </c>
      <c r="DE211" s="1989" t="e">
        <f>#REF!/10^7</f>
        <v>#REF!</v>
      </c>
      <c r="DF211" s="2003">
        <f t="shared" si="519"/>
        <v>0</v>
      </c>
      <c r="DG211" s="1989" t="e">
        <f>#REF!/10^7</f>
        <v>#REF!</v>
      </c>
      <c r="DH211" s="1989" t="e">
        <f>#REF!/10^7</f>
        <v>#REF!</v>
      </c>
      <c r="DI211" s="2002" t="e">
        <f t="shared" si="520"/>
        <v>#REF!</v>
      </c>
      <c r="DJ211" s="1999" t="e">
        <f t="shared" si="471"/>
        <v>#REF!</v>
      </c>
      <c r="DK211" s="1993" t="e">
        <f>#REF!</f>
        <v>#REF!</v>
      </c>
      <c r="DL211" s="2003">
        <f t="shared" si="521"/>
        <v>0</v>
      </c>
      <c r="DM211" s="1989" t="e">
        <f>#REF!/10^7</f>
        <v>#REF!</v>
      </c>
      <c r="DN211" s="2003">
        <f t="shared" si="522"/>
        <v>0</v>
      </c>
      <c r="DO211" s="1989" t="e">
        <f>#REF!/10^7</f>
        <v>#REF!</v>
      </c>
      <c r="DP211" s="2003">
        <f t="shared" si="523"/>
        <v>0</v>
      </c>
      <c r="DQ211" s="1989" t="e">
        <f>#REF!/10^7</f>
        <v>#REF!</v>
      </c>
      <c r="DR211" s="1989" t="e">
        <f>#REF!/10^7</f>
        <v>#REF!</v>
      </c>
      <c r="DS211" s="2002" t="e">
        <f t="shared" si="524"/>
        <v>#REF!</v>
      </c>
      <c r="DT211" s="2004" t="e">
        <f t="shared" si="472"/>
        <v>#REF!</v>
      </c>
      <c r="DU211" s="1988" t="e">
        <f>#REF!</f>
        <v>#REF!</v>
      </c>
      <c r="DV211" s="2003">
        <f t="shared" si="525"/>
        <v>0</v>
      </c>
      <c r="DW211" s="1989" t="e">
        <f>#REF!/10^7</f>
        <v>#REF!</v>
      </c>
      <c r="DX211" s="2003">
        <f t="shared" si="526"/>
        <v>0</v>
      </c>
      <c r="DY211" s="1989" t="e">
        <f>#REF!/10^7</f>
        <v>#REF!</v>
      </c>
      <c r="DZ211" s="2003">
        <f t="shared" si="527"/>
        <v>0</v>
      </c>
      <c r="EA211" s="1989" t="e">
        <f>#REF!/10^7</f>
        <v>#REF!</v>
      </c>
      <c r="EB211" s="1989" t="e">
        <f>#REF!/10^7</f>
        <v>#REF!</v>
      </c>
      <c r="EC211" s="2002" t="e">
        <f t="shared" si="528"/>
        <v>#REF!</v>
      </c>
      <c r="ED211" s="1998" t="e">
        <f t="shared" si="473"/>
        <v>#REF!</v>
      </c>
      <c r="EE211" s="2005" t="e">
        <f t="shared" si="475"/>
        <v>#REF!</v>
      </c>
      <c r="EF211" s="2003">
        <f t="shared" si="529"/>
        <v>0</v>
      </c>
      <c r="EG211" s="1989" t="e">
        <f t="shared" si="476"/>
        <v>#REF!</v>
      </c>
      <c r="EH211" s="2003">
        <f t="shared" si="530"/>
        <v>0</v>
      </c>
      <c r="EI211" s="1989" t="e">
        <f t="shared" si="477"/>
        <v>#REF!</v>
      </c>
      <c r="EJ211" s="2003">
        <f t="shared" si="531"/>
        <v>0</v>
      </c>
      <c r="EK211" s="1989" t="e">
        <f t="shared" si="478"/>
        <v>#REF!</v>
      </c>
      <c r="EL211" s="1989" t="e">
        <f t="shared" si="478"/>
        <v>#REF!</v>
      </c>
      <c r="EM211" s="2006" t="e">
        <f t="shared" si="532"/>
        <v>#REF!</v>
      </c>
      <c r="EN211" s="1999" t="e">
        <f t="shared" si="479"/>
        <v>#REF!</v>
      </c>
      <c r="EO211" s="1613">
        <v>64.321674000000002</v>
      </c>
      <c r="EP211" s="1613" t="e">
        <f>EA211-#REF!/10^7</f>
        <v>#REF!</v>
      </c>
      <c r="ER211" s="1612" t="e">
        <f t="shared" si="480"/>
        <v>#REF!</v>
      </c>
      <c r="EW211" s="1611" t="e">
        <v>#N/A</v>
      </c>
      <c r="EX211" s="1612" t="e">
        <v>#N/A</v>
      </c>
      <c r="EZ211" s="1650">
        <f t="shared" si="533"/>
        <v>0</v>
      </c>
    </row>
    <row r="212" spans="1:156" ht="21" customHeight="1">
      <c r="A212" s="1652">
        <v>22</v>
      </c>
      <c r="B212" s="1701" t="s">
        <v>1880</v>
      </c>
      <c r="C212" s="1662">
        <v>25</v>
      </c>
      <c r="D212" s="1646">
        <f t="shared" si="474"/>
        <v>100</v>
      </c>
      <c r="E212" s="1646"/>
      <c r="F212" s="1648" t="s">
        <v>1594</v>
      </c>
      <c r="G212" s="1648"/>
      <c r="H212" s="1648">
        <v>25</v>
      </c>
      <c r="I212" s="1648" t="s">
        <v>1717</v>
      </c>
      <c r="J212" s="1649">
        <v>2</v>
      </c>
      <c r="K212" s="1648"/>
      <c r="L212" s="1648"/>
      <c r="M212" s="1648"/>
      <c r="N212" s="1642"/>
      <c r="O212" s="2000" t="e">
        <f>#REF!</f>
        <v>#REF!</v>
      </c>
      <c r="P212" s="2003">
        <f t="shared" si="481"/>
        <v>0</v>
      </c>
      <c r="Q212" s="1989" t="e">
        <f>#REF!/10^7</f>
        <v>#REF!</v>
      </c>
      <c r="R212" s="2003">
        <f t="shared" si="482"/>
        <v>0</v>
      </c>
      <c r="S212" s="1989" t="e">
        <f>#REF!/10^7</f>
        <v>#REF!</v>
      </c>
      <c r="T212" s="2003">
        <f t="shared" si="483"/>
        <v>0</v>
      </c>
      <c r="U212" s="1989" t="e">
        <f>#REF!/10^7</f>
        <v>#REF!</v>
      </c>
      <c r="V212" s="1989" t="e">
        <f>#REF!/10^7</f>
        <v>#REF!</v>
      </c>
      <c r="W212" s="1989">
        <f t="shared" si="484"/>
        <v>0</v>
      </c>
      <c r="X212" s="1999" t="e">
        <f t="shared" si="467"/>
        <v>#REF!</v>
      </c>
      <c r="Y212" s="1993" t="e">
        <f>#REF!</f>
        <v>#REF!</v>
      </c>
      <c r="Z212" s="2003">
        <f t="shared" si="485"/>
        <v>0</v>
      </c>
      <c r="AA212" s="1989" t="e">
        <f>#REF!/10^7</f>
        <v>#REF!</v>
      </c>
      <c r="AB212" s="2003">
        <f t="shared" si="486"/>
        <v>0</v>
      </c>
      <c r="AC212" s="1989" t="e">
        <f>#REF!/10^7</f>
        <v>#REF!</v>
      </c>
      <c r="AD212" s="2003">
        <f t="shared" si="487"/>
        <v>0</v>
      </c>
      <c r="AE212" s="1989" t="e">
        <f>#REF!/10^7</f>
        <v>#REF!</v>
      </c>
      <c r="AF212" s="1989" t="e">
        <f>#REF!/10^7</f>
        <v>#REF!</v>
      </c>
      <c r="AG212" s="2002" t="e">
        <f t="shared" si="488"/>
        <v>#REF!</v>
      </c>
      <c r="AH212" s="1999" t="e">
        <f t="shared" si="468"/>
        <v>#REF!</v>
      </c>
      <c r="AI212" s="1993" t="e">
        <f>#REF!</f>
        <v>#REF!</v>
      </c>
      <c r="AJ212" s="2003">
        <f t="shared" si="489"/>
        <v>0</v>
      </c>
      <c r="AK212" s="1989" t="e">
        <f>#REF!/10^7</f>
        <v>#REF!</v>
      </c>
      <c r="AL212" s="2003">
        <f t="shared" si="490"/>
        <v>0</v>
      </c>
      <c r="AM212" s="1989" t="e">
        <f>#REF!/10^7</f>
        <v>#REF!</v>
      </c>
      <c r="AN212" s="2003">
        <f t="shared" si="491"/>
        <v>0</v>
      </c>
      <c r="AO212" s="1989" t="e">
        <f>#REF!/10^7</f>
        <v>#REF!</v>
      </c>
      <c r="AP212" s="1989" t="e">
        <f>#REF!/10^7</f>
        <v>#REF!</v>
      </c>
      <c r="AQ212" s="2002" t="e">
        <f t="shared" si="492"/>
        <v>#REF!</v>
      </c>
      <c r="AR212" s="1999" t="e">
        <f t="shared" si="469"/>
        <v>#REF!</v>
      </c>
      <c r="AS212" s="1993" t="e">
        <f>#REF!</f>
        <v>#REF!</v>
      </c>
      <c r="AT212" s="2003">
        <f t="shared" si="493"/>
        <v>0</v>
      </c>
      <c r="AU212" s="1989" t="e">
        <f>#REF!/10^7</f>
        <v>#REF!</v>
      </c>
      <c r="AV212" s="2003">
        <f t="shared" si="494"/>
        <v>0</v>
      </c>
      <c r="AW212" s="1989" t="e">
        <f>#REF!/10^7</f>
        <v>#REF!</v>
      </c>
      <c r="AX212" s="2003">
        <f t="shared" si="495"/>
        <v>0</v>
      </c>
      <c r="AY212" s="1989" t="e">
        <f>#REF!/10^7</f>
        <v>#REF!</v>
      </c>
      <c r="AZ212" s="1989" t="e">
        <f>#REF!/10^7</f>
        <v>#REF!</v>
      </c>
      <c r="BA212" s="2002" t="e">
        <f t="shared" si="496"/>
        <v>#REF!</v>
      </c>
      <c r="BB212" s="1999" t="e">
        <f t="shared" si="470"/>
        <v>#REF!</v>
      </c>
      <c r="BC212" s="1993" t="e">
        <f>#REF!</f>
        <v>#REF!</v>
      </c>
      <c r="BD212" s="2003">
        <f t="shared" si="497"/>
        <v>0</v>
      </c>
      <c r="BE212" s="1989" t="e">
        <f>#REF!/10^7</f>
        <v>#REF!</v>
      </c>
      <c r="BF212" s="2003">
        <f t="shared" si="498"/>
        <v>0</v>
      </c>
      <c r="BG212" s="1989" t="e">
        <f>#REF!/10^7</f>
        <v>#REF!</v>
      </c>
      <c r="BH212" s="2003">
        <f t="shared" si="499"/>
        <v>0</v>
      </c>
      <c r="BI212" s="1989" t="e">
        <f>#REF!/10^7</f>
        <v>#REF!</v>
      </c>
      <c r="BJ212" s="1989" t="e">
        <f>#REF!/10^7</f>
        <v>#REF!</v>
      </c>
      <c r="BK212" s="2002" t="e">
        <f t="shared" si="500"/>
        <v>#REF!</v>
      </c>
      <c r="BL212" s="1999" t="e">
        <f t="shared" si="438"/>
        <v>#REF!</v>
      </c>
      <c r="BM212" s="1993" t="e">
        <f>#REF!</f>
        <v>#REF!</v>
      </c>
      <c r="BN212" s="2003">
        <f t="shared" si="501"/>
        <v>0</v>
      </c>
      <c r="BO212" s="1989" t="e">
        <f>#REF!/10^7</f>
        <v>#REF!</v>
      </c>
      <c r="BP212" s="2003">
        <f t="shared" si="502"/>
        <v>0</v>
      </c>
      <c r="BQ212" s="1989" t="e">
        <f>#REF!/10^7</f>
        <v>#REF!</v>
      </c>
      <c r="BR212" s="2003">
        <f t="shared" si="503"/>
        <v>0</v>
      </c>
      <c r="BS212" s="1989" t="e">
        <f>#REF!/10^7</f>
        <v>#REF!</v>
      </c>
      <c r="BT212" s="1989" t="e">
        <f>#REF!/10^7</f>
        <v>#REF!</v>
      </c>
      <c r="BU212" s="2002" t="e">
        <f t="shared" si="504"/>
        <v>#REF!</v>
      </c>
      <c r="BV212" s="1999" t="e">
        <f t="shared" si="439"/>
        <v>#REF!</v>
      </c>
      <c r="BW212" s="1993" t="e">
        <f>#REF!</f>
        <v>#REF!</v>
      </c>
      <c r="BX212" s="2003">
        <f t="shared" si="505"/>
        <v>0</v>
      </c>
      <c r="BY212" s="1989" t="e">
        <f>#REF!/10^7</f>
        <v>#REF!</v>
      </c>
      <c r="BZ212" s="2003">
        <f t="shared" si="506"/>
        <v>0</v>
      </c>
      <c r="CA212" s="1989" t="e">
        <f>#REF!/10^7</f>
        <v>#REF!</v>
      </c>
      <c r="CB212" s="2003">
        <f t="shared" si="507"/>
        <v>0</v>
      </c>
      <c r="CC212" s="1989" t="e">
        <f>#REF!/10^7</f>
        <v>#REF!</v>
      </c>
      <c r="CD212" s="1989" t="e">
        <f>#REF!/10^7</f>
        <v>#REF!</v>
      </c>
      <c r="CE212" s="2002" t="e">
        <f t="shared" si="508"/>
        <v>#REF!</v>
      </c>
      <c r="CF212" s="1999" t="e">
        <f t="shared" si="440"/>
        <v>#REF!</v>
      </c>
      <c r="CG212" s="1993" t="e">
        <f>#REF!</f>
        <v>#REF!</v>
      </c>
      <c r="CH212" s="2003">
        <f t="shared" si="509"/>
        <v>0</v>
      </c>
      <c r="CI212" s="1989" t="e">
        <f>#REF!/10^7</f>
        <v>#REF!</v>
      </c>
      <c r="CJ212" s="2003">
        <f t="shared" si="510"/>
        <v>0</v>
      </c>
      <c r="CK212" s="1989" t="e">
        <f>#REF!/10^7</f>
        <v>#REF!</v>
      </c>
      <c r="CL212" s="2003">
        <f t="shared" si="511"/>
        <v>0</v>
      </c>
      <c r="CM212" s="1989" t="e">
        <f>#REF!/10^7</f>
        <v>#REF!</v>
      </c>
      <c r="CN212" s="1989" t="e">
        <f>#REF!/10^7</f>
        <v>#REF!</v>
      </c>
      <c r="CO212" s="2002" t="e">
        <f t="shared" si="512"/>
        <v>#REF!</v>
      </c>
      <c r="CP212" s="1999" t="e">
        <f t="shared" si="441"/>
        <v>#REF!</v>
      </c>
      <c r="CQ212" s="1993" t="e">
        <f>#REF!</f>
        <v>#REF!</v>
      </c>
      <c r="CR212" s="2003">
        <f t="shared" si="513"/>
        <v>0</v>
      </c>
      <c r="CS212" s="1989" t="e">
        <f>#REF!/10^7</f>
        <v>#REF!</v>
      </c>
      <c r="CT212" s="2003">
        <f t="shared" si="514"/>
        <v>0</v>
      </c>
      <c r="CU212" s="1989" t="e">
        <f>#REF!/10^7</f>
        <v>#REF!</v>
      </c>
      <c r="CV212" s="2003">
        <f t="shared" si="515"/>
        <v>0</v>
      </c>
      <c r="CW212" s="1989" t="e">
        <f>#REF!/10^7</f>
        <v>#REF!</v>
      </c>
      <c r="CX212" s="1989" t="e">
        <f>#REF!/10^7</f>
        <v>#REF!</v>
      </c>
      <c r="CY212" s="2002" t="e">
        <f t="shared" si="516"/>
        <v>#REF!</v>
      </c>
      <c r="CZ212" s="1999" t="e">
        <f t="shared" si="442"/>
        <v>#REF!</v>
      </c>
      <c r="DA212" s="1993" t="e">
        <f>#REF!</f>
        <v>#REF!</v>
      </c>
      <c r="DB212" s="2003">
        <f t="shared" si="517"/>
        <v>0</v>
      </c>
      <c r="DC212" s="1989" t="e">
        <f>#REF!/10^7</f>
        <v>#REF!</v>
      </c>
      <c r="DD212" s="2003">
        <f t="shared" si="518"/>
        <v>0</v>
      </c>
      <c r="DE212" s="1989" t="e">
        <f>#REF!/10^7</f>
        <v>#REF!</v>
      </c>
      <c r="DF212" s="2003">
        <f t="shared" si="519"/>
        <v>0</v>
      </c>
      <c r="DG212" s="1989" t="e">
        <f>#REF!/10^7</f>
        <v>#REF!</v>
      </c>
      <c r="DH212" s="1989" t="e">
        <f>#REF!/10^7</f>
        <v>#REF!</v>
      </c>
      <c r="DI212" s="2002" t="e">
        <f t="shared" si="520"/>
        <v>#REF!</v>
      </c>
      <c r="DJ212" s="1999" t="e">
        <f t="shared" si="471"/>
        <v>#REF!</v>
      </c>
      <c r="DK212" s="1993" t="e">
        <f>#REF!</f>
        <v>#REF!</v>
      </c>
      <c r="DL212" s="2003">
        <f t="shared" si="521"/>
        <v>0</v>
      </c>
      <c r="DM212" s="1989" t="e">
        <f>#REF!/10^7</f>
        <v>#REF!</v>
      </c>
      <c r="DN212" s="2003">
        <f t="shared" si="522"/>
        <v>0</v>
      </c>
      <c r="DO212" s="1989" t="e">
        <f>#REF!/10^7</f>
        <v>#REF!</v>
      </c>
      <c r="DP212" s="2003">
        <f t="shared" si="523"/>
        <v>0</v>
      </c>
      <c r="DQ212" s="1989" t="e">
        <f>#REF!/10^7</f>
        <v>#REF!</v>
      </c>
      <c r="DR212" s="1989" t="e">
        <f>#REF!/10^7</f>
        <v>#REF!</v>
      </c>
      <c r="DS212" s="2002" t="e">
        <f t="shared" si="524"/>
        <v>#REF!</v>
      </c>
      <c r="DT212" s="2004" t="e">
        <f t="shared" si="472"/>
        <v>#REF!</v>
      </c>
      <c r="DU212" s="1988" t="e">
        <f>#REF!</f>
        <v>#REF!</v>
      </c>
      <c r="DV212" s="2003">
        <f t="shared" si="525"/>
        <v>0</v>
      </c>
      <c r="DW212" s="1989" t="e">
        <f>#REF!/10^7</f>
        <v>#REF!</v>
      </c>
      <c r="DX212" s="2003">
        <f t="shared" si="526"/>
        <v>0</v>
      </c>
      <c r="DY212" s="1989" t="e">
        <f>#REF!/10^7</f>
        <v>#REF!</v>
      </c>
      <c r="DZ212" s="2003">
        <f t="shared" si="527"/>
        <v>0</v>
      </c>
      <c r="EA212" s="1989" t="e">
        <f>#REF!/10^7</f>
        <v>#REF!</v>
      </c>
      <c r="EB212" s="1989" t="e">
        <f>#REF!/10^7</f>
        <v>#REF!</v>
      </c>
      <c r="EC212" s="2002" t="e">
        <f t="shared" si="528"/>
        <v>#REF!</v>
      </c>
      <c r="ED212" s="1998" t="e">
        <f t="shared" si="473"/>
        <v>#REF!</v>
      </c>
      <c r="EE212" s="2005" t="e">
        <f t="shared" si="475"/>
        <v>#REF!</v>
      </c>
      <c r="EF212" s="2003">
        <f t="shared" si="529"/>
        <v>0</v>
      </c>
      <c r="EG212" s="1989" t="e">
        <f t="shared" si="476"/>
        <v>#REF!</v>
      </c>
      <c r="EH212" s="2003">
        <f t="shared" si="530"/>
        <v>0</v>
      </c>
      <c r="EI212" s="1989" t="e">
        <f t="shared" si="477"/>
        <v>#REF!</v>
      </c>
      <c r="EJ212" s="2003">
        <f t="shared" si="531"/>
        <v>0</v>
      </c>
      <c r="EK212" s="1989" t="e">
        <f t="shared" si="478"/>
        <v>#REF!</v>
      </c>
      <c r="EL212" s="1989" t="e">
        <f t="shared" si="478"/>
        <v>#REF!</v>
      </c>
      <c r="EM212" s="2006" t="e">
        <f t="shared" si="532"/>
        <v>#REF!</v>
      </c>
      <c r="EN212" s="1999" t="e">
        <f t="shared" si="479"/>
        <v>#REF!</v>
      </c>
      <c r="EO212" s="1613">
        <v>47.481211999999999</v>
      </c>
      <c r="EP212" s="1613" t="e">
        <f>EA212-#REF!/10^7</f>
        <v>#REF!</v>
      </c>
      <c r="ER212" s="1612" t="e">
        <f t="shared" si="480"/>
        <v>#REF!</v>
      </c>
      <c r="EW212" s="1611" t="e">
        <v>#N/A</v>
      </c>
      <c r="EX212" s="1612" t="e">
        <v>#N/A</v>
      </c>
      <c r="EZ212" s="1650">
        <f t="shared" si="533"/>
        <v>0</v>
      </c>
    </row>
    <row r="213" spans="1:156" ht="21" customHeight="1">
      <c r="A213" s="1652">
        <v>23</v>
      </c>
      <c r="B213" s="1701" t="s">
        <v>1881</v>
      </c>
      <c r="C213" s="1662">
        <v>20</v>
      </c>
      <c r="D213" s="1646">
        <f t="shared" si="474"/>
        <v>100</v>
      </c>
      <c r="E213" s="1646"/>
      <c r="F213" s="1648" t="s">
        <v>1594</v>
      </c>
      <c r="G213" s="1648"/>
      <c r="H213" s="1648">
        <v>20</v>
      </c>
      <c r="I213" s="1648" t="s">
        <v>1717</v>
      </c>
      <c r="J213" s="1649">
        <v>2</v>
      </c>
      <c r="K213" s="1648"/>
      <c r="L213" s="1648"/>
      <c r="M213" s="1648"/>
      <c r="N213" s="1642"/>
      <c r="O213" s="2000" t="e">
        <f>#REF!</f>
        <v>#REF!</v>
      </c>
      <c r="P213" s="2003">
        <f t="shared" si="481"/>
        <v>0</v>
      </c>
      <c r="Q213" s="1989" t="e">
        <f>#REF!/10^7</f>
        <v>#REF!</v>
      </c>
      <c r="R213" s="2003">
        <f t="shared" si="482"/>
        <v>0</v>
      </c>
      <c r="S213" s="1989" t="e">
        <f>#REF!/10^7</f>
        <v>#REF!</v>
      </c>
      <c r="T213" s="2003">
        <f t="shared" si="483"/>
        <v>0</v>
      </c>
      <c r="U213" s="1989" t="e">
        <f>#REF!/10^7</f>
        <v>#REF!</v>
      </c>
      <c r="V213" s="1989" t="e">
        <f>#REF!/10^7</f>
        <v>#REF!</v>
      </c>
      <c r="W213" s="1989">
        <f t="shared" si="484"/>
        <v>0</v>
      </c>
      <c r="X213" s="1999" t="e">
        <f t="shared" si="467"/>
        <v>#REF!</v>
      </c>
      <c r="Y213" s="1993" t="e">
        <f>#REF!</f>
        <v>#REF!</v>
      </c>
      <c r="Z213" s="2003">
        <f t="shared" si="485"/>
        <v>0</v>
      </c>
      <c r="AA213" s="1989" t="e">
        <f>#REF!/10^7</f>
        <v>#REF!</v>
      </c>
      <c r="AB213" s="2003">
        <f t="shared" si="486"/>
        <v>0</v>
      </c>
      <c r="AC213" s="1989" t="e">
        <f>#REF!/10^7</f>
        <v>#REF!</v>
      </c>
      <c r="AD213" s="2003">
        <f t="shared" si="487"/>
        <v>0</v>
      </c>
      <c r="AE213" s="1989" t="e">
        <f>#REF!/10^7</f>
        <v>#REF!</v>
      </c>
      <c r="AF213" s="1989" t="e">
        <f>#REF!/10^7</f>
        <v>#REF!</v>
      </c>
      <c r="AG213" s="2002" t="e">
        <f t="shared" si="488"/>
        <v>#REF!</v>
      </c>
      <c r="AH213" s="1999" t="e">
        <f t="shared" si="468"/>
        <v>#REF!</v>
      </c>
      <c r="AI213" s="1993" t="e">
        <f>#REF!</f>
        <v>#REF!</v>
      </c>
      <c r="AJ213" s="2003">
        <f t="shared" si="489"/>
        <v>0</v>
      </c>
      <c r="AK213" s="1989" t="e">
        <f>#REF!/10^7</f>
        <v>#REF!</v>
      </c>
      <c r="AL213" s="2003">
        <f t="shared" si="490"/>
        <v>0</v>
      </c>
      <c r="AM213" s="1989" t="e">
        <f>#REF!/10^7</f>
        <v>#REF!</v>
      </c>
      <c r="AN213" s="2003">
        <f t="shared" si="491"/>
        <v>0</v>
      </c>
      <c r="AO213" s="1989" t="e">
        <f>#REF!/10^7</f>
        <v>#REF!</v>
      </c>
      <c r="AP213" s="1989" t="e">
        <f>#REF!/10^7</f>
        <v>#REF!</v>
      </c>
      <c r="AQ213" s="2002" t="e">
        <f t="shared" si="492"/>
        <v>#REF!</v>
      </c>
      <c r="AR213" s="1999" t="e">
        <f t="shared" si="469"/>
        <v>#REF!</v>
      </c>
      <c r="AS213" s="1993" t="e">
        <f>#REF!</f>
        <v>#REF!</v>
      </c>
      <c r="AT213" s="2003">
        <f t="shared" si="493"/>
        <v>0</v>
      </c>
      <c r="AU213" s="1989" t="e">
        <f>#REF!/10^7</f>
        <v>#REF!</v>
      </c>
      <c r="AV213" s="2003">
        <f t="shared" si="494"/>
        <v>0</v>
      </c>
      <c r="AW213" s="1989" t="e">
        <f>#REF!/10^7</f>
        <v>#REF!</v>
      </c>
      <c r="AX213" s="2003">
        <f t="shared" si="495"/>
        <v>0</v>
      </c>
      <c r="AY213" s="1989" t="e">
        <f>#REF!/10^7</f>
        <v>#REF!</v>
      </c>
      <c r="AZ213" s="1989" t="e">
        <f>#REF!/10^7</f>
        <v>#REF!</v>
      </c>
      <c r="BA213" s="2002" t="e">
        <f t="shared" si="496"/>
        <v>#REF!</v>
      </c>
      <c r="BB213" s="1999" t="e">
        <f t="shared" si="470"/>
        <v>#REF!</v>
      </c>
      <c r="BC213" s="1993" t="e">
        <f>#REF!</f>
        <v>#REF!</v>
      </c>
      <c r="BD213" s="2003">
        <f t="shared" si="497"/>
        <v>0</v>
      </c>
      <c r="BE213" s="1989" t="e">
        <f>#REF!/10^7</f>
        <v>#REF!</v>
      </c>
      <c r="BF213" s="2003">
        <f t="shared" si="498"/>
        <v>0</v>
      </c>
      <c r="BG213" s="1989" t="e">
        <f>#REF!/10^7</f>
        <v>#REF!</v>
      </c>
      <c r="BH213" s="2003">
        <f t="shared" si="499"/>
        <v>0</v>
      </c>
      <c r="BI213" s="1989" t="e">
        <f>#REF!/10^7</f>
        <v>#REF!</v>
      </c>
      <c r="BJ213" s="1989" t="e">
        <f>#REF!/10^7</f>
        <v>#REF!</v>
      </c>
      <c r="BK213" s="2002" t="e">
        <f t="shared" si="500"/>
        <v>#REF!</v>
      </c>
      <c r="BL213" s="1999" t="e">
        <f t="shared" si="438"/>
        <v>#REF!</v>
      </c>
      <c r="BM213" s="1993" t="e">
        <f>#REF!</f>
        <v>#REF!</v>
      </c>
      <c r="BN213" s="2003">
        <f t="shared" si="501"/>
        <v>0</v>
      </c>
      <c r="BO213" s="1989" t="e">
        <f>#REF!/10^7</f>
        <v>#REF!</v>
      </c>
      <c r="BP213" s="2003">
        <f t="shared" si="502"/>
        <v>0</v>
      </c>
      <c r="BQ213" s="1989" t="e">
        <f>#REF!/10^7</f>
        <v>#REF!</v>
      </c>
      <c r="BR213" s="2003">
        <f t="shared" si="503"/>
        <v>0</v>
      </c>
      <c r="BS213" s="1989" t="e">
        <f>#REF!/10^7</f>
        <v>#REF!</v>
      </c>
      <c r="BT213" s="1989" t="e">
        <f>#REF!/10^7</f>
        <v>#REF!</v>
      </c>
      <c r="BU213" s="2002" t="e">
        <f t="shared" si="504"/>
        <v>#REF!</v>
      </c>
      <c r="BV213" s="1999" t="e">
        <f t="shared" si="439"/>
        <v>#REF!</v>
      </c>
      <c r="BW213" s="1993" t="e">
        <f>#REF!</f>
        <v>#REF!</v>
      </c>
      <c r="BX213" s="2003">
        <f t="shared" si="505"/>
        <v>0</v>
      </c>
      <c r="BY213" s="1989" t="e">
        <f>#REF!/10^7</f>
        <v>#REF!</v>
      </c>
      <c r="BZ213" s="2003">
        <f t="shared" si="506"/>
        <v>0</v>
      </c>
      <c r="CA213" s="1989" t="e">
        <f>#REF!/10^7</f>
        <v>#REF!</v>
      </c>
      <c r="CB213" s="2003">
        <f t="shared" si="507"/>
        <v>0</v>
      </c>
      <c r="CC213" s="1989" t="e">
        <f>#REF!/10^7</f>
        <v>#REF!</v>
      </c>
      <c r="CD213" s="1989" t="e">
        <f>#REF!/10^7</f>
        <v>#REF!</v>
      </c>
      <c r="CE213" s="2002" t="e">
        <f t="shared" si="508"/>
        <v>#REF!</v>
      </c>
      <c r="CF213" s="1999" t="e">
        <f t="shared" si="440"/>
        <v>#REF!</v>
      </c>
      <c r="CG213" s="1993" t="e">
        <f>#REF!</f>
        <v>#REF!</v>
      </c>
      <c r="CH213" s="2003">
        <f t="shared" si="509"/>
        <v>0</v>
      </c>
      <c r="CI213" s="1989" t="e">
        <f>#REF!/10^7</f>
        <v>#REF!</v>
      </c>
      <c r="CJ213" s="2003">
        <f t="shared" si="510"/>
        <v>0</v>
      </c>
      <c r="CK213" s="1989" t="e">
        <f>#REF!/10^7</f>
        <v>#REF!</v>
      </c>
      <c r="CL213" s="2003">
        <f t="shared" si="511"/>
        <v>0</v>
      </c>
      <c r="CM213" s="1989" t="e">
        <f>#REF!/10^7</f>
        <v>#REF!</v>
      </c>
      <c r="CN213" s="1989" t="e">
        <f>#REF!/10^7</f>
        <v>#REF!</v>
      </c>
      <c r="CO213" s="2002" t="e">
        <f t="shared" si="512"/>
        <v>#REF!</v>
      </c>
      <c r="CP213" s="1999" t="e">
        <f t="shared" si="441"/>
        <v>#REF!</v>
      </c>
      <c r="CQ213" s="1993" t="e">
        <f>#REF!</f>
        <v>#REF!</v>
      </c>
      <c r="CR213" s="2003">
        <f t="shared" si="513"/>
        <v>0</v>
      </c>
      <c r="CS213" s="1989" t="e">
        <f>#REF!/10^7</f>
        <v>#REF!</v>
      </c>
      <c r="CT213" s="2003">
        <f t="shared" si="514"/>
        <v>0</v>
      </c>
      <c r="CU213" s="1989" t="e">
        <f>#REF!/10^7</f>
        <v>#REF!</v>
      </c>
      <c r="CV213" s="2003">
        <f t="shared" si="515"/>
        <v>0</v>
      </c>
      <c r="CW213" s="1989" t="e">
        <f>#REF!/10^7</f>
        <v>#REF!</v>
      </c>
      <c r="CX213" s="1989" t="e">
        <f>#REF!/10^7</f>
        <v>#REF!</v>
      </c>
      <c r="CY213" s="2002" t="e">
        <f t="shared" si="516"/>
        <v>#REF!</v>
      </c>
      <c r="CZ213" s="1999" t="e">
        <f t="shared" si="442"/>
        <v>#REF!</v>
      </c>
      <c r="DA213" s="1993" t="e">
        <f>#REF!</f>
        <v>#REF!</v>
      </c>
      <c r="DB213" s="2003">
        <f t="shared" si="517"/>
        <v>0</v>
      </c>
      <c r="DC213" s="1989" t="e">
        <f>#REF!/10^7</f>
        <v>#REF!</v>
      </c>
      <c r="DD213" s="2003">
        <f t="shared" si="518"/>
        <v>0</v>
      </c>
      <c r="DE213" s="1989" t="e">
        <f>#REF!/10^7</f>
        <v>#REF!</v>
      </c>
      <c r="DF213" s="2003">
        <f t="shared" si="519"/>
        <v>0</v>
      </c>
      <c r="DG213" s="1989" t="e">
        <f>#REF!/10^7</f>
        <v>#REF!</v>
      </c>
      <c r="DH213" s="1989" t="e">
        <f>#REF!/10^7</f>
        <v>#REF!</v>
      </c>
      <c r="DI213" s="2002" t="e">
        <f t="shared" si="520"/>
        <v>#REF!</v>
      </c>
      <c r="DJ213" s="1999" t="e">
        <f t="shared" si="471"/>
        <v>#REF!</v>
      </c>
      <c r="DK213" s="1993" t="e">
        <f>#REF!</f>
        <v>#REF!</v>
      </c>
      <c r="DL213" s="2003">
        <f t="shared" si="521"/>
        <v>0</v>
      </c>
      <c r="DM213" s="1989" t="e">
        <f>#REF!/10^7</f>
        <v>#REF!</v>
      </c>
      <c r="DN213" s="2003">
        <f t="shared" si="522"/>
        <v>0</v>
      </c>
      <c r="DO213" s="1989" t="e">
        <f>#REF!/10^7</f>
        <v>#REF!</v>
      </c>
      <c r="DP213" s="2003">
        <f t="shared" si="523"/>
        <v>0</v>
      </c>
      <c r="DQ213" s="1989" t="e">
        <f>#REF!/10^7</f>
        <v>#REF!</v>
      </c>
      <c r="DR213" s="1989" t="e">
        <f>#REF!/10^7</f>
        <v>#REF!</v>
      </c>
      <c r="DS213" s="2002" t="e">
        <f t="shared" si="524"/>
        <v>#REF!</v>
      </c>
      <c r="DT213" s="2004" t="e">
        <f t="shared" si="472"/>
        <v>#REF!</v>
      </c>
      <c r="DU213" s="1988" t="e">
        <f>#REF!</f>
        <v>#REF!</v>
      </c>
      <c r="DV213" s="2003">
        <f t="shared" si="525"/>
        <v>0</v>
      </c>
      <c r="DW213" s="1989" t="e">
        <f>#REF!/10^7</f>
        <v>#REF!</v>
      </c>
      <c r="DX213" s="2003">
        <f t="shared" si="526"/>
        <v>0</v>
      </c>
      <c r="DY213" s="1989" t="e">
        <f>#REF!/10^7</f>
        <v>#REF!</v>
      </c>
      <c r="DZ213" s="2003">
        <f t="shared" si="527"/>
        <v>0</v>
      </c>
      <c r="EA213" s="1989" t="e">
        <f>#REF!/10^7</f>
        <v>#REF!</v>
      </c>
      <c r="EB213" s="1989" t="e">
        <f>#REF!/10^7</f>
        <v>#REF!</v>
      </c>
      <c r="EC213" s="2002" t="e">
        <f t="shared" si="528"/>
        <v>#REF!</v>
      </c>
      <c r="ED213" s="1998" t="e">
        <f t="shared" si="473"/>
        <v>#REF!</v>
      </c>
      <c r="EE213" s="2005" t="e">
        <f t="shared" si="475"/>
        <v>#REF!</v>
      </c>
      <c r="EF213" s="2003">
        <f t="shared" si="529"/>
        <v>0</v>
      </c>
      <c r="EG213" s="1989" t="e">
        <f t="shared" si="476"/>
        <v>#REF!</v>
      </c>
      <c r="EH213" s="2003">
        <f t="shared" si="530"/>
        <v>0</v>
      </c>
      <c r="EI213" s="1989" t="e">
        <f t="shared" si="477"/>
        <v>#REF!</v>
      </c>
      <c r="EJ213" s="2003">
        <f t="shared" si="531"/>
        <v>0</v>
      </c>
      <c r="EK213" s="1989" t="e">
        <f t="shared" si="478"/>
        <v>#REF!</v>
      </c>
      <c r="EL213" s="1989" t="e">
        <f t="shared" si="478"/>
        <v>#REF!</v>
      </c>
      <c r="EM213" s="2006" t="e">
        <f t="shared" si="532"/>
        <v>#REF!</v>
      </c>
      <c r="EN213" s="1999" t="e">
        <f t="shared" si="479"/>
        <v>#REF!</v>
      </c>
      <c r="EO213" s="1613">
        <v>69.583331000000001</v>
      </c>
      <c r="EP213" s="1613" t="e">
        <f>EA213-#REF!/10^7</f>
        <v>#REF!</v>
      </c>
      <c r="ER213" s="1612" t="e">
        <f t="shared" si="480"/>
        <v>#REF!</v>
      </c>
      <c r="EW213" s="1611" t="e">
        <v>#N/A</v>
      </c>
      <c r="EX213" s="1612" t="e">
        <v>#N/A</v>
      </c>
      <c r="EZ213" s="1650">
        <f t="shared" si="533"/>
        <v>0</v>
      </c>
    </row>
    <row r="214" spans="1:156" ht="21" customHeight="1">
      <c r="A214" s="1652">
        <v>24</v>
      </c>
      <c r="B214" s="1701" t="s">
        <v>1882</v>
      </c>
      <c r="C214" s="1662">
        <v>15</v>
      </c>
      <c r="D214" s="1646">
        <f t="shared" si="474"/>
        <v>100</v>
      </c>
      <c r="E214" s="1646"/>
      <c r="F214" s="1648" t="s">
        <v>1594</v>
      </c>
      <c r="G214" s="1648"/>
      <c r="H214" s="1648">
        <v>15</v>
      </c>
      <c r="I214" s="1648" t="s">
        <v>1717</v>
      </c>
      <c r="J214" s="1649">
        <v>2</v>
      </c>
      <c r="K214" s="1648"/>
      <c r="L214" s="1648"/>
      <c r="M214" s="1648"/>
      <c r="N214" s="1642"/>
      <c r="O214" s="2000" t="e">
        <f>#REF!</f>
        <v>#REF!</v>
      </c>
      <c r="P214" s="2003">
        <f t="shared" si="481"/>
        <v>0</v>
      </c>
      <c r="Q214" s="1989" t="e">
        <f>#REF!/10^7</f>
        <v>#REF!</v>
      </c>
      <c r="R214" s="2003">
        <f t="shared" si="482"/>
        <v>0</v>
      </c>
      <c r="S214" s="1989" t="e">
        <f>#REF!/10^7</f>
        <v>#REF!</v>
      </c>
      <c r="T214" s="2003">
        <f t="shared" si="483"/>
        <v>0</v>
      </c>
      <c r="U214" s="1989" t="e">
        <f>#REF!/10^7</f>
        <v>#REF!</v>
      </c>
      <c r="V214" s="1989" t="e">
        <f>#REF!/10^7</f>
        <v>#REF!</v>
      </c>
      <c r="W214" s="1989">
        <f t="shared" si="484"/>
        <v>0</v>
      </c>
      <c r="X214" s="1999" t="e">
        <f t="shared" si="467"/>
        <v>#REF!</v>
      </c>
      <c r="Y214" s="1993" t="e">
        <f>#REF!</f>
        <v>#REF!</v>
      </c>
      <c r="Z214" s="2003">
        <f t="shared" si="485"/>
        <v>0</v>
      </c>
      <c r="AA214" s="1989" t="e">
        <f>#REF!/10^7</f>
        <v>#REF!</v>
      </c>
      <c r="AB214" s="2003">
        <f t="shared" si="486"/>
        <v>0</v>
      </c>
      <c r="AC214" s="1989" t="e">
        <f>#REF!/10^7</f>
        <v>#REF!</v>
      </c>
      <c r="AD214" s="2003">
        <f t="shared" si="487"/>
        <v>0</v>
      </c>
      <c r="AE214" s="1989" t="e">
        <f>#REF!/10^7</f>
        <v>#REF!</v>
      </c>
      <c r="AF214" s="1989" t="e">
        <f>#REF!/10^7</f>
        <v>#REF!</v>
      </c>
      <c r="AG214" s="2002" t="e">
        <f t="shared" si="488"/>
        <v>#REF!</v>
      </c>
      <c r="AH214" s="1999" t="e">
        <f t="shared" si="468"/>
        <v>#REF!</v>
      </c>
      <c r="AI214" s="1993" t="e">
        <f>#REF!</f>
        <v>#REF!</v>
      </c>
      <c r="AJ214" s="2003">
        <f t="shared" si="489"/>
        <v>0</v>
      </c>
      <c r="AK214" s="1989" t="e">
        <f>#REF!/10^7</f>
        <v>#REF!</v>
      </c>
      <c r="AL214" s="2003">
        <f t="shared" si="490"/>
        <v>0</v>
      </c>
      <c r="AM214" s="1989" t="e">
        <f>#REF!/10^7</f>
        <v>#REF!</v>
      </c>
      <c r="AN214" s="2003">
        <f t="shared" si="491"/>
        <v>0</v>
      </c>
      <c r="AO214" s="1989" t="e">
        <f>#REF!/10^7</f>
        <v>#REF!</v>
      </c>
      <c r="AP214" s="1989" t="e">
        <f>#REF!/10^7</f>
        <v>#REF!</v>
      </c>
      <c r="AQ214" s="2002" t="e">
        <f t="shared" si="492"/>
        <v>#REF!</v>
      </c>
      <c r="AR214" s="1999" t="e">
        <f t="shared" si="469"/>
        <v>#REF!</v>
      </c>
      <c r="AS214" s="1993" t="e">
        <f>#REF!</f>
        <v>#REF!</v>
      </c>
      <c r="AT214" s="2003">
        <f t="shared" si="493"/>
        <v>0</v>
      </c>
      <c r="AU214" s="1989" t="e">
        <f>#REF!/10^7</f>
        <v>#REF!</v>
      </c>
      <c r="AV214" s="2003">
        <f t="shared" si="494"/>
        <v>0</v>
      </c>
      <c r="AW214" s="1989" t="e">
        <f>#REF!/10^7</f>
        <v>#REF!</v>
      </c>
      <c r="AX214" s="2003">
        <f t="shared" si="495"/>
        <v>0</v>
      </c>
      <c r="AY214" s="1989" t="e">
        <f>#REF!/10^7</f>
        <v>#REF!</v>
      </c>
      <c r="AZ214" s="1989" t="e">
        <f>#REF!/10^7</f>
        <v>#REF!</v>
      </c>
      <c r="BA214" s="2002" t="e">
        <f t="shared" si="496"/>
        <v>#REF!</v>
      </c>
      <c r="BB214" s="1999" t="e">
        <f t="shared" si="470"/>
        <v>#REF!</v>
      </c>
      <c r="BC214" s="1993" t="e">
        <f>#REF!</f>
        <v>#REF!</v>
      </c>
      <c r="BD214" s="2003">
        <f t="shared" si="497"/>
        <v>0</v>
      </c>
      <c r="BE214" s="1989" t="e">
        <f>#REF!/10^7</f>
        <v>#REF!</v>
      </c>
      <c r="BF214" s="2003">
        <f t="shared" si="498"/>
        <v>0</v>
      </c>
      <c r="BG214" s="1989" t="e">
        <f>#REF!/10^7</f>
        <v>#REF!</v>
      </c>
      <c r="BH214" s="2003">
        <f t="shared" si="499"/>
        <v>0</v>
      </c>
      <c r="BI214" s="1989" t="e">
        <f>#REF!/10^7</f>
        <v>#REF!</v>
      </c>
      <c r="BJ214" s="1989" t="e">
        <f>#REF!/10^7</f>
        <v>#REF!</v>
      </c>
      <c r="BK214" s="2002" t="e">
        <f t="shared" si="500"/>
        <v>#REF!</v>
      </c>
      <c r="BL214" s="1999" t="e">
        <f t="shared" si="438"/>
        <v>#REF!</v>
      </c>
      <c r="BM214" s="1993" t="e">
        <f>#REF!</f>
        <v>#REF!</v>
      </c>
      <c r="BN214" s="2003">
        <f t="shared" si="501"/>
        <v>0</v>
      </c>
      <c r="BO214" s="1989" t="e">
        <f>#REF!/10^7</f>
        <v>#REF!</v>
      </c>
      <c r="BP214" s="2003">
        <f t="shared" si="502"/>
        <v>0</v>
      </c>
      <c r="BQ214" s="1989" t="e">
        <f>#REF!/10^7</f>
        <v>#REF!</v>
      </c>
      <c r="BR214" s="2003">
        <f t="shared" si="503"/>
        <v>0</v>
      </c>
      <c r="BS214" s="1989" t="e">
        <f>#REF!/10^7</f>
        <v>#REF!</v>
      </c>
      <c r="BT214" s="1989" t="e">
        <f>#REF!/10^7</f>
        <v>#REF!</v>
      </c>
      <c r="BU214" s="2002" t="e">
        <f t="shared" si="504"/>
        <v>#REF!</v>
      </c>
      <c r="BV214" s="1999" t="e">
        <f t="shared" si="439"/>
        <v>#REF!</v>
      </c>
      <c r="BW214" s="1993" t="e">
        <f>#REF!</f>
        <v>#REF!</v>
      </c>
      <c r="BX214" s="2003">
        <f t="shared" si="505"/>
        <v>0</v>
      </c>
      <c r="BY214" s="1989" t="e">
        <f>#REF!/10^7</f>
        <v>#REF!</v>
      </c>
      <c r="BZ214" s="2003">
        <f t="shared" si="506"/>
        <v>0</v>
      </c>
      <c r="CA214" s="1989" t="e">
        <f>#REF!/10^7</f>
        <v>#REF!</v>
      </c>
      <c r="CB214" s="2003">
        <f t="shared" si="507"/>
        <v>0</v>
      </c>
      <c r="CC214" s="1989" t="e">
        <f>#REF!/10^7</f>
        <v>#REF!</v>
      </c>
      <c r="CD214" s="1989" t="e">
        <f>#REF!/10^7</f>
        <v>#REF!</v>
      </c>
      <c r="CE214" s="2002" t="e">
        <f t="shared" si="508"/>
        <v>#REF!</v>
      </c>
      <c r="CF214" s="1999" t="e">
        <f t="shared" si="440"/>
        <v>#REF!</v>
      </c>
      <c r="CG214" s="1993" t="e">
        <f>#REF!</f>
        <v>#REF!</v>
      </c>
      <c r="CH214" s="2003">
        <f t="shared" si="509"/>
        <v>0</v>
      </c>
      <c r="CI214" s="1989" t="e">
        <f>#REF!/10^7</f>
        <v>#REF!</v>
      </c>
      <c r="CJ214" s="2003">
        <f t="shared" si="510"/>
        <v>0</v>
      </c>
      <c r="CK214" s="1989" t="e">
        <f>#REF!/10^7</f>
        <v>#REF!</v>
      </c>
      <c r="CL214" s="2003">
        <f t="shared" si="511"/>
        <v>0</v>
      </c>
      <c r="CM214" s="1989" t="e">
        <f>#REF!/10^7</f>
        <v>#REF!</v>
      </c>
      <c r="CN214" s="1989" t="e">
        <f>#REF!/10^7</f>
        <v>#REF!</v>
      </c>
      <c r="CO214" s="2002" t="e">
        <f t="shared" si="512"/>
        <v>#REF!</v>
      </c>
      <c r="CP214" s="1999" t="e">
        <f t="shared" si="441"/>
        <v>#REF!</v>
      </c>
      <c r="CQ214" s="1993" t="e">
        <f>#REF!</f>
        <v>#REF!</v>
      </c>
      <c r="CR214" s="2003">
        <f t="shared" si="513"/>
        <v>0</v>
      </c>
      <c r="CS214" s="1989" t="e">
        <f>#REF!/10^7</f>
        <v>#REF!</v>
      </c>
      <c r="CT214" s="2003">
        <f t="shared" si="514"/>
        <v>0</v>
      </c>
      <c r="CU214" s="1989" t="e">
        <f>#REF!/10^7</f>
        <v>#REF!</v>
      </c>
      <c r="CV214" s="2003">
        <f t="shared" si="515"/>
        <v>0</v>
      </c>
      <c r="CW214" s="1989" t="e">
        <f>#REF!/10^7</f>
        <v>#REF!</v>
      </c>
      <c r="CX214" s="1989" t="e">
        <f>#REF!/10^7</f>
        <v>#REF!</v>
      </c>
      <c r="CY214" s="2002" t="e">
        <f t="shared" si="516"/>
        <v>#REF!</v>
      </c>
      <c r="CZ214" s="1999" t="e">
        <f t="shared" si="442"/>
        <v>#REF!</v>
      </c>
      <c r="DA214" s="1993" t="e">
        <f>#REF!</f>
        <v>#REF!</v>
      </c>
      <c r="DB214" s="2003">
        <f t="shared" si="517"/>
        <v>0</v>
      </c>
      <c r="DC214" s="1989" t="e">
        <f>#REF!/10^7</f>
        <v>#REF!</v>
      </c>
      <c r="DD214" s="2003">
        <f t="shared" si="518"/>
        <v>0</v>
      </c>
      <c r="DE214" s="1989" t="e">
        <f>#REF!/10^7</f>
        <v>#REF!</v>
      </c>
      <c r="DF214" s="2003">
        <f t="shared" si="519"/>
        <v>0</v>
      </c>
      <c r="DG214" s="1989" t="e">
        <f>#REF!/10^7</f>
        <v>#REF!</v>
      </c>
      <c r="DH214" s="1989" t="e">
        <f>#REF!/10^7</f>
        <v>#REF!</v>
      </c>
      <c r="DI214" s="2002" t="e">
        <f t="shared" si="520"/>
        <v>#REF!</v>
      </c>
      <c r="DJ214" s="1999" t="e">
        <f t="shared" si="471"/>
        <v>#REF!</v>
      </c>
      <c r="DK214" s="1993" t="e">
        <f>#REF!</f>
        <v>#REF!</v>
      </c>
      <c r="DL214" s="2003">
        <f t="shared" si="521"/>
        <v>0</v>
      </c>
      <c r="DM214" s="1989" t="e">
        <f>#REF!/10^7</f>
        <v>#REF!</v>
      </c>
      <c r="DN214" s="2003">
        <f t="shared" si="522"/>
        <v>0</v>
      </c>
      <c r="DO214" s="1989" t="e">
        <f>#REF!/10^7</f>
        <v>#REF!</v>
      </c>
      <c r="DP214" s="2003">
        <f t="shared" si="523"/>
        <v>0</v>
      </c>
      <c r="DQ214" s="1989" t="e">
        <f>#REF!/10^7</f>
        <v>#REF!</v>
      </c>
      <c r="DR214" s="1989" t="e">
        <f>#REF!/10^7</f>
        <v>#REF!</v>
      </c>
      <c r="DS214" s="2002" t="e">
        <f t="shared" si="524"/>
        <v>#REF!</v>
      </c>
      <c r="DT214" s="2004" t="e">
        <f t="shared" si="472"/>
        <v>#REF!</v>
      </c>
      <c r="DU214" s="1988" t="e">
        <f>#REF!</f>
        <v>#REF!</v>
      </c>
      <c r="DV214" s="2003">
        <f t="shared" si="525"/>
        <v>0</v>
      </c>
      <c r="DW214" s="1989" t="e">
        <f>#REF!/10^7</f>
        <v>#REF!</v>
      </c>
      <c r="DX214" s="2003">
        <f t="shared" si="526"/>
        <v>0</v>
      </c>
      <c r="DY214" s="1989" t="e">
        <f>#REF!/10^7</f>
        <v>#REF!</v>
      </c>
      <c r="DZ214" s="2003">
        <f t="shared" si="527"/>
        <v>0</v>
      </c>
      <c r="EA214" s="1989" t="e">
        <f>#REF!/10^7</f>
        <v>#REF!</v>
      </c>
      <c r="EB214" s="1989" t="e">
        <f>#REF!/10^7</f>
        <v>#REF!</v>
      </c>
      <c r="EC214" s="2002" t="e">
        <f t="shared" si="528"/>
        <v>#REF!</v>
      </c>
      <c r="ED214" s="1998" t="e">
        <f t="shared" si="473"/>
        <v>#REF!</v>
      </c>
      <c r="EE214" s="2005" t="e">
        <f t="shared" si="475"/>
        <v>#REF!</v>
      </c>
      <c r="EF214" s="2003">
        <f t="shared" si="529"/>
        <v>0</v>
      </c>
      <c r="EG214" s="1989" t="e">
        <f t="shared" si="476"/>
        <v>#REF!</v>
      </c>
      <c r="EH214" s="2003">
        <f t="shared" si="530"/>
        <v>0</v>
      </c>
      <c r="EI214" s="1989" t="e">
        <f t="shared" si="477"/>
        <v>#REF!</v>
      </c>
      <c r="EJ214" s="2003">
        <f t="shared" si="531"/>
        <v>0</v>
      </c>
      <c r="EK214" s="1989" t="e">
        <f t="shared" si="478"/>
        <v>#REF!</v>
      </c>
      <c r="EL214" s="1989" t="e">
        <f t="shared" si="478"/>
        <v>#REF!</v>
      </c>
      <c r="EM214" s="2006" t="e">
        <f t="shared" si="532"/>
        <v>#REF!</v>
      </c>
      <c r="EN214" s="1999" t="e">
        <f t="shared" si="479"/>
        <v>#REF!</v>
      </c>
      <c r="EO214" s="1613">
        <v>56.679645999999998</v>
      </c>
      <c r="EP214" s="1613" t="e">
        <f>EA214-#REF!/10^7</f>
        <v>#REF!</v>
      </c>
      <c r="ER214" s="1612" t="e">
        <f t="shared" si="480"/>
        <v>#REF!</v>
      </c>
      <c r="EW214" s="1611" t="e">
        <v>#N/A</v>
      </c>
      <c r="EX214" s="1612" t="e">
        <v>#N/A</v>
      </c>
      <c r="EZ214" s="1650">
        <f t="shared" si="533"/>
        <v>0</v>
      </c>
    </row>
    <row r="215" spans="1:156" ht="21" customHeight="1">
      <c r="A215" s="1652">
        <v>25</v>
      </c>
      <c r="B215" s="1701" t="s">
        <v>1883</v>
      </c>
      <c r="C215" s="1662">
        <v>39</v>
      </c>
      <c r="D215" s="1646">
        <f t="shared" si="474"/>
        <v>100</v>
      </c>
      <c r="E215" s="1646"/>
      <c r="F215" s="1648" t="s">
        <v>1594</v>
      </c>
      <c r="G215" s="1648"/>
      <c r="H215" s="1648">
        <v>39</v>
      </c>
      <c r="I215" s="1648" t="s">
        <v>1717</v>
      </c>
      <c r="J215" s="1649">
        <v>2</v>
      </c>
      <c r="K215" s="1648"/>
      <c r="L215" s="1648"/>
      <c r="M215" s="1648"/>
      <c r="N215" s="1642"/>
      <c r="O215" s="2000" t="e">
        <f>#REF!</f>
        <v>#REF!</v>
      </c>
      <c r="P215" s="2003">
        <f t="shared" si="481"/>
        <v>0</v>
      </c>
      <c r="Q215" s="1989" t="e">
        <f>#REF!/10^7</f>
        <v>#REF!</v>
      </c>
      <c r="R215" s="2003">
        <f t="shared" si="482"/>
        <v>0</v>
      </c>
      <c r="S215" s="1989" t="e">
        <f>#REF!/10^7</f>
        <v>#REF!</v>
      </c>
      <c r="T215" s="2003">
        <f t="shared" si="483"/>
        <v>0</v>
      </c>
      <c r="U215" s="1989" t="e">
        <f>#REF!/10^7</f>
        <v>#REF!</v>
      </c>
      <c r="V215" s="1989" t="e">
        <f>#REF!/10^7</f>
        <v>#REF!</v>
      </c>
      <c r="W215" s="1989">
        <f t="shared" si="484"/>
        <v>0</v>
      </c>
      <c r="X215" s="1999" t="e">
        <f t="shared" si="467"/>
        <v>#REF!</v>
      </c>
      <c r="Y215" s="1993" t="e">
        <f>#REF!</f>
        <v>#REF!</v>
      </c>
      <c r="Z215" s="2003">
        <f t="shared" si="485"/>
        <v>0</v>
      </c>
      <c r="AA215" s="1989" t="e">
        <f>#REF!/10^7</f>
        <v>#REF!</v>
      </c>
      <c r="AB215" s="2003">
        <f t="shared" si="486"/>
        <v>0</v>
      </c>
      <c r="AC215" s="1989" t="e">
        <f>#REF!/10^7</f>
        <v>#REF!</v>
      </c>
      <c r="AD215" s="2003">
        <f t="shared" si="487"/>
        <v>0</v>
      </c>
      <c r="AE215" s="1989" t="e">
        <f>#REF!/10^7</f>
        <v>#REF!</v>
      </c>
      <c r="AF215" s="1989" t="e">
        <f>#REF!/10^7</f>
        <v>#REF!</v>
      </c>
      <c r="AG215" s="2002" t="e">
        <f t="shared" si="488"/>
        <v>#REF!</v>
      </c>
      <c r="AH215" s="1999" t="e">
        <f t="shared" si="468"/>
        <v>#REF!</v>
      </c>
      <c r="AI215" s="1993" t="e">
        <f>#REF!</f>
        <v>#REF!</v>
      </c>
      <c r="AJ215" s="2003">
        <f t="shared" si="489"/>
        <v>0</v>
      </c>
      <c r="AK215" s="1989" t="e">
        <f>#REF!/10^7</f>
        <v>#REF!</v>
      </c>
      <c r="AL215" s="2003">
        <f t="shared" si="490"/>
        <v>0</v>
      </c>
      <c r="AM215" s="1989" t="e">
        <f>#REF!/10^7</f>
        <v>#REF!</v>
      </c>
      <c r="AN215" s="2003">
        <f t="shared" si="491"/>
        <v>0</v>
      </c>
      <c r="AO215" s="1989" t="e">
        <f>#REF!/10^7</f>
        <v>#REF!</v>
      </c>
      <c r="AP215" s="1989" t="e">
        <f>#REF!/10^7</f>
        <v>#REF!</v>
      </c>
      <c r="AQ215" s="2002" t="e">
        <f t="shared" si="492"/>
        <v>#REF!</v>
      </c>
      <c r="AR215" s="1999" t="e">
        <f t="shared" si="469"/>
        <v>#REF!</v>
      </c>
      <c r="AS215" s="1993" t="e">
        <f>#REF!</f>
        <v>#REF!</v>
      </c>
      <c r="AT215" s="2003">
        <f t="shared" si="493"/>
        <v>0</v>
      </c>
      <c r="AU215" s="1989" t="e">
        <f>#REF!/10^7</f>
        <v>#REF!</v>
      </c>
      <c r="AV215" s="2003">
        <f t="shared" si="494"/>
        <v>0</v>
      </c>
      <c r="AW215" s="1989" t="e">
        <f>#REF!/10^7</f>
        <v>#REF!</v>
      </c>
      <c r="AX215" s="2003">
        <f t="shared" si="495"/>
        <v>0</v>
      </c>
      <c r="AY215" s="1989" t="e">
        <f>#REF!/10^7</f>
        <v>#REF!</v>
      </c>
      <c r="AZ215" s="1989" t="e">
        <f>#REF!/10^7</f>
        <v>#REF!</v>
      </c>
      <c r="BA215" s="2002" t="e">
        <f t="shared" si="496"/>
        <v>#REF!</v>
      </c>
      <c r="BB215" s="1999" t="e">
        <f t="shared" si="470"/>
        <v>#REF!</v>
      </c>
      <c r="BC215" s="1993" t="e">
        <f>#REF!</f>
        <v>#REF!</v>
      </c>
      <c r="BD215" s="2003">
        <f t="shared" si="497"/>
        <v>0</v>
      </c>
      <c r="BE215" s="1989" t="e">
        <f>#REF!/10^7</f>
        <v>#REF!</v>
      </c>
      <c r="BF215" s="2003">
        <f t="shared" si="498"/>
        <v>0</v>
      </c>
      <c r="BG215" s="1989" t="e">
        <f>#REF!/10^7</f>
        <v>#REF!</v>
      </c>
      <c r="BH215" s="2003">
        <f t="shared" si="499"/>
        <v>0</v>
      </c>
      <c r="BI215" s="1989" t="e">
        <f>#REF!/10^7</f>
        <v>#REF!</v>
      </c>
      <c r="BJ215" s="1989" t="e">
        <f>#REF!/10^7</f>
        <v>#REF!</v>
      </c>
      <c r="BK215" s="2002" t="e">
        <f t="shared" si="500"/>
        <v>#REF!</v>
      </c>
      <c r="BL215" s="1999" t="e">
        <f t="shared" si="438"/>
        <v>#REF!</v>
      </c>
      <c r="BM215" s="1993" t="e">
        <f>#REF!</f>
        <v>#REF!</v>
      </c>
      <c r="BN215" s="2003">
        <f t="shared" si="501"/>
        <v>0</v>
      </c>
      <c r="BO215" s="1989" t="e">
        <f>#REF!/10^7</f>
        <v>#REF!</v>
      </c>
      <c r="BP215" s="2003">
        <f t="shared" si="502"/>
        <v>0</v>
      </c>
      <c r="BQ215" s="1989" t="e">
        <f>#REF!/10^7</f>
        <v>#REF!</v>
      </c>
      <c r="BR215" s="2003">
        <f t="shared" si="503"/>
        <v>0</v>
      </c>
      <c r="BS215" s="1989" t="e">
        <f>#REF!/10^7</f>
        <v>#REF!</v>
      </c>
      <c r="BT215" s="1989" t="e">
        <f>#REF!/10^7</f>
        <v>#REF!</v>
      </c>
      <c r="BU215" s="2002" t="e">
        <f t="shared" si="504"/>
        <v>#REF!</v>
      </c>
      <c r="BV215" s="1999" t="e">
        <f t="shared" si="439"/>
        <v>#REF!</v>
      </c>
      <c r="BW215" s="1993" t="e">
        <f>#REF!</f>
        <v>#REF!</v>
      </c>
      <c r="BX215" s="2003">
        <f t="shared" si="505"/>
        <v>0</v>
      </c>
      <c r="BY215" s="1989" t="e">
        <f>#REF!/10^7</f>
        <v>#REF!</v>
      </c>
      <c r="BZ215" s="2003">
        <f t="shared" si="506"/>
        <v>0</v>
      </c>
      <c r="CA215" s="1989" t="e">
        <f>#REF!/10^7</f>
        <v>#REF!</v>
      </c>
      <c r="CB215" s="2003">
        <f t="shared" si="507"/>
        <v>0</v>
      </c>
      <c r="CC215" s="1989" t="e">
        <f>#REF!/10^7</f>
        <v>#REF!</v>
      </c>
      <c r="CD215" s="1989" t="e">
        <f>#REF!/10^7</f>
        <v>#REF!</v>
      </c>
      <c r="CE215" s="2002" t="e">
        <f t="shared" si="508"/>
        <v>#REF!</v>
      </c>
      <c r="CF215" s="1999" t="e">
        <f t="shared" si="440"/>
        <v>#REF!</v>
      </c>
      <c r="CG215" s="1993" t="e">
        <f>#REF!</f>
        <v>#REF!</v>
      </c>
      <c r="CH215" s="2003">
        <f t="shared" si="509"/>
        <v>0</v>
      </c>
      <c r="CI215" s="1989" t="e">
        <f>#REF!/10^7</f>
        <v>#REF!</v>
      </c>
      <c r="CJ215" s="2003">
        <f t="shared" si="510"/>
        <v>0</v>
      </c>
      <c r="CK215" s="1989" t="e">
        <f>#REF!/10^7</f>
        <v>#REF!</v>
      </c>
      <c r="CL215" s="2003">
        <f t="shared" si="511"/>
        <v>0</v>
      </c>
      <c r="CM215" s="1989" t="e">
        <f>#REF!/10^7</f>
        <v>#REF!</v>
      </c>
      <c r="CN215" s="1989" t="e">
        <f>#REF!/10^7</f>
        <v>#REF!</v>
      </c>
      <c r="CO215" s="2002" t="e">
        <f t="shared" si="512"/>
        <v>#REF!</v>
      </c>
      <c r="CP215" s="1999" t="e">
        <f t="shared" si="441"/>
        <v>#REF!</v>
      </c>
      <c r="CQ215" s="1993" t="e">
        <f>#REF!</f>
        <v>#REF!</v>
      </c>
      <c r="CR215" s="2003">
        <f t="shared" si="513"/>
        <v>0</v>
      </c>
      <c r="CS215" s="1989" t="e">
        <f>#REF!/10^7</f>
        <v>#REF!</v>
      </c>
      <c r="CT215" s="2003">
        <f t="shared" si="514"/>
        <v>0</v>
      </c>
      <c r="CU215" s="1989" t="e">
        <f>#REF!/10^7</f>
        <v>#REF!</v>
      </c>
      <c r="CV215" s="2003">
        <f t="shared" si="515"/>
        <v>0</v>
      </c>
      <c r="CW215" s="1989" t="e">
        <f>#REF!/10^7</f>
        <v>#REF!</v>
      </c>
      <c r="CX215" s="1989" t="e">
        <f>#REF!/10^7</f>
        <v>#REF!</v>
      </c>
      <c r="CY215" s="2002" t="e">
        <f t="shared" si="516"/>
        <v>#REF!</v>
      </c>
      <c r="CZ215" s="1999" t="e">
        <f t="shared" si="442"/>
        <v>#REF!</v>
      </c>
      <c r="DA215" s="1993" t="e">
        <f>#REF!</f>
        <v>#REF!</v>
      </c>
      <c r="DB215" s="2003">
        <f t="shared" si="517"/>
        <v>0</v>
      </c>
      <c r="DC215" s="1989" t="e">
        <f>#REF!/10^7</f>
        <v>#REF!</v>
      </c>
      <c r="DD215" s="2003">
        <f t="shared" si="518"/>
        <v>0</v>
      </c>
      <c r="DE215" s="1989" t="e">
        <f>#REF!/10^7</f>
        <v>#REF!</v>
      </c>
      <c r="DF215" s="2003">
        <f t="shared" si="519"/>
        <v>0</v>
      </c>
      <c r="DG215" s="1989" t="e">
        <f>#REF!/10^7</f>
        <v>#REF!</v>
      </c>
      <c r="DH215" s="1989" t="e">
        <f>#REF!/10^7</f>
        <v>#REF!</v>
      </c>
      <c r="DI215" s="2002" t="e">
        <f t="shared" si="520"/>
        <v>#REF!</v>
      </c>
      <c r="DJ215" s="1999" t="e">
        <f t="shared" si="471"/>
        <v>#REF!</v>
      </c>
      <c r="DK215" s="1993" t="e">
        <f>#REF!</f>
        <v>#REF!</v>
      </c>
      <c r="DL215" s="2003">
        <f t="shared" si="521"/>
        <v>0</v>
      </c>
      <c r="DM215" s="1989" t="e">
        <f>#REF!/10^7</f>
        <v>#REF!</v>
      </c>
      <c r="DN215" s="2003">
        <f t="shared" si="522"/>
        <v>0</v>
      </c>
      <c r="DO215" s="1989" t="e">
        <f>#REF!/10^7</f>
        <v>#REF!</v>
      </c>
      <c r="DP215" s="2003">
        <f t="shared" si="523"/>
        <v>0</v>
      </c>
      <c r="DQ215" s="1989" t="e">
        <f>#REF!/10^7</f>
        <v>#REF!</v>
      </c>
      <c r="DR215" s="1989" t="e">
        <f>#REF!/10^7</f>
        <v>#REF!</v>
      </c>
      <c r="DS215" s="2002" t="e">
        <f t="shared" si="524"/>
        <v>#REF!</v>
      </c>
      <c r="DT215" s="2004" t="e">
        <f t="shared" si="472"/>
        <v>#REF!</v>
      </c>
      <c r="DU215" s="1988" t="e">
        <f>#REF!</f>
        <v>#REF!</v>
      </c>
      <c r="DV215" s="2003">
        <f t="shared" si="525"/>
        <v>0</v>
      </c>
      <c r="DW215" s="1989" t="e">
        <f>#REF!/10^7</f>
        <v>#REF!</v>
      </c>
      <c r="DX215" s="2003">
        <f t="shared" si="526"/>
        <v>0</v>
      </c>
      <c r="DY215" s="1989" t="e">
        <f>#REF!/10^7</f>
        <v>#REF!</v>
      </c>
      <c r="DZ215" s="2003">
        <f t="shared" si="527"/>
        <v>0</v>
      </c>
      <c r="EA215" s="1989" t="e">
        <f>#REF!/10^7</f>
        <v>#REF!</v>
      </c>
      <c r="EB215" s="1989" t="e">
        <f>#REF!/10^7</f>
        <v>#REF!</v>
      </c>
      <c r="EC215" s="2002" t="e">
        <f t="shared" si="528"/>
        <v>#REF!</v>
      </c>
      <c r="ED215" s="1998" t="e">
        <f t="shared" si="473"/>
        <v>#REF!</v>
      </c>
      <c r="EE215" s="2005" t="e">
        <f t="shared" si="475"/>
        <v>#REF!</v>
      </c>
      <c r="EF215" s="2003">
        <f t="shared" si="529"/>
        <v>0</v>
      </c>
      <c r="EG215" s="1989" t="e">
        <f t="shared" si="476"/>
        <v>#REF!</v>
      </c>
      <c r="EH215" s="2003">
        <f t="shared" si="530"/>
        <v>0</v>
      </c>
      <c r="EI215" s="1989" t="e">
        <f t="shared" si="477"/>
        <v>#REF!</v>
      </c>
      <c r="EJ215" s="2003">
        <f t="shared" si="531"/>
        <v>0</v>
      </c>
      <c r="EK215" s="1989" t="e">
        <f t="shared" si="478"/>
        <v>#REF!</v>
      </c>
      <c r="EL215" s="1989" t="e">
        <f t="shared" si="478"/>
        <v>#REF!</v>
      </c>
      <c r="EM215" s="2006" t="e">
        <f t="shared" si="532"/>
        <v>#REF!</v>
      </c>
      <c r="EN215" s="1999" t="e">
        <f t="shared" si="479"/>
        <v>#REF!</v>
      </c>
      <c r="EO215" s="1613">
        <v>45.091813000000002</v>
      </c>
      <c r="EP215" s="1613" t="e">
        <f>EA215-#REF!/10^7</f>
        <v>#REF!</v>
      </c>
      <c r="ER215" s="1612" t="e">
        <f t="shared" si="480"/>
        <v>#REF!</v>
      </c>
      <c r="EW215" s="1611" t="e">
        <v>#N/A</v>
      </c>
      <c r="EX215" s="1612" t="e">
        <v>#N/A</v>
      </c>
      <c r="EZ215" s="1650">
        <f t="shared" si="533"/>
        <v>0</v>
      </c>
    </row>
    <row r="216" spans="1:156" ht="21" customHeight="1">
      <c r="A216" s="1652">
        <v>26</v>
      </c>
      <c r="B216" s="1701" t="s">
        <v>1884</v>
      </c>
      <c r="C216" s="1662">
        <v>48.5</v>
      </c>
      <c r="D216" s="1646">
        <f t="shared" si="474"/>
        <v>100</v>
      </c>
      <c r="E216" s="1646"/>
      <c r="F216" s="1648" t="s">
        <v>1594</v>
      </c>
      <c r="G216" s="1648"/>
      <c r="H216" s="1648">
        <v>48.5</v>
      </c>
      <c r="I216" s="1648" t="s">
        <v>1717</v>
      </c>
      <c r="J216" s="1649">
        <v>2</v>
      </c>
      <c r="K216" s="1648"/>
      <c r="L216" s="1648"/>
      <c r="M216" s="1648"/>
      <c r="N216" s="1642"/>
      <c r="O216" s="2000" t="e">
        <f>#REF!</f>
        <v>#REF!</v>
      </c>
      <c r="P216" s="2003">
        <f t="shared" si="481"/>
        <v>0</v>
      </c>
      <c r="Q216" s="1989" t="e">
        <f>#REF!/10^7</f>
        <v>#REF!</v>
      </c>
      <c r="R216" s="2003">
        <f t="shared" si="482"/>
        <v>0</v>
      </c>
      <c r="S216" s="1989" t="e">
        <f>#REF!/10^7</f>
        <v>#REF!</v>
      </c>
      <c r="T216" s="2003">
        <f t="shared" si="483"/>
        <v>0</v>
      </c>
      <c r="U216" s="1989" t="e">
        <f>#REF!/10^7</f>
        <v>#REF!</v>
      </c>
      <c r="V216" s="1989" t="e">
        <f>#REF!/10^7</f>
        <v>#REF!</v>
      </c>
      <c r="W216" s="1989">
        <f t="shared" si="484"/>
        <v>0</v>
      </c>
      <c r="X216" s="1999" t="e">
        <f t="shared" si="467"/>
        <v>#REF!</v>
      </c>
      <c r="Y216" s="1993" t="e">
        <f>#REF!</f>
        <v>#REF!</v>
      </c>
      <c r="Z216" s="2003">
        <f t="shared" si="485"/>
        <v>0</v>
      </c>
      <c r="AA216" s="1989" t="e">
        <f>#REF!/10^7</f>
        <v>#REF!</v>
      </c>
      <c r="AB216" s="2003">
        <f t="shared" si="486"/>
        <v>0</v>
      </c>
      <c r="AC216" s="1989" t="e">
        <f>#REF!/10^7</f>
        <v>#REF!</v>
      </c>
      <c r="AD216" s="2003">
        <f t="shared" si="487"/>
        <v>0</v>
      </c>
      <c r="AE216" s="1989" t="e">
        <f>#REF!/10^7</f>
        <v>#REF!</v>
      </c>
      <c r="AF216" s="1989" t="e">
        <f>#REF!/10^7</f>
        <v>#REF!</v>
      </c>
      <c r="AG216" s="2002" t="e">
        <f t="shared" si="488"/>
        <v>#REF!</v>
      </c>
      <c r="AH216" s="1999" t="e">
        <f t="shared" si="468"/>
        <v>#REF!</v>
      </c>
      <c r="AI216" s="1993" t="e">
        <f>#REF!</f>
        <v>#REF!</v>
      </c>
      <c r="AJ216" s="2003">
        <f t="shared" si="489"/>
        <v>0</v>
      </c>
      <c r="AK216" s="1989" t="e">
        <f>#REF!/10^7</f>
        <v>#REF!</v>
      </c>
      <c r="AL216" s="2003">
        <f t="shared" si="490"/>
        <v>0</v>
      </c>
      <c r="AM216" s="1989" t="e">
        <f>#REF!/10^7</f>
        <v>#REF!</v>
      </c>
      <c r="AN216" s="2003">
        <f t="shared" si="491"/>
        <v>0</v>
      </c>
      <c r="AO216" s="1989" t="e">
        <f>#REF!/10^7</f>
        <v>#REF!</v>
      </c>
      <c r="AP216" s="1989" t="e">
        <f>#REF!/10^7</f>
        <v>#REF!</v>
      </c>
      <c r="AQ216" s="2002" t="e">
        <f t="shared" si="492"/>
        <v>#REF!</v>
      </c>
      <c r="AR216" s="1999" t="e">
        <f t="shared" si="469"/>
        <v>#REF!</v>
      </c>
      <c r="AS216" s="1993" t="e">
        <f>#REF!</f>
        <v>#REF!</v>
      </c>
      <c r="AT216" s="2003">
        <f t="shared" si="493"/>
        <v>0</v>
      </c>
      <c r="AU216" s="1989" t="e">
        <f>#REF!/10^7</f>
        <v>#REF!</v>
      </c>
      <c r="AV216" s="2003">
        <f t="shared" si="494"/>
        <v>0</v>
      </c>
      <c r="AW216" s="1989" t="e">
        <f>#REF!/10^7</f>
        <v>#REF!</v>
      </c>
      <c r="AX216" s="2003">
        <f t="shared" si="495"/>
        <v>0</v>
      </c>
      <c r="AY216" s="1989" t="e">
        <f>#REF!/10^7</f>
        <v>#REF!</v>
      </c>
      <c r="AZ216" s="1989" t="e">
        <f>#REF!/10^7</f>
        <v>#REF!</v>
      </c>
      <c r="BA216" s="2002" t="e">
        <f t="shared" si="496"/>
        <v>#REF!</v>
      </c>
      <c r="BB216" s="1999" t="e">
        <f t="shared" si="470"/>
        <v>#REF!</v>
      </c>
      <c r="BC216" s="1993" t="e">
        <f>#REF!</f>
        <v>#REF!</v>
      </c>
      <c r="BD216" s="2003">
        <f t="shared" si="497"/>
        <v>0</v>
      </c>
      <c r="BE216" s="1989" t="e">
        <f>#REF!/10^7</f>
        <v>#REF!</v>
      </c>
      <c r="BF216" s="2003">
        <f t="shared" si="498"/>
        <v>0</v>
      </c>
      <c r="BG216" s="1989" t="e">
        <f>#REF!/10^7</f>
        <v>#REF!</v>
      </c>
      <c r="BH216" s="2003">
        <f t="shared" si="499"/>
        <v>0</v>
      </c>
      <c r="BI216" s="1989" t="e">
        <f>#REF!/10^7</f>
        <v>#REF!</v>
      </c>
      <c r="BJ216" s="1989" t="e">
        <f>#REF!/10^7</f>
        <v>#REF!</v>
      </c>
      <c r="BK216" s="2002" t="e">
        <f t="shared" si="500"/>
        <v>#REF!</v>
      </c>
      <c r="BL216" s="1999" t="e">
        <f t="shared" si="438"/>
        <v>#REF!</v>
      </c>
      <c r="BM216" s="1993" t="e">
        <f>#REF!</f>
        <v>#REF!</v>
      </c>
      <c r="BN216" s="2003">
        <f t="shared" si="501"/>
        <v>0</v>
      </c>
      <c r="BO216" s="1989" t="e">
        <f>#REF!/10^7</f>
        <v>#REF!</v>
      </c>
      <c r="BP216" s="2003">
        <f t="shared" si="502"/>
        <v>0</v>
      </c>
      <c r="BQ216" s="1989" t="e">
        <f>#REF!/10^7</f>
        <v>#REF!</v>
      </c>
      <c r="BR216" s="2003">
        <f t="shared" si="503"/>
        <v>0</v>
      </c>
      <c r="BS216" s="1989" t="e">
        <f>#REF!/10^7</f>
        <v>#REF!</v>
      </c>
      <c r="BT216" s="1989" t="e">
        <f>#REF!/10^7</f>
        <v>#REF!</v>
      </c>
      <c r="BU216" s="2002" t="e">
        <f t="shared" si="504"/>
        <v>#REF!</v>
      </c>
      <c r="BV216" s="1999" t="e">
        <f t="shared" si="439"/>
        <v>#REF!</v>
      </c>
      <c r="BW216" s="1993" t="e">
        <f>#REF!</f>
        <v>#REF!</v>
      </c>
      <c r="BX216" s="2003">
        <f t="shared" si="505"/>
        <v>0</v>
      </c>
      <c r="BY216" s="1989" t="e">
        <f>#REF!/10^7</f>
        <v>#REF!</v>
      </c>
      <c r="BZ216" s="2003">
        <f t="shared" si="506"/>
        <v>0</v>
      </c>
      <c r="CA216" s="1989" t="e">
        <f>#REF!/10^7</f>
        <v>#REF!</v>
      </c>
      <c r="CB216" s="2003">
        <f t="shared" si="507"/>
        <v>0</v>
      </c>
      <c r="CC216" s="1989" t="e">
        <f>#REF!/10^7</f>
        <v>#REF!</v>
      </c>
      <c r="CD216" s="1989" t="e">
        <f>#REF!/10^7</f>
        <v>#REF!</v>
      </c>
      <c r="CE216" s="2002" t="e">
        <f t="shared" si="508"/>
        <v>#REF!</v>
      </c>
      <c r="CF216" s="1999" t="e">
        <f t="shared" si="440"/>
        <v>#REF!</v>
      </c>
      <c r="CG216" s="1993" t="e">
        <f>#REF!</f>
        <v>#REF!</v>
      </c>
      <c r="CH216" s="2003">
        <f t="shared" si="509"/>
        <v>0</v>
      </c>
      <c r="CI216" s="1989" t="e">
        <f>#REF!/10^7</f>
        <v>#REF!</v>
      </c>
      <c r="CJ216" s="2003">
        <f t="shared" si="510"/>
        <v>0</v>
      </c>
      <c r="CK216" s="1989" t="e">
        <f>#REF!/10^7</f>
        <v>#REF!</v>
      </c>
      <c r="CL216" s="2003">
        <f t="shared" si="511"/>
        <v>0</v>
      </c>
      <c r="CM216" s="1989" t="e">
        <f>#REF!/10^7</f>
        <v>#REF!</v>
      </c>
      <c r="CN216" s="1989" t="e">
        <f>#REF!/10^7</f>
        <v>#REF!</v>
      </c>
      <c r="CO216" s="2002" t="e">
        <f t="shared" si="512"/>
        <v>#REF!</v>
      </c>
      <c r="CP216" s="1999" t="e">
        <f t="shared" si="441"/>
        <v>#REF!</v>
      </c>
      <c r="CQ216" s="1993" t="e">
        <f>#REF!</f>
        <v>#REF!</v>
      </c>
      <c r="CR216" s="2003">
        <f t="shared" si="513"/>
        <v>0</v>
      </c>
      <c r="CS216" s="1989" t="e">
        <f>#REF!/10^7</f>
        <v>#REF!</v>
      </c>
      <c r="CT216" s="2003">
        <f t="shared" si="514"/>
        <v>0</v>
      </c>
      <c r="CU216" s="1989" t="e">
        <f>#REF!/10^7</f>
        <v>#REF!</v>
      </c>
      <c r="CV216" s="2003">
        <f t="shared" si="515"/>
        <v>0</v>
      </c>
      <c r="CW216" s="1989" t="e">
        <f>#REF!/10^7</f>
        <v>#REF!</v>
      </c>
      <c r="CX216" s="1989" t="e">
        <f>#REF!/10^7</f>
        <v>#REF!</v>
      </c>
      <c r="CY216" s="2002" t="e">
        <f t="shared" si="516"/>
        <v>#REF!</v>
      </c>
      <c r="CZ216" s="1999" t="e">
        <f t="shared" si="442"/>
        <v>#REF!</v>
      </c>
      <c r="DA216" s="1993" t="e">
        <f>#REF!</f>
        <v>#REF!</v>
      </c>
      <c r="DB216" s="2003">
        <f t="shared" si="517"/>
        <v>0</v>
      </c>
      <c r="DC216" s="1989" t="e">
        <f>#REF!/10^7</f>
        <v>#REF!</v>
      </c>
      <c r="DD216" s="2003">
        <f t="shared" si="518"/>
        <v>0</v>
      </c>
      <c r="DE216" s="1989" t="e">
        <f>#REF!/10^7</f>
        <v>#REF!</v>
      </c>
      <c r="DF216" s="2003">
        <f t="shared" si="519"/>
        <v>0</v>
      </c>
      <c r="DG216" s="1989" t="e">
        <f>#REF!/10^7</f>
        <v>#REF!</v>
      </c>
      <c r="DH216" s="1989" t="e">
        <f>#REF!/10^7</f>
        <v>#REF!</v>
      </c>
      <c r="DI216" s="2002" t="e">
        <f t="shared" si="520"/>
        <v>#REF!</v>
      </c>
      <c r="DJ216" s="1999" t="e">
        <f t="shared" si="471"/>
        <v>#REF!</v>
      </c>
      <c r="DK216" s="1993" t="e">
        <f>#REF!</f>
        <v>#REF!</v>
      </c>
      <c r="DL216" s="2003">
        <f t="shared" si="521"/>
        <v>0</v>
      </c>
      <c r="DM216" s="1989" t="e">
        <f>#REF!/10^7</f>
        <v>#REF!</v>
      </c>
      <c r="DN216" s="2003">
        <f t="shared" si="522"/>
        <v>0</v>
      </c>
      <c r="DO216" s="1989" t="e">
        <f>#REF!/10^7</f>
        <v>#REF!</v>
      </c>
      <c r="DP216" s="2003">
        <f t="shared" si="523"/>
        <v>0</v>
      </c>
      <c r="DQ216" s="1989" t="e">
        <f>#REF!/10^7</f>
        <v>#REF!</v>
      </c>
      <c r="DR216" s="1989" t="e">
        <f>#REF!/10^7</f>
        <v>#REF!</v>
      </c>
      <c r="DS216" s="2002" t="e">
        <f t="shared" si="524"/>
        <v>#REF!</v>
      </c>
      <c r="DT216" s="2004" t="e">
        <f t="shared" si="472"/>
        <v>#REF!</v>
      </c>
      <c r="DU216" s="1988" t="e">
        <f>#REF!</f>
        <v>#REF!</v>
      </c>
      <c r="DV216" s="2003">
        <f t="shared" si="525"/>
        <v>0</v>
      </c>
      <c r="DW216" s="1989" t="e">
        <f>#REF!/10^7</f>
        <v>#REF!</v>
      </c>
      <c r="DX216" s="2003">
        <f t="shared" si="526"/>
        <v>0</v>
      </c>
      <c r="DY216" s="1989" t="e">
        <f>#REF!/10^7</f>
        <v>#REF!</v>
      </c>
      <c r="DZ216" s="2003">
        <f t="shared" si="527"/>
        <v>0</v>
      </c>
      <c r="EA216" s="1989" t="e">
        <f>#REF!/10^7</f>
        <v>#REF!</v>
      </c>
      <c r="EB216" s="1989" t="e">
        <f>#REF!/10^7</f>
        <v>#REF!</v>
      </c>
      <c r="EC216" s="2002" t="e">
        <f t="shared" si="528"/>
        <v>#REF!</v>
      </c>
      <c r="ED216" s="1998" t="e">
        <f t="shared" si="473"/>
        <v>#REF!</v>
      </c>
      <c r="EE216" s="2005" t="e">
        <f t="shared" si="475"/>
        <v>#REF!</v>
      </c>
      <c r="EF216" s="2003">
        <f t="shared" si="529"/>
        <v>0</v>
      </c>
      <c r="EG216" s="1989" t="e">
        <f t="shared" si="476"/>
        <v>#REF!</v>
      </c>
      <c r="EH216" s="2003">
        <f t="shared" si="530"/>
        <v>0</v>
      </c>
      <c r="EI216" s="1989" t="e">
        <f t="shared" si="477"/>
        <v>#REF!</v>
      </c>
      <c r="EJ216" s="2003">
        <f t="shared" si="531"/>
        <v>0</v>
      </c>
      <c r="EK216" s="1989" t="e">
        <f t="shared" si="478"/>
        <v>#REF!</v>
      </c>
      <c r="EL216" s="1989" t="e">
        <f t="shared" si="478"/>
        <v>#REF!</v>
      </c>
      <c r="EM216" s="2006" t="e">
        <f t="shared" si="532"/>
        <v>#REF!</v>
      </c>
      <c r="EN216" s="1999" t="e">
        <f t="shared" si="479"/>
        <v>#REF!</v>
      </c>
      <c r="EO216" s="1613">
        <v>138.02494250000001</v>
      </c>
      <c r="EP216" s="1613" t="e">
        <f>EA216-#REF!/10^7</f>
        <v>#REF!</v>
      </c>
      <c r="ER216" s="1612" t="e">
        <f t="shared" si="480"/>
        <v>#REF!</v>
      </c>
      <c r="EW216" s="1611" t="e">
        <v>#N/A</v>
      </c>
      <c r="EX216" s="1612" t="e">
        <v>#N/A</v>
      </c>
      <c r="EZ216" s="1650">
        <f t="shared" si="533"/>
        <v>0</v>
      </c>
    </row>
    <row r="217" spans="1:156" ht="21" customHeight="1">
      <c r="A217" s="1652">
        <v>27</v>
      </c>
      <c r="B217" s="1701" t="s">
        <v>1885</v>
      </c>
      <c r="C217" s="1662">
        <v>12.5</v>
      </c>
      <c r="D217" s="1646">
        <f t="shared" si="474"/>
        <v>100</v>
      </c>
      <c r="E217" s="1646"/>
      <c r="F217" s="1648" t="s">
        <v>1594</v>
      </c>
      <c r="G217" s="1648"/>
      <c r="H217" s="1648">
        <v>12.5</v>
      </c>
      <c r="I217" s="1648" t="s">
        <v>1717</v>
      </c>
      <c r="J217" s="1649">
        <v>2</v>
      </c>
      <c r="K217" s="1648"/>
      <c r="L217" s="1648"/>
      <c r="M217" s="1648"/>
      <c r="N217" s="1642"/>
      <c r="O217" s="2000" t="e">
        <f>#REF!</f>
        <v>#REF!</v>
      </c>
      <c r="P217" s="2003">
        <f t="shared" si="481"/>
        <v>0</v>
      </c>
      <c r="Q217" s="1989" t="e">
        <f>#REF!/10^7</f>
        <v>#REF!</v>
      </c>
      <c r="R217" s="2003">
        <f t="shared" si="482"/>
        <v>0</v>
      </c>
      <c r="S217" s="1989" t="e">
        <f>#REF!/10^7</f>
        <v>#REF!</v>
      </c>
      <c r="T217" s="2003">
        <f t="shared" si="483"/>
        <v>0</v>
      </c>
      <c r="U217" s="1989" t="e">
        <f>#REF!/10^7</f>
        <v>#REF!</v>
      </c>
      <c r="V217" s="1989" t="e">
        <f>#REF!/10^7</f>
        <v>#REF!</v>
      </c>
      <c r="W217" s="1989">
        <f t="shared" si="484"/>
        <v>0</v>
      </c>
      <c r="X217" s="1999" t="e">
        <f t="shared" si="467"/>
        <v>#REF!</v>
      </c>
      <c r="Y217" s="1993" t="e">
        <f>#REF!</f>
        <v>#REF!</v>
      </c>
      <c r="Z217" s="2003">
        <f t="shared" si="485"/>
        <v>0</v>
      </c>
      <c r="AA217" s="1989" t="e">
        <f>#REF!/10^7</f>
        <v>#REF!</v>
      </c>
      <c r="AB217" s="2003">
        <f t="shared" si="486"/>
        <v>0</v>
      </c>
      <c r="AC217" s="1989" t="e">
        <f>#REF!/10^7</f>
        <v>#REF!</v>
      </c>
      <c r="AD217" s="2003">
        <f t="shared" si="487"/>
        <v>0</v>
      </c>
      <c r="AE217" s="1989" t="e">
        <f>#REF!/10^7</f>
        <v>#REF!</v>
      </c>
      <c r="AF217" s="1989" t="e">
        <f>#REF!/10^7</f>
        <v>#REF!</v>
      </c>
      <c r="AG217" s="2002" t="e">
        <f t="shared" si="488"/>
        <v>#REF!</v>
      </c>
      <c r="AH217" s="1999" t="e">
        <f t="shared" si="468"/>
        <v>#REF!</v>
      </c>
      <c r="AI217" s="1993" t="e">
        <f>#REF!</f>
        <v>#REF!</v>
      </c>
      <c r="AJ217" s="2003">
        <f t="shared" si="489"/>
        <v>0</v>
      </c>
      <c r="AK217" s="1989" t="e">
        <f>#REF!/10^7</f>
        <v>#REF!</v>
      </c>
      <c r="AL217" s="2003">
        <f t="shared" si="490"/>
        <v>0</v>
      </c>
      <c r="AM217" s="1989" t="e">
        <f>#REF!/10^7</f>
        <v>#REF!</v>
      </c>
      <c r="AN217" s="2003">
        <f t="shared" si="491"/>
        <v>0</v>
      </c>
      <c r="AO217" s="1989" t="e">
        <f>#REF!/10^7</f>
        <v>#REF!</v>
      </c>
      <c r="AP217" s="1989" t="e">
        <f>#REF!/10^7</f>
        <v>#REF!</v>
      </c>
      <c r="AQ217" s="2002" t="e">
        <f t="shared" si="492"/>
        <v>#REF!</v>
      </c>
      <c r="AR217" s="1999" t="e">
        <f t="shared" si="469"/>
        <v>#REF!</v>
      </c>
      <c r="AS217" s="1993" t="e">
        <f>#REF!</f>
        <v>#REF!</v>
      </c>
      <c r="AT217" s="2003">
        <f t="shared" si="493"/>
        <v>0</v>
      </c>
      <c r="AU217" s="1989" t="e">
        <f>#REF!/10^7</f>
        <v>#REF!</v>
      </c>
      <c r="AV217" s="2003">
        <f t="shared" si="494"/>
        <v>0</v>
      </c>
      <c r="AW217" s="1989" t="e">
        <f>#REF!/10^7</f>
        <v>#REF!</v>
      </c>
      <c r="AX217" s="2003">
        <f t="shared" si="495"/>
        <v>0</v>
      </c>
      <c r="AY217" s="1989" t="e">
        <f>#REF!/10^7</f>
        <v>#REF!</v>
      </c>
      <c r="AZ217" s="1989" t="e">
        <f>#REF!/10^7</f>
        <v>#REF!</v>
      </c>
      <c r="BA217" s="2002" t="e">
        <f t="shared" si="496"/>
        <v>#REF!</v>
      </c>
      <c r="BB217" s="1999" t="e">
        <f t="shared" si="470"/>
        <v>#REF!</v>
      </c>
      <c r="BC217" s="1993" t="e">
        <f>#REF!</f>
        <v>#REF!</v>
      </c>
      <c r="BD217" s="2003">
        <f t="shared" si="497"/>
        <v>0</v>
      </c>
      <c r="BE217" s="1989" t="e">
        <f>#REF!/10^7</f>
        <v>#REF!</v>
      </c>
      <c r="BF217" s="2003">
        <f t="shared" si="498"/>
        <v>0</v>
      </c>
      <c r="BG217" s="1989" t="e">
        <f>#REF!/10^7</f>
        <v>#REF!</v>
      </c>
      <c r="BH217" s="2003">
        <f t="shared" si="499"/>
        <v>0</v>
      </c>
      <c r="BI217" s="1989" t="e">
        <f>#REF!/10^7</f>
        <v>#REF!</v>
      </c>
      <c r="BJ217" s="1989" t="e">
        <f>#REF!/10^7</f>
        <v>#REF!</v>
      </c>
      <c r="BK217" s="2002" t="e">
        <f t="shared" si="500"/>
        <v>#REF!</v>
      </c>
      <c r="BL217" s="1999" t="e">
        <f t="shared" si="438"/>
        <v>#REF!</v>
      </c>
      <c r="BM217" s="1993" t="e">
        <f>#REF!</f>
        <v>#REF!</v>
      </c>
      <c r="BN217" s="2003">
        <f t="shared" si="501"/>
        <v>0</v>
      </c>
      <c r="BO217" s="1989" t="e">
        <f>#REF!/10^7</f>
        <v>#REF!</v>
      </c>
      <c r="BP217" s="2003">
        <f t="shared" si="502"/>
        <v>0</v>
      </c>
      <c r="BQ217" s="1989" t="e">
        <f>#REF!/10^7</f>
        <v>#REF!</v>
      </c>
      <c r="BR217" s="2003">
        <f t="shared" si="503"/>
        <v>0</v>
      </c>
      <c r="BS217" s="1989" t="e">
        <f>#REF!/10^7</f>
        <v>#REF!</v>
      </c>
      <c r="BT217" s="1989" t="e">
        <f>#REF!/10^7</f>
        <v>#REF!</v>
      </c>
      <c r="BU217" s="2002" t="e">
        <f t="shared" si="504"/>
        <v>#REF!</v>
      </c>
      <c r="BV217" s="1999" t="e">
        <f t="shared" si="439"/>
        <v>#REF!</v>
      </c>
      <c r="BW217" s="1993" t="e">
        <f>#REF!</f>
        <v>#REF!</v>
      </c>
      <c r="BX217" s="2003">
        <f t="shared" si="505"/>
        <v>0</v>
      </c>
      <c r="BY217" s="1989" t="e">
        <f>#REF!/10^7</f>
        <v>#REF!</v>
      </c>
      <c r="BZ217" s="2003">
        <f t="shared" si="506"/>
        <v>0</v>
      </c>
      <c r="CA217" s="1989" t="e">
        <f>#REF!/10^7</f>
        <v>#REF!</v>
      </c>
      <c r="CB217" s="2003">
        <f t="shared" si="507"/>
        <v>0</v>
      </c>
      <c r="CC217" s="1989" t="e">
        <f>#REF!/10^7</f>
        <v>#REF!</v>
      </c>
      <c r="CD217" s="1989" t="e">
        <f>#REF!/10^7</f>
        <v>#REF!</v>
      </c>
      <c r="CE217" s="2002" t="e">
        <f t="shared" si="508"/>
        <v>#REF!</v>
      </c>
      <c r="CF217" s="1999" t="e">
        <f t="shared" si="440"/>
        <v>#REF!</v>
      </c>
      <c r="CG217" s="1993" t="e">
        <f>#REF!</f>
        <v>#REF!</v>
      </c>
      <c r="CH217" s="2003">
        <f t="shared" si="509"/>
        <v>0</v>
      </c>
      <c r="CI217" s="1989" t="e">
        <f>#REF!/10^7</f>
        <v>#REF!</v>
      </c>
      <c r="CJ217" s="2003">
        <f t="shared" si="510"/>
        <v>0</v>
      </c>
      <c r="CK217" s="1989" t="e">
        <f>#REF!/10^7</f>
        <v>#REF!</v>
      </c>
      <c r="CL217" s="2003">
        <f t="shared" si="511"/>
        <v>0</v>
      </c>
      <c r="CM217" s="1989" t="e">
        <f>#REF!/10^7</f>
        <v>#REF!</v>
      </c>
      <c r="CN217" s="1989" t="e">
        <f>#REF!/10^7</f>
        <v>#REF!</v>
      </c>
      <c r="CO217" s="2002" t="e">
        <f t="shared" si="512"/>
        <v>#REF!</v>
      </c>
      <c r="CP217" s="1999" t="e">
        <f t="shared" si="441"/>
        <v>#REF!</v>
      </c>
      <c r="CQ217" s="1993" t="e">
        <f>#REF!</f>
        <v>#REF!</v>
      </c>
      <c r="CR217" s="2003">
        <f t="shared" si="513"/>
        <v>0</v>
      </c>
      <c r="CS217" s="1989" t="e">
        <f>#REF!/10^7</f>
        <v>#REF!</v>
      </c>
      <c r="CT217" s="2003">
        <f t="shared" si="514"/>
        <v>0</v>
      </c>
      <c r="CU217" s="1989" t="e">
        <f>#REF!/10^7</f>
        <v>#REF!</v>
      </c>
      <c r="CV217" s="2003">
        <f t="shared" si="515"/>
        <v>0</v>
      </c>
      <c r="CW217" s="1989" t="e">
        <f>#REF!/10^7</f>
        <v>#REF!</v>
      </c>
      <c r="CX217" s="1989" t="e">
        <f>#REF!/10^7</f>
        <v>#REF!</v>
      </c>
      <c r="CY217" s="2002" t="e">
        <f t="shared" si="516"/>
        <v>#REF!</v>
      </c>
      <c r="CZ217" s="1999" t="e">
        <f t="shared" si="442"/>
        <v>#REF!</v>
      </c>
      <c r="DA217" s="1993" t="e">
        <f>#REF!</f>
        <v>#REF!</v>
      </c>
      <c r="DB217" s="2003">
        <f t="shared" si="517"/>
        <v>0</v>
      </c>
      <c r="DC217" s="1989" t="e">
        <f>#REF!/10^7</f>
        <v>#REF!</v>
      </c>
      <c r="DD217" s="2003">
        <f t="shared" si="518"/>
        <v>0</v>
      </c>
      <c r="DE217" s="1989" t="e">
        <f>#REF!/10^7</f>
        <v>#REF!</v>
      </c>
      <c r="DF217" s="2003">
        <f t="shared" si="519"/>
        <v>0</v>
      </c>
      <c r="DG217" s="1989" t="e">
        <f>#REF!/10^7</f>
        <v>#REF!</v>
      </c>
      <c r="DH217" s="1989" t="e">
        <f>#REF!/10^7</f>
        <v>#REF!</v>
      </c>
      <c r="DI217" s="2002" t="e">
        <f t="shared" si="520"/>
        <v>#REF!</v>
      </c>
      <c r="DJ217" s="1999" t="e">
        <f t="shared" si="471"/>
        <v>#REF!</v>
      </c>
      <c r="DK217" s="1993" t="e">
        <f>#REF!</f>
        <v>#REF!</v>
      </c>
      <c r="DL217" s="2003">
        <f t="shared" si="521"/>
        <v>0</v>
      </c>
      <c r="DM217" s="1989" t="e">
        <f>#REF!/10^7</f>
        <v>#REF!</v>
      </c>
      <c r="DN217" s="2003">
        <f t="shared" si="522"/>
        <v>0</v>
      </c>
      <c r="DO217" s="1989" t="e">
        <f>#REF!/10^7</f>
        <v>#REF!</v>
      </c>
      <c r="DP217" s="2003">
        <f t="shared" si="523"/>
        <v>0</v>
      </c>
      <c r="DQ217" s="1989" t="e">
        <f>#REF!/10^7</f>
        <v>#REF!</v>
      </c>
      <c r="DR217" s="1989" t="e">
        <f>#REF!/10^7</f>
        <v>#REF!</v>
      </c>
      <c r="DS217" s="2002" t="e">
        <f t="shared" si="524"/>
        <v>#REF!</v>
      </c>
      <c r="DT217" s="2004" t="e">
        <f t="shared" si="472"/>
        <v>#REF!</v>
      </c>
      <c r="DU217" s="1988" t="e">
        <f>#REF!</f>
        <v>#REF!</v>
      </c>
      <c r="DV217" s="2003">
        <f t="shared" si="525"/>
        <v>0</v>
      </c>
      <c r="DW217" s="1989" t="e">
        <f>#REF!/10^7</f>
        <v>#REF!</v>
      </c>
      <c r="DX217" s="2003">
        <f t="shared" si="526"/>
        <v>0</v>
      </c>
      <c r="DY217" s="1989" t="e">
        <f>#REF!/10^7</f>
        <v>#REF!</v>
      </c>
      <c r="DZ217" s="2003">
        <f t="shared" si="527"/>
        <v>0</v>
      </c>
      <c r="EA217" s="1989" t="e">
        <f>#REF!/10^7</f>
        <v>#REF!</v>
      </c>
      <c r="EB217" s="1989" t="e">
        <f>#REF!/10^7</f>
        <v>#REF!</v>
      </c>
      <c r="EC217" s="2002" t="e">
        <f t="shared" si="528"/>
        <v>#REF!</v>
      </c>
      <c r="ED217" s="1998" t="e">
        <f t="shared" si="473"/>
        <v>#REF!</v>
      </c>
      <c r="EE217" s="2005" t="e">
        <f t="shared" si="475"/>
        <v>#REF!</v>
      </c>
      <c r="EF217" s="2003">
        <f t="shared" si="529"/>
        <v>0</v>
      </c>
      <c r="EG217" s="1989" t="e">
        <f t="shared" si="476"/>
        <v>#REF!</v>
      </c>
      <c r="EH217" s="2003">
        <f t="shared" si="530"/>
        <v>0</v>
      </c>
      <c r="EI217" s="1989" t="e">
        <f t="shared" si="477"/>
        <v>#REF!</v>
      </c>
      <c r="EJ217" s="2003">
        <f t="shared" si="531"/>
        <v>0</v>
      </c>
      <c r="EK217" s="1989" t="e">
        <f t="shared" si="478"/>
        <v>#REF!</v>
      </c>
      <c r="EL217" s="1989" t="e">
        <f t="shared" si="478"/>
        <v>#REF!</v>
      </c>
      <c r="EM217" s="2006" t="e">
        <f t="shared" si="532"/>
        <v>#REF!</v>
      </c>
      <c r="EN217" s="1999" t="e">
        <f t="shared" si="479"/>
        <v>#REF!</v>
      </c>
      <c r="EO217" s="1613">
        <v>17.5327965</v>
      </c>
      <c r="EP217" s="1613" t="e">
        <f>EA217-#REF!/10^7</f>
        <v>#REF!</v>
      </c>
      <c r="ER217" s="1612" t="e">
        <f t="shared" si="480"/>
        <v>#REF!</v>
      </c>
      <c r="EW217" s="1611" t="e">
        <v>#N/A</v>
      </c>
      <c r="EX217" s="1612" t="e">
        <v>#N/A</v>
      </c>
      <c r="EZ217" s="1650">
        <f t="shared" si="533"/>
        <v>0</v>
      </c>
    </row>
    <row r="218" spans="1:156" ht="21" customHeight="1">
      <c r="A218" s="1652">
        <v>28</v>
      </c>
      <c r="B218" s="1701" t="s">
        <v>1886</v>
      </c>
      <c r="C218" s="1662">
        <v>63</v>
      </c>
      <c r="D218" s="1646">
        <f t="shared" si="474"/>
        <v>100</v>
      </c>
      <c r="E218" s="1646"/>
      <c r="F218" s="1648" t="s">
        <v>1594</v>
      </c>
      <c r="G218" s="1648"/>
      <c r="H218" s="1648">
        <v>63</v>
      </c>
      <c r="I218" s="1648" t="s">
        <v>1717</v>
      </c>
      <c r="J218" s="1649">
        <v>2</v>
      </c>
      <c r="K218" s="1648"/>
      <c r="L218" s="1648"/>
      <c r="M218" s="1648"/>
      <c r="N218" s="1642"/>
      <c r="O218" s="2000" t="e">
        <f>#REF!</f>
        <v>#REF!</v>
      </c>
      <c r="P218" s="2003">
        <f t="shared" si="481"/>
        <v>0</v>
      </c>
      <c r="Q218" s="1989" t="e">
        <f>#REF!/10^7</f>
        <v>#REF!</v>
      </c>
      <c r="R218" s="2003">
        <f t="shared" si="482"/>
        <v>0</v>
      </c>
      <c r="S218" s="1989" t="e">
        <f>#REF!/10^7</f>
        <v>#REF!</v>
      </c>
      <c r="T218" s="2003">
        <f t="shared" si="483"/>
        <v>0</v>
      </c>
      <c r="U218" s="1989" t="e">
        <f>#REF!/10^7</f>
        <v>#REF!</v>
      </c>
      <c r="V218" s="1989" t="e">
        <f>#REF!/10^7</f>
        <v>#REF!</v>
      </c>
      <c r="W218" s="1989">
        <f t="shared" si="484"/>
        <v>0</v>
      </c>
      <c r="X218" s="1999" t="e">
        <f t="shared" si="467"/>
        <v>#REF!</v>
      </c>
      <c r="Y218" s="1993" t="e">
        <f>#REF!</f>
        <v>#REF!</v>
      </c>
      <c r="Z218" s="2003">
        <f t="shared" si="485"/>
        <v>0</v>
      </c>
      <c r="AA218" s="1989" t="e">
        <f>#REF!/10^7</f>
        <v>#REF!</v>
      </c>
      <c r="AB218" s="2003">
        <f t="shared" si="486"/>
        <v>0</v>
      </c>
      <c r="AC218" s="1989" t="e">
        <f>#REF!/10^7</f>
        <v>#REF!</v>
      </c>
      <c r="AD218" s="2003">
        <f t="shared" si="487"/>
        <v>0</v>
      </c>
      <c r="AE218" s="1989" t="e">
        <f>#REF!/10^7</f>
        <v>#REF!</v>
      </c>
      <c r="AF218" s="1989" t="e">
        <f>#REF!/10^7</f>
        <v>#REF!</v>
      </c>
      <c r="AG218" s="2002" t="e">
        <f t="shared" si="488"/>
        <v>#REF!</v>
      </c>
      <c r="AH218" s="1999" t="e">
        <f t="shared" si="468"/>
        <v>#REF!</v>
      </c>
      <c r="AI218" s="1993" t="e">
        <f>#REF!</f>
        <v>#REF!</v>
      </c>
      <c r="AJ218" s="2003">
        <f t="shared" si="489"/>
        <v>0</v>
      </c>
      <c r="AK218" s="1989" t="e">
        <f>#REF!/10^7</f>
        <v>#REF!</v>
      </c>
      <c r="AL218" s="2003">
        <f t="shared" si="490"/>
        <v>0</v>
      </c>
      <c r="AM218" s="1989" t="e">
        <f>#REF!/10^7</f>
        <v>#REF!</v>
      </c>
      <c r="AN218" s="2003">
        <f t="shared" si="491"/>
        <v>0</v>
      </c>
      <c r="AO218" s="1989" t="e">
        <f>#REF!/10^7</f>
        <v>#REF!</v>
      </c>
      <c r="AP218" s="1989" t="e">
        <f>#REF!/10^7</f>
        <v>#REF!</v>
      </c>
      <c r="AQ218" s="2002" t="e">
        <f t="shared" si="492"/>
        <v>#REF!</v>
      </c>
      <c r="AR218" s="1999" t="e">
        <f t="shared" si="469"/>
        <v>#REF!</v>
      </c>
      <c r="AS218" s="1993" t="e">
        <f>#REF!</f>
        <v>#REF!</v>
      </c>
      <c r="AT218" s="2003">
        <f t="shared" si="493"/>
        <v>0</v>
      </c>
      <c r="AU218" s="1989" t="e">
        <f>#REF!/10^7</f>
        <v>#REF!</v>
      </c>
      <c r="AV218" s="2003">
        <f t="shared" si="494"/>
        <v>0</v>
      </c>
      <c r="AW218" s="1989" t="e">
        <f>#REF!/10^7</f>
        <v>#REF!</v>
      </c>
      <c r="AX218" s="2003">
        <f t="shared" si="495"/>
        <v>0</v>
      </c>
      <c r="AY218" s="1989" t="e">
        <f>#REF!/10^7</f>
        <v>#REF!</v>
      </c>
      <c r="AZ218" s="1989" t="e">
        <f>#REF!/10^7</f>
        <v>#REF!</v>
      </c>
      <c r="BA218" s="2002" t="e">
        <f t="shared" si="496"/>
        <v>#REF!</v>
      </c>
      <c r="BB218" s="1999" t="e">
        <f t="shared" si="470"/>
        <v>#REF!</v>
      </c>
      <c r="BC218" s="1993" t="e">
        <f>#REF!</f>
        <v>#REF!</v>
      </c>
      <c r="BD218" s="2003">
        <f t="shared" si="497"/>
        <v>0</v>
      </c>
      <c r="BE218" s="1989" t="e">
        <f>#REF!/10^7</f>
        <v>#REF!</v>
      </c>
      <c r="BF218" s="2003">
        <f t="shared" si="498"/>
        <v>0</v>
      </c>
      <c r="BG218" s="1989" t="e">
        <f>#REF!/10^7</f>
        <v>#REF!</v>
      </c>
      <c r="BH218" s="2003">
        <f t="shared" si="499"/>
        <v>0</v>
      </c>
      <c r="BI218" s="1989" t="e">
        <f>#REF!/10^7</f>
        <v>#REF!</v>
      </c>
      <c r="BJ218" s="1989" t="e">
        <f>#REF!/10^7</f>
        <v>#REF!</v>
      </c>
      <c r="BK218" s="2002" t="e">
        <f t="shared" si="500"/>
        <v>#REF!</v>
      </c>
      <c r="BL218" s="1999" t="e">
        <f t="shared" si="438"/>
        <v>#REF!</v>
      </c>
      <c r="BM218" s="1993" t="e">
        <f>#REF!</f>
        <v>#REF!</v>
      </c>
      <c r="BN218" s="2003">
        <f t="shared" si="501"/>
        <v>0</v>
      </c>
      <c r="BO218" s="1989" t="e">
        <f>#REF!/10^7</f>
        <v>#REF!</v>
      </c>
      <c r="BP218" s="2003">
        <f t="shared" si="502"/>
        <v>0</v>
      </c>
      <c r="BQ218" s="1989" t="e">
        <f>#REF!/10^7</f>
        <v>#REF!</v>
      </c>
      <c r="BR218" s="2003">
        <f t="shared" si="503"/>
        <v>0</v>
      </c>
      <c r="BS218" s="1989" t="e">
        <f>#REF!/10^7</f>
        <v>#REF!</v>
      </c>
      <c r="BT218" s="1989" t="e">
        <f>#REF!/10^7</f>
        <v>#REF!</v>
      </c>
      <c r="BU218" s="2002" t="e">
        <f t="shared" si="504"/>
        <v>#REF!</v>
      </c>
      <c r="BV218" s="1999" t="e">
        <f t="shared" si="439"/>
        <v>#REF!</v>
      </c>
      <c r="BW218" s="1993" t="e">
        <f>#REF!</f>
        <v>#REF!</v>
      </c>
      <c r="BX218" s="2003">
        <f t="shared" si="505"/>
        <v>0</v>
      </c>
      <c r="BY218" s="1989" t="e">
        <f>#REF!/10^7</f>
        <v>#REF!</v>
      </c>
      <c r="BZ218" s="2003">
        <f t="shared" si="506"/>
        <v>0</v>
      </c>
      <c r="CA218" s="1989" t="e">
        <f>#REF!/10^7</f>
        <v>#REF!</v>
      </c>
      <c r="CB218" s="2003">
        <f t="shared" si="507"/>
        <v>0</v>
      </c>
      <c r="CC218" s="1989" t="e">
        <f>#REF!/10^7</f>
        <v>#REF!</v>
      </c>
      <c r="CD218" s="1989" t="e">
        <f>#REF!/10^7</f>
        <v>#REF!</v>
      </c>
      <c r="CE218" s="2002" t="e">
        <f t="shared" si="508"/>
        <v>#REF!</v>
      </c>
      <c r="CF218" s="1999" t="e">
        <f t="shared" si="440"/>
        <v>#REF!</v>
      </c>
      <c r="CG218" s="1993" t="e">
        <f>#REF!</f>
        <v>#REF!</v>
      </c>
      <c r="CH218" s="2003">
        <f t="shared" si="509"/>
        <v>0</v>
      </c>
      <c r="CI218" s="1989" t="e">
        <f>#REF!/10^7</f>
        <v>#REF!</v>
      </c>
      <c r="CJ218" s="2003">
        <f t="shared" si="510"/>
        <v>0</v>
      </c>
      <c r="CK218" s="1989" t="e">
        <f>#REF!/10^7</f>
        <v>#REF!</v>
      </c>
      <c r="CL218" s="2003">
        <f t="shared" si="511"/>
        <v>0</v>
      </c>
      <c r="CM218" s="1989" t="e">
        <f>#REF!/10^7</f>
        <v>#REF!</v>
      </c>
      <c r="CN218" s="1989" t="e">
        <f>#REF!/10^7</f>
        <v>#REF!</v>
      </c>
      <c r="CO218" s="2002" t="e">
        <f t="shared" si="512"/>
        <v>#REF!</v>
      </c>
      <c r="CP218" s="1999" t="e">
        <f t="shared" si="441"/>
        <v>#REF!</v>
      </c>
      <c r="CQ218" s="1993" t="e">
        <f>#REF!</f>
        <v>#REF!</v>
      </c>
      <c r="CR218" s="2003">
        <f t="shared" si="513"/>
        <v>0</v>
      </c>
      <c r="CS218" s="1989" t="e">
        <f>#REF!/10^7</f>
        <v>#REF!</v>
      </c>
      <c r="CT218" s="2003">
        <f t="shared" si="514"/>
        <v>0</v>
      </c>
      <c r="CU218" s="1989" t="e">
        <f>#REF!/10^7</f>
        <v>#REF!</v>
      </c>
      <c r="CV218" s="2003">
        <f t="shared" si="515"/>
        <v>0</v>
      </c>
      <c r="CW218" s="1989" t="e">
        <f>#REF!/10^7</f>
        <v>#REF!</v>
      </c>
      <c r="CX218" s="1989" t="e">
        <f>#REF!/10^7</f>
        <v>#REF!</v>
      </c>
      <c r="CY218" s="2002" t="e">
        <f t="shared" si="516"/>
        <v>#REF!</v>
      </c>
      <c r="CZ218" s="1999" t="e">
        <f t="shared" si="442"/>
        <v>#REF!</v>
      </c>
      <c r="DA218" s="1993" t="e">
        <f>#REF!</f>
        <v>#REF!</v>
      </c>
      <c r="DB218" s="2003">
        <f t="shared" si="517"/>
        <v>0</v>
      </c>
      <c r="DC218" s="1989" t="e">
        <f>#REF!/10^7</f>
        <v>#REF!</v>
      </c>
      <c r="DD218" s="2003">
        <f t="shared" si="518"/>
        <v>0</v>
      </c>
      <c r="DE218" s="1989" t="e">
        <f>#REF!/10^7</f>
        <v>#REF!</v>
      </c>
      <c r="DF218" s="2003">
        <f t="shared" si="519"/>
        <v>0</v>
      </c>
      <c r="DG218" s="1989" t="e">
        <f>#REF!/10^7</f>
        <v>#REF!</v>
      </c>
      <c r="DH218" s="1989" t="e">
        <f>#REF!/10^7</f>
        <v>#REF!</v>
      </c>
      <c r="DI218" s="2002" t="e">
        <f t="shared" si="520"/>
        <v>#REF!</v>
      </c>
      <c r="DJ218" s="1999" t="e">
        <f t="shared" si="471"/>
        <v>#REF!</v>
      </c>
      <c r="DK218" s="1993" t="e">
        <f>#REF!</f>
        <v>#REF!</v>
      </c>
      <c r="DL218" s="2003">
        <f t="shared" si="521"/>
        <v>0</v>
      </c>
      <c r="DM218" s="1989" t="e">
        <f>#REF!/10^7</f>
        <v>#REF!</v>
      </c>
      <c r="DN218" s="2003">
        <f t="shared" si="522"/>
        <v>0</v>
      </c>
      <c r="DO218" s="1989" t="e">
        <f>#REF!/10^7</f>
        <v>#REF!</v>
      </c>
      <c r="DP218" s="2003">
        <f t="shared" si="523"/>
        <v>0</v>
      </c>
      <c r="DQ218" s="1989" t="e">
        <f>#REF!/10^7</f>
        <v>#REF!</v>
      </c>
      <c r="DR218" s="1989" t="e">
        <f>#REF!/10^7</f>
        <v>#REF!</v>
      </c>
      <c r="DS218" s="2002" t="e">
        <f t="shared" si="524"/>
        <v>#REF!</v>
      </c>
      <c r="DT218" s="2004" t="e">
        <f t="shared" si="472"/>
        <v>#REF!</v>
      </c>
      <c r="DU218" s="1988" t="e">
        <f>#REF!</f>
        <v>#REF!</v>
      </c>
      <c r="DV218" s="2003">
        <f t="shared" si="525"/>
        <v>0</v>
      </c>
      <c r="DW218" s="1989" t="e">
        <f>#REF!/10^7</f>
        <v>#REF!</v>
      </c>
      <c r="DX218" s="2003">
        <f t="shared" si="526"/>
        <v>0</v>
      </c>
      <c r="DY218" s="1989" t="e">
        <f>#REF!/10^7</f>
        <v>#REF!</v>
      </c>
      <c r="DZ218" s="2003">
        <f t="shared" si="527"/>
        <v>0</v>
      </c>
      <c r="EA218" s="1989" t="e">
        <f>#REF!/10^7</f>
        <v>#REF!</v>
      </c>
      <c r="EB218" s="1989" t="e">
        <f>#REF!/10^7</f>
        <v>#REF!</v>
      </c>
      <c r="EC218" s="2002" t="e">
        <f t="shared" si="528"/>
        <v>#REF!</v>
      </c>
      <c r="ED218" s="1998" t="e">
        <f t="shared" si="473"/>
        <v>#REF!</v>
      </c>
      <c r="EE218" s="2005" t="e">
        <f t="shared" si="475"/>
        <v>#REF!</v>
      </c>
      <c r="EF218" s="2003">
        <f t="shared" si="529"/>
        <v>0</v>
      </c>
      <c r="EG218" s="1989" t="e">
        <f t="shared" si="476"/>
        <v>#REF!</v>
      </c>
      <c r="EH218" s="2003">
        <f t="shared" si="530"/>
        <v>0</v>
      </c>
      <c r="EI218" s="1989" t="e">
        <f t="shared" si="477"/>
        <v>#REF!</v>
      </c>
      <c r="EJ218" s="2003">
        <f t="shared" si="531"/>
        <v>0</v>
      </c>
      <c r="EK218" s="1989" t="e">
        <f t="shared" si="478"/>
        <v>#REF!</v>
      </c>
      <c r="EL218" s="1989" t="e">
        <f t="shared" si="478"/>
        <v>#REF!</v>
      </c>
      <c r="EM218" s="2006" t="e">
        <f t="shared" si="532"/>
        <v>#REF!</v>
      </c>
      <c r="EN218" s="1999" t="e">
        <f t="shared" si="479"/>
        <v>#REF!</v>
      </c>
      <c r="EO218" s="1613">
        <v>114.23122499999999</v>
      </c>
      <c r="EP218" s="1613" t="e">
        <f>EA218-#REF!/10^7</f>
        <v>#REF!</v>
      </c>
      <c r="ER218" s="1612" t="e">
        <f t="shared" si="480"/>
        <v>#REF!</v>
      </c>
      <c r="EW218" s="1611" t="e">
        <v>#N/A</v>
      </c>
      <c r="EX218" s="1612" t="e">
        <v>#N/A</v>
      </c>
      <c r="EZ218" s="1650">
        <f t="shared" si="533"/>
        <v>0</v>
      </c>
    </row>
    <row r="219" spans="1:156" ht="21" customHeight="1">
      <c r="A219" s="1652">
        <v>29</v>
      </c>
      <c r="B219" s="1701" t="s">
        <v>1887</v>
      </c>
      <c r="C219" s="1662">
        <v>20</v>
      </c>
      <c r="D219" s="1646">
        <f t="shared" si="474"/>
        <v>100</v>
      </c>
      <c r="E219" s="1646"/>
      <c r="F219" s="1648" t="s">
        <v>1594</v>
      </c>
      <c r="G219" s="1648"/>
      <c r="H219" s="1648">
        <v>20</v>
      </c>
      <c r="I219" s="1648" t="s">
        <v>1717</v>
      </c>
      <c r="J219" s="1649">
        <v>2</v>
      </c>
      <c r="K219" s="1648"/>
      <c r="L219" s="1648"/>
      <c r="M219" s="1648"/>
      <c r="N219" s="1642"/>
      <c r="O219" s="2000" t="e">
        <f>#REF!</f>
        <v>#REF!</v>
      </c>
      <c r="P219" s="2003">
        <f t="shared" si="481"/>
        <v>0</v>
      </c>
      <c r="Q219" s="1989" t="e">
        <f>#REF!/10^7</f>
        <v>#REF!</v>
      </c>
      <c r="R219" s="2003">
        <f t="shared" si="482"/>
        <v>0</v>
      </c>
      <c r="S219" s="1989" t="e">
        <f>#REF!/10^7</f>
        <v>#REF!</v>
      </c>
      <c r="T219" s="2003">
        <f t="shared" si="483"/>
        <v>0</v>
      </c>
      <c r="U219" s="1989" t="e">
        <f>#REF!/10^7</f>
        <v>#REF!</v>
      </c>
      <c r="V219" s="1989" t="e">
        <f>#REF!/10^7</f>
        <v>#REF!</v>
      </c>
      <c r="W219" s="1989">
        <f t="shared" si="484"/>
        <v>0</v>
      </c>
      <c r="X219" s="1999" t="e">
        <f t="shared" si="467"/>
        <v>#REF!</v>
      </c>
      <c r="Y219" s="1993" t="e">
        <f>#REF!</f>
        <v>#REF!</v>
      </c>
      <c r="Z219" s="2003">
        <f t="shared" si="485"/>
        <v>0</v>
      </c>
      <c r="AA219" s="1989" t="e">
        <f>#REF!/10^7</f>
        <v>#REF!</v>
      </c>
      <c r="AB219" s="2003">
        <f t="shared" si="486"/>
        <v>0</v>
      </c>
      <c r="AC219" s="1989" t="e">
        <f>#REF!/10^7</f>
        <v>#REF!</v>
      </c>
      <c r="AD219" s="2003">
        <f t="shared" si="487"/>
        <v>0</v>
      </c>
      <c r="AE219" s="1989" t="e">
        <f>#REF!/10^7</f>
        <v>#REF!</v>
      </c>
      <c r="AF219" s="1989" t="e">
        <f>#REF!/10^7</f>
        <v>#REF!</v>
      </c>
      <c r="AG219" s="2002" t="e">
        <f t="shared" si="488"/>
        <v>#REF!</v>
      </c>
      <c r="AH219" s="1999" t="e">
        <f t="shared" si="468"/>
        <v>#REF!</v>
      </c>
      <c r="AI219" s="1993" t="e">
        <f>#REF!</f>
        <v>#REF!</v>
      </c>
      <c r="AJ219" s="2003">
        <f t="shared" si="489"/>
        <v>0</v>
      </c>
      <c r="AK219" s="1989" t="e">
        <f>#REF!/10^7</f>
        <v>#REF!</v>
      </c>
      <c r="AL219" s="2003">
        <f t="shared" si="490"/>
        <v>0</v>
      </c>
      <c r="AM219" s="1989" t="e">
        <f>#REF!/10^7</f>
        <v>#REF!</v>
      </c>
      <c r="AN219" s="2003">
        <f t="shared" si="491"/>
        <v>0</v>
      </c>
      <c r="AO219" s="1989" t="e">
        <f>#REF!/10^7</f>
        <v>#REF!</v>
      </c>
      <c r="AP219" s="1989" t="e">
        <f>#REF!/10^7</f>
        <v>#REF!</v>
      </c>
      <c r="AQ219" s="2002" t="e">
        <f t="shared" si="492"/>
        <v>#REF!</v>
      </c>
      <c r="AR219" s="1999" t="e">
        <f t="shared" si="469"/>
        <v>#REF!</v>
      </c>
      <c r="AS219" s="1993" t="e">
        <f>#REF!</f>
        <v>#REF!</v>
      </c>
      <c r="AT219" s="2003">
        <f t="shared" si="493"/>
        <v>0</v>
      </c>
      <c r="AU219" s="1989" t="e">
        <f>#REF!/10^7</f>
        <v>#REF!</v>
      </c>
      <c r="AV219" s="2003">
        <f t="shared" si="494"/>
        <v>0</v>
      </c>
      <c r="AW219" s="1989" t="e">
        <f>#REF!/10^7</f>
        <v>#REF!</v>
      </c>
      <c r="AX219" s="2003">
        <f t="shared" si="495"/>
        <v>0</v>
      </c>
      <c r="AY219" s="1989" t="e">
        <f>#REF!/10^7</f>
        <v>#REF!</v>
      </c>
      <c r="AZ219" s="1989" t="e">
        <f>#REF!/10^7</f>
        <v>#REF!</v>
      </c>
      <c r="BA219" s="2002" t="e">
        <f t="shared" si="496"/>
        <v>#REF!</v>
      </c>
      <c r="BB219" s="1999" t="e">
        <f t="shared" si="470"/>
        <v>#REF!</v>
      </c>
      <c r="BC219" s="1993" t="e">
        <f>#REF!</f>
        <v>#REF!</v>
      </c>
      <c r="BD219" s="2003">
        <f t="shared" si="497"/>
        <v>0</v>
      </c>
      <c r="BE219" s="1989" t="e">
        <f>#REF!/10^7</f>
        <v>#REF!</v>
      </c>
      <c r="BF219" s="2003">
        <f t="shared" si="498"/>
        <v>0</v>
      </c>
      <c r="BG219" s="1989" t="e">
        <f>#REF!/10^7</f>
        <v>#REF!</v>
      </c>
      <c r="BH219" s="2003">
        <f t="shared" si="499"/>
        <v>0</v>
      </c>
      <c r="BI219" s="1989" t="e">
        <f>#REF!/10^7</f>
        <v>#REF!</v>
      </c>
      <c r="BJ219" s="1989" t="e">
        <f>#REF!/10^7</f>
        <v>#REF!</v>
      </c>
      <c r="BK219" s="2002" t="e">
        <f t="shared" si="500"/>
        <v>#REF!</v>
      </c>
      <c r="BL219" s="1999" t="e">
        <f t="shared" si="438"/>
        <v>#REF!</v>
      </c>
      <c r="BM219" s="1993" t="e">
        <f>#REF!</f>
        <v>#REF!</v>
      </c>
      <c r="BN219" s="2003">
        <f t="shared" si="501"/>
        <v>0</v>
      </c>
      <c r="BO219" s="1989" t="e">
        <f>#REF!/10^7</f>
        <v>#REF!</v>
      </c>
      <c r="BP219" s="2003">
        <f t="shared" si="502"/>
        <v>0</v>
      </c>
      <c r="BQ219" s="1989" t="e">
        <f>#REF!/10^7</f>
        <v>#REF!</v>
      </c>
      <c r="BR219" s="2003">
        <f t="shared" si="503"/>
        <v>0</v>
      </c>
      <c r="BS219" s="1989" t="e">
        <f>#REF!/10^7</f>
        <v>#REF!</v>
      </c>
      <c r="BT219" s="1989" t="e">
        <f>#REF!/10^7</f>
        <v>#REF!</v>
      </c>
      <c r="BU219" s="2002" t="e">
        <f t="shared" si="504"/>
        <v>#REF!</v>
      </c>
      <c r="BV219" s="1999" t="e">
        <f t="shared" si="439"/>
        <v>#REF!</v>
      </c>
      <c r="BW219" s="1993" t="e">
        <f>#REF!</f>
        <v>#REF!</v>
      </c>
      <c r="BX219" s="2003">
        <f t="shared" si="505"/>
        <v>0</v>
      </c>
      <c r="BY219" s="1989" t="e">
        <f>#REF!/10^7</f>
        <v>#REF!</v>
      </c>
      <c r="BZ219" s="2003">
        <f t="shared" si="506"/>
        <v>0</v>
      </c>
      <c r="CA219" s="1989" t="e">
        <f>#REF!/10^7</f>
        <v>#REF!</v>
      </c>
      <c r="CB219" s="2003">
        <f t="shared" si="507"/>
        <v>0</v>
      </c>
      <c r="CC219" s="1989" t="e">
        <f>#REF!/10^7</f>
        <v>#REF!</v>
      </c>
      <c r="CD219" s="1989" t="e">
        <f>#REF!/10^7</f>
        <v>#REF!</v>
      </c>
      <c r="CE219" s="2002" t="e">
        <f t="shared" si="508"/>
        <v>#REF!</v>
      </c>
      <c r="CF219" s="1999" t="e">
        <f t="shared" si="440"/>
        <v>#REF!</v>
      </c>
      <c r="CG219" s="1993" t="e">
        <f>#REF!</f>
        <v>#REF!</v>
      </c>
      <c r="CH219" s="2003">
        <f t="shared" si="509"/>
        <v>0</v>
      </c>
      <c r="CI219" s="1989" t="e">
        <f>#REF!/10^7</f>
        <v>#REF!</v>
      </c>
      <c r="CJ219" s="2003">
        <f t="shared" si="510"/>
        <v>0</v>
      </c>
      <c r="CK219" s="1989" t="e">
        <f>#REF!/10^7</f>
        <v>#REF!</v>
      </c>
      <c r="CL219" s="2003">
        <f t="shared" si="511"/>
        <v>0</v>
      </c>
      <c r="CM219" s="1989" t="e">
        <f>#REF!/10^7</f>
        <v>#REF!</v>
      </c>
      <c r="CN219" s="1989" t="e">
        <f>#REF!/10^7</f>
        <v>#REF!</v>
      </c>
      <c r="CO219" s="2002" t="e">
        <f t="shared" si="512"/>
        <v>#REF!</v>
      </c>
      <c r="CP219" s="1999" t="e">
        <f t="shared" si="441"/>
        <v>#REF!</v>
      </c>
      <c r="CQ219" s="1993" t="e">
        <f>#REF!</f>
        <v>#REF!</v>
      </c>
      <c r="CR219" s="2003">
        <f t="shared" si="513"/>
        <v>0</v>
      </c>
      <c r="CS219" s="1989" t="e">
        <f>#REF!/10^7</f>
        <v>#REF!</v>
      </c>
      <c r="CT219" s="2003">
        <f t="shared" si="514"/>
        <v>0</v>
      </c>
      <c r="CU219" s="1989" t="e">
        <f>#REF!/10^7</f>
        <v>#REF!</v>
      </c>
      <c r="CV219" s="2003">
        <f t="shared" si="515"/>
        <v>0</v>
      </c>
      <c r="CW219" s="1989" t="e">
        <f>#REF!/10^7</f>
        <v>#REF!</v>
      </c>
      <c r="CX219" s="1989" t="e">
        <f>#REF!/10^7</f>
        <v>#REF!</v>
      </c>
      <c r="CY219" s="2002" t="e">
        <f t="shared" si="516"/>
        <v>#REF!</v>
      </c>
      <c r="CZ219" s="1999" t="e">
        <f t="shared" si="442"/>
        <v>#REF!</v>
      </c>
      <c r="DA219" s="1993" t="e">
        <f>#REF!</f>
        <v>#REF!</v>
      </c>
      <c r="DB219" s="2003">
        <f t="shared" si="517"/>
        <v>0</v>
      </c>
      <c r="DC219" s="1989" t="e">
        <f>#REF!/10^7</f>
        <v>#REF!</v>
      </c>
      <c r="DD219" s="2003">
        <f t="shared" si="518"/>
        <v>0</v>
      </c>
      <c r="DE219" s="1989" t="e">
        <f>#REF!/10^7</f>
        <v>#REF!</v>
      </c>
      <c r="DF219" s="2003">
        <f t="shared" si="519"/>
        <v>0</v>
      </c>
      <c r="DG219" s="1989" t="e">
        <f>#REF!/10^7</f>
        <v>#REF!</v>
      </c>
      <c r="DH219" s="1989" t="e">
        <f>#REF!/10^7</f>
        <v>#REF!</v>
      </c>
      <c r="DI219" s="2002" t="e">
        <f t="shared" si="520"/>
        <v>#REF!</v>
      </c>
      <c r="DJ219" s="1999" t="e">
        <f t="shared" si="471"/>
        <v>#REF!</v>
      </c>
      <c r="DK219" s="1993" t="e">
        <f>#REF!</f>
        <v>#REF!</v>
      </c>
      <c r="DL219" s="2003">
        <f t="shared" si="521"/>
        <v>0</v>
      </c>
      <c r="DM219" s="1989" t="e">
        <f>#REF!/10^7</f>
        <v>#REF!</v>
      </c>
      <c r="DN219" s="2003">
        <f t="shared" si="522"/>
        <v>0</v>
      </c>
      <c r="DO219" s="1989" t="e">
        <f>#REF!/10^7</f>
        <v>#REF!</v>
      </c>
      <c r="DP219" s="2003">
        <f t="shared" si="523"/>
        <v>0</v>
      </c>
      <c r="DQ219" s="1989" t="e">
        <f>#REF!/10^7</f>
        <v>#REF!</v>
      </c>
      <c r="DR219" s="1989" t="e">
        <f>#REF!/10^7</f>
        <v>#REF!</v>
      </c>
      <c r="DS219" s="2002" t="e">
        <f t="shared" si="524"/>
        <v>#REF!</v>
      </c>
      <c r="DT219" s="2004" t="e">
        <f t="shared" si="472"/>
        <v>#REF!</v>
      </c>
      <c r="DU219" s="1988" t="e">
        <f>#REF!</f>
        <v>#REF!</v>
      </c>
      <c r="DV219" s="2003">
        <f t="shared" si="525"/>
        <v>0</v>
      </c>
      <c r="DW219" s="1989" t="e">
        <f>#REF!/10^7</f>
        <v>#REF!</v>
      </c>
      <c r="DX219" s="2003">
        <f t="shared" si="526"/>
        <v>0</v>
      </c>
      <c r="DY219" s="1989" t="e">
        <f>#REF!/10^7</f>
        <v>#REF!</v>
      </c>
      <c r="DZ219" s="2003">
        <f t="shared" si="527"/>
        <v>0</v>
      </c>
      <c r="EA219" s="1989" t="e">
        <f>#REF!/10^7</f>
        <v>#REF!</v>
      </c>
      <c r="EB219" s="1989" t="e">
        <f>#REF!/10^7</f>
        <v>#REF!</v>
      </c>
      <c r="EC219" s="2002" t="e">
        <f t="shared" si="528"/>
        <v>#REF!</v>
      </c>
      <c r="ED219" s="1998" t="e">
        <f t="shared" si="473"/>
        <v>#REF!</v>
      </c>
      <c r="EE219" s="2005" t="e">
        <f t="shared" si="475"/>
        <v>#REF!</v>
      </c>
      <c r="EF219" s="2003">
        <f t="shared" si="529"/>
        <v>0</v>
      </c>
      <c r="EG219" s="1989" t="e">
        <f t="shared" si="476"/>
        <v>#REF!</v>
      </c>
      <c r="EH219" s="2003">
        <f t="shared" si="530"/>
        <v>0</v>
      </c>
      <c r="EI219" s="1989" t="e">
        <f t="shared" si="477"/>
        <v>#REF!</v>
      </c>
      <c r="EJ219" s="2003">
        <f t="shared" si="531"/>
        <v>0</v>
      </c>
      <c r="EK219" s="1989" t="e">
        <f t="shared" si="478"/>
        <v>#REF!</v>
      </c>
      <c r="EL219" s="1989" t="e">
        <f t="shared" si="478"/>
        <v>#REF!</v>
      </c>
      <c r="EM219" s="2006" t="e">
        <f t="shared" si="532"/>
        <v>#REF!</v>
      </c>
      <c r="EN219" s="1999" t="e">
        <f t="shared" si="479"/>
        <v>#REF!</v>
      </c>
      <c r="EO219" s="1613">
        <v>79.839267000000007</v>
      </c>
      <c r="EP219" s="1613" t="e">
        <f>EA219-#REF!/10^7</f>
        <v>#REF!</v>
      </c>
      <c r="ER219" s="1612" t="e">
        <f t="shared" si="480"/>
        <v>#REF!</v>
      </c>
      <c r="EW219" s="1611" t="e">
        <v>#N/A</v>
      </c>
      <c r="EX219" s="1612" t="e">
        <v>#N/A</v>
      </c>
      <c r="EZ219" s="1650">
        <f t="shared" si="533"/>
        <v>0</v>
      </c>
    </row>
    <row r="220" spans="1:156" ht="21" customHeight="1">
      <c r="A220" s="1652">
        <v>30</v>
      </c>
      <c r="B220" s="1701" t="s">
        <v>1888</v>
      </c>
      <c r="C220" s="1662">
        <v>40</v>
      </c>
      <c r="D220" s="1646">
        <f t="shared" si="474"/>
        <v>100</v>
      </c>
      <c r="E220" s="1646"/>
      <c r="F220" s="1648" t="s">
        <v>1594</v>
      </c>
      <c r="G220" s="1648"/>
      <c r="H220" s="1648">
        <v>40</v>
      </c>
      <c r="I220" s="1648" t="s">
        <v>1717</v>
      </c>
      <c r="J220" s="1649">
        <v>2</v>
      </c>
      <c r="K220" s="1648"/>
      <c r="L220" s="1648"/>
      <c r="M220" s="1648"/>
      <c r="N220" s="1642"/>
      <c r="O220" s="2000" t="e">
        <f>#REF!</f>
        <v>#REF!</v>
      </c>
      <c r="P220" s="2003">
        <f t="shared" si="481"/>
        <v>0</v>
      </c>
      <c r="Q220" s="1989" t="e">
        <f>#REF!/10^7</f>
        <v>#REF!</v>
      </c>
      <c r="R220" s="2003">
        <f t="shared" si="482"/>
        <v>0</v>
      </c>
      <c r="S220" s="1989" t="e">
        <f>#REF!/10^7</f>
        <v>#REF!</v>
      </c>
      <c r="T220" s="2003">
        <f t="shared" si="483"/>
        <v>0</v>
      </c>
      <c r="U220" s="1989" t="e">
        <f>#REF!/10^7</f>
        <v>#REF!</v>
      </c>
      <c r="V220" s="1989" t="e">
        <f>#REF!/10^7</f>
        <v>#REF!</v>
      </c>
      <c r="W220" s="1989">
        <f t="shared" si="484"/>
        <v>0</v>
      </c>
      <c r="X220" s="1999" t="e">
        <f t="shared" si="467"/>
        <v>#REF!</v>
      </c>
      <c r="Y220" s="1993" t="e">
        <f>#REF!</f>
        <v>#REF!</v>
      </c>
      <c r="Z220" s="2003">
        <f t="shared" si="485"/>
        <v>0</v>
      </c>
      <c r="AA220" s="1989" t="e">
        <f>#REF!/10^7</f>
        <v>#REF!</v>
      </c>
      <c r="AB220" s="2003">
        <f t="shared" si="486"/>
        <v>0</v>
      </c>
      <c r="AC220" s="1989" t="e">
        <f>#REF!/10^7</f>
        <v>#REF!</v>
      </c>
      <c r="AD220" s="2003">
        <f t="shared" si="487"/>
        <v>0</v>
      </c>
      <c r="AE220" s="1989" t="e">
        <f>#REF!/10^7</f>
        <v>#REF!</v>
      </c>
      <c r="AF220" s="1989" t="e">
        <f>#REF!/10^7</f>
        <v>#REF!</v>
      </c>
      <c r="AG220" s="2002" t="e">
        <f t="shared" si="488"/>
        <v>#REF!</v>
      </c>
      <c r="AH220" s="1999" t="e">
        <f t="shared" si="468"/>
        <v>#REF!</v>
      </c>
      <c r="AI220" s="1993" t="e">
        <f>#REF!</f>
        <v>#REF!</v>
      </c>
      <c r="AJ220" s="2003">
        <f t="shared" si="489"/>
        <v>0</v>
      </c>
      <c r="AK220" s="1989" t="e">
        <f>#REF!/10^7</f>
        <v>#REF!</v>
      </c>
      <c r="AL220" s="2003">
        <f t="shared" si="490"/>
        <v>0</v>
      </c>
      <c r="AM220" s="1989" t="e">
        <f>#REF!/10^7</f>
        <v>#REF!</v>
      </c>
      <c r="AN220" s="2003">
        <f t="shared" si="491"/>
        <v>0</v>
      </c>
      <c r="AO220" s="1989" t="e">
        <f>#REF!/10^7</f>
        <v>#REF!</v>
      </c>
      <c r="AP220" s="1989" t="e">
        <f>#REF!/10^7</f>
        <v>#REF!</v>
      </c>
      <c r="AQ220" s="2002" t="e">
        <f t="shared" si="492"/>
        <v>#REF!</v>
      </c>
      <c r="AR220" s="1999" t="e">
        <f t="shared" si="469"/>
        <v>#REF!</v>
      </c>
      <c r="AS220" s="1993" t="e">
        <f>#REF!</f>
        <v>#REF!</v>
      </c>
      <c r="AT220" s="2003">
        <f t="shared" si="493"/>
        <v>0</v>
      </c>
      <c r="AU220" s="1989" t="e">
        <f>#REF!/10^7</f>
        <v>#REF!</v>
      </c>
      <c r="AV220" s="2003">
        <f t="shared" si="494"/>
        <v>0</v>
      </c>
      <c r="AW220" s="1989" t="e">
        <f>#REF!/10^7</f>
        <v>#REF!</v>
      </c>
      <c r="AX220" s="2003">
        <f t="shared" si="495"/>
        <v>0</v>
      </c>
      <c r="AY220" s="1989" t="e">
        <f>#REF!/10^7</f>
        <v>#REF!</v>
      </c>
      <c r="AZ220" s="1989" t="e">
        <f>#REF!/10^7</f>
        <v>#REF!</v>
      </c>
      <c r="BA220" s="2002" t="e">
        <f t="shared" si="496"/>
        <v>#REF!</v>
      </c>
      <c r="BB220" s="1999" t="e">
        <f t="shared" si="470"/>
        <v>#REF!</v>
      </c>
      <c r="BC220" s="1993" t="e">
        <f>#REF!</f>
        <v>#REF!</v>
      </c>
      <c r="BD220" s="2003">
        <f t="shared" si="497"/>
        <v>0</v>
      </c>
      <c r="BE220" s="1989" t="e">
        <f>#REF!/10^7</f>
        <v>#REF!</v>
      </c>
      <c r="BF220" s="2003">
        <f t="shared" si="498"/>
        <v>0</v>
      </c>
      <c r="BG220" s="1989" t="e">
        <f>#REF!/10^7</f>
        <v>#REF!</v>
      </c>
      <c r="BH220" s="2003">
        <f t="shared" si="499"/>
        <v>0</v>
      </c>
      <c r="BI220" s="1989" t="e">
        <f>#REF!/10^7</f>
        <v>#REF!</v>
      </c>
      <c r="BJ220" s="1989" t="e">
        <f>#REF!/10^7</f>
        <v>#REF!</v>
      </c>
      <c r="BK220" s="2002" t="e">
        <f t="shared" si="500"/>
        <v>#REF!</v>
      </c>
      <c r="BL220" s="1999" t="e">
        <f t="shared" si="438"/>
        <v>#REF!</v>
      </c>
      <c r="BM220" s="1993" t="e">
        <f>#REF!</f>
        <v>#REF!</v>
      </c>
      <c r="BN220" s="2003">
        <f t="shared" si="501"/>
        <v>0</v>
      </c>
      <c r="BO220" s="1989" t="e">
        <f>#REF!/10^7</f>
        <v>#REF!</v>
      </c>
      <c r="BP220" s="2003">
        <f t="shared" si="502"/>
        <v>0</v>
      </c>
      <c r="BQ220" s="1989" t="e">
        <f>#REF!/10^7</f>
        <v>#REF!</v>
      </c>
      <c r="BR220" s="2003">
        <f t="shared" si="503"/>
        <v>0</v>
      </c>
      <c r="BS220" s="1989" t="e">
        <f>#REF!/10^7</f>
        <v>#REF!</v>
      </c>
      <c r="BT220" s="1989" t="e">
        <f>#REF!/10^7</f>
        <v>#REF!</v>
      </c>
      <c r="BU220" s="2002" t="e">
        <f t="shared" si="504"/>
        <v>#REF!</v>
      </c>
      <c r="BV220" s="1999" t="e">
        <f t="shared" si="439"/>
        <v>#REF!</v>
      </c>
      <c r="BW220" s="1993" t="e">
        <f>#REF!</f>
        <v>#REF!</v>
      </c>
      <c r="BX220" s="2003">
        <f t="shared" si="505"/>
        <v>0</v>
      </c>
      <c r="BY220" s="1989" t="e">
        <f>#REF!/10^7</f>
        <v>#REF!</v>
      </c>
      <c r="BZ220" s="2003">
        <f t="shared" si="506"/>
        <v>0</v>
      </c>
      <c r="CA220" s="1989" t="e">
        <f>#REF!/10^7</f>
        <v>#REF!</v>
      </c>
      <c r="CB220" s="2003">
        <f t="shared" si="507"/>
        <v>0</v>
      </c>
      <c r="CC220" s="1989" t="e">
        <f>#REF!/10^7</f>
        <v>#REF!</v>
      </c>
      <c r="CD220" s="1989" t="e">
        <f>#REF!/10^7</f>
        <v>#REF!</v>
      </c>
      <c r="CE220" s="2002" t="e">
        <f t="shared" si="508"/>
        <v>#REF!</v>
      </c>
      <c r="CF220" s="1999" t="e">
        <f t="shared" si="440"/>
        <v>#REF!</v>
      </c>
      <c r="CG220" s="1993" t="e">
        <f>#REF!</f>
        <v>#REF!</v>
      </c>
      <c r="CH220" s="2003">
        <f t="shared" si="509"/>
        <v>0</v>
      </c>
      <c r="CI220" s="1989" t="e">
        <f>#REF!/10^7</f>
        <v>#REF!</v>
      </c>
      <c r="CJ220" s="2003">
        <f t="shared" si="510"/>
        <v>0</v>
      </c>
      <c r="CK220" s="1989" t="e">
        <f>#REF!/10^7</f>
        <v>#REF!</v>
      </c>
      <c r="CL220" s="2003">
        <f t="shared" si="511"/>
        <v>0</v>
      </c>
      <c r="CM220" s="1989" t="e">
        <f>#REF!/10^7</f>
        <v>#REF!</v>
      </c>
      <c r="CN220" s="1989" t="e">
        <f>#REF!/10^7</f>
        <v>#REF!</v>
      </c>
      <c r="CO220" s="2002" t="e">
        <f t="shared" si="512"/>
        <v>#REF!</v>
      </c>
      <c r="CP220" s="1999" t="e">
        <f t="shared" si="441"/>
        <v>#REF!</v>
      </c>
      <c r="CQ220" s="1993" t="e">
        <f>#REF!</f>
        <v>#REF!</v>
      </c>
      <c r="CR220" s="2003">
        <f t="shared" si="513"/>
        <v>0</v>
      </c>
      <c r="CS220" s="1989" t="e">
        <f>#REF!/10^7</f>
        <v>#REF!</v>
      </c>
      <c r="CT220" s="2003">
        <f t="shared" si="514"/>
        <v>0</v>
      </c>
      <c r="CU220" s="1989" t="e">
        <f>#REF!/10^7</f>
        <v>#REF!</v>
      </c>
      <c r="CV220" s="2003">
        <f t="shared" si="515"/>
        <v>0</v>
      </c>
      <c r="CW220" s="1989" t="e">
        <f>#REF!/10^7</f>
        <v>#REF!</v>
      </c>
      <c r="CX220" s="1989" t="e">
        <f>#REF!/10^7</f>
        <v>#REF!</v>
      </c>
      <c r="CY220" s="2002" t="e">
        <f t="shared" si="516"/>
        <v>#REF!</v>
      </c>
      <c r="CZ220" s="1999" t="e">
        <f t="shared" si="442"/>
        <v>#REF!</v>
      </c>
      <c r="DA220" s="1993" t="e">
        <f>#REF!</f>
        <v>#REF!</v>
      </c>
      <c r="DB220" s="2003">
        <f t="shared" si="517"/>
        <v>0</v>
      </c>
      <c r="DC220" s="1989" t="e">
        <f>#REF!/10^7</f>
        <v>#REF!</v>
      </c>
      <c r="DD220" s="2003">
        <f t="shared" si="518"/>
        <v>0</v>
      </c>
      <c r="DE220" s="1989" t="e">
        <f>#REF!/10^7</f>
        <v>#REF!</v>
      </c>
      <c r="DF220" s="2003">
        <f t="shared" si="519"/>
        <v>0</v>
      </c>
      <c r="DG220" s="1989" t="e">
        <f>#REF!/10^7</f>
        <v>#REF!</v>
      </c>
      <c r="DH220" s="1989" t="e">
        <f>#REF!/10^7</f>
        <v>#REF!</v>
      </c>
      <c r="DI220" s="2002" t="e">
        <f t="shared" si="520"/>
        <v>#REF!</v>
      </c>
      <c r="DJ220" s="1999" t="e">
        <f t="shared" si="471"/>
        <v>#REF!</v>
      </c>
      <c r="DK220" s="1993" t="e">
        <f>#REF!</f>
        <v>#REF!</v>
      </c>
      <c r="DL220" s="2003">
        <f t="shared" si="521"/>
        <v>0</v>
      </c>
      <c r="DM220" s="1989" t="e">
        <f>#REF!/10^7</f>
        <v>#REF!</v>
      </c>
      <c r="DN220" s="2003">
        <f t="shared" si="522"/>
        <v>0</v>
      </c>
      <c r="DO220" s="1989" t="e">
        <f>#REF!/10^7</f>
        <v>#REF!</v>
      </c>
      <c r="DP220" s="2003">
        <f t="shared" si="523"/>
        <v>0</v>
      </c>
      <c r="DQ220" s="1989" t="e">
        <f>#REF!/10^7</f>
        <v>#REF!</v>
      </c>
      <c r="DR220" s="1989" t="e">
        <f>#REF!/10^7</f>
        <v>#REF!</v>
      </c>
      <c r="DS220" s="2002" t="e">
        <f t="shared" si="524"/>
        <v>#REF!</v>
      </c>
      <c r="DT220" s="2004" t="e">
        <f t="shared" si="472"/>
        <v>#REF!</v>
      </c>
      <c r="DU220" s="1988" t="e">
        <f>#REF!</f>
        <v>#REF!</v>
      </c>
      <c r="DV220" s="2003">
        <f t="shared" si="525"/>
        <v>0</v>
      </c>
      <c r="DW220" s="1989" t="e">
        <f>#REF!/10^7</f>
        <v>#REF!</v>
      </c>
      <c r="DX220" s="2003">
        <f t="shared" si="526"/>
        <v>0</v>
      </c>
      <c r="DY220" s="1989" t="e">
        <f>#REF!/10^7</f>
        <v>#REF!</v>
      </c>
      <c r="DZ220" s="2003">
        <f t="shared" si="527"/>
        <v>0</v>
      </c>
      <c r="EA220" s="1989" t="e">
        <f>#REF!/10^7</f>
        <v>#REF!</v>
      </c>
      <c r="EB220" s="1989" t="e">
        <f>#REF!/10^7</f>
        <v>#REF!</v>
      </c>
      <c r="EC220" s="2002" t="e">
        <f t="shared" si="528"/>
        <v>#REF!</v>
      </c>
      <c r="ED220" s="1998" t="e">
        <f t="shared" si="473"/>
        <v>#REF!</v>
      </c>
      <c r="EE220" s="2005" t="e">
        <f t="shared" si="475"/>
        <v>#REF!</v>
      </c>
      <c r="EF220" s="2003">
        <f t="shared" si="529"/>
        <v>0</v>
      </c>
      <c r="EG220" s="1989" t="e">
        <f t="shared" si="476"/>
        <v>#REF!</v>
      </c>
      <c r="EH220" s="2003">
        <f t="shared" si="530"/>
        <v>0</v>
      </c>
      <c r="EI220" s="1989" t="e">
        <f t="shared" si="477"/>
        <v>#REF!</v>
      </c>
      <c r="EJ220" s="2003">
        <f t="shared" si="531"/>
        <v>0</v>
      </c>
      <c r="EK220" s="1989" t="e">
        <f t="shared" si="478"/>
        <v>#REF!</v>
      </c>
      <c r="EL220" s="1989" t="e">
        <f t="shared" si="478"/>
        <v>#REF!</v>
      </c>
      <c r="EM220" s="2006" t="e">
        <f t="shared" si="532"/>
        <v>#REF!</v>
      </c>
      <c r="EN220" s="1999" t="e">
        <f t="shared" si="479"/>
        <v>#REF!</v>
      </c>
      <c r="EO220" s="1613">
        <v>61.165601000000002</v>
      </c>
      <c r="EP220" s="1613" t="e">
        <f>EA220-#REF!/10^7</f>
        <v>#REF!</v>
      </c>
      <c r="ER220" s="1612" t="e">
        <f t="shared" si="480"/>
        <v>#REF!</v>
      </c>
      <c r="EW220" s="1611" t="e">
        <v>#N/A</v>
      </c>
      <c r="EX220" s="1612" t="e">
        <v>#N/A</v>
      </c>
      <c r="EZ220" s="1650">
        <f t="shared" si="533"/>
        <v>0</v>
      </c>
    </row>
    <row r="221" spans="1:156" ht="21" customHeight="1">
      <c r="A221" s="1652">
        <v>31</v>
      </c>
      <c r="B221" s="1701" t="s">
        <v>1889</v>
      </c>
      <c r="C221" s="1662">
        <v>40</v>
      </c>
      <c r="D221" s="1646">
        <f t="shared" si="474"/>
        <v>100</v>
      </c>
      <c r="E221" s="1646"/>
      <c r="F221" s="1648" t="s">
        <v>1594</v>
      </c>
      <c r="G221" s="1648"/>
      <c r="H221" s="1648">
        <v>40</v>
      </c>
      <c r="I221" s="1648" t="s">
        <v>1717</v>
      </c>
      <c r="J221" s="1649">
        <v>2</v>
      </c>
      <c r="K221" s="1648"/>
      <c r="L221" s="1648"/>
      <c r="M221" s="1648"/>
      <c r="N221" s="1642"/>
      <c r="O221" s="2000" t="e">
        <f>#REF!</f>
        <v>#REF!</v>
      </c>
      <c r="P221" s="2003">
        <f t="shared" si="481"/>
        <v>0</v>
      </c>
      <c r="Q221" s="1989" t="e">
        <f>#REF!/10^7</f>
        <v>#REF!</v>
      </c>
      <c r="R221" s="2003">
        <f t="shared" si="482"/>
        <v>0</v>
      </c>
      <c r="S221" s="1989" t="e">
        <f>#REF!/10^7</f>
        <v>#REF!</v>
      </c>
      <c r="T221" s="2003">
        <f t="shared" si="483"/>
        <v>0</v>
      </c>
      <c r="U221" s="1989" t="e">
        <f>#REF!/10^7</f>
        <v>#REF!</v>
      </c>
      <c r="V221" s="1989" t="e">
        <f>#REF!/10^7</f>
        <v>#REF!</v>
      </c>
      <c r="W221" s="1989">
        <f t="shared" si="484"/>
        <v>0</v>
      </c>
      <c r="X221" s="1999" t="e">
        <f t="shared" si="467"/>
        <v>#REF!</v>
      </c>
      <c r="Y221" s="1993" t="e">
        <f>#REF!</f>
        <v>#REF!</v>
      </c>
      <c r="Z221" s="2003">
        <f t="shared" si="485"/>
        <v>0</v>
      </c>
      <c r="AA221" s="1989" t="e">
        <f>#REF!/10^7</f>
        <v>#REF!</v>
      </c>
      <c r="AB221" s="2003">
        <f t="shared" si="486"/>
        <v>0</v>
      </c>
      <c r="AC221" s="1989" t="e">
        <f>#REF!/10^7</f>
        <v>#REF!</v>
      </c>
      <c r="AD221" s="2003">
        <f t="shared" si="487"/>
        <v>0</v>
      </c>
      <c r="AE221" s="1989" t="e">
        <f>#REF!/10^7</f>
        <v>#REF!</v>
      </c>
      <c r="AF221" s="1989" t="e">
        <f>#REF!/10^7</f>
        <v>#REF!</v>
      </c>
      <c r="AG221" s="2002" t="e">
        <f t="shared" si="488"/>
        <v>#REF!</v>
      </c>
      <c r="AH221" s="1999" t="e">
        <f t="shared" si="468"/>
        <v>#REF!</v>
      </c>
      <c r="AI221" s="1993" t="e">
        <f>#REF!</f>
        <v>#REF!</v>
      </c>
      <c r="AJ221" s="2003">
        <f t="shared" si="489"/>
        <v>0</v>
      </c>
      <c r="AK221" s="1989" t="e">
        <f>#REF!/10^7</f>
        <v>#REF!</v>
      </c>
      <c r="AL221" s="2003">
        <f t="shared" si="490"/>
        <v>0</v>
      </c>
      <c r="AM221" s="1989" t="e">
        <f>#REF!/10^7</f>
        <v>#REF!</v>
      </c>
      <c r="AN221" s="2003">
        <f t="shared" si="491"/>
        <v>0</v>
      </c>
      <c r="AO221" s="1989" t="e">
        <f>#REF!/10^7</f>
        <v>#REF!</v>
      </c>
      <c r="AP221" s="1989" t="e">
        <f>#REF!/10^7</f>
        <v>#REF!</v>
      </c>
      <c r="AQ221" s="2002" t="e">
        <f t="shared" si="492"/>
        <v>#REF!</v>
      </c>
      <c r="AR221" s="1999" t="e">
        <f t="shared" si="469"/>
        <v>#REF!</v>
      </c>
      <c r="AS221" s="1993" t="e">
        <f>#REF!</f>
        <v>#REF!</v>
      </c>
      <c r="AT221" s="2003">
        <f t="shared" si="493"/>
        <v>0</v>
      </c>
      <c r="AU221" s="1989" t="e">
        <f>#REF!/10^7</f>
        <v>#REF!</v>
      </c>
      <c r="AV221" s="2003">
        <f t="shared" si="494"/>
        <v>0</v>
      </c>
      <c r="AW221" s="1989" t="e">
        <f>#REF!/10^7</f>
        <v>#REF!</v>
      </c>
      <c r="AX221" s="2003">
        <f t="shared" si="495"/>
        <v>0</v>
      </c>
      <c r="AY221" s="1989" t="e">
        <f>#REF!/10^7</f>
        <v>#REF!</v>
      </c>
      <c r="AZ221" s="1989" t="e">
        <f>#REF!/10^7</f>
        <v>#REF!</v>
      </c>
      <c r="BA221" s="2002" t="e">
        <f t="shared" si="496"/>
        <v>#REF!</v>
      </c>
      <c r="BB221" s="1999" t="e">
        <f t="shared" si="470"/>
        <v>#REF!</v>
      </c>
      <c r="BC221" s="1993" t="e">
        <f>#REF!</f>
        <v>#REF!</v>
      </c>
      <c r="BD221" s="2003">
        <f t="shared" si="497"/>
        <v>0</v>
      </c>
      <c r="BE221" s="1989" t="e">
        <f>#REF!/10^7</f>
        <v>#REF!</v>
      </c>
      <c r="BF221" s="2003">
        <f t="shared" si="498"/>
        <v>0</v>
      </c>
      <c r="BG221" s="1989" t="e">
        <f>#REF!/10^7</f>
        <v>#REF!</v>
      </c>
      <c r="BH221" s="2003">
        <f t="shared" si="499"/>
        <v>0</v>
      </c>
      <c r="BI221" s="1989" t="e">
        <f>#REF!/10^7</f>
        <v>#REF!</v>
      </c>
      <c r="BJ221" s="1989" t="e">
        <f>#REF!/10^7</f>
        <v>#REF!</v>
      </c>
      <c r="BK221" s="2002" t="e">
        <f t="shared" si="500"/>
        <v>#REF!</v>
      </c>
      <c r="BL221" s="1999" t="e">
        <f t="shared" si="438"/>
        <v>#REF!</v>
      </c>
      <c r="BM221" s="1993" t="e">
        <f>#REF!</f>
        <v>#REF!</v>
      </c>
      <c r="BN221" s="2003">
        <f t="shared" si="501"/>
        <v>0</v>
      </c>
      <c r="BO221" s="1989" t="e">
        <f>#REF!/10^7</f>
        <v>#REF!</v>
      </c>
      <c r="BP221" s="2003">
        <f t="shared" si="502"/>
        <v>0</v>
      </c>
      <c r="BQ221" s="1989" t="e">
        <f>#REF!/10^7</f>
        <v>#REF!</v>
      </c>
      <c r="BR221" s="2003">
        <f t="shared" si="503"/>
        <v>0</v>
      </c>
      <c r="BS221" s="1989" t="e">
        <f>#REF!/10^7</f>
        <v>#REF!</v>
      </c>
      <c r="BT221" s="1989" t="e">
        <f>#REF!/10^7</f>
        <v>#REF!</v>
      </c>
      <c r="BU221" s="2002" t="e">
        <f t="shared" si="504"/>
        <v>#REF!</v>
      </c>
      <c r="BV221" s="1999" t="e">
        <f t="shared" si="439"/>
        <v>#REF!</v>
      </c>
      <c r="BW221" s="1993" t="e">
        <f>#REF!</f>
        <v>#REF!</v>
      </c>
      <c r="BX221" s="2003">
        <f t="shared" si="505"/>
        <v>0</v>
      </c>
      <c r="BY221" s="1989" t="e">
        <f>#REF!/10^7</f>
        <v>#REF!</v>
      </c>
      <c r="BZ221" s="2003">
        <f t="shared" si="506"/>
        <v>0</v>
      </c>
      <c r="CA221" s="1989" t="e">
        <f>#REF!/10^7</f>
        <v>#REF!</v>
      </c>
      <c r="CB221" s="2003">
        <f t="shared" si="507"/>
        <v>0</v>
      </c>
      <c r="CC221" s="1989" t="e">
        <f>#REF!/10^7</f>
        <v>#REF!</v>
      </c>
      <c r="CD221" s="1989" t="e">
        <f>#REF!/10^7</f>
        <v>#REF!</v>
      </c>
      <c r="CE221" s="2002" t="e">
        <f t="shared" si="508"/>
        <v>#REF!</v>
      </c>
      <c r="CF221" s="1999" t="e">
        <f t="shared" si="440"/>
        <v>#REF!</v>
      </c>
      <c r="CG221" s="1993" t="e">
        <f>#REF!</f>
        <v>#REF!</v>
      </c>
      <c r="CH221" s="2003">
        <f t="shared" si="509"/>
        <v>0</v>
      </c>
      <c r="CI221" s="1989" t="e">
        <f>#REF!/10^7</f>
        <v>#REF!</v>
      </c>
      <c r="CJ221" s="2003">
        <f t="shared" si="510"/>
        <v>0</v>
      </c>
      <c r="CK221" s="1989" t="e">
        <f>#REF!/10^7</f>
        <v>#REF!</v>
      </c>
      <c r="CL221" s="2003">
        <f t="shared" si="511"/>
        <v>0</v>
      </c>
      <c r="CM221" s="1989" t="e">
        <f>#REF!/10^7</f>
        <v>#REF!</v>
      </c>
      <c r="CN221" s="1989" t="e">
        <f>#REF!/10^7</f>
        <v>#REF!</v>
      </c>
      <c r="CO221" s="2002" t="e">
        <f t="shared" si="512"/>
        <v>#REF!</v>
      </c>
      <c r="CP221" s="1999" t="e">
        <f t="shared" si="441"/>
        <v>#REF!</v>
      </c>
      <c r="CQ221" s="1993" t="e">
        <f>#REF!</f>
        <v>#REF!</v>
      </c>
      <c r="CR221" s="2003">
        <f t="shared" si="513"/>
        <v>0</v>
      </c>
      <c r="CS221" s="1989" t="e">
        <f>#REF!/10^7</f>
        <v>#REF!</v>
      </c>
      <c r="CT221" s="2003">
        <f t="shared" si="514"/>
        <v>0</v>
      </c>
      <c r="CU221" s="1989" t="e">
        <f>#REF!/10^7</f>
        <v>#REF!</v>
      </c>
      <c r="CV221" s="2003">
        <f t="shared" si="515"/>
        <v>0</v>
      </c>
      <c r="CW221" s="1989" t="e">
        <f>#REF!/10^7</f>
        <v>#REF!</v>
      </c>
      <c r="CX221" s="1989" t="e">
        <f>#REF!/10^7</f>
        <v>#REF!</v>
      </c>
      <c r="CY221" s="2002" t="e">
        <f t="shared" si="516"/>
        <v>#REF!</v>
      </c>
      <c r="CZ221" s="1999" t="e">
        <f t="shared" si="442"/>
        <v>#REF!</v>
      </c>
      <c r="DA221" s="1993" t="e">
        <f>#REF!</f>
        <v>#REF!</v>
      </c>
      <c r="DB221" s="2003">
        <f t="shared" si="517"/>
        <v>0</v>
      </c>
      <c r="DC221" s="1989" t="e">
        <f>#REF!/10^7</f>
        <v>#REF!</v>
      </c>
      <c r="DD221" s="2003">
        <f t="shared" si="518"/>
        <v>0</v>
      </c>
      <c r="DE221" s="1989" t="e">
        <f>#REF!/10^7</f>
        <v>#REF!</v>
      </c>
      <c r="DF221" s="2003">
        <f t="shared" si="519"/>
        <v>0</v>
      </c>
      <c r="DG221" s="1989" t="e">
        <f>#REF!/10^7</f>
        <v>#REF!</v>
      </c>
      <c r="DH221" s="1989" t="e">
        <f>#REF!/10^7</f>
        <v>#REF!</v>
      </c>
      <c r="DI221" s="2002" t="e">
        <f t="shared" si="520"/>
        <v>#REF!</v>
      </c>
      <c r="DJ221" s="1999" t="e">
        <f t="shared" si="471"/>
        <v>#REF!</v>
      </c>
      <c r="DK221" s="1993" t="e">
        <f>#REF!</f>
        <v>#REF!</v>
      </c>
      <c r="DL221" s="2003">
        <f t="shared" si="521"/>
        <v>0</v>
      </c>
      <c r="DM221" s="1989" t="e">
        <f>#REF!/10^7</f>
        <v>#REF!</v>
      </c>
      <c r="DN221" s="2003">
        <f t="shared" si="522"/>
        <v>0</v>
      </c>
      <c r="DO221" s="1989" t="e">
        <f>#REF!/10^7</f>
        <v>#REF!</v>
      </c>
      <c r="DP221" s="2003">
        <f t="shared" si="523"/>
        <v>0</v>
      </c>
      <c r="DQ221" s="1989" t="e">
        <f>#REF!/10^7</f>
        <v>#REF!</v>
      </c>
      <c r="DR221" s="1989" t="e">
        <f>#REF!/10^7</f>
        <v>#REF!</v>
      </c>
      <c r="DS221" s="2002" t="e">
        <f t="shared" si="524"/>
        <v>#REF!</v>
      </c>
      <c r="DT221" s="2004" t="e">
        <f t="shared" si="472"/>
        <v>#REF!</v>
      </c>
      <c r="DU221" s="1988" t="e">
        <f>#REF!</f>
        <v>#REF!</v>
      </c>
      <c r="DV221" s="2003">
        <f t="shared" si="525"/>
        <v>0</v>
      </c>
      <c r="DW221" s="1989" t="e">
        <f>#REF!/10^7</f>
        <v>#REF!</v>
      </c>
      <c r="DX221" s="2003">
        <f t="shared" si="526"/>
        <v>0</v>
      </c>
      <c r="DY221" s="1989" t="e">
        <f>#REF!/10^7</f>
        <v>#REF!</v>
      </c>
      <c r="DZ221" s="2003">
        <f t="shared" si="527"/>
        <v>0</v>
      </c>
      <c r="EA221" s="1989" t="e">
        <f>#REF!/10^7</f>
        <v>#REF!</v>
      </c>
      <c r="EB221" s="1989" t="e">
        <f>#REF!/10^7</f>
        <v>#REF!</v>
      </c>
      <c r="EC221" s="2002" t="e">
        <f t="shared" si="528"/>
        <v>#REF!</v>
      </c>
      <c r="ED221" s="1998" t="e">
        <f t="shared" si="473"/>
        <v>#REF!</v>
      </c>
      <c r="EE221" s="2005" t="e">
        <f t="shared" si="475"/>
        <v>#REF!</v>
      </c>
      <c r="EF221" s="2003">
        <f t="shared" si="529"/>
        <v>0</v>
      </c>
      <c r="EG221" s="1989" t="e">
        <f t="shared" si="476"/>
        <v>#REF!</v>
      </c>
      <c r="EH221" s="2003">
        <f t="shared" si="530"/>
        <v>0</v>
      </c>
      <c r="EI221" s="1989" t="e">
        <f t="shared" si="477"/>
        <v>#REF!</v>
      </c>
      <c r="EJ221" s="2003">
        <f t="shared" si="531"/>
        <v>0</v>
      </c>
      <c r="EK221" s="1989" t="e">
        <f t="shared" si="478"/>
        <v>#REF!</v>
      </c>
      <c r="EL221" s="1989" t="e">
        <f t="shared" si="478"/>
        <v>#REF!</v>
      </c>
      <c r="EM221" s="2006" t="e">
        <f t="shared" si="532"/>
        <v>#REF!</v>
      </c>
      <c r="EN221" s="1999" t="e">
        <f t="shared" si="479"/>
        <v>#REF!</v>
      </c>
      <c r="EO221" s="1613">
        <v>70.931881000000004</v>
      </c>
      <c r="EP221" s="1613" t="e">
        <f>EA221-#REF!/10^7</f>
        <v>#REF!</v>
      </c>
      <c r="ER221" s="1612" t="e">
        <f t="shared" si="480"/>
        <v>#REF!</v>
      </c>
      <c r="EW221" s="1611" t="e">
        <v>#N/A</v>
      </c>
      <c r="EX221" s="1612" t="e">
        <v>#N/A</v>
      </c>
      <c r="EZ221" s="1650">
        <f t="shared" si="533"/>
        <v>0</v>
      </c>
    </row>
    <row r="222" spans="1:156" ht="21" customHeight="1">
      <c r="A222" s="1652">
        <v>32</v>
      </c>
      <c r="B222" s="1701" t="s">
        <v>1890</v>
      </c>
      <c r="C222" s="1662">
        <v>24</v>
      </c>
      <c r="D222" s="1646">
        <f t="shared" si="474"/>
        <v>100</v>
      </c>
      <c r="E222" s="1646"/>
      <c r="F222" s="1648" t="s">
        <v>1594</v>
      </c>
      <c r="G222" s="1648"/>
      <c r="H222" s="1648">
        <v>24</v>
      </c>
      <c r="I222" s="1648" t="s">
        <v>1717</v>
      </c>
      <c r="J222" s="1649">
        <v>2</v>
      </c>
      <c r="K222" s="1648"/>
      <c r="L222" s="1648"/>
      <c r="M222" s="1648"/>
      <c r="N222" s="1642"/>
      <c r="O222" s="2000" t="e">
        <f>#REF!</f>
        <v>#REF!</v>
      </c>
      <c r="P222" s="2003">
        <f t="shared" si="481"/>
        <v>0</v>
      </c>
      <c r="Q222" s="1989" t="e">
        <f>#REF!/10^7</f>
        <v>#REF!</v>
      </c>
      <c r="R222" s="2003">
        <f t="shared" si="482"/>
        <v>0</v>
      </c>
      <c r="S222" s="1989" t="e">
        <f>#REF!/10^7</f>
        <v>#REF!</v>
      </c>
      <c r="T222" s="2003">
        <f t="shared" si="483"/>
        <v>0</v>
      </c>
      <c r="U222" s="1989" t="e">
        <f>#REF!/10^7</f>
        <v>#REF!</v>
      </c>
      <c r="V222" s="1989" t="e">
        <f>#REF!/10^7</f>
        <v>#REF!</v>
      </c>
      <c r="W222" s="1989">
        <f t="shared" si="484"/>
        <v>0</v>
      </c>
      <c r="X222" s="1999" t="e">
        <f t="shared" si="467"/>
        <v>#REF!</v>
      </c>
      <c r="Y222" s="1993" t="e">
        <f>#REF!</f>
        <v>#REF!</v>
      </c>
      <c r="Z222" s="2003">
        <f t="shared" si="485"/>
        <v>0</v>
      </c>
      <c r="AA222" s="1989" t="e">
        <f>#REF!/10^7</f>
        <v>#REF!</v>
      </c>
      <c r="AB222" s="2003">
        <f t="shared" si="486"/>
        <v>0</v>
      </c>
      <c r="AC222" s="1989" t="e">
        <f>#REF!/10^7</f>
        <v>#REF!</v>
      </c>
      <c r="AD222" s="2003">
        <f t="shared" si="487"/>
        <v>0</v>
      </c>
      <c r="AE222" s="1989" t="e">
        <f>#REF!/10^7</f>
        <v>#REF!</v>
      </c>
      <c r="AF222" s="1989" t="e">
        <f>#REF!/10^7</f>
        <v>#REF!</v>
      </c>
      <c r="AG222" s="2002" t="e">
        <f t="shared" si="488"/>
        <v>#REF!</v>
      </c>
      <c r="AH222" s="1999" t="e">
        <f t="shared" si="468"/>
        <v>#REF!</v>
      </c>
      <c r="AI222" s="1993" t="e">
        <f>#REF!</f>
        <v>#REF!</v>
      </c>
      <c r="AJ222" s="2003">
        <f t="shared" si="489"/>
        <v>0</v>
      </c>
      <c r="AK222" s="1989" t="e">
        <f>#REF!/10^7</f>
        <v>#REF!</v>
      </c>
      <c r="AL222" s="2003">
        <f t="shared" si="490"/>
        <v>0</v>
      </c>
      <c r="AM222" s="1989" t="e">
        <f>#REF!/10^7</f>
        <v>#REF!</v>
      </c>
      <c r="AN222" s="2003">
        <f t="shared" si="491"/>
        <v>0</v>
      </c>
      <c r="AO222" s="1989" t="e">
        <f>#REF!/10^7</f>
        <v>#REF!</v>
      </c>
      <c r="AP222" s="1989" t="e">
        <f>#REF!/10^7</f>
        <v>#REF!</v>
      </c>
      <c r="AQ222" s="2002" t="e">
        <f t="shared" si="492"/>
        <v>#REF!</v>
      </c>
      <c r="AR222" s="1999" t="e">
        <f t="shared" si="469"/>
        <v>#REF!</v>
      </c>
      <c r="AS222" s="1993" t="e">
        <f>#REF!</f>
        <v>#REF!</v>
      </c>
      <c r="AT222" s="2003">
        <f t="shared" si="493"/>
        <v>0</v>
      </c>
      <c r="AU222" s="1989" t="e">
        <f>#REF!/10^7</f>
        <v>#REF!</v>
      </c>
      <c r="AV222" s="2003">
        <f t="shared" si="494"/>
        <v>0</v>
      </c>
      <c r="AW222" s="1989" t="e">
        <f>#REF!/10^7</f>
        <v>#REF!</v>
      </c>
      <c r="AX222" s="2003">
        <f t="shared" si="495"/>
        <v>0</v>
      </c>
      <c r="AY222" s="1989" t="e">
        <f>#REF!/10^7</f>
        <v>#REF!</v>
      </c>
      <c r="AZ222" s="1989" t="e">
        <f>#REF!/10^7</f>
        <v>#REF!</v>
      </c>
      <c r="BA222" s="2002" t="e">
        <f t="shared" si="496"/>
        <v>#REF!</v>
      </c>
      <c r="BB222" s="1999" t="e">
        <f t="shared" si="470"/>
        <v>#REF!</v>
      </c>
      <c r="BC222" s="1993" t="e">
        <f>#REF!</f>
        <v>#REF!</v>
      </c>
      <c r="BD222" s="2003">
        <f t="shared" si="497"/>
        <v>0</v>
      </c>
      <c r="BE222" s="1989" t="e">
        <f>#REF!/10^7</f>
        <v>#REF!</v>
      </c>
      <c r="BF222" s="2003">
        <f t="shared" si="498"/>
        <v>0</v>
      </c>
      <c r="BG222" s="1989" t="e">
        <f>#REF!/10^7</f>
        <v>#REF!</v>
      </c>
      <c r="BH222" s="2003">
        <f t="shared" si="499"/>
        <v>0</v>
      </c>
      <c r="BI222" s="1989" t="e">
        <f>#REF!/10^7</f>
        <v>#REF!</v>
      </c>
      <c r="BJ222" s="1989" t="e">
        <f>#REF!/10^7</f>
        <v>#REF!</v>
      </c>
      <c r="BK222" s="2002" t="e">
        <f t="shared" si="500"/>
        <v>#REF!</v>
      </c>
      <c r="BL222" s="1999" t="e">
        <f t="shared" si="438"/>
        <v>#REF!</v>
      </c>
      <c r="BM222" s="1993" t="e">
        <f>#REF!</f>
        <v>#REF!</v>
      </c>
      <c r="BN222" s="2003">
        <f t="shared" si="501"/>
        <v>0</v>
      </c>
      <c r="BO222" s="1989" t="e">
        <f>#REF!/10^7</f>
        <v>#REF!</v>
      </c>
      <c r="BP222" s="2003">
        <f t="shared" si="502"/>
        <v>0</v>
      </c>
      <c r="BQ222" s="1989" t="e">
        <f>#REF!/10^7</f>
        <v>#REF!</v>
      </c>
      <c r="BR222" s="2003">
        <f t="shared" si="503"/>
        <v>0</v>
      </c>
      <c r="BS222" s="1989" t="e">
        <f>#REF!/10^7</f>
        <v>#REF!</v>
      </c>
      <c r="BT222" s="1989" t="e">
        <f>#REF!/10^7</f>
        <v>#REF!</v>
      </c>
      <c r="BU222" s="2002" t="e">
        <f t="shared" si="504"/>
        <v>#REF!</v>
      </c>
      <c r="BV222" s="1999" t="e">
        <f t="shared" si="439"/>
        <v>#REF!</v>
      </c>
      <c r="BW222" s="1993" t="e">
        <f>#REF!</f>
        <v>#REF!</v>
      </c>
      <c r="BX222" s="2003">
        <f t="shared" si="505"/>
        <v>0</v>
      </c>
      <c r="BY222" s="1989" t="e">
        <f>#REF!/10^7</f>
        <v>#REF!</v>
      </c>
      <c r="BZ222" s="2003">
        <f t="shared" si="506"/>
        <v>0</v>
      </c>
      <c r="CA222" s="1989" t="e">
        <f>#REF!/10^7</f>
        <v>#REF!</v>
      </c>
      <c r="CB222" s="2003">
        <f t="shared" si="507"/>
        <v>0</v>
      </c>
      <c r="CC222" s="1989" t="e">
        <f>#REF!/10^7</f>
        <v>#REF!</v>
      </c>
      <c r="CD222" s="1989" t="e">
        <f>#REF!/10^7</f>
        <v>#REF!</v>
      </c>
      <c r="CE222" s="2002" t="e">
        <f t="shared" si="508"/>
        <v>#REF!</v>
      </c>
      <c r="CF222" s="1999" t="e">
        <f t="shared" si="440"/>
        <v>#REF!</v>
      </c>
      <c r="CG222" s="1993" t="e">
        <f>#REF!</f>
        <v>#REF!</v>
      </c>
      <c r="CH222" s="2003">
        <f t="shared" si="509"/>
        <v>0</v>
      </c>
      <c r="CI222" s="1989" t="e">
        <f>#REF!/10^7</f>
        <v>#REF!</v>
      </c>
      <c r="CJ222" s="2003">
        <f t="shared" si="510"/>
        <v>0</v>
      </c>
      <c r="CK222" s="1989" t="e">
        <f>#REF!/10^7</f>
        <v>#REF!</v>
      </c>
      <c r="CL222" s="2003">
        <f t="shared" si="511"/>
        <v>0</v>
      </c>
      <c r="CM222" s="1989" t="e">
        <f>#REF!/10^7</f>
        <v>#REF!</v>
      </c>
      <c r="CN222" s="1989" t="e">
        <f>#REF!/10^7</f>
        <v>#REF!</v>
      </c>
      <c r="CO222" s="2002" t="e">
        <f t="shared" si="512"/>
        <v>#REF!</v>
      </c>
      <c r="CP222" s="1999" t="e">
        <f t="shared" si="441"/>
        <v>#REF!</v>
      </c>
      <c r="CQ222" s="1993" t="e">
        <f>#REF!</f>
        <v>#REF!</v>
      </c>
      <c r="CR222" s="2003">
        <f t="shared" si="513"/>
        <v>0</v>
      </c>
      <c r="CS222" s="1989" t="e">
        <f>#REF!/10^7</f>
        <v>#REF!</v>
      </c>
      <c r="CT222" s="2003">
        <f t="shared" si="514"/>
        <v>0</v>
      </c>
      <c r="CU222" s="1989" t="e">
        <f>#REF!/10^7</f>
        <v>#REF!</v>
      </c>
      <c r="CV222" s="2003">
        <f t="shared" si="515"/>
        <v>0</v>
      </c>
      <c r="CW222" s="1989" t="e">
        <f>#REF!/10^7</f>
        <v>#REF!</v>
      </c>
      <c r="CX222" s="1989" t="e">
        <f>#REF!/10^7</f>
        <v>#REF!</v>
      </c>
      <c r="CY222" s="2002" t="e">
        <f t="shared" si="516"/>
        <v>#REF!</v>
      </c>
      <c r="CZ222" s="1999" t="e">
        <f t="shared" si="442"/>
        <v>#REF!</v>
      </c>
      <c r="DA222" s="1993" t="e">
        <f>#REF!</f>
        <v>#REF!</v>
      </c>
      <c r="DB222" s="2003">
        <f t="shared" si="517"/>
        <v>0</v>
      </c>
      <c r="DC222" s="1989" t="e">
        <f>#REF!/10^7</f>
        <v>#REF!</v>
      </c>
      <c r="DD222" s="2003">
        <f t="shared" si="518"/>
        <v>0</v>
      </c>
      <c r="DE222" s="1989" t="e">
        <f>#REF!/10^7</f>
        <v>#REF!</v>
      </c>
      <c r="DF222" s="2003">
        <f t="shared" si="519"/>
        <v>0</v>
      </c>
      <c r="DG222" s="1989" t="e">
        <f>#REF!/10^7</f>
        <v>#REF!</v>
      </c>
      <c r="DH222" s="1989" t="e">
        <f>#REF!/10^7</f>
        <v>#REF!</v>
      </c>
      <c r="DI222" s="2002" t="e">
        <f t="shared" si="520"/>
        <v>#REF!</v>
      </c>
      <c r="DJ222" s="1999" t="e">
        <f t="shared" si="471"/>
        <v>#REF!</v>
      </c>
      <c r="DK222" s="1993" t="e">
        <f>#REF!</f>
        <v>#REF!</v>
      </c>
      <c r="DL222" s="2003">
        <f t="shared" si="521"/>
        <v>0</v>
      </c>
      <c r="DM222" s="1989" t="e">
        <f>#REF!/10^7</f>
        <v>#REF!</v>
      </c>
      <c r="DN222" s="2003">
        <f t="shared" si="522"/>
        <v>0</v>
      </c>
      <c r="DO222" s="1989" t="e">
        <f>#REF!/10^7</f>
        <v>#REF!</v>
      </c>
      <c r="DP222" s="2003">
        <f t="shared" si="523"/>
        <v>0</v>
      </c>
      <c r="DQ222" s="1989" t="e">
        <f>#REF!/10^7</f>
        <v>#REF!</v>
      </c>
      <c r="DR222" s="1989" t="e">
        <f>#REF!/10^7</f>
        <v>#REF!</v>
      </c>
      <c r="DS222" s="2002" t="e">
        <f t="shared" si="524"/>
        <v>#REF!</v>
      </c>
      <c r="DT222" s="2004" t="e">
        <f t="shared" si="472"/>
        <v>#REF!</v>
      </c>
      <c r="DU222" s="1988" t="e">
        <f>#REF!</f>
        <v>#REF!</v>
      </c>
      <c r="DV222" s="2003">
        <f t="shared" si="525"/>
        <v>0</v>
      </c>
      <c r="DW222" s="1989" t="e">
        <f>#REF!/10^7</f>
        <v>#REF!</v>
      </c>
      <c r="DX222" s="2003">
        <f t="shared" si="526"/>
        <v>0</v>
      </c>
      <c r="DY222" s="1989" t="e">
        <f>#REF!/10^7</f>
        <v>#REF!</v>
      </c>
      <c r="DZ222" s="2003">
        <f t="shared" si="527"/>
        <v>0</v>
      </c>
      <c r="EA222" s="1989" t="e">
        <f>#REF!/10^7</f>
        <v>#REF!</v>
      </c>
      <c r="EB222" s="1989" t="e">
        <f>#REF!/10^7</f>
        <v>#REF!</v>
      </c>
      <c r="EC222" s="2002" t="e">
        <f t="shared" si="528"/>
        <v>#REF!</v>
      </c>
      <c r="ED222" s="1998" t="e">
        <f t="shared" si="473"/>
        <v>#REF!</v>
      </c>
      <c r="EE222" s="2005" t="e">
        <f t="shared" si="475"/>
        <v>#REF!</v>
      </c>
      <c r="EF222" s="2003">
        <f t="shared" si="529"/>
        <v>0</v>
      </c>
      <c r="EG222" s="1989" t="e">
        <f t="shared" si="476"/>
        <v>#REF!</v>
      </c>
      <c r="EH222" s="2003">
        <f t="shared" si="530"/>
        <v>0</v>
      </c>
      <c r="EI222" s="1989" t="e">
        <f t="shared" si="477"/>
        <v>#REF!</v>
      </c>
      <c r="EJ222" s="2003">
        <f t="shared" si="531"/>
        <v>0</v>
      </c>
      <c r="EK222" s="1989" t="e">
        <f t="shared" si="478"/>
        <v>#REF!</v>
      </c>
      <c r="EL222" s="1989" t="e">
        <f t="shared" si="478"/>
        <v>#REF!</v>
      </c>
      <c r="EM222" s="2006" t="e">
        <f t="shared" si="532"/>
        <v>#REF!</v>
      </c>
      <c r="EN222" s="1999" t="e">
        <f t="shared" si="479"/>
        <v>#REF!</v>
      </c>
      <c r="EO222" s="1613">
        <v>62.447361000000001</v>
      </c>
      <c r="EP222" s="1613" t="e">
        <f>EA222-#REF!/10^7</f>
        <v>#REF!</v>
      </c>
      <c r="ER222" s="1612" t="e">
        <f t="shared" si="480"/>
        <v>#REF!</v>
      </c>
      <c r="EW222" s="1611" t="e">
        <v>#N/A</v>
      </c>
      <c r="EX222" s="1612" t="e">
        <v>#N/A</v>
      </c>
      <c r="EZ222" s="1650">
        <f t="shared" si="533"/>
        <v>0</v>
      </c>
    </row>
    <row r="223" spans="1:156" ht="21" customHeight="1">
      <c r="A223" s="1652">
        <v>33</v>
      </c>
      <c r="B223" s="1701" t="s">
        <v>1891</v>
      </c>
      <c r="C223" s="1662">
        <v>24</v>
      </c>
      <c r="D223" s="1646">
        <f t="shared" si="474"/>
        <v>100</v>
      </c>
      <c r="E223" s="1646"/>
      <c r="F223" s="1648" t="s">
        <v>1594</v>
      </c>
      <c r="G223" s="1648"/>
      <c r="H223" s="1648">
        <v>24</v>
      </c>
      <c r="I223" s="1648" t="s">
        <v>1717</v>
      </c>
      <c r="J223" s="1649">
        <v>2</v>
      </c>
      <c r="K223" s="1648"/>
      <c r="L223" s="1648"/>
      <c r="M223" s="1648"/>
      <c r="N223" s="1642"/>
      <c r="O223" s="2000" t="e">
        <f>#REF!</f>
        <v>#REF!</v>
      </c>
      <c r="P223" s="2003">
        <f t="shared" si="481"/>
        <v>0</v>
      </c>
      <c r="Q223" s="1989" t="e">
        <f>#REF!/10^7</f>
        <v>#REF!</v>
      </c>
      <c r="R223" s="2003">
        <f t="shared" si="482"/>
        <v>0</v>
      </c>
      <c r="S223" s="1989" t="e">
        <f>#REF!/10^7</f>
        <v>#REF!</v>
      </c>
      <c r="T223" s="2003">
        <f t="shared" si="483"/>
        <v>0</v>
      </c>
      <c r="U223" s="1989" t="e">
        <f>#REF!/10^7</f>
        <v>#REF!</v>
      </c>
      <c r="V223" s="1989" t="e">
        <f>#REF!/10^7</f>
        <v>#REF!</v>
      </c>
      <c r="W223" s="1989">
        <f t="shared" si="484"/>
        <v>0</v>
      </c>
      <c r="X223" s="1999" t="e">
        <f t="shared" si="467"/>
        <v>#REF!</v>
      </c>
      <c r="Y223" s="1993" t="e">
        <f>#REF!</f>
        <v>#REF!</v>
      </c>
      <c r="Z223" s="2003">
        <f t="shared" si="485"/>
        <v>0</v>
      </c>
      <c r="AA223" s="1989" t="e">
        <f>#REF!/10^7</f>
        <v>#REF!</v>
      </c>
      <c r="AB223" s="2003">
        <f t="shared" si="486"/>
        <v>0</v>
      </c>
      <c r="AC223" s="1989" t="e">
        <f>#REF!/10^7</f>
        <v>#REF!</v>
      </c>
      <c r="AD223" s="2003">
        <f t="shared" si="487"/>
        <v>0</v>
      </c>
      <c r="AE223" s="1989" t="e">
        <f>#REF!/10^7</f>
        <v>#REF!</v>
      </c>
      <c r="AF223" s="1989" t="e">
        <f>#REF!/10^7</f>
        <v>#REF!</v>
      </c>
      <c r="AG223" s="2002" t="e">
        <f t="shared" si="488"/>
        <v>#REF!</v>
      </c>
      <c r="AH223" s="1999" t="e">
        <f t="shared" si="468"/>
        <v>#REF!</v>
      </c>
      <c r="AI223" s="1993" t="e">
        <f>#REF!</f>
        <v>#REF!</v>
      </c>
      <c r="AJ223" s="2003">
        <f t="shared" si="489"/>
        <v>0</v>
      </c>
      <c r="AK223" s="1989" t="e">
        <f>#REF!/10^7</f>
        <v>#REF!</v>
      </c>
      <c r="AL223" s="2003">
        <f t="shared" si="490"/>
        <v>0</v>
      </c>
      <c r="AM223" s="1989" t="e">
        <f>#REF!/10^7</f>
        <v>#REF!</v>
      </c>
      <c r="AN223" s="2003">
        <f t="shared" si="491"/>
        <v>0</v>
      </c>
      <c r="AO223" s="1989" t="e">
        <f>#REF!/10^7</f>
        <v>#REF!</v>
      </c>
      <c r="AP223" s="1989" t="e">
        <f>#REF!/10^7</f>
        <v>#REF!</v>
      </c>
      <c r="AQ223" s="2002" t="e">
        <f t="shared" si="492"/>
        <v>#REF!</v>
      </c>
      <c r="AR223" s="1999" t="e">
        <f t="shared" si="469"/>
        <v>#REF!</v>
      </c>
      <c r="AS223" s="1993" t="e">
        <f>#REF!</f>
        <v>#REF!</v>
      </c>
      <c r="AT223" s="2003">
        <f t="shared" si="493"/>
        <v>0</v>
      </c>
      <c r="AU223" s="1989" t="e">
        <f>#REF!/10^7</f>
        <v>#REF!</v>
      </c>
      <c r="AV223" s="2003">
        <f t="shared" si="494"/>
        <v>0</v>
      </c>
      <c r="AW223" s="1989" t="e">
        <f>#REF!/10^7</f>
        <v>#REF!</v>
      </c>
      <c r="AX223" s="2003">
        <f t="shared" si="495"/>
        <v>0</v>
      </c>
      <c r="AY223" s="1989" t="e">
        <f>#REF!/10^7</f>
        <v>#REF!</v>
      </c>
      <c r="AZ223" s="1989" t="e">
        <f>#REF!/10^7</f>
        <v>#REF!</v>
      </c>
      <c r="BA223" s="2002" t="e">
        <f t="shared" si="496"/>
        <v>#REF!</v>
      </c>
      <c r="BB223" s="1999" t="e">
        <f t="shared" si="470"/>
        <v>#REF!</v>
      </c>
      <c r="BC223" s="1993" t="e">
        <f>#REF!</f>
        <v>#REF!</v>
      </c>
      <c r="BD223" s="2003">
        <f t="shared" si="497"/>
        <v>0</v>
      </c>
      <c r="BE223" s="1989" t="e">
        <f>#REF!/10^7</f>
        <v>#REF!</v>
      </c>
      <c r="BF223" s="2003">
        <f t="shared" si="498"/>
        <v>0</v>
      </c>
      <c r="BG223" s="1989" t="e">
        <f>#REF!/10^7</f>
        <v>#REF!</v>
      </c>
      <c r="BH223" s="2003">
        <f t="shared" si="499"/>
        <v>0</v>
      </c>
      <c r="BI223" s="1989" t="e">
        <f>#REF!/10^7</f>
        <v>#REF!</v>
      </c>
      <c r="BJ223" s="1989" t="e">
        <f>#REF!/10^7</f>
        <v>#REF!</v>
      </c>
      <c r="BK223" s="2002" t="e">
        <f t="shared" si="500"/>
        <v>#REF!</v>
      </c>
      <c r="BL223" s="1999" t="e">
        <f t="shared" si="438"/>
        <v>#REF!</v>
      </c>
      <c r="BM223" s="1993" t="e">
        <f>#REF!</f>
        <v>#REF!</v>
      </c>
      <c r="BN223" s="2003">
        <f t="shared" si="501"/>
        <v>0</v>
      </c>
      <c r="BO223" s="1989" t="e">
        <f>#REF!/10^7</f>
        <v>#REF!</v>
      </c>
      <c r="BP223" s="2003">
        <f t="shared" si="502"/>
        <v>0</v>
      </c>
      <c r="BQ223" s="1989" t="e">
        <f>#REF!/10^7</f>
        <v>#REF!</v>
      </c>
      <c r="BR223" s="2003">
        <f t="shared" si="503"/>
        <v>0</v>
      </c>
      <c r="BS223" s="1989" t="e">
        <f>#REF!/10^7</f>
        <v>#REF!</v>
      </c>
      <c r="BT223" s="1989" t="e">
        <f>#REF!/10^7</f>
        <v>#REF!</v>
      </c>
      <c r="BU223" s="2002" t="e">
        <f t="shared" si="504"/>
        <v>#REF!</v>
      </c>
      <c r="BV223" s="1999" t="e">
        <f t="shared" si="439"/>
        <v>#REF!</v>
      </c>
      <c r="BW223" s="1993" t="e">
        <f>#REF!</f>
        <v>#REF!</v>
      </c>
      <c r="BX223" s="2003">
        <f t="shared" si="505"/>
        <v>0</v>
      </c>
      <c r="BY223" s="1989" t="e">
        <f>#REF!/10^7</f>
        <v>#REF!</v>
      </c>
      <c r="BZ223" s="2003">
        <f t="shared" si="506"/>
        <v>0</v>
      </c>
      <c r="CA223" s="1989" t="e">
        <f>#REF!/10^7</f>
        <v>#REF!</v>
      </c>
      <c r="CB223" s="2003">
        <f t="shared" si="507"/>
        <v>0</v>
      </c>
      <c r="CC223" s="1989" t="e">
        <f>#REF!/10^7</f>
        <v>#REF!</v>
      </c>
      <c r="CD223" s="1989" t="e">
        <f>#REF!/10^7</f>
        <v>#REF!</v>
      </c>
      <c r="CE223" s="2002" t="e">
        <f t="shared" si="508"/>
        <v>#REF!</v>
      </c>
      <c r="CF223" s="1999" t="e">
        <f t="shared" si="440"/>
        <v>#REF!</v>
      </c>
      <c r="CG223" s="1993" t="e">
        <f>#REF!</f>
        <v>#REF!</v>
      </c>
      <c r="CH223" s="2003">
        <f t="shared" si="509"/>
        <v>0</v>
      </c>
      <c r="CI223" s="1989" t="e">
        <f>#REF!/10^7</f>
        <v>#REF!</v>
      </c>
      <c r="CJ223" s="2003">
        <f t="shared" si="510"/>
        <v>0</v>
      </c>
      <c r="CK223" s="1989" t="e">
        <f>#REF!/10^7</f>
        <v>#REF!</v>
      </c>
      <c r="CL223" s="2003">
        <f t="shared" si="511"/>
        <v>0</v>
      </c>
      <c r="CM223" s="1989" t="e">
        <f>#REF!/10^7</f>
        <v>#REF!</v>
      </c>
      <c r="CN223" s="1989" t="e">
        <f>#REF!/10^7</f>
        <v>#REF!</v>
      </c>
      <c r="CO223" s="2002" t="e">
        <f t="shared" si="512"/>
        <v>#REF!</v>
      </c>
      <c r="CP223" s="1999" t="e">
        <f t="shared" si="441"/>
        <v>#REF!</v>
      </c>
      <c r="CQ223" s="1993" t="e">
        <f>#REF!</f>
        <v>#REF!</v>
      </c>
      <c r="CR223" s="2003">
        <f t="shared" si="513"/>
        <v>0</v>
      </c>
      <c r="CS223" s="1989" t="e">
        <f>#REF!/10^7</f>
        <v>#REF!</v>
      </c>
      <c r="CT223" s="2003">
        <f t="shared" si="514"/>
        <v>0</v>
      </c>
      <c r="CU223" s="1989" t="e">
        <f>#REF!/10^7</f>
        <v>#REF!</v>
      </c>
      <c r="CV223" s="2003">
        <f t="shared" si="515"/>
        <v>0</v>
      </c>
      <c r="CW223" s="1989" t="e">
        <f>#REF!/10^7</f>
        <v>#REF!</v>
      </c>
      <c r="CX223" s="1989" t="e">
        <f>#REF!/10^7</f>
        <v>#REF!</v>
      </c>
      <c r="CY223" s="2002" t="e">
        <f t="shared" si="516"/>
        <v>#REF!</v>
      </c>
      <c r="CZ223" s="1999" t="e">
        <f t="shared" si="442"/>
        <v>#REF!</v>
      </c>
      <c r="DA223" s="1993" t="e">
        <f>#REF!</f>
        <v>#REF!</v>
      </c>
      <c r="DB223" s="2003">
        <f t="shared" si="517"/>
        <v>0</v>
      </c>
      <c r="DC223" s="1989" t="e">
        <f>#REF!/10^7</f>
        <v>#REF!</v>
      </c>
      <c r="DD223" s="2003">
        <f t="shared" si="518"/>
        <v>0</v>
      </c>
      <c r="DE223" s="1989" t="e">
        <f>#REF!/10^7</f>
        <v>#REF!</v>
      </c>
      <c r="DF223" s="2003">
        <f t="shared" si="519"/>
        <v>0</v>
      </c>
      <c r="DG223" s="1989" t="e">
        <f>#REF!/10^7</f>
        <v>#REF!</v>
      </c>
      <c r="DH223" s="1989" t="e">
        <f>#REF!/10^7</f>
        <v>#REF!</v>
      </c>
      <c r="DI223" s="2002" t="e">
        <f t="shared" si="520"/>
        <v>#REF!</v>
      </c>
      <c r="DJ223" s="1999" t="e">
        <f t="shared" si="471"/>
        <v>#REF!</v>
      </c>
      <c r="DK223" s="1993" t="e">
        <f>#REF!</f>
        <v>#REF!</v>
      </c>
      <c r="DL223" s="2003">
        <f t="shared" si="521"/>
        <v>0</v>
      </c>
      <c r="DM223" s="1989" t="e">
        <f>#REF!/10^7</f>
        <v>#REF!</v>
      </c>
      <c r="DN223" s="2003">
        <f t="shared" si="522"/>
        <v>0</v>
      </c>
      <c r="DO223" s="1989" t="e">
        <f>#REF!/10^7</f>
        <v>#REF!</v>
      </c>
      <c r="DP223" s="2003">
        <f t="shared" si="523"/>
        <v>0</v>
      </c>
      <c r="DQ223" s="1989" t="e">
        <f>#REF!/10^7</f>
        <v>#REF!</v>
      </c>
      <c r="DR223" s="1989" t="e">
        <f>#REF!/10^7</f>
        <v>#REF!</v>
      </c>
      <c r="DS223" s="2002" t="e">
        <f t="shared" si="524"/>
        <v>#REF!</v>
      </c>
      <c r="DT223" s="2004" t="e">
        <f t="shared" si="472"/>
        <v>#REF!</v>
      </c>
      <c r="DU223" s="1988" t="e">
        <f>#REF!</f>
        <v>#REF!</v>
      </c>
      <c r="DV223" s="2003">
        <f t="shared" si="525"/>
        <v>0</v>
      </c>
      <c r="DW223" s="1989" t="e">
        <f>#REF!/10^7</f>
        <v>#REF!</v>
      </c>
      <c r="DX223" s="2003">
        <f t="shared" si="526"/>
        <v>0</v>
      </c>
      <c r="DY223" s="1989" t="e">
        <f>#REF!/10^7</f>
        <v>#REF!</v>
      </c>
      <c r="DZ223" s="2003">
        <f t="shared" si="527"/>
        <v>0</v>
      </c>
      <c r="EA223" s="1989" t="e">
        <f>#REF!/10^7</f>
        <v>#REF!</v>
      </c>
      <c r="EB223" s="1989" t="e">
        <f>#REF!/10^7</f>
        <v>#REF!</v>
      </c>
      <c r="EC223" s="2002" t="e">
        <f t="shared" si="528"/>
        <v>#REF!</v>
      </c>
      <c r="ED223" s="1998" t="e">
        <f t="shared" si="473"/>
        <v>#REF!</v>
      </c>
      <c r="EE223" s="2005" t="e">
        <f t="shared" si="475"/>
        <v>#REF!</v>
      </c>
      <c r="EF223" s="2003">
        <f t="shared" si="529"/>
        <v>0</v>
      </c>
      <c r="EG223" s="1989" t="e">
        <f t="shared" si="476"/>
        <v>#REF!</v>
      </c>
      <c r="EH223" s="2003">
        <f t="shared" si="530"/>
        <v>0</v>
      </c>
      <c r="EI223" s="1989" t="e">
        <f t="shared" si="477"/>
        <v>#REF!</v>
      </c>
      <c r="EJ223" s="2003">
        <f t="shared" si="531"/>
        <v>0</v>
      </c>
      <c r="EK223" s="1989" t="e">
        <f t="shared" ref="EK223:EL254" si="534">U223+AE223+AO223+AY223+BI223+BS223+CC223+CM223+CW223+DG223+DQ223+EA223</f>
        <v>#REF!</v>
      </c>
      <c r="EL223" s="1989" t="e">
        <f t="shared" si="534"/>
        <v>#REF!</v>
      </c>
      <c r="EM223" s="2006" t="e">
        <f t="shared" si="532"/>
        <v>#REF!</v>
      </c>
      <c r="EN223" s="1999" t="e">
        <f t="shared" si="479"/>
        <v>#REF!</v>
      </c>
      <c r="EO223" s="1613">
        <v>79.186789000000005</v>
      </c>
      <c r="EP223" s="1613" t="e">
        <f>EA223-#REF!/10^7</f>
        <v>#REF!</v>
      </c>
      <c r="EQ223" s="1613">
        <v>0</v>
      </c>
      <c r="ER223" s="1612" t="e">
        <f t="shared" si="480"/>
        <v>#REF!</v>
      </c>
      <c r="EW223" s="1611" t="e">
        <v>#N/A</v>
      </c>
      <c r="EX223" s="1612" t="e">
        <v>#N/A</v>
      </c>
      <c r="EZ223" s="1650">
        <f t="shared" si="533"/>
        <v>0</v>
      </c>
    </row>
    <row r="224" spans="1:156" ht="21" customHeight="1">
      <c r="A224" s="1652">
        <v>34</v>
      </c>
      <c r="B224" s="1701" t="s">
        <v>1892</v>
      </c>
      <c r="C224" s="1662">
        <v>7.5</v>
      </c>
      <c r="D224" s="1646">
        <f t="shared" si="474"/>
        <v>100</v>
      </c>
      <c r="E224" s="1646"/>
      <c r="F224" s="1648" t="s">
        <v>1594</v>
      </c>
      <c r="G224" s="1648"/>
      <c r="H224" s="1648">
        <v>7.5</v>
      </c>
      <c r="I224" s="1648" t="s">
        <v>1717</v>
      </c>
      <c r="J224" s="1649">
        <v>2</v>
      </c>
      <c r="K224" s="1648"/>
      <c r="L224" s="1648"/>
      <c r="M224" s="1648"/>
      <c r="N224" s="1642"/>
      <c r="O224" s="2000" t="e">
        <f>#REF!</f>
        <v>#REF!</v>
      </c>
      <c r="P224" s="2003">
        <f t="shared" si="481"/>
        <v>0</v>
      </c>
      <c r="Q224" s="1989" t="e">
        <f>#REF!/10^7</f>
        <v>#REF!</v>
      </c>
      <c r="R224" s="2003">
        <f t="shared" si="482"/>
        <v>0</v>
      </c>
      <c r="S224" s="1989" t="e">
        <f>#REF!/10^7</f>
        <v>#REF!</v>
      </c>
      <c r="T224" s="2003">
        <f t="shared" si="483"/>
        <v>0</v>
      </c>
      <c r="U224" s="1989" t="e">
        <f>#REF!/10^7</f>
        <v>#REF!</v>
      </c>
      <c r="V224" s="1989" t="e">
        <f>#REF!/10^7</f>
        <v>#REF!</v>
      </c>
      <c r="W224" s="1989">
        <f t="shared" si="484"/>
        <v>0</v>
      </c>
      <c r="X224" s="1999" t="e">
        <f t="shared" si="467"/>
        <v>#REF!</v>
      </c>
      <c r="Y224" s="1993" t="e">
        <f>#REF!</f>
        <v>#REF!</v>
      </c>
      <c r="Z224" s="2003">
        <f t="shared" si="485"/>
        <v>0</v>
      </c>
      <c r="AA224" s="1989" t="e">
        <f>#REF!/10^7</f>
        <v>#REF!</v>
      </c>
      <c r="AB224" s="2003">
        <f t="shared" si="486"/>
        <v>0</v>
      </c>
      <c r="AC224" s="1989" t="e">
        <f>#REF!/10^7</f>
        <v>#REF!</v>
      </c>
      <c r="AD224" s="2003">
        <f t="shared" si="487"/>
        <v>0</v>
      </c>
      <c r="AE224" s="1989" t="e">
        <f>#REF!/10^7</f>
        <v>#REF!</v>
      </c>
      <c r="AF224" s="1989" t="e">
        <f>#REF!/10^7</f>
        <v>#REF!</v>
      </c>
      <c r="AG224" s="2002" t="e">
        <f t="shared" si="488"/>
        <v>#REF!</v>
      </c>
      <c r="AH224" s="1999" t="e">
        <f t="shared" si="468"/>
        <v>#REF!</v>
      </c>
      <c r="AI224" s="1993" t="e">
        <f>#REF!</f>
        <v>#REF!</v>
      </c>
      <c r="AJ224" s="2003">
        <f t="shared" si="489"/>
        <v>0</v>
      </c>
      <c r="AK224" s="1989" t="e">
        <f>#REF!/10^7</f>
        <v>#REF!</v>
      </c>
      <c r="AL224" s="2003">
        <f t="shared" si="490"/>
        <v>0</v>
      </c>
      <c r="AM224" s="1989" t="e">
        <f>#REF!/10^7</f>
        <v>#REF!</v>
      </c>
      <c r="AN224" s="2003">
        <f t="shared" si="491"/>
        <v>0</v>
      </c>
      <c r="AO224" s="1989" t="e">
        <f>#REF!/10^7</f>
        <v>#REF!</v>
      </c>
      <c r="AP224" s="1989" t="e">
        <f>#REF!/10^7</f>
        <v>#REF!</v>
      </c>
      <c r="AQ224" s="2002" t="e">
        <f t="shared" si="492"/>
        <v>#REF!</v>
      </c>
      <c r="AR224" s="1999" t="e">
        <f t="shared" si="469"/>
        <v>#REF!</v>
      </c>
      <c r="AS224" s="1993" t="e">
        <f>#REF!</f>
        <v>#REF!</v>
      </c>
      <c r="AT224" s="2003">
        <f t="shared" si="493"/>
        <v>0</v>
      </c>
      <c r="AU224" s="1989" t="e">
        <f>#REF!/10^7</f>
        <v>#REF!</v>
      </c>
      <c r="AV224" s="2003">
        <f t="shared" si="494"/>
        <v>0</v>
      </c>
      <c r="AW224" s="1989" t="e">
        <f>#REF!/10^7</f>
        <v>#REF!</v>
      </c>
      <c r="AX224" s="2003">
        <f t="shared" si="495"/>
        <v>0</v>
      </c>
      <c r="AY224" s="1989" t="e">
        <f>#REF!/10^7</f>
        <v>#REF!</v>
      </c>
      <c r="AZ224" s="1989" t="e">
        <f>#REF!/10^7</f>
        <v>#REF!</v>
      </c>
      <c r="BA224" s="2002" t="e">
        <f t="shared" si="496"/>
        <v>#REF!</v>
      </c>
      <c r="BB224" s="1999" t="e">
        <f t="shared" si="470"/>
        <v>#REF!</v>
      </c>
      <c r="BC224" s="1993" t="e">
        <f>#REF!</f>
        <v>#REF!</v>
      </c>
      <c r="BD224" s="2003">
        <f t="shared" si="497"/>
        <v>0</v>
      </c>
      <c r="BE224" s="1989" t="e">
        <f>#REF!/10^7</f>
        <v>#REF!</v>
      </c>
      <c r="BF224" s="2003">
        <f t="shared" si="498"/>
        <v>0</v>
      </c>
      <c r="BG224" s="1989" t="e">
        <f>#REF!/10^7</f>
        <v>#REF!</v>
      </c>
      <c r="BH224" s="2003">
        <f t="shared" si="499"/>
        <v>0</v>
      </c>
      <c r="BI224" s="1989" t="e">
        <f>#REF!/10^7</f>
        <v>#REF!</v>
      </c>
      <c r="BJ224" s="1989" t="e">
        <f>#REF!/10^7</f>
        <v>#REF!</v>
      </c>
      <c r="BK224" s="2002" t="e">
        <f t="shared" si="500"/>
        <v>#REF!</v>
      </c>
      <c r="BL224" s="1999" t="e">
        <f t="shared" si="438"/>
        <v>#REF!</v>
      </c>
      <c r="BM224" s="1993" t="e">
        <f>#REF!</f>
        <v>#REF!</v>
      </c>
      <c r="BN224" s="2003">
        <f t="shared" si="501"/>
        <v>0</v>
      </c>
      <c r="BO224" s="1989" t="e">
        <f>#REF!/10^7</f>
        <v>#REF!</v>
      </c>
      <c r="BP224" s="2003">
        <f t="shared" si="502"/>
        <v>0</v>
      </c>
      <c r="BQ224" s="1989" t="e">
        <f>#REF!/10^7</f>
        <v>#REF!</v>
      </c>
      <c r="BR224" s="2003">
        <f t="shared" si="503"/>
        <v>0</v>
      </c>
      <c r="BS224" s="1989" t="e">
        <f>#REF!/10^7</f>
        <v>#REF!</v>
      </c>
      <c r="BT224" s="1989" t="e">
        <f>#REF!/10^7</f>
        <v>#REF!</v>
      </c>
      <c r="BU224" s="2002" t="e">
        <f t="shared" si="504"/>
        <v>#REF!</v>
      </c>
      <c r="BV224" s="1999" t="e">
        <f t="shared" si="439"/>
        <v>#REF!</v>
      </c>
      <c r="BW224" s="1993" t="e">
        <f>#REF!</f>
        <v>#REF!</v>
      </c>
      <c r="BX224" s="2003">
        <f t="shared" si="505"/>
        <v>0</v>
      </c>
      <c r="BY224" s="1989" t="e">
        <f>#REF!/10^7</f>
        <v>#REF!</v>
      </c>
      <c r="BZ224" s="2003">
        <f t="shared" si="506"/>
        <v>0</v>
      </c>
      <c r="CA224" s="1989" t="e">
        <f>#REF!/10^7</f>
        <v>#REF!</v>
      </c>
      <c r="CB224" s="2003">
        <f t="shared" si="507"/>
        <v>0</v>
      </c>
      <c r="CC224" s="1989" t="e">
        <f>#REF!/10^7</f>
        <v>#REF!</v>
      </c>
      <c r="CD224" s="1989" t="e">
        <f>#REF!/10^7</f>
        <v>#REF!</v>
      </c>
      <c r="CE224" s="2002" t="e">
        <f t="shared" si="508"/>
        <v>#REF!</v>
      </c>
      <c r="CF224" s="1999" t="e">
        <f t="shared" si="440"/>
        <v>#REF!</v>
      </c>
      <c r="CG224" s="1993" t="e">
        <f>#REF!</f>
        <v>#REF!</v>
      </c>
      <c r="CH224" s="2003">
        <f t="shared" si="509"/>
        <v>0</v>
      </c>
      <c r="CI224" s="1989" t="e">
        <f>#REF!/10^7</f>
        <v>#REF!</v>
      </c>
      <c r="CJ224" s="2003">
        <f t="shared" si="510"/>
        <v>0</v>
      </c>
      <c r="CK224" s="1989" t="e">
        <f>#REF!/10^7</f>
        <v>#REF!</v>
      </c>
      <c r="CL224" s="2003">
        <f t="shared" si="511"/>
        <v>0</v>
      </c>
      <c r="CM224" s="1989" t="e">
        <f>#REF!/10^7</f>
        <v>#REF!</v>
      </c>
      <c r="CN224" s="1989" t="e">
        <f>#REF!/10^7</f>
        <v>#REF!</v>
      </c>
      <c r="CO224" s="2002" t="e">
        <f t="shared" si="512"/>
        <v>#REF!</v>
      </c>
      <c r="CP224" s="1999" t="e">
        <f t="shared" si="441"/>
        <v>#REF!</v>
      </c>
      <c r="CQ224" s="1993" t="e">
        <f>#REF!</f>
        <v>#REF!</v>
      </c>
      <c r="CR224" s="2003">
        <f t="shared" si="513"/>
        <v>0</v>
      </c>
      <c r="CS224" s="1989" t="e">
        <f>#REF!/10^7</f>
        <v>#REF!</v>
      </c>
      <c r="CT224" s="2003">
        <f t="shared" si="514"/>
        <v>0</v>
      </c>
      <c r="CU224" s="1989" t="e">
        <f>#REF!/10^7</f>
        <v>#REF!</v>
      </c>
      <c r="CV224" s="2003">
        <f t="shared" si="515"/>
        <v>0</v>
      </c>
      <c r="CW224" s="1989" t="e">
        <f>#REF!/10^7</f>
        <v>#REF!</v>
      </c>
      <c r="CX224" s="1989" t="e">
        <f>#REF!/10^7</f>
        <v>#REF!</v>
      </c>
      <c r="CY224" s="2002" t="e">
        <f t="shared" si="516"/>
        <v>#REF!</v>
      </c>
      <c r="CZ224" s="1999" t="e">
        <f t="shared" si="442"/>
        <v>#REF!</v>
      </c>
      <c r="DA224" s="1993" t="e">
        <f>#REF!</f>
        <v>#REF!</v>
      </c>
      <c r="DB224" s="2003">
        <f t="shared" si="517"/>
        <v>0</v>
      </c>
      <c r="DC224" s="1989" t="e">
        <f>#REF!/10^7</f>
        <v>#REF!</v>
      </c>
      <c r="DD224" s="2003">
        <f t="shared" si="518"/>
        <v>0</v>
      </c>
      <c r="DE224" s="1989" t="e">
        <f>#REF!/10^7</f>
        <v>#REF!</v>
      </c>
      <c r="DF224" s="2003">
        <f t="shared" si="519"/>
        <v>0</v>
      </c>
      <c r="DG224" s="1989" t="e">
        <f>#REF!/10^7</f>
        <v>#REF!</v>
      </c>
      <c r="DH224" s="1989" t="e">
        <f>#REF!/10^7</f>
        <v>#REF!</v>
      </c>
      <c r="DI224" s="2002" t="e">
        <f t="shared" si="520"/>
        <v>#REF!</v>
      </c>
      <c r="DJ224" s="1999" t="e">
        <f t="shared" si="471"/>
        <v>#REF!</v>
      </c>
      <c r="DK224" s="1993" t="e">
        <f>#REF!</f>
        <v>#REF!</v>
      </c>
      <c r="DL224" s="2003">
        <f t="shared" si="521"/>
        <v>0</v>
      </c>
      <c r="DM224" s="1989" t="e">
        <f>#REF!/10^7</f>
        <v>#REF!</v>
      </c>
      <c r="DN224" s="2003">
        <f t="shared" si="522"/>
        <v>0</v>
      </c>
      <c r="DO224" s="1989" t="e">
        <f>#REF!/10^7</f>
        <v>#REF!</v>
      </c>
      <c r="DP224" s="2003">
        <f t="shared" si="523"/>
        <v>0</v>
      </c>
      <c r="DQ224" s="1989" t="e">
        <f>#REF!/10^7</f>
        <v>#REF!</v>
      </c>
      <c r="DR224" s="1989" t="e">
        <f>#REF!/10^7</f>
        <v>#REF!</v>
      </c>
      <c r="DS224" s="2002" t="e">
        <f t="shared" si="524"/>
        <v>#REF!</v>
      </c>
      <c r="DT224" s="2004" t="e">
        <f t="shared" si="472"/>
        <v>#REF!</v>
      </c>
      <c r="DU224" s="1988" t="e">
        <f>#REF!</f>
        <v>#REF!</v>
      </c>
      <c r="DV224" s="2003">
        <f t="shared" si="525"/>
        <v>0</v>
      </c>
      <c r="DW224" s="1989" t="e">
        <f>#REF!/10^7</f>
        <v>#REF!</v>
      </c>
      <c r="DX224" s="2003">
        <f t="shared" si="526"/>
        <v>0</v>
      </c>
      <c r="DY224" s="1989" t="e">
        <f>#REF!/10^7</f>
        <v>#REF!</v>
      </c>
      <c r="DZ224" s="2003">
        <f t="shared" si="527"/>
        <v>0</v>
      </c>
      <c r="EA224" s="1989" t="e">
        <f>#REF!/10^7</f>
        <v>#REF!</v>
      </c>
      <c r="EB224" s="1989" t="e">
        <f>#REF!/10^7</f>
        <v>#REF!</v>
      </c>
      <c r="EC224" s="2002" t="e">
        <f t="shared" si="528"/>
        <v>#REF!</v>
      </c>
      <c r="ED224" s="1998" t="e">
        <f t="shared" si="473"/>
        <v>#REF!</v>
      </c>
      <c r="EE224" s="2005" t="e">
        <f t="shared" si="475"/>
        <v>#REF!</v>
      </c>
      <c r="EF224" s="2003">
        <f t="shared" si="529"/>
        <v>0</v>
      </c>
      <c r="EG224" s="1989" t="e">
        <f t="shared" si="476"/>
        <v>#REF!</v>
      </c>
      <c r="EH224" s="2003">
        <f t="shared" si="530"/>
        <v>0</v>
      </c>
      <c r="EI224" s="1989" t="e">
        <f t="shared" si="477"/>
        <v>#REF!</v>
      </c>
      <c r="EJ224" s="2003">
        <f t="shared" si="531"/>
        <v>0</v>
      </c>
      <c r="EK224" s="1989" t="e">
        <f t="shared" si="534"/>
        <v>#REF!</v>
      </c>
      <c r="EL224" s="1989" t="e">
        <f t="shared" si="534"/>
        <v>#REF!</v>
      </c>
      <c r="EM224" s="2006" t="e">
        <f t="shared" si="532"/>
        <v>#REF!</v>
      </c>
      <c r="EN224" s="1999" t="e">
        <f t="shared" si="479"/>
        <v>#REF!</v>
      </c>
      <c r="EO224" s="1613">
        <v>29.544561000000002</v>
      </c>
      <c r="EP224" s="1613" t="e">
        <f>EA224-#REF!/10^7</f>
        <v>#REF!</v>
      </c>
      <c r="ER224" s="1612" t="e">
        <f t="shared" si="480"/>
        <v>#REF!</v>
      </c>
      <c r="EW224" s="1611" t="e">
        <v>#N/A</v>
      </c>
      <c r="EX224" s="1612" t="e">
        <v>#N/A</v>
      </c>
      <c r="EZ224" s="1650">
        <f t="shared" si="533"/>
        <v>0</v>
      </c>
    </row>
    <row r="225" spans="1:156" ht="21" customHeight="1">
      <c r="A225" s="1652">
        <v>35</v>
      </c>
      <c r="B225" s="1701" t="s">
        <v>1893</v>
      </c>
      <c r="C225" s="1662">
        <v>22</v>
      </c>
      <c r="D225" s="1646">
        <f t="shared" si="474"/>
        <v>100</v>
      </c>
      <c r="E225" s="1646"/>
      <c r="F225" s="1648" t="s">
        <v>1594</v>
      </c>
      <c r="G225" s="1648"/>
      <c r="H225" s="1648">
        <v>22</v>
      </c>
      <c r="I225" s="1648" t="s">
        <v>1717</v>
      </c>
      <c r="J225" s="1649">
        <v>2</v>
      </c>
      <c r="K225" s="1648"/>
      <c r="L225" s="1648"/>
      <c r="M225" s="1648"/>
      <c r="N225" s="1642"/>
      <c r="O225" s="2000" t="e">
        <f>#REF!</f>
        <v>#REF!</v>
      </c>
      <c r="P225" s="2003">
        <f t="shared" si="481"/>
        <v>0</v>
      </c>
      <c r="Q225" s="1989" t="e">
        <f>#REF!/10^7</f>
        <v>#REF!</v>
      </c>
      <c r="R225" s="2003">
        <f t="shared" si="482"/>
        <v>0</v>
      </c>
      <c r="S225" s="1989" t="e">
        <f>#REF!/10^7</f>
        <v>#REF!</v>
      </c>
      <c r="T225" s="2003">
        <f t="shared" si="483"/>
        <v>0</v>
      </c>
      <c r="U225" s="1989" t="e">
        <f>#REF!/10^7</f>
        <v>#REF!</v>
      </c>
      <c r="V225" s="1989" t="e">
        <f>#REF!/10^7</f>
        <v>#REF!</v>
      </c>
      <c r="W225" s="1989">
        <f t="shared" si="484"/>
        <v>0</v>
      </c>
      <c r="X225" s="1999" t="e">
        <f t="shared" si="467"/>
        <v>#REF!</v>
      </c>
      <c r="Y225" s="1993" t="e">
        <f>#REF!</f>
        <v>#REF!</v>
      </c>
      <c r="Z225" s="2003">
        <f t="shared" si="485"/>
        <v>0</v>
      </c>
      <c r="AA225" s="1989" t="e">
        <f>#REF!/10^7</f>
        <v>#REF!</v>
      </c>
      <c r="AB225" s="2003">
        <f t="shared" si="486"/>
        <v>0</v>
      </c>
      <c r="AC225" s="1989" t="e">
        <f>#REF!/10^7</f>
        <v>#REF!</v>
      </c>
      <c r="AD225" s="2003">
        <f t="shared" si="487"/>
        <v>0</v>
      </c>
      <c r="AE225" s="1989" t="e">
        <f>#REF!/10^7</f>
        <v>#REF!</v>
      </c>
      <c r="AF225" s="1989" t="e">
        <f>#REF!/10^7</f>
        <v>#REF!</v>
      </c>
      <c r="AG225" s="2002" t="e">
        <f t="shared" si="488"/>
        <v>#REF!</v>
      </c>
      <c r="AH225" s="1999" t="e">
        <f t="shared" si="468"/>
        <v>#REF!</v>
      </c>
      <c r="AI225" s="1993" t="e">
        <f>#REF!</f>
        <v>#REF!</v>
      </c>
      <c r="AJ225" s="2003">
        <f t="shared" si="489"/>
        <v>0</v>
      </c>
      <c r="AK225" s="1989" t="e">
        <f>#REF!/10^7</f>
        <v>#REF!</v>
      </c>
      <c r="AL225" s="2003">
        <f t="shared" si="490"/>
        <v>0</v>
      </c>
      <c r="AM225" s="1989" t="e">
        <f>#REF!/10^7</f>
        <v>#REF!</v>
      </c>
      <c r="AN225" s="2003">
        <f t="shared" si="491"/>
        <v>0</v>
      </c>
      <c r="AO225" s="1989" t="e">
        <f>#REF!/10^7</f>
        <v>#REF!</v>
      </c>
      <c r="AP225" s="1989" t="e">
        <f>#REF!/10^7</f>
        <v>#REF!</v>
      </c>
      <c r="AQ225" s="2002" t="e">
        <f t="shared" si="492"/>
        <v>#REF!</v>
      </c>
      <c r="AR225" s="1999" t="e">
        <f t="shared" si="469"/>
        <v>#REF!</v>
      </c>
      <c r="AS225" s="1993" t="e">
        <f>#REF!</f>
        <v>#REF!</v>
      </c>
      <c r="AT225" s="2003">
        <f t="shared" si="493"/>
        <v>0</v>
      </c>
      <c r="AU225" s="1989" t="e">
        <f>#REF!/10^7</f>
        <v>#REF!</v>
      </c>
      <c r="AV225" s="2003">
        <f t="shared" si="494"/>
        <v>0</v>
      </c>
      <c r="AW225" s="1989" t="e">
        <f>#REF!/10^7</f>
        <v>#REF!</v>
      </c>
      <c r="AX225" s="2003">
        <f t="shared" si="495"/>
        <v>0</v>
      </c>
      <c r="AY225" s="1989" t="e">
        <f>#REF!/10^7</f>
        <v>#REF!</v>
      </c>
      <c r="AZ225" s="1989" t="e">
        <f>#REF!/10^7</f>
        <v>#REF!</v>
      </c>
      <c r="BA225" s="2002" t="e">
        <f t="shared" si="496"/>
        <v>#REF!</v>
      </c>
      <c r="BB225" s="1999" t="e">
        <f t="shared" si="470"/>
        <v>#REF!</v>
      </c>
      <c r="BC225" s="1993" t="e">
        <f>#REF!</f>
        <v>#REF!</v>
      </c>
      <c r="BD225" s="2003">
        <f t="shared" si="497"/>
        <v>0</v>
      </c>
      <c r="BE225" s="1989" t="e">
        <f>#REF!/10^7</f>
        <v>#REF!</v>
      </c>
      <c r="BF225" s="2003">
        <f t="shared" si="498"/>
        <v>0</v>
      </c>
      <c r="BG225" s="1989" t="e">
        <f>#REF!/10^7</f>
        <v>#REF!</v>
      </c>
      <c r="BH225" s="2003">
        <f t="shared" si="499"/>
        <v>0</v>
      </c>
      <c r="BI225" s="1989" t="e">
        <f>#REF!/10^7</f>
        <v>#REF!</v>
      </c>
      <c r="BJ225" s="1989" t="e">
        <f>#REF!/10^7</f>
        <v>#REF!</v>
      </c>
      <c r="BK225" s="2002" t="e">
        <f t="shared" si="500"/>
        <v>#REF!</v>
      </c>
      <c r="BL225" s="1999" t="e">
        <f t="shared" si="438"/>
        <v>#REF!</v>
      </c>
      <c r="BM225" s="1993" t="e">
        <f>#REF!</f>
        <v>#REF!</v>
      </c>
      <c r="BN225" s="2003">
        <f t="shared" si="501"/>
        <v>0</v>
      </c>
      <c r="BO225" s="1989" t="e">
        <f>#REF!/10^7</f>
        <v>#REF!</v>
      </c>
      <c r="BP225" s="2003">
        <f t="shared" si="502"/>
        <v>0</v>
      </c>
      <c r="BQ225" s="1989" t="e">
        <f>#REF!/10^7</f>
        <v>#REF!</v>
      </c>
      <c r="BR225" s="2003">
        <f t="shared" si="503"/>
        <v>0</v>
      </c>
      <c r="BS225" s="1989" t="e">
        <f>#REF!/10^7</f>
        <v>#REF!</v>
      </c>
      <c r="BT225" s="1989" t="e">
        <f>#REF!/10^7</f>
        <v>#REF!</v>
      </c>
      <c r="BU225" s="2002" t="e">
        <f t="shared" si="504"/>
        <v>#REF!</v>
      </c>
      <c r="BV225" s="1999" t="e">
        <f t="shared" si="439"/>
        <v>#REF!</v>
      </c>
      <c r="BW225" s="1993" t="e">
        <f>#REF!</f>
        <v>#REF!</v>
      </c>
      <c r="BX225" s="2003">
        <f t="shared" si="505"/>
        <v>0</v>
      </c>
      <c r="BY225" s="1989" t="e">
        <f>#REF!/10^7</f>
        <v>#REF!</v>
      </c>
      <c r="BZ225" s="2003">
        <f t="shared" si="506"/>
        <v>0</v>
      </c>
      <c r="CA225" s="1989" t="e">
        <f>#REF!/10^7</f>
        <v>#REF!</v>
      </c>
      <c r="CB225" s="2003">
        <f t="shared" si="507"/>
        <v>0</v>
      </c>
      <c r="CC225" s="1989" t="e">
        <f>#REF!/10^7</f>
        <v>#REF!</v>
      </c>
      <c r="CD225" s="1989" t="e">
        <f>#REF!/10^7</f>
        <v>#REF!</v>
      </c>
      <c r="CE225" s="2002" t="e">
        <f t="shared" si="508"/>
        <v>#REF!</v>
      </c>
      <c r="CF225" s="1999" t="e">
        <f t="shared" si="440"/>
        <v>#REF!</v>
      </c>
      <c r="CG225" s="1993" t="e">
        <f>#REF!</f>
        <v>#REF!</v>
      </c>
      <c r="CH225" s="2003">
        <f t="shared" si="509"/>
        <v>0</v>
      </c>
      <c r="CI225" s="1989" t="e">
        <f>#REF!/10^7</f>
        <v>#REF!</v>
      </c>
      <c r="CJ225" s="2003">
        <f t="shared" si="510"/>
        <v>0</v>
      </c>
      <c r="CK225" s="1989" t="e">
        <f>#REF!/10^7</f>
        <v>#REF!</v>
      </c>
      <c r="CL225" s="2003">
        <f t="shared" si="511"/>
        <v>0</v>
      </c>
      <c r="CM225" s="1989" t="e">
        <f>#REF!/10^7</f>
        <v>#REF!</v>
      </c>
      <c r="CN225" s="1989" t="e">
        <f>#REF!/10^7</f>
        <v>#REF!</v>
      </c>
      <c r="CO225" s="2002" t="e">
        <f t="shared" si="512"/>
        <v>#REF!</v>
      </c>
      <c r="CP225" s="1999" t="e">
        <f t="shared" si="441"/>
        <v>#REF!</v>
      </c>
      <c r="CQ225" s="1993" t="e">
        <f>#REF!</f>
        <v>#REF!</v>
      </c>
      <c r="CR225" s="2003">
        <f t="shared" si="513"/>
        <v>0</v>
      </c>
      <c r="CS225" s="1989" t="e">
        <f>#REF!/10^7</f>
        <v>#REF!</v>
      </c>
      <c r="CT225" s="2003">
        <f t="shared" si="514"/>
        <v>0</v>
      </c>
      <c r="CU225" s="1989" t="e">
        <f>#REF!/10^7</f>
        <v>#REF!</v>
      </c>
      <c r="CV225" s="2003">
        <f t="shared" si="515"/>
        <v>0</v>
      </c>
      <c r="CW225" s="1989" t="e">
        <f>#REF!/10^7</f>
        <v>#REF!</v>
      </c>
      <c r="CX225" s="1989" t="e">
        <f>#REF!/10^7</f>
        <v>#REF!</v>
      </c>
      <c r="CY225" s="2002" t="e">
        <f t="shared" si="516"/>
        <v>#REF!</v>
      </c>
      <c r="CZ225" s="1999" t="e">
        <f t="shared" si="442"/>
        <v>#REF!</v>
      </c>
      <c r="DA225" s="1993" t="e">
        <f>#REF!</f>
        <v>#REF!</v>
      </c>
      <c r="DB225" s="2003">
        <f t="shared" si="517"/>
        <v>0</v>
      </c>
      <c r="DC225" s="1989" t="e">
        <f>#REF!/10^7</f>
        <v>#REF!</v>
      </c>
      <c r="DD225" s="2003">
        <f t="shared" si="518"/>
        <v>0</v>
      </c>
      <c r="DE225" s="1989" t="e">
        <f>#REF!/10^7</f>
        <v>#REF!</v>
      </c>
      <c r="DF225" s="2003">
        <f t="shared" si="519"/>
        <v>0</v>
      </c>
      <c r="DG225" s="1989" t="e">
        <f>#REF!/10^7</f>
        <v>#REF!</v>
      </c>
      <c r="DH225" s="1989" t="e">
        <f>#REF!/10^7</f>
        <v>#REF!</v>
      </c>
      <c r="DI225" s="2002" t="e">
        <f t="shared" si="520"/>
        <v>#REF!</v>
      </c>
      <c r="DJ225" s="1999" t="e">
        <f t="shared" si="471"/>
        <v>#REF!</v>
      </c>
      <c r="DK225" s="1993" t="e">
        <f>#REF!</f>
        <v>#REF!</v>
      </c>
      <c r="DL225" s="2003">
        <f t="shared" si="521"/>
        <v>0</v>
      </c>
      <c r="DM225" s="1989" t="e">
        <f>#REF!/10^7</f>
        <v>#REF!</v>
      </c>
      <c r="DN225" s="2003">
        <f t="shared" si="522"/>
        <v>0</v>
      </c>
      <c r="DO225" s="1989" t="e">
        <f>#REF!/10^7</f>
        <v>#REF!</v>
      </c>
      <c r="DP225" s="2003">
        <f t="shared" si="523"/>
        <v>0</v>
      </c>
      <c r="DQ225" s="1989" t="e">
        <f>#REF!/10^7</f>
        <v>#REF!</v>
      </c>
      <c r="DR225" s="1989" t="e">
        <f>#REF!/10^7</f>
        <v>#REF!</v>
      </c>
      <c r="DS225" s="2002" t="e">
        <f t="shared" si="524"/>
        <v>#REF!</v>
      </c>
      <c r="DT225" s="2004" t="e">
        <f t="shared" si="472"/>
        <v>#REF!</v>
      </c>
      <c r="DU225" s="1988" t="e">
        <f>#REF!</f>
        <v>#REF!</v>
      </c>
      <c r="DV225" s="2003">
        <f t="shared" si="525"/>
        <v>0</v>
      </c>
      <c r="DW225" s="1989" t="e">
        <f>#REF!/10^7</f>
        <v>#REF!</v>
      </c>
      <c r="DX225" s="2003">
        <f t="shared" si="526"/>
        <v>0</v>
      </c>
      <c r="DY225" s="1989" t="e">
        <f>#REF!/10^7</f>
        <v>#REF!</v>
      </c>
      <c r="DZ225" s="2003">
        <f t="shared" si="527"/>
        <v>0</v>
      </c>
      <c r="EA225" s="1989" t="e">
        <f>#REF!/10^7</f>
        <v>#REF!</v>
      </c>
      <c r="EB225" s="1989" t="e">
        <f>#REF!/10^7</f>
        <v>#REF!</v>
      </c>
      <c r="EC225" s="2002" t="e">
        <f t="shared" si="528"/>
        <v>#REF!</v>
      </c>
      <c r="ED225" s="1998" t="e">
        <f t="shared" si="473"/>
        <v>#REF!</v>
      </c>
      <c r="EE225" s="2005" t="e">
        <f t="shared" si="475"/>
        <v>#REF!</v>
      </c>
      <c r="EF225" s="2003">
        <f t="shared" si="529"/>
        <v>0</v>
      </c>
      <c r="EG225" s="1989" t="e">
        <f t="shared" si="476"/>
        <v>#REF!</v>
      </c>
      <c r="EH225" s="2003">
        <f t="shared" si="530"/>
        <v>0</v>
      </c>
      <c r="EI225" s="1989" t="e">
        <f t="shared" si="477"/>
        <v>#REF!</v>
      </c>
      <c r="EJ225" s="2003">
        <f t="shared" si="531"/>
        <v>0</v>
      </c>
      <c r="EK225" s="1989" t="e">
        <f t="shared" si="534"/>
        <v>#REF!</v>
      </c>
      <c r="EL225" s="1989" t="e">
        <f t="shared" si="534"/>
        <v>#REF!</v>
      </c>
      <c r="EM225" s="2006" t="e">
        <f t="shared" si="532"/>
        <v>#REF!</v>
      </c>
      <c r="EN225" s="1999" t="e">
        <f t="shared" si="479"/>
        <v>#REF!</v>
      </c>
      <c r="EO225" s="1613">
        <v>80.846126499999997</v>
      </c>
      <c r="EP225" s="1613" t="e">
        <f>EA225-#REF!/10^7</f>
        <v>#REF!</v>
      </c>
      <c r="ER225" s="1612" t="e">
        <f t="shared" si="480"/>
        <v>#REF!</v>
      </c>
      <c r="EW225" s="1611" t="e">
        <v>#N/A</v>
      </c>
      <c r="EX225" s="1612" t="e">
        <v>#N/A</v>
      </c>
      <c r="EZ225" s="1650">
        <f t="shared" si="533"/>
        <v>0</v>
      </c>
    </row>
    <row r="226" spans="1:156" ht="21" customHeight="1">
      <c r="A226" s="1652">
        <v>36</v>
      </c>
      <c r="B226" s="1701" t="s">
        <v>1894</v>
      </c>
      <c r="C226" s="1662">
        <v>20</v>
      </c>
      <c r="D226" s="1646">
        <f t="shared" si="474"/>
        <v>100</v>
      </c>
      <c r="E226" s="1646"/>
      <c r="F226" s="1648" t="s">
        <v>1594</v>
      </c>
      <c r="G226" s="1648"/>
      <c r="H226" s="1648">
        <v>20</v>
      </c>
      <c r="I226" s="1648" t="s">
        <v>1717</v>
      </c>
      <c r="J226" s="1649">
        <v>2</v>
      </c>
      <c r="K226" s="1648"/>
      <c r="L226" s="1648"/>
      <c r="M226" s="1648"/>
      <c r="N226" s="1642"/>
      <c r="O226" s="2000" t="e">
        <f>#REF!</f>
        <v>#REF!</v>
      </c>
      <c r="P226" s="2003">
        <f t="shared" si="481"/>
        <v>0</v>
      </c>
      <c r="Q226" s="1989" t="e">
        <f>#REF!/10^7</f>
        <v>#REF!</v>
      </c>
      <c r="R226" s="2003">
        <f t="shared" si="482"/>
        <v>0</v>
      </c>
      <c r="S226" s="1989" t="e">
        <f>#REF!/10^7</f>
        <v>#REF!</v>
      </c>
      <c r="T226" s="2003">
        <f t="shared" si="483"/>
        <v>0</v>
      </c>
      <c r="U226" s="1989" t="e">
        <f>#REF!/10^7</f>
        <v>#REF!</v>
      </c>
      <c r="V226" s="1989" t="e">
        <f>#REF!/10^7</f>
        <v>#REF!</v>
      </c>
      <c r="W226" s="1989">
        <f t="shared" si="484"/>
        <v>0</v>
      </c>
      <c r="X226" s="1999" t="e">
        <f t="shared" si="467"/>
        <v>#REF!</v>
      </c>
      <c r="Y226" s="1993" t="e">
        <f>#REF!</f>
        <v>#REF!</v>
      </c>
      <c r="Z226" s="2003">
        <f t="shared" si="485"/>
        <v>0</v>
      </c>
      <c r="AA226" s="1989" t="e">
        <f>#REF!/10^7</f>
        <v>#REF!</v>
      </c>
      <c r="AB226" s="2003">
        <f t="shared" si="486"/>
        <v>0</v>
      </c>
      <c r="AC226" s="1989" t="e">
        <f>#REF!/10^7</f>
        <v>#REF!</v>
      </c>
      <c r="AD226" s="2003">
        <f t="shared" si="487"/>
        <v>0</v>
      </c>
      <c r="AE226" s="1989" t="e">
        <f>#REF!/10^7</f>
        <v>#REF!</v>
      </c>
      <c r="AF226" s="1989" t="e">
        <f>#REF!/10^7</f>
        <v>#REF!</v>
      </c>
      <c r="AG226" s="2002" t="e">
        <f t="shared" si="488"/>
        <v>#REF!</v>
      </c>
      <c r="AH226" s="1999" t="e">
        <f t="shared" si="468"/>
        <v>#REF!</v>
      </c>
      <c r="AI226" s="1993" t="e">
        <f>#REF!</f>
        <v>#REF!</v>
      </c>
      <c r="AJ226" s="2003">
        <f t="shared" si="489"/>
        <v>0</v>
      </c>
      <c r="AK226" s="1989" t="e">
        <f>#REF!/10^7</f>
        <v>#REF!</v>
      </c>
      <c r="AL226" s="2003">
        <f t="shared" si="490"/>
        <v>0</v>
      </c>
      <c r="AM226" s="1989" t="e">
        <f>#REF!/10^7</f>
        <v>#REF!</v>
      </c>
      <c r="AN226" s="2003">
        <f t="shared" si="491"/>
        <v>0</v>
      </c>
      <c r="AO226" s="1989" t="e">
        <f>#REF!/10^7</f>
        <v>#REF!</v>
      </c>
      <c r="AP226" s="1989" t="e">
        <f>#REF!/10^7</f>
        <v>#REF!</v>
      </c>
      <c r="AQ226" s="2002" t="e">
        <f t="shared" si="492"/>
        <v>#REF!</v>
      </c>
      <c r="AR226" s="1999" t="e">
        <f t="shared" si="469"/>
        <v>#REF!</v>
      </c>
      <c r="AS226" s="1993" t="e">
        <f>#REF!</f>
        <v>#REF!</v>
      </c>
      <c r="AT226" s="2003">
        <f t="shared" si="493"/>
        <v>0</v>
      </c>
      <c r="AU226" s="1989" t="e">
        <f>#REF!/10^7</f>
        <v>#REF!</v>
      </c>
      <c r="AV226" s="2003">
        <f t="shared" si="494"/>
        <v>0</v>
      </c>
      <c r="AW226" s="1989" t="e">
        <f>#REF!/10^7</f>
        <v>#REF!</v>
      </c>
      <c r="AX226" s="2003">
        <f t="shared" si="495"/>
        <v>0</v>
      </c>
      <c r="AY226" s="1989" t="e">
        <f>#REF!/10^7</f>
        <v>#REF!</v>
      </c>
      <c r="AZ226" s="1989" t="e">
        <f>#REF!/10^7</f>
        <v>#REF!</v>
      </c>
      <c r="BA226" s="2002" t="e">
        <f t="shared" si="496"/>
        <v>#REF!</v>
      </c>
      <c r="BB226" s="1999" t="e">
        <f t="shared" si="470"/>
        <v>#REF!</v>
      </c>
      <c r="BC226" s="1993" t="e">
        <f>#REF!</f>
        <v>#REF!</v>
      </c>
      <c r="BD226" s="2003">
        <f t="shared" si="497"/>
        <v>0</v>
      </c>
      <c r="BE226" s="1989" t="e">
        <f>#REF!/10^7</f>
        <v>#REF!</v>
      </c>
      <c r="BF226" s="2003">
        <f t="shared" si="498"/>
        <v>0</v>
      </c>
      <c r="BG226" s="1989" t="e">
        <f>#REF!/10^7</f>
        <v>#REF!</v>
      </c>
      <c r="BH226" s="2003">
        <f t="shared" si="499"/>
        <v>0</v>
      </c>
      <c r="BI226" s="1989" t="e">
        <f>#REF!/10^7</f>
        <v>#REF!</v>
      </c>
      <c r="BJ226" s="1989" t="e">
        <f>#REF!/10^7</f>
        <v>#REF!</v>
      </c>
      <c r="BK226" s="2002" t="e">
        <f t="shared" si="500"/>
        <v>#REF!</v>
      </c>
      <c r="BL226" s="1999" t="e">
        <f t="shared" si="438"/>
        <v>#REF!</v>
      </c>
      <c r="BM226" s="1993" t="e">
        <f>#REF!</f>
        <v>#REF!</v>
      </c>
      <c r="BN226" s="2003">
        <f t="shared" si="501"/>
        <v>0</v>
      </c>
      <c r="BO226" s="1989" t="e">
        <f>#REF!/10^7</f>
        <v>#REF!</v>
      </c>
      <c r="BP226" s="2003">
        <f t="shared" si="502"/>
        <v>0</v>
      </c>
      <c r="BQ226" s="1989" t="e">
        <f>#REF!/10^7</f>
        <v>#REF!</v>
      </c>
      <c r="BR226" s="2003">
        <f t="shared" si="503"/>
        <v>0</v>
      </c>
      <c r="BS226" s="1989" t="e">
        <f>#REF!/10^7</f>
        <v>#REF!</v>
      </c>
      <c r="BT226" s="1989" t="e">
        <f>#REF!/10^7</f>
        <v>#REF!</v>
      </c>
      <c r="BU226" s="2002" t="e">
        <f t="shared" si="504"/>
        <v>#REF!</v>
      </c>
      <c r="BV226" s="1999" t="e">
        <f t="shared" si="439"/>
        <v>#REF!</v>
      </c>
      <c r="BW226" s="1993" t="e">
        <f>#REF!</f>
        <v>#REF!</v>
      </c>
      <c r="BX226" s="2003">
        <f t="shared" si="505"/>
        <v>0</v>
      </c>
      <c r="BY226" s="1989" t="e">
        <f>#REF!/10^7</f>
        <v>#REF!</v>
      </c>
      <c r="BZ226" s="2003">
        <f t="shared" si="506"/>
        <v>0</v>
      </c>
      <c r="CA226" s="1989" t="e">
        <f>#REF!/10^7</f>
        <v>#REF!</v>
      </c>
      <c r="CB226" s="2003">
        <f t="shared" si="507"/>
        <v>0</v>
      </c>
      <c r="CC226" s="1989" t="e">
        <f>#REF!/10^7</f>
        <v>#REF!</v>
      </c>
      <c r="CD226" s="1989" t="e">
        <f>#REF!/10^7</f>
        <v>#REF!</v>
      </c>
      <c r="CE226" s="2002" t="e">
        <f t="shared" si="508"/>
        <v>#REF!</v>
      </c>
      <c r="CF226" s="1999" t="e">
        <f t="shared" si="440"/>
        <v>#REF!</v>
      </c>
      <c r="CG226" s="1993" t="e">
        <f>#REF!</f>
        <v>#REF!</v>
      </c>
      <c r="CH226" s="2003">
        <f t="shared" si="509"/>
        <v>0</v>
      </c>
      <c r="CI226" s="1989" t="e">
        <f>#REF!/10^7</f>
        <v>#REF!</v>
      </c>
      <c r="CJ226" s="2003">
        <f t="shared" si="510"/>
        <v>0</v>
      </c>
      <c r="CK226" s="1989" t="e">
        <f>#REF!/10^7</f>
        <v>#REF!</v>
      </c>
      <c r="CL226" s="2003">
        <f t="shared" si="511"/>
        <v>0</v>
      </c>
      <c r="CM226" s="1989" t="e">
        <f>#REF!/10^7</f>
        <v>#REF!</v>
      </c>
      <c r="CN226" s="1989" t="e">
        <f>#REF!/10^7</f>
        <v>#REF!</v>
      </c>
      <c r="CO226" s="2002" t="e">
        <f t="shared" si="512"/>
        <v>#REF!</v>
      </c>
      <c r="CP226" s="1999" t="e">
        <f t="shared" si="441"/>
        <v>#REF!</v>
      </c>
      <c r="CQ226" s="1993" t="e">
        <f>#REF!</f>
        <v>#REF!</v>
      </c>
      <c r="CR226" s="2003">
        <f t="shared" si="513"/>
        <v>0</v>
      </c>
      <c r="CS226" s="1989" t="e">
        <f>#REF!/10^7</f>
        <v>#REF!</v>
      </c>
      <c r="CT226" s="2003">
        <f t="shared" si="514"/>
        <v>0</v>
      </c>
      <c r="CU226" s="1989" t="e">
        <f>#REF!/10^7</f>
        <v>#REF!</v>
      </c>
      <c r="CV226" s="2003">
        <f t="shared" si="515"/>
        <v>0</v>
      </c>
      <c r="CW226" s="1989" t="e">
        <f>#REF!/10^7</f>
        <v>#REF!</v>
      </c>
      <c r="CX226" s="1989" t="e">
        <f>#REF!/10^7</f>
        <v>#REF!</v>
      </c>
      <c r="CY226" s="2002" t="e">
        <f t="shared" si="516"/>
        <v>#REF!</v>
      </c>
      <c r="CZ226" s="1999" t="e">
        <f t="shared" si="442"/>
        <v>#REF!</v>
      </c>
      <c r="DA226" s="1993" t="e">
        <f>#REF!</f>
        <v>#REF!</v>
      </c>
      <c r="DB226" s="2003">
        <f t="shared" si="517"/>
        <v>0</v>
      </c>
      <c r="DC226" s="1989" t="e">
        <f>#REF!/10^7</f>
        <v>#REF!</v>
      </c>
      <c r="DD226" s="2003">
        <f t="shared" si="518"/>
        <v>0</v>
      </c>
      <c r="DE226" s="1989" t="e">
        <f>#REF!/10^7</f>
        <v>#REF!</v>
      </c>
      <c r="DF226" s="2003">
        <f t="shared" si="519"/>
        <v>0</v>
      </c>
      <c r="DG226" s="1989" t="e">
        <f>#REF!/10^7</f>
        <v>#REF!</v>
      </c>
      <c r="DH226" s="1989" t="e">
        <f>#REF!/10^7</f>
        <v>#REF!</v>
      </c>
      <c r="DI226" s="2002" t="e">
        <f t="shared" si="520"/>
        <v>#REF!</v>
      </c>
      <c r="DJ226" s="1999" t="e">
        <f t="shared" si="471"/>
        <v>#REF!</v>
      </c>
      <c r="DK226" s="1993" t="e">
        <f>#REF!</f>
        <v>#REF!</v>
      </c>
      <c r="DL226" s="2003">
        <f t="shared" si="521"/>
        <v>0</v>
      </c>
      <c r="DM226" s="1989" t="e">
        <f>#REF!/10^7</f>
        <v>#REF!</v>
      </c>
      <c r="DN226" s="2003">
        <f t="shared" si="522"/>
        <v>0</v>
      </c>
      <c r="DO226" s="1989" t="e">
        <f>#REF!/10^7</f>
        <v>#REF!</v>
      </c>
      <c r="DP226" s="2003">
        <f t="shared" si="523"/>
        <v>0</v>
      </c>
      <c r="DQ226" s="1989" t="e">
        <f>#REF!/10^7</f>
        <v>#REF!</v>
      </c>
      <c r="DR226" s="1989" t="e">
        <f>#REF!/10^7</f>
        <v>#REF!</v>
      </c>
      <c r="DS226" s="2002" t="e">
        <f t="shared" si="524"/>
        <v>#REF!</v>
      </c>
      <c r="DT226" s="2004" t="e">
        <f t="shared" si="472"/>
        <v>#REF!</v>
      </c>
      <c r="DU226" s="1988" t="e">
        <f>#REF!</f>
        <v>#REF!</v>
      </c>
      <c r="DV226" s="2003">
        <f t="shared" si="525"/>
        <v>0</v>
      </c>
      <c r="DW226" s="1989" t="e">
        <f>#REF!/10^7</f>
        <v>#REF!</v>
      </c>
      <c r="DX226" s="2003">
        <f t="shared" si="526"/>
        <v>0</v>
      </c>
      <c r="DY226" s="1989" t="e">
        <f>#REF!/10^7</f>
        <v>#REF!</v>
      </c>
      <c r="DZ226" s="2003">
        <f t="shared" si="527"/>
        <v>0</v>
      </c>
      <c r="EA226" s="1989" t="e">
        <f>#REF!/10^7</f>
        <v>#REF!</v>
      </c>
      <c r="EB226" s="1989" t="e">
        <f>#REF!/10^7</f>
        <v>#REF!</v>
      </c>
      <c r="EC226" s="2002" t="e">
        <f t="shared" si="528"/>
        <v>#REF!</v>
      </c>
      <c r="ED226" s="1998" t="e">
        <f t="shared" si="473"/>
        <v>#REF!</v>
      </c>
      <c r="EE226" s="2005" t="e">
        <f t="shared" si="475"/>
        <v>#REF!</v>
      </c>
      <c r="EF226" s="2003">
        <f t="shared" si="529"/>
        <v>0</v>
      </c>
      <c r="EG226" s="1989" t="e">
        <f t="shared" si="476"/>
        <v>#REF!</v>
      </c>
      <c r="EH226" s="2003">
        <f t="shared" si="530"/>
        <v>0</v>
      </c>
      <c r="EI226" s="1989" t="e">
        <f t="shared" si="477"/>
        <v>#REF!</v>
      </c>
      <c r="EJ226" s="2003">
        <f t="shared" si="531"/>
        <v>0</v>
      </c>
      <c r="EK226" s="1989" t="e">
        <f t="shared" si="534"/>
        <v>#REF!</v>
      </c>
      <c r="EL226" s="1989" t="e">
        <f t="shared" si="534"/>
        <v>#REF!</v>
      </c>
      <c r="EM226" s="2006" t="e">
        <f t="shared" si="532"/>
        <v>#REF!</v>
      </c>
      <c r="EN226" s="1999" t="e">
        <f t="shared" si="479"/>
        <v>#REF!</v>
      </c>
      <c r="EO226" s="1613">
        <v>72.764872999999994</v>
      </c>
      <c r="EP226" s="1613" t="e">
        <f>EA226-#REF!/10^7</f>
        <v>#REF!</v>
      </c>
      <c r="ER226" s="1612" t="e">
        <f t="shared" si="480"/>
        <v>#REF!</v>
      </c>
      <c r="EW226" s="1611" t="e">
        <v>#N/A</v>
      </c>
      <c r="EX226" s="1612" t="e">
        <v>#N/A</v>
      </c>
      <c r="EZ226" s="1650">
        <f t="shared" si="533"/>
        <v>0</v>
      </c>
    </row>
    <row r="227" spans="1:156" ht="21" customHeight="1">
      <c r="A227" s="1652">
        <v>37</v>
      </c>
      <c r="B227" s="1701" t="s">
        <v>1895</v>
      </c>
      <c r="C227" s="1662">
        <v>23</v>
      </c>
      <c r="D227" s="1646">
        <f t="shared" si="474"/>
        <v>100</v>
      </c>
      <c r="E227" s="1646"/>
      <c r="F227" s="1648" t="s">
        <v>1594</v>
      </c>
      <c r="G227" s="1648"/>
      <c r="H227" s="1648">
        <v>23</v>
      </c>
      <c r="I227" s="1648" t="s">
        <v>1717</v>
      </c>
      <c r="J227" s="1649">
        <v>2</v>
      </c>
      <c r="K227" s="1648"/>
      <c r="L227" s="1648"/>
      <c r="M227" s="1648"/>
      <c r="N227" s="1642"/>
      <c r="O227" s="2000" t="e">
        <f>#REF!</f>
        <v>#REF!</v>
      </c>
      <c r="P227" s="2003">
        <f t="shared" si="481"/>
        <v>0</v>
      </c>
      <c r="Q227" s="1989" t="e">
        <f>#REF!/10^7</f>
        <v>#REF!</v>
      </c>
      <c r="R227" s="2003">
        <f t="shared" si="482"/>
        <v>0</v>
      </c>
      <c r="S227" s="1989" t="e">
        <f>#REF!/10^7</f>
        <v>#REF!</v>
      </c>
      <c r="T227" s="2003">
        <f t="shared" si="483"/>
        <v>0</v>
      </c>
      <c r="U227" s="1989" t="e">
        <f>#REF!/10^7</f>
        <v>#REF!</v>
      </c>
      <c r="V227" s="1989" t="e">
        <f>#REF!/10^7</f>
        <v>#REF!</v>
      </c>
      <c r="W227" s="1989">
        <f t="shared" si="484"/>
        <v>0</v>
      </c>
      <c r="X227" s="1999" t="e">
        <f t="shared" si="467"/>
        <v>#REF!</v>
      </c>
      <c r="Y227" s="1993" t="e">
        <f>#REF!</f>
        <v>#REF!</v>
      </c>
      <c r="Z227" s="2003">
        <f t="shared" si="485"/>
        <v>0</v>
      </c>
      <c r="AA227" s="1989" t="e">
        <f>#REF!/10^7</f>
        <v>#REF!</v>
      </c>
      <c r="AB227" s="2003">
        <f t="shared" si="486"/>
        <v>0</v>
      </c>
      <c r="AC227" s="1989" t="e">
        <f>#REF!/10^7</f>
        <v>#REF!</v>
      </c>
      <c r="AD227" s="2003">
        <f t="shared" si="487"/>
        <v>0</v>
      </c>
      <c r="AE227" s="1989" t="e">
        <f>#REF!/10^7</f>
        <v>#REF!</v>
      </c>
      <c r="AF227" s="1989" t="e">
        <f>#REF!/10^7</f>
        <v>#REF!</v>
      </c>
      <c r="AG227" s="2002" t="e">
        <f t="shared" si="488"/>
        <v>#REF!</v>
      </c>
      <c r="AH227" s="1999" t="e">
        <f t="shared" si="468"/>
        <v>#REF!</v>
      </c>
      <c r="AI227" s="1993" t="e">
        <f>#REF!</f>
        <v>#REF!</v>
      </c>
      <c r="AJ227" s="2003">
        <f t="shared" si="489"/>
        <v>0</v>
      </c>
      <c r="AK227" s="1989" t="e">
        <f>#REF!/10^7</f>
        <v>#REF!</v>
      </c>
      <c r="AL227" s="2003">
        <f t="shared" si="490"/>
        <v>0</v>
      </c>
      <c r="AM227" s="1989" t="e">
        <f>#REF!/10^7</f>
        <v>#REF!</v>
      </c>
      <c r="AN227" s="2003">
        <f t="shared" si="491"/>
        <v>0</v>
      </c>
      <c r="AO227" s="1989" t="e">
        <f>#REF!/10^7</f>
        <v>#REF!</v>
      </c>
      <c r="AP227" s="1989" t="e">
        <f>#REF!/10^7</f>
        <v>#REF!</v>
      </c>
      <c r="AQ227" s="2002" t="e">
        <f t="shared" si="492"/>
        <v>#REF!</v>
      </c>
      <c r="AR227" s="1999" t="e">
        <f t="shared" si="469"/>
        <v>#REF!</v>
      </c>
      <c r="AS227" s="1993" t="e">
        <f>#REF!</f>
        <v>#REF!</v>
      </c>
      <c r="AT227" s="2003">
        <f t="shared" si="493"/>
        <v>0</v>
      </c>
      <c r="AU227" s="1989" t="e">
        <f>#REF!/10^7</f>
        <v>#REF!</v>
      </c>
      <c r="AV227" s="2003">
        <f t="shared" si="494"/>
        <v>0</v>
      </c>
      <c r="AW227" s="1989" t="e">
        <f>#REF!/10^7</f>
        <v>#REF!</v>
      </c>
      <c r="AX227" s="2003">
        <f t="shared" si="495"/>
        <v>0</v>
      </c>
      <c r="AY227" s="1989" t="e">
        <f>#REF!/10^7</f>
        <v>#REF!</v>
      </c>
      <c r="AZ227" s="1989" t="e">
        <f>#REF!/10^7</f>
        <v>#REF!</v>
      </c>
      <c r="BA227" s="2002" t="e">
        <f t="shared" si="496"/>
        <v>#REF!</v>
      </c>
      <c r="BB227" s="1999" t="e">
        <f t="shared" si="470"/>
        <v>#REF!</v>
      </c>
      <c r="BC227" s="1993" t="e">
        <f>#REF!</f>
        <v>#REF!</v>
      </c>
      <c r="BD227" s="2003">
        <f t="shared" si="497"/>
        <v>0</v>
      </c>
      <c r="BE227" s="1989" t="e">
        <f>#REF!/10^7</f>
        <v>#REF!</v>
      </c>
      <c r="BF227" s="2003">
        <f t="shared" si="498"/>
        <v>0</v>
      </c>
      <c r="BG227" s="1989" t="e">
        <f>#REF!/10^7</f>
        <v>#REF!</v>
      </c>
      <c r="BH227" s="2003">
        <f t="shared" si="499"/>
        <v>0</v>
      </c>
      <c r="BI227" s="1989" t="e">
        <f>#REF!/10^7</f>
        <v>#REF!</v>
      </c>
      <c r="BJ227" s="1989" t="e">
        <f>#REF!/10^7</f>
        <v>#REF!</v>
      </c>
      <c r="BK227" s="2002" t="e">
        <f t="shared" si="500"/>
        <v>#REF!</v>
      </c>
      <c r="BL227" s="1999" t="e">
        <f t="shared" si="438"/>
        <v>#REF!</v>
      </c>
      <c r="BM227" s="1993" t="e">
        <f>#REF!</f>
        <v>#REF!</v>
      </c>
      <c r="BN227" s="2003">
        <f t="shared" si="501"/>
        <v>0</v>
      </c>
      <c r="BO227" s="1989" t="e">
        <f>#REF!/10^7</f>
        <v>#REF!</v>
      </c>
      <c r="BP227" s="2003">
        <f t="shared" si="502"/>
        <v>0</v>
      </c>
      <c r="BQ227" s="1989" t="e">
        <f>#REF!/10^7</f>
        <v>#REF!</v>
      </c>
      <c r="BR227" s="2003">
        <f t="shared" si="503"/>
        <v>0</v>
      </c>
      <c r="BS227" s="1989" t="e">
        <f>#REF!/10^7</f>
        <v>#REF!</v>
      </c>
      <c r="BT227" s="1989" t="e">
        <f>#REF!/10^7</f>
        <v>#REF!</v>
      </c>
      <c r="BU227" s="2002" t="e">
        <f t="shared" si="504"/>
        <v>#REF!</v>
      </c>
      <c r="BV227" s="1999" t="e">
        <f t="shared" si="439"/>
        <v>#REF!</v>
      </c>
      <c r="BW227" s="1993" t="e">
        <f>#REF!</f>
        <v>#REF!</v>
      </c>
      <c r="BX227" s="2003">
        <f t="shared" si="505"/>
        <v>0</v>
      </c>
      <c r="BY227" s="1989" t="e">
        <f>#REF!/10^7</f>
        <v>#REF!</v>
      </c>
      <c r="BZ227" s="2003">
        <f t="shared" si="506"/>
        <v>0</v>
      </c>
      <c r="CA227" s="1989" t="e">
        <f>#REF!/10^7</f>
        <v>#REF!</v>
      </c>
      <c r="CB227" s="2003">
        <f t="shared" si="507"/>
        <v>0</v>
      </c>
      <c r="CC227" s="1989" t="e">
        <f>#REF!/10^7</f>
        <v>#REF!</v>
      </c>
      <c r="CD227" s="1989" t="e">
        <f>#REF!/10^7</f>
        <v>#REF!</v>
      </c>
      <c r="CE227" s="2002" t="e">
        <f t="shared" si="508"/>
        <v>#REF!</v>
      </c>
      <c r="CF227" s="1999" t="e">
        <f t="shared" si="440"/>
        <v>#REF!</v>
      </c>
      <c r="CG227" s="1993" t="e">
        <f>#REF!</f>
        <v>#REF!</v>
      </c>
      <c r="CH227" s="2003">
        <f t="shared" si="509"/>
        <v>0</v>
      </c>
      <c r="CI227" s="1989" t="e">
        <f>#REF!/10^7</f>
        <v>#REF!</v>
      </c>
      <c r="CJ227" s="2003">
        <f t="shared" si="510"/>
        <v>0</v>
      </c>
      <c r="CK227" s="1989" t="e">
        <f>#REF!/10^7</f>
        <v>#REF!</v>
      </c>
      <c r="CL227" s="2003">
        <f t="shared" si="511"/>
        <v>0</v>
      </c>
      <c r="CM227" s="1989" t="e">
        <f>#REF!/10^7</f>
        <v>#REF!</v>
      </c>
      <c r="CN227" s="1989" t="e">
        <f>#REF!/10^7</f>
        <v>#REF!</v>
      </c>
      <c r="CO227" s="2002" t="e">
        <f t="shared" si="512"/>
        <v>#REF!</v>
      </c>
      <c r="CP227" s="1999" t="e">
        <f t="shared" si="441"/>
        <v>#REF!</v>
      </c>
      <c r="CQ227" s="1993" t="e">
        <f>#REF!</f>
        <v>#REF!</v>
      </c>
      <c r="CR227" s="2003">
        <f t="shared" si="513"/>
        <v>0</v>
      </c>
      <c r="CS227" s="1989" t="e">
        <f>#REF!/10^7</f>
        <v>#REF!</v>
      </c>
      <c r="CT227" s="2003">
        <f t="shared" si="514"/>
        <v>0</v>
      </c>
      <c r="CU227" s="1989" t="e">
        <f>#REF!/10^7</f>
        <v>#REF!</v>
      </c>
      <c r="CV227" s="2003">
        <f t="shared" si="515"/>
        <v>0</v>
      </c>
      <c r="CW227" s="1989" t="e">
        <f>#REF!/10^7</f>
        <v>#REF!</v>
      </c>
      <c r="CX227" s="1989" t="e">
        <f>#REF!/10^7</f>
        <v>#REF!</v>
      </c>
      <c r="CY227" s="2002" t="e">
        <f t="shared" si="516"/>
        <v>#REF!</v>
      </c>
      <c r="CZ227" s="1999" t="e">
        <f t="shared" si="442"/>
        <v>#REF!</v>
      </c>
      <c r="DA227" s="1993" t="e">
        <f>#REF!</f>
        <v>#REF!</v>
      </c>
      <c r="DB227" s="2003">
        <f t="shared" si="517"/>
        <v>0</v>
      </c>
      <c r="DC227" s="1989" t="e">
        <f>#REF!/10^7</f>
        <v>#REF!</v>
      </c>
      <c r="DD227" s="2003">
        <f t="shared" si="518"/>
        <v>0</v>
      </c>
      <c r="DE227" s="1989" t="e">
        <f>#REF!/10^7</f>
        <v>#REF!</v>
      </c>
      <c r="DF227" s="2003">
        <f t="shared" si="519"/>
        <v>0</v>
      </c>
      <c r="DG227" s="1989" t="e">
        <f>#REF!/10^7</f>
        <v>#REF!</v>
      </c>
      <c r="DH227" s="1989" t="e">
        <f>#REF!/10^7</f>
        <v>#REF!</v>
      </c>
      <c r="DI227" s="2002" t="e">
        <f t="shared" si="520"/>
        <v>#REF!</v>
      </c>
      <c r="DJ227" s="1999" t="e">
        <f t="shared" si="471"/>
        <v>#REF!</v>
      </c>
      <c r="DK227" s="1993" t="e">
        <f>#REF!</f>
        <v>#REF!</v>
      </c>
      <c r="DL227" s="2003">
        <f t="shared" si="521"/>
        <v>0</v>
      </c>
      <c r="DM227" s="1989" t="e">
        <f>#REF!/10^7</f>
        <v>#REF!</v>
      </c>
      <c r="DN227" s="2003">
        <f t="shared" si="522"/>
        <v>0</v>
      </c>
      <c r="DO227" s="1989" t="e">
        <f>#REF!/10^7</f>
        <v>#REF!</v>
      </c>
      <c r="DP227" s="2003">
        <f t="shared" si="523"/>
        <v>0</v>
      </c>
      <c r="DQ227" s="1989" t="e">
        <f>#REF!/10^7</f>
        <v>#REF!</v>
      </c>
      <c r="DR227" s="1989" t="e">
        <f>#REF!/10^7</f>
        <v>#REF!</v>
      </c>
      <c r="DS227" s="2002" t="e">
        <f t="shared" si="524"/>
        <v>#REF!</v>
      </c>
      <c r="DT227" s="2004" t="e">
        <f t="shared" si="472"/>
        <v>#REF!</v>
      </c>
      <c r="DU227" s="1988" t="e">
        <f>#REF!</f>
        <v>#REF!</v>
      </c>
      <c r="DV227" s="2003">
        <f t="shared" si="525"/>
        <v>0</v>
      </c>
      <c r="DW227" s="1989" t="e">
        <f>#REF!/10^7</f>
        <v>#REF!</v>
      </c>
      <c r="DX227" s="2003">
        <f t="shared" si="526"/>
        <v>0</v>
      </c>
      <c r="DY227" s="1989" t="e">
        <f>#REF!/10^7</f>
        <v>#REF!</v>
      </c>
      <c r="DZ227" s="2003">
        <f t="shared" si="527"/>
        <v>0</v>
      </c>
      <c r="EA227" s="1989" t="e">
        <f>#REF!/10^7</f>
        <v>#REF!</v>
      </c>
      <c r="EB227" s="1989" t="e">
        <f>#REF!/10^7</f>
        <v>#REF!</v>
      </c>
      <c r="EC227" s="2002" t="e">
        <f t="shared" si="528"/>
        <v>#REF!</v>
      </c>
      <c r="ED227" s="1998" t="e">
        <f t="shared" si="473"/>
        <v>#REF!</v>
      </c>
      <c r="EE227" s="2005" t="e">
        <f t="shared" si="475"/>
        <v>#REF!</v>
      </c>
      <c r="EF227" s="2003">
        <f t="shared" si="529"/>
        <v>0</v>
      </c>
      <c r="EG227" s="1989" t="e">
        <f t="shared" si="476"/>
        <v>#REF!</v>
      </c>
      <c r="EH227" s="2003">
        <f t="shared" si="530"/>
        <v>0</v>
      </c>
      <c r="EI227" s="1989" t="e">
        <f t="shared" si="477"/>
        <v>#REF!</v>
      </c>
      <c r="EJ227" s="2003">
        <f t="shared" si="531"/>
        <v>0</v>
      </c>
      <c r="EK227" s="1989" t="e">
        <f t="shared" si="534"/>
        <v>#REF!</v>
      </c>
      <c r="EL227" s="1989" t="e">
        <f t="shared" si="534"/>
        <v>#REF!</v>
      </c>
      <c r="EM227" s="2006" t="e">
        <f t="shared" si="532"/>
        <v>#REF!</v>
      </c>
      <c r="EN227" s="1999" t="e">
        <f t="shared" si="479"/>
        <v>#REF!</v>
      </c>
      <c r="EO227" s="1613">
        <v>30.260361</v>
      </c>
      <c r="EP227" s="1613" t="e">
        <f>EA227-#REF!/10^7</f>
        <v>#REF!</v>
      </c>
      <c r="ER227" s="1612" t="e">
        <f t="shared" si="480"/>
        <v>#REF!</v>
      </c>
      <c r="EW227" s="1611" t="e">
        <v>#N/A</v>
      </c>
      <c r="EX227" s="1612" t="e">
        <v>#N/A</v>
      </c>
      <c r="EZ227" s="1650">
        <f t="shared" si="533"/>
        <v>0</v>
      </c>
    </row>
    <row r="228" spans="1:156" ht="21" customHeight="1">
      <c r="A228" s="1652">
        <v>38</v>
      </c>
      <c r="B228" s="1701" t="s">
        <v>1896</v>
      </c>
      <c r="C228" s="1662">
        <v>0</v>
      </c>
      <c r="D228" s="1646" t="e">
        <f t="shared" si="474"/>
        <v>#DIV/0!</v>
      </c>
      <c r="E228" s="1646"/>
      <c r="F228" s="1648" t="s">
        <v>1594</v>
      </c>
      <c r="G228" s="1648"/>
      <c r="H228" s="1648">
        <v>0</v>
      </c>
      <c r="I228" s="1648" t="s">
        <v>1717</v>
      </c>
      <c r="J228" s="1649">
        <v>2</v>
      </c>
      <c r="K228" s="1648"/>
      <c r="L228" s="1648"/>
      <c r="M228" s="1648"/>
      <c r="N228" s="1642"/>
      <c r="O228" s="2000" t="e">
        <f>#REF!</f>
        <v>#REF!</v>
      </c>
      <c r="P228" s="2003">
        <f t="shared" si="481"/>
        <v>0</v>
      </c>
      <c r="Q228" s="1989" t="e">
        <f>#REF!/10^7</f>
        <v>#REF!</v>
      </c>
      <c r="R228" s="2003">
        <f t="shared" si="482"/>
        <v>0</v>
      </c>
      <c r="S228" s="1989" t="e">
        <f>#REF!/10^7</f>
        <v>#REF!</v>
      </c>
      <c r="T228" s="2003">
        <f t="shared" si="483"/>
        <v>0</v>
      </c>
      <c r="U228" s="1989" t="e">
        <f>#REF!/10^7</f>
        <v>#REF!</v>
      </c>
      <c r="V228" s="1989" t="e">
        <f>#REF!/10^7</f>
        <v>#REF!</v>
      </c>
      <c r="W228" s="1989">
        <f t="shared" si="484"/>
        <v>0</v>
      </c>
      <c r="X228" s="1999" t="e">
        <f t="shared" si="467"/>
        <v>#REF!</v>
      </c>
      <c r="Y228" s="1993" t="e">
        <f>#REF!</f>
        <v>#REF!</v>
      </c>
      <c r="Z228" s="2003">
        <f t="shared" si="485"/>
        <v>0</v>
      </c>
      <c r="AA228" s="1989" t="e">
        <f>#REF!/10^7</f>
        <v>#REF!</v>
      </c>
      <c r="AB228" s="2003">
        <f t="shared" si="486"/>
        <v>0</v>
      </c>
      <c r="AC228" s="1989" t="e">
        <f>#REF!/10^7</f>
        <v>#REF!</v>
      </c>
      <c r="AD228" s="2003">
        <f t="shared" si="487"/>
        <v>0</v>
      </c>
      <c r="AE228" s="1989" t="e">
        <f>#REF!/10^7</f>
        <v>#REF!</v>
      </c>
      <c r="AF228" s="1989" t="e">
        <f>#REF!/10^7</f>
        <v>#REF!</v>
      </c>
      <c r="AG228" s="2002" t="e">
        <f t="shared" si="488"/>
        <v>#REF!</v>
      </c>
      <c r="AH228" s="1999" t="e">
        <f t="shared" si="468"/>
        <v>#REF!</v>
      </c>
      <c r="AI228" s="1993" t="e">
        <f>#REF!</f>
        <v>#REF!</v>
      </c>
      <c r="AJ228" s="2003">
        <f t="shared" si="489"/>
        <v>0</v>
      </c>
      <c r="AK228" s="1989" t="e">
        <f>#REF!/10^7</f>
        <v>#REF!</v>
      </c>
      <c r="AL228" s="2003">
        <f t="shared" si="490"/>
        <v>0</v>
      </c>
      <c r="AM228" s="1989" t="e">
        <f>#REF!/10^7</f>
        <v>#REF!</v>
      </c>
      <c r="AN228" s="2003">
        <f t="shared" si="491"/>
        <v>0</v>
      </c>
      <c r="AO228" s="1989" t="e">
        <f>#REF!/10^7</f>
        <v>#REF!</v>
      </c>
      <c r="AP228" s="1989" t="e">
        <f>#REF!/10^7</f>
        <v>#REF!</v>
      </c>
      <c r="AQ228" s="2002" t="e">
        <f t="shared" si="492"/>
        <v>#REF!</v>
      </c>
      <c r="AR228" s="1999" t="e">
        <f t="shared" si="469"/>
        <v>#REF!</v>
      </c>
      <c r="AS228" s="1993" t="e">
        <f>#REF!</f>
        <v>#REF!</v>
      </c>
      <c r="AT228" s="2003">
        <f t="shared" si="493"/>
        <v>0</v>
      </c>
      <c r="AU228" s="1989" t="e">
        <f>#REF!/10^7</f>
        <v>#REF!</v>
      </c>
      <c r="AV228" s="2003">
        <f t="shared" si="494"/>
        <v>0</v>
      </c>
      <c r="AW228" s="1989" t="e">
        <f>#REF!/10^7</f>
        <v>#REF!</v>
      </c>
      <c r="AX228" s="2003">
        <f t="shared" si="495"/>
        <v>0</v>
      </c>
      <c r="AY228" s="1989" t="e">
        <f>#REF!/10^7</f>
        <v>#REF!</v>
      </c>
      <c r="AZ228" s="1989" t="e">
        <f>#REF!/10^7</f>
        <v>#REF!</v>
      </c>
      <c r="BA228" s="2002" t="e">
        <f t="shared" si="496"/>
        <v>#REF!</v>
      </c>
      <c r="BB228" s="1999" t="e">
        <f t="shared" si="470"/>
        <v>#REF!</v>
      </c>
      <c r="BC228" s="1993" t="e">
        <f>#REF!</f>
        <v>#REF!</v>
      </c>
      <c r="BD228" s="2003">
        <f t="shared" si="497"/>
        <v>0</v>
      </c>
      <c r="BE228" s="1989" t="e">
        <f>#REF!/10^7</f>
        <v>#REF!</v>
      </c>
      <c r="BF228" s="2003">
        <f t="shared" si="498"/>
        <v>0</v>
      </c>
      <c r="BG228" s="1989" t="e">
        <f>#REF!/10^7</f>
        <v>#REF!</v>
      </c>
      <c r="BH228" s="2003">
        <f t="shared" si="499"/>
        <v>0</v>
      </c>
      <c r="BI228" s="1989" t="e">
        <f>#REF!/10^7</f>
        <v>#REF!</v>
      </c>
      <c r="BJ228" s="1989" t="e">
        <f>#REF!/10^7</f>
        <v>#REF!</v>
      </c>
      <c r="BK228" s="2002" t="e">
        <f t="shared" si="500"/>
        <v>#REF!</v>
      </c>
      <c r="BL228" s="1999" t="e">
        <f t="shared" si="438"/>
        <v>#REF!</v>
      </c>
      <c r="BM228" s="1993" t="e">
        <f>#REF!</f>
        <v>#REF!</v>
      </c>
      <c r="BN228" s="2003">
        <f t="shared" si="501"/>
        <v>0</v>
      </c>
      <c r="BO228" s="1989" t="e">
        <f>#REF!/10^7</f>
        <v>#REF!</v>
      </c>
      <c r="BP228" s="2003">
        <f t="shared" si="502"/>
        <v>0</v>
      </c>
      <c r="BQ228" s="1989" t="e">
        <f>#REF!/10^7</f>
        <v>#REF!</v>
      </c>
      <c r="BR228" s="2003">
        <f t="shared" si="503"/>
        <v>0</v>
      </c>
      <c r="BS228" s="1989" t="e">
        <f>#REF!/10^7</f>
        <v>#REF!</v>
      </c>
      <c r="BT228" s="1989" t="e">
        <f>#REF!/10^7</f>
        <v>#REF!</v>
      </c>
      <c r="BU228" s="2002" t="e">
        <f t="shared" si="504"/>
        <v>#REF!</v>
      </c>
      <c r="BV228" s="1999" t="e">
        <f t="shared" si="439"/>
        <v>#REF!</v>
      </c>
      <c r="BW228" s="1993" t="e">
        <f>#REF!</f>
        <v>#REF!</v>
      </c>
      <c r="BX228" s="2003">
        <f t="shared" si="505"/>
        <v>0</v>
      </c>
      <c r="BY228" s="1989" t="e">
        <f>#REF!/10^7</f>
        <v>#REF!</v>
      </c>
      <c r="BZ228" s="2003">
        <f t="shared" si="506"/>
        <v>0</v>
      </c>
      <c r="CA228" s="1989" t="e">
        <f>#REF!/10^7</f>
        <v>#REF!</v>
      </c>
      <c r="CB228" s="2003">
        <f t="shared" si="507"/>
        <v>0</v>
      </c>
      <c r="CC228" s="1989" t="e">
        <f>#REF!/10^7</f>
        <v>#REF!</v>
      </c>
      <c r="CD228" s="1989" t="e">
        <f>#REF!/10^7</f>
        <v>#REF!</v>
      </c>
      <c r="CE228" s="2002" t="e">
        <f t="shared" si="508"/>
        <v>#REF!</v>
      </c>
      <c r="CF228" s="1999" t="e">
        <f t="shared" si="440"/>
        <v>#REF!</v>
      </c>
      <c r="CG228" s="1993" t="e">
        <f>#REF!</f>
        <v>#REF!</v>
      </c>
      <c r="CH228" s="2003">
        <f t="shared" si="509"/>
        <v>0</v>
      </c>
      <c r="CI228" s="1989" t="e">
        <f>#REF!/10^7</f>
        <v>#REF!</v>
      </c>
      <c r="CJ228" s="2003">
        <f t="shared" si="510"/>
        <v>0</v>
      </c>
      <c r="CK228" s="1989" t="e">
        <f>#REF!/10^7</f>
        <v>#REF!</v>
      </c>
      <c r="CL228" s="2003">
        <f t="shared" si="511"/>
        <v>0</v>
      </c>
      <c r="CM228" s="1989" t="e">
        <f>#REF!/10^7</f>
        <v>#REF!</v>
      </c>
      <c r="CN228" s="1989" t="e">
        <f>#REF!/10^7</f>
        <v>#REF!</v>
      </c>
      <c r="CO228" s="2002" t="e">
        <f t="shared" si="512"/>
        <v>#REF!</v>
      </c>
      <c r="CP228" s="1999" t="e">
        <f t="shared" si="441"/>
        <v>#REF!</v>
      </c>
      <c r="CQ228" s="1993" t="e">
        <f>#REF!</f>
        <v>#REF!</v>
      </c>
      <c r="CR228" s="2003">
        <f t="shared" si="513"/>
        <v>0</v>
      </c>
      <c r="CS228" s="1989" t="e">
        <f>#REF!/10^7</f>
        <v>#REF!</v>
      </c>
      <c r="CT228" s="2003">
        <f t="shared" si="514"/>
        <v>0</v>
      </c>
      <c r="CU228" s="1989" t="e">
        <f>#REF!/10^7</f>
        <v>#REF!</v>
      </c>
      <c r="CV228" s="2003">
        <f t="shared" si="515"/>
        <v>0</v>
      </c>
      <c r="CW228" s="1989" t="e">
        <f>#REF!/10^7</f>
        <v>#REF!</v>
      </c>
      <c r="CX228" s="1989" t="e">
        <f>#REF!/10^7</f>
        <v>#REF!</v>
      </c>
      <c r="CY228" s="2002" t="e">
        <f t="shared" si="516"/>
        <v>#REF!</v>
      </c>
      <c r="CZ228" s="1999" t="e">
        <f t="shared" si="442"/>
        <v>#REF!</v>
      </c>
      <c r="DA228" s="1993" t="e">
        <f>#REF!</f>
        <v>#REF!</v>
      </c>
      <c r="DB228" s="2003">
        <f t="shared" si="517"/>
        <v>0</v>
      </c>
      <c r="DC228" s="1989" t="e">
        <f>#REF!/10^7</f>
        <v>#REF!</v>
      </c>
      <c r="DD228" s="2003">
        <f t="shared" si="518"/>
        <v>0</v>
      </c>
      <c r="DE228" s="1989" t="e">
        <f>#REF!/10^7</f>
        <v>#REF!</v>
      </c>
      <c r="DF228" s="2003">
        <f t="shared" si="519"/>
        <v>0</v>
      </c>
      <c r="DG228" s="1989" t="e">
        <f>#REF!/10^7</f>
        <v>#REF!</v>
      </c>
      <c r="DH228" s="1989" t="e">
        <f>#REF!/10^7</f>
        <v>#REF!</v>
      </c>
      <c r="DI228" s="2002" t="e">
        <f t="shared" si="520"/>
        <v>#REF!</v>
      </c>
      <c r="DJ228" s="1999" t="e">
        <f t="shared" si="471"/>
        <v>#REF!</v>
      </c>
      <c r="DK228" s="1993" t="e">
        <f>#REF!</f>
        <v>#REF!</v>
      </c>
      <c r="DL228" s="2003">
        <f t="shared" si="521"/>
        <v>0</v>
      </c>
      <c r="DM228" s="1989" t="e">
        <f>#REF!/10^7</f>
        <v>#REF!</v>
      </c>
      <c r="DN228" s="2003">
        <f t="shared" si="522"/>
        <v>0</v>
      </c>
      <c r="DO228" s="1989" t="e">
        <f>#REF!/10^7</f>
        <v>#REF!</v>
      </c>
      <c r="DP228" s="2003">
        <f t="shared" si="523"/>
        <v>0</v>
      </c>
      <c r="DQ228" s="1989" t="e">
        <f>#REF!/10^7</f>
        <v>#REF!</v>
      </c>
      <c r="DR228" s="1989" t="e">
        <f>#REF!/10^7</f>
        <v>#REF!</v>
      </c>
      <c r="DS228" s="2002" t="e">
        <f t="shared" si="524"/>
        <v>#REF!</v>
      </c>
      <c r="DT228" s="2004" t="e">
        <f t="shared" si="472"/>
        <v>#REF!</v>
      </c>
      <c r="DU228" s="1988" t="e">
        <f>#REF!</f>
        <v>#REF!</v>
      </c>
      <c r="DV228" s="2003">
        <f t="shared" si="525"/>
        <v>0</v>
      </c>
      <c r="DW228" s="1989" t="e">
        <f>#REF!/10^7</f>
        <v>#REF!</v>
      </c>
      <c r="DX228" s="2003">
        <f t="shared" si="526"/>
        <v>0</v>
      </c>
      <c r="DY228" s="1989" t="e">
        <f>#REF!/10^7</f>
        <v>#REF!</v>
      </c>
      <c r="DZ228" s="2003">
        <f t="shared" si="527"/>
        <v>0</v>
      </c>
      <c r="EA228" s="1989" t="e">
        <f>#REF!/10^7</f>
        <v>#REF!</v>
      </c>
      <c r="EB228" s="1989" t="e">
        <f>#REF!/10^7</f>
        <v>#REF!</v>
      </c>
      <c r="EC228" s="2002" t="e">
        <f t="shared" si="528"/>
        <v>#REF!</v>
      </c>
      <c r="ED228" s="1998" t="e">
        <f t="shared" si="473"/>
        <v>#REF!</v>
      </c>
      <c r="EE228" s="2005" t="e">
        <f t="shared" si="475"/>
        <v>#REF!</v>
      </c>
      <c r="EF228" s="2003">
        <f t="shared" si="529"/>
        <v>0</v>
      </c>
      <c r="EG228" s="1989" t="e">
        <f t="shared" si="476"/>
        <v>#REF!</v>
      </c>
      <c r="EH228" s="2003">
        <f t="shared" si="530"/>
        <v>0</v>
      </c>
      <c r="EI228" s="1989" t="e">
        <f t="shared" si="477"/>
        <v>#REF!</v>
      </c>
      <c r="EJ228" s="2003">
        <f t="shared" si="531"/>
        <v>0</v>
      </c>
      <c r="EK228" s="1989" t="e">
        <f t="shared" si="534"/>
        <v>#REF!</v>
      </c>
      <c r="EL228" s="1989" t="e">
        <f t="shared" si="534"/>
        <v>#REF!</v>
      </c>
      <c r="EM228" s="2006" t="e">
        <f t="shared" si="532"/>
        <v>#REF!</v>
      </c>
      <c r="EN228" s="1999" t="e">
        <f t="shared" si="479"/>
        <v>#REF!</v>
      </c>
      <c r="EO228" s="1613">
        <v>0</v>
      </c>
      <c r="EP228" s="1613" t="e">
        <f>EA228-#REF!/10^7</f>
        <v>#REF!</v>
      </c>
      <c r="EQ228" s="1613">
        <v>0</v>
      </c>
      <c r="ER228" s="1612" t="e">
        <f t="shared" si="480"/>
        <v>#REF!</v>
      </c>
      <c r="EW228" s="1611" t="e">
        <v>#N/A</v>
      </c>
      <c r="EX228" s="1612" t="e">
        <v>#N/A</v>
      </c>
      <c r="EZ228" s="1650">
        <f t="shared" si="533"/>
        <v>0</v>
      </c>
    </row>
    <row r="229" spans="1:156" ht="21" customHeight="1">
      <c r="A229" s="1652">
        <v>39</v>
      </c>
      <c r="B229" s="1701" t="s">
        <v>1897</v>
      </c>
      <c r="C229" s="1662">
        <v>8</v>
      </c>
      <c r="D229" s="1646">
        <f t="shared" si="474"/>
        <v>100</v>
      </c>
      <c r="E229" s="1646"/>
      <c r="F229" s="1648" t="s">
        <v>1594</v>
      </c>
      <c r="G229" s="1648"/>
      <c r="H229" s="1648">
        <v>8</v>
      </c>
      <c r="I229" s="1648" t="s">
        <v>1717</v>
      </c>
      <c r="J229" s="1649">
        <v>2</v>
      </c>
      <c r="K229" s="1648"/>
      <c r="L229" s="1648"/>
      <c r="M229" s="1648"/>
      <c r="N229" s="1642"/>
      <c r="O229" s="2000" t="e">
        <f>#REF!</f>
        <v>#REF!</v>
      </c>
      <c r="P229" s="2003">
        <f t="shared" si="481"/>
        <v>0</v>
      </c>
      <c r="Q229" s="1989" t="e">
        <f>#REF!/10^7</f>
        <v>#REF!</v>
      </c>
      <c r="R229" s="2003">
        <f t="shared" si="482"/>
        <v>0</v>
      </c>
      <c r="S229" s="1989" t="e">
        <f>#REF!/10^7</f>
        <v>#REF!</v>
      </c>
      <c r="T229" s="2003">
        <f t="shared" si="483"/>
        <v>0</v>
      </c>
      <c r="U229" s="1989" t="e">
        <f>#REF!/10^7</f>
        <v>#REF!</v>
      </c>
      <c r="V229" s="1989" t="e">
        <f>#REF!/10^7</f>
        <v>#REF!</v>
      </c>
      <c r="W229" s="1989">
        <f t="shared" si="484"/>
        <v>0</v>
      </c>
      <c r="X229" s="1999" t="e">
        <f t="shared" si="467"/>
        <v>#REF!</v>
      </c>
      <c r="Y229" s="1993" t="e">
        <f>#REF!</f>
        <v>#REF!</v>
      </c>
      <c r="Z229" s="2003">
        <f t="shared" si="485"/>
        <v>0</v>
      </c>
      <c r="AA229" s="1989" t="e">
        <f>#REF!/10^7</f>
        <v>#REF!</v>
      </c>
      <c r="AB229" s="2003">
        <f t="shared" si="486"/>
        <v>0</v>
      </c>
      <c r="AC229" s="1989" t="e">
        <f>#REF!/10^7</f>
        <v>#REF!</v>
      </c>
      <c r="AD229" s="2003">
        <f t="shared" si="487"/>
        <v>0</v>
      </c>
      <c r="AE229" s="1989" t="e">
        <f>#REF!/10^7</f>
        <v>#REF!</v>
      </c>
      <c r="AF229" s="1989" t="e">
        <f>#REF!/10^7</f>
        <v>#REF!</v>
      </c>
      <c r="AG229" s="2002" t="e">
        <f t="shared" si="488"/>
        <v>#REF!</v>
      </c>
      <c r="AH229" s="1999" t="e">
        <f t="shared" si="468"/>
        <v>#REF!</v>
      </c>
      <c r="AI229" s="1993" t="e">
        <f>#REF!</f>
        <v>#REF!</v>
      </c>
      <c r="AJ229" s="2003">
        <f t="shared" si="489"/>
        <v>0</v>
      </c>
      <c r="AK229" s="1989" t="e">
        <f>#REF!/10^7</f>
        <v>#REF!</v>
      </c>
      <c r="AL229" s="2003">
        <f t="shared" si="490"/>
        <v>0</v>
      </c>
      <c r="AM229" s="1989" t="e">
        <f>#REF!/10^7</f>
        <v>#REF!</v>
      </c>
      <c r="AN229" s="2003">
        <f t="shared" si="491"/>
        <v>0</v>
      </c>
      <c r="AO229" s="1989" t="e">
        <f>#REF!/10^7</f>
        <v>#REF!</v>
      </c>
      <c r="AP229" s="1989" t="e">
        <f>#REF!/10^7</f>
        <v>#REF!</v>
      </c>
      <c r="AQ229" s="2002" t="e">
        <f t="shared" si="492"/>
        <v>#REF!</v>
      </c>
      <c r="AR229" s="1999" t="e">
        <f t="shared" si="469"/>
        <v>#REF!</v>
      </c>
      <c r="AS229" s="1993" t="e">
        <f>#REF!</f>
        <v>#REF!</v>
      </c>
      <c r="AT229" s="2003">
        <f t="shared" si="493"/>
        <v>0</v>
      </c>
      <c r="AU229" s="1989" t="e">
        <f>#REF!/10^7</f>
        <v>#REF!</v>
      </c>
      <c r="AV229" s="2003">
        <f t="shared" si="494"/>
        <v>0</v>
      </c>
      <c r="AW229" s="1989" t="e">
        <f>#REF!/10^7</f>
        <v>#REF!</v>
      </c>
      <c r="AX229" s="2003">
        <f t="shared" si="495"/>
        <v>0</v>
      </c>
      <c r="AY229" s="1989" t="e">
        <f>#REF!/10^7</f>
        <v>#REF!</v>
      </c>
      <c r="AZ229" s="1989" t="e">
        <f>#REF!/10^7</f>
        <v>#REF!</v>
      </c>
      <c r="BA229" s="2002" t="e">
        <f t="shared" si="496"/>
        <v>#REF!</v>
      </c>
      <c r="BB229" s="1999" t="e">
        <f t="shared" si="470"/>
        <v>#REF!</v>
      </c>
      <c r="BC229" s="1993" t="e">
        <f>#REF!</f>
        <v>#REF!</v>
      </c>
      <c r="BD229" s="2003">
        <f t="shared" si="497"/>
        <v>0</v>
      </c>
      <c r="BE229" s="1989" t="e">
        <f>#REF!/10^7</f>
        <v>#REF!</v>
      </c>
      <c r="BF229" s="2003">
        <f t="shared" si="498"/>
        <v>0</v>
      </c>
      <c r="BG229" s="1989" t="e">
        <f>#REF!/10^7</f>
        <v>#REF!</v>
      </c>
      <c r="BH229" s="2003">
        <f t="shared" si="499"/>
        <v>0</v>
      </c>
      <c r="BI229" s="1989" t="e">
        <f>#REF!/10^7</f>
        <v>#REF!</v>
      </c>
      <c r="BJ229" s="1989" t="e">
        <f>#REF!/10^7</f>
        <v>#REF!</v>
      </c>
      <c r="BK229" s="2002" t="e">
        <f t="shared" si="500"/>
        <v>#REF!</v>
      </c>
      <c r="BL229" s="1999" t="e">
        <f t="shared" si="438"/>
        <v>#REF!</v>
      </c>
      <c r="BM229" s="1993" t="e">
        <f>#REF!</f>
        <v>#REF!</v>
      </c>
      <c r="BN229" s="2003">
        <f t="shared" si="501"/>
        <v>0</v>
      </c>
      <c r="BO229" s="1989" t="e">
        <f>#REF!/10^7</f>
        <v>#REF!</v>
      </c>
      <c r="BP229" s="2003">
        <f t="shared" si="502"/>
        <v>0</v>
      </c>
      <c r="BQ229" s="1989" t="e">
        <f>#REF!/10^7</f>
        <v>#REF!</v>
      </c>
      <c r="BR229" s="2003">
        <f t="shared" si="503"/>
        <v>0</v>
      </c>
      <c r="BS229" s="1989" t="e">
        <f>#REF!/10^7</f>
        <v>#REF!</v>
      </c>
      <c r="BT229" s="1989" t="e">
        <f>#REF!/10^7</f>
        <v>#REF!</v>
      </c>
      <c r="BU229" s="2002" t="e">
        <f t="shared" si="504"/>
        <v>#REF!</v>
      </c>
      <c r="BV229" s="1999" t="e">
        <f t="shared" si="439"/>
        <v>#REF!</v>
      </c>
      <c r="BW229" s="1993" t="e">
        <f>#REF!</f>
        <v>#REF!</v>
      </c>
      <c r="BX229" s="2003">
        <f t="shared" si="505"/>
        <v>0</v>
      </c>
      <c r="BY229" s="1989" t="e">
        <f>#REF!/10^7</f>
        <v>#REF!</v>
      </c>
      <c r="BZ229" s="2003">
        <f t="shared" si="506"/>
        <v>0</v>
      </c>
      <c r="CA229" s="1989" t="e">
        <f>#REF!/10^7</f>
        <v>#REF!</v>
      </c>
      <c r="CB229" s="2003">
        <f t="shared" si="507"/>
        <v>0</v>
      </c>
      <c r="CC229" s="1989" t="e">
        <f>#REF!/10^7</f>
        <v>#REF!</v>
      </c>
      <c r="CD229" s="1989" t="e">
        <f>#REF!/10^7</f>
        <v>#REF!</v>
      </c>
      <c r="CE229" s="2002" t="e">
        <f t="shared" si="508"/>
        <v>#REF!</v>
      </c>
      <c r="CF229" s="1999" t="e">
        <f t="shared" si="440"/>
        <v>#REF!</v>
      </c>
      <c r="CG229" s="1993" t="e">
        <f>#REF!</f>
        <v>#REF!</v>
      </c>
      <c r="CH229" s="2003">
        <f t="shared" si="509"/>
        <v>0</v>
      </c>
      <c r="CI229" s="1989" t="e">
        <f>#REF!/10^7</f>
        <v>#REF!</v>
      </c>
      <c r="CJ229" s="2003">
        <f t="shared" si="510"/>
        <v>0</v>
      </c>
      <c r="CK229" s="1989" t="e">
        <f>#REF!/10^7</f>
        <v>#REF!</v>
      </c>
      <c r="CL229" s="2003">
        <f t="shared" si="511"/>
        <v>0</v>
      </c>
      <c r="CM229" s="1989" t="e">
        <f>#REF!/10^7</f>
        <v>#REF!</v>
      </c>
      <c r="CN229" s="1989" t="e">
        <f>#REF!/10^7</f>
        <v>#REF!</v>
      </c>
      <c r="CO229" s="2002" t="e">
        <f t="shared" si="512"/>
        <v>#REF!</v>
      </c>
      <c r="CP229" s="1999" t="e">
        <f t="shared" si="441"/>
        <v>#REF!</v>
      </c>
      <c r="CQ229" s="1993" t="e">
        <f>#REF!</f>
        <v>#REF!</v>
      </c>
      <c r="CR229" s="2003">
        <f t="shared" si="513"/>
        <v>0</v>
      </c>
      <c r="CS229" s="1989" t="e">
        <f>#REF!/10^7</f>
        <v>#REF!</v>
      </c>
      <c r="CT229" s="2003">
        <f t="shared" si="514"/>
        <v>0</v>
      </c>
      <c r="CU229" s="1989" t="e">
        <f>#REF!/10^7</f>
        <v>#REF!</v>
      </c>
      <c r="CV229" s="2003">
        <f t="shared" si="515"/>
        <v>0</v>
      </c>
      <c r="CW229" s="1989" t="e">
        <f>#REF!/10^7</f>
        <v>#REF!</v>
      </c>
      <c r="CX229" s="1989" t="e">
        <f>#REF!/10^7</f>
        <v>#REF!</v>
      </c>
      <c r="CY229" s="2002" t="e">
        <f t="shared" si="516"/>
        <v>#REF!</v>
      </c>
      <c r="CZ229" s="1999" t="e">
        <f t="shared" si="442"/>
        <v>#REF!</v>
      </c>
      <c r="DA229" s="1993" t="e">
        <f>#REF!</f>
        <v>#REF!</v>
      </c>
      <c r="DB229" s="2003">
        <f t="shared" si="517"/>
        <v>0</v>
      </c>
      <c r="DC229" s="1989" t="e">
        <f>#REF!/10^7</f>
        <v>#REF!</v>
      </c>
      <c r="DD229" s="2003">
        <f t="shared" si="518"/>
        <v>0</v>
      </c>
      <c r="DE229" s="1989" t="e">
        <f>#REF!/10^7</f>
        <v>#REF!</v>
      </c>
      <c r="DF229" s="2003">
        <f t="shared" si="519"/>
        <v>0</v>
      </c>
      <c r="DG229" s="1989" t="e">
        <f>#REF!/10^7</f>
        <v>#REF!</v>
      </c>
      <c r="DH229" s="1989" t="e">
        <f>#REF!/10^7</f>
        <v>#REF!</v>
      </c>
      <c r="DI229" s="2002" t="e">
        <f t="shared" si="520"/>
        <v>#REF!</v>
      </c>
      <c r="DJ229" s="1999" t="e">
        <f t="shared" si="471"/>
        <v>#REF!</v>
      </c>
      <c r="DK229" s="1993" t="e">
        <f>#REF!</f>
        <v>#REF!</v>
      </c>
      <c r="DL229" s="2003">
        <f t="shared" si="521"/>
        <v>0</v>
      </c>
      <c r="DM229" s="1989" t="e">
        <f>#REF!/10^7</f>
        <v>#REF!</v>
      </c>
      <c r="DN229" s="2003">
        <f t="shared" si="522"/>
        <v>0</v>
      </c>
      <c r="DO229" s="1989" t="e">
        <f>#REF!/10^7</f>
        <v>#REF!</v>
      </c>
      <c r="DP229" s="2003">
        <f t="shared" si="523"/>
        <v>0</v>
      </c>
      <c r="DQ229" s="1989" t="e">
        <f>#REF!/10^7</f>
        <v>#REF!</v>
      </c>
      <c r="DR229" s="1989" t="e">
        <f>#REF!/10^7</f>
        <v>#REF!</v>
      </c>
      <c r="DS229" s="2002" t="e">
        <f t="shared" si="524"/>
        <v>#REF!</v>
      </c>
      <c r="DT229" s="2004" t="e">
        <f t="shared" si="472"/>
        <v>#REF!</v>
      </c>
      <c r="DU229" s="1988" t="e">
        <f>#REF!</f>
        <v>#REF!</v>
      </c>
      <c r="DV229" s="2003">
        <f t="shared" si="525"/>
        <v>0</v>
      </c>
      <c r="DW229" s="1989" t="e">
        <f>#REF!/10^7</f>
        <v>#REF!</v>
      </c>
      <c r="DX229" s="2003">
        <f t="shared" si="526"/>
        <v>0</v>
      </c>
      <c r="DY229" s="1989" t="e">
        <f>#REF!/10^7</f>
        <v>#REF!</v>
      </c>
      <c r="DZ229" s="2003">
        <f t="shared" si="527"/>
        <v>0</v>
      </c>
      <c r="EA229" s="1989" t="e">
        <f>#REF!/10^7</f>
        <v>#REF!</v>
      </c>
      <c r="EB229" s="1989" t="e">
        <f>#REF!/10^7</f>
        <v>#REF!</v>
      </c>
      <c r="EC229" s="2002" t="e">
        <f t="shared" si="528"/>
        <v>#REF!</v>
      </c>
      <c r="ED229" s="1998" t="e">
        <f t="shared" si="473"/>
        <v>#REF!</v>
      </c>
      <c r="EE229" s="2005" t="e">
        <f t="shared" si="475"/>
        <v>#REF!</v>
      </c>
      <c r="EF229" s="2003">
        <f t="shared" si="529"/>
        <v>0</v>
      </c>
      <c r="EG229" s="1989" t="e">
        <f t="shared" si="476"/>
        <v>#REF!</v>
      </c>
      <c r="EH229" s="2003">
        <f t="shared" si="530"/>
        <v>0</v>
      </c>
      <c r="EI229" s="1989" t="e">
        <f t="shared" si="477"/>
        <v>#REF!</v>
      </c>
      <c r="EJ229" s="2003">
        <f t="shared" si="531"/>
        <v>0</v>
      </c>
      <c r="EK229" s="1989" t="e">
        <f t="shared" si="534"/>
        <v>#REF!</v>
      </c>
      <c r="EL229" s="1989" t="e">
        <f t="shared" si="534"/>
        <v>#REF!</v>
      </c>
      <c r="EM229" s="2006" t="e">
        <f t="shared" si="532"/>
        <v>#REF!</v>
      </c>
      <c r="EN229" s="1999" t="e">
        <f t="shared" si="479"/>
        <v>#REF!</v>
      </c>
      <c r="EO229" s="1613">
        <v>4.95882369</v>
      </c>
      <c r="EP229" s="1613" t="e">
        <f>EA229-#REF!/10^7</f>
        <v>#REF!</v>
      </c>
      <c r="ER229" s="1612" t="e">
        <f t="shared" si="480"/>
        <v>#REF!</v>
      </c>
      <c r="EW229" s="1611" t="e">
        <v>#N/A</v>
      </c>
      <c r="EX229" s="1612" t="e">
        <v>#N/A</v>
      </c>
      <c r="EZ229" s="1650">
        <f t="shared" si="533"/>
        <v>0</v>
      </c>
    </row>
    <row r="230" spans="1:156" ht="21" customHeight="1">
      <c r="A230" s="1652">
        <v>40</v>
      </c>
      <c r="B230" s="1701" t="s">
        <v>1898</v>
      </c>
      <c r="C230" s="1662">
        <v>38.56</v>
      </c>
      <c r="D230" s="1646">
        <f t="shared" si="474"/>
        <v>100</v>
      </c>
      <c r="E230" s="1646"/>
      <c r="F230" s="1648" t="s">
        <v>1594</v>
      </c>
      <c r="G230" s="1648"/>
      <c r="H230" s="1648">
        <v>38.56</v>
      </c>
      <c r="I230" s="1648" t="s">
        <v>1717</v>
      </c>
      <c r="J230" s="1649">
        <v>2</v>
      </c>
      <c r="K230" s="1648"/>
      <c r="L230" s="1648"/>
      <c r="M230" s="1648"/>
      <c r="N230" s="1642"/>
      <c r="O230" s="2000" t="e">
        <f>#REF!</f>
        <v>#REF!</v>
      </c>
      <c r="P230" s="2003">
        <f t="shared" si="481"/>
        <v>0</v>
      </c>
      <c r="Q230" s="1989" t="e">
        <f>#REF!/10^7</f>
        <v>#REF!</v>
      </c>
      <c r="R230" s="2003">
        <f t="shared" si="482"/>
        <v>0</v>
      </c>
      <c r="S230" s="1989" t="e">
        <f>#REF!/10^7</f>
        <v>#REF!</v>
      </c>
      <c r="T230" s="2003">
        <f t="shared" si="483"/>
        <v>0</v>
      </c>
      <c r="U230" s="1989" t="e">
        <f>#REF!/10^7</f>
        <v>#REF!</v>
      </c>
      <c r="V230" s="1989" t="e">
        <f>#REF!/10^7</f>
        <v>#REF!</v>
      </c>
      <c r="W230" s="1989">
        <f t="shared" si="484"/>
        <v>0</v>
      </c>
      <c r="X230" s="1999" t="e">
        <f t="shared" si="467"/>
        <v>#REF!</v>
      </c>
      <c r="Y230" s="1993" t="e">
        <f>#REF!</f>
        <v>#REF!</v>
      </c>
      <c r="Z230" s="2003">
        <f t="shared" si="485"/>
        <v>0</v>
      </c>
      <c r="AA230" s="1989" t="e">
        <f>#REF!/10^7</f>
        <v>#REF!</v>
      </c>
      <c r="AB230" s="2003">
        <f t="shared" si="486"/>
        <v>0</v>
      </c>
      <c r="AC230" s="1989" t="e">
        <f>#REF!/10^7</f>
        <v>#REF!</v>
      </c>
      <c r="AD230" s="2003">
        <f t="shared" si="487"/>
        <v>0</v>
      </c>
      <c r="AE230" s="1989" t="e">
        <f>#REF!/10^7</f>
        <v>#REF!</v>
      </c>
      <c r="AF230" s="1989" t="e">
        <f>#REF!/10^7</f>
        <v>#REF!</v>
      </c>
      <c r="AG230" s="2002" t="e">
        <f t="shared" si="488"/>
        <v>#REF!</v>
      </c>
      <c r="AH230" s="1999" t="e">
        <f t="shared" si="468"/>
        <v>#REF!</v>
      </c>
      <c r="AI230" s="1993" t="e">
        <f>#REF!</f>
        <v>#REF!</v>
      </c>
      <c r="AJ230" s="2003">
        <f t="shared" si="489"/>
        <v>0</v>
      </c>
      <c r="AK230" s="1989" t="e">
        <f>#REF!/10^7</f>
        <v>#REF!</v>
      </c>
      <c r="AL230" s="2003">
        <f t="shared" si="490"/>
        <v>0</v>
      </c>
      <c r="AM230" s="1989" t="e">
        <f>#REF!/10^7</f>
        <v>#REF!</v>
      </c>
      <c r="AN230" s="2003">
        <f t="shared" si="491"/>
        <v>0</v>
      </c>
      <c r="AO230" s="1989" t="e">
        <f>#REF!/10^7</f>
        <v>#REF!</v>
      </c>
      <c r="AP230" s="1989" t="e">
        <f>#REF!/10^7</f>
        <v>#REF!</v>
      </c>
      <c r="AQ230" s="2002" t="e">
        <f t="shared" si="492"/>
        <v>#REF!</v>
      </c>
      <c r="AR230" s="1999" t="e">
        <f t="shared" si="469"/>
        <v>#REF!</v>
      </c>
      <c r="AS230" s="1993" t="e">
        <f>#REF!</f>
        <v>#REF!</v>
      </c>
      <c r="AT230" s="2003">
        <f t="shared" si="493"/>
        <v>0</v>
      </c>
      <c r="AU230" s="1989" t="e">
        <f>#REF!/10^7</f>
        <v>#REF!</v>
      </c>
      <c r="AV230" s="2003">
        <f t="shared" si="494"/>
        <v>0</v>
      </c>
      <c r="AW230" s="1989" t="e">
        <f>#REF!/10^7</f>
        <v>#REF!</v>
      </c>
      <c r="AX230" s="2003">
        <f t="shared" si="495"/>
        <v>0</v>
      </c>
      <c r="AY230" s="1989" t="e">
        <f>#REF!/10^7</f>
        <v>#REF!</v>
      </c>
      <c r="AZ230" s="1989" t="e">
        <f>#REF!/10^7</f>
        <v>#REF!</v>
      </c>
      <c r="BA230" s="2002" t="e">
        <f t="shared" si="496"/>
        <v>#REF!</v>
      </c>
      <c r="BB230" s="1999" t="e">
        <f t="shared" si="470"/>
        <v>#REF!</v>
      </c>
      <c r="BC230" s="1993" t="e">
        <f>#REF!</f>
        <v>#REF!</v>
      </c>
      <c r="BD230" s="2003">
        <f t="shared" si="497"/>
        <v>0</v>
      </c>
      <c r="BE230" s="1989" t="e">
        <f>#REF!/10^7</f>
        <v>#REF!</v>
      </c>
      <c r="BF230" s="2003">
        <f t="shared" si="498"/>
        <v>0</v>
      </c>
      <c r="BG230" s="1989" t="e">
        <f>#REF!/10^7</f>
        <v>#REF!</v>
      </c>
      <c r="BH230" s="2003">
        <f t="shared" si="499"/>
        <v>0</v>
      </c>
      <c r="BI230" s="1989" t="e">
        <f>#REF!/10^7</f>
        <v>#REF!</v>
      </c>
      <c r="BJ230" s="1989" t="e">
        <f>#REF!/10^7</f>
        <v>#REF!</v>
      </c>
      <c r="BK230" s="2002" t="e">
        <f t="shared" si="500"/>
        <v>#REF!</v>
      </c>
      <c r="BL230" s="1999" t="e">
        <f t="shared" si="438"/>
        <v>#REF!</v>
      </c>
      <c r="BM230" s="1993" t="e">
        <f>#REF!</f>
        <v>#REF!</v>
      </c>
      <c r="BN230" s="2003">
        <f t="shared" si="501"/>
        <v>0</v>
      </c>
      <c r="BO230" s="1989" t="e">
        <f>#REF!/10^7</f>
        <v>#REF!</v>
      </c>
      <c r="BP230" s="2003">
        <f t="shared" si="502"/>
        <v>0</v>
      </c>
      <c r="BQ230" s="1989" t="e">
        <f>#REF!/10^7</f>
        <v>#REF!</v>
      </c>
      <c r="BR230" s="2003">
        <f t="shared" si="503"/>
        <v>0</v>
      </c>
      <c r="BS230" s="1989" t="e">
        <f>#REF!/10^7</f>
        <v>#REF!</v>
      </c>
      <c r="BT230" s="1989" t="e">
        <f>#REF!/10^7</f>
        <v>#REF!</v>
      </c>
      <c r="BU230" s="2002" t="e">
        <f t="shared" si="504"/>
        <v>#REF!</v>
      </c>
      <c r="BV230" s="1999" t="e">
        <f t="shared" si="439"/>
        <v>#REF!</v>
      </c>
      <c r="BW230" s="1993" t="e">
        <f>#REF!</f>
        <v>#REF!</v>
      </c>
      <c r="BX230" s="2003">
        <f t="shared" si="505"/>
        <v>0</v>
      </c>
      <c r="BY230" s="1989" t="e">
        <f>#REF!/10^7</f>
        <v>#REF!</v>
      </c>
      <c r="BZ230" s="2003">
        <f t="shared" si="506"/>
        <v>0</v>
      </c>
      <c r="CA230" s="1989" t="e">
        <f>#REF!/10^7</f>
        <v>#REF!</v>
      </c>
      <c r="CB230" s="2003">
        <f t="shared" si="507"/>
        <v>0</v>
      </c>
      <c r="CC230" s="1989" t="e">
        <f>#REF!/10^7</f>
        <v>#REF!</v>
      </c>
      <c r="CD230" s="1989" t="e">
        <f>#REF!/10^7</f>
        <v>#REF!</v>
      </c>
      <c r="CE230" s="2002" t="e">
        <f t="shared" si="508"/>
        <v>#REF!</v>
      </c>
      <c r="CF230" s="1999" t="e">
        <f t="shared" si="440"/>
        <v>#REF!</v>
      </c>
      <c r="CG230" s="1993" t="e">
        <f>#REF!</f>
        <v>#REF!</v>
      </c>
      <c r="CH230" s="2003">
        <f t="shared" si="509"/>
        <v>0</v>
      </c>
      <c r="CI230" s="1989" t="e">
        <f>#REF!/10^7</f>
        <v>#REF!</v>
      </c>
      <c r="CJ230" s="2003">
        <f t="shared" si="510"/>
        <v>0</v>
      </c>
      <c r="CK230" s="1989" t="e">
        <f>#REF!/10^7</f>
        <v>#REF!</v>
      </c>
      <c r="CL230" s="2003">
        <f t="shared" si="511"/>
        <v>0</v>
      </c>
      <c r="CM230" s="1989" t="e">
        <f>#REF!/10^7</f>
        <v>#REF!</v>
      </c>
      <c r="CN230" s="1989" t="e">
        <f>#REF!/10^7</f>
        <v>#REF!</v>
      </c>
      <c r="CO230" s="2002" t="e">
        <f t="shared" si="512"/>
        <v>#REF!</v>
      </c>
      <c r="CP230" s="1999" t="e">
        <f t="shared" si="441"/>
        <v>#REF!</v>
      </c>
      <c r="CQ230" s="1993" t="e">
        <f>#REF!</f>
        <v>#REF!</v>
      </c>
      <c r="CR230" s="2003">
        <f t="shared" si="513"/>
        <v>0</v>
      </c>
      <c r="CS230" s="1989" t="e">
        <f>#REF!/10^7</f>
        <v>#REF!</v>
      </c>
      <c r="CT230" s="2003">
        <f t="shared" si="514"/>
        <v>0</v>
      </c>
      <c r="CU230" s="1989" t="e">
        <f>#REF!/10^7</f>
        <v>#REF!</v>
      </c>
      <c r="CV230" s="2003">
        <f t="shared" si="515"/>
        <v>0</v>
      </c>
      <c r="CW230" s="1989" t="e">
        <f>#REF!/10^7</f>
        <v>#REF!</v>
      </c>
      <c r="CX230" s="1989" t="e">
        <f>#REF!/10^7</f>
        <v>#REF!</v>
      </c>
      <c r="CY230" s="2002" t="e">
        <f t="shared" si="516"/>
        <v>#REF!</v>
      </c>
      <c r="CZ230" s="1999" t="e">
        <f t="shared" si="442"/>
        <v>#REF!</v>
      </c>
      <c r="DA230" s="1993" t="e">
        <f>#REF!</f>
        <v>#REF!</v>
      </c>
      <c r="DB230" s="2003">
        <f t="shared" si="517"/>
        <v>0</v>
      </c>
      <c r="DC230" s="1989" t="e">
        <f>#REF!/10^7</f>
        <v>#REF!</v>
      </c>
      <c r="DD230" s="2003">
        <f t="shared" si="518"/>
        <v>0</v>
      </c>
      <c r="DE230" s="1989" t="e">
        <f>#REF!/10^7</f>
        <v>#REF!</v>
      </c>
      <c r="DF230" s="2003">
        <f t="shared" si="519"/>
        <v>0</v>
      </c>
      <c r="DG230" s="1989" t="e">
        <f>#REF!/10^7</f>
        <v>#REF!</v>
      </c>
      <c r="DH230" s="1989" t="e">
        <f>#REF!/10^7</f>
        <v>#REF!</v>
      </c>
      <c r="DI230" s="2002" t="e">
        <f t="shared" si="520"/>
        <v>#REF!</v>
      </c>
      <c r="DJ230" s="1999" t="e">
        <f t="shared" si="471"/>
        <v>#REF!</v>
      </c>
      <c r="DK230" s="1993" t="e">
        <f>#REF!</f>
        <v>#REF!</v>
      </c>
      <c r="DL230" s="2003">
        <f t="shared" si="521"/>
        <v>0</v>
      </c>
      <c r="DM230" s="1989" t="e">
        <f>#REF!/10^7</f>
        <v>#REF!</v>
      </c>
      <c r="DN230" s="2003">
        <f t="shared" si="522"/>
        <v>0</v>
      </c>
      <c r="DO230" s="1989" t="e">
        <f>#REF!/10^7</f>
        <v>#REF!</v>
      </c>
      <c r="DP230" s="2003">
        <f t="shared" si="523"/>
        <v>0</v>
      </c>
      <c r="DQ230" s="1989" t="e">
        <f>#REF!/10^7</f>
        <v>#REF!</v>
      </c>
      <c r="DR230" s="1989" t="e">
        <f>#REF!/10^7</f>
        <v>#REF!</v>
      </c>
      <c r="DS230" s="2002" t="e">
        <f t="shared" si="524"/>
        <v>#REF!</v>
      </c>
      <c r="DT230" s="2004" t="e">
        <f t="shared" si="472"/>
        <v>#REF!</v>
      </c>
      <c r="DU230" s="1988" t="e">
        <f>#REF!</f>
        <v>#REF!</v>
      </c>
      <c r="DV230" s="2003">
        <f t="shared" si="525"/>
        <v>0</v>
      </c>
      <c r="DW230" s="1989" t="e">
        <f>#REF!/10^7</f>
        <v>#REF!</v>
      </c>
      <c r="DX230" s="2003">
        <f t="shared" si="526"/>
        <v>0</v>
      </c>
      <c r="DY230" s="1989" t="e">
        <f>#REF!/10^7</f>
        <v>#REF!</v>
      </c>
      <c r="DZ230" s="2003">
        <f t="shared" si="527"/>
        <v>0</v>
      </c>
      <c r="EA230" s="1989" t="e">
        <f>#REF!/10^7</f>
        <v>#REF!</v>
      </c>
      <c r="EB230" s="1989" t="e">
        <f>#REF!/10^7</f>
        <v>#REF!</v>
      </c>
      <c r="EC230" s="2002" t="e">
        <f t="shared" si="528"/>
        <v>#REF!</v>
      </c>
      <c r="ED230" s="1998" t="e">
        <f t="shared" si="473"/>
        <v>#REF!</v>
      </c>
      <c r="EE230" s="2005" t="e">
        <f t="shared" si="475"/>
        <v>#REF!</v>
      </c>
      <c r="EF230" s="2003">
        <f t="shared" si="529"/>
        <v>0</v>
      </c>
      <c r="EG230" s="1989" t="e">
        <f t="shared" si="476"/>
        <v>#REF!</v>
      </c>
      <c r="EH230" s="2003">
        <f t="shared" si="530"/>
        <v>0</v>
      </c>
      <c r="EI230" s="1989" t="e">
        <f t="shared" si="477"/>
        <v>#REF!</v>
      </c>
      <c r="EJ230" s="2003">
        <f t="shared" si="531"/>
        <v>0</v>
      </c>
      <c r="EK230" s="1989" t="e">
        <f t="shared" si="534"/>
        <v>#REF!</v>
      </c>
      <c r="EL230" s="1989" t="e">
        <f t="shared" si="534"/>
        <v>#REF!</v>
      </c>
      <c r="EM230" s="2006" t="e">
        <f t="shared" si="532"/>
        <v>#REF!</v>
      </c>
      <c r="EN230" s="1999" t="e">
        <f t="shared" si="479"/>
        <v>#REF!</v>
      </c>
      <c r="EO230" s="1613">
        <v>53.252330659999998</v>
      </c>
      <c r="EP230" s="1613" t="e">
        <f>EA230-#REF!/10^7</f>
        <v>#REF!</v>
      </c>
      <c r="ER230" s="1612" t="e">
        <f t="shared" si="480"/>
        <v>#REF!</v>
      </c>
      <c r="EW230" s="1611" t="e">
        <v>#N/A</v>
      </c>
      <c r="EX230" s="1612" t="e">
        <v>#N/A</v>
      </c>
      <c r="EZ230" s="1650">
        <f t="shared" si="533"/>
        <v>0</v>
      </c>
    </row>
    <row r="231" spans="1:156" ht="21" customHeight="1">
      <c r="A231" s="1652">
        <v>41</v>
      </c>
      <c r="B231" s="1701" t="s">
        <v>1899</v>
      </c>
      <c r="C231" s="1662">
        <v>32</v>
      </c>
      <c r="D231" s="1646">
        <f t="shared" si="474"/>
        <v>100</v>
      </c>
      <c r="E231" s="1646"/>
      <c r="F231" s="1648" t="s">
        <v>1594</v>
      </c>
      <c r="G231" s="1648"/>
      <c r="H231" s="1648">
        <v>32</v>
      </c>
      <c r="I231" s="1648" t="s">
        <v>1717</v>
      </c>
      <c r="J231" s="1649">
        <v>2</v>
      </c>
      <c r="K231" s="1648"/>
      <c r="L231" s="1648"/>
      <c r="M231" s="1648"/>
      <c r="N231" s="1642"/>
      <c r="O231" s="2000" t="e">
        <f>#REF!</f>
        <v>#REF!</v>
      </c>
      <c r="P231" s="2003">
        <f t="shared" si="481"/>
        <v>0</v>
      </c>
      <c r="Q231" s="1989" t="e">
        <f>#REF!/10^7</f>
        <v>#REF!</v>
      </c>
      <c r="R231" s="2003">
        <f t="shared" si="482"/>
        <v>0</v>
      </c>
      <c r="S231" s="1989" t="e">
        <f>#REF!/10^7</f>
        <v>#REF!</v>
      </c>
      <c r="T231" s="2003">
        <f t="shared" si="483"/>
        <v>0</v>
      </c>
      <c r="U231" s="1989" t="e">
        <f>#REF!/10^7</f>
        <v>#REF!</v>
      </c>
      <c r="V231" s="1989" t="e">
        <f>#REF!/10^7</f>
        <v>#REF!</v>
      </c>
      <c r="W231" s="1989">
        <f t="shared" si="484"/>
        <v>0</v>
      </c>
      <c r="X231" s="1999" t="e">
        <f t="shared" si="467"/>
        <v>#REF!</v>
      </c>
      <c r="Y231" s="1993" t="e">
        <f>#REF!</f>
        <v>#REF!</v>
      </c>
      <c r="Z231" s="2003">
        <f t="shared" si="485"/>
        <v>0</v>
      </c>
      <c r="AA231" s="1989" t="e">
        <f>#REF!/10^7</f>
        <v>#REF!</v>
      </c>
      <c r="AB231" s="2003">
        <f t="shared" si="486"/>
        <v>0</v>
      </c>
      <c r="AC231" s="1989" t="e">
        <f>#REF!/10^7</f>
        <v>#REF!</v>
      </c>
      <c r="AD231" s="2003">
        <f t="shared" si="487"/>
        <v>0</v>
      </c>
      <c r="AE231" s="1989" t="e">
        <f>#REF!/10^7</f>
        <v>#REF!</v>
      </c>
      <c r="AF231" s="1989" t="e">
        <f>#REF!/10^7</f>
        <v>#REF!</v>
      </c>
      <c r="AG231" s="2002" t="e">
        <f t="shared" si="488"/>
        <v>#REF!</v>
      </c>
      <c r="AH231" s="1999" t="e">
        <f t="shared" si="468"/>
        <v>#REF!</v>
      </c>
      <c r="AI231" s="1993" t="e">
        <f>#REF!</f>
        <v>#REF!</v>
      </c>
      <c r="AJ231" s="2003">
        <f t="shared" si="489"/>
        <v>0</v>
      </c>
      <c r="AK231" s="1989" t="e">
        <f>#REF!/10^7</f>
        <v>#REF!</v>
      </c>
      <c r="AL231" s="2003">
        <f t="shared" si="490"/>
        <v>0</v>
      </c>
      <c r="AM231" s="1989" t="e">
        <f>#REF!/10^7</f>
        <v>#REF!</v>
      </c>
      <c r="AN231" s="2003">
        <f t="shared" si="491"/>
        <v>0</v>
      </c>
      <c r="AO231" s="1989" t="e">
        <f>#REF!/10^7</f>
        <v>#REF!</v>
      </c>
      <c r="AP231" s="1989" t="e">
        <f>#REF!/10^7</f>
        <v>#REF!</v>
      </c>
      <c r="AQ231" s="2002" t="e">
        <f t="shared" si="492"/>
        <v>#REF!</v>
      </c>
      <c r="AR231" s="1999" t="e">
        <f t="shared" si="469"/>
        <v>#REF!</v>
      </c>
      <c r="AS231" s="1993" t="e">
        <f>#REF!</f>
        <v>#REF!</v>
      </c>
      <c r="AT231" s="2003">
        <f t="shared" si="493"/>
        <v>0</v>
      </c>
      <c r="AU231" s="1989" t="e">
        <f>#REF!/10^7</f>
        <v>#REF!</v>
      </c>
      <c r="AV231" s="2003">
        <f t="shared" si="494"/>
        <v>0</v>
      </c>
      <c r="AW231" s="1989" t="e">
        <f>#REF!/10^7</f>
        <v>#REF!</v>
      </c>
      <c r="AX231" s="2003">
        <f t="shared" si="495"/>
        <v>0</v>
      </c>
      <c r="AY231" s="1989" t="e">
        <f>#REF!/10^7</f>
        <v>#REF!</v>
      </c>
      <c r="AZ231" s="1989" t="e">
        <f>#REF!/10^7</f>
        <v>#REF!</v>
      </c>
      <c r="BA231" s="2002" t="e">
        <f t="shared" si="496"/>
        <v>#REF!</v>
      </c>
      <c r="BB231" s="1999" t="e">
        <f t="shared" si="470"/>
        <v>#REF!</v>
      </c>
      <c r="BC231" s="1993" t="e">
        <f>#REF!</f>
        <v>#REF!</v>
      </c>
      <c r="BD231" s="2003">
        <f t="shared" si="497"/>
        <v>0</v>
      </c>
      <c r="BE231" s="1989" t="e">
        <f>#REF!/10^7</f>
        <v>#REF!</v>
      </c>
      <c r="BF231" s="2003">
        <f t="shared" si="498"/>
        <v>0</v>
      </c>
      <c r="BG231" s="1989" t="e">
        <f>#REF!/10^7</f>
        <v>#REF!</v>
      </c>
      <c r="BH231" s="2003">
        <f t="shared" si="499"/>
        <v>0</v>
      </c>
      <c r="BI231" s="1989" t="e">
        <f>#REF!/10^7</f>
        <v>#REF!</v>
      </c>
      <c r="BJ231" s="1989" t="e">
        <f>#REF!/10^7</f>
        <v>#REF!</v>
      </c>
      <c r="BK231" s="2002" t="e">
        <f t="shared" si="500"/>
        <v>#REF!</v>
      </c>
      <c r="BL231" s="1999" t="e">
        <f t="shared" si="438"/>
        <v>#REF!</v>
      </c>
      <c r="BM231" s="1993" t="e">
        <f>#REF!</f>
        <v>#REF!</v>
      </c>
      <c r="BN231" s="2003">
        <f t="shared" si="501"/>
        <v>0</v>
      </c>
      <c r="BO231" s="1989" t="e">
        <f>#REF!/10^7</f>
        <v>#REF!</v>
      </c>
      <c r="BP231" s="2003">
        <f t="shared" si="502"/>
        <v>0</v>
      </c>
      <c r="BQ231" s="1989" t="e">
        <f>#REF!/10^7</f>
        <v>#REF!</v>
      </c>
      <c r="BR231" s="2003">
        <f t="shared" si="503"/>
        <v>0</v>
      </c>
      <c r="BS231" s="1989" t="e">
        <f>#REF!/10^7</f>
        <v>#REF!</v>
      </c>
      <c r="BT231" s="1989" t="e">
        <f>#REF!/10^7</f>
        <v>#REF!</v>
      </c>
      <c r="BU231" s="2002" t="e">
        <f t="shared" si="504"/>
        <v>#REF!</v>
      </c>
      <c r="BV231" s="1999" t="e">
        <f t="shared" si="439"/>
        <v>#REF!</v>
      </c>
      <c r="BW231" s="1993" t="e">
        <f>#REF!</f>
        <v>#REF!</v>
      </c>
      <c r="BX231" s="2003">
        <f t="shared" si="505"/>
        <v>0</v>
      </c>
      <c r="BY231" s="1989" t="e">
        <f>#REF!/10^7</f>
        <v>#REF!</v>
      </c>
      <c r="BZ231" s="2003">
        <f t="shared" si="506"/>
        <v>0</v>
      </c>
      <c r="CA231" s="1989" t="e">
        <f>#REF!/10^7</f>
        <v>#REF!</v>
      </c>
      <c r="CB231" s="2003">
        <f t="shared" si="507"/>
        <v>0</v>
      </c>
      <c r="CC231" s="1989" t="e">
        <f>#REF!/10^7</f>
        <v>#REF!</v>
      </c>
      <c r="CD231" s="1989" t="e">
        <f>#REF!/10^7</f>
        <v>#REF!</v>
      </c>
      <c r="CE231" s="2002" t="e">
        <f t="shared" si="508"/>
        <v>#REF!</v>
      </c>
      <c r="CF231" s="1999" t="e">
        <f t="shared" si="440"/>
        <v>#REF!</v>
      </c>
      <c r="CG231" s="1993" t="e">
        <f>#REF!</f>
        <v>#REF!</v>
      </c>
      <c r="CH231" s="2003">
        <f t="shared" si="509"/>
        <v>0</v>
      </c>
      <c r="CI231" s="1989" t="e">
        <f>#REF!/10^7</f>
        <v>#REF!</v>
      </c>
      <c r="CJ231" s="2003">
        <f t="shared" si="510"/>
        <v>0</v>
      </c>
      <c r="CK231" s="1989" t="e">
        <f>#REF!/10^7</f>
        <v>#REF!</v>
      </c>
      <c r="CL231" s="2003">
        <f t="shared" si="511"/>
        <v>0</v>
      </c>
      <c r="CM231" s="1989" t="e">
        <f>#REF!/10^7</f>
        <v>#REF!</v>
      </c>
      <c r="CN231" s="1989" t="e">
        <f>#REF!/10^7</f>
        <v>#REF!</v>
      </c>
      <c r="CO231" s="2002" t="e">
        <f t="shared" si="512"/>
        <v>#REF!</v>
      </c>
      <c r="CP231" s="1999" t="e">
        <f t="shared" si="441"/>
        <v>#REF!</v>
      </c>
      <c r="CQ231" s="1993" t="e">
        <f>#REF!</f>
        <v>#REF!</v>
      </c>
      <c r="CR231" s="2003">
        <f t="shared" si="513"/>
        <v>0</v>
      </c>
      <c r="CS231" s="1989" t="e">
        <f>#REF!/10^7</f>
        <v>#REF!</v>
      </c>
      <c r="CT231" s="2003">
        <f t="shared" si="514"/>
        <v>0</v>
      </c>
      <c r="CU231" s="1989" t="e">
        <f>#REF!/10^7</f>
        <v>#REF!</v>
      </c>
      <c r="CV231" s="2003">
        <f t="shared" si="515"/>
        <v>0</v>
      </c>
      <c r="CW231" s="1989" t="e">
        <f>#REF!/10^7</f>
        <v>#REF!</v>
      </c>
      <c r="CX231" s="1989" t="e">
        <f>#REF!/10^7</f>
        <v>#REF!</v>
      </c>
      <c r="CY231" s="2002" t="e">
        <f t="shared" si="516"/>
        <v>#REF!</v>
      </c>
      <c r="CZ231" s="1999" t="e">
        <f t="shared" si="442"/>
        <v>#REF!</v>
      </c>
      <c r="DA231" s="1993" t="e">
        <f>#REF!</f>
        <v>#REF!</v>
      </c>
      <c r="DB231" s="2003">
        <f t="shared" si="517"/>
        <v>0</v>
      </c>
      <c r="DC231" s="1989" t="e">
        <f>#REF!/10^7</f>
        <v>#REF!</v>
      </c>
      <c r="DD231" s="2003">
        <f t="shared" si="518"/>
        <v>0</v>
      </c>
      <c r="DE231" s="1989" t="e">
        <f>#REF!/10^7</f>
        <v>#REF!</v>
      </c>
      <c r="DF231" s="2003">
        <f t="shared" si="519"/>
        <v>0</v>
      </c>
      <c r="DG231" s="1989" t="e">
        <f>#REF!/10^7</f>
        <v>#REF!</v>
      </c>
      <c r="DH231" s="1989" t="e">
        <f>#REF!/10^7</f>
        <v>#REF!</v>
      </c>
      <c r="DI231" s="2002" t="e">
        <f t="shared" si="520"/>
        <v>#REF!</v>
      </c>
      <c r="DJ231" s="1999" t="e">
        <f t="shared" si="471"/>
        <v>#REF!</v>
      </c>
      <c r="DK231" s="1993" t="e">
        <f>#REF!</f>
        <v>#REF!</v>
      </c>
      <c r="DL231" s="2003">
        <f t="shared" si="521"/>
        <v>0</v>
      </c>
      <c r="DM231" s="1989" t="e">
        <f>#REF!/10^7</f>
        <v>#REF!</v>
      </c>
      <c r="DN231" s="2003">
        <f t="shared" si="522"/>
        <v>0</v>
      </c>
      <c r="DO231" s="1989" t="e">
        <f>#REF!/10^7</f>
        <v>#REF!</v>
      </c>
      <c r="DP231" s="2003">
        <f t="shared" si="523"/>
        <v>0</v>
      </c>
      <c r="DQ231" s="1989" t="e">
        <f>#REF!/10^7</f>
        <v>#REF!</v>
      </c>
      <c r="DR231" s="1989" t="e">
        <f>#REF!/10^7</f>
        <v>#REF!</v>
      </c>
      <c r="DS231" s="2002" t="e">
        <f t="shared" si="524"/>
        <v>#REF!</v>
      </c>
      <c r="DT231" s="2004" t="e">
        <f t="shared" si="472"/>
        <v>#REF!</v>
      </c>
      <c r="DU231" s="1988" t="e">
        <f>#REF!</f>
        <v>#REF!</v>
      </c>
      <c r="DV231" s="2003">
        <f t="shared" si="525"/>
        <v>0</v>
      </c>
      <c r="DW231" s="1989" t="e">
        <f>#REF!/10^7</f>
        <v>#REF!</v>
      </c>
      <c r="DX231" s="2003">
        <f t="shared" si="526"/>
        <v>0</v>
      </c>
      <c r="DY231" s="1989" t="e">
        <f>#REF!/10^7</f>
        <v>#REF!</v>
      </c>
      <c r="DZ231" s="2003">
        <f t="shared" si="527"/>
        <v>0</v>
      </c>
      <c r="EA231" s="1989" t="e">
        <f>#REF!/10^7</f>
        <v>#REF!</v>
      </c>
      <c r="EB231" s="1989" t="e">
        <f>#REF!/10^7</f>
        <v>#REF!</v>
      </c>
      <c r="EC231" s="2002" t="e">
        <f t="shared" si="528"/>
        <v>#REF!</v>
      </c>
      <c r="ED231" s="1998" t="e">
        <f t="shared" si="473"/>
        <v>#REF!</v>
      </c>
      <c r="EE231" s="2005" t="e">
        <f t="shared" si="475"/>
        <v>#REF!</v>
      </c>
      <c r="EF231" s="2003">
        <f t="shared" si="529"/>
        <v>0</v>
      </c>
      <c r="EG231" s="1989" t="e">
        <f t="shared" si="476"/>
        <v>#REF!</v>
      </c>
      <c r="EH231" s="2003">
        <f t="shared" si="530"/>
        <v>0</v>
      </c>
      <c r="EI231" s="1989" t="e">
        <f t="shared" si="477"/>
        <v>#REF!</v>
      </c>
      <c r="EJ231" s="2003">
        <f t="shared" si="531"/>
        <v>0</v>
      </c>
      <c r="EK231" s="1989" t="e">
        <f t="shared" si="534"/>
        <v>#REF!</v>
      </c>
      <c r="EL231" s="1989" t="e">
        <f t="shared" si="534"/>
        <v>#REF!</v>
      </c>
      <c r="EM231" s="2006" t="e">
        <f t="shared" si="532"/>
        <v>#REF!</v>
      </c>
      <c r="EN231" s="1999" t="e">
        <f t="shared" si="479"/>
        <v>#REF!</v>
      </c>
      <c r="EO231" s="1613">
        <v>106.63416599999999</v>
      </c>
      <c r="EP231" s="1613" t="e">
        <f>EA231-#REF!/10^7</f>
        <v>#REF!</v>
      </c>
      <c r="ER231" s="1612" t="e">
        <f t="shared" si="480"/>
        <v>#REF!</v>
      </c>
      <c r="EW231" s="1611" t="e">
        <v>#N/A</v>
      </c>
      <c r="EX231" s="1612" t="e">
        <v>#N/A</v>
      </c>
      <c r="EZ231" s="1650">
        <f t="shared" si="533"/>
        <v>0</v>
      </c>
    </row>
    <row r="232" spans="1:156" ht="21" customHeight="1">
      <c r="A232" s="1652">
        <v>42</v>
      </c>
      <c r="B232" s="1701" t="s">
        <v>1900</v>
      </c>
      <c r="C232" s="1662">
        <v>24</v>
      </c>
      <c r="D232" s="1646">
        <f t="shared" si="474"/>
        <v>100</v>
      </c>
      <c r="E232" s="1646"/>
      <c r="F232" s="1648" t="s">
        <v>1594</v>
      </c>
      <c r="G232" s="1648"/>
      <c r="H232" s="1648">
        <v>24</v>
      </c>
      <c r="I232" s="1648" t="s">
        <v>1717</v>
      </c>
      <c r="J232" s="1649">
        <v>2</v>
      </c>
      <c r="K232" s="1648"/>
      <c r="L232" s="1648"/>
      <c r="M232" s="1648"/>
      <c r="N232" s="1642"/>
      <c r="O232" s="2000" t="e">
        <f>#REF!</f>
        <v>#REF!</v>
      </c>
      <c r="P232" s="2003">
        <f t="shared" si="481"/>
        <v>0</v>
      </c>
      <c r="Q232" s="1989" t="e">
        <f>#REF!/10^7</f>
        <v>#REF!</v>
      </c>
      <c r="R232" s="2003">
        <f t="shared" si="482"/>
        <v>0</v>
      </c>
      <c r="S232" s="1989" t="e">
        <f>#REF!/10^7</f>
        <v>#REF!</v>
      </c>
      <c r="T232" s="2003">
        <f t="shared" si="483"/>
        <v>0</v>
      </c>
      <c r="U232" s="1989" t="e">
        <f>#REF!/10^7</f>
        <v>#REF!</v>
      </c>
      <c r="V232" s="1989" t="e">
        <f>#REF!/10^7</f>
        <v>#REF!</v>
      </c>
      <c r="W232" s="1989">
        <f t="shared" si="484"/>
        <v>0</v>
      </c>
      <c r="X232" s="1999" t="e">
        <f t="shared" si="467"/>
        <v>#REF!</v>
      </c>
      <c r="Y232" s="1993" t="e">
        <f>#REF!</f>
        <v>#REF!</v>
      </c>
      <c r="Z232" s="2003">
        <f t="shared" si="485"/>
        <v>0</v>
      </c>
      <c r="AA232" s="1989" t="e">
        <f>#REF!/10^7</f>
        <v>#REF!</v>
      </c>
      <c r="AB232" s="2003">
        <f t="shared" si="486"/>
        <v>0</v>
      </c>
      <c r="AC232" s="1989" t="e">
        <f>#REF!/10^7</f>
        <v>#REF!</v>
      </c>
      <c r="AD232" s="2003">
        <f t="shared" si="487"/>
        <v>0</v>
      </c>
      <c r="AE232" s="1989" t="e">
        <f>#REF!/10^7</f>
        <v>#REF!</v>
      </c>
      <c r="AF232" s="1989" t="e">
        <f>#REF!/10^7</f>
        <v>#REF!</v>
      </c>
      <c r="AG232" s="2002" t="e">
        <f t="shared" si="488"/>
        <v>#REF!</v>
      </c>
      <c r="AH232" s="1999" t="e">
        <f t="shared" si="468"/>
        <v>#REF!</v>
      </c>
      <c r="AI232" s="1993" t="e">
        <f>#REF!</f>
        <v>#REF!</v>
      </c>
      <c r="AJ232" s="2003">
        <f t="shared" si="489"/>
        <v>0</v>
      </c>
      <c r="AK232" s="1989" t="e">
        <f>#REF!/10^7</f>
        <v>#REF!</v>
      </c>
      <c r="AL232" s="2003">
        <f t="shared" si="490"/>
        <v>0</v>
      </c>
      <c r="AM232" s="1989" t="e">
        <f>#REF!/10^7</f>
        <v>#REF!</v>
      </c>
      <c r="AN232" s="2003">
        <f t="shared" si="491"/>
        <v>0</v>
      </c>
      <c r="AO232" s="1989" t="e">
        <f>#REF!/10^7</f>
        <v>#REF!</v>
      </c>
      <c r="AP232" s="1989" t="e">
        <f>#REF!/10^7</f>
        <v>#REF!</v>
      </c>
      <c r="AQ232" s="2002" t="e">
        <f t="shared" si="492"/>
        <v>#REF!</v>
      </c>
      <c r="AR232" s="1999" t="e">
        <f t="shared" si="469"/>
        <v>#REF!</v>
      </c>
      <c r="AS232" s="1993" t="e">
        <f>#REF!</f>
        <v>#REF!</v>
      </c>
      <c r="AT232" s="2003">
        <f t="shared" si="493"/>
        <v>0</v>
      </c>
      <c r="AU232" s="1989" t="e">
        <f>#REF!/10^7</f>
        <v>#REF!</v>
      </c>
      <c r="AV232" s="2003">
        <f t="shared" si="494"/>
        <v>0</v>
      </c>
      <c r="AW232" s="1989" t="e">
        <f>#REF!/10^7</f>
        <v>#REF!</v>
      </c>
      <c r="AX232" s="2003">
        <f t="shared" si="495"/>
        <v>0</v>
      </c>
      <c r="AY232" s="1989" t="e">
        <f>#REF!/10^7</f>
        <v>#REF!</v>
      </c>
      <c r="AZ232" s="1989" t="e">
        <f>#REF!/10^7</f>
        <v>#REF!</v>
      </c>
      <c r="BA232" s="2002" t="e">
        <f t="shared" si="496"/>
        <v>#REF!</v>
      </c>
      <c r="BB232" s="1999" t="e">
        <f t="shared" si="470"/>
        <v>#REF!</v>
      </c>
      <c r="BC232" s="1993" t="e">
        <f>#REF!</f>
        <v>#REF!</v>
      </c>
      <c r="BD232" s="2003">
        <f t="shared" si="497"/>
        <v>0</v>
      </c>
      <c r="BE232" s="1989" t="e">
        <f>#REF!/10^7</f>
        <v>#REF!</v>
      </c>
      <c r="BF232" s="2003">
        <f t="shared" si="498"/>
        <v>0</v>
      </c>
      <c r="BG232" s="1989" t="e">
        <f>#REF!/10^7</f>
        <v>#REF!</v>
      </c>
      <c r="BH232" s="2003">
        <f t="shared" si="499"/>
        <v>0</v>
      </c>
      <c r="BI232" s="1989" t="e">
        <f>#REF!/10^7</f>
        <v>#REF!</v>
      </c>
      <c r="BJ232" s="1989" t="e">
        <f>#REF!/10^7</f>
        <v>#REF!</v>
      </c>
      <c r="BK232" s="2002" t="e">
        <f t="shared" si="500"/>
        <v>#REF!</v>
      </c>
      <c r="BL232" s="1999" t="e">
        <f t="shared" si="438"/>
        <v>#REF!</v>
      </c>
      <c r="BM232" s="1993" t="e">
        <f>#REF!</f>
        <v>#REF!</v>
      </c>
      <c r="BN232" s="2003">
        <f t="shared" si="501"/>
        <v>0</v>
      </c>
      <c r="BO232" s="1989" t="e">
        <f>#REF!/10^7</f>
        <v>#REF!</v>
      </c>
      <c r="BP232" s="2003">
        <f t="shared" si="502"/>
        <v>0</v>
      </c>
      <c r="BQ232" s="1989" t="e">
        <f>#REF!/10^7</f>
        <v>#REF!</v>
      </c>
      <c r="BR232" s="2003">
        <f t="shared" si="503"/>
        <v>0</v>
      </c>
      <c r="BS232" s="1989" t="e">
        <f>#REF!/10^7</f>
        <v>#REF!</v>
      </c>
      <c r="BT232" s="1989" t="e">
        <f>#REF!/10^7</f>
        <v>#REF!</v>
      </c>
      <c r="BU232" s="2002" t="e">
        <f t="shared" si="504"/>
        <v>#REF!</v>
      </c>
      <c r="BV232" s="1999" t="e">
        <f t="shared" si="439"/>
        <v>#REF!</v>
      </c>
      <c r="BW232" s="1993" t="e">
        <f>#REF!</f>
        <v>#REF!</v>
      </c>
      <c r="BX232" s="2003">
        <f t="shared" si="505"/>
        <v>0</v>
      </c>
      <c r="BY232" s="1989" t="e">
        <f>#REF!/10^7</f>
        <v>#REF!</v>
      </c>
      <c r="BZ232" s="2003">
        <f t="shared" si="506"/>
        <v>0</v>
      </c>
      <c r="CA232" s="1989" t="e">
        <f>#REF!/10^7</f>
        <v>#REF!</v>
      </c>
      <c r="CB232" s="2003">
        <f t="shared" si="507"/>
        <v>0</v>
      </c>
      <c r="CC232" s="1989" t="e">
        <f>#REF!/10^7</f>
        <v>#REF!</v>
      </c>
      <c r="CD232" s="1989" t="e">
        <f>#REF!/10^7</f>
        <v>#REF!</v>
      </c>
      <c r="CE232" s="2002" t="e">
        <f t="shared" si="508"/>
        <v>#REF!</v>
      </c>
      <c r="CF232" s="1999" t="e">
        <f t="shared" si="440"/>
        <v>#REF!</v>
      </c>
      <c r="CG232" s="1993" t="e">
        <f>#REF!</f>
        <v>#REF!</v>
      </c>
      <c r="CH232" s="2003">
        <f t="shared" si="509"/>
        <v>0</v>
      </c>
      <c r="CI232" s="1989" t="e">
        <f>#REF!/10^7</f>
        <v>#REF!</v>
      </c>
      <c r="CJ232" s="2003">
        <f t="shared" si="510"/>
        <v>0</v>
      </c>
      <c r="CK232" s="1989" t="e">
        <f>#REF!/10^7</f>
        <v>#REF!</v>
      </c>
      <c r="CL232" s="2003">
        <f t="shared" si="511"/>
        <v>0</v>
      </c>
      <c r="CM232" s="1989" t="e">
        <f>#REF!/10^7</f>
        <v>#REF!</v>
      </c>
      <c r="CN232" s="1989" t="e">
        <f>#REF!/10^7</f>
        <v>#REF!</v>
      </c>
      <c r="CO232" s="2002" t="e">
        <f t="shared" si="512"/>
        <v>#REF!</v>
      </c>
      <c r="CP232" s="1999" t="e">
        <f t="shared" si="441"/>
        <v>#REF!</v>
      </c>
      <c r="CQ232" s="1993" t="e">
        <f>#REF!</f>
        <v>#REF!</v>
      </c>
      <c r="CR232" s="2003">
        <f t="shared" si="513"/>
        <v>0</v>
      </c>
      <c r="CS232" s="1989" t="e">
        <f>#REF!/10^7</f>
        <v>#REF!</v>
      </c>
      <c r="CT232" s="2003">
        <f t="shared" si="514"/>
        <v>0</v>
      </c>
      <c r="CU232" s="1989" t="e">
        <f>#REF!/10^7</f>
        <v>#REF!</v>
      </c>
      <c r="CV232" s="2003">
        <f t="shared" si="515"/>
        <v>0</v>
      </c>
      <c r="CW232" s="1989" t="e">
        <f>#REF!/10^7</f>
        <v>#REF!</v>
      </c>
      <c r="CX232" s="1989" t="e">
        <f>#REF!/10^7</f>
        <v>#REF!</v>
      </c>
      <c r="CY232" s="2002" t="e">
        <f t="shared" si="516"/>
        <v>#REF!</v>
      </c>
      <c r="CZ232" s="1999" t="e">
        <f t="shared" si="442"/>
        <v>#REF!</v>
      </c>
      <c r="DA232" s="1993" t="e">
        <f>#REF!</f>
        <v>#REF!</v>
      </c>
      <c r="DB232" s="2003">
        <f t="shared" si="517"/>
        <v>0</v>
      </c>
      <c r="DC232" s="1989" t="e">
        <f>#REF!/10^7</f>
        <v>#REF!</v>
      </c>
      <c r="DD232" s="2003">
        <f t="shared" si="518"/>
        <v>0</v>
      </c>
      <c r="DE232" s="1989" t="e">
        <f>#REF!/10^7</f>
        <v>#REF!</v>
      </c>
      <c r="DF232" s="2003">
        <f t="shared" si="519"/>
        <v>0</v>
      </c>
      <c r="DG232" s="1989" t="e">
        <f>#REF!/10^7</f>
        <v>#REF!</v>
      </c>
      <c r="DH232" s="1989" t="e">
        <f>#REF!/10^7</f>
        <v>#REF!</v>
      </c>
      <c r="DI232" s="2002" t="e">
        <f t="shared" si="520"/>
        <v>#REF!</v>
      </c>
      <c r="DJ232" s="1999" t="e">
        <f t="shared" si="471"/>
        <v>#REF!</v>
      </c>
      <c r="DK232" s="1993" t="e">
        <f>#REF!</f>
        <v>#REF!</v>
      </c>
      <c r="DL232" s="2003">
        <f t="shared" si="521"/>
        <v>0</v>
      </c>
      <c r="DM232" s="1989" t="e">
        <f>#REF!/10^7</f>
        <v>#REF!</v>
      </c>
      <c r="DN232" s="2003">
        <f t="shared" si="522"/>
        <v>0</v>
      </c>
      <c r="DO232" s="1989" t="e">
        <f>#REF!/10^7</f>
        <v>#REF!</v>
      </c>
      <c r="DP232" s="2003">
        <f t="shared" si="523"/>
        <v>0</v>
      </c>
      <c r="DQ232" s="1989" t="e">
        <f>#REF!/10^7</f>
        <v>#REF!</v>
      </c>
      <c r="DR232" s="1989" t="e">
        <f>#REF!/10^7</f>
        <v>#REF!</v>
      </c>
      <c r="DS232" s="2002" t="e">
        <f t="shared" si="524"/>
        <v>#REF!</v>
      </c>
      <c r="DT232" s="2004" t="e">
        <f t="shared" si="472"/>
        <v>#REF!</v>
      </c>
      <c r="DU232" s="1988" t="e">
        <f>#REF!</f>
        <v>#REF!</v>
      </c>
      <c r="DV232" s="2003">
        <f t="shared" si="525"/>
        <v>0</v>
      </c>
      <c r="DW232" s="1989" t="e">
        <f>#REF!/10^7</f>
        <v>#REF!</v>
      </c>
      <c r="DX232" s="2003">
        <f t="shared" si="526"/>
        <v>0</v>
      </c>
      <c r="DY232" s="1989" t="e">
        <f>#REF!/10^7</f>
        <v>#REF!</v>
      </c>
      <c r="DZ232" s="2003">
        <f t="shared" si="527"/>
        <v>0</v>
      </c>
      <c r="EA232" s="1989" t="e">
        <f>#REF!/10^7</f>
        <v>#REF!</v>
      </c>
      <c r="EB232" s="1989" t="e">
        <f>#REF!/10^7</f>
        <v>#REF!</v>
      </c>
      <c r="EC232" s="2002" t="e">
        <f t="shared" si="528"/>
        <v>#REF!</v>
      </c>
      <c r="ED232" s="1998" t="e">
        <f t="shared" si="473"/>
        <v>#REF!</v>
      </c>
      <c r="EE232" s="2005" t="e">
        <f t="shared" si="475"/>
        <v>#REF!</v>
      </c>
      <c r="EF232" s="2003">
        <f t="shared" si="529"/>
        <v>0</v>
      </c>
      <c r="EG232" s="1989" t="e">
        <f t="shared" si="476"/>
        <v>#REF!</v>
      </c>
      <c r="EH232" s="2003">
        <f t="shared" si="530"/>
        <v>0</v>
      </c>
      <c r="EI232" s="1989" t="e">
        <f t="shared" si="477"/>
        <v>#REF!</v>
      </c>
      <c r="EJ232" s="2003">
        <f t="shared" si="531"/>
        <v>0</v>
      </c>
      <c r="EK232" s="1989" t="e">
        <f t="shared" si="534"/>
        <v>#REF!</v>
      </c>
      <c r="EL232" s="1989" t="e">
        <f t="shared" si="534"/>
        <v>#REF!</v>
      </c>
      <c r="EM232" s="2006" t="e">
        <f t="shared" si="532"/>
        <v>#REF!</v>
      </c>
      <c r="EN232" s="1999" t="e">
        <f t="shared" si="479"/>
        <v>#REF!</v>
      </c>
      <c r="EO232" s="1613">
        <v>15.138926</v>
      </c>
      <c r="EP232" s="1613" t="e">
        <f>EA232-#REF!/10^7</f>
        <v>#REF!</v>
      </c>
      <c r="ER232" s="1612" t="e">
        <f t="shared" si="480"/>
        <v>#REF!</v>
      </c>
      <c r="EW232" s="1611" t="e">
        <v>#N/A</v>
      </c>
      <c r="EX232" s="1612" t="e">
        <v>#N/A</v>
      </c>
      <c r="EZ232" s="1650">
        <f t="shared" si="533"/>
        <v>0</v>
      </c>
    </row>
    <row r="233" spans="1:156" ht="21" customHeight="1">
      <c r="A233" s="1652">
        <v>43</v>
      </c>
      <c r="B233" s="1701" t="s">
        <v>1901</v>
      </c>
      <c r="C233" s="1662">
        <v>23</v>
      </c>
      <c r="D233" s="1646">
        <f t="shared" si="474"/>
        <v>100</v>
      </c>
      <c r="E233" s="1646"/>
      <c r="F233" s="1648" t="s">
        <v>1594</v>
      </c>
      <c r="G233" s="1648"/>
      <c r="H233" s="1648">
        <v>23</v>
      </c>
      <c r="I233" s="1648" t="s">
        <v>1717</v>
      </c>
      <c r="J233" s="1649">
        <v>2</v>
      </c>
      <c r="K233" s="1648"/>
      <c r="L233" s="1648"/>
      <c r="M233" s="1648"/>
      <c r="N233" s="1642"/>
      <c r="O233" s="2000" t="e">
        <f>#REF!</f>
        <v>#REF!</v>
      </c>
      <c r="P233" s="2003">
        <f t="shared" si="481"/>
        <v>0</v>
      </c>
      <c r="Q233" s="1989" t="e">
        <f>#REF!/10^7</f>
        <v>#REF!</v>
      </c>
      <c r="R233" s="2003">
        <f t="shared" si="482"/>
        <v>0</v>
      </c>
      <c r="S233" s="1989" t="e">
        <f>#REF!/10^7</f>
        <v>#REF!</v>
      </c>
      <c r="T233" s="2003">
        <f t="shared" si="483"/>
        <v>0</v>
      </c>
      <c r="U233" s="1989" t="e">
        <f>#REF!/10^7</f>
        <v>#REF!</v>
      </c>
      <c r="V233" s="1989" t="e">
        <f>#REF!/10^7</f>
        <v>#REF!</v>
      </c>
      <c r="W233" s="1989">
        <f t="shared" si="484"/>
        <v>0</v>
      </c>
      <c r="X233" s="1999" t="e">
        <f t="shared" si="467"/>
        <v>#REF!</v>
      </c>
      <c r="Y233" s="1993" t="e">
        <f>#REF!</f>
        <v>#REF!</v>
      </c>
      <c r="Z233" s="2003">
        <f t="shared" si="485"/>
        <v>0</v>
      </c>
      <c r="AA233" s="1989" t="e">
        <f>#REF!/10^7</f>
        <v>#REF!</v>
      </c>
      <c r="AB233" s="2003">
        <f t="shared" si="486"/>
        <v>0</v>
      </c>
      <c r="AC233" s="1989" t="e">
        <f>#REF!/10^7</f>
        <v>#REF!</v>
      </c>
      <c r="AD233" s="2003">
        <f t="shared" si="487"/>
        <v>0</v>
      </c>
      <c r="AE233" s="1989" t="e">
        <f>#REF!/10^7</f>
        <v>#REF!</v>
      </c>
      <c r="AF233" s="1989" t="e">
        <f>#REF!/10^7</f>
        <v>#REF!</v>
      </c>
      <c r="AG233" s="2002" t="e">
        <f t="shared" si="488"/>
        <v>#REF!</v>
      </c>
      <c r="AH233" s="1999" t="e">
        <f t="shared" si="468"/>
        <v>#REF!</v>
      </c>
      <c r="AI233" s="1993" t="e">
        <f>#REF!</f>
        <v>#REF!</v>
      </c>
      <c r="AJ233" s="2003">
        <f t="shared" si="489"/>
        <v>0</v>
      </c>
      <c r="AK233" s="1989" t="e">
        <f>#REF!/10^7</f>
        <v>#REF!</v>
      </c>
      <c r="AL233" s="2003">
        <f t="shared" si="490"/>
        <v>0</v>
      </c>
      <c r="AM233" s="1989" t="e">
        <f>#REF!/10^7</f>
        <v>#REF!</v>
      </c>
      <c r="AN233" s="2003">
        <f t="shared" si="491"/>
        <v>0</v>
      </c>
      <c r="AO233" s="1989" t="e">
        <f>#REF!/10^7</f>
        <v>#REF!</v>
      </c>
      <c r="AP233" s="1989" t="e">
        <f>#REF!/10^7</f>
        <v>#REF!</v>
      </c>
      <c r="AQ233" s="2002" t="e">
        <f t="shared" si="492"/>
        <v>#REF!</v>
      </c>
      <c r="AR233" s="1999" t="e">
        <f t="shared" si="469"/>
        <v>#REF!</v>
      </c>
      <c r="AS233" s="1993" t="e">
        <f>#REF!</f>
        <v>#REF!</v>
      </c>
      <c r="AT233" s="2003">
        <f t="shared" si="493"/>
        <v>0</v>
      </c>
      <c r="AU233" s="1989" t="e">
        <f>#REF!/10^7</f>
        <v>#REF!</v>
      </c>
      <c r="AV233" s="2003">
        <f t="shared" si="494"/>
        <v>0</v>
      </c>
      <c r="AW233" s="1989" t="e">
        <f>#REF!/10^7</f>
        <v>#REF!</v>
      </c>
      <c r="AX233" s="2003">
        <f t="shared" si="495"/>
        <v>0</v>
      </c>
      <c r="AY233" s="1989" t="e">
        <f>#REF!/10^7</f>
        <v>#REF!</v>
      </c>
      <c r="AZ233" s="1989" t="e">
        <f>#REF!/10^7</f>
        <v>#REF!</v>
      </c>
      <c r="BA233" s="2002" t="e">
        <f t="shared" si="496"/>
        <v>#REF!</v>
      </c>
      <c r="BB233" s="1999" t="e">
        <f t="shared" si="470"/>
        <v>#REF!</v>
      </c>
      <c r="BC233" s="1993" t="e">
        <f>#REF!</f>
        <v>#REF!</v>
      </c>
      <c r="BD233" s="2003">
        <f t="shared" si="497"/>
        <v>0</v>
      </c>
      <c r="BE233" s="1989" t="e">
        <f>#REF!/10^7</f>
        <v>#REF!</v>
      </c>
      <c r="BF233" s="2003">
        <f t="shared" si="498"/>
        <v>0</v>
      </c>
      <c r="BG233" s="1989" t="e">
        <f>#REF!/10^7</f>
        <v>#REF!</v>
      </c>
      <c r="BH233" s="2003">
        <f t="shared" si="499"/>
        <v>0</v>
      </c>
      <c r="BI233" s="1989" t="e">
        <f>#REF!/10^7</f>
        <v>#REF!</v>
      </c>
      <c r="BJ233" s="1989" t="e">
        <f>#REF!/10^7</f>
        <v>#REF!</v>
      </c>
      <c r="BK233" s="2002" t="e">
        <f t="shared" si="500"/>
        <v>#REF!</v>
      </c>
      <c r="BL233" s="1999" t="e">
        <f t="shared" si="438"/>
        <v>#REF!</v>
      </c>
      <c r="BM233" s="1993" t="e">
        <f>#REF!</f>
        <v>#REF!</v>
      </c>
      <c r="BN233" s="2003">
        <f t="shared" si="501"/>
        <v>0</v>
      </c>
      <c r="BO233" s="1989" t="e">
        <f>#REF!/10^7</f>
        <v>#REF!</v>
      </c>
      <c r="BP233" s="2003">
        <f t="shared" si="502"/>
        <v>0</v>
      </c>
      <c r="BQ233" s="1989" t="e">
        <f>#REF!/10^7</f>
        <v>#REF!</v>
      </c>
      <c r="BR233" s="2003">
        <f t="shared" si="503"/>
        <v>0</v>
      </c>
      <c r="BS233" s="1989" t="e">
        <f>#REF!/10^7</f>
        <v>#REF!</v>
      </c>
      <c r="BT233" s="1989" t="e">
        <f>#REF!/10^7</f>
        <v>#REF!</v>
      </c>
      <c r="BU233" s="2002" t="e">
        <f t="shared" si="504"/>
        <v>#REF!</v>
      </c>
      <c r="BV233" s="1999" t="e">
        <f t="shared" si="439"/>
        <v>#REF!</v>
      </c>
      <c r="BW233" s="1993" t="e">
        <f>#REF!</f>
        <v>#REF!</v>
      </c>
      <c r="BX233" s="2003">
        <f t="shared" si="505"/>
        <v>0</v>
      </c>
      <c r="BY233" s="1989" t="e">
        <f>#REF!/10^7</f>
        <v>#REF!</v>
      </c>
      <c r="BZ233" s="2003">
        <f t="shared" si="506"/>
        <v>0</v>
      </c>
      <c r="CA233" s="1989" t="e">
        <f>#REF!/10^7</f>
        <v>#REF!</v>
      </c>
      <c r="CB233" s="2003">
        <f t="shared" si="507"/>
        <v>0</v>
      </c>
      <c r="CC233" s="1989" t="e">
        <f>#REF!/10^7</f>
        <v>#REF!</v>
      </c>
      <c r="CD233" s="1989" t="e">
        <f>#REF!/10^7</f>
        <v>#REF!</v>
      </c>
      <c r="CE233" s="2002" t="e">
        <f t="shared" si="508"/>
        <v>#REF!</v>
      </c>
      <c r="CF233" s="1999" t="e">
        <f t="shared" si="440"/>
        <v>#REF!</v>
      </c>
      <c r="CG233" s="1993" t="e">
        <f>#REF!</f>
        <v>#REF!</v>
      </c>
      <c r="CH233" s="2003">
        <f t="shared" si="509"/>
        <v>0</v>
      </c>
      <c r="CI233" s="1989" t="e">
        <f>#REF!/10^7</f>
        <v>#REF!</v>
      </c>
      <c r="CJ233" s="2003">
        <f t="shared" si="510"/>
        <v>0</v>
      </c>
      <c r="CK233" s="1989" t="e">
        <f>#REF!/10^7</f>
        <v>#REF!</v>
      </c>
      <c r="CL233" s="2003">
        <f t="shared" si="511"/>
        <v>0</v>
      </c>
      <c r="CM233" s="1989" t="e">
        <f>#REF!/10^7</f>
        <v>#REF!</v>
      </c>
      <c r="CN233" s="1989" t="e">
        <f>#REF!/10^7</f>
        <v>#REF!</v>
      </c>
      <c r="CO233" s="2002" t="e">
        <f t="shared" si="512"/>
        <v>#REF!</v>
      </c>
      <c r="CP233" s="1999" t="e">
        <f t="shared" si="441"/>
        <v>#REF!</v>
      </c>
      <c r="CQ233" s="1993" t="e">
        <f>#REF!</f>
        <v>#REF!</v>
      </c>
      <c r="CR233" s="2003">
        <f t="shared" si="513"/>
        <v>0</v>
      </c>
      <c r="CS233" s="1989" t="e">
        <f>#REF!/10^7</f>
        <v>#REF!</v>
      </c>
      <c r="CT233" s="2003">
        <f t="shared" si="514"/>
        <v>0</v>
      </c>
      <c r="CU233" s="1989" t="e">
        <f>#REF!/10^7</f>
        <v>#REF!</v>
      </c>
      <c r="CV233" s="2003">
        <f t="shared" si="515"/>
        <v>0</v>
      </c>
      <c r="CW233" s="1989" t="e">
        <f>#REF!/10^7</f>
        <v>#REF!</v>
      </c>
      <c r="CX233" s="1989" t="e">
        <f>#REF!/10^7</f>
        <v>#REF!</v>
      </c>
      <c r="CY233" s="2002" t="e">
        <f t="shared" si="516"/>
        <v>#REF!</v>
      </c>
      <c r="CZ233" s="1999" t="e">
        <f t="shared" si="442"/>
        <v>#REF!</v>
      </c>
      <c r="DA233" s="1993" t="e">
        <f>#REF!</f>
        <v>#REF!</v>
      </c>
      <c r="DB233" s="2003">
        <f t="shared" si="517"/>
        <v>0</v>
      </c>
      <c r="DC233" s="1989" t="e">
        <f>#REF!/10^7</f>
        <v>#REF!</v>
      </c>
      <c r="DD233" s="2003">
        <f t="shared" si="518"/>
        <v>0</v>
      </c>
      <c r="DE233" s="1989" t="e">
        <f>#REF!/10^7</f>
        <v>#REF!</v>
      </c>
      <c r="DF233" s="2003">
        <f t="shared" si="519"/>
        <v>0</v>
      </c>
      <c r="DG233" s="1989" t="e">
        <f>#REF!/10^7</f>
        <v>#REF!</v>
      </c>
      <c r="DH233" s="1989" t="e">
        <f>#REF!/10^7</f>
        <v>#REF!</v>
      </c>
      <c r="DI233" s="2002" t="e">
        <f t="shared" si="520"/>
        <v>#REF!</v>
      </c>
      <c r="DJ233" s="1999" t="e">
        <f t="shared" si="471"/>
        <v>#REF!</v>
      </c>
      <c r="DK233" s="1993" t="e">
        <f>#REF!</f>
        <v>#REF!</v>
      </c>
      <c r="DL233" s="2003">
        <f t="shared" si="521"/>
        <v>0</v>
      </c>
      <c r="DM233" s="1989" t="e">
        <f>#REF!/10^7</f>
        <v>#REF!</v>
      </c>
      <c r="DN233" s="2003">
        <f t="shared" si="522"/>
        <v>0</v>
      </c>
      <c r="DO233" s="1989" t="e">
        <f>#REF!/10^7</f>
        <v>#REF!</v>
      </c>
      <c r="DP233" s="2003">
        <f t="shared" si="523"/>
        <v>0</v>
      </c>
      <c r="DQ233" s="1989" t="e">
        <f>#REF!/10^7</f>
        <v>#REF!</v>
      </c>
      <c r="DR233" s="1989" t="e">
        <f>#REF!/10^7</f>
        <v>#REF!</v>
      </c>
      <c r="DS233" s="2002" t="e">
        <f t="shared" si="524"/>
        <v>#REF!</v>
      </c>
      <c r="DT233" s="2004" t="e">
        <f t="shared" si="472"/>
        <v>#REF!</v>
      </c>
      <c r="DU233" s="1988" t="e">
        <f>#REF!</f>
        <v>#REF!</v>
      </c>
      <c r="DV233" s="2003">
        <f t="shared" si="525"/>
        <v>0</v>
      </c>
      <c r="DW233" s="1989" t="e">
        <f>#REF!/10^7</f>
        <v>#REF!</v>
      </c>
      <c r="DX233" s="2003">
        <f t="shared" si="526"/>
        <v>0</v>
      </c>
      <c r="DY233" s="1989" t="e">
        <f>#REF!/10^7</f>
        <v>#REF!</v>
      </c>
      <c r="DZ233" s="2003">
        <f t="shared" si="527"/>
        <v>0</v>
      </c>
      <c r="EA233" s="1989" t="e">
        <f>#REF!/10^7</f>
        <v>#REF!</v>
      </c>
      <c r="EB233" s="1989" t="e">
        <f>#REF!/10^7</f>
        <v>#REF!</v>
      </c>
      <c r="EC233" s="2002" t="e">
        <f t="shared" si="528"/>
        <v>#REF!</v>
      </c>
      <c r="ED233" s="1998" t="e">
        <f t="shared" si="473"/>
        <v>#REF!</v>
      </c>
      <c r="EE233" s="2005" t="e">
        <f t="shared" si="475"/>
        <v>#REF!</v>
      </c>
      <c r="EF233" s="2003">
        <f t="shared" si="529"/>
        <v>0</v>
      </c>
      <c r="EG233" s="1989" t="e">
        <f t="shared" si="476"/>
        <v>#REF!</v>
      </c>
      <c r="EH233" s="2003">
        <f t="shared" si="530"/>
        <v>0</v>
      </c>
      <c r="EI233" s="1989" t="e">
        <f t="shared" si="477"/>
        <v>#REF!</v>
      </c>
      <c r="EJ233" s="2003">
        <f t="shared" si="531"/>
        <v>0</v>
      </c>
      <c r="EK233" s="1989" t="e">
        <f t="shared" si="534"/>
        <v>#REF!</v>
      </c>
      <c r="EL233" s="1989" t="e">
        <f t="shared" si="534"/>
        <v>#REF!</v>
      </c>
      <c r="EM233" s="2006" t="e">
        <f t="shared" si="532"/>
        <v>#REF!</v>
      </c>
      <c r="EN233" s="1999" t="e">
        <f t="shared" si="479"/>
        <v>#REF!</v>
      </c>
      <c r="EO233" s="1613">
        <v>62.922849999999997</v>
      </c>
      <c r="EP233" s="1613" t="e">
        <f>EA233-#REF!/10^7</f>
        <v>#REF!</v>
      </c>
      <c r="ER233" s="1612" t="e">
        <f t="shared" si="480"/>
        <v>#REF!</v>
      </c>
      <c r="EW233" s="1611" t="e">
        <v>#N/A</v>
      </c>
      <c r="EX233" s="1612" t="e">
        <v>#N/A</v>
      </c>
      <c r="EZ233" s="1650">
        <f t="shared" si="533"/>
        <v>0</v>
      </c>
    </row>
    <row r="234" spans="1:156" ht="21" customHeight="1">
      <c r="A234" s="1652">
        <v>44</v>
      </c>
      <c r="B234" s="1701" t="s">
        <v>1902</v>
      </c>
      <c r="C234" s="1662">
        <v>40</v>
      </c>
      <c r="D234" s="1646">
        <f t="shared" si="474"/>
        <v>100</v>
      </c>
      <c r="E234" s="1646"/>
      <c r="F234" s="1648" t="s">
        <v>1594</v>
      </c>
      <c r="G234" s="1648"/>
      <c r="H234" s="1648">
        <v>40</v>
      </c>
      <c r="I234" s="1648" t="s">
        <v>1717</v>
      </c>
      <c r="J234" s="1649">
        <v>2</v>
      </c>
      <c r="K234" s="1648"/>
      <c r="L234" s="1648"/>
      <c r="M234" s="1648"/>
      <c r="N234" s="1642"/>
      <c r="O234" s="2000" t="e">
        <f>#REF!</f>
        <v>#REF!</v>
      </c>
      <c r="P234" s="2003">
        <f t="shared" si="481"/>
        <v>0</v>
      </c>
      <c r="Q234" s="1989" t="e">
        <f>#REF!/10^7</f>
        <v>#REF!</v>
      </c>
      <c r="R234" s="2003">
        <f t="shared" si="482"/>
        <v>0</v>
      </c>
      <c r="S234" s="1989" t="e">
        <f>#REF!/10^7</f>
        <v>#REF!</v>
      </c>
      <c r="T234" s="2003">
        <f t="shared" si="483"/>
        <v>0</v>
      </c>
      <c r="U234" s="1989" t="e">
        <f>#REF!/10^7</f>
        <v>#REF!</v>
      </c>
      <c r="V234" s="1989" t="e">
        <f>#REF!/10^7</f>
        <v>#REF!</v>
      </c>
      <c r="W234" s="1989">
        <f t="shared" si="484"/>
        <v>0</v>
      </c>
      <c r="X234" s="1999" t="e">
        <f t="shared" si="467"/>
        <v>#REF!</v>
      </c>
      <c r="Y234" s="1993" t="e">
        <f>#REF!</f>
        <v>#REF!</v>
      </c>
      <c r="Z234" s="2003">
        <f t="shared" si="485"/>
        <v>0</v>
      </c>
      <c r="AA234" s="1989" t="e">
        <f>#REF!/10^7</f>
        <v>#REF!</v>
      </c>
      <c r="AB234" s="2003">
        <f t="shared" si="486"/>
        <v>0</v>
      </c>
      <c r="AC234" s="1989" t="e">
        <f>#REF!/10^7</f>
        <v>#REF!</v>
      </c>
      <c r="AD234" s="2003">
        <f t="shared" si="487"/>
        <v>0</v>
      </c>
      <c r="AE234" s="1989" t="e">
        <f>#REF!/10^7</f>
        <v>#REF!</v>
      </c>
      <c r="AF234" s="1989" t="e">
        <f>#REF!/10^7</f>
        <v>#REF!</v>
      </c>
      <c r="AG234" s="2002" t="e">
        <f t="shared" si="488"/>
        <v>#REF!</v>
      </c>
      <c r="AH234" s="1999" t="e">
        <f t="shared" si="468"/>
        <v>#REF!</v>
      </c>
      <c r="AI234" s="1993" t="e">
        <f>#REF!</f>
        <v>#REF!</v>
      </c>
      <c r="AJ234" s="2003">
        <f t="shared" si="489"/>
        <v>0</v>
      </c>
      <c r="AK234" s="1989" t="e">
        <f>#REF!/10^7</f>
        <v>#REF!</v>
      </c>
      <c r="AL234" s="2003">
        <f t="shared" si="490"/>
        <v>0</v>
      </c>
      <c r="AM234" s="1989" t="e">
        <f>#REF!/10^7</f>
        <v>#REF!</v>
      </c>
      <c r="AN234" s="2003">
        <f t="shared" si="491"/>
        <v>0</v>
      </c>
      <c r="AO234" s="1989" t="e">
        <f>#REF!/10^7</f>
        <v>#REF!</v>
      </c>
      <c r="AP234" s="1989" t="e">
        <f>#REF!/10^7</f>
        <v>#REF!</v>
      </c>
      <c r="AQ234" s="2002" t="e">
        <f t="shared" si="492"/>
        <v>#REF!</v>
      </c>
      <c r="AR234" s="1999" t="e">
        <f t="shared" si="469"/>
        <v>#REF!</v>
      </c>
      <c r="AS234" s="1993" t="e">
        <f>#REF!</f>
        <v>#REF!</v>
      </c>
      <c r="AT234" s="2003">
        <f t="shared" si="493"/>
        <v>0</v>
      </c>
      <c r="AU234" s="1989" t="e">
        <f>#REF!/10^7</f>
        <v>#REF!</v>
      </c>
      <c r="AV234" s="2003">
        <f t="shared" si="494"/>
        <v>0</v>
      </c>
      <c r="AW234" s="1989" t="e">
        <f>#REF!/10^7</f>
        <v>#REF!</v>
      </c>
      <c r="AX234" s="2003">
        <f t="shared" si="495"/>
        <v>0</v>
      </c>
      <c r="AY234" s="1989" t="e">
        <f>#REF!/10^7</f>
        <v>#REF!</v>
      </c>
      <c r="AZ234" s="1989" t="e">
        <f>#REF!/10^7</f>
        <v>#REF!</v>
      </c>
      <c r="BA234" s="2002" t="e">
        <f t="shared" si="496"/>
        <v>#REF!</v>
      </c>
      <c r="BB234" s="1999" t="e">
        <f t="shared" si="470"/>
        <v>#REF!</v>
      </c>
      <c r="BC234" s="1993" t="e">
        <f>#REF!</f>
        <v>#REF!</v>
      </c>
      <c r="BD234" s="2003">
        <f t="shared" si="497"/>
        <v>0</v>
      </c>
      <c r="BE234" s="1989" t="e">
        <f>#REF!/10^7</f>
        <v>#REF!</v>
      </c>
      <c r="BF234" s="2003">
        <f t="shared" si="498"/>
        <v>0</v>
      </c>
      <c r="BG234" s="1989" t="e">
        <f>#REF!/10^7</f>
        <v>#REF!</v>
      </c>
      <c r="BH234" s="2003">
        <f t="shared" si="499"/>
        <v>0</v>
      </c>
      <c r="BI234" s="1989" t="e">
        <f>#REF!/10^7</f>
        <v>#REF!</v>
      </c>
      <c r="BJ234" s="1989" t="e">
        <f>#REF!/10^7</f>
        <v>#REF!</v>
      </c>
      <c r="BK234" s="2002" t="e">
        <f t="shared" si="500"/>
        <v>#REF!</v>
      </c>
      <c r="BL234" s="1999" t="e">
        <f t="shared" si="438"/>
        <v>#REF!</v>
      </c>
      <c r="BM234" s="1993" t="e">
        <f>#REF!</f>
        <v>#REF!</v>
      </c>
      <c r="BN234" s="2003">
        <f t="shared" si="501"/>
        <v>0</v>
      </c>
      <c r="BO234" s="1989" t="e">
        <f>#REF!/10^7</f>
        <v>#REF!</v>
      </c>
      <c r="BP234" s="2003">
        <f t="shared" si="502"/>
        <v>0</v>
      </c>
      <c r="BQ234" s="1989" t="e">
        <f>#REF!/10^7</f>
        <v>#REF!</v>
      </c>
      <c r="BR234" s="2003">
        <f t="shared" si="503"/>
        <v>0</v>
      </c>
      <c r="BS234" s="1989" t="e">
        <f>#REF!/10^7</f>
        <v>#REF!</v>
      </c>
      <c r="BT234" s="1989" t="e">
        <f>#REF!/10^7</f>
        <v>#REF!</v>
      </c>
      <c r="BU234" s="2002" t="e">
        <f t="shared" si="504"/>
        <v>#REF!</v>
      </c>
      <c r="BV234" s="1999" t="e">
        <f t="shared" si="439"/>
        <v>#REF!</v>
      </c>
      <c r="BW234" s="1993" t="e">
        <f>#REF!</f>
        <v>#REF!</v>
      </c>
      <c r="BX234" s="2003">
        <f t="shared" si="505"/>
        <v>0</v>
      </c>
      <c r="BY234" s="1989" t="e">
        <f>#REF!/10^7</f>
        <v>#REF!</v>
      </c>
      <c r="BZ234" s="2003">
        <f t="shared" si="506"/>
        <v>0</v>
      </c>
      <c r="CA234" s="1989" t="e">
        <f>#REF!/10^7</f>
        <v>#REF!</v>
      </c>
      <c r="CB234" s="2003">
        <f t="shared" si="507"/>
        <v>0</v>
      </c>
      <c r="CC234" s="1989" t="e">
        <f>#REF!/10^7</f>
        <v>#REF!</v>
      </c>
      <c r="CD234" s="1989" t="e">
        <f>#REF!/10^7</f>
        <v>#REF!</v>
      </c>
      <c r="CE234" s="2002" t="e">
        <f t="shared" si="508"/>
        <v>#REF!</v>
      </c>
      <c r="CF234" s="1999" t="e">
        <f t="shared" si="440"/>
        <v>#REF!</v>
      </c>
      <c r="CG234" s="1993" t="e">
        <f>#REF!</f>
        <v>#REF!</v>
      </c>
      <c r="CH234" s="2003">
        <f t="shared" si="509"/>
        <v>0</v>
      </c>
      <c r="CI234" s="1989" t="e">
        <f>#REF!/10^7</f>
        <v>#REF!</v>
      </c>
      <c r="CJ234" s="2003">
        <f t="shared" si="510"/>
        <v>0</v>
      </c>
      <c r="CK234" s="1989" t="e">
        <f>#REF!/10^7</f>
        <v>#REF!</v>
      </c>
      <c r="CL234" s="2003">
        <f t="shared" si="511"/>
        <v>0</v>
      </c>
      <c r="CM234" s="1989" t="e">
        <f>#REF!/10^7</f>
        <v>#REF!</v>
      </c>
      <c r="CN234" s="1989" t="e">
        <f>#REF!/10^7</f>
        <v>#REF!</v>
      </c>
      <c r="CO234" s="2002" t="e">
        <f t="shared" si="512"/>
        <v>#REF!</v>
      </c>
      <c r="CP234" s="1999" t="e">
        <f t="shared" si="441"/>
        <v>#REF!</v>
      </c>
      <c r="CQ234" s="1993" t="e">
        <f>#REF!</f>
        <v>#REF!</v>
      </c>
      <c r="CR234" s="2003">
        <f t="shared" si="513"/>
        <v>0</v>
      </c>
      <c r="CS234" s="1989" t="e">
        <f>#REF!/10^7</f>
        <v>#REF!</v>
      </c>
      <c r="CT234" s="2003">
        <f t="shared" si="514"/>
        <v>0</v>
      </c>
      <c r="CU234" s="1989" t="e">
        <f>#REF!/10^7</f>
        <v>#REF!</v>
      </c>
      <c r="CV234" s="2003">
        <f t="shared" si="515"/>
        <v>0</v>
      </c>
      <c r="CW234" s="1989" t="e">
        <f>#REF!/10^7</f>
        <v>#REF!</v>
      </c>
      <c r="CX234" s="1989" t="e">
        <f>#REF!/10^7</f>
        <v>#REF!</v>
      </c>
      <c r="CY234" s="2002" t="e">
        <f t="shared" si="516"/>
        <v>#REF!</v>
      </c>
      <c r="CZ234" s="1999" t="e">
        <f t="shared" si="442"/>
        <v>#REF!</v>
      </c>
      <c r="DA234" s="1993" t="e">
        <f>#REF!</f>
        <v>#REF!</v>
      </c>
      <c r="DB234" s="2003">
        <f t="shared" si="517"/>
        <v>0</v>
      </c>
      <c r="DC234" s="1989" t="e">
        <f>#REF!/10^7</f>
        <v>#REF!</v>
      </c>
      <c r="DD234" s="2003">
        <f t="shared" si="518"/>
        <v>0</v>
      </c>
      <c r="DE234" s="1989" t="e">
        <f>#REF!/10^7</f>
        <v>#REF!</v>
      </c>
      <c r="DF234" s="2003">
        <f t="shared" si="519"/>
        <v>0</v>
      </c>
      <c r="DG234" s="1989" t="e">
        <f>#REF!/10^7</f>
        <v>#REF!</v>
      </c>
      <c r="DH234" s="1989" t="e">
        <f>#REF!/10^7</f>
        <v>#REF!</v>
      </c>
      <c r="DI234" s="2002" t="e">
        <f t="shared" si="520"/>
        <v>#REF!</v>
      </c>
      <c r="DJ234" s="1999" t="e">
        <f t="shared" si="471"/>
        <v>#REF!</v>
      </c>
      <c r="DK234" s="1993" t="e">
        <f>#REF!</f>
        <v>#REF!</v>
      </c>
      <c r="DL234" s="2003">
        <f t="shared" si="521"/>
        <v>0</v>
      </c>
      <c r="DM234" s="1989" t="e">
        <f>#REF!/10^7</f>
        <v>#REF!</v>
      </c>
      <c r="DN234" s="2003">
        <f t="shared" si="522"/>
        <v>0</v>
      </c>
      <c r="DO234" s="1989" t="e">
        <f>#REF!/10^7</f>
        <v>#REF!</v>
      </c>
      <c r="DP234" s="2003">
        <f t="shared" si="523"/>
        <v>0</v>
      </c>
      <c r="DQ234" s="1989" t="e">
        <f>#REF!/10^7</f>
        <v>#REF!</v>
      </c>
      <c r="DR234" s="1989" t="e">
        <f>#REF!/10^7</f>
        <v>#REF!</v>
      </c>
      <c r="DS234" s="2002" t="e">
        <f t="shared" si="524"/>
        <v>#REF!</v>
      </c>
      <c r="DT234" s="2004" t="e">
        <f t="shared" si="472"/>
        <v>#REF!</v>
      </c>
      <c r="DU234" s="1988" t="e">
        <f>#REF!</f>
        <v>#REF!</v>
      </c>
      <c r="DV234" s="2003">
        <f t="shared" si="525"/>
        <v>0</v>
      </c>
      <c r="DW234" s="1989" t="e">
        <f>#REF!/10^7</f>
        <v>#REF!</v>
      </c>
      <c r="DX234" s="2003">
        <f t="shared" si="526"/>
        <v>0</v>
      </c>
      <c r="DY234" s="1989" t="e">
        <f>#REF!/10^7</f>
        <v>#REF!</v>
      </c>
      <c r="DZ234" s="2003">
        <f t="shared" si="527"/>
        <v>0</v>
      </c>
      <c r="EA234" s="1989" t="e">
        <f>#REF!/10^7</f>
        <v>#REF!</v>
      </c>
      <c r="EB234" s="1989" t="e">
        <f>#REF!/10^7</f>
        <v>#REF!</v>
      </c>
      <c r="EC234" s="2002" t="e">
        <f t="shared" si="528"/>
        <v>#REF!</v>
      </c>
      <c r="ED234" s="1998" t="e">
        <f t="shared" si="473"/>
        <v>#REF!</v>
      </c>
      <c r="EE234" s="2005" t="e">
        <f t="shared" si="475"/>
        <v>#REF!</v>
      </c>
      <c r="EF234" s="2003">
        <f t="shared" si="529"/>
        <v>0</v>
      </c>
      <c r="EG234" s="1989" t="e">
        <f t="shared" si="476"/>
        <v>#REF!</v>
      </c>
      <c r="EH234" s="2003">
        <f t="shared" si="530"/>
        <v>0</v>
      </c>
      <c r="EI234" s="1989" t="e">
        <f t="shared" si="477"/>
        <v>#REF!</v>
      </c>
      <c r="EJ234" s="2003">
        <f t="shared" si="531"/>
        <v>0</v>
      </c>
      <c r="EK234" s="1989" t="e">
        <f t="shared" si="534"/>
        <v>#REF!</v>
      </c>
      <c r="EL234" s="1989" t="e">
        <f t="shared" si="534"/>
        <v>#REF!</v>
      </c>
      <c r="EM234" s="2006" t="e">
        <f t="shared" si="532"/>
        <v>#REF!</v>
      </c>
      <c r="EN234" s="1999" t="e">
        <f t="shared" si="479"/>
        <v>#REF!</v>
      </c>
      <c r="EO234" s="1613">
        <v>86.494754999999998</v>
      </c>
      <c r="EP234" s="1613" t="e">
        <f>EA234-#REF!/10^7</f>
        <v>#REF!</v>
      </c>
      <c r="ER234" s="1612" t="e">
        <f t="shared" si="480"/>
        <v>#REF!</v>
      </c>
      <c r="EW234" s="1611" t="e">
        <v>#N/A</v>
      </c>
      <c r="EX234" s="1612" t="e">
        <v>#N/A</v>
      </c>
      <c r="EZ234" s="1650">
        <f t="shared" si="533"/>
        <v>0</v>
      </c>
    </row>
    <row r="235" spans="1:156" ht="21" customHeight="1">
      <c r="A235" s="1652">
        <v>45</v>
      </c>
      <c r="B235" s="1701" t="s">
        <v>1903</v>
      </c>
      <c r="C235" s="1662">
        <v>30</v>
      </c>
      <c r="D235" s="1646">
        <f t="shared" si="474"/>
        <v>100</v>
      </c>
      <c r="E235" s="1646"/>
      <c r="F235" s="1648" t="s">
        <v>1594</v>
      </c>
      <c r="G235" s="1648"/>
      <c r="H235" s="1648">
        <v>30</v>
      </c>
      <c r="I235" s="1648" t="s">
        <v>1717</v>
      </c>
      <c r="J235" s="1649">
        <v>2</v>
      </c>
      <c r="K235" s="1648"/>
      <c r="L235" s="1648"/>
      <c r="M235" s="1648"/>
      <c r="N235" s="1642"/>
      <c r="O235" s="2000" t="e">
        <f>#REF!</f>
        <v>#REF!</v>
      </c>
      <c r="P235" s="2003">
        <f t="shared" si="481"/>
        <v>0</v>
      </c>
      <c r="Q235" s="1989" t="e">
        <f>#REF!/10^7</f>
        <v>#REF!</v>
      </c>
      <c r="R235" s="2003">
        <f t="shared" si="482"/>
        <v>0</v>
      </c>
      <c r="S235" s="1989" t="e">
        <f>#REF!/10^7</f>
        <v>#REF!</v>
      </c>
      <c r="T235" s="2003">
        <f t="shared" si="483"/>
        <v>0</v>
      </c>
      <c r="U235" s="1989" t="e">
        <f>#REF!/10^7</f>
        <v>#REF!</v>
      </c>
      <c r="V235" s="1989" t="e">
        <f>#REF!/10^7</f>
        <v>#REF!</v>
      </c>
      <c r="W235" s="1989">
        <f t="shared" si="484"/>
        <v>0</v>
      </c>
      <c r="X235" s="1999" t="e">
        <f t="shared" si="467"/>
        <v>#REF!</v>
      </c>
      <c r="Y235" s="1993" t="e">
        <f>#REF!</f>
        <v>#REF!</v>
      </c>
      <c r="Z235" s="2003">
        <f t="shared" si="485"/>
        <v>0</v>
      </c>
      <c r="AA235" s="1989" t="e">
        <f>#REF!/10^7</f>
        <v>#REF!</v>
      </c>
      <c r="AB235" s="2003">
        <f t="shared" si="486"/>
        <v>0</v>
      </c>
      <c r="AC235" s="1989" t="e">
        <f>#REF!/10^7</f>
        <v>#REF!</v>
      </c>
      <c r="AD235" s="2003">
        <f t="shared" si="487"/>
        <v>0</v>
      </c>
      <c r="AE235" s="1989" t="e">
        <f>#REF!/10^7</f>
        <v>#REF!</v>
      </c>
      <c r="AF235" s="1989" t="e">
        <f>#REF!/10^7</f>
        <v>#REF!</v>
      </c>
      <c r="AG235" s="2002" t="e">
        <f t="shared" si="488"/>
        <v>#REF!</v>
      </c>
      <c r="AH235" s="1999" t="e">
        <f t="shared" si="468"/>
        <v>#REF!</v>
      </c>
      <c r="AI235" s="1993" t="e">
        <f>#REF!</f>
        <v>#REF!</v>
      </c>
      <c r="AJ235" s="2003">
        <f t="shared" si="489"/>
        <v>0</v>
      </c>
      <c r="AK235" s="1989" t="e">
        <f>#REF!/10^7</f>
        <v>#REF!</v>
      </c>
      <c r="AL235" s="2003">
        <f t="shared" si="490"/>
        <v>0</v>
      </c>
      <c r="AM235" s="1989" t="e">
        <f>#REF!/10^7</f>
        <v>#REF!</v>
      </c>
      <c r="AN235" s="2003">
        <f t="shared" si="491"/>
        <v>0</v>
      </c>
      <c r="AO235" s="1989" t="e">
        <f>#REF!/10^7</f>
        <v>#REF!</v>
      </c>
      <c r="AP235" s="1989" t="e">
        <f>#REF!/10^7</f>
        <v>#REF!</v>
      </c>
      <c r="AQ235" s="2002" t="e">
        <f t="shared" si="492"/>
        <v>#REF!</v>
      </c>
      <c r="AR235" s="1999" t="e">
        <f t="shared" si="469"/>
        <v>#REF!</v>
      </c>
      <c r="AS235" s="1993" t="e">
        <f>#REF!</f>
        <v>#REF!</v>
      </c>
      <c r="AT235" s="2003">
        <f t="shared" si="493"/>
        <v>0</v>
      </c>
      <c r="AU235" s="1989" t="e">
        <f>#REF!/10^7</f>
        <v>#REF!</v>
      </c>
      <c r="AV235" s="2003">
        <f t="shared" si="494"/>
        <v>0</v>
      </c>
      <c r="AW235" s="1989" t="e">
        <f>#REF!/10^7</f>
        <v>#REF!</v>
      </c>
      <c r="AX235" s="2003">
        <f t="shared" si="495"/>
        <v>0</v>
      </c>
      <c r="AY235" s="1989" t="e">
        <f>#REF!/10^7</f>
        <v>#REF!</v>
      </c>
      <c r="AZ235" s="1989" t="e">
        <f>#REF!/10^7</f>
        <v>#REF!</v>
      </c>
      <c r="BA235" s="2002" t="e">
        <f t="shared" si="496"/>
        <v>#REF!</v>
      </c>
      <c r="BB235" s="1999" t="e">
        <f t="shared" si="470"/>
        <v>#REF!</v>
      </c>
      <c r="BC235" s="1993" t="e">
        <f>#REF!</f>
        <v>#REF!</v>
      </c>
      <c r="BD235" s="2003">
        <f t="shared" si="497"/>
        <v>0</v>
      </c>
      <c r="BE235" s="1989" t="e">
        <f>#REF!/10^7</f>
        <v>#REF!</v>
      </c>
      <c r="BF235" s="2003">
        <f t="shared" si="498"/>
        <v>0</v>
      </c>
      <c r="BG235" s="1989" t="e">
        <f>#REF!/10^7</f>
        <v>#REF!</v>
      </c>
      <c r="BH235" s="2003">
        <f t="shared" si="499"/>
        <v>0</v>
      </c>
      <c r="BI235" s="1989" t="e">
        <f>#REF!/10^7</f>
        <v>#REF!</v>
      </c>
      <c r="BJ235" s="1989" t="e">
        <f>#REF!/10^7</f>
        <v>#REF!</v>
      </c>
      <c r="BK235" s="2002" t="e">
        <f t="shared" si="500"/>
        <v>#REF!</v>
      </c>
      <c r="BL235" s="1999" t="e">
        <f t="shared" si="438"/>
        <v>#REF!</v>
      </c>
      <c r="BM235" s="1993" t="e">
        <f>#REF!</f>
        <v>#REF!</v>
      </c>
      <c r="BN235" s="2003">
        <f t="shared" si="501"/>
        <v>0</v>
      </c>
      <c r="BO235" s="1989" t="e">
        <f>#REF!/10^7</f>
        <v>#REF!</v>
      </c>
      <c r="BP235" s="2003">
        <f t="shared" si="502"/>
        <v>0</v>
      </c>
      <c r="BQ235" s="1989" t="e">
        <f>#REF!/10^7</f>
        <v>#REF!</v>
      </c>
      <c r="BR235" s="2003">
        <f t="shared" si="503"/>
        <v>0</v>
      </c>
      <c r="BS235" s="1989" t="e">
        <f>#REF!/10^7</f>
        <v>#REF!</v>
      </c>
      <c r="BT235" s="1989" t="e">
        <f>#REF!/10^7</f>
        <v>#REF!</v>
      </c>
      <c r="BU235" s="2002" t="e">
        <f t="shared" si="504"/>
        <v>#REF!</v>
      </c>
      <c r="BV235" s="1999" t="e">
        <f t="shared" si="439"/>
        <v>#REF!</v>
      </c>
      <c r="BW235" s="1993" t="e">
        <f>#REF!</f>
        <v>#REF!</v>
      </c>
      <c r="BX235" s="2003">
        <f t="shared" si="505"/>
        <v>0</v>
      </c>
      <c r="BY235" s="1989" t="e">
        <f>#REF!/10^7</f>
        <v>#REF!</v>
      </c>
      <c r="BZ235" s="2003">
        <f t="shared" si="506"/>
        <v>0</v>
      </c>
      <c r="CA235" s="1989" t="e">
        <f>#REF!/10^7</f>
        <v>#REF!</v>
      </c>
      <c r="CB235" s="2003">
        <f t="shared" si="507"/>
        <v>0</v>
      </c>
      <c r="CC235" s="1989" t="e">
        <f>#REF!/10^7</f>
        <v>#REF!</v>
      </c>
      <c r="CD235" s="1989" t="e">
        <f>#REF!/10^7</f>
        <v>#REF!</v>
      </c>
      <c r="CE235" s="2002" t="e">
        <f t="shared" si="508"/>
        <v>#REF!</v>
      </c>
      <c r="CF235" s="1999" t="e">
        <f t="shared" si="440"/>
        <v>#REF!</v>
      </c>
      <c r="CG235" s="1993" t="e">
        <f>#REF!</f>
        <v>#REF!</v>
      </c>
      <c r="CH235" s="2003">
        <f t="shared" si="509"/>
        <v>0</v>
      </c>
      <c r="CI235" s="1989" t="e">
        <f>#REF!/10^7</f>
        <v>#REF!</v>
      </c>
      <c r="CJ235" s="2003">
        <f t="shared" si="510"/>
        <v>0</v>
      </c>
      <c r="CK235" s="1989" t="e">
        <f>#REF!/10^7</f>
        <v>#REF!</v>
      </c>
      <c r="CL235" s="2003">
        <f t="shared" si="511"/>
        <v>0</v>
      </c>
      <c r="CM235" s="1989" t="e">
        <f>#REF!/10^7</f>
        <v>#REF!</v>
      </c>
      <c r="CN235" s="1989" t="e">
        <f>#REF!/10^7</f>
        <v>#REF!</v>
      </c>
      <c r="CO235" s="2002" t="e">
        <f t="shared" si="512"/>
        <v>#REF!</v>
      </c>
      <c r="CP235" s="1999" t="e">
        <f t="shared" si="441"/>
        <v>#REF!</v>
      </c>
      <c r="CQ235" s="1993" t="e">
        <f>#REF!</f>
        <v>#REF!</v>
      </c>
      <c r="CR235" s="2003">
        <f t="shared" si="513"/>
        <v>0</v>
      </c>
      <c r="CS235" s="1989" t="e">
        <f>#REF!/10^7</f>
        <v>#REF!</v>
      </c>
      <c r="CT235" s="2003">
        <f t="shared" si="514"/>
        <v>0</v>
      </c>
      <c r="CU235" s="1989" t="e">
        <f>#REF!/10^7</f>
        <v>#REF!</v>
      </c>
      <c r="CV235" s="2003">
        <f t="shared" si="515"/>
        <v>0</v>
      </c>
      <c r="CW235" s="1989" t="e">
        <f>#REF!/10^7</f>
        <v>#REF!</v>
      </c>
      <c r="CX235" s="1989" t="e">
        <f>#REF!/10^7</f>
        <v>#REF!</v>
      </c>
      <c r="CY235" s="2002" t="e">
        <f t="shared" si="516"/>
        <v>#REF!</v>
      </c>
      <c r="CZ235" s="1999" t="e">
        <f t="shared" si="442"/>
        <v>#REF!</v>
      </c>
      <c r="DA235" s="1993" t="e">
        <f>#REF!</f>
        <v>#REF!</v>
      </c>
      <c r="DB235" s="2003">
        <f t="shared" si="517"/>
        <v>0</v>
      </c>
      <c r="DC235" s="1989" t="e">
        <f>#REF!/10^7</f>
        <v>#REF!</v>
      </c>
      <c r="DD235" s="2003">
        <f t="shared" si="518"/>
        <v>0</v>
      </c>
      <c r="DE235" s="1989" t="e">
        <f>#REF!/10^7</f>
        <v>#REF!</v>
      </c>
      <c r="DF235" s="2003">
        <f t="shared" si="519"/>
        <v>0</v>
      </c>
      <c r="DG235" s="1989" t="e">
        <f>#REF!/10^7</f>
        <v>#REF!</v>
      </c>
      <c r="DH235" s="1989" t="e">
        <f>#REF!/10^7</f>
        <v>#REF!</v>
      </c>
      <c r="DI235" s="2002" t="e">
        <f t="shared" si="520"/>
        <v>#REF!</v>
      </c>
      <c r="DJ235" s="1999" t="e">
        <f t="shared" si="471"/>
        <v>#REF!</v>
      </c>
      <c r="DK235" s="1993" t="e">
        <f>#REF!</f>
        <v>#REF!</v>
      </c>
      <c r="DL235" s="2003">
        <f t="shared" si="521"/>
        <v>0</v>
      </c>
      <c r="DM235" s="1989" t="e">
        <f>#REF!/10^7</f>
        <v>#REF!</v>
      </c>
      <c r="DN235" s="2003">
        <f t="shared" si="522"/>
        <v>0</v>
      </c>
      <c r="DO235" s="1989" t="e">
        <f>#REF!/10^7</f>
        <v>#REF!</v>
      </c>
      <c r="DP235" s="2003">
        <f t="shared" si="523"/>
        <v>0</v>
      </c>
      <c r="DQ235" s="1989" t="e">
        <f>#REF!/10^7</f>
        <v>#REF!</v>
      </c>
      <c r="DR235" s="1989" t="e">
        <f>#REF!/10^7</f>
        <v>#REF!</v>
      </c>
      <c r="DS235" s="2002" t="e">
        <f t="shared" si="524"/>
        <v>#REF!</v>
      </c>
      <c r="DT235" s="2004" t="e">
        <f t="shared" si="472"/>
        <v>#REF!</v>
      </c>
      <c r="DU235" s="1988" t="e">
        <f>#REF!</f>
        <v>#REF!</v>
      </c>
      <c r="DV235" s="2003">
        <f t="shared" si="525"/>
        <v>0</v>
      </c>
      <c r="DW235" s="1989" t="e">
        <f>#REF!/10^7</f>
        <v>#REF!</v>
      </c>
      <c r="DX235" s="2003">
        <f t="shared" si="526"/>
        <v>0</v>
      </c>
      <c r="DY235" s="1989" t="e">
        <f>#REF!/10^7</f>
        <v>#REF!</v>
      </c>
      <c r="DZ235" s="2003">
        <f t="shared" si="527"/>
        <v>0</v>
      </c>
      <c r="EA235" s="1989" t="e">
        <f>#REF!/10^7</f>
        <v>#REF!</v>
      </c>
      <c r="EB235" s="1989" t="e">
        <f>#REF!/10^7</f>
        <v>#REF!</v>
      </c>
      <c r="EC235" s="2002" t="e">
        <f t="shared" si="528"/>
        <v>#REF!</v>
      </c>
      <c r="ED235" s="1998" t="e">
        <f t="shared" si="473"/>
        <v>#REF!</v>
      </c>
      <c r="EE235" s="2005" t="e">
        <f t="shared" si="475"/>
        <v>#REF!</v>
      </c>
      <c r="EF235" s="2003">
        <f t="shared" si="529"/>
        <v>0</v>
      </c>
      <c r="EG235" s="1989" t="e">
        <f t="shared" si="476"/>
        <v>#REF!</v>
      </c>
      <c r="EH235" s="2003">
        <f t="shared" si="530"/>
        <v>0</v>
      </c>
      <c r="EI235" s="1989" t="e">
        <f t="shared" si="477"/>
        <v>#REF!</v>
      </c>
      <c r="EJ235" s="2003">
        <f t="shared" si="531"/>
        <v>0</v>
      </c>
      <c r="EK235" s="1989" t="e">
        <f t="shared" si="534"/>
        <v>#REF!</v>
      </c>
      <c r="EL235" s="1989" t="e">
        <f t="shared" si="534"/>
        <v>#REF!</v>
      </c>
      <c r="EM235" s="2006" t="e">
        <f t="shared" si="532"/>
        <v>#REF!</v>
      </c>
      <c r="EN235" s="1999" t="e">
        <f t="shared" si="479"/>
        <v>#REF!</v>
      </c>
      <c r="EO235" s="1613">
        <v>84.749104000000003</v>
      </c>
      <c r="EP235" s="1613" t="e">
        <f>EA235-#REF!/10^7</f>
        <v>#REF!</v>
      </c>
      <c r="ER235" s="1612" t="e">
        <f t="shared" si="480"/>
        <v>#REF!</v>
      </c>
      <c r="EW235" s="1611" t="e">
        <v>#N/A</v>
      </c>
      <c r="EX235" s="1612" t="e">
        <v>#N/A</v>
      </c>
      <c r="EZ235" s="1650">
        <f t="shared" si="533"/>
        <v>0</v>
      </c>
    </row>
    <row r="236" spans="1:156" ht="21" customHeight="1">
      <c r="A236" s="1652">
        <v>46</v>
      </c>
      <c r="B236" s="1701" t="s">
        <v>1904</v>
      </c>
      <c r="C236" s="1662">
        <v>19</v>
      </c>
      <c r="D236" s="1646">
        <f t="shared" si="474"/>
        <v>100</v>
      </c>
      <c r="E236" s="1646"/>
      <c r="F236" s="1648" t="s">
        <v>1594</v>
      </c>
      <c r="G236" s="1648"/>
      <c r="H236" s="1648">
        <v>19</v>
      </c>
      <c r="I236" s="1648" t="s">
        <v>1717</v>
      </c>
      <c r="J236" s="1649">
        <v>2</v>
      </c>
      <c r="K236" s="1648"/>
      <c r="L236" s="1648"/>
      <c r="M236" s="1648"/>
      <c r="N236" s="1642"/>
      <c r="O236" s="2000" t="e">
        <f>#REF!</f>
        <v>#REF!</v>
      </c>
      <c r="P236" s="2003">
        <f t="shared" si="481"/>
        <v>0</v>
      </c>
      <c r="Q236" s="1989" t="e">
        <f>#REF!/10^7</f>
        <v>#REF!</v>
      </c>
      <c r="R236" s="2003">
        <f t="shared" si="482"/>
        <v>0</v>
      </c>
      <c r="S236" s="1989" t="e">
        <f>#REF!/10^7</f>
        <v>#REF!</v>
      </c>
      <c r="T236" s="2003">
        <f t="shared" si="483"/>
        <v>0</v>
      </c>
      <c r="U236" s="1989" t="e">
        <f>#REF!/10^7</f>
        <v>#REF!</v>
      </c>
      <c r="V236" s="1989" t="e">
        <f>#REF!/10^7</f>
        <v>#REF!</v>
      </c>
      <c r="W236" s="1989">
        <f t="shared" si="484"/>
        <v>0</v>
      </c>
      <c r="X236" s="1999" t="e">
        <f t="shared" si="467"/>
        <v>#REF!</v>
      </c>
      <c r="Y236" s="1993" t="e">
        <f>#REF!</f>
        <v>#REF!</v>
      </c>
      <c r="Z236" s="2003">
        <f t="shared" si="485"/>
        <v>0</v>
      </c>
      <c r="AA236" s="1989" t="e">
        <f>#REF!/10^7</f>
        <v>#REF!</v>
      </c>
      <c r="AB236" s="2003">
        <f t="shared" si="486"/>
        <v>0</v>
      </c>
      <c r="AC236" s="1989" t="e">
        <f>#REF!/10^7</f>
        <v>#REF!</v>
      </c>
      <c r="AD236" s="2003">
        <f t="shared" si="487"/>
        <v>0</v>
      </c>
      <c r="AE236" s="1989" t="e">
        <f>#REF!/10^7</f>
        <v>#REF!</v>
      </c>
      <c r="AF236" s="1989" t="e">
        <f>#REF!/10^7</f>
        <v>#REF!</v>
      </c>
      <c r="AG236" s="2002" t="e">
        <f t="shared" si="488"/>
        <v>#REF!</v>
      </c>
      <c r="AH236" s="1999" t="e">
        <f t="shared" si="468"/>
        <v>#REF!</v>
      </c>
      <c r="AI236" s="1993" t="e">
        <f>#REF!</f>
        <v>#REF!</v>
      </c>
      <c r="AJ236" s="2003">
        <f t="shared" si="489"/>
        <v>0</v>
      </c>
      <c r="AK236" s="1989" t="e">
        <f>#REF!/10^7</f>
        <v>#REF!</v>
      </c>
      <c r="AL236" s="2003">
        <f t="shared" si="490"/>
        <v>0</v>
      </c>
      <c r="AM236" s="1989" t="e">
        <f>#REF!/10^7</f>
        <v>#REF!</v>
      </c>
      <c r="AN236" s="2003">
        <f t="shared" si="491"/>
        <v>0</v>
      </c>
      <c r="AO236" s="1989" t="e">
        <f>#REF!/10^7</f>
        <v>#REF!</v>
      </c>
      <c r="AP236" s="1989" t="e">
        <f>#REF!/10^7</f>
        <v>#REF!</v>
      </c>
      <c r="AQ236" s="2002" t="e">
        <f t="shared" si="492"/>
        <v>#REF!</v>
      </c>
      <c r="AR236" s="1999" t="e">
        <f t="shared" si="469"/>
        <v>#REF!</v>
      </c>
      <c r="AS236" s="1993" t="e">
        <f>#REF!</f>
        <v>#REF!</v>
      </c>
      <c r="AT236" s="2003">
        <f t="shared" si="493"/>
        <v>0</v>
      </c>
      <c r="AU236" s="1989" t="e">
        <f>#REF!/10^7</f>
        <v>#REF!</v>
      </c>
      <c r="AV236" s="2003">
        <f t="shared" si="494"/>
        <v>0</v>
      </c>
      <c r="AW236" s="1989" t="e">
        <f>#REF!/10^7</f>
        <v>#REF!</v>
      </c>
      <c r="AX236" s="2003">
        <f t="shared" si="495"/>
        <v>0</v>
      </c>
      <c r="AY236" s="1989" t="e">
        <f>#REF!/10^7</f>
        <v>#REF!</v>
      </c>
      <c r="AZ236" s="1989" t="e">
        <f>#REF!/10^7</f>
        <v>#REF!</v>
      </c>
      <c r="BA236" s="2002" t="e">
        <f t="shared" si="496"/>
        <v>#REF!</v>
      </c>
      <c r="BB236" s="1999" t="e">
        <f t="shared" si="470"/>
        <v>#REF!</v>
      </c>
      <c r="BC236" s="1993" t="e">
        <f>#REF!</f>
        <v>#REF!</v>
      </c>
      <c r="BD236" s="2003">
        <f t="shared" si="497"/>
        <v>0</v>
      </c>
      <c r="BE236" s="1989" t="e">
        <f>#REF!/10^7</f>
        <v>#REF!</v>
      </c>
      <c r="BF236" s="2003">
        <f t="shared" si="498"/>
        <v>0</v>
      </c>
      <c r="BG236" s="1989" t="e">
        <f>#REF!/10^7</f>
        <v>#REF!</v>
      </c>
      <c r="BH236" s="2003">
        <f t="shared" si="499"/>
        <v>0</v>
      </c>
      <c r="BI236" s="1989" t="e">
        <f>#REF!/10^7</f>
        <v>#REF!</v>
      </c>
      <c r="BJ236" s="1989" t="e">
        <f>#REF!/10^7</f>
        <v>#REF!</v>
      </c>
      <c r="BK236" s="2002" t="e">
        <f t="shared" si="500"/>
        <v>#REF!</v>
      </c>
      <c r="BL236" s="1999" t="e">
        <f t="shared" si="438"/>
        <v>#REF!</v>
      </c>
      <c r="BM236" s="1993" t="e">
        <f>#REF!</f>
        <v>#REF!</v>
      </c>
      <c r="BN236" s="2003">
        <f t="shared" si="501"/>
        <v>0</v>
      </c>
      <c r="BO236" s="1989" t="e">
        <f>#REF!/10^7</f>
        <v>#REF!</v>
      </c>
      <c r="BP236" s="2003">
        <f t="shared" si="502"/>
        <v>0</v>
      </c>
      <c r="BQ236" s="1989" t="e">
        <f>#REF!/10^7</f>
        <v>#REF!</v>
      </c>
      <c r="BR236" s="2003">
        <f t="shared" si="503"/>
        <v>0</v>
      </c>
      <c r="BS236" s="1989" t="e">
        <f>#REF!/10^7</f>
        <v>#REF!</v>
      </c>
      <c r="BT236" s="1989" t="e">
        <f>#REF!/10^7</f>
        <v>#REF!</v>
      </c>
      <c r="BU236" s="2002" t="e">
        <f t="shared" si="504"/>
        <v>#REF!</v>
      </c>
      <c r="BV236" s="1999" t="e">
        <f t="shared" si="439"/>
        <v>#REF!</v>
      </c>
      <c r="BW236" s="1993" t="e">
        <f>#REF!</f>
        <v>#REF!</v>
      </c>
      <c r="BX236" s="2003">
        <f t="shared" si="505"/>
        <v>0</v>
      </c>
      <c r="BY236" s="1989" t="e">
        <f>#REF!/10^7</f>
        <v>#REF!</v>
      </c>
      <c r="BZ236" s="2003">
        <f t="shared" si="506"/>
        <v>0</v>
      </c>
      <c r="CA236" s="1989" t="e">
        <f>#REF!/10^7</f>
        <v>#REF!</v>
      </c>
      <c r="CB236" s="2003">
        <f t="shared" si="507"/>
        <v>0</v>
      </c>
      <c r="CC236" s="1989" t="e">
        <f>#REF!/10^7</f>
        <v>#REF!</v>
      </c>
      <c r="CD236" s="1989" t="e">
        <f>#REF!/10^7</f>
        <v>#REF!</v>
      </c>
      <c r="CE236" s="2002" t="e">
        <f t="shared" si="508"/>
        <v>#REF!</v>
      </c>
      <c r="CF236" s="1999" t="e">
        <f t="shared" si="440"/>
        <v>#REF!</v>
      </c>
      <c r="CG236" s="1993" t="e">
        <f>#REF!</f>
        <v>#REF!</v>
      </c>
      <c r="CH236" s="2003">
        <f t="shared" si="509"/>
        <v>0</v>
      </c>
      <c r="CI236" s="1989" t="e">
        <f>#REF!/10^7</f>
        <v>#REF!</v>
      </c>
      <c r="CJ236" s="2003">
        <f t="shared" si="510"/>
        <v>0</v>
      </c>
      <c r="CK236" s="1989" t="e">
        <f>#REF!/10^7</f>
        <v>#REF!</v>
      </c>
      <c r="CL236" s="2003">
        <f t="shared" si="511"/>
        <v>0</v>
      </c>
      <c r="CM236" s="1989" t="e">
        <f>#REF!/10^7</f>
        <v>#REF!</v>
      </c>
      <c r="CN236" s="1989" t="e">
        <f>#REF!/10^7</f>
        <v>#REF!</v>
      </c>
      <c r="CO236" s="2002" t="e">
        <f t="shared" si="512"/>
        <v>#REF!</v>
      </c>
      <c r="CP236" s="1999" t="e">
        <f t="shared" si="441"/>
        <v>#REF!</v>
      </c>
      <c r="CQ236" s="1993" t="e">
        <f>#REF!</f>
        <v>#REF!</v>
      </c>
      <c r="CR236" s="2003">
        <f t="shared" si="513"/>
        <v>0</v>
      </c>
      <c r="CS236" s="1989" t="e">
        <f>#REF!/10^7</f>
        <v>#REF!</v>
      </c>
      <c r="CT236" s="2003">
        <f t="shared" si="514"/>
        <v>0</v>
      </c>
      <c r="CU236" s="1989" t="e">
        <f>#REF!/10^7</f>
        <v>#REF!</v>
      </c>
      <c r="CV236" s="2003">
        <f t="shared" si="515"/>
        <v>0</v>
      </c>
      <c r="CW236" s="1989" t="e">
        <f>#REF!/10^7</f>
        <v>#REF!</v>
      </c>
      <c r="CX236" s="1989" t="e">
        <f>#REF!/10^7</f>
        <v>#REF!</v>
      </c>
      <c r="CY236" s="2002" t="e">
        <f t="shared" si="516"/>
        <v>#REF!</v>
      </c>
      <c r="CZ236" s="1999" t="e">
        <f t="shared" si="442"/>
        <v>#REF!</v>
      </c>
      <c r="DA236" s="1993" t="e">
        <f>#REF!</f>
        <v>#REF!</v>
      </c>
      <c r="DB236" s="2003">
        <f t="shared" si="517"/>
        <v>0</v>
      </c>
      <c r="DC236" s="1989" t="e">
        <f>#REF!/10^7</f>
        <v>#REF!</v>
      </c>
      <c r="DD236" s="2003">
        <f t="shared" si="518"/>
        <v>0</v>
      </c>
      <c r="DE236" s="1989" t="e">
        <f>#REF!/10^7</f>
        <v>#REF!</v>
      </c>
      <c r="DF236" s="2003">
        <f t="shared" si="519"/>
        <v>0</v>
      </c>
      <c r="DG236" s="1989" t="e">
        <f>#REF!/10^7</f>
        <v>#REF!</v>
      </c>
      <c r="DH236" s="1989" t="e">
        <f>#REF!/10^7</f>
        <v>#REF!</v>
      </c>
      <c r="DI236" s="2002" t="e">
        <f t="shared" si="520"/>
        <v>#REF!</v>
      </c>
      <c r="DJ236" s="1999" t="e">
        <f t="shared" si="471"/>
        <v>#REF!</v>
      </c>
      <c r="DK236" s="1993" t="e">
        <f>#REF!</f>
        <v>#REF!</v>
      </c>
      <c r="DL236" s="2003">
        <f t="shared" si="521"/>
        <v>0</v>
      </c>
      <c r="DM236" s="1989" t="e">
        <f>#REF!/10^7</f>
        <v>#REF!</v>
      </c>
      <c r="DN236" s="2003">
        <f t="shared" si="522"/>
        <v>0</v>
      </c>
      <c r="DO236" s="1989" t="e">
        <f>#REF!/10^7</f>
        <v>#REF!</v>
      </c>
      <c r="DP236" s="2003">
        <f t="shared" si="523"/>
        <v>0</v>
      </c>
      <c r="DQ236" s="1989" t="e">
        <f>#REF!/10^7</f>
        <v>#REF!</v>
      </c>
      <c r="DR236" s="1989" t="e">
        <f>#REF!/10^7</f>
        <v>#REF!</v>
      </c>
      <c r="DS236" s="2002" t="e">
        <f t="shared" si="524"/>
        <v>#REF!</v>
      </c>
      <c r="DT236" s="2004" t="e">
        <f t="shared" si="472"/>
        <v>#REF!</v>
      </c>
      <c r="DU236" s="1988" t="e">
        <f>#REF!</f>
        <v>#REF!</v>
      </c>
      <c r="DV236" s="2003">
        <f t="shared" si="525"/>
        <v>0</v>
      </c>
      <c r="DW236" s="1989" t="e">
        <f>#REF!/10^7</f>
        <v>#REF!</v>
      </c>
      <c r="DX236" s="2003">
        <f t="shared" si="526"/>
        <v>0</v>
      </c>
      <c r="DY236" s="1989" t="e">
        <f>#REF!/10^7</f>
        <v>#REF!</v>
      </c>
      <c r="DZ236" s="2003">
        <f t="shared" si="527"/>
        <v>0</v>
      </c>
      <c r="EA236" s="1989" t="e">
        <f>#REF!/10^7</f>
        <v>#REF!</v>
      </c>
      <c r="EB236" s="1989" t="e">
        <f>#REF!/10^7</f>
        <v>#REF!</v>
      </c>
      <c r="EC236" s="2002" t="e">
        <f t="shared" si="528"/>
        <v>#REF!</v>
      </c>
      <c r="ED236" s="1998" t="e">
        <f t="shared" si="473"/>
        <v>#REF!</v>
      </c>
      <c r="EE236" s="2005" t="e">
        <f t="shared" si="475"/>
        <v>#REF!</v>
      </c>
      <c r="EF236" s="2003">
        <f t="shared" si="529"/>
        <v>0</v>
      </c>
      <c r="EG236" s="1989" t="e">
        <f t="shared" si="476"/>
        <v>#REF!</v>
      </c>
      <c r="EH236" s="2003">
        <f t="shared" si="530"/>
        <v>0</v>
      </c>
      <c r="EI236" s="1989" t="e">
        <f t="shared" si="477"/>
        <v>#REF!</v>
      </c>
      <c r="EJ236" s="2003">
        <f t="shared" si="531"/>
        <v>0</v>
      </c>
      <c r="EK236" s="1989" t="e">
        <f t="shared" si="534"/>
        <v>#REF!</v>
      </c>
      <c r="EL236" s="1989" t="e">
        <f t="shared" si="534"/>
        <v>#REF!</v>
      </c>
      <c r="EM236" s="2006" t="e">
        <f t="shared" si="532"/>
        <v>#REF!</v>
      </c>
      <c r="EN236" s="1999" t="e">
        <f t="shared" si="479"/>
        <v>#REF!</v>
      </c>
      <c r="EO236" s="1613">
        <v>34.296046500000003</v>
      </c>
      <c r="EP236" s="1613" t="e">
        <f>EA236-#REF!/10^7</f>
        <v>#REF!</v>
      </c>
      <c r="ER236" s="1612" t="e">
        <f t="shared" si="480"/>
        <v>#REF!</v>
      </c>
      <c r="EW236" s="1611" t="e">
        <v>#N/A</v>
      </c>
      <c r="EX236" s="1612" t="e">
        <v>#N/A</v>
      </c>
      <c r="EZ236" s="1650">
        <f t="shared" si="533"/>
        <v>0</v>
      </c>
    </row>
    <row r="237" spans="1:156" ht="21" customHeight="1">
      <c r="A237" s="1652">
        <v>47</v>
      </c>
      <c r="B237" s="1701" t="s">
        <v>1905</v>
      </c>
      <c r="C237" s="1662">
        <v>11</v>
      </c>
      <c r="D237" s="1646">
        <f t="shared" si="474"/>
        <v>100</v>
      </c>
      <c r="E237" s="1646"/>
      <c r="F237" s="1648" t="s">
        <v>1594</v>
      </c>
      <c r="G237" s="1648"/>
      <c r="H237" s="1648">
        <v>11</v>
      </c>
      <c r="I237" s="1648" t="s">
        <v>1717</v>
      </c>
      <c r="J237" s="1649">
        <v>2</v>
      </c>
      <c r="K237" s="1648"/>
      <c r="L237" s="1648"/>
      <c r="M237" s="1648"/>
      <c r="N237" s="1642"/>
      <c r="O237" s="2000" t="e">
        <f>#REF!</f>
        <v>#REF!</v>
      </c>
      <c r="P237" s="2003">
        <f t="shared" si="481"/>
        <v>0</v>
      </c>
      <c r="Q237" s="1989" t="e">
        <f>#REF!/10^7</f>
        <v>#REF!</v>
      </c>
      <c r="R237" s="2003">
        <f t="shared" si="482"/>
        <v>0</v>
      </c>
      <c r="S237" s="1989" t="e">
        <f>#REF!/10^7</f>
        <v>#REF!</v>
      </c>
      <c r="T237" s="2003">
        <f t="shared" si="483"/>
        <v>0</v>
      </c>
      <c r="U237" s="1989" t="e">
        <f>#REF!/10^7</f>
        <v>#REF!</v>
      </c>
      <c r="V237" s="1989" t="e">
        <f>#REF!/10^7</f>
        <v>#REF!</v>
      </c>
      <c r="W237" s="1989">
        <f t="shared" si="484"/>
        <v>0</v>
      </c>
      <c r="X237" s="1999" t="e">
        <f t="shared" si="467"/>
        <v>#REF!</v>
      </c>
      <c r="Y237" s="1993" t="e">
        <f>#REF!</f>
        <v>#REF!</v>
      </c>
      <c r="Z237" s="2003">
        <f t="shared" si="485"/>
        <v>0</v>
      </c>
      <c r="AA237" s="1989" t="e">
        <f>#REF!/10^7</f>
        <v>#REF!</v>
      </c>
      <c r="AB237" s="2003">
        <f t="shared" si="486"/>
        <v>0</v>
      </c>
      <c r="AC237" s="1989" t="e">
        <f>#REF!/10^7</f>
        <v>#REF!</v>
      </c>
      <c r="AD237" s="2003">
        <f t="shared" si="487"/>
        <v>0</v>
      </c>
      <c r="AE237" s="1989" t="e">
        <f>#REF!/10^7</f>
        <v>#REF!</v>
      </c>
      <c r="AF237" s="1989" t="e">
        <f>#REF!/10^7</f>
        <v>#REF!</v>
      </c>
      <c r="AG237" s="2002" t="e">
        <f t="shared" si="488"/>
        <v>#REF!</v>
      </c>
      <c r="AH237" s="1999" t="e">
        <f t="shared" si="468"/>
        <v>#REF!</v>
      </c>
      <c r="AI237" s="1993" t="e">
        <f>#REF!</f>
        <v>#REF!</v>
      </c>
      <c r="AJ237" s="2003">
        <f t="shared" si="489"/>
        <v>0</v>
      </c>
      <c r="AK237" s="1989" t="e">
        <f>#REF!/10^7</f>
        <v>#REF!</v>
      </c>
      <c r="AL237" s="2003">
        <f t="shared" si="490"/>
        <v>0</v>
      </c>
      <c r="AM237" s="1989" t="e">
        <f>#REF!/10^7</f>
        <v>#REF!</v>
      </c>
      <c r="AN237" s="2003">
        <f t="shared" si="491"/>
        <v>0</v>
      </c>
      <c r="AO237" s="1989" t="e">
        <f>#REF!/10^7</f>
        <v>#REF!</v>
      </c>
      <c r="AP237" s="1989" t="e">
        <f>#REF!/10^7</f>
        <v>#REF!</v>
      </c>
      <c r="AQ237" s="2002" t="e">
        <f t="shared" si="492"/>
        <v>#REF!</v>
      </c>
      <c r="AR237" s="1999" t="e">
        <f t="shared" si="469"/>
        <v>#REF!</v>
      </c>
      <c r="AS237" s="1993" t="e">
        <f>#REF!</f>
        <v>#REF!</v>
      </c>
      <c r="AT237" s="2003">
        <f t="shared" si="493"/>
        <v>0</v>
      </c>
      <c r="AU237" s="1989" t="e">
        <f>#REF!/10^7</f>
        <v>#REF!</v>
      </c>
      <c r="AV237" s="2003">
        <f t="shared" si="494"/>
        <v>0</v>
      </c>
      <c r="AW237" s="1989" t="e">
        <f>#REF!/10^7</f>
        <v>#REF!</v>
      </c>
      <c r="AX237" s="2003">
        <f t="shared" si="495"/>
        <v>0</v>
      </c>
      <c r="AY237" s="1989" t="e">
        <f>#REF!/10^7</f>
        <v>#REF!</v>
      </c>
      <c r="AZ237" s="1989" t="e">
        <f>#REF!/10^7</f>
        <v>#REF!</v>
      </c>
      <c r="BA237" s="2002" t="e">
        <f t="shared" si="496"/>
        <v>#REF!</v>
      </c>
      <c r="BB237" s="1999" t="e">
        <f t="shared" si="470"/>
        <v>#REF!</v>
      </c>
      <c r="BC237" s="1993" t="e">
        <f>#REF!</f>
        <v>#REF!</v>
      </c>
      <c r="BD237" s="2003">
        <f t="shared" si="497"/>
        <v>0</v>
      </c>
      <c r="BE237" s="1989" t="e">
        <f>#REF!/10^7</f>
        <v>#REF!</v>
      </c>
      <c r="BF237" s="2003">
        <f t="shared" si="498"/>
        <v>0</v>
      </c>
      <c r="BG237" s="1989" t="e">
        <f>#REF!/10^7</f>
        <v>#REF!</v>
      </c>
      <c r="BH237" s="2003">
        <f t="shared" si="499"/>
        <v>0</v>
      </c>
      <c r="BI237" s="1989" t="e">
        <f>#REF!/10^7</f>
        <v>#REF!</v>
      </c>
      <c r="BJ237" s="1989" t="e">
        <f>#REF!/10^7</f>
        <v>#REF!</v>
      </c>
      <c r="BK237" s="2002" t="e">
        <f t="shared" si="500"/>
        <v>#REF!</v>
      </c>
      <c r="BL237" s="1999" t="e">
        <f t="shared" si="438"/>
        <v>#REF!</v>
      </c>
      <c r="BM237" s="1993" t="e">
        <f>#REF!</f>
        <v>#REF!</v>
      </c>
      <c r="BN237" s="2003">
        <f t="shared" si="501"/>
        <v>0</v>
      </c>
      <c r="BO237" s="1989" t="e">
        <f>#REF!/10^7</f>
        <v>#REF!</v>
      </c>
      <c r="BP237" s="2003">
        <f t="shared" si="502"/>
        <v>0</v>
      </c>
      <c r="BQ237" s="1989" t="e">
        <f>#REF!/10^7</f>
        <v>#REF!</v>
      </c>
      <c r="BR237" s="2003">
        <f t="shared" si="503"/>
        <v>0</v>
      </c>
      <c r="BS237" s="1989" t="e">
        <f>#REF!/10^7</f>
        <v>#REF!</v>
      </c>
      <c r="BT237" s="1989" t="e">
        <f>#REF!/10^7</f>
        <v>#REF!</v>
      </c>
      <c r="BU237" s="2002" t="e">
        <f t="shared" si="504"/>
        <v>#REF!</v>
      </c>
      <c r="BV237" s="1999" t="e">
        <f t="shared" si="439"/>
        <v>#REF!</v>
      </c>
      <c r="BW237" s="1993" t="e">
        <f>#REF!</f>
        <v>#REF!</v>
      </c>
      <c r="BX237" s="2003">
        <f t="shared" si="505"/>
        <v>0</v>
      </c>
      <c r="BY237" s="1989" t="e">
        <f>#REF!/10^7</f>
        <v>#REF!</v>
      </c>
      <c r="BZ237" s="2003">
        <f t="shared" si="506"/>
        <v>0</v>
      </c>
      <c r="CA237" s="1989" t="e">
        <f>#REF!/10^7</f>
        <v>#REF!</v>
      </c>
      <c r="CB237" s="2003">
        <f t="shared" si="507"/>
        <v>0</v>
      </c>
      <c r="CC237" s="1989" t="e">
        <f>#REF!/10^7</f>
        <v>#REF!</v>
      </c>
      <c r="CD237" s="1989" t="e">
        <f>#REF!/10^7</f>
        <v>#REF!</v>
      </c>
      <c r="CE237" s="2002" t="e">
        <f t="shared" si="508"/>
        <v>#REF!</v>
      </c>
      <c r="CF237" s="1999" t="e">
        <f t="shared" si="440"/>
        <v>#REF!</v>
      </c>
      <c r="CG237" s="1993" t="e">
        <f>#REF!</f>
        <v>#REF!</v>
      </c>
      <c r="CH237" s="2003">
        <f t="shared" si="509"/>
        <v>0</v>
      </c>
      <c r="CI237" s="1989" t="e">
        <f>#REF!/10^7</f>
        <v>#REF!</v>
      </c>
      <c r="CJ237" s="2003">
        <f t="shared" si="510"/>
        <v>0</v>
      </c>
      <c r="CK237" s="1989" t="e">
        <f>#REF!/10^7</f>
        <v>#REF!</v>
      </c>
      <c r="CL237" s="2003">
        <f t="shared" si="511"/>
        <v>0</v>
      </c>
      <c r="CM237" s="1989" t="e">
        <f>#REF!/10^7</f>
        <v>#REF!</v>
      </c>
      <c r="CN237" s="1989" t="e">
        <f>#REF!/10^7</f>
        <v>#REF!</v>
      </c>
      <c r="CO237" s="2002" t="e">
        <f t="shared" si="512"/>
        <v>#REF!</v>
      </c>
      <c r="CP237" s="1999" t="e">
        <f t="shared" si="441"/>
        <v>#REF!</v>
      </c>
      <c r="CQ237" s="1993" t="e">
        <f>#REF!</f>
        <v>#REF!</v>
      </c>
      <c r="CR237" s="2003">
        <f t="shared" si="513"/>
        <v>0</v>
      </c>
      <c r="CS237" s="1989" t="e">
        <f>#REF!/10^7</f>
        <v>#REF!</v>
      </c>
      <c r="CT237" s="2003">
        <f t="shared" si="514"/>
        <v>0</v>
      </c>
      <c r="CU237" s="1989" t="e">
        <f>#REF!/10^7</f>
        <v>#REF!</v>
      </c>
      <c r="CV237" s="2003">
        <f t="shared" si="515"/>
        <v>0</v>
      </c>
      <c r="CW237" s="1989" t="e">
        <f>#REF!/10^7</f>
        <v>#REF!</v>
      </c>
      <c r="CX237" s="1989" t="e">
        <f>#REF!/10^7</f>
        <v>#REF!</v>
      </c>
      <c r="CY237" s="2002" t="e">
        <f t="shared" si="516"/>
        <v>#REF!</v>
      </c>
      <c r="CZ237" s="1999" t="e">
        <f t="shared" si="442"/>
        <v>#REF!</v>
      </c>
      <c r="DA237" s="1993" t="e">
        <f>#REF!</f>
        <v>#REF!</v>
      </c>
      <c r="DB237" s="2003">
        <f t="shared" si="517"/>
        <v>0</v>
      </c>
      <c r="DC237" s="1989" t="e">
        <f>#REF!/10^7</f>
        <v>#REF!</v>
      </c>
      <c r="DD237" s="2003">
        <f t="shared" si="518"/>
        <v>0</v>
      </c>
      <c r="DE237" s="1989" t="e">
        <f>#REF!/10^7</f>
        <v>#REF!</v>
      </c>
      <c r="DF237" s="2003">
        <f t="shared" si="519"/>
        <v>0</v>
      </c>
      <c r="DG237" s="1989" t="e">
        <f>#REF!/10^7</f>
        <v>#REF!</v>
      </c>
      <c r="DH237" s="1989" t="e">
        <f>#REF!/10^7</f>
        <v>#REF!</v>
      </c>
      <c r="DI237" s="2002" t="e">
        <f t="shared" si="520"/>
        <v>#REF!</v>
      </c>
      <c r="DJ237" s="1999" t="e">
        <f t="shared" si="471"/>
        <v>#REF!</v>
      </c>
      <c r="DK237" s="1993" t="e">
        <f>#REF!</f>
        <v>#REF!</v>
      </c>
      <c r="DL237" s="2003">
        <f t="shared" si="521"/>
        <v>0</v>
      </c>
      <c r="DM237" s="1989" t="e">
        <f>#REF!/10^7</f>
        <v>#REF!</v>
      </c>
      <c r="DN237" s="2003">
        <f t="shared" si="522"/>
        <v>0</v>
      </c>
      <c r="DO237" s="1989" t="e">
        <f>#REF!/10^7</f>
        <v>#REF!</v>
      </c>
      <c r="DP237" s="2003">
        <f t="shared" si="523"/>
        <v>0</v>
      </c>
      <c r="DQ237" s="1989" t="e">
        <f>#REF!/10^7</f>
        <v>#REF!</v>
      </c>
      <c r="DR237" s="1989" t="e">
        <f>#REF!/10^7</f>
        <v>#REF!</v>
      </c>
      <c r="DS237" s="2002" t="e">
        <f t="shared" si="524"/>
        <v>#REF!</v>
      </c>
      <c r="DT237" s="2004" t="e">
        <f t="shared" si="472"/>
        <v>#REF!</v>
      </c>
      <c r="DU237" s="1988" t="e">
        <f>#REF!</f>
        <v>#REF!</v>
      </c>
      <c r="DV237" s="2003">
        <f t="shared" si="525"/>
        <v>0</v>
      </c>
      <c r="DW237" s="1989" t="e">
        <f>#REF!/10^7</f>
        <v>#REF!</v>
      </c>
      <c r="DX237" s="2003">
        <f t="shared" si="526"/>
        <v>0</v>
      </c>
      <c r="DY237" s="1989" t="e">
        <f>#REF!/10^7</f>
        <v>#REF!</v>
      </c>
      <c r="DZ237" s="2003">
        <f t="shared" si="527"/>
        <v>0</v>
      </c>
      <c r="EA237" s="1989" t="e">
        <f>#REF!/10^7</f>
        <v>#REF!</v>
      </c>
      <c r="EB237" s="1989" t="e">
        <f>#REF!/10^7</f>
        <v>#REF!</v>
      </c>
      <c r="EC237" s="2002" t="e">
        <f t="shared" si="528"/>
        <v>#REF!</v>
      </c>
      <c r="ED237" s="1998" t="e">
        <f t="shared" si="473"/>
        <v>#REF!</v>
      </c>
      <c r="EE237" s="2005" t="e">
        <f t="shared" si="475"/>
        <v>#REF!</v>
      </c>
      <c r="EF237" s="2003">
        <f t="shared" si="529"/>
        <v>0</v>
      </c>
      <c r="EG237" s="1989" t="e">
        <f t="shared" si="476"/>
        <v>#REF!</v>
      </c>
      <c r="EH237" s="2003">
        <f t="shared" si="530"/>
        <v>0</v>
      </c>
      <c r="EI237" s="1989" t="e">
        <f t="shared" si="477"/>
        <v>#REF!</v>
      </c>
      <c r="EJ237" s="2003">
        <f t="shared" si="531"/>
        <v>0</v>
      </c>
      <c r="EK237" s="1989" t="e">
        <f t="shared" si="534"/>
        <v>#REF!</v>
      </c>
      <c r="EL237" s="1989" t="e">
        <f t="shared" si="534"/>
        <v>#REF!</v>
      </c>
      <c r="EM237" s="2006" t="e">
        <f t="shared" si="532"/>
        <v>#REF!</v>
      </c>
      <c r="EN237" s="1999" t="e">
        <f t="shared" si="479"/>
        <v>#REF!</v>
      </c>
      <c r="EO237" s="1613">
        <v>37.981056000000002</v>
      </c>
      <c r="EP237" s="1613" t="e">
        <f>EA237-#REF!/10^7</f>
        <v>#REF!</v>
      </c>
      <c r="ER237" s="1612" t="e">
        <f t="shared" si="480"/>
        <v>#REF!</v>
      </c>
      <c r="EW237" s="1611" t="e">
        <v>#N/A</v>
      </c>
      <c r="EX237" s="1612" t="e">
        <v>#N/A</v>
      </c>
      <c r="EZ237" s="1650">
        <f t="shared" si="533"/>
        <v>0</v>
      </c>
    </row>
    <row r="238" spans="1:156" ht="21" customHeight="1">
      <c r="A238" s="1652">
        <v>48</v>
      </c>
      <c r="B238" s="1701" t="s">
        <v>1906</v>
      </c>
      <c r="C238" s="1662">
        <v>17</v>
      </c>
      <c r="D238" s="1646">
        <f t="shared" si="474"/>
        <v>100</v>
      </c>
      <c r="E238" s="1646"/>
      <c r="F238" s="1648" t="s">
        <v>1594</v>
      </c>
      <c r="G238" s="1648"/>
      <c r="H238" s="1648">
        <v>17</v>
      </c>
      <c r="I238" s="1648" t="s">
        <v>1717</v>
      </c>
      <c r="J238" s="1649">
        <v>2</v>
      </c>
      <c r="K238" s="1648"/>
      <c r="L238" s="1648"/>
      <c r="M238" s="1648"/>
      <c r="N238" s="1642"/>
      <c r="O238" s="2000" t="e">
        <f>#REF!</f>
        <v>#REF!</v>
      </c>
      <c r="P238" s="2003">
        <f t="shared" si="481"/>
        <v>0</v>
      </c>
      <c r="Q238" s="1989" t="e">
        <f>#REF!/10^7</f>
        <v>#REF!</v>
      </c>
      <c r="R238" s="2003">
        <f t="shared" si="482"/>
        <v>0</v>
      </c>
      <c r="S238" s="1989" t="e">
        <f>#REF!/10^7</f>
        <v>#REF!</v>
      </c>
      <c r="T238" s="2003">
        <f t="shared" si="483"/>
        <v>0</v>
      </c>
      <c r="U238" s="1989" t="e">
        <f>#REF!/10^7</f>
        <v>#REF!</v>
      </c>
      <c r="V238" s="1989" t="e">
        <f>#REF!/10^7</f>
        <v>#REF!</v>
      </c>
      <c r="W238" s="1989">
        <f t="shared" si="484"/>
        <v>0</v>
      </c>
      <c r="X238" s="1999" t="e">
        <f t="shared" si="467"/>
        <v>#REF!</v>
      </c>
      <c r="Y238" s="1993" t="e">
        <f>#REF!</f>
        <v>#REF!</v>
      </c>
      <c r="Z238" s="2003">
        <f t="shared" si="485"/>
        <v>0</v>
      </c>
      <c r="AA238" s="1989" t="e">
        <f>#REF!/10^7</f>
        <v>#REF!</v>
      </c>
      <c r="AB238" s="2003">
        <f t="shared" si="486"/>
        <v>0</v>
      </c>
      <c r="AC238" s="1989" t="e">
        <f>#REF!/10^7</f>
        <v>#REF!</v>
      </c>
      <c r="AD238" s="2003">
        <f t="shared" si="487"/>
        <v>0</v>
      </c>
      <c r="AE238" s="1989" t="e">
        <f>#REF!/10^7</f>
        <v>#REF!</v>
      </c>
      <c r="AF238" s="1989" t="e">
        <f>#REF!/10^7</f>
        <v>#REF!</v>
      </c>
      <c r="AG238" s="2002" t="e">
        <f t="shared" si="488"/>
        <v>#REF!</v>
      </c>
      <c r="AH238" s="1999" t="e">
        <f t="shared" si="468"/>
        <v>#REF!</v>
      </c>
      <c r="AI238" s="1993" t="e">
        <f>#REF!</f>
        <v>#REF!</v>
      </c>
      <c r="AJ238" s="2003">
        <f t="shared" si="489"/>
        <v>0</v>
      </c>
      <c r="AK238" s="1989" t="e">
        <f>#REF!/10^7</f>
        <v>#REF!</v>
      </c>
      <c r="AL238" s="2003">
        <f t="shared" si="490"/>
        <v>0</v>
      </c>
      <c r="AM238" s="1989" t="e">
        <f>#REF!/10^7</f>
        <v>#REF!</v>
      </c>
      <c r="AN238" s="2003">
        <f t="shared" si="491"/>
        <v>0</v>
      </c>
      <c r="AO238" s="1989" t="e">
        <f>#REF!/10^7</f>
        <v>#REF!</v>
      </c>
      <c r="AP238" s="1989" t="e">
        <f>#REF!/10^7</f>
        <v>#REF!</v>
      </c>
      <c r="AQ238" s="2002" t="e">
        <f t="shared" si="492"/>
        <v>#REF!</v>
      </c>
      <c r="AR238" s="1999" t="e">
        <f t="shared" si="469"/>
        <v>#REF!</v>
      </c>
      <c r="AS238" s="1993" t="e">
        <f>#REF!</f>
        <v>#REF!</v>
      </c>
      <c r="AT238" s="2003">
        <f t="shared" si="493"/>
        <v>0</v>
      </c>
      <c r="AU238" s="1989" t="e">
        <f>#REF!/10^7</f>
        <v>#REF!</v>
      </c>
      <c r="AV238" s="2003">
        <f t="shared" si="494"/>
        <v>0</v>
      </c>
      <c r="AW238" s="1989" t="e">
        <f>#REF!/10^7</f>
        <v>#REF!</v>
      </c>
      <c r="AX238" s="2003">
        <f t="shared" si="495"/>
        <v>0</v>
      </c>
      <c r="AY238" s="1989" t="e">
        <f>#REF!/10^7</f>
        <v>#REF!</v>
      </c>
      <c r="AZ238" s="1989" t="e">
        <f>#REF!/10^7</f>
        <v>#REF!</v>
      </c>
      <c r="BA238" s="2002" t="e">
        <f t="shared" si="496"/>
        <v>#REF!</v>
      </c>
      <c r="BB238" s="1999" t="e">
        <f t="shared" si="470"/>
        <v>#REF!</v>
      </c>
      <c r="BC238" s="1993" t="e">
        <f>#REF!</f>
        <v>#REF!</v>
      </c>
      <c r="BD238" s="2003">
        <f t="shared" si="497"/>
        <v>0</v>
      </c>
      <c r="BE238" s="1989" t="e">
        <f>#REF!/10^7</f>
        <v>#REF!</v>
      </c>
      <c r="BF238" s="2003">
        <f t="shared" si="498"/>
        <v>0</v>
      </c>
      <c r="BG238" s="1989" t="e">
        <f>#REF!/10^7</f>
        <v>#REF!</v>
      </c>
      <c r="BH238" s="2003">
        <f t="shared" si="499"/>
        <v>0</v>
      </c>
      <c r="BI238" s="1989" t="e">
        <f>#REF!/10^7</f>
        <v>#REF!</v>
      </c>
      <c r="BJ238" s="1989" t="e">
        <f>#REF!/10^7</f>
        <v>#REF!</v>
      </c>
      <c r="BK238" s="2002" t="e">
        <f t="shared" si="500"/>
        <v>#REF!</v>
      </c>
      <c r="BL238" s="1999" t="e">
        <f t="shared" si="438"/>
        <v>#REF!</v>
      </c>
      <c r="BM238" s="1993" t="e">
        <f>#REF!</f>
        <v>#REF!</v>
      </c>
      <c r="BN238" s="2003">
        <f t="shared" si="501"/>
        <v>0</v>
      </c>
      <c r="BO238" s="1989" t="e">
        <f>#REF!/10^7</f>
        <v>#REF!</v>
      </c>
      <c r="BP238" s="2003">
        <f t="shared" si="502"/>
        <v>0</v>
      </c>
      <c r="BQ238" s="1989" t="e">
        <f>#REF!/10^7</f>
        <v>#REF!</v>
      </c>
      <c r="BR238" s="2003">
        <f t="shared" si="503"/>
        <v>0</v>
      </c>
      <c r="BS238" s="1989" t="e">
        <f>#REF!/10^7</f>
        <v>#REF!</v>
      </c>
      <c r="BT238" s="1989" t="e">
        <f>#REF!/10^7</f>
        <v>#REF!</v>
      </c>
      <c r="BU238" s="2002" t="e">
        <f t="shared" si="504"/>
        <v>#REF!</v>
      </c>
      <c r="BV238" s="1999" t="e">
        <f t="shared" si="439"/>
        <v>#REF!</v>
      </c>
      <c r="BW238" s="1993" t="e">
        <f>#REF!</f>
        <v>#REF!</v>
      </c>
      <c r="BX238" s="2003">
        <f t="shared" si="505"/>
        <v>0</v>
      </c>
      <c r="BY238" s="1989" t="e">
        <f>#REF!/10^7</f>
        <v>#REF!</v>
      </c>
      <c r="BZ238" s="2003">
        <f t="shared" si="506"/>
        <v>0</v>
      </c>
      <c r="CA238" s="1989" t="e">
        <f>#REF!/10^7</f>
        <v>#REF!</v>
      </c>
      <c r="CB238" s="2003">
        <f t="shared" si="507"/>
        <v>0</v>
      </c>
      <c r="CC238" s="1989" t="e">
        <f>#REF!/10^7</f>
        <v>#REF!</v>
      </c>
      <c r="CD238" s="1989" t="e">
        <f>#REF!/10^7</f>
        <v>#REF!</v>
      </c>
      <c r="CE238" s="2002" t="e">
        <f t="shared" si="508"/>
        <v>#REF!</v>
      </c>
      <c r="CF238" s="1999" t="e">
        <f t="shared" si="440"/>
        <v>#REF!</v>
      </c>
      <c r="CG238" s="1993" t="e">
        <f>#REF!</f>
        <v>#REF!</v>
      </c>
      <c r="CH238" s="2003">
        <f t="shared" si="509"/>
        <v>0</v>
      </c>
      <c r="CI238" s="1989" t="e">
        <f>#REF!/10^7</f>
        <v>#REF!</v>
      </c>
      <c r="CJ238" s="2003">
        <f t="shared" si="510"/>
        <v>0</v>
      </c>
      <c r="CK238" s="1989" t="e">
        <f>#REF!/10^7</f>
        <v>#REF!</v>
      </c>
      <c r="CL238" s="2003">
        <f t="shared" si="511"/>
        <v>0</v>
      </c>
      <c r="CM238" s="1989" t="e">
        <f>#REF!/10^7</f>
        <v>#REF!</v>
      </c>
      <c r="CN238" s="1989" t="e">
        <f>#REF!/10^7</f>
        <v>#REF!</v>
      </c>
      <c r="CO238" s="2002" t="e">
        <f t="shared" si="512"/>
        <v>#REF!</v>
      </c>
      <c r="CP238" s="1999" t="e">
        <f t="shared" si="441"/>
        <v>#REF!</v>
      </c>
      <c r="CQ238" s="1993" t="e">
        <f>#REF!</f>
        <v>#REF!</v>
      </c>
      <c r="CR238" s="2003">
        <f t="shared" si="513"/>
        <v>0</v>
      </c>
      <c r="CS238" s="1989" t="e">
        <f>#REF!/10^7</f>
        <v>#REF!</v>
      </c>
      <c r="CT238" s="2003">
        <f t="shared" si="514"/>
        <v>0</v>
      </c>
      <c r="CU238" s="1989" t="e">
        <f>#REF!/10^7</f>
        <v>#REF!</v>
      </c>
      <c r="CV238" s="2003">
        <f t="shared" si="515"/>
        <v>0</v>
      </c>
      <c r="CW238" s="1989" t="e">
        <f>#REF!/10^7</f>
        <v>#REF!</v>
      </c>
      <c r="CX238" s="1989" t="e">
        <f>#REF!/10^7</f>
        <v>#REF!</v>
      </c>
      <c r="CY238" s="2002" t="e">
        <f t="shared" si="516"/>
        <v>#REF!</v>
      </c>
      <c r="CZ238" s="1999" t="e">
        <f t="shared" si="442"/>
        <v>#REF!</v>
      </c>
      <c r="DA238" s="1993" t="e">
        <f>#REF!</f>
        <v>#REF!</v>
      </c>
      <c r="DB238" s="2003">
        <f t="shared" si="517"/>
        <v>0</v>
      </c>
      <c r="DC238" s="1989" t="e">
        <f>#REF!/10^7</f>
        <v>#REF!</v>
      </c>
      <c r="DD238" s="2003">
        <f t="shared" si="518"/>
        <v>0</v>
      </c>
      <c r="DE238" s="1989" t="e">
        <f>#REF!/10^7</f>
        <v>#REF!</v>
      </c>
      <c r="DF238" s="2003">
        <f t="shared" si="519"/>
        <v>0</v>
      </c>
      <c r="DG238" s="1989" t="e">
        <f>#REF!/10^7</f>
        <v>#REF!</v>
      </c>
      <c r="DH238" s="1989" t="e">
        <f>#REF!/10^7</f>
        <v>#REF!</v>
      </c>
      <c r="DI238" s="2002" t="e">
        <f t="shared" si="520"/>
        <v>#REF!</v>
      </c>
      <c r="DJ238" s="1999" t="e">
        <f t="shared" si="471"/>
        <v>#REF!</v>
      </c>
      <c r="DK238" s="1993" t="e">
        <f>#REF!</f>
        <v>#REF!</v>
      </c>
      <c r="DL238" s="2003">
        <f t="shared" si="521"/>
        <v>0</v>
      </c>
      <c r="DM238" s="1989" t="e">
        <f>#REF!/10^7</f>
        <v>#REF!</v>
      </c>
      <c r="DN238" s="2003">
        <f t="shared" si="522"/>
        <v>0</v>
      </c>
      <c r="DO238" s="1989" t="e">
        <f>#REF!/10^7</f>
        <v>#REF!</v>
      </c>
      <c r="DP238" s="2003">
        <f t="shared" si="523"/>
        <v>0</v>
      </c>
      <c r="DQ238" s="1989" t="e">
        <f>#REF!/10^7</f>
        <v>#REF!</v>
      </c>
      <c r="DR238" s="1989" t="e">
        <f>#REF!/10^7</f>
        <v>#REF!</v>
      </c>
      <c r="DS238" s="2002" t="e">
        <f t="shared" si="524"/>
        <v>#REF!</v>
      </c>
      <c r="DT238" s="2004" t="e">
        <f t="shared" si="472"/>
        <v>#REF!</v>
      </c>
      <c r="DU238" s="1988" t="e">
        <f>#REF!</f>
        <v>#REF!</v>
      </c>
      <c r="DV238" s="2003">
        <f t="shared" si="525"/>
        <v>0</v>
      </c>
      <c r="DW238" s="1989" t="e">
        <f>#REF!/10^7</f>
        <v>#REF!</v>
      </c>
      <c r="DX238" s="2003">
        <f t="shared" si="526"/>
        <v>0</v>
      </c>
      <c r="DY238" s="1989" t="e">
        <f>#REF!/10^7</f>
        <v>#REF!</v>
      </c>
      <c r="DZ238" s="2003">
        <f t="shared" si="527"/>
        <v>0</v>
      </c>
      <c r="EA238" s="1989" t="e">
        <f>#REF!/10^7</f>
        <v>#REF!</v>
      </c>
      <c r="EB238" s="1989" t="e">
        <f>#REF!/10^7</f>
        <v>#REF!</v>
      </c>
      <c r="EC238" s="2002" t="e">
        <f t="shared" si="528"/>
        <v>#REF!</v>
      </c>
      <c r="ED238" s="1998" t="e">
        <f t="shared" si="473"/>
        <v>#REF!</v>
      </c>
      <c r="EE238" s="2005" t="e">
        <f t="shared" si="475"/>
        <v>#REF!</v>
      </c>
      <c r="EF238" s="2003">
        <f t="shared" si="529"/>
        <v>0</v>
      </c>
      <c r="EG238" s="1989" t="e">
        <f t="shared" si="476"/>
        <v>#REF!</v>
      </c>
      <c r="EH238" s="2003">
        <f t="shared" si="530"/>
        <v>0</v>
      </c>
      <c r="EI238" s="1989" t="e">
        <f t="shared" si="477"/>
        <v>#REF!</v>
      </c>
      <c r="EJ238" s="2003">
        <f t="shared" si="531"/>
        <v>0</v>
      </c>
      <c r="EK238" s="1989" t="e">
        <f t="shared" si="534"/>
        <v>#REF!</v>
      </c>
      <c r="EL238" s="1989" t="e">
        <f t="shared" si="534"/>
        <v>#REF!</v>
      </c>
      <c r="EM238" s="2006" t="e">
        <f t="shared" si="532"/>
        <v>#REF!</v>
      </c>
      <c r="EN238" s="1999" t="e">
        <f t="shared" si="479"/>
        <v>#REF!</v>
      </c>
      <c r="EO238" s="1613">
        <v>60.937975000000002</v>
      </c>
      <c r="EP238" s="1613" t="e">
        <f>EA238-#REF!/10^7</f>
        <v>#REF!</v>
      </c>
      <c r="ER238" s="1612" t="e">
        <f t="shared" si="480"/>
        <v>#REF!</v>
      </c>
      <c r="EW238" s="1611" t="e">
        <v>#N/A</v>
      </c>
      <c r="EX238" s="1612" t="e">
        <v>#N/A</v>
      </c>
      <c r="EZ238" s="1650">
        <f t="shared" si="533"/>
        <v>0</v>
      </c>
    </row>
    <row r="239" spans="1:156" ht="21" customHeight="1">
      <c r="A239" s="1652">
        <v>49</v>
      </c>
      <c r="B239" s="1701" t="s">
        <v>1907</v>
      </c>
      <c r="C239" s="1662">
        <v>20</v>
      </c>
      <c r="D239" s="1646">
        <f t="shared" si="474"/>
        <v>100</v>
      </c>
      <c r="E239" s="1646"/>
      <c r="F239" s="1648" t="s">
        <v>1594</v>
      </c>
      <c r="G239" s="1648"/>
      <c r="H239" s="1648">
        <v>20</v>
      </c>
      <c r="I239" s="1648" t="s">
        <v>1717</v>
      </c>
      <c r="J239" s="1649">
        <v>2</v>
      </c>
      <c r="K239" s="1648"/>
      <c r="L239" s="1648"/>
      <c r="M239" s="1648"/>
      <c r="N239" s="1642"/>
      <c r="O239" s="2000" t="e">
        <f>#REF!</f>
        <v>#REF!</v>
      </c>
      <c r="P239" s="2003">
        <f t="shared" si="481"/>
        <v>0</v>
      </c>
      <c r="Q239" s="1989" t="e">
        <f>#REF!/10^7</f>
        <v>#REF!</v>
      </c>
      <c r="R239" s="2003">
        <f t="shared" si="482"/>
        <v>0</v>
      </c>
      <c r="S239" s="1989" t="e">
        <f>#REF!/10^7</f>
        <v>#REF!</v>
      </c>
      <c r="T239" s="2003">
        <f t="shared" si="483"/>
        <v>0</v>
      </c>
      <c r="U239" s="1989" t="e">
        <f>#REF!/10^7</f>
        <v>#REF!</v>
      </c>
      <c r="V239" s="1989" t="e">
        <f>#REF!/10^7</f>
        <v>#REF!</v>
      </c>
      <c r="W239" s="1989">
        <f t="shared" si="484"/>
        <v>0</v>
      </c>
      <c r="X239" s="1999" t="e">
        <f t="shared" si="467"/>
        <v>#REF!</v>
      </c>
      <c r="Y239" s="1993" t="e">
        <f>#REF!</f>
        <v>#REF!</v>
      </c>
      <c r="Z239" s="2003">
        <f t="shared" si="485"/>
        <v>0</v>
      </c>
      <c r="AA239" s="1989" t="e">
        <f>#REF!/10^7</f>
        <v>#REF!</v>
      </c>
      <c r="AB239" s="2003">
        <f t="shared" si="486"/>
        <v>0</v>
      </c>
      <c r="AC239" s="1989" t="e">
        <f>#REF!/10^7</f>
        <v>#REF!</v>
      </c>
      <c r="AD239" s="2003">
        <f t="shared" si="487"/>
        <v>0</v>
      </c>
      <c r="AE239" s="1989" t="e">
        <f>#REF!/10^7</f>
        <v>#REF!</v>
      </c>
      <c r="AF239" s="1989" t="e">
        <f>#REF!/10^7</f>
        <v>#REF!</v>
      </c>
      <c r="AG239" s="2002" t="e">
        <f t="shared" si="488"/>
        <v>#REF!</v>
      </c>
      <c r="AH239" s="1999" t="e">
        <f t="shared" si="468"/>
        <v>#REF!</v>
      </c>
      <c r="AI239" s="1993" t="e">
        <f>#REF!</f>
        <v>#REF!</v>
      </c>
      <c r="AJ239" s="2003">
        <f t="shared" si="489"/>
        <v>0</v>
      </c>
      <c r="AK239" s="1989" t="e">
        <f>#REF!/10^7</f>
        <v>#REF!</v>
      </c>
      <c r="AL239" s="2003">
        <f t="shared" si="490"/>
        <v>0</v>
      </c>
      <c r="AM239" s="1989" t="e">
        <f>#REF!/10^7</f>
        <v>#REF!</v>
      </c>
      <c r="AN239" s="2003">
        <f t="shared" si="491"/>
        <v>0</v>
      </c>
      <c r="AO239" s="1989" t="e">
        <f>#REF!/10^7</f>
        <v>#REF!</v>
      </c>
      <c r="AP239" s="1989" t="e">
        <f>#REF!/10^7</f>
        <v>#REF!</v>
      </c>
      <c r="AQ239" s="2002" t="e">
        <f t="shared" si="492"/>
        <v>#REF!</v>
      </c>
      <c r="AR239" s="1999" t="e">
        <f t="shared" si="469"/>
        <v>#REF!</v>
      </c>
      <c r="AS239" s="1993" t="e">
        <f>#REF!</f>
        <v>#REF!</v>
      </c>
      <c r="AT239" s="2003">
        <f t="shared" si="493"/>
        <v>0</v>
      </c>
      <c r="AU239" s="1989" t="e">
        <f>#REF!/10^7</f>
        <v>#REF!</v>
      </c>
      <c r="AV239" s="2003">
        <f t="shared" si="494"/>
        <v>0</v>
      </c>
      <c r="AW239" s="1989" t="e">
        <f>#REF!/10^7</f>
        <v>#REF!</v>
      </c>
      <c r="AX239" s="2003">
        <f t="shared" si="495"/>
        <v>0</v>
      </c>
      <c r="AY239" s="1989" t="e">
        <f>#REF!/10^7</f>
        <v>#REF!</v>
      </c>
      <c r="AZ239" s="1989" t="e">
        <f>#REF!/10^7</f>
        <v>#REF!</v>
      </c>
      <c r="BA239" s="2002" t="e">
        <f t="shared" si="496"/>
        <v>#REF!</v>
      </c>
      <c r="BB239" s="1999" t="e">
        <f t="shared" si="470"/>
        <v>#REF!</v>
      </c>
      <c r="BC239" s="1993" t="e">
        <f>#REF!</f>
        <v>#REF!</v>
      </c>
      <c r="BD239" s="2003">
        <f t="shared" si="497"/>
        <v>0</v>
      </c>
      <c r="BE239" s="1989" t="e">
        <f>#REF!/10^7</f>
        <v>#REF!</v>
      </c>
      <c r="BF239" s="2003">
        <f t="shared" si="498"/>
        <v>0</v>
      </c>
      <c r="BG239" s="1989" t="e">
        <f>#REF!/10^7</f>
        <v>#REF!</v>
      </c>
      <c r="BH239" s="2003">
        <f t="shared" si="499"/>
        <v>0</v>
      </c>
      <c r="BI239" s="1989" t="e">
        <f>#REF!/10^7</f>
        <v>#REF!</v>
      </c>
      <c r="BJ239" s="1989" t="e">
        <f>#REF!/10^7</f>
        <v>#REF!</v>
      </c>
      <c r="BK239" s="2002" t="e">
        <f t="shared" si="500"/>
        <v>#REF!</v>
      </c>
      <c r="BL239" s="1999" t="e">
        <f t="shared" si="438"/>
        <v>#REF!</v>
      </c>
      <c r="BM239" s="1993" t="e">
        <f>#REF!</f>
        <v>#REF!</v>
      </c>
      <c r="BN239" s="2003">
        <f t="shared" si="501"/>
        <v>0</v>
      </c>
      <c r="BO239" s="1989" t="e">
        <f>#REF!/10^7</f>
        <v>#REF!</v>
      </c>
      <c r="BP239" s="2003">
        <f t="shared" si="502"/>
        <v>0</v>
      </c>
      <c r="BQ239" s="1989" t="e">
        <f>#REF!/10^7</f>
        <v>#REF!</v>
      </c>
      <c r="BR239" s="2003">
        <f t="shared" si="503"/>
        <v>0</v>
      </c>
      <c r="BS239" s="1989" t="e">
        <f>#REF!/10^7</f>
        <v>#REF!</v>
      </c>
      <c r="BT239" s="1989" t="e">
        <f>#REF!/10^7</f>
        <v>#REF!</v>
      </c>
      <c r="BU239" s="2002" t="e">
        <f t="shared" si="504"/>
        <v>#REF!</v>
      </c>
      <c r="BV239" s="1999" t="e">
        <f t="shared" si="439"/>
        <v>#REF!</v>
      </c>
      <c r="BW239" s="1993" t="e">
        <f>#REF!</f>
        <v>#REF!</v>
      </c>
      <c r="BX239" s="2003">
        <f t="shared" si="505"/>
        <v>0</v>
      </c>
      <c r="BY239" s="1989" t="e">
        <f>#REF!/10^7</f>
        <v>#REF!</v>
      </c>
      <c r="BZ239" s="2003">
        <f t="shared" si="506"/>
        <v>0</v>
      </c>
      <c r="CA239" s="1989" t="e">
        <f>#REF!/10^7</f>
        <v>#REF!</v>
      </c>
      <c r="CB239" s="2003">
        <f t="shared" si="507"/>
        <v>0</v>
      </c>
      <c r="CC239" s="1989" t="e">
        <f>#REF!/10^7</f>
        <v>#REF!</v>
      </c>
      <c r="CD239" s="1989" t="e">
        <f>#REF!/10^7</f>
        <v>#REF!</v>
      </c>
      <c r="CE239" s="2002" t="e">
        <f t="shared" si="508"/>
        <v>#REF!</v>
      </c>
      <c r="CF239" s="1999" t="e">
        <f t="shared" si="440"/>
        <v>#REF!</v>
      </c>
      <c r="CG239" s="1993" t="e">
        <f>#REF!</f>
        <v>#REF!</v>
      </c>
      <c r="CH239" s="2003">
        <f t="shared" si="509"/>
        <v>0</v>
      </c>
      <c r="CI239" s="1989" t="e">
        <f>#REF!/10^7</f>
        <v>#REF!</v>
      </c>
      <c r="CJ239" s="2003">
        <f t="shared" si="510"/>
        <v>0</v>
      </c>
      <c r="CK239" s="1989" t="e">
        <f>#REF!/10^7</f>
        <v>#REF!</v>
      </c>
      <c r="CL239" s="2003">
        <f t="shared" si="511"/>
        <v>0</v>
      </c>
      <c r="CM239" s="1989" t="e">
        <f>#REF!/10^7</f>
        <v>#REF!</v>
      </c>
      <c r="CN239" s="1989" t="e">
        <f>#REF!/10^7</f>
        <v>#REF!</v>
      </c>
      <c r="CO239" s="2002" t="e">
        <f t="shared" si="512"/>
        <v>#REF!</v>
      </c>
      <c r="CP239" s="1999" t="e">
        <f t="shared" si="441"/>
        <v>#REF!</v>
      </c>
      <c r="CQ239" s="1993" t="e">
        <f>#REF!</f>
        <v>#REF!</v>
      </c>
      <c r="CR239" s="2003">
        <f t="shared" si="513"/>
        <v>0</v>
      </c>
      <c r="CS239" s="1989" t="e">
        <f>#REF!/10^7</f>
        <v>#REF!</v>
      </c>
      <c r="CT239" s="2003">
        <f t="shared" si="514"/>
        <v>0</v>
      </c>
      <c r="CU239" s="1989" t="e">
        <f>#REF!/10^7</f>
        <v>#REF!</v>
      </c>
      <c r="CV239" s="2003">
        <f t="shared" si="515"/>
        <v>0</v>
      </c>
      <c r="CW239" s="1989" t="e">
        <f>#REF!/10^7</f>
        <v>#REF!</v>
      </c>
      <c r="CX239" s="1989" t="e">
        <f>#REF!/10^7</f>
        <v>#REF!</v>
      </c>
      <c r="CY239" s="2002" t="e">
        <f t="shared" si="516"/>
        <v>#REF!</v>
      </c>
      <c r="CZ239" s="1999" t="e">
        <f t="shared" si="442"/>
        <v>#REF!</v>
      </c>
      <c r="DA239" s="1993" t="e">
        <f>#REF!</f>
        <v>#REF!</v>
      </c>
      <c r="DB239" s="2003">
        <f t="shared" si="517"/>
        <v>0</v>
      </c>
      <c r="DC239" s="1989" t="e">
        <f>#REF!/10^7</f>
        <v>#REF!</v>
      </c>
      <c r="DD239" s="2003">
        <f t="shared" si="518"/>
        <v>0</v>
      </c>
      <c r="DE239" s="1989" t="e">
        <f>#REF!/10^7</f>
        <v>#REF!</v>
      </c>
      <c r="DF239" s="2003">
        <f t="shared" si="519"/>
        <v>0</v>
      </c>
      <c r="DG239" s="1989" t="e">
        <f>#REF!/10^7</f>
        <v>#REF!</v>
      </c>
      <c r="DH239" s="1989" t="e">
        <f>#REF!/10^7</f>
        <v>#REF!</v>
      </c>
      <c r="DI239" s="2002" t="e">
        <f t="shared" si="520"/>
        <v>#REF!</v>
      </c>
      <c r="DJ239" s="1999" t="e">
        <f t="shared" si="471"/>
        <v>#REF!</v>
      </c>
      <c r="DK239" s="1993" t="e">
        <f>#REF!</f>
        <v>#REF!</v>
      </c>
      <c r="DL239" s="2003">
        <f t="shared" si="521"/>
        <v>0</v>
      </c>
      <c r="DM239" s="1989" t="e">
        <f>#REF!/10^7</f>
        <v>#REF!</v>
      </c>
      <c r="DN239" s="2003">
        <f t="shared" si="522"/>
        <v>0</v>
      </c>
      <c r="DO239" s="1989" t="e">
        <f>#REF!/10^7</f>
        <v>#REF!</v>
      </c>
      <c r="DP239" s="2003">
        <f t="shared" si="523"/>
        <v>0</v>
      </c>
      <c r="DQ239" s="1989" t="e">
        <f>#REF!/10^7</f>
        <v>#REF!</v>
      </c>
      <c r="DR239" s="1989" t="e">
        <f>#REF!/10^7</f>
        <v>#REF!</v>
      </c>
      <c r="DS239" s="2002" t="e">
        <f t="shared" si="524"/>
        <v>#REF!</v>
      </c>
      <c r="DT239" s="2004" t="e">
        <f t="shared" si="472"/>
        <v>#REF!</v>
      </c>
      <c r="DU239" s="1988" t="e">
        <f>#REF!</f>
        <v>#REF!</v>
      </c>
      <c r="DV239" s="2003">
        <f t="shared" si="525"/>
        <v>0</v>
      </c>
      <c r="DW239" s="1989" t="e">
        <f>#REF!/10^7</f>
        <v>#REF!</v>
      </c>
      <c r="DX239" s="2003">
        <f t="shared" si="526"/>
        <v>0</v>
      </c>
      <c r="DY239" s="1989" t="e">
        <f>#REF!/10^7</f>
        <v>#REF!</v>
      </c>
      <c r="DZ239" s="2003">
        <f t="shared" si="527"/>
        <v>0</v>
      </c>
      <c r="EA239" s="1989" t="e">
        <f>#REF!/10^7</f>
        <v>#REF!</v>
      </c>
      <c r="EB239" s="1989" t="e">
        <f>#REF!/10^7</f>
        <v>#REF!</v>
      </c>
      <c r="EC239" s="2002" t="e">
        <f t="shared" si="528"/>
        <v>#REF!</v>
      </c>
      <c r="ED239" s="1998" t="e">
        <f t="shared" si="473"/>
        <v>#REF!</v>
      </c>
      <c r="EE239" s="2005" t="e">
        <f t="shared" si="475"/>
        <v>#REF!</v>
      </c>
      <c r="EF239" s="2003">
        <f t="shared" si="529"/>
        <v>0</v>
      </c>
      <c r="EG239" s="1989" t="e">
        <f t="shared" si="476"/>
        <v>#REF!</v>
      </c>
      <c r="EH239" s="2003">
        <f t="shared" si="530"/>
        <v>0</v>
      </c>
      <c r="EI239" s="1989" t="e">
        <f t="shared" si="477"/>
        <v>#REF!</v>
      </c>
      <c r="EJ239" s="2003">
        <f t="shared" si="531"/>
        <v>0</v>
      </c>
      <c r="EK239" s="1989" t="e">
        <f t="shared" si="534"/>
        <v>#REF!</v>
      </c>
      <c r="EL239" s="1989" t="e">
        <f t="shared" si="534"/>
        <v>#REF!</v>
      </c>
      <c r="EM239" s="2006" t="e">
        <f t="shared" si="532"/>
        <v>#REF!</v>
      </c>
      <c r="EN239" s="1999" t="e">
        <f t="shared" si="479"/>
        <v>#REF!</v>
      </c>
      <c r="EO239" s="1613">
        <v>21.220696</v>
      </c>
      <c r="EP239" s="1613" t="e">
        <f>EA239-#REF!/10^7</f>
        <v>#REF!</v>
      </c>
      <c r="ER239" s="1612" t="e">
        <f t="shared" si="480"/>
        <v>#REF!</v>
      </c>
      <c r="EW239" s="1611" t="e">
        <v>#N/A</v>
      </c>
      <c r="EX239" s="1612" t="e">
        <v>#N/A</v>
      </c>
      <c r="EZ239" s="1650">
        <f t="shared" si="533"/>
        <v>0</v>
      </c>
    </row>
    <row r="240" spans="1:156" ht="21" customHeight="1">
      <c r="A240" s="1652">
        <v>50</v>
      </c>
      <c r="B240" s="1701" t="s">
        <v>1908</v>
      </c>
      <c r="C240" s="1662">
        <v>7</v>
      </c>
      <c r="D240" s="1646">
        <f t="shared" si="474"/>
        <v>100</v>
      </c>
      <c r="E240" s="1646"/>
      <c r="F240" s="1648" t="s">
        <v>1594</v>
      </c>
      <c r="G240" s="1648"/>
      <c r="H240" s="1648">
        <v>7</v>
      </c>
      <c r="I240" s="1648" t="s">
        <v>1717</v>
      </c>
      <c r="J240" s="1649">
        <v>2</v>
      </c>
      <c r="K240" s="1648"/>
      <c r="L240" s="1648"/>
      <c r="M240" s="1648"/>
      <c r="N240" s="1642"/>
      <c r="O240" s="2000" t="e">
        <f>#REF!</f>
        <v>#REF!</v>
      </c>
      <c r="P240" s="2003">
        <f t="shared" si="481"/>
        <v>0</v>
      </c>
      <c r="Q240" s="1989" t="e">
        <f>#REF!/10^7</f>
        <v>#REF!</v>
      </c>
      <c r="R240" s="2003">
        <f t="shared" si="482"/>
        <v>0</v>
      </c>
      <c r="S240" s="1989" t="e">
        <f>#REF!/10^7</f>
        <v>#REF!</v>
      </c>
      <c r="T240" s="2003">
        <f t="shared" si="483"/>
        <v>0</v>
      </c>
      <c r="U240" s="1989" t="e">
        <f>#REF!/10^7</f>
        <v>#REF!</v>
      </c>
      <c r="V240" s="1989" t="e">
        <f>#REF!/10^7</f>
        <v>#REF!</v>
      </c>
      <c r="W240" s="1989">
        <f t="shared" si="484"/>
        <v>0</v>
      </c>
      <c r="X240" s="1999" t="e">
        <f t="shared" si="467"/>
        <v>#REF!</v>
      </c>
      <c r="Y240" s="1993" t="e">
        <f>#REF!</f>
        <v>#REF!</v>
      </c>
      <c r="Z240" s="2003">
        <f t="shared" si="485"/>
        <v>0</v>
      </c>
      <c r="AA240" s="1989" t="e">
        <f>#REF!/10^7</f>
        <v>#REF!</v>
      </c>
      <c r="AB240" s="2003">
        <f t="shared" si="486"/>
        <v>0</v>
      </c>
      <c r="AC240" s="1989" t="e">
        <f>#REF!/10^7</f>
        <v>#REF!</v>
      </c>
      <c r="AD240" s="2003">
        <f t="shared" si="487"/>
        <v>0</v>
      </c>
      <c r="AE240" s="1989" t="e">
        <f>#REF!/10^7</f>
        <v>#REF!</v>
      </c>
      <c r="AF240" s="1989" t="e">
        <f>#REF!/10^7</f>
        <v>#REF!</v>
      </c>
      <c r="AG240" s="2002" t="e">
        <f t="shared" si="488"/>
        <v>#REF!</v>
      </c>
      <c r="AH240" s="1999" t="e">
        <f t="shared" si="468"/>
        <v>#REF!</v>
      </c>
      <c r="AI240" s="1993" t="e">
        <f>#REF!</f>
        <v>#REF!</v>
      </c>
      <c r="AJ240" s="2003">
        <f t="shared" si="489"/>
        <v>0</v>
      </c>
      <c r="AK240" s="1989" t="e">
        <f>#REF!/10^7</f>
        <v>#REF!</v>
      </c>
      <c r="AL240" s="2003">
        <f t="shared" si="490"/>
        <v>0</v>
      </c>
      <c r="AM240" s="1989" t="e">
        <f>#REF!/10^7</f>
        <v>#REF!</v>
      </c>
      <c r="AN240" s="2003">
        <f t="shared" si="491"/>
        <v>0</v>
      </c>
      <c r="AO240" s="1989" t="e">
        <f>#REF!/10^7</f>
        <v>#REF!</v>
      </c>
      <c r="AP240" s="1989" t="e">
        <f>#REF!/10^7</f>
        <v>#REF!</v>
      </c>
      <c r="AQ240" s="2002" t="e">
        <f t="shared" si="492"/>
        <v>#REF!</v>
      </c>
      <c r="AR240" s="1999" t="e">
        <f t="shared" si="469"/>
        <v>#REF!</v>
      </c>
      <c r="AS240" s="1993" t="e">
        <f>#REF!</f>
        <v>#REF!</v>
      </c>
      <c r="AT240" s="2003">
        <f t="shared" si="493"/>
        <v>0</v>
      </c>
      <c r="AU240" s="1989" t="e">
        <f>#REF!/10^7</f>
        <v>#REF!</v>
      </c>
      <c r="AV240" s="2003">
        <f t="shared" si="494"/>
        <v>0</v>
      </c>
      <c r="AW240" s="1989" t="e">
        <f>#REF!/10^7</f>
        <v>#REF!</v>
      </c>
      <c r="AX240" s="2003">
        <f t="shared" si="495"/>
        <v>0</v>
      </c>
      <c r="AY240" s="1989" t="e">
        <f>#REF!/10^7</f>
        <v>#REF!</v>
      </c>
      <c r="AZ240" s="1989" t="e">
        <f>#REF!/10^7</f>
        <v>#REF!</v>
      </c>
      <c r="BA240" s="2002" t="e">
        <f t="shared" si="496"/>
        <v>#REF!</v>
      </c>
      <c r="BB240" s="1999" t="e">
        <f t="shared" si="470"/>
        <v>#REF!</v>
      </c>
      <c r="BC240" s="1993" t="e">
        <f>#REF!</f>
        <v>#REF!</v>
      </c>
      <c r="BD240" s="2003">
        <f t="shared" si="497"/>
        <v>0</v>
      </c>
      <c r="BE240" s="1989" t="e">
        <f>#REF!/10^7</f>
        <v>#REF!</v>
      </c>
      <c r="BF240" s="2003">
        <f t="shared" si="498"/>
        <v>0</v>
      </c>
      <c r="BG240" s="1989" t="e">
        <f>#REF!/10^7</f>
        <v>#REF!</v>
      </c>
      <c r="BH240" s="2003">
        <f t="shared" si="499"/>
        <v>0</v>
      </c>
      <c r="BI240" s="1989" t="e">
        <f>#REF!/10^7</f>
        <v>#REF!</v>
      </c>
      <c r="BJ240" s="1989" t="e">
        <f>#REF!/10^7</f>
        <v>#REF!</v>
      </c>
      <c r="BK240" s="2002" t="e">
        <f t="shared" si="500"/>
        <v>#REF!</v>
      </c>
      <c r="BL240" s="1999" t="e">
        <f t="shared" si="438"/>
        <v>#REF!</v>
      </c>
      <c r="BM240" s="1993" t="e">
        <f>#REF!</f>
        <v>#REF!</v>
      </c>
      <c r="BN240" s="2003">
        <f t="shared" si="501"/>
        <v>0</v>
      </c>
      <c r="BO240" s="1989" t="e">
        <f>#REF!/10^7</f>
        <v>#REF!</v>
      </c>
      <c r="BP240" s="2003">
        <f t="shared" si="502"/>
        <v>0</v>
      </c>
      <c r="BQ240" s="1989" t="e">
        <f>#REF!/10^7</f>
        <v>#REF!</v>
      </c>
      <c r="BR240" s="2003">
        <f t="shared" si="503"/>
        <v>0</v>
      </c>
      <c r="BS240" s="1989" t="e">
        <f>#REF!/10^7</f>
        <v>#REF!</v>
      </c>
      <c r="BT240" s="1989" t="e">
        <f>#REF!/10^7</f>
        <v>#REF!</v>
      </c>
      <c r="BU240" s="2002" t="e">
        <f t="shared" si="504"/>
        <v>#REF!</v>
      </c>
      <c r="BV240" s="1999" t="e">
        <f t="shared" si="439"/>
        <v>#REF!</v>
      </c>
      <c r="BW240" s="1993" t="e">
        <f>#REF!</f>
        <v>#REF!</v>
      </c>
      <c r="BX240" s="2003">
        <f t="shared" si="505"/>
        <v>0</v>
      </c>
      <c r="BY240" s="1989" t="e">
        <f>#REF!/10^7</f>
        <v>#REF!</v>
      </c>
      <c r="BZ240" s="2003">
        <f t="shared" si="506"/>
        <v>0</v>
      </c>
      <c r="CA240" s="1989" t="e">
        <f>#REF!/10^7</f>
        <v>#REF!</v>
      </c>
      <c r="CB240" s="2003">
        <f t="shared" si="507"/>
        <v>0</v>
      </c>
      <c r="CC240" s="1989" t="e">
        <f>#REF!/10^7</f>
        <v>#REF!</v>
      </c>
      <c r="CD240" s="1989" t="e">
        <f>#REF!/10^7</f>
        <v>#REF!</v>
      </c>
      <c r="CE240" s="2002" t="e">
        <f t="shared" si="508"/>
        <v>#REF!</v>
      </c>
      <c r="CF240" s="1999" t="e">
        <f t="shared" si="440"/>
        <v>#REF!</v>
      </c>
      <c r="CG240" s="1993" t="e">
        <f>#REF!</f>
        <v>#REF!</v>
      </c>
      <c r="CH240" s="2003">
        <f t="shared" si="509"/>
        <v>0</v>
      </c>
      <c r="CI240" s="1989" t="e">
        <f>#REF!/10^7</f>
        <v>#REF!</v>
      </c>
      <c r="CJ240" s="2003">
        <f t="shared" si="510"/>
        <v>0</v>
      </c>
      <c r="CK240" s="1989" t="e">
        <f>#REF!/10^7</f>
        <v>#REF!</v>
      </c>
      <c r="CL240" s="2003">
        <f t="shared" si="511"/>
        <v>0</v>
      </c>
      <c r="CM240" s="1989" t="e">
        <f>#REF!/10^7</f>
        <v>#REF!</v>
      </c>
      <c r="CN240" s="1989" t="e">
        <f>#REF!/10^7</f>
        <v>#REF!</v>
      </c>
      <c r="CO240" s="2002" t="e">
        <f t="shared" si="512"/>
        <v>#REF!</v>
      </c>
      <c r="CP240" s="1999" t="e">
        <f t="shared" si="441"/>
        <v>#REF!</v>
      </c>
      <c r="CQ240" s="1993" t="e">
        <f>#REF!</f>
        <v>#REF!</v>
      </c>
      <c r="CR240" s="2003">
        <f t="shared" si="513"/>
        <v>0</v>
      </c>
      <c r="CS240" s="1989" t="e">
        <f>#REF!/10^7</f>
        <v>#REF!</v>
      </c>
      <c r="CT240" s="2003">
        <f t="shared" si="514"/>
        <v>0</v>
      </c>
      <c r="CU240" s="1989" t="e">
        <f>#REF!/10^7</f>
        <v>#REF!</v>
      </c>
      <c r="CV240" s="2003">
        <f t="shared" si="515"/>
        <v>0</v>
      </c>
      <c r="CW240" s="1989" t="e">
        <f>#REF!/10^7</f>
        <v>#REF!</v>
      </c>
      <c r="CX240" s="1989" t="e">
        <f>#REF!/10^7</f>
        <v>#REF!</v>
      </c>
      <c r="CY240" s="2002" t="e">
        <f t="shared" si="516"/>
        <v>#REF!</v>
      </c>
      <c r="CZ240" s="1999" t="e">
        <f t="shared" si="442"/>
        <v>#REF!</v>
      </c>
      <c r="DA240" s="1993" t="e">
        <f>#REF!</f>
        <v>#REF!</v>
      </c>
      <c r="DB240" s="2003">
        <f t="shared" si="517"/>
        <v>0</v>
      </c>
      <c r="DC240" s="1989" t="e">
        <f>#REF!/10^7</f>
        <v>#REF!</v>
      </c>
      <c r="DD240" s="2003">
        <f t="shared" si="518"/>
        <v>0</v>
      </c>
      <c r="DE240" s="1989" t="e">
        <f>#REF!/10^7</f>
        <v>#REF!</v>
      </c>
      <c r="DF240" s="2003">
        <f t="shared" si="519"/>
        <v>0</v>
      </c>
      <c r="DG240" s="1989" t="e">
        <f>#REF!/10^7</f>
        <v>#REF!</v>
      </c>
      <c r="DH240" s="1989" t="e">
        <f>#REF!/10^7</f>
        <v>#REF!</v>
      </c>
      <c r="DI240" s="2002" t="e">
        <f t="shared" si="520"/>
        <v>#REF!</v>
      </c>
      <c r="DJ240" s="1999" t="e">
        <f t="shared" si="471"/>
        <v>#REF!</v>
      </c>
      <c r="DK240" s="1993" t="e">
        <f>#REF!</f>
        <v>#REF!</v>
      </c>
      <c r="DL240" s="2003">
        <f t="shared" si="521"/>
        <v>0</v>
      </c>
      <c r="DM240" s="1989" t="e">
        <f>#REF!/10^7</f>
        <v>#REF!</v>
      </c>
      <c r="DN240" s="2003">
        <f t="shared" si="522"/>
        <v>0</v>
      </c>
      <c r="DO240" s="1989" t="e">
        <f>#REF!/10^7</f>
        <v>#REF!</v>
      </c>
      <c r="DP240" s="2003">
        <f t="shared" si="523"/>
        <v>0</v>
      </c>
      <c r="DQ240" s="1989" t="e">
        <f>#REF!/10^7</f>
        <v>#REF!</v>
      </c>
      <c r="DR240" s="1989" t="e">
        <f>#REF!/10^7</f>
        <v>#REF!</v>
      </c>
      <c r="DS240" s="2002" t="e">
        <f t="shared" si="524"/>
        <v>#REF!</v>
      </c>
      <c r="DT240" s="2004" t="e">
        <f t="shared" si="472"/>
        <v>#REF!</v>
      </c>
      <c r="DU240" s="1988" t="e">
        <f>#REF!</f>
        <v>#REF!</v>
      </c>
      <c r="DV240" s="2003">
        <f t="shared" si="525"/>
        <v>0</v>
      </c>
      <c r="DW240" s="1989" t="e">
        <f>#REF!/10^7</f>
        <v>#REF!</v>
      </c>
      <c r="DX240" s="2003">
        <f t="shared" si="526"/>
        <v>0</v>
      </c>
      <c r="DY240" s="1989" t="e">
        <f>#REF!/10^7</f>
        <v>#REF!</v>
      </c>
      <c r="DZ240" s="2003">
        <f t="shared" si="527"/>
        <v>0</v>
      </c>
      <c r="EA240" s="1989" t="e">
        <f>#REF!/10^7</f>
        <v>#REF!</v>
      </c>
      <c r="EB240" s="1989" t="e">
        <f>#REF!/10^7</f>
        <v>#REF!</v>
      </c>
      <c r="EC240" s="2002" t="e">
        <f t="shared" si="528"/>
        <v>#REF!</v>
      </c>
      <c r="ED240" s="1998" t="e">
        <f t="shared" si="473"/>
        <v>#REF!</v>
      </c>
      <c r="EE240" s="2005" t="e">
        <f t="shared" si="475"/>
        <v>#REF!</v>
      </c>
      <c r="EF240" s="2003">
        <f t="shared" si="529"/>
        <v>0</v>
      </c>
      <c r="EG240" s="1989" t="e">
        <f t="shared" si="476"/>
        <v>#REF!</v>
      </c>
      <c r="EH240" s="2003">
        <f t="shared" si="530"/>
        <v>0</v>
      </c>
      <c r="EI240" s="1989" t="e">
        <f t="shared" si="477"/>
        <v>#REF!</v>
      </c>
      <c r="EJ240" s="2003">
        <f t="shared" si="531"/>
        <v>0</v>
      </c>
      <c r="EK240" s="1989" t="e">
        <f t="shared" si="534"/>
        <v>#REF!</v>
      </c>
      <c r="EL240" s="1989" t="e">
        <f t="shared" si="534"/>
        <v>#REF!</v>
      </c>
      <c r="EM240" s="2006" t="e">
        <f t="shared" si="532"/>
        <v>#REF!</v>
      </c>
      <c r="EN240" s="1999" t="e">
        <f t="shared" si="479"/>
        <v>#REF!</v>
      </c>
      <c r="EO240" s="1613">
        <v>5.1465420899999996</v>
      </c>
      <c r="EP240" s="1613" t="e">
        <f>EA240-#REF!/10^7</f>
        <v>#REF!</v>
      </c>
      <c r="ER240" s="1612" t="e">
        <f t="shared" si="480"/>
        <v>#REF!</v>
      </c>
      <c r="EW240" s="1611" t="e">
        <v>#N/A</v>
      </c>
      <c r="EX240" s="1612" t="e">
        <v>#N/A</v>
      </c>
      <c r="EZ240" s="1650">
        <f t="shared" si="533"/>
        <v>0</v>
      </c>
    </row>
    <row r="241" spans="1:156" ht="21" customHeight="1">
      <c r="A241" s="1652">
        <v>51</v>
      </c>
      <c r="B241" s="1701" t="s">
        <v>1909</v>
      </c>
      <c r="C241" s="1662"/>
      <c r="D241" s="1648"/>
      <c r="E241" s="1648"/>
      <c r="F241" s="1648"/>
      <c r="G241" s="1648"/>
      <c r="H241" s="1648"/>
      <c r="I241" s="1648" t="s">
        <v>1717</v>
      </c>
      <c r="J241" s="1649">
        <v>2</v>
      </c>
      <c r="K241" s="1648"/>
      <c r="L241" s="1648"/>
      <c r="M241" s="1648"/>
      <c r="N241" s="1642"/>
      <c r="O241" s="2000" t="e">
        <f>#REF!</f>
        <v>#REF!</v>
      </c>
      <c r="P241" s="2003">
        <f t="shared" si="481"/>
        <v>0</v>
      </c>
      <c r="Q241" s="1989" t="e">
        <f>#REF!/10^7</f>
        <v>#REF!</v>
      </c>
      <c r="R241" s="2003">
        <f t="shared" si="482"/>
        <v>0</v>
      </c>
      <c r="S241" s="1989" t="e">
        <f>#REF!/10^7</f>
        <v>#REF!</v>
      </c>
      <c r="T241" s="2003">
        <f t="shared" si="483"/>
        <v>0</v>
      </c>
      <c r="U241" s="1989" t="e">
        <f>#REF!/10^7</f>
        <v>#REF!</v>
      </c>
      <c r="V241" s="1989" t="e">
        <f>#REF!/10^7</f>
        <v>#REF!</v>
      </c>
      <c r="W241" s="1989">
        <f t="shared" si="484"/>
        <v>0</v>
      </c>
      <c r="X241" s="1999" t="e">
        <f t="shared" si="467"/>
        <v>#REF!</v>
      </c>
      <c r="Y241" s="1993" t="e">
        <f>#REF!</f>
        <v>#REF!</v>
      </c>
      <c r="Z241" s="2003">
        <f t="shared" si="485"/>
        <v>0</v>
      </c>
      <c r="AA241" s="1989" t="e">
        <f>#REF!/10^7</f>
        <v>#REF!</v>
      </c>
      <c r="AB241" s="2003">
        <f t="shared" si="486"/>
        <v>0</v>
      </c>
      <c r="AC241" s="1989" t="e">
        <f>#REF!/10^7</f>
        <v>#REF!</v>
      </c>
      <c r="AD241" s="2003">
        <f t="shared" si="487"/>
        <v>0</v>
      </c>
      <c r="AE241" s="1989" t="e">
        <f>#REF!/10^7</f>
        <v>#REF!</v>
      </c>
      <c r="AF241" s="1989" t="e">
        <f>#REF!/10^7</f>
        <v>#REF!</v>
      </c>
      <c r="AG241" s="2002" t="e">
        <f t="shared" si="488"/>
        <v>#REF!</v>
      </c>
      <c r="AH241" s="1999" t="e">
        <f t="shared" si="468"/>
        <v>#REF!</v>
      </c>
      <c r="AI241" s="1993" t="e">
        <f>#REF!</f>
        <v>#REF!</v>
      </c>
      <c r="AJ241" s="2003">
        <f t="shared" si="489"/>
        <v>0</v>
      </c>
      <c r="AK241" s="1989" t="e">
        <f>#REF!/10^7</f>
        <v>#REF!</v>
      </c>
      <c r="AL241" s="2003">
        <f t="shared" si="490"/>
        <v>0</v>
      </c>
      <c r="AM241" s="1989" t="e">
        <f>#REF!/10^7</f>
        <v>#REF!</v>
      </c>
      <c r="AN241" s="2003">
        <f t="shared" si="491"/>
        <v>0</v>
      </c>
      <c r="AO241" s="1989" t="e">
        <f>#REF!/10^7</f>
        <v>#REF!</v>
      </c>
      <c r="AP241" s="1989" t="e">
        <f>#REF!/10^7</f>
        <v>#REF!</v>
      </c>
      <c r="AQ241" s="2002" t="e">
        <f t="shared" si="492"/>
        <v>#REF!</v>
      </c>
      <c r="AR241" s="1999" t="e">
        <f t="shared" si="469"/>
        <v>#REF!</v>
      </c>
      <c r="AS241" s="1993" t="e">
        <f>#REF!</f>
        <v>#REF!</v>
      </c>
      <c r="AT241" s="2003">
        <f t="shared" si="493"/>
        <v>0</v>
      </c>
      <c r="AU241" s="1989" t="e">
        <f>#REF!/10^7</f>
        <v>#REF!</v>
      </c>
      <c r="AV241" s="2003">
        <f t="shared" si="494"/>
        <v>0</v>
      </c>
      <c r="AW241" s="1989" t="e">
        <f>#REF!/10^7</f>
        <v>#REF!</v>
      </c>
      <c r="AX241" s="2003">
        <f t="shared" si="495"/>
        <v>0</v>
      </c>
      <c r="AY241" s="1989" t="e">
        <f>#REF!/10^7</f>
        <v>#REF!</v>
      </c>
      <c r="AZ241" s="1989" t="e">
        <f>#REF!/10^7</f>
        <v>#REF!</v>
      </c>
      <c r="BA241" s="2002" t="e">
        <f t="shared" si="496"/>
        <v>#REF!</v>
      </c>
      <c r="BB241" s="1999" t="e">
        <f t="shared" si="470"/>
        <v>#REF!</v>
      </c>
      <c r="BC241" s="1993" t="e">
        <f>#REF!</f>
        <v>#REF!</v>
      </c>
      <c r="BD241" s="2003">
        <f t="shared" si="497"/>
        <v>0</v>
      </c>
      <c r="BE241" s="1989" t="e">
        <f>#REF!/10^7</f>
        <v>#REF!</v>
      </c>
      <c r="BF241" s="2003">
        <f t="shared" si="498"/>
        <v>0</v>
      </c>
      <c r="BG241" s="1989" t="e">
        <f>#REF!/10^7</f>
        <v>#REF!</v>
      </c>
      <c r="BH241" s="2003">
        <f t="shared" si="499"/>
        <v>0</v>
      </c>
      <c r="BI241" s="1989" t="e">
        <f>#REF!/10^7</f>
        <v>#REF!</v>
      </c>
      <c r="BJ241" s="1989" t="e">
        <f>#REF!/10^7</f>
        <v>#REF!</v>
      </c>
      <c r="BK241" s="2002" t="e">
        <f t="shared" si="500"/>
        <v>#REF!</v>
      </c>
      <c r="BL241" s="1999" t="e">
        <f t="shared" ref="BL241:BL271" si="535">BE241+BG241+BI241+BJ241</f>
        <v>#REF!</v>
      </c>
      <c r="BM241" s="1993" t="e">
        <f>#REF!</f>
        <v>#REF!</v>
      </c>
      <c r="BN241" s="2003">
        <f t="shared" si="501"/>
        <v>0</v>
      </c>
      <c r="BO241" s="1989" t="e">
        <f>#REF!/10^7</f>
        <v>#REF!</v>
      </c>
      <c r="BP241" s="2003">
        <f t="shared" si="502"/>
        <v>0</v>
      </c>
      <c r="BQ241" s="1989" t="e">
        <f>#REF!/10^7</f>
        <v>#REF!</v>
      </c>
      <c r="BR241" s="2003">
        <f t="shared" si="503"/>
        <v>0</v>
      </c>
      <c r="BS241" s="1989" t="e">
        <f>#REF!/10^7</f>
        <v>#REF!</v>
      </c>
      <c r="BT241" s="1989" t="e">
        <f>#REF!/10^7</f>
        <v>#REF!</v>
      </c>
      <c r="BU241" s="2002" t="e">
        <f t="shared" si="504"/>
        <v>#REF!</v>
      </c>
      <c r="BV241" s="1999" t="e">
        <f t="shared" ref="BV241:BV271" si="536">BO241+BQ241+BS241+BT241</f>
        <v>#REF!</v>
      </c>
      <c r="BW241" s="1993" t="e">
        <f>#REF!</f>
        <v>#REF!</v>
      </c>
      <c r="BX241" s="2003">
        <f t="shared" si="505"/>
        <v>0</v>
      </c>
      <c r="BY241" s="1989" t="e">
        <f>#REF!/10^7</f>
        <v>#REF!</v>
      </c>
      <c r="BZ241" s="2003">
        <f t="shared" si="506"/>
        <v>0</v>
      </c>
      <c r="CA241" s="1989" t="e">
        <f>#REF!/10^7</f>
        <v>#REF!</v>
      </c>
      <c r="CB241" s="2003">
        <f t="shared" si="507"/>
        <v>0</v>
      </c>
      <c r="CC241" s="1989" t="e">
        <f>#REF!/10^7</f>
        <v>#REF!</v>
      </c>
      <c r="CD241" s="1989" t="e">
        <f>#REF!/10^7</f>
        <v>#REF!</v>
      </c>
      <c r="CE241" s="2002" t="e">
        <f t="shared" si="508"/>
        <v>#REF!</v>
      </c>
      <c r="CF241" s="1999" t="e">
        <f t="shared" ref="CF241:CF271" si="537">BY241+CA241+CC241+CD241</f>
        <v>#REF!</v>
      </c>
      <c r="CG241" s="1993" t="e">
        <f>#REF!</f>
        <v>#REF!</v>
      </c>
      <c r="CH241" s="2003">
        <f t="shared" si="509"/>
        <v>0</v>
      </c>
      <c r="CI241" s="1989" t="e">
        <f>#REF!/10^7</f>
        <v>#REF!</v>
      </c>
      <c r="CJ241" s="2003">
        <f t="shared" si="510"/>
        <v>0</v>
      </c>
      <c r="CK241" s="1989" t="e">
        <f>#REF!/10^7</f>
        <v>#REF!</v>
      </c>
      <c r="CL241" s="2003">
        <f t="shared" si="511"/>
        <v>0</v>
      </c>
      <c r="CM241" s="1989" t="e">
        <f>#REF!/10^7</f>
        <v>#REF!</v>
      </c>
      <c r="CN241" s="1989" t="e">
        <f>#REF!/10^7</f>
        <v>#REF!</v>
      </c>
      <c r="CO241" s="2002" t="e">
        <f t="shared" si="512"/>
        <v>#REF!</v>
      </c>
      <c r="CP241" s="1999" t="e">
        <f t="shared" ref="CP241:CP271" si="538">CI241+CK241+CM241+CN241</f>
        <v>#REF!</v>
      </c>
      <c r="CQ241" s="1993" t="e">
        <f>#REF!</f>
        <v>#REF!</v>
      </c>
      <c r="CR241" s="2003">
        <f t="shared" si="513"/>
        <v>0</v>
      </c>
      <c r="CS241" s="1989" t="e">
        <f>#REF!/10^7</f>
        <v>#REF!</v>
      </c>
      <c r="CT241" s="2003">
        <f t="shared" si="514"/>
        <v>0</v>
      </c>
      <c r="CU241" s="1989" t="e">
        <f>#REF!/10^7</f>
        <v>#REF!</v>
      </c>
      <c r="CV241" s="2003">
        <f t="shared" si="515"/>
        <v>0</v>
      </c>
      <c r="CW241" s="1989" t="e">
        <f>#REF!/10^7</f>
        <v>#REF!</v>
      </c>
      <c r="CX241" s="1989" t="e">
        <f>#REF!/10^7</f>
        <v>#REF!</v>
      </c>
      <c r="CY241" s="2002" t="e">
        <f t="shared" si="516"/>
        <v>#REF!</v>
      </c>
      <c r="CZ241" s="1999" t="e">
        <f t="shared" ref="CZ241:CZ271" si="539">CS241+CU241+CW241+CX241</f>
        <v>#REF!</v>
      </c>
      <c r="DA241" s="1993" t="e">
        <f>#REF!</f>
        <v>#REF!</v>
      </c>
      <c r="DB241" s="2003">
        <f t="shared" si="517"/>
        <v>0</v>
      </c>
      <c r="DC241" s="1989" t="e">
        <f>#REF!/10^7</f>
        <v>#REF!</v>
      </c>
      <c r="DD241" s="2003">
        <f t="shared" si="518"/>
        <v>0</v>
      </c>
      <c r="DE241" s="1989" t="e">
        <f>#REF!/10^7</f>
        <v>#REF!</v>
      </c>
      <c r="DF241" s="2003">
        <f t="shared" si="519"/>
        <v>0</v>
      </c>
      <c r="DG241" s="1989" t="e">
        <f>#REF!/10^7</f>
        <v>#REF!</v>
      </c>
      <c r="DH241" s="1989" t="e">
        <f>#REF!/10^7</f>
        <v>#REF!</v>
      </c>
      <c r="DI241" s="2002" t="e">
        <f t="shared" si="520"/>
        <v>#REF!</v>
      </c>
      <c r="DJ241" s="1999" t="e">
        <f t="shared" si="471"/>
        <v>#REF!</v>
      </c>
      <c r="DK241" s="1993" t="e">
        <f>#REF!</f>
        <v>#REF!</v>
      </c>
      <c r="DL241" s="2003">
        <f t="shared" si="521"/>
        <v>0</v>
      </c>
      <c r="DM241" s="1989" t="e">
        <f>#REF!/10^7</f>
        <v>#REF!</v>
      </c>
      <c r="DN241" s="2003">
        <f t="shared" si="522"/>
        <v>0</v>
      </c>
      <c r="DO241" s="1989" t="e">
        <f>#REF!/10^7</f>
        <v>#REF!</v>
      </c>
      <c r="DP241" s="2003">
        <f t="shared" si="523"/>
        <v>0</v>
      </c>
      <c r="DQ241" s="1989" t="e">
        <f>#REF!/10^7</f>
        <v>#REF!</v>
      </c>
      <c r="DR241" s="1989" t="e">
        <f>#REF!/10^7</f>
        <v>#REF!</v>
      </c>
      <c r="DS241" s="2002" t="e">
        <f t="shared" si="524"/>
        <v>#REF!</v>
      </c>
      <c r="DT241" s="2004" t="e">
        <f t="shared" si="472"/>
        <v>#REF!</v>
      </c>
      <c r="DU241" s="1988" t="e">
        <f>#REF!</f>
        <v>#REF!</v>
      </c>
      <c r="DV241" s="2003">
        <f t="shared" si="525"/>
        <v>0</v>
      </c>
      <c r="DW241" s="1989" t="e">
        <f>#REF!/10^7</f>
        <v>#REF!</v>
      </c>
      <c r="DX241" s="2003">
        <f t="shared" si="526"/>
        <v>0</v>
      </c>
      <c r="DY241" s="1989" t="e">
        <f>#REF!/10^7</f>
        <v>#REF!</v>
      </c>
      <c r="DZ241" s="2003">
        <f t="shared" si="527"/>
        <v>0</v>
      </c>
      <c r="EA241" s="1989" t="e">
        <f>#REF!/10^7</f>
        <v>#REF!</v>
      </c>
      <c r="EB241" s="1989" t="e">
        <f>#REF!/10^7</f>
        <v>#REF!</v>
      </c>
      <c r="EC241" s="2002" t="e">
        <f t="shared" si="528"/>
        <v>#REF!</v>
      </c>
      <c r="ED241" s="1998" t="e">
        <f t="shared" si="473"/>
        <v>#REF!</v>
      </c>
      <c r="EE241" s="2005" t="e">
        <f t="shared" si="475"/>
        <v>#REF!</v>
      </c>
      <c r="EF241" s="2003">
        <f t="shared" si="529"/>
        <v>0</v>
      </c>
      <c r="EG241" s="1989" t="e">
        <f t="shared" si="476"/>
        <v>#REF!</v>
      </c>
      <c r="EH241" s="2003">
        <f t="shared" si="530"/>
        <v>0</v>
      </c>
      <c r="EI241" s="1989" t="e">
        <f t="shared" si="477"/>
        <v>#REF!</v>
      </c>
      <c r="EJ241" s="2003">
        <f t="shared" si="531"/>
        <v>0</v>
      </c>
      <c r="EK241" s="1989" t="e">
        <f t="shared" si="534"/>
        <v>#REF!</v>
      </c>
      <c r="EL241" s="1989" t="e">
        <f t="shared" si="534"/>
        <v>#REF!</v>
      </c>
      <c r="EM241" s="2006" t="e">
        <f t="shared" si="532"/>
        <v>#REF!</v>
      </c>
      <c r="EN241" s="1999" t="e">
        <f t="shared" si="479"/>
        <v>#REF!</v>
      </c>
      <c r="EO241" s="1613">
        <v>4.6715809999999998</v>
      </c>
      <c r="EP241" s="1613" t="e">
        <f>EA241-#REF!/10^7</f>
        <v>#REF!</v>
      </c>
      <c r="ER241" s="1612" t="e">
        <f t="shared" si="480"/>
        <v>#REF!</v>
      </c>
      <c r="EW241" s="1611" t="e">
        <v>#N/A</v>
      </c>
      <c r="EX241" s="1612" t="e">
        <v>#N/A</v>
      </c>
      <c r="EZ241" s="1650">
        <f t="shared" si="533"/>
        <v>0</v>
      </c>
    </row>
    <row r="242" spans="1:156" ht="21" customHeight="1">
      <c r="A242" s="1652">
        <v>52</v>
      </c>
      <c r="B242" s="1701" t="s">
        <v>1910</v>
      </c>
      <c r="C242" s="1662">
        <v>9.8000000000000007</v>
      </c>
      <c r="D242" s="1646">
        <f>H242/C242*100</f>
        <v>100</v>
      </c>
      <c r="E242" s="1646"/>
      <c r="F242" s="1648" t="s">
        <v>1594</v>
      </c>
      <c r="G242" s="1648"/>
      <c r="H242" s="1648">
        <v>9.8000000000000007</v>
      </c>
      <c r="I242" s="1648" t="s">
        <v>1717</v>
      </c>
      <c r="J242" s="1649">
        <v>2</v>
      </c>
      <c r="K242" s="1648"/>
      <c r="L242" s="1648"/>
      <c r="M242" s="1648"/>
      <c r="N242" s="1642"/>
      <c r="O242" s="2000" t="e">
        <f>#REF!</f>
        <v>#REF!</v>
      </c>
      <c r="P242" s="2003">
        <f t="shared" si="481"/>
        <v>0</v>
      </c>
      <c r="Q242" s="1989" t="e">
        <f>#REF!/10^7</f>
        <v>#REF!</v>
      </c>
      <c r="R242" s="2003">
        <f t="shared" si="482"/>
        <v>0</v>
      </c>
      <c r="S242" s="1989" t="e">
        <f>#REF!/10^7</f>
        <v>#REF!</v>
      </c>
      <c r="T242" s="2003">
        <f t="shared" si="483"/>
        <v>0</v>
      </c>
      <c r="U242" s="1989" t="e">
        <f>#REF!/10^7</f>
        <v>#REF!</v>
      </c>
      <c r="V242" s="1989" t="e">
        <f>#REF!/10^7</f>
        <v>#REF!</v>
      </c>
      <c r="W242" s="1989">
        <f t="shared" si="484"/>
        <v>0</v>
      </c>
      <c r="X242" s="1999" t="e">
        <f t="shared" si="467"/>
        <v>#REF!</v>
      </c>
      <c r="Y242" s="1993" t="e">
        <f>#REF!</f>
        <v>#REF!</v>
      </c>
      <c r="Z242" s="2003">
        <f t="shared" si="485"/>
        <v>0</v>
      </c>
      <c r="AA242" s="1989" t="e">
        <f>#REF!/10^7</f>
        <v>#REF!</v>
      </c>
      <c r="AB242" s="2003">
        <f t="shared" si="486"/>
        <v>0</v>
      </c>
      <c r="AC242" s="1989" t="e">
        <f>#REF!/10^7</f>
        <v>#REF!</v>
      </c>
      <c r="AD242" s="2003">
        <f t="shared" si="487"/>
        <v>0</v>
      </c>
      <c r="AE242" s="1989" t="e">
        <f>#REF!/10^7</f>
        <v>#REF!</v>
      </c>
      <c r="AF242" s="1989" t="e">
        <f>#REF!/10^7</f>
        <v>#REF!</v>
      </c>
      <c r="AG242" s="2002" t="e">
        <f t="shared" si="488"/>
        <v>#REF!</v>
      </c>
      <c r="AH242" s="1999" t="e">
        <f t="shared" si="468"/>
        <v>#REF!</v>
      </c>
      <c r="AI242" s="1993" t="e">
        <f>#REF!</f>
        <v>#REF!</v>
      </c>
      <c r="AJ242" s="2003">
        <f t="shared" si="489"/>
        <v>0</v>
      </c>
      <c r="AK242" s="1989" t="e">
        <f>#REF!/10^7</f>
        <v>#REF!</v>
      </c>
      <c r="AL242" s="2003">
        <f t="shared" si="490"/>
        <v>0</v>
      </c>
      <c r="AM242" s="1989" t="e">
        <f>#REF!/10^7</f>
        <v>#REF!</v>
      </c>
      <c r="AN242" s="2003">
        <f t="shared" si="491"/>
        <v>0</v>
      </c>
      <c r="AO242" s="1989" t="e">
        <f>#REF!/10^7</f>
        <v>#REF!</v>
      </c>
      <c r="AP242" s="1989" t="e">
        <f>#REF!/10^7</f>
        <v>#REF!</v>
      </c>
      <c r="AQ242" s="2002" t="e">
        <f t="shared" si="492"/>
        <v>#REF!</v>
      </c>
      <c r="AR242" s="1999" t="e">
        <f t="shared" si="469"/>
        <v>#REF!</v>
      </c>
      <c r="AS242" s="1993" t="e">
        <f>#REF!</f>
        <v>#REF!</v>
      </c>
      <c r="AT242" s="2003">
        <f t="shared" si="493"/>
        <v>0</v>
      </c>
      <c r="AU242" s="1989" t="e">
        <f>#REF!/10^7</f>
        <v>#REF!</v>
      </c>
      <c r="AV242" s="2003">
        <f t="shared" si="494"/>
        <v>0</v>
      </c>
      <c r="AW242" s="1989" t="e">
        <f>#REF!/10^7</f>
        <v>#REF!</v>
      </c>
      <c r="AX242" s="2003">
        <f t="shared" si="495"/>
        <v>0</v>
      </c>
      <c r="AY242" s="1989" t="e">
        <f>#REF!/10^7</f>
        <v>#REF!</v>
      </c>
      <c r="AZ242" s="1989" t="e">
        <f>#REF!/10^7</f>
        <v>#REF!</v>
      </c>
      <c r="BA242" s="2002" t="e">
        <f t="shared" si="496"/>
        <v>#REF!</v>
      </c>
      <c r="BB242" s="1999" t="e">
        <f t="shared" si="470"/>
        <v>#REF!</v>
      </c>
      <c r="BC242" s="1993" t="e">
        <f>#REF!</f>
        <v>#REF!</v>
      </c>
      <c r="BD242" s="2003">
        <f t="shared" si="497"/>
        <v>0</v>
      </c>
      <c r="BE242" s="1989" t="e">
        <f>#REF!/10^7</f>
        <v>#REF!</v>
      </c>
      <c r="BF242" s="2003">
        <f t="shared" si="498"/>
        <v>0</v>
      </c>
      <c r="BG242" s="1989" t="e">
        <f>#REF!/10^7</f>
        <v>#REF!</v>
      </c>
      <c r="BH242" s="2003">
        <f t="shared" si="499"/>
        <v>0</v>
      </c>
      <c r="BI242" s="1989" t="e">
        <f>#REF!/10^7</f>
        <v>#REF!</v>
      </c>
      <c r="BJ242" s="1989" t="e">
        <f>#REF!/10^7</f>
        <v>#REF!</v>
      </c>
      <c r="BK242" s="2002" t="e">
        <f t="shared" si="500"/>
        <v>#REF!</v>
      </c>
      <c r="BL242" s="1999" t="e">
        <f t="shared" si="535"/>
        <v>#REF!</v>
      </c>
      <c r="BM242" s="1993" t="e">
        <f>#REF!</f>
        <v>#REF!</v>
      </c>
      <c r="BN242" s="2003">
        <f t="shared" si="501"/>
        <v>0</v>
      </c>
      <c r="BO242" s="1989" t="e">
        <f>#REF!/10^7</f>
        <v>#REF!</v>
      </c>
      <c r="BP242" s="2003">
        <f t="shared" si="502"/>
        <v>0</v>
      </c>
      <c r="BQ242" s="1989" t="e">
        <f>#REF!/10^7</f>
        <v>#REF!</v>
      </c>
      <c r="BR242" s="2003">
        <f t="shared" si="503"/>
        <v>0</v>
      </c>
      <c r="BS242" s="1989" t="e">
        <f>#REF!/10^7</f>
        <v>#REF!</v>
      </c>
      <c r="BT242" s="1989" t="e">
        <f>#REF!/10^7</f>
        <v>#REF!</v>
      </c>
      <c r="BU242" s="2002" t="e">
        <f t="shared" si="504"/>
        <v>#REF!</v>
      </c>
      <c r="BV242" s="1999" t="e">
        <f t="shared" si="536"/>
        <v>#REF!</v>
      </c>
      <c r="BW242" s="1993" t="e">
        <f>#REF!</f>
        <v>#REF!</v>
      </c>
      <c r="BX242" s="2003">
        <f t="shared" si="505"/>
        <v>0</v>
      </c>
      <c r="BY242" s="1989" t="e">
        <f>#REF!/10^7</f>
        <v>#REF!</v>
      </c>
      <c r="BZ242" s="2003">
        <f t="shared" si="506"/>
        <v>0</v>
      </c>
      <c r="CA242" s="1989" t="e">
        <f>#REF!/10^7</f>
        <v>#REF!</v>
      </c>
      <c r="CB242" s="2003">
        <f t="shared" si="507"/>
        <v>0</v>
      </c>
      <c r="CC242" s="1989" t="e">
        <f>#REF!/10^7</f>
        <v>#REF!</v>
      </c>
      <c r="CD242" s="1989" t="e">
        <f>#REF!/10^7</f>
        <v>#REF!</v>
      </c>
      <c r="CE242" s="2002" t="e">
        <f t="shared" si="508"/>
        <v>#REF!</v>
      </c>
      <c r="CF242" s="1999" t="e">
        <f t="shared" si="537"/>
        <v>#REF!</v>
      </c>
      <c r="CG242" s="1993" t="e">
        <f>#REF!</f>
        <v>#REF!</v>
      </c>
      <c r="CH242" s="2003">
        <f t="shared" si="509"/>
        <v>0</v>
      </c>
      <c r="CI242" s="1989" t="e">
        <f>#REF!/10^7</f>
        <v>#REF!</v>
      </c>
      <c r="CJ242" s="2003">
        <f t="shared" si="510"/>
        <v>0</v>
      </c>
      <c r="CK242" s="1989" t="e">
        <f>#REF!/10^7</f>
        <v>#REF!</v>
      </c>
      <c r="CL242" s="2003">
        <f t="shared" si="511"/>
        <v>0</v>
      </c>
      <c r="CM242" s="1989" t="e">
        <f>#REF!/10^7</f>
        <v>#REF!</v>
      </c>
      <c r="CN242" s="1989" t="e">
        <f>#REF!/10^7</f>
        <v>#REF!</v>
      </c>
      <c r="CO242" s="2002" t="e">
        <f t="shared" si="512"/>
        <v>#REF!</v>
      </c>
      <c r="CP242" s="1999" t="e">
        <f t="shared" si="538"/>
        <v>#REF!</v>
      </c>
      <c r="CQ242" s="1993" t="e">
        <f>#REF!</f>
        <v>#REF!</v>
      </c>
      <c r="CR242" s="2003">
        <f t="shared" si="513"/>
        <v>0</v>
      </c>
      <c r="CS242" s="1989" t="e">
        <f>#REF!/10^7</f>
        <v>#REF!</v>
      </c>
      <c r="CT242" s="2003">
        <f t="shared" si="514"/>
        <v>0</v>
      </c>
      <c r="CU242" s="1989" t="e">
        <f>#REF!/10^7</f>
        <v>#REF!</v>
      </c>
      <c r="CV242" s="2003">
        <f t="shared" si="515"/>
        <v>0</v>
      </c>
      <c r="CW242" s="1989" t="e">
        <f>#REF!/10^7</f>
        <v>#REF!</v>
      </c>
      <c r="CX242" s="1989" t="e">
        <f>#REF!/10^7</f>
        <v>#REF!</v>
      </c>
      <c r="CY242" s="2002" t="e">
        <f t="shared" si="516"/>
        <v>#REF!</v>
      </c>
      <c r="CZ242" s="1999" t="e">
        <f t="shared" si="539"/>
        <v>#REF!</v>
      </c>
      <c r="DA242" s="1993" t="e">
        <f>#REF!</f>
        <v>#REF!</v>
      </c>
      <c r="DB242" s="2003">
        <f t="shared" si="517"/>
        <v>0</v>
      </c>
      <c r="DC242" s="1989" t="e">
        <f>#REF!/10^7</f>
        <v>#REF!</v>
      </c>
      <c r="DD242" s="2003">
        <f t="shared" si="518"/>
        <v>0</v>
      </c>
      <c r="DE242" s="1989" t="e">
        <f>#REF!/10^7</f>
        <v>#REF!</v>
      </c>
      <c r="DF242" s="2003">
        <f t="shared" si="519"/>
        <v>0</v>
      </c>
      <c r="DG242" s="1989" t="e">
        <f>#REF!/10^7</f>
        <v>#REF!</v>
      </c>
      <c r="DH242" s="1989" t="e">
        <f>#REF!/10^7</f>
        <v>#REF!</v>
      </c>
      <c r="DI242" s="2002" t="e">
        <f t="shared" si="520"/>
        <v>#REF!</v>
      </c>
      <c r="DJ242" s="1999" t="e">
        <f t="shared" si="471"/>
        <v>#REF!</v>
      </c>
      <c r="DK242" s="1993" t="e">
        <f>#REF!</f>
        <v>#REF!</v>
      </c>
      <c r="DL242" s="2003">
        <f t="shared" si="521"/>
        <v>0</v>
      </c>
      <c r="DM242" s="1989" t="e">
        <f>#REF!/10^7</f>
        <v>#REF!</v>
      </c>
      <c r="DN242" s="2003">
        <f t="shared" si="522"/>
        <v>0</v>
      </c>
      <c r="DO242" s="1989" t="e">
        <f>#REF!/10^7</f>
        <v>#REF!</v>
      </c>
      <c r="DP242" s="2003">
        <f t="shared" si="523"/>
        <v>0</v>
      </c>
      <c r="DQ242" s="1989" t="e">
        <f>#REF!/10^7</f>
        <v>#REF!</v>
      </c>
      <c r="DR242" s="1989" t="e">
        <f>#REF!/10^7</f>
        <v>#REF!</v>
      </c>
      <c r="DS242" s="2002" t="e">
        <f t="shared" si="524"/>
        <v>#REF!</v>
      </c>
      <c r="DT242" s="2004" t="e">
        <f t="shared" si="472"/>
        <v>#REF!</v>
      </c>
      <c r="DU242" s="1988" t="e">
        <f>#REF!</f>
        <v>#REF!</v>
      </c>
      <c r="DV242" s="2003">
        <f t="shared" si="525"/>
        <v>0</v>
      </c>
      <c r="DW242" s="1989" t="e">
        <f>#REF!/10^7</f>
        <v>#REF!</v>
      </c>
      <c r="DX242" s="2003">
        <f t="shared" si="526"/>
        <v>0</v>
      </c>
      <c r="DY242" s="1989" t="e">
        <f>#REF!/10^7</f>
        <v>#REF!</v>
      </c>
      <c r="DZ242" s="2003">
        <f t="shared" si="527"/>
        <v>0</v>
      </c>
      <c r="EA242" s="1989" t="e">
        <f>#REF!/10^7</f>
        <v>#REF!</v>
      </c>
      <c r="EB242" s="1989" t="e">
        <f>#REF!/10^7</f>
        <v>#REF!</v>
      </c>
      <c r="EC242" s="2002" t="e">
        <f t="shared" si="528"/>
        <v>#REF!</v>
      </c>
      <c r="ED242" s="1998" t="e">
        <f t="shared" si="473"/>
        <v>#REF!</v>
      </c>
      <c r="EE242" s="2005" t="e">
        <f t="shared" si="475"/>
        <v>#REF!</v>
      </c>
      <c r="EF242" s="2003">
        <f t="shared" si="529"/>
        <v>0</v>
      </c>
      <c r="EG242" s="1989" t="e">
        <f t="shared" si="476"/>
        <v>#REF!</v>
      </c>
      <c r="EH242" s="2003">
        <f t="shared" si="530"/>
        <v>0</v>
      </c>
      <c r="EI242" s="1989" t="e">
        <f t="shared" si="477"/>
        <v>#REF!</v>
      </c>
      <c r="EJ242" s="2003">
        <f t="shared" si="531"/>
        <v>0</v>
      </c>
      <c r="EK242" s="1989" t="e">
        <f t="shared" si="534"/>
        <v>#REF!</v>
      </c>
      <c r="EL242" s="1989" t="e">
        <f t="shared" si="534"/>
        <v>#REF!</v>
      </c>
      <c r="EM242" s="2006" t="e">
        <f t="shared" si="532"/>
        <v>#REF!</v>
      </c>
      <c r="EN242" s="1999" t="e">
        <f t="shared" si="479"/>
        <v>#REF!</v>
      </c>
      <c r="EO242" s="1613">
        <v>25.840720000000001</v>
      </c>
      <c r="EP242" s="1613" t="e">
        <f>EA242-#REF!/10^7</f>
        <v>#REF!</v>
      </c>
      <c r="ER242" s="1612" t="e">
        <f t="shared" si="480"/>
        <v>#REF!</v>
      </c>
      <c r="EW242" s="1611" t="e">
        <v>#N/A</v>
      </c>
      <c r="EX242" s="1612" t="e">
        <v>#N/A</v>
      </c>
      <c r="EZ242" s="1650">
        <f t="shared" si="533"/>
        <v>0</v>
      </c>
    </row>
    <row r="243" spans="1:156" ht="21" customHeight="1">
      <c r="A243" s="1652">
        <v>53</v>
      </c>
      <c r="B243" s="1701" t="s">
        <v>1911</v>
      </c>
      <c r="C243" s="1662"/>
      <c r="D243" s="1648"/>
      <c r="E243" s="1648"/>
      <c r="F243" s="1648"/>
      <c r="G243" s="1648"/>
      <c r="H243" s="1648"/>
      <c r="I243" s="1648" t="s">
        <v>1717</v>
      </c>
      <c r="J243" s="1649">
        <v>2</v>
      </c>
      <c r="K243" s="1648"/>
      <c r="L243" s="1648"/>
      <c r="M243" s="1648"/>
      <c r="N243" s="1642"/>
      <c r="O243" s="2000" t="e">
        <f>#REF!</f>
        <v>#REF!</v>
      </c>
      <c r="P243" s="2003">
        <f t="shared" si="481"/>
        <v>0</v>
      </c>
      <c r="Q243" s="1989" t="e">
        <f>#REF!/10^7</f>
        <v>#REF!</v>
      </c>
      <c r="R243" s="2003">
        <f t="shared" si="482"/>
        <v>0</v>
      </c>
      <c r="S243" s="1989" t="e">
        <f>#REF!/10^7</f>
        <v>#REF!</v>
      </c>
      <c r="T243" s="2003">
        <f t="shared" si="483"/>
        <v>0</v>
      </c>
      <c r="U243" s="1989" t="e">
        <f>#REF!/10^7</f>
        <v>#REF!</v>
      </c>
      <c r="V243" s="1989" t="e">
        <f>#REF!/10^7</f>
        <v>#REF!</v>
      </c>
      <c r="W243" s="1989">
        <f t="shared" si="484"/>
        <v>0</v>
      </c>
      <c r="X243" s="1999" t="e">
        <f t="shared" si="467"/>
        <v>#REF!</v>
      </c>
      <c r="Y243" s="1993" t="e">
        <f>#REF!</f>
        <v>#REF!</v>
      </c>
      <c r="Z243" s="2003">
        <f t="shared" si="485"/>
        <v>0</v>
      </c>
      <c r="AA243" s="1989" t="e">
        <f>#REF!/10^7</f>
        <v>#REF!</v>
      </c>
      <c r="AB243" s="2003">
        <f t="shared" si="486"/>
        <v>0</v>
      </c>
      <c r="AC243" s="1989" t="e">
        <f>#REF!/10^7</f>
        <v>#REF!</v>
      </c>
      <c r="AD243" s="2003">
        <f t="shared" si="487"/>
        <v>0</v>
      </c>
      <c r="AE243" s="1989" t="e">
        <f>#REF!/10^7</f>
        <v>#REF!</v>
      </c>
      <c r="AF243" s="1989" t="e">
        <f>#REF!/10^7</f>
        <v>#REF!</v>
      </c>
      <c r="AG243" s="2002" t="e">
        <f t="shared" si="488"/>
        <v>#REF!</v>
      </c>
      <c r="AH243" s="1999" t="e">
        <f t="shared" si="468"/>
        <v>#REF!</v>
      </c>
      <c r="AI243" s="1993" t="e">
        <f>#REF!</f>
        <v>#REF!</v>
      </c>
      <c r="AJ243" s="2003">
        <f t="shared" si="489"/>
        <v>0</v>
      </c>
      <c r="AK243" s="1989" t="e">
        <f>#REF!/10^7</f>
        <v>#REF!</v>
      </c>
      <c r="AL243" s="2003">
        <f t="shared" si="490"/>
        <v>0</v>
      </c>
      <c r="AM243" s="1989" t="e">
        <f>#REF!/10^7</f>
        <v>#REF!</v>
      </c>
      <c r="AN243" s="2003">
        <f t="shared" si="491"/>
        <v>0</v>
      </c>
      <c r="AO243" s="1989" t="e">
        <f>#REF!/10^7</f>
        <v>#REF!</v>
      </c>
      <c r="AP243" s="1989" t="e">
        <f>#REF!/10^7</f>
        <v>#REF!</v>
      </c>
      <c r="AQ243" s="2002" t="e">
        <f t="shared" si="492"/>
        <v>#REF!</v>
      </c>
      <c r="AR243" s="1999" t="e">
        <f t="shared" si="469"/>
        <v>#REF!</v>
      </c>
      <c r="AS243" s="1993" t="e">
        <f>#REF!</f>
        <v>#REF!</v>
      </c>
      <c r="AT243" s="2003">
        <f t="shared" si="493"/>
        <v>0</v>
      </c>
      <c r="AU243" s="1989" t="e">
        <f>#REF!/10^7</f>
        <v>#REF!</v>
      </c>
      <c r="AV243" s="2003">
        <f t="shared" si="494"/>
        <v>0</v>
      </c>
      <c r="AW243" s="1989" t="e">
        <f>#REF!/10^7</f>
        <v>#REF!</v>
      </c>
      <c r="AX243" s="2003">
        <f t="shared" si="495"/>
        <v>0</v>
      </c>
      <c r="AY243" s="1989" t="e">
        <f>#REF!/10^7</f>
        <v>#REF!</v>
      </c>
      <c r="AZ243" s="1989" t="e">
        <f>#REF!/10^7</f>
        <v>#REF!</v>
      </c>
      <c r="BA243" s="2002" t="e">
        <f t="shared" si="496"/>
        <v>#REF!</v>
      </c>
      <c r="BB243" s="1999" t="e">
        <f t="shared" si="470"/>
        <v>#REF!</v>
      </c>
      <c r="BC243" s="1993" t="e">
        <f>#REF!</f>
        <v>#REF!</v>
      </c>
      <c r="BD243" s="2003">
        <f t="shared" si="497"/>
        <v>0</v>
      </c>
      <c r="BE243" s="1989" t="e">
        <f>#REF!/10^7</f>
        <v>#REF!</v>
      </c>
      <c r="BF243" s="2003">
        <f t="shared" si="498"/>
        <v>0</v>
      </c>
      <c r="BG243" s="1989" t="e">
        <f>#REF!/10^7</f>
        <v>#REF!</v>
      </c>
      <c r="BH243" s="2003">
        <f t="shared" si="499"/>
        <v>0</v>
      </c>
      <c r="BI243" s="1989" t="e">
        <f>#REF!/10^7</f>
        <v>#REF!</v>
      </c>
      <c r="BJ243" s="1989" t="e">
        <f>#REF!/10^7</f>
        <v>#REF!</v>
      </c>
      <c r="BK243" s="2002" t="e">
        <f t="shared" si="500"/>
        <v>#REF!</v>
      </c>
      <c r="BL243" s="1999" t="e">
        <f t="shared" si="535"/>
        <v>#REF!</v>
      </c>
      <c r="BM243" s="1993" t="e">
        <f>#REF!</f>
        <v>#REF!</v>
      </c>
      <c r="BN243" s="2003">
        <f t="shared" si="501"/>
        <v>0</v>
      </c>
      <c r="BO243" s="1989" t="e">
        <f>#REF!/10^7</f>
        <v>#REF!</v>
      </c>
      <c r="BP243" s="2003">
        <f t="shared" si="502"/>
        <v>0</v>
      </c>
      <c r="BQ243" s="1989" t="e">
        <f>#REF!/10^7</f>
        <v>#REF!</v>
      </c>
      <c r="BR243" s="2003">
        <f t="shared" si="503"/>
        <v>0</v>
      </c>
      <c r="BS243" s="1989" t="e">
        <f>#REF!/10^7</f>
        <v>#REF!</v>
      </c>
      <c r="BT243" s="1989" t="e">
        <f>#REF!/10^7</f>
        <v>#REF!</v>
      </c>
      <c r="BU243" s="2002" t="e">
        <f t="shared" si="504"/>
        <v>#REF!</v>
      </c>
      <c r="BV243" s="1999" t="e">
        <f t="shared" si="536"/>
        <v>#REF!</v>
      </c>
      <c r="BW243" s="1993" t="e">
        <f>#REF!</f>
        <v>#REF!</v>
      </c>
      <c r="BX243" s="2003">
        <f t="shared" si="505"/>
        <v>0</v>
      </c>
      <c r="BY243" s="1989" t="e">
        <f>#REF!/10^7</f>
        <v>#REF!</v>
      </c>
      <c r="BZ243" s="2003">
        <f t="shared" si="506"/>
        <v>0</v>
      </c>
      <c r="CA243" s="1989" t="e">
        <f>#REF!/10^7</f>
        <v>#REF!</v>
      </c>
      <c r="CB243" s="2003">
        <f t="shared" si="507"/>
        <v>0</v>
      </c>
      <c r="CC243" s="1989" t="e">
        <f>#REF!/10^7</f>
        <v>#REF!</v>
      </c>
      <c r="CD243" s="1989" t="e">
        <f>#REF!/10^7</f>
        <v>#REF!</v>
      </c>
      <c r="CE243" s="2002" t="e">
        <f t="shared" si="508"/>
        <v>#REF!</v>
      </c>
      <c r="CF243" s="1999" t="e">
        <f t="shared" si="537"/>
        <v>#REF!</v>
      </c>
      <c r="CG243" s="1993" t="e">
        <f>#REF!</f>
        <v>#REF!</v>
      </c>
      <c r="CH243" s="2003">
        <f t="shared" si="509"/>
        <v>0</v>
      </c>
      <c r="CI243" s="1989" t="e">
        <f>#REF!/10^7</f>
        <v>#REF!</v>
      </c>
      <c r="CJ243" s="2003">
        <f t="shared" si="510"/>
        <v>0</v>
      </c>
      <c r="CK243" s="1989" t="e">
        <f>#REF!/10^7</f>
        <v>#REF!</v>
      </c>
      <c r="CL243" s="2003">
        <f t="shared" si="511"/>
        <v>0</v>
      </c>
      <c r="CM243" s="1989" t="e">
        <f>#REF!/10^7</f>
        <v>#REF!</v>
      </c>
      <c r="CN243" s="1989" t="e">
        <f>#REF!/10^7</f>
        <v>#REF!</v>
      </c>
      <c r="CO243" s="2002" t="e">
        <f t="shared" si="512"/>
        <v>#REF!</v>
      </c>
      <c r="CP243" s="1999" t="e">
        <f t="shared" si="538"/>
        <v>#REF!</v>
      </c>
      <c r="CQ243" s="1993" t="e">
        <f>#REF!</f>
        <v>#REF!</v>
      </c>
      <c r="CR243" s="2003">
        <f t="shared" si="513"/>
        <v>0</v>
      </c>
      <c r="CS243" s="1989" t="e">
        <f>#REF!/10^7</f>
        <v>#REF!</v>
      </c>
      <c r="CT243" s="2003">
        <f t="shared" si="514"/>
        <v>0</v>
      </c>
      <c r="CU243" s="1989" t="e">
        <f>#REF!/10^7</f>
        <v>#REF!</v>
      </c>
      <c r="CV243" s="2003">
        <f t="shared" si="515"/>
        <v>0</v>
      </c>
      <c r="CW243" s="1989" t="e">
        <f>#REF!/10^7</f>
        <v>#REF!</v>
      </c>
      <c r="CX243" s="1989" t="e">
        <f>#REF!/10^7</f>
        <v>#REF!</v>
      </c>
      <c r="CY243" s="2002" t="e">
        <f t="shared" si="516"/>
        <v>#REF!</v>
      </c>
      <c r="CZ243" s="1999" t="e">
        <f t="shared" si="539"/>
        <v>#REF!</v>
      </c>
      <c r="DA243" s="1993" t="e">
        <f>#REF!</f>
        <v>#REF!</v>
      </c>
      <c r="DB243" s="2003">
        <f t="shared" si="517"/>
        <v>0</v>
      </c>
      <c r="DC243" s="1989" t="e">
        <f>#REF!/10^7</f>
        <v>#REF!</v>
      </c>
      <c r="DD243" s="2003">
        <f t="shared" si="518"/>
        <v>0</v>
      </c>
      <c r="DE243" s="1989" t="e">
        <f>#REF!/10^7</f>
        <v>#REF!</v>
      </c>
      <c r="DF243" s="2003">
        <f t="shared" si="519"/>
        <v>0</v>
      </c>
      <c r="DG243" s="1989" t="e">
        <f>#REF!/10^7</f>
        <v>#REF!</v>
      </c>
      <c r="DH243" s="1989" t="e">
        <f>#REF!/10^7</f>
        <v>#REF!</v>
      </c>
      <c r="DI243" s="2002" t="e">
        <f t="shared" si="520"/>
        <v>#REF!</v>
      </c>
      <c r="DJ243" s="1999" t="e">
        <f t="shared" si="471"/>
        <v>#REF!</v>
      </c>
      <c r="DK243" s="1993" t="e">
        <f>#REF!</f>
        <v>#REF!</v>
      </c>
      <c r="DL243" s="2003">
        <f t="shared" si="521"/>
        <v>0</v>
      </c>
      <c r="DM243" s="1989" t="e">
        <f>#REF!/10^7</f>
        <v>#REF!</v>
      </c>
      <c r="DN243" s="2003">
        <f t="shared" si="522"/>
        <v>0</v>
      </c>
      <c r="DO243" s="1989" t="e">
        <f>#REF!/10^7</f>
        <v>#REF!</v>
      </c>
      <c r="DP243" s="2003">
        <f t="shared" si="523"/>
        <v>0</v>
      </c>
      <c r="DQ243" s="1989" t="e">
        <f>#REF!/10^7</f>
        <v>#REF!</v>
      </c>
      <c r="DR243" s="1989" t="e">
        <f>#REF!/10^7</f>
        <v>#REF!</v>
      </c>
      <c r="DS243" s="2002" t="e">
        <f t="shared" si="524"/>
        <v>#REF!</v>
      </c>
      <c r="DT243" s="2004" t="e">
        <f t="shared" si="472"/>
        <v>#REF!</v>
      </c>
      <c r="DU243" s="1988" t="e">
        <f>#REF!</f>
        <v>#REF!</v>
      </c>
      <c r="DV243" s="2003">
        <f t="shared" si="525"/>
        <v>0</v>
      </c>
      <c r="DW243" s="1989" t="e">
        <f>#REF!/10^7</f>
        <v>#REF!</v>
      </c>
      <c r="DX243" s="2003">
        <f t="shared" si="526"/>
        <v>0</v>
      </c>
      <c r="DY243" s="1989" t="e">
        <f>#REF!/10^7</f>
        <v>#REF!</v>
      </c>
      <c r="DZ243" s="2003">
        <f t="shared" si="527"/>
        <v>0</v>
      </c>
      <c r="EA243" s="1989" t="e">
        <f>#REF!/10^7</f>
        <v>#REF!</v>
      </c>
      <c r="EB243" s="1989" t="e">
        <f>#REF!/10^7</f>
        <v>#REF!</v>
      </c>
      <c r="EC243" s="2002" t="e">
        <f t="shared" si="528"/>
        <v>#REF!</v>
      </c>
      <c r="ED243" s="1998" t="e">
        <f t="shared" si="473"/>
        <v>#REF!</v>
      </c>
      <c r="EE243" s="2005" t="e">
        <f t="shared" si="475"/>
        <v>#REF!</v>
      </c>
      <c r="EF243" s="2003">
        <f t="shared" si="529"/>
        <v>0</v>
      </c>
      <c r="EG243" s="1989" t="e">
        <f t="shared" si="476"/>
        <v>#REF!</v>
      </c>
      <c r="EH243" s="2003">
        <f t="shared" si="530"/>
        <v>0</v>
      </c>
      <c r="EI243" s="1989" t="e">
        <f t="shared" si="477"/>
        <v>#REF!</v>
      </c>
      <c r="EJ243" s="2003">
        <f t="shared" si="531"/>
        <v>0</v>
      </c>
      <c r="EK243" s="1989" t="e">
        <f t="shared" si="534"/>
        <v>#REF!</v>
      </c>
      <c r="EL243" s="1989" t="e">
        <f t="shared" si="534"/>
        <v>#REF!</v>
      </c>
      <c r="EM243" s="2006" t="e">
        <f t="shared" si="532"/>
        <v>#REF!</v>
      </c>
      <c r="EN243" s="1999" t="e">
        <f t="shared" si="479"/>
        <v>#REF!</v>
      </c>
      <c r="EO243" s="1613">
        <v>46.154055469999996</v>
      </c>
      <c r="EP243" s="1613" t="e">
        <f>EA243-#REF!/10^7</f>
        <v>#REF!</v>
      </c>
      <c r="ER243" s="1612" t="e">
        <f t="shared" si="480"/>
        <v>#REF!</v>
      </c>
      <c r="EW243" s="1611" t="e">
        <v>#N/A</v>
      </c>
      <c r="EX243" s="1612" t="e">
        <v>#N/A</v>
      </c>
      <c r="EZ243" s="1650">
        <f t="shared" si="533"/>
        <v>0</v>
      </c>
    </row>
    <row r="244" spans="1:156" ht="21" customHeight="1">
      <c r="A244" s="1652">
        <v>54</v>
      </c>
      <c r="B244" s="1701" t="s">
        <v>1912</v>
      </c>
      <c r="C244" s="1662">
        <v>27</v>
      </c>
      <c r="D244" s="1646">
        <f t="shared" ref="D244:D260" si="540">H244/C244*100</f>
        <v>100</v>
      </c>
      <c r="E244" s="1646"/>
      <c r="F244" s="1648" t="s">
        <v>1594</v>
      </c>
      <c r="G244" s="1648"/>
      <c r="H244" s="1648">
        <v>27</v>
      </c>
      <c r="I244" s="1648" t="s">
        <v>1717</v>
      </c>
      <c r="J244" s="1649">
        <v>2</v>
      </c>
      <c r="K244" s="1648"/>
      <c r="L244" s="1648"/>
      <c r="M244" s="1648"/>
      <c r="N244" s="1642"/>
      <c r="O244" s="2000" t="e">
        <f>#REF!</f>
        <v>#REF!</v>
      </c>
      <c r="P244" s="2003">
        <f t="shared" si="481"/>
        <v>0</v>
      </c>
      <c r="Q244" s="1989" t="e">
        <f>#REF!/10^7</f>
        <v>#REF!</v>
      </c>
      <c r="R244" s="2003">
        <f t="shared" si="482"/>
        <v>0</v>
      </c>
      <c r="S244" s="1989" t="e">
        <f>#REF!/10^7</f>
        <v>#REF!</v>
      </c>
      <c r="T244" s="2003">
        <f t="shared" si="483"/>
        <v>0</v>
      </c>
      <c r="U244" s="1989" t="e">
        <f>#REF!/10^7</f>
        <v>#REF!</v>
      </c>
      <c r="V244" s="1989" t="e">
        <f>#REF!/10^7</f>
        <v>#REF!</v>
      </c>
      <c r="W244" s="1989">
        <f t="shared" si="484"/>
        <v>0</v>
      </c>
      <c r="X244" s="1999" t="e">
        <f t="shared" si="467"/>
        <v>#REF!</v>
      </c>
      <c r="Y244" s="1993" t="e">
        <f>#REF!</f>
        <v>#REF!</v>
      </c>
      <c r="Z244" s="2003">
        <f t="shared" si="485"/>
        <v>0</v>
      </c>
      <c r="AA244" s="1989" t="e">
        <f>#REF!/10^7</f>
        <v>#REF!</v>
      </c>
      <c r="AB244" s="2003">
        <f t="shared" si="486"/>
        <v>0</v>
      </c>
      <c r="AC244" s="1989" t="e">
        <f>#REF!/10^7</f>
        <v>#REF!</v>
      </c>
      <c r="AD244" s="2003">
        <f t="shared" si="487"/>
        <v>0</v>
      </c>
      <c r="AE244" s="1989" t="e">
        <f>#REF!/10^7</f>
        <v>#REF!</v>
      </c>
      <c r="AF244" s="1989" t="e">
        <f>#REF!/10^7</f>
        <v>#REF!</v>
      </c>
      <c r="AG244" s="2002" t="e">
        <f t="shared" si="488"/>
        <v>#REF!</v>
      </c>
      <c r="AH244" s="1999" t="e">
        <f t="shared" si="468"/>
        <v>#REF!</v>
      </c>
      <c r="AI244" s="1993" t="e">
        <f>#REF!</f>
        <v>#REF!</v>
      </c>
      <c r="AJ244" s="2003">
        <f t="shared" si="489"/>
        <v>0</v>
      </c>
      <c r="AK244" s="1989" t="e">
        <f>#REF!/10^7</f>
        <v>#REF!</v>
      </c>
      <c r="AL244" s="2003">
        <f t="shared" si="490"/>
        <v>0</v>
      </c>
      <c r="AM244" s="1989" t="e">
        <f>#REF!/10^7</f>
        <v>#REF!</v>
      </c>
      <c r="AN244" s="2003">
        <f t="shared" si="491"/>
        <v>0</v>
      </c>
      <c r="AO244" s="1989" t="e">
        <f>#REF!/10^7</f>
        <v>#REF!</v>
      </c>
      <c r="AP244" s="1989" t="e">
        <f>#REF!/10^7</f>
        <v>#REF!</v>
      </c>
      <c r="AQ244" s="2002" t="e">
        <f t="shared" si="492"/>
        <v>#REF!</v>
      </c>
      <c r="AR244" s="1999" t="e">
        <f t="shared" si="469"/>
        <v>#REF!</v>
      </c>
      <c r="AS244" s="1993" t="e">
        <f>#REF!</f>
        <v>#REF!</v>
      </c>
      <c r="AT244" s="2003">
        <f t="shared" si="493"/>
        <v>0</v>
      </c>
      <c r="AU244" s="1989" t="e">
        <f>#REF!/10^7</f>
        <v>#REF!</v>
      </c>
      <c r="AV244" s="2003">
        <f t="shared" si="494"/>
        <v>0</v>
      </c>
      <c r="AW244" s="1989" t="e">
        <f>#REF!/10^7</f>
        <v>#REF!</v>
      </c>
      <c r="AX244" s="2003">
        <f t="shared" si="495"/>
        <v>0</v>
      </c>
      <c r="AY244" s="1989" t="e">
        <f>#REF!/10^7</f>
        <v>#REF!</v>
      </c>
      <c r="AZ244" s="1989" t="e">
        <f>#REF!/10^7</f>
        <v>#REF!</v>
      </c>
      <c r="BA244" s="2002" t="e">
        <f t="shared" si="496"/>
        <v>#REF!</v>
      </c>
      <c r="BB244" s="1999" t="e">
        <f t="shared" si="470"/>
        <v>#REF!</v>
      </c>
      <c r="BC244" s="1993" t="e">
        <f>#REF!</f>
        <v>#REF!</v>
      </c>
      <c r="BD244" s="2003">
        <f t="shared" si="497"/>
        <v>0</v>
      </c>
      <c r="BE244" s="1989" t="e">
        <f>#REF!/10^7</f>
        <v>#REF!</v>
      </c>
      <c r="BF244" s="2003">
        <f t="shared" si="498"/>
        <v>0</v>
      </c>
      <c r="BG244" s="1989" t="e">
        <f>#REF!/10^7</f>
        <v>#REF!</v>
      </c>
      <c r="BH244" s="2003">
        <f t="shared" si="499"/>
        <v>0</v>
      </c>
      <c r="BI244" s="1989" t="e">
        <f>#REF!/10^7</f>
        <v>#REF!</v>
      </c>
      <c r="BJ244" s="1989" t="e">
        <f>#REF!/10^7</f>
        <v>#REF!</v>
      </c>
      <c r="BK244" s="2002" t="e">
        <f t="shared" si="500"/>
        <v>#REF!</v>
      </c>
      <c r="BL244" s="1999" t="e">
        <f t="shared" si="535"/>
        <v>#REF!</v>
      </c>
      <c r="BM244" s="1993" t="e">
        <f>#REF!</f>
        <v>#REF!</v>
      </c>
      <c r="BN244" s="2003">
        <f t="shared" si="501"/>
        <v>0</v>
      </c>
      <c r="BO244" s="1989" t="e">
        <f>#REF!/10^7</f>
        <v>#REF!</v>
      </c>
      <c r="BP244" s="2003">
        <f t="shared" si="502"/>
        <v>0</v>
      </c>
      <c r="BQ244" s="1989" t="e">
        <f>#REF!/10^7</f>
        <v>#REF!</v>
      </c>
      <c r="BR244" s="2003">
        <f t="shared" si="503"/>
        <v>0</v>
      </c>
      <c r="BS244" s="1989" t="e">
        <f>#REF!/10^7</f>
        <v>#REF!</v>
      </c>
      <c r="BT244" s="1989" t="e">
        <f>#REF!/10^7</f>
        <v>#REF!</v>
      </c>
      <c r="BU244" s="2002" t="e">
        <f t="shared" si="504"/>
        <v>#REF!</v>
      </c>
      <c r="BV244" s="1999" t="e">
        <f t="shared" si="536"/>
        <v>#REF!</v>
      </c>
      <c r="BW244" s="1993" t="e">
        <f>#REF!</f>
        <v>#REF!</v>
      </c>
      <c r="BX244" s="2003">
        <f t="shared" si="505"/>
        <v>0</v>
      </c>
      <c r="BY244" s="1989" t="e">
        <f>#REF!/10^7</f>
        <v>#REF!</v>
      </c>
      <c r="BZ244" s="2003">
        <f t="shared" si="506"/>
        <v>0</v>
      </c>
      <c r="CA244" s="1989" t="e">
        <f>#REF!/10^7</f>
        <v>#REF!</v>
      </c>
      <c r="CB244" s="2003">
        <f t="shared" si="507"/>
        <v>0</v>
      </c>
      <c r="CC244" s="1989" t="e">
        <f>#REF!/10^7</f>
        <v>#REF!</v>
      </c>
      <c r="CD244" s="1989" t="e">
        <f>#REF!/10^7</f>
        <v>#REF!</v>
      </c>
      <c r="CE244" s="2002" t="e">
        <f t="shared" si="508"/>
        <v>#REF!</v>
      </c>
      <c r="CF244" s="1999" t="e">
        <f t="shared" si="537"/>
        <v>#REF!</v>
      </c>
      <c r="CG244" s="1993" t="e">
        <f>#REF!</f>
        <v>#REF!</v>
      </c>
      <c r="CH244" s="2003">
        <f t="shared" si="509"/>
        <v>0</v>
      </c>
      <c r="CI244" s="1989" t="e">
        <f>#REF!/10^7</f>
        <v>#REF!</v>
      </c>
      <c r="CJ244" s="2003">
        <f t="shared" si="510"/>
        <v>0</v>
      </c>
      <c r="CK244" s="1989" t="e">
        <f>#REF!/10^7</f>
        <v>#REF!</v>
      </c>
      <c r="CL244" s="2003">
        <f t="shared" si="511"/>
        <v>0</v>
      </c>
      <c r="CM244" s="1989" t="e">
        <f>#REF!/10^7</f>
        <v>#REF!</v>
      </c>
      <c r="CN244" s="1989" t="e">
        <f>#REF!/10^7</f>
        <v>#REF!</v>
      </c>
      <c r="CO244" s="2002" t="e">
        <f t="shared" si="512"/>
        <v>#REF!</v>
      </c>
      <c r="CP244" s="1999" t="e">
        <f t="shared" si="538"/>
        <v>#REF!</v>
      </c>
      <c r="CQ244" s="1993" t="e">
        <f>#REF!</f>
        <v>#REF!</v>
      </c>
      <c r="CR244" s="2003">
        <f t="shared" si="513"/>
        <v>0</v>
      </c>
      <c r="CS244" s="1989" t="e">
        <f>#REF!/10^7</f>
        <v>#REF!</v>
      </c>
      <c r="CT244" s="2003">
        <f t="shared" si="514"/>
        <v>0</v>
      </c>
      <c r="CU244" s="1989" t="e">
        <f>#REF!/10^7</f>
        <v>#REF!</v>
      </c>
      <c r="CV244" s="2003">
        <f t="shared" si="515"/>
        <v>0</v>
      </c>
      <c r="CW244" s="1989" t="e">
        <f>#REF!/10^7</f>
        <v>#REF!</v>
      </c>
      <c r="CX244" s="1989" t="e">
        <f>#REF!/10^7</f>
        <v>#REF!</v>
      </c>
      <c r="CY244" s="2002" t="e">
        <f t="shared" si="516"/>
        <v>#REF!</v>
      </c>
      <c r="CZ244" s="1999" t="e">
        <f t="shared" si="539"/>
        <v>#REF!</v>
      </c>
      <c r="DA244" s="1993" t="e">
        <f>#REF!</f>
        <v>#REF!</v>
      </c>
      <c r="DB244" s="2003">
        <f t="shared" si="517"/>
        <v>0</v>
      </c>
      <c r="DC244" s="1989" t="e">
        <f>#REF!/10^7</f>
        <v>#REF!</v>
      </c>
      <c r="DD244" s="2003">
        <f t="shared" si="518"/>
        <v>0</v>
      </c>
      <c r="DE244" s="1989" t="e">
        <f>#REF!/10^7</f>
        <v>#REF!</v>
      </c>
      <c r="DF244" s="2003">
        <f t="shared" si="519"/>
        <v>0</v>
      </c>
      <c r="DG244" s="1989" t="e">
        <f>#REF!/10^7</f>
        <v>#REF!</v>
      </c>
      <c r="DH244" s="1989" t="e">
        <f>#REF!/10^7</f>
        <v>#REF!</v>
      </c>
      <c r="DI244" s="2002" t="e">
        <f t="shared" si="520"/>
        <v>#REF!</v>
      </c>
      <c r="DJ244" s="1999" t="e">
        <f t="shared" si="471"/>
        <v>#REF!</v>
      </c>
      <c r="DK244" s="1993" t="e">
        <f>#REF!</f>
        <v>#REF!</v>
      </c>
      <c r="DL244" s="2003">
        <f t="shared" si="521"/>
        <v>0</v>
      </c>
      <c r="DM244" s="1989" t="e">
        <f>#REF!/10^7</f>
        <v>#REF!</v>
      </c>
      <c r="DN244" s="2003">
        <f t="shared" si="522"/>
        <v>0</v>
      </c>
      <c r="DO244" s="1989" t="e">
        <f>#REF!/10^7</f>
        <v>#REF!</v>
      </c>
      <c r="DP244" s="2003">
        <f t="shared" si="523"/>
        <v>0</v>
      </c>
      <c r="DQ244" s="1989" t="e">
        <f>#REF!/10^7</f>
        <v>#REF!</v>
      </c>
      <c r="DR244" s="1989" t="e">
        <f>#REF!/10^7</f>
        <v>#REF!</v>
      </c>
      <c r="DS244" s="2002" t="e">
        <f t="shared" si="524"/>
        <v>#REF!</v>
      </c>
      <c r="DT244" s="2004" t="e">
        <f t="shared" si="472"/>
        <v>#REF!</v>
      </c>
      <c r="DU244" s="1988" t="e">
        <f>#REF!</f>
        <v>#REF!</v>
      </c>
      <c r="DV244" s="2003">
        <f t="shared" si="525"/>
        <v>0</v>
      </c>
      <c r="DW244" s="1989" t="e">
        <f>#REF!/10^7</f>
        <v>#REF!</v>
      </c>
      <c r="DX244" s="2003">
        <f t="shared" si="526"/>
        <v>0</v>
      </c>
      <c r="DY244" s="1989" t="e">
        <f>#REF!/10^7</f>
        <v>#REF!</v>
      </c>
      <c r="DZ244" s="2003">
        <f t="shared" si="527"/>
        <v>0</v>
      </c>
      <c r="EA244" s="1989" t="e">
        <f>#REF!/10^7</f>
        <v>#REF!</v>
      </c>
      <c r="EB244" s="1989" t="e">
        <f>#REF!/10^7</f>
        <v>#REF!</v>
      </c>
      <c r="EC244" s="2002" t="e">
        <f t="shared" si="528"/>
        <v>#REF!</v>
      </c>
      <c r="ED244" s="1998" t="e">
        <f t="shared" si="473"/>
        <v>#REF!</v>
      </c>
      <c r="EE244" s="2005" t="e">
        <f t="shared" si="475"/>
        <v>#REF!</v>
      </c>
      <c r="EF244" s="2003">
        <f t="shared" si="529"/>
        <v>0</v>
      </c>
      <c r="EG244" s="1989" t="e">
        <f t="shared" si="476"/>
        <v>#REF!</v>
      </c>
      <c r="EH244" s="2003">
        <f t="shared" si="530"/>
        <v>0</v>
      </c>
      <c r="EI244" s="1989" t="e">
        <f t="shared" si="477"/>
        <v>#REF!</v>
      </c>
      <c r="EJ244" s="2003">
        <f t="shared" si="531"/>
        <v>0</v>
      </c>
      <c r="EK244" s="1989" t="e">
        <f t="shared" si="534"/>
        <v>#REF!</v>
      </c>
      <c r="EL244" s="1989" t="e">
        <f t="shared" si="534"/>
        <v>#REF!</v>
      </c>
      <c r="EM244" s="2006" t="e">
        <f t="shared" si="532"/>
        <v>#REF!</v>
      </c>
      <c r="EN244" s="1999" t="e">
        <f t="shared" si="479"/>
        <v>#REF!</v>
      </c>
      <c r="EO244" s="1613">
        <v>40.245697999999997</v>
      </c>
      <c r="EP244" s="1613" t="e">
        <f>EA244-#REF!/10^7</f>
        <v>#REF!</v>
      </c>
      <c r="ER244" s="1612" t="e">
        <f t="shared" si="480"/>
        <v>#REF!</v>
      </c>
      <c r="EW244" s="1611" t="e">
        <v>#N/A</v>
      </c>
      <c r="EX244" s="1612" t="e">
        <v>#N/A</v>
      </c>
      <c r="EZ244" s="1650">
        <f t="shared" si="533"/>
        <v>0</v>
      </c>
    </row>
    <row r="245" spans="1:156" ht="21" customHeight="1">
      <c r="A245" s="1652">
        <v>55</v>
      </c>
      <c r="B245" s="1701" t="s">
        <v>1913</v>
      </c>
      <c r="C245" s="1662">
        <v>29</v>
      </c>
      <c r="D245" s="1646">
        <f t="shared" si="540"/>
        <v>100</v>
      </c>
      <c r="E245" s="1646"/>
      <c r="F245" s="1648" t="s">
        <v>1594</v>
      </c>
      <c r="G245" s="1648"/>
      <c r="H245" s="1648">
        <v>29</v>
      </c>
      <c r="I245" s="1648" t="s">
        <v>1717</v>
      </c>
      <c r="J245" s="1649">
        <v>2</v>
      </c>
      <c r="K245" s="1648"/>
      <c r="L245" s="1648"/>
      <c r="M245" s="1648"/>
      <c r="N245" s="1642"/>
      <c r="O245" s="2000" t="e">
        <f>#REF!</f>
        <v>#REF!</v>
      </c>
      <c r="P245" s="2003">
        <f t="shared" si="481"/>
        <v>0</v>
      </c>
      <c r="Q245" s="1989" t="e">
        <f>#REF!/10^7</f>
        <v>#REF!</v>
      </c>
      <c r="R245" s="2003">
        <f t="shared" si="482"/>
        <v>0</v>
      </c>
      <c r="S245" s="1989" t="e">
        <f>#REF!/10^7</f>
        <v>#REF!</v>
      </c>
      <c r="T245" s="2003">
        <f t="shared" si="483"/>
        <v>0</v>
      </c>
      <c r="U245" s="1989" t="e">
        <f>#REF!/10^7</f>
        <v>#REF!</v>
      </c>
      <c r="V245" s="1989" t="e">
        <f>#REF!/10^7</f>
        <v>#REF!</v>
      </c>
      <c r="W245" s="1989">
        <f t="shared" si="484"/>
        <v>0</v>
      </c>
      <c r="X245" s="1999" t="e">
        <f t="shared" si="467"/>
        <v>#REF!</v>
      </c>
      <c r="Y245" s="1993" t="e">
        <f>#REF!</f>
        <v>#REF!</v>
      </c>
      <c r="Z245" s="2003">
        <f t="shared" si="485"/>
        <v>0</v>
      </c>
      <c r="AA245" s="1989" t="e">
        <f>#REF!/10^7</f>
        <v>#REF!</v>
      </c>
      <c r="AB245" s="2003">
        <f t="shared" si="486"/>
        <v>0</v>
      </c>
      <c r="AC245" s="1989" t="e">
        <f>#REF!/10^7</f>
        <v>#REF!</v>
      </c>
      <c r="AD245" s="2003">
        <f t="shared" si="487"/>
        <v>0</v>
      </c>
      <c r="AE245" s="1989" t="e">
        <f>#REF!/10^7</f>
        <v>#REF!</v>
      </c>
      <c r="AF245" s="1989" t="e">
        <f>#REF!/10^7</f>
        <v>#REF!</v>
      </c>
      <c r="AG245" s="2002" t="e">
        <f t="shared" si="488"/>
        <v>#REF!</v>
      </c>
      <c r="AH245" s="1999" t="e">
        <f t="shared" si="468"/>
        <v>#REF!</v>
      </c>
      <c r="AI245" s="1993" t="e">
        <f>#REF!</f>
        <v>#REF!</v>
      </c>
      <c r="AJ245" s="2003">
        <f t="shared" si="489"/>
        <v>0</v>
      </c>
      <c r="AK245" s="1989" t="e">
        <f>#REF!/10^7</f>
        <v>#REF!</v>
      </c>
      <c r="AL245" s="2003">
        <f t="shared" si="490"/>
        <v>0</v>
      </c>
      <c r="AM245" s="1989" t="e">
        <f>#REF!/10^7</f>
        <v>#REF!</v>
      </c>
      <c r="AN245" s="2003">
        <f t="shared" si="491"/>
        <v>0</v>
      </c>
      <c r="AO245" s="1989" t="e">
        <f>#REF!/10^7</f>
        <v>#REF!</v>
      </c>
      <c r="AP245" s="1989" t="e">
        <f>#REF!/10^7</f>
        <v>#REF!</v>
      </c>
      <c r="AQ245" s="2002" t="e">
        <f t="shared" si="492"/>
        <v>#REF!</v>
      </c>
      <c r="AR245" s="1999" t="e">
        <f t="shared" si="469"/>
        <v>#REF!</v>
      </c>
      <c r="AS245" s="1993" t="e">
        <f>#REF!</f>
        <v>#REF!</v>
      </c>
      <c r="AT245" s="2003">
        <f t="shared" si="493"/>
        <v>0</v>
      </c>
      <c r="AU245" s="1989" t="e">
        <f>#REF!/10^7</f>
        <v>#REF!</v>
      </c>
      <c r="AV245" s="2003">
        <f t="shared" si="494"/>
        <v>0</v>
      </c>
      <c r="AW245" s="1989" t="e">
        <f>#REF!/10^7</f>
        <v>#REF!</v>
      </c>
      <c r="AX245" s="2003">
        <f t="shared" si="495"/>
        <v>0</v>
      </c>
      <c r="AY245" s="1989" t="e">
        <f>#REF!/10^7</f>
        <v>#REF!</v>
      </c>
      <c r="AZ245" s="1989" t="e">
        <f>#REF!/10^7</f>
        <v>#REF!</v>
      </c>
      <c r="BA245" s="2002" t="e">
        <f t="shared" si="496"/>
        <v>#REF!</v>
      </c>
      <c r="BB245" s="1999" t="e">
        <f t="shared" si="470"/>
        <v>#REF!</v>
      </c>
      <c r="BC245" s="1993" t="e">
        <f>#REF!</f>
        <v>#REF!</v>
      </c>
      <c r="BD245" s="2003">
        <f t="shared" si="497"/>
        <v>0</v>
      </c>
      <c r="BE245" s="1989" t="e">
        <f>#REF!/10^7</f>
        <v>#REF!</v>
      </c>
      <c r="BF245" s="2003">
        <f t="shared" si="498"/>
        <v>0</v>
      </c>
      <c r="BG245" s="1989" t="e">
        <f>#REF!/10^7</f>
        <v>#REF!</v>
      </c>
      <c r="BH245" s="2003">
        <f t="shared" si="499"/>
        <v>0</v>
      </c>
      <c r="BI245" s="1989" t="e">
        <f>#REF!/10^7</f>
        <v>#REF!</v>
      </c>
      <c r="BJ245" s="1989" t="e">
        <f>#REF!/10^7</f>
        <v>#REF!</v>
      </c>
      <c r="BK245" s="2002" t="e">
        <f t="shared" si="500"/>
        <v>#REF!</v>
      </c>
      <c r="BL245" s="1999" t="e">
        <f t="shared" si="535"/>
        <v>#REF!</v>
      </c>
      <c r="BM245" s="1993" t="e">
        <f>#REF!</f>
        <v>#REF!</v>
      </c>
      <c r="BN245" s="2003">
        <f t="shared" si="501"/>
        <v>0</v>
      </c>
      <c r="BO245" s="1989" t="e">
        <f>#REF!/10^7</f>
        <v>#REF!</v>
      </c>
      <c r="BP245" s="2003">
        <f t="shared" si="502"/>
        <v>0</v>
      </c>
      <c r="BQ245" s="1989" t="e">
        <f>#REF!/10^7</f>
        <v>#REF!</v>
      </c>
      <c r="BR245" s="2003">
        <f t="shared" si="503"/>
        <v>0</v>
      </c>
      <c r="BS245" s="1989" t="e">
        <f>#REF!/10^7</f>
        <v>#REF!</v>
      </c>
      <c r="BT245" s="1989" t="e">
        <f>#REF!/10^7</f>
        <v>#REF!</v>
      </c>
      <c r="BU245" s="2002" t="e">
        <f t="shared" si="504"/>
        <v>#REF!</v>
      </c>
      <c r="BV245" s="1999" t="e">
        <f t="shared" si="536"/>
        <v>#REF!</v>
      </c>
      <c r="BW245" s="1993" t="e">
        <f>#REF!</f>
        <v>#REF!</v>
      </c>
      <c r="BX245" s="2003">
        <f t="shared" si="505"/>
        <v>0</v>
      </c>
      <c r="BY245" s="1989" t="e">
        <f>#REF!/10^7</f>
        <v>#REF!</v>
      </c>
      <c r="BZ245" s="2003">
        <f t="shared" si="506"/>
        <v>0</v>
      </c>
      <c r="CA245" s="1989" t="e">
        <f>#REF!/10^7</f>
        <v>#REF!</v>
      </c>
      <c r="CB245" s="2003">
        <f t="shared" si="507"/>
        <v>0</v>
      </c>
      <c r="CC245" s="1989" t="e">
        <f>#REF!/10^7</f>
        <v>#REF!</v>
      </c>
      <c r="CD245" s="1989" t="e">
        <f>#REF!/10^7</f>
        <v>#REF!</v>
      </c>
      <c r="CE245" s="2002" t="e">
        <f t="shared" si="508"/>
        <v>#REF!</v>
      </c>
      <c r="CF245" s="1999" t="e">
        <f t="shared" si="537"/>
        <v>#REF!</v>
      </c>
      <c r="CG245" s="1993" t="e">
        <f>#REF!</f>
        <v>#REF!</v>
      </c>
      <c r="CH245" s="2003">
        <f t="shared" si="509"/>
        <v>0</v>
      </c>
      <c r="CI245" s="1989" t="e">
        <f>#REF!/10^7</f>
        <v>#REF!</v>
      </c>
      <c r="CJ245" s="2003">
        <f t="shared" si="510"/>
        <v>0</v>
      </c>
      <c r="CK245" s="1989" t="e">
        <f>#REF!/10^7</f>
        <v>#REF!</v>
      </c>
      <c r="CL245" s="2003">
        <f t="shared" si="511"/>
        <v>0</v>
      </c>
      <c r="CM245" s="1989" t="e">
        <f>#REF!/10^7</f>
        <v>#REF!</v>
      </c>
      <c r="CN245" s="1989" t="e">
        <f>#REF!/10^7</f>
        <v>#REF!</v>
      </c>
      <c r="CO245" s="2002" t="e">
        <f t="shared" si="512"/>
        <v>#REF!</v>
      </c>
      <c r="CP245" s="1999" t="e">
        <f t="shared" si="538"/>
        <v>#REF!</v>
      </c>
      <c r="CQ245" s="1993" t="e">
        <f>#REF!</f>
        <v>#REF!</v>
      </c>
      <c r="CR245" s="2003">
        <f t="shared" si="513"/>
        <v>0</v>
      </c>
      <c r="CS245" s="1989" t="e">
        <f>#REF!/10^7</f>
        <v>#REF!</v>
      </c>
      <c r="CT245" s="2003">
        <f t="shared" si="514"/>
        <v>0</v>
      </c>
      <c r="CU245" s="1989" t="e">
        <f>#REF!/10^7</f>
        <v>#REF!</v>
      </c>
      <c r="CV245" s="2003">
        <f t="shared" si="515"/>
        <v>0</v>
      </c>
      <c r="CW245" s="1989" t="e">
        <f>#REF!/10^7</f>
        <v>#REF!</v>
      </c>
      <c r="CX245" s="1989" t="e">
        <f>#REF!/10^7</f>
        <v>#REF!</v>
      </c>
      <c r="CY245" s="2002" t="e">
        <f t="shared" si="516"/>
        <v>#REF!</v>
      </c>
      <c r="CZ245" s="1999" t="e">
        <f t="shared" si="539"/>
        <v>#REF!</v>
      </c>
      <c r="DA245" s="1993" t="e">
        <f>#REF!</f>
        <v>#REF!</v>
      </c>
      <c r="DB245" s="2003">
        <f t="shared" si="517"/>
        <v>0</v>
      </c>
      <c r="DC245" s="1989" t="e">
        <f>#REF!/10^7</f>
        <v>#REF!</v>
      </c>
      <c r="DD245" s="2003">
        <f t="shared" si="518"/>
        <v>0</v>
      </c>
      <c r="DE245" s="1989" t="e">
        <f>#REF!/10^7</f>
        <v>#REF!</v>
      </c>
      <c r="DF245" s="2003">
        <f t="shared" si="519"/>
        <v>0</v>
      </c>
      <c r="DG245" s="1989" t="e">
        <f>#REF!/10^7</f>
        <v>#REF!</v>
      </c>
      <c r="DH245" s="1989" t="e">
        <f>#REF!/10^7</f>
        <v>#REF!</v>
      </c>
      <c r="DI245" s="2002" t="e">
        <f t="shared" si="520"/>
        <v>#REF!</v>
      </c>
      <c r="DJ245" s="1999" t="e">
        <f t="shared" si="471"/>
        <v>#REF!</v>
      </c>
      <c r="DK245" s="1993" t="e">
        <f>#REF!</f>
        <v>#REF!</v>
      </c>
      <c r="DL245" s="2003">
        <f t="shared" si="521"/>
        <v>0</v>
      </c>
      <c r="DM245" s="1989" t="e">
        <f>#REF!/10^7</f>
        <v>#REF!</v>
      </c>
      <c r="DN245" s="2003">
        <f t="shared" si="522"/>
        <v>0</v>
      </c>
      <c r="DO245" s="1989" t="e">
        <f>#REF!/10^7</f>
        <v>#REF!</v>
      </c>
      <c r="DP245" s="2003">
        <f t="shared" si="523"/>
        <v>0</v>
      </c>
      <c r="DQ245" s="1989" t="e">
        <f>#REF!/10^7</f>
        <v>#REF!</v>
      </c>
      <c r="DR245" s="1989" t="e">
        <f>#REF!/10^7</f>
        <v>#REF!</v>
      </c>
      <c r="DS245" s="2002" t="e">
        <f t="shared" si="524"/>
        <v>#REF!</v>
      </c>
      <c r="DT245" s="2004" t="e">
        <f t="shared" si="472"/>
        <v>#REF!</v>
      </c>
      <c r="DU245" s="1988" t="e">
        <f>#REF!</f>
        <v>#REF!</v>
      </c>
      <c r="DV245" s="2003">
        <f t="shared" si="525"/>
        <v>0</v>
      </c>
      <c r="DW245" s="1989" t="e">
        <f>#REF!/10^7</f>
        <v>#REF!</v>
      </c>
      <c r="DX245" s="2003">
        <f t="shared" si="526"/>
        <v>0</v>
      </c>
      <c r="DY245" s="1989" t="e">
        <f>#REF!/10^7</f>
        <v>#REF!</v>
      </c>
      <c r="DZ245" s="2003">
        <f t="shared" si="527"/>
        <v>0</v>
      </c>
      <c r="EA245" s="1989" t="e">
        <f>#REF!/10^7</f>
        <v>#REF!</v>
      </c>
      <c r="EB245" s="1989" t="e">
        <f>#REF!/10^7</f>
        <v>#REF!</v>
      </c>
      <c r="EC245" s="2002" t="e">
        <f t="shared" si="528"/>
        <v>#REF!</v>
      </c>
      <c r="ED245" s="1998" t="e">
        <f t="shared" si="473"/>
        <v>#REF!</v>
      </c>
      <c r="EE245" s="2005" t="e">
        <f t="shared" si="475"/>
        <v>#REF!</v>
      </c>
      <c r="EF245" s="2003">
        <f t="shared" si="529"/>
        <v>0</v>
      </c>
      <c r="EG245" s="1989" t="e">
        <f t="shared" si="476"/>
        <v>#REF!</v>
      </c>
      <c r="EH245" s="2003">
        <f t="shared" si="530"/>
        <v>0</v>
      </c>
      <c r="EI245" s="1989" t="e">
        <f t="shared" si="477"/>
        <v>#REF!</v>
      </c>
      <c r="EJ245" s="2003">
        <f t="shared" si="531"/>
        <v>0</v>
      </c>
      <c r="EK245" s="1989" t="e">
        <f t="shared" si="534"/>
        <v>#REF!</v>
      </c>
      <c r="EL245" s="1989" t="e">
        <f t="shared" si="534"/>
        <v>#REF!</v>
      </c>
      <c r="EM245" s="2006" t="e">
        <f t="shared" si="532"/>
        <v>#REF!</v>
      </c>
      <c r="EN245" s="1999" t="e">
        <f t="shared" si="479"/>
        <v>#REF!</v>
      </c>
      <c r="EO245" s="1613">
        <v>13.094889</v>
      </c>
      <c r="EP245" s="1613" t="e">
        <f>EA245-#REF!/10^7</f>
        <v>#REF!</v>
      </c>
      <c r="ER245" s="1612" t="e">
        <f t="shared" si="480"/>
        <v>#REF!</v>
      </c>
      <c r="EW245" s="1611" t="e">
        <v>#N/A</v>
      </c>
      <c r="EX245" s="1612" t="e">
        <v>#N/A</v>
      </c>
      <c r="EZ245" s="1650">
        <f t="shared" si="533"/>
        <v>0</v>
      </c>
    </row>
    <row r="246" spans="1:156" ht="21" customHeight="1">
      <c r="A246" s="1652">
        <v>56</v>
      </c>
      <c r="B246" s="1701" t="s">
        <v>1914</v>
      </c>
      <c r="C246" s="1662">
        <v>18</v>
      </c>
      <c r="D246" s="1646">
        <f t="shared" si="540"/>
        <v>100</v>
      </c>
      <c r="E246" s="1646"/>
      <c r="F246" s="1648" t="s">
        <v>1594</v>
      </c>
      <c r="G246" s="1648"/>
      <c r="H246" s="1648">
        <v>18</v>
      </c>
      <c r="I246" s="1648" t="s">
        <v>1717</v>
      </c>
      <c r="J246" s="1649">
        <v>2</v>
      </c>
      <c r="K246" s="1648"/>
      <c r="L246" s="1648"/>
      <c r="M246" s="1648"/>
      <c r="N246" s="1642"/>
      <c r="O246" s="2000" t="e">
        <f>#REF!</f>
        <v>#REF!</v>
      </c>
      <c r="P246" s="2003">
        <f t="shared" si="481"/>
        <v>0</v>
      </c>
      <c r="Q246" s="1989" t="e">
        <f>#REF!/10^7</f>
        <v>#REF!</v>
      </c>
      <c r="R246" s="2003">
        <f t="shared" si="482"/>
        <v>0</v>
      </c>
      <c r="S246" s="1989" t="e">
        <f>#REF!/10^7</f>
        <v>#REF!</v>
      </c>
      <c r="T246" s="2003">
        <f t="shared" si="483"/>
        <v>0</v>
      </c>
      <c r="U246" s="1989" t="e">
        <f>#REF!/10^7</f>
        <v>#REF!</v>
      </c>
      <c r="V246" s="1989" t="e">
        <f>#REF!/10^7</f>
        <v>#REF!</v>
      </c>
      <c r="W246" s="1989">
        <f t="shared" si="484"/>
        <v>0</v>
      </c>
      <c r="X246" s="1999" t="e">
        <f t="shared" si="467"/>
        <v>#REF!</v>
      </c>
      <c r="Y246" s="1993" t="e">
        <f>#REF!</f>
        <v>#REF!</v>
      </c>
      <c r="Z246" s="2003">
        <f t="shared" si="485"/>
        <v>0</v>
      </c>
      <c r="AA246" s="1989" t="e">
        <f>#REF!/10^7</f>
        <v>#REF!</v>
      </c>
      <c r="AB246" s="2003">
        <f t="shared" si="486"/>
        <v>0</v>
      </c>
      <c r="AC246" s="1989" t="e">
        <f>#REF!/10^7</f>
        <v>#REF!</v>
      </c>
      <c r="AD246" s="2003">
        <f t="shared" si="487"/>
        <v>0</v>
      </c>
      <c r="AE246" s="1989" t="e">
        <f>#REF!/10^7</f>
        <v>#REF!</v>
      </c>
      <c r="AF246" s="1989" t="e">
        <f>#REF!/10^7</f>
        <v>#REF!</v>
      </c>
      <c r="AG246" s="2002" t="e">
        <f t="shared" si="488"/>
        <v>#REF!</v>
      </c>
      <c r="AH246" s="1999" t="e">
        <f t="shared" si="468"/>
        <v>#REF!</v>
      </c>
      <c r="AI246" s="1993" t="e">
        <f>#REF!</f>
        <v>#REF!</v>
      </c>
      <c r="AJ246" s="2003">
        <f t="shared" si="489"/>
        <v>0</v>
      </c>
      <c r="AK246" s="1989" t="e">
        <f>#REF!/10^7</f>
        <v>#REF!</v>
      </c>
      <c r="AL246" s="2003">
        <f t="shared" si="490"/>
        <v>0</v>
      </c>
      <c r="AM246" s="1989" t="e">
        <f>#REF!/10^7</f>
        <v>#REF!</v>
      </c>
      <c r="AN246" s="2003">
        <f t="shared" si="491"/>
        <v>0</v>
      </c>
      <c r="AO246" s="1989" t="e">
        <f>#REF!/10^7</f>
        <v>#REF!</v>
      </c>
      <c r="AP246" s="1989" t="e">
        <f>#REF!/10^7</f>
        <v>#REF!</v>
      </c>
      <c r="AQ246" s="2002" t="e">
        <f t="shared" si="492"/>
        <v>#REF!</v>
      </c>
      <c r="AR246" s="1999" t="e">
        <f t="shared" si="469"/>
        <v>#REF!</v>
      </c>
      <c r="AS246" s="1993" t="e">
        <f>#REF!</f>
        <v>#REF!</v>
      </c>
      <c r="AT246" s="2003">
        <f t="shared" si="493"/>
        <v>0</v>
      </c>
      <c r="AU246" s="1989" t="e">
        <f>#REF!/10^7</f>
        <v>#REF!</v>
      </c>
      <c r="AV246" s="2003">
        <f t="shared" si="494"/>
        <v>0</v>
      </c>
      <c r="AW246" s="1989" t="e">
        <f>#REF!/10^7</f>
        <v>#REF!</v>
      </c>
      <c r="AX246" s="2003">
        <f t="shared" si="495"/>
        <v>0</v>
      </c>
      <c r="AY246" s="1989" t="e">
        <f>#REF!/10^7</f>
        <v>#REF!</v>
      </c>
      <c r="AZ246" s="1989" t="e">
        <f>#REF!/10^7</f>
        <v>#REF!</v>
      </c>
      <c r="BA246" s="2002" t="e">
        <f t="shared" si="496"/>
        <v>#REF!</v>
      </c>
      <c r="BB246" s="1999" t="e">
        <f t="shared" si="470"/>
        <v>#REF!</v>
      </c>
      <c r="BC246" s="1993" t="e">
        <f>#REF!</f>
        <v>#REF!</v>
      </c>
      <c r="BD246" s="2003">
        <f t="shared" si="497"/>
        <v>0</v>
      </c>
      <c r="BE246" s="1989" t="e">
        <f>#REF!/10^7</f>
        <v>#REF!</v>
      </c>
      <c r="BF246" s="2003">
        <f t="shared" si="498"/>
        <v>0</v>
      </c>
      <c r="BG246" s="1989" t="e">
        <f>#REF!/10^7</f>
        <v>#REF!</v>
      </c>
      <c r="BH246" s="2003">
        <f t="shared" si="499"/>
        <v>0</v>
      </c>
      <c r="BI246" s="1989" t="e">
        <f>#REF!/10^7</f>
        <v>#REF!</v>
      </c>
      <c r="BJ246" s="1989" t="e">
        <f>#REF!/10^7</f>
        <v>#REF!</v>
      </c>
      <c r="BK246" s="2002" t="e">
        <f t="shared" si="500"/>
        <v>#REF!</v>
      </c>
      <c r="BL246" s="1999" t="e">
        <f t="shared" si="535"/>
        <v>#REF!</v>
      </c>
      <c r="BM246" s="1993" t="e">
        <f>#REF!</f>
        <v>#REF!</v>
      </c>
      <c r="BN246" s="2003">
        <f t="shared" si="501"/>
        <v>0</v>
      </c>
      <c r="BO246" s="1989" t="e">
        <f>#REF!/10^7</f>
        <v>#REF!</v>
      </c>
      <c r="BP246" s="2003">
        <f t="shared" si="502"/>
        <v>0</v>
      </c>
      <c r="BQ246" s="1989" t="e">
        <f>#REF!/10^7</f>
        <v>#REF!</v>
      </c>
      <c r="BR246" s="2003">
        <f t="shared" si="503"/>
        <v>0</v>
      </c>
      <c r="BS246" s="1989" t="e">
        <f>#REF!/10^7</f>
        <v>#REF!</v>
      </c>
      <c r="BT246" s="1989" t="e">
        <f>#REF!/10^7</f>
        <v>#REF!</v>
      </c>
      <c r="BU246" s="2002" t="e">
        <f t="shared" si="504"/>
        <v>#REF!</v>
      </c>
      <c r="BV246" s="1999" t="e">
        <f t="shared" si="536"/>
        <v>#REF!</v>
      </c>
      <c r="BW246" s="1993" t="e">
        <f>#REF!</f>
        <v>#REF!</v>
      </c>
      <c r="BX246" s="2003">
        <f t="shared" si="505"/>
        <v>0</v>
      </c>
      <c r="BY246" s="1989" t="e">
        <f>#REF!/10^7</f>
        <v>#REF!</v>
      </c>
      <c r="BZ246" s="2003">
        <f t="shared" si="506"/>
        <v>0</v>
      </c>
      <c r="CA246" s="1989" t="e">
        <f>#REF!/10^7</f>
        <v>#REF!</v>
      </c>
      <c r="CB246" s="2003">
        <f t="shared" si="507"/>
        <v>0</v>
      </c>
      <c r="CC246" s="1989" t="e">
        <f>#REF!/10^7</f>
        <v>#REF!</v>
      </c>
      <c r="CD246" s="1989" t="e">
        <f>#REF!/10^7</f>
        <v>#REF!</v>
      </c>
      <c r="CE246" s="2002" t="e">
        <f t="shared" si="508"/>
        <v>#REF!</v>
      </c>
      <c r="CF246" s="1999" t="e">
        <f t="shared" si="537"/>
        <v>#REF!</v>
      </c>
      <c r="CG246" s="1993" t="e">
        <f>#REF!</f>
        <v>#REF!</v>
      </c>
      <c r="CH246" s="2003">
        <f t="shared" si="509"/>
        <v>0</v>
      </c>
      <c r="CI246" s="1989" t="e">
        <f>#REF!/10^7</f>
        <v>#REF!</v>
      </c>
      <c r="CJ246" s="2003">
        <f t="shared" si="510"/>
        <v>0</v>
      </c>
      <c r="CK246" s="1989" t="e">
        <f>#REF!/10^7</f>
        <v>#REF!</v>
      </c>
      <c r="CL246" s="2003">
        <f t="shared" si="511"/>
        <v>0</v>
      </c>
      <c r="CM246" s="1989" t="e">
        <f>#REF!/10^7</f>
        <v>#REF!</v>
      </c>
      <c r="CN246" s="1989" t="e">
        <f>#REF!/10^7</f>
        <v>#REF!</v>
      </c>
      <c r="CO246" s="2002" t="e">
        <f t="shared" si="512"/>
        <v>#REF!</v>
      </c>
      <c r="CP246" s="1999" t="e">
        <f t="shared" si="538"/>
        <v>#REF!</v>
      </c>
      <c r="CQ246" s="1993" t="e">
        <f>#REF!</f>
        <v>#REF!</v>
      </c>
      <c r="CR246" s="2003">
        <f t="shared" si="513"/>
        <v>0</v>
      </c>
      <c r="CS246" s="1989" t="e">
        <f>#REF!/10^7</f>
        <v>#REF!</v>
      </c>
      <c r="CT246" s="2003">
        <f t="shared" si="514"/>
        <v>0</v>
      </c>
      <c r="CU246" s="1989" t="e">
        <f>#REF!/10^7</f>
        <v>#REF!</v>
      </c>
      <c r="CV246" s="2003">
        <f t="shared" si="515"/>
        <v>0</v>
      </c>
      <c r="CW246" s="1989" t="e">
        <f>#REF!/10^7</f>
        <v>#REF!</v>
      </c>
      <c r="CX246" s="1989" t="e">
        <f>#REF!/10^7</f>
        <v>#REF!</v>
      </c>
      <c r="CY246" s="2002" t="e">
        <f t="shared" si="516"/>
        <v>#REF!</v>
      </c>
      <c r="CZ246" s="1999" t="e">
        <f t="shared" si="539"/>
        <v>#REF!</v>
      </c>
      <c r="DA246" s="1993" t="e">
        <f>#REF!</f>
        <v>#REF!</v>
      </c>
      <c r="DB246" s="2003">
        <f t="shared" si="517"/>
        <v>0</v>
      </c>
      <c r="DC246" s="1989" t="e">
        <f>#REF!/10^7</f>
        <v>#REF!</v>
      </c>
      <c r="DD246" s="2003">
        <f t="shared" si="518"/>
        <v>0</v>
      </c>
      <c r="DE246" s="1989" t="e">
        <f>#REF!/10^7</f>
        <v>#REF!</v>
      </c>
      <c r="DF246" s="2003">
        <f t="shared" si="519"/>
        <v>0</v>
      </c>
      <c r="DG246" s="1989" t="e">
        <f>#REF!/10^7</f>
        <v>#REF!</v>
      </c>
      <c r="DH246" s="1989" t="e">
        <f>#REF!/10^7</f>
        <v>#REF!</v>
      </c>
      <c r="DI246" s="2002" t="e">
        <f t="shared" si="520"/>
        <v>#REF!</v>
      </c>
      <c r="DJ246" s="1999" t="e">
        <f t="shared" si="471"/>
        <v>#REF!</v>
      </c>
      <c r="DK246" s="1993" t="e">
        <f>#REF!</f>
        <v>#REF!</v>
      </c>
      <c r="DL246" s="2003">
        <f t="shared" si="521"/>
        <v>0</v>
      </c>
      <c r="DM246" s="1989" t="e">
        <f>#REF!/10^7</f>
        <v>#REF!</v>
      </c>
      <c r="DN246" s="2003">
        <f t="shared" si="522"/>
        <v>0</v>
      </c>
      <c r="DO246" s="1989" t="e">
        <f>#REF!/10^7</f>
        <v>#REF!</v>
      </c>
      <c r="DP246" s="2003">
        <f t="shared" si="523"/>
        <v>0</v>
      </c>
      <c r="DQ246" s="1989" t="e">
        <f>#REF!/10^7</f>
        <v>#REF!</v>
      </c>
      <c r="DR246" s="1989" t="e">
        <f>#REF!/10^7</f>
        <v>#REF!</v>
      </c>
      <c r="DS246" s="2002" t="e">
        <f t="shared" si="524"/>
        <v>#REF!</v>
      </c>
      <c r="DT246" s="2004" t="e">
        <f t="shared" si="472"/>
        <v>#REF!</v>
      </c>
      <c r="DU246" s="1988" t="e">
        <f>#REF!</f>
        <v>#REF!</v>
      </c>
      <c r="DV246" s="2003">
        <f t="shared" si="525"/>
        <v>0</v>
      </c>
      <c r="DW246" s="1989" t="e">
        <f>#REF!/10^7</f>
        <v>#REF!</v>
      </c>
      <c r="DX246" s="2003">
        <f t="shared" si="526"/>
        <v>0</v>
      </c>
      <c r="DY246" s="1989" t="e">
        <f>#REF!/10^7</f>
        <v>#REF!</v>
      </c>
      <c r="DZ246" s="2003">
        <f t="shared" si="527"/>
        <v>0</v>
      </c>
      <c r="EA246" s="1989" t="e">
        <f>#REF!/10^7</f>
        <v>#REF!</v>
      </c>
      <c r="EB246" s="1989" t="e">
        <f>#REF!/10^7</f>
        <v>#REF!</v>
      </c>
      <c r="EC246" s="2002" t="e">
        <f t="shared" si="528"/>
        <v>#REF!</v>
      </c>
      <c r="ED246" s="1998" t="e">
        <f t="shared" si="473"/>
        <v>#REF!</v>
      </c>
      <c r="EE246" s="2005" t="e">
        <f t="shared" si="475"/>
        <v>#REF!</v>
      </c>
      <c r="EF246" s="2003">
        <f t="shared" si="529"/>
        <v>0</v>
      </c>
      <c r="EG246" s="1989" t="e">
        <f t="shared" si="476"/>
        <v>#REF!</v>
      </c>
      <c r="EH246" s="2003">
        <f t="shared" si="530"/>
        <v>0</v>
      </c>
      <c r="EI246" s="1989" t="e">
        <f t="shared" si="477"/>
        <v>#REF!</v>
      </c>
      <c r="EJ246" s="2003">
        <f t="shared" si="531"/>
        <v>0</v>
      </c>
      <c r="EK246" s="1989" t="e">
        <f t="shared" si="534"/>
        <v>#REF!</v>
      </c>
      <c r="EL246" s="1989" t="e">
        <f t="shared" si="534"/>
        <v>#REF!</v>
      </c>
      <c r="EM246" s="2006" t="e">
        <f t="shared" si="532"/>
        <v>#REF!</v>
      </c>
      <c r="EN246" s="1999" t="e">
        <f t="shared" si="479"/>
        <v>#REF!</v>
      </c>
      <c r="EO246" s="1613">
        <v>62.169136999999999</v>
      </c>
      <c r="EP246" s="1613" t="e">
        <f>EA246-#REF!/10^7</f>
        <v>#REF!</v>
      </c>
      <c r="ER246" s="1612" t="e">
        <f t="shared" si="480"/>
        <v>#REF!</v>
      </c>
      <c r="EW246" s="1611" t="e">
        <v>#N/A</v>
      </c>
      <c r="EX246" s="1612" t="e">
        <v>#N/A</v>
      </c>
      <c r="EZ246" s="1650">
        <f t="shared" si="533"/>
        <v>0</v>
      </c>
    </row>
    <row r="247" spans="1:156" ht="21" customHeight="1">
      <c r="A247" s="1652">
        <v>57</v>
      </c>
      <c r="B247" s="1701" t="s">
        <v>1915</v>
      </c>
      <c r="C247" s="1662">
        <v>23</v>
      </c>
      <c r="D247" s="1646">
        <f t="shared" si="540"/>
        <v>100</v>
      </c>
      <c r="E247" s="1646"/>
      <c r="F247" s="1648" t="s">
        <v>1594</v>
      </c>
      <c r="G247" s="1648"/>
      <c r="H247" s="1648">
        <v>23</v>
      </c>
      <c r="I247" s="1648" t="s">
        <v>1717</v>
      </c>
      <c r="J247" s="1649">
        <v>2</v>
      </c>
      <c r="K247" s="1648"/>
      <c r="L247" s="1648"/>
      <c r="M247" s="1648"/>
      <c r="N247" s="1642"/>
      <c r="O247" s="2000" t="e">
        <f>#REF!</f>
        <v>#REF!</v>
      </c>
      <c r="P247" s="2003">
        <f t="shared" si="481"/>
        <v>0</v>
      </c>
      <c r="Q247" s="1989" t="e">
        <f>#REF!/10^7</f>
        <v>#REF!</v>
      </c>
      <c r="R247" s="2003">
        <f t="shared" si="482"/>
        <v>0</v>
      </c>
      <c r="S247" s="1989" t="e">
        <f>#REF!/10^7</f>
        <v>#REF!</v>
      </c>
      <c r="T247" s="2003">
        <f t="shared" si="483"/>
        <v>0</v>
      </c>
      <c r="U247" s="1989" t="e">
        <f>#REF!/10^7</f>
        <v>#REF!</v>
      </c>
      <c r="V247" s="1989" t="e">
        <f>#REF!/10^7</f>
        <v>#REF!</v>
      </c>
      <c r="W247" s="1989">
        <f t="shared" si="484"/>
        <v>0</v>
      </c>
      <c r="X247" s="1999" t="e">
        <f t="shared" si="467"/>
        <v>#REF!</v>
      </c>
      <c r="Y247" s="1993" t="e">
        <f>#REF!</f>
        <v>#REF!</v>
      </c>
      <c r="Z247" s="2003">
        <f t="shared" si="485"/>
        <v>0</v>
      </c>
      <c r="AA247" s="1989" t="e">
        <f>#REF!/10^7</f>
        <v>#REF!</v>
      </c>
      <c r="AB247" s="2003">
        <f t="shared" si="486"/>
        <v>0</v>
      </c>
      <c r="AC247" s="1989" t="e">
        <f>#REF!/10^7</f>
        <v>#REF!</v>
      </c>
      <c r="AD247" s="2003">
        <f t="shared" si="487"/>
        <v>0</v>
      </c>
      <c r="AE247" s="1989" t="e">
        <f>#REF!/10^7</f>
        <v>#REF!</v>
      </c>
      <c r="AF247" s="1989" t="e">
        <f>#REF!/10^7</f>
        <v>#REF!</v>
      </c>
      <c r="AG247" s="2002" t="e">
        <f t="shared" si="488"/>
        <v>#REF!</v>
      </c>
      <c r="AH247" s="1999" t="e">
        <f t="shared" si="468"/>
        <v>#REF!</v>
      </c>
      <c r="AI247" s="1993" t="e">
        <f>#REF!</f>
        <v>#REF!</v>
      </c>
      <c r="AJ247" s="2003">
        <f t="shared" si="489"/>
        <v>0</v>
      </c>
      <c r="AK247" s="1989" t="e">
        <f>#REF!/10^7</f>
        <v>#REF!</v>
      </c>
      <c r="AL247" s="2003">
        <f t="shared" si="490"/>
        <v>0</v>
      </c>
      <c r="AM247" s="1989" t="e">
        <f>#REF!/10^7</f>
        <v>#REF!</v>
      </c>
      <c r="AN247" s="2003">
        <f t="shared" si="491"/>
        <v>0</v>
      </c>
      <c r="AO247" s="1989" t="e">
        <f>#REF!/10^7</f>
        <v>#REF!</v>
      </c>
      <c r="AP247" s="1989" t="e">
        <f>#REF!/10^7</f>
        <v>#REF!</v>
      </c>
      <c r="AQ247" s="2002" t="e">
        <f t="shared" si="492"/>
        <v>#REF!</v>
      </c>
      <c r="AR247" s="1999" t="e">
        <f t="shared" si="469"/>
        <v>#REF!</v>
      </c>
      <c r="AS247" s="1993" t="e">
        <f>#REF!</f>
        <v>#REF!</v>
      </c>
      <c r="AT247" s="2003">
        <f t="shared" si="493"/>
        <v>0</v>
      </c>
      <c r="AU247" s="1989" t="e">
        <f>#REF!/10^7</f>
        <v>#REF!</v>
      </c>
      <c r="AV247" s="2003">
        <f t="shared" si="494"/>
        <v>0</v>
      </c>
      <c r="AW247" s="1989" t="e">
        <f>#REF!/10^7</f>
        <v>#REF!</v>
      </c>
      <c r="AX247" s="2003">
        <f t="shared" si="495"/>
        <v>0</v>
      </c>
      <c r="AY247" s="1989" t="e">
        <f>#REF!/10^7</f>
        <v>#REF!</v>
      </c>
      <c r="AZ247" s="1989" t="e">
        <f>#REF!/10^7</f>
        <v>#REF!</v>
      </c>
      <c r="BA247" s="2002" t="e">
        <f t="shared" si="496"/>
        <v>#REF!</v>
      </c>
      <c r="BB247" s="1999" t="e">
        <f t="shared" si="470"/>
        <v>#REF!</v>
      </c>
      <c r="BC247" s="1993" t="e">
        <f>#REF!</f>
        <v>#REF!</v>
      </c>
      <c r="BD247" s="2003">
        <f t="shared" si="497"/>
        <v>0</v>
      </c>
      <c r="BE247" s="1989" t="e">
        <f>#REF!/10^7</f>
        <v>#REF!</v>
      </c>
      <c r="BF247" s="2003">
        <f t="shared" si="498"/>
        <v>0</v>
      </c>
      <c r="BG247" s="1989" t="e">
        <f>#REF!/10^7</f>
        <v>#REF!</v>
      </c>
      <c r="BH247" s="2003">
        <f t="shared" si="499"/>
        <v>0</v>
      </c>
      <c r="BI247" s="1989" t="e">
        <f>#REF!/10^7</f>
        <v>#REF!</v>
      </c>
      <c r="BJ247" s="1989" t="e">
        <f>#REF!/10^7</f>
        <v>#REF!</v>
      </c>
      <c r="BK247" s="2002" t="e">
        <f t="shared" si="500"/>
        <v>#REF!</v>
      </c>
      <c r="BL247" s="1999" t="e">
        <f t="shared" si="535"/>
        <v>#REF!</v>
      </c>
      <c r="BM247" s="1993" t="e">
        <f>#REF!</f>
        <v>#REF!</v>
      </c>
      <c r="BN247" s="2003">
        <f t="shared" si="501"/>
        <v>0</v>
      </c>
      <c r="BO247" s="1989" t="e">
        <f>#REF!/10^7</f>
        <v>#REF!</v>
      </c>
      <c r="BP247" s="2003">
        <f t="shared" si="502"/>
        <v>0</v>
      </c>
      <c r="BQ247" s="1989" t="e">
        <f>#REF!/10^7</f>
        <v>#REF!</v>
      </c>
      <c r="BR247" s="2003">
        <f t="shared" si="503"/>
        <v>0</v>
      </c>
      <c r="BS247" s="1989" t="e">
        <f>#REF!/10^7</f>
        <v>#REF!</v>
      </c>
      <c r="BT247" s="1989" t="e">
        <f>#REF!/10^7</f>
        <v>#REF!</v>
      </c>
      <c r="BU247" s="2002" t="e">
        <f t="shared" si="504"/>
        <v>#REF!</v>
      </c>
      <c r="BV247" s="1999" t="e">
        <f t="shared" si="536"/>
        <v>#REF!</v>
      </c>
      <c r="BW247" s="1993" t="e">
        <f>#REF!</f>
        <v>#REF!</v>
      </c>
      <c r="BX247" s="2003">
        <f t="shared" si="505"/>
        <v>0</v>
      </c>
      <c r="BY247" s="1989" t="e">
        <f>#REF!/10^7</f>
        <v>#REF!</v>
      </c>
      <c r="BZ247" s="2003">
        <f t="shared" si="506"/>
        <v>0</v>
      </c>
      <c r="CA247" s="1989" t="e">
        <f>#REF!/10^7</f>
        <v>#REF!</v>
      </c>
      <c r="CB247" s="2003">
        <f t="shared" si="507"/>
        <v>0</v>
      </c>
      <c r="CC247" s="1989" t="e">
        <f>#REF!/10^7</f>
        <v>#REF!</v>
      </c>
      <c r="CD247" s="1989" t="e">
        <f>#REF!/10^7</f>
        <v>#REF!</v>
      </c>
      <c r="CE247" s="2002" t="e">
        <f t="shared" si="508"/>
        <v>#REF!</v>
      </c>
      <c r="CF247" s="1999" t="e">
        <f t="shared" si="537"/>
        <v>#REF!</v>
      </c>
      <c r="CG247" s="1993" t="e">
        <f>#REF!</f>
        <v>#REF!</v>
      </c>
      <c r="CH247" s="2003">
        <f t="shared" si="509"/>
        <v>0</v>
      </c>
      <c r="CI247" s="1989" t="e">
        <f>#REF!/10^7</f>
        <v>#REF!</v>
      </c>
      <c r="CJ247" s="2003">
        <f t="shared" si="510"/>
        <v>0</v>
      </c>
      <c r="CK247" s="1989" t="e">
        <f>#REF!/10^7</f>
        <v>#REF!</v>
      </c>
      <c r="CL247" s="2003">
        <f t="shared" si="511"/>
        <v>0</v>
      </c>
      <c r="CM247" s="1989" t="e">
        <f>#REF!/10^7</f>
        <v>#REF!</v>
      </c>
      <c r="CN247" s="1989" t="e">
        <f>#REF!/10^7</f>
        <v>#REF!</v>
      </c>
      <c r="CO247" s="2002" t="e">
        <f t="shared" si="512"/>
        <v>#REF!</v>
      </c>
      <c r="CP247" s="1999" t="e">
        <f t="shared" si="538"/>
        <v>#REF!</v>
      </c>
      <c r="CQ247" s="1993" t="e">
        <f>#REF!</f>
        <v>#REF!</v>
      </c>
      <c r="CR247" s="2003">
        <f t="shared" si="513"/>
        <v>0</v>
      </c>
      <c r="CS247" s="1989" t="e">
        <f>#REF!/10^7</f>
        <v>#REF!</v>
      </c>
      <c r="CT247" s="2003">
        <f t="shared" si="514"/>
        <v>0</v>
      </c>
      <c r="CU247" s="1989" t="e">
        <f>#REF!/10^7</f>
        <v>#REF!</v>
      </c>
      <c r="CV247" s="2003">
        <f t="shared" si="515"/>
        <v>0</v>
      </c>
      <c r="CW247" s="1989" t="e">
        <f>#REF!/10^7</f>
        <v>#REF!</v>
      </c>
      <c r="CX247" s="1989" t="e">
        <f>#REF!/10^7</f>
        <v>#REF!</v>
      </c>
      <c r="CY247" s="2002" t="e">
        <f t="shared" si="516"/>
        <v>#REF!</v>
      </c>
      <c r="CZ247" s="1999" t="e">
        <f t="shared" si="539"/>
        <v>#REF!</v>
      </c>
      <c r="DA247" s="1993" t="e">
        <f>#REF!</f>
        <v>#REF!</v>
      </c>
      <c r="DB247" s="2003">
        <f t="shared" si="517"/>
        <v>0</v>
      </c>
      <c r="DC247" s="1989" t="e">
        <f>#REF!/10^7</f>
        <v>#REF!</v>
      </c>
      <c r="DD247" s="2003">
        <f t="shared" si="518"/>
        <v>0</v>
      </c>
      <c r="DE247" s="1989" t="e">
        <f>#REF!/10^7</f>
        <v>#REF!</v>
      </c>
      <c r="DF247" s="2003">
        <f t="shared" si="519"/>
        <v>0</v>
      </c>
      <c r="DG247" s="1989" t="e">
        <f>#REF!/10^7</f>
        <v>#REF!</v>
      </c>
      <c r="DH247" s="1989" t="e">
        <f>#REF!/10^7</f>
        <v>#REF!</v>
      </c>
      <c r="DI247" s="2002" t="e">
        <f t="shared" si="520"/>
        <v>#REF!</v>
      </c>
      <c r="DJ247" s="1999" t="e">
        <f t="shared" si="471"/>
        <v>#REF!</v>
      </c>
      <c r="DK247" s="1993" t="e">
        <f>#REF!</f>
        <v>#REF!</v>
      </c>
      <c r="DL247" s="2003">
        <f t="shared" si="521"/>
        <v>0</v>
      </c>
      <c r="DM247" s="1989" t="e">
        <f>#REF!/10^7</f>
        <v>#REF!</v>
      </c>
      <c r="DN247" s="2003">
        <f t="shared" si="522"/>
        <v>0</v>
      </c>
      <c r="DO247" s="1989" t="e">
        <f>#REF!/10^7</f>
        <v>#REF!</v>
      </c>
      <c r="DP247" s="2003">
        <f t="shared" si="523"/>
        <v>0</v>
      </c>
      <c r="DQ247" s="1989" t="e">
        <f>#REF!/10^7</f>
        <v>#REF!</v>
      </c>
      <c r="DR247" s="1989" t="e">
        <f>#REF!/10^7</f>
        <v>#REF!</v>
      </c>
      <c r="DS247" s="2002" t="e">
        <f t="shared" si="524"/>
        <v>#REF!</v>
      </c>
      <c r="DT247" s="2004" t="e">
        <f t="shared" si="472"/>
        <v>#REF!</v>
      </c>
      <c r="DU247" s="1988" t="e">
        <f>#REF!</f>
        <v>#REF!</v>
      </c>
      <c r="DV247" s="2003">
        <f t="shared" si="525"/>
        <v>0</v>
      </c>
      <c r="DW247" s="1989" t="e">
        <f>#REF!/10^7</f>
        <v>#REF!</v>
      </c>
      <c r="DX247" s="2003">
        <f t="shared" si="526"/>
        <v>0</v>
      </c>
      <c r="DY247" s="1989" t="e">
        <f>#REF!/10^7</f>
        <v>#REF!</v>
      </c>
      <c r="DZ247" s="2003">
        <f t="shared" si="527"/>
        <v>0</v>
      </c>
      <c r="EA247" s="1989" t="e">
        <f>#REF!/10^7</f>
        <v>#REF!</v>
      </c>
      <c r="EB247" s="1989" t="e">
        <f>#REF!/10^7</f>
        <v>#REF!</v>
      </c>
      <c r="EC247" s="2002" t="e">
        <f t="shared" si="528"/>
        <v>#REF!</v>
      </c>
      <c r="ED247" s="1998" t="e">
        <f t="shared" si="473"/>
        <v>#REF!</v>
      </c>
      <c r="EE247" s="2005" t="e">
        <f t="shared" si="475"/>
        <v>#REF!</v>
      </c>
      <c r="EF247" s="2003">
        <f t="shared" si="529"/>
        <v>0</v>
      </c>
      <c r="EG247" s="1989" t="e">
        <f t="shared" si="476"/>
        <v>#REF!</v>
      </c>
      <c r="EH247" s="2003">
        <f t="shared" si="530"/>
        <v>0</v>
      </c>
      <c r="EI247" s="1989" t="e">
        <f t="shared" si="477"/>
        <v>#REF!</v>
      </c>
      <c r="EJ247" s="2003">
        <f t="shared" si="531"/>
        <v>0</v>
      </c>
      <c r="EK247" s="1989" t="e">
        <f t="shared" si="534"/>
        <v>#REF!</v>
      </c>
      <c r="EL247" s="1989" t="e">
        <f t="shared" si="534"/>
        <v>#REF!</v>
      </c>
      <c r="EM247" s="2006" t="e">
        <f t="shared" si="532"/>
        <v>#REF!</v>
      </c>
      <c r="EN247" s="1999" t="e">
        <f t="shared" si="479"/>
        <v>#REF!</v>
      </c>
      <c r="EO247" s="1613">
        <v>57.9602875</v>
      </c>
      <c r="EP247" s="1613" t="e">
        <f>EA247-#REF!/10^7</f>
        <v>#REF!</v>
      </c>
      <c r="ER247" s="1612" t="e">
        <f t="shared" si="480"/>
        <v>#REF!</v>
      </c>
      <c r="EW247" s="1611" t="e">
        <v>#N/A</v>
      </c>
      <c r="EX247" s="1612" t="e">
        <v>#N/A</v>
      </c>
      <c r="EZ247" s="1650">
        <f t="shared" si="533"/>
        <v>0</v>
      </c>
    </row>
    <row r="248" spans="1:156" ht="21" customHeight="1">
      <c r="A248" s="1652">
        <v>58</v>
      </c>
      <c r="B248" s="1701" t="s">
        <v>1916</v>
      </c>
      <c r="C248" s="1662">
        <v>14</v>
      </c>
      <c r="D248" s="1646">
        <f t="shared" si="540"/>
        <v>100</v>
      </c>
      <c r="E248" s="1646"/>
      <c r="F248" s="1648" t="s">
        <v>1594</v>
      </c>
      <c r="G248" s="1648"/>
      <c r="H248" s="1648">
        <v>14</v>
      </c>
      <c r="I248" s="1648" t="s">
        <v>1717</v>
      </c>
      <c r="J248" s="1649">
        <v>2</v>
      </c>
      <c r="K248" s="1648"/>
      <c r="L248" s="1648"/>
      <c r="M248" s="1648"/>
      <c r="N248" s="1642"/>
      <c r="O248" s="2000" t="e">
        <f>#REF!</f>
        <v>#REF!</v>
      </c>
      <c r="P248" s="2003">
        <f t="shared" si="481"/>
        <v>0</v>
      </c>
      <c r="Q248" s="1989" t="e">
        <f>#REF!/10^7</f>
        <v>#REF!</v>
      </c>
      <c r="R248" s="2003">
        <f t="shared" si="482"/>
        <v>0</v>
      </c>
      <c r="S248" s="1989" t="e">
        <f>#REF!/10^7</f>
        <v>#REF!</v>
      </c>
      <c r="T248" s="2003">
        <f t="shared" si="483"/>
        <v>0</v>
      </c>
      <c r="U248" s="1989" t="e">
        <f>#REF!/10^7</f>
        <v>#REF!</v>
      </c>
      <c r="V248" s="1989" t="e">
        <f>#REF!/10^7</f>
        <v>#REF!</v>
      </c>
      <c r="W248" s="1989">
        <f t="shared" si="484"/>
        <v>0</v>
      </c>
      <c r="X248" s="1999" t="e">
        <f t="shared" si="467"/>
        <v>#REF!</v>
      </c>
      <c r="Y248" s="1993" t="e">
        <f>#REF!</f>
        <v>#REF!</v>
      </c>
      <c r="Z248" s="2003">
        <f t="shared" si="485"/>
        <v>0</v>
      </c>
      <c r="AA248" s="1989" t="e">
        <f>#REF!/10^7</f>
        <v>#REF!</v>
      </c>
      <c r="AB248" s="2003">
        <f t="shared" si="486"/>
        <v>0</v>
      </c>
      <c r="AC248" s="1989" t="e">
        <f>#REF!/10^7</f>
        <v>#REF!</v>
      </c>
      <c r="AD248" s="2003">
        <f t="shared" si="487"/>
        <v>0</v>
      </c>
      <c r="AE248" s="1989" t="e">
        <f>#REF!/10^7</f>
        <v>#REF!</v>
      </c>
      <c r="AF248" s="1989" t="e">
        <f>#REF!/10^7</f>
        <v>#REF!</v>
      </c>
      <c r="AG248" s="2002" t="e">
        <f t="shared" si="488"/>
        <v>#REF!</v>
      </c>
      <c r="AH248" s="1999" t="e">
        <f t="shared" si="468"/>
        <v>#REF!</v>
      </c>
      <c r="AI248" s="1993" t="e">
        <f>#REF!</f>
        <v>#REF!</v>
      </c>
      <c r="AJ248" s="2003">
        <f t="shared" si="489"/>
        <v>0</v>
      </c>
      <c r="AK248" s="1989" t="e">
        <f>#REF!/10^7</f>
        <v>#REF!</v>
      </c>
      <c r="AL248" s="2003">
        <f t="shared" si="490"/>
        <v>0</v>
      </c>
      <c r="AM248" s="1989" t="e">
        <f>#REF!/10^7</f>
        <v>#REF!</v>
      </c>
      <c r="AN248" s="2003">
        <f t="shared" si="491"/>
        <v>0</v>
      </c>
      <c r="AO248" s="1989" t="e">
        <f>#REF!/10^7</f>
        <v>#REF!</v>
      </c>
      <c r="AP248" s="1989" t="e">
        <f>#REF!/10^7</f>
        <v>#REF!</v>
      </c>
      <c r="AQ248" s="2002" t="e">
        <f t="shared" si="492"/>
        <v>#REF!</v>
      </c>
      <c r="AR248" s="1999" t="e">
        <f t="shared" si="469"/>
        <v>#REF!</v>
      </c>
      <c r="AS248" s="1993" t="e">
        <f>#REF!</f>
        <v>#REF!</v>
      </c>
      <c r="AT248" s="2003">
        <f t="shared" si="493"/>
        <v>0</v>
      </c>
      <c r="AU248" s="1989" t="e">
        <f>#REF!/10^7</f>
        <v>#REF!</v>
      </c>
      <c r="AV248" s="2003">
        <f t="shared" si="494"/>
        <v>0</v>
      </c>
      <c r="AW248" s="1989" t="e">
        <f>#REF!/10^7</f>
        <v>#REF!</v>
      </c>
      <c r="AX248" s="2003">
        <f t="shared" si="495"/>
        <v>0</v>
      </c>
      <c r="AY248" s="1989" t="e">
        <f>#REF!/10^7</f>
        <v>#REF!</v>
      </c>
      <c r="AZ248" s="1989" t="e">
        <f>#REF!/10^7</f>
        <v>#REF!</v>
      </c>
      <c r="BA248" s="2002" t="e">
        <f t="shared" si="496"/>
        <v>#REF!</v>
      </c>
      <c r="BB248" s="1999" t="e">
        <f t="shared" si="470"/>
        <v>#REF!</v>
      </c>
      <c r="BC248" s="1993" t="e">
        <f>#REF!</f>
        <v>#REF!</v>
      </c>
      <c r="BD248" s="2003">
        <f t="shared" si="497"/>
        <v>0</v>
      </c>
      <c r="BE248" s="1989" t="e">
        <f>#REF!/10^7</f>
        <v>#REF!</v>
      </c>
      <c r="BF248" s="2003">
        <f t="shared" si="498"/>
        <v>0</v>
      </c>
      <c r="BG248" s="1989" t="e">
        <f>#REF!/10^7</f>
        <v>#REF!</v>
      </c>
      <c r="BH248" s="2003">
        <f t="shared" si="499"/>
        <v>0</v>
      </c>
      <c r="BI248" s="1989" t="e">
        <f>#REF!/10^7</f>
        <v>#REF!</v>
      </c>
      <c r="BJ248" s="1989" t="e">
        <f>#REF!/10^7</f>
        <v>#REF!</v>
      </c>
      <c r="BK248" s="2002" t="e">
        <f t="shared" si="500"/>
        <v>#REF!</v>
      </c>
      <c r="BL248" s="1999" t="e">
        <f t="shared" si="535"/>
        <v>#REF!</v>
      </c>
      <c r="BM248" s="1993" t="e">
        <f>#REF!</f>
        <v>#REF!</v>
      </c>
      <c r="BN248" s="2003">
        <f t="shared" si="501"/>
        <v>0</v>
      </c>
      <c r="BO248" s="1989" t="e">
        <f>#REF!/10^7</f>
        <v>#REF!</v>
      </c>
      <c r="BP248" s="2003">
        <f t="shared" si="502"/>
        <v>0</v>
      </c>
      <c r="BQ248" s="1989" t="e">
        <f>#REF!/10^7</f>
        <v>#REF!</v>
      </c>
      <c r="BR248" s="2003">
        <f t="shared" si="503"/>
        <v>0</v>
      </c>
      <c r="BS248" s="1989" t="e">
        <f>#REF!/10^7</f>
        <v>#REF!</v>
      </c>
      <c r="BT248" s="1989" t="e">
        <f>#REF!/10^7</f>
        <v>#REF!</v>
      </c>
      <c r="BU248" s="2002" t="e">
        <f t="shared" si="504"/>
        <v>#REF!</v>
      </c>
      <c r="BV248" s="1999" t="e">
        <f t="shared" si="536"/>
        <v>#REF!</v>
      </c>
      <c r="BW248" s="1993" t="e">
        <f>#REF!</f>
        <v>#REF!</v>
      </c>
      <c r="BX248" s="2003">
        <f t="shared" si="505"/>
        <v>0</v>
      </c>
      <c r="BY248" s="1989" t="e">
        <f>#REF!/10^7</f>
        <v>#REF!</v>
      </c>
      <c r="BZ248" s="2003">
        <f t="shared" si="506"/>
        <v>0</v>
      </c>
      <c r="CA248" s="1989" t="e">
        <f>#REF!/10^7</f>
        <v>#REF!</v>
      </c>
      <c r="CB248" s="2003">
        <f t="shared" si="507"/>
        <v>0</v>
      </c>
      <c r="CC248" s="1989" t="e">
        <f>#REF!/10^7</f>
        <v>#REF!</v>
      </c>
      <c r="CD248" s="1989" t="e">
        <f>#REF!/10^7</f>
        <v>#REF!</v>
      </c>
      <c r="CE248" s="2002" t="e">
        <f t="shared" si="508"/>
        <v>#REF!</v>
      </c>
      <c r="CF248" s="1999" t="e">
        <f t="shared" si="537"/>
        <v>#REF!</v>
      </c>
      <c r="CG248" s="1993" t="e">
        <f>#REF!</f>
        <v>#REF!</v>
      </c>
      <c r="CH248" s="2003">
        <f t="shared" si="509"/>
        <v>0</v>
      </c>
      <c r="CI248" s="1989" t="e">
        <f>#REF!/10^7</f>
        <v>#REF!</v>
      </c>
      <c r="CJ248" s="2003">
        <f t="shared" si="510"/>
        <v>0</v>
      </c>
      <c r="CK248" s="1989" t="e">
        <f>#REF!/10^7</f>
        <v>#REF!</v>
      </c>
      <c r="CL248" s="2003">
        <f t="shared" si="511"/>
        <v>0</v>
      </c>
      <c r="CM248" s="1989" t="e">
        <f>#REF!/10^7</f>
        <v>#REF!</v>
      </c>
      <c r="CN248" s="1989" t="e">
        <f>#REF!/10^7</f>
        <v>#REF!</v>
      </c>
      <c r="CO248" s="2002" t="e">
        <f t="shared" si="512"/>
        <v>#REF!</v>
      </c>
      <c r="CP248" s="1999" t="e">
        <f t="shared" si="538"/>
        <v>#REF!</v>
      </c>
      <c r="CQ248" s="1993" t="e">
        <f>#REF!</f>
        <v>#REF!</v>
      </c>
      <c r="CR248" s="2003">
        <f t="shared" si="513"/>
        <v>0</v>
      </c>
      <c r="CS248" s="1989" t="e">
        <f>#REF!/10^7</f>
        <v>#REF!</v>
      </c>
      <c r="CT248" s="2003">
        <f t="shared" si="514"/>
        <v>0</v>
      </c>
      <c r="CU248" s="1989" t="e">
        <f>#REF!/10^7</f>
        <v>#REF!</v>
      </c>
      <c r="CV248" s="2003">
        <f t="shared" si="515"/>
        <v>0</v>
      </c>
      <c r="CW248" s="1989" t="e">
        <f>#REF!/10^7</f>
        <v>#REF!</v>
      </c>
      <c r="CX248" s="1989" t="e">
        <f>#REF!/10^7</f>
        <v>#REF!</v>
      </c>
      <c r="CY248" s="2002" t="e">
        <f t="shared" si="516"/>
        <v>#REF!</v>
      </c>
      <c r="CZ248" s="1999" t="e">
        <f t="shared" si="539"/>
        <v>#REF!</v>
      </c>
      <c r="DA248" s="1993" t="e">
        <f>#REF!</f>
        <v>#REF!</v>
      </c>
      <c r="DB248" s="2003">
        <f t="shared" si="517"/>
        <v>0</v>
      </c>
      <c r="DC248" s="1989" t="e">
        <f>#REF!/10^7</f>
        <v>#REF!</v>
      </c>
      <c r="DD248" s="2003">
        <f t="shared" si="518"/>
        <v>0</v>
      </c>
      <c r="DE248" s="1989" t="e">
        <f>#REF!/10^7</f>
        <v>#REF!</v>
      </c>
      <c r="DF248" s="2003">
        <f t="shared" si="519"/>
        <v>0</v>
      </c>
      <c r="DG248" s="1989" t="e">
        <f>#REF!/10^7</f>
        <v>#REF!</v>
      </c>
      <c r="DH248" s="1989" t="e">
        <f>#REF!/10^7</f>
        <v>#REF!</v>
      </c>
      <c r="DI248" s="2002" t="e">
        <f t="shared" si="520"/>
        <v>#REF!</v>
      </c>
      <c r="DJ248" s="1999" t="e">
        <f t="shared" si="471"/>
        <v>#REF!</v>
      </c>
      <c r="DK248" s="1993" t="e">
        <f>#REF!</f>
        <v>#REF!</v>
      </c>
      <c r="DL248" s="2003">
        <f t="shared" si="521"/>
        <v>0</v>
      </c>
      <c r="DM248" s="1989" t="e">
        <f>#REF!/10^7</f>
        <v>#REF!</v>
      </c>
      <c r="DN248" s="2003">
        <f t="shared" si="522"/>
        <v>0</v>
      </c>
      <c r="DO248" s="1989" t="e">
        <f>#REF!/10^7</f>
        <v>#REF!</v>
      </c>
      <c r="DP248" s="2003">
        <f t="shared" si="523"/>
        <v>0</v>
      </c>
      <c r="DQ248" s="1989" t="e">
        <f>#REF!/10^7</f>
        <v>#REF!</v>
      </c>
      <c r="DR248" s="1989" t="e">
        <f>#REF!/10^7</f>
        <v>#REF!</v>
      </c>
      <c r="DS248" s="2002" t="e">
        <f t="shared" si="524"/>
        <v>#REF!</v>
      </c>
      <c r="DT248" s="2004" t="e">
        <f t="shared" si="472"/>
        <v>#REF!</v>
      </c>
      <c r="DU248" s="1988" t="e">
        <f>#REF!</f>
        <v>#REF!</v>
      </c>
      <c r="DV248" s="2003">
        <f t="shared" si="525"/>
        <v>0</v>
      </c>
      <c r="DW248" s="1989" t="e">
        <f>#REF!/10^7</f>
        <v>#REF!</v>
      </c>
      <c r="DX248" s="2003">
        <f t="shared" si="526"/>
        <v>0</v>
      </c>
      <c r="DY248" s="1989" t="e">
        <f>#REF!/10^7</f>
        <v>#REF!</v>
      </c>
      <c r="DZ248" s="2003">
        <f t="shared" si="527"/>
        <v>0</v>
      </c>
      <c r="EA248" s="1989" t="e">
        <f>#REF!/10^7</f>
        <v>#REF!</v>
      </c>
      <c r="EB248" s="1989" t="e">
        <f>#REF!/10^7</f>
        <v>#REF!</v>
      </c>
      <c r="EC248" s="2002" t="e">
        <f t="shared" si="528"/>
        <v>#REF!</v>
      </c>
      <c r="ED248" s="1998" t="e">
        <f t="shared" si="473"/>
        <v>#REF!</v>
      </c>
      <c r="EE248" s="2005" t="e">
        <f t="shared" si="475"/>
        <v>#REF!</v>
      </c>
      <c r="EF248" s="2003">
        <f t="shared" si="529"/>
        <v>0</v>
      </c>
      <c r="EG248" s="1989" t="e">
        <f t="shared" si="476"/>
        <v>#REF!</v>
      </c>
      <c r="EH248" s="2003">
        <f t="shared" si="530"/>
        <v>0</v>
      </c>
      <c r="EI248" s="1989" t="e">
        <f t="shared" si="477"/>
        <v>#REF!</v>
      </c>
      <c r="EJ248" s="2003">
        <f t="shared" si="531"/>
        <v>0</v>
      </c>
      <c r="EK248" s="1989" t="e">
        <f t="shared" si="534"/>
        <v>#REF!</v>
      </c>
      <c r="EL248" s="1989" t="e">
        <f t="shared" si="534"/>
        <v>#REF!</v>
      </c>
      <c r="EM248" s="2006" t="e">
        <f t="shared" si="532"/>
        <v>#REF!</v>
      </c>
      <c r="EN248" s="1999" t="e">
        <f t="shared" si="479"/>
        <v>#REF!</v>
      </c>
      <c r="EO248" s="1613">
        <v>35.201638500000001</v>
      </c>
      <c r="EP248" s="1613" t="e">
        <f>EA248-#REF!/10^7</f>
        <v>#REF!</v>
      </c>
      <c r="ER248" s="1612" t="e">
        <f t="shared" si="480"/>
        <v>#REF!</v>
      </c>
      <c r="EW248" s="1611" t="e">
        <v>#N/A</v>
      </c>
      <c r="EX248" s="1612" t="e">
        <v>#N/A</v>
      </c>
      <c r="EZ248" s="1650">
        <f t="shared" si="533"/>
        <v>0</v>
      </c>
    </row>
    <row r="249" spans="1:156" ht="21" customHeight="1">
      <c r="A249" s="1652">
        <v>59</v>
      </c>
      <c r="B249" s="1701" t="s">
        <v>1917</v>
      </c>
      <c r="C249" s="1662">
        <v>35</v>
      </c>
      <c r="D249" s="1646">
        <f t="shared" si="540"/>
        <v>100</v>
      </c>
      <c r="E249" s="1646"/>
      <c r="F249" s="1648" t="s">
        <v>1594</v>
      </c>
      <c r="G249" s="1648"/>
      <c r="H249" s="1648">
        <v>35</v>
      </c>
      <c r="I249" s="1648" t="s">
        <v>1717</v>
      </c>
      <c r="J249" s="1649">
        <v>2</v>
      </c>
      <c r="K249" s="1648"/>
      <c r="L249" s="1648"/>
      <c r="M249" s="1648"/>
      <c r="N249" s="1642"/>
      <c r="O249" s="2000" t="e">
        <f>#REF!</f>
        <v>#REF!</v>
      </c>
      <c r="P249" s="2003">
        <f t="shared" si="481"/>
        <v>0</v>
      </c>
      <c r="Q249" s="1989" t="e">
        <f>#REF!/10^7</f>
        <v>#REF!</v>
      </c>
      <c r="R249" s="2003">
        <f t="shared" si="482"/>
        <v>0</v>
      </c>
      <c r="S249" s="1989" t="e">
        <f>#REF!/10^7</f>
        <v>#REF!</v>
      </c>
      <c r="T249" s="2003">
        <f t="shared" si="483"/>
        <v>0</v>
      </c>
      <c r="U249" s="1989" t="e">
        <f>#REF!/10^7</f>
        <v>#REF!</v>
      </c>
      <c r="V249" s="1989" t="e">
        <f>#REF!/10^7</f>
        <v>#REF!</v>
      </c>
      <c r="W249" s="1989">
        <f t="shared" si="484"/>
        <v>0</v>
      </c>
      <c r="X249" s="1999" t="e">
        <f t="shared" si="467"/>
        <v>#REF!</v>
      </c>
      <c r="Y249" s="1993" t="e">
        <f>#REF!</f>
        <v>#REF!</v>
      </c>
      <c r="Z249" s="2003">
        <f t="shared" si="485"/>
        <v>0</v>
      </c>
      <c r="AA249" s="1989" t="e">
        <f>#REF!/10^7</f>
        <v>#REF!</v>
      </c>
      <c r="AB249" s="2003">
        <f t="shared" si="486"/>
        <v>0</v>
      </c>
      <c r="AC249" s="1989" t="e">
        <f>#REF!/10^7</f>
        <v>#REF!</v>
      </c>
      <c r="AD249" s="2003">
        <f t="shared" si="487"/>
        <v>0</v>
      </c>
      <c r="AE249" s="1989" t="e">
        <f>#REF!/10^7</f>
        <v>#REF!</v>
      </c>
      <c r="AF249" s="1989" t="e">
        <f>#REF!/10^7</f>
        <v>#REF!</v>
      </c>
      <c r="AG249" s="2002" t="e">
        <f t="shared" si="488"/>
        <v>#REF!</v>
      </c>
      <c r="AH249" s="1999" t="e">
        <f t="shared" si="468"/>
        <v>#REF!</v>
      </c>
      <c r="AI249" s="1993" t="e">
        <f>#REF!</f>
        <v>#REF!</v>
      </c>
      <c r="AJ249" s="2003">
        <f t="shared" si="489"/>
        <v>0</v>
      </c>
      <c r="AK249" s="1989" t="e">
        <f>#REF!/10^7</f>
        <v>#REF!</v>
      </c>
      <c r="AL249" s="2003">
        <f t="shared" si="490"/>
        <v>0</v>
      </c>
      <c r="AM249" s="1989" t="e">
        <f>#REF!/10^7</f>
        <v>#REF!</v>
      </c>
      <c r="AN249" s="2003">
        <f t="shared" si="491"/>
        <v>0</v>
      </c>
      <c r="AO249" s="1989" t="e">
        <f>#REF!/10^7</f>
        <v>#REF!</v>
      </c>
      <c r="AP249" s="1989" t="e">
        <f>#REF!/10^7</f>
        <v>#REF!</v>
      </c>
      <c r="AQ249" s="2002" t="e">
        <f t="shared" si="492"/>
        <v>#REF!</v>
      </c>
      <c r="AR249" s="1999" t="e">
        <f t="shared" si="469"/>
        <v>#REF!</v>
      </c>
      <c r="AS249" s="1993" t="e">
        <f>#REF!</f>
        <v>#REF!</v>
      </c>
      <c r="AT249" s="2003">
        <f t="shared" si="493"/>
        <v>0</v>
      </c>
      <c r="AU249" s="1989" t="e">
        <f>#REF!/10^7</f>
        <v>#REF!</v>
      </c>
      <c r="AV249" s="2003">
        <f t="shared" si="494"/>
        <v>0</v>
      </c>
      <c r="AW249" s="1989" t="e">
        <f>#REF!/10^7</f>
        <v>#REF!</v>
      </c>
      <c r="AX249" s="2003">
        <f t="shared" si="495"/>
        <v>0</v>
      </c>
      <c r="AY249" s="1989" t="e">
        <f>#REF!/10^7</f>
        <v>#REF!</v>
      </c>
      <c r="AZ249" s="1989" t="e">
        <f>#REF!/10^7</f>
        <v>#REF!</v>
      </c>
      <c r="BA249" s="2002" t="e">
        <f t="shared" si="496"/>
        <v>#REF!</v>
      </c>
      <c r="BB249" s="1999" t="e">
        <f t="shared" si="470"/>
        <v>#REF!</v>
      </c>
      <c r="BC249" s="1993" t="e">
        <f>#REF!</f>
        <v>#REF!</v>
      </c>
      <c r="BD249" s="2003">
        <f t="shared" si="497"/>
        <v>0</v>
      </c>
      <c r="BE249" s="1989" t="e">
        <f>#REF!/10^7</f>
        <v>#REF!</v>
      </c>
      <c r="BF249" s="2003">
        <f t="shared" si="498"/>
        <v>0</v>
      </c>
      <c r="BG249" s="1989" t="e">
        <f>#REF!/10^7</f>
        <v>#REF!</v>
      </c>
      <c r="BH249" s="2003">
        <f t="shared" si="499"/>
        <v>0</v>
      </c>
      <c r="BI249" s="1989" t="e">
        <f>#REF!/10^7</f>
        <v>#REF!</v>
      </c>
      <c r="BJ249" s="1989" t="e">
        <f>#REF!/10^7</f>
        <v>#REF!</v>
      </c>
      <c r="BK249" s="2002" t="e">
        <f t="shared" si="500"/>
        <v>#REF!</v>
      </c>
      <c r="BL249" s="1999" t="e">
        <f t="shared" si="535"/>
        <v>#REF!</v>
      </c>
      <c r="BM249" s="1993" t="e">
        <f>#REF!</f>
        <v>#REF!</v>
      </c>
      <c r="BN249" s="2003">
        <f t="shared" si="501"/>
        <v>0</v>
      </c>
      <c r="BO249" s="1989" t="e">
        <f>#REF!/10^7</f>
        <v>#REF!</v>
      </c>
      <c r="BP249" s="2003">
        <f t="shared" si="502"/>
        <v>0</v>
      </c>
      <c r="BQ249" s="1989" t="e">
        <f>#REF!/10^7</f>
        <v>#REF!</v>
      </c>
      <c r="BR249" s="2003">
        <f t="shared" si="503"/>
        <v>0</v>
      </c>
      <c r="BS249" s="1989" t="e">
        <f>#REF!/10^7</f>
        <v>#REF!</v>
      </c>
      <c r="BT249" s="1989" t="e">
        <f>#REF!/10^7</f>
        <v>#REF!</v>
      </c>
      <c r="BU249" s="2002" t="e">
        <f t="shared" si="504"/>
        <v>#REF!</v>
      </c>
      <c r="BV249" s="1999" t="e">
        <f t="shared" si="536"/>
        <v>#REF!</v>
      </c>
      <c r="BW249" s="1993" t="e">
        <f>#REF!</f>
        <v>#REF!</v>
      </c>
      <c r="BX249" s="2003">
        <f t="shared" si="505"/>
        <v>0</v>
      </c>
      <c r="BY249" s="1989" t="e">
        <f>#REF!/10^7</f>
        <v>#REF!</v>
      </c>
      <c r="BZ249" s="2003">
        <f t="shared" si="506"/>
        <v>0</v>
      </c>
      <c r="CA249" s="1989" t="e">
        <f>#REF!/10^7</f>
        <v>#REF!</v>
      </c>
      <c r="CB249" s="2003">
        <f t="shared" si="507"/>
        <v>0</v>
      </c>
      <c r="CC249" s="1989" t="e">
        <f>#REF!/10^7</f>
        <v>#REF!</v>
      </c>
      <c r="CD249" s="1989" t="e">
        <f>#REF!/10^7</f>
        <v>#REF!</v>
      </c>
      <c r="CE249" s="2002" t="e">
        <f t="shared" si="508"/>
        <v>#REF!</v>
      </c>
      <c r="CF249" s="1999" t="e">
        <f t="shared" si="537"/>
        <v>#REF!</v>
      </c>
      <c r="CG249" s="1993" t="e">
        <f>#REF!</f>
        <v>#REF!</v>
      </c>
      <c r="CH249" s="2003">
        <f t="shared" si="509"/>
        <v>0</v>
      </c>
      <c r="CI249" s="1989" t="e">
        <f>#REF!/10^7</f>
        <v>#REF!</v>
      </c>
      <c r="CJ249" s="2003">
        <f t="shared" si="510"/>
        <v>0</v>
      </c>
      <c r="CK249" s="1989" t="e">
        <f>#REF!/10^7</f>
        <v>#REF!</v>
      </c>
      <c r="CL249" s="2003">
        <f t="shared" si="511"/>
        <v>0</v>
      </c>
      <c r="CM249" s="1989" t="e">
        <f>#REF!/10^7</f>
        <v>#REF!</v>
      </c>
      <c r="CN249" s="1989" t="e">
        <f>#REF!/10^7</f>
        <v>#REF!</v>
      </c>
      <c r="CO249" s="2002" t="e">
        <f t="shared" si="512"/>
        <v>#REF!</v>
      </c>
      <c r="CP249" s="1999" t="e">
        <f t="shared" si="538"/>
        <v>#REF!</v>
      </c>
      <c r="CQ249" s="1993" t="e">
        <f>#REF!</f>
        <v>#REF!</v>
      </c>
      <c r="CR249" s="2003">
        <f t="shared" si="513"/>
        <v>0</v>
      </c>
      <c r="CS249" s="1989" t="e">
        <f>#REF!/10^7</f>
        <v>#REF!</v>
      </c>
      <c r="CT249" s="2003">
        <f t="shared" si="514"/>
        <v>0</v>
      </c>
      <c r="CU249" s="1989" t="e">
        <f>#REF!/10^7</f>
        <v>#REF!</v>
      </c>
      <c r="CV249" s="2003">
        <f t="shared" si="515"/>
        <v>0</v>
      </c>
      <c r="CW249" s="1989" t="e">
        <f>#REF!/10^7</f>
        <v>#REF!</v>
      </c>
      <c r="CX249" s="1989" t="e">
        <f>#REF!/10^7</f>
        <v>#REF!</v>
      </c>
      <c r="CY249" s="2002" t="e">
        <f t="shared" si="516"/>
        <v>#REF!</v>
      </c>
      <c r="CZ249" s="1999" t="e">
        <f t="shared" si="539"/>
        <v>#REF!</v>
      </c>
      <c r="DA249" s="1993" t="e">
        <f>#REF!</f>
        <v>#REF!</v>
      </c>
      <c r="DB249" s="2003">
        <f t="shared" si="517"/>
        <v>0</v>
      </c>
      <c r="DC249" s="1989" t="e">
        <f>#REF!/10^7</f>
        <v>#REF!</v>
      </c>
      <c r="DD249" s="2003">
        <f t="shared" si="518"/>
        <v>0</v>
      </c>
      <c r="DE249" s="1989" t="e">
        <f>#REF!/10^7</f>
        <v>#REF!</v>
      </c>
      <c r="DF249" s="2003">
        <f t="shared" si="519"/>
        <v>0</v>
      </c>
      <c r="DG249" s="1989" t="e">
        <f>#REF!/10^7</f>
        <v>#REF!</v>
      </c>
      <c r="DH249" s="1989" t="e">
        <f>#REF!/10^7</f>
        <v>#REF!</v>
      </c>
      <c r="DI249" s="2002" t="e">
        <f t="shared" si="520"/>
        <v>#REF!</v>
      </c>
      <c r="DJ249" s="1999" t="e">
        <f t="shared" si="471"/>
        <v>#REF!</v>
      </c>
      <c r="DK249" s="1993" t="e">
        <f>#REF!</f>
        <v>#REF!</v>
      </c>
      <c r="DL249" s="2003">
        <f t="shared" si="521"/>
        <v>0</v>
      </c>
      <c r="DM249" s="1989" t="e">
        <f>#REF!/10^7</f>
        <v>#REF!</v>
      </c>
      <c r="DN249" s="2003">
        <f t="shared" si="522"/>
        <v>0</v>
      </c>
      <c r="DO249" s="1989" t="e">
        <f>#REF!/10^7</f>
        <v>#REF!</v>
      </c>
      <c r="DP249" s="2003">
        <f t="shared" si="523"/>
        <v>0</v>
      </c>
      <c r="DQ249" s="1989" t="e">
        <f>#REF!/10^7</f>
        <v>#REF!</v>
      </c>
      <c r="DR249" s="1989" t="e">
        <f>#REF!/10^7</f>
        <v>#REF!</v>
      </c>
      <c r="DS249" s="2002" t="e">
        <f t="shared" si="524"/>
        <v>#REF!</v>
      </c>
      <c r="DT249" s="2004" t="e">
        <f t="shared" si="472"/>
        <v>#REF!</v>
      </c>
      <c r="DU249" s="1988" t="e">
        <f>#REF!</f>
        <v>#REF!</v>
      </c>
      <c r="DV249" s="2003">
        <f t="shared" si="525"/>
        <v>0</v>
      </c>
      <c r="DW249" s="1989" t="e">
        <f>#REF!/10^7</f>
        <v>#REF!</v>
      </c>
      <c r="DX249" s="2003">
        <f t="shared" si="526"/>
        <v>0</v>
      </c>
      <c r="DY249" s="1989" t="e">
        <f>#REF!/10^7</f>
        <v>#REF!</v>
      </c>
      <c r="DZ249" s="2003">
        <f t="shared" si="527"/>
        <v>0</v>
      </c>
      <c r="EA249" s="1989" t="e">
        <f>#REF!/10^7</f>
        <v>#REF!</v>
      </c>
      <c r="EB249" s="1989" t="e">
        <f>#REF!/10^7</f>
        <v>#REF!</v>
      </c>
      <c r="EC249" s="2002" t="e">
        <f t="shared" si="528"/>
        <v>#REF!</v>
      </c>
      <c r="ED249" s="1998" t="e">
        <f t="shared" si="473"/>
        <v>#REF!</v>
      </c>
      <c r="EE249" s="2005" t="e">
        <f t="shared" si="475"/>
        <v>#REF!</v>
      </c>
      <c r="EF249" s="2003">
        <f t="shared" si="529"/>
        <v>0</v>
      </c>
      <c r="EG249" s="1989" t="e">
        <f t="shared" si="476"/>
        <v>#REF!</v>
      </c>
      <c r="EH249" s="2003">
        <f t="shared" si="530"/>
        <v>0</v>
      </c>
      <c r="EI249" s="1989" t="e">
        <f t="shared" si="477"/>
        <v>#REF!</v>
      </c>
      <c r="EJ249" s="2003">
        <f t="shared" si="531"/>
        <v>0</v>
      </c>
      <c r="EK249" s="1989" t="e">
        <f t="shared" si="534"/>
        <v>#REF!</v>
      </c>
      <c r="EL249" s="1989" t="e">
        <f t="shared" si="534"/>
        <v>#REF!</v>
      </c>
      <c r="EM249" s="2006" t="e">
        <f t="shared" si="532"/>
        <v>#REF!</v>
      </c>
      <c r="EN249" s="1999" t="e">
        <f t="shared" si="479"/>
        <v>#REF!</v>
      </c>
      <c r="EO249" s="1613">
        <v>19.728043</v>
      </c>
      <c r="EP249" s="1613" t="e">
        <f>EA249-#REF!/10^7</f>
        <v>#REF!</v>
      </c>
      <c r="EQ249" s="1613">
        <v>0</v>
      </c>
      <c r="ER249" s="1612" t="e">
        <f t="shared" si="480"/>
        <v>#REF!</v>
      </c>
      <c r="EW249" s="1611" t="e">
        <v>#N/A</v>
      </c>
      <c r="EX249" s="1612" t="e">
        <v>#N/A</v>
      </c>
      <c r="EZ249" s="1650">
        <f t="shared" si="533"/>
        <v>0</v>
      </c>
    </row>
    <row r="250" spans="1:156" ht="21" customHeight="1">
      <c r="A250" s="1652">
        <v>60</v>
      </c>
      <c r="B250" s="1701" t="s">
        <v>1918</v>
      </c>
      <c r="C250" s="1662">
        <v>45</v>
      </c>
      <c r="D250" s="1646">
        <f t="shared" si="540"/>
        <v>100</v>
      </c>
      <c r="E250" s="1646"/>
      <c r="F250" s="1648" t="s">
        <v>1594</v>
      </c>
      <c r="G250" s="1648"/>
      <c r="H250" s="1648">
        <v>45</v>
      </c>
      <c r="I250" s="1648" t="s">
        <v>1717</v>
      </c>
      <c r="J250" s="1649">
        <v>2</v>
      </c>
      <c r="K250" s="1648"/>
      <c r="L250" s="1648"/>
      <c r="M250" s="1648"/>
      <c r="N250" s="1642"/>
      <c r="O250" s="2000" t="e">
        <f>#REF!</f>
        <v>#REF!</v>
      </c>
      <c r="P250" s="2003">
        <f t="shared" si="481"/>
        <v>0</v>
      </c>
      <c r="Q250" s="1989" t="e">
        <f>#REF!/10^7</f>
        <v>#REF!</v>
      </c>
      <c r="R250" s="2003">
        <f t="shared" si="482"/>
        <v>0</v>
      </c>
      <c r="S250" s="1989" t="e">
        <f>#REF!/10^7</f>
        <v>#REF!</v>
      </c>
      <c r="T250" s="2003">
        <f t="shared" si="483"/>
        <v>0</v>
      </c>
      <c r="U250" s="1989" t="e">
        <f>#REF!/10^7</f>
        <v>#REF!</v>
      </c>
      <c r="V250" s="1989" t="e">
        <f>#REF!/10^7</f>
        <v>#REF!</v>
      </c>
      <c r="W250" s="1989">
        <f t="shared" si="484"/>
        <v>0</v>
      </c>
      <c r="X250" s="1999" t="e">
        <f t="shared" si="467"/>
        <v>#REF!</v>
      </c>
      <c r="Y250" s="1993" t="e">
        <f>#REF!</f>
        <v>#REF!</v>
      </c>
      <c r="Z250" s="2003">
        <f t="shared" si="485"/>
        <v>0</v>
      </c>
      <c r="AA250" s="1989" t="e">
        <f>#REF!/10^7</f>
        <v>#REF!</v>
      </c>
      <c r="AB250" s="2003">
        <f t="shared" si="486"/>
        <v>0</v>
      </c>
      <c r="AC250" s="1989" t="e">
        <f>#REF!/10^7</f>
        <v>#REF!</v>
      </c>
      <c r="AD250" s="2003">
        <f t="shared" si="487"/>
        <v>0</v>
      </c>
      <c r="AE250" s="1989" t="e">
        <f>#REF!/10^7</f>
        <v>#REF!</v>
      </c>
      <c r="AF250" s="1989" t="e">
        <f>#REF!/10^7</f>
        <v>#REF!</v>
      </c>
      <c r="AG250" s="2002" t="e">
        <f t="shared" si="488"/>
        <v>#REF!</v>
      </c>
      <c r="AH250" s="1999" t="e">
        <f t="shared" si="468"/>
        <v>#REF!</v>
      </c>
      <c r="AI250" s="1993" t="e">
        <f>#REF!</f>
        <v>#REF!</v>
      </c>
      <c r="AJ250" s="2003">
        <f t="shared" si="489"/>
        <v>0</v>
      </c>
      <c r="AK250" s="1989" t="e">
        <f>#REF!/10^7</f>
        <v>#REF!</v>
      </c>
      <c r="AL250" s="2003">
        <f t="shared" si="490"/>
        <v>0</v>
      </c>
      <c r="AM250" s="1989" t="e">
        <f>#REF!/10^7</f>
        <v>#REF!</v>
      </c>
      <c r="AN250" s="2003">
        <f t="shared" si="491"/>
        <v>0</v>
      </c>
      <c r="AO250" s="1989" t="e">
        <f>#REF!/10^7</f>
        <v>#REF!</v>
      </c>
      <c r="AP250" s="1989" t="e">
        <f>#REF!/10^7</f>
        <v>#REF!</v>
      </c>
      <c r="AQ250" s="2002" t="e">
        <f t="shared" si="492"/>
        <v>#REF!</v>
      </c>
      <c r="AR250" s="1999" t="e">
        <f t="shared" si="469"/>
        <v>#REF!</v>
      </c>
      <c r="AS250" s="1993" t="e">
        <f>#REF!</f>
        <v>#REF!</v>
      </c>
      <c r="AT250" s="2003">
        <f t="shared" si="493"/>
        <v>0</v>
      </c>
      <c r="AU250" s="1989" t="e">
        <f>#REF!/10^7</f>
        <v>#REF!</v>
      </c>
      <c r="AV250" s="2003">
        <f t="shared" si="494"/>
        <v>0</v>
      </c>
      <c r="AW250" s="1989" t="e">
        <f>#REF!/10^7</f>
        <v>#REF!</v>
      </c>
      <c r="AX250" s="2003">
        <f t="shared" si="495"/>
        <v>0</v>
      </c>
      <c r="AY250" s="1989" t="e">
        <f>#REF!/10^7</f>
        <v>#REF!</v>
      </c>
      <c r="AZ250" s="1989" t="e">
        <f>#REF!/10^7</f>
        <v>#REF!</v>
      </c>
      <c r="BA250" s="2002" t="e">
        <f t="shared" si="496"/>
        <v>#REF!</v>
      </c>
      <c r="BB250" s="1999" t="e">
        <f t="shared" si="470"/>
        <v>#REF!</v>
      </c>
      <c r="BC250" s="1993" t="e">
        <f>#REF!</f>
        <v>#REF!</v>
      </c>
      <c r="BD250" s="2003">
        <f t="shared" si="497"/>
        <v>0</v>
      </c>
      <c r="BE250" s="1989" t="e">
        <f>#REF!/10^7</f>
        <v>#REF!</v>
      </c>
      <c r="BF250" s="2003">
        <f t="shared" si="498"/>
        <v>0</v>
      </c>
      <c r="BG250" s="1989" t="e">
        <f>#REF!/10^7</f>
        <v>#REF!</v>
      </c>
      <c r="BH250" s="2003">
        <f t="shared" si="499"/>
        <v>0</v>
      </c>
      <c r="BI250" s="1989" t="e">
        <f>#REF!/10^7</f>
        <v>#REF!</v>
      </c>
      <c r="BJ250" s="1989" t="e">
        <f>#REF!/10^7</f>
        <v>#REF!</v>
      </c>
      <c r="BK250" s="2002" t="e">
        <f t="shared" si="500"/>
        <v>#REF!</v>
      </c>
      <c r="BL250" s="1999" t="e">
        <f t="shared" si="535"/>
        <v>#REF!</v>
      </c>
      <c r="BM250" s="1993" t="e">
        <f>#REF!</f>
        <v>#REF!</v>
      </c>
      <c r="BN250" s="2003">
        <f t="shared" si="501"/>
        <v>0</v>
      </c>
      <c r="BO250" s="1989" t="e">
        <f>#REF!/10^7</f>
        <v>#REF!</v>
      </c>
      <c r="BP250" s="2003">
        <f t="shared" si="502"/>
        <v>0</v>
      </c>
      <c r="BQ250" s="1989" t="e">
        <f>#REF!/10^7</f>
        <v>#REF!</v>
      </c>
      <c r="BR250" s="2003">
        <f t="shared" si="503"/>
        <v>0</v>
      </c>
      <c r="BS250" s="1989" t="e">
        <f>#REF!/10^7</f>
        <v>#REF!</v>
      </c>
      <c r="BT250" s="1989" t="e">
        <f>#REF!/10^7</f>
        <v>#REF!</v>
      </c>
      <c r="BU250" s="2002" t="e">
        <f t="shared" si="504"/>
        <v>#REF!</v>
      </c>
      <c r="BV250" s="1999" t="e">
        <f t="shared" si="536"/>
        <v>#REF!</v>
      </c>
      <c r="BW250" s="1993" t="e">
        <f>#REF!</f>
        <v>#REF!</v>
      </c>
      <c r="BX250" s="2003">
        <f t="shared" si="505"/>
        <v>0</v>
      </c>
      <c r="BY250" s="1989" t="e">
        <f>#REF!/10^7</f>
        <v>#REF!</v>
      </c>
      <c r="BZ250" s="2003">
        <f t="shared" si="506"/>
        <v>0</v>
      </c>
      <c r="CA250" s="1989" t="e">
        <f>#REF!/10^7</f>
        <v>#REF!</v>
      </c>
      <c r="CB250" s="2003">
        <f t="shared" si="507"/>
        <v>0</v>
      </c>
      <c r="CC250" s="1989" t="e">
        <f>#REF!/10^7</f>
        <v>#REF!</v>
      </c>
      <c r="CD250" s="1989" t="e">
        <f>#REF!/10^7</f>
        <v>#REF!</v>
      </c>
      <c r="CE250" s="2002" t="e">
        <f t="shared" si="508"/>
        <v>#REF!</v>
      </c>
      <c r="CF250" s="1999" t="e">
        <f t="shared" si="537"/>
        <v>#REF!</v>
      </c>
      <c r="CG250" s="1993" t="e">
        <f>#REF!</f>
        <v>#REF!</v>
      </c>
      <c r="CH250" s="2003">
        <f t="shared" si="509"/>
        <v>0</v>
      </c>
      <c r="CI250" s="1989" t="e">
        <f>#REF!/10^7</f>
        <v>#REF!</v>
      </c>
      <c r="CJ250" s="2003">
        <f t="shared" si="510"/>
        <v>0</v>
      </c>
      <c r="CK250" s="1989" t="e">
        <f>#REF!/10^7</f>
        <v>#REF!</v>
      </c>
      <c r="CL250" s="2003">
        <f t="shared" si="511"/>
        <v>0</v>
      </c>
      <c r="CM250" s="1989" t="e">
        <f>#REF!/10^7</f>
        <v>#REF!</v>
      </c>
      <c r="CN250" s="1989" t="e">
        <f>#REF!/10^7</f>
        <v>#REF!</v>
      </c>
      <c r="CO250" s="2002" t="e">
        <f t="shared" si="512"/>
        <v>#REF!</v>
      </c>
      <c r="CP250" s="1999" t="e">
        <f t="shared" si="538"/>
        <v>#REF!</v>
      </c>
      <c r="CQ250" s="1993" t="e">
        <f>#REF!</f>
        <v>#REF!</v>
      </c>
      <c r="CR250" s="2003">
        <f t="shared" si="513"/>
        <v>0</v>
      </c>
      <c r="CS250" s="1989" t="e">
        <f>#REF!/10^7</f>
        <v>#REF!</v>
      </c>
      <c r="CT250" s="2003">
        <f t="shared" si="514"/>
        <v>0</v>
      </c>
      <c r="CU250" s="1989" t="e">
        <f>#REF!/10^7</f>
        <v>#REF!</v>
      </c>
      <c r="CV250" s="2003">
        <f t="shared" si="515"/>
        <v>0</v>
      </c>
      <c r="CW250" s="1989" t="e">
        <f>#REF!/10^7</f>
        <v>#REF!</v>
      </c>
      <c r="CX250" s="1989" t="e">
        <f>#REF!/10^7</f>
        <v>#REF!</v>
      </c>
      <c r="CY250" s="2002" t="e">
        <f t="shared" si="516"/>
        <v>#REF!</v>
      </c>
      <c r="CZ250" s="1999" t="e">
        <f t="shared" si="539"/>
        <v>#REF!</v>
      </c>
      <c r="DA250" s="1993" t="e">
        <f>#REF!</f>
        <v>#REF!</v>
      </c>
      <c r="DB250" s="2003">
        <f t="shared" si="517"/>
        <v>0</v>
      </c>
      <c r="DC250" s="1989" t="e">
        <f>#REF!/10^7</f>
        <v>#REF!</v>
      </c>
      <c r="DD250" s="2003">
        <f t="shared" si="518"/>
        <v>0</v>
      </c>
      <c r="DE250" s="1989" t="e">
        <f>#REF!/10^7</f>
        <v>#REF!</v>
      </c>
      <c r="DF250" s="2003">
        <f t="shared" si="519"/>
        <v>0</v>
      </c>
      <c r="DG250" s="1989" t="e">
        <f>#REF!/10^7</f>
        <v>#REF!</v>
      </c>
      <c r="DH250" s="1989" t="e">
        <f>#REF!/10^7</f>
        <v>#REF!</v>
      </c>
      <c r="DI250" s="2002" t="e">
        <f t="shared" si="520"/>
        <v>#REF!</v>
      </c>
      <c r="DJ250" s="1999" t="e">
        <f t="shared" si="471"/>
        <v>#REF!</v>
      </c>
      <c r="DK250" s="1993" t="e">
        <f>#REF!</f>
        <v>#REF!</v>
      </c>
      <c r="DL250" s="2003">
        <f t="shared" si="521"/>
        <v>0</v>
      </c>
      <c r="DM250" s="1989" t="e">
        <f>#REF!/10^7</f>
        <v>#REF!</v>
      </c>
      <c r="DN250" s="2003">
        <f t="shared" si="522"/>
        <v>0</v>
      </c>
      <c r="DO250" s="1989" t="e">
        <f>#REF!/10^7</f>
        <v>#REF!</v>
      </c>
      <c r="DP250" s="2003">
        <f t="shared" si="523"/>
        <v>0</v>
      </c>
      <c r="DQ250" s="1989" t="e">
        <f>#REF!/10^7</f>
        <v>#REF!</v>
      </c>
      <c r="DR250" s="1989" t="e">
        <f>#REF!/10^7</f>
        <v>#REF!</v>
      </c>
      <c r="DS250" s="2002" t="e">
        <f t="shared" si="524"/>
        <v>#REF!</v>
      </c>
      <c r="DT250" s="2004" t="e">
        <f t="shared" si="472"/>
        <v>#REF!</v>
      </c>
      <c r="DU250" s="1988" t="e">
        <f>#REF!</f>
        <v>#REF!</v>
      </c>
      <c r="DV250" s="2003">
        <f t="shared" si="525"/>
        <v>0</v>
      </c>
      <c r="DW250" s="1989" t="e">
        <f>#REF!/10^7</f>
        <v>#REF!</v>
      </c>
      <c r="DX250" s="2003">
        <f t="shared" si="526"/>
        <v>0</v>
      </c>
      <c r="DY250" s="1989" t="e">
        <f>#REF!/10^7</f>
        <v>#REF!</v>
      </c>
      <c r="DZ250" s="2003">
        <f t="shared" si="527"/>
        <v>0</v>
      </c>
      <c r="EA250" s="1989" t="e">
        <f>#REF!/10^7</f>
        <v>#REF!</v>
      </c>
      <c r="EB250" s="1989" t="e">
        <f>#REF!/10^7</f>
        <v>#REF!</v>
      </c>
      <c r="EC250" s="2002" t="e">
        <f t="shared" si="528"/>
        <v>#REF!</v>
      </c>
      <c r="ED250" s="1998" t="e">
        <f t="shared" si="473"/>
        <v>#REF!</v>
      </c>
      <c r="EE250" s="2005" t="e">
        <f t="shared" si="475"/>
        <v>#REF!</v>
      </c>
      <c r="EF250" s="2003">
        <f t="shared" si="529"/>
        <v>0</v>
      </c>
      <c r="EG250" s="1989" t="e">
        <f t="shared" si="476"/>
        <v>#REF!</v>
      </c>
      <c r="EH250" s="2003">
        <f t="shared" si="530"/>
        <v>0</v>
      </c>
      <c r="EI250" s="1989" t="e">
        <f t="shared" si="477"/>
        <v>#REF!</v>
      </c>
      <c r="EJ250" s="2003">
        <f t="shared" si="531"/>
        <v>0</v>
      </c>
      <c r="EK250" s="1989" t="e">
        <f t="shared" si="534"/>
        <v>#REF!</v>
      </c>
      <c r="EL250" s="1989" t="e">
        <f t="shared" si="534"/>
        <v>#REF!</v>
      </c>
      <c r="EM250" s="2006" t="e">
        <f t="shared" si="532"/>
        <v>#REF!</v>
      </c>
      <c r="EN250" s="1999" t="e">
        <f t="shared" si="479"/>
        <v>#REF!</v>
      </c>
      <c r="EO250" s="1613">
        <v>104.782067</v>
      </c>
      <c r="EP250" s="1613" t="e">
        <f>EA250-#REF!/10^7</f>
        <v>#REF!</v>
      </c>
      <c r="ER250" s="1612" t="e">
        <f t="shared" si="480"/>
        <v>#REF!</v>
      </c>
      <c r="EW250" s="1611" t="e">
        <v>#N/A</v>
      </c>
      <c r="EX250" s="1612" t="e">
        <v>#N/A</v>
      </c>
      <c r="EZ250" s="1650">
        <f t="shared" si="533"/>
        <v>0</v>
      </c>
    </row>
    <row r="251" spans="1:156" ht="21" customHeight="1">
      <c r="A251" s="1652">
        <v>61</v>
      </c>
      <c r="B251" s="1701" t="s">
        <v>1919</v>
      </c>
      <c r="C251" s="1662">
        <v>10</v>
      </c>
      <c r="D251" s="1646">
        <f t="shared" si="540"/>
        <v>100</v>
      </c>
      <c r="E251" s="1646"/>
      <c r="F251" s="1648" t="s">
        <v>1594</v>
      </c>
      <c r="G251" s="1648"/>
      <c r="H251" s="1648">
        <v>10</v>
      </c>
      <c r="I251" s="1648" t="s">
        <v>1717</v>
      </c>
      <c r="J251" s="1649">
        <v>2</v>
      </c>
      <c r="K251" s="1648"/>
      <c r="L251" s="1648"/>
      <c r="M251" s="1648"/>
      <c r="N251" s="1642"/>
      <c r="O251" s="2000" t="e">
        <f>#REF!</f>
        <v>#REF!</v>
      </c>
      <c r="P251" s="2003">
        <f t="shared" si="481"/>
        <v>0</v>
      </c>
      <c r="Q251" s="1989" t="e">
        <f>#REF!/10^7</f>
        <v>#REF!</v>
      </c>
      <c r="R251" s="2003">
        <f t="shared" si="482"/>
        <v>0</v>
      </c>
      <c r="S251" s="1989" t="e">
        <f>#REF!/10^7</f>
        <v>#REF!</v>
      </c>
      <c r="T251" s="2003">
        <f t="shared" si="483"/>
        <v>0</v>
      </c>
      <c r="U251" s="1989" t="e">
        <f>#REF!/10^7</f>
        <v>#REF!</v>
      </c>
      <c r="V251" s="1989" t="e">
        <f>#REF!/10^7</f>
        <v>#REF!</v>
      </c>
      <c r="W251" s="1989">
        <f t="shared" si="484"/>
        <v>0</v>
      </c>
      <c r="X251" s="1999" t="e">
        <f t="shared" si="467"/>
        <v>#REF!</v>
      </c>
      <c r="Y251" s="1993" t="e">
        <f>#REF!</f>
        <v>#REF!</v>
      </c>
      <c r="Z251" s="2003">
        <f t="shared" si="485"/>
        <v>0</v>
      </c>
      <c r="AA251" s="1989" t="e">
        <f>#REF!/10^7</f>
        <v>#REF!</v>
      </c>
      <c r="AB251" s="2003">
        <f t="shared" si="486"/>
        <v>0</v>
      </c>
      <c r="AC251" s="1989" t="e">
        <f>#REF!/10^7</f>
        <v>#REF!</v>
      </c>
      <c r="AD251" s="2003">
        <f t="shared" si="487"/>
        <v>0</v>
      </c>
      <c r="AE251" s="1989" t="e">
        <f>#REF!/10^7</f>
        <v>#REF!</v>
      </c>
      <c r="AF251" s="1989" t="e">
        <f>#REF!/10^7</f>
        <v>#REF!</v>
      </c>
      <c r="AG251" s="2002" t="e">
        <f t="shared" si="488"/>
        <v>#REF!</v>
      </c>
      <c r="AH251" s="1999" t="e">
        <f t="shared" si="468"/>
        <v>#REF!</v>
      </c>
      <c r="AI251" s="1993" t="e">
        <f>#REF!</f>
        <v>#REF!</v>
      </c>
      <c r="AJ251" s="2003">
        <f t="shared" si="489"/>
        <v>0</v>
      </c>
      <c r="AK251" s="1989" t="e">
        <f>#REF!/10^7</f>
        <v>#REF!</v>
      </c>
      <c r="AL251" s="2003">
        <f t="shared" si="490"/>
        <v>0</v>
      </c>
      <c r="AM251" s="1989" t="e">
        <f>#REF!/10^7</f>
        <v>#REF!</v>
      </c>
      <c r="AN251" s="2003">
        <f t="shared" si="491"/>
        <v>0</v>
      </c>
      <c r="AO251" s="1989" t="e">
        <f>#REF!/10^7</f>
        <v>#REF!</v>
      </c>
      <c r="AP251" s="1989" t="e">
        <f>#REF!/10^7</f>
        <v>#REF!</v>
      </c>
      <c r="AQ251" s="2002" t="e">
        <f t="shared" si="492"/>
        <v>#REF!</v>
      </c>
      <c r="AR251" s="1999" t="e">
        <f t="shared" si="469"/>
        <v>#REF!</v>
      </c>
      <c r="AS251" s="1993" t="e">
        <f>#REF!</f>
        <v>#REF!</v>
      </c>
      <c r="AT251" s="2003">
        <f t="shared" si="493"/>
        <v>0</v>
      </c>
      <c r="AU251" s="1989" t="e">
        <f>#REF!/10^7</f>
        <v>#REF!</v>
      </c>
      <c r="AV251" s="2003">
        <f t="shared" si="494"/>
        <v>0</v>
      </c>
      <c r="AW251" s="1989" t="e">
        <f>#REF!/10^7</f>
        <v>#REF!</v>
      </c>
      <c r="AX251" s="2003">
        <f t="shared" si="495"/>
        <v>0</v>
      </c>
      <c r="AY251" s="1989" t="e">
        <f>#REF!/10^7</f>
        <v>#REF!</v>
      </c>
      <c r="AZ251" s="1989" t="e">
        <f>#REF!/10^7</f>
        <v>#REF!</v>
      </c>
      <c r="BA251" s="2002" t="e">
        <f t="shared" si="496"/>
        <v>#REF!</v>
      </c>
      <c r="BB251" s="1999" t="e">
        <f t="shared" si="470"/>
        <v>#REF!</v>
      </c>
      <c r="BC251" s="1993" t="e">
        <f>#REF!</f>
        <v>#REF!</v>
      </c>
      <c r="BD251" s="2003">
        <f t="shared" si="497"/>
        <v>0</v>
      </c>
      <c r="BE251" s="1989" t="e">
        <f>#REF!/10^7</f>
        <v>#REF!</v>
      </c>
      <c r="BF251" s="2003">
        <f t="shared" si="498"/>
        <v>0</v>
      </c>
      <c r="BG251" s="1989" t="e">
        <f>#REF!/10^7</f>
        <v>#REF!</v>
      </c>
      <c r="BH251" s="2003">
        <f t="shared" si="499"/>
        <v>0</v>
      </c>
      <c r="BI251" s="1989" t="e">
        <f>#REF!/10^7</f>
        <v>#REF!</v>
      </c>
      <c r="BJ251" s="1989" t="e">
        <f>#REF!/10^7</f>
        <v>#REF!</v>
      </c>
      <c r="BK251" s="2002" t="e">
        <f t="shared" si="500"/>
        <v>#REF!</v>
      </c>
      <c r="BL251" s="1999" t="e">
        <f t="shared" si="535"/>
        <v>#REF!</v>
      </c>
      <c r="BM251" s="1993" t="e">
        <f>#REF!</f>
        <v>#REF!</v>
      </c>
      <c r="BN251" s="2003">
        <f t="shared" si="501"/>
        <v>0</v>
      </c>
      <c r="BO251" s="1989" t="e">
        <f>#REF!/10^7</f>
        <v>#REF!</v>
      </c>
      <c r="BP251" s="2003">
        <f t="shared" si="502"/>
        <v>0</v>
      </c>
      <c r="BQ251" s="1989" t="e">
        <f>#REF!/10^7</f>
        <v>#REF!</v>
      </c>
      <c r="BR251" s="2003">
        <f t="shared" si="503"/>
        <v>0</v>
      </c>
      <c r="BS251" s="1989" t="e">
        <f>#REF!/10^7</f>
        <v>#REF!</v>
      </c>
      <c r="BT251" s="1989" t="e">
        <f>#REF!/10^7</f>
        <v>#REF!</v>
      </c>
      <c r="BU251" s="2002" t="e">
        <f t="shared" si="504"/>
        <v>#REF!</v>
      </c>
      <c r="BV251" s="1999" t="e">
        <f t="shared" si="536"/>
        <v>#REF!</v>
      </c>
      <c r="BW251" s="1993" t="e">
        <f>#REF!</f>
        <v>#REF!</v>
      </c>
      <c r="BX251" s="2003">
        <f t="shared" si="505"/>
        <v>0</v>
      </c>
      <c r="BY251" s="1989" t="e">
        <f>#REF!/10^7</f>
        <v>#REF!</v>
      </c>
      <c r="BZ251" s="2003">
        <f t="shared" si="506"/>
        <v>0</v>
      </c>
      <c r="CA251" s="1989" t="e">
        <f>#REF!/10^7</f>
        <v>#REF!</v>
      </c>
      <c r="CB251" s="2003">
        <f t="shared" si="507"/>
        <v>0</v>
      </c>
      <c r="CC251" s="1989" t="e">
        <f>#REF!/10^7</f>
        <v>#REF!</v>
      </c>
      <c r="CD251" s="1989" t="e">
        <f>#REF!/10^7</f>
        <v>#REF!</v>
      </c>
      <c r="CE251" s="2002" t="e">
        <f t="shared" si="508"/>
        <v>#REF!</v>
      </c>
      <c r="CF251" s="1999" t="e">
        <f t="shared" si="537"/>
        <v>#REF!</v>
      </c>
      <c r="CG251" s="1993" t="e">
        <f>#REF!</f>
        <v>#REF!</v>
      </c>
      <c r="CH251" s="2003">
        <f t="shared" si="509"/>
        <v>0</v>
      </c>
      <c r="CI251" s="1989" t="e">
        <f>#REF!/10^7</f>
        <v>#REF!</v>
      </c>
      <c r="CJ251" s="2003">
        <f t="shared" si="510"/>
        <v>0</v>
      </c>
      <c r="CK251" s="1989" t="e">
        <f>#REF!/10^7</f>
        <v>#REF!</v>
      </c>
      <c r="CL251" s="2003">
        <f t="shared" si="511"/>
        <v>0</v>
      </c>
      <c r="CM251" s="1989" t="e">
        <f>#REF!/10^7</f>
        <v>#REF!</v>
      </c>
      <c r="CN251" s="1989" t="e">
        <f>#REF!/10^7</f>
        <v>#REF!</v>
      </c>
      <c r="CO251" s="2002" t="e">
        <f t="shared" si="512"/>
        <v>#REF!</v>
      </c>
      <c r="CP251" s="1999" t="e">
        <f t="shared" si="538"/>
        <v>#REF!</v>
      </c>
      <c r="CQ251" s="1993" t="e">
        <f>#REF!</f>
        <v>#REF!</v>
      </c>
      <c r="CR251" s="2003">
        <f t="shared" si="513"/>
        <v>0</v>
      </c>
      <c r="CS251" s="1989" t="e">
        <f>#REF!/10^7</f>
        <v>#REF!</v>
      </c>
      <c r="CT251" s="2003">
        <f t="shared" si="514"/>
        <v>0</v>
      </c>
      <c r="CU251" s="1989" t="e">
        <f>#REF!/10^7</f>
        <v>#REF!</v>
      </c>
      <c r="CV251" s="2003">
        <f t="shared" si="515"/>
        <v>0</v>
      </c>
      <c r="CW251" s="1989" t="e">
        <f>#REF!/10^7</f>
        <v>#REF!</v>
      </c>
      <c r="CX251" s="1989" t="e">
        <f>#REF!/10^7</f>
        <v>#REF!</v>
      </c>
      <c r="CY251" s="2002" t="e">
        <f t="shared" si="516"/>
        <v>#REF!</v>
      </c>
      <c r="CZ251" s="1999" t="e">
        <f t="shared" si="539"/>
        <v>#REF!</v>
      </c>
      <c r="DA251" s="1993" t="e">
        <f>#REF!</f>
        <v>#REF!</v>
      </c>
      <c r="DB251" s="2003">
        <f t="shared" si="517"/>
        <v>0</v>
      </c>
      <c r="DC251" s="1989" t="e">
        <f>#REF!/10^7</f>
        <v>#REF!</v>
      </c>
      <c r="DD251" s="2003">
        <f t="shared" si="518"/>
        <v>0</v>
      </c>
      <c r="DE251" s="1989" t="e">
        <f>#REF!/10^7</f>
        <v>#REF!</v>
      </c>
      <c r="DF251" s="2003">
        <f t="shared" si="519"/>
        <v>0</v>
      </c>
      <c r="DG251" s="1989" t="e">
        <f>#REF!/10^7</f>
        <v>#REF!</v>
      </c>
      <c r="DH251" s="1989" t="e">
        <f>#REF!/10^7</f>
        <v>#REF!</v>
      </c>
      <c r="DI251" s="2002" t="e">
        <f t="shared" si="520"/>
        <v>#REF!</v>
      </c>
      <c r="DJ251" s="1999" t="e">
        <f t="shared" si="471"/>
        <v>#REF!</v>
      </c>
      <c r="DK251" s="1993" t="e">
        <f>#REF!</f>
        <v>#REF!</v>
      </c>
      <c r="DL251" s="2003">
        <f t="shared" si="521"/>
        <v>0</v>
      </c>
      <c r="DM251" s="1989" t="e">
        <f>#REF!/10^7</f>
        <v>#REF!</v>
      </c>
      <c r="DN251" s="2003">
        <f t="shared" si="522"/>
        <v>0</v>
      </c>
      <c r="DO251" s="1989" t="e">
        <f>#REF!/10^7</f>
        <v>#REF!</v>
      </c>
      <c r="DP251" s="2003">
        <f t="shared" si="523"/>
        <v>0</v>
      </c>
      <c r="DQ251" s="1989" t="e">
        <f>#REF!/10^7</f>
        <v>#REF!</v>
      </c>
      <c r="DR251" s="1989" t="e">
        <f>#REF!/10^7</f>
        <v>#REF!</v>
      </c>
      <c r="DS251" s="2002" t="e">
        <f t="shared" si="524"/>
        <v>#REF!</v>
      </c>
      <c r="DT251" s="2004" t="e">
        <f t="shared" si="472"/>
        <v>#REF!</v>
      </c>
      <c r="DU251" s="1988" t="e">
        <f>#REF!</f>
        <v>#REF!</v>
      </c>
      <c r="DV251" s="2003">
        <f t="shared" si="525"/>
        <v>0</v>
      </c>
      <c r="DW251" s="1989" t="e">
        <f>#REF!/10^7</f>
        <v>#REF!</v>
      </c>
      <c r="DX251" s="2003">
        <f t="shared" si="526"/>
        <v>0</v>
      </c>
      <c r="DY251" s="1989" t="e">
        <f>#REF!/10^7</f>
        <v>#REF!</v>
      </c>
      <c r="DZ251" s="2003">
        <f t="shared" si="527"/>
        <v>0</v>
      </c>
      <c r="EA251" s="1989" t="e">
        <f>#REF!/10^7</f>
        <v>#REF!</v>
      </c>
      <c r="EB251" s="1989" t="e">
        <f>#REF!/10^7</f>
        <v>#REF!</v>
      </c>
      <c r="EC251" s="2002" t="e">
        <f t="shared" si="528"/>
        <v>#REF!</v>
      </c>
      <c r="ED251" s="1998" t="e">
        <f t="shared" si="473"/>
        <v>#REF!</v>
      </c>
      <c r="EE251" s="2005" t="e">
        <f t="shared" si="475"/>
        <v>#REF!</v>
      </c>
      <c r="EF251" s="2003">
        <f t="shared" si="529"/>
        <v>0</v>
      </c>
      <c r="EG251" s="1989" t="e">
        <f t="shared" si="476"/>
        <v>#REF!</v>
      </c>
      <c r="EH251" s="2003">
        <f t="shared" si="530"/>
        <v>0</v>
      </c>
      <c r="EI251" s="1989" t="e">
        <f t="shared" si="477"/>
        <v>#REF!</v>
      </c>
      <c r="EJ251" s="2003">
        <f t="shared" si="531"/>
        <v>0</v>
      </c>
      <c r="EK251" s="1989" t="e">
        <f t="shared" si="534"/>
        <v>#REF!</v>
      </c>
      <c r="EL251" s="1989" t="e">
        <f t="shared" si="534"/>
        <v>#REF!</v>
      </c>
      <c r="EM251" s="2006" t="e">
        <f t="shared" si="532"/>
        <v>#REF!</v>
      </c>
      <c r="EN251" s="1999" t="e">
        <f t="shared" si="479"/>
        <v>#REF!</v>
      </c>
      <c r="EO251" s="1613">
        <v>33.322699999999998</v>
      </c>
      <c r="EP251" s="1613" t="e">
        <f>EA251-#REF!/10^7</f>
        <v>#REF!</v>
      </c>
      <c r="EQ251" s="1613">
        <v>0</v>
      </c>
      <c r="ER251" s="1612" t="e">
        <f t="shared" si="480"/>
        <v>#REF!</v>
      </c>
      <c r="EW251" s="1611" t="e">
        <v>#N/A</v>
      </c>
      <c r="EX251" s="1612" t="e">
        <v>#N/A</v>
      </c>
      <c r="EZ251" s="1650">
        <f t="shared" si="533"/>
        <v>0</v>
      </c>
    </row>
    <row r="252" spans="1:156" ht="21" customHeight="1">
      <c r="A252" s="1652">
        <v>62</v>
      </c>
      <c r="B252" s="1701" t="s">
        <v>1920</v>
      </c>
      <c r="C252" s="1662">
        <v>14.67</v>
      </c>
      <c r="D252" s="1646">
        <f t="shared" si="540"/>
        <v>100</v>
      </c>
      <c r="E252" s="1646"/>
      <c r="F252" s="1648" t="s">
        <v>1594</v>
      </c>
      <c r="G252" s="1648"/>
      <c r="H252" s="1648">
        <v>14.67</v>
      </c>
      <c r="I252" s="1648" t="s">
        <v>1717</v>
      </c>
      <c r="J252" s="1649">
        <v>2</v>
      </c>
      <c r="K252" s="1648"/>
      <c r="L252" s="1648"/>
      <c r="M252" s="1648"/>
      <c r="N252" s="1642"/>
      <c r="O252" s="2000" t="e">
        <f>#REF!</f>
        <v>#REF!</v>
      </c>
      <c r="P252" s="2003">
        <f t="shared" si="481"/>
        <v>0</v>
      </c>
      <c r="Q252" s="1989" t="e">
        <f>#REF!/10^7</f>
        <v>#REF!</v>
      </c>
      <c r="R252" s="2003">
        <f t="shared" si="482"/>
        <v>0</v>
      </c>
      <c r="S252" s="1989" t="e">
        <f>#REF!/10^7</f>
        <v>#REF!</v>
      </c>
      <c r="T252" s="2003">
        <f t="shared" si="483"/>
        <v>0</v>
      </c>
      <c r="U252" s="1989" t="e">
        <f>#REF!/10^7</f>
        <v>#REF!</v>
      </c>
      <c r="V252" s="1989" t="e">
        <f>#REF!/10^7</f>
        <v>#REF!</v>
      </c>
      <c r="W252" s="1989">
        <f t="shared" si="484"/>
        <v>0</v>
      </c>
      <c r="X252" s="1999" t="e">
        <f t="shared" si="467"/>
        <v>#REF!</v>
      </c>
      <c r="Y252" s="1993" t="e">
        <f>#REF!</f>
        <v>#REF!</v>
      </c>
      <c r="Z252" s="2003">
        <f t="shared" si="485"/>
        <v>0</v>
      </c>
      <c r="AA252" s="1989" t="e">
        <f>#REF!/10^7</f>
        <v>#REF!</v>
      </c>
      <c r="AB252" s="2003">
        <f t="shared" si="486"/>
        <v>0</v>
      </c>
      <c r="AC252" s="1989" t="e">
        <f>#REF!/10^7</f>
        <v>#REF!</v>
      </c>
      <c r="AD252" s="2003">
        <f t="shared" si="487"/>
        <v>0</v>
      </c>
      <c r="AE252" s="1989" t="e">
        <f>#REF!/10^7</f>
        <v>#REF!</v>
      </c>
      <c r="AF252" s="1989" t="e">
        <f>#REF!/10^7</f>
        <v>#REF!</v>
      </c>
      <c r="AG252" s="2002" t="e">
        <f t="shared" si="488"/>
        <v>#REF!</v>
      </c>
      <c r="AH252" s="1999" t="e">
        <f t="shared" si="468"/>
        <v>#REF!</v>
      </c>
      <c r="AI252" s="1993" t="e">
        <f>#REF!</f>
        <v>#REF!</v>
      </c>
      <c r="AJ252" s="2003">
        <f t="shared" si="489"/>
        <v>0</v>
      </c>
      <c r="AK252" s="1989" t="e">
        <f>#REF!/10^7</f>
        <v>#REF!</v>
      </c>
      <c r="AL252" s="2003">
        <f t="shared" si="490"/>
        <v>0</v>
      </c>
      <c r="AM252" s="1989" t="e">
        <f>#REF!/10^7</f>
        <v>#REF!</v>
      </c>
      <c r="AN252" s="2003">
        <f t="shared" si="491"/>
        <v>0</v>
      </c>
      <c r="AO252" s="1989" t="e">
        <f>#REF!/10^7</f>
        <v>#REF!</v>
      </c>
      <c r="AP252" s="1989" t="e">
        <f>#REF!/10^7</f>
        <v>#REF!</v>
      </c>
      <c r="AQ252" s="2002" t="e">
        <f t="shared" si="492"/>
        <v>#REF!</v>
      </c>
      <c r="AR252" s="1999" t="e">
        <f t="shared" si="469"/>
        <v>#REF!</v>
      </c>
      <c r="AS252" s="1993" t="e">
        <f>#REF!</f>
        <v>#REF!</v>
      </c>
      <c r="AT252" s="2003">
        <f t="shared" si="493"/>
        <v>0</v>
      </c>
      <c r="AU252" s="1989" t="e">
        <f>#REF!/10^7</f>
        <v>#REF!</v>
      </c>
      <c r="AV252" s="2003">
        <f t="shared" si="494"/>
        <v>0</v>
      </c>
      <c r="AW252" s="1989" t="e">
        <f>#REF!/10^7</f>
        <v>#REF!</v>
      </c>
      <c r="AX252" s="2003">
        <f t="shared" si="495"/>
        <v>0</v>
      </c>
      <c r="AY252" s="1989" t="e">
        <f>#REF!/10^7</f>
        <v>#REF!</v>
      </c>
      <c r="AZ252" s="1989" t="e">
        <f>#REF!/10^7</f>
        <v>#REF!</v>
      </c>
      <c r="BA252" s="2002" t="e">
        <f t="shared" si="496"/>
        <v>#REF!</v>
      </c>
      <c r="BB252" s="1999" t="e">
        <f t="shared" si="470"/>
        <v>#REF!</v>
      </c>
      <c r="BC252" s="1993" t="e">
        <f>#REF!</f>
        <v>#REF!</v>
      </c>
      <c r="BD252" s="2003">
        <f t="shared" si="497"/>
        <v>0</v>
      </c>
      <c r="BE252" s="1989" t="e">
        <f>#REF!/10^7</f>
        <v>#REF!</v>
      </c>
      <c r="BF252" s="2003">
        <f t="shared" si="498"/>
        <v>0</v>
      </c>
      <c r="BG252" s="1989" t="e">
        <f>#REF!/10^7</f>
        <v>#REF!</v>
      </c>
      <c r="BH252" s="2003">
        <f t="shared" si="499"/>
        <v>0</v>
      </c>
      <c r="BI252" s="1989" t="e">
        <f>#REF!/10^7</f>
        <v>#REF!</v>
      </c>
      <c r="BJ252" s="1989" t="e">
        <f>#REF!/10^7</f>
        <v>#REF!</v>
      </c>
      <c r="BK252" s="2002" t="e">
        <f t="shared" si="500"/>
        <v>#REF!</v>
      </c>
      <c r="BL252" s="1999" t="e">
        <f t="shared" si="535"/>
        <v>#REF!</v>
      </c>
      <c r="BM252" s="1993" t="e">
        <f>#REF!</f>
        <v>#REF!</v>
      </c>
      <c r="BN252" s="2003">
        <f t="shared" si="501"/>
        <v>0</v>
      </c>
      <c r="BO252" s="1989" t="e">
        <f>#REF!/10^7</f>
        <v>#REF!</v>
      </c>
      <c r="BP252" s="2003">
        <f t="shared" si="502"/>
        <v>0</v>
      </c>
      <c r="BQ252" s="1989" t="e">
        <f>#REF!/10^7</f>
        <v>#REF!</v>
      </c>
      <c r="BR252" s="2003">
        <f t="shared" si="503"/>
        <v>0</v>
      </c>
      <c r="BS252" s="1989" t="e">
        <f>#REF!/10^7</f>
        <v>#REF!</v>
      </c>
      <c r="BT252" s="1989" t="e">
        <f>#REF!/10^7</f>
        <v>#REF!</v>
      </c>
      <c r="BU252" s="2002" t="e">
        <f t="shared" si="504"/>
        <v>#REF!</v>
      </c>
      <c r="BV252" s="1999" t="e">
        <f t="shared" si="536"/>
        <v>#REF!</v>
      </c>
      <c r="BW252" s="1993" t="e">
        <f>#REF!</f>
        <v>#REF!</v>
      </c>
      <c r="BX252" s="2003">
        <f t="shared" si="505"/>
        <v>0</v>
      </c>
      <c r="BY252" s="1989" t="e">
        <f>#REF!/10^7</f>
        <v>#REF!</v>
      </c>
      <c r="BZ252" s="2003">
        <f t="shared" si="506"/>
        <v>0</v>
      </c>
      <c r="CA252" s="1989" t="e">
        <f>#REF!/10^7</f>
        <v>#REF!</v>
      </c>
      <c r="CB252" s="2003">
        <f t="shared" si="507"/>
        <v>0</v>
      </c>
      <c r="CC252" s="1989" t="e">
        <f>#REF!/10^7</f>
        <v>#REF!</v>
      </c>
      <c r="CD252" s="1989" t="e">
        <f>#REF!/10^7</f>
        <v>#REF!</v>
      </c>
      <c r="CE252" s="2002" t="e">
        <f t="shared" si="508"/>
        <v>#REF!</v>
      </c>
      <c r="CF252" s="1999" t="e">
        <f t="shared" si="537"/>
        <v>#REF!</v>
      </c>
      <c r="CG252" s="1993" t="e">
        <f>#REF!</f>
        <v>#REF!</v>
      </c>
      <c r="CH252" s="2003">
        <f t="shared" si="509"/>
        <v>0</v>
      </c>
      <c r="CI252" s="1989" t="e">
        <f>#REF!/10^7</f>
        <v>#REF!</v>
      </c>
      <c r="CJ252" s="2003">
        <f t="shared" si="510"/>
        <v>0</v>
      </c>
      <c r="CK252" s="1989" t="e">
        <f>#REF!/10^7</f>
        <v>#REF!</v>
      </c>
      <c r="CL252" s="2003">
        <f t="shared" si="511"/>
        <v>0</v>
      </c>
      <c r="CM252" s="1989" t="e">
        <f>#REF!/10^7</f>
        <v>#REF!</v>
      </c>
      <c r="CN252" s="1989" t="e">
        <f>#REF!/10^7</f>
        <v>#REF!</v>
      </c>
      <c r="CO252" s="2002" t="e">
        <f t="shared" si="512"/>
        <v>#REF!</v>
      </c>
      <c r="CP252" s="1999" t="e">
        <f t="shared" si="538"/>
        <v>#REF!</v>
      </c>
      <c r="CQ252" s="1993" t="e">
        <f>#REF!</f>
        <v>#REF!</v>
      </c>
      <c r="CR252" s="2003">
        <f t="shared" si="513"/>
        <v>0</v>
      </c>
      <c r="CS252" s="1989" t="e">
        <f>#REF!/10^7</f>
        <v>#REF!</v>
      </c>
      <c r="CT252" s="2003">
        <f t="shared" si="514"/>
        <v>0</v>
      </c>
      <c r="CU252" s="1989" t="e">
        <f>#REF!/10^7</f>
        <v>#REF!</v>
      </c>
      <c r="CV252" s="2003">
        <f t="shared" si="515"/>
        <v>0</v>
      </c>
      <c r="CW252" s="1989" t="e">
        <f>#REF!/10^7</f>
        <v>#REF!</v>
      </c>
      <c r="CX252" s="1989" t="e">
        <f>#REF!/10^7</f>
        <v>#REF!</v>
      </c>
      <c r="CY252" s="2002" t="e">
        <f t="shared" si="516"/>
        <v>#REF!</v>
      </c>
      <c r="CZ252" s="1999" t="e">
        <f t="shared" si="539"/>
        <v>#REF!</v>
      </c>
      <c r="DA252" s="1993" t="e">
        <f>#REF!</f>
        <v>#REF!</v>
      </c>
      <c r="DB252" s="2003">
        <f t="shared" si="517"/>
        <v>0</v>
      </c>
      <c r="DC252" s="1989" t="e">
        <f>#REF!/10^7</f>
        <v>#REF!</v>
      </c>
      <c r="DD252" s="2003">
        <f t="shared" si="518"/>
        <v>0</v>
      </c>
      <c r="DE252" s="1989" t="e">
        <f>#REF!/10^7</f>
        <v>#REF!</v>
      </c>
      <c r="DF252" s="2003">
        <f t="shared" si="519"/>
        <v>0</v>
      </c>
      <c r="DG252" s="1989" t="e">
        <f>#REF!/10^7</f>
        <v>#REF!</v>
      </c>
      <c r="DH252" s="1989" t="e">
        <f>#REF!/10^7</f>
        <v>#REF!</v>
      </c>
      <c r="DI252" s="2002" t="e">
        <f t="shared" si="520"/>
        <v>#REF!</v>
      </c>
      <c r="DJ252" s="1999" t="e">
        <f t="shared" si="471"/>
        <v>#REF!</v>
      </c>
      <c r="DK252" s="1993" t="e">
        <f>#REF!</f>
        <v>#REF!</v>
      </c>
      <c r="DL252" s="2003">
        <f t="shared" si="521"/>
        <v>0</v>
      </c>
      <c r="DM252" s="1989" t="e">
        <f>#REF!/10^7</f>
        <v>#REF!</v>
      </c>
      <c r="DN252" s="2003">
        <f t="shared" si="522"/>
        <v>0</v>
      </c>
      <c r="DO252" s="1989" t="e">
        <f>#REF!/10^7</f>
        <v>#REF!</v>
      </c>
      <c r="DP252" s="2003">
        <f t="shared" si="523"/>
        <v>0</v>
      </c>
      <c r="DQ252" s="1989" t="e">
        <f>#REF!/10^7</f>
        <v>#REF!</v>
      </c>
      <c r="DR252" s="1989" t="e">
        <f>#REF!/10^7</f>
        <v>#REF!</v>
      </c>
      <c r="DS252" s="2002" t="e">
        <f t="shared" si="524"/>
        <v>#REF!</v>
      </c>
      <c r="DT252" s="2004" t="e">
        <f t="shared" si="472"/>
        <v>#REF!</v>
      </c>
      <c r="DU252" s="1988" t="e">
        <f>#REF!</f>
        <v>#REF!</v>
      </c>
      <c r="DV252" s="2003">
        <f t="shared" si="525"/>
        <v>0</v>
      </c>
      <c r="DW252" s="1989" t="e">
        <f>#REF!/10^7</f>
        <v>#REF!</v>
      </c>
      <c r="DX252" s="2003">
        <f t="shared" si="526"/>
        <v>0</v>
      </c>
      <c r="DY252" s="1989" t="e">
        <f>#REF!/10^7</f>
        <v>#REF!</v>
      </c>
      <c r="DZ252" s="2003">
        <f t="shared" si="527"/>
        <v>0</v>
      </c>
      <c r="EA252" s="1989" t="e">
        <f>#REF!/10^7</f>
        <v>#REF!</v>
      </c>
      <c r="EB252" s="1989" t="e">
        <f>#REF!/10^7</f>
        <v>#REF!</v>
      </c>
      <c r="EC252" s="2002" t="e">
        <f t="shared" si="528"/>
        <v>#REF!</v>
      </c>
      <c r="ED252" s="1998" t="e">
        <f t="shared" si="473"/>
        <v>#REF!</v>
      </c>
      <c r="EE252" s="2005" t="e">
        <f t="shared" si="475"/>
        <v>#REF!</v>
      </c>
      <c r="EF252" s="2003">
        <f t="shared" si="529"/>
        <v>0</v>
      </c>
      <c r="EG252" s="1989" t="e">
        <f t="shared" si="476"/>
        <v>#REF!</v>
      </c>
      <c r="EH252" s="2003">
        <f t="shared" si="530"/>
        <v>0</v>
      </c>
      <c r="EI252" s="1989" t="e">
        <f t="shared" si="477"/>
        <v>#REF!</v>
      </c>
      <c r="EJ252" s="2003">
        <f t="shared" si="531"/>
        <v>0</v>
      </c>
      <c r="EK252" s="1989" t="e">
        <f t="shared" si="534"/>
        <v>#REF!</v>
      </c>
      <c r="EL252" s="1989" t="e">
        <f t="shared" si="534"/>
        <v>#REF!</v>
      </c>
      <c r="EM252" s="2006" t="e">
        <f t="shared" si="532"/>
        <v>#REF!</v>
      </c>
      <c r="EN252" s="1999" t="e">
        <f t="shared" si="479"/>
        <v>#REF!</v>
      </c>
      <c r="EO252" s="1613">
        <v>81.960160999999999</v>
      </c>
      <c r="EP252" s="1613" t="e">
        <f>EA252-#REF!/10^7</f>
        <v>#REF!</v>
      </c>
      <c r="ER252" s="1612" t="e">
        <f t="shared" si="480"/>
        <v>#REF!</v>
      </c>
      <c r="EW252" s="1611" t="e">
        <v>#N/A</v>
      </c>
      <c r="EX252" s="1612" t="e">
        <v>#N/A</v>
      </c>
      <c r="EZ252" s="1650">
        <f t="shared" si="533"/>
        <v>0</v>
      </c>
    </row>
    <row r="253" spans="1:156" ht="21" customHeight="1">
      <c r="A253" s="1652">
        <v>63</v>
      </c>
      <c r="B253" s="1701" t="s">
        <v>1921</v>
      </c>
      <c r="C253" s="1662">
        <v>24</v>
      </c>
      <c r="D253" s="1646">
        <f t="shared" si="540"/>
        <v>100</v>
      </c>
      <c r="E253" s="1646"/>
      <c r="F253" s="1648" t="s">
        <v>1594</v>
      </c>
      <c r="G253" s="1648"/>
      <c r="H253" s="1648">
        <v>24</v>
      </c>
      <c r="I253" s="1648" t="s">
        <v>1717</v>
      </c>
      <c r="J253" s="1649">
        <v>2</v>
      </c>
      <c r="K253" s="1648"/>
      <c r="L253" s="1648"/>
      <c r="M253" s="1648"/>
      <c r="N253" s="1642"/>
      <c r="O253" s="2000" t="e">
        <f>#REF!</f>
        <v>#REF!</v>
      </c>
      <c r="P253" s="2003">
        <f t="shared" si="481"/>
        <v>0</v>
      </c>
      <c r="Q253" s="1989" t="e">
        <f>#REF!/10^7</f>
        <v>#REF!</v>
      </c>
      <c r="R253" s="2003">
        <f t="shared" si="482"/>
        <v>0</v>
      </c>
      <c r="S253" s="1989" t="e">
        <f>#REF!/10^7</f>
        <v>#REF!</v>
      </c>
      <c r="T253" s="2003">
        <f t="shared" si="483"/>
        <v>0</v>
      </c>
      <c r="U253" s="1989" t="e">
        <f>#REF!/10^7</f>
        <v>#REF!</v>
      </c>
      <c r="V253" s="1989" t="e">
        <f>#REF!/10^7</f>
        <v>#REF!</v>
      </c>
      <c r="W253" s="1989">
        <f t="shared" si="484"/>
        <v>0</v>
      </c>
      <c r="X253" s="1999" t="e">
        <f t="shared" ref="X253:X271" si="541">Q253+S253+U253+V253</f>
        <v>#REF!</v>
      </c>
      <c r="Y253" s="1993" t="e">
        <f>#REF!</f>
        <v>#REF!</v>
      </c>
      <c r="Z253" s="2003">
        <f t="shared" si="485"/>
        <v>0</v>
      </c>
      <c r="AA253" s="1989" t="e">
        <f>#REF!/10^7</f>
        <v>#REF!</v>
      </c>
      <c r="AB253" s="2003">
        <f t="shared" si="486"/>
        <v>0</v>
      </c>
      <c r="AC253" s="1989" t="e">
        <f>#REF!/10^7</f>
        <v>#REF!</v>
      </c>
      <c r="AD253" s="2003">
        <f t="shared" si="487"/>
        <v>0</v>
      </c>
      <c r="AE253" s="1989" t="e">
        <f>#REF!/10^7</f>
        <v>#REF!</v>
      </c>
      <c r="AF253" s="1989" t="e">
        <f>#REF!/10^7</f>
        <v>#REF!</v>
      </c>
      <c r="AG253" s="2002" t="e">
        <f t="shared" si="488"/>
        <v>#REF!</v>
      </c>
      <c r="AH253" s="1999" t="e">
        <f t="shared" ref="AH253:AH271" si="542">AA253+AC253+AE253+AF253</f>
        <v>#REF!</v>
      </c>
      <c r="AI253" s="1993" t="e">
        <f>#REF!</f>
        <v>#REF!</v>
      </c>
      <c r="AJ253" s="2003">
        <f t="shared" si="489"/>
        <v>0</v>
      </c>
      <c r="AK253" s="1989" t="e">
        <f>#REF!/10^7</f>
        <v>#REF!</v>
      </c>
      <c r="AL253" s="2003">
        <f t="shared" si="490"/>
        <v>0</v>
      </c>
      <c r="AM253" s="1989" t="e">
        <f>#REF!/10^7</f>
        <v>#REF!</v>
      </c>
      <c r="AN253" s="2003">
        <f t="shared" si="491"/>
        <v>0</v>
      </c>
      <c r="AO253" s="1989" t="e">
        <f>#REF!/10^7</f>
        <v>#REF!</v>
      </c>
      <c r="AP253" s="1989" t="e">
        <f>#REF!/10^7</f>
        <v>#REF!</v>
      </c>
      <c r="AQ253" s="2002" t="e">
        <f t="shared" si="492"/>
        <v>#REF!</v>
      </c>
      <c r="AR253" s="1999" t="e">
        <f t="shared" ref="AR253:AR271" si="543">AK253+AM253+AO253+AP253</f>
        <v>#REF!</v>
      </c>
      <c r="AS253" s="1993" t="e">
        <f>#REF!</f>
        <v>#REF!</v>
      </c>
      <c r="AT253" s="2003">
        <f t="shared" si="493"/>
        <v>0</v>
      </c>
      <c r="AU253" s="1989" t="e">
        <f>#REF!/10^7</f>
        <v>#REF!</v>
      </c>
      <c r="AV253" s="2003">
        <f t="shared" si="494"/>
        <v>0</v>
      </c>
      <c r="AW253" s="1989" t="e">
        <f>#REF!/10^7</f>
        <v>#REF!</v>
      </c>
      <c r="AX253" s="2003">
        <f t="shared" si="495"/>
        <v>0</v>
      </c>
      <c r="AY253" s="1989" t="e">
        <f>#REF!/10^7</f>
        <v>#REF!</v>
      </c>
      <c r="AZ253" s="1989" t="e">
        <f>#REF!/10^7</f>
        <v>#REF!</v>
      </c>
      <c r="BA253" s="2002" t="e">
        <f t="shared" si="496"/>
        <v>#REF!</v>
      </c>
      <c r="BB253" s="1999" t="e">
        <f t="shared" ref="BB253:BB271" si="544">AU253+AW253+AY253+AZ253</f>
        <v>#REF!</v>
      </c>
      <c r="BC253" s="1993" t="e">
        <f>#REF!</f>
        <v>#REF!</v>
      </c>
      <c r="BD253" s="2003">
        <f t="shared" si="497"/>
        <v>0</v>
      </c>
      <c r="BE253" s="1989" t="e">
        <f>#REF!/10^7</f>
        <v>#REF!</v>
      </c>
      <c r="BF253" s="2003">
        <f t="shared" si="498"/>
        <v>0</v>
      </c>
      <c r="BG253" s="1989" t="e">
        <f>#REF!/10^7</f>
        <v>#REF!</v>
      </c>
      <c r="BH253" s="2003">
        <f t="shared" si="499"/>
        <v>0</v>
      </c>
      <c r="BI253" s="1989" t="e">
        <f>#REF!/10^7</f>
        <v>#REF!</v>
      </c>
      <c r="BJ253" s="1989" t="e">
        <f>#REF!/10^7</f>
        <v>#REF!</v>
      </c>
      <c r="BK253" s="2002" t="e">
        <f t="shared" si="500"/>
        <v>#REF!</v>
      </c>
      <c r="BL253" s="1999" t="e">
        <f t="shared" si="535"/>
        <v>#REF!</v>
      </c>
      <c r="BM253" s="1993" t="e">
        <f>#REF!</f>
        <v>#REF!</v>
      </c>
      <c r="BN253" s="2003">
        <f t="shared" si="501"/>
        <v>0</v>
      </c>
      <c r="BO253" s="1989" t="e">
        <f>#REF!/10^7</f>
        <v>#REF!</v>
      </c>
      <c r="BP253" s="2003">
        <f t="shared" si="502"/>
        <v>0</v>
      </c>
      <c r="BQ253" s="1989" t="e">
        <f>#REF!/10^7</f>
        <v>#REF!</v>
      </c>
      <c r="BR253" s="2003">
        <f t="shared" si="503"/>
        <v>0</v>
      </c>
      <c r="BS253" s="1989" t="e">
        <f>#REF!/10^7</f>
        <v>#REF!</v>
      </c>
      <c r="BT253" s="1989" t="e">
        <f>#REF!/10^7</f>
        <v>#REF!</v>
      </c>
      <c r="BU253" s="2002" t="e">
        <f t="shared" si="504"/>
        <v>#REF!</v>
      </c>
      <c r="BV253" s="1999" t="e">
        <f t="shared" si="536"/>
        <v>#REF!</v>
      </c>
      <c r="BW253" s="1993" t="e">
        <f>#REF!</f>
        <v>#REF!</v>
      </c>
      <c r="BX253" s="2003">
        <f t="shared" si="505"/>
        <v>0</v>
      </c>
      <c r="BY253" s="1989" t="e">
        <f>#REF!/10^7</f>
        <v>#REF!</v>
      </c>
      <c r="BZ253" s="2003">
        <f t="shared" si="506"/>
        <v>0</v>
      </c>
      <c r="CA253" s="1989" t="e">
        <f>#REF!/10^7</f>
        <v>#REF!</v>
      </c>
      <c r="CB253" s="2003">
        <f t="shared" si="507"/>
        <v>0</v>
      </c>
      <c r="CC253" s="1989" t="e">
        <f>#REF!/10^7</f>
        <v>#REF!</v>
      </c>
      <c r="CD253" s="1989" t="e">
        <f>#REF!/10^7</f>
        <v>#REF!</v>
      </c>
      <c r="CE253" s="2002" t="e">
        <f t="shared" si="508"/>
        <v>#REF!</v>
      </c>
      <c r="CF253" s="1999" t="e">
        <f t="shared" si="537"/>
        <v>#REF!</v>
      </c>
      <c r="CG253" s="1993" t="e">
        <f>#REF!</f>
        <v>#REF!</v>
      </c>
      <c r="CH253" s="2003">
        <f t="shared" si="509"/>
        <v>0</v>
      </c>
      <c r="CI253" s="1989" t="e">
        <f>#REF!/10^7</f>
        <v>#REF!</v>
      </c>
      <c r="CJ253" s="2003">
        <f t="shared" si="510"/>
        <v>0</v>
      </c>
      <c r="CK253" s="1989" t="e">
        <f>#REF!/10^7</f>
        <v>#REF!</v>
      </c>
      <c r="CL253" s="2003">
        <f t="shared" si="511"/>
        <v>0</v>
      </c>
      <c r="CM253" s="1989" t="e">
        <f>#REF!/10^7</f>
        <v>#REF!</v>
      </c>
      <c r="CN253" s="1989" t="e">
        <f>#REF!/10^7</f>
        <v>#REF!</v>
      </c>
      <c r="CO253" s="2002" t="e">
        <f t="shared" si="512"/>
        <v>#REF!</v>
      </c>
      <c r="CP253" s="1999" t="e">
        <f t="shared" si="538"/>
        <v>#REF!</v>
      </c>
      <c r="CQ253" s="1993" t="e">
        <f>#REF!</f>
        <v>#REF!</v>
      </c>
      <c r="CR253" s="2003">
        <f t="shared" si="513"/>
        <v>0</v>
      </c>
      <c r="CS253" s="1989" t="e">
        <f>#REF!/10^7</f>
        <v>#REF!</v>
      </c>
      <c r="CT253" s="2003">
        <f t="shared" si="514"/>
        <v>0</v>
      </c>
      <c r="CU253" s="1989" t="e">
        <f>#REF!/10^7</f>
        <v>#REF!</v>
      </c>
      <c r="CV253" s="2003">
        <f t="shared" si="515"/>
        <v>0</v>
      </c>
      <c r="CW253" s="1989" t="e">
        <f>#REF!/10^7</f>
        <v>#REF!</v>
      </c>
      <c r="CX253" s="1989" t="e">
        <f>#REF!/10^7</f>
        <v>#REF!</v>
      </c>
      <c r="CY253" s="2002" t="e">
        <f t="shared" si="516"/>
        <v>#REF!</v>
      </c>
      <c r="CZ253" s="1999" t="e">
        <f t="shared" si="539"/>
        <v>#REF!</v>
      </c>
      <c r="DA253" s="1993" t="e">
        <f>#REF!</f>
        <v>#REF!</v>
      </c>
      <c r="DB253" s="2003">
        <f t="shared" si="517"/>
        <v>0</v>
      </c>
      <c r="DC253" s="1989" t="e">
        <f>#REF!/10^7</f>
        <v>#REF!</v>
      </c>
      <c r="DD253" s="2003">
        <f t="shared" si="518"/>
        <v>0</v>
      </c>
      <c r="DE253" s="1989" t="e">
        <f>#REF!/10^7</f>
        <v>#REF!</v>
      </c>
      <c r="DF253" s="2003">
        <f t="shared" si="519"/>
        <v>0</v>
      </c>
      <c r="DG253" s="1989" t="e">
        <f>#REF!/10^7</f>
        <v>#REF!</v>
      </c>
      <c r="DH253" s="1989" t="e">
        <f>#REF!/10^7</f>
        <v>#REF!</v>
      </c>
      <c r="DI253" s="2002" t="e">
        <f t="shared" si="520"/>
        <v>#REF!</v>
      </c>
      <c r="DJ253" s="1999" t="e">
        <f t="shared" ref="DJ253:DJ271" si="545">DC253+DE253+DG253+DH253</f>
        <v>#REF!</v>
      </c>
      <c r="DK253" s="1993" t="e">
        <f>#REF!</f>
        <v>#REF!</v>
      </c>
      <c r="DL253" s="2003">
        <f t="shared" si="521"/>
        <v>0</v>
      </c>
      <c r="DM253" s="1989" t="e">
        <f>#REF!/10^7</f>
        <v>#REF!</v>
      </c>
      <c r="DN253" s="2003">
        <f t="shared" si="522"/>
        <v>0</v>
      </c>
      <c r="DO253" s="1989" t="e">
        <f>#REF!/10^7</f>
        <v>#REF!</v>
      </c>
      <c r="DP253" s="2003">
        <f t="shared" si="523"/>
        <v>0</v>
      </c>
      <c r="DQ253" s="1989" t="e">
        <f>#REF!/10^7</f>
        <v>#REF!</v>
      </c>
      <c r="DR253" s="1989" t="e">
        <f>#REF!/10^7</f>
        <v>#REF!</v>
      </c>
      <c r="DS253" s="2002" t="e">
        <f t="shared" si="524"/>
        <v>#REF!</v>
      </c>
      <c r="DT253" s="2004" t="e">
        <f t="shared" ref="DT253:DT271" si="546">DM253+DO253+DQ253+DR253</f>
        <v>#REF!</v>
      </c>
      <c r="DU253" s="1988" t="e">
        <f>#REF!</f>
        <v>#REF!</v>
      </c>
      <c r="DV253" s="2003">
        <f t="shared" si="525"/>
        <v>0</v>
      </c>
      <c r="DW253" s="1989" t="e">
        <f>#REF!/10^7</f>
        <v>#REF!</v>
      </c>
      <c r="DX253" s="2003">
        <f t="shared" si="526"/>
        <v>0</v>
      </c>
      <c r="DY253" s="1989" t="e">
        <f>#REF!/10^7</f>
        <v>#REF!</v>
      </c>
      <c r="DZ253" s="2003">
        <f t="shared" si="527"/>
        <v>0</v>
      </c>
      <c r="EA253" s="1989" t="e">
        <f>#REF!/10^7</f>
        <v>#REF!</v>
      </c>
      <c r="EB253" s="1989" t="e">
        <f>#REF!/10^7</f>
        <v>#REF!</v>
      </c>
      <c r="EC253" s="2002" t="e">
        <f t="shared" si="528"/>
        <v>#REF!</v>
      </c>
      <c r="ED253" s="1998" t="e">
        <f t="shared" ref="ED253:ED271" si="547">DW253+DY253+EA253+EB253</f>
        <v>#REF!</v>
      </c>
      <c r="EE253" s="2005" t="e">
        <f t="shared" si="475"/>
        <v>#REF!</v>
      </c>
      <c r="EF253" s="2003">
        <f t="shared" si="529"/>
        <v>0</v>
      </c>
      <c r="EG253" s="1989" t="e">
        <f t="shared" si="476"/>
        <v>#REF!</v>
      </c>
      <c r="EH253" s="2003">
        <f t="shared" si="530"/>
        <v>0</v>
      </c>
      <c r="EI253" s="1989" t="e">
        <f t="shared" si="477"/>
        <v>#REF!</v>
      </c>
      <c r="EJ253" s="2003">
        <f t="shared" si="531"/>
        <v>0</v>
      </c>
      <c r="EK253" s="1989" t="e">
        <f t="shared" si="534"/>
        <v>#REF!</v>
      </c>
      <c r="EL253" s="1989" t="e">
        <f t="shared" si="534"/>
        <v>#REF!</v>
      </c>
      <c r="EM253" s="2006" t="e">
        <f t="shared" si="532"/>
        <v>#REF!</v>
      </c>
      <c r="EN253" s="1999" t="e">
        <f t="shared" si="479"/>
        <v>#REF!</v>
      </c>
      <c r="EO253" s="1613">
        <v>92.985740000000007</v>
      </c>
      <c r="EP253" s="1613" t="e">
        <f>EA253-#REF!/10^7</f>
        <v>#REF!</v>
      </c>
      <c r="ER253" s="1612" t="e">
        <f t="shared" si="480"/>
        <v>#REF!</v>
      </c>
      <c r="EW253" s="1611" t="e">
        <v>#N/A</v>
      </c>
      <c r="EX253" s="1612" t="e">
        <v>#N/A</v>
      </c>
      <c r="EZ253" s="1650">
        <f t="shared" si="533"/>
        <v>0</v>
      </c>
    </row>
    <row r="254" spans="1:156" ht="21" customHeight="1">
      <c r="A254" s="1652">
        <v>64</v>
      </c>
      <c r="B254" s="1701" t="s">
        <v>1922</v>
      </c>
      <c r="C254" s="1662">
        <v>28</v>
      </c>
      <c r="D254" s="1646">
        <f t="shared" si="540"/>
        <v>100</v>
      </c>
      <c r="E254" s="1646"/>
      <c r="F254" s="1648" t="s">
        <v>1594</v>
      </c>
      <c r="G254" s="1648"/>
      <c r="H254" s="1648">
        <v>28</v>
      </c>
      <c r="I254" s="1648" t="s">
        <v>1717</v>
      </c>
      <c r="J254" s="1649">
        <v>2</v>
      </c>
      <c r="K254" s="1648"/>
      <c r="L254" s="1648"/>
      <c r="M254" s="1648"/>
      <c r="N254" s="1642"/>
      <c r="O254" s="2000" t="e">
        <f>#REF!</f>
        <v>#REF!</v>
      </c>
      <c r="P254" s="2003">
        <f t="shared" si="481"/>
        <v>0</v>
      </c>
      <c r="Q254" s="1989" t="e">
        <f>#REF!/10^7</f>
        <v>#REF!</v>
      </c>
      <c r="R254" s="2003">
        <f t="shared" si="482"/>
        <v>0</v>
      </c>
      <c r="S254" s="1989" t="e">
        <f>#REF!/10^7</f>
        <v>#REF!</v>
      </c>
      <c r="T254" s="2003">
        <f t="shared" si="483"/>
        <v>0</v>
      </c>
      <c r="U254" s="1989" t="e">
        <f>#REF!/10^7</f>
        <v>#REF!</v>
      </c>
      <c r="V254" s="1989" t="e">
        <f>#REF!/10^7</f>
        <v>#REF!</v>
      </c>
      <c r="W254" s="1989">
        <f t="shared" si="484"/>
        <v>0</v>
      </c>
      <c r="X254" s="1999" t="e">
        <f t="shared" si="541"/>
        <v>#REF!</v>
      </c>
      <c r="Y254" s="1993" t="e">
        <f>#REF!</f>
        <v>#REF!</v>
      </c>
      <c r="Z254" s="2003">
        <f t="shared" si="485"/>
        <v>0</v>
      </c>
      <c r="AA254" s="1989" t="e">
        <f>#REF!/10^7</f>
        <v>#REF!</v>
      </c>
      <c r="AB254" s="2003">
        <f t="shared" si="486"/>
        <v>0</v>
      </c>
      <c r="AC254" s="1989" t="e">
        <f>#REF!/10^7</f>
        <v>#REF!</v>
      </c>
      <c r="AD254" s="2003">
        <f t="shared" si="487"/>
        <v>0</v>
      </c>
      <c r="AE254" s="1989" t="e">
        <f>#REF!/10^7</f>
        <v>#REF!</v>
      </c>
      <c r="AF254" s="1989" t="e">
        <f>#REF!/10^7</f>
        <v>#REF!</v>
      </c>
      <c r="AG254" s="2002" t="e">
        <f t="shared" si="488"/>
        <v>#REF!</v>
      </c>
      <c r="AH254" s="1999" t="e">
        <f t="shared" si="542"/>
        <v>#REF!</v>
      </c>
      <c r="AI254" s="1993" t="e">
        <f>#REF!</f>
        <v>#REF!</v>
      </c>
      <c r="AJ254" s="2003">
        <f t="shared" si="489"/>
        <v>0</v>
      </c>
      <c r="AK254" s="1989" t="e">
        <f>#REF!/10^7</f>
        <v>#REF!</v>
      </c>
      <c r="AL254" s="2003">
        <f t="shared" si="490"/>
        <v>0</v>
      </c>
      <c r="AM254" s="1989" t="e">
        <f>#REF!/10^7</f>
        <v>#REF!</v>
      </c>
      <c r="AN254" s="2003">
        <f t="shared" si="491"/>
        <v>0</v>
      </c>
      <c r="AO254" s="1989" t="e">
        <f>#REF!/10^7</f>
        <v>#REF!</v>
      </c>
      <c r="AP254" s="1989" t="e">
        <f>#REF!/10^7</f>
        <v>#REF!</v>
      </c>
      <c r="AQ254" s="2002" t="e">
        <f t="shared" si="492"/>
        <v>#REF!</v>
      </c>
      <c r="AR254" s="1999" t="e">
        <f t="shared" si="543"/>
        <v>#REF!</v>
      </c>
      <c r="AS254" s="1993" t="e">
        <f>#REF!</f>
        <v>#REF!</v>
      </c>
      <c r="AT254" s="2003">
        <f t="shared" si="493"/>
        <v>0</v>
      </c>
      <c r="AU254" s="1989" t="e">
        <f>#REF!/10^7</f>
        <v>#REF!</v>
      </c>
      <c r="AV254" s="2003">
        <f t="shared" si="494"/>
        <v>0</v>
      </c>
      <c r="AW254" s="1989" t="e">
        <f>#REF!/10^7</f>
        <v>#REF!</v>
      </c>
      <c r="AX254" s="2003">
        <f t="shared" si="495"/>
        <v>0</v>
      </c>
      <c r="AY254" s="1989" t="e">
        <f>#REF!/10^7</f>
        <v>#REF!</v>
      </c>
      <c r="AZ254" s="1989" t="e">
        <f>#REF!/10^7</f>
        <v>#REF!</v>
      </c>
      <c r="BA254" s="2002" t="e">
        <f t="shared" si="496"/>
        <v>#REF!</v>
      </c>
      <c r="BB254" s="1999" t="e">
        <f t="shared" si="544"/>
        <v>#REF!</v>
      </c>
      <c r="BC254" s="1993" t="e">
        <f>#REF!</f>
        <v>#REF!</v>
      </c>
      <c r="BD254" s="2003">
        <f t="shared" si="497"/>
        <v>0</v>
      </c>
      <c r="BE254" s="1989" t="e">
        <f>#REF!/10^7</f>
        <v>#REF!</v>
      </c>
      <c r="BF254" s="2003">
        <f t="shared" si="498"/>
        <v>0</v>
      </c>
      <c r="BG254" s="1989" t="e">
        <f>#REF!/10^7</f>
        <v>#REF!</v>
      </c>
      <c r="BH254" s="2003">
        <f t="shared" si="499"/>
        <v>0</v>
      </c>
      <c r="BI254" s="1989" t="e">
        <f>#REF!/10^7</f>
        <v>#REF!</v>
      </c>
      <c r="BJ254" s="1989" t="e">
        <f>#REF!/10^7</f>
        <v>#REF!</v>
      </c>
      <c r="BK254" s="2002" t="e">
        <f t="shared" si="500"/>
        <v>#REF!</v>
      </c>
      <c r="BL254" s="1999" t="e">
        <f t="shared" si="535"/>
        <v>#REF!</v>
      </c>
      <c r="BM254" s="1993" t="e">
        <f>#REF!</f>
        <v>#REF!</v>
      </c>
      <c r="BN254" s="2003">
        <f t="shared" si="501"/>
        <v>0</v>
      </c>
      <c r="BO254" s="1989" t="e">
        <f>#REF!/10^7</f>
        <v>#REF!</v>
      </c>
      <c r="BP254" s="2003">
        <f t="shared" si="502"/>
        <v>0</v>
      </c>
      <c r="BQ254" s="1989" t="e">
        <f>#REF!/10^7</f>
        <v>#REF!</v>
      </c>
      <c r="BR254" s="2003">
        <f t="shared" si="503"/>
        <v>0</v>
      </c>
      <c r="BS254" s="1989" t="e">
        <f>#REF!/10^7</f>
        <v>#REF!</v>
      </c>
      <c r="BT254" s="1989" t="e">
        <f>#REF!/10^7</f>
        <v>#REF!</v>
      </c>
      <c r="BU254" s="2002" t="e">
        <f t="shared" si="504"/>
        <v>#REF!</v>
      </c>
      <c r="BV254" s="1999" t="e">
        <f t="shared" si="536"/>
        <v>#REF!</v>
      </c>
      <c r="BW254" s="1993" t="e">
        <f>#REF!</f>
        <v>#REF!</v>
      </c>
      <c r="BX254" s="2003">
        <f t="shared" si="505"/>
        <v>0</v>
      </c>
      <c r="BY254" s="1989" t="e">
        <f>#REF!/10^7</f>
        <v>#REF!</v>
      </c>
      <c r="BZ254" s="2003">
        <f t="shared" si="506"/>
        <v>0</v>
      </c>
      <c r="CA254" s="1989" t="e">
        <f>#REF!/10^7</f>
        <v>#REF!</v>
      </c>
      <c r="CB254" s="2003">
        <f t="shared" si="507"/>
        <v>0</v>
      </c>
      <c r="CC254" s="1989" t="e">
        <f>#REF!/10^7</f>
        <v>#REF!</v>
      </c>
      <c r="CD254" s="1989" t="e">
        <f>#REF!/10^7</f>
        <v>#REF!</v>
      </c>
      <c r="CE254" s="2002" t="e">
        <f t="shared" si="508"/>
        <v>#REF!</v>
      </c>
      <c r="CF254" s="1999" t="e">
        <f t="shared" si="537"/>
        <v>#REF!</v>
      </c>
      <c r="CG254" s="1993" t="e">
        <f>#REF!</f>
        <v>#REF!</v>
      </c>
      <c r="CH254" s="2003">
        <f t="shared" si="509"/>
        <v>0</v>
      </c>
      <c r="CI254" s="1989" t="e">
        <f>#REF!/10^7</f>
        <v>#REF!</v>
      </c>
      <c r="CJ254" s="2003">
        <f t="shared" si="510"/>
        <v>0</v>
      </c>
      <c r="CK254" s="1989" t="e">
        <f>#REF!/10^7</f>
        <v>#REF!</v>
      </c>
      <c r="CL254" s="2003">
        <f t="shared" si="511"/>
        <v>0</v>
      </c>
      <c r="CM254" s="1989" t="e">
        <f>#REF!/10^7</f>
        <v>#REF!</v>
      </c>
      <c r="CN254" s="1989" t="e">
        <f>#REF!/10^7</f>
        <v>#REF!</v>
      </c>
      <c r="CO254" s="2002" t="e">
        <f t="shared" si="512"/>
        <v>#REF!</v>
      </c>
      <c r="CP254" s="1999" t="e">
        <f t="shared" si="538"/>
        <v>#REF!</v>
      </c>
      <c r="CQ254" s="1993" t="e">
        <f>#REF!</f>
        <v>#REF!</v>
      </c>
      <c r="CR254" s="2003">
        <f t="shared" si="513"/>
        <v>0</v>
      </c>
      <c r="CS254" s="1989" t="e">
        <f>#REF!/10^7</f>
        <v>#REF!</v>
      </c>
      <c r="CT254" s="2003">
        <f t="shared" si="514"/>
        <v>0</v>
      </c>
      <c r="CU254" s="1989" t="e">
        <f>#REF!/10^7</f>
        <v>#REF!</v>
      </c>
      <c r="CV254" s="2003">
        <f t="shared" si="515"/>
        <v>0</v>
      </c>
      <c r="CW254" s="1989" t="e">
        <f>#REF!/10^7</f>
        <v>#REF!</v>
      </c>
      <c r="CX254" s="1989" t="e">
        <f>#REF!/10^7</f>
        <v>#REF!</v>
      </c>
      <c r="CY254" s="2002" t="e">
        <f t="shared" si="516"/>
        <v>#REF!</v>
      </c>
      <c r="CZ254" s="1999" t="e">
        <f t="shared" si="539"/>
        <v>#REF!</v>
      </c>
      <c r="DA254" s="1993" t="e">
        <f>#REF!</f>
        <v>#REF!</v>
      </c>
      <c r="DB254" s="2003">
        <f t="shared" si="517"/>
        <v>0</v>
      </c>
      <c r="DC254" s="1989" t="e">
        <f>#REF!/10^7</f>
        <v>#REF!</v>
      </c>
      <c r="DD254" s="2003">
        <f t="shared" si="518"/>
        <v>0</v>
      </c>
      <c r="DE254" s="1989" t="e">
        <f>#REF!/10^7</f>
        <v>#REF!</v>
      </c>
      <c r="DF254" s="2003">
        <f t="shared" si="519"/>
        <v>0</v>
      </c>
      <c r="DG254" s="1989" t="e">
        <f>#REF!/10^7</f>
        <v>#REF!</v>
      </c>
      <c r="DH254" s="1989" t="e">
        <f>#REF!/10^7</f>
        <v>#REF!</v>
      </c>
      <c r="DI254" s="2002" t="e">
        <f t="shared" si="520"/>
        <v>#REF!</v>
      </c>
      <c r="DJ254" s="1999" t="e">
        <f t="shared" si="545"/>
        <v>#REF!</v>
      </c>
      <c r="DK254" s="1993" t="e">
        <f>#REF!</f>
        <v>#REF!</v>
      </c>
      <c r="DL254" s="2003">
        <f t="shared" si="521"/>
        <v>0</v>
      </c>
      <c r="DM254" s="1989" t="e">
        <f>#REF!/10^7</f>
        <v>#REF!</v>
      </c>
      <c r="DN254" s="2003">
        <f t="shared" si="522"/>
        <v>0</v>
      </c>
      <c r="DO254" s="1989" t="e">
        <f>#REF!/10^7</f>
        <v>#REF!</v>
      </c>
      <c r="DP254" s="2003">
        <f t="shared" si="523"/>
        <v>0</v>
      </c>
      <c r="DQ254" s="1989" t="e">
        <f>#REF!/10^7</f>
        <v>#REF!</v>
      </c>
      <c r="DR254" s="1989" t="e">
        <f>#REF!/10^7</f>
        <v>#REF!</v>
      </c>
      <c r="DS254" s="2002" t="e">
        <f t="shared" si="524"/>
        <v>#REF!</v>
      </c>
      <c r="DT254" s="2004" t="e">
        <f t="shared" si="546"/>
        <v>#REF!</v>
      </c>
      <c r="DU254" s="1988" t="e">
        <f>#REF!</f>
        <v>#REF!</v>
      </c>
      <c r="DV254" s="2003">
        <f t="shared" si="525"/>
        <v>0</v>
      </c>
      <c r="DW254" s="1989" t="e">
        <f>#REF!/10^7</f>
        <v>#REF!</v>
      </c>
      <c r="DX254" s="2003">
        <f t="shared" si="526"/>
        <v>0</v>
      </c>
      <c r="DY254" s="1989" t="e">
        <f>#REF!/10^7</f>
        <v>#REF!</v>
      </c>
      <c r="DZ254" s="2003">
        <f t="shared" si="527"/>
        <v>0</v>
      </c>
      <c r="EA254" s="1989" t="e">
        <f>#REF!/10^7</f>
        <v>#REF!</v>
      </c>
      <c r="EB254" s="1989" t="e">
        <f>#REF!/10^7</f>
        <v>#REF!</v>
      </c>
      <c r="EC254" s="2002" t="e">
        <f t="shared" si="528"/>
        <v>#REF!</v>
      </c>
      <c r="ED254" s="1998" t="e">
        <f t="shared" si="547"/>
        <v>#REF!</v>
      </c>
      <c r="EE254" s="2005" t="e">
        <f t="shared" si="475"/>
        <v>#REF!</v>
      </c>
      <c r="EF254" s="2003">
        <f t="shared" si="529"/>
        <v>0</v>
      </c>
      <c r="EG254" s="1989" t="e">
        <f t="shared" si="476"/>
        <v>#REF!</v>
      </c>
      <c r="EH254" s="2003">
        <f t="shared" si="530"/>
        <v>0</v>
      </c>
      <c r="EI254" s="1989" t="e">
        <f t="shared" si="477"/>
        <v>#REF!</v>
      </c>
      <c r="EJ254" s="2003">
        <f t="shared" si="531"/>
        <v>0</v>
      </c>
      <c r="EK254" s="1989" t="e">
        <f t="shared" si="534"/>
        <v>#REF!</v>
      </c>
      <c r="EL254" s="1989" t="e">
        <f t="shared" si="534"/>
        <v>#REF!</v>
      </c>
      <c r="EM254" s="2006" t="e">
        <f t="shared" si="532"/>
        <v>#REF!</v>
      </c>
      <c r="EN254" s="1999" t="e">
        <f t="shared" si="479"/>
        <v>#REF!</v>
      </c>
      <c r="EO254" s="1613">
        <v>81.434609519999995</v>
      </c>
      <c r="EP254" s="1613" t="e">
        <f>EA254-#REF!/10^7</f>
        <v>#REF!</v>
      </c>
      <c r="ER254" s="1612" t="e">
        <f t="shared" si="480"/>
        <v>#REF!</v>
      </c>
      <c r="EW254" s="1611" t="e">
        <v>#N/A</v>
      </c>
      <c r="EX254" s="1612" t="e">
        <v>#N/A</v>
      </c>
      <c r="EZ254" s="1650">
        <f t="shared" si="533"/>
        <v>0</v>
      </c>
    </row>
    <row r="255" spans="1:156" ht="21" customHeight="1">
      <c r="A255" s="1652">
        <v>65</v>
      </c>
      <c r="B255" s="1701" t="s">
        <v>1923</v>
      </c>
      <c r="C255" s="1662">
        <v>16</v>
      </c>
      <c r="D255" s="1646">
        <f t="shared" si="540"/>
        <v>100</v>
      </c>
      <c r="E255" s="1646"/>
      <c r="F255" s="1648" t="s">
        <v>1594</v>
      </c>
      <c r="G255" s="1648"/>
      <c r="H255" s="1648">
        <v>16</v>
      </c>
      <c r="I255" s="1648" t="s">
        <v>1717</v>
      </c>
      <c r="J255" s="1649">
        <v>2</v>
      </c>
      <c r="K255" s="1648"/>
      <c r="L255" s="1648"/>
      <c r="M255" s="1648"/>
      <c r="N255" s="1642"/>
      <c r="O255" s="2000" t="e">
        <f>#REF!</f>
        <v>#REF!</v>
      </c>
      <c r="P255" s="2003">
        <f t="shared" si="481"/>
        <v>0</v>
      </c>
      <c r="Q255" s="1989" t="e">
        <f>#REF!/10^7</f>
        <v>#REF!</v>
      </c>
      <c r="R255" s="2003">
        <f t="shared" si="482"/>
        <v>0</v>
      </c>
      <c r="S255" s="1989" t="e">
        <f>#REF!/10^7</f>
        <v>#REF!</v>
      </c>
      <c r="T255" s="2003">
        <f t="shared" si="483"/>
        <v>0</v>
      </c>
      <c r="U255" s="1989" t="e">
        <f>#REF!/10^7</f>
        <v>#REF!</v>
      </c>
      <c r="V255" s="1989" t="e">
        <f>#REF!/10^7</f>
        <v>#REF!</v>
      </c>
      <c r="W255" s="1989">
        <f t="shared" si="484"/>
        <v>0</v>
      </c>
      <c r="X255" s="1999" t="e">
        <f t="shared" si="541"/>
        <v>#REF!</v>
      </c>
      <c r="Y255" s="1993" t="e">
        <f>#REF!</f>
        <v>#REF!</v>
      </c>
      <c r="Z255" s="2003">
        <f t="shared" si="485"/>
        <v>0</v>
      </c>
      <c r="AA255" s="1989" t="e">
        <f>#REF!/10^7</f>
        <v>#REF!</v>
      </c>
      <c r="AB255" s="2003">
        <f t="shared" si="486"/>
        <v>0</v>
      </c>
      <c r="AC255" s="1989" t="e">
        <f>#REF!/10^7</f>
        <v>#REF!</v>
      </c>
      <c r="AD255" s="2003">
        <f t="shared" si="487"/>
        <v>0</v>
      </c>
      <c r="AE255" s="1989" t="e">
        <f>#REF!/10^7</f>
        <v>#REF!</v>
      </c>
      <c r="AF255" s="1989" t="e">
        <f>#REF!/10^7</f>
        <v>#REF!</v>
      </c>
      <c r="AG255" s="2002" t="e">
        <f t="shared" si="488"/>
        <v>#REF!</v>
      </c>
      <c r="AH255" s="1999" t="e">
        <f t="shared" si="542"/>
        <v>#REF!</v>
      </c>
      <c r="AI255" s="1993" t="e">
        <f>#REF!</f>
        <v>#REF!</v>
      </c>
      <c r="AJ255" s="2003">
        <f t="shared" si="489"/>
        <v>0</v>
      </c>
      <c r="AK255" s="1989" t="e">
        <f>#REF!/10^7</f>
        <v>#REF!</v>
      </c>
      <c r="AL255" s="2003">
        <f t="shared" si="490"/>
        <v>0</v>
      </c>
      <c r="AM255" s="1989" t="e">
        <f>#REF!/10^7</f>
        <v>#REF!</v>
      </c>
      <c r="AN255" s="2003">
        <f t="shared" si="491"/>
        <v>0</v>
      </c>
      <c r="AO255" s="1989" t="e">
        <f>#REF!/10^7</f>
        <v>#REF!</v>
      </c>
      <c r="AP255" s="1989" t="e">
        <f>#REF!/10^7</f>
        <v>#REF!</v>
      </c>
      <c r="AQ255" s="2002" t="e">
        <f t="shared" si="492"/>
        <v>#REF!</v>
      </c>
      <c r="AR255" s="1999" t="e">
        <f t="shared" si="543"/>
        <v>#REF!</v>
      </c>
      <c r="AS255" s="1993" t="e">
        <f>#REF!</f>
        <v>#REF!</v>
      </c>
      <c r="AT255" s="2003">
        <f t="shared" si="493"/>
        <v>0</v>
      </c>
      <c r="AU255" s="1989" t="e">
        <f>#REF!/10^7</f>
        <v>#REF!</v>
      </c>
      <c r="AV255" s="2003">
        <f t="shared" si="494"/>
        <v>0</v>
      </c>
      <c r="AW255" s="1989" t="e">
        <f>#REF!/10^7</f>
        <v>#REF!</v>
      </c>
      <c r="AX255" s="2003">
        <f t="shared" si="495"/>
        <v>0</v>
      </c>
      <c r="AY255" s="1989" t="e">
        <f>#REF!/10^7</f>
        <v>#REF!</v>
      </c>
      <c r="AZ255" s="1989" t="e">
        <f>#REF!/10^7</f>
        <v>#REF!</v>
      </c>
      <c r="BA255" s="2002" t="e">
        <f t="shared" si="496"/>
        <v>#REF!</v>
      </c>
      <c r="BB255" s="1999" t="e">
        <f t="shared" si="544"/>
        <v>#REF!</v>
      </c>
      <c r="BC255" s="1993" t="e">
        <f>#REF!</f>
        <v>#REF!</v>
      </c>
      <c r="BD255" s="2003">
        <f t="shared" si="497"/>
        <v>0</v>
      </c>
      <c r="BE255" s="1989" t="e">
        <f>#REF!/10^7</f>
        <v>#REF!</v>
      </c>
      <c r="BF255" s="2003">
        <f t="shared" si="498"/>
        <v>0</v>
      </c>
      <c r="BG255" s="1989" t="e">
        <f>#REF!/10^7</f>
        <v>#REF!</v>
      </c>
      <c r="BH255" s="2003">
        <f t="shared" si="499"/>
        <v>0</v>
      </c>
      <c r="BI255" s="1989" t="e">
        <f>#REF!/10^7</f>
        <v>#REF!</v>
      </c>
      <c r="BJ255" s="1989" t="e">
        <f>#REF!/10^7</f>
        <v>#REF!</v>
      </c>
      <c r="BK255" s="2002" t="e">
        <f t="shared" si="500"/>
        <v>#REF!</v>
      </c>
      <c r="BL255" s="1999" t="e">
        <f t="shared" si="535"/>
        <v>#REF!</v>
      </c>
      <c r="BM255" s="1993" t="e">
        <f>#REF!</f>
        <v>#REF!</v>
      </c>
      <c r="BN255" s="2003">
        <f t="shared" si="501"/>
        <v>0</v>
      </c>
      <c r="BO255" s="1989" t="e">
        <f>#REF!/10^7</f>
        <v>#REF!</v>
      </c>
      <c r="BP255" s="2003">
        <f t="shared" si="502"/>
        <v>0</v>
      </c>
      <c r="BQ255" s="1989" t="e">
        <f>#REF!/10^7</f>
        <v>#REF!</v>
      </c>
      <c r="BR255" s="2003">
        <f t="shared" si="503"/>
        <v>0</v>
      </c>
      <c r="BS255" s="1989" t="e">
        <f>#REF!/10^7</f>
        <v>#REF!</v>
      </c>
      <c r="BT255" s="1989" t="e">
        <f>#REF!/10^7</f>
        <v>#REF!</v>
      </c>
      <c r="BU255" s="2002" t="e">
        <f t="shared" si="504"/>
        <v>#REF!</v>
      </c>
      <c r="BV255" s="1999" t="e">
        <f t="shared" si="536"/>
        <v>#REF!</v>
      </c>
      <c r="BW255" s="1993" t="e">
        <f>#REF!</f>
        <v>#REF!</v>
      </c>
      <c r="BX255" s="2003">
        <f t="shared" si="505"/>
        <v>0</v>
      </c>
      <c r="BY255" s="1989" t="e">
        <f>#REF!/10^7</f>
        <v>#REF!</v>
      </c>
      <c r="BZ255" s="2003">
        <f t="shared" si="506"/>
        <v>0</v>
      </c>
      <c r="CA255" s="1989" t="e">
        <f>#REF!/10^7</f>
        <v>#REF!</v>
      </c>
      <c r="CB255" s="2003">
        <f t="shared" si="507"/>
        <v>0</v>
      </c>
      <c r="CC255" s="1989" t="e">
        <f>#REF!/10^7</f>
        <v>#REF!</v>
      </c>
      <c r="CD255" s="1989" t="e">
        <f>#REF!/10^7</f>
        <v>#REF!</v>
      </c>
      <c r="CE255" s="2002" t="e">
        <f t="shared" si="508"/>
        <v>#REF!</v>
      </c>
      <c r="CF255" s="1999" t="e">
        <f t="shared" si="537"/>
        <v>#REF!</v>
      </c>
      <c r="CG255" s="1993" t="e">
        <f>#REF!</f>
        <v>#REF!</v>
      </c>
      <c r="CH255" s="2003">
        <f t="shared" si="509"/>
        <v>0</v>
      </c>
      <c r="CI255" s="1989" t="e">
        <f>#REF!/10^7</f>
        <v>#REF!</v>
      </c>
      <c r="CJ255" s="2003">
        <f t="shared" si="510"/>
        <v>0</v>
      </c>
      <c r="CK255" s="1989" t="e">
        <f>#REF!/10^7</f>
        <v>#REF!</v>
      </c>
      <c r="CL255" s="2003">
        <f t="shared" si="511"/>
        <v>0</v>
      </c>
      <c r="CM255" s="1989" t="e">
        <f>#REF!/10^7</f>
        <v>#REF!</v>
      </c>
      <c r="CN255" s="1989" t="e">
        <f>#REF!/10^7</f>
        <v>#REF!</v>
      </c>
      <c r="CO255" s="2002" t="e">
        <f t="shared" si="512"/>
        <v>#REF!</v>
      </c>
      <c r="CP255" s="1999" t="e">
        <f t="shared" si="538"/>
        <v>#REF!</v>
      </c>
      <c r="CQ255" s="1993" t="e">
        <f>#REF!</f>
        <v>#REF!</v>
      </c>
      <c r="CR255" s="2003">
        <f t="shared" si="513"/>
        <v>0</v>
      </c>
      <c r="CS255" s="1989" t="e">
        <f>#REF!/10^7</f>
        <v>#REF!</v>
      </c>
      <c r="CT255" s="2003">
        <f t="shared" si="514"/>
        <v>0</v>
      </c>
      <c r="CU255" s="1989" t="e">
        <f>#REF!/10^7</f>
        <v>#REF!</v>
      </c>
      <c r="CV255" s="2003">
        <f t="shared" si="515"/>
        <v>0</v>
      </c>
      <c r="CW255" s="1989" t="e">
        <f>#REF!/10^7</f>
        <v>#REF!</v>
      </c>
      <c r="CX255" s="1989" t="e">
        <f>#REF!/10^7</f>
        <v>#REF!</v>
      </c>
      <c r="CY255" s="2002" t="e">
        <f t="shared" si="516"/>
        <v>#REF!</v>
      </c>
      <c r="CZ255" s="1999" t="e">
        <f t="shared" si="539"/>
        <v>#REF!</v>
      </c>
      <c r="DA255" s="1993" t="e">
        <f>#REF!</f>
        <v>#REF!</v>
      </c>
      <c r="DB255" s="2003">
        <f t="shared" si="517"/>
        <v>0</v>
      </c>
      <c r="DC255" s="1989" t="e">
        <f>#REF!/10^7</f>
        <v>#REF!</v>
      </c>
      <c r="DD255" s="2003">
        <f t="shared" si="518"/>
        <v>0</v>
      </c>
      <c r="DE255" s="1989" t="e">
        <f>#REF!/10^7</f>
        <v>#REF!</v>
      </c>
      <c r="DF255" s="2003">
        <f t="shared" si="519"/>
        <v>0</v>
      </c>
      <c r="DG255" s="1989" t="e">
        <f>#REF!/10^7</f>
        <v>#REF!</v>
      </c>
      <c r="DH255" s="1989" t="e">
        <f>#REF!/10^7</f>
        <v>#REF!</v>
      </c>
      <c r="DI255" s="2002" t="e">
        <f t="shared" si="520"/>
        <v>#REF!</v>
      </c>
      <c r="DJ255" s="1999" t="e">
        <f t="shared" si="545"/>
        <v>#REF!</v>
      </c>
      <c r="DK255" s="1993" t="e">
        <f>#REF!</f>
        <v>#REF!</v>
      </c>
      <c r="DL255" s="2003">
        <f t="shared" si="521"/>
        <v>0</v>
      </c>
      <c r="DM255" s="1989" t="e">
        <f>#REF!/10^7</f>
        <v>#REF!</v>
      </c>
      <c r="DN255" s="2003">
        <f t="shared" si="522"/>
        <v>0</v>
      </c>
      <c r="DO255" s="1989" t="e">
        <f>#REF!/10^7</f>
        <v>#REF!</v>
      </c>
      <c r="DP255" s="2003">
        <f t="shared" si="523"/>
        <v>0</v>
      </c>
      <c r="DQ255" s="1989" t="e">
        <f>#REF!/10^7</f>
        <v>#REF!</v>
      </c>
      <c r="DR255" s="1989" t="e">
        <f>#REF!/10^7</f>
        <v>#REF!</v>
      </c>
      <c r="DS255" s="2002" t="e">
        <f t="shared" si="524"/>
        <v>#REF!</v>
      </c>
      <c r="DT255" s="2004" t="e">
        <f t="shared" si="546"/>
        <v>#REF!</v>
      </c>
      <c r="DU255" s="1988" t="e">
        <f>#REF!</f>
        <v>#REF!</v>
      </c>
      <c r="DV255" s="2003">
        <f t="shared" si="525"/>
        <v>0</v>
      </c>
      <c r="DW255" s="1989" t="e">
        <f>#REF!/10^7</f>
        <v>#REF!</v>
      </c>
      <c r="DX255" s="2003">
        <f t="shared" si="526"/>
        <v>0</v>
      </c>
      <c r="DY255" s="1989" t="e">
        <f>#REF!/10^7</f>
        <v>#REF!</v>
      </c>
      <c r="DZ255" s="2003">
        <f t="shared" si="527"/>
        <v>0</v>
      </c>
      <c r="EA255" s="1989" t="e">
        <f>#REF!/10^7</f>
        <v>#REF!</v>
      </c>
      <c r="EB255" s="1989" t="e">
        <f>#REF!/10^7</f>
        <v>#REF!</v>
      </c>
      <c r="EC255" s="2002" t="e">
        <f t="shared" si="528"/>
        <v>#REF!</v>
      </c>
      <c r="ED255" s="1998" t="e">
        <f t="shared" si="547"/>
        <v>#REF!</v>
      </c>
      <c r="EE255" s="2005" t="e">
        <f t="shared" ref="EE255:EE271" si="548">O255+Y255+AI255+AS255+BC255+BM255+BW255+CG255+CQ255+DA255+DK255+DU255</f>
        <v>#REF!</v>
      </c>
      <c r="EF255" s="2003">
        <f t="shared" si="529"/>
        <v>0</v>
      </c>
      <c r="EG255" s="1989" t="e">
        <f t="shared" ref="EG255:EG271" si="549">Q255+AA255+AK255+AU255+BE255+BO255+BY255+CI255+CS255+DC255+DM255+DW255</f>
        <v>#REF!</v>
      </c>
      <c r="EH255" s="2003">
        <f t="shared" si="530"/>
        <v>0</v>
      </c>
      <c r="EI255" s="1989" t="e">
        <f t="shared" ref="EI255:EI271" si="550">S255+AC255+AM255+AW255+BG255+BQ255+CA255+CK255+CU255+DE255+DO255+DY255</f>
        <v>#REF!</v>
      </c>
      <c r="EJ255" s="2003">
        <f t="shared" si="531"/>
        <v>0</v>
      </c>
      <c r="EK255" s="1989" t="e">
        <f t="shared" ref="EK255:EL271" si="551">U255+AE255+AO255+AY255+BI255+BS255+CC255+CM255+CW255+DG255+DQ255+EA255</f>
        <v>#REF!</v>
      </c>
      <c r="EL255" s="1989" t="e">
        <f t="shared" si="551"/>
        <v>#REF!</v>
      </c>
      <c r="EM255" s="2006" t="e">
        <f t="shared" si="532"/>
        <v>#REF!</v>
      </c>
      <c r="EN255" s="1999" t="e">
        <f t="shared" ref="EN255:EN271" si="552">EG255+EI255+EK255+EL255</f>
        <v>#REF!</v>
      </c>
      <c r="EO255" s="1613">
        <v>59.454405999999999</v>
      </c>
      <c r="EP255" s="1613" t="e">
        <f>EA255-#REF!/10^7</f>
        <v>#REF!</v>
      </c>
      <c r="ER255" s="1612" t="e">
        <f t="shared" si="480"/>
        <v>#REF!</v>
      </c>
      <c r="EW255" s="1611" t="e">
        <v>#N/A</v>
      </c>
      <c r="EX255" s="1612" t="e">
        <v>#N/A</v>
      </c>
      <c r="EZ255" s="1650">
        <f t="shared" si="533"/>
        <v>0</v>
      </c>
    </row>
    <row r="256" spans="1:156" ht="21" customHeight="1">
      <c r="A256" s="1652">
        <v>66</v>
      </c>
      <c r="B256" s="1701" t="s">
        <v>1924</v>
      </c>
      <c r="C256" s="1662">
        <v>5</v>
      </c>
      <c r="D256" s="1646">
        <f t="shared" si="540"/>
        <v>100</v>
      </c>
      <c r="E256" s="1646"/>
      <c r="F256" s="1648" t="s">
        <v>1594</v>
      </c>
      <c r="G256" s="1648"/>
      <c r="H256" s="1648">
        <v>5</v>
      </c>
      <c r="I256" s="1648" t="s">
        <v>1717</v>
      </c>
      <c r="J256" s="1649">
        <v>2</v>
      </c>
      <c r="K256" s="1648"/>
      <c r="L256" s="1648"/>
      <c r="M256" s="1648"/>
      <c r="N256" s="1642"/>
      <c r="O256" s="2000" t="e">
        <f>#REF!</f>
        <v>#REF!</v>
      </c>
      <c r="P256" s="2003">
        <f t="shared" si="481"/>
        <v>0</v>
      </c>
      <c r="Q256" s="1989" t="e">
        <f>#REF!/10^7</f>
        <v>#REF!</v>
      </c>
      <c r="R256" s="2003">
        <f t="shared" si="482"/>
        <v>0</v>
      </c>
      <c r="S256" s="1989" t="e">
        <f>#REF!/10^7</f>
        <v>#REF!</v>
      </c>
      <c r="T256" s="2003">
        <f t="shared" si="483"/>
        <v>0</v>
      </c>
      <c r="U256" s="1989" t="e">
        <f>#REF!/10^7</f>
        <v>#REF!</v>
      </c>
      <c r="V256" s="1989" t="e">
        <f>#REF!/10^7</f>
        <v>#REF!</v>
      </c>
      <c r="W256" s="1989">
        <f t="shared" si="484"/>
        <v>0</v>
      </c>
      <c r="X256" s="1999" t="e">
        <f t="shared" si="541"/>
        <v>#REF!</v>
      </c>
      <c r="Y256" s="1993" t="e">
        <f>#REF!</f>
        <v>#REF!</v>
      </c>
      <c r="Z256" s="2003">
        <f t="shared" si="485"/>
        <v>0</v>
      </c>
      <c r="AA256" s="1989" t="e">
        <f>#REF!/10^7</f>
        <v>#REF!</v>
      </c>
      <c r="AB256" s="2003">
        <f t="shared" si="486"/>
        <v>0</v>
      </c>
      <c r="AC256" s="1989" t="e">
        <f>#REF!/10^7</f>
        <v>#REF!</v>
      </c>
      <c r="AD256" s="2003">
        <f t="shared" si="487"/>
        <v>0</v>
      </c>
      <c r="AE256" s="1989" t="e">
        <f>#REF!/10^7</f>
        <v>#REF!</v>
      </c>
      <c r="AF256" s="1989" t="e">
        <f>#REF!/10^7</f>
        <v>#REF!</v>
      </c>
      <c r="AG256" s="2002" t="e">
        <f t="shared" si="488"/>
        <v>#REF!</v>
      </c>
      <c r="AH256" s="1999" t="e">
        <f t="shared" si="542"/>
        <v>#REF!</v>
      </c>
      <c r="AI256" s="1993" t="e">
        <f>#REF!</f>
        <v>#REF!</v>
      </c>
      <c r="AJ256" s="2003">
        <f t="shared" si="489"/>
        <v>0</v>
      </c>
      <c r="AK256" s="1989" t="e">
        <f>#REF!/10^7</f>
        <v>#REF!</v>
      </c>
      <c r="AL256" s="2003">
        <f t="shared" si="490"/>
        <v>0</v>
      </c>
      <c r="AM256" s="1989" t="e">
        <f>#REF!/10^7</f>
        <v>#REF!</v>
      </c>
      <c r="AN256" s="2003">
        <f t="shared" si="491"/>
        <v>0</v>
      </c>
      <c r="AO256" s="1989" t="e">
        <f>#REF!/10^7</f>
        <v>#REF!</v>
      </c>
      <c r="AP256" s="1989" t="e">
        <f>#REF!/10^7</f>
        <v>#REF!</v>
      </c>
      <c r="AQ256" s="2002" t="e">
        <f t="shared" si="492"/>
        <v>#REF!</v>
      </c>
      <c r="AR256" s="1999" t="e">
        <f t="shared" si="543"/>
        <v>#REF!</v>
      </c>
      <c r="AS256" s="1993" t="e">
        <f>#REF!</f>
        <v>#REF!</v>
      </c>
      <c r="AT256" s="2003">
        <f t="shared" si="493"/>
        <v>0</v>
      </c>
      <c r="AU256" s="1989" t="e">
        <f>#REF!/10^7</f>
        <v>#REF!</v>
      </c>
      <c r="AV256" s="2003">
        <f t="shared" si="494"/>
        <v>0</v>
      </c>
      <c r="AW256" s="1989" t="e">
        <f>#REF!/10^7</f>
        <v>#REF!</v>
      </c>
      <c r="AX256" s="2003">
        <f t="shared" si="495"/>
        <v>0</v>
      </c>
      <c r="AY256" s="1989" t="e">
        <f>#REF!/10^7</f>
        <v>#REF!</v>
      </c>
      <c r="AZ256" s="1989" t="e">
        <f>#REF!/10^7</f>
        <v>#REF!</v>
      </c>
      <c r="BA256" s="2002" t="e">
        <f t="shared" si="496"/>
        <v>#REF!</v>
      </c>
      <c r="BB256" s="1999" t="e">
        <f t="shared" si="544"/>
        <v>#REF!</v>
      </c>
      <c r="BC256" s="1993" t="e">
        <f>#REF!</f>
        <v>#REF!</v>
      </c>
      <c r="BD256" s="2003">
        <f t="shared" si="497"/>
        <v>0</v>
      </c>
      <c r="BE256" s="1989" t="e">
        <f>#REF!/10^7</f>
        <v>#REF!</v>
      </c>
      <c r="BF256" s="2003">
        <f t="shared" si="498"/>
        <v>0</v>
      </c>
      <c r="BG256" s="1989" t="e">
        <f>#REF!/10^7</f>
        <v>#REF!</v>
      </c>
      <c r="BH256" s="2003">
        <f t="shared" si="499"/>
        <v>0</v>
      </c>
      <c r="BI256" s="1989" t="e">
        <f>#REF!/10^7</f>
        <v>#REF!</v>
      </c>
      <c r="BJ256" s="1989" t="e">
        <f>#REF!/10^7</f>
        <v>#REF!</v>
      </c>
      <c r="BK256" s="2002" t="e">
        <f t="shared" si="500"/>
        <v>#REF!</v>
      </c>
      <c r="BL256" s="1999" t="e">
        <f t="shared" si="535"/>
        <v>#REF!</v>
      </c>
      <c r="BM256" s="1993" t="e">
        <f>#REF!</f>
        <v>#REF!</v>
      </c>
      <c r="BN256" s="2003">
        <f t="shared" si="501"/>
        <v>0</v>
      </c>
      <c r="BO256" s="1989" t="e">
        <f>#REF!/10^7</f>
        <v>#REF!</v>
      </c>
      <c r="BP256" s="2003">
        <f t="shared" si="502"/>
        <v>0</v>
      </c>
      <c r="BQ256" s="1989" t="e">
        <f>#REF!/10^7</f>
        <v>#REF!</v>
      </c>
      <c r="BR256" s="2003">
        <f t="shared" si="503"/>
        <v>0</v>
      </c>
      <c r="BS256" s="1989" t="e">
        <f>#REF!/10^7</f>
        <v>#REF!</v>
      </c>
      <c r="BT256" s="1989" t="e">
        <f>#REF!/10^7</f>
        <v>#REF!</v>
      </c>
      <c r="BU256" s="2002" t="e">
        <f t="shared" si="504"/>
        <v>#REF!</v>
      </c>
      <c r="BV256" s="1999" t="e">
        <f t="shared" si="536"/>
        <v>#REF!</v>
      </c>
      <c r="BW256" s="1993" t="e">
        <f>#REF!</f>
        <v>#REF!</v>
      </c>
      <c r="BX256" s="2003">
        <f t="shared" si="505"/>
        <v>0</v>
      </c>
      <c r="BY256" s="1989" t="e">
        <f>#REF!/10^7</f>
        <v>#REF!</v>
      </c>
      <c r="BZ256" s="2003">
        <f t="shared" si="506"/>
        <v>0</v>
      </c>
      <c r="CA256" s="1989" t="e">
        <f>#REF!/10^7</f>
        <v>#REF!</v>
      </c>
      <c r="CB256" s="2003">
        <f t="shared" si="507"/>
        <v>0</v>
      </c>
      <c r="CC256" s="1989" t="e">
        <f>#REF!/10^7</f>
        <v>#REF!</v>
      </c>
      <c r="CD256" s="1989" t="e">
        <f>#REF!/10^7</f>
        <v>#REF!</v>
      </c>
      <c r="CE256" s="2002" t="e">
        <f t="shared" si="508"/>
        <v>#REF!</v>
      </c>
      <c r="CF256" s="1999" t="e">
        <f t="shared" si="537"/>
        <v>#REF!</v>
      </c>
      <c r="CG256" s="1993" t="e">
        <f>#REF!</f>
        <v>#REF!</v>
      </c>
      <c r="CH256" s="2003">
        <f t="shared" si="509"/>
        <v>0</v>
      </c>
      <c r="CI256" s="1989" t="e">
        <f>#REF!/10^7</f>
        <v>#REF!</v>
      </c>
      <c r="CJ256" s="2003">
        <f t="shared" si="510"/>
        <v>0</v>
      </c>
      <c r="CK256" s="1989" t="e">
        <f>#REF!/10^7</f>
        <v>#REF!</v>
      </c>
      <c r="CL256" s="2003">
        <f t="shared" si="511"/>
        <v>0</v>
      </c>
      <c r="CM256" s="1989" t="e">
        <f>#REF!/10^7</f>
        <v>#REF!</v>
      </c>
      <c r="CN256" s="1989" t="e">
        <f>#REF!/10^7</f>
        <v>#REF!</v>
      </c>
      <c r="CO256" s="2002" t="e">
        <f t="shared" si="512"/>
        <v>#REF!</v>
      </c>
      <c r="CP256" s="1999" t="e">
        <f t="shared" si="538"/>
        <v>#REF!</v>
      </c>
      <c r="CQ256" s="1993" t="e">
        <f>#REF!</f>
        <v>#REF!</v>
      </c>
      <c r="CR256" s="2003">
        <f t="shared" si="513"/>
        <v>0</v>
      </c>
      <c r="CS256" s="1989" t="e">
        <f>#REF!/10^7</f>
        <v>#REF!</v>
      </c>
      <c r="CT256" s="2003">
        <f t="shared" si="514"/>
        <v>0</v>
      </c>
      <c r="CU256" s="1989" t="e">
        <f>#REF!/10^7</f>
        <v>#REF!</v>
      </c>
      <c r="CV256" s="2003">
        <f t="shared" si="515"/>
        <v>0</v>
      </c>
      <c r="CW256" s="1989" t="e">
        <f>#REF!/10^7</f>
        <v>#REF!</v>
      </c>
      <c r="CX256" s="1989" t="e">
        <f>#REF!/10^7</f>
        <v>#REF!</v>
      </c>
      <c r="CY256" s="2002" t="e">
        <f t="shared" si="516"/>
        <v>#REF!</v>
      </c>
      <c r="CZ256" s="1999" t="e">
        <f t="shared" si="539"/>
        <v>#REF!</v>
      </c>
      <c r="DA256" s="1993" t="e">
        <f>#REF!</f>
        <v>#REF!</v>
      </c>
      <c r="DB256" s="2003">
        <f t="shared" si="517"/>
        <v>0</v>
      </c>
      <c r="DC256" s="1989" t="e">
        <f>#REF!/10^7</f>
        <v>#REF!</v>
      </c>
      <c r="DD256" s="2003">
        <f t="shared" si="518"/>
        <v>0</v>
      </c>
      <c r="DE256" s="1989" t="e">
        <f>#REF!/10^7</f>
        <v>#REF!</v>
      </c>
      <c r="DF256" s="2003">
        <f t="shared" si="519"/>
        <v>0</v>
      </c>
      <c r="DG256" s="1989" t="e">
        <f>#REF!/10^7</f>
        <v>#REF!</v>
      </c>
      <c r="DH256" s="1989" t="e">
        <f>#REF!/10^7</f>
        <v>#REF!</v>
      </c>
      <c r="DI256" s="2002" t="e">
        <f t="shared" si="520"/>
        <v>#REF!</v>
      </c>
      <c r="DJ256" s="1999" t="e">
        <f t="shared" si="545"/>
        <v>#REF!</v>
      </c>
      <c r="DK256" s="1993" t="e">
        <f>#REF!</f>
        <v>#REF!</v>
      </c>
      <c r="DL256" s="2003">
        <f t="shared" si="521"/>
        <v>0</v>
      </c>
      <c r="DM256" s="1989" t="e">
        <f>#REF!/10^7</f>
        <v>#REF!</v>
      </c>
      <c r="DN256" s="2003">
        <f t="shared" si="522"/>
        <v>0</v>
      </c>
      <c r="DO256" s="1989" t="e">
        <f>#REF!/10^7</f>
        <v>#REF!</v>
      </c>
      <c r="DP256" s="2003">
        <f t="shared" si="523"/>
        <v>0</v>
      </c>
      <c r="DQ256" s="1989" t="e">
        <f>#REF!/10^7</f>
        <v>#REF!</v>
      </c>
      <c r="DR256" s="1989" t="e">
        <f>#REF!/10^7</f>
        <v>#REF!</v>
      </c>
      <c r="DS256" s="2002" t="e">
        <f t="shared" si="524"/>
        <v>#REF!</v>
      </c>
      <c r="DT256" s="2004" t="e">
        <f t="shared" si="546"/>
        <v>#REF!</v>
      </c>
      <c r="DU256" s="1988" t="e">
        <f>#REF!</f>
        <v>#REF!</v>
      </c>
      <c r="DV256" s="2003">
        <f t="shared" si="525"/>
        <v>0</v>
      </c>
      <c r="DW256" s="1989" t="e">
        <f>#REF!/10^7</f>
        <v>#REF!</v>
      </c>
      <c r="DX256" s="2003">
        <f t="shared" si="526"/>
        <v>0</v>
      </c>
      <c r="DY256" s="1989" t="e">
        <f>#REF!/10^7</f>
        <v>#REF!</v>
      </c>
      <c r="DZ256" s="2003">
        <f t="shared" si="527"/>
        <v>0</v>
      </c>
      <c r="EA256" s="1989" t="e">
        <f>#REF!/10^7</f>
        <v>#REF!</v>
      </c>
      <c r="EB256" s="1989" t="e">
        <f>#REF!/10^7</f>
        <v>#REF!</v>
      </c>
      <c r="EC256" s="2002" t="e">
        <f t="shared" si="528"/>
        <v>#REF!</v>
      </c>
      <c r="ED256" s="1998" t="e">
        <f t="shared" si="547"/>
        <v>#REF!</v>
      </c>
      <c r="EE256" s="2005" t="e">
        <f t="shared" si="548"/>
        <v>#REF!</v>
      </c>
      <c r="EF256" s="2003">
        <f t="shared" si="529"/>
        <v>0</v>
      </c>
      <c r="EG256" s="1989" t="e">
        <f t="shared" si="549"/>
        <v>#REF!</v>
      </c>
      <c r="EH256" s="2003">
        <f t="shared" si="530"/>
        <v>0</v>
      </c>
      <c r="EI256" s="1989" t="e">
        <f t="shared" si="550"/>
        <v>#REF!</v>
      </c>
      <c r="EJ256" s="2003">
        <f t="shared" si="531"/>
        <v>0</v>
      </c>
      <c r="EK256" s="1989" t="e">
        <f t="shared" si="551"/>
        <v>#REF!</v>
      </c>
      <c r="EL256" s="1989" t="e">
        <f t="shared" si="551"/>
        <v>#REF!</v>
      </c>
      <c r="EM256" s="2006" t="e">
        <f t="shared" si="532"/>
        <v>#REF!</v>
      </c>
      <c r="EN256" s="1999" t="e">
        <f t="shared" si="552"/>
        <v>#REF!</v>
      </c>
      <c r="EO256" s="1613">
        <v>13.145816999999999</v>
      </c>
      <c r="EP256" s="1613" t="e">
        <f>EA256-#REF!/10^7</f>
        <v>#REF!</v>
      </c>
      <c r="ER256" s="1612" t="e">
        <f t="shared" si="480"/>
        <v>#REF!</v>
      </c>
      <c r="EW256" s="1611" t="e">
        <v>#N/A</v>
      </c>
      <c r="EX256" s="1612" t="e">
        <v>#N/A</v>
      </c>
      <c r="EZ256" s="1650">
        <f t="shared" si="533"/>
        <v>0</v>
      </c>
    </row>
    <row r="257" spans="1:156" ht="21" customHeight="1">
      <c r="A257" s="1652">
        <v>67</v>
      </c>
      <c r="B257" s="1701" t="s">
        <v>1925</v>
      </c>
      <c r="C257" s="1662">
        <v>3</v>
      </c>
      <c r="D257" s="1646">
        <f t="shared" si="540"/>
        <v>100</v>
      </c>
      <c r="E257" s="1646"/>
      <c r="F257" s="1648" t="s">
        <v>1594</v>
      </c>
      <c r="G257" s="1648"/>
      <c r="H257" s="1648">
        <v>3</v>
      </c>
      <c r="I257" s="1648" t="s">
        <v>1717</v>
      </c>
      <c r="J257" s="1649">
        <v>2</v>
      </c>
      <c r="K257" s="1648"/>
      <c r="L257" s="1648"/>
      <c r="M257" s="1648"/>
      <c r="N257" s="1642"/>
      <c r="O257" s="2000" t="e">
        <f>#REF!</f>
        <v>#REF!</v>
      </c>
      <c r="P257" s="2003">
        <f t="shared" si="481"/>
        <v>0</v>
      </c>
      <c r="Q257" s="1989" t="e">
        <f>#REF!/10^7</f>
        <v>#REF!</v>
      </c>
      <c r="R257" s="2003">
        <f t="shared" si="482"/>
        <v>0</v>
      </c>
      <c r="S257" s="1989" t="e">
        <f>#REF!/10^7</f>
        <v>#REF!</v>
      </c>
      <c r="T257" s="2003">
        <f t="shared" si="483"/>
        <v>0</v>
      </c>
      <c r="U257" s="1989" t="e">
        <f>#REF!/10^7</f>
        <v>#REF!</v>
      </c>
      <c r="V257" s="1989" t="e">
        <f>#REF!/10^7</f>
        <v>#REF!</v>
      </c>
      <c r="W257" s="1989">
        <f t="shared" si="484"/>
        <v>0</v>
      </c>
      <c r="X257" s="1999" t="e">
        <f t="shared" si="541"/>
        <v>#REF!</v>
      </c>
      <c r="Y257" s="1993" t="e">
        <f>#REF!</f>
        <v>#REF!</v>
      </c>
      <c r="Z257" s="2003">
        <f t="shared" si="485"/>
        <v>0</v>
      </c>
      <c r="AA257" s="1989" t="e">
        <f>#REF!/10^7</f>
        <v>#REF!</v>
      </c>
      <c r="AB257" s="2003">
        <f t="shared" si="486"/>
        <v>0</v>
      </c>
      <c r="AC257" s="1989" t="e">
        <f>#REF!/10^7</f>
        <v>#REF!</v>
      </c>
      <c r="AD257" s="2003">
        <f t="shared" si="487"/>
        <v>0</v>
      </c>
      <c r="AE257" s="1989" t="e">
        <f>#REF!/10^7</f>
        <v>#REF!</v>
      </c>
      <c r="AF257" s="1989" t="e">
        <f>#REF!/10^7</f>
        <v>#REF!</v>
      </c>
      <c r="AG257" s="2002" t="e">
        <f t="shared" si="488"/>
        <v>#REF!</v>
      </c>
      <c r="AH257" s="1999" t="e">
        <f t="shared" si="542"/>
        <v>#REF!</v>
      </c>
      <c r="AI257" s="1993" t="e">
        <f>#REF!</f>
        <v>#REF!</v>
      </c>
      <c r="AJ257" s="2003">
        <f t="shared" si="489"/>
        <v>0</v>
      </c>
      <c r="AK257" s="1989" t="e">
        <f>#REF!/10^7</f>
        <v>#REF!</v>
      </c>
      <c r="AL257" s="2003">
        <f t="shared" si="490"/>
        <v>0</v>
      </c>
      <c r="AM257" s="1989" t="e">
        <f>#REF!/10^7</f>
        <v>#REF!</v>
      </c>
      <c r="AN257" s="2003">
        <f t="shared" si="491"/>
        <v>0</v>
      </c>
      <c r="AO257" s="1989" t="e">
        <f>#REF!/10^7</f>
        <v>#REF!</v>
      </c>
      <c r="AP257" s="1989" t="e">
        <f>#REF!/10^7</f>
        <v>#REF!</v>
      </c>
      <c r="AQ257" s="2002" t="e">
        <f t="shared" si="492"/>
        <v>#REF!</v>
      </c>
      <c r="AR257" s="1999" t="e">
        <f t="shared" si="543"/>
        <v>#REF!</v>
      </c>
      <c r="AS257" s="1993" t="e">
        <f>#REF!</f>
        <v>#REF!</v>
      </c>
      <c r="AT257" s="2003">
        <f t="shared" si="493"/>
        <v>0</v>
      </c>
      <c r="AU257" s="1989" t="e">
        <f>#REF!/10^7</f>
        <v>#REF!</v>
      </c>
      <c r="AV257" s="2003">
        <f t="shared" si="494"/>
        <v>0</v>
      </c>
      <c r="AW257" s="1989" t="e">
        <f>#REF!/10^7</f>
        <v>#REF!</v>
      </c>
      <c r="AX257" s="2003">
        <f t="shared" si="495"/>
        <v>0</v>
      </c>
      <c r="AY257" s="1989" t="e">
        <f>#REF!/10^7</f>
        <v>#REF!</v>
      </c>
      <c r="AZ257" s="1989" t="e">
        <f>#REF!/10^7</f>
        <v>#REF!</v>
      </c>
      <c r="BA257" s="2002" t="e">
        <f t="shared" si="496"/>
        <v>#REF!</v>
      </c>
      <c r="BB257" s="1999" t="e">
        <f t="shared" si="544"/>
        <v>#REF!</v>
      </c>
      <c r="BC257" s="1993" t="e">
        <f>#REF!</f>
        <v>#REF!</v>
      </c>
      <c r="BD257" s="2003">
        <f t="shared" si="497"/>
        <v>0</v>
      </c>
      <c r="BE257" s="1989" t="e">
        <f>#REF!/10^7</f>
        <v>#REF!</v>
      </c>
      <c r="BF257" s="2003">
        <f t="shared" si="498"/>
        <v>0</v>
      </c>
      <c r="BG257" s="1989" t="e">
        <f>#REF!/10^7</f>
        <v>#REF!</v>
      </c>
      <c r="BH257" s="2003">
        <f t="shared" si="499"/>
        <v>0</v>
      </c>
      <c r="BI257" s="1989" t="e">
        <f>#REF!/10^7</f>
        <v>#REF!</v>
      </c>
      <c r="BJ257" s="1989" t="e">
        <f>#REF!/10^7</f>
        <v>#REF!</v>
      </c>
      <c r="BK257" s="2002" t="e">
        <f t="shared" si="500"/>
        <v>#REF!</v>
      </c>
      <c r="BL257" s="1999" t="e">
        <f t="shared" si="535"/>
        <v>#REF!</v>
      </c>
      <c r="BM257" s="1993" t="e">
        <f>#REF!</f>
        <v>#REF!</v>
      </c>
      <c r="BN257" s="2003">
        <f t="shared" si="501"/>
        <v>0</v>
      </c>
      <c r="BO257" s="1989" t="e">
        <f>#REF!/10^7</f>
        <v>#REF!</v>
      </c>
      <c r="BP257" s="2003">
        <f t="shared" si="502"/>
        <v>0</v>
      </c>
      <c r="BQ257" s="1989" t="e">
        <f>#REF!/10^7</f>
        <v>#REF!</v>
      </c>
      <c r="BR257" s="2003">
        <f t="shared" si="503"/>
        <v>0</v>
      </c>
      <c r="BS257" s="1989" t="e">
        <f>#REF!/10^7</f>
        <v>#REF!</v>
      </c>
      <c r="BT257" s="1989" t="e">
        <f>#REF!/10^7</f>
        <v>#REF!</v>
      </c>
      <c r="BU257" s="2002" t="e">
        <f t="shared" si="504"/>
        <v>#REF!</v>
      </c>
      <c r="BV257" s="1999" t="e">
        <f t="shared" si="536"/>
        <v>#REF!</v>
      </c>
      <c r="BW257" s="1993" t="e">
        <f>#REF!</f>
        <v>#REF!</v>
      </c>
      <c r="BX257" s="2003">
        <f t="shared" si="505"/>
        <v>0</v>
      </c>
      <c r="BY257" s="1989" t="e">
        <f>#REF!/10^7</f>
        <v>#REF!</v>
      </c>
      <c r="BZ257" s="2003">
        <f t="shared" si="506"/>
        <v>0</v>
      </c>
      <c r="CA257" s="1989" t="e">
        <f>#REF!/10^7</f>
        <v>#REF!</v>
      </c>
      <c r="CB257" s="2003">
        <f t="shared" si="507"/>
        <v>0</v>
      </c>
      <c r="CC257" s="1989" t="e">
        <f>#REF!/10^7</f>
        <v>#REF!</v>
      </c>
      <c r="CD257" s="1989" t="e">
        <f>#REF!/10^7</f>
        <v>#REF!</v>
      </c>
      <c r="CE257" s="2002" t="e">
        <f t="shared" si="508"/>
        <v>#REF!</v>
      </c>
      <c r="CF257" s="1999" t="e">
        <f t="shared" si="537"/>
        <v>#REF!</v>
      </c>
      <c r="CG257" s="1993" t="e">
        <f>#REF!</f>
        <v>#REF!</v>
      </c>
      <c r="CH257" s="2003">
        <f t="shared" si="509"/>
        <v>0</v>
      </c>
      <c r="CI257" s="1989" t="e">
        <f>#REF!/10^7</f>
        <v>#REF!</v>
      </c>
      <c r="CJ257" s="2003">
        <f t="shared" si="510"/>
        <v>0</v>
      </c>
      <c r="CK257" s="1989" t="e">
        <f>#REF!/10^7</f>
        <v>#REF!</v>
      </c>
      <c r="CL257" s="2003">
        <f t="shared" si="511"/>
        <v>0</v>
      </c>
      <c r="CM257" s="1989" t="e">
        <f>#REF!/10^7</f>
        <v>#REF!</v>
      </c>
      <c r="CN257" s="1989" t="e">
        <f>#REF!/10^7</f>
        <v>#REF!</v>
      </c>
      <c r="CO257" s="2002" t="e">
        <f t="shared" si="512"/>
        <v>#REF!</v>
      </c>
      <c r="CP257" s="1999" t="e">
        <f t="shared" si="538"/>
        <v>#REF!</v>
      </c>
      <c r="CQ257" s="1993" t="e">
        <f>#REF!</f>
        <v>#REF!</v>
      </c>
      <c r="CR257" s="2003">
        <f t="shared" si="513"/>
        <v>0</v>
      </c>
      <c r="CS257" s="1989" t="e">
        <f>#REF!/10^7</f>
        <v>#REF!</v>
      </c>
      <c r="CT257" s="2003">
        <f t="shared" si="514"/>
        <v>0</v>
      </c>
      <c r="CU257" s="1989" t="e">
        <f>#REF!/10^7</f>
        <v>#REF!</v>
      </c>
      <c r="CV257" s="2003">
        <f t="shared" si="515"/>
        <v>0</v>
      </c>
      <c r="CW257" s="1989" t="e">
        <f>#REF!/10^7</f>
        <v>#REF!</v>
      </c>
      <c r="CX257" s="1989" t="e">
        <f>#REF!/10^7</f>
        <v>#REF!</v>
      </c>
      <c r="CY257" s="2002" t="e">
        <f t="shared" si="516"/>
        <v>#REF!</v>
      </c>
      <c r="CZ257" s="1999" t="e">
        <f t="shared" si="539"/>
        <v>#REF!</v>
      </c>
      <c r="DA257" s="1993" t="e">
        <f>#REF!</f>
        <v>#REF!</v>
      </c>
      <c r="DB257" s="2003">
        <f t="shared" si="517"/>
        <v>0</v>
      </c>
      <c r="DC257" s="1989" t="e">
        <f>#REF!/10^7</f>
        <v>#REF!</v>
      </c>
      <c r="DD257" s="2003">
        <f t="shared" si="518"/>
        <v>0</v>
      </c>
      <c r="DE257" s="1989" t="e">
        <f>#REF!/10^7</f>
        <v>#REF!</v>
      </c>
      <c r="DF257" s="2003">
        <f t="shared" si="519"/>
        <v>0</v>
      </c>
      <c r="DG257" s="1989" t="e">
        <f>#REF!/10^7</f>
        <v>#REF!</v>
      </c>
      <c r="DH257" s="1989" t="e">
        <f>#REF!/10^7</f>
        <v>#REF!</v>
      </c>
      <c r="DI257" s="2002" t="e">
        <f t="shared" si="520"/>
        <v>#REF!</v>
      </c>
      <c r="DJ257" s="1999" t="e">
        <f t="shared" si="545"/>
        <v>#REF!</v>
      </c>
      <c r="DK257" s="1993" t="e">
        <f>#REF!</f>
        <v>#REF!</v>
      </c>
      <c r="DL257" s="2003">
        <f t="shared" si="521"/>
        <v>0</v>
      </c>
      <c r="DM257" s="1989" t="e">
        <f>#REF!/10^7</f>
        <v>#REF!</v>
      </c>
      <c r="DN257" s="2003">
        <f t="shared" si="522"/>
        <v>0</v>
      </c>
      <c r="DO257" s="1989" t="e">
        <f>#REF!/10^7</f>
        <v>#REF!</v>
      </c>
      <c r="DP257" s="2003">
        <f t="shared" si="523"/>
        <v>0</v>
      </c>
      <c r="DQ257" s="1989" t="e">
        <f>#REF!/10^7</f>
        <v>#REF!</v>
      </c>
      <c r="DR257" s="1989" t="e">
        <f>#REF!/10^7</f>
        <v>#REF!</v>
      </c>
      <c r="DS257" s="2002" t="e">
        <f t="shared" si="524"/>
        <v>#REF!</v>
      </c>
      <c r="DT257" s="2004" t="e">
        <f t="shared" si="546"/>
        <v>#REF!</v>
      </c>
      <c r="DU257" s="1988" t="e">
        <f>#REF!</f>
        <v>#REF!</v>
      </c>
      <c r="DV257" s="2003">
        <f t="shared" si="525"/>
        <v>0</v>
      </c>
      <c r="DW257" s="1989" t="e">
        <f>#REF!/10^7</f>
        <v>#REF!</v>
      </c>
      <c r="DX257" s="2003">
        <f t="shared" si="526"/>
        <v>0</v>
      </c>
      <c r="DY257" s="1989" t="e">
        <f>#REF!/10^7</f>
        <v>#REF!</v>
      </c>
      <c r="DZ257" s="2003">
        <f t="shared" si="527"/>
        <v>0</v>
      </c>
      <c r="EA257" s="1989" t="e">
        <f>#REF!/10^7</f>
        <v>#REF!</v>
      </c>
      <c r="EB257" s="1989" t="e">
        <f>#REF!/10^7</f>
        <v>#REF!</v>
      </c>
      <c r="EC257" s="2002" t="e">
        <f t="shared" si="528"/>
        <v>#REF!</v>
      </c>
      <c r="ED257" s="1998" t="e">
        <f t="shared" si="547"/>
        <v>#REF!</v>
      </c>
      <c r="EE257" s="2005" t="e">
        <f t="shared" si="548"/>
        <v>#REF!</v>
      </c>
      <c r="EF257" s="2003">
        <f t="shared" si="529"/>
        <v>0</v>
      </c>
      <c r="EG257" s="1989" t="e">
        <f t="shared" si="549"/>
        <v>#REF!</v>
      </c>
      <c r="EH257" s="2003">
        <f t="shared" si="530"/>
        <v>0</v>
      </c>
      <c r="EI257" s="1989" t="e">
        <f t="shared" si="550"/>
        <v>#REF!</v>
      </c>
      <c r="EJ257" s="2003">
        <f t="shared" si="531"/>
        <v>0</v>
      </c>
      <c r="EK257" s="1989" t="e">
        <f t="shared" si="551"/>
        <v>#REF!</v>
      </c>
      <c r="EL257" s="1989" t="e">
        <f t="shared" si="551"/>
        <v>#REF!</v>
      </c>
      <c r="EM257" s="2006" t="e">
        <f t="shared" si="532"/>
        <v>#REF!</v>
      </c>
      <c r="EN257" s="1999" t="e">
        <f t="shared" si="552"/>
        <v>#REF!</v>
      </c>
      <c r="EO257" s="1613">
        <v>8.1275429999999993</v>
      </c>
      <c r="EP257" s="1613" t="e">
        <f>EA257-#REF!/10^7</f>
        <v>#REF!</v>
      </c>
      <c r="ER257" s="1612" t="e">
        <f t="shared" si="480"/>
        <v>#REF!</v>
      </c>
      <c r="EW257" s="1611" t="e">
        <v>#N/A</v>
      </c>
      <c r="EX257" s="1612" t="e">
        <v>#N/A</v>
      </c>
      <c r="EZ257" s="1650">
        <f t="shared" si="533"/>
        <v>0</v>
      </c>
    </row>
    <row r="258" spans="1:156" ht="21" customHeight="1">
      <c r="A258" s="1652">
        <v>68</v>
      </c>
      <c r="B258" s="1701" t="s">
        <v>1926</v>
      </c>
      <c r="C258" s="1662">
        <v>16.170000000000002</v>
      </c>
      <c r="D258" s="1646">
        <f t="shared" si="540"/>
        <v>100</v>
      </c>
      <c r="E258" s="1646"/>
      <c r="F258" s="1648" t="s">
        <v>1594</v>
      </c>
      <c r="G258" s="1648"/>
      <c r="H258" s="1648">
        <v>16.170000000000002</v>
      </c>
      <c r="I258" s="1648" t="s">
        <v>1717</v>
      </c>
      <c r="J258" s="1649">
        <v>2</v>
      </c>
      <c r="K258" s="1648"/>
      <c r="L258" s="1648"/>
      <c r="M258" s="1648"/>
      <c r="N258" s="1642"/>
      <c r="O258" s="2000" t="e">
        <f>#REF!</f>
        <v>#REF!</v>
      </c>
      <c r="P258" s="2003">
        <f t="shared" si="481"/>
        <v>0</v>
      </c>
      <c r="Q258" s="1989" t="e">
        <f>#REF!/10^7</f>
        <v>#REF!</v>
      </c>
      <c r="R258" s="2003">
        <f t="shared" si="482"/>
        <v>0</v>
      </c>
      <c r="S258" s="1989" t="e">
        <f>#REF!/10^7</f>
        <v>#REF!</v>
      </c>
      <c r="T258" s="2003">
        <f t="shared" si="483"/>
        <v>0</v>
      </c>
      <c r="U258" s="1989" t="e">
        <f>#REF!/10^7</f>
        <v>#REF!</v>
      </c>
      <c r="V258" s="1989" t="e">
        <f>#REF!/10^7</f>
        <v>#REF!</v>
      </c>
      <c r="W258" s="1989">
        <f t="shared" si="484"/>
        <v>0</v>
      </c>
      <c r="X258" s="1999" t="e">
        <f t="shared" si="541"/>
        <v>#REF!</v>
      </c>
      <c r="Y258" s="1993" t="e">
        <f>#REF!</f>
        <v>#REF!</v>
      </c>
      <c r="Z258" s="2003">
        <f t="shared" si="485"/>
        <v>0</v>
      </c>
      <c r="AA258" s="1989" t="e">
        <f>#REF!/10^7</f>
        <v>#REF!</v>
      </c>
      <c r="AB258" s="2003">
        <f t="shared" si="486"/>
        <v>0</v>
      </c>
      <c r="AC258" s="1989" t="e">
        <f>#REF!/10^7</f>
        <v>#REF!</v>
      </c>
      <c r="AD258" s="2003">
        <f t="shared" si="487"/>
        <v>0</v>
      </c>
      <c r="AE258" s="1989" t="e">
        <f>#REF!/10^7</f>
        <v>#REF!</v>
      </c>
      <c r="AF258" s="1989" t="e">
        <f>#REF!/10^7</f>
        <v>#REF!</v>
      </c>
      <c r="AG258" s="2002" t="e">
        <f t="shared" si="488"/>
        <v>#REF!</v>
      </c>
      <c r="AH258" s="1999" t="e">
        <f t="shared" si="542"/>
        <v>#REF!</v>
      </c>
      <c r="AI258" s="1993" t="e">
        <f>#REF!</f>
        <v>#REF!</v>
      </c>
      <c r="AJ258" s="2003">
        <f t="shared" si="489"/>
        <v>0</v>
      </c>
      <c r="AK258" s="1989" t="e">
        <f>#REF!/10^7</f>
        <v>#REF!</v>
      </c>
      <c r="AL258" s="2003">
        <f t="shared" si="490"/>
        <v>0</v>
      </c>
      <c r="AM258" s="1989" t="e">
        <f>#REF!/10^7</f>
        <v>#REF!</v>
      </c>
      <c r="AN258" s="2003">
        <f t="shared" si="491"/>
        <v>0</v>
      </c>
      <c r="AO258" s="1989" t="e">
        <f>#REF!/10^7</f>
        <v>#REF!</v>
      </c>
      <c r="AP258" s="1989" t="e">
        <f>#REF!/10^7</f>
        <v>#REF!</v>
      </c>
      <c r="AQ258" s="2002" t="e">
        <f t="shared" si="492"/>
        <v>#REF!</v>
      </c>
      <c r="AR258" s="1999" t="e">
        <f t="shared" si="543"/>
        <v>#REF!</v>
      </c>
      <c r="AS258" s="1993" t="e">
        <f>#REF!</f>
        <v>#REF!</v>
      </c>
      <c r="AT258" s="2003">
        <f t="shared" si="493"/>
        <v>0</v>
      </c>
      <c r="AU258" s="1989" t="e">
        <f>#REF!/10^7</f>
        <v>#REF!</v>
      </c>
      <c r="AV258" s="2003">
        <f t="shared" si="494"/>
        <v>0</v>
      </c>
      <c r="AW258" s="1989" t="e">
        <f>#REF!/10^7</f>
        <v>#REF!</v>
      </c>
      <c r="AX258" s="2003">
        <f t="shared" si="495"/>
        <v>0</v>
      </c>
      <c r="AY258" s="1989" t="e">
        <f>#REF!/10^7</f>
        <v>#REF!</v>
      </c>
      <c r="AZ258" s="1989" t="e">
        <f>#REF!/10^7</f>
        <v>#REF!</v>
      </c>
      <c r="BA258" s="2002" t="e">
        <f t="shared" si="496"/>
        <v>#REF!</v>
      </c>
      <c r="BB258" s="1999" t="e">
        <f t="shared" si="544"/>
        <v>#REF!</v>
      </c>
      <c r="BC258" s="1993" t="e">
        <f>#REF!</f>
        <v>#REF!</v>
      </c>
      <c r="BD258" s="2003">
        <f t="shared" si="497"/>
        <v>0</v>
      </c>
      <c r="BE258" s="1989" t="e">
        <f>#REF!/10^7</f>
        <v>#REF!</v>
      </c>
      <c r="BF258" s="2003">
        <f t="shared" si="498"/>
        <v>0</v>
      </c>
      <c r="BG258" s="1989" t="e">
        <f>#REF!/10^7</f>
        <v>#REF!</v>
      </c>
      <c r="BH258" s="2003">
        <f t="shared" si="499"/>
        <v>0</v>
      </c>
      <c r="BI258" s="1989" t="e">
        <f>#REF!/10^7</f>
        <v>#REF!</v>
      </c>
      <c r="BJ258" s="1989" t="e">
        <f>#REF!/10^7</f>
        <v>#REF!</v>
      </c>
      <c r="BK258" s="2002" t="e">
        <f t="shared" si="500"/>
        <v>#REF!</v>
      </c>
      <c r="BL258" s="1999" t="e">
        <f t="shared" si="535"/>
        <v>#REF!</v>
      </c>
      <c r="BM258" s="1993" t="e">
        <f>#REF!</f>
        <v>#REF!</v>
      </c>
      <c r="BN258" s="2003">
        <f t="shared" si="501"/>
        <v>0</v>
      </c>
      <c r="BO258" s="1989" t="e">
        <f>#REF!/10^7</f>
        <v>#REF!</v>
      </c>
      <c r="BP258" s="2003">
        <f t="shared" si="502"/>
        <v>0</v>
      </c>
      <c r="BQ258" s="1989" t="e">
        <f>#REF!/10^7</f>
        <v>#REF!</v>
      </c>
      <c r="BR258" s="2003">
        <f t="shared" si="503"/>
        <v>0</v>
      </c>
      <c r="BS258" s="1989" t="e">
        <f>#REF!/10^7</f>
        <v>#REF!</v>
      </c>
      <c r="BT258" s="1989" t="e">
        <f>#REF!/10^7</f>
        <v>#REF!</v>
      </c>
      <c r="BU258" s="2002" t="e">
        <f t="shared" si="504"/>
        <v>#REF!</v>
      </c>
      <c r="BV258" s="1999" t="e">
        <f t="shared" si="536"/>
        <v>#REF!</v>
      </c>
      <c r="BW258" s="1993" t="e">
        <f>#REF!</f>
        <v>#REF!</v>
      </c>
      <c r="BX258" s="2003">
        <f t="shared" si="505"/>
        <v>0</v>
      </c>
      <c r="BY258" s="1989" t="e">
        <f>#REF!/10^7</f>
        <v>#REF!</v>
      </c>
      <c r="BZ258" s="2003">
        <f t="shared" si="506"/>
        <v>0</v>
      </c>
      <c r="CA258" s="1989" t="e">
        <f>#REF!/10^7</f>
        <v>#REF!</v>
      </c>
      <c r="CB258" s="2003">
        <f t="shared" si="507"/>
        <v>0</v>
      </c>
      <c r="CC258" s="1989" t="e">
        <f>#REF!/10^7</f>
        <v>#REF!</v>
      </c>
      <c r="CD258" s="1989" t="e">
        <f>#REF!/10^7</f>
        <v>#REF!</v>
      </c>
      <c r="CE258" s="2002" t="e">
        <f t="shared" si="508"/>
        <v>#REF!</v>
      </c>
      <c r="CF258" s="1999" t="e">
        <f t="shared" si="537"/>
        <v>#REF!</v>
      </c>
      <c r="CG258" s="1993" t="e">
        <f>#REF!</f>
        <v>#REF!</v>
      </c>
      <c r="CH258" s="2003">
        <f t="shared" si="509"/>
        <v>0</v>
      </c>
      <c r="CI258" s="1989" t="e">
        <f>#REF!/10^7</f>
        <v>#REF!</v>
      </c>
      <c r="CJ258" s="2003">
        <f t="shared" si="510"/>
        <v>0</v>
      </c>
      <c r="CK258" s="1989" t="e">
        <f>#REF!/10^7</f>
        <v>#REF!</v>
      </c>
      <c r="CL258" s="2003">
        <f t="shared" si="511"/>
        <v>0</v>
      </c>
      <c r="CM258" s="1989" t="e">
        <f>#REF!/10^7</f>
        <v>#REF!</v>
      </c>
      <c r="CN258" s="1989" t="e">
        <f>#REF!/10^7</f>
        <v>#REF!</v>
      </c>
      <c r="CO258" s="2002" t="e">
        <f t="shared" si="512"/>
        <v>#REF!</v>
      </c>
      <c r="CP258" s="1999" t="e">
        <f t="shared" si="538"/>
        <v>#REF!</v>
      </c>
      <c r="CQ258" s="1993" t="e">
        <f>#REF!</f>
        <v>#REF!</v>
      </c>
      <c r="CR258" s="2003">
        <f t="shared" si="513"/>
        <v>0</v>
      </c>
      <c r="CS258" s="1989" t="e">
        <f>#REF!/10^7</f>
        <v>#REF!</v>
      </c>
      <c r="CT258" s="2003">
        <f t="shared" si="514"/>
        <v>0</v>
      </c>
      <c r="CU258" s="1989" t="e">
        <f>#REF!/10^7</f>
        <v>#REF!</v>
      </c>
      <c r="CV258" s="2003">
        <f t="shared" si="515"/>
        <v>0</v>
      </c>
      <c r="CW258" s="1989" t="e">
        <f>#REF!/10^7</f>
        <v>#REF!</v>
      </c>
      <c r="CX258" s="1989" t="e">
        <f>#REF!/10^7</f>
        <v>#REF!</v>
      </c>
      <c r="CY258" s="2002" t="e">
        <f t="shared" si="516"/>
        <v>#REF!</v>
      </c>
      <c r="CZ258" s="1999" t="e">
        <f t="shared" si="539"/>
        <v>#REF!</v>
      </c>
      <c r="DA258" s="1993" t="e">
        <f>#REF!</f>
        <v>#REF!</v>
      </c>
      <c r="DB258" s="2003">
        <f t="shared" si="517"/>
        <v>0</v>
      </c>
      <c r="DC258" s="1989" t="e">
        <f>#REF!/10^7</f>
        <v>#REF!</v>
      </c>
      <c r="DD258" s="2003">
        <f t="shared" si="518"/>
        <v>0</v>
      </c>
      <c r="DE258" s="1989" t="e">
        <f>#REF!/10^7</f>
        <v>#REF!</v>
      </c>
      <c r="DF258" s="2003">
        <f t="shared" si="519"/>
        <v>0</v>
      </c>
      <c r="DG258" s="1989" t="e">
        <f>#REF!/10^7</f>
        <v>#REF!</v>
      </c>
      <c r="DH258" s="1989" t="e">
        <f>#REF!/10^7</f>
        <v>#REF!</v>
      </c>
      <c r="DI258" s="2002" t="e">
        <f t="shared" si="520"/>
        <v>#REF!</v>
      </c>
      <c r="DJ258" s="1999" t="e">
        <f t="shared" si="545"/>
        <v>#REF!</v>
      </c>
      <c r="DK258" s="1993" t="e">
        <f>#REF!</f>
        <v>#REF!</v>
      </c>
      <c r="DL258" s="2003">
        <f t="shared" si="521"/>
        <v>0</v>
      </c>
      <c r="DM258" s="1989" t="e">
        <f>#REF!/10^7</f>
        <v>#REF!</v>
      </c>
      <c r="DN258" s="2003">
        <f t="shared" si="522"/>
        <v>0</v>
      </c>
      <c r="DO258" s="1989" t="e">
        <f>#REF!/10^7</f>
        <v>#REF!</v>
      </c>
      <c r="DP258" s="2003">
        <f t="shared" si="523"/>
        <v>0</v>
      </c>
      <c r="DQ258" s="1989" t="e">
        <f>#REF!/10^7</f>
        <v>#REF!</v>
      </c>
      <c r="DR258" s="1989" t="e">
        <f>#REF!/10^7</f>
        <v>#REF!</v>
      </c>
      <c r="DS258" s="2002" t="e">
        <f t="shared" si="524"/>
        <v>#REF!</v>
      </c>
      <c r="DT258" s="2004" t="e">
        <f t="shared" si="546"/>
        <v>#REF!</v>
      </c>
      <c r="DU258" s="1988" t="e">
        <f>#REF!</f>
        <v>#REF!</v>
      </c>
      <c r="DV258" s="2003">
        <f t="shared" si="525"/>
        <v>0</v>
      </c>
      <c r="DW258" s="1989" t="e">
        <f>#REF!/10^7</f>
        <v>#REF!</v>
      </c>
      <c r="DX258" s="2003">
        <f t="shared" si="526"/>
        <v>0</v>
      </c>
      <c r="DY258" s="1989" t="e">
        <f>#REF!/10^7</f>
        <v>#REF!</v>
      </c>
      <c r="DZ258" s="2003">
        <f t="shared" si="527"/>
        <v>0</v>
      </c>
      <c r="EA258" s="1989" t="e">
        <f>#REF!/10^7</f>
        <v>#REF!</v>
      </c>
      <c r="EB258" s="1989" t="e">
        <f>#REF!/10^7</f>
        <v>#REF!</v>
      </c>
      <c r="EC258" s="2002" t="e">
        <f t="shared" si="528"/>
        <v>#REF!</v>
      </c>
      <c r="ED258" s="1998" t="e">
        <f t="shared" si="547"/>
        <v>#REF!</v>
      </c>
      <c r="EE258" s="2005" t="e">
        <f t="shared" si="548"/>
        <v>#REF!</v>
      </c>
      <c r="EF258" s="2003">
        <f t="shared" si="529"/>
        <v>0</v>
      </c>
      <c r="EG258" s="1989" t="e">
        <f t="shared" si="549"/>
        <v>#REF!</v>
      </c>
      <c r="EH258" s="2003">
        <f t="shared" si="530"/>
        <v>0</v>
      </c>
      <c r="EI258" s="1989" t="e">
        <f t="shared" si="550"/>
        <v>#REF!</v>
      </c>
      <c r="EJ258" s="2003">
        <f t="shared" si="531"/>
        <v>0</v>
      </c>
      <c r="EK258" s="1989" t="e">
        <f t="shared" si="551"/>
        <v>#REF!</v>
      </c>
      <c r="EL258" s="1989" t="e">
        <f t="shared" si="551"/>
        <v>#REF!</v>
      </c>
      <c r="EM258" s="2006" t="e">
        <f t="shared" si="532"/>
        <v>#REF!</v>
      </c>
      <c r="EN258" s="1999" t="e">
        <f t="shared" si="552"/>
        <v>#REF!</v>
      </c>
      <c r="EO258" s="1613">
        <v>48.471513999999999</v>
      </c>
      <c r="EP258" s="1613" t="e">
        <f>EA258-#REF!/10^7</f>
        <v>#REF!</v>
      </c>
      <c r="ER258" s="1612" t="e">
        <f t="shared" ref="ER258:ER269" si="553">EO258=EE258</f>
        <v>#REF!</v>
      </c>
      <c r="EW258" s="1611" t="e">
        <v>#N/A</v>
      </c>
      <c r="EX258" s="1612" t="e">
        <v>#N/A</v>
      </c>
      <c r="EZ258" s="1650">
        <f t="shared" si="533"/>
        <v>0</v>
      </c>
    </row>
    <row r="259" spans="1:156" ht="21" customHeight="1">
      <c r="A259" s="1652">
        <v>69</v>
      </c>
      <c r="B259" s="1701" t="s">
        <v>1927</v>
      </c>
      <c r="C259" s="1662">
        <v>34</v>
      </c>
      <c r="D259" s="1646">
        <f t="shared" si="540"/>
        <v>100</v>
      </c>
      <c r="E259" s="1646"/>
      <c r="F259" s="1648" t="s">
        <v>1594</v>
      </c>
      <c r="G259" s="1648"/>
      <c r="H259" s="1648">
        <v>34</v>
      </c>
      <c r="I259" s="1648" t="s">
        <v>1717</v>
      </c>
      <c r="J259" s="1649">
        <v>2</v>
      </c>
      <c r="K259" s="1648"/>
      <c r="L259" s="1648"/>
      <c r="M259" s="1648"/>
      <c r="N259" s="1642"/>
      <c r="O259" s="2000" t="e">
        <f>#REF!</f>
        <v>#REF!</v>
      </c>
      <c r="P259" s="2003">
        <f t="shared" si="481"/>
        <v>0</v>
      </c>
      <c r="Q259" s="1989" t="e">
        <f>#REF!/10^7</f>
        <v>#REF!</v>
      </c>
      <c r="R259" s="2003">
        <f t="shared" si="482"/>
        <v>0</v>
      </c>
      <c r="S259" s="1989" t="e">
        <f>#REF!/10^7</f>
        <v>#REF!</v>
      </c>
      <c r="T259" s="2003">
        <f t="shared" si="483"/>
        <v>0</v>
      </c>
      <c r="U259" s="1989" t="e">
        <f>#REF!/10^7</f>
        <v>#REF!</v>
      </c>
      <c r="V259" s="1989" t="e">
        <f>#REF!/10^7</f>
        <v>#REF!</v>
      </c>
      <c r="W259" s="1989">
        <f t="shared" si="484"/>
        <v>0</v>
      </c>
      <c r="X259" s="1999" t="e">
        <f t="shared" si="541"/>
        <v>#REF!</v>
      </c>
      <c r="Y259" s="1993" t="e">
        <f>#REF!</f>
        <v>#REF!</v>
      </c>
      <c r="Z259" s="2003">
        <f t="shared" si="485"/>
        <v>0</v>
      </c>
      <c r="AA259" s="1989" t="e">
        <f>#REF!/10^7</f>
        <v>#REF!</v>
      </c>
      <c r="AB259" s="2003">
        <f t="shared" si="486"/>
        <v>0</v>
      </c>
      <c r="AC259" s="1989" t="e">
        <f>#REF!/10^7</f>
        <v>#REF!</v>
      </c>
      <c r="AD259" s="2003">
        <f t="shared" si="487"/>
        <v>0</v>
      </c>
      <c r="AE259" s="1989" t="e">
        <f>#REF!/10^7</f>
        <v>#REF!</v>
      </c>
      <c r="AF259" s="1989" t="e">
        <f>#REF!/10^7</f>
        <v>#REF!</v>
      </c>
      <c r="AG259" s="2002" t="e">
        <f t="shared" si="488"/>
        <v>#REF!</v>
      </c>
      <c r="AH259" s="1999" t="e">
        <f t="shared" si="542"/>
        <v>#REF!</v>
      </c>
      <c r="AI259" s="1993" t="e">
        <f>#REF!</f>
        <v>#REF!</v>
      </c>
      <c r="AJ259" s="2003">
        <f t="shared" si="489"/>
        <v>0</v>
      </c>
      <c r="AK259" s="1989" t="e">
        <f>#REF!/10^7</f>
        <v>#REF!</v>
      </c>
      <c r="AL259" s="2003">
        <f t="shared" si="490"/>
        <v>0</v>
      </c>
      <c r="AM259" s="1989" t="e">
        <f>#REF!/10^7</f>
        <v>#REF!</v>
      </c>
      <c r="AN259" s="2003">
        <f t="shared" si="491"/>
        <v>0</v>
      </c>
      <c r="AO259" s="1989" t="e">
        <f>#REF!/10^7</f>
        <v>#REF!</v>
      </c>
      <c r="AP259" s="1989" t="e">
        <f>#REF!/10^7</f>
        <v>#REF!</v>
      </c>
      <c r="AQ259" s="2002" t="e">
        <f t="shared" si="492"/>
        <v>#REF!</v>
      </c>
      <c r="AR259" s="1999" t="e">
        <f t="shared" si="543"/>
        <v>#REF!</v>
      </c>
      <c r="AS259" s="1993" t="e">
        <f>#REF!</f>
        <v>#REF!</v>
      </c>
      <c r="AT259" s="2003">
        <f t="shared" si="493"/>
        <v>0</v>
      </c>
      <c r="AU259" s="1989" t="e">
        <f>#REF!/10^7</f>
        <v>#REF!</v>
      </c>
      <c r="AV259" s="2003">
        <f t="shared" si="494"/>
        <v>0</v>
      </c>
      <c r="AW259" s="1989" t="e">
        <f>#REF!/10^7</f>
        <v>#REF!</v>
      </c>
      <c r="AX259" s="2003">
        <f t="shared" si="495"/>
        <v>0</v>
      </c>
      <c r="AY259" s="1989" t="e">
        <f>#REF!/10^7</f>
        <v>#REF!</v>
      </c>
      <c r="AZ259" s="1989" t="e">
        <f>#REF!/10^7</f>
        <v>#REF!</v>
      </c>
      <c r="BA259" s="2002" t="e">
        <f t="shared" si="496"/>
        <v>#REF!</v>
      </c>
      <c r="BB259" s="1999" t="e">
        <f t="shared" si="544"/>
        <v>#REF!</v>
      </c>
      <c r="BC259" s="1993" t="e">
        <f>#REF!</f>
        <v>#REF!</v>
      </c>
      <c r="BD259" s="2003">
        <f t="shared" si="497"/>
        <v>0</v>
      </c>
      <c r="BE259" s="1989" t="e">
        <f>#REF!/10^7</f>
        <v>#REF!</v>
      </c>
      <c r="BF259" s="2003">
        <f t="shared" si="498"/>
        <v>0</v>
      </c>
      <c r="BG259" s="1989" t="e">
        <f>#REF!/10^7</f>
        <v>#REF!</v>
      </c>
      <c r="BH259" s="2003">
        <f t="shared" si="499"/>
        <v>0</v>
      </c>
      <c r="BI259" s="1989" t="e">
        <f>#REF!/10^7</f>
        <v>#REF!</v>
      </c>
      <c r="BJ259" s="1989" t="e">
        <f>#REF!/10^7</f>
        <v>#REF!</v>
      </c>
      <c r="BK259" s="2002" t="e">
        <f t="shared" si="500"/>
        <v>#REF!</v>
      </c>
      <c r="BL259" s="1999" t="e">
        <f t="shared" si="535"/>
        <v>#REF!</v>
      </c>
      <c r="BM259" s="1993" t="e">
        <f>#REF!</f>
        <v>#REF!</v>
      </c>
      <c r="BN259" s="2003">
        <f t="shared" si="501"/>
        <v>0</v>
      </c>
      <c r="BO259" s="1989" t="e">
        <f>#REF!/10^7</f>
        <v>#REF!</v>
      </c>
      <c r="BP259" s="2003">
        <f t="shared" si="502"/>
        <v>0</v>
      </c>
      <c r="BQ259" s="1989" t="e">
        <f>#REF!/10^7</f>
        <v>#REF!</v>
      </c>
      <c r="BR259" s="2003">
        <f t="shared" si="503"/>
        <v>0</v>
      </c>
      <c r="BS259" s="1989" t="e">
        <f>#REF!/10^7</f>
        <v>#REF!</v>
      </c>
      <c r="BT259" s="1989" t="e">
        <f>#REF!/10^7</f>
        <v>#REF!</v>
      </c>
      <c r="BU259" s="2002" t="e">
        <f t="shared" si="504"/>
        <v>#REF!</v>
      </c>
      <c r="BV259" s="1999" t="e">
        <f t="shared" si="536"/>
        <v>#REF!</v>
      </c>
      <c r="BW259" s="1993" t="e">
        <f>#REF!</f>
        <v>#REF!</v>
      </c>
      <c r="BX259" s="2003">
        <f t="shared" si="505"/>
        <v>0</v>
      </c>
      <c r="BY259" s="1989" t="e">
        <f>#REF!/10^7</f>
        <v>#REF!</v>
      </c>
      <c r="BZ259" s="2003">
        <f t="shared" si="506"/>
        <v>0</v>
      </c>
      <c r="CA259" s="1989" t="e">
        <f>#REF!/10^7</f>
        <v>#REF!</v>
      </c>
      <c r="CB259" s="2003">
        <f t="shared" si="507"/>
        <v>0</v>
      </c>
      <c r="CC259" s="1989" t="e">
        <f>#REF!/10^7</f>
        <v>#REF!</v>
      </c>
      <c r="CD259" s="1989" t="e">
        <f>#REF!/10^7</f>
        <v>#REF!</v>
      </c>
      <c r="CE259" s="2002" t="e">
        <f t="shared" si="508"/>
        <v>#REF!</v>
      </c>
      <c r="CF259" s="1999" t="e">
        <f t="shared" si="537"/>
        <v>#REF!</v>
      </c>
      <c r="CG259" s="1993" t="e">
        <f>#REF!</f>
        <v>#REF!</v>
      </c>
      <c r="CH259" s="2003">
        <f t="shared" si="509"/>
        <v>0</v>
      </c>
      <c r="CI259" s="1989" t="e">
        <f>#REF!/10^7</f>
        <v>#REF!</v>
      </c>
      <c r="CJ259" s="2003">
        <f t="shared" si="510"/>
        <v>0</v>
      </c>
      <c r="CK259" s="1989" t="e">
        <f>#REF!/10^7</f>
        <v>#REF!</v>
      </c>
      <c r="CL259" s="2003">
        <f t="shared" si="511"/>
        <v>0</v>
      </c>
      <c r="CM259" s="1989" t="e">
        <f>#REF!/10^7</f>
        <v>#REF!</v>
      </c>
      <c r="CN259" s="1989" t="e">
        <f>#REF!/10^7</f>
        <v>#REF!</v>
      </c>
      <c r="CO259" s="2002" t="e">
        <f t="shared" si="512"/>
        <v>#REF!</v>
      </c>
      <c r="CP259" s="1999" t="e">
        <f t="shared" si="538"/>
        <v>#REF!</v>
      </c>
      <c r="CQ259" s="1993" t="e">
        <f>#REF!</f>
        <v>#REF!</v>
      </c>
      <c r="CR259" s="2003">
        <f t="shared" si="513"/>
        <v>0</v>
      </c>
      <c r="CS259" s="1989" t="e">
        <f>#REF!/10^7</f>
        <v>#REF!</v>
      </c>
      <c r="CT259" s="2003">
        <f t="shared" si="514"/>
        <v>0</v>
      </c>
      <c r="CU259" s="1989" t="e">
        <f>#REF!/10^7</f>
        <v>#REF!</v>
      </c>
      <c r="CV259" s="2003">
        <f t="shared" si="515"/>
        <v>0</v>
      </c>
      <c r="CW259" s="1989" t="e">
        <f>#REF!/10^7</f>
        <v>#REF!</v>
      </c>
      <c r="CX259" s="1989" t="e">
        <f>#REF!/10^7</f>
        <v>#REF!</v>
      </c>
      <c r="CY259" s="2002" t="e">
        <f t="shared" si="516"/>
        <v>#REF!</v>
      </c>
      <c r="CZ259" s="1999" t="e">
        <f t="shared" si="539"/>
        <v>#REF!</v>
      </c>
      <c r="DA259" s="1993" t="e">
        <f>#REF!</f>
        <v>#REF!</v>
      </c>
      <c r="DB259" s="2003">
        <f t="shared" si="517"/>
        <v>0</v>
      </c>
      <c r="DC259" s="1989" t="e">
        <f>#REF!/10^7</f>
        <v>#REF!</v>
      </c>
      <c r="DD259" s="2003">
        <f t="shared" si="518"/>
        <v>0</v>
      </c>
      <c r="DE259" s="1989" t="e">
        <f>#REF!/10^7</f>
        <v>#REF!</v>
      </c>
      <c r="DF259" s="2003">
        <f t="shared" si="519"/>
        <v>0</v>
      </c>
      <c r="DG259" s="1989" t="e">
        <f>#REF!/10^7</f>
        <v>#REF!</v>
      </c>
      <c r="DH259" s="1989" t="e">
        <f>#REF!/10^7</f>
        <v>#REF!</v>
      </c>
      <c r="DI259" s="2002" t="e">
        <f t="shared" si="520"/>
        <v>#REF!</v>
      </c>
      <c r="DJ259" s="1999" t="e">
        <f t="shared" si="545"/>
        <v>#REF!</v>
      </c>
      <c r="DK259" s="1993" t="e">
        <f>#REF!</f>
        <v>#REF!</v>
      </c>
      <c r="DL259" s="2003">
        <f t="shared" si="521"/>
        <v>0</v>
      </c>
      <c r="DM259" s="1989" t="e">
        <f>#REF!/10^7</f>
        <v>#REF!</v>
      </c>
      <c r="DN259" s="2003">
        <f t="shared" si="522"/>
        <v>0</v>
      </c>
      <c r="DO259" s="1989" t="e">
        <f>#REF!/10^7</f>
        <v>#REF!</v>
      </c>
      <c r="DP259" s="2003">
        <f t="shared" si="523"/>
        <v>0</v>
      </c>
      <c r="DQ259" s="1989" t="e">
        <f>#REF!/10^7</f>
        <v>#REF!</v>
      </c>
      <c r="DR259" s="1989" t="e">
        <f>#REF!/10^7</f>
        <v>#REF!</v>
      </c>
      <c r="DS259" s="2002" t="e">
        <f t="shared" si="524"/>
        <v>#REF!</v>
      </c>
      <c r="DT259" s="2004" t="e">
        <f t="shared" si="546"/>
        <v>#REF!</v>
      </c>
      <c r="DU259" s="1988" t="e">
        <f>#REF!</f>
        <v>#REF!</v>
      </c>
      <c r="DV259" s="2003">
        <f t="shared" si="525"/>
        <v>0</v>
      </c>
      <c r="DW259" s="1989" t="e">
        <f>#REF!/10^7</f>
        <v>#REF!</v>
      </c>
      <c r="DX259" s="2003">
        <f t="shared" si="526"/>
        <v>0</v>
      </c>
      <c r="DY259" s="1989" t="e">
        <f>#REF!/10^7</f>
        <v>#REF!</v>
      </c>
      <c r="DZ259" s="2003">
        <f t="shared" si="527"/>
        <v>0</v>
      </c>
      <c r="EA259" s="1989" t="e">
        <f>#REF!/10^7</f>
        <v>#REF!</v>
      </c>
      <c r="EB259" s="1989" t="e">
        <f>#REF!/10^7</f>
        <v>#REF!</v>
      </c>
      <c r="EC259" s="2002" t="e">
        <f t="shared" si="528"/>
        <v>#REF!</v>
      </c>
      <c r="ED259" s="1998" t="e">
        <f t="shared" si="547"/>
        <v>#REF!</v>
      </c>
      <c r="EE259" s="2005" t="e">
        <f t="shared" si="548"/>
        <v>#REF!</v>
      </c>
      <c r="EF259" s="2003">
        <f t="shared" si="529"/>
        <v>0</v>
      </c>
      <c r="EG259" s="1989" t="e">
        <f t="shared" si="549"/>
        <v>#REF!</v>
      </c>
      <c r="EH259" s="2003">
        <f t="shared" si="530"/>
        <v>0</v>
      </c>
      <c r="EI259" s="1989" t="e">
        <f t="shared" si="550"/>
        <v>#REF!</v>
      </c>
      <c r="EJ259" s="2003">
        <f t="shared" si="531"/>
        <v>0</v>
      </c>
      <c r="EK259" s="1989" t="e">
        <f t="shared" si="551"/>
        <v>#REF!</v>
      </c>
      <c r="EL259" s="1989" t="e">
        <f t="shared" si="551"/>
        <v>#REF!</v>
      </c>
      <c r="EM259" s="2006" t="e">
        <f t="shared" si="532"/>
        <v>#REF!</v>
      </c>
      <c r="EN259" s="1999" t="e">
        <f t="shared" si="552"/>
        <v>#REF!</v>
      </c>
      <c r="EO259" s="1613">
        <v>129.88020399999999</v>
      </c>
      <c r="EP259" s="1613" t="e">
        <f>EA259-#REF!/10^7</f>
        <v>#REF!</v>
      </c>
      <c r="ER259" s="1612" t="e">
        <f t="shared" si="553"/>
        <v>#REF!</v>
      </c>
      <c r="EW259" s="1611" t="e">
        <v>#N/A</v>
      </c>
      <c r="EX259" s="1612" t="e">
        <v>#N/A</v>
      </c>
      <c r="EZ259" s="1650">
        <f t="shared" si="533"/>
        <v>0</v>
      </c>
    </row>
    <row r="260" spans="1:156" ht="21" customHeight="1">
      <c r="A260" s="1652">
        <v>70</v>
      </c>
      <c r="B260" s="1701" t="s">
        <v>1928</v>
      </c>
      <c r="C260" s="1662">
        <v>6</v>
      </c>
      <c r="D260" s="1646">
        <f t="shared" si="540"/>
        <v>100</v>
      </c>
      <c r="E260" s="1646"/>
      <c r="F260" s="1648" t="s">
        <v>1594</v>
      </c>
      <c r="G260" s="1648"/>
      <c r="H260" s="1648">
        <v>6</v>
      </c>
      <c r="I260" s="1648" t="s">
        <v>1717</v>
      </c>
      <c r="J260" s="1649">
        <v>2</v>
      </c>
      <c r="K260" s="1648"/>
      <c r="L260" s="1648"/>
      <c r="M260" s="1648"/>
      <c r="N260" s="1642"/>
      <c r="O260" s="2000" t="e">
        <f>#REF!</f>
        <v>#REF!</v>
      </c>
      <c r="P260" s="2003">
        <f t="shared" si="481"/>
        <v>0</v>
      </c>
      <c r="Q260" s="1989" t="e">
        <f>#REF!/10^7</f>
        <v>#REF!</v>
      </c>
      <c r="R260" s="2003">
        <f t="shared" si="482"/>
        <v>0</v>
      </c>
      <c r="S260" s="1989" t="e">
        <f>#REF!/10^7</f>
        <v>#REF!</v>
      </c>
      <c r="T260" s="2003">
        <f t="shared" si="483"/>
        <v>0</v>
      </c>
      <c r="U260" s="1989" t="e">
        <f>#REF!/10^7</f>
        <v>#REF!</v>
      </c>
      <c r="V260" s="1989" t="e">
        <f>#REF!/10^7</f>
        <v>#REF!</v>
      </c>
      <c r="W260" s="1989">
        <f t="shared" si="484"/>
        <v>0</v>
      </c>
      <c r="X260" s="1999" t="e">
        <f t="shared" si="541"/>
        <v>#REF!</v>
      </c>
      <c r="Y260" s="1993" t="e">
        <f>#REF!</f>
        <v>#REF!</v>
      </c>
      <c r="Z260" s="2003">
        <f t="shared" si="485"/>
        <v>0</v>
      </c>
      <c r="AA260" s="1989" t="e">
        <f>#REF!/10^7</f>
        <v>#REF!</v>
      </c>
      <c r="AB260" s="2003">
        <f t="shared" si="486"/>
        <v>0</v>
      </c>
      <c r="AC260" s="1989" t="e">
        <f>#REF!/10^7</f>
        <v>#REF!</v>
      </c>
      <c r="AD260" s="2003">
        <f t="shared" si="487"/>
        <v>0</v>
      </c>
      <c r="AE260" s="1989" t="e">
        <f>#REF!/10^7</f>
        <v>#REF!</v>
      </c>
      <c r="AF260" s="1989" t="e">
        <f>#REF!/10^7</f>
        <v>#REF!</v>
      </c>
      <c r="AG260" s="2002" t="e">
        <f t="shared" si="488"/>
        <v>#REF!</v>
      </c>
      <c r="AH260" s="1999" t="e">
        <f t="shared" si="542"/>
        <v>#REF!</v>
      </c>
      <c r="AI260" s="1993" t="e">
        <f>#REF!</f>
        <v>#REF!</v>
      </c>
      <c r="AJ260" s="2003">
        <f t="shared" si="489"/>
        <v>0</v>
      </c>
      <c r="AK260" s="1989" t="e">
        <f>#REF!/10^7</f>
        <v>#REF!</v>
      </c>
      <c r="AL260" s="2003">
        <f t="shared" si="490"/>
        <v>0</v>
      </c>
      <c r="AM260" s="1989" t="e">
        <f>#REF!/10^7</f>
        <v>#REF!</v>
      </c>
      <c r="AN260" s="2003">
        <f t="shared" si="491"/>
        <v>0</v>
      </c>
      <c r="AO260" s="1989" t="e">
        <f>#REF!/10^7</f>
        <v>#REF!</v>
      </c>
      <c r="AP260" s="1989" t="e">
        <f>#REF!/10^7</f>
        <v>#REF!</v>
      </c>
      <c r="AQ260" s="2002" t="e">
        <f t="shared" si="492"/>
        <v>#REF!</v>
      </c>
      <c r="AR260" s="1999" t="e">
        <f t="shared" si="543"/>
        <v>#REF!</v>
      </c>
      <c r="AS260" s="1993" t="e">
        <f>#REF!</f>
        <v>#REF!</v>
      </c>
      <c r="AT260" s="2003">
        <f t="shared" si="493"/>
        <v>0</v>
      </c>
      <c r="AU260" s="1989" t="e">
        <f>#REF!/10^7</f>
        <v>#REF!</v>
      </c>
      <c r="AV260" s="2003">
        <f t="shared" si="494"/>
        <v>0</v>
      </c>
      <c r="AW260" s="1989" t="e">
        <f>#REF!/10^7</f>
        <v>#REF!</v>
      </c>
      <c r="AX260" s="2003">
        <f t="shared" si="495"/>
        <v>0</v>
      </c>
      <c r="AY260" s="1989" t="e">
        <f>#REF!/10^7</f>
        <v>#REF!</v>
      </c>
      <c r="AZ260" s="1989" t="e">
        <f>#REF!/10^7</f>
        <v>#REF!</v>
      </c>
      <c r="BA260" s="2002" t="e">
        <f t="shared" si="496"/>
        <v>#REF!</v>
      </c>
      <c r="BB260" s="1999" t="e">
        <f t="shared" si="544"/>
        <v>#REF!</v>
      </c>
      <c r="BC260" s="1993" t="e">
        <f>#REF!</f>
        <v>#REF!</v>
      </c>
      <c r="BD260" s="2003">
        <f t="shared" si="497"/>
        <v>0</v>
      </c>
      <c r="BE260" s="1989" t="e">
        <f>#REF!/10^7</f>
        <v>#REF!</v>
      </c>
      <c r="BF260" s="2003">
        <f t="shared" si="498"/>
        <v>0</v>
      </c>
      <c r="BG260" s="1989" t="e">
        <f>#REF!/10^7</f>
        <v>#REF!</v>
      </c>
      <c r="BH260" s="2003">
        <f t="shared" si="499"/>
        <v>0</v>
      </c>
      <c r="BI260" s="1989" t="e">
        <f>#REF!/10^7</f>
        <v>#REF!</v>
      </c>
      <c r="BJ260" s="1989" t="e">
        <f>#REF!/10^7</f>
        <v>#REF!</v>
      </c>
      <c r="BK260" s="2002" t="e">
        <f t="shared" si="500"/>
        <v>#REF!</v>
      </c>
      <c r="BL260" s="1999" t="e">
        <f t="shared" si="535"/>
        <v>#REF!</v>
      </c>
      <c r="BM260" s="1993" t="e">
        <f>#REF!</f>
        <v>#REF!</v>
      </c>
      <c r="BN260" s="2003">
        <f t="shared" si="501"/>
        <v>0</v>
      </c>
      <c r="BO260" s="1989" t="e">
        <f>#REF!/10^7</f>
        <v>#REF!</v>
      </c>
      <c r="BP260" s="2003">
        <f t="shared" si="502"/>
        <v>0</v>
      </c>
      <c r="BQ260" s="1989" t="e">
        <f>#REF!/10^7</f>
        <v>#REF!</v>
      </c>
      <c r="BR260" s="2003">
        <f t="shared" si="503"/>
        <v>0</v>
      </c>
      <c r="BS260" s="1989" t="e">
        <f>#REF!/10^7</f>
        <v>#REF!</v>
      </c>
      <c r="BT260" s="1989" t="e">
        <f>#REF!/10^7</f>
        <v>#REF!</v>
      </c>
      <c r="BU260" s="2002" t="e">
        <f t="shared" si="504"/>
        <v>#REF!</v>
      </c>
      <c r="BV260" s="1999" t="e">
        <f t="shared" si="536"/>
        <v>#REF!</v>
      </c>
      <c r="BW260" s="1993" t="e">
        <f>#REF!</f>
        <v>#REF!</v>
      </c>
      <c r="BX260" s="2003">
        <f t="shared" si="505"/>
        <v>0</v>
      </c>
      <c r="BY260" s="1989" t="e">
        <f>#REF!/10^7</f>
        <v>#REF!</v>
      </c>
      <c r="BZ260" s="2003">
        <f t="shared" si="506"/>
        <v>0</v>
      </c>
      <c r="CA260" s="1989" t="e">
        <f>#REF!/10^7</f>
        <v>#REF!</v>
      </c>
      <c r="CB260" s="2003">
        <f t="shared" si="507"/>
        <v>0</v>
      </c>
      <c r="CC260" s="1989" t="e">
        <f>#REF!/10^7</f>
        <v>#REF!</v>
      </c>
      <c r="CD260" s="1989" t="e">
        <f>#REF!/10^7</f>
        <v>#REF!</v>
      </c>
      <c r="CE260" s="2002" t="e">
        <f t="shared" si="508"/>
        <v>#REF!</v>
      </c>
      <c r="CF260" s="1999" t="e">
        <f t="shared" si="537"/>
        <v>#REF!</v>
      </c>
      <c r="CG260" s="1993" t="e">
        <f>#REF!</f>
        <v>#REF!</v>
      </c>
      <c r="CH260" s="2003">
        <f t="shared" si="509"/>
        <v>0</v>
      </c>
      <c r="CI260" s="1989" t="e">
        <f>#REF!/10^7</f>
        <v>#REF!</v>
      </c>
      <c r="CJ260" s="2003">
        <f t="shared" si="510"/>
        <v>0</v>
      </c>
      <c r="CK260" s="1989" t="e">
        <f>#REF!/10^7</f>
        <v>#REF!</v>
      </c>
      <c r="CL260" s="2003">
        <f t="shared" si="511"/>
        <v>0</v>
      </c>
      <c r="CM260" s="1989" t="e">
        <f>#REF!/10^7</f>
        <v>#REF!</v>
      </c>
      <c r="CN260" s="1989" t="e">
        <f>#REF!/10^7</f>
        <v>#REF!</v>
      </c>
      <c r="CO260" s="2002" t="e">
        <f t="shared" si="512"/>
        <v>#REF!</v>
      </c>
      <c r="CP260" s="1999" t="e">
        <f t="shared" si="538"/>
        <v>#REF!</v>
      </c>
      <c r="CQ260" s="1993" t="e">
        <f>#REF!</f>
        <v>#REF!</v>
      </c>
      <c r="CR260" s="2003">
        <f t="shared" si="513"/>
        <v>0</v>
      </c>
      <c r="CS260" s="1989" t="e">
        <f>#REF!/10^7</f>
        <v>#REF!</v>
      </c>
      <c r="CT260" s="2003">
        <f t="shared" si="514"/>
        <v>0</v>
      </c>
      <c r="CU260" s="1989" t="e">
        <f>#REF!/10^7</f>
        <v>#REF!</v>
      </c>
      <c r="CV260" s="2003">
        <f t="shared" si="515"/>
        <v>0</v>
      </c>
      <c r="CW260" s="1989" t="e">
        <f>#REF!/10^7</f>
        <v>#REF!</v>
      </c>
      <c r="CX260" s="1989" t="e">
        <f>#REF!/10^7</f>
        <v>#REF!</v>
      </c>
      <c r="CY260" s="2002" t="e">
        <f t="shared" si="516"/>
        <v>#REF!</v>
      </c>
      <c r="CZ260" s="1999" t="e">
        <f t="shared" si="539"/>
        <v>#REF!</v>
      </c>
      <c r="DA260" s="1993" t="e">
        <f>#REF!</f>
        <v>#REF!</v>
      </c>
      <c r="DB260" s="2003">
        <f t="shared" si="517"/>
        <v>0</v>
      </c>
      <c r="DC260" s="1989" t="e">
        <f>#REF!/10^7</f>
        <v>#REF!</v>
      </c>
      <c r="DD260" s="2003">
        <f t="shared" si="518"/>
        <v>0</v>
      </c>
      <c r="DE260" s="1989" t="e">
        <f>#REF!/10^7</f>
        <v>#REF!</v>
      </c>
      <c r="DF260" s="2003">
        <f t="shared" si="519"/>
        <v>0</v>
      </c>
      <c r="DG260" s="1989" t="e">
        <f>#REF!/10^7</f>
        <v>#REF!</v>
      </c>
      <c r="DH260" s="1989" t="e">
        <f>#REF!/10^7</f>
        <v>#REF!</v>
      </c>
      <c r="DI260" s="2002" t="e">
        <f t="shared" si="520"/>
        <v>#REF!</v>
      </c>
      <c r="DJ260" s="1999" t="e">
        <f t="shared" si="545"/>
        <v>#REF!</v>
      </c>
      <c r="DK260" s="1993" t="e">
        <f>#REF!</f>
        <v>#REF!</v>
      </c>
      <c r="DL260" s="2003">
        <f t="shared" si="521"/>
        <v>0</v>
      </c>
      <c r="DM260" s="1989" t="e">
        <f>#REF!/10^7</f>
        <v>#REF!</v>
      </c>
      <c r="DN260" s="2003">
        <f t="shared" si="522"/>
        <v>0</v>
      </c>
      <c r="DO260" s="1989" t="e">
        <f>#REF!/10^7</f>
        <v>#REF!</v>
      </c>
      <c r="DP260" s="2003">
        <f t="shared" si="523"/>
        <v>0</v>
      </c>
      <c r="DQ260" s="1989" t="e">
        <f>#REF!/10^7</f>
        <v>#REF!</v>
      </c>
      <c r="DR260" s="1989" t="e">
        <f>#REF!/10^7</f>
        <v>#REF!</v>
      </c>
      <c r="DS260" s="2002" t="e">
        <f t="shared" si="524"/>
        <v>#REF!</v>
      </c>
      <c r="DT260" s="2004" t="e">
        <f t="shared" si="546"/>
        <v>#REF!</v>
      </c>
      <c r="DU260" s="1988" t="e">
        <f>#REF!</f>
        <v>#REF!</v>
      </c>
      <c r="DV260" s="2003">
        <f t="shared" si="525"/>
        <v>0</v>
      </c>
      <c r="DW260" s="1989" t="e">
        <f>#REF!/10^7</f>
        <v>#REF!</v>
      </c>
      <c r="DX260" s="2003">
        <f t="shared" si="526"/>
        <v>0</v>
      </c>
      <c r="DY260" s="1989" t="e">
        <f>#REF!/10^7</f>
        <v>#REF!</v>
      </c>
      <c r="DZ260" s="2003">
        <f t="shared" si="527"/>
        <v>0</v>
      </c>
      <c r="EA260" s="1989" t="e">
        <f>#REF!/10^7</f>
        <v>#REF!</v>
      </c>
      <c r="EB260" s="1989" t="e">
        <f>#REF!/10^7</f>
        <v>#REF!</v>
      </c>
      <c r="EC260" s="2002" t="e">
        <f t="shared" si="528"/>
        <v>#REF!</v>
      </c>
      <c r="ED260" s="1998" t="e">
        <f t="shared" si="547"/>
        <v>#REF!</v>
      </c>
      <c r="EE260" s="2005" t="e">
        <f t="shared" si="548"/>
        <v>#REF!</v>
      </c>
      <c r="EF260" s="2003">
        <f t="shared" si="529"/>
        <v>0</v>
      </c>
      <c r="EG260" s="1989" t="e">
        <f t="shared" si="549"/>
        <v>#REF!</v>
      </c>
      <c r="EH260" s="2003">
        <f t="shared" si="530"/>
        <v>0</v>
      </c>
      <c r="EI260" s="1989" t="e">
        <f t="shared" si="550"/>
        <v>#REF!</v>
      </c>
      <c r="EJ260" s="2003">
        <f t="shared" si="531"/>
        <v>0</v>
      </c>
      <c r="EK260" s="1989" t="e">
        <f t="shared" si="551"/>
        <v>#REF!</v>
      </c>
      <c r="EL260" s="1989" t="e">
        <f t="shared" si="551"/>
        <v>#REF!</v>
      </c>
      <c r="EM260" s="2006" t="e">
        <f t="shared" si="532"/>
        <v>#REF!</v>
      </c>
      <c r="EN260" s="1999" t="e">
        <f t="shared" si="552"/>
        <v>#REF!</v>
      </c>
      <c r="EO260" s="1613">
        <v>18.783861000000002</v>
      </c>
      <c r="EP260" s="1613" t="e">
        <f>EA260-#REF!/10^7</f>
        <v>#REF!</v>
      </c>
      <c r="ER260" s="1612" t="e">
        <f t="shared" si="553"/>
        <v>#REF!</v>
      </c>
      <c r="EW260" s="1611" t="e">
        <v>#N/A</v>
      </c>
      <c r="EX260" s="1612" t="e">
        <v>#N/A</v>
      </c>
      <c r="EZ260" s="1650">
        <f t="shared" si="533"/>
        <v>0</v>
      </c>
    </row>
    <row r="261" spans="1:156" ht="21" customHeight="1">
      <c r="A261" s="1652">
        <v>71</v>
      </c>
      <c r="B261" s="1701" t="s">
        <v>1929</v>
      </c>
      <c r="C261" s="1662"/>
      <c r="D261" s="1648"/>
      <c r="E261" s="1648"/>
      <c r="F261" s="1648"/>
      <c r="G261" s="1648"/>
      <c r="H261" s="1648"/>
      <c r="I261" s="1648" t="s">
        <v>1717</v>
      </c>
      <c r="J261" s="1649">
        <v>2</v>
      </c>
      <c r="K261" s="1648"/>
      <c r="L261" s="1648"/>
      <c r="M261" s="1648"/>
      <c r="N261" s="1642"/>
      <c r="O261" s="2000" t="e">
        <f>#REF!</f>
        <v>#REF!</v>
      </c>
      <c r="P261" s="2003">
        <f t="shared" si="481"/>
        <v>0</v>
      </c>
      <c r="Q261" s="1989" t="e">
        <f>#REF!/10^7</f>
        <v>#REF!</v>
      </c>
      <c r="R261" s="2003">
        <f t="shared" si="482"/>
        <v>0</v>
      </c>
      <c r="S261" s="1989" t="e">
        <f>#REF!/10^7</f>
        <v>#REF!</v>
      </c>
      <c r="T261" s="2003">
        <f t="shared" si="483"/>
        <v>0</v>
      </c>
      <c r="U261" s="1989" t="e">
        <f>#REF!/10^7</f>
        <v>#REF!</v>
      </c>
      <c r="V261" s="1989" t="e">
        <f>#REF!/10^7</f>
        <v>#REF!</v>
      </c>
      <c r="W261" s="1989">
        <f t="shared" si="484"/>
        <v>0</v>
      </c>
      <c r="X261" s="1999" t="e">
        <f t="shared" si="541"/>
        <v>#REF!</v>
      </c>
      <c r="Y261" s="1993" t="e">
        <f>#REF!</f>
        <v>#REF!</v>
      </c>
      <c r="Z261" s="2003">
        <f t="shared" si="485"/>
        <v>0</v>
      </c>
      <c r="AA261" s="1989" t="e">
        <f>#REF!/10^7</f>
        <v>#REF!</v>
      </c>
      <c r="AB261" s="2003">
        <f t="shared" si="486"/>
        <v>0</v>
      </c>
      <c r="AC261" s="1989" t="e">
        <f>#REF!/10^7</f>
        <v>#REF!</v>
      </c>
      <c r="AD261" s="2003">
        <f t="shared" si="487"/>
        <v>0</v>
      </c>
      <c r="AE261" s="1989" t="e">
        <f>#REF!/10^7</f>
        <v>#REF!</v>
      </c>
      <c r="AF261" s="1989" t="e">
        <f>#REF!/10^7</f>
        <v>#REF!</v>
      </c>
      <c r="AG261" s="2002" t="e">
        <f t="shared" si="488"/>
        <v>#REF!</v>
      </c>
      <c r="AH261" s="1999" t="e">
        <f t="shared" si="542"/>
        <v>#REF!</v>
      </c>
      <c r="AI261" s="1993" t="e">
        <f>#REF!</f>
        <v>#REF!</v>
      </c>
      <c r="AJ261" s="2003">
        <f t="shared" si="489"/>
        <v>0</v>
      </c>
      <c r="AK261" s="1989" t="e">
        <f>#REF!/10^7</f>
        <v>#REF!</v>
      </c>
      <c r="AL261" s="2003">
        <f t="shared" si="490"/>
        <v>0</v>
      </c>
      <c r="AM261" s="1989" t="e">
        <f>#REF!/10^7</f>
        <v>#REF!</v>
      </c>
      <c r="AN261" s="2003">
        <f t="shared" si="491"/>
        <v>0</v>
      </c>
      <c r="AO261" s="1989" t="e">
        <f>#REF!/10^7</f>
        <v>#REF!</v>
      </c>
      <c r="AP261" s="1989" t="e">
        <f>#REF!/10^7</f>
        <v>#REF!</v>
      </c>
      <c r="AQ261" s="2002" t="e">
        <f t="shared" si="492"/>
        <v>#REF!</v>
      </c>
      <c r="AR261" s="1999" t="e">
        <f t="shared" si="543"/>
        <v>#REF!</v>
      </c>
      <c r="AS261" s="1993" t="e">
        <f>#REF!</f>
        <v>#REF!</v>
      </c>
      <c r="AT261" s="2003">
        <f t="shared" si="493"/>
        <v>0</v>
      </c>
      <c r="AU261" s="1989" t="e">
        <f>#REF!/10^7</f>
        <v>#REF!</v>
      </c>
      <c r="AV261" s="2003">
        <f t="shared" si="494"/>
        <v>0</v>
      </c>
      <c r="AW261" s="1989" t="e">
        <f>#REF!/10^7</f>
        <v>#REF!</v>
      </c>
      <c r="AX261" s="2003">
        <f t="shared" si="495"/>
        <v>0</v>
      </c>
      <c r="AY261" s="1989" t="e">
        <f>#REF!/10^7</f>
        <v>#REF!</v>
      </c>
      <c r="AZ261" s="1989" t="e">
        <f>#REF!/10^7</f>
        <v>#REF!</v>
      </c>
      <c r="BA261" s="2002" t="e">
        <f t="shared" si="496"/>
        <v>#REF!</v>
      </c>
      <c r="BB261" s="1999" t="e">
        <f t="shared" si="544"/>
        <v>#REF!</v>
      </c>
      <c r="BC261" s="1993" t="e">
        <f>#REF!</f>
        <v>#REF!</v>
      </c>
      <c r="BD261" s="2003">
        <f t="shared" si="497"/>
        <v>0</v>
      </c>
      <c r="BE261" s="1989" t="e">
        <f>#REF!/10^7</f>
        <v>#REF!</v>
      </c>
      <c r="BF261" s="2003">
        <f t="shared" si="498"/>
        <v>0</v>
      </c>
      <c r="BG261" s="1989" t="e">
        <f>#REF!/10^7</f>
        <v>#REF!</v>
      </c>
      <c r="BH261" s="2003">
        <f t="shared" si="499"/>
        <v>0</v>
      </c>
      <c r="BI261" s="1989" t="e">
        <f>#REF!/10^7</f>
        <v>#REF!</v>
      </c>
      <c r="BJ261" s="1989" t="e">
        <f>#REF!/10^7</f>
        <v>#REF!</v>
      </c>
      <c r="BK261" s="2002" t="e">
        <f t="shared" si="500"/>
        <v>#REF!</v>
      </c>
      <c r="BL261" s="1999" t="e">
        <f t="shared" si="535"/>
        <v>#REF!</v>
      </c>
      <c r="BM261" s="1993" t="e">
        <f>#REF!</f>
        <v>#REF!</v>
      </c>
      <c r="BN261" s="2003">
        <f t="shared" si="501"/>
        <v>0</v>
      </c>
      <c r="BO261" s="1989" t="e">
        <f>#REF!/10^7</f>
        <v>#REF!</v>
      </c>
      <c r="BP261" s="2003">
        <f t="shared" si="502"/>
        <v>0</v>
      </c>
      <c r="BQ261" s="1989" t="e">
        <f>#REF!/10^7</f>
        <v>#REF!</v>
      </c>
      <c r="BR261" s="2003">
        <f t="shared" si="503"/>
        <v>0</v>
      </c>
      <c r="BS261" s="1989" t="e">
        <f>#REF!/10^7</f>
        <v>#REF!</v>
      </c>
      <c r="BT261" s="1989" t="e">
        <f>#REF!/10^7</f>
        <v>#REF!</v>
      </c>
      <c r="BU261" s="2002" t="e">
        <f t="shared" si="504"/>
        <v>#REF!</v>
      </c>
      <c r="BV261" s="1999" t="e">
        <f t="shared" si="536"/>
        <v>#REF!</v>
      </c>
      <c r="BW261" s="1993" t="e">
        <f>#REF!</f>
        <v>#REF!</v>
      </c>
      <c r="BX261" s="2003">
        <f t="shared" si="505"/>
        <v>0</v>
      </c>
      <c r="BY261" s="1989" t="e">
        <f>#REF!/10^7</f>
        <v>#REF!</v>
      </c>
      <c r="BZ261" s="2003">
        <f t="shared" si="506"/>
        <v>0</v>
      </c>
      <c r="CA261" s="1989" t="e">
        <f>#REF!/10^7</f>
        <v>#REF!</v>
      </c>
      <c r="CB261" s="2003">
        <f t="shared" si="507"/>
        <v>0</v>
      </c>
      <c r="CC261" s="1989" t="e">
        <f>#REF!/10^7</f>
        <v>#REF!</v>
      </c>
      <c r="CD261" s="1989" t="e">
        <f>#REF!/10^7</f>
        <v>#REF!</v>
      </c>
      <c r="CE261" s="2002" t="e">
        <f t="shared" si="508"/>
        <v>#REF!</v>
      </c>
      <c r="CF261" s="1999" t="e">
        <f t="shared" si="537"/>
        <v>#REF!</v>
      </c>
      <c r="CG261" s="1993" t="e">
        <f>#REF!</f>
        <v>#REF!</v>
      </c>
      <c r="CH261" s="2003">
        <f t="shared" si="509"/>
        <v>0</v>
      </c>
      <c r="CI261" s="1989" t="e">
        <f>#REF!/10^7</f>
        <v>#REF!</v>
      </c>
      <c r="CJ261" s="2003">
        <f t="shared" si="510"/>
        <v>0</v>
      </c>
      <c r="CK261" s="1989" t="e">
        <f>#REF!/10^7</f>
        <v>#REF!</v>
      </c>
      <c r="CL261" s="2003">
        <f t="shared" si="511"/>
        <v>0</v>
      </c>
      <c r="CM261" s="1989" t="e">
        <f>#REF!/10^7</f>
        <v>#REF!</v>
      </c>
      <c r="CN261" s="1989" t="e">
        <f>#REF!/10^7</f>
        <v>#REF!</v>
      </c>
      <c r="CO261" s="2002" t="e">
        <f t="shared" si="512"/>
        <v>#REF!</v>
      </c>
      <c r="CP261" s="1999" t="e">
        <f t="shared" si="538"/>
        <v>#REF!</v>
      </c>
      <c r="CQ261" s="1993" t="e">
        <f>#REF!</f>
        <v>#REF!</v>
      </c>
      <c r="CR261" s="2003">
        <f t="shared" si="513"/>
        <v>0</v>
      </c>
      <c r="CS261" s="1989" t="e">
        <f>#REF!/10^7</f>
        <v>#REF!</v>
      </c>
      <c r="CT261" s="2003">
        <f t="shared" si="514"/>
        <v>0</v>
      </c>
      <c r="CU261" s="1989" t="e">
        <f>#REF!/10^7</f>
        <v>#REF!</v>
      </c>
      <c r="CV261" s="2003">
        <f t="shared" si="515"/>
        <v>0</v>
      </c>
      <c r="CW261" s="1989" t="e">
        <f>#REF!/10^7</f>
        <v>#REF!</v>
      </c>
      <c r="CX261" s="1989" t="e">
        <f>#REF!/10^7</f>
        <v>#REF!</v>
      </c>
      <c r="CY261" s="2002" t="e">
        <f t="shared" si="516"/>
        <v>#REF!</v>
      </c>
      <c r="CZ261" s="1999" t="e">
        <f t="shared" si="539"/>
        <v>#REF!</v>
      </c>
      <c r="DA261" s="1993" t="e">
        <f>#REF!</f>
        <v>#REF!</v>
      </c>
      <c r="DB261" s="2003">
        <f t="shared" si="517"/>
        <v>0</v>
      </c>
      <c r="DC261" s="1989" t="e">
        <f>#REF!/10^7</f>
        <v>#REF!</v>
      </c>
      <c r="DD261" s="2003">
        <f t="shared" si="518"/>
        <v>0</v>
      </c>
      <c r="DE261" s="1989" t="e">
        <f>#REF!/10^7</f>
        <v>#REF!</v>
      </c>
      <c r="DF261" s="2003">
        <f t="shared" si="519"/>
        <v>0</v>
      </c>
      <c r="DG261" s="1989" t="e">
        <f>#REF!/10^7</f>
        <v>#REF!</v>
      </c>
      <c r="DH261" s="1989" t="e">
        <f>#REF!/10^7</f>
        <v>#REF!</v>
      </c>
      <c r="DI261" s="2002" t="e">
        <f t="shared" si="520"/>
        <v>#REF!</v>
      </c>
      <c r="DJ261" s="1999" t="e">
        <f t="shared" si="545"/>
        <v>#REF!</v>
      </c>
      <c r="DK261" s="1993" t="e">
        <f>#REF!</f>
        <v>#REF!</v>
      </c>
      <c r="DL261" s="2003">
        <f t="shared" si="521"/>
        <v>0</v>
      </c>
      <c r="DM261" s="1989" t="e">
        <f>#REF!/10^7</f>
        <v>#REF!</v>
      </c>
      <c r="DN261" s="2003">
        <f t="shared" si="522"/>
        <v>0</v>
      </c>
      <c r="DO261" s="1989" t="e">
        <f>#REF!/10^7</f>
        <v>#REF!</v>
      </c>
      <c r="DP261" s="2003">
        <f t="shared" si="523"/>
        <v>0</v>
      </c>
      <c r="DQ261" s="1989" t="e">
        <f>#REF!/10^7</f>
        <v>#REF!</v>
      </c>
      <c r="DR261" s="1989" t="e">
        <f>#REF!/10^7</f>
        <v>#REF!</v>
      </c>
      <c r="DS261" s="2002" t="e">
        <f t="shared" si="524"/>
        <v>#REF!</v>
      </c>
      <c r="DT261" s="2004" t="e">
        <f t="shared" si="546"/>
        <v>#REF!</v>
      </c>
      <c r="DU261" s="1988" t="e">
        <f>#REF!</f>
        <v>#REF!</v>
      </c>
      <c r="DV261" s="2003">
        <f t="shared" si="525"/>
        <v>0</v>
      </c>
      <c r="DW261" s="1989" t="e">
        <f>#REF!/10^7</f>
        <v>#REF!</v>
      </c>
      <c r="DX261" s="2003">
        <f t="shared" si="526"/>
        <v>0</v>
      </c>
      <c r="DY261" s="1989" t="e">
        <f>#REF!/10^7</f>
        <v>#REF!</v>
      </c>
      <c r="DZ261" s="2003">
        <f t="shared" si="527"/>
        <v>0</v>
      </c>
      <c r="EA261" s="1989" t="e">
        <f>#REF!/10^7</f>
        <v>#REF!</v>
      </c>
      <c r="EB261" s="1989" t="e">
        <f>#REF!/10^7</f>
        <v>#REF!</v>
      </c>
      <c r="EC261" s="2002" t="e">
        <f t="shared" si="528"/>
        <v>#REF!</v>
      </c>
      <c r="ED261" s="1998" t="e">
        <f t="shared" si="547"/>
        <v>#REF!</v>
      </c>
      <c r="EE261" s="2005" t="e">
        <f t="shared" si="548"/>
        <v>#REF!</v>
      </c>
      <c r="EF261" s="2003">
        <f t="shared" si="529"/>
        <v>0</v>
      </c>
      <c r="EG261" s="1989" t="e">
        <f t="shared" si="549"/>
        <v>#REF!</v>
      </c>
      <c r="EH261" s="2003">
        <f t="shared" si="530"/>
        <v>0</v>
      </c>
      <c r="EI261" s="1989" t="e">
        <f t="shared" si="550"/>
        <v>#REF!</v>
      </c>
      <c r="EJ261" s="2003">
        <f t="shared" si="531"/>
        <v>0</v>
      </c>
      <c r="EK261" s="1989" t="e">
        <f t="shared" si="551"/>
        <v>#REF!</v>
      </c>
      <c r="EL261" s="1989" t="e">
        <f t="shared" si="551"/>
        <v>#REF!</v>
      </c>
      <c r="EM261" s="2006" t="e">
        <f t="shared" si="532"/>
        <v>#REF!</v>
      </c>
      <c r="EN261" s="1999" t="e">
        <f t="shared" si="552"/>
        <v>#REF!</v>
      </c>
      <c r="EO261" s="3122">
        <v>56.487923100000003</v>
      </c>
      <c r="EP261" s="1613" t="e">
        <f>EA261-#REF!/10^7</f>
        <v>#REF!</v>
      </c>
      <c r="EQ261" s="3123" t="e">
        <f>EO261-EP261</f>
        <v>#REF!</v>
      </c>
      <c r="ER261" s="1612" t="e">
        <f t="shared" si="553"/>
        <v>#REF!</v>
      </c>
      <c r="ET261" s="1612">
        <f>1692901/10^6</f>
        <v>1.692901</v>
      </c>
      <c r="EW261" s="1611" t="e">
        <v>#N/A</v>
      </c>
      <c r="EX261" s="1612" t="e">
        <v>#N/A</v>
      </c>
      <c r="EZ261" s="1650">
        <f t="shared" si="533"/>
        <v>0</v>
      </c>
    </row>
    <row r="262" spans="1:156" ht="21" customHeight="1">
      <c r="A262" s="1652">
        <v>72</v>
      </c>
      <c r="B262" s="1701" t="s">
        <v>1930</v>
      </c>
      <c r="C262" s="1662"/>
      <c r="D262" s="1646" t="e">
        <f t="shared" ref="D262:D269" si="554">H262/C262*100</f>
        <v>#DIV/0!</v>
      </c>
      <c r="E262" s="1646"/>
      <c r="F262" s="1648" t="s">
        <v>1594</v>
      </c>
      <c r="G262" s="1648"/>
      <c r="H262" s="1648"/>
      <c r="I262" s="1648" t="s">
        <v>1717</v>
      </c>
      <c r="J262" s="1649">
        <v>2</v>
      </c>
      <c r="K262" s="1648"/>
      <c r="L262" s="1648"/>
      <c r="M262" s="1648"/>
      <c r="N262" s="1642"/>
      <c r="O262" s="2000" t="e">
        <f>#REF!</f>
        <v>#REF!</v>
      </c>
      <c r="P262" s="2003">
        <f t="shared" si="481"/>
        <v>0</v>
      </c>
      <c r="Q262" s="1989" t="e">
        <f>#REF!/10^7</f>
        <v>#REF!</v>
      </c>
      <c r="R262" s="2003">
        <f t="shared" si="482"/>
        <v>0</v>
      </c>
      <c r="S262" s="1989" t="e">
        <f>#REF!/10^7</f>
        <v>#REF!</v>
      </c>
      <c r="T262" s="2003">
        <f t="shared" si="483"/>
        <v>0</v>
      </c>
      <c r="U262" s="1989" t="e">
        <f>#REF!/10^7</f>
        <v>#REF!</v>
      </c>
      <c r="V262" s="1989" t="e">
        <f>#REF!/10^7</f>
        <v>#REF!</v>
      </c>
      <c r="W262" s="1989">
        <f t="shared" si="484"/>
        <v>0</v>
      </c>
      <c r="X262" s="1999" t="e">
        <f t="shared" si="541"/>
        <v>#REF!</v>
      </c>
      <c r="Y262" s="1993" t="e">
        <f>#REF!</f>
        <v>#REF!</v>
      </c>
      <c r="Z262" s="2003">
        <f t="shared" si="485"/>
        <v>0</v>
      </c>
      <c r="AA262" s="1989" t="e">
        <f>#REF!/10^7</f>
        <v>#REF!</v>
      </c>
      <c r="AB262" s="2003">
        <f t="shared" si="486"/>
        <v>0</v>
      </c>
      <c r="AC262" s="1989" t="e">
        <f>#REF!/10^7</f>
        <v>#REF!</v>
      </c>
      <c r="AD262" s="2003">
        <f t="shared" si="487"/>
        <v>0</v>
      </c>
      <c r="AE262" s="1989" t="e">
        <f>#REF!/10^7</f>
        <v>#REF!</v>
      </c>
      <c r="AF262" s="1989" t="e">
        <f>#REF!/10^7</f>
        <v>#REF!</v>
      </c>
      <c r="AG262" s="2002" t="e">
        <f t="shared" si="488"/>
        <v>#REF!</v>
      </c>
      <c r="AH262" s="1999" t="e">
        <f t="shared" si="542"/>
        <v>#REF!</v>
      </c>
      <c r="AI262" s="1993" t="e">
        <f>#REF!</f>
        <v>#REF!</v>
      </c>
      <c r="AJ262" s="2003">
        <f t="shared" si="489"/>
        <v>0</v>
      </c>
      <c r="AK262" s="1989" t="e">
        <f>#REF!/10^7</f>
        <v>#REF!</v>
      </c>
      <c r="AL262" s="2003">
        <f t="shared" si="490"/>
        <v>0</v>
      </c>
      <c r="AM262" s="1989" t="e">
        <f>#REF!/10^7</f>
        <v>#REF!</v>
      </c>
      <c r="AN262" s="2003">
        <f t="shared" si="491"/>
        <v>0</v>
      </c>
      <c r="AO262" s="1989" t="e">
        <f>#REF!/10^7</f>
        <v>#REF!</v>
      </c>
      <c r="AP262" s="1989" t="e">
        <f>#REF!/10^7</f>
        <v>#REF!</v>
      </c>
      <c r="AQ262" s="2002" t="e">
        <f t="shared" si="492"/>
        <v>#REF!</v>
      </c>
      <c r="AR262" s="1999" t="e">
        <f t="shared" si="543"/>
        <v>#REF!</v>
      </c>
      <c r="AS262" s="1993" t="e">
        <f>#REF!</f>
        <v>#REF!</v>
      </c>
      <c r="AT262" s="2003">
        <f t="shared" si="493"/>
        <v>0</v>
      </c>
      <c r="AU262" s="1989" t="e">
        <f>#REF!/10^7</f>
        <v>#REF!</v>
      </c>
      <c r="AV262" s="2003">
        <f t="shared" si="494"/>
        <v>0</v>
      </c>
      <c r="AW262" s="1989" t="e">
        <f>#REF!/10^7</f>
        <v>#REF!</v>
      </c>
      <c r="AX262" s="2003">
        <f t="shared" si="495"/>
        <v>0</v>
      </c>
      <c r="AY262" s="1989" t="e">
        <f>#REF!/10^7</f>
        <v>#REF!</v>
      </c>
      <c r="AZ262" s="1989" t="e">
        <f>#REF!/10^7</f>
        <v>#REF!</v>
      </c>
      <c r="BA262" s="2002" t="e">
        <f t="shared" si="496"/>
        <v>#REF!</v>
      </c>
      <c r="BB262" s="1999" t="e">
        <f t="shared" si="544"/>
        <v>#REF!</v>
      </c>
      <c r="BC262" s="1993" t="e">
        <f>#REF!</f>
        <v>#REF!</v>
      </c>
      <c r="BD262" s="2003">
        <f t="shared" si="497"/>
        <v>0</v>
      </c>
      <c r="BE262" s="1989" t="e">
        <f>#REF!/10^7</f>
        <v>#REF!</v>
      </c>
      <c r="BF262" s="2003">
        <f t="shared" si="498"/>
        <v>0</v>
      </c>
      <c r="BG262" s="1989" t="e">
        <f>#REF!/10^7</f>
        <v>#REF!</v>
      </c>
      <c r="BH262" s="2003">
        <f t="shared" si="499"/>
        <v>0</v>
      </c>
      <c r="BI262" s="1989" t="e">
        <f>#REF!/10^7</f>
        <v>#REF!</v>
      </c>
      <c r="BJ262" s="1989" t="e">
        <f>#REF!/10^7</f>
        <v>#REF!</v>
      </c>
      <c r="BK262" s="2002" t="e">
        <f t="shared" si="500"/>
        <v>#REF!</v>
      </c>
      <c r="BL262" s="1999" t="e">
        <f t="shared" si="535"/>
        <v>#REF!</v>
      </c>
      <c r="BM262" s="1993" t="e">
        <f>#REF!</f>
        <v>#REF!</v>
      </c>
      <c r="BN262" s="2003">
        <f t="shared" si="501"/>
        <v>0</v>
      </c>
      <c r="BO262" s="1989" t="e">
        <f>#REF!/10^7</f>
        <v>#REF!</v>
      </c>
      <c r="BP262" s="2003">
        <f t="shared" si="502"/>
        <v>0</v>
      </c>
      <c r="BQ262" s="1989" t="e">
        <f>#REF!/10^7</f>
        <v>#REF!</v>
      </c>
      <c r="BR262" s="2003">
        <f t="shared" si="503"/>
        <v>0</v>
      </c>
      <c r="BS262" s="1989" t="e">
        <f>#REF!/10^7</f>
        <v>#REF!</v>
      </c>
      <c r="BT262" s="1989" t="e">
        <f>#REF!/10^7</f>
        <v>#REF!</v>
      </c>
      <c r="BU262" s="2002" t="e">
        <f t="shared" si="504"/>
        <v>#REF!</v>
      </c>
      <c r="BV262" s="1999" t="e">
        <f t="shared" si="536"/>
        <v>#REF!</v>
      </c>
      <c r="BW262" s="1993" t="e">
        <f>#REF!</f>
        <v>#REF!</v>
      </c>
      <c r="BX262" s="2003">
        <f t="shared" si="505"/>
        <v>0</v>
      </c>
      <c r="BY262" s="1989" t="e">
        <f>#REF!/10^7</f>
        <v>#REF!</v>
      </c>
      <c r="BZ262" s="2003">
        <f t="shared" si="506"/>
        <v>0</v>
      </c>
      <c r="CA262" s="1989" t="e">
        <f>#REF!/10^7</f>
        <v>#REF!</v>
      </c>
      <c r="CB262" s="2003">
        <f t="shared" si="507"/>
        <v>0</v>
      </c>
      <c r="CC262" s="1989" t="e">
        <f>#REF!/10^7</f>
        <v>#REF!</v>
      </c>
      <c r="CD262" s="1989" t="e">
        <f>#REF!/10^7</f>
        <v>#REF!</v>
      </c>
      <c r="CE262" s="2002" t="e">
        <f t="shared" si="508"/>
        <v>#REF!</v>
      </c>
      <c r="CF262" s="1999" t="e">
        <f t="shared" si="537"/>
        <v>#REF!</v>
      </c>
      <c r="CG262" s="1993" t="e">
        <f>#REF!</f>
        <v>#REF!</v>
      </c>
      <c r="CH262" s="2003">
        <f t="shared" si="509"/>
        <v>0</v>
      </c>
      <c r="CI262" s="1989" t="e">
        <f>#REF!/10^7</f>
        <v>#REF!</v>
      </c>
      <c r="CJ262" s="2003">
        <f t="shared" si="510"/>
        <v>0</v>
      </c>
      <c r="CK262" s="1989" t="e">
        <f>#REF!/10^7</f>
        <v>#REF!</v>
      </c>
      <c r="CL262" s="2003">
        <f t="shared" si="511"/>
        <v>0</v>
      </c>
      <c r="CM262" s="1989" t="e">
        <f>#REF!/10^7</f>
        <v>#REF!</v>
      </c>
      <c r="CN262" s="1989" t="e">
        <f>#REF!/10^7</f>
        <v>#REF!</v>
      </c>
      <c r="CO262" s="2002" t="e">
        <f t="shared" si="512"/>
        <v>#REF!</v>
      </c>
      <c r="CP262" s="1999" t="e">
        <f t="shared" si="538"/>
        <v>#REF!</v>
      </c>
      <c r="CQ262" s="1993" t="e">
        <f>#REF!</f>
        <v>#REF!</v>
      </c>
      <c r="CR262" s="2003">
        <f t="shared" si="513"/>
        <v>0</v>
      </c>
      <c r="CS262" s="1989" t="e">
        <f>#REF!/10^7</f>
        <v>#REF!</v>
      </c>
      <c r="CT262" s="2003">
        <f t="shared" si="514"/>
        <v>0</v>
      </c>
      <c r="CU262" s="1989" t="e">
        <f>#REF!/10^7</f>
        <v>#REF!</v>
      </c>
      <c r="CV262" s="2003">
        <f t="shared" si="515"/>
        <v>0</v>
      </c>
      <c r="CW262" s="1989" t="e">
        <f>#REF!/10^7</f>
        <v>#REF!</v>
      </c>
      <c r="CX262" s="1989" t="e">
        <f>#REF!/10^7</f>
        <v>#REF!</v>
      </c>
      <c r="CY262" s="2002" t="e">
        <f t="shared" si="516"/>
        <v>#REF!</v>
      </c>
      <c r="CZ262" s="1999" t="e">
        <f t="shared" si="539"/>
        <v>#REF!</v>
      </c>
      <c r="DA262" s="1993" t="e">
        <f>#REF!</f>
        <v>#REF!</v>
      </c>
      <c r="DB262" s="2003">
        <f t="shared" si="517"/>
        <v>0</v>
      </c>
      <c r="DC262" s="1989" t="e">
        <f>#REF!/10^7</f>
        <v>#REF!</v>
      </c>
      <c r="DD262" s="2003">
        <f t="shared" si="518"/>
        <v>0</v>
      </c>
      <c r="DE262" s="1989" t="e">
        <f>#REF!/10^7</f>
        <v>#REF!</v>
      </c>
      <c r="DF262" s="2003">
        <f t="shared" si="519"/>
        <v>0</v>
      </c>
      <c r="DG262" s="1989" t="e">
        <f>#REF!/10^7</f>
        <v>#REF!</v>
      </c>
      <c r="DH262" s="1989" t="e">
        <f>#REF!/10^7</f>
        <v>#REF!</v>
      </c>
      <c r="DI262" s="2002" t="e">
        <f t="shared" si="520"/>
        <v>#REF!</v>
      </c>
      <c r="DJ262" s="1999" t="e">
        <f t="shared" si="545"/>
        <v>#REF!</v>
      </c>
      <c r="DK262" s="1993" t="e">
        <f>#REF!</f>
        <v>#REF!</v>
      </c>
      <c r="DL262" s="2003">
        <f t="shared" si="521"/>
        <v>0</v>
      </c>
      <c r="DM262" s="1989" t="e">
        <f>#REF!/10^7</f>
        <v>#REF!</v>
      </c>
      <c r="DN262" s="2003">
        <f t="shared" si="522"/>
        <v>0</v>
      </c>
      <c r="DO262" s="1989" t="e">
        <f>#REF!/10^7</f>
        <v>#REF!</v>
      </c>
      <c r="DP262" s="2003">
        <f t="shared" si="523"/>
        <v>0</v>
      </c>
      <c r="DQ262" s="1989" t="e">
        <f>#REF!/10^7</f>
        <v>#REF!</v>
      </c>
      <c r="DR262" s="1989" t="e">
        <f>#REF!/10^7</f>
        <v>#REF!</v>
      </c>
      <c r="DS262" s="2002" t="e">
        <f t="shared" si="524"/>
        <v>#REF!</v>
      </c>
      <c r="DT262" s="2004" t="e">
        <f t="shared" si="546"/>
        <v>#REF!</v>
      </c>
      <c r="DU262" s="1988" t="e">
        <f>#REF!</f>
        <v>#REF!</v>
      </c>
      <c r="DV262" s="2003">
        <f t="shared" si="525"/>
        <v>0</v>
      </c>
      <c r="DW262" s="1989" t="e">
        <f>#REF!/10^7</f>
        <v>#REF!</v>
      </c>
      <c r="DX262" s="2003">
        <f t="shared" si="526"/>
        <v>0</v>
      </c>
      <c r="DY262" s="1989" t="e">
        <f>#REF!/10^7</f>
        <v>#REF!</v>
      </c>
      <c r="DZ262" s="2003">
        <f t="shared" si="527"/>
        <v>0</v>
      </c>
      <c r="EA262" s="1989" t="e">
        <f>#REF!/10^7</f>
        <v>#REF!</v>
      </c>
      <c r="EB262" s="1989" t="e">
        <f>#REF!/10^7</f>
        <v>#REF!</v>
      </c>
      <c r="EC262" s="2002" t="e">
        <f t="shared" si="528"/>
        <v>#REF!</v>
      </c>
      <c r="ED262" s="1998" t="e">
        <f t="shared" si="547"/>
        <v>#REF!</v>
      </c>
      <c r="EE262" s="2005" t="e">
        <f t="shared" si="548"/>
        <v>#REF!</v>
      </c>
      <c r="EF262" s="2003">
        <f t="shared" si="529"/>
        <v>0</v>
      </c>
      <c r="EG262" s="1989" t="e">
        <f t="shared" si="549"/>
        <v>#REF!</v>
      </c>
      <c r="EH262" s="2003">
        <f t="shared" si="530"/>
        <v>0</v>
      </c>
      <c r="EI262" s="1989" t="e">
        <f t="shared" si="550"/>
        <v>#REF!</v>
      </c>
      <c r="EJ262" s="2003">
        <f t="shared" si="531"/>
        <v>0</v>
      </c>
      <c r="EK262" s="1989" t="e">
        <f t="shared" si="551"/>
        <v>#REF!</v>
      </c>
      <c r="EL262" s="1989" t="e">
        <f t="shared" si="551"/>
        <v>#REF!</v>
      </c>
      <c r="EM262" s="2006" t="e">
        <f t="shared" si="532"/>
        <v>#REF!</v>
      </c>
      <c r="EN262" s="1999" t="e">
        <f t="shared" si="552"/>
        <v>#REF!</v>
      </c>
      <c r="EO262" s="3122"/>
      <c r="EP262" s="1613" t="e">
        <f>EA262-#REF!/10^7</f>
        <v>#REF!</v>
      </c>
      <c r="EQ262" s="3123"/>
      <c r="ER262" s="1612" t="e">
        <f t="shared" si="553"/>
        <v>#REF!</v>
      </c>
      <c r="ET262" s="1612">
        <f>1628650/10^6</f>
        <v>1.6286499999999999</v>
      </c>
      <c r="EW262" s="1611" t="e">
        <v>#N/A</v>
      </c>
      <c r="EX262" s="1612" t="e">
        <v>#N/A</v>
      </c>
      <c r="EZ262" s="1650">
        <f t="shared" si="533"/>
        <v>0</v>
      </c>
    </row>
    <row r="263" spans="1:156" ht="21" customHeight="1">
      <c r="A263" s="1652">
        <v>73</v>
      </c>
      <c r="B263" s="1701" t="s">
        <v>1931</v>
      </c>
      <c r="C263" s="1662"/>
      <c r="D263" s="1646" t="e">
        <f t="shared" si="554"/>
        <v>#DIV/0!</v>
      </c>
      <c r="E263" s="1646"/>
      <c r="F263" s="1648" t="s">
        <v>1594</v>
      </c>
      <c r="G263" s="1648"/>
      <c r="H263" s="1648"/>
      <c r="I263" s="1648" t="s">
        <v>1717</v>
      </c>
      <c r="J263" s="1649">
        <v>2</v>
      </c>
      <c r="K263" s="1648"/>
      <c r="L263" s="1648"/>
      <c r="M263" s="1648"/>
      <c r="N263" s="1642"/>
      <c r="O263" s="2000" t="e">
        <f>#REF!</f>
        <v>#REF!</v>
      </c>
      <c r="P263" s="2003">
        <f t="shared" si="481"/>
        <v>0</v>
      </c>
      <c r="Q263" s="1989" t="e">
        <f>#REF!/10^7</f>
        <v>#REF!</v>
      </c>
      <c r="R263" s="2003">
        <f t="shared" si="482"/>
        <v>0</v>
      </c>
      <c r="S263" s="1989" t="e">
        <f>#REF!/10^7</f>
        <v>#REF!</v>
      </c>
      <c r="T263" s="2003">
        <f t="shared" si="483"/>
        <v>0</v>
      </c>
      <c r="U263" s="1989" t="e">
        <f>#REF!/10^7</f>
        <v>#REF!</v>
      </c>
      <c r="V263" s="1989" t="e">
        <f>#REF!/10^7</f>
        <v>#REF!</v>
      </c>
      <c r="W263" s="1989">
        <f t="shared" si="484"/>
        <v>0</v>
      </c>
      <c r="X263" s="1999" t="e">
        <f t="shared" si="541"/>
        <v>#REF!</v>
      </c>
      <c r="Y263" s="1993" t="e">
        <f>#REF!</f>
        <v>#REF!</v>
      </c>
      <c r="Z263" s="2003">
        <f t="shared" si="485"/>
        <v>0</v>
      </c>
      <c r="AA263" s="1989" t="e">
        <f>#REF!/10^7</f>
        <v>#REF!</v>
      </c>
      <c r="AB263" s="2003">
        <f t="shared" si="486"/>
        <v>0</v>
      </c>
      <c r="AC263" s="1989" t="e">
        <f>#REF!/10^7</f>
        <v>#REF!</v>
      </c>
      <c r="AD263" s="2003">
        <f t="shared" si="487"/>
        <v>0</v>
      </c>
      <c r="AE263" s="1989" t="e">
        <f>#REF!/10^7</f>
        <v>#REF!</v>
      </c>
      <c r="AF263" s="1989" t="e">
        <f>#REF!/10^7</f>
        <v>#REF!</v>
      </c>
      <c r="AG263" s="2002" t="e">
        <f t="shared" si="488"/>
        <v>#REF!</v>
      </c>
      <c r="AH263" s="1999" t="e">
        <f t="shared" si="542"/>
        <v>#REF!</v>
      </c>
      <c r="AI263" s="1993" t="e">
        <f>#REF!</f>
        <v>#REF!</v>
      </c>
      <c r="AJ263" s="2003">
        <f t="shared" si="489"/>
        <v>0</v>
      </c>
      <c r="AK263" s="1989" t="e">
        <f>#REF!/10^7</f>
        <v>#REF!</v>
      </c>
      <c r="AL263" s="2003">
        <f t="shared" si="490"/>
        <v>0</v>
      </c>
      <c r="AM263" s="1989" t="e">
        <f>#REF!/10^7</f>
        <v>#REF!</v>
      </c>
      <c r="AN263" s="2003">
        <f t="shared" si="491"/>
        <v>0</v>
      </c>
      <c r="AO263" s="1989" t="e">
        <f>#REF!/10^7</f>
        <v>#REF!</v>
      </c>
      <c r="AP263" s="1989" t="e">
        <f>#REF!/10^7</f>
        <v>#REF!</v>
      </c>
      <c r="AQ263" s="2002" t="e">
        <f t="shared" si="492"/>
        <v>#REF!</v>
      </c>
      <c r="AR263" s="1999" t="e">
        <f t="shared" si="543"/>
        <v>#REF!</v>
      </c>
      <c r="AS263" s="1993" t="e">
        <f>#REF!</f>
        <v>#REF!</v>
      </c>
      <c r="AT263" s="2003">
        <f t="shared" si="493"/>
        <v>0</v>
      </c>
      <c r="AU263" s="1989" t="e">
        <f>#REF!/10^7</f>
        <v>#REF!</v>
      </c>
      <c r="AV263" s="2003">
        <f t="shared" si="494"/>
        <v>0</v>
      </c>
      <c r="AW263" s="1989" t="e">
        <f>#REF!/10^7</f>
        <v>#REF!</v>
      </c>
      <c r="AX263" s="2003">
        <f t="shared" si="495"/>
        <v>0</v>
      </c>
      <c r="AY263" s="1989" t="e">
        <f>#REF!/10^7</f>
        <v>#REF!</v>
      </c>
      <c r="AZ263" s="1989" t="e">
        <f>#REF!/10^7</f>
        <v>#REF!</v>
      </c>
      <c r="BA263" s="2002" t="e">
        <f t="shared" si="496"/>
        <v>#REF!</v>
      </c>
      <c r="BB263" s="1999" t="e">
        <f t="shared" si="544"/>
        <v>#REF!</v>
      </c>
      <c r="BC263" s="1993" t="e">
        <f>#REF!</f>
        <v>#REF!</v>
      </c>
      <c r="BD263" s="2003">
        <f t="shared" si="497"/>
        <v>0</v>
      </c>
      <c r="BE263" s="1989" t="e">
        <f>#REF!/10^7</f>
        <v>#REF!</v>
      </c>
      <c r="BF263" s="2003">
        <f t="shared" si="498"/>
        <v>0</v>
      </c>
      <c r="BG263" s="1989" t="e">
        <f>#REF!/10^7</f>
        <v>#REF!</v>
      </c>
      <c r="BH263" s="2003">
        <f t="shared" si="499"/>
        <v>0</v>
      </c>
      <c r="BI263" s="1989" t="e">
        <f>#REF!/10^7</f>
        <v>#REF!</v>
      </c>
      <c r="BJ263" s="1989" t="e">
        <f>#REF!/10^7</f>
        <v>#REF!</v>
      </c>
      <c r="BK263" s="2002" t="e">
        <f t="shared" si="500"/>
        <v>#REF!</v>
      </c>
      <c r="BL263" s="1999" t="e">
        <f t="shared" si="535"/>
        <v>#REF!</v>
      </c>
      <c r="BM263" s="1993" t="e">
        <f>#REF!</f>
        <v>#REF!</v>
      </c>
      <c r="BN263" s="2003">
        <f t="shared" si="501"/>
        <v>0</v>
      </c>
      <c r="BO263" s="1989" t="e">
        <f>#REF!/10^7</f>
        <v>#REF!</v>
      </c>
      <c r="BP263" s="2003">
        <f t="shared" si="502"/>
        <v>0</v>
      </c>
      <c r="BQ263" s="1989" t="e">
        <f>#REF!/10^7</f>
        <v>#REF!</v>
      </c>
      <c r="BR263" s="2003">
        <f t="shared" si="503"/>
        <v>0</v>
      </c>
      <c r="BS263" s="1989" t="e">
        <f>#REF!/10^7</f>
        <v>#REF!</v>
      </c>
      <c r="BT263" s="1989" t="e">
        <f>#REF!/10^7</f>
        <v>#REF!</v>
      </c>
      <c r="BU263" s="2002" t="e">
        <f t="shared" si="504"/>
        <v>#REF!</v>
      </c>
      <c r="BV263" s="1999" t="e">
        <f t="shared" si="536"/>
        <v>#REF!</v>
      </c>
      <c r="BW263" s="1993" t="e">
        <f>#REF!</f>
        <v>#REF!</v>
      </c>
      <c r="BX263" s="2003">
        <f t="shared" si="505"/>
        <v>0</v>
      </c>
      <c r="BY263" s="1989" t="e">
        <f>#REF!/10^7</f>
        <v>#REF!</v>
      </c>
      <c r="BZ263" s="2003">
        <f t="shared" si="506"/>
        <v>0</v>
      </c>
      <c r="CA263" s="1989" t="e">
        <f>#REF!/10^7</f>
        <v>#REF!</v>
      </c>
      <c r="CB263" s="2003">
        <f t="shared" si="507"/>
        <v>0</v>
      </c>
      <c r="CC263" s="1989" t="e">
        <f>#REF!/10^7</f>
        <v>#REF!</v>
      </c>
      <c r="CD263" s="1989" t="e">
        <f>#REF!/10^7</f>
        <v>#REF!</v>
      </c>
      <c r="CE263" s="2002" t="e">
        <f t="shared" si="508"/>
        <v>#REF!</v>
      </c>
      <c r="CF263" s="1999" t="e">
        <f t="shared" si="537"/>
        <v>#REF!</v>
      </c>
      <c r="CG263" s="1993" t="e">
        <f>#REF!</f>
        <v>#REF!</v>
      </c>
      <c r="CH263" s="2003">
        <f t="shared" si="509"/>
        <v>0</v>
      </c>
      <c r="CI263" s="1989" t="e">
        <f>#REF!/10^7</f>
        <v>#REF!</v>
      </c>
      <c r="CJ263" s="2003">
        <f t="shared" si="510"/>
        <v>0</v>
      </c>
      <c r="CK263" s="1989" t="e">
        <f>#REF!/10^7</f>
        <v>#REF!</v>
      </c>
      <c r="CL263" s="2003">
        <f t="shared" si="511"/>
        <v>0</v>
      </c>
      <c r="CM263" s="1989" t="e">
        <f>#REF!/10^7</f>
        <v>#REF!</v>
      </c>
      <c r="CN263" s="1989" t="e">
        <f>#REF!/10^7</f>
        <v>#REF!</v>
      </c>
      <c r="CO263" s="2002" t="e">
        <f t="shared" si="512"/>
        <v>#REF!</v>
      </c>
      <c r="CP263" s="1999" t="e">
        <f t="shared" si="538"/>
        <v>#REF!</v>
      </c>
      <c r="CQ263" s="1993" t="e">
        <f>#REF!</f>
        <v>#REF!</v>
      </c>
      <c r="CR263" s="2003">
        <f t="shared" si="513"/>
        <v>0</v>
      </c>
      <c r="CS263" s="1989" t="e">
        <f>#REF!/10^7</f>
        <v>#REF!</v>
      </c>
      <c r="CT263" s="2003">
        <f t="shared" si="514"/>
        <v>0</v>
      </c>
      <c r="CU263" s="1989" t="e">
        <f>#REF!/10^7</f>
        <v>#REF!</v>
      </c>
      <c r="CV263" s="2003">
        <f t="shared" si="515"/>
        <v>0</v>
      </c>
      <c r="CW263" s="1989" t="e">
        <f>#REF!/10^7</f>
        <v>#REF!</v>
      </c>
      <c r="CX263" s="1989" t="e">
        <f>#REF!/10^7</f>
        <v>#REF!</v>
      </c>
      <c r="CY263" s="2002" t="e">
        <f t="shared" si="516"/>
        <v>#REF!</v>
      </c>
      <c r="CZ263" s="1999" t="e">
        <f t="shared" si="539"/>
        <v>#REF!</v>
      </c>
      <c r="DA263" s="1993" t="e">
        <f>#REF!</f>
        <v>#REF!</v>
      </c>
      <c r="DB263" s="2003">
        <f t="shared" si="517"/>
        <v>0</v>
      </c>
      <c r="DC263" s="1989" t="e">
        <f>#REF!/10^7</f>
        <v>#REF!</v>
      </c>
      <c r="DD263" s="2003">
        <f t="shared" si="518"/>
        <v>0</v>
      </c>
      <c r="DE263" s="1989" t="e">
        <f>#REF!/10^7</f>
        <v>#REF!</v>
      </c>
      <c r="DF263" s="2003">
        <f t="shared" si="519"/>
        <v>0</v>
      </c>
      <c r="DG263" s="1989" t="e">
        <f>#REF!/10^7</f>
        <v>#REF!</v>
      </c>
      <c r="DH263" s="1989" t="e">
        <f>#REF!/10^7</f>
        <v>#REF!</v>
      </c>
      <c r="DI263" s="2002" t="e">
        <f t="shared" si="520"/>
        <v>#REF!</v>
      </c>
      <c r="DJ263" s="1999" t="e">
        <f t="shared" si="545"/>
        <v>#REF!</v>
      </c>
      <c r="DK263" s="1993" t="e">
        <f>#REF!</f>
        <v>#REF!</v>
      </c>
      <c r="DL263" s="2003">
        <f t="shared" si="521"/>
        <v>0</v>
      </c>
      <c r="DM263" s="1989" t="e">
        <f>#REF!/10^7</f>
        <v>#REF!</v>
      </c>
      <c r="DN263" s="2003">
        <f t="shared" si="522"/>
        <v>0</v>
      </c>
      <c r="DO263" s="1989" t="e">
        <f>#REF!/10^7</f>
        <v>#REF!</v>
      </c>
      <c r="DP263" s="2003">
        <f t="shared" si="523"/>
        <v>0</v>
      </c>
      <c r="DQ263" s="1989" t="e">
        <f>#REF!/10^7</f>
        <v>#REF!</v>
      </c>
      <c r="DR263" s="1989" t="e">
        <f>#REF!/10^7</f>
        <v>#REF!</v>
      </c>
      <c r="DS263" s="2002" t="e">
        <f t="shared" si="524"/>
        <v>#REF!</v>
      </c>
      <c r="DT263" s="2004" t="e">
        <f t="shared" si="546"/>
        <v>#REF!</v>
      </c>
      <c r="DU263" s="1988" t="e">
        <f>#REF!</f>
        <v>#REF!</v>
      </c>
      <c r="DV263" s="2003">
        <f t="shared" si="525"/>
        <v>0</v>
      </c>
      <c r="DW263" s="1989" t="e">
        <f>#REF!/10^7</f>
        <v>#REF!</v>
      </c>
      <c r="DX263" s="2003">
        <f t="shared" si="526"/>
        <v>0</v>
      </c>
      <c r="DY263" s="1989" t="e">
        <f>#REF!/10^7</f>
        <v>#REF!</v>
      </c>
      <c r="DZ263" s="2003">
        <f t="shared" si="527"/>
        <v>0</v>
      </c>
      <c r="EA263" s="1989" t="e">
        <f>#REF!/10^7</f>
        <v>#REF!</v>
      </c>
      <c r="EB263" s="1989" t="e">
        <f>#REF!/10^7</f>
        <v>#REF!</v>
      </c>
      <c r="EC263" s="2002" t="e">
        <f t="shared" si="528"/>
        <v>#REF!</v>
      </c>
      <c r="ED263" s="1998" t="e">
        <f t="shared" si="547"/>
        <v>#REF!</v>
      </c>
      <c r="EE263" s="2005" t="e">
        <f t="shared" si="548"/>
        <v>#REF!</v>
      </c>
      <c r="EF263" s="2003">
        <f t="shared" si="529"/>
        <v>0</v>
      </c>
      <c r="EG263" s="1989" t="e">
        <f t="shared" si="549"/>
        <v>#REF!</v>
      </c>
      <c r="EH263" s="2003">
        <f t="shared" si="530"/>
        <v>0</v>
      </c>
      <c r="EI263" s="1989" t="e">
        <f t="shared" si="550"/>
        <v>#REF!</v>
      </c>
      <c r="EJ263" s="2003">
        <f t="shared" si="531"/>
        <v>0</v>
      </c>
      <c r="EK263" s="1989" t="e">
        <f t="shared" si="551"/>
        <v>#REF!</v>
      </c>
      <c r="EL263" s="1989" t="e">
        <f t="shared" si="551"/>
        <v>#REF!</v>
      </c>
      <c r="EM263" s="2006" t="e">
        <f t="shared" si="532"/>
        <v>#REF!</v>
      </c>
      <c r="EN263" s="1999" t="e">
        <f t="shared" si="552"/>
        <v>#REF!</v>
      </c>
      <c r="EO263" s="3122"/>
      <c r="EP263" s="1613" t="e">
        <f>EA263-#REF!/10^7</f>
        <v>#REF!</v>
      </c>
      <c r="EQ263" s="3123"/>
      <c r="ER263" s="1612" t="e">
        <f t="shared" si="553"/>
        <v>#REF!</v>
      </c>
      <c r="ET263" s="1612">
        <f>ET261+ET262</f>
        <v>3.3215509999999999</v>
      </c>
      <c r="EW263" s="1611" t="e">
        <v>#N/A</v>
      </c>
      <c r="EX263" s="1612" t="e">
        <v>#N/A</v>
      </c>
      <c r="EZ263" s="1650">
        <f t="shared" si="533"/>
        <v>0</v>
      </c>
    </row>
    <row r="264" spans="1:156" ht="21" customHeight="1">
      <c r="A264" s="1652">
        <v>74</v>
      </c>
      <c r="B264" s="1701" t="s">
        <v>1932</v>
      </c>
      <c r="C264" s="1662">
        <v>12</v>
      </c>
      <c r="D264" s="1646">
        <f t="shared" si="554"/>
        <v>100</v>
      </c>
      <c r="E264" s="1646"/>
      <c r="F264" s="1648" t="s">
        <v>1594</v>
      </c>
      <c r="G264" s="1648"/>
      <c r="H264" s="1648">
        <v>12</v>
      </c>
      <c r="I264" s="1648" t="s">
        <v>1717</v>
      </c>
      <c r="J264" s="1649">
        <v>2</v>
      </c>
      <c r="K264" s="1648"/>
      <c r="L264" s="1648"/>
      <c r="M264" s="1648"/>
      <c r="N264" s="1642"/>
      <c r="O264" s="2000" t="e">
        <f>#REF!</f>
        <v>#REF!</v>
      </c>
      <c r="P264" s="2003">
        <f t="shared" si="481"/>
        <v>0</v>
      </c>
      <c r="Q264" s="1989" t="e">
        <f>#REF!/10^7</f>
        <v>#REF!</v>
      </c>
      <c r="R264" s="2003">
        <f t="shared" si="482"/>
        <v>0</v>
      </c>
      <c r="S264" s="1989" t="e">
        <f>#REF!/10^7</f>
        <v>#REF!</v>
      </c>
      <c r="T264" s="2003">
        <f t="shared" si="483"/>
        <v>0</v>
      </c>
      <c r="U264" s="1989" t="e">
        <f>#REF!/10^7</f>
        <v>#REF!</v>
      </c>
      <c r="V264" s="1989" t="e">
        <f>#REF!/10^7</f>
        <v>#REF!</v>
      </c>
      <c r="W264" s="1989">
        <f t="shared" si="484"/>
        <v>0</v>
      </c>
      <c r="X264" s="1999" t="e">
        <f t="shared" si="541"/>
        <v>#REF!</v>
      </c>
      <c r="Y264" s="1993" t="e">
        <f>#REF!</f>
        <v>#REF!</v>
      </c>
      <c r="Z264" s="2003">
        <f t="shared" si="485"/>
        <v>0</v>
      </c>
      <c r="AA264" s="1989" t="e">
        <f>#REF!/10^7</f>
        <v>#REF!</v>
      </c>
      <c r="AB264" s="2003">
        <f t="shared" si="486"/>
        <v>0</v>
      </c>
      <c r="AC264" s="1989" t="e">
        <f>#REF!/10^7</f>
        <v>#REF!</v>
      </c>
      <c r="AD264" s="2003">
        <f t="shared" si="487"/>
        <v>0</v>
      </c>
      <c r="AE264" s="1989" t="e">
        <f>#REF!/10^7</f>
        <v>#REF!</v>
      </c>
      <c r="AF264" s="1989" t="e">
        <f>#REF!/10^7</f>
        <v>#REF!</v>
      </c>
      <c r="AG264" s="2002" t="e">
        <f t="shared" si="488"/>
        <v>#REF!</v>
      </c>
      <c r="AH264" s="1999" t="e">
        <f t="shared" si="542"/>
        <v>#REF!</v>
      </c>
      <c r="AI264" s="1993" t="e">
        <f>#REF!</f>
        <v>#REF!</v>
      </c>
      <c r="AJ264" s="2003">
        <f t="shared" si="489"/>
        <v>0</v>
      </c>
      <c r="AK264" s="1989" t="e">
        <f>#REF!/10^7</f>
        <v>#REF!</v>
      </c>
      <c r="AL264" s="2003">
        <f t="shared" si="490"/>
        <v>0</v>
      </c>
      <c r="AM264" s="1989" t="e">
        <f>#REF!/10^7</f>
        <v>#REF!</v>
      </c>
      <c r="AN264" s="2003">
        <f t="shared" si="491"/>
        <v>0</v>
      </c>
      <c r="AO264" s="1989" t="e">
        <f>#REF!/10^7</f>
        <v>#REF!</v>
      </c>
      <c r="AP264" s="1989" t="e">
        <f>#REF!/10^7</f>
        <v>#REF!</v>
      </c>
      <c r="AQ264" s="2002" t="e">
        <f t="shared" si="492"/>
        <v>#REF!</v>
      </c>
      <c r="AR264" s="1999" t="e">
        <f t="shared" si="543"/>
        <v>#REF!</v>
      </c>
      <c r="AS264" s="1993" t="e">
        <f>#REF!</f>
        <v>#REF!</v>
      </c>
      <c r="AT264" s="2003">
        <f t="shared" si="493"/>
        <v>0</v>
      </c>
      <c r="AU264" s="1989" t="e">
        <f>#REF!/10^7</f>
        <v>#REF!</v>
      </c>
      <c r="AV264" s="2003">
        <f t="shared" si="494"/>
        <v>0</v>
      </c>
      <c r="AW264" s="1989" t="e">
        <f>#REF!/10^7</f>
        <v>#REF!</v>
      </c>
      <c r="AX264" s="2003">
        <f t="shared" si="495"/>
        <v>0</v>
      </c>
      <c r="AY264" s="1989" t="e">
        <f>#REF!/10^7</f>
        <v>#REF!</v>
      </c>
      <c r="AZ264" s="1989" t="e">
        <f>#REF!/10^7</f>
        <v>#REF!</v>
      </c>
      <c r="BA264" s="2002" t="e">
        <f t="shared" si="496"/>
        <v>#REF!</v>
      </c>
      <c r="BB264" s="1999" t="e">
        <f t="shared" si="544"/>
        <v>#REF!</v>
      </c>
      <c r="BC264" s="1993" t="e">
        <f>#REF!</f>
        <v>#REF!</v>
      </c>
      <c r="BD264" s="2003">
        <f t="shared" si="497"/>
        <v>0</v>
      </c>
      <c r="BE264" s="1989" t="e">
        <f>#REF!/10^7</f>
        <v>#REF!</v>
      </c>
      <c r="BF264" s="2003">
        <f t="shared" si="498"/>
        <v>0</v>
      </c>
      <c r="BG264" s="1989" t="e">
        <f>#REF!/10^7</f>
        <v>#REF!</v>
      </c>
      <c r="BH264" s="2003">
        <f t="shared" si="499"/>
        <v>0</v>
      </c>
      <c r="BI264" s="1989" t="e">
        <f>#REF!/10^7</f>
        <v>#REF!</v>
      </c>
      <c r="BJ264" s="1989" t="e">
        <f>#REF!/10^7</f>
        <v>#REF!</v>
      </c>
      <c r="BK264" s="2002" t="e">
        <f t="shared" si="500"/>
        <v>#REF!</v>
      </c>
      <c r="BL264" s="1999" t="e">
        <f t="shared" si="535"/>
        <v>#REF!</v>
      </c>
      <c r="BM264" s="1993" t="e">
        <f>#REF!</f>
        <v>#REF!</v>
      </c>
      <c r="BN264" s="2003">
        <f t="shared" si="501"/>
        <v>0</v>
      </c>
      <c r="BO264" s="1989" t="e">
        <f>#REF!/10^7</f>
        <v>#REF!</v>
      </c>
      <c r="BP264" s="2003">
        <f t="shared" si="502"/>
        <v>0</v>
      </c>
      <c r="BQ264" s="1989" t="e">
        <f>#REF!/10^7</f>
        <v>#REF!</v>
      </c>
      <c r="BR264" s="2003">
        <f t="shared" si="503"/>
        <v>0</v>
      </c>
      <c r="BS264" s="1989" t="e">
        <f>#REF!/10^7</f>
        <v>#REF!</v>
      </c>
      <c r="BT264" s="1989" t="e">
        <f>#REF!/10^7</f>
        <v>#REF!</v>
      </c>
      <c r="BU264" s="2002" t="e">
        <f t="shared" si="504"/>
        <v>#REF!</v>
      </c>
      <c r="BV264" s="1999" t="e">
        <f t="shared" si="536"/>
        <v>#REF!</v>
      </c>
      <c r="BW264" s="1993" t="e">
        <f>#REF!</f>
        <v>#REF!</v>
      </c>
      <c r="BX264" s="2003">
        <f t="shared" si="505"/>
        <v>0</v>
      </c>
      <c r="BY264" s="1989" t="e">
        <f>#REF!/10^7</f>
        <v>#REF!</v>
      </c>
      <c r="BZ264" s="2003">
        <f t="shared" si="506"/>
        <v>0</v>
      </c>
      <c r="CA264" s="1989" t="e">
        <f>#REF!/10^7</f>
        <v>#REF!</v>
      </c>
      <c r="CB264" s="2003">
        <f t="shared" si="507"/>
        <v>0</v>
      </c>
      <c r="CC264" s="1989" t="e">
        <f>#REF!/10^7</f>
        <v>#REF!</v>
      </c>
      <c r="CD264" s="1989" t="e">
        <f>#REF!/10^7</f>
        <v>#REF!</v>
      </c>
      <c r="CE264" s="2002" t="e">
        <f t="shared" si="508"/>
        <v>#REF!</v>
      </c>
      <c r="CF264" s="1999" t="e">
        <f t="shared" si="537"/>
        <v>#REF!</v>
      </c>
      <c r="CG264" s="1993" t="e">
        <f>#REF!</f>
        <v>#REF!</v>
      </c>
      <c r="CH264" s="2003">
        <f t="shared" si="509"/>
        <v>0</v>
      </c>
      <c r="CI264" s="1989" t="e">
        <f>#REF!/10^7</f>
        <v>#REF!</v>
      </c>
      <c r="CJ264" s="2003">
        <f t="shared" si="510"/>
        <v>0</v>
      </c>
      <c r="CK264" s="1989" t="e">
        <f>#REF!/10^7</f>
        <v>#REF!</v>
      </c>
      <c r="CL264" s="2003">
        <f t="shared" si="511"/>
        <v>0</v>
      </c>
      <c r="CM264" s="1989" t="e">
        <f>#REF!/10^7</f>
        <v>#REF!</v>
      </c>
      <c r="CN264" s="1989" t="e">
        <f>#REF!/10^7</f>
        <v>#REF!</v>
      </c>
      <c r="CO264" s="2002" t="e">
        <f t="shared" si="512"/>
        <v>#REF!</v>
      </c>
      <c r="CP264" s="1999" t="e">
        <f t="shared" si="538"/>
        <v>#REF!</v>
      </c>
      <c r="CQ264" s="1993" t="e">
        <f>#REF!</f>
        <v>#REF!</v>
      </c>
      <c r="CR264" s="2003">
        <f t="shared" si="513"/>
        <v>0</v>
      </c>
      <c r="CS264" s="1989" t="e">
        <f>#REF!/10^7</f>
        <v>#REF!</v>
      </c>
      <c r="CT264" s="2003">
        <f t="shared" si="514"/>
        <v>0</v>
      </c>
      <c r="CU264" s="1989" t="e">
        <f>#REF!/10^7</f>
        <v>#REF!</v>
      </c>
      <c r="CV264" s="2003">
        <f t="shared" si="515"/>
        <v>0</v>
      </c>
      <c r="CW264" s="1989" t="e">
        <f>#REF!/10^7</f>
        <v>#REF!</v>
      </c>
      <c r="CX264" s="1989" t="e">
        <f>#REF!/10^7</f>
        <v>#REF!</v>
      </c>
      <c r="CY264" s="2002" t="e">
        <f t="shared" si="516"/>
        <v>#REF!</v>
      </c>
      <c r="CZ264" s="1999" t="e">
        <f t="shared" si="539"/>
        <v>#REF!</v>
      </c>
      <c r="DA264" s="1993" t="e">
        <f>#REF!</f>
        <v>#REF!</v>
      </c>
      <c r="DB264" s="2003">
        <f t="shared" si="517"/>
        <v>0</v>
      </c>
      <c r="DC264" s="1989" t="e">
        <f>#REF!/10^7</f>
        <v>#REF!</v>
      </c>
      <c r="DD264" s="2003">
        <f t="shared" si="518"/>
        <v>0</v>
      </c>
      <c r="DE264" s="1989" t="e">
        <f>#REF!/10^7</f>
        <v>#REF!</v>
      </c>
      <c r="DF264" s="2003">
        <f t="shared" si="519"/>
        <v>0</v>
      </c>
      <c r="DG264" s="1989" t="e">
        <f>#REF!/10^7</f>
        <v>#REF!</v>
      </c>
      <c r="DH264" s="1989" t="e">
        <f>#REF!/10^7</f>
        <v>#REF!</v>
      </c>
      <c r="DI264" s="2002" t="e">
        <f t="shared" si="520"/>
        <v>#REF!</v>
      </c>
      <c r="DJ264" s="1999" t="e">
        <f t="shared" si="545"/>
        <v>#REF!</v>
      </c>
      <c r="DK264" s="1993" t="e">
        <f>#REF!</f>
        <v>#REF!</v>
      </c>
      <c r="DL264" s="2003">
        <f t="shared" si="521"/>
        <v>0</v>
      </c>
      <c r="DM264" s="1989" t="e">
        <f>#REF!/10^7</f>
        <v>#REF!</v>
      </c>
      <c r="DN264" s="2003">
        <f t="shared" si="522"/>
        <v>0</v>
      </c>
      <c r="DO264" s="1989" t="e">
        <f>#REF!/10^7</f>
        <v>#REF!</v>
      </c>
      <c r="DP264" s="2003">
        <f t="shared" si="523"/>
        <v>0</v>
      </c>
      <c r="DQ264" s="1989" t="e">
        <f>#REF!/10^7</f>
        <v>#REF!</v>
      </c>
      <c r="DR264" s="1989" t="e">
        <f>#REF!/10^7</f>
        <v>#REF!</v>
      </c>
      <c r="DS264" s="2002" t="e">
        <f t="shared" si="524"/>
        <v>#REF!</v>
      </c>
      <c r="DT264" s="2004" t="e">
        <f t="shared" si="546"/>
        <v>#REF!</v>
      </c>
      <c r="DU264" s="1988" t="e">
        <f>#REF!</f>
        <v>#REF!</v>
      </c>
      <c r="DV264" s="2003">
        <f t="shared" si="525"/>
        <v>0</v>
      </c>
      <c r="DW264" s="1989" t="e">
        <f>#REF!/10^7</f>
        <v>#REF!</v>
      </c>
      <c r="DX264" s="2003">
        <f t="shared" si="526"/>
        <v>0</v>
      </c>
      <c r="DY264" s="1989" t="e">
        <f>#REF!/10^7</f>
        <v>#REF!</v>
      </c>
      <c r="DZ264" s="2003">
        <f t="shared" si="527"/>
        <v>0</v>
      </c>
      <c r="EA264" s="1989" t="e">
        <f>#REF!/10^7</f>
        <v>#REF!</v>
      </c>
      <c r="EB264" s="1989" t="e">
        <f>#REF!/10^7</f>
        <v>#REF!</v>
      </c>
      <c r="EC264" s="2002" t="e">
        <f t="shared" si="528"/>
        <v>#REF!</v>
      </c>
      <c r="ED264" s="1998" t="e">
        <f t="shared" si="547"/>
        <v>#REF!</v>
      </c>
      <c r="EE264" s="2005" t="e">
        <f t="shared" si="548"/>
        <v>#REF!</v>
      </c>
      <c r="EF264" s="2003">
        <f t="shared" si="529"/>
        <v>0</v>
      </c>
      <c r="EG264" s="1989" t="e">
        <f t="shared" si="549"/>
        <v>#REF!</v>
      </c>
      <c r="EH264" s="2003">
        <f t="shared" si="530"/>
        <v>0</v>
      </c>
      <c r="EI264" s="1989" t="e">
        <f t="shared" si="550"/>
        <v>#REF!</v>
      </c>
      <c r="EJ264" s="2003">
        <f t="shared" si="531"/>
        <v>0</v>
      </c>
      <c r="EK264" s="1989" t="e">
        <f t="shared" si="551"/>
        <v>#REF!</v>
      </c>
      <c r="EL264" s="1989" t="e">
        <f t="shared" si="551"/>
        <v>#REF!</v>
      </c>
      <c r="EM264" s="2006" t="e">
        <f t="shared" si="532"/>
        <v>#REF!</v>
      </c>
      <c r="EN264" s="1999" t="e">
        <f t="shared" si="552"/>
        <v>#REF!</v>
      </c>
      <c r="EO264" s="1613">
        <v>0</v>
      </c>
      <c r="EP264" s="1613" t="e">
        <f>EA264-#REF!/10^7</f>
        <v>#REF!</v>
      </c>
      <c r="ER264" s="1612" t="e">
        <f t="shared" si="553"/>
        <v>#REF!</v>
      </c>
      <c r="ET264" s="1612">
        <v>5.74</v>
      </c>
      <c r="EW264" s="1611" t="e">
        <v>#N/A</v>
      </c>
      <c r="EX264" s="1612" t="e">
        <v>#N/A</v>
      </c>
      <c r="EZ264" s="1650">
        <f t="shared" si="533"/>
        <v>0</v>
      </c>
    </row>
    <row r="265" spans="1:156" ht="21" customHeight="1">
      <c r="A265" s="1652">
        <v>75</v>
      </c>
      <c r="B265" s="1701" t="s">
        <v>1933</v>
      </c>
      <c r="C265" s="1662">
        <v>26</v>
      </c>
      <c r="D265" s="1646">
        <f t="shared" si="554"/>
        <v>100</v>
      </c>
      <c r="E265" s="1646"/>
      <c r="F265" s="1648" t="s">
        <v>1594</v>
      </c>
      <c r="G265" s="1648"/>
      <c r="H265" s="1648">
        <v>26</v>
      </c>
      <c r="I265" s="1648" t="s">
        <v>1717</v>
      </c>
      <c r="J265" s="1649">
        <v>2</v>
      </c>
      <c r="K265" s="1648"/>
      <c r="L265" s="1648"/>
      <c r="M265" s="1648"/>
      <c r="N265" s="1642"/>
      <c r="O265" s="2000" t="e">
        <f>#REF!</f>
        <v>#REF!</v>
      </c>
      <c r="P265" s="2003">
        <f t="shared" si="481"/>
        <v>0</v>
      </c>
      <c r="Q265" s="1989" t="e">
        <f>#REF!/10^7</f>
        <v>#REF!</v>
      </c>
      <c r="R265" s="2003">
        <f t="shared" si="482"/>
        <v>0</v>
      </c>
      <c r="S265" s="1989" t="e">
        <f>#REF!/10^7</f>
        <v>#REF!</v>
      </c>
      <c r="T265" s="2003">
        <f t="shared" si="483"/>
        <v>0</v>
      </c>
      <c r="U265" s="1989" t="e">
        <f>#REF!/10^7</f>
        <v>#REF!</v>
      </c>
      <c r="V265" s="1989" t="e">
        <f>#REF!/10^7</f>
        <v>#REF!</v>
      </c>
      <c r="W265" s="1989">
        <f t="shared" si="484"/>
        <v>0</v>
      </c>
      <c r="X265" s="1999" t="e">
        <f t="shared" si="541"/>
        <v>#REF!</v>
      </c>
      <c r="Y265" s="1993" t="e">
        <f>#REF!</f>
        <v>#REF!</v>
      </c>
      <c r="Z265" s="2003">
        <f t="shared" si="485"/>
        <v>0</v>
      </c>
      <c r="AA265" s="1989" t="e">
        <f>#REF!/10^7</f>
        <v>#REF!</v>
      </c>
      <c r="AB265" s="2003">
        <f t="shared" si="486"/>
        <v>0</v>
      </c>
      <c r="AC265" s="1989" t="e">
        <f>#REF!/10^7</f>
        <v>#REF!</v>
      </c>
      <c r="AD265" s="2003">
        <f t="shared" si="487"/>
        <v>0</v>
      </c>
      <c r="AE265" s="1989" t="e">
        <f>#REF!/10^7</f>
        <v>#REF!</v>
      </c>
      <c r="AF265" s="1989" t="e">
        <f>#REF!/10^7</f>
        <v>#REF!</v>
      </c>
      <c r="AG265" s="2002" t="e">
        <f t="shared" si="488"/>
        <v>#REF!</v>
      </c>
      <c r="AH265" s="1999" t="e">
        <f t="shared" si="542"/>
        <v>#REF!</v>
      </c>
      <c r="AI265" s="1993" t="e">
        <f>#REF!</f>
        <v>#REF!</v>
      </c>
      <c r="AJ265" s="2003">
        <f t="shared" si="489"/>
        <v>0</v>
      </c>
      <c r="AK265" s="1989" t="e">
        <f>#REF!/10^7</f>
        <v>#REF!</v>
      </c>
      <c r="AL265" s="2003">
        <f t="shared" si="490"/>
        <v>0</v>
      </c>
      <c r="AM265" s="1989" t="e">
        <f>#REF!/10^7</f>
        <v>#REF!</v>
      </c>
      <c r="AN265" s="2003">
        <f t="shared" si="491"/>
        <v>0</v>
      </c>
      <c r="AO265" s="1989" t="e">
        <f>#REF!/10^7</f>
        <v>#REF!</v>
      </c>
      <c r="AP265" s="1989" t="e">
        <f>#REF!/10^7</f>
        <v>#REF!</v>
      </c>
      <c r="AQ265" s="2002" t="e">
        <f t="shared" si="492"/>
        <v>#REF!</v>
      </c>
      <c r="AR265" s="1999" t="e">
        <f t="shared" si="543"/>
        <v>#REF!</v>
      </c>
      <c r="AS265" s="1993" t="e">
        <f>#REF!</f>
        <v>#REF!</v>
      </c>
      <c r="AT265" s="2003">
        <f t="shared" si="493"/>
        <v>0</v>
      </c>
      <c r="AU265" s="1989" t="e">
        <f>#REF!/10^7</f>
        <v>#REF!</v>
      </c>
      <c r="AV265" s="2003">
        <f t="shared" si="494"/>
        <v>0</v>
      </c>
      <c r="AW265" s="1989" t="e">
        <f>#REF!/10^7</f>
        <v>#REF!</v>
      </c>
      <c r="AX265" s="2003">
        <f t="shared" si="495"/>
        <v>0</v>
      </c>
      <c r="AY265" s="1989" t="e">
        <f>#REF!/10^7</f>
        <v>#REF!</v>
      </c>
      <c r="AZ265" s="1989" t="e">
        <f>#REF!/10^7</f>
        <v>#REF!</v>
      </c>
      <c r="BA265" s="2002" t="e">
        <f t="shared" si="496"/>
        <v>#REF!</v>
      </c>
      <c r="BB265" s="1999" t="e">
        <f t="shared" si="544"/>
        <v>#REF!</v>
      </c>
      <c r="BC265" s="1993" t="e">
        <f>#REF!</f>
        <v>#REF!</v>
      </c>
      <c r="BD265" s="2003">
        <f t="shared" si="497"/>
        <v>0</v>
      </c>
      <c r="BE265" s="1989" t="e">
        <f>#REF!/10^7</f>
        <v>#REF!</v>
      </c>
      <c r="BF265" s="2003">
        <f t="shared" si="498"/>
        <v>0</v>
      </c>
      <c r="BG265" s="1989" t="e">
        <f>#REF!/10^7</f>
        <v>#REF!</v>
      </c>
      <c r="BH265" s="2003">
        <f t="shared" si="499"/>
        <v>0</v>
      </c>
      <c r="BI265" s="1989" t="e">
        <f>#REF!/10^7</f>
        <v>#REF!</v>
      </c>
      <c r="BJ265" s="1989" t="e">
        <f>#REF!/10^7</f>
        <v>#REF!</v>
      </c>
      <c r="BK265" s="2002" t="e">
        <f t="shared" si="500"/>
        <v>#REF!</v>
      </c>
      <c r="BL265" s="1999" t="e">
        <f t="shared" si="535"/>
        <v>#REF!</v>
      </c>
      <c r="BM265" s="1993" t="e">
        <f>#REF!</f>
        <v>#REF!</v>
      </c>
      <c r="BN265" s="2003">
        <f t="shared" si="501"/>
        <v>0</v>
      </c>
      <c r="BO265" s="1989" t="e">
        <f>#REF!/10^7</f>
        <v>#REF!</v>
      </c>
      <c r="BP265" s="2003">
        <f t="shared" si="502"/>
        <v>0</v>
      </c>
      <c r="BQ265" s="1989" t="e">
        <f>#REF!/10^7</f>
        <v>#REF!</v>
      </c>
      <c r="BR265" s="2003">
        <f t="shared" si="503"/>
        <v>0</v>
      </c>
      <c r="BS265" s="1989" t="e">
        <f>#REF!/10^7</f>
        <v>#REF!</v>
      </c>
      <c r="BT265" s="1989" t="e">
        <f>#REF!/10^7</f>
        <v>#REF!</v>
      </c>
      <c r="BU265" s="2002" t="e">
        <f t="shared" si="504"/>
        <v>#REF!</v>
      </c>
      <c r="BV265" s="1999" t="e">
        <f t="shared" si="536"/>
        <v>#REF!</v>
      </c>
      <c r="BW265" s="1993" t="e">
        <f>#REF!</f>
        <v>#REF!</v>
      </c>
      <c r="BX265" s="2003">
        <f t="shared" si="505"/>
        <v>0</v>
      </c>
      <c r="BY265" s="1989" t="e">
        <f>#REF!/10^7</f>
        <v>#REF!</v>
      </c>
      <c r="BZ265" s="2003">
        <f t="shared" si="506"/>
        <v>0</v>
      </c>
      <c r="CA265" s="1989" t="e">
        <f>#REF!/10^7</f>
        <v>#REF!</v>
      </c>
      <c r="CB265" s="2003">
        <f t="shared" si="507"/>
        <v>0</v>
      </c>
      <c r="CC265" s="1989" t="e">
        <f>#REF!/10^7</f>
        <v>#REF!</v>
      </c>
      <c r="CD265" s="1989" t="e">
        <f>#REF!/10^7</f>
        <v>#REF!</v>
      </c>
      <c r="CE265" s="2002" t="e">
        <f t="shared" si="508"/>
        <v>#REF!</v>
      </c>
      <c r="CF265" s="1999" t="e">
        <f t="shared" si="537"/>
        <v>#REF!</v>
      </c>
      <c r="CG265" s="1993" t="e">
        <f>#REF!</f>
        <v>#REF!</v>
      </c>
      <c r="CH265" s="2003">
        <f t="shared" si="509"/>
        <v>0</v>
      </c>
      <c r="CI265" s="1989" t="e">
        <f>#REF!/10^7</f>
        <v>#REF!</v>
      </c>
      <c r="CJ265" s="2003">
        <f t="shared" si="510"/>
        <v>0</v>
      </c>
      <c r="CK265" s="1989" t="e">
        <f>#REF!/10^7</f>
        <v>#REF!</v>
      </c>
      <c r="CL265" s="2003">
        <f t="shared" si="511"/>
        <v>0</v>
      </c>
      <c r="CM265" s="1989" t="e">
        <f>#REF!/10^7</f>
        <v>#REF!</v>
      </c>
      <c r="CN265" s="1989" t="e">
        <f>#REF!/10^7</f>
        <v>#REF!</v>
      </c>
      <c r="CO265" s="2002" t="e">
        <f t="shared" si="512"/>
        <v>#REF!</v>
      </c>
      <c r="CP265" s="1999" t="e">
        <f t="shared" si="538"/>
        <v>#REF!</v>
      </c>
      <c r="CQ265" s="1993" t="e">
        <f>#REF!</f>
        <v>#REF!</v>
      </c>
      <c r="CR265" s="2003">
        <f t="shared" si="513"/>
        <v>0</v>
      </c>
      <c r="CS265" s="1989" t="e">
        <f>#REF!/10^7</f>
        <v>#REF!</v>
      </c>
      <c r="CT265" s="2003">
        <f t="shared" si="514"/>
        <v>0</v>
      </c>
      <c r="CU265" s="1989" t="e">
        <f>#REF!/10^7</f>
        <v>#REF!</v>
      </c>
      <c r="CV265" s="2003">
        <f t="shared" si="515"/>
        <v>0</v>
      </c>
      <c r="CW265" s="1989" t="e">
        <f>#REF!/10^7</f>
        <v>#REF!</v>
      </c>
      <c r="CX265" s="1989" t="e">
        <f>#REF!/10^7</f>
        <v>#REF!</v>
      </c>
      <c r="CY265" s="2002" t="e">
        <f t="shared" si="516"/>
        <v>#REF!</v>
      </c>
      <c r="CZ265" s="1999" t="e">
        <f t="shared" si="539"/>
        <v>#REF!</v>
      </c>
      <c r="DA265" s="1993" t="e">
        <f>#REF!</f>
        <v>#REF!</v>
      </c>
      <c r="DB265" s="2003">
        <f t="shared" si="517"/>
        <v>0</v>
      </c>
      <c r="DC265" s="1989" t="e">
        <f>#REF!/10^7</f>
        <v>#REF!</v>
      </c>
      <c r="DD265" s="2003">
        <f t="shared" si="518"/>
        <v>0</v>
      </c>
      <c r="DE265" s="1989" t="e">
        <f>#REF!/10^7</f>
        <v>#REF!</v>
      </c>
      <c r="DF265" s="2003">
        <f t="shared" si="519"/>
        <v>0</v>
      </c>
      <c r="DG265" s="1989" t="e">
        <f>#REF!/10^7</f>
        <v>#REF!</v>
      </c>
      <c r="DH265" s="1989" t="e">
        <f>#REF!/10^7</f>
        <v>#REF!</v>
      </c>
      <c r="DI265" s="2002" t="e">
        <f t="shared" si="520"/>
        <v>#REF!</v>
      </c>
      <c r="DJ265" s="1999" t="e">
        <f t="shared" si="545"/>
        <v>#REF!</v>
      </c>
      <c r="DK265" s="1993" t="e">
        <f>#REF!</f>
        <v>#REF!</v>
      </c>
      <c r="DL265" s="2003">
        <f t="shared" si="521"/>
        <v>0</v>
      </c>
      <c r="DM265" s="1989" t="e">
        <f>#REF!/10^7</f>
        <v>#REF!</v>
      </c>
      <c r="DN265" s="2003">
        <f t="shared" si="522"/>
        <v>0</v>
      </c>
      <c r="DO265" s="1989" t="e">
        <f>#REF!/10^7</f>
        <v>#REF!</v>
      </c>
      <c r="DP265" s="2003">
        <f t="shared" si="523"/>
        <v>0</v>
      </c>
      <c r="DQ265" s="1989" t="e">
        <f>#REF!/10^7</f>
        <v>#REF!</v>
      </c>
      <c r="DR265" s="1989" t="e">
        <f>#REF!/10^7</f>
        <v>#REF!</v>
      </c>
      <c r="DS265" s="2002" t="e">
        <f t="shared" si="524"/>
        <v>#REF!</v>
      </c>
      <c r="DT265" s="2004" t="e">
        <f t="shared" si="546"/>
        <v>#REF!</v>
      </c>
      <c r="DU265" s="1988" t="e">
        <f>#REF!</f>
        <v>#REF!</v>
      </c>
      <c r="DV265" s="2003">
        <f t="shared" si="525"/>
        <v>0</v>
      </c>
      <c r="DW265" s="1989" t="e">
        <f>#REF!/10^7</f>
        <v>#REF!</v>
      </c>
      <c r="DX265" s="2003">
        <f t="shared" si="526"/>
        <v>0</v>
      </c>
      <c r="DY265" s="1989" t="e">
        <f>#REF!/10^7</f>
        <v>#REF!</v>
      </c>
      <c r="DZ265" s="2003">
        <f t="shared" si="527"/>
        <v>0</v>
      </c>
      <c r="EA265" s="1989" t="e">
        <f>#REF!/10^7</f>
        <v>#REF!</v>
      </c>
      <c r="EB265" s="1989" t="e">
        <f>#REF!/10^7</f>
        <v>#REF!</v>
      </c>
      <c r="EC265" s="2002" t="e">
        <f t="shared" si="528"/>
        <v>#REF!</v>
      </c>
      <c r="ED265" s="1998" t="e">
        <f t="shared" si="547"/>
        <v>#REF!</v>
      </c>
      <c r="EE265" s="2005" t="e">
        <f t="shared" si="548"/>
        <v>#REF!</v>
      </c>
      <c r="EF265" s="2003">
        <f t="shared" si="529"/>
        <v>0</v>
      </c>
      <c r="EG265" s="1989" t="e">
        <f t="shared" si="549"/>
        <v>#REF!</v>
      </c>
      <c r="EH265" s="2003">
        <f t="shared" si="530"/>
        <v>0</v>
      </c>
      <c r="EI265" s="1989" t="e">
        <f t="shared" si="550"/>
        <v>#REF!</v>
      </c>
      <c r="EJ265" s="2003">
        <f t="shared" si="531"/>
        <v>0</v>
      </c>
      <c r="EK265" s="1989" t="e">
        <f t="shared" si="551"/>
        <v>#REF!</v>
      </c>
      <c r="EL265" s="1989" t="e">
        <f t="shared" si="551"/>
        <v>#REF!</v>
      </c>
      <c r="EM265" s="2006" t="e">
        <f t="shared" si="532"/>
        <v>#REF!</v>
      </c>
      <c r="EN265" s="1999" t="e">
        <f t="shared" si="552"/>
        <v>#REF!</v>
      </c>
      <c r="EO265" s="1613">
        <v>51.916173999999998</v>
      </c>
      <c r="EP265" s="1613" t="e">
        <f>EA265-#REF!/10^7</f>
        <v>#REF!</v>
      </c>
      <c r="ER265" s="1612" t="e">
        <f t="shared" si="553"/>
        <v>#REF!</v>
      </c>
      <c r="ET265" s="1612">
        <f>ET263+ET264</f>
        <v>9.0615509999999997</v>
      </c>
      <c r="EW265" s="1611" t="e">
        <v>#N/A</v>
      </c>
      <c r="EX265" s="1612" t="e">
        <v>#N/A</v>
      </c>
      <c r="EZ265" s="1650">
        <f t="shared" si="533"/>
        <v>0</v>
      </c>
    </row>
    <row r="266" spans="1:156" ht="21" customHeight="1">
      <c r="A266" s="1652">
        <v>76</v>
      </c>
      <c r="B266" s="1701" t="s">
        <v>1934</v>
      </c>
      <c r="C266" s="1662">
        <v>15</v>
      </c>
      <c r="D266" s="1646">
        <f t="shared" si="554"/>
        <v>100</v>
      </c>
      <c r="E266" s="1646"/>
      <c r="F266" s="1648" t="s">
        <v>1594</v>
      </c>
      <c r="G266" s="1648"/>
      <c r="H266" s="1648">
        <v>15</v>
      </c>
      <c r="I266" s="1648" t="s">
        <v>1717</v>
      </c>
      <c r="J266" s="1649">
        <v>2</v>
      </c>
      <c r="K266" s="1648"/>
      <c r="L266" s="1648"/>
      <c r="M266" s="1648"/>
      <c r="N266" s="1642"/>
      <c r="O266" s="2000" t="e">
        <f>#REF!</f>
        <v>#REF!</v>
      </c>
      <c r="P266" s="2003">
        <f t="shared" si="481"/>
        <v>0</v>
      </c>
      <c r="Q266" s="1989" t="e">
        <f>#REF!/10^7</f>
        <v>#REF!</v>
      </c>
      <c r="R266" s="2003">
        <f t="shared" si="482"/>
        <v>0</v>
      </c>
      <c r="S266" s="1989" t="e">
        <f>#REF!/10^7</f>
        <v>#REF!</v>
      </c>
      <c r="T266" s="2003">
        <f t="shared" si="483"/>
        <v>0</v>
      </c>
      <c r="U266" s="1989" t="e">
        <f>#REF!/10^7</f>
        <v>#REF!</v>
      </c>
      <c r="V266" s="1989" t="e">
        <f>#REF!/10^7</f>
        <v>#REF!</v>
      </c>
      <c r="W266" s="1989">
        <f t="shared" si="484"/>
        <v>0</v>
      </c>
      <c r="X266" s="1999" t="e">
        <f t="shared" si="541"/>
        <v>#REF!</v>
      </c>
      <c r="Y266" s="1993" t="e">
        <f>#REF!</f>
        <v>#REF!</v>
      </c>
      <c r="Z266" s="2003">
        <f t="shared" si="485"/>
        <v>0</v>
      </c>
      <c r="AA266" s="1989" t="e">
        <f>#REF!/10^7</f>
        <v>#REF!</v>
      </c>
      <c r="AB266" s="2003">
        <f t="shared" si="486"/>
        <v>0</v>
      </c>
      <c r="AC266" s="1989" t="e">
        <f>#REF!/10^7</f>
        <v>#REF!</v>
      </c>
      <c r="AD266" s="2003">
        <f t="shared" si="487"/>
        <v>0</v>
      </c>
      <c r="AE266" s="1989" t="e">
        <f>#REF!/10^7</f>
        <v>#REF!</v>
      </c>
      <c r="AF266" s="1989" t="e">
        <f>#REF!/10^7</f>
        <v>#REF!</v>
      </c>
      <c r="AG266" s="2002" t="e">
        <f t="shared" si="488"/>
        <v>#REF!</v>
      </c>
      <c r="AH266" s="1999" t="e">
        <f t="shared" si="542"/>
        <v>#REF!</v>
      </c>
      <c r="AI266" s="1993" t="e">
        <f>#REF!</f>
        <v>#REF!</v>
      </c>
      <c r="AJ266" s="2003">
        <f t="shared" si="489"/>
        <v>0</v>
      </c>
      <c r="AK266" s="1989" t="e">
        <f>#REF!/10^7</f>
        <v>#REF!</v>
      </c>
      <c r="AL266" s="2003">
        <f t="shared" si="490"/>
        <v>0</v>
      </c>
      <c r="AM266" s="1989" t="e">
        <f>#REF!/10^7</f>
        <v>#REF!</v>
      </c>
      <c r="AN266" s="2003">
        <f t="shared" si="491"/>
        <v>0</v>
      </c>
      <c r="AO266" s="1989" t="e">
        <f>#REF!/10^7</f>
        <v>#REF!</v>
      </c>
      <c r="AP266" s="1989" t="e">
        <f>#REF!/10^7</f>
        <v>#REF!</v>
      </c>
      <c r="AQ266" s="2002" t="e">
        <f t="shared" si="492"/>
        <v>#REF!</v>
      </c>
      <c r="AR266" s="1999" t="e">
        <f t="shared" si="543"/>
        <v>#REF!</v>
      </c>
      <c r="AS266" s="1993" t="e">
        <f>#REF!</f>
        <v>#REF!</v>
      </c>
      <c r="AT266" s="2003">
        <f t="shared" si="493"/>
        <v>0</v>
      </c>
      <c r="AU266" s="1989" t="e">
        <f>#REF!/10^7</f>
        <v>#REF!</v>
      </c>
      <c r="AV266" s="2003">
        <f t="shared" si="494"/>
        <v>0</v>
      </c>
      <c r="AW266" s="1989" t="e">
        <f>#REF!/10^7</f>
        <v>#REF!</v>
      </c>
      <c r="AX266" s="2003">
        <f t="shared" si="495"/>
        <v>0</v>
      </c>
      <c r="AY266" s="1989" t="e">
        <f>#REF!/10^7</f>
        <v>#REF!</v>
      </c>
      <c r="AZ266" s="1989" t="e">
        <f>#REF!/10^7</f>
        <v>#REF!</v>
      </c>
      <c r="BA266" s="2002" t="e">
        <f t="shared" si="496"/>
        <v>#REF!</v>
      </c>
      <c r="BB266" s="1999" t="e">
        <f t="shared" si="544"/>
        <v>#REF!</v>
      </c>
      <c r="BC266" s="1993" t="e">
        <f>#REF!</f>
        <v>#REF!</v>
      </c>
      <c r="BD266" s="2003">
        <f t="shared" si="497"/>
        <v>0</v>
      </c>
      <c r="BE266" s="1989" t="e">
        <f>#REF!/10^7</f>
        <v>#REF!</v>
      </c>
      <c r="BF266" s="2003">
        <f t="shared" si="498"/>
        <v>0</v>
      </c>
      <c r="BG266" s="1989" t="e">
        <f>#REF!/10^7</f>
        <v>#REF!</v>
      </c>
      <c r="BH266" s="2003">
        <f t="shared" si="499"/>
        <v>0</v>
      </c>
      <c r="BI266" s="1989" t="e">
        <f>#REF!/10^7</f>
        <v>#REF!</v>
      </c>
      <c r="BJ266" s="1989" t="e">
        <f>#REF!/10^7</f>
        <v>#REF!</v>
      </c>
      <c r="BK266" s="2002" t="e">
        <f t="shared" si="500"/>
        <v>#REF!</v>
      </c>
      <c r="BL266" s="1999" t="e">
        <f t="shared" si="535"/>
        <v>#REF!</v>
      </c>
      <c r="BM266" s="1993" t="e">
        <f>#REF!</f>
        <v>#REF!</v>
      </c>
      <c r="BN266" s="2003">
        <f t="shared" si="501"/>
        <v>0</v>
      </c>
      <c r="BO266" s="1989" t="e">
        <f>#REF!/10^7</f>
        <v>#REF!</v>
      </c>
      <c r="BP266" s="2003">
        <f t="shared" si="502"/>
        <v>0</v>
      </c>
      <c r="BQ266" s="1989" t="e">
        <f>#REF!/10^7</f>
        <v>#REF!</v>
      </c>
      <c r="BR266" s="2003">
        <f t="shared" si="503"/>
        <v>0</v>
      </c>
      <c r="BS266" s="1989" t="e">
        <f>#REF!/10^7</f>
        <v>#REF!</v>
      </c>
      <c r="BT266" s="1989" t="e">
        <f>#REF!/10^7</f>
        <v>#REF!</v>
      </c>
      <c r="BU266" s="2002" t="e">
        <f t="shared" si="504"/>
        <v>#REF!</v>
      </c>
      <c r="BV266" s="1999" t="e">
        <f t="shared" si="536"/>
        <v>#REF!</v>
      </c>
      <c r="BW266" s="1993" t="e">
        <f>#REF!</f>
        <v>#REF!</v>
      </c>
      <c r="BX266" s="2003">
        <f t="shared" si="505"/>
        <v>0</v>
      </c>
      <c r="BY266" s="1989" t="e">
        <f>#REF!/10^7</f>
        <v>#REF!</v>
      </c>
      <c r="BZ266" s="2003">
        <f t="shared" si="506"/>
        <v>0</v>
      </c>
      <c r="CA266" s="1989" t="e">
        <f>#REF!/10^7</f>
        <v>#REF!</v>
      </c>
      <c r="CB266" s="2003">
        <f t="shared" si="507"/>
        <v>0</v>
      </c>
      <c r="CC266" s="1989" t="e">
        <f>#REF!/10^7</f>
        <v>#REF!</v>
      </c>
      <c r="CD266" s="1989" t="e">
        <f>#REF!/10^7</f>
        <v>#REF!</v>
      </c>
      <c r="CE266" s="2002" t="e">
        <f t="shared" si="508"/>
        <v>#REF!</v>
      </c>
      <c r="CF266" s="1999" t="e">
        <f t="shared" si="537"/>
        <v>#REF!</v>
      </c>
      <c r="CG266" s="1993" t="e">
        <f>#REF!</f>
        <v>#REF!</v>
      </c>
      <c r="CH266" s="2003">
        <f t="shared" si="509"/>
        <v>0</v>
      </c>
      <c r="CI266" s="1989" t="e">
        <f>#REF!/10^7</f>
        <v>#REF!</v>
      </c>
      <c r="CJ266" s="2003">
        <f t="shared" si="510"/>
        <v>0</v>
      </c>
      <c r="CK266" s="1989" t="e">
        <f>#REF!/10^7</f>
        <v>#REF!</v>
      </c>
      <c r="CL266" s="2003">
        <f t="shared" si="511"/>
        <v>0</v>
      </c>
      <c r="CM266" s="1989" t="e">
        <f>#REF!/10^7</f>
        <v>#REF!</v>
      </c>
      <c r="CN266" s="1989" t="e">
        <f>#REF!/10^7</f>
        <v>#REF!</v>
      </c>
      <c r="CO266" s="2002" t="e">
        <f t="shared" si="512"/>
        <v>#REF!</v>
      </c>
      <c r="CP266" s="1999" t="e">
        <f t="shared" si="538"/>
        <v>#REF!</v>
      </c>
      <c r="CQ266" s="1993" t="e">
        <f>#REF!</f>
        <v>#REF!</v>
      </c>
      <c r="CR266" s="2003">
        <f t="shared" si="513"/>
        <v>0</v>
      </c>
      <c r="CS266" s="1989" t="e">
        <f>#REF!/10^7</f>
        <v>#REF!</v>
      </c>
      <c r="CT266" s="2003">
        <f t="shared" si="514"/>
        <v>0</v>
      </c>
      <c r="CU266" s="1989" t="e">
        <f>#REF!/10^7</f>
        <v>#REF!</v>
      </c>
      <c r="CV266" s="2003">
        <f t="shared" si="515"/>
        <v>0</v>
      </c>
      <c r="CW266" s="1989" t="e">
        <f>#REF!/10^7</f>
        <v>#REF!</v>
      </c>
      <c r="CX266" s="1989" t="e">
        <f>#REF!/10^7</f>
        <v>#REF!</v>
      </c>
      <c r="CY266" s="2002" t="e">
        <f t="shared" si="516"/>
        <v>#REF!</v>
      </c>
      <c r="CZ266" s="1999" t="e">
        <f t="shared" si="539"/>
        <v>#REF!</v>
      </c>
      <c r="DA266" s="1993" t="e">
        <f>#REF!</f>
        <v>#REF!</v>
      </c>
      <c r="DB266" s="2003">
        <f t="shared" si="517"/>
        <v>0</v>
      </c>
      <c r="DC266" s="1989" t="e">
        <f>#REF!/10^7</f>
        <v>#REF!</v>
      </c>
      <c r="DD266" s="2003">
        <f t="shared" si="518"/>
        <v>0</v>
      </c>
      <c r="DE266" s="1989" t="e">
        <f>#REF!/10^7</f>
        <v>#REF!</v>
      </c>
      <c r="DF266" s="2003">
        <f t="shared" si="519"/>
        <v>0</v>
      </c>
      <c r="DG266" s="1989" t="e">
        <f>#REF!/10^7</f>
        <v>#REF!</v>
      </c>
      <c r="DH266" s="1989" t="e">
        <f>#REF!/10^7</f>
        <v>#REF!</v>
      </c>
      <c r="DI266" s="2002" t="e">
        <f t="shared" si="520"/>
        <v>#REF!</v>
      </c>
      <c r="DJ266" s="1999" t="e">
        <f t="shared" si="545"/>
        <v>#REF!</v>
      </c>
      <c r="DK266" s="1993" t="e">
        <f>#REF!</f>
        <v>#REF!</v>
      </c>
      <c r="DL266" s="2003">
        <f t="shared" si="521"/>
        <v>0</v>
      </c>
      <c r="DM266" s="1989" t="e">
        <f>#REF!/10^7</f>
        <v>#REF!</v>
      </c>
      <c r="DN266" s="2003">
        <f t="shared" si="522"/>
        <v>0</v>
      </c>
      <c r="DO266" s="1989" t="e">
        <f>#REF!/10^7</f>
        <v>#REF!</v>
      </c>
      <c r="DP266" s="2003">
        <f t="shared" si="523"/>
        <v>0</v>
      </c>
      <c r="DQ266" s="1989" t="e">
        <f>#REF!/10^7</f>
        <v>#REF!</v>
      </c>
      <c r="DR266" s="1989" t="e">
        <f>#REF!/10^7</f>
        <v>#REF!</v>
      </c>
      <c r="DS266" s="2002" t="e">
        <f t="shared" si="524"/>
        <v>#REF!</v>
      </c>
      <c r="DT266" s="2004" t="e">
        <f t="shared" si="546"/>
        <v>#REF!</v>
      </c>
      <c r="DU266" s="1988" t="e">
        <f>#REF!</f>
        <v>#REF!</v>
      </c>
      <c r="DV266" s="2003">
        <f t="shared" si="525"/>
        <v>0</v>
      </c>
      <c r="DW266" s="1989" t="e">
        <f>#REF!/10^7</f>
        <v>#REF!</v>
      </c>
      <c r="DX266" s="2003">
        <f t="shared" si="526"/>
        <v>0</v>
      </c>
      <c r="DY266" s="1989" t="e">
        <f>#REF!/10^7</f>
        <v>#REF!</v>
      </c>
      <c r="DZ266" s="2003">
        <f t="shared" si="527"/>
        <v>0</v>
      </c>
      <c r="EA266" s="1989" t="e">
        <f>#REF!/10^7</f>
        <v>#REF!</v>
      </c>
      <c r="EB266" s="1989" t="e">
        <f>#REF!/10^7</f>
        <v>#REF!</v>
      </c>
      <c r="EC266" s="2002" t="e">
        <f t="shared" si="528"/>
        <v>#REF!</v>
      </c>
      <c r="ED266" s="1998" t="e">
        <f t="shared" si="547"/>
        <v>#REF!</v>
      </c>
      <c r="EE266" s="2005" t="e">
        <f t="shared" si="548"/>
        <v>#REF!</v>
      </c>
      <c r="EF266" s="2003">
        <f t="shared" si="529"/>
        <v>0</v>
      </c>
      <c r="EG266" s="1989" t="e">
        <f t="shared" si="549"/>
        <v>#REF!</v>
      </c>
      <c r="EH266" s="2003">
        <f t="shared" si="530"/>
        <v>0</v>
      </c>
      <c r="EI266" s="1989" t="e">
        <f t="shared" si="550"/>
        <v>#REF!</v>
      </c>
      <c r="EJ266" s="2003">
        <f t="shared" si="531"/>
        <v>0</v>
      </c>
      <c r="EK266" s="1989" t="e">
        <f t="shared" si="551"/>
        <v>#REF!</v>
      </c>
      <c r="EL266" s="1989" t="e">
        <f t="shared" si="551"/>
        <v>#REF!</v>
      </c>
      <c r="EM266" s="2006" t="e">
        <f t="shared" si="532"/>
        <v>#REF!</v>
      </c>
      <c r="EN266" s="1999" t="e">
        <f t="shared" si="552"/>
        <v>#REF!</v>
      </c>
      <c r="EO266" s="1613">
        <v>28.077493</v>
      </c>
      <c r="EP266" s="1613" t="e">
        <f>EA266-#REF!/10^7</f>
        <v>#REF!</v>
      </c>
      <c r="ER266" s="1612" t="e">
        <f t="shared" si="553"/>
        <v>#REF!</v>
      </c>
      <c r="EW266" s="1611" t="e">
        <v>#N/A</v>
      </c>
      <c r="EX266" s="1612" t="e">
        <v>#N/A</v>
      </c>
      <c r="EZ266" s="1650">
        <f t="shared" si="533"/>
        <v>0</v>
      </c>
    </row>
    <row r="267" spans="1:156" ht="21" customHeight="1">
      <c r="A267" s="1652">
        <v>77</v>
      </c>
      <c r="B267" s="1701" t="s">
        <v>1935</v>
      </c>
      <c r="C267" s="1662">
        <v>25</v>
      </c>
      <c r="D267" s="1646">
        <f t="shared" si="554"/>
        <v>100</v>
      </c>
      <c r="E267" s="1646"/>
      <c r="F267" s="1648" t="s">
        <v>1594</v>
      </c>
      <c r="G267" s="1648"/>
      <c r="H267" s="1648">
        <v>25</v>
      </c>
      <c r="I267" s="1648" t="s">
        <v>1717</v>
      </c>
      <c r="J267" s="1649">
        <v>2</v>
      </c>
      <c r="K267" s="1648"/>
      <c r="L267" s="1648"/>
      <c r="M267" s="1648"/>
      <c r="N267" s="1642"/>
      <c r="O267" s="2000" t="e">
        <f>#REF!</f>
        <v>#REF!</v>
      </c>
      <c r="P267" s="2003">
        <f t="shared" si="481"/>
        <v>0</v>
      </c>
      <c r="Q267" s="1989" t="e">
        <f>#REF!/10^7</f>
        <v>#REF!</v>
      </c>
      <c r="R267" s="2003">
        <f t="shared" si="482"/>
        <v>0</v>
      </c>
      <c r="S267" s="1989" t="e">
        <f>#REF!/10^7</f>
        <v>#REF!</v>
      </c>
      <c r="T267" s="2003">
        <f t="shared" si="483"/>
        <v>0</v>
      </c>
      <c r="U267" s="1989" t="e">
        <f>#REF!/10^7</f>
        <v>#REF!</v>
      </c>
      <c r="V267" s="1989" t="e">
        <f>#REF!/10^7</f>
        <v>#REF!</v>
      </c>
      <c r="W267" s="1989">
        <f t="shared" si="484"/>
        <v>0</v>
      </c>
      <c r="X267" s="1999" t="e">
        <f t="shared" si="541"/>
        <v>#REF!</v>
      </c>
      <c r="Y267" s="1993" t="e">
        <f>#REF!</f>
        <v>#REF!</v>
      </c>
      <c r="Z267" s="2003">
        <f t="shared" si="485"/>
        <v>0</v>
      </c>
      <c r="AA267" s="1989" t="e">
        <f>#REF!/10^7</f>
        <v>#REF!</v>
      </c>
      <c r="AB267" s="2003">
        <f t="shared" si="486"/>
        <v>0</v>
      </c>
      <c r="AC267" s="1989" t="e">
        <f>#REF!/10^7</f>
        <v>#REF!</v>
      </c>
      <c r="AD267" s="2003">
        <f t="shared" si="487"/>
        <v>0</v>
      </c>
      <c r="AE267" s="1989" t="e">
        <f>#REF!/10^7</f>
        <v>#REF!</v>
      </c>
      <c r="AF267" s="1989" t="e">
        <f>#REF!/10^7</f>
        <v>#REF!</v>
      </c>
      <c r="AG267" s="2002" t="e">
        <f t="shared" si="488"/>
        <v>#REF!</v>
      </c>
      <c r="AH267" s="1999" t="e">
        <f t="shared" si="542"/>
        <v>#REF!</v>
      </c>
      <c r="AI267" s="1993" t="e">
        <f>#REF!</f>
        <v>#REF!</v>
      </c>
      <c r="AJ267" s="2003">
        <f t="shared" si="489"/>
        <v>0</v>
      </c>
      <c r="AK267" s="1989" t="e">
        <f>#REF!/10^7</f>
        <v>#REF!</v>
      </c>
      <c r="AL267" s="2003">
        <f t="shared" si="490"/>
        <v>0</v>
      </c>
      <c r="AM267" s="1989" t="e">
        <f>#REF!/10^7</f>
        <v>#REF!</v>
      </c>
      <c r="AN267" s="2003">
        <f t="shared" si="491"/>
        <v>0</v>
      </c>
      <c r="AO267" s="1989" t="e">
        <f>#REF!/10^7</f>
        <v>#REF!</v>
      </c>
      <c r="AP267" s="1989" t="e">
        <f>#REF!/10^7</f>
        <v>#REF!</v>
      </c>
      <c r="AQ267" s="2002" t="e">
        <f t="shared" si="492"/>
        <v>#REF!</v>
      </c>
      <c r="AR267" s="1999" t="e">
        <f t="shared" si="543"/>
        <v>#REF!</v>
      </c>
      <c r="AS267" s="1993" t="e">
        <f>#REF!</f>
        <v>#REF!</v>
      </c>
      <c r="AT267" s="2003">
        <f t="shared" si="493"/>
        <v>0</v>
      </c>
      <c r="AU267" s="1989" t="e">
        <f>#REF!/10^7</f>
        <v>#REF!</v>
      </c>
      <c r="AV267" s="2003">
        <f t="shared" si="494"/>
        <v>0</v>
      </c>
      <c r="AW267" s="1989" t="e">
        <f>#REF!/10^7</f>
        <v>#REF!</v>
      </c>
      <c r="AX267" s="2003">
        <f t="shared" si="495"/>
        <v>0</v>
      </c>
      <c r="AY267" s="1989" t="e">
        <f>#REF!/10^7</f>
        <v>#REF!</v>
      </c>
      <c r="AZ267" s="1989" t="e">
        <f>#REF!/10^7</f>
        <v>#REF!</v>
      </c>
      <c r="BA267" s="2002" t="e">
        <f t="shared" si="496"/>
        <v>#REF!</v>
      </c>
      <c r="BB267" s="1999" t="e">
        <f t="shared" si="544"/>
        <v>#REF!</v>
      </c>
      <c r="BC267" s="1993" t="e">
        <f>#REF!</f>
        <v>#REF!</v>
      </c>
      <c r="BD267" s="2003">
        <f t="shared" si="497"/>
        <v>0</v>
      </c>
      <c r="BE267" s="1989" t="e">
        <f>#REF!/10^7</f>
        <v>#REF!</v>
      </c>
      <c r="BF267" s="2003">
        <f t="shared" si="498"/>
        <v>0</v>
      </c>
      <c r="BG267" s="1989" t="e">
        <f>#REF!/10^7</f>
        <v>#REF!</v>
      </c>
      <c r="BH267" s="2003">
        <f t="shared" si="499"/>
        <v>0</v>
      </c>
      <c r="BI267" s="1989" t="e">
        <f>#REF!/10^7</f>
        <v>#REF!</v>
      </c>
      <c r="BJ267" s="1989" t="e">
        <f>#REF!/10^7</f>
        <v>#REF!</v>
      </c>
      <c r="BK267" s="2002" t="e">
        <f t="shared" si="500"/>
        <v>#REF!</v>
      </c>
      <c r="BL267" s="1999" t="e">
        <f t="shared" si="535"/>
        <v>#REF!</v>
      </c>
      <c r="BM267" s="1993" t="e">
        <f>#REF!</f>
        <v>#REF!</v>
      </c>
      <c r="BN267" s="2003">
        <f t="shared" si="501"/>
        <v>0</v>
      </c>
      <c r="BO267" s="1989" t="e">
        <f>#REF!/10^7</f>
        <v>#REF!</v>
      </c>
      <c r="BP267" s="2003">
        <f t="shared" si="502"/>
        <v>0</v>
      </c>
      <c r="BQ267" s="1989" t="e">
        <f>#REF!/10^7</f>
        <v>#REF!</v>
      </c>
      <c r="BR267" s="2003">
        <f t="shared" si="503"/>
        <v>0</v>
      </c>
      <c r="BS267" s="1989" t="e">
        <f>#REF!/10^7</f>
        <v>#REF!</v>
      </c>
      <c r="BT267" s="1989" t="e">
        <f>#REF!/10^7</f>
        <v>#REF!</v>
      </c>
      <c r="BU267" s="2002" t="e">
        <f t="shared" si="504"/>
        <v>#REF!</v>
      </c>
      <c r="BV267" s="1999" t="e">
        <f t="shared" si="536"/>
        <v>#REF!</v>
      </c>
      <c r="BW267" s="1993" t="e">
        <f>#REF!</f>
        <v>#REF!</v>
      </c>
      <c r="BX267" s="2003">
        <f t="shared" si="505"/>
        <v>0</v>
      </c>
      <c r="BY267" s="1989" t="e">
        <f>#REF!/10^7</f>
        <v>#REF!</v>
      </c>
      <c r="BZ267" s="2003">
        <f t="shared" si="506"/>
        <v>0</v>
      </c>
      <c r="CA267" s="1989" t="e">
        <f>#REF!/10^7</f>
        <v>#REF!</v>
      </c>
      <c r="CB267" s="2003">
        <f t="shared" si="507"/>
        <v>0</v>
      </c>
      <c r="CC267" s="1989" t="e">
        <f>#REF!/10^7</f>
        <v>#REF!</v>
      </c>
      <c r="CD267" s="1989" t="e">
        <f>#REF!/10^7</f>
        <v>#REF!</v>
      </c>
      <c r="CE267" s="2002" t="e">
        <f t="shared" si="508"/>
        <v>#REF!</v>
      </c>
      <c r="CF267" s="1999" t="e">
        <f t="shared" si="537"/>
        <v>#REF!</v>
      </c>
      <c r="CG267" s="1993" t="e">
        <f>#REF!</f>
        <v>#REF!</v>
      </c>
      <c r="CH267" s="2003">
        <f t="shared" si="509"/>
        <v>0</v>
      </c>
      <c r="CI267" s="1989" t="e">
        <f>#REF!/10^7</f>
        <v>#REF!</v>
      </c>
      <c r="CJ267" s="2003">
        <f t="shared" si="510"/>
        <v>0</v>
      </c>
      <c r="CK267" s="1989" t="e">
        <f>#REF!/10^7</f>
        <v>#REF!</v>
      </c>
      <c r="CL267" s="2003">
        <f t="shared" si="511"/>
        <v>0</v>
      </c>
      <c r="CM267" s="1989" t="e">
        <f>#REF!/10^7</f>
        <v>#REF!</v>
      </c>
      <c r="CN267" s="1989" t="e">
        <f>#REF!/10^7</f>
        <v>#REF!</v>
      </c>
      <c r="CO267" s="2002" t="e">
        <f t="shared" si="512"/>
        <v>#REF!</v>
      </c>
      <c r="CP267" s="1999" t="e">
        <f t="shared" si="538"/>
        <v>#REF!</v>
      </c>
      <c r="CQ267" s="1993" t="e">
        <f>#REF!</f>
        <v>#REF!</v>
      </c>
      <c r="CR267" s="2003">
        <f t="shared" si="513"/>
        <v>0</v>
      </c>
      <c r="CS267" s="1989" t="e">
        <f>#REF!/10^7</f>
        <v>#REF!</v>
      </c>
      <c r="CT267" s="2003">
        <f t="shared" si="514"/>
        <v>0</v>
      </c>
      <c r="CU267" s="1989" t="e">
        <f>#REF!/10^7</f>
        <v>#REF!</v>
      </c>
      <c r="CV267" s="2003">
        <f t="shared" si="515"/>
        <v>0</v>
      </c>
      <c r="CW267" s="1989" t="e">
        <f>#REF!/10^7</f>
        <v>#REF!</v>
      </c>
      <c r="CX267" s="1989" t="e">
        <f>#REF!/10^7</f>
        <v>#REF!</v>
      </c>
      <c r="CY267" s="2002" t="e">
        <f t="shared" si="516"/>
        <v>#REF!</v>
      </c>
      <c r="CZ267" s="1999" t="e">
        <f t="shared" si="539"/>
        <v>#REF!</v>
      </c>
      <c r="DA267" s="1993" t="e">
        <f>#REF!</f>
        <v>#REF!</v>
      </c>
      <c r="DB267" s="2003">
        <f t="shared" si="517"/>
        <v>0</v>
      </c>
      <c r="DC267" s="1989" t="e">
        <f>#REF!/10^7</f>
        <v>#REF!</v>
      </c>
      <c r="DD267" s="2003">
        <f t="shared" si="518"/>
        <v>0</v>
      </c>
      <c r="DE267" s="1989" t="e">
        <f>#REF!/10^7</f>
        <v>#REF!</v>
      </c>
      <c r="DF267" s="2003">
        <f t="shared" si="519"/>
        <v>0</v>
      </c>
      <c r="DG267" s="1989" t="e">
        <f>#REF!/10^7</f>
        <v>#REF!</v>
      </c>
      <c r="DH267" s="1989" t="e">
        <f>#REF!/10^7</f>
        <v>#REF!</v>
      </c>
      <c r="DI267" s="2002" t="e">
        <f t="shared" si="520"/>
        <v>#REF!</v>
      </c>
      <c r="DJ267" s="1999" t="e">
        <f t="shared" si="545"/>
        <v>#REF!</v>
      </c>
      <c r="DK267" s="1993" t="e">
        <f>#REF!</f>
        <v>#REF!</v>
      </c>
      <c r="DL267" s="2003">
        <f t="shared" si="521"/>
        <v>0</v>
      </c>
      <c r="DM267" s="1989" t="e">
        <f>#REF!/10^7</f>
        <v>#REF!</v>
      </c>
      <c r="DN267" s="2003">
        <f t="shared" si="522"/>
        <v>0</v>
      </c>
      <c r="DO267" s="1989" t="e">
        <f>#REF!/10^7</f>
        <v>#REF!</v>
      </c>
      <c r="DP267" s="2003">
        <f t="shared" si="523"/>
        <v>0</v>
      </c>
      <c r="DQ267" s="1989" t="e">
        <f>#REF!/10^7</f>
        <v>#REF!</v>
      </c>
      <c r="DR267" s="1989" t="e">
        <f>#REF!/10^7</f>
        <v>#REF!</v>
      </c>
      <c r="DS267" s="2002" t="e">
        <f t="shared" si="524"/>
        <v>#REF!</v>
      </c>
      <c r="DT267" s="2004" t="e">
        <f t="shared" si="546"/>
        <v>#REF!</v>
      </c>
      <c r="DU267" s="1988" t="e">
        <f>#REF!</f>
        <v>#REF!</v>
      </c>
      <c r="DV267" s="2003">
        <f t="shared" si="525"/>
        <v>0</v>
      </c>
      <c r="DW267" s="1989" t="e">
        <f>#REF!/10^7</f>
        <v>#REF!</v>
      </c>
      <c r="DX267" s="2003">
        <f t="shared" si="526"/>
        <v>0</v>
      </c>
      <c r="DY267" s="1989" t="e">
        <f>#REF!/10^7</f>
        <v>#REF!</v>
      </c>
      <c r="DZ267" s="2003">
        <f t="shared" si="527"/>
        <v>0</v>
      </c>
      <c r="EA267" s="1989" t="e">
        <f>#REF!/10^7</f>
        <v>#REF!</v>
      </c>
      <c r="EB267" s="1989" t="e">
        <f>#REF!/10^7</f>
        <v>#REF!</v>
      </c>
      <c r="EC267" s="2002" t="e">
        <f t="shared" si="528"/>
        <v>#REF!</v>
      </c>
      <c r="ED267" s="1998" t="e">
        <f t="shared" si="547"/>
        <v>#REF!</v>
      </c>
      <c r="EE267" s="2005" t="e">
        <f t="shared" si="548"/>
        <v>#REF!</v>
      </c>
      <c r="EF267" s="2003">
        <f t="shared" si="529"/>
        <v>0</v>
      </c>
      <c r="EG267" s="1989" t="e">
        <f t="shared" si="549"/>
        <v>#REF!</v>
      </c>
      <c r="EH267" s="2003">
        <f t="shared" si="530"/>
        <v>0</v>
      </c>
      <c r="EI267" s="1989" t="e">
        <f t="shared" si="550"/>
        <v>#REF!</v>
      </c>
      <c r="EJ267" s="2003">
        <f t="shared" si="531"/>
        <v>0</v>
      </c>
      <c r="EK267" s="1989" t="e">
        <f t="shared" si="551"/>
        <v>#REF!</v>
      </c>
      <c r="EL267" s="1989" t="e">
        <f t="shared" si="551"/>
        <v>#REF!</v>
      </c>
      <c r="EM267" s="2006" t="e">
        <f t="shared" si="532"/>
        <v>#REF!</v>
      </c>
      <c r="EN267" s="1999" t="e">
        <f t="shared" si="552"/>
        <v>#REF!</v>
      </c>
      <c r="EO267" s="1613">
        <v>41.825688</v>
      </c>
      <c r="EP267" s="1613" t="e">
        <f>EA267-#REF!/10^7</f>
        <v>#REF!</v>
      </c>
      <c r="ER267" s="1612" t="e">
        <f t="shared" si="553"/>
        <v>#REF!</v>
      </c>
      <c r="EW267" s="1611" t="e">
        <v>#N/A</v>
      </c>
      <c r="EX267" s="1612" t="e">
        <v>#N/A</v>
      </c>
      <c r="EZ267" s="1650">
        <f t="shared" si="533"/>
        <v>0</v>
      </c>
    </row>
    <row r="268" spans="1:156" ht="21" customHeight="1">
      <c r="A268" s="1652">
        <v>78</v>
      </c>
      <c r="B268" s="1701" t="s">
        <v>1936</v>
      </c>
      <c r="C268" s="1662">
        <v>23</v>
      </c>
      <c r="D268" s="1646">
        <f t="shared" si="554"/>
        <v>100</v>
      </c>
      <c r="E268" s="1646"/>
      <c r="F268" s="1648" t="s">
        <v>1594</v>
      </c>
      <c r="G268" s="1648"/>
      <c r="H268" s="1648">
        <v>23</v>
      </c>
      <c r="I268" s="1648" t="s">
        <v>1717</v>
      </c>
      <c r="J268" s="1649">
        <v>2</v>
      </c>
      <c r="K268" s="1648"/>
      <c r="L268" s="1648"/>
      <c r="M268" s="1648"/>
      <c r="N268" s="1642"/>
      <c r="O268" s="2000" t="e">
        <f>#REF!</f>
        <v>#REF!</v>
      </c>
      <c r="P268" s="2003">
        <f t="shared" si="481"/>
        <v>0</v>
      </c>
      <c r="Q268" s="1989" t="e">
        <f>#REF!/10^7</f>
        <v>#REF!</v>
      </c>
      <c r="R268" s="2003">
        <f t="shared" si="482"/>
        <v>0</v>
      </c>
      <c r="S268" s="1989" t="e">
        <f>#REF!/10^7</f>
        <v>#REF!</v>
      </c>
      <c r="T268" s="2003">
        <f t="shared" si="483"/>
        <v>0</v>
      </c>
      <c r="U268" s="1989" t="e">
        <f>#REF!/10^7</f>
        <v>#REF!</v>
      </c>
      <c r="V268" s="1989" t="e">
        <f>#REF!/10^7</f>
        <v>#REF!</v>
      </c>
      <c r="W268" s="1989">
        <f t="shared" si="484"/>
        <v>0</v>
      </c>
      <c r="X268" s="1999" t="e">
        <f t="shared" si="541"/>
        <v>#REF!</v>
      </c>
      <c r="Y268" s="1993" t="e">
        <f>#REF!</f>
        <v>#REF!</v>
      </c>
      <c r="Z268" s="2003">
        <f t="shared" si="485"/>
        <v>0</v>
      </c>
      <c r="AA268" s="1989" t="e">
        <f>#REF!/10^7</f>
        <v>#REF!</v>
      </c>
      <c r="AB268" s="2003">
        <f t="shared" si="486"/>
        <v>0</v>
      </c>
      <c r="AC268" s="1989" t="e">
        <f>#REF!/10^7</f>
        <v>#REF!</v>
      </c>
      <c r="AD268" s="2003">
        <f t="shared" si="487"/>
        <v>0</v>
      </c>
      <c r="AE268" s="1989" t="e">
        <f>#REF!/10^7</f>
        <v>#REF!</v>
      </c>
      <c r="AF268" s="1989" t="e">
        <f>#REF!/10^7</f>
        <v>#REF!</v>
      </c>
      <c r="AG268" s="2002" t="e">
        <f t="shared" si="488"/>
        <v>#REF!</v>
      </c>
      <c r="AH268" s="1999" t="e">
        <f t="shared" si="542"/>
        <v>#REF!</v>
      </c>
      <c r="AI268" s="1993" t="e">
        <f>#REF!</f>
        <v>#REF!</v>
      </c>
      <c r="AJ268" s="2003">
        <f t="shared" si="489"/>
        <v>0</v>
      </c>
      <c r="AK268" s="1989" t="e">
        <f>#REF!/10^7</f>
        <v>#REF!</v>
      </c>
      <c r="AL268" s="2003">
        <f t="shared" si="490"/>
        <v>0</v>
      </c>
      <c r="AM268" s="1989" t="e">
        <f>#REF!/10^7</f>
        <v>#REF!</v>
      </c>
      <c r="AN268" s="2003">
        <f t="shared" si="491"/>
        <v>0</v>
      </c>
      <c r="AO268" s="1989" t="e">
        <f>#REF!/10^7</f>
        <v>#REF!</v>
      </c>
      <c r="AP268" s="1989" t="e">
        <f>#REF!/10^7</f>
        <v>#REF!</v>
      </c>
      <c r="AQ268" s="2002" t="e">
        <f t="shared" si="492"/>
        <v>#REF!</v>
      </c>
      <c r="AR268" s="1999" t="e">
        <f t="shared" si="543"/>
        <v>#REF!</v>
      </c>
      <c r="AS268" s="1993" t="e">
        <f>#REF!</f>
        <v>#REF!</v>
      </c>
      <c r="AT268" s="2003">
        <f t="shared" si="493"/>
        <v>0</v>
      </c>
      <c r="AU268" s="1989" t="e">
        <f>#REF!/10^7</f>
        <v>#REF!</v>
      </c>
      <c r="AV268" s="2003">
        <f t="shared" si="494"/>
        <v>0</v>
      </c>
      <c r="AW268" s="1989" t="e">
        <f>#REF!/10^7</f>
        <v>#REF!</v>
      </c>
      <c r="AX268" s="2003">
        <f t="shared" si="495"/>
        <v>0</v>
      </c>
      <c r="AY268" s="1989" t="e">
        <f>#REF!/10^7</f>
        <v>#REF!</v>
      </c>
      <c r="AZ268" s="1989" t="e">
        <f>#REF!/10^7</f>
        <v>#REF!</v>
      </c>
      <c r="BA268" s="2002" t="e">
        <f t="shared" si="496"/>
        <v>#REF!</v>
      </c>
      <c r="BB268" s="1999" t="e">
        <f t="shared" si="544"/>
        <v>#REF!</v>
      </c>
      <c r="BC268" s="1993" t="e">
        <f>#REF!</f>
        <v>#REF!</v>
      </c>
      <c r="BD268" s="2003">
        <f t="shared" si="497"/>
        <v>0</v>
      </c>
      <c r="BE268" s="1989" t="e">
        <f>#REF!/10^7</f>
        <v>#REF!</v>
      </c>
      <c r="BF268" s="2003">
        <f t="shared" si="498"/>
        <v>0</v>
      </c>
      <c r="BG268" s="1989" t="e">
        <f>#REF!/10^7</f>
        <v>#REF!</v>
      </c>
      <c r="BH268" s="2003">
        <f t="shared" si="499"/>
        <v>0</v>
      </c>
      <c r="BI268" s="1989" t="e">
        <f>#REF!/10^7</f>
        <v>#REF!</v>
      </c>
      <c r="BJ268" s="1989" t="e">
        <f>#REF!/10^7</f>
        <v>#REF!</v>
      </c>
      <c r="BK268" s="2002" t="e">
        <f t="shared" si="500"/>
        <v>#REF!</v>
      </c>
      <c r="BL268" s="1999" t="e">
        <f t="shared" si="535"/>
        <v>#REF!</v>
      </c>
      <c r="BM268" s="1993" t="e">
        <f>#REF!</f>
        <v>#REF!</v>
      </c>
      <c r="BN268" s="2003">
        <f t="shared" si="501"/>
        <v>0</v>
      </c>
      <c r="BO268" s="1989" t="e">
        <f>#REF!/10^7</f>
        <v>#REF!</v>
      </c>
      <c r="BP268" s="2003">
        <f t="shared" si="502"/>
        <v>0</v>
      </c>
      <c r="BQ268" s="1989" t="e">
        <f>#REF!/10^7</f>
        <v>#REF!</v>
      </c>
      <c r="BR268" s="2003">
        <f t="shared" si="503"/>
        <v>0</v>
      </c>
      <c r="BS268" s="1989" t="e">
        <f>#REF!/10^7</f>
        <v>#REF!</v>
      </c>
      <c r="BT268" s="1989" t="e">
        <f>#REF!/10^7</f>
        <v>#REF!</v>
      </c>
      <c r="BU268" s="2002" t="e">
        <f t="shared" si="504"/>
        <v>#REF!</v>
      </c>
      <c r="BV268" s="1999" t="e">
        <f t="shared" si="536"/>
        <v>#REF!</v>
      </c>
      <c r="BW268" s="1993" t="e">
        <f>#REF!</f>
        <v>#REF!</v>
      </c>
      <c r="BX268" s="2003">
        <f t="shared" si="505"/>
        <v>0</v>
      </c>
      <c r="BY268" s="1989" t="e">
        <f>#REF!/10^7</f>
        <v>#REF!</v>
      </c>
      <c r="BZ268" s="2003">
        <f t="shared" si="506"/>
        <v>0</v>
      </c>
      <c r="CA268" s="1989" t="e">
        <f>#REF!/10^7</f>
        <v>#REF!</v>
      </c>
      <c r="CB268" s="2003">
        <f t="shared" si="507"/>
        <v>0</v>
      </c>
      <c r="CC268" s="1989" t="e">
        <f>#REF!/10^7</f>
        <v>#REF!</v>
      </c>
      <c r="CD268" s="1989" t="e">
        <f>#REF!/10^7</f>
        <v>#REF!</v>
      </c>
      <c r="CE268" s="2002" t="e">
        <f t="shared" si="508"/>
        <v>#REF!</v>
      </c>
      <c r="CF268" s="1999" t="e">
        <f t="shared" si="537"/>
        <v>#REF!</v>
      </c>
      <c r="CG268" s="1993" t="e">
        <f>#REF!</f>
        <v>#REF!</v>
      </c>
      <c r="CH268" s="2003">
        <f t="shared" si="509"/>
        <v>0</v>
      </c>
      <c r="CI268" s="1989" t="e">
        <f>#REF!/10^7</f>
        <v>#REF!</v>
      </c>
      <c r="CJ268" s="2003">
        <f t="shared" si="510"/>
        <v>0</v>
      </c>
      <c r="CK268" s="1989" t="e">
        <f>#REF!/10^7</f>
        <v>#REF!</v>
      </c>
      <c r="CL268" s="2003">
        <f t="shared" si="511"/>
        <v>0</v>
      </c>
      <c r="CM268" s="1989" t="e">
        <f>#REF!/10^7</f>
        <v>#REF!</v>
      </c>
      <c r="CN268" s="1989" t="e">
        <f>#REF!/10^7</f>
        <v>#REF!</v>
      </c>
      <c r="CO268" s="2002" t="e">
        <f t="shared" si="512"/>
        <v>#REF!</v>
      </c>
      <c r="CP268" s="1999" t="e">
        <f t="shared" si="538"/>
        <v>#REF!</v>
      </c>
      <c r="CQ268" s="1993" t="e">
        <f>#REF!</f>
        <v>#REF!</v>
      </c>
      <c r="CR268" s="2003">
        <f t="shared" si="513"/>
        <v>0</v>
      </c>
      <c r="CS268" s="1989" t="e">
        <f>#REF!/10^7</f>
        <v>#REF!</v>
      </c>
      <c r="CT268" s="2003">
        <f t="shared" si="514"/>
        <v>0</v>
      </c>
      <c r="CU268" s="1989" t="e">
        <f>#REF!/10^7</f>
        <v>#REF!</v>
      </c>
      <c r="CV268" s="2003">
        <f t="shared" si="515"/>
        <v>0</v>
      </c>
      <c r="CW268" s="1989" t="e">
        <f>#REF!/10^7</f>
        <v>#REF!</v>
      </c>
      <c r="CX268" s="1989" t="e">
        <f>#REF!/10^7</f>
        <v>#REF!</v>
      </c>
      <c r="CY268" s="2002" t="e">
        <f t="shared" si="516"/>
        <v>#REF!</v>
      </c>
      <c r="CZ268" s="1999" t="e">
        <f t="shared" si="539"/>
        <v>#REF!</v>
      </c>
      <c r="DA268" s="1993" t="e">
        <f>#REF!</f>
        <v>#REF!</v>
      </c>
      <c r="DB268" s="2003">
        <f t="shared" si="517"/>
        <v>0</v>
      </c>
      <c r="DC268" s="1989" t="e">
        <f>#REF!/10^7</f>
        <v>#REF!</v>
      </c>
      <c r="DD268" s="2003">
        <f t="shared" si="518"/>
        <v>0</v>
      </c>
      <c r="DE268" s="1989" t="e">
        <f>#REF!/10^7</f>
        <v>#REF!</v>
      </c>
      <c r="DF268" s="2003">
        <f t="shared" si="519"/>
        <v>0</v>
      </c>
      <c r="DG268" s="1989" t="e">
        <f>#REF!/10^7</f>
        <v>#REF!</v>
      </c>
      <c r="DH268" s="1989" t="e">
        <f>#REF!/10^7</f>
        <v>#REF!</v>
      </c>
      <c r="DI268" s="2002" t="e">
        <f t="shared" si="520"/>
        <v>#REF!</v>
      </c>
      <c r="DJ268" s="1999" t="e">
        <f t="shared" si="545"/>
        <v>#REF!</v>
      </c>
      <c r="DK268" s="1993" t="e">
        <f>#REF!</f>
        <v>#REF!</v>
      </c>
      <c r="DL268" s="2003">
        <f t="shared" si="521"/>
        <v>0</v>
      </c>
      <c r="DM268" s="1989" t="e">
        <f>#REF!/10^7</f>
        <v>#REF!</v>
      </c>
      <c r="DN268" s="2003">
        <f t="shared" si="522"/>
        <v>0</v>
      </c>
      <c r="DO268" s="1989" t="e">
        <f>#REF!/10^7</f>
        <v>#REF!</v>
      </c>
      <c r="DP268" s="2003">
        <f t="shared" si="523"/>
        <v>0</v>
      </c>
      <c r="DQ268" s="1989" t="e">
        <f>#REF!/10^7</f>
        <v>#REF!</v>
      </c>
      <c r="DR268" s="1989" t="e">
        <f>#REF!/10^7</f>
        <v>#REF!</v>
      </c>
      <c r="DS268" s="2002" t="e">
        <f t="shared" si="524"/>
        <v>#REF!</v>
      </c>
      <c r="DT268" s="2004" t="e">
        <f t="shared" si="546"/>
        <v>#REF!</v>
      </c>
      <c r="DU268" s="1988" t="e">
        <f>#REF!</f>
        <v>#REF!</v>
      </c>
      <c r="DV268" s="2003">
        <f t="shared" si="525"/>
        <v>0</v>
      </c>
      <c r="DW268" s="1989" t="e">
        <f>#REF!/10^7</f>
        <v>#REF!</v>
      </c>
      <c r="DX268" s="2003">
        <f t="shared" si="526"/>
        <v>0</v>
      </c>
      <c r="DY268" s="1989" t="e">
        <f>#REF!/10^7</f>
        <v>#REF!</v>
      </c>
      <c r="DZ268" s="2003">
        <f t="shared" si="527"/>
        <v>0</v>
      </c>
      <c r="EA268" s="1989" t="e">
        <f>#REF!/10^7</f>
        <v>#REF!</v>
      </c>
      <c r="EB268" s="1989" t="e">
        <f>#REF!/10^7</f>
        <v>#REF!</v>
      </c>
      <c r="EC268" s="2002" t="e">
        <f t="shared" si="528"/>
        <v>#REF!</v>
      </c>
      <c r="ED268" s="1998" t="e">
        <f t="shared" si="547"/>
        <v>#REF!</v>
      </c>
      <c r="EE268" s="2005" t="e">
        <f t="shared" si="548"/>
        <v>#REF!</v>
      </c>
      <c r="EF268" s="2003">
        <f t="shared" si="529"/>
        <v>0</v>
      </c>
      <c r="EG268" s="1989" t="e">
        <f t="shared" si="549"/>
        <v>#REF!</v>
      </c>
      <c r="EH268" s="2003">
        <f t="shared" si="530"/>
        <v>0</v>
      </c>
      <c r="EI268" s="1989" t="e">
        <f t="shared" si="550"/>
        <v>#REF!</v>
      </c>
      <c r="EJ268" s="2003">
        <f t="shared" si="531"/>
        <v>0</v>
      </c>
      <c r="EK268" s="1989" t="e">
        <f t="shared" si="551"/>
        <v>#REF!</v>
      </c>
      <c r="EL268" s="1989" t="e">
        <f t="shared" si="551"/>
        <v>#REF!</v>
      </c>
      <c r="EM268" s="2006" t="e">
        <f t="shared" si="532"/>
        <v>#REF!</v>
      </c>
      <c r="EN268" s="1999" t="e">
        <f t="shared" si="552"/>
        <v>#REF!</v>
      </c>
      <c r="EO268" s="1613">
        <v>56.437381999999999</v>
      </c>
      <c r="EP268" s="1613" t="e">
        <f>EA268-#REF!/10^7</f>
        <v>#REF!</v>
      </c>
      <c r="ER268" s="1612" t="e">
        <f t="shared" si="553"/>
        <v>#REF!</v>
      </c>
      <c r="EW268" s="1611" t="e">
        <v>#N/A</v>
      </c>
      <c r="EX268" s="1612" t="e">
        <v>#N/A</v>
      </c>
      <c r="EZ268" s="1650">
        <f t="shared" si="533"/>
        <v>0</v>
      </c>
    </row>
    <row r="269" spans="1:156" ht="21" customHeight="1">
      <c r="A269" s="1652">
        <v>79</v>
      </c>
      <c r="B269" s="1701" t="s">
        <v>1937</v>
      </c>
      <c r="C269" s="1662">
        <v>25</v>
      </c>
      <c r="D269" s="1646">
        <f t="shared" si="554"/>
        <v>100</v>
      </c>
      <c r="E269" s="1646"/>
      <c r="F269" s="1648" t="s">
        <v>1594</v>
      </c>
      <c r="G269" s="1648"/>
      <c r="H269" s="1648">
        <v>25</v>
      </c>
      <c r="I269" s="1648" t="s">
        <v>1717</v>
      </c>
      <c r="J269" s="1649">
        <v>2</v>
      </c>
      <c r="K269" s="1648"/>
      <c r="L269" s="1648"/>
      <c r="M269" s="1648"/>
      <c r="N269" s="1642"/>
      <c r="O269" s="2000" t="e">
        <f>#REF!</f>
        <v>#REF!</v>
      </c>
      <c r="P269" s="2003">
        <f t="shared" ref="P269:P332" si="555">IFERROR(Q269/O269*10,0)</f>
        <v>0</v>
      </c>
      <c r="Q269" s="1989" t="e">
        <f>#REF!/10^7</f>
        <v>#REF!</v>
      </c>
      <c r="R269" s="2003">
        <f t="shared" ref="R269:R332" si="556">IFERROR($S269/O269*10,0)</f>
        <v>0</v>
      </c>
      <c r="S269" s="1989" t="e">
        <f>#REF!/10^7</f>
        <v>#REF!</v>
      </c>
      <c r="T269" s="2003">
        <f t="shared" ref="T269:T332" si="557">IFERROR(U269/$O269*10,0)</f>
        <v>0</v>
      </c>
      <c r="U269" s="1989" t="e">
        <f>#REF!/10^7</f>
        <v>#REF!</v>
      </c>
      <c r="V269" s="1989" t="e">
        <f>#REF!/10^7</f>
        <v>#REF!</v>
      </c>
      <c r="W269" s="1989">
        <f t="shared" ref="W269:W332" si="558">IFERROR(X269/(O269)*10,0)</f>
        <v>0</v>
      </c>
      <c r="X269" s="1999" t="e">
        <f t="shared" si="541"/>
        <v>#REF!</v>
      </c>
      <c r="Y269" s="1993" t="e">
        <f>#REF!</f>
        <v>#REF!</v>
      </c>
      <c r="Z269" s="2003">
        <f t="shared" ref="Z269:Z332" si="559">IFERROR(AA269/$Y269*10,0)</f>
        <v>0</v>
      </c>
      <c r="AA269" s="1989" t="e">
        <f>#REF!/10^7</f>
        <v>#REF!</v>
      </c>
      <c r="AB269" s="2003">
        <f t="shared" ref="AB269:AB332" si="560">IFERROR(AC269/$Y269*10,0)</f>
        <v>0</v>
      </c>
      <c r="AC269" s="1989" t="e">
        <f>#REF!/10^7</f>
        <v>#REF!</v>
      </c>
      <c r="AD269" s="2003">
        <f t="shared" ref="AD269:AD332" si="561">IFERROR(AE269/$Y269*10,0)</f>
        <v>0</v>
      </c>
      <c r="AE269" s="1989" t="e">
        <f>#REF!/10^7</f>
        <v>#REF!</v>
      </c>
      <c r="AF269" s="1989" t="e">
        <f>#REF!/10^7</f>
        <v>#REF!</v>
      </c>
      <c r="AG269" s="2002" t="e">
        <f t="shared" ref="AG269:AG332" si="562">IF(Y269=0,0,(AH269/(Y269)*10))</f>
        <v>#REF!</v>
      </c>
      <c r="AH269" s="1999" t="e">
        <f t="shared" si="542"/>
        <v>#REF!</v>
      </c>
      <c r="AI269" s="1993" t="e">
        <f>#REF!</f>
        <v>#REF!</v>
      </c>
      <c r="AJ269" s="2003">
        <f t="shared" ref="AJ269:AJ332" si="563">IFERROR(AK269/$AI269*10,0)</f>
        <v>0</v>
      </c>
      <c r="AK269" s="1989" t="e">
        <f>#REF!/10^7</f>
        <v>#REF!</v>
      </c>
      <c r="AL269" s="2003">
        <f t="shared" ref="AL269:AL332" si="564">IFERROR(AM269/$AI269*10,0)</f>
        <v>0</v>
      </c>
      <c r="AM269" s="1989" t="e">
        <f>#REF!/10^7</f>
        <v>#REF!</v>
      </c>
      <c r="AN269" s="2003">
        <f t="shared" ref="AN269:AN332" si="565">IFERROR(AO269/$AI269*10,0)</f>
        <v>0</v>
      </c>
      <c r="AO269" s="1989" t="e">
        <f>#REF!/10^7</f>
        <v>#REF!</v>
      </c>
      <c r="AP269" s="1989" t="e">
        <f>#REF!/10^7</f>
        <v>#REF!</v>
      </c>
      <c r="AQ269" s="2002" t="e">
        <f t="shared" ref="AQ269:AQ332" si="566">IF(AI269=0,0,(AR269/(AI269)*10))</f>
        <v>#REF!</v>
      </c>
      <c r="AR269" s="1999" t="e">
        <f t="shared" si="543"/>
        <v>#REF!</v>
      </c>
      <c r="AS269" s="1993" t="e">
        <f>#REF!</f>
        <v>#REF!</v>
      </c>
      <c r="AT269" s="2003">
        <f t="shared" ref="AT269:AT332" si="567">IFERROR(AU269/$AS269*10,0)</f>
        <v>0</v>
      </c>
      <c r="AU269" s="1989" t="e">
        <f>#REF!/10^7</f>
        <v>#REF!</v>
      </c>
      <c r="AV269" s="2003">
        <f t="shared" ref="AV269:AV332" si="568">IFERROR(AW269/$AS269*10,0)</f>
        <v>0</v>
      </c>
      <c r="AW269" s="1989" t="e">
        <f>#REF!/10^7</f>
        <v>#REF!</v>
      </c>
      <c r="AX269" s="2003">
        <f t="shared" ref="AX269:AX332" si="569">IFERROR(AY269/$AS269*10,0)</f>
        <v>0</v>
      </c>
      <c r="AY269" s="1989" t="e">
        <f>#REF!/10^7</f>
        <v>#REF!</v>
      </c>
      <c r="AZ269" s="1989" t="e">
        <f>#REF!/10^7</f>
        <v>#REF!</v>
      </c>
      <c r="BA269" s="2002" t="e">
        <f t="shared" ref="BA269:BA332" si="570">IF(AS269=0,0,(BB269/(AS269)*10))</f>
        <v>#REF!</v>
      </c>
      <c r="BB269" s="1999" t="e">
        <f t="shared" si="544"/>
        <v>#REF!</v>
      </c>
      <c r="BC269" s="1993" t="e">
        <f>#REF!</f>
        <v>#REF!</v>
      </c>
      <c r="BD269" s="2003">
        <f t="shared" ref="BD269:BD332" si="571">IFERROR(BE269/$BC269*10,0)</f>
        <v>0</v>
      </c>
      <c r="BE269" s="1989" t="e">
        <f>#REF!/10^7</f>
        <v>#REF!</v>
      </c>
      <c r="BF269" s="2003">
        <f t="shared" ref="BF269:BF332" si="572">IFERROR(BG269/$BC269*10,0)</f>
        <v>0</v>
      </c>
      <c r="BG269" s="1989" t="e">
        <f>#REF!/10^7</f>
        <v>#REF!</v>
      </c>
      <c r="BH269" s="2003">
        <f t="shared" ref="BH269:BH332" si="573">IFERROR(BI269/$BC269*10,0)</f>
        <v>0</v>
      </c>
      <c r="BI269" s="1989" t="e">
        <f>#REF!/10^7</f>
        <v>#REF!</v>
      </c>
      <c r="BJ269" s="1989" t="e">
        <f>#REF!/10^7</f>
        <v>#REF!</v>
      </c>
      <c r="BK269" s="2002" t="e">
        <f t="shared" ref="BK269:BK332" si="574">IF(BC269=0,0,(BL269/(BC269)*10))</f>
        <v>#REF!</v>
      </c>
      <c r="BL269" s="1999" t="e">
        <f t="shared" si="535"/>
        <v>#REF!</v>
      </c>
      <c r="BM269" s="1993" t="e">
        <f>#REF!</f>
        <v>#REF!</v>
      </c>
      <c r="BN269" s="2003">
        <f t="shared" ref="BN269:BN332" si="575">IFERROR(BO269/$BM269*10,0)</f>
        <v>0</v>
      </c>
      <c r="BO269" s="1989" t="e">
        <f>#REF!/10^7</f>
        <v>#REF!</v>
      </c>
      <c r="BP269" s="2003">
        <f t="shared" ref="BP269:BP332" si="576">IFERROR(BQ269/$BM269*10,0)</f>
        <v>0</v>
      </c>
      <c r="BQ269" s="1989" t="e">
        <f>#REF!/10^7</f>
        <v>#REF!</v>
      </c>
      <c r="BR269" s="2003">
        <f t="shared" ref="BR269:BR332" si="577">IFERROR(BS269/$BM269*10,0)</f>
        <v>0</v>
      </c>
      <c r="BS269" s="1989" t="e">
        <f>#REF!/10^7</f>
        <v>#REF!</v>
      </c>
      <c r="BT269" s="1989" t="e">
        <f>#REF!/10^7</f>
        <v>#REF!</v>
      </c>
      <c r="BU269" s="2002" t="e">
        <f t="shared" ref="BU269:BU332" si="578">IF(BM269=0,0,(BV269/(BM269)*10))</f>
        <v>#REF!</v>
      </c>
      <c r="BV269" s="1999" t="e">
        <f t="shared" si="536"/>
        <v>#REF!</v>
      </c>
      <c r="BW269" s="1993" t="e">
        <f>#REF!</f>
        <v>#REF!</v>
      </c>
      <c r="BX269" s="2003">
        <f t="shared" ref="BX269:BX332" si="579">IFERROR(BY269/$BW269*10,0)</f>
        <v>0</v>
      </c>
      <c r="BY269" s="1989" t="e">
        <f>#REF!/10^7</f>
        <v>#REF!</v>
      </c>
      <c r="BZ269" s="2003">
        <f t="shared" ref="BZ269:BZ332" si="580">IFERROR(CA269/$BW269*10,0)</f>
        <v>0</v>
      </c>
      <c r="CA269" s="1989" t="e">
        <f>#REF!/10^7</f>
        <v>#REF!</v>
      </c>
      <c r="CB269" s="2003">
        <f t="shared" ref="CB269:CB332" si="581">IFERROR(CC269/$BW269*10,0)</f>
        <v>0</v>
      </c>
      <c r="CC269" s="1989" t="e">
        <f>#REF!/10^7</f>
        <v>#REF!</v>
      </c>
      <c r="CD269" s="1989" t="e">
        <f>#REF!/10^7</f>
        <v>#REF!</v>
      </c>
      <c r="CE269" s="2002" t="e">
        <f t="shared" ref="CE269:CE332" si="582">IF(BW269=0,0,(CF269/(BW269)*10))</f>
        <v>#REF!</v>
      </c>
      <c r="CF269" s="1999" t="e">
        <f t="shared" si="537"/>
        <v>#REF!</v>
      </c>
      <c r="CG269" s="1993" t="e">
        <f>#REF!</f>
        <v>#REF!</v>
      </c>
      <c r="CH269" s="2003">
        <f t="shared" ref="CH269:CH332" si="583">IFERROR(CI269/$CG269*10,0)</f>
        <v>0</v>
      </c>
      <c r="CI269" s="1989" t="e">
        <f>#REF!/10^7</f>
        <v>#REF!</v>
      </c>
      <c r="CJ269" s="2003">
        <f t="shared" ref="CJ269:CJ332" si="584">IFERROR(CK269/$CG269*10,0)</f>
        <v>0</v>
      </c>
      <c r="CK269" s="1989" t="e">
        <f>#REF!/10^7</f>
        <v>#REF!</v>
      </c>
      <c r="CL269" s="2003">
        <f t="shared" ref="CL269:CL332" si="585">IFERROR(CM269/$CG269*10,0)</f>
        <v>0</v>
      </c>
      <c r="CM269" s="1989" t="e">
        <f>#REF!/10^7</f>
        <v>#REF!</v>
      </c>
      <c r="CN269" s="1989" t="e">
        <f>#REF!/10^7</f>
        <v>#REF!</v>
      </c>
      <c r="CO269" s="2002" t="e">
        <f t="shared" ref="CO269:CO332" si="586">IF(CG269=0,0,(CP269/(CG269)*10))</f>
        <v>#REF!</v>
      </c>
      <c r="CP269" s="1999" t="e">
        <f t="shared" si="538"/>
        <v>#REF!</v>
      </c>
      <c r="CQ269" s="1993" t="e">
        <f>#REF!</f>
        <v>#REF!</v>
      </c>
      <c r="CR269" s="2003">
        <f t="shared" ref="CR269:CR332" si="587">IFERROR(CS269/$CQ269*10,0)</f>
        <v>0</v>
      </c>
      <c r="CS269" s="1989" t="e">
        <f>#REF!/10^7</f>
        <v>#REF!</v>
      </c>
      <c r="CT269" s="2003">
        <f t="shared" ref="CT269:CT332" si="588">IFERROR(CU269/$CQ269*10,0)</f>
        <v>0</v>
      </c>
      <c r="CU269" s="1989" t="e">
        <f>#REF!/10^7</f>
        <v>#REF!</v>
      </c>
      <c r="CV269" s="2003">
        <f t="shared" ref="CV269:CV332" si="589">IFERROR(CW269/$CQ269*10,0)</f>
        <v>0</v>
      </c>
      <c r="CW269" s="1989" t="e">
        <f>#REF!/10^7</f>
        <v>#REF!</v>
      </c>
      <c r="CX269" s="1989" t="e">
        <f>#REF!/10^7</f>
        <v>#REF!</v>
      </c>
      <c r="CY269" s="2002" t="e">
        <f t="shared" ref="CY269:CY332" si="590">IF(CQ269=0,0,(CZ269/(CQ269)*10))</f>
        <v>#REF!</v>
      </c>
      <c r="CZ269" s="1999" t="e">
        <f t="shared" si="539"/>
        <v>#REF!</v>
      </c>
      <c r="DA269" s="1993" t="e">
        <f>#REF!</f>
        <v>#REF!</v>
      </c>
      <c r="DB269" s="2003">
        <f t="shared" ref="DB269:DB332" si="591">IFERROR(DC269/$DA269*10,0)</f>
        <v>0</v>
      </c>
      <c r="DC269" s="1989" t="e">
        <f>#REF!/10^7</f>
        <v>#REF!</v>
      </c>
      <c r="DD269" s="2003">
        <f t="shared" ref="DD269:DD332" si="592">IFERROR(DE269/$DA269*10,0)</f>
        <v>0</v>
      </c>
      <c r="DE269" s="1989" t="e">
        <f>#REF!/10^7</f>
        <v>#REF!</v>
      </c>
      <c r="DF269" s="2003">
        <f t="shared" ref="DF269:DF332" si="593">IFERROR(DG269/$DA269*10,0)</f>
        <v>0</v>
      </c>
      <c r="DG269" s="1989" t="e">
        <f>#REF!/10^7</f>
        <v>#REF!</v>
      </c>
      <c r="DH269" s="1989" t="e">
        <f>#REF!/10^7</f>
        <v>#REF!</v>
      </c>
      <c r="DI269" s="2002" t="e">
        <f t="shared" ref="DI269:DI332" si="594">IF(DA269=0,0,(DJ269/(DA269)*10))</f>
        <v>#REF!</v>
      </c>
      <c r="DJ269" s="1999" t="e">
        <f t="shared" si="545"/>
        <v>#REF!</v>
      </c>
      <c r="DK269" s="1993" t="e">
        <f>#REF!</f>
        <v>#REF!</v>
      </c>
      <c r="DL269" s="2003">
        <f t="shared" ref="DL269:DL332" si="595">IFERROR(DM269/$DK269*10,0)</f>
        <v>0</v>
      </c>
      <c r="DM269" s="1989" t="e">
        <f>#REF!/10^7</f>
        <v>#REF!</v>
      </c>
      <c r="DN269" s="2003">
        <f t="shared" ref="DN269:DN332" si="596">IFERROR(DO269/$DK269*10,0)</f>
        <v>0</v>
      </c>
      <c r="DO269" s="1989" t="e">
        <f>#REF!/10^7</f>
        <v>#REF!</v>
      </c>
      <c r="DP269" s="2003">
        <f t="shared" ref="DP269:DP332" si="597">IFERROR(DQ269/$DK269*10,0)</f>
        <v>0</v>
      </c>
      <c r="DQ269" s="1989" t="e">
        <f>#REF!/10^7</f>
        <v>#REF!</v>
      </c>
      <c r="DR269" s="1989" t="e">
        <f>#REF!/10^7</f>
        <v>#REF!</v>
      </c>
      <c r="DS269" s="2002" t="e">
        <f t="shared" ref="DS269:DS332" si="598">IF(DK269=0,0,(DT269/(DK269)*10))</f>
        <v>#REF!</v>
      </c>
      <c r="DT269" s="2004" t="e">
        <f t="shared" si="546"/>
        <v>#REF!</v>
      </c>
      <c r="DU269" s="1988" t="e">
        <f>#REF!</f>
        <v>#REF!</v>
      </c>
      <c r="DV269" s="2003">
        <f t="shared" ref="DV269:DV332" si="599">IFERROR(DW269/$DU269*10,0)</f>
        <v>0</v>
      </c>
      <c r="DW269" s="1989" t="e">
        <f>#REF!/10^7</f>
        <v>#REF!</v>
      </c>
      <c r="DX269" s="2003">
        <f t="shared" ref="DX269:DX332" si="600">IFERROR(DY269/$DU269*10,0)</f>
        <v>0</v>
      </c>
      <c r="DY269" s="1989" t="e">
        <f>#REF!/10^7</f>
        <v>#REF!</v>
      </c>
      <c r="DZ269" s="2003">
        <f t="shared" ref="DZ269:DZ332" si="601">IFERROR(EA269/$DU269*10,0)</f>
        <v>0</v>
      </c>
      <c r="EA269" s="1989" t="e">
        <f>#REF!/10^7</f>
        <v>#REF!</v>
      </c>
      <c r="EB269" s="1989" t="e">
        <f>#REF!/10^7</f>
        <v>#REF!</v>
      </c>
      <c r="EC269" s="2002" t="e">
        <f t="shared" ref="EC269:EC332" si="602">IF(DU269=0,0,(ED269/(DU269)*10))</f>
        <v>#REF!</v>
      </c>
      <c r="ED269" s="1998" t="e">
        <f t="shared" si="547"/>
        <v>#REF!</v>
      </c>
      <c r="EE269" s="2005" t="e">
        <f t="shared" si="548"/>
        <v>#REF!</v>
      </c>
      <c r="EF269" s="2003">
        <f t="shared" ref="EF269:EF332" si="603">IFERROR(EG269/$EE269*10,0)</f>
        <v>0</v>
      </c>
      <c r="EG269" s="1989" t="e">
        <f t="shared" si="549"/>
        <v>#REF!</v>
      </c>
      <c r="EH269" s="2003">
        <f t="shared" ref="EH269:EH332" si="604">IFERROR(EI269/$EE269*10,0)</f>
        <v>0</v>
      </c>
      <c r="EI269" s="1989" t="e">
        <f t="shared" si="550"/>
        <v>#REF!</v>
      </c>
      <c r="EJ269" s="2003">
        <f t="shared" ref="EJ269:EJ332" si="605">IFERROR(EK269/$EE269*10,0)</f>
        <v>0</v>
      </c>
      <c r="EK269" s="1989" t="e">
        <f t="shared" si="551"/>
        <v>#REF!</v>
      </c>
      <c r="EL269" s="1989" t="e">
        <f t="shared" si="551"/>
        <v>#REF!</v>
      </c>
      <c r="EM269" s="2006" t="e">
        <f t="shared" ref="EM269:EM332" si="606">IF(EE269=0,0,(EN269/(EE269)*10))</f>
        <v>#REF!</v>
      </c>
      <c r="EN269" s="1999" t="e">
        <f t="shared" si="552"/>
        <v>#REF!</v>
      </c>
      <c r="EO269" s="1613">
        <v>13.925727</v>
      </c>
      <c r="EP269" s="1613" t="e">
        <f>EA269-#REF!/10^7</f>
        <v>#REF!</v>
      </c>
      <c r="ER269" s="1612" t="e">
        <f t="shared" si="553"/>
        <v>#REF!</v>
      </c>
      <c r="EW269" s="1611" t="e">
        <v>#N/A</v>
      </c>
      <c r="EX269" s="1612" t="e">
        <v>#N/A</v>
      </c>
      <c r="EZ269" s="1650">
        <f t="shared" ref="EZ269:EZ332" si="607">IFERROR(EI269/(EE269*10^6),0)</f>
        <v>0</v>
      </c>
    </row>
    <row r="270" spans="1:156" ht="21" customHeight="1">
      <c r="A270" s="1652"/>
      <c r="B270" s="1644"/>
      <c r="C270" s="1662"/>
      <c r="D270" s="1648"/>
      <c r="E270" s="1648"/>
      <c r="F270" s="1648"/>
      <c r="G270" s="1648"/>
      <c r="H270" s="1648"/>
      <c r="I270" s="1648"/>
      <c r="J270" s="1649"/>
      <c r="K270" s="1648"/>
      <c r="L270" s="1648"/>
      <c r="M270" s="1648"/>
      <c r="N270" s="1642"/>
      <c r="O270" s="2000"/>
      <c r="P270" s="2003">
        <f t="shared" si="555"/>
        <v>0</v>
      </c>
      <c r="Q270" s="1989"/>
      <c r="R270" s="2003">
        <f t="shared" si="556"/>
        <v>0</v>
      </c>
      <c r="S270" s="1989"/>
      <c r="T270" s="2003">
        <f t="shared" si="557"/>
        <v>0</v>
      </c>
      <c r="U270" s="1989"/>
      <c r="V270" s="1989"/>
      <c r="W270" s="1989">
        <f t="shared" si="558"/>
        <v>0</v>
      </c>
      <c r="X270" s="1999">
        <f t="shared" si="541"/>
        <v>0</v>
      </c>
      <c r="Y270" s="1993"/>
      <c r="Z270" s="2003">
        <f t="shared" si="559"/>
        <v>0</v>
      </c>
      <c r="AA270" s="1989"/>
      <c r="AB270" s="2003">
        <f t="shared" si="560"/>
        <v>0</v>
      </c>
      <c r="AC270" s="1989"/>
      <c r="AD270" s="2003">
        <f t="shared" si="561"/>
        <v>0</v>
      </c>
      <c r="AE270" s="1989"/>
      <c r="AF270" s="1989"/>
      <c r="AG270" s="2002">
        <f t="shared" si="562"/>
        <v>0</v>
      </c>
      <c r="AH270" s="1999">
        <f t="shared" si="542"/>
        <v>0</v>
      </c>
      <c r="AI270" s="1993"/>
      <c r="AJ270" s="2003">
        <f t="shared" si="563"/>
        <v>0</v>
      </c>
      <c r="AK270" s="1989"/>
      <c r="AL270" s="2003">
        <f t="shared" si="564"/>
        <v>0</v>
      </c>
      <c r="AM270" s="1989"/>
      <c r="AN270" s="2003">
        <f t="shared" si="565"/>
        <v>0</v>
      </c>
      <c r="AO270" s="1989"/>
      <c r="AP270" s="1989"/>
      <c r="AQ270" s="2002">
        <f t="shared" si="566"/>
        <v>0</v>
      </c>
      <c r="AR270" s="1999">
        <f t="shared" si="543"/>
        <v>0</v>
      </c>
      <c r="AS270" s="1993"/>
      <c r="AT270" s="2003">
        <f t="shared" si="567"/>
        <v>0</v>
      </c>
      <c r="AU270" s="1989"/>
      <c r="AV270" s="2003">
        <f t="shared" si="568"/>
        <v>0</v>
      </c>
      <c r="AW270" s="1989"/>
      <c r="AX270" s="2003">
        <f t="shared" si="569"/>
        <v>0</v>
      </c>
      <c r="AY270" s="1989"/>
      <c r="AZ270" s="1989"/>
      <c r="BA270" s="2002">
        <f t="shared" si="570"/>
        <v>0</v>
      </c>
      <c r="BB270" s="1999">
        <f t="shared" si="544"/>
        <v>0</v>
      </c>
      <c r="BC270" s="1993"/>
      <c r="BD270" s="2003">
        <f t="shared" si="571"/>
        <v>0</v>
      </c>
      <c r="BE270" s="1989"/>
      <c r="BF270" s="2003">
        <f t="shared" si="572"/>
        <v>0</v>
      </c>
      <c r="BG270" s="1989"/>
      <c r="BH270" s="2003">
        <f t="shared" si="573"/>
        <v>0</v>
      </c>
      <c r="BI270" s="1989"/>
      <c r="BJ270" s="1989"/>
      <c r="BK270" s="2002">
        <f t="shared" si="574"/>
        <v>0</v>
      </c>
      <c r="BL270" s="1999">
        <f t="shared" si="535"/>
        <v>0</v>
      </c>
      <c r="BM270" s="1993"/>
      <c r="BN270" s="2003">
        <f t="shared" si="575"/>
        <v>0</v>
      </c>
      <c r="BO270" s="1989"/>
      <c r="BP270" s="2003">
        <f t="shared" si="576"/>
        <v>0</v>
      </c>
      <c r="BQ270" s="1989"/>
      <c r="BR270" s="2003">
        <f t="shared" si="577"/>
        <v>0</v>
      </c>
      <c r="BS270" s="1989"/>
      <c r="BT270" s="1989"/>
      <c r="BU270" s="2002">
        <f t="shared" si="578"/>
        <v>0</v>
      </c>
      <c r="BV270" s="1999">
        <f t="shared" si="536"/>
        <v>0</v>
      </c>
      <c r="BW270" s="1993"/>
      <c r="BX270" s="2003">
        <f t="shared" si="579"/>
        <v>0</v>
      </c>
      <c r="BY270" s="1989"/>
      <c r="BZ270" s="2003">
        <f t="shared" si="580"/>
        <v>0</v>
      </c>
      <c r="CA270" s="1989"/>
      <c r="CB270" s="2003">
        <f t="shared" si="581"/>
        <v>0</v>
      </c>
      <c r="CC270" s="1989"/>
      <c r="CD270" s="1989"/>
      <c r="CE270" s="2002">
        <f t="shared" si="582"/>
        <v>0</v>
      </c>
      <c r="CF270" s="1999">
        <f t="shared" si="537"/>
        <v>0</v>
      </c>
      <c r="CG270" s="1993"/>
      <c r="CH270" s="2003">
        <f t="shared" si="583"/>
        <v>0</v>
      </c>
      <c r="CI270" s="1989"/>
      <c r="CJ270" s="2003">
        <f t="shared" si="584"/>
        <v>0</v>
      </c>
      <c r="CK270" s="1989"/>
      <c r="CL270" s="2003">
        <f t="shared" si="585"/>
        <v>0</v>
      </c>
      <c r="CM270" s="1989"/>
      <c r="CN270" s="1989"/>
      <c r="CO270" s="2002">
        <f t="shared" si="586"/>
        <v>0</v>
      </c>
      <c r="CP270" s="1999">
        <f t="shared" si="538"/>
        <v>0</v>
      </c>
      <c r="CQ270" s="1993"/>
      <c r="CR270" s="2003">
        <f t="shared" si="587"/>
        <v>0</v>
      </c>
      <c r="CS270" s="1989"/>
      <c r="CT270" s="2003">
        <f t="shared" si="588"/>
        <v>0</v>
      </c>
      <c r="CU270" s="1989"/>
      <c r="CV270" s="2003">
        <f t="shared" si="589"/>
        <v>0</v>
      </c>
      <c r="CW270" s="1989"/>
      <c r="CX270" s="1989"/>
      <c r="CY270" s="2002">
        <f t="shared" si="590"/>
        <v>0</v>
      </c>
      <c r="CZ270" s="1999">
        <f t="shared" si="539"/>
        <v>0</v>
      </c>
      <c r="DA270" s="1993"/>
      <c r="DB270" s="2003">
        <f t="shared" si="591"/>
        <v>0</v>
      </c>
      <c r="DC270" s="1989"/>
      <c r="DD270" s="2003">
        <f t="shared" si="592"/>
        <v>0</v>
      </c>
      <c r="DE270" s="1989"/>
      <c r="DF270" s="2003">
        <f t="shared" si="593"/>
        <v>0</v>
      </c>
      <c r="DG270" s="1989"/>
      <c r="DH270" s="1989"/>
      <c r="DI270" s="2002">
        <f t="shared" si="594"/>
        <v>0</v>
      </c>
      <c r="DJ270" s="1999">
        <f t="shared" si="545"/>
        <v>0</v>
      </c>
      <c r="DK270" s="1993"/>
      <c r="DL270" s="2003">
        <f t="shared" si="595"/>
        <v>0</v>
      </c>
      <c r="DM270" s="1989"/>
      <c r="DN270" s="2003">
        <f t="shared" si="596"/>
        <v>0</v>
      </c>
      <c r="DO270" s="1989"/>
      <c r="DP270" s="2003">
        <f t="shared" si="597"/>
        <v>0</v>
      </c>
      <c r="DQ270" s="1989"/>
      <c r="DR270" s="1989"/>
      <c r="DS270" s="2002">
        <f t="shared" si="598"/>
        <v>0</v>
      </c>
      <c r="DT270" s="2004">
        <f t="shared" si="546"/>
        <v>0</v>
      </c>
      <c r="DU270" s="1988"/>
      <c r="DV270" s="2003">
        <f t="shared" si="599"/>
        <v>0</v>
      </c>
      <c r="DW270" s="1989"/>
      <c r="DX270" s="2003">
        <f t="shared" si="600"/>
        <v>0</v>
      </c>
      <c r="DY270" s="1989"/>
      <c r="DZ270" s="2003">
        <f t="shared" si="601"/>
        <v>0</v>
      </c>
      <c r="EA270" s="1989"/>
      <c r="EB270" s="1989"/>
      <c r="EC270" s="2002">
        <f t="shared" si="602"/>
        <v>0</v>
      </c>
      <c r="ED270" s="1998">
        <f t="shared" si="547"/>
        <v>0</v>
      </c>
      <c r="EE270" s="2005">
        <f t="shared" si="548"/>
        <v>0</v>
      </c>
      <c r="EF270" s="2003">
        <f t="shared" si="603"/>
        <v>0</v>
      </c>
      <c r="EG270" s="1989">
        <f t="shared" si="549"/>
        <v>0</v>
      </c>
      <c r="EH270" s="2003">
        <f t="shared" si="604"/>
        <v>0</v>
      </c>
      <c r="EI270" s="1989">
        <f t="shared" si="550"/>
        <v>0</v>
      </c>
      <c r="EJ270" s="2003">
        <f t="shared" si="605"/>
        <v>0</v>
      </c>
      <c r="EK270" s="1989">
        <f t="shared" si="551"/>
        <v>0</v>
      </c>
      <c r="EL270" s="1989">
        <f t="shared" si="551"/>
        <v>0</v>
      </c>
      <c r="EM270" s="2006">
        <f t="shared" si="606"/>
        <v>0</v>
      </c>
      <c r="EN270" s="1999">
        <f t="shared" si="552"/>
        <v>0</v>
      </c>
      <c r="EO270" s="1613"/>
      <c r="EP270" s="1613" t="e">
        <f>EA270-#REF!/10^7</f>
        <v>#REF!</v>
      </c>
      <c r="EW270" s="1611" t="e">
        <v>#N/A</v>
      </c>
      <c r="EX270" s="1612" t="e">
        <v>#N/A</v>
      </c>
      <c r="EZ270" s="1650">
        <f t="shared" si="607"/>
        <v>0</v>
      </c>
    </row>
    <row r="271" spans="1:156" ht="21" customHeight="1">
      <c r="A271" s="1652"/>
      <c r="B271" s="1644"/>
      <c r="C271" s="1662"/>
      <c r="D271" s="1648"/>
      <c r="E271" s="1648"/>
      <c r="F271" s="1648"/>
      <c r="G271" s="1648"/>
      <c r="H271" s="1648"/>
      <c r="I271" s="1648"/>
      <c r="J271" s="1649"/>
      <c r="K271" s="1648"/>
      <c r="L271" s="1648"/>
      <c r="M271" s="1648"/>
      <c r="N271" s="1642"/>
      <c r="O271" s="2000"/>
      <c r="P271" s="2003">
        <f t="shared" si="555"/>
        <v>0</v>
      </c>
      <c r="Q271" s="1989"/>
      <c r="R271" s="2003">
        <f t="shared" si="556"/>
        <v>0</v>
      </c>
      <c r="S271" s="1989"/>
      <c r="T271" s="2003">
        <f t="shared" si="557"/>
        <v>0</v>
      </c>
      <c r="U271" s="1989"/>
      <c r="V271" s="1989"/>
      <c r="W271" s="1989">
        <f t="shared" si="558"/>
        <v>0</v>
      </c>
      <c r="X271" s="1999">
        <f t="shared" si="541"/>
        <v>0</v>
      </c>
      <c r="Y271" s="1993"/>
      <c r="Z271" s="2003">
        <f t="shared" si="559"/>
        <v>0</v>
      </c>
      <c r="AA271" s="1989"/>
      <c r="AB271" s="2003">
        <f t="shared" si="560"/>
        <v>0</v>
      </c>
      <c r="AC271" s="1989"/>
      <c r="AD271" s="2003">
        <f t="shared" si="561"/>
        <v>0</v>
      </c>
      <c r="AE271" s="1989"/>
      <c r="AF271" s="1989"/>
      <c r="AG271" s="2002">
        <f t="shared" si="562"/>
        <v>0</v>
      </c>
      <c r="AH271" s="1999">
        <f t="shared" si="542"/>
        <v>0</v>
      </c>
      <c r="AI271" s="1993"/>
      <c r="AJ271" s="2003">
        <f t="shared" si="563"/>
        <v>0</v>
      </c>
      <c r="AK271" s="1989"/>
      <c r="AL271" s="2003">
        <f t="shared" si="564"/>
        <v>0</v>
      </c>
      <c r="AM271" s="1989"/>
      <c r="AN271" s="2003">
        <f t="shared" si="565"/>
        <v>0</v>
      </c>
      <c r="AO271" s="1989"/>
      <c r="AP271" s="1989"/>
      <c r="AQ271" s="2002">
        <f t="shared" si="566"/>
        <v>0</v>
      </c>
      <c r="AR271" s="1999">
        <f t="shared" si="543"/>
        <v>0</v>
      </c>
      <c r="AS271" s="1993"/>
      <c r="AT271" s="2003">
        <f t="shared" si="567"/>
        <v>0</v>
      </c>
      <c r="AU271" s="1989"/>
      <c r="AV271" s="2003">
        <f t="shared" si="568"/>
        <v>0</v>
      </c>
      <c r="AW271" s="1989"/>
      <c r="AX271" s="2003">
        <f t="shared" si="569"/>
        <v>0</v>
      </c>
      <c r="AY271" s="1989"/>
      <c r="AZ271" s="1989"/>
      <c r="BA271" s="2002">
        <f t="shared" si="570"/>
        <v>0</v>
      </c>
      <c r="BB271" s="1999">
        <f t="shared" si="544"/>
        <v>0</v>
      </c>
      <c r="BC271" s="1993"/>
      <c r="BD271" s="2003">
        <f t="shared" si="571"/>
        <v>0</v>
      </c>
      <c r="BE271" s="1989"/>
      <c r="BF271" s="2003">
        <f t="shared" si="572"/>
        <v>0</v>
      </c>
      <c r="BG271" s="1989"/>
      <c r="BH271" s="2003">
        <f t="shared" si="573"/>
        <v>0</v>
      </c>
      <c r="BI271" s="1989"/>
      <c r="BJ271" s="1989"/>
      <c r="BK271" s="2002">
        <f t="shared" si="574"/>
        <v>0</v>
      </c>
      <c r="BL271" s="1999">
        <f t="shared" si="535"/>
        <v>0</v>
      </c>
      <c r="BM271" s="1993"/>
      <c r="BN271" s="2003">
        <f t="shared" si="575"/>
        <v>0</v>
      </c>
      <c r="BO271" s="1989"/>
      <c r="BP271" s="2003">
        <f t="shared" si="576"/>
        <v>0</v>
      </c>
      <c r="BQ271" s="1989"/>
      <c r="BR271" s="2003">
        <f t="shared" si="577"/>
        <v>0</v>
      </c>
      <c r="BS271" s="1989"/>
      <c r="BT271" s="1989"/>
      <c r="BU271" s="2002">
        <f t="shared" si="578"/>
        <v>0</v>
      </c>
      <c r="BV271" s="1999">
        <f t="shared" si="536"/>
        <v>0</v>
      </c>
      <c r="BW271" s="1993"/>
      <c r="BX271" s="2003">
        <f t="shared" si="579"/>
        <v>0</v>
      </c>
      <c r="BY271" s="1989"/>
      <c r="BZ271" s="2003">
        <f t="shared" si="580"/>
        <v>0</v>
      </c>
      <c r="CA271" s="1989"/>
      <c r="CB271" s="2003">
        <f t="shared" si="581"/>
        <v>0</v>
      </c>
      <c r="CC271" s="1989"/>
      <c r="CD271" s="1989"/>
      <c r="CE271" s="2002">
        <f t="shared" si="582"/>
        <v>0</v>
      </c>
      <c r="CF271" s="1999">
        <f t="shared" si="537"/>
        <v>0</v>
      </c>
      <c r="CG271" s="1993"/>
      <c r="CH271" s="2003">
        <f t="shared" si="583"/>
        <v>0</v>
      </c>
      <c r="CI271" s="1989"/>
      <c r="CJ271" s="2003">
        <f t="shared" si="584"/>
        <v>0</v>
      </c>
      <c r="CK271" s="1989"/>
      <c r="CL271" s="2003">
        <f t="shared" si="585"/>
        <v>0</v>
      </c>
      <c r="CM271" s="1989"/>
      <c r="CN271" s="1989"/>
      <c r="CO271" s="2002">
        <f t="shared" si="586"/>
        <v>0</v>
      </c>
      <c r="CP271" s="1999">
        <f t="shared" si="538"/>
        <v>0</v>
      </c>
      <c r="CQ271" s="1993"/>
      <c r="CR271" s="2003">
        <f t="shared" si="587"/>
        <v>0</v>
      </c>
      <c r="CS271" s="1989"/>
      <c r="CT271" s="2003">
        <f t="shared" si="588"/>
        <v>0</v>
      </c>
      <c r="CU271" s="1989"/>
      <c r="CV271" s="2003">
        <f t="shared" si="589"/>
        <v>0</v>
      </c>
      <c r="CW271" s="1989"/>
      <c r="CX271" s="1989"/>
      <c r="CY271" s="2002">
        <f t="shared" si="590"/>
        <v>0</v>
      </c>
      <c r="CZ271" s="1999">
        <f t="shared" si="539"/>
        <v>0</v>
      </c>
      <c r="DA271" s="1993"/>
      <c r="DB271" s="2003">
        <f t="shared" si="591"/>
        <v>0</v>
      </c>
      <c r="DC271" s="1989"/>
      <c r="DD271" s="2003">
        <f t="shared" si="592"/>
        <v>0</v>
      </c>
      <c r="DE271" s="1989"/>
      <c r="DF271" s="2003">
        <f t="shared" si="593"/>
        <v>0</v>
      </c>
      <c r="DG271" s="1989"/>
      <c r="DH271" s="1989"/>
      <c r="DI271" s="2002">
        <f t="shared" si="594"/>
        <v>0</v>
      </c>
      <c r="DJ271" s="1999">
        <f t="shared" si="545"/>
        <v>0</v>
      </c>
      <c r="DK271" s="1993"/>
      <c r="DL271" s="2003">
        <f t="shared" si="595"/>
        <v>0</v>
      </c>
      <c r="DM271" s="1989"/>
      <c r="DN271" s="2003">
        <f t="shared" si="596"/>
        <v>0</v>
      </c>
      <c r="DO271" s="1989"/>
      <c r="DP271" s="2003">
        <f t="shared" si="597"/>
        <v>0</v>
      </c>
      <c r="DQ271" s="1989"/>
      <c r="DR271" s="1989"/>
      <c r="DS271" s="2002">
        <f t="shared" si="598"/>
        <v>0</v>
      </c>
      <c r="DT271" s="2004">
        <f t="shared" si="546"/>
        <v>0</v>
      </c>
      <c r="DU271" s="1988"/>
      <c r="DV271" s="2003">
        <f t="shared" si="599"/>
        <v>0</v>
      </c>
      <c r="DW271" s="1989"/>
      <c r="DX271" s="2003">
        <f t="shared" si="600"/>
        <v>0</v>
      </c>
      <c r="DY271" s="1989"/>
      <c r="DZ271" s="2003">
        <f t="shared" si="601"/>
        <v>0</v>
      </c>
      <c r="EA271" s="1989"/>
      <c r="EB271" s="1989"/>
      <c r="EC271" s="2002">
        <f t="shared" si="602"/>
        <v>0</v>
      </c>
      <c r="ED271" s="1998">
        <f t="shared" si="547"/>
        <v>0</v>
      </c>
      <c r="EE271" s="2005">
        <f t="shared" si="548"/>
        <v>0</v>
      </c>
      <c r="EF271" s="2003">
        <f t="shared" si="603"/>
        <v>0</v>
      </c>
      <c r="EG271" s="1989">
        <f t="shared" si="549"/>
        <v>0</v>
      </c>
      <c r="EH271" s="2003">
        <f t="shared" si="604"/>
        <v>0</v>
      </c>
      <c r="EI271" s="1989">
        <f t="shared" si="550"/>
        <v>0</v>
      </c>
      <c r="EJ271" s="2003">
        <f t="shared" si="605"/>
        <v>0</v>
      </c>
      <c r="EK271" s="1989">
        <f t="shared" si="551"/>
        <v>0</v>
      </c>
      <c r="EL271" s="1989">
        <f t="shared" si="551"/>
        <v>0</v>
      </c>
      <c r="EM271" s="2006">
        <f t="shared" si="606"/>
        <v>0</v>
      </c>
      <c r="EN271" s="1999">
        <f t="shared" si="552"/>
        <v>0</v>
      </c>
      <c r="EO271" s="1613"/>
      <c r="EP271" s="1613" t="e">
        <f>EA271-#REF!/10^7</f>
        <v>#REF!</v>
      </c>
      <c r="EW271" s="1611" t="e">
        <v>#N/A</v>
      </c>
      <c r="EX271" s="1612" t="e">
        <v>#N/A</v>
      </c>
      <c r="EZ271" s="1650">
        <f t="shared" si="607"/>
        <v>0</v>
      </c>
    </row>
    <row r="272" spans="1:156" s="1660" customFormat="1" ht="21" customHeight="1">
      <c r="A272" s="1637"/>
      <c r="B272" s="1654" t="s">
        <v>211</v>
      </c>
      <c r="C272" s="1655"/>
      <c r="D272" s="1656"/>
      <c r="E272" s="1656"/>
      <c r="F272" s="1656"/>
      <c r="G272" s="1656"/>
      <c r="H272" s="1656"/>
      <c r="I272" s="1656"/>
      <c r="J272" s="1657"/>
      <c r="K272" s="1656"/>
      <c r="L272" s="1656"/>
      <c r="M272" s="1656"/>
      <c r="N272" s="1658"/>
      <c r="O272" s="2007" t="e">
        <f>SUM(O191:O271)</f>
        <v>#REF!</v>
      </c>
      <c r="P272" s="2003">
        <f t="shared" si="555"/>
        <v>0</v>
      </c>
      <c r="Q272" s="1826" t="e">
        <f>SUM(Q191:Q271)</f>
        <v>#REF!</v>
      </c>
      <c r="R272" s="2003">
        <f t="shared" si="556"/>
        <v>0</v>
      </c>
      <c r="S272" s="1826" t="e">
        <f>SUM(S191:S271)</f>
        <v>#REF!</v>
      </c>
      <c r="T272" s="2003">
        <f t="shared" si="557"/>
        <v>0</v>
      </c>
      <c r="U272" s="1826" t="e">
        <f>SUM(U191:U271)</f>
        <v>#REF!</v>
      </c>
      <c r="V272" s="1826"/>
      <c r="W272" s="1989">
        <f t="shared" si="558"/>
        <v>0</v>
      </c>
      <c r="X272" s="2008" t="e">
        <f t="shared" ref="X272:AF272" si="608">SUM(X191:X271)</f>
        <v>#REF!</v>
      </c>
      <c r="Y272" s="2007" t="e">
        <f t="shared" si="608"/>
        <v>#REF!</v>
      </c>
      <c r="Z272" s="2003">
        <f t="shared" si="559"/>
        <v>0</v>
      </c>
      <c r="AA272" s="1826" t="e">
        <f t="shared" si="608"/>
        <v>#REF!</v>
      </c>
      <c r="AB272" s="2003">
        <f t="shared" si="560"/>
        <v>0</v>
      </c>
      <c r="AC272" s="1826" t="e">
        <f t="shared" si="608"/>
        <v>#REF!</v>
      </c>
      <c r="AD272" s="2003">
        <f t="shared" si="561"/>
        <v>0</v>
      </c>
      <c r="AE272" s="1826" t="e">
        <f t="shared" si="608"/>
        <v>#REF!</v>
      </c>
      <c r="AF272" s="1826" t="e">
        <f t="shared" si="608"/>
        <v>#REF!</v>
      </c>
      <c r="AG272" s="2002" t="e">
        <f t="shared" si="562"/>
        <v>#REF!</v>
      </c>
      <c r="AH272" s="2008" t="e">
        <f t="shared" ref="AH272:AP272" si="609">SUM(AH191:AH271)</f>
        <v>#REF!</v>
      </c>
      <c r="AI272" s="2007" t="e">
        <f t="shared" si="609"/>
        <v>#REF!</v>
      </c>
      <c r="AJ272" s="2003">
        <f t="shared" si="563"/>
        <v>0</v>
      </c>
      <c r="AK272" s="1826" t="e">
        <f t="shared" si="609"/>
        <v>#REF!</v>
      </c>
      <c r="AL272" s="2003">
        <f t="shared" si="564"/>
        <v>0</v>
      </c>
      <c r="AM272" s="1826" t="e">
        <f t="shared" si="609"/>
        <v>#REF!</v>
      </c>
      <c r="AN272" s="2003">
        <f t="shared" si="565"/>
        <v>0</v>
      </c>
      <c r="AO272" s="1826" t="e">
        <f t="shared" si="609"/>
        <v>#REF!</v>
      </c>
      <c r="AP272" s="1826" t="e">
        <f t="shared" si="609"/>
        <v>#REF!</v>
      </c>
      <c r="AQ272" s="2002" t="e">
        <f t="shared" si="566"/>
        <v>#REF!</v>
      </c>
      <c r="AR272" s="2008" t="e">
        <f t="shared" ref="AR272:AZ272" si="610">SUM(AR191:AR271)</f>
        <v>#REF!</v>
      </c>
      <c r="AS272" s="2007" t="e">
        <f t="shared" si="610"/>
        <v>#REF!</v>
      </c>
      <c r="AT272" s="2003">
        <f t="shared" si="567"/>
        <v>0</v>
      </c>
      <c r="AU272" s="1826" t="e">
        <f t="shared" si="610"/>
        <v>#REF!</v>
      </c>
      <c r="AV272" s="2003">
        <f t="shared" si="568"/>
        <v>0</v>
      </c>
      <c r="AW272" s="1826" t="e">
        <f t="shared" si="610"/>
        <v>#REF!</v>
      </c>
      <c r="AX272" s="2003">
        <f t="shared" si="569"/>
        <v>0</v>
      </c>
      <c r="AY272" s="1826" t="e">
        <f t="shared" si="610"/>
        <v>#REF!</v>
      </c>
      <c r="AZ272" s="1826" t="e">
        <f t="shared" si="610"/>
        <v>#REF!</v>
      </c>
      <c r="BA272" s="2002" t="e">
        <f t="shared" si="570"/>
        <v>#REF!</v>
      </c>
      <c r="BB272" s="2008" t="e">
        <f t="shared" ref="BB272:BJ272" si="611">SUM(BB191:BB271)</f>
        <v>#REF!</v>
      </c>
      <c r="BC272" s="2007" t="e">
        <f t="shared" si="611"/>
        <v>#REF!</v>
      </c>
      <c r="BD272" s="2003">
        <f t="shared" si="571"/>
        <v>0</v>
      </c>
      <c r="BE272" s="1826" t="e">
        <f t="shared" si="611"/>
        <v>#REF!</v>
      </c>
      <c r="BF272" s="2003">
        <f t="shared" si="572"/>
        <v>0</v>
      </c>
      <c r="BG272" s="1826" t="e">
        <f t="shared" si="611"/>
        <v>#REF!</v>
      </c>
      <c r="BH272" s="2003">
        <f t="shared" si="573"/>
        <v>0</v>
      </c>
      <c r="BI272" s="1826" t="e">
        <f t="shared" si="611"/>
        <v>#REF!</v>
      </c>
      <c r="BJ272" s="1826" t="e">
        <f t="shared" si="611"/>
        <v>#REF!</v>
      </c>
      <c r="BK272" s="2002" t="e">
        <f t="shared" si="574"/>
        <v>#REF!</v>
      </c>
      <c r="BL272" s="2008" t="e">
        <f t="shared" ref="BL272:BT272" si="612">SUM(BL191:BL271)</f>
        <v>#REF!</v>
      </c>
      <c r="BM272" s="2007" t="e">
        <f t="shared" si="612"/>
        <v>#REF!</v>
      </c>
      <c r="BN272" s="2003">
        <f t="shared" si="575"/>
        <v>0</v>
      </c>
      <c r="BO272" s="1826" t="e">
        <f t="shared" si="612"/>
        <v>#REF!</v>
      </c>
      <c r="BP272" s="2003">
        <f t="shared" si="576"/>
        <v>0</v>
      </c>
      <c r="BQ272" s="1826" t="e">
        <f t="shared" si="612"/>
        <v>#REF!</v>
      </c>
      <c r="BR272" s="2003">
        <f t="shared" si="577"/>
        <v>0</v>
      </c>
      <c r="BS272" s="1826" t="e">
        <f t="shared" si="612"/>
        <v>#REF!</v>
      </c>
      <c r="BT272" s="1826" t="e">
        <f t="shared" si="612"/>
        <v>#REF!</v>
      </c>
      <c r="BU272" s="2002" t="e">
        <f t="shared" si="578"/>
        <v>#REF!</v>
      </c>
      <c r="BV272" s="2008" t="e">
        <f t="shared" ref="BV272:CD272" si="613">SUM(BV191:BV271)</f>
        <v>#REF!</v>
      </c>
      <c r="BW272" s="2007" t="e">
        <f t="shared" si="613"/>
        <v>#REF!</v>
      </c>
      <c r="BX272" s="2003">
        <f t="shared" si="579"/>
        <v>0</v>
      </c>
      <c r="BY272" s="1826" t="e">
        <f t="shared" si="613"/>
        <v>#REF!</v>
      </c>
      <c r="BZ272" s="2003">
        <f t="shared" si="580"/>
        <v>0</v>
      </c>
      <c r="CA272" s="1826" t="e">
        <f t="shared" si="613"/>
        <v>#REF!</v>
      </c>
      <c r="CB272" s="2003">
        <f t="shared" si="581"/>
        <v>0</v>
      </c>
      <c r="CC272" s="1826" t="e">
        <f t="shared" si="613"/>
        <v>#REF!</v>
      </c>
      <c r="CD272" s="1826" t="e">
        <f t="shared" si="613"/>
        <v>#REF!</v>
      </c>
      <c r="CE272" s="2002" t="e">
        <f t="shared" si="582"/>
        <v>#REF!</v>
      </c>
      <c r="CF272" s="2008" t="e">
        <f t="shared" ref="CF272:CN272" si="614">SUM(CF191:CF271)</f>
        <v>#REF!</v>
      </c>
      <c r="CG272" s="2007" t="e">
        <f t="shared" si="614"/>
        <v>#REF!</v>
      </c>
      <c r="CH272" s="2003">
        <f t="shared" si="583"/>
        <v>0</v>
      </c>
      <c r="CI272" s="1826" t="e">
        <f t="shared" si="614"/>
        <v>#REF!</v>
      </c>
      <c r="CJ272" s="2003">
        <f t="shared" si="584"/>
        <v>0</v>
      </c>
      <c r="CK272" s="1826" t="e">
        <f t="shared" si="614"/>
        <v>#REF!</v>
      </c>
      <c r="CL272" s="2003">
        <f t="shared" si="585"/>
        <v>0</v>
      </c>
      <c r="CM272" s="1826" t="e">
        <f t="shared" si="614"/>
        <v>#REF!</v>
      </c>
      <c r="CN272" s="1826" t="e">
        <f t="shared" si="614"/>
        <v>#REF!</v>
      </c>
      <c r="CO272" s="2002" t="e">
        <f t="shared" si="586"/>
        <v>#REF!</v>
      </c>
      <c r="CP272" s="2008" t="e">
        <f t="shared" ref="CP272:CX272" si="615">SUM(CP191:CP271)</f>
        <v>#REF!</v>
      </c>
      <c r="CQ272" s="2007" t="e">
        <f t="shared" si="615"/>
        <v>#REF!</v>
      </c>
      <c r="CR272" s="2003">
        <f t="shared" si="587"/>
        <v>0</v>
      </c>
      <c r="CS272" s="1826" t="e">
        <f t="shared" si="615"/>
        <v>#REF!</v>
      </c>
      <c r="CT272" s="2003">
        <f t="shared" si="588"/>
        <v>0</v>
      </c>
      <c r="CU272" s="1826" t="e">
        <f t="shared" si="615"/>
        <v>#REF!</v>
      </c>
      <c r="CV272" s="2003">
        <f t="shared" si="589"/>
        <v>0</v>
      </c>
      <c r="CW272" s="1826" t="e">
        <f t="shared" si="615"/>
        <v>#REF!</v>
      </c>
      <c r="CX272" s="1826" t="e">
        <f t="shared" si="615"/>
        <v>#REF!</v>
      </c>
      <c r="CY272" s="2002" t="e">
        <f t="shared" si="590"/>
        <v>#REF!</v>
      </c>
      <c r="CZ272" s="2008" t="e">
        <f t="shared" ref="CZ272:DH272" si="616">SUM(CZ191:CZ271)</f>
        <v>#REF!</v>
      </c>
      <c r="DA272" s="2007" t="e">
        <f t="shared" si="616"/>
        <v>#REF!</v>
      </c>
      <c r="DB272" s="2003">
        <f t="shared" si="591"/>
        <v>0</v>
      </c>
      <c r="DC272" s="1826" t="e">
        <f t="shared" si="616"/>
        <v>#REF!</v>
      </c>
      <c r="DD272" s="2003">
        <f t="shared" si="592"/>
        <v>0</v>
      </c>
      <c r="DE272" s="1826" t="e">
        <f>SUM(DE191:DE271)</f>
        <v>#REF!</v>
      </c>
      <c r="DF272" s="2003">
        <f t="shared" si="593"/>
        <v>0</v>
      </c>
      <c r="DG272" s="1826" t="e">
        <f t="shared" si="616"/>
        <v>#REF!</v>
      </c>
      <c r="DH272" s="1826" t="e">
        <f t="shared" si="616"/>
        <v>#REF!</v>
      </c>
      <c r="DI272" s="2002" t="e">
        <f t="shared" si="594"/>
        <v>#REF!</v>
      </c>
      <c r="DJ272" s="2008" t="e">
        <f t="shared" ref="DJ272:DR272" si="617">SUM(DJ191:DJ271)</f>
        <v>#REF!</v>
      </c>
      <c r="DK272" s="2007" t="e">
        <f t="shared" si="617"/>
        <v>#REF!</v>
      </c>
      <c r="DL272" s="2003">
        <f t="shared" si="595"/>
        <v>0</v>
      </c>
      <c r="DM272" s="1826" t="e">
        <f t="shared" si="617"/>
        <v>#REF!</v>
      </c>
      <c r="DN272" s="2003">
        <f t="shared" si="596"/>
        <v>0</v>
      </c>
      <c r="DO272" s="1826" t="e">
        <f>SUM(DO191:DO271)</f>
        <v>#REF!</v>
      </c>
      <c r="DP272" s="2003">
        <f t="shared" si="597"/>
        <v>0</v>
      </c>
      <c r="DQ272" s="1826" t="e">
        <f t="shared" si="617"/>
        <v>#REF!</v>
      </c>
      <c r="DR272" s="1826" t="e">
        <f t="shared" si="617"/>
        <v>#REF!</v>
      </c>
      <c r="DS272" s="2002" t="e">
        <f t="shared" si="598"/>
        <v>#REF!</v>
      </c>
      <c r="DT272" s="2009" t="e">
        <f t="shared" ref="DT272:EB272" si="618">SUM(DT191:DT271)</f>
        <v>#REF!</v>
      </c>
      <c r="DU272" s="2010" t="e">
        <f t="shared" si="618"/>
        <v>#REF!</v>
      </c>
      <c r="DV272" s="2003">
        <f t="shared" si="599"/>
        <v>0</v>
      </c>
      <c r="DW272" s="1826" t="e">
        <f t="shared" si="618"/>
        <v>#REF!</v>
      </c>
      <c r="DX272" s="2003">
        <f t="shared" si="600"/>
        <v>0</v>
      </c>
      <c r="DY272" s="1826" t="e">
        <f t="shared" si="618"/>
        <v>#REF!</v>
      </c>
      <c r="DZ272" s="2003">
        <f t="shared" si="601"/>
        <v>0</v>
      </c>
      <c r="EA272" s="1826" t="e">
        <f t="shared" si="618"/>
        <v>#REF!</v>
      </c>
      <c r="EB272" s="1826" t="e">
        <f t="shared" si="618"/>
        <v>#REF!</v>
      </c>
      <c r="EC272" s="2002" t="e">
        <f t="shared" si="602"/>
        <v>#REF!</v>
      </c>
      <c r="ED272" s="1826" t="e">
        <f t="shared" ref="ED272:EL272" si="619">SUM(ED191:ED271)</f>
        <v>#REF!</v>
      </c>
      <c r="EE272" s="2011" t="e">
        <f>SUM(EE191:EE271)</f>
        <v>#REF!</v>
      </c>
      <c r="EF272" s="2003">
        <f t="shared" si="603"/>
        <v>0</v>
      </c>
      <c r="EG272" s="1826" t="e">
        <f t="shared" si="619"/>
        <v>#REF!</v>
      </c>
      <c r="EH272" s="2003">
        <f t="shared" si="604"/>
        <v>0</v>
      </c>
      <c r="EI272" s="1826" t="e">
        <f t="shared" si="619"/>
        <v>#REF!</v>
      </c>
      <c r="EJ272" s="2003">
        <f t="shared" si="605"/>
        <v>0</v>
      </c>
      <c r="EK272" s="1826" t="e">
        <f t="shared" si="619"/>
        <v>#REF!</v>
      </c>
      <c r="EL272" s="1826" t="e">
        <f t="shared" si="619"/>
        <v>#REF!</v>
      </c>
      <c r="EM272" s="2006" t="e">
        <f t="shared" si="606"/>
        <v>#REF!</v>
      </c>
      <c r="EN272" s="2008" t="e">
        <f>SUM(EN191:EN271)</f>
        <v>#REF!</v>
      </c>
      <c r="EO272" s="1702">
        <f>SUM(EO191:EO271)</f>
        <v>3453.9758484399999</v>
      </c>
      <c r="EP272" s="1613" t="e">
        <f>EA272-#REF!/10^7</f>
        <v>#REF!</v>
      </c>
      <c r="EQ272" s="1661"/>
      <c r="EW272" s="1611" t="e">
        <v>#N/A</v>
      </c>
      <c r="EX272" s="1612">
        <v>0</v>
      </c>
      <c r="EZ272" s="1650">
        <f t="shared" si="607"/>
        <v>0</v>
      </c>
    </row>
    <row r="273" spans="1:156" ht="21" customHeight="1">
      <c r="A273" s="1652"/>
      <c r="B273" s="1644"/>
      <c r="C273" s="1662"/>
      <c r="D273" s="1648"/>
      <c r="E273" s="1648"/>
      <c r="F273" s="1648"/>
      <c r="G273" s="1648"/>
      <c r="H273" s="1648"/>
      <c r="I273" s="1648"/>
      <c r="J273" s="1663"/>
      <c r="K273" s="1648"/>
      <c r="L273" s="1648"/>
      <c r="M273" s="1648"/>
      <c r="N273" s="1642"/>
      <c r="O273" s="2000"/>
      <c r="P273" s="2003">
        <f t="shared" si="555"/>
        <v>0</v>
      </c>
      <c r="Q273" s="1989"/>
      <c r="R273" s="2003">
        <f t="shared" si="556"/>
        <v>0</v>
      </c>
      <c r="S273" s="1989"/>
      <c r="T273" s="2003">
        <f t="shared" si="557"/>
        <v>0</v>
      </c>
      <c r="U273" s="1989"/>
      <c r="V273" s="1989"/>
      <c r="W273" s="1989">
        <f t="shared" si="558"/>
        <v>0</v>
      </c>
      <c r="X273" s="1999">
        <f>Q273+S273+U273+V273</f>
        <v>0</v>
      </c>
      <c r="Y273" s="1993"/>
      <c r="Z273" s="2003">
        <f t="shared" si="559"/>
        <v>0</v>
      </c>
      <c r="AA273" s="1989"/>
      <c r="AB273" s="2003">
        <f t="shared" si="560"/>
        <v>0</v>
      </c>
      <c r="AC273" s="1989"/>
      <c r="AD273" s="2003">
        <f t="shared" si="561"/>
        <v>0</v>
      </c>
      <c r="AE273" s="1989"/>
      <c r="AF273" s="1989"/>
      <c r="AG273" s="2002">
        <f t="shared" si="562"/>
        <v>0</v>
      </c>
      <c r="AH273" s="1999">
        <f>AA273+AC273+AE273+AF273</f>
        <v>0</v>
      </c>
      <c r="AI273" s="1993"/>
      <c r="AJ273" s="2003">
        <f t="shared" si="563"/>
        <v>0</v>
      </c>
      <c r="AK273" s="1989"/>
      <c r="AL273" s="2003">
        <f t="shared" si="564"/>
        <v>0</v>
      </c>
      <c r="AM273" s="1989"/>
      <c r="AN273" s="2003">
        <f t="shared" si="565"/>
        <v>0</v>
      </c>
      <c r="AO273" s="1989"/>
      <c r="AP273" s="1989"/>
      <c r="AQ273" s="2002">
        <f t="shared" si="566"/>
        <v>0</v>
      </c>
      <c r="AR273" s="1999">
        <f>AK273+AM273+AO273+AP273</f>
        <v>0</v>
      </c>
      <c r="AS273" s="1993"/>
      <c r="AT273" s="2003">
        <f t="shared" si="567"/>
        <v>0</v>
      </c>
      <c r="AU273" s="1989"/>
      <c r="AV273" s="2003">
        <f t="shared" si="568"/>
        <v>0</v>
      </c>
      <c r="AW273" s="1989"/>
      <c r="AX273" s="2003">
        <f t="shared" si="569"/>
        <v>0</v>
      </c>
      <c r="AY273" s="1989"/>
      <c r="AZ273" s="1989"/>
      <c r="BA273" s="2002">
        <f t="shared" si="570"/>
        <v>0</v>
      </c>
      <c r="BB273" s="1999">
        <f>AU273+AW273+AY273+AZ273</f>
        <v>0</v>
      </c>
      <c r="BC273" s="1993"/>
      <c r="BD273" s="2003">
        <f t="shared" si="571"/>
        <v>0</v>
      </c>
      <c r="BE273" s="1989"/>
      <c r="BF273" s="2003">
        <f t="shared" si="572"/>
        <v>0</v>
      </c>
      <c r="BG273" s="1989"/>
      <c r="BH273" s="2003">
        <f t="shared" si="573"/>
        <v>0</v>
      </c>
      <c r="BI273" s="1989"/>
      <c r="BJ273" s="1989"/>
      <c r="BK273" s="2002">
        <f t="shared" si="574"/>
        <v>0</v>
      </c>
      <c r="BL273" s="1999">
        <f>BE273+BG273+BI273+BJ273</f>
        <v>0</v>
      </c>
      <c r="BM273" s="1993"/>
      <c r="BN273" s="2003">
        <f t="shared" si="575"/>
        <v>0</v>
      </c>
      <c r="BO273" s="1989"/>
      <c r="BP273" s="2003">
        <f t="shared" si="576"/>
        <v>0</v>
      </c>
      <c r="BQ273" s="1989"/>
      <c r="BR273" s="2003">
        <f t="shared" si="577"/>
        <v>0</v>
      </c>
      <c r="BS273" s="1989"/>
      <c r="BT273" s="1989"/>
      <c r="BU273" s="2002">
        <f t="shared" si="578"/>
        <v>0</v>
      </c>
      <c r="BV273" s="1999">
        <f>BO273+BQ273+BS273+BT273</f>
        <v>0</v>
      </c>
      <c r="BW273" s="1993"/>
      <c r="BX273" s="2003">
        <f t="shared" si="579"/>
        <v>0</v>
      </c>
      <c r="BY273" s="1989"/>
      <c r="BZ273" s="2003">
        <f t="shared" si="580"/>
        <v>0</v>
      </c>
      <c r="CA273" s="1989"/>
      <c r="CB273" s="2003">
        <f t="shared" si="581"/>
        <v>0</v>
      </c>
      <c r="CC273" s="1989"/>
      <c r="CD273" s="1989"/>
      <c r="CE273" s="2002">
        <f t="shared" si="582"/>
        <v>0</v>
      </c>
      <c r="CF273" s="1999">
        <f>BY273+CA273+CC273+CD273</f>
        <v>0</v>
      </c>
      <c r="CG273" s="1993"/>
      <c r="CH273" s="2003">
        <f t="shared" si="583"/>
        <v>0</v>
      </c>
      <c r="CI273" s="1989"/>
      <c r="CJ273" s="2003">
        <f t="shared" si="584"/>
        <v>0</v>
      </c>
      <c r="CK273" s="1989"/>
      <c r="CL273" s="2003">
        <f t="shared" si="585"/>
        <v>0</v>
      </c>
      <c r="CM273" s="1989"/>
      <c r="CN273" s="1989"/>
      <c r="CO273" s="2002">
        <f t="shared" si="586"/>
        <v>0</v>
      </c>
      <c r="CP273" s="1999">
        <f>CI273+CK273+CM273+CN273</f>
        <v>0</v>
      </c>
      <c r="CQ273" s="1993"/>
      <c r="CR273" s="2003">
        <f t="shared" si="587"/>
        <v>0</v>
      </c>
      <c r="CS273" s="1989"/>
      <c r="CT273" s="2003">
        <f t="shared" si="588"/>
        <v>0</v>
      </c>
      <c r="CU273" s="1989"/>
      <c r="CV273" s="2003">
        <f t="shared" si="589"/>
        <v>0</v>
      </c>
      <c r="CW273" s="1989"/>
      <c r="CX273" s="1989"/>
      <c r="CY273" s="2002">
        <f t="shared" si="590"/>
        <v>0</v>
      </c>
      <c r="CZ273" s="1999">
        <f>CS273+CU273+CW273+CX273</f>
        <v>0</v>
      </c>
      <c r="DA273" s="1993"/>
      <c r="DB273" s="2003">
        <f t="shared" si="591"/>
        <v>0</v>
      </c>
      <c r="DC273" s="1989"/>
      <c r="DD273" s="2003">
        <f t="shared" si="592"/>
        <v>0</v>
      </c>
      <c r="DE273" s="1989"/>
      <c r="DF273" s="2003">
        <f t="shared" si="593"/>
        <v>0</v>
      </c>
      <c r="DG273" s="1989"/>
      <c r="DH273" s="1989"/>
      <c r="DI273" s="2002">
        <f t="shared" si="594"/>
        <v>0</v>
      </c>
      <c r="DJ273" s="1999">
        <f>DC273+DE273+DG273+DH273</f>
        <v>0</v>
      </c>
      <c r="DK273" s="1993"/>
      <c r="DL273" s="2003">
        <f t="shared" si="595"/>
        <v>0</v>
      </c>
      <c r="DM273" s="1989"/>
      <c r="DN273" s="2003">
        <f t="shared" si="596"/>
        <v>0</v>
      </c>
      <c r="DO273" s="1989"/>
      <c r="DP273" s="2003">
        <f t="shared" si="597"/>
        <v>0</v>
      </c>
      <c r="DQ273" s="1989"/>
      <c r="DR273" s="1989"/>
      <c r="DS273" s="2002">
        <f t="shared" si="598"/>
        <v>0</v>
      </c>
      <c r="DT273" s="2004">
        <f>DM273+DO273+DQ273+DR273</f>
        <v>0</v>
      </c>
      <c r="DU273" s="1988"/>
      <c r="DV273" s="2003">
        <f t="shared" si="599"/>
        <v>0</v>
      </c>
      <c r="DW273" s="1989"/>
      <c r="DX273" s="2003">
        <f t="shared" si="600"/>
        <v>0</v>
      </c>
      <c r="DY273" s="1989"/>
      <c r="DZ273" s="2003">
        <f t="shared" si="601"/>
        <v>0</v>
      </c>
      <c r="EA273" s="1989"/>
      <c r="EB273" s="1989"/>
      <c r="EC273" s="2002">
        <f t="shared" si="602"/>
        <v>0</v>
      </c>
      <c r="ED273" s="1998">
        <f>DW273+DY273+EA273+EB273</f>
        <v>0</v>
      </c>
      <c r="EE273" s="2005"/>
      <c r="EF273" s="2003">
        <f t="shared" si="603"/>
        <v>0</v>
      </c>
      <c r="EG273" s="1989"/>
      <c r="EH273" s="2003">
        <f t="shared" si="604"/>
        <v>0</v>
      </c>
      <c r="EI273" s="1989"/>
      <c r="EJ273" s="2003">
        <f t="shared" si="605"/>
        <v>0</v>
      </c>
      <c r="EK273" s="1989"/>
      <c r="EL273" s="1989"/>
      <c r="EM273" s="2006">
        <f t="shared" si="606"/>
        <v>0</v>
      </c>
      <c r="EN273" s="1999"/>
      <c r="EP273" s="1613" t="e">
        <f>EA273-#REF!/10^7</f>
        <v>#REF!</v>
      </c>
      <c r="EW273" s="1611" t="e">
        <v>#N/A</v>
      </c>
      <c r="EX273" s="1612" t="e">
        <v>#N/A</v>
      </c>
      <c r="EZ273" s="1650">
        <f t="shared" si="607"/>
        <v>0</v>
      </c>
    </row>
    <row r="274" spans="1:156" ht="27" customHeight="1">
      <c r="A274" s="1637" t="s">
        <v>69</v>
      </c>
      <c r="B274" s="1638" t="s">
        <v>1938</v>
      </c>
      <c r="C274" s="1662"/>
      <c r="D274" s="1648"/>
      <c r="E274" s="1648"/>
      <c r="F274" s="1648"/>
      <c r="G274" s="1648"/>
      <c r="H274" s="1648"/>
      <c r="I274" s="1648"/>
      <c r="J274" s="1663"/>
      <c r="K274" s="1648"/>
      <c r="L274" s="1648"/>
      <c r="M274" s="1648"/>
      <c r="N274" s="1642"/>
      <c r="O274" s="2000"/>
      <c r="P274" s="2003">
        <f t="shared" si="555"/>
        <v>0</v>
      </c>
      <c r="Q274" s="1989"/>
      <c r="R274" s="2003">
        <f t="shared" si="556"/>
        <v>0</v>
      </c>
      <c r="S274" s="1989"/>
      <c r="T274" s="2003">
        <f t="shared" si="557"/>
        <v>0</v>
      </c>
      <c r="U274" s="1989"/>
      <c r="V274" s="1989"/>
      <c r="W274" s="1989">
        <f t="shared" si="558"/>
        <v>0</v>
      </c>
      <c r="X274" s="1999"/>
      <c r="Y274" s="1993"/>
      <c r="Z274" s="2003">
        <f t="shared" si="559"/>
        <v>0</v>
      </c>
      <c r="AA274" s="1989"/>
      <c r="AB274" s="2003">
        <f t="shared" si="560"/>
        <v>0</v>
      </c>
      <c r="AC274" s="1989"/>
      <c r="AD274" s="2003">
        <f t="shared" si="561"/>
        <v>0</v>
      </c>
      <c r="AE274" s="1989"/>
      <c r="AF274" s="1989"/>
      <c r="AG274" s="2002">
        <f t="shared" si="562"/>
        <v>0</v>
      </c>
      <c r="AH274" s="1999">
        <f>AA274+AC274+AE274+AF274</f>
        <v>0</v>
      </c>
      <c r="AI274" s="1993"/>
      <c r="AJ274" s="2003">
        <f t="shared" si="563"/>
        <v>0</v>
      </c>
      <c r="AK274" s="1989"/>
      <c r="AL274" s="2003">
        <f t="shared" si="564"/>
        <v>0</v>
      </c>
      <c r="AM274" s="1989"/>
      <c r="AN274" s="2003">
        <f t="shared" si="565"/>
        <v>0</v>
      </c>
      <c r="AO274" s="1989"/>
      <c r="AP274" s="1989"/>
      <c r="AQ274" s="2002">
        <f t="shared" si="566"/>
        <v>0</v>
      </c>
      <c r="AR274" s="1999"/>
      <c r="AS274" s="1993"/>
      <c r="AT274" s="2003">
        <f t="shared" si="567"/>
        <v>0</v>
      </c>
      <c r="AU274" s="1989"/>
      <c r="AV274" s="2003">
        <f t="shared" si="568"/>
        <v>0</v>
      </c>
      <c r="AW274" s="1989"/>
      <c r="AX274" s="2003">
        <f t="shared" si="569"/>
        <v>0</v>
      </c>
      <c r="AY274" s="1989"/>
      <c r="AZ274" s="1989"/>
      <c r="BA274" s="2002">
        <f t="shared" si="570"/>
        <v>0</v>
      </c>
      <c r="BB274" s="1999"/>
      <c r="BC274" s="1993"/>
      <c r="BD274" s="2003">
        <f t="shared" si="571"/>
        <v>0</v>
      </c>
      <c r="BE274" s="1989"/>
      <c r="BF274" s="2003">
        <f t="shared" si="572"/>
        <v>0</v>
      </c>
      <c r="BG274" s="1989"/>
      <c r="BH274" s="2003">
        <f t="shared" si="573"/>
        <v>0</v>
      </c>
      <c r="BI274" s="1989"/>
      <c r="BJ274" s="1989"/>
      <c r="BK274" s="2002">
        <f t="shared" si="574"/>
        <v>0</v>
      </c>
      <c r="BL274" s="1999"/>
      <c r="BM274" s="1993"/>
      <c r="BN274" s="2003">
        <f t="shared" si="575"/>
        <v>0</v>
      </c>
      <c r="BO274" s="1989"/>
      <c r="BP274" s="2003">
        <f t="shared" si="576"/>
        <v>0</v>
      </c>
      <c r="BQ274" s="1989"/>
      <c r="BR274" s="2003">
        <f t="shared" si="577"/>
        <v>0</v>
      </c>
      <c r="BS274" s="1989"/>
      <c r="BT274" s="1989"/>
      <c r="BU274" s="2002">
        <f t="shared" si="578"/>
        <v>0</v>
      </c>
      <c r="BV274" s="1999"/>
      <c r="BW274" s="1993"/>
      <c r="BX274" s="2003">
        <f t="shared" si="579"/>
        <v>0</v>
      </c>
      <c r="BY274" s="1989"/>
      <c r="BZ274" s="2003">
        <f t="shared" si="580"/>
        <v>0</v>
      </c>
      <c r="CA274" s="1989"/>
      <c r="CB274" s="2003">
        <f t="shared" si="581"/>
        <v>0</v>
      </c>
      <c r="CC274" s="1989"/>
      <c r="CD274" s="1989"/>
      <c r="CE274" s="2002">
        <f t="shared" si="582"/>
        <v>0</v>
      </c>
      <c r="CF274" s="1999"/>
      <c r="CG274" s="1993"/>
      <c r="CH274" s="2003">
        <f t="shared" si="583"/>
        <v>0</v>
      </c>
      <c r="CI274" s="1989"/>
      <c r="CJ274" s="2003">
        <f t="shared" si="584"/>
        <v>0</v>
      </c>
      <c r="CK274" s="1989"/>
      <c r="CL274" s="2003">
        <f t="shared" si="585"/>
        <v>0</v>
      </c>
      <c r="CM274" s="1989"/>
      <c r="CN274" s="1989"/>
      <c r="CO274" s="2002">
        <f t="shared" si="586"/>
        <v>0</v>
      </c>
      <c r="CP274" s="1999"/>
      <c r="CQ274" s="1993"/>
      <c r="CR274" s="2003">
        <f t="shared" si="587"/>
        <v>0</v>
      </c>
      <c r="CS274" s="1989"/>
      <c r="CT274" s="2003">
        <f t="shared" si="588"/>
        <v>0</v>
      </c>
      <c r="CU274" s="1989"/>
      <c r="CV274" s="2003">
        <f t="shared" si="589"/>
        <v>0</v>
      </c>
      <c r="CW274" s="1989"/>
      <c r="CX274" s="1989"/>
      <c r="CY274" s="2002">
        <f t="shared" si="590"/>
        <v>0</v>
      </c>
      <c r="CZ274" s="1999"/>
      <c r="DA274" s="1993"/>
      <c r="DB274" s="2003">
        <f t="shared" si="591"/>
        <v>0</v>
      </c>
      <c r="DC274" s="1989"/>
      <c r="DD274" s="2003">
        <f t="shared" si="592"/>
        <v>0</v>
      </c>
      <c r="DE274" s="1989"/>
      <c r="DF274" s="2003">
        <f t="shared" si="593"/>
        <v>0</v>
      </c>
      <c r="DG274" s="1989"/>
      <c r="DH274" s="1989"/>
      <c r="DI274" s="2002">
        <f t="shared" si="594"/>
        <v>0</v>
      </c>
      <c r="DJ274" s="1999"/>
      <c r="DK274" s="1993"/>
      <c r="DL274" s="2003">
        <f t="shared" si="595"/>
        <v>0</v>
      </c>
      <c r="DM274" s="1989"/>
      <c r="DN274" s="2003">
        <f t="shared" si="596"/>
        <v>0</v>
      </c>
      <c r="DO274" s="1989"/>
      <c r="DP274" s="2003">
        <f t="shared" si="597"/>
        <v>0</v>
      </c>
      <c r="DQ274" s="1989"/>
      <c r="DR274" s="1989"/>
      <c r="DS274" s="2002">
        <f t="shared" si="598"/>
        <v>0</v>
      </c>
      <c r="DT274" s="2004"/>
      <c r="DU274" s="1988"/>
      <c r="DV274" s="2003">
        <f t="shared" si="599"/>
        <v>0</v>
      </c>
      <c r="DW274" s="1989"/>
      <c r="DX274" s="2003">
        <f t="shared" si="600"/>
        <v>0</v>
      </c>
      <c r="DY274" s="1989"/>
      <c r="DZ274" s="2003">
        <f t="shared" si="601"/>
        <v>0</v>
      </c>
      <c r="EA274" s="1989"/>
      <c r="EB274" s="1989"/>
      <c r="EC274" s="2002">
        <f t="shared" si="602"/>
        <v>0</v>
      </c>
      <c r="ED274" s="1998"/>
      <c r="EE274" s="2005"/>
      <c r="EF274" s="2003">
        <f t="shared" si="603"/>
        <v>0</v>
      </c>
      <c r="EG274" s="1989"/>
      <c r="EH274" s="2003">
        <f t="shared" si="604"/>
        <v>0</v>
      </c>
      <c r="EI274" s="1989"/>
      <c r="EJ274" s="2003">
        <f t="shared" si="605"/>
        <v>0</v>
      </c>
      <c r="EK274" s="1989"/>
      <c r="EL274" s="1989"/>
      <c r="EM274" s="2006">
        <f t="shared" si="606"/>
        <v>0</v>
      </c>
      <c r="EN274" s="1999"/>
      <c r="EP274" s="1613" t="e">
        <f>EA274-#REF!/10^7</f>
        <v>#REF!</v>
      </c>
      <c r="EW274" s="1611" t="e">
        <v>#N/A</v>
      </c>
      <c r="EX274" s="1612" t="e">
        <v>#N/A</v>
      </c>
      <c r="EZ274" s="1650">
        <f t="shared" si="607"/>
        <v>0</v>
      </c>
    </row>
    <row r="275" spans="1:156" ht="21" customHeight="1">
      <c r="A275" s="1652"/>
      <c r="B275" s="1644" t="s">
        <v>1939</v>
      </c>
      <c r="C275" s="1662"/>
      <c r="D275" s="1646" t="e">
        <f>H275/C275*100</f>
        <v>#DIV/0!</v>
      </c>
      <c r="E275" s="1646"/>
      <c r="F275" s="1648"/>
      <c r="G275" s="1648"/>
      <c r="H275" s="1648"/>
      <c r="I275" s="1648"/>
      <c r="J275" s="1663"/>
      <c r="K275" s="1648"/>
      <c r="L275" s="1648"/>
      <c r="M275" s="1648"/>
      <c r="N275" s="1642"/>
      <c r="O275" s="2000"/>
      <c r="P275" s="2003">
        <f t="shared" si="555"/>
        <v>0</v>
      </c>
      <c r="Q275" s="1989"/>
      <c r="R275" s="2003">
        <f t="shared" si="556"/>
        <v>0</v>
      </c>
      <c r="S275" s="1989"/>
      <c r="T275" s="2003">
        <f t="shared" si="557"/>
        <v>0</v>
      </c>
      <c r="U275" s="1989"/>
      <c r="V275" s="1989"/>
      <c r="W275" s="1989">
        <f t="shared" si="558"/>
        <v>0</v>
      </c>
      <c r="X275" s="1999"/>
      <c r="Y275" s="2000"/>
      <c r="Z275" s="2003">
        <f t="shared" si="559"/>
        <v>0</v>
      </c>
      <c r="AA275" s="1989"/>
      <c r="AB275" s="2003">
        <f t="shared" si="560"/>
        <v>0</v>
      </c>
      <c r="AC275" s="1998"/>
      <c r="AD275" s="2003">
        <f t="shared" si="561"/>
        <v>0</v>
      </c>
      <c r="AE275" s="1989"/>
      <c r="AF275" s="1989"/>
      <c r="AG275" s="2002">
        <f t="shared" si="562"/>
        <v>0</v>
      </c>
      <c r="AH275" s="1999"/>
      <c r="AI275" s="2000"/>
      <c r="AJ275" s="2003">
        <f t="shared" si="563"/>
        <v>0</v>
      </c>
      <c r="AK275" s="1989"/>
      <c r="AL275" s="2003">
        <f t="shared" si="564"/>
        <v>0</v>
      </c>
      <c r="AM275" s="1998"/>
      <c r="AN275" s="2003">
        <f t="shared" si="565"/>
        <v>0</v>
      </c>
      <c r="AO275" s="1989"/>
      <c r="AP275" s="1989"/>
      <c r="AQ275" s="2002">
        <f t="shared" si="566"/>
        <v>0</v>
      </c>
      <c r="AR275" s="1999"/>
      <c r="AS275" s="2000"/>
      <c r="AT275" s="2003">
        <f t="shared" si="567"/>
        <v>0</v>
      </c>
      <c r="AU275" s="1989"/>
      <c r="AV275" s="2003">
        <f t="shared" si="568"/>
        <v>0</v>
      </c>
      <c r="AW275" s="1998"/>
      <c r="AX275" s="2003">
        <f t="shared" si="569"/>
        <v>0</v>
      </c>
      <c r="AY275" s="1989"/>
      <c r="AZ275" s="1989"/>
      <c r="BA275" s="2002">
        <f t="shared" si="570"/>
        <v>0</v>
      </c>
      <c r="BB275" s="1999"/>
      <c r="BC275" s="2000"/>
      <c r="BD275" s="2003">
        <f t="shared" si="571"/>
        <v>0</v>
      </c>
      <c r="BE275" s="1989"/>
      <c r="BF275" s="2003">
        <f t="shared" si="572"/>
        <v>0</v>
      </c>
      <c r="BG275" s="1998"/>
      <c r="BH275" s="2003">
        <f t="shared" si="573"/>
        <v>0</v>
      </c>
      <c r="BI275" s="1989"/>
      <c r="BJ275" s="1989"/>
      <c r="BK275" s="2002">
        <f t="shared" si="574"/>
        <v>0</v>
      </c>
      <c r="BL275" s="1999"/>
      <c r="BM275" s="2000"/>
      <c r="BN275" s="2003">
        <f t="shared" si="575"/>
        <v>0</v>
      </c>
      <c r="BO275" s="1989"/>
      <c r="BP275" s="2003">
        <f t="shared" si="576"/>
        <v>0</v>
      </c>
      <c r="BQ275" s="1998"/>
      <c r="BR275" s="2003">
        <f t="shared" si="577"/>
        <v>0</v>
      </c>
      <c r="BS275" s="1989"/>
      <c r="BT275" s="1989"/>
      <c r="BU275" s="2002">
        <f t="shared" si="578"/>
        <v>0</v>
      </c>
      <c r="BV275" s="1999"/>
      <c r="BW275" s="2000"/>
      <c r="BX275" s="2003">
        <f t="shared" si="579"/>
        <v>0</v>
      </c>
      <c r="BY275" s="1989"/>
      <c r="BZ275" s="2003">
        <f t="shared" si="580"/>
        <v>0</v>
      </c>
      <c r="CA275" s="1998"/>
      <c r="CB275" s="2003">
        <f t="shared" si="581"/>
        <v>0</v>
      </c>
      <c r="CC275" s="1989"/>
      <c r="CD275" s="1989"/>
      <c r="CE275" s="2002">
        <f t="shared" si="582"/>
        <v>0</v>
      </c>
      <c r="CF275" s="1999"/>
      <c r="CG275" s="2000"/>
      <c r="CH275" s="2003">
        <f t="shared" si="583"/>
        <v>0</v>
      </c>
      <c r="CI275" s="1989"/>
      <c r="CJ275" s="2003">
        <f t="shared" si="584"/>
        <v>0</v>
      </c>
      <c r="CK275" s="1998"/>
      <c r="CL275" s="2003">
        <f t="shared" si="585"/>
        <v>0</v>
      </c>
      <c r="CM275" s="1989"/>
      <c r="CN275" s="1989"/>
      <c r="CO275" s="2002">
        <f t="shared" si="586"/>
        <v>0</v>
      </c>
      <c r="CP275" s="1999"/>
      <c r="CQ275" s="2000"/>
      <c r="CR275" s="2003">
        <f t="shared" si="587"/>
        <v>0</v>
      </c>
      <c r="CS275" s="1989"/>
      <c r="CT275" s="2003">
        <f t="shared" si="588"/>
        <v>0</v>
      </c>
      <c r="CU275" s="1998"/>
      <c r="CV275" s="2003">
        <f t="shared" si="589"/>
        <v>0</v>
      </c>
      <c r="CW275" s="1989"/>
      <c r="CX275" s="1989"/>
      <c r="CY275" s="2002">
        <f t="shared" si="590"/>
        <v>0</v>
      </c>
      <c r="CZ275" s="1999"/>
      <c r="DA275" s="2000"/>
      <c r="DB275" s="2003">
        <f t="shared" si="591"/>
        <v>0</v>
      </c>
      <c r="DC275" s="1989"/>
      <c r="DD275" s="2003">
        <f t="shared" si="592"/>
        <v>0</v>
      </c>
      <c r="DE275" s="1998"/>
      <c r="DF275" s="2003">
        <f t="shared" si="593"/>
        <v>0</v>
      </c>
      <c r="DG275" s="1989"/>
      <c r="DH275" s="1989"/>
      <c r="DI275" s="2002">
        <f t="shared" si="594"/>
        <v>0</v>
      </c>
      <c r="DJ275" s="1999"/>
      <c r="DK275" s="2000"/>
      <c r="DL275" s="2003">
        <f t="shared" si="595"/>
        <v>0</v>
      </c>
      <c r="DM275" s="1989"/>
      <c r="DN275" s="2003">
        <f t="shared" si="596"/>
        <v>0</v>
      </c>
      <c r="DO275" s="1998"/>
      <c r="DP275" s="2003">
        <f t="shared" si="597"/>
        <v>0</v>
      </c>
      <c r="DQ275" s="1989"/>
      <c r="DR275" s="1989"/>
      <c r="DS275" s="2002">
        <f t="shared" si="598"/>
        <v>0</v>
      </c>
      <c r="DT275" s="2004"/>
      <c r="DU275" s="2020"/>
      <c r="DV275" s="2003">
        <f t="shared" si="599"/>
        <v>0</v>
      </c>
      <c r="DW275" s="1989"/>
      <c r="DX275" s="2003">
        <f t="shared" si="600"/>
        <v>0</v>
      </c>
      <c r="DY275" s="1998"/>
      <c r="DZ275" s="2003">
        <f t="shared" si="601"/>
        <v>0</v>
      </c>
      <c r="EA275" s="1989"/>
      <c r="EB275" s="1989"/>
      <c r="EC275" s="2002">
        <f t="shared" si="602"/>
        <v>0</v>
      </c>
      <c r="ED275" s="1998"/>
      <c r="EE275" s="2005">
        <f>O275+Y275+AI275+AS275+BC275+BM275+BW275+CG275+CQ275+DA275+DK275+DU275</f>
        <v>0</v>
      </c>
      <c r="EF275" s="2003">
        <f t="shared" si="603"/>
        <v>0</v>
      </c>
      <c r="EG275" s="1989">
        <f t="shared" ref="EG275:EG282" si="620">Q275+AA275+AK275+AU275+BE275+BO275+BY275+CI275+CS275+DC275+DM275+DW275</f>
        <v>0</v>
      </c>
      <c r="EH275" s="2003">
        <f t="shared" si="604"/>
        <v>0</v>
      </c>
      <c r="EI275" s="1989">
        <f t="shared" ref="EI275:EI282" si="621">S275+AC275+AM275+AW275+BG275+BQ275+CA275+CK275+CU275+DE275+DO275+DY275</f>
        <v>0</v>
      </c>
      <c r="EJ275" s="2003">
        <f t="shared" si="605"/>
        <v>0</v>
      </c>
      <c r="EK275" s="1989">
        <f t="shared" ref="EK275:EL282" si="622">U275+AE275+AO275+AY275+BI275+BS275+CC275+CM275+CW275+DG275+DQ275+EA275</f>
        <v>0</v>
      </c>
      <c r="EL275" s="1989">
        <f t="shared" si="622"/>
        <v>0</v>
      </c>
      <c r="EM275" s="2006">
        <f t="shared" si="606"/>
        <v>0</v>
      </c>
      <c r="EN275" s="1999">
        <f>EG275+EI275+EK275+EL275</f>
        <v>0</v>
      </c>
      <c r="EP275" s="1613" t="e">
        <f>EA275-#REF!/10^7</f>
        <v>#REF!</v>
      </c>
      <c r="EW275" s="1611" t="e">
        <v>#N/A</v>
      </c>
      <c r="EX275" s="1612" t="e">
        <v>#N/A</v>
      </c>
      <c r="EZ275" s="1650">
        <f t="shared" si="607"/>
        <v>0</v>
      </c>
    </row>
    <row r="276" spans="1:156" ht="21" customHeight="1">
      <c r="A276" s="1652"/>
      <c r="B276" s="1644" t="s">
        <v>1940</v>
      </c>
      <c r="C276" s="1662"/>
      <c r="D276" s="1646" t="e">
        <f>H276/C276*100</f>
        <v>#DIV/0!</v>
      </c>
      <c r="E276" s="1646"/>
      <c r="F276" s="1648" t="s">
        <v>1594</v>
      </c>
      <c r="G276" s="1648"/>
      <c r="H276" s="1648"/>
      <c r="I276" s="1648"/>
      <c r="J276" s="1663"/>
      <c r="K276" s="1648"/>
      <c r="L276" s="1648"/>
      <c r="M276" s="1648"/>
      <c r="N276" s="1642"/>
      <c r="O276" s="2000" t="e">
        <f>#REF!</f>
        <v>#REF!</v>
      </c>
      <c r="P276" s="2003">
        <f t="shared" si="555"/>
        <v>0</v>
      </c>
      <c r="Q276" s="1989" t="e">
        <f>#REF!/10^7</f>
        <v>#REF!</v>
      </c>
      <c r="R276" s="2003">
        <f t="shared" si="556"/>
        <v>0</v>
      </c>
      <c r="S276" s="1989" t="e">
        <f>#REF!/10^7</f>
        <v>#REF!</v>
      </c>
      <c r="T276" s="2003">
        <f t="shared" si="557"/>
        <v>0</v>
      </c>
      <c r="U276" s="1989" t="e">
        <f>#REF!/10^7</f>
        <v>#REF!</v>
      </c>
      <c r="V276" s="1989" t="e">
        <f>#REF!/10^7</f>
        <v>#REF!</v>
      </c>
      <c r="W276" s="1989">
        <f t="shared" si="558"/>
        <v>0</v>
      </c>
      <c r="X276" s="1999" t="e">
        <f t="shared" ref="X276:X282" si="623">Q276+S276+U276+V276</f>
        <v>#REF!</v>
      </c>
      <c r="Y276" s="1993" t="e">
        <f>#REF!</f>
        <v>#REF!</v>
      </c>
      <c r="Z276" s="2003">
        <f t="shared" si="559"/>
        <v>0</v>
      </c>
      <c r="AA276" s="1989" t="e">
        <f>#REF!/10^7</f>
        <v>#REF!</v>
      </c>
      <c r="AB276" s="2003">
        <f t="shared" si="560"/>
        <v>0</v>
      </c>
      <c r="AC276" s="1989" t="e">
        <f>#REF!/10^7</f>
        <v>#REF!</v>
      </c>
      <c r="AD276" s="2003">
        <f t="shared" si="561"/>
        <v>0</v>
      </c>
      <c r="AE276" s="1989" t="e">
        <f>#REF!/10^7</f>
        <v>#REF!</v>
      </c>
      <c r="AF276" s="1989" t="e">
        <f>#REF!/10^7</f>
        <v>#REF!</v>
      </c>
      <c r="AG276" s="2002" t="e">
        <f t="shared" si="562"/>
        <v>#REF!</v>
      </c>
      <c r="AH276" s="1999" t="e">
        <f t="shared" ref="AH276:AH282" si="624">AA276+AC276+AE276+AF276</f>
        <v>#REF!</v>
      </c>
      <c r="AI276" s="1993" t="e">
        <f>#REF!</f>
        <v>#REF!</v>
      </c>
      <c r="AJ276" s="2003">
        <f t="shared" si="563"/>
        <v>0</v>
      </c>
      <c r="AK276" s="1989" t="e">
        <f>#REF!/10^7</f>
        <v>#REF!</v>
      </c>
      <c r="AL276" s="2003">
        <f t="shared" si="564"/>
        <v>0</v>
      </c>
      <c r="AM276" s="1989" t="e">
        <f>#REF!/10^7</f>
        <v>#REF!</v>
      </c>
      <c r="AN276" s="2003">
        <f t="shared" si="565"/>
        <v>0</v>
      </c>
      <c r="AO276" s="1989" t="e">
        <f>#REF!/10^7</f>
        <v>#REF!</v>
      </c>
      <c r="AP276" s="1989" t="e">
        <f>#REF!/10^7</f>
        <v>#REF!</v>
      </c>
      <c r="AQ276" s="2002" t="e">
        <f t="shared" si="566"/>
        <v>#REF!</v>
      </c>
      <c r="AR276" s="1999" t="e">
        <f t="shared" ref="AR276:AR282" si="625">AK276+AM276+AO276+AP276</f>
        <v>#REF!</v>
      </c>
      <c r="AS276" s="1993" t="e">
        <f>#REF!</f>
        <v>#REF!</v>
      </c>
      <c r="AT276" s="2003">
        <f t="shared" si="567"/>
        <v>0</v>
      </c>
      <c r="AU276" s="1989" t="e">
        <f>#REF!/10^7</f>
        <v>#REF!</v>
      </c>
      <c r="AV276" s="2003">
        <f t="shared" si="568"/>
        <v>0</v>
      </c>
      <c r="AW276" s="1989" t="e">
        <f>#REF!/10^7</f>
        <v>#REF!</v>
      </c>
      <c r="AX276" s="2003">
        <f t="shared" si="569"/>
        <v>0</v>
      </c>
      <c r="AY276" s="1989" t="e">
        <f>#REF!/10^7</f>
        <v>#REF!</v>
      </c>
      <c r="AZ276" s="1989" t="e">
        <f>#REF!/10^7</f>
        <v>#REF!</v>
      </c>
      <c r="BA276" s="2002" t="e">
        <f t="shared" si="570"/>
        <v>#REF!</v>
      </c>
      <c r="BB276" s="1999" t="e">
        <f t="shared" ref="BB276:BB282" si="626">AU276+AW276+AY276+AZ276</f>
        <v>#REF!</v>
      </c>
      <c r="BC276" s="1993" t="e">
        <f>#REF!</f>
        <v>#REF!</v>
      </c>
      <c r="BD276" s="2003">
        <f t="shared" si="571"/>
        <v>0</v>
      </c>
      <c r="BE276" s="1989" t="e">
        <f>#REF!/10^7</f>
        <v>#REF!</v>
      </c>
      <c r="BF276" s="2003">
        <f t="shared" si="572"/>
        <v>0</v>
      </c>
      <c r="BG276" s="1989" t="e">
        <f>#REF!/10^7</f>
        <v>#REF!</v>
      </c>
      <c r="BH276" s="2003">
        <f t="shared" si="573"/>
        <v>0</v>
      </c>
      <c r="BI276" s="1989" t="e">
        <f>#REF!/10^7</f>
        <v>#REF!</v>
      </c>
      <c r="BJ276" s="1989" t="e">
        <f>#REF!/10^7</f>
        <v>#REF!</v>
      </c>
      <c r="BK276" s="2002" t="e">
        <f t="shared" si="574"/>
        <v>#REF!</v>
      </c>
      <c r="BL276" s="1999" t="e">
        <f t="shared" ref="BL276:BL282" si="627">BE276+BG276+BI276+BJ276</f>
        <v>#REF!</v>
      </c>
      <c r="BM276" s="1993" t="e">
        <f>#REF!</f>
        <v>#REF!</v>
      </c>
      <c r="BN276" s="2003">
        <f t="shared" si="575"/>
        <v>0</v>
      </c>
      <c r="BO276" s="1989" t="e">
        <f>#REF!/10^7</f>
        <v>#REF!</v>
      </c>
      <c r="BP276" s="2003">
        <f t="shared" si="576"/>
        <v>0</v>
      </c>
      <c r="BQ276" s="1989" t="e">
        <f>#REF!/10^7</f>
        <v>#REF!</v>
      </c>
      <c r="BR276" s="2003">
        <f t="shared" si="577"/>
        <v>0</v>
      </c>
      <c r="BS276" s="1989" t="e">
        <f>#REF!/10^7</f>
        <v>#REF!</v>
      </c>
      <c r="BT276" s="1989" t="e">
        <f>#REF!/10^7</f>
        <v>#REF!</v>
      </c>
      <c r="BU276" s="2002" t="e">
        <f t="shared" si="578"/>
        <v>#REF!</v>
      </c>
      <c r="BV276" s="1999" t="e">
        <f t="shared" ref="BV276:BV282" si="628">BO276+BQ276+BS276+BT276</f>
        <v>#REF!</v>
      </c>
      <c r="BW276" s="1993" t="e">
        <f>#REF!</f>
        <v>#REF!</v>
      </c>
      <c r="BX276" s="2003">
        <f t="shared" si="579"/>
        <v>0</v>
      </c>
      <c r="BY276" s="1989" t="e">
        <f>#REF!/10^7</f>
        <v>#REF!</v>
      </c>
      <c r="BZ276" s="2003">
        <f t="shared" si="580"/>
        <v>0</v>
      </c>
      <c r="CA276" s="1989" t="e">
        <f>#REF!/10^7</f>
        <v>#REF!</v>
      </c>
      <c r="CB276" s="2003">
        <f t="shared" si="581"/>
        <v>0</v>
      </c>
      <c r="CC276" s="1989" t="e">
        <f>#REF!/10^7</f>
        <v>#REF!</v>
      </c>
      <c r="CD276" s="1989" t="e">
        <f>#REF!/10^7</f>
        <v>#REF!</v>
      </c>
      <c r="CE276" s="2002" t="e">
        <f t="shared" si="582"/>
        <v>#REF!</v>
      </c>
      <c r="CF276" s="1999" t="e">
        <f t="shared" ref="CF276:CF282" si="629">BY276+CA276+CC276+CD276</f>
        <v>#REF!</v>
      </c>
      <c r="CG276" s="1993" t="e">
        <f>#REF!</f>
        <v>#REF!</v>
      </c>
      <c r="CH276" s="2003">
        <f t="shared" si="583"/>
        <v>0</v>
      </c>
      <c r="CI276" s="1989" t="e">
        <f>#REF!/10^7</f>
        <v>#REF!</v>
      </c>
      <c r="CJ276" s="2003">
        <f t="shared" si="584"/>
        <v>0</v>
      </c>
      <c r="CK276" s="1989" t="e">
        <f>#REF!/10^7</f>
        <v>#REF!</v>
      </c>
      <c r="CL276" s="2003">
        <f t="shared" si="585"/>
        <v>0</v>
      </c>
      <c r="CM276" s="1989" t="e">
        <f>#REF!/10^7</f>
        <v>#REF!</v>
      </c>
      <c r="CN276" s="1989" t="e">
        <f>#REF!/10^7</f>
        <v>#REF!</v>
      </c>
      <c r="CO276" s="2002" t="e">
        <f t="shared" si="586"/>
        <v>#REF!</v>
      </c>
      <c r="CP276" s="1999" t="e">
        <f t="shared" ref="CP276:CP282" si="630">CI276+CK276+CM276+CN276</f>
        <v>#REF!</v>
      </c>
      <c r="CQ276" s="1993" t="e">
        <f>#REF!</f>
        <v>#REF!</v>
      </c>
      <c r="CR276" s="2003">
        <f t="shared" si="587"/>
        <v>0</v>
      </c>
      <c r="CS276" s="1989" t="e">
        <f>#REF!/10^7</f>
        <v>#REF!</v>
      </c>
      <c r="CT276" s="2003">
        <f t="shared" si="588"/>
        <v>0</v>
      </c>
      <c r="CU276" s="1989" t="e">
        <f>#REF!/10^7</f>
        <v>#REF!</v>
      </c>
      <c r="CV276" s="2003">
        <f t="shared" si="589"/>
        <v>0</v>
      </c>
      <c r="CW276" s="1989" t="e">
        <f>#REF!/10^7</f>
        <v>#REF!</v>
      </c>
      <c r="CX276" s="1989" t="e">
        <f>#REF!/10^7</f>
        <v>#REF!</v>
      </c>
      <c r="CY276" s="2002" t="e">
        <f t="shared" si="590"/>
        <v>#REF!</v>
      </c>
      <c r="CZ276" s="1999" t="e">
        <f t="shared" ref="CZ276:CZ282" si="631">CS276+CU276+CW276+CX276</f>
        <v>#REF!</v>
      </c>
      <c r="DA276" s="1993" t="e">
        <f>#REF!</f>
        <v>#REF!</v>
      </c>
      <c r="DB276" s="2003">
        <f t="shared" si="591"/>
        <v>0</v>
      </c>
      <c r="DC276" s="1989" t="e">
        <f>#REF!/10^7</f>
        <v>#REF!</v>
      </c>
      <c r="DD276" s="2003">
        <f t="shared" si="592"/>
        <v>0</v>
      </c>
      <c r="DE276" s="1989" t="e">
        <f>#REF!/10^7</f>
        <v>#REF!</v>
      </c>
      <c r="DF276" s="2003">
        <f t="shared" si="593"/>
        <v>0</v>
      </c>
      <c r="DG276" s="1989" t="e">
        <f>#REF!/10^7</f>
        <v>#REF!</v>
      </c>
      <c r="DH276" s="1989" t="e">
        <f>#REF!/10^7</f>
        <v>#REF!</v>
      </c>
      <c r="DI276" s="2002" t="e">
        <f t="shared" si="594"/>
        <v>#REF!</v>
      </c>
      <c r="DJ276" s="1999" t="e">
        <f t="shared" ref="DJ276:DJ282" si="632">DC276+DE276+DG276+DH276</f>
        <v>#REF!</v>
      </c>
      <c r="DK276" s="1993" t="e">
        <f>#REF!</f>
        <v>#REF!</v>
      </c>
      <c r="DL276" s="2003">
        <f t="shared" si="595"/>
        <v>0</v>
      </c>
      <c r="DM276" s="1989" t="e">
        <f>#REF!/10^7</f>
        <v>#REF!</v>
      </c>
      <c r="DN276" s="2003">
        <f t="shared" si="596"/>
        <v>0</v>
      </c>
      <c r="DO276" s="1989" t="e">
        <f>#REF!/10^7</f>
        <v>#REF!</v>
      </c>
      <c r="DP276" s="2003">
        <f t="shared" si="597"/>
        <v>0</v>
      </c>
      <c r="DQ276" s="1989" t="e">
        <f>#REF!/10^7</f>
        <v>#REF!</v>
      </c>
      <c r="DR276" s="1989" t="e">
        <f>#REF!/10^7</f>
        <v>#REF!</v>
      </c>
      <c r="DS276" s="2002" t="e">
        <f t="shared" si="598"/>
        <v>#REF!</v>
      </c>
      <c r="DT276" s="2004" t="e">
        <f t="shared" ref="DT276:DT282" si="633">DM276+DO276+DQ276+DR276</f>
        <v>#REF!</v>
      </c>
      <c r="DU276" s="1988" t="e">
        <f>#REF!</f>
        <v>#REF!</v>
      </c>
      <c r="DV276" s="2003">
        <f t="shared" si="599"/>
        <v>0</v>
      </c>
      <c r="DW276" s="1989" t="e">
        <f>#REF!/10^7</f>
        <v>#REF!</v>
      </c>
      <c r="DX276" s="2003">
        <f t="shared" si="600"/>
        <v>0</v>
      </c>
      <c r="DY276" s="1989" t="e">
        <f>#REF!/10^7</f>
        <v>#REF!</v>
      </c>
      <c r="DZ276" s="2003">
        <f t="shared" si="601"/>
        <v>0</v>
      </c>
      <c r="EA276" s="1989" t="e">
        <f>#REF!/10^7</f>
        <v>#REF!</v>
      </c>
      <c r="EB276" s="1989" t="e">
        <f>#REF!/10^7</f>
        <v>#REF!</v>
      </c>
      <c r="EC276" s="2002" t="e">
        <f t="shared" si="602"/>
        <v>#REF!</v>
      </c>
      <c r="ED276" s="1998" t="e">
        <f t="shared" ref="ED276:ED282" si="634">DW276+DY276+EA276+EB276</f>
        <v>#REF!</v>
      </c>
      <c r="EE276" s="1997" t="e">
        <f>O276+Y276+AI276+AS276+BC276+BM276+BW276+CG276+CQ276+DA276+DK276+DU276</f>
        <v>#REF!</v>
      </c>
      <c r="EF276" s="2003">
        <f t="shared" si="603"/>
        <v>0</v>
      </c>
      <c r="EG276" s="1989" t="e">
        <f t="shared" si="620"/>
        <v>#REF!</v>
      </c>
      <c r="EH276" s="2003">
        <f t="shared" si="604"/>
        <v>0</v>
      </c>
      <c r="EI276" s="1989" t="e">
        <f t="shared" si="621"/>
        <v>#REF!</v>
      </c>
      <c r="EJ276" s="2003">
        <f t="shared" si="605"/>
        <v>0</v>
      </c>
      <c r="EK276" s="1989" t="e">
        <f t="shared" si="622"/>
        <v>#REF!</v>
      </c>
      <c r="EL276" s="1989" t="e">
        <f t="shared" si="622"/>
        <v>#REF!</v>
      </c>
      <c r="EM276" s="2006" t="e">
        <f t="shared" si="606"/>
        <v>#REF!</v>
      </c>
      <c r="EN276" s="1999" t="e">
        <f>EG276+EI276+EK276+EL276</f>
        <v>#REF!</v>
      </c>
      <c r="EP276" s="1613" t="e">
        <f>EA276-#REF!/10^7</f>
        <v>#REF!</v>
      </c>
      <c r="EW276" s="1611" t="e">
        <v>#N/A</v>
      </c>
      <c r="EX276" s="1612" t="e">
        <v>#N/A</v>
      </c>
      <c r="EZ276" s="1650">
        <f t="shared" si="607"/>
        <v>0</v>
      </c>
    </row>
    <row r="277" spans="1:156" ht="21" customHeight="1">
      <c r="A277" s="1652"/>
      <c r="B277" s="1644" t="s">
        <v>1941</v>
      </c>
      <c r="C277" s="1662"/>
      <c r="D277" s="1646" t="e">
        <f>H277/C277*100</f>
        <v>#DIV/0!</v>
      </c>
      <c r="E277" s="1646"/>
      <c r="F277" s="1648" t="s">
        <v>1594</v>
      </c>
      <c r="G277" s="1648"/>
      <c r="H277" s="1648"/>
      <c r="I277" s="1648"/>
      <c r="J277" s="1663"/>
      <c r="K277" s="1648"/>
      <c r="L277" s="1648"/>
      <c r="M277" s="1648"/>
      <c r="N277" s="1642"/>
      <c r="O277" s="2000" t="e">
        <f>#REF!</f>
        <v>#REF!</v>
      </c>
      <c r="P277" s="2003">
        <f t="shared" si="555"/>
        <v>0</v>
      </c>
      <c r="Q277" s="1989" t="e">
        <f>#REF!/10^7</f>
        <v>#REF!</v>
      </c>
      <c r="R277" s="2003">
        <f t="shared" si="556"/>
        <v>0</v>
      </c>
      <c r="S277" s="1989" t="e">
        <f>#REF!/10^7</f>
        <v>#REF!</v>
      </c>
      <c r="T277" s="2003">
        <f t="shared" si="557"/>
        <v>0</v>
      </c>
      <c r="U277" s="1989" t="e">
        <f>#REF!/10^7</f>
        <v>#REF!</v>
      </c>
      <c r="V277" s="1989" t="e">
        <f>#REF!/10^7</f>
        <v>#REF!</v>
      </c>
      <c r="W277" s="1989">
        <f t="shared" si="558"/>
        <v>0</v>
      </c>
      <c r="X277" s="1999" t="e">
        <f t="shared" si="623"/>
        <v>#REF!</v>
      </c>
      <c r="Y277" s="1993" t="e">
        <f>#REF!</f>
        <v>#REF!</v>
      </c>
      <c r="Z277" s="2003">
        <f t="shared" si="559"/>
        <v>0</v>
      </c>
      <c r="AA277" s="1989" t="e">
        <f>#REF!/10^7</f>
        <v>#REF!</v>
      </c>
      <c r="AB277" s="2003">
        <f t="shared" si="560"/>
        <v>0</v>
      </c>
      <c r="AC277" s="1989" t="e">
        <f>#REF!/10^7</f>
        <v>#REF!</v>
      </c>
      <c r="AD277" s="2003">
        <f t="shared" si="561"/>
        <v>0</v>
      </c>
      <c r="AE277" s="1989" t="e">
        <f>#REF!/10^7</f>
        <v>#REF!</v>
      </c>
      <c r="AF277" s="1989" t="e">
        <f>#REF!/10^7</f>
        <v>#REF!</v>
      </c>
      <c r="AG277" s="2002" t="e">
        <f t="shared" si="562"/>
        <v>#REF!</v>
      </c>
      <c r="AH277" s="1999" t="e">
        <f t="shared" si="624"/>
        <v>#REF!</v>
      </c>
      <c r="AI277" s="1993" t="e">
        <f>#REF!</f>
        <v>#REF!</v>
      </c>
      <c r="AJ277" s="2003">
        <f t="shared" si="563"/>
        <v>0</v>
      </c>
      <c r="AK277" s="1989" t="e">
        <f>#REF!/10^7</f>
        <v>#REF!</v>
      </c>
      <c r="AL277" s="2003">
        <f t="shared" si="564"/>
        <v>0</v>
      </c>
      <c r="AM277" s="1989" t="e">
        <f>#REF!/10^7</f>
        <v>#REF!</v>
      </c>
      <c r="AN277" s="2003">
        <f t="shared" si="565"/>
        <v>0</v>
      </c>
      <c r="AO277" s="1989" t="e">
        <f>#REF!/10^7</f>
        <v>#REF!</v>
      </c>
      <c r="AP277" s="1989" t="e">
        <f>#REF!/10^7</f>
        <v>#REF!</v>
      </c>
      <c r="AQ277" s="2002" t="e">
        <f t="shared" si="566"/>
        <v>#REF!</v>
      </c>
      <c r="AR277" s="1999" t="e">
        <f t="shared" si="625"/>
        <v>#REF!</v>
      </c>
      <c r="AS277" s="1993" t="e">
        <f>#REF!</f>
        <v>#REF!</v>
      </c>
      <c r="AT277" s="2003">
        <f t="shared" si="567"/>
        <v>0</v>
      </c>
      <c r="AU277" s="1989" t="e">
        <f>#REF!/10^7</f>
        <v>#REF!</v>
      </c>
      <c r="AV277" s="2003">
        <f t="shared" si="568"/>
        <v>0</v>
      </c>
      <c r="AW277" s="1989" t="e">
        <f>#REF!/10^7</f>
        <v>#REF!</v>
      </c>
      <c r="AX277" s="2003">
        <f t="shared" si="569"/>
        <v>0</v>
      </c>
      <c r="AY277" s="1989" t="e">
        <f>#REF!/10^7</f>
        <v>#REF!</v>
      </c>
      <c r="AZ277" s="1989" t="e">
        <f>#REF!/10^7</f>
        <v>#REF!</v>
      </c>
      <c r="BA277" s="2002" t="e">
        <f t="shared" si="570"/>
        <v>#REF!</v>
      </c>
      <c r="BB277" s="1999" t="e">
        <f t="shared" si="626"/>
        <v>#REF!</v>
      </c>
      <c r="BC277" s="1993" t="e">
        <f>#REF!</f>
        <v>#REF!</v>
      </c>
      <c r="BD277" s="2003">
        <f t="shared" si="571"/>
        <v>0</v>
      </c>
      <c r="BE277" s="1989" t="e">
        <f>#REF!/10^7</f>
        <v>#REF!</v>
      </c>
      <c r="BF277" s="2003">
        <f t="shared" si="572"/>
        <v>0</v>
      </c>
      <c r="BG277" s="1989" t="e">
        <f>#REF!/10^7</f>
        <v>#REF!</v>
      </c>
      <c r="BH277" s="2003">
        <f t="shared" si="573"/>
        <v>0</v>
      </c>
      <c r="BI277" s="1989" t="e">
        <f>#REF!/10^7</f>
        <v>#REF!</v>
      </c>
      <c r="BJ277" s="1989" t="e">
        <f>#REF!/10^7</f>
        <v>#REF!</v>
      </c>
      <c r="BK277" s="2002" t="e">
        <f t="shared" si="574"/>
        <v>#REF!</v>
      </c>
      <c r="BL277" s="1999" t="e">
        <f t="shared" si="627"/>
        <v>#REF!</v>
      </c>
      <c r="BM277" s="1993" t="e">
        <f>#REF!</f>
        <v>#REF!</v>
      </c>
      <c r="BN277" s="2003">
        <f t="shared" si="575"/>
        <v>0</v>
      </c>
      <c r="BO277" s="1989" t="e">
        <f>#REF!/10^7</f>
        <v>#REF!</v>
      </c>
      <c r="BP277" s="2003">
        <f t="shared" si="576"/>
        <v>0</v>
      </c>
      <c r="BQ277" s="1989" t="e">
        <f>#REF!/10^7</f>
        <v>#REF!</v>
      </c>
      <c r="BR277" s="2003">
        <f t="shared" si="577"/>
        <v>0</v>
      </c>
      <c r="BS277" s="1989" t="e">
        <f>#REF!/10^7</f>
        <v>#REF!</v>
      </c>
      <c r="BT277" s="1989" t="e">
        <f>#REF!/10^7</f>
        <v>#REF!</v>
      </c>
      <c r="BU277" s="2002" t="e">
        <f t="shared" si="578"/>
        <v>#REF!</v>
      </c>
      <c r="BV277" s="1999" t="e">
        <f t="shared" si="628"/>
        <v>#REF!</v>
      </c>
      <c r="BW277" s="1993" t="e">
        <f>#REF!</f>
        <v>#REF!</v>
      </c>
      <c r="BX277" s="2003">
        <f t="shared" si="579"/>
        <v>0</v>
      </c>
      <c r="BY277" s="1989" t="e">
        <f>#REF!/10^7</f>
        <v>#REF!</v>
      </c>
      <c r="BZ277" s="2003">
        <f t="shared" si="580"/>
        <v>0</v>
      </c>
      <c r="CA277" s="1989" t="e">
        <f>#REF!/10^7</f>
        <v>#REF!</v>
      </c>
      <c r="CB277" s="2003">
        <f t="shared" si="581"/>
        <v>0</v>
      </c>
      <c r="CC277" s="1989" t="e">
        <f>#REF!/10^7</f>
        <v>#REF!</v>
      </c>
      <c r="CD277" s="1989" t="e">
        <f>#REF!/10^7</f>
        <v>#REF!</v>
      </c>
      <c r="CE277" s="2002" t="e">
        <f t="shared" si="582"/>
        <v>#REF!</v>
      </c>
      <c r="CF277" s="1999" t="e">
        <f t="shared" si="629"/>
        <v>#REF!</v>
      </c>
      <c r="CG277" s="1993" t="e">
        <f>#REF!</f>
        <v>#REF!</v>
      </c>
      <c r="CH277" s="2003">
        <f t="shared" si="583"/>
        <v>0</v>
      </c>
      <c r="CI277" s="1989" t="e">
        <f>#REF!/10^7</f>
        <v>#REF!</v>
      </c>
      <c r="CJ277" s="2003">
        <f t="shared" si="584"/>
        <v>0</v>
      </c>
      <c r="CK277" s="1989" t="e">
        <f>#REF!/10^7</f>
        <v>#REF!</v>
      </c>
      <c r="CL277" s="2003">
        <f t="shared" si="585"/>
        <v>0</v>
      </c>
      <c r="CM277" s="1989" t="e">
        <f>#REF!/10^7</f>
        <v>#REF!</v>
      </c>
      <c r="CN277" s="1989" t="e">
        <f>#REF!/10^7</f>
        <v>#REF!</v>
      </c>
      <c r="CO277" s="2002" t="e">
        <f t="shared" si="586"/>
        <v>#REF!</v>
      </c>
      <c r="CP277" s="1999" t="e">
        <f t="shared" si="630"/>
        <v>#REF!</v>
      </c>
      <c r="CQ277" s="1993" t="e">
        <f>#REF!</f>
        <v>#REF!</v>
      </c>
      <c r="CR277" s="2003">
        <f t="shared" si="587"/>
        <v>0</v>
      </c>
      <c r="CS277" s="1989" t="e">
        <f>#REF!/10^7</f>
        <v>#REF!</v>
      </c>
      <c r="CT277" s="2003">
        <f t="shared" si="588"/>
        <v>0</v>
      </c>
      <c r="CU277" s="1989" t="e">
        <f>#REF!/10^7</f>
        <v>#REF!</v>
      </c>
      <c r="CV277" s="2003">
        <f t="shared" si="589"/>
        <v>0</v>
      </c>
      <c r="CW277" s="1989" t="e">
        <f>#REF!/10^7</f>
        <v>#REF!</v>
      </c>
      <c r="CX277" s="1989" t="e">
        <f>#REF!/10^7</f>
        <v>#REF!</v>
      </c>
      <c r="CY277" s="2002" t="e">
        <f t="shared" si="590"/>
        <v>#REF!</v>
      </c>
      <c r="CZ277" s="1999" t="e">
        <f t="shared" si="631"/>
        <v>#REF!</v>
      </c>
      <c r="DA277" s="1993" t="e">
        <f>#REF!</f>
        <v>#REF!</v>
      </c>
      <c r="DB277" s="2003">
        <f t="shared" si="591"/>
        <v>0</v>
      </c>
      <c r="DC277" s="1989" t="e">
        <f>#REF!/10^7</f>
        <v>#REF!</v>
      </c>
      <c r="DD277" s="2003">
        <f t="shared" si="592"/>
        <v>0</v>
      </c>
      <c r="DE277" s="1989" t="e">
        <f>#REF!/10^7</f>
        <v>#REF!</v>
      </c>
      <c r="DF277" s="2003">
        <f t="shared" si="593"/>
        <v>0</v>
      </c>
      <c r="DG277" s="1989" t="e">
        <f>#REF!/10^7</f>
        <v>#REF!</v>
      </c>
      <c r="DH277" s="1989" t="e">
        <f>#REF!/10^7</f>
        <v>#REF!</v>
      </c>
      <c r="DI277" s="2002" t="e">
        <f t="shared" si="594"/>
        <v>#REF!</v>
      </c>
      <c r="DJ277" s="1999" t="e">
        <f t="shared" si="632"/>
        <v>#REF!</v>
      </c>
      <c r="DK277" s="1993" t="e">
        <f>#REF!</f>
        <v>#REF!</v>
      </c>
      <c r="DL277" s="2003">
        <f t="shared" si="595"/>
        <v>0</v>
      </c>
      <c r="DM277" s="1989" t="e">
        <f>#REF!/10^7</f>
        <v>#REF!</v>
      </c>
      <c r="DN277" s="2003">
        <f t="shared" si="596"/>
        <v>0</v>
      </c>
      <c r="DO277" s="1989" t="e">
        <f>#REF!/10^7</f>
        <v>#REF!</v>
      </c>
      <c r="DP277" s="2003">
        <f t="shared" si="597"/>
        <v>0</v>
      </c>
      <c r="DQ277" s="1989" t="e">
        <f>#REF!/10^7</f>
        <v>#REF!</v>
      </c>
      <c r="DR277" s="1989" t="e">
        <f>#REF!/10^7</f>
        <v>#REF!</v>
      </c>
      <c r="DS277" s="2002" t="e">
        <f t="shared" si="598"/>
        <v>#REF!</v>
      </c>
      <c r="DT277" s="2004" t="e">
        <f t="shared" si="633"/>
        <v>#REF!</v>
      </c>
      <c r="DU277" s="1988" t="e">
        <f>#REF!</f>
        <v>#REF!</v>
      </c>
      <c r="DV277" s="2003">
        <f t="shared" si="599"/>
        <v>0</v>
      </c>
      <c r="DW277" s="1989" t="e">
        <f>#REF!/10^7</f>
        <v>#REF!</v>
      </c>
      <c r="DX277" s="2003">
        <f t="shared" si="600"/>
        <v>0</v>
      </c>
      <c r="DY277" s="1989" t="e">
        <f>#REF!/10^7</f>
        <v>#REF!</v>
      </c>
      <c r="DZ277" s="2003">
        <f t="shared" si="601"/>
        <v>0</v>
      </c>
      <c r="EA277" s="1989" t="e">
        <f>#REF!/10^7</f>
        <v>#REF!</v>
      </c>
      <c r="EB277" s="1989" t="e">
        <f>#REF!/10^7</f>
        <v>#REF!</v>
      </c>
      <c r="EC277" s="2002" t="e">
        <f t="shared" si="602"/>
        <v>#REF!</v>
      </c>
      <c r="ED277" s="1998" t="e">
        <f t="shared" si="634"/>
        <v>#REF!</v>
      </c>
      <c r="EE277" s="1997" t="e">
        <f>O277+Y277+AI277+AS277+BC277+BM277+BW277+CG277+CQ277+DA277+DK277+DU277</f>
        <v>#REF!</v>
      </c>
      <c r="EF277" s="2003">
        <f t="shared" si="603"/>
        <v>0</v>
      </c>
      <c r="EG277" s="1989" t="e">
        <f t="shared" si="620"/>
        <v>#REF!</v>
      </c>
      <c r="EH277" s="2003">
        <f t="shared" si="604"/>
        <v>0</v>
      </c>
      <c r="EI277" s="1989" t="e">
        <f t="shared" si="621"/>
        <v>#REF!</v>
      </c>
      <c r="EJ277" s="2003">
        <f t="shared" si="605"/>
        <v>0</v>
      </c>
      <c r="EK277" s="1989" t="e">
        <f t="shared" si="622"/>
        <v>#REF!</v>
      </c>
      <c r="EL277" s="1989" t="e">
        <f t="shared" si="622"/>
        <v>#REF!</v>
      </c>
      <c r="EM277" s="2006" t="e">
        <f t="shared" si="606"/>
        <v>#REF!</v>
      </c>
      <c r="EN277" s="1999" t="e">
        <f t="shared" ref="EN277:EN282" si="635">EG277+EI277+EK277+EL277</f>
        <v>#REF!</v>
      </c>
      <c r="EP277" s="1613" t="e">
        <f>EA277-#REF!/10^7</f>
        <v>#REF!</v>
      </c>
      <c r="EW277" s="1611" t="e">
        <v>#N/A</v>
      </c>
      <c r="EX277" s="1612" t="e">
        <v>#N/A</v>
      </c>
      <c r="EZ277" s="1650">
        <f t="shared" si="607"/>
        <v>0</v>
      </c>
    </row>
    <row r="278" spans="1:156" ht="21" customHeight="1">
      <c r="A278" s="1652"/>
      <c r="B278" s="1644" t="s">
        <v>1942</v>
      </c>
      <c r="C278" s="1662"/>
      <c r="D278" s="1646" t="e">
        <f>H278/C278*100</f>
        <v>#DIV/0!</v>
      </c>
      <c r="E278" s="1646"/>
      <c r="F278" s="1648"/>
      <c r="G278" s="1648"/>
      <c r="H278" s="1648"/>
      <c r="I278" s="1648"/>
      <c r="J278" s="1663"/>
      <c r="K278" s="1648"/>
      <c r="L278" s="1648"/>
      <c r="M278" s="1648"/>
      <c r="N278" s="1642"/>
      <c r="O278" s="2000" t="e">
        <f>#REF!</f>
        <v>#REF!</v>
      </c>
      <c r="P278" s="2003">
        <f t="shared" si="555"/>
        <v>0</v>
      </c>
      <c r="Q278" s="1989" t="e">
        <f>#REF!/10^7</f>
        <v>#REF!</v>
      </c>
      <c r="R278" s="2003">
        <f t="shared" si="556"/>
        <v>0</v>
      </c>
      <c r="S278" s="1989" t="e">
        <f>#REF!/10^7</f>
        <v>#REF!</v>
      </c>
      <c r="T278" s="2003">
        <f t="shared" si="557"/>
        <v>0</v>
      </c>
      <c r="U278" s="1989" t="e">
        <f>#REF!/10^7</f>
        <v>#REF!</v>
      </c>
      <c r="V278" s="1989" t="e">
        <f>#REF!/10^7</f>
        <v>#REF!</v>
      </c>
      <c r="W278" s="1989">
        <f t="shared" si="558"/>
        <v>0</v>
      </c>
      <c r="X278" s="1999" t="e">
        <f t="shared" si="623"/>
        <v>#REF!</v>
      </c>
      <c r="Y278" s="1993" t="e">
        <f>#REF!</f>
        <v>#REF!</v>
      </c>
      <c r="Z278" s="2003">
        <f t="shared" si="559"/>
        <v>0</v>
      </c>
      <c r="AA278" s="1989" t="e">
        <f>#REF!/10^7</f>
        <v>#REF!</v>
      </c>
      <c r="AB278" s="2003">
        <f t="shared" si="560"/>
        <v>0</v>
      </c>
      <c r="AC278" s="1989" t="e">
        <f>#REF!/10^7</f>
        <v>#REF!</v>
      </c>
      <c r="AD278" s="2003">
        <f t="shared" si="561"/>
        <v>0</v>
      </c>
      <c r="AE278" s="1989" t="e">
        <f>#REF!/10^7</f>
        <v>#REF!</v>
      </c>
      <c r="AF278" s="1989" t="e">
        <f>#REF!/10^7</f>
        <v>#REF!</v>
      </c>
      <c r="AG278" s="2002" t="e">
        <f t="shared" si="562"/>
        <v>#REF!</v>
      </c>
      <c r="AH278" s="1999" t="e">
        <f t="shared" si="624"/>
        <v>#REF!</v>
      </c>
      <c r="AI278" s="1993" t="e">
        <f>#REF!</f>
        <v>#REF!</v>
      </c>
      <c r="AJ278" s="2003">
        <f t="shared" si="563"/>
        <v>0</v>
      </c>
      <c r="AK278" s="1989" t="e">
        <f>#REF!/10^7</f>
        <v>#REF!</v>
      </c>
      <c r="AL278" s="2003">
        <f t="shared" si="564"/>
        <v>0</v>
      </c>
      <c r="AM278" s="1989" t="e">
        <f>#REF!/10^7</f>
        <v>#REF!</v>
      </c>
      <c r="AN278" s="2003">
        <f t="shared" si="565"/>
        <v>0</v>
      </c>
      <c r="AO278" s="1989" t="e">
        <f>#REF!/10^7</f>
        <v>#REF!</v>
      </c>
      <c r="AP278" s="1989" t="e">
        <f>#REF!/10^7</f>
        <v>#REF!</v>
      </c>
      <c r="AQ278" s="2002" t="e">
        <f t="shared" si="566"/>
        <v>#REF!</v>
      </c>
      <c r="AR278" s="1999" t="e">
        <f t="shared" si="625"/>
        <v>#REF!</v>
      </c>
      <c r="AS278" s="1993" t="e">
        <f>#REF!</f>
        <v>#REF!</v>
      </c>
      <c r="AT278" s="2003">
        <f t="shared" si="567"/>
        <v>0</v>
      </c>
      <c r="AU278" s="1989" t="e">
        <f>#REF!/10^7</f>
        <v>#REF!</v>
      </c>
      <c r="AV278" s="2003">
        <f t="shared" si="568"/>
        <v>0</v>
      </c>
      <c r="AW278" s="1989" t="e">
        <f>#REF!/10^7</f>
        <v>#REF!</v>
      </c>
      <c r="AX278" s="2003">
        <f t="shared" si="569"/>
        <v>0</v>
      </c>
      <c r="AY278" s="1989" t="e">
        <f>#REF!/10^7</f>
        <v>#REF!</v>
      </c>
      <c r="AZ278" s="1989" t="e">
        <f>#REF!/10^7</f>
        <v>#REF!</v>
      </c>
      <c r="BA278" s="2002" t="e">
        <f t="shared" si="570"/>
        <v>#REF!</v>
      </c>
      <c r="BB278" s="1999" t="e">
        <f t="shared" si="626"/>
        <v>#REF!</v>
      </c>
      <c r="BC278" s="1993" t="e">
        <f>#REF!</f>
        <v>#REF!</v>
      </c>
      <c r="BD278" s="2003">
        <f t="shared" si="571"/>
        <v>0</v>
      </c>
      <c r="BE278" s="1989" t="e">
        <f>#REF!/10^7</f>
        <v>#REF!</v>
      </c>
      <c r="BF278" s="2003">
        <f t="shared" si="572"/>
        <v>0</v>
      </c>
      <c r="BG278" s="1989" t="e">
        <f>#REF!/10^7</f>
        <v>#REF!</v>
      </c>
      <c r="BH278" s="2003">
        <f t="shared" si="573"/>
        <v>0</v>
      </c>
      <c r="BI278" s="1989" t="e">
        <f>#REF!/10^7</f>
        <v>#REF!</v>
      </c>
      <c r="BJ278" s="1989" t="e">
        <f>#REF!/10^7</f>
        <v>#REF!</v>
      </c>
      <c r="BK278" s="2002" t="e">
        <f t="shared" si="574"/>
        <v>#REF!</v>
      </c>
      <c r="BL278" s="1999" t="e">
        <f t="shared" si="627"/>
        <v>#REF!</v>
      </c>
      <c r="BM278" s="1993" t="e">
        <f>#REF!</f>
        <v>#REF!</v>
      </c>
      <c r="BN278" s="2003">
        <f t="shared" si="575"/>
        <v>0</v>
      </c>
      <c r="BO278" s="1989" t="e">
        <f>#REF!/10^7</f>
        <v>#REF!</v>
      </c>
      <c r="BP278" s="2003">
        <f t="shared" si="576"/>
        <v>0</v>
      </c>
      <c r="BQ278" s="1989" t="e">
        <f>#REF!/10^7</f>
        <v>#REF!</v>
      </c>
      <c r="BR278" s="2003">
        <f t="shared" si="577"/>
        <v>0</v>
      </c>
      <c r="BS278" s="1989" t="e">
        <f>#REF!/10^7</f>
        <v>#REF!</v>
      </c>
      <c r="BT278" s="1989" t="e">
        <f>#REF!/10^7</f>
        <v>#REF!</v>
      </c>
      <c r="BU278" s="2002" t="e">
        <f t="shared" si="578"/>
        <v>#REF!</v>
      </c>
      <c r="BV278" s="1999" t="e">
        <f t="shared" si="628"/>
        <v>#REF!</v>
      </c>
      <c r="BW278" s="1993" t="e">
        <f>#REF!</f>
        <v>#REF!</v>
      </c>
      <c r="BX278" s="2003">
        <f t="shared" si="579"/>
        <v>0</v>
      </c>
      <c r="BY278" s="1989" t="e">
        <f>#REF!/10^7</f>
        <v>#REF!</v>
      </c>
      <c r="BZ278" s="2003">
        <f t="shared" si="580"/>
        <v>0</v>
      </c>
      <c r="CA278" s="1989" t="e">
        <f>#REF!/10^7</f>
        <v>#REF!</v>
      </c>
      <c r="CB278" s="2003">
        <f t="shared" si="581"/>
        <v>0</v>
      </c>
      <c r="CC278" s="1989" t="e">
        <f>#REF!/10^7</f>
        <v>#REF!</v>
      </c>
      <c r="CD278" s="1989" t="e">
        <f>#REF!/10^7</f>
        <v>#REF!</v>
      </c>
      <c r="CE278" s="2002" t="e">
        <f t="shared" si="582"/>
        <v>#REF!</v>
      </c>
      <c r="CF278" s="1999" t="e">
        <f t="shared" si="629"/>
        <v>#REF!</v>
      </c>
      <c r="CG278" s="1993" t="e">
        <f>#REF!</f>
        <v>#REF!</v>
      </c>
      <c r="CH278" s="2003">
        <f t="shared" si="583"/>
        <v>0</v>
      </c>
      <c r="CI278" s="1989" t="e">
        <f>#REF!/10^7</f>
        <v>#REF!</v>
      </c>
      <c r="CJ278" s="2003">
        <f t="shared" si="584"/>
        <v>0</v>
      </c>
      <c r="CK278" s="1989" t="e">
        <f>#REF!/10^7</f>
        <v>#REF!</v>
      </c>
      <c r="CL278" s="2003">
        <f t="shared" si="585"/>
        <v>0</v>
      </c>
      <c r="CM278" s="1989" t="e">
        <f>#REF!/10^7</f>
        <v>#REF!</v>
      </c>
      <c r="CN278" s="1989" t="e">
        <f>#REF!/10^7</f>
        <v>#REF!</v>
      </c>
      <c r="CO278" s="2002" t="e">
        <f t="shared" si="586"/>
        <v>#REF!</v>
      </c>
      <c r="CP278" s="1999" t="e">
        <f t="shared" si="630"/>
        <v>#REF!</v>
      </c>
      <c r="CQ278" s="1993" t="e">
        <f>#REF!</f>
        <v>#REF!</v>
      </c>
      <c r="CR278" s="2003">
        <f t="shared" si="587"/>
        <v>0</v>
      </c>
      <c r="CS278" s="1989" t="e">
        <f>#REF!/10^7</f>
        <v>#REF!</v>
      </c>
      <c r="CT278" s="2003">
        <f t="shared" si="588"/>
        <v>0</v>
      </c>
      <c r="CU278" s="1989" t="e">
        <f>#REF!/10^7</f>
        <v>#REF!</v>
      </c>
      <c r="CV278" s="2003">
        <f t="shared" si="589"/>
        <v>0</v>
      </c>
      <c r="CW278" s="1989" t="e">
        <f>#REF!/10^7</f>
        <v>#REF!</v>
      </c>
      <c r="CX278" s="1989" t="e">
        <f>#REF!/10^7</f>
        <v>#REF!</v>
      </c>
      <c r="CY278" s="2002" t="e">
        <f t="shared" si="590"/>
        <v>#REF!</v>
      </c>
      <c r="CZ278" s="1999" t="e">
        <f t="shared" si="631"/>
        <v>#REF!</v>
      </c>
      <c r="DA278" s="1993" t="e">
        <f>#REF!</f>
        <v>#REF!</v>
      </c>
      <c r="DB278" s="2003">
        <f t="shared" si="591"/>
        <v>0</v>
      </c>
      <c r="DC278" s="1989" t="e">
        <f>#REF!/10^7</f>
        <v>#REF!</v>
      </c>
      <c r="DD278" s="2003">
        <f t="shared" si="592"/>
        <v>0</v>
      </c>
      <c r="DE278" s="1989" t="e">
        <f>#REF!/10^7</f>
        <v>#REF!</v>
      </c>
      <c r="DF278" s="2003">
        <f t="shared" si="593"/>
        <v>0</v>
      </c>
      <c r="DG278" s="1989" t="e">
        <f>#REF!/10^7</f>
        <v>#REF!</v>
      </c>
      <c r="DH278" s="1989" t="e">
        <f>#REF!/10^7</f>
        <v>#REF!</v>
      </c>
      <c r="DI278" s="2002" t="e">
        <f t="shared" si="594"/>
        <v>#REF!</v>
      </c>
      <c r="DJ278" s="1999" t="e">
        <f t="shared" si="632"/>
        <v>#REF!</v>
      </c>
      <c r="DK278" s="1993" t="e">
        <f>#REF!</f>
        <v>#REF!</v>
      </c>
      <c r="DL278" s="2003">
        <f t="shared" si="595"/>
        <v>0</v>
      </c>
      <c r="DM278" s="1989" t="e">
        <f>#REF!/10^7</f>
        <v>#REF!</v>
      </c>
      <c r="DN278" s="2003">
        <f t="shared" si="596"/>
        <v>0</v>
      </c>
      <c r="DO278" s="1989" t="e">
        <f>#REF!/10^7</f>
        <v>#REF!</v>
      </c>
      <c r="DP278" s="2003">
        <f t="shared" si="597"/>
        <v>0</v>
      </c>
      <c r="DQ278" s="1989" t="e">
        <f>#REF!/10^7</f>
        <v>#REF!</v>
      </c>
      <c r="DR278" s="1989" t="e">
        <f>#REF!/10^7</f>
        <v>#REF!</v>
      </c>
      <c r="DS278" s="2002" t="e">
        <f t="shared" si="598"/>
        <v>#REF!</v>
      </c>
      <c r="DT278" s="2004" t="e">
        <f t="shared" si="633"/>
        <v>#REF!</v>
      </c>
      <c r="DU278" s="1988" t="e">
        <f>#REF!</f>
        <v>#REF!</v>
      </c>
      <c r="DV278" s="2003">
        <f t="shared" si="599"/>
        <v>0</v>
      </c>
      <c r="DW278" s="1989" t="e">
        <f>#REF!/10^7</f>
        <v>#REF!</v>
      </c>
      <c r="DX278" s="2003">
        <f t="shared" si="600"/>
        <v>0</v>
      </c>
      <c r="DY278" s="1989" t="e">
        <f>#REF!/10^7</f>
        <v>#REF!</v>
      </c>
      <c r="DZ278" s="2003">
        <f t="shared" si="601"/>
        <v>0</v>
      </c>
      <c r="EA278" s="1989" t="e">
        <f>#REF!/10^7</f>
        <v>#REF!</v>
      </c>
      <c r="EB278" s="1989" t="e">
        <f>#REF!/10^7</f>
        <v>#REF!</v>
      </c>
      <c r="EC278" s="2002" t="e">
        <f t="shared" si="602"/>
        <v>#REF!</v>
      </c>
      <c r="ED278" s="1998" t="e">
        <f t="shared" si="634"/>
        <v>#REF!</v>
      </c>
      <c r="EE278" s="1997" t="e">
        <f>SUM(EE279:EE282)</f>
        <v>#REF!</v>
      </c>
      <c r="EF278" s="2003">
        <f t="shared" si="603"/>
        <v>0</v>
      </c>
      <c r="EG278" s="1989" t="e">
        <f t="shared" si="620"/>
        <v>#REF!</v>
      </c>
      <c r="EH278" s="2003">
        <f t="shared" si="604"/>
        <v>0</v>
      </c>
      <c r="EI278" s="1989" t="e">
        <f t="shared" si="621"/>
        <v>#REF!</v>
      </c>
      <c r="EJ278" s="2003">
        <f t="shared" si="605"/>
        <v>0</v>
      </c>
      <c r="EK278" s="1989" t="e">
        <f t="shared" si="622"/>
        <v>#REF!</v>
      </c>
      <c r="EL278" s="1989" t="e">
        <f t="shared" si="622"/>
        <v>#REF!</v>
      </c>
      <c r="EM278" s="2006" t="e">
        <f t="shared" si="606"/>
        <v>#REF!</v>
      </c>
      <c r="EN278" s="1999" t="e">
        <f t="shared" si="635"/>
        <v>#REF!</v>
      </c>
      <c r="EP278" s="1613" t="e">
        <f>EA278-#REF!/10^7</f>
        <v>#REF!</v>
      </c>
      <c r="EW278" s="1611" t="e">
        <v>#N/A</v>
      </c>
      <c r="EX278" s="1612" t="e">
        <v>#N/A</v>
      </c>
      <c r="EZ278" s="1650">
        <f t="shared" si="607"/>
        <v>0</v>
      </c>
    </row>
    <row r="279" spans="1:156" ht="21" customHeight="1">
      <c r="A279" s="1652"/>
      <c r="B279" s="1644" t="s">
        <v>1943</v>
      </c>
      <c r="C279" s="1662"/>
      <c r="D279" s="1646"/>
      <c r="E279" s="1646"/>
      <c r="F279" s="1648"/>
      <c r="G279" s="1648"/>
      <c r="H279" s="1648"/>
      <c r="I279" s="1648"/>
      <c r="J279" s="1663"/>
      <c r="K279" s="1648"/>
      <c r="L279" s="1648"/>
      <c r="M279" s="1648"/>
      <c r="N279" s="1642"/>
      <c r="O279" s="2000" t="e">
        <f>#REF!</f>
        <v>#REF!</v>
      </c>
      <c r="P279" s="2003">
        <f t="shared" si="555"/>
        <v>0</v>
      </c>
      <c r="Q279" s="1989" t="e">
        <f>#REF!/10^7</f>
        <v>#REF!</v>
      </c>
      <c r="R279" s="2003">
        <f t="shared" si="556"/>
        <v>0</v>
      </c>
      <c r="S279" s="1989" t="e">
        <f>#REF!/10^7</f>
        <v>#REF!</v>
      </c>
      <c r="T279" s="2003">
        <f t="shared" si="557"/>
        <v>0</v>
      </c>
      <c r="U279" s="1989" t="e">
        <f>#REF!/10^7</f>
        <v>#REF!</v>
      </c>
      <c r="V279" s="1989" t="e">
        <f>#REF!/10^7</f>
        <v>#REF!</v>
      </c>
      <c r="W279" s="1989">
        <f t="shared" si="558"/>
        <v>0</v>
      </c>
      <c r="X279" s="1999" t="e">
        <f t="shared" si="623"/>
        <v>#REF!</v>
      </c>
      <c r="Y279" s="1993" t="e">
        <f>#REF!</f>
        <v>#REF!</v>
      </c>
      <c r="Z279" s="2003">
        <f t="shared" si="559"/>
        <v>0</v>
      </c>
      <c r="AA279" s="1989" t="e">
        <f>#REF!/10^7</f>
        <v>#REF!</v>
      </c>
      <c r="AB279" s="2003">
        <f t="shared" si="560"/>
        <v>0</v>
      </c>
      <c r="AC279" s="1989" t="e">
        <f>#REF!/10^7</f>
        <v>#REF!</v>
      </c>
      <c r="AD279" s="2003">
        <f t="shared" si="561"/>
        <v>0</v>
      </c>
      <c r="AE279" s="1989" t="e">
        <f>#REF!/10^7</f>
        <v>#REF!</v>
      </c>
      <c r="AF279" s="1989" t="e">
        <f>#REF!/10^7</f>
        <v>#REF!</v>
      </c>
      <c r="AG279" s="2002" t="e">
        <f t="shared" si="562"/>
        <v>#REF!</v>
      </c>
      <c r="AH279" s="1999" t="e">
        <f t="shared" si="624"/>
        <v>#REF!</v>
      </c>
      <c r="AI279" s="1993" t="e">
        <f>#REF!</f>
        <v>#REF!</v>
      </c>
      <c r="AJ279" s="2003">
        <f t="shared" si="563"/>
        <v>0</v>
      </c>
      <c r="AK279" s="1989" t="e">
        <f>#REF!/10^7</f>
        <v>#REF!</v>
      </c>
      <c r="AL279" s="2003">
        <f t="shared" si="564"/>
        <v>0</v>
      </c>
      <c r="AM279" s="1989" t="e">
        <f>#REF!/10^7</f>
        <v>#REF!</v>
      </c>
      <c r="AN279" s="2003">
        <f t="shared" si="565"/>
        <v>0</v>
      </c>
      <c r="AO279" s="1989" t="e">
        <f>#REF!/10^7</f>
        <v>#REF!</v>
      </c>
      <c r="AP279" s="1989" t="e">
        <f>#REF!/10^7</f>
        <v>#REF!</v>
      </c>
      <c r="AQ279" s="2002" t="e">
        <f t="shared" si="566"/>
        <v>#REF!</v>
      </c>
      <c r="AR279" s="1999" t="e">
        <f t="shared" si="625"/>
        <v>#REF!</v>
      </c>
      <c r="AS279" s="1993" t="e">
        <f>#REF!</f>
        <v>#REF!</v>
      </c>
      <c r="AT279" s="2003">
        <f t="shared" si="567"/>
        <v>0</v>
      </c>
      <c r="AU279" s="1989" t="e">
        <f>#REF!/10^7</f>
        <v>#REF!</v>
      </c>
      <c r="AV279" s="2003">
        <f t="shared" si="568"/>
        <v>0</v>
      </c>
      <c r="AW279" s="1989" t="e">
        <f>#REF!/10^7</f>
        <v>#REF!</v>
      </c>
      <c r="AX279" s="2003">
        <f t="shared" si="569"/>
        <v>0</v>
      </c>
      <c r="AY279" s="1989" t="e">
        <f>#REF!/10^7</f>
        <v>#REF!</v>
      </c>
      <c r="AZ279" s="1989" t="e">
        <f>#REF!/10^7</f>
        <v>#REF!</v>
      </c>
      <c r="BA279" s="2002" t="e">
        <f t="shared" si="570"/>
        <v>#REF!</v>
      </c>
      <c r="BB279" s="1999" t="e">
        <f t="shared" si="626"/>
        <v>#REF!</v>
      </c>
      <c r="BC279" s="1993" t="e">
        <f>#REF!</f>
        <v>#REF!</v>
      </c>
      <c r="BD279" s="2003">
        <f t="shared" si="571"/>
        <v>0</v>
      </c>
      <c r="BE279" s="1989" t="e">
        <f>#REF!/10^7</f>
        <v>#REF!</v>
      </c>
      <c r="BF279" s="2003">
        <f t="shared" si="572"/>
        <v>0</v>
      </c>
      <c r="BG279" s="1989" t="e">
        <f>#REF!/10^7</f>
        <v>#REF!</v>
      </c>
      <c r="BH279" s="2003">
        <f t="shared" si="573"/>
        <v>0</v>
      </c>
      <c r="BI279" s="1989" t="e">
        <f>#REF!/10^7</f>
        <v>#REF!</v>
      </c>
      <c r="BJ279" s="1989" t="e">
        <f>#REF!/10^7</f>
        <v>#REF!</v>
      </c>
      <c r="BK279" s="2002" t="e">
        <f t="shared" si="574"/>
        <v>#REF!</v>
      </c>
      <c r="BL279" s="1999" t="e">
        <f t="shared" si="627"/>
        <v>#REF!</v>
      </c>
      <c r="BM279" s="1993" t="e">
        <f>#REF!</f>
        <v>#REF!</v>
      </c>
      <c r="BN279" s="2003">
        <f t="shared" si="575"/>
        <v>0</v>
      </c>
      <c r="BO279" s="1989" t="e">
        <f>#REF!/10^7</f>
        <v>#REF!</v>
      </c>
      <c r="BP279" s="2003">
        <f t="shared" si="576"/>
        <v>0</v>
      </c>
      <c r="BQ279" s="1989" t="e">
        <f>#REF!/10^7</f>
        <v>#REF!</v>
      </c>
      <c r="BR279" s="2003">
        <f t="shared" si="577"/>
        <v>0</v>
      </c>
      <c r="BS279" s="1989" t="e">
        <f>#REF!/10^7</f>
        <v>#REF!</v>
      </c>
      <c r="BT279" s="1989" t="e">
        <f>#REF!/10^7</f>
        <v>#REF!</v>
      </c>
      <c r="BU279" s="2002" t="e">
        <f t="shared" si="578"/>
        <v>#REF!</v>
      </c>
      <c r="BV279" s="1999" t="e">
        <f t="shared" si="628"/>
        <v>#REF!</v>
      </c>
      <c r="BW279" s="1993" t="e">
        <f>#REF!</f>
        <v>#REF!</v>
      </c>
      <c r="BX279" s="2003">
        <f t="shared" si="579"/>
        <v>0</v>
      </c>
      <c r="BY279" s="1989" t="e">
        <f>#REF!/10^7</f>
        <v>#REF!</v>
      </c>
      <c r="BZ279" s="2003">
        <f t="shared" si="580"/>
        <v>0</v>
      </c>
      <c r="CA279" s="1989" t="e">
        <f>#REF!/10^7</f>
        <v>#REF!</v>
      </c>
      <c r="CB279" s="2003">
        <f t="shared" si="581"/>
        <v>0</v>
      </c>
      <c r="CC279" s="1989" t="e">
        <f>#REF!/10^7</f>
        <v>#REF!</v>
      </c>
      <c r="CD279" s="1989" t="e">
        <f>#REF!/10^7</f>
        <v>#REF!</v>
      </c>
      <c r="CE279" s="2002" t="e">
        <f t="shared" si="582"/>
        <v>#REF!</v>
      </c>
      <c r="CF279" s="1999" t="e">
        <f t="shared" si="629"/>
        <v>#REF!</v>
      </c>
      <c r="CG279" s="1993" t="e">
        <f>#REF!</f>
        <v>#REF!</v>
      </c>
      <c r="CH279" s="2003">
        <f t="shared" si="583"/>
        <v>0</v>
      </c>
      <c r="CI279" s="1989" t="e">
        <f>#REF!/10^7</f>
        <v>#REF!</v>
      </c>
      <c r="CJ279" s="2003">
        <f t="shared" si="584"/>
        <v>0</v>
      </c>
      <c r="CK279" s="1989" t="e">
        <f>#REF!/10^7</f>
        <v>#REF!</v>
      </c>
      <c r="CL279" s="2003">
        <f t="shared" si="585"/>
        <v>0</v>
      </c>
      <c r="CM279" s="1989" t="e">
        <f>#REF!/10^7</f>
        <v>#REF!</v>
      </c>
      <c r="CN279" s="1989" t="e">
        <f>#REF!/10^7</f>
        <v>#REF!</v>
      </c>
      <c r="CO279" s="2002" t="e">
        <f t="shared" si="586"/>
        <v>#REF!</v>
      </c>
      <c r="CP279" s="1999" t="e">
        <f t="shared" si="630"/>
        <v>#REF!</v>
      </c>
      <c r="CQ279" s="1993" t="e">
        <f>#REF!</f>
        <v>#REF!</v>
      </c>
      <c r="CR279" s="2003">
        <f t="shared" si="587"/>
        <v>0</v>
      </c>
      <c r="CS279" s="1989" t="e">
        <f>#REF!/10^7</f>
        <v>#REF!</v>
      </c>
      <c r="CT279" s="2003">
        <f t="shared" si="588"/>
        <v>0</v>
      </c>
      <c r="CU279" s="1989" t="e">
        <f>#REF!/10^7</f>
        <v>#REF!</v>
      </c>
      <c r="CV279" s="2003">
        <f t="shared" si="589"/>
        <v>0</v>
      </c>
      <c r="CW279" s="1989" t="e">
        <f>#REF!/10^7</f>
        <v>#REF!</v>
      </c>
      <c r="CX279" s="1989" t="e">
        <f>#REF!/10^7</f>
        <v>#REF!</v>
      </c>
      <c r="CY279" s="2002" t="e">
        <f t="shared" si="590"/>
        <v>#REF!</v>
      </c>
      <c r="CZ279" s="1999" t="e">
        <f t="shared" si="631"/>
        <v>#REF!</v>
      </c>
      <c r="DA279" s="1993" t="e">
        <f>#REF!</f>
        <v>#REF!</v>
      </c>
      <c r="DB279" s="2003">
        <f t="shared" si="591"/>
        <v>0</v>
      </c>
      <c r="DC279" s="1989" t="e">
        <f>#REF!/10^7</f>
        <v>#REF!</v>
      </c>
      <c r="DD279" s="2003">
        <f t="shared" si="592"/>
        <v>0</v>
      </c>
      <c r="DE279" s="1989" t="e">
        <f>#REF!/10^7</f>
        <v>#REF!</v>
      </c>
      <c r="DF279" s="2003">
        <f t="shared" si="593"/>
        <v>0</v>
      </c>
      <c r="DG279" s="1989" t="e">
        <f>#REF!/10^7</f>
        <v>#REF!</v>
      </c>
      <c r="DH279" s="1989" t="e">
        <f>#REF!/10^7</f>
        <v>#REF!</v>
      </c>
      <c r="DI279" s="2002" t="e">
        <f t="shared" si="594"/>
        <v>#REF!</v>
      </c>
      <c r="DJ279" s="1999" t="e">
        <f t="shared" si="632"/>
        <v>#REF!</v>
      </c>
      <c r="DK279" s="1993" t="e">
        <f>#REF!</f>
        <v>#REF!</v>
      </c>
      <c r="DL279" s="2003">
        <f t="shared" si="595"/>
        <v>0</v>
      </c>
      <c r="DM279" s="1989" t="e">
        <f>#REF!/10^7</f>
        <v>#REF!</v>
      </c>
      <c r="DN279" s="2003">
        <f t="shared" si="596"/>
        <v>0</v>
      </c>
      <c r="DO279" s="1989" t="e">
        <f>#REF!/10^7</f>
        <v>#REF!</v>
      </c>
      <c r="DP279" s="2003">
        <f t="shared" si="597"/>
        <v>0</v>
      </c>
      <c r="DQ279" s="1989" t="e">
        <f>#REF!/10^7</f>
        <v>#REF!</v>
      </c>
      <c r="DR279" s="1989" t="e">
        <f>#REF!/10^7</f>
        <v>#REF!</v>
      </c>
      <c r="DS279" s="2002" t="e">
        <f t="shared" si="598"/>
        <v>#REF!</v>
      </c>
      <c r="DT279" s="2004" t="e">
        <f t="shared" si="633"/>
        <v>#REF!</v>
      </c>
      <c r="DU279" s="1988" t="e">
        <f>#REF!</f>
        <v>#REF!</v>
      </c>
      <c r="DV279" s="2003">
        <f t="shared" si="599"/>
        <v>0</v>
      </c>
      <c r="DW279" s="1989" t="e">
        <f>#REF!/10^7</f>
        <v>#REF!</v>
      </c>
      <c r="DX279" s="2003">
        <f t="shared" si="600"/>
        <v>0</v>
      </c>
      <c r="DY279" s="1989" t="e">
        <f>#REF!/10^7</f>
        <v>#REF!</v>
      </c>
      <c r="DZ279" s="2003">
        <f t="shared" si="601"/>
        <v>0</v>
      </c>
      <c r="EA279" s="1989" t="e">
        <f>#REF!/10^7</f>
        <v>#REF!</v>
      </c>
      <c r="EB279" s="1989" t="e">
        <f>#REF!/10^7</f>
        <v>#REF!</v>
      </c>
      <c r="EC279" s="2002" t="e">
        <f t="shared" si="602"/>
        <v>#REF!</v>
      </c>
      <c r="ED279" s="1998" t="e">
        <f t="shared" si="634"/>
        <v>#REF!</v>
      </c>
      <c r="EE279" s="2005" t="e">
        <f>O279+Y279+AI279+AS279+BC279+BM279+BW279+CG279+CQ279+DA279+DK279+DU279</f>
        <v>#REF!</v>
      </c>
      <c r="EF279" s="2003">
        <f t="shared" si="603"/>
        <v>0</v>
      </c>
      <c r="EG279" s="1989" t="e">
        <f t="shared" si="620"/>
        <v>#REF!</v>
      </c>
      <c r="EH279" s="2003">
        <f t="shared" si="604"/>
        <v>0</v>
      </c>
      <c r="EI279" s="1989" t="e">
        <f t="shared" si="621"/>
        <v>#REF!</v>
      </c>
      <c r="EJ279" s="2003">
        <f t="shared" si="605"/>
        <v>0</v>
      </c>
      <c r="EK279" s="1989" t="e">
        <f t="shared" si="622"/>
        <v>#REF!</v>
      </c>
      <c r="EL279" s="1989" t="e">
        <f t="shared" si="622"/>
        <v>#REF!</v>
      </c>
      <c r="EM279" s="2006" t="e">
        <f t="shared" si="606"/>
        <v>#REF!</v>
      </c>
      <c r="EN279" s="1999" t="e">
        <f t="shared" si="635"/>
        <v>#REF!</v>
      </c>
      <c r="EP279" s="1613" t="e">
        <f>EA279-#REF!/10^7</f>
        <v>#REF!</v>
      </c>
      <c r="EW279" s="1611" t="e">
        <v>#N/A</v>
      </c>
      <c r="EX279" s="1612" t="e">
        <v>#N/A</v>
      </c>
      <c r="EZ279" s="1650">
        <f t="shared" si="607"/>
        <v>0</v>
      </c>
    </row>
    <row r="280" spans="1:156" ht="21" customHeight="1">
      <c r="A280" s="1652"/>
      <c r="B280" s="1644" t="s">
        <v>1944</v>
      </c>
      <c r="C280" s="1662"/>
      <c r="D280" s="1646"/>
      <c r="E280" s="1646"/>
      <c r="F280" s="1648"/>
      <c r="G280" s="1648"/>
      <c r="H280" s="1648"/>
      <c r="I280" s="1648"/>
      <c r="J280" s="1663"/>
      <c r="K280" s="1648"/>
      <c r="L280" s="1648"/>
      <c r="M280" s="1648"/>
      <c r="N280" s="1642"/>
      <c r="O280" s="2000" t="e">
        <f>#REF!</f>
        <v>#REF!</v>
      </c>
      <c r="P280" s="2003">
        <f t="shared" si="555"/>
        <v>0</v>
      </c>
      <c r="Q280" s="1989" t="e">
        <f>#REF!/10^7</f>
        <v>#REF!</v>
      </c>
      <c r="R280" s="2003">
        <f t="shared" si="556"/>
        <v>0</v>
      </c>
      <c r="S280" s="1989" t="e">
        <f>#REF!/10^7</f>
        <v>#REF!</v>
      </c>
      <c r="T280" s="2003">
        <f t="shared" si="557"/>
        <v>0</v>
      </c>
      <c r="U280" s="1989" t="e">
        <f>#REF!/10^7</f>
        <v>#REF!</v>
      </c>
      <c r="V280" s="1989" t="e">
        <f>#REF!/10^7</f>
        <v>#REF!</v>
      </c>
      <c r="W280" s="1989">
        <f t="shared" si="558"/>
        <v>0</v>
      </c>
      <c r="X280" s="1999" t="e">
        <f t="shared" si="623"/>
        <v>#REF!</v>
      </c>
      <c r="Y280" s="1993" t="e">
        <f>#REF!</f>
        <v>#REF!</v>
      </c>
      <c r="Z280" s="2003">
        <f t="shared" si="559"/>
        <v>0</v>
      </c>
      <c r="AA280" s="1989" t="e">
        <f>#REF!/10^7</f>
        <v>#REF!</v>
      </c>
      <c r="AB280" s="2003">
        <f t="shared" si="560"/>
        <v>0</v>
      </c>
      <c r="AC280" s="1989" t="e">
        <f>#REF!/10^7</f>
        <v>#REF!</v>
      </c>
      <c r="AD280" s="2003">
        <f t="shared" si="561"/>
        <v>0</v>
      </c>
      <c r="AE280" s="1989" t="e">
        <f>#REF!/10^7</f>
        <v>#REF!</v>
      </c>
      <c r="AF280" s="1989" t="e">
        <f>#REF!/10^7</f>
        <v>#REF!</v>
      </c>
      <c r="AG280" s="2002" t="e">
        <f t="shared" si="562"/>
        <v>#REF!</v>
      </c>
      <c r="AH280" s="1999" t="e">
        <f t="shared" si="624"/>
        <v>#REF!</v>
      </c>
      <c r="AI280" s="1993" t="e">
        <f>#REF!</f>
        <v>#REF!</v>
      </c>
      <c r="AJ280" s="2003">
        <f t="shared" si="563"/>
        <v>0</v>
      </c>
      <c r="AK280" s="1989" t="e">
        <f>#REF!/10^7</f>
        <v>#REF!</v>
      </c>
      <c r="AL280" s="2003">
        <f t="shared" si="564"/>
        <v>0</v>
      </c>
      <c r="AM280" s="1989" t="e">
        <f>#REF!/10^7</f>
        <v>#REF!</v>
      </c>
      <c r="AN280" s="2003">
        <f t="shared" si="565"/>
        <v>0</v>
      </c>
      <c r="AO280" s="1989" t="e">
        <f>#REF!/10^7</f>
        <v>#REF!</v>
      </c>
      <c r="AP280" s="1989" t="e">
        <f>#REF!/10^7</f>
        <v>#REF!</v>
      </c>
      <c r="AQ280" s="2002" t="e">
        <f t="shared" si="566"/>
        <v>#REF!</v>
      </c>
      <c r="AR280" s="1999" t="e">
        <f t="shared" si="625"/>
        <v>#REF!</v>
      </c>
      <c r="AS280" s="1993" t="e">
        <f>#REF!</f>
        <v>#REF!</v>
      </c>
      <c r="AT280" s="2003">
        <f t="shared" si="567"/>
        <v>0</v>
      </c>
      <c r="AU280" s="1989" t="e">
        <f>#REF!/10^7</f>
        <v>#REF!</v>
      </c>
      <c r="AV280" s="2003">
        <f t="shared" si="568"/>
        <v>0</v>
      </c>
      <c r="AW280" s="1989" t="e">
        <f>#REF!/10^7</f>
        <v>#REF!</v>
      </c>
      <c r="AX280" s="2003">
        <f t="shared" si="569"/>
        <v>0</v>
      </c>
      <c r="AY280" s="1989" t="e">
        <f>#REF!/10^7</f>
        <v>#REF!</v>
      </c>
      <c r="AZ280" s="1989" t="e">
        <f>#REF!/10^7</f>
        <v>#REF!</v>
      </c>
      <c r="BA280" s="2002" t="e">
        <f t="shared" si="570"/>
        <v>#REF!</v>
      </c>
      <c r="BB280" s="1999" t="e">
        <f t="shared" si="626"/>
        <v>#REF!</v>
      </c>
      <c r="BC280" s="1993" t="e">
        <f>#REF!</f>
        <v>#REF!</v>
      </c>
      <c r="BD280" s="2003">
        <f t="shared" si="571"/>
        <v>0</v>
      </c>
      <c r="BE280" s="1989" t="e">
        <f>#REF!/10^7</f>
        <v>#REF!</v>
      </c>
      <c r="BF280" s="2003">
        <f t="shared" si="572"/>
        <v>0</v>
      </c>
      <c r="BG280" s="1989" t="e">
        <f>#REF!/10^7</f>
        <v>#REF!</v>
      </c>
      <c r="BH280" s="2003">
        <f t="shared" si="573"/>
        <v>0</v>
      </c>
      <c r="BI280" s="1989" t="e">
        <f>#REF!/10^7</f>
        <v>#REF!</v>
      </c>
      <c r="BJ280" s="1989" t="e">
        <f>#REF!/10^7</f>
        <v>#REF!</v>
      </c>
      <c r="BK280" s="2002" t="e">
        <f t="shared" si="574"/>
        <v>#REF!</v>
      </c>
      <c r="BL280" s="1999" t="e">
        <f t="shared" si="627"/>
        <v>#REF!</v>
      </c>
      <c r="BM280" s="1993" t="e">
        <f>#REF!</f>
        <v>#REF!</v>
      </c>
      <c r="BN280" s="2003">
        <f t="shared" si="575"/>
        <v>0</v>
      </c>
      <c r="BO280" s="1989" t="e">
        <f>#REF!/10^7</f>
        <v>#REF!</v>
      </c>
      <c r="BP280" s="2003">
        <f t="shared" si="576"/>
        <v>0</v>
      </c>
      <c r="BQ280" s="1989" t="e">
        <f>#REF!/10^7</f>
        <v>#REF!</v>
      </c>
      <c r="BR280" s="2003">
        <f t="shared" si="577"/>
        <v>0</v>
      </c>
      <c r="BS280" s="1989" t="e">
        <f>#REF!/10^7</f>
        <v>#REF!</v>
      </c>
      <c r="BT280" s="1989" t="e">
        <f>#REF!/10^7</f>
        <v>#REF!</v>
      </c>
      <c r="BU280" s="2002" t="e">
        <f t="shared" si="578"/>
        <v>#REF!</v>
      </c>
      <c r="BV280" s="1999" t="e">
        <f t="shared" si="628"/>
        <v>#REF!</v>
      </c>
      <c r="BW280" s="1993" t="e">
        <f>#REF!</f>
        <v>#REF!</v>
      </c>
      <c r="BX280" s="2003">
        <f t="shared" si="579"/>
        <v>0</v>
      </c>
      <c r="BY280" s="1989" t="e">
        <f>#REF!/10^7</f>
        <v>#REF!</v>
      </c>
      <c r="BZ280" s="2003">
        <f t="shared" si="580"/>
        <v>0</v>
      </c>
      <c r="CA280" s="1989" t="e">
        <f>#REF!/10^7</f>
        <v>#REF!</v>
      </c>
      <c r="CB280" s="2003">
        <f t="shared" si="581"/>
        <v>0</v>
      </c>
      <c r="CC280" s="1989" t="e">
        <f>#REF!/10^7</f>
        <v>#REF!</v>
      </c>
      <c r="CD280" s="1989" t="e">
        <f>#REF!/10^7</f>
        <v>#REF!</v>
      </c>
      <c r="CE280" s="2002" t="e">
        <f t="shared" si="582"/>
        <v>#REF!</v>
      </c>
      <c r="CF280" s="1999" t="e">
        <f t="shared" si="629"/>
        <v>#REF!</v>
      </c>
      <c r="CG280" s="1993" t="e">
        <f>#REF!</f>
        <v>#REF!</v>
      </c>
      <c r="CH280" s="2003">
        <f t="shared" si="583"/>
        <v>0</v>
      </c>
      <c r="CI280" s="1989" t="e">
        <f>#REF!/10^7</f>
        <v>#REF!</v>
      </c>
      <c r="CJ280" s="2003">
        <f t="shared" si="584"/>
        <v>0</v>
      </c>
      <c r="CK280" s="1989" t="e">
        <f>#REF!/10^7</f>
        <v>#REF!</v>
      </c>
      <c r="CL280" s="2003">
        <f t="shared" si="585"/>
        <v>0</v>
      </c>
      <c r="CM280" s="1989" t="e">
        <f>#REF!/10^7</f>
        <v>#REF!</v>
      </c>
      <c r="CN280" s="1989" t="e">
        <f>#REF!/10^7</f>
        <v>#REF!</v>
      </c>
      <c r="CO280" s="2002" t="e">
        <f t="shared" si="586"/>
        <v>#REF!</v>
      </c>
      <c r="CP280" s="1999" t="e">
        <f t="shared" si="630"/>
        <v>#REF!</v>
      </c>
      <c r="CQ280" s="1993" t="e">
        <f>#REF!</f>
        <v>#REF!</v>
      </c>
      <c r="CR280" s="2003">
        <f t="shared" si="587"/>
        <v>0</v>
      </c>
      <c r="CS280" s="1989" t="e">
        <f>#REF!/10^7</f>
        <v>#REF!</v>
      </c>
      <c r="CT280" s="2003">
        <f t="shared" si="588"/>
        <v>0</v>
      </c>
      <c r="CU280" s="1989" t="e">
        <f>#REF!/10^7</f>
        <v>#REF!</v>
      </c>
      <c r="CV280" s="2003">
        <f t="shared" si="589"/>
        <v>0</v>
      </c>
      <c r="CW280" s="1989" t="e">
        <f>#REF!/10^7</f>
        <v>#REF!</v>
      </c>
      <c r="CX280" s="1989" t="e">
        <f>#REF!/10^7</f>
        <v>#REF!</v>
      </c>
      <c r="CY280" s="2002" t="e">
        <f t="shared" si="590"/>
        <v>#REF!</v>
      </c>
      <c r="CZ280" s="1999" t="e">
        <f t="shared" si="631"/>
        <v>#REF!</v>
      </c>
      <c r="DA280" s="1993" t="e">
        <f>#REF!</f>
        <v>#REF!</v>
      </c>
      <c r="DB280" s="2003">
        <f t="shared" si="591"/>
        <v>0</v>
      </c>
      <c r="DC280" s="1989" t="e">
        <f>#REF!/10^7</f>
        <v>#REF!</v>
      </c>
      <c r="DD280" s="2003">
        <f t="shared" si="592"/>
        <v>0</v>
      </c>
      <c r="DE280" s="1989" t="e">
        <f>#REF!/10^7</f>
        <v>#REF!</v>
      </c>
      <c r="DF280" s="2003">
        <f t="shared" si="593"/>
        <v>0</v>
      </c>
      <c r="DG280" s="1989" t="e">
        <f>#REF!/10^7</f>
        <v>#REF!</v>
      </c>
      <c r="DH280" s="1989" t="e">
        <f>#REF!/10^7</f>
        <v>#REF!</v>
      </c>
      <c r="DI280" s="2002" t="e">
        <f t="shared" si="594"/>
        <v>#REF!</v>
      </c>
      <c r="DJ280" s="1999" t="e">
        <f t="shared" si="632"/>
        <v>#REF!</v>
      </c>
      <c r="DK280" s="1993" t="e">
        <f>#REF!</f>
        <v>#REF!</v>
      </c>
      <c r="DL280" s="2003">
        <f t="shared" si="595"/>
        <v>0</v>
      </c>
      <c r="DM280" s="1989" t="e">
        <f>#REF!/10^7</f>
        <v>#REF!</v>
      </c>
      <c r="DN280" s="2003">
        <f t="shared" si="596"/>
        <v>0</v>
      </c>
      <c r="DO280" s="1989" t="e">
        <f>#REF!/10^7</f>
        <v>#REF!</v>
      </c>
      <c r="DP280" s="2003">
        <f t="shared" si="597"/>
        <v>0</v>
      </c>
      <c r="DQ280" s="1989" t="e">
        <f>#REF!/10^7</f>
        <v>#REF!</v>
      </c>
      <c r="DR280" s="1989" t="e">
        <f>#REF!/10^7</f>
        <v>#REF!</v>
      </c>
      <c r="DS280" s="2002" t="e">
        <f t="shared" si="598"/>
        <v>#REF!</v>
      </c>
      <c r="DT280" s="2004" t="e">
        <f t="shared" si="633"/>
        <v>#REF!</v>
      </c>
      <c r="DU280" s="1988" t="e">
        <f>#REF!</f>
        <v>#REF!</v>
      </c>
      <c r="DV280" s="2003">
        <f t="shared" si="599"/>
        <v>0</v>
      </c>
      <c r="DW280" s="1989" t="e">
        <f>#REF!/10^7</f>
        <v>#REF!</v>
      </c>
      <c r="DX280" s="2003">
        <f t="shared" si="600"/>
        <v>0</v>
      </c>
      <c r="DY280" s="1989" t="e">
        <f>#REF!/10^7</f>
        <v>#REF!</v>
      </c>
      <c r="DZ280" s="2003">
        <f t="shared" si="601"/>
        <v>0</v>
      </c>
      <c r="EA280" s="1989" t="e">
        <f>#REF!/10^7</f>
        <v>#REF!</v>
      </c>
      <c r="EB280" s="1989" t="e">
        <f>#REF!/10^7</f>
        <v>#REF!</v>
      </c>
      <c r="EC280" s="2002" t="e">
        <f t="shared" si="602"/>
        <v>#REF!</v>
      </c>
      <c r="ED280" s="1998" t="e">
        <f t="shared" si="634"/>
        <v>#REF!</v>
      </c>
      <c r="EE280" s="2005" t="e">
        <f>O280+Y280+AI280+AS280+BC280+BM280+BW280+CG280+CQ280+DA280+DK280+DU280</f>
        <v>#REF!</v>
      </c>
      <c r="EF280" s="2003">
        <f t="shared" si="603"/>
        <v>0</v>
      </c>
      <c r="EG280" s="1989" t="e">
        <f t="shared" si="620"/>
        <v>#REF!</v>
      </c>
      <c r="EH280" s="2003">
        <f t="shared" si="604"/>
        <v>0</v>
      </c>
      <c r="EI280" s="1989" t="e">
        <f t="shared" si="621"/>
        <v>#REF!</v>
      </c>
      <c r="EJ280" s="2003">
        <f t="shared" si="605"/>
        <v>0</v>
      </c>
      <c r="EK280" s="1989" t="e">
        <f t="shared" si="622"/>
        <v>#REF!</v>
      </c>
      <c r="EL280" s="1989" t="e">
        <f t="shared" si="622"/>
        <v>#REF!</v>
      </c>
      <c r="EM280" s="2006" t="e">
        <f t="shared" si="606"/>
        <v>#REF!</v>
      </c>
      <c r="EN280" s="1999" t="e">
        <f t="shared" si="635"/>
        <v>#REF!</v>
      </c>
      <c r="EP280" s="1613" t="e">
        <f>EA280-#REF!/10^7</f>
        <v>#REF!</v>
      </c>
      <c r="EW280" s="1611" t="e">
        <v>#N/A</v>
      </c>
      <c r="EX280" s="1612" t="e">
        <v>#N/A</v>
      </c>
      <c r="EZ280" s="1650">
        <f t="shared" si="607"/>
        <v>0</v>
      </c>
    </row>
    <row r="281" spans="1:156" ht="21" customHeight="1">
      <c r="A281" s="1652"/>
      <c r="B281" s="1644" t="s">
        <v>1945</v>
      </c>
      <c r="C281" s="1662"/>
      <c r="D281" s="1648"/>
      <c r="E281" s="1648"/>
      <c r="F281" s="1648"/>
      <c r="G281" s="1648"/>
      <c r="H281" s="1648"/>
      <c r="I281" s="1648"/>
      <c r="J281" s="1663"/>
      <c r="K281" s="1648"/>
      <c r="L281" s="1648"/>
      <c r="M281" s="1648"/>
      <c r="N281" s="1642"/>
      <c r="O281" s="2000" t="e">
        <f>#REF!</f>
        <v>#REF!</v>
      </c>
      <c r="P281" s="2003">
        <f t="shared" si="555"/>
        <v>0</v>
      </c>
      <c r="Q281" s="1989" t="e">
        <f>#REF!/10^7</f>
        <v>#REF!</v>
      </c>
      <c r="R281" s="2003">
        <f t="shared" si="556"/>
        <v>0</v>
      </c>
      <c r="S281" s="1989" t="e">
        <f>#REF!/10^7</f>
        <v>#REF!</v>
      </c>
      <c r="T281" s="2003">
        <f t="shared" si="557"/>
        <v>0</v>
      </c>
      <c r="U281" s="1989" t="e">
        <f>#REF!/10^7</f>
        <v>#REF!</v>
      </c>
      <c r="V281" s="1989" t="e">
        <f>#REF!/10^7</f>
        <v>#REF!</v>
      </c>
      <c r="W281" s="1989">
        <f t="shared" si="558"/>
        <v>0</v>
      </c>
      <c r="X281" s="1999" t="e">
        <f t="shared" si="623"/>
        <v>#REF!</v>
      </c>
      <c r="Y281" s="1993" t="e">
        <f>#REF!</f>
        <v>#REF!</v>
      </c>
      <c r="Z281" s="2003">
        <f t="shared" si="559"/>
        <v>0</v>
      </c>
      <c r="AA281" s="1989" t="e">
        <f>#REF!/10^7</f>
        <v>#REF!</v>
      </c>
      <c r="AB281" s="2003">
        <f t="shared" si="560"/>
        <v>0</v>
      </c>
      <c r="AC281" s="1989" t="e">
        <f>#REF!/10^7</f>
        <v>#REF!</v>
      </c>
      <c r="AD281" s="2003">
        <f t="shared" si="561"/>
        <v>0</v>
      </c>
      <c r="AE281" s="1989" t="e">
        <f>#REF!/10^7</f>
        <v>#REF!</v>
      </c>
      <c r="AF281" s="1989" t="e">
        <f>#REF!/10^7</f>
        <v>#REF!</v>
      </c>
      <c r="AG281" s="2002" t="e">
        <f t="shared" si="562"/>
        <v>#REF!</v>
      </c>
      <c r="AH281" s="1999" t="e">
        <f t="shared" si="624"/>
        <v>#REF!</v>
      </c>
      <c r="AI281" s="1993" t="e">
        <f>#REF!</f>
        <v>#REF!</v>
      </c>
      <c r="AJ281" s="2003">
        <f t="shared" si="563"/>
        <v>0</v>
      </c>
      <c r="AK281" s="1989" t="e">
        <f>#REF!/10^7</f>
        <v>#REF!</v>
      </c>
      <c r="AL281" s="2003">
        <f t="shared" si="564"/>
        <v>0</v>
      </c>
      <c r="AM281" s="1989" t="e">
        <f>#REF!/10^7</f>
        <v>#REF!</v>
      </c>
      <c r="AN281" s="2003">
        <f t="shared" si="565"/>
        <v>0</v>
      </c>
      <c r="AO281" s="1989" t="e">
        <f>#REF!/10^7</f>
        <v>#REF!</v>
      </c>
      <c r="AP281" s="1989" t="e">
        <f>#REF!/10^7</f>
        <v>#REF!</v>
      </c>
      <c r="AQ281" s="2002" t="e">
        <f t="shared" si="566"/>
        <v>#REF!</v>
      </c>
      <c r="AR281" s="1999" t="e">
        <f t="shared" si="625"/>
        <v>#REF!</v>
      </c>
      <c r="AS281" s="1993" t="e">
        <f>#REF!</f>
        <v>#REF!</v>
      </c>
      <c r="AT281" s="2003">
        <f t="shared" si="567"/>
        <v>0</v>
      </c>
      <c r="AU281" s="1989" t="e">
        <f>#REF!/10^7</f>
        <v>#REF!</v>
      </c>
      <c r="AV281" s="2003">
        <f t="shared" si="568"/>
        <v>0</v>
      </c>
      <c r="AW281" s="1989" t="e">
        <f>#REF!/10^7</f>
        <v>#REF!</v>
      </c>
      <c r="AX281" s="2003">
        <f t="shared" si="569"/>
        <v>0</v>
      </c>
      <c r="AY281" s="1989" t="e">
        <f>#REF!/10^7</f>
        <v>#REF!</v>
      </c>
      <c r="AZ281" s="1989" t="e">
        <f>#REF!/10^7</f>
        <v>#REF!</v>
      </c>
      <c r="BA281" s="2002" t="e">
        <f t="shared" si="570"/>
        <v>#REF!</v>
      </c>
      <c r="BB281" s="1999" t="e">
        <f t="shared" si="626"/>
        <v>#REF!</v>
      </c>
      <c r="BC281" s="1993" t="e">
        <f>#REF!</f>
        <v>#REF!</v>
      </c>
      <c r="BD281" s="2003">
        <f t="shared" si="571"/>
        <v>0</v>
      </c>
      <c r="BE281" s="1989" t="e">
        <f>#REF!/10^7</f>
        <v>#REF!</v>
      </c>
      <c r="BF281" s="2003">
        <f t="shared" si="572"/>
        <v>0</v>
      </c>
      <c r="BG281" s="1989" t="e">
        <f>#REF!/10^7</f>
        <v>#REF!</v>
      </c>
      <c r="BH281" s="2003">
        <f t="shared" si="573"/>
        <v>0</v>
      </c>
      <c r="BI281" s="1989" t="e">
        <f>#REF!/10^7</f>
        <v>#REF!</v>
      </c>
      <c r="BJ281" s="1989" t="e">
        <f>#REF!/10^7</f>
        <v>#REF!</v>
      </c>
      <c r="BK281" s="2002" t="e">
        <f t="shared" si="574"/>
        <v>#REF!</v>
      </c>
      <c r="BL281" s="1999" t="e">
        <f t="shared" si="627"/>
        <v>#REF!</v>
      </c>
      <c r="BM281" s="1993" t="e">
        <f>#REF!</f>
        <v>#REF!</v>
      </c>
      <c r="BN281" s="2003">
        <f t="shared" si="575"/>
        <v>0</v>
      </c>
      <c r="BO281" s="1989" t="e">
        <f>#REF!/10^7</f>
        <v>#REF!</v>
      </c>
      <c r="BP281" s="2003">
        <f t="shared" si="576"/>
        <v>0</v>
      </c>
      <c r="BQ281" s="1989" t="e">
        <f>#REF!/10^7</f>
        <v>#REF!</v>
      </c>
      <c r="BR281" s="2003">
        <f t="shared" si="577"/>
        <v>0</v>
      </c>
      <c r="BS281" s="1989" t="e">
        <f>#REF!/10^7</f>
        <v>#REF!</v>
      </c>
      <c r="BT281" s="1989" t="e">
        <f>#REF!/10^7</f>
        <v>#REF!</v>
      </c>
      <c r="BU281" s="2002" t="e">
        <f t="shared" si="578"/>
        <v>#REF!</v>
      </c>
      <c r="BV281" s="1999" t="e">
        <f t="shared" si="628"/>
        <v>#REF!</v>
      </c>
      <c r="BW281" s="1993" t="e">
        <f>#REF!</f>
        <v>#REF!</v>
      </c>
      <c r="BX281" s="2003">
        <f t="shared" si="579"/>
        <v>0</v>
      </c>
      <c r="BY281" s="1989" t="e">
        <f>#REF!/10^7</f>
        <v>#REF!</v>
      </c>
      <c r="BZ281" s="2003">
        <f t="shared" si="580"/>
        <v>0</v>
      </c>
      <c r="CA281" s="1989" t="e">
        <f>#REF!/10^7</f>
        <v>#REF!</v>
      </c>
      <c r="CB281" s="2003">
        <f t="shared" si="581"/>
        <v>0</v>
      </c>
      <c r="CC281" s="1989" t="e">
        <f>#REF!/10^7</f>
        <v>#REF!</v>
      </c>
      <c r="CD281" s="1989" t="e">
        <f>#REF!/10^7</f>
        <v>#REF!</v>
      </c>
      <c r="CE281" s="2002" t="e">
        <f t="shared" si="582"/>
        <v>#REF!</v>
      </c>
      <c r="CF281" s="1999" t="e">
        <f t="shared" si="629"/>
        <v>#REF!</v>
      </c>
      <c r="CG281" s="1993" t="e">
        <f>#REF!</f>
        <v>#REF!</v>
      </c>
      <c r="CH281" s="2003">
        <f t="shared" si="583"/>
        <v>0</v>
      </c>
      <c r="CI281" s="1989" t="e">
        <f>#REF!/10^7</f>
        <v>#REF!</v>
      </c>
      <c r="CJ281" s="2003">
        <f t="shared" si="584"/>
        <v>0</v>
      </c>
      <c r="CK281" s="1989" t="e">
        <f>#REF!/10^7</f>
        <v>#REF!</v>
      </c>
      <c r="CL281" s="2003">
        <f t="shared" si="585"/>
        <v>0</v>
      </c>
      <c r="CM281" s="1989" t="e">
        <f>#REF!/10^7</f>
        <v>#REF!</v>
      </c>
      <c r="CN281" s="1989" t="e">
        <f>#REF!/10^7</f>
        <v>#REF!</v>
      </c>
      <c r="CO281" s="2002" t="e">
        <f t="shared" si="586"/>
        <v>#REF!</v>
      </c>
      <c r="CP281" s="1999" t="e">
        <f t="shared" si="630"/>
        <v>#REF!</v>
      </c>
      <c r="CQ281" s="1993" t="e">
        <f>#REF!</f>
        <v>#REF!</v>
      </c>
      <c r="CR281" s="2003">
        <f t="shared" si="587"/>
        <v>0</v>
      </c>
      <c r="CS281" s="1989" t="e">
        <f>#REF!/10^7</f>
        <v>#REF!</v>
      </c>
      <c r="CT281" s="2003">
        <f t="shared" si="588"/>
        <v>0</v>
      </c>
      <c r="CU281" s="1989" t="e">
        <f>#REF!/10^7</f>
        <v>#REF!</v>
      </c>
      <c r="CV281" s="2003">
        <f t="shared" si="589"/>
        <v>0</v>
      </c>
      <c r="CW281" s="1989" t="e">
        <f>#REF!/10^7</f>
        <v>#REF!</v>
      </c>
      <c r="CX281" s="1989" t="e">
        <f>#REF!/10^7</f>
        <v>#REF!</v>
      </c>
      <c r="CY281" s="2002" t="e">
        <f t="shared" si="590"/>
        <v>#REF!</v>
      </c>
      <c r="CZ281" s="1999" t="e">
        <f t="shared" si="631"/>
        <v>#REF!</v>
      </c>
      <c r="DA281" s="1993" t="e">
        <f>#REF!</f>
        <v>#REF!</v>
      </c>
      <c r="DB281" s="2003">
        <f t="shared" si="591"/>
        <v>0</v>
      </c>
      <c r="DC281" s="1989" t="e">
        <f>#REF!/10^7</f>
        <v>#REF!</v>
      </c>
      <c r="DD281" s="2003">
        <f t="shared" si="592"/>
        <v>0</v>
      </c>
      <c r="DE281" s="1989" t="e">
        <f>#REF!/10^7</f>
        <v>#REF!</v>
      </c>
      <c r="DF281" s="2003">
        <f t="shared" si="593"/>
        <v>0</v>
      </c>
      <c r="DG281" s="1989" t="e">
        <f>#REF!/10^7</f>
        <v>#REF!</v>
      </c>
      <c r="DH281" s="1989" t="e">
        <f>#REF!/10^7</f>
        <v>#REF!</v>
      </c>
      <c r="DI281" s="2002" t="e">
        <f t="shared" si="594"/>
        <v>#REF!</v>
      </c>
      <c r="DJ281" s="1999" t="e">
        <f t="shared" si="632"/>
        <v>#REF!</v>
      </c>
      <c r="DK281" s="1993" t="e">
        <f>#REF!</f>
        <v>#REF!</v>
      </c>
      <c r="DL281" s="2003">
        <f t="shared" si="595"/>
        <v>0</v>
      </c>
      <c r="DM281" s="1989" t="e">
        <f>#REF!/10^7</f>
        <v>#REF!</v>
      </c>
      <c r="DN281" s="2003">
        <f t="shared" si="596"/>
        <v>0</v>
      </c>
      <c r="DO281" s="1989" t="e">
        <f>#REF!/10^7</f>
        <v>#REF!</v>
      </c>
      <c r="DP281" s="2003">
        <f t="shared" si="597"/>
        <v>0</v>
      </c>
      <c r="DQ281" s="1989" t="e">
        <f>#REF!/10^7</f>
        <v>#REF!</v>
      </c>
      <c r="DR281" s="1989" t="e">
        <f>#REF!/10^7</f>
        <v>#REF!</v>
      </c>
      <c r="DS281" s="2002" t="e">
        <f t="shared" si="598"/>
        <v>#REF!</v>
      </c>
      <c r="DT281" s="2004" t="e">
        <f t="shared" si="633"/>
        <v>#REF!</v>
      </c>
      <c r="DU281" s="1988" t="e">
        <f>#REF!</f>
        <v>#REF!</v>
      </c>
      <c r="DV281" s="2003">
        <f t="shared" si="599"/>
        <v>0</v>
      </c>
      <c r="DW281" s="1989" t="e">
        <f>#REF!/10^7</f>
        <v>#REF!</v>
      </c>
      <c r="DX281" s="2003">
        <f t="shared" si="600"/>
        <v>0</v>
      </c>
      <c r="DY281" s="1989" t="e">
        <f>#REF!/10^7</f>
        <v>#REF!</v>
      </c>
      <c r="DZ281" s="2003">
        <f t="shared" si="601"/>
        <v>0</v>
      </c>
      <c r="EA281" s="1989" t="e">
        <f>#REF!/10^7</f>
        <v>#REF!</v>
      </c>
      <c r="EB281" s="1989" t="e">
        <f>#REF!/10^7</f>
        <v>#REF!</v>
      </c>
      <c r="EC281" s="2002" t="e">
        <f t="shared" si="602"/>
        <v>#REF!</v>
      </c>
      <c r="ED281" s="1998" t="e">
        <f t="shared" si="634"/>
        <v>#REF!</v>
      </c>
      <c r="EE281" s="2005" t="e">
        <f>O281+Y281+AI281+AS281+BC281+BM281+BW281+CG281+CQ281+DA281+DK281+DU281</f>
        <v>#REF!</v>
      </c>
      <c r="EF281" s="2003">
        <f t="shared" si="603"/>
        <v>0</v>
      </c>
      <c r="EG281" s="1989" t="e">
        <f t="shared" si="620"/>
        <v>#REF!</v>
      </c>
      <c r="EH281" s="2003">
        <f t="shared" si="604"/>
        <v>0</v>
      </c>
      <c r="EI281" s="1989" t="e">
        <f t="shared" si="621"/>
        <v>#REF!</v>
      </c>
      <c r="EJ281" s="2003">
        <f t="shared" si="605"/>
        <v>0</v>
      </c>
      <c r="EK281" s="1989" t="e">
        <f t="shared" si="622"/>
        <v>#REF!</v>
      </c>
      <c r="EL281" s="1989" t="e">
        <f t="shared" si="622"/>
        <v>#REF!</v>
      </c>
      <c r="EM281" s="2006" t="e">
        <f t="shared" si="606"/>
        <v>#REF!</v>
      </c>
      <c r="EN281" s="1999" t="e">
        <f t="shared" si="635"/>
        <v>#REF!</v>
      </c>
      <c r="EP281" s="1613" t="e">
        <f>EA281-#REF!/10^7</f>
        <v>#REF!</v>
      </c>
      <c r="EW281" s="1611" t="e">
        <v>#N/A</v>
      </c>
      <c r="EX281" s="1612" t="e">
        <v>#N/A</v>
      </c>
      <c r="EZ281" s="1650">
        <f t="shared" si="607"/>
        <v>0</v>
      </c>
    </row>
    <row r="282" spans="1:156" ht="21" customHeight="1">
      <c r="A282" s="1652"/>
      <c r="B282" s="1644" t="s">
        <v>1946</v>
      </c>
      <c r="C282" s="1662"/>
      <c r="D282" s="1648"/>
      <c r="E282" s="1648"/>
      <c r="F282" s="1648"/>
      <c r="G282" s="1648"/>
      <c r="H282" s="1648"/>
      <c r="I282" s="1648"/>
      <c r="J282" s="1663"/>
      <c r="K282" s="1648"/>
      <c r="L282" s="1648"/>
      <c r="M282" s="1648"/>
      <c r="N282" s="1642"/>
      <c r="O282" s="2000" t="e">
        <f>#REF!</f>
        <v>#REF!</v>
      </c>
      <c r="P282" s="2003">
        <f t="shared" si="555"/>
        <v>0</v>
      </c>
      <c r="Q282" s="1989" t="e">
        <f>#REF!/10^7</f>
        <v>#REF!</v>
      </c>
      <c r="R282" s="2003">
        <f t="shared" si="556"/>
        <v>0</v>
      </c>
      <c r="S282" s="1989" t="e">
        <f>#REF!/10^7</f>
        <v>#REF!</v>
      </c>
      <c r="T282" s="2003">
        <f t="shared" si="557"/>
        <v>0</v>
      </c>
      <c r="U282" s="1989" t="e">
        <f>#REF!/10^7</f>
        <v>#REF!</v>
      </c>
      <c r="V282" s="1989" t="e">
        <f>#REF!/10^7</f>
        <v>#REF!</v>
      </c>
      <c r="W282" s="1989">
        <f t="shared" si="558"/>
        <v>0</v>
      </c>
      <c r="X282" s="1999" t="e">
        <f t="shared" si="623"/>
        <v>#REF!</v>
      </c>
      <c r="Y282" s="1993" t="e">
        <f>#REF!</f>
        <v>#REF!</v>
      </c>
      <c r="Z282" s="2003">
        <f t="shared" si="559"/>
        <v>0</v>
      </c>
      <c r="AA282" s="1989" t="e">
        <f>#REF!/10^7</f>
        <v>#REF!</v>
      </c>
      <c r="AB282" s="2003">
        <f t="shared" si="560"/>
        <v>0</v>
      </c>
      <c r="AC282" s="1989" t="e">
        <f>#REF!/10^7</f>
        <v>#REF!</v>
      </c>
      <c r="AD282" s="2003">
        <f t="shared" si="561"/>
        <v>0</v>
      </c>
      <c r="AE282" s="1989" t="e">
        <f>#REF!/10^7</f>
        <v>#REF!</v>
      </c>
      <c r="AF282" s="1989" t="e">
        <f>#REF!/10^7</f>
        <v>#REF!</v>
      </c>
      <c r="AG282" s="2002" t="e">
        <f t="shared" si="562"/>
        <v>#REF!</v>
      </c>
      <c r="AH282" s="1999" t="e">
        <f t="shared" si="624"/>
        <v>#REF!</v>
      </c>
      <c r="AI282" s="1993" t="e">
        <f>#REF!</f>
        <v>#REF!</v>
      </c>
      <c r="AJ282" s="2003">
        <f t="shared" si="563"/>
        <v>0</v>
      </c>
      <c r="AK282" s="1989" t="e">
        <f>#REF!/10^7</f>
        <v>#REF!</v>
      </c>
      <c r="AL282" s="2003">
        <f t="shared" si="564"/>
        <v>0</v>
      </c>
      <c r="AM282" s="1989" t="e">
        <f>#REF!/10^7</f>
        <v>#REF!</v>
      </c>
      <c r="AN282" s="2003">
        <f t="shared" si="565"/>
        <v>0</v>
      </c>
      <c r="AO282" s="1989" t="e">
        <f>#REF!/10^7</f>
        <v>#REF!</v>
      </c>
      <c r="AP282" s="1989" t="e">
        <f>#REF!/10^7</f>
        <v>#REF!</v>
      </c>
      <c r="AQ282" s="2002" t="e">
        <f t="shared" si="566"/>
        <v>#REF!</v>
      </c>
      <c r="AR282" s="1999" t="e">
        <f t="shared" si="625"/>
        <v>#REF!</v>
      </c>
      <c r="AS282" s="1993" t="e">
        <f>#REF!</f>
        <v>#REF!</v>
      </c>
      <c r="AT282" s="2003">
        <f t="shared" si="567"/>
        <v>0</v>
      </c>
      <c r="AU282" s="1989" t="e">
        <f>#REF!/10^7</f>
        <v>#REF!</v>
      </c>
      <c r="AV282" s="2003">
        <f t="shared" si="568"/>
        <v>0</v>
      </c>
      <c r="AW282" s="1989" t="e">
        <f>#REF!/10^7</f>
        <v>#REF!</v>
      </c>
      <c r="AX282" s="2003">
        <f t="shared" si="569"/>
        <v>0</v>
      </c>
      <c r="AY282" s="1989" t="e">
        <f>#REF!/10^7</f>
        <v>#REF!</v>
      </c>
      <c r="AZ282" s="1989" t="e">
        <f>#REF!/10^7</f>
        <v>#REF!</v>
      </c>
      <c r="BA282" s="2002" t="e">
        <f t="shared" si="570"/>
        <v>#REF!</v>
      </c>
      <c r="BB282" s="1999" t="e">
        <f t="shared" si="626"/>
        <v>#REF!</v>
      </c>
      <c r="BC282" s="1993" t="e">
        <f>#REF!</f>
        <v>#REF!</v>
      </c>
      <c r="BD282" s="2003">
        <f t="shared" si="571"/>
        <v>0</v>
      </c>
      <c r="BE282" s="1989" t="e">
        <f>#REF!/10^7</f>
        <v>#REF!</v>
      </c>
      <c r="BF282" s="2003">
        <f t="shared" si="572"/>
        <v>0</v>
      </c>
      <c r="BG282" s="1989" t="e">
        <f>#REF!/10^7</f>
        <v>#REF!</v>
      </c>
      <c r="BH282" s="2003">
        <f t="shared" si="573"/>
        <v>0</v>
      </c>
      <c r="BI282" s="1989" t="e">
        <f>#REF!/10^7</f>
        <v>#REF!</v>
      </c>
      <c r="BJ282" s="1989" t="e">
        <f>#REF!/10^7</f>
        <v>#REF!</v>
      </c>
      <c r="BK282" s="2002" t="e">
        <f t="shared" si="574"/>
        <v>#REF!</v>
      </c>
      <c r="BL282" s="1999" t="e">
        <f t="shared" si="627"/>
        <v>#REF!</v>
      </c>
      <c r="BM282" s="1993" t="e">
        <f>#REF!</f>
        <v>#REF!</v>
      </c>
      <c r="BN282" s="2003">
        <f t="shared" si="575"/>
        <v>0</v>
      </c>
      <c r="BO282" s="1989" t="e">
        <f>#REF!/10^7</f>
        <v>#REF!</v>
      </c>
      <c r="BP282" s="2003">
        <f t="shared" si="576"/>
        <v>0</v>
      </c>
      <c r="BQ282" s="1989" t="e">
        <f>#REF!/10^7</f>
        <v>#REF!</v>
      </c>
      <c r="BR282" s="2003">
        <f t="shared" si="577"/>
        <v>0</v>
      </c>
      <c r="BS282" s="1989" t="e">
        <f>#REF!/10^7</f>
        <v>#REF!</v>
      </c>
      <c r="BT282" s="1989" t="e">
        <f>#REF!/10^7</f>
        <v>#REF!</v>
      </c>
      <c r="BU282" s="2002" t="e">
        <f t="shared" si="578"/>
        <v>#REF!</v>
      </c>
      <c r="BV282" s="1999" t="e">
        <f t="shared" si="628"/>
        <v>#REF!</v>
      </c>
      <c r="BW282" s="1993" t="e">
        <f>#REF!</f>
        <v>#REF!</v>
      </c>
      <c r="BX282" s="2003">
        <f t="shared" si="579"/>
        <v>0</v>
      </c>
      <c r="BY282" s="1989" t="e">
        <f>#REF!/10^7</f>
        <v>#REF!</v>
      </c>
      <c r="BZ282" s="2003">
        <f t="shared" si="580"/>
        <v>0</v>
      </c>
      <c r="CA282" s="1989" t="e">
        <f>#REF!/10^7</f>
        <v>#REF!</v>
      </c>
      <c r="CB282" s="2003">
        <f t="shared" si="581"/>
        <v>0</v>
      </c>
      <c r="CC282" s="1989" t="e">
        <f>#REF!/10^7</f>
        <v>#REF!</v>
      </c>
      <c r="CD282" s="1989" t="e">
        <f>#REF!/10^7</f>
        <v>#REF!</v>
      </c>
      <c r="CE282" s="2002" t="e">
        <f t="shared" si="582"/>
        <v>#REF!</v>
      </c>
      <c r="CF282" s="1999" t="e">
        <f t="shared" si="629"/>
        <v>#REF!</v>
      </c>
      <c r="CG282" s="1993" t="e">
        <f>#REF!</f>
        <v>#REF!</v>
      </c>
      <c r="CH282" s="2003">
        <f t="shared" si="583"/>
        <v>0</v>
      </c>
      <c r="CI282" s="1989" t="e">
        <f>#REF!/10^7</f>
        <v>#REF!</v>
      </c>
      <c r="CJ282" s="2003">
        <f t="shared" si="584"/>
        <v>0</v>
      </c>
      <c r="CK282" s="1989" t="e">
        <f>#REF!/10^7</f>
        <v>#REF!</v>
      </c>
      <c r="CL282" s="2003">
        <f t="shared" si="585"/>
        <v>0</v>
      </c>
      <c r="CM282" s="1989" t="e">
        <f>#REF!/10^7</f>
        <v>#REF!</v>
      </c>
      <c r="CN282" s="1989" t="e">
        <f>#REF!/10^7</f>
        <v>#REF!</v>
      </c>
      <c r="CO282" s="2002" t="e">
        <f t="shared" si="586"/>
        <v>#REF!</v>
      </c>
      <c r="CP282" s="1999" t="e">
        <f t="shared" si="630"/>
        <v>#REF!</v>
      </c>
      <c r="CQ282" s="1993" t="e">
        <f>#REF!</f>
        <v>#REF!</v>
      </c>
      <c r="CR282" s="2003">
        <f t="shared" si="587"/>
        <v>0</v>
      </c>
      <c r="CS282" s="1989" t="e">
        <f>#REF!/10^7</f>
        <v>#REF!</v>
      </c>
      <c r="CT282" s="2003">
        <f t="shared" si="588"/>
        <v>0</v>
      </c>
      <c r="CU282" s="1989" t="e">
        <f>#REF!/10^7</f>
        <v>#REF!</v>
      </c>
      <c r="CV282" s="2003">
        <f t="shared" si="589"/>
        <v>0</v>
      </c>
      <c r="CW282" s="1989" t="e">
        <f>#REF!/10^7</f>
        <v>#REF!</v>
      </c>
      <c r="CX282" s="1989" t="e">
        <f>#REF!/10^7</f>
        <v>#REF!</v>
      </c>
      <c r="CY282" s="2002" t="e">
        <f t="shared" si="590"/>
        <v>#REF!</v>
      </c>
      <c r="CZ282" s="1999" t="e">
        <f t="shared" si="631"/>
        <v>#REF!</v>
      </c>
      <c r="DA282" s="1993" t="e">
        <f>#REF!</f>
        <v>#REF!</v>
      </c>
      <c r="DB282" s="2003">
        <f t="shared" si="591"/>
        <v>0</v>
      </c>
      <c r="DC282" s="1989" t="e">
        <f>#REF!/10^7</f>
        <v>#REF!</v>
      </c>
      <c r="DD282" s="2003">
        <f t="shared" si="592"/>
        <v>0</v>
      </c>
      <c r="DE282" s="1989" t="e">
        <f>#REF!/10^7</f>
        <v>#REF!</v>
      </c>
      <c r="DF282" s="2003">
        <f t="shared" si="593"/>
        <v>0</v>
      </c>
      <c r="DG282" s="1989" t="e">
        <f>#REF!/10^7</f>
        <v>#REF!</v>
      </c>
      <c r="DH282" s="1989" t="e">
        <f>#REF!/10^7</f>
        <v>#REF!</v>
      </c>
      <c r="DI282" s="2002" t="e">
        <f t="shared" si="594"/>
        <v>#REF!</v>
      </c>
      <c r="DJ282" s="1999" t="e">
        <f t="shared" si="632"/>
        <v>#REF!</v>
      </c>
      <c r="DK282" s="1993" t="e">
        <f>#REF!</f>
        <v>#REF!</v>
      </c>
      <c r="DL282" s="2003">
        <f t="shared" si="595"/>
        <v>0</v>
      </c>
      <c r="DM282" s="1989" t="e">
        <f>#REF!/10^7</f>
        <v>#REF!</v>
      </c>
      <c r="DN282" s="2003">
        <f t="shared" si="596"/>
        <v>0</v>
      </c>
      <c r="DO282" s="1989" t="e">
        <f>#REF!/10^7</f>
        <v>#REF!</v>
      </c>
      <c r="DP282" s="2003">
        <f t="shared" si="597"/>
        <v>0</v>
      </c>
      <c r="DQ282" s="1989" t="e">
        <f>#REF!/10^7</f>
        <v>#REF!</v>
      </c>
      <c r="DR282" s="1989" t="e">
        <f>#REF!/10^7</f>
        <v>#REF!</v>
      </c>
      <c r="DS282" s="2002" t="e">
        <f t="shared" si="598"/>
        <v>#REF!</v>
      </c>
      <c r="DT282" s="2004" t="e">
        <f t="shared" si="633"/>
        <v>#REF!</v>
      </c>
      <c r="DU282" s="1988" t="e">
        <f>#REF!</f>
        <v>#REF!</v>
      </c>
      <c r="DV282" s="2003">
        <f t="shared" si="599"/>
        <v>0</v>
      </c>
      <c r="DW282" s="1989" t="e">
        <f>#REF!/10^7</f>
        <v>#REF!</v>
      </c>
      <c r="DX282" s="2003">
        <f t="shared" si="600"/>
        <v>0</v>
      </c>
      <c r="DY282" s="1989" t="e">
        <f>#REF!/10^7</f>
        <v>#REF!</v>
      </c>
      <c r="DZ282" s="2003">
        <f t="shared" si="601"/>
        <v>0</v>
      </c>
      <c r="EA282" s="1989" t="e">
        <f>#REF!/10^7</f>
        <v>#REF!</v>
      </c>
      <c r="EB282" s="1989" t="e">
        <f>#REF!/10^7</f>
        <v>#REF!</v>
      </c>
      <c r="EC282" s="2002" t="e">
        <f t="shared" si="602"/>
        <v>#REF!</v>
      </c>
      <c r="ED282" s="1998" t="e">
        <f t="shared" si="634"/>
        <v>#REF!</v>
      </c>
      <c r="EE282" s="2005" t="e">
        <f>O282+Y282+AI282+AS282+BC282+BM282+BW282+CG282+CQ282+DA282+DK282+DU282</f>
        <v>#REF!</v>
      </c>
      <c r="EF282" s="2003">
        <f t="shared" si="603"/>
        <v>0</v>
      </c>
      <c r="EG282" s="1989" t="e">
        <f t="shared" si="620"/>
        <v>#REF!</v>
      </c>
      <c r="EH282" s="2003">
        <f t="shared" si="604"/>
        <v>0</v>
      </c>
      <c r="EI282" s="1989" t="e">
        <f t="shared" si="621"/>
        <v>#REF!</v>
      </c>
      <c r="EJ282" s="2003">
        <f t="shared" si="605"/>
        <v>0</v>
      </c>
      <c r="EK282" s="1989" t="e">
        <f t="shared" si="622"/>
        <v>#REF!</v>
      </c>
      <c r="EL282" s="1989" t="e">
        <f t="shared" si="622"/>
        <v>#REF!</v>
      </c>
      <c r="EM282" s="2006" t="e">
        <f t="shared" si="606"/>
        <v>#REF!</v>
      </c>
      <c r="EN282" s="1999" t="e">
        <f t="shared" si="635"/>
        <v>#REF!</v>
      </c>
      <c r="EP282" s="1613" t="e">
        <f>EA282-#REF!/10^7</f>
        <v>#REF!</v>
      </c>
      <c r="EW282" s="1611" t="e">
        <v>#N/A</v>
      </c>
      <c r="EX282" s="1612" t="e">
        <v>#N/A</v>
      </c>
      <c r="EZ282" s="1650">
        <f t="shared" si="607"/>
        <v>0</v>
      </c>
    </row>
    <row r="283" spans="1:156" s="1660" customFormat="1" ht="21" customHeight="1">
      <c r="A283" s="1637"/>
      <c r="B283" s="1654" t="s">
        <v>211</v>
      </c>
      <c r="C283" s="1655"/>
      <c r="D283" s="1656"/>
      <c r="E283" s="1656"/>
      <c r="F283" s="1656"/>
      <c r="G283" s="1656"/>
      <c r="H283" s="1656"/>
      <c r="I283" s="1656"/>
      <c r="J283" s="1657"/>
      <c r="K283" s="1656"/>
      <c r="L283" s="1656"/>
      <c r="M283" s="1656"/>
      <c r="N283" s="1658"/>
      <c r="O283" s="2007" t="e">
        <f>O275-O276+O277+O278</f>
        <v>#REF!</v>
      </c>
      <c r="P283" s="2003">
        <f t="shared" si="555"/>
        <v>0</v>
      </c>
      <c r="Q283" s="1826" t="e">
        <f>Q275-Q276+Q277+Q278</f>
        <v>#REF!</v>
      </c>
      <c r="R283" s="2003">
        <f t="shared" si="556"/>
        <v>0</v>
      </c>
      <c r="S283" s="1826" t="e">
        <f>S275-S276+S277+S278</f>
        <v>#REF!</v>
      </c>
      <c r="T283" s="2003">
        <f t="shared" si="557"/>
        <v>0</v>
      </c>
      <c r="U283" s="1826" t="e">
        <f>U275-U276+U277+U278</f>
        <v>#REF!</v>
      </c>
      <c r="V283" s="1826"/>
      <c r="W283" s="1989">
        <f t="shared" si="558"/>
        <v>0</v>
      </c>
      <c r="X283" s="2008" t="e">
        <f t="shared" ref="X283:AF283" si="636">X275-X276+X277+X278</f>
        <v>#REF!</v>
      </c>
      <c r="Y283" s="2007" t="e">
        <f t="shared" si="636"/>
        <v>#REF!</v>
      </c>
      <c r="Z283" s="2003">
        <f t="shared" si="559"/>
        <v>0</v>
      </c>
      <c r="AA283" s="1826" t="e">
        <f t="shared" si="636"/>
        <v>#REF!</v>
      </c>
      <c r="AB283" s="2003">
        <f t="shared" si="560"/>
        <v>0</v>
      </c>
      <c r="AC283" s="1826" t="e">
        <f t="shared" si="636"/>
        <v>#REF!</v>
      </c>
      <c r="AD283" s="2003">
        <f t="shared" si="561"/>
        <v>0</v>
      </c>
      <c r="AE283" s="1826" t="e">
        <f t="shared" si="636"/>
        <v>#REF!</v>
      </c>
      <c r="AF283" s="1826" t="e">
        <f t="shared" si="636"/>
        <v>#REF!</v>
      </c>
      <c r="AG283" s="2002" t="e">
        <f t="shared" si="562"/>
        <v>#REF!</v>
      </c>
      <c r="AH283" s="2008" t="e">
        <f t="shared" ref="AH283:AP283" si="637">AH275-AH276+AH277+AH278</f>
        <v>#REF!</v>
      </c>
      <c r="AI283" s="2007" t="e">
        <f t="shared" si="637"/>
        <v>#REF!</v>
      </c>
      <c r="AJ283" s="2003">
        <f t="shared" si="563"/>
        <v>0</v>
      </c>
      <c r="AK283" s="1826" t="e">
        <f t="shared" si="637"/>
        <v>#REF!</v>
      </c>
      <c r="AL283" s="2003">
        <f t="shared" si="564"/>
        <v>0</v>
      </c>
      <c r="AM283" s="1826" t="e">
        <f t="shared" si="637"/>
        <v>#REF!</v>
      </c>
      <c r="AN283" s="2003">
        <f t="shared" si="565"/>
        <v>0</v>
      </c>
      <c r="AO283" s="1826" t="e">
        <f t="shared" si="637"/>
        <v>#REF!</v>
      </c>
      <c r="AP283" s="1826" t="e">
        <f t="shared" si="637"/>
        <v>#REF!</v>
      </c>
      <c r="AQ283" s="2002" t="e">
        <f t="shared" si="566"/>
        <v>#REF!</v>
      </c>
      <c r="AR283" s="2008" t="e">
        <f t="shared" ref="AR283:AZ283" si="638">AR275-AR276+AR277+AR278</f>
        <v>#REF!</v>
      </c>
      <c r="AS283" s="2007" t="e">
        <f t="shared" si="638"/>
        <v>#REF!</v>
      </c>
      <c r="AT283" s="2003">
        <f t="shared" si="567"/>
        <v>0</v>
      </c>
      <c r="AU283" s="1826" t="e">
        <f t="shared" si="638"/>
        <v>#REF!</v>
      </c>
      <c r="AV283" s="2003">
        <f t="shared" si="568"/>
        <v>0</v>
      </c>
      <c r="AW283" s="1826" t="e">
        <f t="shared" si="638"/>
        <v>#REF!</v>
      </c>
      <c r="AX283" s="2003">
        <f t="shared" si="569"/>
        <v>0</v>
      </c>
      <c r="AY283" s="1826" t="e">
        <f t="shared" si="638"/>
        <v>#REF!</v>
      </c>
      <c r="AZ283" s="1826" t="e">
        <f t="shared" si="638"/>
        <v>#REF!</v>
      </c>
      <c r="BA283" s="2002" t="e">
        <f t="shared" si="570"/>
        <v>#REF!</v>
      </c>
      <c r="BB283" s="2008" t="e">
        <f t="shared" ref="BB283:BJ283" si="639">BB275-BB276+BB277+BB278</f>
        <v>#REF!</v>
      </c>
      <c r="BC283" s="2007" t="e">
        <f t="shared" si="639"/>
        <v>#REF!</v>
      </c>
      <c r="BD283" s="2003">
        <f t="shared" si="571"/>
        <v>0</v>
      </c>
      <c r="BE283" s="1826" t="e">
        <f t="shared" si="639"/>
        <v>#REF!</v>
      </c>
      <c r="BF283" s="2003">
        <f t="shared" si="572"/>
        <v>0</v>
      </c>
      <c r="BG283" s="1826" t="e">
        <f t="shared" si="639"/>
        <v>#REF!</v>
      </c>
      <c r="BH283" s="2003">
        <f t="shared" si="573"/>
        <v>0</v>
      </c>
      <c r="BI283" s="1826" t="e">
        <f t="shared" si="639"/>
        <v>#REF!</v>
      </c>
      <c r="BJ283" s="1826" t="e">
        <f t="shared" si="639"/>
        <v>#REF!</v>
      </c>
      <c r="BK283" s="2002" t="e">
        <f t="shared" si="574"/>
        <v>#REF!</v>
      </c>
      <c r="BL283" s="2008" t="e">
        <f t="shared" ref="BL283:BT283" si="640">BL275-BL276+BL277+BL278</f>
        <v>#REF!</v>
      </c>
      <c r="BM283" s="2007" t="e">
        <f t="shared" si="640"/>
        <v>#REF!</v>
      </c>
      <c r="BN283" s="2003">
        <f t="shared" si="575"/>
        <v>0</v>
      </c>
      <c r="BO283" s="1826" t="e">
        <f t="shared" si="640"/>
        <v>#REF!</v>
      </c>
      <c r="BP283" s="2003">
        <f t="shared" si="576"/>
        <v>0</v>
      </c>
      <c r="BQ283" s="1826" t="e">
        <f t="shared" si="640"/>
        <v>#REF!</v>
      </c>
      <c r="BR283" s="2003">
        <f t="shared" si="577"/>
        <v>0</v>
      </c>
      <c r="BS283" s="1826" t="e">
        <f t="shared" si="640"/>
        <v>#REF!</v>
      </c>
      <c r="BT283" s="1826" t="e">
        <f t="shared" si="640"/>
        <v>#REF!</v>
      </c>
      <c r="BU283" s="2002" t="e">
        <f t="shared" si="578"/>
        <v>#REF!</v>
      </c>
      <c r="BV283" s="2008" t="e">
        <f t="shared" ref="BV283:CD283" si="641">BV275-BV276+BV277+BV278</f>
        <v>#REF!</v>
      </c>
      <c r="BW283" s="2007" t="e">
        <f t="shared" si="641"/>
        <v>#REF!</v>
      </c>
      <c r="BX283" s="2003">
        <f t="shared" si="579"/>
        <v>0</v>
      </c>
      <c r="BY283" s="1826" t="e">
        <f t="shared" si="641"/>
        <v>#REF!</v>
      </c>
      <c r="BZ283" s="2003">
        <f t="shared" si="580"/>
        <v>0</v>
      </c>
      <c r="CA283" s="1826" t="e">
        <f>CA275-CA276+CA277+CA278</f>
        <v>#REF!</v>
      </c>
      <c r="CB283" s="2003">
        <f t="shared" si="581"/>
        <v>0</v>
      </c>
      <c r="CC283" s="1826" t="e">
        <f t="shared" si="641"/>
        <v>#REF!</v>
      </c>
      <c r="CD283" s="1826" t="e">
        <f t="shared" si="641"/>
        <v>#REF!</v>
      </c>
      <c r="CE283" s="2002" t="e">
        <f t="shared" si="582"/>
        <v>#REF!</v>
      </c>
      <c r="CF283" s="2008" t="e">
        <f t="shared" ref="CF283:CN283" si="642">CF275-CF276+CF277+CF278</f>
        <v>#REF!</v>
      </c>
      <c r="CG283" s="2007" t="e">
        <f t="shared" si="642"/>
        <v>#REF!</v>
      </c>
      <c r="CH283" s="2003">
        <f t="shared" si="583"/>
        <v>0</v>
      </c>
      <c r="CI283" s="1826" t="e">
        <f t="shared" si="642"/>
        <v>#REF!</v>
      </c>
      <c r="CJ283" s="2003">
        <f t="shared" si="584"/>
        <v>0</v>
      </c>
      <c r="CK283" s="1826" t="e">
        <f t="shared" si="642"/>
        <v>#REF!</v>
      </c>
      <c r="CL283" s="2003">
        <f t="shared" si="585"/>
        <v>0</v>
      </c>
      <c r="CM283" s="1826" t="e">
        <f t="shared" si="642"/>
        <v>#REF!</v>
      </c>
      <c r="CN283" s="1826" t="e">
        <f t="shared" si="642"/>
        <v>#REF!</v>
      </c>
      <c r="CO283" s="2002" t="e">
        <f t="shared" si="586"/>
        <v>#REF!</v>
      </c>
      <c r="CP283" s="2008" t="e">
        <f t="shared" ref="CP283:CX283" si="643">CP275-CP276+CP277+CP278</f>
        <v>#REF!</v>
      </c>
      <c r="CQ283" s="2007" t="e">
        <f t="shared" si="643"/>
        <v>#REF!</v>
      </c>
      <c r="CR283" s="2003">
        <f t="shared" si="587"/>
        <v>0</v>
      </c>
      <c r="CS283" s="1826" t="e">
        <f t="shared" si="643"/>
        <v>#REF!</v>
      </c>
      <c r="CT283" s="2003">
        <f t="shared" si="588"/>
        <v>0</v>
      </c>
      <c r="CU283" s="1826" t="e">
        <f t="shared" si="643"/>
        <v>#REF!</v>
      </c>
      <c r="CV283" s="2003">
        <f t="shared" si="589"/>
        <v>0</v>
      </c>
      <c r="CW283" s="1826" t="e">
        <f>CW275-CW276+CW277+CW278</f>
        <v>#REF!</v>
      </c>
      <c r="CX283" s="1826" t="e">
        <f t="shared" si="643"/>
        <v>#REF!</v>
      </c>
      <c r="CY283" s="2002" t="e">
        <f t="shared" si="590"/>
        <v>#REF!</v>
      </c>
      <c r="CZ283" s="2008" t="e">
        <f t="shared" ref="CZ283:DH283" si="644">CZ275-CZ276+CZ277+CZ278</f>
        <v>#REF!</v>
      </c>
      <c r="DA283" s="2007" t="e">
        <f>DA275-DA276+DA277+DA278</f>
        <v>#REF!</v>
      </c>
      <c r="DB283" s="2003">
        <f t="shared" si="591"/>
        <v>0</v>
      </c>
      <c r="DC283" s="1826" t="e">
        <f t="shared" si="644"/>
        <v>#REF!</v>
      </c>
      <c r="DD283" s="2003">
        <f>IFERROR(DE283/$DA283*10,0)</f>
        <v>0</v>
      </c>
      <c r="DE283" s="1826" t="e">
        <f>DE275-DE276+DE277+DE278</f>
        <v>#REF!</v>
      </c>
      <c r="DF283" s="2003">
        <f t="shared" si="593"/>
        <v>0</v>
      </c>
      <c r="DG283" s="1826" t="e">
        <f>DG275-DG276+DG277+DG278</f>
        <v>#REF!</v>
      </c>
      <c r="DH283" s="1826" t="e">
        <f t="shared" si="644"/>
        <v>#REF!</v>
      </c>
      <c r="DI283" s="2002" t="e">
        <f t="shared" si="594"/>
        <v>#REF!</v>
      </c>
      <c r="DJ283" s="2008" t="e">
        <f t="shared" ref="DJ283:DR283" si="645">DJ275-DJ276+DJ277+DJ278</f>
        <v>#REF!</v>
      </c>
      <c r="DK283" s="2007" t="e">
        <f>DK275-DK276+DK277+DK278</f>
        <v>#REF!</v>
      </c>
      <c r="DL283" s="2003">
        <f t="shared" si="595"/>
        <v>0</v>
      </c>
      <c r="DM283" s="1826" t="e">
        <f t="shared" si="645"/>
        <v>#REF!</v>
      </c>
      <c r="DN283" s="2003">
        <f t="shared" si="596"/>
        <v>0</v>
      </c>
      <c r="DO283" s="1826" t="e">
        <f>DO275-DO276+DO277+DO278</f>
        <v>#REF!</v>
      </c>
      <c r="DP283" s="2003">
        <f t="shared" si="597"/>
        <v>0</v>
      </c>
      <c r="DQ283" s="1826" t="e">
        <f t="shared" si="645"/>
        <v>#REF!</v>
      </c>
      <c r="DR283" s="1826" t="e">
        <f t="shared" si="645"/>
        <v>#REF!</v>
      </c>
      <c r="DS283" s="2002" t="e">
        <f t="shared" si="598"/>
        <v>#REF!</v>
      </c>
      <c r="DT283" s="2009" t="e">
        <f>DT275-DT276+DT277+DT278</f>
        <v>#REF!</v>
      </c>
      <c r="DU283" s="2010" t="e">
        <f>DU278+DU277-DU276</f>
        <v>#REF!</v>
      </c>
      <c r="DV283" s="2003">
        <f t="shared" si="599"/>
        <v>0</v>
      </c>
      <c r="DW283" s="1826" t="e">
        <f>DW278+DW277-DW276</f>
        <v>#REF!</v>
      </c>
      <c r="DX283" s="2003">
        <f t="shared" si="600"/>
        <v>0</v>
      </c>
      <c r="DY283" s="1826" t="e">
        <f>DY278+DY277-DY276</f>
        <v>#REF!</v>
      </c>
      <c r="DZ283" s="2003">
        <f t="shared" si="601"/>
        <v>0</v>
      </c>
      <c r="EA283" s="1826" t="e">
        <f>EA278+EA277-EA276</f>
        <v>#REF!</v>
      </c>
      <c r="EB283" s="1826" t="e">
        <f>EB278+EB277-EB276</f>
        <v>#REF!</v>
      </c>
      <c r="EC283" s="2002" t="e">
        <f t="shared" si="602"/>
        <v>#REF!</v>
      </c>
      <c r="ED283" s="1826" t="e">
        <f t="shared" ref="ED283:EL283" si="646">ED275-ED276+ED277+ED278</f>
        <v>#REF!</v>
      </c>
      <c r="EE283" s="2019" t="e">
        <f>EE275-EE276+EE277+EE278</f>
        <v>#REF!</v>
      </c>
      <c r="EF283" s="2003">
        <f t="shared" si="603"/>
        <v>0</v>
      </c>
      <c r="EG283" s="1826" t="e">
        <f t="shared" si="646"/>
        <v>#REF!</v>
      </c>
      <c r="EH283" s="2003">
        <f t="shared" si="604"/>
        <v>0</v>
      </c>
      <c r="EI283" s="1826" t="e">
        <f t="shared" si="646"/>
        <v>#REF!</v>
      </c>
      <c r="EJ283" s="2003">
        <f t="shared" si="605"/>
        <v>0</v>
      </c>
      <c r="EK283" s="1826" t="e">
        <f>EK275-EK276+EK277+EK278</f>
        <v>#REF!</v>
      </c>
      <c r="EL283" s="1826" t="e">
        <f t="shared" si="646"/>
        <v>#REF!</v>
      </c>
      <c r="EM283" s="2006" t="e">
        <f t="shared" si="606"/>
        <v>#REF!</v>
      </c>
      <c r="EN283" s="2008" t="e">
        <f>EN275-EN276+EN277+EN278</f>
        <v>#REF!</v>
      </c>
      <c r="EO283" s="1659"/>
      <c r="EP283" s="1613" t="e">
        <f>EA283-#REF!/10^7</f>
        <v>#REF!</v>
      </c>
      <c r="EQ283" s="1661"/>
      <c r="EW283" s="1611" t="e">
        <v>#N/A</v>
      </c>
      <c r="EX283" s="1612">
        <v>0</v>
      </c>
      <c r="EZ283" s="1650">
        <f t="shared" si="607"/>
        <v>0</v>
      </c>
    </row>
    <row r="284" spans="1:156" ht="21" customHeight="1">
      <c r="A284" s="1652"/>
      <c r="B284" s="1644"/>
      <c r="C284" s="1662"/>
      <c r="D284" s="1648"/>
      <c r="E284" s="1648"/>
      <c r="F284" s="1648"/>
      <c r="G284" s="1648"/>
      <c r="H284" s="1648"/>
      <c r="I284" s="1648"/>
      <c r="J284" s="1663"/>
      <c r="K284" s="1648"/>
      <c r="L284" s="1648"/>
      <c r="M284" s="1648"/>
      <c r="N284" s="1642"/>
      <c r="O284" s="2000"/>
      <c r="P284" s="2003">
        <f t="shared" si="555"/>
        <v>0</v>
      </c>
      <c r="Q284" s="1989"/>
      <c r="R284" s="2003">
        <f t="shared" si="556"/>
        <v>0</v>
      </c>
      <c r="S284" s="1989"/>
      <c r="T284" s="2003">
        <f t="shared" si="557"/>
        <v>0</v>
      </c>
      <c r="U284" s="1989"/>
      <c r="V284" s="1989"/>
      <c r="W284" s="1989">
        <f t="shared" si="558"/>
        <v>0</v>
      </c>
      <c r="X284" s="1999"/>
      <c r="Y284" s="1993"/>
      <c r="Z284" s="2003">
        <f t="shared" si="559"/>
        <v>0</v>
      </c>
      <c r="AA284" s="1989"/>
      <c r="AB284" s="2003">
        <f t="shared" si="560"/>
        <v>0</v>
      </c>
      <c r="AC284" s="1989"/>
      <c r="AD284" s="2003">
        <f t="shared" si="561"/>
        <v>0</v>
      </c>
      <c r="AE284" s="1989"/>
      <c r="AF284" s="1989"/>
      <c r="AG284" s="2002">
        <f t="shared" si="562"/>
        <v>0</v>
      </c>
      <c r="AH284" s="1999">
        <f>AA284+AC284+AE284+AF284</f>
        <v>0</v>
      </c>
      <c r="AI284" s="1993"/>
      <c r="AJ284" s="2003">
        <f t="shared" si="563"/>
        <v>0</v>
      </c>
      <c r="AK284" s="1989"/>
      <c r="AL284" s="2003">
        <f t="shared" si="564"/>
        <v>0</v>
      </c>
      <c r="AM284" s="1989"/>
      <c r="AN284" s="2003">
        <f t="shared" si="565"/>
        <v>0</v>
      </c>
      <c r="AO284" s="1989"/>
      <c r="AP284" s="1989"/>
      <c r="AQ284" s="2002">
        <f t="shared" si="566"/>
        <v>0</v>
      </c>
      <c r="AR284" s="1999"/>
      <c r="AS284" s="1993"/>
      <c r="AT284" s="2003">
        <f t="shared" si="567"/>
        <v>0</v>
      </c>
      <c r="AU284" s="1989"/>
      <c r="AV284" s="2003">
        <f t="shared" si="568"/>
        <v>0</v>
      </c>
      <c r="AW284" s="1989"/>
      <c r="AX284" s="2003">
        <f t="shared" si="569"/>
        <v>0</v>
      </c>
      <c r="AY284" s="1989"/>
      <c r="AZ284" s="1989"/>
      <c r="BA284" s="2002">
        <f t="shared" si="570"/>
        <v>0</v>
      </c>
      <c r="BB284" s="1999"/>
      <c r="BC284" s="1993"/>
      <c r="BD284" s="2003">
        <f t="shared" si="571"/>
        <v>0</v>
      </c>
      <c r="BE284" s="1989"/>
      <c r="BF284" s="2003">
        <f t="shared" si="572"/>
        <v>0</v>
      </c>
      <c r="BG284" s="1989"/>
      <c r="BH284" s="2003">
        <f t="shared" si="573"/>
        <v>0</v>
      </c>
      <c r="BI284" s="1989"/>
      <c r="BJ284" s="1989"/>
      <c r="BK284" s="2002">
        <f t="shared" si="574"/>
        <v>0</v>
      </c>
      <c r="BL284" s="1999"/>
      <c r="BM284" s="1993"/>
      <c r="BN284" s="2003">
        <f t="shared" si="575"/>
        <v>0</v>
      </c>
      <c r="BO284" s="1989"/>
      <c r="BP284" s="2003">
        <f t="shared" si="576"/>
        <v>0</v>
      </c>
      <c r="BQ284" s="1989"/>
      <c r="BR284" s="2003">
        <f t="shared" si="577"/>
        <v>0</v>
      </c>
      <c r="BS284" s="1989"/>
      <c r="BT284" s="1989"/>
      <c r="BU284" s="2002">
        <f t="shared" si="578"/>
        <v>0</v>
      </c>
      <c r="BV284" s="1999"/>
      <c r="BW284" s="1993"/>
      <c r="BX284" s="2003">
        <f t="shared" si="579"/>
        <v>0</v>
      </c>
      <c r="BY284" s="1989"/>
      <c r="BZ284" s="2003">
        <f t="shared" si="580"/>
        <v>0</v>
      </c>
      <c r="CA284" s="1989"/>
      <c r="CB284" s="2003">
        <f t="shared" si="581"/>
        <v>0</v>
      </c>
      <c r="CC284" s="1989"/>
      <c r="CD284" s="1989"/>
      <c r="CE284" s="2002">
        <f t="shared" si="582"/>
        <v>0</v>
      </c>
      <c r="CF284" s="1999"/>
      <c r="CG284" s="1993"/>
      <c r="CH284" s="2003">
        <f t="shared" si="583"/>
        <v>0</v>
      </c>
      <c r="CI284" s="1989"/>
      <c r="CJ284" s="2003">
        <f t="shared" si="584"/>
        <v>0</v>
      </c>
      <c r="CK284" s="1989"/>
      <c r="CL284" s="2003">
        <f t="shared" si="585"/>
        <v>0</v>
      </c>
      <c r="CM284" s="1989"/>
      <c r="CN284" s="1989"/>
      <c r="CO284" s="2002">
        <f t="shared" si="586"/>
        <v>0</v>
      </c>
      <c r="CP284" s="1999"/>
      <c r="CQ284" s="1993"/>
      <c r="CR284" s="2003">
        <f t="shared" si="587"/>
        <v>0</v>
      </c>
      <c r="CS284" s="1989"/>
      <c r="CT284" s="2003">
        <f t="shared" si="588"/>
        <v>0</v>
      </c>
      <c r="CU284" s="1989"/>
      <c r="CV284" s="2003">
        <f t="shared" si="589"/>
        <v>0</v>
      </c>
      <c r="CW284" s="1989"/>
      <c r="CX284" s="1989"/>
      <c r="CY284" s="2002">
        <f t="shared" si="590"/>
        <v>0</v>
      </c>
      <c r="CZ284" s="1999"/>
      <c r="DA284" s="1993"/>
      <c r="DB284" s="2003">
        <f t="shared" si="591"/>
        <v>0</v>
      </c>
      <c r="DC284" s="1989"/>
      <c r="DD284" s="2003">
        <f t="shared" si="592"/>
        <v>0</v>
      </c>
      <c r="DE284" s="1989"/>
      <c r="DF284" s="2003">
        <f t="shared" si="593"/>
        <v>0</v>
      </c>
      <c r="DG284" s="1989"/>
      <c r="DH284" s="1989"/>
      <c r="DI284" s="2002">
        <f t="shared" si="594"/>
        <v>0</v>
      </c>
      <c r="DJ284" s="1999"/>
      <c r="DK284" s="1993"/>
      <c r="DL284" s="2003">
        <f t="shared" si="595"/>
        <v>0</v>
      </c>
      <c r="DM284" s="1989"/>
      <c r="DN284" s="2003">
        <f t="shared" si="596"/>
        <v>0</v>
      </c>
      <c r="DO284" s="1989"/>
      <c r="DP284" s="2003">
        <f t="shared" si="597"/>
        <v>0</v>
      </c>
      <c r="DQ284" s="1989"/>
      <c r="DR284" s="1989"/>
      <c r="DS284" s="2002">
        <f t="shared" si="598"/>
        <v>0</v>
      </c>
      <c r="DT284" s="2004"/>
      <c r="DU284" s="1988"/>
      <c r="DV284" s="2003">
        <f t="shared" si="599"/>
        <v>0</v>
      </c>
      <c r="DW284" s="1989"/>
      <c r="DX284" s="2003">
        <f t="shared" si="600"/>
        <v>0</v>
      </c>
      <c r="DY284" s="1989"/>
      <c r="DZ284" s="2003">
        <f t="shared" si="601"/>
        <v>0</v>
      </c>
      <c r="EA284" s="1989"/>
      <c r="EB284" s="1989"/>
      <c r="EC284" s="2002">
        <f t="shared" si="602"/>
        <v>0</v>
      </c>
      <c r="ED284" s="1998"/>
      <c r="EE284" s="2005"/>
      <c r="EF284" s="2003">
        <f t="shared" si="603"/>
        <v>0</v>
      </c>
      <c r="EG284" s="1989"/>
      <c r="EH284" s="2003">
        <f t="shared" si="604"/>
        <v>0</v>
      </c>
      <c r="EI284" s="1989"/>
      <c r="EJ284" s="2003">
        <f t="shared" si="605"/>
        <v>0</v>
      </c>
      <c r="EK284" s="1989"/>
      <c r="EL284" s="1989"/>
      <c r="EM284" s="2006">
        <f t="shared" si="606"/>
        <v>0</v>
      </c>
      <c r="EN284" s="1999"/>
      <c r="EP284" s="1613" t="e">
        <f>EA284-#REF!/10^7</f>
        <v>#REF!</v>
      </c>
      <c r="EW284" s="1611" t="e">
        <v>#N/A</v>
      </c>
      <c r="EX284" s="1612" t="e">
        <v>#N/A</v>
      </c>
      <c r="EZ284" s="1650">
        <f t="shared" si="607"/>
        <v>0</v>
      </c>
    </row>
    <row r="285" spans="1:156" ht="21" customHeight="1">
      <c r="A285" s="1637" t="s">
        <v>1947</v>
      </c>
      <c r="B285" s="1703" t="s">
        <v>1948</v>
      </c>
      <c r="C285" s="1662"/>
      <c r="D285" s="1648"/>
      <c r="E285" s="1648"/>
      <c r="F285" s="1648"/>
      <c r="G285" s="1648"/>
      <c r="H285" s="1648"/>
      <c r="I285" s="1648"/>
      <c r="J285" s="1663"/>
      <c r="K285" s="1648"/>
      <c r="L285" s="1648"/>
      <c r="M285" s="1648"/>
      <c r="N285" s="1642"/>
      <c r="O285" s="2000"/>
      <c r="P285" s="2003">
        <f t="shared" si="555"/>
        <v>0</v>
      </c>
      <c r="Q285" s="1989"/>
      <c r="R285" s="2003">
        <f t="shared" si="556"/>
        <v>0</v>
      </c>
      <c r="S285" s="1989"/>
      <c r="T285" s="2003">
        <f t="shared" si="557"/>
        <v>0</v>
      </c>
      <c r="U285" s="1989"/>
      <c r="V285" s="1989"/>
      <c r="W285" s="1989">
        <f t="shared" si="558"/>
        <v>0</v>
      </c>
      <c r="X285" s="1999">
        <f>Q285+S285+U285+V285</f>
        <v>0</v>
      </c>
      <c r="Y285" s="1993"/>
      <c r="Z285" s="2003">
        <f t="shared" si="559"/>
        <v>0</v>
      </c>
      <c r="AA285" s="1989"/>
      <c r="AB285" s="2003">
        <f t="shared" si="560"/>
        <v>0</v>
      </c>
      <c r="AC285" s="1989"/>
      <c r="AD285" s="2003">
        <f t="shared" si="561"/>
        <v>0</v>
      </c>
      <c r="AE285" s="1989"/>
      <c r="AF285" s="1989"/>
      <c r="AG285" s="2002">
        <f t="shared" si="562"/>
        <v>0</v>
      </c>
      <c r="AH285" s="1999">
        <f>AA285+AC285+AE285+AF285</f>
        <v>0</v>
      </c>
      <c r="AI285" s="1993"/>
      <c r="AJ285" s="2003">
        <f t="shared" si="563"/>
        <v>0</v>
      </c>
      <c r="AK285" s="1989"/>
      <c r="AL285" s="2003">
        <f t="shared" si="564"/>
        <v>0</v>
      </c>
      <c r="AM285" s="1989"/>
      <c r="AN285" s="2003">
        <f t="shared" si="565"/>
        <v>0</v>
      </c>
      <c r="AO285" s="1989"/>
      <c r="AP285" s="1989"/>
      <c r="AQ285" s="2002">
        <f t="shared" si="566"/>
        <v>0</v>
      </c>
      <c r="AR285" s="1999">
        <f>AK285+AM285+AO285+AP285</f>
        <v>0</v>
      </c>
      <c r="AS285" s="1993"/>
      <c r="AT285" s="2003">
        <f t="shared" si="567"/>
        <v>0</v>
      </c>
      <c r="AU285" s="1989"/>
      <c r="AV285" s="2003">
        <f t="shared" si="568"/>
        <v>0</v>
      </c>
      <c r="AW285" s="1989"/>
      <c r="AX285" s="2003">
        <f t="shared" si="569"/>
        <v>0</v>
      </c>
      <c r="AY285" s="1989"/>
      <c r="AZ285" s="1989"/>
      <c r="BA285" s="2002">
        <f t="shared" si="570"/>
        <v>0</v>
      </c>
      <c r="BB285" s="1999">
        <f>AU285+AW285+AY285+AZ285</f>
        <v>0</v>
      </c>
      <c r="BC285" s="1993"/>
      <c r="BD285" s="2003">
        <f t="shared" si="571"/>
        <v>0</v>
      </c>
      <c r="BE285" s="1989"/>
      <c r="BF285" s="2003">
        <f t="shared" si="572"/>
        <v>0</v>
      </c>
      <c r="BG285" s="1989"/>
      <c r="BH285" s="2003">
        <f t="shared" si="573"/>
        <v>0</v>
      </c>
      <c r="BI285" s="1989"/>
      <c r="BJ285" s="1989"/>
      <c r="BK285" s="2002">
        <f t="shared" si="574"/>
        <v>0</v>
      </c>
      <c r="BL285" s="1999">
        <f>BE285+BG285+BI285+BJ285</f>
        <v>0</v>
      </c>
      <c r="BM285" s="1993"/>
      <c r="BN285" s="2003">
        <f t="shared" si="575"/>
        <v>0</v>
      </c>
      <c r="BO285" s="1989"/>
      <c r="BP285" s="2003">
        <f t="shared" si="576"/>
        <v>0</v>
      </c>
      <c r="BQ285" s="1989"/>
      <c r="BR285" s="2003">
        <f t="shared" si="577"/>
        <v>0</v>
      </c>
      <c r="BS285" s="1989"/>
      <c r="BT285" s="1989"/>
      <c r="BU285" s="2002">
        <f t="shared" si="578"/>
        <v>0</v>
      </c>
      <c r="BV285" s="1999">
        <f>BO285+BQ285+BS285+BT285</f>
        <v>0</v>
      </c>
      <c r="BW285" s="1993"/>
      <c r="BX285" s="2003">
        <f t="shared" si="579"/>
        <v>0</v>
      </c>
      <c r="BY285" s="1989"/>
      <c r="BZ285" s="2003">
        <f t="shared" si="580"/>
        <v>0</v>
      </c>
      <c r="CA285" s="1989"/>
      <c r="CB285" s="2003">
        <f t="shared" si="581"/>
        <v>0</v>
      </c>
      <c r="CC285" s="1989"/>
      <c r="CD285" s="1989"/>
      <c r="CE285" s="2002">
        <f t="shared" si="582"/>
        <v>0</v>
      </c>
      <c r="CF285" s="1999">
        <f>BY285+CA285+CC285+CD285</f>
        <v>0</v>
      </c>
      <c r="CG285" s="1993"/>
      <c r="CH285" s="2003">
        <f t="shared" si="583"/>
        <v>0</v>
      </c>
      <c r="CI285" s="1989"/>
      <c r="CJ285" s="2003">
        <f t="shared" si="584"/>
        <v>0</v>
      </c>
      <c r="CK285" s="1989"/>
      <c r="CL285" s="2003">
        <f t="shared" si="585"/>
        <v>0</v>
      </c>
      <c r="CM285" s="1989"/>
      <c r="CN285" s="1989"/>
      <c r="CO285" s="2002">
        <f t="shared" si="586"/>
        <v>0</v>
      </c>
      <c r="CP285" s="1999">
        <f>CI285+CK285+CM285+CN285</f>
        <v>0</v>
      </c>
      <c r="CQ285" s="1993"/>
      <c r="CR285" s="2003">
        <f t="shared" si="587"/>
        <v>0</v>
      </c>
      <c r="CS285" s="1989"/>
      <c r="CT285" s="2003">
        <f t="shared" si="588"/>
        <v>0</v>
      </c>
      <c r="CU285" s="1989"/>
      <c r="CV285" s="2003">
        <f t="shared" si="589"/>
        <v>0</v>
      </c>
      <c r="CW285" s="1989"/>
      <c r="CX285" s="1989"/>
      <c r="CY285" s="2002">
        <f t="shared" si="590"/>
        <v>0</v>
      </c>
      <c r="CZ285" s="1999">
        <f>CS285+CU285+CW285+CX285</f>
        <v>0</v>
      </c>
      <c r="DA285" s="1993"/>
      <c r="DB285" s="2003">
        <f t="shared" si="591"/>
        <v>0</v>
      </c>
      <c r="DC285" s="1989"/>
      <c r="DD285" s="2003">
        <f t="shared" si="592"/>
        <v>0</v>
      </c>
      <c r="DE285" s="1989"/>
      <c r="DF285" s="2003">
        <f t="shared" si="593"/>
        <v>0</v>
      </c>
      <c r="DG285" s="1989"/>
      <c r="DH285" s="1989"/>
      <c r="DI285" s="2002">
        <f t="shared" si="594"/>
        <v>0</v>
      </c>
      <c r="DJ285" s="1999">
        <f>DC285+DE285+DG285+DH285</f>
        <v>0</v>
      </c>
      <c r="DK285" s="1993"/>
      <c r="DL285" s="2003">
        <f t="shared" si="595"/>
        <v>0</v>
      </c>
      <c r="DM285" s="1989"/>
      <c r="DN285" s="2003">
        <f t="shared" si="596"/>
        <v>0</v>
      </c>
      <c r="DO285" s="1989"/>
      <c r="DP285" s="2003">
        <f t="shared" si="597"/>
        <v>0</v>
      </c>
      <c r="DQ285" s="1989"/>
      <c r="DR285" s="1989"/>
      <c r="DS285" s="2002">
        <f t="shared" si="598"/>
        <v>0</v>
      </c>
      <c r="DT285" s="2004">
        <f>DM285+DO285+DQ285+DR285</f>
        <v>0</v>
      </c>
      <c r="DU285" s="1988"/>
      <c r="DV285" s="2003">
        <f t="shared" si="599"/>
        <v>0</v>
      </c>
      <c r="DW285" s="1989"/>
      <c r="DX285" s="2003">
        <f t="shared" si="600"/>
        <v>0</v>
      </c>
      <c r="DY285" s="1989"/>
      <c r="DZ285" s="2003">
        <f t="shared" si="601"/>
        <v>0</v>
      </c>
      <c r="EA285" s="1989"/>
      <c r="EB285" s="1989"/>
      <c r="EC285" s="2002">
        <f t="shared" si="602"/>
        <v>0</v>
      </c>
      <c r="ED285" s="1998">
        <f>DW285+DY285+EA285+EB285</f>
        <v>0</v>
      </c>
      <c r="EE285" s="2005"/>
      <c r="EF285" s="2003">
        <f t="shared" si="603"/>
        <v>0</v>
      </c>
      <c r="EG285" s="1989"/>
      <c r="EH285" s="2003">
        <f t="shared" si="604"/>
        <v>0</v>
      </c>
      <c r="EI285" s="1989"/>
      <c r="EJ285" s="2003">
        <f t="shared" si="605"/>
        <v>0</v>
      </c>
      <c r="EK285" s="1989"/>
      <c r="EL285" s="1989"/>
      <c r="EM285" s="2006">
        <f t="shared" si="606"/>
        <v>0</v>
      </c>
      <c r="EN285" s="1999"/>
      <c r="EP285" s="1613" t="e">
        <f>EA285-#REF!/10^7</f>
        <v>#REF!</v>
      </c>
      <c r="EW285" s="1611" t="e">
        <v>#N/A</v>
      </c>
      <c r="EX285" s="1612" t="e">
        <v>#N/A</v>
      </c>
      <c r="EZ285" s="1650">
        <f t="shared" si="607"/>
        <v>0</v>
      </c>
    </row>
    <row r="286" spans="1:156" ht="21" customHeight="1">
      <c r="A286" s="1652" t="s">
        <v>129</v>
      </c>
      <c r="B286" s="1644" t="s">
        <v>1949</v>
      </c>
      <c r="C286" s="1662"/>
      <c r="D286" s="1646" t="e">
        <f>H286/C286*100</f>
        <v>#DIV/0!</v>
      </c>
      <c r="E286" s="1646"/>
      <c r="F286" s="1648" t="s">
        <v>1594</v>
      </c>
      <c r="G286" s="1648"/>
      <c r="H286" s="1648"/>
      <c r="I286" s="1648"/>
      <c r="J286" s="1663"/>
      <c r="K286" s="1648"/>
      <c r="L286" s="1648"/>
      <c r="M286" s="1648"/>
      <c r="N286" s="1642"/>
      <c r="O286" s="2000" t="e">
        <f>#REF!</f>
        <v>#REF!</v>
      </c>
      <c r="P286" s="2003">
        <f t="shared" si="555"/>
        <v>0</v>
      </c>
      <c r="Q286" s="1989" t="e">
        <f>#REF!/10^7</f>
        <v>#REF!</v>
      </c>
      <c r="R286" s="2003">
        <f t="shared" si="556"/>
        <v>0</v>
      </c>
      <c r="S286" s="1989" t="e">
        <f>#REF!/10^7</f>
        <v>#REF!</v>
      </c>
      <c r="T286" s="2003">
        <f t="shared" si="557"/>
        <v>0</v>
      </c>
      <c r="U286" s="1989" t="e">
        <f>#REF!/10^7</f>
        <v>#REF!</v>
      </c>
      <c r="V286" s="1989" t="e">
        <f>#REF!/10^7</f>
        <v>#REF!</v>
      </c>
      <c r="W286" s="1989">
        <f t="shared" si="558"/>
        <v>0</v>
      </c>
      <c r="X286" s="1999" t="e">
        <f t="shared" ref="X286:X287" si="647">Q286+S286+U286+V286</f>
        <v>#REF!</v>
      </c>
      <c r="Y286" s="1993" t="e">
        <f>#REF!</f>
        <v>#REF!</v>
      </c>
      <c r="Z286" s="2003">
        <f t="shared" si="559"/>
        <v>0</v>
      </c>
      <c r="AA286" s="1989" t="e">
        <f>#REF!/10^7</f>
        <v>#REF!</v>
      </c>
      <c r="AB286" s="2003">
        <f t="shared" si="560"/>
        <v>0</v>
      </c>
      <c r="AC286" s="1989" t="e">
        <f>#REF!/10^7</f>
        <v>#REF!</v>
      </c>
      <c r="AD286" s="2003">
        <f t="shared" si="561"/>
        <v>0</v>
      </c>
      <c r="AE286" s="1989" t="e">
        <f>#REF!/10^7</f>
        <v>#REF!</v>
      </c>
      <c r="AF286" s="1989" t="e">
        <f>#REF!/10^7</f>
        <v>#REF!</v>
      </c>
      <c r="AG286" s="2002" t="e">
        <f t="shared" si="562"/>
        <v>#REF!</v>
      </c>
      <c r="AH286" s="1999" t="e">
        <f t="shared" ref="AH286:AH287" si="648">AA286+AC286+AE286+AF286</f>
        <v>#REF!</v>
      </c>
      <c r="AI286" s="1993" t="e">
        <f>#REF!</f>
        <v>#REF!</v>
      </c>
      <c r="AJ286" s="2003">
        <f t="shared" si="563"/>
        <v>0</v>
      </c>
      <c r="AK286" s="1989" t="e">
        <f>#REF!/10^7</f>
        <v>#REF!</v>
      </c>
      <c r="AL286" s="2003">
        <f t="shared" si="564"/>
        <v>0</v>
      </c>
      <c r="AM286" s="1989" t="e">
        <f>#REF!/10^7</f>
        <v>#REF!</v>
      </c>
      <c r="AN286" s="2003">
        <f t="shared" si="565"/>
        <v>0</v>
      </c>
      <c r="AO286" s="1989" t="e">
        <f>#REF!/10^7</f>
        <v>#REF!</v>
      </c>
      <c r="AP286" s="1989" t="e">
        <f>#REF!/10^7</f>
        <v>#REF!</v>
      </c>
      <c r="AQ286" s="2002" t="e">
        <f t="shared" si="566"/>
        <v>#REF!</v>
      </c>
      <c r="AR286" s="1999" t="e">
        <f t="shared" ref="AR286:AR287" si="649">AK286+AM286+AO286+AP286</f>
        <v>#REF!</v>
      </c>
      <c r="AS286" s="1993" t="e">
        <f>#REF!</f>
        <v>#REF!</v>
      </c>
      <c r="AT286" s="2003">
        <f t="shared" si="567"/>
        <v>0</v>
      </c>
      <c r="AU286" s="1989" t="e">
        <f>#REF!/10^7</f>
        <v>#REF!</v>
      </c>
      <c r="AV286" s="2003">
        <f t="shared" si="568"/>
        <v>0</v>
      </c>
      <c r="AW286" s="1989" t="e">
        <f>#REF!/10^7</f>
        <v>#REF!</v>
      </c>
      <c r="AX286" s="2003">
        <f t="shared" si="569"/>
        <v>0</v>
      </c>
      <c r="AY286" s="1989" t="e">
        <f>#REF!/10^7</f>
        <v>#REF!</v>
      </c>
      <c r="AZ286" s="1989" t="e">
        <f>#REF!/10^7</f>
        <v>#REF!</v>
      </c>
      <c r="BA286" s="2002" t="e">
        <f t="shared" si="570"/>
        <v>#REF!</v>
      </c>
      <c r="BB286" s="1999" t="e">
        <f t="shared" ref="BB286:BB287" si="650">AU286+AW286+AY286+AZ286</f>
        <v>#REF!</v>
      </c>
      <c r="BC286" s="1993" t="e">
        <f>#REF!</f>
        <v>#REF!</v>
      </c>
      <c r="BD286" s="2003">
        <f t="shared" si="571"/>
        <v>0</v>
      </c>
      <c r="BE286" s="1989" t="e">
        <f>#REF!/10^7</f>
        <v>#REF!</v>
      </c>
      <c r="BF286" s="2003">
        <f t="shared" si="572"/>
        <v>0</v>
      </c>
      <c r="BG286" s="1989" t="e">
        <f>#REF!/10^7</f>
        <v>#REF!</v>
      </c>
      <c r="BH286" s="2003">
        <f t="shared" si="573"/>
        <v>0</v>
      </c>
      <c r="BI286" s="1989" t="e">
        <f>#REF!/10^7</f>
        <v>#REF!</v>
      </c>
      <c r="BJ286" s="1989" t="e">
        <f>#REF!/10^7</f>
        <v>#REF!</v>
      </c>
      <c r="BK286" s="2002" t="e">
        <f t="shared" si="574"/>
        <v>#REF!</v>
      </c>
      <c r="BL286" s="1999" t="e">
        <f t="shared" ref="BL286:BL287" si="651">BE286+BG286+BI286+BJ286</f>
        <v>#REF!</v>
      </c>
      <c r="BM286" s="1993" t="e">
        <f>#REF!</f>
        <v>#REF!</v>
      </c>
      <c r="BN286" s="2003">
        <f t="shared" si="575"/>
        <v>0</v>
      </c>
      <c r="BO286" s="1989" t="e">
        <f>#REF!/10^7</f>
        <v>#REF!</v>
      </c>
      <c r="BP286" s="2003">
        <f t="shared" si="576"/>
        <v>0</v>
      </c>
      <c r="BQ286" s="1989" t="e">
        <f>#REF!/10^7</f>
        <v>#REF!</v>
      </c>
      <c r="BR286" s="2003">
        <f t="shared" si="577"/>
        <v>0</v>
      </c>
      <c r="BS286" s="1989" t="e">
        <f>#REF!/10^7</f>
        <v>#REF!</v>
      </c>
      <c r="BT286" s="1989" t="e">
        <f>#REF!/10^7</f>
        <v>#REF!</v>
      </c>
      <c r="BU286" s="2002" t="e">
        <f t="shared" si="578"/>
        <v>#REF!</v>
      </c>
      <c r="BV286" s="1999" t="e">
        <f t="shared" ref="BV286:BV287" si="652">BO286+BQ286+BS286+BT286</f>
        <v>#REF!</v>
      </c>
      <c r="BW286" s="1993" t="e">
        <f>#REF!</f>
        <v>#REF!</v>
      </c>
      <c r="BX286" s="2003">
        <f t="shared" si="579"/>
        <v>0</v>
      </c>
      <c r="BY286" s="1989" t="e">
        <f>#REF!/10^7</f>
        <v>#REF!</v>
      </c>
      <c r="BZ286" s="2003">
        <f t="shared" si="580"/>
        <v>0</v>
      </c>
      <c r="CA286" s="1989" t="e">
        <f>#REF!/10^7</f>
        <v>#REF!</v>
      </c>
      <c r="CB286" s="2003">
        <f t="shared" si="581"/>
        <v>0</v>
      </c>
      <c r="CC286" s="1989" t="e">
        <f>#REF!/10^7</f>
        <v>#REF!</v>
      </c>
      <c r="CD286" s="1989" t="e">
        <f>#REF!/10^7</f>
        <v>#REF!</v>
      </c>
      <c r="CE286" s="2002" t="e">
        <f t="shared" si="582"/>
        <v>#REF!</v>
      </c>
      <c r="CF286" s="1999" t="e">
        <f t="shared" ref="CF286:CF287" si="653">BY286+CA286+CC286+CD286</f>
        <v>#REF!</v>
      </c>
      <c r="CG286" s="1993" t="e">
        <f>#REF!</f>
        <v>#REF!</v>
      </c>
      <c r="CH286" s="2003">
        <f t="shared" si="583"/>
        <v>0</v>
      </c>
      <c r="CI286" s="1989" t="e">
        <f>#REF!/10^7</f>
        <v>#REF!</v>
      </c>
      <c r="CJ286" s="2003">
        <f t="shared" si="584"/>
        <v>0</v>
      </c>
      <c r="CK286" s="1989" t="e">
        <f>#REF!/10^7</f>
        <v>#REF!</v>
      </c>
      <c r="CL286" s="2003">
        <f t="shared" si="585"/>
        <v>0</v>
      </c>
      <c r="CM286" s="1989" t="e">
        <f>#REF!/10^7</f>
        <v>#REF!</v>
      </c>
      <c r="CN286" s="1989" t="e">
        <f>#REF!/10^7</f>
        <v>#REF!</v>
      </c>
      <c r="CO286" s="2002" t="e">
        <f t="shared" si="586"/>
        <v>#REF!</v>
      </c>
      <c r="CP286" s="1999" t="e">
        <f t="shared" ref="CP286:CP287" si="654">CI286+CK286+CM286+CN286</f>
        <v>#REF!</v>
      </c>
      <c r="CQ286" s="1993" t="e">
        <f>#REF!</f>
        <v>#REF!</v>
      </c>
      <c r="CR286" s="2003">
        <f t="shared" si="587"/>
        <v>0</v>
      </c>
      <c r="CS286" s="1989" t="e">
        <f>#REF!/10^7</f>
        <v>#REF!</v>
      </c>
      <c r="CT286" s="2003">
        <f t="shared" si="588"/>
        <v>0</v>
      </c>
      <c r="CU286" s="1989" t="e">
        <f>#REF!/10^7</f>
        <v>#REF!</v>
      </c>
      <c r="CV286" s="2003">
        <f t="shared" si="589"/>
        <v>0</v>
      </c>
      <c r="CW286" s="1989" t="e">
        <f>#REF!/10^7</f>
        <v>#REF!</v>
      </c>
      <c r="CX286" s="1989" t="e">
        <f>#REF!/10^7</f>
        <v>#REF!</v>
      </c>
      <c r="CY286" s="2002" t="e">
        <f t="shared" si="590"/>
        <v>#REF!</v>
      </c>
      <c r="CZ286" s="1999" t="e">
        <f t="shared" ref="CZ286:CZ287" si="655">CS286+CU286+CW286+CX286</f>
        <v>#REF!</v>
      </c>
      <c r="DA286" s="1993" t="e">
        <f>#REF!</f>
        <v>#REF!</v>
      </c>
      <c r="DB286" s="2003">
        <f t="shared" si="591"/>
        <v>0</v>
      </c>
      <c r="DC286" s="1989" t="e">
        <f>#REF!/10^7</f>
        <v>#REF!</v>
      </c>
      <c r="DD286" s="2003">
        <f t="shared" si="592"/>
        <v>0</v>
      </c>
      <c r="DE286" s="1989" t="e">
        <f>#REF!/10^7</f>
        <v>#REF!</v>
      </c>
      <c r="DF286" s="2003">
        <f t="shared" si="593"/>
        <v>0</v>
      </c>
      <c r="DG286" s="1989" t="e">
        <f>#REF!/10^7</f>
        <v>#REF!</v>
      </c>
      <c r="DH286" s="1989" t="e">
        <f>#REF!/10^7</f>
        <v>#REF!</v>
      </c>
      <c r="DI286" s="2002" t="e">
        <f t="shared" si="594"/>
        <v>#REF!</v>
      </c>
      <c r="DJ286" s="1999" t="e">
        <f t="shared" ref="DJ286:DJ287" si="656">DC286+DE286+DG286+DH286</f>
        <v>#REF!</v>
      </c>
      <c r="DK286" s="1993" t="e">
        <f>#REF!</f>
        <v>#REF!</v>
      </c>
      <c r="DL286" s="2003">
        <f t="shared" si="595"/>
        <v>0</v>
      </c>
      <c r="DM286" s="1989" t="e">
        <f>#REF!/10^7</f>
        <v>#REF!</v>
      </c>
      <c r="DN286" s="2003">
        <f t="shared" si="596"/>
        <v>0</v>
      </c>
      <c r="DO286" s="1989" t="e">
        <f>#REF!/10^7</f>
        <v>#REF!</v>
      </c>
      <c r="DP286" s="2003">
        <f t="shared" si="597"/>
        <v>0</v>
      </c>
      <c r="DQ286" s="1989" t="e">
        <f>#REF!/10^7</f>
        <v>#REF!</v>
      </c>
      <c r="DR286" s="1989" t="e">
        <f>#REF!/10^7</f>
        <v>#REF!</v>
      </c>
      <c r="DS286" s="2002" t="e">
        <f t="shared" si="598"/>
        <v>#REF!</v>
      </c>
      <c r="DT286" s="2004" t="e">
        <f t="shared" ref="DT286:DT287" si="657">DM286+DO286+DQ286+DR286</f>
        <v>#REF!</v>
      </c>
      <c r="DU286" s="1988" t="e">
        <f>#REF!</f>
        <v>#REF!</v>
      </c>
      <c r="DV286" s="2003">
        <f t="shared" si="599"/>
        <v>0</v>
      </c>
      <c r="DW286" s="1989" t="e">
        <f>#REF!/10^7</f>
        <v>#REF!</v>
      </c>
      <c r="DX286" s="2003">
        <f t="shared" si="600"/>
        <v>0</v>
      </c>
      <c r="DY286" s="1989" t="e">
        <f>#REF!/10^7</f>
        <v>#REF!</v>
      </c>
      <c r="DZ286" s="2003">
        <f t="shared" si="601"/>
        <v>0</v>
      </c>
      <c r="EA286" s="1989" t="e">
        <f>#REF!/10^7</f>
        <v>#REF!</v>
      </c>
      <c r="EB286" s="1989" t="e">
        <f>#REF!/10^7</f>
        <v>#REF!</v>
      </c>
      <c r="EC286" s="2002" t="e">
        <f t="shared" si="602"/>
        <v>#REF!</v>
      </c>
      <c r="ED286" s="1998" t="e">
        <f t="shared" ref="ED286:ED287" si="658">DW286+DY286+EA286+EB286</f>
        <v>#REF!</v>
      </c>
      <c r="EE286" s="2005" t="e">
        <f>O286+Y286+AI286+AS286+BC286+BM286+BW286+CG286+CQ286+DA286+DK286+DU286</f>
        <v>#REF!</v>
      </c>
      <c r="EF286" s="2003">
        <f t="shared" si="603"/>
        <v>0</v>
      </c>
      <c r="EG286" s="1989" t="e">
        <f>Q286+AA286+AK286+AU286+BE286+BO286+BY286+CI286+CS286+DC286+DM286+DW286</f>
        <v>#REF!</v>
      </c>
      <c r="EH286" s="2003">
        <f t="shared" si="604"/>
        <v>0</v>
      </c>
      <c r="EI286" s="1989" t="e">
        <f>S286+AC286+AM286+AW286+BG286+BQ286+CA286+CK286+CU286+DE286+DO286+DY286</f>
        <v>#REF!</v>
      </c>
      <c r="EJ286" s="2003">
        <f t="shared" si="605"/>
        <v>0</v>
      </c>
      <c r="EK286" s="1989" t="e">
        <f>U286+AE286+AO286+AY286+BI286+BS286+CC286+CM286+CW286+DG286+DQ286+EA286</f>
        <v>#REF!</v>
      </c>
      <c r="EL286" s="1989" t="e">
        <f>V286+AF286+AP286+AZ286+BJ286+BT286+CD286+CN286+CX286+DH286+DR286+EB286</f>
        <v>#REF!</v>
      </c>
      <c r="EM286" s="2006" t="e">
        <f t="shared" si="606"/>
        <v>#REF!</v>
      </c>
      <c r="EN286" s="1999" t="e">
        <f>EG286+EI286+EK286+EL286</f>
        <v>#REF!</v>
      </c>
      <c r="EP286" s="1613" t="e">
        <f>EA286-#REF!/10^7</f>
        <v>#REF!</v>
      </c>
      <c r="EW286" s="1611" t="e">
        <v>#N/A</v>
      </c>
      <c r="EX286" s="1612" t="e">
        <v>#N/A</v>
      </c>
      <c r="EZ286" s="1650">
        <f t="shared" si="607"/>
        <v>0</v>
      </c>
    </row>
    <row r="287" spans="1:156" ht="21" customHeight="1">
      <c r="A287" s="1652" t="s">
        <v>130</v>
      </c>
      <c r="B287" s="1644" t="s">
        <v>1950</v>
      </c>
      <c r="C287" s="1662"/>
      <c r="D287" s="1646" t="e">
        <f>H287/C287*100</f>
        <v>#DIV/0!</v>
      </c>
      <c r="E287" s="1646"/>
      <c r="F287" s="1648" t="s">
        <v>1594</v>
      </c>
      <c r="G287" s="1648"/>
      <c r="H287" s="1648"/>
      <c r="I287" s="1648"/>
      <c r="J287" s="1663"/>
      <c r="K287" s="1648"/>
      <c r="L287" s="1648"/>
      <c r="M287" s="1648"/>
      <c r="N287" s="1642"/>
      <c r="O287" s="2000" t="e">
        <f>#REF!</f>
        <v>#REF!</v>
      </c>
      <c r="P287" s="2003">
        <f t="shared" si="555"/>
        <v>0</v>
      </c>
      <c r="Q287" s="1989" t="e">
        <f>#REF!/10^7</f>
        <v>#REF!</v>
      </c>
      <c r="R287" s="2003">
        <f t="shared" si="556"/>
        <v>0</v>
      </c>
      <c r="S287" s="1989" t="e">
        <f>#REF!/10^7</f>
        <v>#REF!</v>
      </c>
      <c r="T287" s="2003">
        <f t="shared" si="557"/>
        <v>0</v>
      </c>
      <c r="U287" s="1989" t="e">
        <f>#REF!/10^7</f>
        <v>#REF!</v>
      </c>
      <c r="V287" s="1989" t="e">
        <f>#REF!/10^7</f>
        <v>#REF!</v>
      </c>
      <c r="W287" s="1989">
        <f t="shared" si="558"/>
        <v>0</v>
      </c>
      <c r="X287" s="1999" t="e">
        <f t="shared" si="647"/>
        <v>#REF!</v>
      </c>
      <c r="Y287" s="1993" t="e">
        <f>#REF!</f>
        <v>#REF!</v>
      </c>
      <c r="Z287" s="2003">
        <f t="shared" si="559"/>
        <v>0</v>
      </c>
      <c r="AA287" s="1989" t="e">
        <f>#REF!/10^7</f>
        <v>#REF!</v>
      </c>
      <c r="AB287" s="2003">
        <f t="shared" si="560"/>
        <v>0</v>
      </c>
      <c r="AC287" s="1989" t="e">
        <f>#REF!/10^7</f>
        <v>#REF!</v>
      </c>
      <c r="AD287" s="2003">
        <f t="shared" si="561"/>
        <v>0</v>
      </c>
      <c r="AE287" s="1989" t="e">
        <f>#REF!/10^7</f>
        <v>#REF!</v>
      </c>
      <c r="AF287" s="1989" t="e">
        <f>#REF!/10^7</f>
        <v>#REF!</v>
      </c>
      <c r="AG287" s="2002" t="e">
        <f t="shared" si="562"/>
        <v>#REF!</v>
      </c>
      <c r="AH287" s="1999" t="e">
        <f t="shared" si="648"/>
        <v>#REF!</v>
      </c>
      <c r="AI287" s="1993" t="e">
        <f>#REF!</f>
        <v>#REF!</v>
      </c>
      <c r="AJ287" s="2003">
        <f t="shared" si="563"/>
        <v>0</v>
      </c>
      <c r="AK287" s="1989" t="e">
        <f>#REF!/10^7</f>
        <v>#REF!</v>
      </c>
      <c r="AL287" s="2003">
        <f t="shared" si="564"/>
        <v>0</v>
      </c>
      <c r="AM287" s="1989" t="e">
        <f>#REF!/10^7</f>
        <v>#REF!</v>
      </c>
      <c r="AN287" s="2003">
        <f t="shared" si="565"/>
        <v>0</v>
      </c>
      <c r="AO287" s="1989" t="e">
        <f>#REF!/10^7</f>
        <v>#REF!</v>
      </c>
      <c r="AP287" s="1989" t="e">
        <f>#REF!/10^7</f>
        <v>#REF!</v>
      </c>
      <c r="AQ287" s="2002" t="e">
        <f t="shared" si="566"/>
        <v>#REF!</v>
      </c>
      <c r="AR287" s="1999" t="e">
        <f t="shared" si="649"/>
        <v>#REF!</v>
      </c>
      <c r="AS287" s="1993" t="e">
        <f>#REF!</f>
        <v>#REF!</v>
      </c>
      <c r="AT287" s="2003">
        <f t="shared" si="567"/>
        <v>0</v>
      </c>
      <c r="AU287" s="1989" t="e">
        <f>#REF!/10^7</f>
        <v>#REF!</v>
      </c>
      <c r="AV287" s="2003">
        <f t="shared" si="568"/>
        <v>0</v>
      </c>
      <c r="AW287" s="1989" t="e">
        <f>#REF!/10^7</f>
        <v>#REF!</v>
      </c>
      <c r="AX287" s="2003">
        <f t="shared" si="569"/>
        <v>0</v>
      </c>
      <c r="AY287" s="1989" t="e">
        <f>#REF!/10^7</f>
        <v>#REF!</v>
      </c>
      <c r="AZ287" s="1989" t="e">
        <f>#REF!/10^7</f>
        <v>#REF!</v>
      </c>
      <c r="BA287" s="2002" t="e">
        <f t="shared" si="570"/>
        <v>#REF!</v>
      </c>
      <c r="BB287" s="1999" t="e">
        <f t="shared" si="650"/>
        <v>#REF!</v>
      </c>
      <c r="BC287" s="1993" t="e">
        <f>#REF!</f>
        <v>#REF!</v>
      </c>
      <c r="BD287" s="2003">
        <f t="shared" si="571"/>
        <v>0</v>
      </c>
      <c r="BE287" s="1989" t="e">
        <f>#REF!/10^7</f>
        <v>#REF!</v>
      </c>
      <c r="BF287" s="2003">
        <f t="shared" si="572"/>
        <v>0</v>
      </c>
      <c r="BG287" s="1989" t="e">
        <f>#REF!/10^7</f>
        <v>#REF!</v>
      </c>
      <c r="BH287" s="2003">
        <f t="shared" si="573"/>
        <v>0</v>
      </c>
      <c r="BI287" s="1989" t="e">
        <f>#REF!/10^7</f>
        <v>#REF!</v>
      </c>
      <c r="BJ287" s="1989" t="e">
        <f>#REF!/10^7</f>
        <v>#REF!</v>
      </c>
      <c r="BK287" s="2002" t="e">
        <f t="shared" si="574"/>
        <v>#REF!</v>
      </c>
      <c r="BL287" s="1999" t="e">
        <f t="shared" si="651"/>
        <v>#REF!</v>
      </c>
      <c r="BM287" s="1993" t="e">
        <f>#REF!</f>
        <v>#REF!</v>
      </c>
      <c r="BN287" s="2003">
        <f t="shared" si="575"/>
        <v>0</v>
      </c>
      <c r="BO287" s="1989" t="e">
        <f>#REF!/10^7</f>
        <v>#REF!</v>
      </c>
      <c r="BP287" s="2003">
        <f t="shared" si="576"/>
        <v>0</v>
      </c>
      <c r="BQ287" s="1989" t="e">
        <f>#REF!/10^7</f>
        <v>#REF!</v>
      </c>
      <c r="BR287" s="2003">
        <f t="shared" si="577"/>
        <v>0</v>
      </c>
      <c r="BS287" s="1989" t="e">
        <f>#REF!/10^7</f>
        <v>#REF!</v>
      </c>
      <c r="BT287" s="1989" t="e">
        <f>#REF!/10^7</f>
        <v>#REF!</v>
      </c>
      <c r="BU287" s="2002" t="e">
        <f t="shared" si="578"/>
        <v>#REF!</v>
      </c>
      <c r="BV287" s="1999" t="e">
        <f t="shared" si="652"/>
        <v>#REF!</v>
      </c>
      <c r="BW287" s="1993" t="e">
        <f>#REF!</f>
        <v>#REF!</v>
      </c>
      <c r="BX287" s="2003">
        <f t="shared" si="579"/>
        <v>0</v>
      </c>
      <c r="BY287" s="1989" t="e">
        <f>#REF!/10^7</f>
        <v>#REF!</v>
      </c>
      <c r="BZ287" s="2003">
        <f t="shared" si="580"/>
        <v>0</v>
      </c>
      <c r="CA287" s="1989" t="e">
        <f>#REF!/10^7</f>
        <v>#REF!</v>
      </c>
      <c r="CB287" s="2003">
        <f t="shared" si="581"/>
        <v>0</v>
      </c>
      <c r="CC287" s="1989" t="e">
        <f>#REF!/10^7</f>
        <v>#REF!</v>
      </c>
      <c r="CD287" s="1989" t="e">
        <f>#REF!/10^7</f>
        <v>#REF!</v>
      </c>
      <c r="CE287" s="2002" t="e">
        <f t="shared" si="582"/>
        <v>#REF!</v>
      </c>
      <c r="CF287" s="1999" t="e">
        <f t="shared" si="653"/>
        <v>#REF!</v>
      </c>
      <c r="CG287" s="1993" t="e">
        <f>#REF!</f>
        <v>#REF!</v>
      </c>
      <c r="CH287" s="2003">
        <f t="shared" si="583"/>
        <v>0</v>
      </c>
      <c r="CI287" s="1989" t="e">
        <f>#REF!/10^7</f>
        <v>#REF!</v>
      </c>
      <c r="CJ287" s="2003">
        <f t="shared" si="584"/>
        <v>0</v>
      </c>
      <c r="CK287" s="1989" t="e">
        <f>#REF!/10^7</f>
        <v>#REF!</v>
      </c>
      <c r="CL287" s="2003">
        <f t="shared" si="585"/>
        <v>0</v>
      </c>
      <c r="CM287" s="1989" t="e">
        <f>#REF!/10^7</f>
        <v>#REF!</v>
      </c>
      <c r="CN287" s="1989" t="e">
        <f>#REF!/10^7</f>
        <v>#REF!</v>
      </c>
      <c r="CO287" s="2002" t="e">
        <f t="shared" si="586"/>
        <v>#REF!</v>
      </c>
      <c r="CP287" s="1999" t="e">
        <f t="shared" si="654"/>
        <v>#REF!</v>
      </c>
      <c r="CQ287" s="1993" t="e">
        <f>#REF!</f>
        <v>#REF!</v>
      </c>
      <c r="CR287" s="2003">
        <f t="shared" si="587"/>
        <v>0</v>
      </c>
      <c r="CS287" s="1989" t="e">
        <f>#REF!/10^7</f>
        <v>#REF!</v>
      </c>
      <c r="CT287" s="2003">
        <f t="shared" si="588"/>
        <v>0</v>
      </c>
      <c r="CU287" s="1989" t="e">
        <f>#REF!/10^7</f>
        <v>#REF!</v>
      </c>
      <c r="CV287" s="2003">
        <f t="shared" si="589"/>
        <v>0</v>
      </c>
      <c r="CW287" s="1989" t="e">
        <f>#REF!/10^7</f>
        <v>#REF!</v>
      </c>
      <c r="CX287" s="1989" t="e">
        <f>#REF!/10^7</f>
        <v>#REF!</v>
      </c>
      <c r="CY287" s="2002" t="e">
        <f t="shared" si="590"/>
        <v>#REF!</v>
      </c>
      <c r="CZ287" s="1999" t="e">
        <f t="shared" si="655"/>
        <v>#REF!</v>
      </c>
      <c r="DA287" s="1993" t="e">
        <f>#REF!</f>
        <v>#REF!</v>
      </c>
      <c r="DB287" s="2003">
        <f t="shared" si="591"/>
        <v>0</v>
      </c>
      <c r="DC287" s="1989" t="e">
        <f>#REF!/10^7</f>
        <v>#REF!</v>
      </c>
      <c r="DD287" s="2003">
        <f t="shared" si="592"/>
        <v>0</v>
      </c>
      <c r="DE287" s="1989" t="e">
        <f>#REF!/10^7</f>
        <v>#REF!</v>
      </c>
      <c r="DF287" s="2003">
        <f t="shared" si="593"/>
        <v>0</v>
      </c>
      <c r="DG287" s="1989" t="e">
        <f>#REF!/10^7</f>
        <v>#REF!</v>
      </c>
      <c r="DH287" s="1989" t="e">
        <f>#REF!/10^7</f>
        <v>#REF!</v>
      </c>
      <c r="DI287" s="2002" t="e">
        <f t="shared" si="594"/>
        <v>#REF!</v>
      </c>
      <c r="DJ287" s="1999" t="e">
        <f t="shared" si="656"/>
        <v>#REF!</v>
      </c>
      <c r="DK287" s="1993" t="e">
        <f>#REF!</f>
        <v>#REF!</v>
      </c>
      <c r="DL287" s="2003">
        <f t="shared" si="595"/>
        <v>0</v>
      </c>
      <c r="DM287" s="1989" t="e">
        <f>#REF!/10^7</f>
        <v>#REF!</v>
      </c>
      <c r="DN287" s="2003">
        <f t="shared" si="596"/>
        <v>0</v>
      </c>
      <c r="DO287" s="1989" t="e">
        <f>#REF!/10^7</f>
        <v>#REF!</v>
      </c>
      <c r="DP287" s="2003">
        <f t="shared" si="597"/>
        <v>0</v>
      </c>
      <c r="DQ287" s="1989" t="e">
        <f>#REF!/10^7</f>
        <v>#REF!</v>
      </c>
      <c r="DR287" s="1989" t="e">
        <f>#REF!/10^7</f>
        <v>#REF!</v>
      </c>
      <c r="DS287" s="2002" t="e">
        <f t="shared" si="598"/>
        <v>#REF!</v>
      </c>
      <c r="DT287" s="2004" t="e">
        <f t="shared" si="657"/>
        <v>#REF!</v>
      </c>
      <c r="DU287" s="1988" t="e">
        <f>#REF!</f>
        <v>#REF!</v>
      </c>
      <c r="DV287" s="2003">
        <f t="shared" si="599"/>
        <v>0</v>
      </c>
      <c r="DW287" s="1989" t="e">
        <f>#REF!/10^7</f>
        <v>#REF!</v>
      </c>
      <c r="DX287" s="2003">
        <f t="shared" si="600"/>
        <v>0</v>
      </c>
      <c r="DY287" s="1989" t="e">
        <f>#REF!/10^7</f>
        <v>#REF!</v>
      </c>
      <c r="DZ287" s="2003">
        <f t="shared" si="601"/>
        <v>0</v>
      </c>
      <c r="EA287" s="1989" t="e">
        <f>#REF!/10^7</f>
        <v>#REF!</v>
      </c>
      <c r="EB287" s="1989" t="e">
        <f>#REF!/10^7</f>
        <v>#REF!</v>
      </c>
      <c r="EC287" s="2002" t="e">
        <f t="shared" si="602"/>
        <v>#REF!</v>
      </c>
      <c r="ED287" s="1998" t="e">
        <f t="shared" si="658"/>
        <v>#REF!</v>
      </c>
      <c r="EE287" s="2005" t="e">
        <f>O287+Y287+AI287+AS287+BC287+BM287+BW287+CG287+CQ287+DA287+DK287+DU287</f>
        <v>#REF!</v>
      </c>
      <c r="EF287" s="2003">
        <f t="shared" si="603"/>
        <v>0</v>
      </c>
      <c r="EG287" s="1989" t="e">
        <f>Q287+AA287+AK287+AU287+BE287+BO287+BY287+CI287+CS287+DC287+DM287+DW287</f>
        <v>#REF!</v>
      </c>
      <c r="EH287" s="2003">
        <f t="shared" si="604"/>
        <v>0</v>
      </c>
      <c r="EI287" s="1989" t="e">
        <f>S287+AC287+AM287+AW287+BG287+BQ287+CA287+CK287+CU287+DE287+DO287+DY287</f>
        <v>#REF!</v>
      </c>
      <c r="EJ287" s="2003">
        <f t="shared" si="605"/>
        <v>0</v>
      </c>
      <c r="EK287" s="1989" t="e">
        <f>U287+AE287+AO287+AY287+BI287+BS287+CC287+CM287+CW287+DG287+DQ287+EA287</f>
        <v>#REF!</v>
      </c>
      <c r="EL287" s="1989" t="e">
        <f>V287+AF287+AP287+AZ287+BJ287+BT287+CD287+CN287+CX287+DH287+DR287+EB287</f>
        <v>#REF!</v>
      </c>
      <c r="EM287" s="2006" t="e">
        <f t="shared" si="606"/>
        <v>#REF!</v>
      </c>
      <c r="EN287" s="1999" t="e">
        <f>EG287+EI287+EK287+EL287</f>
        <v>#REF!</v>
      </c>
      <c r="EP287" s="1613" t="e">
        <f>EA287-#REF!/10^7</f>
        <v>#REF!</v>
      </c>
      <c r="EW287" s="1611" t="e">
        <v>#N/A</v>
      </c>
      <c r="EX287" s="1612" t="e">
        <v>#N/A</v>
      </c>
      <c r="EZ287" s="1650">
        <f t="shared" si="607"/>
        <v>0</v>
      </c>
    </row>
    <row r="288" spans="1:156" s="1660" customFormat="1" ht="21" customHeight="1">
      <c r="A288" s="1637"/>
      <c r="B288" s="1654" t="s">
        <v>211</v>
      </c>
      <c r="C288" s="1655"/>
      <c r="D288" s="1656"/>
      <c r="E288" s="1656"/>
      <c r="F288" s="1656"/>
      <c r="G288" s="1656"/>
      <c r="H288" s="1656"/>
      <c r="I288" s="1656"/>
      <c r="J288" s="1657"/>
      <c r="K288" s="1656"/>
      <c r="L288" s="1656"/>
      <c r="M288" s="1656"/>
      <c r="N288" s="1658"/>
      <c r="O288" s="2007" t="e">
        <f>SUM(O286:O287)</f>
        <v>#REF!</v>
      </c>
      <c r="P288" s="2003">
        <f t="shared" si="555"/>
        <v>0</v>
      </c>
      <c r="Q288" s="1826" t="e">
        <f>SUM(Q286:Q287)</f>
        <v>#REF!</v>
      </c>
      <c r="R288" s="2003">
        <f t="shared" si="556"/>
        <v>0</v>
      </c>
      <c r="S288" s="1826" t="e">
        <f>SUM(S286:S287)</f>
        <v>#REF!</v>
      </c>
      <c r="T288" s="2003">
        <f t="shared" si="557"/>
        <v>0</v>
      </c>
      <c r="U288" s="1826" t="e">
        <f>SUM(U286:U287)</f>
        <v>#REF!</v>
      </c>
      <c r="V288" s="1826"/>
      <c r="W288" s="1989">
        <f t="shared" si="558"/>
        <v>0</v>
      </c>
      <c r="X288" s="2008" t="e">
        <f t="shared" ref="X288:AF288" si="659">SUM(X286:X287)</f>
        <v>#REF!</v>
      </c>
      <c r="Y288" s="2007" t="e">
        <f t="shared" si="659"/>
        <v>#REF!</v>
      </c>
      <c r="Z288" s="2003">
        <f t="shared" si="559"/>
        <v>0</v>
      </c>
      <c r="AA288" s="1826" t="e">
        <f t="shared" si="659"/>
        <v>#REF!</v>
      </c>
      <c r="AB288" s="2003">
        <f t="shared" si="560"/>
        <v>0</v>
      </c>
      <c r="AC288" s="1826" t="e">
        <f t="shared" si="659"/>
        <v>#REF!</v>
      </c>
      <c r="AD288" s="2003">
        <f t="shared" si="561"/>
        <v>0</v>
      </c>
      <c r="AE288" s="1826" t="e">
        <f t="shared" si="659"/>
        <v>#REF!</v>
      </c>
      <c r="AF288" s="1826" t="e">
        <f t="shared" si="659"/>
        <v>#REF!</v>
      </c>
      <c r="AG288" s="2002" t="e">
        <f t="shared" si="562"/>
        <v>#REF!</v>
      </c>
      <c r="AH288" s="2008" t="e">
        <f t="shared" ref="AH288:AP288" si="660">SUM(AH286:AH287)</f>
        <v>#REF!</v>
      </c>
      <c r="AI288" s="2007" t="e">
        <f t="shared" si="660"/>
        <v>#REF!</v>
      </c>
      <c r="AJ288" s="2003">
        <f t="shared" si="563"/>
        <v>0</v>
      </c>
      <c r="AK288" s="1826" t="e">
        <f t="shared" si="660"/>
        <v>#REF!</v>
      </c>
      <c r="AL288" s="2003">
        <f t="shared" si="564"/>
        <v>0</v>
      </c>
      <c r="AM288" s="1826" t="e">
        <f t="shared" si="660"/>
        <v>#REF!</v>
      </c>
      <c r="AN288" s="2003">
        <f t="shared" si="565"/>
        <v>0</v>
      </c>
      <c r="AO288" s="1826" t="e">
        <f t="shared" si="660"/>
        <v>#REF!</v>
      </c>
      <c r="AP288" s="1826" t="e">
        <f t="shared" si="660"/>
        <v>#REF!</v>
      </c>
      <c r="AQ288" s="2002" t="e">
        <f t="shared" si="566"/>
        <v>#REF!</v>
      </c>
      <c r="AR288" s="2008" t="e">
        <f t="shared" ref="AR288:AZ288" si="661">SUM(AR286:AR287)</f>
        <v>#REF!</v>
      </c>
      <c r="AS288" s="2007" t="e">
        <f t="shared" si="661"/>
        <v>#REF!</v>
      </c>
      <c r="AT288" s="2003">
        <f t="shared" si="567"/>
        <v>0</v>
      </c>
      <c r="AU288" s="1826" t="e">
        <f t="shared" si="661"/>
        <v>#REF!</v>
      </c>
      <c r="AV288" s="2003">
        <f t="shared" si="568"/>
        <v>0</v>
      </c>
      <c r="AW288" s="1826" t="e">
        <f t="shared" si="661"/>
        <v>#REF!</v>
      </c>
      <c r="AX288" s="2003">
        <f t="shared" si="569"/>
        <v>0</v>
      </c>
      <c r="AY288" s="1826" t="e">
        <f t="shared" si="661"/>
        <v>#REF!</v>
      </c>
      <c r="AZ288" s="1826" t="e">
        <f t="shared" si="661"/>
        <v>#REF!</v>
      </c>
      <c r="BA288" s="2002" t="e">
        <f t="shared" si="570"/>
        <v>#REF!</v>
      </c>
      <c r="BB288" s="2008" t="e">
        <f t="shared" ref="BB288:BJ288" si="662">SUM(BB286:BB287)</f>
        <v>#REF!</v>
      </c>
      <c r="BC288" s="2007" t="e">
        <f t="shared" si="662"/>
        <v>#REF!</v>
      </c>
      <c r="BD288" s="2003">
        <f t="shared" si="571"/>
        <v>0</v>
      </c>
      <c r="BE288" s="1826" t="e">
        <f t="shared" si="662"/>
        <v>#REF!</v>
      </c>
      <c r="BF288" s="2003">
        <f t="shared" si="572"/>
        <v>0</v>
      </c>
      <c r="BG288" s="1826" t="e">
        <f t="shared" si="662"/>
        <v>#REF!</v>
      </c>
      <c r="BH288" s="2003">
        <f t="shared" si="573"/>
        <v>0</v>
      </c>
      <c r="BI288" s="1826" t="e">
        <f t="shared" si="662"/>
        <v>#REF!</v>
      </c>
      <c r="BJ288" s="1826" t="e">
        <f t="shared" si="662"/>
        <v>#REF!</v>
      </c>
      <c r="BK288" s="2002" t="e">
        <f t="shared" si="574"/>
        <v>#REF!</v>
      </c>
      <c r="BL288" s="2008" t="e">
        <f t="shared" ref="BL288:BT288" si="663">SUM(BL286:BL287)</f>
        <v>#REF!</v>
      </c>
      <c r="BM288" s="2007" t="e">
        <f t="shared" si="663"/>
        <v>#REF!</v>
      </c>
      <c r="BN288" s="2003">
        <f t="shared" si="575"/>
        <v>0</v>
      </c>
      <c r="BO288" s="1826" t="e">
        <f t="shared" si="663"/>
        <v>#REF!</v>
      </c>
      <c r="BP288" s="2003">
        <f t="shared" si="576"/>
        <v>0</v>
      </c>
      <c r="BQ288" s="1826" t="e">
        <f t="shared" si="663"/>
        <v>#REF!</v>
      </c>
      <c r="BR288" s="2003">
        <f t="shared" si="577"/>
        <v>0</v>
      </c>
      <c r="BS288" s="1826" t="e">
        <f t="shared" si="663"/>
        <v>#REF!</v>
      </c>
      <c r="BT288" s="1826" t="e">
        <f t="shared" si="663"/>
        <v>#REF!</v>
      </c>
      <c r="BU288" s="2002" t="e">
        <f t="shared" si="578"/>
        <v>#REF!</v>
      </c>
      <c r="BV288" s="2008" t="e">
        <f t="shared" ref="BV288:CD288" si="664">SUM(BV286:BV287)</f>
        <v>#REF!</v>
      </c>
      <c r="BW288" s="2007" t="e">
        <f t="shared" si="664"/>
        <v>#REF!</v>
      </c>
      <c r="BX288" s="2003">
        <f t="shared" si="579"/>
        <v>0</v>
      </c>
      <c r="BY288" s="1826" t="e">
        <f t="shared" si="664"/>
        <v>#REF!</v>
      </c>
      <c r="BZ288" s="2003">
        <f t="shared" si="580"/>
        <v>0</v>
      </c>
      <c r="CA288" s="1826" t="e">
        <f t="shared" si="664"/>
        <v>#REF!</v>
      </c>
      <c r="CB288" s="2003">
        <f t="shared" si="581"/>
        <v>0</v>
      </c>
      <c r="CC288" s="1826" t="e">
        <f t="shared" si="664"/>
        <v>#REF!</v>
      </c>
      <c r="CD288" s="1826" t="e">
        <f t="shared" si="664"/>
        <v>#REF!</v>
      </c>
      <c r="CE288" s="2002" t="e">
        <f t="shared" si="582"/>
        <v>#REF!</v>
      </c>
      <c r="CF288" s="2008" t="e">
        <f t="shared" ref="CF288:CN288" si="665">SUM(CF286:CF287)</f>
        <v>#REF!</v>
      </c>
      <c r="CG288" s="2007" t="e">
        <f t="shared" si="665"/>
        <v>#REF!</v>
      </c>
      <c r="CH288" s="2003">
        <f t="shared" si="583"/>
        <v>0</v>
      </c>
      <c r="CI288" s="1826" t="e">
        <f t="shared" si="665"/>
        <v>#REF!</v>
      </c>
      <c r="CJ288" s="2003">
        <f t="shared" si="584"/>
        <v>0</v>
      </c>
      <c r="CK288" s="1826" t="e">
        <f t="shared" si="665"/>
        <v>#REF!</v>
      </c>
      <c r="CL288" s="2003">
        <f t="shared" si="585"/>
        <v>0</v>
      </c>
      <c r="CM288" s="1826" t="e">
        <f t="shared" si="665"/>
        <v>#REF!</v>
      </c>
      <c r="CN288" s="1826" t="e">
        <f t="shared" si="665"/>
        <v>#REF!</v>
      </c>
      <c r="CO288" s="2002" t="e">
        <f t="shared" si="586"/>
        <v>#REF!</v>
      </c>
      <c r="CP288" s="2008" t="e">
        <f t="shared" ref="CP288:CX288" si="666">SUM(CP286:CP287)</f>
        <v>#REF!</v>
      </c>
      <c r="CQ288" s="2007" t="e">
        <f t="shared" si="666"/>
        <v>#REF!</v>
      </c>
      <c r="CR288" s="2003">
        <f t="shared" si="587"/>
        <v>0</v>
      </c>
      <c r="CS288" s="1826" t="e">
        <f t="shared" si="666"/>
        <v>#REF!</v>
      </c>
      <c r="CT288" s="2003">
        <f t="shared" si="588"/>
        <v>0</v>
      </c>
      <c r="CU288" s="1826" t="e">
        <f t="shared" si="666"/>
        <v>#REF!</v>
      </c>
      <c r="CV288" s="2003">
        <f t="shared" si="589"/>
        <v>0</v>
      </c>
      <c r="CW288" s="1826" t="e">
        <f t="shared" si="666"/>
        <v>#REF!</v>
      </c>
      <c r="CX288" s="1826" t="e">
        <f t="shared" si="666"/>
        <v>#REF!</v>
      </c>
      <c r="CY288" s="2002" t="e">
        <f t="shared" si="590"/>
        <v>#REF!</v>
      </c>
      <c r="CZ288" s="2008" t="e">
        <f t="shared" ref="CZ288:DH288" si="667">SUM(CZ286:CZ287)</f>
        <v>#REF!</v>
      </c>
      <c r="DA288" s="2007" t="e">
        <f t="shared" si="667"/>
        <v>#REF!</v>
      </c>
      <c r="DB288" s="2003">
        <f t="shared" si="591"/>
        <v>0</v>
      </c>
      <c r="DC288" s="1826" t="e">
        <f t="shared" si="667"/>
        <v>#REF!</v>
      </c>
      <c r="DD288" s="2003">
        <f t="shared" si="592"/>
        <v>0</v>
      </c>
      <c r="DE288" s="1826" t="e">
        <f t="shared" si="667"/>
        <v>#REF!</v>
      </c>
      <c r="DF288" s="2003">
        <f t="shared" si="593"/>
        <v>0</v>
      </c>
      <c r="DG288" s="1826" t="e">
        <f t="shared" si="667"/>
        <v>#REF!</v>
      </c>
      <c r="DH288" s="1826" t="e">
        <f t="shared" si="667"/>
        <v>#REF!</v>
      </c>
      <c r="DI288" s="2002" t="e">
        <f t="shared" si="594"/>
        <v>#REF!</v>
      </c>
      <c r="DJ288" s="2008" t="e">
        <f t="shared" ref="DJ288:DR288" si="668">SUM(DJ286:DJ287)</f>
        <v>#REF!</v>
      </c>
      <c r="DK288" s="2007" t="e">
        <f t="shared" si="668"/>
        <v>#REF!</v>
      </c>
      <c r="DL288" s="2003">
        <f t="shared" si="595"/>
        <v>0</v>
      </c>
      <c r="DM288" s="1826" t="e">
        <f t="shared" si="668"/>
        <v>#REF!</v>
      </c>
      <c r="DN288" s="2003">
        <f t="shared" si="596"/>
        <v>0</v>
      </c>
      <c r="DO288" s="1826" t="e">
        <f t="shared" si="668"/>
        <v>#REF!</v>
      </c>
      <c r="DP288" s="2003">
        <f t="shared" si="597"/>
        <v>0</v>
      </c>
      <c r="DQ288" s="1826" t="e">
        <f t="shared" si="668"/>
        <v>#REF!</v>
      </c>
      <c r="DR288" s="1826" t="e">
        <f t="shared" si="668"/>
        <v>#REF!</v>
      </c>
      <c r="DS288" s="2002" t="e">
        <f t="shared" si="598"/>
        <v>#REF!</v>
      </c>
      <c r="DT288" s="2009" t="e">
        <f t="shared" ref="DT288:EB288" si="669">SUM(DT286:DT287)</f>
        <v>#REF!</v>
      </c>
      <c r="DU288" s="2026" t="e">
        <f>SUM(DU286:DU287)</f>
        <v>#REF!</v>
      </c>
      <c r="DV288" s="2003">
        <f t="shared" si="599"/>
        <v>0</v>
      </c>
      <c r="DW288" s="1826" t="e">
        <f t="shared" si="669"/>
        <v>#REF!</v>
      </c>
      <c r="DX288" s="2003">
        <f t="shared" si="600"/>
        <v>0</v>
      </c>
      <c r="DY288" s="1826" t="e">
        <f>SUM(DY286:DY287)</f>
        <v>#REF!</v>
      </c>
      <c r="DZ288" s="2003">
        <f t="shared" si="601"/>
        <v>0</v>
      </c>
      <c r="EA288" s="1826" t="e">
        <f t="shared" si="669"/>
        <v>#REF!</v>
      </c>
      <c r="EB288" s="1826" t="e">
        <f t="shared" si="669"/>
        <v>#REF!</v>
      </c>
      <c r="EC288" s="2002" t="e">
        <f t="shared" si="602"/>
        <v>#REF!</v>
      </c>
      <c r="ED288" s="1826" t="e">
        <f>SUM(ED286:ED287)</f>
        <v>#REF!</v>
      </c>
      <c r="EE288" s="2027" t="e">
        <f>O288+Y288+AI288+AS288+BC288+BM288+BW288+CG288+CQ288+DA288+DK288+DU288</f>
        <v>#REF!</v>
      </c>
      <c r="EF288" s="2003">
        <f t="shared" si="603"/>
        <v>0</v>
      </c>
      <c r="EG288" s="1826" t="e">
        <f>SUM(EG286:EG287)</f>
        <v>#REF!</v>
      </c>
      <c r="EH288" s="2003">
        <f t="shared" si="604"/>
        <v>0</v>
      </c>
      <c r="EI288" s="1826" t="e">
        <f>SUM(EI286:EI287)</f>
        <v>#REF!</v>
      </c>
      <c r="EJ288" s="2003">
        <f t="shared" si="605"/>
        <v>0</v>
      </c>
      <c r="EK288" s="1826" t="e">
        <f>SUM(EK286:EK287)</f>
        <v>#REF!</v>
      </c>
      <c r="EL288" s="1826" t="e">
        <f>SUM(EL286:EL287)</f>
        <v>#REF!</v>
      </c>
      <c r="EM288" s="2006" t="e">
        <f t="shared" si="606"/>
        <v>#REF!</v>
      </c>
      <c r="EN288" s="2008" t="e">
        <f>EG288+EI288+EK288+EL288</f>
        <v>#REF!</v>
      </c>
      <c r="EO288" s="1659"/>
      <c r="EP288" s="1613" t="e">
        <f>EA288-#REF!/10^7</f>
        <v>#REF!</v>
      </c>
      <c r="EQ288" s="1661"/>
      <c r="EW288" s="1611" t="e">
        <v>#N/A</v>
      </c>
      <c r="EX288" s="1612">
        <v>0</v>
      </c>
      <c r="EZ288" s="1650">
        <f t="shared" si="607"/>
        <v>0</v>
      </c>
    </row>
    <row r="289" spans="1:156" ht="21" customHeight="1">
      <c r="A289" s="1652"/>
      <c r="B289" s="1672"/>
      <c r="C289" s="1662"/>
      <c r="D289" s="1648"/>
      <c r="E289" s="1648"/>
      <c r="F289" s="1648"/>
      <c r="G289" s="1648"/>
      <c r="H289" s="1648"/>
      <c r="I289" s="1648"/>
      <c r="J289" s="1649"/>
      <c r="K289" s="1648"/>
      <c r="L289" s="1648"/>
      <c r="M289" s="1648"/>
      <c r="N289" s="1642"/>
      <c r="O289" s="2000"/>
      <c r="P289" s="2003">
        <f t="shared" si="555"/>
        <v>0</v>
      </c>
      <c r="Q289" s="1989"/>
      <c r="R289" s="2003">
        <f t="shared" si="556"/>
        <v>0</v>
      </c>
      <c r="S289" s="1989"/>
      <c r="T289" s="2003">
        <f t="shared" si="557"/>
        <v>0</v>
      </c>
      <c r="U289" s="1989"/>
      <c r="V289" s="1989"/>
      <c r="W289" s="1989">
        <f t="shared" si="558"/>
        <v>0</v>
      </c>
      <c r="X289" s="1999"/>
      <c r="Y289" s="1993"/>
      <c r="Z289" s="2003">
        <f t="shared" si="559"/>
        <v>0</v>
      </c>
      <c r="AA289" s="1989"/>
      <c r="AB289" s="2003">
        <f t="shared" si="560"/>
        <v>0</v>
      </c>
      <c r="AC289" s="1989"/>
      <c r="AD289" s="2003">
        <f t="shared" si="561"/>
        <v>0</v>
      </c>
      <c r="AE289" s="1989"/>
      <c r="AF289" s="1989"/>
      <c r="AG289" s="2002">
        <f t="shared" si="562"/>
        <v>0</v>
      </c>
      <c r="AH289" s="1999"/>
      <c r="AI289" s="1993"/>
      <c r="AJ289" s="2003">
        <f t="shared" si="563"/>
        <v>0</v>
      </c>
      <c r="AK289" s="1989"/>
      <c r="AL289" s="2003">
        <f t="shared" si="564"/>
        <v>0</v>
      </c>
      <c r="AM289" s="1989"/>
      <c r="AN289" s="2003">
        <f t="shared" si="565"/>
        <v>0</v>
      </c>
      <c r="AO289" s="1989"/>
      <c r="AP289" s="1989"/>
      <c r="AQ289" s="2002">
        <f t="shared" si="566"/>
        <v>0</v>
      </c>
      <c r="AR289" s="1999"/>
      <c r="AS289" s="1993"/>
      <c r="AT289" s="2003">
        <f t="shared" si="567"/>
        <v>0</v>
      </c>
      <c r="AU289" s="1989"/>
      <c r="AV289" s="2003">
        <f t="shared" si="568"/>
        <v>0</v>
      </c>
      <c r="AW289" s="1989"/>
      <c r="AX289" s="2003">
        <f t="shared" si="569"/>
        <v>0</v>
      </c>
      <c r="AY289" s="1989"/>
      <c r="AZ289" s="1989"/>
      <c r="BA289" s="2002">
        <f t="shared" si="570"/>
        <v>0</v>
      </c>
      <c r="BB289" s="1999"/>
      <c r="BC289" s="1993"/>
      <c r="BD289" s="2003">
        <f t="shared" si="571"/>
        <v>0</v>
      </c>
      <c r="BE289" s="1989"/>
      <c r="BF289" s="2003">
        <f t="shared" si="572"/>
        <v>0</v>
      </c>
      <c r="BG289" s="1989"/>
      <c r="BH289" s="2003">
        <f t="shared" si="573"/>
        <v>0</v>
      </c>
      <c r="BI289" s="1989"/>
      <c r="BJ289" s="1989"/>
      <c r="BK289" s="2002">
        <f t="shared" si="574"/>
        <v>0</v>
      </c>
      <c r="BL289" s="1999"/>
      <c r="BM289" s="1993"/>
      <c r="BN289" s="2003">
        <f t="shared" si="575"/>
        <v>0</v>
      </c>
      <c r="BO289" s="1989"/>
      <c r="BP289" s="2003">
        <f t="shared" si="576"/>
        <v>0</v>
      </c>
      <c r="BQ289" s="1989"/>
      <c r="BR289" s="2003">
        <f t="shared" si="577"/>
        <v>0</v>
      </c>
      <c r="BS289" s="1989"/>
      <c r="BT289" s="1989"/>
      <c r="BU289" s="2002">
        <f t="shared" si="578"/>
        <v>0</v>
      </c>
      <c r="BV289" s="1999"/>
      <c r="BW289" s="1993"/>
      <c r="BX289" s="2003">
        <f t="shared" si="579"/>
        <v>0</v>
      </c>
      <c r="BY289" s="1989"/>
      <c r="BZ289" s="2003">
        <f t="shared" si="580"/>
        <v>0</v>
      </c>
      <c r="CA289" s="1989"/>
      <c r="CB289" s="2003">
        <f t="shared" si="581"/>
        <v>0</v>
      </c>
      <c r="CC289" s="1989"/>
      <c r="CD289" s="1989"/>
      <c r="CE289" s="2002">
        <f t="shared" si="582"/>
        <v>0</v>
      </c>
      <c r="CF289" s="1999"/>
      <c r="CG289" s="1993"/>
      <c r="CH289" s="2003">
        <f t="shared" si="583"/>
        <v>0</v>
      </c>
      <c r="CI289" s="1989"/>
      <c r="CJ289" s="2003">
        <f t="shared" si="584"/>
        <v>0</v>
      </c>
      <c r="CK289" s="1989"/>
      <c r="CL289" s="2003">
        <f t="shared" si="585"/>
        <v>0</v>
      </c>
      <c r="CM289" s="1989"/>
      <c r="CN289" s="1989"/>
      <c r="CO289" s="2002">
        <f t="shared" si="586"/>
        <v>0</v>
      </c>
      <c r="CP289" s="1999"/>
      <c r="CQ289" s="1993"/>
      <c r="CR289" s="2003">
        <f t="shared" si="587"/>
        <v>0</v>
      </c>
      <c r="CS289" s="1989"/>
      <c r="CT289" s="2003">
        <f t="shared" si="588"/>
        <v>0</v>
      </c>
      <c r="CU289" s="1989"/>
      <c r="CV289" s="2003">
        <f t="shared" si="589"/>
        <v>0</v>
      </c>
      <c r="CW289" s="1989"/>
      <c r="CX289" s="1989"/>
      <c r="CY289" s="2002">
        <f t="shared" si="590"/>
        <v>0</v>
      </c>
      <c r="CZ289" s="1999"/>
      <c r="DA289" s="1993"/>
      <c r="DB289" s="2003">
        <f t="shared" si="591"/>
        <v>0</v>
      </c>
      <c r="DC289" s="1989"/>
      <c r="DD289" s="2003">
        <f t="shared" si="592"/>
        <v>0</v>
      </c>
      <c r="DE289" s="1989"/>
      <c r="DF289" s="2003">
        <f t="shared" si="593"/>
        <v>0</v>
      </c>
      <c r="DG289" s="1989"/>
      <c r="DH289" s="1989"/>
      <c r="DI289" s="2002">
        <f t="shared" si="594"/>
        <v>0</v>
      </c>
      <c r="DJ289" s="1999"/>
      <c r="DK289" s="1993"/>
      <c r="DL289" s="2003">
        <f t="shared" si="595"/>
        <v>0</v>
      </c>
      <c r="DM289" s="1989"/>
      <c r="DN289" s="2003">
        <f t="shared" si="596"/>
        <v>0</v>
      </c>
      <c r="DO289" s="1989"/>
      <c r="DP289" s="2003">
        <f t="shared" si="597"/>
        <v>0</v>
      </c>
      <c r="DQ289" s="1989"/>
      <c r="DR289" s="1989"/>
      <c r="DS289" s="2002">
        <f t="shared" si="598"/>
        <v>0</v>
      </c>
      <c r="DT289" s="2004"/>
      <c r="DU289" s="1988"/>
      <c r="DV289" s="2003">
        <f t="shared" si="599"/>
        <v>0</v>
      </c>
      <c r="DW289" s="1989"/>
      <c r="DX289" s="2003">
        <f t="shared" si="600"/>
        <v>0</v>
      </c>
      <c r="DY289" s="1989"/>
      <c r="DZ289" s="2003">
        <f t="shared" si="601"/>
        <v>0</v>
      </c>
      <c r="EA289" s="1989"/>
      <c r="EB289" s="1989"/>
      <c r="EC289" s="2002">
        <f t="shared" si="602"/>
        <v>0</v>
      </c>
      <c r="ED289" s="1998"/>
      <c r="EE289" s="2005"/>
      <c r="EF289" s="2003">
        <f t="shared" si="603"/>
        <v>0</v>
      </c>
      <c r="EG289" s="1989"/>
      <c r="EH289" s="2003">
        <f t="shared" si="604"/>
        <v>0</v>
      </c>
      <c r="EI289" s="1989"/>
      <c r="EJ289" s="2003">
        <f t="shared" si="605"/>
        <v>0</v>
      </c>
      <c r="EK289" s="1989"/>
      <c r="EL289" s="1989"/>
      <c r="EM289" s="2006">
        <f t="shared" si="606"/>
        <v>0</v>
      </c>
      <c r="EN289" s="1999"/>
      <c r="EP289" s="1613" t="e">
        <f>EA289-#REF!/10^7</f>
        <v>#REF!</v>
      </c>
      <c r="EW289" s="1611" t="e">
        <v>#N/A</v>
      </c>
      <c r="EX289" s="1612" t="e">
        <v>#N/A</v>
      </c>
      <c r="EZ289" s="1650">
        <f t="shared" si="607"/>
        <v>0</v>
      </c>
    </row>
    <row r="290" spans="1:156" ht="21" customHeight="1">
      <c r="A290" s="1637" t="s">
        <v>70</v>
      </c>
      <c r="B290" s="1638" t="s">
        <v>1790</v>
      </c>
      <c r="C290" s="1662"/>
      <c r="D290" s="1648"/>
      <c r="E290" s="1648"/>
      <c r="F290" s="1648"/>
      <c r="G290" s="1648"/>
      <c r="H290" s="1648"/>
      <c r="I290" s="1648"/>
      <c r="J290" s="1649"/>
      <c r="K290" s="1648"/>
      <c r="L290" s="1648"/>
      <c r="M290" s="1648"/>
      <c r="N290" s="1642"/>
      <c r="O290" s="2000"/>
      <c r="P290" s="2003">
        <f t="shared" si="555"/>
        <v>0</v>
      </c>
      <c r="Q290" s="1989"/>
      <c r="R290" s="2003">
        <f t="shared" si="556"/>
        <v>0</v>
      </c>
      <c r="S290" s="1989"/>
      <c r="T290" s="2003">
        <f t="shared" si="557"/>
        <v>0</v>
      </c>
      <c r="U290" s="1989"/>
      <c r="V290" s="1989"/>
      <c r="W290" s="1989">
        <f t="shared" si="558"/>
        <v>0</v>
      </c>
      <c r="X290" s="1999"/>
      <c r="Y290" s="1993"/>
      <c r="Z290" s="2003">
        <f t="shared" si="559"/>
        <v>0</v>
      </c>
      <c r="AA290" s="1989"/>
      <c r="AB290" s="2003">
        <f t="shared" si="560"/>
        <v>0</v>
      </c>
      <c r="AC290" s="1989"/>
      <c r="AD290" s="2003">
        <f t="shared" si="561"/>
        <v>0</v>
      </c>
      <c r="AE290" s="1989"/>
      <c r="AF290" s="1989"/>
      <c r="AG290" s="2002">
        <f t="shared" si="562"/>
        <v>0</v>
      </c>
      <c r="AH290" s="1999">
        <f t="shared" ref="AH290:AH327" si="670">AA290+AC290+AE290+AF290</f>
        <v>0</v>
      </c>
      <c r="AI290" s="1993"/>
      <c r="AJ290" s="2003">
        <f t="shared" si="563"/>
        <v>0</v>
      </c>
      <c r="AK290" s="1989"/>
      <c r="AL290" s="2003">
        <f t="shared" si="564"/>
        <v>0</v>
      </c>
      <c r="AM290" s="1989"/>
      <c r="AN290" s="2003">
        <f t="shared" si="565"/>
        <v>0</v>
      </c>
      <c r="AO290" s="1989"/>
      <c r="AP290" s="1989"/>
      <c r="AQ290" s="2002">
        <f t="shared" si="566"/>
        <v>0</v>
      </c>
      <c r="AR290" s="1999">
        <f>AK290+AM290+AO290+AP290</f>
        <v>0</v>
      </c>
      <c r="AS290" s="1993"/>
      <c r="AT290" s="2003">
        <f t="shared" si="567"/>
        <v>0</v>
      </c>
      <c r="AU290" s="1989"/>
      <c r="AV290" s="2003">
        <f t="shared" si="568"/>
        <v>0</v>
      </c>
      <c r="AW290" s="1989"/>
      <c r="AX290" s="2003">
        <f t="shared" si="569"/>
        <v>0</v>
      </c>
      <c r="AY290" s="1989"/>
      <c r="AZ290" s="1989"/>
      <c r="BA290" s="2002">
        <f t="shared" si="570"/>
        <v>0</v>
      </c>
      <c r="BB290" s="1999">
        <f>AU290+AW290+AY290+AZ290</f>
        <v>0</v>
      </c>
      <c r="BC290" s="1993"/>
      <c r="BD290" s="2003">
        <f t="shared" si="571"/>
        <v>0</v>
      </c>
      <c r="BE290" s="1989"/>
      <c r="BF290" s="2003">
        <f t="shared" si="572"/>
        <v>0</v>
      </c>
      <c r="BG290" s="1989"/>
      <c r="BH290" s="2003">
        <f t="shared" si="573"/>
        <v>0</v>
      </c>
      <c r="BI290" s="1989"/>
      <c r="BJ290" s="1989"/>
      <c r="BK290" s="2002">
        <f t="shared" si="574"/>
        <v>0</v>
      </c>
      <c r="BL290" s="1999">
        <f>BE290+BG290+BI290+BJ290</f>
        <v>0</v>
      </c>
      <c r="BM290" s="1993"/>
      <c r="BN290" s="2003">
        <f t="shared" si="575"/>
        <v>0</v>
      </c>
      <c r="BO290" s="1989"/>
      <c r="BP290" s="2003">
        <f t="shared" si="576"/>
        <v>0</v>
      </c>
      <c r="BQ290" s="1989"/>
      <c r="BR290" s="2003">
        <f t="shared" si="577"/>
        <v>0</v>
      </c>
      <c r="BS290" s="1989"/>
      <c r="BT290" s="1989"/>
      <c r="BU290" s="2002">
        <f t="shared" si="578"/>
        <v>0</v>
      </c>
      <c r="BV290" s="1999">
        <f>BO290+BQ290+BS290+BT290</f>
        <v>0</v>
      </c>
      <c r="BW290" s="1993"/>
      <c r="BX290" s="2003">
        <f t="shared" si="579"/>
        <v>0</v>
      </c>
      <c r="BY290" s="1989"/>
      <c r="BZ290" s="2003">
        <f t="shared" si="580"/>
        <v>0</v>
      </c>
      <c r="CA290" s="1989"/>
      <c r="CB290" s="2003">
        <f t="shared" si="581"/>
        <v>0</v>
      </c>
      <c r="CC290" s="1989"/>
      <c r="CD290" s="1989"/>
      <c r="CE290" s="2002">
        <f t="shared" si="582"/>
        <v>0</v>
      </c>
      <c r="CF290" s="1999">
        <f>BY290+CA290+CC290+CD290</f>
        <v>0</v>
      </c>
      <c r="CG290" s="1993"/>
      <c r="CH290" s="2003">
        <f t="shared" si="583"/>
        <v>0</v>
      </c>
      <c r="CI290" s="1989"/>
      <c r="CJ290" s="2003">
        <f t="shared" si="584"/>
        <v>0</v>
      </c>
      <c r="CK290" s="1989"/>
      <c r="CL290" s="2003">
        <f t="shared" si="585"/>
        <v>0</v>
      </c>
      <c r="CM290" s="1989"/>
      <c r="CN290" s="1989"/>
      <c r="CO290" s="2002">
        <f t="shared" si="586"/>
        <v>0</v>
      </c>
      <c r="CP290" s="1999">
        <f>CI290+CK290+CM290+CN290</f>
        <v>0</v>
      </c>
      <c r="CQ290" s="1993"/>
      <c r="CR290" s="2003">
        <f t="shared" si="587"/>
        <v>0</v>
      </c>
      <c r="CS290" s="1989"/>
      <c r="CT290" s="2003">
        <f t="shared" si="588"/>
        <v>0</v>
      </c>
      <c r="CU290" s="1989"/>
      <c r="CV290" s="2003">
        <f t="shared" si="589"/>
        <v>0</v>
      </c>
      <c r="CW290" s="1989"/>
      <c r="CX290" s="1989"/>
      <c r="CY290" s="2002">
        <f t="shared" si="590"/>
        <v>0</v>
      </c>
      <c r="CZ290" s="1999"/>
      <c r="DA290" s="1993"/>
      <c r="DB290" s="2003">
        <f t="shared" si="591"/>
        <v>0</v>
      </c>
      <c r="DC290" s="1989"/>
      <c r="DD290" s="2003">
        <f t="shared" si="592"/>
        <v>0</v>
      </c>
      <c r="DE290" s="1989"/>
      <c r="DF290" s="2003">
        <f t="shared" si="593"/>
        <v>0</v>
      </c>
      <c r="DG290" s="1989"/>
      <c r="DH290" s="1989"/>
      <c r="DI290" s="2002">
        <f t="shared" si="594"/>
        <v>0</v>
      </c>
      <c r="DJ290" s="1999"/>
      <c r="DK290" s="1993"/>
      <c r="DL290" s="2003">
        <f t="shared" si="595"/>
        <v>0</v>
      </c>
      <c r="DM290" s="1989"/>
      <c r="DN290" s="2003">
        <f t="shared" si="596"/>
        <v>0</v>
      </c>
      <c r="DO290" s="1989"/>
      <c r="DP290" s="2003">
        <f t="shared" si="597"/>
        <v>0</v>
      </c>
      <c r="DQ290" s="1989"/>
      <c r="DR290" s="1989"/>
      <c r="DS290" s="2002">
        <f t="shared" si="598"/>
        <v>0</v>
      </c>
      <c r="DT290" s="2004"/>
      <c r="DU290" s="1988"/>
      <c r="DV290" s="2003">
        <f t="shared" si="599"/>
        <v>0</v>
      </c>
      <c r="DW290" s="1989"/>
      <c r="DX290" s="2003">
        <f t="shared" si="600"/>
        <v>0</v>
      </c>
      <c r="DY290" s="1989"/>
      <c r="DZ290" s="2003">
        <f t="shared" si="601"/>
        <v>0</v>
      </c>
      <c r="EA290" s="1989"/>
      <c r="EB290" s="1989"/>
      <c r="EC290" s="2002">
        <f t="shared" si="602"/>
        <v>0</v>
      </c>
      <c r="ED290" s="1998"/>
      <c r="EE290" s="2005"/>
      <c r="EF290" s="2003">
        <f t="shared" si="603"/>
        <v>0</v>
      </c>
      <c r="EG290" s="1989"/>
      <c r="EH290" s="2003">
        <f t="shared" si="604"/>
        <v>0</v>
      </c>
      <c r="EI290" s="1989"/>
      <c r="EJ290" s="2003">
        <f t="shared" si="605"/>
        <v>0</v>
      </c>
      <c r="EK290" s="1989"/>
      <c r="EL290" s="1989"/>
      <c r="EM290" s="2006">
        <f t="shared" si="606"/>
        <v>0</v>
      </c>
      <c r="EN290" s="1999"/>
      <c r="EP290" s="1613" t="e">
        <f>EA290-#REF!/10^7</f>
        <v>#REF!</v>
      </c>
      <c r="EW290" s="1611" t="s">
        <v>1717</v>
      </c>
      <c r="EX290" s="1612" t="s">
        <v>1667</v>
      </c>
      <c r="EZ290" s="1650">
        <f t="shared" si="607"/>
        <v>0</v>
      </c>
    </row>
    <row r="291" spans="1:156" ht="21" customHeight="1">
      <c r="A291" s="1652">
        <v>1</v>
      </c>
      <c r="B291" s="1701" t="s">
        <v>1951</v>
      </c>
      <c r="C291" s="1662">
        <v>50</v>
      </c>
      <c r="D291" s="1646">
        <f>H291/C291*100</f>
        <v>100</v>
      </c>
      <c r="E291" s="1646"/>
      <c r="F291" s="1648"/>
      <c r="G291" s="1648"/>
      <c r="H291" s="1648">
        <v>50</v>
      </c>
      <c r="I291" s="1648" t="s">
        <v>1667</v>
      </c>
      <c r="J291" s="1649">
        <v>2</v>
      </c>
      <c r="K291" s="1648"/>
      <c r="L291" s="1648"/>
      <c r="M291" s="1648"/>
      <c r="N291" s="1642"/>
      <c r="O291" s="2000" t="e">
        <f>#REF!</f>
        <v>#REF!</v>
      </c>
      <c r="P291" s="2003">
        <f t="shared" si="555"/>
        <v>0</v>
      </c>
      <c r="Q291" s="1989" t="e">
        <f>#REF!/10^7</f>
        <v>#REF!</v>
      </c>
      <c r="R291" s="2003">
        <f t="shared" si="556"/>
        <v>0</v>
      </c>
      <c r="S291" s="1989" t="e">
        <f>#REF!/10^7</f>
        <v>#REF!</v>
      </c>
      <c r="T291" s="2003">
        <f t="shared" si="557"/>
        <v>0</v>
      </c>
      <c r="U291" s="1989" t="e">
        <f>#REF!/10^7</f>
        <v>#REF!</v>
      </c>
      <c r="V291" s="1989" t="e">
        <f>#REF!/10^7</f>
        <v>#REF!</v>
      </c>
      <c r="W291" s="1989">
        <f t="shared" si="558"/>
        <v>0</v>
      </c>
      <c r="X291" s="1999" t="e">
        <f t="shared" ref="X291:X327" si="671">Q291+S291+U291+V291</f>
        <v>#REF!</v>
      </c>
      <c r="Y291" s="1993" t="e">
        <f>#REF!</f>
        <v>#REF!</v>
      </c>
      <c r="Z291" s="2003">
        <f t="shared" si="559"/>
        <v>0</v>
      </c>
      <c r="AA291" s="1989" t="e">
        <f>#REF!/10^7</f>
        <v>#REF!</v>
      </c>
      <c r="AB291" s="2003">
        <f t="shared" si="560"/>
        <v>0</v>
      </c>
      <c r="AC291" s="1989" t="e">
        <f>#REF!/10^7</f>
        <v>#REF!</v>
      </c>
      <c r="AD291" s="2003">
        <f t="shared" si="561"/>
        <v>0</v>
      </c>
      <c r="AE291" s="1989" t="e">
        <f>#REF!/10^7</f>
        <v>#REF!</v>
      </c>
      <c r="AF291" s="1989" t="e">
        <f>#REF!/10^7</f>
        <v>#REF!</v>
      </c>
      <c r="AG291" s="2002" t="e">
        <f t="shared" si="562"/>
        <v>#REF!</v>
      </c>
      <c r="AH291" s="1999" t="e">
        <f t="shared" si="670"/>
        <v>#REF!</v>
      </c>
      <c r="AI291" s="1993" t="e">
        <f>#REF!</f>
        <v>#REF!</v>
      </c>
      <c r="AJ291" s="2003">
        <f t="shared" si="563"/>
        <v>0</v>
      </c>
      <c r="AK291" s="1989" t="e">
        <f>#REF!/10^7</f>
        <v>#REF!</v>
      </c>
      <c r="AL291" s="2003">
        <f t="shared" si="564"/>
        <v>0</v>
      </c>
      <c r="AM291" s="1989" t="e">
        <f>#REF!/10^7</f>
        <v>#REF!</v>
      </c>
      <c r="AN291" s="2003">
        <f t="shared" si="565"/>
        <v>0</v>
      </c>
      <c r="AO291" s="1989" t="e">
        <f>#REF!/10^7</f>
        <v>#REF!</v>
      </c>
      <c r="AP291" s="1989" t="e">
        <f>#REF!/10^7</f>
        <v>#REF!</v>
      </c>
      <c r="AQ291" s="2002" t="e">
        <f t="shared" si="566"/>
        <v>#REF!</v>
      </c>
      <c r="AR291" s="1999" t="e">
        <f t="shared" ref="AR291:AR327" si="672">AK291+AM291+AO291+AP291</f>
        <v>#REF!</v>
      </c>
      <c r="AS291" s="1993" t="e">
        <f>#REF!</f>
        <v>#REF!</v>
      </c>
      <c r="AT291" s="2003">
        <f t="shared" si="567"/>
        <v>0</v>
      </c>
      <c r="AU291" s="1989" t="e">
        <f>#REF!/10^7</f>
        <v>#REF!</v>
      </c>
      <c r="AV291" s="2003">
        <f t="shared" si="568"/>
        <v>0</v>
      </c>
      <c r="AW291" s="1989" t="e">
        <f>#REF!/10^7</f>
        <v>#REF!</v>
      </c>
      <c r="AX291" s="2003">
        <f t="shared" si="569"/>
        <v>0</v>
      </c>
      <c r="AY291" s="1989" t="e">
        <f>#REF!/10^7</f>
        <v>#REF!</v>
      </c>
      <c r="AZ291" s="1989" t="e">
        <f>#REF!/10^7</f>
        <v>#REF!</v>
      </c>
      <c r="BA291" s="2002" t="e">
        <f t="shared" si="570"/>
        <v>#REF!</v>
      </c>
      <c r="BB291" s="1999" t="e">
        <f t="shared" ref="BB291:BB327" si="673">AU291+AW291+AY291+AZ291</f>
        <v>#REF!</v>
      </c>
      <c r="BC291" s="1993" t="e">
        <f>#REF!</f>
        <v>#REF!</v>
      </c>
      <c r="BD291" s="2003">
        <f t="shared" si="571"/>
        <v>0</v>
      </c>
      <c r="BE291" s="1989" t="e">
        <f>#REF!/10^7</f>
        <v>#REF!</v>
      </c>
      <c r="BF291" s="2003">
        <f t="shared" si="572"/>
        <v>0</v>
      </c>
      <c r="BG291" s="1989" t="e">
        <f>#REF!/10^7</f>
        <v>#REF!</v>
      </c>
      <c r="BH291" s="2003">
        <f t="shared" si="573"/>
        <v>0</v>
      </c>
      <c r="BI291" s="1989" t="e">
        <f>#REF!/10^7</f>
        <v>#REF!</v>
      </c>
      <c r="BJ291" s="1989" t="e">
        <f>#REF!/10^7</f>
        <v>#REF!</v>
      </c>
      <c r="BK291" s="2002" t="e">
        <f t="shared" si="574"/>
        <v>#REF!</v>
      </c>
      <c r="BL291" s="1999" t="e">
        <f t="shared" ref="BL291:BL327" si="674">BE291+BG291+BI291+BJ291</f>
        <v>#REF!</v>
      </c>
      <c r="BM291" s="1993" t="e">
        <f>#REF!</f>
        <v>#REF!</v>
      </c>
      <c r="BN291" s="2003">
        <f t="shared" si="575"/>
        <v>0</v>
      </c>
      <c r="BO291" s="1989" t="e">
        <f>#REF!/10^7</f>
        <v>#REF!</v>
      </c>
      <c r="BP291" s="2003">
        <f t="shared" si="576"/>
        <v>0</v>
      </c>
      <c r="BQ291" s="1989" t="e">
        <f>#REF!/10^7</f>
        <v>#REF!</v>
      </c>
      <c r="BR291" s="2003">
        <f t="shared" si="577"/>
        <v>0</v>
      </c>
      <c r="BS291" s="1989" t="e">
        <f>#REF!/10^7</f>
        <v>#REF!</v>
      </c>
      <c r="BT291" s="1989" t="e">
        <f>#REF!/10^7</f>
        <v>#REF!</v>
      </c>
      <c r="BU291" s="2002" t="e">
        <f t="shared" si="578"/>
        <v>#REF!</v>
      </c>
      <c r="BV291" s="1999" t="e">
        <f t="shared" ref="BV291:BV327" si="675">BO291+BQ291+BS291+BT291</f>
        <v>#REF!</v>
      </c>
      <c r="BW291" s="1993" t="e">
        <f>#REF!</f>
        <v>#REF!</v>
      </c>
      <c r="BX291" s="2003">
        <f t="shared" si="579"/>
        <v>0</v>
      </c>
      <c r="BY291" s="1989" t="e">
        <f>#REF!/10^7</f>
        <v>#REF!</v>
      </c>
      <c r="BZ291" s="2003">
        <f t="shared" si="580"/>
        <v>0</v>
      </c>
      <c r="CA291" s="1989" t="e">
        <f>#REF!/10^7</f>
        <v>#REF!</v>
      </c>
      <c r="CB291" s="2003">
        <f t="shared" si="581"/>
        <v>0</v>
      </c>
      <c r="CC291" s="1989" t="e">
        <f>#REF!/10^7</f>
        <v>#REF!</v>
      </c>
      <c r="CD291" s="1989" t="e">
        <f>#REF!/10^7</f>
        <v>#REF!</v>
      </c>
      <c r="CE291" s="2002" t="e">
        <f t="shared" si="582"/>
        <v>#REF!</v>
      </c>
      <c r="CF291" s="1999" t="e">
        <f t="shared" ref="CF291:CF327" si="676">BY291+CA291+CC291+CD291</f>
        <v>#REF!</v>
      </c>
      <c r="CG291" s="1993" t="e">
        <f>#REF!</f>
        <v>#REF!</v>
      </c>
      <c r="CH291" s="2003">
        <f t="shared" si="583"/>
        <v>0</v>
      </c>
      <c r="CI291" s="1989" t="e">
        <f>#REF!/10^7</f>
        <v>#REF!</v>
      </c>
      <c r="CJ291" s="2003">
        <f t="shared" si="584"/>
        <v>0</v>
      </c>
      <c r="CK291" s="1989" t="e">
        <f>#REF!/10^7</f>
        <v>#REF!</v>
      </c>
      <c r="CL291" s="2003">
        <f t="shared" si="585"/>
        <v>0</v>
      </c>
      <c r="CM291" s="1989" t="e">
        <f>#REF!/10^7</f>
        <v>#REF!</v>
      </c>
      <c r="CN291" s="1989" t="e">
        <f>#REF!/10^7</f>
        <v>#REF!</v>
      </c>
      <c r="CO291" s="2002" t="e">
        <f t="shared" si="586"/>
        <v>#REF!</v>
      </c>
      <c r="CP291" s="1999" t="e">
        <f t="shared" ref="CP291:CP327" si="677">CI291+CK291+CM291+CN291</f>
        <v>#REF!</v>
      </c>
      <c r="CQ291" s="1993" t="e">
        <f>#REF!</f>
        <v>#REF!</v>
      </c>
      <c r="CR291" s="2003">
        <f t="shared" si="587"/>
        <v>0</v>
      </c>
      <c r="CS291" s="1989" t="e">
        <f>#REF!/10^7</f>
        <v>#REF!</v>
      </c>
      <c r="CT291" s="2003">
        <f t="shared" si="588"/>
        <v>0</v>
      </c>
      <c r="CU291" s="1989" t="e">
        <f>#REF!/10^7</f>
        <v>#REF!</v>
      </c>
      <c r="CV291" s="2003">
        <f t="shared" si="589"/>
        <v>0</v>
      </c>
      <c r="CW291" s="1989" t="e">
        <f>#REF!/10^7</f>
        <v>#REF!</v>
      </c>
      <c r="CX291" s="1989" t="e">
        <f>#REF!/10^7</f>
        <v>#REF!</v>
      </c>
      <c r="CY291" s="2002" t="e">
        <f t="shared" si="590"/>
        <v>#REF!</v>
      </c>
      <c r="CZ291" s="1999" t="e">
        <f t="shared" ref="CZ291:CZ327" si="678">CS291+CU291+CW291+CX291</f>
        <v>#REF!</v>
      </c>
      <c r="DA291" s="1993" t="e">
        <f>#REF!</f>
        <v>#REF!</v>
      </c>
      <c r="DB291" s="2003">
        <f t="shared" si="591"/>
        <v>0</v>
      </c>
      <c r="DC291" s="1989" t="e">
        <f>#REF!/10^7</f>
        <v>#REF!</v>
      </c>
      <c r="DD291" s="2003">
        <f t="shared" si="592"/>
        <v>0</v>
      </c>
      <c r="DE291" s="1989" t="e">
        <f>#REF!/10^7</f>
        <v>#REF!</v>
      </c>
      <c r="DF291" s="2003">
        <f t="shared" si="593"/>
        <v>0</v>
      </c>
      <c r="DG291" s="1989" t="e">
        <f>#REF!/10^7</f>
        <v>#REF!</v>
      </c>
      <c r="DH291" s="1989" t="e">
        <f>#REF!/10^7</f>
        <v>#REF!</v>
      </c>
      <c r="DI291" s="2002" t="e">
        <f t="shared" si="594"/>
        <v>#REF!</v>
      </c>
      <c r="DJ291" s="1999" t="e">
        <f t="shared" ref="DJ291:DJ327" si="679">DC291+DE291+DG291+DH291</f>
        <v>#REF!</v>
      </c>
      <c r="DK291" s="1993" t="e">
        <f>#REF!</f>
        <v>#REF!</v>
      </c>
      <c r="DL291" s="2003">
        <f t="shared" si="595"/>
        <v>0</v>
      </c>
      <c r="DM291" s="1989" t="e">
        <f>#REF!/10^7</f>
        <v>#REF!</v>
      </c>
      <c r="DN291" s="2003">
        <f t="shared" si="596"/>
        <v>0</v>
      </c>
      <c r="DO291" s="1989" t="e">
        <f>#REF!/10^7</f>
        <v>#REF!</v>
      </c>
      <c r="DP291" s="2003">
        <f t="shared" si="597"/>
        <v>0</v>
      </c>
      <c r="DQ291" s="1989" t="e">
        <f>#REF!/10^7</f>
        <v>#REF!</v>
      </c>
      <c r="DR291" s="1989" t="e">
        <f>#REF!/10^7</f>
        <v>#REF!</v>
      </c>
      <c r="DS291" s="2002" t="e">
        <f t="shared" si="598"/>
        <v>#REF!</v>
      </c>
      <c r="DT291" s="2004" t="e">
        <f t="shared" ref="DT291:DT327" si="680">DM291+DO291+DQ291+DR291</f>
        <v>#REF!</v>
      </c>
      <c r="DU291" s="1988" t="e">
        <f>#REF!</f>
        <v>#REF!</v>
      </c>
      <c r="DV291" s="2003">
        <f t="shared" si="599"/>
        <v>0</v>
      </c>
      <c r="DW291" s="1989" t="e">
        <f>#REF!/10^7</f>
        <v>#REF!</v>
      </c>
      <c r="DX291" s="2003">
        <f t="shared" si="600"/>
        <v>0</v>
      </c>
      <c r="DY291" s="1989" t="e">
        <f>#REF!/10^7</f>
        <v>#REF!</v>
      </c>
      <c r="DZ291" s="2003">
        <f t="shared" si="601"/>
        <v>0</v>
      </c>
      <c r="EA291" s="1989" t="e">
        <f>#REF!/10^7</f>
        <v>#REF!</v>
      </c>
      <c r="EB291" s="1989" t="e">
        <f>#REF!/10^7</f>
        <v>#REF!</v>
      </c>
      <c r="EC291" s="2002" t="e">
        <f t="shared" si="602"/>
        <v>#REF!</v>
      </c>
      <c r="ED291" s="1998" t="e">
        <f t="shared" ref="ED291:ED327" si="681">DW291+DY291+EA291+EB291</f>
        <v>#REF!</v>
      </c>
      <c r="EE291" s="2005" t="e">
        <f t="shared" ref="EE291:EE327" si="682">O291+Y291+AI291+AS291+BC291+BM291+BW291+CG291+CQ291+DA291+DK291+DU291</f>
        <v>#REF!</v>
      </c>
      <c r="EF291" s="2003">
        <f t="shared" si="603"/>
        <v>0</v>
      </c>
      <c r="EG291" s="1989" t="e">
        <f t="shared" ref="EG291:EG325" si="683">Q291+AA291+AK291+AU291+BE291+BO291+BY291+CI291+CS291+DC291+DM291+DW291</f>
        <v>#REF!</v>
      </c>
      <c r="EH291" s="2003">
        <f t="shared" si="604"/>
        <v>0</v>
      </c>
      <c r="EI291" s="1989" t="e">
        <f t="shared" ref="EI291:EI327" si="684">S291+AC291+AM291+AW291+BG291+BQ291+CA291+CK291+CU291+DE291+DO291+DY291</f>
        <v>#REF!</v>
      </c>
      <c r="EJ291" s="2003">
        <f t="shared" si="605"/>
        <v>0</v>
      </c>
      <c r="EK291" s="1989" t="e">
        <f t="shared" ref="EK291:EL327" si="685">U291+AE291+AO291+AY291+BI291+BS291+CC291+CM291+CW291+DG291+DQ291+EA291</f>
        <v>#REF!</v>
      </c>
      <c r="EL291" s="1989" t="e">
        <f t="shared" si="685"/>
        <v>#REF!</v>
      </c>
      <c r="EM291" s="2006" t="e">
        <f t="shared" si="606"/>
        <v>#REF!</v>
      </c>
      <c r="EN291" s="1999" t="e">
        <f t="shared" ref="EN291:EN327" si="686">EG291+EI291+EK291+EL291</f>
        <v>#REF!</v>
      </c>
      <c r="EP291" s="1613" t="e">
        <f>EA291-#REF!/10^7</f>
        <v>#REF!</v>
      </c>
      <c r="EW291" s="1611" t="e">
        <v>#N/A</v>
      </c>
      <c r="EX291" s="1612" t="e">
        <v>#N/A</v>
      </c>
      <c r="EZ291" s="1650">
        <f t="shared" si="607"/>
        <v>0</v>
      </c>
    </row>
    <row r="292" spans="1:156" ht="21" customHeight="1">
      <c r="A292" s="1652">
        <v>2</v>
      </c>
      <c r="B292" s="1644" t="s">
        <v>1952</v>
      </c>
      <c r="C292" s="1662"/>
      <c r="D292" s="1648"/>
      <c r="E292" s="1648"/>
      <c r="F292" s="1648"/>
      <c r="G292" s="1648"/>
      <c r="H292" s="1648"/>
      <c r="I292" s="1648" t="s">
        <v>1667</v>
      </c>
      <c r="J292" s="1649">
        <v>2</v>
      </c>
      <c r="K292" s="1648"/>
      <c r="L292" s="1648"/>
      <c r="M292" s="1648"/>
      <c r="N292" s="1642"/>
      <c r="O292" s="2000" t="e">
        <f>#REF!</f>
        <v>#REF!</v>
      </c>
      <c r="P292" s="2003">
        <f t="shared" si="555"/>
        <v>0</v>
      </c>
      <c r="Q292" s="1989" t="e">
        <f>#REF!/10^7</f>
        <v>#REF!</v>
      </c>
      <c r="R292" s="2003">
        <f t="shared" si="556"/>
        <v>0</v>
      </c>
      <c r="S292" s="1989" t="e">
        <f>#REF!/10^7</f>
        <v>#REF!</v>
      </c>
      <c r="T292" s="2003">
        <f t="shared" si="557"/>
        <v>0</v>
      </c>
      <c r="U292" s="1989" t="e">
        <f>#REF!/10^7</f>
        <v>#REF!</v>
      </c>
      <c r="V292" s="1989" t="e">
        <f>#REF!/10^7</f>
        <v>#REF!</v>
      </c>
      <c r="W292" s="1989">
        <f t="shared" si="558"/>
        <v>0</v>
      </c>
      <c r="X292" s="1999" t="e">
        <f t="shared" si="671"/>
        <v>#REF!</v>
      </c>
      <c r="Y292" s="1993" t="e">
        <f>#REF!</f>
        <v>#REF!</v>
      </c>
      <c r="Z292" s="2003">
        <f t="shared" si="559"/>
        <v>0</v>
      </c>
      <c r="AA292" s="1989" t="e">
        <f>#REF!/10^7</f>
        <v>#REF!</v>
      </c>
      <c r="AB292" s="2003">
        <f t="shared" si="560"/>
        <v>0</v>
      </c>
      <c r="AC292" s="1989" t="e">
        <f>#REF!/10^7</f>
        <v>#REF!</v>
      </c>
      <c r="AD292" s="2003">
        <f t="shared" si="561"/>
        <v>0</v>
      </c>
      <c r="AE292" s="1989" t="e">
        <f>#REF!/10^7</f>
        <v>#REF!</v>
      </c>
      <c r="AF292" s="1989" t="e">
        <f>#REF!/10^7</f>
        <v>#REF!</v>
      </c>
      <c r="AG292" s="2002" t="e">
        <f t="shared" si="562"/>
        <v>#REF!</v>
      </c>
      <c r="AH292" s="1999" t="e">
        <f t="shared" si="670"/>
        <v>#REF!</v>
      </c>
      <c r="AI292" s="1993" t="e">
        <f>#REF!</f>
        <v>#REF!</v>
      </c>
      <c r="AJ292" s="2003">
        <f t="shared" si="563"/>
        <v>0</v>
      </c>
      <c r="AK292" s="1989" t="e">
        <f>#REF!/10^7</f>
        <v>#REF!</v>
      </c>
      <c r="AL292" s="2003">
        <f t="shared" si="564"/>
        <v>0</v>
      </c>
      <c r="AM292" s="1989" t="e">
        <f>#REF!/10^7</f>
        <v>#REF!</v>
      </c>
      <c r="AN292" s="2003">
        <f t="shared" si="565"/>
        <v>0</v>
      </c>
      <c r="AO292" s="1989" t="e">
        <f>#REF!/10^7</f>
        <v>#REF!</v>
      </c>
      <c r="AP292" s="1989" t="e">
        <f>#REF!/10^7</f>
        <v>#REF!</v>
      </c>
      <c r="AQ292" s="2002" t="e">
        <f t="shared" si="566"/>
        <v>#REF!</v>
      </c>
      <c r="AR292" s="1999" t="e">
        <f t="shared" si="672"/>
        <v>#REF!</v>
      </c>
      <c r="AS292" s="1993" t="e">
        <f>#REF!</f>
        <v>#REF!</v>
      </c>
      <c r="AT292" s="2003">
        <f t="shared" si="567"/>
        <v>0</v>
      </c>
      <c r="AU292" s="1989" t="e">
        <f>#REF!/10^7</f>
        <v>#REF!</v>
      </c>
      <c r="AV292" s="2003">
        <f t="shared" si="568"/>
        <v>0</v>
      </c>
      <c r="AW292" s="1989" t="e">
        <f>#REF!/10^7</f>
        <v>#REF!</v>
      </c>
      <c r="AX292" s="2003">
        <f t="shared" si="569"/>
        <v>0</v>
      </c>
      <c r="AY292" s="1989" t="e">
        <f>#REF!/10^7</f>
        <v>#REF!</v>
      </c>
      <c r="AZ292" s="1989" t="e">
        <f>#REF!/10^7</f>
        <v>#REF!</v>
      </c>
      <c r="BA292" s="2002" t="e">
        <f t="shared" si="570"/>
        <v>#REF!</v>
      </c>
      <c r="BB292" s="1999" t="e">
        <f t="shared" si="673"/>
        <v>#REF!</v>
      </c>
      <c r="BC292" s="1993" t="e">
        <f>#REF!</f>
        <v>#REF!</v>
      </c>
      <c r="BD292" s="2003">
        <f t="shared" si="571"/>
        <v>0</v>
      </c>
      <c r="BE292" s="1989" t="e">
        <f>#REF!/10^7</f>
        <v>#REF!</v>
      </c>
      <c r="BF292" s="2003">
        <f t="shared" si="572"/>
        <v>0</v>
      </c>
      <c r="BG292" s="1989" t="e">
        <f>#REF!/10^7</f>
        <v>#REF!</v>
      </c>
      <c r="BH292" s="2003">
        <f t="shared" si="573"/>
        <v>0</v>
      </c>
      <c r="BI292" s="1989" t="e">
        <f>#REF!/10^7</f>
        <v>#REF!</v>
      </c>
      <c r="BJ292" s="1989" t="e">
        <f>#REF!/10^7</f>
        <v>#REF!</v>
      </c>
      <c r="BK292" s="2002" t="e">
        <f t="shared" si="574"/>
        <v>#REF!</v>
      </c>
      <c r="BL292" s="1999" t="e">
        <f t="shared" si="674"/>
        <v>#REF!</v>
      </c>
      <c r="BM292" s="1993" t="e">
        <f>#REF!</f>
        <v>#REF!</v>
      </c>
      <c r="BN292" s="2003">
        <f t="shared" si="575"/>
        <v>0</v>
      </c>
      <c r="BO292" s="1989" t="e">
        <f>#REF!/10^7</f>
        <v>#REF!</v>
      </c>
      <c r="BP292" s="2003">
        <f t="shared" si="576"/>
        <v>0</v>
      </c>
      <c r="BQ292" s="1989" t="e">
        <f>#REF!/10^7</f>
        <v>#REF!</v>
      </c>
      <c r="BR292" s="2003">
        <f t="shared" si="577"/>
        <v>0</v>
      </c>
      <c r="BS292" s="1989" t="e">
        <f>#REF!/10^7</f>
        <v>#REF!</v>
      </c>
      <c r="BT292" s="1989" t="e">
        <f>#REF!/10^7</f>
        <v>#REF!</v>
      </c>
      <c r="BU292" s="2002" t="e">
        <f t="shared" si="578"/>
        <v>#REF!</v>
      </c>
      <c r="BV292" s="1999" t="e">
        <f t="shared" si="675"/>
        <v>#REF!</v>
      </c>
      <c r="BW292" s="1993" t="e">
        <f>#REF!</f>
        <v>#REF!</v>
      </c>
      <c r="BX292" s="2003">
        <f t="shared" si="579"/>
        <v>0</v>
      </c>
      <c r="BY292" s="1989" t="e">
        <f>#REF!/10^7</f>
        <v>#REF!</v>
      </c>
      <c r="BZ292" s="2003">
        <f t="shared" si="580"/>
        <v>0</v>
      </c>
      <c r="CA292" s="1989" t="e">
        <f>#REF!/10^7</f>
        <v>#REF!</v>
      </c>
      <c r="CB292" s="2003">
        <f t="shared" si="581"/>
        <v>0</v>
      </c>
      <c r="CC292" s="1989" t="e">
        <f>#REF!/10^7</f>
        <v>#REF!</v>
      </c>
      <c r="CD292" s="1989" t="e">
        <f>#REF!/10^7</f>
        <v>#REF!</v>
      </c>
      <c r="CE292" s="2002" t="e">
        <f t="shared" si="582"/>
        <v>#REF!</v>
      </c>
      <c r="CF292" s="1999" t="e">
        <f t="shared" si="676"/>
        <v>#REF!</v>
      </c>
      <c r="CG292" s="1993" t="e">
        <f>#REF!</f>
        <v>#REF!</v>
      </c>
      <c r="CH292" s="2003">
        <f t="shared" si="583"/>
        <v>0</v>
      </c>
      <c r="CI292" s="1989" t="e">
        <f>#REF!/10^7</f>
        <v>#REF!</v>
      </c>
      <c r="CJ292" s="2003">
        <f t="shared" si="584"/>
        <v>0</v>
      </c>
      <c r="CK292" s="1989" t="e">
        <f>#REF!/10^7</f>
        <v>#REF!</v>
      </c>
      <c r="CL292" s="2003">
        <f t="shared" si="585"/>
        <v>0</v>
      </c>
      <c r="CM292" s="1989" t="e">
        <f>#REF!/10^7</f>
        <v>#REF!</v>
      </c>
      <c r="CN292" s="1989" t="e">
        <f>#REF!/10^7</f>
        <v>#REF!</v>
      </c>
      <c r="CO292" s="2002" t="e">
        <f t="shared" si="586"/>
        <v>#REF!</v>
      </c>
      <c r="CP292" s="1999" t="e">
        <f t="shared" si="677"/>
        <v>#REF!</v>
      </c>
      <c r="CQ292" s="1993" t="e">
        <f>#REF!</f>
        <v>#REF!</v>
      </c>
      <c r="CR292" s="2003">
        <f t="shared" si="587"/>
        <v>0</v>
      </c>
      <c r="CS292" s="1989" t="e">
        <f>#REF!/10^7</f>
        <v>#REF!</v>
      </c>
      <c r="CT292" s="2003">
        <f t="shared" si="588"/>
        <v>0</v>
      </c>
      <c r="CU292" s="1989" t="e">
        <f>#REF!/10^7</f>
        <v>#REF!</v>
      </c>
      <c r="CV292" s="2003">
        <f t="shared" si="589"/>
        <v>0</v>
      </c>
      <c r="CW292" s="1989" t="e">
        <f>#REF!/10^7</f>
        <v>#REF!</v>
      </c>
      <c r="CX292" s="1989" t="e">
        <f>#REF!/10^7</f>
        <v>#REF!</v>
      </c>
      <c r="CY292" s="2002" t="e">
        <f t="shared" si="590"/>
        <v>#REF!</v>
      </c>
      <c r="CZ292" s="1999" t="e">
        <f t="shared" si="678"/>
        <v>#REF!</v>
      </c>
      <c r="DA292" s="1993" t="e">
        <f>#REF!</f>
        <v>#REF!</v>
      </c>
      <c r="DB292" s="2003">
        <f t="shared" si="591"/>
        <v>0</v>
      </c>
      <c r="DC292" s="1989" t="e">
        <f>#REF!/10^7</f>
        <v>#REF!</v>
      </c>
      <c r="DD292" s="2003">
        <f t="shared" si="592"/>
        <v>0</v>
      </c>
      <c r="DE292" s="1989" t="e">
        <f>#REF!/10^7</f>
        <v>#REF!</v>
      </c>
      <c r="DF292" s="2003">
        <f t="shared" si="593"/>
        <v>0</v>
      </c>
      <c r="DG292" s="1989" t="e">
        <f>#REF!/10^7</f>
        <v>#REF!</v>
      </c>
      <c r="DH292" s="1989" t="e">
        <f>#REF!/10^7</f>
        <v>#REF!</v>
      </c>
      <c r="DI292" s="2002" t="e">
        <f t="shared" si="594"/>
        <v>#REF!</v>
      </c>
      <c r="DJ292" s="1999" t="e">
        <f t="shared" si="679"/>
        <v>#REF!</v>
      </c>
      <c r="DK292" s="1993" t="e">
        <f>#REF!</f>
        <v>#REF!</v>
      </c>
      <c r="DL292" s="2003">
        <f t="shared" si="595"/>
        <v>0</v>
      </c>
      <c r="DM292" s="1989" t="e">
        <f>#REF!/10^7</f>
        <v>#REF!</v>
      </c>
      <c r="DN292" s="2003">
        <f t="shared" si="596"/>
        <v>0</v>
      </c>
      <c r="DO292" s="1989" t="e">
        <f>#REF!/10^7</f>
        <v>#REF!</v>
      </c>
      <c r="DP292" s="2003">
        <f t="shared" si="597"/>
        <v>0</v>
      </c>
      <c r="DQ292" s="1989" t="e">
        <f>#REF!/10^7</f>
        <v>#REF!</v>
      </c>
      <c r="DR292" s="1989" t="e">
        <f>#REF!/10^7</f>
        <v>#REF!</v>
      </c>
      <c r="DS292" s="2002" t="e">
        <f t="shared" si="598"/>
        <v>#REF!</v>
      </c>
      <c r="DT292" s="2004" t="e">
        <f t="shared" si="680"/>
        <v>#REF!</v>
      </c>
      <c r="DU292" s="1988" t="e">
        <f>#REF!</f>
        <v>#REF!</v>
      </c>
      <c r="DV292" s="2003">
        <f t="shared" si="599"/>
        <v>0</v>
      </c>
      <c r="DW292" s="1989" t="e">
        <f>#REF!/10^7</f>
        <v>#REF!</v>
      </c>
      <c r="DX292" s="2003">
        <f t="shared" si="600"/>
        <v>0</v>
      </c>
      <c r="DY292" s="1989" t="e">
        <f>#REF!/10^7</f>
        <v>#REF!</v>
      </c>
      <c r="DZ292" s="2003">
        <f t="shared" si="601"/>
        <v>0</v>
      </c>
      <c r="EA292" s="1989" t="e">
        <f>#REF!/10^7</f>
        <v>#REF!</v>
      </c>
      <c r="EB292" s="1989" t="e">
        <f>#REF!/10^7</f>
        <v>#REF!</v>
      </c>
      <c r="EC292" s="2002" t="e">
        <f t="shared" si="602"/>
        <v>#REF!</v>
      </c>
      <c r="ED292" s="1998" t="e">
        <f t="shared" si="681"/>
        <v>#REF!</v>
      </c>
      <c r="EE292" s="2005" t="e">
        <f t="shared" si="682"/>
        <v>#REF!</v>
      </c>
      <c r="EF292" s="2003">
        <f t="shared" si="603"/>
        <v>0</v>
      </c>
      <c r="EG292" s="1989" t="e">
        <f t="shared" si="683"/>
        <v>#REF!</v>
      </c>
      <c r="EH292" s="2003">
        <f t="shared" si="604"/>
        <v>0</v>
      </c>
      <c r="EI292" s="1989" t="e">
        <f t="shared" si="684"/>
        <v>#REF!</v>
      </c>
      <c r="EJ292" s="2003">
        <f t="shared" si="605"/>
        <v>0</v>
      </c>
      <c r="EK292" s="1989" t="e">
        <f t="shared" si="685"/>
        <v>#REF!</v>
      </c>
      <c r="EL292" s="1989" t="e">
        <f t="shared" si="685"/>
        <v>#REF!</v>
      </c>
      <c r="EM292" s="2006" t="e">
        <f t="shared" si="606"/>
        <v>#REF!</v>
      </c>
      <c r="EN292" s="1999" t="e">
        <f t="shared" si="686"/>
        <v>#REF!</v>
      </c>
      <c r="EP292" s="1613" t="e">
        <f>EA292-#REF!/10^7</f>
        <v>#REF!</v>
      </c>
      <c r="EW292" s="1611" t="e">
        <v>#N/A</v>
      </c>
      <c r="EX292" s="1612" t="e">
        <v>#N/A</v>
      </c>
      <c r="EZ292" s="1650">
        <f t="shared" si="607"/>
        <v>0</v>
      </c>
    </row>
    <row r="293" spans="1:156" ht="21" customHeight="1">
      <c r="A293" s="1652">
        <v>3</v>
      </c>
      <c r="B293" s="1701" t="s">
        <v>1953</v>
      </c>
      <c r="C293" s="1662"/>
      <c r="D293" s="1648"/>
      <c r="E293" s="1648"/>
      <c r="F293" s="1648"/>
      <c r="G293" s="1648"/>
      <c r="H293" s="1648"/>
      <c r="I293" s="1648" t="s">
        <v>1667</v>
      </c>
      <c r="J293" s="1649">
        <v>2</v>
      </c>
      <c r="K293" s="1648"/>
      <c r="L293" s="1648"/>
      <c r="M293" s="1648"/>
      <c r="N293" s="1642"/>
      <c r="O293" s="2000" t="e">
        <f>#REF!</f>
        <v>#REF!</v>
      </c>
      <c r="P293" s="2003">
        <f t="shared" si="555"/>
        <v>0</v>
      </c>
      <c r="Q293" s="1989" t="e">
        <f>#REF!/10^7</f>
        <v>#REF!</v>
      </c>
      <c r="R293" s="2003">
        <f t="shared" si="556"/>
        <v>0</v>
      </c>
      <c r="S293" s="1989" t="e">
        <f>#REF!/10^7</f>
        <v>#REF!</v>
      </c>
      <c r="T293" s="2003">
        <f t="shared" si="557"/>
        <v>0</v>
      </c>
      <c r="U293" s="1989" t="e">
        <f>#REF!/10^7</f>
        <v>#REF!</v>
      </c>
      <c r="V293" s="1989" t="e">
        <f>#REF!/10^7</f>
        <v>#REF!</v>
      </c>
      <c r="W293" s="1989">
        <f t="shared" si="558"/>
        <v>0</v>
      </c>
      <c r="X293" s="1999" t="e">
        <f t="shared" si="671"/>
        <v>#REF!</v>
      </c>
      <c r="Y293" s="1993" t="e">
        <f>#REF!</f>
        <v>#REF!</v>
      </c>
      <c r="Z293" s="2003">
        <f t="shared" si="559"/>
        <v>0</v>
      </c>
      <c r="AA293" s="1989" t="e">
        <f>#REF!/10^7</f>
        <v>#REF!</v>
      </c>
      <c r="AB293" s="2003">
        <f t="shared" si="560"/>
        <v>0</v>
      </c>
      <c r="AC293" s="1989" t="e">
        <f>#REF!/10^7</f>
        <v>#REF!</v>
      </c>
      <c r="AD293" s="2003">
        <f t="shared" si="561"/>
        <v>0</v>
      </c>
      <c r="AE293" s="1989" t="e">
        <f>#REF!/10^7</f>
        <v>#REF!</v>
      </c>
      <c r="AF293" s="1989" t="e">
        <f>#REF!/10^7</f>
        <v>#REF!</v>
      </c>
      <c r="AG293" s="2002" t="e">
        <f t="shared" si="562"/>
        <v>#REF!</v>
      </c>
      <c r="AH293" s="1999" t="e">
        <f t="shared" si="670"/>
        <v>#REF!</v>
      </c>
      <c r="AI293" s="1993" t="e">
        <f>#REF!</f>
        <v>#REF!</v>
      </c>
      <c r="AJ293" s="2003">
        <f t="shared" si="563"/>
        <v>0</v>
      </c>
      <c r="AK293" s="1989" t="e">
        <f>#REF!/10^7</f>
        <v>#REF!</v>
      </c>
      <c r="AL293" s="2003">
        <f t="shared" si="564"/>
        <v>0</v>
      </c>
      <c r="AM293" s="1989" t="e">
        <f>#REF!/10^7</f>
        <v>#REF!</v>
      </c>
      <c r="AN293" s="2003">
        <f t="shared" si="565"/>
        <v>0</v>
      </c>
      <c r="AO293" s="1989" t="e">
        <f>#REF!/10^7</f>
        <v>#REF!</v>
      </c>
      <c r="AP293" s="1989" t="e">
        <f>#REF!/10^7</f>
        <v>#REF!</v>
      </c>
      <c r="AQ293" s="2002" t="e">
        <f t="shared" si="566"/>
        <v>#REF!</v>
      </c>
      <c r="AR293" s="1999" t="e">
        <f t="shared" si="672"/>
        <v>#REF!</v>
      </c>
      <c r="AS293" s="1993" t="e">
        <f>#REF!</f>
        <v>#REF!</v>
      </c>
      <c r="AT293" s="2003">
        <f t="shared" si="567"/>
        <v>0</v>
      </c>
      <c r="AU293" s="1989" t="e">
        <f>#REF!/10^7</f>
        <v>#REF!</v>
      </c>
      <c r="AV293" s="2003">
        <f t="shared" si="568"/>
        <v>0</v>
      </c>
      <c r="AW293" s="1989" t="e">
        <f>#REF!/10^7</f>
        <v>#REF!</v>
      </c>
      <c r="AX293" s="2003">
        <f t="shared" si="569"/>
        <v>0</v>
      </c>
      <c r="AY293" s="1989" t="e">
        <f>#REF!/10^7</f>
        <v>#REF!</v>
      </c>
      <c r="AZ293" s="1989" t="e">
        <f>#REF!/10^7</f>
        <v>#REF!</v>
      </c>
      <c r="BA293" s="2002" t="e">
        <f t="shared" si="570"/>
        <v>#REF!</v>
      </c>
      <c r="BB293" s="1999" t="e">
        <f t="shared" si="673"/>
        <v>#REF!</v>
      </c>
      <c r="BC293" s="1993" t="e">
        <f>#REF!</f>
        <v>#REF!</v>
      </c>
      <c r="BD293" s="2003">
        <f t="shared" si="571"/>
        <v>0</v>
      </c>
      <c r="BE293" s="1989" t="e">
        <f>#REF!/10^7</f>
        <v>#REF!</v>
      </c>
      <c r="BF293" s="2003">
        <f t="shared" si="572"/>
        <v>0</v>
      </c>
      <c r="BG293" s="1989" t="e">
        <f>#REF!/10^7</f>
        <v>#REF!</v>
      </c>
      <c r="BH293" s="2003">
        <f t="shared" si="573"/>
        <v>0</v>
      </c>
      <c r="BI293" s="1989" t="e">
        <f>#REF!/10^7</f>
        <v>#REF!</v>
      </c>
      <c r="BJ293" s="1989" t="e">
        <f>#REF!/10^7</f>
        <v>#REF!</v>
      </c>
      <c r="BK293" s="2002" t="e">
        <f t="shared" si="574"/>
        <v>#REF!</v>
      </c>
      <c r="BL293" s="1999" t="e">
        <f t="shared" si="674"/>
        <v>#REF!</v>
      </c>
      <c r="BM293" s="1993" t="e">
        <f>#REF!</f>
        <v>#REF!</v>
      </c>
      <c r="BN293" s="2003">
        <f t="shared" si="575"/>
        <v>0</v>
      </c>
      <c r="BO293" s="1989" t="e">
        <f>#REF!/10^7</f>
        <v>#REF!</v>
      </c>
      <c r="BP293" s="2003">
        <f t="shared" si="576"/>
        <v>0</v>
      </c>
      <c r="BQ293" s="1989" t="e">
        <f>#REF!/10^7</f>
        <v>#REF!</v>
      </c>
      <c r="BR293" s="2003">
        <f t="shared" si="577"/>
        <v>0</v>
      </c>
      <c r="BS293" s="1989" t="e">
        <f>#REF!/10^7</f>
        <v>#REF!</v>
      </c>
      <c r="BT293" s="1989" t="e">
        <f>#REF!/10^7</f>
        <v>#REF!</v>
      </c>
      <c r="BU293" s="2002" t="e">
        <f t="shared" si="578"/>
        <v>#REF!</v>
      </c>
      <c r="BV293" s="1999" t="e">
        <f t="shared" si="675"/>
        <v>#REF!</v>
      </c>
      <c r="BW293" s="1993" t="e">
        <f>#REF!</f>
        <v>#REF!</v>
      </c>
      <c r="BX293" s="2003">
        <f t="shared" si="579"/>
        <v>0</v>
      </c>
      <c r="BY293" s="1989" t="e">
        <f>#REF!/10^7</f>
        <v>#REF!</v>
      </c>
      <c r="BZ293" s="2003">
        <f t="shared" si="580"/>
        <v>0</v>
      </c>
      <c r="CA293" s="1989" t="e">
        <f>#REF!/10^7</f>
        <v>#REF!</v>
      </c>
      <c r="CB293" s="2003">
        <f t="shared" si="581"/>
        <v>0</v>
      </c>
      <c r="CC293" s="1989" t="e">
        <f>#REF!/10^7</f>
        <v>#REF!</v>
      </c>
      <c r="CD293" s="1989" t="e">
        <f>#REF!/10^7</f>
        <v>#REF!</v>
      </c>
      <c r="CE293" s="2002" t="e">
        <f t="shared" si="582"/>
        <v>#REF!</v>
      </c>
      <c r="CF293" s="1999" t="e">
        <f t="shared" si="676"/>
        <v>#REF!</v>
      </c>
      <c r="CG293" s="1993" t="e">
        <f>#REF!</f>
        <v>#REF!</v>
      </c>
      <c r="CH293" s="2003">
        <f t="shared" si="583"/>
        <v>0</v>
      </c>
      <c r="CI293" s="1989" t="e">
        <f>#REF!/10^7</f>
        <v>#REF!</v>
      </c>
      <c r="CJ293" s="2003">
        <f t="shared" si="584"/>
        <v>0</v>
      </c>
      <c r="CK293" s="1989" t="e">
        <f>#REF!/10^7</f>
        <v>#REF!</v>
      </c>
      <c r="CL293" s="2003">
        <f t="shared" si="585"/>
        <v>0</v>
      </c>
      <c r="CM293" s="1989" t="e">
        <f>#REF!/10^7</f>
        <v>#REF!</v>
      </c>
      <c r="CN293" s="1989" t="e">
        <f>#REF!/10^7</f>
        <v>#REF!</v>
      </c>
      <c r="CO293" s="2002" t="e">
        <f t="shared" si="586"/>
        <v>#REF!</v>
      </c>
      <c r="CP293" s="1999" t="e">
        <f t="shared" si="677"/>
        <v>#REF!</v>
      </c>
      <c r="CQ293" s="1993" t="e">
        <f>#REF!</f>
        <v>#REF!</v>
      </c>
      <c r="CR293" s="2003">
        <f t="shared" si="587"/>
        <v>0</v>
      </c>
      <c r="CS293" s="1989" t="e">
        <f>#REF!/10^7</f>
        <v>#REF!</v>
      </c>
      <c r="CT293" s="2003">
        <f t="shared" si="588"/>
        <v>0</v>
      </c>
      <c r="CU293" s="1989" t="e">
        <f>#REF!/10^7</f>
        <v>#REF!</v>
      </c>
      <c r="CV293" s="2003">
        <f t="shared" si="589"/>
        <v>0</v>
      </c>
      <c r="CW293" s="1989" t="e">
        <f>#REF!/10^7</f>
        <v>#REF!</v>
      </c>
      <c r="CX293" s="1989" t="e">
        <f>#REF!/10^7</f>
        <v>#REF!</v>
      </c>
      <c r="CY293" s="2002" t="e">
        <f t="shared" si="590"/>
        <v>#REF!</v>
      </c>
      <c r="CZ293" s="1999" t="e">
        <f t="shared" si="678"/>
        <v>#REF!</v>
      </c>
      <c r="DA293" s="1993" t="e">
        <f>#REF!</f>
        <v>#REF!</v>
      </c>
      <c r="DB293" s="2003">
        <f t="shared" si="591"/>
        <v>0</v>
      </c>
      <c r="DC293" s="1989" t="e">
        <f>#REF!/10^7</f>
        <v>#REF!</v>
      </c>
      <c r="DD293" s="2003">
        <f t="shared" si="592"/>
        <v>0</v>
      </c>
      <c r="DE293" s="1989" t="e">
        <f>#REF!/10^7</f>
        <v>#REF!</v>
      </c>
      <c r="DF293" s="2003">
        <f t="shared" si="593"/>
        <v>0</v>
      </c>
      <c r="DG293" s="1989" t="e">
        <f>#REF!/10^7</f>
        <v>#REF!</v>
      </c>
      <c r="DH293" s="1989" t="e">
        <f>#REF!/10^7</f>
        <v>#REF!</v>
      </c>
      <c r="DI293" s="2002" t="e">
        <f t="shared" si="594"/>
        <v>#REF!</v>
      </c>
      <c r="DJ293" s="1999" t="e">
        <f t="shared" si="679"/>
        <v>#REF!</v>
      </c>
      <c r="DK293" s="1993" t="e">
        <f>#REF!</f>
        <v>#REF!</v>
      </c>
      <c r="DL293" s="2003">
        <f t="shared" si="595"/>
        <v>0</v>
      </c>
      <c r="DM293" s="1989" t="e">
        <f>#REF!/10^7</f>
        <v>#REF!</v>
      </c>
      <c r="DN293" s="2003">
        <f t="shared" si="596"/>
        <v>0</v>
      </c>
      <c r="DO293" s="1989" t="e">
        <f>#REF!/10^7</f>
        <v>#REF!</v>
      </c>
      <c r="DP293" s="2003">
        <f t="shared" si="597"/>
        <v>0</v>
      </c>
      <c r="DQ293" s="1989" t="e">
        <f>#REF!/10^7</f>
        <v>#REF!</v>
      </c>
      <c r="DR293" s="1989" t="e">
        <f>#REF!/10^7</f>
        <v>#REF!</v>
      </c>
      <c r="DS293" s="2002" t="e">
        <f t="shared" si="598"/>
        <v>#REF!</v>
      </c>
      <c r="DT293" s="2004" t="e">
        <f t="shared" si="680"/>
        <v>#REF!</v>
      </c>
      <c r="DU293" s="1988" t="e">
        <f>#REF!</f>
        <v>#REF!</v>
      </c>
      <c r="DV293" s="2003">
        <f t="shared" si="599"/>
        <v>0</v>
      </c>
      <c r="DW293" s="1989" t="e">
        <f>#REF!/10^7</f>
        <v>#REF!</v>
      </c>
      <c r="DX293" s="2003">
        <f t="shared" si="600"/>
        <v>0</v>
      </c>
      <c r="DY293" s="1989" t="e">
        <f>#REF!/10^7</f>
        <v>#REF!</v>
      </c>
      <c r="DZ293" s="2003">
        <f t="shared" si="601"/>
        <v>0</v>
      </c>
      <c r="EA293" s="1989" t="e">
        <f>#REF!/10^7</f>
        <v>#REF!</v>
      </c>
      <c r="EB293" s="1989" t="e">
        <f>#REF!/10^7</f>
        <v>#REF!</v>
      </c>
      <c r="EC293" s="2002" t="e">
        <f t="shared" si="602"/>
        <v>#REF!</v>
      </c>
      <c r="ED293" s="1998" t="e">
        <f t="shared" si="681"/>
        <v>#REF!</v>
      </c>
      <c r="EE293" s="2005" t="e">
        <f t="shared" si="682"/>
        <v>#REF!</v>
      </c>
      <c r="EF293" s="2003">
        <f t="shared" si="603"/>
        <v>0</v>
      </c>
      <c r="EG293" s="1989" t="e">
        <f t="shared" si="683"/>
        <v>#REF!</v>
      </c>
      <c r="EH293" s="2003">
        <f t="shared" si="604"/>
        <v>0</v>
      </c>
      <c r="EI293" s="1989" t="e">
        <f t="shared" si="684"/>
        <v>#REF!</v>
      </c>
      <c r="EJ293" s="2003">
        <f t="shared" si="605"/>
        <v>0</v>
      </c>
      <c r="EK293" s="1989" t="e">
        <f t="shared" si="685"/>
        <v>#REF!</v>
      </c>
      <c r="EL293" s="1989" t="e">
        <f t="shared" si="685"/>
        <v>#REF!</v>
      </c>
      <c r="EM293" s="2006" t="e">
        <f t="shared" si="606"/>
        <v>#REF!</v>
      </c>
      <c r="EN293" s="1999" t="e">
        <f t="shared" si="686"/>
        <v>#REF!</v>
      </c>
      <c r="EP293" s="1613" t="e">
        <f>EA293-#REF!/10^7</f>
        <v>#REF!</v>
      </c>
      <c r="EW293" s="1611" t="e">
        <v>#N/A</v>
      </c>
      <c r="EX293" s="1612" t="e">
        <v>#N/A</v>
      </c>
      <c r="EZ293" s="1650">
        <f t="shared" si="607"/>
        <v>0</v>
      </c>
    </row>
    <row r="294" spans="1:156" ht="21" customHeight="1">
      <c r="A294" s="1652">
        <v>4</v>
      </c>
      <c r="B294" s="1668" t="s">
        <v>1954</v>
      </c>
      <c r="C294" s="1662">
        <v>5</v>
      </c>
      <c r="D294" s="1646">
        <f>H294/C294*100</f>
        <v>100</v>
      </c>
      <c r="E294" s="1646"/>
      <c r="F294" s="1648" t="s">
        <v>1594</v>
      </c>
      <c r="G294" s="1648"/>
      <c r="H294" s="1648">
        <v>5</v>
      </c>
      <c r="I294" s="1648" t="s">
        <v>1667</v>
      </c>
      <c r="J294" s="1649">
        <v>2</v>
      </c>
      <c r="K294" s="1648"/>
      <c r="L294" s="1648"/>
      <c r="M294" s="1648"/>
      <c r="N294" s="1642"/>
      <c r="O294" s="2000" t="e">
        <f>#REF!</f>
        <v>#REF!</v>
      </c>
      <c r="P294" s="2003">
        <f t="shared" si="555"/>
        <v>0</v>
      </c>
      <c r="Q294" s="1989" t="e">
        <f>#REF!/10^7</f>
        <v>#REF!</v>
      </c>
      <c r="R294" s="2003">
        <f t="shared" si="556"/>
        <v>0</v>
      </c>
      <c r="S294" s="1989" t="e">
        <f>#REF!/10^7</f>
        <v>#REF!</v>
      </c>
      <c r="T294" s="2003">
        <f t="shared" si="557"/>
        <v>0</v>
      </c>
      <c r="U294" s="1989" t="e">
        <f>#REF!/10^7</f>
        <v>#REF!</v>
      </c>
      <c r="V294" s="1989" t="e">
        <f>#REF!/10^7</f>
        <v>#REF!</v>
      </c>
      <c r="W294" s="1989">
        <f t="shared" si="558"/>
        <v>0</v>
      </c>
      <c r="X294" s="1999" t="e">
        <f t="shared" si="671"/>
        <v>#REF!</v>
      </c>
      <c r="Y294" s="1993" t="e">
        <f>#REF!</f>
        <v>#REF!</v>
      </c>
      <c r="Z294" s="2003">
        <f t="shared" si="559"/>
        <v>0</v>
      </c>
      <c r="AA294" s="1989" t="e">
        <f>#REF!/10^7</f>
        <v>#REF!</v>
      </c>
      <c r="AB294" s="2003">
        <f t="shared" si="560"/>
        <v>0</v>
      </c>
      <c r="AC294" s="1989" t="e">
        <f>#REF!/10^7</f>
        <v>#REF!</v>
      </c>
      <c r="AD294" s="2003">
        <f t="shared" si="561"/>
        <v>0</v>
      </c>
      <c r="AE294" s="1989" t="e">
        <f>#REF!/10^7</f>
        <v>#REF!</v>
      </c>
      <c r="AF294" s="1989" t="e">
        <f>#REF!/10^7</f>
        <v>#REF!</v>
      </c>
      <c r="AG294" s="2002" t="e">
        <f t="shared" si="562"/>
        <v>#REF!</v>
      </c>
      <c r="AH294" s="1999" t="e">
        <f t="shared" si="670"/>
        <v>#REF!</v>
      </c>
      <c r="AI294" s="1993" t="e">
        <f>#REF!</f>
        <v>#REF!</v>
      </c>
      <c r="AJ294" s="2003">
        <f t="shared" si="563"/>
        <v>0</v>
      </c>
      <c r="AK294" s="1989" t="e">
        <f>#REF!/10^7</f>
        <v>#REF!</v>
      </c>
      <c r="AL294" s="2003">
        <f t="shared" si="564"/>
        <v>0</v>
      </c>
      <c r="AM294" s="1989" t="e">
        <f>#REF!/10^7</f>
        <v>#REF!</v>
      </c>
      <c r="AN294" s="2003">
        <f t="shared" si="565"/>
        <v>0</v>
      </c>
      <c r="AO294" s="1989" t="e">
        <f>#REF!/10^7</f>
        <v>#REF!</v>
      </c>
      <c r="AP294" s="1989" t="e">
        <f>#REF!/10^7</f>
        <v>#REF!</v>
      </c>
      <c r="AQ294" s="2002" t="e">
        <f t="shared" si="566"/>
        <v>#REF!</v>
      </c>
      <c r="AR294" s="1999" t="e">
        <f t="shared" si="672"/>
        <v>#REF!</v>
      </c>
      <c r="AS294" s="1993" t="e">
        <f>#REF!</f>
        <v>#REF!</v>
      </c>
      <c r="AT294" s="2003">
        <f t="shared" si="567"/>
        <v>0</v>
      </c>
      <c r="AU294" s="1989" t="e">
        <f>#REF!/10^7</f>
        <v>#REF!</v>
      </c>
      <c r="AV294" s="2003">
        <f t="shared" si="568"/>
        <v>0</v>
      </c>
      <c r="AW294" s="1989" t="e">
        <f>#REF!/10^7</f>
        <v>#REF!</v>
      </c>
      <c r="AX294" s="2003">
        <f t="shared" si="569"/>
        <v>0</v>
      </c>
      <c r="AY294" s="1989" t="e">
        <f>#REF!/10^7</f>
        <v>#REF!</v>
      </c>
      <c r="AZ294" s="1989" t="e">
        <f>#REF!/10^7</f>
        <v>#REF!</v>
      </c>
      <c r="BA294" s="2002" t="e">
        <f t="shared" si="570"/>
        <v>#REF!</v>
      </c>
      <c r="BB294" s="1999" t="e">
        <f t="shared" si="673"/>
        <v>#REF!</v>
      </c>
      <c r="BC294" s="1993" t="e">
        <f>#REF!</f>
        <v>#REF!</v>
      </c>
      <c r="BD294" s="2003">
        <f t="shared" si="571"/>
        <v>0</v>
      </c>
      <c r="BE294" s="1989" t="e">
        <f>#REF!/10^7</f>
        <v>#REF!</v>
      </c>
      <c r="BF294" s="2003">
        <f t="shared" si="572"/>
        <v>0</v>
      </c>
      <c r="BG294" s="1989" t="e">
        <f>#REF!/10^7</f>
        <v>#REF!</v>
      </c>
      <c r="BH294" s="2003">
        <f t="shared" si="573"/>
        <v>0</v>
      </c>
      <c r="BI294" s="1989" t="e">
        <f>#REF!/10^7</f>
        <v>#REF!</v>
      </c>
      <c r="BJ294" s="1989" t="e">
        <f>#REF!/10^7</f>
        <v>#REF!</v>
      </c>
      <c r="BK294" s="2002" t="e">
        <f t="shared" si="574"/>
        <v>#REF!</v>
      </c>
      <c r="BL294" s="1999" t="e">
        <f t="shared" si="674"/>
        <v>#REF!</v>
      </c>
      <c r="BM294" s="1993" t="e">
        <f>#REF!</f>
        <v>#REF!</v>
      </c>
      <c r="BN294" s="2003">
        <f t="shared" si="575"/>
        <v>0</v>
      </c>
      <c r="BO294" s="1989" t="e">
        <f>#REF!/10^7</f>
        <v>#REF!</v>
      </c>
      <c r="BP294" s="2003">
        <f t="shared" si="576"/>
        <v>0</v>
      </c>
      <c r="BQ294" s="1989" t="e">
        <f>#REF!/10^7</f>
        <v>#REF!</v>
      </c>
      <c r="BR294" s="2003">
        <f t="shared" si="577"/>
        <v>0</v>
      </c>
      <c r="BS294" s="1989" t="e">
        <f>#REF!/10^7</f>
        <v>#REF!</v>
      </c>
      <c r="BT294" s="1989" t="e">
        <f>#REF!/10^7</f>
        <v>#REF!</v>
      </c>
      <c r="BU294" s="2002" t="e">
        <f t="shared" si="578"/>
        <v>#REF!</v>
      </c>
      <c r="BV294" s="1999" t="e">
        <f t="shared" si="675"/>
        <v>#REF!</v>
      </c>
      <c r="BW294" s="1993" t="e">
        <f>#REF!</f>
        <v>#REF!</v>
      </c>
      <c r="BX294" s="2003">
        <f t="shared" si="579"/>
        <v>0</v>
      </c>
      <c r="BY294" s="1989" t="e">
        <f>#REF!/10^7</f>
        <v>#REF!</v>
      </c>
      <c r="BZ294" s="2003">
        <f t="shared" si="580"/>
        <v>0</v>
      </c>
      <c r="CA294" s="1989" t="e">
        <f>#REF!/10^7</f>
        <v>#REF!</v>
      </c>
      <c r="CB294" s="2003">
        <f t="shared" si="581"/>
        <v>0</v>
      </c>
      <c r="CC294" s="1989" t="e">
        <f>#REF!/10^7</f>
        <v>#REF!</v>
      </c>
      <c r="CD294" s="1989" t="e">
        <f>#REF!/10^7</f>
        <v>#REF!</v>
      </c>
      <c r="CE294" s="2002" t="e">
        <f t="shared" si="582"/>
        <v>#REF!</v>
      </c>
      <c r="CF294" s="1999" t="e">
        <f t="shared" si="676"/>
        <v>#REF!</v>
      </c>
      <c r="CG294" s="1993" t="e">
        <f>#REF!</f>
        <v>#REF!</v>
      </c>
      <c r="CH294" s="2003">
        <f t="shared" si="583"/>
        <v>0</v>
      </c>
      <c r="CI294" s="1989" t="e">
        <f>#REF!/10^7</f>
        <v>#REF!</v>
      </c>
      <c r="CJ294" s="2003">
        <f t="shared" si="584"/>
        <v>0</v>
      </c>
      <c r="CK294" s="1989" t="e">
        <f>#REF!/10^7</f>
        <v>#REF!</v>
      </c>
      <c r="CL294" s="2003">
        <f t="shared" si="585"/>
        <v>0</v>
      </c>
      <c r="CM294" s="1989" t="e">
        <f>#REF!/10^7</f>
        <v>#REF!</v>
      </c>
      <c r="CN294" s="1989" t="e">
        <f>#REF!/10^7</f>
        <v>#REF!</v>
      </c>
      <c r="CO294" s="2002" t="e">
        <f t="shared" si="586"/>
        <v>#REF!</v>
      </c>
      <c r="CP294" s="1999" t="e">
        <f t="shared" si="677"/>
        <v>#REF!</v>
      </c>
      <c r="CQ294" s="1993" t="e">
        <f>#REF!</f>
        <v>#REF!</v>
      </c>
      <c r="CR294" s="2003">
        <f t="shared" si="587"/>
        <v>0</v>
      </c>
      <c r="CS294" s="1989" t="e">
        <f>#REF!/10^7</f>
        <v>#REF!</v>
      </c>
      <c r="CT294" s="2003">
        <f t="shared" si="588"/>
        <v>0</v>
      </c>
      <c r="CU294" s="1989" t="e">
        <f>#REF!/10^7</f>
        <v>#REF!</v>
      </c>
      <c r="CV294" s="2003">
        <f t="shared" si="589"/>
        <v>0</v>
      </c>
      <c r="CW294" s="1989" t="e">
        <f>#REF!/10^7</f>
        <v>#REF!</v>
      </c>
      <c r="CX294" s="1989" t="e">
        <f>#REF!/10^7</f>
        <v>#REF!</v>
      </c>
      <c r="CY294" s="2002" t="e">
        <f t="shared" si="590"/>
        <v>#REF!</v>
      </c>
      <c r="CZ294" s="1999" t="e">
        <f t="shared" si="678"/>
        <v>#REF!</v>
      </c>
      <c r="DA294" s="1993" t="e">
        <f>#REF!</f>
        <v>#REF!</v>
      </c>
      <c r="DB294" s="2003">
        <f t="shared" si="591"/>
        <v>0</v>
      </c>
      <c r="DC294" s="1989" t="e">
        <f>#REF!/10^7</f>
        <v>#REF!</v>
      </c>
      <c r="DD294" s="2003">
        <f t="shared" si="592"/>
        <v>0</v>
      </c>
      <c r="DE294" s="1989" t="e">
        <f>#REF!/10^7</f>
        <v>#REF!</v>
      </c>
      <c r="DF294" s="2003">
        <f t="shared" si="593"/>
        <v>0</v>
      </c>
      <c r="DG294" s="1989" t="e">
        <f>#REF!/10^7</f>
        <v>#REF!</v>
      </c>
      <c r="DH294" s="1989" t="e">
        <f>#REF!/10^7</f>
        <v>#REF!</v>
      </c>
      <c r="DI294" s="2002" t="e">
        <f t="shared" si="594"/>
        <v>#REF!</v>
      </c>
      <c r="DJ294" s="1999" t="e">
        <f t="shared" si="679"/>
        <v>#REF!</v>
      </c>
      <c r="DK294" s="1993" t="e">
        <f>#REF!</f>
        <v>#REF!</v>
      </c>
      <c r="DL294" s="2003">
        <f t="shared" si="595"/>
        <v>0</v>
      </c>
      <c r="DM294" s="1989" t="e">
        <f>#REF!/10^7</f>
        <v>#REF!</v>
      </c>
      <c r="DN294" s="2003">
        <f t="shared" si="596"/>
        <v>0</v>
      </c>
      <c r="DO294" s="1989" t="e">
        <f>#REF!/10^7</f>
        <v>#REF!</v>
      </c>
      <c r="DP294" s="2003">
        <f t="shared" si="597"/>
        <v>0</v>
      </c>
      <c r="DQ294" s="1989" t="e">
        <f>#REF!/10^7</f>
        <v>#REF!</v>
      </c>
      <c r="DR294" s="1989" t="e">
        <f>#REF!/10^7</f>
        <v>#REF!</v>
      </c>
      <c r="DS294" s="2002" t="e">
        <f t="shared" si="598"/>
        <v>#REF!</v>
      </c>
      <c r="DT294" s="2004" t="e">
        <f t="shared" si="680"/>
        <v>#REF!</v>
      </c>
      <c r="DU294" s="1988" t="e">
        <f>#REF!</f>
        <v>#REF!</v>
      </c>
      <c r="DV294" s="2003">
        <f t="shared" si="599"/>
        <v>0</v>
      </c>
      <c r="DW294" s="1989" t="e">
        <f>#REF!/10^7</f>
        <v>#REF!</v>
      </c>
      <c r="DX294" s="2003">
        <f t="shared" si="600"/>
        <v>0</v>
      </c>
      <c r="DY294" s="1989" t="e">
        <f>#REF!/10^7</f>
        <v>#REF!</v>
      </c>
      <c r="DZ294" s="2003">
        <f t="shared" si="601"/>
        <v>0</v>
      </c>
      <c r="EA294" s="1989" t="e">
        <f>#REF!/10^7</f>
        <v>#REF!</v>
      </c>
      <c r="EB294" s="1989" t="e">
        <f>#REF!/10^7</f>
        <v>#REF!</v>
      </c>
      <c r="EC294" s="2002" t="e">
        <f t="shared" si="602"/>
        <v>#REF!</v>
      </c>
      <c r="ED294" s="1998" t="e">
        <f t="shared" si="681"/>
        <v>#REF!</v>
      </c>
      <c r="EE294" s="2005" t="e">
        <f t="shared" si="682"/>
        <v>#REF!</v>
      </c>
      <c r="EF294" s="2003">
        <f t="shared" si="603"/>
        <v>0</v>
      </c>
      <c r="EG294" s="1989" t="e">
        <f t="shared" si="683"/>
        <v>#REF!</v>
      </c>
      <c r="EH294" s="2003">
        <f t="shared" si="604"/>
        <v>0</v>
      </c>
      <c r="EI294" s="1989" t="e">
        <f t="shared" si="684"/>
        <v>#REF!</v>
      </c>
      <c r="EJ294" s="2003">
        <f t="shared" si="605"/>
        <v>0</v>
      </c>
      <c r="EK294" s="1989" t="e">
        <f t="shared" si="685"/>
        <v>#REF!</v>
      </c>
      <c r="EL294" s="1989" t="e">
        <f t="shared" si="685"/>
        <v>#REF!</v>
      </c>
      <c r="EM294" s="2006" t="e">
        <f t="shared" si="606"/>
        <v>#REF!</v>
      </c>
      <c r="EN294" s="1999" t="e">
        <f t="shared" si="686"/>
        <v>#REF!</v>
      </c>
      <c r="EP294" s="1613" t="e">
        <f>EA294-#REF!/10^7</f>
        <v>#REF!</v>
      </c>
      <c r="EW294" s="1611" t="e">
        <v>#N/A</v>
      </c>
      <c r="EX294" s="1612" t="e">
        <v>#N/A</v>
      </c>
      <c r="EZ294" s="1650">
        <f t="shared" si="607"/>
        <v>0</v>
      </c>
    </row>
    <row r="295" spans="1:156" ht="21" customHeight="1">
      <c r="A295" s="1652">
        <v>5</v>
      </c>
      <c r="B295" s="1668" t="s">
        <v>1955</v>
      </c>
      <c r="C295" s="1662">
        <v>5</v>
      </c>
      <c r="D295" s="1646">
        <f>H295/C295*100</f>
        <v>100</v>
      </c>
      <c r="E295" s="1646"/>
      <c r="F295" s="1648" t="s">
        <v>1594</v>
      </c>
      <c r="G295" s="1648"/>
      <c r="H295" s="1648">
        <v>5</v>
      </c>
      <c r="I295" s="1648" t="s">
        <v>1667</v>
      </c>
      <c r="J295" s="1649">
        <v>2</v>
      </c>
      <c r="K295" s="1648"/>
      <c r="L295" s="1648"/>
      <c r="M295" s="1648"/>
      <c r="N295" s="1642"/>
      <c r="O295" s="2000" t="e">
        <f>#REF!</f>
        <v>#REF!</v>
      </c>
      <c r="P295" s="2003">
        <f t="shared" si="555"/>
        <v>0</v>
      </c>
      <c r="Q295" s="1989" t="e">
        <f>#REF!/10^7</f>
        <v>#REF!</v>
      </c>
      <c r="R295" s="2003">
        <f t="shared" si="556"/>
        <v>0</v>
      </c>
      <c r="S295" s="1989" t="e">
        <f>#REF!/10^7</f>
        <v>#REF!</v>
      </c>
      <c r="T295" s="2003">
        <f t="shared" si="557"/>
        <v>0</v>
      </c>
      <c r="U295" s="1989" t="e">
        <f>#REF!/10^7</f>
        <v>#REF!</v>
      </c>
      <c r="V295" s="1989" t="e">
        <f>#REF!/10^7</f>
        <v>#REF!</v>
      </c>
      <c r="W295" s="1989">
        <f t="shared" si="558"/>
        <v>0</v>
      </c>
      <c r="X295" s="1999" t="e">
        <f t="shared" si="671"/>
        <v>#REF!</v>
      </c>
      <c r="Y295" s="1993" t="e">
        <f>#REF!</f>
        <v>#REF!</v>
      </c>
      <c r="Z295" s="2003">
        <f t="shared" si="559"/>
        <v>0</v>
      </c>
      <c r="AA295" s="1989" t="e">
        <f>#REF!/10^7</f>
        <v>#REF!</v>
      </c>
      <c r="AB295" s="2003">
        <f t="shared" si="560"/>
        <v>0</v>
      </c>
      <c r="AC295" s="1989" t="e">
        <f>#REF!/10^7</f>
        <v>#REF!</v>
      </c>
      <c r="AD295" s="2003">
        <f t="shared" si="561"/>
        <v>0</v>
      </c>
      <c r="AE295" s="1989" t="e">
        <f>#REF!/10^7</f>
        <v>#REF!</v>
      </c>
      <c r="AF295" s="1989" t="e">
        <f>#REF!/10^7</f>
        <v>#REF!</v>
      </c>
      <c r="AG295" s="2002" t="e">
        <f t="shared" si="562"/>
        <v>#REF!</v>
      </c>
      <c r="AH295" s="1999" t="e">
        <f t="shared" si="670"/>
        <v>#REF!</v>
      </c>
      <c r="AI295" s="1993" t="e">
        <f>#REF!</f>
        <v>#REF!</v>
      </c>
      <c r="AJ295" s="2003">
        <f t="shared" si="563"/>
        <v>0</v>
      </c>
      <c r="AK295" s="1989" t="e">
        <f>#REF!/10^7</f>
        <v>#REF!</v>
      </c>
      <c r="AL295" s="2003">
        <f t="shared" si="564"/>
        <v>0</v>
      </c>
      <c r="AM295" s="1989" t="e">
        <f>#REF!/10^7</f>
        <v>#REF!</v>
      </c>
      <c r="AN295" s="2003">
        <f t="shared" si="565"/>
        <v>0</v>
      </c>
      <c r="AO295" s="1989" t="e">
        <f>#REF!/10^7</f>
        <v>#REF!</v>
      </c>
      <c r="AP295" s="1989" t="e">
        <f>#REF!/10^7</f>
        <v>#REF!</v>
      </c>
      <c r="AQ295" s="2002" t="e">
        <f t="shared" si="566"/>
        <v>#REF!</v>
      </c>
      <c r="AR295" s="1999" t="e">
        <f t="shared" si="672"/>
        <v>#REF!</v>
      </c>
      <c r="AS295" s="1993" t="e">
        <f>#REF!</f>
        <v>#REF!</v>
      </c>
      <c r="AT295" s="2003">
        <f t="shared" si="567"/>
        <v>0</v>
      </c>
      <c r="AU295" s="1989" t="e">
        <f>#REF!/10^7</f>
        <v>#REF!</v>
      </c>
      <c r="AV295" s="2003">
        <f t="shared" si="568"/>
        <v>0</v>
      </c>
      <c r="AW295" s="1989" t="e">
        <f>#REF!/10^7</f>
        <v>#REF!</v>
      </c>
      <c r="AX295" s="2003">
        <f t="shared" si="569"/>
        <v>0</v>
      </c>
      <c r="AY295" s="1989" t="e">
        <f>#REF!/10^7</f>
        <v>#REF!</v>
      </c>
      <c r="AZ295" s="1989" t="e">
        <f>#REF!/10^7</f>
        <v>#REF!</v>
      </c>
      <c r="BA295" s="2002" t="e">
        <f t="shared" si="570"/>
        <v>#REF!</v>
      </c>
      <c r="BB295" s="1999" t="e">
        <f t="shared" si="673"/>
        <v>#REF!</v>
      </c>
      <c r="BC295" s="1993" t="e">
        <f>#REF!</f>
        <v>#REF!</v>
      </c>
      <c r="BD295" s="2003">
        <f t="shared" si="571"/>
        <v>0</v>
      </c>
      <c r="BE295" s="1989" t="e">
        <f>#REF!/10^7</f>
        <v>#REF!</v>
      </c>
      <c r="BF295" s="2003">
        <f t="shared" si="572"/>
        <v>0</v>
      </c>
      <c r="BG295" s="1989" t="e">
        <f>#REF!/10^7</f>
        <v>#REF!</v>
      </c>
      <c r="BH295" s="2003">
        <f t="shared" si="573"/>
        <v>0</v>
      </c>
      <c r="BI295" s="1989" t="e">
        <f>#REF!/10^7</f>
        <v>#REF!</v>
      </c>
      <c r="BJ295" s="1989" t="e">
        <f>#REF!/10^7</f>
        <v>#REF!</v>
      </c>
      <c r="BK295" s="2002" t="e">
        <f t="shared" si="574"/>
        <v>#REF!</v>
      </c>
      <c r="BL295" s="1999" t="e">
        <f t="shared" si="674"/>
        <v>#REF!</v>
      </c>
      <c r="BM295" s="1993" t="e">
        <f>#REF!</f>
        <v>#REF!</v>
      </c>
      <c r="BN295" s="2003">
        <f t="shared" si="575"/>
        <v>0</v>
      </c>
      <c r="BO295" s="1989" t="e">
        <f>#REF!/10^7</f>
        <v>#REF!</v>
      </c>
      <c r="BP295" s="2003">
        <f t="shared" si="576"/>
        <v>0</v>
      </c>
      <c r="BQ295" s="1989" t="e">
        <f>#REF!/10^7</f>
        <v>#REF!</v>
      </c>
      <c r="BR295" s="2003">
        <f t="shared" si="577"/>
        <v>0</v>
      </c>
      <c r="BS295" s="1989" t="e">
        <f>#REF!/10^7</f>
        <v>#REF!</v>
      </c>
      <c r="BT295" s="1989" t="e">
        <f>#REF!/10^7</f>
        <v>#REF!</v>
      </c>
      <c r="BU295" s="2002" t="e">
        <f t="shared" si="578"/>
        <v>#REF!</v>
      </c>
      <c r="BV295" s="1999" t="e">
        <f t="shared" si="675"/>
        <v>#REF!</v>
      </c>
      <c r="BW295" s="1993" t="e">
        <f>#REF!</f>
        <v>#REF!</v>
      </c>
      <c r="BX295" s="2003">
        <f t="shared" si="579"/>
        <v>0</v>
      </c>
      <c r="BY295" s="1989" t="e">
        <f>#REF!/10^7</f>
        <v>#REF!</v>
      </c>
      <c r="BZ295" s="2003">
        <f t="shared" si="580"/>
        <v>0</v>
      </c>
      <c r="CA295" s="1989" t="e">
        <f>#REF!/10^7</f>
        <v>#REF!</v>
      </c>
      <c r="CB295" s="2003">
        <f t="shared" si="581"/>
        <v>0</v>
      </c>
      <c r="CC295" s="1989" t="e">
        <f>#REF!/10^7</f>
        <v>#REF!</v>
      </c>
      <c r="CD295" s="1989" t="e">
        <f>#REF!/10^7</f>
        <v>#REF!</v>
      </c>
      <c r="CE295" s="2002" t="e">
        <f t="shared" si="582"/>
        <v>#REF!</v>
      </c>
      <c r="CF295" s="1999" t="e">
        <f t="shared" si="676"/>
        <v>#REF!</v>
      </c>
      <c r="CG295" s="1993" t="e">
        <f>#REF!</f>
        <v>#REF!</v>
      </c>
      <c r="CH295" s="2003">
        <f t="shared" si="583"/>
        <v>0</v>
      </c>
      <c r="CI295" s="1989" t="e">
        <f>#REF!/10^7</f>
        <v>#REF!</v>
      </c>
      <c r="CJ295" s="2003">
        <f t="shared" si="584"/>
        <v>0</v>
      </c>
      <c r="CK295" s="1989" t="e">
        <f>#REF!/10^7</f>
        <v>#REF!</v>
      </c>
      <c r="CL295" s="2003">
        <f t="shared" si="585"/>
        <v>0</v>
      </c>
      <c r="CM295" s="1989" t="e">
        <f>#REF!/10^7</f>
        <v>#REF!</v>
      </c>
      <c r="CN295" s="1989" t="e">
        <f>#REF!/10^7</f>
        <v>#REF!</v>
      </c>
      <c r="CO295" s="2002" t="e">
        <f t="shared" si="586"/>
        <v>#REF!</v>
      </c>
      <c r="CP295" s="1999" t="e">
        <f t="shared" si="677"/>
        <v>#REF!</v>
      </c>
      <c r="CQ295" s="1993" t="e">
        <f>#REF!</f>
        <v>#REF!</v>
      </c>
      <c r="CR295" s="2003">
        <f t="shared" si="587"/>
        <v>0</v>
      </c>
      <c r="CS295" s="1989" t="e">
        <f>#REF!/10^7</f>
        <v>#REF!</v>
      </c>
      <c r="CT295" s="2003">
        <f t="shared" si="588"/>
        <v>0</v>
      </c>
      <c r="CU295" s="1989" t="e">
        <f>#REF!/10^7</f>
        <v>#REF!</v>
      </c>
      <c r="CV295" s="2003">
        <f t="shared" si="589"/>
        <v>0</v>
      </c>
      <c r="CW295" s="1989" t="e">
        <f>#REF!/10^7</f>
        <v>#REF!</v>
      </c>
      <c r="CX295" s="1989" t="e">
        <f>#REF!/10^7</f>
        <v>#REF!</v>
      </c>
      <c r="CY295" s="2002" t="e">
        <f t="shared" si="590"/>
        <v>#REF!</v>
      </c>
      <c r="CZ295" s="1999" t="e">
        <f t="shared" si="678"/>
        <v>#REF!</v>
      </c>
      <c r="DA295" s="1993" t="e">
        <f>#REF!</f>
        <v>#REF!</v>
      </c>
      <c r="DB295" s="2003">
        <f t="shared" si="591"/>
        <v>0</v>
      </c>
      <c r="DC295" s="1989" t="e">
        <f>#REF!/10^7</f>
        <v>#REF!</v>
      </c>
      <c r="DD295" s="2003">
        <f t="shared" si="592"/>
        <v>0</v>
      </c>
      <c r="DE295" s="1989" t="e">
        <f>#REF!/10^7</f>
        <v>#REF!</v>
      </c>
      <c r="DF295" s="2003">
        <f t="shared" si="593"/>
        <v>0</v>
      </c>
      <c r="DG295" s="1989" t="e">
        <f>#REF!/10^7</f>
        <v>#REF!</v>
      </c>
      <c r="DH295" s="1989" t="e">
        <f>#REF!/10^7</f>
        <v>#REF!</v>
      </c>
      <c r="DI295" s="2002" t="e">
        <f t="shared" si="594"/>
        <v>#REF!</v>
      </c>
      <c r="DJ295" s="1999" t="e">
        <f t="shared" si="679"/>
        <v>#REF!</v>
      </c>
      <c r="DK295" s="1993" t="e">
        <f>#REF!</f>
        <v>#REF!</v>
      </c>
      <c r="DL295" s="2003">
        <f t="shared" si="595"/>
        <v>0</v>
      </c>
      <c r="DM295" s="1989" t="e">
        <f>#REF!/10^7</f>
        <v>#REF!</v>
      </c>
      <c r="DN295" s="2003">
        <f t="shared" si="596"/>
        <v>0</v>
      </c>
      <c r="DO295" s="1989" t="e">
        <f>#REF!/10^7</f>
        <v>#REF!</v>
      </c>
      <c r="DP295" s="2003">
        <f t="shared" si="597"/>
        <v>0</v>
      </c>
      <c r="DQ295" s="1989" t="e">
        <f>#REF!/10^7</f>
        <v>#REF!</v>
      </c>
      <c r="DR295" s="1989" t="e">
        <f>#REF!/10^7</f>
        <v>#REF!</v>
      </c>
      <c r="DS295" s="2002" t="e">
        <f t="shared" si="598"/>
        <v>#REF!</v>
      </c>
      <c r="DT295" s="2004" t="e">
        <f t="shared" si="680"/>
        <v>#REF!</v>
      </c>
      <c r="DU295" s="1988" t="e">
        <f>#REF!</f>
        <v>#REF!</v>
      </c>
      <c r="DV295" s="2003">
        <f t="shared" si="599"/>
        <v>0</v>
      </c>
      <c r="DW295" s="1989" t="e">
        <f>#REF!/10^7</f>
        <v>#REF!</v>
      </c>
      <c r="DX295" s="2003">
        <f t="shared" si="600"/>
        <v>0</v>
      </c>
      <c r="DY295" s="1989" t="e">
        <f>#REF!/10^7</f>
        <v>#REF!</v>
      </c>
      <c r="DZ295" s="2003">
        <f t="shared" si="601"/>
        <v>0</v>
      </c>
      <c r="EA295" s="1989" t="e">
        <f>#REF!/10^7</f>
        <v>#REF!</v>
      </c>
      <c r="EB295" s="1989" t="e">
        <f>#REF!/10^7</f>
        <v>#REF!</v>
      </c>
      <c r="EC295" s="2002" t="e">
        <f t="shared" si="602"/>
        <v>#REF!</v>
      </c>
      <c r="ED295" s="1998" t="e">
        <f t="shared" si="681"/>
        <v>#REF!</v>
      </c>
      <c r="EE295" s="2005" t="e">
        <f t="shared" si="682"/>
        <v>#REF!</v>
      </c>
      <c r="EF295" s="2003">
        <f t="shared" si="603"/>
        <v>0</v>
      </c>
      <c r="EG295" s="1989" t="e">
        <f t="shared" si="683"/>
        <v>#REF!</v>
      </c>
      <c r="EH295" s="2003">
        <f t="shared" si="604"/>
        <v>0</v>
      </c>
      <c r="EI295" s="1989" t="e">
        <f t="shared" si="684"/>
        <v>#REF!</v>
      </c>
      <c r="EJ295" s="2003">
        <f t="shared" si="605"/>
        <v>0</v>
      </c>
      <c r="EK295" s="1989" t="e">
        <f t="shared" si="685"/>
        <v>#REF!</v>
      </c>
      <c r="EL295" s="1989" t="e">
        <f t="shared" si="685"/>
        <v>#REF!</v>
      </c>
      <c r="EM295" s="2006" t="e">
        <f t="shared" si="606"/>
        <v>#REF!</v>
      </c>
      <c r="EN295" s="1999" t="e">
        <f t="shared" si="686"/>
        <v>#REF!</v>
      </c>
      <c r="EP295" s="1613" t="e">
        <f>EA295-#REF!/10^7</f>
        <v>#REF!</v>
      </c>
      <c r="EW295" s="1611" t="e">
        <v>#N/A</v>
      </c>
      <c r="EX295" s="1612" t="e">
        <v>#N/A</v>
      </c>
      <c r="EZ295" s="1650">
        <f t="shared" si="607"/>
        <v>0</v>
      </c>
    </row>
    <row r="296" spans="1:156" ht="21" customHeight="1">
      <c r="A296" s="1652">
        <v>6</v>
      </c>
      <c r="B296" s="1644" t="s">
        <v>1956</v>
      </c>
      <c r="C296" s="1662"/>
      <c r="D296" s="1648"/>
      <c r="E296" s="1648"/>
      <c r="F296" s="1648"/>
      <c r="G296" s="1648"/>
      <c r="H296" s="1648"/>
      <c r="I296" s="1648" t="s">
        <v>1667</v>
      </c>
      <c r="J296" s="1649">
        <v>2</v>
      </c>
      <c r="K296" s="1648"/>
      <c r="L296" s="1648"/>
      <c r="M296" s="1648"/>
      <c r="N296" s="1642"/>
      <c r="O296" s="2000" t="e">
        <f>#REF!</f>
        <v>#REF!</v>
      </c>
      <c r="P296" s="2003">
        <f t="shared" si="555"/>
        <v>0</v>
      </c>
      <c r="Q296" s="1989" t="e">
        <f>#REF!/10^7</f>
        <v>#REF!</v>
      </c>
      <c r="R296" s="2003">
        <f t="shared" si="556"/>
        <v>0</v>
      </c>
      <c r="S296" s="1989" t="e">
        <f>#REF!/10^7</f>
        <v>#REF!</v>
      </c>
      <c r="T296" s="2003">
        <f t="shared" si="557"/>
        <v>0</v>
      </c>
      <c r="U296" s="1989" t="e">
        <f>#REF!/10^7</f>
        <v>#REF!</v>
      </c>
      <c r="V296" s="1989" t="e">
        <f>#REF!/10^7</f>
        <v>#REF!</v>
      </c>
      <c r="W296" s="1989">
        <f t="shared" si="558"/>
        <v>0</v>
      </c>
      <c r="X296" s="1999" t="e">
        <f t="shared" si="671"/>
        <v>#REF!</v>
      </c>
      <c r="Y296" s="1993" t="e">
        <f>#REF!</f>
        <v>#REF!</v>
      </c>
      <c r="Z296" s="2003">
        <f t="shared" si="559"/>
        <v>0</v>
      </c>
      <c r="AA296" s="1989" t="e">
        <f>#REF!/10^7</f>
        <v>#REF!</v>
      </c>
      <c r="AB296" s="2003">
        <f t="shared" si="560"/>
        <v>0</v>
      </c>
      <c r="AC296" s="1989" t="e">
        <f>#REF!/10^7</f>
        <v>#REF!</v>
      </c>
      <c r="AD296" s="2003">
        <f t="shared" si="561"/>
        <v>0</v>
      </c>
      <c r="AE296" s="1989" t="e">
        <f>#REF!/10^7</f>
        <v>#REF!</v>
      </c>
      <c r="AF296" s="1989" t="e">
        <f>#REF!/10^7</f>
        <v>#REF!</v>
      </c>
      <c r="AG296" s="2002" t="e">
        <f t="shared" si="562"/>
        <v>#REF!</v>
      </c>
      <c r="AH296" s="1999" t="e">
        <f t="shared" si="670"/>
        <v>#REF!</v>
      </c>
      <c r="AI296" s="1993" t="e">
        <f>#REF!</f>
        <v>#REF!</v>
      </c>
      <c r="AJ296" s="2003">
        <f t="shared" si="563"/>
        <v>0</v>
      </c>
      <c r="AK296" s="1989" t="e">
        <f>#REF!/10^7</f>
        <v>#REF!</v>
      </c>
      <c r="AL296" s="2003">
        <f t="shared" si="564"/>
        <v>0</v>
      </c>
      <c r="AM296" s="1989" t="e">
        <f>#REF!/10^7</f>
        <v>#REF!</v>
      </c>
      <c r="AN296" s="2003">
        <f t="shared" si="565"/>
        <v>0</v>
      </c>
      <c r="AO296" s="1989" t="e">
        <f>#REF!/10^7</f>
        <v>#REF!</v>
      </c>
      <c r="AP296" s="1989" t="e">
        <f>#REF!/10^7</f>
        <v>#REF!</v>
      </c>
      <c r="AQ296" s="2002" t="e">
        <f t="shared" si="566"/>
        <v>#REF!</v>
      </c>
      <c r="AR296" s="1999" t="e">
        <f t="shared" si="672"/>
        <v>#REF!</v>
      </c>
      <c r="AS296" s="1993" t="e">
        <f>#REF!</f>
        <v>#REF!</v>
      </c>
      <c r="AT296" s="2003">
        <f t="shared" si="567"/>
        <v>0</v>
      </c>
      <c r="AU296" s="1989" t="e">
        <f>#REF!/10^7</f>
        <v>#REF!</v>
      </c>
      <c r="AV296" s="2003">
        <f t="shared" si="568"/>
        <v>0</v>
      </c>
      <c r="AW296" s="1989" t="e">
        <f>#REF!/10^7</f>
        <v>#REF!</v>
      </c>
      <c r="AX296" s="2003">
        <f t="shared" si="569"/>
        <v>0</v>
      </c>
      <c r="AY296" s="1989" t="e">
        <f>#REF!/10^7</f>
        <v>#REF!</v>
      </c>
      <c r="AZ296" s="1989" t="e">
        <f>#REF!/10^7</f>
        <v>#REF!</v>
      </c>
      <c r="BA296" s="2002" t="e">
        <f t="shared" si="570"/>
        <v>#REF!</v>
      </c>
      <c r="BB296" s="1999" t="e">
        <f t="shared" si="673"/>
        <v>#REF!</v>
      </c>
      <c r="BC296" s="1993" t="e">
        <f>#REF!</f>
        <v>#REF!</v>
      </c>
      <c r="BD296" s="2003">
        <f t="shared" si="571"/>
        <v>0</v>
      </c>
      <c r="BE296" s="1989" t="e">
        <f>#REF!/10^7</f>
        <v>#REF!</v>
      </c>
      <c r="BF296" s="2003">
        <f t="shared" si="572"/>
        <v>0</v>
      </c>
      <c r="BG296" s="1989" t="e">
        <f>#REF!/10^7</f>
        <v>#REF!</v>
      </c>
      <c r="BH296" s="2003">
        <f t="shared" si="573"/>
        <v>0</v>
      </c>
      <c r="BI296" s="1989" t="e">
        <f>#REF!/10^7</f>
        <v>#REF!</v>
      </c>
      <c r="BJ296" s="1989" t="e">
        <f>#REF!/10^7</f>
        <v>#REF!</v>
      </c>
      <c r="BK296" s="2002" t="e">
        <f t="shared" si="574"/>
        <v>#REF!</v>
      </c>
      <c r="BL296" s="1999" t="e">
        <f t="shared" si="674"/>
        <v>#REF!</v>
      </c>
      <c r="BM296" s="1993" t="e">
        <f>#REF!</f>
        <v>#REF!</v>
      </c>
      <c r="BN296" s="2003">
        <f t="shared" si="575"/>
        <v>0</v>
      </c>
      <c r="BO296" s="1989" t="e">
        <f>#REF!/10^7</f>
        <v>#REF!</v>
      </c>
      <c r="BP296" s="2003">
        <f t="shared" si="576"/>
        <v>0</v>
      </c>
      <c r="BQ296" s="1989" t="e">
        <f>#REF!/10^7</f>
        <v>#REF!</v>
      </c>
      <c r="BR296" s="2003">
        <f t="shared" si="577"/>
        <v>0</v>
      </c>
      <c r="BS296" s="1989" t="e">
        <f>#REF!/10^7</f>
        <v>#REF!</v>
      </c>
      <c r="BT296" s="1989" t="e">
        <f>#REF!/10^7</f>
        <v>#REF!</v>
      </c>
      <c r="BU296" s="2002" t="e">
        <f t="shared" si="578"/>
        <v>#REF!</v>
      </c>
      <c r="BV296" s="1999" t="e">
        <f t="shared" si="675"/>
        <v>#REF!</v>
      </c>
      <c r="BW296" s="1993" t="e">
        <f>#REF!</f>
        <v>#REF!</v>
      </c>
      <c r="BX296" s="2003">
        <f t="shared" si="579"/>
        <v>0</v>
      </c>
      <c r="BY296" s="1989" t="e">
        <f>#REF!/10^7</f>
        <v>#REF!</v>
      </c>
      <c r="BZ296" s="2003">
        <f t="shared" si="580"/>
        <v>0</v>
      </c>
      <c r="CA296" s="1989" t="e">
        <f>#REF!/10^7</f>
        <v>#REF!</v>
      </c>
      <c r="CB296" s="2003">
        <f t="shared" si="581"/>
        <v>0</v>
      </c>
      <c r="CC296" s="1989" t="e">
        <f>#REF!/10^7</f>
        <v>#REF!</v>
      </c>
      <c r="CD296" s="1989" t="e">
        <f>#REF!/10^7</f>
        <v>#REF!</v>
      </c>
      <c r="CE296" s="2002" t="e">
        <f t="shared" si="582"/>
        <v>#REF!</v>
      </c>
      <c r="CF296" s="1999" t="e">
        <f t="shared" si="676"/>
        <v>#REF!</v>
      </c>
      <c r="CG296" s="1993" t="e">
        <f>#REF!</f>
        <v>#REF!</v>
      </c>
      <c r="CH296" s="2003">
        <f t="shared" si="583"/>
        <v>0</v>
      </c>
      <c r="CI296" s="1989" t="e">
        <f>#REF!/10^7</f>
        <v>#REF!</v>
      </c>
      <c r="CJ296" s="2003">
        <f t="shared" si="584"/>
        <v>0</v>
      </c>
      <c r="CK296" s="1989" t="e">
        <f>#REF!/10^7</f>
        <v>#REF!</v>
      </c>
      <c r="CL296" s="2003">
        <f t="shared" si="585"/>
        <v>0</v>
      </c>
      <c r="CM296" s="1989" t="e">
        <f>#REF!/10^7</f>
        <v>#REF!</v>
      </c>
      <c r="CN296" s="1989" t="e">
        <f>#REF!/10^7</f>
        <v>#REF!</v>
      </c>
      <c r="CO296" s="2002" t="e">
        <f t="shared" si="586"/>
        <v>#REF!</v>
      </c>
      <c r="CP296" s="1999" t="e">
        <f t="shared" si="677"/>
        <v>#REF!</v>
      </c>
      <c r="CQ296" s="1993" t="e">
        <f>#REF!</f>
        <v>#REF!</v>
      </c>
      <c r="CR296" s="2003">
        <f t="shared" si="587"/>
        <v>0</v>
      </c>
      <c r="CS296" s="1989" t="e">
        <f>#REF!/10^7</f>
        <v>#REF!</v>
      </c>
      <c r="CT296" s="2003">
        <f t="shared" si="588"/>
        <v>0</v>
      </c>
      <c r="CU296" s="1989" t="e">
        <f>#REF!/10^7</f>
        <v>#REF!</v>
      </c>
      <c r="CV296" s="2003">
        <f t="shared" si="589"/>
        <v>0</v>
      </c>
      <c r="CW296" s="1989" t="e">
        <f>#REF!/10^7</f>
        <v>#REF!</v>
      </c>
      <c r="CX296" s="1989" t="e">
        <f>#REF!/10^7</f>
        <v>#REF!</v>
      </c>
      <c r="CY296" s="2002" t="e">
        <f t="shared" si="590"/>
        <v>#REF!</v>
      </c>
      <c r="CZ296" s="1999" t="e">
        <f t="shared" si="678"/>
        <v>#REF!</v>
      </c>
      <c r="DA296" s="1993" t="e">
        <f>#REF!</f>
        <v>#REF!</v>
      </c>
      <c r="DB296" s="2003">
        <f t="shared" si="591"/>
        <v>0</v>
      </c>
      <c r="DC296" s="1989" t="e">
        <f>#REF!/10^7</f>
        <v>#REF!</v>
      </c>
      <c r="DD296" s="2003">
        <f t="shared" si="592"/>
        <v>0</v>
      </c>
      <c r="DE296" s="1989" t="e">
        <f>#REF!/10^7</f>
        <v>#REF!</v>
      </c>
      <c r="DF296" s="2003">
        <f t="shared" si="593"/>
        <v>0</v>
      </c>
      <c r="DG296" s="1989" t="e">
        <f>#REF!/10^7</f>
        <v>#REF!</v>
      </c>
      <c r="DH296" s="1989" t="e">
        <f>#REF!/10^7</f>
        <v>#REF!</v>
      </c>
      <c r="DI296" s="2002" t="e">
        <f t="shared" si="594"/>
        <v>#REF!</v>
      </c>
      <c r="DJ296" s="1999" t="e">
        <f t="shared" si="679"/>
        <v>#REF!</v>
      </c>
      <c r="DK296" s="1993" t="e">
        <f>#REF!</f>
        <v>#REF!</v>
      </c>
      <c r="DL296" s="2003">
        <f t="shared" si="595"/>
        <v>0</v>
      </c>
      <c r="DM296" s="1989" t="e">
        <f>#REF!/10^7</f>
        <v>#REF!</v>
      </c>
      <c r="DN296" s="2003">
        <f t="shared" si="596"/>
        <v>0</v>
      </c>
      <c r="DO296" s="1989" t="e">
        <f>#REF!/10^7</f>
        <v>#REF!</v>
      </c>
      <c r="DP296" s="2003">
        <f t="shared" si="597"/>
        <v>0</v>
      </c>
      <c r="DQ296" s="1989" t="e">
        <f>#REF!/10^7</f>
        <v>#REF!</v>
      </c>
      <c r="DR296" s="1989" t="e">
        <f>#REF!/10^7</f>
        <v>#REF!</v>
      </c>
      <c r="DS296" s="2002" t="e">
        <f t="shared" si="598"/>
        <v>#REF!</v>
      </c>
      <c r="DT296" s="2004" t="e">
        <f t="shared" si="680"/>
        <v>#REF!</v>
      </c>
      <c r="DU296" s="1988" t="e">
        <f>#REF!</f>
        <v>#REF!</v>
      </c>
      <c r="DV296" s="2003">
        <f t="shared" si="599"/>
        <v>0</v>
      </c>
      <c r="DW296" s="1989" t="e">
        <f>#REF!/10^7</f>
        <v>#REF!</v>
      </c>
      <c r="DX296" s="2003">
        <f t="shared" si="600"/>
        <v>0</v>
      </c>
      <c r="DY296" s="1989" t="e">
        <f>#REF!/10^7</f>
        <v>#REF!</v>
      </c>
      <c r="DZ296" s="2003">
        <f t="shared" si="601"/>
        <v>0</v>
      </c>
      <c r="EA296" s="1989" t="e">
        <f>#REF!/10^7</f>
        <v>#REF!</v>
      </c>
      <c r="EB296" s="1989" t="e">
        <f>#REF!/10^7</f>
        <v>#REF!</v>
      </c>
      <c r="EC296" s="2002" t="e">
        <f t="shared" si="602"/>
        <v>#REF!</v>
      </c>
      <c r="ED296" s="1998" t="e">
        <f t="shared" si="681"/>
        <v>#REF!</v>
      </c>
      <c r="EE296" s="2005" t="e">
        <f t="shared" si="682"/>
        <v>#REF!</v>
      </c>
      <c r="EF296" s="2003">
        <f t="shared" si="603"/>
        <v>0</v>
      </c>
      <c r="EG296" s="1989" t="e">
        <f t="shared" si="683"/>
        <v>#REF!</v>
      </c>
      <c r="EH296" s="2003">
        <f t="shared" si="604"/>
        <v>0</v>
      </c>
      <c r="EI296" s="1989" t="e">
        <f t="shared" si="684"/>
        <v>#REF!</v>
      </c>
      <c r="EJ296" s="2003">
        <f t="shared" si="605"/>
        <v>0</v>
      </c>
      <c r="EK296" s="1989" t="e">
        <f t="shared" si="685"/>
        <v>#REF!</v>
      </c>
      <c r="EL296" s="1989" t="e">
        <f t="shared" si="685"/>
        <v>#REF!</v>
      </c>
      <c r="EM296" s="2006" t="e">
        <f t="shared" si="606"/>
        <v>#REF!</v>
      </c>
      <c r="EN296" s="1999" t="e">
        <f t="shared" si="686"/>
        <v>#REF!</v>
      </c>
      <c r="EP296" s="1613" t="e">
        <f>EA296-#REF!/10^7</f>
        <v>#REF!</v>
      </c>
      <c r="EW296" s="1611" t="e">
        <v>#N/A</v>
      </c>
      <c r="EX296" s="1612" t="e">
        <v>#N/A</v>
      </c>
      <c r="EZ296" s="1650">
        <f t="shared" si="607"/>
        <v>0</v>
      </c>
    </row>
    <row r="297" spans="1:156" ht="21" customHeight="1">
      <c r="A297" s="1652">
        <v>7</v>
      </c>
      <c r="B297" s="1668" t="s">
        <v>1957</v>
      </c>
      <c r="C297" s="1662">
        <v>10</v>
      </c>
      <c r="D297" s="1646">
        <f t="shared" ref="D297:D305" si="687">H297/C297*100</f>
        <v>100</v>
      </c>
      <c r="E297" s="1646"/>
      <c r="F297" s="1648" t="s">
        <v>1594</v>
      </c>
      <c r="G297" s="1648"/>
      <c r="H297" s="1648">
        <v>10</v>
      </c>
      <c r="I297" s="1648" t="s">
        <v>1667</v>
      </c>
      <c r="J297" s="1649">
        <v>2</v>
      </c>
      <c r="K297" s="1648"/>
      <c r="L297" s="1648"/>
      <c r="M297" s="1648"/>
      <c r="N297" s="1642"/>
      <c r="O297" s="2000" t="e">
        <f>#REF!</f>
        <v>#REF!</v>
      </c>
      <c r="P297" s="2003">
        <f t="shared" si="555"/>
        <v>0</v>
      </c>
      <c r="Q297" s="1989" t="e">
        <f>#REF!/10^7</f>
        <v>#REF!</v>
      </c>
      <c r="R297" s="2003">
        <f t="shared" si="556"/>
        <v>0</v>
      </c>
      <c r="S297" s="1989" t="e">
        <f>#REF!/10^7</f>
        <v>#REF!</v>
      </c>
      <c r="T297" s="2003">
        <f t="shared" si="557"/>
        <v>0</v>
      </c>
      <c r="U297" s="1989" t="e">
        <f>#REF!/10^7</f>
        <v>#REF!</v>
      </c>
      <c r="V297" s="1989" t="e">
        <f>#REF!/10^7</f>
        <v>#REF!</v>
      </c>
      <c r="W297" s="1989">
        <f t="shared" si="558"/>
        <v>0</v>
      </c>
      <c r="X297" s="1999" t="e">
        <f t="shared" si="671"/>
        <v>#REF!</v>
      </c>
      <c r="Y297" s="1993" t="e">
        <f>#REF!</f>
        <v>#REF!</v>
      </c>
      <c r="Z297" s="2003">
        <f t="shared" si="559"/>
        <v>0</v>
      </c>
      <c r="AA297" s="1989" t="e">
        <f>#REF!/10^7</f>
        <v>#REF!</v>
      </c>
      <c r="AB297" s="2003">
        <f t="shared" si="560"/>
        <v>0</v>
      </c>
      <c r="AC297" s="1989" t="e">
        <f>#REF!/10^7</f>
        <v>#REF!</v>
      </c>
      <c r="AD297" s="2003">
        <f t="shared" si="561"/>
        <v>0</v>
      </c>
      <c r="AE297" s="1989" t="e">
        <f>#REF!/10^7</f>
        <v>#REF!</v>
      </c>
      <c r="AF297" s="1989" t="e">
        <f>#REF!/10^7</f>
        <v>#REF!</v>
      </c>
      <c r="AG297" s="2002" t="e">
        <f t="shared" si="562"/>
        <v>#REF!</v>
      </c>
      <c r="AH297" s="1999" t="e">
        <f t="shared" si="670"/>
        <v>#REF!</v>
      </c>
      <c r="AI297" s="1993" t="e">
        <f>#REF!</f>
        <v>#REF!</v>
      </c>
      <c r="AJ297" s="2003">
        <f t="shared" si="563"/>
        <v>0</v>
      </c>
      <c r="AK297" s="1989" t="e">
        <f>#REF!/10^7</f>
        <v>#REF!</v>
      </c>
      <c r="AL297" s="2003">
        <f t="shared" si="564"/>
        <v>0</v>
      </c>
      <c r="AM297" s="1989" t="e">
        <f>#REF!/10^7</f>
        <v>#REF!</v>
      </c>
      <c r="AN297" s="2003">
        <f t="shared" si="565"/>
        <v>0</v>
      </c>
      <c r="AO297" s="1989" t="e">
        <f>#REF!/10^7</f>
        <v>#REF!</v>
      </c>
      <c r="AP297" s="1989" t="e">
        <f>#REF!/10^7</f>
        <v>#REF!</v>
      </c>
      <c r="AQ297" s="2002" t="e">
        <f t="shared" si="566"/>
        <v>#REF!</v>
      </c>
      <c r="AR297" s="1999" t="e">
        <f t="shared" si="672"/>
        <v>#REF!</v>
      </c>
      <c r="AS297" s="1993" t="e">
        <f>#REF!</f>
        <v>#REF!</v>
      </c>
      <c r="AT297" s="2003">
        <f t="shared" si="567"/>
        <v>0</v>
      </c>
      <c r="AU297" s="1989" t="e">
        <f>#REF!/10^7</f>
        <v>#REF!</v>
      </c>
      <c r="AV297" s="2003">
        <f t="shared" si="568"/>
        <v>0</v>
      </c>
      <c r="AW297" s="1989" t="e">
        <f>#REF!/10^7</f>
        <v>#REF!</v>
      </c>
      <c r="AX297" s="2003">
        <f t="shared" si="569"/>
        <v>0</v>
      </c>
      <c r="AY297" s="1989" t="e">
        <f>#REF!/10^7</f>
        <v>#REF!</v>
      </c>
      <c r="AZ297" s="1989" t="e">
        <f>#REF!/10^7</f>
        <v>#REF!</v>
      </c>
      <c r="BA297" s="2002" t="e">
        <f t="shared" si="570"/>
        <v>#REF!</v>
      </c>
      <c r="BB297" s="1999" t="e">
        <f t="shared" si="673"/>
        <v>#REF!</v>
      </c>
      <c r="BC297" s="1993" t="e">
        <f>#REF!</f>
        <v>#REF!</v>
      </c>
      <c r="BD297" s="2003">
        <f t="shared" si="571"/>
        <v>0</v>
      </c>
      <c r="BE297" s="1989" t="e">
        <f>#REF!/10^7</f>
        <v>#REF!</v>
      </c>
      <c r="BF297" s="2003">
        <f t="shared" si="572"/>
        <v>0</v>
      </c>
      <c r="BG297" s="1989" t="e">
        <f>#REF!/10^7</f>
        <v>#REF!</v>
      </c>
      <c r="BH297" s="2003">
        <f t="shared" si="573"/>
        <v>0</v>
      </c>
      <c r="BI297" s="1989" t="e">
        <f>#REF!/10^7</f>
        <v>#REF!</v>
      </c>
      <c r="BJ297" s="1989" t="e">
        <f>#REF!/10^7</f>
        <v>#REF!</v>
      </c>
      <c r="BK297" s="2002" t="e">
        <f t="shared" si="574"/>
        <v>#REF!</v>
      </c>
      <c r="BL297" s="1999" t="e">
        <f t="shared" si="674"/>
        <v>#REF!</v>
      </c>
      <c r="BM297" s="1993" t="e">
        <f>#REF!</f>
        <v>#REF!</v>
      </c>
      <c r="BN297" s="2003">
        <f t="shared" si="575"/>
        <v>0</v>
      </c>
      <c r="BO297" s="1989" t="e">
        <f>#REF!/10^7</f>
        <v>#REF!</v>
      </c>
      <c r="BP297" s="2003">
        <f t="shared" si="576"/>
        <v>0</v>
      </c>
      <c r="BQ297" s="1989" t="e">
        <f>#REF!/10^7</f>
        <v>#REF!</v>
      </c>
      <c r="BR297" s="2003">
        <f t="shared" si="577"/>
        <v>0</v>
      </c>
      <c r="BS297" s="1989" t="e">
        <f>#REF!/10^7</f>
        <v>#REF!</v>
      </c>
      <c r="BT297" s="1989" t="e">
        <f>#REF!/10^7</f>
        <v>#REF!</v>
      </c>
      <c r="BU297" s="2002" t="e">
        <f t="shared" si="578"/>
        <v>#REF!</v>
      </c>
      <c r="BV297" s="1999" t="e">
        <f t="shared" si="675"/>
        <v>#REF!</v>
      </c>
      <c r="BW297" s="1993" t="e">
        <f>#REF!</f>
        <v>#REF!</v>
      </c>
      <c r="BX297" s="2003">
        <f t="shared" si="579"/>
        <v>0</v>
      </c>
      <c r="BY297" s="1989" t="e">
        <f>#REF!/10^7</f>
        <v>#REF!</v>
      </c>
      <c r="BZ297" s="2003">
        <f t="shared" si="580"/>
        <v>0</v>
      </c>
      <c r="CA297" s="1989" t="e">
        <f>#REF!/10^7</f>
        <v>#REF!</v>
      </c>
      <c r="CB297" s="2003">
        <f t="shared" si="581"/>
        <v>0</v>
      </c>
      <c r="CC297" s="1989" t="e">
        <f>#REF!/10^7</f>
        <v>#REF!</v>
      </c>
      <c r="CD297" s="1989" t="e">
        <f>#REF!/10^7</f>
        <v>#REF!</v>
      </c>
      <c r="CE297" s="2002" t="e">
        <f t="shared" si="582"/>
        <v>#REF!</v>
      </c>
      <c r="CF297" s="1999" t="e">
        <f t="shared" si="676"/>
        <v>#REF!</v>
      </c>
      <c r="CG297" s="1993" t="e">
        <f>#REF!</f>
        <v>#REF!</v>
      </c>
      <c r="CH297" s="2003">
        <f t="shared" si="583"/>
        <v>0</v>
      </c>
      <c r="CI297" s="1989" t="e">
        <f>#REF!/10^7</f>
        <v>#REF!</v>
      </c>
      <c r="CJ297" s="2003">
        <f t="shared" si="584"/>
        <v>0</v>
      </c>
      <c r="CK297" s="1989" t="e">
        <f>#REF!/10^7</f>
        <v>#REF!</v>
      </c>
      <c r="CL297" s="2003">
        <f t="shared" si="585"/>
        <v>0</v>
      </c>
      <c r="CM297" s="1989" t="e">
        <f>#REF!/10^7</f>
        <v>#REF!</v>
      </c>
      <c r="CN297" s="1989" t="e">
        <f>#REF!/10^7</f>
        <v>#REF!</v>
      </c>
      <c r="CO297" s="2002" t="e">
        <f t="shared" si="586"/>
        <v>#REF!</v>
      </c>
      <c r="CP297" s="1999" t="e">
        <f t="shared" si="677"/>
        <v>#REF!</v>
      </c>
      <c r="CQ297" s="1993" t="e">
        <f>#REF!</f>
        <v>#REF!</v>
      </c>
      <c r="CR297" s="2003">
        <f t="shared" si="587"/>
        <v>0</v>
      </c>
      <c r="CS297" s="1989" t="e">
        <f>#REF!/10^7</f>
        <v>#REF!</v>
      </c>
      <c r="CT297" s="2003">
        <f t="shared" si="588"/>
        <v>0</v>
      </c>
      <c r="CU297" s="1989" t="e">
        <f>#REF!/10^7</f>
        <v>#REF!</v>
      </c>
      <c r="CV297" s="2003">
        <f t="shared" si="589"/>
        <v>0</v>
      </c>
      <c r="CW297" s="1989" t="e">
        <f>#REF!/10^7</f>
        <v>#REF!</v>
      </c>
      <c r="CX297" s="1989" t="e">
        <f>#REF!/10^7</f>
        <v>#REF!</v>
      </c>
      <c r="CY297" s="2002" t="e">
        <f t="shared" si="590"/>
        <v>#REF!</v>
      </c>
      <c r="CZ297" s="1999" t="e">
        <f t="shared" si="678"/>
        <v>#REF!</v>
      </c>
      <c r="DA297" s="1993" t="e">
        <f>#REF!</f>
        <v>#REF!</v>
      </c>
      <c r="DB297" s="2003">
        <f t="shared" si="591"/>
        <v>0</v>
      </c>
      <c r="DC297" s="1989" t="e">
        <f>#REF!/10^7</f>
        <v>#REF!</v>
      </c>
      <c r="DD297" s="2003">
        <f t="shared" si="592"/>
        <v>0</v>
      </c>
      <c r="DE297" s="1989" t="e">
        <f>#REF!/10^7</f>
        <v>#REF!</v>
      </c>
      <c r="DF297" s="2003">
        <f t="shared" si="593"/>
        <v>0</v>
      </c>
      <c r="DG297" s="1989" t="e">
        <f>#REF!/10^7</f>
        <v>#REF!</v>
      </c>
      <c r="DH297" s="1989" t="e">
        <f>#REF!/10^7</f>
        <v>#REF!</v>
      </c>
      <c r="DI297" s="2002" t="e">
        <f t="shared" si="594"/>
        <v>#REF!</v>
      </c>
      <c r="DJ297" s="1999" t="e">
        <f t="shared" si="679"/>
        <v>#REF!</v>
      </c>
      <c r="DK297" s="1993" t="e">
        <f>#REF!</f>
        <v>#REF!</v>
      </c>
      <c r="DL297" s="2003">
        <f t="shared" si="595"/>
        <v>0</v>
      </c>
      <c r="DM297" s="1989" t="e">
        <f>#REF!/10^7</f>
        <v>#REF!</v>
      </c>
      <c r="DN297" s="2003">
        <f t="shared" si="596"/>
        <v>0</v>
      </c>
      <c r="DO297" s="1989" t="e">
        <f>#REF!/10^7</f>
        <v>#REF!</v>
      </c>
      <c r="DP297" s="2003">
        <f t="shared" si="597"/>
        <v>0</v>
      </c>
      <c r="DQ297" s="1989" t="e">
        <f>#REF!/10^7</f>
        <v>#REF!</v>
      </c>
      <c r="DR297" s="1989" t="e">
        <f>#REF!/10^7</f>
        <v>#REF!</v>
      </c>
      <c r="DS297" s="2002" t="e">
        <f t="shared" si="598"/>
        <v>#REF!</v>
      </c>
      <c r="DT297" s="2004" t="e">
        <f t="shared" si="680"/>
        <v>#REF!</v>
      </c>
      <c r="DU297" s="1988" t="e">
        <f>#REF!</f>
        <v>#REF!</v>
      </c>
      <c r="DV297" s="2003">
        <f t="shared" si="599"/>
        <v>0</v>
      </c>
      <c r="DW297" s="1989" t="e">
        <f>#REF!/10^7</f>
        <v>#REF!</v>
      </c>
      <c r="DX297" s="2003">
        <f t="shared" si="600"/>
        <v>0</v>
      </c>
      <c r="DY297" s="1989" t="e">
        <f>#REF!/10^7</f>
        <v>#REF!</v>
      </c>
      <c r="DZ297" s="2003">
        <f t="shared" si="601"/>
        <v>0</v>
      </c>
      <c r="EA297" s="1989" t="e">
        <f>#REF!/10^7</f>
        <v>#REF!</v>
      </c>
      <c r="EB297" s="1989" t="e">
        <f>#REF!/10^7</f>
        <v>#REF!</v>
      </c>
      <c r="EC297" s="2002" t="e">
        <f t="shared" si="602"/>
        <v>#REF!</v>
      </c>
      <c r="ED297" s="1998" t="e">
        <f t="shared" si="681"/>
        <v>#REF!</v>
      </c>
      <c r="EE297" s="2005" t="e">
        <f t="shared" si="682"/>
        <v>#REF!</v>
      </c>
      <c r="EF297" s="2003">
        <f t="shared" si="603"/>
        <v>0</v>
      </c>
      <c r="EG297" s="1989" t="e">
        <f t="shared" si="683"/>
        <v>#REF!</v>
      </c>
      <c r="EH297" s="2003">
        <f t="shared" si="604"/>
        <v>0</v>
      </c>
      <c r="EI297" s="1989" t="e">
        <f t="shared" si="684"/>
        <v>#REF!</v>
      </c>
      <c r="EJ297" s="2003">
        <f t="shared" si="605"/>
        <v>0</v>
      </c>
      <c r="EK297" s="1989" t="e">
        <f t="shared" si="685"/>
        <v>#REF!</v>
      </c>
      <c r="EL297" s="1989" t="e">
        <f t="shared" si="685"/>
        <v>#REF!</v>
      </c>
      <c r="EM297" s="2006" t="e">
        <f t="shared" si="606"/>
        <v>#REF!</v>
      </c>
      <c r="EN297" s="1999" t="e">
        <f t="shared" si="686"/>
        <v>#REF!</v>
      </c>
      <c r="EP297" s="1613" t="e">
        <f>EA297-#REF!/10^7</f>
        <v>#REF!</v>
      </c>
      <c r="EW297" s="1611" t="e">
        <v>#N/A</v>
      </c>
      <c r="EX297" s="1612" t="e">
        <v>#N/A</v>
      </c>
      <c r="EZ297" s="1650">
        <f t="shared" si="607"/>
        <v>0</v>
      </c>
    </row>
    <row r="298" spans="1:156" ht="21" customHeight="1">
      <c r="A298" s="1652">
        <v>8</v>
      </c>
      <c r="B298" s="1668" t="s">
        <v>1958</v>
      </c>
      <c r="C298" s="1662">
        <v>1</v>
      </c>
      <c r="D298" s="1646">
        <f t="shared" si="687"/>
        <v>100</v>
      </c>
      <c r="E298" s="1646"/>
      <c r="F298" s="1648" t="s">
        <v>1594</v>
      </c>
      <c r="G298" s="1648"/>
      <c r="H298" s="1648">
        <v>1</v>
      </c>
      <c r="I298" s="1648" t="s">
        <v>1667</v>
      </c>
      <c r="J298" s="1649">
        <v>2</v>
      </c>
      <c r="K298" s="1648"/>
      <c r="L298" s="1648"/>
      <c r="M298" s="1648"/>
      <c r="N298" s="1642"/>
      <c r="O298" s="2000" t="e">
        <f>#REF!</f>
        <v>#REF!</v>
      </c>
      <c r="P298" s="2003">
        <f t="shared" si="555"/>
        <v>0</v>
      </c>
      <c r="Q298" s="1989" t="e">
        <f>#REF!/10^7</f>
        <v>#REF!</v>
      </c>
      <c r="R298" s="2003">
        <f t="shared" si="556"/>
        <v>0</v>
      </c>
      <c r="S298" s="1989" t="e">
        <f>#REF!/10^7</f>
        <v>#REF!</v>
      </c>
      <c r="T298" s="2003">
        <f t="shared" si="557"/>
        <v>0</v>
      </c>
      <c r="U298" s="1989" t="e">
        <f>#REF!/10^7</f>
        <v>#REF!</v>
      </c>
      <c r="V298" s="1989" t="e">
        <f>#REF!/10^7</f>
        <v>#REF!</v>
      </c>
      <c r="W298" s="1989">
        <f t="shared" si="558"/>
        <v>0</v>
      </c>
      <c r="X298" s="1999" t="e">
        <f t="shared" si="671"/>
        <v>#REF!</v>
      </c>
      <c r="Y298" s="1993" t="e">
        <f>#REF!</f>
        <v>#REF!</v>
      </c>
      <c r="Z298" s="2003">
        <f t="shared" si="559"/>
        <v>0</v>
      </c>
      <c r="AA298" s="1989" t="e">
        <f>#REF!/10^7</f>
        <v>#REF!</v>
      </c>
      <c r="AB298" s="2003">
        <f t="shared" si="560"/>
        <v>0</v>
      </c>
      <c r="AC298" s="1989" t="e">
        <f>#REF!/10^7</f>
        <v>#REF!</v>
      </c>
      <c r="AD298" s="2003">
        <f t="shared" si="561"/>
        <v>0</v>
      </c>
      <c r="AE298" s="1989" t="e">
        <f>#REF!/10^7</f>
        <v>#REF!</v>
      </c>
      <c r="AF298" s="1989" t="e">
        <f>#REF!/10^7</f>
        <v>#REF!</v>
      </c>
      <c r="AG298" s="2002" t="e">
        <f t="shared" si="562"/>
        <v>#REF!</v>
      </c>
      <c r="AH298" s="1999" t="e">
        <f t="shared" si="670"/>
        <v>#REF!</v>
      </c>
      <c r="AI298" s="1993" t="e">
        <f>#REF!</f>
        <v>#REF!</v>
      </c>
      <c r="AJ298" s="2003">
        <f t="shared" si="563"/>
        <v>0</v>
      </c>
      <c r="AK298" s="1989" t="e">
        <f>#REF!/10^7</f>
        <v>#REF!</v>
      </c>
      <c r="AL298" s="2003">
        <f t="shared" si="564"/>
        <v>0</v>
      </c>
      <c r="AM298" s="1989" t="e">
        <f>#REF!/10^7</f>
        <v>#REF!</v>
      </c>
      <c r="AN298" s="2003">
        <f t="shared" si="565"/>
        <v>0</v>
      </c>
      <c r="AO298" s="1989" t="e">
        <f>#REF!/10^7</f>
        <v>#REF!</v>
      </c>
      <c r="AP298" s="1989" t="e">
        <f>#REF!/10^7</f>
        <v>#REF!</v>
      </c>
      <c r="AQ298" s="2002" t="e">
        <f t="shared" si="566"/>
        <v>#REF!</v>
      </c>
      <c r="AR298" s="1999" t="e">
        <f t="shared" si="672"/>
        <v>#REF!</v>
      </c>
      <c r="AS298" s="1993" t="e">
        <f>#REF!</f>
        <v>#REF!</v>
      </c>
      <c r="AT298" s="2003">
        <f t="shared" si="567"/>
        <v>0</v>
      </c>
      <c r="AU298" s="1989" t="e">
        <f>#REF!/10^7</f>
        <v>#REF!</v>
      </c>
      <c r="AV298" s="2003">
        <f t="shared" si="568"/>
        <v>0</v>
      </c>
      <c r="AW298" s="1989" t="e">
        <f>#REF!/10^7</f>
        <v>#REF!</v>
      </c>
      <c r="AX298" s="2003">
        <f t="shared" si="569"/>
        <v>0</v>
      </c>
      <c r="AY298" s="1989" t="e">
        <f>#REF!/10^7</f>
        <v>#REF!</v>
      </c>
      <c r="AZ298" s="1989" t="e">
        <f>#REF!/10^7</f>
        <v>#REF!</v>
      </c>
      <c r="BA298" s="2002" t="e">
        <f t="shared" si="570"/>
        <v>#REF!</v>
      </c>
      <c r="BB298" s="1999" t="e">
        <f t="shared" si="673"/>
        <v>#REF!</v>
      </c>
      <c r="BC298" s="1993" t="e">
        <f>#REF!</f>
        <v>#REF!</v>
      </c>
      <c r="BD298" s="2003">
        <f t="shared" si="571"/>
        <v>0</v>
      </c>
      <c r="BE298" s="1989" t="e">
        <f>#REF!/10^7</f>
        <v>#REF!</v>
      </c>
      <c r="BF298" s="2003">
        <f t="shared" si="572"/>
        <v>0</v>
      </c>
      <c r="BG298" s="1989" t="e">
        <f>#REF!/10^7</f>
        <v>#REF!</v>
      </c>
      <c r="BH298" s="2003">
        <f t="shared" si="573"/>
        <v>0</v>
      </c>
      <c r="BI298" s="1989" t="e">
        <f>#REF!/10^7</f>
        <v>#REF!</v>
      </c>
      <c r="BJ298" s="1989" t="e">
        <f>#REF!/10^7</f>
        <v>#REF!</v>
      </c>
      <c r="BK298" s="2002" t="e">
        <f t="shared" si="574"/>
        <v>#REF!</v>
      </c>
      <c r="BL298" s="1999" t="e">
        <f t="shared" si="674"/>
        <v>#REF!</v>
      </c>
      <c r="BM298" s="1993" t="e">
        <f>#REF!</f>
        <v>#REF!</v>
      </c>
      <c r="BN298" s="2003">
        <f t="shared" si="575"/>
        <v>0</v>
      </c>
      <c r="BO298" s="1989" t="e">
        <f>#REF!/10^7</f>
        <v>#REF!</v>
      </c>
      <c r="BP298" s="2003">
        <f t="shared" si="576"/>
        <v>0</v>
      </c>
      <c r="BQ298" s="1989" t="e">
        <f>#REF!/10^7</f>
        <v>#REF!</v>
      </c>
      <c r="BR298" s="2003">
        <f t="shared" si="577"/>
        <v>0</v>
      </c>
      <c r="BS298" s="1989" t="e">
        <f>#REF!/10^7</f>
        <v>#REF!</v>
      </c>
      <c r="BT298" s="1989" t="e">
        <f>#REF!/10^7</f>
        <v>#REF!</v>
      </c>
      <c r="BU298" s="2002" t="e">
        <f t="shared" si="578"/>
        <v>#REF!</v>
      </c>
      <c r="BV298" s="1999" t="e">
        <f t="shared" si="675"/>
        <v>#REF!</v>
      </c>
      <c r="BW298" s="1993" t="e">
        <f>#REF!</f>
        <v>#REF!</v>
      </c>
      <c r="BX298" s="2003">
        <f t="shared" si="579"/>
        <v>0</v>
      </c>
      <c r="BY298" s="1989" t="e">
        <f>#REF!/10^7</f>
        <v>#REF!</v>
      </c>
      <c r="BZ298" s="2003">
        <f t="shared" si="580"/>
        <v>0</v>
      </c>
      <c r="CA298" s="1989" t="e">
        <f>#REF!/10^7</f>
        <v>#REF!</v>
      </c>
      <c r="CB298" s="2003">
        <f t="shared" si="581"/>
        <v>0</v>
      </c>
      <c r="CC298" s="1989" t="e">
        <f>#REF!/10^7</f>
        <v>#REF!</v>
      </c>
      <c r="CD298" s="1989" t="e">
        <f>#REF!/10^7</f>
        <v>#REF!</v>
      </c>
      <c r="CE298" s="2002" t="e">
        <f t="shared" si="582"/>
        <v>#REF!</v>
      </c>
      <c r="CF298" s="1999" t="e">
        <f t="shared" si="676"/>
        <v>#REF!</v>
      </c>
      <c r="CG298" s="1993" t="e">
        <f>#REF!</f>
        <v>#REF!</v>
      </c>
      <c r="CH298" s="2003">
        <f t="shared" si="583"/>
        <v>0</v>
      </c>
      <c r="CI298" s="1989" t="e">
        <f>#REF!/10^7</f>
        <v>#REF!</v>
      </c>
      <c r="CJ298" s="2003">
        <f t="shared" si="584"/>
        <v>0</v>
      </c>
      <c r="CK298" s="1989" t="e">
        <f>#REF!/10^7</f>
        <v>#REF!</v>
      </c>
      <c r="CL298" s="2003">
        <f t="shared" si="585"/>
        <v>0</v>
      </c>
      <c r="CM298" s="1989" t="e">
        <f>#REF!/10^7</f>
        <v>#REF!</v>
      </c>
      <c r="CN298" s="1989" t="e">
        <f>#REF!/10^7</f>
        <v>#REF!</v>
      </c>
      <c r="CO298" s="2002" t="e">
        <f t="shared" si="586"/>
        <v>#REF!</v>
      </c>
      <c r="CP298" s="1999" t="e">
        <f t="shared" si="677"/>
        <v>#REF!</v>
      </c>
      <c r="CQ298" s="1993" t="e">
        <f>#REF!</f>
        <v>#REF!</v>
      </c>
      <c r="CR298" s="2003">
        <f t="shared" si="587"/>
        <v>0</v>
      </c>
      <c r="CS298" s="1989" t="e">
        <f>#REF!/10^7</f>
        <v>#REF!</v>
      </c>
      <c r="CT298" s="2003">
        <f t="shared" si="588"/>
        <v>0</v>
      </c>
      <c r="CU298" s="1989" t="e">
        <f>#REF!/10^7</f>
        <v>#REF!</v>
      </c>
      <c r="CV298" s="2003">
        <f t="shared" si="589"/>
        <v>0</v>
      </c>
      <c r="CW298" s="1989" t="e">
        <f>#REF!/10^7</f>
        <v>#REF!</v>
      </c>
      <c r="CX298" s="1989" t="e">
        <f>#REF!/10^7</f>
        <v>#REF!</v>
      </c>
      <c r="CY298" s="2002" t="e">
        <f t="shared" si="590"/>
        <v>#REF!</v>
      </c>
      <c r="CZ298" s="1999" t="e">
        <f t="shared" si="678"/>
        <v>#REF!</v>
      </c>
      <c r="DA298" s="1993" t="e">
        <f>#REF!</f>
        <v>#REF!</v>
      </c>
      <c r="DB298" s="2003">
        <f t="shared" si="591"/>
        <v>0</v>
      </c>
      <c r="DC298" s="1989" t="e">
        <f>#REF!/10^7</f>
        <v>#REF!</v>
      </c>
      <c r="DD298" s="2003">
        <f t="shared" si="592"/>
        <v>0</v>
      </c>
      <c r="DE298" s="1989" t="e">
        <f>#REF!/10^7</f>
        <v>#REF!</v>
      </c>
      <c r="DF298" s="2003">
        <f t="shared" si="593"/>
        <v>0</v>
      </c>
      <c r="DG298" s="1989" t="e">
        <f>#REF!/10^7</f>
        <v>#REF!</v>
      </c>
      <c r="DH298" s="1989" t="e">
        <f>#REF!/10^7</f>
        <v>#REF!</v>
      </c>
      <c r="DI298" s="2002" t="e">
        <f t="shared" si="594"/>
        <v>#REF!</v>
      </c>
      <c r="DJ298" s="1999" t="e">
        <f t="shared" si="679"/>
        <v>#REF!</v>
      </c>
      <c r="DK298" s="1993" t="e">
        <f>#REF!</f>
        <v>#REF!</v>
      </c>
      <c r="DL298" s="2003">
        <f t="shared" si="595"/>
        <v>0</v>
      </c>
      <c r="DM298" s="1989" t="e">
        <f>#REF!/10^7</f>
        <v>#REF!</v>
      </c>
      <c r="DN298" s="2003">
        <f t="shared" si="596"/>
        <v>0</v>
      </c>
      <c r="DO298" s="1989" t="e">
        <f>#REF!/10^7</f>
        <v>#REF!</v>
      </c>
      <c r="DP298" s="2003">
        <f t="shared" si="597"/>
        <v>0</v>
      </c>
      <c r="DQ298" s="1989" t="e">
        <f>#REF!/10^7</f>
        <v>#REF!</v>
      </c>
      <c r="DR298" s="1989" t="e">
        <f>#REF!/10^7</f>
        <v>#REF!</v>
      </c>
      <c r="DS298" s="2002" t="e">
        <f t="shared" si="598"/>
        <v>#REF!</v>
      </c>
      <c r="DT298" s="2004" t="e">
        <f t="shared" si="680"/>
        <v>#REF!</v>
      </c>
      <c r="DU298" s="1988" t="e">
        <f>#REF!</f>
        <v>#REF!</v>
      </c>
      <c r="DV298" s="2003">
        <f t="shared" si="599"/>
        <v>0</v>
      </c>
      <c r="DW298" s="1989" t="e">
        <f>#REF!/10^7</f>
        <v>#REF!</v>
      </c>
      <c r="DX298" s="2003">
        <f t="shared" si="600"/>
        <v>0</v>
      </c>
      <c r="DY298" s="1989" t="e">
        <f>#REF!/10^7</f>
        <v>#REF!</v>
      </c>
      <c r="DZ298" s="2003">
        <f t="shared" si="601"/>
        <v>0</v>
      </c>
      <c r="EA298" s="1989" t="e">
        <f>#REF!/10^7</f>
        <v>#REF!</v>
      </c>
      <c r="EB298" s="1989" t="e">
        <f>#REF!/10^7</f>
        <v>#REF!</v>
      </c>
      <c r="EC298" s="2002" t="e">
        <f t="shared" si="602"/>
        <v>#REF!</v>
      </c>
      <c r="ED298" s="1998" t="e">
        <f t="shared" si="681"/>
        <v>#REF!</v>
      </c>
      <c r="EE298" s="2005" t="e">
        <f t="shared" si="682"/>
        <v>#REF!</v>
      </c>
      <c r="EF298" s="2003">
        <f t="shared" si="603"/>
        <v>0</v>
      </c>
      <c r="EG298" s="1989" t="e">
        <f t="shared" si="683"/>
        <v>#REF!</v>
      </c>
      <c r="EH298" s="2003">
        <f t="shared" si="604"/>
        <v>0</v>
      </c>
      <c r="EI298" s="1989" t="e">
        <f t="shared" si="684"/>
        <v>#REF!</v>
      </c>
      <c r="EJ298" s="2003">
        <f t="shared" si="605"/>
        <v>0</v>
      </c>
      <c r="EK298" s="1989" t="e">
        <f t="shared" si="685"/>
        <v>#REF!</v>
      </c>
      <c r="EL298" s="1989" t="e">
        <f t="shared" si="685"/>
        <v>#REF!</v>
      </c>
      <c r="EM298" s="2006" t="e">
        <f t="shared" si="606"/>
        <v>#REF!</v>
      </c>
      <c r="EN298" s="1999" t="e">
        <f t="shared" si="686"/>
        <v>#REF!</v>
      </c>
      <c r="EP298" s="1613" t="e">
        <f>EA298-#REF!/10^7</f>
        <v>#REF!</v>
      </c>
      <c r="EW298" s="1611" t="e">
        <v>#N/A</v>
      </c>
      <c r="EX298" s="1612" t="e">
        <v>#N/A</v>
      </c>
      <c r="EZ298" s="1650">
        <f t="shared" si="607"/>
        <v>0</v>
      </c>
    </row>
    <row r="299" spans="1:156" ht="21" customHeight="1">
      <c r="A299" s="1652">
        <v>9</v>
      </c>
      <c r="B299" s="1668" t="s">
        <v>1959</v>
      </c>
      <c r="C299" s="1662">
        <v>1</v>
      </c>
      <c r="D299" s="1646">
        <f t="shared" si="687"/>
        <v>100</v>
      </c>
      <c r="E299" s="1646"/>
      <c r="F299" s="1648" t="s">
        <v>1594</v>
      </c>
      <c r="G299" s="1648"/>
      <c r="H299" s="1648">
        <v>1</v>
      </c>
      <c r="I299" s="1648" t="s">
        <v>1667</v>
      </c>
      <c r="J299" s="1649">
        <v>2</v>
      </c>
      <c r="K299" s="1648"/>
      <c r="L299" s="1648"/>
      <c r="M299" s="1648"/>
      <c r="N299" s="1642"/>
      <c r="O299" s="2000" t="e">
        <f>#REF!</f>
        <v>#REF!</v>
      </c>
      <c r="P299" s="2003">
        <f t="shared" si="555"/>
        <v>0</v>
      </c>
      <c r="Q299" s="1989" t="e">
        <f>#REF!/10^7</f>
        <v>#REF!</v>
      </c>
      <c r="R299" s="2003">
        <f t="shared" si="556"/>
        <v>0</v>
      </c>
      <c r="S299" s="1989" t="e">
        <f>#REF!/10^7</f>
        <v>#REF!</v>
      </c>
      <c r="T299" s="2003">
        <f t="shared" si="557"/>
        <v>0</v>
      </c>
      <c r="U299" s="1989" t="e">
        <f>#REF!/10^7</f>
        <v>#REF!</v>
      </c>
      <c r="V299" s="1989" t="e">
        <f>#REF!/10^7</f>
        <v>#REF!</v>
      </c>
      <c r="W299" s="1989">
        <f t="shared" si="558"/>
        <v>0</v>
      </c>
      <c r="X299" s="1999" t="e">
        <f t="shared" si="671"/>
        <v>#REF!</v>
      </c>
      <c r="Y299" s="1993" t="e">
        <f>#REF!</f>
        <v>#REF!</v>
      </c>
      <c r="Z299" s="2003">
        <f t="shared" si="559"/>
        <v>0</v>
      </c>
      <c r="AA299" s="1989" t="e">
        <f>#REF!/10^7</f>
        <v>#REF!</v>
      </c>
      <c r="AB299" s="2003">
        <f t="shared" si="560"/>
        <v>0</v>
      </c>
      <c r="AC299" s="1989" t="e">
        <f>#REF!/10^7</f>
        <v>#REF!</v>
      </c>
      <c r="AD299" s="2003">
        <f t="shared" si="561"/>
        <v>0</v>
      </c>
      <c r="AE299" s="1989" t="e">
        <f>#REF!/10^7</f>
        <v>#REF!</v>
      </c>
      <c r="AF299" s="1989" t="e">
        <f>#REF!/10^7</f>
        <v>#REF!</v>
      </c>
      <c r="AG299" s="2002" t="e">
        <f t="shared" si="562"/>
        <v>#REF!</v>
      </c>
      <c r="AH299" s="1999" t="e">
        <f t="shared" si="670"/>
        <v>#REF!</v>
      </c>
      <c r="AI299" s="1993" t="e">
        <f>#REF!</f>
        <v>#REF!</v>
      </c>
      <c r="AJ299" s="2003">
        <f t="shared" si="563"/>
        <v>0</v>
      </c>
      <c r="AK299" s="1989" t="e">
        <f>#REF!/10^7</f>
        <v>#REF!</v>
      </c>
      <c r="AL299" s="2003">
        <f t="shared" si="564"/>
        <v>0</v>
      </c>
      <c r="AM299" s="1989" t="e">
        <f>#REF!/10^7</f>
        <v>#REF!</v>
      </c>
      <c r="AN299" s="2003">
        <f t="shared" si="565"/>
        <v>0</v>
      </c>
      <c r="AO299" s="1989" t="e">
        <f>#REF!/10^7</f>
        <v>#REF!</v>
      </c>
      <c r="AP299" s="1989" t="e">
        <f>#REF!/10^7</f>
        <v>#REF!</v>
      </c>
      <c r="AQ299" s="2002" t="e">
        <f t="shared" si="566"/>
        <v>#REF!</v>
      </c>
      <c r="AR299" s="1999" t="e">
        <f t="shared" si="672"/>
        <v>#REF!</v>
      </c>
      <c r="AS299" s="1993" t="e">
        <f>#REF!</f>
        <v>#REF!</v>
      </c>
      <c r="AT299" s="2003">
        <f t="shared" si="567"/>
        <v>0</v>
      </c>
      <c r="AU299" s="1989" t="e">
        <f>#REF!/10^7</f>
        <v>#REF!</v>
      </c>
      <c r="AV299" s="2003">
        <f t="shared" si="568"/>
        <v>0</v>
      </c>
      <c r="AW299" s="1989" t="e">
        <f>#REF!/10^7</f>
        <v>#REF!</v>
      </c>
      <c r="AX299" s="2003">
        <f t="shared" si="569"/>
        <v>0</v>
      </c>
      <c r="AY299" s="1989" t="e">
        <f>#REF!/10^7</f>
        <v>#REF!</v>
      </c>
      <c r="AZ299" s="1989" t="e">
        <f>#REF!/10^7</f>
        <v>#REF!</v>
      </c>
      <c r="BA299" s="2002" t="e">
        <f t="shared" si="570"/>
        <v>#REF!</v>
      </c>
      <c r="BB299" s="1999" t="e">
        <f t="shared" si="673"/>
        <v>#REF!</v>
      </c>
      <c r="BC299" s="1993" t="e">
        <f>#REF!</f>
        <v>#REF!</v>
      </c>
      <c r="BD299" s="2003">
        <f t="shared" si="571"/>
        <v>0</v>
      </c>
      <c r="BE299" s="1989" t="e">
        <f>#REF!/10^7</f>
        <v>#REF!</v>
      </c>
      <c r="BF299" s="2003">
        <f t="shared" si="572"/>
        <v>0</v>
      </c>
      <c r="BG299" s="1989" t="e">
        <f>#REF!/10^7</f>
        <v>#REF!</v>
      </c>
      <c r="BH299" s="2003">
        <f t="shared" si="573"/>
        <v>0</v>
      </c>
      <c r="BI299" s="1989" t="e">
        <f>#REF!/10^7</f>
        <v>#REF!</v>
      </c>
      <c r="BJ299" s="1989" t="e">
        <f>#REF!/10^7</f>
        <v>#REF!</v>
      </c>
      <c r="BK299" s="2002" t="e">
        <f t="shared" si="574"/>
        <v>#REF!</v>
      </c>
      <c r="BL299" s="1999" t="e">
        <f t="shared" si="674"/>
        <v>#REF!</v>
      </c>
      <c r="BM299" s="1993" t="e">
        <f>#REF!</f>
        <v>#REF!</v>
      </c>
      <c r="BN299" s="2003">
        <f t="shared" si="575"/>
        <v>0</v>
      </c>
      <c r="BO299" s="1989" t="e">
        <f>#REF!/10^7</f>
        <v>#REF!</v>
      </c>
      <c r="BP299" s="2003">
        <f t="shared" si="576"/>
        <v>0</v>
      </c>
      <c r="BQ299" s="1989" t="e">
        <f>#REF!/10^7</f>
        <v>#REF!</v>
      </c>
      <c r="BR299" s="2003">
        <f t="shared" si="577"/>
        <v>0</v>
      </c>
      <c r="BS299" s="1989" t="e">
        <f>#REF!/10^7</f>
        <v>#REF!</v>
      </c>
      <c r="BT299" s="1989" t="e">
        <f>#REF!/10^7</f>
        <v>#REF!</v>
      </c>
      <c r="BU299" s="2002" t="e">
        <f t="shared" si="578"/>
        <v>#REF!</v>
      </c>
      <c r="BV299" s="1999" t="e">
        <f t="shared" si="675"/>
        <v>#REF!</v>
      </c>
      <c r="BW299" s="1993" t="e">
        <f>#REF!</f>
        <v>#REF!</v>
      </c>
      <c r="BX299" s="2003">
        <f t="shared" si="579"/>
        <v>0</v>
      </c>
      <c r="BY299" s="1989" t="e">
        <f>#REF!/10^7</f>
        <v>#REF!</v>
      </c>
      <c r="BZ299" s="2003">
        <f t="shared" si="580"/>
        <v>0</v>
      </c>
      <c r="CA299" s="1989" t="e">
        <f>#REF!/10^7</f>
        <v>#REF!</v>
      </c>
      <c r="CB299" s="2003">
        <f t="shared" si="581"/>
        <v>0</v>
      </c>
      <c r="CC299" s="1989" t="e">
        <f>#REF!/10^7</f>
        <v>#REF!</v>
      </c>
      <c r="CD299" s="1989" t="e">
        <f>#REF!/10^7</f>
        <v>#REF!</v>
      </c>
      <c r="CE299" s="2002" t="e">
        <f t="shared" si="582"/>
        <v>#REF!</v>
      </c>
      <c r="CF299" s="1999" t="e">
        <f t="shared" si="676"/>
        <v>#REF!</v>
      </c>
      <c r="CG299" s="1993" t="e">
        <f>#REF!</f>
        <v>#REF!</v>
      </c>
      <c r="CH299" s="2003">
        <f t="shared" si="583"/>
        <v>0</v>
      </c>
      <c r="CI299" s="1989" t="e">
        <f>#REF!/10^7</f>
        <v>#REF!</v>
      </c>
      <c r="CJ299" s="2003">
        <f t="shared" si="584"/>
        <v>0</v>
      </c>
      <c r="CK299" s="1989" t="e">
        <f>#REF!/10^7</f>
        <v>#REF!</v>
      </c>
      <c r="CL299" s="2003">
        <f t="shared" si="585"/>
        <v>0</v>
      </c>
      <c r="CM299" s="1989" t="e">
        <f>#REF!/10^7</f>
        <v>#REF!</v>
      </c>
      <c r="CN299" s="1989" t="e">
        <f>#REF!/10^7</f>
        <v>#REF!</v>
      </c>
      <c r="CO299" s="2002" t="e">
        <f t="shared" si="586"/>
        <v>#REF!</v>
      </c>
      <c r="CP299" s="1999" t="e">
        <f t="shared" si="677"/>
        <v>#REF!</v>
      </c>
      <c r="CQ299" s="1993" t="e">
        <f>#REF!</f>
        <v>#REF!</v>
      </c>
      <c r="CR299" s="2003">
        <f t="shared" si="587"/>
        <v>0</v>
      </c>
      <c r="CS299" s="1989" t="e">
        <f>#REF!/10^7</f>
        <v>#REF!</v>
      </c>
      <c r="CT299" s="2003">
        <f t="shared" si="588"/>
        <v>0</v>
      </c>
      <c r="CU299" s="1989" t="e">
        <f>#REF!/10^7</f>
        <v>#REF!</v>
      </c>
      <c r="CV299" s="2003">
        <f t="shared" si="589"/>
        <v>0</v>
      </c>
      <c r="CW299" s="1989" t="e">
        <f>#REF!/10^7</f>
        <v>#REF!</v>
      </c>
      <c r="CX299" s="1989" t="e">
        <f>#REF!/10^7</f>
        <v>#REF!</v>
      </c>
      <c r="CY299" s="2002" t="e">
        <f t="shared" si="590"/>
        <v>#REF!</v>
      </c>
      <c r="CZ299" s="1999" t="e">
        <f t="shared" si="678"/>
        <v>#REF!</v>
      </c>
      <c r="DA299" s="1993" t="e">
        <f>#REF!</f>
        <v>#REF!</v>
      </c>
      <c r="DB299" s="2003">
        <f t="shared" si="591"/>
        <v>0</v>
      </c>
      <c r="DC299" s="1989" t="e">
        <f>#REF!/10^7</f>
        <v>#REF!</v>
      </c>
      <c r="DD299" s="2003">
        <f t="shared" si="592"/>
        <v>0</v>
      </c>
      <c r="DE299" s="1989" t="e">
        <f>#REF!/10^7</f>
        <v>#REF!</v>
      </c>
      <c r="DF299" s="2003">
        <f t="shared" si="593"/>
        <v>0</v>
      </c>
      <c r="DG299" s="1989" t="e">
        <f>#REF!/10^7</f>
        <v>#REF!</v>
      </c>
      <c r="DH299" s="1989" t="e">
        <f>#REF!/10^7</f>
        <v>#REF!</v>
      </c>
      <c r="DI299" s="2002" t="e">
        <f t="shared" si="594"/>
        <v>#REF!</v>
      </c>
      <c r="DJ299" s="1999" t="e">
        <f t="shared" si="679"/>
        <v>#REF!</v>
      </c>
      <c r="DK299" s="1993" t="e">
        <f>#REF!</f>
        <v>#REF!</v>
      </c>
      <c r="DL299" s="2003">
        <f t="shared" si="595"/>
        <v>0</v>
      </c>
      <c r="DM299" s="1989" t="e">
        <f>#REF!/10^7</f>
        <v>#REF!</v>
      </c>
      <c r="DN299" s="2003">
        <f t="shared" si="596"/>
        <v>0</v>
      </c>
      <c r="DO299" s="1989" t="e">
        <f>#REF!/10^7</f>
        <v>#REF!</v>
      </c>
      <c r="DP299" s="2003">
        <f t="shared" si="597"/>
        <v>0</v>
      </c>
      <c r="DQ299" s="1989" t="e">
        <f>#REF!/10^7</f>
        <v>#REF!</v>
      </c>
      <c r="DR299" s="1989" t="e">
        <f>#REF!/10^7</f>
        <v>#REF!</v>
      </c>
      <c r="DS299" s="2002" t="e">
        <f t="shared" si="598"/>
        <v>#REF!</v>
      </c>
      <c r="DT299" s="2004" t="e">
        <f t="shared" si="680"/>
        <v>#REF!</v>
      </c>
      <c r="DU299" s="1988" t="e">
        <f>#REF!</f>
        <v>#REF!</v>
      </c>
      <c r="DV299" s="2003">
        <f t="shared" si="599"/>
        <v>0</v>
      </c>
      <c r="DW299" s="1989" t="e">
        <f>#REF!/10^7</f>
        <v>#REF!</v>
      </c>
      <c r="DX299" s="2003">
        <f t="shared" si="600"/>
        <v>0</v>
      </c>
      <c r="DY299" s="1989" t="e">
        <f>#REF!/10^7</f>
        <v>#REF!</v>
      </c>
      <c r="DZ299" s="2003">
        <f t="shared" si="601"/>
        <v>0</v>
      </c>
      <c r="EA299" s="1989" t="e">
        <f>#REF!/10^7</f>
        <v>#REF!</v>
      </c>
      <c r="EB299" s="1989" t="e">
        <f>#REF!/10^7</f>
        <v>#REF!</v>
      </c>
      <c r="EC299" s="2002" t="e">
        <f t="shared" si="602"/>
        <v>#REF!</v>
      </c>
      <c r="ED299" s="1998" t="e">
        <f t="shared" si="681"/>
        <v>#REF!</v>
      </c>
      <c r="EE299" s="2005" t="e">
        <f t="shared" si="682"/>
        <v>#REF!</v>
      </c>
      <c r="EF299" s="2003">
        <f t="shared" si="603"/>
        <v>0</v>
      </c>
      <c r="EG299" s="1989" t="e">
        <f t="shared" si="683"/>
        <v>#REF!</v>
      </c>
      <c r="EH299" s="2003">
        <f t="shared" si="604"/>
        <v>0</v>
      </c>
      <c r="EI299" s="1989" t="e">
        <f t="shared" si="684"/>
        <v>#REF!</v>
      </c>
      <c r="EJ299" s="2003">
        <f t="shared" si="605"/>
        <v>0</v>
      </c>
      <c r="EK299" s="1989" t="e">
        <f t="shared" si="685"/>
        <v>#REF!</v>
      </c>
      <c r="EL299" s="1989" t="e">
        <f t="shared" si="685"/>
        <v>#REF!</v>
      </c>
      <c r="EM299" s="2006" t="e">
        <f t="shared" si="606"/>
        <v>#REF!</v>
      </c>
      <c r="EN299" s="1999" t="e">
        <f t="shared" si="686"/>
        <v>#REF!</v>
      </c>
      <c r="EP299" s="1613" t="e">
        <f>EA299-#REF!/10^7</f>
        <v>#REF!</v>
      </c>
      <c r="EW299" s="1611" t="e">
        <v>#N/A</v>
      </c>
      <c r="EX299" s="1612" t="e">
        <v>#N/A</v>
      </c>
      <c r="EZ299" s="1650">
        <f t="shared" si="607"/>
        <v>0</v>
      </c>
    </row>
    <row r="300" spans="1:156" ht="21" customHeight="1">
      <c r="A300" s="1652">
        <v>10</v>
      </c>
      <c r="B300" s="1668" t="s">
        <v>1960</v>
      </c>
      <c r="C300" s="1662">
        <v>50</v>
      </c>
      <c r="D300" s="1646">
        <f t="shared" si="687"/>
        <v>100</v>
      </c>
      <c r="E300" s="1646"/>
      <c r="F300" s="1648" t="s">
        <v>1594</v>
      </c>
      <c r="G300" s="1648"/>
      <c r="H300" s="1648">
        <v>50</v>
      </c>
      <c r="I300" s="1648" t="s">
        <v>1667</v>
      </c>
      <c r="J300" s="1649">
        <v>2</v>
      </c>
      <c r="K300" s="1648"/>
      <c r="L300" s="1648"/>
      <c r="M300" s="1648"/>
      <c r="N300" s="1642"/>
      <c r="O300" s="2000" t="e">
        <f>#REF!</f>
        <v>#REF!</v>
      </c>
      <c r="P300" s="2003">
        <f t="shared" si="555"/>
        <v>0</v>
      </c>
      <c r="Q300" s="1989" t="e">
        <f>#REF!/10^7</f>
        <v>#REF!</v>
      </c>
      <c r="R300" s="2003">
        <f t="shared" si="556"/>
        <v>0</v>
      </c>
      <c r="S300" s="1989" t="e">
        <f>#REF!/10^7</f>
        <v>#REF!</v>
      </c>
      <c r="T300" s="2003">
        <f t="shared" si="557"/>
        <v>0</v>
      </c>
      <c r="U300" s="1989" t="e">
        <f>#REF!/10^7</f>
        <v>#REF!</v>
      </c>
      <c r="V300" s="1989" t="e">
        <f>#REF!/10^7</f>
        <v>#REF!</v>
      </c>
      <c r="W300" s="1989">
        <f t="shared" si="558"/>
        <v>0</v>
      </c>
      <c r="X300" s="1999" t="e">
        <f t="shared" si="671"/>
        <v>#REF!</v>
      </c>
      <c r="Y300" s="1993" t="e">
        <f>#REF!</f>
        <v>#REF!</v>
      </c>
      <c r="Z300" s="2003">
        <f t="shared" si="559"/>
        <v>0</v>
      </c>
      <c r="AA300" s="1989" t="e">
        <f>#REF!/10^7</f>
        <v>#REF!</v>
      </c>
      <c r="AB300" s="2003">
        <f t="shared" si="560"/>
        <v>0</v>
      </c>
      <c r="AC300" s="1989" t="e">
        <f>#REF!/10^7</f>
        <v>#REF!</v>
      </c>
      <c r="AD300" s="2003">
        <f t="shared" si="561"/>
        <v>0</v>
      </c>
      <c r="AE300" s="1989" t="e">
        <f>#REF!/10^7</f>
        <v>#REF!</v>
      </c>
      <c r="AF300" s="1989" t="e">
        <f>#REF!/10^7</f>
        <v>#REF!</v>
      </c>
      <c r="AG300" s="2002" t="e">
        <f t="shared" si="562"/>
        <v>#REF!</v>
      </c>
      <c r="AH300" s="1999" t="e">
        <f t="shared" si="670"/>
        <v>#REF!</v>
      </c>
      <c r="AI300" s="1993" t="e">
        <f>#REF!</f>
        <v>#REF!</v>
      </c>
      <c r="AJ300" s="2003">
        <f t="shared" si="563"/>
        <v>0</v>
      </c>
      <c r="AK300" s="1989" t="e">
        <f>#REF!/10^7</f>
        <v>#REF!</v>
      </c>
      <c r="AL300" s="2003">
        <f t="shared" si="564"/>
        <v>0</v>
      </c>
      <c r="AM300" s="1989" t="e">
        <f>#REF!/10^7</f>
        <v>#REF!</v>
      </c>
      <c r="AN300" s="2003">
        <f t="shared" si="565"/>
        <v>0</v>
      </c>
      <c r="AO300" s="1989" t="e">
        <f>#REF!/10^7</f>
        <v>#REF!</v>
      </c>
      <c r="AP300" s="1989" t="e">
        <f>#REF!/10^7</f>
        <v>#REF!</v>
      </c>
      <c r="AQ300" s="2002" t="e">
        <f t="shared" si="566"/>
        <v>#REF!</v>
      </c>
      <c r="AR300" s="1999" t="e">
        <f t="shared" si="672"/>
        <v>#REF!</v>
      </c>
      <c r="AS300" s="1993" t="e">
        <f>#REF!</f>
        <v>#REF!</v>
      </c>
      <c r="AT300" s="2003">
        <f t="shared" si="567"/>
        <v>0</v>
      </c>
      <c r="AU300" s="1989" t="e">
        <f>#REF!/10^7</f>
        <v>#REF!</v>
      </c>
      <c r="AV300" s="2003">
        <f t="shared" si="568"/>
        <v>0</v>
      </c>
      <c r="AW300" s="1989" t="e">
        <f>#REF!/10^7</f>
        <v>#REF!</v>
      </c>
      <c r="AX300" s="2003">
        <f t="shared" si="569"/>
        <v>0</v>
      </c>
      <c r="AY300" s="1989" t="e">
        <f>#REF!/10^7</f>
        <v>#REF!</v>
      </c>
      <c r="AZ300" s="1989" t="e">
        <f>#REF!/10^7</f>
        <v>#REF!</v>
      </c>
      <c r="BA300" s="2002" t="e">
        <f t="shared" si="570"/>
        <v>#REF!</v>
      </c>
      <c r="BB300" s="1999" t="e">
        <f t="shared" si="673"/>
        <v>#REF!</v>
      </c>
      <c r="BC300" s="1993" t="e">
        <f>#REF!</f>
        <v>#REF!</v>
      </c>
      <c r="BD300" s="2003">
        <f t="shared" si="571"/>
        <v>0</v>
      </c>
      <c r="BE300" s="1989" t="e">
        <f>#REF!/10^7</f>
        <v>#REF!</v>
      </c>
      <c r="BF300" s="2003">
        <f t="shared" si="572"/>
        <v>0</v>
      </c>
      <c r="BG300" s="1989" t="e">
        <f>#REF!/10^7</f>
        <v>#REF!</v>
      </c>
      <c r="BH300" s="2003">
        <f t="shared" si="573"/>
        <v>0</v>
      </c>
      <c r="BI300" s="1989" t="e">
        <f>#REF!/10^7</f>
        <v>#REF!</v>
      </c>
      <c r="BJ300" s="1989" t="e">
        <f>#REF!/10^7</f>
        <v>#REF!</v>
      </c>
      <c r="BK300" s="2002" t="e">
        <f t="shared" si="574"/>
        <v>#REF!</v>
      </c>
      <c r="BL300" s="1999" t="e">
        <f t="shared" si="674"/>
        <v>#REF!</v>
      </c>
      <c r="BM300" s="1993" t="e">
        <f>#REF!</f>
        <v>#REF!</v>
      </c>
      <c r="BN300" s="2003">
        <f t="shared" si="575"/>
        <v>0</v>
      </c>
      <c r="BO300" s="1989" t="e">
        <f>#REF!/10^7</f>
        <v>#REF!</v>
      </c>
      <c r="BP300" s="2003">
        <f t="shared" si="576"/>
        <v>0</v>
      </c>
      <c r="BQ300" s="1989" t="e">
        <f>#REF!/10^7</f>
        <v>#REF!</v>
      </c>
      <c r="BR300" s="2003">
        <f t="shared" si="577"/>
        <v>0</v>
      </c>
      <c r="BS300" s="1989" t="e">
        <f>#REF!/10^7</f>
        <v>#REF!</v>
      </c>
      <c r="BT300" s="1989" t="e">
        <f>#REF!/10^7</f>
        <v>#REF!</v>
      </c>
      <c r="BU300" s="2002" t="e">
        <f t="shared" si="578"/>
        <v>#REF!</v>
      </c>
      <c r="BV300" s="1999" t="e">
        <f t="shared" si="675"/>
        <v>#REF!</v>
      </c>
      <c r="BW300" s="1993" t="e">
        <f>#REF!</f>
        <v>#REF!</v>
      </c>
      <c r="BX300" s="2003">
        <f t="shared" si="579"/>
        <v>0</v>
      </c>
      <c r="BY300" s="1989" t="e">
        <f>#REF!/10^7</f>
        <v>#REF!</v>
      </c>
      <c r="BZ300" s="2003">
        <f t="shared" si="580"/>
        <v>0</v>
      </c>
      <c r="CA300" s="1989" t="e">
        <f>#REF!/10^7</f>
        <v>#REF!</v>
      </c>
      <c r="CB300" s="2003">
        <f t="shared" si="581"/>
        <v>0</v>
      </c>
      <c r="CC300" s="1989" t="e">
        <f>#REF!/10^7</f>
        <v>#REF!</v>
      </c>
      <c r="CD300" s="1989" t="e">
        <f>#REF!/10^7</f>
        <v>#REF!</v>
      </c>
      <c r="CE300" s="2002" t="e">
        <f t="shared" si="582"/>
        <v>#REF!</v>
      </c>
      <c r="CF300" s="1999" t="e">
        <f t="shared" si="676"/>
        <v>#REF!</v>
      </c>
      <c r="CG300" s="1993" t="e">
        <f>#REF!</f>
        <v>#REF!</v>
      </c>
      <c r="CH300" s="2003">
        <f t="shared" si="583"/>
        <v>0</v>
      </c>
      <c r="CI300" s="1989" t="e">
        <f>#REF!/10^7</f>
        <v>#REF!</v>
      </c>
      <c r="CJ300" s="2003">
        <f t="shared" si="584"/>
        <v>0</v>
      </c>
      <c r="CK300" s="1989" t="e">
        <f>#REF!/10^7</f>
        <v>#REF!</v>
      </c>
      <c r="CL300" s="2003">
        <f t="shared" si="585"/>
        <v>0</v>
      </c>
      <c r="CM300" s="1989" t="e">
        <f>#REF!/10^7</f>
        <v>#REF!</v>
      </c>
      <c r="CN300" s="1989" t="e">
        <f>#REF!/10^7</f>
        <v>#REF!</v>
      </c>
      <c r="CO300" s="2002" t="e">
        <f t="shared" si="586"/>
        <v>#REF!</v>
      </c>
      <c r="CP300" s="1999" t="e">
        <f t="shared" si="677"/>
        <v>#REF!</v>
      </c>
      <c r="CQ300" s="1993" t="e">
        <f>#REF!</f>
        <v>#REF!</v>
      </c>
      <c r="CR300" s="2003">
        <f t="shared" si="587"/>
        <v>0</v>
      </c>
      <c r="CS300" s="1989" t="e">
        <f>#REF!/10^7</f>
        <v>#REF!</v>
      </c>
      <c r="CT300" s="2003">
        <f t="shared" si="588"/>
        <v>0</v>
      </c>
      <c r="CU300" s="1989" t="e">
        <f>#REF!/10^7</f>
        <v>#REF!</v>
      </c>
      <c r="CV300" s="2003">
        <f t="shared" si="589"/>
        <v>0</v>
      </c>
      <c r="CW300" s="1989" t="e">
        <f>#REF!/10^7</f>
        <v>#REF!</v>
      </c>
      <c r="CX300" s="1989" t="e">
        <f>#REF!/10^7</f>
        <v>#REF!</v>
      </c>
      <c r="CY300" s="2002" t="e">
        <f t="shared" si="590"/>
        <v>#REF!</v>
      </c>
      <c r="CZ300" s="1999" t="e">
        <f t="shared" si="678"/>
        <v>#REF!</v>
      </c>
      <c r="DA300" s="1993" t="e">
        <f>#REF!</f>
        <v>#REF!</v>
      </c>
      <c r="DB300" s="2003">
        <f t="shared" si="591"/>
        <v>0</v>
      </c>
      <c r="DC300" s="1989" t="e">
        <f>#REF!/10^7</f>
        <v>#REF!</v>
      </c>
      <c r="DD300" s="2003">
        <f t="shared" si="592"/>
        <v>0</v>
      </c>
      <c r="DE300" s="1989" t="e">
        <f>#REF!/10^7</f>
        <v>#REF!</v>
      </c>
      <c r="DF300" s="2003">
        <f t="shared" si="593"/>
        <v>0</v>
      </c>
      <c r="DG300" s="1989" t="e">
        <f>#REF!/10^7</f>
        <v>#REF!</v>
      </c>
      <c r="DH300" s="1989" t="e">
        <f>#REF!/10^7</f>
        <v>#REF!</v>
      </c>
      <c r="DI300" s="2002" t="e">
        <f t="shared" si="594"/>
        <v>#REF!</v>
      </c>
      <c r="DJ300" s="1999" t="e">
        <f t="shared" si="679"/>
        <v>#REF!</v>
      </c>
      <c r="DK300" s="1993" t="e">
        <f>#REF!</f>
        <v>#REF!</v>
      </c>
      <c r="DL300" s="2003">
        <f t="shared" si="595"/>
        <v>0</v>
      </c>
      <c r="DM300" s="1989" t="e">
        <f>#REF!/10^7</f>
        <v>#REF!</v>
      </c>
      <c r="DN300" s="2003">
        <f t="shared" si="596"/>
        <v>0</v>
      </c>
      <c r="DO300" s="1989" t="e">
        <f>#REF!/10^7</f>
        <v>#REF!</v>
      </c>
      <c r="DP300" s="2003">
        <f t="shared" si="597"/>
        <v>0</v>
      </c>
      <c r="DQ300" s="1989" t="e">
        <f>#REF!/10^7</f>
        <v>#REF!</v>
      </c>
      <c r="DR300" s="1989" t="e">
        <f>#REF!/10^7</f>
        <v>#REF!</v>
      </c>
      <c r="DS300" s="2002" t="e">
        <f t="shared" si="598"/>
        <v>#REF!</v>
      </c>
      <c r="DT300" s="2004" t="e">
        <f t="shared" si="680"/>
        <v>#REF!</v>
      </c>
      <c r="DU300" s="1988" t="e">
        <f>#REF!</f>
        <v>#REF!</v>
      </c>
      <c r="DV300" s="2003">
        <f t="shared" si="599"/>
        <v>0</v>
      </c>
      <c r="DW300" s="1989" t="e">
        <f>#REF!/10^7</f>
        <v>#REF!</v>
      </c>
      <c r="DX300" s="2003">
        <f t="shared" si="600"/>
        <v>0</v>
      </c>
      <c r="DY300" s="1989" t="e">
        <f>#REF!/10^7</f>
        <v>#REF!</v>
      </c>
      <c r="DZ300" s="2003">
        <f t="shared" si="601"/>
        <v>0</v>
      </c>
      <c r="EA300" s="1989" t="e">
        <f>#REF!/10^7</f>
        <v>#REF!</v>
      </c>
      <c r="EB300" s="1989" t="e">
        <f>#REF!/10^7</f>
        <v>#REF!</v>
      </c>
      <c r="EC300" s="2002" t="e">
        <f t="shared" si="602"/>
        <v>#REF!</v>
      </c>
      <c r="ED300" s="1998" t="e">
        <f t="shared" si="681"/>
        <v>#REF!</v>
      </c>
      <c r="EE300" s="2005" t="e">
        <f t="shared" si="682"/>
        <v>#REF!</v>
      </c>
      <c r="EF300" s="2003">
        <f t="shared" si="603"/>
        <v>0</v>
      </c>
      <c r="EG300" s="1989" t="e">
        <f t="shared" si="683"/>
        <v>#REF!</v>
      </c>
      <c r="EH300" s="2003">
        <f t="shared" si="604"/>
        <v>0</v>
      </c>
      <c r="EI300" s="1989" t="e">
        <f t="shared" si="684"/>
        <v>#REF!</v>
      </c>
      <c r="EJ300" s="2003">
        <f t="shared" si="605"/>
        <v>0</v>
      </c>
      <c r="EK300" s="1989" t="e">
        <f t="shared" si="685"/>
        <v>#REF!</v>
      </c>
      <c r="EL300" s="1989" t="e">
        <f t="shared" si="685"/>
        <v>#REF!</v>
      </c>
      <c r="EM300" s="2006" t="e">
        <f t="shared" si="606"/>
        <v>#REF!</v>
      </c>
      <c r="EN300" s="1999" t="e">
        <f t="shared" si="686"/>
        <v>#REF!</v>
      </c>
      <c r="EP300" s="1613" t="e">
        <f>EA300-#REF!/10^7</f>
        <v>#REF!</v>
      </c>
      <c r="EW300" s="1611" t="e">
        <v>#N/A</v>
      </c>
      <c r="EX300" s="1612" t="e">
        <v>#N/A</v>
      </c>
      <c r="EZ300" s="1650">
        <f t="shared" si="607"/>
        <v>0</v>
      </c>
    </row>
    <row r="301" spans="1:156" ht="21" customHeight="1">
      <c r="A301" s="1652">
        <v>11</v>
      </c>
      <c r="B301" s="1668" t="s">
        <v>1961</v>
      </c>
      <c r="C301" s="1662">
        <v>30</v>
      </c>
      <c r="D301" s="1646">
        <f t="shared" si="687"/>
        <v>100</v>
      </c>
      <c r="E301" s="1646"/>
      <c r="F301" s="1648" t="s">
        <v>1594</v>
      </c>
      <c r="G301" s="1648"/>
      <c r="H301" s="1648">
        <v>30</v>
      </c>
      <c r="I301" s="1648" t="s">
        <v>1667</v>
      </c>
      <c r="J301" s="1649">
        <v>2</v>
      </c>
      <c r="K301" s="1648"/>
      <c r="L301" s="1648"/>
      <c r="M301" s="1648"/>
      <c r="N301" s="1642"/>
      <c r="O301" s="2000" t="e">
        <f>#REF!</f>
        <v>#REF!</v>
      </c>
      <c r="P301" s="2003">
        <f t="shared" si="555"/>
        <v>0</v>
      </c>
      <c r="Q301" s="1989" t="e">
        <f>#REF!/10^7</f>
        <v>#REF!</v>
      </c>
      <c r="R301" s="2003">
        <f t="shared" si="556"/>
        <v>0</v>
      </c>
      <c r="S301" s="1989" t="e">
        <f>#REF!/10^7</f>
        <v>#REF!</v>
      </c>
      <c r="T301" s="2003">
        <f t="shared" si="557"/>
        <v>0</v>
      </c>
      <c r="U301" s="1989" t="e">
        <f>#REF!/10^7</f>
        <v>#REF!</v>
      </c>
      <c r="V301" s="1989" t="e">
        <f>#REF!/10^7</f>
        <v>#REF!</v>
      </c>
      <c r="W301" s="1989">
        <f t="shared" si="558"/>
        <v>0</v>
      </c>
      <c r="X301" s="1999" t="e">
        <f t="shared" si="671"/>
        <v>#REF!</v>
      </c>
      <c r="Y301" s="1993" t="e">
        <f>#REF!</f>
        <v>#REF!</v>
      </c>
      <c r="Z301" s="2003">
        <f t="shared" si="559"/>
        <v>0</v>
      </c>
      <c r="AA301" s="1989" t="e">
        <f>#REF!/10^7</f>
        <v>#REF!</v>
      </c>
      <c r="AB301" s="2003">
        <f t="shared" si="560"/>
        <v>0</v>
      </c>
      <c r="AC301" s="1989" t="e">
        <f>#REF!/10^7</f>
        <v>#REF!</v>
      </c>
      <c r="AD301" s="2003">
        <f t="shared" si="561"/>
        <v>0</v>
      </c>
      <c r="AE301" s="1989" t="e">
        <f>#REF!/10^7</f>
        <v>#REF!</v>
      </c>
      <c r="AF301" s="1989" t="e">
        <f>#REF!/10^7</f>
        <v>#REF!</v>
      </c>
      <c r="AG301" s="2002" t="e">
        <f t="shared" si="562"/>
        <v>#REF!</v>
      </c>
      <c r="AH301" s="1999" t="e">
        <f t="shared" si="670"/>
        <v>#REF!</v>
      </c>
      <c r="AI301" s="1993" t="e">
        <f>#REF!</f>
        <v>#REF!</v>
      </c>
      <c r="AJ301" s="2003">
        <f t="shared" si="563"/>
        <v>0</v>
      </c>
      <c r="AK301" s="1989" t="e">
        <f>#REF!/10^7</f>
        <v>#REF!</v>
      </c>
      <c r="AL301" s="2003">
        <f t="shared" si="564"/>
        <v>0</v>
      </c>
      <c r="AM301" s="1989" t="e">
        <f>#REF!/10^7</f>
        <v>#REF!</v>
      </c>
      <c r="AN301" s="2003">
        <f t="shared" si="565"/>
        <v>0</v>
      </c>
      <c r="AO301" s="1989" t="e">
        <f>#REF!/10^7</f>
        <v>#REF!</v>
      </c>
      <c r="AP301" s="1989" t="e">
        <f>#REF!/10^7</f>
        <v>#REF!</v>
      </c>
      <c r="AQ301" s="2002" t="e">
        <f t="shared" si="566"/>
        <v>#REF!</v>
      </c>
      <c r="AR301" s="1999" t="e">
        <f t="shared" si="672"/>
        <v>#REF!</v>
      </c>
      <c r="AS301" s="1993" t="e">
        <f>#REF!</f>
        <v>#REF!</v>
      </c>
      <c r="AT301" s="2003">
        <f t="shared" si="567"/>
        <v>0</v>
      </c>
      <c r="AU301" s="1989" t="e">
        <f>#REF!/10^7</f>
        <v>#REF!</v>
      </c>
      <c r="AV301" s="2003">
        <f t="shared" si="568"/>
        <v>0</v>
      </c>
      <c r="AW301" s="1989" t="e">
        <f>#REF!/10^7</f>
        <v>#REF!</v>
      </c>
      <c r="AX301" s="2003">
        <f t="shared" si="569"/>
        <v>0</v>
      </c>
      <c r="AY301" s="1989" t="e">
        <f>#REF!/10^7</f>
        <v>#REF!</v>
      </c>
      <c r="AZ301" s="1989" t="e">
        <f>#REF!/10^7</f>
        <v>#REF!</v>
      </c>
      <c r="BA301" s="2002" t="e">
        <f t="shared" si="570"/>
        <v>#REF!</v>
      </c>
      <c r="BB301" s="1999" t="e">
        <f t="shared" si="673"/>
        <v>#REF!</v>
      </c>
      <c r="BC301" s="1993" t="e">
        <f>#REF!</f>
        <v>#REF!</v>
      </c>
      <c r="BD301" s="2003">
        <f t="shared" si="571"/>
        <v>0</v>
      </c>
      <c r="BE301" s="1989" t="e">
        <f>#REF!/10^7</f>
        <v>#REF!</v>
      </c>
      <c r="BF301" s="2003">
        <f t="shared" si="572"/>
        <v>0</v>
      </c>
      <c r="BG301" s="1989" t="e">
        <f>#REF!/10^7</f>
        <v>#REF!</v>
      </c>
      <c r="BH301" s="2003">
        <f t="shared" si="573"/>
        <v>0</v>
      </c>
      <c r="BI301" s="1989" t="e">
        <f>#REF!/10^7</f>
        <v>#REF!</v>
      </c>
      <c r="BJ301" s="1989" t="e">
        <f>#REF!/10^7</f>
        <v>#REF!</v>
      </c>
      <c r="BK301" s="2002" t="e">
        <f t="shared" si="574"/>
        <v>#REF!</v>
      </c>
      <c r="BL301" s="1999" t="e">
        <f t="shared" si="674"/>
        <v>#REF!</v>
      </c>
      <c r="BM301" s="1993" t="e">
        <f>#REF!</f>
        <v>#REF!</v>
      </c>
      <c r="BN301" s="2003">
        <f t="shared" si="575"/>
        <v>0</v>
      </c>
      <c r="BO301" s="1989" t="e">
        <f>#REF!/10^7</f>
        <v>#REF!</v>
      </c>
      <c r="BP301" s="2003">
        <f t="shared" si="576"/>
        <v>0</v>
      </c>
      <c r="BQ301" s="1989" t="e">
        <f>#REF!/10^7</f>
        <v>#REF!</v>
      </c>
      <c r="BR301" s="2003">
        <f t="shared" si="577"/>
        <v>0</v>
      </c>
      <c r="BS301" s="1989" t="e">
        <f>#REF!/10^7</f>
        <v>#REF!</v>
      </c>
      <c r="BT301" s="1989" t="e">
        <f>#REF!/10^7</f>
        <v>#REF!</v>
      </c>
      <c r="BU301" s="2002" t="e">
        <f t="shared" si="578"/>
        <v>#REF!</v>
      </c>
      <c r="BV301" s="1999" t="e">
        <f t="shared" si="675"/>
        <v>#REF!</v>
      </c>
      <c r="BW301" s="1993" t="e">
        <f>#REF!</f>
        <v>#REF!</v>
      </c>
      <c r="BX301" s="2003">
        <f t="shared" si="579"/>
        <v>0</v>
      </c>
      <c r="BY301" s="1989" t="e">
        <f>#REF!/10^7</f>
        <v>#REF!</v>
      </c>
      <c r="BZ301" s="2003">
        <f t="shared" si="580"/>
        <v>0</v>
      </c>
      <c r="CA301" s="1989" t="e">
        <f>#REF!/10^7</f>
        <v>#REF!</v>
      </c>
      <c r="CB301" s="2003">
        <f t="shared" si="581"/>
        <v>0</v>
      </c>
      <c r="CC301" s="1989" t="e">
        <f>#REF!/10^7</f>
        <v>#REF!</v>
      </c>
      <c r="CD301" s="1989" t="e">
        <f>#REF!/10^7</f>
        <v>#REF!</v>
      </c>
      <c r="CE301" s="2002" t="e">
        <f t="shared" si="582"/>
        <v>#REF!</v>
      </c>
      <c r="CF301" s="1999" t="e">
        <f t="shared" si="676"/>
        <v>#REF!</v>
      </c>
      <c r="CG301" s="1993" t="e">
        <f>#REF!</f>
        <v>#REF!</v>
      </c>
      <c r="CH301" s="2003">
        <f t="shared" si="583"/>
        <v>0</v>
      </c>
      <c r="CI301" s="1989" t="e">
        <f>#REF!/10^7</f>
        <v>#REF!</v>
      </c>
      <c r="CJ301" s="2003">
        <f t="shared" si="584"/>
        <v>0</v>
      </c>
      <c r="CK301" s="1989" t="e">
        <f>#REF!/10^7</f>
        <v>#REF!</v>
      </c>
      <c r="CL301" s="2003">
        <f t="shared" si="585"/>
        <v>0</v>
      </c>
      <c r="CM301" s="1989" t="e">
        <f>#REF!/10^7</f>
        <v>#REF!</v>
      </c>
      <c r="CN301" s="1989" t="e">
        <f>#REF!/10^7</f>
        <v>#REF!</v>
      </c>
      <c r="CO301" s="2002" t="e">
        <f t="shared" si="586"/>
        <v>#REF!</v>
      </c>
      <c r="CP301" s="1999" t="e">
        <f t="shared" si="677"/>
        <v>#REF!</v>
      </c>
      <c r="CQ301" s="1993" t="e">
        <f>#REF!</f>
        <v>#REF!</v>
      </c>
      <c r="CR301" s="2003">
        <f t="shared" si="587"/>
        <v>0</v>
      </c>
      <c r="CS301" s="1989" t="e">
        <f>#REF!/10^7</f>
        <v>#REF!</v>
      </c>
      <c r="CT301" s="2003">
        <f t="shared" si="588"/>
        <v>0</v>
      </c>
      <c r="CU301" s="1989" t="e">
        <f>#REF!/10^7</f>
        <v>#REF!</v>
      </c>
      <c r="CV301" s="2003">
        <f t="shared" si="589"/>
        <v>0</v>
      </c>
      <c r="CW301" s="1989" t="e">
        <f>#REF!/10^7</f>
        <v>#REF!</v>
      </c>
      <c r="CX301" s="1989" t="e">
        <f>#REF!/10^7</f>
        <v>#REF!</v>
      </c>
      <c r="CY301" s="2002" t="e">
        <f t="shared" si="590"/>
        <v>#REF!</v>
      </c>
      <c r="CZ301" s="1999" t="e">
        <f t="shared" si="678"/>
        <v>#REF!</v>
      </c>
      <c r="DA301" s="1993" t="e">
        <f>#REF!</f>
        <v>#REF!</v>
      </c>
      <c r="DB301" s="2003">
        <f t="shared" si="591"/>
        <v>0</v>
      </c>
      <c r="DC301" s="1989" t="e">
        <f>#REF!/10^7</f>
        <v>#REF!</v>
      </c>
      <c r="DD301" s="2003">
        <f t="shared" si="592"/>
        <v>0</v>
      </c>
      <c r="DE301" s="1989" t="e">
        <f>#REF!/10^7</f>
        <v>#REF!</v>
      </c>
      <c r="DF301" s="2003">
        <f t="shared" si="593"/>
        <v>0</v>
      </c>
      <c r="DG301" s="1989" t="e">
        <f>#REF!/10^7</f>
        <v>#REF!</v>
      </c>
      <c r="DH301" s="1989" t="e">
        <f>#REF!/10^7</f>
        <v>#REF!</v>
      </c>
      <c r="DI301" s="2002" t="e">
        <f t="shared" si="594"/>
        <v>#REF!</v>
      </c>
      <c r="DJ301" s="1999" t="e">
        <f t="shared" si="679"/>
        <v>#REF!</v>
      </c>
      <c r="DK301" s="1993" t="e">
        <f>#REF!</f>
        <v>#REF!</v>
      </c>
      <c r="DL301" s="2003">
        <f t="shared" si="595"/>
        <v>0</v>
      </c>
      <c r="DM301" s="1989" t="e">
        <f>#REF!/10^7</f>
        <v>#REF!</v>
      </c>
      <c r="DN301" s="2003">
        <f t="shared" si="596"/>
        <v>0</v>
      </c>
      <c r="DO301" s="1989" t="e">
        <f>#REF!/10^7</f>
        <v>#REF!</v>
      </c>
      <c r="DP301" s="2003">
        <f t="shared" si="597"/>
        <v>0</v>
      </c>
      <c r="DQ301" s="1989" t="e">
        <f>#REF!/10^7</f>
        <v>#REF!</v>
      </c>
      <c r="DR301" s="1989" t="e">
        <f>#REF!/10^7</f>
        <v>#REF!</v>
      </c>
      <c r="DS301" s="2002" t="e">
        <f t="shared" si="598"/>
        <v>#REF!</v>
      </c>
      <c r="DT301" s="2004" t="e">
        <f t="shared" si="680"/>
        <v>#REF!</v>
      </c>
      <c r="DU301" s="1988" t="e">
        <f>#REF!</f>
        <v>#REF!</v>
      </c>
      <c r="DV301" s="2003">
        <f t="shared" si="599"/>
        <v>0</v>
      </c>
      <c r="DW301" s="1989" t="e">
        <f>#REF!/10^7</f>
        <v>#REF!</v>
      </c>
      <c r="DX301" s="2003">
        <f t="shared" si="600"/>
        <v>0</v>
      </c>
      <c r="DY301" s="1989" t="e">
        <f>#REF!/10^7</f>
        <v>#REF!</v>
      </c>
      <c r="DZ301" s="2003">
        <f t="shared" si="601"/>
        <v>0</v>
      </c>
      <c r="EA301" s="1989" t="e">
        <f>#REF!/10^7</f>
        <v>#REF!</v>
      </c>
      <c r="EB301" s="1989" t="e">
        <f>#REF!/10^7</f>
        <v>#REF!</v>
      </c>
      <c r="EC301" s="2002" t="e">
        <f t="shared" si="602"/>
        <v>#REF!</v>
      </c>
      <c r="ED301" s="1998" t="e">
        <f t="shared" si="681"/>
        <v>#REF!</v>
      </c>
      <c r="EE301" s="2005" t="e">
        <f t="shared" si="682"/>
        <v>#REF!</v>
      </c>
      <c r="EF301" s="2003">
        <f t="shared" si="603"/>
        <v>0</v>
      </c>
      <c r="EG301" s="1989" t="e">
        <f t="shared" si="683"/>
        <v>#REF!</v>
      </c>
      <c r="EH301" s="2003">
        <f t="shared" si="604"/>
        <v>0</v>
      </c>
      <c r="EI301" s="1989" t="e">
        <f t="shared" si="684"/>
        <v>#REF!</v>
      </c>
      <c r="EJ301" s="2003">
        <f t="shared" si="605"/>
        <v>0</v>
      </c>
      <c r="EK301" s="1989" t="e">
        <f t="shared" si="685"/>
        <v>#REF!</v>
      </c>
      <c r="EL301" s="1989" t="e">
        <f t="shared" si="685"/>
        <v>#REF!</v>
      </c>
      <c r="EM301" s="2006" t="e">
        <f t="shared" si="606"/>
        <v>#REF!</v>
      </c>
      <c r="EN301" s="1999" t="e">
        <f t="shared" si="686"/>
        <v>#REF!</v>
      </c>
      <c r="EP301" s="1613" t="e">
        <f>EA301-#REF!/10^7</f>
        <v>#REF!</v>
      </c>
      <c r="EW301" s="1611" t="e">
        <v>#N/A</v>
      </c>
      <c r="EX301" s="1612" t="e">
        <v>#N/A</v>
      </c>
      <c r="EZ301" s="1650">
        <f t="shared" si="607"/>
        <v>0</v>
      </c>
    </row>
    <row r="302" spans="1:156" ht="21" customHeight="1">
      <c r="A302" s="1652">
        <v>12</v>
      </c>
      <c r="B302" s="1668" t="s">
        <v>1962</v>
      </c>
      <c r="C302" s="1662">
        <v>10</v>
      </c>
      <c r="D302" s="1646">
        <f t="shared" si="687"/>
        <v>100</v>
      </c>
      <c r="E302" s="1646"/>
      <c r="F302" s="1648" t="s">
        <v>1594</v>
      </c>
      <c r="G302" s="1648"/>
      <c r="H302" s="1648">
        <v>10</v>
      </c>
      <c r="I302" s="1648" t="s">
        <v>1667</v>
      </c>
      <c r="J302" s="1649">
        <v>2</v>
      </c>
      <c r="K302" s="1648"/>
      <c r="L302" s="1648"/>
      <c r="M302" s="1648"/>
      <c r="N302" s="1642"/>
      <c r="O302" s="2000" t="e">
        <f>#REF!</f>
        <v>#REF!</v>
      </c>
      <c r="P302" s="2003">
        <f t="shared" si="555"/>
        <v>0</v>
      </c>
      <c r="Q302" s="1989" t="e">
        <f>#REF!/10^7</f>
        <v>#REF!</v>
      </c>
      <c r="R302" s="2003">
        <f t="shared" si="556"/>
        <v>0</v>
      </c>
      <c r="S302" s="1989" t="e">
        <f>#REF!/10^7</f>
        <v>#REF!</v>
      </c>
      <c r="T302" s="2003">
        <f t="shared" si="557"/>
        <v>0</v>
      </c>
      <c r="U302" s="1989" t="e">
        <f>#REF!/10^7</f>
        <v>#REF!</v>
      </c>
      <c r="V302" s="1989" t="e">
        <f>#REF!/10^7</f>
        <v>#REF!</v>
      </c>
      <c r="W302" s="1989">
        <f t="shared" si="558"/>
        <v>0</v>
      </c>
      <c r="X302" s="1999" t="e">
        <f t="shared" si="671"/>
        <v>#REF!</v>
      </c>
      <c r="Y302" s="1993" t="e">
        <f>#REF!</f>
        <v>#REF!</v>
      </c>
      <c r="Z302" s="2003">
        <f t="shared" si="559"/>
        <v>0</v>
      </c>
      <c r="AA302" s="1989" t="e">
        <f>#REF!/10^7</f>
        <v>#REF!</v>
      </c>
      <c r="AB302" s="2003">
        <f t="shared" si="560"/>
        <v>0</v>
      </c>
      <c r="AC302" s="1989" t="e">
        <f>#REF!/10^7</f>
        <v>#REF!</v>
      </c>
      <c r="AD302" s="2003">
        <f t="shared" si="561"/>
        <v>0</v>
      </c>
      <c r="AE302" s="1989" t="e">
        <f>#REF!/10^7</f>
        <v>#REF!</v>
      </c>
      <c r="AF302" s="1989" t="e">
        <f>#REF!/10^7</f>
        <v>#REF!</v>
      </c>
      <c r="AG302" s="2002" t="e">
        <f t="shared" si="562"/>
        <v>#REF!</v>
      </c>
      <c r="AH302" s="1999" t="e">
        <f t="shared" si="670"/>
        <v>#REF!</v>
      </c>
      <c r="AI302" s="1993" t="e">
        <f>#REF!</f>
        <v>#REF!</v>
      </c>
      <c r="AJ302" s="2003">
        <f t="shared" si="563"/>
        <v>0</v>
      </c>
      <c r="AK302" s="1989" t="e">
        <f>#REF!/10^7</f>
        <v>#REF!</v>
      </c>
      <c r="AL302" s="2003">
        <f t="shared" si="564"/>
        <v>0</v>
      </c>
      <c r="AM302" s="1989" t="e">
        <f>#REF!/10^7</f>
        <v>#REF!</v>
      </c>
      <c r="AN302" s="2003">
        <f t="shared" si="565"/>
        <v>0</v>
      </c>
      <c r="AO302" s="1989" t="e">
        <f>#REF!/10^7</f>
        <v>#REF!</v>
      </c>
      <c r="AP302" s="1989" t="e">
        <f>#REF!/10^7</f>
        <v>#REF!</v>
      </c>
      <c r="AQ302" s="2002" t="e">
        <f t="shared" si="566"/>
        <v>#REF!</v>
      </c>
      <c r="AR302" s="1999" t="e">
        <f t="shared" si="672"/>
        <v>#REF!</v>
      </c>
      <c r="AS302" s="1993" t="e">
        <f>#REF!</f>
        <v>#REF!</v>
      </c>
      <c r="AT302" s="2003">
        <f t="shared" si="567"/>
        <v>0</v>
      </c>
      <c r="AU302" s="1989" t="e">
        <f>#REF!/10^7</f>
        <v>#REF!</v>
      </c>
      <c r="AV302" s="2003">
        <f t="shared" si="568"/>
        <v>0</v>
      </c>
      <c r="AW302" s="1989" t="e">
        <f>#REF!/10^7</f>
        <v>#REF!</v>
      </c>
      <c r="AX302" s="2003">
        <f t="shared" si="569"/>
        <v>0</v>
      </c>
      <c r="AY302" s="1989" t="e">
        <f>#REF!/10^7</f>
        <v>#REF!</v>
      </c>
      <c r="AZ302" s="1989" t="e">
        <f>#REF!/10^7</f>
        <v>#REF!</v>
      </c>
      <c r="BA302" s="2002" t="e">
        <f t="shared" si="570"/>
        <v>#REF!</v>
      </c>
      <c r="BB302" s="1999" t="e">
        <f t="shared" si="673"/>
        <v>#REF!</v>
      </c>
      <c r="BC302" s="1993" t="e">
        <f>#REF!</f>
        <v>#REF!</v>
      </c>
      <c r="BD302" s="2003">
        <f t="shared" si="571"/>
        <v>0</v>
      </c>
      <c r="BE302" s="1989" t="e">
        <f>#REF!/10^7</f>
        <v>#REF!</v>
      </c>
      <c r="BF302" s="2003">
        <f t="shared" si="572"/>
        <v>0</v>
      </c>
      <c r="BG302" s="1989" t="e">
        <f>#REF!/10^7</f>
        <v>#REF!</v>
      </c>
      <c r="BH302" s="2003">
        <f t="shared" si="573"/>
        <v>0</v>
      </c>
      <c r="BI302" s="1989" t="e">
        <f>#REF!/10^7</f>
        <v>#REF!</v>
      </c>
      <c r="BJ302" s="1989" t="e">
        <f>#REF!/10^7</f>
        <v>#REF!</v>
      </c>
      <c r="BK302" s="2002" t="e">
        <f t="shared" si="574"/>
        <v>#REF!</v>
      </c>
      <c r="BL302" s="1999" t="e">
        <f t="shared" si="674"/>
        <v>#REF!</v>
      </c>
      <c r="BM302" s="1993" t="e">
        <f>#REF!</f>
        <v>#REF!</v>
      </c>
      <c r="BN302" s="2003">
        <f t="shared" si="575"/>
        <v>0</v>
      </c>
      <c r="BO302" s="1989" t="e">
        <f>#REF!/10^7</f>
        <v>#REF!</v>
      </c>
      <c r="BP302" s="2003">
        <f t="shared" si="576"/>
        <v>0</v>
      </c>
      <c r="BQ302" s="1989" t="e">
        <f>#REF!/10^7</f>
        <v>#REF!</v>
      </c>
      <c r="BR302" s="2003">
        <f t="shared" si="577"/>
        <v>0</v>
      </c>
      <c r="BS302" s="1989" t="e">
        <f>#REF!/10^7</f>
        <v>#REF!</v>
      </c>
      <c r="BT302" s="1989" t="e">
        <f>#REF!/10^7</f>
        <v>#REF!</v>
      </c>
      <c r="BU302" s="2002" t="e">
        <f t="shared" si="578"/>
        <v>#REF!</v>
      </c>
      <c r="BV302" s="1999" t="e">
        <f t="shared" si="675"/>
        <v>#REF!</v>
      </c>
      <c r="BW302" s="1993" t="e">
        <f>#REF!</f>
        <v>#REF!</v>
      </c>
      <c r="BX302" s="2003">
        <f t="shared" si="579"/>
        <v>0</v>
      </c>
      <c r="BY302" s="1989" t="e">
        <f>#REF!/10^7</f>
        <v>#REF!</v>
      </c>
      <c r="BZ302" s="2003">
        <f t="shared" si="580"/>
        <v>0</v>
      </c>
      <c r="CA302" s="1989" t="e">
        <f>#REF!/10^7</f>
        <v>#REF!</v>
      </c>
      <c r="CB302" s="2003">
        <f t="shared" si="581"/>
        <v>0</v>
      </c>
      <c r="CC302" s="1989" t="e">
        <f>#REF!/10^7</f>
        <v>#REF!</v>
      </c>
      <c r="CD302" s="1989" t="e">
        <f>#REF!/10^7</f>
        <v>#REF!</v>
      </c>
      <c r="CE302" s="2002" t="e">
        <f t="shared" si="582"/>
        <v>#REF!</v>
      </c>
      <c r="CF302" s="1999" t="e">
        <f t="shared" si="676"/>
        <v>#REF!</v>
      </c>
      <c r="CG302" s="1993" t="e">
        <f>#REF!</f>
        <v>#REF!</v>
      </c>
      <c r="CH302" s="2003">
        <f t="shared" si="583"/>
        <v>0</v>
      </c>
      <c r="CI302" s="1989" t="e">
        <f>#REF!/10^7</f>
        <v>#REF!</v>
      </c>
      <c r="CJ302" s="2003">
        <f t="shared" si="584"/>
        <v>0</v>
      </c>
      <c r="CK302" s="1989" t="e">
        <f>#REF!/10^7</f>
        <v>#REF!</v>
      </c>
      <c r="CL302" s="2003">
        <f t="shared" si="585"/>
        <v>0</v>
      </c>
      <c r="CM302" s="1989" t="e">
        <f>#REF!/10^7</f>
        <v>#REF!</v>
      </c>
      <c r="CN302" s="1989" t="e">
        <f>#REF!/10^7</f>
        <v>#REF!</v>
      </c>
      <c r="CO302" s="2002" t="e">
        <f t="shared" si="586"/>
        <v>#REF!</v>
      </c>
      <c r="CP302" s="1999" t="e">
        <f t="shared" si="677"/>
        <v>#REF!</v>
      </c>
      <c r="CQ302" s="1993" t="e">
        <f>#REF!</f>
        <v>#REF!</v>
      </c>
      <c r="CR302" s="2003">
        <f t="shared" si="587"/>
        <v>0</v>
      </c>
      <c r="CS302" s="1989" t="e">
        <f>#REF!/10^7</f>
        <v>#REF!</v>
      </c>
      <c r="CT302" s="2003">
        <f t="shared" si="588"/>
        <v>0</v>
      </c>
      <c r="CU302" s="1989" t="e">
        <f>#REF!/10^7</f>
        <v>#REF!</v>
      </c>
      <c r="CV302" s="2003">
        <f t="shared" si="589"/>
        <v>0</v>
      </c>
      <c r="CW302" s="1989" t="e">
        <f>#REF!/10^7</f>
        <v>#REF!</v>
      </c>
      <c r="CX302" s="1989" t="e">
        <f>#REF!/10^7</f>
        <v>#REF!</v>
      </c>
      <c r="CY302" s="2002" t="e">
        <f t="shared" si="590"/>
        <v>#REF!</v>
      </c>
      <c r="CZ302" s="1999" t="e">
        <f t="shared" si="678"/>
        <v>#REF!</v>
      </c>
      <c r="DA302" s="1993" t="e">
        <f>#REF!</f>
        <v>#REF!</v>
      </c>
      <c r="DB302" s="2003">
        <f t="shared" si="591"/>
        <v>0</v>
      </c>
      <c r="DC302" s="1989" t="e">
        <f>#REF!/10^7</f>
        <v>#REF!</v>
      </c>
      <c r="DD302" s="2003">
        <f t="shared" si="592"/>
        <v>0</v>
      </c>
      <c r="DE302" s="1989" t="e">
        <f>#REF!/10^7</f>
        <v>#REF!</v>
      </c>
      <c r="DF302" s="2003">
        <f t="shared" si="593"/>
        <v>0</v>
      </c>
      <c r="DG302" s="1989" t="e">
        <f>#REF!/10^7</f>
        <v>#REF!</v>
      </c>
      <c r="DH302" s="1989" t="e">
        <f>#REF!/10^7</f>
        <v>#REF!</v>
      </c>
      <c r="DI302" s="2002" t="e">
        <f t="shared" si="594"/>
        <v>#REF!</v>
      </c>
      <c r="DJ302" s="1999" t="e">
        <f t="shared" si="679"/>
        <v>#REF!</v>
      </c>
      <c r="DK302" s="1993" t="e">
        <f>#REF!</f>
        <v>#REF!</v>
      </c>
      <c r="DL302" s="2003">
        <f t="shared" si="595"/>
        <v>0</v>
      </c>
      <c r="DM302" s="1989" t="e">
        <f>#REF!/10^7</f>
        <v>#REF!</v>
      </c>
      <c r="DN302" s="2003">
        <f t="shared" si="596"/>
        <v>0</v>
      </c>
      <c r="DO302" s="1989" t="e">
        <f>#REF!/10^7</f>
        <v>#REF!</v>
      </c>
      <c r="DP302" s="2003">
        <f t="shared" si="597"/>
        <v>0</v>
      </c>
      <c r="DQ302" s="1989" t="e">
        <f>#REF!/10^7</f>
        <v>#REF!</v>
      </c>
      <c r="DR302" s="1989" t="e">
        <f>#REF!/10^7</f>
        <v>#REF!</v>
      </c>
      <c r="DS302" s="2002" t="e">
        <f t="shared" si="598"/>
        <v>#REF!</v>
      </c>
      <c r="DT302" s="2004" t="e">
        <f t="shared" si="680"/>
        <v>#REF!</v>
      </c>
      <c r="DU302" s="1988" t="e">
        <f>#REF!</f>
        <v>#REF!</v>
      </c>
      <c r="DV302" s="2003">
        <f t="shared" si="599"/>
        <v>0</v>
      </c>
      <c r="DW302" s="1989" t="e">
        <f>#REF!/10^7</f>
        <v>#REF!</v>
      </c>
      <c r="DX302" s="2003">
        <f t="shared" si="600"/>
        <v>0</v>
      </c>
      <c r="DY302" s="1989" t="e">
        <f>#REF!/10^7</f>
        <v>#REF!</v>
      </c>
      <c r="DZ302" s="2003">
        <f t="shared" si="601"/>
        <v>0</v>
      </c>
      <c r="EA302" s="1989" t="e">
        <f>#REF!/10^7</f>
        <v>#REF!</v>
      </c>
      <c r="EB302" s="1989" t="e">
        <f>#REF!/10^7</f>
        <v>#REF!</v>
      </c>
      <c r="EC302" s="2002" t="e">
        <f t="shared" si="602"/>
        <v>#REF!</v>
      </c>
      <c r="ED302" s="1998" t="e">
        <f t="shared" si="681"/>
        <v>#REF!</v>
      </c>
      <c r="EE302" s="2005" t="e">
        <f t="shared" si="682"/>
        <v>#REF!</v>
      </c>
      <c r="EF302" s="2003">
        <f t="shared" si="603"/>
        <v>0</v>
      </c>
      <c r="EG302" s="1989" t="e">
        <f t="shared" si="683"/>
        <v>#REF!</v>
      </c>
      <c r="EH302" s="2003">
        <f t="shared" si="604"/>
        <v>0</v>
      </c>
      <c r="EI302" s="1989" t="e">
        <f t="shared" si="684"/>
        <v>#REF!</v>
      </c>
      <c r="EJ302" s="2003">
        <f t="shared" si="605"/>
        <v>0</v>
      </c>
      <c r="EK302" s="1989" t="e">
        <f t="shared" si="685"/>
        <v>#REF!</v>
      </c>
      <c r="EL302" s="1989" t="e">
        <f t="shared" si="685"/>
        <v>#REF!</v>
      </c>
      <c r="EM302" s="2006" t="e">
        <f t="shared" si="606"/>
        <v>#REF!</v>
      </c>
      <c r="EN302" s="1999" t="e">
        <f t="shared" si="686"/>
        <v>#REF!</v>
      </c>
      <c r="EP302" s="1613" t="e">
        <f>EA302-#REF!/10^7</f>
        <v>#REF!</v>
      </c>
      <c r="EW302" s="1611" t="e">
        <v>#N/A</v>
      </c>
      <c r="EX302" s="1612" t="e">
        <v>#N/A</v>
      </c>
      <c r="EZ302" s="1650">
        <f t="shared" si="607"/>
        <v>0</v>
      </c>
    </row>
    <row r="303" spans="1:156" ht="21" customHeight="1">
      <c r="A303" s="1652">
        <v>13</v>
      </c>
      <c r="B303" s="1668" t="s">
        <v>1963</v>
      </c>
      <c r="C303" s="1662">
        <v>5</v>
      </c>
      <c r="D303" s="1646">
        <f t="shared" si="687"/>
        <v>100</v>
      </c>
      <c r="E303" s="1646"/>
      <c r="F303" s="1648" t="s">
        <v>1594</v>
      </c>
      <c r="G303" s="1648"/>
      <c r="H303" s="1648">
        <v>5</v>
      </c>
      <c r="I303" s="1648" t="s">
        <v>1667</v>
      </c>
      <c r="J303" s="1649">
        <v>2</v>
      </c>
      <c r="K303" s="1648"/>
      <c r="L303" s="1648"/>
      <c r="M303" s="1648"/>
      <c r="N303" s="1642"/>
      <c r="O303" s="2000" t="e">
        <f>#REF!</f>
        <v>#REF!</v>
      </c>
      <c r="P303" s="2003">
        <f t="shared" si="555"/>
        <v>0</v>
      </c>
      <c r="Q303" s="1989" t="e">
        <f>#REF!/10^7</f>
        <v>#REF!</v>
      </c>
      <c r="R303" s="2003">
        <f t="shared" si="556"/>
        <v>0</v>
      </c>
      <c r="S303" s="1989" t="e">
        <f>#REF!/10^7</f>
        <v>#REF!</v>
      </c>
      <c r="T303" s="2003">
        <f t="shared" si="557"/>
        <v>0</v>
      </c>
      <c r="U303" s="1989" t="e">
        <f>#REF!/10^7</f>
        <v>#REF!</v>
      </c>
      <c r="V303" s="1989" t="e">
        <f>#REF!/10^7</f>
        <v>#REF!</v>
      </c>
      <c r="W303" s="1989">
        <f t="shared" si="558"/>
        <v>0</v>
      </c>
      <c r="X303" s="1999" t="e">
        <f t="shared" si="671"/>
        <v>#REF!</v>
      </c>
      <c r="Y303" s="1993" t="e">
        <f>#REF!</f>
        <v>#REF!</v>
      </c>
      <c r="Z303" s="2003">
        <f t="shared" si="559"/>
        <v>0</v>
      </c>
      <c r="AA303" s="1989" t="e">
        <f>#REF!/10^7</f>
        <v>#REF!</v>
      </c>
      <c r="AB303" s="2003">
        <f t="shared" si="560"/>
        <v>0</v>
      </c>
      <c r="AC303" s="1989" t="e">
        <f>#REF!/10^7</f>
        <v>#REF!</v>
      </c>
      <c r="AD303" s="2003">
        <f t="shared" si="561"/>
        <v>0</v>
      </c>
      <c r="AE303" s="1989" t="e">
        <f>#REF!/10^7</f>
        <v>#REF!</v>
      </c>
      <c r="AF303" s="1989" t="e">
        <f>#REF!/10^7</f>
        <v>#REF!</v>
      </c>
      <c r="AG303" s="2002" t="e">
        <f t="shared" si="562"/>
        <v>#REF!</v>
      </c>
      <c r="AH303" s="1999" t="e">
        <f t="shared" si="670"/>
        <v>#REF!</v>
      </c>
      <c r="AI303" s="1993" t="e">
        <f>#REF!</f>
        <v>#REF!</v>
      </c>
      <c r="AJ303" s="2003">
        <f t="shared" si="563"/>
        <v>0</v>
      </c>
      <c r="AK303" s="1989" t="e">
        <f>#REF!/10^7</f>
        <v>#REF!</v>
      </c>
      <c r="AL303" s="2003">
        <f t="shared" si="564"/>
        <v>0</v>
      </c>
      <c r="AM303" s="1989" t="e">
        <f>#REF!/10^7</f>
        <v>#REF!</v>
      </c>
      <c r="AN303" s="2003">
        <f t="shared" si="565"/>
        <v>0</v>
      </c>
      <c r="AO303" s="1989" t="e">
        <f>#REF!/10^7</f>
        <v>#REF!</v>
      </c>
      <c r="AP303" s="1989" t="e">
        <f>#REF!/10^7</f>
        <v>#REF!</v>
      </c>
      <c r="AQ303" s="2002" t="e">
        <f t="shared" si="566"/>
        <v>#REF!</v>
      </c>
      <c r="AR303" s="1999" t="e">
        <f t="shared" si="672"/>
        <v>#REF!</v>
      </c>
      <c r="AS303" s="1993" t="e">
        <f>#REF!</f>
        <v>#REF!</v>
      </c>
      <c r="AT303" s="2003">
        <f t="shared" si="567"/>
        <v>0</v>
      </c>
      <c r="AU303" s="1989" t="e">
        <f>#REF!/10^7</f>
        <v>#REF!</v>
      </c>
      <c r="AV303" s="2003">
        <f t="shared" si="568"/>
        <v>0</v>
      </c>
      <c r="AW303" s="1989" t="e">
        <f>#REF!/10^7</f>
        <v>#REF!</v>
      </c>
      <c r="AX303" s="2003">
        <f t="shared" si="569"/>
        <v>0</v>
      </c>
      <c r="AY303" s="1989" t="e">
        <f>#REF!/10^7</f>
        <v>#REF!</v>
      </c>
      <c r="AZ303" s="1989" t="e">
        <f>#REF!/10^7</f>
        <v>#REF!</v>
      </c>
      <c r="BA303" s="2002" t="e">
        <f t="shared" si="570"/>
        <v>#REF!</v>
      </c>
      <c r="BB303" s="1999" t="e">
        <f t="shared" si="673"/>
        <v>#REF!</v>
      </c>
      <c r="BC303" s="1993" t="e">
        <f>#REF!</f>
        <v>#REF!</v>
      </c>
      <c r="BD303" s="2003">
        <f t="shared" si="571"/>
        <v>0</v>
      </c>
      <c r="BE303" s="1989" t="e">
        <f>#REF!/10^7</f>
        <v>#REF!</v>
      </c>
      <c r="BF303" s="2003">
        <f t="shared" si="572"/>
        <v>0</v>
      </c>
      <c r="BG303" s="1989" t="e">
        <f>#REF!/10^7</f>
        <v>#REF!</v>
      </c>
      <c r="BH303" s="2003">
        <f t="shared" si="573"/>
        <v>0</v>
      </c>
      <c r="BI303" s="1989" t="e">
        <f>#REF!/10^7</f>
        <v>#REF!</v>
      </c>
      <c r="BJ303" s="1989" t="e">
        <f>#REF!/10^7</f>
        <v>#REF!</v>
      </c>
      <c r="BK303" s="2002" t="e">
        <f t="shared" si="574"/>
        <v>#REF!</v>
      </c>
      <c r="BL303" s="1999" t="e">
        <f t="shared" si="674"/>
        <v>#REF!</v>
      </c>
      <c r="BM303" s="1993" t="e">
        <f>#REF!</f>
        <v>#REF!</v>
      </c>
      <c r="BN303" s="2003">
        <f t="shared" si="575"/>
        <v>0</v>
      </c>
      <c r="BO303" s="1989" t="e">
        <f>#REF!/10^7</f>
        <v>#REF!</v>
      </c>
      <c r="BP303" s="2003">
        <f t="shared" si="576"/>
        <v>0</v>
      </c>
      <c r="BQ303" s="1989" t="e">
        <f>#REF!/10^7</f>
        <v>#REF!</v>
      </c>
      <c r="BR303" s="2003">
        <f t="shared" si="577"/>
        <v>0</v>
      </c>
      <c r="BS303" s="1989" t="e">
        <f>#REF!/10^7</f>
        <v>#REF!</v>
      </c>
      <c r="BT303" s="1989" t="e">
        <f>#REF!/10^7</f>
        <v>#REF!</v>
      </c>
      <c r="BU303" s="2002" t="e">
        <f t="shared" si="578"/>
        <v>#REF!</v>
      </c>
      <c r="BV303" s="1999" t="e">
        <f t="shared" si="675"/>
        <v>#REF!</v>
      </c>
      <c r="BW303" s="1993" t="e">
        <f>#REF!</f>
        <v>#REF!</v>
      </c>
      <c r="BX303" s="2003">
        <f t="shared" si="579"/>
        <v>0</v>
      </c>
      <c r="BY303" s="1989" t="e">
        <f>#REF!/10^7</f>
        <v>#REF!</v>
      </c>
      <c r="BZ303" s="2003">
        <f t="shared" si="580"/>
        <v>0</v>
      </c>
      <c r="CA303" s="1989" t="e">
        <f>#REF!/10^7</f>
        <v>#REF!</v>
      </c>
      <c r="CB303" s="2003">
        <f t="shared" si="581"/>
        <v>0</v>
      </c>
      <c r="CC303" s="1989" t="e">
        <f>#REF!/10^7</f>
        <v>#REF!</v>
      </c>
      <c r="CD303" s="1989" t="e">
        <f>#REF!/10^7</f>
        <v>#REF!</v>
      </c>
      <c r="CE303" s="2002" t="e">
        <f t="shared" si="582"/>
        <v>#REF!</v>
      </c>
      <c r="CF303" s="1999" t="e">
        <f t="shared" si="676"/>
        <v>#REF!</v>
      </c>
      <c r="CG303" s="1993" t="e">
        <f>#REF!</f>
        <v>#REF!</v>
      </c>
      <c r="CH303" s="2003">
        <f t="shared" si="583"/>
        <v>0</v>
      </c>
      <c r="CI303" s="1989" t="e">
        <f>#REF!/10^7</f>
        <v>#REF!</v>
      </c>
      <c r="CJ303" s="2003">
        <f t="shared" si="584"/>
        <v>0</v>
      </c>
      <c r="CK303" s="1989" t="e">
        <f>#REF!/10^7</f>
        <v>#REF!</v>
      </c>
      <c r="CL303" s="2003">
        <f t="shared" si="585"/>
        <v>0</v>
      </c>
      <c r="CM303" s="1989" t="e">
        <f>#REF!/10^7</f>
        <v>#REF!</v>
      </c>
      <c r="CN303" s="1989" t="e">
        <f>#REF!/10^7</f>
        <v>#REF!</v>
      </c>
      <c r="CO303" s="2002" t="e">
        <f t="shared" si="586"/>
        <v>#REF!</v>
      </c>
      <c r="CP303" s="1999" t="e">
        <f t="shared" si="677"/>
        <v>#REF!</v>
      </c>
      <c r="CQ303" s="1993" t="e">
        <f>#REF!</f>
        <v>#REF!</v>
      </c>
      <c r="CR303" s="2003">
        <f t="shared" si="587"/>
        <v>0</v>
      </c>
      <c r="CS303" s="1989" t="e">
        <f>#REF!/10^7</f>
        <v>#REF!</v>
      </c>
      <c r="CT303" s="2003">
        <f t="shared" si="588"/>
        <v>0</v>
      </c>
      <c r="CU303" s="1989" t="e">
        <f>#REF!/10^7</f>
        <v>#REF!</v>
      </c>
      <c r="CV303" s="2003">
        <f t="shared" si="589"/>
        <v>0</v>
      </c>
      <c r="CW303" s="1989" t="e">
        <f>#REF!/10^7</f>
        <v>#REF!</v>
      </c>
      <c r="CX303" s="1989" t="e">
        <f>#REF!/10^7</f>
        <v>#REF!</v>
      </c>
      <c r="CY303" s="2002" t="e">
        <f t="shared" si="590"/>
        <v>#REF!</v>
      </c>
      <c r="CZ303" s="1999" t="e">
        <f t="shared" si="678"/>
        <v>#REF!</v>
      </c>
      <c r="DA303" s="1993" t="e">
        <f>#REF!</f>
        <v>#REF!</v>
      </c>
      <c r="DB303" s="2003">
        <f t="shared" si="591"/>
        <v>0</v>
      </c>
      <c r="DC303" s="1989" t="e">
        <f>#REF!/10^7</f>
        <v>#REF!</v>
      </c>
      <c r="DD303" s="2003">
        <f t="shared" si="592"/>
        <v>0</v>
      </c>
      <c r="DE303" s="1989" t="e">
        <f>#REF!/10^7</f>
        <v>#REF!</v>
      </c>
      <c r="DF303" s="2003">
        <f t="shared" si="593"/>
        <v>0</v>
      </c>
      <c r="DG303" s="1989" t="e">
        <f>#REF!/10^7</f>
        <v>#REF!</v>
      </c>
      <c r="DH303" s="1989" t="e">
        <f>#REF!/10^7</f>
        <v>#REF!</v>
      </c>
      <c r="DI303" s="2002" t="e">
        <f t="shared" si="594"/>
        <v>#REF!</v>
      </c>
      <c r="DJ303" s="1999" t="e">
        <f t="shared" si="679"/>
        <v>#REF!</v>
      </c>
      <c r="DK303" s="1993" t="e">
        <f>#REF!</f>
        <v>#REF!</v>
      </c>
      <c r="DL303" s="2003">
        <f t="shared" si="595"/>
        <v>0</v>
      </c>
      <c r="DM303" s="1989" t="e">
        <f>#REF!/10^7</f>
        <v>#REF!</v>
      </c>
      <c r="DN303" s="2003">
        <f t="shared" si="596"/>
        <v>0</v>
      </c>
      <c r="DO303" s="1989" t="e">
        <f>#REF!/10^7</f>
        <v>#REF!</v>
      </c>
      <c r="DP303" s="2003">
        <f t="shared" si="597"/>
        <v>0</v>
      </c>
      <c r="DQ303" s="1989" t="e">
        <f>#REF!/10^7</f>
        <v>#REF!</v>
      </c>
      <c r="DR303" s="1989" t="e">
        <f>#REF!/10^7</f>
        <v>#REF!</v>
      </c>
      <c r="DS303" s="2002" t="e">
        <f t="shared" si="598"/>
        <v>#REF!</v>
      </c>
      <c r="DT303" s="2004" t="e">
        <f t="shared" si="680"/>
        <v>#REF!</v>
      </c>
      <c r="DU303" s="1988" t="e">
        <f>#REF!</f>
        <v>#REF!</v>
      </c>
      <c r="DV303" s="2003">
        <f t="shared" si="599"/>
        <v>0</v>
      </c>
      <c r="DW303" s="1989" t="e">
        <f>#REF!/10^7</f>
        <v>#REF!</v>
      </c>
      <c r="DX303" s="2003">
        <f t="shared" si="600"/>
        <v>0</v>
      </c>
      <c r="DY303" s="1989" t="e">
        <f>#REF!/10^7</f>
        <v>#REF!</v>
      </c>
      <c r="DZ303" s="2003">
        <f t="shared" si="601"/>
        <v>0</v>
      </c>
      <c r="EA303" s="1989" t="e">
        <f>#REF!/10^7</f>
        <v>#REF!</v>
      </c>
      <c r="EB303" s="1989" t="e">
        <f>#REF!/10^7</f>
        <v>#REF!</v>
      </c>
      <c r="EC303" s="2002" t="e">
        <f t="shared" si="602"/>
        <v>#REF!</v>
      </c>
      <c r="ED303" s="1998" t="e">
        <f t="shared" si="681"/>
        <v>#REF!</v>
      </c>
      <c r="EE303" s="2005" t="e">
        <f t="shared" si="682"/>
        <v>#REF!</v>
      </c>
      <c r="EF303" s="2003">
        <f t="shared" si="603"/>
        <v>0</v>
      </c>
      <c r="EG303" s="1989" t="e">
        <f t="shared" si="683"/>
        <v>#REF!</v>
      </c>
      <c r="EH303" s="2003">
        <f t="shared" si="604"/>
        <v>0</v>
      </c>
      <c r="EI303" s="1989" t="e">
        <f t="shared" si="684"/>
        <v>#REF!</v>
      </c>
      <c r="EJ303" s="2003">
        <f t="shared" si="605"/>
        <v>0</v>
      </c>
      <c r="EK303" s="1989" t="e">
        <f t="shared" si="685"/>
        <v>#REF!</v>
      </c>
      <c r="EL303" s="1989" t="e">
        <f t="shared" si="685"/>
        <v>#REF!</v>
      </c>
      <c r="EM303" s="2006" t="e">
        <f t="shared" si="606"/>
        <v>#REF!</v>
      </c>
      <c r="EN303" s="1999" t="e">
        <f t="shared" si="686"/>
        <v>#REF!</v>
      </c>
      <c r="EP303" s="1613" t="e">
        <f>EA303-#REF!/10^7</f>
        <v>#REF!</v>
      </c>
      <c r="EW303" s="1611" t="e">
        <v>#N/A</v>
      </c>
      <c r="EX303" s="1612" t="e">
        <v>#N/A</v>
      </c>
      <c r="EZ303" s="1650">
        <f t="shared" si="607"/>
        <v>0</v>
      </c>
    </row>
    <row r="304" spans="1:156" ht="21" customHeight="1">
      <c r="A304" s="1652">
        <v>14</v>
      </c>
      <c r="B304" s="1668" t="s">
        <v>1964</v>
      </c>
      <c r="C304" s="1662">
        <v>5</v>
      </c>
      <c r="D304" s="1646">
        <f t="shared" si="687"/>
        <v>100</v>
      </c>
      <c r="E304" s="1646"/>
      <c r="F304" s="1648" t="s">
        <v>1594</v>
      </c>
      <c r="G304" s="1648"/>
      <c r="H304" s="1648">
        <v>5</v>
      </c>
      <c r="I304" s="1648" t="s">
        <v>1667</v>
      </c>
      <c r="J304" s="1649">
        <v>2</v>
      </c>
      <c r="K304" s="1648"/>
      <c r="L304" s="1648"/>
      <c r="M304" s="1648"/>
      <c r="N304" s="1642"/>
      <c r="O304" s="2000" t="e">
        <f>#REF!</f>
        <v>#REF!</v>
      </c>
      <c r="P304" s="2003">
        <f t="shared" si="555"/>
        <v>0</v>
      </c>
      <c r="Q304" s="1989" t="e">
        <f>#REF!/10^7</f>
        <v>#REF!</v>
      </c>
      <c r="R304" s="2003">
        <f t="shared" si="556"/>
        <v>0</v>
      </c>
      <c r="S304" s="1989" t="e">
        <f>#REF!/10^7</f>
        <v>#REF!</v>
      </c>
      <c r="T304" s="2003">
        <f t="shared" si="557"/>
        <v>0</v>
      </c>
      <c r="U304" s="1989" t="e">
        <f>#REF!/10^7</f>
        <v>#REF!</v>
      </c>
      <c r="V304" s="1989" t="e">
        <f>#REF!/10^7</f>
        <v>#REF!</v>
      </c>
      <c r="W304" s="1989">
        <f t="shared" si="558"/>
        <v>0</v>
      </c>
      <c r="X304" s="1999" t="e">
        <f t="shared" si="671"/>
        <v>#REF!</v>
      </c>
      <c r="Y304" s="1993" t="e">
        <f>#REF!</f>
        <v>#REF!</v>
      </c>
      <c r="Z304" s="2003">
        <f t="shared" si="559"/>
        <v>0</v>
      </c>
      <c r="AA304" s="1989" t="e">
        <f>#REF!/10^7</f>
        <v>#REF!</v>
      </c>
      <c r="AB304" s="2003">
        <f t="shared" si="560"/>
        <v>0</v>
      </c>
      <c r="AC304" s="1989" t="e">
        <f>#REF!/10^7</f>
        <v>#REF!</v>
      </c>
      <c r="AD304" s="2003">
        <f t="shared" si="561"/>
        <v>0</v>
      </c>
      <c r="AE304" s="1989" t="e">
        <f>#REF!/10^7</f>
        <v>#REF!</v>
      </c>
      <c r="AF304" s="1989" t="e">
        <f>#REF!/10^7</f>
        <v>#REF!</v>
      </c>
      <c r="AG304" s="2002" t="e">
        <f t="shared" si="562"/>
        <v>#REF!</v>
      </c>
      <c r="AH304" s="1999" t="e">
        <f t="shared" si="670"/>
        <v>#REF!</v>
      </c>
      <c r="AI304" s="1993" t="e">
        <f>#REF!</f>
        <v>#REF!</v>
      </c>
      <c r="AJ304" s="2003">
        <f t="shared" si="563"/>
        <v>0</v>
      </c>
      <c r="AK304" s="1989" t="e">
        <f>#REF!/10^7</f>
        <v>#REF!</v>
      </c>
      <c r="AL304" s="2003">
        <f t="shared" si="564"/>
        <v>0</v>
      </c>
      <c r="AM304" s="1989" t="e">
        <f>#REF!/10^7</f>
        <v>#REF!</v>
      </c>
      <c r="AN304" s="2003">
        <f t="shared" si="565"/>
        <v>0</v>
      </c>
      <c r="AO304" s="1989" t="e">
        <f>#REF!/10^7</f>
        <v>#REF!</v>
      </c>
      <c r="AP304" s="1989" t="e">
        <f>#REF!/10^7</f>
        <v>#REF!</v>
      </c>
      <c r="AQ304" s="2002" t="e">
        <f t="shared" si="566"/>
        <v>#REF!</v>
      </c>
      <c r="AR304" s="1999" t="e">
        <f t="shared" si="672"/>
        <v>#REF!</v>
      </c>
      <c r="AS304" s="1993" t="e">
        <f>#REF!</f>
        <v>#REF!</v>
      </c>
      <c r="AT304" s="2003">
        <f t="shared" si="567"/>
        <v>0</v>
      </c>
      <c r="AU304" s="1989" t="e">
        <f>#REF!/10^7</f>
        <v>#REF!</v>
      </c>
      <c r="AV304" s="2003">
        <f t="shared" si="568"/>
        <v>0</v>
      </c>
      <c r="AW304" s="1989" t="e">
        <f>#REF!/10^7</f>
        <v>#REF!</v>
      </c>
      <c r="AX304" s="2003">
        <f t="shared" si="569"/>
        <v>0</v>
      </c>
      <c r="AY304" s="1989" t="e">
        <f>#REF!/10^7</f>
        <v>#REF!</v>
      </c>
      <c r="AZ304" s="1989" t="e">
        <f>#REF!/10^7</f>
        <v>#REF!</v>
      </c>
      <c r="BA304" s="2002" t="e">
        <f t="shared" si="570"/>
        <v>#REF!</v>
      </c>
      <c r="BB304" s="1999" t="e">
        <f t="shared" si="673"/>
        <v>#REF!</v>
      </c>
      <c r="BC304" s="1993" t="e">
        <f>#REF!</f>
        <v>#REF!</v>
      </c>
      <c r="BD304" s="2003">
        <f t="shared" si="571"/>
        <v>0</v>
      </c>
      <c r="BE304" s="1989" t="e">
        <f>#REF!/10^7</f>
        <v>#REF!</v>
      </c>
      <c r="BF304" s="2003">
        <f t="shared" si="572"/>
        <v>0</v>
      </c>
      <c r="BG304" s="1989" t="e">
        <f>#REF!/10^7</f>
        <v>#REF!</v>
      </c>
      <c r="BH304" s="2003">
        <f t="shared" si="573"/>
        <v>0</v>
      </c>
      <c r="BI304" s="1989" t="e">
        <f>#REF!/10^7</f>
        <v>#REF!</v>
      </c>
      <c r="BJ304" s="1989" t="e">
        <f>#REF!/10^7</f>
        <v>#REF!</v>
      </c>
      <c r="BK304" s="2002" t="e">
        <f t="shared" si="574"/>
        <v>#REF!</v>
      </c>
      <c r="BL304" s="1999" t="e">
        <f t="shared" si="674"/>
        <v>#REF!</v>
      </c>
      <c r="BM304" s="1993" t="e">
        <f>#REF!</f>
        <v>#REF!</v>
      </c>
      <c r="BN304" s="2003">
        <f t="shared" si="575"/>
        <v>0</v>
      </c>
      <c r="BO304" s="1989" t="e">
        <f>#REF!/10^7</f>
        <v>#REF!</v>
      </c>
      <c r="BP304" s="2003">
        <f t="shared" si="576"/>
        <v>0</v>
      </c>
      <c r="BQ304" s="1989" t="e">
        <f>#REF!/10^7</f>
        <v>#REF!</v>
      </c>
      <c r="BR304" s="2003">
        <f t="shared" si="577"/>
        <v>0</v>
      </c>
      <c r="BS304" s="1989" t="e">
        <f>#REF!/10^7</f>
        <v>#REF!</v>
      </c>
      <c r="BT304" s="1989" t="e">
        <f>#REF!/10^7</f>
        <v>#REF!</v>
      </c>
      <c r="BU304" s="2002" t="e">
        <f t="shared" si="578"/>
        <v>#REF!</v>
      </c>
      <c r="BV304" s="1999" t="e">
        <f t="shared" si="675"/>
        <v>#REF!</v>
      </c>
      <c r="BW304" s="1993" t="e">
        <f>#REF!</f>
        <v>#REF!</v>
      </c>
      <c r="BX304" s="2003">
        <f t="shared" si="579"/>
        <v>0</v>
      </c>
      <c r="BY304" s="1989" t="e">
        <f>#REF!/10^7</f>
        <v>#REF!</v>
      </c>
      <c r="BZ304" s="2003">
        <f t="shared" si="580"/>
        <v>0</v>
      </c>
      <c r="CA304" s="1989" t="e">
        <f>#REF!/10^7</f>
        <v>#REF!</v>
      </c>
      <c r="CB304" s="2003">
        <f t="shared" si="581"/>
        <v>0</v>
      </c>
      <c r="CC304" s="1989" t="e">
        <f>#REF!/10^7</f>
        <v>#REF!</v>
      </c>
      <c r="CD304" s="1989" t="e">
        <f>#REF!/10^7</f>
        <v>#REF!</v>
      </c>
      <c r="CE304" s="2002" t="e">
        <f t="shared" si="582"/>
        <v>#REF!</v>
      </c>
      <c r="CF304" s="1999" t="e">
        <f t="shared" si="676"/>
        <v>#REF!</v>
      </c>
      <c r="CG304" s="1993" t="e">
        <f>#REF!</f>
        <v>#REF!</v>
      </c>
      <c r="CH304" s="2003">
        <f t="shared" si="583"/>
        <v>0</v>
      </c>
      <c r="CI304" s="1989" t="e">
        <f>#REF!/10^7</f>
        <v>#REF!</v>
      </c>
      <c r="CJ304" s="2003">
        <f t="shared" si="584"/>
        <v>0</v>
      </c>
      <c r="CK304" s="1989" t="e">
        <f>#REF!/10^7</f>
        <v>#REF!</v>
      </c>
      <c r="CL304" s="2003">
        <f t="shared" si="585"/>
        <v>0</v>
      </c>
      <c r="CM304" s="1989" t="e">
        <f>#REF!/10^7</f>
        <v>#REF!</v>
      </c>
      <c r="CN304" s="1989" t="e">
        <f>#REF!/10^7</f>
        <v>#REF!</v>
      </c>
      <c r="CO304" s="2002" t="e">
        <f t="shared" si="586"/>
        <v>#REF!</v>
      </c>
      <c r="CP304" s="1999" t="e">
        <f t="shared" si="677"/>
        <v>#REF!</v>
      </c>
      <c r="CQ304" s="1993" t="e">
        <f>#REF!</f>
        <v>#REF!</v>
      </c>
      <c r="CR304" s="2003">
        <f t="shared" si="587"/>
        <v>0</v>
      </c>
      <c r="CS304" s="1989" t="e">
        <f>#REF!/10^7</f>
        <v>#REF!</v>
      </c>
      <c r="CT304" s="2003">
        <f t="shared" si="588"/>
        <v>0</v>
      </c>
      <c r="CU304" s="1989" t="e">
        <f>#REF!/10^7</f>
        <v>#REF!</v>
      </c>
      <c r="CV304" s="2003">
        <f t="shared" si="589"/>
        <v>0</v>
      </c>
      <c r="CW304" s="1989" t="e">
        <f>#REF!/10^7</f>
        <v>#REF!</v>
      </c>
      <c r="CX304" s="1989" t="e">
        <f>#REF!/10^7</f>
        <v>#REF!</v>
      </c>
      <c r="CY304" s="2002" t="e">
        <f t="shared" si="590"/>
        <v>#REF!</v>
      </c>
      <c r="CZ304" s="1999" t="e">
        <f t="shared" si="678"/>
        <v>#REF!</v>
      </c>
      <c r="DA304" s="1993" t="e">
        <f>#REF!</f>
        <v>#REF!</v>
      </c>
      <c r="DB304" s="2003">
        <f t="shared" si="591"/>
        <v>0</v>
      </c>
      <c r="DC304" s="1989" t="e">
        <f>#REF!/10^7</f>
        <v>#REF!</v>
      </c>
      <c r="DD304" s="2003">
        <f t="shared" si="592"/>
        <v>0</v>
      </c>
      <c r="DE304" s="1989" t="e">
        <f>#REF!/10^7</f>
        <v>#REF!</v>
      </c>
      <c r="DF304" s="2003">
        <f t="shared" si="593"/>
        <v>0</v>
      </c>
      <c r="DG304" s="1989" t="e">
        <f>#REF!/10^7</f>
        <v>#REF!</v>
      </c>
      <c r="DH304" s="1989" t="e">
        <f>#REF!/10^7</f>
        <v>#REF!</v>
      </c>
      <c r="DI304" s="2002" t="e">
        <f t="shared" si="594"/>
        <v>#REF!</v>
      </c>
      <c r="DJ304" s="1999" t="e">
        <f t="shared" si="679"/>
        <v>#REF!</v>
      </c>
      <c r="DK304" s="1993" t="e">
        <f>#REF!</f>
        <v>#REF!</v>
      </c>
      <c r="DL304" s="2003">
        <f t="shared" si="595"/>
        <v>0</v>
      </c>
      <c r="DM304" s="1989" t="e">
        <f>#REF!/10^7</f>
        <v>#REF!</v>
      </c>
      <c r="DN304" s="2003">
        <f t="shared" si="596"/>
        <v>0</v>
      </c>
      <c r="DO304" s="1989" t="e">
        <f>#REF!/10^7</f>
        <v>#REF!</v>
      </c>
      <c r="DP304" s="2003">
        <f t="shared" si="597"/>
        <v>0</v>
      </c>
      <c r="DQ304" s="1989" t="e">
        <f>#REF!/10^7</f>
        <v>#REF!</v>
      </c>
      <c r="DR304" s="1989" t="e">
        <f>#REF!/10^7</f>
        <v>#REF!</v>
      </c>
      <c r="DS304" s="2002" t="e">
        <f t="shared" si="598"/>
        <v>#REF!</v>
      </c>
      <c r="DT304" s="2004" t="e">
        <f t="shared" si="680"/>
        <v>#REF!</v>
      </c>
      <c r="DU304" s="1988" t="e">
        <f>#REF!</f>
        <v>#REF!</v>
      </c>
      <c r="DV304" s="2003">
        <f t="shared" si="599"/>
        <v>0</v>
      </c>
      <c r="DW304" s="1989" t="e">
        <f>#REF!/10^7</f>
        <v>#REF!</v>
      </c>
      <c r="DX304" s="2003">
        <f t="shared" si="600"/>
        <v>0</v>
      </c>
      <c r="DY304" s="1989" t="e">
        <f>#REF!/10^7</f>
        <v>#REF!</v>
      </c>
      <c r="DZ304" s="2003">
        <f t="shared" si="601"/>
        <v>0</v>
      </c>
      <c r="EA304" s="1989" t="e">
        <f>#REF!/10^7</f>
        <v>#REF!</v>
      </c>
      <c r="EB304" s="1989" t="e">
        <f>#REF!/10^7</f>
        <v>#REF!</v>
      </c>
      <c r="EC304" s="2002" t="e">
        <f t="shared" si="602"/>
        <v>#REF!</v>
      </c>
      <c r="ED304" s="1998" t="e">
        <f t="shared" si="681"/>
        <v>#REF!</v>
      </c>
      <c r="EE304" s="2005" t="e">
        <f t="shared" si="682"/>
        <v>#REF!</v>
      </c>
      <c r="EF304" s="2003">
        <f t="shared" si="603"/>
        <v>0</v>
      </c>
      <c r="EG304" s="1989" t="e">
        <f t="shared" si="683"/>
        <v>#REF!</v>
      </c>
      <c r="EH304" s="2003">
        <f t="shared" si="604"/>
        <v>0</v>
      </c>
      <c r="EI304" s="1989" t="e">
        <f t="shared" si="684"/>
        <v>#REF!</v>
      </c>
      <c r="EJ304" s="2003">
        <f t="shared" si="605"/>
        <v>0</v>
      </c>
      <c r="EK304" s="1989" t="e">
        <f t="shared" si="685"/>
        <v>#REF!</v>
      </c>
      <c r="EL304" s="1989" t="e">
        <f t="shared" si="685"/>
        <v>#REF!</v>
      </c>
      <c r="EM304" s="2006" t="e">
        <f t="shared" si="606"/>
        <v>#REF!</v>
      </c>
      <c r="EN304" s="1999" t="e">
        <f t="shared" si="686"/>
        <v>#REF!</v>
      </c>
      <c r="EP304" s="1613" t="e">
        <f>EA304-#REF!/10^7</f>
        <v>#REF!</v>
      </c>
      <c r="EW304" s="1611" t="e">
        <v>#N/A</v>
      </c>
      <c r="EX304" s="1612" t="e">
        <v>#N/A</v>
      </c>
      <c r="EZ304" s="1650">
        <f t="shared" si="607"/>
        <v>0</v>
      </c>
    </row>
    <row r="305" spans="1:156" ht="21" customHeight="1">
      <c r="A305" s="1652">
        <v>15</v>
      </c>
      <c r="B305" s="1668" t="s">
        <v>1965</v>
      </c>
      <c r="C305" s="1662">
        <v>30</v>
      </c>
      <c r="D305" s="1646">
        <f t="shared" si="687"/>
        <v>100</v>
      </c>
      <c r="E305" s="1646"/>
      <c r="F305" s="1648" t="s">
        <v>1594</v>
      </c>
      <c r="G305" s="1648"/>
      <c r="H305" s="1648">
        <v>30</v>
      </c>
      <c r="I305" s="1648" t="s">
        <v>1667</v>
      </c>
      <c r="J305" s="1649">
        <v>2</v>
      </c>
      <c r="K305" s="1648"/>
      <c r="L305" s="1648"/>
      <c r="M305" s="1648"/>
      <c r="N305" s="1642"/>
      <c r="O305" s="2000" t="e">
        <f>#REF!</f>
        <v>#REF!</v>
      </c>
      <c r="P305" s="2003">
        <f t="shared" si="555"/>
        <v>0</v>
      </c>
      <c r="Q305" s="1989" t="e">
        <f>#REF!/10^7</f>
        <v>#REF!</v>
      </c>
      <c r="R305" s="2003">
        <f t="shared" si="556"/>
        <v>0</v>
      </c>
      <c r="S305" s="1989" t="e">
        <f>#REF!/10^7</f>
        <v>#REF!</v>
      </c>
      <c r="T305" s="2003">
        <f t="shared" si="557"/>
        <v>0</v>
      </c>
      <c r="U305" s="1989" t="e">
        <f>#REF!/10^7</f>
        <v>#REF!</v>
      </c>
      <c r="V305" s="1989" t="e">
        <f>#REF!/10^7</f>
        <v>#REF!</v>
      </c>
      <c r="W305" s="1989">
        <f t="shared" si="558"/>
        <v>0</v>
      </c>
      <c r="X305" s="1999" t="e">
        <f t="shared" si="671"/>
        <v>#REF!</v>
      </c>
      <c r="Y305" s="1993" t="e">
        <f>#REF!</f>
        <v>#REF!</v>
      </c>
      <c r="Z305" s="2003">
        <f t="shared" si="559"/>
        <v>0</v>
      </c>
      <c r="AA305" s="1989" t="e">
        <f>#REF!/10^7</f>
        <v>#REF!</v>
      </c>
      <c r="AB305" s="2003">
        <f t="shared" si="560"/>
        <v>0</v>
      </c>
      <c r="AC305" s="1989" t="e">
        <f>#REF!/10^7</f>
        <v>#REF!</v>
      </c>
      <c r="AD305" s="2003">
        <f t="shared" si="561"/>
        <v>0</v>
      </c>
      <c r="AE305" s="1989" t="e">
        <f>#REF!/10^7</f>
        <v>#REF!</v>
      </c>
      <c r="AF305" s="1989" t="e">
        <f>#REF!/10^7</f>
        <v>#REF!</v>
      </c>
      <c r="AG305" s="2002" t="e">
        <f t="shared" si="562"/>
        <v>#REF!</v>
      </c>
      <c r="AH305" s="1999" t="e">
        <f t="shared" si="670"/>
        <v>#REF!</v>
      </c>
      <c r="AI305" s="1993" t="e">
        <f>#REF!</f>
        <v>#REF!</v>
      </c>
      <c r="AJ305" s="2003">
        <f t="shared" si="563"/>
        <v>0</v>
      </c>
      <c r="AK305" s="1989" t="e">
        <f>#REF!/10^7</f>
        <v>#REF!</v>
      </c>
      <c r="AL305" s="2003">
        <f t="shared" si="564"/>
        <v>0</v>
      </c>
      <c r="AM305" s="1989" t="e">
        <f>#REF!/10^7</f>
        <v>#REF!</v>
      </c>
      <c r="AN305" s="2003">
        <f t="shared" si="565"/>
        <v>0</v>
      </c>
      <c r="AO305" s="1989" t="e">
        <f>#REF!/10^7</f>
        <v>#REF!</v>
      </c>
      <c r="AP305" s="1989" t="e">
        <f>#REF!/10^7</f>
        <v>#REF!</v>
      </c>
      <c r="AQ305" s="2002" t="e">
        <f t="shared" si="566"/>
        <v>#REF!</v>
      </c>
      <c r="AR305" s="1999" t="e">
        <f t="shared" si="672"/>
        <v>#REF!</v>
      </c>
      <c r="AS305" s="1993" t="e">
        <f>#REF!</f>
        <v>#REF!</v>
      </c>
      <c r="AT305" s="2003">
        <f t="shared" si="567"/>
        <v>0</v>
      </c>
      <c r="AU305" s="1989" t="e">
        <f>#REF!/10^7</f>
        <v>#REF!</v>
      </c>
      <c r="AV305" s="2003">
        <f t="shared" si="568"/>
        <v>0</v>
      </c>
      <c r="AW305" s="1989" t="e">
        <f>#REF!/10^7</f>
        <v>#REF!</v>
      </c>
      <c r="AX305" s="2003">
        <f t="shared" si="569"/>
        <v>0</v>
      </c>
      <c r="AY305" s="1989" t="e">
        <f>#REF!/10^7</f>
        <v>#REF!</v>
      </c>
      <c r="AZ305" s="1989" t="e">
        <f>#REF!/10^7</f>
        <v>#REF!</v>
      </c>
      <c r="BA305" s="2002" t="e">
        <f t="shared" si="570"/>
        <v>#REF!</v>
      </c>
      <c r="BB305" s="1999" t="e">
        <f t="shared" si="673"/>
        <v>#REF!</v>
      </c>
      <c r="BC305" s="1993" t="e">
        <f>#REF!</f>
        <v>#REF!</v>
      </c>
      <c r="BD305" s="2003">
        <f t="shared" si="571"/>
        <v>0</v>
      </c>
      <c r="BE305" s="1989" t="e">
        <f>#REF!/10^7</f>
        <v>#REF!</v>
      </c>
      <c r="BF305" s="2003">
        <f t="shared" si="572"/>
        <v>0</v>
      </c>
      <c r="BG305" s="1989" t="e">
        <f>#REF!/10^7</f>
        <v>#REF!</v>
      </c>
      <c r="BH305" s="2003">
        <f t="shared" si="573"/>
        <v>0</v>
      </c>
      <c r="BI305" s="1989" t="e">
        <f>#REF!/10^7</f>
        <v>#REF!</v>
      </c>
      <c r="BJ305" s="1989" t="e">
        <f>#REF!/10^7</f>
        <v>#REF!</v>
      </c>
      <c r="BK305" s="2002" t="e">
        <f t="shared" si="574"/>
        <v>#REF!</v>
      </c>
      <c r="BL305" s="1999" t="e">
        <f t="shared" si="674"/>
        <v>#REF!</v>
      </c>
      <c r="BM305" s="1993" t="e">
        <f>#REF!</f>
        <v>#REF!</v>
      </c>
      <c r="BN305" s="2003">
        <f t="shared" si="575"/>
        <v>0</v>
      </c>
      <c r="BO305" s="1989" t="e">
        <f>#REF!/10^7</f>
        <v>#REF!</v>
      </c>
      <c r="BP305" s="2003">
        <f t="shared" si="576"/>
        <v>0</v>
      </c>
      <c r="BQ305" s="1989" t="e">
        <f>#REF!/10^7</f>
        <v>#REF!</v>
      </c>
      <c r="BR305" s="2003">
        <f t="shared" si="577"/>
        <v>0</v>
      </c>
      <c r="BS305" s="1989" t="e">
        <f>#REF!/10^7</f>
        <v>#REF!</v>
      </c>
      <c r="BT305" s="1989" t="e">
        <f>#REF!/10^7</f>
        <v>#REF!</v>
      </c>
      <c r="BU305" s="2002" t="e">
        <f t="shared" si="578"/>
        <v>#REF!</v>
      </c>
      <c r="BV305" s="1999" t="e">
        <f t="shared" si="675"/>
        <v>#REF!</v>
      </c>
      <c r="BW305" s="1993" t="e">
        <f>#REF!</f>
        <v>#REF!</v>
      </c>
      <c r="BX305" s="2003">
        <f t="shared" si="579"/>
        <v>0</v>
      </c>
      <c r="BY305" s="1989" t="e">
        <f>#REF!/10^7</f>
        <v>#REF!</v>
      </c>
      <c r="BZ305" s="2003">
        <f t="shared" si="580"/>
        <v>0</v>
      </c>
      <c r="CA305" s="1989" t="e">
        <f>#REF!/10^7</f>
        <v>#REF!</v>
      </c>
      <c r="CB305" s="2003">
        <f t="shared" si="581"/>
        <v>0</v>
      </c>
      <c r="CC305" s="1989" t="e">
        <f>#REF!/10^7</f>
        <v>#REF!</v>
      </c>
      <c r="CD305" s="1989" t="e">
        <f>#REF!/10^7</f>
        <v>#REF!</v>
      </c>
      <c r="CE305" s="2002" t="e">
        <f t="shared" si="582"/>
        <v>#REF!</v>
      </c>
      <c r="CF305" s="1999" t="e">
        <f t="shared" si="676"/>
        <v>#REF!</v>
      </c>
      <c r="CG305" s="1993" t="e">
        <f>#REF!</f>
        <v>#REF!</v>
      </c>
      <c r="CH305" s="2003">
        <f t="shared" si="583"/>
        <v>0</v>
      </c>
      <c r="CI305" s="1989" t="e">
        <f>#REF!/10^7</f>
        <v>#REF!</v>
      </c>
      <c r="CJ305" s="2003">
        <f t="shared" si="584"/>
        <v>0</v>
      </c>
      <c r="CK305" s="1989" t="e">
        <f>#REF!/10^7</f>
        <v>#REF!</v>
      </c>
      <c r="CL305" s="2003">
        <f t="shared" si="585"/>
        <v>0</v>
      </c>
      <c r="CM305" s="1989" t="e">
        <f>#REF!/10^7</f>
        <v>#REF!</v>
      </c>
      <c r="CN305" s="1989" t="e">
        <f>#REF!/10^7</f>
        <v>#REF!</v>
      </c>
      <c r="CO305" s="2002" t="e">
        <f t="shared" si="586"/>
        <v>#REF!</v>
      </c>
      <c r="CP305" s="1999" t="e">
        <f t="shared" si="677"/>
        <v>#REF!</v>
      </c>
      <c r="CQ305" s="1993" t="e">
        <f>#REF!</f>
        <v>#REF!</v>
      </c>
      <c r="CR305" s="2003">
        <f t="shared" si="587"/>
        <v>0</v>
      </c>
      <c r="CS305" s="1989" t="e">
        <f>#REF!/10^7</f>
        <v>#REF!</v>
      </c>
      <c r="CT305" s="2003">
        <f t="shared" si="588"/>
        <v>0</v>
      </c>
      <c r="CU305" s="1989" t="e">
        <f>#REF!/10^7</f>
        <v>#REF!</v>
      </c>
      <c r="CV305" s="2003">
        <f t="shared" si="589"/>
        <v>0</v>
      </c>
      <c r="CW305" s="1989" t="e">
        <f>#REF!/10^7</f>
        <v>#REF!</v>
      </c>
      <c r="CX305" s="1989" t="e">
        <f>#REF!/10^7</f>
        <v>#REF!</v>
      </c>
      <c r="CY305" s="2002" t="e">
        <f t="shared" si="590"/>
        <v>#REF!</v>
      </c>
      <c r="CZ305" s="1999" t="e">
        <f t="shared" si="678"/>
        <v>#REF!</v>
      </c>
      <c r="DA305" s="1993" t="e">
        <f>#REF!</f>
        <v>#REF!</v>
      </c>
      <c r="DB305" s="2003">
        <f t="shared" si="591"/>
        <v>0</v>
      </c>
      <c r="DC305" s="1989" t="e">
        <f>#REF!/10^7</f>
        <v>#REF!</v>
      </c>
      <c r="DD305" s="2003">
        <f t="shared" si="592"/>
        <v>0</v>
      </c>
      <c r="DE305" s="1989" t="e">
        <f>#REF!/10^7</f>
        <v>#REF!</v>
      </c>
      <c r="DF305" s="2003">
        <f t="shared" si="593"/>
        <v>0</v>
      </c>
      <c r="DG305" s="1989" t="e">
        <f>#REF!/10^7</f>
        <v>#REF!</v>
      </c>
      <c r="DH305" s="1989" t="e">
        <f>#REF!/10^7</f>
        <v>#REF!</v>
      </c>
      <c r="DI305" s="2002" t="e">
        <f t="shared" si="594"/>
        <v>#REF!</v>
      </c>
      <c r="DJ305" s="1999" t="e">
        <f t="shared" si="679"/>
        <v>#REF!</v>
      </c>
      <c r="DK305" s="1993" t="e">
        <f>#REF!</f>
        <v>#REF!</v>
      </c>
      <c r="DL305" s="2003">
        <f t="shared" si="595"/>
        <v>0</v>
      </c>
      <c r="DM305" s="1989" t="e">
        <f>#REF!/10^7</f>
        <v>#REF!</v>
      </c>
      <c r="DN305" s="2003">
        <f t="shared" si="596"/>
        <v>0</v>
      </c>
      <c r="DO305" s="1989" t="e">
        <f>#REF!/10^7</f>
        <v>#REF!</v>
      </c>
      <c r="DP305" s="2003">
        <f t="shared" si="597"/>
        <v>0</v>
      </c>
      <c r="DQ305" s="1989" t="e">
        <f>#REF!/10^7</f>
        <v>#REF!</v>
      </c>
      <c r="DR305" s="1989" t="e">
        <f>#REF!/10^7</f>
        <v>#REF!</v>
      </c>
      <c r="DS305" s="2002" t="e">
        <f t="shared" si="598"/>
        <v>#REF!</v>
      </c>
      <c r="DT305" s="2004" t="e">
        <f t="shared" si="680"/>
        <v>#REF!</v>
      </c>
      <c r="DU305" s="1988" t="e">
        <f>#REF!</f>
        <v>#REF!</v>
      </c>
      <c r="DV305" s="2003">
        <f t="shared" si="599"/>
        <v>0</v>
      </c>
      <c r="DW305" s="1989" t="e">
        <f>#REF!/10^7</f>
        <v>#REF!</v>
      </c>
      <c r="DX305" s="2003">
        <f t="shared" si="600"/>
        <v>0</v>
      </c>
      <c r="DY305" s="1989" t="e">
        <f>#REF!/10^7</f>
        <v>#REF!</v>
      </c>
      <c r="DZ305" s="2003">
        <f t="shared" si="601"/>
        <v>0</v>
      </c>
      <c r="EA305" s="1989" t="e">
        <f>#REF!/10^7</f>
        <v>#REF!</v>
      </c>
      <c r="EB305" s="1989" t="e">
        <f>#REF!/10^7</f>
        <v>#REF!</v>
      </c>
      <c r="EC305" s="2002" t="e">
        <f t="shared" si="602"/>
        <v>#REF!</v>
      </c>
      <c r="ED305" s="1998" t="e">
        <f t="shared" si="681"/>
        <v>#REF!</v>
      </c>
      <c r="EE305" s="2005" t="e">
        <f t="shared" si="682"/>
        <v>#REF!</v>
      </c>
      <c r="EF305" s="2003">
        <f t="shared" si="603"/>
        <v>0</v>
      </c>
      <c r="EG305" s="1989" t="e">
        <f t="shared" si="683"/>
        <v>#REF!</v>
      </c>
      <c r="EH305" s="2003">
        <f t="shared" si="604"/>
        <v>0</v>
      </c>
      <c r="EI305" s="1989" t="e">
        <f t="shared" si="684"/>
        <v>#REF!</v>
      </c>
      <c r="EJ305" s="2003">
        <f t="shared" si="605"/>
        <v>0</v>
      </c>
      <c r="EK305" s="1989" t="e">
        <f t="shared" si="685"/>
        <v>#REF!</v>
      </c>
      <c r="EL305" s="1989" t="e">
        <f t="shared" si="685"/>
        <v>#REF!</v>
      </c>
      <c r="EM305" s="2006" t="e">
        <f t="shared" si="606"/>
        <v>#REF!</v>
      </c>
      <c r="EN305" s="1999" t="e">
        <f t="shared" si="686"/>
        <v>#REF!</v>
      </c>
      <c r="EP305" s="1613" t="e">
        <f>EA305-#REF!/10^7</f>
        <v>#REF!</v>
      </c>
      <c r="EW305" s="1611" t="e">
        <v>#N/A</v>
      </c>
      <c r="EX305" s="1612" t="e">
        <v>#N/A</v>
      </c>
      <c r="EZ305" s="1650">
        <f t="shared" si="607"/>
        <v>0</v>
      </c>
    </row>
    <row r="306" spans="1:156" ht="21" customHeight="1">
      <c r="A306" s="1652">
        <v>16</v>
      </c>
      <c r="B306" s="1644" t="s">
        <v>1966</v>
      </c>
      <c r="C306" s="1662"/>
      <c r="D306" s="1648"/>
      <c r="E306" s="1648"/>
      <c r="F306" s="1648"/>
      <c r="G306" s="1648"/>
      <c r="H306" s="1648"/>
      <c r="I306" s="1648" t="s">
        <v>1667</v>
      </c>
      <c r="J306" s="1649">
        <v>2</v>
      </c>
      <c r="K306" s="1648"/>
      <c r="L306" s="1648"/>
      <c r="M306" s="1648"/>
      <c r="N306" s="1642"/>
      <c r="O306" s="2000" t="e">
        <f>#REF!</f>
        <v>#REF!</v>
      </c>
      <c r="P306" s="2003">
        <f t="shared" si="555"/>
        <v>0</v>
      </c>
      <c r="Q306" s="1989" t="e">
        <f>#REF!/10^7</f>
        <v>#REF!</v>
      </c>
      <c r="R306" s="2003">
        <f t="shared" si="556"/>
        <v>0</v>
      </c>
      <c r="S306" s="1989" t="e">
        <f>#REF!/10^7</f>
        <v>#REF!</v>
      </c>
      <c r="T306" s="2003">
        <f t="shared" si="557"/>
        <v>0</v>
      </c>
      <c r="U306" s="1989" t="e">
        <f>#REF!/10^7</f>
        <v>#REF!</v>
      </c>
      <c r="V306" s="1989" t="e">
        <f>#REF!/10^7</f>
        <v>#REF!</v>
      </c>
      <c r="W306" s="1989">
        <f t="shared" si="558"/>
        <v>0</v>
      </c>
      <c r="X306" s="1999" t="e">
        <f t="shared" si="671"/>
        <v>#REF!</v>
      </c>
      <c r="Y306" s="1993" t="e">
        <f>#REF!</f>
        <v>#REF!</v>
      </c>
      <c r="Z306" s="2003">
        <f t="shared" si="559"/>
        <v>0</v>
      </c>
      <c r="AA306" s="1989" t="e">
        <f>#REF!/10^7</f>
        <v>#REF!</v>
      </c>
      <c r="AB306" s="2003">
        <f t="shared" si="560"/>
        <v>0</v>
      </c>
      <c r="AC306" s="1989" t="e">
        <f>#REF!/10^7</f>
        <v>#REF!</v>
      </c>
      <c r="AD306" s="2003">
        <f t="shared" si="561"/>
        <v>0</v>
      </c>
      <c r="AE306" s="1989" t="e">
        <f>#REF!/10^7</f>
        <v>#REF!</v>
      </c>
      <c r="AF306" s="1989" t="e">
        <f>#REF!/10^7</f>
        <v>#REF!</v>
      </c>
      <c r="AG306" s="2002" t="e">
        <f t="shared" si="562"/>
        <v>#REF!</v>
      </c>
      <c r="AH306" s="1999" t="e">
        <f t="shared" si="670"/>
        <v>#REF!</v>
      </c>
      <c r="AI306" s="1993" t="e">
        <f>#REF!</f>
        <v>#REF!</v>
      </c>
      <c r="AJ306" s="2003">
        <f t="shared" si="563"/>
        <v>0</v>
      </c>
      <c r="AK306" s="1989" t="e">
        <f>#REF!/10^7</f>
        <v>#REF!</v>
      </c>
      <c r="AL306" s="2003">
        <f t="shared" si="564"/>
        <v>0</v>
      </c>
      <c r="AM306" s="1989" t="e">
        <f>#REF!/10^7</f>
        <v>#REF!</v>
      </c>
      <c r="AN306" s="2003">
        <f t="shared" si="565"/>
        <v>0</v>
      </c>
      <c r="AO306" s="1989" t="e">
        <f>#REF!/10^7</f>
        <v>#REF!</v>
      </c>
      <c r="AP306" s="1989" t="e">
        <f>#REF!/10^7</f>
        <v>#REF!</v>
      </c>
      <c r="AQ306" s="2002" t="e">
        <f t="shared" si="566"/>
        <v>#REF!</v>
      </c>
      <c r="AR306" s="1999" t="e">
        <f t="shared" si="672"/>
        <v>#REF!</v>
      </c>
      <c r="AS306" s="1993" t="e">
        <f>#REF!</f>
        <v>#REF!</v>
      </c>
      <c r="AT306" s="2003">
        <f t="shared" si="567"/>
        <v>0</v>
      </c>
      <c r="AU306" s="1989" t="e">
        <f>#REF!/10^7</f>
        <v>#REF!</v>
      </c>
      <c r="AV306" s="2003">
        <f t="shared" si="568"/>
        <v>0</v>
      </c>
      <c r="AW306" s="1989" t="e">
        <f>#REF!/10^7</f>
        <v>#REF!</v>
      </c>
      <c r="AX306" s="2003">
        <f t="shared" si="569"/>
        <v>0</v>
      </c>
      <c r="AY306" s="1989" t="e">
        <f>#REF!/10^7</f>
        <v>#REF!</v>
      </c>
      <c r="AZ306" s="1989" t="e">
        <f>#REF!/10^7</f>
        <v>#REF!</v>
      </c>
      <c r="BA306" s="2002" t="e">
        <f t="shared" si="570"/>
        <v>#REF!</v>
      </c>
      <c r="BB306" s="1999" t="e">
        <f t="shared" si="673"/>
        <v>#REF!</v>
      </c>
      <c r="BC306" s="1993" t="e">
        <f>#REF!</f>
        <v>#REF!</v>
      </c>
      <c r="BD306" s="2003">
        <f t="shared" si="571"/>
        <v>0</v>
      </c>
      <c r="BE306" s="1989" t="e">
        <f>#REF!/10^7</f>
        <v>#REF!</v>
      </c>
      <c r="BF306" s="2003">
        <f t="shared" si="572"/>
        <v>0</v>
      </c>
      <c r="BG306" s="1989" t="e">
        <f>#REF!/10^7</f>
        <v>#REF!</v>
      </c>
      <c r="BH306" s="2003">
        <f t="shared" si="573"/>
        <v>0</v>
      </c>
      <c r="BI306" s="1989" t="e">
        <f>#REF!/10^7</f>
        <v>#REF!</v>
      </c>
      <c r="BJ306" s="1989" t="e">
        <f>#REF!/10^7</f>
        <v>#REF!</v>
      </c>
      <c r="BK306" s="2002" t="e">
        <f t="shared" si="574"/>
        <v>#REF!</v>
      </c>
      <c r="BL306" s="1999" t="e">
        <f t="shared" si="674"/>
        <v>#REF!</v>
      </c>
      <c r="BM306" s="1993" t="e">
        <f>#REF!</f>
        <v>#REF!</v>
      </c>
      <c r="BN306" s="2003">
        <f t="shared" si="575"/>
        <v>0</v>
      </c>
      <c r="BO306" s="1989" t="e">
        <f>#REF!/10^7</f>
        <v>#REF!</v>
      </c>
      <c r="BP306" s="2003">
        <f t="shared" si="576"/>
        <v>0</v>
      </c>
      <c r="BQ306" s="1989" t="e">
        <f>#REF!/10^7</f>
        <v>#REF!</v>
      </c>
      <c r="BR306" s="2003">
        <f t="shared" si="577"/>
        <v>0</v>
      </c>
      <c r="BS306" s="1989" t="e">
        <f>#REF!/10^7</f>
        <v>#REF!</v>
      </c>
      <c r="BT306" s="1989" t="e">
        <f>#REF!/10^7</f>
        <v>#REF!</v>
      </c>
      <c r="BU306" s="2002" t="e">
        <f t="shared" si="578"/>
        <v>#REF!</v>
      </c>
      <c r="BV306" s="1999" t="e">
        <f t="shared" si="675"/>
        <v>#REF!</v>
      </c>
      <c r="BW306" s="1993" t="e">
        <f>#REF!</f>
        <v>#REF!</v>
      </c>
      <c r="BX306" s="2003">
        <f t="shared" si="579"/>
        <v>0</v>
      </c>
      <c r="BY306" s="1989" t="e">
        <f>#REF!/10^7</f>
        <v>#REF!</v>
      </c>
      <c r="BZ306" s="2003">
        <f t="shared" si="580"/>
        <v>0</v>
      </c>
      <c r="CA306" s="1989" t="e">
        <f>#REF!/10^7</f>
        <v>#REF!</v>
      </c>
      <c r="CB306" s="2003">
        <f t="shared" si="581"/>
        <v>0</v>
      </c>
      <c r="CC306" s="1989" t="e">
        <f>#REF!/10^7</f>
        <v>#REF!</v>
      </c>
      <c r="CD306" s="1989" t="e">
        <f>#REF!/10^7</f>
        <v>#REF!</v>
      </c>
      <c r="CE306" s="2002" t="e">
        <f t="shared" si="582"/>
        <v>#REF!</v>
      </c>
      <c r="CF306" s="1999" t="e">
        <f t="shared" si="676"/>
        <v>#REF!</v>
      </c>
      <c r="CG306" s="1993" t="e">
        <f>#REF!</f>
        <v>#REF!</v>
      </c>
      <c r="CH306" s="2003">
        <f t="shared" si="583"/>
        <v>0</v>
      </c>
      <c r="CI306" s="1989" t="e">
        <f>#REF!/10^7</f>
        <v>#REF!</v>
      </c>
      <c r="CJ306" s="2003">
        <f t="shared" si="584"/>
        <v>0</v>
      </c>
      <c r="CK306" s="1989" t="e">
        <f>#REF!/10^7</f>
        <v>#REF!</v>
      </c>
      <c r="CL306" s="2003">
        <f t="shared" si="585"/>
        <v>0</v>
      </c>
      <c r="CM306" s="1989" t="e">
        <f>#REF!/10^7</f>
        <v>#REF!</v>
      </c>
      <c r="CN306" s="1989" t="e">
        <f>#REF!/10^7</f>
        <v>#REF!</v>
      </c>
      <c r="CO306" s="2002" t="e">
        <f t="shared" si="586"/>
        <v>#REF!</v>
      </c>
      <c r="CP306" s="1999" t="e">
        <f t="shared" si="677"/>
        <v>#REF!</v>
      </c>
      <c r="CQ306" s="1993" t="e">
        <f>#REF!</f>
        <v>#REF!</v>
      </c>
      <c r="CR306" s="2003">
        <f t="shared" si="587"/>
        <v>0</v>
      </c>
      <c r="CS306" s="1989" t="e">
        <f>#REF!/10^7</f>
        <v>#REF!</v>
      </c>
      <c r="CT306" s="2003">
        <f t="shared" si="588"/>
        <v>0</v>
      </c>
      <c r="CU306" s="1989" t="e">
        <f>#REF!/10^7</f>
        <v>#REF!</v>
      </c>
      <c r="CV306" s="2003">
        <f t="shared" si="589"/>
        <v>0</v>
      </c>
      <c r="CW306" s="1989" t="e">
        <f>#REF!/10^7</f>
        <v>#REF!</v>
      </c>
      <c r="CX306" s="1989" t="e">
        <f>#REF!/10^7</f>
        <v>#REF!</v>
      </c>
      <c r="CY306" s="2002" t="e">
        <f t="shared" si="590"/>
        <v>#REF!</v>
      </c>
      <c r="CZ306" s="1999" t="e">
        <f t="shared" si="678"/>
        <v>#REF!</v>
      </c>
      <c r="DA306" s="1993" t="e">
        <f>#REF!</f>
        <v>#REF!</v>
      </c>
      <c r="DB306" s="2003">
        <f t="shared" si="591"/>
        <v>0</v>
      </c>
      <c r="DC306" s="1989" t="e">
        <f>#REF!/10^7</f>
        <v>#REF!</v>
      </c>
      <c r="DD306" s="2003">
        <f t="shared" si="592"/>
        <v>0</v>
      </c>
      <c r="DE306" s="1989" t="e">
        <f>#REF!/10^7</f>
        <v>#REF!</v>
      </c>
      <c r="DF306" s="2003">
        <f t="shared" si="593"/>
        <v>0</v>
      </c>
      <c r="DG306" s="1989" t="e">
        <f>#REF!/10^7</f>
        <v>#REF!</v>
      </c>
      <c r="DH306" s="1989" t="e">
        <f>#REF!/10^7</f>
        <v>#REF!</v>
      </c>
      <c r="DI306" s="2002" t="e">
        <f t="shared" si="594"/>
        <v>#REF!</v>
      </c>
      <c r="DJ306" s="1999" t="e">
        <f t="shared" si="679"/>
        <v>#REF!</v>
      </c>
      <c r="DK306" s="1993" t="e">
        <f>#REF!</f>
        <v>#REF!</v>
      </c>
      <c r="DL306" s="2003">
        <f t="shared" si="595"/>
        <v>0</v>
      </c>
      <c r="DM306" s="1989" t="e">
        <f>#REF!/10^7</f>
        <v>#REF!</v>
      </c>
      <c r="DN306" s="2003">
        <f t="shared" si="596"/>
        <v>0</v>
      </c>
      <c r="DO306" s="1989" t="e">
        <f>#REF!/10^7</f>
        <v>#REF!</v>
      </c>
      <c r="DP306" s="2003">
        <f t="shared" si="597"/>
        <v>0</v>
      </c>
      <c r="DQ306" s="1989" t="e">
        <f>#REF!/10^7</f>
        <v>#REF!</v>
      </c>
      <c r="DR306" s="1989" t="e">
        <f>#REF!/10^7</f>
        <v>#REF!</v>
      </c>
      <c r="DS306" s="2002" t="e">
        <f t="shared" si="598"/>
        <v>#REF!</v>
      </c>
      <c r="DT306" s="2004" t="e">
        <f t="shared" si="680"/>
        <v>#REF!</v>
      </c>
      <c r="DU306" s="1988" t="e">
        <f>#REF!</f>
        <v>#REF!</v>
      </c>
      <c r="DV306" s="2003">
        <f t="shared" si="599"/>
        <v>0</v>
      </c>
      <c r="DW306" s="1989" t="e">
        <f>#REF!/10^7</f>
        <v>#REF!</v>
      </c>
      <c r="DX306" s="2003">
        <f t="shared" si="600"/>
        <v>0</v>
      </c>
      <c r="DY306" s="1989" t="e">
        <f>#REF!/10^7</f>
        <v>#REF!</v>
      </c>
      <c r="DZ306" s="2003">
        <f t="shared" si="601"/>
        <v>0</v>
      </c>
      <c r="EA306" s="1989" t="e">
        <f>#REF!/10^7</f>
        <v>#REF!</v>
      </c>
      <c r="EB306" s="1989" t="e">
        <f>#REF!/10^7</f>
        <v>#REF!</v>
      </c>
      <c r="EC306" s="2002" t="e">
        <f t="shared" si="602"/>
        <v>#REF!</v>
      </c>
      <c r="ED306" s="1998" t="e">
        <f t="shared" si="681"/>
        <v>#REF!</v>
      </c>
      <c r="EE306" s="2005" t="e">
        <f t="shared" si="682"/>
        <v>#REF!</v>
      </c>
      <c r="EF306" s="2003">
        <f t="shared" si="603"/>
        <v>0</v>
      </c>
      <c r="EG306" s="1989" t="e">
        <f t="shared" si="683"/>
        <v>#REF!</v>
      </c>
      <c r="EH306" s="2003">
        <f t="shared" si="604"/>
        <v>0</v>
      </c>
      <c r="EI306" s="1989" t="e">
        <f t="shared" si="684"/>
        <v>#REF!</v>
      </c>
      <c r="EJ306" s="2003">
        <f t="shared" si="605"/>
        <v>0</v>
      </c>
      <c r="EK306" s="1989" t="e">
        <f t="shared" si="685"/>
        <v>#REF!</v>
      </c>
      <c r="EL306" s="1989" t="e">
        <f t="shared" si="685"/>
        <v>#REF!</v>
      </c>
      <c r="EM306" s="2006" t="e">
        <f t="shared" si="606"/>
        <v>#REF!</v>
      </c>
      <c r="EN306" s="1999" t="e">
        <f t="shared" si="686"/>
        <v>#REF!</v>
      </c>
      <c r="EP306" s="1613" t="e">
        <f>EA306-#REF!/10^7</f>
        <v>#REF!</v>
      </c>
      <c r="EW306" s="1611" t="e">
        <v>#N/A</v>
      </c>
      <c r="EX306" s="1612" t="e">
        <v>#N/A</v>
      </c>
      <c r="EZ306" s="1650">
        <f t="shared" si="607"/>
        <v>0</v>
      </c>
    </row>
    <row r="307" spans="1:156" ht="21" customHeight="1">
      <c r="A307" s="1652">
        <v>17</v>
      </c>
      <c r="B307" s="1701" t="s">
        <v>1967</v>
      </c>
      <c r="C307" s="1662">
        <v>5</v>
      </c>
      <c r="D307" s="1646">
        <f t="shared" ref="D307:D318" si="688">H307/C307*100</f>
        <v>100</v>
      </c>
      <c r="E307" s="1646"/>
      <c r="F307" s="1648"/>
      <c r="G307" s="1648"/>
      <c r="H307" s="1648">
        <v>5</v>
      </c>
      <c r="I307" s="1648" t="s">
        <v>1667</v>
      </c>
      <c r="J307" s="1649">
        <v>2</v>
      </c>
      <c r="K307" s="1648"/>
      <c r="L307" s="1648"/>
      <c r="M307" s="1648"/>
      <c r="N307" s="1642"/>
      <c r="O307" s="2000" t="e">
        <f>#REF!</f>
        <v>#REF!</v>
      </c>
      <c r="P307" s="2003">
        <f t="shared" si="555"/>
        <v>0</v>
      </c>
      <c r="Q307" s="1989" t="e">
        <f>#REF!/10^7</f>
        <v>#REF!</v>
      </c>
      <c r="R307" s="2003">
        <f t="shared" si="556"/>
        <v>0</v>
      </c>
      <c r="S307" s="1989" t="e">
        <f>#REF!/10^7</f>
        <v>#REF!</v>
      </c>
      <c r="T307" s="2003">
        <f t="shared" si="557"/>
        <v>0</v>
      </c>
      <c r="U307" s="1989" t="e">
        <f>#REF!/10^7</f>
        <v>#REF!</v>
      </c>
      <c r="V307" s="1989" t="e">
        <f>#REF!/10^7</f>
        <v>#REF!</v>
      </c>
      <c r="W307" s="1989">
        <f t="shared" si="558"/>
        <v>0</v>
      </c>
      <c r="X307" s="1999" t="e">
        <f t="shared" si="671"/>
        <v>#REF!</v>
      </c>
      <c r="Y307" s="1993" t="e">
        <f>#REF!</f>
        <v>#REF!</v>
      </c>
      <c r="Z307" s="2003">
        <f t="shared" si="559"/>
        <v>0</v>
      </c>
      <c r="AA307" s="1989" t="e">
        <f>#REF!/10^7</f>
        <v>#REF!</v>
      </c>
      <c r="AB307" s="2003">
        <f t="shared" si="560"/>
        <v>0</v>
      </c>
      <c r="AC307" s="1989" t="e">
        <f>#REF!/10^7</f>
        <v>#REF!</v>
      </c>
      <c r="AD307" s="2003">
        <f t="shared" si="561"/>
        <v>0</v>
      </c>
      <c r="AE307" s="1989" t="e">
        <f>#REF!/10^7</f>
        <v>#REF!</v>
      </c>
      <c r="AF307" s="1989" t="e">
        <f>#REF!/10^7</f>
        <v>#REF!</v>
      </c>
      <c r="AG307" s="2002" t="e">
        <f t="shared" si="562"/>
        <v>#REF!</v>
      </c>
      <c r="AH307" s="1999" t="e">
        <f t="shared" si="670"/>
        <v>#REF!</v>
      </c>
      <c r="AI307" s="1993" t="e">
        <f>#REF!</f>
        <v>#REF!</v>
      </c>
      <c r="AJ307" s="2003">
        <f t="shared" si="563"/>
        <v>0</v>
      </c>
      <c r="AK307" s="1989" t="e">
        <f>#REF!/10^7</f>
        <v>#REF!</v>
      </c>
      <c r="AL307" s="2003">
        <f t="shared" si="564"/>
        <v>0</v>
      </c>
      <c r="AM307" s="1989" t="e">
        <f>#REF!/10^7</f>
        <v>#REF!</v>
      </c>
      <c r="AN307" s="2003">
        <f t="shared" si="565"/>
        <v>0</v>
      </c>
      <c r="AO307" s="1989" t="e">
        <f>#REF!/10^7</f>
        <v>#REF!</v>
      </c>
      <c r="AP307" s="1989" t="e">
        <f>#REF!/10^7</f>
        <v>#REF!</v>
      </c>
      <c r="AQ307" s="2002" t="e">
        <f t="shared" si="566"/>
        <v>#REF!</v>
      </c>
      <c r="AR307" s="1999" t="e">
        <f t="shared" si="672"/>
        <v>#REF!</v>
      </c>
      <c r="AS307" s="1993" t="e">
        <f>#REF!</f>
        <v>#REF!</v>
      </c>
      <c r="AT307" s="2003">
        <f t="shared" si="567"/>
        <v>0</v>
      </c>
      <c r="AU307" s="1989" t="e">
        <f>#REF!/10^7</f>
        <v>#REF!</v>
      </c>
      <c r="AV307" s="2003">
        <f t="shared" si="568"/>
        <v>0</v>
      </c>
      <c r="AW307" s="1989" t="e">
        <f>#REF!/10^7</f>
        <v>#REF!</v>
      </c>
      <c r="AX307" s="2003">
        <f t="shared" si="569"/>
        <v>0</v>
      </c>
      <c r="AY307" s="1989" t="e">
        <f>#REF!/10^7</f>
        <v>#REF!</v>
      </c>
      <c r="AZ307" s="1989" t="e">
        <f>#REF!/10^7</f>
        <v>#REF!</v>
      </c>
      <c r="BA307" s="2002" t="e">
        <f t="shared" si="570"/>
        <v>#REF!</v>
      </c>
      <c r="BB307" s="1999" t="e">
        <f t="shared" si="673"/>
        <v>#REF!</v>
      </c>
      <c r="BC307" s="1993" t="e">
        <f>#REF!</f>
        <v>#REF!</v>
      </c>
      <c r="BD307" s="2003">
        <f t="shared" si="571"/>
        <v>0</v>
      </c>
      <c r="BE307" s="1989" t="e">
        <f>#REF!/10^7</f>
        <v>#REF!</v>
      </c>
      <c r="BF307" s="2003">
        <f t="shared" si="572"/>
        <v>0</v>
      </c>
      <c r="BG307" s="1989" t="e">
        <f>#REF!/10^7</f>
        <v>#REF!</v>
      </c>
      <c r="BH307" s="2003">
        <f t="shared" si="573"/>
        <v>0</v>
      </c>
      <c r="BI307" s="1989" t="e">
        <f>#REF!/10^7</f>
        <v>#REF!</v>
      </c>
      <c r="BJ307" s="1989" t="e">
        <f>#REF!/10^7</f>
        <v>#REF!</v>
      </c>
      <c r="BK307" s="2002" t="e">
        <f t="shared" si="574"/>
        <v>#REF!</v>
      </c>
      <c r="BL307" s="1999" t="e">
        <f t="shared" si="674"/>
        <v>#REF!</v>
      </c>
      <c r="BM307" s="1993" t="e">
        <f>#REF!</f>
        <v>#REF!</v>
      </c>
      <c r="BN307" s="2003">
        <f t="shared" si="575"/>
        <v>0</v>
      </c>
      <c r="BO307" s="1989" t="e">
        <f>#REF!/10^7</f>
        <v>#REF!</v>
      </c>
      <c r="BP307" s="2003">
        <f t="shared" si="576"/>
        <v>0</v>
      </c>
      <c r="BQ307" s="1989" t="e">
        <f>#REF!/10^7</f>
        <v>#REF!</v>
      </c>
      <c r="BR307" s="2003">
        <f t="shared" si="577"/>
        <v>0</v>
      </c>
      <c r="BS307" s="1989" t="e">
        <f>#REF!/10^7</f>
        <v>#REF!</v>
      </c>
      <c r="BT307" s="1989" t="e">
        <f>#REF!/10^7</f>
        <v>#REF!</v>
      </c>
      <c r="BU307" s="2002" t="e">
        <f t="shared" si="578"/>
        <v>#REF!</v>
      </c>
      <c r="BV307" s="1999" t="e">
        <f t="shared" si="675"/>
        <v>#REF!</v>
      </c>
      <c r="BW307" s="1993" t="e">
        <f>#REF!</f>
        <v>#REF!</v>
      </c>
      <c r="BX307" s="2003">
        <f t="shared" si="579"/>
        <v>0</v>
      </c>
      <c r="BY307" s="1989" t="e">
        <f>#REF!/10^7</f>
        <v>#REF!</v>
      </c>
      <c r="BZ307" s="2003">
        <f t="shared" si="580"/>
        <v>0</v>
      </c>
      <c r="CA307" s="1989" t="e">
        <f>#REF!/10^7</f>
        <v>#REF!</v>
      </c>
      <c r="CB307" s="2003">
        <f t="shared" si="581"/>
        <v>0</v>
      </c>
      <c r="CC307" s="1989" t="e">
        <f>#REF!/10^7</f>
        <v>#REF!</v>
      </c>
      <c r="CD307" s="1989" t="e">
        <f>#REF!/10^7</f>
        <v>#REF!</v>
      </c>
      <c r="CE307" s="2002" t="e">
        <f t="shared" si="582"/>
        <v>#REF!</v>
      </c>
      <c r="CF307" s="1999" t="e">
        <f t="shared" si="676"/>
        <v>#REF!</v>
      </c>
      <c r="CG307" s="1993" t="e">
        <f>#REF!</f>
        <v>#REF!</v>
      </c>
      <c r="CH307" s="2003">
        <f t="shared" si="583"/>
        <v>0</v>
      </c>
      <c r="CI307" s="1989" t="e">
        <f>#REF!/10^7</f>
        <v>#REF!</v>
      </c>
      <c r="CJ307" s="2003">
        <f t="shared" si="584"/>
        <v>0</v>
      </c>
      <c r="CK307" s="1989" t="e">
        <f>#REF!/10^7</f>
        <v>#REF!</v>
      </c>
      <c r="CL307" s="2003">
        <f t="shared" si="585"/>
        <v>0</v>
      </c>
      <c r="CM307" s="1989" t="e">
        <f>#REF!/10^7</f>
        <v>#REF!</v>
      </c>
      <c r="CN307" s="1989" t="e">
        <f>#REF!/10^7</f>
        <v>#REF!</v>
      </c>
      <c r="CO307" s="2002" t="e">
        <f t="shared" si="586"/>
        <v>#REF!</v>
      </c>
      <c r="CP307" s="1999" t="e">
        <f t="shared" si="677"/>
        <v>#REF!</v>
      </c>
      <c r="CQ307" s="1993" t="e">
        <f>#REF!</f>
        <v>#REF!</v>
      </c>
      <c r="CR307" s="2003">
        <f t="shared" si="587"/>
        <v>0</v>
      </c>
      <c r="CS307" s="1989" t="e">
        <f>#REF!/10^7</f>
        <v>#REF!</v>
      </c>
      <c r="CT307" s="2003">
        <f t="shared" si="588"/>
        <v>0</v>
      </c>
      <c r="CU307" s="1989" t="e">
        <f>#REF!/10^7</f>
        <v>#REF!</v>
      </c>
      <c r="CV307" s="2003">
        <f t="shared" si="589"/>
        <v>0</v>
      </c>
      <c r="CW307" s="1989" t="e">
        <f>#REF!/10^7</f>
        <v>#REF!</v>
      </c>
      <c r="CX307" s="1989" t="e">
        <f>#REF!/10^7</f>
        <v>#REF!</v>
      </c>
      <c r="CY307" s="2002" t="e">
        <f t="shared" si="590"/>
        <v>#REF!</v>
      </c>
      <c r="CZ307" s="1999" t="e">
        <f t="shared" si="678"/>
        <v>#REF!</v>
      </c>
      <c r="DA307" s="1993" t="e">
        <f>#REF!</f>
        <v>#REF!</v>
      </c>
      <c r="DB307" s="2003">
        <f t="shared" si="591"/>
        <v>0</v>
      </c>
      <c r="DC307" s="1989" t="e">
        <f>#REF!/10^7</f>
        <v>#REF!</v>
      </c>
      <c r="DD307" s="2003">
        <f t="shared" si="592"/>
        <v>0</v>
      </c>
      <c r="DE307" s="1989" t="e">
        <f>#REF!/10^7</f>
        <v>#REF!</v>
      </c>
      <c r="DF307" s="2003">
        <f t="shared" si="593"/>
        <v>0</v>
      </c>
      <c r="DG307" s="1989" t="e">
        <f>#REF!/10^7</f>
        <v>#REF!</v>
      </c>
      <c r="DH307" s="1989" t="e">
        <f>#REF!/10^7</f>
        <v>#REF!</v>
      </c>
      <c r="DI307" s="2002" t="e">
        <f t="shared" si="594"/>
        <v>#REF!</v>
      </c>
      <c r="DJ307" s="1999" t="e">
        <f t="shared" si="679"/>
        <v>#REF!</v>
      </c>
      <c r="DK307" s="1993" t="e">
        <f>#REF!</f>
        <v>#REF!</v>
      </c>
      <c r="DL307" s="2003">
        <f t="shared" si="595"/>
        <v>0</v>
      </c>
      <c r="DM307" s="1989" t="e">
        <f>#REF!/10^7</f>
        <v>#REF!</v>
      </c>
      <c r="DN307" s="2003">
        <f t="shared" si="596"/>
        <v>0</v>
      </c>
      <c r="DO307" s="1989" t="e">
        <f>#REF!/10^7</f>
        <v>#REF!</v>
      </c>
      <c r="DP307" s="2003">
        <f t="shared" si="597"/>
        <v>0</v>
      </c>
      <c r="DQ307" s="1989" t="e">
        <f>#REF!/10^7</f>
        <v>#REF!</v>
      </c>
      <c r="DR307" s="1989" t="e">
        <f>#REF!/10^7</f>
        <v>#REF!</v>
      </c>
      <c r="DS307" s="2002" t="e">
        <f t="shared" si="598"/>
        <v>#REF!</v>
      </c>
      <c r="DT307" s="2004" t="e">
        <f t="shared" si="680"/>
        <v>#REF!</v>
      </c>
      <c r="DU307" s="1988" t="e">
        <f>#REF!</f>
        <v>#REF!</v>
      </c>
      <c r="DV307" s="2003">
        <f t="shared" si="599"/>
        <v>0</v>
      </c>
      <c r="DW307" s="1989" t="e">
        <f>#REF!/10^7</f>
        <v>#REF!</v>
      </c>
      <c r="DX307" s="2003">
        <f t="shared" si="600"/>
        <v>0</v>
      </c>
      <c r="DY307" s="1989" t="e">
        <f>#REF!/10^7</f>
        <v>#REF!</v>
      </c>
      <c r="DZ307" s="2003">
        <f t="shared" si="601"/>
        <v>0</v>
      </c>
      <c r="EA307" s="1989" t="e">
        <f>#REF!/10^7</f>
        <v>#REF!</v>
      </c>
      <c r="EB307" s="1989" t="e">
        <f>#REF!/10^7</f>
        <v>#REF!</v>
      </c>
      <c r="EC307" s="2002" t="e">
        <f t="shared" si="602"/>
        <v>#REF!</v>
      </c>
      <c r="ED307" s="1998" t="e">
        <f t="shared" si="681"/>
        <v>#REF!</v>
      </c>
      <c r="EE307" s="2005" t="e">
        <f t="shared" si="682"/>
        <v>#REF!</v>
      </c>
      <c r="EF307" s="2003">
        <f t="shared" si="603"/>
        <v>0</v>
      </c>
      <c r="EG307" s="1989" t="e">
        <f t="shared" si="683"/>
        <v>#REF!</v>
      </c>
      <c r="EH307" s="2003">
        <f t="shared" si="604"/>
        <v>0</v>
      </c>
      <c r="EI307" s="1989" t="e">
        <f t="shared" si="684"/>
        <v>#REF!</v>
      </c>
      <c r="EJ307" s="2003">
        <f t="shared" si="605"/>
        <v>0</v>
      </c>
      <c r="EK307" s="1989" t="e">
        <f t="shared" si="685"/>
        <v>#REF!</v>
      </c>
      <c r="EL307" s="1989" t="e">
        <f t="shared" si="685"/>
        <v>#REF!</v>
      </c>
      <c r="EM307" s="2006" t="e">
        <f t="shared" si="606"/>
        <v>#REF!</v>
      </c>
      <c r="EN307" s="1999" t="e">
        <f t="shared" si="686"/>
        <v>#REF!</v>
      </c>
      <c r="EP307" s="1613" t="e">
        <f>EA307-#REF!/10^7</f>
        <v>#REF!</v>
      </c>
      <c r="EW307" s="1611" t="e">
        <v>#N/A</v>
      </c>
      <c r="EX307" s="1612" t="e">
        <v>#N/A</v>
      </c>
      <c r="EZ307" s="1650">
        <f t="shared" si="607"/>
        <v>0</v>
      </c>
    </row>
    <row r="308" spans="1:156" ht="21" customHeight="1">
      <c r="A308" s="1652">
        <v>18</v>
      </c>
      <c r="B308" s="1668" t="s">
        <v>1968</v>
      </c>
      <c r="C308" s="1662">
        <v>2</v>
      </c>
      <c r="D308" s="1646">
        <f t="shared" si="688"/>
        <v>100</v>
      </c>
      <c r="E308" s="1646"/>
      <c r="F308" s="1648" t="s">
        <v>1594</v>
      </c>
      <c r="G308" s="1648"/>
      <c r="H308" s="1648">
        <v>2</v>
      </c>
      <c r="I308" s="1648" t="s">
        <v>1667</v>
      </c>
      <c r="J308" s="1649">
        <v>2</v>
      </c>
      <c r="K308" s="1648"/>
      <c r="L308" s="1648"/>
      <c r="M308" s="1648"/>
      <c r="N308" s="1642"/>
      <c r="O308" s="2000" t="e">
        <f>#REF!</f>
        <v>#REF!</v>
      </c>
      <c r="P308" s="2003">
        <f t="shared" si="555"/>
        <v>0</v>
      </c>
      <c r="Q308" s="1989" t="e">
        <f>#REF!/10^7</f>
        <v>#REF!</v>
      </c>
      <c r="R308" s="2003">
        <f t="shared" si="556"/>
        <v>0</v>
      </c>
      <c r="S308" s="1989" t="e">
        <f>#REF!/10^7</f>
        <v>#REF!</v>
      </c>
      <c r="T308" s="2003">
        <f t="shared" si="557"/>
        <v>0</v>
      </c>
      <c r="U308" s="1989" t="e">
        <f>#REF!/10^7</f>
        <v>#REF!</v>
      </c>
      <c r="V308" s="1989" t="e">
        <f>#REF!/10^7</f>
        <v>#REF!</v>
      </c>
      <c r="W308" s="1989">
        <f t="shared" si="558"/>
        <v>0</v>
      </c>
      <c r="X308" s="1999" t="e">
        <f t="shared" si="671"/>
        <v>#REF!</v>
      </c>
      <c r="Y308" s="1993" t="e">
        <f>#REF!</f>
        <v>#REF!</v>
      </c>
      <c r="Z308" s="2003">
        <f t="shared" si="559"/>
        <v>0</v>
      </c>
      <c r="AA308" s="1989" t="e">
        <f>#REF!/10^7</f>
        <v>#REF!</v>
      </c>
      <c r="AB308" s="2003">
        <f t="shared" si="560"/>
        <v>0</v>
      </c>
      <c r="AC308" s="1989" t="e">
        <f>#REF!/10^7</f>
        <v>#REF!</v>
      </c>
      <c r="AD308" s="2003">
        <f t="shared" si="561"/>
        <v>0</v>
      </c>
      <c r="AE308" s="1989" t="e">
        <f>#REF!/10^7</f>
        <v>#REF!</v>
      </c>
      <c r="AF308" s="1989" t="e">
        <f>#REF!/10^7</f>
        <v>#REF!</v>
      </c>
      <c r="AG308" s="2002" t="e">
        <f t="shared" si="562"/>
        <v>#REF!</v>
      </c>
      <c r="AH308" s="1999" t="e">
        <f t="shared" si="670"/>
        <v>#REF!</v>
      </c>
      <c r="AI308" s="1993" t="e">
        <f>#REF!</f>
        <v>#REF!</v>
      </c>
      <c r="AJ308" s="2003">
        <f t="shared" si="563"/>
        <v>0</v>
      </c>
      <c r="AK308" s="1989" t="e">
        <f>#REF!/10^7</f>
        <v>#REF!</v>
      </c>
      <c r="AL308" s="2003">
        <f t="shared" si="564"/>
        <v>0</v>
      </c>
      <c r="AM308" s="1989" t="e">
        <f>#REF!/10^7</f>
        <v>#REF!</v>
      </c>
      <c r="AN308" s="2003">
        <f t="shared" si="565"/>
        <v>0</v>
      </c>
      <c r="AO308" s="1989" t="e">
        <f>#REF!/10^7</f>
        <v>#REF!</v>
      </c>
      <c r="AP308" s="1989" t="e">
        <f>#REF!/10^7</f>
        <v>#REF!</v>
      </c>
      <c r="AQ308" s="2002" t="e">
        <f t="shared" si="566"/>
        <v>#REF!</v>
      </c>
      <c r="AR308" s="1999" t="e">
        <f t="shared" si="672"/>
        <v>#REF!</v>
      </c>
      <c r="AS308" s="1993" t="e">
        <f>#REF!</f>
        <v>#REF!</v>
      </c>
      <c r="AT308" s="2003">
        <f t="shared" si="567"/>
        <v>0</v>
      </c>
      <c r="AU308" s="1989" t="e">
        <f>#REF!/10^7</f>
        <v>#REF!</v>
      </c>
      <c r="AV308" s="2003">
        <f t="shared" si="568"/>
        <v>0</v>
      </c>
      <c r="AW308" s="1989" t="e">
        <f>#REF!/10^7</f>
        <v>#REF!</v>
      </c>
      <c r="AX308" s="2003">
        <f t="shared" si="569"/>
        <v>0</v>
      </c>
      <c r="AY308" s="1989" t="e">
        <f>#REF!/10^7</f>
        <v>#REF!</v>
      </c>
      <c r="AZ308" s="1989" t="e">
        <f>#REF!/10^7</f>
        <v>#REF!</v>
      </c>
      <c r="BA308" s="2002" t="e">
        <f t="shared" si="570"/>
        <v>#REF!</v>
      </c>
      <c r="BB308" s="1999" t="e">
        <f t="shared" si="673"/>
        <v>#REF!</v>
      </c>
      <c r="BC308" s="1993" t="e">
        <f>#REF!</f>
        <v>#REF!</v>
      </c>
      <c r="BD308" s="2003">
        <f t="shared" si="571"/>
        <v>0</v>
      </c>
      <c r="BE308" s="1989" t="e">
        <f>#REF!/10^7</f>
        <v>#REF!</v>
      </c>
      <c r="BF308" s="2003">
        <f t="shared" si="572"/>
        <v>0</v>
      </c>
      <c r="BG308" s="1989" t="e">
        <f>#REF!/10^7</f>
        <v>#REF!</v>
      </c>
      <c r="BH308" s="2003">
        <f t="shared" si="573"/>
        <v>0</v>
      </c>
      <c r="BI308" s="1989" t="e">
        <f>#REF!/10^7</f>
        <v>#REF!</v>
      </c>
      <c r="BJ308" s="1989" t="e">
        <f>#REF!/10^7</f>
        <v>#REF!</v>
      </c>
      <c r="BK308" s="2002" t="e">
        <f t="shared" si="574"/>
        <v>#REF!</v>
      </c>
      <c r="BL308" s="1999" t="e">
        <f t="shared" si="674"/>
        <v>#REF!</v>
      </c>
      <c r="BM308" s="1993" t="e">
        <f>#REF!</f>
        <v>#REF!</v>
      </c>
      <c r="BN308" s="2003">
        <f t="shared" si="575"/>
        <v>0</v>
      </c>
      <c r="BO308" s="1989" t="e">
        <f>#REF!/10^7</f>
        <v>#REF!</v>
      </c>
      <c r="BP308" s="2003">
        <f t="shared" si="576"/>
        <v>0</v>
      </c>
      <c r="BQ308" s="1989" t="e">
        <f>#REF!/10^7</f>
        <v>#REF!</v>
      </c>
      <c r="BR308" s="2003">
        <f t="shared" si="577"/>
        <v>0</v>
      </c>
      <c r="BS308" s="1989" t="e">
        <f>#REF!/10^7</f>
        <v>#REF!</v>
      </c>
      <c r="BT308" s="1989" t="e">
        <f>#REF!/10^7</f>
        <v>#REF!</v>
      </c>
      <c r="BU308" s="2002" t="e">
        <f t="shared" si="578"/>
        <v>#REF!</v>
      </c>
      <c r="BV308" s="1999" t="e">
        <f t="shared" si="675"/>
        <v>#REF!</v>
      </c>
      <c r="BW308" s="1993" t="e">
        <f>#REF!</f>
        <v>#REF!</v>
      </c>
      <c r="BX308" s="2003">
        <f t="shared" si="579"/>
        <v>0</v>
      </c>
      <c r="BY308" s="1989" t="e">
        <f>#REF!/10^7</f>
        <v>#REF!</v>
      </c>
      <c r="BZ308" s="2003">
        <f t="shared" si="580"/>
        <v>0</v>
      </c>
      <c r="CA308" s="1989" t="e">
        <f>#REF!/10^7</f>
        <v>#REF!</v>
      </c>
      <c r="CB308" s="2003">
        <f t="shared" si="581"/>
        <v>0</v>
      </c>
      <c r="CC308" s="1989" t="e">
        <f>#REF!/10^7</f>
        <v>#REF!</v>
      </c>
      <c r="CD308" s="1989" t="e">
        <f>#REF!/10^7</f>
        <v>#REF!</v>
      </c>
      <c r="CE308" s="2002" t="e">
        <f t="shared" si="582"/>
        <v>#REF!</v>
      </c>
      <c r="CF308" s="1999" t="e">
        <f t="shared" si="676"/>
        <v>#REF!</v>
      </c>
      <c r="CG308" s="1993" t="e">
        <f>#REF!</f>
        <v>#REF!</v>
      </c>
      <c r="CH308" s="2003">
        <f t="shared" si="583"/>
        <v>0</v>
      </c>
      <c r="CI308" s="1989" t="e">
        <f>#REF!/10^7</f>
        <v>#REF!</v>
      </c>
      <c r="CJ308" s="2003">
        <f t="shared" si="584"/>
        <v>0</v>
      </c>
      <c r="CK308" s="1989" t="e">
        <f>#REF!/10^7</f>
        <v>#REF!</v>
      </c>
      <c r="CL308" s="2003">
        <f t="shared" si="585"/>
        <v>0</v>
      </c>
      <c r="CM308" s="1989" t="e">
        <f>#REF!/10^7</f>
        <v>#REF!</v>
      </c>
      <c r="CN308" s="1989" t="e">
        <f>#REF!/10^7</f>
        <v>#REF!</v>
      </c>
      <c r="CO308" s="2002" t="e">
        <f t="shared" si="586"/>
        <v>#REF!</v>
      </c>
      <c r="CP308" s="1999" t="e">
        <f t="shared" si="677"/>
        <v>#REF!</v>
      </c>
      <c r="CQ308" s="1993" t="e">
        <f>#REF!</f>
        <v>#REF!</v>
      </c>
      <c r="CR308" s="2003">
        <f t="shared" si="587"/>
        <v>0</v>
      </c>
      <c r="CS308" s="1989" t="e">
        <f>#REF!/10^7</f>
        <v>#REF!</v>
      </c>
      <c r="CT308" s="2003">
        <f t="shared" si="588"/>
        <v>0</v>
      </c>
      <c r="CU308" s="1989" t="e">
        <f>#REF!/10^7</f>
        <v>#REF!</v>
      </c>
      <c r="CV308" s="2003">
        <f t="shared" si="589"/>
        <v>0</v>
      </c>
      <c r="CW308" s="1989" t="e">
        <f>#REF!/10^7</f>
        <v>#REF!</v>
      </c>
      <c r="CX308" s="1989" t="e">
        <f>#REF!/10^7</f>
        <v>#REF!</v>
      </c>
      <c r="CY308" s="2002" t="e">
        <f t="shared" si="590"/>
        <v>#REF!</v>
      </c>
      <c r="CZ308" s="1999" t="e">
        <f t="shared" si="678"/>
        <v>#REF!</v>
      </c>
      <c r="DA308" s="1993" t="e">
        <f>#REF!</f>
        <v>#REF!</v>
      </c>
      <c r="DB308" s="2003">
        <f t="shared" si="591"/>
        <v>0</v>
      </c>
      <c r="DC308" s="1989" t="e">
        <f>#REF!/10^7</f>
        <v>#REF!</v>
      </c>
      <c r="DD308" s="2003">
        <f t="shared" si="592"/>
        <v>0</v>
      </c>
      <c r="DE308" s="1989" t="e">
        <f>#REF!/10^7</f>
        <v>#REF!</v>
      </c>
      <c r="DF308" s="2003">
        <f t="shared" si="593"/>
        <v>0</v>
      </c>
      <c r="DG308" s="1989" t="e">
        <f>#REF!/10^7</f>
        <v>#REF!</v>
      </c>
      <c r="DH308" s="1989" t="e">
        <f>#REF!/10^7</f>
        <v>#REF!</v>
      </c>
      <c r="DI308" s="2002" t="e">
        <f t="shared" si="594"/>
        <v>#REF!</v>
      </c>
      <c r="DJ308" s="1999" t="e">
        <f t="shared" si="679"/>
        <v>#REF!</v>
      </c>
      <c r="DK308" s="1993" t="e">
        <f>#REF!</f>
        <v>#REF!</v>
      </c>
      <c r="DL308" s="2003">
        <f t="shared" si="595"/>
        <v>0</v>
      </c>
      <c r="DM308" s="1989" t="e">
        <f>#REF!/10^7</f>
        <v>#REF!</v>
      </c>
      <c r="DN308" s="2003">
        <f t="shared" si="596"/>
        <v>0</v>
      </c>
      <c r="DO308" s="1989" t="e">
        <f>#REF!/10^7</f>
        <v>#REF!</v>
      </c>
      <c r="DP308" s="2003">
        <f t="shared" si="597"/>
        <v>0</v>
      </c>
      <c r="DQ308" s="1989" t="e">
        <f>#REF!/10^7</f>
        <v>#REF!</v>
      </c>
      <c r="DR308" s="1989" t="e">
        <f>#REF!/10^7</f>
        <v>#REF!</v>
      </c>
      <c r="DS308" s="2002" t="e">
        <f t="shared" si="598"/>
        <v>#REF!</v>
      </c>
      <c r="DT308" s="2004" t="e">
        <f t="shared" si="680"/>
        <v>#REF!</v>
      </c>
      <c r="DU308" s="1988" t="e">
        <f>#REF!</f>
        <v>#REF!</v>
      </c>
      <c r="DV308" s="2003">
        <f t="shared" si="599"/>
        <v>0</v>
      </c>
      <c r="DW308" s="1989" t="e">
        <f>#REF!/10^7</f>
        <v>#REF!</v>
      </c>
      <c r="DX308" s="2003">
        <f t="shared" si="600"/>
        <v>0</v>
      </c>
      <c r="DY308" s="1989" t="e">
        <f>#REF!/10^7</f>
        <v>#REF!</v>
      </c>
      <c r="DZ308" s="2003">
        <f t="shared" si="601"/>
        <v>0</v>
      </c>
      <c r="EA308" s="1989" t="e">
        <f>#REF!/10^7</f>
        <v>#REF!</v>
      </c>
      <c r="EB308" s="1989" t="e">
        <f>#REF!/10^7</f>
        <v>#REF!</v>
      </c>
      <c r="EC308" s="2002" t="e">
        <f t="shared" si="602"/>
        <v>#REF!</v>
      </c>
      <c r="ED308" s="1998" t="e">
        <f t="shared" si="681"/>
        <v>#REF!</v>
      </c>
      <c r="EE308" s="2005" t="e">
        <f t="shared" si="682"/>
        <v>#REF!</v>
      </c>
      <c r="EF308" s="2003">
        <f t="shared" si="603"/>
        <v>0</v>
      </c>
      <c r="EG308" s="1989" t="e">
        <f t="shared" si="683"/>
        <v>#REF!</v>
      </c>
      <c r="EH308" s="2003">
        <f t="shared" si="604"/>
        <v>0</v>
      </c>
      <c r="EI308" s="1989" t="e">
        <f t="shared" si="684"/>
        <v>#REF!</v>
      </c>
      <c r="EJ308" s="2003">
        <f t="shared" si="605"/>
        <v>0</v>
      </c>
      <c r="EK308" s="1989" t="e">
        <f t="shared" si="685"/>
        <v>#REF!</v>
      </c>
      <c r="EL308" s="1989" t="e">
        <f t="shared" si="685"/>
        <v>#REF!</v>
      </c>
      <c r="EM308" s="2006" t="e">
        <f t="shared" si="606"/>
        <v>#REF!</v>
      </c>
      <c r="EN308" s="1999" t="e">
        <f t="shared" si="686"/>
        <v>#REF!</v>
      </c>
      <c r="EP308" s="1613" t="e">
        <f>EA308-#REF!/10^7</f>
        <v>#REF!</v>
      </c>
      <c r="EW308" s="1611" t="e">
        <v>#N/A</v>
      </c>
      <c r="EX308" s="1612" t="e">
        <v>#N/A</v>
      </c>
      <c r="EZ308" s="1650">
        <f t="shared" si="607"/>
        <v>0</v>
      </c>
    </row>
    <row r="309" spans="1:156" ht="21" customHeight="1">
      <c r="A309" s="1652">
        <v>19</v>
      </c>
      <c r="B309" s="1668" t="s">
        <v>1969</v>
      </c>
      <c r="C309" s="1662">
        <v>15</v>
      </c>
      <c r="D309" s="1646">
        <f t="shared" si="688"/>
        <v>100</v>
      </c>
      <c r="E309" s="1646"/>
      <c r="F309" s="1648" t="s">
        <v>1594</v>
      </c>
      <c r="G309" s="1648"/>
      <c r="H309" s="1648">
        <v>15</v>
      </c>
      <c r="I309" s="1648" t="s">
        <v>1667</v>
      </c>
      <c r="J309" s="1649">
        <v>2</v>
      </c>
      <c r="K309" s="1648"/>
      <c r="L309" s="1648"/>
      <c r="M309" s="1648"/>
      <c r="N309" s="1642"/>
      <c r="O309" s="2000" t="e">
        <f>#REF!</f>
        <v>#REF!</v>
      </c>
      <c r="P309" s="2003">
        <f t="shared" si="555"/>
        <v>0</v>
      </c>
      <c r="Q309" s="1989" t="e">
        <f>#REF!/10^7</f>
        <v>#REF!</v>
      </c>
      <c r="R309" s="2003">
        <f t="shared" si="556"/>
        <v>0</v>
      </c>
      <c r="S309" s="1989" t="e">
        <f>#REF!/10^7</f>
        <v>#REF!</v>
      </c>
      <c r="T309" s="2003">
        <f t="shared" si="557"/>
        <v>0</v>
      </c>
      <c r="U309" s="1989" t="e">
        <f>#REF!/10^7</f>
        <v>#REF!</v>
      </c>
      <c r="V309" s="1989" t="e">
        <f>#REF!/10^7</f>
        <v>#REF!</v>
      </c>
      <c r="W309" s="1989">
        <f t="shared" si="558"/>
        <v>0</v>
      </c>
      <c r="X309" s="1999" t="e">
        <f t="shared" si="671"/>
        <v>#REF!</v>
      </c>
      <c r="Y309" s="1993" t="e">
        <f>#REF!</f>
        <v>#REF!</v>
      </c>
      <c r="Z309" s="2003">
        <f t="shared" si="559"/>
        <v>0</v>
      </c>
      <c r="AA309" s="1989" t="e">
        <f>#REF!/10^7</f>
        <v>#REF!</v>
      </c>
      <c r="AB309" s="2003">
        <f t="shared" si="560"/>
        <v>0</v>
      </c>
      <c r="AC309" s="1989" t="e">
        <f>#REF!/10^7</f>
        <v>#REF!</v>
      </c>
      <c r="AD309" s="2003">
        <f t="shared" si="561"/>
        <v>0</v>
      </c>
      <c r="AE309" s="1989" t="e">
        <f>#REF!/10^7</f>
        <v>#REF!</v>
      </c>
      <c r="AF309" s="1989" t="e">
        <f>#REF!/10^7</f>
        <v>#REF!</v>
      </c>
      <c r="AG309" s="2002" t="e">
        <f t="shared" si="562"/>
        <v>#REF!</v>
      </c>
      <c r="AH309" s="1999" t="e">
        <f t="shared" si="670"/>
        <v>#REF!</v>
      </c>
      <c r="AI309" s="1993" t="e">
        <f>#REF!</f>
        <v>#REF!</v>
      </c>
      <c r="AJ309" s="2003">
        <f t="shared" si="563"/>
        <v>0</v>
      </c>
      <c r="AK309" s="1989" t="e">
        <f>#REF!/10^7</f>
        <v>#REF!</v>
      </c>
      <c r="AL309" s="2003">
        <f t="shared" si="564"/>
        <v>0</v>
      </c>
      <c r="AM309" s="1989" t="e">
        <f>#REF!/10^7</f>
        <v>#REF!</v>
      </c>
      <c r="AN309" s="2003">
        <f t="shared" si="565"/>
        <v>0</v>
      </c>
      <c r="AO309" s="1989" t="e">
        <f>#REF!/10^7</f>
        <v>#REF!</v>
      </c>
      <c r="AP309" s="1989" t="e">
        <f>#REF!/10^7</f>
        <v>#REF!</v>
      </c>
      <c r="AQ309" s="2002" t="e">
        <f t="shared" si="566"/>
        <v>#REF!</v>
      </c>
      <c r="AR309" s="1999" t="e">
        <f t="shared" si="672"/>
        <v>#REF!</v>
      </c>
      <c r="AS309" s="1993" t="e">
        <f>#REF!</f>
        <v>#REF!</v>
      </c>
      <c r="AT309" s="2003">
        <f t="shared" si="567"/>
        <v>0</v>
      </c>
      <c r="AU309" s="1989" t="e">
        <f>#REF!/10^7</f>
        <v>#REF!</v>
      </c>
      <c r="AV309" s="2003">
        <f t="shared" si="568"/>
        <v>0</v>
      </c>
      <c r="AW309" s="1989" t="e">
        <f>#REF!/10^7</f>
        <v>#REF!</v>
      </c>
      <c r="AX309" s="2003">
        <f t="shared" si="569"/>
        <v>0</v>
      </c>
      <c r="AY309" s="1989" t="e">
        <f>#REF!/10^7</f>
        <v>#REF!</v>
      </c>
      <c r="AZ309" s="1989" t="e">
        <f>#REF!/10^7</f>
        <v>#REF!</v>
      </c>
      <c r="BA309" s="2002" t="e">
        <f t="shared" si="570"/>
        <v>#REF!</v>
      </c>
      <c r="BB309" s="1999" t="e">
        <f t="shared" si="673"/>
        <v>#REF!</v>
      </c>
      <c r="BC309" s="1993" t="e">
        <f>#REF!</f>
        <v>#REF!</v>
      </c>
      <c r="BD309" s="2003">
        <f t="shared" si="571"/>
        <v>0</v>
      </c>
      <c r="BE309" s="1989" t="e">
        <f>#REF!/10^7</f>
        <v>#REF!</v>
      </c>
      <c r="BF309" s="2003">
        <f t="shared" si="572"/>
        <v>0</v>
      </c>
      <c r="BG309" s="1989" t="e">
        <f>#REF!/10^7</f>
        <v>#REF!</v>
      </c>
      <c r="BH309" s="2003">
        <f t="shared" si="573"/>
        <v>0</v>
      </c>
      <c r="BI309" s="1989" t="e">
        <f>#REF!/10^7</f>
        <v>#REF!</v>
      </c>
      <c r="BJ309" s="1989" t="e">
        <f>#REF!/10^7</f>
        <v>#REF!</v>
      </c>
      <c r="BK309" s="2002" t="e">
        <f t="shared" si="574"/>
        <v>#REF!</v>
      </c>
      <c r="BL309" s="1999" t="e">
        <f t="shared" si="674"/>
        <v>#REF!</v>
      </c>
      <c r="BM309" s="1993" t="e">
        <f>#REF!</f>
        <v>#REF!</v>
      </c>
      <c r="BN309" s="2003">
        <f t="shared" si="575"/>
        <v>0</v>
      </c>
      <c r="BO309" s="1989" t="e">
        <f>#REF!/10^7</f>
        <v>#REF!</v>
      </c>
      <c r="BP309" s="2003">
        <f t="shared" si="576"/>
        <v>0</v>
      </c>
      <c r="BQ309" s="1989" t="e">
        <f>#REF!/10^7</f>
        <v>#REF!</v>
      </c>
      <c r="BR309" s="2003">
        <f t="shared" si="577"/>
        <v>0</v>
      </c>
      <c r="BS309" s="1989" t="e">
        <f>#REF!/10^7</f>
        <v>#REF!</v>
      </c>
      <c r="BT309" s="1989" t="e">
        <f>#REF!/10^7</f>
        <v>#REF!</v>
      </c>
      <c r="BU309" s="2002" t="e">
        <f t="shared" si="578"/>
        <v>#REF!</v>
      </c>
      <c r="BV309" s="1999" t="e">
        <f t="shared" si="675"/>
        <v>#REF!</v>
      </c>
      <c r="BW309" s="1993" t="e">
        <f>#REF!</f>
        <v>#REF!</v>
      </c>
      <c r="BX309" s="2003">
        <f t="shared" si="579"/>
        <v>0</v>
      </c>
      <c r="BY309" s="1989" t="e">
        <f>#REF!/10^7</f>
        <v>#REF!</v>
      </c>
      <c r="BZ309" s="2003">
        <f t="shared" si="580"/>
        <v>0</v>
      </c>
      <c r="CA309" s="1989" t="e">
        <f>#REF!/10^7</f>
        <v>#REF!</v>
      </c>
      <c r="CB309" s="2003">
        <f t="shared" si="581"/>
        <v>0</v>
      </c>
      <c r="CC309" s="1989" t="e">
        <f>#REF!/10^7</f>
        <v>#REF!</v>
      </c>
      <c r="CD309" s="1989" t="e">
        <f>#REF!/10^7</f>
        <v>#REF!</v>
      </c>
      <c r="CE309" s="2002" t="e">
        <f t="shared" si="582"/>
        <v>#REF!</v>
      </c>
      <c r="CF309" s="1999" t="e">
        <f t="shared" si="676"/>
        <v>#REF!</v>
      </c>
      <c r="CG309" s="1993" t="e">
        <f>#REF!</f>
        <v>#REF!</v>
      </c>
      <c r="CH309" s="2003">
        <f t="shared" si="583"/>
        <v>0</v>
      </c>
      <c r="CI309" s="1989" t="e">
        <f>#REF!/10^7</f>
        <v>#REF!</v>
      </c>
      <c r="CJ309" s="2003">
        <f t="shared" si="584"/>
        <v>0</v>
      </c>
      <c r="CK309" s="1989" t="e">
        <f>#REF!/10^7</f>
        <v>#REF!</v>
      </c>
      <c r="CL309" s="2003">
        <f t="shared" si="585"/>
        <v>0</v>
      </c>
      <c r="CM309" s="1989" t="e">
        <f>#REF!/10^7</f>
        <v>#REF!</v>
      </c>
      <c r="CN309" s="1989" t="e">
        <f>#REF!/10^7</f>
        <v>#REF!</v>
      </c>
      <c r="CO309" s="2002" t="e">
        <f t="shared" si="586"/>
        <v>#REF!</v>
      </c>
      <c r="CP309" s="1999" t="e">
        <f t="shared" si="677"/>
        <v>#REF!</v>
      </c>
      <c r="CQ309" s="1993" t="e">
        <f>#REF!</f>
        <v>#REF!</v>
      </c>
      <c r="CR309" s="2003">
        <f t="shared" si="587"/>
        <v>0</v>
      </c>
      <c r="CS309" s="1989" t="e">
        <f>#REF!/10^7</f>
        <v>#REF!</v>
      </c>
      <c r="CT309" s="2003">
        <f t="shared" si="588"/>
        <v>0</v>
      </c>
      <c r="CU309" s="1989" t="e">
        <f>#REF!/10^7</f>
        <v>#REF!</v>
      </c>
      <c r="CV309" s="2003">
        <f t="shared" si="589"/>
        <v>0</v>
      </c>
      <c r="CW309" s="1989" t="e">
        <f>#REF!/10^7</f>
        <v>#REF!</v>
      </c>
      <c r="CX309" s="1989" t="e">
        <f>#REF!/10^7</f>
        <v>#REF!</v>
      </c>
      <c r="CY309" s="2002" t="e">
        <f t="shared" si="590"/>
        <v>#REF!</v>
      </c>
      <c r="CZ309" s="1999" t="e">
        <f t="shared" si="678"/>
        <v>#REF!</v>
      </c>
      <c r="DA309" s="1993" t="e">
        <f>#REF!</f>
        <v>#REF!</v>
      </c>
      <c r="DB309" s="2003">
        <f t="shared" si="591"/>
        <v>0</v>
      </c>
      <c r="DC309" s="1989" t="e">
        <f>#REF!/10^7</f>
        <v>#REF!</v>
      </c>
      <c r="DD309" s="2003">
        <f t="shared" si="592"/>
        <v>0</v>
      </c>
      <c r="DE309" s="1989" t="e">
        <f>#REF!/10^7</f>
        <v>#REF!</v>
      </c>
      <c r="DF309" s="2003">
        <f t="shared" si="593"/>
        <v>0</v>
      </c>
      <c r="DG309" s="1989" t="e">
        <f>#REF!/10^7</f>
        <v>#REF!</v>
      </c>
      <c r="DH309" s="1989" t="e">
        <f>#REF!/10^7</f>
        <v>#REF!</v>
      </c>
      <c r="DI309" s="2002" t="e">
        <f t="shared" si="594"/>
        <v>#REF!</v>
      </c>
      <c r="DJ309" s="1999" t="e">
        <f t="shared" si="679"/>
        <v>#REF!</v>
      </c>
      <c r="DK309" s="1993" t="e">
        <f>#REF!</f>
        <v>#REF!</v>
      </c>
      <c r="DL309" s="2003">
        <f t="shared" si="595"/>
        <v>0</v>
      </c>
      <c r="DM309" s="1989" t="e">
        <f>#REF!/10^7</f>
        <v>#REF!</v>
      </c>
      <c r="DN309" s="2003">
        <f t="shared" si="596"/>
        <v>0</v>
      </c>
      <c r="DO309" s="1989" t="e">
        <f>#REF!/10^7</f>
        <v>#REF!</v>
      </c>
      <c r="DP309" s="2003">
        <f t="shared" si="597"/>
        <v>0</v>
      </c>
      <c r="DQ309" s="1989" t="e">
        <f>#REF!/10^7</f>
        <v>#REF!</v>
      </c>
      <c r="DR309" s="1989" t="e">
        <f>#REF!/10^7</f>
        <v>#REF!</v>
      </c>
      <c r="DS309" s="2002" t="e">
        <f t="shared" si="598"/>
        <v>#REF!</v>
      </c>
      <c r="DT309" s="2004" t="e">
        <f t="shared" si="680"/>
        <v>#REF!</v>
      </c>
      <c r="DU309" s="1988" t="e">
        <f>#REF!</f>
        <v>#REF!</v>
      </c>
      <c r="DV309" s="2003">
        <f t="shared" si="599"/>
        <v>0</v>
      </c>
      <c r="DW309" s="1989" t="e">
        <f>#REF!/10^7</f>
        <v>#REF!</v>
      </c>
      <c r="DX309" s="2003">
        <f t="shared" si="600"/>
        <v>0</v>
      </c>
      <c r="DY309" s="1989" t="e">
        <f>#REF!/10^7</f>
        <v>#REF!</v>
      </c>
      <c r="DZ309" s="2003">
        <f t="shared" si="601"/>
        <v>0</v>
      </c>
      <c r="EA309" s="1989" t="e">
        <f>#REF!/10^7</f>
        <v>#REF!</v>
      </c>
      <c r="EB309" s="1989" t="e">
        <f>#REF!/10^7</f>
        <v>#REF!</v>
      </c>
      <c r="EC309" s="2002" t="e">
        <f t="shared" si="602"/>
        <v>#REF!</v>
      </c>
      <c r="ED309" s="1998" t="e">
        <f t="shared" si="681"/>
        <v>#REF!</v>
      </c>
      <c r="EE309" s="2005" t="e">
        <f t="shared" si="682"/>
        <v>#REF!</v>
      </c>
      <c r="EF309" s="2003">
        <f t="shared" si="603"/>
        <v>0</v>
      </c>
      <c r="EG309" s="1989" t="e">
        <f t="shared" si="683"/>
        <v>#REF!</v>
      </c>
      <c r="EH309" s="2003">
        <f t="shared" si="604"/>
        <v>0</v>
      </c>
      <c r="EI309" s="1989" t="e">
        <f t="shared" si="684"/>
        <v>#REF!</v>
      </c>
      <c r="EJ309" s="2003">
        <f t="shared" si="605"/>
        <v>0</v>
      </c>
      <c r="EK309" s="1989" t="e">
        <f t="shared" si="685"/>
        <v>#REF!</v>
      </c>
      <c r="EL309" s="1989" t="e">
        <f t="shared" si="685"/>
        <v>#REF!</v>
      </c>
      <c r="EM309" s="2006" t="e">
        <f t="shared" si="606"/>
        <v>#REF!</v>
      </c>
      <c r="EN309" s="1999" t="e">
        <f t="shared" si="686"/>
        <v>#REF!</v>
      </c>
      <c r="EP309" s="1613" t="e">
        <f>EA309-#REF!/10^7</f>
        <v>#REF!</v>
      </c>
      <c r="EW309" s="1611" t="e">
        <v>#N/A</v>
      </c>
      <c r="EX309" s="1612" t="e">
        <v>#N/A</v>
      </c>
      <c r="EZ309" s="1650">
        <f t="shared" si="607"/>
        <v>0</v>
      </c>
    </row>
    <row r="310" spans="1:156" ht="21" customHeight="1">
      <c r="A310" s="1652">
        <v>20</v>
      </c>
      <c r="B310" s="1668" t="s">
        <v>1970</v>
      </c>
      <c r="C310" s="1662">
        <v>10</v>
      </c>
      <c r="D310" s="1646">
        <f t="shared" si="688"/>
        <v>100</v>
      </c>
      <c r="E310" s="1646"/>
      <c r="F310" s="1648" t="s">
        <v>1594</v>
      </c>
      <c r="G310" s="1648"/>
      <c r="H310" s="1648">
        <v>10</v>
      </c>
      <c r="I310" s="1648" t="s">
        <v>1667</v>
      </c>
      <c r="J310" s="1649">
        <v>2</v>
      </c>
      <c r="K310" s="1648"/>
      <c r="L310" s="1648"/>
      <c r="M310" s="1648"/>
      <c r="N310" s="1642"/>
      <c r="O310" s="2000" t="e">
        <f>#REF!</f>
        <v>#REF!</v>
      </c>
      <c r="P310" s="2003">
        <f t="shared" si="555"/>
        <v>0</v>
      </c>
      <c r="Q310" s="1989" t="e">
        <f>#REF!/10^7</f>
        <v>#REF!</v>
      </c>
      <c r="R310" s="2003">
        <f t="shared" si="556"/>
        <v>0</v>
      </c>
      <c r="S310" s="1989" t="e">
        <f>#REF!/10^7</f>
        <v>#REF!</v>
      </c>
      <c r="T310" s="2003">
        <f t="shared" si="557"/>
        <v>0</v>
      </c>
      <c r="U310" s="1989" t="e">
        <f>#REF!/10^7</f>
        <v>#REF!</v>
      </c>
      <c r="V310" s="1989" t="e">
        <f>#REF!/10^7</f>
        <v>#REF!</v>
      </c>
      <c r="W310" s="1989">
        <f t="shared" si="558"/>
        <v>0</v>
      </c>
      <c r="X310" s="1999" t="e">
        <f t="shared" si="671"/>
        <v>#REF!</v>
      </c>
      <c r="Y310" s="1993" t="e">
        <f>#REF!</f>
        <v>#REF!</v>
      </c>
      <c r="Z310" s="2003">
        <f t="shared" si="559"/>
        <v>0</v>
      </c>
      <c r="AA310" s="1989" t="e">
        <f>#REF!/10^7</f>
        <v>#REF!</v>
      </c>
      <c r="AB310" s="2003">
        <f t="shared" si="560"/>
        <v>0</v>
      </c>
      <c r="AC310" s="1989" t="e">
        <f>#REF!/10^7</f>
        <v>#REF!</v>
      </c>
      <c r="AD310" s="2003">
        <f t="shared" si="561"/>
        <v>0</v>
      </c>
      <c r="AE310" s="1989" t="e">
        <f>#REF!/10^7</f>
        <v>#REF!</v>
      </c>
      <c r="AF310" s="1989" t="e">
        <f>#REF!/10^7</f>
        <v>#REF!</v>
      </c>
      <c r="AG310" s="2002" t="e">
        <f t="shared" si="562"/>
        <v>#REF!</v>
      </c>
      <c r="AH310" s="1999" t="e">
        <f t="shared" si="670"/>
        <v>#REF!</v>
      </c>
      <c r="AI310" s="1993" t="e">
        <f>#REF!</f>
        <v>#REF!</v>
      </c>
      <c r="AJ310" s="2003">
        <f t="shared" si="563"/>
        <v>0</v>
      </c>
      <c r="AK310" s="1989" t="e">
        <f>#REF!/10^7</f>
        <v>#REF!</v>
      </c>
      <c r="AL310" s="2003">
        <f t="shared" si="564"/>
        <v>0</v>
      </c>
      <c r="AM310" s="1989" t="e">
        <f>#REF!/10^7</f>
        <v>#REF!</v>
      </c>
      <c r="AN310" s="2003">
        <f t="shared" si="565"/>
        <v>0</v>
      </c>
      <c r="AO310" s="1989" t="e">
        <f>#REF!/10^7</f>
        <v>#REF!</v>
      </c>
      <c r="AP310" s="1989" t="e">
        <f>#REF!/10^7</f>
        <v>#REF!</v>
      </c>
      <c r="AQ310" s="2002" t="e">
        <f t="shared" si="566"/>
        <v>#REF!</v>
      </c>
      <c r="AR310" s="1999" t="e">
        <f t="shared" si="672"/>
        <v>#REF!</v>
      </c>
      <c r="AS310" s="1993" t="e">
        <f>#REF!</f>
        <v>#REF!</v>
      </c>
      <c r="AT310" s="2003">
        <f t="shared" si="567"/>
        <v>0</v>
      </c>
      <c r="AU310" s="1989" t="e">
        <f>#REF!/10^7</f>
        <v>#REF!</v>
      </c>
      <c r="AV310" s="2003">
        <f t="shared" si="568"/>
        <v>0</v>
      </c>
      <c r="AW310" s="1989" t="e">
        <f>#REF!/10^7</f>
        <v>#REF!</v>
      </c>
      <c r="AX310" s="2003">
        <f t="shared" si="569"/>
        <v>0</v>
      </c>
      <c r="AY310" s="1989" t="e">
        <f>#REF!/10^7</f>
        <v>#REF!</v>
      </c>
      <c r="AZ310" s="1989" t="e">
        <f>#REF!/10^7</f>
        <v>#REF!</v>
      </c>
      <c r="BA310" s="2002" t="e">
        <f t="shared" si="570"/>
        <v>#REF!</v>
      </c>
      <c r="BB310" s="1999" t="e">
        <f t="shared" si="673"/>
        <v>#REF!</v>
      </c>
      <c r="BC310" s="1993" t="e">
        <f>#REF!</f>
        <v>#REF!</v>
      </c>
      <c r="BD310" s="2003">
        <f t="shared" si="571"/>
        <v>0</v>
      </c>
      <c r="BE310" s="1989" t="e">
        <f>#REF!/10^7</f>
        <v>#REF!</v>
      </c>
      <c r="BF310" s="2003">
        <f t="shared" si="572"/>
        <v>0</v>
      </c>
      <c r="BG310" s="1989" t="e">
        <f>#REF!/10^7</f>
        <v>#REF!</v>
      </c>
      <c r="BH310" s="2003">
        <f t="shared" si="573"/>
        <v>0</v>
      </c>
      <c r="BI310" s="1989" t="e">
        <f>#REF!/10^7</f>
        <v>#REF!</v>
      </c>
      <c r="BJ310" s="1989" t="e">
        <f>#REF!/10^7</f>
        <v>#REF!</v>
      </c>
      <c r="BK310" s="2002" t="e">
        <f t="shared" si="574"/>
        <v>#REF!</v>
      </c>
      <c r="BL310" s="1999" t="e">
        <f t="shared" si="674"/>
        <v>#REF!</v>
      </c>
      <c r="BM310" s="1993" t="e">
        <f>#REF!</f>
        <v>#REF!</v>
      </c>
      <c r="BN310" s="2003">
        <f t="shared" si="575"/>
        <v>0</v>
      </c>
      <c r="BO310" s="1989" t="e">
        <f>#REF!/10^7</f>
        <v>#REF!</v>
      </c>
      <c r="BP310" s="2003">
        <f t="shared" si="576"/>
        <v>0</v>
      </c>
      <c r="BQ310" s="1989" t="e">
        <f>#REF!/10^7</f>
        <v>#REF!</v>
      </c>
      <c r="BR310" s="2003">
        <f t="shared" si="577"/>
        <v>0</v>
      </c>
      <c r="BS310" s="1989" t="e">
        <f>#REF!/10^7</f>
        <v>#REF!</v>
      </c>
      <c r="BT310" s="1989" t="e">
        <f>#REF!/10^7</f>
        <v>#REF!</v>
      </c>
      <c r="BU310" s="2002" t="e">
        <f t="shared" si="578"/>
        <v>#REF!</v>
      </c>
      <c r="BV310" s="1999" t="e">
        <f t="shared" si="675"/>
        <v>#REF!</v>
      </c>
      <c r="BW310" s="1993" t="e">
        <f>#REF!</f>
        <v>#REF!</v>
      </c>
      <c r="BX310" s="2003">
        <f t="shared" si="579"/>
        <v>0</v>
      </c>
      <c r="BY310" s="1989" t="e">
        <f>#REF!/10^7</f>
        <v>#REF!</v>
      </c>
      <c r="BZ310" s="2003">
        <f t="shared" si="580"/>
        <v>0</v>
      </c>
      <c r="CA310" s="1989" t="e">
        <f>#REF!/10^7</f>
        <v>#REF!</v>
      </c>
      <c r="CB310" s="2003">
        <f t="shared" si="581"/>
        <v>0</v>
      </c>
      <c r="CC310" s="1989" t="e">
        <f>#REF!/10^7</f>
        <v>#REF!</v>
      </c>
      <c r="CD310" s="1989" t="e">
        <f>#REF!/10^7</f>
        <v>#REF!</v>
      </c>
      <c r="CE310" s="2002" t="e">
        <f t="shared" si="582"/>
        <v>#REF!</v>
      </c>
      <c r="CF310" s="1999" t="e">
        <f t="shared" si="676"/>
        <v>#REF!</v>
      </c>
      <c r="CG310" s="1993" t="e">
        <f>#REF!</f>
        <v>#REF!</v>
      </c>
      <c r="CH310" s="2003">
        <f t="shared" si="583"/>
        <v>0</v>
      </c>
      <c r="CI310" s="1989" t="e">
        <f>#REF!/10^7</f>
        <v>#REF!</v>
      </c>
      <c r="CJ310" s="2003">
        <f t="shared" si="584"/>
        <v>0</v>
      </c>
      <c r="CK310" s="1989" t="e">
        <f>#REF!/10^7</f>
        <v>#REF!</v>
      </c>
      <c r="CL310" s="2003">
        <f t="shared" si="585"/>
        <v>0</v>
      </c>
      <c r="CM310" s="1989" t="e">
        <f>#REF!/10^7</f>
        <v>#REF!</v>
      </c>
      <c r="CN310" s="1989" t="e">
        <f>#REF!/10^7</f>
        <v>#REF!</v>
      </c>
      <c r="CO310" s="2002" t="e">
        <f t="shared" si="586"/>
        <v>#REF!</v>
      </c>
      <c r="CP310" s="1999" t="e">
        <f t="shared" si="677"/>
        <v>#REF!</v>
      </c>
      <c r="CQ310" s="1993" t="e">
        <f>#REF!</f>
        <v>#REF!</v>
      </c>
      <c r="CR310" s="2003">
        <f t="shared" si="587"/>
        <v>0</v>
      </c>
      <c r="CS310" s="1989" t="e">
        <f>#REF!/10^7</f>
        <v>#REF!</v>
      </c>
      <c r="CT310" s="2003">
        <f t="shared" si="588"/>
        <v>0</v>
      </c>
      <c r="CU310" s="1989" t="e">
        <f>#REF!/10^7</f>
        <v>#REF!</v>
      </c>
      <c r="CV310" s="2003">
        <f t="shared" si="589"/>
        <v>0</v>
      </c>
      <c r="CW310" s="1989" t="e">
        <f>#REF!/10^7</f>
        <v>#REF!</v>
      </c>
      <c r="CX310" s="1989" t="e">
        <f>#REF!/10^7</f>
        <v>#REF!</v>
      </c>
      <c r="CY310" s="2002" t="e">
        <f t="shared" si="590"/>
        <v>#REF!</v>
      </c>
      <c r="CZ310" s="1999" t="e">
        <f t="shared" si="678"/>
        <v>#REF!</v>
      </c>
      <c r="DA310" s="1993" t="e">
        <f>#REF!</f>
        <v>#REF!</v>
      </c>
      <c r="DB310" s="2003">
        <f t="shared" si="591"/>
        <v>0</v>
      </c>
      <c r="DC310" s="1989" t="e">
        <f>#REF!/10^7</f>
        <v>#REF!</v>
      </c>
      <c r="DD310" s="2003">
        <f t="shared" si="592"/>
        <v>0</v>
      </c>
      <c r="DE310" s="1989" t="e">
        <f>#REF!/10^7</f>
        <v>#REF!</v>
      </c>
      <c r="DF310" s="2003">
        <f t="shared" si="593"/>
        <v>0</v>
      </c>
      <c r="DG310" s="1989" t="e">
        <f>#REF!/10^7</f>
        <v>#REF!</v>
      </c>
      <c r="DH310" s="1989" t="e">
        <f>#REF!/10^7</f>
        <v>#REF!</v>
      </c>
      <c r="DI310" s="2002" t="e">
        <f t="shared" si="594"/>
        <v>#REF!</v>
      </c>
      <c r="DJ310" s="1999" t="e">
        <f t="shared" si="679"/>
        <v>#REF!</v>
      </c>
      <c r="DK310" s="1993" t="e">
        <f>#REF!</f>
        <v>#REF!</v>
      </c>
      <c r="DL310" s="2003">
        <f t="shared" si="595"/>
        <v>0</v>
      </c>
      <c r="DM310" s="1989" t="e">
        <f>#REF!/10^7</f>
        <v>#REF!</v>
      </c>
      <c r="DN310" s="2003">
        <f t="shared" si="596"/>
        <v>0</v>
      </c>
      <c r="DO310" s="1989" t="e">
        <f>#REF!/10^7</f>
        <v>#REF!</v>
      </c>
      <c r="DP310" s="2003">
        <f t="shared" si="597"/>
        <v>0</v>
      </c>
      <c r="DQ310" s="1989" t="e">
        <f>#REF!/10^7</f>
        <v>#REF!</v>
      </c>
      <c r="DR310" s="1989" t="e">
        <f>#REF!/10^7</f>
        <v>#REF!</v>
      </c>
      <c r="DS310" s="2002" t="e">
        <f t="shared" si="598"/>
        <v>#REF!</v>
      </c>
      <c r="DT310" s="2004" t="e">
        <f t="shared" si="680"/>
        <v>#REF!</v>
      </c>
      <c r="DU310" s="1988" t="e">
        <f>#REF!</f>
        <v>#REF!</v>
      </c>
      <c r="DV310" s="2003">
        <f t="shared" si="599"/>
        <v>0</v>
      </c>
      <c r="DW310" s="1989" t="e">
        <f>#REF!/10^7</f>
        <v>#REF!</v>
      </c>
      <c r="DX310" s="2003">
        <f t="shared" si="600"/>
        <v>0</v>
      </c>
      <c r="DY310" s="1989" t="e">
        <f>#REF!/10^7</f>
        <v>#REF!</v>
      </c>
      <c r="DZ310" s="2003">
        <f t="shared" si="601"/>
        <v>0</v>
      </c>
      <c r="EA310" s="1989" t="e">
        <f>#REF!/10^7</f>
        <v>#REF!</v>
      </c>
      <c r="EB310" s="1989" t="e">
        <f>#REF!/10^7</f>
        <v>#REF!</v>
      </c>
      <c r="EC310" s="2002" t="e">
        <f t="shared" si="602"/>
        <v>#REF!</v>
      </c>
      <c r="ED310" s="1998" t="e">
        <f t="shared" si="681"/>
        <v>#REF!</v>
      </c>
      <c r="EE310" s="2005" t="e">
        <f t="shared" si="682"/>
        <v>#REF!</v>
      </c>
      <c r="EF310" s="2003">
        <f t="shared" si="603"/>
        <v>0</v>
      </c>
      <c r="EG310" s="1989" t="e">
        <f t="shared" si="683"/>
        <v>#REF!</v>
      </c>
      <c r="EH310" s="2003">
        <f t="shared" si="604"/>
        <v>0</v>
      </c>
      <c r="EI310" s="1989" t="e">
        <f t="shared" si="684"/>
        <v>#REF!</v>
      </c>
      <c r="EJ310" s="2003">
        <f t="shared" si="605"/>
        <v>0</v>
      </c>
      <c r="EK310" s="1989" t="e">
        <f t="shared" si="685"/>
        <v>#REF!</v>
      </c>
      <c r="EL310" s="1989" t="e">
        <f t="shared" si="685"/>
        <v>#REF!</v>
      </c>
      <c r="EM310" s="2006" t="e">
        <f t="shared" si="606"/>
        <v>#REF!</v>
      </c>
      <c r="EN310" s="1999" t="e">
        <f t="shared" si="686"/>
        <v>#REF!</v>
      </c>
      <c r="EP310" s="1613" t="e">
        <f>EA310-#REF!/10^7</f>
        <v>#REF!</v>
      </c>
      <c r="EW310" s="1611" t="e">
        <v>#N/A</v>
      </c>
      <c r="EX310" s="1612" t="e">
        <v>#N/A</v>
      </c>
      <c r="EZ310" s="1650">
        <f t="shared" si="607"/>
        <v>0</v>
      </c>
    </row>
    <row r="311" spans="1:156" ht="21" customHeight="1">
      <c r="A311" s="1652">
        <v>21</v>
      </c>
      <c r="B311" s="1668" t="s">
        <v>1971</v>
      </c>
      <c r="C311" s="1662">
        <v>5</v>
      </c>
      <c r="D311" s="1646">
        <f t="shared" si="688"/>
        <v>100</v>
      </c>
      <c r="E311" s="1646"/>
      <c r="F311" s="1648"/>
      <c r="G311" s="1648"/>
      <c r="H311" s="1648">
        <v>5</v>
      </c>
      <c r="I311" s="1648" t="s">
        <v>1667</v>
      </c>
      <c r="J311" s="1649">
        <v>2</v>
      </c>
      <c r="K311" s="1648"/>
      <c r="L311" s="1648"/>
      <c r="M311" s="1648"/>
      <c r="N311" s="1642"/>
      <c r="O311" s="2000" t="e">
        <f>#REF!</f>
        <v>#REF!</v>
      </c>
      <c r="P311" s="2003">
        <f t="shared" si="555"/>
        <v>0</v>
      </c>
      <c r="Q311" s="1989" t="e">
        <f>#REF!/10^7</f>
        <v>#REF!</v>
      </c>
      <c r="R311" s="2003">
        <f t="shared" si="556"/>
        <v>0</v>
      </c>
      <c r="S311" s="1989" t="e">
        <f>#REF!/10^7</f>
        <v>#REF!</v>
      </c>
      <c r="T311" s="2003">
        <f t="shared" si="557"/>
        <v>0</v>
      </c>
      <c r="U311" s="1989" t="e">
        <f>#REF!/10^7</f>
        <v>#REF!</v>
      </c>
      <c r="V311" s="1989" t="e">
        <f>#REF!/10^7</f>
        <v>#REF!</v>
      </c>
      <c r="W311" s="1989">
        <f t="shared" si="558"/>
        <v>0</v>
      </c>
      <c r="X311" s="1999" t="e">
        <f t="shared" si="671"/>
        <v>#REF!</v>
      </c>
      <c r="Y311" s="1993" t="e">
        <f>#REF!</f>
        <v>#REF!</v>
      </c>
      <c r="Z311" s="2003">
        <f t="shared" si="559"/>
        <v>0</v>
      </c>
      <c r="AA311" s="1989" t="e">
        <f>#REF!/10^7</f>
        <v>#REF!</v>
      </c>
      <c r="AB311" s="2003">
        <f t="shared" si="560"/>
        <v>0</v>
      </c>
      <c r="AC311" s="1989" t="e">
        <f>#REF!/10^7</f>
        <v>#REF!</v>
      </c>
      <c r="AD311" s="2003">
        <f t="shared" si="561"/>
        <v>0</v>
      </c>
      <c r="AE311" s="1989" t="e">
        <f>#REF!/10^7</f>
        <v>#REF!</v>
      </c>
      <c r="AF311" s="1989" t="e">
        <f>#REF!/10^7</f>
        <v>#REF!</v>
      </c>
      <c r="AG311" s="2002" t="e">
        <f t="shared" si="562"/>
        <v>#REF!</v>
      </c>
      <c r="AH311" s="1999" t="e">
        <f t="shared" si="670"/>
        <v>#REF!</v>
      </c>
      <c r="AI311" s="1993" t="e">
        <f>#REF!</f>
        <v>#REF!</v>
      </c>
      <c r="AJ311" s="2003">
        <f t="shared" si="563"/>
        <v>0</v>
      </c>
      <c r="AK311" s="1989" t="e">
        <f>#REF!/10^7</f>
        <v>#REF!</v>
      </c>
      <c r="AL311" s="2003">
        <f t="shared" si="564"/>
        <v>0</v>
      </c>
      <c r="AM311" s="1989" t="e">
        <f>#REF!/10^7</f>
        <v>#REF!</v>
      </c>
      <c r="AN311" s="2003">
        <f t="shared" si="565"/>
        <v>0</v>
      </c>
      <c r="AO311" s="1989" t="e">
        <f>#REF!/10^7</f>
        <v>#REF!</v>
      </c>
      <c r="AP311" s="1989" t="e">
        <f>#REF!/10^7</f>
        <v>#REF!</v>
      </c>
      <c r="AQ311" s="2002" t="e">
        <f t="shared" si="566"/>
        <v>#REF!</v>
      </c>
      <c r="AR311" s="1999" t="e">
        <f t="shared" si="672"/>
        <v>#REF!</v>
      </c>
      <c r="AS311" s="1993" t="e">
        <f>#REF!</f>
        <v>#REF!</v>
      </c>
      <c r="AT311" s="2003">
        <f t="shared" si="567"/>
        <v>0</v>
      </c>
      <c r="AU311" s="1989" t="e">
        <f>#REF!/10^7</f>
        <v>#REF!</v>
      </c>
      <c r="AV311" s="2003">
        <f t="shared" si="568"/>
        <v>0</v>
      </c>
      <c r="AW311" s="1989" t="e">
        <f>#REF!/10^7</f>
        <v>#REF!</v>
      </c>
      <c r="AX311" s="2003">
        <f t="shared" si="569"/>
        <v>0</v>
      </c>
      <c r="AY311" s="1989" t="e">
        <f>#REF!/10^7</f>
        <v>#REF!</v>
      </c>
      <c r="AZ311" s="1989" t="e">
        <f>#REF!/10^7</f>
        <v>#REF!</v>
      </c>
      <c r="BA311" s="2002" t="e">
        <f t="shared" si="570"/>
        <v>#REF!</v>
      </c>
      <c r="BB311" s="1999" t="e">
        <f t="shared" si="673"/>
        <v>#REF!</v>
      </c>
      <c r="BC311" s="1993" t="e">
        <f>#REF!</f>
        <v>#REF!</v>
      </c>
      <c r="BD311" s="2003">
        <f t="shared" si="571"/>
        <v>0</v>
      </c>
      <c r="BE311" s="1989" t="e">
        <f>#REF!/10^7</f>
        <v>#REF!</v>
      </c>
      <c r="BF311" s="2003">
        <f t="shared" si="572"/>
        <v>0</v>
      </c>
      <c r="BG311" s="1989" t="e">
        <f>#REF!/10^7</f>
        <v>#REF!</v>
      </c>
      <c r="BH311" s="2003">
        <f t="shared" si="573"/>
        <v>0</v>
      </c>
      <c r="BI311" s="1989" t="e">
        <f>#REF!/10^7</f>
        <v>#REF!</v>
      </c>
      <c r="BJ311" s="1989" t="e">
        <f>#REF!/10^7</f>
        <v>#REF!</v>
      </c>
      <c r="BK311" s="2002" t="e">
        <f t="shared" si="574"/>
        <v>#REF!</v>
      </c>
      <c r="BL311" s="1999" t="e">
        <f t="shared" si="674"/>
        <v>#REF!</v>
      </c>
      <c r="BM311" s="1993" t="e">
        <f>#REF!</f>
        <v>#REF!</v>
      </c>
      <c r="BN311" s="2003">
        <f t="shared" si="575"/>
        <v>0</v>
      </c>
      <c r="BO311" s="1989" t="e">
        <f>#REF!/10^7</f>
        <v>#REF!</v>
      </c>
      <c r="BP311" s="2003">
        <f t="shared" si="576"/>
        <v>0</v>
      </c>
      <c r="BQ311" s="1989" t="e">
        <f>#REF!/10^7</f>
        <v>#REF!</v>
      </c>
      <c r="BR311" s="2003">
        <f t="shared" si="577"/>
        <v>0</v>
      </c>
      <c r="BS311" s="1989" t="e">
        <f>#REF!/10^7</f>
        <v>#REF!</v>
      </c>
      <c r="BT311" s="1989" t="e">
        <f>#REF!/10^7</f>
        <v>#REF!</v>
      </c>
      <c r="BU311" s="2002" t="e">
        <f t="shared" si="578"/>
        <v>#REF!</v>
      </c>
      <c r="BV311" s="1999" t="e">
        <f t="shared" si="675"/>
        <v>#REF!</v>
      </c>
      <c r="BW311" s="1993" t="e">
        <f>#REF!</f>
        <v>#REF!</v>
      </c>
      <c r="BX311" s="2003">
        <f t="shared" si="579"/>
        <v>0</v>
      </c>
      <c r="BY311" s="1989" t="e">
        <f>#REF!/10^7</f>
        <v>#REF!</v>
      </c>
      <c r="BZ311" s="2003">
        <f t="shared" si="580"/>
        <v>0</v>
      </c>
      <c r="CA311" s="1989" t="e">
        <f>#REF!/10^7</f>
        <v>#REF!</v>
      </c>
      <c r="CB311" s="2003">
        <f t="shared" si="581"/>
        <v>0</v>
      </c>
      <c r="CC311" s="1989" t="e">
        <f>#REF!/10^7</f>
        <v>#REF!</v>
      </c>
      <c r="CD311" s="1989" t="e">
        <f>#REF!/10^7</f>
        <v>#REF!</v>
      </c>
      <c r="CE311" s="2002" t="e">
        <f t="shared" si="582"/>
        <v>#REF!</v>
      </c>
      <c r="CF311" s="1999" t="e">
        <f t="shared" si="676"/>
        <v>#REF!</v>
      </c>
      <c r="CG311" s="1993" t="e">
        <f>#REF!</f>
        <v>#REF!</v>
      </c>
      <c r="CH311" s="2003">
        <f t="shared" si="583"/>
        <v>0</v>
      </c>
      <c r="CI311" s="1989" t="e">
        <f>#REF!/10^7</f>
        <v>#REF!</v>
      </c>
      <c r="CJ311" s="2003">
        <f t="shared" si="584"/>
        <v>0</v>
      </c>
      <c r="CK311" s="1989" t="e">
        <f>#REF!/10^7</f>
        <v>#REF!</v>
      </c>
      <c r="CL311" s="2003">
        <f t="shared" si="585"/>
        <v>0</v>
      </c>
      <c r="CM311" s="1989" t="e">
        <f>#REF!/10^7</f>
        <v>#REF!</v>
      </c>
      <c r="CN311" s="1989" t="e">
        <f>#REF!/10^7</f>
        <v>#REF!</v>
      </c>
      <c r="CO311" s="2002" t="e">
        <f t="shared" si="586"/>
        <v>#REF!</v>
      </c>
      <c r="CP311" s="1999" t="e">
        <f t="shared" si="677"/>
        <v>#REF!</v>
      </c>
      <c r="CQ311" s="1993" t="e">
        <f>#REF!</f>
        <v>#REF!</v>
      </c>
      <c r="CR311" s="2003">
        <f t="shared" si="587"/>
        <v>0</v>
      </c>
      <c r="CS311" s="1989" t="e">
        <f>#REF!/10^7</f>
        <v>#REF!</v>
      </c>
      <c r="CT311" s="2003">
        <f t="shared" si="588"/>
        <v>0</v>
      </c>
      <c r="CU311" s="1989" t="e">
        <f>#REF!/10^7</f>
        <v>#REF!</v>
      </c>
      <c r="CV311" s="2003">
        <f t="shared" si="589"/>
        <v>0</v>
      </c>
      <c r="CW311" s="1989" t="e">
        <f>#REF!/10^7</f>
        <v>#REF!</v>
      </c>
      <c r="CX311" s="1989" t="e">
        <f>#REF!/10^7</f>
        <v>#REF!</v>
      </c>
      <c r="CY311" s="2002" t="e">
        <f t="shared" si="590"/>
        <v>#REF!</v>
      </c>
      <c r="CZ311" s="1999" t="e">
        <f t="shared" si="678"/>
        <v>#REF!</v>
      </c>
      <c r="DA311" s="1993" t="e">
        <f>#REF!</f>
        <v>#REF!</v>
      </c>
      <c r="DB311" s="2003">
        <f t="shared" si="591"/>
        <v>0</v>
      </c>
      <c r="DC311" s="1989" t="e">
        <f>#REF!/10^7</f>
        <v>#REF!</v>
      </c>
      <c r="DD311" s="2003">
        <f t="shared" si="592"/>
        <v>0</v>
      </c>
      <c r="DE311" s="1989" t="e">
        <f>#REF!/10^7</f>
        <v>#REF!</v>
      </c>
      <c r="DF311" s="2003">
        <f t="shared" si="593"/>
        <v>0</v>
      </c>
      <c r="DG311" s="1989" t="e">
        <f>#REF!/10^7</f>
        <v>#REF!</v>
      </c>
      <c r="DH311" s="1989" t="e">
        <f>#REF!/10^7</f>
        <v>#REF!</v>
      </c>
      <c r="DI311" s="2002" t="e">
        <f t="shared" si="594"/>
        <v>#REF!</v>
      </c>
      <c r="DJ311" s="1999" t="e">
        <f t="shared" si="679"/>
        <v>#REF!</v>
      </c>
      <c r="DK311" s="1993" t="e">
        <f>#REF!</f>
        <v>#REF!</v>
      </c>
      <c r="DL311" s="2003">
        <f t="shared" si="595"/>
        <v>0</v>
      </c>
      <c r="DM311" s="1989" t="e">
        <f>#REF!/10^7</f>
        <v>#REF!</v>
      </c>
      <c r="DN311" s="2003">
        <f t="shared" si="596"/>
        <v>0</v>
      </c>
      <c r="DO311" s="1989" t="e">
        <f>#REF!/10^7</f>
        <v>#REF!</v>
      </c>
      <c r="DP311" s="2003">
        <f t="shared" si="597"/>
        <v>0</v>
      </c>
      <c r="DQ311" s="1989" t="e">
        <f>#REF!/10^7</f>
        <v>#REF!</v>
      </c>
      <c r="DR311" s="1989" t="e">
        <f>#REF!/10^7</f>
        <v>#REF!</v>
      </c>
      <c r="DS311" s="2002" t="e">
        <f t="shared" si="598"/>
        <v>#REF!</v>
      </c>
      <c r="DT311" s="2004" t="e">
        <f t="shared" si="680"/>
        <v>#REF!</v>
      </c>
      <c r="DU311" s="1988" t="e">
        <f>#REF!</f>
        <v>#REF!</v>
      </c>
      <c r="DV311" s="2003">
        <f t="shared" si="599"/>
        <v>0</v>
      </c>
      <c r="DW311" s="1989" t="e">
        <f>#REF!/10^7</f>
        <v>#REF!</v>
      </c>
      <c r="DX311" s="2003">
        <f t="shared" si="600"/>
        <v>0</v>
      </c>
      <c r="DY311" s="1989" t="e">
        <f>#REF!/10^7</f>
        <v>#REF!</v>
      </c>
      <c r="DZ311" s="2003">
        <f t="shared" si="601"/>
        <v>0</v>
      </c>
      <c r="EA311" s="1989" t="e">
        <f>#REF!/10^7</f>
        <v>#REF!</v>
      </c>
      <c r="EB311" s="1989" t="e">
        <f>#REF!/10^7</f>
        <v>#REF!</v>
      </c>
      <c r="EC311" s="2002" t="e">
        <f t="shared" si="602"/>
        <v>#REF!</v>
      </c>
      <c r="ED311" s="1998" t="e">
        <f t="shared" si="681"/>
        <v>#REF!</v>
      </c>
      <c r="EE311" s="2005" t="e">
        <f t="shared" si="682"/>
        <v>#REF!</v>
      </c>
      <c r="EF311" s="2003">
        <f t="shared" si="603"/>
        <v>0</v>
      </c>
      <c r="EG311" s="1989" t="e">
        <f t="shared" si="683"/>
        <v>#REF!</v>
      </c>
      <c r="EH311" s="2003">
        <f t="shared" si="604"/>
        <v>0</v>
      </c>
      <c r="EI311" s="1989" t="e">
        <f t="shared" si="684"/>
        <v>#REF!</v>
      </c>
      <c r="EJ311" s="2003">
        <f t="shared" si="605"/>
        <v>0</v>
      </c>
      <c r="EK311" s="1989" t="e">
        <f t="shared" si="685"/>
        <v>#REF!</v>
      </c>
      <c r="EL311" s="1989" t="e">
        <f t="shared" si="685"/>
        <v>#REF!</v>
      </c>
      <c r="EM311" s="2006" t="e">
        <f t="shared" si="606"/>
        <v>#REF!</v>
      </c>
      <c r="EN311" s="1999" t="e">
        <f t="shared" si="686"/>
        <v>#REF!</v>
      </c>
      <c r="EP311" s="1613" t="e">
        <f>EA311-#REF!/10^7</f>
        <v>#REF!</v>
      </c>
      <c r="EW311" s="1611" t="e">
        <v>#N/A</v>
      </c>
      <c r="EX311" s="1612" t="e">
        <v>#N/A</v>
      </c>
      <c r="EZ311" s="1650">
        <f t="shared" si="607"/>
        <v>0</v>
      </c>
    </row>
    <row r="312" spans="1:156" ht="21" customHeight="1">
      <c r="A312" s="1652">
        <v>22</v>
      </c>
      <c r="B312" s="1668" t="s">
        <v>1972</v>
      </c>
      <c r="C312" s="1662">
        <v>5</v>
      </c>
      <c r="D312" s="1646">
        <f t="shared" si="688"/>
        <v>100</v>
      </c>
      <c r="E312" s="1646"/>
      <c r="F312" s="1648" t="s">
        <v>1594</v>
      </c>
      <c r="G312" s="1648"/>
      <c r="H312" s="1648">
        <v>5</v>
      </c>
      <c r="I312" s="1648" t="s">
        <v>1667</v>
      </c>
      <c r="J312" s="1649">
        <v>2</v>
      </c>
      <c r="K312" s="1648"/>
      <c r="L312" s="1648"/>
      <c r="M312" s="1648"/>
      <c r="N312" s="1642"/>
      <c r="O312" s="2000" t="e">
        <f>#REF!</f>
        <v>#REF!</v>
      </c>
      <c r="P312" s="2003">
        <f t="shared" si="555"/>
        <v>0</v>
      </c>
      <c r="Q312" s="1989" t="e">
        <f>#REF!/10^7</f>
        <v>#REF!</v>
      </c>
      <c r="R312" s="2003">
        <f t="shared" si="556"/>
        <v>0</v>
      </c>
      <c r="S312" s="1989" t="e">
        <f>#REF!/10^7</f>
        <v>#REF!</v>
      </c>
      <c r="T312" s="2003">
        <f t="shared" si="557"/>
        <v>0</v>
      </c>
      <c r="U312" s="1989" t="e">
        <f>#REF!/10^7</f>
        <v>#REF!</v>
      </c>
      <c r="V312" s="1989" t="e">
        <f>#REF!/10^7</f>
        <v>#REF!</v>
      </c>
      <c r="W312" s="1989">
        <f t="shared" si="558"/>
        <v>0</v>
      </c>
      <c r="X312" s="1999" t="e">
        <f t="shared" si="671"/>
        <v>#REF!</v>
      </c>
      <c r="Y312" s="1993" t="e">
        <f>#REF!</f>
        <v>#REF!</v>
      </c>
      <c r="Z312" s="2003">
        <f t="shared" si="559"/>
        <v>0</v>
      </c>
      <c r="AA312" s="1989" t="e">
        <f>#REF!/10^7</f>
        <v>#REF!</v>
      </c>
      <c r="AB312" s="2003">
        <f t="shared" si="560"/>
        <v>0</v>
      </c>
      <c r="AC312" s="1989" t="e">
        <f>#REF!/10^7</f>
        <v>#REF!</v>
      </c>
      <c r="AD312" s="2003">
        <f t="shared" si="561"/>
        <v>0</v>
      </c>
      <c r="AE312" s="1989" t="e">
        <f>#REF!/10^7</f>
        <v>#REF!</v>
      </c>
      <c r="AF312" s="1989" t="e">
        <f>#REF!/10^7</f>
        <v>#REF!</v>
      </c>
      <c r="AG312" s="2002" t="e">
        <f t="shared" si="562"/>
        <v>#REF!</v>
      </c>
      <c r="AH312" s="1999" t="e">
        <f t="shared" si="670"/>
        <v>#REF!</v>
      </c>
      <c r="AI312" s="1993" t="e">
        <f>#REF!</f>
        <v>#REF!</v>
      </c>
      <c r="AJ312" s="2003">
        <f t="shared" si="563"/>
        <v>0</v>
      </c>
      <c r="AK312" s="1989" t="e">
        <f>#REF!/10^7</f>
        <v>#REF!</v>
      </c>
      <c r="AL312" s="2003">
        <f t="shared" si="564"/>
        <v>0</v>
      </c>
      <c r="AM312" s="1989" t="e">
        <f>#REF!/10^7</f>
        <v>#REF!</v>
      </c>
      <c r="AN312" s="2003">
        <f t="shared" si="565"/>
        <v>0</v>
      </c>
      <c r="AO312" s="1989" t="e">
        <f>#REF!/10^7</f>
        <v>#REF!</v>
      </c>
      <c r="AP312" s="1989" t="e">
        <f>#REF!/10^7</f>
        <v>#REF!</v>
      </c>
      <c r="AQ312" s="2002" t="e">
        <f t="shared" si="566"/>
        <v>#REF!</v>
      </c>
      <c r="AR312" s="1999" t="e">
        <f t="shared" si="672"/>
        <v>#REF!</v>
      </c>
      <c r="AS312" s="1993" t="e">
        <f>#REF!</f>
        <v>#REF!</v>
      </c>
      <c r="AT312" s="2003">
        <f t="shared" si="567"/>
        <v>0</v>
      </c>
      <c r="AU312" s="1989" t="e">
        <f>#REF!/10^7</f>
        <v>#REF!</v>
      </c>
      <c r="AV312" s="2003">
        <f t="shared" si="568"/>
        <v>0</v>
      </c>
      <c r="AW312" s="1989" t="e">
        <f>#REF!/10^7</f>
        <v>#REF!</v>
      </c>
      <c r="AX312" s="2003">
        <f t="shared" si="569"/>
        <v>0</v>
      </c>
      <c r="AY312" s="1989" t="e">
        <f>#REF!/10^7</f>
        <v>#REF!</v>
      </c>
      <c r="AZ312" s="1989" t="e">
        <f>#REF!/10^7</f>
        <v>#REF!</v>
      </c>
      <c r="BA312" s="2002" t="e">
        <f t="shared" si="570"/>
        <v>#REF!</v>
      </c>
      <c r="BB312" s="1999" t="e">
        <f t="shared" si="673"/>
        <v>#REF!</v>
      </c>
      <c r="BC312" s="1993" t="e">
        <f>#REF!</f>
        <v>#REF!</v>
      </c>
      <c r="BD312" s="2003">
        <f t="shared" si="571"/>
        <v>0</v>
      </c>
      <c r="BE312" s="1989" t="e">
        <f>#REF!/10^7</f>
        <v>#REF!</v>
      </c>
      <c r="BF312" s="2003">
        <f t="shared" si="572"/>
        <v>0</v>
      </c>
      <c r="BG312" s="1989" t="e">
        <f>#REF!/10^7</f>
        <v>#REF!</v>
      </c>
      <c r="BH312" s="2003">
        <f t="shared" si="573"/>
        <v>0</v>
      </c>
      <c r="BI312" s="1989" t="e">
        <f>#REF!/10^7</f>
        <v>#REF!</v>
      </c>
      <c r="BJ312" s="1989" t="e">
        <f>#REF!/10^7</f>
        <v>#REF!</v>
      </c>
      <c r="BK312" s="2002" t="e">
        <f t="shared" si="574"/>
        <v>#REF!</v>
      </c>
      <c r="BL312" s="1999" t="e">
        <f t="shared" si="674"/>
        <v>#REF!</v>
      </c>
      <c r="BM312" s="1993" t="e">
        <f>#REF!</f>
        <v>#REF!</v>
      </c>
      <c r="BN312" s="2003">
        <f t="shared" si="575"/>
        <v>0</v>
      </c>
      <c r="BO312" s="1989" t="e">
        <f>#REF!/10^7</f>
        <v>#REF!</v>
      </c>
      <c r="BP312" s="2003">
        <f t="shared" si="576"/>
        <v>0</v>
      </c>
      <c r="BQ312" s="1989" t="e">
        <f>#REF!/10^7</f>
        <v>#REF!</v>
      </c>
      <c r="BR312" s="2003">
        <f t="shared" si="577"/>
        <v>0</v>
      </c>
      <c r="BS312" s="1989" t="e">
        <f>#REF!/10^7</f>
        <v>#REF!</v>
      </c>
      <c r="BT312" s="1989" t="e">
        <f>#REF!/10^7</f>
        <v>#REF!</v>
      </c>
      <c r="BU312" s="2002" t="e">
        <f t="shared" si="578"/>
        <v>#REF!</v>
      </c>
      <c r="BV312" s="1999" t="e">
        <f t="shared" si="675"/>
        <v>#REF!</v>
      </c>
      <c r="BW312" s="1993" t="e">
        <f>#REF!</f>
        <v>#REF!</v>
      </c>
      <c r="BX312" s="2003">
        <f t="shared" si="579"/>
        <v>0</v>
      </c>
      <c r="BY312" s="1989" t="e">
        <f>#REF!/10^7</f>
        <v>#REF!</v>
      </c>
      <c r="BZ312" s="2003">
        <f t="shared" si="580"/>
        <v>0</v>
      </c>
      <c r="CA312" s="1989" t="e">
        <f>#REF!/10^7</f>
        <v>#REF!</v>
      </c>
      <c r="CB312" s="2003">
        <f t="shared" si="581"/>
        <v>0</v>
      </c>
      <c r="CC312" s="1989" t="e">
        <f>#REF!/10^7</f>
        <v>#REF!</v>
      </c>
      <c r="CD312" s="1989" t="e">
        <f>#REF!/10^7</f>
        <v>#REF!</v>
      </c>
      <c r="CE312" s="2002" t="e">
        <f t="shared" si="582"/>
        <v>#REF!</v>
      </c>
      <c r="CF312" s="1999" t="e">
        <f t="shared" si="676"/>
        <v>#REF!</v>
      </c>
      <c r="CG312" s="1993" t="e">
        <f>#REF!</f>
        <v>#REF!</v>
      </c>
      <c r="CH312" s="2003">
        <f t="shared" si="583"/>
        <v>0</v>
      </c>
      <c r="CI312" s="1989" t="e">
        <f>#REF!/10^7</f>
        <v>#REF!</v>
      </c>
      <c r="CJ312" s="2003">
        <f t="shared" si="584"/>
        <v>0</v>
      </c>
      <c r="CK312" s="1989" t="e">
        <f>#REF!/10^7</f>
        <v>#REF!</v>
      </c>
      <c r="CL312" s="2003">
        <f t="shared" si="585"/>
        <v>0</v>
      </c>
      <c r="CM312" s="1989" t="e">
        <f>#REF!/10^7</f>
        <v>#REF!</v>
      </c>
      <c r="CN312" s="1989" t="e">
        <f>#REF!/10^7</f>
        <v>#REF!</v>
      </c>
      <c r="CO312" s="2002" t="e">
        <f t="shared" si="586"/>
        <v>#REF!</v>
      </c>
      <c r="CP312" s="1999" t="e">
        <f t="shared" si="677"/>
        <v>#REF!</v>
      </c>
      <c r="CQ312" s="1993" t="e">
        <f>#REF!</f>
        <v>#REF!</v>
      </c>
      <c r="CR312" s="2003">
        <f t="shared" si="587"/>
        <v>0</v>
      </c>
      <c r="CS312" s="1989" t="e">
        <f>#REF!/10^7</f>
        <v>#REF!</v>
      </c>
      <c r="CT312" s="2003">
        <f t="shared" si="588"/>
        <v>0</v>
      </c>
      <c r="CU312" s="1989" t="e">
        <f>#REF!/10^7</f>
        <v>#REF!</v>
      </c>
      <c r="CV312" s="2003">
        <f t="shared" si="589"/>
        <v>0</v>
      </c>
      <c r="CW312" s="1989" t="e">
        <f>#REF!/10^7</f>
        <v>#REF!</v>
      </c>
      <c r="CX312" s="1989" t="e">
        <f>#REF!/10^7</f>
        <v>#REF!</v>
      </c>
      <c r="CY312" s="2002" t="e">
        <f t="shared" si="590"/>
        <v>#REF!</v>
      </c>
      <c r="CZ312" s="1999" t="e">
        <f t="shared" si="678"/>
        <v>#REF!</v>
      </c>
      <c r="DA312" s="1993" t="e">
        <f>#REF!</f>
        <v>#REF!</v>
      </c>
      <c r="DB312" s="2003">
        <f t="shared" si="591"/>
        <v>0</v>
      </c>
      <c r="DC312" s="1989" t="e">
        <f>#REF!/10^7</f>
        <v>#REF!</v>
      </c>
      <c r="DD312" s="2003">
        <f t="shared" si="592"/>
        <v>0</v>
      </c>
      <c r="DE312" s="1989" t="e">
        <f>#REF!/10^7</f>
        <v>#REF!</v>
      </c>
      <c r="DF312" s="2003">
        <f t="shared" si="593"/>
        <v>0</v>
      </c>
      <c r="DG312" s="1989" t="e">
        <f>#REF!/10^7</f>
        <v>#REF!</v>
      </c>
      <c r="DH312" s="1989" t="e">
        <f>#REF!/10^7</f>
        <v>#REF!</v>
      </c>
      <c r="DI312" s="2002" t="e">
        <f t="shared" si="594"/>
        <v>#REF!</v>
      </c>
      <c r="DJ312" s="1999" t="e">
        <f t="shared" si="679"/>
        <v>#REF!</v>
      </c>
      <c r="DK312" s="1993" t="e">
        <f>#REF!</f>
        <v>#REF!</v>
      </c>
      <c r="DL312" s="2003">
        <f t="shared" si="595"/>
        <v>0</v>
      </c>
      <c r="DM312" s="1989" t="e">
        <f>#REF!/10^7</f>
        <v>#REF!</v>
      </c>
      <c r="DN312" s="2003">
        <f t="shared" si="596"/>
        <v>0</v>
      </c>
      <c r="DO312" s="1989" t="e">
        <f>#REF!/10^7</f>
        <v>#REF!</v>
      </c>
      <c r="DP312" s="2003">
        <f t="shared" si="597"/>
        <v>0</v>
      </c>
      <c r="DQ312" s="1989" t="e">
        <f>#REF!/10^7</f>
        <v>#REF!</v>
      </c>
      <c r="DR312" s="1989" t="e">
        <f>#REF!/10^7</f>
        <v>#REF!</v>
      </c>
      <c r="DS312" s="2002" t="e">
        <f t="shared" si="598"/>
        <v>#REF!</v>
      </c>
      <c r="DT312" s="2004" t="e">
        <f t="shared" si="680"/>
        <v>#REF!</v>
      </c>
      <c r="DU312" s="1988" t="e">
        <f>#REF!</f>
        <v>#REF!</v>
      </c>
      <c r="DV312" s="2003">
        <f t="shared" si="599"/>
        <v>0</v>
      </c>
      <c r="DW312" s="1989" t="e">
        <f>#REF!/10^7</f>
        <v>#REF!</v>
      </c>
      <c r="DX312" s="2003">
        <f t="shared" si="600"/>
        <v>0</v>
      </c>
      <c r="DY312" s="1989" t="e">
        <f>#REF!/10^7</f>
        <v>#REF!</v>
      </c>
      <c r="DZ312" s="2003">
        <f t="shared" si="601"/>
        <v>0</v>
      </c>
      <c r="EA312" s="1989" t="e">
        <f>#REF!/10^7</f>
        <v>#REF!</v>
      </c>
      <c r="EB312" s="1989" t="e">
        <f>#REF!/10^7</f>
        <v>#REF!</v>
      </c>
      <c r="EC312" s="2002" t="e">
        <f t="shared" si="602"/>
        <v>#REF!</v>
      </c>
      <c r="ED312" s="1998" t="e">
        <f t="shared" si="681"/>
        <v>#REF!</v>
      </c>
      <c r="EE312" s="2005" t="e">
        <f t="shared" si="682"/>
        <v>#REF!</v>
      </c>
      <c r="EF312" s="2003">
        <f t="shared" si="603"/>
        <v>0</v>
      </c>
      <c r="EG312" s="1989" t="e">
        <f t="shared" si="683"/>
        <v>#REF!</v>
      </c>
      <c r="EH312" s="2003">
        <f t="shared" si="604"/>
        <v>0</v>
      </c>
      <c r="EI312" s="1989" t="e">
        <f t="shared" si="684"/>
        <v>#REF!</v>
      </c>
      <c r="EJ312" s="2003">
        <f t="shared" si="605"/>
        <v>0</v>
      </c>
      <c r="EK312" s="1989" t="e">
        <f t="shared" si="685"/>
        <v>#REF!</v>
      </c>
      <c r="EL312" s="1989" t="e">
        <f t="shared" si="685"/>
        <v>#REF!</v>
      </c>
      <c r="EM312" s="2006" t="e">
        <f t="shared" si="606"/>
        <v>#REF!</v>
      </c>
      <c r="EN312" s="1999" t="e">
        <f t="shared" si="686"/>
        <v>#REF!</v>
      </c>
      <c r="EP312" s="1613" t="e">
        <f>EA312-#REF!/10^7</f>
        <v>#REF!</v>
      </c>
      <c r="EW312" s="1611" t="e">
        <v>#N/A</v>
      </c>
      <c r="EX312" s="1612" t="e">
        <v>#N/A</v>
      </c>
      <c r="EZ312" s="1650">
        <f t="shared" si="607"/>
        <v>0</v>
      </c>
    </row>
    <row r="313" spans="1:156" ht="21" customHeight="1">
      <c r="A313" s="1652">
        <v>23</v>
      </c>
      <c r="B313" s="1668" t="s">
        <v>1973</v>
      </c>
      <c r="C313" s="1662">
        <v>10</v>
      </c>
      <c r="D313" s="1646">
        <f t="shared" si="688"/>
        <v>100</v>
      </c>
      <c r="E313" s="1646"/>
      <c r="F313" s="1648" t="s">
        <v>1594</v>
      </c>
      <c r="G313" s="1648"/>
      <c r="H313" s="1648">
        <v>10</v>
      </c>
      <c r="I313" s="1648" t="s">
        <v>1667</v>
      </c>
      <c r="J313" s="1649">
        <v>2</v>
      </c>
      <c r="K313" s="1648"/>
      <c r="L313" s="1648"/>
      <c r="M313" s="1648"/>
      <c r="N313" s="1642"/>
      <c r="O313" s="2000" t="e">
        <f>#REF!</f>
        <v>#REF!</v>
      </c>
      <c r="P313" s="2003">
        <f t="shared" si="555"/>
        <v>0</v>
      </c>
      <c r="Q313" s="1989" t="e">
        <f>#REF!/10^7</f>
        <v>#REF!</v>
      </c>
      <c r="R313" s="2003">
        <f t="shared" si="556"/>
        <v>0</v>
      </c>
      <c r="S313" s="1989" t="e">
        <f>#REF!/10^7</f>
        <v>#REF!</v>
      </c>
      <c r="T313" s="2003">
        <f t="shared" si="557"/>
        <v>0</v>
      </c>
      <c r="U313" s="1989" t="e">
        <f>#REF!/10^7</f>
        <v>#REF!</v>
      </c>
      <c r="V313" s="1989" t="e">
        <f>#REF!/10^7</f>
        <v>#REF!</v>
      </c>
      <c r="W313" s="1989">
        <f t="shared" si="558"/>
        <v>0</v>
      </c>
      <c r="X313" s="1999" t="e">
        <f t="shared" si="671"/>
        <v>#REF!</v>
      </c>
      <c r="Y313" s="1993" t="e">
        <f>#REF!</f>
        <v>#REF!</v>
      </c>
      <c r="Z313" s="2003">
        <f t="shared" si="559"/>
        <v>0</v>
      </c>
      <c r="AA313" s="1989" t="e">
        <f>#REF!/10^7</f>
        <v>#REF!</v>
      </c>
      <c r="AB313" s="2003">
        <f t="shared" si="560"/>
        <v>0</v>
      </c>
      <c r="AC313" s="1989" t="e">
        <f>#REF!/10^7</f>
        <v>#REF!</v>
      </c>
      <c r="AD313" s="2003">
        <f t="shared" si="561"/>
        <v>0</v>
      </c>
      <c r="AE313" s="1989" t="e">
        <f>#REF!/10^7</f>
        <v>#REF!</v>
      </c>
      <c r="AF313" s="1989" t="e">
        <f>#REF!/10^7</f>
        <v>#REF!</v>
      </c>
      <c r="AG313" s="2002" t="e">
        <f t="shared" si="562"/>
        <v>#REF!</v>
      </c>
      <c r="AH313" s="1999" t="e">
        <f t="shared" si="670"/>
        <v>#REF!</v>
      </c>
      <c r="AI313" s="1993" t="e">
        <f>#REF!</f>
        <v>#REF!</v>
      </c>
      <c r="AJ313" s="2003">
        <f t="shared" si="563"/>
        <v>0</v>
      </c>
      <c r="AK313" s="1989" t="e">
        <f>#REF!/10^7</f>
        <v>#REF!</v>
      </c>
      <c r="AL313" s="2003">
        <f t="shared" si="564"/>
        <v>0</v>
      </c>
      <c r="AM313" s="1989" t="e">
        <f>#REF!/10^7</f>
        <v>#REF!</v>
      </c>
      <c r="AN313" s="2003">
        <f t="shared" si="565"/>
        <v>0</v>
      </c>
      <c r="AO313" s="1989" t="e">
        <f>#REF!/10^7</f>
        <v>#REF!</v>
      </c>
      <c r="AP313" s="1989" t="e">
        <f>#REF!/10^7</f>
        <v>#REF!</v>
      </c>
      <c r="AQ313" s="2002" t="e">
        <f t="shared" si="566"/>
        <v>#REF!</v>
      </c>
      <c r="AR313" s="1999" t="e">
        <f t="shared" si="672"/>
        <v>#REF!</v>
      </c>
      <c r="AS313" s="1993" t="e">
        <f>#REF!</f>
        <v>#REF!</v>
      </c>
      <c r="AT313" s="2003">
        <f t="shared" si="567"/>
        <v>0</v>
      </c>
      <c r="AU313" s="1989" t="e">
        <f>#REF!/10^7</f>
        <v>#REF!</v>
      </c>
      <c r="AV313" s="2003">
        <f t="shared" si="568"/>
        <v>0</v>
      </c>
      <c r="AW313" s="1989" t="e">
        <f>#REF!/10^7</f>
        <v>#REF!</v>
      </c>
      <c r="AX313" s="2003">
        <f t="shared" si="569"/>
        <v>0</v>
      </c>
      <c r="AY313" s="1989" t="e">
        <f>#REF!/10^7</f>
        <v>#REF!</v>
      </c>
      <c r="AZ313" s="1989" t="e">
        <f>#REF!/10^7</f>
        <v>#REF!</v>
      </c>
      <c r="BA313" s="2002" t="e">
        <f t="shared" si="570"/>
        <v>#REF!</v>
      </c>
      <c r="BB313" s="1999" t="e">
        <f t="shared" si="673"/>
        <v>#REF!</v>
      </c>
      <c r="BC313" s="1993" t="e">
        <f>#REF!</f>
        <v>#REF!</v>
      </c>
      <c r="BD313" s="2003">
        <f t="shared" si="571"/>
        <v>0</v>
      </c>
      <c r="BE313" s="1989" t="e">
        <f>#REF!/10^7</f>
        <v>#REF!</v>
      </c>
      <c r="BF313" s="2003">
        <f t="shared" si="572"/>
        <v>0</v>
      </c>
      <c r="BG313" s="1989" t="e">
        <f>#REF!/10^7</f>
        <v>#REF!</v>
      </c>
      <c r="BH313" s="2003">
        <f t="shared" si="573"/>
        <v>0</v>
      </c>
      <c r="BI313" s="1989" t="e">
        <f>#REF!/10^7</f>
        <v>#REF!</v>
      </c>
      <c r="BJ313" s="1989" t="e">
        <f>#REF!/10^7</f>
        <v>#REF!</v>
      </c>
      <c r="BK313" s="2002" t="e">
        <f t="shared" si="574"/>
        <v>#REF!</v>
      </c>
      <c r="BL313" s="1999" t="e">
        <f t="shared" si="674"/>
        <v>#REF!</v>
      </c>
      <c r="BM313" s="1993" t="e">
        <f>#REF!</f>
        <v>#REF!</v>
      </c>
      <c r="BN313" s="2003">
        <f t="shared" si="575"/>
        <v>0</v>
      </c>
      <c r="BO313" s="1989" t="e">
        <f>#REF!/10^7</f>
        <v>#REF!</v>
      </c>
      <c r="BP313" s="2003">
        <f t="shared" si="576"/>
        <v>0</v>
      </c>
      <c r="BQ313" s="1989" t="e">
        <f>#REF!/10^7</f>
        <v>#REF!</v>
      </c>
      <c r="BR313" s="2003">
        <f t="shared" si="577"/>
        <v>0</v>
      </c>
      <c r="BS313" s="1989" t="e">
        <f>#REF!/10^7</f>
        <v>#REF!</v>
      </c>
      <c r="BT313" s="1989" t="e">
        <f>#REF!/10^7</f>
        <v>#REF!</v>
      </c>
      <c r="BU313" s="2002" t="e">
        <f t="shared" si="578"/>
        <v>#REF!</v>
      </c>
      <c r="BV313" s="1999" t="e">
        <f t="shared" si="675"/>
        <v>#REF!</v>
      </c>
      <c r="BW313" s="1993" t="e">
        <f>#REF!</f>
        <v>#REF!</v>
      </c>
      <c r="BX313" s="2003">
        <f t="shared" si="579"/>
        <v>0</v>
      </c>
      <c r="BY313" s="1989" t="e">
        <f>#REF!/10^7</f>
        <v>#REF!</v>
      </c>
      <c r="BZ313" s="2003">
        <f t="shared" si="580"/>
        <v>0</v>
      </c>
      <c r="CA313" s="1989" t="e">
        <f>#REF!/10^7</f>
        <v>#REF!</v>
      </c>
      <c r="CB313" s="2003">
        <f t="shared" si="581"/>
        <v>0</v>
      </c>
      <c r="CC313" s="1989" t="e">
        <f>#REF!/10^7</f>
        <v>#REF!</v>
      </c>
      <c r="CD313" s="1989" t="e">
        <f>#REF!/10^7</f>
        <v>#REF!</v>
      </c>
      <c r="CE313" s="2002" t="e">
        <f t="shared" si="582"/>
        <v>#REF!</v>
      </c>
      <c r="CF313" s="1999" t="e">
        <f t="shared" si="676"/>
        <v>#REF!</v>
      </c>
      <c r="CG313" s="1993" t="e">
        <f>#REF!</f>
        <v>#REF!</v>
      </c>
      <c r="CH313" s="2003">
        <f t="shared" si="583"/>
        <v>0</v>
      </c>
      <c r="CI313" s="1989" t="e">
        <f>#REF!/10^7</f>
        <v>#REF!</v>
      </c>
      <c r="CJ313" s="2003">
        <f t="shared" si="584"/>
        <v>0</v>
      </c>
      <c r="CK313" s="1989" t="e">
        <f>#REF!/10^7</f>
        <v>#REF!</v>
      </c>
      <c r="CL313" s="2003">
        <f t="shared" si="585"/>
        <v>0</v>
      </c>
      <c r="CM313" s="1989" t="e">
        <f>#REF!/10^7</f>
        <v>#REF!</v>
      </c>
      <c r="CN313" s="1989" t="e">
        <f>#REF!/10^7</f>
        <v>#REF!</v>
      </c>
      <c r="CO313" s="2002" t="e">
        <f t="shared" si="586"/>
        <v>#REF!</v>
      </c>
      <c r="CP313" s="1999" t="e">
        <f t="shared" si="677"/>
        <v>#REF!</v>
      </c>
      <c r="CQ313" s="1993" t="e">
        <f>#REF!</f>
        <v>#REF!</v>
      </c>
      <c r="CR313" s="2003">
        <f t="shared" si="587"/>
        <v>0</v>
      </c>
      <c r="CS313" s="1989" t="e">
        <f>#REF!/10^7</f>
        <v>#REF!</v>
      </c>
      <c r="CT313" s="2003">
        <f t="shared" si="588"/>
        <v>0</v>
      </c>
      <c r="CU313" s="1989" t="e">
        <f>#REF!/10^7</f>
        <v>#REF!</v>
      </c>
      <c r="CV313" s="2003">
        <f t="shared" si="589"/>
        <v>0</v>
      </c>
      <c r="CW313" s="1989" t="e">
        <f>#REF!/10^7</f>
        <v>#REF!</v>
      </c>
      <c r="CX313" s="1989" t="e">
        <f>#REF!/10^7</f>
        <v>#REF!</v>
      </c>
      <c r="CY313" s="2002" t="e">
        <f t="shared" si="590"/>
        <v>#REF!</v>
      </c>
      <c r="CZ313" s="1999" t="e">
        <f t="shared" si="678"/>
        <v>#REF!</v>
      </c>
      <c r="DA313" s="1993" t="e">
        <f>#REF!</f>
        <v>#REF!</v>
      </c>
      <c r="DB313" s="2003">
        <f t="shared" si="591"/>
        <v>0</v>
      </c>
      <c r="DC313" s="1989" t="e">
        <f>#REF!/10^7</f>
        <v>#REF!</v>
      </c>
      <c r="DD313" s="2003">
        <f t="shared" si="592"/>
        <v>0</v>
      </c>
      <c r="DE313" s="1989" t="e">
        <f>#REF!/10^7</f>
        <v>#REF!</v>
      </c>
      <c r="DF313" s="2003">
        <f t="shared" si="593"/>
        <v>0</v>
      </c>
      <c r="DG313" s="1989" t="e">
        <f>#REF!/10^7</f>
        <v>#REF!</v>
      </c>
      <c r="DH313" s="1989" t="e">
        <f>#REF!/10^7</f>
        <v>#REF!</v>
      </c>
      <c r="DI313" s="2002" t="e">
        <f t="shared" si="594"/>
        <v>#REF!</v>
      </c>
      <c r="DJ313" s="1999" t="e">
        <f t="shared" si="679"/>
        <v>#REF!</v>
      </c>
      <c r="DK313" s="1993" t="e">
        <f>#REF!</f>
        <v>#REF!</v>
      </c>
      <c r="DL313" s="2003">
        <f t="shared" si="595"/>
        <v>0</v>
      </c>
      <c r="DM313" s="1989" t="e">
        <f>#REF!/10^7</f>
        <v>#REF!</v>
      </c>
      <c r="DN313" s="2003">
        <f t="shared" si="596"/>
        <v>0</v>
      </c>
      <c r="DO313" s="1989" t="e">
        <f>#REF!/10^7</f>
        <v>#REF!</v>
      </c>
      <c r="DP313" s="2003">
        <f t="shared" si="597"/>
        <v>0</v>
      </c>
      <c r="DQ313" s="1989" t="e">
        <f>#REF!/10^7</f>
        <v>#REF!</v>
      </c>
      <c r="DR313" s="1989" t="e">
        <f>#REF!/10^7</f>
        <v>#REF!</v>
      </c>
      <c r="DS313" s="2002" t="e">
        <f t="shared" si="598"/>
        <v>#REF!</v>
      </c>
      <c r="DT313" s="2004" t="e">
        <f t="shared" si="680"/>
        <v>#REF!</v>
      </c>
      <c r="DU313" s="1988" t="e">
        <f>#REF!</f>
        <v>#REF!</v>
      </c>
      <c r="DV313" s="2003">
        <f t="shared" si="599"/>
        <v>0</v>
      </c>
      <c r="DW313" s="1989" t="e">
        <f>#REF!/10^7</f>
        <v>#REF!</v>
      </c>
      <c r="DX313" s="2003">
        <f t="shared" si="600"/>
        <v>0</v>
      </c>
      <c r="DY313" s="1989" t="e">
        <f>#REF!/10^7</f>
        <v>#REF!</v>
      </c>
      <c r="DZ313" s="2003">
        <f t="shared" si="601"/>
        <v>0</v>
      </c>
      <c r="EA313" s="1989" t="e">
        <f>#REF!/10^7</f>
        <v>#REF!</v>
      </c>
      <c r="EB313" s="1989" t="e">
        <f>#REF!/10^7</f>
        <v>#REF!</v>
      </c>
      <c r="EC313" s="2002" t="e">
        <f t="shared" si="602"/>
        <v>#REF!</v>
      </c>
      <c r="ED313" s="1998" t="e">
        <f t="shared" si="681"/>
        <v>#REF!</v>
      </c>
      <c r="EE313" s="2005" t="e">
        <f t="shared" si="682"/>
        <v>#REF!</v>
      </c>
      <c r="EF313" s="2003">
        <f t="shared" si="603"/>
        <v>0</v>
      </c>
      <c r="EG313" s="1989" t="e">
        <f t="shared" si="683"/>
        <v>#REF!</v>
      </c>
      <c r="EH313" s="2003">
        <f t="shared" si="604"/>
        <v>0</v>
      </c>
      <c r="EI313" s="1989" t="e">
        <f t="shared" si="684"/>
        <v>#REF!</v>
      </c>
      <c r="EJ313" s="2003">
        <f t="shared" si="605"/>
        <v>0</v>
      </c>
      <c r="EK313" s="1989" t="e">
        <f t="shared" si="685"/>
        <v>#REF!</v>
      </c>
      <c r="EL313" s="1989" t="e">
        <f t="shared" si="685"/>
        <v>#REF!</v>
      </c>
      <c r="EM313" s="2006" t="e">
        <f t="shared" si="606"/>
        <v>#REF!</v>
      </c>
      <c r="EN313" s="1999" t="e">
        <f t="shared" si="686"/>
        <v>#REF!</v>
      </c>
      <c r="EP313" s="1613" t="e">
        <f>EA313-#REF!/10^7</f>
        <v>#REF!</v>
      </c>
      <c r="EW313" s="1611" t="e">
        <v>#N/A</v>
      </c>
      <c r="EX313" s="1612" t="e">
        <v>#N/A</v>
      </c>
      <c r="EZ313" s="1650">
        <f t="shared" si="607"/>
        <v>0</v>
      </c>
    </row>
    <row r="314" spans="1:156" ht="21" customHeight="1">
      <c r="A314" s="1652">
        <v>24</v>
      </c>
      <c r="B314" s="1668" t="s">
        <v>1974</v>
      </c>
      <c r="C314" s="1662">
        <v>625</v>
      </c>
      <c r="D314" s="1646">
        <f t="shared" si="688"/>
        <v>100</v>
      </c>
      <c r="E314" s="1646"/>
      <c r="F314" s="1648"/>
      <c r="G314" s="1648"/>
      <c r="H314" s="1648">
        <v>625</v>
      </c>
      <c r="I314" s="1648" t="s">
        <v>1667</v>
      </c>
      <c r="J314" s="1649">
        <v>2</v>
      </c>
      <c r="K314" s="1648"/>
      <c r="L314" s="1648"/>
      <c r="M314" s="1648"/>
      <c r="N314" s="1642"/>
      <c r="O314" s="2000" t="e">
        <f>#REF!</f>
        <v>#REF!</v>
      </c>
      <c r="P314" s="2003">
        <f t="shared" si="555"/>
        <v>0</v>
      </c>
      <c r="Q314" s="1989" t="e">
        <f>#REF!/10^7</f>
        <v>#REF!</v>
      </c>
      <c r="R314" s="2003">
        <f t="shared" si="556"/>
        <v>0</v>
      </c>
      <c r="S314" s="1989" t="e">
        <f>#REF!/10^7</f>
        <v>#REF!</v>
      </c>
      <c r="T314" s="2003">
        <f t="shared" si="557"/>
        <v>0</v>
      </c>
      <c r="U314" s="1989" t="e">
        <f>#REF!/10^7</f>
        <v>#REF!</v>
      </c>
      <c r="V314" s="1989" t="e">
        <f>#REF!/10^7</f>
        <v>#REF!</v>
      </c>
      <c r="W314" s="1989">
        <f t="shared" si="558"/>
        <v>0</v>
      </c>
      <c r="X314" s="1999" t="e">
        <f t="shared" si="671"/>
        <v>#REF!</v>
      </c>
      <c r="Y314" s="1993" t="e">
        <f>#REF!</f>
        <v>#REF!</v>
      </c>
      <c r="Z314" s="2003">
        <f t="shared" si="559"/>
        <v>0</v>
      </c>
      <c r="AA314" s="1989" t="e">
        <f>#REF!/10^7</f>
        <v>#REF!</v>
      </c>
      <c r="AB314" s="2003">
        <f t="shared" si="560"/>
        <v>0</v>
      </c>
      <c r="AC314" s="1989" t="e">
        <f>#REF!/10^7</f>
        <v>#REF!</v>
      </c>
      <c r="AD314" s="2003">
        <f t="shared" si="561"/>
        <v>0</v>
      </c>
      <c r="AE314" s="1989" t="e">
        <f>#REF!/10^7</f>
        <v>#REF!</v>
      </c>
      <c r="AF314" s="1989" t="e">
        <f>#REF!/10^7</f>
        <v>#REF!</v>
      </c>
      <c r="AG314" s="2002" t="e">
        <f t="shared" si="562"/>
        <v>#REF!</v>
      </c>
      <c r="AH314" s="1999" t="e">
        <f t="shared" si="670"/>
        <v>#REF!</v>
      </c>
      <c r="AI314" s="1993" t="e">
        <f>#REF!</f>
        <v>#REF!</v>
      </c>
      <c r="AJ314" s="2003">
        <f t="shared" si="563"/>
        <v>0</v>
      </c>
      <c r="AK314" s="1989" t="e">
        <f>#REF!/10^7</f>
        <v>#REF!</v>
      </c>
      <c r="AL314" s="2003">
        <f t="shared" si="564"/>
        <v>0</v>
      </c>
      <c r="AM314" s="1989" t="e">
        <f>#REF!/10^7</f>
        <v>#REF!</v>
      </c>
      <c r="AN314" s="2003">
        <f t="shared" si="565"/>
        <v>0</v>
      </c>
      <c r="AO314" s="1989" t="e">
        <f>#REF!/10^7</f>
        <v>#REF!</v>
      </c>
      <c r="AP314" s="1989" t="e">
        <f>#REF!/10^7</f>
        <v>#REF!</v>
      </c>
      <c r="AQ314" s="2002" t="e">
        <f t="shared" si="566"/>
        <v>#REF!</v>
      </c>
      <c r="AR314" s="1999" t="e">
        <f t="shared" si="672"/>
        <v>#REF!</v>
      </c>
      <c r="AS314" s="1993" t="e">
        <f>#REF!</f>
        <v>#REF!</v>
      </c>
      <c r="AT314" s="2003">
        <f t="shared" si="567"/>
        <v>0</v>
      </c>
      <c r="AU314" s="1989" t="e">
        <f>#REF!/10^7</f>
        <v>#REF!</v>
      </c>
      <c r="AV314" s="2003">
        <f t="shared" si="568"/>
        <v>0</v>
      </c>
      <c r="AW314" s="1989" t="e">
        <f>#REF!/10^7</f>
        <v>#REF!</v>
      </c>
      <c r="AX314" s="2003">
        <f t="shared" si="569"/>
        <v>0</v>
      </c>
      <c r="AY314" s="1989" t="e">
        <f>#REF!/10^7</f>
        <v>#REF!</v>
      </c>
      <c r="AZ314" s="1989" t="e">
        <f>#REF!/10^7</f>
        <v>#REF!</v>
      </c>
      <c r="BA314" s="2002" t="e">
        <f t="shared" si="570"/>
        <v>#REF!</v>
      </c>
      <c r="BB314" s="1999" t="e">
        <f t="shared" si="673"/>
        <v>#REF!</v>
      </c>
      <c r="BC314" s="1993" t="e">
        <f>#REF!</f>
        <v>#REF!</v>
      </c>
      <c r="BD314" s="2003">
        <f t="shared" si="571"/>
        <v>0</v>
      </c>
      <c r="BE314" s="1989" t="e">
        <f>#REF!/10^7</f>
        <v>#REF!</v>
      </c>
      <c r="BF314" s="2003">
        <f t="shared" si="572"/>
        <v>0</v>
      </c>
      <c r="BG314" s="1989" t="e">
        <f>#REF!/10^7</f>
        <v>#REF!</v>
      </c>
      <c r="BH314" s="2003">
        <f t="shared" si="573"/>
        <v>0</v>
      </c>
      <c r="BI314" s="1989" t="e">
        <f>#REF!/10^7</f>
        <v>#REF!</v>
      </c>
      <c r="BJ314" s="1989" t="e">
        <f>#REF!/10^7</f>
        <v>#REF!</v>
      </c>
      <c r="BK314" s="2002" t="e">
        <f t="shared" si="574"/>
        <v>#REF!</v>
      </c>
      <c r="BL314" s="1999" t="e">
        <f t="shared" si="674"/>
        <v>#REF!</v>
      </c>
      <c r="BM314" s="1993" t="e">
        <f>#REF!</f>
        <v>#REF!</v>
      </c>
      <c r="BN314" s="2003">
        <f t="shared" si="575"/>
        <v>0</v>
      </c>
      <c r="BO314" s="1989" t="e">
        <f>#REF!/10^7</f>
        <v>#REF!</v>
      </c>
      <c r="BP314" s="2003">
        <f t="shared" si="576"/>
        <v>0</v>
      </c>
      <c r="BQ314" s="1989" t="e">
        <f>#REF!/10^7</f>
        <v>#REF!</v>
      </c>
      <c r="BR314" s="2003">
        <f t="shared" si="577"/>
        <v>0</v>
      </c>
      <c r="BS314" s="1989" t="e">
        <f>#REF!/10^7</f>
        <v>#REF!</v>
      </c>
      <c r="BT314" s="1989" t="e">
        <f>#REF!/10^7</f>
        <v>#REF!</v>
      </c>
      <c r="BU314" s="2002" t="e">
        <f t="shared" si="578"/>
        <v>#REF!</v>
      </c>
      <c r="BV314" s="1999" t="e">
        <f t="shared" si="675"/>
        <v>#REF!</v>
      </c>
      <c r="BW314" s="1993" t="e">
        <f>#REF!</f>
        <v>#REF!</v>
      </c>
      <c r="BX314" s="2003">
        <f t="shared" si="579"/>
        <v>0</v>
      </c>
      <c r="BY314" s="1989" t="e">
        <f>#REF!/10^7</f>
        <v>#REF!</v>
      </c>
      <c r="BZ314" s="2003">
        <f t="shared" si="580"/>
        <v>0</v>
      </c>
      <c r="CA314" s="1989" t="e">
        <f>#REF!/10^7</f>
        <v>#REF!</v>
      </c>
      <c r="CB314" s="2003">
        <f t="shared" si="581"/>
        <v>0</v>
      </c>
      <c r="CC314" s="1989" t="e">
        <f>#REF!/10^7</f>
        <v>#REF!</v>
      </c>
      <c r="CD314" s="1989" t="e">
        <f>#REF!/10^7</f>
        <v>#REF!</v>
      </c>
      <c r="CE314" s="2002" t="e">
        <f t="shared" si="582"/>
        <v>#REF!</v>
      </c>
      <c r="CF314" s="1999" t="e">
        <f t="shared" si="676"/>
        <v>#REF!</v>
      </c>
      <c r="CG314" s="1993" t="e">
        <f>#REF!</f>
        <v>#REF!</v>
      </c>
      <c r="CH314" s="2003">
        <f t="shared" si="583"/>
        <v>0</v>
      </c>
      <c r="CI314" s="1989" t="e">
        <f>#REF!/10^7</f>
        <v>#REF!</v>
      </c>
      <c r="CJ314" s="2003">
        <f t="shared" si="584"/>
        <v>0</v>
      </c>
      <c r="CK314" s="1989" t="e">
        <f>#REF!/10^7</f>
        <v>#REF!</v>
      </c>
      <c r="CL314" s="2003">
        <f t="shared" si="585"/>
        <v>0</v>
      </c>
      <c r="CM314" s="1989" t="e">
        <f>#REF!/10^7</f>
        <v>#REF!</v>
      </c>
      <c r="CN314" s="1989" t="e">
        <f>#REF!/10^7</f>
        <v>#REF!</v>
      </c>
      <c r="CO314" s="2002" t="e">
        <f t="shared" si="586"/>
        <v>#REF!</v>
      </c>
      <c r="CP314" s="1999" t="e">
        <f t="shared" si="677"/>
        <v>#REF!</v>
      </c>
      <c r="CQ314" s="1993" t="e">
        <f>#REF!</f>
        <v>#REF!</v>
      </c>
      <c r="CR314" s="2003">
        <f t="shared" si="587"/>
        <v>0</v>
      </c>
      <c r="CS314" s="1989" t="e">
        <f>#REF!/10^7</f>
        <v>#REF!</v>
      </c>
      <c r="CT314" s="2003">
        <f t="shared" si="588"/>
        <v>0</v>
      </c>
      <c r="CU314" s="1989" t="e">
        <f>#REF!/10^7</f>
        <v>#REF!</v>
      </c>
      <c r="CV314" s="2003">
        <f t="shared" si="589"/>
        <v>0</v>
      </c>
      <c r="CW314" s="1989" t="e">
        <f>#REF!/10^7</f>
        <v>#REF!</v>
      </c>
      <c r="CX314" s="1989" t="e">
        <f>#REF!/10^7</f>
        <v>#REF!</v>
      </c>
      <c r="CY314" s="2002" t="e">
        <f t="shared" si="590"/>
        <v>#REF!</v>
      </c>
      <c r="CZ314" s="1999" t="e">
        <f t="shared" si="678"/>
        <v>#REF!</v>
      </c>
      <c r="DA314" s="1993" t="e">
        <f>#REF!</f>
        <v>#REF!</v>
      </c>
      <c r="DB314" s="2003">
        <f t="shared" si="591"/>
        <v>0</v>
      </c>
      <c r="DC314" s="1989" t="e">
        <f>#REF!/10^7</f>
        <v>#REF!</v>
      </c>
      <c r="DD314" s="2003">
        <f t="shared" si="592"/>
        <v>0</v>
      </c>
      <c r="DE314" s="1989" t="e">
        <f>#REF!/10^7</f>
        <v>#REF!</v>
      </c>
      <c r="DF314" s="2003">
        <f t="shared" si="593"/>
        <v>0</v>
      </c>
      <c r="DG314" s="1989" t="e">
        <f>#REF!/10^7</f>
        <v>#REF!</v>
      </c>
      <c r="DH314" s="1989" t="e">
        <f>#REF!/10^7</f>
        <v>#REF!</v>
      </c>
      <c r="DI314" s="2002" t="e">
        <f t="shared" si="594"/>
        <v>#REF!</v>
      </c>
      <c r="DJ314" s="1999" t="e">
        <f t="shared" si="679"/>
        <v>#REF!</v>
      </c>
      <c r="DK314" s="1993" t="e">
        <f>#REF!</f>
        <v>#REF!</v>
      </c>
      <c r="DL314" s="2003">
        <f t="shared" si="595"/>
        <v>0</v>
      </c>
      <c r="DM314" s="1989" t="e">
        <f>#REF!/10^7</f>
        <v>#REF!</v>
      </c>
      <c r="DN314" s="2003">
        <f t="shared" si="596"/>
        <v>0</v>
      </c>
      <c r="DO314" s="1989" t="e">
        <f>#REF!/10^7</f>
        <v>#REF!</v>
      </c>
      <c r="DP314" s="2003">
        <f t="shared" si="597"/>
        <v>0</v>
      </c>
      <c r="DQ314" s="1989" t="e">
        <f>#REF!/10^7</f>
        <v>#REF!</v>
      </c>
      <c r="DR314" s="1989" t="e">
        <f>#REF!/10^7</f>
        <v>#REF!</v>
      </c>
      <c r="DS314" s="2002" t="e">
        <f t="shared" si="598"/>
        <v>#REF!</v>
      </c>
      <c r="DT314" s="2004" t="e">
        <f t="shared" si="680"/>
        <v>#REF!</v>
      </c>
      <c r="DU314" s="1988" t="e">
        <f>#REF!</f>
        <v>#REF!</v>
      </c>
      <c r="DV314" s="2003">
        <f t="shared" si="599"/>
        <v>0</v>
      </c>
      <c r="DW314" s="1989" t="e">
        <f>#REF!/10^7</f>
        <v>#REF!</v>
      </c>
      <c r="DX314" s="2003">
        <f t="shared" si="600"/>
        <v>0</v>
      </c>
      <c r="DY314" s="1989" t="e">
        <f>#REF!/10^7</f>
        <v>#REF!</v>
      </c>
      <c r="DZ314" s="2003">
        <f t="shared" si="601"/>
        <v>0</v>
      </c>
      <c r="EA314" s="1989" t="e">
        <f>#REF!/10^7</f>
        <v>#REF!</v>
      </c>
      <c r="EB314" s="1989" t="e">
        <f>#REF!/10^7</f>
        <v>#REF!</v>
      </c>
      <c r="EC314" s="2002" t="e">
        <f t="shared" si="602"/>
        <v>#REF!</v>
      </c>
      <c r="ED314" s="1998" t="e">
        <f t="shared" si="681"/>
        <v>#REF!</v>
      </c>
      <c r="EE314" s="2005" t="e">
        <f t="shared" si="682"/>
        <v>#REF!</v>
      </c>
      <c r="EF314" s="2003">
        <f t="shared" si="603"/>
        <v>0</v>
      </c>
      <c r="EG314" s="1989" t="e">
        <f t="shared" si="683"/>
        <v>#REF!</v>
      </c>
      <c r="EH314" s="2003">
        <f t="shared" si="604"/>
        <v>0</v>
      </c>
      <c r="EI314" s="1989" t="e">
        <f t="shared" si="684"/>
        <v>#REF!</v>
      </c>
      <c r="EJ314" s="2003">
        <f t="shared" si="605"/>
        <v>0</v>
      </c>
      <c r="EK314" s="1989" t="e">
        <f t="shared" si="685"/>
        <v>#REF!</v>
      </c>
      <c r="EL314" s="1989" t="e">
        <f t="shared" si="685"/>
        <v>#REF!</v>
      </c>
      <c r="EM314" s="2006" t="e">
        <f t="shared" si="606"/>
        <v>#REF!</v>
      </c>
      <c r="EN314" s="1999" t="e">
        <f t="shared" si="686"/>
        <v>#REF!</v>
      </c>
      <c r="EP314" s="1613" t="e">
        <f>EA314-#REF!/10^7</f>
        <v>#REF!</v>
      </c>
      <c r="EW314" s="1611" t="e">
        <v>#N/A</v>
      </c>
      <c r="EX314" s="1612" t="e">
        <v>#N/A</v>
      </c>
      <c r="EZ314" s="1650">
        <f t="shared" si="607"/>
        <v>0</v>
      </c>
    </row>
    <row r="315" spans="1:156" ht="21" customHeight="1">
      <c r="A315" s="1652">
        <v>25</v>
      </c>
      <c r="B315" s="1668" t="s">
        <v>1975</v>
      </c>
      <c r="C315" s="1662">
        <v>20</v>
      </c>
      <c r="D315" s="1646">
        <f t="shared" si="688"/>
        <v>100</v>
      </c>
      <c r="E315" s="1646"/>
      <c r="F315" s="1648" t="s">
        <v>1594</v>
      </c>
      <c r="G315" s="1648"/>
      <c r="H315" s="1648">
        <v>20</v>
      </c>
      <c r="I315" s="1648" t="s">
        <v>1667</v>
      </c>
      <c r="J315" s="1649">
        <v>2</v>
      </c>
      <c r="K315" s="1648"/>
      <c r="L315" s="1648"/>
      <c r="M315" s="1648"/>
      <c r="N315" s="1642"/>
      <c r="O315" s="2000" t="e">
        <f>#REF!</f>
        <v>#REF!</v>
      </c>
      <c r="P315" s="2003">
        <f t="shared" si="555"/>
        <v>0</v>
      </c>
      <c r="Q315" s="1989" t="e">
        <f>#REF!/10^7</f>
        <v>#REF!</v>
      </c>
      <c r="R315" s="2003">
        <f t="shared" si="556"/>
        <v>0</v>
      </c>
      <c r="S315" s="1989" t="e">
        <f>#REF!/10^7</f>
        <v>#REF!</v>
      </c>
      <c r="T315" s="2003">
        <f t="shared" si="557"/>
        <v>0</v>
      </c>
      <c r="U315" s="1989" t="e">
        <f>#REF!/10^7</f>
        <v>#REF!</v>
      </c>
      <c r="V315" s="1989" t="e">
        <f>#REF!/10^7</f>
        <v>#REF!</v>
      </c>
      <c r="W315" s="1989">
        <f t="shared" si="558"/>
        <v>0</v>
      </c>
      <c r="X315" s="1999" t="e">
        <f t="shared" si="671"/>
        <v>#REF!</v>
      </c>
      <c r="Y315" s="1993" t="e">
        <f>#REF!</f>
        <v>#REF!</v>
      </c>
      <c r="Z315" s="2003">
        <f t="shared" si="559"/>
        <v>0</v>
      </c>
      <c r="AA315" s="1989" t="e">
        <f>#REF!/10^7</f>
        <v>#REF!</v>
      </c>
      <c r="AB315" s="2003">
        <f t="shared" si="560"/>
        <v>0</v>
      </c>
      <c r="AC315" s="1989" t="e">
        <f>#REF!/10^7</f>
        <v>#REF!</v>
      </c>
      <c r="AD315" s="2003">
        <f t="shared" si="561"/>
        <v>0</v>
      </c>
      <c r="AE315" s="1989" t="e">
        <f>#REF!/10^7</f>
        <v>#REF!</v>
      </c>
      <c r="AF315" s="1989" t="e">
        <f>#REF!/10^7</f>
        <v>#REF!</v>
      </c>
      <c r="AG315" s="2002" t="e">
        <f t="shared" si="562"/>
        <v>#REF!</v>
      </c>
      <c r="AH315" s="1999" t="e">
        <f t="shared" si="670"/>
        <v>#REF!</v>
      </c>
      <c r="AI315" s="1993" t="e">
        <f>#REF!</f>
        <v>#REF!</v>
      </c>
      <c r="AJ315" s="2003">
        <f t="shared" si="563"/>
        <v>0</v>
      </c>
      <c r="AK315" s="1989" t="e">
        <f>#REF!/10^7</f>
        <v>#REF!</v>
      </c>
      <c r="AL315" s="2003">
        <f t="shared" si="564"/>
        <v>0</v>
      </c>
      <c r="AM315" s="1989" t="e">
        <f>#REF!/10^7</f>
        <v>#REF!</v>
      </c>
      <c r="AN315" s="2003">
        <f t="shared" si="565"/>
        <v>0</v>
      </c>
      <c r="AO315" s="1989" t="e">
        <f>#REF!/10^7</f>
        <v>#REF!</v>
      </c>
      <c r="AP315" s="1989" t="e">
        <f>#REF!/10^7</f>
        <v>#REF!</v>
      </c>
      <c r="AQ315" s="2002" t="e">
        <f t="shared" si="566"/>
        <v>#REF!</v>
      </c>
      <c r="AR315" s="1999" t="e">
        <f t="shared" si="672"/>
        <v>#REF!</v>
      </c>
      <c r="AS315" s="1993" t="e">
        <f>#REF!</f>
        <v>#REF!</v>
      </c>
      <c r="AT315" s="2003">
        <f t="shared" si="567"/>
        <v>0</v>
      </c>
      <c r="AU315" s="1989" t="e">
        <f>#REF!/10^7</f>
        <v>#REF!</v>
      </c>
      <c r="AV315" s="2003">
        <f t="shared" si="568"/>
        <v>0</v>
      </c>
      <c r="AW315" s="1989" t="e">
        <f>#REF!/10^7</f>
        <v>#REF!</v>
      </c>
      <c r="AX315" s="2003">
        <f t="shared" si="569"/>
        <v>0</v>
      </c>
      <c r="AY315" s="1989" t="e">
        <f>#REF!/10^7</f>
        <v>#REF!</v>
      </c>
      <c r="AZ315" s="1989" t="e">
        <f>#REF!/10^7</f>
        <v>#REF!</v>
      </c>
      <c r="BA315" s="2002" t="e">
        <f t="shared" si="570"/>
        <v>#REF!</v>
      </c>
      <c r="BB315" s="1999" t="e">
        <f t="shared" si="673"/>
        <v>#REF!</v>
      </c>
      <c r="BC315" s="1993" t="e">
        <f>#REF!</f>
        <v>#REF!</v>
      </c>
      <c r="BD315" s="2003">
        <f t="shared" si="571"/>
        <v>0</v>
      </c>
      <c r="BE315" s="1989" t="e">
        <f>#REF!/10^7</f>
        <v>#REF!</v>
      </c>
      <c r="BF315" s="2003">
        <f t="shared" si="572"/>
        <v>0</v>
      </c>
      <c r="BG315" s="1989" t="e">
        <f>#REF!/10^7</f>
        <v>#REF!</v>
      </c>
      <c r="BH315" s="2003">
        <f t="shared" si="573"/>
        <v>0</v>
      </c>
      <c r="BI315" s="1989" t="e">
        <f>#REF!/10^7</f>
        <v>#REF!</v>
      </c>
      <c r="BJ315" s="1989" t="e">
        <f>#REF!/10^7</f>
        <v>#REF!</v>
      </c>
      <c r="BK315" s="2002" t="e">
        <f t="shared" si="574"/>
        <v>#REF!</v>
      </c>
      <c r="BL315" s="1999" t="e">
        <f t="shared" si="674"/>
        <v>#REF!</v>
      </c>
      <c r="BM315" s="1993" t="e">
        <f>#REF!</f>
        <v>#REF!</v>
      </c>
      <c r="BN315" s="2003">
        <f t="shared" si="575"/>
        <v>0</v>
      </c>
      <c r="BO315" s="1989" t="e">
        <f>#REF!/10^7</f>
        <v>#REF!</v>
      </c>
      <c r="BP315" s="2003">
        <f t="shared" si="576"/>
        <v>0</v>
      </c>
      <c r="BQ315" s="1989" t="e">
        <f>#REF!/10^7</f>
        <v>#REF!</v>
      </c>
      <c r="BR315" s="2003">
        <f t="shared" si="577"/>
        <v>0</v>
      </c>
      <c r="BS315" s="1989" t="e">
        <f>#REF!/10^7</f>
        <v>#REF!</v>
      </c>
      <c r="BT315" s="1989" t="e">
        <f>#REF!/10^7</f>
        <v>#REF!</v>
      </c>
      <c r="BU315" s="2002" t="e">
        <f t="shared" si="578"/>
        <v>#REF!</v>
      </c>
      <c r="BV315" s="1999" t="e">
        <f t="shared" si="675"/>
        <v>#REF!</v>
      </c>
      <c r="BW315" s="1993" t="e">
        <f>#REF!</f>
        <v>#REF!</v>
      </c>
      <c r="BX315" s="2003">
        <f t="shared" si="579"/>
        <v>0</v>
      </c>
      <c r="BY315" s="1989" t="e">
        <f>#REF!/10^7</f>
        <v>#REF!</v>
      </c>
      <c r="BZ315" s="2003">
        <f t="shared" si="580"/>
        <v>0</v>
      </c>
      <c r="CA315" s="1989" t="e">
        <f>#REF!/10^7</f>
        <v>#REF!</v>
      </c>
      <c r="CB315" s="2003">
        <f t="shared" si="581"/>
        <v>0</v>
      </c>
      <c r="CC315" s="1989" t="e">
        <f>#REF!/10^7</f>
        <v>#REF!</v>
      </c>
      <c r="CD315" s="1989" t="e">
        <f>#REF!/10^7</f>
        <v>#REF!</v>
      </c>
      <c r="CE315" s="2002" t="e">
        <f t="shared" si="582"/>
        <v>#REF!</v>
      </c>
      <c r="CF315" s="1999" t="e">
        <f t="shared" si="676"/>
        <v>#REF!</v>
      </c>
      <c r="CG315" s="1993" t="e">
        <f>#REF!</f>
        <v>#REF!</v>
      </c>
      <c r="CH315" s="2003">
        <f t="shared" si="583"/>
        <v>0</v>
      </c>
      <c r="CI315" s="1989" t="e">
        <f>#REF!/10^7</f>
        <v>#REF!</v>
      </c>
      <c r="CJ315" s="2003">
        <f t="shared" si="584"/>
        <v>0</v>
      </c>
      <c r="CK315" s="1989" t="e">
        <f>#REF!/10^7</f>
        <v>#REF!</v>
      </c>
      <c r="CL315" s="2003">
        <f t="shared" si="585"/>
        <v>0</v>
      </c>
      <c r="CM315" s="1989" t="e">
        <f>#REF!/10^7</f>
        <v>#REF!</v>
      </c>
      <c r="CN315" s="1989" t="e">
        <f>#REF!/10^7</f>
        <v>#REF!</v>
      </c>
      <c r="CO315" s="2002" t="e">
        <f t="shared" si="586"/>
        <v>#REF!</v>
      </c>
      <c r="CP315" s="1999" t="e">
        <f t="shared" si="677"/>
        <v>#REF!</v>
      </c>
      <c r="CQ315" s="1993" t="e">
        <f>#REF!</f>
        <v>#REF!</v>
      </c>
      <c r="CR315" s="2003">
        <f t="shared" si="587"/>
        <v>0</v>
      </c>
      <c r="CS315" s="1989" t="e">
        <f>#REF!/10^7</f>
        <v>#REF!</v>
      </c>
      <c r="CT315" s="2003">
        <f t="shared" si="588"/>
        <v>0</v>
      </c>
      <c r="CU315" s="1989" t="e">
        <f>#REF!/10^7</f>
        <v>#REF!</v>
      </c>
      <c r="CV315" s="2003">
        <f t="shared" si="589"/>
        <v>0</v>
      </c>
      <c r="CW315" s="1989" t="e">
        <f>#REF!/10^7</f>
        <v>#REF!</v>
      </c>
      <c r="CX315" s="1989" t="e">
        <f>#REF!/10^7</f>
        <v>#REF!</v>
      </c>
      <c r="CY315" s="2002" t="e">
        <f t="shared" si="590"/>
        <v>#REF!</v>
      </c>
      <c r="CZ315" s="1999" t="e">
        <f t="shared" si="678"/>
        <v>#REF!</v>
      </c>
      <c r="DA315" s="1993" t="e">
        <f>#REF!</f>
        <v>#REF!</v>
      </c>
      <c r="DB315" s="2003">
        <f t="shared" si="591"/>
        <v>0</v>
      </c>
      <c r="DC315" s="1989" t="e">
        <f>#REF!/10^7</f>
        <v>#REF!</v>
      </c>
      <c r="DD315" s="2003">
        <f t="shared" si="592"/>
        <v>0</v>
      </c>
      <c r="DE315" s="1989" t="e">
        <f>#REF!/10^7</f>
        <v>#REF!</v>
      </c>
      <c r="DF315" s="2003">
        <f t="shared" si="593"/>
        <v>0</v>
      </c>
      <c r="DG315" s="1989" t="e">
        <f>#REF!/10^7</f>
        <v>#REF!</v>
      </c>
      <c r="DH315" s="1989" t="e">
        <f>#REF!/10^7</f>
        <v>#REF!</v>
      </c>
      <c r="DI315" s="2002" t="e">
        <f t="shared" si="594"/>
        <v>#REF!</v>
      </c>
      <c r="DJ315" s="1999" t="e">
        <f t="shared" si="679"/>
        <v>#REF!</v>
      </c>
      <c r="DK315" s="1993" t="e">
        <f>#REF!</f>
        <v>#REF!</v>
      </c>
      <c r="DL315" s="2003">
        <f t="shared" si="595"/>
        <v>0</v>
      </c>
      <c r="DM315" s="1989" t="e">
        <f>#REF!/10^7</f>
        <v>#REF!</v>
      </c>
      <c r="DN315" s="2003">
        <f t="shared" si="596"/>
        <v>0</v>
      </c>
      <c r="DO315" s="1989" t="e">
        <f>#REF!/10^7</f>
        <v>#REF!</v>
      </c>
      <c r="DP315" s="2003">
        <f t="shared" si="597"/>
        <v>0</v>
      </c>
      <c r="DQ315" s="1989" t="e">
        <f>#REF!/10^7</f>
        <v>#REF!</v>
      </c>
      <c r="DR315" s="1989" t="e">
        <f>#REF!/10^7</f>
        <v>#REF!</v>
      </c>
      <c r="DS315" s="2002" t="e">
        <f t="shared" si="598"/>
        <v>#REF!</v>
      </c>
      <c r="DT315" s="2004" t="e">
        <f t="shared" si="680"/>
        <v>#REF!</v>
      </c>
      <c r="DU315" s="1988" t="e">
        <f>#REF!</f>
        <v>#REF!</v>
      </c>
      <c r="DV315" s="2003">
        <f t="shared" si="599"/>
        <v>0</v>
      </c>
      <c r="DW315" s="1989" t="e">
        <f>#REF!/10^7</f>
        <v>#REF!</v>
      </c>
      <c r="DX315" s="2003">
        <f t="shared" si="600"/>
        <v>0</v>
      </c>
      <c r="DY315" s="1989" t="e">
        <f>#REF!/10^7</f>
        <v>#REF!</v>
      </c>
      <c r="DZ315" s="2003">
        <f t="shared" si="601"/>
        <v>0</v>
      </c>
      <c r="EA315" s="1989" t="e">
        <f>#REF!/10^7</f>
        <v>#REF!</v>
      </c>
      <c r="EB315" s="1989" t="e">
        <f>#REF!/10^7</f>
        <v>#REF!</v>
      </c>
      <c r="EC315" s="2002" t="e">
        <f t="shared" si="602"/>
        <v>#REF!</v>
      </c>
      <c r="ED315" s="1998" t="e">
        <f t="shared" si="681"/>
        <v>#REF!</v>
      </c>
      <c r="EE315" s="2005" t="e">
        <f t="shared" si="682"/>
        <v>#REF!</v>
      </c>
      <c r="EF315" s="2003">
        <f t="shared" si="603"/>
        <v>0</v>
      </c>
      <c r="EG315" s="1989" t="e">
        <f t="shared" si="683"/>
        <v>#REF!</v>
      </c>
      <c r="EH315" s="2003">
        <f t="shared" si="604"/>
        <v>0</v>
      </c>
      <c r="EI315" s="1989" t="e">
        <f t="shared" si="684"/>
        <v>#REF!</v>
      </c>
      <c r="EJ315" s="2003">
        <f t="shared" si="605"/>
        <v>0</v>
      </c>
      <c r="EK315" s="1989" t="e">
        <f t="shared" si="685"/>
        <v>#REF!</v>
      </c>
      <c r="EL315" s="1989" t="e">
        <f t="shared" si="685"/>
        <v>#REF!</v>
      </c>
      <c r="EM315" s="2006" t="e">
        <f t="shared" si="606"/>
        <v>#REF!</v>
      </c>
      <c r="EN315" s="1999" t="e">
        <f t="shared" si="686"/>
        <v>#REF!</v>
      </c>
      <c r="EP315" s="1613" t="e">
        <f>EA315-#REF!/10^7</f>
        <v>#REF!</v>
      </c>
      <c r="EW315" s="1611" t="e">
        <v>#N/A</v>
      </c>
      <c r="EX315" s="1612" t="e">
        <v>#N/A</v>
      </c>
      <c r="EZ315" s="1650">
        <f t="shared" si="607"/>
        <v>0</v>
      </c>
    </row>
    <row r="316" spans="1:156" ht="21" customHeight="1">
      <c r="A316" s="1652">
        <v>26</v>
      </c>
      <c r="B316" s="1668" t="s">
        <v>1976</v>
      </c>
      <c r="C316" s="1662">
        <v>10</v>
      </c>
      <c r="D316" s="1646">
        <f t="shared" si="688"/>
        <v>100</v>
      </c>
      <c r="E316" s="1646"/>
      <c r="F316" s="1648" t="s">
        <v>1594</v>
      </c>
      <c r="G316" s="1648"/>
      <c r="H316" s="1648">
        <v>10</v>
      </c>
      <c r="I316" s="1648" t="s">
        <v>1667</v>
      </c>
      <c r="J316" s="1649">
        <v>2</v>
      </c>
      <c r="K316" s="1648"/>
      <c r="L316" s="1648"/>
      <c r="M316" s="1648"/>
      <c r="N316" s="1642"/>
      <c r="O316" s="2000" t="e">
        <f>#REF!</f>
        <v>#REF!</v>
      </c>
      <c r="P316" s="2003">
        <f t="shared" si="555"/>
        <v>0</v>
      </c>
      <c r="Q316" s="1989" t="e">
        <f>#REF!/10^7</f>
        <v>#REF!</v>
      </c>
      <c r="R316" s="2003">
        <f t="shared" si="556"/>
        <v>0</v>
      </c>
      <c r="S316" s="1989" t="e">
        <f>#REF!/10^7</f>
        <v>#REF!</v>
      </c>
      <c r="T316" s="2003">
        <f t="shared" si="557"/>
        <v>0</v>
      </c>
      <c r="U316" s="1989" t="e">
        <f>#REF!/10^7</f>
        <v>#REF!</v>
      </c>
      <c r="V316" s="1989" t="e">
        <f>#REF!/10^7</f>
        <v>#REF!</v>
      </c>
      <c r="W316" s="1989">
        <f t="shared" si="558"/>
        <v>0</v>
      </c>
      <c r="X316" s="1999" t="e">
        <f t="shared" si="671"/>
        <v>#REF!</v>
      </c>
      <c r="Y316" s="1993" t="e">
        <f>#REF!</f>
        <v>#REF!</v>
      </c>
      <c r="Z316" s="2003">
        <f t="shared" si="559"/>
        <v>0</v>
      </c>
      <c r="AA316" s="1989" t="e">
        <f>#REF!/10^7</f>
        <v>#REF!</v>
      </c>
      <c r="AB316" s="2003">
        <f t="shared" si="560"/>
        <v>0</v>
      </c>
      <c r="AC316" s="1989" t="e">
        <f>#REF!/10^7</f>
        <v>#REF!</v>
      </c>
      <c r="AD316" s="2003">
        <f t="shared" si="561"/>
        <v>0</v>
      </c>
      <c r="AE316" s="1989" t="e">
        <f>#REF!/10^7</f>
        <v>#REF!</v>
      </c>
      <c r="AF316" s="1989" t="e">
        <f>#REF!/10^7</f>
        <v>#REF!</v>
      </c>
      <c r="AG316" s="2002" t="e">
        <f t="shared" si="562"/>
        <v>#REF!</v>
      </c>
      <c r="AH316" s="1999" t="e">
        <f t="shared" si="670"/>
        <v>#REF!</v>
      </c>
      <c r="AI316" s="1993" t="e">
        <f>#REF!</f>
        <v>#REF!</v>
      </c>
      <c r="AJ316" s="2003">
        <f t="shared" si="563"/>
        <v>0</v>
      </c>
      <c r="AK316" s="1989" t="e">
        <f>#REF!/10^7</f>
        <v>#REF!</v>
      </c>
      <c r="AL316" s="2003">
        <f t="shared" si="564"/>
        <v>0</v>
      </c>
      <c r="AM316" s="1989" t="e">
        <f>#REF!/10^7</f>
        <v>#REF!</v>
      </c>
      <c r="AN316" s="2003">
        <f t="shared" si="565"/>
        <v>0</v>
      </c>
      <c r="AO316" s="1989" t="e">
        <f>#REF!/10^7</f>
        <v>#REF!</v>
      </c>
      <c r="AP316" s="1989" t="e">
        <f>#REF!/10^7</f>
        <v>#REF!</v>
      </c>
      <c r="AQ316" s="2002" t="e">
        <f t="shared" si="566"/>
        <v>#REF!</v>
      </c>
      <c r="AR316" s="1999" t="e">
        <f t="shared" si="672"/>
        <v>#REF!</v>
      </c>
      <c r="AS316" s="1993" t="e">
        <f>#REF!</f>
        <v>#REF!</v>
      </c>
      <c r="AT316" s="2003">
        <f t="shared" si="567"/>
        <v>0</v>
      </c>
      <c r="AU316" s="1989" t="e">
        <f>#REF!/10^7</f>
        <v>#REF!</v>
      </c>
      <c r="AV316" s="2003">
        <f t="shared" si="568"/>
        <v>0</v>
      </c>
      <c r="AW316" s="1989" t="e">
        <f>#REF!/10^7</f>
        <v>#REF!</v>
      </c>
      <c r="AX316" s="2003">
        <f t="shared" si="569"/>
        <v>0</v>
      </c>
      <c r="AY316" s="1989" t="e">
        <f>#REF!/10^7</f>
        <v>#REF!</v>
      </c>
      <c r="AZ316" s="1989" t="e">
        <f>#REF!/10^7</f>
        <v>#REF!</v>
      </c>
      <c r="BA316" s="2002" t="e">
        <f t="shared" si="570"/>
        <v>#REF!</v>
      </c>
      <c r="BB316" s="1999" t="e">
        <f t="shared" si="673"/>
        <v>#REF!</v>
      </c>
      <c r="BC316" s="1993" t="e">
        <f>#REF!</f>
        <v>#REF!</v>
      </c>
      <c r="BD316" s="2003">
        <f t="shared" si="571"/>
        <v>0</v>
      </c>
      <c r="BE316" s="1989" t="e">
        <f>#REF!/10^7</f>
        <v>#REF!</v>
      </c>
      <c r="BF316" s="2003">
        <f t="shared" si="572"/>
        <v>0</v>
      </c>
      <c r="BG316" s="1989" t="e">
        <f>#REF!/10^7</f>
        <v>#REF!</v>
      </c>
      <c r="BH316" s="2003">
        <f t="shared" si="573"/>
        <v>0</v>
      </c>
      <c r="BI316" s="1989" t="e">
        <f>#REF!/10^7</f>
        <v>#REF!</v>
      </c>
      <c r="BJ316" s="1989" t="e">
        <f>#REF!/10^7</f>
        <v>#REF!</v>
      </c>
      <c r="BK316" s="2002" t="e">
        <f t="shared" si="574"/>
        <v>#REF!</v>
      </c>
      <c r="BL316" s="1999" t="e">
        <f t="shared" si="674"/>
        <v>#REF!</v>
      </c>
      <c r="BM316" s="1993" t="e">
        <f>#REF!</f>
        <v>#REF!</v>
      </c>
      <c r="BN316" s="2003">
        <f t="shared" si="575"/>
        <v>0</v>
      </c>
      <c r="BO316" s="1989" t="e">
        <f>#REF!/10^7</f>
        <v>#REF!</v>
      </c>
      <c r="BP316" s="2003">
        <f t="shared" si="576"/>
        <v>0</v>
      </c>
      <c r="BQ316" s="1989" t="e">
        <f>#REF!/10^7</f>
        <v>#REF!</v>
      </c>
      <c r="BR316" s="2003">
        <f t="shared" si="577"/>
        <v>0</v>
      </c>
      <c r="BS316" s="1989" t="e">
        <f>#REF!/10^7</f>
        <v>#REF!</v>
      </c>
      <c r="BT316" s="1989" t="e">
        <f>#REF!/10^7</f>
        <v>#REF!</v>
      </c>
      <c r="BU316" s="2002" t="e">
        <f t="shared" si="578"/>
        <v>#REF!</v>
      </c>
      <c r="BV316" s="1999" t="e">
        <f t="shared" si="675"/>
        <v>#REF!</v>
      </c>
      <c r="BW316" s="1993" t="e">
        <f>#REF!</f>
        <v>#REF!</v>
      </c>
      <c r="BX316" s="2003">
        <f t="shared" si="579"/>
        <v>0</v>
      </c>
      <c r="BY316" s="1989" t="e">
        <f>#REF!/10^7</f>
        <v>#REF!</v>
      </c>
      <c r="BZ316" s="2003">
        <f t="shared" si="580"/>
        <v>0</v>
      </c>
      <c r="CA316" s="1989" t="e">
        <f>#REF!/10^7</f>
        <v>#REF!</v>
      </c>
      <c r="CB316" s="2003">
        <f t="shared" si="581"/>
        <v>0</v>
      </c>
      <c r="CC316" s="1989" t="e">
        <f>#REF!/10^7</f>
        <v>#REF!</v>
      </c>
      <c r="CD316" s="1989" t="e">
        <f>#REF!/10^7</f>
        <v>#REF!</v>
      </c>
      <c r="CE316" s="2002" t="e">
        <f t="shared" si="582"/>
        <v>#REF!</v>
      </c>
      <c r="CF316" s="1999" t="e">
        <f t="shared" si="676"/>
        <v>#REF!</v>
      </c>
      <c r="CG316" s="1993" t="e">
        <f>#REF!</f>
        <v>#REF!</v>
      </c>
      <c r="CH316" s="2003">
        <f t="shared" si="583"/>
        <v>0</v>
      </c>
      <c r="CI316" s="1989" t="e">
        <f>#REF!/10^7</f>
        <v>#REF!</v>
      </c>
      <c r="CJ316" s="2003">
        <f t="shared" si="584"/>
        <v>0</v>
      </c>
      <c r="CK316" s="1989" t="e">
        <f>#REF!/10^7</f>
        <v>#REF!</v>
      </c>
      <c r="CL316" s="2003">
        <f t="shared" si="585"/>
        <v>0</v>
      </c>
      <c r="CM316" s="1989" t="e">
        <f>#REF!/10^7</f>
        <v>#REF!</v>
      </c>
      <c r="CN316" s="1989" t="e">
        <f>#REF!/10^7</f>
        <v>#REF!</v>
      </c>
      <c r="CO316" s="2002" t="e">
        <f t="shared" si="586"/>
        <v>#REF!</v>
      </c>
      <c r="CP316" s="1999" t="e">
        <f t="shared" si="677"/>
        <v>#REF!</v>
      </c>
      <c r="CQ316" s="1993" t="e">
        <f>#REF!</f>
        <v>#REF!</v>
      </c>
      <c r="CR316" s="2003">
        <f t="shared" si="587"/>
        <v>0</v>
      </c>
      <c r="CS316" s="1989" t="e">
        <f>#REF!/10^7</f>
        <v>#REF!</v>
      </c>
      <c r="CT316" s="2003">
        <f t="shared" si="588"/>
        <v>0</v>
      </c>
      <c r="CU316" s="1989" t="e">
        <f>#REF!/10^7</f>
        <v>#REF!</v>
      </c>
      <c r="CV316" s="2003">
        <f t="shared" si="589"/>
        <v>0</v>
      </c>
      <c r="CW316" s="1989" t="e">
        <f>#REF!/10^7</f>
        <v>#REF!</v>
      </c>
      <c r="CX316" s="1989" t="e">
        <f>#REF!/10^7</f>
        <v>#REF!</v>
      </c>
      <c r="CY316" s="2002" t="e">
        <f t="shared" si="590"/>
        <v>#REF!</v>
      </c>
      <c r="CZ316" s="1999" t="e">
        <f t="shared" si="678"/>
        <v>#REF!</v>
      </c>
      <c r="DA316" s="1993" t="e">
        <f>#REF!</f>
        <v>#REF!</v>
      </c>
      <c r="DB316" s="2003">
        <f t="shared" si="591"/>
        <v>0</v>
      </c>
      <c r="DC316" s="1989" t="e">
        <f>#REF!/10^7</f>
        <v>#REF!</v>
      </c>
      <c r="DD316" s="2003">
        <f t="shared" si="592"/>
        <v>0</v>
      </c>
      <c r="DE316" s="1989" t="e">
        <f>#REF!/10^7</f>
        <v>#REF!</v>
      </c>
      <c r="DF316" s="2003">
        <f t="shared" si="593"/>
        <v>0</v>
      </c>
      <c r="DG316" s="1989" t="e">
        <f>#REF!/10^7</f>
        <v>#REF!</v>
      </c>
      <c r="DH316" s="1989" t="e">
        <f>#REF!/10^7</f>
        <v>#REF!</v>
      </c>
      <c r="DI316" s="2002" t="e">
        <f t="shared" si="594"/>
        <v>#REF!</v>
      </c>
      <c r="DJ316" s="1999" t="e">
        <f t="shared" si="679"/>
        <v>#REF!</v>
      </c>
      <c r="DK316" s="1993" t="e">
        <f>#REF!</f>
        <v>#REF!</v>
      </c>
      <c r="DL316" s="2003">
        <f t="shared" si="595"/>
        <v>0</v>
      </c>
      <c r="DM316" s="1989" t="e">
        <f>#REF!/10^7</f>
        <v>#REF!</v>
      </c>
      <c r="DN316" s="2003">
        <f t="shared" si="596"/>
        <v>0</v>
      </c>
      <c r="DO316" s="1989" t="e">
        <f>#REF!/10^7</f>
        <v>#REF!</v>
      </c>
      <c r="DP316" s="2003">
        <f t="shared" si="597"/>
        <v>0</v>
      </c>
      <c r="DQ316" s="1989" t="e">
        <f>#REF!/10^7</f>
        <v>#REF!</v>
      </c>
      <c r="DR316" s="1989" t="e">
        <f>#REF!/10^7</f>
        <v>#REF!</v>
      </c>
      <c r="DS316" s="2002" t="e">
        <f t="shared" si="598"/>
        <v>#REF!</v>
      </c>
      <c r="DT316" s="2004" t="e">
        <f t="shared" si="680"/>
        <v>#REF!</v>
      </c>
      <c r="DU316" s="1988" t="e">
        <f>#REF!</f>
        <v>#REF!</v>
      </c>
      <c r="DV316" s="2003">
        <f t="shared" si="599"/>
        <v>0</v>
      </c>
      <c r="DW316" s="1989" t="e">
        <f>#REF!/10^7</f>
        <v>#REF!</v>
      </c>
      <c r="DX316" s="2003">
        <f t="shared" si="600"/>
        <v>0</v>
      </c>
      <c r="DY316" s="1989" t="e">
        <f>#REF!/10^7</f>
        <v>#REF!</v>
      </c>
      <c r="DZ316" s="2003">
        <f t="shared" si="601"/>
        <v>0</v>
      </c>
      <c r="EA316" s="1989" t="e">
        <f>#REF!/10^7</f>
        <v>#REF!</v>
      </c>
      <c r="EB316" s="1989" t="e">
        <f>#REF!/10^7</f>
        <v>#REF!</v>
      </c>
      <c r="EC316" s="2002" t="e">
        <f t="shared" si="602"/>
        <v>#REF!</v>
      </c>
      <c r="ED316" s="1998" t="e">
        <f t="shared" si="681"/>
        <v>#REF!</v>
      </c>
      <c r="EE316" s="2005" t="e">
        <f t="shared" si="682"/>
        <v>#REF!</v>
      </c>
      <c r="EF316" s="2003">
        <f t="shared" si="603"/>
        <v>0</v>
      </c>
      <c r="EG316" s="1989" t="e">
        <f t="shared" si="683"/>
        <v>#REF!</v>
      </c>
      <c r="EH316" s="2003">
        <f t="shared" si="604"/>
        <v>0</v>
      </c>
      <c r="EI316" s="1989" t="e">
        <f t="shared" si="684"/>
        <v>#REF!</v>
      </c>
      <c r="EJ316" s="2003">
        <f t="shared" si="605"/>
        <v>0</v>
      </c>
      <c r="EK316" s="1989" t="e">
        <f t="shared" si="685"/>
        <v>#REF!</v>
      </c>
      <c r="EL316" s="1989" t="e">
        <f t="shared" si="685"/>
        <v>#REF!</v>
      </c>
      <c r="EM316" s="2006" t="e">
        <f t="shared" si="606"/>
        <v>#REF!</v>
      </c>
      <c r="EN316" s="1999" t="e">
        <f t="shared" si="686"/>
        <v>#REF!</v>
      </c>
      <c r="EP316" s="1613" t="e">
        <f>EA316-#REF!/10^7</f>
        <v>#REF!</v>
      </c>
      <c r="EW316" s="1611" t="e">
        <v>#N/A</v>
      </c>
      <c r="EX316" s="1612" t="e">
        <v>#N/A</v>
      </c>
      <c r="EZ316" s="1650">
        <f t="shared" si="607"/>
        <v>0</v>
      </c>
    </row>
    <row r="317" spans="1:156" ht="21" customHeight="1">
      <c r="A317" s="1652">
        <v>27</v>
      </c>
      <c r="B317" s="1668" t="s">
        <v>1977</v>
      </c>
      <c r="C317" s="1662">
        <v>20</v>
      </c>
      <c r="D317" s="1646">
        <f t="shared" si="688"/>
        <v>100</v>
      </c>
      <c r="E317" s="1646"/>
      <c r="F317" s="1648" t="s">
        <v>1594</v>
      </c>
      <c r="G317" s="1648"/>
      <c r="H317" s="1648">
        <v>20</v>
      </c>
      <c r="I317" s="1648" t="s">
        <v>1667</v>
      </c>
      <c r="J317" s="1649">
        <v>2</v>
      </c>
      <c r="K317" s="1648"/>
      <c r="L317" s="1648"/>
      <c r="M317" s="1648"/>
      <c r="N317" s="1642"/>
      <c r="O317" s="2000" t="e">
        <f>#REF!</f>
        <v>#REF!</v>
      </c>
      <c r="P317" s="2003">
        <f t="shared" si="555"/>
        <v>0</v>
      </c>
      <c r="Q317" s="1989" t="e">
        <f>#REF!/10^7</f>
        <v>#REF!</v>
      </c>
      <c r="R317" s="2003">
        <f t="shared" si="556"/>
        <v>0</v>
      </c>
      <c r="S317" s="1989" t="e">
        <f>#REF!/10^7</f>
        <v>#REF!</v>
      </c>
      <c r="T317" s="2003">
        <f t="shared" si="557"/>
        <v>0</v>
      </c>
      <c r="U317" s="1989" t="e">
        <f>#REF!/10^7</f>
        <v>#REF!</v>
      </c>
      <c r="V317" s="1989" t="e">
        <f>#REF!/10^7</f>
        <v>#REF!</v>
      </c>
      <c r="W317" s="1989">
        <f t="shared" si="558"/>
        <v>0</v>
      </c>
      <c r="X317" s="1999" t="e">
        <f t="shared" si="671"/>
        <v>#REF!</v>
      </c>
      <c r="Y317" s="1993" t="e">
        <f>#REF!</f>
        <v>#REF!</v>
      </c>
      <c r="Z317" s="2003">
        <f t="shared" si="559"/>
        <v>0</v>
      </c>
      <c r="AA317" s="1989" t="e">
        <f>#REF!/10^7</f>
        <v>#REF!</v>
      </c>
      <c r="AB317" s="2003">
        <f t="shared" si="560"/>
        <v>0</v>
      </c>
      <c r="AC317" s="1989" t="e">
        <f>#REF!/10^7</f>
        <v>#REF!</v>
      </c>
      <c r="AD317" s="2003">
        <f t="shared" si="561"/>
        <v>0</v>
      </c>
      <c r="AE317" s="1989" t="e">
        <f>#REF!/10^7</f>
        <v>#REF!</v>
      </c>
      <c r="AF317" s="1989" t="e">
        <f>#REF!/10^7</f>
        <v>#REF!</v>
      </c>
      <c r="AG317" s="2002" t="e">
        <f t="shared" si="562"/>
        <v>#REF!</v>
      </c>
      <c r="AH317" s="1999" t="e">
        <f t="shared" si="670"/>
        <v>#REF!</v>
      </c>
      <c r="AI317" s="1993" t="e">
        <f>#REF!</f>
        <v>#REF!</v>
      </c>
      <c r="AJ317" s="2003">
        <f t="shared" si="563"/>
        <v>0</v>
      </c>
      <c r="AK317" s="1989" t="e">
        <f>#REF!/10^7</f>
        <v>#REF!</v>
      </c>
      <c r="AL317" s="2003">
        <f t="shared" si="564"/>
        <v>0</v>
      </c>
      <c r="AM317" s="1989" t="e">
        <f>#REF!/10^7</f>
        <v>#REF!</v>
      </c>
      <c r="AN317" s="2003">
        <f t="shared" si="565"/>
        <v>0</v>
      </c>
      <c r="AO317" s="1989" t="e">
        <f>#REF!/10^7</f>
        <v>#REF!</v>
      </c>
      <c r="AP317" s="1989" t="e">
        <f>#REF!/10^7</f>
        <v>#REF!</v>
      </c>
      <c r="AQ317" s="2002" t="e">
        <f t="shared" si="566"/>
        <v>#REF!</v>
      </c>
      <c r="AR317" s="1999" t="e">
        <f t="shared" si="672"/>
        <v>#REF!</v>
      </c>
      <c r="AS317" s="1993" t="e">
        <f>#REF!</f>
        <v>#REF!</v>
      </c>
      <c r="AT317" s="2003">
        <f t="shared" si="567"/>
        <v>0</v>
      </c>
      <c r="AU317" s="1989" t="e">
        <f>#REF!/10^7</f>
        <v>#REF!</v>
      </c>
      <c r="AV317" s="2003">
        <f t="shared" si="568"/>
        <v>0</v>
      </c>
      <c r="AW317" s="1989" t="e">
        <f>#REF!/10^7</f>
        <v>#REF!</v>
      </c>
      <c r="AX317" s="2003">
        <f t="shared" si="569"/>
        <v>0</v>
      </c>
      <c r="AY317" s="1989" t="e">
        <f>#REF!/10^7</f>
        <v>#REF!</v>
      </c>
      <c r="AZ317" s="1989" t="e">
        <f>#REF!/10^7</f>
        <v>#REF!</v>
      </c>
      <c r="BA317" s="2002" t="e">
        <f t="shared" si="570"/>
        <v>#REF!</v>
      </c>
      <c r="BB317" s="1999" t="e">
        <f t="shared" si="673"/>
        <v>#REF!</v>
      </c>
      <c r="BC317" s="1993" t="e">
        <f>#REF!</f>
        <v>#REF!</v>
      </c>
      <c r="BD317" s="2003">
        <f t="shared" si="571"/>
        <v>0</v>
      </c>
      <c r="BE317" s="1989" t="e">
        <f>#REF!/10^7</f>
        <v>#REF!</v>
      </c>
      <c r="BF317" s="2003">
        <f t="shared" si="572"/>
        <v>0</v>
      </c>
      <c r="BG317" s="1989" t="e">
        <f>#REF!/10^7</f>
        <v>#REF!</v>
      </c>
      <c r="BH317" s="2003">
        <f t="shared" si="573"/>
        <v>0</v>
      </c>
      <c r="BI317" s="1989" t="e">
        <f>#REF!/10^7</f>
        <v>#REF!</v>
      </c>
      <c r="BJ317" s="1989" t="e">
        <f>#REF!/10^7</f>
        <v>#REF!</v>
      </c>
      <c r="BK317" s="2002" t="e">
        <f t="shared" si="574"/>
        <v>#REF!</v>
      </c>
      <c r="BL317" s="1999" t="e">
        <f t="shared" si="674"/>
        <v>#REF!</v>
      </c>
      <c r="BM317" s="1993" t="e">
        <f>#REF!</f>
        <v>#REF!</v>
      </c>
      <c r="BN317" s="2003">
        <f t="shared" si="575"/>
        <v>0</v>
      </c>
      <c r="BO317" s="1989" t="e">
        <f>#REF!/10^7</f>
        <v>#REF!</v>
      </c>
      <c r="BP317" s="2003">
        <f t="shared" si="576"/>
        <v>0</v>
      </c>
      <c r="BQ317" s="1989" t="e">
        <f>#REF!/10^7</f>
        <v>#REF!</v>
      </c>
      <c r="BR317" s="2003">
        <f t="shared" si="577"/>
        <v>0</v>
      </c>
      <c r="BS317" s="1989" t="e">
        <f>#REF!/10^7</f>
        <v>#REF!</v>
      </c>
      <c r="BT317" s="1989" t="e">
        <f>#REF!/10^7</f>
        <v>#REF!</v>
      </c>
      <c r="BU317" s="2002" t="e">
        <f t="shared" si="578"/>
        <v>#REF!</v>
      </c>
      <c r="BV317" s="1999" t="e">
        <f t="shared" si="675"/>
        <v>#REF!</v>
      </c>
      <c r="BW317" s="1993" t="e">
        <f>#REF!</f>
        <v>#REF!</v>
      </c>
      <c r="BX317" s="2003">
        <f t="shared" si="579"/>
        <v>0</v>
      </c>
      <c r="BY317" s="1989" t="e">
        <f>#REF!/10^7</f>
        <v>#REF!</v>
      </c>
      <c r="BZ317" s="2003">
        <f t="shared" si="580"/>
        <v>0</v>
      </c>
      <c r="CA317" s="1989" t="e">
        <f>#REF!/10^7</f>
        <v>#REF!</v>
      </c>
      <c r="CB317" s="2003">
        <f t="shared" si="581"/>
        <v>0</v>
      </c>
      <c r="CC317" s="1989" t="e">
        <f>#REF!/10^7</f>
        <v>#REF!</v>
      </c>
      <c r="CD317" s="1989" t="e">
        <f>#REF!/10^7</f>
        <v>#REF!</v>
      </c>
      <c r="CE317" s="2002" t="e">
        <f t="shared" si="582"/>
        <v>#REF!</v>
      </c>
      <c r="CF317" s="1999" t="e">
        <f t="shared" si="676"/>
        <v>#REF!</v>
      </c>
      <c r="CG317" s="1993" t="e">
        <f>#REF!</f>
        <v>#REF!</v>
      </c>
      <c r="CH317" s="2003">
        <f t="shared" si="583"/>
        <v>0</v>
      </c>
      <c r="CI317" s="1989" t="e">
        <f>#REF!/10^7</f>
        <v>#REF!</v>
      </c>
      <c r="CJ317" s="2003">
        <f t="shared" si="584"/>
        <v>0</v>
      </c>
      <c r="CK317" s="1989" t="e">
        <f>#REF!/10^7</f>
        <v>#REF!</v>
      </c>
      <c r="CL317" s="2003">
        <f t="shared" si="585"/>
        <v>0</v>
      </c>
      <c r="CM317" s="1989" t="e">
        <f>#REF!/10^7</f>
        <v>#REF!</v>
      </c>
      <c r="CN317" s="1989" t="e">
        <f>#REF!/10^7</f>
        <v>#REF!</v>
      </c>
      <c r="CO317" s="2002" t="e">
        <f t="shared" si="586"/>
        <v>#REF!</v>
      </c>
      <c r="CP317" s="1999" t="e">
        <f t="shared" si="677"/>
        <v>#REF!</v>
      </c>
      <c r="CQ317" s="1993" t="e">
        <f>#REF!</f>
        <v>#REF!</v>
      </c>
      <c r="CR317" s="2003">
        <f t="shared" si="587"/>
        <v>0</v>
      </c>
      <c r="CS317" s="1989" t="e">
        <f>#REF!/10^7</f>
        <v>#REF!</v>
      </c>
      <c r="CT317" s="2003">
        <f t="shared" si="588"/>
        <v>0</v>
      </c>
      <c r="CU317" s="1989" t="e">
        <f>#REF!/10^7</f>
        <v>#REF!</v>
      </c>
      <c r="CV317" s="2003">
        <f t="shared" si="589"/>
        <v>0</v>
      </c>
      <c r="CW317" s="1989" t="e">
        <f>#REF!/10^7</f>
        <v>#REF!</v>
      </c>
      <c r="CX317" s="1989" t="e">
        <f>#REF!/10^7</f>
        <v>#REF!</v>
      </c>
      <c r="CY317" s="2002" t="e">
        <f t="shared" si="590"/>
        <v>#REF!</v>
      </c>
      <c r="CZ317" s="1999" t="e">
        <f t="shared" si="678"/>
        <v>#REF!</v>
      </c>
      <c r="DA317" s="1993" t="e">
        <f>#REF!</f>
        <v>#REF!</v>
      </c>
      <c r="DB317" s="2003">
        <f t="shared" si="591"/>
        <v>0</v>
      </c>
      <c r="DC317" s="1989" t="e">
        <f>#REF!/10^7</f>
        <v>#REF!</v>
      </c>
      <c r="DD317" s="2003">
        <f t="shared" si="592"/>
        <v>0</v>
      </c>
      <c r="DE317" s="1989" t="e">
        <f>#REF!/10^7</f>
        <v>#REF!</v>
      </c>
      <c r="DF317" s="2003">
        <f t="shared" si="593"/>
        <v>0</v>
      </c>
      <c r="DG317" s="1989" t="e">
        <f>#REF!/10^7</f>
        <v>#REF!</v>
      </c>
      <c r="DH317" s="1989" t="e">
        <f>#REF!/10^7</f>
        <v>#REF!</v>
      </c>
      <c r="DI317" s="2002" t="e">
        <f t="shared" si="594"/>
        <v>#REF!</v>
      </c>
      <c r="DJ317" s="1999" t="e">
        <f t="shared" si="679"/>
        <v>#REF!</v>
      </c>
      <c r="DK317" s="1993" t="e">
        <f>#REF!</f>
        <v>#REF!</v>
      </c>
      <c r="DL317" s="2003">
        <f t="shared" si="595"/>
        <v>0</v>
      </c>
      <c r="DM317" s="1989" t="e">
        <f>#REF!/10^7</f>
        <v>#REF!</v>
      </c>
      <c r="DN317" s="2003">
        <f t="shared" si="596"/>
        <v>0</v>
      </c>
      <c r="DO317" s="1989" t="e">
        <f>#REF!/10^7</f>
        <v>#REF!</v>
      </c>
      <c r="DP317" s="2003">
        <f t="shared" si="597"/>
        <v>0</v>
      </c>
      <c r="DQ317" s="1989" t="e">
        <f>#REF!/10^7</f>
        <v>#REF!</v>
      </c>
      <c r="DR317" s="1989" t="e">
        <f>#REF!/10^7</f>
        <v>#REF!</v>
      </c>
      <c r="DS317" s="2002" t="e">
        <f t="shared" si="598"/>
        <v>#REF!</v>
      </c>
      <c r="DT317" s="2004" t="e">
        <f t="shared" si="680"/>
        <v>#REF!</v>
      </c>
      <c r="DU317" s="1988" t="e">
        <f>#REF!</f>
        <v>#REF!</v>
      </c>
      <c r="DV317" s="2003">
        <f t="shared" si="599"/>
        <v>0</v>
      </c>
      <c r="DW317" s="1989" t="e">
        <f>#REF!/10^7</f>
        <v>#REF!</v>
      </c>
      <c r="DX317" s="2003">
        <f t="shared" si="600"/>
        <v>0</v>
      </c>
      <c r="DY317" s="1989" t="e">
        <f>#REF!/10^7</f>
        <v>#REF!</v>
      </c>
      <c r="DZ317" s="2003">
        <f t="shared" si="601"/>
        <v>0</v>
      </c>
      <c r="EA317" s="1989" t="e">
        <f>#REF!/10^7</f>
        <v>#REF!</v>
      </c>
      <c r="EB317" s="1989" t="e">
        <f>#REF!/10^7</f>
        <v>#REF!</v>
      </c>
      <c r="EC317" s="2002" t="e">
        <f t="shared" si="602"/>
        <v>#REF!</v>
      </c>
      <c r="ED317" s="1998" t="e">
        <f t="shared" si="681"/>
        <v>#REF!</v>
      </c>
      <c r="EE317" s="2005" t="e">
        <f t="shared" si="682"/>
        <v>#REF!</v>
      </c>
      <c r="EF317" s="2003">
        <f t="shared" si="603"/>
        <v>0</v>
      </c>
      <c r="EG317" s="1989" t="e">
        <f t="shared" si="683"/>
        <v>#REF!</v>
      </c>
      <c r="EH317" s="2003">
        <f t="shared" si="604"/>
        <v>0</v>
      </c>
      <c r="EI317" s="1989" t="e">
        <f t="shared" si="684"/>
        <v>#REF!</v>
      </c>
      <c r="EJ317" s="2003">
        <f t="shared" si="605"/>
        <v>0</v>
      </c>
      <c r="EK317" s="1989" t="e">
        <f t="shared" si="685"/>
        <v>#REF!</v>
      </c>
      <c r="EL317" s="1989" t="e">
        <f t="shared" si="685"/>
        <v>#REF!</v>
      </c>
      <c r="EM317" s="2006" t="e">
        <f t="shared" si="606"/>
        <v>#REF!</v>
      </c>
      <c r="EN317" s="1999" t="e">
        <f t="shared" si="686"/>
        <v>#REF!</v>
      </c>
      <c r="EP317" s="1613" t="e">
        <f>EA317-#REF!/10^7</f>
        <v>#REF!</v>
      </c>
      <c r="EW317" s="1611" t="e">
        <v>#N/A</v>
      </c>
      <c r="EX317" s="1612" t="e">
        <v>#N/A</v>
      </c>
      <c r="EZ317" s="1650">
        <f t="shared" si="607"/>
        <v>0</v>
      </c>
    </row>
    <row r="318" spans="1:156" ht="21" customHeight="1">
      <c r="A318" s="1652">
        <v>28</v>
      </c>
      <c r="B318" s="1668" t="s">
        <v>1978</v>
      </c>
      <c r="C318" s="1662">
        <v>20</v>
      </c>
      <c r="D318" s="1646">
        <f t="shared" si="688"/>
        <v>100</v>
      </c>
      <c r="E318" s="1646"/>
      <c r="F318" s="1648" t="s">
        <v>1594</v>
      </c>
      <c r="G318" s="1648"/>
      <c r="H318" s="1648">
        <v>20</v>
      </c>
      <c r="I318" s="1648" t="s">
        <v>1667</v>
      </c>
      <c r="J318" s="1649">
        <v>2</v>
      </c>
      <c r="K318" s="1648"/>
      <c r="L318" s="1648"/>
      <c r="M318" s="1648"/>
      <c r="N318" s="1642"/>
      <c r="O318" s="2000" t="e">
        <f>#REF!</f>
        <v>#REF!</v>
      </c>
      <c r="P318" s="2003">
        <f t="shared" si="555"/>
        <v>0</v>
      </c>
      <c r="Q318" s="1989" t="e">
        <f>#REF!/10^7</f>
        <v>#REF!</v>
      </c>
      <c r="R318" s="2003">
        <f t="shared" si="556"/>
        <v>0</v>
      </c>
      <c r="S318" s="1989" t="e">
        <f>#REF!/10^7</f>
        <v>#REF!</v>
      </c>
      <c r="T318" s="2003">
        <f t="shared" si="557"/>
        <v>0</v>
      </c>
      <c r="U318" s="1989" t="e">
        <f>#REF!/10^7</f>
        <v>#REF!</v>
      </c>
      <c r="V318" s="1989" t="e">
        <f>#REF!/10^7</f>
        <v>#REF!</v>
      </c>
      <c r="W318" s="1989">
        <f t="shared" si="558"/>
        <v>0</v>
      </c>
      <c r="X318" s="1999" t="e">
        <f t="shared" si="671"/>
        <v>#REF!</v>
      </c>
      <c r="Y318" s="1993" t="e">
        <f>#REF!</f>
        <v>#REF!</v>
      </c>
      <c r="Z318" s="2003">
        <f t="shared" si="559"/>
        <v>0</v>
      </c>
      <c r="AA318" s="1989" t="e">
        <f>#REF!/10^7</f>
        <v>#REF!</v>
      </c>
      <c r="AB318" s="2003">
        <f t="shared" si="560"/>
        <v>0</v>
      </c>
      <c r="AC318" s="1989" t="e">
        <f>#REF!/10^7</f>
        <v>#REF!</v>
      </c>
      <c r="AD318" s="2003">
        <f t="shared" si="561"/>
        <v>0</v>
      </c>
      <c r="AE318" s="1989" t="e">
        <f>#REF!/10^7</f>
        <v>#REF!</v>
      </c>
      <c r="AF318" s="1989" t="e">
        <f>#REF!/10^7</f>
        <v>#REF!</v>
      </c>
      <c r="AG318" s="2002" t="e">
        <f t="shared" si="562"/>
        <v>#REF!</v>
      </c>
      <c r="AH318" s="1999" t="e">
        <f t="shared" si="670"/>
        <v>#REF!</v>
      </c>
      <c r="AI318" s="1993" t="e">
        <f>#REF!</f>
        <v>#REF!</v>
      </c>
      <c r="AJ318" s="2003">
        <f t="shared" si="563"/>
        <v>0</v>
      </c>
      <c r="AK318" s="1989" t="e">
        <f>#REF!/10^7</f>
        <v>#REF!</v>
      </c>
      <c r="AL318" s="2003">
        <f t="shared" si="564"/>
        <v>0</v>
      </c>
      <c r="AM318" s="1989" t="e">
        <f>#REF!/10^7</f>
        <v>#REF!</v>
      </c>
      <c r="AN318" s="2003">
        <f t="shared" si="565"/>
        <v>0</v>
      </c>
      <c r="AO318" s="1989" t="e">
        <f>#REF!/10^7</f>
        <v>#REF!</v>
      </c>
      <c r="AP318" s="1989" t="e">
        <f>#REF!/10^7</f>
        <v>#REF!</v>
      </c>
      <c r="AQ318" s="2002" t="e">
        <f t="shared" si="566"/>
        <v>#REF!</v>
      </c>
      <c r="AR318" s="1999" t="e">
        <f t="shared" si="672"/>
        <v>#REF!</v>
      </c>
      <c r="AS318" s="1993" t="e">
        <f>#REF!</f>
        <v>#REF!</v>
      </c>
      <c r="AT318" s="2003">
        <f t="shared" si="567"/>
        <v>0</v>
      </c>
      <c r="AU318" s="1989" t="e">
        <f>#REF!/10^7</f>
        <v>#REF!</v>
      </c>
      <c r="AV318" s="2003">
        <f t="shared" si="568"/>
        <v>0</v>
      </c>
      <c r="AW318" s="1989" t="e">
        <f>#REF!/10^7</f>
        <v>#REF!</v>
      </c>
      <c r="AX318" s="2003">
        <f t="shared" si="569"/>
        <v>0</v>
      </c>
      <c r="AY318" s="1989" t="e">
        <f>#REF!/10^7</f>
        <v>#REF!</v>
      </c>
      <c r="AZ318" s="1989" t="e">
        <f>#REF!/10^7</f>
        <v>#REF!</v>
      </c>
      <c r="BA318" s="2002" t="e">
        <f t="shared" si="570"/>
        <v>#REF!</v>
      </c>
      <c r="BB318" s="1999" t="e">
        <f t="shared" si="673"/>
        <v>#REF!</v>
      </c>
      <c r="BC318" s="1993" t="e">
        <f>#REF!</f>
        <v>#REF!</v>
      </c>
      <c r="BD318" s="2003">
        <f t="shared" si="571"/>
        <v>0</v>
      </c>
      <c r="BE318" s="1989" t="e">
        <f>#REF!/10^7</f>
        <v>#REF!</v>
      </c>
      <c r="BF318" s="2003">
        <f t="shared" si="572"/>
        <v>0</v>
      </c>
      <c r="BG318" s="1989" t="e">
        <f>#REF!/10^7</f>
        <v>#REF!</v>
      </c>
      <c r="BH318" s="2003">
        <f t="shared" si="573"/>
        <v>0</v>
      </c>
      <c r="BI318" s="1989" t="e">
        <f>#REF!/10^7</f>
        <v>#REF!</v>
      </c>
      <c r="BJ318" s="1989" t="e">
        <f>#REF!/10^7</f>
        <v>#REF!</v>
      </c>
      <c r="BK318" s="2002" t="e">
        <f t="shared" si="574"/>
        <v>#REF!</v>
      </c>
      <c r="BL318" s="1999" t="e">
        <f t="shared" si="674"/>
        <v>#REF!</v>
      </c>
      <c r="BM318" s="1993" t="e">
        <f>#REF!</f>
        <v>#REF!</v>
      </c>
      <c r="BN318" s="2003">
        <f t="shared" si="575"/>
        <v>0</v>
      </c>
      <c r="BO318" s="1989" t="e">
        <f>#REF!/10^7</f>
        <v>#REF!</v>
      </c>
      <c r="BP318" s="2003">
        <f t="shared" si="576"/>
        <v>0</v>
      </c>
      <c r="BQ318" s="1989" t="e">
        <f>#REF!/10^7</f>
        <v>#REF!</v>
      </c>
      <c r="BR318" s="2003">
        <f t="shared" si="577"/>
        <v>0</v>
      </c>
      <c r="BS318" s="1989" t="e">
        <f>#REF!/10^7</f>
        <v>#REF!</v>
      </c>
      <c r="BT318" s="1989" t="e">
        <f>#REF!/10^7</f>
        <v>#REF!</v>
      </c>
      <c r="BU318" s="2002" t="e">
        <f t="shared" si="578"/>
        <v>#REF!</v>
      </c>
      <c r="BV318" s="1999" t="e">
        <f t="shared" si="675"/>
        <v>#REF!</v>
      </c>
      <c r="BW318" s="1993" t="e">
        <f>#REF!</f>
        <v>#REF!</v>
      </c>
      <c r="BX318" s="2003">
        <f t="shared" si="579"/>
        <v>0</v>
      </c>
      <c r="BY318" s="1989" t="e">
        <f>#REF!/10^7</f>
        <v>#REF!</v>
      </c>
      <c r="BZ318" s="2003">
        <f t="shared" si="580"/>
        <v>0</v>
      </c>
      <c r="CA318" s="1989" t="e">
        <f>#REF!/10^7</f>
        <v>#REF!</v>
      </c>
      <c r="CB318" s="2003">
        <f t="shared" si="581"/>
        <v>0</v>
      </c>
      <c r="CC318" s="1989" t="e">
        <f>#REF!/10^7</f>
        <v>#REF!</v>
      </c>
      <c r="CD318" s="1989" t="e">
        <f>#REF!/10^7</f>
        <v>#REF!</v>
      </c>
      <c r="CE318" s="2002" t="e">
        <f t="shared" si="582"/>
        <v>#REF!</v>
      </c>
      <c r="CF318" s="1999" t="e">
        <f t="shared" si="676"/>
        <v>#REF!</v>
      </c>
      <c r="CG318" s="1993" t="e">
        <f>#REF!</f>
        <v>#REF!</v>
      </c>
      <c r="CH318" s="2003">
        <f t="shared" si="583"/>
        <v>0</v>
      </c>
      <c r="CI318" s="1989" t="e">
        <f>#REF!/10^7</f>
        <v>#REF!</v>
      </c>
      <c r="CJ318" s="2003">
        <f t="shared" si="584"/>
        <v>0</v>
      </c>
      <c r="CK318" s="1989" t="e">
        <f>#REF!/10^7</f>
        <v>#REF!</v>
      </c>
      <c r="CL318" s="2003">
        <f t="shared" si="585"/>
        <v>0</v>
      </c>
      <c r="CM318" s="1989" t="e">
        <f>#REF!/10^7</f>
        <v>#REF!</v>
      </c>
      <c r="CN318" s="1989" t="e">
        <f>#REF!/10^7</f>
        <v>#REF!</v>
      </c>
      <c r="CO318" s="2002" t="e">
        <f t="shared" si="586"/>
        <v>#REF!</v>
      </c>
      <c r="CP318" s="1999" t="e">
        <f t="shared" si="677"/>
        <v>#REF!</v>
      </c>
      <c r="CQ318" s="1993" t="e">
        <f>#REF!</f>
        <v>#REF!</v>
      </c>
      <c r="CR318" s="2003">
        <f t="shared" si="587"/>
        <v>0</v>
      </c>
      <c r="CS318" s="1989" t="e">
        <f>#REF!/10^7</f>
        <v>#REF!</v>
      </c>
      <c r="CT318" s="2003">
        <f t="shared" si="588"/>
        <v>0</v>
      </c>
      <c r="CU318" s="1989" t="e">
        <f>#REF!/10^7</f>
        <v>#REF!</v>
      </c>
      <c r="CV318" s="2003">
        <f t="shared" si="589"/>
        <v>0</v>
      </c>
      <c r="CW318" s="1989" t="e">
        <f>#REF!/10^7</f>
        <v>#REF!</v>
      </c>
      <c r="CX318" s="1989" t="e">
        <f>#REF!/10^7</f>
        <v>#REF!</v>
      </c>
      <c r="CY318" s="2002" t="e">
        <f t="shared" si="590"/>
        <v>#REF!</v>
      </c>
      <c r="CZ318" s="1999" t="e">
        <f t="shared" si="678"/>
        <v>#REF!</v>
      </c>
      <c r="DA318" s="1993" t="e">
        <f>#REF!</f>
        <v>#REF!</v>
      </c>
      <c r="DB318" s="2003">
        <f t="shared" si="591"/>
        <v>0</v>
      </c>
      <c r="DC318" s="1989" t="e">
        <f>#REF!/10^7</f>
        <v>#REF!</v>
      </c>
      <c r="DD318" s="2003">
        <f t="shared" si="592"/>
        <v>0</v>
      </c>
      <c r="DE318" s="1989" t="e">
        <f>#REF!/10^7</f>
        <v>#REF!</v>
      </c>
      <c r="DF318" s="2003">
        <f t="shared" si="593"/>
        <v>0</v>
      </c>
      <c r="DG318" s="1989" t="e">
        <f>#REF!/10^7</f>
        <v>#REF!</v>
      </c>
      <c r="DH318" s="1989" t="e">
        <f>#REF!/10^7</f>
        <v>#REF!</v>
      </c>
      <c r="DI318" s="2002" t="e">
        <f t="shared" si="594"/>
        <v>#REF!</v>
      </c>
      <c r="DJ318" s="1999" t="e">
        <f t="shared" si="679"/>
        <v>#REF!</v>
      </c>
      <c r="DK318" s="1993" t="e">
        <f>#REF!</f>
        <v>#REF!</v>
      </c>
      <c r="DL318" s="2003">
        <f t="shared" si="595"/>
        <v>0</v>
      </c>
      <c r="DM318" s="1989" t="e">
        <f>#REF!/10^7</f>
        <v>#REF!</v>
      </c>
      <c r="DN318" s="2003">
        <f t="shared" si="596"/>
        <v>0</v>
      </c>
      <c r="DO318" s="1989" t="e">
        <f>#REF!/10^7</f>
        <v>#REF!</v>
      </c>
      <c r="DP318" s="2003">
        <f t="shared" si="597"/>
        <v>0</v>
      </c>
      <c r="DQ318" s="1989" t="e">
        <f>#REF!/10^7</f>
        <v>#REF!</v>
      </c>
      <c r="DR318" s="1989" t="e">
        <f>#REF!/10^7</f>
        <v>#REF!</v>
      </c>
      <c r="DS318" s="2002" t="e">
        <f t="shared" si="598"/>
        <v>#REF!</v>
      </c>
      <c r="DT318" s="2004" t="e">
        <f t="shared" si="680"/>
        <v>#REF!</v>
      </c>
      <c r="DU318" s="1988" t="e">
        <f>#REF!</f>
        <v>#REF!</v>
      </c>
      <c r="DV318" s="2003">
        <f t="shared" si="599"/>
        <v>0</v>
      </c>
      <c r="DW318" s="1989" t="e">
        <f>#REF!/10^7</f>
        <v>#REF!</v>
      </c>
      <c r="DX318" s="2003">
        <f t="shared" si="600"/>
        <v>0</v>
      </c>
      <c r="DY318" s="1989" t="e">
        <f>#REF!/10^7</f>
        <v>#REF!</v>
      </c>
      <c r="DZ318" s="2003">
        <f t="shared" si="601"/>
        <v>0</v>
      </c>
      <c r="EA318" s="1989" t="e">
        <f>#REF!/10^7</f>
        <v>#REF!</v>
      </c>
      <c r="EB318" s="1989" t="e">
        <f>#REF!/10^7</f>
        <v>#REF!</v>
      </c>
      <c r="EC318" s="2002" t="e">
        <f t="shared" si="602"/>
        <v>#REF!</v>
      </c>
      <c r="ED318" s="1998" t="e">
        <f t="shared" si="681"/>
        <v>#REF!</v>
      </c>
      <c r="EE318" s="2005" t="e">
        <f t="shared" si="682"/>
        <v>#REF!</v>
      </c>
      <c r="EF318" s="2003">
        <f t="shared" si="603"/>
        <v>0</v>
      </c>
      <c r="EG318" s="1989" t="e">
        <f t="shared" si="683"/>
        <v>#REF!</v>
      </c>
      <c r="EH318" s="2003">
        <f t="shared" si="604"/>
        <v>0</v>
      </c>
      <c r="EI318" s="1989" t="e">
        <f t="shared" si="684"/>
        <v>#REF!</v>
      </c>
      <c r="EJ318" s="2003">
        <f t="shared" si="605"/>
        <v>0</v>
      </c>
      <c r="EK318" s="1989" t="e">
        <f t="shared" si="685"/>
        <v>#REF!</v>
      </c>
      <c r="EL318" s="1989" t="e">
        <f t="shared" si="685"/>
        <v>#REF!</v>
      </c>
      <c r="EM318" s="2006" t="e">
        <f t="shared" si="606"/>
        <v>#REF!</v>
      </c>
      <c r="EN318" s="1999" t="e">
        <f t="shared" si="686"/>
        <v>#REF!</v>
      </c>
      <c r="EP318" s="1613" t="e">
        <f>EA318-#REF!/10^7</f>
        <v>#REF!</v>
      </c>
      <c r="EW318" s="1611" t="e">
        <v>#N/A</v>
      </c>
      <c r="EX318" s="1612" t="e">
        <v>#N/A</v>
      </c>
      <c r="EZ318" s="1650">
        <f t="shared" si="607"/>
        <v>0</v>
      </c>
    </row>
    <row r="319" spans="1:156" ht="21" customHeight="1">
      <c r="A319" s="1652">
        <v>29</v>
      </c>
      <c r="B319" s="1644" t="s">
        <v>1979</v>
      </c>
      <c r="C319" s="1662"/>
      <c r="D319" s="1648"/>
      <c r="E319" s="1648"/>
      <c r="F319" s="1648"/>
      <c r="G319" s="1648"/>
      <c r="H319" s="1648"/>
      <c r="I319" s="1648" t="s">
        <v>1667</v>
      </c>
      <c r="J319" s="1649">
        <v>2</v>
      </c>
      <c r="K319" s="1648"/>
      <c r="L319" s="1648"/>
      <c r="M319" s="1648"/>
      <c r="N319" s="1642"/>
      <c r="O319" s="2000" t="e">
        <f>#REF!</f>
        <v>#REF!</v>
      </c>
      <c r="P319" s="2003">
        <f t="shared" si="555"/>
        <v>0</v>
      </c>
      <c r="Q319" s="1989" t="e">
        <f>#REF!/10^7</f>
        <v>#REF!</v>
      </c>
      <c r="R319" s="2003">
        <f t="shared" si="556"/>
        <v>0</v>
      </c>
      <c r="S319" s="1989" t="e">
        <f>#REF!/10^7</f>
        <v>#REF!</v>
      </c>
      <c r="T319" s="2003">
        <f t="shared" si="557"/>
        <v>0</v>
      </c>
      <c r="U319" s="1989" t="e">
        <f>#REF!/10^7</f>
        <v>#REF!</v>
      </c>
      <c r="V319" s="1989" t="e">
        <f>#REF!/10^7</f>
        <v>#REF!</v>
      </c>
      <c r="W319" s="1989">
        <f t="shared" si="558"/>
        <v>0</v>
      </c>
      <c r="X319" s="1999" t="e">
        <f t="shared" si="671"/>
        <v>#REF!</v>
      </c>
      <c r="Y319" s="1993" t="e">
        <f>#REF!</f>
        <v>#REF!</v>
      </c>
      <c r="Z319" s="2003">
        <f t="shared" si="559"/>
        <v>0</v>
      </c>
      <c r="AA319" s="1989" t="e">
        <f>#REF!/10^7</f>
        <v>#REF!</v>
      </c>
      <c r="AB319" s="2003">
        <f t="shared" si="560"/>
        <v>0</v>
      </c>
      <c r="AC319" s="1989" t="e">
        <f>#REF!/10^7</f>
        <v>#REF!</v>
      </c>
      <c r="AD319" s="2003">
        <f t="shared" si="561"/>
        <v>0</v>
      </c>
      <c r="AE319" s="1989" t="e">
        <f>#REF!/10^7</f>
        <v>#REF!</v>
      </c>
      <c r="AF319" s="1989" t="e">
        <f>#REF!/10^7</f>
        <v>#REF!</v>
      </c>
      <c r="AG319" s="2002" t="e">
        <f t="shared" si="562"/>
        <v>#REF!</v>
      </c>
      <c r="AH319" s="1999" t="e">
        <f t="shared" si="670"/>
        <v>#REF!</v>
      </c>
      <c r="AI319" s="1993" t="e">
        <f>#REF!</f>
        <v>#REF!</v>
      </c>
      <c r="AJ319" s="2003">
        <f t="shared" si="563"/>
        <v>0</v>
      </c>
      <c r="AK319" s="1989" t="e">
        <f>#REF!/10^7</f>
        <v>#REF!</v>
      </c>
      <c r="AL319" s="2003">
        <f t="shared" si="564"/>
        <v>0</v>
      </c>
      <c r="AM319" s="1989" t="e">
        <f>#REF!/10^7</f>
        <v>#REF!</v>
      </c>
      <c r="AN319" s="2003">
        <f t="shared" si="565"/>
        <v>0</v>
      </c>
      <c r="AO319" s="1989" t="e">
        <f>#REF!/10^7</f>
        <v>#REF!</v>
      </c>
      <c r="AP319" s="1989" t="e">
        <f>#REF!/10^7</f>
        <v>#REF!</v>
      </c>
      <c r="AQ319" s="2002" t="e">
        <f t="shared" si="566"/>
        <v>#REF!</v>
      </c>
      <c r="AR319" s="1999" t="e">
        <f t="shared" si="672"/>
        <v>#REF!</v>
      </c>
      <c r="AS319" s="1993" t="e">
        <f>#REF!</f>
        <v>#REF!</v>
      </c>
      <c r="AT319" s="2003">
        <f t="shared" si="567"/>
        <v>0</v>
      </c>
      <c r="AU319" s="1989" t="e">
        <f>#REF!/10^7</f>
        <v>#REF!</v>
      </c>
      <c r="AV319" s="2003">
        <f t="shared" si="568"/>
        <v>0</v>
      </c>
      <c r="AW319" s="1989" t="e">
        <f>#REF!/10^7</f>
        <v>#REF!</v>
      </c>
      <c r="AX319" s="2003">
        <f t="shared" si="569"/>
        <v>0</v>
      </c>
      <c r="AY319" s="1989" t="e">
        <f>#REF!/10^7</f>
        <v>#REF!</v>
      </c>
      <c r="AZ319" s="1989" t="e">
        <f>#REF!/10^7</f>
        <v>#REF!</v>
      </c>
      <c r="BA319" s="2002" t="e">
        <f t="shared" si="570"/>
        <v>#REF!</v>
      </c>
      <c r="BB319" s="1999" t="e">
        <f t="shared" si="673"/>
        <v>#REF!</v>
      </c>
      <c r="BC319" s="1993" t="e">
        <f>#REF!</f>
        <v>#REF!</v>
      </c>
      <c r="BD319" s="2003">
        <f t="shared" si="571"/>
        <v>0</v>
      </c>
      <c r="BE319" s="1989" t="e">
        <f>#REF!/10^7</f>
        <v>#REF!</v>
      </c>
      <c r="BF319" s="2003">
        <f t="shared" si="572"/>
        <v>0</v>
      </c>
      <c r="BG319" s="1989" t="e">
        <f>#REF!/10^7</f>
        <v>#REF!</v>
      </c>
      <c r="BH319" s="2003">
        <f t="shared" si="573"/>
        <v>0</v>
      </c>
      <c r="BI319" s="1989" t="e">
        <f>#REF!/10^7</f>
        <v>#REF!</v>
      </c>
      <c r="BJ319" s="1989" t="e">
        <f>#REF!/10^7</f>
        <v>#REF!</v>
      </c>
      <c r="BK319" s="2002" t="e">
        <f t="shared" si="574"/>
        <v>#REF!</v>
      </c>
      <c r="BL319" s="1999" t="e">
        <f t="shared" si="674"/>
        <v>#REF!</v>
      </c>
      <c r="BM319" s="1993" t="e">
        <f>#REF!</f>
        <v>#REF!</v>
      </c>
      <c r="BN319" s="2003">
        <f t="shared" si="575"/>
        <v>0</v>
      </c>
      <c r="BO319" s="1989" t="e">
        <f>#REF!/10^7</f>
        <v>#REF!</v>
      </c>
      <c r="BP319" s="2003">
        <f t="shared" si="576"/>
        <v>0</v>
      </c>
      <c r="BQ319" s="1989" t="e">
        <f>#REF!/10^7</f>
        <v>#REF!</v>
      </c>
      <c r="BR319" s="2003">
        <f t="shared" si="577"/>
        <v>0</v>
      </c>
      <c r="BS319" s="1989" t="e">
        <f>#REF!/10^7</f>
        <v>#REF!</v>
      </c>
      <c r="BT319" s="1989" t="e">
        <f>#REF!/10^7</f>
        <v>#REF!</v>
      </c>
      <c r="BU319" s="2002" t="e">
        <f t="shared" si="578"/>
        <v>#REF!</v>
      </c>
      <c r="BV319" s="1999" t="e">
        <f t="shared" si="675"/>
        <v>#REF!</v>
      </c>
      <c r="BW319" s="1993" t="e">
        <f>#REF!</f>
        <v>#REF!</v>
      </c>
      <c r="BX319" s="2003">
        <f t="shared" si="579"/>
        <v>0</v>
      </c>
      <c r="BY319" s="1989" t="e">
        <f>#REF!/10^7</f>
        <v>#REF!</v>
      </c>
      <c r="BZ319" s="2003">
        <f t="shared" si="580"/>
        <v>0</v>
      </c>
      <c r="CA319" s="1989" t="e">
        <f>#REF!/10^7</f>
        <v>#REF!</v>
      </c>
      <c r="CB319" s="2003">
        <f t="shared" si="581"/>
        <v>0</v>
      </c>
      <c r="CC319" s="1989" t="e">
        <f>#REF!/10^7</f>
        <v>#REF!</v>
      </c>
      <c r="CD319" s="1989" t="e">
        <f>#REF!/10^7</f>
        <v>#REF!</v>
      </c>
      <c r="CE319" s="2002" t="e">
        <f t="shared" si="582"/>
        <v>#REF!</v>
      </c>
      <c r="CF319" s="1999" t="e">
        <f t="shared" si="676"/>
        <v>#REF!</v>
      </c>
      <c r="CG319" s="1993" t="e">
        <f>#REF!</f>
        <v>#REF!</v>
      </c>
      <c r="CH319" s="2003">
        <f t="shared" si="583"/>
        <v>0</v>
      </c>
      <c r="CI319" s="1989" t="e">
        <f>#REF!/10^7</f>
        <v>#REF!</v>
      </c>
      <c r="CJ319" s="2003">
        <f t="shared" si="584"/>
        <v>0</v>
      </c>
      <c r="CK319" s="1989" t="e">
        <f>#REF!/10^7</f>
        <v>#REF!</v>
      </c>
      <c r="CL319" s="2003">
        <f t="shared" si="585"/>
        <v>0</v>
      </c>
      <c r="CM319" s="1989" t="e">
        <f>#REF!/10^7</f>
        <v>#REF!</v>
      </c>
      <c r="CN319" s="1989" t="e">
        <f>#REF!/10^7</f>
        <v>#REF!</v>
      </c>
      <c r="CO319" s="2002" t="e">
        <f t="shared" si="586"/>
        <v>#REF!</v>
      </c>
      <c r="CP319" s="1999" t="e">
        <f t="shared" si="677"/>
        <v>#REF!</v>
      </c>
      <c r="CQ319" s="1993" t="e">
        <f>#REF!</f>
        <v>#REF!</v>
      </c>
      <c r="CR319" s="2003">
        <f t="shared" si="587"/>
        <v>0</v>
      </c>
      <c r="CS319" s="1989" t="e">
        <f>#REF!/10^7</f>
        <v>#REF!</v>
      </c>
      <c r="CT319" s="2003">
        <f t="shared" si="588"/>
        <v>0</v>
      </c>
      <c r="CU319" s="1989" t="e">
        <f>#REF!/10^7</f>
        <v>#REF!</v>
      </c>
      <c r="CV319" s="2003">
        <f t="shared" si="589"/>
        <v>0</v>
      </c>
      <c r="CW319" s="1989" t="e">
        <f>#REF!/10^7</f>
        <v>#REF!</v>
      </c>
      <c r="CX319" s="1989" t="e">
        <f>#REF!/10^7</f>
        <v>#REF!</v>
      </c>
      <c r="CY319" s="2002" t="e">
        <f t="shared" si="590"/>
        <v>#REF!</v>
      </c>
      <c r="CZ319" s="1999" t="e">
        <f t="shared" si="678"/>
        <v>#REF!</v>
      </c>
      <c r="DA319" s="1993" t="e">
        <f>#REF!</f>
        <v>#REF!</v>
      </c>
      <c r="DB319" s="2003">
        <f t="shared" si="591"/>
        <v>0</v>
      </c>
      <c r="DC319" s="1989" t="e">
        <f>#REF!/10^7</f>
        <v>#REF!</v>
      </c>
      <c r="DD319" s="2003">
        <f t="shared" si="592"/>
        <v>0</v>
      </c>
      <c r="DE319" s="1989" t="e">
        <f>#REF!/10^7</f>
        <v>#REF!</v>
      </c>
      <c r="DF319" s="2003">
        <f t="shared" si="593"/>
        <v>0</v>
      </c>
      <c r="DG319" s="1989" t="e">
        <f>#REF!/10^7</f>
        <v>#REF!</v>
      </c>
      <c r="DH319" s="1989" t="e">
        <f>#REF!/10^7</f>
        <v>#REF!</v>
      </c>
      <c r="DI319" s="2002" t="e">
        <f t="shared" si="594"/>
        <v>#REF!</v>
      </c>
      <c r="DJ319" s="1999" t="e">
        <f t="shared" si="679"/>
        <v>#REF!</v>
      </c>
      <c r="DK319" s="1993" t="e">
        <f>#REF!</f>
        <v>#REF!</v>
      </c>
      <c r="DL319" s="2003">
        <f t="shared" si="595"/>
        <v>0</v>
      </c>
      <c r="DM319" s="1989" t="e">
        <f>#REF!/10^7</f>
        <v>#REF!</v>
      </c>
      <c r="DN319" s="2003">
        <f t="shared" si="596"/>
        <v>0</v>
      </c>
      <c r="DO319" s="1989" t="e">
        <f>#REF!/10^7</f>
        <v>#REF!</v>
      </c>
      <c r="DP319" s="2003">
        <f t="shared" si="597"/>
        <v>0</v>
      </c>
      <c r="DQ319" s="1989" t="e">
        <f>#REF!/10^7</f>
        <v>#REF!</v>
      </c>
      <c r="DR319" s="1989" t="e">
        <f>#REF!/10^7</f>
        <v>#REF!</v>
      </c>
      <c r="DS319" s="2002" t="e">
        <f t="shared" si="598"/>
        <v>#REF!</v>
      </c>
      <c r="DT319" s="2004" t="e">
        <f t="shared" si="680"/>
        <v>#REF!</v>
      </c>
      <c r="DU319" s="1988" t="e">
        <f>#REF!</f>
        <v>#REF!</v>
      </c>
      <c r="DV319" s="2003">
        <f t="shared" si="599"/>
        <v>0</v>
      </c>
      <c r="DW319" s="1989" t="e">
        <f>#REF!/10^7</f>
        <v>#REF!</v>
      </c>
      <c r="DX319" s="2003">
        <f t="shared" si="600"/>
        <v>0</v>
      </c>
      <c r="DY319" s="1989" t="e">
        <f>#REF!/10^7</f>
        <v>#REF!</v>
      </c>
      <c r="DZ319" s="2003">
        <f t="shared" si="601"/>
        <v>0</v>
      </c>
      <c r="EA319" s="1989" t="e">
        <f>#REF!/10^7</f>
        <v>#REF!</v>
      </c>
      <c r="EB319" s="1989" t="e">
        <f>#REF!/10^7</f>
        <v>#REF!</v>
      </c>
      <c r="EC319" s="2002" t="e">
        <f t="shared" si="602"/>
        <v>#REF!</v>
      </c>
      <c r="ED319" s="1998" t="e">
        <f t="shared" si="681"/>
        <v>#REF!</v>
      </c>
      <c r="EE319" s="2005" t="e">
        <f t="shared" si="682"/>
        <v>#REF!</v>
      </c>
      <c r="EF319" s="2003">
        <f t="shared" si="603"/>
        <v>0</v>
      </c>
      <c r="EG319" s="1989" t="e">
        <f t="shared" si="683"/>
        <v>#REF!</v>
      </c>
      <c r="EH319" s="2003">
        <f t="shared" si="604"/>
        <v>0</v>
      </c>
      <c r="EI319" s="1989" t="e">
        <f t="shared" si="684"/>
        <v>#REF!</v>
      </c>
      <c r="EJ319" s="2003">
        <f t="shared" si="605"/>
        <v>0</v>
      </c>
      <c r="EK319" s="1989" t="e">
        <f t="shared" si="685"/>
        <v>#REF!</v>
      </c>
      <c r="EL319" s="1989" t="e">
        <f t="shared" si="685"/>
        <v>#REF!</v>
      </c>
      <c r="EM319" s="2006" t="e">
        <f t="shared" si="606"/>
        <v>#REF!</v>
      </c>
      <c r="EN319" s="1999" t="e">
        <f t="shared" si="686"/>
        <v>#REF!</v>
      </c>
      <c r="EP319" s="1613" t="e">
        <f>EA319-#REF!/10^7</f>
        <v>#REF!</v>
      </c>
      <c r="EW319" s="1611" t="e">
        <v>#N/A</v>
      </c>
      <c r="EX319" s="1612" t="e">
        <v>#N/A</v>
      </c>
      <c r="EZ319" s="1650">
        <f t="shared" si="607"/>
        <v>0</v>
      </c>
    </row>
    <row r="320" spans="1:156" ht="21" customHeight="1">
      <c r="A320" s="1652">
        <v>30</v>
      </c>
      <c r="B320" s="1668" t="s">
        <v>1980</v>
      </c>
      <c r="C320" s="1662">
        <v>10</v>
      </c>
      <c r="D320" s="1646">
        <f>H320/C320*100</f>
        <v>100</v>
      </c>
      <c r="E320" s="1646"/>
      <c r="F320" s="1648" t="s">
        <v>1594</v>
      </c>
      <c r="G320" s="1648"/>
      <c r="H320" s="1648">
        <v>10</v>
      </c>
      <c r="I320" s="1648" t="s">
        <v>1667</v>
      </c>
      <c r="J320" s="1649">
        <v>2</v>
      </c>
      <c r="K320" s="1648"/>
      <c r="L320" s="1648"/>
      <c r="M320" s="1648"/>
      <c r="N320" s="1642"/>
      <c r="O320" s="2000" t="e">
        <f>#REF!</f>
        <v>#REF!</v>
      </c>
      <c r="P320" s="2003">
        <f t="shared" si="555"/>
        <v>0</v>
      </c>
      <c r="Q320" s="1989" t="e">
        <f>#REF!/10^7</f>
        <v>#REF!</v>
      </c>
      <c r="R320" s="2003">
        <f t="shared" si="556"/>
        <v>0</v>
      </c>
      <c r="S320" s="1989" t="e">
        <f>#REF!/10^7</f>
        <v>#REF!</v>
      </c>
      <c r="T320" s="2003">
        <f t="shared" si="557"/>
        <v>0</v>
      </c>
      <c r="U320" s="1989" t="e">
        <f>#REF!/10^7</f>
        <v>#REF!</v>
      </c>
      <c r="V320" s="1989" t="e">
        <f>#REF!/10^7</f>
        <v>#REF!</v>
      </c>
      <c r="W320" s="1989">
        <f t="shared" si="558"/>
        <v>0</v>
      </c>
      <c r="X320" s="1999" t="e">
        <f t="shared" si="671"/>
        <v>#REF!</v>
      </c>
      <c r="Y320" s="1993" t="e">
        <f>#REF!</f>
        <v>#REF!</v>
      </c>
      <c r="Z320" s="2003">
        <f t="shared" si="559"/>
        <v>0</v>
      </c>
      <c r="AA320" s="1989" t="e">
        <f>#REF!/10^7</f>
        <v>#REF!</v>
      </c>
      <c r="AB320" s="2003">
        <f t="shared" si="560"/>
        <v>0</v>
      </c>
      <c r="AC320" s="1989" t="e">
        <f>#REF!/10^7</f>
        <v>#REF!</v>
      </c>
      <c r="AD320" s="2003">
        <f t="shared" si="561"/>
        <v>0</v>
      </c>
      <c r="AE320" s="1989" t="e">
        <f>#REF!/10^7</f>
        <v>#REF!</v>
      </c>
      <c r="AF320" s="1989" t="e">
        <f>#REF!/10^7</f>
        <v>#REF!</v>
      </c>
      <c r="AG320" s="2002" t="e">
        <f t="shared" si="562"/>
        <v>#REF!</v>
      </c>
      <c r="AH320" s="1999" t="e">
        <f t="shared" si="670"/>
        <v>#REF!</v>
      </c>
      <c r="AI320" s="1993" t="e">
        <f>#REF!</f>
        <v>#REF!</v>
      </c>
      <c r="AJ320" s="2003">
        <f t="shared" si="563"/>
        <v>0</v>
      </c>
      <c r="AK320" s="1989" t="e">
        <f>#REF!/10^7</f>
        <v>#REF!</v>
      </c>
      <c r="AL320" s="2003">
        <f t="shared" si="564"/>
        <v>0</v>
      </c>
      <c r="AM320" s="1989" t="e">
        <f>#REF!/10^7</f>
        <v>#REF!</v>
      </c>
      <c r="AN320" s="2003">
        <f t="shared" si="565"/>
        <v>0</v>
      </c>
      <c r="AO320" s="1989" t="e">
        <f>#REF!/10^7</f>
        <v>#REF!</v>
      </c>
      <c r="AP320" s="1989" t="e">
        <f>#REF!/10^7</f>
        <v>#REF!</v>
      </c>
      <c r="AQ320" s="2002" t="e">
        <f t="shared" si="566"/>
        <v>#REF!</v>
      </c>
      <c r="AR320" s="1999" t="e">
        <f t="shared" si="672"/>
        <v>#REF!</v>
      </c>
      <c r="AS320" s="1993" t="e">
        <f>#REF!</f>
        <v>#REF!</v>
      </c>
      <c r="AT320" s="2003">
        <f t="shared" si="567"/>
        <v>0</v>
      </c>
      <c r="AU320" s="1989" t="e">
        <f>#REF!/10^7</f>
        <v>#REF!</v>
      </c>
      <c r="AV320" s="2003">
        <f t="shared" si="568"/>
        <v>0</v>
      </c>
      <c r="AW320" s="1989" t="e">
        <f>#REF!/10^7</f>
        <v>#REF!</v>
      </c>
      <c r="AX320" s="2003">
        <f t="shared" si="569"/>
        <v>0</v>
      </c>
      <c r="AY320" s="1989" t="e">
        <f>#REF!/10^7</f>
        <v>#REF!</v>
      </c>
      <c r="AZ320" s="1989" t="e">
        <f>#REF!/10^7</f>
        <v>#REF!</v>
      </c>
      <c r="BA320" s="2002" t="e">
        <f t="shared" si="570"/>
        <v>#REF!</v>
      </c>
      <c r="BB320" s="1999" t="e">
        <f t="shared" si="673"/>
        <v>#REF!</v>
      </c>
      <c r="BC320" s="1993" t="e">
        <f>#REF!</f>
        <v>#REF!</v>
      </c>
      <c r="BD320" s="2003">
        <f t="shared" si="571"/>
        <v>0</v>
      </c>
      <c r="BE320" s="1989" t="e">
        <f>#REF!/10^7</f>
        <v>#REF!</v>
      </c>
      <c r="BF320" s="2003">
        <f t="shared" si="572"/>
        <v>0</v>
      </c>
      <c r="BG320" s="1989" t="e">
        <f>#REF!/10^7</f>
        <v>#REF!</v>
      </c>
      <c r="BH320" s="2003">
        <f t="shared" si="573"/>
        <v>0</v>
      </c>
      <c r="BI320" s="1989" t="e">
        <f>#REF!/10^7</f>
        <v>#REF!</v>
      </c>
      <c r="BJ320" s="1989" t="e">
        <f>#REF!/10^7</f>
        <v>#REF!</v>
      </c>
      <c r="BK320" s="2002" t="e">
        <f t="shared" si="574"/>
        <v>#REF!</v>
      </c>
      <c r="BL320" s="1999" t="e">
        <f t="shared" si="674"/>
        <v>#REF!</v>
      </c>
      <c r="BM320" s="1993" t="e">
        <f>#REF!</f>
        <v>#REF!</v>
      </c>
      <c r="BN320" s="2003">
        <f t="shared" si="575"/>
        <v>0</v>
      </c>
      <c r="BO320" s="1989" t="e">
        <f>#REF!/10^7</f>
        <v>#REF!</v>
      </c>
      <c r="BP320" s="2003">
        <f t="shared" si="576"/>
        <v>0</v>
      </c>
      <c r="BQ320" s="1989" t="e">
        <f>#REF!/10^7</f>
        <v>#REF!</v>
      </c>
      <c r="BR320" s="2003">
        <f t="shared" si="577"/>
        <v>0</v>
      </c>
      <c r="BS320" s="1989" t="e">
        <f>#REF!/10^7</f>
        <v>#REF!</v>
      </c>
      <c r="BT320" s="1989" t="e">
        <f>#REF!/10^7</f>
        <v>#REF!</v>
      </c>
      <c r="BU320" s="2002" t="e">
        <f t="shared" si="578"/>
        <v>#REF!</v>
      </c>
      <c r="BV320" s="1999" t="e">
        <f t="shared" si="675"/>
        <v>#REF!</v>
      </c>
      <c r="BW320" s="1993" t="e">
        <f>#REF!</f>
        <v>#REF!</v>
      </c>
      <c r="BX320" s="2003">
        <f t="shared" si="579"/>
        <v>0</v>
      </c>
      <c r="BY320" s="1989" t="e">
        <f>#REF!/10^7</f>
        <v>#REF!</v>
      </c>
      <c r="BZ320" s="2003">
        <f t="shared" si="580"/>
        <v>0</v>
      </c>
      <c r="CA320" s="1989" t="e">
        <f>#REF!/10^7</f>
        <v>#REF!</v>
      </c>
      <c r="CB320" s="2003">
        <f t="shared" si="581"/>
        <v>0</v>
      </c>
      <c r="CC320" s="1989" t="e">
        <f>#REF!/10^7</f>
        <v>#REF!</v>
      </c>
      <c r="CD320" s="1989" t="e">
        <f>#REF!/10^7</f>
        <v>#REF!</v>
      </c>
      <c r="CE320" s="2002" t="e">
        <f t="shared" si="582"/>
        <v>#REF!</v>
      </c>
      <c r="CF320" s="1999" t="e">
        <f t="shared" si="676"/>
        <v>#REF!</v>
      </c>
      <c r="CG320" s="1993" t="e">
        <f>#REF!</f>
        <v>#REF!</v>
      </c>
      <c r="CH320" s="2003">
        <f t="shared" si="583"/>
        <v>0</v>
      </c>
      <c r="CI320" s="1989" t="e">
        <f>#REF!/10^7</f>
        <v>#REF!</v>
      </c>
      <c r="CJ320" s="2003">
        <f t="shared" si="584"/>
        <v>0</v>
      </c>
      <c r="CK320" s="1989" t="e">
        <f>#REF!/10^7</f>
        <v>#REF!</v>
      </c>
      <c r="CL320" s="2003">
        <f t="shared" si="585"/>
        <v>0</v>
      </c>
      <c r="CM320" s="1989" t="e">
        <f>#REF!/10^7</f>
        <v>#REF!</v>
      </c>
      <c r="CN320" s="1989" t="e">
        <f>#REF!/10^7</f>
        <v>#REF!</v>
      </c>
      <c r="CO320" s="2002" t="e">
        <f t="shared" si="586"/>
        <v>#REF!</v>
      </c>
      <c r="CP320" s="1999" t="e">
        <f t="shared" si="677"/>
        <v>#REF!</v>
      </c>
      <c r="CQ320" s="1993" t="e">
        <f>#REF!</f>
        <v>#REF!</v>
      </c>
      <c r="CR320" s="2003">
        <f t="shared" si="587"/>
        <v>0</v>
      </c>
      <c r="CS320" s="1989" t="e">
        <f>#REF!/10^7</f>
        <v>#REF!</v>
      </c>
      <c r="CT320" s="2003">
        <f t="shared" si="588"/>
        <v>0</v>
      </c>
      <c r="CU320" s="1989" t="e">
        <f>#REF!/10^7</f>
        <v>#REF!</v>
      </c>
      <c r="CV320" s="2003">
        <f t="shared" si="589"/>
        <v>0</v>
      </c>
      <c r="CW320" s="1989" t="e">
        <f>#REF!/10^7</f>
        <v>#REF!</v>
      </c>
      <c r="CX320" s="1989" t="e">
        <f>#REF!/10^7</f>
        <v>#REF!</v>
      </c>
      <c r="CY320" s="2002" t="e">
        <f t="shared" si="590"/>
        <v>#REF!</v>
      </c>
      <c r="CZ320" s="1999" t="e">
        <f t="shared" si="678"/>
        <v>#REF!</v>
      </c>
      <c r="DA320" s="1993" t="e">
        <f>#REF!</f>
        <v>#REF!</v>
      </c>
      <c r="DB320" s="2003">
        <f t="shared" si="591"/>
        <v>0</v>
      </c>
      <c r="DC320" s="1989" t="e">
        <f>#REF!/10^7</f>
        <v>#REF!</v>
      </c>
      <c r="DD320" s="2003">
        <f t="shared" si="592"/>
        <v>0</v>
      </c>
      <c r="DE320" s="1989" t="e">
        <f>#REF!/10^7</f>
        <v>#REF!</v>
      </c>
      <c r="DF320" s="2003">
        <f t="shared" si="593"/>
        <v>0</v>
      </c>
      <c r="DG320" s="1989" t="e">
        <f>#REF!/10^7</f>
        <v>#REF!</v>
      </c>
      <c r="DH320" s="1989" t="e">
        <f>#REF!/10^7</f>
        <v>#REF!</v>
      </c>
      <c r="DI320" s="2002" t="e">
        <f t="shared" si="594"/>
        <v>#REF!</v>
      </c>
      <c r="DJ320" s="1999" t="e">
        <f t="shared" si="679"/>
        <v>#REF!</v>
      </c>
      <c r="DK320" s="1993" t="e">
        <f>#REF!</f>
        <v>#REF!</v>
      </c>
      <c r="DL320" s="2003">
        <f t="shared" si="595"/>
        <v>0</v>
      </c>
      <c r="DM320" s="1989" t="e">
        <f>#REF!/10^7</f>
        <v>#REF!</v>
      </c>
      <c r="DN320" s="2003">
        <f t="shared" si="596"/>
        <v>0</v>
      </c>
      <c r="DO320" s="1989" t="e">
        <f>#REF!/10^7</f>
        <v>#REF!</v>
      </c>
      <c r="DP320" s="2003">
        <f t="shared" si="597"/>
        <v>0</v>
      </c>
      <c r="DQ320" s="1989" t="e">
        <f>#REF!/10^7</f>
        <v>#REF!</v>
      </c>
      <c r="DR320" s="1989" t="e">
        <f>#REF!/10^7</f>
        <v>#REF!</v>
      </c>
      <c r="DS320" s="2002" t="e">
        <f t="shared" si="598"/>
        <v>#REF!</v>
      </c>
      <c r="DT320" s="2004" t="e">
        <f t="shared" si="680"/>
        <v>#REF!</v>
      </c>
      <c r="DU320" s="1988" t="e">
        <f>#REF!</f>
        <v>#REF!</v>
      </c>
      <c r="DV320" s="2003">
        <f t="shared" si="599"/>
        <v>0</v>
      </c>
      <c r="DW320" s="1989" t="e">
        <f>#REF!/10^7</f>
        <v>#REF!</v>
      </c>
      <c r="DX320" s="2003">
        <f t="shared" si="600"/>
        <v>0</v>
      </c>
      <c r="DY320" s="1989" t="e">
        <f>#REF!/10^7</f>
        <v>#REF!</v>
      </c>
      <c r="DZ320" s="2003">
        <f t="shared" si="601"/>
        <v>0</v>
      </c>
      <c r="EA320" s="1989" t="e">
        <f>#REF!/10^7</f>
        <v>#REF!</v>
      </c>
      <c r="EB320" s="1989" t="e">
        <f>#REF!/10^7</f>
        <v>#REF!</v>
      </c>
      <c r="EC320" s="2002" t="e">
        <f t="shared" si="602"/>
        <v>#REF!</v>
      </c>
      <c r="ED320" s="1998" t="e">
        <f t="shared" si="681"/>
        <v>#REF!</v>
      </c>
      <c r="EE320" s="2005" t="e">
        <f t="shared" si="682"/>
        <v>#REF!</v>
      </c>
      <c r="EF320" s="2003">
        <f t="shared" si="603"/>
        <v>0</v>
      </c>
      <c r="EG320" s="1989" t="e">
        <f t="shared" si="683"/>
        <v>#REF!</v>
      </c>
      <c r="EH320" s="2003">
        <f t="shared" si="604"/>
        <v>0</v>
      </c>
      <c r="EI320" s="1989" t="e">
        <f t="shared" si="684"/>
        <v>#REF!</v>
      </c>
      <c r="EJ320" s="2003">
        <f t="shared" si="605"/>
        <v>0</v>
      </c>
      <c r="EK320" s="1989" t="e">
        <f t="shared" si="685"/>
        <v>#REF!</v>
      </c>
      <c r="EL320" s="1989" t="e">
        <f t="shared" si="685"/>
        <v>#REF!</v>
      </c>
      <c r="EM320" s="2006" t="e">
        <f t="shared" si="606"/>
        <v>#REF!</v>
      </c>
      <c r="EN320" s="1999" t="e">
        <f t="shared" si="686"/>
        <v>#REF!</v>
      </c>
      <c r="EP320" s="1613" t="e">
        <f>EA320-#REF!/10^7</f>
        <v>#REF!</v>
      </c>
      <c r="EW320" s="1611" t="e">
        <v>#N/A</v>
      </c>
      <c r="EX320" s="1612" t="e">
        <v>#N/A</v>
      </c>
      <c r="EZ320" s="1650">
        <f t="shared" si="607"/>
        <v>0</v>
      </c>
    </row>
    <row r="321" spans="1:156" ht="21" customHeight="1">
      <c r="A321" s="1652">
        <v>31</v>
      </c>
      <c r="B321" s="1701" t="s">
        <v>1981</v>
      </c>
      <c r="C321" s="1662">
        <v>10</v>
      </c>
      <c r="D321" s="1646">
        <f>H321/C321*100</f>
        <v>100</v>
      </c>
      <c r="E321" s="1646"/>
      <c r="F321" s="1648"/>
      <c r="G321" s="1648"/>
      <c r="H321" s="1648">
        <v>10</v>
      </c>
      <c r="I321" s="1648" t="s">
        <v>1667</v>
      </c>
      <c r="J321" s="1649">
        <v>2</v>
      </c>
      <c r="K321" s="1648"/>
      <c r="L321" s="1648"/>
      <c r="M321" s="1648"/>
      <c r="N321" s="1642"/>
      <c r="O321" s="2000" t="e">
        <f>#REF!</f>
        <v>#REF!</v>
      </c>
      <c r="P321" s="2003">
        <f t="shared" si="555"/>
        <v>0</v>
      </c>
      <c r="Q321" s="1989" t="e">
        <f>#REF!/10^7</f>
        <v>#REF!</v>
      </c>
      <c r="R321" s="2003">
        <f t="shared" si="556"/>
        <v>0</v>
      </c>
      <c r="S321" s="1989" t="e">
        <f>#REF!/10^7</f>
        <v>#REF!</v>
      </c>
      <c r="T321" s="2003">
        <f t="shared" si="557"/>
        <v>0</v>
      </c>
      <c r="U321" s="1989" t="e">
        <f>#REF!/10^7</f>
        <v>#REF!</v>
      </c>
      <c r="V321" s="1989" t="e">
        <f>#REF!/10^7</f>
        <v>#REF!</v>
      </c>
      <c r="W321" s="1989">
        <f t="shared" si="558"/>
        <v>0</v>
      </c>
      <c r="X321" s="1999" t="e">
        <f t="shared" si="671"/>
        <v>#REF!</v>
      </c>
      <c r="Y321" s="1993" t="e">
        <f>#REF!</f>
        <v>#REF!</v>
      </c>
      <c r="Z321" s="2003">
        <f t="shared" si="559"/>
        <v>0</v>
      </c>
      <c r="AA321" s="1989" t="e">
        <f>#REF!/10^7</f>
        <v>#REF!</v>
      </c>
      <c r="AB321" s="2003">
        <f t="shared" si="560"/>
        <v>0</v>
      </c>
      <c r="AC321" s="1989" t="e">
        <f>#REF!/10^7</f>
        <v>#REF!</v>
      </c>
      <c r="AD321" s="2003">
        <f t="shared" si="561"/>
        <v>0</v>
      </c>
      <c r="AE321" s="1989" t="e">
        <f>#REF!/10^7</f>
        <v>#REF!</v>
      </c>
      <c r="AF321" s="1989" t="e">
        <f>#REF!/10^7</f>
        <v>#REF!</v>
      </c>
      <c r="AG321" s="2002" t="e">
        <f t="shared" si="562"/>
        <v>#REF!</v>
      </c>
      <c r="AH321" s="1999" t="e">
        <f t="shared" si="670"/>
        <v>#REF!</v>
      </c>
      <c r="AI321" s="1993" t="e">
        <f>#REF!</f>
        <v>#REF!</v>
      </c>
      <c r="AJ321" s="2003">
        <f t="shared" si="563"/>
        <v>0</v>
      </c>
      <c r="AK321" s="1989" t="e">
        <f>#REF!/10^7</f>
        <v>#REF!</v>
      </c>
      <c r="AL321" s="2003">
        <f t="shared" si="564"/>
        <v>0</v>
      </c>
      <c r="AM321" s="1989" t="e">
        <f>#REF!/10^7</f>
        <v>#REF!</v>
      </c>
      <c r="AN321" s="2003">
        <f t="shared" si="565"/>
        <v>0</v>
      </c>
      <c r="AO321" s="1989" t="e">
        <f>#REF!/10^7</f>
        <v>#REF!</v>
      </c>
      <c r="AP321" s="1989" t="e">
        <f>#REF!/10^7</f>
        <v>#REF!</v>
      </c>
      <c r="AQ321" s="2002" t="e">
        <f t="shared" si="566"/>
        <v>#REF!</v>
      </c>
      <c r="AR321" s="1999" t="e">
        <f t="shared" si="672"/>
        <v>#REF!</v>
      </c>
      <c r="AS321" s="1993" t="e">
        <f>#REF!</f>
        <v>#REF!</v>
      </c>
      <c r="AT321" s="2003">
        <f t="shared" si="567"/>
        <v>0</v>
      </c>
      <c r="AU321" s="1989" t="e">
        <f>#REF!/10^7</f>
        <v>#REF!</v>
      </c>
      <c r="AV321" s="2003">
        <f t="shared" si="568"/>
        <v>0</v>
      </c>
      <c r="AW321" s="1989" t="e">
        <f>#REF!/10^7</f>
        <v>#REF!</v>
      </c>
      <c r="AX321" s="2003">
        <f t="shared" si="569"/>
        <v>0</v>
      </c>
      <c r="AY321" s="1989" t="e">
        <f>#REF!/10^7</f>
        <v>#REF!</v>
      </c>
      <c r="AZ321" s="1989" t="e">
        <f>#REF!/10^7</f>
        <v>#REF!</v>
      </c>
      <c r="BA321" s="2002" t="e">
        <f t="shared" si="570"/>
        <v>#REF!</v>
      </c>
      <c r="BB321" s="1999" t="e">
        <f t="shared" si="673"/>
        <v>#REF!</v>
      </c>
      <c r="BC321" s="1993" t="e">
        <f>#REF!</f>
        <v>#REF!</v>
      </c>
      <c r="BD321" s="2003">
        <f t="shared" si="571"/>
        <v>0</v>
      </c>
      <c r="BE321" s="1989" t="e">
        <f>#REF!/10^7</f>
        <v>#REF!</v>
      </c>
      <c r="BF321" s="2003">
        <f t="shared" si="572"/>
        <v>0</v>
      </c>
      <c r="BG321" s="1989" t="e">
        <f>#REF!/10^7</f>
        <v>#REF!</v>
      </c>
      <c r="BH321" s="2003">
        <f t="shared" si="573"/>
        <v>0</v>
      </c>
      <c r="BI321" s="1989" t="e">
        <f>#REF!/10^7</f>
        <v>#REF!</v>
      </c>
      <c r="BJ321" s="1989" t="e">
        <f>#REF!/10^7</f>
        <v>#REF!</v>
      </c>
      <c r="BK321" s="2002" t="e">
        <f t="shared" si="574"/>
        <v>#REF!</v>
      </c>
      <c r="BL321" s="1999" t="e">
        <f t="shared" si="674"/>
        <v>#REF!</v>
      </c>
      <c r="BM321" s="1993" t="e">
        <f>#REF!</f>
        <v>#REF!</v>
      </c>
      <c r="BN321" s="2003">
        <f t="shared" si="575"/>
        <v>0</v>
      </c>
      <c r="BO321" s="1989" t="e">
        <f>#REF!/10^7</f>
        <v>#REF!</v>
      </c>
      <c r="BP321" s="2003">
        <f t="shared" si="576"/>
        <v>0</v>
      </c>
      <c r="BQ321" s="1989" t="e">
        <f>#REF!/10^7</f>
        <v>#REF!</v>
      </c>
      <c r="BR321" s="2003">
        <f t="shared" si="577"/>
        <v>0</v>
      </c>
      <c r="BS321" s="1989" t="e">
        <f>#REF!/10^7</f>
        <v>#REF!</v>
      </c>
      <c r="BT321" s="1989" t="e">
        <f>#REF!/10^7</f>
        <v>#REF!</v>
      </c>
      <c r="BU321" s="2002" t="e">
        <f t="shared" si="578"/>
        <v>#REF!</v>
      </c>
      <c r="BV321" s="1999" t="e">
        <f t="shared" si="675"/>
        <v>#REF!</v>
      </c>
      <c r="BW321" s="1993" t="e">
        <f>#REF!</f>
        <v>#REF!</v>
      </c>
      <c r="BX321" s="2003">
        <f t="shared" si="579"/>
        <v>0</v>
      </c>
      <c r="BY321" s="1989" t="e">
        <f>#REF!/10^7</f>
        <v>#REF!</v>
      </c>
      <c r="BZ321" s="2003">
        <f t="shared" si="580"/>
        <v>0</v>
      </c>
      <c r="CA321" s="1989" t="e">
        <f>#REF!/10^7</f>
        <v>#REF!</v>
      </c>
      <c r="CB321" s="2003">
        <f t="shared" si="581"/>
        <v>0</v>
      </c>
      <c r="CC321" s="1989" t="e">
        <f>#REF!/10^7</f>
        <v>#REF!</v>
      </c>
      <c r="CD321" s="1989" t="e">
        <f>#REF!/10^7</f>
        <v>#REF!</v>
      </c>
      <c r="CE321" s="2002" t="e">
        <f t="shared" si="582"/>
        <v>#REF!</v>
      </c>
      <c r="CF321" s="1999" t="e">
        <f t="shared" si="676"/>
        <v>#REF!</v>
      </c>
      <c r="CG321" s="1993" t="e">
        <f>#REF!</f>
        <v>#REF!</v>
      </c>
      <c r="CH321" s="2003">
        <f t="shared" si="583"/>
        <v>0</v>
      </c>
      <c r="CI321" s="1989" t="e">
        <f>#REF!/10^7</f>
        <v>#REF!</v>
      </c>
      <c r="CJ321" s="2003">
        <f t="shared" si="584"/>
        <v>0</v>
      </c>
      <c r="CK321" s="1989" t="e">
        <f>#REF!/10^7</f>
        <v>#REF!</v>
      </c>
      <c r="CL321" s="2003">
        <f t="shared" si="585"/>
        <v>0</v>
      </c>
      <c r="CM321" s="1989" t="e">
        <f>#REF!/10^7</f>
        <v>#REF!</v>
      </c>
      <c r="CN321" s="1989" t="e">
        <f>#REF!/10^7</f>
        <v>#REF!</v>
      </c>
      <c r="CO321" s="2002" t="e">
        <f t="shared" si="586"/>
        <v>#REF!</v>
      </c>
      <c r="CP321" s="1999" t="e">
        <f t="shared" si="677"/>
        <v>#REF!</v>
      </c>
      <c r="CQ321" s="1993" t="e">
        <f>#REF!</f>
        <v>#REF!</v>
      </c>
      <c r="CR321" s="2003">
        <f t="shared" si="587"/>
        <v>0</v>
      </c>
      <c r="CS321" s="1989" t="e">
        <f>#REF!/10^7</f>
        <v>#REF!</v>
      </c>
      <c r="CT321" s="2003">
        <f t="shared" si="588"/>
        <v>0</v>
      </c>
      <c r="CU321" s="1989" t="e">
        <f>#REF!/10^7</f>
        <v>#REF!</v>
      </c>
      <c r="CV321" s="2003">
        <f t="shared" si="589"/>
        <v>0</v>
      </c>
      <c r="CW321" s="1989" t="e">
        <f>#REF!/10^7</f>
        <v>#REF!</v>
      </c>
      <c r="CX321" s="1989" t="e">
        <f>#REF!/10^7</f>
        <v>#REF!</v>
      </c>
      <c r="CY321" s="2002" t="e">
        <f t="shared" si="590"/>
        <v>#REF!</v>
      </c>
      <c r="CZ321" s="1999" t="e">
        <f t="shared" si="678"/>
        <v>#REF!</v>
      </c>
      <c r="DA321" s="1993" t="e">
        <f>#REF!</f>
        <v>#REF!</v>
      </c>
      <c r="DB321" s="2003">
        <f t="shared" si="591"/>
        <v>0</v>
      </c>
      <c r="DC321" s="1989" t="e">
        <f>#REF!/10^7</f>
        <v>#REF!</v>
      </c>
      <c r="DD321" s="2003">
        <f t="shared" si="592"/>
        <v>0</v>
      </c>
      <c r="DE321" s="1989" t="e">
        <f>#REF!/10^7</f>
        <v>#REF!</v>
      </c>
      <c r="DF321" s="2003">
        <f t="shared" si="593"/>
        <v>0</v>
      </c>
      <c r="DG321" s="1989" t="e">
        <f>#REF!/10^7</f>
        <v>#REF!</v>
      </c>
      <c r="DH321" s="1989" t="e">
        <f>#REF!/10^7</f>
        <v>#REF!</v>
      </c>
      <c r="DI321" s="2002" t="e">
        <f t="shared" si="594"/>
        <v>#REF!</v>
      </c>
      <c r="DJ321" s="1999" t="e">
        <f t="shared" si="679"/>
        <v>#REF!</v>
      </c>
      <c r="DK321" s="1993" t="e">
        <f>#REF!</f>
        <v>#REF!</v>
      </c>
      <c r="DL321" s="2003">
        <f t="shared" si="595"/>
        <v>0</v>
      </c>
      <c r="DM321" s="1989" t="e">
        <f>#REF!/10^7</f>
        <v>#REF!</v>
      </c>
      <c r="DN321" s="2003">
        <f t="shared" si="596"/>
        <v>0</v>
      </c>
      <c r="DO321" s="1989" t="e">
        <f>#REF!/10^7</f>
        <v>#REF!</v>
      </c>
      <c r="DP321" s="2003">
        <f t="shared" si="597"/>
        <v>0</v>
      </c>
      <c r="DQ321" s="1989" t="e">
        <f>#REF!/10^7</f>
        <v>#REF!</v>
      </c>
      <c r="DR321" s="1989" t="e">
        <f>#REF!/10^7</f>
        <v>#REF!</v>
      </c>
      <c r="DS321" s="2002" t="e">
        <f t="shared" si="598"/>
        <v>#REF!</v>
      </c>
      <c r="DT321" s="2004" t="e">
        <f t="shared" si="680"/>
        <v>#REF!</v>
      </c>
      <c r="DU321" s="1988" t="e">
        <f>#REF!</f>
        <v>#REF!</v>
      </c>
      <c r="DV321" s="2003">
        <f t="shared" si="599"/>
        <v>0</v>
      </c>
      <c r="DW321" s="1989" t="e">
        <f>#REF!/10^7</f>
        <v>#REF!</v>
      </c>
      <c r="DX321" s="2003">
        <f t="shared" si="600"/>
        <v>0</v>
      </c>
      <c r="DY321" s="1989" t="e">
        <f>#REF!/10^7</f>
        <v>#REF!</v>
      </c>
      <c r="DZ321" s="2003">
        <f t="shared" si="601"/>
        <v>0</v>
      </c>
      <c r="EA321" s="1989" t="e">
        <f>#REF!/10^7</f>
        <v>#REF!</v>
      </c>
      <c r="EB321" s="1989" t="e">
        <f>#REF!/10^7</f>
        <v>#REF!</v>
      </c>
      <c r="EC321" s="2002" t="e">
        <f t="shared" si="602"/>
        <v>#REF!</v>
      </c>
      <c r="ED321" s="1998" t="e">
        <f t="shared" si="681"/>
        <v>#REF!</v>
      </c>
      <c r="EE321" s="2005" t="e">
        <f t="shared" si="682"/>
        <v>#REF!</v>
      </c>
      <c r="EF321" s="2003">
        <f t="shared" si="603"/>
        <v>0</v>
      </c>
      <c r="EG321" s="1989" t="e">
        <f t="shared" si="683"/>
        <v>#REF!</v>
      </c>
      <c r="EH321" s="2003">
        <f t="shared" si="604"/>
        <v>0</v>
      </c>
      <c r="EI321" s="1989" t="e">
        <f t="shared" si="684"/>
        <v>#REF!</v>
      </c>
      <c r="EJ321" s="2003">
        <f t="shared" si="605"/>
        <v>0</v>
      </c>
      <c r="EK321" s="1989" t="e">
        <f t="shared" si="685"/>
        <v>#REF!</v>
      </c>
      <c r="EL321" s="1989" t="e">
        <f t="shared" si="685"/>
        <v>#REF!</v>
      </c>
      <c r="EM321" s="2006" t="e">
        <f t="shared" si="606"/>
        <v>#REF!</v>
      </c>
      <c r="EN321" s="1999" t="e">
        <f t="shared" si="686"/>
        <v>#REF!</v>
      </c>
      <c r="EP321" s="1613" t="e">
        <f>EA321-#REF!/10^7</f>
        <v>#REF!</v>
      </c>
      <c r="EW321" s="1611" t="e">
        <v>#N/A</v>
      </c>
      <c r="EX321" s="1612" t="e">
        <v>#N/A</v>
      </c>
      <c r="EZ321" s="1650">
        <f t="shared" si="607"/>
        <v>0</v>
      </c>
    </row>
    <row r="322" spans="1:156" ht="21" customHeight="1">
      <c r="A322" s="1652">
        <v>32</v>
      </c>
      <c r="B322" s="1644" t="s">
        <v>1982</v>
      </c>
      <c r="C322" s="1662"/>
      <c r="D322" s="1648"/>
      <c r="E322" s="1648"/>
      <c r="F322" s="1648"/>
      <c r="G322" s="1648"/>
      <c r="H322" s="1648"/>
      <c r="I322" s="1648" t="s">
        <v>1667</v>
      </c>
      <c r="J322" s="1649">
        <v>2</v>
      </c>
      <c r="K322" s="1648"/>
      <c r="L322" s="1648"/>
      <c r="M322" s="1648"/>
      <c r="N322" s="1642"/>
      <c r="O322" s="2000" t="e">
        <f>#REF!</f>
        <v>#REF!</v>
      </c>
      <c r="P322" s="2003">
        <f t="shared" si="555"/>
        <v>0</v>
      </c>
      <c r="Q322" s="1989" t="e">
        <f>#REF!/10^7</f>
        <v>#REF!</v>
      </c>
      <c r="R322" s="2003">
        <f t="shared" si="556"/>
        <v>0</v>
      </c>
      <c r="S322" s="1989" t="e">
        <f>#REF!/10^7</f>
        <v>#REF!</v>
      </c>
      <c r="T322" s="2003">
        <f t="shared" si="557"/>
        <v>0</v>
      </c>
      <c r="U322" s="1989" t="e">
        <f>#REF!/10^7</f>
        <v>#REF!</v>
      </c>
      <c r="V322" s="1989" t="e">
        <f>#REF!/10^7</f>
        <v>#REF!</v>
      </c>
      <c r="W322" s="1989">
        <f t="shared" si="558"/>
        <v>0</v>
      </c>
      <c r="X322" s="1999" t="e">
        <f t="shared" si="671"/>
        <v>#REF!</v>
      </c>
      <c r="Y322" s="1993" t="e">
        <f>#REF!</f>
        <v>#REF!</v>
      </c>
      <c r="Z322" s="2003">
        <f t="shared" si="559"/>
        <v>0</v>
      </c>
      <c r="AA322" s="1989" t="e">
        <f>#REF!/10^7</f>
        <v>#REF!</v>
      </c>
      <c r="AB322" s="2003">
        <f t="shared" si="560"/>
        <v>0</v>
      </c>
      <c r="AC322" s="1989" t="e">
        <f>#REF!/10^7</f>
        <v>#REF!</v>
      </c>
      <c r="AD322" s="2003">
        <f t="shared" si="561"/>
        <v>0</v>
      </c>
      <c r="AE322" s="1989" t="e">
        <f>#REF!/10^7</f>
        <v>#REF!</v>
      </c>
      <c r="AF322" s="1989" t="e">
        <f>#REF!/10^7</f>
        <v>#REF!</v>
      </c>
      <c r="AG322" s="2002" t="e">
        <f t="shared" si="562"/>
        <v>#REF!</v>
      </c>
      <c r="AH322" s="1999" t="e">
        <f t="shared" si="670"/>
        <v>#REF!</v>
      </c>
      <c r="AI322" s="1993" t="e">
        <f>#REF!</f>
        <v>#REF!</v>
      </c>
      <c r="AJ322" s="2003">
        <f t="shared" si="563"/>
        <v>0</v>
      </c>
      <c r="AK322" s="1989" t="e">
        <f>#REF!/10^7</f>
        <v>#REF!</v>
      </c>
      <c r="AL322" s="2003">
        <f t="shared" si="564"/>
        <v>0</v>
      </c>
      <c r="AM322" s="1989" t="e">
        <f>#REF!/10^7</f>
        <v>#REF!</v>
      </c>
      <c r="AN322" s="2003">
        <f t="shared" si="565"/>
        <v>0</v>
      </c>
      <c r="AO322" s="1989" t="e">
        <f>#REF!/10^7</f>
        <v>#REF!</v>
      </c>
      <c r="AP322" s="1989" t="e">
        <f>#REF!/10^7</f>
        <v>#REF!</v>
      </c>
      <c r="AQ322" s="2002" t="e">
        <f t="shared" si="566"/>
        <v>#REF!</v>
      </c>
      <c r="AR322" s="1999" t="e">
        <f t="shared" si="672"/>
        <v>#REF!</v>
      </c>
      <c r="AS322" s="1993" t="e">
        <f>#REF!</f>
        <v>#REF!</v>
      </c>
      <c r="AT322" s="2003">
        <f t="shared" si="567"/>
        <v>0</v>
      </c>
      <c r="AU322" s="1989" t="e">
        <f>#REF!/10^7</f>
        <v>#REF!</v>
      </c>
      <c r="AV322" s="2003">
        <f t="shared" si="568"/>
        <v>0</v>
      </c>
      <c r="AW322" s="1989" t="e">
        <f>#REF!/10^7</f>
        <v>#REF!</v>
      </c>
      <c r="AX322" s="2003">
        <f t="shared" si="569"/>
        <v>0</v>
      </c>
      <c r="AY322" s="1989" t="e">
        <f>#REF!/10^7</f>
        <v>#REF!</v>
      </c>
      <c r="AZ322" s="1989" t="e">
        <f>#REF!/10^7</f>
        <v>#REF!</v>
      </c>
      <c r="BA322" s="2002" t="e">
        <f t="shared" si="570"/>
        <v>#REF!</v>
      </c>
      <c r="BB322" s="1999" t="e">
        <f t="shared" si="673"/>
        <v>#REF!</v>
      </c>
      <c r="BC322" s="1993" t="e">
        <f>#REF!</f>
        <v>#REF!</v>
      </c>
      <c r="BD322" s="2003">
        <f t="shared" si="571"/>
        <v>0</v>
      </c>
      <c r="BE322" s="1989" t="e">
        <f>#REF!/10^7</f>
        <v>#REF!</v>
      </c>
      <c r="BF322" s="2003">
        <f t="shared" si="572"/>
        <v>0</v>
      </c>
      <c r="BG322" s="1989" t="e">
        <f>#REF!/10^7</f>
        <v>#REF!</v>
      </c>
      <c r="BH322" s="2003">
        <f t="shared" si="573"/>
        <v>0</v>
      </c>
      <c r="BI322" s="1989" t="e">
        <f>#REF!/10^7</f>
        <v>#REF!</v>
      </c>
      <c r="BJ322" s="1989" t="e">
        <f>#REF!/10^7</f>
        <v>#REF!</v>
      </c>
      <c r="BK322" s="2002" t="e">
        <f t="shared" si="574"/>
        <v>#REF!</v>
      </c>
      <c r="BL322" s="1999" t="e">
        <f t="shared" si="674"/>
        <v>#REF!</v>
      </c>
      <c r="BM322" s="1993" t="e">
        <f>#REF!</f>
        <v>#REF!</v>
      </c>
      <c r="BN322" s="2003">
        <f t="shared" si="575"/>
        <v>0</v>
      </c>
      <c r="BO322" s="1989" t="e">
        <f>#REF!/10^7</f>
        <v>#REF!</v>
      </c>
      <c r="BP322" s="2003">
        <f t="shared" si="576"/>
        <v>0</v>
      </c>
      <c r="BQ322" s="1989" t="e">
        <f>#REF!/10^7</f>
        <v>#REF!</v>
      </c>
      <c r="BR322" s="2003">
        <f t="shared" si="577"/>
        <v>0</v>
      </c>
      <c r="BS322" s="1989" t="e">
        <f>#REF!/10^7</f>
        <v>#REF!</v>
      </c>
      <c r="BT322" s="1989" t="e">
        <f>#REF!/10^7</f>
        <v>#REF!</v>
      </c>
      <c r="BU322" s="2002" t="e">
        <f t="shared" si="578"/>
        <v>#REF!</v>
      </c>
      <c r="BV322" s="1999" t="e">
        <f t="shared" si="675"/>
        <v>#REF!</v>
      </c>
      <c r="BW322" s="1993" t="e">
        <f>#REF!</f>
        <v>#REF!</v>
      </c>
      <c r="BX322" s="2003">
        <f t="shared" si="579"/>
        <v>0</v>
      </c>
      <c r="BY322" s="1989" t="e">
        <f>#REF!/10^7</f>
        <v>#REF!</v>
      </c>
      <c r="BZ322" s="2003">
        <f t="shared" si="580"/>
        <v>0</v>
      </c>
      <c r="CA322" s="1989" t="e">
        <f>#REF!/10^7</f>
        <v>#REF!</v>
      </c>
      <c r="CB322" s="2003">
        <f t="shared" si="581"/>
        <v>0</v>
      </c>
      <c r="CC322" s="1989" t="e">
        <f>#REF!/10^7</f>
        <v>#REF!</v>
      </c>
      <c r="CD322" s="1989" t="e">
        <f>#REF!/10^7</f>
        <v>#REF!</v>
      </c>
      <c r="CE322" s="2002" t="e">
        <f t="shared" si="582"/>
        <v>#REF!</v>
      </c>
      <c r="CF322" s="1999" t="e">
        <f t="shared" si="676"/>
        <v>#REF!</v>
      </c>
      <c r="CG322" s="1993" t="e">
        <f>#REF!</f>
        <v>#REF!</v>
      </c>
      <c r="CH322" s="2003">
        <f t="shared" si="583"/>
        <v>0</v>
      </c>
      <c r="CI322" s="1989" t="e">
        <f>#REF!/10^7</f>
        <v>#REF!</v>
      </c>
      <c r="CJ322" s="2003">
        <f t="shared" si="584"/>
        <v>0</v>
      </c>
      <c r="CK322" s="1989" t="e">
        <f>#REF!/10^7</f>
        <v>#REF!</v>
      </c>
      <c r="CL322" s="2003">
        <f t="shared" si="585"/>
        <v>0</v>
      </c>
      <c r="CM322" s="1989" t="e">
        <f>#REF!/10^7</f>
        <v>#REF!</v>
      </c>
      <c r="CN322" s="1989" t="e">
        <f>#REF!/10^7</f>
        <v>#REF!</v>
      </c>
      <c r="CO322" s="2002" t="e">
        <f t="shared" si="586"/>
        <v>#REF!</v>
      </c>
      <c r="CP322" s="1999" t="e">
        <f t="shared" si="677"/>
        <v>#REF!</v>
      </c>
      <c r="CQ322" s="1993" t="e">
        <f>#REF!</f>
        <v>#REF!</v>
      </c>
      <c r="CR322" s="2003">
        <f t="shared" si="587"/>
        <v>0</v>
      </c>
      <c r="CS322" s="1989" t="e">
        <f>#REF!/10^7</f>
        <v>#REF!</v>
      </c>
      <c r="CT322" s="2003">
        <f t="shared" si="588"/>
        <v>0</v>
      </c>
      <c r="CU322" s="1989" t="e">
        <f>#REF!/10^7</f>
        <v>#REF!</v>
      </c>
      <c r="CV322" s="2003">
        <f t="shared" si="589"/>
        <v>0</v>
      </c>
      <c r="CW322" s="1989" t="e">
        <f>#REF!/10^7</f>
        <v>#REF!</v>
      </c>
      <c r="CX322" s="1989" t="e">
        <f>#REF!/10^7</f>
        <v>#REF!</v>
      </c>
      <c r="CY322" s="2002" t="e">
        <f t="shared" si="590"/>
        <v>#REF!</v>
      </c>
      <c r="CZ322" s="1999" t="e">
        <f t="shared" si="678"/>
        <v>#REF!</v>
      </c>
      <c r="DA322" s="1993" t="e">
        <f>#REF!</f>
        <v>#REF!</v>
      </c>
      <c r="DB322" s="2003">
        <f t="shared" si="591"/>
        <v>0</v>
      </c>
      <c r="DC322" s="1989" t="e">
        <f>#REF!/10^7</f>
        <v>#REF!</v>
      </c>
      <c r="DD322" s="2003">
        <f t="shared" si="592"/>
        <v>0</v>
      </c>
      <c r="DE322" s="1989" t="e">
        <f>#REF!/10^7</f>
        <v>#REF!</v>
      </c>
      <c r="DF322" s="2003">
        <f t="shared" si="593"/>
        <v>0</v>
      </c>
      <c r="DG322" s="1989" t="e">
        <f>#REF!/10^7</f>
        <v>#REF!</v>
      </c>
      <c r="DH322" s="1989" t="e">
        <f>#REF!/10^7</f>
        <v>#REF!</v>
      </c>
      <c r="DI322" s="2002" t="e">
        <f t="shared" si="594"/>
        <v>#REF!</v>
      </c>
      <c r="DJ322" s="1999" t="e">
        <f t="shared" si="679"/>
        <v>#REF!</v>
      </c>
      <c r="DK322" s="1993" t="e">
        <f>#REF!</f>
        <v>#REF!</v>
      </c>
      <c r="DL322" s="2003">
        <f t="shared" si="595"/>
        <v>0</v>
      </c>
      <c r="DM322" s="1989" t="e">
        <f>#REF!/10^7</f>
        <v>#REF!</v>
      </c>
      <c r="DN322" s="2003">
        <f t="shared" si="596"/>
        <v>0</v>
      </c>
      <c r="DO322" s="1989" t="e">
        <f>#REF!/10^7</f>
        <v>#REF!</v>
      </c>
      <c r="DP322" s="2003">
        <f t="shared" si="597"/>
        <v>0</v>
      </c>
      <c r="DQ322" s="1989" t="e">
        <f>#REF!/10^7</f>
        <v>#REF!</v>
      </c>
      <c r="DR322" s="1989" t="e">
        <f>#REF!/10^7</f>
        <v>#REF!</v>
      </c>
      <c r="DS322" s="2002" t="e">
        <f t="shared" si="598"/>
        <v>#REF!</v>
      </c>
      <c r="DT322" s="2004" t="e">
        <f t="shared" si="680"/>
        <v>#REF!</v>
      </c>
      <c r="DU322" s="1988" t="e">
        <f>#REF!</f>
        <v>#REF!</v>
      </c>
      <c r="DV322" s="2003">
        <f t="shared" si="599"/>
        <v>0</v>
      </c>
      <c r="DW322" s="1989" t="e">
        <f>#REF!/10^7</f>
        <v>#REF!</v>
      </c>
      <c r="DX322" s="2003">
        <f t="shared" si="600"/>
        <v>0</v>
      </c>
      <c r="DY322" s="1989" t="e">
        <f>#REF!/10^7</f>
        <v>#REF!</v>
      </c>
      <c r="DZ322" s="2003">
        <f t="shared" si="601"/>
        <v>0</v>
      </c>
      <c r="EA322" s="1989" t="e">
        <f>#REF!/10^7</f>
        <v>#REF!</v>
      </c>
      <c r="EB322" s="1989" t="e">
        <f>#REF!/10^7</f>
        <v>#REF!</v>
      </c>
      <c r="EC322" s="2002" t="e">
        <f t="shared" si="602"/>
        <v>#REF!</v>
      </c>
      <c r="ED322" s="1998" t="e">
        <f t="shared" si="681"/>
        <v>#REF!</v>
      </c>
      <c r="EE322" s="2005" t="e">
        <f t="shared" si="682"/>
        <v>#REF!</v>
      </c>
      <c r="EF322" s="2003">
        <f t="shared" si="603"/>
        <v>0</v>
      </c>
      <c r="EG322" s="1989" t="e">
        <f t="shared" si="683"/>
        <v>#REF!</v>
      </c>
      <c r="EH322" s="2003">
        <f t="shared" si="604"/>
        <v>0</v>
      </c>
      <c r="EI322" s="1989" t="e">
        <f t="shared" si="684"/>
        <v>#REF!</v>
      </c>
      <c r="EJ322" s="2003">
        <f t="shared" si="605"/>
        <v>0</v>
      </c>
      <c r="EK322" s="1989" t="e">
        <f t="shared" si="685"/>
        <v>#REF!</v>
      </c>
      <c r="EL322" s="1989" t="e">
        <f t="shared" si="685"/>
        <v>#REF!</v>
      </c>
      <c r="EM322" s="2006" t="e">
        <f t="shared" si="606"/>
        <v>#REF!</v>
      </c>
      <c r="EN322" s="1999" t="e">
        <f t="shared" si="686"/>
        <v>#REF!</v>
      </c>
      <c r="EP322" s="1613" t="e">
        <f>EA322-#REF!/10^7</f>
        <v>#REF!</v>
      </c>
      <c r="EW322" s="1611" t="e">
        <v>#N/A</v>
      </c>
      <c r="EX322" s="1612" t="e">
        <v>#N/A</v>
      </c>
      <c r="EZ322" s="1650">
        <f t="shared" si="607"/>
        <v>0</v>
      </c>
    </row>
    <row r="323" spans="1:156" ht="21" customHeight="1">
      <c r="A323" s="1652">
        <v>33</v>
      </c>
      <c r="B323" s="1668" t="s">
        <v>1983</v>
      </c>
      <c r="C323" s="1662">
        <v>2</v>
      </c>
      <c r="D323" s="1646">
        <f>H323/C323*100</f>
        <v>100</v>
      </c>
      <c r="E323" s="1646"/>
      <c r="F323" s="1648" t="s">
        <v>1594</v>
      </c>
      <c r="G323" s="1648"/>
      <c r="H323" s="1648">
        <v>2</v>
      </c>
      <c r="I323" s="1648" t="s">
        <v>1667</v>
      </c>
      <c r="J323" s="1649">
        <v>2</v>
      </c>
      <c r="K323" s="1648"/>
      <c r="L323" s="1648"/>
      <c r="M323" s="1648"/>
      <c r="N323" s="1642"/>
      <c r="O323" s="2000" t="e">
        <f>#REF!</f>
        <v>#REF!</v>
      </c>
      <c r="P323" s="2003">
        <f t="shared" si="555"/>
        <v>0</v>
      </c>
      <c r="Q323" s="1989" t="e">
        <f>#REF!/10^7</f>
        <v>#REF!</v>
      </c>
      <c r="R323" s="2003">
        <f t="shared" si="556"/>
        <v>0</v>
      </c>
      <c r="S323" s="1989" t="e">
        <f>#REF!/10^7</f>
        <v>#REF!</v>
      </c>
      <c r="T323" s="2003">
        <f t="shared" si="557"/>
        <v>0</v>
      </c>
      <c r="U323" s="1989" t="e">
        <f>#REF!/10^7</f>
        <v>#REF!</v>
      </c>
      <c r="V323" s="1989" t="e">
        <f>#REF!/10^7</f>
        <v>#REF!</v>
      </c>
      <c r="W323" s="1989">
        <f t="shared" si="558"/>
        <v>0</v>
      </c>
      <c r="X323" s="1999" t="e">
        <f t="shared" si="671"/>
        <v>#REF!</v>
      </c>
      <c r="Y323" s="1993" t="e">
        <f>#REF!</f>
        <v>#REF!</v>
      </c>
      <c r="Z323" s="2003">
        <f t="shared" si="559"/>
        <v>0</v>
      </c>
      <c r="AA323" s="1989" t="e">
        <f>#REF!/10^7</f>
        <v>#REF!</v>
      </c>
      <c r="AB323" s="2003">
        <f t="shared" si="560"/>
        <v>0</v>
      </c>
      <c r="AC323" s="1989" t="e">
        <f>#REF!/10^7</f>
        <v>#REF!</v>
      </c>
      <c r="AD323" s="2003">
        <f t="shared" si="561"/>
        <v>0</v>
      </c>
      <c r="AE323" s="1989" t="e">
        <f>#REF!/10^7</f>
        <v>#REF!</v>
      </c>
      <c r="AF323" s="1989" t="e">
        <f>#REF!/10^7</f>
        <v>#REF!</v>
      </c>
      <c r="AG323" s="2002" t="e">
        <f t="shared" si="562"/>
        <v>#REF!</v>
      </c>
      <c r="AH323" s="1999" t="e">
        <f t="shared" si="670"/>
        <v>#REF!</v>
      </c>
      <c r="AI323" s="1993" t="e">
        <f>#REF!</f>
        <v>#REF!</v>
      </c>
      <c r="AJ323" s="2003">
        <f t="shared" si="563"/>
        <v>0</v>
      </c>
      <c r="AK323" s="1989" t="e">
        <f>#REF!/10^7</f>
        <v>#REF!</v>
      </c>
      <c r="AL323" s="2003">
        <f t="shared" si="564"/>
        <v>0</v>
      </c>
      <c r="AM323" s="1989" t="e">
        <f>#REF!/10^7</f>
        <v>#REF!</v>
      </c>
      <c r="AN323" s="2003">
        <f t="shared" si="565"/>
        <v>0</v>
      </c>
      <c r="AO323" s="1989" t="e">
        <f>#REF!/10^7</f>
        <v>#REF!</v>
      </c>
      <c r="AP323" s="1989" t="e">
        <f>#REF!/10^7</f>
        <v>#REF!</v>
      </c>
      <c r="AQ323" s="2002" t="e">
        <f t="shared" si="566"/>
        <v>#REF!</v>
      </c>
      <c r="AR323" s="1999" t="e">
        <f t="shared" si="672"/>
        <v>#REF!</v>
      </c>
      <c r="AS323" s="1993" t="e">
        <f>#REF!</f>
        <v>#REF!</v>
      </c>
      <c r="AT323" s="2003">
        <f t="shared" si="567"/>
        <v>0</v>
      </c>
      <c r="AU323" s="1989" t="e">
        <f>#REF!/10^7</f>
        <v>#REF!</v>
      </c>
      <c r="AV323" s="2003">
        <f t="shared" si="568"/>
        <v>0</v>
      </c>
      <c r="AW323" s="1989" t="e">
        <f>#REF!/10^7</f>
        <v>#REF!</v>
      </c>
      <c r="AX323" s="2003">
        <f t="shared" si="569"/>
        <v>0</v>
      </c>
      <c r="AY323" s="1989" t="e">
        <f>#REF!/10^7</f>
        <v>#REF!</v>
      </c>
      <c r="AZ323" s="1989" t="e">
        <f>#REF!/10^7</f>
        <v>#REF!</v>
      </c>
      <c r="BA323" s="2002" t="e">
        <f t="shared" si="570"/>
        <v>#REF!</v>
      </c>
      <c r="BB323" s="1999" t="e">
        <f t="shared" si="673"/>
        <v>#REF!</v>
      </c>
      <c r="BC323" s="1993" t="e">
        <f>#REF!</f>
        <v>#REF!</v>
      </c>
      <c r="BD323" s="2003">
        <f t="shared" si="571"/>
        <v>0</v>
      </c>
      <c r="BE323" s="1989" t="e">
        <f>#REF!/10^7</f>
        <v>#REF!</v>
      </c>
      <c r="BF323" s="2003">
        <f t="shared" si="572"/>
        <v>0</v>
      </c>
      <c r="BG323" s="1989" t="e">
        <f>#REF!/10^7</f>
        <v>#REF!</v>
      </c>
      <c r="BH323" s="2003">
        <f t="shared" si="573"/>
        <v>0</v>
      </c>
      <c r="BI323" s="1989" t="e">
        <f>#REF!/10^7</f>
        <v>#REF!</v>
      </c>
      <c r="BJ323" s="1989" t="e">
        <f>#REF!/10^7</f>
        <v>#REF!</v>
      </c>
      <c r="BK323" s="2002" t="e">
        <f t="shared" si="574"/>
        <v>#REF!</v>
      </c>
      <c r="BL323" s="1999" t="e">
        <f t="shared" si="674"/>
        <v>#REF!</v>
      </c>
      <c r="BM323" s="1993" t="e">
        <f>#REF!</f>
        <v>#REF!</v>
      </c>
      <c r="BN323" s="2003">
        <f t="shared" si="575"/>
        <v>0</v>
      </c>
      <c r="BO323" s="1989" t="e">
        <f>#REF!/10^7</f>
        <v>#REF!</v>
      </c>
      <c r="BP323" s="2003">
        <f t="shared" si="576"/>
        <v>0</v>
      </c>
      <c r="BQ323" s="1989" t="e">
        <f>#REF!/10^7</f>
        <v>#REF!</v>
      </c>
      <c r="BR323" s="2003">
        <f t="shared" si="577"/>
        <v>0</v>
      </c>
      <c r="BS323" s="1989" t="e">
        <f>#REF!/10^7</f>
        <v>#REF!</v>
      </c>
      <c r="BT323" s="1989" t="e">
        <f>#REF!/10^7</f>
        <v>#REF!</v>
      </c>
      <c r="BU323" s="2002" t="e">
        <f t="shared" si="578"/>
        <v>#REF!</v>
      </c>
      <c r="BV323" s="1999" t="e">
        <f t="shared" si="675"/>
        <v>#REF!</v>
      </c>
      <c r="BW323" s="1993" t="e">
        <f>#REF!</f>
        <v>#REF!</v>
      </c>
      <c r="BX323" s="2003">
        <f t="shared" si="579"/>
        <v>0</v>
      </c>
      <c r="BY323" s="1989" t="e">
        <f>#REF!/10^7</f>
        <v>#REF!</v>
      </c>
      <c r="BZ323" s="2003">
        <f t="shared" si="580"/>
        <v>0</v>
      </c>
      <c r="CA323" s="1989" t="e">
        <f>#REF!/10^7</f>
        <v>#REF!</v>
      </c>
      <c r="CB323" s="2003">
        <f t="shared" si="581"/>
        <v>0</v>
      </c>
      <c r="CC323" s="1989" t="e">
        <f>#REF!/10^7</f>
        <v>#REF!</v>
      </c>
      <c r="CD323" s="1989" t="e">
        <f>#REF!/10^7</f>
        <v>#REF!</v>
      </c>
      <c r="CE323" s="2002" t="e">
        <f t="shared" si="582"/>
        <v>#REF!</v>
      </c>
      <c r="CF323" s="1999" t="e">
        <f t="shared" si="676"/>
        <v>#REF!</v>
      </c>
      <c r="CG323" s="1993" t="e">
        <f>#REF!</f>
        <v>#REF!</v>
      </c>
      <c r="CH323" s="2003">
        <f t="shared" si="583"/>
        <v>0</v>
      </c>
      <c r="CI323" s="1989" t="e">
        <f>#REF!/10^7</f>
        <v>#REF!</v>
      </c>
      <c r="CJ323" s="2003">
        <f t="shared" si="584"/>
        <v>0</v>
      </c>
      <c r="CK323" s="1989" t="e">
        <f>#REF!/10^7</f>
        <v>#REF!</v>
      </c>
      <c r="CL323" s="2003">
        <f t="shared" si="585"/>
        <v>0</v>
      </c>
      <c r="CM323" s="1989" t="e">
        <f>#REF!/10^7</f>
        <v>#REF!</v>
      </c>
      <c r="CN323" s="1989" t="e">
        <f>#REF!/10^7</f>
        <v>#REF!</v>
      </c>
      <c r="CO323" s="2002" t="e">
        <f t="shared" si="586"/>
        <v>#REF!</v>
      </c>
      <c r="CP323" s="1999" t="e">
        <f t="shared" si="677"/>
        <v>#REF!</v>
      </c>
      <c r="CQ323" s="1993" t="e">
        <f>#REF!</f>
        <v>#REF!</v>
      </c>
      <c r="CR323" s="2003">
        <f t="shared" si="587"/>
        <v>0</v>
      </c>
      <c r="CS323" s="1989" t="e">
        <f>#REF!/10^7</f>
        <v>#REF!</v>
      </c>
      <c r="CT323" s="2003">
        <f t="shared" si="588"/>
        <v>0</v>
      </c>
      <c r="CU323" s="1989" t="e">
        <f>#REF!/10^7</f>
        <v>#REF!</v>
      </c>
      <c r="CV323" s="2003">
        <f t="shared" si="589"/>
        <v>0</v>
      </c>
      <c r="CW323" s="1989" t="e">
        <f>#REF!/10^7</f>
        <v>#REF!</v>
      </c>
      <c r="CX323" s="1989" t="e">
        <f>#REF!/10^7</f>
        <v>#REF!</v>
      </c>
      <c r="CY323" s="2002" t="e">
        <f t="shared" si="590"/>
        <v>#REF!</v>
      </c>
      <c r="CZ323" s="1999" t="e">
        <f t="shared" si="678"/>
        <v>#REF!</v>
      </c>
      <c r="DA323" s="1993" t="e">
        <f>#REF!</f>
        <v>#REF!</v>
      </c>
      <c r="DB323" s="2003">
        <f t="shared" si="591"/>
        <v>0</v>
      </c>
      <c r="DC323" s="1989" t="e">
        <f>#REF!/10^7</f>
        <v>#REF!</v>
      </c>
      <c r="DD323" s="2003">
        <f t="shared" si="592"/>
        <v>0</v>
      </c>
      <c r="DE323" s="1989" t="e">
        <f>#REF!/10^7</f>
        <v>#REF!</v>
      </c>
      <c r="DF323" s="2003">
        <f t="shared" si="593"/>
        <v>0</v>
      </c>
      <c r="DG323" s="1989" t="e">
        <f>#REF!/10^7</f>
        <v>#REF!</v>
      </c>
      <c r="DH323" s="1989" t="e">
        <f>#REF!/10^7</f>
        <v>#REF!</v>
      </c>
      <c r="DI323" s="2002" t="e">
        <f t="shared" si="594"/>
        <v>#REF!</v>
      </c>
      <c r="DJ323" s="1999" t="e">
        <f t="shared" si="679"/>
        <v>#REF!</v>
      </c>
      <c r="DK323" s="1993" t="e">
        <f>#REF!</f>
        <v>#REF!</v>
      </c>
      <c r="DL323" s="2003">
        <f t="shared" si="595"/>
        <v>0</v>
      </c>
      <c r="DM323" s="1989" t="e">
        <f>#REF!/10^7</f>
        <v>#REF!</v>
      </c>
      <c r="DN323" s="2003">
        <f t="shared" si="596"/>
        <v>0</v>
      </c>
      <c r="DO323" s="1989" t="e">
        <f>#REF!/10^7</f>
        <v>#REF!</v>
      </c>
      <c r="DP323" s="2003">
        <f t="shared" si="597"/>
        <v>0</v>
      </c>
      <c r="DQ323" s="1989" t="e">
        <f>#REF!/10^7</f>
        <v>#REF!</v>
      </c>
      <c r="DR323" s="1989" t="e">
        <f>#REF!/10^7</f>
        <v>#REF!</v>
      </c>
      <c r="DS323" s="2002" t="e">
        <f t="shared" si="598"/>
        <v>#REF!</v>
      </c>
      <c r="DT323" s="2004" t="e">
        <f t="shared" si="680"/>
        <v>#REF!</v>
      </c>
      <c r="DU323" s="1988" t="e">
        <f>#REF!</f>
        <v>#REF!</v>
      </c>
      <c r="DV323" s="2003">
        <f t="shared" si="599"/>
        <v>0</v>
      </c>
      <c r="DW323" s="1989" t="e">
        <f>#REF!/10^7</f>
        <v>#REF!</v>
      </c>
      <c r="DX323" s="2003">
        <f t="shared" si="600"/>
        <v>0</v>
      </c>
      <c r="DY323" s="1989" t="e">
        <f>#REF!/10^7</f>
        <v>#REF!</v>
      </c>
      <c r="DZ323" s="2003">
        <f t="shared" si="601"/>
        <v>0</v>
      </c>
      <c r="EA323" s="1989" t="e">
        <f>#REF!/10^7</f>
        <v>#REF!</v>
      </c>
      <c r="EB323" s="1989" t="e">
        <f>#REF!/10^7</f>
        <v>#REF!</v>
      </c>
      <c r="EC323" s="2002" t="e">
        <f t="shared" si="602"/>
        <v>#REF!</v>
      </c>
      <c r="ED323" s="1998" t="e">
        <f t="shared" si="681"/>
        <v>#REF!</v>
      </c>
      <c r="EE323" s="2005" t="e">
        <f t="shared" si="682"/>
        <v>#REF!</v>
      </c>
      <c r="EF323" s="2003">
        <f t="shared" si="603"/>
        <v>0</v>
      </c>
      <c r="EG323" s="1989" t="e">
        <f t="shared" si="683"/>
        <v>#REF!</v>
      </c>
      <c r="EH323" s="2003">
        <f t="shared" si="604"/>
        <v>0</v>
      </c>
      <c r="EI323" s="1989" t="e">
        <f t="shared" si="684"/>
        <v>#REF!</v>
      </c>
      <c r="EJ323" s="2003">
        <f t="shared" si="605"/>
        <v>0</v>
      </c>
      <c r="EK323" s="1989" t="e">
        <f t="shared" si="685"/>
        <v>#REF!</v>
      </c>
      <c r="EL323" s="1989" t="e">
        <f t="shared" si="685"/>
        <v>#REF!</v>
      </c>
      <c r="EM323" s="2006" t="e">
        <f t="shared" si="606"/>
        <v>#REF!</v>
      </c>
      <c r="EN323" s="1999" t="e">
        <f t="shared" si="686"/>
        <v>#REF!</v>
      </c>
      <c r="EP323" s="1613" t="e">
        <f>EA323-#REF!/10^7</f>
        <v>#REF!</v>
      </c>
      <c r="EW323" s="1611" t="e">
        <v>#N/A</v>
      </c>
      <c r="EX323" s="1612" t="e">
        <v>#N/A</v>
      </c>
      <c r="EZ323" s="1650">
        <f t="shared" si="607"/>
        <v>0</v>
      </c>
    </row>
    <row r="324" spans="1:156" ht="21" customHeight="1">
      <c r="A324" s="1652">
        <v>34</v>
      </c>
      <c r="B324" s="1668" t="s">
        <v>1984</v>
      </c>
      <c r="C324" s="1662">
        <v>50</v>
      </c>
      <c r="D324" s="1646">
        <f>H324/C324*100</f>
        <v>100</v>
      </c>
      <c r="E324" s="1646"/>
      <c r="F324" s="1648" t="s">
        <v>1594</v>
      </c>
      <c r="G324" s="1648"/>
      <c r="H324" s="1648">
        <v>50</v>
      </c>
      <c r="I324" s="1648" t="s">
        <v>1667</v>
      </c>
      <c r="J324" s="1649">
        <v>2</v>
      </c>
      <c r="K324" s="1648"/>
      <c r="L324" s="1648"/>
      <c r="M324" s="1648"/>
      <c r="N324" s="1642"/>
      <c r="O324" s="2000" t="e">
        <f>#REF!</f>
        <v>#REF!</v>
      </c>
      <c r="P324" s="2003">
        <f t="shared" si="555"/>
        <v>0</v>
      </c>
      <c r="Q324" s="1989" t="e">
        <f>#REF!/10^7</f>
        <v>#REF!</v>
      </c>
      <c r="R324" s="2003">
        <f t="shared" si="556"/>
        <v>0</v>
      </c>
      <c r="S324" s="1989" t="e">
        <f>#REF!/10^7</f>
        <v>#REF!</v>
      </c>
      <c r="T324" s="2003">
        <f t="shared" si="557"/>
        <v>0</v>
      </c>
      <c r="U324" s="1989" t="e">
        <f>#REF!/10^7</f>
        <v>#REF!</v>
      </c>
      <c r="V324" s="1989" t="e">
        <f>#REF!/10^7</f>
        <v>#REF!</v>
      </c>
      <c r="W324" s="1989">
        <f t="shared" si="558"/>
        <v>0</v>
      </c>
      <c r="X324" s="1999" t="e">
        <f t="shared" si="671"/>
        <v>#REF!</v>
      </c>
      <c r="Y324" s="1993" t="e">
        <f>#REF!</f>
        <v>#REF!</v>
      </c>
      <c r="Z324" s="2003">
        <f t="shared" si="559"/>
        <v>0</v>
      </c>
      <c r="AA324" s="1989" t="e">
        <f>#REF!/10^7</f>
        <v>#REF!</v>
      </c>
      <c r="AB324" s="2003">
        <f t="shared" si="560"/>
        <v>0</v>
      </c>
      <c r="AC324" s="1989" t="e">
        <f>#REF!/10^7</f>
        <v>#REF!</v>
      </c>
      <c r="AD324" s="2003">
        <f t="shared" si="561"/>
        <v>0</v>
      </c>
      <c r="AE324" s="1989" t="e">
        <f>#REF!/10^7</f>
        <v>#REF!</v>
      </c>
      <c r="AF324" s="1989" t="e">
        <f>#REF!/10^7</f>
        <v>#REF!</v>
      </c>
      <c r="AG324" s="2002" t="e">
        <f t="shared" si="562"/>
        <v>#REF!</v>
      </c>
      <c r="AH324" s="1999" t="e">
        <f t="shared" si="670"/>
        <v>#REF!</v>
      </c>
      <c r="AI324" s="1993" t="e">
        <f>#REF!</f>
        <v>#REF!</v>
      </c>
      <c r="AJ324" s="2003">
        <f t="shared" si="563"/>
        <v>0</v>
      </c>
      <c r="AK324" s="1989" t="e">
        <f>#REF!/10^7</f>
        <v>#REF!</v>
      </c>
      <c r="AL324" s="2003">
        <f t="shared" si="564"/>
        <v>0</v>
      </c>
      <c r="AM324" s="1989" t="e">
        <f>#REF!/10^7</f>
        <v>#REF!</v>
      </c>
      <c r="AN324" s="2003">
        <f t="shared" si="565"/>
        <v>0</v>
      </c>
      <c r="AO324" s="1989" t="e">
        <f>#REF!/10^7</f>
        <v>#REF!</v>
      </c>
      <c r="AP324" s="1989" t="e">
        <f>#REF!/10^7</f>
        <v>#REF!</v>
      </c>
      <c r="AQ324" s="2002" t="e">
        <f t="shared" si="566"/>
        <v>#REF!</v>
      </c>
      <c r="AR324" s="1999" t="e">
        <f t="shared" si="672"/>
        <v>#REF!</v>
      </c>
      <c r="AS324" s="1993" t="e">
        <f>#REF!</f>
        <v>#REF!</v>
      </c>
      <c r="AT324" s="2003">
        <f t="shared" si="567"/>
        <v>0</v>
      </c>
      <c r="AU324" s="1989" t="e">
        <f>#REF!/10^7</f>
        <v>#REF!</v>
      </c>
      <c r="AV324" s="2003">
        <f t="shared" si="568"/>
        <v>0</v>
      </c>
      <c r="AW324" s="1989" t="e">
        <f>#REF!/10^7</f>
        <v>#REF!</v>
      </c>
      <c r="AX324" s="2003">
        <f t="shared" si="569"/>
        <v>0</v>
      </c>
      <c r="AY324" s="1989" t="e">
        <f>#REF!/10^7</f>
        <v>#REF!</v>
      </c>
      <c r="AZ324" s="1989" t="e">
        <f>#REF!/10^7</f>
        <v>#REF!</v>
      </c>
      <c r="BA324" s="2002" t="e">
        <f t="shared" si="570"/>
        <v>#REF!</v>
      </c>
      <c r="BB324" s="1999" t="e">
        <f t="shared" si="673"/>
        <v>#REF!</v>
      </c>
      <c r="BC324" s="1993" t="e">
        <f>#REF!</f>
        <v>#REF!</v>
      </c>
      <c r="BD324" s="2003">
        <f t="shared" si="571"/>
        <v>0</v>
      </c>
      <c r="BE324" s="1989" t="e">
        <f>#REF!/10^7</f>
        <v>#REF!</v>
      </c>
      <c r="BF324" s="2003">
        <f t="shared" si="572"/>
        <v>0</v>
      </c>
      <c r="BG324" s="1989" t="e">
        <f>#REF!/10^7</f>
        <v>#REF!</v>
      </c>
      <c r="BH324" s="2003">
        <f t="shared" si="573"/>
        <v>0</v>
      </c>
      <c r="BI324" s="1989" t="e">
        <f>#REF!/10^7</f>
        <v>#REF!</v>
      </c>
      <c r="BJ324" s="1989" t="e">
        <f>#REF!/10^7</f>
        <v>#REF!</v>
      </c>
      <c r="BK324" s="2002" t="e">
        <f t="shared" si="574"/>
        <v>#REF!</v>
      </c>
      <c r="BL324" s="1999" t="e">
        <f t="shared" si="674"/>
        <v>#REF!</v>
      </c>
      <c r="BM324" s="1993" t="e">
        <f>#REF!</f>
        <v>#REF!</v>
      </c>
      <c r="BN324" s="2003">
        <f t="shared" si="575"/>
        <v>0</v>
      </c>
      <c r="BO324" s="1989" t="e">
        <f>#REF!/10^7</f>
        <v>#REF!</v>
      </c>
      <c r="BP324" s="2003">
        <f t="shared" si="576"/>
        <v>0</v>
      </c>
      <c r="BQ324" s="1989" t="e">
        <f>#REF!/10^7</f>
        <v>#REF!</v>
      </c>
      <c r="BR324" s="2003">
        <f t="shared" si="577"/>
        <v>0</v>
      </c>
      <c r="BS324" s="1989" t="e">
        <f>#REF!/10^7</f>
        <v>#REF!</v>
      </c>
      <c r="BT324" s="1989" t="e">
        <f>#REF!/10^7</f>
        <v>#REF!</v>
      </c>
      <c r="BU324" s="2002" t="e">
        <f t="shared" si="578"/>
        <v>#REF!</v>
      </c>
      <c r="BV324" s="1999" t="e">
        <f t="shared" si="675"/>
        <v>#REF!</v>
      </c>
      <c r="BW324" s="1993" t="e">
        <f>#REF!</f>
        <v>#REF!</v>
      </c>
      <c r="BX324" s="2003">
        <f t="shared" si="579"/>
        <v>0</v>
      </c>
      <c r="BY324" s="1989" t="e">
        <f>#REF!/10^7</f>
        <v>#REF!</v>
      </c>
      <c r="BZ324" s="2003">
        <f t="shared" si="580"/>
        <v>0</v>
      </c>
      <c r="CA324" s="1989" t="e">
        <f>#REF!/10^7</f>
        <v>#REF!</v>
      </c>
      <c r="CB324" s="2003">
        <f t="shared" si="581"/>
        <v>0</v>
      </c>
      <c r="CC324" s="1989" t="e">
        <f>#REF!/10^7</f>
        <v>#REF!</v>
      </c>
      <c r="CD324" s="1989" t="e">
        <f>#REF!/10^7</f>
        <v>#REF!</v>
      </c>
      <c r="CE324" s="2002" t="e">
        <f t="shared" si="582"/>
        <v>#REF!</v>
      </c>
      <c r="CF324" s="1999" t="e">
        <f t="shared" si="676"/>
        <v>#REF!</v>
      </c>
      <c r="CG324" s="1993" t="e">
        <f>#REF!</f>
        <v>#REF!</v>
      </c>
      <c r="CH324" s="2003">
        <f t="shared" si="583"/>
        <v>0</v>
      </c>
      <c r="CI324" s="1989" t="e">
        <f>#REF!/10^7</f>
        <v>#REF!</v>
      </c>
      <c r="CJ324" s="2003">
        <f t="shared" si="584"/>
        <v>0</v>
      </c>
      <c r="CK324" s="1989" t="e">
        <f>#REF!/10^7</f>
        <v>#REF!</v>
      </c>
      <c r="CL324" s="2003">
        <f t="shared" si="585"/>
        <v>0</v>
      </c>
      <c r="CM324" s="1989" t="e">
        <f>#REF!/10^7</f>
        <v>#REF!</v>
      </c>
      <c r="CN324" s="1989" t="e">
        <f>#REF!/10^7</f>
        <v>#REF!</v>
      </c>
      <c r="CO324" s="2002" t="e">
        <f t="shared" si="586"/>
        <v>#REF!</v>
      </c>
      <c r="CP324" s="1999" t="e">
        <f t="shared" si="677"/>
        <v>#REF!</v>
      </c>
      <c r="CQ324" s="1993" t="e">
        <f>#REF!</f>
        <v>#REF!</v>
      </c>
      <c r="CR324" s="2003">
        <f t="shared" si="587"/>
        <v>0</v>
      </c>
      <c r="CS324" s="1989" t="e">
        <f>#REF!/10^7</f>
        <v>#REF!</v>
      </c>
      <c r="CT324" s="2003">
        <f t="shared" si="588"/>
        <v>0</v>
      </c>
      <c r="CU324" s="1989" t="e">
        <f>#REF!/10^7</f>
        <v>#REF!</v>
      </c>
      <c r="CV324" s="2003">
        <f t="shared" si="589"/>
        <v>0</v>
      </c>
      <c r="CW324" s="1989" t="e">
        <f>#REF!/10^7</f>
        <v>#REF!</v>
      </c>
      <c r="CX324" s="1989" t="e">
        <f>#REF!/10^7</f>
        <v>#REF!</v>
      </c>
      <c r="CY324" s="2002" t="e">
        <f t="shared" si="590"/>
        <v>#REF!</v>
      </c>
      <c r="CZ324" s="1999" t="e">
        <f t="shared" si="678"/>
        <v>#REF!</v>
      </c>
      <c r="DA324" s="1993" t="e">
        <f>#REF!</f>
        <v>#REF!</v>
      </c>
      <c r="DB324" s="2003">
        <f t="shared" si="591"/>
        <v>0</v>
      </c>
      <c r="DC324" s="1989" t="e">
        <f>#REF!/10^7</f>
        <v>#REF!</v>
      </c>
      <c r="DD324" s="2003">
        <f t="shared" si="592"/>
        <v>0</v>
      </c>
      <c r="DE324" s="1989" t="e">
        <f>#REF!/10^7</f>
        <v>#REF!</v>
      </c>
      <c r="DF324" s="2003">
        <f t="shared" si="593"/>
        <v>0</v>
      </c>
      <c r="DG324" s="1989" t="e">
        <f>#REF!/10^7</f>
        <v>#REF!</v>
      </c>
      <c r="DH324" s="1989" t="e">
        <f>#REF!/10^7</f>
        <v>#REF!</v>
      </c>
      <c r="DI324" s="2002" t="e">
        <f t="shared" si="594"/>
        <v>#REF!</v>
      </c>
      <c r="DJ324" s="1999" t="e">
        <f t="shared" si="679"/>
        <v>#REF!</v>
      </c>
      <c r="DK324" s="1993" t="e">
        <f>#REF!</f>
        <v>#REF!</v>
      </c>
      <c r="DL324" s="2003">
        <f t="shared" si="595"/>
        <v>0</v>
      </c>
      <c r="DM324" s="1989" t="e">
        <f>#REF!/10^7</f>
        <v>#REF!</v>
      </c>
      <c r="DN324" s="2003">
        <f t="shared" si="596"/>
        <v>0</v>
      </c>
      <c r="DO324" s="1989" t="e">
        <f>#REF!/10^7</f>
        <v>#REF!</v>
      </c>
      <c r="DP324" s="2003">
        <f t="shared" si="597"/>
        <v>0</v>
      </c>
      <c r="DQ324" s="1989" t="e">
        <f>#REF!/10^7</f>
        <v>#REF!</v>
      </c>
      <c r="DR324" s="1989" t="e">
        <f>#REF!/10^7</f>
        <v>#REF!</v>
      </c>
      <c r="DS324" s="2002" t="e">
        <f t="shared" si="598"/>
        <v>#REF!</v>
      </c>
      <c r="DT324" s="2004" t="e">
        <f t="shared" si="680"/>
        <v>#REF!</v>
      </c>
      <c r="DU324" s="1988" t="e">
        <f>#REF!</f>
        <v>#REF!</v>
      </c>
      <c r="DV324" s="2003">
        <f t="shared" si="599"/>
        <v>0</v>
      </c>
      <c r="DW324" s="1989" t="e">
        <f>#REF!/10^7</f>
        <v>#REF!</v>
      </c>
      <c r="DX324" s="2003">
        <f t="shared" si="600"/>
        <v>0</v>
      </c>
      <c r="DY324" s="1989" t="e">
        <f>#REF!/10^7</f>
        <v>#REF!</v>
      </c>
      <c r="DZ324" s="2003">
        <f t="shared" si="601"/>
        <v>0</v>
      </c>
      <c r="EA324" s="1989" t="e">
        <f>#REF!/10^7</f>
        <v>#REF!</v>
      </c>
      <c r="EB324" s="1989" t="e">
        <f>#REF!/10^7</f>
        <v>#REF!</v>
      </c>
      <c r="EC324" s="2002" t="e">
        <f t="shared" si="602"/>
        <v>#REF!</v>
      </c>
      <c r="ED324" s="1998" t="e">
        <f t="shared" si="681"/>
        <v>#REF!</v>
      </c>
      <c r="EE324" s="2005" t="e">
        <f t="shared" si="682"/>
        <v>#REF!</v>
      </c>
      <c r="EF324" s="2003">
        <f t="shared" si="603"/>
        <v>0</v>
      </c>
      <c r="EG324" s="1989" t="e">
        <f t="shared" si="683"/>
        <v>#REF!</v>
      </c>
      <c r="EH324" s="2003">
        <f t="shared" si="604"/>
        <v>0</v>
      </c>
      <c r="EI324" s="1989" t="e">
        <f t="shared" si="684"/>
        <v>#REF!</v>
      </c>
      <c r="EJ324" s="2003">
        <f t="shared" si="605"/>
        <v>0</v>
      </c>
      <c r="EK324" s="1989" t="e">
        <f t="shared" si="685"/>
        <v>#REF!</v>
      </c>
      <c r="EL324" s="1989" t="e">
        <f t="shared" si="685"/>
        <v>#REF!</v>
      </c>
      <c r="EM324" s="2006" t="e">
        <f t="shared" si="606"/>
        <v>#REF!</v>
      </c>
      <c r="EN324" s="1999" t="e">
        <f t="shared" si="686"/>
        <v>#REF!</v>
      </c>
      <c r="EP324" s="1613" t="e">
        <f>EA324-#REF!/10^7</f>
        <v>#REF!</v>
      </c>
      <c r="EW324" s="1611" t="e">
        <v>#N/A</v>
      </c>
      <c r="EX324" s="1612" t="e">
        <v>#N/A</v>
      </c>
      <c r="EZ324" s="1650">
        <f t="shared" si="607"/>
        <v>0</v>
      </c>
    </row>
    <row r="325" spans="1:156" ht="21" customHeight="1">
      <c r="A325" s="1652">
        <v>35</v>
      </c>
      <c r="B325" s="1668" t="s">
        <v>1985</v>
      </c>
      <c r="C325" s="1662">
        <v>30</v>
      </c>
      <c r="D325" s="1646">
        <f>H325/C325*100</f>
        <v>100</v>
      </c>
      <c r="E325" s="1646"/>
      <c r="F325" s="1648" t="s">
        <v>1594</v>
      </c>
      <c r="G325" s="1648"/>
      <c r="H325" s="1648">
        <v>30</v>
      </c>
      <c r="I325" s="1648" t="s">
        <v>1667</v>
      </c>
      <c r="J325" s="1649">
        <v>2</v>
      </c>
      <c r="K325" s="1648"/>
      <c r="L325" s="1648"/>
      <c r="M325" s="1648"/>
      <c r="N325" s="1642"/>
      <c r="O325" s="2000" t="e">
        <f>#REF!</f>
        <v>#REF!</v>
      </c>
      <c r="P325" s="2003">
        <f t="shared" si="555"/>
        <v>0</v>
      </c>
      <c r="Q325" s="1989" t="e">
        <f>#REF!/10^7</f>
        <v>#REF!</v>
      </c>
      <c r="R325" s="2003">
        <f t="shared" si="556"/>
        <v>0</v>
      </c>
      <c r="S325" s="1989" t="e">
        <f>#REF!/10^7</f>
        <v>#REF!</v>
      </c>
      <c r="T325" s="2003">
        <f t="shared" si="557"/>
        <v>0</v>
      </c>
      <c r="U325" s="1989" t="e">
        <f>#REF!/10^7</f>
        <v>#REF!</v>
      </c>
      <c r="V325" s="1989" t="e">
        <f>#REF!/10^7</f>
        <v>#REF!</v>
      </c>
      <c r="W325" s="1989">
        <f t="shared" si="558"/>
        <v>0</v>
      </c>
      <c r="X325" s="1999" t="e">
        <f t="shared" si="671"/>
        <v>#REF!</v>
      </c>
      <c r="Y325" s="1993" t="e">
        <f>#REF!</f>
        <v>#REF!</v>
      </c>
      <c r="Z325" s="2003">
        <f t="shared" si="559"/>
        <v>0</v>
      </c>
      <c r="AA325" s="1989" t="e">
        <f>#REF!/10^7</f>
        <v>#REF!</v>
      </c>
      <c r="AB325" s="2003">
        <f t="shared" si="560"/>
        <v>0</v>
      </c>
      <c r="AC325" s="1989" t="e">
        <f>#REF!/10^7</f>
        <v>#REF!</v>
      </c>
      <c r="AD325" s="2003">
        <f t="shared" si="561"/>
        <v>0</v>
      </c>
      <c r="AE325" s="1989" t="e">
        <f>#REF!/10^7</f>
        <v>#REF!</v>
      </c>
      <c r="AF325" s="1989" t="e">
        <f>#REF!/10^7</f>
        <v>#REF!</v>
      </c>
      <c r="AG325" s="2002" t="e">
        <f t="shared" si="562"/>
        <v>#REF!</v>
      </c>
      <c r="AH325" s="1999" t="e">
        <f t="shared" si="670"/>
        <v>#REF!</v>
      </c>
      <c r="AI325" s="1993" t="e">
        <f>#REF!</f>
        <v>#REF!</v>
      </c>
      <c r="AJ325" s="2003">
        <f t="shared" si="563"/>
        <v>0</v>
      </c>
      <c r="AK325" s="1989" t="e">
        <f>#REF!/10^7</f>
        <v>#REF!</v>
      </c>
      <c r="AL325" s="2003">
        <f t="shared" si="564"/>
        <v>0</v>
      </c>
      <c r="AM325" s="1989" t="e">
        <f>#REF!/10^7</f>
        <v>#REF!</v>
      </c>
      <c r="AN325" s="2003">
        <f t="shared" si="565"/>
        <v>0</v>
      </c>
      <c r="AO325" s="1989" t="e">
        <f>#REF!/10^7</f>
        <v>#REF!</v>
      </c>
      <c r="AP325" s="1989" t="e">
        <f>#REF!/10^7</f>
        <v>#REF!</v>
      </c>
      <c r="AQ325" s="2002" t="e">
        <f t="shared" si="566"/>
        <v>#REF!</v>
      </c>
      <c r="AR325" s="1999" t="e">
        <f t="shared" si="672"/>
        <v>#REF!</v>
      </c>
      <c r="AS325" s="1993" t="e">
        <f>#REF!</f>
        <v>#REF!</v>
      </c>
      <c r="AT325" s="2003">
        <f t="shared" si="567"/>
        <v>0</v>
      </c>
      <c r="AU325" s="1989" t="e">
        <f>#REF!/10^7</f>
        <v>#REF!</v>
      </c>
      <c r="AV325" s="2003">
        <f t="shared" si="568"/>
        <v>0</v>
      </c>
      <c r="AW325" s="1989" t="e">
        <f>#REF!/10^7</f>
        <v>#REF!</v>
      </c>
      <c r="AX325" s="2003">
        <f t="shared" si="569"/>
        <v>0</v>
      </c>
      <c r="AY325" s="1989" t="e">
        <f>#REF!/10^7</f>
        <v>#REF!</v>
      </c>
      <c r="AZ325" s="1989" t="e">
        <f>#REF!/10^7</f>
        <v>#REF!</v>
      </c>
      <c r="BA325" s="2002" t="e">
        <f t="shared" si="570"/>
        <v>#REF!</v>
      </c>
      <c r="BB325" s="1999" t="e">
        <f t="shared" si="673"/>
        <v>#REF!</v>
      </c>
      <c r="BC325" s="1993" t="e">
        <f>#REF!</f>
        <v>#REF!</v>
      </c>
      <c r="BD325" s="2003">
        <f t="shared" si="571"/>
        <v>0</v>
      </c>
      <c r="BE325" s="1989" t="e">
        <f>#REF!/10^7</f>
        <v>#REF!</v>
      </c>
      <c r="BF325" s="2003">
        <f t="shared" si="572"/>
        <v>0</v>
      </c>
      <c r="BG325" s="1989" t="e">
        <f>#REF!/10^7</f>
        <v>#REF!</v>
      </c>
      <c r="BH325" s="2003">
        <f t="shared" si="573"/>
        <v>0</v>
      </c>
      <c r="BI325" s="1989" t="e">
        <f>#REF!/10^7</f>
        <v>#REF!</v>
      </c>
      <c r="BJ325" s="1989" t="e">
        <f>#REF!/10^7</f>
        <v>#REF!</v>
      </c>
      <c r="BK325" s="2002" t="e">
        <f t="shared" si="574"/>
        <v>#REF!</v>
      </c>
      <c r="BL325" s="1999" t="e">
        <f t="shared" si="674"/>
        <v>#REF!</v>
      </c>
      <c r="BM325" s="1993" t="e">
        <f>#REF!</f>
        <v>#REF!</v>
      </c>
      <c r="BN325" s="2003">
        <f t="shared" si="575"/>
        <v>0</v>
      </c>
      <c r="BO325" s="1989" t="e">
        <f>#REF!/10^7</f>
        <v>#REF!</v>
      </c>
      <c r="BP325" s="2003">
        <f t="shared" si="576"/>
        <v>0</v>
      </c>
      <c r="BQ325" s="1989" t="e">
        <f>#REF!/10^7</f>
        <v>#REF!</v>
      </c>
      <c r="BR325" s="2003">
        <f t="shared" si="577"/>
        <v>0</v>
      </c>
      <c r="BS325" s="1989" t="e">
        <f>#REF!/10^7</f>
        <v>#REF!</v>
      </c>
      <c r="BT325" s="1989" t="e">
        <f>#REF!/10^7</f>
        <v>#REF!</v>
      </c>
      <c r="BU325" s="2002" t="e">
        <f t="shared" si="578"/>
        <v>#REF!</v>
      </c>
      <c r="BV325" s="1999" t="e">
        <f t="shared" si="675"/>
        <v>#REF!</v>
      </c>
      <c r="BW325" s="1993" t="e">
        <f>#REF!</f>
        <v>#REF!</v>
      </c>
      <c r="BX325" s="2003">
        <f t="shared" si="579"/>
        <v>0</v>
      </c>
      <c r="BY325" s="1989" t="e">
        <f>#REF!/10^7</f>
        <v>#REF!</v>
      </c>
      <c r="BZ325" s="2003">
        <f t="shared" si="580"/>
        <v>0</v>
      </c>
      <c r="CA325" s="1989" t="e">
        <f>#REF!/10^7</f>
        <v>#REF!</v>
      </c>
      <c r="CB325" s="2003">
        <f t="shared" si="581"/>
        <v>0</v>
      </c>
      <c r="CC325" s="1989" t="e">
        <f>#REF!/10^7</f>
        <v>#REF!</v>
      </c>
      <c r="CD325" s="1989" t="e">
        <f>#REF!/10^7</f>
        <v>#REF!</v>
      </c>
      <c r="CE325" s="2002" t="e">
        <f t="shared" si="582"/>
        <v>#REF!</v>
      </c>
      <c r="CF325" s="1999" t="e">
        <f t="shared" si="676"/>
        <v>#REF!</v>
      </c>
      <c r="CG325" s="1993" t="e">
        <f>#REF!</f>
        <v>#REF!</v>
      </c>
      <c r="CH325" s="2003">
        <f t="shared" si="583"/>
        <v>0</v>
      </c>
      <c r="CI325" s="1989" t="e">
        <f>#REF!/10^7</f>
        <v>#REF!</v>
      </c>
      <c r="CJ325" s="2003">
        <f t="shared" si="584"/>
        <v>0</v>
      </c>
      <c r="CK325" s="1989" t="e">
        <f>#REF!/10^7</f>
        <v>#REF!</v>
      </c>
      <c r="CL325" s="2003">
        <f t="shared" si="585"/>
        <v>0</v>
      </c>
      <c r="CM325" s="1989" t="e">
        <f>#REF!/10^7</f>
        <v>#REF!</v>
      </c>
      <c r="CN325" s="1989" t="e">
        <f>#REF!/10^7</f>
        <v>#REF!</v>
      </c>
      <c r="CO325" s="2002" t="e">
        <f t="shared" si="586"/>
        <v>#REF!</v>
      </c>
      <c r="CP325" s="1999" t="e">
        <f t="shared" si="677"/>
        <v>#REF!</v>
      </c>
      <c r="CQ325" s="1993" t="e">
        <f>#REF!</f>
        <v>#REF!</v>
      </c>
      <c r="CR325" s="2003">
        <f t="shared" si="587"/>
        <v>0</v>
      </c>
      <c r="CS325" s="1989" t="e">
        <f>#REF!/10^7</f>
        <v>#REF!</v>
      </c>
      <c r="CT325" s="2003">
        <f t="shared" si="588"/>
        <v>0</v>
      </c>
      <c r="CU325" s="1989" t="e">
        <f>#REF!/10^7</f>
        <v>#REF!</v>
      </c>
      <c r="CV325" s="2003">
        <f t="shared" si="589"/>
        <v>0</v>
      </c>
      <c r="CW325" s="1989" t="e">
        <f>#REF!/10^7</f>
        <v>#REF!</v>
      </c>
      <c r="CX325" s="1989" t="e">
        <f>#REF!/10^7</f>
        <v>#REF!</v>
      </c>
      <c r="CY325" s="2002" t="e">
        <f t="shared" si="590"/>
        <v>#REF!</v>
      </c>
      <c r="CZ325" s="1999" t="e">
        <f t="shared" si="678"/>
        <v>#REF!</v>
      </c>
      <c r="DA325" s="1993" t="e">
        <f>#REF!</f>
        <v>#REF!</v>
      </c>
      <c r="DB325" s="2003">
        <f t="shared" si="591"/>
        <v>0</v>
      </c>
      <c r="DC325" s="1989" t="e">
        <f>#REF!/10^7</f>
        <v>#REF!</v>
      </c>
      <c r="DD325" s="2003">
        <f t="shared" si="592"/>
        <v>0</v>
      </c>
      <c r="DE325" s="1989" t="e">
        <f>#REF!/10^7</f>
        <v>#REF!</v>
      </c>
      <c r="DF325" s="2003">
        <f t="shared" si="593"/>
        <v>0</v>
      </c>
      <c r="DG325" s="1989" t="e">
        <f>#REF!/10^7</f>
        <v>#REF!</v>
      </c>
      <c r="DH325" s="1989" t="e">
        <f>#REF!/10^7</f>
        <v>#REF!</v>
      </c>
      <c r="DI325" s="2002" t="e">
        <f t="shared" si="594"/>
        <v>#REF!</v>
      </c>
      <c r="DJ325" s="1999" t="e">
        <f t="shared" si="679"/>
        <v>#REF!</v>
      </c>
      <c r="DK325" s="1993" t="e">
        <f>#REF!</f>
        <v>#REF!</v>
      </c>
      <c r="DL325" s="2003">
        <f t="shared" si="595"/>
        <v>0</v>
      </c>
      <c r="DM325" s="1989" t="e">
        <f>#REF!/10^7</f>
        <v>#REF!</v>
      </c>
      <c r="DN325" s="2003">
        <f t="shared" si="596"/>
        <v>0</v>
      </c>
      <c r="DO325" s="1989" t="e">
        <f>#REF!/10^7</f>
        <v>#REF!</v>
      </c>
      <c r="DP325" s="2003">
        <f t="shared" si="597"/>
        <v>0</v>
      </c>
      <c r="DQ325" s="1989" t="e">
        <f>#REF!/10^7</f>
        <v>#REF!</v>
      </c>
      <c r="DR325" s="1989" t="e">
        <f>#REF!/10^7</f>
        <v>#REF!</v>
      </c>
      <c r="DS325" s="2002" t="e">
        <f t="shared" si="598"/>
        <v>#REF!</v>
      </c>
      <c r="DT325" s="2004" t="e">
        <f t="shared" si="680"/>
        <v>#REF!</v>
      </c>
      <c r="DU325" s="1988" t="e">
        <f>#REF!</f>
        <v>#REF!</v>
      </c>
      <c r="DV325" s="2003">
        <f t="shared" si="599"/>
        <v>0</v>
      </c>
      <c r="DW325" s="1989" t="e">
        <f>#REF!/10^7</f>
        <v>#REF!</v>
      </c>
      <c r="DX325" s="2003">
        <f t="shared" si="600"/>
        <v>0</v>
      </c>
      <c r="DY325" s="1989" t="e">
        <f>#REF!/10^7</f>
        <v>#REF!</v>
      </c>
      <c r="DZ325" s="2003">
        <f t="shared" si="601"/>
        <v>0</v>
      </c>
      <c r="EA325" s="1989" t="e">
        <f>#REF!/10^7</f>
        <v>#REF!</v>
      </c>
      <c r="EB325" s="1989" t="e">
        <f>#REF!/10^7</f>
        <v>#REF!</v>
      </c>
      <c r="EC325" s="2002" t="e">
        <f t="shared" si="602"/>
        <v>#REF!</v>
      </c>
      <c r="ED325" s="1998" t="e">
        <f t="shared" si="681"/>
        <v>#REF!</v>
      </c>
      <c r="EE325" s="2005" t="e">
        <f t="shared" si="682"/>
        <v>#REF!</v>
      </c>
      <c r="EF325" s="2003">
        <f t="shared" si="603"/>
        <v>0</v>
      </c>
      <c r="EG325" s="1989" t="e">
        <f t="shared" si="683"/>
        <v>#REF!</v>
      </c>
      <c r="EH325" s="2003">
        <f t="shared" si="604"/>
        <v>0</v>
      </c>
      <c r="EI325" s="1989" t="e">
        <f t="shared" si="684"/>
        <v>#REF!</v>
      </c>
      <c r="EJ325" s="2003">
        <f t="shared" si="605"/>
        <v>0</v>
      </c>
      <c r="EK325" s="1989" t="e">
        <f t="shared" si="685"/>
        <v>#REF!</v>
      </c>
      <c r="EL325" s="1989" t="e">
        <f t="shared" si="685"/>
        <v>#REF!</v>
      </c>
      <c r="EM325" s="2006" t="e">
        <f t="shared" si="606"/>
        <v>#REF!</v>
      </c>
      <c r="EN325" s="1999" t="e">
        <f t="shared" si="686"/>
        <v>#REF!</v>
      </c>
      <c r="EP325" s="1613" t="e">
        <f>EA325-#REF!/10^7</f>
        <v>#REF!</v>
      </c>
      <c r="EW325" s="1611" t="e">
        <v>#N/A</v>
      </c>
      <c r="EX325" s="1612" t="e">
        <v>#N/A</v>
      </c>
      <c r="EZ325" s="1650">
        <f t="shared" si="607"/>
        <v>0</v>
      </c>
    </row>
    <row r="326" spans="1:156" ht="21" customHeight="1">
      <c r="A326" s="1652">
        <v>36</v>
      </c>
      <c r="B326" s="1701" t="s">
        <v>1986</v>
      </c>
      <c r="C326" s="1662">
        <v>25</v>
      </c>
      <c r="D326" s="1646">
        <f>H326/C326*100</f>
        <v>100</v>
      </c>
      <c r="E326" s="1646"/>
      <c r="F326" s="1648"/>
      <c r="G326" s="1648"/>
      <c r="H326" s="1648">
        <v>25</v>
      </c>
      <c r="I326" s="1648" t="s">
        <v>1667</v>
      </c>
      <c r="J326" s="1649">
        <v>2</v>
      </c>
      <c r="K326" s="1648"/>
      <c r="L326" s="1648"/>
      <c r="M326" s="1648"/>
      <c r="N326" s="1642"/>
      <c r="O326" s="2000" t="e">
        <f>#REF!</f>
        <v>#REF!</v>
      </c>
      <c r="P326" s="2003">
        <f t="shared" si="555"/>
        <v>0</v>
      </c>
      <c r="Q326" s="1989" t="e">
        <f>#REF!/10^7</f>
        <v>#REF!</v>
      </c>
      <c r="R326" s="2003">
        <f t="shared" si="556"/>
        <v>0</v>
      </c>
      <c r="S326" s="1989" t="e">
        <f>#REF!/10^7</f>
        <v>#REF!</v>
      </c>
      <c r="T326" s="2003">
        <f t="shared" si="557"/>
        <v>0</v>
      </c>
      <c r="U326" s="1989" t="e">
        <f>#REF!/10^7</f>
        <v>#REF!</v>
      </c>
      <c r="V326" s="1989" t="e">
        <f>#REF!/10^7</f>
        <v>#REF!</v>
      </c>
      <c r="W326" s="1989">
        <f t="shared" si="558"/>
        <v>0</v>
      </c>
      <c r="X326" s="1999" t="e">
        <f t="shared" si="671"/>
        <v>#REF!</v>
      </c>
      <c r="Y326" s="1993" t="e">
        <f>#REF!</f>
        <v>#REF!</v>
      </c>
      <c r="Z326" s="2003">
        <f t="shared" si="559"/>
        <v>0</v>
      </c>
      <c r="AA326" s="1989" t="e">
        <f>#REF!/10^7</f>
        <v>#REF!</v>
      </c>
      <c r="AB326" s="2003">
        <f t="shared" si="560"/>
        <v>0</v>
      </c>
      <c r="AC326" s="1989" t="e">
        <f>#REF!/10^7</f>
        <v>#REF!</v>
      </c>
      <c r="AD326" s="2003">
        <f t="shared" si="561"/>
        <v>0</v>
      </c>
      <c r="AE326" s="1989" t="e">
        <f>#REF!/10^7</f>
        <v>#REF!</v>
      </c>
      <c r="AF326" s="1989" t="e">
        <f>#REF!/10^7</f>
        <v>#REF!</v>
      </c>
      <c r="AG326" s="2002" t="e">
        <f t="shared" si="562"/>
        <v>#REF!</v>
      </c>
      <c r="AH326" s="1999" t="e">
        <f t="shared" si="670"/>
        <v>#REF!</v>
      </c>
      <c r="AI326" s="1993" t="e">
        <f>#REF!</f>
        <v>#REF!</v>
      </c>
      <c r="AJ326" s="2003">
        <f t="shared" si="563"/>
        <v>0</v>
      </c>
      <c r="AK326" s="1989" t="e">
        <f>#REF!/10^7</f>
        <v>#REF!</v>
      </c>
      <c r="AL326" s="2003">
        <f t="shared" si="564"/>
        <v>0</v>
      </c>
      <c r="AM326" s="1989" t="e">
        <f>#REF!/10^7</f>
        <v>#REF!</v>
      </c>
      <c r="AN326" s="2003">
        <f t="shared" si="565"/>
        <v>0</v>
      </c>
      <c r="AO326" s="1989" t="e">
        <f>#REF!/10^7</f>
        <v>#REF!</v>
      </c>
      <c r="AP326" s="1989" t="e">
        <f>#REF!/10^7</f>
        <v>#REF!</v>
      </c>
      <c r="AQ326" s="2002" t="e">
        <f t="shared" si="566"/>
        <v>#REF!</v>
      </c>
      <c r="AR326" s="1999" t="e">
        <f t="shared" si="672"/>
        <v>#REF!</v>
      </c>
      <c r="AS326" s="1993" t="e">
        <f>#REF!</f>
        <v>#REF!</v>
      </c>
      <c r="AT326" s="2003">
        <f t="shared" si="567"/>
        <v>0</v>
      </c>
      <c r="AU326" s="1989" t="e">
        <f>#REF!/10^7</f>
        <v>#REF!</v>
      </c>
      <c r="AV326" s="2003">
        <f t="shared" si="568"/>
        <v>0</v>
      </c>
      <c r="AW326" s="1989" t="e">
        <f>#REF!/10^7</f>
        <v>#REF!</v>
      </c>
      <c r="AX326" s="2003">
        <f t="shared" si="569"/>
        <v>0</v>
      </c>
      <c r="AY326" s="1989" t="e">
        <f>#REF!/10^7</f>
        <v>#REF!</v>
      </c>
      <c r="AZ326" s="1989" t="e">
        <f>#REF!/10^7</f>
        <v>#REF!</v>
      </c>
      <c r="BA326" s="2002" t="e">
        <f t="shared" si="570"/>
        <v>#REF!</v>
      </c>
      <c r="BB326" s="1999" t="e">
        <f t="shared" si="673"/>
        <v>#REF!</v>
      </c>
      <c r="BC326" s="1993" t="e">
        <f>#REF!</f>
        <v>#REF!</v>
      </c>
      <c r="BD326" s="2003">
        <f t="shared" si="571"/>
        <v>0</v>
      </c>
      <c r="BE326" s="1989" t="e">
        <f>#REF!/10^7</f>
        <v>#REF!</v>
      </c>
      <c r="BF326" s="2003">
        <f t="shared" si="572"/>
        <v>0</v>
      </c>
      <c r="BG326" s="1989" t="e">
        <f>#REF!/10^7</f>
        <v>#REF!</v>
      </c>
      <c r="BH326" s="2003">
        <f t="shared" si="573"/>
        <v>0</v>
      </c>
      <c r="BI326" s="1989" t="e">
        <f>#REF!/10^7</f>
        <v>#REF!</v>
      </c>
      <c r="BJ326" s="1989" t="e">
        <f>#REF!/10^7</f>
        <v>#REF!</v>
      </c>
      <c r="BK326" s="2002" t="e">
        <f t="shared" si="574"/>
        <v>#REF!</v>
      </c>
      <c r="BL326" s="1999" t="e">
        <f t="shared" si="674"/>
        <v>#REF!</v>
      </c>
      <c r="BM326" s="1993" t="e">
        <f>#REF!</f>
        <v>#REF!</v>
      </c>
      <c r="BN326" s="2003">
        <f t="shared" si="575"/>
        <v>0</v>
      </c>
      <c r="BO326" s="1989" t="e">
        <f>#REF!/10^7</f>
        <v>#REF!</v>
      </c>
      <c r="BP326" s="2003">
        <f t="shared" si="576"/>
        <v>0</v>
      </c>
      <c r="BQ326" s="1989" t="e">
        <f>#REF!/10^7</f>
        <v>#REF!</v>
      </c>
      <c r="BR326" s="2003">
        <f t="shared" si="577"/>
        <v>0</v>
      </c>
      <c r="BS326" s="1989" t="e">
        <f>#REF!/10^7</f>
        <v>#REF!</v>
      </c>
      <c r="BT326" s="1989" t="e">
        <f>#REF!/10^7</f>
        <v>#REF!</v>
      </c>
      <c r="BU326" s="2002" t="e">
        <f t="shared" si="578"/>
        <v>#REF!</v>
      </c>
      <c r="BV326" s="1999" t="e">
        <f t="shared" si="675"/>
        <v>#REF!</v>
      </c>
      <c r="BW326" s="1993" t="e">
        <f>#REF!</f>
        <v>#REF!</v>
      </c>
      <c r="BX326" s="2003">
        <f t="shared" si="579"/>
        <v>0</v>
      </c>
      <c r="BY326" s="1989" t="e">
        <f>#REF!/10^7</f>
        <v>#REF!</v>
      </c>
      <c r="BZ326" s="2003">
        <f t="shared" si="580"/>
        <v>0</v>
      </c>
      <c r="CA326" s="1989" t="e">
        <f>#REF!/10^7</f>
        <v>#REF!</v>
      </c>
      <c r="CB326" s="2003">
        <f t="shared" si="581"/>
        <v>0</v>
      </c>
      <c r="CC326" s="1989" t="e">
        <f>#REF!/10^7</f>
        <v>#REF!</v>
      </c>
      <c r="CD326" s="1989" t="e">
        <f>#REF!/10^7</f>
        <v>#REF!</v>
      </c>
      <c r="CE326" s="2002" t="e">
        <f t="shared" si="582"/>
        <v>#REF!</v>
      </c>
      <c r="CF326" s="1999" t="e">
        <f t="shared" si="676"/>
        <v>#REF!</v>
      </c>
      <c r="CG326" s="1993" t="e">
        <f>#REF!</f>
        <v>#REF!</v>
      </c>
      <c r="CH326" s="2003">
        <f t="shared" si="583"/>
        <v>0</v>
      </c>
      <c r="CI326" s="1989" t="e">
        <f>#REF!/10^7</f>
        <v>#REF!</v>
      </c>
      <c r="CJ326" s="2003">
        <f t="shared" si="584"/>
        <v>0</v>
      </c>
      <c r="CK326" s="1989" t="e">
        <f>#REF!/10^7</f>
        <v>#REF!</v>
      </c>
      <c r="CL326" s="2003">
        <f t="shared" si="585"/>
        <v>0</v>
      </c>
      <c r="CM326" s="1989" t="e">
        <f>#REF!/10^7</f>
        <v>#REF!</v>
      </c>
      <c r="CN326" s="1989" t="e">
        <f>#REF!/10^7</f>
        <v>#REF!</v>
      </c>
      <c r="CO326" s="2002" t="e">
        <f t="shared" si="586"/>
        <v>#REF!</v>
      </c>
      <c r="CP326" s="1999" t="e">
        <f t="shared" si="677"/>
        <v>#REF!</v>
      </c>
      <c r="CQ326" s="1993" t="e">
        <f>#REF!</f>
        <v>#REF!</v>
      </c>
      <c r="CR326" s="2003">
        <f t="shared" si="587"/>
        <v>0</v>
      </c>
      <c r="CS326" s="1989" t="e">
        <f>#REF!/10^7</f>
        <v>#REF!</v>
      </c>
      <c r="CT326" s="2003">
        <f t="shared" si="588"/>
        <v>0</v>
      </c>
      <c r="CU326" s="1989" t="e">
        <f>#REF!/10^7</f>
        <v>#REF!</v>
      </c>
      <c r="CV326" s="2003">
        <f t="shared" si="589"/>
        <v>0</v>
      </c>
      <c r="CW326" s="1989" t="e">
        <f>#REF!/10^7</f>
        <v>#REF!</v>
      </c>
      <c r="CX326" s="1989" t="e">
        <f>#REF!/10^7</f>
        <v>#REF!</v>
      </c>
      <c r="CY326" s="2002" t="e">
        <f t="shared" si="590"/>
        <v>#REF!</v>
      </c>
      <c r="CZ326" s="1999" t="e">
        <f t="shared" si="678"/>
        <v>#REF!</v>
      </c>
      <c r="DA326" s="1993" t="e">
        <f>#REF!</f>
        <v>#REF!</v>
      </c>
      <c r="DB326" s="2003">
        <f t="shared" si="591"/>
        <v>0</v>
      </c>
      <c r="DC326" s="1989" t="e">
        <f>#REF!/10^7</f>
        <v>#REF!</v>
      </c>
      <c r="DD326" s="2003">
        <f t="shared" si="592"/>
        <v>0</v>
      </c>
      <c r="DE326" s="1989" t="e">
        <f>#REF!/10^7</f>
        <v>#REF!</v>
      </c>
      <c r="DF326" s="2003">
        <f t="shared" si="593"/>
        <v>0</v>
      </c>
      <c r="DG326" s="1989" t="e">
        <f>#REF!/10^7</f>
        <v>#REF!</v>
      </c>
      <c r="DH326" s="1989" t="e">
        <f>#REF!/10^7</f>
        <v>#REF!</v>
      </c>
      <c r="DI326" s="2002" t="e">
        <f t="shared" si="594"/>
        <v>#REF!</v>
      </c>
      <c r="DJ326" s="1999" t="e">
        <f t="shared" si="679"/>
        <v>#REF!</v>
      </c>
      <c r="DK326" s="1993" t="e">
        <f>#REF!</f>
        <v>#REF!</v>
      </c>
      <c r="DL326" s="2003">
        <f t="shared" si="595"/>
        <v>0</v>
      </c>
      <c r="DM326" s="1989" t="e">
        <f>#REF!/10^7</f>
        <v>#REF!</v>
      </c>
      <c r="DN326" s="2003">
        <f t="shared" si="596"/>
        <v>0</v>
      </c>
      <c r="DO326" s="1989" t="e">
        <f>#REF!/10^7</f>
        <v>#REF!</v>
      </c>
      <c r="DP326" s="2003">
        <f t="shared" si="597"/>
        <v>0</v>
      </c>
      <c r="DQ326" s="1989" t="e">
        <f>#REF!/10^7</f>
        <v>#REF!</v>
      </c>
      <c r="DR326" s="1989" t="e">
        <f>#REF!/10^7</f>
        <v>#REF!</v>
      </c>
      <c r="DS326" s="2002" t="e">
        <f t="shared" si="598"/>
        <v>#REF!</v>
      </c>
      <c r="DT326" s="2004" t="e">
        <f t="shared" si="680"/>
        <v>#REF!</v>
      </c>
      <c r="DU326" s="1988" t="e">
        <f>#REF!</f>
        <v>#REF!</v>
      </c>
      <c r="DV326" s="2003">
        <f t="shared" si="599"/>
        <v>0</v>
      </c>
      <c r="DW326" s="1989" t="e">
        <f>#REF!/10^7</f>
        <v>#REF!</v>
      </c>
      <c r="DX326" s="2003">
        <f t="shared" si="600"/>
        <v>0</v>
      </c>
      <c r="DY326" s="1989" t="e">
        <f>#REF!/10^7</f>
        <v>#REF!</v>
      </c>
      <c r="DZ326" s="2003">
        <f t="shared" si="601"/>
        <v>0</v>
      </c>
      <c r="EA326" s="1989" t="e">
        <f>#REF!/10^7</f>
        <v>#REF!</v>
      </c>
      <c r="EB326" s="1989" t="e">
        <f>#REF!/10^7</f>
        <v>#REF!</v>
      </c>
      <c r="EC326" s="2002" t="e">
        <f t="shared" si="602"/>
        <v>#REF!</v>
      </c>
      <c r="ED326" s="1998" t="e">
        <f t="shared" si="681"/>
        <v>#REF!</v>
      </c>
      <c r="EE326" s="2005" t="e">
        <f t="shared" si="682"/>
        <v>#REF!</v>
      </c>
      <c r="EF326" s="2003">
        <f t="shared" si="603"/>
        <v>0</v>
      </c>
      <c r="EG326" s="1989"/>
      <c r="EH326" s="2003">
        <f t="shared" si="604"/>
        <v>0</v>
      </c>
      <c r="EI326" s="1989" t="e">
        <f t="shared" si="684"/>
        <v>#REF!</v>
      </c>
      <c r="EJ326" s="2003">
        <f t="shared" si="605"/>
        <v>0</v>
      </c>
      <c r="EK326" s="1989" t="e">
        <f t="shared" si="685"/>
        <v>#REF!</v>
      </c>
      <c r="EL326" s="1989" t="e">
        <f t="shared" si="685"/>
        <v>#REF!</v>
      </c>
      <c r="EM326" s="2006" t="e">
        <f t="shared" si="606"/>
        <v>#REF!</v>
      </c>
      <c r="EN326" s="1999" t="e">
        <f t="shared" si="686"/>
        <v>#REF!</v>
      </c>
      <c r="EP326" s="1613" t="e">
        <f>EA326-#REF!/10^7</f>
        <v>#REF!</v>
      </c>
      <c r="EW326" s="1611" t="e">
        <v>#N/A</v>
      </c>
      <c r="EX326" s="1612" t="e">
        <v>#N/A</v>
      </c>
      <c r="EZ326" s="1650">
        <f t="shared" si="607"/>
        <v>0</v>
      </c>
    </row>
    <row r="327" spans="1:156" ht="21" customHeight="1">
      <c r="A327" s="1652"/>
      <c r="B327" s="1644"/>
      <c r="C327" s="1662"/>
      <c r="D327" s="1648"/>
      <c r="E327" s="1648"/>
      <c r="F327" s="1648"/>
      <c r="G327" s="1648"/>
      <c r="H327" s="1648"/>
      <c r="I327" s="1648"/>
      <c r="J327" s="1649"/>
      <c r="K327" s="1648"/>
      <c r="L327" s="1648"/>
      <c r="M327" s="1648"/>
      <c r="N327" s="1642"/>
      <c r="O327" s="2000"/>
      <c r="P327" s="2003">
        <f t="shared" si="555"/>
        <v>0</v>
      </c>
      <c r="Q327" s="1989"/>
      <c r="R327" s="2003">
        <f t="shared" si="556"/>
        <v>0</v>
      </c>
      <c r="S327" s="1989"/>
      <c r="T327" s="2003">
        <f t="shared" si="557"/>
        <v>0</v>
      </c>
      <c r="U327" s="1989"/>
      <c r="V327" s="1989"/>
      <c r="W327" s="1989">
        <f t="shared" si="558"/>
        <v>0</v>
      </c>
      <c r="X327" s="1999">
        <f t="shared" si="671"/>
        <v>0</v>
      </c>
      <c r="Y327" s="1993"/>
      <c r="Z327" s="2003">
        <f t="shared" si="559"/>
        <v>0</v>
      </c>
      <c r="AA327" s="1989"/>
      <c r="AB327" s="2003">
        <f t="shared" si="560"/>
        <v>0</v>
      </c>
      <c r="AC327" s="1989"/>
      <c r="AD327" s="2003">
        <f t="shared" si="561"/>
        <v>0</v>
      </c>
      <c r="AE327" s="1989"/>
      <c r="AF327" s="1989"/>
      <c r="AG327" s="2002">
        <f t="shared" si="562"/>
        <v>0</v>
      </c>
      <c r="AH327" s="1999">
        <f t="shared" si="670"/>
        <v>0</v>
      </c>
      <c r="AI327" s="1993"/>
      <c r="AJ327" s="2003">
        <f t="shared" si="563"/>
        <v>0</v>
      </c>
      <c r="AK327" s="1989"/>
      <c r="AL327" s="2003">
        <f t="shared" si="564"/>
        <v>0</v>
      </c>
      <c r="AM327" s="1989"/>
      <c r="AN327" s="2003">
        <f t="shared" si="565"/>
        <v>0</v>
      </c>
      <c r="AO327" s="1989"/>
      <c r="AP327" s="1989"/>
      <c r="AQ327" s="2002">
        <f t="shared" si="566"/>
        <v>0</v>
      </c>
      <c r="AR327" s="1999">
        <f t="shared" si="672"/>
        <v>0</v>
      </c>
      <c r="AS327" s="1993"/>
      <c r="AT327" s="2003">
        <f t="shared" si="567"/>
        <v>0</v>
      </c>
      <c r="AU327" s="1989"/>
      <c r="AV327" s="2003">
        <f t="shared" si="568"/>
        <v>0</v>
      </c>
      <c r="AW327" s="1989"/>
      <c r="AX327" s="2003">
        <f t="shared" si="569"/>
        <v>0</v>
      </c>
      <c r="AY327" s="1989"/>
      <c r="AZ327" s="1989"/>
      <c r="BA327" s="2002">
        <f t="shared" si="570"/>
        <v>0</v>
      </c>
      <c r="BB327" s="1999">
        <f t="shared" si="673"/>
        <v>0</v>
      </c>
      <c r="BC327" s="1993"/>
      <c r="BD327" s="2003">
        <f t="shared" si="571"/>
        <v>0</v>
      </c>
      <c r="BE327" s="1989"/>
      <c r="BF327" s="2003">
        <f t="shared" si="572"/>
        <v>0</v>
      </c>
      <c r="BG327" s="1989"/>
      <c r="BH327" s="2003">
        <f t="shared" si="573"/>
        <v>0</v>
      </c>
      <c r="BI327" s="1989"/>
      <c r="BJ327" s="1989"/>
      <c r="BK327" s="2002">
        <f t="shared" si="574"/>
        <v>0</v>
      </c>
      <c r="BL327" s="1999">
        <f t="shared" si="674"/>
        <v>0</v>
      </c>
      <c r="BM327" s="1993"/>
      <c r="BN327" s="2003">
        <f t="shared" si="575"/>
        <v>0</v>
      </c>
      <c r="BO327" s="1989"/>
      <c r="BP327" s="2003">
        <f t="shared" si="576"/>
        <v>0</v>
      </c>
      <c r="BQ327" s="1989"/>
      <c r="BR327" s="2003">
        <f t="shared" si="577"/>
        <v>0</v>
      </c>
      <c r="BS327" s="1989"/>
      <c r="BT327" s="1989"/>
      <c r="BU327" s="2002">
        <f t="shared" si="578"/>
        <v>0</v>
      </c>
      <c r="BV327" s="1999">
        <f t="shared" si="675"/>
        <v>0</v>
      </c>
      <c r="BW327" s="1993"/>
      <c r="BX327" s="2003">
        <f t="shared" si="579"/>
        <v>0</v>
      </c>
      <c r="BY327" s="1989"/>
      <c r="BZ327" s="2003">
        <f t="shared" si="580"/>
        <v>0</v>
      </c>
      <c r="CA327" s="1989"/>
      <c r="CB327" s="2003">
        <f t="shared" si="581"/>
        <v>0</v>
      </c>
      <c r="CC327" s="1989"/>
      <c r="CD327" s="1989"/>
      <c r="CE327" s="2002">
        <f t="shared" si="582"/>
        <v>0</v>
      </c>
      <c r="CF327" s="1999">
        <f t="shared" si="676"/>
        <v>0</v>
      </c>
      <c r="CG327" s="1993"/>
      <c r="CH327" s="2003">
        <f t="shared" si="583"/>
        <v>0</v>
      </c>
      <c r="CI327" s="1989"/>
      <c r="CJ327" s="2003">
        <f t="shared" si="584"/>
        <v>0</v>
      </c>
      <c r="CK327" s="1989"/>
      <c r="CL327" s="2003">
        <f t="shared" si="585"/>
        <v>0</v>
      </c>
      <c r="CM327" s="1989"/>
      <c r="CN327" s="1989"/>
      <c r="CO327" s="2002">
        <f t="shared" si="586"/>
        <v>0</v>
      </c>
      <c r="CP327" s="1999">
        <f t="shared" si="677"/>
        <v>0</v>
      </c>
      <c r="CQ327" s="1993"/>
      <c r="CR327" s="2003">
        <f t="shared" si="587"/>
        <v>0</v>
      </c>
      <c r="CS327" s="1989"/>
      <c r="CT327" s="2003">
        <f t="shared" si="588"/>
        <v>0</v>
      </c>
      <c r="CU327" s="1989"/>
      <c r="CV327" s="2003">
        <f t="shared" si="589"/>
        <v>0</v>
      </c>
      <c r="CW327" s="1989"/>
      <c r="CX327" s="1989"/>
      <c r="CY327" s="2002">
        <f t="shared" si="590"/>
        <v>0</v>
      </c>
      <c r="CZ327" s="1999">
        <f t="shared" si="678"/>
        <v>0</v>
      </c>
      <c r="DA327" s="1993"/>
      <c r="DB327" s="2003">
        <f t="shared" si="591"/>
        <v>0</v>
      </c>
      <c r="DC327" s="1989"/>
      <c r="DD327" s="2003">
        <f t="shared" si="592"/>
        <v>0</v>
      </c>
      <c r="DE327" s="1989"/>
      <c r="DF327" s="2003">
        <f t="shared" si="593"/>
        <v>0</v>
      </c>
      <c r="DG327" s="1989"/>
      <c r="DH327" s="1989"/>
      <c r="DI327" s="2002">
        <f t="shared" si="594"/>
        <v>0</v>
      </c>
      <c r="DJ327" s="1999">
        <f t="shared" si="679"/>
        <v>0</v>
      </c>
      <c r="DK327" s="1993"/>
      <c r="DL327" s="2003">
        <f t="shared" si="595"/>
        <v>0</v>
      </c>
      <c r="DM327" s="1989"/>
      <c r="DN327" s="2003">
        <f t="shared" si="596"/>
        <v>0</v>
      </c>
      <c r="DO327" s="1989"/>
      <c r="DP327" s="2003">
        <f t="shared" si="597"/>
        <v>0</v>
      </c>
      <c r="DQ327" s="1989"/>
      <c r="DR327" s="1989"/>
      <c r="DS327" s="2002">
        <f t="shared" si="598"/>
        <v>0</v>
      </c>
      <c r="DT327" s="2004">
        <f t="shared" si="680"/>
        <v>0</v>
      </c>
      <c r="DU327" s="2028"/>
      <c r="DV327" s="2003">
        <f t="shared" si="599"/>
        <v>0</v>
      </c>
      <c r="DW327" s="1989"/>
      <c r="DX327" s="2003">
        <f t="shared" si="600"/>
        <v>0</v>
      </c>
      <c r="DY327" s="1989"/>
      <c r="DZ327" s="2003">
        <f t="shared" si="601"/>
        <v>0</v>
      </c>
      <c r="EA327" s="1989"/>
      <c r="EB327" s="1989"/>
      <c r="EC327" s="2002">
        <f t="shared" si="602"/>
        <v>0</v>
      </c>
      <c r="ED327" s="1998">
        <f t="shared" si="681"/>
        <v>0</v>
      </c>
      <c r="EE327" s="2005">
        <f t="shared" si="682"/>
        <v>0</v>
      </c>
      <c r="EF327" s="2003">
        <f t="shared" si="603"/>
        <v>0</v>
      </c>
      <c r="EG327" s="1989">
        <f>Q327+AA327+AK327+AU327+BE327+BO327+BY327+CI327+CS327+DC327+DM327+DW327</f>
        <v>0</v>
      </c>
      <c r="EH327" s="2003">
        <f t="shared" si="604"/>
        <v>0</v>
      </c>
      <c r="EI327" s="1989">
        <f t="shared" si="684"/>
        <v>0</v>
      </c>
      <c r="EJ327" s="2003">
        <f t="shared" si="605"/>
        <v>0</v>
      </c>
      <c r="EK327" s="1989">
        <f t="shared" si="685"/>
        <v>0</v>
      </c>
      <c r="EL327" s="1989">
        <f t="shared" si="685"/>
        <v>0</v>
      </c>
      <c r="EM327" s="2006">
        <f t="shared" si="606"/>
        <v>0</v>
      </c>
      <c r="EN327" s="1999">
        <f t="shared" si="686"/>
        <v>0</v>
      </c>
      <c r="EP327" s="1613" t="e">
        <f>EA327-#REF!/10^7</f>
        <v>#REF!</v>
      </c>
      <c r="EW327" s="1611" t="e">
        <v>#N/A</v>
      </c>
      <c r="EX327" s="1612" t="e">
        <v>#N/A</v>
      </c>
      <c r="EZ327" s="1650">
        <f t="shared" si="607"/>
        <v>0</v>
      </c>
    </row>
    <row r="328" spans="1:156" s="1660" customFormat="1" ht="21" customHeight="1">
      <c r="A328" s="1637"/>
      <c r="B328" s="1654" t="s">
        <v>211</v>
      </c>
      <c r="C328" s="1655"/>
      <c r="D328" s="1656"/>
      <c r="E328" s="1656"/>
      <c r="F328" s="1656"/>
      <c r="G328" s="1656"/>
      <c r="H328" s="1656"/>
      <c r="I328" s="1656"/>
      <c r="J328" s="1657"/>
      <c r="K328" s="1656"/>
      <c r="L328" s="1656"/>
      <c r="M328" s="1656"/>
      <c r="N328" s="1658"/>
      <c r="O328" s="2007" t="e">
        <f>SUM(O291:O327)</f>
        <v>#REF!</v>
      </c>
      <c r="P328" s="2003">
        <f t="shared" si="555"/>
        <v>0</v>
      </c>
      <c r="Q328" s="1826" t="e">
        <f>SUM(Q291:Q327)</f>
        <v>#REF!</v>
      </c>
      <c r="R328" s="2003">
        <f t="shared" si="556"/>
        <v>0</v>
      </c>
      <c r="S328" s="1826" t="e">
        <f>SUM(S291:S327)</f>
        <v>#REF!</v>
      </c>
      <c r="T328" s="2003">
        <f t="shared" si="557"/>
        <v>0</v>
      </c>
      <c r="U328" s="1826" t="e">
        <f>SUM(U291:U327)</f>
        <v>#REF!</v>
      </c>
      <c r="V328" s="1826"/>
      <c r="W328" s="1989">
        <f t="shared" si="558"/>
        <v>0</v>
      </c>
      <c r="X328" s="2008" t="e">
        <f t="shared" ref="X328:AF328" si="689">SUM(X291:X327)</f>
        <v>#REF!</v>
      </c>
      <c r="Y328" s="2007" t="e">
        <f t="shared" si="689"/>
        <v>#REF!</v>
      </c>
      <c r="Z328" s="2003">
        <f t="shared" si="559"/>
        <v>0</v>
      </c>
      <c r="AA328" s="1826" t="e">
        <f t="shared" si="689"/>
        <v>#REF!</v>
      </c>
      <c r="AB328" s="2003">
        <f t="shared" si="560"/>
        <v>0</v>
      </c>
      <c r="AC328" s="1826" t="e">
        <f t="shared" si="689"/>
        <v>#REF!</v>
      </c>
      <c r="AD328" s="2003">
        <f t="shared" si="561"/>
        <v>0</v>
      </c>
      <c r="AE328" s="1826" t="e">
        <f t="shared" si="689"/>
        <v>#REF!</v>
      </c>
      <c r="AF328" s="1826" t="e">
        <f t="shared" si="689"/>
        <v>#REF!</v>
      </c>
      <c r="AG328" s="2002" t="e">
        <f t="shared" si="562"/>
        <v>#REF!</v>
      </c>
      <c r="AH328" s="2008" t="e">
        <f t="shared" ref="AH328:AP328" si="690">SUM(AH291:AH327)</f>
        <v>#REF!</v>
      </c>
      <c r="AI328" s="2007" t="e">
        <f t="shared" si="690"/>
        <v>#REF!</v>
      </c>
      <c r="AJ328" s="2003">
        <f t="shared" si="563"/>
        <v>0</v>
      </c>
      <c r="AK328" s="1826" t="e">
        <f t="shared" si="690"/>
        <v>#REF!</v>
      </c>
      <c r="AL328" s="2003">
        <f t="shared" si="564"/>
        <v>0</v>
      </c>
      <c r="AM328" s="1826" t="e">
        <f t="shared" si="690"/>
        <v>#REF!</v>
      </c>
      <c r="AN328" s="2003">
        <f t="shared" si="565"/>
        <v>0</v>
      </c>
      <c r="AO328" s="1826" t="e">
        <f t="shared" si="690"/>
        <v>#REF!</v>
      </c>
      <c r="AP328" s="1826" t="e">
        <f t="shared" si="690"/>
        <v>#REF!</v>
      </c>
      <c r="AQ328" s="2002" t="e">
        <f t="shared" si="566"/>
        <v>#REF!</v>
      </c>
      <c r="AR328" s="2008" t="e">
        <f t="shared" ref="AR328:AZ328" si="691">SUM(AR291:AR327)</f>
        <v>#REF!</v>
      </c>
      <c r="AS328" s="2007" t="e">
        <f t="shared" si="691"/>
        <v>#REF!</v>
      </c>
      <c r="AT328" s="2003">
        <f t="shared" si="567"/>
        <v>0</v>
      </c>
      <c r="AU328" s="1826" t="e">
        <f t="shared" si="691"/>
        <v>#REF!</v>
      </c>
      <c r="AV328" s="2003">
        <f t="shared" si="568"/>
        <v>0</v>
      </c>
      <c r="AW328" s="1826" t="e">
        <f t="shared" si="691"/>
        <v>#REF!</v>
      </c>
      <c r="AX328" s="2003">
        <f t="shared" si="569"/>
        <v>0</v>
      </c>
      <c r="AY328" s="1826" t="e">
        <f t="shared" si="691"/>
        <v>#REF!</v>
      </c>
      <c r="AZ328" s="1826" t="e">
        <f t="shared" si="691"/>
        <v>#REF!</v>
      </c>
      <c r="BA328" s="2002" t="e">
        <f t="shared" si="570"/>
        <v>#REF!</v>
      </c>
      <c r="BB328" s="2008" t="e">
        <f t="shared" ref="BB328:BJ328" si="692">SUM(BB291:BB327)</f>
        <v>#REF!</v>
      </c>
      <c r="BC328" s="2007" t="e">
        <f t="shared" si="692"/>
        <v>#REF!</v>
      </c>
      <c r="BD328" s="2003">
        <f t="shared" si="571"/>
        <v>0</v>
      </c>
      <c r="BE328" s="1826" t="e">
        <f t="shared" si="692"/>
        <v>#REF!</v>
      </c>
      <c r="BF328" s="2003">
        <f t="shared" si="572"/>
        <v>0</v>
      </c>
      <c r="BG328" s="1826" t="e">
        <f t="shared" si="692"/>
        <v>#REF!</v>
      </c>
      <c r="BH328" s="2003">
        <f t="shared" si="573"/>
        <v>0</v>
      </c>
      <c r="BI328" s="1826" t="e">
        <f t="shared" si="692"/>
        <v>#REF!</v>
      </c>
      <c r="BJ328" s="1826" t="e">
        <f t="shared" si="692"/>
        <v>#REF!</v>
      </c>
      <c r="BK328" s="2002" t="e">
        <f t="shared" si="574"/>
        <v>#REF!</v>
      </c>
      <c r="BL328" s="2008" t="e">
        <f t="shared" ref="BL328:BT328" si="693">SUM(BL291:BL327)</f>
        <v>#REF!</v>
      </c>
      <c r="BM328" s="2007" t="e">
        <f t="shared" si="693"/>
        <v>#REF!</v>
      </c>
      <c r="BN328" s="2003">
        <f t="shared" si="575"/>
        <v>0</v>
      </c>
      <c r="BO328" s="1826" t="e">
        <f t="shared" si="693"/>
        <v>#REF!</v>
      </c>
      <c r="BP328" s="2003">
        <f t="shared" si="576"/>
        <v>0</v>
      </c>
      <c r="BQ328" s="1826" t="e">
        <f t="shared" si="693"/>
        <v>#REF!</v>
      </c>
      <c r="BR328" s="2003">
        <f t="shared" si="577"/>
        <v>0</v>
      </c>
      <c r="BS328" s="1826" t="e">
        <f t="shared" si="693"/>
        <v>#REF!</v>
      </c>
      <c r="BT328" s="1826" t="e">
        <f t="shared" si="693"/>
        <v>#REF!</v>
      </c>
      <c r="BU328" s="2002" t="e">
        <f t="shared" si="578"/>
        <v>#REF!</v>
      </c>
      <c r="BV328" s="2008" t="e">
        <f t="shared" ref="BV328:CD328" si="694">SUM(BV291:BV327)</f>
        <v>#REF!</v>
      </c>
      <c r="BW328" s="2007" t="e">
        <f t="shared" si="694"/>
        <v>#REF!</v>
      </c>
      <c r="BX328" s="2003">
        <f t="shared" si="579"/>
        <v>0</v>
      </c>
      <c r="BY328" s="1826" t="e">
        <f t="shared" si="694"/>
        <v>#REF!</v>
      </c>
      <c r="BZ328" s="2003">
        <f t="shared" si="580"/>
        <v>0</v>
      </c>
      <c r="CA328" s="1826" t="e">
        <f t="shared" si="694"/>
        <v>#REF!</v>
      </c>
      <c r="CB328" s="2003">
        <f t="shared" si="581"/>
        <v>0</v>
      </c>
      <c r="CC328" s="1826" t="e">
        <f t="shared" si="694"/>
        <v>#REF!</v>
      </c>
      <c r="CD328" s="1826" t="e">
        <f t="shared" si="694"/>
        <v>#REF!</v>
      </c>
      <c r="CE328" s="2002" t="e">
        <f t="shared" si="582"/>
        <v>#REF!</v>
      </c>
      <c r="CF328" s="2008" t="e">
        <f t="shared" ref="CF328:CN328" si="695">SUM(CF291:CF327)</f>
        <v>#REF!</v>
      </c>
      <c r="CG328" s="2007" t="e">
        <f t="shared" si="695"/>
        <v>#REF!</v>
      </c>
      <c r="CH328" s="2003">
        <f t="shared" si="583"/>
        <v>0</v>
      </c>
      <c r="CI328" s="1826" t="e">
        <f t="shared" si="695"/>
        <v>#REF!</v>
      </c>
      <c r="CJ328" s="2003">
        <f t="shared" si="584"/>
        <v>0</v>
      </c>
      <c r="CK328" s="1826" t="e">
        <f t="shared" si="695"/>
        <v>#REF!</v>
      </c>
      <c r="CL328" s="2003">
        <f t="shared" si="585"/>
        <v>0</v>
      </c>
      <c r="CM328" s="1826" t="e">
        <f t="shared" si="695"/>
        <v>#REF!</v>
      </c>
      <c r="CN328" s="1826" t="e">
        <f t="shared" si="695"/>
        <v>#REF!</v>
      </c>
      <c r="CO328" s="2002" t="e">
        <f t="shared" si="586"/>
        <v>#REF!</v>
      </c>
      <c r="CP328" s="2008" t="e">
        <f t="shared" ref="CP328:CX328" si="696">SUM(CP291:CP327)</f>
        <v>#REF!</v>
      </c>
      <c r="CQ328" s="2007" t="e">
        <f t="shared" si="696"/>
        <v>#REF!</v>
      </c>
      <c r="CR328" s="2003">
        <f t="shared" si="587"/>
        <v>0</v>
      </c>
      <c r="CS328" s="1826" t="e">
        <f t="shared" si="696"/>
        <v>#REF!</v>
      </c>
      <c r="CT328" s="2003">
        <f t="shared" si="588"/>
        <v>0</v>
      </c>
      <c r="CU328" s="1826" t="e">
        <f t="shared" si="696"/>
        <v>#REF!</v>
      </c>
      <c r="CV328" s="2003">
        <f t="shared" si="589"/>
        <v>0</v>
      </c>
      <c r="CW328" s="1826" t="e">
        <f t="shared" si="696"/>
        <v>#REF!</v>
      </c>
      <c r="CX328" s="1826" t="e">
        <f t="shared" si="696"/>
        <v>#REF!</v>
      </c>
      <c r="CY328" s="2002" t="e">
        <f t="shared" si="590"/>
        <v>#REF!</v>
      </c>
      <c r="CZ328" s="2008" t="e">
        <f t="shared" ref="CZ328:DH328" si="697">SUM(CZ291:CZ327)</f>
        <v>#REF!</v>
      </c>
      <c r="DA328" s="2007" t="e">
        <f t="shared" si="697"/>
        <v>#REF!</v>
      </c>
      <c r="DB328" s="2003">
        <f t="shared" si="591"/>
        <v>0</v>
      </c>
      <c r="DC328" s="1826" t="e">
        <f t="shared" si="697"/>
        <v>#REF!</v>
      </c>
      <c r="DD328" s="2003">
        <f t="shared" si="592"/>
        <v>0</v>
      </c>
      <c r="DE328" s="1826" t="e">
        <f t="shared" si="697"/>
        <v>#REF!</v>
      </c>
      <c r="DF328" s="2003">
        <f t="shared" si="593"/>
        <v>0</v>
      </c>
      <c r="DG328" s="1826" t="e">
        <f t="shared" si="697"/>
        <v>#REF!</v>
      </c>
      <c r="DH328" s="1826" t="e">
        <f t="shared" si="697"/>
        <v>#REF!</v>
      </c>
      <c r="DI328" s="2002" t="e">
        <f t="shared" si="594"/>
        <v>#REF!</v>
      </c>
      <c r="DJ328" s="2008" t="e">
        <f t="shared" ref="DJ328:DR328" si="698">SUM(DJ291:DJ327)</f>
        <v>#REF!</v>
      </c>
      <c r="DK328" s="2007" t="e">
        <f>SUM(DK291:DK327)</f>
        <v>#REF!</v>
      </c>
      <c r="DL328" s="2003">
        <f t="shared" si="595"/>
        <v>0</v>
      </c>
      <c r="DM328" s="1826" t="e">
        <f t="shared" si="698"/>
        <v>#REF!</v>
      </c>
      <c r="DN328" s="2003">
        <f t="shared" si="596"/>
        <v>0</v>
      </c>
      <c r="DO328" s="1826" t="e">
        <f t="shared" si="698"/>
        <v>#REF!</v>
      </c>
      <c r="DP328" s="2003">
        <f t="shared" si="597"/>
        <v>0</v>
      </c>
      <c r="DQ328" s="1826" t="e">
        <f t="shared" si="698"/>
        <v>#REF!</v>
      </c>
      <c r="DR328" s="1826" t="e">
        <f t="shared" si="698"/>
        <v>#REF!</v>
      </c>
      <c r="DS328" s="2002" t="e">
        <f t="shared" si="598"/>
        <v>#REF!</v>
      </c>
      <c r="DT328" s="2009" t="e">
        <f t="shared" ref="DT328:EB328" si="699">SUM(DT291:DT327)</f>
        <v>#REF!</v>
      </c>
      <c r="DU328" s="2026" t="e">
        <f t="shared" si="699"/>
        <v>#REF!</v>
      </c>
      <c r="DV328" s="2003">
        <f t="shared" si="599"/>
        <v>0</v>
      </c>
      <c r="DW328" s="1826" t="e">
        <f t="shared" si="699"/>
        <v>#REF!</v>
      </c>
      <c r="DX328" s="2003">
        <f t="shared" si="600"/>
        <v>0</v>
      </c>
      <c r="DY328" s="1826" t="e">
        <f t="shared" si="699"/>
        <v>#REF!</v>
      </c>
      <c r="DZ328" s="2003">
        <f t="shared" si="601"/>
        <v>0</v>
      </c>
      <c r="EA328" s="1826" t="e">
        <f t="shared" si="699"/>
        <v>#REF!</v>
      </c>
      <c r="EB328" s="1826" t="e">
        <f t="shared" si="699"/>
        <v>#REF!</v>
      </c>
      <c r="EC328" s="2002" t="e">
        <f t="shared" si="602"/>
        <v>#REF!</v>
      </c>
      <c r="ED328" s="1826" t="e">
        <f t="shared" ref="ED328:EL328" si="700">SUM(ED291:ED327)</f>
        <v>#REF!</v>
      </c>
      <c r="EE328" s="2019" t="e">
        <f t="shared" si="700"/>
        <v>#REF!</v>
      </c>
      <c r="EF328" s="2003">
        <f t="shared" si="603"/>
        <v>0</v>
      </c>
      <c r="EG328" s="1826" t="e">
        <f t="shared" si="700"/>
        <v>#REF!</v>
      </c>
      <c r="EH328" s="2003">
        <f t="shared" si="604"/>
        <v>0</v>
      </c>
      <c r="EI328" s="1826" t="e">
        <f t="shared" si="700"/>
        <v>#REF!</v>
      </c>
      <c r="EJ328" s="2003">
        <f t="shared" si="605"/>
        <v>0</v>
      </c>
      <c r="EK328" s="1826" t="e">
        <f t="shared" si="700"/>
        <v>#REF!</v>
      </c>
      <c r="EL328" s="1826" t="e">
        <f t="shared" si="700"/>
        <v>#REF!</v>
      </c>
      <c r="EM328" s="2006" t="e">
        <f t="shared" si="606"/>
        <v>#REF!</v>
      </c>
      <c r="EN328" s="2008" t="e">
        <f>SUM(EN291:EN327)</f>
        <v>#REF!</v>
      </c>
      <c r="EO328" s="1659"/>
      <c r="EP328" s="1613" t="e">
        <f>EA328-#REF!/10^7</f>
        <v>#REF!</v>
      </c>
      <c r="EQ328" s="1661"/>
      <c r="EW328" s="1611" t="e">
        <v>#N/A</v>
      </c>
      <c r="EX328" s="1612">
        <v>0</v>
      </c>
      <c r="EZ328" s="1650">
        <f t="shared" si="607"/>
        <v>0</v>
      </c>
    </row>
    <row r="329" spans="1:156" ht="21" customHeight="1">
      <c r="A329" s="1652"/>
      <c r="B329" s="1644"/>
      <c r="C329" s="1662"/>
      <c r="D329" s="1648"/>
      <c r="E329" s="1648"/>
      <c r="F329" s="1648"/>
      <c r="G329" s="1648"/>
      <c r="H329" s="1648"/>
      <c r="I329" s="1648"/>
      <c r="J329" s="1663"/>
      <c r="K329" s="1648"/>
      <c r="L329" s="1648"/>
      <c r="M329" s="1648"/>
      <c r="N329" s="1642"/>
      <c r="O329" s="2000"/>
      <c r="P329" s="2003">
        <f t="shared" si="555"/>
        <v>0</v>
      </c>
      <c r="Q329" s="1989"/>
      <c r="R329" s="2003">
        <f t="shared" si="556"/>
        <v>0</v>
      </c>
      <c r="S329" s="1989"/>
      <c r="T329" s="2003">
        <f t="shared" si="557"/>
        <v>0</v>
      </c>
      <c r="U329" s="1989"/>
      <c r="V329" s="1989"/>
      <c r="W329" s="1989">
        <f t="shared" si="558"/>
        <v>0</v>
      </c>
      <c r="X329" s="1995"/>
      <c r="Y329" s="1993"/>
      <c r="Z329" s="2003">
        <f t="shared" si="559"/>
        <v>0</v>
      </c>
      <c r="AA329" s="1989"/>
      <c r="AB329" s="2003">
        <f t="shared" si="560"/>
        <v>0</v>
      </c>
      <c r="AC329" s="1989"/>
      <c r="AD329" s="2003">
        <f t="shared" si="561"/>
        <v>0</v>
      </c>
      <c r="AE329" s="1989"/>
      <c r="AF329" s="1989"/>
      <c r="AG329" s="2002">
        <f t="shared" si="562"/>
        <v>0</v>
      </c>
      <c r="AH329" s="1999">
        <f t="shared" ref="AH329:AH343" si="701">AA329+AC329+AE329+AF329</f>
        <v>0</v>
      </c>
      <c r="AI329" s="1993"/>
      <c r="AJ329" s="2003">
        <f t="shared" si="563"/>
        <v>0</v>
      </c>
      <c r="AK329" s="1989"/>
      <c r="AL329" s="2003">
        <f t="shared" si="564"/>
        <v>0</v>
      </c>
      <c r="AM329" s="1989"/>
      <c r="AN329" s="2003">
        <f t="shared" si="565"/>
        <v>0</v>
      </c>
      <c r="AO329" s="1989"/>
      <c r="AP329" s="1989"/>
      <c r="AQ329" s="2002">
        <f t="shared" si="566"/>
        <v>0</v>
      </c>
      <c r="AR329" s="1999">
        <f t="shared" ref="AR329:AR343" si="702">AK329+AM329+AO329+AP329</f>
        <v>0</v>
      </c>
      <c r="AS329" s="1993"/>
      <c r="AT329" s="2003">
        <f t="shared" si="567"/>
        <v>0</v>
      </c>
      <c r="AU329" s="1989"/>
      <c r="AV329" s="2003">
        <f t="shared" si="568"/>
        <v>0</v>
      </c>
      <c r="AW329" s="1989"/>
      <c r="AX329" s="2003">
        <f t="shared" si="569"/>
        <v>0</v>
      </c>
      <c r="AY329" s="1989"/>
      <c r="AZ329" s="1989"/>
      <c r="BA329" s="2002">
        <f t="shared" si="570"/>
        <v>0</v>
      </c>
      <c r="BB329" s="1999">
        <f t="shared" ref="BB329:BB343" si="703">AU329+AW329+AY329+AZ329</f>
        <v>0</v>
      </c>
      <c r="BC329" s="1993"/>
      <c r="BD329" s="2003">
        <f t="shared" si="571"/>
        <v>0</v>
      </c>
      <c r="BE329" s="1989"/>
      <c r="BF329" s="2003">
        <f t="shared" si="572"/>
        <v>0</v>
      </c>
      <c r="BG329" s="1989"/>
      <c r="BH329" s="2003">
        <f t="shared" si="573"/>
        <v>0</v>
      </c>
      <c r="BI329" s="1989"/>
      <c r="BJ329" s="1989"/>
      <c r="BK329" s="2002">
        <f t="shared" si="574"/>
        <v>0</v>
      </c>
      <c r="BL329" s="1999">
        <f t="shared" ref="BL329:BL343" si="704">BE329+BG329+BI329+BJ329</f>
        <v>0</v>
      </c>
      <c r="BM329" s="1993"/>
      <c r="BN329" s="2003">
        <f t="shared" si="575"/>
        <v>0</v>
      </c>
      <c r="BO329" s="1989"/>
      <c r="BP329" s="2003">
        <f t="shared" si="576"/>
        <v>0</v>
      </c>
      <c r="BQ329" s="1989"/>
      <c r="BR329" s="2003">
        <f t="shared" si="577"/>
        <v>0</v>
      </c>
      <c r="BS329" s="1989"/>
      <c r="BT329" s="1989"/>
      <c r="BU329" s="2002">
        <f t="shared" si="578"/>
        <v>0</v>
      </c>
      <c r="BV329" s="1999">
        <f t="shared" ref="BV329:BV343" si="705">BO329+BQ329+BS329+BT329</f>
        <v>0</v>
      </c>
      <c r="BW329" s="1993"/>
      <c r="BX329" s="2003">
        <f t="shared" si="579"/>
        <v>0</v>
      </c>
      <c r="BY329" s="1989"/>
      <c r="BZ329" s="2003">
        <f t="shared" si="580"/>
        <v>0</v>
      </c>
      <c r="CA329" s="1989"/>
      <c r="CB329" s="2003">
        <f t="shared" si="581"/>
        <v>0</v>
      </c>
      <c r="CC329" s="1989"/>
      <c r="CD329" s="1989"/>
      <c r="CE329" s="2002">
        <f t="shared" si="582"/>
        <v>0</v>
      </c>
      <c r="CF329" s="1999">
        <f t="shared" ref="CF329:CF343" si="706">BY329+CA329+CC329+CD329</f>
        <v>0</v>
      </c>
      <c r="CG329" s="1993"/>
      <c r="CH329" s="2003">
        <f t="shared" si="583"/>
        <v>0</v>
      </c>
      <c r="CI329" s="1989"/>
      <c r="CJ329" s="2003">
        <f t="shared" si="584"/>
        <v>0</v>
      </c>
      <c r="CK329" s="1989"/>
      <c r="CL329" s="2003">
        <f t="shared" si="585"/>
        <v>0</v>
      </c>
      <c r="CM329" s="1989"/>
      <c r="CN329" s="1989"/>
      <c r="CO329" s="2002">
        <f t="shared" si="586"/>
        <v>0</v>
      </c>
      <c r="CP329" s="1999">
        <f t="shared" ref="CP329:CP343" si="707">CI329+CK329+CM329+CN329</f>
        <v>0</v>
      </c>
      <c r="CQ329" s="1993"/>
      <c r="CR329" s="2003">
        <f t="shared" si="587"/>
        <v>0</v>
      </c>
      <c r="CS329" s="1989"/>
      <c r="CT329" s="2003">
        <f t="shared" si="588"/>
        <v>0</v>
      </c>
      <c r="CU329" s="1989"/>
      <c r="CV329" s="2003">
        <f t="shared" si="589"/>
        <v>0</v>
      </c>
      <c r="CW329" s="1989"/>
      <c r="CX329" s="1989"/>
      <c r="CY329" s="2002">
        <f t="shared" si="590"/>
        <v>0</v>
      </c>
      <c r="CZ329" s="1999">
        <f>CS329+CU329+CW329+CX329</f>
        <v>0</v>
      </c>
      <c r="DA329" s="1993"/>
      <c r="DB329" s="2003">
        <f t="shared" si="591"/>
        <v>0</v>
      </c>
      <c r="DC329" s="1989"/>
      <c r="DD329" s="2003">
        <f t="shared" si="592"/>
        <v>0</v>
      </c>
      <c r="DE329" s="1989"/>
      <c r="DF329" s="2003">
        <f t="shared" si="593"/>
        <v>0</v>
      </c>
      <c r="DG329" s="1989"/>
      <c r="DH329" s="1989"/>
      <c r="DI329" s="2002">
        <f t="shared" si="594"/>
        <v>0</v>
      </c>
      <c r="DJ329" s="1999">
        <f>DC329+DE329+DG329+DH329</f>
        <v>0</v>
      </c>
      <c r="DK329" s="1993"/>
      <c r="DL329" s="2003">
        <f t="shared" si="595"/>
        <v>0</v>
      </c>
      <c r="DM329" s="1989"/>
      <c r="DN329" s="2003">
        <f t="shared" si="596"/>
        <v>0</v>
      </c>
      <c r="DO329" s="1989"/>
      <c r="DP329" s="2003">
        <f t="shared" si="597"/>
        <v>0</v>
      </c>
      <c r="DQ329" s="1989"/>
      <c r="DR329" s="1989"/>
      <c r="DS329" s="2002">
        <f t="shared" si="598"/>
        <v>0</v>
      </c>
      <c r="DT329" s="2029"/>
      <c r="DU329" s="1988"/>
      <c r="DV329" s="2003">
        <f t="shared" si="599"/>
        <v>0</v>
      </c>
      <c r="DW329" s="1989"/>
      <c r="DX329" s="2003">
        <f t="shared" si="600"/>
        <v>0</v>
      </c>
      <c r="DY329" s="1989"/>
      <c r="DZ329" s="2003">
        <f t="shared" si="601"/>
        <v>0</v>
      </c>
      <c r="EA329" s="1989"/>
      <c r="EB329" s="1989"/>
      <c r="EC329" s="2002">
        <f t="shared" si="602"/>
        <v>0</v>
      </c>
      <c r="ED329" s="1989"/>
      <c r="EE329" s="2005"/>
      <c r="EF329" s="2003">
        <f t="shared" si="603"/>
        <v>0</v>
      </c>
      <c r="EG329" s="1989"/>
      <c r="EH329" s="2003">
        <f t="shared" si="604"/>
        <v>0</v>
      </c>
      <c r="EI329" s="1989"/>
      <c r="EJ329" s="2003">
        <f t="shared" si="605"/>
        <v>0</v>
      </c>
      <c r="EK329" s="1989"/>
      <c r="EL329" s="1989"/>
      <c r="EM329" s="2006">
        <f t="shared" si="606"/>
        <v>0</v>
      </c>
      <c r="EN329" s="1999"/>
      <c r="EP329" s="1613" t="e">
        <f>EA329-#REF!/10^7</f>
        <v>#REF!</v>
      </c>
      <c r="EW329" s="1611" t="e">
        <v>#N/A</v>
      </c>
      <c r="EX329" s="1612" t="e">
        <v>#N/A</v>
      </c>
      <c r="EZ329" s="1650">
        <f t="shared" si="607"/>
        <v>0</v>
      </c>
    </row>
    <row r="330" spans="1:156" ht="21" customHeight="1">
      <c r="A330" s="1652" t="s">
        <v>138</v>
      </c>
      <c r="B330" s="1638" t="s">
        <v>1797</v>
      </c>
      <c r="C330" s="1662"/>
      <c r="D330" s="1648"/>
      <c r="E330" s="1648"/>
      <c r="F330" s="1648"/>
      <c r="G330" s="1648"/>
      <c r="H330" s="1648"/>
      <c r="I330" s="1648"/>
      <c r="J330" s="1649"/>
      <c r="K330" s="1648"/>
      <c r="L330" s="1648"/>
      <c r="M330" s="1648"/>
      <c r="N330" s="1642"/>
      <c r="O330" s="2000"/>
      <c r="P330" s="2003">
        <f t="shared" si="555"/>
        <v>0</v>
      </c>
      <c r="Q330" s="1989"/>
      <c r="R330" s="2003">
        <f t="shared" si="556"/>
        <v>0</v>
      </c>
      <c r="S330" s="1989"/>
      <c r="T330" s="2003">
        <f t="shared" si="557"/>
        <v>0</v>
      </c>
      <c r="U330" s="1989"/>
      <c r="V330" s="1989"/>
      <c r="W330" s="1989">
        <f t="shared" si="558"/>
        <v>0</v>
      </c>
      <c r="X330" s="1999"/>
      <c r="Y330" s="1993"/>
      <c r="Z330" s="2003">
        <f t="shared" si="559"/>
        <v>0</v>
      </c>
      <c r="AA330" s="1989"/>
      <c r="AB330" s="2003">
        <f t="shared" si="560"/>
        <v>0</v>
      </c>
      <c r="AC330" s="1989"/>
      <c r="AD330" s="2003">
        <f t="shared" si="561"/>
        <v>0</v>
      </c>
      <c r="AE330" s="1989"/>
      <c r="AF330" s="1989"/>
      <c r="AG330" s="2002">
        <f t="shared" si="562"/>
        <v>0</v>
      </c>
      <c r="AH330" s="1999">
        <f t="shared" si="701"/>
        <v>0</v>
      </c>
      <c r="AI330" s="1993"/>
      <c r="AJ330" s="2003">
        <f t="shared" si="563"/>
        <v>0</v>
      </c>
      <c r="AK330" s="1989"/>
      <c r="AL330" s="2003">
        <f t="shared" si="564"/>
        <v>0</v>
      </c>
      <c r="AM330" s="1989"/>
      <c r="AN330" s="2003">
        <f t="shared" si="565"/>
        <v>0</v>
      </c>
      <c r="AO330" s="1989"/>
      <c r="AP330" s="1989"/>
      <c r="AQ330" s="2002">
        <f t="shared" si="566"/>
        <v>0</v>
      </c>
      <c r="AR330" s="1999">
        <f t="shared" si="702"/>
        <v>0</v>
      </c>
      <c r="AS330" s="1993"/>
      <c r="AT330" s="2003">
        <f t="shared" si="567"/>
        <v>0</v>
      </c>
      <c r="AU330" s="1989"/>
      <c r="AV330" s="2003">
        <f t="shared" si="568"/>
        <v>0</v>
      </c>
      <c r="AW330" s="1989"/>
      <c r="AX330" s="2003">
        <f t="shared" si="569"/>
        <v>0</v>
      </c>
      <c r="AY330" s="1989"/>
      <c r="AZ330" s="1989"/>
      <c r="BA330" s="2002">
        <f t="shared" si="570"/>
        <v>0</v>
      </c>
      <c r="BB330" s="1999">
        <f t="shared" si="703"/>
        <v>0</v>
      </c>
      <c r="BC330" s="1993"/>
      <c r="BD330" s="2003">
        <f t="shared" si="571"/>
        <v>0</v>
      </c>
      <c r="BE330" s="1989"/>
      <c r="BF330" s="2003">
        <f t="shared" si="572"/>
        <v>0</v>
      </c>
      <c r="BG330" s="1989"/>
      <c r="BH330" s="2003">
        <f t="shared" si="573"/>
        <v>0</v>
      </c>
      <c r="BI330" s="1989"/>
      <c r="BJ330" s="1989"/>
      <c r="BK330" s="2002">
        <f t="shared" si="574"/>
        <v>0</v>
      </c>
      <c r="BL330" s="1999">
        <f t="shared" si="704"/>
        <v>0</v>
      </c>
      <c r="BM330" s="1993"/>
      <c r="BN330" s="2003">
        <f t="shared" si="575"/>
        <v>0</v>
      </c>
      <c r="BO330" s="1989"/>
      <c r="BP330" s="2003">
        <f t="shared" si="576"/>
        <v>0</v>
      </c>
      <c r="BQ330" s="1989"/>
      <c r="BR330" s="2003">
        <f t="shared" si="577"/>
        <v>0</v>
      </c>
      <c r="BS330" s="1989"/>
      <c r="BT330" s="1989"/>
      <c r="BU330" s="2002">
        <f t="shared" si="578"/>
        <v>0</v>
      </c>
      <c r="BV330" s="1999">
        <f t="shared" si="705"/>
        <v>0</v>
      </c>
      <c r="BW330" s="1993"/>
      <c r="BX330" s="2003">
        <f t="shared" si="579"/>
        <v>0</v>
      </c>
      <c r="BY330" s="1989"/>
      <c r="BZ330" s="2003">
        <f t="shared" si="580"/>
        <v>0</v>
      </c>
      <c r="CA330" s="1989"/>
      <c r="CB330" s="2003">
        <f t="shared" si="581"/>
        <v>0</v>
      </c>
      <c r="CC330" s="1989"/>
      <c r="CD330" s="1989"/>
      <c r="CE330" s="2002">
        <f t="shared" si="582"/>
        <v>0</v>
      </c>
      <c r="CF330" s="1999">
        <f t="shared" si="706"/>
        <v>0</v>
      </c>
      <c r="CG330" s="1993"/>
      <c r="CH330" s="2003">
        <f t="shared" si="583"/>
        <v>0</v>
      </c>
      <c r="CI330" s="1989"/>
      <c r="CJ330" s="2003">
        <f t="shared" si="584"/>
        <v>0</v>
      </c>
      <c r="CK330" s="1989"/>
      <c r="CL330" s="2003">
        <f t="shared" si="585"/>
        <v>0</v>
      </c>
      <c r="CM330" s="1989"/>
      <c r="CN330" s="1989"/>
      <c r="CO330" s="2002">
        <f t="shared" si="586"/>
        <v>0</v>
      </c>
      <c r="CP330" s="1999">
        <f t="shared" si="707"/>
        <v>0</v>
      </c>
      <c r="CQ330" s="1993"/>
      <c r="CR330" s="2003">
        <f t="shared" si="587"/>
        <v>0</v>
      </c>
      <c r="CS330" s="1989"/>
      <c r="CT330" s="2003">
        <f t="shared" si="588"/>
        <v>0</v>
      </c>
      <c r="CU330" s="1989"/>
      <c r="CV330" s="2003">
        <f t="shared" si="589"/>
        <v>0</v>
      </c>
      <c r="CW330" s="1989"/>
      <c r="CX330" s="1989"/>
      <c r="CY330" s="2002">
        <f t="shared" si="590"/>
        <v>0</v>
      </c>
      <c r="CZ330" s="1999">
        <f>CS330+CU330+CW330+CX330</f>
        <v>0</v>
      </c>
      <c r="DA330" s="1993"/>
      <c r="DB330" s="2003">
        <f t="shared" si="591"/>
        <v>0</v>
      </c>
      <c r="DC330" s="1989"/>
      <c r="DD330" s="2003">
        <f t="shared" si="592"/>
        <v>0</v>
      </c>
      <c r="DE330" s="1989"/>
      <c r="DF330" s="2003">
        <f t="shared" si="593"/>
        <v>0</v>
      </c>
      <c r="DG330" s="1989"/>
      <c r="DH330" s="1989"/>
      <c r="DI330" s="2002">
        <f t="shared" si="594"/>
        <v>0</v>
      </c>
      <c r="DJ330" s="1999">
        <f>DC330+DE330+DG330+DH330</f>
        <v>0</v>
      </c>
      <c r="DK330" s="1993"/>
      <c r="DL330" s="2003">
        <f t="shared" si="595"/>
        <v>0</v>
      </c>
      <c r="DM330" s="1989"/>
      <c r="DN330" s="2003">
        <f t="shared" si="596"/>
        <v>0</v>
      </c>
      <c r="DO330" s="1989"/>
      <c r="DP330" s="2003">
        <f t="shared" si="597"/>
        <v>0</v>
      </c>
      <c r="DQ330" s="1989"/>
      <c r="DR330" s="1989"/>
      <c r="DS330" s="2002">
        <f t="shared" si="598"/>
        <v>0</v>
      </c>
      <c r="DT330" s="2004">
        <f>DM330+DO330+DQ330+DR330</f>
        <v>0</v>
      </c>
      <c r="DU330" s="1988"/>
      <c r="DV330" s="2003">
        <f t="shared" si="599"/>
        <v>0</v>
      </c>
      <c r="DW330" s="1989"/>
      <c r="DX330" s="2003">
        <f t="shared" si="600"/>
        <v>0</v>
      </c>
      <c r="DY330" s="1989"/>
      <c r="DZ330" s="2003">
        <f t="shared" si="601"/>
        <v>0</v>
      </c>
      <c r="EA330" s="1989"/>
      <c r="EB330" s="1989"/>
      <c r="EC330" s="2002">
        <f t="shared" si="602"/>
        <v>0</v>
      </c>
      <c r="ED330" s="1998"/>
      <c r="EE330" s="2005"/>
      <c r="EF330" s="2003">
        <f t="shared" si="603"/>
        <v>0</v>
      </c>
      <c r="EG330" s="1989"/>
      <c r="EH330" s="2003">
        <f t="shared" si="604"/>
        <v>0</v>
      </c>
      <c r="EI330" s="1989"/>
      <c r="EJ330" s="2003">
        <f t="shared" si="605"/>
        <v>0</v>
      </c>
      <c r="EK330" s="1989"/>
      <c r="EL330" s="1989"/>
      <c r="EM330" s="2006">
        <f t="shared" si="606"/>
        <v>0</v>
      </c>
      <c r="EN330" s="1999"/>
      <c r="EP330" s="1613" t="e">
        <f>EA330-#REF!/10^7</f>
        <v>#REF!</v>
      </c>
      <c r="EW330" s="1611" t="e">
        <v>#N/A</v>
      </c>
      <c r="EX330" s="1612">
        <v>0</v>
      </c>
      <c r="EZ330" s="1650">
        <f t="shared" si="607"/>
        <v>0</v>
      </c>
    </row>
    <row r="331" spans="1:156" ht="21" customHeight="1">
      <c r="A331" s="1637" t="s">
        <v>140</v>
      </c>
      <c r="B331" s="1638" t="s">
        <v>1987</v>
      </c>
      <c r="C331" s="1662"/>
      <c r="D331" s="1648"/>
      <c r="E331" s="1648"/>
      <c r="F331" s="1648"/>
      <c r="G331" s="1648"/>
      <c r="H331" s="1648"/>
      <c r="I331" s="1648"/>
      <c r="J331" s="1649"/>
      <c r="K331" s="1648"/>
      <c r="L331" s="1648"/>
      <c r="M331" s="1648"/>
      <c r="N331" s="1642"/>
      <c r="O331" s="2000"/>
      <c r="P331" s="2003">
        <f t="shared" si="555"/>
        <v>0</v>
      </c>
      <c r="Q331" s="1989"/>
      <c r="R331" s="2003">
        <f t="shared" si="556"/>
        <v>0</v>
      </c>
      <c r="S331" s="1989"/>
      <c r="T331" s="2003">
        <f t="shared" si="557"/>
        <v>0</v>
      </c>
      <c r="U331" s="1989"/>
      <c r="V331" s="1989"/>
      <c r="W331" s="1989">
        <f t="shared" si="558"/>
        <v>0</v>
      </c>
      <c r="X331" s="1999"/>
      <c r="Y331" s="1993"/>
      <c r="Z331" s="2003">
        <f t="shared" si="559"/>
        <v>0</v>
      </c>
      <c r="AA331" s="1989"/>
      <c r="AB331" s="2003">
        <f t="shared" si="560"/>
        <v>0</v>
      </c>
      <c r="AC331" s="1989"/>
      <c r="AD331" s="2003">
        <f t="shared" si="561"/>
        <v>0</v>
      </c>
      <c r="AE331" s="1989"/>
      <c r="AF331" s="1989"/>
      <c r="AG331" s="2002">
        <f t="shared" si="562"/>
        <v>0</v>
      </c>
      <c r="AH331" s="1999">
        <f t="shared" si="701"/>
        <v>0</v>
      </c>
      <c r="AI331" s="1993"/>
      <c r="AJ331" s="2003">
        <f t="shared" si="563"/>
        <v>0</v>
      </c>
      <c r="AK331" s="1989"/>
      <c r="AL331" s="2003">
        <f t="shared" si="564"/>
        <v>0</v>
      </c>
      <c r="AM331" s="1989"/>
      <c r="AN331" s="2003">
        <f t="shared" si="565"/>
        <v>0</v>
      </c>
      <c r="AO331" s="1989"/>
      <c r="AP331" s="1989"/>
      <c r="AQ331" s="2002">
        <f t="shared" si="566"/>
        <v>0</v>
      </c>
      <c r="AR331" s="1999">
        <f t="shared" si="702"/>
        <v>0</v>
      </c>
      <c r="AS331" s="1993"/>
      <c r="AT331" s="2003">
        <f t="shared" si="567"/>
        <v>0</v>
      </c>
      <c r="AU331" s="1989"/>
      <c r="AV331" s="2003">
        <f t="shared" si="568"/>
        <v>0</v>
      </c>
      <c r="AW331" s="1989"/>
      <c r="AX331" s="2003">
        <f t="shared" si="569"/>
        <v>0</v>
      </c>
      <c r="AY331" s="1989"/>
      <c r="AZ331" s="1989"/>
      <c r="BA331" s="2002">
        <f t="shared" si="570"/>
        <v>0</v>
      </c>
      <c r="BB331" s="1999">
        <f t="shared" si="703"/>
        <v>0</v>
      </c>
      <c r="BC331" s="1993"/>
      <c r="BD331" s="2003">
        <f t="shared" si="571"/>
        <v>0</v>
      </c>
      <c r="BE331" s="1989"/>
      <c r="BF331" s="2003">
        <f t="shared" si="572"/>
        <v>0</v>
      </c>
      <c r="BG331" s="1989"/>
      <c r="BH331" s="2003">
        <f t="shared" si="573"/>
        <v>0</v>
      </c>
      <c r="BI331" s="1989"/>
      <c r="BJ331" s="1989"/>
      <c r="BK331" s="2002">
        <f t="shared" si="574"/>
        <v>0</v>
      </c>
      <c r="BL331" s="1999">
        <f t="shared" si="704"/>
        <v>0</v>
      </c>
      <c r="BM331" s="1993"/>
      <c r="BN331" s="2003">
        <f t="shared" si="575"/>
        <v>0</v>
      </c>
      <c r="BO331" s="1989"/>
      <c r="BP331" s="2003">
        <f t="shared" si="576"/>
        <v>0</v>
      </c>
      <c r="BQ331" s="1989"/>
      <c r="BR331" s="2003">
        <f t="shared" si="577"/>
        <v>0</v>
      </c>
      <c r="BS331" s="1989"/>
      <c r="BT331" s="1989"/>
      <c r="BU331" s="2002">
        <f t="shared" si="578"/>
        <v>0</v>
      </c>
      <c r="BV331" s="1999">
        <f t="shared" si="705"/>
        <v>0</v>
      </c>
      <c r="BW331" s="1993"/>
      <c r="BX331" s="2003">
        <f t="shared" si="579"/>
        <v>0</v>
      </c>
      <c r="BY331" s="1989"/>
      <c r="BZ331" s="2003">
        <f t="shared" si="580"/>
        <v>0</v>
      </c>
      <c r="CA331" s="1989"/>
      <c r="CB331" s="2003">
        <f t="shared" si="581"/>
        <v>0</v>
      </c>
      <c r="CC331" s="1989"/>
      <c r="CD331" s="1989"/>
      <c r="CE331" s="2002">
        <f t="shared" si="582"/>
        <v>0</v>
      </c>
      <c r="CF331" s="1999">
        <f t="shared" si="706"/>
        <v>0</v>
      </c>
      <c r="CG331" s="1993"/>
      <c r="CH331" s="2003">
        <f t="shared" si="583"/>
        <v>0</v>
      </c>
      <c r="CI331" s="1989"/>
      <c r="CJ331" s="2003">
        <f t="shared" si="584"/>
        <v>0</v>
      </c>
      <c r="CK331" s="1989"/>
      <c r="CL331" s="2003">
        <f t="shared" si="585"/>
        <v>0</v>
      </c>
      <c r="CM331" s="1989"/>
      <c r="CN331" s="1989"/>
      <c r="CO331" s="2002">
        <f t="shared" si="586"/>
        <v>0</v>
      </c>
      <c r="CP331" s="1999">
        <f t="shared" si="707"/>
        <v>0</v>
      </c>
      <c r="CQ331" s="1993"/>
      <c r="CR331" s="2003">
        <f t="shared" si="587"/>
        <v>0</v>
      </c>
      <c r="CS331" s="1989"/>
      <c r="CT331" s="2003">
        <f t="shared" si="588"/>
        <v>0</v>
      </c>
      <c r="CU331" s="1989"/>
      <c r="CV331" s="2003">
        <f t="shared" si="589"/>
        <v>0</v>
      </c>
      <c r="CW331" s="1989"/>
      <c r="CX331" s="1989"/>
      <c r="CY331" s="2002">
        <f t="shared" si="590"/>
        <v>0</v>
      </c>
      <c r="CZ331" s="1999">
        <f>CS331+CU331+CW331+CX331</f>
        <v>0</v>
      </c>
      <c r="DA331" s="1993"/>
      <c r="DB331" s="2003">
        <f t="shared" si="591"/>
        <v>0</v>
      </c>
      <c r="DC331" s="1989"/>
      <c r="DD331" s="2003">
        <f t="shared" si="592"/>
        <v>0</v>
      </c>
      <c r="DE331" s="1989"/>
      <c r="DF331" s="2003">
        <f t="shared" si="593"/>
        <v>0</v>
      </c>
      <c r="DG331" s="1989"/>
      <c r="DH331" s="1989"/>
      <c r="DI331" s="2002">
        <f t="shared" si="594"/>
        <v>0</v>
      </c>
      <c r="DJ331" s="1999">
        <f>DC331+DE331+DG331+DH331</f>
        <v>0</v>
      </c>
      <c r="DK331" s="1993"/>
      <c r="DL331" s="2003">
        <f t="shared" si="595"/>
        <v>0</v>
      </c>
      <c r="DM331" s="1989"/>
      <c r="DN331" s="2003">
        <f t="shared" si="596"/>
        <v>0</v>
      </c>
      <c r="DO331" s="1989"/>
      <c r="DP331" s="2003">
        <f t="shared" si="597"/>
        <v>0</v>
      </c>
      <c r="DQ331" s="1989"/>
      <c r="DR331" s="1989"/>
      <c r="DS331" s="2002">
        <f t="shared" si="598"/>
        <v>0</v>
      </c>
      <c r="DT331" s="2004">
        <f>DM331+DO331+DQ331+DR331</f>
        <v>0</v>
      </c>
      <c r="DU331" s="1988"/>
      <c r="DV331" s="2003">
        <f t="shared" si="599"/>
        <v>0</v>
      </c>
      <c r="DW331" s="1989"/>
      <c r="DX331" s="2003">
        <f t="shared" si="600"/>
        <v>0</v>
      </c>
      <c r="DY331" s="1989"/>
      <c r="DZ331" s="2003">
        <f t="shared" si="601"/>
        <v>0</v>
      </c>
      <c r="EA331" s="1989"/>
      <c r="EB331" s="1989"/>
      <c r="EC331" s="2002">
        <f t="shared" si="602"/>
        <v>0</v>
      </c>
      <c r="ED331" s="1998"/>
      <c r="EE331" s="2005"/>
      <c r="EF331" s="2003">
        <f t="shared" si="603"/>
        <v>0</v>
      </c>
      <c r="EG331" s="1989"/>
      <c r="EH331" s="2003">
        <f t="shared" si="604"/>
        <v>0</v>
      </c>
      <c r="EI331" s="1989"/>
      <c r="EJ331" s="2003">
        <f t="shared" si="605"/>
        <v>0</v>
      </c>
      <c r="EK331" s="1989"/>
      <c r="EL331" s="1989"/>
      <c r="EM331" s="2006">
        <f t="shared" si="606"/>
        <v>0</v>
      </c>
      <c r="EN331" s="1999"/>
      <c r="EP331" s="1613" t="e">
        <f>EA331-#REF!/10^7</f>
        <v>#REF!</v>
      </c>
      <c r="EW331" s="1611" t="e">
        <v>#N/A</v>
      </c>
      <c r="EX331" s="1612" t="e">
        <v>#N/A</v>
      </c>
      <c r="EZ331" s="1650">
        <f t="shared" si="607"/>
        <v>0</v>
      </c>
    </row>
    <row r="332" spans="1:156" ht="21" customHeight="1">
      <c r="A332" s="1652">
        <v>1</v>
      </c>
      <c r="B332" s="1668" t="s">
        <v>1988</v>
      </c>
      <c r="C332" s="1662">
        <v>250</v>
      </c>
      <c r="D332" s="1646">
        <f t="shared" ref="D332:D338" si="708">H332/C332*100</f>
        <v>40</v>
      </c>
      <c r="E332" s="1646"/>
      <c r="F332" s="1648"/>
      <c r="G332" s="1648"/>
      <c r="H332" s="1648">
        <v>100</v>
      </c>
      <c r="I332" s="1648" t="s">
        <v>1667</v>
      </c>
      <c r="J332" s="1649">
        <v>1</v>
      </c>
      <c r="K332" s="1648"/>
      <c r="L332" s="1648"/>
      <c r="M332" s="1648"/>
      <c r="N332" s="1642"/>
      <c r="O332" s="2000" t="e">
        <f>#REF!</f>
        <v>#REF!</v>
      </c>
      <c r="P332" s="2003">
        <f t="shared" si="555"/>
        <v>0</v>
      </c>
      <c r="Q332" s="1989" t="e">
        <f>#REF!/10^7</f>
        <v>#REF!</v>
      </c>
      <c r="R332" s="2003">
        <f t="shared" si="556"/>
        <v>0</v>
      </c>
      <c r="S332" s="1989" t="e">
        <f>#REF!/10^7</f>
        <v>#REF!</v>
      </c>
      <c r="T332" s="2003">
        <f t="shared" si="557"/>
        <v>0</v>
      </c>
      <c r="U332" s="1989" t="e">
        <f>#REF!/10^7</f>
        <v>#REF!</v>
      </c>
      <c r="V332" s="1989" t="e">
        <f>#REF!/10^7</f>
        <v>#REF!</v>
      </c>
      <c r="W332" s="1989">
        <f t="shared" si="558"/>
        <v>0</v>
      </c>
      <c r="X332" s="1999" t="e">
        <f t="shared" ref="X332:X343" si="709">Q332+S332+U332+V332</f>
        <v>#REF!</v>
      </c>
      <c r="Y332" s="1993" t="e">
        <f>#REF!</f>
        <v>#REF!</v>
      </c>
      <c r="Z332" s="2003">
        <f t="shared" si="559"/>
        <v>0</v>
      </c>
      <c r="AA332" s="1989" t="e">
        <f>#REF!/10^7</f>
        <v>#REF!</v>
      </c>
      <c r="AB332" s="2003">
        <f t="shared" si="560"/>
        <v>0</v>
      </c>
      <c r="AC332" s="1989" t="e">
        <f>#REF!/10^7</f>
        <v>#REF!</v>
      </c>
      <c r="AD332" s="2003">
        <f t="shared" si="561"/>
        <v>0</v>
      </c>
      <c r="AE332" s="1989" t="e">
        <f>#REF!/10^7</f>
        <v>#REF!</v>
      </c>
      <c r="AF332" s="1989" t="e">
        <f>#REF!/10^7</f>
        <v>#REF!</v>
      </c>
      <c r="AG332" s="2002" t="e">
        <f t="shared" si="562"/>
        <v>#REF!</v>
      </c>
      <c r="AH332" s="1999" t="e">
        <f t="shared" si="701"/>
        <v>#REF!</v>
      </c>
      <c r="AI332" s="1993" t="e">
        <f>#REF!</f>
        <v>#REF!</v>
      </c>
      <c r="AJ332" s="2003">
        <f t="shared" si="563"/>
        <v>0</v>
      </c>
      <c r="AK332" s="1989" t="e">
        <f>#REF!/10^7</f>
        <v>#REF!</v>
      </c>
      <c r="AL332" s="2003">
        <f t="shared" si="564"/>
        <v>0</v>
      </c>
      <c r="AM332" s="1989" t="e">
        <f>#REF!/10^7</f>
        <v>#REF!</v>
      </c>
      <c r="AN332" s="2003">
        <f t="shared" si="565"/>
        <v>0</v>
      </c>
      <c r="AO332" s="1989" t="e">
        <f>#REF!/10^7</f>
        <v>#REF!</v>
      </c>
      <c r="AP332" s="1989" t="e">
        <f>#REF!/10^7</f>
        <v>#REF!</v>
      </c>
      <c r="AQ332" s="2002" t="e">
        <f t="shared" si="566"/>
        <v>#REF!</v>
      </c>
      <c r="AR332" s="1999" t="e">
        <f t="shared" si="702"/>
        <v>#REF!</v>
      </c>
      <c r="AS332" s="1993" t="e">
        <f>#REF!</f>
        <v>#REF!</v>
      </c>
      <c r="AT332" s="2003">
        <f t="shared" si="567"/>
        <v>0</v>
      </c>
      <c r="AU332" s="1989" t="e">
        <f>#REF!/10^7</f>
        <v>#REF!</v>
      </c>
      <c r="AV332" s="2003">
        <f t="shared" si="568"/>
        <v>0</v>
      </c>
      <c r="AW332" s="1989" t="e">
        <f>#REF!/10^7</f>
        <v>#REF!</v>
      </c>
      <c r="AX332" s="2003">
        <f t="shared" si="569"/>
        <v>0</v>
      </c>
      <c r="AY332" s="1989" t="e">
        <f>#REF!/10^7</f>
        <v>#REF!</v>
      </c>
      <c r="AZ332" s="1989" t="e">
        <f>#REF!/10^7</f>
        <v>#REF!</v>
      </c>
      <c r="BA332" s="2002" t="e">
        <f t="shared" si="570"/>
        <v>#REF!</v>
      </c>
      <c r="BB332" s="1999" t="e">
        <f t="shared" si="703"/>
        <v>#REF!</v>
      </c>
      <c r="BC332" s="1993" t="e">
        <f>#REF!</f>
        <v>#REF!</v>
      </c>
      <c r="BD332" s="2003">
        <f t="shared" si="571"/>
        <v>0</v>
      </c>
      <c r="BE332" s="1989" t="e">
        <f>#REF!/10^7</f>
        <v>#REF!</v>
      </c>
      <c r="BF332" s="2003">
        <f t="shared" si="572"/>
        <v>0</v>
      </c>
      <c r="BG332" s="1989" t="e">
        <f>#REF!/10^7</f>
        <v>#REF!</v>
      </c>
      <c r="BH332" s="2003">
        <f t="shared" si="573"/>
        <v>0</v>
      </c>
      <c r="BI332" s="1989" t="e">
        <f>#REF!/10^7</f>
        <v>#REF!</v>
      </c>
      <c r="BJ332" s="1989" t="e">
        <f>#REF!/10^7</f>
        <v>#REF!</v>
      </c>
      <c r="BK332" s="2002" t="e">
        <f t="shared" si="574"/>
        <v>#REF!</v>
      </c>
      <c r="BL332" s="1999" t="e">
        <f t="shared" si="704"/>
        <v>#REF!</v>
      </c>
      <c r="BM332" s="1993" t="e">
        <f>#REF!</f>
        <v>#REF!</v>
      </c>
      <c r="BN332" s="2003">
        <f t="shared" si="575"/>
        <v>0</v>
      </c>
      <c r="BO332" s="1989" t="e">
        <f>#REF!/10^7</f>
        <v>#REF!</v>
      </c>
      <c r="BP332" s="2003">
        <f t="shared" si="576"/>
        <v>0</v>
      </c>
      <c r="BQ332" s="1989" t="e">
        <f>#REF!/10^7</f>
        <v>#REF!</v>
      </c>
      <c r="BR332" s="2003">
        <f t="shared" si="577"/>
        <v>0</v>
      </c>
      <c r="BS332" s="1989" t="e">
        <f>#REF!/10^7</f>
        <v>#REF!</v>
      </c>
      <c r="BT332" s="1989" t="e">
        <f>#REF!/10^7</f>
        <v>#REF!</v>
      </c>
      <c r="BU332" s="2002" t="e">
        <f t="shared" si="578"/>
        <v>#REF!</v>
      </c>
      <c r="BV332" s="1999" t="e">
        <f t="shared" si="705"/>
        <v>#REF!</v>
      </c>
      <c r="BW332" s="1993" t="e">
        <f>#REF!</f>
        <v>#REF!</v>
      </c>
      <c r="BX332" s="2003">
        <f t="shared" si="579"/>
        <v>0</v>
      </c>
      <c r="BY332" s="1989" t="e">
        <f>#REF!/10^7</f>
        <v>#REF!</v>
      </c>
      <c r="BZ332" s="2003">
        <f t="shared" si="580"/>
        <v>0</v>
      </c>
      <c r="CA332" s="1989" t="e">
        <f>#REF!/10^7</f>
        <v>#REF!</v>
      </c>
      <c r="CB332" s="2003">
        <f t="shared" si="581"/>
        <v>0</v>
      </c>
      <c r="CC332" s="1989" t="e">
        <f>#REF!/10^7</f>
        <v>#REF!</v>
      </c>
      <c r="CD332" s="1989" t="e">
        <f>#REF!/10^7</f>
        <v>#REF!</v>
      </c>
      <c r="CE332" s="2002" t="e">
        <f t="shared" si="582"/>
        <v>#REF!</v>
      </c>
      <c r="CF332" s="1999" t="e">
        <f t="shared" si="706"/>
        <v>#REF!</v>
      </c>
      <c r="CG332" s="1993" t="e">
        <f>#REF!</f>
        <v>#REF!</v>
      </c>
      <c r="CH332" s="2003">
        <f t="shared" si="583"/>
        <v>0</v>
      </c>
      <c r="CI332" s="1989" t="e">
        <f>#REF!/10^7</f>
        <v>#REF!</v>
      </c>
      <c r="CJ332" s="2003">
        <f t="shared" si="584"/>
        <v>0</v>
      </c>
      <c r="CK332" s="1989" t="e">
        <f>#REF!/10^7</f>
        <v>#REF!</v>
      </c>
      <c r="CL332" s="2003">
        <f t="shared" si="585"/>
        <v>0</v>
      </c>
      <c r="CM332" s="1989" t="e">
        <f>#REF!/10^7</f>
        <v>#REF!</v>
      </c>
      <c r="CN332" s="1989" t="e">
        <f>#REF!/10^7</f>
        <v>#REF!</v>
      </c>
      <c r="CO332" s="2002" t="e">
        <f t="shared" si="586"/>
        <v>#REF!</v>
      </c>
      <c r="CP332" s="1999" t="e">
        <f t="shared" si="707"/>
        <v>#REF!</v>
      </c>
      <c r="CQ332" s="1993" t="e">
        <f>#REF!</f>
        <v>#REF!</v>
      </c>
      <c r="CR332" s="2003">
        <f t="shared" si="587"/>
        <v>0</v>
      </c>
      <c r="CS332" s="1989" t="e">
        <f>#REF!/10^7</f>
        <v>#REF!</v>
      </c>
      <c r="CT332" s="2003">
        <f t="shared" si="588"/>
        <v>0</v>
      </c>
      <c r="CU332" s="1989" t="e">
        <f>#REF!/10^7</f>
        <v>#REF!</v>
      </c>
      <c r="CV332" s="2003">
        <f t="shared" si="589"/>
        <v>0</v>
      </c>
      <c r="CW332" s="1989" t="e">
        <f>#REF!/10^7</f>
        <v>#REF!</v>
      </c>
      <c r="CX332" s="1989" t="e">
        <f>#REF!/10^7</f>
        <v>#REF!</v>
      </c>
      <c r="CY332" s="2002" t="e">
        <f t="shared" si="590"/>
        <v>#REF!</v>
      </c>
      <c r="CZ332" s="1999" t="e">
        <f t="shared" ref="CZ332:CZ343" si="710">CS332+CU332+CW332+CX332</f>
        <v>#REF!</v>
      </c>
      <c r="DA332" s="1993" t="e">
        <f>#REF!</f>
        <v>#REF!</v>
      </c>
      <c r="DB332" s="2003">
        <f t="shared" si="591"/>
        <v>0</v>
      </c>
      <c r="DC332" s="1989" t="e">
        <f>#REF!/10^7</f>
        <v>#REF!</v>
      </c>
      <c r="DD332" s="2003">
        <f t="shared" si="592"/>
        <v>0</v>
      </c>
      <c r="DE332" s="1989" t="e">
        <f>#REF!/10^7</f>
        <v>#REF!</v>
      </c>
      <c r="DF332" s="2003">
        <f t="shared" si="593"/>
        <v>0</v>
      </c>
      <c r="DG332" s="1989" t="e">
        <f>#REF!/10^7</f>
        <v>#REF!</v>
      </c>
      <c r="DH332" s="1989" t="e">
        <f>#REF!/10^7</f>
        <v>#REF!</v>
      </c>
      <c r="DI332" s="2002" t="e">
        <f t="shared" si="594"/>
        <v>#REF!</v>
      </c>
      <c r="DJ332" s="1999" t="e">
        <f t="shared" ref="DJ332:DJ343" si="711">DC332+DE332+DG332+DH332</f>
        <v>#REF!</v>
      </c>
      <c r="DK332" s="1993" t="e">
        <f>#REF!</f>
        <v>#REF!</v>
      </c>
      <c r="DL332" s="2003">
        <f t="shared" si="595"/>
        <v>0</v>
      </c>
      <c r="DM332" s="1989" t="e">
        <f>#REF!/10^7</f>
        <v>#REF!</v>
      </c>
      <c r="DN332" s="2003">
        <f t="shared" si="596"/>
        <v>0</v>
      </c>
      <c r="DO332" s="1989" t="e">
        <f>#REF!/10^7</f>
        <v>#REF!</v>
      </c>
      <c r="DP332" s="2003">
        <f t="shared" si="597"/>
        <v>0</v>
      </c>
      <c r="DQ332" s="1989" t="e">
        <f>#REF!/10^7</f>
        <v>#REF!</v>
      </c>
      <c r="DR332" s="1989" t="e">
        <f>#REF!/10^7</f>
        <v>#REF!</v>
      </c>
      <c r="DS332" s="2002" t="e">
        <f t="shared" si="598"/>
        <v>#REF!</v>
      </c>
      <c r="DT332" s="2004" t="e">
        <f t="shared" ref="DT332:DT343" si="712">DM332+DO332+DQ332+DR332</f>
        <v>#REF!</v>
      </c>
      <c r="DU332" s="1988" t="e">
        <f>#REF!</f>
        <v>#REF!</v>
      </c>
      <c r="DV332" s="2003">
        <f t="shared" si="599"/>
        <v>0</v>
      </c>
      <c r="DW332" s="1989" t="e">
        <f>#REF!/10^7</f>
        <v>#REF!</v>
      </c>
      <c r="DX332" s="2003">
        <f t="shared" si="600"/>
        <v>0</v>
      </c>
      <c r="DY332" s="1989" t="e">
        <f>#REF!/10^7</f>
        <v>#REF!</v>
      </c>
      <c r="DZ332" s="2003">
        <f t="shared" si="601"/>
        <v>0</v>
      </c>
      <c r="EA332" s="1989" t="e">
        <f>#REF!/10^7</f>
        <v>#REF!</v>
      </c>
      <c r="EB332" s="1989" t="e">
        <f>#REF!/10^7</f>
        <v>#REF!</v>
      </c>
      <c r="EC332" s="2002" t="e">
        <f t="shared" si="602"/>
        <v>#REF!</v>
      </c>
      <c r="ED332" s="1998" t="e">
        <f t="shared" ref="ED332:ED343" si="713">DW332+DY332+EA332+EB332</f>
        <v>#REF!</v>
      </c>
      <c r="EE332" s="2005" t="e">
        <f>O332+Y332+AI332+AS332+BC332+BM332+BW332+CG332+CQ332+DA332+DK332+DU332</f>
        <v>#REF!</v>
      </c>
      <c r="EF332" s="2003">
        <f t="shared" si="603"/>
        <v>0</v>
      </c>
      <c r="EG332" s="1989" t="e">
        <f t="shared" ref="EG332:EG343" si="714">Q332+AA332+AK332+AU332+BE332+BO332+BY332+CI332+CS332+DC332+DM332+DW332</f>
        <v>#REF!</v>
      </c>
      <c r="EH332" s="2003">
        <f t="shared" si="604"/>
        <v>0</v>
      </c>
      <c r="EI332" s="1989" t="e">
        <f t="shared" ref="EI332:EI343" si="715">S332+AC332+AM332+AW332+BG332+BQ332+CA332+CK332+CU332+DE332+DO332+DY332</f>
        <v>#REF!</v>
      </c>
      <c r="EJ332" s="2003">
        <f t="shared" si="605"/>
        <v>0</v>
      </c>
      <c r="EK332" s="1989" t="e">
        <f t="shared" ref="EK332:EL343" si="716">U332+AE332+AO332+AY332+BI332+BS332+CC332+CM332+CW332+DG332+DQ332+EA332</f>
        <v>#REF!</v>
      </c>
      <c r="EL332" s="1989" t="e">
        <f t="shared" si="716"/>
        <v>#REF!</v>
      </c>
      <c r="EM332" s="2006" t="e">
        <f t="shared" si="606"/>
        <v>#REF!</v>
      </c>
      <c r="EN332" s="1999" t="e">
        <f>EG332+EI332+EK332+EL332</f>
        <v>#REF!</v>
      </c>
      <c r="EP332" s="1613" t="e">
        <f>EA332-#REF!/10^7</f>
        <v>#REF!</v>
      </c>
      <c r="EW332" s="1611" t="e">
        <v>#N/A</v>
      </c>
      <c r="EX332" s="1612" t="e">
        <v>#N/A</v>
      </c>
      <c r="EZ332" s="1650">
        <f t="shared" si="607"/>
        <v>0</v>
      </c>
    </row>
    <row r="333" spans="1:156" ht="21" customHeight="1">
      <c r="A333" s="1652">
        <v>2</v>
      </c>
      <c r="B333" s="1668" t="s">
        <v>1989</v>
      </c>
      <c r="C333" s="1662">
        <v>249.9</v>
      </c>
      <c r="D333" s="1646">
        <f t="shared" si="708"/>
        <v>39.975990396158466</v>
      </c>
      <c r="E333" s="1646"/>
      <c r="F333" s="1648"/>
      <c r="G333" s="1648"/>
      <c r="H333" s="1648">
        <v>99.9</v>
      </c>
      <c r="I333" s="1648" t="s">
        <v>1667</v>
      </c>
      <c r="J333" s="1649">
        <v>1</v>
      </c>
      <c r="K333" s="1648"/>
      <c r="L333" s="1648"/>
      <c r="M333" s="1648"/>
      <c r="N333" s="1642"/>
      <c r="O333" s="2000" t="e">
        <f>#REF!</f>
        <v>#REF!</v>
      </c>
      <c r="P333" s="2003">
        <f t="shared" ref="P333:P393" si="717">IFERROR(Q333/O333*10,0)</f>
        <v>0</v>
      </c>
      <c r="Q333" s="1989" t="e">
        <f>#REF!/10^7</f>
        <v>#REF!</v>
      </c>
      <c r="R333" s="2003">
        <f t="shared" ref="R333:R393" si="718">IFERROR($S333/O333*10,0)</f>
        <v>0</v>
      </c>
      <c r="S333" s="1989" t="e">
        <f>#REF!/10^7</f>
        <v>#REF!</v>
      </c>
      <c r="T333" s="2003">
        <f t="shared" ref="T333:T393" si="719">IFERROR(U333/$O333*10,0)</f>
        <v>0</v>
      </c>
      <c r="U333" s="1989" t="e">
        <f>#REF!/10^7</f>
        <v>#REF!</v>
      </c>
      <c r="V333" s="1989" t="e">
        <f>#REF!/10^7</f>
        <v>#REF!</v>
      </c>
      <c r="W333" s="1989">
        <f t="shared" ref="W333:W393" si="720">IFERROR(X333/(O333)*10,0)</f>
        <v>0</v>
      </c>
      <c r="X333" s="1999" t="e">
        <f t="shared" si="709"/>
        <v>#REF!</v>
      </c>
      <c r="Y333" s="1993" t="e">
        <f>#REF!</f>
        <v>#REF!</v>
      </c>
      <c r="Z333" s="2003">
        <f t="shared" ref="Z333:Z395" si="721">IFERROR(AA333/$Y333*10,0)</f>
        <v>0</v>
      </c>
      <c r="AA333" s="1989" t="e">
        <f>#REF!/10^7</f>
        <v>#REF!</v>
      </c>
      <c r="AB333" s="2003">
        <f t="shared" ref="AB333:AB395" si="722">IFERROR(AC333/$Y333*10,0)</f>
        <v>0</v>
      </c>
      <c r="AC333" s="1989" t="e">
        <f>#REF!/10^7</f>
        <v>#REF!</v>
      </c>
      <c r="AD333" s="2003">
        <f t="shared" ref="AD333:AD395" si="723">IFERROR(AE333/$Y333*10,0)</f>
        <v>0</v>
      </c>
      <c r="AE333" s="1989" t="e">
        <f>#REF!/10^7</f>
        <v>#REF!</v>
      </c>
      <c r="AF333" s="1989" t="e">
        <f>#REF!/10^7</f>
        <v>#REF!</v>
      </c>
      <c r="AG333" s="2002" t="e">
        <f t="shared" ref="AG333:AG393" si="724">IF(Y333=0,0,(AH333/(Y333)*10))</f>
        <v>#REF!</v>
      </c>
      <c r="AH333" s="1999" t="e">
        <f t="shared" si="701"/>
        <v>#REF!</v>
      </c>
      <c r="AI333" s="1993" t="e">
        <f>#REF!</f>
        <v>#REF!</v>
      </c>
      <c r="AJ333" s="2003">
        <f t="shared" ref="AJ333:AJ393" si="725">IFERROR(AK333/$AI333*10,0)</f>
        <v>0</v>
      </c>
      <c r="AK333" s="1989" t="e">
        <f>#REF!/10^7</f>
        <v>#REF!</v>
      </c>
      <c r="AL333" s="2003">
        <f t="shared" ref="AL333:AL395" si="726">IFERROR(AM333/$AI333*10,0)</f>
        <v>0</v>
      </c>
      <c r="AM333" s="1989" t="e">
        <f>#REF!/10^7</f>
        <v>#REF!</v>
      </c>
      <c r="AN333" s="2003">
        <f t="shared" ref="AN333:AN395" si="727">IFERROR(AO333/$AI333*10,0)</f>
        <v>0</v>
      </c>
      <c r="AO333" s="1989" t="e">
        <f>#REF!/10^7</f>
        <v>#REF!</v>
      </c>
      <c r="AP333" s="1989" t="e">
        <f>#REF!/10^7</f>
        <v>#REF!</v>
      </c>
      <c r="AQ333" s="2002" t="e">
        <f t="shared" ref="AQ333:AQ393" si="728">IF(AI333=0,0,(AR333/(AI333)*10))</f>
        <v>#REF!</v>
      </c>
      <c r="AR333" s="1999" t="e">
        <f t="shared" si="702"/>
        <v>#REF!</v>
      </c>
      <c r="AS333" s="1993" t="e">
        <f>#REF!</f>
        <v>#REF!</v>
      </c>
      <c r="AT333" s="2003">
        <f t="shared" ref="AT333:AT395" si="729">IFERROR(AU333/$AS333*10,0)</f>
        <v>0</v>
      </c>
      <c r="AU333" s="1989" t="e">
        <f>#REF!/10^7</f>
        <v>#REF!</v>
      </c>
      <c r="AV333" s="2003">
        <f t="shared" ref="AV333:AV395" si="730">IFERROR(AW333/$AS333*10,0)</f>
        <v>0</v>
      </c>
      <c r="AW333" s="1989" t="e">
        <f>#REF!/10^7</f>
        <v>#REF!</v>
      </c>
      <c r="AX333" s="2003">
        <f t="shared" ref="AX333:AX395" si="731">IFERROR(AY333/$AS333*10,0)</f>
        <v>0</v>
      </c>
      <c r="AY333" s="1989" t="e">
        <f>#REF!/10^7</f>
        <v>#REF!</v>
      </c>
      <c r="AZ333" s="1989" t="e">
        <f>#REF!/10^7</f>
        <v>#REF!</v>
      </c>
      <c r="BA333" s="2002" t="e">
        <f t="shared" ref="BA333:BA393" si="732">IF(AS333=0,0,(BB333/(AS333)*10))</f>
        <v>#REF!</v>
      </c>
      <c r="BB333" s="1999" t="e">
        <f t="shared" si="703"/>
        <v>#REF!</v>
      </c>
      <c r="BC333" s="1993" t="e">
        <f>#REF!</f>
        <v>#REF!</v>
      </c>
      <c r="BD333" s="2003">
        <f t="shared" ref="BD333:BD395" si="733">IFERROR(BE333/$BC333*10,0)</f>
        <v>0</v>
      </c>
      <c r="BE333" s="1989" t="e">
        <f>#REF!/10^7</f>
        <v>#REF!</v>
      </c>
      <c r="BF333" s="2003">
        <f t="shared" ref="BF333:BF395" si="734">IFERROR(BG333/$BC333*10,0)</f>
        <v>0</v>
      </c>
      <c r="BG333" s="1989" t="e">
        <f>#REF!/10^7</f>
        <v>#REF!</v>
      </c>
      <c r="BH333" s="2003">
        <f t="shared" ref="BH333:BH395" si="735">IFERROR(BI333/$BC333*10,0)</f>
        <v>0</v>
      </c>
      <c r="BI333" s="1989" t="e">
        <f>#REF!/10^7</f>
        <v>#REF!</v>
      </c>
      <c r="BJ333" s="1989" t="e">
        <f>#REF!/10^7</f>
        <v>#REF!</v>
      </c>
      <c r="BK333" s="2002" t="e">
        <f t="shared" ref="BK333:BK393" si="736">IF(BC333=0,0,(BL333/(BC333)*10))</f>
        <v>#REF!</v>
      </c>
      <c r="BL333" s="1999" t="e">
        <f t="shared" si="704"/>
        <v>#REF!</v>
      </c>
      <c r="BM333" s="1993" t="e">
        <f>#REF!</f>
        <v>#REF!</v>
      </c>
      <c r="BN333" s="2003">
        <f t="shared" ref="BN333:BN395" si="737">IFERROR(BO333/$BM333*10,0)</f>
        <v>0</v>
      </c>
      <c r="BO333" s="1989" t="e">
        <f>#REF!/10^7</f>
        <v>#REF!</v>
      </c>
      <c r="BP333" s="2003">
        <f t="shared" ref="BP333:BP395" si="738">IFERROR(BQ333/$BM333*10,0)</f>
        <v>0</v>
      </c>
      <c r="BQ333" s="1989" t="e">
        <f>#REF!/10^7</f>
        <v>#REF!</v>
      </c>
      <c r="BR333" s="2003">
        <f t="shared" ref="BR333:BR395" si="739">IFERROR(BS333/$BM333*10,0)</f>
        <v>0</v>
      </c>
      <c r="BS333" s="1989" t="e">
        <f>#REF!/10^7</f>
        <v>#REF!</v>
      </c>
      <c r="BT333" s="1989" t="e">
        <f>#REF!/10^7</f>
        <v>#REF!</v>
      </c>
      <c r="BU333" s="2002" t="e">
        <f t="shared" ref="BU333:BU393" si="740">IF(BM333=0,0,(BV333/(BM333)*10))</f>
        <v>#REF!</v>
      </c>
      <c r="BV333" s="1999" t="e">
        <f t="shared" si="705"/>
        <v>#REF!</v>
      </c>
      <c r="BW333" s="1993" t="e">
        <f>#REF!</f>
        <v>#REF!</v>
      </c>
      <c r="BX333" s="2003">
        <f t="shared" ref="BX333:BX393" si="741">IFERROR(BY333/$BW333*10,0)</f>
        <v>0</v>
      </c>
      <c r="BY333" s="1989" t="e">
        <f>#REF!/10^7</f>
        <v>#REF!</v>
      </c>
      <c r="BZ333" s="2003">
        <f t="shared" ref="BZ333:BZ395" si="742">IFERROR(CA333/$BW333*10,0)</f>
        <v>0</v>
      </c>
      <c r="CA333" s="1989" t="e">
        <f>#REF!/10^7</f>
        <v>#REF!</v>
      </c>
      <c r="CB333" s="2003">
        <f t="shared" ref="CB333:CB395" si="743">IFERROR(CC333/$BW333*10,0)</f>
        <v>0</v>
      </c>
      <c r="CC333" s="1989" t="e">
        <f>#REF!/10^7</f>
        <v>#REF!</v>
      </c>
      <c r="CD333" s="1989" t="e">
        <f>#REF!/10^7</f>
        <v>#REF!</v>
      </c>
      <c r="CE333" s="2002" t="e">
        <f t="shared" ref="CE333:CE393" si="744">IF(BW333=0,0,(CF333/(BW333)*10))</f>
        <v>#REF!</v>
      </c>
      <c r="CF333" s="1999" t="e">
        <f t="shared" si="706"/>
        <v>#REF!</v>
      </c>
      <c r="CG333" s="1993" t="e">
        <f>#REF!</f>
        <v>#REF!</v>
      </c>
      <c r="CH333" s="2003">
        <f t="shared" ref="CH333:CH395" si="745">IFERROR(CI333/$CG333*10,0)</f>
        <v>0</v>
      </c>
      <c r="CI333" s="1989" t="e">
        <f>#REF!/10^7</f>
        <v>#REF!</v>
      </c>
      <c r="CJ333" s="2003">
        <f t="shared" ref="CJ333:CJ395" si="746">IFERROR(CK333/$CG333*10,0)</f>
        <v>0</v>
      </c>
      <c r="CK333" s="1989" t="e">
        <f>#REF!/10^7</f>
        <v>#REF!</v>
      </c>
      <c r="CL333" s="2003">
        <f t="shared" ref="CL333:CL395" si="747">IFERROR(CM333/$CG333*10,0)</f>
        <v>0</v>
      </c>
      <c r="CM333" s="1989" t="e">
        <f>#REF!/10^7</f>
        <v>#REF!</v>
      </c>
      <c r="CN333" s="1989" t="e">
        <f>#REF!/10^7</f>
        <v>#REF!</v>
      </c>
      <c r="CO333" s="2002" t="e">
        <f t="shared" ref="CO333:CO393" si="748">IF(CG333=0,0,(CP333/(CG333)*10))</f>
        <v>#REF!</v>
      </c>
      <c r="CP333" s="1999" t="e">
        <f t="shared" si="707"/>
        <v>#REF!</v>
      </c>
      <c r="CQ333" s="1993" t="e">
        <f>#REF!</f>
        <v>#REF!</v>
      </c>
      <c r="CR333" s="2003">
        <f t="shared" ref="CR333:CR395" si="749">IFERROR(CS333/$CQ333*10,0)</f>
        <v>0</v>
      </c>
      <c r="CS333" s="1989" t="e">
        <f>#REF!/10^7</f>
        <v>#REF!</v>
      </c>
      <c r="CT333" s="2003">
        <f t="shared" ref="CT333:CT395" si="750">IFERROR(CU333/$CQ333*10,0)</f>
        <v>0</v>
      </c>
      <c r="CU333" s="1989" t="e">
        <f>#REF!/10^7</f>
        <v>#REF!</v>
      </c>
      <c r="CV333" s="2003">
        <f t="shared" ref="CV333:CV395" si="751">IFERROR(CW333/$CQ333*10,0)</f>
        <v>0</v>
      </c>
      <c r="CW333" s="1989" t="e">
        <f>#REF!/10^7</f>
        <v>#REF!</v>
      </c>
      <c r="CX333" s="1989" t="e">
        <f>#REF!/10^7</f>
        <v>#REF!</v>
      </c>
      <c r="CY333" s="2002" t="e">
        <f t="shared" ref="CY333:CY393" si="752">IF(CQ333=0,0,(CZ333/(CQ333)*10))</f>
        <v>#REF!</v>
      </c>
      <c r="CZ333" s="1999" t="e">
        <f t="shared" si="710"/>
        <v>#REF!</v>
      </c>
      <c r="DA333" s="1993" t="e">
        <f>#REF!</f>
        <v>#REF!</v>
      </c>
      <c r="DB333" s="2003">
        <f t="shared" ref="DB333:DB395" si="753">IFERROR(DC333/$DA333*10,0)</f>
        <v>0</v>
      </c>
      <c r="DC333" s="1989" t="e">
        <f>#REF!/10^7</f>
        <v>#REF!</v>
      </c>
      <c r="DD333" s="2003">
        <f t="shared" ref="DD333:DD395" si="754">IFERROR(DE333/$DA333*10,0)</f>
        <v>0</v>
      </c>
      <c r="DE333" s="1989" t="e">
        <f>#REF!/10^7</f>
        <v>#REF!</v>
      </c>
      <c r="DF333" s="2003">
        <f t="shared" ref="DF333:DF393" si="755">IFERROR(DG333/$DA333*10,0)</f>
        <v>0</v>
      </c>
      <c r="DG333" s="1989" t="e">
        <f>#REF!/10^7</f>
        <v>#REF!</v>
      </c>
      <c r="DH333" s="1989" t="e">
        <f>#REF!/10^7</f>
        <v>#REF!</v>
      </c>
      <c r="DI333" s="2002" t="e">
        <f t="shared" ref="DI333:DI393" si="756">IF(DA333=0,0,(DJ333/(DA333)*10))</f>
        <v>#REF!</v>
      </c>
      <c r="DJ333" s="1999" t="e">
        <f t="shared" si="711"/>
        <v>#REF!</v>
      </c>
      <c r="DK333" s="1993" t="e">
        <f>#REF!</f>
        <v>#REF!</v>
      </c>
      <c r="DL333" s="2003">
        <f t="shared" ref="DL333:DL395" si="757">IFERROR(DM333/$DK333*10,0)</f>
        <v>0</v>
      </c>
      <c r="DM333" s="1989" t="e">
        <f>#REF!/10^7</f>
        <v>#REF!</v>
      </c>
      <c r="DN333" s="2003">
        <f t="shared" ref="DN333:DN395" si="758">IFERROR(DO333/$DK333*10,0)</f>
        <v>0</v>
      </c>
      <c r="DO333" s="1989" t="e">
        <f>#REF!/10^7</f>
        <v>#REF!</v>
      </c>
      <c r="DP333" s="2003">
        <f t="shared" ref="DP333:DP395" si="759">IFERROR(DQ333/$DK333*10,0)</f>
        <v>0</v>
      </c>
      <c r="DQ333" s="1989" t="e">
        <f>#REF!/10^7</f>
        <v>#REF!</v>
      </c>
      <c r="DR333" s="1989" t="e">
        <f>#REF!/10^7</f>
        <v>#REF!</v>
      </c>
      <c r="DS333" s="2002" t="e">
        <f t="shared" ref="DS333:DS393" si="760">IF(DK333=0,0,(DT333/(DK333)*10))</f>
        <v>#REF!</v>
      </c>
      <c r="DT333" s="2004" t="e">
        <f t="shared" si="712"/>
        <v>#REF!</v>
      </c>
      <c r="DU333" s="1988" t="e">
        <f>#REF!</f>
        <v>#REF!</v>
      </c>
      <c r="DV333" s="2003">
        <f t="shared" ref="DV333:DV395" si="761">IFERROR(DW333/$DU333*10,0)</f>
        <v>0</v>
      </c>
      <c r="DW333" s="1989" t="e">
        <f>#REF!/10^7</f>
        <v>#REF!</v>
      </c>
      <c r="DX333" s="2003">
        <f t="shared" ref="DX333:DX395" si="762">IFERROR(DY333/$DU333*10,0)</f>
        <v>0</v>
      </c>
      <c r="DY333" s="1989" t="e">
        <f>#REF!/10^7</f>
        <v>#REF!</v>
      </c>
      <c r="DZ333" s="2003">
        <f t="shared" ref="DZ333:DZ395" si="763">IFERROR(EA333/$DU333*10,0)</f>
        <v>0</v>
      </c>
      <c r="EA333" s="1989" t="e">
        <f>#REF!/10^7</f>
        <v>#REF!</v>
      </c>
      <c r="EB333" s="1989" t="e">
        <f>#REF!/10^7</f>
        <v>#REF!</v>
      </c>
      <c r="EC333" s="2002" t="e">
        <f t="shared" ref="EC333:EC393" si="764">IF(DU333=0,0,(ED333/(DU333)*10))</f>
        <v>#REF!</v>
      </c>
      <c r="ED333" s="1998" t="e">
        <f t="shared" si="713"/>
        <v>#REF!</v>
      </c>
      <c r="EE333" s="2005" t="e">
        <f t="shared" ref="EE333:EE343" si="765">O333+Y333+AI333+AS333+BC333+BM333+BW333+CG333+CQ333+DA333+DK333+DU333</f>
        <v>#REF!</v>
      </c>
      <c r="EF333" s="2003">
        <f t="shared" ref="EF333:EF393" si="766">IFERROR(EG333/$EE333*10,0)</f>
        <v>0</v>
      </c>
      <c r="EG333" s="1989" t="e">
        <f t="shared" si="714"/>
        <v>#REF!</v>
      </c>
      <c r="EH333" s="2003">
        <f t="shared" ref="EH333:EH395" si="767">IFERROR(EI333/$EE333*10,0)</f>
        <v>0</v>
      </c>
      <c r="EI333" s="1989" t="e">
        <f t="shared" si="715"/>
        <v>#REF!</v>
      </c>
      <c r="EJ333" s="2003">
        <f t="shared" ref="EJ333:EJ395" si="768">IFERROR(EK333/$EE333*10,0)</f>
        <v>0</v>
      </c>
      <c r="EK333" s="1989" t="e">
        <f t="shared" si="716"/>
        <v>#REF!</v>
      </c>
      <c r="EL333" s="1989" t="e">
        <f t="shared" si="716"/>
        <v>#REF!</v>
      </c>
      <c r="EM333" s="2006" t="e">
        <f t="shared" ref="EM333:EM393" si="769">IF(EE333=0,0,(EN333/(EE333)*10))</f>
        <v>#REF!</v>
      </c>
      <c r="EN333" s="1999" t="e">
        <f t="shared" ref="EN333:EN343" si="770">EG333+EI333+EK333+EL333</f>
        <v>#REF!</v>
      </c>
      <c r="EP333" s="1613" t="e">
        <f>EA333-#REF!/10^7</f>
        <v>#REF!</v>
      </c>
      <c r="EW333" s="1611" t="e">
        <v>#N/A</v>
      </c>
      <c r="EX333" s="1612" t="e">
        <v>#N/A</v>
      </c>
      <c r="EZ333" s="1650">
        <f t="shared" ref="EZ333:EZ394" si="771">IFERROR(EI333/(EE333*10^6),0)</f>
        <v>0</v>
      </c>
    </row>
    <row r="334" spans="1:156" ht="21" customHeight="1">
      <c r="A334" s="1652">
        <v>3</v>
      </c>
      <c r="B334" s="1668" t="s">
        <v>1990</v>
      </c>
      <c r="C334" s="1662">
        <v>250</v>
      </c>
      <c r="D334" s="1646">
        <f t="shared" si="708"/>
        <v>40</v>
      </c>
      <c r="E334" s="1646"/>
      <c r="F334" s="1648"/>
      <c r="G334" s="1648"/>
      <c r="H334" s="1648">
        <v>100</v>
      </c>
      <c r="I334" s="1648" t="s">
        <v>1667</v>
      </c>
      <c r="J334" s="1649">
        <v>1</v>
      </c>
      <c r="K334" s="1648"/>
      <c r="L334" s="1648"/>
      <c r="M334" s="1648"/>
      <c r="N334" s="1642"/>
      <c r="O334" s="2000" t="e">
        <f>#REF!</f>
        <v>#REF!</v>
      </c>
      <c r="P334" s="2003">
        <f t="shared" si="717"/>
        <v>0</v>
      </c>
      <c r="Q334" s="1989" t="e">
        <f>#REF!/10^7</f>
        <v>#REF!</v>
      </c>
      <c r="R334" s="2003">
        <f t="shared" si="718"/>
        <v>0</v>
      </c>
      <c r="S334" s="1989" t="e">
        <f>#REF!/10^7</f>
        <v>#REF!</v>
      </c>
      <c r="T334" s="2003">
        <f t="shared" si="719"/>
        <v>0</v>
      </c>
      <c r="U334" s="1989" t="e">
        <f>#REF!/10^7</f>
        <v>#REF!</v>
      </c>
      <c r="V334" s="1989" t="e">
        <f>#REF!/10^7</f>
        <v>#REF!</v>
      </c>
      <c r="W334" s="1989">
        <f t="shared" si="720"/>
        <v>0</v>
      </c>
      <c r="X334" s="1999" t="e">
        <f t="shared" si="709"/>
        <v>#REF!</v>
      </c>
      <c r="Y334" s="1993" t="e">
        <f>#REF!</f>
        <v>#REF!</v>
      </c>
      <c r="Z334" s="2003">
        <f t="shared" si="721"/>
        <v>0</v>
      </c>
      <c r="AA334" s="1989" t="e">
        <f>#REF!/10^7</f>
        <v>#REF!</v>
      </c>
      <c r="AB334" s="2003">
        <f t="shared" si="722"/>
        <v>0</v>
      </c>
      <c r="AC334" s="1989" t="e">
        <f>#REF!/10^7</f>
        <v>#REF!</v>
      </c>
      <c r="AD334" s="2003">
        <f t="shared" si="723"/>
        <v>0</v>
      </c>
      <c r="AE334" s="1989" t="e">
        <f>#REF!/10^7</f>
        <v>#REF!</v>
      </c>
      <c r="AF334" s="1989" t="e">
        <f>#REF!/10^7</f>
        <v>#REF!</v>
      </c>
      <c r="AG334" s="2002" t="e">
        <f t="shared" si="724"/>
        <v>#REF!</v>
      </c>
      <c r="AH334" s="1999" t="e">
        <f t="shared" si="701"/>
        <v>#REF!</v>
      </c>
      <c r="AI334" s="1993" t="e">
        <f>#REF!</f>
        <v>#REF!</v>
      </c>
      <c r="AJ334" s="2003">
        <f t="shared" si="725"/>
        <v>0</v>
      </c>
      <c r="AK334" s="1989" t="e">
        <f>#REF!/10^7</f>
        <v>#REF!</v>
      </c>
      <c r="AL334" s="2003">
        <f t="shared" si="726"/>
        <v>0</v>
      </c>
      <c r="AM334" s="1989" t="e">
        <f>#REF!/10^7</f>
        <v>#REF!</v>
      </c>
      <c r="AN334" s="2003">
        <f t="shared" si="727"/>
        <v>0</v>
      </c>
      <c r="AO334" s="1989" t="e">
        <f>#REF!/10^7</f>
        <v>#REF!</v>
      </c>
      <c r="AP334" s="1989" t="e">
        <f>#REF!/10^7</f>
        <v>#REF!</v>
      </c>
      <c r="AQ334" s="2002" t="e">
        <f t="shared" si="728"/>
        <v>#REF!</v>
      </c>
      <c r="AR334" s="1999" t="e">
        <f t="shared" si="702"/>
        <v>#REF!</v>
      </c>
      <c r="AS334" s="1993" t="e">
        <f>#REF!</f>
        <v>#REF!</v>
      </c>
      <c r="AT334" s="2003">
        <f t="shared" si="729"/>
        <v>0</v>
      </c>
      <c r="AU334" s="1989" t="e">
        <f>#REF!/10^7</f>
        <v>#REF!</v>
      </c>
      <c r="AV334" s="2003">
        <f t="shared" si="730"/>
        <v>0</v>
      </c>
      <c r="AW334" s="1989" t="e">
        <f>#REF!/10^7</f>
        <v>#REF!</v>
      </c>
      <c r="AX334" s="2003">
        <f t="shared" si="731"/>
        <v>0</v>
      </c>
      <c r="AY334" s="1989" t="e">
        <f>#REF!/10^7</f>
        <v>#REF!</v>
      </c>
      <c r="AZ334" s="1989" t="e">
        <f>#REF!/10^7</f>
        <v>#REF!</v>
      </c>
      <c r="BA334" s="2002" t="e">
        <f t="shared" si="732"/>
        <v>#REF!</v>
      </c>
      <c r="BB334" s="1999" t="e">
        <f t="shared" si="703"/>
        <v>#REF!</v>
      </c>
      <c r="BC334" s="1993" t="e">
        <f>#REF!</f>
        <v>#REF!</v>
      </c>
      <c r="BD334" s="2003">
        <f t="shared" si="733"/>
        <v>0</v>
      </c>
      <c r="BE334" s="1989" t="e">
        <f>#REF!/10^7</f>
        <v>#REF!</v>
      </c>
      <c r="BF334" s="2003">
        <f t="shared" si="734"/>
        <v>0</v>
      </c>
      <c r="BG334" s="1989" t="e">
        <f>#REF!/10^7</f>
        <v>#REF!</v>
      </c>
      <c r="BH334" s="2003">
        <f t="shared" si="735"/>
        <v>0</v>
      </c>
      <c r="BI334" s="1989" t="e">
        <f>#REF!/10^7</f>
        <v>#REF!</v>
      </c>
      <c r="BJ334" s="1989" t="e">
        <f>#REF!/10^7</f>
        <v>#REF!</v>
      </c>
      <c r="BK334" s="2002" t="e">
        <f t="shared" si="736"/>
        <v>#REF!</v>
      </c>
      <c r="BL334" s="1999" t="e">
        <f t="shared" si="704"/>
        <v>#REF!</v>
      </c>
      <c r="BM334" s="1993" t="e">
        <f>#REF!</f>
        <v>#REF!</v>
      </c>
      <c r="BN334" s="2003">
        <f t="shared" si="737"/>
        <v>0</v>
      </c>
      <c r="BO334" s="1989" t="e">
        <f>#REF!/10^7</f>
        <v>#REF!</v>
      </c>
      <c r="BP334" s="2003">
        <f t="shared" si="738"/>
        <v>0</v>
      </c>
      <c r="BQ334" s="1989" t="e">
        <f>#REF!/10^7</f>
        <v>#REF!</v>
      </c>
      <c r="BR334" s="2003">
        <f t="shared" si="739"/>
        <v>0</v>
      </c>
      <c r="BS334" s="1989" t="e">
        <f>#REF!/10^7</f>
        <v>#REF!</v>
      </c>
      <c r="BT334" s="1989" t="e">
        <f>#REF!/10^7</f>
        <v>#REF!</v>
      </c>
      <c r="BU334" s="2002" t="e">
        <f t="shared" si="740"/>
        <v>#REF!</v>
      </c>
      <c r="BV334" s="1999" t="e">
        <f t="shared" si="705"/>
        <v>#REF!</v>
      </c>
      <c r="BW334" s="1993" t="e">
        <f>#REF!</f>
        <v>#REF!</v>
      </c>
      <c r="BX334" s="2003">
        <f t="shared" si="741"/>
        <v>0</v>
      </c>
      <c r="BY334" s="1989" t="e">
        <f>#REF!/10^7</f>
        <v>#REF!</v>
      </c>
      <c r="BZ334" s="2003">
        <f t="shared" si="742"/>
        <v>0</v>
      </c>
      <c r="CA334" s="1989" t="e">
        <f>#REF!/10^7</f>
        <v>#REF!</v>
      </c>
      <c r="CB334" s="2003">
        <f t="shared" si="743"/>
        <v>0</v>
      </c>
      <c r="CC334" s="1989" t="e">
        <f>#REF!/10^7</f>
        <v>#REF!</v>
      </c>
      <c r="CD334" s="1989" t="e">
        <f>#REF!/10^7</f>
        <v>#REF!</v>
      </c>
      <c r="CE334" s="2002" t="e">
        <f t="shared" si="744"/>
        <v>#REF!</v>
      </c>
      <c r="CF334" s="1999" t="e">
        <f t="shared" si="706"/>
        <v>#REF!</v>
      </c>
      <c r="CG334" s="1993" t="e">
        <f>#REF!</f>
        <v>#REF!</v>
      </c>
      <c r="CH334" s="2003">
        <f t="shared" si="745"/>
        <v>0</v>
      </c>
      <c r="CI334" s="1989" t="e">
        <f>#REF!/10^7</f>
        <v>#REF!</v>
      </c>
      <c r="CJ334" s="2003">
        <f t="shared" si="746"/>
        <v>0</v>
      </c>
      <c r="CK334" s="1989" t="e">
        <f>#REF!/10^7</f>
        <v>#REF!</v>
      </c>
      <c r="CL334" s="2003">
        <f t="shared" si="747"/>
        <v>0</v>
      </c>
      <c r="CM334" s="1989" t="e">
        <f>#REF!/10^7</f>
        <v>#REF!</v>
      </c>
      <c r="CN334" s="1989" t="e">
        <f>#REF!/10^7</f>
        <v>#REF!</v>
      </c>
      <c r="CO334" s="2002" t="e">
        <f t="shared" si="748"/>
        <v>#REF!</v>
      </c>
      <c r="CP334" s="1999" t="e">
        <f t="shared" si="707"/>
        <v>#REF!</v>
      </c>
      <c r="CQ334" s="1993" t="e">
        <f>#REF!</f>
        <v>#REF!</v>
      </c>
      <c r="CR334" s="2003">
        <f t="shared" si="749"/>
        <v>0</v>
      </c>
      <c r="CS334" s="1989" t="e">
        <f>#REF!/10^7</f>
        <v>#REF!</v>
      </c>
      <c r="CT334" s="2003">
        <f t="shared" si="750"/>
        <v>0</v>
      </c>
      <c r="CU334" s="1989" t="e">
        <f>#REF!/10^7</f>
        <v>#REF!</v>
      </c>
      <c r="CV334" s="2003">
        <f t="shared" si="751"/>
        <v>0</v>
      </c>
      <c r="CW334" s="1989" t="e">
        <f>#REF!/10^7</f>
        <v>#REF!</v>
      </c>
      <c r="CX334" s="1989" t="e">
        <f>#REF!/10^7</f>
        <v>#REF!</v>
      </c>
      <c r="CY334" s="2002" t="e">
        <f t="shared" si="752"/>
        <v>#REF!</v>
      </c>
      <c r="CZ334" s="1999" t="e">
        <f t="shared" si="710"/>
        <v>#REF!</v>
      </c>
      <c r="DA334" s="1993" t="e">
        <f>#REF!</f>
        <v>#REF!</v>
      </c>
      <c r="DB334" s="2003">
        <f t="shared" si="753"/>
        <v>0</v>
      </c>
      <c r="DC334" s="1989" t="e">
        <f>#REF!/10^7</f>
        <v>#REF!</v>
      </c>
      <c r="DD334" s="2003">
        <f t="shared" si="754"/>
        <v>0</v>
      </c>
      <c r="DE334" s="1989" t="e">
        <f>#REF!/10^7</f>
        <v>#REF!</v>
      </c>
      <c r="DF334" s="2003">
        <f t="shared" si="755"/>
        <v>0</v>
      </c>
      <c r="DG334" s="1989" t="e">
        <f>#REF!/10^7</f>
        <v>#REF!</v>
      </c>
      <c r="DH334" s="1989" t="e">
        <f>#REF!/10^7</f>
        <v>#REF!</v>
      </c>
      <c r="DI334" s="2002" t="e">
        <f t="shared" si="756"/>
        <v>#REF!</v>
      </c>
      <c r="DJ334" s="1999" t="e">
        <f t="shared" si="711"/>
        <v>#REF!</v>
      </c>
      <c r="DK334" s="1993" t="e">
        <f>#REF!</f>
        <v>#REF!</v>
      </c>
      <c r="DL334" s="2003">
        <f t="shared" si="757"/>
        <v>0</v>
      </c>
      <c r="DM334" s="1989" t="e">
        <f>#REF!/10^7</f>
        <v>#REF!</v>
      </c>
      <c r="DN334" s="2003">
        <f t="shared" si="758"/>
        <v>0</v>
      </c>
      <c r="DO334" s="1989" t="e">
        <f>#REF!/10^7</f>
        <v>#REF!</v>
      </c>
      <c r="DP334" s="2003">
        <f t="shared" si="759"/>
        <v>0</v>
      </c>
      <c r="DQ334" s="1989" t="e">
        <f>#REF!/10^7</f>
        <v>#REF!</v>
      </c>
      <c r="DR334" s="1989" t="e">
        <f>#REF!/10^7</f>
        <v>#REF!</v>
      </c>
      <c r="DS334" s="2002" t="e">
        <f t="shared" si="760"/>
        <v>#REF!</v>
      </c>
      <c r="DT334" s="2004" t="e">
        <f t="shared" si="712"/>
        <v>#REF!</v>
      </c>
      <c r="DU334" s="1988" t="e">
        <f>#REF!</f>
        <v>#REF!</v>
      </c>
      <c r="DV334" s="2003">
        <f t="shared" si="761"/>
        <v>0</v>
      </c>
      <c r="DW334" s="1989" t="e">
        <f>#REF!/10^7</f>
        <v>#REF!</v>
      </c>
      <c r="DX334" s="2003">
        <f t="shared" si="762"/>
        <v>0</v>
      </c>
      <c r="DY334" s="1989" t="e">
        <f>#REF!/10^7</f>
        <v>#REF!</v>
      </c>
      <c r="DZ334" s="2003">
        <f t="shared" si="763"/>
        <v>0</v>
      </c>
      <c r="EA334" s="1989" t="e">
        <f>#REF!/10^7</f>
        <v>#REF!</v>
      </c>
      <c r="EB334" s="1989" t="e">
        <f>#REF!/10^7</f>
        <v>#REF!</v>
      </c>
      <c r="EC334" s="2002" t="e">
        <f t="shared" si="764"/>
        <v>#REF!</v>
      </c>
      <c r="ED334" s="1998" t="e">
        <f t="shared" si="713"/>
        <v>#REF!</v>
      </c>
      <c r="EE334" s="2005" t="e">
        <f t="shared" si="765"/>
        <v>#REF!</v>
      </c>
      <c r="EF334" s="2003">
        <f t="shared" si="766"/>
        <v>0</v>
      </c>
      <c r="EG334" s="1989" t="e">
        <f t="shared" si="714"/>
        <v>#REF!</v>
      </c>
      <c r="EH334" s="2003">
        <f t="shared" si="767"/>
        <v>0</v>
      </c>
      <c r="EI334" s="1989" t="e">
        <f t="shared" si="715"/>
        <v>#REF!</v>
      </c>
      <c r="EJ334" s="2003">
        <f t="shared" si="768"/>
        <v>0</v>
      </c>
      <c r="EK334" s="1989" t="e">
        <f t="shared" si="716"/>
        <v>#REF!</v>
      </c>
      <c r="EL334" s="1989" t="e">
        <f t="shared" si="716"/>
        <v>#REF!</v>
      </c>
      <c r="EM334" s="2006" t="e">
        <f t="shared" si="769"/>
        <v>#REF!</v>
      </c>
      <c r="EN334" s="1999" t="e">
        <f t="shared" si="770"/>
        <v>#REF!</v>
      </c>
      <c r="EP334" s="1613" t="e">
        <f>EA334-#REF!/10^7</f>
        <v>#REF!</v>
      </c>
      <c r="EW334" s="1611" t="e">
        <v>#N/A</v>
      </c>
      <c r="EX334" s="1612" t="e">
        <v>#N/A</v>
      </c>
      <c r="EZ334" s="1650">
        <f t="shared" si="771"/>
        <v>0</v>
      </c>
    </row>
    <row r="335" spans="1:156" ht="21" customHeight="1">
      <c r="A335" s="1652">
        <v>4</v>
      </c>
      <c r="B335" s="1668" t="s">
        <v>1991</v>
      </c>
      <c r="C335" s="1662">
        <v>100</v>
      </c>
      <c r="D335" s="1646">
        <f t="shared" si="708"/>
        <v>50</v>
      </c>
      <c r="E335" s="1646"/>
      <c r="F335" s="1648"/>
      <c r="G335" s="1648"/>
      <c r="H335" s="1648">
        <v>50</v>
      </c>
      <c r="I335" s="1648" t="s">
        <v>1667</v>
      </c>
      <c r="J335" s="1649">
        <v>1</v>
      </c>
      <c r="K335" s="1648"/>
      <c r="L335" s="1648"/>
      <c r="M335" s="1648"/>
      <c r="N335" s="1642"/>
      <c r="O335" s="2000" t="e">
        <f>#REF!</f>
        <v>#REF!</v>
      </c>
      <c r="P335" s="2003">
        <f t="shared" si="717"/>
        <v>0</v>
      </c>
      <c r="Q335" s="1989" t="e">
        <f>#REF!/10^7</f>
        <v>#REF!</v>
      </c>
      <c r="R335" s="2003">
        <f t="shared" si="718"/>
        <v>0</v>
      </c>
      <c r="S335" s="1989" t="e">
        <f>#REF!/10^7</f>
        <v>#REF!</v>
      </c>
      <c r="T335" s="2003">
        <f t="shared" si="719"/>
        <v>0</v>
      </c>
      <c r="U335" s="1989" t="e">
        <f>#REF!/10^7</f>
        <v>#REF!</v>
      </c>
      <c r="V335" s="1989" t="e">
        <f>#REF!/10^7</f>
        <v>#REF!</v>
      </c>
      <c r="W335" s="1989">
        <f t="shared" si="720"/>
        <v>0</v>
      </c>
      <c r="X335" s="1999" t="e">
        <f t="shared" si="709"/>
        <v>#REF!</v>
      </c>
      <c r="Y335" s="1993" t="e">
        <f>#REF!</f>
        <v>#REF!</v>
      </c>
      <c r="Z335" s="2003">
        <f t="shared" si="721"/>
        <v>0</v>
      </c>
      <c r="AA335" s="1989" t="e">
        <f>#REF!/10^7</f>
        <v>#REF!</v>
      </c>
      <c r="AB335" s="2003">
        <f t="shared" si="722"/>
        <v>0</v>
      </c>
      <c r="AC335" s="1989" t="e">
        <f>#REF!/10^7</f>
        <v>#REF!</v>
      </c>
      <c r="AD335" s="2003">
        <f t="shared" si="723"/>
        <v>0</v>
      </c>
      <c r="AE335" s="1989" t="e">
        <f>#REF!/10^7</f>
        <v>#REF!</v>
      </c>
      <c r="AF335" s="1989" t="e">
        <f>#REF!/10^7</f>
        <v>#REF!</v>
      </c>
      <c r="AG335" s="2002" t="e">
        <f t="shared" si="724"/>
        <v>#REF!</v>
      </c>
      <c r="AH335" s="1999" t="e">
        <f t="shared" si="701"/>
        <v>#REF!</v>
      </c>
      <c r="AI335" s="1993" t="e">
        <f>#REF!</f>
        <v>#REF!</v>
      </c>
      <c r="AJ335" s="2003">
        <f t="shared" si="725"/>
        <v>0</v>
      </c>
      <c r="AK335" s="1989" t="e">
        <f>#REF!/10^7</f>
        <v>#REF!</v>
      </c>
      <c r="AL335" s="2003">
        <f t="shared" si="726"/>
        <v>0</v>
      </c>
      <c r="AM335" s="1989" t="e">
        <f>#REF!/10^7</f>
        <v>#REF!</v>
      </c>
      <c r="AN335" s="2003">
        <f t="shared" si="727"/>
        <v>0</v>
      </c>
      <c r="AO335" s="1989" t="e">
        <f>#REF!/10^7</f>
        <v>#REF!</v>
      </c>
      <c r="AP335" s="1989" t="e">
        <f>#REF!/10^7</f>
        <v>#REF!</v>
      </c>
      <c r="AQ335" s="2002" t="e">
        <f t="shared" si="728"/>
        <v>#REF!</v>
      </c>
      <c r="AR335" s="1999" t="e">
        <f t="shared" si="702"/>
        <v>#REF!</v>
      </c>
      <c r="AS335" s="1993" t="e">
        <f>#REF!</f>
        <v>#REF!</v>
      </c>
      <c r="AT335" s="2003">
        <f t="shared" si="729"/>
        <v>0</v>
      </c>
      <c r="AU335" s="1989" t="e">
        <f>#REF!/10^7</f>
        <v>#REF!</v>
      </c>
      <c r="AV335" s="2003">
        <f t="shared" si="730"/>
        <v>0</v>
      </c>
      <c r="AW335" s="1989" t="e">
        <f>#REF!/10^7</f>
        <v>#REF!</v>
      </c>
      <c r="AX335" s="2003">
        <f t="shared" si="731"/>
        <v>0</v>
      </c>
      <c r="AY335" s="1989" t="e">
        <f>#REF!/10^7</f>
        <v>#REF!</v>
      </c>
      <c r="AZ335" s="1989" t="e">
        <f>#REF!/10^7</f>
        <v>#REF!</v>
      </c>
      <c r="BA335" s="2002" t="e">
        <f t="shared" si="732"/>
        <v>#REF!</v>
      </c>
      <c r="BB335" s="1999" t="e">
        <f t="shared" si="703"/>
        <v>#REF!</v>
      </c>
      <c r="BC335" s="1993" t="e">
        <f>#REF!</f>
        <v>#REF!</v>
      </c>
      <c r="BD335" s="2003">
        <f t="shared" si="733"/>
        <v>0</v>
      </c>
      <c r="BE335" s="1989" t="e">
        <f>#REF!/10^7</f>
        <v>#REF!</v>
      </c>
      <c r="BF335" s="2003">
        <f t="shared" si="734"/>
        <v>0</v>
      </c>
      <c r="BG335" s="1989" t="e">
        <f>#REF!/10^7</f>
        <v>#REF!</v>
      </c>
      <c r="BH335" s="2003">
        <f t="shared" si="735"/>
        <v>0</v>
      </c>
      <c r="BI335" s="1989" t="e">
        <f>#REF!/10^7</f>
        <v>#REF!</v>
      </c>
      <c r="BJ335" s="1989" t="e">
        <f>#REF!/10^7</f>
        <v>#REF!</v>
      </c>
      <c r="BK335" s="2002" t="e">
        <f t="shared" si="736"/>
        <v>#REF!</v>
      </c>
      <c r="BL335" s="1999" t="e">
        <f t="shared" si="704"/>
        <v>#REF!</v>
      </c>
      <c r="BM335" s="1993" t="e">
        <f>#REF!</f>
        <v>#REF!</v>
      </c>
      <c r="BN335" s="2003">
        <f t="shared" si="737"/>
        <v>0</v>
      </c>
      <c r="BO335" s="1989" t="e">
        <f>#REF!/10^7</f>
        <v>#REF!</v>
      </c>
      <c r="BP335" s="2003">
        <f t="shared" si="738"/>
        <v>0</v>
      </c>
      <c r="BQ335" s="1989" t="e">
        <f>#REF!/10^7</f>
        <v>#REF!</v>
      </c>
      <c r="BR335" s="2003">
        <f t="shared" si="739"/>
        <v>0</v>
      </c>
      <c r="BS335" s="1989" t="e">
        <f>#REF!/10^7</f>
        <v>#REF!</v>
      </c>
      <c r="BT335" s="1989" t="e">
        <f>#REF!/10^7</f>
        <v>#REF!</v>
      </c>
      <c r="BU335" s="2002" t="e">
        <f t="shared" si="740"/>
        <v>#REF!</v>
      </c>
      <c r="BV335" s="1999" t="e">
        <f t="shared" si="705"/>
        <v>#REF!</v>
      </c>
      <c r="BW335" s="1993" t="e">
        <f>#REF!</f>
        <v>#REF!</v>
      </c>
      <c r="BX335" s="2003">
        <f t="shared" si="741"/>
        <v>0</v>
      </c>
      <c r="BY335" s="1989" t="e">
        <f>#REF!/10^7</f>
        <v>#REF!</v>
      </c>
      <c r="BZ335" s="2003">
        <f t="shared" si="742"/>
        <v>0</v>
      </c>
      <c r="CA335" s="1989" t="e">
        <f>#REF!/10^7</f>
        <v>#REF!</v>
      </c>
      <c r="CB335" s="2003">
        <f t="shared" si="743"/>
        <v>0</v>
      </c>
      <c r="CC335" s="1989" t="e">
        <f>#REF!/10^7</f>
        <v>#REF!</v>
      </c>
      <c r="CD335" s="1989" t="e">
        <f>#REF!/10^7</f>
        <v>#REF!</v>
      </c>
      <c r="CE335" s="2002" t="e">
        <f t="shared" si="744"/>
        <v>#REF!</v>
      </c>
      <c r="CF335" s="1999" t="e">
        <f t="shared" si="706"/>
        <v>#REF!</v>
      </c>
      <c r="CG335" s="1993" t="e">
        <f>#REF!</f>
        <v>#REF!</v>
      </c>
      <c r="CH335" s="2003">
        <f t="shared" si="745"/>
        <v>0</v>
      </c>
      <c r="CI335" s="1989" t="e">
        <f>#REF!/10^7</f>
        <v>#REF!</v>
      </c>
      <c r="CJ335" s="2003">
        <f t="shared" si="746"/>
        <v>0</v>
      </c>
      <c r="CK335" s="1989" t="e">
        <f>#REF!/10^7</f>
        <v>#REF!</v>
      </c>
      <c r="CL335" s="2003">
        <f t="shared" si="747"/>
        <v>0</v>
      </c>
      <c r="CM335" s="1989" t="e">
        <f>#REF!/10^7</f>
        <v>#REF!</v>
      </c>
      <c r="CN335" s="1989" t="e">
        <f>#REF!/10^7</f>
        <v>#REF!</v>
      </c>
      <c r="CO335" s="2002" t="e">
        <f t="shared" si="748"/>
        <v>#REF!</v>
      </c>
      <c r="CP335" s="1999" t="e">
        <f t="shared" si="707"/>
        <v>#REF!</v>
      </c>
      <c r="CQ335" s="1993" t="e">
        <f>#REF!</f>
        <v>#REF!</v>
      </c>
      <c r="CR335" s="2003">
        <f t="shared" si="749"/>
        <v>0</v>
      </c>
      <c r="CS335" s="1989" t="e">
        <f>#REF!/10^7</f>
        <v>#REF!</v>
      </c>
      <c r="CT335" s="2003">
        <f t="shared" si="750"/>
        <v>0</v>
      </c>
      <c r="CU335" s="1989" t="e">
        <f>#REF!/10^7</f>
        <v>#REF!</v>
      </c>
      <c r="CV335" s="2003">
        <f t="shared" si="751"/>
        <v>0</v>
      </c>
      <c r="CW335" s="1989" t="e">
        <f>#REF!/10^7</f>
        <v>#REF!</v>
      </c>
      <c r="CX335" s="1989" t="e">
        <f>#REF!/10^7</f>
        <v>#REF!</v>
      </c>
      <c r="CY335" s="2002" t="e">
        <f t="shared" si="752"/>
        <v>#REF!</v>
      </c>
      <c r="CZ335" s="1999" t="e">
        <f t="shared" si="710"/>
        <v>#REF!</v>
      </c>
      <c r="DA335" s="1993" t="e">
        <f>#REF!</f>
        <v>#REF!</v>
      </c>
      <c r="DB335" s="2003">
        <f t="shared" si="753"/>
        <v>0</v>
      </c>
      <c r="DC335" s="1989" t="e">
        <f>#REF!/10^7</f>
        <v>#REF!</v>
      </c>
      <c r="DD335" s="2003">
        <f t="shared" si="754"/>
        <v>0</v>
      </c>
      <c r="DE335" s="1989" t="e">
        <f>#REF!/10^7</f>
        <v>#REF!</v>
      </c>
      <c r="DF335" s="2003">
        <f t="shared" si="755"/>
        <v>0</v>
      </c>
      <c r="DG335" s="1989" t="e">
        <f>#REF!/10^7</f>
        <v>#REF!</v>
      </c>
      <c r="DH335" s="1989" t="e">
        <f>#REF!/10^7</f>
        <v>#REF!</v>
      </c>
      <c r="DI335" s="2002" t="e">
        <f t="shared" si="756"/>
        <v>#REF!</v>
      </c>
      <c r="DJ335" s="1999" t="e">
        <f t="shared" si="711"/>
        <v>#REF!</v>
      </c>
      <c r="DK335" s="1993" t="e">
        <f>#REF!</f>
        <v>#REF!</v>
      </c>
      <c r="DL335" s="2003">
        <f t="shared" si="757"/>
        <v>0</v>
      </c>
      <c r="DM335" s="1989" t="e">
        <f>#REF!/10^7</f>
        <v>#REF!</v>
      </c>
      <c r="DN335" s="2003">
        <f t="shared" si="758"/>
        <v>0</v>
      </c>
      <c r="DO335" s="1989" t="e">
        <f>#REF!/10^7</f>
        <v>#REF!</v>
      </c>
      <c r="DP335" s="2003">
        <f t="shared" si="759"/>
        <v>0</v>
      </c>
      <c r="DQ335" s="1989" t="e">
        <f>#REF!/10^7</f>
        <v>#REF!</v>
      </c>
      <c r="DR335" s="1989" t="e">
        <f>#REF!/10^7</f>
        <v>#REF!</v>
      </c>
      <c r="DS335" s="2002" t="e">
        <f t="shared" si="760"/>
        <v>#REF!</v>
      </c>
      <c r="DT335" s="2004" t="e">
        <f t="shared" si="712"/>
        <v>#REF!</v>
      </c>
      <c r="DU335" s="1988" t="e">
        <f>#REF!</f>
        <v>#REF!</v>
      </c>
      <c r="DV335" s="2003">
        <f t="shared" si="761"/>
        <v>0</v>
      </c>
      <c r="DW335" s="1989" t="e">
        <f>#REF!/10^7</f>
        <v>#REF!</v>
      </c>
      <c r="DX335" s="2003">
        <f t="shared" si="762"/>
        <v>0</v>
      </c>
      <c r="DY335" s="1989" t="e">
        <f>#REF!/10^7</f>
        <v>#REF!</v>
      </c>
      <c r="DZ335" s="2003">
        <f t="shared" si="763"/>
        <v>0</v>
      </c>
      <c r="EA335" s="1989" t="e">
        <f>#REF!/10^7</f>
        <v>#REF!</v>
      </c>
      <c r="EB335" s="1989" t="e">
        <f>#REF!/10^7</f>
        <v>#REF!</v>
      </c>
      <c r="EC335" s="2002" t="e">
        <f t="shared" si="764"/>
        <v>#REF!</v>
      </c>
      <c r="ED335" s="1998" t="e">
        <f t="shared" si="713"/>
        <v>#REF!</v>
      </c>
      <c r="EE335" s="2005" t="e">
        <f t="shared" si="765"/>
        <v>#REF!</v>
      </c>
      <c r="EF335" s="2003">
        <f t="shared" si="766"/>
        <v>0</v>
      </c>
      <c r="EG335" s="1989" t="e">
        <f t="shared" si="714"/>
        <v>#REF!</v>
      </c>
      <c r="EH335" s="2003">
        <f t="shared" si="767"/>
        <v>0</v>
      </c>
      <c r="EI335" s="1989" t="e">
        <f t="shared" si="715"/>
        <v>#REF!</v>
      </c>
      <c r="EJ335" s="2003">
        <f t="shared" si="768"/>
        <v>0</v>
      </c>
      <c r="EK335" s="1989" t="e">
        <f t="shared" si="716"/>
        <v>#REF!</v>
      </c>
      <c r="EL335" s="1989" t="e">
        <f t="shared" si="716"/>
        <v>#REF!</v>
      </c>
      <c r="EM335" s="2006" t="e">
        <f t="shared" si="769"/>
        <v>#REF!</v>
      </c>
      <c r="EN335" s="1999" t="e">
        <f t="shared" si="770"/>
        <v>#REF!</v>
      </c>
      <c r="EP335" s="1613" t="e">
        <f>EA335-#REF!/10^7</f>
        <v>#REF!</v>
      </c>
      <c r="EW335" s="1611" t="e">
        <v>#N/A</v>
      </c>
      <c r="EX335" s="1612" t="e">
        <v>#N/A</v>
      </c>
      <c r="EZ335" s="1650">
        <f t="shared" si="771"/>
        <v>0</v>
      </c>
    </row>
    <row r="336" spans="1:156" ht="21" customHeight="1">
      <c r="A336" s="1652">
        <v>5</v>
      </c>
      <c r="B336" s="1668" t="s">
        <v>1992</v>
      </c>
      <c r="C336" s="1662">
        <v>150</v>
      </c>
      <c r="D336" s="1646">
        <f t="shared" si="708"/>
        <v>26.666666666666668</v>
      </c>
      <c r="E336" s="1646"/>
      <c r="F336" s="1648"/>
      <c r="G336" s="1648"/>
      <c r="H336" s="1648">
        <v>40</v>
      </c>
      <c r="I336" s="1648" t="s">
        <v>1667</v>
      </c>
      <c r="J336" s="1649">
        <v>1</v>
      </c>
      <c r="K336" s="1648"/>
      <c r="L336" s="1648"/>
      <c r="M336" s="1648"/>
      <c r="N336" s="1642"/>
      <c r="O336" s="2000" t="e">
        <f>#REF!</f>
        <v>#REF!</v>
      </c>
      <c r="P336" s="2003">
        <f t="shared" si="717"/>
        <v>0</v>
      </c>
      <c r="Q336" s="1989" t="e">
        <f>#REF!/10^7</f>
        <v>#REF!</v>
      </c>
      <c r="R336" s="2003">
        <f t="shared" si="718"/>
        <v>0</v>
      </c>
      <c r="S336" s="1989" t="e">
        <f>#REF!/10^7</f>
        <v>#REF!</v>
      </c>
      <c r="T336" s="2003">
        <f t="shared" si="719"/>
        <v>0</v>
      </c>
      <c r="U336" s="1989" t="e">
        <f>#REF!/10^7</f>
        <v>#REF!</v>
      </c>
      <c r="V336" s="1989" t="e">
        <f>#REF!/10^7</f>
        <v>#REF!</v>
      </c>
      <c r="W336" s="1989">
        <f t="shared" si="720"/>
        <v>0</v>
      </c>
      <c r="X336" s="1999" t="e">
        <f t="shared" si="709"/>
        <v>#REF!</v>
      </c>
      <c r="Y336" s="1993" t="e">
        <f>#REF!</f>
        <v>#REF!</v>
      </c>
      <c r="Z336" s="2003">
        <f t="shared" si="721"/>
        <v>0</v>
      </c>
      <c r="AA336" s="1989" t="e">
        <f>#REF!/10^7</f>
        <v>#REF!</v>
      </c>
      <c r="AB336" s="2003">
        <f t="shared" si="722"/>
        <v>0</v>
      </c>
      <c r="AC336" s="1989" t="e">
        <f>#REF!/10^7</f>
        <v>#REF!</v>
      </c>
      <c r="AD336" s="2003">
        <f t="shared" si="723"/>
        <v>0</v>
      </c>
      <c r="AE336" s="1989" t="e">
        <f>#REF!/10^7</f>
        <v>#REF!</v>
      </c>
      <c r="AF336" s="1989" t="e">
        <f>#REF!/10^7</f>
        <v>#REF!</v>
      </c>
      <c r="AG336" s="2002" t="e">
        <f t="shared" si="724"/>
        <v>#REF!</v>
      </c>
      <c r="AH336" s="1999" t="e">
        <f t="shared" si="701"/>
        <v>#REF!</v>
      </c>
      <c r="AI336" s="1993" t="e">
        <f>#REF!</f>
        <v>#REF!</v>
      </c>
      <c r="AJ336" s="2003">
        <f t="shared" si="725"/>
        <v>0</v>
      </c>
      <c r="AK336" s="1989" t="e">
        <f>#REF!/10^7</f>
        <v>#REF!</v>
      </c>
      <c r="AL336" s="2003">
        <f t="shared" si="726"/>
        <v>0</v>
      </c>
      <c r="AM336" s="1989" t="e">
        <f>#REF!/10^7</f>
        <v>#REF!</v>
      </c>
      <c r="AN336" s="2003">
        <f t="shared" si="727"/>
        <v>0</v>
      </c>
      <c r="AO336" s="1989" t="e">
        <f>#REF!/10^7</f>
        <v>#REF!</v>
      </c>
      <c r="AP336" s="1989" t="e">
        <f>#REF!/10^7</f>
        <v>#REF!</v>
      </c>
      <c r="AQ336" s="2002" t="e">
        <f t="shared" si="728"/>
        <v>#REF!</v>
      </c>
      <c r="AR336" s="1999" t="e">
        <f t="shared" si="702"/>
        <v>#REF!</v>
      </c>
      <c r="AS336" s="1993" t="e">
        <f>#REF!</f>
        <v>#REF!</v>
      </c>
      <c r="AT336" s="2003">
        <f t="shared" si="729"/>
        <v>0</v>
      </c>
      <c r="AU336" s="1989" t="e">
        <f>#REF!/10^7</f>
        <v>#REF!</v>
      </c>
      <c r="AV336" s="2003">
        <f t="shared" si="730"/>
        <v>0</v>
      </c>
      <c r="AW336" s="1989" t="e">
        <f>#REF!/10^7</f>
        <v>#REF!</v>
      </c>
      <c r="AX336" s="2003">
        <f t="shared" si="731"/>
        <v>0</v>
      </c>
      <c r="AY336" s="1989" t="e">
        <f>#REF!/10^7</f>
        <v>#REF!</v>
      </c>
      <c r="AZ336" s="1989" t="e">
        <f>#REF!/10^7</f>
        <v>#REF!</v>
      </c>
      <c r="BA336" s="2002" t="e">
        <f t="shared" si="732"/>
        <v>#REF!</v>
      </c>
      <c r="BB336" s="1999" t="e">
        <f t="shared" si="703"/>
        <v>#REF!</v>
      </c>
      <c r="BC336" s="1993" t="e">
        <f>#REF!</f>
        <v>#REF!</v>
      </c>
      <c r="BD336" s="2003">
        <f t="shared" si="733"/>
        <v>0</v>
      </c>
      <c r="BE336" s="1989" t="e">
        <f>#REF!/10^7</f>
        <v>#REF!</v>
      </c>
      <c r="BF336" s="2003">
        <f t="shared" si="734"/>
        <v>0</v>
      </c>
      <c r="BG336" s="1989" t="e">
        <f>#REF!/10^7</f>
        <v>#REF!</v>
      </c>
      <c r="BH336" s="2003">
        <f t="shared" si="735"/>
        <v>0</v>
      </c>
      <c r="BI336" s="1989" t="e">
        <f>#REF!/10^7</f>
        <v>#REF!</v>
      </c>
      <c r="BJ336" s="1989" t="e">
        <f>#REF!/10^7</f>
        <v>#REF!</v>
      </c>
      <c r="BK336" s="2002" t="e">
        <f t="shared" si="736"/>
        <v>#REF!</v>
      </c>
      <c r="BL336" s="1999" t="e">
        <f t="shared" si="704"/>
        <v>#REF!</v>
      </c>
      <c r="BM336" s="1993" t="e">
        <f>#REF!</f>
        <v>#REF!</v>
      </c>
      <c r="BN336" s="2003">
        <f t="shared" si="737"/>
        <v>0</v>
      </c>
      <c r="BO336" s="1989" t="e">
        <f>#REF!/10^7</f>
        <v>#REF!</v>
      </c>
      <c r="BP336" s="2003">
        <f t="shared" si="738"/>
        <v>0</v>
      </c>
      <c r="BQ336" s="1989" t="e">
        <f>#REF!/10^7</f>
        <v>#REF!</v>
      </c>
      <c r="BR336" s="2003">
        <f t="shared" si="739"/>
        <v>0</v>
      </c>
      <c r="BS336" s="1989" t="e">
        <f>#REF!/10^7</f>
        <v>#REF!</v>
      </c>
      <c r="BT336" s="1989" t="e">
        <f>#REF!/10^7</f>
        <v>#REF!</v>
      </c>
      <c r="BU336" s="2002" t="e">
        <f t="shared" si="740"/>
        <v>#REF!</v>
      </c>
      <c r="BV336" s="1999" t="e">
        <f t="shared" si="705"/>
        <v>#REF!</v>
      </c>
      <c r="BW336" s="1993" t="e">
        <f>#REF!</f>
        <v>#REF!</v>
      </c>
      <c r="BX336" s="2003">
        <f t="shared" si="741"/>
        <v>0</v>
      </c>
      <c r="BY336" s="1989" t="e">
        <f>#REF!/10^7</f>
        <v>#REF!</v>
      </c>
      <c r="BZ336" s="2003">
        <f t="shared" si="742"/>
        <v>0</v>
      </c>
      <c r="CA336" s="1989" t="e">
        <f>#REF!/10^7</f>
        <v>#REF!</v>
      </c>
      <c r="CB336" s="2003">
        <f t="shared" si="743"/>
        <v>0</v>
      </c>
      <c r="CC336" s="1989" t="e">
        <f>#REF!/10^7</f>
        <v>#REF!</v>
      </c>
      <c r="CD336" s="1989" t="e">
        <f>#REF!/10^7</f>
        <v>#REF!</v>
      </c>
      <c r="CE336" s="2002" t="e">
        <f t="shared" si="744"/>
        <v>#REF!</v>
      </c>
      <c r="CF336" s="1999" t="e">
        <f t="shared" si="706"/>
        <v>#REF!</v>
      </c>
      <c r="CG336" s="1993" t="e">
        <f>#REF!</f>
        <v>#REF!</v>
      </c>
      <c r="CH336" s="2003">
        <f t="shared" si="745"/>
        <v>0</v>
      </c>
      <c r="CI336" s="1989" t="e">
        <f>#REF!/10^7</f>
        <v>#REF!</v>
      </c>
      <c r="CJ336" s="2003">
        <f t="shared" si="746"/>
        <v>0</v>
      </c>
      <c r="CK336" s="1989" t="e">
        <f>#REF!/10^7</f>
        <v>#REF!</v>
      </c>
      <c r="CL336" s="2003">
        <f t="shared" si="747"/>
        <v>0</v>
      </c>
      <c r="CM336" s="1989" t="e">
        <f>#REF!/10^7</f>
        <v>#REF!</v>
      </c>
      <c r="CN336" s="1989" t="e">
        <f>#REF!/10^7</f>
        <v>#REF!</v>
      </c>
      <c r="CO336" s="2002" t="e">
        <f t="shared" si="748"/>
        <v>#REF!</v>
      </c>
      <c r="CP336" s="1999" t="e">
        <f t="shared" si="707"/>
        <v>#REF!</v>
      </c>
      <c r="CQ336" s="1993" t="e">
        <f>#REF!</f>
        <v>#REF!</v>
      </c>
      <c r="CR336" s="2003">
        <f t="shared" si="749"/>
        <v>0</v>
      </c>
      <c r="CS336" s="1989" t="e">
        <f>#REF!/10^7</f>
        <v>#REF!</v>
      </c>
      <c r="CT336" s="2003">
        <f t="shared" si="750"/>
        <v>0</v>
      </c>
      <c r="CU336" s="1989" t="e">
        <f>#REF!/10^7</f>
        <v>#REF!</v>
      </c>
      <c r="CV336" s="2003">
        <f t="shared" si="751"/>
        <v>0</v>
      </c>
      <c r="CW336" s="1989" t="e">
        <f>#REF!/10^7</f>
        <v>#REF!</v>
      </c>
      <c r="CX336" s="1989" t="e">
        <f>#REF!/10^7</f>
        <v>#REF!</v>
      </c>
      <c r="CY336" s="2002" t="e">
        <f t="shared" si="752"/>
        <v>#REF!</v>
      </c>
      <c r="CZ336" s="1999" t="e">
        <f t="shared" si="710"/>
        <v>#REF!</v>
      </c>
      <c r="DA336" s="1993" t="e">
        <f>#REF!</f>
        <v>#REF!</v>
      </c>
      <c r="DB336" s="2003">
        <f t="shared" si="753"/>
        <v>0</v>
      </c>
      <c r="DC336" s="1989" t="e">
        <f>#REF!/10^7</f>
        <v>#REF!</v>
      </c>
      <c r="DD336" s="2003">
        <f t="shared" si="754"/>
        <v>0</v>
      </c>
      <c r="DE336" s="1989" t="e">
        <f>#REF!/10^7</f>
        <v>#REF!</v>
      </c>
      <c r="DF336" s="2003">
        <f t="shared" si="755"/>
        <v>0</v>
      </c>
      <c r="DG336" s="1989" t="e">
        <f>#REF!/10^7</f>
        <v>#REF!</v>
      </c>
      <c r="DH336" s="1989" t="e">
        <f>#REF!/10^7</f>
        <v>#REF!</v>
      </c>
      <c r="DI336" s="2002" t="e">
        <f t="shared" si="756"/>
        <v>#REF!</v>
      </c>
      <c r="DJ336" s="1999" t="e">
        <f t="shared" si="711"/>
        <v>#REF!</v>
      </c>
      <c r="DK336" s="1993" t="e">
        <f>#REF!</f>
        <v>#REF!</v>
      </c>
      <c r="DL336" s="2003">
        <f t="shared" si="757"/>
        <v>0</v>
      </c>
      <c r="DM336" s="1989" t="e">
        <f>#REF!/10^7</f>
        <v>#REF!</v>
      </c>
      <c r="DN336" s="2003">
        <f t="shared" si="758"/>
        <v>0</v>
      </c>
      <c r="DO336" s="1989" t="e">
        <f>#REF!/10^7</f>
        <v>#REF!</v>
      </c>
      <c r="DP336" s="2003">
        <f t="shared" si="759"/>
        <v>0</v>
      </c>
      <c r="DQ336" s="1989" t="e">
        <f>#REF!/10^7</f>
        <v>#REF!</v>
      </c>
      <c r="DR336" s="1989" t="e">
        <f>#REF!/10^7</f>
        <v>#REF!</v>
      </c>
      <c r="DS336" s="2002" t="e">
        <f t="shared" si="760"/>
        <v>#REF!</v>
      </c>
      <c r="DT336" s="2004" t="e">
        <f t="shared" si="712"/>
        <v>#REF!</v>
      </c>
      <c r="DU336" s="1988" t="e">
        <f>#REF!</f>
        <v>#REF!</v>
      </c>
      <c r="DV336" s="2003">
        <f t="shared" si="761"/>
        <v>0</v>
      </c>
      <c r="DW336" s="1989" t="e">
        <f>#REF!/10^7</f>
        <v>#REF!</v>
      </c>
      <c r="DX336" s="2003">
        <f t="shared" si="762"/>
        <v>0</v>
      </c>
      <c r="DY336" s="1989" t="e">
        <f>#REF!/10^7</f>
        <v>#REF!</v>
      </c>
      <c r="DZ336" s="2003">
        <f t="shared" si="763"/>
        <v>0</v>
      </c>
      <c r="EA336" s="1989" t="e">
        <f>#REF!/10^7</f>
        <v>#REF!</v>
      </c>
      <c r="EB336" s="1989" t="e">
        <f>#REF!/10^7</f>
        <v>#REF!</v>
      </c>
      <c r="EC336" s="2002" t="e">
        <f t="shared" si="764"/>
        <v>#REF!</v>
      </c>
      <c r="ED336" s="1998" t="e">
        <f t="shared" si="713"/>
        <v>#REF!</v>
      </c>
      <c r="EE336" s="2005" t="e">
        <f t="shared" si="765"/>
        <v>#REF!</v>
      </c>
      <c r="EF336" s="2003">
        <f t="shared" si="766"/>
        <v>0</v>
      </c>
      <c r="EG336" s="1989" t="e">
        <f t="shared" si="714"/>
        <v>#REF!</v>
      </c>
      <c r="EH336" s="2003">
        <f t="shared" si="767"/>
        <v>0</v>
      </c>
      <c r="EI336" s="1989" t="e">
        <f t="shared" si="715"/>
        <v>#REF!</v>
      </c>
      <c r="EJ336" s="2003">
        <f t="shared" si="768"/>
        <v>0</v>
      </c>
      <c r="EK336" s="1989" t="e">
        <f t="shared" si="716"/>
        <v>#REF!</v>
      </c>
      <c r="EL336" s="1989" t="e">
        <f t="shared" si="716"/>
        <v>#REF!</v>
      </c>
      <c r="EM336" s="2006" t="e">
        <f t="shared" si="769"/>
        <v>#REF!</v>
      </c>
      <c r="EN336" s="1999" t="e">
        <f t="shared" si="770"/>
        <v>#REF!</v>
      </c>
      <c r="EP336" s="1613" t="e">
        <f>EA336-#REF!/10^7</f>
        <v>#REF!</v>
      </c>
      <c r="EW336" s="1611" t="e">
        <v>#N/A</v>
      </c>
      <c r="EX336" s="1612" t="e">
        <v>#N/A</v>
      </c>
      <c r="EZ336" s="1650">
        <f t="shared" si="771"/>
        <v>0</v>
      </c>
    </row>
    <row r="337" spans="1:156" ht="21" customHeight="1">
      <c r="A337" s="1652">
        <v>6</v>
      </c>
      <c r="B337" s="1668" t="s">
        <v>1993</v>
      </c>
      <c r="C337" s="1662">
        <v>125</v>
      </c>
      <c r="D337" s="1646">
        <f t="shared" si="708"/>
        <v>40</v>
      </c>
      <c r="E337" s="1646"/>
      <c r="F337" s="1648"/>
      <c r="G337" s="1648"/>
      <c r="H337" s="1648">
        <v>50</v>
      </c>
      <c r="I337" s="1648" t="s">
        <v>1667</v>
      </c>
      <c r="J337" s="1649">
        <v>1</v>
      </c>
      <c r="K337" s="1648"/>
      <c r="L337" s="1648"/>
      <c r="M337" s="1648"/>
      <c r="N337" s="1642"/>
      <c r="O337" s="2000" t="e">
        <f>#REF!</f>
        <v>#REF!</v>
      </c>
      <c r="P337" s="2003">
        <f t="shared" si="717"/>
        <v>0</v>
      </c>
      <c r="Q337" s="1989" t="e">
        <f>#REF!/10^7</f>
        <v>#REF!</v>
      </c>
      <c r="R337" s="2003">
        <f t="shared" si="718"/>
        <v>0</v>
      </c>
      <c r="S337" s="1989" t="e">
        <f>#REF!/10^7</f>
        <v>#REF!</v>
      </c>
      <c r="T337" s="2003">
        <f t="shared" si="719"/>
        <v>0</v>
      </c>
      <c r="U337" s="1989" t="e">
        <f>#REF!/10^7</f>
        <v>#REF!</v>
      </c>
      <c r="V337" s="1989" t="e">
        <f>#REF!/10^7</f>
        <v>#REF!</v>
      </c>
      <c r="W337" s="1989">
        <f t="shared" si="720"/>
        <v>0</v>
      </c>
      <c r="X337" s="1999" t="e">
        <f t="shared" si="709"/>
        <v>#REF!</v>
      </c>
      <c r="Y337" s="1993" t="e">
        <f>#REF!</f>
        <v>#REF!</v>
      </c>
      <c r="Z337" s="2003">
        <f t="shared" si="721"/>
        <v>0</v>
      </c>
      <c r="AA337" s="1989" t="e">
        <f>#REF!/10^7</f>
        <v>#REF!</v>
      </c>
      <c r="AB337" s="2003">
        <f t="shared" si="722"/>
        <v>0</v>
      </c>
      <c r="AC337" s="1989" t="e">
        <f>#REF!/10^7</f>
        <v>#REF!</v>
      </c>
      <c r="AD337" s="2003">
        <f t="shared" si="723"/>
        <v>0</v>
      </c>
      <c r="AE337" s="1989" t="e">
        <f>#REF!/10^7</f>
        <v>#REF!</v>
      </c>
      <c r="AF337" s="1989" t="e">
        <f>#REF!/10^7</f>
        <v>#REF!</v>
      </c>
      <c r="AG337" s="2002" t="e">
        <f t="shared" si="724"/>
        <v>#REF!</v>
      </c>
      <c r="AH337" s="1999" t="e">
        <f t="shared" si="701"/>
        <v>#REF!</v>
      </c>
      <c r="AI337" s="1993" t="e">
        <f>#REF!</f>
        <v>#REF!</v>
      </c>
      <c r="AJ337" s="2003">
        <f t="shared" si="725"/>
        <v>0</v>
      </c>
      <c r="AK337" s="1989" t="e">
        <f>#REF!/10^7</f>
        <v>#REF!</v>
      </c>
      <c r="AL337" s="2003">
        <f t="shared" si="726"/>
        <v>0</v>
      </c>
      <c r="AM337" s="1989" t="e">
        <f>#REF!/10^7</f>
        <v>#REF!</v>
      </c>
      <c r="AN337" s="2003">
        <f t="shared" si="727"/>
        <v>0</v>
      </c>
      <c r="AO337" s="1989" t="e">
        <f>#REF!/10^7</f>
        <v>#REF!</v>
      </c>
      <c r="AP337" s="1989" t="e">
        <f>#REF!/10^7</f>
        <v>#REF!</v>
      </c>
      <c r="AQ337" s="2002" t="e">
        <f t="shared" si="728"/>
        <v>#REF!</v>
      </c>
      <c r="AR337" s="1999" t="e">
        <f t="shared" si="702"/>
        <v>#REF!</v>
      </c>
      <c r="AS337" s="1993" t="e">
        <f>#REF!</f>
        <v>#REF!</v>
      </c>
      <c r="AT337" s="2003">
        <f t="shared" si="729"/>
        <v>0</v>
      </c>
      <c r="AU337" s="1989" t="e">
        <f>#REF!/10^7</f>
        <v>#REF!</v>
      </c>
      <c r="AV337" s="2003">
        <f t="shared" si="730"/>
        <v>0</v>
      </c>
      <c r="AW337" s="1989" t="e">
        <f>#REF!/10^7</f>
        <v>#REF!</v>
      </c>
      <c r="AX337" s="2003">
        <f t="shared" si="731"/>
        <v>0</v>
      </c>
      <c r="AY337" s="1989" t="e">
        <f>#REF!/10^7</f>
        <v>#REF!</v>
      </c>
      <c r="AZ337" s="1989" t="e">
        <f>#REF!/10^7</f>
        <v>#REF!</v>
      </c>
      <c r="BA337" s="2002" t="e">
        <f t="shared" si="732"/>
        <v>#REF!</v>
      </c>
      <c r="BB337" s="1999" t="e">
        <f t="shared" si="703"/>
        <v>#REF!</v>
      </c>
      <c r="BC337" s="1993" t="e">
        <f>#REF!</f>
        <v>#REF!</v>
      </c>
      <c r="BD337" s="2003">
        <f t="shared" si="733"/>
        <v>0</v>
      </c>
      <c r="BE337" s="1989" t="e">
        <f>#REF!/10^7</f>
        <v>#REF!</v>
      </c>
      <c r="BF337" s="2003">
        <f t="shared" si="734"/>
        <v>0</v>
      </c>
      <c r="BG337" s="1989" t="e">
        <f>#REF!/10^7</f>
        <v>#REF!</v>
      </c>
      <c r="BH337" s="2003">
        <f t="shared" si="735"/>
        <v>0</v>
      </c>
      <c r="BI337" s="1989" t="e">
        <f>#REF!/10^7</f>
        <v>#REF!</v>
      </c>
      <c r="BJ337" s="1989" t="e">
        <f>#REF!/10^7</f>
        <v>#REF!</v>
      </c>
      <c r="BK337" s="2002" t="e">
        <f t="shared" si="736"/>
        <v>#REF!</v>
      </c>
      <c r="BL337" s="1999" t="e">
        <f t="shared" si="704"/>
        <v>#REF!</v>
      </c>
      <c r="BM337" s="1993" t="e">
        <f>#REF!</f>
        <v>#REF!</v>
      </c>
      <c r="BN337" s="2003">
        <f t="shared" si="737"/>
        <v>0</v>
      </c>
      <c r="BO337" s="1989" t="e">
        <f>#REF!/10^7</f>
        <v>#REF!</v>
      </c>
      <c r="BP337" s="2003">
        <f t="shared" si="738"/>
        <v>0</v>
      </c>
      <c r="BQ337" s="1989" t="e">
        <f>#REF!/10^7</f>
        <v>#REF!</v>
      </c>
      <c r="BR337" s="2003">
        <f t="shared" si="739"/>
        <v>0</v>
      </c>
      <c r="BS337" s="1989" t="e">
        <f>#REF!/10^7</f>
        <v>#REF!</v>
      </c>
      <c r="BT337" s="1989" t="e">
        <f>#REF!/10^7</f>
        <v>#REF!</v>
      </c>
      <c r="BU337" s="2002" t="e">
        <f t="shared" si="740"/>
        <v>#REF!</v>
      </c>
      <c r="BV337" s="1999" t="e">
        <f t="shared" si="705"/>
        <v>#REF!</v>
      </c>
      <c r="BW337" s="1993" t="e">
        <f>#REF!</f>
        <v>#REF!</v>
      </c>
      <c r="BX337" s="2003">
        <f t="shared" si="741"/>
        <v>0</v>
      </c>
      <c r="BY337" s="1989" t="e">
        <f>#REF!/10^7</f>
        <v>#REF!</v>
      </c>
      <c r="BZ337" s="2003">
        <f t="shared" si="742"/>
        <v>0</v>
      </c>
      <c r="CA337" s="1989" t="e">
        <f>#REF!/10^7</f>
        <v>#REF!</v>
      </c>
      <c r="CB337" s="2003">
        <f t="shared" si="743"/>
        <v>0</v>
      </c>
      <c r="CC337" s="1989" t="e">
        <f>#REF!/10^7</f>
        <v>#REF!</v>
      </c>
      <c r="CD337" s="1989" t="e">
        <f>#REF!/10^7</f>
        <v>#REF!</v>
      </c>
      <c r="CE337" s="2002" t="e">
        <f t="shared" si="744"/>
        <v>#REF!</v>
      </c>
      <c r="CF337" s="1999" t="e">
        <f t="shared" si="706"/>
        <v>#REF!</v>
      </c>
      <c r="CG337" s="1993" t="e">
        <f>#REF!</f>
        <v>#REF!</v>
      </c>
      <c r="CH337" s="2003">
        <f t="shared" si="745"/>
        <v>0</v>
      </c>
      <c r="CI337" s="1989" t="e">
        <f>#REF!/10^7</f>
        <v>#REF!</v>
      </c>
      <c r="CJ337" s="2003">
        <f t="shared" si="746"/>
        <v>0</v>
      </c>
      <c r="CK337" s="1989" t="e">
        <f>#REF!/10^7</f>
        <v>#REF!</v>
      </c>
      <c r="CL337" s="2003">
        <f t="shared" si="747"/>
        <v>0</v>
      </c>
      <c r="CM337" s="1989" t="e">
        <f>#REF!/10^7</f>
        <v>#REF!</v>
      </c>
      <c r="CN337" s="1989" t="e">
        <f>#REF!/10^7</f>
        <v>#REF!</v>
      </c>
      <c r="CO337" s="2002" t="e">
        <f t="shared" si="748"/>
        <v>#REF!</v>
      </c>
      <c r="CP337" s="1999" t="e">
        <f t="shared" si="707"/>
        <v>#REF!</v>
      </c>
      <c r="CQ337" s="1993" t="e">
        <f>#REF!</f>
        <v>#REF!</v>
      </c>
      <c r="CR337" s="2003">
        <f t="shared" si="749"/>
        <v>0</v>
      </c>
      <c r="CS337" s="1989" t="e">
        <f>#REF!/10^7</f>
        <v>#REF!</v>
      </c>
      <c r="CT337" s="2003">
        <f t="shared" si="750"/>
        <v>0</v>
      </c>
      <c r="CU337" s="1989" t="e">
        <f>#REF!/10^7</f>
        <v>#REF!</v>
      </c>
      <c r="CV337" s="2003">
        <f t="shared" si="751"/>
        <v>0</v>
      </c>
      <c r="CW337" s="1989" t="e">
        <f>#REF!/10^7</f>
        <v>#REF!</v>
      </c>
      <c r="CX337" s="1989" t="e">
        <f>#REF!/10^7</f>
        <v>#REF!</v>
      </c>
      <c r="CY337" s="2002" t="e">
        <f t="shared" si="752"/>
        <v>#REF!</v>
      </c>
      <c r="CZ337" s="1999" t="e">
        <f t="shared" si="710"/>
        <v>#REF!</v>
      </c>
      <c r="DA337" s="1993" t="e">
        <f>#REF!</f>
        <v>#REF!</v>
      </c>
      <c r="DB337" s="2003">
        <f t="shared" si="753"/>
        <v>0</v>
      </c>
      <c r="DC337" s="1989" t="e">
        <f>#REF!/10^7</f>
        <v>#REF!</v>
      </c>
      <c r="DD337" s="2003">
        <f t="shared" si="754"/>
        <v>0</v>
      </c>
      <c r="DE337" s="1989" t="e">
        <f>#REF!/10^7</f>
        <v>#REF!</v>
      </c>
      <c r="DF337" s="2003">
        <f t="shared" si="755"/>
        <v>0</v>
      </c>
      <c r="DG337" s="1989" t="e">
        <f>#REF!/10^7</f>
        <v>#REF!</v>
      </c>
      <c r="DH337" s="1989" t="e">
        <f>#REF!/10^7</f>
        <v>#REF!</v>
      </c>
      <c r="DI337" s="2002" t="e">
        <f t="shared" si="756"/>
        <v>#REF!</v>
      </c>
      <c r="DJ337" s="1999" t="e">
        <f t="shared" si="711"/>
        <v>#REF!</v>
      </c>
      <c r="DK337" s="1993" t="e">
        <f>#REF!</f>
        <v>#REF!</v>
      </c>
      <c r="DL337" s="2003">
        <f t="shared" si="757"/>
        <v>0</v>
      </c>
      <c r="DM337" s="1989" t="e">
        <f>#REF!/10^7</f>
        <v>#REF!</v>
      </c>
      <c r="DN337" s="2003">
        <f t="shared" si="758"/>
        <v>0</v>
      </c>
      <c r="DO337" s="1989" t="e">
        <f>#REF!/10^7</f>
        <v>#REF!</v>
      </c>
      <c r="DP337" s="2003">
        <f t="shared" si="759"/>
        <v>0</v>
      </c>
      <c r="DQ337" s="1989" t="e">
        <f>#REF!/10^7</f>
        <v>#REF!</v>
      </c>
      <c r="DR337" s="1989" t="e">
        <f>#REF!/10^7</f>
        <v>#REF!</v>
      </c>
      <c r="DS337" s="2002" t="e">
        <f t="shared" si="760"/>
        <v>#REF!</v>
      </c>
      <c r="DT337" s="2004" t="e">
        <f t="shared" si="712"/>
        <v>#REF!</v>
      </c>
      <c r="DU337" s="1988" t="e">
        <f>#REF!</f>
        <v>#REF!</v>
      </c>
      <c r="DV337" s="2003">
        <f t="shared" si="761"/>
        <v>0</v>
      </c>
      <c r="DW337" s="1989" t="e">
        <f>#REF!/10^7</f>
        <v>#REF!</v>
      </c>
      <c r="DX337" s="2003">
        <f t="shared" si="762"/>
        <v>0</v>
      </c>
      <c r="DY337" s="1989" t="e">
        <f>#REF!/10^7</f>
        <v>#REF!</v>
      </c>
      <c r="DZ337" s="2003">
        <f t="shared" si="763"/>
        <v>0</v>
      </c>
      <c r="EA337" s="1989" t="e">
        <f>#REF!/10^7</f>
        <v>#REF!</v>
      </c>
      <c r="EB337" s="1989" t="e">
        <f>#REF!/10^7</f>
        <v>#REF!</v>
      </c>
      <c r="EC337" s="2002" t="e">
        <f t="shared" si="764"/>
        <v>#REF!</v>
      </c>
      <c r="ED337" s="1998" t="e">
        <f t="shared" si="713"/>
        <v>#REF!</v>
      </c>
      <c r="EE337" s="2005" t="e">
        <f t="shared" si="765"/>
        <v>#REF!</v>
      </c>
      <c r="EF337" s="2003">
        <f t="shared" si="766"/>
        <v>0</v>
      </c>
      <c r="EG337" s="1989" t="e">
        <f t="shared" si="714"/>
        <v>#REF!</v>
      </c>
      <c r="EH337" s="2003">
        <f t="shared" si="767"/>
        <v>0</v>
      </c>
      <c r="EI337" s="1989" t="e">
        <f t="shared" si="715"/>
        <v>#REF!</v>
      </c>
      <c r="EJ337" s="2003">
        <f t="shared" si="768"/>
        <v>0</v>
      </c>
      <c r="EK337" s="1989" t="e">
        <f t="shared" si="716"/>
        <v>#REF!</v>
      </c>
      <c r="EL337" s="1989" t="e">
        <f t="shared" si="716"/>
        <v>#REF!</v>
      </c>
      <c r="EM337" s="2006" t="e">
        <f t="shared" si="769"/>
        <v>#REF!</v>
      </c>
      <c r="EN337" s="1999" t="e">
        <f t="shared" si="770"/>
        <v>#REF!</v>
      </c>
      <c r="EP337" s="1613" t="e">
        <f>EA337-#REF!/10^7</f>
        <v>#REF!</v>
      </c>
      <c r="EW337" s="1611" t="e">
        <v>#N/A</v>
      </c>
      <c r="EX337" s="1612" t="e">
        <v>#N/A</v>
      </c>
      <c r="EZ337" s="1650">
        <f t="shared" si="771"/>
        <v>0</v>
      </c>
    </row>
    <row r="338" spans="1:156" ht="21" customHeight="1">
      <c r="A338" s="1652">
        <v>7</v>
      </c>
      <c r="B338" s="1668" t="s">
        <v>1994</v>
      </c>
      <c r="C338" s="1662">
        <v>125</v>
      </c>
      <c r="D338" s="1646">
        <f t="shared" si="708"/>
        <v>40</v>
      </c>
      <c r="E338" s="1646"/>
      <c r="F338" s="1648"/>
      <c r="G338" s="1648"/>
      <c r="H338" s="1648">
        <v>50</v>
      </c>
      <c r="I338" s="1648" t="s">
        <v>1667</v>
      </c>
      <c r="J338" s="1649">
        <v>1</v>
      </c>
      <c r="K338" s="1648"/>
      <c r="L338" s="1648"/>
      <c r="M338" s="1648"/>
      <c r="N338" s="1642"/>
      <c r="O338" s="2000" t="e">
        <f>#REF!</f>
        <v>#REF!</v>
      </c>
      <c r="P338" s="2003">
        <f t="shared" si="717"/>
        <v>0</v>
      </c>
      <c r="Q338" s="1989" t="e">
        <f>#REF!/10^7</f>
        <v>#REF!</v>
      </c>
      <c r="R338" s="2003">
        <f t="shared" si="718"/>
        <v>0</v>
      </c>
      <c r="S338" s="1989" t="e">
        <f>#REF!/10^7</f>
        <v>#REF!</v>
      </c>
      <c r="T338" s="2003">
        <f t="shared" si="719"/>
        <v>0</v>
      </c>
      <c r="U338" s="1989" t="e">
        <f>#REF!/10^7</f>
        <v>#REF!</v>
      </c>
      <c r="V338" s="1989" t="e">
        <f>#REF!/10^7</f>
        <v>#REF!</v>
      </c>
      <c r="W338" s="1989">
        <f t="shared" si="720"/>
        <v>0</v>
      </c>
      <c r="X338" s="1999" t="e">
        <f t="shared" si="709"/>
        <v>#REF!</v>
      </c>
      <c r="Y338" s="1993" t="e">
        <f>#REF!</f>
        <v>#REF!</v>
      </c>
      <c r="Z338" s="2003">
        <f t="shared" si="721"/>
        <v>0</v>
      </c>
      <c r="AA338" s="1989" t="e">
        <f>#REF!/10^7</f>
        <v>#REF!</v>
      </c>
      <c r="AB338" s="2003">
        <f t="shared" si="722"/>
        <v>0</v>
      </c>
      <c r="AC338" s="1989" t="e">
        <f>#REF!/10^7</f>
        <v>#REF!</v>
      </c>
      <c r="AD338" s="2003">
        <f t="shared" si="723"/>
        <v>0</v>
      </c>
      <c r="AE338" s="1989" t="e">
        <f>#REF!/10^7</f>
        <v>#REF!</v>
      </c>
      <c r="AF338" s="1989" t="e">
        <f>#REF!/10^7</f>
        <v>#REF!</v>
      </c>
      <c r="AG338" s="2002" t="e">
        <f t="shared" si="724"/>
        <v>#REF!</v>
      </c>
      <c r="AH338" s="1999" t="e">
        <f t="shared" si="701"/>
        <v>#REF!</v>
      </c>
      <c r="AI338" s="1993" t="e">
        <f>#REF!</f>
        <v>#REF!</v>
      </c>
      <c r="AJ338" s="2003">
        <f t="shared" si="725"/>
        <v>0</v>
      </c>
      <c r="AK338" s="1989" t="e">
        <f>#REF!/10^7</f>
        <v>#REF!</v>
      </c>
      <c r="AL338" s="2003">
        <f t="shared" si="726"/>
        <v>0</v>
      </c>
      <c r="AM338" s="1989" t="e">
        <f>#REF!/10^7</f>
        <v>#REF!</v>
      </c>
      <c r="AN338" s="2003">
        <f t="shared" si="727"/>
        <v>0</v>
      </c>
      <c r="AO338" s="1989" t="e">
        <f>#REF!/10^7</f>
        <v>#REF!</v>
      </c>
      <c r="AP338" s="1989" t="e">
        <f>#REF!/10^7</f>
        <v>#REF!</v>
      </c>
      <c r="AQ338" s="2002" t="e">
        <f t="shared" si="728"/>
        <v>#REF!</v>
      </c>
      <c r="AR338" s="1999" t="e">
        <f t="shared" si="702"/>
        <v>#REF!</v>
      </c>
      <c r="AS338" s="1993" t="e">
        <f>#REF!</f>
        <v>#REF!</v>
      </c>
      <c r="AT338" s="2003">
        <f t="shared" si="729"/>
        <v>0</v>
      </c>
      <c r="AU338" s="1989" t="e">
        <f>#REF!/10^7</f>
        <v>#REF!</v>
      </c>
      <c r="AV338" s="2003">
        <f t="shared" si="730"/>
        <v>0</v>
      </c>
      <c r="AW338" s="1989" t="e">
        <f>#REF!/10^7</f>
        <v>#REF!</v>
      </c>
      <c r="AX338" s="2003">
        <f t="shared" si="731"/>
        <v>0</v>
      </c>
      <c r="AY338" s="1989" t="e">
        <f>#REF!/10^7</f>
        <v>#REF!</v>
      </c>
      <c r="AZ338" s="1989" t="e">
        <f>#REF!/10^7</f>
        <v>#REF!</v>
      </c>
      <c r="BA338" s="2002" t="e">
        <f t="shared" si="732"/>
        <v>#REF!</v>
      </c>
      <c r="BB338" s="1999" t="e">
        <f t="shared" si="703"/>
        <v>#REF!</v>
      </c>
      <c r="BC338" s="1993" t="e">
        <f>#REF!</f>
        <v>#REF!</v>
      </c>
      <c r="BD338" s="2003">
        <f t="shared" si="733"/>
        <v>0</v>
      </c>
      <c r="BE338" s="1989" t="e">
        <f>#REF!/10^7</f>
        <v>#REF!</v>
      </c>
      <c r="BF338" s="2003">
        <f t="shared" si="734"/>
        <v>0</v>
      </c>
      <c r="BG338" s="1989" t="e">
        <f>#REF!/10^7</f>
        <v>#REF!</v>
      </c>
      <c r="BH338" s="2003">
        <f t="shared" si="735"/>
        <v>0</v>
      </c>
      <c r="BI338" s="1989" t="e">
        <f>#REF!/10^7</f>
        <v>#REF!</v>
      </c>
      <c r="BJ338" s="1989" t="e">
        <f>#REF!/10^7</f>
        <v>#REF!</v>
      </c>
      <c r="BK338" s="2002" t="e">
        <f t="shared" si="736"/>
        <v>#REF!</v>
      </c>
      <c r="BL338" s="1999" t="e">
        <f t="shared" si="704"/>
        <v>#REF!</v>
      </c>
      <c r="BM338" s="1993" t="e">
        <f>#REF!</f>
        <v>#REF!</v>
      </c>
      <c r="BN338" s="2003">
        <f t="shared" si="737"/>
        <v>0</v>
      </c>
      <c r="BO338" s="1989" t="e">
        <f>#REF!/10^7</f>
        <v>#REF!</v>
      </c>
      <c r="BP338" s="2003">
        <f t="shared" si="738"/>
        <v>0</v>
      </c>
      <c r="BQ338" s="1989" t="e">
        <f>#REF!/10^7</f>
        <v>#REF!</v>
      </c>
      <c r="BR338" s="2003">
        <f t="shared" si="739"/>
        <v>0</v>
      </c>
      <c r="BS338" s="1989" t="e">
        <f>#REF!/10^7</f>
        <v>#REF!</v>
      </c>
      <c r="BT338" s="1989" t="e">
        <f>#REF!/10^7</f>
        <v>#REF!</v>
      </c>
      <c r="BU338" s="2002" t="e">
        <f t="shared" si="740"/>
        <v>#REF!</v>
      </c>
      <c r="BV338" s="1999" t="e">
        <f t="shared" si="705"/>
        <v>#REF!</v>
      </c>
      <c r="BW338" s="1993" t="e">
        <f>#REF!</f>
        <v>#REF!</v>
      </c>
      <c r="BX338" s="2003">
        <f t="shared" si="741"/>
        <v>0</v>
      </c>
      <c r="BY338" s="1989" t="e">
        <f>#REF!/10^7</f>
        <v>#REF!</v>
      </c>
      <c r="BZ338" s="2003">
        <f t="shared" si="742"/>
        <v>0</v>
      </c>
      <c r="CA338" s="1989" t="e">
        <f>#REF!/10^7</f>
        <v>#REF!</v>
      </c>
      <c r="CB338" s="2003">
        <f t="shared" si="743"/>
        <v>0</v>
      </c>
      <c r="CC338" s="1989" t="e">
        <f>#REF!/10^7</f>
        <v>#REF!</v>
      </c>
      <c r="CD338" s="1989" t="e">
        <f>#REF!/10^7</f>
        <v>#REF!</v>
      </c>
      <c r="CE338" s="2002" t="e">
        <f t="shared" si="744"/>
        <v>#REF!</v>
      </c>
      <c r="CF338" s="1999" t="e">
        <f t="shared" si="706"/>
        <v>#REF!</v>
      </c>
      <c r="CG338" s="1993" t="e">
        <f>#REF!</f>
        <v>#REF!</v>
      </c>
      <c r="CH338" s="2003">
        <f t="shared" si="745"/>
        <v>0</v>
      </c>
      <c r="CI338" s="1989" t="e">
        <f>#REF!/10^7</f>
        <v>#REF!</v>
      </c>
      <c r="CJ338" s="2003">
        <f t="shared" si="746"/>
        <v>0</v>
      </c>
      <c r="CK338" s="1989" t="e">
        <f>#REF!/10^7</f>
        <v>#REF!</v>
      </c>
      <c r="CL338" s="2003">
        <f t="shared" si="747"/>
        <v>0</v>
      </c>
      <c r="CM338" s="1989" t="e">
        <f>#REF!/10^7</f>
        <v>#REF!</v>
      </c>
      <c r="CN338" s="1989" t="e">
        <f>#REF!/10^7</f>
        <v>#REF!</v>
      </c>
      <c r="CO338" s="2002" t="e">
        <f t="shared" si="748"/>
        <v>#REF!</v>
      </c>
      <c r="CP338" s="1999" t="e">
        <f t="shared" si="707"/>
        <v>#REF!</v>
      </c>
      <c r="CQ338" s="1993" t="e">
        <f>#REF!</f>
        <v>#REF!</v>
      </c>
      <c r="CR338" s="2003">
        <f t="shared" si="749"/>
        <v>0</v>
      </c>
      <c r="CS338" s="1989" t="e">
        <f>#REF!/10^7</f>
        <v>#REF!</v>
      </c>
      <c r="CT338" s="2003">
        <f t="shared" si="750"/>
        <v>0</v>
      </c>
      <c r="CU338" s="1989" t="e">
        <f>#REF!/10^7</f>
        <v>#REF!</v>
      </c>
      <c r="CV338" s="2003">
        <f t="shared" si="751"/>
        <v>0</v>
      </c>
      <c r="CW338" s="1989" t="e">
        <f>#REF!/10^7</f>
        <v>#REF!</v>
      </c>
      <c r="CX338" s="1989" t="e">
        <f>#REF!/10^7</f>
        <v>#REF!</v>
      </c>
      <c r="CY338" s="2002" t="e">
        <f t="shared" si="752"/>
        <v>#REF!</v>
      </c>
      <c r="CZ338" s="1999" t="e">
        <f t="shared" si="710"/>
        <v>#REF!</v>
      </c>
      <c r="DA338" s="1993" t="e">
        <f>#REF!</f>
        <v>#REF!</v>
      </c>
      <c r="DB338" s="2003">
        <f t="shared" si="753"/>
        <v>0</v>
      </c>
      <c r="DC338" s="1989" t="e">
        <f>#REF!/10^7</f>
        <v>#REF!</v>
      </c>
      <c r="DD338" s="2003">
        <f t="shared" si="754"/>
        <v>0</v>
      </c>
      <c r="DE338" s="1989" t="e">
        <f>#REF!/10^7</f>
        <v>#REF!</v>
      </c>
      <c r="DF338" s="2003">
        <f t="shared" si="755"/>
        <v>0</v>
      </c>
      <c r="DG338" s="1989" t="e">
        <f>#REF!/10^7</f>
        <v>#REF!</v>
      </c>
      <c r="DH338" s="1989" t="e">
        <f>#REF!/10^7</f>
        <v>#REF!</v>
      </c>
      <c r="DI338" s="2002" t="e">
        <f t="shared" si="756"/>
        <v>#REF!</v>
      </c>
      <c r="DJ338" s="1999" t="e">
        <f t="shared" si="711"/>
        <v>#REF!</v>
      </c>
      <c r="DK338" s="1993" t="e">
        <f>#REF!</f>
        <v>#REF!</v>
      </c>
      <c r="DL338" s="2003">
        <f t="shared" si="757"/>
        <v>0</v>
      </c>
      <c r="DM338" s="1989" t="e">
        <f>#REF!/10^7</f>
        <v>#REF!</v>
      </c>
      <c r="DN338" s="2003">
        <f t="shared" si="758"/>
        <v>0</v>
      </c>
      <c r="DO338" s="1989" t="e">
        <f>#REF!/10^7</f>
        <v>#REF!</v>
      </c>
      <c r="DP338" s="2003">
        <f t="shared" si="759"/>
        <v>0</v>
      </c>
      <c r="DQ338" s="1989" t="e">
        <f>#REF!/10^7</f>
        <v>#REF!</v>
      </c>
      <c r="DR338" s="1989" t="e">
        <f>#REF!/10^7</f>
        <v>#REF!</v>
      </c>
      <c r="DS338" s="2002" t="e">
        <f t="shared" si="760"/>
        <v>#REF!</v>
      </c>
      <c r="DT338" s="2004" t="e">
        <f t="shared" si="712"/>
        <v>#REF!</v>
      </c>
      <c r="DU338" s="1988" t="e">
        <f>#REF!</f>
        <v>#REF!</v>
      </c>
      <c r="DV338" s="2003">
        <f t="shared" si="761"/>
        <v>0</v>
      </c>
      <c r="DW338" s="1989" t="e">
        <f>#REF!/10^7</f>
        <v>#REF!</v>
      </c>
      <c r="DX338" s="2003">
        <f t="shared" si="762"/>
        <v>0</v>
      </c>
      <c r="DY338" s="1989" t="e">
        <f>#REF!/10^7</f>
        <v>#REF!</v>
      </c>
      <c r="DZ338" s="2003">
        <f t="shared" si="763"/>
        <v>0</v>
      </c>
      <c r="EA338" s="1989" t="e">
        <f>#REF!/10^7</f>
        <v>#REF!</v>
      </c>
      <c r="EB338" s="1989" t="e">
        <f>#REF!/10^7</f>
        <v>#REF!</v>
      </c>
      <c r="EC338" s="2002" t="e">
        <f t="shared" si="764"/>
        <v>#REF!</v>
      </c>
      <c r="ED338" s="1998" t="e">
        <f t="shared" si="713"/>
        <v>#REF!</v>
      </c>
      <c r="EE338" s="2005" t="e">
        <f t="shared" si="765"/>
        <v>#REF!</v>
      </c>
      <c r="EF338" s="2003">
        <f t="shared" si="766"/>
        <v>0</v>
      </c>
      <c r="EG338" s="1989" t="e">
        <f t="shared" si="714"/>
        <v>#REF!</v>
      </c>
      <c r="EH338" s="2003">
        <f t="shared" si="767"/>
        <v>0</v>
      </c>
      <c r="EI338" s="1989" t="e">
        <f t="shared" si="715"/>
        <v>#REF!</v>
      </c>
      <c r="EJ338" s="2003">
        <f t="shared" si="768"/>
        <v>0</v>
      </c>
      <c r="EK338" s="1989" t="e">
        <f t="shared" si="716"/>
        <v>#REF!</v>
      </c>
      <c r="EL338" s="1989" t="e">
        <f t="shared" si="716"/>
        <v>#REF!</v>
      </c>
      <c r="EM338" s="2006" t="e">
        <f t="shared" si="769"/>
        <v>#REF!</v>
      </c>
      <c r="EN338" s="1999" t="e">
        <f t="shared" si="770"/>
        <v>#REF!</v>
      </c>
      <c r="EP338" s="1613" t="e">
        <f>EA338-#REF!/10^7</f>
        <v>#REF!</v>
      </c>
      <c r="EW338" s="1611" t="e">
        <v>#N/A</v>
      </c>
      <c r="EX338" s="1612" t="e">
        <v>#N/A</v>
      </c>
      <c r="EZ338" s="1650">
        <f t="shared" si="771"/>
        <v>0</v>
      </c>
    </row>
    <row r="339" spans="1:156" ht="21" customHeight="1">
      <c r="A339" s="1652">
        <v>8</v>
      </c>
      <c r="B339" s="1644" t="s">
        <v>1995</v>
      </c>
      <c r="C339" s="1662"/>
      <c r="D339" s="1648"/>
      <c r="E339" s="1648"/>
      <c r="F339" s="1648"/>
      <c r="G339" s="1648"/>
      <c r="H339" s="1648"/>
      <c r="I339" s="1648" t="s">
        <v>1667</v>
      </c>
      <c r="J339" s="1649">
        <v>1</v>
      </c>
      <c r="K339" s="1648"/>
      <c r="L339" s="1648"/>
      <c r="M339" s="1648"/>
      <c r="N339" s="1642"/>
      <c r="O339" s="2000" t="e">
        <f>#REF!</f>
        <v>#REF!</v>
      </c>
      <c r="P339" s="2003">
        <f t="shared" si="717"/>
        <v>0</v>
      </c>
      <c r="Q339" s="1989" t="e">
        <f>#REF!/10^7</f>
        <v>#REF!</v>
      </c>
      <c r="R339" s="2003">
        <f t="shared" si="718"/>
        <v>0</v>
      </c>
      <c r="S339" s="1989" t="e">
        <f>#REF!/10^7</f>
        <v>#REF!</v>
      </c>
      <c r="T339" s="2003">
        <f t="shared" si="719"/>
        <v>0</v>
      </c>
      <c r="U339" s="1989" t="e">
        <f>#REF!/10^7</f>
        <v>#REF!</v>
      </c>
      <c r="V339" s="1989" t="e">
        <f>#REF!/10^7</f>
        <v>#REF!</v>
      </c>
      <c r="W339" s="1989">
        <f t="shared" si="720"/>
        <v>0</v>
      </c>
      <c r="X339" s="1999" t="e">
        <f t="shared" si="709"/>
        <v>#REF!</v>
      </c>
      <c r="Y339" s="1993" t="e">
        <f>#REF!</f>
        <v>#REF!</v>
      </c>
      <c r="Z339" s="2003">
        <f t="shared" si="721"/>
        <v>0</v>
      </c>
      <c r="AA339" s="1989" t="e">
        <f>#REF!/10^7</f>
        <v>#REF!</v>
      </c>
      <c r="AB339" s="2003">
        <f t="shared" si="722"/>
        <v>0</v>
      </c>
      <c r="AC339" s="1989" t="e">
        <f>#REF!/10^7</f>
        <v>#REF!</v>
      </c>
      <c r="AD339" s="2003">
        <f t="shared" si="723"/>
        <v>0</v>
      </c>
      <c r="AE339" s="1989" t="e">
        <f>#REF!/10^7</f>
        <v>#REF!</v>
      </c>
      <c r="AF339" s="1989" t="e">
        <f>#REF!/10^7</f>
        <v>#REF!</v>
      </c>
      <c r="AG339" s="2002" t="e">
        <f t="shared" si="724"/>
        <v>#REF!</v>
      </c>
      <c r="AH339" s="1999" t="e">
        <f t="shared" si="701"/>
        <v>#REF!</v>
      </c>
      <c r="AI339" s="1993" t="e">
        <f>#REF!</f>
        <v>#REF!</v>
      </c>
      <c r="AJ339" s="2003">
        <f t="shared" si="725"/>
        <v>0</v>
      </c>
      <c r="AK339" s="1989" t="e">
        <f>#REF!/10^7</f>
        <v>#REF!</v>
      </c>
      <c r="AL339" s="2003">
        <f t="shared" si="726"/>
        <v>0</v>
      </c>
      <c r="AM339" s="1989" t="e">
        <f>#REF!/10^7</f>
        <v>#REF!</v>
      </c>
      <c r="AN339" s="2003">
        <f t="shared" si="727"/>
        <v>0</v>
      </c>
      <c r="AO339" s="1989" t="e">
        <f>#REF!/10^7</f>
        <v>#REF!</v>
      </c>
      <c r="AP339" s="1989" t="e">
        <f>#REF!/10^7</f>
        <v>#REF!</v>
      </c>
      <c r="AQ339" s="2002" t="e">
        <f t="shared" si="728"/>
        <v>#REF!</v>
      </c>
      <c r="AR339" s="1999" t="e">
        <f t="shared" si="702"/>
        <v>#REF!</v>
      </c>
      <c r="AS339" s="1993" t="e">
        <f>#REF!</f>
        <v>#REF!</v>
      </c>
      <c r="AT339" s="2003">
        <f t="shared" si="729"/>
        <v>0</v>
      </c>
      <c r="AU339" s="1989" t="e">
        <f>#REF!/10^7</f>
        <v>#REF!</v>
      </c>
      <c r="AV339" s="2003">
        <f t="shared" si="730"/>
        <v>0</v>
      </c>
      <c r="AW339" s="1989" t="e">
        <f>#REF!/10^7</f>
        <v>#REF!</v>
      </c>
      <c r="AX339" s="2003">
        <f t="shared" si="731"/>
        <v>0</v>
      </c>
      <c r="AY339" s="1989" t="e">
        <f>#REF!/10^7</f>
        <v>#REF!</v>
      </c>
      <c r="AZ339" s="1989" t="e">
        <f>#REF!/10^7</f>
        <v>#REF!</v>
      </c>
      <c r="BA339" s="2002" t="e">
        <f t="shared" si="732"/>
        <v>#REF!</v>
      </c>
      <c r="BB339" s="1999" t="e">
        <f t="shared" si="703"/>
        <v>#REF!</v>
      </c>
      <c r="BC339" s="1993" t="e">
        <f>#REF!</f>
        <v>#REF!</v>
      </c>
      <c r="BD339" s="2003">
        <f t="shared" si="733"/>
        <v>0</v>
      </c>
      <c r="BE339" s="1989" t="e">
        <f>#REF!/10^7</f>
        <v>#REF!</v>
      </c>
      <c r="BF339" s="2003">
        <f t="shared" si="734"/>
        <v>0</v>
      </c>
      <c r="BG339" s="1989" t="e">
        <f>#REF!/10^7</f>
        <v>#REF!</v>
      </c>
      <c r="BH339" s="2003">
        <f t="shared" si="735"/>
        <v>0</v>
      </c>
      <c r="BI339" s="1989" t="e">
        <f>#REF!/10^7</f>
        <v>#REF!</v>
      </c>
      <c r="BJ339" s="1989" t="e">
        <f>#REF!/10^7</f>
        <v>#REF!</v>
      </c>
      <c r="BK339" s="2002" t="e">
        <f t="shared" si="736"/>
        <v>#REF!</v>
      </c>
      <c r="BL339" s="1999" t="e">
        <f t="shared" si="704"/>
        <v>#REF!</v>
      </c>
      <c r="BM339" s="1993" t="e">
        <f>#REF!</f>
        <v>#REF!</v>
      </c>
      <c r="BN339" s="2003">
        <f t="shared" si="737"/>
        <v>0</v>
      </c>
      <c r="BO339" s="1989" t="e">
        <f>#REF!/10^7</f>
        <v>#REF!</v>
      </c>
      <c r="BP339" s="2003">
        <f t="shared" si="738"/>
        <v>0</v>
      </c>
      <c r="BQ339" s="1989" t="e">
        <f>#REF!/10^7</f>
        <v>#REF!</v>
      </c>
      <c r="BR339" s="2003">
        <f t="shared" si="739"/>
        <v>0</v>
      </c>
      <c r="BS339" s="1989" t="e">
        <f>#REF!/10^7</f>
        <v>#REF!</v>
      </c>
      <c r="BT339" s="1989" t="e">
        <f>#REF!/10^7</f>
        <v>#REF!</v>
      </c>
      <c r="BU339" s="2002" t="e">
        <f t="shared" si="740"/>
        <v>#REF!</v>
      </c>
      <c r="BV339" s="1999" t="e">
        <f t="shared" si="705"/>
        <v>#REF!</v>
      </c>
      <c r="BW339" s="1993" t="e">
        <f>#REF!</f>
        <v>#REF!</v>
      </c>
      <c r="BX339" s="2003">
        <f t="shared" si="741"/>
        <v>0</v>
      </c>
      <c r="BY339" s="1989" t="e">
        <f>#REF!/10^7</f>
        <v>#REF!</v>
      </c>
      <c r="BZ339" s="2003">
        <f t="shared" si="742"/>
        <v>0</v>
      </c>
      <c r="CA339" s="1989" t="e">
        <f>#REF!/10^7</f>
        <v>#REF!</v>
      </c>
      <c r="CB339" s="2003">
        <f t="shared" si="743"/>
        <v>0</v>
      </c>
      <c r="CC339" s="1989" t="e">
        <f>#REF!/10^7</f>
        <v>#REF!</v>
      </c>
      <c r="CD339" s="1989" t="e">
        <f>#REF!/10^7</f>
        <v>#REF!</v>
      </c>
      <c r="CE339" s="2002" t="e">
        <f t="shared" si="744"/>
        <v>#REF!</v>
      </c>
      <c r="CF339" s="1999" t="e">
        <f t="shared" si="706"/>
        <v>#REF!</v>
      </c>
      <c r="CG339" s="1993" t="e">
        <f>#REF!</f>
        <v>#REF!</v>
      </c>
      <c r="CH339" s="2003">
        <f t="shared" si="745"/>
        <v>0</v>
      </c>
      <c r="CI339" s="1989" t="e">
        <f>#REF!/10^7</f>
        <v>#REF!</v>
      </c>
      <c r="CJ339" s="2003">
        <f t="shared" si="746"/>
        <v>0</v>
      </c>
      <c r="CK339" s="1989" t="e">
        <f>#REF!/10^7</f>
        <v>#REF!</v>
      </c>
      <c r="CL339" s="2003">
        <f t="shared" si="747"/>
        <v>0</v>
      </c>
      <c r="CM339" s="1989" t="e">
        <f>#REF!/10^7</f>
        <v>#REF!</v>
      </c>
      <c r="CN339" s="1989" t="e">
        <f>#REF!/10^7</f>
        <v>#REF!</v>
      </c>
      <c r="CO339" s="2002" t="e">
        <f t="shared" si="748"/>
        <v>#REF!</v>
      </c>
      <c r="CP339" s="1999" t="e">
        <f t="shared" si="707"/>
        <v>#REF!</v>
      </c>
      <c r="CQ339" s="1993" t="e">
        <f>#REF!</f>
        <v>#REF!</v>
      </c>
      <c r="CR339" s="2003">
        <f t="shared" si="749"/>
        <v>0</v>
      </c>
      <c r="CS339" s="1989" t="e">
        <f>#REF!/10^7</f>
        <v>#REF!</v>
      </c>
      <c r="CT339" s="2003">
        <f t="shared" si="750"/>
        <v>0</v>
      </c>
      <c r="CU339" s="1989" t="e">
        <f>#REF!/10^7</f>
        <v>#REF!</v>
      </c>
      <c r="CV339" s="2003">
        <f t="shared" si="751"/>
        <v>0</v>
      </c>
      <c r="CW339" s="1989" t="e">
        <f>#REF!/10^7</f>
        <v>#REF!</v>
      </c>
      <c r="CX339" s="1989" t="e">
        <f>#REF!/10^7</f>
        <v>#REF!</v>
      </c>
      <c r="CY339" s="2002" t="e">
        <f t="shared" si="752"/>
        <v>#REF!</v>
      </c>
      <c r="CZ339" s="1999" t="e">
        <f t="shared" si="710"/>
        <v>#REF!</v>
      </c>
      <c r="DA339" s="1993" t="e">
        <f>#REF!</f>
        <v>#REF!</v>
      </c>
      <c r="DB339" s="2003">
        <f t="shared" si="753"/>
        <v>0</v>
      </c>
      <c r="DC339" s="1989" t="e">
        <f>#REF!/10^7</f>
        <v>#REF!</v>
      </c>
      <c r="DD339" s="2003">
        <f t="shared" si="754"/>
        <v>0</v>
      </c>
      <c r="DE339" s="1989" t="e">
        <f>#REF!/10^7</f>
        <v>#REF!</v>
      </c>
      <c r="DF339" s="2003">
        <f t="shared" si="755"/>
        <v>0</v>
      </c>
      <c r="DG339" s="1989" t="e">
        <f>#REF!/10^7</f>
        <v>#REF!</v>
      </c>
      <c r="DH339" s="1989" t="e">
        <f>#REF!/10^7</f>
        <v>#REF!</v>
      </c>
      <c r="DI339" s="2002" t="e">
        <f t="shared" si="756"/>
        <v>#REF!</v>
      </c>
      <c r="DJ339" s="1999" t="e">
        <f t="shared" si="711"/>
        <v>#REF!</v>
      </c>
      <c r="DK339" s="1993" t="e">
        <f>#REF!</f>
        <v>#REF!</v>
      </c>
      <c r="DL339" s="2003">
        <f t="shared" si="757"/>
        <v>0</v>
      </c>
      <c r="DM339" s="1989" t="e">
        <f>#REF!/10^7</f>
        <v>#REF!</v>
      </c>
      <c r="DN339" s="2003">
        <f t="shared" si="758"/>
        <v>0</v>
      </c>
      <c r="DO339" s="1989" t="e">
        <f>#REF!/10^7</f>
        <v>#REF!</v>
      </c>
      <c r="DP339" s="2003">
        <f t="shared" si="759"/>
        <v>0</v>
      </c>
      <c r="DQ339" s="1989" t="e">
        <f>#REF!/10^7</f>
        <v>#REF!</v>
      </c>
      <c r="DR339" s="1989" t="e">
        <f>#REF!/10^7</f>
        <v>#REF!</v>
      </c>
      <c r="DS339" s="2002" t="e">
        <f t="shared" si="760"/>
        <v>#REF!</v>
      </c>
      <c r="DT339" s="2004" t="e">
        <f t="shared" si="712"/>
        <v>#REF!</v>
      </c>
      <c r="DU339" s="1988" t="e">
        <f>#REF!</f>
        <v>#REF!</v>
      </c>
      <c r="DV339" s="2003">
        <f t="shared" si="761"/>
        <v>0</v>
      </c>
      <c r="DW339" s="1989" t="e">
        <f>#REF!/10^7</f>
        <v>#REF!</v>
      </c>
      <c r="DX339" s="2003">
        <f t="shared" si="762"/>
        <v>0</v>
      </c>
      <c r="DY339" s="1989" t="e">
        <f>#REF!/10^7</f>
        <v>#REF!</v>
      </c>
      <c r="DZ339" s="2003">
        <f t="shared" si="763"/>
        <v>0</v>
      </c>
      <c r="EA339" s="1989" t="e">
        <f>#REF!/10^7</f>
        <v>#REF!</v>
      </c>
      <c r="EB339" s="1989" t="e">
        <f>#REF!/10^7</f>
        <v>#REF!</v>
      </c>
      <c r="EC339" s="2002" t="e">
        <f t="shared" si="764"/>
        <v>#REF!</v>
      </c>
      <c r="ED339" s="1998" t="e">
        <f t="shared" si="713"/>
        <v>#REF!</v>
      </c>
      <c r="EE339" s="2005" t="e">
        <f t="shared" si="765"/>
        <v>#REF!</v>
      </c>
      <c r="EF339" s="2003">
        <f t="shared" si="766"/>
        <v>0</v>
      </c>
      <c r="EG339" s="1989" t="e">
        <f t="shared" si="714"/>
        <v>#REF!</v>
      </c>
      <c r="EH339" s="2003">
        <f t="shared" si="767"/>
        <v>0</v>
      </c>
      <c r="EI339" s="1989" t="e">
        <f t="shared" si="715"/>
        <v>#REF!</v>
      </c>
      <c r="EJ339" s="2003">
        <f t="shared" si="768"/>
        <v>0</v>
      </c>
      <c r="EK339" s="1989" t="e">
        <f t="shared" si="716"/>
        <v>#REF!</v>
      </c>
      <c r="EL339" s="1989" t="e">
        <f t="shared" si="716"/>
        <v>#REF!</v>
      </c>
      <c r="EM339" s="2006" t="e">
        <f t="shared" si="769"/>
        <v>#REF!</v>
      </c>
      <c r="EN339" s="1999" t="e">
        <f t="shared" si="770"/>
        <v>#REF!</v>
      </c>
      <c r="EP339" s="1613" t="e">
        <f>EA339-#REF!/10^7</f>
        <v>#REF!</v>
      </c>
      <c r="EW339" s="1611" t="e">
        <v>#N/A</v>
      </c>
      <c r="EX339" s="1612" t="e">
        <v>#N/A</v>
      </c>
      <c r="EZ339" s="1650">
        <f t="shared" si="771"/>
        <v>0</v>
      </c>
    </row>
    <row r="340" spans="1:156" ht="21" customHeight="1">
      <c r="A340" s="1652">
        <v>9</v>
      </c>
      <c r="B340" s="1644" t="s">
        <v>1996</v>
      </c>
      <c r="C340" s="1662"/>
      <c r="D340" s="1648"/>
      <c r="E340" s="1648"/>
      <c r="F340" s="1648"/>
      <c r="G340" s="1648"/>
      <c r="H340" s="1648"/>
      <c r="I340" s="1648" t="s">
        <v>1667</v>
      </c>
      <c r="J340" s="1649">
        <v>1</v>
      </c>
      <c r="K340" s="1648"/>
      <c r="L340" s="1648"/>
      <c r="M340" s="1648"/>
      <c r="N340" s="1642"/>
      <c r="O340" s="2000" t="e">
        <f>#REF!</f>
        <v>#REF!</v>
      </c>
      <c r="P340" s="2003">
        <f t="shared" si="717"/>
        <v>0</v>
      </c>
      <c r="Q340" s="1989" t="e">
        <f>#REF!/10^7</f>
        <v>#REF!</v>
      </c>
      <c r="R340" s="2003">
        <f t="shared" si="718"/>
        <v>0</v>
      </c>
      <c r="S340" s="1989" t="e">
        <f>#REF!/10^7</f>
        <v>#REF!</v>
      </c>
      <c r="T340" s="2003">
        <f t="shared" si="719"/>
        <v>0</v>
      </c>
      <c r="U340" s="1989" t="e">
        <f>#REF!/10^7</f>
        <v>#REF!</v>
      </c>
      <c r="V340" s="1989" t="e">
        <f>#REF!/10^7</f>
        <v>#REF!</v>
      </c>
      <c r="W340" s="1989">
        <f t="shared" si="720"/>
        <v>0</v>
      </c>
      <c r="X340" s="1999" t="e">
        <f t="shared" si="709"/>
        <v>#REF!</v>
      </c>
      <c r="Y340" s="1993" t="e">
        <f>#REF!</f>
        <v>#REF!</v>
      </c>
      <c r="Z340" s="2003">
        <f t="shared" si="721"/>
        <v>0</v>
      </c>
      <c r="AA340" s="1989" t="e">
        <f>#REF!/10^7</f>
        <v>#REF!</v>
      </c>
      <c r="AB340" s="2003">
        <f t="shared" si="722"/>
        <v>0</v>
      </c>
      <c r="AC340" s="1989" t="e">
        <f>#REF!/10^7</f>
        <v>#REF!</v>
      </c>
      <c r="AD340" s="2003">
        <f t="shared" si="723"/>
        <v>0</v>
      </c>
      <c r="AE340" s="1989" t="e">
        <f>#REF!/10^7</f>
        <v>#REF!</v>
      </c>
      <c r="AF340" s="1989" t="e">
        <f>#REF!/10^7</f>
        <v>#REF!</v>
      </c>
      <c r="AG340" s="2002" t="e">
        <f t="shared" si="724"/>
        <v>#REF!</v>
      </c>
      <c r="AH340" s="1999" t="e">
        <f t="shared" si="701"/>
        <v>#REF!</v>
      </c>
      <c r="AI340" s="1993" t="e">
        <f>#REF!</f>
        <v>#REF!</v>
      </c>
      <c r="AJ340" s="2003">
        <f t="shared" si="725"/>
        <v>0</v>
      </c>
      <c r="AK340" s="1989" t="e">
        <f>#REF!/10^7</f>
        <v>#REF!</v>
      </c>
      <c r="AL340" s="2003">
        <f t="shared" si="726"/>
        <v>0</v>
      </c>
      <c r="AM340" s="1989" t="e">
        <f>#REF!/10^7</f>
        <v>#REF!</v>
      </c>
      <c r="AN340" s="2003">
        <f t="shared" si="727"/>
        <v>0</v>
      </c>
      <c r="AO340" s="1989" t="e">
        <f>#REF!/10^7</f>
        <v>#REF!</v>
      </c>
      <c r="AP340" s="1989" t="e">
        <f>#REF!/10^7</f>
        <v>#REF!</v>
      </c>
      <c r="AQ340" s="2002" t="e">
        <f t="shared" si="728"/>
        <v>#REF!</v>
      </c>
      <c r="AR340" s="1999" t="e">
        <f t="shared" si="702"/>
        <v>#REF!</v>
      </c>
      <c r="AS340" s="1993" t="e">
        <f>#REF!</f>
        <v>#REF!</v>
      </c>
      <c r="AT340" s="2003">
        <f t="shared" si="729"/>
        <v>0</v>
      </c>
      <c r="AU340" s="1989" t="e">
        <f>#REF!/10^7</f>
        <v>#REF!</v>
      </c>
      <c r="AV340" s="2003">
        <f t="shared" si="730"/>
        <v>0</v>
      </c>
      <c r="AW340" s="1989" t="e">
        <f>#REF!/10^7</f>
        <v>#REF!</v>
      </c>
      <c r="AX340" s="2003">
        <f t="shared" si="731"/>
        <v>0</v>
      </c>
      <c r="AY340" s="1989" t="e">
        <f>#REF!/10^7</f>
        <v>#REF!</v>
      </c>
      <c r="AZ340" s="1989" t="e">
        <f>#REF!/10^7</f>
        <v>#REF!</v>
      </c>
      <c r="BA340" s="2002" t="e">
        <f t="shared" si="732"/>
        <v>#REF!</v>
      </c>
      <c r="BB340" s="1999" t="e">
        <f t="shared" si="703"/>
        <v>#REF!</v>
      </c>
      <c r="BC340" s="1993" t="e">
        <f>#REF!</f>
        <v>#REF!</v>
      </c>
      <c r="BD340" s="2003">
        <f t="shared" si="733"/>
        <v>0</v>
      </c>
      <c r="BE340" s="1989" t="e">
        <f>#REF!/10^7</f>
        <v>#REF!</v>
      </c>
      <c r="BF340" s="2003">
        <f t="shared" si="734"/>
        <v>0</v>
      </c>
      <c r="BG340" s="1989" t="e">
        <f>#REF!/10^7</f>
        <v>#REF!</v>
      </c>
      <c r="BH340" s="2003">
        <f t="shared" si="735"/>
        <v>0</v>
      </c>
      <c r="BI340" s="1989" t="e">
        <f>#REF!/10^7</f>
        <v>#REF!</v>
      </c>
      <c r="BJ340" s="1989" t="e">
        <f>#REF!/10^7</f>
        <v>#REF!</v>
      </c>
      <c r="BK340" s="2002" t="e">
        <f t="shared" si="736"/>
        <v>#REF!</v>
      </c>
      <c r="BL340" s="1999" t="e">
        <f t="shared" si="704"/>
        <v>#REF!</v>
      </c>
      <c r="BM340" s="1993" t="e">
        <f>#REF!</f>
        <v>#REF!</v>
      </c>
      <c r="BN340" s="2003">
        <f t="shared" si="737"/>
        <v>0</v>
      </c>
      <c r="BO340" s="1989" t="e">
        <f>#REF!/10^7</f>
        <v>#REF!</v>
      </c>
      <c r="BP340" s="2003">
        <f t="shared" si="738"/>
        <v>0</v>
      </c>
      <c r="BQ340" s="1989" t="e">
        <f>#REF!/10^7</f>
        <v>#REF!</v>
      </c>
      <c r="BR340" s="2003">
        <f t="shared" si="739"/>
        <v>0</v>
      </c>
      <c r="BS340" s="1989" t="e">
        <f>#REF!/10^7</f>
        <v>#REF!</v>
      </c>
      <c r="BT340" s="1989" t="e">
        <f>#REF!/10^7</f>
        <v>#REF!</v>
      </c>
      <c r="BU340" s="2002" t="e">
        <f t="shared" si="740"/>
        <v>#REF!</v>
      </c>
      <c r="BV340" s="1999" t="e">
        <f t="shared" si="705"/>
        <v>#REF!</v>
      </c>
      <c r="BW340" s="1993" t="e">
        <f>#REF!</f>
        <v>#REF!</v>
      </c>
      <c r="BX340" s="2003">
        <f t="shared" si="741"/>
        <v>0</v>
      </c>
      <c r="BY340" s="1989" t="e">
        <f>#REF!/10^7</f>
        <v>#REF!</v>
      </c>
      <c r="BZ340" s="2003">
        <f t="shared" si="742"/>
        <v>0</v>
      </c>
      <c r="CA340" s="1989" t="e">
        <f>#REF!/10^7</f>
        <v>#REF!</v>
      </c>
      <c r="CB340" s="2003">
        <f t="shared" si="743"/>
        <v>0</v>
      </c>
      <c r="CC340" s="1989" t="e">
        <f>#REF!/10^7</f>
        <v>#REF!</v>
      </c>
      <c r="CD340" s="1989" t="e">
        <f>#REF!/10^7</f>
        <v>#REF!</v>
      </c>
      <c r="CE340" s="2002" t="e">
        <f t="shared" si="744"/>
        <v>#REF!</v>
      </c>
      <c r="CF340" s="1999" t="e">
        <f t="shared" si="706"/>
        <v>#REF!</v>
      </c>
      <c r="CG340" s="1993" t="e">
        <f>#REF!</f>
        <v>#REF!</v>
      </c>
      <c r="CH340" s="2003">
        <f t="shared" si="745"/>
        <v>0</v>
      </c>
      <c r="CI340" s="1989" t="e">
        <f>#REF!/10^7</f>
        <v>#REF!</v>
      </c>
      <c r="CJ340" s="2003">
        <f t="shared" si="746"/>
        <v>0</v>
      </c>
      <c r="CK340" s="1989" t="e">
        <f>#REF!/10^7</f>
        <v>#REF!</v>
      </c>
      <c r="CL340" s="2003">
        <f t="shared" si="747"/>
        <v>0</v>
      </c>
      <c r="CM340" s="1989" t="e">
        <f>#REF!/10^7</f>
        <v>#REF!</v>
      </c>
      <c r="CN340" s="1989" t="e">
        <f>#REF!/10^7</f>
        <v>#REF!</v>
      </c>
      <c r="CO340" s="2002" t="e">
        <f t="shared" si="748"/>
        <v>#REF!</v>
      </c>
      <c r="CP340" s="1999" t="e">
        <f t="shared" si="707"/>
        <v>#REF!</v>
      </c>
      <c r="CQ340" s="1993" t="e">
        <f>#REF!</f>
        <v>#REF!</v>
      </c>
      <c r="CR340" s="2003">
        <f t="shared" si="749"/>
        <v>0</v>
      </c>
      <c r="CS340" s="1989" t="e">
        <f>#REF!/10^7</f>
        <v>#REF!</v>
      </c>
      <c r="CT340" s="2003">
        <f t="shared" si="750"/>
        <v>0</v>
      </c>
      <c r="CU340" s="1989" t="e">
        <f>#REF!/10^7</f>
        <v>#REF!</v>
      </c>
      <c r="CV340" s="2003">
        <f t="shared" si="751"/>
        <v>0</v>
      </c>
      <c r="CW340" s="1989" t="e">
        <f>#REF!/10^7</f>
        <v>#REF!</v>
      </c>
      <c r="CX340" s="1989" t="e">
        <f>#REF!/10^7</f>
        <v>#REF!</v>
      </c>
      <c r="CY340" s="2002" t="e">
        <f t="shared" si="752"/>
        <v>#REF!</v>
      </c>
      <c r="CZ340" s="1999" t="e">
        <f t="shared" si="710"/>
        <v>#REF!</v>
      </c>
      <c r="DA340" s="1993" t="e">
        <f>#REF!</f>
        <v>#REF!</v>
      </c>
      <c r="DB340" s="2003">
        <f t="shared" si="753"/>
        <v>0</v>
      </c>
      <c r="DC340" s="1989" t="e">
        <f>#REF!/10^7</f>
        <v>#REF!</v>
      </c>
      <c r="DD340" s="2003">
        <f t="shared" si="754"/>
        <v>0</v>
      </c>
      <c r="DE340" s="1989" t="e">
        <f>#REF!/10^7</f>
        <v>#REF!</v>
      </c>
      <c r="DF340" s="2003">
        <f t="shared" si="755"/>
        <v>0</v>
      </c>
      <c r="DG340" s="1989" t="e">
        <f>#REF!/10^7</f>
        <v>#REF!</v>
      </c>
      <c r="DH340" s="1989" t="e">
        <f>#REF!/10^7</f>
        <v>#REF!</v>
      </c>
      <c r="DI340" s="2002" t="e">
        <f t="shared" si="756"/>
        <v>#REF!</v>
      </c>
      <c r="DJ340" s="1999" t="e">
        <f t="shared" si="711"/>
        <v>#REF!</v>
      </c>
      <c r="DK340" s="1993" t="e">
        <f>#REF!</f>
        <v>#REF!</v>
      </c>
      <c r="DL340" s="2003">
        <f t="shared" si="757"/>
        <v>0</v>
      </c>
      <c r="DM340" s="1989" t="e">
        <f>#REF!/10^7</f>
        <v>#REF!</v>
      </c>
      <c r="DN340" s="2003">
        <f t="shared" si="758"/>
        <v>0</v>
      </c>
      <c r="DO340" s="1989" t="e">
        <f>#REF!/10^7</f>
        <v>#REF!</v>
      </c>
      <c r="DP340" s="2003">
        <f t="shared" si="759"/>
        <v>0</v>
      </c>
      <c r="DQ340" s="1989" t="e">
        <f>#REF!/10^7</f>
        <v>#REF!</v>
      </c>
      <c r="DR340" s="1989" t="e">
        <f>#REF!/10^7</f>
        <v>#REF!</v>
      </c>
      <c r="DS340" s="2002" t="e">
        <f t="shared" si="760"/>
        <v>#REF!</v>
      </c>
      <c r="DT340" s="2004" t="e">
        <f t="shared" si="712"/>
        <v>#REF!</v>
      </c>
      <c r="DU340" s="1988" t="e">
        <f>#REF!</f>
        <v>#REF!</v>
      </c>
      <c r="DV340" s="2003">
        <f t="shared" si="761"/>
        <v>0</v>
      </c>
      <c r="DW340" s="1989" t="e">
        <f>#REF!/10^7</f>
        <v>#REF!</v>
      </c>
      <c r="DX340" s="2003">
        <f t="shared" si="762"/>
        <v>0</v>
      </c>
      <c r="DY340" s="1989" t="e">
        <f>#REF!/10^7</f>
        <v>#REF!</v>
      </c>
      <c r="DZ340" s="2003">
        <f t="shared" si="763"/>
        <v>0</v>
      </c>
      <c r="EA340" s="1989" t="e">
        <f>#REF!/10^7</f>
        <v>#REF!</v>
      </c>
      <c r="EB340" s="1989" t="e">
        <f>#REF!/10^7</f>
        <v>#REF!</v>
      </c>
      <c r="EC340" s="2002" t="e">
        <f t="shared" si="764"/>
        <v>#REF!</v>
      </c>
      <c r="ED340" s="1998" t="e">
        <f t="shared" si="713"/>
        <v>#REF!</v>
      </c>
      <c r="EE340" s="2005" t="e">
        <f t="shared" si="765"/>
        <v>#REF!</v>
      </c>
      <c r="EF340" s="2003">
        <f t="shared" si="766"/>
        <v>0</v>
      </c>
      <c r="EG340" s="1989" t="e">
        <f t="shared" si="714"/>
        <v>#REF!</v>
      </c>
      <c r="EH340" s="2003">
        <f t="shared" si="767"/>
        <v>0</v>
      </c>
      <c r="EI340" s="1989" t="e">
        <f t="shared" si="715"/>
        <v>#REF!</v>
      </c>
      <c r="EJ340" s="2003">
        <f t="shared" si="768"/>
        <v>0</v>
      </c>
      <c r="EK340" s="1989" t="e">
        <f t="shared" si="716"/>
        <v>#REF!</v>
      </c>
      <c r="EL340" s="1989" t="e">
        <f t="shared" si="716"/>
        <v>#REF!</v>
      </c>
      <c r="EM340" s="2006" t="e">
        <f t="shared" si="769"/>
        <v>#REF!</v>
      </c>
      <c r="EN340" s="1999" t="e">
        <f t="shared" si="770"/>
        <v>#REF!</v>
      </c>
      <c r="EP340" s="1613" t="e">
        <f>EA340-#REF!/10^7</f>
        <v>#REF!</v>
      </c>
      <c r="EW340" s="1611" t="e">
        <v>#N/A</v>
      </c>
      <c r="EX340" s="1612" t="e">
        <v>#N/A</v>
      </c>
      <c r="EZ340" s="1650">
        <f t="shared" si="771"/>
        <v>0</v>
      </c>
    </row>
    <row r="341" spans="1:156" ht="21" customHeight="1">
      <c r="A341" s="1652">
        <v>10</v>
      </c>
      <c r="B341" s="1644" t="s">
        <v>1997</v>
      </c>
      <c r="C341" s="1662"/>
      <c r="D341" s="1648"/>
      <c r="E341" s="1648"/>
      <c r="F341" s="1648"/>
      <c r="G341" s="1648"/>
      <c r="H341" s="1648"/>
      <c r="I341" s="1648" t="s">
        <v>1667</v>
      </c>
      <c r="J341" s="1649">
        <v>1</v>
      </c>
      <c r="K341" s="1648"/>
      <c r="L341" s="1648"/>
      <c r="M341" s="1648"/>
      <c r="N341" s="1642"/>
      <c r="O341" s="2000" t="e">
        <f>#REF!</f>
        <v>#REF!</v>
      </c>
      <c r="P341" s="2003">
        <f t="shared" si="717"/>
        <v>0</v>
      </c>
      <c r="Q341" s="1989" t="e">
        <f>#REF!/10^7</f>
        <v>#REF!</v>
      </c>
      <c r="R341" s="2003">
        <f t="shared" si="718"/>
        <v>0</v>
      </c>
      <c r="S341" s="1989" t="e">
        <f>#REF!/10^7</f>
        <v>#REF!</v>
      </c>
      <c r="T341" s="2003">
        <f t="shared" si="719"/>
        <v>0</v>
      </c>
      <c r="U341" s="1989" t="e">
        <f>#REF!/10^7</f>
        <v>#REF!</v>
      </c>
      <c r="V341" s="1989" t="e">
        <f>#REF!/10^7</f>
        <v>#REF!</v>
      </c>
      <c r="W341" s="1989">
        <f t="shared" si="720"/>
        <v>0</v>
      </c>
      <c r="X341" s="1999" t="e">
        <f t="shared" si="709"/>
        <v>#REF!</v>
      </c>
      <c r="Y341" s="1993" t="e">
        <f>#REF!</f>
        <v>#REF!</v>
      </c>
      <c r="Z341" s="2003">
        <f t="shared" si="721"/>
        <v>0</v>
      </c>
      <c r="AA341" s="1989" t="e">
        <f>#REF!/10^7</f>
        <v>#REF!</v>
      </c>
      <c r="AB341" s="2003">
        <f t="shared" si="722"/>
        <v>0</v>
      </c>
      <c r="AC341" s="1989" t="e">
        <f>#REF!/10^7</f>
        <v>#REF!</v>
      </c>
      <c r="AD341" s="2003">
        <f t="shared" si="723"/>
        <v>0</v>
      </c>
      <c r="AE341" s="1989" t="e">
        <f>#REF!/10^7</f>
        <v>#REF!</v>
      </c>
      <c r="AF341" s="1989" t="e">
        <f>#REF!/10^7</f>
        <v>#REF!</v>
      </c>
      <c r="AG341" s="2002" t="e">
        <f t="shared" si="724"/>
        <v>#REF!</v>
      </c>
      <c r="AH341" s="1999" t="e">
        <f t="shared" si="701"/>
        <v>#REF!</v>
      </c>
      <c r="AI341" s="1993" t="e">
        <f>#REF!</f>
        <v>#REF!</v>
      </c>
      <c r="AJ341" s="2003">
        <f t="shared" si="725"/>
        <v>0</v>
      </c>
      <c r="AK341" s="1989" t="e">
        <f>#REF!/10^7</f>
        <v>#REF!</v>
      </c>
      <c r="AL341" s="2003">
        <f t="shared" si="726"/>
        <v>0</v>
      </c>
      <c r="AM341" s="1989" t="e">
        <f>#REF!/10^7</f>
        <v>#REF!</v>
      </c>
      <c r="AN341" s="2003">
        <f t="shared" si="727"/>
        <v>0</v>
      </c>
      <c r="AO341" s="1989" t="e">
        <f>#REF!/10^7</f>
        <v>#REF!</v>
      </c>
      <c r="AP341" s="1989" t="e">
        <f>#REF!/10^7</f>
        <v>#REF!</v>
      </c>
      <c r="AQ341" s="2002" t="e">
        <f t="shared" si="728"/>
        <v>#REF!</v>
      </c>
      <c r="AR341" s="1999" t="e">
        <f t="shared" si="702"/>
        <v>#REF!</v>
      </c>
      <c r="AS341" s="1993" t="e">
        <f>#REF!</f>
        <v>#REF!</v>
      </c>
      <c r="AT341" s="2003">
        <f t="shared" si="729"/>
        <v>0</v>
      </c>
      <c r="AU341" s="1989" t="e">
        <f>#REF!/10^7</f>
        <v>#REF!</v>
      </c>
      <c r="AV341" s="2003">
        <f t="shared" si="730"/>
        <v>0</v>
      </c>
      <c r="AW341" s="1989" t="e">
        <f>#REF!/10^7</f>
        <v>#REF!</v>
      </c>
      <c r="AX341" s="2003">
        <f t="shared" si="731"/>
        <v>0</v>
      </c>
      <c r="AY341" s="1989" t="e">
        <f>#REF!/10^7</f>
        <v>#REF!</v>
      </c>
      <c r="AZ341" s="1989" t="e">
        <f>#REF!/10^7</f>
        <v>#REF!</v>
      </c>
      <c r="BA341" s="2002" t="e">
        <f t="shared" si="732"/>
        <v>#REF!</v>
      </c>
      <c r="BB341" s="1999" t="e">
        <f t="shared" si="703"/>
        <v>#REF!</v>
      </c>
      <c r="BC341" s="1993" t="e">
        <f>#REF!</f>
        <v>#REF!</v>
      </c>
      <c r="BD341" s="2003">
        <f t="shared" si="733"/>
        <v>0</v>
      </c>
      <c r="BE341" s="1989" t="e">
        <f>#REF!/10^7</f>
        <v>#REF!</v>
      </c>
      <c r="BF341" s="2003">
        <f t="shared" si="734"/>
        <v>0</v>
      </c>
      <c r="BG341" s="1989" t="e">
        <f>#REF!/10^7</f>
        <v>#REF!</v>
      </c>
      <c r="BH341" s="2003">
        <f t="shared" si="735"/>
        <v>0</v>
      </c>
      <c r="BI341" s="1989" t="e">
        <f>#REF!/10^7</f>
        <v>#REF!</v>
      </c>
      <c r="BJ341" s="1989" t="e">
        <f>#REF!/10^7</f>
        <v>#REF!</v>
      </c>
      <c r="BK341" s="2002" t="e">
        <f t="shared" si="736"/>
        <v>#REF!</v>
      </c>
      <c r="BL341" s="1999" t="e">
        <f t="shared" si="704"/>
        <v>#REF!</v>
      </c>
      <c r="BM341" s="1993" t="e">
        <f>#REF!</f>
        <v>#REF!</v>
      </c>
      <c r="BN341" s="2003">
        <f t="shared" si="737"/>
        <v>0</v>
      </c>
      <c r="BO341" s="1989" t="e">
        <f>#REF!/10^7</f>
        <v>#REF!</v>
      </c>
      <c r="BP341" s="2003">
        <f t="shared" si="738"/>
        <v>0</v>
      </c>
      <c r="BQ341" s="1989" t="e">
        <f>#REF!/10^7</f>
        <v>#REF!</v>
      </c>
      <c r="BR341" s="2003">
        <f t="shared" si="739"/>
        <v>0</v>
      </c>
      <c r="BS341" s="1989" t="e">
        <f>#REF!/10^7</f>
        <v>#REF!</v>
      </c>
      <c r="BT341" s="1989" t="e">
        <f>#REF!/10^7</f>
        <v>#REF!</v>
      </c>
      <c r="BU341" s="2002" t="e">
        <f t="shared" si="740"/>
        <v>#REF!</v>
      </c>
      <c r="BV341" s="1999" t="e">
        <f t="shared" si="705"/>
        <v>#REF!</v>
      </c>
      <c r="BW341" s="1993" t="e">
        <f>#REF!</f>
        <v>#REF!</v>
      </c>
      <c r="BX341" s="2003">
        <f t="shared" si="741"/>
        <v>0</v>
      </c>
      <c r="BY341" s="1989" t="e">
        <f>#REF!/10^7</f>
        <v>#REF!</v>
      </c>
      <c r="BZ341" s="2003">
        <f t="shared" si="742"/>
        <v>0</v>
      </c>
      <c r="CA341" s="1989" t="e">
        <f>#REF!/10^7</f>
        <v>#REF!</v>
      </c>
      <c r="CB341" s="2003">
        <f t="shared" si="743"/>
        <v>0</v>
      </c>
      <c r="CC341" s="1989" t="e">
        <f>#REF!/10^7</f>
        <v>#REF!</v>
      </c>
      <c r="CD341" s="1989" t="e">
        <f>#REF!/10^7</f>
        <v>#REF!</v>
      </c>
      <c r="CE341" s="2002" t="e">
        <f t="shared" si="744"/>
        <v>#REF!</v>
      </c>
      <c r="CF341" s="1999" t="e">
        <f t="shared" si="706"/>
        <v>#REF!</v>
      </c>
      <c r="CG341" s="1993" t="e">
        <f>#REF!</f>
        <v>#REF!</v>
      </c>
      <c r="CH341" s="2003">
        <f t="shared" si="745"/>
        <v>0</v>
      </c>
      <c r="CI341" s="1989" t="e">
        <f>#REF!/10^7</f>
        <v>#REF!</v>
      </c>
      <c r="CJ341" s="2003">
        <f t="shared" si="746"/>
        <v>0</v>
      </c>
      <c r="CK341" s="1989" t="e">
        <f>#REF!/10^7</f>
        <v>#REF!</v>
      </c>
      <c r="CL341" s="2003">
        <f t="shared" si="747"/>
        <v>0</v>
      </c>
      <c r="CM341" s="1989" t="e">
        <f>#REF!/10^7</f>
        <v>#REF!</v>
      </c>
      <c r="CN341" s="1989" t="e">
        <f>#REF!/10^7</f>
        <v>#REF!</v>
      </c>
      <c r="CO341" s="2002" t="e">
        <f t="shared" si="748"/>
        <v>#REF!</v>
      </c>
      <c r="CP341" s="1999" t="e">
        <f t="shared" si="707"/>
        <v>#REF!</v>
      </c>
      <c r="CQ341" s="1993" t="e">
        <f>#REF!</f>
        <v>#REF!</v>
      </c>
      <c r="CR341" s="2003">
        <f t="shared" si="749"/>
        <v>0</v>
      </c>
      <c r="CS341" s="1989" t="e">
        <f>#REF!/10^7</f>
        <v>#REF!</v>
      </c>
      <c r="CT341" s="2003">
        <f t="shared" si="750"/>
        <v>0</v>
      </c>
      <c r="CU341" s="1989" t="e">
        <f>#REF!/10^7</f>
        <v>#REF!</v>
      </c>
      <c r="CV341" s="2003">
        <f t="shared" si="751"/>
        <v>0</v>
      </c>
      <c r="CW341" s="1989" t="e">
        <f>#REF!/10^7</f>
        <v>#REF!</v>
      </c>
      <c r="CX341" s="1989" t="e">
        <f>#REF!/10^7</f>
        <v>#REF!</v>
      </c>
      <c r="CY341" s="2002" t="e">
        <f t="shared" si="752"/>
        <v>#REF!</v>
      </c>
      <c r="CZ341" s="1999" t="e">
        <f t="shared" si="710"/>
        <v>#REF!</v>
      </c>
      <c r="DA341" s="1993" t="e">
        <f>#REF!</f>
        <v>#REF!</v>
      </c>
      <c r="DB341" s="2003">
        <f t="shared" si="753"/>
        <v>0</v>
      </c>
      <c r="DC341" s="1989" t="e">
        <f>#REF!/10^7</f>
        <v>#REF!</v>
      </c>
      <c r="DD341" s="2003">
        <f t="shared" si="754"/>
        <v>0</v>
      </c>
      <c r="DE341" s="1989" t="e">
        <f>#REF!/10^7</f>
        <v>#REF!</v>
      </c>
      <c r="DF341" s="2003">
        <f t="shared" si="755"/>
        <v>0</v>
      </c>
      <c r="DG341" s="1989" t="e">
        <f>#REF!/10^7</f>
        <v>#REF!</v>
      </c>
      <c r="DH341" s="1989" t="e">
        <f>#REF!/10^7</f>
        <v>#REF!</v>
      </c>
      <c r="DI341" s="2002" t="e">
        <f t="shared" si="756"/>
        <v>#REF!</v>
      </c>
      <c r="DJ341" s="1999" t="e">
        <f t="shared" si="711"/>
        <v>#REF!</v>
      </c>
      <c r="DK341" s="1993" t="e">
        <f>#REF!</f>
        <v>#REF!</v>
      </c>
      <c r="DL341" s="2003">
        <f t="shared" si="757"/>
        <v>0</v>
      </c>
      <c r="DM341" s="1989" t="e">
        <f>#REF!/10^7</f>
        <v>#REF!</v>
      </c>
      <c r="DN341" s="2003">
        <f t="shared" si="758"/>
        <v>0</v>
      </c>
      <c r="DO341" s="1989" t="e">
        <f>#REF!/10^7</f>
        <v>#REF!</v>
      </c>
      <c r="DP341" s="2003">
        <f t="shared" si="759"/>
        <v>0</v>
      </c>
      <c r="DQ341" s="1989" t="e">
        <f>#REF!/10^7</f>
        <v>#REF!</v>
      </c>
      <c r="DR341" s="1989" t="e">
        <f>#REF!/10^7</f>
        <v>#REF!</v>
      </c>
      <c r="DS341" s="2002" t="e">
        <f t="shared" si="760"/>
        <v>#REF!</v>
      </c>
      <c r="DT341" s="2004" t="e">
        <f t="shared" si="712"/>
        <v>#REF!</v>
      </c>
      <c r="DU341" s="1988" t="e">
        <f>#REF!</f>
        <v>#REF!</v>
      </c>
      <c r="DV341" s="2003">
        <f t="shared" si="761"/>
        <v>0</v>
      </c>
      <c r="DW341" s="1989" t="e">
        <f>#REF!/10^7</f>
        <v>#REF!</v>
      </c>
      <c r="DX341" s="2003">
        <f t="shared" si="762"/>
        <v>0</v>
      </c>
      <c r="DY341" s="1989" t="e">
        <f>#REF!/10^7</f>
        <v>#REF!</v>
      </c>
      <c r="DZ341" s="2003">
        <f t="shared" si="763"/>
        <v>0</v>
      </c>
      <c r="EA341" s="1989" t="e">
        <f>#REF!/10^7</f>
        <v>#REF!</v>
      </c>
      <c r="EB341" s="1989" t="e">
        <f>#REF!/10^7</f>
        <v>#REF!</v>
      </c>
      <c r="EC341" s="2002" t="e">
        <f t="shared" si="764"/>
        <v>#REF!</v>
      </c>
      <c r="ED341" s="1998" t="e">
        <f t="shared" si="713"/>
        <v>#REF!</v>
      </c>
      <c r="EE341" s="2005" t="e">
        <f t="shared" si="765"/>
        <v>#REF!</v>
      </c>
      <c r="EF341" s="2003">
        <f t="shared" si="766"/>
        <v>0</v>
      </c>
      <c r="EG341" s="1989" t="e">
        <f t="shared" si="714"/>
        <v>#REF!</v>
      </c>
      <c r="EH341" s="2003">
        <f t="shared" si="767"/>
        <v>0</v>
      </c>
      <c r="EI341" s="1989" t="e">
        <f t="shared" si="715"/>
        <v>#REF!</v>
      </c>
      <c r="EJ341" s="2003">
        <f t="shared" si="768"/>
        <v>0</v>
      </c>
      <c r="EK341" s="1989" t="e">
        <f t="shared" si="716"/>
        <v>#REF!</v>
      </c>
      <c r="EL341" s="1989" t="e">
        <f t="shared" si="716"/>
        <v>#REF!</v>
      </c>
      <c r="EM341" s="2006" t="e">
        <f t="shared" si="769"/>
        <v>#REF!</v>
      </c>
      <c r="EN341" s="1999" t="e">
        <f t="shared" si="770"/>
        <v>#REF!</v>
      </c>
      <c r="EP341" s="1613" t="e">
        <f>EA341-#REF!/10^7</f>
        <v>#REF!</v>
      </c>
      <c r="EW341" s="1611" t="e">
        <v>#N/A</v>
      </c>
      <c r="EX341" s="1612" t="e">
        <v>#N/A</v>
      </c>
      <c r="EZ341" s="1650">
        <f t="shared" si="771"/>
        <v>0</v>
      </c>
    </row>
    <row r="342" spans="1:156" ht="21" customHeight="1">
      <c r="A342" s="1652">
        <v>11</v>
      </c>
      <c r="B342" s="1644"/>
      <c r="C342" s="1662"/>
      <c r="D342" s="1648"/>
      <c r="E342" s="1648"/>
      <c r="F342" s="1648"/>
      <c r="G342" s="1648"/>
      <c r="H342" s="1648"/>
      <c r="I342" s="1648"/>
      <c r="J342" s="1649"/>
      <c r="K342" s="1648"/>
      <c r="L342" s="1648"/>
      <c r="M342" s="1648"/>
      <c r="N342" s="1642"/>
      <c r="O342" s="2000"/>
      <c r="P342" s="2003">
        <f t="shared" si="717"/>
        <v>0</v>
      </c>
      <c r="Q342" s="1989"/>
      <c r="R342" s="2003">
        <f t="shared" si="718"/>
        <v>0</v>
      </c>
      <c r="S342" s="1989"/>
      <c r="T342" s="2003">
        <f t="shared" si="719"/>
        <v>0</v>
      </c>
      <c r="U342" s="1989"/>
      <c r="V342" s="1989"/>
      <c r="W342" s="1989">
        <f t="shared" si="720"/>
        <v>0</v>
      </c>
      <c r="X342" s="1999">
        <f t="shared" si="709"/>
        <v>0</v>
      </c>
      <c r="Y342" s="1993"/>
      <c r="Z342" s="2003">
        <f t="shared" si="721"/>
        <v>0</v>
      </c>
      <c r="AA342" s="1989"/>
      <c r="AB342" s="2003">
        <f t="shared" si="722"/>
        <v>0</v>
      </c>
      <c r="AC342" s="1989"/>
      <c r="AD342" s="2003">
        <f t="shared" si="723"/>
        <v>0</v>
      </c>
      <c r="AE342" s="1989"/>
      <c r="AF342" s="1989"/>
      <c r="AG342" s="2002">
        <f t="shared" si="724"/>
        <v>0</v>
      </c>
      <c r="AH342" s="1999">
        <f t="shared" si="701"/>
        <v>0</v>
      </c>
      <c r="AI342" s="1993"/>
      <c r="AJ342" s="2003">
        <f t="shared" si="725"/>
        <v>0</v>
      </c>
      <c r="AK342" s="1989"/>
      <c r="AL342" s="2003">
        <f t="shared" si="726"/>
        <v>0</v>
      </c>
      <c r="AM342" s="1989"/>
      <c r="AN342" s="2003">
        <f t="shared" si="727"/>
        <v>0</v>
      </c>
      <c r="AO342" s="1989"/>
      <c r="AP342" s="1989"/>
      <c r="AQ342" s="2002">
        <f t="shared" si="728"/>
        <v>0</v>
      </c>
      <c r="AR342" s="1999">
        <f t="shared" si="702"/>
        <v>0</v>
      </c>
      <c r="AS342" s="1993"/>
      <c r="AT342" s="2003">
        <f t="shared" si="729"/>
        <v>0</v>
      </c>
      <c r="AU342" s="1989"/>
      <c r="AV342" s="2003">
        <f t="shared" si="730"/>
        <v>0</v>
      </c>
      <c r="AW342" s="1989"/>
      <c r="AX342" s="2003">
        <f t="shared" si="731"/>
        <v>0</v>
      </c>
      <c r="AY342" s="1989"/>
      <c r="AZ342" s="1989"/>
      <c r="BA342" s="2002">
        <f t="shared" si="732"/>
        <v>0</v>
      </c>
      <c r="BB342" s="1999">
        <f t="shared" si="703"/>
        <v>0</v>
      </c>
      <c r="BC342" s="1993"/>
      <c r="BD342" s="2003">
        <f t="shared" si="733"/>
        <v>0</v>
      </c>
      <c r="BE342" s="1989"/>
      <c r="BF342" s="2003">
        <f t="shared" si="734"/>
        <v>0</v>
      </c>
      <c r="BG342" s="1989"/>
      <c r="BH342" s="2003">
        <f t="shared" si="735"/>
        <v>0</v>
      </c>
      <c r="BI342" s="1989"/>
      <c r="BJ342" s="1989"/>
      <c r="BK342" s="2002">
        <f t="shared" si="736"/>
        <v>0</v>
      </c>
      <c r="BL342" s="1999">
        <f t="shared" si="704"/>
        <v>0</v>
      </c>
      <c r="BM342" s="1993"/>
      <c r="BN342" s="2003">
        <f t="shared" si="737"/>
        <v>0</v>
      </c>
      <c r="BO342" s="1989"/>
      <c r="BP342" s="2003">
        <f t="shared" si="738"/>
        <v>0</v>
      </c>
      <c r="BQ342" s="1989"/>
      <c r="BR342" s="2003">
        <f t="shared" si="739"/>
        <v>0</v>
      </c>
      <c r="BS342" s="1989"/>
      <c r="BT342" s="1989"/>
      <c r="BU342" s="2002">
        <f t="shared" si="740"/>
        <v>0</v>
      </c>
      <c r="BV342" s="1999">
        <f t="shared" si="705"/>
        <v>0</v>
      </c>
      <c r="BW342" s="1993"/>
      <c r="BX342" s="2003">
        <f t="shared" si="741"/>
        <v>0</v>
      </c>
      <c r="BY342" s="1989"/>
      <c r="BZ342" s="2003">
        <f t="shared" si="742"/>
        <v>0</v>
      </c>
      <c r="CA342" s="1989"/>
      <c r="CB342" s="2003">
        <f t="shared" si="743"/>
        <v>0</v>
      </c>
      <c r="CC342" s="1989"/>
      <c r="CD342" s="1989"/>
      <c r="CE342" s="2002">
        <f t="shared" si="744"/>
        <v>0</v>
      </c>
      <c r="CF342" s="1999">
        <f t="shared" si="706"/>
        <v>0</v>
      </c>
      <c r="CG342" s="1993"/>
      <c r="CH342" s="2003">
        <f t="shared" si="745"/>
        <v>0</v>
      </c>
      <c r="CI342" s="1989"/>
      <c r="CJ342" s="2003">
        <f t="shared" si="746"/>
        <v>0</v>
      </c>
      <c r="CK342" s="1989"/>
      <c r="CL342" s="2003">
        <f t="shared" si="747"/>
        <v>0</v>
      </c>
      <c r="CM342" s="1989"/>
      <c r="CN342" s="1989"/>
      <c r="CO342" s="2002">
        <f t="shared" si="748"/>
        <v>0</v>
      </c>
      <c r="CP342" s="1999">
        <f t="shared" si="707"/>
        <v>0</v>
      </c>
      <c r="CQ342" s="1993"/>
      <c r="CR342" s="2003">
        <f t="shared" si="749"/>
        <v>0</v>
      </c>
      <c r="CS342" s="1989"/>
      <c r="CT342" s="2003">
        <f t="shared" si="750"/>
        <v>0</v>
      </c>
      <c r="CU342" s="1989"/>
      <c r="CV342" s="2003">
        <f t="shared" si="751"/>
        <v>0</v>
      </c>
      <c r="CW342" s="1989"/>
      <c r="CX342" s="1989"/>
      <c r="CY342" s="2002">
        <f t="shared" si="752"/>
        <v>0</v>
      </c>
      <c r="CZ342" s="1999">
        <f t="shared" si="710"/>
        <v>0</v>
      </c>
      <c r="DA342" s="1993"/>
      <c r="DB342" s="2003">
        <f t="shared" si="753"/>
        <v>0</v>
      </c>
      <c r="DC342" s="1989"/>
      <c r="DD342" s="2003">
        <f t="shared" si="754"/>
        <v>0</v>
      </c>
      <c r="DE342" s="1989"/>
      <c r="DF342" s="2003">
        <f t="shared" si="755"/>
        <v>0</v>
      </c>
      <c r="DG342" s="1989"/>
      <c r="DH342" s="1989"/>
      <c r="DI342" s="2002">
        <f t="shared" si="756"/>
        <v>0</v>
      </c>
      <c r="DJ342" s="1999">
        <f t="shared" si="711"/>
        <v>0</v>
      </c>
      <c r="DK342" s="1993"/>
      <c r="DL342" s="2003">
        <f t="shared" si="757"/>
        <v>0</v>
      </c>
      <c r="DM342" s="1989"/>
      <c r="DN342" s="2003">
        <f t="shared" si="758"/>
        <v>0</v>
      </c>
      <c r="DO342" s="1989"/>
      <c r="DP342" s="2003">
        <f t="shared" si="759"/>
        <v>0</v>
      </c>
      <c r="DQ342" s="1989"/>
      <c r="DR342" s="1989"/>
      <c r="DS342" s="2002">
        <f t="shared" si="760"/>
        <v>0</v>
      </c>
      <c r="DT342" s="2004">
        <f t="shared" si="712"/>
        <v>0</v>
      </c>
      <c r="DU342" s="1988"/>
      <c r="DV342" s="2003">
        <f t="shared" si="761"/>
        <v>0</v>
      </c>
      <c r="DW342" s="1989"/>
      <c r="DX342" s="2003">
        <f t="shared" si="762"/>
        <v>0</v>
      </c>
      <c r="DY342" s="1989"/>
      <c r="DZ342" s="2003">
        <f t="shared" si="763"/>
        <v>0</v>
      </c>
      <c r="EA342" s="1989"/>
      <c r="EB342" s="1989"/>
      <c r="EC342" s="2002">
        <f t="shared" si="764"/>
        <v>0</v>
      </c>
      <c r="ED342" s="1998">
        <f t="shared" si="713"/>
        <v>0</v>
      </c>
      <c r="EE342" s="2005">
        <f t="shared" si="765"/>
        <v>0</v>
      </c>
      <c r="EF342" s="2003">
        <f t="shared" si="766"/>
        <v>0</v>
      </c>
      <c r="EG342" s="1989">
        <f t="shared" si="714"/>
        <v>0</v>
      </c>
      <c r="EH342" s="2003">
        <f t="shared" si="767"/>
        <v>0</v>
      </c>
      <c r="EI342" s="1989">
        <f t="shared" si="715"/>
        <v>0</v>
      </c>
      <c r="EJ342" s="2003">
        <f t="shared" si="768"/>
        <v>0</v>
      </c>
      <c r="EK342" s="1989">
        <f t="shared" si="716"/>
        <v>0</v>
      </c>
      <c r="EL342" s="1989">
        <f t="shared" si="716"/>
        <v>0</v>
      </c>
      <c r="EM342" s="2006">
        <f t="shared" si="769"/>
        <v>0</v>
      </c>
      <c r="EN342" s="1999">
        <f t="shared" si="770"/>
        <v>0</v>
      </c>
      <c r="EP342" s="1613" t="e">
        <f>EA342-#REF!/10^7</f>
        <v>#REF!</v>
      </c>
      <c r="EW342" s="1611" t="e">
        <v>#N/A</v>
      </c>
      <c r="EX342" s="1612" t="e">
        <v>#N/A</v>
      </c>
      <c r="EZ342" s="1650">
        <f t="shared" si="771"/>
        <v>0</v>
      </c>
    </row>
    <row r="343" spans="1:156" ht="21" customHeight="1">
      <c r="A343" s="1652">
        <v>12</v>
      </c>
      <c r="B343" s="1644"/>
      <c r="C343" s="1662"/>
      <c r="D343" s="1648"/>
      <c r="E343" s="1648"/>
      <c r="F343" s="1648"/>
      <c r="G343" s="1648"/>
      <c r="H343" s="1648"/>
      <c r="I343" s="1648"/>
      <c r="J343" s="1649"/>
      <c r="K343" s="1648"/>
      <c r="L343" s="1648"/>
      <c r="M343" s="1648"/>
      <c r="N343" s="1642"/>
      <c r="O343" s="2000"/>
      <c r="P343" s="2003">
        <f t="shared" si="717"/>
        <v>0</v>
      </c>
      <c r="Q343" s="1989"/>
      <c r="R343" s="2003">
        <f t="shared" si="718"/>
        <v>0</v>
      </c>
      <c r="S343" s="1989"/>
      <c r="T343" s="2003">
        <f t="shared" si="719"/>
        <v>0</v>
      </c>
      <c r="U343" s="1989"/>
      <c r="V343" s="1989"/>
      <c r="W343" s="1989">
        <f t="shared" si="720"/>
        <v>0</v>
      </c>
      <c r="X343" s="1999">
        <f t="shared" si="709"/>
        <v>0</v>
      </c>
      <c r="Y343" s="1993"/>
      <c r="Z343" s="2003">
        <f t="shared" si="721"/>
        <v>0</v>
      </c>
      <c r="AA343" s="1989"/>
      <c r="AB343" s="2003">
        <f t="shared" si="722"/>
        <v>0</v>
      </c>
      <c r="AC343" s="1989"/>
      <c r="AD343" s="2003">
        <f t="shared" si="723"/>
        <v>0</v>
      </c>
      <c r="AE343" s="1989"/>
      <c r="AF343" s="1989"/>
      <c r="AG343" s="2002">
        <f t="shared" si="724"/>
        <v>0</v>
      </c>
      <c r="AH343" s="1999">
        <f t="shared" si="701"/>
        <v>0</v>
      </c>
      <c r="AI343" s="1993"/>
      <c r="AJ343" s="2003">
        <f t="shared" si="725"/>
        <v>0</v>
      </c>
      <c r="AK343" s="1989"/>
      <c r="AL343" s="2003">
        <f t="shared" si="726"/>
        <v>0</v>
      </c>
      <c r="AM343" s="1989"/>
      <c r="AN343" s="2003">
        <f t="shared" si="727"/>
        <v>0</v>
      </c>
      <c r="AO343" s="1989"/>
      <c r="AP343" s="1989"/>
      <c r="AQ343" s="2002">
        <f t="shared" si="728"/>
        <v>0</v>
      </c>
      <c r="AR343" s="1999">
        <f t="shared" si="702"/>
        <v>0</v>
      </c>
      <c r="AS343" s="1993"/>
      <c r="AT343" s="2003">
        <f t="shared" si="729"/>
        <v>0</v>
      </c>
      <c r="AU343" s="1989"/>
      <c r="AV343" s="2003">
        <f t="shared" si="730"/>
        <v>0</v>
      </c>
      <c r="AW343" s="1989"/>
      <c r="AX343" s="2003">
        <f t="shared" si="731"/>
        <v>0</v>
      </c>
      <c r="AY343" s="1989"/>
      <c r="AZ343" s="1989"/>
      <c r="BA343" s="2002">
        <f t="shared" si="732"/>
        <v>0</v>
      </c>
      <c r="BB343" s="1999">
        <f t="shared" si="703"/>
        <v>0</v>
      </c>
      <c r="BC343" s="1993"/>
      <c r="BD343" s="2003">
        <f t="shared" si="733"/>
        <v>0</v>
      </c>
      <c r="BE343" s="1989"/>
      <c r="BF343" s="2003">
        <f t="shared" si="734"/>
        <v>0</v>
      </c>
      <c r="BG343" s="1989"/>
      <c r="BH343" s="2003">
        <f t="shared" si="735"/>
        <v>0</v>
      </c>
      <c r="BI343" s="1989"/>
      <c r="BJ343" s="1989"/>
      <c r="BK343" s="2002">
        <f t="shared" si="736"/>
        <v>0</v>
      </c>
      <c r="BL343" s="1999">
        <f t="shared" si="704"/>
        <v>0</v>
      </c>
      <c r="BM343" s="1993"/>
      <c r="BN343" s="2003">
        <f t="shared" si="737"/>
        <v>0</v>
      </c>
      <c r="BO343" s="1989"/>
      <c r="BP343" s="2003">
        <f t="shared" si="738"/>
        <v>0</v>
      </c>
      <c r="BQ343" s="1989"/>
      <c r="BR343" s="2003">
        <f t="shared" si="739"/>
        <v>0</v>
      </c>
      <c r="BS343" s="1989"/>
      <c r="BT343" s="1989"/>
      <c r="BU343" s="2002">
        <f t="shared" si="740"/>
        <v>0</v>
      </c>
      <c r="BV343" s="1999">
        <f t="shared" si="705"/>
        <v>0</v>
      </c>
      <c r="BW343" s="1993"/>
      <c r="BX343" s="2003">
        <f t="shared" si="741"/>
        <v>0</v>
      </c>
      <c r="BY343" s="1989"/>
      <c r="BZ343" s="2003">
        <f t="shared" si="742"/>
        <v>0</v>
      </c>
      <c r="CA343" s="1989"/>
      <c r="CB343" s="2003">
        <f t="shared" si="743"/>
        <v>0</v>
      </c>
      <c r="CC343" s="1989"/>
      <c r="CD343" s="1989"/>
      <c r="CE343" s="2002">
        <f t="shared" si="744"/>
        <v>0</v>
      </c>
      <c r="CF343" s="1999">
        <f t="shared" si="706"/>
        <v>0</v>
      </c>
      <c r="CG343" s="1993"/>
      <c r="CH343" s="2003">
        <f t="shared" si="745"/>
        <v>0</v>
      </c>
      <c r="CI343" s="1989"/>
      <c r="CJ343" s="2003">
        <f t="shared" si="746"/>
        <v>0</v>
      </c>
      <c r="CK343" s="1989"/>
      <c r="CL343" s="2003">
        <f t="shared" si="747"/>
        <v>0</v>
      </c>
      <c r="CM343" s="1989"/>
      <c r="CN343" s="1989"/>
      <c r="CO343" s="2002">
        <f t="shared" si="748"/>
        <v>0</v>
      </c>
      <c r="CP343" s="1999">
        <f t="shared" si="707"/>
        <v>0</v>
      </c>
      <c r="CQ343" s="1993"/>
      <c r="CR343" s="2003">
        <f t="shared" si="749"/>
        <v>0</v>
      </c>
      <c r="CS343" s="1989"/>
      <c r="CT343" s="2003">
        <f t="shared" si="750"/>
        <v>0</v>
      </c>
      <c r="CU343" s="1989"/>
      <c r="CV343" s="2003">
        <f t="shared" si="751"/>
        <v>0</v>
      </c>
      <c r="CW343" s="1989"/>
      <c r="CX343" s="1989"/>
      <c r="CY343" s="2002">
        <f t="shared" si="752"/>
        <v>0</v>
      </c>
      <c r="CZ343" s="1999">
        <f t="shared" si="710"/>
        <v>0</v>
      </c>
      <c r="DA343" s="1993"/>
      <c r="DB343" s="2003">
        <f t="shared" si="753"/>
        <v>0</v>
      </c>
      <c r="DC343" s="1989"/>
      <c r="DD343" s="2003">
        <f t="shared" si="754"/>
        <v>0</v>
      </c>
      <c r="DE343" s="1989"/>
      <c r="DF343" s="2003">
        <f t="shared" si="755"/>
        <v>0</v>
      </c>
      <c r="DG343" s="1989"/>
      <c r="DH343" s="1989"/>
      <c r="DI343" s="2002">
        <f t="shared" si="756"/>
        <v>0</v>
      </c>
      <c r="DJ343" s="1999">
        <f t="shared" si="711"/>
        <v>0</v>
      </c>
      <c r="DK343" s="1993"/>
      <c r="DL343" s="2003">
        <f t="shared" si="757"/>
        <v>0</v>
      </c>
      <c r="DM343" s="1989"/>
      <c r="DN343" s="2003">
        <f t="shared" si="758"/>
        <v>0</v>
      </c>
      <c r="DO343" s="1989"/>
      <c r="DP343" s="2003">
        <f t="shared" si="759"/>
        <v>0</v>
      </c>
      <c r="DQ343" s="1989"/>
      <c r="DR343" s="1989"/>
      <c r="DS343" s="2002">
        <f t="shared" si="760"/>
        <v>0</v>
      </c>
      <c r="DT343" s="2004">
        <f t="shared" si="712"/>
        <v>0</v>
      </c>
      <c r="DU343" s="1988"/>
      <c r="DV343" s="2003">
        <f t="shared" si="761"/>
        <v>0</v>
      </c>
      <c r="DW343" s="1989"/>
      <c r="DX343" s="2003">
        <f t="shared" si="762"/>
        <v>0</v>
      </c>
      <c r="DY343" s="1989"/>
      <c r="DZ343" s="2003">
        <f t="shared" si="763"/>
        <v>0</v>
      </c>
      <c r="EA343" s="1989"/>
      <c r="EB343" s="1989"/>
      <c r="EC343" s="2002">
        <f t="shared" si="764"/>
        <v>0</v>
      </c>
      <c r="ED343" s="1998">
        <f t="shared" si="713"/>
        <v>0</v>
      </c>
      <c r="EE343" s="2005">
        <f t="shared" si="765"/>
        <v>0</v>
      </c>
      <c r="EF343" s="2003">
        <f t="shared" si="766"/>
        <v>0</v>
      </c>
      <c r="EG343" s="1989">
        <f t="shared" si="714"/>
        <v>0</v>
      </c>
      <c r="EH343" s="2003">
        <f t="shared" si="767"/>
        <v>0</v>
      </c>
      <c r="EI343" s="1989">
        <f t="shared" si="715"/>
        <v>0</v>
      </c>
      <c r="EJ343" s="2003">
        <f t="shared" si="768"/>
        <v>0</v>
      </c>
      <c r="EK343" s="1989">
        <f t="shared" si="716"/>
        <v>0</v>
      </c>
      <c r="EL343" s="1989">
        <f t="shared" si="716"/>
        <v>0</v>
      </c>
      <c r="EM343" s="2006">
        <f t="shared" si="769"/>
        <v>0</v>
      </c>
      <c r="EN343" s="1999">
        <f t="shared" si="770"/>
        <v>0</v>
      </c>
      <c r="EP343" s="1613" t="e">
        <f>EA343-#REF!/10^7</f>
        <v>#REF!</v>
      </c>
      <c r="EW343" s="1611" t="e">
        <v>#N/A</v>
      </c>
      <c r="EX343" s="1612" t="e">
        <v>#N/A</v>
      </c>
      <c r="EZ343" s="1650">
        <f t="shared" si="771"/>
        <v>0</v>
      </c>
    </row>
    <row r="344" spans="1:156" s="1660" customFormat="1" ht="21" customHeight="1">
      <c r="A344" s="1637"/>
      <c r="B344" s="1654" t="s">
        <v>1998</v>
      </c>
      <c r="C344" s="1655">
        <f>SUM(C332:C343)</f>
        <v>1249.9000000000001</v>
      </c>
      <c r="D344" s="1656">
        <f>H344/C344*100</f>
        <v>39.195135610848865</v>
      </c>
      <c r="E344" s="1656">
        <f>SUM(E332:E343)</f>
        <v>0</v>
      </c>
      <c r="F344" s="1656">
        <f>SUM(F332:F343)</f>
        <v>0</v>
      </c>
      <c r="G344" s="1656">
        <f>SUM(G332:G343)</f>
        <v>0</v>
      </c>
      <c r="H344" s="1656">
        <f>SUM(H332:H343)</f>
        <v>489.9</v>
      </c>
      <c r="I344" s="1656"/>
      <c r="J344" s="1657"/>
      <c r="K344" s="1656"/>
      <c r="L344" s="1656"/>
      <c r="M344" s="1656"/>
      <c r="N344" s="1658"/>
      <c r="O344" s="2007" t="e">
        <f>SUM(O332:O343)</f>
        <v>#REF!</v>
      </c>
      <c r="P344" s="2003">
        <f t="shared" si="717"/>
        <v>0</v>
      </c>
      <c r="Q344" s="1826" t="e">
        <f>SUM(Q332:Q343)</f>
        <v>#REF!</v>
      </c>
      <c r="R344" s="2003">
        <f t="shared" si="718"/>
        <v>0</v>
      </c>
      <c r="S344" s="1826" t="e">
        <f>SUM(S332:S343)</f>
        <v>#REF!</v>
      </c>
      <c r="T344" s="2003">
        <f t="shared" si="719"/>
        <v>0</v>
      </c>
      <c r="U344" s="1826" t="e">
        <f>SUM(U332:U343)</f>
        <v>#REF!</v>
      </c>
      <c r="V344" s="1826"/>
      <c r="W344" s="1989">
        <f t="shared" si="720"/>
        <v>0</v>
      </c>
      <c r="X344" s="2008" t="e">
        <f t="shared" ref="X344:AF344" si="772">SUM(X332:X343)</f>
        <v>#REF!</v>
      </c>
      <c r="Y344" s="2007" t="e">
        <f t="shared" si="772"/>
        <v>#REF!</v>
      </c>
      <c r="Z344" s="2003">
        <f t="shared" si="721"/>
        <v>0</v>
      </c>
      <c r="AA344" s="1826" t="e">
        <f t="shared" si="772"/>
        <v>#REF!</v>
      </c>
      <c r="AB344" s="2003">
        <f t="shared" si="722"/>
        <v>0</v>
      </c>
      <c r="AC344" s="1826" t="e">
        <f t="shared" si="772"/>
        <v>#REF!</v>
      </c>
      <c r="AD344" s="2003">
        <f t="shared" si="723"/>
        <v>0</v>
      </c>
      <c r="AE344" s="1826" t="e">
        <f t="shared" si="772"/>
        <v>#REF!</v>
      </c>
      <c r="AF344" s="1826" t="e">
        <f t="shared" si="772"/>
        <v>#REF!</v>
      </c>
      <c r="AG344" s="2002" t="e">
        <f t="shared" si="724"/>
        <v>#REF!</v>
      </c>
      <c r="AH344" s="2008" t="e">
        <f t="shared" ref="AH344:AP344" si="773">SUM(AH332:AH343)</f>
        <v>#REF!</v>
      </c>
      <c r="AI344" s="2007" t="e">
        <f t="shared" si="773"/>
        <v>#REF!</v>
      </c>
      <c r="AJ344" s="2003">
        <f t="shared" si="725"/>
        <v>0</v>
      </c>
      <c r="AK344" s="1826" t="e">
        <f t="shared" si="773"/>
        <v>#REF!</v>
      </c>
      <c r="AL344" s="2003">
        <f t="shared" si="726"/>
        <v>0</v>
      </c>
      <c r="AM344" s="1826" t="e">
        <f t="shared" si="773"/>
        <v>#REF!</v>
      </c>
      <c r="AN344" s="2003">
        <f t="shared" si="727"/>
        <v>0</v>
      </c>
      <c r="AO344" s="1826" t="e">
        <f t="shared" si="773"/>
        <v>#REF!</v>
      </c>
      <c r="AP344" s="1826" t="e">
        <f t="shared" si="773"/>
        <v>#REF!</v>
      </c>
      <c r="AQ344" s="2002" t="e">
        <f t="shared" si="728"/>
        <v>#REF!</v>
      </c>
      <c r="AR344" s="2008" t="e">
        <f t="shared" ref="AR344:AZ344" si="774">SUM(AR332:AR343)</f>
        <v>#REF!</v>
      </c>
      <c r="AS344" s="2007" t="e">
        <f t="shared" si="774"/>
        <v>#REF!</v>
      </c>
      <c r="AT344" s="2003">
        <f t="shared" si="729"/>
        <v>0</v>
      </c>
      <c r="AU344" s="1826" t="e">
        <f t="shared" si="774"/>
        <v>#REF!</v>
      </c>
      <c r="AV344" s="2003">
        <f t="shared" si="730"/>
        <v>0</v>
      </c>
      <c r="AW344" s="1826" t="e">
        <f t="shared" si="774"/>
        <v>#REF!</v>
      </c>
      <c r="AX344" s="2003">
        <f t="shared" si="731"/>
        <v>0</v>
      </c>
      <c r="AY344" s="1826" t="e">
        <f t="shared" si="774"/>
        <v>#REF!</v>
      </c>
      <c r="AZ344" s="1826" t="e">
        <f t="shared" si="774"/>
        <v>#REF!</v>
      </c>
      <c r="BA344" s="2002" t="e">
        <f t="shared" si="732"/>
        <v>#REF!</v>
      </c>
      <c r="BB344" s="2008" t="e">
        <f t="shared" ref="BB344:BJ344" si="775">SUM(BB332:BB343)</f>
        <v>#REF!</v>
      </c>
      <c r="BC344" s="2007" t="e">
        <f t="shared" si="775"/>
        <v>#REF!</v>
      </c>
      <c r="BD344" s="2003">
        <f t="shared" si="733"/>
        <v>0</v>
      </c>
      <c r="BE344" s="1826" t="e">
        <f t="shared" si="775"/>
        <v>#REF!</v>
      </c>
      <c r="BF344" s="2003">
        <f t="shared" si="734"/>
        <v>0</v>
      </c>
      <c r="BG344" s="1826" t="e">
        <f t="shared" si="775"/>
        <v>#REF!</v>
      </c>
      <c r="BH344" s="2003">
        <f t="shared" si="735"/>
        <v>0</v>
      </c>
      <c r="BI344" s="1826" t="e">
        <f t="shared" si="775"/>
        <v>#REF!</v>
      </c>
      <c r="BJ344" s="1826" t="e">
        <f t="shared" si="775"/>
        <v>#REF!</v>
      </c>
      <c r="BK344" s="2002" t="e">
        <f t="shared" si="736"/>
        <v>#REF!</v>
      </c>
      <c r="BL344" s="2008" t="e">
        <f t="shared" ref="BL344:BT344" si="776">SUM(BL332:BL343)</f>
        <v>#REF!</v>
      </c>
      <c r="BM344" s="2007" t="e">
        <f t="shared" si="776"/>
        <v>#REF!</v>
      </c>
      <c r="BN344" s="2003">
        <f t="shared" si="737"/>
        <v>0</v>
      </c>
      <c r="BO344" s="1826" t="e">
        <f t="shared" si="776"/>
        <v>#REF!</v>
      </c>
      <c r="BP344" s="2003">
        <f t="shared" si="738"/>
        <v>0</v>
      </c>
      <c r="BQ344" s="1826" t="e">
        <f t="shared" si="776"/>
        <v>#REF!</v>
      </c>
      <c r="BR344" s="2003">
        <f t="shared" si="739"/>
        <v>0</v>
      </c>
      <c r="BS344" s="1826" t="e">
        <f t="shared" si="776"/>
        <v>#REF!</v>
      </c>
      <c r="BT344" s="1826" t="e">
        <f t="shared" si="776"/>
        <v>#REF!</v>
      </c>
      <c r="BU344" s="2002" t="e">
        <f t="shared" si="740"/>
        <v>#REF!</v>
      </c>
      <c r="BV344" s="2008" t="e">
        <f t="shared" ref="BV344:CD344" si="777">SUM(BV332:BV343)</f>
        <v>#REF!</v>
      </c>
      <c r="BW344" s="2007" t="e">
        <f t="shared" si="777"/>
        <v>#REF!</v>
      </c>
      <c r="BX344" s="2003">
        <f t="shared" si="741"/>
        <v>0</v>
      </c>
      <c r="BY344" s="1826" t="e">
        <f t="shared" si="777"/>
        <v>#REF!</v>
      </c>
      <c r="BZ344" s="2003">
        <f t="shared" si="742"/>
        <v>0</v>
      </c>
      <c r="CA344" s="1826" t="e">
        <f t="shared" si="777"/>
        <v>#REF!</v>
      </c>
      <c r="CB344" s="2003">
        <f t="shared" si="743"/>
        <v>0</v>
      </c>
      <c r="CC344" s="1826" t="e">
        <f t="shared" si="777"/>
        <v>#REF!</v>
      </c>
      <c r="CD344" s="1826" t="e">
        <f t="shared" si="777"/>
        <v>#REF!</v>
      </c>
      <c r="CE344" s="2002" t="e">
        <f t="shared" si="744"/>
        <v>#REF!</v>
      </c>
      <c r="CF344" s="2008" t="e">
        <f t="shared" ref="CF344:CN344" si="778">SUM(CF332:CF343)</f>
        <v>#REF!</v>
      </c>
      <c r="CG344" s="2007" t="e">
        <f t="shared" si="778"/>
        <v>#REF!</v>
      </c>
      <c r="CH344" s="2003">
        <f t="shared" si="745"/>
        <v>0</v>
      </c>
      <c r="CI344" s="1826" t="e">
        <f t="shared" si="778"/>
        <v>#REF!</v>
      </c>
      <c r="CJ344" s="2003">
        <f t="shared" si="746"/>
        <v>0</v>
      </c>
      <c r="CK344" s="1826" t="e">
        <f t="shared" si="778"/>
        <v>#REF!</v>
      </c>
      <c r="CL344" s="2003">
        <f t="shared" si="747"/>
        <v>0</v>
      </c>
      <c r="CM344" s="1826" t="e">
        <f t="shared" si="778"/>
        <v>#REF!</v>
      </c>
      <c r="CN344" s="1826" t="e">
        <f t="shared" si="778"/>
        <v>#REF!</v>
      </c>
      <c r="CO344" s="2002" t="e">
        <f t="shared" si="748"/>
        <v>#REF!</v>
      </c>
      <c r="CP344" s="2008" t="e">
        <f t="shared" ref="CP344:CX344" si="779">SUM(CP332:CP343)</f>
        <v>#REF!</v>
      </c>
      <c r="CQ344" s="2007" t="e">
        <f t="shared" si="779"/>
        <v>#REF!</v>
      </c>
      <c r="CR344" s="2003">
        <f t="shared" si="749"/>
        <v>0</v>
      </c>
      <c r="CS344" s="1826" t="e">
        <f t="shared" si="779"/>
        <v>#REF!</v>
      </c>
      <c r="CT344" s="2003">
        <f t="shared" si="750"/>
        <v>0</v>
      </c>
      <c r="CU344" s="1826" t="e">
        <f t="shared" si="779"/>
        <v>#REF!</v>
      </c>
      <c r="CV344" s="2003">
        <f t="shared" si="751"/>
        <v>0</v>
      </c>
      <c r="CW344" s="1826" t="e">
        <f t="shared" si="779"/>
        <v>#REF!</v>
      </c>
      <c r="CX344" s="1826" t="e">
        <f t="shared" si="779"/>
        <v>#REF!</v>
      </c>
      <c r="CY344" s="2002" t="e">
        <f t="shared" si="752"/>
        <v>#REF!</v>
      </c>
      <c r="CZ344" s="2008" t="e">
        <f t="shared" ref="CZ344:DH344" si="780">SUM(CZ332:CZ343)</f>
        <v>#REF!</v>
      </c>
      <c r="DA344" s="2007" t="e">
        <f t="shared" si="780"/>
        <v>#REF!</v>
      </c>
      <c r="DB344" s="2003">
        <f t="shared" si="753"/>
        <v>0</v>
      </c>
      <c r="DC344" s="1826" t="e">
        <f t="shared" si="780"/>
        <v>#REF!</v>
      </c>
      <c r="DD344" s="2003">
        <f t="shared" si="754"/>
        <v>0</v>
      </c>
      <c r="DE344" s="1826" t="e">
        <f t="shared" si="780"/>
        <v>#REF!</v>
      </c>
      <c r="DF344" s="2003">
        <f t="shared" si="755"/>
        <v>0</v>
      </c>
      <c r="DG344" s="1826" t="e">
        <f t="shared" si="780"/>
        <v>#REF!</v>
      </c>
      <c r="DH344" s="1826" t="e">
        <f t="shared" si="780"/>
        <v>#REF!</v>
      </c>
      <c r="DI344" s="2002" t="e">
        <f t="shared" si="756"/>
        <v>#REF!</v>
      </c>
      <c r="DJ344" s="2008" t="e">
        <f t="shared" ref="DJ344:DR344" si="781">SUM(DJ332:DJ343)</f>
        <v>#REF!</v>
      </c>
      <c r="DK344" s="2007" t="e">
        <f>SUM(DK332:DK343)</f>
        <v>#REF!</v>
      </c>
      <c r="DL344" s="2003">
        <f t="shared" si="757"/>
        <v>0</v>
      </c>
      <c r="DM344" s="1826" t="e">
        <f t="shared" si="781"/>
        <v>#REF!</v>
      </c>
      <c r="DN344" s="2003">
        <f t="shared" si="758"/>
        <v>0</v>
      </c>
      <c r="DO344" s="1826" t="e">
        <f t="shared" si="781"/>
        <v>#REF!</v>
      </c>
      <c r="DP344" s="2003">
        <f t="shared" si="759"/>
        <v>0</v>
      </c>
      <c r="DQ344" s="1826" t="e">
        <f t="shared" si="781"/>
        <v>#REF!</v>
      </c>
      <c r="DR344" s="1826" t="e">
        <f t="shared" si="781"/>
        <v>#REF!</v>
      </c>
      <c r="DS344" s="2002" t="e">
        <f t="shared" si="760"/>
        <v>#REF!</v>
      </c>
      <c r="DT344" s="2009" t="e">
        <f t="shared" ref="DT344:EB344" si="782">SUM(DT332:DT343)</f>
        <v>#REF!</v>
      </c>
      <c r="DU344" s="2010" t="e">
        <f t="shared" si="782"/>
        <v>#REF!</v>
      </c>
      <c r="DV344" s="2003">
        <f t="shared" si="761"/>
        <v>0</v>
      </c>
      <c r="DW344" s="1826" t="e">
        <f t="shared" si="782"/>
        <v>#REF!</v>
      </c>
      <c r="DX344" s="2003">
        <f t="shared" si="762"/>
        <v>0</v>
      </c>
      <c r="DY344" s="1826" t="e">
        <f t="shared" si="782"/>
        <v>#REF!</v>
      </c>
      <c r="DZ344" s="2003">
        <f t="shared" si="763"/>
        <v>0</v>
      </c>
      <c r="EA344" s="1826" t="e">
        <f t="shared" si="782"/>
        <v>#REF!</v>
      </c>
      <c r="EB344" s="1826" t="e">
        <f t="shared" si="782"/>
        <v>#REF!</v>
      </c>
      <c r="EC344" s="2002" t="e">
        <f t="shared" si="764"/>
        <v>#REF!</v>
      </c>
      <c r="ED344" s="1826" t="e">
        <f t="shared" ref="ED344:EL344" si="783">SUM(ED332:ED343)</f>
        <v>#REF!</v>
      </c>
      <c r="EE344" s="2019" t="e">
        <f t="shared" si="783"/>
        <v>#REF!</v>
      </c>
      <c r="EF344" s="2003">
        <f t="shared" si="766"/>
        <v>0</v>
      </c>
      <c r="EG344" s="1826" t="e">
        <f t="shared" si="783"/>
        <v>#REF!</v>
      </c>
      <c r="EH344" s="2003">
        <f t="shared" si="767"/>
        <v>0</v>
      </c>
      <c r="EI344" s="1826" t="e">
        <f t="shared" si="783"/>
        <v>#REF!</v>
      </c>
      <c r="EJ344" s="2003">
        <f t="shared" si="768"/>
        <v>0</v>
      </c>
      <c r="EK344" s="1826" t="e">
        <f t="shared" si="783"/>
        <v>#REF!</v>
      </c>
      <c r="EL344" s="1826" t="e">
        <f t="shared" si="783"/>
        <v>#REF!</v>
      </c>
      <c r="EM344" s="2006" t="e">
        <f t="shared" si="769"/>
        <v>#REF!</v>
      </c>
      <c r="EN344" s="2008" t="e">
        <f>SUM(EN332:EN343)</f>
        <v>#REF!</v>
      </c>
      <c r="EO344" s="1659"/>
      <c r="EP344" s="1613" t="e">
        <f>EA344-#REF!/10^7</f>
        <v>#REF!</v>
      </c>
      <c r="EQ344" s="1661"/>
      <c r="EW344" s="1611" t="e">
        <v>#N/A</v>
      </c>
      <c r="EX344" s="1612" t="e">
        <v>#N/A</v>
      </c>
      <c r="EZ344" s="1650">
        <f t="shared" si="771"/>
        <v>0</v>
      </c>
    </row>
    <row r="345" spans="1:156" ht="21" customHeight="1">
      <c r="A345" s="1652"/>
      <c r="B345" s="1644"/>
      <c r="C345" s="1662"/>
      <c r="D345" s="1648"/>
      <c r="E345" s="1648"/>
      <c r="F345" s="1648"/>
      <c r="G345" s="1648"/>
      <c r="H345" s="1648"/>
      <c r="I345" s="1648"/>
      <c r="J345" s="1649"/>
      <c r="K345" s="1648"/>
      <c r="L345" s="1648"/>
      <c r="M345" s="1648"/>
      <c r="N345" s="1642"/>
      <c r="O345" s="2000"/>
      <c r="P345" s="2003">
        <f t="shared" si="717"/>
        <v>0</v>
      </c>
      <c r="Q345" s="1989"/>
      <c r="R345" s="2003">
        <f t="shared" si="718"/>
        <v>0</v>
      </c>
      <c r="S345" s="1989"/>
      <c r="T345" s="2003">
        <f t="shared" si="719"/>
        <v>0</v>
      </c>
      <c r="U345" s="1989"/>
      <c r="V345" s="1989"/>
      <c r="W345" s="1989">
        <f t="shared" si="720"/>
        <v>0</v>
      </c>
      <c r="X345" s="1999">
        <f>Q345+S345+U345+V345</f>
        <v>0</v>
      </c>
      <c r="Y345" s="1993"/>
      <c r="Z345" s="2003">
        <f t="shared" si="721"/>
        <v>0</v>
      </c>
      <c r="AA345" s="1989"/>
      <c r="AB345" s="2003">
        <f t="shared" si="722"/>
        <v>0</v>
      </c>
      <c r="AC345" s="1989"/>
      <c r="AD345" s="2003">
        <f t="shared" si="723"/>
        <v>0</v>
      </c>
      <c r="AE345" s="1989"/>
      <c r="AF345" s="1989"/>
      <c r="AG345" s="2002">
        <f t="shared" si="724"/>
        <v>0</v>
      </c>
      <c r="AH345" s="1999">
        <f t="shared" ref="AH345:AH354" si="784">AA345+AC345+AE345+AF345</f>
        <v>0</v>
      </c>
      <c r="AI345" s="1993"/>
      <c r="AJ345" s="2003">
        <f t="shared" si="725"/>
        <v>0</v>
      </c>
      <c r="AK345" s="1989"/>
      <c r="AL345" s="2003">
        <f t="shared" si="726"/>
        <v>0</v>
      </c>
      <c r="AM345" s="1989"/>
      <c r="AN345" s="2003">
        <f t="shared" si="727"/>
        <v>0</v>
      </c>
      <c r="AO345" s="1989"/>
      <c r="AP345" s="1989"/>
      <c r="AQ345" s="2002">
        <f t="shared" si="728"/>
        <v>0</v>
      </c>
      <c r="AR345" s="1999">
        <f t="shared" ref="AR345:AR353" si="785">AK345+AM345+AO345+AP345</f>
        <v>0</v>
      </c>
      <c r="AS345" s="1993"/>
      <c r="AT345" s="2003">
        <f t="shared" si="729"/>
        <v>0</v>
      </c>
      <c r="AU345" s="1989"/>
      <c r="AV345" s="2003">
        <f t="shared" si="730"/>
        <v>0</v>
      </c>
      <c r="AW345" s="1989"/>
      <c r="AX345" s="2003">
        <f t="shared" si="731"/>
        <v>0</v>
      </c>
      <c r="AY345" s="1989"/>
      <c r="AZ345" s="1989"/>
      <c r="BA345" s="2002">
        <f t="shared" si="732"/>
        <v>0</v>
      </c>
      <c r="BB345" s="1999">
        <f>AU345+AW345+AY345+AZ345</f>
        <v>0</v>
      </c>
      <c r="BC345" s="1993"/>
      <c r="BD345" s="2003">
        <f t="shared" si="733"/>
        <v>0</v>
      </c>
      <c r="BE345" s="1989"/>
      <c r="BF345" s="2003">
        <f t="shared" si="734"/>
        <v>0</v>
      </c>
      <c r="BG345" s="1989"/>
      <c r="BH345" s="2003">
        <f t="shared" si="735"/>
        <v>0</v>
      </c>
      <c r="BI345" s="1989"/>
      <c r="BJ345" s="1989"/>
      <c r="BK345" s="2002">
        <f t="shared" si="736"/>
        <v>0</v>
      </c>
      <c r="BL345" s="1999">
        <f>BE345+BG345+BI345+BJ345</f>
        <v>0</v>
      </c>
      <c r="BM345" s="1993"/>
      <c r="BN345" s="2003">
        <f t="shared" si="737"/>
        <v>0</v>
      </c>
      <c r="BO345" s="1989"/>
      <c r="BP345" s="2003">
        <f t="shared" si="738"/>
        <v>0</v>
      </c>
      <c r="BQ345" s="1989"/>
      <c r="BR345" s="2003">
        <f t="shared" si="739"/>
        <v>0</v>
      </c>
      <c r="BS345" s="1989"/>
      <c r="BT345" s="1989"/>
      <c r="BU345" s="2002">
        <f t="shared" si="740"/>
        <v>0</v>
      </c>
      <c r="BV345" s="1999">
        <f>BO345+BQ345+BS345+BT345</f>
        <v>0</v>
      </c>
      <c r="BW345" s="1993"/>
      <c r="BX345" s="2003">
        <f t="shared" si="741"/>
        <v>0</v>
      </c>
      <c r="BY345" s="1989"/>
      <c r="BZ345" s="2003">
        <f t="shared" si="742"/>
        <v>0</v>
      </c>
      <c r="CA345" s="1989"/>
      <c r="CB345" s="2003">
        <f t="shared" si="743"/>
        <v>0</v>
      </c>
      <c r="CC345" s="1989"/>
      <c r="CD345" s="1989"/>
      <c r="CE345" s="2002">
        <f t="shared" si="744"/>
        <v>0</v>
      </c>
      <c r="CF345" s="1999">
        <f>BY345+CA345+CC345+CD345</f>
        <v>0</v>
      </c>
      <c r="CG345" s="1993"/>
      <c r="CH345" s="2003">
        <f t="shared" si="745"/>
        <v>0</v>
      </c>
      <c r="CI345" s="1989"/>
      <c r="CJ345" s="2003">
        <f t="shared" si="746"/>
        <v>0</v>
      </c>
      <c r="CK345" s="1989"/>
      <c r="CL345" s="2003">
        <f t="shared" si="747"/>
        <v>0</v>
      </c>
      <c r="CM345" s="1989"/>
      <c r="CN345" s="1989"/>
      <c r="CO345" s="2002">
        <f t="shared" si="748"/>
        <v>0</v>
      </c>
      <c r="CP345" s="1999">
        <f>CI345+CK345+CM345+CN345</f>
        <v>0</v>
      </c>
      <c r="CQ345" s="1993"/>
      <c r="CR345" s="2003">
        <f t="shared" si="749"/>
        <v>0</v>
      </c>
      <c r="CS345" s="1989"/>
      <c r="CT345" s="2003">
        <f t="shared" si="750"/>
        <v>0</v>
      </c>
      <c r="CU345" s="1989"/>
      <c r="CV345" s="2003">
        <f t="shared" si="751"/>
        <v>0</v>
      </c>
      <c r="CW345" s="1989"/>
      <c r="CX345" s="1989"/>
      <c r="CY345" s="2002">
        <f t="shared" si="752"/>
        <v>0</v>
      </c>
      <c r="CZ345" s="1999">
        <f>CS345+CU345+CW345+CX345</f>
        <v>0</v>
      </c>
      <c r="DA345" s="1993"/>
      <c r="DB345" s="2003">
        <f t="shared" si="753"/>
        <v>0</v>
      </c>
      <c r="DC345" s="1989"/>
      <c r="DD345" s="2003">
        <f t="shared" si="754"/>
        <v>0</v>
      </c>
      <c r="DE345" s="1989"/>
      <c r="DF345" s="2003">
        <f t="shared" si="755"/>
        <v>0</v>
      </c>
      <c r="DG345" s="1989"/>
      <c r="DH345" s="1989"/>
      <c r="DI345" s="2002">
        <f t="shared" si="756"/>
        <v>0</v>
      </c>
      <c r="DJ345" s="1999">
        <f>DC345+DE345+DG345+DH345</f>
        <v>0</v>
      </c>
      <c r="DK345" s="1993"/>
      <c r="DL345" s="2003">
        <f t="shared" si="757"/>
        <v>0</v>
      </c>
      <c r="DM345" s="1989"/>
      <c r="DN345" s="2003">
        <f t="shared" si="758"/>
        <v>0</v>
      </c>
      <c r="DO345" s="1989"/>
      <c r="DP345" s="2003">
        <f t="shared" si="759"/>
        <v>0</v>
      </c>
      <c r="DQ345" s="1989"/>
      <c r="DR345" s="1989"/>
      <c r="DS345" s="2002">
        <f t="shared" si="760"/>
        <v>0</v>
      </c>
      <c r="DT345" s="2004">
        <f>DM345+DO345+DQ345+DR345</f>
        <v>0</v>
      </c>
      <c r="DU345" s="1988"/>
      <c r="DV345" s="2003">
        <f t="shared" si="761"/>
        <v>0</v>
      </c>
      <c r="DW345" s="1989"/>
      <c r="DX345" s="2003">
        <f t="shared" si="762"/>
        <v>0</v>
      </c>
      <c r="DY345" s="1989"/>
      <c r="DZ345" s="2003">
        <f t="shared" si="763"/>
        <v>0</v>
      </c>
      <c r="EA345" s="1989"/>
      <c r="EB345" s="1989"/>
      <c r="EC345" s="2002">
        <f t="shared" si="764"/>
        <v>0</v>
      </c>
      <c r="ED345" s="1998">
        <f>DW345+DY345+EA345+EB345</f>
        <v>0</v>
      </c>
      <c r="EE345" s="2005"/>
      <c r="EF345" s="2003">
        <f t="shared" si="766"/>
        <v>0</v>
      </c>
      <c r="EG345" s="1989"/>
      <c r="EH345" s="2003">
        <f t="shared" si="767"/>
        <v>0</v>
      </c>
      <c r="EI345" s="1989"/>
      <c r="EJ345" s="2003">
        <f t="shared" si="768"/>
        <v>0</v>
      </c>
      <c r="EK345" s="1989"/>
      <c r="EL345" s="1989"/>
      <c r="EM345" s="2006">
        <f t="shared" si="769"/>
        <v>0</v>
      </c>
      <c r="EN345" s="1999"/>
      <c r="EP345" s="1613" t="e">
        <f>EA345-#REF!/10^7</f>
        <v>#REF!</v>
      </c>
      <c r="EW345" s="1611" t="e">
        <v>#N/A</v>
      </c>
      <c r="EX345" s="1612" t="e">
        <v>#N/A</v>
      </c>
      <c r="EZ345" s="1650">
        <f t="shared" si="771"/>
        <v>0</v>
      </c>
    </row>
    <row r="346" spans="1:156" ht="21" customHeight="1">
      <c r="A346" s="1637" t="s">
        <v>152</v>
      </c>
      <c r="B346" s="1638" t="s">
        <v>1802</v>
      </c>
      <c r="C346" s="1662"/>
      <c r="D346" s="1648"/>
      <c r="E346" s="1648"/>
      <c r="F346" s="1648"/>
      <c r="G346" s="1648"/>
      <c r="H346" s="1648"/>
      <c r="I346" s="1648"/>
      <c r="J346" s="1649"/>
      <c r="K346" s="1648"/>
      <c r="L346" s="1648"/>
      <c r="M346" s="1648"/>
      <c r="N346" s="1642"/>
      <c r="O346" s="2000"/>
      <c r="P346" s="2003">
        <f t="shared" si="717"/>
        <v>0</v>
      </c>
      <c r="Q346" s="1989"/>
      <c r="R346" s="2003">
        <f t="shared" si="718"/>
        <v>0</v>
      </c>
      <c r="S346" s="1989"/>
      <c r="T346" s="2003">
        <f t="shared" si="719"/>
        <v>0</v>
      </c>
      <c r="U346" s="1989"/>
      <c r="V346" s="1989"/>
      <c r="W346" s="1989">
        <f t="shared" si="720"/>
        <v>0</v>
      </c>
      <c r="X346" s="1999">
        <f>Q346+S346+U346+V346</f>
        <v>0</v>
      </c>
      <c r="Y346" s="1993"/>
      <c r="Z346" s="2003">
        <f t="shared" si="721"/>
        <v>0</v>
      </c>
      <c r="AA346" s="1989"/>
      <c r="AB346" s="2003">
        <f t="shared" si="722"/>
        <v>0</v>
      </c>
      <c r="AC346" s="1989"/>
      <c r="AD346" s="2003">
        <f t="shared" si="723"/>
        <v>0</v>
      </c>
      <c r="AE346" s="1989"/>
      <c r="AF346" s="1989"/>
      <c r="AG346" s="2002">
        <f t="shared" si="724"/>
        <v>0</v>
      </c>
      <c r="AH346" s="1999">
        <f t="shared" si="784"/>
        <v>0</v>
      </c>
      <c r="AI346" s="1993"/>
      <c r="AJ346" s="2003">
        <f t="shared" si="725"/>
        <v>0</v>
      </c>
      <c r="AK346" s="1989"/>
      <c r="AL346" s="2003">
        <f t="shared" si="726"/>
        <v>0</v>
      </c>
      <c r="AM346" s="1989"/>
      <c r="AN346" s="2003">
        <f t="shared" si="727"/>
        <v>0</v>
      </c>
      <c r="AO346" s="1989"/>
      <c r="AP346" s="1989"/>
      <c r="AQ346" s="2002">
        <f t="shared" si="728"/>
        <v>0</v>
      </c>
      <c r="AR346" s="1999">
        <f t="shared" si="785"/>
        <v>0</v>
      </c>
      <c r="AS346" s="1993"/>
      <c r="AT346" s="2003">
        <f t="shared" si="729"/>
        <v>0</v>
      </c>
      <c r="AU346" s="1989"/>
      <c r="AV346" s="2003">
        <f t="shared" si="730"/>
        <v>0</v>
      </c>
      <c r="AW346" s="1989"/>
      <c r="AX346" s="2003">
        <f t="shared" si="731"/>
        <v>0</v>
      </c>
      <c r="AY346" s="1989"/>
      <c r="AZ346" s="1989"/>
      <c r="BA346" s="2002">
        <f t="shared" si="732"/>
        <v>0</v>
      </c>
      <c r="BB346" s="1999">
        <f>AU346+AW346+AY346+AZ346</f>
        <v>0</v>
      </c>
      <c r="BC346" s="1993"/>
      <c r="BD346" s="2003">
        <f t="shared" si="733"/>
        <v>0</v>
      </c>
      <c r="BE346" s="1989"/>
      <c r="BF346" s="2003">
        <f t="shared" si="734"/>
        <v>0</v>
      </c>
      <c r="BG346" s="1989"/>
      <c r="BH346" s="2003">
        <f t="shared" si="735"/>
        <v>0</v>
      </c>
      <c r="BI346" s="1989"/>
      <c r="BJ346" s="1989"/>
      <c r="BK346" s="2002">
        <f t="shared" si="736"/>
        <v>0</v>
      </c>
      <c r="BL346" s="1999">
        <f>BE346+BG346+BI346+BJ346</f>
        <v>0</v>
      </c>
      <c r="BM346" s="1993"/>
      <c r="BN346" s="2003">
        <f t="shared" si="737"/>
        <v>0</v>
      </c>
      <c r="BO346" s="1989"/>
      <c r="BP346" s="2003">
        <f t="shared" si="738"/>
        <v>0</v>
      </c>
      <c r="BQ346" s="1989"/>
      <c r="BR346" s="2003">
        <f t="shared" si="739"/>
        <v>0</v>
      </c>
      <c r="BS346" s="1989"/>
      <c r="BT346" s="1989"/>
      <c r="BU346" s="2002">
        <f t="shared" si="740"/>
        <v>0</v>
      </c>
      <c r="BV346" s="1999">
        <f>BO346+BQ346+BS346+BT346</f>
        <v>0</v>
      </c>
      <c r="BW346" s="1993"/>
      <c r="BX346" s="2003">
        <f t="shared" si="741"/>
        <v>0</v>
      </c>
      <c r="BY346" s="1989"/>
      <c r="BZ346" s="2003">
        <f t="shared" si="742"/>
        <v>0</v>
      </c>
      <c r="CA346" s="1989"/>
      <c r="CB346" s="2003">
        <f t="shared" si="743"/>
        <v>0</v>
      </c>
      <c r="CC346" s="1989"/>
      <c r="CD346" s="1989"/>
      <c r="CE346" s="2002">
        <f t="shared" si="744"/>
        <v>0</v>
      </c>
      <c r="CF346" s="1999">
        <f>BY346+CA346+CC346+CD346</f>
        <v>0</v>
      </c>
      <c r="CG346" s="1993"/>
      <c r="CH346" s="2003">
        <f t="shared" si="745"/>
        <v>0</v>
      </c>
      <c r="CI346" s="1989"/>
      <c r="CJ346" s="2003">
        <f t="shared" si="746"/>
        <v>0</v>
      </c>
      <c r="CK346" s="1989"/>
      <c r="CL346" s="2003">
        <f t="shared" si="747"/>
        <v>0</v>
      </c>
      <c r="CM346" s="1989"/>
      <c r="CN346" s="1989"/>
      <c r="CO346" s="2002">
        <f t="shared" si="748"/>
        <v>0</v>
      </c>
      <c r="CP346" s="1999">
        <f>CI346+CK346+CM346+CN346</f>
        <v>0</v>
      </c>
      <c r="CQ346" s="1993"/>
      <c r="CR346" s="2003">
        <f t="shared" si="749"/>
        <v>0</v>
      </c>
      <c r="CS346" s="1989"/>
      <c r="CT346" s="2003">
        <f t="shared" si="750"/>
        <v>0</v>
      </c>
      <c r="CU346" s="1989"/>
      <c r="CV346" s="2003">
        <f t="shared" si="751"/>
        <v>0</v>
      </c>
      <c r="CW346" s="1989"/>
      <c r="CX346" s="1989"/>
      <c r="CY346" s="2002">
        <f t="shared" si="752"/>
        <v>0</v>
      </c>
      <c r="CZ346" s="1999">
        <f>CS346+CU346+CW346+CX346</f>
        <v>0</v>
      </c>
      <c r="DA346" s="1993"/>
      <c r="DB346" s="2003">
        <f t="shared" si="753"/>
        <v>0</v>
      </c>
      <c r="DC346" s="1989"/>
      <c r="DD346" s="2003">
        <f t="shared" si="754"/>
        <v>0</v>
      </c>
      <c r="DE346" s="1989"/>
      <c r="DF346" s="2003">
        <f t="shared" si="755"/>
        <v>0</v>
      </c>
      <c r="DG346" s="1989"/>
      <c r="DH346" s="1989"/>
      <c r="DI346" s="2002">
        <f t="shared" si="756"/>
        <v>0</v>
      </c>
      <c r="DJ346" s="1999">
        <f>DC346+DE346+DG346+DH346</f>
        <v>0</v>
      </c>
      <c r="DK346" s="1993"/>
      <c r="DL346" s="2003">
        <f t="shared" si="757"/>
        <v>0</v>
      </c>
      <c r="DM346" s="1989"/>
      <c r="DN346" s="2003">
        <f t="shared" si="758"/>
        <v>0</v>
      </c>
      <c r="DO346" s="1989"/>
      <c r="DP346" s="2003">
        <f t="shared" si="759"/>
        <v>0</v>
      </c>
      <c r="DQ346" s="1989"/>
      <c r="DR346" s="1989"/>
      <c r="DS346" s="2002">
        <f t="shared" si="760"/>
        <v>0</v>
      </c>
      <c r="DT346" s="2004">
        <f>DM346+DO346+DQ346+DR346</f>
        <v>0</v>
      </c>
      <c r="DU346" s="1988"/>
      <c r="DV346" s="2003">
        <f t="shared" si="761"/>
        <v>0</v>
      </c>
      <c r="DW346" s="1989"/>
      <c r="DX346" s="2003">
        <f t="shared" si="762"/>
        <v>0</v>
      </c>
      <c r="DY346" s="1989"/>
      <c r="DZ346" s="2003">
        <f t="shared" si="763"/>
        <v>0</v>
      </c>
      <c r="EA346" s="1989"/>
      <c r="EB346" s="1989"/>
      <c r="EC346" s="2002">
        <f t="shared" si="764"/>
        <v>0</v>
      </c>
      <c r="ED346" s="1998">
        <f>DW346+DY346+EA346+EB346</f>
        <v>0</v>
      </c>
      <c r="EE346" s="2005"/>
      <c r="EF346" s="2003">
        <f t="shared" si="766"/>
        <v>0</v>
      </c>
      <c r="EG346" s="1989"/>
      <c r="EH346" s="2003">
        <f t="shared" si="767"/>
        <v>0</v>
      </c>
      <c r="EI346" s="1989"/>
      <c r="EJ346" s="2003">
        <f t="shared" si="768"/>
        <v>0</v>
      </c>
      <c r="EK346" s="1989"/>
      <c r="EL346" s="1989"/>
      <c r="EM346" s="2006">
        <f t="shared" si="769"/>
        <v>0</v>
      </c>
      <c r="EN346" s="1999"/>
      <c r="EP346" s="1613" t="e">
        <f>EA346-#REF!/10^7</f>
        <v>#REF!</v>
      </c>
      <c r="EW346" s="1611" t="s">
        <v>1717</v>
      </c>
      <c r="EX346" s="1612" t="s">
        <v>1667</v>
      </c>
      <c r="EZ346" s="1650">
        <f t="shared" si="771"/>
        <v>0</v>
      </c>
    </row>
    <row r="347" spans="1:156" ht="21" customHeight="1">
      <c r="A347" s="1652">
        <v>1</v>
      </c>
      <c r="B347" s="1644"/>
      <c r="C347" s="1662"/>
      <c r="D347" s="1648"/>
      <c r="E347" s="1648"/>
      <c r="F347" s="1648"/>
      <c r="G347" s="1648"/>
      <c r="H347" s="1648"/>
      <c r="I347" s="1648"/>
      <c r="J347" s="1649"/>
      <c r="K347" s="1648"/>
      <c r="L347" s="1648"/>
      <c r="M347" s="1648"/>
      <c r="N347" s="1642"/>
      <c r="O347" s="2000"/>
      <c r="P347" s="2003">
        <f t="shared" si="717"/>
        <v>0</v>
      </c>
      <c r="Q347" s="1989"/>
      <c r="R347" s="2003">
        <f t="shared" si="718"/>
        <v>0</v>
      </c>
      <c r="S347" s="1989"/>
      <c r="T347" s="2003">
        <f t="shared" si="719"/>
        <v>0</v>
      </c>
      <c r="U347" s="1989"/>
      <c r="V347" s="1989"/>
      <c r="W347" s="1989">
        <f t="shared" si="720"/>
        <v>0</v>
      </c>
      <c r="X347" s="1999">
        <f>Q347+S347+U347+V347</f>
        <v>0</v>
      </c>
      <c r="Y347" s="1993"/>
      <c r="Z347" s="2003">
        <f t="shared" si="721"/>
        <v>0</v>
      </c>
      <c r="AA347" s="1989"/>
      <c r="AB347" s="2003">
        <f t="shared" si="722"/>
        <v>0</v>
      </c>
      <c r="AC347" s="1989"/>
      <c r="AD347" s="2003">
        <f t="shared" si="723"/>
        <v>0</v>
      </c>
      <c r="AE347" s="1989"/>
      <c r="AF347" s="1989"/>
      <c r="AG347" s="2002">
        <f t="shared" si="724"/>
        <v>0</v>
      </c>
      <c r="AH347" s="1999">
        <f t="shared" si="784"/>
        <v>0</v>
      </c>
      <c r="AI347" s="1993"/>
      <c r="AJ347" s="2003">
        <f t="shared" si="725"/>
        <v>0</v>
      </c>
      <c r="AK347" s="1989"/>
      <c r="AL347" s="2003">
        <f t="shared" si="726"/>
        <v>0</v>
      </c>
      <c r="AM347" s="1989"/>
      <c r="AN347" s="2003">
        <f t="shared" si="727"/>
        <v>0</v>
      </c>
      <c r="AO347" s="1989"/>
      <c r="AP347" s="1989"/>
      <c r="AQ347" s="2002">
        <f t="shared" si="728"/>
        <v>0</v>
      </c>
      <c r="AR347" s="1999">
        <f t="shared" si="785"/>
        <v>0</v>
      </c>
      <c r="AS347" s="1993"/>
      <c r="AT347" s="2003">
        <f t="shared" si="729"/>
        <v>0</v>
      </c>
      <c r="AU347" s="1989"/>
      <c r="AV347" s="2003">
        <f t="shared" si="730"/>
        <v>0</v>
      </c>
      <c r="AW347" s="1989"/>
      <c r="AX347" s="2003">
        <f t="shared" si="731"/>
        <v>0</v>
      </c>
      <c r="AY347" s="1989"/>
      <c r="AZ347" s="1989"/>
      <c r="BA347" s="2002">
        <f t="shared" si="732"/>
        <v>0</v>
      </c>
      <c r="BB347" s="1999">
        <f>AU347+AW347+AY347+AZ347</f>
        <v>0</v>
      </c>
      <c r="BC347" s="1993"/>
      <c r="BD347" s="2003">
        <f t="shared" si="733"/>
        <v>0</v>
      </c>
      <c r="BE347" s="1989"/>
      <c r="BF347" s="2003">
        <f t="shared" si="734"/>
        <v>0</v>
      </c>
      <c r="BG347" s="1989"/>
      <c r="BH347" s="2003">
        <f t="shared" si="735"/>
        <v>0</v>
      </c>
      <c r="BI347" s="1989"/>
      <c r="BJ347" s="1989"/>
      <c r="BK347" s="2002">
        <f t="shared" si="736"/>
        <v>0</v>
      </c>
      <c r="BL347" s="1999">
        <f>BE347+BG347+BI347+BJ347</f>
        <v>0</v>
      </c>
      <c r="BM347" s="1993"/>
      <c r="BN347" s="2003">
        <f t="shared" si="737"/>
        <v>0</v>
      </c>
      <c r="BO347" s="1989"/>
      <c r="BP347" s="2003">
        <f t="shared" si="738"/>
        <v>0</v>
      </c>
      <c r="BQ347" s="1989"/>
      <c r="BR347" s="2003">
        <f t="shared" si="739"/>
        <v>0</v>
      </c>
      <c r="BS347" s="1989"/>
      <c r="BT347" s="1989"/>
      <c r="BU347" s="2002">
        <f t="shared" si="740"/>
        <v>0</v>
      </c>
      <c r="BV347" s="1999">
        <f>BO347+BQ347+BS347+BT347</f>
        <v>0</v>
      </c>
      <c r="BW347" s="1993"/>
      <c r="BX347" s="2003">
        <f t="shared" si="741"/>
        <v>0</v>
      </c>
      <c r="BY347" s="1989"/>
      <c r="BZ347" s="2003">
        <f t="shared" si="742"/>
        <v>0</v>
      </c>
      <c r="CA347" s="1989"/>
      <c r="CB347" s="2003">
        <f t="shared" si="743"/>
        <v>0</v>
      </c>
      <c r="CC347" s="1989"/>
      <c r="CD347" s="1989"/>
      <c r="CE347" s="2002">
        <f t="shared" si="744"/>
        <v>0</v>
      </c>
      <c r="CF347" s="1999">
        <f>BY347+CA347+CC347+CD347</f>
        <v>0</v>
      </c>
      <c r="CG347" s="1993"/>
      <c r="CH347" s="2003">
        <f t="shared" si="745"/>
        <v>0</v>
      </c>
      <c r="CI347" s="1989"/>
      <c r="CJ347" s="2003">
        <f t="shared" si="746"/>
        <v>0</v>
      </c>
      <c r="CK347" s="1989"/>
      <c r="CL347" s="2003">
        <f t="shared" si="747"/>
        <v>0</v>
      </c>
      <c r="CM347" s="1989"/>
      <c r="CN347" s="1989"/>
      <c r="CO347" s="2002">
        <f t="shared" si="748"/>
        <v>0</v>
      </c>
      <c r="CP347" s="1999">
        <f>CI347+CK347+CM347+CN347</f>
        <v>0</v>
      </c>
      <c r="CQ347" s="1993"/>
      <c r="CR347" s="2003">
        <f t="shared" si="749"/>
        <v>0</v>
      </c>
      <c r="CS347" s="1989"/>
      <c r="CT347" s="2003">
        <f t="shared" si="750"/>
        <v>0</v>
      </c>
      <c r="CU347" s="1989"/>
      <c r="CV347" s="2003">
        <f t="shared" si="751"/>
        <v>0</v>
      </c>
      <c r="CW347" s="1989"/>
      <c r="CX347" s="1989"/>
      <c r="CY347" s="2002">
        <f t="shared" si="752"/>
        <v>0</v>
      </c>
      <c r="CZ347" s="1999">
        <f>CS347+CU347+CW347+CX347</f>
        <v>0</v>
      </c>
      <c r="DA347" s="1993"/>
      <c r="DB347" s="2003">
        <f t="shared" si="753"/>
        <v>0</v>
      </c>
      <c r="DC347" s="1989"/>
      <c r="DD347" s="2003">
        <f t="shared" si="754"/>
        <v>0</v>
      </c>
      <c r="DE347" s="1989"/>
      <c r="DF347" s="2003">
        <f t="shared" si="755"/>
        <v>0</v>
      </c>
      <c r="DG347" s="1989"/>
      <c r="DH347" s="1989"/>
      <c r="DI347" s="2002">
        <f t="shared" si="756"/>
        <v>0</v>
      </c>
      <c r="DJ347" s="1999">
        <f>DC347+DE347+DG347+DH347</f>
        <v>0</v>
      </c>
      <c r="DK347" s="1993"/>
      <c r="DL347" s="2003">
        <f t="shared" si="757"/>
        <v>0</v>
      </c>
      <c r="DM347" s="1989"/>
      <c r="DN347" s="2003">
        <f t="shared" si="758"/>
        <v>0</v>
      </c>
      <c r="DO347" s="1989"/>
      <c r="DP347" s="2003">
        <f t="shared" si="759"/>
        <v>0</v>
      </c>
      <c r="DQ347" s="1989"/>
      <c r="DR347" s="1989"/>
      <c r="DS347" s="2002">
        <f t="shared" si="760"/>
        <v>0</v>
      </c>
      <c r="DT347" s="2004">
        <f>DM347+DO347+DQ347+DR347</f>
        <v>0</v>
      </c>
      <c r="DU347" s="1988"/>
      <c r="DV347" s="2003">
        <f t="shared" si="761"/>
        <v>0</v>
      </c>
      <c r="DW347" s="1989"/>
      <c r="DX347" s="2003">
        <f t="shared" si="762"/>
        <v>0</v>
      </c>
      <c r="DY347" s="1989"/>
      <c r="DZ347" s="2003">
        <f t="shared" si="763"/>
        <v>0</v>
      </c>
      <c r="EA347" s="1989"/>
      <c r="EB347" s="1989"/>
      <c r="EC347" s="2002">
        <f t="shared" si="764"/>
        <v>0</v>
      </c>
      <c r="ED347" s="1998">
        <f>DW347+DY347+EA347+EB347</f>
        <v>0</v>
      </c>
      <c r="EE347" s="2005">
        <f>O347+Y347+AI347+AS347+BC347+BM347+BW347+CG347+CQ347+DA347+DK347+DU347</f>
        <v>0</v>
      </c>
      <c r="EF347" s="2003">
        <f t="shared" si="766"/>
        <v>0</v>
      </c>
      <c r="EG347" s="1989">
        <f>Q347+AA347+AK347+AU347+BE347+BO347+BY347+CI347+CS347+DC347+DM347+DW347</f>
        <v>0</v>
      </c>
      <c r="EH347" s="2003">
        <f t="shared" si="767"/>
        <v>0</v>
      </c>
      <c r="EI347" s="1989">
        <f>S347+AC347+AM347+AW347+BG347+BQ347+CA347+CK347+CU347+DE347+DO347+DY347</f>
        <v>0</v>
      </c>
      <c r="EJ347" s="2003">
        <f t="shared" si="768"/>
        <v>0</v>
      </c>
      <c r="EK347" s="1989">
        <f>U347+AE347+AO347+AY347+BI347+BS347+CC347+CM347+CW347+DG347+DQ347+EA347</f>
        <v>0</v>
      </c>
      <c r="EL347" s="1989">
        <f>V347+AF347+AP347+AZ347+BJ347+BT347+CD347+CN347+CX347+DH347+DR347+EB347</f>
        <v>0</v>
      </c>
      <c r="EM347" s="2006">
        <f t="shared" si="769"/>
        <v>0</v>
      </c>
      <c r="EN347" s="1999">
        <f>EG347+EI347+EK347+EL347</f>
        <v>0</v>
      </c>
      <c r="EP347" s="1613" t="e">
        <f>EA347-#REF!/10^7</f>
        <v>#REF!</v>
      </c>
      <c r="EW347" s="1611" t="e">
        <v>#N/A</v>
      </c>
      <c r="EX347" s="1612" t="e">
        <v>#N/A</v>
      </c>
      <c r="EZ347" s="1650">
        <f t="shared" si="771"/>
        <v>0</v>
      </c>
    </row>
    <row r="348" spans="1:156" ht="21" customHeight="1">
      <c r="A348" s="1652">
        <v>2</v>
      </c>
      <c r="B348" s="1644"/>
      <c r="C348" s="1662"/>
      <c r="D348" s="1648"/>
      <c r="E348" s="1648"/>
      <c r="F348" s="1648"/>
      <c r="G348" s="1648"/>
      <c r="H348" s="1648"/>
      <c r="I348" s="1648"/>
      <c r="J348" s="1649"/>
      <c r="K348" s="1648"/>
      <c r="L348" s="1648"/>
      <c r="M348" s="1648"/>
      <c r="N348" s="1642"/>
      <c r="O348" s="2000"/>
      <c r="P348" s="2003">
        <f t="shared" si="717"/>
        <v>0</v>
      </c>
      <c r="Q348" s="1989"/>
      <c r="R348" s="2003">
        <f t="shared" si="718"/>
        <v>0</v>
      </c>
      <c r="S348" s="1989"/>
      <c r="T348" s="2003">
        <f t="shared" si="719"/>
        <v>0</v>
      </c>
      <c r="U348" s="1989"/>
      <c r="V348" s="1989"/>
      <c r="W348" s="1989">
        <f t="shared" si="720"/>
        <v>0</v>
      </c>
      <c r="X348" s="1999">
        <f>Q348+S348+U348+V348</f>
        <v>0</v>
      </c>
      <c r="Y348" s="1993"/>
      <c r="Z348" s="2003">
        <f t="shared" si="721"/>
        <v>0</v>
      </c>
      <c r="AA348" s="1989"/>
      <c r="AB348" s="2003">
        <f t="shared" si="722"/>
        <v>0</v>
      </c>
      <c r="AC348" s="1989"/>
      <c r="AD348" s="2003">
        <f t="shared" si="723"/>
        <v>0</v>
      </c>
      <c r="AE348" s="1989"/>
      <c r="AF348" s="1989"/>
      <c r="AG348" s="2002">
        <f t="shared" si="724"/>
        <v>0</v>
      </c>
      <c r="AH348" s="1999">
        <f t="shared" si="784"/>
        <v>0</v>
      </c>
      <c r="AI348" s="1993"/>
      <c r="AJ348" s="2003">
        <f t="shared" si="725"/>
        <v>0</v>
      </c>
      <c r="AK348" s="1989"/>
      <c r="AL348" s="2003">
        <f t="shared" si="726"/>
        <v>0</v>
      </c>
      <c r="AM348" s="1989"/>
      <c r="AN348" s="2003">
        <f t="shared" si="727"/>
        <v>0</v>
      </c>
      <c r="AO348" s="1989"/>
      <c r="AP348" s="1989"/>
      <c r="AQ348" s="2002">
        <f t="shared" si="728"/>
        <v>0</v>
      </c>
      <c r="AR348" s="1999">
        <f t="shared" si="785"/>
        <v>0</v>
      </c>
      <c r="AS348" s="1993"/>
      <c r="AT348" s="2003">
        <f t="shared" si="729"/>
        <v>0</v>
      </c>
      <c r="AU348" s="1989"/>
      <c r="AV348" s="2003">
        <f t="shared" si="730"/>
        <v>0</v>
      </c>
      <c r="AW348" s="1989"/>
      <c r="AX348" s="2003">
        <f t="shared" si="731"/>
        <v>0</v>
      </c>
      <c r="AY348" s="1989"/>
      <c r="AZ348" s="1989"/>
      <c r="BA348" s="2002">
        <f t="shared" si="732"/>
        <v>0</v>
      </c>
      <c r="BB348" s="1999">
        <f>AU348+AW348+AY348+AZ348</f>
        <v>0</v>
      </c>
      <c r="BC348" s="1993"/>
      <c r="BD348" s="2003">
        <f t="shared" si="733"/>
        <v>0</v>
      </c>
      <c r="BE348" s="1989"/>
      <c r="BF348" s="2003">
        <f t="shared" si="734"/>
        <v>0</v>
      </c>
      <c r="BG348" s="1989"/>
      <c r="BH348" s="2003">
        <f t="shared" si="735"/>
        <v>0</v>
      </c>
      <c r="BI348" s="1989"/>
      <c r="BJ348" s="1989"/>
      <c r="BK348" s="2002">
        <f t="shared" si="736"/>
        <v>0</v>
      </c>
      <c r="BL348" s="1999">
        <f>BE348+BG348+BI348+BJ348</f>
        <v>0</v>
      </c>
      <c r="BM348" s="1993"/>
      <c r="BN348" s="2003">
        <f t="shared" si="737"/>
        <v>0</v>
      </c>
      <c r="BO348" s="1989"/>
      <c r="BP348" s="2003">
        <f t="shared" si="738"/>
        <v>0</v>
      </c>
      <c r="BQ348" s="1989"/>
      <c r="BR348" s="2003">
        <f t="shared" si="739"/>
        <v>0</v>
      </c>
      <c r="BS348" s="1989"/>
      <c r="BT348" s="1989"/>
      <c r="BU348" s="2002">
        <f t="shared" si="740"/>
        <v>0</v>
      </c>
      <c r="BV348" s="1999">
        <f>BO348+BQ348+BS348+BT348</f>
        <v>0</v>
      </c>
      <c r="BW348" s="1993"/>
      <c r="BX348" s="2003">
        <f t="shared" si="741"/>
        <v>0</v>
      </c>
      <c r="BY348" s="1989"/>
      <c r="BZ348" s="2003">
        <f t="shared" si="742"/>
        <v>0</v>
      </c>
      <c r="CA348" s="1989"/>
      <c r="CB348" s="2003">
        <f t="shared" si="743"/>
        <v>0</v>
      </c>
      <c r="CC348" s="1989"/>
      <c r="CD348" s="1989"/>
      <c r="CE348" s="2002">
        <f t="shared" si="744"/>
        <v>0</v>
      </c>
      <c r="CF348" s="1999">
        <f>BY348+CA348+CC348+CD348</f>
        <v>0</v>
      </c>
      <c r="CG348" s="1993"/>
      <c r="CH348" s="2003">
        <f t="shared" si="745"/>
        <v>0</v>
      </c>
      <c r="CI348" s="1989"/>
      <c r="CJ348" s="2003">
        <f t="shared" si="746"/>
        <v>0</v>
      </c>
      <c r="CK348" s="1989"/>
      <c r="CL348" s="2003">
        <f t="shared" si="747"/>
        <v>0</v>
      </c>
      <c r="CM348" s="1989"/>
      <c r="CN348" s="1989"/>
      <c r="CO348" s="2002">
        <f t="shared" si="748"/>
        <v>0</v>
      </c>
      <c r="CP348" s="1999">
        <f>CI348+CK348+CM348+CN348</f>
        <v>0</v>
      </c>
      <c r="CQ348" s="1993"/>
      <c r="CR348" s="2003">
        <f t="shared" si="749"/>
        <v>0</v>
      </c>
      <c r="CS348" s="1989"/>
      <c r="CT348" s="2003">
        <f t="shared" si="750"/>
        <v>0</v>
      </c>
      <c r="CU348" s="1989"/>
      <c r="CV348" s="2003">
        <f t="shared" si="751"/>
        <v>0</v>
      </c>
      <c r="CW348" s="1989"/>
      <c r="CX348" s="1989"/>
      <c r="CY348" s="2002">
        <f t="shared" si="752"/>
        <v>0</v>
      </c>
      <c r="CZ348" s="1999">
        <f>CS348+CU348+CW348+CX348</f>
        <v>0</v>
      </c>
      <c r="DA348" s="1993"/>
      <c r="DB348" s="2003">
        <f t="shared" si="753"/>
        <v>0</v>
      </c>
      <c r="DC348" s="1989"/>
      <c r="DD348" s="2003">
        <f t="shared" si="754"/>
        <v>0</v>
      </c>
      <c r="DE348" s="1989"/>
      <c r="DF348" s="2003">
        <f t="shared" si="755"/>
        <v>0</v>
      </c>
      <c r="DG348" s="1989"/>
      <c r="DH348" s="1989"/>
      <c r="DI348" s="2002">
        <f t="shared" si="756"/>
        <v>0</v>
      </c>
      <c r="DJ348" s="1999">
        <f>DC348+DE348+DG348+DH348</f>
        <v>0</v>
      </c>
      <c r="DK348" s="1993"/>
      <c r="DL348" s="2003">
        <f t="shared" si="757"/>
        <v>0</v>
      </c>
      <c r="DM348" s="1989"/>
      <c r="DN348" s="2003">
        <f t="shared" si="758"/>
        <v>0</v>
      </c>
      <c r="DO348" s="1989"/>
      <c r="DP348" s="2003">
        <f t="shared" si="759"/>
        <v>0</v>
      </c>
      <c r="DQ348" s="1989"/>
      <c r="DR348" s="1989"/>
      <c r="DS348" s="2002">
        <f t="shared" si="760"/>
        <v>0</v>
      </c>
      <c r="DT348" s="2004">
        <f>DM348+DO348+DQ348+DR348</f>
        <v>0</v>
      </c>
      <c r="DU348" s="1988"/>
      <c r="DV348" s="2003">
        <f t="shared" si="761"/>
        <v>0</v>
      </c>
      <c r="DW348" s="1989"/>
      <c r="DX348" s="2003">
        <f t="shared" si="762"/>
        <v>0</v>
      </c>
      <c r="DY348" s="1989"/>
      <c r="DZ348" s="2003">
        <f t="shared" si="763"/>
        <v>0</v>
      </c>
      <c r="EA348" s="1989"/>
      <c r="EB348" s="1989"/>
      <c r="EC348" s="2002">
        <f t="shared" si="764"/>
        <v>0</v>
      </c>
      <c r="ED348" s="1998">
        <f>DW348+DY348+EA348+EB348</f>
        <v>0</v>
      </c>
      <c r="EE348" s="2005">
        <f>O348+Y348+AI348+AS348+BC348+BM348+BW348+CG348+CQ348+DA348+DK348+DU348</f>
        <v>0</v>
      </c>
      <c r="EF348" s="2003">
        <f t="shared" si="766"/>
        <v>0</v>
      </c>
      <c r="EG348" s="1989">
        <f>Q348+AA348+AK348+AU348+BE348+BO348+BY348+CI348+CS348+DC348+DM348+DW348</f>
        <v>0</v>
      </c>
      <c r="EH348" s="2003">
        <f t="shared" si="767"/>
        <v>0</v>
      </c>
      <c r="EI348" s="1989">
        <f>S348+AC348+AM348+AW348+BG348+BQ348+CA348+CK348+CU348+DE348+DO348+DY348</f>
        <v>0</v>
      </c>
      <c r="EJ348" s="2003">
        <f t="shared" si="768"/>
        <v>0</v>
      </c>
      <c r="EK348" s="1989">
        <f>U348+AE348+AO348+AY348+BI348+BS348+CC348+CM348+CW348+DG348+DQ348+EA348</f>
        <v>0</v>
      </c>
      <c r="EL348" s="1989">
        <f>V348+AF348+AP348+AZ348+BJ348+BT348+CD348+CN348+CX348+DH348+DR348+EB348</f>
        <v>0</v>
      </c>
      <c r="EM348" s="2006">
        <f t="shared" si="769"/>
        <v>0</v>
      </c>
      <c r="EN348" s="1999">
        <f>EG348+EI348+EK348+EL348</f>
        <v>0</v>
      </c>
      <c r="EP348" s="1613" t="e">
        <f>EA348-#REF!/10^7</f>
        <v>#REF!</v>
      </c>
      <c r="EW348" s="1611" t="e">
        <v>#N/A</v>
      </c>
      <c r="EX348" s="1612" t="e">
        <v>#N/A</v>
      </c>
      <c r="EZ348" s="1650">
        <f t="shared" si="771"/>
        <v>0</v>
      </c>
    </row>
    <row r="349" spans="1:156" s="1660" customFormat="1" ht="21" customHeight="1">
      <c r="A349" s="1637"/>
      <c r="B349" s="1654" t="s">
        <v>1855</v>
      </c>
      <c r="C349" s="1655"/>
      <c r="D349" s="1656"/>
      <c r="E349" s="1656"/>
      <c r="F349" s="1656"/>
      <c r="G349" s="1656"/>
      <c r="H349" s="1656"/>
      <c r="I349" s="1656"/>
      <c r="J349" s="1657"/>
      <c r="K349" s="1656"/>
      <c r="L349" s="1656"/>
      <c r="M349" s="1656"/>
      <c r="N349" s="1658"/>
      <c r="O349" s="2007">
        <f>SUM(O347:O348)</f>
        <v>0</v>
      </c>
      <c r="P349" s="2003">
        <f t="shared" si="717"/>
        <v>0</v>
      </c>
      <c r="Q349" s="1826">
        <f>SUM(Q347:Q348)</f>
        <v>0</v>
      </c>
      <c r="R349" s="2003">
        <f t="shared" si="718"/>
        <v>0</v>
      </c>
      <c r="S349" s="1826">
        <f>SUM(S347:S348)</f>
        <v>0</v>
      </c>
      <c r="T349" s="2003">
        <f t="shared" si="719"/>
        <v>0</v>
      </c>
      <c r="U349" s="1826">
        <f>SUM(U347:U348)</f>
        <v>0</v>
      </c>
      <c r="V349" s="1826"/>
      <c r="W349" s="1989">
        <f t="shared" si="720"/>
        <v>0</v>
      </c>
      <c r="X349" s="2008">
        <f>Q349+S349+U349+V349</f>
        <v>0</v>
      </c>
      <c r="Y349" s="2007">
        <f>SUM(Y347:Y348)</f>
        <v>0</v>
      </c>
      <c r="Z349" s="2003">
        <f t="shared" si="721"/>
        <v>0</v>
      </c>
      <c r="AA349" s="1826">
        <f>SUM(AA347:AA348)</f>
        <v>0</v>
      </c>
      <c r="AB349" s="2003">
        <f t="shared" si="722"/>
        <v>0</v>
      </c>
      <c r="AC349" s="1826">
        <f>SUM(AC347:AC348)</f>
        <v>0</v>
      </c>
      <c r="AD349" s="2003">
        <f t="shared" si="723"/>
        <v>0</v>
      </c>
      <c r="AE349" s="1826">
        <f>SUM(AE347:AE348)</f>
        <v>0</v>
      </c>
      <c r="AF349" s="1826">
        <f>SUM(AF347:AF348)</f>
        <v>0</v>
      </c>
      <c r="AG349" s="2002">
        <f t="shared" si="724"/>
        <v>0</v>
      </c>
      <c r="AH349" s="2008">
        <f t="shared" ref="AH349:AP349" si="786">SUM(AH347:AH348)</f>
        <v>0</v>
      </c>
      <c r="AI349" s="2007">
        <f t="shared" si="786"/>
        <v>0</v>
      </c>
      <c r="AJ349" s="2003">
        <f t="shared" si="725"/>
        <v>0</v>
      </c>
      <c r="AK349" s="1826">
        <f t="shared" si="786"/>
        <v>0</v>
      </c>
      <c r="AL349" s="2003">
        <f t="shared" si="726"/>
        <v>0</v>
      </c>
      <c r="AM349" s="1826">
        <f t="shared" si="786"/>
        <v>0</v>
      </c>
      <c r="AN349" s="2003">
        <f t="shared" si="727"/>
        <v>0</v>
      </c>
      <c r="AO349" s="1826">
        <f t="shared" si="786"/>
        <v>0</v>
      </c>
      <c r="AP349" s="1826">
        <f t="shared" si="786"/>
        <v>0</v>
      </c>
      <c r="AQ349" s="2002">
        <f t="shared" si="728"/>
        <v>0</v>
      </c>
      <c r="AR349" s="2008">
        <f t="shared" ref="AR349:AZ349" si="787">SUM(AR347:AR348)</f>
        <v>0</v>
      </c>
      <c r="AS349" s="2007">
        <f t="shared" si="787"/>
        <v>0</v>
      </c>
      <c r="AT349" s="2003">
        <f t="shared" si="729"/>
        <v>0</v>
      </c>
      <c r="AU349" s="1826">
        <f t="shared" si="787"/>
        <v>0</v>
      </c>
      <c r="AV349" s="2003">
        <f t="shared" si="730"/>
        <v>0</v>
      </c>
      <c r="AW349" s="1826">
        <f t="shared" si="787"/>
        <v>0</v>
      </c>
      <c r="AX349" s="2003">
        <f t="shared" si="731"/>
        <v>0</v>
      </c>
      <c r="AY349" s="1826">
        <f t="shared" si="787"/>
        <v>0</v>
      </c>
      <c r="AZ349" s="1826">
        <f t="shared" si="787"/>
        <v>0</v>
      </c>
      <c r="BA349" s="2002">
        <f t="shared" si="732"/>
        <v>0</v>
      </c>
      <c r="BB349" s="2008">
        <f>SUM(BB347:BB348)</f>
        <v>0</v>
      </c>
      <c r="BC349" s="2007"/>
      <c r="BD349" s="2003">
        <f t="shared" si="733"/>
        <v>0</v>
      </c>
      <c r="BE349" s="1826"/>
      <c r="BF349" s="2003">
        <f t="shared" si="734"/>
        <v>0</v>
      </c>
      <c r="BG349" s="1826"/>
      <c r="BH349" s="2003">
        <f t="shared" si="735"/>
        <v>0</v>
      </c>
      <c r="BI349" s="1826"/>
      <c r="BJ349" s="1826"/>
      <c r="BK349" s="2002">
        <f t="shared" si="736"/>
        <v>0</v>
      </c>
      <c r="BL349" s="2008">
        <f>BE349+BG349+BI349+BJ349</f>
        <v>0</v>
      </c>
      <c r="BM349" s="2007"/>
      <c r="BN349" s="2003">
        <f t="shared" si="737"/>
        <v>0</v>
      </c>
      <c r="BO349" s="1826"/>
      <c r="BP349" s="2003">
        <f t="shared" si="738"/>
        <v>0</v>
      </c>
      <c r="BQ349" s="1826"/>
      <c r="BR349" s="2003">
        <f t="shared" si="739"/>
        <v>0</v>
      </c>
      <c r="BS349" s="1826"/>
      <c r="BT349" s="1826"/>
      <c r="BU349" s="2002">
        <f t="shared" si="740"/>
        <v>0</v>
      </c>
      <c r="BV349" s="2008">
        <f>BO349+BQ349+BS349+BT349</f>
        <v>0</v>
      </c>
      <c r="BW349" s="2007"/>
      <c r="BX349" s="2003">
        <f t="shared" si="741"/>
        <v>0</v>
      </c>
      <c r="BY349" s="1826"/>
      <c r="BZ349" s="2003">
        <f t="shared" si="742"/>
        <v>0</v>
      </c>
      <c r="CA349" s="1826"/>
      <c r="CB349" s="2003">
        <f t="shared" si="743"/>
        <v>0</v>
      </c>
      <c r="CC349" s="1826"/>
      <c r="CD349" s="1826"/>
      <c r="CE349" s="2002">
        <f t="shared" si="744"/>
        <v>0</v>
      </c>
      <c r="CF349" s="2008">
        <f>BY349+CA349+CC349+CD349</f>
        <v>0</v>
      </c>
      <c r="CG349" s="2007"/>
      <c r="CH349" s="2003">
        <f t="shared" si="745"/>
        <v>0</v>
      </c>
      <c r="CI349" s="1826"/>
      <c r="CJ349" s="2003">
        <f t="shared" si="746"/>
        <v>0</v>
      </c>
      <c r="CK349" s="1826"/>
      <c r="CL349" s="2003">
        <f t="shared" si="747"/>
        <v>0</v>
      </c>
      <c r="CM349" s="1826"/>
      <c r="CN349" s="1826"/>
      <c r="CO349" s="2002">
        <f t="shared" si="748"/>
        <v>0</v>
      </c>
      <c r="CP349" s="2008">
        <f>CI349+CK349+CM349+CN349</f>
        <v>0</v>
      </c>
      <c r="CQ349" s="2007"/>
      <c r="CR349" s="2003">
        <f t="shared" si="749"/>
        <v>0</v>
      </c>
      <c r="CS349" s="1826"/>
      <c r="CT349" s="2003">
        <f t="shared" si="750"/>
        <v>0</v>
      </c>
      <c r="CU349" s="1826"/>
      <c r="CV349" s="2003">
        <f t="shared" si="751"/>
        <v>0</v>
      </c>
      <c r="CW349" s="1826"/>
      <c r="CX349" s="1826"/>
      <c r="CY349" s="2002">
        <f t="shared" si="752"/>
        <v>0</v>
      </c>
      <c r="CZ349" s="2008">
        <f>CS349+CU349+CW349+CX349</f>
        <v>0</v>
      </c>
      <c r="DA349" s="2007"/>
      <c r="DB349" s="2003">
        <f t="shared" si="753"/>
        <v>0</v>
      </c>
      <c r="DC349" s="1826"/>
      <c r="DD349" s="2003">
        <f t="shared" si="754"/>
        <v>0</v>
      </c>
      <c r="DE349" s="1826"/>
      <c r="DF349" s="2003">
        <f t="shared" si="755"/>
        <v>0</v>
      </c>
      <c r="DG349" s="1826"/>
      <c r="DH349" s="1826"/>
      <c r="DI349" s="2002">
        <f t="shared" si="756"/>
        <v>0</v>
      </c>
      <c r="DJ349" s="2008">
        <f>DC349+DE349+DG349+DH349</f>
        <v>0</v>
      </c>
      <c r="DK349" s="2007"/>
      <c r="DL349" s="2003">
        <f t="shared" si="757"/>
        <v>0</v>
      </c>
      <c r="DM349" s="1826"/>
      <c r="DN349" s="2003">
        <f t="shared" si="758"/>
        <v>0</v>
      </c>
      <c r="DO349" s="1826"/>
      <c r="DP349" s="2003">
        <f t="shared" si="759"/>
        <v>0</v>
      </c>
      <c r="DQ349" s="1826"/>
      <c r="DR349" s="1826"/>
      <c r="DS349" s="2002">
        <f t="shared" si="760"/>
        <v>0</v>
      </c>
      <c r="DT349" s="2009">
        <f>DM349+DO349+DQ349+DR349</f>
        <v>0</v>
      </c>
      <c r="DU349" s="2010">
        <f>SUM(DU346:DU347)</f>
        <v>0</v>
      </c>
      <c r="DV349" s="2003">
        <f t="shared" si="761"/>
        <v>0</v>
      </c>
      <c r="DW349" s="1826">
        <f>SUM(DW346:DW347)</f>
        <v>0</v>
      </c>
      <c r="DX349" s="2003">
        <f t="shared" si="762"/>
        <v>0</v>
      </c>
      <c r="DY349" s="1826">
        <f>SUM(DY346:DY347)</f>
        <v>0</v>
      </c>
      <c r="DZ349" s="2003">
        <f t="shared" si="763"/>
        <v>0</v>
      </c>
      <c r="EA349" s="1826">
        <f>SUM(EA346:EA347)</f>
        <v>0</v>
      </c>
      <c r="EB349" s="1826">
        <f>SUM(EB346:EB347)</f>
        <v>0</v>
      </c>
      <c r="EC349" s="2002">
        <f t="shared" si="764"/>
        <v>0</v>
      </c>
      <c r="ED349" s="1826">
        <f>DW349+DY349+EA349+EB349</f>
        <v>0</v>
      </c>
      <c r="EE349" s="2011">
        <f>SUM(EE347:EE348)</f>
        <v>0</v>
      </c>
      <c r="EF349" s="2003">
        <f t="shared" si="766"/>
        <v>0</v>
      </c>
      <c r="EG349" s="1826">
        <f>SUM(EG347:EG348)</f>
        <v>0</v>
      </c>
      <c r="EH349" s="2003">
        <f t="shared" si="767"/>
        <v>0</v>
      </c>
      <c r="EI349" s="1826">
        <f>SUM(EI347:EI348)</f>
        <v>0</v>
      </c>
      <c r="EJ349" s="2003">
        <f t="shared" si="768"/>
        <v>0</v>
      </c>
      <c r="EK349" s="1826">
        <f>SUM(EK347:EK348)</f>
        <v>0</v>
      </c>
      <c r="EL349" s="1826">
        <f>SUM(EL347:EL348)</f>
        <v>0</v>
      </c>
      <c r="EM349" s="2006">
        <f t="shared" si="769"/>
        <v>0</v>
      </c>
      <c r="EN349" s="2008">
        <f>SUM(EN347:EN348)</f>
        <v>0</v>
      </c>
      <c r="EO349" s="1659"/>
      <c r="EP349" s="1613" t="e">
        <f>EA349-#REF!/10^7</f>
        <v>#REF!</v>
      </c>
      <c r="EQ349" s="1661"/>
      <c r="EW349" s="1611" t="e">
        <v>#N/A</v>
      </c>
      <c r="EX349" s="1612" t="e">
        <v>#N/A</v>
      </c>
      <c r="EZ349" s="1650">
        <f t="shared" si="771"/>
        <v>0</v>
      </c>
    </row>
    <row r="350" spans="1:156" ht="21" customHeight="1">
      <c r="A350" s="1652"/>
      <c r="B350" s="1644"/>
      <c r="C350" s="1662"/>
      <c r="D350" s="1648"/>
      <c r="E350" s="1648"/>
      <c r="F350" s="1648"/>
      <c r="G350" s="1648"/>
      <c r="H350" s="1648"/>
      <c r="I350" s="1648"/>
      <c r="J350" s="1649"/>
      <c r="K350" s="1648"/>
      <c r="L350" s="1648"/>
      <c r="M350" s="1648"/>
      <c r="N350" s="1642"/>
      <c r="O350" s="2000"/>
      <c r="P350" s="2003">
        <f t="shared" si="717"/>
        <v>0</v>
      </c>
      <c r="Q350" s="1989"/>
      <c r="R350" s="2003">
        <f t="shared" si="718"/>
        <v>0</v>
      </c>
      <c r="S350" s="1989"/>
      <c r="T350" s="2003">
        <f t="shared" si="719"/>
        <v>0</v>
      </c>
      <c r="U350" s="1989"/>
      <c r="V350" s="1989"/>
      <c r="W350" s="1989">
        <f t="shared" si="720"/>
        <v>0</v>
      </c>
      <c r="X350" s="1999"/>
      <c r="Y350" s="1993"/>
      <c r="Z350" s="2003">
        <f t="shared" si="721"/>
        <v>0</v>
      </c>
      <c r="AA350" s="1989"/>
      <c r="AB350" s="2003">
        <f t="shared" si="722"/>
        <v>0</v>
      </c>
      <c r="AC350" s="1989"/>
      <c r="AD350" s="2003">
        <f t="shared" si="723"/>
        <v>0</v>
      </c>
      <c r="AE350" s="1989"/>
      <c r="AF350" s="1989"/>
      <c r="AG350" s="2002">
        <f t="shared" si="724"/>
        <v>0</v>
      </c>
      <c r="AH350" s="1999">
        <f t="shared" si="784"/>
        <v>0</v>
      </c>
      <c r="AI350" s="1993"/>
      <c r="AJ350" s="2003">
        <f t="shared" si="725"/>
        <v>0</v>
      </c>
      <c r="AK350" s="1989"/>
      <c r="AL350" s="2003">
        <f t="shared" si="726"/>
        <v>0</v>
      </c>
      <c r="AM350" s="1989"/>
      <c r="AN350" s="2003">
        <f t="shared" si="727"/>
        <v>0</v>
      </c>
      <c r="AO350" s="1989"/>
      <c r="AP350" s="1989"/>
      <c r="AQ350" s="2002">
        <f t="shared" si="728"/>
        <v>0</v>
      </c>
      <c r="AR350" s="1999"/>
      <c r="AS350" s="1993"/>
      <c r="AT350" s="2003">
        <f t="shared" si="729"/>
        <v>0</v>
      </c>
      <c r="AU350" s="1989"/>
      <c r="AV350" s="2003">
        <f t="shared" si="730"/>
        <v>0</v>
      </c>
      <c r="AW350" s="1989"/>
      <c r="AX350" s="2003">
        <f t="shared" si="731"/>
        <v>0</v>
      </c>
      <c r="AY350" s="1989"/>
      <c r="AZ350" s="1989"/>
      <c r="BA350" s="2002">
        <f t="shared" si="732"/>
        <v>0</v>
      </c>
      <c r="BB350" s="1999"/>
      <c r="BC350" s="1993"/>
      <c r="BD350" s="2003">
        <f t="shared" si="733"/>
        <v>0</v>
      </c>
      <c r="BE350" s="1989"/>
      <c r="BF350" s="2003">
        <f t="shared" si="734"/>
        <v>0</v>
      </c>
      <c r="BG350" s="1989"/>
      <c r="BH350" s="2003">
        <f t="shared" si="735"/>
        <v>0</v>
      </c>
      <c r="BI350" s="1989"/>
      <c r="BJ350" s="1989"/>
      <c r="BK350" s="2002">
        <f t="shared" si="736"/>
        <v>0</v>
      </c>
      <c r="BL350" s="1999"/>
      <c r="BM350" s="1993"/>
      <c r="BN350" s="2003">
        <f t="shared" si="737"/>
        <v>0</v>
      </c>
      <c r="BO350" s="1989"/>
      <c r="BP350" s="2003">
        <f t="shared" si="738"/>
        <v>0</v>
      </c>
      <c r="BQ350" s="1989"/>
      <c r="BR350" s="2003">
        <f t="shared" si="739"/>
        <v>0</v>
      </c>
      <c r="BS350" s="1989"/>
      <c r="BT350" s="1989"/>
      <c r="BU350" s="2002">
        <f t="shared" si="740"/>
        <v>0</v>
      </c>
      <c r="BV350" s="1999"/>
      <c r="BW350" s="1993"/>
      <c r="BX350" s="2003">
        <f t="shared" si="741"/>
        <v>0</v>
      </c>
      <c r="BY350" s="1989"/>
      <c r="BZ350" s="2003">
        <f t="shared" si="742"/>
        <v>0</v>
      </c>
      <c r="CA350" s="1989"/>
      <c r="CB350" s="2003">
        <f t="shared" si="743"/>
        <v>0</v>
      </c>
      <c r="CC350" s="1989"/>
      <c r="CD350" s="1989"/>
      <c r="CE350" s="2002">
        <f t="shared" si="744"/>
        <v>0</v>
      </c>
      <c r="CF350" s="1999"/>
      <c r="CG350" s="1993"/>
      <c r="CH350" s="2003">
        <f t="shared" si="745"/>
        <v>0</v>
      </c>
      <c r="CI350" s="1989"/>
      <c r="CJ350" s="2003">
        <f t="shared" si="746"/>
        <v>0</v>
      </c>
      <c r="CK350" s="1989"/>
      <c r="CL350" s="2003">
        <f t="shared" si="747"/>
        <v>0</v>
      </c>
      <c r="CM350" s="1989"/>
      <c r="CN350" s="1989"/>
      <c r="CO350" s="2002">
        <f t="shared" si="748"/>
        <v>0</v>
      </c>
      <c r="CP350" s="1999"/>
      <c r="CQ350" s="1993"/>
      <c r="CR350" s="2003">
        <f t="shared" si="749"/>
        <v>0</v>
      </c>
      <c r="CS350" s="1989"/>
      <c r="CT350" s="2003">
        <f t="shared" si="750"/>
        <v>0</v>
      </c>
      <c r="CU350" s="1989"/>
      <c r="CV350" s="2003">
        <f t="shared" si="751"/>
        <v>0</v>
      </c>
      <c r="CW350" s="1989"/>
      <c r="CX350" s="1989"/>
      <c r="CY350" s="2002">
        <f t="shared" si="752"/>
        <v>0</v>
      </c>
      <c r="CZ350" s="1999"/>
      <c r="DA350" s="1993"/>
      <c r="DB350" s="2003">
        <f t="shared" si="753"/>
        <v>0</v>
      </c>
      <c r="DC350" s="1989"/>
      <c r="DD350" s="2003">
        <f t="shared" si="754"/>
        <v>0</v>
      </c>
      <c r="DE350" s="1989"/>
      <c r="DF350" s="2003">
        <f t="shared" si="755"/>
        <v>0</v>
      </c>
      <c r="DG350" s="1989"/>
      <c r="DH350" s="1989"/>
      <c r="DI350" s="2002">
        <f t="shared" si="756"/>
        <v>0</v>
      </c>
      <c r="DJ350" s="1999"/>
      <c r="DK350" s="1993"/>
      <c r="DL350" s="2003">
        <f t="shared" si="757"/>
        <v>0</v>
      </c>
      <c r="DM350" s="1989"/>
      <c r="DN350" s="2003">
        <f t="shared" si="758"/>
        <v>0</v>
      </c>
      <c r="DO350" s="1989"/>
      <c r="DP350" s="2003">
        <f t="shared" si="759"/>
        <v>0</v>
      </c>
      <c r="DQ350" s="1989"/>
      <c r="DR350" s="1989"/>
      <c r="DS350" s="2002">
        <f t="shared" si="760"/>
        <v>0</v>
      </c>
      <c r="DT350" s="2004"/>
      <c r="DU350" s="1988"/>
      <c r="DV350" s="2003">
        <f t="shared" si="761"/>
        <v>0</v>
      </c>
      <c r="DW350" s="1989"/>
      <c r="DX350" s="2003">
        <f t="shared" si="762"/>
        <v>0</v>
      </c>
      <c r="DY350" s="1989"/>
      <c r="DZ350" s="2003">
        <f t="shared" si="763"/>
        <v>0</v>
      </c>
      <c r="EA350" s="1989"/>
      <c r="EB350" s="1989"/>
      <c r="EC350" s="2002">
        <f t="shared" si="764"/>
        <v>0</v>
      </c>
      <c r="ED350" s="1998"/>
      <c r="EE350" s="2005"/>
      <c r="EF350" s="2003">
        <f t="shared" si="766"/>
        <v>0</v>
      </c>
      <c r="EG350" s="1989"/>
      <c r="EH350" s="2003">
        <f t="shared" si="767"/>
        <v>0</v>
      </c>
      <c r="EI350" s="1989"/>
      <c r="EJ350" s="2003">
        <f t="shared" si="768"/>
        <v>0</v>
      </c>
      <c r="EK350" s="1989"/>
      <c r="EL350" s="1989"/>
      <c r="EM350" s="2006">
        <f t="shared" si="769"/>
        <v>0</v>
      </c>
      <c r="EN350" s="1999"/>
      <c r="EP350" s="1613" t="e">
        <f>EA350-#REF!/10^7</f>
        <v>#REF!</v>
      </c>
      <c r="EW350" s="1611" t="e">
        <v>#N/A</v>
      </c>
      <c r="EX350" s="1612" t="e">
        <v>#N/A</v>
      </c>
      <c r="EZ350" s="1650">
        <f t="shared" si="771"/>
        <v>0</v>
      </c>
    </row>
    <row r="351" spans="1:156" ht="21" customHeight="1">
      <c r="A351" s="1637" t="s">
        <v>153</v>
      </c>
      <c r="B351" s="1638" t="s">
        <v>1999</v>
      </c>
      <c r="C351" s="1662"/>
      <c r="D351" s="1648"/>
      <c r="E351" s="1648"/>
      <c r="F351" s="1648"/>
      <c r="G351" s="1648"/>
      <c r="H351" s="1648"/>
      <c r="I351" s="1648"/>
      <c r="J351" s="1649"/>
      <c r="K351" s="1648"/>
      <c r="L351" s="1648"/>
      <c r="M351" s="1648"/>
      <c r="N351" s="1642"/>
      <c r="O351" s="2000"/>
      <c r="P351" s="2003">
        <f t="shared" si="717"/>
        <v>0</v>
      </c>
      <c r="Q351" s="1989"/>
      <c r="R351" s="2003">
        <f t="shared" si="718"/>
        <v>0</v>
      </c>
      <c r="S351" s="1989"/>
      <c r="T351" s="2003">
        <f t="shared" si="719"/>
        <v>0</v>
      </c>
      <c r="U351" s="1989"/>
      <c r="V351" s="1989"/>
      <c r="W351" s="1989">
        <f t="shared" si="720"/>
        <v>0</v>
      </c>
      <c r="X351" s="1999"/>
      <c r="Y351" s="1993"/>
      <c r="Z351" s="2003">
        <f t="shared" si="721"/>
        <v>0</v>
      </c>
      <c r="AA351" s="1989"/>
      <c r="AB351" s="2003">
        <f t="shared" si="722"/>
        <v>0</v>
      </c>
      <c r="AC351" s="1989"/>
      <c r="AD351" s="2003">
        <f t="shared" si="723"/>
        <v>0</v>
      </c>
      <c r="AE351" s="1989"/>
      <c r="AF351" s="1989"/>
      <c r="AG351" s="2002">
        <f t="shared" si="724"/>
        <v>0</v>
      </c>
      <c r="AH351" s="1999">
        <f t="shared" si="784"/>
        <v>0</v>
      </c>
      <c r="AI351" s="1993"/>
      <c r="AJ351" s="2003">
        <f t="shared" si="725"/>
        <v>0</v>
      </c>
      <c r="AK351" s="1989"/>
      <c r="AL351" s="2003">
        <f t="shared" si="726"/>
        <v>0</v>
      </c>
      <c r="AM351" s="1989"/>
      <c r="AN351" s="2003">
        <f t="shared" si="727"/>
        <v>0</v>
      </c>
      <c r="AO351" s="1989"/>
      <c r="AP351" s="1989"/>
      <c r="AQ351" s="2002">
        <f t="shared" si="728"/>
        <v>0</v>
      </c>
      <c r="AR351" s="1999"/>
      <c r="AS351" s="1993"/>
      <c r="AT351" s="2003">
        <f t="shared" si="729"/>
        <v>0</v>
      </c>
      <c r="AU351" s="1989"/>
      <c r="AV351" s="2003">
        <f t="shared" si="730"/>
        <v>0</v>
      </c>
      <c r="AW351" s="1989"/>
      <c r="AX351" s="2003">
        <f t="shared" si="731"/>
        <v>0</v>
      </c>
      <c r="AY351" s="1989"/>
      <c r="AZ351" s="1989"/>
      <c r="BA351" s="2002">
        <f t="shared" si="732"/>
        <v>0</v>
      </c>
      <c r="BB351" s="1999"/>
      <c r="BC351" s="1993"/>
      <c r="BD351" s="2003">
        <f t="shared" si="733"/>
        <v>0</v>
      </c>
      <c r="BE351" s="1989"/>
      <c r="BF351" s="2003">
        <f t="shared" si="734"/>
        <v>0</v>
      </c>
      <c r="BG351" s="1989"/>
      <c r="BH351" s="2003">
        <f t="shared" si="735"/>
        <v>0</v>
      </c>
      <c r="BI351" s="1989"/>
      <c r="BJ351" s="1989"/>
      <c r="BK351" s="2002">
        <f t="shared" si="736"/>
        <v>0</v>
      </c>
      <c r="BL351" s="1999"/>
      <c r="BM351" s="1993"/>
      <c r="BN351" s="2003">
        <f t="shared" si="737"/>
        <v>0</v>
      </c>
      <c r="BO351" s="1989"/>
      <c r="BP351" s="2003">
        <f t="shared" si="738"/>
        <v>0</v>
      </c>
      <c r="BQ351" s="1989"/>
      <c r="BR351" s="2003">
        <f t="shared" si="739"/>
        <v>0</v>
      </c>
      <c r="BS351" s="1989"/>
      <c r="BT351" s="1989"/>
      <c r="BU351" s="2002">
        <f t="shared" si="740"/>
        <v>0</v>
      </c>
      <c r="BV351" s="1999"/>
      <c r="BW351" s="1993"/>
      <c r="BX351" s="2003">
        <f t="shared" si="741"/>
        <v>0</v>
      </c>
      <c r="BY351" s="1989"/>
      <c r="BZ351" s="2003">
        <f t="shared" si="742"/>
        <v>0</v>
      </c>
      <c r="CA351" s="1989"/>
      <c r="CB351" s="2003">
        <f t="shared" si="743"/>
        <v>0</v>
      </c>
      <c r="CC351" s="1989"/>
      <c r="CD351" s="1989"/>
      <c r="CE351" s="2002">
        <f t="shared" si="744"/>
        <v>0</v>
      </c>
      <c r="CF351" s="1999"/>
      <c r="CG351" s="1993"/>
      <c r="CH351" s="2003">
        <f t="shared" si="745"/>
        <v>0</v>
      </c>
      <c r="CI351" s="1989"/>
      <c r="CJ351" s="2003">
        <f t="shared" si="746"/>
        <v>0</v>
      </c>
      <c r="CK351" s="1989"/>
      <c r="CL351" s="2003">
        <f t="shared" si="747"/>
        <v>0</v>
      </c>
      <c r="CM351" s="1989"/>
      <c r="CN351" s="1989"/>
      <c r="CO351" s="2002">
        <f t="shared" si="748"/>
        <v>0</v>
      </c>
      <c r="CP351" s="1999"/>
      <c r="CQ351" s="1993"/>
      <c r="CR351" s="2003">
        <f t="shared" si="749"/>
        <v>0</v>
      </c>
      <c r="CS351" s="1989"/>
      <c r="CT351" s="2003">
        <f t="shared" si="750"/>
        <v>0</v>
      </c>
      <c r="CU351" s="1989"/>
      <c r="CV351" s="2003">
        <f t="shared" si="751"/>
        <v>0</v>
      </c>
      <c r="CW351" s="1989"/>
      <c r="CX351" s="1989"/>
      <c r="CY351" s="2002">
        <f t="shared" si="752"/>
        <v>0</v>
      </c>
      <c r="CZ351" s="1999"/>
      <c r="DA351" s="1993"/>
      <c r="DB351" s="2003">
        <f t="shared" si="753"/>
        <v>0</v>
      </c>
      <c r="DC351" s="1989"/>
      <c r="DD351" s="2003">
        <f t="shared" si="754"/>
        <v>0</v>
      </c>
      <c r="DE351" s="1989"/>
      <c r="DF351" s="2003">
        <f t="shared" si="755"/>
        <v>0</v>
      </c>
      <c r="DG351" s="1989"/>
      <c r="DH351" s="1989"/>
      <c r="DI351" s="2002">
        <f t="shared" si="756"/>
        <v>0</v>
      </c>
      <c r="DJ351" s="1999"/>
      <c r="DK351" s="1993"/>
      <c r="DL351" s="2003">
        <f t="shared" si="757"/>
        <v>0</v>
      </c>
      <c r="DM351" s="1989"/>
      <c r="DN351" s="2003">
        <f t="shared" si="758"/>
        <v>0</v>
      </c>
      <c r="DO351" s="1989"/>
      <c r="DP351" s="2003">
        <f t="shared" si="759"/>
        <v>0</v>
      </c>
      <c r="DQ351" s="1989"/>
      <c r="DR351" s="1989"/>
      <c r="DS351" s="2002">
        <f t="shared" si="760"/>
        <v>0</v>
      </c>
      <c r="DT351" s="2004"/>
      <c r="DU351" s="1988"/>
      <c r="DV351" s="2003">
        <f t="shared" si="761"/>
        <v>0</v>
      </c>
      <c r="DW351" s="1989"/>
      <c r="DX351" s="2003">
        <f t="shared" si="762"/>
        <v>0</v>
      </c>
      <c r="DY351" s="1989"/>
      <c r="DZ351" s="2003">
        <f t="shared" si="763"/>
        <v>0</v>
      </c>
      <c r="EA351" s="1989"/>
      <c r="EB351" s="1989"/>
      <c r="EC351" s="2002">
        <f t="shared" si="764"/>
        <v>0</v>
      </c>
      <c r="ED351" s="1998"/>
      <c r="EE351" s="2005"/>
      <c r="EF351" s="2003">
        <f t="shared" si="766"/>
        <v>0</v>
      </c>
      <c r="EG351" s="1989"/>
      <c r="EH351" s="2003">
        <f t="shared" si="767"/>
        <v>0</v>
      </c>
      <c r="EI351" s="1989"/>
      <c r="EJ351" s="2003">
        <f t="shared" si="768"/>
        <v>0</v>
      </c>
      <c r="EK351" s="1989"/>
      <c r="EL351" s="1989"/>
      <c r="EM351" s="2006">
        <f t="shared" si="769"/>
        <v>0</v>
      </c>
      <c r="EN351" s="1999"/>
      <c r="EP351" s="1613" t="e">
        <f>EA351-#REF!/10^7</f>
        <v>#REF!</v>
      </c>
      <c r="EW351" s="1611" t="e">
        <v>#N/A</v>
      </c>
      <c r="EX351" s="1612" t="e">
        <v>#N/A</v>
      </c>
      <c r="EZ351" s="1650">
        <f t="shared" si="771"/>
        <v>0</v>
      </c>
    </row>
    <row r="352" spans="1:156" ht="21" customHeight="1">
      <c r="A352" s="1652">
        <v>1</v>
      </c>
      <c r="B352" s="1644"/>
      <c r="C352" s="1662"/>
      <c r="D352" s="1648"/>
      <c r="E352" s="1648"/>
      <c r="F352" s="1648"/>
      <c r="G352" s="1648"/>
      <c r="H352" s="1648"/>
      <c r="I352" s="1648"/>
      <c r="J352" s="1649"/>
      <c r="K352" s="1648"/>
      <c r="L352" s="1648"/>
      <c r="M352" s="1648"/>
      <c r="N352" s="1642"/>
      <c r="O352" s="2000"/>
      <c r="P352" s="2003">
        <f t="shared" si="717"/>
        <v>0</v>
      </c>
      <c r="Q352" s="1989"/>
      <c r="R352" s="2003">
        <f t="shared" si="718"/>
        <v>0</v>
      </c>
      <c r="S352" s="1989"/>
      <c r="T352" s="2003">
        <f t="shared" si="719"/>
        <v>0</v>
      </c>
      <c r="U352" s="1989"/>
      <c r="V352" s="1989"/>
      <c r="W352" s="1989">
        <f t="shared" si="720"/>
        <v>0</v>
      </c>
      <c r="X352" s="1999"/>
      <c r="Y352" s="1993"/>
      <c r="Z352" s="2003">
        <f t="shared" si="721"/>
        <v>0</v>
      </c>
      <c r="AA352" s="1989"/>
      <c r="AB352" s="2003">
        <f t="shared" si="722"/>
        <v>0</v>
      </c>
      <c r="AC352" s="1989"/>
      <c r="AD352" s="2003">
        <f t="shared" si="723"/>
        <v>0</v>
      </c>
      <c r="AE352" s="1989"/>
      <c r="AF352" s="1989"/>
      <c r="AG352" s="2002">
        <f t="shared" si="724"/>
        <v>0</v>
      </c>
      <c r="AH352" s="1999">
        <f t="shared" si="784"/>
        <v>0</v>
      </c>
      <c r="AI352" s="1993"/>
      <c r="AJ352" s="2003">
        <f t="shared" si="725"/>
        <v>0</v>
      </c>
      <c r="AK352" s="1989"/>
      <c r="AL352" s="2003">
        <f t="shared" si="726"/>
        <v>0</v>
      </c>
      <c r="AM352" s="1989"/>
      <c r="AN352" s="2003">
        <f t="shared" si="727"/>
        <v>0</v>
      </c>
      <c r="AO352" s="1989"/>
      <c r="AP352" s="1989"/>
      <c r="AQ352" s="2002">
        <f t="shared" si="728"/>
        <v>0</v>
      </c>
      <c r="AR352" s="1999"/>
      <c r="AS352" s="1993"/>
      <c r="AT352" s="2003">
        <f t="shared" si="729"/>
        <v>0</v>
      </c>
      <c r="AU352" s="1989"/>
      <c r="AV352" s="2003">
        <f t="shared" si="730"/>
        <v>0</v>
      </c>
      <c r="AW352" s="1989"/>
      <c r="AX352" s="2003">
        <f t="shared" si="731"/>
        <v>0</v>
      </c>
      <c r="AY352" s="1989"/>
      <c r="AZ352" s="1989"/>
      <c r="BA352" s="2002">
        <f t="shared" si="732"/>
        <v>0</v>
      </c>
      <c r="BB352" s="1999"/>
      <c r="BC352" s="1993"/>
      <c r="BD352" s="2003">
        <f t="shared" si="733"/>
        <v>0</v>
      </c>
      <c r="BE352" s="1989"/>
      <c r="BF352" s="2003">
        <f t="shared" si="734"/>
        <v>0</v>
      </c>
      <c r="BG352" s="1989"/>
      <c r="BH352" s="2003">
        <f t="shared" si="735"/>
        <v>0</v>
      </c>
      <c r="BI352" s="1989"/>
      <c r="BJ352" s="1989"/>
      <c r="BK352" s="2002">
        <f t="shared" si="736"/>
        <v>0</v>
      </c>
      <c r="BL352" s="1999"/>
      <c r="BM352" s="1993"/>
      <c r="BN352" s="2003">
        <f t="shared" si="737"/>
        <v>0</v>
      </c>
      <c r="BO352" s="1989"/>
      <c r="BP352" s="2003">
        <f t="shared" si="738"/>
        <v>0</v>
      </c>
      <c r="BQ352" s="1989"/>
      <c r="BR352" s="2003">
        <f t="shared" si="739"/>
        <v>0</v>
      </c>
      <c r="BS352" s="1989"/>
      <c r="BT352" s="1989"/>
      <c r="BU352" s="2002">
        <f t="shared" si="740"/>
        <v>0</v>
      </c>
      <c r="BV352" s="1999"/>
      <c r="BW352" s="1993"/>
      <c r="BX352" s="2003">
        <f t="shared" si="741"/>
        <v>0</v>
      </c>
      <c r="BY352" s="1989"/>
      <c r="BZ352" s="2003">
        <f t="shared" si="742"/>
        <v>0</v>
      </c>
      <c r="CA352" s="1989"/>
      <c r="CB352" s="2003">
        <f t="shared" si="743"/>
        <v>0</v>
      </c>
      <c r="CC352" s="1989"/>
      <c r="CD352" s="1989"/>
      <c r="CE352" s="2002">
        <f t="shared" si="744"/>
        <v>0</v>
      </c>
      <c r="CF352" s="1999"/>
      <c r="CG352" s="1993"/>
      <c r="CH352" s="2003">
        <f t="shared" si="745"/>
        <v>0</v>
      </c>
      <c r="CI352" s="1989"/>
      <c r="CJ352" s="2003">
        <f t="shared" si="746"/>
        <v>0</v>
      </c>
      <c r="CK352" s="1989"/>
      <c r="CL352" s="2003">
        <f t="shared" si="747"/>
        <v>0</v>
      </c>
      <c r="CM352" s="1989"/>
      <c r="CN352" s="1989"/>
      <c r="CO352" s="2002">
        <f t="shared" si="748"/>
        <v>0</v>
      </c>
      <c r="CP352" s="1999"/>
      <c r="CQ352" s="1993"/>
      <c r="CR352" s="2003">
        <f t="shared" si="749"/>
        <v>0</v>
      </c>
      <c r="CS352" s="1989"/>
      <c r="CT352" s="2003">
        <f t="shared" si="750"/>
        <v>0</v>
      </c>
      <c r="CU352" s="1989"/>
      <c r="CV352" s="2003">
        <f t="shared" si="751"/>
        <v>0</v>
      </c>
      <c r="CW352" s="1989"/>
      <c r="CX352" s="1989"/>
      <c r="CY352" s="2002">
        <f t="shared" si="752"/>
        <v>0</v>
      </c>
      <c r="CZ352" s="1999"/>
      <c r="DA352" s="1993"/>
      <c r="DB352" s="2003">
        <f t="shared" si="753"/>
        <v>0</v>
      </c>
      <c r="DC352" s="1989"/>
      <c r="DD352" s="2003">
        <f t="shared" si="754"/>
        <v>0</v>
      </c>
      <c r="DE352" s="1989"/>
      <c r="DF352" s="2003">
        <f t="shared" si="755"/>
        <v>0</v>
      </c>
      <c r="DG352" s="1989"/>
      <c r="DH352" s="1989"/>
      <c r="DI352" s="2002">
        <f t="shared" si="756"/>
        <v>0</v>
      </c>
      <c r="DJ352" s="1999"/>
      <c r="DK352" s="1993"/>
      <c r="DL352" s="2003">
        <f t="shared" si="757"/>
        <v>0</v>
      </c>
      <c r="DM352" s="1989"/>
      <c r="DN352" s="2003">
        <f t="shared" si="758"/>
        <v>0</v>
      </c>
      <c r="DO352" s="1989"/>
      <c r="DP352" s="2003">
        <f t="shared" si="759"/>
        <v>0</v>
      </c>
      <c r="DQ352" s="1989"/>
      <c r="DR352" s="1989"/>
      <c r="DS352" s="2002">
        <f t="shared" si="760"/>
        <v>0</v>
      </c>
      <c r="DT352" s="2004"/>
      <c r="DU352" s="1988"/>
      <c r="DV352" s="2003">
        <f t="shared" si="761"/>
        <v>0</v>
      </c>
      <c r="DW352" s="1989"/>
      <c r="DX352" s="2003">
        <f t="shared" si="762"/>
        <v>0</v>
      </c>
      <c r="DY352" s="1989"/>
      <c r="DZ352" s="2003">
        <f t="shared" si="763"/>
        <v>0</v>
      </c>
      <c r="EA352" s="1989"/>
      <c r="EB352" s="1989"/>
      <c r="EC352" s="2002">
        <f t="shared" si="764"/>
        <v>0</v>
      </c>
      <c r="ED352" s="1998"/>
      <c r="EE352" s="2005">
        <f>O352+Y352+AI352+AS352+BC352+BM352+BW352+CG352+CQ352+DA352+DK352+DU352</f>
        <v>0</v>
      </c>
      <c r="EF352" s="2003">
        <f t="shared" si="766"/>
        <v>0</v>
      </c>
      <c r="EG352" s="1989">
        <f>Q352+AA352+AK352+AU352+BE352+BO352+BY352+CI352+CS352+DC352+DM352+DW352</f>
        <v>0</v>
      </c>
      <c r="EH352" s="2003">
        <f t="shared" si="767"/>
        <v>0</v>
      </c>
      <c r="EI352" s="1989">
        <f>S352+AC352+AM352+AW352+BG352+BQ352+CA352+CK352+CU352+DE352+DO352+DY352</f>
        <v>0</v>
      </c>
      <c r="EJ352" s="2003">
        <f t="shared" si="768"/>
        <v>0</v>
      </c>
      <c r="EK352" s="1989">
        <f t="shared" ref="EK352:EL354" si="788">U352+AE352+AO352+AY352+BI352+BS352+CC352+CM352+CW352+DG352+DQ352+EA352</f>
        <v>0</v>
      </c>
      <c r="EL352" s="1989">
        <f t="shared" si="788"/>
        <v>0</v>
      </c>
      <c r="EM352" s="2006">
        <f t="shared" si="769"/>
        <v>0</v>
      </c>
      <c r="EN352" s="1999">
        <f>EG352+EI352+EK352+EL352</f>
        <v>0</v>
      </c>
      <c r="EP352" s="1613" t="e">
        <f>EA352-#REF!/10^7</f>
        <v>#REF!</v>
      </c>
      <c r="EW352" s="1611" t="e">
        <v>#N/A</v>
      </c>
      <c r="EX352" s="1612" t="e">
        <v>#N/A</v>
      </c>
      <c r="EZ352" s="1650">
        <f t="shared" si="771"/>
        <v>0</v>
      </c>
    </row>
    <row r="353" spans="1:156" ht="21" customHeight="1">
      <c r="A353" s="1652">
        <v>2</v>
      </c>
      <c r="B353" s="1644"/>
      <c r="C353" s="1662"/>
      <c r="D353" s="1648"/>
      <c r="E353" s="1648"/>
      <c r="F353" s="1648"/>
      <c r="G353" s="1648"/>
      <c r="H353" s="1648"/>
      <c r="I353" s="1648"/>
      <c r="J353" s="1649"/>
      <c r="K353" s="1648"/>
      <c r="L353" s="1648"/>
      <c r="M353" s="1648"/>
      <c r="N353" s="1642"/>
      <c r="O353" s="2000"/>
      <c r="P353" s="2003">
        <f t="shared" si="717"/>
        <v>0</v>
      </c>
      <c r="Q353" s="1989"/>
      <c r="R353" s="2003">
        <f t="shared" si="718"/>
        <v>0</v>
      </c>
      <c r="S353" s="1989"/>
      <c r="T353" s="2003">
        <f t="shared" si="719"/>
        <v>0</v>
      </c>
      <c r="U353" s="1989"/>
      <c r="V353" s="1989"/>
      <c r="W353" s="1989">
        <f t="shared" si="720"/>
        <v>0</v>
      </c>
      <c r="X353" s="1999">
        <f>Q353+S353+U353+V353</f>
        <v>0</v>
      </c>
      <c r="Y353" s="1993"/>
      <c r="Z353" s="2003">
        <f t="shared" si="721"/>
        <v>0</v>
      </c>
      <c r="AA353" s="1989"/>
      <c r="AB353" s="2003">
        <f t="shared" si="722"/>
        <v>0</v>
      </c>
      <c r="AC353" s="1989"/>
      <c r="AD353" s="2003">
        <f t="shared" si="723"/>
        <v>0</v>
      </c>
      <c r="AE353" s="1989"/>
      <c r="AF353" s="1989"/>
      <c r="AG353" s="2002">
        <f t="shared" si="724"/>
        <v>0</v>
      </c>
      <c r="AH353" s="1999">
        <f t="shared" si="784"/>
        <v>0</v>
      </c>
      <c r="AI353" s="1993"/>
      <c r="AJ353" s="2003">
        <f t="shared" si="725"/>
        <v>0</v>
      </c>
      <c r="AK353" s="1989"/>
      <c r="AL353" s="2003">
        <f t="shared" si="726"/>
        <v>0</v>
      </c>
      <c r="AM353" s="1989"/>
      <c r="AN353" s="2003">
        <f t="shared" si="727"/>
        <v>0</v>
      </c>
      <c r="AO353" s="1989"/>
      <c r="AP353" s="1989"/>
      <c r="AQ353" s="2002">
        <f t="shared" si="728"/>
        <v>0</v>
      </c>
      <c r="AR353" s="1999">
        <f t="shared" si="785"/>
        <v>0</v>
      </c>
      <c r="AS353" s="1993"/>
      <c r="AT353" s="2003">
        <f t="shared" si="729"/>
        <v>0</v>
      </c>
      <c r="AU353" s="1989"/>
      <c r="AV353" s="2003">
        <f t="shared" si="730"/>
        <v>0</v>
      </c>
      <c r="AW353" s="1989"/>
      <c r="AX353" s="2003">
        <f t="shared" si="731"/>
        <v>0</v>
      </c>
      <c r="AY353" s="1989"/>
      <c r="AZ353" s="1989"/>
      <c r="BA353" s="2002">
        <f t="shared" si="732"/>
        <v>0</v>
      </c>
      <c r="BB353" s="1999">
        <f>AU353+AW353+AY353+AZ353</f>
        <v>0</v>
      </c>
      <c r="BC353" s="1993"/>
      <c r="BD353" s="2003">
        <f t="shared" si="733"/>
        <v>0</v>
      </c>
      <c r="BE353" s="1989"/>
      <c r="BF353" s="2003">
        <f t="shared" si="734"/>
        <v>0</v>
      </c>
      <c r="BG353" s="1989"/>
      <c r="BH353" s="2003">
        <f t="shared" si="735"/>
        <v>0</v>
      </c>
      <c r="BI353" s="1989"/>
      <c r="BJ353" s="1989"/>
      <c r="BK353" s="2002">
        <f t="shared" si="736"/>
        <v>0</v>
      </c>
      <c r="BL353" s="1999">
        <f>BE353+BG353+BI353+BJ353</f>
        <v>0</v>
      </c>
      <c r="BM353" s="1993"/>
      <c r="BN353" s="2003">
        <f t="shared" si="737"/>
        <v>0</v>
      </c>
      <c r="BO353" s="1989"/>
      <c r="BP353" s="2003">
        <f t="shared" si="738"/>
        <v>0</v>
      </c>
      <c r="BQ353" s="1989"/>
      <c r="BR353" s="2003">
        <f t="shared" si="739"/>
        <v>0</v>
      </c>
      <c r="BS353" s="1989"/>
      <c r="BT353" s="1989"/>
      <c r="BU353" s="2002">
        <f t="shared" si="740"/>
        <v>0</v>
      </c>
      <c r="BV353" s="1999">
        <f>BO353+BQ353+BS353+BT353</f>
        <v>0</v>
      </c>
      <c r="BW353" s="1993"/>
      <c r="BX353" s="2003">
        <f t="shared" si="741"/>
        <v>0</v>
      </c>
      <c r="BY353" s="1989"/>
      <c r="BZ353" s="2003">
        <f t="shared" si="742"/>
        <v>0</v>
      </c>
      <c r="CA353" s="1989"/>
      <c r="CB353" s="2003">
        <f t="shared" si="743"/>
        <v>0</v>
      </c>
      <c r="CC353" s="1989"/>
      <c r="CD353" s="1989"/>
      <c r="CE353" s="2002">
        <f t="shared" si="744"/>
        <v>0</v>
      </c>
      <c r="CF353" s="1999">
        <f>BY353+CA353+CC353+CD353</f>
        <v>0</v>
      </c>
      <c r="CG353" s="1993"/>
      <c r="CH353" s="2003">
        <f t="shared" si="745"/>
        <v>0</v>
      </c>
      <c r="CI353" s="1989"/>
      <c r="CJ353" s="2003">
        <f t="shared" si="746"/>
        <v>0</v>
      </c>
      <c r="CK353" s="1989"/>
      <c r="CL353" s="2003">
        <f t="shared" si="747"/>
        <v>0</v>
      </c>
      <c r="CM353" s="1989"/>
      <c r="CN353" s="1989"/>
      <c r="CO353" s="2002">
        <f t="shared" si="748"/>
        <v>0</v>
      </c>
      <c r="CP353" s="1999">
        <f>CI353+CK353+CM353+CN353</f>
        <v>0</v>
      </c>
      <c r="CQ353" s="1993"/>
      <c r="CR353" s="2003">
        <f t="shared" si="749"/>
        <v>0</v>
      </c>
      <c r="CS353" s="1989"/>
      <c r="CT353" s="2003">
        <f t="shared" si="750"/>
        <v>0</v>
      </c>
      <c r="CU353" s="1989"/>
      <c r="CV353" s="2003">
        <f t="shared" si="751"/>
        <v>0</v>
      </c>
      <c r="CW353" s="1989"/>
      <c r="CX353" s="1989"/>
      <c r="CY353" s="2002">
        <f t="shared" si="752"/>
        <v>0</v>
      </c>
      <c r="CZ353" s="1999">
        <f>CS353+CU353+CW353+CX353</f>
        <v>0</v>
      </c>
      <c r="DA353" s="1993"/>
      <c r="DB353" s="2003">
        <f t="shared" si="753"/>
        <v>0</v>
      </c>
      <c r="DC353" s="1989"/>
      <c r="DD353" s="2003">
        <f t="shared" si="754"/>
        <v>0</v>
      </c>
      <c r="DE353" s="1989"/>
      <c r="DF353" s="2003">
        <f t="shared" si="755"/>
        <v>0</v>
      </c>
      <c r="DG353" s="1989"/>
      <c r="DH353" s="1989"/>
      <c r="DI353" s="2002">
        <f t="shared" si="756"/>
        <v>0</v>
      </c>
      <c r="DJ353" s="1999">
        <f>DC353+DE353+DG353+DH353</f>
        <v>0</v>
      </c>
      <c r="DK353" s="1993"/>
      <c r="DL353" s="2003">
        <f t="shared" si="757"/>
        <v>0</v>
      </c>
      <c r="DM353" s="1989"/>
      <c r="DN353" s="2003">
        <f t="shared" si="758"/>
        <v>0</v>
      </c>
      <c r="DO353" s="1989"/>
      <c r="DP353" s="2003">
        <f t="shared" si="759"/>
        <v>0</v>
      </c>
      <c r="DQ353" s="1989"/>
      <c r="DR353" s="1989"/>
      <c r="DS353" s="2002">
        <f t="shared" si="760"/>
        <v>0</v>
      </c>
      <c r="DT353" s="2004">
        <f>DM353+DO353+DQ353+DR353</f>
        <v>0</v>
      </c>
      <c r="DU353" s="1988"/>
      <c r="DV353" s="2003">
        <f t="shared" si="761"/>
        <v>0</v>
      </c>
      <c r="DW353" s="1989"/>
      <c r="DX353" s="2003">
        <f t="shared" si="762"/>
        <v>0</v>
      </c>
      <c r="DY353" s="1989"/>
      <c r="DZ353" s="2003">
        <f t="shared" si="763"/>
        <v>0</v>
      </c>
      <c r="EA353" s="1989"/>
      <c r="EB353" s="1989"/>
      <c r="EC353" s="2002">
        <f t="shared" si="764"/>
        <v>0</v>
      </c>
      <c r="ED353" s="1998">
        <f>DW353+DY353+EA353+EB353</f>
        <v>0</v>
      </c>
      <c r="EE353" s="2005">
        <f>O353+Y353+AI353+AS353+BC353+BM353+BW353+CG353+CQ353+DA353+DK353+DU353</f>
        <v>0</v>
      </c>
      <c r="EF353" s="2003">
        <f t="shared" si="766"/>
        <v>0</v>
      </c>
      <c r="EG353" s="1989">
        <f>Q353+AA353+AK353+AU353+BE353+BO353+BY353+CI353+CS353+DC353+DM353+DW353</f>
        <v>0</v>
      </c>
      <c r="EH353" s="2003">
        <f t="shared" si="767"/>
        <v>0</v>
      </c>
      <c r="EI353" s="1989">
        <f>S353+AC353+AM353+AW353+BG353+BQ353+CA353+CK353+CU353+DE353+DO353+DY353</f>
        <v>0</v>
      </c>
      <c r="EJ353" s="2003">
        <f t="shared" si="768"/>
        <v>0</v>
      </c>
      <c r="EK353" s="1989">
        <f t="shared" si="788"/>
        <v>0</v>
      </c>
      <c r="EL353" s="1989">
        <f t="shared" si="788"/>
        <v>0</v>
      </c>
      <c r="EM353" s="2006">
        <f t="shared" si="769"/>
        <v>0</v>
      </c>
      <c r="EN353" s="1999">
        <f>EG353+EI353+EK353+EL353</f>
        <v>0</v>
      </c>
      <c r="EP353" s="1613" t="e">
        <f>EA353-#REF!/10^7</f>
        <v>#REF!</v>
      </c>
      <c r="EW353" s="1611" t="e">
        <v>#N/A</v>
      </c>
      <c r="EX353" s="1612" t="e">
        <v>#N/A</v>
      </c>
      <c r="EZ353" s="1650">
        <f t="shared" si="771"/>
        <v>0</v>
      </c>
    </row>
    <row r="354" spans="1:156" ht="21" customHeight="1">
      <c r="A354" s="1652"/>
      <c r="B354" s="1644"/>
      <c r="C354" s="1662"/>
      <c r="D354" s="1648"/>
      <c r="E354" s="1648"/>
      <c r="F354" s="1648"/>
      <c r="G354" s="1648"/>
      <c r="H354" s="1648"/>
      <c r="I354" s="1641"/>
      <c r="J354" s="1649"/>
      <c r="K354" s="1648"/>
      <c r="L354" s="1648"/>
      <c r="M354" s="1648"/>
      <c r="N354" s="1671"/>
      <c r="O354" s="2000"/>
      <c r="P354" s="2003">
        <f t="shared" si="717"/>
        <v>0</v>
      </c>
      <c r="Q354" s="1998"/>
      <c r="R354" s="2003">
        <f t="shared" si="718"/>
        <v>0</v>
      </c>
      <c r="S354" s="1998"/>
      <c r="T354" s="2003">
        <f t="shared" si="719"/>
        <v>0</v>
      </c>
      <c r="U354" s="1989"/>
      <c r="V354" s="1989"/>
      <c r="W354" s="1989">
        <f t="shared" si="720"/>
        <v>0</v>
      </c>
      <c r="X354" s="1999"/>
      <c r="Y354" s="2000"/>
      <c r="Z354" s="2003">
        <f t="shared" si="721"/>
        <v>0</v>
      </c>
      <c r="AA354" s="1998"/>
      <c r="AB354" s="2003">
        <f t="shared" si="722"/>
        <v>0</v>
      </c>
      <c r="AC354" s="1998"/>
      <c r="AD354" s="2003">
        <f t="shared" si="723"/>
        <v>0</v>
      </c>
      <c r="AE354" s="1989"/>
      <c r="AF354" s="1989"/>
      <c r="AG354" s="2002">
        <f t="shared" si="724"/>
        <v>0</v>
      </c>
      <c r="AH354" s="1999">
        <f t="shared" si="784"/>
        <v>0</v>
      </c>
      <c r="AI354" s="2000"/>
      <c r="AJ354" s="2003">
        <f t="shared" si="725"/>
        <v>0</v>
      </c>
      <c r="AK354" s="1998"/>
      <c r="AL354" s="2003">
        <f t="shared" si="726"/>
        <v>0</v>
      </c>
      <c r="AM354" s="1998"/>
      <c r="AN354" s="2003">
        <f t="shared" si="727"/>
        <v>0</v>
      </c>
      <c r="AO354" s="1989"/>
      <c r="AP354" s="1989"/>
      <c r="AQ354" s="2002">
        <f t="shared" si="728"/>
        <v>0</v>
      </c>
      <c r="AR354" s="1999"/>
      <c r="AS354" s="2000"/>
      <c r="AT354" s="2003">
        <f t="shared" si="729"/>
        <v>0</v>
      </c>
      <c r="AU354" s="1998"/>
      <c r="AV354" s="2003">
        <f t="shared" si="730"/>
        <v>0</v>
      </c>
      <c r="AW354" s="1998"/>
      <c r="AX354" s="2003">
        <f t="shared" si="731"/>
        <v>0</v>
      </c>
      <c r="AY354" s="1989"/>
      <c r="AZ354" s="1989"/>
      <c r="BA354" s="2002">
        <f t="shared" si="732"/>
        <v>0</v>
      </c>
      <c r="BB354" s="1999"/>
      <c r="BC354" s="2000"/>
      <c r="BD354" s="2003">
        <f t="shared" si="733"/>
        <v>0</v>
      </c>
      <c r="BE354" s="1998"/>
      <c r="BF354" s="2003">
        <f t="shared" si="734"/>
        <v>0</v>
      </c>
      <c r="BG354" s="1998"/>
      <c r="BH354" s="2003">
        <f t="shared" si="735"/>
        <v>0</v>
      </c>
      <c r="BI354" s="1989"/>
      <c r="BJ354" s="1989"/>
      <c r="BK354" s="2002">
        <f t="shared" si="736"/>
        <v>0</v>
      </c>
      <c r="BL354" s="1999"/>
      <c r="BM354" s="2000"/>
      <c r="BN354" s="2003">
        <f t="shared" si="737"/>
        <v>0</v>
      </c>
      <c r="BO354" s="1998"/>
      <c r="BP354" s="2003">
        <f t="shared" si="738"/>
        <v>0</v>
      </c>
      <c r="BQ354" s="1998"/>
      <c r="BR354" s="2003">
        <f t="shared" si="739"/>
        <v>0</v>
      </c>
      <c r="BS354" s="1989"/>
      <c r="BT354" s="1989"/>
      <c r="BU354" s="2002">
        <f t="shared" si="740"/>
        <v>0</v>
      </c>
      <c r="BV354" s="1999"/>
      <c r="BW354" s="2000"/>
      <c r="BX354" s="2003">
        <f t="shared" si="741"/>
        <v>0</v>
      </c>
      <c r="BY354" s="1998"/>
      <c r="BZ354" s="2003">
        <f t="shared" si="742"/>
        <v>0</v>
      </c>
      <c r="CA354" s="1998"/>
      <c r="CB354" s="2003">
        <f t="shared" si="743"/>
        <v>0</v>
      </c>
      <c r="CC354" s="1989"/>
      <c r="CD354" s="1989"/>
      <c r="CE354" s="2002">
        <f t="shared" si="744"/>
        <v>0</v>
      </c>
      <c r="CF354" s="1999"/>
      <c r="CG354" s="2000"/>
      <c r="CH354" s="2003">
        <f t="shared" si="745"/>
        <v>0</v>
      </c>
      <c r="CI354" s="1998"/>
      <c r="CJ354" s="2003">
        <f t="shared" si="746"/>
        <v>0</v>
      </c>
      <c r="CK354" s="1998"/>
      <c r="CL354" s="2003">
        <f t="shared" si="747"/>
        <v>0</v>
      </c>
      <c r="CM354" s="1989"/>
      <c r="CN354" s="1989"/>
      <c r="CO354" s="2002">
        <f t="shared" si="748"/>
        <v>0</v>
      </c>
      <c r="CP354" s="1999"/>
      <c r="CQ354" s="2000"/>
      <c r="CR354" s="2003">
        <f t="shared" si="749"/>
        <v>0</v>
      </c>
      <c r="CS354" s="1998"/>
      <c r="CT354" s="2003">
        <f t="shared" si="750"/>
        <v>0</v>
      </c>
      <c r="CU354" s="1998"/>
      <c r="CV354" s="2003">
        <f t="shared" si="751"/>
        <v>0</v>
      </c>
      <c r="CW354" s="1989"/>
      <c r="CX354" s="1989"/>
      <c r="CY354" s="2002">
        <f t="shared" si="752"/>
        <v>0</v>
      </c>
      <c r="CZ354" s="1999"/>
      <c r="DA354" s="2000"/>
      <c r="DB354" s="2003">
        <f t="shared" si="753"/>
        <v>0</v>
      </c>
      <c r="DC354" s="1998"/>
      <c r="DD354" s="2003">
        <f t="shared" si="754"/>
        <v>0</v>
      </c>
      <c r="DE354" s="1998"/>
      <c r="DF354" s="2003">
        <f t="shared" si="755"/>
        <v>0</v>
      </c>
      <c r="DG354" s="1989"/>
      <c r="DH354" s="1989"/>
      <c r="DI354" s="2002">
        <f t="shared" si="756"/>
        <v>0</v>
      </c>
      <c r="DJ354" s="1999"/>
      <c r="DK354" s="2000"/>
      <c r="DL354" s="2003">
        <f t="shared" si="757"/>
        <v>0</v>
      </c>
      <c r="DM354" s="1998"/>
      <c r="DN354" s="2003">
        <f t="shared" si="758"/>
        <v>0</v>
      </c>
      <c r="DO354" s="1998"/>
      <c r="DP354" s="2003">
        <f t="shared" si="759"/>
        <v>0</v>
      </c>
      <c r="DQ354" s="1989"/>
      <c r="DR354" s="1989"/>
      <c r="DS354" s="2002">
        <f t="shared" si="760"/>
        <v>0</v>
      </c>
      <c r="DT354" s="2004"/>
      <c r="DU354" s="2020"/>
      <c r="DV354" s="2003">
        <f t="shared" si="761"/>
        <v>0</v>
      </c>
      <c r="DW354" s="1998"/>
      <c r="DX354" s="2003">
        <f t="shared" si="762"/>
        <v>0</v>
      </c>
      <c r="DY354" s="1998"/>
      <c r="DZ354" s="2003">
        <f t="shared" si="763"/>
        <v>0</v>
      </c>
      <c r="EA354" s="1989"/>
      <c r="EB354" s="1989"/>
      <c r="EC354" s="2002">
        <f t="shared" si="764"/>
        <v>0</v>
      </c>
      <c r="ED354" s="1998"/>
      <c r="EE354" s="2005">
        <f>O354+Y354+AI354+AS354+BC354+BM354+BW354+CG354+CQ354+DA354+DK354+DU354</f>
        <v>0</v>
      </c>
      <c r="EF354" s="2003">
        <f t="shared" si="766"/>
        <v>0</v>
      </c>
      <c r="EG354" s="1989">
        <f>Q354+AA354+AK354+AU354+BE354+BO354+BY354+CI354+CS354+DC354+DM354+DW354</f>
        <v>0</v>
      </c>
      <c r="EH354" s="2003">
        <f t="shared" si="767"/>
        <v>0</v>
      </c>
      <c r="EI354" s="1989">
        <f>S354+AC354+AM354+AW354+BG354+BQ354+CA354+CK354+CU354+DE354+DO354+DY354</f>
        <v>0</v>
      </c>
      <c r="EJ354" s="2003">
        <f t="shared" si="768"/>
        <v>0</v>
      </c>
      <c r="EK354" s="1989">
        <f t="shared" si="788"/>
        <v>0</v>
      </c>
      <c r="EL354" s="1989">
        <f t="shared" si="788"/>
        <v>0</v>
      </c>
      <c r="EM354" s="2006">
        <f t="shared" si="769"/>
        <v>0</v>
      </c>
      <c r="EN354" s="1999">
        <f>EG354+EI354+EK354+EL354</f>
        <v>0</v>
      </c>
      <c r="EP354" s="1613" t="e">
        <f>EA354-#REF!/10^7</f>
        <v>#REF!</v>
      </c>
      <c r="EW354" s="1611" t="e">
        <v>#N/A</v>
      </c>
      <c r="EX354" s="1612" t="e">
        <v>#N/A</v>
      </c>
      <c r="EZ354" s="1650">
        <f t="shared" si="771"/>
        <v>0</v>
      </c>
    </row>
    <row r="355" spans="1:156" s="1660" customFormat="1" ht="21" customHeight="1">
      <c r="A355" s="1637"/>
      <c r="B355" s="1654" t="s">
        <v>211</v>
      </c>
      <c r="C355" s="1655"/>
      <c r="D355" s="1656"/>
      <c r="E355" s="1656"/>
      <c r="F355" s="1656"/>
      <c r="G355" s="1656"/>
      <c r="H355" s="1656"/>
      <c r="I355" s="1656"/>
      <c r="J355" s="1657"/>
      <c r="K355" s="1656"/>
      <c r="L355" s="1656"/>
      <c r="M355" s="1656"/>
      <c r="N355" s="1658"/>
      <c r="O355" s="2007">
        <f>SUM(O352:O354)</f>
        <v>0</v>
      </c>
      <c r="P355" s="2003">
        <f t="shared" si="717"/>
        <v>0</v>
      </c>
      <c r="Q355" s="1826">
        <f>SUM(Q352:Q354)</f>
        <v>0</v>
      </c>
      <c r="R355" s="2003">
        <f t="shared" si="718"/>
        <v>0</v>
      </c>
      <c r="S355" s="1826">
        <f>SUM(S352:S354)</f>
        <v>0</v>
      </c>
      <c r="T355" s="2003">
        <f t="shared" si="719"/>
        <v>0</v>
      </c>
      <c r="U355" s="1826">
        <f>SUM(U352:U354)</f>
        <v>0</v>
      </c>
      <c r="V355" s="1826"/>
      <c r="W355" s="1989">
        <f t="shared" si="720"/>
        <v>0</v>
      </c>
      <c r="X355" s="2008">
        <f>SUM(X352:X353)</f>
        <v>0</v>
      </c>
      <c r="Y355" s="2007">
        <f>SUM(Y352:Y354)</f>
        <v>0</v>
      </c>
      <c r="Z355" s="2003">
        <f t="shared" si="721"/>
        <v>0</v>
      </c>
      <c r="AA355" s="1826">
        <f>SUM(AA352:AA354)</f>
        <v>0</v>
      </c>
      <c r="AB355" s="2003">
        <f t="shared" si="722"/>
        <v>0</v>
      </c>
      <c r="AC355" s="1826">
        <f>SUM(AC352:AC354)</f>
        <v>0</v>
      </c>
      <c r="AD355" s="2003">
        <f t="shared" si="723"/>
        <v>0</v>
      </c>
      <c r="AE355" s="1826">
        <f>SUM(AE352:AE354)</f>
        <v>0</v>
      </c>
      <c r="AF355" s="1826">
        <f>SUM(AF352:AF354)</f>
        <v>0</v>
      </c>
      <c r="AG355" s="2002">
        <f t="shared" si="724"/>
        <v>0</v>
      </c>
      <c r="AH355" s="2008">
        <f t="shared" ref="AH355:AP355" si="789">SUM(AH352:AH354)</f>
        <v>0</v>
      </c>
      <c r="AI355" s="2007">
        <f t="shared" si="789"/>
        <v>0</v>
      </c>
      <c r="AJ355" s="2003">
        <f t="shared" si="725"/>
        <v>0</v>
      </c>
      <c r="AK355" s="1826">
        <f t="shared" si="789"/>
        <v>0</v>
      </c>
      <c r="AL355" s="2003">
        <f t="shared" si="726"/>
        <v>0</v>
      </c>
      <c r="AM355" s="1826">
        <f t="shared" si="789"/>
        <v>0</v>
      </c>
      <c r="AN355" s="2003">
        <f t="shared" si="727"/>
        <v>0</v>
      </c>
      <c r="AO355" s="1826">
        <f t="shared" si="789"/>
        <v>0</v>
      </c>
      <c r="AP355" s="1826">
        <f t="shared" si="789"/>
        <v>0</v>
      </c>
      <c r="AQ355" s="2002">
        <f t="shared" si="728"/>
        <v>0</v>
      </c>
      <c r="AR355" s="2008">
        <f t="shared" ref="AR355:AZ355" si="790">SUM(AR352:AR354)</f>
        <v>0</v>
      </c>
      <c r="AS355" s="2007">
        <f t="shared" si="790"/>
        <v>0</v>
      </c>
      <c r="AT355" s="2003">
        <f t="shared" si="729"/>
        <v>0</v>
      </c>
      <c r="AU355" s="1826">
        <f t="shared" si="790"/>
        <v>0</v>
      </c>
      <c r="AV355" s="2003">
        <f t="shared" si="730"/>
        <v>0</v>
      </c>
      <c r="AW355" s="1826">
        <f t="shared" si="790"/>
        <v>0</v>
      </c>
      <c r="AX355" s="2003">
        <f t="shared" si="731"/>
        <v>0</v>
      </c>
      <c r="AY355" s="1826">
        <f t="shared" si="790"/>
        <v>0</v>
      </c>
      <c r="AZ355" s="1826">
        <f t="shared" si="790"/>
        <v>0</v>
      </c>
      <c r="BA355" s="2002">
        <f t="shared" si="732"/>
        <v>0</v>
      </c>
      <c r="BB355" s="2008">
        <f>SUM(BB352:BB354)</f>
        <v>0</v>
      </c>
      <c r="BC355" s="2007"/>
      <c r="BD355" s="2003">
        <f t="shared" si="733"/>
        <v>0</v>
      </c>
      <c r="BE355" s="1826"/>
      <c r="BF355" s="2003">
        <f t="shared" si="734"/>
        <v>0</v>
      </c>
      <c r="BG355" s="1826"/>
      <c r="BH355" s="2003">
        <f t="shared" si="735"/>
        <v>0</v>
      </c>
      <c r="BI355" s="1826"/>
      <c r="BJ355" s="1826"/>
      <c r="BK355" s="2002">
        <f t="shared" si="736"/>
        <v>0</v>
      </c>
      <c r="BL355" s="2008"/>
      <c r="BM355" s="2007"/>
      <c r="BN355" s="2003">
        <f t="shared" si="737"/>
        <v>0</v>
      </c>
      <c r="BO355" s="1826"/>
      <c r="BP355" s="2003">
        <f t="shared" si="738"/>
        <v>0</v>
      </c>
      <c r="BQ355" s="1826"/>
      <c r="BR355" s="2003">
        <f t="shared" si="739"/>
        <v>0</v>
      </c>
      <c r="BS355" s="1826"/>
      <c r="BT355" s="1826"/>
      <c r="BU355" s="2002">
        <f t="shared" si="740"/>
        <v>0</v>
      </c>
      <c r="BV355" s="2008"/>
      <c r="BW355" s="2007"/>
      <c r="BX355" s="2003">
        <f t="shared" si="741"/>
        <v>0</v>
      </c>
      <c r="BY355" s="1826"/>
      <c r="BZ355" s="2003">
        <f t="shared" si="742"/>
        <v>0</v>
      </c>
      <c r="CA355" s="1826"/>
      <c r="CB355" s="2003">
        <f t="shared" si="743"/>
        <v>0</v>
      </c>
      <c r="CC355" s="1826"/>
      <c r="CD355" s="1826"/>
      <c r="CE355" s="2002">
        <f t="shared" si="744"/>
        <v>0</v>
      </c>
      <c r="CF355" s="2008"/>
      <c r="CG355" s="2007"/>
      <c r="CH355" s="2003">
        <f t="shared" si="745"/>
        <v>0</v>
      </c>
      <c r="CI355" s="1826"/>
      <c r="CJ355" s="2003">
        <f t="shared" si="746"/>
        <v>0</v>
      </c>
      <c r="CK355" s="1826"/>
      <c r="CL355" s="2003">
        <f t="shared" si="747"/>
        <v>0</v>
      </c>
      <c r="CM355" s="1826"/>
      <c r="CN355" s="1826"/>
      <c r="CO355" s="2002">
        <f t="shared" si="748"/>
        <v>0</v>
      </c>
      <c r="CP355" s="2008"/>
      <c r="CQ355" s="2007"/>
      <c r="CR355" s="2003">
        <f t="shared" si="749"/>
        <v>0</v>
      </c>
      <c r="CS355" s="1826"/>
      <c r="CT355" s="2003">
        <f t="shared" si="750"/>
        <v>0</v>
      </c>
      <c r="CU355" s="1826"/>
      <c r="CV355" s="2003">
        <f t="shared" si="751"/>
        <v>0</v>
      </c>
      <c r="CW355" s="1826"/>
      <c r="CX355" s="1826"/>
      <c r="CY355" s="2002">
        <f t="shared" si="752"/>
        <v>0</v>
      </c>
      <c r="CZ355" s="2008"/>
      <c r="DA355" s="2007"/>
      <c r="DB355" s="2003">
        <f t="shared" si="753"/>
        <v>0</v>
      </c>
      <c r="DC355" s="1826"/>
      <c r="DD355" s="2003">
        <f t="shared" si="754"/>
        <v>0</v>
      </c>
      <c r="DE355" s="1826"/>
      <c r="DF355" s="2003">
        <f t="shared" si="755"/>
        <v>0</v>
      </c>
      <c r="DG355" s="1826"/>
      <c r="DH355" s="1826"/>
      <c r="DI355" s="2002">
        <f t="shared" si="756"/>
        <v>0</v>
      </c>
      <c r="DJ355" s="2008"/>
      <c r="DK355" s="2007"/>
      <c r="DL355" s="2003">
        <f t="shared" si="757"/>
        <v>0</v>
      </c>
      <c r="DM355" s="1826"/>
      <c r="DN355" s="2003">
        <f t="shared" si="758"/>
        <v>0</v>
      </c>
      <c r="DO355" s="1826"/>
      <c r="DP355" s="2003">
        <f t="shared" si="759"/>
        <v>0</v>
      </c>
      <c r="DQ355" s="1826"/>
      <c r="DR355" s="1826"/>
      <c r="DS355" s="2002">
        <f t="shared" si="760"/>
        <v>0</v>
      </c>
      <c r="DT355" s="2009"/>
      <c r="DU355" s="2010">
        <f>SUM(DU352:DU353)</f>
        <v>0</v>
      </c>
      <c r="DV355" s="2003">
        <f t="shared" si="761"/>
        <v>0</v>
      </c>
      <c r="DW355" s="1826">
        <f>SUM(DW352:DW353)</f>
        <v>0</v>
      </c>
      <c r="DX355" s="2003">
        <f t="shared" si="762"/>
        <v>0</v>
      </c>
      <c r="DY355" s="1826">
        <f>SUM(DY352:DY353)</f>
        <v>0</v>
      </c>
      <c r="DZ355" s="2003">
        <f t="shared" si="763"/>
        <v>0</v>
      </c>
      <c r="EA355" s="1826">
        <f>SUM(EA352:EA353)</f>
        <v>0</v>
      </c>
      <c r="EB355" s="1826">
        <f>SUM(EB352:EB353)</f>
        <v>0</v>
      </c>
      <c r="EC355" s="2002">
        <f t="shared" si="764"/>
        <v>0</v>
      </c>
      <c r="ED355" s="1826">
        <f>SUM(ED352:ED353)</f>
        <v>0</v>
      </c>
      <c r="EE355" s="2011">
        <f>SUM(EE352:EE354)</f>
        <v>0</v>
      </c>
      <c r="EF355" s="2003">
        <f t="shared" si="766"/>
        <v>0</v>
      </c>
      <c r="EG355" s="1826">
        <f t="shared" ref="EG355:EN355" si="791">SUM(EG352:EG354)</f>
        <v>0</v>
      </c>
      <c r="EH355" s="2003">
        <f t="shared" si="767"/>
        <v>0</v>
      </c>
      <c r="EI355" s="1826">
        <f t="shared" si="791"/>
        <v>0</v>
      </c>
      <c r="EJ355" s="2003">
        <f t="shared" si="768"/>
        <v>0</v>
      </c>
      <c r="EK355" s="1826">
        <f t="shared" si="791"/>
        <v>0</v>
      </c>
      <c r="EL355" s="1826">
        <f t="shared" si="791"/>
        <v>0</v>
      </c>
      <c r="EM355" s="2006">
        <f t="shared" si="769"/>
        <v>0</v>
      </c>
      <c r="EN355" s="2008">
        <f t="shared" si="791"/>
        <v>0</v>
      </c>
      <c r="EO355" s="1659"/>
      <c r="EP355" s="1613" t="e">
        <f>EA355-#REF!/10^7</f>
        <v>#REF!</v>
      </c>
      <c r="EQ355" s="1661"/>
      <c r="EW355" s="1611" t="e">
        <v>#N/A</v>
      </c>
      <c r="EX355" s="1612">
        <v>0</v>
      </c>
      <c r="EZ355" s="1650">
        <f t="shared" si="771"/>
        <v>0</v>
      </c>
    </row>
    <row r="356" spans="1:156" ht="21" customHeight="1">
      <c r="A356" s="1637"/>
      <c r="B356" s="1644"/>
      <c r="C356" s="1662"/>
      <c r="D356" s="1648"/>
      <c r="E356" s="1648"/>
      <c r="F356" s="1648"/>
      <c r="G356" s="1648"/>
      <c r="H356" s="1648"/>
      <c r="I356" s="1648"/>
      <c r="J356" s="1663"/>
      <c r="K356" s="1648"/>
      <c r="L356" s="1648"/>
      <c r="M356" s="1648"/>
      <c r="N356" s="1642"/>
      <c r="O356" s="2000"/>
      <c r="P356" s="2003">
        <f t="shared" si="717"/>
        <v>0</v>
      </c>
      <c r="Q356" s="1989"/>
      <c r="R356" s="2003">
        <f t="shared" si="718"/>
        <v>0</v>
      </c>
      <c r="S356" s="1989"/>
      <c r="T356" s="2003">
        <f t="shared" si="719"/>
        <v>0</v>
      </c>
      <c r="U356" s="1989"/>
      <c r="V356" s="1989"/>
      <c r="W356" s="1989">
        <f t="shared" si="720"/>
        <v>0</v>
      </c>
      <c r="X356" s="1999"/>
      <c r="Y356" s="1993"/>
      <c r="Z356" s="2003">
        <f t="shared" si="721"/>
        <v>0</v>
      </c>
      <c r="AA356" s="1989"/>
      <c r="AB356" s="2003">
        <f t="shared" si="722"/>
        <v>0</v>
      </c>
      <c r="AC356" s="1989"/>
      <c r="AD356" s="2003">
        <f t="shared" si="723"/>
        <v>0</v>
      </c>
      <c r="AE356" s="1989"/>
      <c r="AF356" s="1989"/>
      <c r="AG356" s="2002">
        <f t="shared" si="724"/>
        <v>0</v>
      </c>
      <c r="AH356" s="1999"/>
      <c r="AI356" s="1993"/>
      <c r="AJ356" s="2003">
        <f t="shared" si="725"/>
        <v>0</v>
      </c>
      <c r="AK356" s="1989"/>
      <c r="AL356" s="2003">
        <f t="shared" si="726"/>
        <v>0</v>
      </c>
      <c r="AM356" s="1989"/>
      <c r="AN356" s="2003">
        <f t="shared" si="727"/>
        <v>0</v>
      </c>
      <c r="AO356" s="1989"/>
      <c r="AP356" s="1989"/>
      <c r="AQ356" s="2002">
        <f t="shared" si="728"/>
        <v>0</v>
      </c>
      <c r="AR356" s="1999"/>
      <c r="AS356" s="1993"/>
      <c r="AT356" s="2003">
        <f t="shared" si="729"/>
        <v>0</v>
      </c>
      <c r="AU356" s="1989"/>
      <c r="AV356" s="2003">
        <f t="shared" si="730"/>
        <v>0</v>
      </c>
      <c r="AW356" s="1989"/>
      <c r="AX356" s="2003">
        <f t="shared" si="731"/>
        <v>0</v>
      </c>
      <c r="AY356" s="1989"/>
      <c r="AZ356" s="1989"/>
      <c r="BA356" s="2002">
        <f t="shared" si="732"/>
        <v>0</v>
      </c>
      <c r="BB356" s="1999"/>
      <c r="BC356" s="1993"/>
      <c r="BD356" s="2003">
        <f t="shared" si="733"/>
        <v>0</v>
      </c>
      <c r="BE356" s="1989"/>
      <c r="BF356" s="2003">
        <f t="shared" si="734"/>
        <v>0</v>
      </c>
      <c r="BG356" s="1989"/>
      <c r="BH356" s="2003">
        <f t="shared" si="735"/>
        <v>0</v>
      </c>
      <c r="BI356" s="1989"/>
      <c r="BJ356" s="1989"/>
      <c r="BK356" s="2002">
        <f t="shared" si="736"/>
        <v>0</v>
      </c>
      <c r="BL356" s="1999"/>
      <c r="BM356" s="1993"/>
      <c r="BN356" s="2003">
        <f t="shared" si="737"/>
        <v>0</v>
      </c>
      <c r="BO356" s="1989"/>
      <c r="BP356" s="2003">
        <f t="shared" si="738"/>
        <v>0</v>
      </c>
      <c r="BQ356" s="1989"/>
      <c r="BR356" s="2003">
        <f t="shared" si="739"/>
        <v>0</v>
      </c>
      <c r="BS356" s="1989"/>
      <c r="BT356" s="1989"/>
      <c r="BU356" s="2002">
        <f t="shared" si="740"/>
        <v>0</v>
      </c>
      <c r="BV356" s="1999"/>
      <c r="BW356" s="1993"/>
      <c r="BX356" s="2003">
        <f t="shared" si="741"/>
        <v>0</v>
      </c>
      <c r="BY356" s="1989"/>
      <c r="BZ356" s="2003">
        <f t="shared" si="742"/>
        <v>0</v>
      </c>
      <c r="CA356" s="1989"/>
      <c r="CB356" s="2003">
        <f t="shared" si="743"/>
        <v>0</v>
      </c>
      <c r="CC356" s="1989"/>
      <c r="CD356" s="1989"/>
      <c r="CE356" s="2002">
        <f t="shared" si="744"/>
        <v>0</v>
      </c>
      <c r="CF356" s="1999"/>
      <c r="CG356" s="1993"/>
      <c r="CH356" s="2003">
        <f t="shared" si="745"/>
        <v>0</v>
      </c>
      <c r="CI356" s="1989"/>
      <c r="CJ356" s="2003">
        <f t="shared" si="746"/>
        <v>0</v>
      </c>
      <c r="CK356" s="1989"/>
      <c r="CL356" s="2003">
        <f t="shared" si="747"/>
        <v>0</v>
      </c>
      <c r="CM356" s="1989"/>
      <c r="CN356" s="1989"/>
      <c r="CO356" s="2002">
        <f t="shared" si="748"/>
        <v>0</v>
      </c>
      <c r="CP356" s="1999"/>
      <c r="CQ356" s="1993"/>
      <c r="CR356" s="2003">
        <f t="shared" si="749"/>
        <v>0</v>
      </c>
      <c r="CS356" s="1989"/>
      <c r="CT356" s="2003">
        <f t="shared" si="750"/>
        <v>0</v>
      </c>
      <c r="CU356" s="1989"/>
      <c r="CV356" s="2003">
        <f t="shared" si="751"/>
        <v>0</v>
      </c>
      <c r="CW356" s="1989"/>
      <c r="CX356" s="1989"/>
      <c r="CY356" s="2002">
        <f t="shared" si="752"/>
        <v>0</v>
      </c>
      <c r="CZ356" s="1999"/>
      <c r="DA356" s="1993"/>
      <c r="DB356" s="2003">
        <f t="shared" si="753"/>
        <v>0</v>
      </c>
      <c r="DC356" s="1989"/>
      <c r="DD356" s="2003">
        <f t="shared" si="754"/>
        <v>0</v>
      </c>
      <c r="DE356" s="1989"/>
      <c r="DF356" s="2003">
        <f t="shared" si="755"/>
        <v>0</v>
      </c>
      <c r="DG356" s="1989"/>
      <c r="DH356" s="1989"/>
      <c r="DI356" s="2002">
        <f t="shared" si="756"/>
        <v>0</v>
      </c>
      <c r="DJ356" s="1999"/>
      <c r="DK356" s="1993"/>
      <c r="DL356" s="2003">
        <f t="shared" si="757"/>
        <v>0</v>
      </c>
      <c r="DM356" s="1989"/>
      <c r="DN356" s="2003">
        <f t="shared" si="758"/>
        <v>0</v>
      </c>
      <c r="DO356" s="1989"/>
      <c r="DP356" s="2003">
        <f t="shared" si="759"/>
        <v>0</v>
      </c>
      <c r="DQ356" s="1989"/>
      <c r="DR356" s="1989"/>
      <c r="DS356" s="2002">
        <f t="shared" si="760"/>
        <v>0</v>
      </c>
      <c r="DT356" s="2004"/>
      <c r="DU356" s="1988"/>
      <c r="DV356" s="2003">
        <f t="shared" si="761"/>
        <v>0</v>
      </c>
      <c r="DW356" s="1989"/>
      <c r="DX356" s="2003">
        <f t="shared" si="762"/>
        <v>0</v>
      </c>
      <c r="DY356" s="1989"/>
      <c r="DZ356" s="2003">
        <f t="shared" si="763"/>
        <v>0</v>
      </c>
      <c r="EA356" s="1989"/>
      <c r="EB356" s="1989"/>
      <c r="EC356" s="2002">
        <f t="shared" si="764"/>
        <v>0</v>
      </c>
      <c r="ED356" s="1998"/>
      <c r="EE356" s="2005"/>
      <c r="EF356" s="2003">
        <f t="shared" si="766"/>
        <v>0</v>
      </c>
      <c r="EG356" s="1989"/>
      <c r="EH356" s="2003">
        <f t="shared" si="767"/>
        <v>0</v>
      </c>
      <c r="EI356" s="1989"/>
      <c r="EJ356" s="2003">
        <f t="shared" si="768"/>
        <v>0</v>
      </c>
      <c r="EK356" s="1989"/>
      <c r="EL356" s="1989"/>
      <c r="EM356" s="2006">
        <f t="shared" si="769"/>
        <v>0</v>
      </c>
      <c r="EN356" s="1999"/>
      <c r="EP356" s="1613" t="e">
        <f>EA356-#REF!/10^7</f>
        <v>#REF!</v>
      </c>
      <c r="EW356" s="1611" t="e">
        <v>#N/A</v>
      </c>
      <c r="EX356" s="1612" t="e">
        <v>#N/A</v>
      </c>
      <c r="EZ356" s="1650">
        <f t="shared" si="771"/>
        <v>0</v>
      </c>
    </row>
    <row r="357" spans="1:156" ht="21" customHeight="1">
      <c r="A357" s="1652" t="s">
        <v>2000</v>
      </c>
      <c r="B357" s="1704" t="s">
        <v>1806</v>
      </c>
      <c r="C357" s="1662"/>
      <c r="D357" s="1646" t="e">
        <f t="shared" ref="D357:D364" si="792">H357/C357*100</f>
        <v>#DIV/0!</v>
      </c>
      <c r="E357" s="1646"/>
      <c r="F357" s="1648"/>
      <c r="G357" s="1648"/>
      <c r="H357" s="1648"/>
      <c r="I357" s="1648"/>
      <c r="J357" s="1705">
        <v>1</v>
      </c>
      <c r="K357" s="1648"/>
      <c r="L357" s="1648"/>
      <c r="M357" s="1648"/>
      <c r="N357" s="1642"/>
      <c r="O357" s="2000" t="e">
        <f>#REF!</f>
        <v>#REF!</v>
      </c>
      <c r="P357" s="2003">
        <f t="shared" si="717"/>
        <v>0</v>
      </c>
      <c r="Q357" s="1989" t="e">
        <f>#REF!/10^7</f>
        <v>#REF!</v>
      </c>
      <c r="R357" s="2003">
        <f t="shared" si="718"/>
        <v>0</v>
      </c>
      <c r="S357" s="1989" t="e">
        <f>#REF!/10^7</f>
        <v>#REF!</v>
      </c>
      <c r="T357" s="2003">
        <f t="shared" si="719"/>
        <v>0</v>
      </c>
      <c r="U357" s="1989" t="e">
        <f>#REF!/10^7</f>
        <v>#REF!</v>
      </c>
      <c r="V357" s="1989" t="e">
        <f>#REF!/10^7</f>
        <v>#REF!</v>
      </c>
      <c r="W357" s="1989">
        <f t="shared" si="720"/>
        <v>0</v>
      </c>
      <c r="X357" s="1999" t="e">
        <f t="shared" ref="X357:X365" si="793">Q357+S357+U357+V357</f>
        <v>#REF!</v>
      </c>
      <c r="Y357" s="1993" t="e">
        <f>#REF!</f>
        <v>#REF!</v>
      </c>
      <c r="Z357" s="2003">
        <f t="shared" si="721"/>
        <v>0</v>
      </c>
      <c r="AA357" s="1989" t="e">
        <f>#REF!/10^7</f>
        <v>#REF!</v>
      </c>
      <c r="AB357" s="2003">
        <f t="shared" si="722"/>
        <v>0</v>
      </c>
      <c r="AC357" s="1989" t="e">
        <f>#REF!/10^7</f>
        <v>#REF!</v>
      </c>
      <c r="AD357" s="2003">
        <f t="shared" si="723"/>
        <v>0</v>
      </c>
      <c r="AE357" s="1989" t="e">
        <f>#REF!/10^7</f>
        <v>#REF!</v>
      </c>
      <c r="AF357" s="1989" t="e">
        <f>#REF!/10^7</f>
        <v>#REF!</v>
      </c>
      <c r="AG357" s="2002" t="e">
        <f t="shared" si="724"/>
        <v>#REF!</v>
      </c>
      <c r="AH357" s="1999" t="e">
        <f t="shared" ref="AH357:AH364" si="794">AA357+AC357+AE357+AF357</f>
        <v>#REF!</v>
      </c>
      <c r="AI357" s="1993" t="e">
        <f>#REF!</f>
        <v>#REF!</v>
      </c>
      <c r="AJ357" s="2003">
        <f t="shared" si="725"/>
        <v>0</v>
      </c>
      <c r="AK357" s="1989" t="e">
        <f>#REF!/10^7</f>
        <v>#REF!</v>
      </c>
      <c r="AL357" s="2003">
        <f t="shared" si="726"/>
        <v>0</v>
      </c>
      <c r="AM357" s="1989" t="e">
        <f>#REF!/10^7</f>
        <v>#REF!</v>
      </c>
      <c r="AN357" s="2003">
        <f t="shared" si="727"/>
        <v>0</v>
      </c>
      <c r="AO357" s="1989" t="e">
        <f>#REF!/10^7</f>
        <v>#REF!</v>
      </c>
      <c r="AP357" s="1989" t="e">
        <f>#REF!/10^7</f>
        <v>#REF!</v>
      </c>
      <c r="AQ357" s="2002" t="e">
        <f t="shared" si="728"/>
        <v>#REF!</v>
      </c>
      <c r="AR357" s="1999" t="e">
        <f t="shared" ref="AR357:AR364" si="795">AK357+AM357+AO357+AP357</f>
        <v>#REF!</v>
      </c>
      <c r="AS357" s="1993" t="e">
        <f>#REF!</f>
        <v>#REF!</v>
      </c>
      <c r="AT357" s="2003">
        <f t="shared" si="729"/>
        <v>0</v>
      </c>
      <c r="AU357" s="1989" t="e">
        <f>#REF!/10^7</f>
        <v>#REF!</v>
      </c>
      <c r="AV357" s="2003">
        <f t="shared" si="730"/>
        <v>0</v>
      </c>
      <c r="AW357" s="1989" t="e">
        <f>#REF!/10^7</f>
        <v>#REF!</v>
      </c>
      <c r="AX357" s="2003">
        <f t="shared" si="731"/>
        <v>0</v>
      </c>
      <c r="AY357" s="1989" t="e">
        <f>#REF!/10^7</f>
        <v>#REF!</v>
      </c>
      <c r="AZ357" s="1989" t="e">
        <f>#REF!/10^7</f>
        <v>#REF!</v>
      </c>
      <c r="BA357" s="2002" t="e">
        <f t="shared" si="732"/>
        <v>#REF!</v>
      </c>
      <c r="BB357" s="1999" t="e">
        <f t="shared" ref="BB357:BB364" si="796">AU357+AW357+AY357+AZ357</f>
        <v>#REF!</v>
      </c>
      <c r="BC357" s="1993" t="e">
        <f>#REF!</f>
        <v>#REF!</v>
      </c>
      <c r="BD357" s="2003">
        <f t="shared" si="733"/>
        <v>0</v>
      </c>
      <c r="BE357" s="1989" t="e">
        <f>#REF!/10^7</f>
        <v>#REF!</v>
      </c>
      <c r="BF357" s="2003">
        <f t="shared" si="734"/>
        <v>0</v>
      </c>
      <c r="BG357" s="1989" t="e">
        <f>#REF!/10^7</f>
        <v>#REF!</v>
      </c>
      <c r="BH357" s="2003">
        <f t="shared" si="735"/>
        <v>0</v>
      </c>
      <c r="BI357" s="1989" t="e">
        <f>#REF!/10^7</f>
        <v>#REF!</v>
      </c>
      <c r="BJ357" s="1989" t="e">
        <f>#REF!/10^7</f>
        <v>#REF!</v>
      </c>
      <c r="BK357" s="2002" t="e">
        <f t="shared" si="736"/>
        <v>#REF!</v>
      </c>
      <c r="BL357" s="1999" t="e">
        <f t="shared" ref="BL357:BL364" si="797">BE357+BG357+BI357+BJ357</f>
        <v>#REF!</v>
      </c>
      <c r="BM357" s="1993" t="e">
        <f>#REF!</f>
        <v>#REF!</v>
      </c>
      <c r="BN357" s="2003">
        <f t="shared" si="737"/>
        <v>0</v>
      </c>
      <c r="BO357" s="1989" t="e">
        <f>#REF!/10^7</f>
        <v>#REF!</v>
      </c>
      <c r="BP357" s="2003">
        <f t="shared" si="738"/>
        <v>0</v>
      </c>
      <c r="BQ357" s="1989" t="e">
        <f>#REF!/10^7</f>
        <v>#REF!</v>
      </c>
      <c r="BR357" s="2003">
        <f t="shared" si="739"/>
        <v>0</v>
      </c>
      <c r="BS357" s="1989" t="e">
        <f>#REF!/10^7</f>
        <v>#REF!</v>
      </c>
      <c r="BT357" s="1989" t="e">
        <f>#REF!/10^7</f>
        <v>#REF!</v>
      </c>
      <c r="BU357" s="2002" t="e">
        <f t="shared" si="740"/>
        <v>#REF!</v>
      </c>
      <c r="BV357" s="1999" t="e">
        <f t="shared" ref="BV357:BV364" si="798">BO357+BQ357+BS357+BT357</f>
        <v>#REF!</v>
      </c>
      <c r="BW357" s="1993" t="e">
        <f>#REF!</f>
        <v>#REF!</v>
      </c>
      <c r="BX357" s="2003">
        <f t="shared" si="741"/>
        <v>0</v>
      </c>
      <c r="BY357" s="1989" t="e">
        <f>#REF!/10^7</f>
        <v>#REF!</v>
      </c>
      <c r="BZ357" s="2003">
        <f t="shared" si="742"/>
        <v>0</v>
      </c>
      <c r="CA357" s="1989" t="e">
        <f>#REF!/10^7</f>
        <v>#REF!</v>
      </c>
      <c r="CB357" s="2003">
        <f t="shared" si="743"/>
        <v>0</v>
      </c>
      <c r="CC357" s="1989" t="e">
        <f>#REF!/10^7</f>
        <v>#REF!</v>
      </c>
      <c r="CD357" s="1989" t="e">
        <f>#REF!/10^7</f>
        <v>#REF!</v>
      </c>
      <c r="CE357" s="2002" t="e">
        <f t="shared" si="744"/>
        <v>#REF!</v>
      </c>
      <c r="CF357" s="1999" t="e">
        <f t="shared" ref="CF357:CF364" si="799">BY357+CA357+CC357+CD357</f>
        <v>#REF!</v>
      </c>
      <c r="CG357" s="1993" t="e">
        <f>#REF!</f>
        <v>#REF!</v>
      </c>
      <c r="CH357" s="2003">
        <f t="shared" si="745"/>
        <v>0</v>
      </c>
      <c r="CI357" s="1989" t="e">
        <f>#REF!/10^7</f>
        <v>#REF!</v>
      </c>
      <c r="CJ357" s="2003">
        <f t="shared" si="746"/>
        <v>0</v>
      </c>
      <c r="CK357" s="1989" t="e">
        <f>#REF!/10^7</f>
        <v>#REF!</v>
      </c>
      <c r="CL357" s="2003">
        <f t="shared" si="747"/>
        <v>0</v>
      </c>
      <c r="CM357" s="1989" t="e">
        <f>#REF!/10^7</f>
        <v>#REF!</v>
      </c>
      <c r="CN357" s="1989" t="e">
        <f>#REF!/10^7</f>
        <v>#REF!</v>
      </c>
      <c r="CO357" s="2002" t="e">
        <f t="shared" si="748"/>
        <v>#REF!</v>
      </c>
      <c r="CP357" s="1999" t="e">
        <f t="shared" ref="CP357:CP364" si="800">CI357+CK357+CM357+CN357</f>
        <v>#REF!</v>
      </c>
      <c r="CQ357" s="1993" t="e">
        <f>#REF!</f>
        <v>#REF!</v>
      </c>
      <c r="CR357" s="2003">
        <f t="shared" si="749"/>
        <v>0</v>
      </c>
      <c r="CS357" s="1989" t="e">
        <f>#REF!/10^7</f>
        <v>#REF!</v>
      </c>
      <c r="CT357" s="2003">
        <f t="shared" si="750"/>
        <v>0</v>
      </c>
      <c r="CU357" s="1989" t="e">
        <f>#REF!/10^7</f>
        <v>#REF!</v>
      </c>
      <c r="CV357" s="2003">
        <f t="shared" si="751"/>
        <v>0</v>
      </c>
      <c r="CW357" s="1989" t="e">
        <f>#REF!/10^7</f>
        <v>#REF!</v>
      </c>
      <c r="CX357" s="1989" t="e">
        <f>#REF!/10^7</f>
        <v>#REF!</v>
      </c>
      <c r="CY357" s="2002" t="e">
        <f t="shared" si="752"/>
        <v>#REF!</v>
      </c>
      <c r="CZ357" s="1999" t="e">
        <f t="shared" ref="CZ357:CZ365" si="801">CS357+CU357+CW357+CX357</f>
        <v>#REF!</v>
      </c>
      <c r="DA357" s="1993" t="e">
        <f>#REF!</f>
        <v>#REF!</v>
      </c>
      <c r="DB357" s="2003">
        <f t="shared" si="753"/>
        <v>0</v>
      </c>
      <c r="DC357" s="1989" t="e">
        <f>#REF!/10^7</f>
        <v>#REF!</v>
      </c>
      <c r="DD357" s="2003">
        <f t="shared" si="754"/>
        <v>0</v>
      </c>
      <c r="DE357" s="1989" t="e">
        <f>#REF!/10^7</f>
        <v>#REF!</v>
      </c>
      <c r="DF357" s="2003">
        <f t="shared" si="755"/>
        <v>0</v>
      </c>
      <c r="DG357" s="1989" t="e">
        <f>#REF!/10^7</f>
        <v>#REF!</v>
      </c>
      <c r="DH357" s="1989" t="e">
        <f>#REF!/10^7</f>
        <v>#REF!</v>
      </c>
      <c r="DI357" s="2002" t="e">
        <f t="shared" si="756"/>
        <v>#REF!</v>
      </c>
      <c r="DJ357" s="1999" t="e">
        <f t="shared" ref="DJ357:DJ365" si="802">DC357+DE357+DG357+DH357</f>
        <v>#REF!</v>
      </c>
      <c r="DK357" s="1993" t="e">
        <f>#REF!</f>
        <v>#REF!</v>
      </c>
      <c r="DL357" s="2003">
        <f t="shared" si="757"/>
        <v>0</v>
      </c>
      <c r="DM357" s="1989" t="e">
        <f>#REF!/10^7</f>
        <v>#REF!</v>
      </c>
      <c r="DN357" s="2003">
        <f t="shared" si="758"/>
        <v>0</v>
      </c>
      <c r="DO357" s="1989" t="e">
        <f>#REF!/10^7</f>
        <v>#REF!</v>
      </c>
      <c r="DP357" s="2003">
        <f t="shared" si="759"/>
        <v>0</v>
      </c>
      <c r="DQ357" s="1989" t="e">
        <f>#REF!/10^7</f>
        <v>#REF!</v>
      </c>
      <c r="DR357" s="1989" t="e">
        <f>#REF!/10^7</f>
        <v>#REF!</v>
      </c>
      <c r="DS357" s="2002" t="e">
        <f t="shared" si="760"/>
        <v>#REF!</v>
      </c>
      <c r="DT357" s="2004" t="e">
        <f t="shared" ref="DT357:DT365" si="803">DM357+DO357+DQ357+DR357</f>
        <v>#REF!</v>
      </c>
      <c r="DU357" s="1988" t="e">
        <f>#REF!</f>
        <v>#REF!</v>
      </c>
      <c r="DV357" s="2003">
        <f t="shared" si="761"/>
        <v>0</v>
      </c>
      <c r="DW357" s="1989" t="e">
        <f>#REF!/10^7</f>
        <v>#REF!</v>
      </c>
      <c r="DX357" s="2003">
        <f t="shared" si="762"/>
        <v>0</v>
      </c>
      <c r="DY357" s="1989" t="e">
        <f>#REF!/10^7</f>
        <v>#REF!</v>
      </c>
      <c r="DZ357" s="2003">
        <f t="shared" si="763"/>
        <v>0</v>
      </c>
      <c r="EA357" s="1989" t="e">
        <f>#REF!/10^7</f>
        <v>#REF!</v>
      </c>
      <c r="EB357" s="1989" t="e">
        <f>#REF!/10^7</f>
        <v>#REF!</v>
      </c>
      <c r="EC357" s="2002" t="e">
        <f t="shared" si="764"/>
        <v>#REF!</v>
      </c>
      <c r="ED357" s="1998" t="e">
        <f t="shared" ref="ED357:ED365" si="804">DW357+DY357+EA357+EB357</f>
        <v>#REF!</v>
      </c>
      <c r="EE357" s="2030" t="e">
        <f>O357+Y357+AI357+AS357+BC357+BM357+BW357+CG357+CQ357+DA357+DK357+DU357</f>
        <v>#REF!</v>
      </c>
      <c r="EF357" s="2003">
        <f t="shared" si="766"/>
        <v>0</v>
      </c>
      <c r="EG357" s="1989" t="e">
        <f t="shared" ref="EG357:EG365" si="805">Q357+AA357+AK357+AU357+BE357+BO357+BY357+CI357+CS357+DC357+DM357+DW357</f>
        <v>#REF!</v>
      </c>
      <c r="EH357" s="2003">
        <f t="shared" si="767"/>
        <v>0</v>
      </c>
      <c r="EI357" s="1989" t="e">
        <f t="shared" ref="EI357:EI365" si="806">S357+AC357+AM357+AW357+BG357+BQ357+CA357+CK357+CU357+DE357+DO357+DY357</f>
        <v>#REF!</v>
      </c>
      <c r="EJ357" s="2003">
        <f t="shared" si="768"/>
        <v>0</v>
      </c>
      <c r="EK357" s="1989" t="e">
        <f t="shared" ref="EK357:EL365" si="807">U357+AE357+AO357+AY357+BI357+BS357+CC357+CM357+CW357+DG357+DQ357+EA357</f>
        <v>#REF!</v>
      </c>
      <c r="EL357" s="1989" t="e">
        <f t="shared" si="807"/>
        <v>#REF!</v>
      </c>
      <c r="EM357" s="2006" t="e">
        <f t="shared" si="769"/>
        <v>#REF!</v>
      </c>
      <c r="EN357" s="1999" t="e">
        <f>EG357+EI357+EK357+EL357</f>
        <v>#REF!</v>
      </c>
      <c r="EP357" s="1613" t="e">
        <f>EA357-#REF!/10^7</f>
        <v>#REF!</v>
      </c>
      <c r="EW357" s="1611" t="e">
        <v>#N/A</v>
      </c>
      <c r="EX357" s="1612">
        <v>0</v>
      </c>
      <c r="EZ357" s="1650">
        <f t="shared" si="771"/>
        <v>0</v>
      </c>
    </row>
    <row r="358" spans="1:156" ht="21" customHeight="1">
      <c r="A358" s="1652" t="s">
        <v>2001</v>
      </c>
      <c r="B358" s="1704" t="s">
        <v>2002</v>
      </c>
      <c r="C358" s="1662"/>
      <c r="D358" s="1646" t="e">
        <f t="shared" si="792"/>
        <v>#DIV/0!</v>
      </c>
      <c r="E358" s="1646"/>
      <c r="F358" s="1648"/>
      <c r="G358" s="1648"/>
      <c r="H358" s="1648"/>
      <c r="I358" s="1648"/>
      <c r="J358" s="1705">
        <v>2</v>
      </c>
      <c r="K358" s="1648"/>
      <c r="L358" s="1648"/>
      <c r="M358" s="1648"/>
      <c r="N358" s="1642"/>
      <c r="O358" s="2000" t="e">
        <f>#REF!</f>
        <v>#REF!</v>
      </c>
      <c r="P358" s="2003">
        <f t="shared" si="717"/>
        <v>0</v>
      </c>
      <c r="Q358" s="1989" t="e">
        <f>#REF!/10^7</f>
        <v>#REF!</v>
      </c>
      <c r="R358" s="2003">
        <f t="shared" si="718"/>
        <v>0</v>
      </c>
      <c r="S358" s="1989" t="e">
        <f>#REF!/10^7</f>
        <v>#REF!</v>
      </c>
      <c r="T358" s="2003">
        <f t="shared" si="719"/>
        <v>0</v>
      </c>
      <c r="U358" s="1989" t="e">
        <f>#REF!/10^7</f>
        <v>#REF!</v>
      </c>
      <c r="V358" s="1989" t="e">
        <f>#REF!/10^7</f>
        <v>#REF!</v>
      </c>
      <c r="W358" s="1989">
        <f t="shared" si="720"/>
        <v>0</v>
      </c>
      <c r="X358" s="1999" t="e">
        <f t="shared" si="793"/>
        <v>#REF!</v>
      </c>
      <c r="Y358" s="1993" t="e">
        <f>#REF!</f>
        <v>#REF!</v>
      </c>
      <c r="Z358" s="2003">
        <f t="shared" si="721"/>
        <v>0</v>
      </c>
      <c r="AA358" s="1989" t="e">
        <f>#REF!/10^7</f>
        <v>#REF!</v>
      </c>
      <c r="AB358" s="2003">
        <f t="shared" si="722"/>
        <v>0</v>
      </c>
      <c r="AC358" s="1989" t="e">
        <f>#REF!/10^7</f>
        <v>#REF!</v>
      </c>
      <c r="AD358" s="2003">
        <f t="shared" si="723"/>
        <v>0</v>
      </c>
      <c r="AE358" s="1989" t="e">
        <f>#REF!/10^7</f>
        <v>#REF!</v>
      </c>
      <c r="AF358" s="1989" t="e">
        <f>#REF!/10^7</f>
        <v>#REF!</v>
      </c>
      <c r="AG358" s="2002" t="e">
        <f t="shared" si="724"/>
        <v>#REF!</v>
      </c>
      <c r="AH358" s="1999" t="e">
        <f t="shared" si="794"/>
        <v>#REF!</v>
      </c>
      <c r="AI358" s="1993" t="e">
        <f>#REF!</f>
        <v>#REF!</v>
      </c>
      <c r="AJ358" s="2003">
        <f t="shared" si="725"/>
        <v>0</v>
      </c>
      <c r="AK358" s="1989" t="e">
        <f>#REF!/10^7</f>
        <v>#REF!</v>
      </c>
      <c r="AL358" s="2003">
        <f t="shared" si="726"/>
        <v>0</v>
      </c>
      <c r="AM358" s="1989" t="e">
        <f>#REF!/10^7</f>
        <v>#REF!</v>
      </c>
      <c r="AN358" s="2003">
        <f t="shared" si="727"/>
        <v>0</v>
      </c>
      <c r="AO358" s="1989" t="e">
        <f>#REF!/10^7</f>
        <v>#REF!</v>
      </c>
      <c r="AP358" s="1989" t="e">
        <f>#REF!/10^7</f>
        <v>#REF!</v>
      </c>
      <c r="AQ358" s="2002" t="e">
        <f t="shared" si="728"/>
        <v>#REF!</v>
      </c>
      <c r="AR358" s="1999" t="e">
        <f t="shared" si="795"/>
        <v>#REF!</v>
      </c>
      <c r="AS358" s="1993" t="e">
        <f>#REF!</f>
        <v>#REF!</v>
      </c>
      <c r="AT358" s="2003">
        <f t="shared" si="729"/>
        <v>0</v>
      </c>
      <c r="AU358" s="1989" t="e">
        <f>#REF!/10^7</f>
        <v>#REF!</v>
      </c>
      <c r="AV358" s="2003">
        <f t="shared" si="730"/>
        <v>0</v>
      </c>
      <c r="AW358" s="1989" t="e">
        <f>#REF!/10^7</f>
        <v>#REF!</v>
      </c>
      <c r="AX358" s="2003">
        <f t="shared" si="731"/>
        <v>0</v>
      </c>
      <c r="AY358" s="1989" t="e">
        <f>#REF!/10^7</f>
        <v>#REF!</v>
      </c>
      <c r="AZ358" s="1989" t="e">
        <f>#REF!/10^7</f>
        <v>#REF!</v>
      </c>
      <c r="BA358" s="2002" t="e">
        <f t="shared" si="732"/>
        <v>#REF!</v>
      </c>
      <c r="BB358" s="1999" t="e">
        <f t="shared" si="796"/>
        <v>#REF!</v>
      </c>
      <c r="BC358" s="1993" t="e">
        <f>#REF!</f>
        <v>#REF!</v>
      </c>
      <c r="BD358" s="2003">
        <f t="shared" si="733"/>
        <v>0</v>
      </c>
      <c r="BE358" s="1989" t="e">
        <f>#REF!/10^7</f>
        <v>#REF!</v>
      </c>
      <c r="BF358" s="2003">
        <f t="shared" si="734"/>
        <v>0</v>
      </c>
      <c r="BG358" s="1989" t="e">
        <f>#REF!/10^7</f>
        <v>#REF!</v>
      </c>
      <c r="BH358" s="2003">
        <f t="shared" si="735"/>
        <v>0</v>
      </c>
      <c r="BI358" s="1989" t="e">
        <f>#REF!/10^7</f>
        <v>#REF!</v>
      </c>
      <c r="BJ358" s="1989" t="e">
        <f>#REF!/10^7</f>
        <v>#REF!</v>
      </c>
      <c r="BK358" s="2002" t="e">
        <f t="shared" si="736"/>
        <v>#REF!</v>
      </c>
      <c r="BL358" s="1999" t="e">
        <f t="shared" si="797"/>
        <v>#REF!</v>
      </c>
      <c r="BM358" s="1993" t="e">
        <f>#REF!</f>
        <v>#REF!</v>
      </c>
      <c r="BN358" s="2003">
        <f t="shared" si="737"/>
        <v>0</v>
      </c>
      <c r="BO358" s="1989" t="e">
        <f>#REF!/10^7</f>
        <v>#REF!</v>
      </c>
      <c r="BP358" s="2003">
        <f t="shared" si="738"/>
        <v>0</v>
      </c>
      <c r="BQ358" s="1989" t="e">
        <f>#REF!/10^7</f>
        <v>#REF!</v>
      </c>
      <c r="BR358" s="2003">
        <f t="shared" si="739"/>
        <v>0</v>
      </c>
      <c r="BS358" s="1989" t="e">
        <f>#REF!/10^7</f>
        <v>#REF!</v>
      </c>
      <c r="BT358" s="1989" t="e">
        <f>#REF!/10^7</f>
        <v>#REF!</v>
      </c>
      <c r="BU358" s="2002" t="e">
        <f t="shared" si="740"/>
        <v>#REF!</v>
      </c>
      <c r="BV358" s="1999" t="e">
        <f t="shared" si="798"/>
        <v>#REF!</v>
      </c>
      <c r="BW358" s="1993" t="e">
        <f>#REF!</f>
        <v>#REF!</v>
      </c>
      <c r="BX358" s="2003">
        <f t="shared" si="741"/>
        <v>0</v>
      </c>
      <c r="BY358" s="1989" t="e">
        <f>#REF!/10^7</f>
        <v>#REF!</v>
      </c>
      <c r="BZ358" s="2003">
        <f t="shared" si="742"/>
        <v>0</v>
      </c>
      <c r="CA358" s="1989" t="e">
        <f>#REF!/10^7</f>
        <v>#REF!</v>
      </c>
      <c r="CB358" s="2003">
        <f t="shared" si="743"/>
        <v>0</v>
      </c>
      <c r="CC358" s="1989" t="e">
        <f>#REF!/10^7</f>
        <v>#REF!</v>
      </c>
      <c r="CD358" s="1989" t="e">
        <f>#REF!/10^7</f>
        <v>#REF!</v>
      </c>
      <c r="CE358" s="2002" t="e">
        <f t="shared" si="744"/>
        <v>#REF!</v>
      </c>
      <c r="CF358" s="1999" t="e">
        <f t="shared" si="799"/>
        <v>#REF!</v>
      </c>
      <c r="CG358" s="1993" t="e">
        <f>#REF!</f>
        <v>#REF!</v>
      </c>
      <c r="CH358" s="2003">
        <f t="shared" si="745"/>
        <v>0</v>
      </c>
      <c r="CI358" s="1989" t="e">
        <f>#REF!/10^7</f>
        <v>#REF!</v>
      </c>
      <c r="CJ358" s="2003">
        <f t="shared" si="746"/>
        <v>0</v>
      </c>
      <c r="CK358" s="1989" t="e">
        <f>#REF!/10^7</f>
        <v>#REF!</v>
      </c>
      <c r="CL358" s="2003">
        <f t="shared" si="747"/>
        <v>0</v>
      </c>
      <c r="CM358" s="1989" t="e">
        <f>#REF!/10^7</f>
        <v>#REF!</v>
      </c>
      <c r="CN358" s="1989" t="e">
        <f>#REF!/10^7</f>
        <v>#REF!</v>
      </c>
      <c r="CO358" s="2002" t="e">
        <f t="shared" si="748"/>
        <v>#REF!</v>
      </c>
      <c r="CP358" s="1999" t="e">
        <f t="shared" si="800"/>
        <v>#REF!</v>
      </c>
      <c r="CQ358" s="1993" t="e">
        <f>#REF!</f>
        <v>#REF!</v>
      </c>
      <c r="CR358" s="2003">
        <f t="shared" si="749"/>
        <v>0</v>
      </c>
      <c r="CS358" s="1989" t="e">
        <f>#REF!/10^7</f>
        <v>#REF!</v>
      </c>
      <c r="CT358" s="2003">
        <f t="shared" si="750"/>
        <v>0</v>
      </c>
      <c r="CU358" s="1989" t="e">
        <f>#REF!/10^7</f>
        <v>#REF!</v>
      </c>
      <c r="CV358" s="2003">
        <f t="shared" si="751"/>
        <v>0</v>
      </c>
      <c r="CW358" s="1989" t="e">
        <f>#REF!/10^7</f>
        <v>#REF!</v>
      </c>
      <c r="CX358" s="1989" t="e">
        <f>#REF!/10^7</f>
        <v>#REF!</v>
      </c>
      <c r="CY358" s="2002" t="e">
        <f t="shared" si="752"/>
        <v>#REF!</v>
      </c>
      <c r="CZ358" s="1999" t="e">
        <f t="shared" si="801"/>
        <v>#REF!</v>
      </c>
      <c r="DA358" s="1993" t="e">
        <f>#REF!</f>
        <v>#REF!</v>
      </c>
      <c r="DB358" s="2003">
        <f t="shared" si="753"/>
        <v>0</v>
      </c>
      <c r="DC358" s="1989" t="e">
        <f>#REF!/10^7</f>
        <v>#REF!</v>
      </c>
      <c r="DD358" s="2003">
        <f t="shared" si="754"/>
        <v>0</v>
      </c>
      <c r="DE358" s="1989" t="e">
        <f>#REF!/10^7</f>
        <v>#REF!</v>
      </c>
      <c r="DF358" s="2003">
        <f t="shared" si="755"/>
        <v>0</v>
      </c>
      <c r="DG358" s="1989" t="e">
        <f>#REF!/10^7</f>
        <v>#REF!</v>
      </c>
      <c r="DH358" s="1989" t="e">
        <f>#REF!/10^7</f>
        <v>#REF!</v>
      </c>
      <c r="DI358" s="2002" t="e">
        <f t="shared" si="756"/>
        <v>#REF!</v>
      </c>
      <c r="DJ358" s="1999" t="e">
        <f t="shared" si="802"/>
        <v>#REF!</v>
      </c>
      <c r="DK358" s="1993" t="e">
        <f>#REF!</f>
        <v>#REF!</v>
      </c>
      <c r="DL358" s="2003">
        <f t="shared" si="757"/>
        <v>0</v>
      </c>
      <c r="DM358" s="1989" t="e">
        <f>#REF!/10^7</f>
        <v>#REF!</v>
      </c>
      <c r="DN358" s="2003">
        <f t="shared" si="758"/>
        <v>0</v>
      </c>
      <c r="DO358" s="1989" t="e">
        <f>#REF!/10^7</f>
        <v>#REF!</v>
      </c>
      <c r="DP358" s="2003">
        <f t="shared" si="759"/>
        <v>0</v>
      </c>
      <c r="DQ358" s="1989" t="e">
        <f>#REF!/10^7</f>
        <v>#REF!</v>
      </c>
      <c r="DR358" s="1989" t="e">
        <f>#REF!/10^7</f>
        <v>#REF!</v>
      </c>
      <c r="DS358" s="2002" t="e">
        <f t="shared" si="760"/>
        <v>#REF!</v>
      </c>
      <c r="DT358" s="2004" t="e">
        <f t="shared" si="803"/>
        <v>#REF!</v>
      </c>
      <c r="DU358" s="1988" t="e">
        <f>#REF!</f>
        <v>#REF!</v>
      </c>
      <c r="DV358" s="2003">
        <f t="shared" si="761"/>
        <v>0</v>
      </c>
      <c r="DW358" s="1989" t="e">
        <f>#REF!/10^7</f>
        <v>#REF!</v>
      </c>
      <c r="DX358" s="2003">
        <f t="shared" si="762"/>
        <v>0</v>
      </c>
      <c r="DY358" s="1989" t="e">
        <f>#REF!/10^7</f>
        <v>#REF!</v>
      </c>
      <c r="DZ358" s="2003">
        <f t="shared" si="763"/>
        <v>0</v>
      </c>
      <c r="EA358" s="1989" t="e">
        <f>#REF!/10^7</f>
        <v>#REF!</v>
      </c>
      <c r="EB358" s="1989" t="e">
        <f>#REF!/10^7</f>
        <v>#REF!</v>
      </c>
      <c r="EC358" s="2002" t="e">
        <f t="shared" si="764"/>
        <v>#REF!</v>
      </c>
      <c r="ED358" s="1998" t="e">
        <f t="shared" si="804"/>
        <v>#REF!</v>
      </c>
      <c r="EE358" s="2030" t="e">
        <f t="shared" ref="EE358:EE365" si="808">O358+Y358+AI358+AS358+BC358+BM358+BW358+CG358+CQ358+DA358+DK358+DU358</f>
        <v>#REF!</v>
      </c>
      <c r="EF358" s="2003">
        <f t="shared" si="766"/>
        <v>0</v>
      </c>
      <c r="EG358" s="1989" t="e">
        <f t="shared" si="805"/>
        <v>#REF!</v>
      </c>
      <c r="EH358" s="2003">
        <f t="shared" si="767"/>
        <v>0</v>
      </c>
      <c r="EI358" s="1989" t="e">
        <f t="shared" si="806"/>
        <v>#REF!</v>
      </c>
      <c r="EJ358" s="2003">
        <f t="shared" si="768"/>
        <v>0</v>
      </c>
      <c r="EK358" s="1989" t="e">
        <f t="shared" si="807"/>
        <v>#REF!</v>
      </c>
      <c r="EL358" s="1989" t="e">
        <f t="shared" si="807"/>
        <v>#REF!</v>
      </c>
      <c r="EM358" s="2006" t="e">
        <f t="shared" si="769"/>
        <v>#REF!</v>
      </c>
      <c r="EN358" s="1999" t="e">
        <f t="shared" ref="EN358:EN365" si="809">EG358+EI358+EK358+EL358</f>
        <v>#REF!</v>
      </c>
      <c r="EP358" s="1613" t="e">
        <f>EA358-#REF!/10^7</f>
        <v>#REF!</v>
      </c>
      <c r="EW358" s="1611" t="e">
        <v>#N/A</v>
      </c>
      <c r="EX358" s="1612" t="e">
        <v>#N/A</v>
      </c>
      <c r="EZ358" s="1650">
        <f t="shared" si="771"/>
        <v>0</v>
      </c>
    </row>
    <row r="359" spans="1:156" ht="31.15" customHeight="1">
      <c r="A359" s="1652" t="s">
        <v>140</v>
      </c>
      <c r="B359" s="1704" t="s">
        <v>2003</v>
      </c>
      <c r="C359" s="1662"/>
      <c r="D359" s="1646" t="e">
        <f t="shared" si="792"/>
        <v>#DIV/0!</v>
      </c>
      <c r="E359" s="1646"/>
      <c r="F359" s="1648"/>
      <c r="G359" s="1648"/>
      <c r="H359" s="1648"/>
      <c r="I359" s="1648"/>
      <c r="J359" s="1663"/>
      <c r="K359" s="1648"/>
      <c r="L359" s="1648"/>
      <c r="M359" s="1648"/>
      <c r="N359" s="1642"/>
      <c r="O359" s="2000" t="e">
        <f>#REF!</f>
        <v>#REF!</v>
      </c>
      <c r="P359" s="2003">
        <f t="shared" si="717"/>
        <v>0</v>
      </c>
      <c r="Q359" s="1989" t="e">
        <f>#REF!/10^7</f>
        <v>#REF!</v>
      </c>
      <c r="R359" s="2003">
        <f t="shared" si="718"/>
        <v>0</v>
      </c>
      <c r="S359" s="1989" t="e">
        <f>#REF!/10^7</f>
        <v>#REF!</v>
      </c>
      <c r="T359" s="2003">
        <f t="shared" si="719"/>
        <v>0</v>
      </c>
      <c r="U359" s="1989" t="e">
        <f>#REF!/10^7</f>
        <v>#REF!</v>
      </c>
      <c r="V359" s="1989" t="e">
        <f>#REF!/10^7</f>
        <v>#REF!</v>
      </c>
      <c r="W359" s="1989">
        <f t="shared" si="720"/>
        <v>0</v>
      </c>
      <c r="X359" s="1999" t="e">
        <f t="shared" si="793"/>
        <v>#REF!</v>
      </c>
      <c r="Y359" s="1993" t="e">
        <f>#REF!</f>
        <v>#REF!</v>
      </c>
      <c r="Z359" s="2003">
        <f t="shared" si="721"/>
        <v>0</v>
      </c>
      <c r="AA359" s="1989" t="e">
        <f>#REF!/10^7</f>
        <v>#REF!</v>
      </c>
      <c r="AB359" s="2003">
        <f t="shared" si="722"/>
        <v>0</v>
      </c>
      <c r="AC359" s="1989" t="e">
        <f>#REF!/10^7</f>
        <v>#REF!</v>
      </c>
      <c r="AD359" s="2003">
        <f t="shared" si="723"/>
        <v>0</v>
      </c>
      <c r="AE359" s="1989" t="e">
        <f>#REF!/10^7</f>
        <v>#REF!</v>
      </c>
      <c r="AF359" s="1989" t="e">
        <f>#REF!/10^7</f>
        <v>#REF!</v>
      </c>
      <c r="AG359" s="2002" t="e">
        <f t="shared" si="724"/>
        <v>#REF!</v>
      </c>
      <c r="AH359" s="1999" t="e">
        <f t="shared" si="794"/>
        <v>#REF!</v>
      </c>
      <c r="AI359" s="1993" t="e">
        <f>#REF!</f>
        <v>#REF!</v>
      </c>
      <c r="AJ359" s="2003">
        <f t="shared" si="725"/>
        <v>0</v>
      </c>
      <c r="AK359" s="1989" t="e">
        <f>#REF!/10^7</f>
        <v>#REF!</v>
      </c>
      <c r="AL359" s="2003">
        <f t="shared" si="726"/>
        <v>0</v>
      </c>
      <c r="AM359" s="1989" t="e">
        <f>#REF!/10^7</f>
        <v>#REF!</v>
      </c>
      <c r="AN359" s="2003">
        <f t="shared" si="727"/>
        <v>0</v>
      </c>
      <c r="AO359" s="1989" t="e">
        <f>#REF!/10^7</f>
        <v>#REF!</v>
      </c>
      <c r="AP359" s="1989" t="e">
        <f>#REF!/10^7</f>
        <v>#REF!</v>
      </c>
      <c r="AQ359" s="2002" t="e">
        <f t="shared" si="728"/>
        <v>#REF!</v>
      </c>
      <c r="AR359" s="1999" t="e">
        <f t="shared" si="795"/>
        <v>#REF!</v>
      </c>
      <c r="AS359" s="1993" t="e">
        <f>#REF!</f>
        <v>#REF!</v>
      </c>
      <c r="AT359" s="2003">
        <f t="shared" si="729"/>
        <v>0</v>
      </c>
      <c r="AU359" s="1989" t="e">
        <f>#REF!/10^7</f>
        <v>#REF!</v>
      </c>
      <c r="AV359" s="2003">
        <f t="shared" si="730"/>
        <v>0</v>
      </c>
      <c r="AW359" s="1989" t="e">
        <f>#REF!/10^7</f>
        <v>#REF!</v>
      </c>
      <c r="AX359" s="2003">
        <f t="shared" si="731"/>
        <v>0</v>
      </c>
      <c r="AY359" s="1989" t="e">
        <f>#REF!/10^7</f>
        <v>#REF!</v>
      </c>
      <c r="AZ359" s="1989" t="e">
        <f>#REF!/10^7</f>
        <v>#REF!</v>
      </c>
      <c r="BA359" s="2002" t="e">
        <f t="shared" si="732"/>
        <v>#REF!</v>
      </c>
      <c r="BB359" s="1999" t="e">
        <f t="shared" si="796"/>
        <v>#REF!</v>
      </c>
      <c r="BC359" s="1993" t="e">
        <f>#REF!</f>
        <v>#REF!</v>
      </c>
      <c r="BD359" s="2003">
        <f t="shared" si="733"/>
        <v>0</v>
      </c>
      <c r="BE359" s="1989" t="e">
        <f>#REF!/10^7</f>
        <v>#REF!</v>
      </c>
      <c r="BF359" s="2003">
        <f t="shared" si="734"/>
        <v>0</v>
      </c>
      <c r="BG359" s="1989" t="e">
        <f>#REF!/10^7</f>
        <v>#REF!</v>
      </c>
      <c r="BH359" s="2003">
        <f t="shared" si="735"/>
        <v>0</v>
      </c>
      <c r="BI359" s="1989" t="e">
        <f>#REF!/10^7</f>
        <v>#REF!</v>
      </c>
      <c r="BJ359" s="1989" t="e">
        <f>#REF!/10^7</f>
        <v>#REF!</v>
      </c>
      <c r="BK359" s="2002" t="e">
        <f t="shared" si="736"/>
        <v>#REF!</v>
      </c>
      <c r="BL359" s="1999" t="e">
        <f t="shared" si="797"/>
        <v>#REF!</v>
      </c>
      <c r="BM359" s="1993" t="e">
        <f>#REF!</f>
        <v>#REF!</v>
      </c>
      <c r="BN359" s="2003">
        <f t="shared" si="737"/>
        <v>0</v>
      </c>
      <c r="BO359" s="1989" t="e">
        <f>#REF!/10^7</f>
        <v>#REF!</v>
      </c>
      <c r="BP359" s="2003">
        <f t="shared" si="738"/>
        <v>0</v>
      </c>
      <c r="BQ359" s="1989" t="e">
        <f>#REF!/10^7</f>
        <v>#REF!</v>
      </c>
      <c r="BR359" s="2003">
        <f t="shared" si="739"/>
        <v>0</v>
      </c>
      <c r="BS359" s="1989" t="e">
        <f>#REF!/10^7</f>
        <v>#REF!</v>
      </c>
      <c r="BT359" s="1989" t="e">
        <f>#REF!/10^7</f>
        <v>#REF!</v>
      </c>
      <c r="BU359" s="2002" t="e">
        <f t="shared" si="740"/>
        <v>#REF!</v>
      </c>
      <c r="BV359" s="1999" t="e">
        <f t="shared" si="798"/>
        <v>#REF!</v>
      </c>
      <c r="BW359" s="1993" t="e">
        <f>#REF!</f>
        <v>#REF!</v>
      </c>
      <c r="BX359" s="2003">
        <f t="shared" si="741"/>
        <v>0</v>
      </c>
      <c r="BY359" s="1989" t="e">
        <f>#REF!/10^7</f>
        <v>#REF!</v>
      </c>
      <c r="BZ359" s="2003">
        <f t="shared" si="742"/>
        <v>0</v>
      </c>
      <c r="CA359" s="1989" t="e">
        <f>#REF!/10^7</f>
        <v>#REF!</v>
      </c>
      <c r="CB359" s="2003">
        <f t="shared" si="743"/>
        <v>0</v>
      </c>
      <c r="CC359" s="1989" t="e">
        <f>#REF!/10^7</f>
        <v>#REF!</v>
      </c>
      <c r="CD359" s="1989" t="e">
        <f>#REF!/10^7</f>
        <v>#REF!</v>
      </c>
      <c r="CE359" s="2002" t="e">
        <f t="shared" si="744"/>
        <v>#REF!</v>
      </c>
      <c r="CF359" s="1999" t="e">
        <f t="shared" si="799"/>
        <v>#REF!</v>
      </c>
      <c r="CG359" s="1993" t="e">
        <f>#REF!</f>
        <v>#REF!</v>
      </c>
      <c r="CH359" s="2003">
        <f t="shared" si="745"/>
        <v>0</v>
      </c>
      <c r="CI359" s="1989" t="e">
        <f>#REF!/10^7</f>
        <v>#REF!</v>
      </c>
      <c r="CJ359" s="2003">
        <f t="shared" si="746"/>
        <v>0</v>
      </c>
      <c r="CK359" s="1989" t="e">
        <f>#REF!/10^7</f>
        <v>#REF!</v>
      </c>
      <c r="CL359" s="2003">
        <f t="shared" si="747"/>
        <v>0</v>
      </c>
      <c r="CM359" s="1989" t="e">
        <f>#REF!/10^7</f>
        <v>#REF!</v>
      </c>
      <c r="CN359" s="1989" t="e">
        <f>#REF!/10^7</f>
        <v>#REF!</v>
      </c>
      <c r="CO359" s="2002" t="e">
        <f t="shared" si="748"/>
        <v>#REF!</v>
      </c>
      <c r="CP359" s="1999" t="e">
        <f t="shared" si="800"/>
        <v>#REF!</v>
      </c>
      <c r="CQ359" s="1993" t="e">
        <f>#REF!</f>
        <v>#REF!</v>
      </c>
      <c r="CR359" s="2003">
        <f t="shared" si="749"/>
        <v>0</v>
      </c>
      <c r="CS359" s="1989" t="e">
        <f>#REF!/10^7</f>
        <v>#REF!</v>
      </c>
      <c r="CT359" s="2003">
        <f t="shared" si="750"/>
        <v>0</v>
      </c>
      <c r="CU359" s="1989" t="e">
        <f>#REF!/10^7</f>
        <v>#REF!</v>
      </c>
      <c r="CV359" s="2003">
        <f t="shared" si="751"/>
        <v>0</v>
      </c>
      <c r="CW359" s="1989" t="e">
        <f>#REF!/10^7</f>
        <v>#REF!</v>
      </c>
      <c r="CX359" s="1989" t="e">
        <f>#REF!/10^7</f>
        <v>#REF!</v>
      </c>
      <c r="CY359" s="2002" t="e">
        <f t="shared" si="752"/>
        <v>#REF!</v>
      </c>
      <c r="CZ359" s="1999" t="e">
        <f t="shared" si="801"/>
        <v>#REF!</v>
      </c>
      <c r="DA359" s="1993" t="e">
        <f>#REF!</f>
        <v>#REF!</v>
      </c>
      <c r="DB359" s="2003">
        <f t="shared" si="753"/>
        <v>0</v>
      </c>
      <c r="DC359" s="1989" t="e">
        <f>#REF!/10^7</f>
        <v>#REF!</v>
      </c>
      <c r="DD359" s="2003">
        <f t="shared" si="754"/>
        <v>0</v>
      </c>
      <c r="DE359" s="1989" t="e">
        <f>#REF!/10^7</f>
        <v>#REF!</v>
      </c>
      <c r="DF359" s="2003">
        <f t="shared" si="755"/>
        <v>0</v>
      </c>
      <c r="DG359" s="1989" t="e">
        <f>#REF!/10^7</f>
        <v>#REF!</v>
      </c>
      <c r="DH359" s="1989" t="e">
        <f>#REF!/10^7</f>
        <v>#REF!</v>
      </c>
      <c r="DI359" s="2002" t="e">
        <f t="shared" si="756"/>
        <v>#REF!</v>
      </c>
      <c r="DJ359" s="1999" t="e">
        <f t="shared" si="802"/>
        <v>#REF!</v>
      </c>
      <c r="DK359" s="1993" t="e">
        <f>#REF!</f>
        <v>#REF!</v>
      </c>
      <c r="DL359" s="2003">
        <f t="shared" si="757"/>
        <v>0</v>
      </c>
      <c r="DM359" s="1989" t="e">
        <f>#REF!/10^7</f>
        <v>#REF!</v>
      </c>
      <c r="DN359" s="2003">
        <f t="shared" si="758"/>
        <v>0</v>
      </c>
      <c r="DO359" s="1989" t="e">
        <f>#REF!/10^7</f>
        <v>#REF!</v>
      </c>
      <c r="DP359" s="2003">
        <f t="shared" si="759"/>
        <v>0</v>
      </c>
      <c r="DQ359" s="1989" t="e">
        <f>#REF!/10^7</f>
        <v>#REF!</v>
      </c>
      <c r="DR359" s="1989" t="e">
        <f>#REF!/10^7</f>
        <v>#REF!</v>
      </c>
      <c r="DS359" s="2002" t="e">
        <f t="shared" si="760"/>
        <v>#REF!</v>
      </c>
      <c r="DT359" s="2004" t="e">
        <f t="shared" si="803"/>
        <v>#REF!</v>
      </c>
      <c r="DU359" s="1988" t="e">
        <f>#REF!</f>
        <v>#REF!</v>
      </c>
      <c r="DV359" s="2003">
        <f t="shared" si="761"/>
        <v>0</v>
      </c>
      <c r="DW359" s="1989" t="e">
        <f>#REF!/10^7</f>
        <v>#REF!</v>
      </c>
      <c r="DX359" s="2003">
        <f t="shared" si="762"/>
        <v>0</v>
      </c>
      <c r="DY359" s="1989" t="e">
        <f>#REF!/10^7</f>
        <v>#REF!</v>
      </c>
      <c r="DZ359" s="2003">
        <f t="shared" si="763"/>
        <v>0</v>
      </c>
      <c r="EA359" s="1989" t="e">
        <f>#REF!/10^7</f>
        <v>#REF!</v>
      </c>
      <c r="EB359" s="1989" t="e">
        <f>#REF!/10^7</f>
        <v>#REF!</v>
      </c>
      <c r="EC359" s="2002" t="e">
        <f t="shared" si="764"/>
        <v>#REF!</v>
      </c>
      <c r="ED359" s="1998" t="e">
        <f t="shared" si="804"/>
        <v>#REF!</v>
      </c>
      <c r="EE359" s="2005" t="e">
        <f t="shared" si="808"/>
        <v>#REF!</v>
      </c>
      <c r="EF359" s="2003">
        <f t="shared" si="766"/>
        <v>0</v>
      </c>
      <c r="EG359" s="1989" t="e">
        <f t="shared" si="805"/>
        <v>#REF!</v>
      </c>
      <c r="EH359" s="2003">
        <f t="shared" si="767"/>
        <v>0</v>
      </c>
      <c r="EI359" s="1989" t="e">
        <f t="shared" si="806"/>
        <v>#REF!</v>
      </c>
      <c r="EJ359" s="2003">
        <f t="shared" si="768"/>
        <v>0</v>
      </c>
      <c r="EK359" s="1989" t="e">
        <f t="shared" si="807"/>
        <v>#REF!</v>
      </c>
      <c r="EL359" s="1989" t="e">
        <f t="shared" si="807"/>
        <v>#REF!</v>
      </c>
      <c r="EM359" s="2006" t="e">
        <f t="shared" si="769"/>
        <v>#REF!</v>
      </c>
      <c r="EN359" s="1999" t="e">
        <f t="shared" si="809"/>
        <v>#REF!</v>
      </c>
      <c r="EP359" s="1613" t="e">
        <f>EA359-#REF!/10^7</f>
        <v>#REF!</v>
      </c>
      <c r="EW359" s="1611" t="e">
        <v>#N/A</v>
      </c>
      <c r="EX359" s="1612" t="e">
        <v>#N/A</v>
      </c>
      <c r="EZ359" s="1650">
        <f t="shared" si="771"/>
        <v>0</v>
      </c>
    </row>
    <row r="360" spans="1:156" ht="21" customHeight="1">
      <c r="A360" s="1652" t="s">
        <v>220</v>
      </c>
      <c r="B360" s="1704" t="s">
        <v>2004</v>
      </c>
      <c r="C360" s="1662"/>
      <c r="D360" s="1646" t="e">
        <f t="shared" si="792"/>
        <v>#DIV/0!</v>
      </c>
      <c r="E360" s="1646"/>
      <c r="F360" s="1648"/>
      <c r="G360" s="1648"/>
      <c r="H360" s="1648"/>
      <c r="I360" s="1648"/>
      <c r="J360" s="1663"/>
      <c r="K360" s="1648"/>
      <c r="L360" s="1648"/>
      <c r="M360" s="1648"/>
      <c r="N360" s="1642"/>
      <c r="O360" s="2000" t="e">
        <f>#REF!</f>
        <v>#REF!</v>
      </c>
      <c r="P360" s="2003">
        <f t="shared" si="717"/>
        <v>0</v>
      </c>
      <c r="Q360" s="1989" t="e">
        <f>#REF!/10^7</f>
        <v>#REF!</v>
      </c>
      <c r="R360" s="2003">
        <f t="shared" si="718"/>
        <v>0</v>
      </c>
      <c r="S360" s="1989" t="e">
        <f>#REF!/10^7</f>
        <v>#REF!</v>
      </c>
      <c r="T360" s="2003">
        <f t="shared" si="719"/>
        <v>0</v>
      </c>
      <c r="U360" s="1989" t="e">
        <f>#REF!/10^7</f>
        <v>#REF!</v>
      </c>
      <c r="V360" s="1989" t="e">
        <f>#REF!/10^7</f>
        <v>#REF!</v>
      </c>
      <c r="W360" s="1989">
        <f t="shared" si="720"/>
        <v>0</v>
      </c>
      <c r="X360" s="1999" t="e">
        <f t="shared" si="793"/>
        <v>#REF!</v>
      </c>
      <c r="Y360" s="1993" t="e">
        <f>#REF!</f>
        <v>#REF!</v>
      </c>
      <c r="Z360" s="2003">
        <f t="shared" si="721"/>
        <v>0</v>
      </c>
      <c r="AA360" s="1989" t="e">
        <f>#REF!/10^7</f>
        <v>#REF!</v>
      </c>
      <c r="AB360" s="2003">
        <f t="shared" si="722"/>
        <v>0</v>
      </c>
      <c r="AC360" s="1989" t="e">
        <f>#REF!/10^7</f>
        <v>#REF!</v>
      </c>
      <c r="AD360" s="2003">
        <f t="shared" si="723"/>
        <v>0</v>
      </c>
      <c r="AE360" s="1989" t="e">
        <f>#REF!/10^7</f>
        <v>#REF!</v>
      </c>
      <c r="AF360" s="1989" t="e">
        <f>#REF!/10^7</f>
        <v>#REF!</v>
      </c>
      <c r="AG360" s="2002" t="e">
        <f t="shared" si="724"/>
        <v>#REF!</v>
      </c>
      <c r="AH360" s="1999" t="e">
        <f t="shared" si="794"/>
        <v>#REF!</v>
      </c>
      <c r="AI360" s="1993" t="e">
        <f>#REF!</f>
        <v>#REF!</v>
      </c>
      <c r="AJ360" s="2003">
        <f t="shared" si="725"/>
        <v>0</v>
      </c>
      <c r="AK360" s="1989" t="e">
        <f>#REF!/10^7</f>
        <v>#REF!</v>
      </c>
      <c r="AL360" s="2003">
        <f t="shared" si="726"/>
        <v>0</v>
      </c>
      <c r="AM360" s="1989" t="e">
        <f>#REF!/10^7</f>
        <v>#REF!</v>
      </c>
      <c r="AN360" s="2003">
        <f t="shared" si="727"/>
        <v>0</v>
      </c>
      <c r="AO360" s="1989" t="e">
        <f>#REF!/10^7</f>
        <v>#REF!</v>
      </c>
      <c r="AP360" s="1989" t="e">
        <f>#REF!/10^7</f>
        <v>#REF!</v>
      </c>
      <c r="AQ360" s="2002" t="e">
        <f t="shared" si="728"/>
        <v>#REF!</v>
      </c>
      <c r="AR360" s="1999" t="e">
        <f t="shared" si="795"/>
        <v>#REF!</v>
      </c>
      <c r="AS360" s="1993" t="e">
        <f>#REF!</f>
        <v>#REF!</v>
      </c>
      <c r="AT360" s="2003">
        <f t="shared" si="729"/>
        <v>0</v>
      </c>
      <c r="AU360" s="1989" t="e">
        <f>#REF!/10^7</f>
        <v>#REF!</v>
      </c>
      <c r="AV360" s="2003">
        <f t="shared" si="730"/>
        <v>0</v>
      </c>
      <c r="AW360" s="1989" t="e">
        <f>#REF!/10^7</f>
        <v>#REF!</v>
      </c>
      <c r="AX360" s="2003">
        <f t="shared" si="731"/>
        <v>0</v>
      </c>
      <c r="AY360" s="1989" t="e">
        <f>#REF!/10^7</f>
        <v>#REF!</v>
      </c>
      <c r="AZ360" s="1989" t="e">
        <f>#REF!/10^7</f>
        <v>#REF!</v>
      </c>
      <c r="BA360" s="2002" t="e">
        <f t="shared" si="732"/>
        <v>#REF!</v>
      </c>
      <c r="BB360" s="1999" t="e">
        <f t="shared" si="796"/>
        <v>#REF!</v>
      </c>
      <c r="BC360" s="1993" t="e">
        <f>#REF!</f>
        <v>#REF!</v>
      </c>
      <c r="BD360" s="2003">
        <f t="shared" si="733"/>
        <v>0</v>
      </c>
      <c r="BE360" s="1989" t="e">
        <f>#REF!/10^7</f>
        <v>#REF!</v>
      </c>
      <c r="BF360" s="2003">
        <f t="shared" si="734"/>
        <v>0</v>
      </c>
      <c r="BG360" s="1989" t="e">
        <f>#REF!/10^7</f>
        <v>#REF!</v>
      </c>
      <c r="BH360" s="2003">
        <f t="shared" si="735"/>
        <v>0</v>
      </c>
      <c r="BI360" s="1989" t="e">
        <f>#REF!/10^7</f>
        <v>#REF!</v>
      </c>
      <c r="BJ360" s="1989" t="e">
        <f>#REF!/10^7</f>
        <v>#REF!</v>
      </c>
      <c r="BK360" s="2002" t="e">
        <f t="shared" si="736"/>
        <v>#REF!</v>
      </c>
      <c r="BL360" s="1999" t="e">
        <f t="shared" si="797"/>
        <v>#REF!</v>
      </c>
      <c r="BM360" s="1993" t="e">
        <f>#REF!</f>
        <v>#REF!</v>
      </c>
      <c r="BN360" s="2003">
        <f t="shared" si="737"/>
        <v>0</v>
      </c>
      <c r="BO360" s="1989" t="e">
        <f>#REF!/10^7</f>
        <v>#REF!</v>
      </c>
      <c r="BP360" s="2003">
        <f t="shared" si="738"/>
        <v>0</v>
      </c>
      <c r="BQ360" s="1989" t="e">
        <f>#REF!/10^7</f>
        <v>#REF!</v>
      </c>
      <c r="BR360" s="2003">
        <f t="shared" si="739"/>
        <v>0</v>
      </c>
      <c r="BS360" s="1989" t="e">
        <f>#REF!/10^7</f>
        <v>#REF!</v>
      </c>
      <c r="BT360" s="1989" t="e">
        <f>#REF!/10^7</f>
        <v>#REF!</v>
      </c>
      <c r="BU360" s="2002" t="e">
        <f t="shared" si="740"/>
        <v>#REF!</v>
      </c>
      <c r="BV360" s="1999" t="e">
        <f t="shared" si="798"/>
        <v>#REF!</v>
      </c>
      <c r="BW360" s="1993" t="e">
        <f>#REF!</f>
        <v>#REF!</v>
      </c>
      <c r="BX360" s="2003">
        <f t="shared" si="741"/>
        <v>0</v>
      </c>
      <c r="BY360" s="1989" t="e">
        <f>#REF!/10^7</f>
        <v>#REF!</v>
      </c>
      <c r="BZ360" s="2003">
        <f t="shared" si="742"/>
        <v>0</v>
      </c>
      <c r="CA360" s="1989" t="e">
        <f>#REF!/10^7</f>
        <v>#REF!</v>
      </c>
      <c r="CB360" s="2003">
        <f t="shared" si="743"/>
        <v>0</v>
      </c>
      <c r="CC360" s="1989" t="e">
        <f>#REF!/10^7</f>
        <v>#REF!</v>
      </c>
      <c r="CD360" s="1989" t="e">
        <f>#REF!/10^7</f>
        <v>#REF!</v>
      </c>
      <c r="CE360" s="2002" t="e">
        <f t="shared" si="744"/>
        <v>#REF!</v>
      </c>
      <c r="CF360" s="1999" t="e">
        <f t="shared" si="799"/>
        <v>#REF!</v>
      </c>
      <c r="CG360" s="1993" t="e">
        <f>#REF!</f>
        <v>#REF!</v>
      </c>
      <c r="CH360" s="2003">
        <f t="shared" si="745"/>
        <v>0</v>
      </c>
      <c r="CI360" s="1989" t="e">
        <f>#REF!/10^7</f>
        <v>#REF!</v>
      </c>
      <c r="CJ360" s="2003">
        <f t="shared" si="746"/>
        <v>0</v>
      </c>
      <c r="CK360" s="1989" t="e">
        <f>#REF!/10^7</f>
        <v>#REF!</v>
      </c>
      <c r="CL360" s="2003">
        <f t="shared" si="747"/>
        <v>0</v>
      </c>
      <c r="CM360" s="1989" t="e">
        <f>#REF!/10^7</f>
        <v>#REF!</v>
      </c>
      <c r="CN360" s="1989" t="e">
        <f>#REF!/10^7</f>
        <v>#REF!</v>
      </c>
      <c r="CO360" s="2002" t="e">
        <f t="shared" si="748"/>
        <v>#REF!</v>
      </c>
      <c r="CP360" s="1999" t="e">
        <f t="shared" si="800"/>
        <v>#REF!</v>
      </c>
      <c r="CQ360" s="1993" t="e">
        <f>#REF!</f>
        <v>#REF!</v>
      </c>
      <c r="CR360" s="2003">
        <f t="shared" si="749"/>
        <v>0</v>
      </c>
      <c r="CS360" s="1989" t="e">
        <f>#REF!/10^7</f>
        <v>#REF!</v>
      </c>
      <c r="CT360" s="2003">
        <f t="shared" si="750"/>
        <v>0</v>
      </c>
      <c r="CU360" s="1989" t="e">
        <f>#REF!/10^7</f>
        <v>#REF!</v>
      </c>
      <c r="CV360" s="2003">
        <f t="shared" si="751"/>
        <v>0</v>
      </c>
      <c r="CW360" s="1989" t="e">
        <f>#REF!/10^7</f>
        <v>#REF!</v>
      </c>
      <c r="CX360" s="1989" t="e">
        <f>#REF!/10^7</f>
        <v>#REF!</v>
      </c>
      <c r="CY360" s="2002" t="e">
        <f t="shared" si="752"/>
        <v>#REF!</v>
      </c>
      <c r="CZ360" s="1999" t="e">
        <f t="shared" si="801"/>
        <v>#REF!</v>
      </c>
      <c r="DA360" s="1993" t="e">
        <f>#REF!</f>
        <v>#REF!</v>
      </c>
      <c r="DB360" s="2003">
        <f t="shared" si="753"/>
        <v>0</v>
      </c>
      <c r="DC360" s="1989" t="e">
        <f>#REF!/10^7</f>
        <v>#REF!</v>
      </c>
      <c r="DD360" s="2003">
        <f t="shared" si="754"/>
        <v>0</v>
      </c>
      <c r="DE360" s="1989" t="e">
        <f>#REF!/10^7</f>
        <v>#REF!</v>
      </c>
      <c r="DF360" s="2003">
        <f t="shared" si="755"/>
        <v>0</v>
      </c>
      <c r="DG360" s="1989" t="e">
        <f>#REF!/10^7</f>
        <v>#REF!</v>
      </c>
      <c r="DH360" s="1989" t="e">
        <f>#REF!/10^7</f>
        <v>#REF!</v>
      </c>
      <c r="DI360" s="2002" t="e">
        <f t="shared" si="756"/>
        <v>#REF!</v>
      </c>
      <c r="DJ360" s="1999" t="e">
        <f t="shared" si="802"/>
        <v>#REF!</v>
      </c>
      <c r="DK360" s="1993" t="e">
        <f>#REF!</f>
        <v>#REF!</v>
      </c>
      <c r="DL360" s="2003">
        <f t="shared" si="757"/>
        <v>0</v>
      </c>
      <c r="DM360" s="1989" t="e">
        <f>#REF!/10^7</f>
        <v>#REF!</v>
      </c>
      <c r="DN360" s="2003">
        <f t="shared" si="758"/>
        <v>0</v>
      </c>
      <c r="DO360" s="1989" t="e">
        <f>#REF!/10^7</f>
        <v>#REF!</v>
      </c>
      <c r="DP360" s="2003">
        <f t="shared" si="759"/>
        <v>0</v>
      </c>
      <c r="DQ360" s="1989" t="e">
        <f>#REF!/10^7</f>
        <v>#REF!</v>
      </c>
      <c r="DR360" s="1989" t="e">
        <f>#REF!/10^7</f>
        <v>#REF!</v>
      </c>
      <c r="DS360" s="2002" t="e">
        <f t="shared" si="760"/>
        <v>#REF!</v>
      </c>
      <c r="DT360" s="2004" t="e">
        <f t="shared" si="803"/>
        <v>#REF!</v>
      </c>
      <c r="DU360" s="1988" t="e">
        <f>#REF!</f>
        <v>#REF!</v>
      </c>
      <c r="DV360" s="2003">
        <f t="shared" si="761"/>
        <v>0</v>
      </c>
      <c r="DW360" s="1989" t="e">
        <f>#REF!/10^7</f>
        <v>#REF!</v>
      </c>
      <c r="DX360" s="2003">
        <f t="shared" si="762"/>
        <v>0</v>
      </c>
      <c r="DY360" s="1989" t="e">
        <f>#REF!/10^7</f>
        <v>#REF!</v>
      </c>
      <c r="DZ360" s="2003">
        <f t="shared" si="763"/>
        <v>0</v>
      </c>
      <c r="EA360" s="1989" t="e">
        <f>#REF!/10^7</f>
        <v>#REF!</v>
      </c>
      <c r="EB360" s="1989" t="e">
        <f>#REF!/10^7</f>
        <v>#REF!</v>
      </c>
      <c r="EC360" s="2002" t="e">
        <f t="shared" si="764"/>
        <v>#REF!</v>
      </c>
      <c r="ED360" s="1998" t="e">
        <f t="shared" si="804"/>
        <v>#REF!</v>
      </c>
      <c r="EE360" s="2005" t="e">
        <f t="shared" si="808"/>
        <v>#REF!</v>
      </c>
      <c r="EF360" s="2003">
        <f t="shared" si="766"/>
        <v>0</v>
      </c>
      <c r="EG360" s="1989" t="e">
        <f t="shared" si="805"/>
        <v>#REF!</v>
      </c>
      <c r="EH360" s="2003">
        <f t="shared" si="767"/>
        <v>0</v>
      </c>
      <c r="EI360" s="1989" t="e">
        <f t="shared" si="806"/>
        <v>#REF!</v>
      </c>
      <c r="EJ360" s="2003">
        <f t="shared" si="768"/>
        <v>0</v>
      </c>
      <c r="EK360" s="1989" t="e">
        <f t="shared" si="807"/>
        <v>#REF!</v>
      </c>
      <c r="EL360" s="1989" t="e">
        <f t="shared" si="807"/>
        <v>#REF!</v>
      </c>
      <c r="EM360" s="2006" t="e">
        <f t="shared" si="769"/>
        <v>#REF!</v>
      </c>
      <c r="EN360" s="1999" t="e">
        <f t="shared" si="809"/>
        <v>#REF!</v>
      </c>
      <c r="EP360" s="1613" t="e">
        <f>EA360-#REF!/10^7</f>
        <v>#REF!</v>
      </c>
      <c r="EW360" s="1611" t="e">
        <v>#N/A</v>
      </c>
      <c r="EX360" s="1612" t="e">
        <v>#N/A</v>
      </c>
      <c r="EZ360" s="1650">
        <f t="shared" si="771"/>
        <v>0</v>
      </c>
    </row>
    <row r="361" spans="1:156" ht="21" customHeight="1">
      <c r="A361" s="1652" t="s">
        <v>479</v>
      </c>
      <c r="B361" s="1704" t="s">
        <v>1809</v>
      </c>
      <c r="C361" s="1662"/>
      <c r="D361" s="1646" t="e">
        <f t="shared" si="792"/>
        <v>#DIV/0!</v>
      </c>
      <c r="E361" s="1646"/>
      <c r="F361" s="1648"/>
      <c r="G361" s="1648"/>
      <c r="H361" s="1648"/>
      <c r="I361" s="1648"/>
      <c r="J361" s="1663"/>
      <c r="K361" s="1648"/>
      <c r="L361" s="1648"/>
      <c r="M361" s="1648"/>
      <c r="N361" s="1642"/>
      <c r="O361" s="2000" t="e">
        <f>#REF!</f>
        <v>#REF!</v>
      </c>
      <c r="P361" s="2003">
        <f t="shared" si="717"/>
        <v>0</v>
      </c>
      <c r="Q361" s="1989" t="e">
        <f>#REF!/10^7</f>
        <v>#REF!</v>
      </c>
      <c r="R361" s="2003">
        <f t="shared" si="718"/>
        <v>0</v>
      </c>
      <c r="S361" s="1989" t="e">
        <f>#REF!/10^7</f>
        <v>#REF!</v>
      </c>
      <c r="T361" s="2003">
        <f t="shared" si="719"/>
        <v>0</v>
      </c>
      <c r="U361" s="1989" t="e">
        <f>#REF!/10^7</f>
        <v>#REF!</v>
      </c>
      <c r="V361" s="1989" t="e">
        <f>#REF!/10^7</f>
        <v>#REF!</v>
      </c>
      <c r="W361" s="1989">
        <f t="shared" si="720"/>
        <v>0</v>
      </c>
      <c r="X361" s="1999" t="e">
        <f t="shared" si="793"/>
        <v>#REF!</v>
      </c>
      <c r="Y361" s="1993" t="e">
        <f>#REF!</f>
        <v>#REF!</v>
      </c>
      <c r="Z361" s="2003">
        <f t="shared" si="721"/>
        <v>0</v>
      </c>
      <c r="AA361" s="1989" t="e">
        <f>#REF!/10^7</f>
        <v>#REF!</v>
      </c>
      <c r="AB361" s="2003">
        <f t="shared" si="722"/>
        <v>0</v>
      </c>
      <c r="AC361" s="1989" t="e">
        <f>#REF!/10^7</f>
        <v>#REF!</v>
      </c>
      <c r="AD361" s="2003">
        <f t="shared" si="723"/>
        <v>0</v>
      </c>
      <c r="AE361" s="1989" t="e">
        <f>#REF!/10^7</f>
        <v>#REF!</v>
      </c>
      <c r="AF361" s="1989" t="e">
        <f>#REF!/10^7</f>
        <v>#REF!</v>
      </c>
      <c r="AG361" s="2002" t="e">
        <f t="shared" si="724"/>
        <v>#REF!</v>
      </c>
      <c r="AH361" s="1999" t="e">
        <f t="shared" si="794"/>
        <v>#REF!</v>
      </c>
      <c r="AI361" s="1993" t="e">
        <f>#REF!</f>
        <v>#REF!</v>
      </c>
      <c r="AJ361" s="2003">
        <f t="shared" si="725"/>
        <v>0</v>
      </c>
      <c r="AK361" s="1989" t="e">
        <f>#REF!/10^7</f>
        <v>#REF!</v>
      </c>
      <c r="AL361" s="2003">
        <f t="shared" si="726"/>
        <v>0</v>
      </c>
      <c r="AM361" s="1989" t="e">
        <f>#REF!/10^7</f>
        <v>#REF!</v>
      </c>
      <c r="AN361" s="2003">
        <f t="shared" si="727"/>
        <v>0</v>
      </c>
      <c r="AO361" s="1989" t="e">
        <f>#REF!/10^7</f>
        <v>#REF!</v>
      </c>
      <c r="AP361" s="1989" t="e">
        <f>#REF!/10^7</f>
        <v>#REF!</v>
      </c>
      <c r="AQ361" s="2002" t="e">
        <f t="shared" si="728"/>
        <v>#REF!</v>
      </c>
      <c r="AR361" s="1999" t="e">
        <f t="shared" si="795"/>
        <v>#REF!</v>
      </c>
      <c r="AS361" s="1993" t="e">
        <f>#REF!</f>
        <v>#REF!</v>
      </c>
      <c r="AT361" s="2003">
        <f t="shared" si="729"/>
        <v>0</v>
      </c>
      <c r="AU361" s="1989" t="e">
        <f>#REF!/10^7</f>
        <v>#REF!</v>
      </c>
      <c r="AV361" s="2003">
        <f t="shared" si="730"/>
        <v>0</v>
      </c>
      <c r="AW361" s="1989" t="e">
        <f>#REF!/10^7</f>
        <v>#REF!</v>
      </c>
      <c r="AX361" s="2003">
        <f t="shared" si="731"/>
        <v>0</v>
      </c>
      <c r="AY361" s="1989" t="e">
        <f>#REF!/10^7</f>
        <v>#REF!</v>
      </c>
      <c r="AZ361" s="1989" t="e">
        <f>#REF!/10^7</f>
        <v>#REF!</v>
      </c>
      <c r="BA361" s="2002" t="e">
        <f t="shared" si="732"/>
        <v>#REF!</v>
      </c>
      <c r="BB361" s="1999" t="e">
        <f t="shared" si="796"/>
        <v>#REF!</v>
      </c>
      <c r="BC361" s="1993" t="e">
        <f>#REF!</f>
        <v>#REF!</v>
      </c>
      <c r="BD361" s="2003">
        <f t="shared" si="733"/>
        <v>0</v>
      </c>
      <c r="BE361" s="1989" t="e">
        <f>#REF!/10^7</f>
        <v>#REF!</v>
      </c>
      <c r="BF361" s="2003">
        <f t="shared" si="734"/>
        <v>0</v>
      </c>
      <c r="BG361" s="1989" t="e">
        <f>#REF!/10^7</f>
        <v>#REF!</v>
      </c>
      <c r="BH361" s="2003">
        <f t="shared" si="735"/>
        <v>0</v>
      </c>
      <c r="BI361" s="1989" t="e">
        <f>#REF!/10^7</f>
        <v>#REF!</v>
      </c>
      <c r="BJ361" s="1989" t="e">
        <f>#REF!/10^7</f>
        <v>#REF!</v>
      </c>
      <c r="BK361" s="2002" t="e">
        <f t="shared" si="736"/>
        <v>#REF!</v>
      </c>
      <c r="BL361" s="1999" t="e">
        <f t="shared" si="797"/>
        <v>#REF!</v>
      </c>
      <c r="BM361" s="1993" t="e">
        <f>#REF!</f>
        <v>#REF!</v>
      </c>
      <c r="BN361" s="2003">
        <f t="shared" si="737"/>
        <v>0</v>
      </c>
      <c r="BO361" s="1989" t="e">
        <f>#REF!/10^7</f>
        <v>#REF!</v>
      </c>
      <c r="BP361" s="2003">
        <f t="shared" si="738"/>
        <v>0</v>
      </c>
      <c r="BQ361" s="1989" t="e">
        <f>#REF!/10^7</f>
        <v>#REF!</v>
      </c>
      <c r="BR361" s="2003">
        <f t="shared" si="739"/>
        <v>0</v>
      </c>
      <c r="BS361" s="1989" t="e">
        <f>#REF!/10^7</f>
        <v>#REF!</v>
      </c>
      <c r="BT361" s="1989" t="e">
        <f>#REF!/10^7</f>
        <v>#REF!</v>
      </c>
      <c r="BU361" s="2002" t="e">
        <f t="shared" si="740"/>
        <v>#REF!</v>
      </c>
      <c r="BV361" s="1999" t="e">
        <f t="shared" si="798"/>
        <v>#REF!</v>
      </c>
      <c r="BW361" s="1993" t="e">
        <f>#REF!</f>
        <v>#REF!</v>
      </c>
      <c r="BX361" s="2003">
        <f t="shared" si="741"/>
        <v>0</v>
      </c>
      <c r="BY361" s="1989" t="e">
        <f>#REF!/10^7</f>
        <v>#REF!</v>
      </c>
      <c r="BZ361" s="2003">
        <f t="shared" si="742"/>
        <v>0</v>
      </c>
      <c r="CA361" s="1989" t="e">
        <f>#REF!/10^7</f>
        <v>#REF!</v>
      </c>
      <c r="CB361" s="2003">
        <f t="shared" si="743"/>
        <v>0</v>
      </c>
      <c r="CC361" s="1989" t="e">
        <f>#REF!/10^7</f>
        <v>#REF!</v>
      </c>
      <c r="CD361" s="1989" t="e">
        <f>#REF!/10^7</f>
        <v>#REF!</v>
      </c>
      <c r="CE361" s="2002" t="e">
        <f t="shared" si="744"/>
        <v>#REF!</v>
      </c>
      <c r="CF361" s="1999" t="e">
        <f t="shared" si="799"/>
        <v>#REF!</v>
      </c>
      <c r="CG361" s="1993" t="e">
        <f>#REF!</f>
        <v>#REF!</v>
      </c>
      <c r="CH361" s="2003">
        <f t="shared" si="745"/>
        <v>0</v>
      </c>
      <c r="CI361" s="1989" t="e">
        <f>#REF!/10^7</f>
        <v>#REF!</v>
      </c>
      <c r="CJ361" s="2003">
        <f t="shared" si="746"/>
        <v>0</v>
      </c>
      <c r="CK361" s="1989" t="e">
        <f>#REF!/10^7</f>
        <v>#REF!</v>
      </c>
      <c r="CL361" s="2003">
        <f t="shared" si="747"/>
        <v>0</v>
      </c>
      <c r="CM361" s="1989" t="e">
        <f>#REF!/10^7</f>
        <v>#REF!</v>
      </c>
      <c r="CN361" s="1989" t="e">
        <f>#REF!/10^7</f>
        <v>#REF!</v>
      </c>
      <c r="CO361" s="2002" t="e">
        <f t="shared" si="748"/>
        <v>#REF!</v>
      </c>
      <c r="CP361" s="1999" t="e">
        <f t="shared" si="800"/>
        <v>#REF!</v>
      </c>
      <c r="CQ361" s="1993" t="e">
        <f>#REF!</f>
        <v>#REF!</v>
      </c>
      <c r="CR361" s="2003">
        <f t="shared" si="749"/>
        <v>0</v>
      </c>
      <c r="CS361" s="1989" t="e">
        <f>#REF!/10^7</f>
        <v>#REF!</v>
      </c>
      <c r="CT361" s="2003">
        <f t="shared" si="750"/>
        <v>0</v>
      </c>
      <c r="CU361" s="1989" t="e">
        <f>#REF!/10^7</f>
        <v>#REF!</v>
      </c>
      <c r="CV361" s="2003">
        <f t="shared" si="751"/>
        <v>0</v>
      </c>
      <c r="CW361" s="1989" t="e">
        <f>#REF!/10^7</f>
        <v>#REF!</v>
      </c>
      <c r="CX361" s="1989" t="e">
        <f>#REF!/10^7</f>
        <v>#REF!</v>
      </c>
      <c r="CY361" s="2002" t="e">
        <f t="shared" si="752"/>
        <v>#REF!</v>
      </c>
      <c r="CZ361" s="1999" t="e">
        <f t="shared" si="801"/>
        <v>#REF!</v>
      </c>
      <c r="DA361" s="1993" t="e">
        <f>#REF!</f>
        <v>#REF!</v>
      </c>
      <c r="DB361" s="2003">
        <f t="shared" si="753"/>
        <v>0</v>
      </c>
      <c r="DC361" s="1989" t="e">
        <f>#REF!/10^7</f>
        <v>#REF!</v>
      </c>
      <c r="DD361" s="2003">
        <f t="shared" si="754"/>
        <v>0</v>
      </c>
      <c r="DE361" s="1989" t="e">
        <f>#REF!/10^7</f>
        <v>#REF!</v>
      </c>
      <c r="DF361" s="2003">
        <f t="shared" si="755"/>
        <v>0</v>
      </c>
      <c r="DG361" s="1989" t="e">
        <f>#REF!/10^7</f>
        <v>#REF!</v>
      </c>
      <c r="DH361" s="1989" t="e">
        <f>#REF!/10^7</f>
        <v>#REF!</v>
      </c>
      <c r="DI361" s="2002" t="e">
        <f t="shared" si="756"/>
        <v>#REF!</v>
      </c>
      <c r="DJ361" s="1999" t="e">
        <f t="shared" si="802"/>
        <v>#REF!</v>
      </c>
      <c r="DK361" s="1993" t="e">
        <f>#REF!</f>
        <v>#REF!</v>
      </c>
      <c r="DL361" s="2003">
        <f t="shared" si="757"/>
        <v>0</v>
      </c>
      <c r="DM361" s="1989" t="e">
        <f>#REF!/10^7</f>
        <v>#REF!</v>
      </c>
      <c r="DN361" s="2003">
        <f t="shared" si="758"/>
        <v>0</v>
      </c>
      <c r="DO361" s="1989" t="e">
        <f>#REF!/10^7</f>
        <v>#REF!</v>
      </c>
      <c r="DP361" s="2003">
        <f t="shared" si="759"/>
        <v>0</v>
      </c>
      <c r="DQ361" s="1989" t="e">
        <f>#REF!/10^7</f>
        <v>#REF!</v>
      </c>
      <c r="DR361" s="1989" t="e">
        <f>#REF!/10^7</f>
        <v>#REF!</v>
      </c>
      <c r="DS361" s="2002" t="e">
        <f t="shared" si="760"/>
        <v>#REF!</v>
      </c>
      <c r="DT361" s="2004" t="e">
        <f t="shared" si="803"/>
        <v>#REF!</v>
      </c>
      <c r="DU361" s="1988" t="e">
        <f>#REF!</f>
        <v>#REF!</v>
      </c>
      <c r="DV361" s="2003">
        <f t="shared" si="761"/>
        <v>0</v>
      </c>
      <c r="DW361" s="1989" t="e">
        <f>#REF!/10^7</f>
        <v>#REF!</v>
      </c>
      <c r="DX361" s="2003">
        <f t="shared" si="762"/>
        <v>0</v>
      </c>
      <c r="DY361" s="1989" t="e">
        <f>#REF!/10^7</f>
        <v>#REF!</v>
      </c>
      <c r="DZ361" s="2003">
        <f t="shared" si="763"/>
        <v>0</v>
      </c>
      <c r="EA361" s="1989" t="e">
        <f>#REF!/10^7</f>
        <v>#REF!</v>
      </c>
      <c r="EB361" s="1989" t="e">
        <f>#REF!/10^7</f>
        <v>#REF!</v>
      </c>
      <c r="EC361" s="2002" t="e">
        <f t="shared" si="764"/>
        <v>#REF!</v>
      </c>
      <c r="ED361" s="1998" t="e">
        <f t="shared" si="804"/>
        <v>#REF!</v>
      </c>
      <c r="EE361" s="2005" t="e">
        <f t="shared" si="808"/>
        <v>#REF!</v>
      </c>
      <c r="EF361" s="2003">
        <f t="shared" si="766"/>
        <v>0</v>
      </c>
      <c r="EG361" s="1989" t="e">
        <f t="shared" si="805"/>
        <v>#REF!</v>
      </c>
      <c r="EH361" s="2003">
        <f t="shared" si="767"/>
        <v>0</v>
      </c>
      <c r="EI361" s="1989" t="e">
        <f t="shared" si="806"/>
        <v>#REF!</v>
      </c>
      <c r="EJ361" s="2003">
        <f t="shared" si="768"/>
        <v>0</v>
      </c>
      <c r="EK361" s="1989" t="e">
        <f t="shared" si="807"/>
        <v>#REF!</v>
      </c>
      <c r="EL361" s="1989" t="e">
        <f t="shared" si="807"/>
        <v>#REF!</v>
      </c>
      <c r="EM361" s="2006" t="e">
        <f t="shared" si="769"/>
        <v>#REF!</v>
      </c>
      <c r="EN361" s="1999" t="e">
        <f t="shared" si="809"/>
        <v>#REF!</v>
      </c>
      <c r="EP361" s="1613" t="e">
        <f>EA361-#REF!/10^7</f>
        <v>#REF!</v>
      </c>
      <c r="EW361" s="1611" t="e">
        <v>#N/A</v>
      </c>
      <c r="EX361" s="1612">
        <v>0</v>
      </c>
      <c r="EZ361" s="1650">
        <f t="shared" si="771"/>
        <v>0</v>
      </c>
    </row>
    <row r="362" spans="1:156" ht="21" customHeight="1">
      <c r="A362" s="1652" t="s">
        <v>480</v>
      </c>
      <c r="B362" s="1706" t="s">
        <v>1810</v>
      </c>
      <c r="C362" s="1662"/>
      <c r="D362" s="1646" t="e">
        <f t="shared" si="792"/>
        <v>#DIV/0!</v>
      </c>
      <c r="E362" s="1646"/>
      <c r="F362" s="1648"/>
      <c r="G362" s="1648"/>
      <c r="H362" s="1648"/>
      <c r="I362" s="1648"/>
      <c r="J362" s="1663">
        <v>2</v>
      </c>
      <c r="K362" s="1648"/>
      <c r="L362" s="1648"/>
      <c r="M362" s="1648"/>
      <c r="N362" s="1642"/>
      <c r="O362" s="2000" t="e">
        <f>#REF!</f>
        <v>#REF!</v>
      </c>
      <c r="P362" s="2003">
        <f t="shared" si="717"/>
        <v>0</v>
      </c>
      <c r="Q362" s="1989" t="e">
        <f>#REF!/10^7</f>
        <v>#REF!</v>
      </c>
      <c r="R362" s="2003">
        <f t="shared" si="718"/>
        <v>0</v>
      </c>
      <c r="S362" s="1989" t="e">
        <f>#REF!/10^7</f>
        <v>#REF!</v>
      </c>
      <c r="T362" s="2003">
        <f t="shared" si="719"/>
        <v>0</v>
      </c>
      <c r="U362" s="1989" t="e">
        <f>#REF!/10^7</f>
        <v>#REF!</v>
      </c>
      <c r="V362" s="1989" t="e">
        <f>#REF!/10^7</f>
        <v>#REF!</v>
      </c>
      <c r="W362" s="1989">
        <f t="shared" si="720"/>
        <v>0</v>
      </c>
      <c r="X362" s="1999" t="e">
        <f t="shared" si="793"/>
        <v>#REF!</v>
      </c>
      <c r="Y362" s="1993" t="e">
        <f>#REF!</f>
        <v>#REF!</v>
      </c>
      <c r="Z362" s="2003">
        <f t="shared" si="721"/>
        <v>0</v>
      </c>
      <c r="AA362" s="1989" t="e">
        <f>#REF!/10^7</f>
        <v>#REF!</v>
      </c>
      <c r="AB362" s="2003">
        <f t="shared" si="722"/>
        <v>0</v>
      </c>
      <c r="AC362" s="1989" t="e">
        <f>#REF!/10^7</f>
        <v>#REF!</v>
      </c>
      <c r="AD362" s="2003">
        <f t="shared" si="723"/>
        <v>0</v>
      </c>
      <c r="AE362" s="1989" t="e">
        <f>#REF!/10^7</f>
        <v>#REF!</v>
      </c>
      <c r="AF362" s="1989" t="e">
        <f>#REF!/10^7</f>
        <v>#REF!</v>
      </c>
      <c r="AG362" s="2002" t="e">
        <f t="shared" si="724"/>
        <v>#REF!</v>
      </c>
      <c r="AH362" s="1999" t="e">
        <f t="shared" si="794"/>
        <v>#REF!</v>
      </c>
      <c r="AI362" s="1993" t="e">
        <f>#REF!</f>
        <v>#REF!</v>
      </c>
      <c r="AJ362" s="2003">
        <f t="shared" si="725"/>
        <v>0</v>
      </c>
      <c r="AK362" s="1989" t="e">
        <f>#REF!/10^7</f>
        <v>#REF!</v>
      </c>
      <c r="AL362" s="2003">
        <f t="shared" si="726"/>
        <v>0</v>
      </c>
      <c r="AM362" s="1989" t="e">
        <f>#REF!/10^7</f>
        <v>#REF!</v>
      </c>
      <c r="AN362" s="2003">
        <f t="shared" si="727"/>
        <v>0</v>
      </c>
      <c r="AO362" s="1989" t="e">
        <f>#REF!/10^7</f>
        <v>#REF!</v>
      </c>
      <c r="AP362" s="1989" t="e">
        <f>#REF!/10^7</f>
        <v>#REF!</v>
      </c>
      <c r="AQ362" s="2002" t="e">
        <f t="shared" si="728"/>
        <v>#REF!</v>
      </c>
      <c r="AR362" s="1999" t="e">
        <f t="shared" si="795"/>
        <v>#REF!</v>
      </c>
      <c r="AS362" s="1993" t="e">
        <f>#REF!</f>
        <v>#REF!</v>
      </c>
      <c r="AT362" s="2003">
        <f t="shared" si="729"/>
        <v>0</v>
      </c>
      <c r="AU362" s="1989" t="e">
        <f>#REF!/10^7</f>
        <v>#REF!</v>
      </c>
      <c r="AV362" s="2003">
        <f t="shared" si="730"/>
        <v>0</v>
      </c>
      <c r="AW362" s="1989" t="e">
        <f>#REF!/10^7</f>
        <v>#REF!</v>
      </c>
      <c r="AX362" s="2003">
        <f t="shared" si="731"/>
        <v>0</v>
      </c>
      <c r="AY362" s="1989" t="e">
        <f>#REF!/10^7</f>
        <v>#REF!</v>
      </c>
      <c r="AZ362" s="1989" t="e">
        <f>#REF!/10^7</f>
        <v>#REF!</v>
      </c>
      <c r="BA362" s="2002" t="e">
        <f t="shared" si="732"/>
        <v>#REF!</v>
      </c>
      <c r="BB362" s="1999" t="e">
        <f t="shared" si="796"/>
        <v>#REF!</v>
      </c>
      <c r="BC362" s="1993" t="e">
        <f>#REF!</f>
        <v>#REF!</v>
      </c>
      <c r="BD362" s="2003">
        <f t="shared" si="733"/>
        <v>0</v>
      </c>
      <c r="BE362" s="1989" t="e">
        <f>#REF!/10^7</f>
        <v>#REF!</v>
      </c>
      <c r="BF362" s="2003">
        <f t="shared" si="734"/>
        <v>0</v>
      </c>
      <c r="BG362" s="1989" t="e">
        <f>#REF!/10^7</f>
        <v>#REF!</v>
      </c>
      <c r="BH362" s="2003">
        <f t="shared" si="735"/>
        <v>0</v>
      </c>
      <c r="BI362" s="1989" t="e">
        <f>#REF!/10^7</f>
        <v>#REF!</v>
      </c>
      <c r="BJ362" s="1989" t="e">
        <f>#REF!/10^7</f>
        <v>#REF!</v>
      </c>
      <c r="BK362" s="2002" t="e">
        <f t="shared" si="736"/>
        <v>#REF!</v>
      </c>
      <c r="BL362" s="1999" t="e">
        <f t="shared" si="797"/>
        <v>#REF!</v>
      </c>
      <c r="BM362" s="1993" t="e">
        <f>#REF!</f>
        <v>#REF!</v>
      </c>
      <c r="BN362" s="2003">
        <f t="shared" si="737"/>
        <v>0</v>
      </c>
      <c r="BO362" s="1989" t="e">
        <f>#REF!/10^7</f>
        <v>#REF!</v>
      </c>
      <c r="BP362" s="2003">
        <f t="shared" si="738"/>
        <v>0</v>
      </c>
      <c r="BQ362" s="1989" t="e">
        <f>#REF!/10^7</f>
        <v>#REF!</v>
      </c>
      <c r="BR362" s="2003">
        <f t="shared" si="739"/>
        <v>0</v>
      </c>
      <c r="BS362" s="1989" t="e">
        <f>#REF!/10^7</f>
        <v>#REF!</v>
      </c>
      <c r="BT362" s="1989" t="e">
        <f>#REF!/10^7</f>
        <v>#REF!</v>
      </c>
      <c r="BU362" s="2002" t="e">
        <f t="shared" si="740"/>
        <v>#REF!</v>
      </c>
      <c r="BV362" s="1999" t="e">
        <f t="shared" si="798"/>
        <v>#REF!</v>
      </c>
      <c r="BW362" s="1993" t="e">
        <f>#REF!</f>
        <v>#REF!</v>
      </c>
      <c r="BX362" s="2003">
        <f t="shared" si="741"/>
        <v>0</v>
      </c>
      <c r="BY362" s="1989" t="e">
        <f>#REF!/10^7</f>
        <v>#REF!</v>
      </c>
      <c r="BZ362" s="2003">
        <f t="shared" si="742"/>
        <v>0</v>
      </c>
      <c r="CA362" s="1989" t="e">
        <f>#REF!/10^7</f>
        <v>#REF!</v>
      </c>
      <c r="CB362" s="2003">
        <f t="shared" si="743"/>
        <v>0</v>
      </c>
      <c r="CC362" s="1989" t="e">
        <f>#REF!/10^7</f>
        <v>#REF!</v>
      </c>
      <c r="CD362" s="1989" t="e">
        <f>#REF!/10^7</f>
        <v>#REF!</v>
      </c>
      <c r="CE362" s="2002" t="e">
        <f t="shared" si="744"/>
        <v>#REF!</v>
      </c>
      <c r="CF362" s="1999" t="e">
        <f t="shared" si="799"/>
        <v>#REF!</v>
      </c>
      <c r="CG362" s="1993" t="e">
        <f>#REF!</f>
        <v>#REF!</v>
      </c>
      <c r="CH362" s="2003">
        <f t="shared" si="745"/>
        <v>0</v>
      </c>
      <c r="CI362" s="1989" t="e">
        <f>#REF!/10^7</f>
        <v>#REF!</v>
      </c>
      <c r="CJ362" s="2003">
        <f t="shared" si="746"/>
        <v>0</v>
      </c>
      <c r="CK362" s="1989" t="e">
        <f>#REF!/10^7</f>
        <v>#REF!</v>
      </c>
      <c r="CL362" s="2003">
        <f t="shared" si="747"/>
        <v>0</v>
      </c>
      <c r="CM362" s="1989" t="e">
        <f>#REF!/10^7</f>
        <v>#REF!</v>
      </c>
      <c r="CN362" s="1989" t="e">
        <f>#REF!/10^7</f>
        <v>#REF!</v>
      </c>
      <c r="CO362" s="2002" t="e">
        <f t="shared" si="748"/>
        <v>#REF!</v>
      </c>
      <c r="CP362" s="1999" t="e">
        <f t="shared" si="800"/>
        <v>#REF!</v>
      </c>
      <c r="CQ362" s="1993" t="e">
        <f>#REF!</f>
        <v>#REF!</v>
      </c>
      <c r="CR362" s="2003">
        <f t="shared" si="749"/>
        <v>0</v>
      </c>
      <c r="CS362" s="1989" t="e">
        <f>#REF!/10^7</f>
        <v>#REF!</v>
      </c>
      <c r="CT362" s="2003">
        <f t="shared" si="750"/>
        <v>0</v>
      </c>
      <c r="CU362" s="1989" t="e">
        <f>#REF!/10^7</f>
        <v>#REF!</v>
      </c>
      <c r="CV362" s="2003">
        <f t="shared" si="751"/>
        <v>0</v>
      </c>
      <c r="CW362" s="1989" t="e">
        <f>#REF!/10^7</f>
        <v>#REF!</v>
      </c>
      <c r="CX362" s="1989" t="e">
        <f>#REF!/10^7</f>
        <v>#REF!</v>
      </c>
      <c r="CY362" s="2002" t="e">
        <f t="shared" si="752"/>
        <v>#REF!</v>
      </c>
      <c r="CZ362" s="1999" t="e">
        <f t="shared" si="801"/>
        <v>#REF!</v>
      </c>
      <c r="DA362" s="1993" t="e">
        <f>#REF!</f>
        <v>#REF!</v>
      </c>
      <c r="DB362" s="2003">
        <f t="shared" si="753"/>
        <v>0</v>
      </c>
      <c r="DC362" s="1989" t="e">
        <f>#REF!/10^7</f>
        <v>#REF!</v>
      </c>
      <c r="DD362" s="2003">
        <f t="shared" si="754"/>
        <v>0</v>
      </c>
      <c r="DE362" s="1989" t="e">
        <f>#REF!/10^7</f>
        <v>#REF!</v>
      </c>
      <c r="DF362" s="2003">
        <f t="shared" si="755"/>
        <v>0</v>
      </c>
      <c r="DG362" s="1989" t="e">
        <f>#REF!/10^7</f>
        <v>#REF!</v>
      </c>
      <c r="DH362" s="1989" t="e">
        <f>#REF!/10^7</f>
        <v>#REF!</v>
      </c>
      <c r="DI362" s="2002" t="e">
        <f t="shared" si="756"/>
        <v>#REF!</v>
      </c>
      <c r="DJ362" s="1999" t="e">
        <f t="shared" si="802"/>
        <v>#REF!</v>
      </c>
      <c r="DK362" s="1993" t="e">
        <f>#REF!</f>
        <v>#REF!</v>
      </c>
      <c r="DL362" s="2003">
        <f t="shared" si="757"/>
        <v>0</v>
      </c>
      <c r="DM362" s="1989" t="e">
        <f>#REF!/10^7</f>
        <v>#REF!</v>
      </c>
      <c r="DN362" s="2003">
        <f t="shared" si="758"/>
        <v>0</v>
      </c>
      <c r="DO362" s="1989" t="e">
        <f>#REF!/10^7</f>
        <v>#REF!</v>
      </c>
      <c r="DP362" s="2003">
        <f t="shared" si="759"/>
        <v>0</v>
      </c>
      <c r="DQ362" s="1989" t="e">
        <f>#REF!/10^7</f>
        <v>#REF!</v>
      </c>
      <c r="DR362" s="1989" t="e">
        <f>#REF!/10^7</f>
        <v>#REF!</v>
      </c>
      <c r="DS362" s="2002" t="e">
        <f t="shared" si="760"/>
        <v>#REF!</v>
      </c>
      <c r="DT362" s="2004" t="e">
        <f t="shared" si="803"/>
        <v>#REF!</v>
      </c>
      <c r="DU362" s="1988" t="e">
        <f>#REF!</f>
        <v>#REF!</v>
      </c>
      <c r="DV362" s="2003">
        <f t="shared" si="761"/>
        <v>0</v>
      </c>
      <c r="DW362" s="1989" t="e">
        <f>#REF!/10^7</f>
        <v>#REF!</v>
      </c>
      <c r="DX362" s="2003">
        <f t="shared" si="762"/>
        <v>0</v>
      </c>
      <c r="DY362" s="1989" t="e">
        <f>#REF!/10^7</f>
        <v>#REF!</v>
      </c>
      <c r="DZ362" s="2003">
        <f t="shared" si="763"/>
        <v>0</v>
      </c>
      <c r="EA362" s="1989" t="e">
        <f>#REF!/10^7</f>
        <v>#REF!</v>
      </c>
      <c r="EB362" s="1989" t="e">
        <f>#REF!/10^7</f>
        <v>#REF!</v>
      </c>
      <c r="EC362" s="2002" t="e">
        <f t="shared" si="764"/>
        <v>#REF!</v>
      </c>
      <c r="ED362" s="1998" t="e">
        <f t="shared" si="804"/>
        <v>#REF!</v>
      </c>
      <c r="EE362" s="2030" t="e">
        <f t="shared" si="808"/>
        <v>#REF!</v>
      </c>
      <c r="EF362" s="2003">
        <f t="shared" si="766"/>
        <v>0</v>
      </c>
      <c r="EG362" s="1989" t="e">
        <f t="shared" si="805"/>
        <v>#REF!</v>
      </c>
      <c r="EH362" s="2003">
        <f t="shared" si="767"/>
        <v>0</v>
      </c>
      <c r="EI362" s="1989" t="e">
        <f t="shared" si="806"/>
        <v>#REF!</v>
      </c>
      <c r="EJ362" s="2003">
        <f t="shared" si="768"/>
        <v>0</v>
      </c>
      <c r="EK362" s="1989" t="e">
        <f t="shared" si="807"/>
        <v>#REF!</v>
      </c>
      <c r="EL362" s="1989" t="e">
        <f t="shared" si="807"/>
        <v>#REF!</v>
      </c>
      <c r="EM362" s="2006" t="e">
        <f t="shared" si="769"/>
        <v>#REF!</v>
      </c>
      <c r="EN362" s="1999" t="e">
        <f t="shared" si="809"/>
        <v>#REF!</v>
      </c>
      <c r="EP362" s="1613" t="e">
        <f>EA362-#REF!/10^7</f>
        <v>#REF!</v>
      </c>
      <c r="EW362" s="1611" t="e">
        <v>#N/A</v>
      </c>
      <c r="EX362" s="1612">
        <v>0</v>
      </c>
      <c r="EZ362" s="1650">
        <f t="shared" si="771"/>
        <v>0</v>
      </c>
    </row>
    <row r="363" spans="1:156" ht="21" customHeight="1">
      <c r="A363" s="1652"/>
      <c r="B363" s="1704" t="s">
        <v>2005</v>
      </c>
      <c r="C363" s="1662"/>
      <c r="D363" s="1646" t="e">
        <f t="shared" si="792"/>
        <v>#DIV/0!</v>
      </c>
      <c r="E363" s="1646"/>
      <c r="F363" s="1648"/>
      <c r="G363" s="1648"/>
      <c r="H363" s="1648"/>
      <c r="I363" s="1648"/>
      <c r="J363" s="1663"/>
      <c r="K363" s="1648"/>
      <c r="L363" s="1648"/>
      <c r="M363" s="1648"/>
      <c r="N363" s="1642"/>
      <c r="O363" s="2000" t="e">
        <f>#REF!</f>
        <v>#REF!</v>
      </c>
      <c r="P363" s="2003">
        <f t="shared" si="717"/>
        <v>0</v>
      </c>
      <c r="Q363" s="1989" t="e">
        <f>#REF!/10^7</f>
        <v>#REF!</v>
      </c>
      <c r="R363" s="2003">
        <f t="shared" si="718"/>
        <v>0</v>
      </c>
      <c r="S363" s="1989" t="e">
        <f>#REF!/10^7</f>
        <v>#REF!</v>
      </c>
      <c r="T363" s="2003">
        <f t="shared" si="719"/>
        <v>0</v>
      </c>
      <c r="U363" s="1989" t="e">
        <f>#REF!/10^7</f>
        <v>#REF!</v>
      </c>
      <c r="V363" s="1989" t="e">
        <f>#REF!/10^7</f>
        <v>#REF!</v>
      </c>
      <c r="W363" s="1989">
        <f t="shared" si="720"/>
        <v>0</v>
      </c>
      <c r="X363" s="1999" t="e">
        <f t="shared" si="793"/>
        <v>#REF!</v>
      </c>
      <c r="Y363" s="1993" t="e">
        <f>#REF!</f>
        <v>#REF!</v>
      </c>
      <c r="Z363" s="2003">
        <f t="shared" si="721"/>
        <v>0</v>
      </c>
      <c r="AA363" s="1989" t="e">
        <f>#REF!/10^7</f>
        <v>#REF!</v>
      </c>
      <c r="AB363" s="2003">
        <f t="shared" si="722"/>
        <v>0</v>
      </c>
      <c r="AC363" s="1989" t="e">
        <f>#REF!/10^7</f>
        <v>#REF!</v>
      </c>
      <c r="AD363" s="2003">
        <f t="shared" si="723"/>
        <v>0</v>
      </c>
      <c r="AE363" s="1989" t="e">
        <f>#REF!/10^7</f>
        <v>#REF!</v>
      </c>
      <c r="AF363" s="1989" t="e">
        <f>#REF!/10^7</f>
        <v>#REF!</v>
      </c>
      <c r="AG363" s="2002" t="e">
        <f t="shared" si="724"/>
        <v>#REF!</v>
      </c>
      <c r="AH363" s="1999" t="e">
        <f t="shared" si="794"/>
        <v>#REF!</v>
      </c>
      <c r="AI363" s="1993" t="e">
        <f>#REF!</f>
        <v>#REF!</v>
      </c>
      <c r="AJ363" s="2003">
        <f t="shared" si="725"/>
        <v>0</v>
      </c>
      <c r="AK363" s="1989" t="e">
        <f>#REF!/10^7</f>
        <v>#REF!</v>
      </c>
      <c r="AL363" s="2003">
        <f t="shared" si="726"/>
        <v>0</v>
      </c>
      <c r="AM363" s="1989" t="e">
        <f>#REF!/10^7</f>
        <v>#REF!</v>
      </c>
      <c r="AN363" s="2003">
        <f t="shared" si="727"/>
        <v>0</v>
      </c>
      <c r="AO363" s="1989" t="e">
        <f>#REF!/10^7</f>
        <v>#REF!</v>
      </c>
      <c r="AP363" s="1989" t="e">
        <f>#REF!/10^7</f>
        <v>#REF!</v>
      </c>
      <c r="AQ363" s="2002" t="e">
        <f t="shared" si="728"/>
        <v>#REF!</v>
      </c>
      <c r="AR363" s="1999" t="e">
        <f t="shared" si="795"/>
        <v>#REF!</v>
      </c>
      <c r="AS363" s="1993" t="e">
        <f>#REF!</f>
        <v>#REF!</v>
      </c>
      <c r="AT363" s="2003">
        <f t="shared" si="729"/>
        <v>0</v>
      </c>
      <c r="AU363" s="1989" t="e">
        <f>#REF!/10^7</f>
        <v>#REF!</v>
      </c>
      <c r="AV363" s="2003">
        <f t="shared" si="730"/>
        <v>0</v>
      </c>
      <c r="AW363" s="1989" t="e">
        <f>#REF!/10^7</f>
        <v>#REF!</v>
      </c>
      <c r="AX363" s="2003">
        <f t="shared" si="731"/>
        <v>0</v>
      </c>
      <c r="AY363" s="1989" t="e">
        <f>#REF!/10^7</f>
        <v>#REF!</v>
      </c>
      <c r="AZ363" s="1989" t="e">
        <f>#REF!/10^7</f>
        <v>#REF!</v>
      </c>
      <c r="BA363" s="2002" t="e">
        <f t="shared" si="732"/>
        <v>#REF!</v>
      </c>
      <c r="BB363" s="1999" t="e">
        <f t="shared" si="796"/>
        <v>#REF!</v>
      </c>
      <c r="BC363" s="1993" t="e">
        <f>#REF!</f>
        <v>#REF!</v>
      </c>
      <c r="BD363" s="2003">
        <f t="shared" si="733"/>
        <v>0</v>
      </c>
      <c r="BE363" s="1989" t="e">
        <f>#REF!/10^7</f>
        <v>#REF!</v>
      </c>
      <c r="BF363" s="2003">
        <f t="shared" si="734"/>
        <v>0</v>
      </c>
      <c r="BG363" s="1989" t="e">
        <f>#REF!/10^7</f>
        <v>#REF!</v>
      </c>
      <c r="BH363" s="2003">
        <f t="shared" si="735"/>
        <v>0</v>
      </c>
      <c r="BI363" s="1989" t="e">
        <f>#REF!/10^7</f>
        <v>#REF!</v>
      </c>
      <c r="BJ363" s="1989" t="e">
        <f>#REF!/10^7</f>
        <v>#REF!</v>
      </c>
      <c r="BK363" s="2002" t="e">
        <f t="shared" si="736"/>
        <v>#REF!</v>
      </c>
      <c r="BL363" s="1999" t="e">
        <f t="shared" si="797"/>
        <v>#REF!</v>
      </c>
      <c r="BM363" s="1993" t="e">
        <f>#REF!</f>
        <v>#REF!</v>
      </c>
      <c r="BN363" s="2003">
        <f t="shared" si="737"/>
        <v>0</v>
      </c>
      <c r="BO363" s="1989" t="e">
        <f>#REF!/10^7</f>
        <v>#REF!</v>
      </c>
      <c r="BP363" s="2003">
        <f t="shared" si="738"/>
        <v>0</v>
      </c>
      <c r="BQ363" s="1989" t="e">
        <f>#REF!/10^7</f>
        <v>#REF!</v>
      </c>
      <c r="BR363" s="2003">
        <f t="shared" si="739"/>
        <v>0</v>
      </c>
      <c r="BS363" s="1989" t="e">
        <f>#REF!/10^7</f>
        <v>#REF!</v>
      </c>
      <c r="BT363" s="1989" t="e">
        <f>#REF!/10^7</f>
        <v>#REF!</v>
      </c>
      <c r="BU363" s="2002" t="e">
        <f t="shared" si="740"/>
        <v>#REF!</v>
      </c>
      <c r="BV363" s="1999" t="e">
        <f t="shared" si="798"/>
        <v>#REF!</v>
      </c>
      <c r="BW363" s="1993" t="e">
        <f>#REF!</f>
        <v>#REF!</v>
      </c>
      <c r="BX363" s="2003">
        <f t="shared" si="741"/>
        <v>0</v>
      </c>
      <c r="BY363" s="1989" t="e">
        <f>#REF!/10^7</f>
        <v>#REF!</v>
      </c>
      <c r="BZ363" s="2003">
        <f t="shared" si="742"/>
        <v>0</v>
      </c>
      <c r="CA363" s="1989" t="e">
        <f>#REF!/10^7</f>
        <v>#REF!</v>
      </c>
      <c r="CB363" s="2003">
        <f t="shared" si="743"/>
        <v>0</v>
      </c>
      <c r="CC363" s="1989" t="e">
        <f>#REF!/10^7</f>
        <v>#REF!</v>
      </c>
      <c r="CD363" s="1989" t="e">
        <f>#REF!/10^7</f>
        <v>#REF!</v>
      </c>
      <c r="CE363" s="2002" t="e">
        <f t="shared" si="744"/>
        <v>#REF!</v>
      </c>
      <c r="CF363" s="1999" t="e">
        <f t="shared" si="799"/>
        <v>#REF!</v>
      </c>
      <c r="CG363" s="1993" t="e">
        <f>#REF!</f>
        <v>#REF!</v>
      </c>
      <c r="CH363" s="2003">
        <f t="shared" si="745"/>
        <v>0</v>
      </c>
      <c r="CI363" s="1989" t="e">
        <f>#REF!/10^7</f>
        <v>#REF!</v>
      </c>
      <c r="CJ363" s="2003">
        <f t="shared" si="746"/>
        <v>0</v>
      </c>
      <c r="CK363" s="1989" t="e">
        <f>#REF!/10^7</f>
        <v>#REF!</v>
      </c>
      <c r="CL363" s="2003">
        <f t="shared" si="747"/>
        <v>0</v>
      </c>
      <c r="CM363" s="1989" t="e">
        <f>#REF!/10^7</f>
        <v>#REF!</v>
      </c>
      <c r="CN363" s="1989" t="e">
        <f>#REF!/10^7</f>
        <v>#REF!</v>
      </c>
      <c r="CO363" s="2002" t="e">
        <f t="shared" si="748"/>
        <v>#REF!</v>
      </c>
      <c r="CP363" s="1999" t="e">
        <f t="shared" si="800"/>
        <v>#REF!</v>
      </c>
      <c r="CQ363" s="1993" t="e">
        <f>#REF!</f>
        <v>#REF!</v>
      </c>
      <c r="CR363" s="2003">
        <f t="shared" si="749"/>
        <v>0</v>
      </c>
      <c r="CS363" s="1989" t="e">
        <f>#REF!/10^7</f>
        <v>#REF!</v>
      </c>
      <c r="CT363" s="2003">
        <f t="shared" si="750"/>
        <v>0</v>
      </c>
      <c r="CU363" s="1989" t="e">
        <f>#REF!/10^7</f>
        <v>#REF!</v>
      </c>
      <c r="CV363" s="2003">
        <f t="shared" si="751"/>
        <v>0</v>
      </c>
      <c r="CW363" s="1989" t="e">
        <f>#REF!/10^7</f>
        <v>#REF!</v>
      </c>
      <c r="CX363" s="1989" t="e">
        <f>#REF!/10^7</f>
        <v>#REF!</v>
      </c>
      <c r="CY363" s="2002" t="e">
        <f t="shared" si="752"/>
        <v>#REF!</v>
      </c>
      <c r="CZ363" s="1999" t="e">
        <f t="shared" si="801"/>
        <v>#REF!</v>
      </c>
      <c r="DA363" s="1993" t="e">
        <f>#REF!</f>
        <v>#REF!</v>
      </c>
      <c r="DB363" s="2003">
        <f t="shared" si="753"/>
        <v>0</v>
      </c>
      <c r="DC363" s="1989" t="e">
        <f>#REF!/10^7</f>
        <v>#REF!</v>
      </c>
      <c r="DD363" s="2003">
        <f t="shared" si="754"/>
        <v>0</v>
      </c>
      <c r="DE363" s="1989" t="e">
        <f>#REF!/10^7</f>
        <v>#REF!</v>
      </c>
      <c r="DF363" s="2003">
        <f t="shared" si="755"/>
        <v>0</v>
      </c>
      <c r="DG363" s="1989" t="e">
        <f>#REF!/10^7</f>
        <v>#REF!</v>
      </c>
      <c r="DH363" s="1989" t="e">
        <f>#REF!/10^7</f>
        <v>#REF!</v>
      </c>
      <c r="DI363" s="2002" t="e">
        <f t="shared" si="756"/>
        <v>#REF!</v>
      </c>
      <c r="DJ363" s="1999" t="e">
        <f t="shared" si="802"/>
        <v>#REF!</v>
      </c>
      <c r="DK363" s="1993" t="e">
        <f>#REF!</f>
        <v>#REF!</v>
      </c>
      <c r="DL363" s="2003">
        <f t="shared" si="757"/>
        <v>0</v>
      </c>
      <c r="DM363" s="1989" t="e">
        <f>#REF!/10^7</f>
        <v>#REF!</v>
      </c>
      <c r="DN363" s="2003">
        <f t="shared" si="758"/>
        <v>0</v>
      </c>
      <c r="DO363" s="1989" t="e">
        <f>#REF!/10^7</f>
        <v>#REF!</v>
      </c>
      <c r="DP363" s="2003">
        <f t="shared" si="759"/>
        <v>0</v>
      </c>
      <c r="DQ363" s="1989" t="e">
        <f>#REF!/10^7</f>
        <v>#REF!</v>
      </c>
      <c r="DR363" s="1989" t="e">
        <f>#REF!/10^7</f>
        <v>#REF!</v>
      </c>
      <c r="DS363" s="2002" t="e">
        <f t="shared" si="760"/>
        <v>#REF!</v>
      </c>
      <c r="DT363" s="2004" t="e">
        <f t="shared" si="803"/>
        <v>#REF!</v>
      </c>
      <c r="DU363" s="1988" t="e">
        <f>#REF!</f>
        <v>#REF!</v>
      </c>
      <c r="DV363" s="2003">
        <f t="shared" si="761"/>
        <v>0</v>
      </c>
      <c r="DW363" s="1989" t="e">
        <f>#REF!/10^7</f>
        <v>#REF!</v>
      </c>
      <c r="DX363" s="2003">
        <f t="shared" si="762"/>
        <v>0</v>
      </c>
      <c r="DY363" s="1989" t="e">
        <f>#REF!/10^7</f>
        <v>#REF!</v>
      </c>
      <c r="DZ363" s="2003">
        <f t="shared" si="763"/>
        <v>0</v>
      </c>
      <c r="EA363" s="1989" t="e">
        <f>#REF!/10^7</f>
        <v>#REF!</v>
      </c>
      <c r="EB363" s="1989" t="e">
        <f>#REF!/10^7</f>
        <v>#REF!</v>
      </c>
      <c r="EC363" s="2002" t="e">
        <f t="shared" si="764"/>
        <v>#REF!</v>
      </c>
      <c r="ED363" s="1998" t="e">
        <f t="shared" si="804"/>
        <v>#REF!</v>
      </c>
      <c r="EE363" s="2005" t="e">
        <f t="shared" si="808"/>
        <v>#REF!</v>
      </c>
      <c r="EF363" s="2003">
        <f t="shared" si="766"/>
        <v>0</v>
      </c>
      <c r="EG363" s="1989" t="e">
        <f t="shared" si="805"/>
        <v>#REF!</v>
      </c>
      <c r="EH363" s="2003">
        <f t="shared" si="767"/>
        <v>0</v>
      </c>
      <c r="EI363" s="1989" t="e">
        <f t="shared" si="806"/>
        <v>#REF!</v>
      </c>
      <c r="EJ363" s="2003">
        <f t="shared" si="768"/>
        <v>0</v>
      </c>
      <c r="EK363" s="1989" t="e">
        <f t="shared" si="807"/>
        <v>#REF!</v>
      </c>
      <c r="EL363" s="1989" t="e">
        <f t="shared" si="807"/>
        <v>#REF!</v>
      </c>
      <c r="EM363" s="2006" t="e">
        <f t="shared" si="769"/>
        <v>#REF!</v>
      </c>
      <c r="EN363" s="1999" t="e">
        <f t="shared" si="809"/>
        <v>#REF!</v>
      </c>
      <c r="EP363" s="1613" t="e">
        <f>EA363-#REF!/10^7</f>
        <v>#REF!</v>
      </c>
      <c r="EW363" s="1611" t="e">
        <v>#N/A</v>
      </c>
      <c r="EX363" s="1612" t="e">
        <v>#N/A</v>
      </c>
      <c r="EZ363" s="1650">
        <f t="shared" si="771"/>
        <v>0</v>
      </c>
    </row>
    <row r="364" spans="1:156" ht="21" customHeight="1">
      <c r="A364" s="1652"/>
      <c r="B364" s="1704" t="s">
        <v>2006</v>
      </c>
      <c r="C364" s="1662"/>
      <c r="D364" s="1646" t="e">
        <f t="shared" si="792"/>
        <v>#DIV/0!</v>
      </c>
      <c r="E364" s="1646"/>
      <c r="F364" s="1648"/>
      <c r="G364" s="1648"/>
      <c r="H364" s="1648"/>
      <c r="I364" s="1648"/>
      <c r="J364" s="1663"/>
      <c r="K364" s="1648"/>
      <c r="L364" s="1648"/>
      <c r="M364" s="1648"/>
      <c r="N364" s="1642"/>
      <c r="O364" s="2000" t="e">
        <f>#REF!</f>
        <v>#REF!</v>
      </c>
      <c r="P364" s="2003">
        <f t="shared" si="717"/>
        <v>0</v>
      </c>
      <c r="Q364" s="1989" t="e">
        <f>#REF!/10^7</f>
        <v>#REF!</v>
      </c>
      <c r="R364" s="2003">
        <f t="shared" si="718"/>
        <v>0</v>
      </c>
      <c r="S364" s="1989" t="e">
        <f>#REF!/10^7</f>
        <v>#REF!</v>
      </c>
      <c r="T364" s="2003">
        <f t="shared" si="719"/>
        <v>0</v>
      </c>
      <c r="U364" s="1989" t="e">
        <f>#REF!/10^7</f>
        <v>#REF!</v>
      </c>
      <c r="V364" s="1989" t="e">
        <f>#REF!/10^7</f>
        <v>#REF!</v>
      </c>
      <c r="W364" s="1989">
        <f t="shared" si="720"/>
        <v>0</v>
      </c>
      <c r="X364" s="1999" t="e">
        <f t="shared" si="793"/>
        <v>#REF!</v>
      </c>
      <c r="Y364" s="1993" t="e">
        <f>#REF!</f>
        <v>#REF!</v>
      </c>
      <c r="Z364" s="2003">
        <f t="shared" si="721"/>
        <v>0</v>
      </c>
      <c r="AA364" s="1989" t="e">
        <f>#REF!/10^7</f>
        <v>#REF!</v>
      </c>
      <c r="AB364" s="2003">
        <f t="shared" si="722"/>
        <v>0</v>
      </c>
      <c r="AC364" s="1989" t="e">
        <f>#REF!/10^7</f>
        <v>#REF!</v>
      </c>
      <c r="AD364" s="2003">
        <f t="shared" si="723"/>
        <v>0</v>
      </c>
      <c r="AE364" s="1989" t="e">
        <f>#REF!/10^7</f>
        <v>#REF!</v>
      </c>
      <c r="AF364" s="1989" t="e">
        <f>#REF!/10^7</f>
        <v>#REF!</v>
      </c>
      <c r="AG364" s="2002" t="e">
        <f t="shared" si="724"/>
        <v>#REF!</v>
      </c>
      <c r="AH364" s="1999" t="e">
        <f t="shared" si="794"/>
        <v>#REF!</v>
      </c>
      <c r="AI364" s="1993" t="e">
        <f>#REF!</f>
        <v>#REF!</v>
      </c>
      <c r="AJ364" s="2003">
        <f t="shared" si="725"/>
        <v>0</v>
      </c>
      <c r="AK364" s="1989" t="e">
        <f>#REF!/10^7</f>
        <v>#REF!</v>
      </c>
      <c r="AL364" s="2003">
        <f t="shared" si="726"/>
        <v>0</v>
      </c>
      <c r="AM364" s="1989" t="e">
        <f>#REF!/10^7</f>
        <v>#REF!</v>
      </c>
      <c r="AN364" s="2003">
        <f t="shared" si="727"/>
        <v>0</v>
      </c>
      <c r="AO364" s="1989" t="e">
        <f>#REF!/10^7</f>
        <v>#REF!</v>
      </c>
      <c r="AP364" s="1989" t="e">
        <f>#REF!/10^7</f>
        <v>#REF!</v>
      </c>
      <c r="AQ364" s="2002" t="e">
        <f t="shared" si="728"/>
        <v>#REF!</v>
      </c>
      <c r="AR364" s="1999" t="e">
        <f t="shared" si="795"/>
        <v>#REF!</v>
      </c>
      <c r="AS364" s="1993" t="e">
        <f>#REF!</f>
        <v>#REF!</v>
      </c>
      <c r="AT364" s="2003">
        <f t="shared" si="729"/>
        <v>0</v>
      </c>
      <c r="AU364" s="1989" t="e">
        <f>#REF!/10^7</f>
        <v>#REF!</v>
      </c>
      <c r="AV364" s="2003">
        <f t="shared" si="730"/>
        <v>0</v>
      </c>
      <c r="AW364" s="1989" t="e">
        <f>#REF!/10^7</f>
        <v>#REF!</v>
      </c>
      <c r="AX364" s="2003">
        <f t="shared" si="731"/>
        <v>0</v>
      </c>
      <c r="AY364" s="1989" t="e">
        <f>#REF!/10^7</f>
        <v>#REF!</v>
      </c>
      <c r="AZ364" s="1989" t="e">
        <f>#REF!/10^7</f>
        <v>#REF!</v>
      </c>
      <c r="BA364" s="2002" t="e">
        <f t="shared" si="732"/>
        <v>#REF!</v>
      </c>
      <c r="BB364" s="1999" t="e">
        <f t="shared" si="796"/>
        <v>#REF!</v>
      </c>
      <c r="BC364" s="1993" t="e">
        <f>#REF!</f>
        <v>#REF!</v>
      </c>
      <c r="BD364" s="2003">
        <f t="shared" si="733"/>
        <v>0</v>
      </c>
      <c r="BE364" s="1989" t="e">
        <f>#REF!/10^7</f>
        <v>#REF!</v>
      </c>
      <c r="BF364" s="2003">
        <f t="shared" si="734"/>
        <v>0</v>
      </c>
      <c r="BG364" s="1989" t="e">
        <f>#REF!/10^7</f>
        <v>#REF!</v>
      </c>
      <c r="BH364" s="2003">
        <f t="shared" si="735"/>
        <v>0</v>
      </c>
      <c r="BI364" s="1989" t="e">
        <f>#REF!/10^7</f>
        <v>#REF!</v>
      </c>
      <c r="BJ364" s="1989" t="e">
        <f>#REF!/10^7</f>
        <v>#REF!</v>
      </c>
      <c r="BK364" s="2002" t="e">
        <f t="shared" si="736"/>
        <v>#REF!</v>
      </c>
      <c r="BL364" s="1999" t="e">
        <f t="shared" si="797"/>
        <v>#REF!</v>
      </c>
      <c r="BM364" s="1993" t="e">
        <f>#REF!</f>
        <v>#REF!</v>
      </c>
      <c r="BN364" s="2003">
        <f t="shared" si="737"/>
        <v>0</v>
      </c>
      <c r="BO364" s="1989" t="e">
        <f>#REF!/10^7</f>
        <v>#REF!</v>
      </c>
      <c r="BP364" s="2003">
        <f t="shared" si="738"/>
        <v>0</v>
      </c>
      <c r="BQ364" s="1989" t="e">
        <f>#REF!/10^7</f>
        <v>#REF!</v>
      </c>
      <c r="BR364" s="2003">
        <f t="shared" si="739"/>
        <v>0</v>
      </c>
      <c r="BS364" s="1989" t="e">
        <f>#REF!/10^7</f>
        <v>#REF!</v>
      </c>
      <c r="BT364" s="1989" t="e">
        <f>#REF!/10^7</f>
        <v>#REF!</v>
      </c>
      <c r="BU364" s="2002" t="e">
        <f t="shared" si="740"/>
        <v>#REF!</v>
      </c>
      <c r="BV364" s="1999" t="e">
        <f t="shared" si="798"/>
        <v>#REF!</v>
      </c>
      <c r="BW364" s="1993" t="e">
        <f>#REF!</f>
        <v>#REF!</v>
      </c>
      <c r="BX364" s="2003">
        <f t="shared" si="741"/>
        <v>0</v>
      </c>
      <c r="BY364" s="1989" t="e">
        <f>#REF!/10^7</f>
        <v>#REF!</v>
      </c>
      <c r="BZ364" s="2003">
        <f t="shared" si="742"/>
        <v>0</v>
      </c>
      <c r="CA364" s="1989" t="e">
        <f>#REF!/10^7</f>
        <v>#REF!</v>
      </c>
      <c r="CB364" s="2003">
        <f t="shared" si="743"/>
        <v>0</v>
      </c>
      <c r="CC364" s="1989" t="e">
        <f>#REF!/10^7</f>
        <v>#REF!</v>
      </c>
      <c r="CD364" s="1989" t="e">
        <f>#REF!/10^7</f>
        <v>#REF!</v>
      </c>
      <c r="CE364" s="2002" t="e">
        <f t="shared" si="744"/>
        <v>#REF!</v>
      </c>
      <c r="CF364" s="1999" t="e">
        <f t="shared" si="799"/>
        <v>#REF!</v>
      </c>
      <c r="CG364" s="1993" t="e">
        <f>#REF!</f>
        <v>#REF!</v>
      </c>
      <c r="CH364" s="2003">
        <f t="shared" si="745"/>
        <v>0</v>
      </c>
      <c r="CI364" s="1989" t="e">
        <f>#REF!/10^7</f>
        <v>#REF!</v>
      </c>
      <c r="CJ364" s="2003">
        <f t="shared" si="746"/>
        <v>0</v>
      </c>
      <c r="CK364" s="1989" t="e">
        <f>#REF!/10^7</f>
        <v>#REF!</v>
      </c>
      <c r="CL364" s="2003">
        <f t="shared" si="747"/>
        <v>0</v>
      </c>
      <c r="CM364" s="1989" t="e">
        <f>#REF!/10^7</f>
        <v>#REF!</v>
      </c>
      <c r="CN364" s="1989" t="e">
        <f>#REF!/10^7</f>
        <v>#REF!</v>
      </c>
      <c r="CO364" s="2002" t="e">
        <f t="shared" si="748"/>
        <v>#REF!</v>
      </c>
      <c r="CP364" s="1999" t="e">
        <f t="shared" si="800"/>
        <v>#REF!</v>
      </c>
      <c r="CQ364" s="1993" t="e">
        <f>#REF!</f>
        <v>#REF!</v>
      </c>
      <c r="CR364" s="2003">
        <f t="shared" si="749"/>
        <v>0</v>
      </c>
      <c r="CS364" s="1989" t="e">
        <f>#REF!/10^7</f>
        <v>#REF!</v>
      </c>
      <c r="CT364" s="2003">
        <f t="shared" si="750"/>
        <v>0</v>
      </c>
      <c r="CU364" s="1989" t="e">
        <f>#REF!/10^7</f>
        <v>#REF!</v>
      </c>
      <c r="CV364" s="2003">
        <f t="shared" si="751"/>
        <v>0</v>
      </c>
      <c r="CW364" s="1989" t="e">
        <f>#REF!/10^7</f>
        <v>#REF!</v>
      </c>
      <c r="CX364" s="1989" t="e">
        <f>#REF!/10^7</f>
        <v>#REF!</v>
      </c>
      <c r="CY364" s="2002" t="e">
        <f t="shared" si="752"/>
        <v>#REF!</v>
      </c>
      <c r="CZ364" s="1999" t="e">
        <f t="shared" si="801"/>
        <v>#REF!</v>
      </c>
      <c r="DA364" s="1993" t="e">
        <f>#REF!</f>
        <v>#REF!</v>
      </c>
      <c r="DB364" s="2003">
        <f t="shared" si="753"/>
        <v>0</v>
      </c>
      <c r="DC364" s="1989" t="e">
        <f>#REF!/10^7</f>
        <v>#REF!</v>
      </c>
      <c r="DD364" s="2003">
        <f t="shared" si="754"/>
        <v>0</v>
      </c>
      <c r="DE364" s="1989" t="e">
        <f>#REF!/10^7</f>
        <v>#REF!</v>
      </c>
      <c r="DF364" s="2003">
        <f t="shared" si="755"/>
        <v>0</v>
      </c>
      <c r="DG364" s="1989" t="e">
        <f>#REF!/10^7</f>
        <v>#REF!</v>
      </c>
      <c r="DH364" s="1989" t="e">
        <f>#REF!/10^7</f>
        <v>#REF!</v>
      </c>
      <c r="DI364" s="2002" t="e">
        <f t="shared" si="756"/>
        <v>#REF!</v>
      </c>
      <c r="DJ364" s="1999" t="e">
        <f t="shared" si="802"/>
        <v>#REF!</v>
      </c>
      <c r="DK364" s="1993" t="e">
        <f>#REF!</f>
        <v>#REF!</v>
      </c>
      <c r="DL364" s="2003">
        <f t="shared" si="757"/>
        <v>0</v>
      </c>
      <c r="DM364" s="1989" t="e">
        <f>#REF!/10^7</f>
        <v>#REF!</v>
      </c>
      <c r="DN364" s="2003">
        <f t="shared" si="758"/>
        <v>0</v>
      </c>
      <c r="DO364" s="1989" t="e">
        <f>#REF!/10^7</f>
        <v>#REF!</v>
      </c>
      <c r="DP364" s="2003">
        <f t="shared" si="759"/>
        <v>0</v>
      </c>
      <c r="DQ364" s="1989" t="e">
        <f>#REF!/10^7</f>
        <v>#REF!</v>
      </c>
      <c r="DR364" s="1989" t="e">
        <f>#REF!/10^7</f>
        <v>#REF!</v>
      </c>
      <c r="DS364" s="2002" t="e">
        <f t="shared" si="760"/>
        <v>#REF!</v>
      </c>
      <c r="DT364" s="2004" t="e">
        <f t="shared" si="803"/>
        <v>#REF!</v>
      </c>
      <c r="DU364" s="1988" t="e">
        <f>#REF!</f>
        <v>#REF!</v>
      </c>
      <c r="DV364" s="2003">
        <f t="shared" si="761"/>
        <v>0</v>
      </c>
      <c r="DW364" s="1989" t="e">
        <f>#REF!/10^7</f>
        <v>#REF!</v>
      </c>
      <c r="DX364" s="2003">
        <f t="shared" si="762"/>
        <v>0</v>
      </c>
      <c r="DY364" s="1989" t="e">
        <f>#REF!/10^7</f>
        <v>#REF!</v>
      </c>
      <c r="DZ364" s="2003">
        <f t="shared" si="763"/>
        <v>0</v>
      </c>
      <c r="EA364" s="1989" t="e">
        <f>#REF!/10^7</f>
        <v>#REF!</v>
      </c>
      <c r="EB364" s="1989" t="e">
        <f>#REF!/10^7</f>
        <v>#REF!</v>
      </c>
      <c r="EC364" s="2002" t="e">
        <f t="shared" si="764"/>
        <v>#REF!</v>
      </c>
      <c r="ED364" s="1998" t="e">
        <f t="shared" si="804"/>
        <v>#REF!</v>
      </c>
      <c r="EE364" s="2005" t="e">
        <f t="shared" si="808"/>
        <v>#REF!</v>
      </c>
      <c r="EF364" s="2003">
        <f t="shared" si="766"/>
        <v>0</v>
      </c>
      <c r="EG364" s="1989" t="e">
        <f t="shared" si="805"/>
        <v>#REF!</v>
      </c>
      <c r="EH364" s="2003">
        <f t="shared" si="767"/>
        <v>0</v>
      </c>
      <c r="EI364" s="1989" t="e">
        <f t="shared" si="806"/>
        <v>#REF!</v>
      </c>
      <c r="EJ364" s="2003">
        <f t="shared" si="768"/>
        <v>0</v>
      </c>
      <c r="EK364" s="1989" t="e">
        <f t="shared" si="807"/>
        <v>#REF!</v>
      </c>
      <c r="EL364" s="1989" t="e">
        <f t="shared" si="807"/>
        <v>#REF!</v>
      </c>
      <c r="EM364" s="2006" t="e">
        <f t="shared" si="769"/>
        <v>#REF!</v>
      </c>
      <c r="EN364" s="1999" t="e">
        <f t="shared" si="809"/>
        <v>#REF!</v>
      </c>
      <c r="EP364" s="1613" t="e">
        <f>EA364-#REF!/10^7</f>
        <v>#REF!</v>
      </c>
      <c r="EW364" s="1611" t="e">
        <v>#N/A</v>
      </c>
      <c r="EX364" s="1612" t="e">
        <v>#N/A</v>
      </c>
      <c r="EZ364" s="1650">
        <f t="shared" si="771"/>
        <v>0</v>
      </c>
    </row>
    <row r="365" spans="1:156" ht="21" customHeight="1">
      <c r="A365" s="1652"/>
      <c r="B365" s="1704"/>
      <c r="C365" s="1662"/>
      <c r="D365" s="1648"/>
      <c r="E365" s="1648"/>
      <c r="F365" s="1648"/>
      <c r="G365" s="1648"/>
      <c r="H365" s="1648"/>
      <c r="I365" s="1648"/>
      <c r="J365" s="1663"/>
      <c r="K365" s="1648"/>
      <c r="L365" s="1648"/>
      <c r="M365" s="1648"/>
      <c r="N365" s="1642"/>
      <c r="O365" s="2000"/>
      <c r="P365" s="2003">
        <f t="shared" si="717"/>
        <v>0</v>
      </c>
      <c r="Q365" s="1989"/>
      <c r="R365" s="2003">
        <f t="shared" si="718"/>
        <v>0</v>
      </c>
      <c r="S365" s="1989"/>
      <c r="T365" s="2003">
        <f t="shared" si="719"/>
        <v>0</v>
      </c>
      <c r="U365" s="1989"/>
      <c r="V365" s="1989"/>
      <c r="W365" s="1989">
        <f t="shared" si="720"/>
        <v>0</v>
      </c>
      <c r="X365" s="1999">
        <f t="shared" si="793"/>
        <v>0</v>
      </c>
      <c r="Y365" s="1993"/>
      <c r="Z365" s="2003">
        <f t="shared" si="721"/>
        <v>0</v>
      </c>
      <c r="AA365" s="1989"/>
      <c r="AB365" s="2003">
        <f t="shared" si="722"/>
        <v>0</v>
      </c>
      <c r="AC365" s="1989"/>
      <c r="AD365" s="2003">
        <f t="shared" si="723"/>
        <v>0</v>
      </c>
      <c r="AE365" s="1989"/>
      <c r="AF365" s="1989"/>
      <c r="AG365" s="2002">
        <f t="shared" si="724"/>
        <v>0</v>
      </c>
      <c r="AH365" s="1999"/>
      <c r="AI365" s="1993"/>
      <c r="AJ365" s="2003">
        <f t="shared" si="725"/>
        <v>0</v>
      </c>
      <c r="AK365" s="1989"/>
      <c r="AL365" s="2003">
        <f t="shared" si="726"/>
        <v>0</v>
      </c>
      <c r="AM365" s="1989"/>
      <c r="AN365" s="2003">
        <f t="shared" si="727"/>
        <v>0</v>
      </c>
      <c r="AO365" s="1989"/>
      <c r="AP365" s="1989"/>
      <c r="AQ365" s="2002">
        <f t="shared" si="728"/>
        <v>0</v>
      </c>
      <c r="AR365" s="1999">
        <f>AO365+AM365+AK365</f>
        <v>0</v>
      </c>
      <c r="AS365" s="1993"/>
      <c r="AT365" s="2003">
        <f t="shared" si="729"/>
        <v>0</v>
      </c>
      <c r="AU365" s="1989"/>
      <c r="AV365" s="2003">
        <f t="shared" si="730"/>
        <v>0</v>
      </c>
      <c r="AW365" s="1989"/>
      <c r="AX365" s="2003">
        <f t="shared" si="731"/>
        <v>0</v>
      </c>
      <c r="AY365" s="1989"/>
      <c r="AZ365" s="1989"/>
      <c r="BA365" s="2002">
        <f t="shared" si="732"/>
        <v>0</v>
      </c>
      <c r="BB365" s="1999">
        <f>AY365+AW365+AU365</f>
        <v>0</v>
      </c>
      <c r="BC365" s="1993"/>
      <c r="BD365" s="2003">
        <f t="shared" si="733"/>
        <v>0</v>
      </c>
      <c r="BE365" s="1989"/>
      <c r="BF365" s="2003">
        <f t="shared" si="734"/>
        <v>0</v>
      </c>
      <c r="BG365" s="1989"/>
      <c r="BH365" s="2003">
        <f t="shared" si="735"/>
        <v>0</v>
      </c>
      <c r="BI365" s="1989"/>
      <c r="BJ365" s="1989"/>
      <c r="BK365" s="2002">
        <f t="shared" si="736"/>
        <v>0</v>
      </c>
      <c r="BL365" s="1999">
        <f>BI365+BG365+BE365</f>
        <v>0</v>
      </c>
      <c r="BM365" s="1993"/>
      <c r="BN365" s="2003">
        <f t="shared" si="737"/>
        <v>0</v>
      </c>
      <c r="BO365" s="1989"/>
      <c r="BP365" s="2003">
        <f t="shared" si="738"/>
        <v>0</v>
      </c>
      <c r="BQ365" s="1989"/>
      <c r="BR365" s="2003">
        <f t="shared" si="739"/>
        <v>0</v>
      </c>
      <c r="BS365" s="1989"/>
      <c r="BT365" s="1989"/>
      <c r="BU365" s="2002">
        <f t="shared" si="740"/>
        <v>0</v>
      </c>
      <c r="BV365" s="1999">
        <f>BS365+BQ365+BO365</f>
        <v>0</v>
      </c>
      <c r="BW365" s="1993"/>
      <c r="BX365" s="2003">
        <f t="shared" si="741"/>
        <v>0</v>
      </c>
      <c r="BY365" s="1989"/>
      <c r="BZ365" s="2003">
        <f t="shared" si="742"/>
        <v>0</v>
      </c>
      <c r="CA365" s="1989"/>
      <c r="CB365" s="2003">
        <f t="shared" si="743"/>
        <v>0</v>
      </c>
      <c r="CC365" s="1989"/>
      <c r="CD365" s="1989"/>
      <c r="CE365" s="2002">
        <f t="shared" si="744"/>
        <v>0</v>
      </c>
      <c r="CF365" s="1999">
        <f>CC365+CA365+BY365</f>
        <v>0</v>
      </c>
      <c r="CG365" s="1993"/>
      <c r="CH365" s="2003">
        <f t="shared" si="745"/>
        <v>0</v>
      </c>
      <c r="CI365" s="1989"/>
      <c r="CJ365" s="2003">
        <f t="shared" si="746"/>
        <v>0</v>
      </c>
      <c r="CK365" s="1989"/>
      <c r="CL365" s="2003">
        <f t="shared" si="747"/>
        <v>0</v>
      </c>
      <c r="CM365" s="1989"/>
      <c r="CN365" s="1989"/>
      <c r="CO365" s="2002">
        <f t="shared" si="748"/>
        <v>0</v>
      </c>
      <c r="CP365" s="1999">
        <f>CM365+CK365+CI365</f>
        <v>0</v>
      </c>
      <c r="CQ365" s="1993"/>
      <c r="CR365" s="2003">
        <f t="shared" si="749"/>
        <v>0</v>
      </c>
      <c r="CS365" s="1989"/>
      <c r="CT365" s="2003">
        <f t="shared" si="750"/>
        <v>0</v>
      </c>
      <c r="CU365" s="1989"/>
      <c r="CV365" s="2003">
        <f t="shared" si="751"/>
        <v>0</v>
      </c>
      <c r="CW365" s="1989"/>
      <c r="CX365" s="1989"/>
      <c r="CY365" s="2002">
        <f t="shared" si="752"/>
        <v>0</v>
      </c>
      <c r="CZ365" s="1999">
        <f t="shared" si="801"/>
        <v>0</v>
      </c>
      <c r="DA365" s="1993"/>
      <c r="DB365" s="2003">
        <f t="shared" si="753"/>
        <v>0</v>
      </c>
      <c r="DC365" s="1989"/>
      <c r="DD365" s="2003">
        <f t="shared" si="754"/>
        <v>0</v>
      </c>
      <c r="DE365" s="1989"/>
      <c r="DF365" s="2003">
        <f t="shared" si="755"/>
        <v>0</v>
      </c>
      <c r="DG365" s="1989"/>
      <c r="DH365" s="1989"/>
      <c r="DI365" s="2002">
        <f t="shared" si="756"/>
        <v>0</v>
      </c>
      <c r="DJ365" s="1999">
        <f t="shared" si="802"/>
        <v>0</v>
      </c>
      <c r="DK365" s="1993"/>
      <c r="DL365" s="2003">
        <f t="shared" si="757"/>
        <v>0</v>
      </c>
      <c r="DM365" s="1989"/>
      <c r="DN365" s="2003">
        <f t="shared" si="758"/>
        <v>0</v>
      </c>
      <c r="DO365" s="1989"/>
      <c r="DP365" s="2003">
        <f t="shared" si="759"/>
        <v>0</v>
      </c>
      <c r="DQ365" s="1989"/>
      <c r="DR365" s="1989"/>
      <c r="DS365" s="2002">
        <f t="shared" si="760"/>
        <v>0</v>
      </c>
      <c r="DT365" s="2004">
        <f t="shared" si="803"/>
        <v>0</v>
      </c>
      <c r="DU365" s="1988"/>
      <c r="DV365" s="2003">
        <f t="shared" si="761"/>
        <v>0</v>
      </c>
      <c r="DW365" s="1989"/>
      <c r="DX365" s="2003">
        <f t="shared" si="762"/>
        <v>0</v>
      </c>
      <c r="DY365" s="1989"/>
      <c r="DZ365" s="2003">
        <f t="shared" si="763"/>
        <v>0</v>
      </c>
      <c r="EA365" s="1989"/>
      <c r="EB365" s="1989"/>
      <c r="EC365" s="2002">
        <f t="shared" si="764"/>
        <v>0</v>
      </c>
      <c r="ED365" s="1998">
        <f t="shared" si="804"/>
        <v>0</v>
      </c>
      <c r="EE365" s="2005">
        <f t="shared" si="808"/>
        <v>0</v>
      </c>
      <c r="EF365" s="2003">
        <f t="shared" si="766"/>
        <v>0</v>
      </c>
      <c r="EG365" s="1989">
        <f t="shared" si="805"/>
        <v>0</v>
      </c>
      <c r="EH365" s="2003">
        <f t="shared" si="767"/>
        <v>0</v>
      </c>
      <c r="EI365" s="1989">
        <f t="shared" si="806"/>
        <v>0</v>
      </c>
      <c r="EJ365" s="2003">
        <f t="shared" si="768"/>
        <v>0</v>
      </c>
      <c r="EK365" s="1989">
        <f t="shared" si="807"/>
        <v>0</v>
      </c>
      <c r="EL365" s="1989">
        <f t="shared" si="807"/>
        <v>0</v>
      </c>
      <c r="EM365" s="2006">
        <f t="shared" si="769"/>
        <v>0</v>
      </c>
      <c r="EN365" s="1999">
        <f t="shared" si="809"/>
        <v>0</v>
      </c>
      <c r="EP365" s="1613" t="e">
        <f>EA365-#REF!/10^7</f>
        <v>#REF!</v>
      </c>
      <c r="EW365" s="1611" t="e">
        <v>#N/A</v>
      </c>
      <c r="EX365" s="1612" t="e">
        <v>#N/A</v>
      </c>
      <c r="EZ365" s="1650">
        <f t="shared" si="771"/>
        <v>0</v>
      </c>
    </row>
    <row r="366" spans="1:156" s="1660" customFormat="1" ht="21" customHeight="1">
      <c r="A366" s="1637"/>
      <c r="B366" s="1654" t="s">
        <v>1855</v>
      </c>
      <c r="C366" s="1655"/>
      <c r="D366" s="1656"/>
      <c r="E366" s="1656"/>
      <c r="F366" s="1656"/>
      <c r="G366" s="1656"/>
      <c r="H366" s="1656"/>
      <c r="I366" s="1656"/>
      <c r="J366" s="1657"/>
      <c r="K366" s="1656"/>
      <c r="L366" s="1656"/>
      <c r="M366" s="1656"/>
      <c r="N366" s="1658"/>
      <c r="O366" s="2007" t="e">
        <f>SUM(O357:O362)</f>
        <v>#REF!</v>
      </c>
      <c r="P366" s="2003">
        <f t="shared" si="717"/>
        <v>0</v>
      </c>
      <c r="Q366" s="1826" t="e">
        <f>SUM(Q357:Q362)</f>
        <v>#REF!</v>
      </c>
      <c r="R366" s="2003">
        <f t="shared" si="718"/>
        <v>0</v>
      </c>
      <c r="S366" s="1826" t="e">
        <f>SUM(S357:S362)</f>
        <v>#REF!</v>
      </c>
      <c r="T366" s="2003">
        <f t="shared" si="719"/>
        <v>0</v>
      </c>
      <c r="U366" s="1826" t="e">
        <f>SUM(U357:U362)</f>
        <v>#REF!</v>
      </c>
      <c r="V366" s="1826"/>
      <c r="W366" s="1989">
        <f t="shared" si="720"/>
        <v>0</v>
      </c>
      <c r="X366" s="2008" t="e">
        <f t="shared" ref="X366:AF366" si="810">SUM(X357:X362)</f>
        <v>#REF!</v>
      </c>
      <c r="Y366" s="2007" t="e">
        <f t="shared" si="810"/>
        <v>#REF!</v>
      </c>
      <c r="Z366" s="2003">
        <f t="shared" si="721"/>
        <v>0</v>
      </c>
      <c r="AA366" s="1826" t="e">
        <f t="shared" si="810"/>
        <v>#REF!</v>
      </c>
      <c r="AB366" s="2003">
        <f t="shared" si="722"/>
        <v>0</v>
      </c>
      <c r="AC366" s="1826" t="e">
        <f t="shared" si="810"/>
        <v>#REF!</v>
      </c>
      <c r="AD366" s="2003">
        <f t="shared" si="723"/>
        <v>0</v>
      </c>
      <c r="AE366" s="1826" t="e">
        <f t="shared" si="810"/>
        <v>#REF!</v>
      </c>
      <c r="AF366" s="1826" t="e">
        <f t="shared" si="810"/>
        <v>#REF!</v>
      </c>
      <c r="AG366" s="2002" t="e">
        <f t="shared" si="724"/>
        <v>#REF!</v>
      </c>
      <c r="AH366" s="2008" t="e">
        <f t="shared" ref="AH366:AP366" si="811">SUM(AH357:AH362)</f>
        <v>#REF!</v>
      </c>
      <c r="AI366" s="2007" t="e">
        <f t="shared" si="811"/>
        <v>#REF!</v>
      </c>
      <c r="AJ366" s="2003">
        <f t="shared" si="725"/>
        <v>0</v>
      </c>
      <c r="AK366" s="1826" t="e">
        <f t="shared" si="811"/>
        <v>#REF!</v>
      </c>
      <c r="AL366" s="2003">
        <f t="shared" si="726"/>
        <v>0</v>
      </c>
      <c r="AM366" s="1826" t="e">
        <f t="shared" si="811"/>
        <v>#REF!</v>
      </c>
      <c r="AN366" s="2003">
        <f t="shared" si="727"/>
        <v>0</v>
      </c>
      <c r="AO366" s="1826" t="e">
        <f t="shared" si="811"/>
        <v>#REF!</v>
      </c>
      <c r="AP366" s="1826" t="e">
        <f t="shared" si="811"/>
        <v>#REF!</v>
      </c>
      <c r="AQ366" s="2002" t="e">
        <f t="shared" si="728"/>
        <v>#REF!</v>
      </c>
      <c r="AR366" s="2008" t="e">
        <f t="shared" ref="AR366:AZ366" si="812">SUM(AR357:AR362)</f>
        <v>#REF!</v>
      </c>
      <c r="AS366" s="2007" t="e">
        <f t="shared" si="812"/>
        <v>#REF!</v>
      </c>
      <c r="AT366" s="2003">
        <f t="shared" si="729"/>
        <v>0</v>
      </c>
      <c r="AU366" s="1826" t="e">
        <f t="shared" si="812"/>
        <v>#REF!</v>
      </c>
      <c r="AV366" s="2003">
        <f t="shared" si="730"/>
        <v>0</v>
      </c>
      <c r="AW366" s="1826" t="e">
        <f t="shared" si="812"/>
        <v>#REF!</v>
      </c>
      <c r="AX366" s="2003">
        <f t="shared" si="731"/>
        <v>0</v>
      </c>
      <c r="AY366" s="1826" t="e">
        <f t="shared" si="812"/>
        <v>#REF!</v>
      </c>
      <c r="AZ366" s="1826" t="e">
        <f t="shared" si="812"/>
        <v>#REF!</v>
      </c>
      <c r="BA366" s="2002" t="e">
        <f t="shared" si="732"/>
        <v>#REF!</v>
      </c>
      <c r="BB366" s="2008" t="e">
        <f t="shared" ref="BB366:BJ366" si="813">SUM(BB357:BB362)</f>
        <v>#REF!</v>
      </c>
      <c r="BC366" s="2007" t="e">
        <f t="shared" si="813"/>
        <v>#REF!</v>
      </c>
      <c r="BD366" s="2003">
        <f t="shared" si="733"/>
        <v>0</v>
      </c>
      <c r="BE366" s="1826" t="e">
        <f t="shared" si="813"/>
        <v>#REF!</v>
      </c>
      <c r="BF366" s="2003">
        <f t="shared" si="734"/>
        <v>0</v>
      </c>
      <c r="BG366" s="1826" t="e">
        <f t="shared" si="813"/>
        <v>#REF!</v>
      </c>
      <c r="BH366" s="2003">
        <f t="shared" si="735"/>
        <v>0</v>
      </c>
      <c r="BI366" s="1826" t="e">
        <f t="shared" si="813"/>
        <v>#REF!</v>
      </c>
      <c r="BJ366" s="1826" t="e">
        <f t="shared" si="813"/>
        <v>#REF!</v>
      </c>
      <c r="BK366" s="2002" t="e">
        <f t="shared" si="736"/>
        <v>#REF!</v>
      </c>
      <c r="BL366" s="2008" t="e">
        <f t="shared" ref="BL366:BT366" si="814">SUM(BL357:BL362)</f>
        <v>#REF!</v>
      </c>
      <c r="BM366" s="2007" t="e">
        <f t="shared" si="814"/>
        <v>#REF!</v>
      </c>
      <c r="BN366" s="2003">
        <f t="shared" si="737"/>
        <v>0</v>
      </c>
      <c r="BO366" s="1826" t="e">
        <f t="shared" si="814"/>
        <v>#REF!</v>
      </c>
      <c r="BP366" s="2003">
        <f t="shared" si="738"/>
        <v>0</v>
      </c>
      <c r="BQ366" s="1826" t="e">
        <f t="shared" si="814"/>
        <v>#REF!</v>
      </c>
      <c r="BR366" s="2003">
        <f t="shared" si="739"/>
        <v>0</v>
      </c>
      <c r="BS366" s="1826" t="e">
        <f t="shared" si="814"/>
        <v>#REF!</v>
      </c>
      <c r="BT366" s="1826" t="e">
        <f t="shared" si="814"/>
        <v>#REF!</v>
      </c>
      <c r="BU366" s="2002" t="e">
        <f t="shared" si="740"/>
        <v>#REF!</v>
      </c>
      <c r="BV366" s="2008" t="e">
        <f t="shared" ref="BV366:CD366" si="815">SUM(BV357:BV362)</f>
        <v>#REF!</v>
      </c>
      <c r="BW366" s="2007" t="e">
        <f t="shared" si="815"/>
        <v>#REF!</v>
      </c>
      <c r="BX366" s="2003">
        <f t="shared" si="741"/>
        <v>0</v>
      </c>
      <c r="BY366" s="1826" t="e">
        <f t="shared" si="815"/>
        <v>#REF!</v>
      </c>
      <c r="BZ366" s="2003">
        <f t="shared" si="742"/>
        <v>0</v>
      </c>
      <c r="CA366" s="1826" t="e">
        <f t="shared" si="815"/>
        <v>#REF!</v>
      </c>
      <c r="CB366" s="2003">
        <f t="shared" si="743"/>
        <v>0</v>
      </c>
      <c r="CC366" s="1826" t="e">
        <f t="shared" si="815"/>
        <v>#REF!</v>
      </c>
      <c r="CD366" s="1826" t="e">
        <f t="shared" si="815"/>
        <v>#REF!</v>
      </c>
      <c r="CE366" s="2002" t="e">
        <f t="shared" si="744"/>
        <v>#REF!</v>
      </c>
      <c r="CF366" s="2008" t="e">
        <f t="shared" ref="CF366:CN366" si="816">SUM(CF357:CF362)</f>
        <v>#REF!</v>
      </c>
      <c r="CG366" s="2007" t="e">
        <f t="shared" si="816"/>
        <v>#REF!</v>
      </c>
      <c r="CH366" s="2003">
        <f t="shared" si="745"/>
        <v>0</v>
      </c>
      <c r="CI366" s="1826" t="e">
        <f t="shared" si="816"/>
        <v>#REF!</v>
      </c>
      <c r="CJ366" s="2003">
        <f t="shared" si="746"/>
        <v>0</v>
      </c>
      <c r="CK366" s="1826" t="e">
        <f t="shared" si="816"/>
        <v>#REF!</v>
      </c>
      <c r="CL366" s="2003">
        <f t="shared" si="747"/>
        <v>0</v>
      </c>
      <c r="CM366" s="1826" t="e">
        <f t="shared" si="816"/>
        <v>#REF!</v>
      </c>
      <c r="CN366" s="1826" t="e">
        <f t="shared" si="816"/>
        <v>#REF!</v>
      </c>
      <c r="CO366" s="2002" t="e">
        <f t="shared" si="748"/>
        <v>#REF!</v>
      </c>
      <c r="CP366" s="2008" t="e">
        <f t="shared" ref="CP366:CX366" si="817">SUM(CP357:CP362)</f>
        <v>#REF!</v>
      </c>
      <c r="CQ366" s="2007" t="e">
        <f t="shared" si="817"/>
        <v>#REF!</v>
      </c>
      <c r="CR366" s="2003">
        <f t="shared" si="749"/>
        <v>0</v>
      </c>
      <c r="CS366" s="1826" t="e">
        <f t="shared" si="817"/>
        <v>#REF!</v>
      </c>
      <c r="CT366" s="2003">
        <f t="shared" si="750"/>
        <v>0</v>
      </c>
      <c r="CU366" s="1826" t="e">
        <f t="shared" si="817"/>
        <v>#REF!</v>
      </c>
      <c r="CV366" s="2003">
        <f t="shared" si="751"/>
        <v>0</v>
      </c>
      <c r="CW366" s="1826" t="e">
        <f t="shared" si="817"/>
        <v>#REF!</v>
      </c>
      <c r="CX366" s="1826" t="e">
        <f t="shared" si="817"/>
        <v>#REF!</v>
      </c>
      <c r="CY366" s="2002" t="e">
        <f t="shared" si="752"/>
        <v>#REF!</v>
      </c>
      <c r="CZ366" s="2008" t="e">
        <f t="shared" ref="CZ366:DH366" si="818">SUM(CZ357:CZ362)</f>
        <v>#REF!</v>
      </c>
      <c r="DA366" s="2007" t="e">
        <f>SUM(DA357:DA362)</f>
        <v>#REF!</v>
      </c>
      <c r="DB366" s="2003">
        <f t="shared" si="753"/>
        <v>0</v>
      </c>
      <c r="DC366" s="1826" t="e">
        <f t="shared" si="818"/>
        <v>#REF!</v>
      </c>
      <c r="DD366" s="2003">
        <f t="shared" si="754"/>
        <v>0</v>
      </c>
      <c r="DE366" s="1826" t="e">
        <f t="shared" si="818"/>
        <v>#REF!</v>
      </c>
      <c r="DF366" s="2003">
        <f t="shared" si="755"/>
        <v>0</v>
      </c>
      <c r="DG366" s="1826" t="e">
        <f t="shared" si="818"/>
        <v>#REF!</v>
      </c>
      <c r="DH366" s="1826" t="e">
        <f t="shared" si="818"/>
        <v>#REF!</v>
      </c>
      <c r="DI366" s="2002" t="e">
        <f t="shared" si="756"/>
        <v>#REF!</v>
      </c>
      <c r="DJ366" s="2008" t="e">
        <f t="shared" ref="DJ366:DR366" si="819">SUM(DJ357:DJ362)</f>
        <v>#REF!</v>
      </c>
      <c r="DK366" s="2007" t="e">
        <f>SUM(DK357:DK362)</f>
        <v>#REF!</v>
      </c>
      <c r="DL366" s="2003">
        <f t="shared" si="757"/>
        <v>0</v>
      </c>
      <c r="DM366" s="1826" t="e">
        <f t="shared" si="819"/>
        <v>#REF!</v>
      </c>
      <c r="DN366" s="2003">
        <f t="shared" si="758"/>
        <v>0</v>
      </c>
      <c r="DO366" s="1826" t="e">
        <f t="shared" si="819"/>
        <v>#REF!</v>
      </c>
      <c r="DP366" s="2003">
        <f t="shared" si="759"/>
        <v>0</v>
      </c>
      <c r="DQ366" s="1826" t="e">
        <f>SUM(DQ357:DQ362)</f>
        <v>#REF!</v>
      </c>
      <c r="DR366" s="1826" t="e">
        <f t="shared" si="819"/>
        <v>#REF!</v>
      </c>
      <c r="DS366" s="2002" t="e">
        <f t="shared" si="760"/>
        <v>#REF!</v>
      </c>
      <c r="DT366" s="2009" t="e">
        <f t="shared" ref="DT366:EB366" si="820">SUM(DT357:DT362)</f>
        <v>#REF!</v>
      </c>
      <c r="DU366" s="2010" t="e">
        <f t="shared" si="820"/>
        <v>#REF!</v>
      </c>
      <c r="DV366" s="2003">
        <f t="shared" si="761"/>
        <v>0</v>
      </c>
      <c r="DW366" s="1826" t="e">
        <f t="shared" si="820"/>
        <v>#REF!</v>
      </c>
      <c r="DX366" s="2003">
        <f t="shared" si="762"/>
        <v>0</v>
      </c>
      <c r="DY366" s="1826" t="e">
        <f t="shared" si="820"/>
        <v>#REF!</v>
      </c>
      <c r="DZ366" s="2003">
        <f t="shared" si="763"/>
        <v>0</v>
      </c>
      <c r="EA366" s="1826" t="e">
        <f t="shared" si="820"/>
        <v>#REF!</v>
      </c>
      <c r="EB366" s="1826" t="e">
        <f t="shared" si="820"/>
        <v>#REF!</v>
      </c>
      <c r="EC366" s="2002" t="e">
        <f t="shared" si="764"/>
        <v>#REF!</v>
      </c>
      <c r="ED366" s="1826" t="e">
        <f t="shared" ref="ED366:EL366" si="821">SUM(ED357:ED362)</f>
        <v>#REF!</v>
      </c>
      <c r="EE366" s="2011" t="e">
        <f>SUM(EE357:EE362)</f>
        <v>#REF!</v>
      </c>
      <c r="EF366" s="2003">
        <f t="shared" si="766"/>
        <v>0</v>
      </c>
      <c r="EG366" s="1826" t="e">
        <f t="shared" si="821"/>
        <v>#REF!</v>
      </c>
      <c r="EH366" s="2003">
        <f t="shared" si="767"/>
        <v>0</v>
      </c>
      <c r="EI366" s="1826" t="e">
        <f t="shared" si="821"/>
        <v>#REF!</v>
      </c>
      <c r="EJ366" s="2003">
        <f t="shared" si="768"/>
        <v>0</v>
      </c>
      <c r="EK366" s="1826" t="e">
        <f t="shared" si="821"/>
        <v>#REF!</v>
      </c>
      <c r="EL366" s="1826" t="e">
        <f t="shared" si="821"/>
        <v>#REF!</v>
      </c>
      <c r="EM366" s="2006" t="e">
        <f t="shared" si="769"/>
        <v>#REF!</v>
      </c>
      <c r="EN366" s="2008" t="e">
        <f>SUM(EN357:EN362)</f>
        <v>#REF!</v>
      </c>
      <c r="EO366" s="1659"/>
      <c r="EP366" s="1613" t="e">
        <f>EA366-#REF!/10^7</f>
        <v>#REF!</v>
      </c>
      <c r="EQ366" s="1661"/>
      <c r="EW366" s="1611" t="e">
        <v>#N/A</v>
      </c>
      <c r="EX366" s="1612" t="e">
        <v>#N/A</v>
      </c>
      <c r="EZ366" s="1650">
        <f t="shared" si="771"/>
        <v>0</v>
      </c>
    </row>
    <row r="367" spans="1:156" ht="21" customHeight="1">
      <c r="A367" s="1652"/>
      <c r="B367" s="1704"/>
      <c r="C367" s="1662"/>
      <c r="D367" s="1648"/>
      <c r="E367" s="1648"/>
      <c r="F367" s="1648"/>
      <c r="G367" s="1648"/>
      <c r="H367" s="1648"/>
      <c r="I367" s="1648"/>
      <c r="J367" s="1663"/>
      <c r="K367" s="1648"/>
      <c r="L367" s="1648"/>
      <c r="M367" s="1648"/>
      <c r="N367" s="1642"/>
      <c r="O367" s="2000"/>
      <c r="P367" s="2003">
        <f t="shared" si="717"/>
        <v>0</v>
      </c>
      <c r="Q367" s="1989"/>
      <c r="R367" s="2003">
        <f t="shared" si="718"/>
        <v>0</v>
      </c>
      <c r="S367" s="1989"/>
      <c r="T367" s="2003">
        <f t="shared" si="719"/>
        <v>0</v>
      </c>
      <c r="U367" s="1989"/>
      <c r="V367" s="1989"/>
      <c r="W367" s="1989">
        <f t="shared" si="720"/>
        <v>0</v>
      </c>
      <c r="X367" s="1999"/>
      <c r="Y367" s="1993"/>
      <c r="Z367" s="2003">
        <f t="shared" si="721"/>
        <v>0</v>
      </c>
      <c r="AA367" s="1989"/>
      <c r="AB367" s="2003">
        <f t="shared" si="722"/>
        <v>0</v>
      </c>
      <c r="AC367" s="1989"/>
      <c r="AD367" s="2003">
        <f t="shared" si="723"/>
        <v>0</v>
      </c>
      <c r="AE367" s="1989"/>
      <c r="AF367" s="1989"/>
      <c r="AG367" s="2002">
        <f t="shared" si="724"/>
        <v>0</v>
      </c>
      <c r="AH367" s="1999"/>
      <c r="AI367" s="1993"/>
      <c r="AJ367" s="2003">
        <f t="shared" si="725"/>
        <v>0</v>
      </c>
      <c r="AK367" s="1989"/>
      <c r="AL367" s="2003">
        <f t="shared" si="726"/>
        <v>0</v>
      </c>
      <c r="AM367" s="1989"/>
      <c r="AN367" s="2003">
        <f t="shared" si="727"/>
        <v>0</v>
      </c>
      <c r="AO367" s="1989"/>
      <c r="AP367" s="1989"/>
      <c r="AQ367" s="2002">
        <f t="shared" si="728"/>
        <v>0</v>
      </c>
      <c r="AR367" s="1999"/>
      <c r="AS367" s="1993"/>
      <c r="AT367" s="2003">
        <f t="shared" si="729"/>
        <v>0</v>
      </c>
      <c r="AU367" s="1989"/>
      <c r="AV367" s="2003">
        <f t="shared" si="730"/>
        <v>0</v>
      </c>
      <c r="AW367" s="1989"/>
      <c r="AX367" s="2003">
        <f t="shared" si="731"/>
        <v>0</v>
      </c>
      <c r="AY367" s="1989"/>
      <c r="AZ367" s="1989"/>
      <c r="BA367" s="2002">
        <f t="shared" si="732"/>
        <v>0</v>
      </c>
      <c r="BB367" s="1999"/>
      <c r="BC367" s="1993"/>
      <c r="BD367" s="2003">
        <f t="shared" si="733"/>
        <v>0</v>
      </c>
      <c r="BE367" s="1989"/>
      <c r="BF367" s="2003">
        <f t="shared" si="734"/>
        <v>0</v>
      </c>
      <c r="BG367" s="1989"/>
      <c r="BH367" s="2003">
        <f t="shared" si="735"/>
        <v>0</v>
      </c>
      <c r="BI367" s="1989"/>
      <c r="BJ367" s="1989"/>
      <c r="BK367" s="2002">
        <f t="shared" si="736"/>
        <v>0</v>
      </c>
      <c r="BL367" s="1999"/>
      <c r="BM367" s="1993"/>
      <c r="BN367" s="2003">
        <f t="shared" si="737"/>
        <v>0</v>
      </c>
      <c r="BO367" s="1989"/>
      <c r="BP367" s="2003">
        <f t="shared" si="738"/>
        <v>0</v>
      </c>
      <c r="BQ367" s="1989"/>
      <c r="BR367" s="2003">
        <f t="shared" si="739"/>
        <v>0</v>
      </c>
      <c r="BS367" s="1989"/>
      <c r="BT367" s="1989"/>
      <c r="BU367" s="2002">
        <f t="shared" si="740"/>
        <v>0</v>
      </c>
      <c r="BV367" s="1999"/>
      <c r="BW367" s="1993"/>
      <c r="BX367" s="2003">
        <f t="shared" si="741"/>
        <v>0</v>
      </c>
      <c r="BY367" s="1989"/>
      <c r="BZ367" s="2003">
        <f t="shared" si="742"/>
        <v>0</v>
      </c>
      <c r="CA367" s="1989"/>
      <c r="CB367" s="2003">
        <f t="shared" si="743"/>
        <v>0</v>
      </c>
      <c r="CC367" s="1989"/>
      <c r="CD367" s="1989"/>
      <c r="CE367" s="2002">
        <f t="shared" si="744"/>
        <v>0</v>
      </c>
      <c r="CF367" s="1999"/>
      <c r="CG367" s="1993"/>
      <c r="CH367" s="2003">
        <f t="shared" si="745"/>
        <v>0</v>
      </c>
      <c r="CI367" s="1989"/>
      <c r="CJ367" s="2003">
        <f t="shared" si="746"/>
        <v>0</v>
      </c>
      <c r="CK367" s="1989"/>
      <c r="CL367" s="2003">
        <f t="shared" si="747"/>
        <v>0</v>
      </c>
      <c r="CM367" s="1989"/>
      <c r="CN367" s="1989"/>
      <c r="CO367" s="2002">
        <f t="shared" si="748"/>
        <v>0</v>
      </c>
      <c r="CP367" s="1999"/>
      <c r="CQ367" s="1993"/>
      <c r="CR367" s="2003">
        <f t="shared" si="749"/>
        <v>0</v>
      </c>
      <c r="CS367" s="1989"/>
      <c r="CT367" s="2003">
        <f t="shared" si="750"/>
        <v>0</v>
      </c>
      <c r="CU367" s="1989"/>
      <c r="CV367" s="2003">
        <f t="shared" si="751"/>
        <v>0</v>
      </c>
      <c r="CW367" s="1989"/>
      <c r="CX367" s="1989"/>
      <c r="CY367" s="2002">
        <f t="shared" si="752"/>
        <v>0</v>
      </c>
      <c r="CZ367" s="1999"/>
      <c r="DA367" s="1993"/>
      <c r="DB367" s="2003">
        <f t="shared" si="753"/>
        <v>0</v>
      </c>
      <c r="DC367" s="1989"/>
      <c r="DD367" s="2003">
        <f t="shared" si="754"/>
        <v>0</v>
      </c>
      <c r="DE367" s="1989"/>
      <c r="DF367" s="2003">
        <f t="shared" si="755"/>
        <v>0</v>
      </c>
      <c r="DG367" s="1989"/>
      <c r="DH367" s="1989"/>
      <c r="DI367" s="2002">
        <f t="shared" si="756"/>
        <v>0</v>
      </c>
      <c r="DJ367" s="1999"/>
      <c r="DK367" s="1993"/>
      <c r="DL367" s="2003">
        <f t="shared" si="757"/>
        <v>0</v>
      </c>
      <c r="DM367" s="1989"/>
      <c r="DN367" s="2003">
        <f t="shared" si="758"/>
        <v>0</v>
      </c>
      <c r="DO367" s="1989"/>
      <c r="DP367" s="2003">
        <f t="shared" si="759"/>
        <v>0</v>
      </c>
      <c r="DQ367" s="1989"/>
      <c r="DR367" s="1989"/>
      <c r="DS367" s="2002">
        <f t="shared" si="760"/>
        <v>0</v>
      </c>
      <c r="DT367" s="2004"/>
      <c r="DU367" s="1988"/>
      <c r="DV367" s="2003">
        <f t="shared" si="761"/>
        <v>0</v>
      </c>
      <c r="DW367" s="1989"/>
      <c r="DX367" s="2003">
        <f t="shared" si="762"/>
        <v>0</v>
      </c>
      <c r="DY367" s="1989"/>
      <c r="DZ367" s="2003">
        <f t="shared" si="763"/>
        <v>0</v>
      </c>
      <c r="EA367" s="1989"/>
      <c r="EB367" s="1989"/>
      <c r="EC367" s="2002">
        <f t="shared" si="764"/>
        <v>0</v>
      </c>
      <c r="ED367" s="1998"/>
      <c r="EE367" s="2005"/>
      <c r="EF367" s="2003">
        <f t="shared" si="766"/>
        <v>0</v>
      </c>
      <c r="EG367" s="1989"/>
      <c r="EH367" s="2003">
        <f t="shared" si="767"/>
        <v>0</v>
      </c>
      <c r="EI367" s="1989"/>
      <c r="EJ367" s="2003">
        <f t="shared" si="768"/>
        <v>0</v>
      </c>
      <c r="EK367" s="1989"/>
      <c r="EL367" s="1989"/>
      <c r="EM367" s="2006">
        <f t="shared" si="769"/>
        <v>0</v>
      </c>
      <c r="EN367" s="1999"/>
      <c r="EP367" s="1613" t="e">
        <f>EA367-#REF!/10^7</f>
        <v>#REF!</v>
      </c>
      <c r="EW367" s="1611" t="e">
        <v>#N/A</v>
      </c>
      <c r="EX367" s="1612" t="e">
        <v>#N/A</v>
      </c>
      <c r="EZ367" s="1650">
        <f t="shared" si="771"/>
        <v>0</v>
      </c>
    </row>
    <row r="368" spans="1:156" ht="21" customHeight="1">
      <c r="A368" s="1652"/>
      <c r="B368" s="1706" t="s">
        <v>1520</v>
      </c>
      <c r="C368" s="1662"/>
      <c r="D368" s="1648"/>
      <c r="E368" s="1648"/>
      <c r="F368" s="1648"/>
      <c r="G368" s="1648"/>
      <c r="H368" s="1648"/>
      <c r="I368" s="1648"/>
      <c r="J368" s="1663">
        <v>2</v>
      </c>
      <c r="K368" s="1648"/>
      <c r="L368" s="1648"/>
      <c r="M368" s="1648"/>
      <c r="N368" s="1642"/>
      <c r="O368" s="2000"/>
      <c r="P368" s="2003">
        <f t="shared" si="717"/>
        <v>0</v>
      </c>
      <c r="Q368" s="1989"/>
      <c r="R368" s="2003">
        <f t="shared" si="718"/>
        <v>0</v>
      </c>
      <c r="S368" s="1989"/>
      <c r="T368" s="2003">
        <f t="shared" si="719"/>
        <v>0</v>
      </c>
      <c r="U368" s="1989"/>
      <c r="V368" s="1989"/>
      <c r="W368" s="1989">
        <f t="shared" si="720"/>
        <v>0</v>
      </c>
      <c r="X368" s="1999"/>
      <c r="Y368" s="1993"/>
      <c r="Z368" s="2003">
        <f t="shared" si="721"/>
        <v>0</v>
      </c>
      <c r="AA368" s="1989"/>
      <c r="AB368" s="2003">
        <f t="shared" si="722"/>
        <v>0</v>
      </c>
      <c r="AC368" s="1989"/>
      <c r="AD368" s="2003">
        <f t="shared" si="723"/>
        <v>0</v>
      </c>
      <c r="AE368" s="1989"/>
      <c r="AF368" s="1989"/>
      <c r="AG368" s="2002">
        <f t="shared" si="724"/>
        <v>0</v>
      </c>
      <c r="AH368" s="1999">
        <f t="shared" ref="AH368:AH376" si="822">AA368+AC368+AE368+AF368</f>
        <v>0</v>
      </c>
      <c r="AI368" s="1993"/>
      <c r="AJ368" s="2003">
        <f t="shared" si="725"/>
        <v>0</v>
      </c>
      <c r="AK368" s="1989"/>
      <c r="AL368" s="2003">
        <f t="shared" si="726"/>
        <v>0</v>
      </c>
      <c r="AM368" s="1989"/>
      <c r="AN368" s="2003">
        <f t="shared" si="727"/>
        <v>0</v>
      </c>
      <c r="AO368" s="1989"/>
      <c r="AP368" s="1989"/>
      <c r="AQ368" s="2002">
        <f t="shared" si="728"/>
        <v>0</v>
      </c>
      <c r="AR368" s="1999">
        <f t="shared" ref="AR368:AR376" si="823">AK368+AM368+AO368+AP368</f>
        <v>0</v>
      </c>
      <c r="AS368" s="1993"/>
      <c r="AT368" s="2003">
        <f t="shared" si="729"/>
        <v>0</v>
      </c>
      <c r="AU368" s="1989"/>
      <c r="AV368" s="2003">
        <f t="shared" si="730"/>
        <v>0</v>
      </c>
      <c r="AW368" s="1989"/>
      <c r="AX368" s="2003">
        <f t="shared" si="731"/>
        <v>0</v>
      </c>
      <c r="AY368" s="1989"/>
      <c r="AZ368" s="1989"/>
      <c r="BA368" s="2002">
        <f t="shared" si="732"/>
        <v>0</v>
      </c>
      <c r="BB368" s="1999">
        <f t="shared" ref="BB368:BB376" si="824">AU368+AW368+AY368+AZ368</f>
        <v>0</v>
      </c>
      <c r="BC368" s="1993"/>
      <c r="BD368" s="2003">
        <f t="shared" si="733"/>
        <v>0</v>
      </c>
      <c r="BE368" s="1989"/>
      <c r="BF368" s="2003">
        <f t="shared" si="734"/>
        <v>0</v>
      </c>
      <c r="BG368" s="1989"/>
      <c r="BH368" s="2003">
        <f t="shared" si="735"/>
        <v>0</v>
      </c>
      <c r="BI368" s="1989"/>
      <c r="BJ368" s="1989"/>
      <c r="BK368" s="2002">
        <f t="shared" si="736"/>
        <v>0</v>
      </c>
      <c r="BL368" s="1999">
        <f t="shared" ref="BL368:BL376" si="825">BE368+BG368+BI368+BJ368</f>
        <v>0</v>
      </c>
      <c r="BM368" s="1993"/>
      <c r="BN368" s="2003">
        <f t="shared" si="737"/>
        <v>0</v>
      </c>
      <c r="BO368" s="1989"/>
      <c r="BP368" s="2003">
        <f t="shared" si="738"/>
        <v>0</v>
      </c>
      <c r="BQ368" s="1989"/>
      <c r="BR368" s="2003">
        <f t="shared" si="739"/>
        <v>0</v>
      </c>
      <c r="BS368" s="1989"/>
      <c r="BT368" s="1989"/>
      <c r="BU368" s="2002">
        <f t="shared" si="740"/>
        <v>0</v>
      </c>
      <c r="BV368" s="1999">
        <f t="shared" ref="BV368:BV376" si="826">BO368+BQ368+BS368+BT368</f>
        <v>0</v>
      </c>
      <c r="BW368" s="1993"/>
      <c r="BX368" s="2003">
        <f t="shared" si="741"/>
        <v>0</v>
      </c>
      <c r="BY368" s="1989"/>
      <c r="BZ368" s="2003">
        <f t="shared" si="742"/>
        <v>0</v>
      </c>
      <c r="CA368" s="1989"/>
      <c r="CB368" s="2003">
        <f t="shared" si="743"/>
        <v>0</v>
      </c>
      <c r="CC368" s="1989"/>
      <c r="CD368" s="1989"/>
      <c r="CE368" s="2002">
        <f t="shared" si="744"/>
        <v>0</v>
      </c>
      <c r="CF368" s="1999">
        <f t="shared" ref="CF368:CF376" si="827">BY368+CA368+CC368+CD368</f>
        <v>0</v>
      </c>
      <c r="CG368" s="1993"/>
      <c r="CH368" s="2003">
        <f t="shared" si="745"/>
        <v>0</v>
      </c>
      <c r="CI368" s="1989"/>
      <c r="CJ368" s="2003">
        <f t="shared" si="746"/>
        <v>0</v>
      </c>
      <c r="CK368" s="1989"/>
      <c r="CL368" s="2003">
        <f t="shared" si="747"/>
        <v>0</v>
      </c>
      <c r="CM368" s="1989"/>
      <c r="CN368" s="1989"/>
      <c r="CO368" s="2002">
        <f t="shared" si="748"/>
        <v>0</v>
      </c>
      <c r="CP368" s="1999">
        <f>CI368+CK368+CM368+CN368</f>
        <v>0</v>
      </c>
      <c r="CQ368" s="1993"/>
      <c r="CR368" s="2003">
        <f t="shared" si="749"/>
        <v>0</v>
      </c>
      <c r="CS368" s="1989"/>
      <c r="CT368" s="2003">
        <f t="shared" si="750"/>
        <v>0</v>
      </c>
      <c r="CU368" s="1989"/>
      <c r="CV368" s="2003">
        <f t="shared" si="751"/>
        <v>0</v>
      </c>
      <c r="CW368" s="1989"/>
      <c r="CX368" s="1989"/>
      <c r="CY368" s="2002">
        <f t="shared" si="752"/>
        <v>0</v>
      </c>
      <c r="CZ368" s="1999">
        <f>CS368+CU368+CW368+CX368</f>
        <v>0</v>
      </c>
      <c r="DA368" s="1993"/>
      <c r="DB368" s="2003">
        <f t="shared" si="753"/>
        <v>0</v>
      </c>
      <c r="DC368" s="1989"/>
      <c r="DD368" s="2003">
        <f t="shared" si="754"/>
        <v>0</v>
      </c>
      <c r="DE368" s="1989"/>
      <c r="DF368" s="2003">
        <f t="shared" si="755"/>
        <v>0</v>
      </c>
      <c r="DG368" s="1989"/>
      <c r="DH368" s="1989"/>
      <c r="DI368" s="2002">
        <f t="shared" si="756"/>
        <v>0</v>
      </c>
      <c r="DJ368" s="1999">
        <f>DC368+DE368+DG368+DH368</f>
        <v>0</v>
      </c>
      <c r="DK368" s="1993"/>
      <c r="DL368" s="2003">
        <f t="shared" si="757"/>
        <v>0</v>
      </c>
      <c r="DM368" s="1989"/>
      <c r="DN368" s="2003">
        <f t="shared" si="758"/>
        <v>0</v>
      </c>
      <c r="DO368" s="1989"/>
      <c r="DP368" s="2003">
        <f t="shared" si="759"/>
        <v>0</v>
      </c>
      <c r="DQ368" s="1989"/>
      <c r="DR368" s="1989"/>
      <c r="DS368" s="2002">
        <f t="shared" si="760"/>
        <v>0</v>
      </c>
      <c r="DT368" s="2004">
        <f>DM368+DO368+DQ368+DR368</f>
        <v>0</v>
      </c>
      <c r="DU368" s="1988"/>
      <c r="DV368" s="2003">
        <f t="shared" si="761"/>
        <v>0</v>
      </c>
      <c r="DW368" s="1989"/>
      <c r="DX368" s="2003">
        <f t="shared" si="762"/>
        <v>0</v>
      </c>
      <c r="DY368" s="1989"/>
      <c r="DZ368" s="2003">
        <f t="shared" si="763"/>
        <v>0</v>
      </c>
      <c r="EA368" s="1989"/>
      <c r="EB368" s="1989"/>
      <c r="EC368" s="2002">
        <f t="shared" si="764"/>
        <v>0</v>
      </c>
      <c r="ED368" s="1998"/>
      <c r="EE368" s="2005"/>
      <c r="EF368" s="2003">
        <f t="shared" si="766"/>
        <v>0</v>
      </c>
      <c r="EG368" s="1989"/>
      <c r="EH368" s="2003">
        <f t="shared" si="767"/>
        <v>0</v>
      </c>
      <c r="EI368" s="1989"/>
      <c r="EJ368" s="2003">
        <f t="shared" si="768"/>
        <v>0</v>
      </c>
      <c r="EK368" s="1989"/>
      <c r="EL368" s="1989"/>
      <c r="EM368" s="2006">
        <f t="shared" si="769"/>
        <v>0</v>
      </c>
      <c r="EN368" s="1999"/>
      <c r="EP368" s="1613" t="e">
        <f>EA368-#REF!/10^7</f>
        <v>#REF!</v>
      </c>
      <c r="EW368" s="1611" t="e">
        <v>#N/A</v>
      </c>
      <c r="EX368" s="1612" t="e">
        <v>#N/A</v>
      </c>
      <c r="EZ368" s="1650">
        <f t="shared" si="771"/>
        <v>0</v>
      </c>
    </row>
    <row r="369" spans="1:156" s="1677" customFormat="1" ht="21" customHeight="1">
      <c r="A369" s="1652" t="s">
        <v>1032</v>
      </c>
      <c r="B369" s="1704" t="s">
        <v>2007</v>
      </c>
      <c r="C369" s="1662"/>
      <c r="D369" s="1646" t="e">
        <f>H369/C369*100</f>
        <v>#DIV/0!</v>
      </c>
      <c r="E369" s="1646"/>
      <c r="F369" s="1648" t="s">
        <v>1594</v>
      </c>
      <c r="G369" s="1648"/>
      <c r="H369" s="1648"/>
      <c r="I369" s="1648"/>
      <c r="J369" s="1649"/>
      <c r="K369" s="1648"/>
      <c r="L369" s="1648"/>
      <c r="M369" s="1648"/>
      <c r="N369" s="1642"/>
      <c r="O369" s="2000" t="e">
        <f>#REF!</f>
        <v>#REF!</v>
      </c>
      <c r="P369" s="2003">
        <f t="shared" si="717"/>
        <v>0</v>
      </c>
      <c r="Q369" s="1989" t="e">
        <f>#REF!/10^7</f>
        <v>#REF!</v>
      </c>
      <c r="R369" s="2003">
        <f t="shared" si="718"/>
        <v>0</v>
      </c>
      <c r="S369" s="1989" t="e">
        <f>#REF!/10^7</f>
        <v>#REF!</v>
      </c>
      <c r="T369" s="2003">
        <f t="shared" si="719"/>
        <v>0</v>
      </c>
      <c r="U369" s="1989" t="e">
        <f>#REF!/10^7</f>
        <v>#REF!</v>
      </c>
      <c r="V369" s="1989" t="e">
        <f>#REF!/10^7</f>
        <v>#REF!</v>
      </c>
      <c r="W369" s="1989">
        <f t="shared" si="720"/>
        <v>0</v>
      </c>
      <c r="X369" s="1999" t="e">
        <f t="shared" ref="X369:X376" si="828">Q369+S369+U369+V369</f>
        <v>#REF!</v>
      </c>
      <c r="Y369" s="1993" t="e">
        <f>#REF!</f>
        <v>#REF!</v>
      </c>
      <c r="Z369" s="2003">
        <f t="shared" si="721"/>
        <v>0</v>
      </c>
      <c r="AA369" s="1989" t="e">
        <f>#REF!/10^7</f>
        <v>#REF!</v>
      </c>
      <c r="AB369" s="2003">
        <f t="shared" si="722"/>
        <v>0</v>
      </c>
      <c r="AC369" s="1989" t="e">
        <f>#REF!/10^7</f>
        <v>#REF!</v>
      </c>
      <c r="AD369" s="2003">
        <f t="shared" si="723"/>
        <v>0</v>
      </c>
      <c r="AE369" s="1989" t="e">
        <f>#REF!/10^7</f>
        <v>#REF!</v>
      </c>
      <c r="AF369" s="1989" t="e">
        <f>#REF!/10^7</f>
        <v>#REF!</v>
      </c>
      <c r="AG369" s="2002" t="e">
        <f t="shared" si="724"/>
        <v>#REF!</v>
      </c>
      <c r="AH369" s="1999" t="e">
        <f t="shared" si="822"/>
        <v>#REF!</v>
      </c>
      <c r="AI369" s="1993" t="e">
        <f>#REF!</f>
        <v>#REF!</v>
      </c>
      <c r="AJ369" s="2003">
        <f t="shared" si="725"/>
        <v>0</v>
      </c>
      <c r="AK369" s="1989" t="e">
        <f>#REF!/10^7</f>
        <v>#REF!</v>
      </c>
      <c r="AL369" s="2003">
        <f t="shared" si="726"/>
        <v>0</v>
      </c>
      <c r="AM369" s="1989" t="e">
        <f>#REF!/10^7</f>
        <v>#REF!</v>
      </c>
      <c r="AN369" s="2003">
        <f t="shared" si="727"/>
        <v>0</v>
      </c>
      <c r="AO369" s="1989" t="e">
        <f>#REF!/10^7</f>
        <v>#REF!</v>
      </c>
      <c r="AP369" s="1989" t="e">
        <f>#REF!/10^7</f>
        <v>#REF!</v>
      </c>
      <c r="AQ369" s="2002" t="e">
        <f t="shared" si="728"/>
        <v>#REF!</v>
      </c>
      <c r="AR369" s="1999" t="e">
        <f t="shared" si="823"/>
        <v>#REF!</v>
      </c>
      <c r="AS369" s="1993" t="e">
        <f>#REF!</f>
        <v>#REF!</v>
      </c>
      <c r="AT369" s="2003">
        <f t="shared" si="729"/>
        <v>0</v>
      </c>
      <c r="AU369" s="1989" t="e">
        <f>#REF!/10^7</f>
        <v>#REF!</v>
      </c>
      <c r="AV369" s="2003">
        <f t="shared" si="730"/>
        <v>0</v>
      </c>
      <c r="AW369" s="1989" t="e">
        <f>#REF!/10^7</f>
        <v>#REF!</v>
      </c>
      <c r="AX369" s="2003">
        <f t="shared" si="731"/>
        <v>0</v>
      </c>
      <c r="AY369" s="1989" t="e">
        <f>#REF!/10^7</f>
        <v>#REF!</v>
      </c>
      <c r="AZ369" s="1989" t="e">
        <f>#REF!/10^7</f>
        <v>#REF!</v>
      </c>
      <c r="BA369" s="2002" t="e">
        <f t="shared" si="732"/>
        <v>#REF!</v>
      </c>
      <c r="BB369" s="1999" t="e">
        <f t="shared" si="824"/>
        <v>#REF!</v>
      </c>
      <c r="BC369" s="1993" t="e">
        <f>#REF!</f>
        <v>#REF!</v>
      </c>
      <c r="BD369" s="2003">
        <f t="shared" si="733"/>
        <v>0</v>
      </c>
      <c r="BE369" s="1989" t="e">
        <f>#REF!/10^7</f>
        <v>#REF!</v>
      </c>
      <c r="BF369" s="2003">
        <f t="shared" si="734"/>
        <v>0</v>
      </c>
      <c r="BG369" s="1989" t="e">
        <f>#REF!/10^7</f>
        <v>#REF!</v>
      </c>
      <c r="BH369" s="2003">
        <f t="shared" si="735"/>
        <v>0</v>
      </c>
      <c r="BI369" s="1989" t="e">
        <f>#REF!/10^7</f>
        <v>#REF!</v>
      </c>
      <c r="BJ369" s="1989" t="e">
        <f>#REF!/10^7</f>
        <v>#REF!</v>
      </c>
      <c r="BK369" s="2002" t="e">
        <f t="shared" si="736"/>
        <v>#REF!</v>
      </c>
      <c r="BL369" s="1999" t="e">
        <f t="shared" si="825"/>
        <v>#REF!</v>
      </c>
      <c r="BM369" s="1993" t="e">
        <f>#REF!</f>
        <v>#REF!</v>
      </c>
      <c r="BN369" s="2003">
        <f t="shared" si="737"/>
        <v>0</v>
      </c>
      <c r="BO369" s="1989" t="e">
        <f>#REF!/10^7</f>
        <v>#REF!</v>
      </c>
      <c r="BP369" s="2003">
        <f t="shared" si="738"/>
        <v>0</v>
      </c>
      <c r="BQ369" s="1989" t="e">
        <f>#REF!/10^7</f>
        <v>#REF!</v>
      </c>
      <c r="BR369" s="2003">
        <f t="shared" si="739"/>
        <v>0</v>
      </c>
      <c r="BS369" s="1989" t="e">
        <f>#REF!/10^7</f>
        <v>#REF!</v>
      </c>
      <c r="BT369" s="1989" t="e">
        <f>#REF!/10^7</f>
        <v>#REF!</v>
      </c>
      <c r="BU369" s="2002" t="e">
        <f t="shared" si="740"/>
        <v>#REF!</v>
      </c>
      <c r="BV369" s="1999" t="e">
        <f t="shared" si="826"/>
        <v>#REF!</v>
      </c>
      <c r="BW369" s="1993" t="e">
        <f>#REF!</f>
        <v>#REF!</v>
      </c>
      <c r="BX369" s="2003">
        <f t="shared" si="741"/>
        <v>0</v>
      </c>
      <c r="BY369" s="1989" t="e">
        <f>#REF!/10^7</f>
        <v>#REF!</v>
      </c>
      <c r="BZ369" s="2003">
        <f t="shared" si="742"/>
        <v>0</v>
      </c>
      <c r="CA369" s="1989" t="e">
        <f>#REF!/10^7</f>
        <v>#REF!</v>
      </c>
      <c r="CB369" s="2003">
        <f t="shared" si="743"/>
        <v>0</v>
      </c>
      <c r="CC369" s="1989" t="e">
        <f>#REF!/10^7</f>
        <v>#REF!</v>
      </c>
      <c r="CD369" s="1989" t="e">
        <f>#REF!/10^7</f>
        <v>#REF!</v>
      </c>
      <c r="CE369" s="2002" t="e">
        <f t="shared" si="744"/>
        <v>#REF!</v>
      </c>
      <c r="CF369" s="1999" t="e">
        <f t="shared" si="827"/>
        <v>#REF!</v>
      </c>
      <c r="CG369" s="1993" t="e">
        <f>#REF!</f>
        <v>#REF!</v>
      </c>
      <c r="CH369" s="2003">
        <f t="shared" si="745"/>
        <v>0</v>
      </c>
      <c r="CI369" s="1989" t="e">
        <f>#REF!/10^7</f>
        <v>#REF!</v>
      </c>
      <c r="CJ369" s="2003">
        <f t="shared" si="746"/>
        <v>0</v>
      </c>
      <c r="CK369" s="1989" t="e">
        <f>#REF!/10^7</f>
        <v>#REF!</v>
      </c>
      <c r="CL369" s="2003">
        <f t="shared" si="747"/>
        <v>0</v>
      </c>
      <c r="CM369" s="1989" t="e">
        <f>#REF!/10^7</f>
        <v>#REF!</v>
      </c>
      <c r="CN369" s="1989" t="e">
        <f>#REF!/10^7</f>
        <v>#REF!</v>
      </c>
      <c r="CO369" s="2002" t="e">
        <f t="shared" si="748"/>
        <v>#REF!</v>
      </c>
      <c r="CP369" s="1999" t="e">
        <f t="shared" ref="CP369:CP376" si="829">CI369+CK369+CM369+CN369</f>
        <v>#REF!</v>
      </c>
      <c r="CQ369" s="1993" t="e">
        <f>#REF!</f>
        <v>#REF!</v>
      </c>
      <c r="CR369" s="2003">
        <f t="shared" si="749"/>
        <v>0</v>
      </c>
      <c r="CS369" s="1989" t="e">
        <f>#REF!/10^7</f>
        <v>#REF!</v>
      </c>
      <c r="CT369" s="2003">
        <f t="shared" si="750"/>
        <v>0</v>
      </c>
      <c r="CU369" s="1989" t="e">
        <f>#REF!/10^7</f>
        <v>#REF!</v>
      </c>
      <c r="CV369" s="2003">
        <f t="shared" si="751"/>
        <v>0</v>
      </c>
      <c r="CW369" s="1989" t="e">
        <f>#REF!/10^7</f>
        <v>#REF!</v>
      </c>
      <c r="CX369" s="1989" t="e">
        <f>#REF!/10^7</f>
        <v>#REF!</v>
      </c>
      <c r="CY369" s="2002" t="e">
        <f t="shared" si="752"/>
        <v>#REF!</v>
      </c>
      <c r="CZ369" s="1999" t="e">
        <f t="shared" ref="CZ369:CZ376" si="830">CS369+CU369+CW369+CX369</f>
        <v>#REF!</v>
      </c>
      <c r="DA369" s="1993" t="e">
        <f>#REF!</f>
        <v>#REF!</v>
      </c>
      <c r="DB369" s="2003">
        <f t="shared" si="753"/>
        <v>0</v>
      </c>
      <c r="DC369" s="1989" t="e">
        <f>#REF!/10^7</f>
        <v>#REF!</v>
      </c>
      <c r="DD369" s="2003">
        <f t="shared" si="754"/>
        <v>0</v>
      </c>
      <c r="DE369" s="1989" t="e">
        <f>#REF!/10^7</f>
        <v>#REF!</v>
      </c>
      <c r="DF369" s="2003">
        <f t="shared" si="755"/>
        <v>0</v>
      </c>
      <c r="DG369" s="1989" t="e">
        <f>#REF!/10^7</f>
        <v>#REF!</v>
      </c>
      <c r="DH369" s="1989" t="e">
        <f>#REF!/10^7</f>
        <v>#REF!</v>
      </c>
      <c r="DI369" s="2002" t="e">
        <f t="shared" si="756"/>
        <v>#REF!</v>
      </c>
      <c r="DJ369" s="1999" t="e">
        <f t="shared" ref="DJ369:DJ376" si="831">DC369+DE369+DG369+DH369</f>
        <v>#REF!</v>
      </c>
      <c r="DK369" s="1993" t="e">
        <f>#REF!</f>
        <v>#REF!</v>
      </c>
      <c r="DL369" s="2003">
        <f t="shared" si="757"/>
        <v>0</v>
      </c>
      <c r="DM369" s="1989" t="e">
        <f>#REF!/10^7</f>
        <v>#REF!</v>
      </c>
      <c r="DN369" s="2003">
        <f t="shared" si="758"/>
        <v>0</v>
      </c>
      <c r="DO369" s="1989" t="e">
        <f>#REF!/10^7</f>
        <v>#REF!</v>
      </c>
      <c r="DP369" s="2003">
        <f t="shared" si="759"/>
        <v>0</v>
      </c>
      <c r="DQ369" s="1989" t="e">
        <f>#REF!/10^7</f>
        <v>#REF!</v>
      </c>
      <c r="DR369" s="1989" t="e">
        <f>#REF!/10^7</f>
        <v>#REF!</v>
      </c>
      <c r="DS369" s="2002" t="e">
        <f t="shared" si="760"/>
        <v>#REF!</v>
      </c>
      <c r="DT369" s="2004" t="e">
        <f t="shared" ref="DT369:DT376" si="832">DM369+DO369+DQ369+DR369</f>
        <v>#REF!</v>
      </c>
      <c r="DU369" s="1988" t="e">
        <f>#REF!</f>
        <v>#REF!</v>
      </c>
      <c r="DV369" s="2003">
        <f t="shared" si="761"/>
        <v>0</v>
      </c>
      <c r="DW369" s="1989" t="e">
        <f>#REF!/10^7</f>
        <v>#REF!</v>
      </c>
      <c r="DX369" s="2003">
        <f t="shared" si="762"/>
        <v>0</v>
      </c>
      <c r="DY369" s="1989" t="e">
        <f>#REF!/10^7</f>
        <v>#REF!</v>
      </c>
      <c r="DZ369" s="2003">
        <f t="shared" si="763"/>
        <v>0</v>
      </c>
      <c r="EA369" s="1989" t="e">
        <f>#REF!/10^7</f>
        <v>#REF!</v>
      </c>
      <c r="EB369" s="1989" t="e">
        <f>#REF!/10^7</f>
        <v>#REF!</v>
      </c>
      <c r="EC369" s="2002" t="e">
        <f t="shared" si="764"/>
        <v>#REF!</v>
      </c>
      <c r="ED369" s="1998" t="e">
        <f t="shared" ref="ED369:ED371" si="833">DW369+DY369+EA369+EB369</f>
        <v>#REF!</v>
      </c>
      <c r="EE369" s="2005" t="e">
        <f>O369+Y369+AI369+AS369+BC369+BM369+BW369+CG369+CQ369+DA369+DK369+DU369</f>
        <v>#REF!</v>
      </c>
      <c r="EF369" s="2003">
        <f t="shared" si="766"/>
        <v>0</v>
      </c>
      <c r="EG369" s="1989" t="e">
        <f t="shared" ref="EG369:EG376" si="834">Q369+AA369+AK369+AU369+BE369+BO369+BY369+CI369+CS369+DC369+DM369+DW369</f>
        <v>#REF!</v>
      </c>
      <c r="EH369" s="2003">
        <f t="shared" si="767"/>
        <v>0</v>
      </c>
      <c r="EI369" s="1989" t="e">
        <f t="shared" ref="EI369:EI376" si="835">S369+AC369+AM369+AW369+BG369+BQ369+CA369+CK369+CU369+DE369+DO369+DY369</f>
        <v>#REF!</v>
      </c>
      <c r="EJ369" s="2003">
        <f t="shared" si="768"/>
        <v>0</v>
      </c>
      <c r="EK369" s="1989" t="e">
        <f t="shared" ref="EK369:EL376" si="836">U369+AE369+AO369+AY369+BI369+BS369+CC369+CM369+CW369+DG369+DQ369+EA369</f>
        <v>#REF!</v>
      </c>
      <c r="EL369" s="1989" t="e">
        <f t="shared" si="836"/>
        <v>#REF!</v>
      </c>
      <c r="EM369" s="2006" t="e">
        <f t="shared" si="769"/>
        <v>#REF!</v>
      </c>
      <c r="EN369" s="1999" t="e">
        <f>EG369+EI369+EK369+EL369</f>
        <v>#REF!</v>
      </c>
      <c r="EO369" s="1676"/>
      <c r="EP369" s="1613" t="e">
        <f>EA369-#REF!/10^7</f>
        <v>#REF!</v>
      </c>
      <c r="EQ369" s="1678"/>
      <c r="EW369" s="1611" t="e">
        <v>#N/A</v>
      </c>
      <c r="EX369" s="1612" t="e">
        <v>#N/A</v>
      </c>
      <c r="EZ369" s="1650">
        <f t="shared" si="771"/>
        <v>0</v>
      </c>
    </row>
    <row r="370" spans="1:156" ht="21" customHeight="1">
      <c r="A370" s="1652" t="s">
        <v>2008</v>
      </c>
      <c r="B370" s="1704" t="s">
        <v>2009</v>
      </c>
      <c r="C370" s="1662"/>
      <c r="D370" s="1646" t="e">
        <f>H370/C370*100</f>
        <v>#DIV/0!</v>
      </c>
      <c r="E370" s="1646"/>
      <c r="F370" s="1648"/>
      <c r="G370" s="1648"/>
      <c r="H370" s="1648"/>
      <c r="I370" s="1648"/>
      <c r="J370" s="1663"/>
      <c r="K370" s="1648"/>
      <c r="L370" s="1648"/>
      <c r="M370" s="1648"/>
      <c r="N370" s="1642"/>
      <c r="O370" s="2000" t="e">
        <f>#REF!</f>
        <v>#REF!</v>
      </c>
      <c r="P370" s="2003">
        <f t="shared" si="717"/>
        <v>0</v>
      </c>
      <c r="Q370" s="1989" t="e">
        <f>#REF!/10^7</f>
        <v>#REF!</v>
      </c>
      <c r="R370" s="2003">
        <f t="shared" si="718"/>
        <v>0</v>
      </c>
      <c r="S370" s="1989" t="e">
        <f>#REF!/10^7</f>
        <v>#REF!</v>
      </c>
      <c r="T370" s="2003">
        <f t="shared" si="719"/>
        <v>0</v>
      </c>
      <c r="U370" s="1989" t="e">
        <f>#REF!/10^7</f>
        <v>#REF!</v>
      </c>
      <c r="V370" s="1989" t="e">
        <f>#REF!/10^7</f>
        <v>#REF!</v>
      </c>
      <c r="W370" s="1989">
        <f t="shared" si="720"/>
        <v>0</v>
      </c>
      <c r="X370" s="1999" t="e">
        <f t="shared" si="828"/>
        <v>#REF!</v>
      </c>
      <c r="Y370" s="1993" t="e">
        <f>#REF!</f>
        <v>#REF!</v>
      </c>
      <c r="Z370" s="2003">
        <f t="shared" si="721"/>
        <v>0</v>
      </c>
      <c r="AA370" s="1989" t="e">
        <f>#REF!/10^7</f>
        <v>#REF!</v>
      </c>
      <c r="AB370" s="2003">
        <f t="shared" si="722"/>
        <v>0</v>
      </c>
      <c r="AC370" s="1989" t="e">
        <f>#REF!/10^7</f>
        <v>#REF!</v>
      </c>
      <c r="AD370" s="2003">
        <f t="shared" si="723"/>
        <v>0</v>
      </c>
      <c r="AE370" s="1989" t="e">
        <f>#REF!/10^7</f>
        <v>#REF!</v>
      </c>
      <c r="AF370" s="1989" t="e">
        <f>#REF!/10^7</f>
        <v>#REF!</v>
      </c>
      <c r="AG370" s="2002" t="e">
        <f t="shared" si="724"/>
        <v>#REF!</v>
      </c>
      <c r="AH370" s="1999" t="e">
        <f t="shared" si="822"/>
        <v>#REF!</v>
      </c>
      <c r="AI370" s="1993" t="e">
        <f>#REF!</f>
        <v>#REF!</v>
      </c>
      <c r="AJ370" s="2003">
        <f t="shared" si="725"/>
        <v>0</v>
      </c>
      <c r="AK370" s="1989" t="e">
        <f>#REF!/10^7</f>
        <v>#REF!</v>
      </c>
      <c r="AL370" s="2003">
        <f t="shared" si="726"/>
        <v>0</v>
      </c>
      <c r="AM370" s="1989" t="e">
        <f>#REF!/10^7</f>
        <v>#REF!</v>
      </c>
      <c r="AN370" s="2003">
        <f t="shared" si="727"/>
        <v>0</v>
      </c>
      <c r="AO370" s="1989" t="e">
        <f>#REF!/10^7</f>
        <v>#REF!</v>
      </c>
      <c r="AP370" s="1989" t="e">
        <f>#REF!/10^7</f>
        <v>#REF!</v>
      </c>
      <c r="AQ370" s="2002" t="e">
        <f t="shared" si="728"/>
        <v>#REF!</v>
      </c>
      <c r="AR370" s="1999" t="e">
        <f t="shared" si="823"/>
        <v>#REF!</v>
      </c>
      <c r="AS370" s="1993" t="e">
        <f>#REF!</f>
        <v>#REF!</v>
      </c>
      <c r="AT370" s="2003">
        <f t="shared" si="729"/>
        <v>0</v>
      </c>
      <c r="AU370" s="1989" t="e">
        <f>#REF!/10^7</f>
        <v>#REF!</v>
      </c>
      <c r="AV370" s="2003">
        <f t="shared" si="730"/>
        <v>0</v>
      </c>
      <c r="AW370" s="1989" t="e">
        <f>#REF!/10^7</f>
        <v>#REF!</v>
      </c>
      <c r="AX370" s="2003">
        <f t="shared" si="731"/>
        <v>0</v>
      </c>
      <c r="AY370" s="1989" t="e">
        <f>#REF!/10^7</f>
        <v>#REF!</v>
      </c>
      <c r="AZ370" s="1989" t="e">
        <f>#REF!/10^7</f>
        <v>#REF!</v>
      </c>
      <c r="BA370" s="2002" t="e">
        <f t="shared" si="732"/>
        <v>#REF!</v>
      </c>
      <c r="BB370" s="1999" t="e">
        <f t="shared" si="824"/>
        <v>#REF!</v>
      </c>
      <c r="BC370" s="1993" t="e">
        <f>#REF!</f>
        <v>#REF!</v>
      </c>
      <c r="BD370" s="2003">
        <f t="shared" si="733"/>
        <v>0</v>
      </c>
      <c r="BE370" s="1989" t="e">
        <f>#REF!/10^7</f>
        <v>#REF!</v>
      </c>
      <c r="BF370" s="2003">
        <f t="shared" si="734"/>
        <v>0</v>
      </c>
      <c r="BG370" s="1989" t="e">
        <f>#REF!/10^7</f>
        <v>#REF!</v>
      </c>
      <c r="BH370" s="2003">
        <f t="shared" si="735"/>
        <v>0</v>
      </c>
      <c r="BI370" s="1989" t="e">
        <f>#REF!/10^7</f>
        <v>#REF!</v>
      </c>
      <c r="BJ370" s="1989" t="e">
        <f>#REF!/10^7</f>
        <v>#REF!</v>
      </c>
      <c r="BK370" s="2002" t="e">
        <f t="shared" si="736"/>
        <v>#REF!</v>
      </c>
      <c r="BL370" s="1999" t="e">
        <f t="shared" si="825"/>
        <v>#REF!</v>
      </c>
      <c r="BM370" s="1993" t="e">
        <f>#REF!</f>
        <v>#REF!</v>
      </c>
      <c r="BN370" s="2003">
        <f t="shared" si="737"/>
        <v>0</v>
      </c>
      <c r="BO370" s="1989" t="e">
        <f>#REF!/10^7</f>
        <v>#REF!</v>
      </c>
      <c r="BP370" s="2003">
        <f t="shared" si="738"/>
        <v>0</v>
      </c>
      <c r="BQ370" s="1989" t="e">
        <f>#REF!/10^7</f>
        <v>#REF!</v>
      </c>
      <c r="BR370" s="2003">
        <f t="shared" si="739"/>
        <v>0</v>
      </c>
      <c r="BS370" s="1989" t="e">
        <f>#REF!/10^7</f>
        <v>#REF!</v>
      </c>
      <c r="BT370" s="1989" t="e">
        <f>#REF!/10^7</f>
        <v>#REF!</v>
      </c>
      <c r="BU370" s="2002" t="e">
        <f t="shared" si="740"/>
        <v>#REF!</v>
      </c>
      <c r="BV370" s="1999" t="e">
        <f t="shared" si="826"/>
        <v>#REF!</v>
      </c>
      <c r="BW370" s="1993" t="e">
        <f>#REF!</f>
        <v>#REF!</v>
      </c>
      <c r="BX370" s="2003">
        <f t="shared" si="741"/>
        <v>0</v>
      </c>
      <c r="BY370" s="1989" t="e">
        <f>#REF!/10^7</f>
        <v>#REF!</v>
      </c>
      <c r="BZ370" s="2003">
        <f t="shared" si="742"/>
        <v>0</v>
      </c>
      <c r="CA370" s="1989" t="e">
        <f>#REF!/10^7</f>
        <v>#REF!</v>
      </c>
      <c r="CB370" s="2003">
        <f t="shared" si="743"/>
        <v>0</v>
      </c>
      <c r="CC370" s="1989" t="e">
        <f>#REF!/10^7</f>
        <v>#REF!</v>
      </c>
      <c r="CD370" s="1989" t="e">
        <f>#REF!/10^7</f>
        <v>#REF!</v>
      </c>
      <c r="CE370" s="2002" t="e">
        <f t="shared" si="744"/>
        <v>#REF!</v>
      </c>
      <c r="CF370" s="1999" t="e">
        <f t="shared" si="827"/>
        <v>#REF!</v>
      </c>
      <c r="CG370" s="1993" t="e">
        <f>#REF!</f>
        <v>#REF!</v>
      </c>
      <c r="CH370" s="2003">
        <f t="shared" si="745"/>
        <v>0</v>
      </c>
      <c r="CI370" s="1989" t="e">
        <f>#REF!/10^7</f>
        <v>#REF!</v>
      </c>
      <c r="CJ370" s="2003">
        <f t="shared" si="746"/>
        <v>0</v>
      </c>
      <c r="CK370" s="1989" t="e">
        <f>#REF!/10^7</f>
        <v>#REF!</v>
      </c>
      <c r="CL370" s="2003">
        <f t="shared" si="747"/>
        <v>0</v>
      </c>
      <c r="CM370" s="1989" t="e">
        <f>#REF!/10^7</f>
        <v>#REF!</v>
      </c>
      <c r="CN370" s="1989" t="e">
        <f>#REF!/10^7</f>
        <v>#REF!</v>
      </c>
      <c r="CO370" s="2002" t="e">
        <f t="shared" si="748"/>
        <v>#REF!</v>
      </c>
      <c r="CP370" s="1999" t="e">
        <f t="shared" si="829"/>
        <v>#REF!</v>
      </c>
      <c r="CQ370" s="1993" t="e">
        <f>#REF!</f>
        <v>#REF!</v>
      </c>
      <c r="CR370" s="2003">
        <f t="shared" si="749"/>
        <v>0</v>
      </c>
      <c r="CS370" s="1989" t="e">
        <f>#REF!/10^7</f>
        <v>#REF!</v>
      </c>
      <c r="CT370" s="2003">
        <f t="shared" si="750"/>
        <v>0</v>
      </c>
      <c r="CU370" s="1989" t="e">
        <f>#REF!/10^7</f>
        <v>#REF!</v>
      </c>
      <c r="CV370" s="2003">
        <f t="shared" si="751"/>
        <v>0</v>
      </c>
      <c r="CW370" s="1989" t="e">
        <f>#REF!/10^7</f>
        <v>#REF!</v>
      </c>
      <c r="CX370" s="1989" t="e">
        <f>#REF!/10^7</f>
        <v>#REF!</v>
      </c>
      <c r="CY370" s="2002" t="e">
        <f t="shared" si="752"/>
        <v>#REF!</v>
      </c>
      <c r="CZ370" s="1999" t="e">
        <f t="shared" si="830"/>
        <v>#REF!</v>
      </c>
      <c r="DA370" s="1993" t="e">
        <f>#REF!</f>
        <v>#REF!</v>
      </c>
      <c r="DB370" s="2003">
        <f t="shared" si="753"/>
        <v>0</v>
      </c>
      <c r="DC370" s="1989" t="e">
        <f>#REF!/10^7</f>
        <v>#REF!</v>
      </c>
      <c r="DD370" s="2003">
        <f t="shared" si="754"/>
        <v>0</v>
      </c>
      <c r="DE370" s="1989" t="e">
        <f>#REF!/10^7</f>
        <v>#REF!</v>
      </c>
      <c r="DF370" s="2003">
        <f t="shared" si="755"/>
        <v>0</v>
      </c>
      <c r="DG370" s="1989" t="e">
        <f>#REF!/10^7</f>
        <v>#REF!</v>
      </c>
      <c r="DH370" s="1989" t="e">
        <f>#REF!/10^7</f>
        <v>#REF!</v>
      </c>
      <c r="DI370" s="2002" t="e">
        <f t="shared" si="756"/>
        <v>#REF!</v>
      </c>
      <c r="DJ370" s="1999" t="e">
        <f t="shared" si="831"/>
        <v>#REF!</v>
      </c>
      <c r="DK370" s="1993" t="e">
        <f>#REF!</f>
        <v>#REF!</v>
      </c>
      <c r="DL370" s="2003">
        <f t="shared" si="757"/>
        <v>0</v>
      </c>
      <c r="DM370" s="1989" t="e">
        <f>#REF!/10^7</f>
        <v>#REF!</v>
      </c>
      <c r="DN370" s="2003">
        <f t="shared" si="758"/>
        <v>0</v>
      </c>
      <c r="DO370" s="1989" t="e">
        <f>#REF!/10^7</f>
        <v>#REF!</v>
      </c>
      <c r="DP370" s="2003">
        <f t="shared" si="759"/>
        <v>0</v>
      </c>
      <c r="DQ370" s="1989" t="e">
        <f>#REF!/10^7</f>
        <v>#REF!</v>
      </c>
      <c r="DR370" s="1989" t="e">
        <f>#REF!/10^7</f>
        <v>#REF!</v>
      </c>
      <c r="DS370" s="2002" t="e">
        <f t="shared" si="760"/>
        <v>#REF!</v>
      </c>
      <c r="DT370" s="2004" t="e">
        <f t="shared" si="832"/>
        <v>#REF!</v>
      </c>
      <c r="DU370" s="1988" t="e">
        <f>#REF!</f>
        <v>#REF!</v>
      </c>
      <c r="DV370" s="2003">
        <f t="shared" si="761"/>
        <v>0</v>
      </c>
      <c r="DW370" s="1989" t="e">
        <f>#REF!/10^7</f>
        <v>#REF!</v>
      </c>
      <c r="DX370" s="2003">
        <f t="shared" si="762"/>
        <v>0</v>
      </c>
      <c r="DY370" s="1989" t="e">
        <f>#REF!/10^7</f>
        <v>#REF!</v>
      </c>
      <c r="DZ370" s="2003">
        <f t="shared" si="763"/>
        <v>0</v>
      </c>
      <c r="EA370" s="1989" t="e">
        <f>#REF!/10^7</f>
        <v>#REF!</v>
      </c>
      <c r="EB370" s="1989" t="e">
        <f>#REF!/10^7</f>
        <v>#REF!</v>
      </c>
      <c r="EC370" s="2002" t="e">
        <f t="shared" si="764"/>
        <v>#REF!</v>
      </c>
      <c r="ED370" s="1998" t="e">
        <f t="shared" si="833"/>
        <v>#REF!</v>
      </c>
      <c r="EE370" s="2005" t="e">
        <f t="shared" ref="EE370:EE376" si="837">O370+Y370+AI370+AS370+BC370+BM370+BW370+CG370+CQ370+DA370+DK370+DU370</f>
        <v>#REF!</v>
      </c>
      <c r="EF370" s="2003">
        <f t="shared" si="766"/>
        <v>0</v>
      </c>
      <c r="EG370" s="1989" t="e">
        <f t="shared" si="834"/>
        <v>#REF!</v>
      </c>
      <c r="EH370" s="2003">
        <f t="shared" si="767"/>
        <v>0</v>
      </c>
      <c r="EI370" s="1989" t="e">
        <f t="shared" si="835"/>
        <v>#REF!</v>
      </c>
      <c r="EJ370" s="2003">
        <f t="shared" si="768"/>
        <v>0</v>
      </c>
      <c r="EK370" s="1989" t="e">
        <f t="shared" si="836"/>
        <v>#REF!</v>
      </c>
      <c r="EL370" s="1989" t="e">
        <f t="shared" si="836"/>
        <v>#REF!</v>
      </c>
      <c r="EM370" s="2006" t="e">
        <f t="shared" si="769"/>
        <v>#REF!</v>
      </c>
      <c r="EN370" s="1999" t="e">
        <f t="shared" ref="EN370:EN376" si="838">EG370+EI370+EK370+EL370</f>
        <v>#REF!</v>
      </c>
      <c r="EP370" s="1613" t="e">
        <f>EA370-#REF!/10^7</f>
        <v>#REF!</v>
      </c>
      <c r="EW370" s="1611" t="e">
        <v>#N/A</v>
      </c>
      <c r="EX370" s="1612" t="e">
        <v>#N/A</v>
      </c>
      <c r="EZ370" s="1650">
        <f t="shared" si="771"/>
        <v>0</v>
      </c>
    </row>
    <row r="371" spans="1:156" ht="21" customHeight="1">
      <c r="A371" s="1652" t="s">
        <v>1033</v>
      </c>
      <c r="B371" s="1704" t="s">
        <v>2010</v>
      </c>
      <c r="C371" s="1662"/>
      <c r="D371" s="1646" t="e">
        <f>H371/C371*100</f>
        <v>#DIV/0!</v>
      </c>
      <c r="E371" s="1646"/>
      <c r="F371" s="1648"/>
      <c r="G371" s="1648"/>
      <c r="H371" s="1648"/>
      <c r="I371" s="1648"/>
      <c r="J371" s="1663"/>
      <c r="K371" s="1648"/>
      <c r="L371" s="1648"/>
      <c r="M371" s="1648"/>
      <c r="N371" s="1642"/>
      <c r="O371" s="2000" t="e">
        <f>#REF!</f>
        <v>#REF!</v>
      </c>
      <c r="P371" s="2003">
        <f t="shared" si="717"/>
        <v>0</v>
      </c>
      <c r="Q371" s="1989" t="e">
        <f>#REF!/10^7</f>
        <v>#REF!</v>
      </c>
      <c r="R371" s="2003">
        <f t="shared" si="718"/>
        <v>0</v>
      </c>
      <c r="S371" s="1989" t="e">
        <f>#REF!/10^7</f>
        <v>#REF!</v>
      </c>
      <c r="T371" s="2003">
        <f t="shared" si="719"/>
        <v>0</v>
      </c>
      <c r="U371" s="1989" t="e">
        <f>#REF!/10^7</f>
        <v>#REF!</v>
      </c>
      <c r="V371" s="1989" t="e">
        <f>#REF!/10^7</f>
        <v>#REF!</v>
      </c>
      <c r="W371" s="1989">
        <f t="shared" si="720"/>
        <v>0</v>
      </c>
      <c r="X371" s="1999" t="e">
        <f t="shared" si="828"/>
        <v>#REF!</v>
      </c>
      <c r="Y371" s="1993" t="e">
        <f>#REF!</f>
        <v>#REF!</v>
      </c>
      <c r="Z371" s="2003">
        <f t="shared" si="721"/>
        <v>0</v>
      </c>
      <c r="AA371" s="1989" t="e">
        <f>#REF!/10^7</f>
        <v>#REF!</v>
      </c>
      <c r="AB371" s="2003">
        <f t="shared" si="722"/>
        <v>0</v>
      </c>
      <c r="AC371" s="1989" t="e">
        <f>#REF!/10^7</f>
        <v>#REF!</v>
      </c>
      <c r="AD371" s="2003">
        <f t="shared" si="723"/>
        <v>0</v>
      </c>
      <c r="AE371" s="1989" t="e">
        <f>#REF!/10^7</f>
        <v>#REF!</v>
      </c>
      <c r="AF371" s="1989" t="e">
        <f>#REF!/10^7</f>
        <v>#REF!</v>
      </c>
      <c r="AG371" s="2002" t="e">
        <f t="shared" si="724"/>
        <v>#REF!</v>
      </c>
      <c r="AH371" s="1999" t="e">
        <f t="shared" si="822"/>
        <v>#REF!</v>
      </c>
      <c r="AI371" s="1993" t="e">
        <f>#REF!</f>
        <v>#REF!</v>
      </c>
      <c r="AJ371" s="2003">
        <f t="shared" si="725"/>
        <v>0</v>
      </c>
      <c r="AK371" s="1989" t="e">
        <f>#REF!/10^7</f>
        <v>#REF!</v>
      </c>
      <c r="AL371" s="2003">
        <f t="shared" si="726"/>
        <v>0</v>
      </c>
      <c r="AM371" s="1989" t="e">
        <f>#REF!/10^7</f>
        <v>#REF!</v>
      </c>
      <c r="AN371" s="2003">
        <f t="shared" si="727"/>
        <v>0</v>
      </c>
      <c r="AO371" s="1989" t="e">
        <f>#REF!/10^7</f>
        <v>#REF!</v>
      </c>
      <c r="AP371" s="1989" t="e">
        <f>#REF!/10^7</f>
        <v>#REF!</v>
      </c>
      <c r="AQ371" s="2002" t="e">
        <f t="shared" si="728"/>
        <v>#REF!</v>
      </c>
      <c r="AR371" s="1999" t="e">
        <f t="shared" si="823"/>
        <v>#REF!</v>
      </c>
      <c r="AS371" s="1993" t="e">
        <f>#REF!</f>
        <v>#REF!</v>
      </c>
      <c r="AT371" s="2003">
        <f t="shared" si="729"/>
        <v>0</v>
      </c>
      <c r="AU371" s="1989" t="e">
        <f>#REF!/10^7</f>
        <v>#REF!</v>
      </c>
      <c r="AV371" s="2003">
        <f t="shared" si="730"/>
        <v>0</v>
      </c>
      <c r="AW371" s="1989" t="e">
        <f>#REF!/10^7</f>
        <v>#REF!</v>
      </c>
      <c r="AX371" s="2003">
        <f t="shared" si="731"/>
        <v>0</v>
      </c>
      <c r="AY371" s="1989" t="e">
        <f>#REF!/10^7</f>
        <v>#REF!</v>
      </c>
      <c r="AZ371" s="1989" t="e">
        <f>#REF!/10^7</f>
        <v>#REF!</v>
      </c>
      <c r="BA371" s="2002" t="e">
        <f t="shared" si="732"/>
        <v>#REF!</v>
      </c>
      <c r="BB371" s="1999" t="e">
        <f t="shared" si="824"/>
        <v>#REF!</v>
      </c>
      <c r="BC371" s="1993" t="e">
        <f>#REF!</f>
        <v>#REF!</v>
      </c>
      <c r="BD371" s="2003">
        <f t="shared" si="733"/>
        <v>0</v>
      </c>
      <c r="BE371" s="1989" t="e">
        <f>#REF!/10^7</f>
        <v>#REF!</v>
      </c>
      <c r="BF371" s="2003">
        <f t="shared" si="734"/>
        <v>0</v>
      </c>
      <c r="BG371" s="1989" t="e">
        <f>#REF!/10^7</f>
        <v>#REF!</v>
      </c>
      <c r="BH371" s="2003">
        <f t="shared" si="735"/>
        <v>0</v>
      </c>
      <c r="BI371" s="1989" t="e">
        <f>#REF!/10^7</f>
        <v>#REF!</v>
      </c>
      <c r="BJ371" s="1989" t="e">
        <f>#REF!/10^7</f>
        <v>#REF!</v>
      </c>
      <c r="BK371" s="2002" t="e">
        <f t="shared" si="736"/>
        <v>#REF!</v>
      </c>
      <c r="BL371" s="1999" t="e">
        <f t="shared" si="825"/>
        <v>#REF!</v>
      </c>
      <c r="BM371" s="1993" t="e">
        <f>#REF!</f>
        <v>#REF!</v>
      </c>
      <c r="BN371" s="2003">
        <f t="shared" si="737"/>
        <v>0</v>
      </c>
      <c r="BO371" s="1989" t="e">
        <f>#REF!/10^7</f>
        <v>#REF!</v>
      </c>
      <c r="BP371" s="2003">
        <f t="shared" si="738"/>
        <v>0</v>
      </c>
      <c r="BQ371" s="1989" t="e">
        <f>#REF!/10^7</f>
        <v>#REF!</v>
      </c>
      <c r="BR371" s="2003">
        <f t="shared" si="739"/>
        <v>0</v>
      </c>
      <c r="BS371" s="1989" t="e">
        <f>#REF!/10^7</f>
        <v>#REF!</v>
      </c>
      <c r="BT371" s="1989" t="e">
        <f>#REF!/10^7</f>
        <v>#REF!</v>
      </c>
      <c r="BU371" s="2002" t="e">
        <f t="shared" si="740"/>
        <v>#REF!</v>
      </c>
      <c r="BV371" s="1999" t="e">
        <f t="shared" si="826"/>
        <v>#REF!</v>
      </c>
      <c r="BW371" s="1993" t="e">
        <f>#REF!</f>
        <v>#REF!</v>
      </c>
      <c r="BX371" s="2003">
        <f t="shared" si="741"/>
        <v>0</v>
      </c>
      <c r="BY371" s="1989" t="e">
        <f>#REF!/10^7</f>
        <v>#REF!</v>
      </c>
      <c r="BZ371" s="2003">
        <f t="shared" si="742"/>
        <v>0</v>
      </c>
      <c r="CA371" s="1989" t="e">
        <f>#REF!/10^7</f>
        <v>#REF!</v>
      </c>
      <c r="CB371" s="2003">
        <f t="shared" si="743"/>
        <v>0</v>
      </c>
      <c r="CC371" s="1989" t="e">
        <f>#REF!/10^7</f>
        <v>#REF!</v>
      </c>
      <c r="CD371" s="1989" t="e">
        <f>#REF!/10^7</f>
        <v>#REF!</v>
      </c>
      <c r="CE371" s="2002" t="e">
        <f t="shared" si="744"/>
        <v>#REF!</v>
      </c>
      <c r="CF371" s="1999" t="e">
        <f t="shared" si="827"/>
        <v>#REF!</v>
      </c>
      <c r="CG371" s="1993" t="e">
        <f>#REF!</f>
        <v>#REF!</v>
      </c>
      <c r="CH371" s="2003">
        <f t="shared" si="745"/>
        <v>0</v>
      </c>
      <c r="CI371" s="1989" t="e">
        <f>#REF!/10^7</f>
        <v>#REF!</v>
      </c>
      <c r="CJ371" s="2003">
        <f t="shared" si="746"/>
        <v>0</v>
      </c>
      <c r="CK371" s="1989" t="e">
        <f>#REF!/10^7</f>
        <v>#REF!</v>
      </c>
      <c r="CL371" s="2003">
        <f t="shared" si="747"/>
        <v>0</v>
      </c>
      <c r="CM371" s="1989" t="e">
        <f>#REF!/10^7</f>
        <v>#REF!</v>
      </c>
      <c r="CN371" s="1989" t="e">
        <f>#REF!/10^7</f>
        <v>#REF!</v>
      </c>
      <c r="CO371" s="2002" t="e">
        <f t="shared" si="748"/>
        <v>#REF!</v>
      </c>
      <c r="CP371" s="1999" t="e">
        <f t="shared" si="829"/>
        <v>#REF!</v>
      </c>
      <c r="CQ371" s="1993" t="e">
        <f>#REF!</f>
        <v>#REF!</v>
      </c>
      <c r="CR371" s="2003">
        <f t="shared" si="749"/>
        <v>0</v>
      </c>
      <c r="CS371" s="1989" t="e">
        <f>#REF!/10^7</f>
        <v>#REF!</v>
      </c>
      <c r="CT371" s="2003">
        <f t="shared" si="750"/>
        <v>0</v>
      </c>
      <c r="CU371" s="1989" t="e">
        <f>#REF!/10^7</f>
        <v>#REF!</v>
      </c>
      <c r="CV371" s="2003">
        <f t="shared" si="751"/>
        <v>0</v>
      </c>
      <c r="CW371" s="1989" t="e">
        <f>#REF!/10^7</f>
        <v>#REF!</v>
      </c>
      <c r="CX371" s="1989" t="e">
        <f>#REF!/10^7</f>
        <v>#REF!</v>
      </c>
      <c r="CY371" s="2002" t="e">
        <f t="shared" si="752"/>
        <v>#REF!</v>
      </c>
      <c r="CZ371" s="1999" t="e">
        <f t="shared" si="830"/>
        <v>#REF!</v>
      </c>
      <c r="DA371" s="1993" t="e">
        <f>#REF!</f>
        <v>#REF!</v>
      </c>
      <c r="DB371" s="2003">
        <f t="shared" si="753"/>
        <v>0</v>
      </c>
      <c r="DC371" s="1989" t="e">
        <f>#REF!/10^7</f>
        <v>#REF!</v>
      </c>
      <c r="DD371" s="2003">
        <f t="shared" si="754"/>
        <v>0</v>
      </c>
      <c r="DE371" s="1989" t="e">
        <f>#REF!/10^7</f>
        <v>#REF!</v>
      </c>
      <c r="DF371" s="2003">
        <f t="shared" si="755"/>
        <v>0</v>
      </c>
      <c r="DG371" s="1989" t="e">
        <f>#REF!/10^7</f>
        <v>#REF!</v>
      </c>
      <c r="DH371" s="1989" t="e">
        <f>#REF!/10^7</f>
        <v>#REF!</v>
      </c>
      <c r="DI371" s="2002" t="e">
        <f t="shared" si="756"/>
        <v>#REF!</v>
      </c>
      <c r="DJ371" s="1999" t="e">
        <f t="shared" si="831"/>
        <v>#REF!</v>
      </c>
      <c r="DK371" s="1993" t="e">
        <f>#REF!</f>
        <v>#REF!</v>
      </c>
      <c r="DL371" s="2003">
        <f t="shared" si="757"/>
        <v>0</v>
      </c>
      <c r="DM371" s="1989" t="e">
        <f>#REF!/10^7</f>
        <v>#REF!</v>
      </c>
      <c r="DN371" s="2003">
        <f t="shared" si="758"/>
        <v>0</v>
      </c>
      <c r="DO371" s="1989" t="e">
        <f>#REF!/10^7</f>
        <v>#REF!</v>
      </c>
      <c r="DP371" s="2003">
        <f t="shared" si="759"/>
        <v>0</v>
      </c>
      <c r="DQ371" s="1989" t="e">
        <f>#REF!/10^7</f>
        <v>#REF!</v>
      </c>
      <c r="DR371" s="1989" t="e">
        <f>#REF!/10^7</f>
        <v>#REF!</v>
      </c>
      <c r="DS371" s="2002" t="e">
        <f t="shared" si="760"/>
        <v>#REF!</v>
      </c>
      <c r="DT371" s="2004" t="e">
        <f t="shared" si="832"/>
        <v>#REF!</v>
      </c>
      <c r="DU371" s="1988" t="e">
        <f>#REF!</f>
        <v>#REF!</v>
      </c>
      <c r="DV371" s="2003">
        <f t="shared" si="761"/>
        <v>0</v>
      </c>
      <c r="DW371" s="1989" t="e">
        <f>#REF!/10^7</f>
        <v>#REF!</v>
      </c>
      <c r="DX371" s="2003">
        <f t="shared" si="762"/>
        <v>0</v>
      </c>
      <c r="DY371" s="1989" t="e">
        <f>#REF!/10^7</f>
        <v>#REF!</v>
      </c>
      <c r="DZ371" s="2003">
        <f t="shared" si="763"/>
        <v>0</v>
      </c>
      <c r="EA371" s="1989" t="e">
        <f>#REF!/10^7</f>
        <v>#REF!</v>
      </c>
      <c r="EB371" s="1989" t="e">
        <f>#REF!/10^7</f>
        <v>#REF!</v>
      </c>
      <c r="EC371" s="2002" t="e">
        <f t="shared" si="764"/>
        <v>#REF!</v>
      </c>
      <c r="ED371" s="1998" t="e">
        <f t="shared" si="833"/>
        <v>#REF!</v>
      </c>
      <c r="EE371" s="2005" t="e">
        <f t="shared" si="837"/>
        <v>#REF!</v>
      </c>
      <c r="EF371" s="2003">
        <f t="shared" si="766"/>
        <v>0</v>
      </c>
      <c r="EG371" s="1989" t="e">
        <f t="shared" si="834"/>
        <v>#REF!</v>
      </c>
      <c r="EH371" s="2003">
        <f t="shared" si="767"/>
        <v>0</v>
      </c>
      <c r="EI371" s="1989" t="e">
        <f t="shared" si="835"/>
        <v>#REF!</v>
      </c>
      <c r="EJ371" s="2003">
        <f t="shared" si="768"/>
        <v>0</v>
      </c>
      <c r="EK371" s="1989" t="e">
        <f t="shared" si="836"/>
        <v>#REF!</v>
      </c>
      <c r="EL371" s="1989" t="e">
        <f t="shared" si="836"/>
        <v>#REF!</v>
      </c>
      <c r="EM371" s="2006" t="e">
        <f t="shared" si="769"/>
        <v>#REF!</v>
      </c>
      <c r="EN371" s="1999" t="e">
        <f t="shared" si="838"/>
        <v>#REF!</v>
      </c>
      <c r="EP371" s="1613" t="e">
        <f>EA371-#REF!/10^7</f>
        <v>#REF!</v>
      </c>
      <c r="EW371" s="1611" t="e">
        <v>#N/A</v>
      </c>
      <c r="EX371" s="1612" t="e">
        <v>#N/A</v>
      </c>
      <c r="EZ371" s="1650">
        <f t="shared" si="771"/>
        <v>0</v>
      </c>
    </row>
    <row r="372" spans="1:156" ht="21" customHeight="1">
      <c r="A372" s="1652" t="s">
        <v>129</v>
      </c>
      <c r="B372" s="1704" t="s">
        <v>2011</v>
      </c>
      <c r="C372" s="1662"/>
      <c r="D372" s="1646" t="e">
        <f>H372/C372*100</f>
        <v>#DIV/0!</v>
      </c>
      <c r="E372" s="1646"/>
      <c r="F372" s="1648"/>
      <c r="G372" s="1648"/>
      <c r="H372" s="1648"/>
      <c r="I372" s="1648"/>
      <c r="J372" s="1663"/>
      <c r="K372" s="1648"/>
      <c r="L372" s="1648"/>
      <c r="M372" s="1648"/>
      <c r="N372" s="1642"/>
      <c r="O372" s="2000" t="e">
        <f>#REF!</f>
        <v>#REF!</v>
      </c>
      <c r="P372" s="2003">
        <f t="shared" si="717"/>
        <v>0</v>
      </c>
      <c r="Q372" s="1989" t="e">
        <f>#REF!/10^7</f>
        <v>#REF!</v>
      </c>
      <c r="R372" s="2003">
        <f t="shared" si="718"/>
        <v>0</v>
      </c>
      <c r="S372" s="1989" t="e">
        <f>#REF!/10^7</f>
        <v>#REF!</v>
      </c>
      <c r="T372" s="2003">
        <f t="shared" si="719"/>
        <v>0</v>
      </c>
      <c r="U372" s="1989" t="e">
        <f>#REF!/10^7</f>
        <v>#REF!</v>
      </c>
      <c r="V372" s="1989" t="e">
        <f>#REF!/10^7</f>
        <v>#REF!</v>
      </c>
      <c r="W372" s="1989">
        <f t="shared" si="720"/>
        <v>0</v>
      </c>
      <c r="X372" s="1999" t="e">
        <f t="shared" si="828"/>
        <v>#REF!</v>
      </c>
      <c r="Y372" s="1993" t="e">
        <f>#REF!</f>
        <v>#REF!</v>
      </c>
      <c r="Z372" s="2003">
        <f t="shared" si="721"/>
        <v>0</v>
      </c>
      <c r="AA372" s="1989" t="e">
        <f>#REF!/10^7</f>
        <v>#REF!</v>
      </c>
      <c r="AB372" s="2003">
        <f t="shared" si="722"/>
        <v>0</v>
      </c>
      <c r="AC372" s="1989" t="e">
        <f>#REF!/10^7</f>
        <v>#REF!</v>
      </c>
      <c r="AD372" s="2003">
        <f t="shared" si="723"/>
        <v>0</v>
      </c>
      <c r="AE372" s="1989" t="e">
        <f>#REF!/10^7</f>
        <v>#REF!</v>
      </c>
      <c r="AF372" s="1989" t="e">
        <f>#REF!/10^7</f>
        <v>#REF!</v>
      </c>
      <c r="AG372" s="2002" t="e">
        <f t="shared" si="724"/>
        <v>#REF!</v>
      </c>
      <c r="AH372" s="1999" t="e">
        <f t="shared" si="822"/>
        <v>#REF!</v>
      </c>
      <c r="AI372" s="1993" t="e">
        <f>#REF!</f>
        <v>#REF!</v>
      </c>
      <c r="AJ372" s="2003">
        <f t="shared" si="725"/>
        <v>0</v>
      </c>
      <c r="AK372" s="1989" t="e">
        <f>#REF!/10^7</f>
        <v>#REF!</v>
      </c>
      <c r="AL372" s="2003">
        <f t="shared" si="726"/>
        <v>0</v>
      </c>
      <c r="AM372" s="1989" t="e">
        <f>#REF!/10^7</f>
        <v>#REF!</v>
      </c>
      <c r="AN372" s="2003">
        <f t="shared" si="727"/>
        <v>0</v>
      </c>
      <c r="AO372" s="1989" t="e">
        <f>#REF!/10^7</f>
        <v>#REF!</v>
      </c>
      <c r="AP372" s="1989" t="e">
        <f>#REF!/10^7</f>
        <v>#REF!</v>
      </c>
      <c r="AQ372" s="2002" t="e">
        <f t="shared" si="728"/>
        <v>#REF!</v>
      </c>
      <c r="AR372" s="1999" t="e">
        <f t="shared" si="823"/>
        <v>#REF!</v>
      </c>
      <c r="AS372" s="1993" t="e">
        <f>#REF!</f>
        <v>#REF!</v>
      </c>
      <c r="AT372" s="2003">
        <f t="shared" si="729"/>
        <v>0</v>
      </c>
      <c r="AU372" s="1989" t="e">
        <f>#REF!/10^7</f>
        <v>#REF!</v>
      </c>
      <c r="AV372" s="2003">
        <f t="shared" si="730"/>
        <v>0</v>
      </c>
      <c r="AW372" s="1989" t="e">
        <f>#REF!/10^7</f>
        <v>#REF!</v>
      </c>
      <c r="AX372" s="2003">
        <f t="shared" si="731"/>
        <v>0</v>
      </c>
      <c r="AY372" s="1989" t="e">
        <f>#REF!/10^7</f>
        <v>#REF!</v>
      </c>
      <c r="AZ372" s="1989" t="e">
        <f>#REF!/10^7</f>
        <v>#REF!</v>
      </c>
      <c r="BA372" s="2002" t="e">
        <f t="shared" si="732"/>
        <v>#REF!</v>
      </c>
      <c r="BB372" s="1999" t="e">
        <f t="shared" si="824"/>
        <v>#REF!</v>
      </c>
      <c r="BC372" s="1993" t="e">
        <f>#REF!</f>
        <v>#REF!</v>
      </c>
      <c r="BD372" s="2003">
        <f t="shared" si="733"/>
        <v>0</v>
      </c>
      <c r="BE372" s="1989" t="e">
        <f>#REF!/10^7</f>
        <v>#REF!</v>
      </c>
      <c r="BF372" s="2003">
        <f t="shared" si="734"/>
        <v>0</v>
      </c>
      <c r="BG372" s="1989" t="e">
        <f>#REF!/10^7</f>
        <v>#REF!</v>
      </c>
      <c r="BH372" s="2003">
        <f t="shared" si="735"/>
        <v>0</v>
      </c>
      <c r="BI372" s="1989" t="e">
        <f>#REF!/10^7</f>
        <v>#REF!</v>
      </c>
      <c r="BJ372" s="1989" t="e">
        <f>#REF!/10^7</f>
        <v>#REF!</v>
      </c>
      <c r="BK372" s="2002" t="e">
        <f t="shared" si="736"/>
        <v>#REF!</v>
      </c>
      <c r="BL372" s="1999" t="e">
        <f t="shared" si="825"/>
        <v>#REF!</v>
      </c>
      <c r="BM372" s="1993" t="e">
        <f>#REF!</f>
        <v>#REF!</v>
      </c>
      <c r="BN372" s="2003">
        <f t="shared" si="737"/>
        <v>0</v>
      </c>
      <c r="BO372" s="1989" t="e">
        <f>#REF!/10^7</f>
        <v>#REF!</v>
      </c>
      <c r="BP372" s="2003">
        <f t="shared" si="738"/>
        <v>0</v>
      </c>
      <c r="BQ372" s="1989" t="e">
        <f>#REF!/10^7</f>
        <v>#REF!</v>
      </c>
      <c r="BR372" s="2003">
        <f t="shared" si="739"/>
        <v>0</v>
      </c>
      <c r="BS372" s="1989" t="e">
        <f>#REF!/10^7</f>
        <v>#REF!</v>
      </c>
      <c r="BT372" s="1989" t="e">
        <f>#REF!/10^7</f>
        <v>#REF!</v>
      </c>
      <c r="BU372" s="2002" t="e">
        <f t="shared" si="740"/>
        <v>#REF!</v>
      </c>
      <c r="BV372" s="1999" t="e">
        <f t="shared" si="826"/>
        <v>#REF!</v>
      </c>
      <c r="BW372" s="1993" t="e">
        <f>#REF!</f>
        <v>#REF!</v>
      </c>
      <c r="BX372" s="2003">
        <f t="shared" si="741"/>
        <v>0</v>
      </c>
      <c r="BY372" s="1989" t="e">
        <f>#REF!/10^7</f>
        <v>#REF!</v>
      </c>
      <c r="BZ372" s="2003">
        <f t="shared" si="742"/>
        <v>0</v>
      </c>
      <c r="CA372" s="1989" t="e">
        <f>#REF!/10^7</f>
        <v>#REF!</v>
      </c>
      <c r="CB372" s="2003">
        <f t="shared" si="743"/>
        <v>0</v>
      </c>
      <c r="CC372" s="1989" t="e">
        <f>#REF!/10^7</f>
        <v>#REF!</v>
      </c>
      <c r="CD372" s="1989" t="e">
        <f>#REF!/10^7</f>
        <v>#REF!</v>
      </c>
      <c r="CE372" s="2002" t="e">
        <f t="shared" si="744"/>
        <v>#REF!</v>
      </c>
      <c r="CF372" s="1999" t="e">
        <f t="shared" si="827"/>
        <v>#REF!</v>
      </c>
      <c r="CG372" s="1993" t="e">
        <f>#REF!</f>
        <v>#REF!</v>
      </c>
      <c r="CH372" s="2003">
        <f t="shared" si="745"/>
        <v>0</v>
      </c>
      <c r="CI372" s="1989" t="e">
        <f>#REF!/10^7</f>
        <v>#REF!</v>
      </c>
      <c r="CJ372" s="2003">
        <f t="shared" si="746"/>
        <v>0</v>
      </c>
      <c r="CK372" s="1989" t="e">
        <f>#REF!/10^7</f>
        <v>#REF!</v>
      </c>
      <c r="CL372" s="2003">
        <f t="shared" si="747"/>
        <v>0</v>
      </c>
      <c r="CM372" s="1989" t="e">
        <f>#REF!/10^7</f>
        <v>#REF!</v>
      </c>
      <c r="CN372" s="1989" t="e">
        <f>#REF!/10^7</f>
        <v>#REF!</v>
      </c>
      <c r="CO372" s="2002" t="e">
        <f t="shared" si="748"/>
        <v>#REF!</v>
      </c>
      <c r="CP372" s="1999" t="e">
        <f t="shared" si="829"/>
        <v>#REF!</v>
      </c>
      <c r="CQ372" s="1993" t="e">
        <f>#REF!</f>
        <v>#REF!</v>
      </c>
      <c r="CR372" s="2003">
        <f t="shared" si="749"/>
        <v>0</v>
      </c>
      <c r="CS372" s="1989" t="e">
        <f>#REF!/10^7</f>
        <v>#REF!</v>
      </c>
      <c r="CT372" s="2003">
        <f t="shared" si="750"/>
        <v>0</v>
      </c>
      <c r="CU372" s="1989" t="e">
        <f>#REF!/10^7</f>
        <v>#REF!</v>
      </c>
      <c r="CV372" s="2003">
        <f t="shared" si="751"/>
        <v>0</v>
      </c>
      <c r="CW372" s="1989" t="e">
        <f>#REF!/10^7</f>
        <v>#REF!</v>
      </c>
      <c r="CX372" s="1989" t="e">
        <f>#REF!/10^7</f>
        <v>#REF!</v>
      </c>
      <c r="CY372" s="2002" t="e">
        <f t="shared" si="752"/>
        <v>#REF!</v>
      </c>
      <c r="CZ372" s="1999" t="e">
        <f t="shared" si="830"/>
        <v>#REF!</v>
      </c>
      <c r="DA372" s="1993" t="e">
        <f>#REF!</f>
        <v>#REF!</v>
      </c>
      <c r="DB372" s="2003">
        <f t="shared" si="753"/>
        <v>0</v>
      </c>
      <c r="DC372" s="1989" t="e">
        <f>#REF!/10^7</f>
        <v>#REF!</v>
      </c>
      <c r="DD372" s="2003">
        <f t="shared" si="754"/>
        <v>0</v>
      </c>
      <c r="DE372" s="1989" t="e">
        <f>#REF!/10^7</f>
        <v>#REF!</v>
      </c>
      <c r="DF372" s="2003">
        <f t="shared" si="755"/>
        <v>0</v>
      </c>
      <c r="DG372" s="1989" t="e">
        <f>#REF!/10^7</f>
        <v>#REF!</v>
      </c>
      <c r="DH372" s="1989" t="e">
        <f>#REF!/10^7</f>
        <v>#REF!</v>
      </c>
      <c r="DI372" s="2002" t="e">
        <f t="shared" si="756"/>
        <v>#REF!</v>
      </c>
      <c r="DJ372" s="1999" t="e">
        <f t="shared" si="831"/>
        <v>#REF!</v>
      </c>
      <c r="DK372" s="1993" t="e">
        <f>#REF!</f>
        <v>#REF!</v>
      </c>
      <c r="DL372" s="2003">
        <f t="shared" si="757"/>
        <v>0</v>
      </c>
      <c r="DM372" s="1989" t="e">
        <f>#REF!/10^7</f>
        <v>#REF!</v>
      </c>
      <c r="DN372" s="2003">
        <f t="shared" si="758"/>
        <v>0</v>
      </c>
      <c r="DO372" s="1989" t="e">
        <f>#REF!/10^7</f>
        <v>#REF!</v>
      </c>
      <c r="DP372" s="2003">
        <f t="shared" si="759"/>
        <v>0</v>
      </c>
      <c r="DQ372" s="1989" t="e">
        <f>#REF!/10^7</f>
        <v>#REF!</v>
      </c>
      <c r="DR372" s="1989" t="e">
        <f>#REF!/10^7</f>
        <v>#REF!</v>
      </c>
      <c r="DS372" s="2002" t="e">
        <f t="shared" si="760"/>
        <v>#REF!</v>
      </c>
      <c r="DT372" s="2004" t="e">
        <f t="shared" si="832"/>
        <v>#REF!</v>
      </c>
      <c r="DU372" s="1988" t="e">
        <f>#REF!</f>
        <v>#REF!</v>
      </c>
      <c r="DV372" s="2003">
        <f t="shared" si="761"/>
        <v>0</v>
      </c>
      <c r="DW372" s="1989" t="e">
        <f>#REF!/10^7</f>
        <v>#REF!</v>
      </c>
      <c r="DX372" s="2003">
        <f t="shared" si="762"/>
        <v>0</v>
      </c>
      <c r="DY372" s="1989" t="e">
        <f>#REF!/10^7</f>
        <v>#REF!</v>
      </c>
      <c r="DZ372" s="2003">
        <f t="shared" si="763"/>
        <v>0</v>
      </c>
      <c r="EA372" s="1989" t="e">
        <f>#REF!/10^7</f>
        <v>#REF!</v>
      </c>
      <c r="EB372" s="1989" t="e">
        <f>#REF!/10^7</f>
        <v>#REF!</v>
      </c>
      <c r="EC372" s="2002" t="e">
        <f t="shared" si="764"/>
        <v>#REF!</v>
      </c>
      <c r="ED372" s="1998" t="e">
        <f>DW372+DY372+EA372+EB372</f>
        <v>#REF!</v>
      </c>
      <c r="EE372" s="2005" t="e">
        <f t="shared" si="837"/>
        <v>#REF!</v>
      </c>
      <c r="EF372" s="2003">
        <f t="shared" si="766"/>
        <v>0</v>
      </c>
      <c r="EG372" s="1989" t="e">
        <f t="shared" si="834"/>
        <v>#REF!</v>
      </c>
      <c r="EH372" s="2003">
        <f t="shared" si="767"/>
        <v>0</v>
      </c>
      <c r="EI372" s="1989" t="e">
        <f t="shared" si="835"/>
        <v>#REF!</v>
      </c>
      <c r="EJ372" s="2003">
        <f t="shared" si="768"/>
        <v>0</v>
      </c>
      <c r="EK372" s="1989" t="e">
        <f>U372+AE372+AO372+AY372+BI372+BS372+CC372+CM372+CW372+DG372+DQ372+EA372</f>
        <v>#REF!</v>
      </c>
      <c r="EL372" s="1989" t="e">
        <f t="shared" si="836"/>
        <v>#REF!</v>
      </c>
      <c r="EM372" s="2006" t="e">
        <f t="shared" si="769"/>
        <v>#REF!</v>
      </c>
      <c r="EN372" s="1999" t="e">
        <f t="shared" si="838"/>
        <v>#REF!</v>
      </c>
      <c r="EP372" s="1613" t="e">
        <f>EA372-#REF!/10^7</f>
        <v>#REF!</v>
      </c>
      <c r="EW372" s="1611" t="e">
        <v>#N/A</v>
      </c>
      <c r="EX372" s="1612" t="e">
        <v>#N/A</v>
      </c>
      <c r="EZ372" s="1650">
        <f t="shared" si="771"/>
        <v>0</v>
      </c>
    </row>
    <row r="373" spans="1:156" ht="21" customHeight="1">
      <c r="A373" s="1652" t="s">
        <v>130</v>
      </c>
      <c r="B373" s="1704" t="s">
        <v>2012</v>
      </c>
      <c r="C373" s="1662"/>
      <c r="D373" s="1646" t="e">
        <f>H373/C373*100</f>
        <v>#DIV/0!</v>
      </c>
      <c r="E373" s="1646"/>
      <c r="F373" s="1648"/>
      <c r="G373" s="1648"/>
      <c r="H373" s="1648"/>
      <c r="I373" s="1648"/>
      <c r="J373" s="1663"/>
      <c r="K373" s="1648"/>
      <c r="L373" s="1648"/>
      <c r="M373" s="1648"/>
      <c r="N373" s="1642"/>
      <c r="O373" s="2000" t="e">
        <f>#REF!</f>
        <v>#REF!</v>
      </c>
      <c r="P373" s="2003">
        <f t="shared" si="717"/>
        <v>0</v>
      </c>
      <c r="Q373" s="1989" t="e">
        <f>#REF!/10^7</f>
        <v>#REF!</v>
      </c>
      <c r="R373" s="2003">
        <f t="shared" si="718"/>
        <v>0</v>
      </c>
      <c r="S373" s="1989" t="e">
        <f>#REF!/10^7</f>
        <v>#REF!</v>
      </c>
      <c r="T373" s="2003">
        <f t="shared" si="719"/>
        <v>0</v>
      </c>
      <c r="U373" s="1989" t="e">
        <f>#REF!/10^7</f>
        <v>#REF!</v>
      </c>
      <c r="V373" s="1989" t="e">
        <f>#REF!/10^7</f>
        <v>#REF!</v>
      </c>
      <c r="W373" s="1989">
        <f t="shared" si="720"/>
        <v>0</v>
      </c>
      <c r="X373" s="1999" t="e">
        <f t="shared" si="828"/>
        <v>#REF!</v>
      </c>
      <c r="Y373" s="1993" t="e">
        <f>#REF!</f>
        <v>#REF!</v>
      </c>
      <c r="Z373" s="2003">
        <f t="shared" si="721"/>
        <v>0</v>
      </c>
      <c r="AA373" s="1989" t="e">
        <f>#REF!/10^7</f>
        <v>#REF!</v>
      </c>
      <c r="AB373" s="2003">
        <f t="shared" si="722"/>
        <v>0</v>
      </c>
      <c r="AC373" s="1989" t="e">
        <f>#REF!/10^7</f>
        <v>#REF!</v>
      </c>
      <c r="AD373" s="2003">
        <f t="shared" si="723"/>
        <v>0</v>
      </c>
      <c r="AE373" s="1989" t="e">
        <f>#REF!/10^7</f>
        <v>#REF!</v>
      </c>
      <c r="AF373" s="1989" t="e">
        <f>#REF!/10^7</f>
        <v>#REF!</v>
      </c>
      <c r="AG373" s="2002" t="e">
        <f t="shared" si="724"/>
        <v>#REF!</v>
      </c>
      <c r="AH373" s="1999" t="e">
        <f t="shared" si="822"/>
        <v>#REF!</v>
      </c>
      <c r="AI373" s="1993" t="e">
        <f>#REF!</f>
        <v>#REF!</v>
      </c>
      <c r="AJ373" s="2003">
        <f t="shared" si="725"/>
        <v>0</v>
      </c>
      <c r="AK373" s="1989" t="e">
        <f>#REF!/10^7</f>
        <v>#REF!</v>
      </c>
      <c r="AL373" s="2003">
        <f t="shared" si="726"/>
        <v>0</v>
      </c>
      <c r="AM373" s="1989" t="e">
        <f>#REF!/10^7</f>
        <v>#REF!</v>
      </c>
      <c r="AN373" s="2003">
        <f t="shared" si="727"/>
        <v>0</v>
      </c>
      <c r="AO373" s="1989" t="e">
        <f>#REF!/10^7</f>
        <v>#REF!</v>
      </c>
      <c r="AP373" s="1989" t="e">
        <f>#REF!/10^7</f>
        <v>#REF!</v>
      </c>
      <c r="AQ373" s="2002" t="e">
        <f t="shared" si="728"/>
        <v>#REF!</v>
      </c>
      <c r="AR373" s="1999" t="e">
        <f t="shared" si="823"/>
        <v>#REF!</v>
      </c>
      <c r="AS373" s="1993" t="e">
        <f>#REF!</f>
        <v>#REF!</v>
      </c>
      <c r="AT373" s="2003">
        <f t="shared" si="729"/>
        <v>0</v>
      </c>
      <c r="AU373" s="1989" t="e">
        <f>#REF!/10^7</f>
        <v>#REF!</v>
      </c>
      <c r="AV373" s="2003">
        <f t="shared" si="730"/>
        <v>0</v>
      </c>
      <c r="AW373" s="1989" t="e">
        <f>#REF!/10^7</f>
        <v>#REF!</v>
      </c>
      <c r="AX373" s="2003">
        <f t="shared" si="731"/>
        <v>0</v>
      </c>
      <c r="AY373" s="1989" t="e">
        <f>#REF!/10^7</f>
        <v>#REF!</v>
      </c>
      <c r="AZ373" s="1989" t="e">
        <f>#REF!/10^7</f>
        <v>#REF!</v>
      </c>
      <c r="BA373" s="2002" t="e">
        <f t="shared" si="732"/>
        <v>#REF!</v>
      </c>
      <c r="BB373" s="1999" t="e">
        <f t="shared" si="824"/>
        <v>#REF!</v>
      </c>
      <c r="BC373" s="1993" t="e">
        <f>#REF!</f>
        <v>#REF!</v>
      </c>
      <c r="BD373" s="2003">
        <f t="shared" si="733"/>
        <v>0</v>
      </c>
      <c r="BE373" s="1989" t="e">
        <f>#REF!/10^7</f>
        <v>#REF!</v>
      </c>
      <c r="BF373" s="2003">
        <f t="shared" si="734"/>
        <v>0</v>
      </c>
      <c r="BG373" s="1989" t="e">
        <f>#REF!/10^7</f>
        <v>#REF!</v>
      </c>
      <c r="BH373" s="2003">
        <f t="shared" si="735"/>
        <v>0</v>
      </c>
      <c r="BI373" s="1989" t="e">
        <f>#REF!/10^7</f>
        <v>#REF!</v>
      </c>
      <c r="BJ373" s="1989" t="e">
        <f>#REF!/10^7</f>
        <v>#REF!</v>
      </c>
      <c r="BK373" s="2002" t="e">
        <f t="shared" si="736"/>
        <v>#REF!</v>
      </c>
      <c r="BL373" s="1999" t="e">
        <f t="shared" si="825"/>
        <v>#REF!</v>
      </c>
      <c r="BM373" s="1993" t="e">
        <f>#REF!</f>
        <v>#REF!</v>
      </c>
      <c r="BN373" s="2003">
        <f t="shared" si="737"/>
        <v>0</v>
      </c>
      <c r="BO373" s="1989" t="e">
        <f>#REF!/10^7</f>
        <v>#REF!</v>
      </c>
      <c r="BP373" s="2003">
        <f t="shared" si="738"/>
        <v>0</v>
      </c>
      <c r="BQ373" s="1989" t="e">
        <f>#REF!/10^7</f>
        <v>#REF!</v>
      </c>
      <c r="BR373" s="2003">
        <f t="shared" si="739"/>
        <v>0</v>
      </c>
      <c r="BS373" s="1989" t="e">
        <f>#REF!/10^7</f>
        <v>#REF!</v>
      </c>
      <c r="BT373" s="1989" t="e">
        <f>#REF!/10^7</f>
        <v>#REF!</v>
      </c>
      <c r="BU373" s="2002" t="e">
        <f t="shared" si="740"/>
        <v>#REF!</v>
      </c>
      <c r="BV373" s="1999" t="e">
        <f t="shared" si="826"/>
        <v>#REF!</v>
      </c>
      <c r="BW373" s="1993" t="e">
        <f>#REF!</f>
        <v>#REF!</v>
      </c>
      <c r="BX373" s="2003">
        <f t="shared" si="741"/>
        <v>0</v>
      </c>
      <c r="BY373" s="1989" t="e">
        <f>#REF!/10^7</f>
        <v>#REF!</v>
      </c>
      <c r="BZ373" s="2003">
        <f t="shared" si="742"/>
        <v>0</v>
      </c>
      <c r="CA373" s="1989" t="e">
        <f>#REF!/10^7</f>
        <v>#REF!</v>
      </c>
      <c r="CB373" s="2003">
        <f t="shared" si="743"/>
        <v>0</v>
      </c>
      <c r="CC373" s="1989" t="e">
        <f>#REF!/10^7</f>
        <v>#REF!</v>
      </c>
      <c r="CD373" s="1989" t="e">
        <f>#REF!/10^7</f>
        <v>#REF!</v>
      </c>
      <c r="CE373" s="2002" t="e">
        <f t="shared" si="744"/>
        <v>#REF!</v>
      </c>
      <c r="CF373" s="1999" t="e">
        <f t="shared" si="827"/>
        <v>#REF!</v>
      </c>
      <c r="CG373" s="1993" t="e">
        <f>#REF!</f>
        <v>#REF!</v>
      </c>
      <c r="CH373" s="2003">
        <f t="shared" si="745"/>
        <v>0</v>
      </c>
      <c r="CI373" s="1989" t="e">
        <f>#REF!/10^7</f>
        <v>#REF!</v>
      </c>
      <c r="CJ373" s="2003">
        <f t="shared" si="746"/>
        <v>0</v>
      </c>
      <c r="CK373" s="1989" t="e">
        <f>#REF!/10^7</f>
        <v>#REF!</v>
      </c>
      <c r="CL373" s="2003">
        <f t="shared" si="747"/>
        <v>0</v>
      </c>
      <c r="CM373" s="1989" t="e">
        <f>#REF!/10^7</f>
        <v>#REF!</v>
      </c>
      <c r="CN373" s="1989" t="e">
        <f>#REF!/10^7</f>
        <v>#REF!</v>
      </c>
      <c r="CO373" s="2002" t="e">
        <f t="shared" si="748"/>
        <v>#REF!</v>
      </c>
      <c r="CP373" s="1999" t="e">
        <f t="shared" si="829"/>
        <v>#REF!</v>
      </c>
      <c r="CQ373" s="1993" t="e">
        <f>#REF!</f>
        <v>#REF!</v>
      </c>
      <c r="CR373" s="2003">
        <f t="shared" si="749"/>
        <v>0</v>
      </c>
      <c r="CS373" s="1989" t="e">
        <f>#REF!/10^7</f>
        <v>#REF!</v>
      </c>
      <c r="CT373" s="2003">
        <f t="shared" si="750"/>
        <v>0</v>
      </c>
      <c r="CU373" s="1989" t="e">
        <f>#REF!/10^7</f>
        <v>#REF!</v>
      </c>
      <c r="CV373" s="2003">
        <f t="shared" si="751"/>
        <v>0</v>
      </c>
      <c r="CW373" s="1989" t="e">
        <f>#REF!/10^7</f>
        <v>#REF!</v>
      </c>
      <c r="CX373" s="1989" t="e">
        <f>#REF!/10^7</f>
        <v>#REF!</v>
      </c>
      <c r="CY373" s="2002" t="e">
        <f t="shared" si="752"/>
        <v>#REF!</v>
      </c>
      <c r="CZ373" s="1999" t="e">
        <f t="shared" si="830"/>
        <v>#REF!</v>
      </c>
      <c r="DA373" s="1993" t="e">
        <f>#REF!</f>
        <v>#REF!</v>
      </c>
      <c r="DB373" s="2003">
        <f t="shared" si="753"/>
        <v>0</v>
      </c>
      <c r="DC373" s="1989" t="e">
        <f>#REF!/10^7</f>
        <v>#REF!</v>
      </c>
      <c r="DD373" s="2003">
        <f t="shared" si="754"/>
        <v>0</v>
      </c>
      <c r="DE373" s="1989" t="e">
        <f>#REF!/10^7</f>
        <v>#REF!</v>
      </c>
      <c r="DF373" s="2003">
        <f t="shared" si="755"/>
        <v>0</v>
      </c>
      <c r="DG373" s="1989" t="e">
        <f>#REF!/10^7</f>
        <v>#REF!</v>
      </c>
      <c r="DH373" s="1989" t="e">
        <f>#REF!/10^7</f>
        <v>#REF!</v>
      </c>
      <c r="DI373" s="2002" t="e">
        <f t="shared" si="756"/>
        <v>#REF!</v>
      </c>
      <c r="DJ373" s="1999" t="e">
        <f t="shared" si="831"/>
        <v>#REF!</v>
      </c>
      <c r="DK373" s="1993" t="e">
        <f>#REF!</f>
        <v>#REF!</v>
      </c>
      <c r="DL373" s="2003">
        <f t="shared" si="757"/>
        <v>0</v>
      </c>
      <c r="DM373" s="1989" t="e">
        <f>#REF!/10^7</f>
        <v>#REF!</v>
      </c>
      <c r="DN373" s="2003">
        <f t="shared" si="758"/>
        <v>0</v>
      </c>
      <c r="DO373" s="1989" t="e">
        <f>#REF!/10^7</f>
        <v>#REF!</v>
      </c>
      <c r="DP373" s="2003">
        <f t="shared" si="759"/>
        <v>0</v>
      </c>
      <c r="DQ373" s="1989" t="e">
        <f>#REF!/10^7</f>
        <v>#REF!</v>
      </c>
      <c r="DR373" s="1989" t="e">
        <f>#REF!/10^7</f>
        <v>#REF!</v>
      </c>
      <c r="DS373" s="2002" t="e">
        <f t="shared" si="760"/>
        <v>#REF!</v>
      </c>
      <c r="DT373" s="2004" t="e">
        <f t="shared" si="832"/>
        <v>#REF!</v>
      </c>
      <c r="DU373" s="1988" t="e">
        <f>#REF!</f>
        <v>#REF!</v>
      </c>
      <c r="DV373" s="2003">
        <f t="shared" si="761"/>
        <v>0</v>
      </c>
      <c r="DW373" s="1989" t="e">
        <f>#REF!/10^7</f>
        <v>#REF!</v>
      </c>
      <c r="DX373" s="2003">
        <f t="shared" si="762"/>
        <v>0</v>
      </c>
      <c r="DY373" s="1989" t="e">
        <f>#REF!/10^7</f>
        <v>#REF!</v>
      </c>
      <c r="DZ373" s="2003">
        <f t="shared" si="763"/>
        <v>0</v>
      </c>
      <c r="EA373" s="1989" t="e">
        <f>#REF!/10^7+#REF!/10^7</f>
        <v>#REF!</v>
      </c>
      <c r="EB373" s="1989" t="e">
        <f>#REF!/10^7</f>
        <v>#REF!</v>
      </c>
      <c r="EC373" s="2002" t="e">
        <f t="shared" si="764"/>
        <v>#REF!</v>
      </c>
      <c r="ED373" s="1998" t="e">
        <f>DW373+DY373+EA373+EB373</f>
        <v>#REF!</v>
      </c>
      <c r="EE373" s="2005" t="e">
        <f t="shared" si="837"/>
        <v>#REF!</v>
      </c>
      <c r="EF373" s="2003">
        <f t="shared" si="766"/>
        <v>0</v>
      </c>
      <c r="EG373" s="1989" t="e">
        <f t="shared" si="834"/>
        <v>#REF!</v>
      </c>
      <c r="EH373" s="2003">
        <f t="shared" si="767"/>
        <v>0</v>
      </c>
      <c r="EI373" s="1989" t="e">
        <f t="shared" si="835"/>
        <v>#REF!</v>
      </c>
      <c r="EJ373" s="2003">
        <f t="shared" si="768"/>
        <v>0</v>
      </c>
      <c r="EK373" s="1989" t="e">
        <f t="shared" si="836"/>
        <v>#REF!</v>
      </c>
      <c r="EL373" s="1989" t="e">
        <f t="shared" si="836"/>
        <v>#REF!</v>
      </c>
      <c r="EM373" s="2006" t="e">
        <f t="shared" si="769"/>
        <v>#REF!</v>
      </c>
      <c r="EN373" s="1999" t="e">
        <f t="shared" si="838"/>
        <v>#REF!</v>
      </c>
      <c r="EP373" s="1613" t="e">
        <f>EA373-#REF!/10^7</f>
        <v>#REF!</v>
      </c>
      <c r="EW373" s="1611" t="e">
        <v>#N/A</v>
      </c>
      <c r="EX373" s="1612" t="e">
        <v>#N/A</v>
      </c>
      <c r="EZ373" s="1650">
        <f t="shared" si="771"/>
        <v>0</v>
      </c>
    </row>
    <row r="374" spans="1:156" ht="21" customHeight="1">
      <c r="A374" s="1652"/>
      <c r="B374" s="1704"/>
      <c r="C374" s="1662"/>
      <c r="D374" s="1648"/>
      <c r="E374" s="1648"/>
      <c r="F374" s="1648"/>
      <c r="G374" s="1648"/>
      <c r="H374" s="1648"/>
      <c r="I374" s="1648"/>
      <c r="J374" s="1663"/>
      <c r="K374" s="1648"/>
      <c r="L374" s="1648"/>
      <c r="M374" s="1648"/>
      <c r="N374" s="1642"/>
      <c r="O374" s="2000"/>
      <c r="P374" s="2003">
        <f t="shared" si="717"/>
        <v>0</v>
      </c>
      <c r="Q374" s="1989"/>
      <c r="R374" s="2003">
        <f t="shared" si="718"/>
        <v>0</v>
      </c>
      <c r="S374" s="1989"/>
      <c r="T374" s="2003">
        <f t="shared" si="719"/>
        <v>0</v>
      </c>
      <c r="U374" s="1989"/>
      <c r="V374" s="1989"/>
      <c r="W374" s="1989">
        <f t="shared" si="720"/>
        <v>0</v>
      </c>
      <c r="X374" s="1999">
        <f t="shared" si="828"/>
        <v>0</v>
      </c>
      <c r="Y374" s="1993"/>
      <c r="Z374" s="2003">
        <f t="shared" si="721"/>
        <v>0</v>
      </c>
      <c r="AA374" s="1989"/>
      <c r="AB374" s="2003">
        <f t="shared" si="722"/>
        <v>0</v>
      </c>
      <c r="AC374" s="1989"/>
      <c r="AD374" s="2003">
        <f t="shared" si="723"/>
        <v>0</v>
      </c>
      <c r="AE374" s="1989"/>
      <c r="AF374" s="1989"/>
      <c r="AG374" s="2002">
        <f t="shared" si="724"/>
        <v>0</v>
      </c>
      <c r="AH374" s="1999">
        <f t="shared" si="822"/>
        <v>0</v>
      </c>
      <c r="AI374" s="1993"/>
      <c r="AJ374" s="2003">
        <f t="shared" si="725"/>
        <v>0</v>
      </c>
      <c r="AK374" s="1989"/>
      <c r="AL374" s="2003">
        <f t="shared" si="726"/>
        <v>0</v>
      </c>
      <c r="AM374" s="1989"/>
      <c r="AN374" s="2003">
        <f t="shared" si="727"/>
        <v>0</v>
      </c>
      <c r="AO374" s="1989"/>
      <c r="AP374" s="1989"/>
      <c r="AQ374" s="2002">
        <f t="shared" si="728"/>
        <v>0</v>
      </c>
      <c r="AR374" s="1999">
        <f t="shared" si="823"/>
        <v>0</v>
      </c>
      <c r="AS374" s="1993"/>
      <c r="AT374" s="2003">
        <f t="shared" si="729"/>
        <v>0</v>
      </c>
      <c r="AU374" s="1989"/>
      <c r="AV374" s="2003">
        <f t="shared" si="730"/>
        <v>0</v>
      </c>
      <c r="AW374" s="1989"/>
      <c r="AX374" s="2003">
        <f t="shared" si="731"/>
        <v>0</v>
      </c>
      <c r="AY374" s="1989"/>
      <c r="AZ374" s="1989"/>
      <c r="BA374" s="2002">
        <f t="shared" si="732"/>
        <v>0</v>
      </c>
      <c r="BB374" s="1999">
        <f t="shared" si="824"/>
        <v>0</v>
      </c>
      <c r="BC374" s="1993"/>
      <c r="BD374" s="2003">
        <f t="shared" si="733"/>
        <v>0</v>
      </c>
      <c r="BE374" s="1989"/>
      <c r="BF374" s="2003">
        <f t="shared" si="734"/>
        <v>0</v>
      </c>
      <c r="BG374" s="1989"/>
      <c r="BH374" s="2003">
        <f t="shared" si="735"/>
        <v>0</v>
      </c>
      <c r="BI374" s="1989"/>
      <c r="BJ374" s="1989"/>
      <c r="BK374" s="2002">
        <f t="shared" si="736"/>
        <v>0</v>
      </c>
      <c r="BL374" s="1999">
        <f t="shared" si="825"/>
        <v>0</v>
      </c>
      <c r="BM374" s="1993"/>
      <c r="BN374" s="2003">
        <f t="shared" si="737"/>
        <v>0</v>
      </c>
      <c r="BO374" s="1989"/>
      <c r="BP374" s="2003">
        <f t="shared" si="738"/>
        <v>0</v>
      </c>
      <c r="BQ374" s="1989"/>
      <c r="BR374" s="2003">
        <f t="shared" si="739"/>
        <v>0</v>
      </c>
      <c r="BS374" s="1989"/>
      <c r="BT374" s="1989"/>
      <c r="BU374" s="2002">
        <f t="shared" si="740"/>
        <v>0</v>
      </c>
      <c r="BV374" s="1999">
        <f t="shared" si="826"/>
        <v>0</v>
      </c>
      <c r="BW374" s="1993"/>
      <c r="BX374" s="2003">
        <f t="shared" si="741"/>
        <v>0</v>
      </c>
      <c r="BY374" s="1989"/>
      <c r="BZ374" s="2003">
        <f t="shared" si="742"/>
        <v>0</v>
      </c>
      <c r="CA374" s="1989"/>
      <c r="CB374" s="2003">
        <f t="shared" si="743"/>
        <v>0</v>
      </c>
      <c r="CC374" s="1989"/>
      <c r="CD374" s="1989"/>
      <c r="CE374" s="2002">
        <f t="shared" si="744"/>
        <v>0</v>
      </c>
      <c r="CF374" s="1999">
        <f t="shared" si="827"/>
        <v>0</v>
      </c>
      <c r="CG374" s="1993"/>
      <c r="CH374" s="2003">
        <f t="shared" si="745"/>
        <v>0</v>
      </c>
      <c r="CI374" s="1989"/>
      <c r="CJ374" s="2003">
        <f t="shared" si="746"/>
        <v>0</v>
      </c>
      <c r="CK374" s="1989"/>
      <c r="CL374" s="2003">
        <f t="shared" si="747"/>
        <v>0</v>
      </c>
      <c r="CM374" s="1989"/>
      <c r="CN374" s="1989"/>
      <c r="CO374" s="2002">
        <f t="shared" si="748"/>
        <v>0</v>
      </c>
      <c r="CP374" s="1999">
        <f t="shared" si="829"/>
        <v>0</v>
      </c>
      <c r="CQ374" s="1993"/>
      <c r="CR374" s="2003">
        <f t="shared" si="749"/>
        <v>0</v>
      </c>
      <c r="CS374" s="1989"/>
      <c r="CT374" s="2003">
        <f t="shared" si="750"/>
        <v>0</v>
      </c>
      <c r="CU374" s="1989"/>
      <c r="CV374" s="2003">
        <f t="shared" si="751"/>
        <v>0</v>
      </c>
      <c r="CW374" s="1989"/>
      <c r="CX374" s="1989"/>
      <c r="CY374" s="2002">
        <f t="shared" si="752"/>
        <v>0</v>
      </c>
      <c r="CZ374" s="1999">
        <f t="shared" si="830"/>
        <v>0</v>
      </c>
      <c r="DA374" s="1993"/>
      <c r="DB374" s="2003">
        <f t="shared" si="753"/>
        <v>0</v>
      </c>
      <c r="DC374" s="1989"/>
      <c r="DD374" s="2003">
        <f t="shared" si="754"/>
        <v>0</v>
      </c>
      <c r="DE374" s="1989"/>
      <c r="DF374" s="2003">
        <f t="shared" si="755"/>
        <v>0</v>
      </c>
      <c r="DG374" s="1989"/>
      <c r="DH374" s="1989"/>
      <c r="DI374" s="2002">
        <f t="shared" si="756"/>
        <v>0</v>
      </c>
      <c r="DJ374" s="1999">
        <f t="shared" si="831"/>
        <v>0</v>
      </c>
      <c r="DK374" s="1993"/>
      <c r="DL374" s="2003">
        <f t="shared" si="757"/>
        <v>0</v>
      </c>
      <c r="DM374" s="1989"/>
      <c r="DN374" s="2003">
        <f t="shared" si="758"/>
        <v>0</v>
      </c>
      <c r="DO374" s="1989"/>
      <c r="DP374" s="2003">
        <f t="shared" si="759"/>
        <v>0</v>
      </c>
      <c r="DQ374" s="1989"/>
      <c r="DR374" s="1989"/>
      <c r="DS374" s="2002">
        <f t="shared" si="760"/>
        <v>0</v>
      </c>
      <c r="DT374" s="2004">
        <f t="shared" si="832"/>
        <v>0</v>
      </c>
      <c r="DU374" s="1988"/>
      <c r="DV374" s="2003">
        <f t="shared" si="761"/>
        <v>0</v>
      </c>
      <c r="DW374" s="1989"/>
      <c r="DX374" s="2003">
        <f t="shared" si="762"/>
        <v>0</v>
      </c>
      <c r="DY374" s="1989"/>
      <c r="DZ374" s="2003">
        <f t="shared" si="763"/>
        <v>0</v>
      </c>
      <c r="EA374" s="1989"/>
      <c r="EB374" s="1989"/>
      <c r="EC374" s="2002">
        <f t="shared" si="764"/>
        <v>0</v>
      </c>
      <c r="ED374" s="1998">
        <f>DW374+DY374+EA374+EB374</f>
        <v>0</v>
      </c>
      <c r="EE374" s="2005">
        <f t="shared" si="837"/>
        <v>0</v>
      </c>
      <c r="EF374" s="2003">
        <f t="shared" si="766"/>
        <v>0</v>
      </c>
      <c r="EG374" s="1989">
        <f t="shared" si="834"/>
        <v>0</v>
      </c>
      <c r="EH374" s="2003">
        <f t="shared" si="767"/>
        <v>0</v>
      </c>
      <c r="EI374" s="1989">
        <f t="shared" si="835"/>
        <v>0</v>
      </c>
      <c r="EJ374" s="2003">
        <f t="shared" si="768"/>
        <v>0</v>
      </c>
      <c r="EK374" s="1989">
        <f t="shared" si="836"/>
        <v>0</v>
      </c>
      <c r="EL374" s="1989">
        <f t="shared" si="836"/>
        <v>0</v>
      </c>
      <c r="EM374" s="2006">
        <f t="shared" si="769"/>
        <v>0</v>
      </c>
      <c r="EN374" s="1999">
        <f t="shared" si="838"/>
        <v>0</v>
      </c>
      <c r="EP374" s="1613" t="e">
        <f>EA374-#REF!/10^7</f>
        <v>#REF!</v>
      </c>
      <c r="EW374" s="1611" t="e">
        <v>#N/A</v>
      </c>
      <c r="EX374" s="1612" t="e">
        <v>#N/A</v>
      </c>
      <c r="EZ374" s="1650">
        <f t="shared" si="771"/>
        <v>0</v>
      </c>
    </row>
    <row r="375" spans="1:156" ht="21" customHeight="1">
      <c r="A375" s="1652"/>
      <c r="B375" s="1704"/>
      <c r="C375" s="1662"/>
      <c r="D375" s="1648"/>
      <c r="E375" s="1648"/>
      <c r="F375" s="1648"/>
      <c r="G375" s="1648"/>
      <c r="H375" s="1648"/>
      <c r="I375" s="1648"/>
      <c r="J375" s="1663"/>
      <c r="K375" s="1648"/>
      <c r="L375" s="1648"/>
      <c r="M375" s="1648"/>
      <c r="N375" s="1642"/>
      <c r="O375" s="2000"/>
      <c r="P375" s="2003">
        <f t="shared" si="717"/>
        <v>0</v>
      </c>
      <c r="Q375" s="1989"/>
      <c r="R375" s="2003">
        <f t="shared" si="718"/>
        <v>0</v>
      </c>
      <c r="S375" s="1989"/>
      <c r="T375" s="2003">
        <f t="shared" si="719"/>
        <v>0</v>
      </c>
      <c r="U375" s="1989"/>
      <c r="V375" s="1989"/>
      <c r="W375" s="1989">
        <f t="shared" si="720"/>
        <v>0</v>
      </c>
      <c r="X375" s="1999">
        <f t="shared" si="828"/>
        <v>0</v>
      </c>
      <c r="Y375" s="1993"/>
      <c r="Z375" s="2003">
        <f t="shared" si="721"/>
        <v>0</v>
      </c>
      <c r="AA375" s="1989"/>
      <c r="AB375" s="2003">
        <f t="shared" si="722"/>
        <v>0</v>
      </c>
      <c r="AC375" s="1989"/>
      <c r="AD375" s="2003">
        <f t="shared" si="723"/>
        <v>0</v>
      </c>
      <c r="AE375" s="1989"/>
      <c r="AF375" s="1989"/>
      <c r="AG375" s="2002">
        <f t="shared" si="724"/>
        <v>0</v>
      </c>
      <c r="AH375" s="1999">
        <f t="shared" si="822"/>
        <v>0</v>
      </c>
      <c r="AI375" s="1993"/>
      <c r="AJ375" s="2003">
        <f t="shared" si="725"/>
        <v>0</v>
      </c>
      <c r="AK375" s="1989"/>
      <c r="AL375" s="2003">
        <f t="shared" si="726"/>
        <v>0</v>
      </c>
      <c r="AM375" s="1989"/>
      <c r="AN375" s="2003">
        <f t="shared" si="727"/>
        <v>0</v>
      </c>
      <c r="AO375" s="1989"/>
      <c r="AP375" s="1989"/>
      <c r="AQ375" s="2002">
        <f t="shared" si="728"/>
        <v>0</v>
      </c>
      <c r="AR375" s="1999">
        <f t="shared" si="823"/>
        <v>0</v>
      </c>
      <c r="AS375" s="1993"/>
      <c r="AT375" s="2003">
        <f t="shared" si="729"/>
        <v>0</v>
      </c>
      <c r="AU375" s="1989"/>
      <c r="AV375" s="2003">
        <f t="shared" si="730"/>
        <v>0</v>
      </c>
      <c r="AW375" s="1989"/>
      <c r="AX375" s="2003">
        <f t="shared" si="731"/>
        <v>0</v>
      </c>
      <c r="AY375" s="1989"/>
      <c r="AZ375" s="1989"/>
      <c r="BA375" s="2002">
        <f t="shared" si="732"/>
        <v>0</v>
      </c>
      <c r="BB375" s="1999">
        <f t="shared" si="824"/>
        <v>0</v>
      </c>
      <c r="BC375" s="1993"/>
      <c r="BD375" s="2003">
        <f t="shared" si="733"/>
        <v>0</v>
      </c>
      <c r="BE375" s="1989"/>
      <c r="BF375" s="2003">
        <f t="shared" si="734"/>
        <v>0</v>
      </c>
      <c r="BG375" s="1989"/>
      <c r="BH375" s="2003">
        <f t="shared" si="735"/>
        <v>0</v>
      </c>
      <c r="BI375" s="1989"/>
      <c r="BJ375" s="1989"/>
      <c r="BK375" s="2002">
        <f t="shared" si="736"/>
        <v>0</v>
      </c>
      <c r="BL375" s="1999">
        <f t="shared" si="825"/>
        <v>0</v>
      </c>
      <c r="BM375" s="1993"/>
      <c r="BN375" s="2003">
        <f t="shared" si="737"/>
        <v>0</v>
      </c>
      <c r="BO375" s="1989"/>
      <c r="BP375" s="2003">
        <f t="shared" si="738"/>
        <v>0</v>
      </c>
      <c r="BQ375" s="1989"/>
      <c r="BR375" s="2003">
        <f t="shared" si="739"/>
        <v>0</v>
      </c>
      <c r="BS375" s="1989"/>
      <c r="BT375" s="1989"/>
      <c r="BU375" s="2002">
        <f t="shared" si="740"/>
        <v>0</v>
      </c>
      <c r="BV375" s="1999">
        <f t="shared" si="826"/>
        <v>0</v>
      </c>
      <c r="BW375" s="1993"/>
      <c r="BX375" s="2003">
        <f t="shared" si="741"/>
        <v>0</v>
      </c>
      <c r="BY375" s="1989"/>
      <c r="BZ375" s="2003">
        <f t="shared" si="742"/>
        <v>0</v>
      </c>
      <c r="CA375" s="1989"/>
      <c r="CB375" s="2003">
        <f t="shared" si="743"/>
        <v>0</v>
      </c>
      <c r="CC375" s="1989"/>
      <c r="CD375" s="1989"/>
      <c r="CE375" s="2002">
        <f t="shared" si="744"/>
        <v>0</v>
      </c>
      <c r="CF375" s="1999">
        <f t="shared" si="827"/>
        <v>0</v>
      </c>
      <c r="CG375" s="1993"/>
      <c r="CH375" s="2003">
        <f t="shared" si="745"/>
        <v>0</v>
      </c>
      <c r="CI375" s="1989"/>
      <c r="CJ375" s="2003">
        <f t="shared" si="746"/>
        <v>0</v>
      </c>
      <c r="CK375" s="1989"/>
      <c r="CL375" s="2003">
        <f t="shared" si="747"/>
        <v>0</v>
      </c>
      <c r="CM375" s="1989"/>
      <c r="CN375" s="1989"/>
      <c r="CO375" s="2002">
        <f t="shared" si="748"/>
        <v>0</v>
      </c>
      <c r="CP375" s="1999">
        <f t="shared" si="829"/>
        <v>0</v>
      </c>
      <c r="CQ375" s="1993"/>
      <c r="CR375" s="2003">
        <f t="shared" si="749"/>
        <v>0</v>
      </c>
      <c r="CS375" s="1989"/>
      <c r="CT375" s="2003">
        <f t="shared" si="750"/>
        <v>0</v>
      </c>
      <c r="CU375" s="1989"/>
      <c r="CV375" s="2003">
        <f t="shared" si="751"/>
        <v>0</v>
      </c>
      <c r="CW375" s="1989"/>
      <c r="CX375" s="1989"/>
      <c r="CY375" s="2002">
        <f t="shared" si="752"/>
        <v>0</v>
      </c>
      <c r="CZ375" s="1999">
        <f t="shared" si="830"/>
        <v>0</v>
      </c>
      <c r="DA375" s="1993"/>
      <c r="DB375" s="2003">
        <f t="shared" si="753"/>
        <v>0</v>
      </c>
      <c r="DC375" s="1989"/>
      <c r="DD375" s="2003">
        <f t="shared" si="754"/>
        <v>0</v>
      </c>
      <c r="DE375" s="1989"/>
      <c r="DF375" s="2003">
        <f t="shared" si="755"/>
        <v>0</v>
      </c>
      <c r="DG375" s="1989"/>
      <c r="DH375" s="1989"/>
      <c r="DI375" s="2002">
        <f t="shared" si="756"/>
        <v>0</v>
      </c>
      <c r="DJ375" s="1999">
        <f t="shared" si="831"/>
        <v>0</v>
      </c>
      <c r="DK375" s="1993"/>
      <c r="DL375" s="2003">
        <f t="shared" si="757"/>
        <v>0</v>
      </c>
      <c r="DM375" s="1989"/>
      <c r="DN375" s="2003">
        <f t="shared" si="758"/>
        <v>0</v>
      </c>
      <c r="DO375" s="1989"/>
      <c r="DP375" s="2003">
        <f t="shared" si="759"/>
        <v>0</v>
      </c>
      <c r="DQ375" s="1989"/>
      <c r="DR375" s="1989"/>
      <c r="DS375" s="2002">
        <f t="shared" si="760"/>
        <v>0</v>
      </c>
      <c r="DT375" s="2004">
        <f t="shared" si="832"/>
        <v>0</v>
      </c>
      <c r="DU375" s="1988"/>
      <c r="DV375" s="2003">
        <f t="shared" si="761"/>
        <v>0</v>
      </c>
      <c r="DW375" s="1989"/>
      <c r="DX375" s="2003">
        <f t="shared" si="762"/>
        <v>0</v>
      </c>
      <c r="DY375" s="1989"/>
      <c r="DZ375" s="2003">
        <f t="shared" si="763"/>
        <v>0</v>
      </c>
      <c r="EA375" s="1989"/>
      <c r="EB375" s="1989"/>
      <c r="EC375" s="2002">
        <f t="shared" si="764"/>
        <v>0</v>
      </c>
      <c r="ED375" s="1998">
        <f t="shared" ref="ED375:ED376" si="839">DW375+DY375+EA375+EB375</f>
        <v>0</v>
      </c>
      <c r="EE375" s="2005">
        <f t="shared" si="837"/>
        <v>0</v>
      </c>
      <c r="EF375" s="2003">
        <f t="shared" si="766"/>
        <v>0</v>
      </c>
      <c r="EG375" s="1989">
        <f t="shared" si="834"/>
        <v>0</v>
      </c>
      <c r="EH375" s="2003">
        <f t="shared" si="767"/>
        <v>0</v>
      </c>
      <c r="EI375" s="1989">
        <f t="shared" si="835"/>
        <v>0</v>
      </c>
      <c r="EJ375" s="2003">
        <f t="shared" si="768"/>
        <v>0</v>
      </c>
      <c r="EK375" s="1989">
        <f t="shared" si="836"/>
        <v>0</v>
      </c>
      <c r="EL375" s="1989">
        <f t="shared" si="836"/>
        <v>0</v>
      </c>
      <c r="EM375" s="2006">
        <f t="shared" si="769"/>
        <v>0</v>
      </c>
      <c r="EN375" s="1999">
        <f t="shared" si="838"/>
        <v>0</v>
      </c>
      <c r="EP375" s="1613" t="e">
        <f>EA375-#REF!/10^7</f>
        <v>#REF!</v>
      </c>
      <c r="EW375" s="1611" t="e">
        <v>#N/A</v>
      </c>
      <c r="EX375" s="1612" t="e">
        <v>#N/A</v>
      </c>
      <c r="EZ375" s="1650">
        <f t="shared" si="771"/>
        <v>0</v>
      </c>
    </row>
    <row r="376" spans="1:156" ht="21" customHeight="1">
      <c r="A376" s="1652"/>
      <c r="B376" s="1704"/>
      <c r="C376" s="1662"/>
      <c r="D376" s="1648"/>
      <c r="E376" s="1648"/>
      <c r="F376" s="1648"/>
      <c r="G376" s="1648"/>
      <c r="H376" s="1648"/>
      <c r="I376" s="1648"/>
      <c r="J376" s="1663"/>
      <c r="K376" s="1648"/>
      <c r="L376" s="1648"/>
      <c r="M376" s="1648"/>
      <c r="N376" s="1642"/>
      <c r="O376" s="2000"/>
      <c r="P376" s="2003">
        <f t="shared" si="717"/>
        <v>0</v>
      </c>
      <c r="Q376" s="1989"/>
      <c r="R376" s="2003">
        <f t="shared" si="718"/>
        <v>0</v>
      </c>
      <c r="S376" s="1989"/>
      <c r="T376" s="2003">
        <f t="shared" si="719"/>
        <v>0</v>
      </c>
      <c r="U376" s="1989"/>
      <c r="V376" s="1989"/>
      <c r="W376" s="1989">
        <f t="shared" si="720"/>
        <v>0</v>
      </c>
      <c r="X376" s="1999">
        <f t="shared" si="828"/>
        <v>0</v>
      </c>
      <c r="Y376" s="1993"/>
      <c r="Z376" s="2003">
        <f t="shared" si="721"/>
        <v>0</v>
      </c>
      <c r="AA376" s="1989"/>
      <c r="AB376" s="2003">
        <f t="shared" si="722"/>
        <v>0</v>
      </c>
      <c r="AC376" s="1989"/>
      <c r="AD376" s="2003">
        <f t="shared" si="723"/>
        <v>0</v>
      </c>
      <c r="AE376" s="1989"/>
      <c r="AF376" s="1989"/>
      <c r="AG376" s="2002">
        <f t="shared" si="724"/>
        <v>0</v>
      </c>
      <c r="AH376" s="1999">
        <f t="shared" si="822"/>
        <v>0</v>
      </c>
      <c r="AI376" s="1993"/>
      <c r="AJ376" s="2003">
        <f t="shared" si="725"/>
        <v>0</v>
      </c>
      <c r="AK376" s="1989"/>
      <c r="AL376" s="2003">
        <f t="shared" si="726"/>
        <v>0</v>
      </c>
      <c r="AM376" s="1989"/>
      <c r="AN376" s="2003">
        <f t="shared" si="727"/>
        <v>0</v>
      </c>
      <c r="AO376" s="1989"/>
      <c r="AP376" s="1989"/>
      <c r="AQ376" s="2002">
        <f t="shared" si="728"/>
        <v>0</v>
      </c>
      <c r="AR376" s="1999">
        <f t="shared" si="823"/>
        <v>0</v>
      </c>
      <c r="AS376" s="1993"/>
      <c r="AT376" s="2003">
        <f t="shared" si="729"/>
        <v>0</v>
      </c>
      <c r="AU376" s="1989"/>
      <c r="AV376" s="2003">
        <f t="shared" si="730"/>
        <v>0</v>
      </c>
      <c r="AW376" s="1989"/>
      <c r="AX376" s="2003">
        <f t="shared" si="731"/>
        <v>0</v>
      </c>
      <c r="AY376" s="1989"/>
      <c r="AZ376" s="1989"/>
      <c r="BA376" s="2002">
        <f t="shared" si="732"/>
        <v>0</v>
      </c>
      <c r="BB376" s="1999">
        <f t="shared" si="824"/>
        <v>0</v>
      </c>
      <c r="BC376" s="1993"/>
      <c r="BD376" s="2003">
        <f t="shared" si="733"/>
        <v>0</v>
      </c>
      <c r="BE376" s="1989"/>
      <c r="BF376" s="2003">
        <f t="shared" si="734"/>
        <v>0</v>
      </c>
      <c r="BG376" s="1989"/>
      <c r="BH376" s="2003">
        <f t="shared" si="735"/>
        <v>0</v>
      </c>
      <c r="BI376" s="1989"/>
      <c r="BJ376" s="1989"/>
      <c r="BK376" s="2002">
        <f t="shared" si="736"/>
        <v>0</v>
      </c>
      <c r="BL376" s="1999">
        <f t="shared" si="825"/>
        <v>0</v>
      </c>
      <c r="BM376" s="1993"/>
      <c r="BN376" s="2003">
        <f t="shared" si="737"/>
        <v>0</v>
      </c>
      <c r="BO376" s="1989"/>
      <c r="BP376" s="2003">
        <f t="shared" si="738"/>
        <v>0</v>
      </c>
      <c r="BQ376" s="1989"/>
      <c r="BR376" s="2003">
        <f t="shared" si="739"/>
        <v>0</v>
      </c>
      <c r="BS376" s="1989"/>
      <c r="BT376" s="1989"/>
      <c r="BU376" s="2002">
        <f t="shared" si="740"/>
        <v>0</v>
      </c>
      <c r="BV376" s="1999">
        <f t="shared" si="826"/>
        <v>0</v>
      </c>
      <c r="BW376" s="1993"/>
      <c r="BX376" s="2003">
        <f t="shared" si="741"/>
        <v>0</v>
      </c>
      <c r="BY376" s="1989"/>
      <c r="BZ376" s="2003">
        <f t="shared" si="742"/>
        <v>0</v>
      </c>
      <c r="CA376" s="1989"/>
      <c r="CB376" s="2003">
        <f t="shared" si="743"/>
        <v>0</v>
      </c>
      <c r="CC376" s="1989"/>
      <c r="CD376" s="1989"/>
      <c r="CE376" s="2002">
        <f t="shared" si="744"/>
        <v>0</v>
      </c>
      <c r="CF376" s="1999">
        <f t="shared" si="827"/>
        <v>0</v>
      </c>
      <c r="CG376" s="1993"/>
      <c r="CH376" s="2003">
        <f t="shared" si="745"/>
        <v>0</v>
      </c>
      <c r="CI376" s="1989"/>
      <c r="CJ376" s="2003">
        <f t="shared" si="746"/>
        <v>0</v>
      </c>
      <c r="CK376" s="1989"/>
      <c r="CL376" s="2003">
        <f t="shared" si="747"/>
        <v>0</v>
      </c>
      <c r="CM376" s="1989"/>
      <c r="CN376" s="1989"/>
      <c r="CO376" s="2002">
        <f t="shared" si="748"/>
        <v>0</v>
      </c>
      <c r="CP376" s="1999">
        <f t="shared" si="829"/>
        <v>0</v>
      </c>
      <c r="CQ376" s="1993"/>
      <c r="CR376" s="2003">
        <f t="shared" si="749"/>
        <v>0</v>
      </c>
      <c r="CS376" s="1989"/>
      <c r="CT376" s="2003">
        <f t="shared" si="750"/>
        <v>0</v>
      </c>
      <c r="CU376" s="1989"/>
      <c r="CV376" s="2003">
        <f t="shared" si="751"/>
        <v>0</v>
      </c>
      <c r="CW376" s="1989"/>
      <c r="CX376" s="1989"/>
      <c r="CY376" s="2002">
        <f t="shared" si="752"/>
        <v>0</v>
      </c>
      <c r="CZ376" s="1999">
        <f t="shared" si="830"/>
        <v>0</v>
      </c>
      <c r="DA376" s="1993"/>
      <c r="DB376" s="2003">
        <f t="shared" si="753"/>
        <v>0</v>
      </c>
      <c r="DC376" s="1989"/>
      <c r="DD376" s="2003">
        <f t="shared" si="754"/>
        <v>0</v>
      </c>
      <c r="DE376" s="1989"/>
      <c r="DF376" s="2003">
        <f t="shared" si="755"/>
        <v>0</v>
      </c>
      <c r="DG376" s="1989"/>
      <c r="DH376" s="1989"/>
      <c r="DI376" s="2002">
        <f t="shared" si="756"/>
        <v>0</v>
      </c>
      <c r="DJ376" s="1999">
        <f t="shared" si="831"/>
        <v>0</v>
      </c>
      <c r="DK376" s="1993"/>
      <c r="DL376" s="2003">
        <f t="shared" si="757"/>
        <v>0</v>
      </c>
      <c r="DM376" s="1989"/>
      <c r="DN376" s="2003">
        <f t="shared" si="758"/>
        <v>0</v>
      </c>
      <c r="DO376" s="1989"/>
      <c r="DP376" s="2003">
        <f t="shared" si="759"/>
        <v>0</v>
      </c>
      <c r="DQ376" s="1989"/>
      <c r="DR376" s="1989"/>
      <c r="DS376" s="2002">
        <f t="shared" si="760"/>
        <v>0</v>
      </c>
      <c r="DT376" s="2004">
        <f t="shared" si="832"/>
        <v>0</v>
      </c>
      <c r="DU376" s="1988"/>
      <c r="DV376" s="2003">
        <f t="shared" si="761"/>
        <v>0</v>
      </c>
      <c r="DW376" s="1989"/>
      <c r="DX376" s="2003">
        <f t="shared" si="762"/>
        <v>0</v>
      </c>
      <c r="DY376" s="1989"/>
      <c r="DZ376" s="2003">
        <f t="shared" si="763"/>
        <v>0</v>
      </c>
      <c r="EA376" s="1989"/>
      <c r="EB376" s="1989"/>
      <c r="EC376" s="2002">
        <f t="shared" si="764"/>
        <v>0</v>
      </c>
      <c r="ED376" s="1998">
        <f t="shared" si="839"/>
        <v>0</v>
      </c>
      <c r="EE376" s="2005">
        <f t="shared" si="837"/>
        <v>0</v>
      </c>
      <c r="EF376" s="2003">
        <f t="shared" si="766"/>
        <v>0</v>
      </c>
      <c r="EG376" s="1989">
        <f t="shared" si="834"/>
        <v>0</v>
      </c>
      <c r="EH376" s="2003">
        <f t="shared" si="767"/>
        <v>0</v>
      </c>
      <c r="EI376" s="1989">
        <f t="shared" si="835"/>
        <v>0</v>
      </c>
      <c r="EJ376" s="2003">
        <f t="shared" si="768"/>
        <v>0</v>
      </c>
      <c r="EK376" s="1989">
        <f t="shared" si="836"/>
        <v>0</v>
      </c>
      <c r="EL376" s="1989">
        <f t="shared" si="836"/>
        <v>0</v>
      </c>
      <c r="EM376" s="2006">
        <f t="shared" si="769"/>
        <v>0</v>
      </c>
      <c r="EN376" s="1999">
        <f t="shared" si="838"/>
        <v>0</v>
      </c>
      <c r="EP376" s="1613" t="e">
        <f>EA376-#REF!/10^7</f>
        <v>#REF!</v>
      </c>
      <c r="EW376" s="1611" t="e">
        <v>#N/A</v>
      </c>
      <c r="EX376" s="1612" t="e">
        <v>#N/A</v>
      </c>
      <c r="EZ376" s="1650">
        <f t="shared" si="771"/>
        <v>0</v>
      </c>
    </row>
    <row r="377" spans="1:156" s="1660" customFormat="1" ht="21" customHeight="1">
      <c r="A377" s="1637"/>
      <c r="B377" s="1654" t="s">
        <v>1855</v>
      </c>
      <c r="C377" s="1655"/>
      <c r="D377" s="1656"/>
      <c r="E377" s="1656"/>
      <c r="F377" s="1656"/>
      <c r="G377" s="1656"/>
      <c r="H377" s="1656"/>
      <c r="I377" s="1656"/>
      <c r="J377" s="1657"/>
      <c r="K377" s="1656"/>
      <c r="L377" s="1656"/>
      <c r="M377" s="1656"/>
      <c r="N377" s="1658"/>
      <c r="O377" s="2007" t="e">
        <f>SUM(O369:O376)</f>
        <v>#REF!</v>
      </c>
      <c r="P377" s="2003">
        <f t="shared" si="717"/>
        <v>0</v>
      </c>
      <c r="Q377" s="1826" t="e">
        <f>SUM(Q369:Q376)</f>
        <v>#REF!</v>
      </c>
      <c r="R377" s="2003">
        <f t="shared" si="718"/>
        <v>0</v>
      </c>
      <c r="S377" s="1826" t="e">
        <f>SUM(S369:S376)</f>
        <v>#REF!</v>
      </c>
      <c r="T377" s="2003">
        <f t="shared" si="719"/>
        <v>0</v>
      </c>
      <c r="U377" s="1826" t="e">
        <f>SUM(U369:U376)</f>
        <v>#REF!</v>
      </c>
      <c r="V377" s="1826"/>
      <c r="W377" s="1989">
        <f t="shared" si="720"/>
        <v>0</v>
      </c>
      <c r="X377" s="2008" t="e">
        <f>SUM(X369:X373)</f>
        <v>#REF!</v>
      </c>
      <c r="Y377" s="2007" t="e">
        <f>SUM(Y369:Y376)</f>
        <v>#REF!</v>
      </c>
      <c r="Z377" s="2003">
        <f t="shared" si="721"/>
        <v>0</v>
      </c>
      <c r="AA377" s="1826" t="e">
        <f>SUM(AA369:AA376)</f>
        <v>#REF!</v>
      </c>
      <c r="AB377" s="2003">
        <f t="shared" si="722"/>
        <v>0</v>
      </c>
      <c r="AC377" s="1826" t="e">
        <f>SUM(AC369:AC376)</f>
        <v>#REF!</v>
      </c>
      <c r="AD377" s="2003">
        <f t="shared" si="723"/>
        <v>0</v>
      </c>
      <c r="AE377" s="1826" t="e">
        <f>SUM(AE369:AE376)</f>
        <v>#REF!</v>
      </c>
      <c r="AF377" s="1826" t="e">
        <f>SUM(AF369:AF376)</f>
        <v>#REF!</v>
      </c>
      <c r="AG377" s="2002" t="e">
        <f t="shared" si="724"/>
        <v>#REF!</v>
      </c>
      <c r="AH377" s="2008" t="e">
        <f t="shared" ref="AH377:AP377" si="840">SUM(AH369:AH376)</f>
        <v>#REF!</v>
      </c>
      <c r="AI377" s="2007" t="e">
        <f t="shared" si="840"/>
        <v>#REF!</v>
      </c>
      <c r="AJ377" s="2003">
        <f t="shared" si="725"/>
        <v>0</v>
      </c>
      <c r="AK377" s="1826" t="e">
        <f t="shared" si="840"/>
        <v>#REF!</v>
      </c>
      <c r="AL377" s="2003">
        <f t="shared" si="726"/>
        <v>0</v>
      </c>
      <c r="AM377" s="1826" t="e">
        <f t="shared" si="840"/>
        <v>#REF!</v>
      </c>
      <c r="AN377" s="2003">
        <f t="shared" si="727"/>
        <v>0</v>
      </c>
      <c r="AO377" s="1826" t="e">
        <f t="shared" si="840"/>
        <v>#REF!</v>
      </c>
      <c r="AP377" s="1826" t="e">
        <f t="shared" si="840"/>
        <v>#REF!</v>
      </c>
      <c r="AQ377" s="2002" t="e">
        <f t="shared" si="728"/>
        <v>#REF!</v>
      </c>
      <c r="AR377" s="2008" t="e">
        <f t="shared" ref="AR377:AZ377" si="841">SUM(AR369:AR376)</f>
        <v>#REF!</v>
      </c>
      <c r="AS377" s="2007" t="e">
        <f t="shared" si="841"/>
        <v>#REF!</v>
      </c>
      <c r="AT377" s="2003">
        <f t="shared" si="729"/>
        <v>0</v>
      </c>
      <c r="AU377" s="1826" t="e">
        <f t="shared" si="841"/>
        <v>#REF!</v>
      </c>
      <c r="AV377" s="2003">
        <f t="shared" si="730"/>
        <v>0</v>
      </c>
      <c r="AW377" s="1826" t="e">
        <f t="shared" si="841"/>
        <v>#REF!</v>
      </c>
      <c r="AX377" s="2003">
        <f t="shared" si="731"/>
        <v>0</v>
      </c>
      <c r="AY377" s="1826" t="e">
        <f t="shared" si="841"/>
        <v>#REF!</v>
      </c>
      <c r="AZ377" s="1826" t="e">
        <f t="shared" si="841"/>
        <v>#REF!</v>
      </c>
      <c r="BA377" s="2002" t="e">
        <f t="shared" si="732"/>
        <v>#REF!</v>
      </c>
      <c r="BB377" s="2008" t="e">
        <f t="shared" ref="BB377:BJ377" si="842">SUM(BB369:BB376)</f>
        <v>#REF!</v>
      </c>
      <c r="BC377" s="2007" t="e">
        <f t="shared" si="842"/>
        <v>#REF!</v>
      </c>
      <c r="BD377" s="2003">
        <f t="shared" si="733"/>
        <v>0</v>
      </c>
      <c r="BE377" s="1826" t="e">
        <f t="shared" si="842"/>
        <v>#REF!</v>
      </c>
      <c r="BF377" s="2003">
        <f t="shared" si="734"/>
        <v>0</v>
      </c>
      <c r="BG377" s="1826" t="e">
        <f t="shared" si="842"/>
        <v>#REF!</v>
      </c>
      <c r="BH377" s="2003">
        <f t="shared" si="735"/>
        <v>0</v>
      </c>
      <c r="BI377" s="1826" t="e">
        <f t="shared" si="842"/>
        <v>#REF!</v>
      </c>
      <c r="BJ377" s="1826" t="e">
        <f t="shared" si="842"/>
        <v>#REF!</v>
      </c>
      <c r="BK377" s="2002" t="e">
        <f t="shared" si="736"/>
        <v>#REF!</v>
      </c>
      <c r="BL377" s="2008" t="e">
        <f t="shared" ref="BL377:BT377" si="843">SUM(BL369:BL376)</f>
        <v>#REF!</v>
      </c>
      <c r="BM377" s="2007" t="e">
        <f t="shared" si="843"/>
        <v>#REF!</v>
      </c>
      <c r="BN377" s="2003">
        <f t="shared" si="737"/>
        <v>0</v>
      </c>
      <c r="BO377" s="1826" t="e">
        <f t="shared" si="843"/>
        <v>#REF!</v>
      </c>
      <c r="BP377" s="2003">
        <f t="shared" si="738"/>
        <v>0</v>
      </c>
      <c r="BQ377" s="1826" t="e">
        <f t="shared" si="843"/>
        <v>#REF!</v>
      </c>
      <c r="BR377" s="2003">
        <f t="shared" si="739"/>
        <v>0</v>
      </c>
      <c r="BS377" s="1826" t="e">
        <f t="shared" si="843"/>
        <v>#REF!</v>
      </c>
      <c r="BT377" s="1826" t="e">
        <f t="shared" si="843"/>
        <v>#REF!</v>
      </c>
      <c r="BU377" s="2002" t="e">
        <f t="shared" si="740"/>
        <v>#REF!</v>
      </c>
      <c r="BV377" s="2008" t="e">
        <f t="shared" ref="BV377:CD377" si="844">SUM(BV369:BV376)</f>
        <v>#REF!</v>
      </c>
      <c r="BW377" s="2007" t="e">
        <f t="shared" si="844"/>
        <v>#REF!</v>
      </c>
      <c r="BX377" s="2003">
        <f t="shared" si="741"/>
        <v>0</v>
      </c>
      <c r="BY377" s="1826" t="e">
        <f t="shared" si="844"/>
        <v>#REF!</v>
      </c>
      <c r="BZ377" s="2003">
        <f t="shared" si="742"/>
        <v>0</v>
      </c>
      <c r="CA377" s="1826" t="e">
        <f t="shared" si="844"/>
        <v>#REF!</v>
      </c>
      <c r="CB377" s="2003">
        <f t="shared" si="743"/>
        <v>0</v>
      </c>
      <c r="CC377" s="1826" t="e">
        <f t="shared" si="844"/>
        <v>#REF!</v>
      </c>
      <c r="CD377" s="1826" t="e">
        <f t="shared" si="844"/>
        <v>#REF!</v>
      </c>
      <c r="CE377" s="2002" t="e">
        <f t="shared" si="744"/>
        <v>#REF!</v>
      </c>
      <c r="CF377" s="2008" t="e">
        <f t="shared" ref="CF377:CN377" si="845">SUM(CF369:CF376)</f>
        <v>#REF!</v>
      </c>
      <c r="CG377" s="2007" t="e">
        <f t="shared" si="845"/>
        <v>#REF!</v>
      </c>
      <c r="CH377" s="2003">
        <f t="shared" si="745"/>
        <v>0</v>
      </c>
      <c r="CI377" s="1826" t="e">
        <f t="shared" si="845"/>
        <v>#REF!</v>
      </c>
      <c r="CJ377" s="2003">
        <f t="shared" si="746"/>
        <v>0</v>
      </c>
      <c r="CK377" s="1826" t="e">
        <f t="shared" si="845"/>
        <v>#REF!</v>
      </c>
      <c r="CL377" s="2003">
        <f t="shared" si="747"/>
        <v>0</v>
      </c>
      <c r="CM377" s="1826" t="e">
        <f t="shared" si="845"/>
        <v>#REF!</v>
      </c>
      <c r="CN377" s="1826" t="e">
        <f t="shared" si="845"/>
        <v>#REF!</v>
      </c>
      <c r="CO377" s="2002" t="e">
        <f t="shared" si="748"/>
        <v>#REF!</v>
      </c>
      <c r="CP377" s="2008" t="e">
        <f t="shared" ref="CP377:CX377" si="846">SUM(CP369:CP376)</f>
        <v>#REF!</v>
      </c>
      <c r="CQ377" s="2007" t="e">
        <f t="shared" si="846"/>
        <v>#REF!</v>
      </c>
      <c r="CR377" s="2003">
        <f t="shared" si="749"/>
        <v>0</v>
      </c>
      <c r="CS377" s="1826" t="e">
        <f t="shared" si="846"/>
        <v>#REF!</v>
      </c>
      <c r="CT377" s="2003">
        <f t="shared" si="750"/>
        <v>0</v>
      </c>
      <c r="CU377" s="1826" t="e">
        <f t="shared" si="846"/>
        <v>#REF!</v>
      </c>
      <c r="CV377" s="2003">
        <f t="shared" si="751"/>
        <v>0</v>
      </c>
      <c r="CW377" s="1826" t="e">
        <f t="shared" si="846"/>
        <v>#REF!</v>
      </c>
      <c r="CX377" s="1826" t="e">
        <f t="shared" si="846"/>
        <v>#REF!</v>
      </c>
      <c r="CY377" s="2002" t="e">
        <f t="shared" si="752"/>
        <v>#REF!</v>
      </c>
      <c r="CZ377" s="2008" t="e">
        <f t="shared" ref="CZ377:DH377" si="847">SUM(CZ369:CZ376)</f>
        <v>#REF!</v>
      </c>
      <c r="DA377" s="2007" t="e">
        <f t="shared" si="847"/>
        <v>#REF!</v>
      </c>
      <c r="DB377" s="2003">
        <f t="shared" si="753"/>
        <v>0</v>
      </c>
      <c r="DC377" s="1826" t="e">
        <f t="shared" si="847"/>
        <v>#REF!</v>
      </c>
      <c r="DD377" s="2003">
        <f t="shared" si="754"/>
        <v>0</v>
      </c>
      <c r="DE377" s="1826" t="e">
        <f t="shared" si="847"/>
        <v>#REF!</v>
      </c>
      <c r="DF377" s="2003">
        <f t="shared" si="755"/>
        <v>0</v>
      </c>
      <c r="DG377" s="1826" t="e">
        <f t="shared" si="847"/>
        <v>#REF!</v>
      </c>
      <c r="DH377" s="1826" t="e">
        <f t="shared" si="847"/>
        <v>#REF!</v>
      </c>
      <c r="DI377" s="2002" t="e">
        <f t="shared" si="756"/>
        <v>#REF!</v>
      </c>
      <c r="DJ377" s="2008" t="e">
        <f t="shared" ref="DJ377:DR377" si="848">SUM(DJ369:DJ376)</f>
        <v>#REF!</v>
      </c>
      <c r="DK377" s="2007" t="e">
        <f t="shared" si="848"/>
        <v>#REF!</v>
      </c>
      <c r="DL377" s="2003">
        <f t="shared" si="757"/>
        <v>0</v>
      </c>
      <c r="DM377" s="1826" t="e">
        <f t="shared" si="848"/>
        <v>#REF!</v>
      </c>
      <c r="DN377" s="2003">
        <f t="shared" si="758"/>
        <v>0</v>
      </c>
      <c r="DO377" s="1826" t="e">
        <f t="shared" si="848"/>
        <v>#REF!</v>
      </c>
      <c r="DP377" s="2003">
        <f t="shared" si="759"/>
        <v>0</v>
      </c>
      <c r="DQ377" s="1826" t="e">
        <f>SUM(DQ369:DQ376)</f>
        <v>#REF!</v>
      </c>
      <c r="DR377" s="1826" t="e">
        <f t="shared" si="848"/>
        <v>#REF!</v>
      </c>
      <c r="DS377" s="2002" t="e">
        <f t="shared" si="760"/>
        <v>#REF!</v>
      </c>
      <c r="DT377" s="2009" t="e">
        <f>SUM(DT369:DT376)</f>
        <v>#REF!</v>
      </c>
      <c r="DU377" s="2010" t="e">
        <f>SUM(DU369:DU373)</f>
        <v>#REF!</v>
      </c>
      <c r="DV377" s="2003">
        <f t="shared" si="761"/>
        <v>0</v>
      </c>
      <c r="DW377" s="1826" t="e">
        <f>SUM(DW369:DW373)</f>
        <v>#REF!</v>
      </c>
      <c r="DX377" s="2003">
        <f t="shared" si="762"/>
        <v>0</v>
      </c>
      <c r="DY377" s="1826" t="e">
        <f>SUM(DY369:DY373)</f>
        <v>#REF!</v>
      </c>
      <c r="DZ377" s="2003">
        <f t="shared" si="763"/>
        <v>0</v>
      </c>
      <c r="EA377" s="1826" t="e">
        <f>SUM(EA369:EA374)</f>
        <v>#REF!</v>
      </c>
      <c r="EB377" s="1826" t="e">
        <f>SUM(EB369:EB373)</f>
        <v>#REF!</v>
      </c>
      <c r="EC377" s="2002" t="e">
        <f t="shared" si="764"/>
        <v>#REF!</v>
      </c>
      <c r="ED377" s="1826" t="e">
        <f>SUM(ED369:ED374)</f>
        <v>#REF!</v>
      </c>
      <c r="EE377" s="2011" t="e">
        <f>SUM(EE369:EE376)</f>
        <v>#REF!</v>
      </c>
      <c r="EF377" s="2003">
        <f t="shared" si="766"/>
        <v>0</v>
      </c>
      <c r="EG377" s="1826" t="e">
        <f>SUM(EG369:EG376)</f>
        <v>#REF!</v>
      </c>
      <c r="EH377" s="2003">
        <f t="shared" si="767"/>
        <v>0</v>
      </c>
      <c r="EI377" s="1826" t="e">
        <f>SUM(EI369:EI376)</f>
        <v>#REF!</v>
      </c>
      <c r="EJ377" s="2003">
        <f t="shared" si="768"/>
        <v>0</v>
      </c>
      <c r="EK377" s="1826" t="e">
        <f>SUM(EK369:EK376)</f>
        <v>#REF!</v>
      </c>
      <c r="EL377" s="1826" t="e">
        <f>SUM(EL369:EL376)</f>
        <v>#REF!</v>
      </c>
      <c r="EM377" s="2006" t="e">
        <f t="shared" si="769"/>
        <v>#REF!</v>
      </c>
      <c r="EN377" s="2008" t="e">
        <f>SUM(EN369:EN376)</f>
        <v>#REF!</v>
      </c>
      <c r="EO377" s="1659"/>
      <c r="EP377" s="1613" t="e">
        <f>EA377-#REF!/10^7</f>
        <v>#REF!</v>
      </c>
      <c r="EQ377" s="1661"/>
      <c r="EW377" s="1611" t="e">
        <v>#N/A</v>
      </c>
      <c r="EX377" s="1612" t="e">
        <v>#N/A</v>
      </c>
      <c r="EZ377" s="1650">
        <f t="shared" si="771"/>
        <v>0</v>
      </c>
    </row>
    <row r="378" spans="1:156" ht="21" customHeight="1">
      <c r="A378" s="1652"/>
      <c r="B378" s="1704"/>
      <c r="C378" s="1662"/>
      <c r="D378" s="1648"/>
      <c r="E378" s="1648"/>
      <c r="F378" s="1648"/>
      <c r="G378" s="1648"/>
      <c r="H378" s="1648"/>
      <c r="I378" s="1648"/>
      <c r="J378" s="1663"/>
      <c r="K378" s="1648"/>
      <c r="L378" s="1648"/>
      <c r="M378" s="1648"/>
      <c r="N378" s="1642"/>
      <c r="O378" s="2000"/>
      <c r="P378" s="2003">
        <f t="shared" si="717"/>
        <v>0</v>
      </c>
      <c r="Q378" s="1989"/>
      <c r="R378" s="2003">
        <f t="shared" si="718"/>
        <v>0</v>
      </c>
      <c r="S378" s="1989"/>
      <c r="T378" s="2003">
        <f t="shared" si="719"/>
        <v>0</v>
      </c>
      <c r="U378" s="1989"/>
      <c r="V378" s="1989"/>
      <c r="W378" s="1989">
        <f t="shared" si="720"/>
        <v>0</v>
      </c>
      <c r="X378" s="1999"/>
      <c r="Y378" s="1993"/>
      <c r="Z378" s="2003">
        <f t="shared" si="721"/>
        <v>0</v>
      </c>
      <c r="AA378" s="1989"/>
      <c r="AB378" s="2003">
        <f t="shared" si="722"/>
        <v>0</v>
      </c>
      <c r="AC378" s="1989"/>
      <c r="AD378" s="2003">
        <f t="shared" si="723"/>
        <v>0</v>
      </c>
      <c r="AE378" s="1989"/>
      <c r="AF378" s="1989"/>
      <c r="AG378" s="2002">
        <f t="shared" si="724"/>
        <v>0</v>
      </c>
      <c r="AH378" s="1999">
        <f t="shared" ref="AH378:AH386" si="849">AA378+AC378+AE378+AF378</f>
        <v>0</v>
      </c>
      <c r="AI378" s="1993"/>
      <c r="AJ378" s="2003">
        <f t="shared" si="725"/>
        <v>0</v>
      </c>
      <c r="AK378" s="1989"/>
      <c r="AL378" s="2003">
        <f t="shared" si="726"/>
        <v>0</v>
      </c>
      <c r="AM378" s="1989"/>
      <c r="AN378" s="2003">
        <f t="shared" si="727"/>
        <v>0</v>
      </c>
      <c r="AO378" s="1989"/>
      <c r="AP378" s="1989"/>
      <c r="AQ378" s="2002">
        <f t="shared" si="728"/>
        <v>0</v>
      </c>
      <c r="AR378" s="1999"/>
      <c r="AS378" s="1993"/>
      <c r="AT378" s="2003">
        <f t="shared" si="729"/>
        <v>0</v>
      </c>
      <c r="AU378" s="1989"/>
      <c r="AV378" s="2003">
        <f t="shared" si="730"/>
        <v>0</v>
      </c>
      <c r="AW378" s="1989"/>
      <c r="AX378" s="2003">
        <f t="shared" si="731"/>
        <v>0</v>
      </c>
      <c r="AY378" s="1989"/>
      <c r="AZ378" s="1989"/>
      <c r="BA378" s="2002">
        <f t="shared" si="732"/>
        <v>0</v>
      </c>
      <c r="BB378" s="1999"/>
      <c r="BC378" s="1993"/>
      <c r="BD378" s="2003">
        <f t="shared" si="733"/>
        <v>0</v>
      </c>
      <c r="BE378" s="1989"/>
      <c r="BF378" s="2003">
        <f t="shared" si="734"/>
        <v>0</v>
      </c>
      <c r="BG378" s="1989"/>
      <c r="BH378" s="2003">
        <f t="shared" si="735"/>
        <v>0</v>
      </c>
      <c r="BI378" s="1989"/>
      <c r="BJ378" s="1989"/>
      <c r="BK378" s="2002">
        <f t="shared" si="736"/>
        <v>0</v>
      </c>
      <c r="BL378" s="1999"/>
      <c r="BM378" s="1993"/>
      <c r="BN378" s="2003">
        <f t="shared" si="737"/>
        <v>0</v>
      </c>
      <c r="BO378" s="1989"/>
      <c r="BP378" s="2003">
        <f t="shared" si="738"/>
        <v>0</v>
      </c>
      <c r="BQ378" s="1989"/>
      <c r="BR378" s="2003">
        <f t="shared" si="739"/>
        <v>0</v>
      </c>
      <c r="BS378" s="1989"/>
      <c r="BT378" s="1989"/>
      <c r="BU378" s="2002">
        <f t="shared" si="740"/>
        <v>0</v>
      </c>
      <c r="BV378" s="1999"/>
      <c r="BW378" s="1993"/>
      <c r="BX378" s="2003">
        <f t="shared" si="741"/>
        <v>0</v>
      </c>
      <c r="BY378" s="1989"/>
      <c r="BZ378" s="2003">
        <f t="shared" si="742"/>
        <v>0</v>
      </c>
      <c r="CA378" s="1989"/>
      <c r="CB378" s="2003">
        <f t="shared" si="743"/>
        <v>0</v>
      </c>
      <c r="CC378" s="1989"/>
      <c r="CD378" s="1989"/>
      <c r="CE378" s="2002">
        <f t="shared" si="744"/>
        <v>0</v>
      </c>
      <c r="CF378" s="1999"/>
      <c r="CG378" s="1993"/>
      <c r="CH378" s="2003">
        <f t="shared" si="745"/>
        <v>0</v>
      </c>
      <c r="CI378" s="1989"/>
      <c r="CJ378" s="2003">
        <f t="shared" si="746"/>
        <v>0</v>
      </c>
      <c r="CK378" s="1989"/>
      <c r="CL378" s="2003">
        <f t="shared" si="747"/>
        <v>0</v>
      </c>
      <c r="CM378" s="1989"/>
      <c r="CN378" s="1989"/>
      <c r="CO378" s="2002">
        <f t="shared" si="748"/>
        <v>0</v>
      </c>
      <c r="CP378" s="1999"/>
      <c r="CQ378" s="1993"/>
      <c r="CR378" s="2003">
        <f t="shared" si="749"/>
        <v>0</v>
      </c>
      <c r="CS378" s="1989"/>
      <c r="CT378" s="2003">
        <f t="shared" si="750"/>
        <v>0</v>
      </c>
      <c r="CU378" s="1989"/>
      <c r="CV378" s="2003">
        <f t="shared" si="751"/>
        <v>0</v>
      </c>
      <c r="CW378" s="1989"/>
      <c r="CX378" s="1989"/>
      <c r="CY378" s="2002">
        <f t="shared" si="752"/>
        <v>0</v>
      </c>
      <c r="CZ378" s="1999"/>
      <c r="DA378" s="1993"/>
      <c r="DB378" s="2003">
        <f t="shared" si="753"/>
        <v>0</v>
      </c>
      <c r="DC378" s="1989"/>
      <c r="DD378" s="2003">
        <f t="shared" si="754"/>
        <v>0</v>
      </c>
      <c r="DE378" s="1989"/>
      <c r="DF378" s="2003">
        <f t="shared" si="755"/>
        <v>0</v>
      </c>
      <c r="DG378" s="1989"/>
      <c r="DH378" s="1989"/>
      <c r="DI378" s="2002">
        <f t="shared" si="756"/>
        <v>0</v>
      </c>
      <c r="DJ378" s="1999"/>
      <c r="DK378" s="1993"/>
      <c r="DL378" s="2003">
        <f t="shared" si="757"/>
        <v>0</v>
      </c>
      <c r="DM378" s="1989"/>
      <c r="DN378" s="2003">
        <f t="shared" si="758"/>
        <v>0</v>
      </c>
      <c r="DO378" s="1989"/>
      <c r="DP378" s="2003">
        <f t="shared" si="759"/>
        <v>0</v>
      </c>
      <c r="DQ378" s="1989"/>
      <c r="DR378" s="1989"/>
      <c r="DS378" s="2002">
        <f t="shared" si="760"/>
        <v>0</v>
      </c>
      <c r="DT378" s="2004"/>
      <c r="DU378" s="1988"/>
      <c r="DV378" s="2003">
        <f t="shared" si="761"/>
        <v>0</v>
      </c>
      <c r="DW378" s="1989"/>
      <c r="DX378" s="2003">
        <f t="shared" si="762"/>
        <v>0</v>
      </c>
      <c r="DY378" s="1989"/>
      <c r="DZ378" s="2003">
        <f t="shared" si="763"/>
        <v>0</v>
      </c>
      <c r="EA378" s="1989"/>
      <c r="EB378" s="1989"/>
      <c r="EC378" s="2002">
        <f t="shared" si="764"/>
        <v>0</v>
      </c>
      <c r="ED378" s="1998"/>
      <c r="EE378" s="2005"/>
      <c r="EF378" s="2003">
        <f t="shared" si="766"/>
        <v>0</v>
      </c>
      <c r="EG378" s="1989"/>
      <c r="EH378" s="2003">
        <f t="shared" si="767"/>
        <v>0</v>
      </c>
      <c r="EI378" s="1989"/>
      <c r="EJ378" s="2003">
        <f t="shared" si="768"/>
        <v>0</v>
      </c>
      <c r="EK378" s="1989"/>
      <c r="EL378" s="1989"/>
      <c r="EM378" s="2006">
        <f t="shared" si="769"/>
        <v>0</v>
      </c>
      <c r="EN378" s="1999"/>
      <c r="EP378" s="1613" t="e">
        <f>EA378-#REF!/10^7</f>
        <v>#REF!</v>
      </c>
      <c r="EW378" s="1611" t="e">
        <v>#N/A</v>
      </c>
      <c r="EX378" s="1612" t="e">
        <v>#N/A</v>
      </c>
      <c r="EZ378" s="1650">
        <f t="shared" si="771"/>
        <v>0</v>
      </c>
    </row>
    <row r="379" spans="1:156" ht="21" customHeight="1">
      <c r="A379" s="1637" t="s">
        <v>133</v>
      </c>
      <c r="B379" s="1706" t="s">
        <v>2013</v>
      </c>
      <c r="C379" s="1662"/>
      <c r="D379" s="1648"/>
      <c r="E379" s="1648"/>
      <c r="F379" s="1648"/>
      <c r="G379" s="1648"/>
      <c r="H379" s="1648"/>
      <c r="I379" s="1648"/>
      <c r="J379" s="1663"/>
      <c r="K379" s="1648"/>
      <c r="L379" s="1648"/>
      <c r="M379" s="1648"/>
      <c r="N379" s="1642"/>
      <c r="O379" s="2000"/>
      <c r="P379" s="2003">
        <f t="shared" si="717"/>
        <v>0</v>
      </c>
      <c r="Q379" s="1989"/>
      <c r="R379" s="2003">
        <f t="shared" si="718"/>
        <v>0</v>
      </c>
      <c r="S379" s="1989"/>
      <c r="T379" s="2003">
        <f t="shared" si="719"/>
        <v>0</v>
      </c>
      <c r="U379" s="1989"/>
      <c r="V379" s="1989"/>
      <c r="W379" s="1989">
        <f t="shared" si="720"/>
        <v>0</v>
      </c>
      <c r="X379" s="1999"/>
      <c r="Y379" s="1993"/>
      <c r="Z379" s="2003">
        <f t="shared" si="721"/>
        <v>0</v>
      </c>
      <c r="AA379" s="1989"/>
      <c r="AB379" s="2003">
        <f t="shared" si="722"/>
        <v>0</v>
      </c>
      <c r="AC379" s="1989"/>
      <c r="AD379" s="2003">
        <f t="shared" si="723"/>
        <v>0</v>
      </c>
      <c r="AE379" s="1989"/>
      <c r="AF379" s="1989"/>
      <c r="AG379" s="2002">
        <f t="shared" si="724"/>
        <v>0</v>
      </c>
      <c r="AH379" s="1999">
        <f t="shared" si="849"/>
        <v>0</v>
      </c>
      <c r="AI379" s="1993"/>
      <c r="AJ379" s="2003">
        <f t="shared" si="725"/>
        <v>0</v>
      </c>
      <c r="AK379" s="1989"/>
      <c r="AL379" s="2003">
        <f t="shared" si="726"/>
        <v>0</v>
      </c>
      <c r="AM379" s="1989"/>
      <c r="AN379" s="2003">
        <f t="shared" si="727"/>
        <v>0</v>
      </c>
      <c r="AO379" s="1989"/>
      <c r="AP379" s="1989"/>
      <c r="AQ379" s="2002">
        <f t="shared" si="728"/>
        <v>0</v>
      </c>
      <c r="AR379" s="1999">
        <f t="shared" ref="AR379:AR386" si="850">AK379+AM379+AO379+AP379</f>
        <v>0</v>
      </c>
      <c r="AS379" s="1993"/>
      <c r="AT379" s="2003">
        <f t="shared" si="729"/>
        <v>0</v>
      </c>
      <c r="AU379" s="1989"/>
      <c r="AV379" s="2003">
        <f t="shared" si="730"/>
        <v>0</v>
      </c>
      <c r="AW379" s="1989"/>
      <c r="AX379" s="2003">
        <f t="shared" si="731"/>
        <v>0</v>
      </c>
      <c r="AY379" s="1989"/>
      <c r="AZ379" s="1989"/>
      <c r="BA379" s="2002">
        <f t="shared" si="732"/>
        <v>0</v>
      </c>
      <c r="BB379" s="1999">
        <f t="shared" ref="BB379:BB386" si="851">AU379+AW379+AY379+AZ379</f>
        <v>0</v>
      </c>
      <c r="BC379" s="1993"/>
      <c r="BD379" s="2003">
        <f t="shared" si="733"/>
        <v>0</v>
      </c>
      <c r="BE379" s="1989"/>
      <c r="BF379" s="2003">
        <f t="shared" si="734"/>
        <v>0</v>
      </c>
      <c r="BG379" s="1989"/>
      <c r="BH379" s="2003">
        <f t="shared" si="735"/>
        <v>0</v>
      </c>
      <c r="BI379" s="1989"/>
      <c r="BJ379" s="1989"/>
      <c r="BK379" s="2002">
        <f t="shared" si="736"/>
        <v>0</v>
      </c>
      <c r="BL379" s="1999">
        <f t="shared" ref="BL379:BL386" si="852">BE379+BG379+BI379+BJ379</f>
        <v>0</v>
      </c>
      <c r="BM379" s="1993"/>
      <c r="BN379" s="2003">
        <f t="shared" si="737"/>
        <v>0</v>
      </c>
      <c r="BO379" s="1989"/>
      <c r="BP379" s="2003">
        <f t="shared" si="738"/>
        <v>0</v>
      </c>
      <c r="BQ379" s="1989"/>
      <c r="BR379" s="2003">
        <f t="shared" si="739"/>
        <v>0</v>
      </c>
      <c r="BS379" s="1989"/>
      <c r="BT379" s="1989"/>
      <c r="BU379" s="2002">
        <f t="shared" si="740"/>
        <v>0</v>
      </c>
      <c r="BV379" s="1999">
        <f t="shared" ref="BV379:BV386" si="853">BO379+BQ379+BS379+BT379</f>
        <v>0</v>
      </c>
      <c r="BW379" s="1993"/>
      <c r="BX379" s="2003">
        <f t="shared" si="741"/>
        <v>0</v>
      </c>
      <c r="BY379" s="1989"/>
      <c r="BZ379" s="2003">
        <f t="shared" si="742"/>
        <v>0</v>
      </c>
      <c r="CA379" s="1989"/>
      <c r="CB379" s="2003">
        <f t="shared" si="743"/>
        <v>0</v>
      </c>
      <c r="CC379" s="1989"/>
      <c r="CD379" s="1989"/>
      <c r="CE379" s="2002">
        <f t="shared" si="744"/>
        <v>0</v>
      </c>
      <c r="CF379" s="1999">
        <f t="shared" ref="CF379:CF386" si="854">BY379+CA379+CC379+CD379</f>
        <v>0</v>
      </c>
      <c r="CG379" s="1993"/>
      <c r="CH379" s="2003">
        <f t="shared" si="745"/>
        <v>0</v>
      </c>
      <c r="CI379" s="1989"/>
      <c r="CJ379" s="2003">
        <f t="shared" si="746"/>
        <v>0</v>
      </c>
      <c r="CK379" s="1989"/>
      <c r="CL379" s="2003">
        <f t="shared" si="747"/>
        <v>0</v>
      </c>
      <c r="CM379" s="1989"/>
      <c r="CN379" s="1989"/>
      <c r="CO379" s="2002">
        <f t="shared" si="748"/>
        <v>0</v>
      </c>
      <c r="CP379" s="1999">
        <f t="shared" ref="CP379:CP386" si="855">CI379+CK379+CM379+CN379</f>
        <v>0</v>
      </c>
      <c r="CQ379" s="1993"/>
      <c r="CR379" s="2003">
        <f t="shared" si="749"/>
        <v>0</v>
      </c>
      <c r="CS379" s="1989"/>
      <c r="CT379" s="2003">
        <f t="shared" si="750"/>
        <v>0</v>
      </c>
      <c r="CU379" s="1989"/>
      <c r="CV379" s="2003">
        <f t="shared" si="751"/>
        <v>0</v>
      </c>
      <c r="CW379" s="1989"/>
      <c r="CX379" s="1989"/>
      <c r="CY379" s="2002">
        <f t="shared" si="752"/>
        <v>0</v>
      </c>
      <c r="CZ379" s="1999">
        <f t="shared" ref="CZ379:CZ386" si="856">CS379+CU379+CW379+CX379</f>
        <v>0</v>
      </c>
      <c r="DA379" s="1993"/>
      <c r="DB379" s="2003">
        <f t="shared" si="753"/>
        <v>0</v>
      </c>
      <c r="DC379" s="1989"/>
      <c r="DD379" s="2003">
        <f t="shared" si="754"/>
        <v>0</v>
      </c>
      <c r="DE379" s="1989"/>
      <c r="DF379" s="2003">
        <f t="shared" si="755"/>
        <v>0</v>
      </c>
      <c r="DG379" s="1989"/>
      <c r="DH379" s="1989"/>
      <c r="DI379" s="2002">
        <f t="shared" si="756"/>
        <v>0</v>
      </c>
      <c r="DJ379" s="1999">
        <f t="shared" ref="DJ379:DJ386" si="857">DC379+DE379+DG379+DH379</f>
        <v>0</v>
      </c>
      <c r="DK379" s="1993"/>
      <c r="DL379" s="2003">
        <f t="shared" si="757"/>
        <v>0</v>
      </c>
      <c r="DM379" s="1989"/>
      <c r="DN379" s="2003">
        <f t="shared" si="758"/>
        <v>0</v>
      </c>
      <c r="DO379" s="1989"/>
      <c r="DP379" s="2003">
        <f t="shared" si="759"/>
        <v>0</v>
      </c>
      <c r="DQ379" s="1989"/>
      <c r="DR379" s="1989"/>
      <c r="DS379" s="2002">
        <f t="shared" si="760"/>
        <v>0</v>
      </c>
      <c r="DT379" s="2004">
        <f t="shared" ref="DT379:DT386" si="858">DM379+DO379+DQ379+DR379</f>
        <v>0</v>
      </c>
      <c r="DU379" s="1988"/>
      <c r="DV379" s="2003">
        <f t="shared" si="761"/>
        <v>0</v>
      </c>
      <c r="DW379" s="1989"/>
      <c r="DX379" s="2003">
        <f t="shared" si="762"/>
        <v>0</v>
      </c>
      <c r="DY379" s="1989"/>
      <c r="DZ379" s="2003">
        <f t="shared" si="763"/>
        <v>0</v>
      </c>
      <c r="EA379" s="1989"/>
      <c r="EB379" s="1989"/>
      <c r="EC379" s="2002">
        <f t="shared" si="764"/>
        <v>0</v>
      </c>
      <c r="ED379" s="1998"/>
      <c r="EE379" s="2005"/>
      <c r="EF379" s="2003">
        <f t="shared" si="766"/>
        <v>0</v>
      </c>
      <c r="EG379" s="1989"/>
      <c r="EH379" s="2003">
        <f t="shared" si="767"/>
        <v>0</v>
      </c>
      <c r="EI379" s="1989"/>
      <c r="EJ379" s="2003">
        <f t="shared" si="768"/>
        <v>0</v>
      </c>
      <c r="EK379" s="1989"/>
      <c r="EL379" s="1989"/>
      <c r="EM379" s="2006">
        <f t="shared" si="769"/>
        <v>0</v>
      </c>
      <c r="EN379" s="1999"/>
      <c r="EP379" s="1613" t="e">
        <f>EA379-#REF!/10^7</f>
        <v>#REF!</v>
      </c>
      <c r="EW379" s="1611" t="e">
        <v>#N/A</v>
      </c>
      <c r="EX379" s="1612" t="e">
        <v>#N/A</v>
      </c>
      <c r="EZ379" s="1650">
        <f t="shared" si="771"/>
        <v>0</v>
      </c>
    </row>
    <row r="380" spans="1:156" ht="21" customHeight="1">
      <c r="A380" s="1707" t="s">
        <v>2014</v>
      </c>
      <c r="B380" s="1668" t="s">
        <v>2015</v>
      </c>
      <c r="C380" s="1662" t="s">
        <v>1594</v>
      </c>
      <c r="D380" s="1646" t="e">
        <f>H380/C380*100</f>
        <v>#VALUE!</v>
      </c>
      <c r="E380" s="1646"/>
      <c r="F380" s="1648" t="s">
        <v>1594</v>
      </c>
      <c r="G380" s="1648"/>
      <c r="H380" s="1648">
        <v>1000</v>
      </c>
      <c r="I380" s="1648"/>
      <c r="J380" s="1663"/>
      <c r="K380" s="1648"/>
      <c r="L380" s="1648"/>
      <c r="M380" s="1648"/>
      <c r="N380" s="1642"/>
      <c r="O380" s="2000" t="e">
        <f>#REF!</f>
        <v>#REF!</v>
      </c>
      <c r="P380" s="2003">
        <f t="shared" si="717"/>
        <v>0</v>
      </c>
      <c r="Q380" s="1989" t="e">
        <f>#REF!/10^7</f>
        <v>#REF!</v>
      </c>
      <c r="R380" s="2003">
        <f t="shared" si="718"/>
        <v>0</v>
      </c>
      <c r="S380" s="1989" t="e">
        <f>#REF!/10^7</f>
        <v>#REF!</v>
      </c>
      <c r="T380" s="2003">
        <f t="shared" si="719"/>
        <v>0</v>
      </c>
      <c r="U380" s="1989" t="e">
        <f>#REF!/10^7</f>
        <v>#REF!</v>
      </c>
      <c r="V380" s="1989" t="e">
        <f>#REF!/10^7</f>
        <v>#REF!</v>
      </c>
      <c r="W380" s="1989">
        <f t="shared" si="720"/>
        <v>0</v>
      </c>
      <c r="X380" s="1999" t="e">
        <f t="shared" ref="X380:X386" si="859">Q380+S380+U380+V380</f>
        <v>#REF!</v>
      </c>
      <c r="Y380" s="1993" t="e">
        <f>#REF!</f>
        <v>#REF!</v>
      </c>
      <c r="Z380" s="2003">
        <f t="shared" si="721"/>
        <v>0</v>
      </c>
      <c r="AA380" s="1989" t="e">
        <f>#REF!/10^7</f>
        <v>#REF!</v>
      </c>
      <c r="AB380" s="2003">
        <f t="shared" si="722"/>
        <v>0</v>
      </c>
      <c r="AC380" s="1989" t="e">
        <f>#REF!/10^7</f>
        <v>#REF!</v>
      </c>
      <c r="AD380" s="2003">
        <f t="shared" si="723"/>
        <v>0</v>
      </c>
      <c r="AE380" s="1989" t="e">
        <f>#REF!/10^7</f>
        <v>#REF!</v>
      </c>
      <c r="AF380" s="1989" t="e">
        <f>#REF!/10^7</f>
        <v>#REF!</v>
      </c>
      <c r="AG380" s="2002" t="e">
        <f t="shared" si="724"/>
        <v>#REF!</v>
      </c>
      <c r="AH380" s="1999" t="e">
        <f t="shared" si="849"/>
        <v>#REF!</v>
      </c>
      <c r="AI380" s="1993" t="e">
        <f>#REF!</f>
        <v>#REF!</v>
      </c>
      <c r="AJ380" s="2003">
        <f t="shared" si="725"/>
        <v>0</v>
      </c>
      <c r="AK380" s="1989" t="e">
        <f>#REF!/10^7</f>
        <v>#REF!</v>
      </c>
      <c r="AL380" s="2003">
        <f t="shared" si="726"/>
        <v>0</v>
      </c>
      <c r="AM380" s="1989" t="e">
        <f>#REF!/10^7</f>
        <v>#REF!</v>
      </c>
      <c r="AN380" s="2003">
        <f t="shared" si="727"/>
        <v>0</v>
      </c>
      <c r="AO380" s="1989" t="e">
        <f>#REF!/10^7</f>
        <v>#REF!</v>
      </c>
      <c r="AP380" s="1989" t="e">
        <f>#REF!/10^7</f>
        <v>#REF!</v>
      </c>
      <c r="AQ380" s="2002" t="e">
        <f t="shared" si="728"/>
        <v>#REF!</v>
      </c>
      <c r="AR380" s="1999" t="e">
        <f t="shared" si="850"/>
        <v>#REF!</v>
      </c>
      <c r="AS380" s="1993" t="e">
        <f>#REF!</f>
        <v>#REF!</v>
      </c>
      <c r="AT380" s="2003">
        <f t="shared" si="729"/>
        <v>0</v>
      </c>
      <c r="AU380" s="1989" t="e">
        <f>#REF!/10^7</f>
        <v>#REF!</v>
      </c>
      <c r="AV380" s="2003">
        <f t="shared" si="730"/>
        <v>0</v>
      </c>
      <c r="AW380" s="1989" t="e">
        <f>#REF!/10^7</f>
        <v>#REF!</v>
      </c>
      <c r="AX380" s="2003">
        <f t="shared" si="731"/>
        <v>0</v>
      </c>
      <c r="AY380" s="1989" t="e">
        <f>#REF!/10^7</f>
        <v>#REF!</v>
      </c>
      <c r="AZ380" s="1989" t="e">
        <f>#REF!/10^7</f>
        <v>#REF!</v>
      </c>
      <c r="BA380" s="2002" t="e">
        <f t="shared" si="732"/>
        <v>#REF!</v>
      </c>
      <c r="BB380" s="1999" t="e">
        <f t="shared" si="851"/>
        <v>#REF!</v>
      </c>
      <c r="BC380" s="1993" t="e">
        <f>#REF!</f>
        <v>#REF!</v>
      </c>
      <c r="BD380" s="2003">
        <f t="shared" si="733"/>
        <v>0</v>
      </c>
      <c r="BE380" s="1989" t="e">
        <f>#REF!/10^7</f>
        <v>#REF!</v>
      </c>
      <c r="BF380" s="2003">
        <f t="shared" si="734"/>
        <v>0</v>
      </c>
      <c r="BG380" s="1989" t="e">
        <f>#REF!/10^7</f>
        <v>#REF!</v>
      </c>
      <c r="BH380" s="2003">
        <f t="shared" si="735"/>
        <v>0</v>
      </c>
      <c r="BI380" s="1989" t="e">
        <f>#REF!/10^7</f>
        <v>#REF!</v>
      </c>
      <c r="BJ380" s="1989" t="e">
        <f>#REF!/10^7</f>
        <v>#REF!</v>
      </c>
      <c r="BK380" s="2002" t="e">
        <f t="shared" si="736"/>
        <v>#REF!</v>
      </c>
      <c r="BL380" s="1999" t="e">
        <f t="shared" si="852"/>
        <v>#REF!</v>
      </c>
      <c r="BM380" s="1993" t="e">
        <f>#REF!</f>
        <v>#REF!</v>
      </c>
      <c r="BN380" s="2003">
        <f t="shared" si="737"/>
        <v>0</v>
      </c>
      <c r="BO380" s="1989" t="e">
        <f>#REF!/10^7</f>
        <v>#REF!</v>
      </c>
      <c r="BP380" s="2003">
        <f t="shared" si="738"/>
        <v>0</v>
      </c>
      <c r="BQ380" s="1989" t="e">
        <f>#REF!/10^7</f>
        <v>#REF!</v>
      </c>
      <c r="BR380" s="2003">
        <f t="shared" si="739"/>
        <v>0</v>
      </c>
      <c r="BS380" s="1989" t="e">
        <f>#REF!/10^7</f>
        <v>#REF!</v>
      </c>
      <c r="BT380" s="1989" t="e">
        <f>#REF!/10^7</f>
        <v>#REF!</v>
      </c>
      <c r="BU380" s="2002" t="e">
        <f t="shared" si="740"/>
        <v>#REF!</v>
      </c>
      <c r="BV380" s="1999" t="e">
        <f t="shared" si="853"/>
        <v>#REF!</v>
      </c>
      <c r="BW380" s="1993" t="e">
        <f>#REF!</f>
        <v>#REF!</v>
      </c>
      <c r="BX380" s="2003">
        <f t="shared" si="741"/>
        <v>0</v>
      </c>
      <c r="BY380" s="1989" t="e">
        <f>#REF!/10^7</f>
        <v>#REF!</v>
      </c>
      <c r="BZ380" s="2003">
        <f t="shared" si="742"/>
        <v>0</v>
      </c>
      <c r="CA380" s="1989" t="e">
        <f>#REF!/10^7</f>
        <v>#REF!</v>
      </c>
      <c r="CB380" s="2003">
        <f t="shared" si="743"/>
        <v>0</v>
      </c>
      <c r="CC380" s="1989" t="e">
        <f>#REF!/10^7</f>
        <v>#REF!</v>
      </c>
      <c r="CD380" s="1989" t="e">
        <f>#REF!/10^7</f>
        <v>#REF!</v>
      </c>
      <c r="CE380" s="2002" t="e">
        <f t="shared" si="744"/>
        <v>#REF!</v>
      </c>
      <c r="CF380" s="1999" t="e">
        <f t="shared" si="854"/>
        <v>#REF!</v>
      </c>
      <c r="CG380" s="1993" t="e">
        <f>#REF!</f>
        <v>#REF!</v>
      </c>
      <c r="CH380" s="2003">
        <f t="shared" si="745"/>
        <v>0</v>
      </c>
      <c r="CI380" s="1989" t="e">
        <f>#REF!/10^7</f>
        <v>#REF!</v>
      </c>
      <c r="CJ380" s="2003">
        <f t="shared" si="746"/>
        <v>0</v>
      </c>
      <c r="CK380" s="1989" t="e">
        <f>#REF!/10^7</f>
        <v>#REF!</v>
      </c>
      <c r="CL380" s="2003">
        <f t="shared" si="747"/>
        <v>0</v>
      </c>
      <c r="CM380" s="1989" t="e">
        <f>#REF!/10^7</f>
        <v>#REF!</v>
      </c>
      <c r="CN380" s="1989" t="e">
        <f>#REF!/10^7</f>
        <v>#REF!</v>
      </c>
      <c r="CO380" s="2002" t="e">
        <f t="shared" si="748"/>
        <v>#REF!</v>
      </c>
      <c r="CP380" s="1999" t="e">
        <f t="shared" si="855"/>
        <v>#REF!</v>
      </c>
      <c r="CQ380" s="1993" t="e">
        <f>#REF!</f>
        <v>#REF!</v>
      </c>
      <c r="CR380" s="2003">
        <f t="shared" si="749"/>
        <v>0</v>
      </c>
      <c r="CS380" s="1989" t="e">
        <f>#REF!/10^7</f>
        <v>#REF!</v>
      </c>
      <c r="CT380" s="2003">
        <f t="shared" si="750"/>
        <v>0</v>
      </c>
      <c r="CU380" s="1989" t="e">
        <f>#REF!/10^7</f>
        <v>#REF!</v>
      </c>
      <c r="CV380" s="2003">
        <f t="shared" si="751"/>
        <v>0</v>
      </c>
      <c r="CW380" s="1989" t="e">
        <f>#REF!/10^7</f>
        <v>#REF!</v>
      </c>
      <c r="CX380" s="1989" t="e">
        <f>#REF!/10^7</f>
        <v>#REF!</v>
      </c>
      <c r="CY380" s="2002" t="e">
        <f t="shared" si="752"/>
        <v>#REF!</v>
      </c>
      <c r="CZ380" s="1999" t="e">
        <f t="shared" si="856"/>
        <v>#REF!</v>
      </c>
      <c r="DA380" s="1993" t="e">
        <f>#REF!</f>
        <v>#REF!</v>
      </c>
      <c r="DB380" s="2003">
        <f t="shared" si="753"/>
        <v>0</v>
      </c>
      <c r="DC380" s="1989" t="e">
        <f>#REF!/10^7</f>
        <v>#REF!</v>
      </c>
      <c r="DD380" s="2003">
        <f t="shared" si="754"/>
        <v>0</v>
      </c>
      <c r="DE380" s="1989" t="e">
        <f>#REF!/10^7</f>
        <v>#REF!</v>
      </c>
      <c r="DF380" s="2003">
        <f t="shared" si="755"/>
        <v>0</v>
      </c>
      <c r="DG380" s="1989" t="e">
        <f>#REF!/10^7</f>
        <v>#REF!</v>
      </c>
      <c r="DH380" s="1989" t="e">
        <f>#REF!/10^7</f>
        <v>#REF!</v>
      </c>
      <c r="DI380" s="2002" t="e">
        <f t="shared" si="756"/>
        <v>#REF!</v>
      </c>
      <c r="DJ380" s="1999" t="e">
        <f t="shared" si="857"/>
        <v>#REF!</v>
      </c>
      <c r="DK380" s="1993" t="e">
        <f>#REF!</f>
        <v>#REF!</v>
      </c>
      <c r="DL380" s="2003">
        <f t="shared" si="757"/>
        <v>0</v>
      </c>
      <c r="DM380" s="1989" t="e">
        <f>#REF!/10^7</f>
        <v>#REF!</v>
      </c>
      <c r="DN380" s="2003">
        <f t="shared" si="758"/>
        <v>0</v>
      </c>
      <c r="DO380" s="1989" t="e">
        <f>#REF!/10^7</f>
        <v>#REF!</v>
      </c>
      <c r="DP380" s="2003">
        <f t="shared" si="759"/>
        <v>0</v>
      </c>
      <c r="DQ380" s="1989" t="e">
        <f>#REF!/10^7</f>
        <v>#REF!</v>
      </c>
      <c r="DR380" s="1989" t="e">
        <f>#REF!/10^7</f>
        <v>#REF!</v>
      </c>
      <c r="DS380" s="2002" t="e">
        <f t="shared" si="760"/>
        <v>#REF!</v>
      </c>
      <c r="DT380" s="2004" t="e">
        <f t="shared" si="858"/>
        <v>#REF!</v>
      </c>
      <c r="DU380" s="1988" t="e">
        <f>#REF!</f>
        <v>#REF!</v>
      </c>
      <c r="DV380" s="2003">
        <f t="shared" si="761"/>
        <v>0</v>
      </c>
      <c r="DW380" s="1989" t="e">
        <f>#REF!/10^7</f>
        <v>#REF!</v>
      </c>
      <c r="DX380" s="2003">
        <f t="shared" si="762"/>
        <v>0</v>
      </c>
      <c r="DY380" s="1989" t="e">
        <f>#REF!/10^7</f>
        <v>#REF!</v>
      </c>
      <c r="DZ380" s="2003">
        <f t="shared" si="763"/>
        <v>0</v>
      </c>
      <c r="EA380" s="1989" t="e">
        <f>#REF!/10^7</f>
        <v>#REF!</v>
      </c>
      <c r="EB380" s="1989" t="e">
        <f>#REF!/10^7</f>
        <v>#REF!</v>
      </c>
      <c r="EC380" s="2002" t="e">
        <f t="shared" si="764"/>
        <v>#REF!</v>
      </c>
      <c r="ED380" s="1998" t="e">
        <f t="shared" ref="ED380:ED386" si="860">DW380+DY380+EA380+EB380</f>
        <v>#REF!</v>
      </c>
      <c r="EE380" s="2005" t="e">
        <f t="shared" ref="EE380:EE386" si="861">O380+Y380+AI380+AS380+BC380+BM380+BW380+CG380+CQ380+DA380+DK380+DU380</f>
        <v>#REF!</v>
      </c>
      <c r="EF380" s="2003">
        <f t="shared" si="766"/>
        <v>0</v>
      </c>
      <c r="EG380" s="1989" t="e">
        <f t="shared" ref="EG380:EG386" si="862">Q380+AA380+AK380+AU380+BE380+BO380+BY380+CI380+CS380+DC380+DM380+DW380</f>
        <v>#REF!</v>
      </c>
      <c r="EH380" s="2003">
        <f t="shared" si="767"/>
        <v>0</v>
      </c>
      <c r="EI380" s="1989" t="e">
        <f t="shared" ref="EI380:EI386" si="863">S380+AC380+AM380+AW380+BG380+BQ380+CA380+CK380+CU380+DE380+DO380+DY380</f>
        <v>#REF!</v>
      </c>
      <c r="EJ380" s="2003">
        <f t="shared" si="768"/>
        <v>0</v>
      </c>
      <c r="EK380" s="1989" t="e">
        <f t="shared" ref="EK380:EL386" si="864">U380+AE380+AO380+AY380+BI380+BS380+CC380+CM380+CW380+DG380+DQ380+EA380</f>
        <v>#REF!</v>
      </c>
      <c r="EL380" s="1989" t="e">
        <f t="shared" si="864"/>
        <v>#REF!</v>
      </c>
      <c r="EM380" s="2006" t="e">
        <f t="shared" si="769"/>
        <v>#REF!</v>
      </c>
      <c r="EN380" s="1999" t="e">
        <f t="shared" ref="EN380:EN386" si="865">X380+AH380+AR380+BB380+BL380+BV380+CF380+CP380+CZ380+DJ380+DT380+ED380</f>
        <v>#REF!</v>
      </c>
      <c r="EP380" s="1613" t="e">
        <f>EA380-#REF!/10^7</f>
        <v>#REF!</v>
      </c>
      <c r="EW380" s="1611" t="s">
        <v>1649</v>
      </c>
      <c r="EX380" s="1612" t="s">
        <v>1649</v>
      </c>
      <c r="EZ380" s="1650">
        <f t="shared" si="771"/>
        <v>0</v>
      </c>
    </row>
    <row r="381" spans="1:156" ht="21" customHeight="1">
      <c r="A381" s="1707" t="s">
        <v>20</v>
      </c>
      <c r="B381" s="1668" t="s">
        <v>2016</v>
      </c>
      <c r="C381" s="1662" t="s">
        <v>1594</v>
      </c>
      <c r="D381" s="1646" t="e">
        <f>H381/C381*100</f>
        <v>#VALUE!</v>
      </c>
      <c r="E381" s="1646"/>
      <c r="F381" s="1648" t="s">
        <v>1594</v>
      </c>
      <c r="G381" s="1648"/>
      <c r="H381" s="1648">
        <v>361</v>
      </c>
      <c r="I381" s="1648"/>
      <c r="J381" s="1663"/>
      <c r="K381" s="1648"/>
      <c r="L381" s="1648"/>
      <c r="M381" s="1648"/>
      <c r="N381" s="1642"/>
      <c r="O381" s="2000" t="e">
        <f>#REF!</f>
        <v>#REF!</v>
      </c>
      <c r="P381" s="2003">
        <f t="shared" si="717"/>
        <v>0</v>
      </c>
      <c r="Q381" s="1989" t="e">
        <f>#REF!/10^7</f>
        <v>#REF!</v>
      </c>
      <c r="R381" s="2003">
        <f t="shared" si="718"/>
        <v>0</v>
      </c>
      <c r="S381" s="1989" t="e">
        <f>#REF!/10^7</f>
        <v>#REF!</v>
      </c>
      <c r="T381" s="2003">
        <f t="shared" si="719"/>
        <v>0</v>
      </c>
      <c r="U381" s="1989" t="e">
        <f>#REF!/10^7</f>
        <v>#REF!</v>
      </c>
      <c r="V381" s="1989" t="e">
        <f>#REF!/10^7</f>
        <v>#REF!</v>
      </c>
      <c r="W381" s="1989">
        <f t="shared" si="720"/>
        <v>0</v>
      </c>
      <c r="X381" s="1999" t="e">
        <f t="shared" si="859"/>
        <v>#REF!</v>
      </c>
      <c r="Y381" s="1993" t="e">
        <f>#REF!</f>
        <v>#REF!</v>
      </c>
      <c r="Z381" s="2003">
        <f t="shared" si="721"/>
        <v>0</v>
      </c>
      <c r="AA381" s="1989" t="e">
        <f>#REF!/10^7</f>
        <v>#REF!</v>
      </c>
      <c r="AB381" s="2003">
        <f t="shared" si="722"/>
        <v>0</v>
      </c>
      <c r="AC381" s="1989" t="e">
        <f>#REF!/10^7</f>
        <v>#REF!</v>
      </c>
      <c r="AD381" s="2003">
        <f t="shared" si="723"/>
        <v>0</v>
      </c>
      <c r="AE381" s="1989" t="e">
        <f>#REF!/10^7</f>
        <v>#REF!</v>
      </c>
      <c r="AF381" s="1989" t="e">
        <f>#REF!/10^7</f>
        <v>#REF!</v>
      </c>
      <c r="AG381" s="2002" t="e">
        <f t="shared" si="724"/>
        <v>#REF!</v>
      </c>
      <c r="AH381" s="1999" t="e">
        <f t="shared" si="849"/>
        <v>#REF!</v>
      </c>
      <c r="AI381" s="1993" t="e">
        <f>#REF!</f>
        <v>#REF!</v>
      </c>
      <c r="AJ381" s="2003">
        <f t="shared" si="725"/>
        <v>0</v>
      </c>
      <c r="AK381" s="1989" t="e">
        <f>#REF!/10^7</f>
        <v>#REF!</v>
      </c>
      <c r="AL381" s="2003">
        <f t="shared" si="726"/>
        <v>0</v>
      </c>
      <c r="AM381" s="1989" t="e">
        <f>#REF!/10^7</f>
        <v>#REF!</v>
      </c>
      <c r="AN381" s="2003">
        <f t="shared" si="727"/>
        <v>0</v>
      </c>
      <c r="AO381" s="1989" t="e">
        <f>#REF!/10^7</f>
        <v>#REF!</v>
      </c>
      <c r="AP381" s="1989" t="e">
        <f>#REF!/10^7</f>
        <v>#REF!</v>
      </c>
      <c r="AQ381" s="2002" t="e">
        <f t="shared" si="728"/>
        <v>#REF!</v>
      </c>
      <c r="AR381" s="1999" t="e">
        <f t="shared" si="850"/>
        <v>#REF!</v>
      </c>
      <c r="AS381" s="1993" t="e">
        <f>#REF!</f>
        <v>#REF!</v>
      </c>
      <c r="AT381" s="2003">
        <f t="shared" si="729"/>
        <v>0</v>
      </c>
      <c r="AU381" s="1989" t="e">
        <f>#REF!/10^7</f>
        <v>#REF!</v>
      </c>
      <c r="AV381" s="2003">
        <f t="shared" si="730"/>
        <v>0</v>
      </c>
      <c r="AW381" s="1989" t="e">
        <f>#REF!/10^7</f>
        <v>#REF!</v>
      </c>
      <c r="AX381" s="2003">
        <f t="shared" si="731"/>
        <v>0</v>
      </c>
      <c r="AY381" s="1989" t="e">
        <f>#REF!/10^7</f>
        <v>#REF!</v>
      </c>
      <c r="AZ381" s="1989" t="e">
        <f>#REF!/10^7</f>
        <v>#REF!</v>
      </c>
      <c r="BA381" s="2002" t="e">
        <f t="shared" si="732"/>
        <v>#REF!</v>
      </c>
      <c r="BB381" s="1999" t="e">
        <f t="shared" si="851"/>
        <v>#REF!</v>
      </c>
      <c r="BC381" s="1993" t="e">
        <f>#REF!</f>
        <v>#REF!</v>
      </c>
      <c r="BD381" s="2003">
        <f t="shared" si="733"/>
        <v>0</v>
      </c>
      <c r="BE381" s="1989" t="e">
        <f>#REF!/10^7</f>
        <v>#REF!</v>
      </c>
      <c r="BF381" s="2003">
        <f t="shared" si="734"/>
        <v>0</v>
      </c>
      <c r="BG381" s="1989" t="e">
        <f>#REF!/10^7</f>
        <v>#REF!</v>
      </c>
      <c r="BH381" s="2003">
        <f t="shared" si="735"/>
        <v>0</v>
      </c>
      <c r="BI381" s="1989" t="e">
        <f>#REF!/10^7</f>
        <v>#REF!</v>
      </c>
      <c r="BJ381" s="1989" t="e">
        <f>#REF!/10^7</f>
        <v>#REF!</v>
      </c>
      <c r="BK381" s="2002" t="e">
        <f t="shared" si="736"/>
        <v>#REF!</v>
      </c>
      <c r="BL381" s="1999" t="e">
        <f t="shared" si="852"/>
        <v>#REF!</v>
      </c>
      <c r="BM381" s="1993" t="e">
        <f>#REF!</f>
        <v>#REF!</v>
      </c>
      <c r="BN381" s="2003">
        <f t="shared" si="737"/>
        <v>0</v>
      </c>
      <c r="BO381" s="1989" t="e">
        <f>#REF!/10^7</f>
        <v>#REF!</v>
      </c>
      <c r="BP381" s="2003">
        <f t="shared" si="738"/>
        <v>0</v>
      </c>
      <c r="BQ381" s="1989" t="e">
        <f>#REF!/10^7</f>
        <v>#REF!</v>
      </c>
      <c r="BR381" s="2003">
        <f t="shared" si="739"/>
        <v>0</v>
      </c>
      <c r="BS381" s="1989" t="e">
        <f>#REF!/10^7</f>
        <v>#REF!</v>
      </c>
      <c r="BT381" s="1989" t="e">
        <f>#REF!/10^7</f>
        <v>#REF!</v>
      </c>
      <c r="BU381" s="2002" t="e">
        <f t="shared" si="740"/>
        <v>#REF!</v>
      </c>
      <c r="BV381" s="1999" t="e">
        <f t="shared" si="853"/>
        <v>#REF!</v>
      </c>
      <c r="BW381" s="1993" t="e">
        <f>#REF!</f>
        <v>#REF!</v>
      </c>
      <c r="BX381" s="2003">
        <f t="shared" si="741"/>
        <v>0</v>
      </c>
      <c r="BY381" s="1989" t="e">
        <f>#REF!/10^7</f>
        <v>#REF!</v>
      </c>
      <c r="BZ381" s="2003">
        <f t="shared" si="742"/>
        <v>0</v>
      </c>
      <c r="CA381" s="1989" t="e">
        <f>#REF!/10^7</f>
        <v>#REF!</v>
      </c>
      <c r="CB381" s="2003">
        <f t="shared" si="743"/>
        <v>0</v>
      </c>
      <c r="CC381" s="1989" t="e">
        <f>#REF!/10^7</f>
        <v>#REF!</v>
      </c>
      <c r="CD381" s="1989" t="e">
        <f>#REF!/10^7</f>
        <v>#REF!</v>
      </c>
      <c r="CE381" s="2002" t="e">
        <f t="shared" si="744"/>
        <v>#REF!</v>
      </c>
      <c r="CF381" s="1999" t="e">
        <f t="shared" si="854"/>
        <v>#REF!</v>
      </c>
      <c r="CG381" s="1993" t="e">
        <f>#REF!</f>
        <v>#REF!</v>
      </c>
      <c r="CH381" s="2003">
        <f t="shared" si="745"/>
        <v>0</v>
      </c>
      <c r="CI381" s="1989" t="e">
        <f>#REF!/10^7</f>
        <v>#REF!</v>
      </c>
      <c r="CJ381" s="2003">
        <f t="shared" si="746"/>
        <v>0</v>
      </c>
      <c r="CK381" s="1989" t="e">
        <f>#REF!/10^7</f>
        <v>#REF!</v>
      </c>
      <c r="CL381" s="2003">
        <f t="shared" si="747"/>
        <v>0</v>
      </c>
      <c r="CM381" s="1989" t="e">
        <f>#REF!/10^7</f>
        <v>#REF!</v>
      </c>
      <c r="CN381" s="1989" t="e">
        <f>#REF!/10^7</f>
        <v>#REF!</v>
      </c>
      <c r="CO381" s="2002" t="e">
        <f t="shared" si="748"/>
        <v>#REF!</v>
      </c>
      <c r="CP381" s="1999" t="e">
        <f t="shared" si="855"/>
        <v>#REF!</v>
      </c>
      <c r="CQ381" s="1993" t="e">
        <f>#REF!</f>
        <v>#REF!</v>
      </c>
      <c r="CR381" s="2003">
        <f t="shared" si="749"/>
        <v>0</v>
      </c>
      <c r="CS381" s="1989" t="e">
        <f>#REF!/10^7</f>
        <v>#REF!</v>
      </c>
      <c r="CT381" s="2003">
        <f t="shared" si="750"/>
        <v>0</v>
      </c>
      <c r="CU381" s="1989" t="e">
        <f>#REF!/10^7</f>
        <v>#REF!</v>
      </c>
      <c r="CV381" s="2003">
        <f t="shared" si="751"/>
        <v>0</v>
      </c>
      <c r="CW381" s="1989" t="e">
        <f>#REF!/10^7</f>
        <v>#REF!</v>
      </c>
      <c r="CX381" s="1989" t="e">
        <f>#REF!/10^7</f>
        <v>#REF!</v>
      </c>
      <c r="CY381" s="2002" t="e">
        <f t="shared" si="752"/>
        <v>#REF!</v>
      </c>
      <c r="CZ381" s="1999" t="e">
        <f t="shared" si="856"/>
        <v>#REF!</v>
      </c>
      <c r="DA381" s="1993" t="e">
        <f>#REF!</f>
        <v>#REF!</v>
      </c>
      <c r="DB381" s="2003">
        <f t="shared" si="753"/>
        <v>0</v>
      </c>
      <c r="DC381" s="1989" t="e">
        <f>#REF!/10^7</f>
        <v>#REF!</v>
      </c>
      <c r="DD381" s="2003">
        <f t="shared" si="754"/>
        <v>0</v>
      </c>
      <c r="DE381" s="1989" t="e">
        <f>#REF!/10^7</f>
        <v>#REF!</v>
      </c>
      <c r="DF381" s="2003">
        <f t="shared" si="755"/>
        <v>0</v>
      </c>
      <c r="DG381" s="1989" t="e">
        <f>#REF!/10^7</f>
        <v>#REF!</v>
      </c>
      <c r="DH381" s="1989" t="e">
        <f>#REF!/10^7</f>
        <v>#REF!</v>
      </c>
      <c r="DI381" s="2002" t="e">
        <f t="shared" si="756"/>
        <v>#REF!</v>
      </c>
      <c r="DJ381" s="1999" t="e">
        <f t="shared" si="857"/>
        <v>#REF!</v>
      </c>
      <c r="DK381" s="1993" t="e">
        <f>#REF!</f>
        <v>#REF!</v>
      </c>
      <c r="DL381" s="2003">
        <f t="shared" si="757"/>
        <v>0</v>
      </c>
      <c r="DM381" s="1989" t="e">
        <f>#REF!/10^7</f>
        <v>#REF!</v>
      </c>
      <c r="DN381" s="2003">
        <f t="shared" si="758"/>
        <v>0</v>
      </c>
      <c r="DO381" s="1989" t="e">
        <f>#REF!/10^7</f>
        <v>#REF!</v>
      </c>
      <c r="DP381" s="2003">
        <f t="shared" si="759"/>
        <v>0</v>
      </c>
      <c r="DQ381" s="1989" t="e">
        <f>#REF!/10^7</f>
        <v>#REF!</v>
      </c>
      <c r="DR381" s="1989" t="e">
        <f>#REF!/10^7</f>
        <v>#REF!</v>
      </c>
      <c r="DS381" s="2002" t="e">
        <f t="shared" si="760"/>
        <v>#REF!</v>
      </c>
      <c r="DT381" s="2004" t="e">
        <f t="shared" si="858"/>
        <v>#REF!</v>
      </c>
      <c r="DU381" s="1988" t="e">
        <f>#REF!</f>
        <v>#REF!</v>
      </c>
      <c r="DV381" s="2003">
        <f t="shared" si="761"/>
        <v>0</v>
      </c>
      <c r="DW381" s="1989" t="e">
        <f>#REF!/10^7</f>
        <v>#REF!</v>
      </c>
      <c r="DX381" s="2003">
        <f t="shared" si="762"/>
        <v>0</v>
      </c>
      <c r="DY381" s="1989" t="e">
        <f>#REF!/10^7</f>
        <v>#REF!</v>
      </c>
      <c r="DZ381" s="2003">
        <f t="shared" si="763"/>
        <v>0</v>
      </c>
      <c r="EA381" s="1989" t="e">
        <f>#REF!/10^7</f>
        <v>#REF!</v>
      </c>
      <c r="EB381" s="1989" t="e">
        <f>#REF!/10^7</f>
        <v>#REF!</v>
      </c>
      <c r="EC381" s="2002" t="e">
        <f t="shared" si="764"/>
        <v>#REF!</v>
      </c>
      <c r="ED381" s="1998" t="e">
        <f t="shared" si="860"/>
        <v>#REF!</v>
      </c>
      <c r="EE381" s="2005" t="e">
        <f t="shared" si="861"/>
        <v>#REF!</v>
      </c>
      <c r="EF381" s="2003">
        <f t="shared" si="766"/>
        <v>0</v>
      </c>
      <c r="EG381" s="1989" t="e">
        <f t="shared" si="862"/>
        <v>#REF!</v>
      </c>
      <c r="EH381" s="2003">
        <f t="shared" si="767"/>
        <v>0</v>
      </c>
      <c r="EI381" s="1989" t="e">
        <f t="shared" si="863"/>
        <v>#REF!</v>
      </c>
      <c r="EJ381" s="2003">
        <f t="shared" si="768"/>
        <v>0</v>
      </c>
      <c r="EK381" s="1989" t="e">
        <f t="shared" si="864"/>
        <v>#REF!</v>
      </c>
      <c r="EL381" s="1989" t="e">
        <f t="shared" si="864"/>
        <v>#REF!</v>
      </c>
      <c r="EM381" s="2006" t="e">
        <f t="shared" si="769"/>
        <v>#REF!</v>
      </c>
      <c r="EN381" s="1999" t="e">
        <f t="shared" si="865"/>
        <v>#REF!</v>
      </c>
      <c r="EP381" s="1613" t="e">
        <f>EA381-#REF!/10^7</f>
        <v>#REF!</v>
      </c>
      <c r="EW381" s="1611" t="e">
        <v>#N/A</v>
      </c>
      <c r="EX381" s="1612" t="e">
        <v>#N/A</v>
      </c>
      <c r="EZ381" s="1650">
        <f t="shared" si="771"/>
        <v>0</v>
      </c>
    </row>
    <row r="382" spans="1:156" ht="21" customHeight="1">
      <c r="A382" s="1707" t="s">
        <v>21</v>
      </c>
      <c r="B382" s="1668" t="s">
        <v>2017</v>
      </c>
      <c r="C382" s="1662" t="s">
        <v>1594</v>
      </c>
      <c r="D382" s="1646" t="e">
        <f>H382/C382*100</f>
        <v>#VALUE!</v>
      </c>
      <c r="E382" s="1646"/>
      <c r="F382" s="1648" t="s">
        <v>1594</v>
      </c>
      <c r="G382" s="1648"/>
      <c r="H382" s="1648">
        <v>390</v>
      </c>
      <c r="I382" s="1648"/>
      <c r="J382" s="1663"/>
      <c r="K382" s="1648"/>
      <c r="L382" s="1648"/>
      <c r="M382" s="1648"/>
      <c r="N382" s="1642"/>
      <c r="O382" s="2000" t="e">
        <f>#REF!</f>
        <v>#REF!</v>
      </c>
      <c r="P382" s="2003">
        <f t="shared" si="717"/>
        <v>0</v>
      </c>
      <c r="Q382" s="1989" t="e">
        <f>#REF!/10^7</f>
        <v>#REF!</v>
      </c>
      <c r="R382" s="2003">
        <f t="shared" si="718"/>
        <v>0</v>
      </c>
      <c r="S382" s="1989" t="e">
        <f>#REF!/10^7</f>
        <v>#REF!</v>
      </c>
      <c r="T382" s="2003">
        <f t="shared" si="719"/>
        <v>0</v>
      </c>
      <c r="U382" s="1989" t="e">
        <f>#REF!/10^7</f>
        <v>#REF!</v>
      </c>
      <c r="V382" s="1989" t="e">
        <f>#REF!/10^7</f>
        <v>#REF!</v>
      </c>
      <c r="W382" s="1989">
        <f t="shared" si="720"/>
        <v>0</v>
      </c>
      <c r="X382" s="1999" t="e">
        <f t="shared" si="859"/>
        <v>#REF!</v>
      </c>
      <c r="Y382" s="1993" t="e">
        <f>#REF!</f>
        <v>#REF!</v>
      </c>
      <c r="Z382" s="2003">
        <f t="shared" si="721"/>
        <v>0</v>
      </c>
      <c r="AA382" s="1989" t="e">
        <f>#REF!/10^7</f>
        <v>#REF!</v>
      </c>
      <c r="AB382" s="2003">
        <f t="shared" si="722"/>
        <v>0</v>
      </c>
      <c r="AC382" s="1989" t="e">
        <f>#REF!/10^7</f>
        <v>#REF!</v>
      </c>
      <c r="AD382" s="2003">
        <f t="shared" si="723"/>
        <v>0</v>
      </c>
      <c r="AE382" s="1989" t="e">
        <f>#REF!/10^7</f>
        <v>#REF!</v>
      </c>
      <c r="AF382" s="1989" t="e">
        <f>#REF!/10^7</f>
        <v>#REF!</v>
      </c>
      <c r="AG382" s="2002" t="e">
        <f t="shared" si="724"/>
        <v>#REF!</v>
      </c>
      <c r="AH382" s="1999" t="e">
        <f t="shared" si="849"/>
        <v>#REF!</v>
      </c>
      <c r="AI382" s="1993" t="e">
        <f>#REF!</f>
        <v>#REF!</v>
      </c>
      <c r="AJ382" s="2003">
        <f t="shared" si="725"/>
        <v>0</v>
      </c>
      <c r="AK382" s="1989" t="e">
        <f>#REF!/10^7</f>
        <v>#REF!</v>
      </c>
      <c r="AL382" s="2003">
        <f t="shared" si="726"/>
        <v>0</v>
      </c>
      <c r="AM382" s="1989" t="e">
        <f>#REF!/10^7</f>
        <v>#REF!</v>
      </c>
      <c r="AN382" s="2003">
        <f t="shared" si="727"/>
        <v>0</v>
      </c>
      <c r="AO382" s="1989" t="e">
        <f>#REF!/10^7</f>
        <v>#REF!</v>
      </c>
      <c r="AP382" s="1989" t="e">
        <f>#REF!/10^7</f>
        <v>#REF!</v>
      </c>
      <c r="AQ382" s="2002" t="e">
        <f t="shared" si="728"/>
        <v>#REF!</v>
      </c>
      <c r="AR382" s="1999" t="e">
        <f t="shared" si="850"/>
        <v>#REF!</v>
      </c>
      <c r="AS382" s="1993" t="e">
        <f>#REF!</f>
        <v>#REF!</v>
      </c>
      <c r="AT382" s="2003">
        <f t="shared" si="729"/>
        <v>0</v>
      </c>
      <c r="AU382" s="1989" t="e">
        <f>#REF!/10^7</f>
        <v>#REF!</v>
      </c>
      <c r="AV382" s="2003">
        <f t="shared" si="730"/>
        <v>0</v>
      </c>
      <c r="AW382" s="1989" t="e">
        <f>#REF!/10^7</f>
        <v>#REF!</v>
      </c>
      <c r="AX382" s="2003">
        <f t="shared" si="731"/>
        <v>0</v>
      </c>
      <c r="AY382" s="1989" t="e">
        <f>#REF!/10^7</f>
        <v>#REF!</v>
      </c>
      <c r="AZ382" s="1989" t="e">
        <f>#REF!/10^7</f>
        <v>#REF!</v>
      </c>
      <c r="BA382" s="2002" t="e">
        <f t="shared" si="732"/>
        <v>#REF!</v>
      </c>
      <c r="BB382" s="1999" t="e">
        <f t="shared" si="851"/>
        <v>#REF!</v>
      </c>
      <c r="BC382" s="1993" t="e">
        <f>#REF!</f>
        <v>#REF!</v>
      </c>
      <c r="BD382" s="2003">
        <f t="shared" si="733"/>
        <v>0</v>
      </c>
      <c r="BE382" s="1989" t="e">
        <f>#REF!/10^7</f>
        <v>#REF!</v>
      </c>
      <c r="BF382" s="2003">
        <f t="shared" si="734"/>
        <v>0</v>
      </c>
      <c r="BG382" s="1989" t="e">
        <f>#REF!/10^7</f>
        <v>#REF!</v>
      </c>
      <c r="BH382" s="2003">
        <f t="shared" si="735"/>
        <v>0</v>
      </c>
      <c r="BI382" s="1989" t="e">
        <f>#REF!/10^7</f>
        <v>#REF!</v>
      </c>
      <c r="BJ382" s="1989" t="e">
        <f>#REF!/10^7</f>
        <v>#REF!</v>
      </c>
      <c r="BK382" s="2002" t="e">
        <f t="shared" si="736"/>
        <v>#REF!</v>
      </c>
      <c r="BL382" s="1999" t="e">
        <f t="shared" si="852"/>
        <v>#REF!</v>
      </c>
      <c r="BM382" s="1993" t="e">
        <f>#REF!</f>
        <v>#REF!</v>
      </c>
      <c r="BN382" s="2003">
        <f t="shared" si="737"/>
        <v>0</v>
      </c>
      <c r="BO382" s="1989" t="e">
        <f>#REF!/10^7</f>
        <v>#REF!</v>
      </c>
      <c r="BP382" s="2003">
        <f t="shared" si="738"/>
        <v>0</v>
      </c>
      <c r="BQ382" s="1989" t="e">
        <f>#REF!/10^7</f>
        <v>#REF!</v>
      </c>
      <c r="BR382" s="2003">
        <f t="shared" si="739"/>
        <v>0</v>
      </c>
      <c r="BS382" s="1989" t="e">
        <f>#REF!/10^7</f>
        <v>#REF!</v>
      </c>
      <c r="BT382" s="1989" t="e">
        <f>#REF!/10^7</f>
        <v>#REF!</v>
      </c>
      <c r="BU382" s="2002" t="e">
        <f t="shared" si="740"/>
        <v>#REF!</v>
      </c>
      <c r="BV382" s="1999" t="e">
        <f t="shared" si="853"/>
        <v>#REF!</v>
      </c>
      <c r="BW382" s="1993" t="e">
        <f>#REF!</f>
        <v>#REF!</v>
      </c>
      <c r="BX382" s="2003">
        <f t="shared" si="741"/>
        <v>0</v>
      </c>
      <c r="BY382" s="1989" t="e">
        <f>#REF!/10^7</f>
        <v>#REF!</v>
      </c>
      <c r="BZ382" s="2003">
        <f t="shared" si="742"/>
        <v>0</v>
      </c>
      <c r="CA382" s="1989" t="e">
        <f>#REF!/10^7</f>
        <v>#REF!</v>
      </c>
      <c r="CB382" s="2003">
        <f t="shared" si="743"/>
        <v>0</v>
      </c>
      <c r="CC382" s="1989" t="e">
        <f>#REF!/10^7</f>
        <v>#REF!</v>
      </c>
      <c r="CD382" s="1989" t="e">
        <f>#REF!/10^7</f>
        <v>#REF!</v>
      </c>
      <c r="CE382" s="2002" t="e">
        <f t="shared" si="744"/>
        <v>#REF!</v>
      </c>
      <c r="CF382" s="1999" t="e">
        <f t="shared" si="854"/>
        <v>#REF!</v>
      </c>
      <c r="CG382" s="1993" t="e">
        <f>#REF!</f>
        <v>#REF!</v>
      </c>
      <c r="CH382" s="2003">
        <f t="shared" si="745"/>
        <v>0</v>
      </c>
      <c r="CI382" s="1989" t="e">
        <f>#REF!/10^7</f>
        <v>#REF!</v>
      </c>
      <c r="CJ382" s="2003">
        <f t="shared" si="746"/>
        <v>0</v>
      </c>
      <c r="CK382" s="1989" t="e">
        <f>#REF!/10^7</f>
        <v>#REF!</v>
      </c>
      <c r="CL382" s="2003">
        <f t="shared" si="747"/>
        <v>0</v>
      </c>
      <c r="CM382" s="1989" t="e">
        <f>#REF!/10^7</f>
        <v>#REF!</v>
      </c>
      <c r="CN382" s="1989" t="e">
        <f>#REF!/10^7</f>
        <v>#REF!</v>
      </c>
      <c r="CO382" s="2002" t="e">
        <f t="shared" si="748"/>
        <v>#REF!</v>
      </c>
      <c r="CP382" s="1999" t="e">
        <f t="shared" si="855"/>
        <v>#REF!</v>
      </c>
      <c r="CQ382" s="1993" t="e">
        <f>#REF!</f>
        <v>#REF!</v>
      </c>
      <c r="CR382" s="2003">
        <f t="shared" si="749"/>
        <v>0</v>
      </c>
      <c r="CS382" s="1989" t="e">
        <f>#REF!/10^7</f>
        <v>#REF!</v>
      </c>
      <c r="CT382" s="2003">
        <f t="shared" si="750"/>
        <v>0</v>
      </c>
      <c r="CU382" s="1989" t="e">
        <f>#REF!/10^7</f>
        <v>#REF!</v>
      </c>
      <c r="CV382" s="2003">
        <f t="shared" si="751"/>
        <v>0</v>
      </c>
      <c r="CW382" s="1989" t="e">
        <f>#REF!/10^7</f>
        <v>#REF!</v>
      </c>
      <c r="CX382" s="1989" t="e">
        <f>#REF!/10^7</f>
        <v>#REF!</v>
      </c>
      <c r="CY382" s="2002" t="e">
        <f t="shared" si="752"/>
        <v>#REF!</v>
      </c>
      <c r="CZ382" s="1999" t="e">
        <f t="shared" si="856"/>
        <v>#REF!</v>
      </c>
      <c r="DA382" s="1993" t="e">
        <f>#REF!</f>
        <v>#REF!</v>
      </c>
      <c r="DB382" s="2003">
        <f t="shared" si="753"/>
        <v>0</v>
      </c>
      <c r="DC382" s="1989" t="e">
        <f>#REF!/10^7</f>
        <v>#REF!</v>
      </c>
      <c r="DD382" s="2003">
        <f t="shared" si="754"/>
        <v>0</v>
      </c>
      <c r="DE382" s="1989" t="e">
        <f>#REF!/10^7</f>
        <v>#REF!</v>
      </c>
      <c r="DF382" s="2003">
        <f t="shared" si="755"/>
        <v>0</v>
      </c>
      <c r="DG382" s="1989" t="e">
        <f>#REF!/10^7</f>
        <v>#REF!</v>
      </c>
      <c r="DH382" s="1989" t="e">
        <f>#REF!/10^7</f>
        <v>#REF!</v>
      </c>
      <c r="DI382" s="2002" t="e">
        <f t="shared" si="756"/>
        <v>#REF!</v>
      </c>
      <c r="DJ382" s="1999" t="e">
        <f t="shared" si="857"/>
        <v>#REF!</v>
      </c>
      <c r="DK382" s="1993" t="e">
        <f>#REF!</f>
        <v>#REF!</v>
      </c>
      <c r="DL382" s="2003">
        <f t="shared" si="757"/>
        <v>0</v>
      </c>
      <c r="DM382" s="1989" t="e">
        <f>#REF!/10^7</f>
        <v>#REF!</v>
      </c>
      <c r="DN382" s="2003">
        <f t="shared" si="758"/>
        <v>0</v>
      </c>
      <c r="DO382" s="1989" t="e">
        <f>#REF!/10^7</f>
        <v>#REF!</v>
      </c>
      <c r="DP382" s="2003">
        <f t="shared" si="759"/>
        <v>0</v>
      </c>
      <c r="DQ382" s="1989" t="e">
        <f>#REF!/10^7</f>
        <v>#REF!</v>
      </c>
      <c r="DR382" s="1989" t="e">
        <f>#REF!/10^7</f>
        <v>#REF!</v>
      </c>
      <c r="DS382" s="2002" t="e">
        <f t="shared" si="760"/>
        <v>#REF!</v>
      </c>
      <c r="DT382" s="2004" t="e">
        <f t="shared" si="858"/>
        <v>#REF!</v>
      </c>
      <c r="DU382" s="1988" t="e">
        <f>#REF!</f>
        <v>#REF!</v>
      </c>
      <c r="DV382" s="2003">
        <f t="shared" si="761"/>
        <v>0</v>
      </c>
      <c r="DW382" s="1989" t="e">
        <f>#REF!/10^7</f>
        <v>#REF!</v>
      </c>
      <c r="DX382" s="2003">
        <f t="shared" si="762"/>
        <v>0</v>
      </c>
      <c r="DY382" s="1989" t="e">
        <f>#REF!/10^7</f>
        <v>#REF!</v>
      </c>
      <c r="DZ382" s="2003">
        <f t="shared" si="763"/>
        <v>0</v>
      </c>
      <c r="EA382" s="1989" t="e">
        <f>#REF!/10^7</f>
        <v>#REF!</v>
      </c>
      <c r="EB382" s="1989" t="e">
        <f>#REF!/10^7</f>
        <v>#REF!</v>
      </c>
      <c r="EC382" s="2002" t="e">
        <f t="shared" si="764"/>
        <v>#REF!</v>
      </c>
      <c r="ED382" s="1998" t="e">
        <f t="shared" si="860"/>
        <v>#REF!</v>
      </c>
      <c r="EE382" s="2005" t="e">
        <f t="shared" si="861"/>
        <v>#REF!</v>
      </c>
      <c r="EF382" s="2003">
        <f t="shared" si="766"/>
        <v>0</v>
      </c>
      <c r="EG382" s="1989" t="e">
        <f t="shared" si="862"/>
        <v>#REF!</v>
      </c>
      <c r="EH382" s="2003">
        <f t="shared" si="767"/>
        <v>0</v>
      </c>
      <c r="EI382" s="1989" t="e">
        <f t="shared" si="863"/>
        <v>#REF!</v>
      </c>
      <c r="EJ382" s="2003">
        <f t="shared" si="768"/>
        <v>0</v>
      </c>
      <c r="EK382" s="1989" t="e">
        <f t="shared" si="864"/>
        <v>#REF!</v>
      </c>
      <c r="EL382" s="1989" t="e">
        <f t="shared" si="864"/>
        <v>#REF!</v>
      </c>
      <c r="EM382" s="2006" t="e">
        <f t="shared" si="769"/>
        <v>#REF!</v>
      </c>
      <c r="EN382" s="1999" t="e">
        <f t="shared" si="865"/>
        <v>#REF!</v>
      </c>
      <c r="EP382" s="1613" t="e">
        <f>EA382-#REF!/10^7</f>
        <v>#REF!</v>
      </c>
      <c r="EW382" s="1611" t="e">
        <v>#N/A</v>
      </c>
      <c r="EX382" s="1612" t="e">
        <v>#N/A</v>
      </c>
      <c r="EZ382" s="1650">
        <f t="shared" si="771"/>
        <v>0</v>
      </c>
    </row>
    <row r="383" spans="1:156" ht="21" customHeight="1">
      <c r="A383" s="1707" t="s">
        <v>24</v>
      </c>
      <c r="B383" s="1668" t="s">
        <v>2018</v>
      </c>
      <c r="C383" s="1662" t="s">
        <v>1594</v>
      </c>
      <c r="D383" s="1646" t="e">
        <f>H383/C383*100</f>
        <v>#VALUE!</v>
      </c>
      <c r="E383" s="1646"/>
      <c r="F383" s="1648" t="s">
        <v>1594</v>
      </c>
      <c r="G383" s="1648"/>
      <c r="H383" s="1648">
        <v>350</v>
      </c>
      <c r="I383" s="1648"/>
      <c r="J383" s="1663"/>
      <c r="K383" s="1648"/>
      <c r="L383" s="1648"/>
      <c r="M383" s="1648"/>
      <c r="N383" s="1642"/>
      <c r="O383" s="2000" t="e">
        <f>#REF!</f>
        <v>#REF!</v>
      </c>
      <c r="P383" s="2003">
        <f t="shared" si="717"/>
        <v>0</v>
      </c>
      <c r="Q383" s="1989" t="e">
        <f>#REF!/10^7</f>
        <v>#REF!</v>
      </c>
      <c r="R383" s="2003">
        <f t="shared" si="718"/>
        <v>0</v>
      </c>
      <c r="S383" s="1989" t="e">
        <f>#REF!/10^7</f>
        <v>#REF!</v>
      </c>
      <c r="T383" s="2003">
        <f t="shared" si="719"/>
        <v>0</v>
      </c>
      <c r="U383" s="1989" t="e">
        <f>#REF!/10^7</f>
        <v>#REF!</v>
      </c>
      <c r="V383" s="1989" t="e">
        <f>#REF!/10^7</f>
        <v>#REF!</v>
      </c>
      <c r="W383" s="1989">
        <f t="shared" si="720"/>
        <v>0</v>
      </c>
      <c r="X383" s="1999" t="e">
        <f t="shared" si="859"/>
        <v>#REF!</v>
      </c>
      <c r="Y383" s="1993" t="e">
        <f>#REF!</f>
        <v>#REF!</v>
      </c>
      <c r="Z383" s="2003">
        <f t="shared" si="721"/>
        <v>0</v>
      </c>
      <c r="AA383" s="1989" t="e">
        <f>#REF!/10^7</f>
        <v>#REF!</v>
      </c>
      <c r="AB383" s="2003">
        <f t="shared" si="722"/>
        <v>0</v>
      </c>
      <c r="AC383" s="1989" t="e">
        <f>#REF!/10^7</f>
        <v>#REF!</v>
      </c>
      <c r="AD383" s="2003">
        <f t="shared" si="723"/>
        <v>0</v>
      </c>
      <c r="AE383" s="1989" t="e">
        <f>#REF!/10^7</f>
        <v>#REF!</v>
      </c>
      <c r="AF383" s="1989" t="e">
        <f>#REF!/10^7</f>
        <v>#REF!</v>
      </c>
      <c r="AG383" s="2002" t="e">
        <f t="shared" si="724"/>
        <v>#REF!</v>
      </c>
      <c r="AH383" s="1999" t="e">
        <f t="shared" si="849"/>
        <v>#REF!</v>
      </c>
      <c r="AI383" s="1993" t="e">
        <f>#REF!</f>
        <v>#REF!</v>
      </c>
      <c r="AJ383" s="2003">
        <f t="shared" si="725"/>
        <v>0</v>
      </c>
      <c r="AK383" s="1989" t="e">
        <f>#REF!/10^7</f>
        <v>#REF!</v>
      </c>
      <c r="AL383" s="2003">
        <f t="shared" si="726"/>
        <v>0</v>
      </c>
      <c r="AM383" s="1989" t="e">
        <f>#REF!/10^7</f>
        <v>#REF!</v>
      </c>
      <c r="AN383" s="2003">
        <f t="shared" si="727"/>
        <v>0</v>
      </c>
      <c r="AO383" s="1989" t="e">
        <f>#REF!/10^7</f>
        <v>#REF!</v>
      </c>
      <c r="AP383" s="1989" t="e">
        <f>#REF!/10^7</f>
        <v>#REF!</v>
      </c>
      <c r="AQ383" s="2002" t="e">
        <f t="shared" si="728"/>
        <v>#REF!</v>
      </c>
      <c r="AR383" s="1999" t="e">
        <f t="shared" si="850"/>
        <v>#REF!</v>
      </c>
      <c r="AS383" s="1993" t="e">
        <f>#REF!</f>
        <v>#REF!</v>
      </c>
      <c r="AT383" s="2003">
        <f t="shared" si="729"/>
        <v>0</v>
      </c>
      <c r="AU383" s="1989" t="e">
        <f>#REF!/10^7</f>
        <v>#REF!</v>
      </c>
      <c r="AV383" s="2003">
        <f t="shared" si="730"/>
        <v>0</v>
      </c>
      <c r="AW383" s="1989" t="e">
        <f>#REF!/10^7</f>
        <v>#REF!</v>
      </c>
      <c r="AX383" s="2003">
        <f t="shared" si="731"/>
        <v>0</v>
      </c>
      <c r="AY383" s="1989" t="e">
        <f>#REF!/10^7</f>
        <v>#REF!</v>
      </c>
      <c r="AZ383" s="1989" t="e">
        <f>#REF!/10^7</f>
        <v>#REF!</v>
      </c>
      <c r="BA383" s="2002" t="e">
        <f t="shared" si="732"/>
        <v>#REF!</v>
      </c>
      <c r="BB383" s="1999" t="e">
        <f t="shared" si="851"/>
        <v>#REF!</v>
      </c>
      <c r="BC383" s="1993" t="e">
        <f>#REF!</f>
        <v>#REF!</v>
      </c>
      <c r="BD383" s="2003">
        <f t="shared" si="733"/>
        <v>0</v>
      </c>
      <c r="BE383" s="1989" t="e">
        <f>#REF!/10^7</f>
        <v>#REF!</v>
      </c>
      <c r="BF383" s="2003">
        <f t="shared" si="734"/>
        <v>0</v>
      </c>
      <c r="BG383" s="1989" t="e">
        <f>#REF!/10^7</f>
        <v>#REF!</v>
      </c>
      <c r="BH383" s="2003">
        <f t="shared" si="735"/>
        <v>0</v>
      </c>
      <c r="BI383" s="1989" t="e">
        <f>#REF!/10^7</f>
        <v>#REF!</v>
      </c>
      <c r="BJ383" s="1989" t="e">
        <f>#REF!/10^7</f>
        <v>#REF!</v>
      </c>
      <c r="BK383" s="2002" t="e">
        <f t="shared" si="736"/>
        <v>#REF!</v>
      </c>
      <c r="BL383" s="1999" t="e">
        <f t="shared" si="852"/>
        <v>#REF!</v>
      </c>
      <c r="BM383" s="1993" t="e">
        <f>#REF!</f>
        <v>#REF!</v>
      </c>
      <c r="BN383" s="2003">
        <f t="shared" si="737"/>
        <v>0</v>
      </c>
      <c r="BO383" s="1989" t="e">
        <f>#REF!/10^7</f>
        <v>#REF!</v>
      </c>
      <c r="BP383" s="2003">
        <f t="shared" si="738"/>
        <v>0</v>
      </c>
      <c r="BQ383" s="1989" t="e">
        <f>#REF!/10^7</f>
        <v>#REF!</v>
      </c>
      <c r="BR383" s="2003">
        <f t="shared" si="739"/>
        <v>0</v>
      </c>
      <c r="BS383" s="1989" t="e">
        <f>#REF!/10^7</f>
        <v>#REF!</v>
      </c>
      <c r="BT383" s="1989" t="e">
        <f>#REF!/10^7</f>
        <v>#REF!</v>
      </c>
      <c r="BU383" s="2002" t="e">
        <f t="shared" si="740"/>
        <v>#REF!</v>
      </c>
      <c r="BV383" s="1999" t="e">
        <f t="shared" si="853"/>
        <v>#REF!</v>
      </c>
      <c r="BW383" s="1993" t="e">
        <f>#REF!</f>
        <v>#REF!</v>
      </c>
      <c r="BX383" s="2003">
        <f t="shared" si="741"/>
        <v>0</v>
      </c>
      <c r="BY383" s="1989" t="e">
        <f>#REF!/10^7</f>
        <v>#REF!</v>
      </c>
      <c r="BZ383" s="2003">
        <f t="shared" si="742"/>
        <v>0</v>
      </c>
      <c r="CA383" s="1989" t="e">
        <f>#REF!/10^7</f>
        <v>#REF!</v>
      </c>
      <c r="CB383" s="2003">
        <f t="shared" si="743"/>
        <v>0</v>
      </c>
      <c r="CC383" s="1989" t="e">
        <f>#REF!/10^7</f>
        <v>#REF!</v>
      </c>
      <c r="CD383" s="1989" t="e">
        <f>#REF!/10^7</f>
        <v>#REF!</v>
      </c>
      <c r="CE383" s="2002" t="e">
        <f t="shared" si="744"/>
        <v>#REF!</v>
      </c>
      <c r="CF383" s="1999" t="e">
        <f t="shared" si="854"/>
        <v>#REF!</v>
      </c>
      <c r="CG383" s="1993" t="e">
        <f>#REF!</f>
        <v>#REF!</v>
      </c>
      <c r="CH383" s="2003">
        <f t="shared" si="745"/>
        <v>0</v>
      </c>
      <c r="CI383" s="1989" t="e">
        <f>#REF!/10^7</f>
        <v>#REF!</v>
      </c>
      <c r="CJ383" s="2003">
        <f t="shared" si="746"/>
        <v>0</v>
      </c>
      <c r="CK383" s="1989" t="e">
        <f>#REF!/10^7</f>
        <v>#REF!</v>
      </c>
      <c r="CL383" s="2003">
        <f t="shared" si="747"/>
        <v>0</v>
      </c>
      <c r="CM383" s="1989" t="e">
        <f>#REF!/10^7</f>
        <v>#REF!</v>
      </c>
      <c r="CN383" s="1989" t="e">
        <f>#REF!/10^7</f>
        <v>#REF!</v>
      </c>
      <c r="CO383" s="2002" t="e">
        <f t="shared" si="748"/>
        <v>#REF!</v>
      </c>
      <c r="CP383" s="1999" t="e">
        <f t="shared" si="855"/>
        <v>#REF!</v>
      </c>
      <c r="CQ383" s="1993" t="e">
        <f>#REF!</f>
        <v>#REF!</v>
      </c>
      <c r="CR383" s="2003">
        <f t="shared" si="749"/>
        <v>0</v>
      </c>
      <c r="CS383" s="1989" t="e">
        <f>#REF!/10^7</f>
        <v>#REF!</v>
      </c>
      <c r="CT383" s="2003">
        <f t="shared" si="750"/>
        <v>0</v>
      </c>
      <c r="CU383" s="1989" t="e">
        <f>#REF!/10^7</f>
        <v>#REF!</v>
      </c>
      <c r="CV383" s="2003">
        <f t="shared" si="751"/>
        <v>0</v>
      </c>
      <c r="CW383" s="1989" t="e">
        <f>#REF!/10^7</f>
        <v>#REF!</v>
      </c>
      <c r="CX383" s="1989" t="e">
        <f>#REF!/10^7</f>
        <v>#REF!</v>
      </c>
      <c r="CY383" s="2002" t="e">
        <f t="shared" si="752"/>
        <v>#REF!</v>
      </c>
      <c r="CZ383" s="1999" t="e">
        <f t="shared" si="856"/>
        <v>#REF!</v>
      </c>
      <c r="DA383" s="1993" t="e">
        <f>#REF!</f>
        <v>#REF!</v>
      </c>
      <c r="DB383" s="2003">
        <f t="shared" si="753"/>
        <v>0</v>
      </c>
      <c r="DC383" s="1989" t="e">
        <f>#REF!/10^7</f>
        <v>#REF!</v>
      </c>
      <c r="DD383" s="2003">
        <f t="shared" si="754"/>
        <v>0</v>
      </c>
      <c r="DE383" s="1989" t="e">
        <f>#REF!/10^7</f>
        <v>#REF!</v>
      </c>
      <c r="DF383" s="2003">
        <f t="shared" si="755"/>
        <v>0</v>
      </c>
      <c r="DG383" s="1989" t="e">
        <f>#REF!/10^7</f>
        <v>#REF!</v>
      </c>
      <c r="DH383" s="1989" t="e">
        <f>#REF!/10^7</f>
        <v>#REF!</v>
      </c>
      <c r="DI383" s="2002" t="e">
        <f t="shared" si="756"/>
        <v>#REF!</v>
      </c>
      <c r="DJ383" s="1999" t="e">
        <f t="shared" si="857"/>
        <v>#REF!</v>
      </c>
      <c r="DK383" s="1993" t="e">
        <f>#REF!</f>
        <v>#REF!</v>
      </c>
      <c r="DL383" s="2003">
        <f t="shared" si="757"/>
        <v>0</v>
      </c>
      <c r="DM383" s="1989" t="e">
        <f>#REF!/10^7</f>
        <v>#REF!</v>
      </c>
      <c r="DN383" s="2003">
        <f t="shared" si="758"/>
        <v>0</v>
      </c>
      <c r="DO383" s="1989" t="e">
        <f>#REF!/10^7</f>
        <v>#REF!</v>
      </c>
      <c r="DP383" s="2003">
        <f t="shared" si="759"/>
        <v>0</v>
      </c>
      <c r="DQ383" s="1989" t="e">
        <f>#REF!/10^7</f>
        <v>#REF!</v>
      </c>
      <c r="DR383" s="1989" t="e">
        <f>#REF!/10^7</f>
        <v>#REF!</v>
      </c>
      <c r="DS383" s="2002" t="e">
        <f t="shared" si="760"/>
        <v>#REF!</v>
      </c>
      <c r="DT383" s="2004" t="e">
        <f t="shared" si="858"/>
        <v>#REF!</v>
      </c>
      <c r="DU383" s="1988" t="e">
        <f>#REF!</f>
        <v>#REF!</v>
      </c>
      <c r="DV383" s="2003">
        <f t="shared" si="761"/>
        <v>0</v>
      </c>
      <c r="DW383" s="1989" t="e">
        <f>#REF!/10^7</f>
        <v>#REF!</v>
      </c>
      <c r="DX383" s="2003">
        <f t="shared" si="762"/>
        <v>0</v>
      </c>
      <c r="DY383" s="1989" t="e">
        <f>#REF!/10^7</f>
        <v>#REF!</v>
      </c>
      <c r="DZ383" s="2003">
        <f t="shared" si="763"/>
        <v>0</v>
      </c>
      <c r="EA383" s="1989" t="e">
        <f>#REF!/10^7</f>
        <v>#REF!</v>
      </c>
      <c r="EB383" s="1989" t="e">
        <f>#REF!/10^7</f>
        <v>#REF!</v>
      </c>
      <c r="EC383" s="2002" t="e">
        <f t="shared" si="764"/>
        <v>#REF!</v>
      </c>
      <c r="ED383" s="1998" t="e">
        <f t="shared" si="860"/>
        <v>#REF!</v>
      </c>
      <c r="EE383" s="2005" t="e">
        <f t="shared" si="861"/>
        <v>#REF!</v>
      </c>
      <c r="EF383" s="2003">
        <f t="shared" si="766"/>
        <v>0</v>
      </c>
      <c r="EG383" s="1989" t="e">
        <f t="shared" si="862"/>
        <v>#REF!</v>
      </c>
      <c r="EH383" s="2003">
        <f t="shared" si="767"/>
        <v>0</v>
      </c>
      <c r="EI383" s="1989" t="e">
        <f t="shared" si="863"/>
        <v>#REF!</v>
      </c>
      <c r="EJ383" s="2003">
        <f t="shared" si="768"/>
        <v>0</v>
      </c>
      <c r="EK383" s="1989" t="e">
        <f t="shared" si="864"/>
        <v>#REF!</v>
      </c>
      <c r="EL383" s="1989" t="e">
        <f t="shared" si="864"/>
        <v>#REF!</v>
      </c>
      <c r="EM383" s="2006" t="e">
        <f t="shared" si="769"/>
        <v>#REF!</v>
      </c>
      <c r="EN383" s="1999" t="e">
        <f t="shared" si="865"/>
        <v>#REF!</v>
      </c>
      <c r="EP383" s="1613" t="e">
        <f>EA383-#REF!/10^7</f>
        <v>#REF!</v>
      </c>
      <c r="EW383" s="1611" t="e">
        <v>#N/A</v>
      </c>
      <c r="EX383" s="1612" t="e">
        <v>#N/A</v>
      </c>
      <c r="EZ383" s="1650">
        <f t="shared" si="771"/>
        <v>0</v>
      </c>
    </row>
    <row r="384" spans="1:156" ht="21" customHeight="1">
      <c r="A384" s="1707"/>
      <c r="B384" s="1668"/>
      <c r="C384" s="1662"/>
      <c r="D384" s="1648"/>
      <c r="E384" s="1648"/>
      <c r="F384" s="1648"/>
      <c r="G384" s="1648"/>
      <c r="H384" s="1648"/>
      <c r="I384" s="1648"/>
      <c r="J384" s="1663"/>
      <c r="K384" s="1648"/>
      <c r="L384" s="1648"/>
      <c r="M384" s="1648"/>
      <c r="N384" s="1642"/>
      <c r="O384" s="2000"/>
      <c r="P384" s="2003">
        <f t="shared" si="717"/>
        <v>0</v>
      </c>
      <c r="Q384" s="1989"/>
      <c r="R384" s="2003">
        <f t="shared" si="718"/>
        <v>0</v>
      </c>
      <c r="S384" s="1989"/>
      <c r="T384" s="2003">
        <f t="shared" si="719"/>
        <v>0</v>
      </c>
      <c r="U384" s="1989"/>
      <c r="V384" s="1989"/>
      <c r="W384" s="1989">
        <f t="shared" si="720"/>
        <v>0</v>
      </c>
      <c r="X384" s="1999">
        <f t="shared" si="859"/>
        <v>0</v>
      </c>
      <c r="Y384" s="1993"/>
      <c r="Z384" s="2003">
        <f t="shared" si="721"/>
        <v>0</v>
      </c>
      <c r="AA384" s="1989"/>
      <c r="AB384" s="2003">
        <f t="shared" si="722"/>
        <v>0</v>
      </c>
      <c r="AC384" s="1989"/>
      <c r="AD384" s="2003">
        <f t="shared" si="723"/>
        <v>0</v>
      </c>
      <c r="AE384" s="1989"/>
      <c r="AF384" s="1989"/>
      <c r="AG384" s="2002">
        <f t="shared" si="724"/>
        <v>0</v>
      </c>
      <c r="AH384" s="1999">
        <f t="shared" si="849"/>
        <v>0</v>
      </c>
      <c r="AI384" s="1993"/>
      <c r="AJ384" s="2003">
        <f t="shared" si="725"/>
        <v>0</v>
      </c>
      <c r="AK384" s="1989"/>
      <c r="AL384" s="2003">
        <f t="shared" si="726"/>
        <v>0</v>
      </c>
      <c r="AM384" s="1989"/>
      <c r="AN384" s="2003">
        <f t="shared" si="727"/>
        <v>0</v>
      </c>
      <c r="AO384" s="1989"/>
      <c r="AP384" s="1989"/>
      <c r="AQ384" s="2002">
        <f t="shared" si="728"/>
        <v>0</v>
      </c>
      <c r="AR384" s="1999">
        <f t="shared" si="850"/>
        <v>0</v>
      </c>
      <c r="AS384" s="1993"/>
      <c r="AT384" s="2003">
        <f t="shared" si="729"/>
        <v>0</v>
      </c>
      <c r="AU384" s="1989"/>
      <c r="AV384" s="2003">
        <f t="shared" si="730"/>
        <v>0</v>
      </c>
      <c r="AW384" s="1989"/>
      <c r="AX384" s="2003">
        <f t="shared" si="731"/>
        <v>0</v>
      </c>
      <c r="AY384" s="1989"/>
      <c r="AZ384" s="1989"/>
      <c r="BA384" s="2002">
        <f t="shared" si="732"/>
        <v>0</v>
      </c>
      <c r="BB384" s="1999">
        <f t="shared" si="851"/>
        <v>0</v>
      </c>
      <c r="BC384" s="1993"/>
      <c r="BD384" s="2003">
        <f t="shared" si="733"/>
        <v>0</v>
      </c>
      <c r="BE384" s="1989"/>
      <c r="BF384" s="2003">
        <f t="shared" si="734"/>
        <v>0</v>
      </c>
      <c r="BG384" s="1989"/>
      <c r="BH384" s="2003">
        <f t="shared" si="735"/>
        <v>0</v>
      </c>
      <c r="BI384" s="1989"/>
      <c r="BJ384" s="1989"/>
      <c r="BK384" s="2002">
        <f t="shared" si="736"/>
        <v>0</v>
      </c>
      <c r="BL384" s="1999">
        <f t="shared" si="852"/>
        <v>0</v>
      </c>
      <c r="BM384" s="1993"/>
      <c r="BN384" s="2003">
        <f t="shared" si="737"/>
        <v>0</v>
      </c>
      <c r="BO384" s="1989"/>
      <c r="BP384" s="2003">
        <f t="shared" si="738"/>
        <v>0</v>
      </c>
      <c r="BQ384" s="1989"/>
      <c r="BR384" s="2003">
        <f t="shared" si="739"/>
        <v>0</v>
      </c>
      <c r="BS384" s="1989"/>
      <c r="BT384" s="1989"/>
      <c r="BU384" s="2002">
        <f t="shared" si="740"/>
        <v>0</v>
      </c>
      <c r="BV384" s="1999">
        <f t="shared" si="853"/>
        <v>0</v>
      </c>
      <c r="BW384" s="1993"/>
      <c r="BX384" s="2003">
        <f t="shared" si="741"/>
        <v>0</v>
      </c>
      <c r="BY384" s="1989"/>
      <c r="BZ384" s="2003">
        <f t="shared" si="742"/>
        <v>0</v>
      </c>
      <c r="CA384" s="1989"/>
      <c r="CB384" s="2003">
        <f t="shared" si="743"/>
        <v>0</v>
      </c>
      <c r="CC384" s="1989"/>
      <c r="CD384" s="1989"/>
      <c r="CE384" s="2002">
        <f t="shared" si="744"/>
        <v>0</v>
      </c>
      <c r="CF384" s="1999">
        <f t="shared" si="854"/>
        <v>0</v>
      </c>
      <c r="CG384" s="1993"/>
      <c r="CH384" s="2003">
        <f t="shared" si="745"/>
        <v>0</v>
      </c>
      <c r="CI384" s="1989"/>
      <c r="CJ384" s="2003">
        <f t="shared" si="746"/>
        <v>0</v>
      </c>
      <c r="CK384" s="1989"/>
      <c r="CL384" s="2003">
        <f t="shared" si="747"/>
        <v>0</v>
      </c>
      <c r="CM384" s="1989"/>
      <c r="CN384" s="1989"/>
      <c r="CO384" s="2002">
        <f t="shared" si="748"/>
        <v>0</v>
      </c>
      <c r="CP384" s="1999">
        <f t="shared" si="855"/>
        <v>0</v>
      </c>
      <c r="CQ384" s="1993"/>
      <c r="CR384" s="2003">
        <f t="shared" si="749"/>
        <v>0</v>
      </c>
      <c r="CS384" s="1989"/>
      <c r="CT384" s="2003">
        <f t="shared" si="750"/>
        <v>0</v>
      </c>
      <c r="CU384" s="1989"/>
      <c r="CV384" s="2003">
        <f t="shared" si="751"/>
        <v>0</v>
      </c>
      <c r="CW384" s="1989"/>
      <c r="CX384" s="1989"/>
      <c r="CY384" s="2002">
        <f t="shared" si="752"/>
        <v>0</v>
      </c>
      <c r="CZ384" s="1999">
        <f t="shared" si="856"/>
        <v>0</v>
      </c>
      <c r="DA384" s="1993"/>
      <c r="DB384" s="2003">
        <f t="shared" si="753"/>
        <v>0</v>
      </c>
      <c r="DC384" s="1989"/>
      <c r="DD384" s="2003">
        <f t="shared" si="754"/>
        <v>0</v>
      </c>
      <c r="DE384" s="1989"/>
      <c r="DF384" s="2003">
        <f t="shared" si="755"/>
        <v>0</v>
      </c>
      <c r="DG384" s="1989"/>
      <c r="DH384" s="1989"/>
      <c r="DI384" s="2002">
        <f t="shared" si="756"/>
        <v>0</v>
      </c>
      <c r="DJ384" s="1999">
        <f t="shared" si="857"/>
        <v>0</v>
      </c>
      <c r="DK384" s="1993"/>
      <c r="DL384" s="2003">
        <f t="shared" si="757"/>
        <v>0</v>
      </c>
      <c r="DM384" s="1989"/>
      <c r="DN384" s="2003">
        <f t="shared" si="758"/>
        <v>0</v>
      </c>
      <c r="DO384" s="1989"/>
      <c r="DP384" s="2003">
        <f t="shared" si="759"/>
        <v>0</v>
      </c>
      <c r="DQ384" s="1989"/>
      <c r="DR384" s="1989"/>
      <c r="DS384" s="2002">
        <f t="shared" si="760"/>
        <v>0</v>
      </c>
      <c r="DT384" s="1999">
        <f t="shared" si="858"/>
        <v>0</v>
      </c>
      <c r="DU384" s="2031"/>
      <c r="DV384" s="2003">
        <f t="shared" si="761"/>
        <v>0</v>
      </c>
      <c r="DW384" s="1989"/>
      <c r="DX384" s="2003">
        <f t="shared" si="762"/>
        <v>0</v>
      </c>
      <c r="DY384" s="1989"/>
      <c r="DZ384" s="2003">
        <f t="shared" si="763"/>
        <v>0</v>
      </c>
      <c r="EA384" s="1989"/>
      <c r="EB384" s="1989"/>
      <c r="EC384" s="2002">
        <f t="shared" si="764"/>
        <v>0</v>
      </c>
      <c r="ED384" s="1999">
        <f t="shared" si="860"/>
        <v>0</v>
      </c>
      <c r="EE384" s="2032">
        <f t="shared" si="861"/>
        <v>0</v>
      </c>
      <c r="EF384" s="2003">
        <f t="shared" si="766"/>
        <v>0</v>
      </c>
      <c r="EG384" s="1989">
        <f t="shared" si="862"/>
        <v>0</v>
      </c>
      <c r="EH384" s="2003">
        <f t="shared" si="767"/>
        <v>0</v>
      </c>
      <c r="EI384" s="1989">
        <f t="shared" si="863"/>
        <v>0</v>
      </c>
      <c r="EJ384" s="2003">
        <f t="shared" si="768"/>
        <v>0</v>
      </c>
      <c r="EK384" s="1989">
        <f t="shared" si="864"/>
        <v>0</v>
      </c>
      <c r="EL384" s="1989">
        <f t="shared" si="864"/>
        <v>0</v>
      </c>
      <c r="EM384" s="2006">
        <f t="shared" si="769"/>
        <v>0</v>
      </c>
      <c r="EN384" s="1999">
        <f t="shared" si="865"/>
        <v>0</v>
      </c>
      <c r="EP384" s="1613" t="e">
        <f>EA384-#REF!/10^7</f>
        <v>#REF!</v>
      </c>
      <c r="EW384" s="1611" t="e">
        <v>#N/A</v>
      </c>
      <c r="EX384" s="1612" t="e">
        <v>#N/A</v>
      </c>
      <c r="EZ384" s="1650">
        <f t="shared" si="771"/>
        <v>0</v>
      </c>
    </row>
    <row r="385" spans="1:156" ht="21" customHeight="1">
      <c r="A385" s="1707"/>
      <c r="B385" s="1668"/>
      <c r="C385" s="1662"/>
      <c r="D385" s="1648"/>
      <c r="E385" s="1648"/>
      <c r="F385" s="1648"/>
      <c r="G385" s="1648"/>
      <c r="H385" s="1648"/>
      <c r="I385" s="1648"/>
      <c r="J385" s="1663"/>
      <c r="K385" s="1648"/>
      <c r="L385" s="1648"/>
      <c r="M385" s="1648"/>
      <c r="N385" s="1642"/>
      <c r="O385" s="2000"/>
      <c r="P385" s="2003">
        <f t="shared" si="717"/>
        <v>0</v>
      </c>
      <c r="Q385" s="1989"/>
      <c r="R385" s="2003">
        <f t="shared" si="718"/>
        <v>0</v>
      </c>
      <c r="S385" s="1989"/>
      <c r="T385" s="2003">
        <f t="shared" si="719"/>
        <v>0</v>
      </c>
      <c r="U385" s="1989"/>
      <c r="V385" s="1989"/>
      <c r="W385" s="1989">
        <f t="shared" si="720"/>
        <v>0</v>
      </c>
      <c r="X385" s="1999">
        <f t="shared" si="859"/>
        <v>0</v>
      </c>
      <c r="Y385" s="1993"/>
      <c r="Z385" s="2003">
        <f t="shared" si="721"/>
        <v>0</v>
      </c>
      <c r="AA385" s="1989"/>
      <c r="AB385" s="2003">
        <f t="shared" si="722"/>
        <v>0</v>
      </c>
      <c r="AC385" s="1989"/>
      <c r="AD385" s="2003">
        <f t="shared" si="723"/>
        <v>0</v>
      </c>
      <c r="AE385" s="1989"/>
      <c r="AF385" s="1989"/>
      <c r="AG385" s="2002">
        <f t="shared" si="724"/>
        <v>0</v>
      </c>
      <c r="AH385" s="1999">
        <f t="shared" si="849"/>
        <v>0</v>
      </c>
      <c r="AI385" s="1993"/>
      <c r="AJ385" s="2003">
        <f t="shared" si="725"/>
        <v>0</v>
      </c>
      <c r="AK385" s="1989"/>
      <c r="AL385" s="2003">
        <f t="shared" si="726"/>
        <v>0</v>
      </c>
      <c r="AM385" s="1989"/>
      <c r="AN385" s="2003">
        <f t="shared" si="727"/>
        <v>0</v>
      </c>
      <c r="AO385" s="1989"/>
      <c r="AP385" s="1989"/>
      <c r="AQ385" s="2002">
        <f t="shared" si="728"/>
        <v>0</v>
      </c>
      <c r="AR385" s="1999">
        <f t="shared" si="850"/>
        <v>0</v>
      </c>
      <c r="AS385" s="1993"/>
      <c r="AT385" s="2003">
        <f t="shared" si="729"/>
        <v>0</v>
      </c>
      <c r="AU385" s="1989"/>
      <c r="AV385" s="2003">
        <f t="shared" si="730"/>
        <v>0</v>
      </c>
      <c r="AW385" s="1989"/>
      <c r="AX385" s="2003">
        <f t="shared" si="731"/>
        <v>0</v>
      </c>
      <c r="AY385" s="1989"/>
      <c r="AZ385" s="1989"/>
      <c r="BA385" s="2002">
        <f t="shared" si="732"/>
        <v>0</v>
      </c>
      <c r="BB385" s="1999">
        <f t="shared" si="851"/>
        <v>0</v>
      </c>
      <c r="BC385" s="1993"/>
      <c r="BD385" s="2003">
        <f t="shared" si="733"/>
        <v>0</v>
      </c>
      <c r="BE385" s="1989"/>
      <c r="BF385" s="2003">
        <f t="shared" si="734"/>
        <v>0</v>
      </c>
      <c r="BG385" s="1989"/>
      <c r="BH385" s="2003">
        <f t="shared" si="735"/>
        <v>0</v>
      </c>
      <c r="BI385" s="1989"/>
      <c r="BJ385" s="1989"/>
      <c r="BK385" s="2002">
        <f t="shared" si="736"/>
        <v>0</v>
      </c>
      <c r="BL385" s="1999">
        <f t="shared" si="852"/>
        <v>0</v>
      </c>
      <c r="BM385" s="1993"/>
      <c r="BN385" s="2003">
        <f t="shared" si="737"/>
        <v>0</v>
      </c>
      <c r="BO385" s="1989"/>
      <c r="BP385" s="2003">
        <f t="shared" si="738"/>
        <v>0</v>
      </c>
      <c r="BQ385" s="1989"/>
      <c r="BR385" s="2003">
        <f t="shared" si="739"/>
        <v>0</v>
      </c>
      <c r="BS385" s="1989"/>
      <c r="BT385" s="1989"/>
      <c r="BU385" s="2002">
        <f t="shared" si="740"/>
        <v>0</v>
      </c>
      <c r="BV385" s="1999">
        <f t="shared" si="853"/>
        <v>0</v>
      </c>
      <c r="BW385" s="1993"/>
      <c r="BX385" s="2003">
        <f t="shared" si="741"/>
        <v>0</v>
      </c>
      <c r="BY385" s="1989"/>
      <c r="BZ385" s="2003">
        <f t="shared" si="742"/>
        <v>0</v>
      </c>
      <c r="CA385" s="1989"/>
      <c r="CB385" s="2003">
        <f t="shared" si="743"/>
        <v>0</v>
      </c>
      <c r="CC385" s="1989"/>
      <c r="CD385" s="1989"/>
      <c r="CE385" s="2002">
        <f t="shared" si="744"/>
        <v>0</v>
      </c>
      <c r="CF385" s="1999">
        <f t="shared" si="854"/>
        <v>0</v>
      </c>
      <c r="CG385" s="1993"/>
      <c r="CH385" s="2003">
        <f t="shared" si="745"/>
        <v>0</v>
      </c>
      <c r="CI385" s="1989"/>
      <c r="CJ385" s="2003">
        <f t="shared" si="746"/>
        <v>0</v>
      </c>
      <c r="CK385" s="1989"/>
      <c r="CL385" s="2003">
        <f t="shared" si="747"/>
        <v>0</v>
      </c>
      <c r="CM385" s="1989"/>
      <c r="CN385" s="1989"/>
      <c r="CO385" s="2002">
        <f t="shared" si="748"/>
        <v>0</v>
      </c>
      <c r="CP385" s="1999">
        <f t="shared" si="855"/>
        <v>0</v>
      </c>
      <c r="CQ385" s="1993"/>
      <c r="CR385" s="2003">
        <f t="shared" si="749"/>
        <v>0</v>
      </c>
      <c r="CS385" s="1989"/>
      <c r="CT385" s="2003">
        <f t="shared" si="750"/>
        <v>0</v>
      </c>
      <c r="CU385" s="1989"/>
      <c r="CV385" s="2003">
        <f t="shared" si="751"/>
        <v>0</v>
      </c>
      <c r="CW385" s="1989"/>
      <c r="CX385" s="1989"/>
      <c r="CY385" s="2002">
        <f t="shared" si="752"/>
        <v>0</v>
      </c>
      <c r="CZ385" s="1999">
        <f t="shared" si="856"/>
        <v>0</v>
      </c>
      <c r="DA385" s="1993"/>
      <c r="DB385" s="2003">
        <f t="shared" si="753"/>
        <v>0</v>
      </c>
      <c r="DC385" s="1989"/>
      <c r="DD385" s="2003">
        <f t="shared" si="754"/>
        <v>0</v>
      </c>
      <c r="DE385" s="1989"/>
      <c r="DF385" s="2003">
        <f t="shared" si="755"/>
        <v>0</v>
      </c>
      <c r="DG385" s="1989"/>
      <c r="DH385" s="1989"/>
      <c r="DI385" s="2002">
        <f t="shared" si="756"/>
        <v>0</v>
      </c>
      <c r="DJ385" s="1999">
        <f t="shared" si="857"/>
        <v>0</v>
      </c>
      <c r="DK385" s="1993"/>
      <c r="DL385" s="2003">
        <f t="shared" si="757"/>
        <v>0</v>
      </c>
      <c r="DM385" s="1989"/>
      <c r="DN385" s="2003">
        <f t="shared" si="758"/>
        <v>0</v>
      </c>
      <c r="DO385" s="1989"/>
      <c r="DP385" s="2003">
        <f t="shared" si="759"/>
        <v>0</v>
      </c>
      <c r="DQ385" s="1989"/>
      <c r="DR385" s="1989"/>
      <c r="DS385" s="2002">
        <f t="shared" si="760"/>
        <v>0</v>
      </c>
      <c r="DT385" s="1999">
        <f t="shared" si="858"/>
        <v>0</v>
      </c>
      <c r="DU385" s="2031"/>
      <c r="DV385" s="2003">
        <f t="shared" si="761"/>
        <v>0</v>
      </c>
      <c r="DW385" s="1989"/>
      <c r="DX385" s="2003">
        <f t="shared" si="762"/>
        <v>0</v>
      </c>
      <c r="DY385" s="1989"/>
      <c r="DZ385" s="2003">
        <f t="shared" si="763"/>
        <v>0</v>
      </c>
      <c r="EA385" s="1989"/>
      <c r="EB385" s="1989"/>
      <c r="EC385" s="2002">
        <f t="shared" si="764"/>
        <v>0</v>
      </c>
      <c r="ED385" s="1999">
        <f t="shared" si="860"/>
        <v>0</v>
      </c>
      <c r="EE385" s="2032">
        <f t="shared" si="861"/>
        <v>0</v>
      </c>
      <c r="EF385" s="2003">
        <f t="shared" si="766"/>
        <v>0</v>
      </c>
      <c r="EG385" s="1989">
        <f t="shared" si="862"/>
        <v>0</v>
      </c>
      <c r="EH385" s="2003">
        <f t="shared" si="767"/>
        <v>0</v>
      </c>
      <c r="EI385" s="1989">
        <f t="shared" si="863"/>
        <v>0</v>
      </c>
      <c r="EJ385" s="2003">
        <f t="shared" si="768"/>
        <v>0</v>
      </c>
      <c r="EK385" s="1989">
        <f t="shared" si="864"/>
        <v>0</v>
      </c>
      <c r="EL385" s="1989">
        <f t="shared" si="864"/>
        <v>0</v>
      </c>
      <c r="EM385" s="2006">
        <f t="shared" si="769"/>
        <v>0</v>
      </c>
      <c r="EN385" s="1999">
        <f t="shared" si="865"/>
        <v>0</v>
      </c>
      <c r="EP385" s="1613" t="e">
        <f>EA385-#REF!/10^7</f>
        <v>#REF!</v>
      </c>
      <c r="EW385" s="1611" t="e">
        <v>#N/A</v>
      </c>
      <c r="EX385" s="1612" t="e">
        <v>#N/A</v>
      </c>
      <c r="EZ385" s="1650">
        <f t="shared" si="771"/>
        <v>0</v>
      </c>
    </row>
    <row r="386" spans="1:156" ht="21" customHeight="1">
      <c r="A386" s="1707"/>
      <c r="B386" s="1668"/>
      <c r="C386" s="1662"/>
      <c r="D386" s="1648"/>
      <c r="E386" s="1648"/>
      <c r="F386" s="1648"/>
      <c r="G386" s="1648"/>
      <c r="H386" s="1648"/>
      <c r="I386" s="1648"/>
      <c r="J386" s="1663"/>
      <c r="K386" s="1648"/>
      <c r="L386" s="1648"/>
      <c r="M386" s="1648"/>
      <c r="N386" s="1642"/>
      <c r="O386" s="2000"/>
      <c r="P386" s="2003">
        <f t="shared" si="717"/>
        <v>0</v>
      </c>
      <c r="Q386" s="1989"/>
      <c r="R386" s="2003">
        <f t="shared" si="718"/>
        <v>0</v>
      </c>
      <c r="S386" s="1989"/>
      <c r="T386" s="2003">
        <f t="shared" si="719"/>
        <v>0</v>
      </c>
      <c r="U386" s="1989"/>
      <c r="V386" s="1989"/>
      <c r="W386" s="1989">
        <f t="shared" si="720"/>
        <v>0</v>
      </c>
      <c r="X386" s="1999">
        <f t="shared" si="859"/>
        <v>0</v>
      </c>
      <c r="Y386" s="1993"/>
      <c r="Z386" s="2003">
        <f t="shared" si="721"/>
        <v>0</v>
      </c>
      <c r="AA386" s="1989"/>
      <c r="AB386" s="2003">
        <f t="shared" si="722"/>
        <v>0</v>
      </c>
      <c r="AC386" s="1989"/>
      <c r="AD386" s="2003">
        <f t="shared" si="723"/>
        <v>0</v>
      </c>
      <c r="AE386" s="1989"/>
      <c r="AF386" s="1989"/>
      <c r="AG386" s="2002">
        <f t="shared" si="724"/>
        <v>0</v>
      </c>
      <c r="AH386" s="1999">
        <f t="shared" si="849"/>
        <v>0</v>
      </c>
      <c r="AI386" s="1993"/>
      <c r="AJ386" s="2003">
        <f t="shared" si="725"/>
        <v>0</v>
      </c>
      <c r="AK386" s="1989"/>
      <c r="AL386" s="2003">
        <f t="shared" si="726"/>
        <v>0</v>
      </c>
      <c r="AM386" s="1989"/>
      <c r="AN386" s="2003">
        <f t="shared" si="727"/>
        <v>0</v>
      </c>
      <c r="AO386" s="1989"/>
      <c r="AP386" s="1989"/>
      <c r="AQ386" s="2002">
        <f t="shared" si="728"/>
        <v>0</v>
      </c>
      <c r="AR386" s="1999">
        <f t="shared" si="850"/>
        <v>0</v>
      </c>
      <c r="AS386" s="1993"/>
      <c r="AT386" s="2003">
        <f t="shared" si="729"/>
        <v>0</v>
      </c>
      <c r="AU386" s="1989"/>
      <c r="AV386" s="2003">
        <f t="shared" si="730"/>
        <v>0</v>
      </c>
      <c r="AW386" s="1989"/>
      <c r="AX386" s="2003">
        <f t="shared" si="731"/>
        <v>0</v>
      </c>
      <c r="AY386" s="1989"/>
      <c r="AZ386" s="1989"/>
      <c r="BA386" s="2002">
        <f t="shared" si="732"/>
        <v>0</v>
      </c>
      <c r="BB386" s="1999">
        <f t="shared" si="851"/>
        <v>0</v>
      </c>
      <c r="BC386" s="1993"/>
      <c r="BD386" s="2003">
        <f t="shared" si="733"/>
        <v>0</v>
      </c>
      <c r="BE386" s="1989"/>
      <c r="BF386" s="2003">
        <f t="shared" si="734"/>
        <v>0</v>
      </c>
      <c r="BG386" s="1989"/>
      <c r="BH386" s="2003">
        <f t="shared" si="735"/>
        <v>0</v>
      </c>
      <c r="BI386" s="1989"/>
      <c r="BJ386" s="1989"/>
      <c r="BK386" s="2002">
        <f t="shared" si="736"/>
        <v>0</v>
      </c>
      <c r="BL386" s="1999">
        <f t="shared" si="852"/>
        <v>0</v>
      </c>
      <c r="BM386" s="1993"/>
      <c r="BN386" s="2003">
        <f t="shared" si="737"/>
        <v>0</v>
      </c>
      <c r="BO386" s="1989"/>
      <c r="BP386" s="2003">
        <f t="shared" si="738"/>
        <v>0</v>
      </c>
      <c r="BQ386" s="1989"/>
      <c r="BR386" s="2003">
        <f t="shared" si="739"/>
        <v>0</v>
      </c>
      <c r="BS386" s="1989"/>
      <c r="BT386" s="1989"/>
      <c r="BU386" s="2002">
        <f t="shared" si="740"/>
        <v>0</v>
      </c>
      <c r="BV386" s="1999">
        <f t="shared" si="853"/>
        <v>0</v>
      </c>
      <c r="BW386" s="1993"/>
      <c r="BX386" s="2003">
        <f t="shared" si="741"/>
        <v>0</v>
      </c>
      <c r="BY386" s="1989"/>
      <c r="BZ386" s="2003">
        <f t="shared" si="742"/>
        <v>0</v>
      </c>
      <c r="CA386" s="1989"/>
      <c r="CB386" s="2003">
        <f t="shared" si="743"/>
        <v>0</v>
      </c>
      <c r="CC386" s="1989"/>
      <c r="CD386" s="1989"/>
      <c r="CE386" s="2002">
        <f t="shared" si="744"/>
        <v>0</v>
      </c>
      <c r="CF386" s="1999">
        <f t="shared" si="854"/>
        <v>0</v>
      </c>
      <c r="CG386" s="1993"/>
      <c r="CH386" s="2003">
        <f t="shared" si="745"/>
        <v>0</v>
      </c>
      <c r="CI386" s="1989"/>
      <c r="CJ386" s="2003">
        <f t="shared" si="746"/>
        <v>0</v>
      </c>
      <c r="CK386" s="1989"/>
      <c r="CL386" s="2003">
        <f t="shared" si="747"/>
        <v>0</v>
      </c>
      <c r="CM386" s="1989"/>
      <c r="CN386" s="1989"/>
      <c r="CO386" s="2002">
        <f t="shared" si="748"/>
        <v>0</v>
      </c>
      <c r="CP386" s="1999">
        <f t="shared" si="855"/>
        <v>0</v>
      </c>
      <c r="CQ386" s="1993"/>
      <c r="CR386" s="2003">
        <f t="shared" si="749"/>
        <v>0</v>
      </c>
      <c r="CS386" s="1989"/>
      <c r="CT386" s="2003">
        <f t="shared" si="750"/>
        <v>0</v>
      </c>
      <c r="CU386" s="1989"/>
      <c r="CV386" s="2003">
        <f t="shared" si="751"/>
        <v>0</v>
      </c>
      <c r="CW386" s="1989"/>
      <c r="CX386" s="1989"/>
      <c r="CY386" s="2002">
        <f t="shared" si="752"/>
        <v>0</v>
      </c>
      <c r="CZ386" s="1999">
        <f t="shared" si="856"/>
        <v>0</v>
      </c>
      <c r="DA386" s="1993"/>
      <c r="DB386" s="2003">
        <f t="shared" si="753"/>
        <v>0</v>
      </c>
      <c r="DC386" s="1989"/>
      <c r="DD386" s="2003">
        <f t="shared" si="754"/>
        <v>0</v>
      </c>
      <c r="DE386" s="1989"/>
      <c r="DF386" s="2003">
        <f t="shared" si="755"/>
        <v>0</v>
      </c>
      <c r="DG386" s="1989"/>
      <c r="DH386" s="1989"/>
      <c r="DI386" s="2002">
        <f t="shared" si="756"/>
        <v>0</v>
      </c>
      <c r="DJ386" s="1999">
        <f t="shared" si="857"/>
        <v>0</v>
      </c>
      <c r="DK386" s="1993"/>
      <c r="DL386" s="2003">
        <f t="shared" si="757"/>
        <v>0</v>
      </c>
      <c r="DM386" s="1989"/>
      <c r="DN386" s="2003">
        <f t="shared" si="758"/>
        <v>0</v>
      </c>
      <c r="DO386" s="1989"/>
      <c r="DP386" s="2003">
        <f t="shared" si="759"/>
        <v>0</v>
      </c>
      <c r="DQ386" s="1989"/>
      <c r="DR386" s="1989"/>
      <c r="DS386" s="2002">
        <f t="shared" si="760"/>
        <v>0</v>
      </c>
      <c r="DT386" s="1999">
        <f t="shared" si="858"/>
        <v>0</v>
      </c>
      <c r="DU386" s="2031"/>
      <c r="DV386" s="2003">
        <f t="shared" si="761"/>
        <v>0</v>
      </c>
      <c r="DW386" s="1989"/>
      <c r="DX386" s="2003">
        <f t="shared" si="762"/>
        <v>0</v>
      </c>
      <c r="DY386" s="1989"/>
      <c r="DZ386" s="2003">
        <f t="shared" si="763"/>
        <v>0</v>
      </c>
      <c r="EA386" s="1989"/>
      <c r="EB386" s="1989"/>
      <c r="EC386" s="2002">
        <f t="shared" si="764"/>
        <v>0</v>
      </c>
      <c r="ED386" s="1999">
        <f t="shared" si="860"/>
        <v>0</v>
      </c>
      <c r="EE386" s="2032">
        <f t="shared" si="861"/>
        <v>0</v>
      </c>
      <c r="EF386" s="2003">
        <f t="shared" si="766"/>
        <v>0</v>
      </c>
      <c r="EG386" s="1989">
        <f t="shared" si="862"/>
        <v>0</v>
      </c>
      <c r="EH386" s="2003">
        <f t="shared" si="767"/>
        <v>0</v>
      </c>
      <c r="EI386" s="1989">
        <f t="shared" si="863"/>
        <v>0</v>
      </c>
      <c r="EJ386" s="2003">
        <f t="shared" si="768"/>
        <v>0</v>
      </c>
      <c r="EK386" s="1989">
        <f t="shared" si="864"/>
        <v>0</v>
      </c>
      <c r="EL386" s="1989">
        <f t="shared" si="864"/>
        <v>0</v>
      </c>
      <c r="EM386" s="2006">
        <f t="shared" si="769"/>
        <v>0</v>
      </c>
      <c r="EN386" s="1999">
        <f t="shared" si="865"/>
        <v>0</v>
      </c>
      <c r="EP386" s="1613" t="e">
        <f>EA386-#REF!/10^7</f>
        <v>#REF!</v>
      </c>
      <c r="EW386" s="1611" t="e">
        <v>#N/A</v>
      </c>
      <c r="EX386" s="1612" t="e">
        <v>#N/A</v>
      </c>
      <c r="EZ386" s="1650">
        <f t="shared" si="771"/>
        <v>0</v>
      </c>
    </row>
    <row r="387" spans="1:156" s="1660" customFormat="1" ht="21" customHeight="1">
      <c r="A387" s="2021"/>
      <c r="B387" s="1654" t="s">
        <v>1855</v>
      </c>
      <c r="C387" s="1655"/>
      <c r="D387" s="1656"/>
      <c r="E387" s="1656"/>
      <c r="F387" s="1656"/>
      <c r="G387" s="1656"/>
      <c r="H387" s="1656"/>
      <c r="I387" s="1656"/>
      <c r="J387" s="1657"/>
      <c r="K387" s="1656"/>
      <c r="L387" s="1656"/>
      <c r="M387" s="1656"/>
      <c r="N387" s="1658"/>
      <c r="O387" s="2007" t="e">
        <f>SUM(O380:O386)</f>
        <v>#REF!</v>
      </c>
      <c r="P387" s="2003">
        <f t="shared" si="717"/>
        <v>0</v>
      </c>
      <c r="Q387" s="1826" t="e">
        <f>SUM(Q380:Q386)</f>
        <v>#REF!</v>
      </c>
      <c r="R387" s="2003">
        <f t="shared" si="718"/>
        <v>0</v>
      </c>
      <c r="S387" s="1826" t="e">
        <f>SUM(S380:S386)</f>
        <v>#REF!</v>
      </c>
      <c r="T387" s="2003">
        <f t="shared" si="719"/>
        <v>0</v>
      </c>
      <c r="U387" s="1826" t="e">
        <f>SUM(U380:U386)</f>
        <v>#REF!</v>
      </c>
      <c r="V387" s="1826"/>
      <c r="W387" s="1989">
        <f t="shared" si="720"/>
        <v>0</v>
      </c>
      <c r="X387" s="2008" t="e">
        <f>SUM(X380:X383)</f>
        <v>#REF!</v>
      </c>
      <c r="Y387" s="2007" t="e">
        <f>SUM(Y380:Y386)</f>
        <v>#REF!</v>
      </c>
      <c r="Z387" s="2003">
        <f t="shared" si="721"/>
        <v>0</v>
      </c>
      <c r="AA387" s="1826" t="e">
        <f>SUM(AA380:AA386)</f>
        <v>#REF!</v>
      </c>
      <c r="AB387" s="2003">
        <f t="shared" si="722"/>
        <v>0</v>
      </c>
      <c r="AC387" s="1826" t="e">
        <f>SUM(AC380:AC386)</f>
        <v>#REF!</v>
      </c>
      <c r="AD387" s="2003">
        <f t="shared" si="723"/>
        <v>0</v>
      </c>
      <c r="AE387" s="1826" t="e">
        <f>SUM(AE380:AE386)</f>
        <v>#REF!</v>
      </c>
      <c r="AF387" s="1826" t="e">
        <f>SUM(AF380:AF386)</f>
        <v>#REF!</v>
      </c>
      <c r="AG387" s="2002" t="e">
        <f t="shared" si="724"/>
        <v>#REF!</v>
      </c>
      <c r="AH387" s="2008" t="e">
        <f t="shared" ref="AH387:AP387" si="866">SUM(AH380:AH386)</f>
        <v>#REF!</v>
      </c>
      <c r="AI387" s="2007" t="e">
        <f t="shared" si="866"/>
        <v>#REF!</v>
      </c>
      <c r="AJ387" s="2003">
        <f t="shared" si="725"/>
        <v>0</v>
      </c>
      <c r="AK387" s="1826" t="e">
        <f t="shared" si="866"/>
        <v>#REF!</v>
      </c>
      <c r="AL387" s="2003">
        <f t="shared" si="726"/>
        <v>0</v>
      </c>
      <c r="AM387" s="1826" t="e">
        <f t="shared" si="866"/>
        <v>#REF!</v>
      </c>
      <c r="AN387" s="2003">
        <f t="shared" si="727"/>
        <v>0</v>
      </c>
      <c r="AO387" s="1826" t="e">
        <f t="shared" si="866"/>
        <v>#REF!</v>
      </c>
      <c r="AP387" s="1826" t="e">
        <f t="shared" si="866"/>
        <v>#REF!</v>
      </c>
      <c r="AQ387" s="2002" t="e">
        <f t="shared" si="728"/>
        <v>#REF!</v>
      </c>
      <c r="AR387" s="2008" t="e">
        <f t="shared" ref="AR387:AZ387" si="867">SUM(AR380:AR386)</f>
        <v>#REF!</v>
      </c>
      <c r="AS387" s="2007" t="e">
        <f t="shared" si="867"/>
        <v>#REF!</v>
      </c>
      <c r="AT387" s="2003">
        <f t="shared" si="729"/>
        <v>0</v>
      </c>
      <c r="AU387" s="1826" t="e">
        <f t="shared" si="867"/>
        <v>#REF!</v>
      </c>
      <c r="AV387" s="2003">
        <f t="shared" si="730"/>
        <v>0</v>
      </c>
      <c r="AW387" s="1826" t="e">
        <f t="shared" si="867"/>
        <v>#REF!</v>
      </c>
      <c r="AX387" s="2003">
        <f t="shared" si="731"/>
        <v>0</v>
      </c>
      <c r="AY387" s="1826" t="e">
        <f t="shared" si="867"/>
        <v>#REF!</v>
      </c>
      <c r="AZ387" s="1826" t="e">
        <f t="shared" si="867"/>
        <v>#REF!</v>
      </c>
      <c r="BA387" s="2002" t="e">
        <f t="shared" si="732"/>
        <v>#REF!</v>
      </c>
      <c r="BB387" s="2008" t="e">
        <f t="shared" ref="BB387:BJ387" si="868">SUM(BB380:BB386)</f>
        <v>#REF!</v>
      </c>
      <c r="BC387" s="2007" t="e">
        <f t="shared" si="868"/>
        <v>#REF!</v>
      </c>
      <c r="BD387" s="2003">
        <f t="shared" si="733"/>
        <v>0</v>
      </c>
      <c r="BE387" s="1826" t="e">
        <f t="shared" si="868"/>
        <v>#REF!</v>
      </c>
      <c r="BF387" s="2003">
        <f t="shared" si="734"/>
        <v>0</v>
      </c>
      <c r="BG387" s="1826" t="e">
        <f t="shared" si="868"/>
        <v>#REF!</v>
      </c>
      <c r="BH387" s="2003">
        <f t="shared" si="735"/>
        <v>0</v>
      </c>
      <c r="BI387" s="1826" t="e">
        <f t="shared" si="868"/>
        <v>#REF!</v>
      </c>
      <c r="BJ387" s="1826" t="e">
        <f t="shared" si="868"/>
        <v>#REF!</v>
      </c>
      <c r="BK387" s="2002" t="e">
        <f t="shared" si="736"/>
        <v>#REF!</v>
      </c>
      <c r="BL387" s="2008" t="e">
        <f t="shared" ref="BL387:BT387" si="869">SUM(BL380:BL386)</f>
        <v>#REF!</v>
      </c>
      <c r="BM387" s="2007" t="e">
        <f t="shared" si="869"/>
        <v>#REF!</v>
      </c>
      <c r="BN387" s="2003">
        <f t="shared" si="737"/>
        <v>0</v>
      </c>
      <c r="BO387" s="1826" t="e">
        <f t="shared" si="869"/>
        <v>#REF!</v>
      </c>
      <c r="BP387" s="2003">
        <f t="shared" si="738"/>
        <v>0</v>
      </c>
      <c r="BQ387" s="1826" t="e">
        <f t="shared" si="869"/>
        <v>#REF!</v>
      </c>
      <c r="BR387" s="2003">
        <f t="shared" si="739"/>
        <v>0</v>
      </c>
      <c r="BS387" s="1826" t="e">
        <f t="shared" si="869"/>
        <v>#REF!</v>
      </c>
      <c r="BT387" s="1826" t="e">
        <f t="shared" si="869"/>
        <v>#REF!</v>
      </c>
      <c r="BU387" s="2002" t="e">
        <f t="shared" si="740"/>
        <v>#REF!</v>
      </c>
      <c r="BV387" s="2008" t="e">
        <f t="shared" ref="BV387:CD387" si="870">SUM(BV380:BV386)</f>
        <v>#REF!</v>
      </c>
      <c r="BW387" s="2007" t="e">
        <f t="shared" si="870"/>
        <v>#REF!</v>
      </c>
      <c r="BX387" s="2003">
        <f t="shared" si="741"/>
        <v>0</v>
      </c>
      <c r="BY387" s="1826" t="e">
        <f t="shared" si="870"/>
        <v>#REF!</v>
      </c>
      <c r="BZ387" s="2003">
        <f t="shared" si="742"/>
        <v>0</v>
      </c>
      <c r="CA387" s="1826" t="e">
        <f t="shared" si="870"/>
        <v>#REF!</v>
      </c>
      <c r="CB387" s="2003">
        <f t="shared" si="743"/>
        <v>0</v>
      </c>
      <c r="CC387" s="1826" t="e">
        <f t="shared" si="870"/>
        <v>#REF!</v>
      </c>
      <c r="CD387" s="1826" t="e">
        <f t="shared" si="870"/>
        <v>#REF!</v>
      </c>
      <c r="CE387" s="2002" t="e">
        <f t="shared" si="744"/>
        <v>#REF!</v>
      </c>
      <c r="CF387" s="2008" t="e">
        <f t="shared" ref="CF387:CN387" si="871">SUM(CF380:CF386)</f>
        <v>#REF!</v>
      </c>
      <c r="CG387" s="2007" t="e">
        <f t="shared" si="871"/>
        <v>#REF!</v>
      </c>
      <c r="CH387" s="2003">
        <f t="shared" si="745"/>
        <v>0</v>
      </c>
      <c r="CI387" s="1826" t="e">
        <f t="shared" si="871"/>
        <v>#REF!</v>
      </c>
      <c r="CJ387" s="2003">
        <f t="shared" si="746"/>
        <v>0</v>
      </c>
      <c r="CK387" s="1826" t="e">
        <f t="shared" si="871"/>
        <v>#REF!</v>
      </c>
      <c r="CL387" s="2003">
        <f t="shared" si="747"/>
        <v>0</v>
      </c>
      <c r="CM387" s="1826" t="e">
        <f t="shared" si="871"/>
        <v>#REF!</v>
      </c>
      <c r="CN387" s="1826" t="e">
        <f t="shared" si="871"/>
        <v>#REF!</v>
      </c>
      <c r="CO387" s="2002" t="e">
        <f t="shared" si="748"/>
        <v>#REF!</v>
      </c>
      <c r="CP387" s="2008" t="e">
        <f t="shared" ref="CP387:CX387" si="872">SUM(CP380:CP386)</f>
        <v>#REF!</v>
      </c>
      <c r="CQ387" s="2007" t="e">
        <f t="shared" si="872"/>
        <v>#REF!</v>
      </c>
      <c r="CR387" s="2003">
        <f t="shared" si="749"/>
        <v>0</v>
      </c>
      <c r="CS387" s="1826" t="e">
        <f t="shared" si="872"/>
        <v>#REF!</v>
      </c>
      <c r="CT387" s="2003">
        <f t="shared" si="750"/>
        <v>0</v>
      </c>
      <c r="CU387" s="1826" t="e">
        <f t="shared" si="872"/>
        <v>#REF!</v>
      </c>
      <c r="CV387" s="2003">
        <f t="shared" si="751"/>
        <v>0</v>
      </c>
      <c r="CW387" s="1826" t="e">
        <f t="shared" si="872"/>
        <v>#REF!</v>
      </c>
      <c r="CX387" s="1826" t="e">
        <f t="shared" si="872"/>
        <v>#REF!</v>
      </c>
      <c r="CY387" s="2002" t="e">
        <f t="shared" si="752"/>
        <v>#REF!</v>
      </c>
      <c r="CZ387" s="2008" t="e">
        <f t="shared" ref="CZ387:DH387" si="873">SUM(CZ380:CZ386)</f>
        <v>#REF!</v>
      </c>
      <c r="DA387" s="2007" t="e">
        <f t="shared" si="873"/>
        <v>#REF!</v>
      </c>
      <c r="DB387" s="2003">
        <f t="shared" si="753"/>
        <v>0</v>
      </c>
      <c r="DC387" s="1826" t="e">
        <f t="shared" si="873"/>
        <v>#REF!</v>
      </c>
      <c r="DD387" s="2003">
        <f t="shared" si="754"/>
        <v>0</v>
      </c>
      <c r="DE387" s="1826" t="e">
        <f t="shared" si="873"/>
        <v>#REF!</v>
      </c>
      <c r="DF387" s="2003">
        <f t="shared" si="755"/>
        <v>0</v>
      </c>
      <c r="DG387" s="1826" t="e">
        <f t="shared" si="873"/>
        <v>#REF!</v>
      </c>
      <c r="DH387" s="1826" t="e">
        <f t="shared" si="873"/>
        <v>#REF!</v>
      </c>
      <c r="DI387" s="2002" t="e">
        <f t="shared" si="756"/>
        <v>#REF!</v>
      </c>
      <c r="DJ387" s="2008" t="e">
        <f t="shared" ref="DJ387:DR387" si="874">SUM(DJ380:DJ386)</f>
        <v>#REF!</v>
      </c>
      <c r="DK387" s="2007" t="e">
        <f t="shared" si="874"/>
        <v>#REF!</v>
      </c>
      <c r="DL387" s="2003">
        <f t="shared" si="757"/>
        <v>0</v>
      </c>
      <c r="DM387" s="1826" t="e">
        <f t="shared" si="874"/>
        <v>#REF!</v>
      </c>
      <c r="DN387" s="2003">
        <f t="shared" si="758"/>
        <v>0</v>
      </c>
      <c r="DO387" s="1826" t="e">
        <f t="shared" si="874"/>
        <v>#REF!</v>
      </c>
      <c r="DP387" s="2003">
        <f t="shared" si="759"/>
        <v>0</v>
      </c>
      <c r="DQ387" s="1826" t="e">
        <f t="shared" si="874"/>
        <v>#REF!</v>
      </c>
      <c r="DR387" s="1826" t="e">
        <f t="shared" si="874"/>
        <v>#REF!</v>
      </c>
      <c r="DS387" s="2002" t="e">
        <f t="shared" si="760"/>
        <v>#REF!</v>
      </c>
      <c r="DT387" s="2008" t="e">
        <f>SUM(DT380:DT386)</f>
        <v>#REF!</v>
      </c>
      <c r="DU387" s="2033" t="e">
        <f>SUM(DU380:DU383)</f>
        <v>#REF!</v>
      </c>
      <c r="DV387" s="2003">
        <f t="shared" si="761"/>
        <v>0</v>
      </c>
      <c r="DW387" s="1826" t="e">
        <f>SUM(DW380:DW383)</f>
        <v>#REF!</v>
      </c>
      <c r="DX387" s="2003">
        <f t="shared" si="762"/>
        <v>0</v>
      </c>
      <c r="DY387" s="1826" t="e">
        <f>SUM(DY380:DY383)</f>
        <v>#REF!</v>
      </c>
      <c r="DZ387" s="2003">
        <f t="shared" si="763"/>
        <v>0</v>
      </c>
      <c r="EA387" s="1826" t="e">
        <f>SUM(EA380:EA383)</f>
        <v>#REF!</v>
      </c>
      <c r="EB387" s="1826" t="e">
        <f>SUM(EB380:EB383)</f>
        <v>#REF!</v>
      </c>
      <c r="EC387" s="2002" t="e">
        <f t="shared" si="764"/>
        <v>#REF!</v>
      </c>
      <c r="ED387" s="2008" t="e">
        <f>SUM(ED380:ED383)</f>
        <v>#REF!</v>
      </c>
      <c r="EE387" s="2034" t="e">
        <f>SUM(EE380:EE386)</f>
        <v>#REF!</v>
      </c>
      <c r="EF387" s="2003">
        <f t="shared" si="766"/>
        <v>0</v>
      </c>
      <c r="EG387" s="1826" t="e">
        <f t="shared" ref="EG387:EN387" si="875">SUM(EG380:EG386)</f>
        <v>#REF!</v>
      </c>
      <c r="EH387" s="2003">
        <f t="shared" si="767"/>
        <v>0</v>
      </c>
      <c r="EI387" s="1826" t="e">
        <f t="shared" si="875"/>
        <v>#REF!</v>
      </c>
      <c r="EJ387" s="2003">
        <f t="shared" si="768"/>
        <v>0</v>
      </c>
      <c r="EK387" s="1826" t="e">
        <f t="shared" si="875"/>
        <v>#REF!</v>
      </c>
      <c r="EL387" s="1826" t="e">
        <f t="shared" si="875"/>
        <v>#REF!</v>
      </c>
      <c r="EM387" s="2006" t="e">
        <f t="shared" si="769"/>
        <v>#REF!</v>
      </c>
      <c r="EN387" s="2008" t="e">
        <f t="shared" si="875"/>
        <v>#REF!</v>
      </c>
      <c r="EO387" s="1659"/>
      <c r="EP387" s="1613" t="e">
        <f>EA387-#REF!/10^7</f>
        <v>#REF!</v>
      </c>
      <c r="EQ387" s="1661"/>
      <c r="EW387" s="1611" t="e">
        <v>#N/A</v>
      </c>
      <c r="EX387" s="1612" t="e">
        <v>#N/A</v>
      </c>
      <c r="EZ387" s="1650">
        <f t="shared" si="771"/>
        <v>0</v>
      </c>
    </row>
    <row r="388" spans="1:156" ht="21" customHeight="1">
      <c r="A388" s="1707"/>
      <c r="B388" s="1668"/>
      <c r="C388" s="1662"/>
      <c r="D388" s="1648"/>
      <c r="E388" s="1648"/>
      <c r="F388" s="1648"/>
      <c r="G388" s="1648"/>
      <c r="H388" s="1648"/>
      <c r="I388" s="1648"/>
      <c r="J388" s="1663"/>
      <c r="K388" s="1648"/>
      <c r="L388" s="1648"/>
      <c r="M388" s="1648"/>
      <c r="N388" s="1642"/>
      <c r="O388" s="2000"/>
      <c r="P388" s="2003">
        <f t="shared" si="717"/>
        <v>0</v>
      </c>
      <c r="Q388" s="1989"/>
      <c r="R388" s="2003">
        <f t="shared" si="718"/>
        <v>0</v>
      </c>
      <c r="S388" s="1989"/>
      <c r="T388" s="2003">
        <f t="shared" si="719"/>
        <v>0</v>
      </c>
      <c r="U388" s="1989"/>
      <c r="V388" s="1989"/>
      <c r="W388" s="1989">
        <f t="shared" si="720"/>
        <v>0</v>
      </c>
      <c r="X388" s="1999"/>
      <c r="Y388" s="1993"/>
      <c r="Z388" s="2003">
        <f t="shared" si="721"/>
        <v>0</v>
      </c>
      <c r="AA388" s="1989"/>
      <c r="AB388" s="2003">
        <f t="shared" si="722"/>
        <v>0</v>
      </c>
      <c r="AC388" s="1989"/>
      <c r="AD388" s="2003">
        <f t="shared" si="723"/>
        <v>0</v>
      </c>
      <c r="AE388" s="1989"/>
      <c r="AF388" s="1989"/>
      <c r="AG388" s="2002">
        <f t="shared" si="724"/>
        <v>0</v>
      </c>
      <c r="AH388" s="1999">
        <f>AA388+AC388+AE388+AF388</f>
        <v>0</v>
      </c>
      <c r="AI388" s="1993"/>
      <c r="AJ388" s="2003">
        <f t="shared" si="725"/>
        <v>0</v>
      </c>
      <c r="AK388" s="1989"/>
      <c r="AL388" s="2003">
        <f t="shared" si="726"/>
        <v>0</v>
      </c>
      <c r="AM388" s="1989"/>
      <c r="AN388" s="2003">
        <f t="shared" si="727"/>
        <v>0</v>
      </c>
      <c r="AO388" s="1989"/>
      <c r="AP388" s="1989"/>
      <c r="AQ388" s="2002">
        <f t="shared" si="728"/>
        <v>0</v>
      </c>
      <c r="AR388" s="1999">
        <f>AK388+AM388+AO388+AP388</f>
        <v>0</v>
      </c>
      <c r="AS388" s="1993"/>
      <c r="AT388" s="2003">
        <f t="shared" si="729"/>
        <v>0</v>
      </c>
      <c r="AU388" s="1989"/>
      <c r="AV388" s="2003">
        <f t="shared" si="730"/>
        <v>0</v>
      </c>
      <c r="AW388" s="1989"/>
      <c r="AX388" s="2003">
        <f t="shared" si="731"/>
        <v>0</v>
      </c>
      <c r="AY388" s="1989"/>
      <c r="AZ388" s="1989"/>
      <c r="BA388" s="2002">
        <f t="shared" si="732"/>
        <v>0</v>
      </c>
      <c r="BB388" s="1999">
        <f>AU388+AW388+AY388+AZ388</f>
        <v>0</v>
      </c>
      <c r="BC388" s="1993"/>
      <c r="BD388" s="2003">
        <f t="shared" si="733"/>
        <v>0</v>
      </c>
      <c r="BE388" s="1989"/>
      <c r="BF388" s="2003">
        <f t="shared" si="734"/>
        <v>0</v>
      </c>
      <c r="BG388" s="1989"/>
      <c r="BH388" s="2003">
        <f t="shared" si="735"/>
        <v>0</v>
      </c>
      <c r="BI388" s="1989"/>
      <c r="BJ388" s="1989"/>
      <c r="BK388" s="2002">
        <f t="shared" si="736"/>
        <v>0</v>
      </c>
      <c r="BL388" s="1999">
        <f>BE388+BG388+BI388+BJ388</f>
        <v>0</v>
      </c>
      <c r="BM388" s="1993"/>
      <c r="BN388" s="2003">
        <f t="shared" si="737"/>
        <v>0</v>
      </c>
      <c r="BO388" s="1989"/>
      <c r="BP388" s="2003">
        <f t="shared" si="738"/>
        <v>0</v>
      </c>
      <c r="BQ388" s="1989"/>
      <c r="BR388" s="2003">
        <f t="shared" si="739"/>
        <v>0</v>
      </c>
      <c r="BS388" s="1989"/>
      <c r="BT388" s="1989"/>
      <c r="BU388" s="2002">
        <f t="shared" si="740"/>
        <v>0</v>
      </c>
      <c r="BV388" s="1999">
        <f>BO388+BQ388+BS388+BT388</f>
        <v>0</v>
      </c>
      <c r="BW388" s="1993"/>
      <c r="BX388" s="2003">
        <f t="shared" si="741"/>
        <v>0</v>
      </c>
      <c r="BY388" s="1989"/>
      <c r="BZ388" s="2003">
        <f t="shared" si="742"/>
        <v>0</v>
      </c>
      <c r="CA388" s="1989"/>
      <c r="CB388" s="2003">
        <f t="shared" si="743"/>
        <v>0</v>
      </c>
      <c r="CC388" s="1989"/>
      <c r="CD388" s="1989"/>
      <c r="CE388" s="2002">
        <f t="shared" si="744"/>
        <v>0</v>
      </c>
      <c r="CF388" s="1999">
        <f>BY388+CA388+CC388+CD388</f>
        <v>0</v>
      </c>
      <c r="CG388" s="1993"/>
      <c r="CH388" s="2003">
        <f t="shared" si="745"/>
        <v>0</v>
      </c>
      <c r="CI388" s="1989"/>
      <c r="CJ388" s="2003">
        <f t="shared" si="746"/>
        <v>0</v>
      </c>
      <c r="CK388" s="1989"/>
      <c r="CL388" s="2003">
        <f t="shared" si="747"/>
        <v>0</v>
      </c>
      <c r="CM388" s="1989"/>
      <c r="CN388" s="1989"/>
      <c r="CO388" s="2002">
        <f t="shared" si="748"/>
        <v>0</v>
      </c>
      <c r="CP388" s="1999">
        <f>CI388+CK388+CM388+CN388</f>
        <v>0</v>
      </c>
      <c r="CQ388" s="1993"/>
      <c r="CR388" s="2003">
        <f t="shared" si="749"/>
        <v>0</v>
      </c>
      <c r="CS388" s="1989"/>
      <c r="CT388" s="2003">
        <f t="shared" si="750"/>
        <v>0</v>
      </c>
      <c r="CU388" s="1989"/>
      <c r="CV388" s="2003">
        <f t="shared" si="751"/>
        <v>0</v>
      </c>
      <c r="CW388" s="1989"/>
      <c r="CX388" s="1989"/>
      <c r="CY388" s="2002">
        <f t="shared" si="752"/>
        <v>0</v>
      </c>
      <c r="CZ388" s="1999">
        <f>CS388+CU388+CW388+CX388</f>
        <v>0</v>
      </c>
      <c r="DA388" s="1993"/>
      <c r="DB388" s="2003">
        <f t="shared" si="753"/>
        <v>0</v>
      </c>
      <c r="DC388" s="1989"/>
      <c r="DD388" s="2003">
        <f t="shared" si="754"/>
        <v>0</v>
      </c>
      <c r="DE388" s="1989"/>
      <c r="DF388" s="2003">
        <f t="shared" si="755"/>
        <v>0</v>
      </c>
      <c r="DG388" s="1989"/>
      <c r="DH388" s="1989"/>
      <c r="DI388" s="2002">
        <f t="shared" si="756"/>
        <v>0</v>
      </c>
      <c r="DJ388" s="1999">
        <f>DC388+DE388+DG388+DH388</f>
        <v>0</v>
      </c>
      <c r="DK388" s="1993"/>
      <c r="DL388" s="2003">
        <f t="shared" si="757"/>
        <v>0</v>
      </c>
      <c r="DM388" s="1989"/>
      <c r="DN388" s="2003">
        <f t="shared" si="758"/>
        <v>0</v>
      </c>
      <c r="DO388" s="1989"/>
      <c r="DP388" s="2003">
        <f t="shared" si="759"/>
        <v>0</v>
      </c>
      <c r="DQ388" s="1989"/>
      <c r="DR388" s="1989"/>
      <c r="DS388" s="2002">
        <f t="shared" si="760"/>
        <v>0</v>
      </c>
      <c r="DT388" s="1999">
        <f>DM388+DO388+DQ388+DR388</f>
        <v>0</v>
      </c>
      <c r="DU388" s="2031"/>
      <c r="DV388" s="2003">
        <f t="shared" si="761"/>
        <v>0</v>
      </c>
      <c r="DW388" s="1989"/>
      <c r="DX388" s="2003">
        <f t="shared" si="762"/>
        <v>0</v>
      </c>
      <c r="DY388" s="1989"/>
      <c r="DZ388" s="2003">
        <f t="shared" si="763"/>
        <v>0</v>
      </c>
      <c r="EA388" s="1989"/>
      <c r="EB388" s="1989"/>
      <c r="EC388" s="2002">
        <f t="shared" si="764"/>
        <v>0</v>
      </c>
      <c r="ED388" s="1999"/>
      <c r="EE388" s="2032"/>
      <c r="EF388" s="2003">
        <f t="shared" si="766"/>
        <v>0</v>
      </c>
      <c r="EG388" s="1989"/>
      <c r="EH388" s="2003">
        <f t="shared" si="767"/>
        <v>0</v>
      </c>
      <c r="EI388" s="1989"/>
      <c r="EJ388" s="2003">
        <f t="shared" si="768"/>
        <v>0</v>
      </c>
      <c r="EK388" s="1989"/>
      <c r="EL388" s="1989"/>
      <c r="EM388" s="2006">
        <f t="shared" si="769"/>
        <v>0</v>
      </c>
      <c r="EN388" s="1999"/>
      <c r="EP388" s="1613" t="e">
        <f>EA388-#REF!/10^7</f>
        <v>#REF!</v>
      </c>
      <c r="EW388" s="1611" t="e">
        <v>#N/A</v>
      </c>
      <c r="EX388" s="1612" t="e">
        <v>#N/A</v>
      </c>
      <c r="EZ388" s="1650">
        <f t="shared" si="771"/>
        <v>0</v>
      </c>
    </row>
    <row r="389" spans="1:156" ht="21" customHeight="1">
      <c r="A389" s="1652"/>
      <c r="B389" s="1706"/>
      <c r="C389" s="1662"/>
      <c r="D389" s="1648"/>
      <c r="E389" s="1648"/>
      <c r="F389" s="1648"/>
      <c r="G389" s="1648"/>
      <c r="H389" s="1648"/>
      <c r="I389" s="1648"/>
      <c r="J389" s="1663"/>
      <c r="K389" s="1648"/>
      <c r="L389" s="1648"/>
      <c r="M389" s="1648"/>
      <c r="N389" s="1642"/>
      <c r="O389" s="2000"/>
      <c r="P389" s="2003">
        <f t="shared" si="717"/>
        <v>0</v>
      </c>
      <c r="Q389" s="1989"/>
      <c r="R389" s="2003">
        <f t="shared" si="718"/>
        <v>0</v>
      </c>
      <c r="S389" s="1989"/>
      <c r="T389" s="2003">
        <f t="shared" si="719"/>
        <v>0</v>
      </c>
      <c r="U389" s="1989"/>
      <c r="V389" s="1989"/>
      <c r="W389" s="1989">
        <f t="shared" si="720"/>
        <v>0</v>
      </c>
      <c r="X389" s="1999">
        <f>Q389+S389+U389+V389</f>
        <v>0</v>
      </c>
      <c r="Y389" s="1993"/>
      <c r="Z389" s="2003">
        <f t="shared" si="721"/>
        <v>0</v>
      </c>
      <c r="AA389" s="1989"/>
      <c r="AB389" s="2003">
        <f t="shared" si="722"/>
        <v>0</v>
      </c>
      <c r="AC389" s="1989"/>
      <c r="AD389" s="2003">
        <f t="shared" si="723"/>
        <v>0</v>
      </c>
      <c r="AE389" s="1989"/>
      <c r="AF389" s="1989"/>
      <c r="AG389" s="2002">
        <f t="shared" si="724"/>
        <v>0</v>
      </c>
      <c r="AH389" s="1999">
        <f>AA389+AC389+AE389+AF389</f>
        <v>0</v>
      </c>
      <c r="AI389" s="1993"/>
      <c r="AJ389" s="2003">
        <f t="shared" si="725"/>
        <v>0</v>
      </c>
      <c r="AK389" s="1989"/>
      <c r="AL389" s="2003">
        <f t="shared" si="726"/>
        <v>0</v>
      </c>
      <c r="AM389" s="1989"/>
      <c r="AN389" s="2003">
        <f t="shared" si="727"/>
        <v>0</v>
      </c>
      <c r="AO389" s="1989"/>
      <c r="AP389" s="1989"/>
      <c r="AQ389" s="2002">
        <f t="shared" si="728"/>
        <v>0</v>
      </c>
      <c r="AR389" s="1999">
        <f>AK389+AM389+AO389+AP389</f>
        <v>0</v>
      </c>
      <c r="AS389" s="1993"/>
      <c r="AT389" s="2003">
        <f t="shared" si="729"/>
        <v>0</v>
      </c>
      <c r="AU389" s="1989"/>
      <c r="AV389" s="2003">
        <f t="shared" si="730"/>
        <v>0</v>
      </c>
      <c r="AW389" s="1989"/>
      <c r="AX389" s="2003">
        <f t="shared" si="731"/>
        <v>0</v>
      </c>
      <c r="AY389" s="1989"/>
      <c r="AZ389" s="1989"/>
      <c r="BA389" s="2002">
        <f t="shared" si="732"/>
        <v>0</v>
      </c>
      <c r="BB389" s="1999">
        <f>AU389+AW389+AY389+AZ389</f>
        <v>0</v>
      </c>
      <c r="BC389" s="1993"/>
      <c r="BD389" s="2003">
        <f t="shared" si="733"/>
        <v>0</v>
      </c>
      <c r="BE389" s="1989"/>
      <c r="BF389" s="2003">
        <f t="shared" si="734"/>
        <v>0</v>
      </c>
      <c r="BG389" s="1989"/>
      <c r="BH389" s="2003">
        <f t="shared" si="735"/>
        <v>0</v>
      </c>
      <c r="BI389" s="1989"/>
      <c r="BJ389" s="1989"/>
      <c r="BK389" s="2002">
        <f t="shared" si="736"/>
        <v>0</v>
      </c>
      <c r="BL389" s="1999">
        <f>BE389+BG389+BI389+BJ389</f>
        <v>0</v>
      </c>
      <c r="BM389" s="1993"/>
      <c r="BN389" s="2003">
        <f t="shared" si="737"/>
        <v>0</v>
      </c>
      <c r="BO389" s="1989"/>
      <c r="BP389" s="2003">
        <f t="shared" si="738"/>
        <v>0</v>
      </c>
      <c r="BQ389" s="1989"/>
      <c r="BR389" s="2003">
        <f t="shared" si="739"/>
        <v>0</v>
      </c>
      <c r="BS389" s="1989"/>
      <c r="BT389" s="1989"/>
      <c r="BU389" s="2002">
        <f t="shared" si="740"/>
        <v>0</v>
      </c>
      <c r="BV389" s="1999">
        <f>BO389+BQ389+BS389+BT389</f>
        <v>0</v>
      </c>
      <c r="BW389" s="1993"/>
      <c r="BX389" s="2003">
        <f t="shared" si="741"/>
        <v>0</v>
      </c>
      <c r="BY389" s="1989"/>
      <c r="BZ389" s="2003">
        <f t="shared" si="742"/>
        <v>0</v>
      </c>
      <c r="CA389" s="1989"/>
      <c r="CB389" s="2003">
        <f t="shared" si="743"/>
        <v>0</v>
      </c>
      <c r="CC389" s="1989"/>
      <c r="CD389" s="1989"/>
      <c r="CE389" s="2002">
        <f t="shared" si="744"/>
        <v>0</v>
      </c>
      <c r="CF389" s="1999">
        <f>BY389+CA389+CC389+CD389</f>
        <v>0</v>
      </c>
      <c r="CG389" s="1993"/>
      <c r="CH389" s="2003">
        <f t="shared" si="745"/>
        <v>0</v>
      </c>
      <c r="CI389" s="1989"/>
      <c r="CJ389" s="2003">
        <f t="shared" si="746"/>
        <v>0</v>
      </c>
      <c r="CK389" s="1989"/>
      <c r="CL389" s="2003">
        <f t="shared" si="747"/>
        <v>0</v>
      </c>
      <c r="CM389" s="1989"/>
      <c r="CN389" s="1989"/>
      <c r="CO389" s="2002">
        <f t="shared" si="748"/>
        <v>0</v>
      </c>
      <c r="CP389" s="1999">
        <f>CI389+CK389+CM389+CN389</f>
        <v>0</v>
      </c>
      <c r="CQ389" s="1993"/>
      <c r="CR389" s="2003">
        <f t="shared" si="749"/>
        <v>0</v>
      </c>
      <c r="CS389" s="1989"/>
      <c r="CT389" s="2003">
        <f t="shared" si="750"/>
        <v>0</v>
      </c>
      <c r="CU389" s="1989"/>
      <c r="CV389" s="2003">
        <f t="shared" si="751"/>
        <v>0</v>
      </c>
      <c r="CW389" s="1989"/>
      <c r="CX389" s="1989"/>
      <c r="CY389" s="2002">
        <f t="shared" si="752"/>
        <v>0</v>
      </c>
      <c r="CZ389" s="1999">
        <f>CS389+CU389+CW389+CX389</f>
        <v>0</v>
      </c>
      <c r="DA389" s="1993"/>
      <c r="DB389" s="2003">
        <f t="shared" si="753"/>
        <v>0</v>
      </c>
      <c r="DC389" s="1989"/>
      <c r="DD389" s="2003">
        <f t="shared" si="754"/>
        <v>0</v>
      </c>
      <c r="DE389" s="1989"/>
      <c r="DF389" s="2003">
        <f t="shared" si="755"/>
        <v>0</v>
      </c>
      <c r="DG389" s="1989"/>
      <c r="DH389" s="1989"/>
      <c r="DI389" s="2002">
        <f t="shared" si="756"/>
        <v>0</v>
      </c>
      <c r="DJ389" s="1999">
        <f>DC389+DE389+DG389+DH389</f>
        <v>0</v>
      </c>
      <c r="DK389" s="1993"/>
      <c r="DL389" s="2003">
        <f t="shared" si="757"/>
        <v>0</v>
      </c>
      <c r="DM389" s="1989"/>
      <c r="DN389" s="2003">
        <f t="shared" si="758"/>
        <v>0</v>
      </c>
      <c r="DO389" s="1989"/>
      <c r="DP389" s="2003">
        <f t="shared" si="759"/>
        <v>0</v>
      </c>
      <c r="DQ389" s="1989"/>
      <c r="DR389" s="1989"/>
      <c r="DS389" s="2002">
        <f t="shared" si="760"/>
        <v>0</v>
      </c>
      <c r="DT389" s="1999">
        <f>DM389+DO389+DQ389+DR389</f>
        <v>0</v>
      </c>
      <c r="DU389" s="2031"/>
      <c r="DV389" s="2003">
        <f t="shared" si="761"/>
        <v>0</v>
      </c>
      <c r="DW389" s="1989"/>
      <c r="DX389" s="2003">
        <f t="shared" si="762"/>
        <v>0</v>
      </c>
      <c r="DY389" s="1989"/>
      <c r="DZ389" s="2003">
        <f t="shared" si="763"/>
        <v>0</v>
      </c>
      <c r="EA389" s="1989"/>
      <c r="EB389" s="1989"/>
      <c r="EC389" s="2002">
        <f t="shared" si="764"/>
        <v>0</v>
      </c>
      <c r="ED389" s="1999">
        <f>DW389+DY389+EA389+EB389</f>
        <v>0</v>
      </c>
      <c r="EE389" s="2032"/>
      <c r="EF389" s="2003">
        <f t="shared" si="766"/>
        <v>0</v>
      </c>
      <c r="EG389" s="1989"/>
      <c r="EH389" s="2003">
        <f t="shared" si="767"/>
        <v>0</v>
      </c>
      <c r="EI389" s="1989"/>
      <c r="EJ389" s="2003">
        <f t="shared" si="768"/>
        <v>0</v>
      </c>
      <c r="EK389" s="1989">
        <f t="shared" ref="EK389:EL392" si="876">U389+AE389+AO389+AY389+BI389+BS389+CC389+CM389+CW389+DG389+DQ389+EA389</f>
        <v>0</v>
      </c>
      <c r="EL389" s="1989">
        <f t="shared" si="876"/>
        <v>0</v>
      </c>
      <c r="EM389" s="2006">
        <f t="shared" si="769"/>
        <v>0</v>
      </c>
      <c r="EN389" s="1995">
        <f>EG389+EI389+EK389+EL389</f>
        <v>0</v>
      </c>
      <c r="EP389" s="1613" t="e">
        <f>EA389-#REF!/10^7</f>
        <v>#REF!</v>
      </c>
      <c r="EW389" s="1611" t="e">
        <v>#N/A</v>
      </c>
      <c r="EX389" s="1612" t="e">
        <v>#N/A</v>
      </c>
      <c r="EZ389" s="1650">
        <f t="shared" si="771"/>
        <v>0</v>
      </c>
    </row>
    <row r="390" spans="1:156" ht="21" customHeight="1">
      <c r="A390" s="1652" t="s">
        <v>2019</v>
      </c>
      <c r="B390" s="1708" t="s">
        <v>1812</v>
      </c>
      <c r="C390" s="1662"/>
      <c r="D390" s="1709" t="e">
        <f>H390/C390*100</f>
        <v>#DIV/0!</v>
      </c>
      <c r="E390" s="1709"/>
      <c r="F390" s="1648"/>
      <c r="G390" s="1648"/>
      <c r="H390" s="1648"/>
      <c r="I390" s="1648"/>
      <c r="J390" s="1663"/>
      <c r="K390" s="1648"/>
      <c r="L390" s="1648"/>
      <c r="M390" s="1648"/>
      <c r="N390" s="1642"/>
      <c r="O390" s="2000" t="e">
        <f>#REF!</f>
        <v>#REF!</v>
      </c>
      <c r="P390" s="2003">
        <f t="shared" si="717"/>
        <v>0</v>
      </c>
      <c r="Q390" s="1989" t="e">
        <f>#REF!/10^7</f>
        <v>#REF!</v>
      </c>
      <c r="R390" s="2003">
        <f t="shared" si="718"/>
        <v>0</v>
      </c>
      <c r="S390" s="1989" t="e">
        <f>#REF!/10^7</f>
        <v>#REF!</v>
      </c>
      <c r="T390" s="2003">
        <f t="shared" si="719"/>
        <v>0</v>
      </c>
      <c r="U390" s="1989" t="e">
        <f>#REF!/10^7</f>
        <v>#REF!</v>
      </c>
      <c r="V390" s="1989" t="e">
        <f>#REF!/10^7</f>
        <v>#REF!</v>
      </c>
      <c r="W390" s="1989">
        <f t="shared" si="720"/>
        <v>0</v>
      </c>
      <c r="X390" s="1999" t="e">
        <f t="shared" ref="X390:X392" si="877">Q390+S390+U390+V390</f>
        <v>#REF!</v>
      </c>
      <c r="Y390" s="1993" t="e">
        <f>#REF!</f>
        <v>#REF!</v>
      </c>
      <c r="Z390" s="2003">
        <f t="shared" si="721"/>
        <v>0</v>
      </c>
      <c r="AA390" s="1989" t="e">
        <f>#REF!/10^7</f>
        <v>#REF!</v>
      </c>
      <c r="AB390" s="2003">
        <f t="shared" si="722"/>
        <v>0</v>
      </c>
      <c r="AC390" s="1989" t="e">
        <f>#REF!/10^7</f>
        <v>#REF!</v>
      </c>
      <c r="AD390" s="2003">
        <f t="shared" si="723"/>
        <v>0</v>
      </c>
      <c r="AE390" s="1989" t="e">
        <f>#REF!/10^7</f>
        <v>#REF!</v>
      </c>
      <c r="AF390" s="1989" t="e">
        <f>#REF!/10^7</f>
        <v>#REF!</v>
      </c>
      <c r="AG390" s="2002" t="e">
        <f t="shared" si="724"/>
        <v>#REF!</v>
      </c>
      <c r="AH390" s="1999" t="e">
        <f t="shared" ref="AH390:AH392" si="878">AA390+AC390+AE390+AF390</f>
        <v>#REF!</v>
      </c>
      <c r="AI390" s="1993" t="e">
        <f>#REF!</f>
        <v>#REF!</v>
      </c>
      <c r="AJ390" s="2003">
        <f t="shared" si="725"/>
        <v>0</v>
      </c>
      <c r="AK390" s="1989" t="e">
        <f>#REF!/10^7</f>
        <v>#REF!</v>
      </c>
      <c r="AL390" s="2003">
        <f t="shared" si="726"/>
        <v>0</v>
      </c>
      <c r="AM390" s="1989" t="e">
        <f>#REF!/10^7</f>
        <v>#REF!</v>
      </c>
      <c r="AN390" s="2003">
        <f t="shared" si="727"/>
        <v>0</v>
      </c>
      <c r="AO390" s="1989" t="e">
        <f>#REF!/10^7</f>
        <v>#REF!</v>
      </c>
      <c r="AP390" s="1989" t="e">
        <f>#REF!/10^7</f>
        <v>#REF!</v>
      </c>
      <c r="AQ390" s="2002" t="e">
        <f t="shared" si="728"/>
        <v>#REF!</v>
      </c>
      <c r="AR390" s="1999" t="e">
        <f t="shared" ref="AR390:AR392" si="879">AK390+AM390+AO390+AP390</f>
        <v>#REF!</v>
      </c>
      <c r="AS390" s="1993" t="e">
        <f>#REF!</f>
        <v>#REF!</v>
      </c>
      <c r="AT390" s="2003">
        <f t="shared" si="729"/>
        <v>0</v>
      </c>
      <c r="AU390" s="1989" t="e">
        <f>#REF!/10^7</f>
        <v>#REF!</v>
      </c>
      <c r="AV390" s="2003">
        <f t="shared" si="730"/>
        <v>0</v>
      </c>
      <c r="AW390" s="1989" t="e">
        <f>#REF!/10^7</f>
        <v>#REF!</v>
      </c>
      <c r="AX390" s="2003">
        <f t="shared" si="731"/>
        <v>0</v>
      </c>
      <c r="AY390" s="1989" t="e">
        <f>#REF!/10^7</f>
        <v>#REF!</v>
      </c>
      <c r="AZ390" s="1989" t="e">
        <f>#REF!/10^7</f>
        <v>#REF!</v>
      </c>
      <c r="BA390" s="2002" t="e">
        <f t="shared" si="732"/>
        <v>#REF!</v>
      </c>
      <c r="BB390" s="1999" t="e">
        <f t="shared" ref="BB390:BB392" si="880">AU390+AW390+AY390+AZ390</f>
        <v>#REF!</v>
      </c>
      <c r="BC390" s="1993" t="e">
        <f>#REF!</f>
        <v>#REF!</v>
      </c>
      <c r="BD390" s="2003">
        <f t="shared" si="733"/>
        <v>0</v>
      </c>
      <c r="BE390" s="1989" t="e">
        <f>#REF!/10^7</f>
        <v>#REF!</v>
      </c>
      <c r="BF390" s="2003">
        <f t="shared" si="734"/>
        <v>0</v>
      </c>
      <c r="BG390" s="1989" t="e">
        <f>#REF!/10^7</f>
        <v>#REF!</v>
      </c>
      <c r="BH390" s="2003">
        <f t="shared" si="735"/>
        <v>0</v>
      </c>
      <c r="BI390" s="1989" t="e">
        <f>#REF!/10^7</f>
        <v>#REF!</v>
      </c>
      <c r="BJ390" s="1989" t="e">
        <f>#REF!/10^7</f>
        <v>#REF!</v>
      </c>
      <c r="BK390" s="2002" t="e">
        <f t="shared" si="736"/>
        <v>#REF!</v>
      </c>
      <c r="BL390" s="1999" t="e">
        <f t="shared" ref="BL390:BL392" si="881">BE390+BG390+BI390+BJ390</f>
        <v>#REF!</v>
      </c>
      <c r="BM390" s="1993" t="e">
        <f>#REF!</f>
        <v>#REF!</v>
      </c>
      <c r="BN390" s="2003">
        <f t="shared" si="737"/>
        <v>0</v>
      </c>
      <c r="BO390" s="1989" t="e">
        <f>#REF!/10^7</f>
        <v>#REF!</v>
      </c>
      <c r="BP390" s="2003">
        <f t="shared" si="738"/>
        <v>0</v>
      </c>
      <c r="BQ390" s="1989" t="e">
        <f>#REF!/10^7</f>
        <v>#REF!</v>
      </c>
      <c r="BR390" s="2003">
        <f t="shared" si="739"/>
        <v>0</v>
      </c>
      <c r="BS390" s="1989" t="e">
        <f>#REF!/10^7</f>
        <v>#REF!</v>
      </c>
      <c r="BT390" s="1989" t="e">
        <f>#REF!/10^7</f>
        <v>#REF!</v>
      </c>
      <c r="BU390" s="2002" t="e">
        <f t="shared" si="740"/>
        <v>#REF!</v>
      </c>
      <c r="BV390" s="1999" t="e">
        <f t="shared" ref="BV390:BV392" si="882">BO390+BQ390+BS390+BT390</f>
        <v>#REF!</v>
      </c>
      <c r="BW390" s="1993" t="e">
        <f>#REF!</f>
        <v>#REF!</v>
      </c>
      <c r="BX390" s="2003">
        <f t="shared" si="741"/>
        <v>0</v>
      </c>
      <c r="BY390" s="1989" t="e">
        <f>#REF!/10^7</f>
        <v>#REF!</v>
      </c>
      <c r="BZ390" s="2003">
        <f t="shared" si="742"/>
        <v>0</v>
      </c>
      <c r="CA390" s="1989" t="e">
        <f>#REF!/10^7</f>
        <v>#REF!</v>
      </c>
      <c r="CB390" s="2003">
        <f t="shared" si="743"/>
        <v>0</v>
      </c>
      <c r="CC390" s="1989" t="e">
        <f>#REF!/10^7</f>
        <v>#REF!</v>
      </c>
      <c r="CD390" s="1989" t="e">
        <f>#REF!/10^7</f>
        <v>#REF!</v>
      </c>
      <c r="CE390" s="2002" t="e">
        <f t="shared" si="744"/>
        <v>#REF!</v>
      </c>
      <c r="CF390" s="1999" t="e">
        <f t="shared" ref="CF390:CF392" si="883">BY390+CA390+CC390+CD390</f>
        <v>#REF!</v>
      </c>
      <c r="CG390" s="1993" t="e">
        <f>#REF!</f>
        <v>#REF!</v>
      </c>
      <c r="CH390" s="2003">
        <f t="shared" si="745"/>
        <v>0</v>
      </c>
      <c r="CI390" s="1989" t="e">
        <f>#REF!/10^7</f>
        <v>#REF!</v>
      </c>
      <c r="CJ390" s="2003">
        <f t="shared" si="746"/>
        <v>0</v>
      </c>
      <c r="CK390" s="1989" t="e">
        <f>#REF!/10^7</f>
        <v>#REF!</v>
      </c>
      <c r="CL390" s="2003">
        <f t="shared" si="747"/>
        <v>0</v>
      </c>
      <c r="CM390" s="1989" t="e">
        <f>#REF!/10^7</f>
        <v>#REF!</v>
      </c>
      <c r="CN390" s="1989" t="e">
        <f>#REF!/10^7</f>
        <v>#REF!</v>
      </c>
      <c r="CO390" s="2002" t="e">
        <f t="shared" si="748"/>
        <v>#REF!</v>
      </c>
      <c r="CP390" s="1999" t="e">
        <f t="shared" ref="CP390:CP392" si="884">CI390+CK390+CM390+CN390</f>
        <v>#REF!</v>
      </c>
      <c r="CQ390" s="1993" t="e">
        <f>#REF!</f>
        <v>#REF!</v>
      </c>
      <c r="CR390" s="2003">
        <f t="shared" si="749"/>
        <v>0</v>
      </c>
      <c r="CS390" s="1989" t="e">
        <f>#REF!/10^7</f>
        <v>#REF!</v>
      </c>
      <c r="CT390" s="2003">
        <f t="shared" si="750"/>
        <v>0</v>
      </c>
      <c r="CU390" s="1989" t="e">
        <f>#REF!/10^7</f>
        <v>#REF!</v>
      </c>
      <c r="CV390" s="2003">
        <f t="shared" si="751"/>
        <v>0</v>
      </c>
      <c r="CW390" s="1989" t="e">
        <f>#REF!/10^7</f>
        <v>#REF!</v>
      </c>
      <c r="CX390" s="1989" t="e">
        <f>#REF!/10^7</f>
        <v>#REF!</v>
      </c>
      <c r="CY390" s="2002" t="e">
        <f t="shared" si="752"/>
        <v>#REF!</v>
      </c>
      <c r="CZ390" s="1999" t="e">
        <f t="shared" ref="CZ390:CZ392" si="885">CS390+CU390+CW390+CX390</f>
        <v>#REF!</v>
      </c>
      <c r="DA390" s="1993" t="e">
        <f>#REF!</f>
        <v>#REF!</v>
      </c>
      <c r="DB390" s="2003">
        <f t="shared" si="753"/>
        <v>0</v>
      </c>
      <c r="DC390" s="1989" t="e">
        <f>#REF!/10^7</f>
        <v>#REF!</v>
      </c>
      <c r="DD390" s="2003">
        <f t="shared" si="754"/>
        <v>0</v>
      </c>
      <c r="DE390" s="1989" t="e">
        <f>#REF!/10^7</f>
        <v>#REF!</v>
      </c>
      <c r="DF390" s="2003">
        <f t="shared" si="755"/>
        <v>0</v>
      </c>
      <c r="DG390" s="1989" t="e">
        <f>#REF!/10^7</f>
        <v>#REF!</v>
      </c>
      <c r="DH390" s="1989" t="e">
        <f>#REF!/10^7</f>
        <v>#REF!</v>
      </c>
      <c r="DI390" s="2002" t="e">
        <f t="shared" si="756"/>
        <v>#REF!</v>
      </c>
      <c r="DJ390" s="1999" t="e">
        <f t="shared" ref="DJ390:DJ392" si="886">DC390+DE390+DG390+DH390</f>
        <v>#REF!</v>
      </c>
      <c r="DK390" s="1993" t="e">
        <f>#REF!</f>
        <v>#REF!</v>
      </c>
      <c r="DL390" s="2003">
        <f t="shared" si="757"/>
        <v>0</v>
      </c>
      <c r="DM390" s="1989" t="e">
        <f>#REF!/10^7</f>
        <v>#REF!</v>
      </c>
      <c r="DN390" s="2003">
        <f t="shared" si="758"/>
        <v>0</v>
      </c>
      <c r="DO390" s="1989" t="e">
        <f>#REF!/10^7</f>
        <v>#REF!</v>
      </c>
      <c r="DP390" s="2003">
        <f t="shared" si="759"/>
        <v>0</v>
      </c>
      <c r="DQ390" s="1989" t="e">
        <f>#REF!/10^7</f>
        <v>#REF!</v>
      </c>
      <c r="DR390" s="1989" t="e">
        <f>#REF!/10^7</f>
        <v>#REF!</v>
      </c>
      <c r="DS390" s="2002" t="e">
        <f t="shared" si="760"/>
        <v>#REF!</v>
      </c>
      <c r="DT390" s="2004" t="e">
        <f t="shared" ref="DT390:DT392" si="887">DM390+DO390+DQ390+DR390</f>
        <v>#REF!</v>
      </c>
      <c r="DU390" s="1988" t="e">
        <f>#REF!</f>
        <v>#REF!</v>
      </c>
      <c r="DV390" s="2003">
        <f t="shared" si="761"/>
        <v>0</v>
      </c>
      <c r="DW390" s="1989" t="e">
        <f>#REF!/10^7</f>
        <v>#REF!</v>
      </c>
      <c r="DX390" s="2003">
        <f t="shared" si="762"/>
        <v>0</v>
      </c>
      <c r="DY390" s="1989" t="e">
        <f>#REF!/10^7</f>
        <v>#REF!</v>
      </c>
      <c r="DZ390" s="2003">
        <f t="shared" si="763"/>
        <v>0</v>
      </c>
      <c r="EA390" s="1989" t="e">
        <f>#REF!/10^7</f>
        <v>#REF!</v>
      </c>
      <c r="EB390" s="1989" t="e">
        <f>#REF!/10^7</f>
        <v>#REF!</v>
      </c>
      <c r="EC390" s="2002" t="e">
        <f t="shared" si="764"/>
        <v>#REF!</v>
      </c>
      <c r="ED390" s="1998" t="e">
        <f t="shared" ref="ED390:ED392" si="888">DW390+DY390+EA390+EB390</f>
        <v>#REF!</v>
      </c>
      <c r="EE390" s="2032" t="e">
        <f>O390+Y390+AI390+AS390+BC390+BM390+BW390+CG390+CQ390+DA390+DK390+DU390</f>
        <v>#REF!</v>
      </c>
      <c r="EF390" s="2003">
        <f t="shared" si="766"/>
        <v>0</v>
      </c>
      <c r="EG390" s="1989" t="e">
        <f>Q390+AA390+AK390+AU390+BE390+BO390+BY390+CI390+CS390+DC390+DM390+DW390</f>
        <v>#REF!</v>
      </c>
      <c r="EH390" s="2003">
        <f t="shared" si="767"/>
        <v>0</v>
      </c>
      <c r="EI390" s="1989" t="e">
        <f>S390+AC390+AM390+AW390+BG390+BQ390+CA390+CK390+CU390+DE390+DO390+DY390</f>
        <v>#REF!</v>
      </c>
      <c r="EJ390" s="2003">
        <f t="shared" si="768"/>
        <v>0</v>
      </c>
      <c r="EK390" s="1989" t="e">
        <f t="shared" si="876"/>
        <v>#REF!</v>
      </c>
      <c r="EL390" s="1989" t="e">
        <f t="shared" si="876"/>
        <v>#REF!</v>
      </c>
      <c r="EM390" s="2006" t="e">
        <f t="shared" si="769"/>
        <v>#REF!</v>
      </c>
      <c r="EN390" s="1995" t="e">
        <f>EG390+EI390+EK390+EL390</f>
        <v>#REF!</v>
      </c>
      <c r="EP390" s="1613" t="e">
        <f>EA390-#REF!/10^7</f>
        <v>#REF!</v>
      </c>
      <c r="EW390" s="1611" t="e">
        <v>#N/A</v>
      </c>
      <c r="EX390" s="1612">
        <v>0</v>
      </c>
      <c r="EZ390" s="1650">
        <f t="shared" si="771"/>
        <v>0</v>
      </c>
    </row>
    <row r="391" spans="1:156" ht="21" customHeight="1">
      <c r="A391" s="1652"/>
      <c r="B391" s="1644" t="s">
        <v>1822</v>
      </c>
      <c r="C391" s="1662"/>
      <c r="D391" s="1646" t="e">
        <f>H391/C391*100</f>
        <v>#DIV/0!</v>
      </c>
      <c r="E391" s="1646"/>
      <c r="F391" s="1648"/>
      <c r="G391" s="1648"/>
      <c r="H391" s="1648"/>
      <c r="I391" s="1648"/>
      <c r="J391" s="1663"/>
      <c r="K391" s="1648"/>
      <c r="L391" s="1648"/>
      <c r="M391" s="1648"/>
      <c r="N391" s="1642"/>
      <c r="O391" s="2000" t="e">
        <f>#REF!</f>
        <v>#REF!</v>
      </c>
      <c r="P391" s="2003">
        <f t="shared" si="717"/>
        <v>0</v>
      </c>
      <c r="Q391" s="1989" t="e">
        <f>#REF!/10^7</f>
        <v>#REF!</v>
      </c>
      <c r="R391" s="2003">
        <f t="shared" si="718"/>
        <v>0</v>
      </c>
      <c r="S391" s="1989" t="e">
        <f>#REF!/10^7</f>
        <v>#REF!</v>
      </c>
      <c r="T391" s="2003">
        <f t="shared" si="719"/>
        <v>0</v>
      </c>
      <c r="U391" s="1989" t="e">
        <f>#REF!/10^7</f>
        <v>#REF!</v>
      </c>
      <c r="V391" s="1989" t="e">
        <f>#REF!/10^7</f>
        <v>#REF!</v>
      </c>
      <c r="W391" s="1989">
        <f t="shared" si="720"/>
        <v>0</v>
      </c>
      <c r="X391" s="1999" t="e">
        <f t="shared" si="877"/>
        <v>#REF!</v>
      </c>
      <c r="Y391" s="1993" t="e">
        <f>#REF!</f>
        <v>#REF!</v>
      </c>
      <c r="Z391" s="2003">
        <f t="shared" si="721"/>
        <v>0</v>
      </c>
      <c r="AA391" s="1989" t="e">
        <f>#REF!/10^7</f>
        <v>#REF!</v>
      </c>
      <c r="AB391" s="2003">
        <f t="shared" si="722"/>
        <v>0</v>
      </c>
      <c r="AC391" s="1989" t="e">
        <f>#REF!/10^7</f>
        <v>#REF!</v>
      </c>
      <c r="AD391" s="2003">
        <f t="shared" si="723"/>
        <v>0</v>
      </c>
      <c r="AE391" s="1989" t="e">
        <f>#REF!/10^7</f>
        <v>#REF!</v>
      </c>
      <c r="AF391" s="1989" t="e">
        <f>#REF!/10^7</f>
        <v>#REF!</v>
      </c>
      <c r="AG391" s="2002" t="e">
        <f t="shared" si="724"/>
        <v>#REF!</v>
      </c>
      <c r="AH391" s="1999" t="e">
        <f t="shared" si="878"/>
        <v>#REF!</v>
      </c>
      <c r="AI391" s="1993" t="e">
        <f>#REF!</f>
        <v>#REF!</v>
      </c>
      <c r="AJ391" s="2003">
        <f t="shared" si="725"/>
        <v>0</v>
      </c>
      <c r="AK391" s="1989" t="e">
        <f>#REF!/10^7</f>
        <v>#REF!</v>
      </c>
      <c r="AL391" s="2003">
        <f t="shared" si="726"/>
        <v>0</v>
      </c>
      <c r="AM391" s="1989" t="e">
        <f>#REF!/10^7</f>
        <v>#REF!</v>
      </c>
      <c r="AN391" s="2003">
        <f t="shared" si="727"/>
        <v>0</v>
      </c>
      <c r="AO391" s="1989" t="e">
        <f>#REF!/10^7</f>
        <v>#REF!</v>
      </c>
      <c r="AP391" s="1989" t="e">
        <f>#REF!/10^7</f>
        <v>#REF!</v>
      </c>
      <c r="AQ391" s="2002" t="e">
        <f t="shared" si="728"/>
        <v>#REF!</v>
      </c>
      <c r="AR391" s="1999" t="e">
        <f t="shared" si="879"/>
        <v>#REF!</v>
      </c>
      <c r="AS391" s="1993" t="e">
        <f>#REF!</f>
        <v>#REF!</v>
      </c>
      <c r="AT391" s="2003">
        <f t="shared" si="729"/>
        <v>0</v>
      </c>
      <c r="AU391" s="1989" t="e">
        <f>#REF!/10^7</f>
        <v>#REF!</v>
      </c>
      <c r="AV391" s="2003">
        <f t="shared" si="730"/>
        <v>0</v>
      </c>
      <c r="AW391" s="1989" t="e">
        <f>#REF!/10^7</f>
        <v>#REF!</v>
      </c>
      <c r="AX391" s="2003">
        <f t="shared" si="731"/>
        <v>0</v>
      </c>
      <c r="AY391" s="1989" t="e">
        <f>#REF!/10^7</f>
        <v>#REF!</v>
      </c>
      <c r="AZ391" s="1989" t="e">
        <f>#REF!/10^7</f>
        <v>#REF!</v>
      </c>
      <c r="BA391" s="2002" t="e">
        <f t="shared" si="732"/>
        <v>#REF!</v>
      </c>
      <c r="BB391" s="1999" t="e">
        <f t="shared" si="880"/>
        <v>#REF!</v>
      </c>
      <c r="BC391" s="1993" t="e">
        <f>#REF!</f>
        <v>#REF!</v>
      </c>
      <c r="BD391" s="2003">
        <f t="shared" si="733"/>
        <v>0</v>
      </c>
      <c r="BE391" s="1989" t="e">
        <f>#REF!/10^7</f>
        <v>#REF!</v>
      </c>
      <c r="BF391" s="2003">
        <f t="shared" si="734"/>
        <v>0</v>
      </c>
      <c r="BG391" s="1989" t="e">
        <f>#REF!/10^7</f>
        <v>#REF!</v>
      </c>
      <c r="BH391" s="2003">
        <f t="shared" si="735"/>
        <v>0</v>
      </c>
      <c r="BI391" s="1989" t="e">
        <f>#REF!/10^7</f>
        <v>#REF!</v>
      </c>
      <c r="BJ391" s="1989" t="e">
        <f>#REF!/10^7</f>
        <v>#REF!</v>
      </c>
      <c r="BK391" s="2002" t="e">
        <f t="shared" si="736"/>
        <v>#REF!</v>
      </c>
      <c r="BL391" s="1999" t="e">
        <f t="shared" si="881"/>
        <v>#REF!</v>
      </c>
      <c r="BM391" s="1993" t="e">
        <f>#REF!</f>
        <v>#REF!</v>
      </c>
      <c r="BN391" s="2003">
        <f t="shared" si="737"/>
        <v>0</v>
      </c>
      <c r="BO391" s="1989" t="e">
        <f>#REF!/10^7</f>
        <v>#REF!</v>
      </c>
      <c r="BP391" s="2003">
        <f t="shared" si="738"/>
        <v>0</v>
      </c>
      <c r="BQ391" s="1989" t="e">
        <f>#REF!/10^7</f>
        <v>#REF!</v>
      </c>
      <c r="BR391" s="2003">
        <f t="shared" si="739"/>
        <v>0</v>
      </c>
      <c r="BS391" s="1989" t="e">
        <f>#REF!/10^7</f>
        <v>#REF!</v>
      </c>
      <c r="BT391" s="1989" t="e">
        <f>#REF!/10^7</f>
        <v>#REF!</v>
      </c>
      <c r="BU391" s="2002" t="e">
        <f t="shared" si="740"/>
        <v>#REF!</v>
      </c>
      <c r="BV391" s="1999" t="e">
        <f t="shared" si="882"/>
        <v>#REF!</v>
      </c>
      <c r="BW391" s="1993" t="e">
        <f>#REF!</f>
        <v>#REF!</v>
      </c>
      <c r="BX391" s="2003">
        <f t="shared" si="741"/>
        <v>0</v>
      </c>
      <c r="BY391" s="1989" t="e">
        <f>#REF!/10^7</f>
        <v>#REF!</v>
      </c>
      <c r="BZ391" s="2003">
        <f t="shared" si="742"/>
        <v>0</v>
      </c>
      <c r="CA391" s="1989" t="e">
        <f>#REF!/10^7</f>
        <v>#REF!</v>
      </c>
      <c r="CB391" s="2003">
        <f t="shared" si="743"/>
        <v>0</v>
      </c>
      <c r="CC391" s="1989" t="e">
        <f>#REF!/10^7</f>
        <v>#REF!</v>
      </c>
      <c r="CD391" s="1989" t="e">
        <f>#REF!/10^7</f>
        <v>#REF!</v>
      </c>
      <c r="CE391" s="2002" t="e">
        <f t="shared" si="744"/>
        <v>#REF!</v>
      </c>
      <c r="CF391" s="1999" t="e">
        <f t="shared" si="883"/>
        <v>#REF!</v>
      </c>
      <c r="CG391" s="1993" t="e">
        <f>#REF!</f>
        <v>#REF!</v>
      </c>
      <c r="CH391" s="2003">
        <f t="shared" si="745"/>
        <v>0</v>
      </c>
      <c r="CI391" s="1989" t="e">
        <f>#REF!/10^7</f>
        <v>#REF!</v>
      </c>
      <c r="CJ391" s="2003">
        <f t="shared" si="746"/>
        <v>0</v>
      </c>
      <c r="CK391" s="1989" t="e">
        <f>#REF!/10^7</f>
        <v>#REF!</v>
      </c>
      <c r="CL391" s="2003">
        <f t="shared" si="747"/>
        <v>0</v>
      </c>
      <c r="CM391" s="1989" t="e">
        <f>#REF!/10^7</f>
        <v>#REF!</v>
      </c>
      <c r="CN391" s="1989" t="e">
        <f>#REF!/10^7</f>
        <v>#REF!</v>
      </c>
      <c r="CO391" s="2002" t="e">
        <f t="shared" si="748"/>
        <v>#REF!</v>
      </c>
      <c r="CP391" s="1999" t="e">
        <f t="shared" si="884"/>
        <v>#REF!</v>
      </c>
      <c r="CQ391" s="1993" t="e">
        <f>#REF!</f>
        <v>#REF!</v>
      </c>
      <c r="CR391" s="2003">
        <f t="shared" si="749"/>
        <v>0</v>
      </c>
      <c r="CS391" s="1989" t="e">
        <f>#REF!/10^7</f>
        <v>#REF!</v>
      </c>
      <c r="CT391" s="2003">
        <f t="shared" si="750"/>
        <v>0</v>
      </c>
      <c r="CU391" s="1989" t="e">
        <f>#REF!/10^7</f>
        <v>#REF!</v>
      </c>
      <c r="CV391" s="2003">
        <f t="shared" si="751"/>
        <v>0</v>
      </c>
      <c r="CW391" s="1989" t="e">
        <f>#REF!/10^7</f>
        <v>#REF!</v>
      </c>
      <c r="CX391" s="1989" t="e">
        <f>#REF!/10^7</f>
        <v>#REF!</v>
      </c>
      <c r="CY391" s="2002" t="e">
        <f t="shared" si="752"/>
        <v>#REF!</v>
      </c>
      <c r="CZ391" s="1999" t="e">
        <f t="shared" si="885"/>
        <v>#REF!</v>
      </c>
      <c r="DA391" s="1993" t="e">
        <f>#REF!</f>
        <v>#REF!</v>
      </c>
      <c r="DB391" s="2003">
        <f t="shared" si="753"/>
        <v>0</v>
      </c>
      <c r="DC391" s="1989" t="e">
        <f>#REF!/10^7</f>
        <v>#REF!</v>
      </c>
      <c r="DD391" s="2003">
        <f t="shared" si="754"/>
        <v>0</v>
      </c>
      <c r="DE391" s="1989" t="e">
        <f>#REF!/10^7</f>
        <v>#REF!</v>
      </c>
      <c r="DF391" s="2003">
        <f t="shared" si="755"/>
        <v>0</v>
      </c>
      <c r="DG391" s="1989" t="e">
        <f>#REF!/10^7</f>
        <v>#REF!</v>
      </c>
      <c r="DH391" s="1989" t="e">
        <f>#REF!/10^7</f>
        <v>#REF!</v>
      </c>
      <c r="DI391" s="2002" t="e">
        <f t="shared" si="756"/>
        <v>#REF!</v>
      </c>
      <c r="DJ391" s="1999" t="e">
        <f t="shared" si="886"/>
        <v>#REF!</v>
      </c>
      <c r="DK391" s="1993" t="e">
        <f>#REF!</f>
        <v>#REF!</v>
      </c>
      <c r="DL391" s="2003">
        <f t="shared" si="757"/>
        <v>0</v>
      </c>
      <c r="DM391" s="1989" t="e">
        <f>#REF!/10^7</f>
        <v>#REF!</v>
      </c>
      <c r="DN391" s="2003">
        <f t="shared" si="758"/>
        <v>0</v>
      </c>
      <c r="DO391" s="1989" t="e">
        <f>#REF!/10^7</f>
        <v>#REF!</v>
      </c>
      <c r="DP391" s="2003">
        <f t="shared" si="759"/>
        <v>0</v>
      </c>
      <c r="DQ391" s="1989" t="e">
        <f>#REF!/10^7</f>
        <v>#REF!</v>
      </c>
      <c r="DR391" s="1989" t="e">
        <f>#REF!/10^7</f>
        <v>#REF!</v>
      </c>
      <c r="DS391" s="2002" t="e">
        <f t="shared" si="760"/>
        <v>#REF!</v>
      </c>
      <c r="DT391" s="2004" t="e">
        <f t="shared" si="887"/>
        <v>#REF!</v>
      </c>
      <c r="DU391" s="1988" t="e">
        <f>#REF!</f>
        <v>#REF!</v>
      </c>
      <c r="DV391" s="2003">
        <f t="shared" si="761"/>
        <v>0</v>
      </c>
      <c r="DW391" s="1989" t="e">
        <f>#REF!/10^7</f>
        <v>#REF!</v>
      </c>
      <c r="DX391" s="2003">
        <f t="shared" si="762"/>
        <v>0</v>
      </c>
      <c r="DY391" s="1989" t="e">
        <f>#REF!/10^7</f>
        <v>#REF!</v>
      </c>
      <c r="DZ391" s="2003">
        <f t="shared" si="763"/>
        <v>0</v>
      </c>
      <c r="EA391" s="1989" t="e">
        <f>#REF!/10^7</f>
        <v>#REF!</v>
      </c>
      <c r="EB391" s="1989" t="e">
        <f>#REF!/10^7</f>
        <v>#REF!</v>
      </c>
      <c r="EC391" s="2002" t="e">
        <f t="shared" si="764"/>
        <v>#REF!</v>
      </c>
      <c r="ED391" s="1998" t="e">
        <f t="shared" si="888"/>
        <v>#REF!</v>
      </c>
      <c r="EE391" s="2032" t="e">
        <f>O391+Y391+AI391+AS391+BC391+BM391+BW391+CG391+CQ391+DA391+DK391+DU391</f>
        <v>#REF!</v>
      </c>
      <c r="EF391" s="2003">
        <f t="shared" si="766"/>
        <v>0</v>
      </c>
      <c r="EG391" s="1989" t="e">
        <f>Q391+AA391+AK391+AU391+BE391+BO391+BY391+CI391+CS391+DC391+DM391+DW391</f>
        <v>#REF!</v>
      </c>
      <c r="EH391" s="2003">
        <f t="shared" si="767"/>
        <v>0</v>
      </c>
      <c r="EI391" s="1989" t="e">
        <f>S391+AC391+AM391+AW391+BG391+BQ391+CA391+CK391+CU391+DE391+DO391+DY391</f>
        <v>#REF!</v>
      </c>
      <c r="EJ391" s="2003">
        <f t="shared" si="768"/>
        <v>0</v>
      </c>
      <c r="EK391" s="1989" t="e">
        <f t="shared" si="876"/>
        <v>#REF!</v>
      </c>
      <c r="EL391" s="1989" t="e">
        <f t="shared" si="876"/>
        <v>#REF!</v>
      </c>
      <c r="EM391" s="2006" t="e">
        <f t="shared" si="769"/>
        <v>#REF!</v>
      </c>
      <c r="EN391" s="1999" t="e">
        <f>EG391+EI391+EK391+EL391</f>
        <v>#REF!</v>
      </c>
      <c r="EP391" s="1613" t="e">
        <f>EA391-#REF!/10^7</f>
        <v>#REF!</v>
      </c>
      <c r="EW391" s="1611" t="e">
        <v>#N/A</v>
      </c>
      <c r="EX391" s="1612">
        <v>0</v>
      </c>
      <c r="EZ391" s="1650">
        <f t="shared" si="771"/>
        <v>0</v>
      </c>
    </row>
    <row r="392" spans="1:156" ht="21" customHeight="1" thickBot="1">
      <c r="A392" s="1710"/>
      <c r="B392" s="1711" t="s">
        <v>1823</v>
      </c>
      <c r="C392" s="1712"/>
      <c r="D392" s="1713" t="e">
        <f>H392/C392*100</f>
        <v>#DIV/0!</v>
      </c>
      <c r="E392" s="1713"/>
      <c r="F392" s="1714"/>
      <c r="G392" s="1714"/>
      <c r="H392" s="1714"/>
      <c r="I392" s="1714"/>
      <c r="J392" s="1715"/>
      <c r="K392" s="1714"/>
      <c r="L392" s="1714"/>
      <c r="M392" s="1714"/>
      <c r="N392" s="1716"/>
      <c r="O392" s="2000" t="e">
        <f>#REF!</f>
        <v>#REF!</v>
      </c>
      <c r="P392" s="2003">
        <f t="shared" si="717"/>
        <v>0</v>
      </c>
      <c r="Q392" s="1989" t="e">
        <f>#REF!/10^7</f>
        <v>#REF!</v>
      </c>
      <c r="R392" s="2003">
        <f t="shared" si="718"/>
        <v>0</v>
      </c>
      <c r="S392" s="1989" t="e">
        <f>#REF!/10^7</f>
        <v>#REF!</v>
      </c>
      <c r="T392" s="2003">
        <f t="shared" si="719"/>
        <v>0</v>
      </c>
      <c r="U392" s="1989" t="e">
        <f>#REF!/10^7</f>
        <v>#REF!</v>
      </c>
      <c r="V392" s="1989" t="e">
        <f>#REF!/10^7</f>
        <v>#REF!</v>
      </c>
      <c r="W392" s="1989">
        <f t="shared" si="720"/>
        <v>0</v>
      </c>
      <c r="X392" s="1999" t="e">
        <f t="shared" si="877"/>
        <v>#REF!</v>
      </c>
      <c r="Y392" s="1993" t="e">
        <f>#REF!</f>
        <v>#REF!</v>
      </c>
      <c r="Z392" s="2003">
        <f t="shared" si="721"/>
        <v>0</v>
      </c>
      <c r="AA392" s="1989" t="e">
        <f>#REF!/10^7</f>
        <v>#REF!</v>
      </c>
      <c r="AB392" s="2003">
        <f t="shared" si="722"/>
        <v>0</v>
      </c>
      <c r="AC392" s="1989" t="e">
        <f>#REF!/10^7</f>
        <v>#REF!</v>
      </c>
      <c r="AD392" s="2003">
        <f t="shared" si="723"/>
        <v>0</v>
      </c>
      <c r="AE392" s="1989" t="e">
        <f>#REF!/10^7</f>
        <v>#REF!</v>
      </c>
      <c r="AF392" s="1989" t="e">
        <f>#REF!/10^7</f>
        <v>#REF!</v>
      </c>
      <c r="AG392" s="2002" t="e">
        <f t="shared" si="724"/>
        <v>#REF!</v>
      </c>
      <c r="AH392" s="1999" t="e">
        <f t="shared" si="878"/>
        <v>#REF!</v>
      </c>
      <c r="AI392" s="1993" t="e">
        <f>#REF!</f>
        <v>#REF!</v>
      </c>
      <c r="AJ392" s="2003">
        <f t="shared" si="725"/>
        <v>0</v>
      </c>
      <c r="AK392" s="1989" t="e">
        <f>#REF!/10^7</f>
        <v>#REF!</v>
      </c>
      <c r="AL392" s="2003">
        <f t="shared" si="726"/>
        <v>0</v>
      </c>
      <c r="AM392" s="1989" t="e">
        <f>#REF!/10^7</f>
        <v>#REF!</v>
      </c>
      <c r="AN392" s="2003">
        <f t="shared" si="727"/>
        <v>0</v>
      </c>
      <c r="AO392" s="1989" t="e">
        <f>#REF!/10^7</f>
        <v>#REF!</v>
      </c>
      <c r="AP392" s="1989" t="e">
        <f>#REF!/10^7</f>
        <v>#REF!</v>
      </c>
      <c r="AQ392" s="2002" t="e">
        <f t="shared" si="728"/>
        <v>#REF!</v>
      </c>
      <c r="AR392" s="1999" t="e">
        <f t="shared" si="879"/>
        <v>#REF!</v>
      </c>
      <c r="AS392" s="1993" t="e">
        <f>#REF!</f>
        <v>#REF!</v>
      </c>
      <c r="AT392" s="2003">
        <f t="shared" si="729"/>
        <v>0</v>
      </c>
      <c r="AU392" s="1989" t="e">
        <f>#REF!/10^7</f>
        <v>#REF!</v>
      </c>
      <c r="AV392" s="2003">
        <f t="shared" si="730"/>
        <v>0</v>
      </c>
      <c r="AW392" s="1989" t="e">
        <f>#REF!/10^7</f>
        <v>#REF!</v>
      </c>
      <c r="AX392" s="2003">
        <f t="shared" si="731"/>
        <v>0</v>
      </c>
      <c r="AY392" s="1989" t="e">
        <f>#REF!/10^7</f>
        <v>#REF!</v>
      </c>
      <c r="AZ392" s="1989" t="e">
        <f>#REF!/10^7</f>
        <v>#REF!</v>
      </c>
      <c r="BA392" s="2002" t="e">
        <f t="shared" si="732"/>
        <v>#REF!</v>
      </c>
      <c r="BB392" s="1999" t="e">
        <f t="shared" si="880"/>
        <v>#REF!</v>
      </c>
      <c r="BC392" s="1993" t="e">
        <f>#REF!</f>
        <v>#REF!</v>
      </c>
      <c r="BD392" s="2003">
        <f t="shared" si="733"/>
        <v>0</v>
      </c>
      <c r="BE392" s="1989" t="e">
        <f>#REF!/10^7</f>
        <v>#REF!</v>
      </c>
      <c r="BF392" s="2003">
        <f t="shared" si="734"/>
        <v>0</v>
      </c>
      <c r="BG392" s="1989" t="e">
        <f>#REF!/10^7</f>
        <v>#REF!</v>
      </c>
      <c r="BH392" s="2003">
        <f t="shared" si="735"/>
        <v>0</v>
      </c>
      <c r="BI392" s="1989" t="e">
        <f>#REF!/10^7</f>
        <v>#REF!</v>
      </c>
      <c r="BJ392" s="1989" t="e">
        <f>#REF!/10^7</f>
        <v>#REF!</v>
      </c>
      <c r="BK392" s="2002" t="e">
        <f t="shared" si="736"/>
        <v>#REF!</v>
      </c>
      <c r="BL392" s="1999" t="e">
        <f t="shared" si="881"/>
        <v>#REF!</v>
      </c>
      <c r="BM392" s="1993" t="e">
        <f>#REF!</f>
        <v>#REF!</v>
      </c>
      <c r="BN392" s="2003">
        <f t="shared" si="737"/>
        <v>0</v>
      </c>
      <c r="BO392" s="1989" t="e">
        <f>#REF!/10^7</f>
        <v>#REF!</v>
      </c>
      <c r="BP392" s="2003">
        <f t="shared" si="738"/>
        <v>0</v>
      </c>
      <c r="BQ392" s="1989" t="e">
        <f>#REF!/10^7</f>
        <v>#REF!</v>
      </c>
      <c r="BR392" s="2003">
        <f t="shared" si="739"/>
        <v>0</v>
      </c>
      <c r="BS392" s="1989" t="e">
        <f>#REF!/10^7</f>
        <v>#REF!</v>
      </c>
      <c r="BT392" s="1989" t="e">
        <f>#REF!/10^7</f>
        <v>#REF!</v>
      </c>
      <c r="BU392" s="2002" t="e">
        <f t="shared" si="740"/>
        <v>#REF!</v>
      </c>
      <c r="BV392" s="1999" t="e">
        <f t="shared" si="882"/>
        <v>#REF!</v>
      </c>
      <c r="BW392" s="1993" t="e">
        <f>#REF!</f>
        <v>#REF!</v>
      </c>
      <c r="BX392" s="2003">
        <f t="shared" si="741"/>
        <v>0</v>
      </c>
      <c r="BY392" s="1989" t="e">
        <f>#REF!/10^7</f>
        <v>#REF!</v>
      </c>
      <c r="BZ392" s="2003">
        <f t="shared" si="742"/>
        <v>0</v>
      </c>
      <c r="CA392" s="1989" t="e">
        <f>#REF!/10^7</f>
        <v>#REF!</v>
      </c>
      <c r="CB392" s="2003">
        <f t="shared" si="743"/>
        <v>0</v>
      </c>
      <c r="CC392" s="1989" t="e">
        <f>#REF!/10^7</f>
        <v>#REF!</v>
      </c>
      <c r="CD392" s="1989" t="e">
        <f>#REF!/10^7</f>
        <v>#REF!</v>
      </c>
      <c r="CE392" s="2002" t="e">
        <f t="shared" si="744"/>
        <v>#REF!</v>
      </c>
      <c r="CF392" s="1999" t="e">
        <f t="shared" si="883"/>
        <v>#REF!</v>
      </c>
      <c r="CG392" s="1993" t="e">
        <f>#REF!</f>
        <v>#REF!</v>
      </c>
      <c r="CH392" s="2003">
        <f t="shared" si="745"/>
        <v>0</v>
      </c>
      <c r="CI392" s="1989" t="e">
        <f>#REF!/10^7</f>
        <v>#REF!</v>
      </c>
      <c r="CJ392" s="2003">
        <f t="shared" si="746"/>
        <v>0</v>
      </c>
      <c r="CK392" s="1989" t="e">
        <f>#REF!/10^7</f>
        <v>#REF!</v>
      </c>
      <c r="CL392" s="2003">
        <f t="shared" si="747"/>
        <v>0</v>
      </c>
      <c r="CM392" s="1989" t="e">
        <f>#REF!/10^7</f>
        <v>#REF!</v>
      </c>
      <c r="CN392" s="1989" t="e">
        <f>#REF!/10^7</f>
        <v>#REF!</v>
      </c>
      <c r="CO392" s="2002" t="e">
        <f t="shared" si="748"/>
        <v>#REF!</v>
      </c>
      <c r="CP392" s="1999" t="e">
        <f t="shared" si="884"/>
        <v>#REF!</v>
      </c>
      <c r="CQ392" s="1993" t="e">
        <f>#REF!</f>
        <v>#REF!</v>
      </c>
      <c r="CR392" s="2003">
        <f t="shared" si="749"/>
        <v>0</v>
      </c>
      <c r="CS392" s="1989" t="e">
        <f>#REF!/10^7</f>
        <v>#REF!</v>
      </c>
      <c r="CT392" s="2003">
        <f t="shared" si="750"/>
        <v>0</v>
      </c>
      <c r="CU392" s="1989" t="e">
        <f>#REF!/10^7</f>
        <v>#REF!</v>
      </c>
      <c r="CV392" s="2003">
        <f t="shared" si="751"/>
        <v>0</v>
      </c>
      <c r="CW392" s="1989" t="e">
        <f>#REF!/10^7</f>
        <v>#REF!</v>
      </c>
      <c r="CX392" s="1989" t="e">
        <f>#REF!/10^7</f>
        <v>#REF!</v>
      </c>
      <c r="CY392" s="2002" t="e">
        <f t="shared" si="752"/>
        <v>#REF!</v>
      </c>
      <c r="CZ392" s="1999" t="e">
        <f t="shared" si="885"/>
        <v>#REF!</v>
      </c>
      <c r="DA392" s="1993" t="e">
        <f>#REF!</f>
        <v>#REF!</v>
      </c>
      <c r="DB392" s="2003">
        <f t="shared" si="753"/>
        <v>0</v>
      </c>
      <c r="DC392" s="1989" t="e">
        <f>#REF!/10^7</f>
        <v>#REF!</v>
      </c>
      <c r="DD392" s="2003">
        <f t="shared" si="754"/>
        <v>0</v>
      </c>
      <c r="DE392" s="1989" t="e">
        <f>#REF!/10^7</f>
        <v>#REF!</v>
      </c>
      <c r="DF392" s="2003">
        <f t="shared" si="755"/>
        <v>0</v>
      </c>
      <c r="DG392" s="1989" t="e">
        <f>#REF!/10^7</f>
        <v>#REF!</v>
      </c>
      <c r="DH392" s="1989" t="e">
        <f>#REF!/10^7</f>
        <v>#REF!</v>
      </c>
      <c r="DI392" s="2002" t="e">
        <f t="shared" si="756"/>
        <v>#REF!</v>
      </c>
      <c r="DJ392" s="1999" t="e">
        <f t="shared" si="886"/>
        <v>#REF!</v>
      </c>
      <c r="DK392" s="1993" t="e">
        <f>#REF!</f>
        <v>#REF!</v>
      </c>
      <c r="DL392" s="2003">
        <f t="shared" si="757"/>
        <v>0</v>
      </c>
      <c r="DM392" s="1989" t="e">
        <f>#REF!/10^7</f>
        <v>#REF!</v>
      </c>
      <c r="DN392" s="2003">
        <f t="shared" si="758"/>
        <v>0</v>
      </c>
      <c r="DO392" s="1989" t="e">
        <f>#REF!/10^7</f>
        <v>#REF!</v>
      </c>
      <c r="DP392" s="2003">
        <f t="shared" si="759"/>
        <v>0</v>
      </c>
      <c r="DQ392" s="1989" t="e">
        <f>#REF!/10^7</f>
        <v>#REF!</v>
      </c>
      <c r="DR392" s="1989" t="e">
        <f>#REF!/10^7</f>
        <v>#REF!</v>
      </c>
      <c r="DS392" s="2002" t="e">
        <f t="shared" si="760"/>
        <v>#REF!</v>
      </c>
      <c r="DT392" s="2004" t="e">
        <f t="shared" si="887"/>
        <v>#REF!</v>
      </c>
      <c r="DU392" s="1988" t="e">
        <f>#REF!</f>
        <v>#REF!</v>
      </c>
      <c r="DV392" s="2003">
        <f t="shared" si="761"/>
        <v>0</v>
      </c>
      <c r="DW392" s="1989" t="e">
        <f>#REF!/10^7</f>
        <v>#REF!</v>
      </c>
      <c r="DX392" s="2003">
        <f t="shared" si="762"/>
        <v>0</v>
      </c>
      <c r="DY392" s="1989" t="e">
        <f>#REF!/10^7</f>
        <v>#REF!</v>
      </c>
      <c r="DZ392" s="2003">
        <f t="shared" si="763"/>
        <v>0</v>
      </c>
      <c r="EA392" s="1989" t="e">
        <f>#REF!/10^7</f>
        <v>#REF!</v>
      </c>
      <c r="EB392" s="1989" t="e">
        <f>#REF!/10^7</f>
        <v>#REF!</v>
      </c>
      <c r="EC392" s="2002" t="e">
        <f t="shared" si="764"/>
        <v>#REF!</v>
      </c>
      <c r="ED392" s="1998" t="e">
        <f t="shared" si="888"/>
        <v>#REF!</v>
      </c>
      <c r="EE392" s="2032" t="e">
        <f>O392+Y392+AI392+AS392+BC392+BM392+BW392+CG392+CQ392+DA392+DK392+DU392</f>
        <v>#REF!</v>
      </c>
      <c r="EF392" s="2003">
        <f t="shared" si="766"/>
        <v>0</v>
      </c>
      <c r="EG392" s="1989" t="e">
        <f>Q392+AA392+AK392+AU392+BE392+BO392+BY392+CI392+CS392+DC392+DM392+DW392</f>
        <v>#REF!</v>
      </c>
      <c r="EH392" s="2003">
        <f t="shared" si="767"/>
        <v>0</v>
      </c>
      <c r="EI392" s="1989" t="e">
        <f>S392+AC392+AM392+AW392+BG392+BQ392+CA392+CK392+CU392+DE392+DO392+DY392</f>
        <v>#REF!</v>
      </c>
      <c r="EJ392" s="2003">
        <f t="shared" si="768"/>
        <v>0</v>
      </c>
      <c r="EK392" s="1989" t="e">
        <f t="shared" si="876"/>
        <v>#REF!</v>
      </c>
      <c r="EL392" s="1989" t="e">
        <f t="shared" si="876"/>
        <v>#REF!</v>
      </c>
      <c r="EM392" s="2006" t="e">
        <f t="shared" si="769"/>
        <v>#REF!</v>
      </c>
      <c r="EN392" s="1999" t="e">
        <f>EG392+EI392+EK392+EL392</f>
        <v>#REF!</v>
      </c>
      <c r="EP392" s="1613" t="e">
        <f>EA392-#REF!/10^7</f>
        <v>#REF!</v>
      </c>
      <c r="EW392" s="1611" t="e">
        <v>#N/A</v>
      </c>
      <c r="EX392" s="1612">
        <v>0</v>
      </c>
      <c r="EZ392" s="1650">
        <f t="shared" si="771"/>
        <v>0</v>
      </c>
    </row>
    <row r="393" spans="1:156" s="1609" customFormat="1" ht="21" customHeight="1" thickBot="1">
      <c r="A393" s="3124" t="s">
        <v>126</v>
      </c>
      <c r="B393" s="3125"/>
      <c r="C393" s="1717"/>
      <c r="D393" s="1718"/>
      <c r="E393" s="1718"/>
      <c r="F393" s="1718"/>
      <c r="G393" s="1718"/>
      <c r="H393" s="1718"/>
      <c r="I393" s="1718"/>
      <c r="J393" s="1718"/>
      <c r="K393" s="1718"/>
      <c r="L393" s="1718"/>
      <c r="M393" s="1718"/>
      <c r="N393" s="1719"/>
      <c r="O393" s="2035" t="e">
        <f>O26+O40+O82+O93+O111+O119+O128+O136+O153+O176+O272+O283+O288+O328+O344+O366+O377+O387+O390+O392-O391+O141+O355+O188+O183+O349+O389</f>
        <v>#REF!</v>
      </c>
      <c r="P393" s="2036">
        <f t="shared" si="717"/>
        <v>0</v>
      </c>
      <c r="Q393" s="2035" t="e">
        <f t="shared" ref="Q393:DC393" si="889">Q26+Q40+Q82+Q93+Q111+Q119+Q128+Q136+Q153+Q176+Q272+Q283+Q288+Q328+Q344+Q366+Q377+Q387+Q390+Q392-Q391+Q141+Q355+Q188+Q183+Q349+Q389</f>
        <v>#REF!</v>
      </c>
      <c r="R393" s="2003">
        <f t="shared" si="718"/>
        <v>0</v>
      </c>
      <c r="S393" s="2035" t="e">
        <f t="shared" si="889"/>
        <v>#REF!</v>
      </c>
      <c r="T393" s="2003">
        <f t="shared" si="719"/>
        <v>0</v>
      </c>
      <c r="U393" s="2035" t="e">
        <f t="shared" si="889"/>
        <v>#REF!</v>
      </c>
      <c r="V393" s="2035" t="e">
        <f t="shared" si="889"/>
        <v>#REF!</v>
      </c>
      <c r="W393" s="1989">
        <f t="shared" si="720"/>
        <v>0</v>
      </c>
      <c r="X393" s="2035" t="e">
        <f t="shared" si="889"/>
        <v>#REF!</v>
      </c>
      <c r="Y393" s="2035" t="e">
        <f t="shared" si="889"/>
        <v>#REF!</v>
      </c>
      <c r="Z393" s="2003">
        <f t="shared" si="721"/>
        <v>0</v>
      </c>
      <c r="AA393" s="2035" t="e">
        <f t="shared" si="889"/>
        <v>#REF!</v>
      </c>
      <c r="AB393" s="2003">
        <f t="shared" si="722"/>
        <v>0</v>
      </c>
      <c r="AC393" s="2035" t="e">
        <f t="shared" si="889"/>
        <v>#REF!</v>
      </c>
      <c r="AD393" s="2003">
        <f t="shared" si="723"/>
        <v>0</v>
      </c>
      <c r="AE393" s="2035" t="e">
        <f t="shared" si="889"/>
        <v>#REF!</v>
      </c>
      <c r="AF393" s="2035" t="e">
        <f t="shared" si="889"/>
        <v>#REF!</v>
      </c>
      <c r="AG393" s="2002" t="e">
        <f t="shared" si="724"/>
        <v>#REF!</v>
      </c>
      <c r="AH393" s="2035" t="e">
        <f t="shared" si="889"/>
        <v>#REF!</v>
      </c>
      <c r="AI393" s="2035" t="e">
        <f t="shared" si="889"/>
        <v>#REF!</v>
      </c>
      <c r="AJ393" s="2003">
        <f t="shared" si="725"/>
        <v>0</v>
      </c>
      <c r="AK393" s="2035" t="e">
        <f t="shared" si="889"/>
        <v>#REF!</v>
      </c>
      <c r="AL393" s="2003">
        <f t="shared" si="726"/>
        <v>0</v>
      </c>
      <c r="AM393" s="2035" t="e">
        <f t="shared" si="889"/>
        <v>#REF!</v>
      </c>
      <c r="AN393" s="2003">
        <f t="shared" si="727"/>
        <v>0</v>
      </c>
      <c r="AO393" s="2035" t="e">
        <f t="shared" si="889"/>
        <v>#REF!</v>
      </c>
      <c r="AP393" s="2035" t="e">
        <f t="shared" si="889"/>
        <v>#REF!</v>
      </c>
      <c r="AQ393" s="2002" t="e">
        <f t="shared" si="728"/>
        <v>#REF!</v>
      </c>
      <c r="AR393" s="2035" t="e">
        <f t="shared" si="889"/>
        <v>#REF!</v>
      </c>
      <c r="AS393" s="2035" t="e">
        <f t="shared" si="889"/>
        <v>#REF!</v>
      </c>
      <c r="AT393" s="2003">
        <f t="shared" si="729"/>
        <v>0</v>
      </c>
      <c r="AU393" s="2035" t="e">
        <f t="shared" si="889"/>
        <v>#REF!</v>
      </c>
      <c r="AV393" s="2003">
        <f t="shared" si="730"/>
        <v>0</v>
      </c>
      <c r="AW393" s="2035" t="e">
        <f t="shared" si="889"/>
        <v>#REF!</v>
      </c>
      <c r="AX393" s="2003">
        <f t="shared" si="731"/>
        <v>0</v>
      </c>
      <c r="AY393" s="2035" t="e">
        <f t="shared" si="889"/>
        <v>#REF!</v>
      </c>
      <c r="AZ393" s="2035" t="e">
        <f t="shared" si="889"/>
        <v>#REF!</v>
      </c>
      <c r="BA393" s="2002" t="e">
        <f t="shared" si="732"/>
        <v>#REF!</v>
      </c>
      <c r="BB393" s="2035" t="e">
        <f t="shared" si="889"/>
        <v>#REF!</v>
      </c>
      <c r="BC393" s="2035" t="e">
        <f t="shared" si="889"/>
        <v>#REF!</v>
      </c>
      <c r="BD393" s="2003">
        <f t="shared" si="733"/>
        <v>0</v>
      </c>
      <c r="BE393" s="2035" t="e">
        <f t="shared" si="889"/>
        <v>#REF!</v>
      </c>
      <c r="BF393" s="2003">
        <f t="shared" si="734"/>
        <v>0</v>
      </c>
      <c r="BG393" s="2035" t="e">
        <f t="shared" si="889"/>
        <v>#REF!</v>
      </c>
      <c r="BH393" s="2003">
        <f t="shared" si="735"/>
        <v>0</v>
      </c>
      <c r="BI393" s="2035" t="e">
        <f t="shared" si="889"/>
        <v>#REF!</v>
      </c>
      <c r="BJ393" s="2035" t="e">
        <f t="shared" si="889"/>
        <v>#REF!</v>
      </c>
      <c r="BK393" s="2002" t="e">
        <f t="shared" si="736"/>
        <v>#REF!</v>
      </c>
      <c r="BL393" s="2035" t="e">
        <f t="shared" si="889"/>
        <v>#REF!</v>
      </c>
      <c r="BM393" s="2035" t="e">
        <f t="shared" si="889"/>
        <v>#REF!</v>
      </c>
      <c r="BN393" s="2003">
        <f t="shared" si="737"/>
        <v>0</v>
      </c>
      <c r="BO393" s="2035" t="e">
        <f t="shared" si="889"/>
        <v>#REF!</v>
      </c>
      <c r="BP393" s="2003">
        <f t="shared" si="738"/>
        <v>0</v>
      </c>
      <c r="BQ393" s="2035" t="e">
        <f t="shared" si="889"/>
        <v>#REF!</v>
      </c>
      <c r="BR393" s="2003">
        <f t="shared" si="739"/>
        <v>0</v>
      </c>
      <c r="BS393" s="2035" t="e">
        <f t="shared" si="889"/>
        <v>#REF!</v>
      </c>
      <c r="BT393" s="2035" t="e">
        <f t="shared" si="889"/>
        <v>#REF!</v>
      </c>
      <c r="BU393" s="2002" t="e">
        <f t="shared" si="740"/>
        <v>#REF!</v>
      </c>
      <c r="BV393" s="2035" t="e">
        <f t="shared" si="889"/>
        <v>#REF!</v>
      </c>
      <c r="BW393" s="2035" t="e">
        <f t="shared" si="889"/>
        <v>#REF!</v>
      </c>
      <c r="BX393" s="2003">
        <f t="shared" si="741"/>
        <v>0</v>
      </c>
      <c r="BY393" s="2035" t="e">
        <f t="shared" si="889"/>
        <v>#REF!</v>
      </c>
      <c r="BZ393" s="2003">
        <f t="shared" si="742"/>
        <v>0</v>
      </c>
      <c r="CA393" s="2035" t="e">
        <f t="shared" si="889"/>
        <v>#REF!</v>
      </c>
      <c r="CB393" s="2003">
        <f t="shared" si="743"/>
        <v>0</v>
      </c>
      <c r="CC393" s="2035" t="e">
        <f t="shared" si="889"/>
        <v>#REF!</v>
      </c>
      <c r="CD393" s="2035" t="e">
        <f t="shared" si="889"/>
        <v>#REF!</v>
      </c>
      <c r="CE393" s="2002" t="e">
        <f t="shared" si="744"/>
        <v>#REF!</v>
      </c>
      <c r="CF393" s="2035" t="e">
        <f t="shared" si="889"/>
        <v>#REF!</v>
      </c>
      <c r="CG393" s="2035" t="e">
        <f t="shared" si="889"/>
        <v>#REF!</v>
      </c>
      <c r="CH393" s="2003">
        <f t="shared" si="745"/>
        <v>0</v>
      </c>
      <c r="CI393" s="2035" t="e">
        <f t="shared" si="889"/>
        <v>#REF!</v>
      </c>
      <c r="CJ393" s="2003">
        <f t="shared" si="746"/>
        <v>0</v>
      </c>
      <c r="CK393" s="2035" t="e">
        <f t="shared" si="889"/>
        <v>#REF!</v>
      </c>
      <c r="CL393" s="2003">
        <f t="shared" si="747"/>
        <v>0</v>
      </c>
      <c r="CM393" s="2035" t="e">
        <f t="shared" si="889"/>
        <v>#REF!</v>
      </c>
      <c r="CN393" s="2035" t="e">
        <f t="shared" si="889"/>
        <v>#REF!</v>
      </c>
      <c r="CO393" s="2002" t="e">
        <f t="shared" si="748"/>
        <v>#REF!</v>
      </c>
      <c r="CP393" s="2035" t="e">
        <f t="shared" si="889"/>
        <v>#REF!</v>
      </c>
      <c r="CQ393" s="2035" t="e">
        <f t="shared" si="889"/>
        <v>#REF!</v>
      </c>
      <c r="CR393" s="2003">
        <f t="shared" si="749"/>
        <v>0</v>
      </c>
      <c r="CS393" s="2035" t="e">
        <f t="shared" si="889"/>
        <v>#REF!</v>
      </c>
      <c r="CT393" s="2003">
        <f t="shared" si="750"/>
        <v>0</v>
      </c>
      <c r="CU393" s="2035" t="e">
        <f t="shared" si="889"/>
        <v>#REF!</v>
      </c>
      <c r="CV393" s="2003">
        <f t="shared" si="751"/>
        <v>0</v>
      </c>
      <c r="CW393" s="2035" t="e">
        <f t="shared" si="889"/>
        <v>#REF!</v>
      </c>
      <c r="CX393" s="2035" t="e">
        <f t="shared" si="889"/>
        <v>#REF!</v>
      </c>
      <c r="CY393" s="2002" t="e">
        <f t="shared" si="752"/>
        <v>#REF!</v>
      </c>
      <c r="CZ393" s="2035" t="e">
        <f t="shared" si="889"/>
        <v>#REF!</v>
      </c>
      <c r="DA393" s="2035" t="e">
        <f t="shared" si="889"/>
        <v>#REF!</v>
      </c>
      <c r="DB393" s="2003">
        <f t="shared" si="753"/>
        <v>0</v>
      </c>
      <c r="DC393" s="2035" t="e">
        <f t="shared" si="889"/>
        <v>#REF!</v>
      </c>
      <c r="DD393" s="2003">
        <f t="shared" si="754"/>
        <v>0</v>
      </c>
      <c r="DE393" s="2035" t="e">
        <f t="shared" ref="DE393:EL393" si="890">DE26+DE40+DE82+DE93+DE111+DE119+DE128+DE136+DE153+DE176+DE272+DE283+DE288+DE328+DE344+DE366+DE377+DE387+DE390+DE392-DE391+DE141+DE355+DE188+DE183+DE349+DE389</f>
        <v>#REF!</v>
      </c>
      <c r="DF393" s="2003">
        <f t="shared" si="755"/>
        <v>0</v>
      </c>
      <c r="DG393" s="2035" t="e">
        <f t="shared" si="890"/>
        <v>#REF!</v>
      </c>
      <c r="DH393" s="2035" t="e">
        <f t="shared" si="890"/>
        <v>#REF!</v>
      </c>
      <c r="DI393" s="2002" t="e">
        <f t="shared" si="756"/>
        <v>#REF!</v>
      </c>
      <c r="DJ393" s="2035" t="e">
        <f t="shared" si="890"/>
        <v>#REF!</v>
      </c>
      <c r="DK393" s="2035" t="e">
        <f t="shared" si="890"/>
        <v>#REF!</v>
      </c>
      <c r="DL393" s="2003">
        <f t="shared" si="757"/>
        <v>0</v>
      </c>
      <c r="DM393" s="2035" t="e">
        <f t="shared" si="890"/>
        <v>#REF!</v>
      </c>
      <c r="DN393" s="2003">
        <f t="shared" si="758"/>
        <v>0</v>
      </c>
      <c r="DO393" s="2035" t="e">
        <f t="shared" si="890"/>
        <v>#REF!</v>
      </c>
      <c r="DP393" s="2003">
        <f t="shared" si="759"/>
        <v>0</v>
      </c>
      <c r="DQ393" s="2035" t="e">
        <f t="shared" si="890"/>
        <v>#REF!</v>
      </c>
      <c r="DR393" s="2035" t="e">
        <f t="shared" si="890"/>
        <v>#REF!</v>
      </c>
      <c r="DS393" s="2002" t="e">
        <f t="shared" si="760"/>
        <v>#REF!</v>
      </c>
      <c r="DT393" s="2035" t="e">
        <f t="shared" si="890"/>
        <v>#REF!</v>
      </c>
      <c r="DU393" s="2035" t="e">
        <f t="shared" si="890"/>
        <v>#REF!</v>
      </c>
      <c r="DV393" s="2003">
        <f t="shared" si="761"/>
        <v>0</v>
      </c>
      <c r="DW393" s="2035" t="e">
        <f t="shared" si="890"/>
        <v>#REF!</v>
      </c>
      <c r="DX393" s="2003">
        <f t="shared" si="762"/>
        <v>0</v>
      </c>
      <c r="DY393" s="2035" t="e">
        <f>DY26+DY40+DY82+DY93+DY111+DY119+DY128+DY136+DY153+DY176+DY272+DY283+DY288+DY328+DY344+DY366+DY377+DY387+DY390+DY392-DY391+DY141+DY355+DY188+DY183+DY349+DY389</f>
        <v>#REF!</v>
      </c>
      <c r="DZ393" s="2003">
        <f t="shared" si="763"/>
        <v>0</v>
      </c>
      <c r="EA393" s="2035" t="e">
        <f t="shared" si="890"/>
        <v>#REF!</v>
      </c>
      <c r="EB393" s="2035" t="e">
        <f t="shared" si="890"/>
        <v>#REF!</v>
      </c>
      <c r="EC393" s="2002" t="e">
        <f t="shared" si="764"/>
        <v>#REF!</v>
      </c>
      <c r="ED393" s="2035" t="e">
        <f t="shared" si="890"/>
        <v>#REF!</v>
      </c>
      <c r="EE393" s="2037" t="e">
        <f>EE26+EE40+EE82+EE93+EE111+EE119+EE128+EE136+EE153+EE176+EE272+EE283+EE288+EE328+EE344+EE366+EE377+EE387+EE390+EE392-EE391+EE141+EE355+EE188+EE183+EE349+EE389</f>
        <v>#REF!</v>
      </c>
      <c r="EF393" s="2003">
        <f t="shared" si="766"/>
        <v>0</v>
      </c>
      <c r="EG393" s="2035" t="e">
        <f t="shared" si="890"/>
        <v>#REF!</v>
      </c>
      <c r="EH393" s="2003">
        <f t="shared" si="767"/>
        <v>0</v>
      </c>
      <c r="EI393" s="2035" t="e">
        <f t="shared" si="890"/>
        <v>#REF!</v>
      </c>
      <c r="EJ393" s="2003">
        <f t="shared" si="768"/>
        <v>0</v>
      </c>
      <c r="EK393" s="2035" t="e">
        <f t="shared" si="890"/>
        <v>#REF!</v>
      </c>
      <c r="EL393" s="2035" t="e">
        <f t="shared" si="890"/>
        <v>#REF!</v>
      </c>
      <c r="EM393" s="2006" t="e">
        <f t="shared" si="769"/>
        <v>#REF!</v>
      </c>
      <c r="EN393" s="2038" t="e">
        <f>EN26+EN40+EN82+EN93+EN111+EN119+EN128+EN136+EN153+EN176+EN272+EN283+EN288+EN328+EN344+EN366+EN377+EN387+EN390+EN392-EN391+EN141+EN355+EN188+EN183+EN349+EN389</f>
        <v>#REF!</v>
      </c>
      <c r="EO393" s="1609" t="e">
        <f>EO364+EO363+EP272</f>
        <v>#REF!</v>
      </c>
      <c r="EP393" s="1613" t="e">
        <f>EA393-#REF!/10^7</f>
        <v>#REF!</v>
      </c>
      <c r="EQ393" s="1625"/>
      <c r="EW393" s="1611" t="e">
        <v>#N/A</v>
      </c>
      <c r="EX393" s="1612" t="e">
        <v>#N/A</v>
      </c>
      <c r="EZ393" s="1650">
        <f t="shared" si="771"/>
        <v>0</v>
      </c>
    </row>
    <row r="394" spans="1:156">
      <c r="A394" s="1720"/>
      <c r="C394" s="1720"/>
      <c r="D394" s="1720"/>
      <c r="E394" s="1720"/>
      <c r="F394" s="1720"/>
      <c r="G394" s="1720"/>
      <c r="H394" s="1720"/>
      <c r="I394" s="1720"/>
      <c r="J394" s="1720"/>
      <c r="K394" s="1720"/>
      <c r="L394" s="1720"/>
      <c r="M394" s="1720"/>
      <c r="N394" s="1720"/>
      <c r="O394" s="2039" t="e">
        <f>O393-#REF!</f>
        <v>#REF!</v>
      </c>
      <c r="P394" s="2039"/>
      <c r="Q394" s="2039" t="e">
        <f>Q393-#REF!/10^7</f>
        <v>#REF!</v>
      </c>
      <c r="R394" s="2040"/>
      <c r="S394" s="2039" t="e">
        <f>S393-#REF!/10^7</f>
        <v>#REF!</v>
      </c>
      <c r="T394" s="2003"/>
      <c r="U394" s="2039" t="e">
        <f>U393-#REF!/10^7</f>
        <v>#REF!</v>
      </c>
      <c r="X394" s="2040" t="e">
        <f>X393-#REF!/10^7</f>
        <v>#REF!</v>
      </c>
      <c r="Y394" s="2039" t="e">
        <f>Y393-#REF!</f>
        <v>#REF!</v>
      </c>
      <c r="Z394" s="2003">
        <f t="shared" si="721"/>
        <v>0</v>
      </c>
      <c r="AA394" s="2040" t="e">
        <f>AA393-#REF!/10^7</f>
        <v>#REF!</v>
      </c>
      <c r="AB394" s="2003">
        <f t="shared" si="722"/>
        <v>0</v>
      </c>
      <c r="AC394" s="2040" t="e">
        <f>AC393-#REF!/10^7</f>
        <v>#REF!</v>
      </c>
      <c r="AD394" s="2003">
        <f t="shared" si="723"/>
        <v>0</v>
      </c>
      <c r="AE394" s="1611" t="e">
        <f>AE393-#REF!/10^7</f>
        <v>#REF!</v>
      </c>
      <c r="AH394" s="2040" t="e">
        <f>AH393-#REF!/10^7</f>
        <v>#REF!</v>
      </c>
      <c r="AI394" s="2039" t="e">
        <f>AI393-#REF!</f>
        <v>#REF!</v>
      </c>
      <c r="AJ394" s="2039"/>
      <c r="AK394" s="2041" t="e">
        <f>AK393-#REF!/10^7</f>
        <v>#REF!</v>
      </c>
      <c r="AL394" s="2003">
        <f t="shared" si="726"/>
        <v>0</v>
      </c>
      <c r="AM394" s="2041" t="e">
        <f>AM393-#REF!/10^7</f>
        <v>#REF!</v>
      </c>
      <c r="AN394" s="2003">
        <f t="shared" si="727"/>
        <v>0</v>
      </c>
      <c r="AO394" s="2042" t="e">
        <f>AO393-#REF!/10^7</f>
        <v>#REF!</v>
      </c>
      <c r="AP394" s="2042" t="e">
        <f>AP393-#REF!/10^7</f>
        <v>#REF!</v>
      </c>
      <c r="AQ394" s="2042"/>
      <c r="AR394" s="2043" t="e">
        <f>AR393-#REF!/10^7</f>
        <v>#REF!</v>
      </c>
      <c r="AS394" s="2039" t="e">
        <f>AS393-#REF!</f>
        <v>#REF!</v>
      </c>
      <c r="AT394" s="2003">
        <f t="shared" si="729"/>
        <v>0</v>
      </c>
      <c r="AU394" s="2041" t="e">
        <f>AU393-#REF!/10^7</f>
        <v>#REF!</v>
      </c>
      <c r="AV394" s="2003">
        <f t="shared" si="730"/>
        <v>0</v>
      </c>
      <c r="AW394" s="2041" t="e">
        <f>AW393-#REF!/10^7</f>
        <v>#REF!</v>
      </c>
      <c r="AX394" s="2003">
        <f t="shared" si="731"/>
        <v>0</v>
      </c>
      <c r="AY394" s="2042" t="e">
        <f>AY393-#REF!/10^7</f>
        <v>#REF!</v>
      </c>
      <c r="AZ394" s="2042" t="e">
        <f>AZ393-#REF!/10^7</f>
        <v>#REF!</v>
      </c>
      <c r="BA394" s="2042"/>
      <c r="BB394" s="2040" t="e">
        <f>BB393-#REF!/10^7</f>
        <v>#REF!</v>
      </c>
      <c r="BC394" s="2039" t="e">
        <f>BC393-#REF!</f>
        <v>#REF!</v>
      </c>
      <c r="BD394" s="2003">
        <f t="shared" si="733"/>
        <v>0</v>
      </c>
      <c r="BE394" s="2041" t="e">
        <f>BE393-#REF!/10^7</f>
        <v>#REF!</v>
      </c>
      <c r="BF394" s="2003">
        <f t="shared" si="734"/>
        <v>0</v>
      </c>
      <c r="BG394" s="2041" t="e">
        <f>BG393-#REF!/10^7</f>
        <v>#REF!</v>
      </c>
      <c r="BH394" s="2003">
        <f t="shared" si="735"/>
        <v>0</v>
      </c>
      <c r="BI394" s="2042" t="e">
        <f>BI393-#REF!/10^7</f>
        <v>#REF!</v>
      </c>
      <c r="BJ394" s="2042" t="e">
        <f>BJ393-#REF!/10^7</f>
        <v>#REF!</v>
      </c>
      <c r="BK394" s="2042"/>
      <c r="BL394" s="2040" t="e">
        <f>BL393-#REF!/10^7</f>
        <v>#REF!</v>
      </c>
      <c r="BM394" s="2039" t="e">
        <f>BM393-#REF!</f>
        <v>#REF!</v>
      </c>
      <c r="BN394" s="2003">
        <f t="shared" si="737"/>
        <v>0</v>
      </c>
      <c r="BO394" s="2041" t="e">
        <f>BO393-#REF!/10^7</f>
        <v>#REF!</v>
      </c>
      <c r="BP394" s="2003">
        <f t="shared" si="738"/>
        <v>0</v>
      </c>
      <c r="BQ394" s="2041" t="e">
        <f>BQ393-#REF!/10^7</f>
        <v>#REF!</v>
      </c>
      <c r="BR394" s="2003">
        <f t="shared" si="739"/>
        <v>0</v>
      </c>
      <c r="BS394" s="2042" t="e">
        <f>BS393-#REF!/10^7</f>
        <v>#REF!</v>
      </c>
      <c r="BT394" s="2042"/>
      <c r="BU394" s="2042"/>
      <c r="BV394" s="2040" t="e">
        <f>BV393-#REF!/10^7</f>
        <v>#REF!</v>
      </c>
      <c r="BW394" s="2041" t="e">
        <f>BW393-#REF!</f>
        <v>#REF!</v>
      </c>
      <c r="BX394" s="2041"/>
      <c r="BY394" s="2041" t="e">
        <f>BY393-#REF!/10^7</f>
        <v>#REF!</v>
      </c>
      <c r="BZ394" s="2003">
        <f t="shared" si="742"/>
        <v>0</v>
      </c>
      <c r="CA394" s="2041" t="e">
        <f>CA393-#REF!/10^7</f>
        <v>#REF!</v>
      </c>
      <c r="CB394" s="2003">
        <f t="shared" si="743"/>
        <v>0</v>
      </c>
      <c r="CC394" s="2041" t="e">
        <f>CC393-#REF!/10^7</f>
        <v>#REF!</v>
      </c>
      <c r="CD394" s="2041" t="e">
        <f>CD393-#REF!/10^7</f>
        <v>#REF!</v>
      </c>
      <c r="CE394" s="2042"/>
      <c r="CF394" s="2040" t="e">
        <f>CF393-#REF!/10^7</f>
        <v>#REF!</v>
      </c>
      <c r="CG394" s="2039" t="e">
        <f>CG393-#REF!</f>
        <v>#REF!</v>
      </c>
      <c r="CH394" s="2003">
        <f t="shared" si="745"/>
        <v>0</v>
      </c>
      <c r="CI394" s="2041" t="e">
        <f>CI393-#REF!/10^7</f>
        <v>#REF!</v>
      </c>
      <c r="CJ394" s="2003">
        <f t="shared" si="746"/>
        <v>0</v>
      </c>
      <c r="CK394" s="2041" t="e">
        <f>CK393-#REF!/10^7</f>
        <v>#REF!</v>
      </c>
      <c r="CL394" s="2003">
        <f t="shared" si="747"/>
        <v>0</v>
      </c>
      <c r="CM394" s="2041" t="e">
        <f>CM393-#REF!/10^7</f>
        <v>#REF!</v>
      </c>
      <c r="CN394" s="2041" t="e">
        <f>CN393-#REF!/10^7</f>
        <v>#REF!</v>
      </c>
      <c r="CO394" s="2042"/>
      <c r="CP394" s="2040" t="e">
        <f>CP393-#REF!/10^7</f>
        <v>#REF!</v>
      </c>
      <c r="CQ394" s="2039" t="e">
        <f>CQ393-#REF!</f>
        <v>#REF!</v>
      </c>
      <c r="CR394" s="2003">
        <f t="shared" si="749"/>
        <v>0</v>
      </c>
      <c r="CS394" s="2044" t="e">
        <f>CS393-#REF!/10^7</f>
        <v>#REF!</v>
      </c>
      <c r="CT394" s="2003">
        <f t="shared" si="750"/>
        <v>0</v>
      </c>
      <c r="CU394" s="2044" t="e">
        <f>CU393-#REF!/10^7</f>
        <v>#REF!</v>
      </c>
      <c r="CV394" s="2003">
        <f t="shared" si="751"/>
        <v>0</v>
      </c>
      <c r="CW394" s="2044" t="e">
        <f>CW393-#REF!/10^7</f>
        <v>#REF!</v>
      </c>
      <c r="CX394" s="2044" t="e">
        <f>CX393-#REF!/10^7</f>
        <v>#REF!</v>
      </c>
      <c r="CY394" s="2042"/>
      <c r="CZ394" s="2040" t="e">
        <f>CZ393-#REF!/10^7</f>
        <v>#REF!</v>
      </c>
      <c r="DA394" s="2039" t="e">
        <f>DA393-#REF!</f>
        <v>#REF!</v>
      </c>
      <c r="DB394" s="2003">
        <f t="shared" si="753"/>
        <v>0</v>
      </c>
      <c r="DC394" s="2044" t="e">
        <f>DC393-#REF!/10^7</f>
        <v>#REF!</v>
      </c>
      <c r="DD394" s="2003">
        <f t="shared" si="754"/>
        <v>0</v>
      </c>
      <c r="DE394" s="2045" t="e">
        <f>DE393-#REF!/10^7</f>
        <v>#REF!</v>
      </c>
      <c r="DF394" s="2044"/>
      <c r="DG394" s="2044" t="e">
        <f>DG393-#REF!/10^7</f>
        <v>#REF!</v>
      </c>
      <c r="DH394" s="2044" t="e">
        <f>DH393-#REF!/10^7</f>
        <v>#REF!</v>
      </c>
      <c r="DI394" s="2042"/>
      <c r="DJ394" s="2040" t="e">
        <f>DJ393-#REF!/10^7</f>
        <v>#REF!</v>
      </c>
      <c r="DK394" s="2039" t="e">
        <f>DK393-#REF!</f>
        <v>#REF!</v>
      </c>
      <c r="DL394" s="2003">
        <f t="shared" si="757"/>
        <v>0</v>
      </c>
      <c r="DM394" s="2044" t="e">
        <f>DM393-#REF!/10^7</f>
        <v>#REF!</v>
      </c>
      <c r="DN394" s="2003">
        <f t="shared" si="758"/>
        <v>0</v>
      </c>
      <c r="DO394" s="2044" t="e">
        <f>DO393-#REF!/10^7</f>
        <v>#REF!</v>
      </c>
      <c r="DP394" s="2003">
        <f t="shared" si="759"/>
        <v>0</v>
      </c>
      <c r="DQ394" s="2044" t="e">
        <f>DQ393-#REF!/10^7</f>
        <v>#REF!</v>
      </c>
      <c r="DR394" s="2044" t="e">
        <f>DR393-#REF!/10^7</f>
        <v>#REF!</v>
      </c>
      <c r="DS394" s="2042"/>
      <c r="DT394" s="2040" t="e">
        <f>DT393-#REF!/10^7</f>
        <v>#REF!</v>
      </c>
      <c r="DU394" s="2046" t="e">
        <f>DU393-#REF!</f>
        <v>#REF!</v>
      </c>
      <c r="DV394" s="2003">
        <f t="shared" si="761"/>
        <v>0</v>
      </c>
      <c r="DW394" s="2044" t="e">
        <f>DW393-#REF!/10^7</f>
        <v>#REF!</v>
      </c>
      <c r="DX394" s="2003">
        <f t="shared" si="762"/>
        <v>0</v>
      </c>
      <c r="DY394" s="2044" t="e">
        <f>DY393-#REF!/10^7</f>
        <v>#REF!</v>
      </c>
      <c r="DZ394" s="2003">
        <f t="shared" si="763"/>
        <v>0</v>
      </c>
      <c r="EA394" s="2044" t="e">
        <f>EA393-#REF!/10^7</f>
        <v>#REF!</v>
      </c>
      <c r="EB394" s="2044" t="e">
        <f>EB393-#REF!/10^7</f>
        <v>#REF!</v>
      </c>
      <c r="EC394" s="2047"/>
      <c r="ED394" s="2048" t="e">
        <f>ED393-#REF!/10^7</f>
        <v>#REF!</v>
      </c>
      <c r="EE394" s="2041" t="e">
        <f>EE393-#REF!</f>
        <v>#REF!</v>
      </c>
      <c r="EF394" s="2041"/>
      <c r="EG394" s="1611" t="e">
        <f>EG393-#REF!/10^7</f>
        <v>#REF!</v>
      </c>
      <c r="EH394" s="2003">
        <f t="shared" si="767"/>
        <v>0</v>
      </c>
      <c r="EI394" s="1611" t="e">
        <f>EI393-#REF!/10^7</f>
        <v>#REF!</v>
      </c>
      <c r="EJ394" s="2003">
        <f t="shared" si="768"/>
        <v>0</v>
      </c>
      <c r="EK394" s="1611" t="e">
        <f>EK393-#REF!/10^7</f>
        <v>#REF!</v>
      </c>
      <c r="EL394" s="1611" t="e">
        <f>EL393-#REF!/10^7</f>
        <v>#REF!</v>
      </c>
      <c r="EN394" s="2049" t="e">
        <f>$EN393-$X393-$AH393-$AR393-$BB393-$BL393-$BV393-$CF393-$CP393-$CZ393-$DJ393-$DT393-$ED393</f>
        <v>#REF!</v>
      </c>
      <c r="EW394" s="1611" t="e">
        <v>#N/A</v>
      </c>
      <c r="EX394" s="1612" t="e">
        <v>#N/A</v>
      </c>
      <c r="EZ394" s="1650">
        <f t="shared" si="771"/>
        <v>0</v>
      </c>
    </row>
    <row r="395" spans="1:156" s="1727" customFormat="1" ht="22.5" customHeight="1">
      <c r="A395" s="1722"/>
      <c r="B395" s="1723" t="s">
        <v>2020</v>
      </c>
      <c r="C395" s="1724"/>
      <c r="D395" s="1724"/>
      <c r="E395" s="1724"/>
      <c r="F395" s="1725"/>
      <c r="G395" s="1725"/>
      <c r="H395" s="1725"/>
      <c r="I395" s="1725"/>
      <c r="J395" s="1725"/>
      <c r="K395" s="1725"/>
      <c r="L395" s="1725"/>
      <c r="M395" s="1725"/>
      <c r="N395" s="1726"/>
      <c r="O395" s="2050"/>
      <c r="P395" s="2050"/>
      <c r="Q395" s="2051" t="e">
        <f>Q393/(O393)*10</f>
        <v>#REF!</v>
      </c>
      <c r="R395" s="2051"/>
      <c r="S395" s="2051" t="e">
        <f>S393/(O393)*10</f>
        <v>#REF!</v>
      </c>
      <c r="T395" s="2051"/>
      <c r="U395" s="2051" t="e">
        <f>U393/(O393)*10</f>
        <v>#REF!</v>
      </c>
      <c r="V395" s="2051" t="e">
        <f>V393/(O393*1000000)</f>
        <v>#REF!</v>
      </c>
      <c r="W395" s="2051" t="e">
        <f>X393/(O393*1000000)</f>
        <v>#REF!</v>
      </c>
      <c r="X395" s="2051"/>
      <c r="Y395" s="2051"/>
      <c r="Z395" s="2003">
        <f t="shared" si="721"/>
        <v>0</v>
      </c>
      <c r="AA395" s="2051" t="e">
        <f>AA393/(Y393*1000000)</f>
        <v>#REF!</v>
      </c>
      <c r="AB395" s="2003">
        <f t="shared" si="722"/>
        <v>0</v>
      </c>
      <c r="AC395" s="2051" t="e">
        <f>AC393/(Y393*1000000)</f>
        <v>#REF!</v>
      </c>
      <c r="AD395" s="2003">
        <f t="shared" si="723"/>
        <v>0</v>
      </c>
      <c r="AE395" s="2051" t="e">
        <f>AE393/(Y393*1000000)</f>
        <v>#REF!</v>
      </c>
      <c r="AF395" s="2051" t="e">
        <f>AF393/(Y393*1000000)</f>
        <v>#REF!</v>
      </c>
      <c r="AG395" s="2051" t="e">
        <f>AH393/(Y393*1000000)</f>
        <v>#REF!</v>
      </c>
      <c r="AH395" s="2051"/>
      <c r="AI395" s="2051"/>
      <c r="AJ395" s="2051"/>
      <c r="AK395" s="2051" t="e">
        <f>AK393/(AI393*1000000)</f>
        <v>#REF!</v>
      </c>
      <c r="AL395" s="2003">
        <f t="shared" si="726"/>
        <v>0</v>
      </c>
      <c r="AM395" s="2051" t="e">
        <f>AM393/(AI393*1000000)</f>
        <v>#REF!</v>
      </c>
      <c r="AN395" s="2003">
        <f t="shared" si="727"/>
        <v>0</v>
      </c>
      <c r="AO395" s="2051" t="e">
        <f>AO393/(AI393*1000000)</f>
        <v>#REF!</v>
      </c>
      <c r="AP395" s="2051" t="e">
        <f>AP393/(AI393*1000000)</f>
        <v>#REF!</v>
      </c>
      <c r="AQ395" s="2051" t="e">
        <f>AR393/(AI393*1000000)</f>
        <v>#REF!</v>
      </c>
      <c r="AR395" s="2051"/>
      <c r="AS395" s="2051"/>
      <c r="AT395" s="2003">
        <f t="shared" si="729"/>
        <v>0</v>
      </c>
      <c r="AU395" s="2051" t="e">
        <f>AU393/(AS393*1000000)</f>
        <v>#REF!</v>
      </c>
      <c r="AV395" s="2003">
        <f t="shared" si="730"/>
        <v>0</v>
      </c>
      <c r="AW395" s="2051" t="e">
        <f>AW393/(AS393*1000000)</f>
        <v>#REF!</v>
      </c>
      <c r="AX395" s="2003">
        <f t="shared" si="731"/>
        <v>0</v>
      </c>
      <c r="AY395" s="2051" t="e">
        <f>AY393/(AS393*1000000)</f>
        <v>#REF!</v>
      </c>
      <c r="AZ395" s="2051" t="e">
        <f>AZ393/(AS393*1000000)</f>
        <v>#REF!</v>
      </c>
      <c r="BA395" s="2051" t="e">
        <f>BB393/(AS393*1000000)</f>
        <v>#REF!</v>
      </c>
      <c r="BB395" s="2051"/>
      <c r="BC395" s="2051"/>
      <c r="BD395" s="2003">
        <f t="shared" si="733"/>
        <v>0</v>
      </c>
      <c r="BE395" s="2051" t="e">
        <f>BE393/(BC393*1000000)</f>
        <v>#REF!</v>
      </c>
      <c r="BF395" s="2003">
        <f t="shared" si="734"/>
        <v>0</v>
      </c>
      <c r="BG395" s="2051" t="e">
        <f>BG393/(BC393*1000000)</f>
        <v>#REF!</v>
      </c>
      <c r="BH395" s="2003">
        <f t="shared" si="735"/>
        <v>0</v>
      </c>
      <c r="BI395" s="2051" t="e">
        <f>BI393/(BC393*1000000)</f>
        <v>#REF!</v>
      </c>
      <c r="BJ395" s="2051" t="e">
        <f>BJ393/(BC393*1000000)</f>
        <v>#REF!</v>
      </c>
      <c r="BK395" s="2051" t="e">
        <f>BL393/(BC393*1000000)</f>
        <v>#REF!</v>
      </c>
      <c r="BL395" s="2051"/>
      <c r="BM395" s="2051"/>
      <c r="BN395" s="2003">
        <f t="shared" si="737"/>
        <v>0</v>
      </c>
      <c r="BO395" s="2051" t="e">
        <f>BO393/(BM393*1000000)</f>
        <v>#REF!</v>
      </c>
      <c r="BP395" s="2003">
        <f t="shared" si="738"/>
        <v>0</v>
      </c>
      <c r="BQ395" s="2051" t="e">
        <f>BQ393/(BM393*1000000)</f>
        <v>#REF!</v>
      </c>
      <c r="BR395" s="2003">
        <f t="shared" si="739"/>
        <v>0</v>
      </c>
      <c r="BS395" s="2051" t="e">
        <f>BS393/(BM393*1000000)</f>
        <v>#REF!</v>
      </c>
      <c r="BT395" s="2051" t="e">
        <f>BT393/(BM393*1000000)</f>
        <v>#REF!</v>
      </c>
      <c r="BU395" s="2051" t="e">
        <f>BV393/(BM393*1000000)</f>
        <v>#REF!</v>
      </c>
      <c r="BV395" s="2051"/>
      <c r="BW395" s="2051"/>
      <c r="BX395" s="2051"/>
      <c r="BY395" s="2051" t="e">
        <f>BY393/(BW393*1000000)</f>
        <v>#REF!</v>
      </c>
      <c r="BZ395" s="2003">
        <f t="shared" si="742"/>
        <v>0</v>
      </c>
      <c r="CA395" s="2051" t="e">
        <f>CA393/(BW393*1000000)</f>
        <v>#REF!</v>
      </c>
      <c r="CB395" s="2003">
        <f t="shared" si="743"/>
        <v>0</v>
      </c>
      <c r="CC395" s="2051" t="e">
        <f>CC393/(BW393*1000000)</f>
        <v>#REF!</v>
      </c>
      <c r="CD395" s="2051" t="e">
        <f>CD393/(BW393*1000000)</f>
        <v>#REF!</v>
      </c>
      <c r="CE395" s="2051" t="e">
        <f>CF393/(BW393*1000000)</f>
        <v>#REF!</v>
      </c>
      <c r="CF395" s="2051"/>
      <c r="CG395" s="2051"/>
      <c r="CH395" s="2003">
        <f t="shared" si="745"/>
        <v>0</v>
      </c>
      <c r="CI395" s="2051" t="e">
        <f>CI393/(CG393*1000000)</f>
        <v>#REF!</v>
      </c>
      <c r="CJ395" s="2003">
        <f t="shared" si="746"/>
        <v>0</v>
      </c>
      <c r="CK395" s="2051" t="e">
        <f>CK393/(CG393*1000000)</f>
        <v>#REF!</v>
      </c>
      <c r="CL395" s="2003">
        <f t="shared" si="747"/>
        <v>0</v>
      </c>
      <c r="CM395" s="2051" t="e">
        <f>CM393/(CG393*1000000)</f>
        <v>#REF!</v>
      </c>
      <c r="CN395" s="2051" t="e">
        <f>CN393/(CG393*1000000)</f>
        <v>#REF!</v>
      </c>
      <c r="CO395" s="2051" t="e">
        <f>CP393/(CG393*1000000)</f>
        <v>#REF!</v>
      </c>
      <c r="CP395" s="2051"/>
      <c r="CQ395" s="2051"/>
      <c r="CR395" s="2003">
        <f t="shared" si="749"/>
        <v>0</v>
      </c>
      <c r="CS395" s="2051" t="e">
        <f>CS393/(CQ393*1000000)</f>
        <v>#REF!</v>
      </c>
      <c r="CT395" s="2003">
        <f t="shared" si="750"/>
        <v>0</v>
      </c>
      <c r="CU395" s="2051" t="e">
        <f>CU393/(CQ393*1000000)</f>
        <v>#REF!</v>
      </c>
      <c r="CV395" s="2003">
        <f t="shared" si="751"/>
        <v>0</v>
      </c>
      <c r="CW395" s="2051" t="e">
        <f>CW393/(CQ393*1000000)</f>
        <v>#REF!</v>
      </c>
      <c r="CX395" s="2051" t="e">
        <f>CX393/(CQ393*1000000)</f>
        <v>#REF!</v>
      </c>
      <c r="CY395" s="2051" t="e">
        <f>CZ393/(CQ393*1000000)</f>
        <v>#REF!</v>
      </c>
      <c r="CZ395" s="2051"/>
      <c r="DA395" s="2051"/>
      <c r="DB395" s="2003">
        <f t="shared" si="753"/>
        <v>0</v>
      </c>
      <c r="DC395" s="2051" t="e">
        <f>DC393/(DA393*1000000)</f>
        <v>#REF!</v>
      </c>
      <c r="DD395" s="2003">
        <f t="shared" si="754"/>
        <v>0</v>
      </c>
      <c r="DE395" s="2051" t="e">
        <f>DE393/(DA393*1000000)</f>
        <v>#REF!</v>
      </c>
      <c r="DF395" s="2051"/>
      <c r="DG395" s="2051" t="e">
        <f>DG393/(DA393*1000000)</f>
        <v>#REF!</v>
      </c>
      <c r="DH395" s="2051" t="e">
        <f>DH393/(DA393*1000000)</f>
        <v>#REF!</v>
      </c>
      <c r="DI395" s="2051" t="e">
        <f>DJ393/(DA393*1000000)</f>
        <v>#REF!</v>
      </c>
      <c r="DJ395" s="2051"/>
      <c r="DK395" s="2051"/>
      <c r="DL395" s="2003">
        <f t="shared" si="757"/>
        <v>0</v>
      </c>
      <c r="DM395" s="2051" t="e">
        <f>DM393/(DK393*1000000)</f>
        <v>#REF!</v>
      </c>
      <c r="DN395" s="2003">
        <f t="shared" si="758"/>
        <v>0</v>
      </c>
      <c r="DO395" s="2051" t="e">
        <f>DO393/(DK393*1000000)</f>
        <v>#REF!</v>
      </c>
      <c r="DP395" s="2003">
        <f t="shared" si="759"/>
        <v>0</v>
      </c>
      <c r="DQ395" s="2051" t="e">
        <f>DQ393/(DK393*1000000)</f>
        <v>#REF!</v>
      </c>
      <c r="DR395" s="2051" t="e">
        <f>DR393/(DK393*1000000)</f>
        <v>#REF!</v>
      </c>
      <c r="DS395" s="2051" t="e">
        <f>DT393/(DK393*1000000)</f>
        <v>#REF!</v>
      </c>
      <c r="DT395" s="2051"/>
      <c r="DU395" s="2051"/>
      <c r="DV395" s="2003">
        <f t="shared" si="761"/>
        <v>0</v>
      </c>
      <c r="DW395" s="2051" t="e">
        <f>DW393/(DU393*1000000)</f>
        <v>#REF!</v>
      </c>
      <c r="DX395" s="2003">
        <f t="shared" si="762"/>
        <v>0</v>
      </c>
      <c r="DY395" s="2051" t="e">
        <f>DY393/(DU393*1000000)</f>
        <v>#REF!</v>
      </c>
      <c r="DZ395" s="2003">
        <f t="shared" si="763"/>
        <v>0</v>
      </c>
      <c r="EA395" s="2051" t="e">
        <f>EA393/(DU393*1000000)</f>
        <v>#REF!</v>
      </c>
      <c r="EB395" s="2051" t="e">
        <f>EB393/(DU393*1000000)</f>
        <v>#REF!</v>
      </c>
      <c r="EC395" s="2051" t="e">
        <f>ED393/(DU393*1000000)</f>
        <v>#REF!</v>
      </c>
      <c r="ED395" s="2051"/>
      <c r="EE395" s="2052"/>
      <c r="EF395" s="2052"/>
      <c r="EG395" s="2051" t="e">
        <f>EG393/(EE393*1000000)</f>
        <v>#REF!</v>
      </c>
      <c r="EH395" s="2003">
        <f t="shared" si="767"/>
        <v>0</v>
      </c>
      <c r="EI395" s="2051" t="e">
        <f>EI393/(EE393*1000000)</f>
        <v>#REF!</v>
      </c>
      <c r="EJ395" s="2003">
        <f t="shared" si="768"/>
        <v>0</v>
      </c>
      <c r="EK395" s="2051" t="e">
        <f>EK393/(EE393*1000000)</f>
        <v>#REF!</v>
      </c>
      <c r="EL395" s="2051" t="e">
        <f>EL393/(EE393*1000000)</f>
        <v>#REF!</v>
      </c>
      <c r="EM395" s="2051" t="e">
        <f>EN393/(EE393*1000000)</f>
        <v>#REF!</v>
      </c>
      <c r="EN395" s="2051"/>
      <c r="EO395" s="1609"/>
      <c r="EP395" s="1612"/>
      <c r="EQ395" s="1625"/>
    </row>
    <row r="396" spans="1:156">
      <c r="B396" s="1728" t="s">
        <v>1824</v>
      </c>
      <c r="C396" s="1729"/>
      <c r="D396" s="1729"/>
      <c r="E396" s="1729"/>
      <c r="J396" s="1653"/>
      <c r="X396" s="1620"/>
      <c r="AH396" s="1620"/>
      <c r="AR396" s="1620"/>
      <c r="BB396" s="1620"/>
      <c r="BL396" s="1620"/>
      <c r="BV396" s="1620"/>
      <c r="CF396" s="1620"/>
      <c r="CP396" s="1620"/>
      <c r="CZ396" s="1620"/>
      <c r="DJ396" s="1620"/>
      <c r="DT396" s="1620"/>
      <c r="ED396" s="1620"/>
      <c r="EE396" s="1613"/>
      <c r="EF396" s="1613"/>
      <c r="EM396" s="1611"/>
      <c r="EN396" s="1620"/>
    </row>
    <row r="397" spans="1:156">
      <c r="B397" s="1728" t="s">
        <v>1825</v>
      </c>
      <c r="C397" s="1617"/>
      <c r="D397" s="1617"/>
      <c r="E397" s="1617"/>
      <c r="J397" s="1653"/>
      <c r="CQ397" s="2053"/>
      <c r="CR397" s="2053"/>
      <c r="CS397" s="2054"/>
      <c r="CT397" s="2054"/>
      <c r="CU397" s="2054"/>
      <c r="CV397" s="2054"/>
      <c r="CW397" s="2054"/>
      <c r="CX397" s="2054"/>
      <c r="CY397" s="2054"/>
      <c r="CZ397" s="2054"/>
      <c r="DA397" s="1608"/>
      <c r="DB397" s="1608"/>
      <c r="DC397" s="1609"/>
      <c r="DD397" s="1609"/>
      <c r="DE397" s="1609"/>
      <c r="DF397" s="1609"/>
      <c r="DG397" s="1609"/>
      <c r="DH397" s="1609"/>
      <c r="DI397" s="1609"/>
      <c r="DJ397" s="1609"/>
      <c r="ED397" s="1620"/>
      <c r="EE397" s="2055" t="e">
        <f>EE393-#REF!</f>
        <v>#REF!</v>
      </c>
      <c r="EF397" s="2055"/>
    </row>
    <row r="398" spans="1:156">
      <c r="B398" s="1728" t="s">
        <v>1826</v>
      </c>
      <c r="C398" s="1729"/>
      <c r="D398" s="1729"/>
      <c r="E398" s="1729"/>
      <c r="J398" s="1653"/>
      <c r="EE398" s="2056"/>
      <c r="EF398" s="2056"/>
    </row>
    <row r="399" spans="1:156">
      <c r="B399" s="1728" t="s">
        <v>1827</v>
      </c>
      <c r="C399" s="1729"/>
      <c r="D399" s="1729"/>
      <c r="E399" s="1729"/>
      <c r="J399" s="1653"/>
      <c r="EE399" s="2057"/>
      <c r="EF399" s="2057"/>
    </row>
    <row r="400" spans="1:156">
      <c r="B400" s="1728" t="s">
        <v>1828</v>
      </c>
      <c r="J400" s="1653"/>
    </row>
    <row r="402" spans="2:144" ht="13.5" thickBot="1"/>
    <row r="403" spans="2:144" ht="18" customHeight="1">
      <c r="B403" s="1731" t="s">
        <v>2021</v>
      </c>
      <c r="O403" s="3114" t="s">
        <v>2021</v>
      </c>
      <c r="P403" s="3115"/>
      <c r="Q403" s="3115"/>
      <c r="R403" s="3115"/>
      <c r="S403" s="3115"/>
      <c r="T403" s="3115"/>
      <c r="U403" s="3115"/>
      <c r="V403" s="3115"/>
      <c r="W403" s="3115"/>
      <c r="X403" s="3116"/>
      <c r="Y403" s="3114" t="s">
        <v>2021</v>
      </c>
      <c r="Z403" s="3115"/>
      <c r="AA403" s="3115"/>
      <c r="AB403" s="3115"/>
      <c r="AC403" s="3115"/>
      <c r="AD403" s="3115"/>
      <c r="AE403" s="3115"/>
      <c r="AF403" s="3115"/>
      <c r="AG403" s="3115"/>
      <c r="AH403" s="3116"/>
      <c r="AI403" s="3114" t="s">
        <v>2021</v>
      </c>
      <c r="AJ403" s="3115"/>
      <c r="AK403" s="3115"/>
      <c r="AL403" s="3115"/>
      <c r="AM403" s="3115"/>
      <c r="AN403" s="3115"/>
      <c r="AO403" s="3115"/>
      <c r="AP403" s="3115"/>
      <c r="AQ403" s="3115"/>
      <c r="AR403" s="3116"/>
      <c r="AS403" s="3114" t="s">
        <v>2021</v>
      </c>
      <c r="AT403" s="3115"/>
      <c r="AU403" s="3115"/>
      <c r="AV403" s="3115"/>
      <c r="AW403" s="3115"/>
      <c r="AX403" s="3115"/>
      <c r="AY403" s="3115"/>
      <c r="AZ403" s="3115"/>
      <c r="BA403" s="3115"/>
      <c r="BB403" s="3116"/>
      <c r="BC403" s="3114" t="s">
        <v>2021</v>
      </c>
      <c r="BD403" s="3115"/>
      <c r="BE403" s="3115"/>
      <c r="BF403" s="3115"/>
      <c r="BG403" s="3115"/>
      <c r="BH403" s="3115"/>
      <c r="BI403" s="3115"/>
      <c r="BJ403" s="3115"/>
      <c r="BK403" s="3115"/>
      <c r="BL403" s="3116"/>
      <c r="BM403" s="3114" t="s">
        <v>2021</v>
      </c>
      <c r="BN403" s="3115"/>
      <c r="BO403" s="3115"/>
      <c r="BP403" s="3115"/>
      <c r="BQ403" s="3115"/>
      <c r="BR403" s="3115"/>
      <c r="BS403" s="3115"/>
      <c r="BT403" s="3115"/>
      <c r="BU403" s="3115"/>
      <c r="BV403" s="3116"/>
      <c r="BW403" s="3114" t="s">
        <v>2021</v>
      </c>
      <c r="BX403" s="3115"/>
      <c r="BY403" s="3115"/>
      <c r="BZ403" s="3115"/>
      <c r="CA403" s="3115"/>
      <c r="CB403" s="3115"/>
      <c r="CC403" s="3115"/>
      <c r="CD403" s="3115"/>
      <c r="CE403" s="3115"/>
      <c r="CF403" s="3116"/>
      <c r="CG403" s="3114" t="s">
        <v>2021</v>
      </c>
      <c r="CH403" s="3115"/>
      <c r="CI403" s="3115"/>
      <c r="CJ403" s="3115"/>
      <c r="CK403" s="3115"/>
      <c r="CL403" s="3115"/>
      <c r="CM403" s="3115"/>
      <c r="CN403" s="3115"/>
      <c r="CO403" s="3115"/>
      <c r="CP403" s="3116"/>
      <c r="CQ403" s="3114" t="s">
        <v>2021</v>
      </c>
      <c r="CR403" s="3115"/>
      <c r="CS403" s="3115"/>
      <c r="CT403" s="3115"/>
      <c r="CU403" s="3115"/>
      <c r="CV403" s="3115"/>
      <c r="CW403" s="3115"/>
      <c r="CX403" s="3115"/>
      <c r="CY403" s="3115"/>
      <c r="CZ403" s="3116"/>
      <c r="DA403" s="3114" t="s">
        <v>2021</v>
      </c>
      <c r="DB403" s="3115"/>
      <c r="DC403" s="3115"/>
      <c r="DD403" s="3115"/>
      <c r="DE403" s="3115"/>
      <c r="DF403" s="3115"/>
      <c r="DG403" s="3115"/>
      <c r="DH403" s="3115"/>
      <c r="DI403" s="3115"/>
      <c r="DJ403" s="3116"/>
      <c r="DK403" s="3114" t="s">
        <v>2021</v>
      </c>
      <c r="DL403" s="3115"/>
      <c r="DM403" s="3115"/>
      <c r="DN403" s="3115"/>
      <c r="DO403" s="3115"/>
      <c r="DP403" s="3115"/>
      <c r="DQ403" s="3115"/>
      <c r="DR403" s="3115"/>
      <c r="DS403" s="3115"/>
      <c r="DT403" s="3116"/>
      <c r="DU403" s="3114" t="s">
        <v>2021</v>
      </c>
      <c r="DV403" s="3115"/>
      <c r="DW403" s="3115"/>
      <c r="DX403" s="3115"/>
      <c r="DY403" s="3115"/>
      <c r="DZ403" s="3115"/>
      <c r="EA403" s="3115"/>
      <c r="EB403" s="3115"/>
      <c r="EC403" s="3115"/>
      <c r="ED403" s="3116"/>
      <c r="EE403" s="3114" t="s">
        <v>2021</v>
      </c>
      <c r="EF403" s="3115"/>
      <c r="EG403" s="3115"/>
      <c r="EH403" s="3115"/>
      <c r="EI403" s="3115"/>
      <c r="EJ403" s="3115"/>
      <c r="EK403" s="3115"/>
      <c r="EL403" s="3115"/>
      <c r="EM403" s="3115"/>
      <c r="EN403" s="3116"/>
    </row>
    <row r="404" spans="2:144" ht="18" customHeight="1">
      <c r="B404" s="1732" t="s">
        <v>1758</v>
      </c>
      <c r="O404" s="2058" t="e">
        <f>O145</f>
        <v>#REF!</v>
      </c>
      <c r="P404" s="2059"/>
      <c r="Q404" s="2023" t="e">
        <f t="shared" ref="Q404:X404" si="891">Q145</f>
        <v>#REF!</v>
      </c>
      <c r="R404" s="2023"/>
      <c r="S404" s="2023" t="e">
        <f t="shared" si="891"/>
        <v>#REF!</v>
      </c>
      <c r="T404" s="2023"/>
      <c r="U404" s="2023" t="e">
        <f t="shared" si="891"/>
        <v>#REF!</v>
      </c>
      <c r="V404" s="2023" t="e">
        <f t="shared" si="891"/>
        <v>#REF!</v>
      </c>
      <c r="W404" s="2023">
        <f t="shared" si="891"/>
        <v>0</v>
      </c>
      <c r="X404" s="2060" t="e">
        <f t="shared" si="891"/>
        <v>#REF!</v>
      </c>
      <c r="Y404" s="2058" t="e">
        <f>Y145</f>
        <v>#REF!</v>
      </c>
      <c r="Z404" s="2059"/>
      <c r="AA404" s="2023" t="e">
        <f t="shared" ref="AA404:AH404" si="892">AA145</f>
        <v>#REF!</v>
      </c>
      <c r="AB404" s="2023"/>
      <c r="AC404" s="2023" t="e">
        <f t="shared" si="892"/>
        <v>#REF!</v>
      </c>
      <c r="AD404" s="2023"/>
      <c r="AE404" s="2023" t="e">
        <f t="shared" si="892"/>
        <v>#REF!</v>
      </c>
      <c r="AF404" s="2023" t="e">
        <f t="shared" si="892"/>
        <v>#REF!</v>
      </c>
      <c r="AG404" s="2023" t="e">
        <f t="shared" si="892"/>
        <v>#REF!</v>
      </c>
      <c r="AH404" s="2060" t="e">
        <f t="shared" si="892"/>
        <v>#REF!</v>
      </c>
      <c r="AI404" s="2058" t="e">
        <f>AI145</f>
        <v>#REF!</v>
      </c>
      <c r="AJ404" s="2059"/>
      <c r="AK404" s="2023" t="e">
        <f t="shared" ref="AK404:AR404" si="893">AK145</f>
        <v>#REF!</v>
      </c>
      <c r="AL404" s="2023"/>
      <c r="AM404" s="2023" t="e">
        <f t="shared" si="893"/>
        <v>#REF!</v>
      </c>
      <c r="AN404" s="2023"/>
      <c r="AO404" s="2023" t="e">
        <f t="shared" si="893"/>
        <v>#REF!</v>
      </c>
      <c r="AP404" s="2023" t="e">
        <f t="shared" si="893"/>
        <v>#REF!</v>
      </c>
      <c r="AQ404" s="2023" t="e">
        <f t="shared" si="893"/>
        <v>#REF!</v>
      </c>
      <c r="AR404" s="2060" t="e">
        <f t="shared" si="893"/>
        <v>#REF!</v>
      </c>
      <c r="AS404" s="2058" t="e">
        <f>AS145</f>
        <v>#REF!</v>
      </c>
      <c r="AT404" s="2059"/>
      <c r="AU404" s="2023" t="e">
        <f t="shared" ref="AU404:BB404" si="894">AU145</f>
        <v>#REF!</v>
      </c>
      <c r="AV404" s="2023"/>
      <c r="AW404" s="2023" t="e">
        <f t="shared" si="894"/>
        <v>#REF!</v>
      </c>
      <c r="AX404" s="2023"/>
      <c r="AY404" s="2023" t="e">
        <f t="shared" si="894"/>
        <v>#REF!</v>
      </c>
      <c r="AZ404" s="2023" t="e">
        <f t="shared" si="894"/>
        <v>#REF!</v>
      </c>
      <c r="BA404" s="2023" t="e">
        <f t="shared" si="894"/>
        <v>#REF!</v>
      </c>
      <c r="BB404" s="2060" t="e">
        <f t="shared" si="894"/>
        <v>#REF!</v>
      </c>
      <c r="BC404" s="2058" t="e">
        <f>BC145</f>
        <v>#REF!</v>
      </c>
      <c r="BD404" s="2059"/>
      <c r="BE404" s="2023" t="e">
        <f t="shared" ref="BE404:BL404" si="895">BE145</f>
        <v>#REF!</v>
      </c>
      <c r="BF404" s="2023"/>
      <c r="BG404" s="2023" t="e">
        <f t="shared" si="895"/>
        <v>#REF!</v>
      </c>
      <c r="BH404" s="2023"/>
      <c r="BI404" s="2023" t="e">
        <f t="shared" si="895"/>
        <v>#REF!</v>
      </c>
      <c r="BJ404" s="2023" t="e">
        <f t="shared" si="895"/>
        <v>#REF!</v>
      </c>
      <c r="BK404" s="2023" t="e">
        <f t="shared" si="895"/>
        <v>#REF!</v>
      </c>
      <c r="BL404" s="2060" t="e">
        <f t="shared" si="895"/>
        <v>#REF!</v>
      </c>
      <c r="BM404" s="2058" t="e">
        <f>BM145</f>
        <v>#REF!</v>
      </c>
      <c r="BN404" s="2059"/>
      <c r="BO404" s="2023" t="e">
        <f t="shared" ref="BO404:BV404" si="896">BO145</f>
        <v>#REF!</v>
      </c>
      <c r="BP404" s="2023"/>
      <c r="BQ404" s="2023" t="e">
        <f t="shared" si="896"/>
        <v>#REF!</v>
      </c>
      <c r="BR404" s="2023"/>
      <c r="BS404" s="2023" t="e">
        <f t="shared" si="896"/>
        <v>#REF!</v>
      </c>
      <c r="BT404" s="2023" t="e">
        <f t="shared" si="896"/>
        <v>#REF!</v>
      </c>
      <c r="BU404" s="2023" t="e">
        <f t="shared" si="896"/>
        <v>#REF!</v>
      </c>
      <c r="BV404" s="2060" t="e">
        <f t="shared" si="896"/>
        <v>#REF!</v>
      </c>
      <c r="BW404" s="2058" t="e">
        <f>BW145</f>
        <v>#REF!</v>
      </c>
      <c r="BX404" s="2059"/>
      <c r="BY404" s="2023" t="e">
        <f t="shared" ref="BY404:CF404" si="897">BY145</f>
        <v>#REF!</v>
      </c>
      <c r="BZ404" s="2023"/>
      <c r="CA404" s="2023" t="e">
        <f t="shared" si="897"/>
        <v>#REF!</v>
      </c>
      <c r="CB404" s="2023"/>
      <c r="CC404" s="2023" t="e">
        <f t="shared" si="897"/>
        <v>#REF!</v>
      </c>
      <c r="CD404" s="2023" t="e">
        <f t="shared" si="897"/>
        <v>#REF!</v>
      </c>
      <c r="CE404" s="2023" t="e">
        <f t="shared" si="897"/>
        <v>#REF!</v>
      </c>
      <c r="CF404" s="2060" t="e">
        <f t="shared" si="897"/>
        <v>#REF!</v>
      </c>
      <c r="CG404" s="2058" t="e">
        <f>CG145</f>
        <v>#REF!</v>
      </c>
      <c r="CH404" s="2059"/>
      <c r="CI404" s="2023" t="e">
        <f t="shared" ref="CI404:CP404" si="898">CI145</f>
        <v>#REF!</v>
      </c>
      <c r="CJ404" s="2023"/>
      <c r="CK404" s="2023" t="e">
        <f t="shared" si="898"/>
        <v>#REF!</v>
      </c>
      <c r="CL404" s="2023"/>
      <c r="CM404" s="2023" t="e">
        <f t="shared" si="898"/>
        <v>#REF!</v>
      </c>
      <c r="CN404" s="2023" t="e">
        <f t="shared" si="898"/>
        <v>#REF!</v>
      </c>
      <c r="CO404" s="2023" t="e">
        <f t="shared" si="898"/>
        <v>#REF!</v>
      </c>
      <c r="CP404" s="2060" t="e">
        <f t="shared" si="898"/>
        <v>#REF!</v>
      </c>
      <c r="CQ404" s="2058" t="e">
        <f>CQ145</f>
        <v>#REF!</v>
      </c>
      <c r="CR404" s="2059"/>
      <c r="CS404" s="2023" t="e">
        <f t="shared" ref="CS404:CZ404" si="899">CS145</f>
        <v>#REF!</v>
      </c>
      <c r="CT404" s="2023"/>
      <c r="CU404" s="2023" t="e">
        <f t="shared" si="899"/>
        <v>#REF!</v>
      </c>
      <c r="CV404" s="2023"/>
      <c r="CW404" s="2023" t="e">
        <f t="shared" si="899"/>
        <v>#REF!</v>
      </c>
      <c r="CX404" s="2023" t="e">
        <f t="shared" si="899"/>
        <v>#REF!</v>
      </c>
      <c r="CY404" s="2023" t="e">
        <f t="shared" si="899"/>
        <v>#REF!</v>
      </c>
      <c r="CZ404" s="2060" t="e">
        <f t="shared" si="899"/>
        <v>#REF!</v>
      </c>
      <c r="DA404" s="2058" t="e">
        <f>DA145</f>
        <v>#REF!</v>
      </c>
      <c r="DB404" s="2059"/>
      <c r="DC404" s="2023" t="e">
        <f t="shared" ref="DC404:DJ404" si="900">DC145</f>
        <v>#REF!</v>
      </c>
      <c r="DD404" s="2023"/>
      <c r="DE404" s="2023" t="e">
        <f t="shared" si="900"/>
        <v>#REF!</v>
      </c>
      <c r="DF404" s="2023"/>
      <c r="DG404" s="2023" t="e">
        <f t="shared" si="900"/>
        <v>#REF!</v>
      </c>
      <c r="DH404" s="2023" t="e">
        <f t="shared" si="900"/>
        <v>#REF!</v>
      </c>
      <c r="DI404" s="2023" t="e">
        <f t="shared" si="900"/>
        <v>#REF!</v>
      </c>
      <c r="DJ404" s="2060" t="e">
        <f t="shared" si="900"/>
        <v>#REF!</v>
      </c>
      <c r="DK404" s="2058" t="e">
        <f>DK145</f>
        <v>#REF!</v>
      </c>
      <c r="DL404" s="2059"/>
      <c r="DM404" s="2023" t="e">
        <f t="shared" ref="DM404:DT404" si="901">DM145</f>
        <v>#REF!</v>
      </c>
      <c r="DN404" s="2023"/>
      <c r="DO404" s="2023" t="e">
        <f t="shared" si="901"/>
        <v>#REF!</v>
      </c>
      <c r="DP404" s="2023"/>
      <c r="DQ404" s="2023" t="e">
        <f t="shared" si="901"/>
        <v>#REF!</v>
      </c>
      <c r="DR404" s="2023" t="e">
        <f t="shared" si="901"/>
        <v>#REF!</v>
      </c>
      <c r="DS404" s="2023" t="e">
        <f t="shared" si="901"/>
        <v>#REF!</v>
      </c>
      <c r="DT404" s="2060" t="e">
        <f t="shared" si="901"/>
        <v>#REF!</v>
      </c>
      <c r="DU404" s="2058" t="e">
        <f>DU145</f>
        <v>#REF!</v>
      </c>
      <c r="DV404" s="2059"/>
      <c r="DW404" s="2023" t="e">
        <f t="shared" ref="DW404:EM404" si="902">DW145</f>
        <v>#REF!</v>
      </c>
      <c r="DX404" s="2023"/>
      <c r="DY404" s="2023" t="e">
        <f t="shared" si="902"/>
        <v>#REF!</v>
      </c>
      <c r="DZ404" s="2023"/>
      <c r="EA404" s="2023" t="e">
        <f t="shared" si="902"/>
        <v>#REF!</v>
      </c>
      <c r="EB404" s="2023" t="e">
        <f t="shared" si="902"/>
        <v>#REF!</v>
      </c>
      <c r="EC404" s="2023" t="e">
        <f t="shared" si="902"/>
        <v>#REF!</v>
      </c>
      <c r="ED404" s="2060" t="e">
        <f t="shared" si="902"/>
        <v>#REF!</v>
      </c>
      <c r="EE404" s="2061" t="e">
        <f t="shared" si="902"/>
        <v>#REF!</v>
      </c>
      <c r="EF404" s="2062"/>
      <c r="EG404" s="2023" t="e">
        <f t="shared" si="902"/>
        <v>#REF!</v>
      </c>
      <c r="EH404" s="2023"/>
      <c r="EI404" s="2023" t="e">
        <f t="shared" si="902"/>
        <v>#REF!</v>
      </c>
      <c r="EJ404" s="2023"/>
      <c r="EK404" s="2023" t="e">
        <f t="shared" si="902"/>
        <v>#REF!</v>
      </c>
      <c r="EL404" s="2023" t="e">
        <f t="shared" si="902"/>
        <v>#REF!</v>
      </c>
      <c r="EM404" s="2063" t="e">
        <f t="shared" si="902"/>
        <v>#REF!</v>
      </c>
      <c r="EN404" s="2024" t="e">
        <f>SUM(EG404:EL404)</f>
        <v>#REF!</v>
      </c>
    </row>
    <row r="405" spans="2:144" ht="18" customHeight="1">
      <c r="B405" s="1732" t="s">
        <v>2022</v>
      </c>
      <c r="O405" s="2058" t="e">
        <f>O148</f>
        <v>#REF!</v>
      </c>
      <c r="P405" s="2059"/>
      <c r="Q405" s="2023" t="e">
        <f t="shared" ref="Q405:X406" si="903">Q148</f>
        <v>#REF!</v>
      </c>
      <c r="R405" s="2023"/>
      <c r="S405" s="2023" t="e">
        <f t="shared" si="903"/>
        <v>#REF!</v>
      </c>
      <c r="T405" s="2023"/>
      <c r="U405" s="2023" t="e">
        <f t="shared" si="903"/>
        <v>#REF!</v>
      </c>
      <c r="V405" s="2023" t="e">
        <f t="shared" si="903"/>
        <v>#REF!</v>
      </c>
      <c r="W405" s="2023">
        <f t="shared" si="903"/>
        <v>0</v>
      </c>
      <c r="X405" s="2060" t="e">
        <f t="shared" si="903"/>
        <v>#REF!</v>
      </c>
      <c r="Y405" s="2058" t="e">
        <f>Y148</f>
        <v>#REF!</v>
      </c>
      <c r="Z405" s="2059"/>
      <c r="AA405" s="2023" t="e">
        <f t="shared" ref="AA405:AH406" si="904">AA148</f>
        <v>#REF!</v>
      </c>
      <c r="AB405" s="2023"/>
      <c r="AC405" s="2023" t="e">
        <f t="shared" si="904"/>
        <v>#REF!</v>
      </c>
      <c r="AD405" s="2023"/>
      <c r="AE405" s="2023" t="e">
        <f t="shared" si="904"/>
        <v>#REF!</v>
      </c>
      <c r="AF405" s="2023" t="e">
        <f t="shared" si="904"/>
        <v>#REF!</v>
      </c>
      <c r="AG405" s="2023" t="e">
        <f t="shared" si="904"/>
        <v>#REF!</v>
      </c>
      <c r="AH405" s="2060" t="e">
        <f t="shared" si="904"/>
        <v>#REF!</v>
      </c>
      <c r="AI405" s="2058" t="e">
        <f>AI148</f>
        <v>#REF!</v>
      </c>
      <c r="AJ405" s="2059"/>
      <c r="AK405" s="2023" t="e">
        <f t="shared" ref="AK405:AR406" si="905">AK148</f>
        <v>#REF!</v>
      </c>
      <c r="AL405" s="2023"/>
      <c r="AM405" s="2023" t="e">
        <f t="shared" si="905"/>
        <v>#REF!</v>
      </c>
      <c r="AN405" s="2023"/>
      <c r="AO405" s="2023" t="e">
        <f t="shared" si="905"/>
        <v>#REF!</v>
      </c>
      <c r="AP405" s="2023" t="e">
        <f t="shared" si="905"/>
        <v>#REF!</v>
      </c>
      <c r="AQ405" s="2023" t="e">
        <f t="shared" si="905"/>
        <v>#REF!</v>
      </c>
      <c r="AR405" s="2060" t="e">
        <f t="shared" si="905"/>
        <v>#REF!</v>
      </c>
      <c r="AS405" s="2058" t="e">
        <f>AS148</f>
        <v>#REF!</v>
      </c>
      <c r="AT405" s="2059"/>
      <c r="AU405" s="2023" t="e">
        <f t="shared" ref="AU405:BB406" si="906">AU148</f>
        <v>#REF!</v>
      </c>
      <c r="AV405" s="2023"/>
      <c r="AW405" s="2023" t="e">
        <f t="shared" si="906"/>
        <v>#REF!</v>
      </c>
      <c r="AX405" s="2023"/>
      <c r="AY405" s="2023" t="e">
        <f t="shared" si="906"/>
        <v>#REF!</v>
      </c>
      <c r="AZ405" s="2023" t="e">
        <f t="shared" si="906"/>
        <v>#REF!</v>
      </c>
      <c r="BA405" s="2023" t="e">
        <f t="shared" si="906"/>
        <v>#REF!</v>
      </c>
      <c r="BB405" s="2060" t="e">
        <f t="shared" si="906"/>
        <v>#REF!</v>
      </c>
      <c r="BC405" s="2058" t="e">
        <f>BC148</f>
        <v>#REF!</v>
      </c>
      <c r="BD405" s="2059"/>
      <c r="BE405" s="2023" t="e">
        <f t="shared" ref="BE405:BL406" si="907">BE148</f>
        <v>#REF!</v>
      </c>
      <c r="BF405" s="2023"/>
      <c r="BG405" s="2023" t="e">
        <f t="shared" si="907"/>
        <v>#REF!</v>
      </c>
      <c r="BH405" s="2023"/>
      <c r="BI405" s="2023" t="e">
        <f t="shared" si="907"/>
        <v>#REF!</v>
      </c>
      <c r="BJ405" s="2023" t="e">
        <f t="shared" si="907"/>
        <v>#REF!</v>
      </c>
      <c r="BK405" s="2023" t="e">
        <f t="shared" si="907"/>
        <v>#REF!</v>
      </c>
      <c r="BL405" s="2060" t="e">
        <f t="shared" si="907"/>
        <v>#REF!</v>
      </c>
      <c r="BM405" s="2058" t="e">
        <f>BM148</f>
        <v>#REF!</v>
      </c>
      <c r="BN405" s="2059"/>
      <c r="BO405" s="2023" t="e">
        <f t="shared" ref="BO405:BV406" si="908">BO148</f>
        <v>#REF!</v>
      </c>
      <c r="BP405" s="2023"/>
      <c r="BQ405" s="2023" t="e">
        <f t="shared" si="908"/>
        <v>#REF!</v>
      </c>
      <c r="BR405" s="2023"/>
      <c r="BS405" s="2023" t="e">
        <f t="shared" si="908"/>
        <v>#REF!</v>
      </c>
      <c r="BT405" s="2023" t="e">
        <f t="shared" si="908"/>
        <v>#REF!</v>
      </c>
      <c r="BU405" s="2023" t="e">
        <f t="shared" si="908"/>
        <v>#REF!</v>
      </c>
      <c r="BV405" s="2060" t="e">
        <f t="shared" si="908"/>
        <v>#REF!</v>
      </c>
      <c r="BW405" s="2058" t="e">
        <f>BW148</f>
        <v>#REF!</v>
      </c>
      <c r="BX405" s="2059"/>
      <c r="BY405" s="2023" t="e">
        <f t="shared" ref="BY405:CF406" si="909">BY148</f>
        <v>#REF!</v>
      </c>
      <c r="BZ405" s="2023"/>
      <c r="CA405" s="2023" t="e">
        <f t="shared" si="909"/>
        <v>#REF!</v>
      </c>
      <c r="CB405" s="2023"/>
      <c r="CC405" s="2023" t="e">
        <f t="shared" si="909"/>
        <v>#REF!</v>
      </c>
      <c r="CD405" s="2023" t="e">
        <f t="shared" si="909"/>
        <v>#REF!</v>
      </c>
      <c r="CE405" s="2023" t="e">
        <f t="shared" si="909"/>
        <v>#REF!</v>
      </c>
      <c r="CF405" s="2060" t="e">
        <f t="shared" si="909"/>
        <v>#REF!</v>
      </c>
      <c r="CG405" s="2058" t="e">
        <f>CG148</f>
        <v>#REF!</v>
      </c>
      <c r="CH405" s="2059"/>
      <c r="CI405" s="2023" t="e">
        <f t="shared" ref="CI405:CP406" si="910">CI148</f>
        <v>#REF!</v>
      </c>
      <c r="CJ405" s="2023"/>
      <c r="CK405" s="2023" t="e">
        <f t="shared" si="910"/>
        <v>#REF!</v>
      </c>
      <c r="CL405" s="2023"/>
      <c r="CM405" s="2023" t="e">
        <f t="shared" si="910"/>
        <v>#REF!</v>
      </c>
      <c r="CN405" s="2023" t="e">
        <f t="shared" si="910"/>
        <v>#REF!</v>
      </c>
      <c r="CO405" s="2023" t="e">
        <f t="shared" si="910"/>
        <v>#REF!</v>
      </c>
      <c r="CP405" s="2060" t="e">
        <f t="shared" si="910"/>
        <v>#REF!</v>
      </c>
      <c r="CQ405" s="2058" t="e">
        <f>CQ148</f>
        <v>#REF!</v>
      </c>
      <c r="CR405" s="2059"/>
      <c r="CS405" s="2023" t="e">
        <f t="shared" ref="CS405:CZ406" si="911">CS148</f>
        <v>#REF!</v>
      </c>
      <c r="CT405" s="2023"/>
      <c r="CU405" s="2023" t="e">
        <f t="shared" si="911"/>
        <v>#REF!</v>
      </c>
      <c r="CV405" s="2023"/>
      <c r="CW405" s="2023" t="e">
        <f t="shared" si="911"/>
        <v>#REF!</v>
      </c>
      <c r="CX405" s="2023" t="e">
        <f t="shared" si="911"/>
        <v>#REF!</v>
      </c>
      <c r="CY405" s="2023" t="e">
        <f t="shared" si="911"/>
        <v>#REF!</v>
      </c>
      <c r="CZ405" s="2060" t="e">
        <f t="shared" si="911"/>
        <v>#REF!</v>
      </c>
      <c r="DA405" s="2058" t="e">
        <f>DA148</f>
        <v>#REF!</v>
      </c>
      <c r="DB405" s="2059"/>
      <c r="DC405" s="2023" t="e">
        <f t="shared" ref="DC405:DJ406" si="912">DC148</f>
        <v>#REF!</v>
      </c>
      <c r="DD405" s="2023"/>
      <c r="DE405" s="2023" t="e">
        <f t="shared" si="912"/>
        <v>#REF!</v>
      </c>
      <c r="DF405" s="2023"/>
      <c r="DG405" s="2023" t="e">
        <f t="shared" si="912"/>
        <v>#REF!</v>
      </c>
      <c r="DH405" s="2023" t="e">
        <f t="shared" si="912"/>
        <v>#REF!</v>
      </c>
      <c r="DI405" s="2023" t="e">
        <f t="shared" si="912"/>
        <v>#REF!</v>
      </c>
      <c r="DJ405" s="2060" t="e">
        <f t="shared" si="912"/>
        <v>#REF!</v>
      </c>
      <c r="DK405" s="2058" t="e">
        <f>DK148</f>
        <v>#REF!</v>
      </c>
      <c r="DL405" s="2059"/>
      <c r="DM405" s="2023" t="e">
        <f t="shared" ref="DM405:DT406" si="913">DM148</f>
        <v>#REF!</v>
      </c>
      <c r="DN405" s="2023"/>
      <c r="DO405" s="2023" t="e">
        <f t="shared" si="913"/>
        <v>#REF!</v>
      </c>
      <c r="DP405" s="2023"/>
      <c r="DQ405" s="2023" t="e">
        <f t="shared" si="913"/>
        <v>#REF!</v>
      </c>
      <c r="DR405" s="2023" t="e">
        <f t="shared" si="913"/>
        <v>#REF!</v>
      </c>
      <c r="DS405" s="2023" t="e">
        <f t="shared" si="913"/>
        <v>#REF!</v>
      </c>
      <c r="DT405" s="2060" t="e">
        <f t="shared" si="913"/>
        <v>#REF!</v>
      </c>
      <c r="DU405" s="2058" t="e">
        <f>DU148</f>
        <v>#REF!</v>
      </c>
      <c r="DV405" s="2059"/>
      <c r="DW405" s="2023" t="e">
        <f t="shared" ref="DW405:EM406" si="914">DW148</f>
        <v>#REF!</v>
      </c>
      <c r="DX405" s="2023"/>
      <c r="DY405" s="2023" t="e">
        <f t="shared" si="914"/>
        <v>#REF!</v>
      </c>
      <c r="DZ405" s="2023"/>
      <c r="EA405" s="2023" t="e">
        <f t="shared" si="914"/>
        <v>#REF!</v>
      </c>
      <c r="EB405" s="2023" t="e">
        <f t="shared" si="914"/>
        <v>#REF!</v>
      </c>
      <c r="EC405" s="2023" t="e">
        <f t="shared" si="914"/>
        <v>#REF!</v>
      </c>
      <c r="ED405" s="2060" t="e">
        <f t="shared" si="914"/>
        <v>#REF!</v>
      </c>
      <c r="EE405" s="2061" t="e">
        <f t="shared" si="914"/>
        <v>#REF!</v>
      </c>
      <c r="EF405" s="2062"/>
      <c r="EG405" s="2023" t="e">
        <f t="shared" si="914"/>
        <v>#REF!</v>
      </c>
      <c r="EH405" s="2023"/>
      <c r="EI405" s="2023" t="e">
        <f t="shared" si="914"/>
        <v>#REF!</v>
      </c>
      <c r="EJ405" s="2023"/>
      <c r="EK405" s="2023" t="e">
        <f t="shared" si="914"/>
        <v>#REF!</v>
      </c>
      <c r="EL405" s="2023" t="e">
        <f t="shared" si="914"/>
        <v>#REF!</v>
      </c>
      <c r="EM405" s="2063" t="e">
        <f t="shared" si="914"/>
        <v>#REF!</v>
      </c>
      <c r="EN405" s="2024" t="e">
        <f t="shared" ref="EN405:EN416" si="915">SUM(EG405:EL405)</f>
        <v>#REF!</v>
      </c>
    </row>
    <row r="406" spans="2:144" ht="18" customHeight="1">
      <c r="B406" s="1732" t="s">
        <v>2023</v>
      </c>
      <c r="O406" s="2058" t="e">
        <f>O149</f>
        <v>#REF!</v>
      </c>
      <c r="P406" s="2059"/>
      <c r="Q406" s="2023" t="e">
        <f t="shared" si="903"/>
        <v>#REF!</v>
      </c>
      <c r="R406" s="2023"/>
      <c r="S406" s="2023" t="e">
        <f t="shared" si="903"/>
        <v>#REF!</v>
      </c>
      <c r="T406" s="2023"/>
      <c r="U406" s="2023" t="e">
        <f t="shared" si="903"/>
        <v>#REF!</v>
      </c>
      <c r="V406" s="2023" t="e">
        <f t="shared" si="903"/>
        <v>#REF!</v>
      </c>
      <c r="W406" s="2023">
        <f t="shared" si="903"/>
        <v>0</v>
      </c>
      <c r="X406" s="2060" t="e">
        <f t="shared" si="903"/>
        <v>#REF!</v>
      </c>
      <c r="Y406" s="2058" t="e">
        <f>Y149</f>
        <v>#REF!</v>
      </c>
      <c r="Z406" s="2059"/>
      <c r="AA406" s="2023" t="e">
        <f t="shared" si="904"/>
        <v>#REF!</v>
      </c>
      <c r="AB406" s="2023"/>
      <c r="AC406" s="2023" t="e">
        <f t="shared" si="904"/>
        <v>#REF!</v>
      </c>
      <c r="AD406" s="2023"/>
      <c r="AE406" s="2023" t="e">
        <f t="shared" si="904"/>
        <v>#REF!</v>
      </c>
      <c r="AF406" s="2023" t="e">
        <f t="shared" si="904"/>
        <v>#REF!</v>
      </c>
      <c r="AG406" s="2023" t="e">
        <f t="shared" si="904"/>
        <v>#REF!</v>
      </c>
      <c r="AH406" s="2060" t="e">
        <f t="shared" si="904"/>
        <v>#REF!</v>
      </c>
      <c r="AI406" s="2058" t="e">
        <f>AI149</f>
        <v>#REF!</v>
      </c>
      <c r="AJ406" s="2059"/>
      <c r="AK406" s="2023" t="e">
        <f t="shared" si="905"/>
        <v>#REF!</v>
      </c>
      <c r="AL406" s="2023"/>
      <c r="AM406" s="2023" t="e">
        <f t="shared" si="905"/>
        <v>#REF!</v>
      </c>
      <c r="AN406" s="2023"/>
      <c r="AO406" s="2023" t="e">
        <f t="shared" si="905"/>
        <v>#REF!</v>
      </c>
      <c r="AP406" s="2023" t="e">
        <f t="shared" si="905"/>
        <v>#REF!</v>
      </c>
      <c r="AQ406" s="2023" t="e">
        <f t="shared" si="905"/>
        <v>#REF!</v>
      </c>
      <c r="AR406" s="2060" t="e">
        <f t="shared" si="905"/>
        <v>#REF!</v>
      </c>
      <c r="AS406" s="2058" t="e">
        <f>AS149</f>
        <v>#REF!</v>
      </c>
      <c r="AT406" s="2059"/>
      <c r="AU406" s="2023" t="e">
        <f t="shared" si="906"/>
        <v>#REF!</v>
      </c>
      <c r="AV406" s="2023"/>
      <c r="AW406" s="2023" t="e">
        <f t="shared" si="906"/>
        <v>#REF!</v>
      </c>
      <c r="AX406" s="2023"/>
      <c r="AY406" s="2023" t="e">
        <f t="shared" si="906"/>
        <v>#REF!</v>
      </c>
      <c r="AZ406" s="2023" t="e">
        <f t="shared" si="906"/>
        <v>#REF!</v>
      </c>
      <c r="BA406" s="2023" t="e">
        <f t="shared" si="906"/>
        <v>#REF!</v>
      </c>
      <c r="BB406" s="2060" t="e">
        <f t="shared" si="906"/>
        <v>#REF!</v>
      </c>
      <c r="BC406" s="2058" t="e">
        <f>BC149</f>
        <v>#REF!</v>
      </c>
      <c r="BD406" s="2059"/>
      <c r="BE406" s="2023" t="e">
        <f t="shared" si="907"/>
        <v>#REF!</v>
      </c>
      <c r="BF406" s="2023"/>
      <c r="BG406" s="2023" t="e">
        <f t="shared" si="907"/>
        <v>#REF!</v>
      </c>
      <c r="BH406" s="2023"/>
      <c r="BI406" s="2023" t="e">
        <f t="shared" si="907"/>
        <v>#REF!</v>
      </c>
      <c r="BJ406" s="2023" t="e">
        <f t="shared" si="907"/>
        <v>#REF!</v>
      </c>
      <c r="BK406" s="2023" t="e">
        <f t="shared" si="907"/>
        <v>#REF!</v>
      </c>
      <c r="BL406" s="2060" t="e">
        <f t="shared" si="907"/>
        <v>#REF!</v>
      </c>
      <c r="BM406" s="2058" t="e">
        <f>BM149</f>
        <v>#REF!</v>
      </c>
      <c r="BN406" s="2059"/>
      <c r="BO406" s="2023" t="e">
        <f t="shared" si="908"/>
        <v>#REF!</v>
      </c>
      <c r="BP406" s="2023"/>
      <c r="BQ406" s="2023" t="e">
        <f t="shared" si="908"/>
        <v>#REF!</v>
      </c>
      <c r="BR406" s="2023"/>
      <c r="BS406" s="2023" t="e">
        <f t="shared" si="908"/>
        <v>#REF!</v>
      </c>
      <c r="BT406" s="2023" t="e">
        <f t="shared" si="908"/>
        <v>#REF!</v>
      </c>
      <c r="BU406" s="2023" t="e">
        <f t="shared" si="908"/>
        <v>#REF!</v>
      </c>
      <c r="BV406" s="2060" t="e">
        <f t="shared" si="908"/>
        <v>#REF!</v>
      </c>
      <c r="BW406" s="2058" t="e">
        <f>BW149</f>
        <v>#REF!</v>
      </c>
      <c r="BX406" s="2059"/>
      <c r="BY406" s="2023" t="e">
        <f t="shared" si="909"/>
        <v>#REF!</v>
      </c>
      <c r="BZ406" s="2023"/>
      <c r="CA406" s="2023" t="e">
        <f t="shared" si="909"/>
        <v>#REF!</v>
      </c>
      <c r="CB406" s="2023"/>
      <c r="CC406" s="2023" t="e">
        <f t="shared" si="909"/>
        <v>#REF!</v>
      </c>
      <c r="CD406" s="2023" t="e">
        <f t="shared" si="909"/>
        <v>#REF!</v>
      </c>
      <c r="CE406" s="2023" t="e">
        <f t="shared" si="909"/>
        <v>#REF!</v>
      </c>
      <c r="CF406" s="2060" t="e">
        <f t="shared" si="909"/>
        <v>#REF!</v>
      </c>
      <c r="CG406" s="2058" t="e">
        <f>CG149</f>
        <v>#REF!</v>
      </c>
      <c r="CH406" s="2059"/>
      <c r="CI406" s="2023" t="e">
        <f t="shared" si="910"/>
        <v>#REF!</v>
      </c>
      <c r="CJ406" s="2023"/>
      <c r="CK406" s="2023" t="e">
        <f t="shared" si="910"/>
        <v>#REF!</v>
      </c>
      <c r="CL406" s="2023"/>
      <c r="CM406" s="2023" t="e">
        <f t="shared" si="910"/>
        <v>#REF!</v>
      </c>
      <c r="CN406" s="2023" t="e">
        <f t="shared" si="910"/>
        <v>#REF!</v>
      </c>
      <c r="CO406" s="2023" t="e">
        <f t="shared" si="910"/>
        <v>#REF!</v>
      </c>
      <c r="CP406" s="2060" t="e">
        <f t="shared" si="910"/>
        <v>#REF!</v>
      </c>
      <c r="CQ406" s="2058" t="e">
        <f>CQ149</f>
        <v>#REF!</v>
      </c>
      <c r="CR406" s="2059"/>
      <c r="CS406" s="2023" t="e">
        <f t="shared" si="911"/>
        <v>#REF!</v>
      </c>
      <c r="CT406" s="2023"/>
      <c r="CU406" s="2023" t="e">
        <f t="shared" si="911"/>
        <v>#REF!</v>
      </c>
      <c r="CV406" s="2023"/>
      <c r="CW406" s="2023" t="e">
        <f t="shared" si="911"/>
        <v>#REF!</v>
      </c>
      <c r="CX406" s="2023" t="e">
        <f t="shared" si="911"/>
        <v>#REF!</v>
      </c>
      <c r="CY406" s="2023" t="e">
        <f t="shared" si="911"/>
        <v>#REF!</v>
      </c>
      <c r="CZ406" s="2060" t="e">
        <f t="shared" si="911"/>
        <v>#REF!</v>
      </c>
      <c r="DA406" s="2058" t="e">
        <f>DA149</f>
        <v>#REF!</v>
      </c>
      <c r="DB406" s="2059"/>
      <c r="DC406" s="2023" t="e">
        <f t="shared" si="912"/>
        <v>#REF!</v>
      </c>
      <c r="DD406" s="2023"/>
      <c r="DE406" s="2023" t="e">
        <f t="shared" si="912"/>
        <v>#REF!</v>
      </c>
      <c r="DF406" s="2023"/>
      <c r="DG406" s="2023" t="e">
        <f t="shared" si="912"/>
        <v>#REF!</v>
      </c>
      <c r="DH406" s="2023" t="e">
        <f t="shared" si="912"/>
        <v>#REF!</v>
      </c>
      <c r="DI406" s="2023" t="e">
        <f t="shared" si="912"/>
        <v>#REF!</v>
      </c>
      <c r="DJ406" s="2060" t="e">
        <f t="shared" si="912"/>
        <v>#REF!</v>
      </c>
      <c r="DK406" s="2058" t="e">
        <f>DK149</f>
        <v>#REF!</v>
      </c>
      <c r="DL406" s="2059"/>
      <c r="DM406" s="2023" t="e">
        <f t="shared" si="913"/>
        <v>#REF!</v>
      </c>
      <c r="DN406" s="2023"/>
      <c r="DO406" s="2023" t="e">
        <f t="shared" si="913"/>
        <v>#REF!</v>
      </c>
      <c r="DP406" s="2023"/>
      <c r="DQ406" s="2023" t="e">
        <f t="shared" si="913"/>
        <v>#REF!</v>
      </c>
      <c r="DR406" s="2023" t="e">
        <f t="shared" si="913"/>
        <v>#REF!</v>
      </c>
      <c r="DS406" s="2023" t="e">
        <f t="shared" si="913"/>
        <v>#REF!</v>
      </c>
      <c r="DT406" s="2060" t="e">
        <f t="shared" si="913"/>
        <v>#REF!</v>
      </c>
      <c r="DU406" s="2058" t="e">
        <f>DU149</f>
        <v>#REF!</v>
      </c>
      <c r="DV406" s="2059"/>
      <c r="DW406" s="2023" t="e">
        <f t="shared" si="914"/>
        <v>#REF!</v>
      </c>
      <c r="DX406" s="2023"/>
      <c r="DY406" s="2023" t="e">
        <f t="shared" si="914"/>
        <v>#REF!</v>
      </c>
      <c r="DZ406" s="2023"/>
      <c r="EA406" s="2023" t="e">
        <f t="shared" si="914"/>
        <v>#REF!</v>
      </c>
      <c r="EB406" s="2023" t="e">
        <f t="shared" si="914"/>
        <v>#REF!</v>
      </c>
      <c r="EC406" s="2023" t="e">
        <f t="shared" si="914"/>
        <v>#REF!</v>
      </c>
      <c r="ED406" s="2060" t="e">
        <f t="shared" si="914"/>
        <v>#REF!</v>
      </c>
      <c r="EE406" s="2061" t="e">
        <f t="shared" si="914"/>
        <v>#REF!</v>
      </c>
      <c r="EF406" s="2062"/>
      <c r="EG406" s="2023" t="e">
        <f t="shared" si="914"/>
        <v>#REF!</v>
      </c>
      <c r="EH406" s="2023"/>
      <c r="EI406" s="2023" t="e">
        <f t="shared" si="914"/>
        <v>#REF!</v>
      </c>
      <c r="EJ406" s="2023"/>
      <c r="EK406" s="2023" t="e">
        <f t="shared" si="914"/>
        <v>#REF!</v>
      </c>
      <c r="EL406" s="2023" t="e">
        <f t="shared" si="914"/>
        <v>#REF!</v>
      </c>
      <c r="EM406" s="2063" t="e">
        <f t="shared" si="914"/>
        <v>#REF!</v>
      </c>
      <c r="EN406" s="2024" t="e">
        <f t="shared" si="915"/>
        <v>#REF!</v>
      </c>
    </row>
    <row r="407" spans="2:144" ht="18" customHeight="1">
      <c r="B407" s="1732" t="s">
        <v>2024</v>
      </c>
      <c r="O407" s="2058" t="e">
        <f>O166+O381</f>
        <v>#REF!</v>
      </c>
      <c r="P407" s="2058"/>
      <c r="Q407" s="2058" t="e">
        <f t="shared" ref="Q407:DC407" si="916">Q166+Q381</f>
        <v>#REF!</v>
      </c>
      <c r="R407" s="2058"/>
      <c r="S407" s="2058" t="e">
        <f t="shared" si="916"/>
        <v>#REF!</v>
      </c>
      <c r="T407" s="2058"/>
      <c r="U407" s="2058" t="e">
        <f t="shared" si="916"/>
        <v>#REF!</v>
      </c>
      <c r="V407" s="2058" t="e">
        <f t="shared" si="916"/>
        <v>#REF!</v>
      </c>
      <c r="W407" s="2058">
        <f t="shared" si="916"/>
        <v>0</v>
      </c>
      <c r="X407" s="2058" t="e">
        <f t="shared" si="916"/>
        <v>#REF!</v>
      </c>
      <c r="Y407" s="2058" t="e">
        <f t="shared" si="916"/>
        <v>#REF!</v>
      </c>
      <c r="Z407" s="2058"/>
      <c r="AA407" s="2058" t="e">
        <f t="shared" si="916"/>
        <v>#REF!</v>
      </c>
      <c r="AB407" s="2058"/>
      <c r="AC407" s="2058" t="e">
        <f t="shared" si="916"/>
        <v>#REF!</v>
      </c>
      <c r="AD407" s="2058"/>
      <c r="AE407" s="2058" t="e">
        <f t="shared" si="916"/>
        <v>#REF!</v>
      </c>
      <c r="AF407" s="2058" t="e">
        <f t="shared" si="916"/>
        <v>#REF!</v>
      </c>
      <c r="AG407" s="2058" t="e">
        <f t="shared" si="916"/>
        <v>#REF!</v>
      </c>
      <c r="AH407" s="2058" t="e">
        <f t="shared" si="916"/>
        <v>#REF!</v>
      </c>
      <c r="AI407" s="2058" t="e">
        <f t="shared" si="916"/>
        <v>#REF!</v>
      </c>
      <c r="AJ407" s="2058"/>
      <c r="AK407" s="2058" t="e">
        <f t="shared" si="916"/>
        <v>#REF!</v>
      </c>
      <c r="AL407" s="2058"/>
      <c r="AM407" s="2058" t="e">
        <f t="shared" si="916"/>
        <v>#REF!</v>
      </c>
      <c r="AN407" s="2058"/>
      <c r="AO407" s="2058" t="e">
        <f t="shared" si="916"/>
        <v>#REF!</v>
      </c>
      <c r="AP407" s="2058" t="e">
        <f t="shared" si="916"/>
        <v>#REF!</v>
      </c>
      <c r="AQ407" s="2058" t="e">
        <f t="shared" si="916"/>
        <v>#REF!</v>
      </c>
      <c r="AR407" s="2058" t="e">
        <f t="shared" si="916"/>
        <v>#REF!</v>
      </c>
      <c r="AS407" s="2058" t="e">
        <f t="shared" si="916"/>
        <v>#REF!</v>
      </c>
      <c r="AT407" s="2058"/>
      <c r="AU407" s="2058" t="e">
        <f t="shared" si="916"/>
        <v>#REF!</v>
      </c>
      <c r="AV407" s="2058"/>
      <c r="AW407" s="2058" t="e">
        <f t="shared" si="916"/>
        <v>#REF!</v>
      </c>
      <c r="AX407" s="2058"/>
      <c r="AY407" s="2058" t="e">
        <f t="shared" si="916"/>
        <v>#REF!</v>
      </c>
      <c r="AZ407" s="2058" t="e">
        <f t="shared" si="916"/>
        <v>#REF!</v>
      </c>
      <c r="BA407" s="2058" t="e">
        <f t="shared" si="916"/>
        <v>#REF!</v>
      </c>
      <c r="BB407" s="2058" t="e">
        <f t="shared" si="916"/>
        <v>#REF!</v>
      </c>
      <c r="BC407" s="2058" t="e">
        <f t="shared" si="916"/>
        <v>#REF!</v>
      </c>
      <c r="BD407" s="2058"/>
      <c r="BE407" s="2058" t="e">
        <f t="shared" si="916"/>
        <v>#REF!</v>
      </c>
      <c r="BF407" s="2058"/>
      <c r="BG407" s="2058" t="e">
        <f t="shared" si="916"/>
        <v>#REF!</v>
      </c>
      <c r="BH407" s="2058"/>
      <c r="BI407" s="2058" t="e">
        <f t="shared" si="916"/>
        <v>#REF!</v>
      </c>
      <c r="BJ407" s="2058" t="e">
        <f t="shared" si="916"/>
        <v>#REF!</v>
      </c>
      <c r="BK407" s="2058" t="e">
        <f t="shared" si="916"/>
        <v>#REF!</v>
      </c>
      <c r="BL407" s="2058" t="e">
        <f t="shared" si="916"/>
        <v>#REF!</v>
      </c>
      <c r="BM407" s="2058" t="e">
        <f t="shared" si="916"/>
        <v>#REF!</v>
      </c>
      <c r="BN407" s="2058"/>
      <c r="BO407" s="2058" t="e">
        <f t="shared" si="916"/>
        <v>#REF!</v>
      </c>
      <c r="BP407" s="2058"/>
      <c r="BQ407" s="2058" t="e">
        <f t="shared" si="916"/>
        <v>#REF!</v>
      </c>
      <c r="BR407" s="2058"/>
      <c r="BS407" s="2058" t="e">
        <f t="shared" si="916"/>
        <v>#REF!</v>
      </c>
      <c r="BT407" s="2058" t="e">
        <f t="shared" si="916"/>
        <v>#REF!</v>
      </c>
      <c r="BU407" s="2058" t="e">
        <f t="shared" si="916"/>
        <v>#REF!</v>
      </c>
      <c r="BV407" s="2058" t="e">
        <f t="shared" si="916"/>
        <v>#REF!</v>
      </c>
      <c r="BW407" s="2058" t="e">
        <f t="shared" si="916"/>
        <v>#REF!</v>
      </c>
      <c r="BX407" s="2058"/>
      <c r="BY407" s="2058" t="e">
        <f t="shared" si="916"/>
        <v>#REF!</v>
      </c>
      <c r="BZ407" s="2058"/>
      <c r="CA407" s="2058" t="e">
        <f t="shared" si="916"/>
        <v>#REF!</v>
      </c>
      <c r="CB407" s="2058"/>
      <c r="CC407" s="2058" t="e">
        <f t="shared" si="916"/>
        <v>#REF!</v>
      </c>
      <c r="CD407" s="2058" t="e">
        <f t="shared" si="916"/>
        <v>#REF!</v>
      </c>
      <c r="CE407" s="2058" t="e">
        <f t="shared" si="916"/>
        <v>#REF!</v>
      </c>
      <c r="CF407" s="2058" t="e">
        <f t="shared" si="916"/>
        <v>#REF!</v>
      </c>
      <c r="CG407" s="2058" t="e">
        <f t="shared" si="916"/>
        <v>#REF!</v>
      </c>
      <c r="CH407" s="2058"/>
      <c r="CI407" s="2058" t="e">
        <f t="shared" si="916"/>
        <v>#REF!</v>
      </c>
      <c r="CJ407" s="2058"/>
      <c r="CK407" s="2058" t="e">
        <f t="shared" si="916"/>
        <v>#REF!</v>
      </c>
      <c r="CL407" s="2058"/>
      <c r="CM407" s="2058" t="e">
        <f t="shared" si="916"/>
        <v>#REF!</v>
      </c>
      <c r="CN407" s="2058" t="e">
        <f t="shared" si="916"/>
        <v>#REF!</v>
      </c>
      <c r="CO407" s="2058" t="e">
        <f t="shared" si="916"/>
        <v>#REF!</v>
      </c>
      <c r="CP407" s="2058" t="e">
        <f t="shared" si="916"/>
        <v>#REF!</v>
      </c>
      <c r="CQ407" s="2058" t="e">
        <f t="shared" si="916"/>
        <v>#REF!</v>
      </c>
      <c r="CR407" s="2058"/>
      <c r="CS407" s="2058" t="e">
        <f t="shared" si="916"/>
        <v>#REF!</v>
      </c>
      <c r="CT407" s="2058"/>
      <c r="CU407" s="2058" t="e">
        <f t="shared" si="916"/>
        <v>#REF!</v>
      </c>
      <c r="CV407" s="2058"/>
      <c r="CW407" s="2058" t="e">
        <f t="shared" si="916"/>
        <v>#REF!</v>
      </c>
      <c r="CX407" s="2058" t="e">
        <f t="shared" si="916"/>
        <v>#REF!</v>
      </c>
      <c r="CY407" s="2058" t="e">
        <f t="shared" si="916"/>
        <v>#REF!</v>
      </c>
      <c r="CZ407" s="2058" t="e">
        <f t="shared" si="916"/>
        <v>#REF!</v>
      </c>
      <c r="DA407" s="2058" t="e">
        <f t="shared" si="916"/>
        <v>#REF!</v>
      </c>
      <c r="DB407" s="2058"/>
      <c r="DC407" s="2058" t="e">
        <f t="shared" si="916"/>
        <v>#REF!</v>
      </c>
      <c r="DD407" s="2058"/>
      <c r="DE407" s="2058" t="e">
        <f t="shared" ref="DE407:EK407" si="917">DE166+DE381</f>
        <v>#REF!</v>
      </c>
      <c r="DF407" s="2058"/>
      <c r="DG407" s="2058" t="e">
        <f t="shared" si="917"/>
        <v>#REF!</v>
      </c>
      <c r="DH407" s="2058" t="e">
        <f t="shared" si="917"/>
        <v>#REF!</v>
      </c>
      <c r="DI407" s="2058" t="e">
        <f t="shared" si="917"/>
        <v>#REF!</v>
      </c>
      <c r="DJ407" s="2058" t="e">
        <f t="shared" si="917"/>
        <v>#REF!</v>
      </c>
      <c r="DK407" s="2058" t="e">
        <f t="shared" si="917"/>
        <v>#REF!</v>
      </c>
      <c r="DL407" s="2058"/>
      <c r="DM407" s="2058" t="e">
        <f t="shared" si="917"/>
        <v>#REF!</v>
      </c>
      <c r="DN407" s="2058"/>
      <c r="DO407" s="2058" t="e">
        <f t="shared" si="917"/>
        <v>#REF!</v>
      </c>
      <c r="DP407" s="2058"/>
      <c r="DQ407" s="2058" t="e">
        <f t="shared" si="917"/>
        <v>#REF!</v>
      </c>
      <c r="DR407" s="2058" t="e">
        <f t="shared" si="917"/>
        <v>#REF!</v>
      </c>
      <c r="DS407" s="2058" t="e">
        <f t="shared" si="917"/>
        <v>#REF!</v>
      </c>
      <c r="DT407" s="2058" t="e">
        <f t="shared" si="917"/>
        <v>#REF!</v>
      </c>
      <c r="DU407" s="2058" t="e">
        <f t="shared" si="917"/>
        <v>#REF!</v>
      </c>
      <c r="DV407" s="2058"/>
      <c r="DW407" s="2058" t="e">
        <f t="shared" si="917"/>
        <v>#REF!</v>
      </c>
      <c r="DX407" s="2058"/>
      <c r="DY407" s="2058" t="e">
        <f t="shared" si="917"/>
        <v>#REF!</v>
      </c>
      <c r="DZ407" s="2058"/>
      <c r="EA407" s="2058" t="e">
        <f t="shared" si="917"/>
        <v>#REF!</v>
      </c>
      <c r="EB407" s="2058" t="e">
        <f t="shared" si="917"/>
        <v>#REF!</v>
      </c>
      <c r="EC407" s="2058" t="e">
        <f t="shared" si="917"/>
        <v>#REF!</v>
      </c>
      <c r="ED407" s="2058" t="e">
        <f t="shared" si="917"/>
        <v>#REF!</v>
      </c>
      <c r="EE407" s="2058" t="e">
        <f t="shared" si="917"/>
        <v>#REF!</v>
      </c>
      <c r="EF407" s="2058"/>
      <c r="EG407" s="2058" t="e">
        <f t="shared" si="917"/>
        <v>#REF!</v>
      </c>
      <c r="EH407" s="2058"/>
      <c r="EI407" s="2058" t="e">
        <f t="shared" si="917"/>
        <v>#REF!</v>
      </c>
      <c r="EJ407" s="2058"/>
      <c r="EK407" s="2058" t="e">
        <f t="shared" si="917"/>
        <v>#REF!</v>
      </c>
      <c r="EL407" s="2058" t="e">
        <f>EL166+EL381</f>
        <v>#REF!</v>
      </c>
      <c r="EM407" s="2063" t="e">
        <f>EM166</f>
        <v>#REF!</v>
      </c>
      <c r="EN407" s="2024" t="e">
        <f t="shared" si="915"/>
        <v>#REF!</v>
      </c>
    </row>
    <row r="408" spans="2:144" ht="18" customHeight="1">
      <c r="B408" s="1732" t="s">
        <v>1778</v>
      </c>
      <c r="O408" s="2058" t="e">
        <f>O171+O382</f>
        <v>#REF!</v>
      </c>
      <c r="P408" s="2058"/>
      <c r="Q408" s="2058" t="e">
        <f t="shared" ref="Q408:DC408" si="918">Q171+Q382</f>
        <v>#REF!</v>
      </c>
      <c r="R408" s="2058"/>
      <c r="S408" s="2058" t="e">
        <f t="shared" si="918"/>
        <v>#REF!</v>
      </c>
      <c r="T408" s="2058"/>
      <c r="U408" s="2058" t="e">
        <f t="shared" si="918"/>
        <v>#REF!</v>
      </c>
      <c r="V408" s="2058" t="e">
        <f t="shared" si="918"/>
        <v>#REF!</v>
      </c>
      <c r="W408" s="2058">
        <f t="shared" si="918"/>
        <v>0</v>
      </c>
      <c r="X408" s="2058" t="e">
        <f t="shared" si="918"/>
        <v>#REF!</v>
      </c>
      <c r="Y408" s="2058" t="e">
        <f t="shared" si="918"/>
        <v>#REF!</v>
      </c>
      <c r="Z408" s="2058"/>
      <c r="AA408" s="2058" t="e">
        <f t="shared" si="918"/>
        <v>#REF!</v>
      </c>
      <c r="AB408" s="2058"/>
      <c r="AC408" s="2058" t="e">
        <f t="shared" si="918"/>
        <v>#REF!</v>
      </c>
      <c r="AD408" s="2058"/>
      <c r="AE408" s="2058" t="e">
        <f t="shared" si="918"/>
        <v>#REF!</v>
      </c>
      <c r="AF408" s="2058" t="e">
        <f t="shared" si="918"/>
        <v>#REF!</v>
      </c>
      <c r="AG408" s="2058" t="e">
        <f t="shared" si="918"/>
        <v>#REF!</v>
      </c>
      <c r="AH408" s="2058" t="e">
        <f t="shared" si="918"/>
        <v>#REF!</v>
      </c>
      <c r="AI408" s="2058" t="e">
        <f t="shared" si="918"/>
        <v>#REF!</v>
      </c>
      <c r="AJ408" s="2058"/>
      <c r="AK408" s="2058" t="e">
        <f t="shared" si="918"/>
        <v>#REF!</v>
      </c>
      <c r="AL408" s="2058"/>
      <c r="AM408" s="2058" t="e">
        <f t="shared" si="918"/>
        <v>#REF!</v>
      </c>
      <c r="AN408" s="2058"/>
      <c r="AO408" s="2058" t="e">
        <f t="shared" si="918"/>
        <v>#REF!</v>
      </c>
      <c r="AP408" s="2058" t="e">
        <f t="shared" si="918"/>
        <v>#REF!</v>
      </c>
      <c r="AQ408" s="2058" t="e">
        <f t="shared" si="918"/>
        <v>#REF!</v>
      </c>
      <c r="AR408" s="2058" t="e">
        <f t="shared" si="918"/>
        <v>#REF!</v>
      </c>
      <c r="AS408" s="2058" t="e">
        <f t="shared" si="918"/>
        <v>#REF!</v>
      </c>
      <c r="AT408" s="2058"/>
      <c r="AU408" s="2058" t="e">
        <f t="shared" si="918"/>
        <v>#REF!</v>
      </c>
      <c r="AV408" s="2058"/>
      <c r="AW408" s="2058" t="e">
        <f t="shared" si="918"/>
        <v>#REF!</v>
      </c>
      <c r="AX408" s="2058"/>
      <c r="AY408" s="2058" t="e">
        <f t="shared" si="918"/>
        <v>#REF!</v>
      </c>
      <c r="AZ408" s="2058" t="e">
        <f t="shared" si="918"/>
        <v>#REF!</v>
      </c>
      <c r="BA408" s="2058" t="e">
        <f t="shared" si="918"/>
        <v>#REF!</v>
      </c>
      <c r="BB408" s="2058" t="e">
        <f t="shared" si="918"/>
        <v>#REF!</v>
      </c>
      <c r="BC408" s="2058" t="e">
        <f t="shared" si="918"/>
        <v>#REF!</v>
      </c>
      <c r="BD408" s="2058"/>
      <c r="BE408" s="2058" t="e">
        <f t="shared" si="918"/>
        <v>#REF!</v>
      </c>
      <c r="BF408" s="2058"/>
      <c r="BG408" s="2058" t="e">
        <f t="shared" si="918"/>
        <v>#REF!</v>
      </c>
      <c r="BH408" s="2058"/>
      <c r="BI408" s="2058" t="e">
        <f t="shared" si="918"/>
        <v>#REF!</v>
      </c>
      <c r="BJ408" s="2058" t="e">
        <f t="shared" si="918"/>
        <v>#REF!</v>
      </c>
      <c r="BK408" s="2058" t="e">
        <f t="shared" si="918"/>
        <v>#REF!</v>
      </c>
      <c r="BL408" s="2058" t="e">
        <f t="shared" si="918"/>
        <v>#REF!</v>
      </c>
      <c r="BM408" s="2058" t="e">
        <f t="shared" si="918"/>
        <v>#REF!</v>
      </c>
      <c r="BN408" s="2058"/>
      <c r="BO408" s="2058" t="e">
        <f t="shared" si="918"/>
        <v>#REF!</v>
      </c>
      <c r="BP408" s="2058"/>
      <c r="BQ408" s="2058" t="e">
        <f t="shared" si="918"/>
        <v>#REF!</v>
      </c>
      <c r="BR408" s="2058"/>
      <c r="BS408" s="2058" t="e">
        <f t="shared" si="918"/>
        <v>#REF!</v>
      </c>
      <c r="BT408" s="2058" t="e">
        <f t="shared" si="918"/>
        <v>#REF!</v>
      </c>
      <c r="BU408" s="2058" t="e">
        <f t="shared" si="918"/>
        <v>#REF!</v>
      </c>
      <c r="BV408" s="2058" t="e">
        <f t="shared" si="918"/>
        <v>#REF!</v>
      </c>
      <c r="BW408" s="2058" t="e">
        <f t="shared" si="918"/>
        <v>#REF!</v>
      </c>
      <c r="BX408" s="2058"/>
      <c r="BY408" s="2058" t="e">
        <f t="shared" si="918"/>
        <v>#REF!</v>
      </c>
      <c r="BZ408" s="2058"/>
      <c r="CA408" s="2058" t="e">
        <f t="shared" si="918"/>
        <v>#REF!</v>
      </c>
      <c r="CB408" s="2058"/>
      <c r="CC408" s="2058" t="e">
        <f t="shared" si="918"/>
        <v>#REF!</v>
      </c>
      <c r="CD408" s="2058" t="e">
        <f t="shared" si="918"/>
        <v>#REF!</v>
      </c>
      <c r="CE408" s="2058" t="e">
        <f t="shared" si="918"/>
        <v>#REF!</v>
      </c>
      <c r="CF408" s="2058" t="e">
        <f t="shared" si="918"/>
        <v>#REF!</v>
      </c>
      <c r="CG408" s="2058" t="e">
        <f t="shared" si="918"/>
        <v>#REF!</v>
      </c>
      <c r="CH408" s="2058"/>
      <c r="CI408" s="2058" t="e">
        <f t="shared" si="918"/>
        <v>#REF!</v>
      </c>
      <c r="CJ408" s="2058"/>
      <c r="CK408" s="2058" t="e">
        <f t="shared" si="918"/>
        <v>#REF!</v>
      </c>
      <c r="CL408" s="2058"/>
      <c r="CM408" s="2058" t="e">
        <f t="shared" si="918"/>
        <v>#REF!</v>
      </c>
      <c r="CN408" s="2058" t="e">
        <f t="shared" si="918"/>
        <v>#REF!</v>
      </c>
      <c r="CO408" s="2058" t="e">
        <f t="shared" si="918"/>
        <v>#REF!</v>
      </c>
      <c r="CP408" s="2058" t="e">
        <f t="shared" si="918"/>
        <v>#REF!</v>
      </c>
      <c r="CQ408" s="2058" t="e">
        <f t="shared" si="918"/>
        <v>#REF!</v>
      </c>
      <c r="CR408" s="2058"/>
      <c r="CS408" s="2058" t="e">
        <f t="shared" si="918"/>
        <v>#REF!</v>
      </c>
      <c r="CT408" s="2058"/>
      <c r="CU408" s="2058" t="e">
        <f t="shared" si="918"/>
        <v>#REF!</v>
      </c>
      <c r="CV408" s="2058"/>
      <c r="CW408" s="2058" t="e">
        <f t="shared" si="918"/>
        <v>#REF!</v>
      </c>
      <c r="CX408" s="2058" t="e">
        <f t="shared" si="918"/>
        <v>#REF!</v>
      </c>
      <c r="CY408" s="2058" t="e">
        <f t="shared" si="918"/>
        <v>#REF!</v>
      </c>
      <c r="CZ408" s="2058" t="e">
        <f t="shared" si="918"/>
        <v>#REF!</v>
      </c>
      <c r="DA408" s="2058" t="e">
        <f t="shared" si="918"/>
        <v>#REF!</v>
      </c>
      <c r="DB408" s="2058"/>
      <c r="DC408" s="2058" t="e">
        <f t="shared" si="918"/>
        <v>#REF!</v>
      </c>
      <c r="DD408" s="2058"/>
      <c r="DE408" s="2058" t="e">
        <f t="shared" ref="DE408:EK408" si="919">DE171+DE382</f>
        <v>#REF!</v>
      </c>
      <c r="DF408" s="2058"/>
      <c r="DG408" s="2058" t="e">
        <f t="shared" si="919"/>
        <v>#REF!</v>
      </c>
      <c r="DH408" s="2058" t="e">
        <f t="shared" si="919"/>
        <v>#REF!</v>
      </c>
      <c r="DI408" s="2058" t="e">
        <f t="shared" si="919"/>
        <v>#REF!</v>
      </c>
      <c r="DJ408" s="2058" t="e">
        <f t="shared" si="919"/>
        <v>#REF!</v>
      </c>
      <c r="DK408" s="2058" t="e">
        <f t="shared" si="919"/>
        <v>#REF!</v>
      </c>
      <c r="DL408" s="2058"/>
      <c r="DM408" s="2058" t="e">
        <f t="shared" si="919"/>
        <v>#REF!</v>
      </c>
      <c r="DN408" s="2058"/>
      <c r="DO408" s="2058" t="e">
        <f t="shared" si="919"/>
        <v>#REF!</v>
      </c>
      <c r="DP408" s="2058"/>
      <c r="DQ408" s="2058" t="e">
        <f t="shared" si="919"/>
        <v>#REF!</v>
      </c>
      <c r="DR408" s="2058" t="e">
        <f t="shared" si="919"/>
        <v>#REF!</v>
      </c>
      <c r="DS408" s="2058" t="e">
        <f t="shared" si="919"/>
        <v>#REF!</v>
      </c>
      <c r="DT408" s="2058" t="e">
        <f t="shared" si="919"/>
        <v>#REF!</v>
      </c>
      <c r="DU408" s="2058" t="e">
        <f t="shared" si="919"/>
        <v>#REF!</v>
      </c>
      <c r="DV408" s="2058"/>
      <c r="DW408" s="2058" t="e">
        <f t="shared" si="919"/>
        <v>#REF!</v>
      </c>
      <c r="DX408" s="2058"/>
      <c r="DY408" s="2058" t="e">
        <f t="shared" si="919"/>
        <v>#REF!</v>
      </c>
      <c r="DZ408" s="2058"/>
      <c r="EA408" s="2058" t="e">
        <f t="shared" si="919"/>
        <v>#REF!</v>
      </c>
      <c r="EB408" s="2058" t="e">
        <f t="shared" si="919"/>
        <v>#REF!</v>
      </c>
      <c r="EC408" s="2058" t="e">
        <f t="shared" si="919"/>
        <v>#REF!</v>
      </c>
      <c r="ED408" s="2058" t="e">
        <f t="shared" si="919"/>
        <v>#REF!</v>
      </c>
      <c r="EE408" s="2058" t="e">
        <f t="shared" si="919"/>
        <v>#REF!</v>
      </c>
      <c r="EF408" s="2058"/>
      <c r="EG408" s="2058" t="e">
        <f t="shared" si="919"/>
        <v>#REF!</v>
      </c>
      <c r="EH408" s="2058"/>
      <c r="EI408" s="2058" t="e">
        <f t="shared" si="919"/>
        <v>#REF!</v>
      </c>
      <c r="EJ408" s="2058"/>
      <c r="EK408" s="2058" t="e">
        <f t="shared" si="919"/>
        <v>#REF!</v>
      </c>
      <c r="EL408" s="2058" t="e">
        <f>EL171+EL382</f>
        <v>#REF!</v>
      </c>
      <c r="EM408" s="2063" t="e">
        <f>EM171</f>
        <v>#REF!</v>
      </c>
      <c r="EN408" s="2024" t="e">
        <f t="shared" si="915"/>
        <v>#REF!</v>
      </c>
    </row>
    <row r="409" spans="2:144" ht="18" customHeight="1">
      <c r="B409" s="1732" t="s">
        <v>2025</v>
      </c>
      <c r="O409" s="2061" t="e">
        <f t="shared" ref="O409:DA409" si="920">O282</f>
        <v>#REF!</v>
      </c>
      <c r="P409" s="2061"/>
      <c r="Q409" s="2061" t="e">
        <f t="shared" si="920"/>
        <v>#REF!</v>
      </c>
      <c r="R409" s="2061"/>
      <c r="S409" s="2061" t="e">
        <f t="shared" si="920"/>
        <v>#REF!</v>
      </c>
      <c r="T409" s="2061"/>
      <c r="U409" s="2061" t="e">
        <f t="shared" si="920"/>
        <v>#REF!</v>
      </c>
      <c r="V409" s="2061" t="e">
        <f t="shared" si="920"/>
        <v>#REF!</v>
      </c>
      <c r="W409" s="2061">
        <f t="shared" si="920"/>
        <v>0</v>
      </c>
      <c r="X409" s="2061" t="e">
        <f t="shared" si="920"/>
        <v>#REF!</v>
      </c>
      <c r="Y409" s="2061" t="e">
        <f t="shared" si="920"/>
        <v>#REF!</v>
      </c>
      <c r="Z409" s="2061"/>
      <c r="AA409" s="2061" t="e">
        <f t="shared" si="920"/>
        <v>#REF!</v>
      </c>
      <c r="AB409" s="2061"/>
      <c r="AC409" s="2061" t="e">
        <f t="shared" si="920"/>
        <v>#REF!</v>
      </c>
      <c r="AD409" s="2061"/>
      <c r="AE409" s="2061" t="e">
        <f t="shared" si="920"/>
        <v>#REF!</v>
      </c>
      <c r="AF409" s="2061" t="e">
        <f t="shared" si="920"/>
        <v>#REF!</v>
      </c>
      <c r="AG409" s="2061" t="e">
        <f t="shared" si="920"/>
        <v>#REF!</v>
      </c>
      <c r="AH409" s="2061" t="e">
        <f t="shared" si="920"/>
        <v>#REF!</v>
      </c>
      <c r="AI409" s="2061" t="e">
        <f t="shared" si="920"/>
        <v>#REF!</v>
      </c>
      <c r="AJ409" s="2061"/>
      <c r="AK409" s="2061" t="e">
        <f t="shared" si="920"/>
        <v>#REF!</v>
      </c>
      <c r="AL409" s="2061"/>
      <c r="AM409" s="2061" t="e">
        <f t="shared" si="920"/>
        <v>#REF!</v>
      </c>
      <c r="AN409" s="2061"/>
      <c r="AO409" s="2061" t="e">
        <f t="shared" si="920"/>
        <v>#REF!</v>
      </c>
      <c r="AP409" s="2061" t="e">
        <f t="shared" si="920"/>
        <v>#REF!</v>
      </c>
      <c r="AQ409" s="2061" t="e">
        <f t="shared" si="920"/>
        <v>#REF!</v>
      </c>
      <c r="AR409" s="2061" t="e">
        <f t="shared" si="920"/>
        <v>#REF!</v>
      </c>
      <c r="AS409" s="2061" t="e">
        <f t="shared" si="920"/>
        <v>#REF!</v>
      </c>
      <c r="AT409" s="2061"/>
      <c r="AU409" s="2061" t="e">
        <f t="shared" si="920"/>
        <v>#REF!</v>
      </c>
      <c r="AV409" s="2061"/>
      <c r="AW409" s="2061" t="e">
        <f t="shared" si="920"/>
        <v>#REF!</v>
      </c>
      <c r="AX409" s="2061"/>
      <c r="AY409" s="2061" t="e">
        <f t="shared" si="920"/>
        <v>#REF!</v>
      </c>
      <c r="AZ409" s="2061" t="e">
        <f t="shared" si="920"/>
        <v>#REF!</v>
      </c>
      <c r="BA409" s="2061" t="e">
        <f t="shared" si="920"/>
        <v>#REF!</v>
      </c>
      <c r="BB409" s="2061" t="e">
        <f t="shared" si="920"/>
        <v>#REF!</v>
      </c>
      <c r="BC409" s="2061" t="e">
        <f t="shared" si="920"/>
        <v>#REF!</v>
      </c>
      <c r="BD409" s="2061"/>
      <c r="BE409" s="2061" t="e">
        <f t="shared" si="920"/>
        <v>#REF!</v>
      </c>
      <c r="BF409" s="2061"/>
      <c r="BG409" s="2061" t="e">
        <f t="shared" si="920"/>
        <v>#REF!</v>
      </c>
      <c r="BH409" s="2061"/>
      <c r="BI409" s="2061" t="e">
        <f t="shared" si="920"/>
        <v>#REF!</v>
      </c>
      <c r="BJ409" s="2061" t="e">
        <f t="shared" si="920"/>
        <v>#REF!</v>
      </c>
      <c r="BK409" s="2061" t="e">
        <f t="shared" si="920"/>
        <v>#REF!</v>
      </c>
      <c r="BL409" s="2061" t="e">
        <f t="shared" si="920"/>
        <v>#REF!</v>
      </c>
      <c r="BM409" s="2061" t="e">
        <f t="shared" si="920"/>
        <v>#REF!</v>
      </c>
      <c r="BN409" s="2061"/>
      <c r="BO409" s="2061" t="e">
        <f t="shared" si="920"/>
        <v>#REF!</v>
      </c>
      <c r="BP409" s="2061"/>
      <c r="BQ409" s="2061" t="e">
        <f t="shared" si="920"/>
        <v>#REF!</v>
      </c>
      <c r="BR409" s="2061"/>
      <c r="BS409" s="2061" t="e">
        <f t="shared" si="920"/>
        <v>#REF!</v>
      </c>
      <c r="BT409" s="2061" t="e">
        <f t="shared" si="920"/>
        <v>#REF!</v>
      </c>
      <c r="BU409" s="2061" t="e">
        <f t="shared" si="920"/>
        <v>#REF!</v>
      </c>
      <c r="BV409" s="2061" t="e">
        <f t="shared" si="920"/>
        <v>#REF!</v>
      </c>
      <c r="BW409" s="2061" t="e">
        <f t="shared" si="920"/>
        <v>#REF!</v>
      </c>
      <c r="BX409" s="2061"/>
      <c r="BY409" s="2061" t="e">
        <f t="shared" si="920"/>
        <v>#REF!</v>
      </c>
      <c r="BZ409" s="2061"/>
      <c r="CA409" s="2061" t="e">
        <f t="shared" si="920"/>
        <v>#REF!</v>
      </c>
      <c r="CB409" s="2061"/>
      <c r="CC409" s="2061" t="e">
        <f t="shared" si="920"/>
        <v>#REF!</v>
      </c>
      <c r="CD409" s="2061" t="e">
        <f t="shared" si="920"/>
        <v>#REF!</v>
      </c>
      <c r="CE409" s="2061" t="e">
        <f t="shared" si="920"/>
        <v>#REF!</v>
      </c>
      <c r="CF409" s="2061" t="e">
        <f t="shared" si="920"/>
        <v>#REF!</v>
      </c>
      <c r="CG409" s="2061" t="e">
        <f t="shared" si="920"/>
        <v>#REF!</v>
      </c>
      <c r="CH409" s="2061"/>
      <c r="CI409" s="2061" t="e">
        <f t="shared" si="920"/>
        <v>#REF!</v>
      </c>
      <c r="CJ409" s="2061"/>
      <c r="CK409" s="2061" t="e">
        <f t="shared" si="920"/>
        <v>#REF!</v>
      </c>
      <c r="CL409" s="2061"/>
      <c r="CM409" s="2061" t="e">
        <f t="shared" si="920"/>
        <v>#REF!</v>
      </c>
      <c r="CN409" s="2061" t="e">
        <f t="shared" si="920"/>
        <v>#REF!</v>
      </c>
      <c r="CO409" s="2061" t="e">
        <f t="shared" si="920"/>
        <v>#REF!</v>
      </c>
      <c r="CP409" s="2061" t="e">
        <f t="shared" si="920"/>
        <v>#REF!</v>
      </c>
      <c r="CQ409" s="2061" t="e">
        <f t="shared" si="920"/>
        <v>#REF!</v>
      </c>
      <c r="CR409" s="2061"/>
      <c r="CS409" s="2061" t="e">
        <f t="shared" si="920"/>
        <v>#REF!</v>
      </c>
      <c r="CT409" s="2061"/>
      <c r="CU409" s="2061" t="e">
        <f t="shared" si="920"/>
        <v>#REF!</v>
      </c>
      <c r="CV409" s="2061"/>
      <c r="CW409" s="2061" t="e">
        <f t="shared" si="920"/>
        <v>#REF!</v>
      </c>
      <c r="CX409" s="2061" t="e">
        <f t="shared" si="920"/>
        <v>#REF!</v>
      </c>
      <c r="CY409" s="2061" t="e">
        <f t="shared" si="920"/>
        <v>#REF!</v>
      </c>
      <c r="CZ409" s="2061" t="e">
        <f t="shared" si="920"/>
        <v>#REF!</v>
      </c>
      <c r="DA409" s="2061" t="e">
        <f t="shared" si="920"/>
        <v>#REF!</v>
      </c>
      <c r="DB409" s="2061"/>
      <c r="DC409" s="2061" t="e">
        <f t="shared" ref="DC409:ED409" si="921">DC282</f>
        <v>#REF!</v>
      </c>
      <c r="DD409" s="2061"/>
      <c r="DE409" s="2061" t="e">
        <f t="shared" si="921"/>
        <v>#REF!</v>
      </c>
      <c r="DF409" s="2061"/>
      <c r="DG409" s="2061" t="e">
        <f t="shared" si="921"/>
        <v>#REF!</v>
      </c>
      <c r="DH409" s="2061" t="e">
        <f t="shared" si="921"/>
        <v>#REF!</v>
      </c>
      <c r="DI409" s="2061" t="e">
        <f t="shared" si="921"/>
        <v>#REF!</v>
      </c>
      <c r="DJ409" s="2061" t="e">
        <f t="shared" si="921"/>
        <v>#REF!</v>
      </c>
      <c r="DK409" s="2061" t="e">
        <f t="shared" si="921"/>
        <v>#REF!</v>
      </c>
      <c r="DL409" s="2061"/>
      <c r="DM409" s="2061" t="e">
        <f t="shared" si="921"/>
        <v>#REF!</v>
      </c>
      <c r="DN409" s="2061"/>
      <c r="DO409" s="2061" t="e">
        <f t="shared" si="921"/>
        <v>#REF!</v>
      </c>
      <c r="DP409" s="2061"/>
      <c r="DQ409" s="2061" t="e">
        <f t="shared" si="921"/>
        <v>#REF!</v>
      </c>
      <c r="DR409" s="2061" t="e">
        <f t="shared" si="921"/>
        <v>#REF!</v>
      </c>
      <c r="DS409" s="2061" t="e">
        <f t="shared" si="921"/>
        <v>#REF!</v>
      </c>
      <c r="DT409" s="2061" t="e">
        <f t="shared" si="921"/>
        <v>#REF!</v>
      </c>
      <c r="DU409" s="2061" t="e">
        <f t="shared" si="921"/>
        <v>#REF!</v>
      </c>
      <c r="DV409" s="2061"/>
      <c r="DW409" s="2061" t="e">
        <f t="shared" si="921"/>
        <v>#REF!</v>
      </c>
      <c r="DX409" s="2061"/>
      <c r="DY409" s="2061" t="e">
        <f t="shared" si="921"/>
        <v>#REF!</v>
      </c>
      <c r="DZ409" s="2061"/>
      <c r="EA409" s="2061" t="e">
        <f t="shared" si="921"/>
        <v>#REF!</v>
      </c>
      <c r="EB409" s="2061" t="e">
        <f t="shared" si="921"/>
        <v>#REF!</v>
      </c>
      <c r="EC409" s="2061" t="e">
        <f t="shared" si="921"/>
        <v>#REF!</v>
      </c>
      <c r="ED409" s="2061" t="e">
        <f t="shared" si="921"/>
        <v>#REF!</v>
      </c>
      <c r="EE409" s="2061" t="e">
        <f>EE282</f>
        <v>#REF!</v>
      </c>
      <c r="EF409" s="2061"/>
      <c r="EG409" s="2061" t="e">
        <f>EG282</f>
        <v>#REF!</v>
      </c>
      <c r="EH409" s="2061"/>
      <c r="EI409" s="2061" t="e">
        <f>EI282</f>
        <v>#REF!</v>
      </c>
      <c r="EJ409" s="2061"/>
      <c r="EK409" s="2061" t="e">
        <f>EK282</f>
        <v>#REF!</v>
      </c>
      <c r="EL409" s="2061" t="e">
        <f>EL282</f>
        <v>#REF!</v>
      </c>
      <c r="EM409" s="2063" t="e">
        <f>EM172</f>
        <v>#REF!</v>
      </c>
      <c r="EN409" s="2024" t="e">
        <f t="shared" si="915"/>
        <v>#REF!</v>
      </c>
    </row>
    <row r="410" spans="2:144" ht="18" customHeight="1">
      <c r="B410" s="1733" t="s">
        <v>2026</v>
      </c>
      <c r="O410" s="3111" t="s">
        <v>2026</v>
      </c>
      <c r="P410" s="3112"/>
      <c r="Q410" s="3112"/>
      <c r="R410" s="3112"/>
      <c r="S410" s="3112"/>
      <c r="T410" s="3112"/>
      <c r="U410" s="3112"/>
      <c r="V410" s="3112"/>
      <c r="W410" s="3112"/>
      <c r="X410" s="3113"/>
      <c r="Y410" s="3111" t="s">
        <v>2026</v>
      </c>
      <c r="Z410" s="3112"/>
      <c r="AA410" s="3112"/>
      <c r="AB410" s="3112"/>
      <c r="AC410" s="3112"/>
      <c r="AD410" s="3112"/>
      <c r="AE410" s="3112"/>
      <c r="AF410" s="3112"/>
      <c r="AG410" s="3112"/>
      <c r="AH410" s="3113"/>
      <c r="AI410" s="3111" t="s">
        <v>2026</v>
      </c>
      <c r="AJ410" s="3112"/>
      <c r="AK410" s="3112"/>
      <c r="AL410" s="3112"/>
      <c r="AM410" s="3112"/>
      <c r="AN410" s="3112"/>
      <c r="AO410" s="3112"/>
      <c r="AP410" s="3112"/>
      <c r="AQ410" s="3112"/>
      <c r="AR410" s="3113"/>
      <c r="AS410" s="3111" t="s">
        <v>2026</v>
      </c>
      <c r="AT410" s="3112"/>
      <c r="AU410" s="3112"/>
      <c r="AV410" s="3112"/>
      <c r="AW410" s="3112"/>
      <c r="AX410" s="3112"/>
      <c r="AY410" s="3112"/>
      <c r="AZ410" s="3112"/>
      <c r="BA410" s="3112"/>
      <c r="BB410" s="3113"/>
      <c r="BC410" s="3111" t="s">
        <v>2026</v>
      </c>
      <c r="BD410" s="3112"/>
      <c r="BE410" s="3112"/>
      <c r="BF410" s="3112"/>
      <c r="BG410" s="3112"/>
      <c r="BH410" s="3112"/>
      <c r="BI410" s="3112"/>
      <c r="BJ410" s="3112"/>
      <c r="BK410" s="3112"/>
      <c r="BL410" s="3113"/>
      <c r="BM410" s="3111" t="s">
        <v>2026</v>
      </c>
      <c r="BN410" s="3112"/>
      <c r="BO410" s="3112"/>
      <c r="BP410" s="3112"/>
      <c r="BQ410" s="3112"/>
      <c r="BR410" s="3112"/>
      <c r="BS410" s="3112"/>
      <c r="BT410" s="3112"/>
      <c r="BU410" s="3112"/>
      <c r="BV410" s="3113"/>
      <c r="BW410" s="3111" t="s">
        <v>2026</v>
      </c>
      <c r="BX410" s="3112"/>
      <c r="BY410" s="3112"/>
      <c r="BZ410" s="3112"/>
      <c r="CA410" s="3112"/>
      <c r="CB410" s="3112"/>
      <c r="CC410" s="3112"/>
      <c r="CD410" s="3112"/>
      <c r="CE410" s="3112"/>
      <c r="CF410" s="3113"/>
      <c r="CG410" s="3111" t="s">
        <v>2026</v>
      </c>
      <c r="CH410" s="3112"/>
      <c r="CI410" s="3112"/>
      <c r="CJ410" s="3112"/>
      <c r="CK410" s="3112"/>
      <c r="CL410" s="3112"/>
      <c r="CM410" s="3112"/>
      <c r="CN410" s="3112"/>
      <c r="CO410" s="3112"/>
      <c r="CP410" s="3113"/>
      <c r="CQ410" s="3111" t="s">
        <v>2026</v>
      </c>
      <c r="CR410" s="3112"/>
      <c r="CS410" s="3112"/>
      <c r="CT410" s="3112"/>
      <c r="CU410" s="3112"/>
      <c r="CV410" s="3112"/>
      <c r="CW410" s="3112"/>
      <c r="CX410" s="3112"/>
      <c r="CY410" s="3112"/>
      <c r="CZ410" s="3113"/>
      <c r="DA410" s="3111" t="s">
        <v>2026</v>
      </c>
      <c r="DB410" s="3112"/>
      <c r="DC410" s="3112"/>
      <c r="DD410" s="3112"/>
      <c r="DE410" s="3112"/>
      <c r="DF410" s="3112"/>
      <c r="DG410" s="3112"/>
      <c r="DH410" s="3112"/>
      <c r="DI410" s="3112"/>
      <c r="DJ410" s="3113"/>
      <c r="DK410" s="3111" t="s">
        <v>2026</v>
      </c>
      <c r="DL410" s="3112"/>
      <c r="DM410" s="3112"/>
      <c r="DN410" s="3112"/>
      <c r="DO410" s="3112"/>
      <c r="DP410" s="3112"/>
      <c r="DQ410" s="3112"/>
      <c r="DR410" s="3112"/>
      <c r="DS410" s="3112"/>
      <c r="DT410" s="3113"/>
      <c r="DU410" s="3111" t="s">
        <v>2026</v>
      </c>
      <c r="DV410" s="3112"/>
      <c r="DW410" s="3112"/>
      <c r="DX410" s="3112"/>
      <c r="DY410" s="3112"/>
      <c r="DZ410" s="3112"/>
      <c r="EA410" s="3112"/>
      <c r="EB410" s="3112"/>
      <c r="EC410" s="3112"/>
      <c r="ED410" s="3113"/>
      <c r="EE410" s="3111" t="s">
        <v>2026</v>
      </c>
      <c r="EF410" s="3112"/>
      <c r="EG410" s="3112"/>
      <c r="EH410" s="3112"/>
      <c r="EI410" s="3112"/>
      <c r="EJ410" s="3112"/>
      <c r="EK410" s="3112"/>
      <c r="EL410" s="3112"/>
      <c r="EM410" s="3112"/>
      <c r="EN410" s="3113"/>
    </row>
    <row r="411" spans="2:144" ht="18" customHeight="1">
      <c r="B411" s="1734" t="s">
        <v>1988</v>
      </c>
      <c r="O411" s="2058" t="e">
        <f>O332</f>
        <v>#REF!</v>
      </c>
      <c r="P411" s="2059"/>
      <c r="Q411" s="2023" t="e">
        <f t="shared" ref="Q411:X411" si="922">Q332</f>
        <v>#REF!</v>
      </c>
      <c r="R411" s="2023"/>
      <c r="S411" s="2023" t="e">
        <f t="shared" si="922"/>
        <v>#REF!</v>
      </c>
      <c r="T411" s="2023"/>
      <c r="U411" s="2023" t="e">
        <f t="shared" si="922"/>
        <v>#REF!</v>
      </c>
      <c r="V411" s="2023" t="e">
        <f t="shared" si="922"/>
        <v>#REF!</v>
      </c>
      <c r="W411" s="2023">
        <f t="shared" si="922"/>
        <v>0</v>
      </c>
      <c r="X411" s="2060" t="e">
        <f t="shared" si="922"/>
        <v>#REF!</v>
      </c>
      <c r="Y411" s="2058" t="e">
        <f>Y332</f>
        <v>#REF!</v>
      </c>
      <c r="Z411" s="2059"/>
      <c r="AA411" s="2023" t="e">
        <f t="shared" ref="AA411:AH411" si="923">AA332</f>
        <v>#REF!</v>
      </c>
      <c r="AB411" s="2023"/>
      <c r="AC411" s="2023" t="e">
        <f t="shared" si="923"/>
        <v>#REF!</v>
      </c>
      <c r="AD411" s="2023"/>
      <c r="AE411" s="2023" t="e">
        <f t="shared" si="923"/>
        <v>#REF!</v>
      </c>
      <c r="AF411" s="2023" t="e">
        <f t="shared" si="923"/>
        <v>#REF!</v>
      </c>
      <c r="AG411" s="2023" t="e">
        <f t="shared" si="923"/>
        <v>#REF!</v>
      </c>
      <c r="AH411" s="2060" t="e">
        <f t="shared" si="923"/>
        <v>#REF!</v>
      </c>
      <c r="AI411" s="2058" t="e">
        <f>AI332</f>
        <v>#REF!</v>
      </c>
      <c r="AJ411" s="2059"/>
      <c r="AK411" s="2023" t="e">
        <f t="shared" ref="AK411:AR411" si="924">AK332</f>
        <v>#REF!</v>
      </c>
      <c r="AL411" s="2023"/>
      <c r="AM411" s="2023" t="e">
        <f t="shared" si="924"/>
        <v>#REF!</v>
      </c>
      <c r="AN411" s="2023"/>
      <c r="AO411" s="2023" t="e">
        <f t="shared" si="924"/>
        <v>#REF!</v>
      </c>
      <c r="AP411" s="2023" t="e">
        <f t="shared" si="924"/>
        <v>#REF!</v>
      </c>
      <c r="AQ411" s="2023" t="e">
        <f t="shared" si="924"/>
        <v>#REF!</v>
      </c>
      <c r="AR411" s="2060" t="e">
        <f t="shared" si="924"/>
        <v>#REF!</v>
      </c>
      <c r="AS411" s="2058" t="e">
        <f>AS332</f>
        <v>#REF!</v>
      </c>
      <c r="AT411" s="2059"/>
      <c r="AU411" s="2023" t="e">
        <f t="shared" ref="AU411:BB411" si="925">AU332</f>
        <v>#REF!</v>
      </c>
      <c r="AV411" s="2023"/>
      <c r="AW411" s="2023" t="e">
        <f t="shared" si="925"/>
        <v>#REF!</v>
      </c>
      <c r="AX411" s="2023"/>
      <c r="AY411" s="2023" t="e">
        <f t="shared" si="925"/>
        <v>#REF!</v>
      </c>
      <c r="AZ411" s="2023" t="e">
        <f t="shared" si="925"/>
        <v>#REF!</v>
      </c>
      <c r="BA411" s="2023" t="e">
        <f t="shared" si="925"/>
        <v>#REF!</v>
      </c>
      <c r="BB411" s="2060" t="e">
        <f t="shared" si="925"/>
        <v>#REF!</v>
      </c>
      <c r="BC411" s="2058" t="e">
        <f>BC332</f>
        <v>#REF!</v>
      </c>
      <c r="BD411" s="2059"/>
      <c r="BE411" s="2023" t="e">
        <f t="shared" ref="BE411:BL411" si="926">BE332</f>
        <v>#REF!</v>
      </c>
      <c r="BF411" s="2023"/>
      <c r="BG411" s="2023" t="e">
        <f t="shared" si="926"/>
        <v>#REF!</v>
      </c>
      <c r="BH411" s="2023"/>
      <c r="BI411" s="2023" t="e">
        <f t="shared" si="926"/>
        <v>#REF!</v>
      </c>
      <c r="BJ411" s="2023" t="e">
        <f t="shared" si="926"/>
        <v>#REF!</v>
      </c>
      <c r="BK411" s="2023" t="e">
        <f t="shared" si="926"/>
        <v>#REF!</v>
      </c>
      <c r="BL411" s="2060" t="e">
        <f t="shared" si="926"/>
        <v>#REF!</v>
      </c>
      <c r="BM411" s="2058" t="e">
        <f>BM332</f>
        <v>#REF!</v>
      </c>
      <c r="BN411" s="2059"/>
      <c r="BO411" s="2023" t="e">
        <f t="shared" ref="BO411:BV411" si="927">BO332</f>
        <v>#REF!</v>
      </c>
      <c r="BP411" s="2023"/>
      <c r="BQ411" s="2023" t="e">
        <f t="shared" si="927"/>
        <v>#REF!</v>
      </c>
      <c r="BR411" s="2023"/>
      <c r="BS411" s="2023" t="e">
        <f t="shared" si="927"/>
        <v>#REF!</v>
      </c>
      <c r="BT411" s="2023" t="e">
        <f t="shared" si="927"/>
        <v>#REF!</v>
      </c>
      <c r="BU411" s="2023" t="e">
        <f t="shared" si="927"/>
        <v>#REF!</v>
      </c>
      <c r="BV411" s="2060" t="e">
        <f t="shared" si="927"/>
        <v>#REF!</v>
      </c>
      <c r="BW411" s="2058" t="e">
        <f>BW332</f>
        <v>#REF!</v>
      </c>
      <c r="BX411" s="2059"/>
      <c r="BY411" s="2023" t="e">
        <f t="shared" ref="BY411:CF411" si="928">BY332</f>
        <v>#REF!</v>
      </c>
      <c r="BZ411" s="2023"/>
      <c r="CA411" s="2023" t="e">
        <f t="shared" si="928"/>
        <v>#REF!</v>
      </c>
      <c r="CB411" s="2023"/>
      <c r="CC411" s="2023" t="e">
        <f t="shared" si="928"/>
        <v>#REF!</v>
      </c>
      <c r="CD411" s="2023" t="e">
        <f t="shared" si="928"/>
        <v>#REF!</v>
      </c>
      <c r="CE411" s="2023" t="e">
        <f t="shared" si="928"/>
        <v>#REF!</v>
      </c>
      <c r="CF411" s="2060" t="e">
        <f t="shared" si="928"/>
        <v>#REF!</v>
      </c>
      <c r="CG411" s="2058" t="e">
        <f>CG332</f>
        <v>#REF!</v>
      </c>
      <c r="CH411" s="2059"/>
      <c r="CI411" s="2023" t="e">
        <f t="shared" ref="CI411:CP411" si="929">CI332</f>
        <v>#REF!</v>
      </c>
      <c r="CJ411" s="2023"/>
      <c r="CK411" s="2023" t="e">
        <f t="shared" si="929"/>
        <v>#REF!</v>
      </c>
      <c r="CL411" s="2023"/>
      <c r="CM411" s="2023" t="e">
        <f t="shared" si="929"/>
        <v>#REF!</v>
      </c>
      <c r="CN411" s="2023" t="e">
        <f t="shared" si="929"/>
        <v>#REF!</v>
      </c>
      <c r="CO411" s="2023" t="e">
        <f t="shared" si="929"/>
        <v>#REF!</v>
      </c>
      <c r="CP411" s="2060" t="e">
        <f t="shared" si="929"/>
        <v>#REF!</v>
      </c>
      <c r="CQ411" s="2058" t="e">
        <f>CQ332</f>
        <v>#REF!</v>
      </c>
      <c r="CR411" s="2059"/>
      <c r="CS411" s="2023" t="e">
        <f t="shared" ref="CS411:CZ411" si="930">CS332</f>
        <v>#REF!</v>
      </c>
      <c r="CT411" s="2023"/>
      <c r="CU411" s="2023" t="e">
        <f t="shared" si="930"/>
        <v>#REF!</v>
      </c>
      <c r="CV411" s="2023"/>
      <c r="CW411" s="2023" t="e">
        <f t="shared" si="930"/>
        <v>#REF!</v>
      </c>
      <c r="CX411" s="2023" t="e">
        <f t="shared" si="930"/>
        <v>#REF!</v>
      </c>
      <c r="CY411" s="2023" t="e">
        <f t="shared" si="930"/>
        <v>#REF!</v>
      </c>
      <c r="CZ411" s="2060" t="e">
        <f t="shared" si="930"/>
        <v>#REF!</v>
      </c>
      <c r="DA411" s="2058" t="e">
        <f>DA332</f>
        <v>#REF!</v>
      </c>
      <c r="DB411" s="2059"/>
      <c r="DC411" s="2023" t="e">
        <f t="shared" ref="DC411:DY413" si="931">DC332</f>
        <v>#REF!</v>
      </c>
      <c r="DD411" s="2023"/>
      <c r="DE411" s="2023" t="e">
        <f t="shared" si="931"/>
        <v>#REF!</v>
      </c>
      <c r="DF411" s="2023"/>
      <c r="DG411" s="2023" t="e">
        <f t="shared" si="931"/>
        <v>#REF!</v>
      </c>
      <c r="DH411" s="2023" t="e">
        <f t="shared" si="931"/>
        <v>#REF!</v>
      </c>
      <c r="DI411" s="2023" t="e">
        <f t="shared" si="931"/>
        <v>#REF!</v>
      </c>
      <c r="DJ411" s="2060" t="e">
        <f t="shared" si="931"/>
        <v>#REF!</v>
      </c>
      <c r="DK411" s="2058" t="e">
        <f>DK332</f>
        <v>#REF!</v>
      </c>
      <c r="DL411" s="2059"/>
      <c r="DM411" s="2023" t="e">
        <f t="shared" ref="DM411:DT411" si="932">DM332</f>
        <v>#REF!</v>
      </c>
      <c r="DN411" s="2023"/>
      <c r="DO411" s="2023" t="e">
        <f t="shared" si="932"/>
        <v>#REF!</v>
      </c>
      <c r="DP411" s="2023"/>
      <c r="DQ411" s="2023" t="e">
        <f t="shared" si="932"/>
        <v>#REF!</v>
      </c>
      <c r="DR411" s="2023" t="e">
        <f t="shared" si="932"/>
        <v>#REF!</v>
      </c>
      <c r="DS411" s="2023" t="e">
        <f t="shared" si="932"/>
        <v>#REF!</v>
      </c>
      <c r="DT411" s="2060" t="e">
        <f t="shared" si="932"/>
        <v>#REF!</v>
      </c>
      <c r="DU411" s="2058" t="e">
        <f>DU332</f>
        <v>#REF!</v>
      </c>
      <c r="DV411" s="2059"/>
      <c r="DW411" s="2023" t="e">
        <f t="shared" ref="DW411:EM413" si="933">DW332</f>
        <v>#REF!</v>
      </c>
      <c r="DX411" s="2023"/>
      <c r="DY411" s="2023" t="e">
        <f t="shared" si="933"/>
        <v>#REF!</v>
      </c>
      <c r="DZ411" s="2023"/>
      <c r="EA411" s="2023" t="e">
        <f t="shared" si="933"/>
        <v>#REF!</v>
      </c>
      <c r="EB411" s="2023" t="e">
        <f t="shared" si="933"/>
        <v>#REF!</v>
      </c>
      <c r="EC411" s="2023" t="e">
        <f t="shared" si="933"/>
        <v>#REF!</v>
      </c>
      <c r="ED411" s="2060" t="e">
        <f t="shared" si="933"/>
        <v>#REF!</v>
      </c>
      <c r="EE411" s="2061" t="e">
        <f t="shared" si="933"/>
        <v>#REF!</v>
      </c>
      <c r="EF411" s="2062"/>
      <c r="EG411" s="2023" t="e">
        <f t="shared" si="933"/>
        <v>#REF!</v>
      </c>
      <c r="EH411" s="2023"/>
      <c r="EI411" s="2023" t="e">
        <f t="shared" si="933"/>
        <v>#REF!</v>
      </c>
      <c r="EJ411" s="2023"/>
      <c r="EK411" s="2023" t="e">
        <f t="shared" si="933"/>
        <v>#REF!</v>
      </c>
      <c r="EL411" s="2023" t="e">
        <f t="shared" si="933"/>
        <v>#REF!</v>
      </c>
      <c r="EM411" s="2063" t="e">
        <f t="shared" si="933"/>
        <v>#REF!</v>
      </c>
      <c r="EN411" s="2024" t="e">
        <f t="shared" si="915"/>
        <v>#REF!</v>
      </c>
    </row>
    <row r="412" spans="2:144" ht="18" customHeight="1">
      <c r="B412" s="1734" t="s">
        <v>1989</v>
      </c>
      <c r="O412" s="2058" t="e">
        <f t="shared" ref="O412:DA413" si="934">O333</f>
        <v>#REF!</v>
      </c>
      <c r="P412" s="2059"/>
      <c r="Q412" s="2023" t="e">
        <f t="shared" si="934"/>
        <v>#REF!</v>
      </c>
      <c r="R412" s="2023"/>
      <c r="S412" s="2023" t="e">
        <f t="shared" si="934"/>
        <v>#REF!</v>
      </c>
      <c r="T412" s="2023"/>
      <c r="U412" s="2023" t="e">
        <f t="shared" si="934"/>
        <v>#REF!</v>
      </c>
      <c r="V412" s="2023" t="e">
        <f t="shared" si="934"/>
        <v>#REF!</v>
      </c>
      <c r="W412" s="2023">
        <f t="shared" si="934"/>
        <v>0</v>
      </c>
      <c r="X412" s="2060" t="e">
        <f t="shared" si="934"/>
        <v>#REF!</v>
      </c>
      <c r="Y412" s="2058" t="e">
        <f t="shared" si="934"/>
        <v>#REF!</v>
      </c>
      <c r="Z412" s="2059"/>
      <c r="AA412" s="2023" t="e">
        <f t="shared" si="934"/>
        <v>#REF!</v>
      </c>
      <c r="AB412" s="2023"/>
      <c r="AC412" s="2023" t="e">
        <f t="shared" si="934"/>
        <v>#REF!</v>
      </c>
      <c r="AD412" s="2023"/>
      <c r="AE412" s="2023" t="e">
        <f t="shared" si="934"/>
        <v>#REF!</v>
      </c>
      <c r="AF412" s="2023" t="e">
        <f t="shared" si="934"/>
        <v>#REF!</v>
      </c>
      <c r="AG412" s="2023" t="e">
        <f t="shared" si="934"/>
        <v>#REF!</v>
      </c>
      <c r="AH412" s="2060" t="e">
        <f t="shared" si="934"/>
        <v>#REF!</v>
      </c>
      <c r="AI412" s="2058" t="e">
        <f t="shared" si="934"/>
        <v>#REF!</v>
      </c>
      <c r="AJ412" s="2059"/>
      <c r="AK412" s="2023" t="e">
        <f t="shared" si="934"/>
        <v>#REF!</v>
      </c>
      <c r="AL412" s="2023"/>
      <c r="AM412" s="2023" t="e">
        <f t="shared" si="934"/>
        <v>#REF!</v>
      </c>
      <c r="AN412" s="2023"/>
      <c r="AO412" s="2023" t="e">
        <f t="shared" si="934"/>
        <v>#REF!</v>
      </c>
      <c r="AP412" s="2023" t="e">
        <f t="shared" si="934"/>
        <v>#REF!</v>
      </c>
      <c r="AQ412" s="2023" t="e">
        <f t="shared" si="934"/>
        <v>#REF!</v>
      </c>
      <c r="AR412" s="2060" t="e">
        <f t="shared" si="934"/>
        <v>#REF!</v>
      </c>
      <c r="AS412" s="2058" t="e">
        <f t="shared" si="934"/>
        <v>#REF!</v>
      </c>
      <c r="AT412" s="2059"/>
      <c r="AU412" s="2023" t="e">
        <f t="shared" si="934"/>
        <v>#REF!</v>
      </c>
      <c r="AV412" s="2023"/>
      <c r="AW412" s="2023" t="e">
        <f t="shared" si="934"/>
        <v>#REF!</v>
      </c>
      <c r="AX412" s="2023"/>
      <c r="AY412" s="2023" t="e">
        <f t="shared" si="934"/>
        <v>#REF!</v>
      </c>
      <c r="AZ412" s="2023" t="e">
        <f t="shared" si="934"/>
        <v>#REF!</v>
      </c>
      <c r="BA412" s="2023" t="e">
        <f t="shared" si="934"/>
        <v>#REF!</v>
      </c>
      <c r="BB412" s="2060" t="e">
        <f t="shared" si="934"/>
        <v>#REF!</v>
      </c>
      <c r="BC412" s="2058" t="e">
        <f t="shared" si="934"/>
        <v>#REF!</v>
      </c>
      <c r="BD412" s="2059"/>
      <c r="BE412" s="2023" t="e">
        <f t="shared" si="934"/>
        <v>#REF!</v>
      </c>
      <c r="BF412" s="2023"/>
      <c r="BG412" s="2023" t="e">
        <f t="shared" si="934"/>
        <v>#REF!</v>
      </c>
      <c r="BH412" s="2023"/>
      <c r="BI412" s="2023" t="e">
        <f t="shared" si="934"/>
        <v>#REF!</v>
      </c>
      <c r="BJ412" s="2023" t="e">
        <f t="shared" si="934"/>
        <v>#REF!</v>
      </c>
      <c r="BK412" s="2023" t="e">
        <f t="shared" si="934"/>
        <v>#REF!</v>
      </c>
      <c r="BL412" s="2060" t="e">
        <f t="shared" si="934"/>
        <v>#REF!</v>
      </c>
      <c r="BM412" s="2058" t="e">
        <f t="shared" si="934"/>
        <v>#REF!</v>
      </c>
      <c r="BN412" s="2059"/>
      <c r="BO412" s="2023" t="e">
        <f t="shared" si="934"/>
        <v>#REF!</v>
      </c>
      <c r="BP412" s="2023"/>
      <c r="BQ412" s="2023" t="e">
        <f t="shared" si="934"/>
        <v>#REF!</v>
      </c>
      <c r="BR412" s="2023"/>
      <c r="BS412" s="2023" t="e">
        <f t="shared" si="934"/>
        <v>#REF!</v>
      </c>
      <c r="BT412" s="2023" t="e">
        <f t="shared" si="934"/>
        <v>#REF!</v>
      </c>
      <c r="BU412" s="2023" t="e">
        <f t="shared" si="934"/>
        <v>#REF!</v>
      </c>
      <c r="BV412" s="2060" t="e">
        <f t="shared" si="934"/>
        <v>#REF!</v>
      </c>
      <c r="BW412" s="2058" t="e">
        <f t="shared" si="934"/>
        <v>#REF!</v>
      </c>
      <c r="BX412" s="2059"/>
      <c r="BY412" s="2023" t="e">
        <f t="shared" si="934"/>
        <v>#REF!</v>
      </c>
      <c r="BZ412" s="2023"/>
      <c r="CA412" s="2023" t="e">
        <f t="shared" si="934"/>
        <v>#REF!</v>
      </c>
      <c r="CB412" s="2023"/>
      <c r="CC412" s="2023" t="e">
        <f t="shared" si="934"/>
        <v>#REF!</v>
      </c>
      <c r="CD412" s="2023" t="e">
        <f t="shared" si="934"/>
        <v>#REF!</v>
      </c>
      <c r="CE412" s="2023" t="e">
        <f t="shared" si="934"/>
        <v>#REF!</v>
      </c>
      <c r="CF412" s="2060" t="e">
        <f t="shared" si="934"/>
        <v>#REF!</v>
      </c>
      <c r="CG412" s="2058" t="e">
        <f t="shared" si="934"/>
        <v>#REF!</v>
      </c>
      <c r="CH412" s="2059"/>
      <c r="CI412" s="2023" t="e">
        <f t="shared" si="934"/>
        <v>#REF!</v>
      </c>
      <c r="CJ412" s="2023"/>
      <c r="CK412" s="2023" t="e">
        <f t="shared" si="934"/>
        <v>#REF!</v>
      </c>
      <c r="CL412" s="2023"/>
      <c r="CM412" s="2023" t="e">
        <f t="shared" si="934"/>
        <v>#REF!</v>
      </c>
      <c r="CN412" s="2023" t="e">
        <f t="shared" si="934"/>
        <v>#REF!</v>
      </c>
      <c r="CO412" s="2023" t="e">
        <f t="shared" si="934"/>
        <v>#REF!</v>
      </c>
      <c r="CP412" s="2060" t="e">
        <f t="shared" si="934"/>
        <v>#REF!</v>
      </c>
      <c r="CQ412" s="2058" t="e">
        <f t="shared" si="934"/>
        <v>#REF!</v>
      </c>
      <c r="CR412" s="2059"/>
      <c r="CS412" s="2023" t="e">
        <f t="shared" si="934"/>
        <v>#REF!</v>
      </c>
      <c r="CT412" s="2023"/>
      <c r="CU412" s="2023" t="e">
        <f t="shared" si="934"/>
        <v>#REF!</v>
      </c>
      <c r="CV412" s="2023"/>
      <c r="CW412" s="2023" t="e">
        <f t="shared" si="934"/>
        <v>#REF!</v>
      </c>
      <c r="CX412" s="2023" t="e">
        <f t="shared" si="934"/>
        <v>#REF!</v>
      </c>
      <c r="CY412" s="2023" t="e">
        <f t="shared" si="934"/>
        <v>#REF!</v>
      </c>
      <c r="CZ412" s="2060" t="e">
        <f t="shared" si="934"/>
        <v>#REF!</v>
      </c>
      <c r="DA412" s="2058" t="e">
        <f t="shared" si="934"/>
        <v>#REF!</v>
      </c>
      <c r="DB412" s="2059"/>
      <c r="DC412" s="2023" t="e">
        <f t="shared" si="931"/>
        <v>#REF!</v>
      </c>
      <c r="DD412" s="2023"/>
      <c r="DE412" s="2023" t="e">
        <f t="shared" si="931"/>
        <v>#REF!</v>
      </c>
      <c r="DF412" s="2023"/>
      <c r="DG412" s="2023" t="e">
        <f t="shared" si="931"/>
        <v>#REF!</v>
      </c>
      <c r="DH412" s="2023" t="e">
        <f t="shared" si="931"/>
        <v>#REF!</v>
      </c>
      <c r="DI412" s="2023" t="e">
        <f t="shared" si="931"/>
        <v>#REF!</v>
      </c>
      <c r="DJ412" s="2060" t="e">
        <f t="shared" si="931"/>
        <v>#REF!</v>
      </c>
      <c r="DK412" s="2058" t="e">
        <f>DK333</f>
        <v>#REF!</v>
      </c>
      <c r="DL412" s="2059"/>
      <c r="DM412" s="2023" t="e">
        <f t="shared" si="931"/>
        <v>#REF!</v>
      </c>
      <c r="DN412" s="2023"/>
      <c r="DO412" s="2023" t="e">
        <f t="shared" si="931"/>
        <v>#REF!</v>
      </c>
      <c r="DP412" s="2023"/>
      <c r="DQ412" s="2023" t="e">
        <f t="shared" si="931"/>
        <v>#REF!</v>
      </c>
      <c r="DR412" s="2023" t="e">
        <f t="shared" si="931"/>
        <v>#REF!</v>
      </c>
      <c r="DS412" s="2023" t="e">
        <f t="shared" si="931"/>
        <v>#REF!</v>
      </c>
      <c r="DT412" s="2060" t="e">
        <f t="shared" si="931"/>
        <v>#REF!</v>
      </c>
      <c r="DU412" s="2058" t="e">
        <f t="shared" si="931"/>
        <v>#REF!</v>
      </c>
      <c r="DV412" s="2059"/>
      <c r="DW412" s="2023" t="e">
        <f t="shared" si="931"/>
        <v>#REF!</v>
      </c>
      <c r="DX412" s="2023"/>
      <c r="DY412" s="2023" t="e">
        <f t="shared" si="931"/>
        <v>#REF!</v>
      </c>
      <c r="DZ412" s="2023"/>
      <c r="EA412" s="2023" t="e">
        <f t="shared" si="933"/>
        <v>#REF!</v>
      </c>
      <c r="EB412" s="2023" t="e">
        <f t="shared" si="933"/>
        <v>#REF!</v>
      </c>
      <c r="EC412" s="2023" t="e">
        <f t="shared" si="933"/>
        <v>#REF!</v>
      </c>
      <c r="ED412" s="2060" t="e">
        <f t="shared" si="933"/>
        <v>#REF!</v>
      </c>
      <c r="EE412" s="2061" t="e">
        <f t="shared" si="933"/>
        <v>#REF!</v>
      </c>
      <c r="EF412" s="2062"/>
      <c r="EG412" s="2023" t="e">
        <f t="shared" si="933"/>
        <v>#REF!</v>
      </c>
      <c r="EH412" s="2023"/>
      <c r="EI412" s="2023" t="e">
        <f t="shared" si="933"/>
        <v>#REF!</v>
      </c>
      <c r="EJ412" s="2023"/>
      <c r="EK412" s="2023" t="e">
        <f t="shared" si="933"/>
        <v>#REF!</v>
      </c>
      <c r="EL412" s="2023" t="e">
        <f t="shared" si="933"/>
        <v>#REF!</v>
      </c>
      <c r="EM412" s="2063" t="e">
        <f t="shared" si="933"/>
        <v>#REF!</v>
      </c>
      <c r="EN412" s="2024" t="e">
        <f t="shared" si="915"/>
        <v>#REF!</v>
      </c>
    </row>
    <row r="413" spans="2:144" ht="18" customHeight="1">
      <c r="B413" s="1734" t="s">
        <v>1990</v>
      </c>
      <c r="O413" s="2058" t="e">
        <f t="shared" si="934"/>
        <v>#REF!</v>
      </c>
      <c r="P413" s="2059"/>
      <c r="Q413" s="2023" t="e">
        <f t="shared" si="934"/>
        <v>#REF!</v>
      </c>
      <c r="R413" s="2023"/>
      <c r="S413" s="2023" t="e">
        <f t="shared" si="934"/>
        <v>#REF!</v>
      </c>
      <c r="T413" s="2023"/>
      <c r="U413" s="2023" t="e">
        <f t="shared" si="934"/>
        <v>#REF!</v>
      </c>
      <c r="V413" s="2023" t="e">
        <f t="shared" si="934"/>
        <v>#REF!</v>
      </c>
      <c r="W413" s="2023">
        <f t="shared" si="934"/>
        <v>0</v>
      </c>
      <c r="X413" s="2060" t="e">
        <f t="shared" si="934"/>
        <v>#REF!</v>
      </c>
      <c r="Y413" s="2058" t="e">
        <f t="shared" si="934"/>
        <v>#REF!</v>
      </c>
      <c r="Z413" s="2059"/>
      <c r="AA413" s="2023" t="e">
        <f t="shared" si="934"/>
        <v>#REF!</v>
      </c>
      <c r="AB413" s="2023"/>
      <c r="AC413" s="2023" t="e">
        <f t="shared" si="934"/>
        <v>#REF!</v>
      </c>
      <c r="AD413" s="2023"/>
      <c r="AE413" s="2023" t="e">
        <f t="shared" si="934"/>
        <v>#REF!</v>
      </c>
      <c r="AF413" s="2023" t="e">
        <f t="shared" si="934"/>
        <v>#REF!</v>
      </c>
      <c r="AG413" s="2023" t="e">
        <f t="shared" si="934"/>
        <v>#REF!</v>
      </c>
      <c r="AH413" s="2060" t="e">
        <f t="shared" si="934"/>
        <v>#REF!</v>
      </c>
      <c r="AI413" s="2058" t="e">
        <f t="shared" si="934"/>
        <v>#REF!</v>
      </c>
      <c r="AJ413" s="2059"/>
      <c r="AK413" s="2023" t="e">
        <f t="shared" si="934"/>
        <v>#REF!</v>
      </c>
      <c r="AL413" s="2023"/>
      <c r="AM413" s="2023" t="e">
        <f t="shared" si="934"/>
        <v>#REF!</v>
      </c>
      <c r="AN413" s="2023"/>
      <c r="AO413" s="2023" t="e">
        <f t="shared" si="934"/>
        <v>#REF!</v>
      </c>
      <c r="AP413" s="2023" t="e">
        <f t="shared" si="934"/>
        <v>#REF!</v>
      </c>
      <c r="AQ413" s="2023" t="e">
        <f t="shared" si="934"/>
        <v>#REF!</v>
      </c>
      <c r="AR413" s="2060" t="e">
        <f t="shared" si="934"/>
        <v>#REF!</v>
      </c>
      <c r="AS413" s="2058" t="e">
        <f t="shared" si="934"/>
        <v>#REF!</v>
      </c>
      <c r="AT413" s="2059"/>
      <c r="AU413" s="2023" t="e">
        <f t="shared" si="934"/>
        <v>#REF!</v>
      </c>
      <c r="AV413" s="2023"/>
      <c r="AW413" s="2023" t="e">
        <f t="shared" si="934"/>
        <v>#REF!</v>
      </c>
      <c r="AX413" s="2023"/>
      <c r="AY413" s="2023" t="e">
        <f t="shared" si="934"/>
        <v>#REF!</v>
      </c>
      <c r="AZ413" s="2023" t="e">
        <f t="shared" si="934"/>
        <v>#REF!</v>
      </c>
      <c r="BA413" s="2023" t="e">
        <f t="shared" si="934"/>
        <v>#REF!</v>
      </c>
      <c r="BB413" s="2060" t="e">
        <f t="shared" si="934"/>
        <v>#REF!</v>
      </c>
      <c r="BC413" s="2058" t="e">
        <f t="shared" si="934"/>
        <v>#REF!</v>
      </c>
      <c r="BD413" s="2059"/>
      <c r="BE413" s="2023" t="e">
        <f t="shared" si="934"/>
        <v>#REF!</v>
      </c>
      <c r="BF413" s="2023"/>
      <c r="BG413" s="2023" t="e">
        <f t="shared" si="934"/>
        <v>#REF!</v>
      </c>
      <c r="BH413" s="2023"/>
      <c r="BI413" s="2023" t="e">
        <f t="shared" si="934"/>
        <v>#REF!</v>
      </c>
      <c r="BJ413" s="2023" t="e">
        <f t="shared" si="934"/>
        <v>#REF!</v>
      </c>
      <c r="BK413" s="2023" t="e">
        <f t="shared" si="934"/>
        <v>#REF!</v>
      </c>
      <c r="BL413" s="2060" t="e">
        <f t="shared" si="934"/>
        <v>#REF!</v>
      </c>
      <c r="BM413" s="2058" t="e">
        <f t="shared" si="934"/>
        <v>#REF!</v>
      </c>
      <c r="BN413" s="2059"/>
      <c r="BO413" s="2023" t="e">
        <f t="shared" si="934"/>
        <v>#REF!</v>
      </c>
      <c r="BP413" s="2023"/>
      <c r="BQ413" s="2023" t="e">
        <f t="shared" si="934"/>
        <v>#REF!</v>
      </c>
      <c r="BR413" s="2023"/>
      <c r="BS413" s="2023" t="e">
        <f t="shared" si="934"/>
        <v>#REF!</v>
      </c>
      <c r="BT413" s="2023" t="e">
        <f t="shared" si="934"/>
        <v>#REF!</v>
      </c>
      <c r="BU413" s="2023" t="e">
        <f t="shared" si="934"/>
        <v>#REF!</v>
      </c>
      <c r="BV413" s="2060" t="e">
        <f t="shared" si="934"/>
        <v>#REF!</v>
      </c>
      <c r="BW413" s="2058" t="e">
        <f t="shared" si="934"/>
        <v>#REF!</v>
      </c>
      <c r="BX413" s="2059"/>
      <c r="BY413" s="2023" t="e">
        <f t="shared" si="934"/>
        <v>#REF!</v>
      </c>
      <c r="BZ413" s="2023"/>
      <c r="CA413" s="2023" t="e">
        <f t="shared" si="934"/>
        <v>#REF!</v>
      </c>
      <c r="CB413" s="2023"/>
      <c r="CC413" s="2023" t="e">
        <f t="shared" si="934"/>
        <v>#REF!</v>
      </c>
      <c r="CD413" s="2023" t="e">
        <f t="shared" si="934"/>
        <v>#REF!</v>
      </c>
      <c r="CE413" s="2023" t="e">
        <f t="shared" si="934"/>
        <v>#REF!</v>
      </c>
      <c r="CF413" s="2060" t="e">
        <f t="shared" si="934"/>
        <v>#REF!</v>
      </c>
      <c r="CG413" s="2058" t="e">
        <f t="shared" si="934"/>
        <v>#REF!</v>
      </c>
      <c r="CH413" s="2059"/>
      <c r="CI413" s="2023" t="e">
        <f t="shared" si="934"/>
        <v>#REF!</v>
      </c>
      <c r="CJ413" s="2023"/>
      <c r="CK413" s="2023" t="e">
        <f t="shared" si="934"/>
        <v>#REF!</v>
      </c>
      <c r="CL413" s="2023"/>
      <c r="CM413" s="2023" t="e">
        <f t="shared" si="934"/>
        <v>#REF!</v>
      </c>
      <c r="CN413" s="2023" t="e">
        <f t="shared" si="934"/>
        <v>#REF!</v>
      </c>
      <c r="CO413" s="2023" t="e">
        <f t="shared" si="934"/>
        <v>#REF!</v>
      </c>
      <c r="CP413" s="2060" t="e">
        <f t="shared" si="934"/>
        <v>#REF!</v>
      </c>
      <c r="CQ413" s="2058" t="e">
        <f t="shared" si="934"/>
        <v>#REF!</v>
      </c>
      <c r="CR413" s="2059"/>
      <c r="CS413" s="2023" t="e">
        <f t="shared" si="934"/>
        <v>#REF!</v>
      </c>
      <c r="CT413" s="2023"/>
      <c r="CU413" s="2023" t="e">
        <f t="shared" si="934"/>
        <v>#REF!</v>
      </c>
      <c r="CV413" s="2023"/>
      <c r="CW413" s="2023" t="e">
        <f t="shared" si="934"/>
        <v>#REF!</v>
      </c>
      <c r="CX413" s="2023" t="e">
        <f t="shared" si="934"/>
        <v>#REF!</v>
      </c>
      <c r="CY413" s="2023" t="e">
        <f t="shared" si="934"/>
        <v>#REF!</v>
      </c>
      <c r="CZ413" s="2060" t="e">
        <f t="shared" si="934"/>
        <v>#REF!</v>
      </c>
      <c r="DA413" s="2058" t="e">
        <f t="shared" si="934"/>
        <v>#REF!</v>
      </c>
      <c r="DB413" s="2059"/>
      <c r="DC413" s="2023" t="e">
        <f t="shared" si="931"/>
        <v>#REF!</v>
      </c>
      <c r="DD413" s="2023"/>
      <c r="DE413" s="2023" t="e">
        <f t="shared" si="931"/>
        <v>#REF!</v>
      </c>
      <c r="DF413" s="2023"/>
      <c r="DG413" s="2023" t="e">
        <f t="shared" si="931"/>
        <v>#REF!</v>
      </c>
      <c r="DH413" s="2023" t="e">
        <f t="shared" si="931"/>
        <v>#REF!</v>
      </c>
      <c r="DI413" s="2023" t="e">
        <f t="shared" si="931"/>
        <v>#REF!</v>
      </c>
      <c r="DJ413" s="2060" t="e">
        <f t="shared" si="931"/>
        <v>#REF!</v>
      </c>
      <c r="DK413" s="2058" t="e">
        <f t="shared" si="931"/>
        <v>#REF!</v>
      </c>
      <c r="DL413" s="2059"/>
      <c r="DM413" s="2023" t="e">
        <f t="shared" si="931"/>
        <v>#REF!</v>
      </c>
      <c r="DN413" s="2023"/>
      <c r="DO413" s="2023" t="e">
        <f t="shared" si="931"/>
        <v>#REF!</v>
      </c>
      <c r="DP413" s="2023"/>
      <c r="DQ413" s="2023" t="e">
        <f t="shared" si="931"/>
        <v>#REF!</v>
      </c>
      <c r="DR413" s="2023" t="e">
        <f t="shared" si="931"/>
        <v>#REF!</v>
      </c>
      <c r="DS413" s="2023" t="e">
        <f t="shared" si="931"/>
        <v>#REF!</v>
      </c>
      <c r="DT413" s="2060" t="e">
        <f t="shared" si="931"/>
        <v>#REF!</v>
      </c>
      <c r="DU413" s="2058" t="e">
        <f t="shared" si="931"/>
        <v>#REF!</v>
      </c>
      <c r="DV413" s="2059"/>
      <c r="DW413" s="2023" t="e">
        <f t="shared" si="931"/>
        <v>#REF!</v>
      </c>
      <c r="DX413" s="2023"/>
      <c r="DY413" s="2023" t="e">
        <f t="shared" si="931"/>
        <v>#REF!</v>
      </c>
      <c r="DZ413" s="2023"/>
      <c r="EA413" s="2023" t="e">
        <f t="shared" si="933"/>
        <v>#REF!</v>
      </c>
      <c r="EB413" s="2023" t="e">
        <f t="shared" si="933"/>
        <v>#REF!</v>
      </c>
      <c r="EC413" s="2023" t="e">
        <f t="shared" si="933"/>
        <v>#REF!</v>
      </c>
      <c r="ED413" s="2060" t="e">
        <f t="shared" si="933"/>
        <v>#REF!</v>
      </c>
      <c r="EE413" s="2061" t="e">
        <f t="shared" si="933"/>
        <v>#REF!</v>
      </c>
      <c r="EF413" s="2062"/>
      <c r="EG413" s="2023" t="e">
        <f t="shared" si="933"/>
        <v>#REF!</v>
      </c>
      <c r="EH413" s="2023"/>
      <c r="EI413" s="2023" t="e">
        <f t="shared" si="933"/>
        <v>#REF!</v>
      </c>
      <c r="EJ413" s="2023"/>
      <c r="EK413" s="2023" t="e">
        <f t="shared" si="933"/>
        <v>#REF!</v>
      </c>
      <c r="EL413" s="2023" t="e">
        <f t="shared" si="933"/>
        <v>#REF!</v>
      </c>
      <c r="EM413" s="2063" t="e">
        <f t="shared" si="933"/>
        <v>#REF!</v>
      </c>
      <c r="EN413" s="2024" t="e">
        <f t="shared" si="915"/>
        <v>#REF!</v>
      </c>
    </row>
    <row r="414" spans="2:144" ht="18" customHeight="1">
      <c r="B414" s="1734" t="s">
        <v>2027</v>
      </c>
      <c r="O414" s="2058" t="e">
        <f>O336</f>
        <v>#REF!</v>
      </c>
      <c r="P414" s="2059"/>
      <c r="Q414" s="2023" t="e">
        <f t="shared" ref="Q414:X414" si="935">Q336</f>
        <v>#REF!</v>
      </c>
      <c r="R414" s="2023"/>
      <c r="S414" s="2023" t="e">
        <f t="shared" si="935"/>
        <v>#REF!</v>
      </c>
      <c r="T414" s="2023"/>
      <c r="U414" s="2023" t="e">
        <f t="shared" si="935"/>
        <v>#REF!</v>
      </c>
      <c r="V414" s="2023" t="e">
        <f t="shared" si="935"/>
        <v>#REF!</v>
      </c>
      <c r="W414" s="2023">
        <f t="shared" si="935"/>
        <v>0</v>
      </c>
      <c r="X414" s="2060" t="e">
        <f t="shared" si="935"/>
        <v>#REF!</v>
      </c>
      <c r="Y414" s="2058" t="e">
        <f>Y336</f>
        <v>#REF!</v>
      </c>
      <c r="Z414" s="2059"/>
      <c r="AA414" s="2023" t="e">
        <f t="shared" ref="AA414:AH414" si="936">AA336</f>
        <v>#REF!</v>
      </c>
      <c r="AB414" s="2023"/>
      <c r="AC414" s="2023" t="e">
        <f t="shared" si="936"/>
        <v>#REF!</v>
      </c>
      <c r="AD414" s="2023"/>
      <c r="AE414" s="2023" t="e">
        <f t="shared" si="936"/>
        <v>#REF!</v>
      </c>
      <c r="AF414" s="2023" t="e">
        <f t="shared" si="936"/>
        <v>#REF!</v>
      </c>
      <c r="AG414" s="2023" t="e">
        <f t="shared" si="936"/>
        <v>#REF!</v>
      </c>
      <c r="AH414" s="2060" t="e">
        <f t="shared" si="936"/>
        <v>#REF!</v>
      </c>
      <c r="AI414" s="2058" t="e">
        <f>AI336</f>
        <v>#REF!</v>
      </c>
      <c r="AJ414" s="2059"/>
      <c r="AK414" s="2023" t="e">
        <f t="shared" ref="AK414:AR414" si="937">AK336</f>
        <v>#REF!</v>
      </c>
      <c r="AL414" s="2023"/>
      <c r="AM414" s="2023" t="e">
        <f t="shared" si="937"/>
        <v>#REF!</v>
      </c>
      <c r="AN414" s="2023"/>
      <c r="AO414" s="2023" t="e">
        <f t="shared" si="937"/>
        <v>#REF!</v>
      </c>
      <c r="AP414" s="2023" t="e">
        <f t="shared" si="937"/>
        <v>#REF!</v>
      </c>
      <c r="AQ414" s="2023" t="e">
        <f t="shared" si="937"/>
        <v>#REF!</v>
      </c>
      <c r="AR414" s="2060" t="e">
        <f t="shared" si="937"/>
        <v>#REF!</v>
      </c>
      <c r="AS414" s="2058" t="e">
        <f>AS336</f>
        <v>#REF!</v>
      </c>
      <c r="AT414" s="2059"/>
      <c r="AU414" s="2023" t="e">
        <f t="shared" ref="AU414:BB414" si="938">AU336</f>
        <v>#REF!</v>
      </c>
      <c r="AV414" s="2023"/>
      <c r="AW414" s="2023" t="e">
        <f t="shared" si="938"/>
        <v>#REF!</v>
      </c>
      <c r="AX414" s="2023"/>
      <c r="AY414" s="2023" t="e">
        <f t="shared" si="938"/>
        <v>#REF!</v>
      </c>
      <c r="AZ414" s="2023" t="e">
        <f t="shared" si="938"/>
        <v>#REF!</v>
      </c>
      <c r="BA414" s="2023" t="e">
        <f t="shared" si="938"/>
        <v>#REF!</v>
      </c>
      <c r="BB414" s="2060" t="e">
        <f t="shared" si="938"/>
        <v>#REF!</v>
      </c>
      <c r="BC414" s="2058" t="e">
        <f>BC336</f>
        <v>#REF!</v>
      </c>
      <c r="BD414" s="2059"/>
      <c r="BE414" s="2023" t="e">
        <f t="shared" ref="BE414:BL414" si="939">BE336</f>
        <v>#REF!</v>
      </c>
      <c r="BF414" s="2023"/>
      <c r="BG414" s="2023" t="e">
        <f t="shared" si="939"/>
        <v>#REF!</v>
      </c>
      <c r="BH414" s="2023"/>
      <c r="BI414" s="2023" t="e">
        <f t="shared" si="939"/>
        <v>#REF!</v>
      </c>
      <c r="BJ414" s="2023" t="e">
        <f t="shared" si="939"/>
        <v>#REF!</v>
      </c>
      <c r="BK414" s="2023" t="e">
        <f t="shared" si="939"/>
        <v>#REF!</v>
      </c>
      <c r="BL414" s="2060" t="e">
        <f t="shared" si="939"/>
        <v>#REF!</v>
      </c>
      <c r="BM414" s="2058" t="e">
        <f>BM336</f>
        <v>#REF!</v>
      </c>
      <c r="BN414" s="2059"/>
      <c r="BO414" s="2023" t="e">
        <f t="shared" ref="BO414:BV414" si="940">BO336</f>
        <v>#REF!</v>
      </c>
      <c r="BP414" s="2023"/>
      <c r="BQ414" s="2023" t="e">
        <f t="shared" si="940"/>
        <v>#REF!</v>
      </c>
      <c r="BR414" s="2023"/>
      <c r="BS414" s="2023" t="e">
        <f t="shared" si="940"/>
        <v>#REF!</v>
      </c>
      <c r="BT414" s="2023" t="e">
        <f t="shared" si="940"/>
        <v>#REF!</v>
      </c>
      <c r="BU414" s="2023" t="e">
        <f t="shared" si="940"/>
        <v>#REF!</v>
      </c>
      <c r="BV414" s="2060" t="e">
        <f t="shared" si="940"/>
        <v>#REF!</v>
      </c>
      <c r="BW414" s="2058" t="e">
        <f>BW336</f>
        <v>#REF!</v>
      </c>
      <c r="BX414" s="2059"/>
      <c r="BY414" s="2023" t="e">
        <f t="shared" ref="BY414:CF414" si="941">BY336</f>
        <v>#REF!</v>
      </c>
      <c r="BZ414" s="2023"/>
      <c r="CA414" s="2023" t="e">
        <f t="shared" si="941"/>
        <v>#REF!</v>
      </c>
      <c r="CB414" s="2023"/>
      <c r="CC414" s="2023" t="e">
        <f t="shared" si="941"/>
        <v>#REF!</v>
      </c>
      <c r="CD414" s="2023" t="e">
        <f t="shared" si="941"/>
        <v>#REF!</v>
      </c>
      <c r="CE414" s="2023" t="e">
        <f t="shared" si="941"/>
        <v>#REF!</v>
      </c>
      <c r="CF414" s="2060" t="e">
        <f t="shared" si="941"/>
        <v>#REF!</v>
      </c>
      <c r="CG414" s="2058" t="e">
        <f>CG336</f>
        <v>#REF!</v>
      </c>
      <c r="CH414" s="2059"/>
      <c r="CI414" s="2023" t="e">
        <f t="shared" ref="CI414:CP414" si="942">CI336</f>
        <v>#REF!</v>
      </c>
      <c r="CJ414" s="2023"/>
      <c r="CK414" s="2023" t="e">
        <f t="shared" si="942"/>
        <v>#REF!</v>
      </c>
      <c r="CL414" s="2023"/>
      <c r="CM414" s="2023" t="e">
        <f t="shared" si="942"/>
        <v>#REF!</v>
      </c>
      <c r="CN414" s="2023" t="e">
        <f t="shared" si="942"/>
        <v>#REF!</v>
      </c>
      <c r="CO414" s="2023" t="e">
        <f t="shared" si="942"/>
        <v>#REF!</v>
      </c>
      <c r="CP414" s="2060" t="e">
        <f t="shared" si="942"/>
        <v>#REF!</v>
      </c>
      <c r="CQ414" s="2058" t="e">
        <f>CQ336</f>
        <v>#REF!</v>
      </c>
      <c r="CR414" s="2059"/>
      <c r="CS414" s="2023" t="e">
        <f t="shared" ref="CS414:CZ414" si="943">CS336</f>
        <v>#REF!</v>
      </c>
      <c r="CT414" s="2023"/>
      <c r="CU414" s="2023" t="e">
        <f t="shared" si="943"/>
        <v>#REF!</v>
      </c>
      <c r="CV414" s="2023"/>
      <c r="CW414" s="2023" t="e">
        <f t="shared" si="943"/>
        <v>#REF!</v>
      </c>
      <c r="CX414" s="2023" t="e">
        <f t="shared" si="943"/>
        <v>#REF!</v>
      </c>
      <c r="CY414" s="2023" t="e">
        <f t="shared" si="943"/>
        <v>#REF!</v>
      </c>
      <c r="CZ414" s="2060" t="e">
        <f t="shared" si="943"/>
        <v>#REF!</v>
      </c>
      <c r="DA414" s="2058" t="e">
        <f>DA336</f>
        <v>#REF!</v>
      </c>
      <c r="DB414" s="2059"/>
      <c r="DC414" s="2023" t="e">
        <f t="shared" ref="DC414:DY416" si="944">DC336</f>
        <v>#REF!</v>
      </c>
      <c r="DD414" s="2023"/>
      <c r="DE414" s="2023" t="e">
        <f t="shared" si="944"/>
        <v>#REF!</v>
      </c>
      <c r="DF414" s="2023"/>
      <c r="DG414" s="2023" t="e">
        <f t="shared" si="944"/>
        <v>#REF!</v>
      </c>
      <c r="DH414" s="2023" t="e">
        <f t="shared" si="944"/>
        <v>#REF!</v>
      </c>
      <c r="DI414" s="2023" t="e">
        <f t="shared" si="944"/>
        <v>#REF!</v>
      </c>
      <c r="DJ414" s="2060" t="e">
        <f t="shared" si="944"/>
        <v>#REF!</v>
      </c>
      <c r="DK414" s="2058" t="e">
        <f>DK336</f>
        <v>#REF!</v>
      </c>
      <c r="DL414" s="2059"/>
      <c r="DM414" s="2023" t="e">
        <f t="shared" ref="DM414:DT414" si="945">DM336</f>
        <v>#REF!</v>
      </c>
      <c r="DN414" s="2023"/>
      <c r="DO414" s="2023" t="e">
        <f t="shared" si="945"/>
        <v>#REF!</v>
      </c>
      <c r="DP414" s="2023"/>
      <c r="DQ414" s="2023" t="e">
        <f t="shared" si="945"/>
        <v>#REF!</v>
      </c>
      <c r="DR414" s="2023" t="e">
        <f t="shared" si="945"/>
        <v>#REF!</v>
      </c>
      <c r="DS414" s="2023" t="e">
        <f t="shared" si="945"/>
        <v>#REF!</v>
      </c>
      <c r="DT414" s="2060" t="e">
        <f t="shared" si="945"/>
        <v>#REF!</v>
      </c>
      <c r="DU414" s="2058" t="e">
        <f>DU336</f>
        <v>#REF!</v>
      </c>
      <c r="DV414" s="2059"/>
      <c r="DW414" s="2023" t="e">
        <f t="shared" ref="DW414:EM416" si="946">DW336</f>
        <v>#REF!</v>
      </c>
      <c r="DX414" s="2023"/>
      <c r="DY414" s="2023" t="e">
        <f t="shared" si="946"/>
        <v>#REF!</v>
      </c>
      <c r="DZ414" s="2023"/>
      <c r="EA414" s="2023" t="e">
        <f t="shared" si="946"/>
        <v>#REF!</v>
      </c>
      <c r="EB414" s="2023" t="e">
        <f t="shared" si="946"/>
        <v>#REF!</v>
      </c>
      <c r="EC414" s="2023" t="e">
        <f t="shared" si="946"/>
        <v>#REF!</v>
      </c>
      <c r="ED414" s="2060" t="e">
        <f t="shared" si="946"/>
        <v>#REF!</v>
      </c>
      <c r="EE414" s="2061" t="e">
        <f t="shared" si="946"/>
        <v>#REF!</v>
      </c>
      <c r="EF414" s="2062"/>
      <c r="EG414" s="2023" t="e">
        <f t="shared" si="946"/>
        <v>#REF!</v>
      </c>
      <c r="EH414" s="2023"/>
      <c r="EI414" s="2023" t="e">
        <f t="shared" si="946"/>
        <v>#REF!</v>
      </c>
      <c r="EJ414" s="2023"/>
      <c r="EK414" s="2023" t="e">
        <f t="shared" si="946"/>
        <v>#REF!</v>
      </c>
      <c r="EL414" s="2023" t="e">
        <f t="shared" si="946"/>
        <v>#REF!</v>
      </c>
      <c r="EM414" s="2063" t="e">
        <f t="shared" si="946"/>
        <v>#REF!</v>
      </c>
      <c r="EN414" s="2024" t="e">
        <f t="shared" si="915"/>
        <v>#REF!</v>
      </c>
    </row>
    <row r="415" spans="2:144" ht="18" customHeight="1">
      <c r="B415" s="1734" t="s">
        <v>1993</v>
      </c>
      <c r="O415" s="2058" t="e">
        <f t="shared" ref="O415:DA416" si="947">O337</f>
        <v>#REF!</v>
      </c>
      <c r="P415" s="2059"/>
      <c r="Q415" s="2023" t="e">
        <f t="shared" si="947"/>
        <v>#REF!</v>
      </c>
      <c r="R415" s="2023"/>
      <c r="S415" s="2023" t="e">
        <f t="shared" si="947"/>
        <v>#REF!</v>
      </c>
      <c r="T415" s="2023"/>
      <c r="U415" s="2023" t="e">
        <f t="shared" si="947"/>
        <v>#REF!</v>
      </c>
      <c r="V415" s="2023" t="e">
        <f t="shared" si="947"/>
        <v>#REF!</v>
      </c>
      <c r="W415" s="2023">
        <f t="shared" si="947"/>
        <v>0</v>
      </c>
      <c r="X415" s="2060" t="e">
        <f t="shared" si="947"/>
        <v>#REF!</v>
      </c>
      <c r="Y415" s="2058" t="e">
        <f t="shared" si="947"/>
        <v>#REF!</v>
      </c>
      <c r="Z415" s="2059"/>
      <c r="AA415" s="2023" t="e">
        <f t="shared" si="947"/>
        <v>#REF!</v>
      </c>
      <c r="AB415" s="2023"/>
      <c r="AC415" s="2023" t="e">
        <f t="shared" si="947"/>
        <v>#REF!</v>
      </c>
      <c r="AD415" s="2023"/>
      <c r="AE415" s="2023" t="e">
        <f t="shared" si="947"/>
        <v>#REF!</v>
      </c>
      <c r="AF415" s="2023" t="e">
        <f t="shared" si="947"/>
        <v>#REF!</v>
      </c>
      <c r="AG415" s="2023" t="e">
        <f t="shared" si="947"/>
        <v>#REF!</v>
      </c>
      <c r="AH415" s="2060" t="e">
        <f t="shared" si="947"/>
        <v>#REF!</v>
      </c>
      <c r="AI415" s="2058" t="e">
        <f t="shared" si="947"/>
        <v>#REF!</v>
      </c>
      <c r="AJ415" s="2059"/>
      <c r="AK415" s="2023" t="e">
        <f t="shared" si="947"/>
        <v>#REF!</v>
      </c>
      <c r="AL415" s="2023"/>
      <c r="AM415" s="2023" t="e">
        <f t="shared" si="947"/>
        <v>#REF!</v>
      </c>
      <c r="AN415" s="2023"/>
      <c r="AO415" s="2023" t="e">
        <f t="shared" si="947"/>
        <v>#REF!</v>
      </c>
      <c r="AP415" s="2023" t="e">
        <f t="shared" si="947"/>
        <v>#REF!</v>
      </c>
      <c r="AQ415" s="2023" t="e">
        <f t="shared" si="947"/>
        <v>#REF!</v>
      </c>
      <c r="AR415" s="2060" t="e">
        <f t="shared" si="947"/>
        <v>#REF!</v>
      </c>
      <c r="AS415" s="2058" t="e">
        <f t="shared" si="947"/>
        <v>#REF!</v>
      </c>
      <c r="AT415" s="2059"/>
      <c r="AU415" s="2023" t="e">
        <f t="shared" si="947"/>
        <v>#REF!</v>
      </c>
      <c r="AV415" s="2023"/>
      <c r="AW415" s="2023" t="e">
        <f t="shared" si="947"/>
        <v>#REF!</v>
      </c>
      <c r="AX415" s="2023"/>
      <c r="AY415" s="2023" t="e">
        <f t="shared" si="947"/>
        <v>#REF!</v>
      </c>
      <c r="AZ415" s="2023" t="e">
        <f t="shared" si="947"/>
        <v>#REF!</v>
      </c>
      <c r="BA415" s="2023" t="e">
        <f t="shared" si="947"/>
        <v>#REF!</v>
      </c>
      <c r="BB415" s="2060" t="e">
        <f t="shared" si="947"/>
        <v>#REF!</v>
      </c>
      <c r="BC415" s="2058" t="e">
        <f t="shared" si="947"/>
        <v>#REF!</v>
      </c>
      <c r="BD415" s="2059"/>
      <c r="BE415" s="2023" t="e">
        <f t="shared" si="947"/>
        <v>#REF!</v>
      </c>
      <c r="BF415" s="2023"/>
      <c r="BG415" s="2023" t="e">
        <f t="shared" si="947"/>
        <v>#REF!</v>
      </c>
      <c r="BH415" s="2023"/>
      <c r="BI415" s="2023" t="e">
        <f t="shared" si="947"/>
        <v>#REF!</v>
      </c>
      <c r="BJ415" s="2023" t="e">
        <f t="shared" si="947"/>
        <v>#REF!</v>
      </c>
      <c r="BK415" s="2023" t="e">
        <f t="shared" si="947"/>
        <v>#REF!</v>
      </c>
      <c r="BL415" s="2060" t="e">
        <f t="shared" si="947"/>
        <v>#REF!</v>
      </c>
      <c r="BM415" s="2058" t="e">
        <f t="shared" si="947"/>
        <v>#REF!</v>
      </c>
      <c r="BN415" s="2059"/>
      <c r="BO415" s="2023" t="e">
        <f t="shared" si="947"/>
        <v>#REF!</v>
      </c>
      <c r="BP415" s="2023"/>
      <c r="BQ415" s="2023" t="e">
        <f t="shared" si="947"/>
        <v>#REF!</v>
      </c>
      <c r="BR415" s="2023"/>
      <c r="BS415" s="2023" t="e">
        <f t="shared" si="947"/>
        <v>#REF!</v>
      </c>
      <c r="BT415" s="2023" t="e">
        <f t="shared" si="947"/>
        <v>#REF!</v>
      </c>
      <c r="BU415" s="2023" t="e">
        <f t="shared" si="947"/>
        <v>#REF!</v>
      </c>
      <c r="BV415" s="2060" t="e">
        <f t="shared" si="947"/>
        <v>#REF!</v>
      </c>
      <c r="BW415" s="2058" t="e">
        <f t="shared" si="947"/>
        <v>#REF!</v>
      </c>
      <c r="BX415" s="2059"/>
      <c r="BY415" s="2023" t="e">
        <f t="shared" si="947"/>
        <v>#REF!</v>
      </c>
      <c r="BZ415" s="2023"/>
      <c r="CA415" s="2023" t="e">
        <f t="shared" si="947"/>
        <v>#REF!</v>
      </c>
      <c r="CB415" s="2023"/>
      <c r="CC415" s="2023" t="e">
        <f t="shared" si="947"/>
        <v>#REF!</v>
      </c>
      <c r="CD415" s="2023" t="e">
        <f t="shared" si="947"/>
        <v>#REF!</v>
      </c>
      <c r="CE415" s="2023" t="e">
        <f t="shared" si="947"/>
        <v>#REF!</v>
      </c>
      <c r="CF415" s="2060" t="e">
        <f t="shared" si="947"/>
        <v>#REF!</v>
      </c>
      <c r="CG415" s="2058" t="e">
        <f t="shared" si="947"/>
        <v>#REF!</v>
      </c>
      <c r="CH415" s="2059"/>
      <c r="CI415" s="2023" t="e">
        <f t="shared" si="947"/>
        <v>#REF!</v>
      </c>
      <c r="CJ415" s="2023"/>
      <c r="CK415" s="2023" t="e">
        <f t="shared" si="947"/>
        <v>#REF!</v>
      </c>
      <c r="CL415" s="2023"/>
      <c r="CM415" s="2023" t="e">
        <f t="shared" si="947"/>
        <v>#REF!</v>
      </c>
      <c r="CN415" s="2023" t="e">
        <f t="shared" si="947"/>
        <v>#REF!</v>
      </c>
      <c r="CO415" s="2023" t="e">
        <f t="shared" si="947"/>
        <v>#REF!</v>
      </c>
      <c r="CP415" s="2060" t="e">
        <f t="shared" si="947"/>
        <v>#REF!</v>
      </c>
      <c r="CQ415" s="2058" t="e">
        <f t="shared" si="947"/>
        <v>#REF!</v>
      </c>
      <c r="CR415" s="2059"/>
      <c r="CS415" s="2023" t="e">
        <f t="shared" si="947"/>
        <v>#REF!</v>
      </c>
      <c r="CT415" s="2023"/>
      <c r="CU415" s="2023" t="e">
        <f t="shared" si="947"/>
        <v>#REF!</v>
      </c>
      <c r="CV415" s="2023"/>
      <c r="CW415" s="2023" t="e">
        <f t="shared" si="947"/>
        <v>#REF!</v>
      </c>
      <c r="CX415" s="2023" t="e">
        <f t="shared" si="947"/>
        <v>#REF!</v>
      </c>
      <c r="CY415" s="2023" t="e">
        <f t="shared" si="947"/>
        <v>#REF!</v>
      </c>
      <c r="CZ415" s="2060" t="e">
        <f t="shared" si="947"/>
        <v>#REF!</v>
      </c>
      <c r="DA415" s="2058" t="e">
        <f t="shared" si="947"/>
        <v>#REF!</v>
      </c>
      <c r="DB415" s="2059"/>
      <c r="DC415" s="2023" t="e">
        <f t="shared" si="944"/>
        <v>#REF!</v>
      </c>
      <c r="DD415" s="2023"/>
      <c r="DE415" s="2023" t="e">
        <f t="shared" si="944"/>
        <v>#REF!</v>
      </c>
      <c r="DF415" s="2023"/>
      <c r="DG415" s="2023" t="e">
        <f t="shared" si="944"/>
        <v>#REF!</v>
      </c>
      <c r="DH415" s="2023" t="e">
        <f t="shared" si="944"/>
        <v>#REF!</v>
      </c>
      <c r="DI415" s="2023" t="e">
        <f t="shared" si="944"/>
        <v>#REF!</v>
      </c>
      <c r="DJ415" s="2060" t="e">
        <f t="shared" si="944"/>
        <v>#REF!</v>
      </c>
      <c r="DK415" s="2058" t="e">
        <f t="shared" si="944"/>
        <v>#REF!</v>
      </c>
      <c r="DL415" s="2059"/>
      <c r="DM415" s="2023" t="e">
        <f t="shared" si="944"/>
        <v>#REF!</v>
      </c>
      <c r="DN415" s="2023"/>
      <c r="DO415" s="2023" t="e">
        <f t="shared" si="944"/>
        <v>#REF!</v>
      </c>
      <c r="DP415" s="2023"/>
      <c r="DQ415" s="2023" t="e">
        <f t="shared" si="944"/>
        <v>#REF!</v>
      </c>
      <c r="DR415" s="2023" t="e">
        <f t="shared" si="944"/>
        <v>#REF!</v>
      </c>
      <c r="DS415" s="2023" t="e">
        <f t="shared" si="944"/>
        <v>#REF!</v>
      </c>
      <c r="DT415" s="2060" t="e">
        <f t="shared" si="944"/>
        <v>#REF!</v>
      </c>
      <c r="DU415" s="2058" t="e">
        <f t="shared" si="944"/>
        <v>#REF!</v>
      </c>
      <c r="DV415" s="2059"/>
      <c r="DW415" s="2023" t="e">
        <f t="shared" si="944"/>
        <v>#REF!</v>
      </c>
      <c r="DX415" s="2023"/>
      <c r="DY415" s="2023" t="e">
        <f t="shared" si="944"/>
        <v>#REF!</v>
      </c>
      <c r="DZ415" s="2023"/>
      <c r="EA415" s="2023" t="e">
        <f t="shared" si="946"/>
        <v>#REF!</v>
      </c>
      <c r="EB415" s="2023" t="e">
        <f t="shared" si="946"/>
        <v>#REF!</v>
      </c>
      <c r="EC415" s="2023" t="e">
        <f t="shared" si="946"/>
        <v>#REF!</v>
      </c>
      <c r="ED415" s="2060" t="e">
        <f t="shared" si="946"/>
        <v>#REF!</v>
      </c>
      <c r="EE415" s="2061" t="e">
        <f t="shared" si="946"/>
        <v>#REF!</v>
      </c>
      <c r="EF415" s="2062"/>
      <c r="EG415" s="2023" t="e">
        <f t="shared" si="946"/>
        <v>#REF!</v>
      </c>
      <c r="EH415" s="2023"/>
      <c r="EI415" s="2023" t="e">
        <f t="shared" si="946"/>
        <v>#REF!</v>
      </c>
      <c r="EJ415" s="2023"/>
      <c r="EK415" s="2023" t="e">
        <f t="shared" si="946"/>
        <v>#REF!</v>
      </c>
      <c r="EL415" s="2023" t="e">
        <f t="shared" si="946"/>
        <v>#REF!</v>
      </c>
      <c r="EM415" s="2063" t="e">
        <f t="shared" si="946"/>
        <v>#REF!</v>
      </c>
      <c r="EN415" s="2024" t="e">
        <f t="shared" si="915"/>
        <v>#REF!</v>
      </c>
    </row>
    <row r="416" spans="2:144" ht="18" customHeight="1" thickBot="1">
      <c r="B416" s="1734" t="s">
        <v>1994</v>
      </c>
      <c r="O416" s="2064" t="e">
        <f t="shared" si="947"/>
        <v>#REF!</v>
      </c>
      <c r="P416" s="2065"/>
      <c r="Q416" s="2066" t="e">
        <f t="shared" si="947"/>
        <v>#REF!</v>
      </c>
      <c r="R416" s="2066"/>
      <c r="S416" s="2066" t="e">
        <f t="shared" si="947"/>
        <v>#REF!</v>
      </c>
      <c r="T416" s="2066"/>
      <c r="U416" s="2066" t="e">
        <f t="shared" si="947"/>
        <v>#REF!</v>
      </c>
      <c r="V416" s="2066" t="e">
        <f t="shared" si="947"/>
        <v>#REF!</v>
      </c>
      <c r="W416" s="2066">
        <f t="shared" si="947"/>
        <v>0</v>
      </c>
      <c r="X416" s="2067" t="e">
        <f t="shared" si="947"/>
        <v>#REF!</v>
      </c>
      <c r="Y416" s="2064" t="e">
        <f t="shared" si="947"/>
        <v>#REF!</v>
      </c>
      <c r="Z416" s="2065"/>
      <c r="AA416" s="2066" t="e">
        <f t="shared" si="947"/>
        <v>#REF!</v>
      </c>
      <c r="AB416" s="2066"/>
      <c r="AC416" s="2066" t="e">
        <f t="shared" si="947"/>
        <v>#REF!</v>
      </c>
      <c r="AD416" s="2066"/>
      <c r="AE416" s="2066" t="e">
        <f t="shared" si="947"/>
        <v>#REF!</v>
      </c>
      <c r="AF416" s="2066" t="e">
        <f t="shared" si="947"/>
        <v>#REF!</v>
      </c>
      <c r="AG416" s="2066" t="e">
        <f t="shared" si="947"/>
        <v>#REF!</v>
      </c>
      <c r="AH416" s="2067" t="e">
        <f t="shared" si="947"/>
        <v>#REF!</v>
      </c>
      <c r="AI416" s="2064" t="e">
        <f t="shared" si="947"/>
        <v>#REF!</v>
      </c>
      <c r="AJ416" s="2065"/>
      <c r="AK416" s="2066" t="e">
        <f t="shared" si="947"/>
        <v>#REF!</v>
      </c>
      <c r="AL416" s="2066"/>
      <c r="AM416" s="2066" t="e">
        <f t="shared" si="947"/>
        <v>#REF!</v>
      </c>
      <c r="AN416" s="2066"/>
      <c r="AO416" s="2066" t="e">
        <f t="shared" si="947"/>
        <v>#REF!</v>
      </c>
      <c r="AP416" s="2066" t="e">
        <f t="shared" si="947"/>
        <v>#REF!</v>
      </c>
      <c r="AQ416" s="2066" t="e">
        <f t="shared" si="947"/>
        <v>#REF!</v>
      </c>
      <c r="AR416" s="2067" t="e">
        <f t="shared" si="947"/>
        <v>#REF!</v>
      </c>
      <c r="AS416" s="2064" t="e">
        <f t="shared" si="947"/>
        <v>#REF!</v>
      </c>
      <c r="AT416" s="2065"/>
      <c r="AU416" s="2066" t="e">
        <f t="shared" si="947"/>
        <v>#REF!</v>
      </c>
      <c r="AV416" s="2066"/>
      <c r="AW416" s="2066" t="e">
        <f t="shared" si="947"/>
        <v>#REF!</v>
      </c>
      <c r="AX416" s="2066"/>
      <c r="AY416" s="2066" t="e">
        <f t="shared" si="947"/>
        <v>#REF!</v>
      </c>
      <c r="AZ416" s="2066" t="e">
        <f t="shared" si="947"/>
        <v>#REF!</v>
      </c>
      <c r="BA416" s="2066" t="e">
        <f t="shared" si="947"/>
        <v>#REF!</v>
      </c>
      <c r="BB416" s="2067" t="e">
        <f t="shared" si="947"/>
        <v>#REF!</v>
      </c>
      <c r="BC416" s="2064" t="e">
        <f t="shared" si="947"/>
        <v>#REF!</v>
      </c>
      <c r="BD416" s="2065"/>
      <c r="BE416" s="2066" t="e">
        <f t="shared" si="947"/>
        <v>#REF!</v>
      </c>
      <c r="BF416" s="2066"/>
      <c r="BG416" s="2066" t="e">
        <f t="shared" si="947"/>
        <v>#REF!</v>
      </c>
      <c r="BH416" s="2066"/>
      <c r="BI416" s="2066" t="e">
        <f t="shared" si="947"/>
        <v>#REF!</v>
      </c>
      <c r="BJ416" s="2066" t="e">
        <f t="shared" si="947"/>
        <v>#REF!</v>
      </c>
      <c r="BK416" s="2066" t="e">
        <f t="shared" si="947"/>
        <v>#REF!</v>
      </c>
      <c r="BL416" s="2067" t="e">
        <f t="shared" si="947"/>
        <v>#REF!</v>
      </c>
      <c r="BM416" s="2064" t="e">
        <f t="shared" si="947"/>
        <v>#REF!</v>
      </c>
      <c r="BN416" s="2065"/>
      <c r="BO416" s="2066" t="e">
        <f t="shared" si="947"/>
        <v>#REF!</v>
      </c>
      <c r="BP416" s="2066"/>
      <c r="BQ416" s="2066" t="e">
        <f t="shared" si="947"/>
        <v>#REF!</v>
      </c>
      <c r="BR416" s="2066"/>
      <c r="BS416" s="2066" t="e">
        <f t="shared" si="947"/>
        <v>#REF!</v>
      </c>
      <c r="BT416" s="2066" t="e">
        <f t="shared" si="947"/>
        <v>#REF!</v>
      </c>
      <c r="BU416" s="2066" t="e">
        <f t="shared" si="947"/>
        <v>#REF!</v>
      </c>
      <c r="BV416" s="2067" t="e">
        <f t="shared" si="947"/>
        <v>#REF!</v>
      </c>
      <c r="BW416" s="2064" t="e">
        <f t="shared" si="947"/>
        <v>#REF!</v>
      </c>
      <c r="BX416" s="2065"/>
      <c r="BY416" s="2066" t="e">
        <f t="shared" si="947"/>
        <v>#REF!</v>
      </c>
      <c r="BZ416" s="2066"/>
      <c r="CA416" s="2066" t="e">
        <f t="shared" si="947"/>
        <v>#REF!</v>
      </c>
      <c r="CB416" s="2066"/>
      <c r="CC416" s="2066" t="e">
        <f t="shared" si="947"/>
        <v>#REF!</v>
      </c>
      <c r="CD416" s="2066" t="e">
        <f t="shared" si="947"/>
        <v>#REF!</v>
      </c>
      <c r="CE416" s="2066" t="e">
        <f t="shared" si="947"/>
        <v>#REF!</v>
      </c>
      <c r="CF416" s="2067" t="e">
        <f t="shared" si="947"/>
        <v>#REF!</v>
      </c>
      <c r="CG416" s="2064" t="e">
        <f t="shared" si="947"/>
        <v>#REF!</v>
      </c>
      <c r="CH416" s="2065"/>
      <c r="CI416" s="2066" t="e">
        <f t="shared" si="947"/>
        <v>#REF!</v>
      </c>
      <c r="CJ416" s="2066"/>
      <c r="CK416" s="2066" t="e">
        <f t="shared" si="947"/>
        <v>#REF!</v>
      </c>
      <c r="CL416" s="2066"/>
      <c r="CM416" s="2066" t="e">
        <f t="shared" si="947"/>
        <v>#REF!</v>
      </c>
      <c r="CN416" s="2066" t="e">
        <f t="shared" si="947"/>
        <v>#REF!</v>
      </c>
      <c r="CO416" s="2066" t="e">
        <f t="shared" si="947"/>
        <v>#REF!</v>
      </c>
      <c r="CP416" s="2067" t="e">
        <f t="shared" si="947"/>
        <v>#REF!</v>
      </c>
      <c r="CQ416" s="2064" t="e">
        <f t="shared" si="947"/>
        <v>#REF!</v>
      </c>
      <c r="CR416" s="2065"/>
      <c r="CS416" s="2066" t="e">
        <f t="shared" si="947"/>
        <v>#REF!</v>
      </c>
      <c r="CT416" s="2066"/>
      <c r="CU416" s="2066" t="e">
        <f t="shared" si="947"/>
        <v>#REF!</v>
      </c>
      <c r="CV416" s="2066"/>
      <c r="CW416" s="2066" t="e">
        <f t="shared" si="947"/>
        <v>#REF!</v>
      </c>
      <c r="CX416" s="2066" t="e">
        <f t="shared" si="947"/>
        <v>#REF!</v>
      </c>
      <c r="CY416" s="2066" t="e">
        <f t="shared" si="947"/>
        <v>#REF!</v>
      </c>
      <c r="CZ416" s="2067" t="e">
        <f t="shared" si="947"/>
        <v>#REF!</v>
      </c>
      <c r="DA416" s="2064" t="e">
        <f t="shared" si="947"/>
        <v>#REF!</v>
      </c>
      <c r="DB416" s="2065"/>
      <c r="DC416" s="2066" t="e">
        <f t="shared" si="944"/>
        <v>#REF!</v>
      </c>
      <c r="DD416" s="2066"/>
      <c r="DE416" s="2066" t="e">
        <f t="shared" si="944"/>
        <v>#REF!</v>
      </c>
      <c r="DF416" s="2066"/>
      <c r="DG416" s="2066" t="e">
        <f t="shared" si="944"/>
        <v>#REF!</v>
      </c>
      <c r="DH416" s="2066" t="e">
        <f t="shared" si="944"/>
        <v>#REF!</v>
      </c>
      <c r="DI416" s="2066" t="e">
        <f t="shared" si="944"/>
        <v>#REF!</v>
      </c>
      <c r="DJ416" s="2067" t="e">
        <f t="shared" si="944"/>
        <v>#REF!</v>
      </c>
      <c r="DK416" s="2064" t="e">
        <f t="shared" si="944"/>
        <v>#REF!</v>
      </c>
      <c r="DL416" s="2065"/>
      <c r="DM416" s="2066" t="e">
        <f t="shared" si="944"/>
        <v>#REF!</v>
      </c>
      <c r="DN416" s="2066"/>
      <c r="DO416" s="2066" t="e">
        <f t="shared" si="944"/>
        <v>#REF!</v>
      </c>
      <c r="DP416" s="2066"/>
      <c r="DQ416" s="2066" t="e">
        <f t="shared" si="944"/>
        <v>#REF!</v>
      </c>
      <c r="DR416" s="2066" t="e">
        <f t="shared" si="944"/>
        <v>#REF!</v>
      </c>
      <c r="DS416" s="2066" t="e">
        <f>DS338</f>
        <v>#REF!</v>
      </c>
      <c r="DT416" s="2067" t="e">
        <f t="shared" si="944"/>
        <v>#REF!</v>
      </c>
      <c r="DU416" s="2064" t="e">
        <f t="shared" si="944"/>
        <v>#REF!</v>
      </c>
      <c r="DV416" s="2065"/>
      <c r="DW416" s="2066" t="e">
        <f t="shared" si="944"/>
        <v>#REF!</v>
      </c>
      <c r="DX416" s="2066"/>
      <c r="DY416" s="2066" t="e">
        <f t="shared" si="944"/>
        <v>#REF!</v>
      </c>
      <c r="DZ416" s="2066"/>
      <c r="EA416" s="2066" t="e">
        <f t="shared" si="946"/>
        <v>#REF!</v>
      </c>
      <c r="EB416" s="2066" t="e">
        <f t="shared" si="946"/>
        <v>#REF!</v>
      </c>
      <c r="EC416" s="2066" t="e">
        <f t="shared" si="946"/>
        <v>#REF!</v>
      </c>
      <c r="ED416" s="2067" t="e">
        <f t="shared" si="946"/>
        <v>#REF!</v>
      </c>
      <c r="EE416" s="2068" t="e">
        <f t="shared" si="946"/>
        <v>#REF!</v>
      </c>
      <c r="EF416" s="2069"/>
      <c r="EG416" s="2066" t="e">
        <f t="shared" si="946"/>
        <v>#REF!</v>
      </c>
      <c r="EH416" s="2066"/>
      <c r="EI416" s="2066" t="e">
        <f t="shared" si="946"/>
        <v>#REF!</v>
      </c>
      <c r="EJ416" s="2066"/>
      <c r="EK416" s="2066" t="e">
        <f t="shared" si="946"/>
        <v>#REF!</v>
      </c>
      <c r="EL416" s="2066" t="e">
        <f t="shared" si="946"/>
        <v>#REF!</v>
      </c>
      <c r="EM416" s="2070" t="e">
        <f t="shared" si="946"/>
        <v>#REF!</v>
      </c>
      <c r="EN416" s="2024" t="e">
        <f t="shared" si="915"/>
        <v>#REF!</v>
      </c>
    </row>
    <row r="417" spans="2:144" ht="18" customHeight="1" thickBot="1">
      <c r="B417" s="1735" t="s">
        <v>2028</v>
      </c>
      <c r="O417" s="2071" t="e">
        <f>SUM(O411:O416)+SUM(O404:O408)</f>
        <v>#REF!</v>
      </c>
      <c r="P417" s="2072"/>
      <c r="Q417" s="2073" t="e">
        <f t="shared" ref="Q417:X417" si="948">SUM(Q411:Q416)+SUM(Q404:Q408)</f>
        <v>#REF!</v>
      </c>
      <c r="R417" s="2073"/>
      <c r="S417" s="2073" t="e">
        <f t="shared" si="948"/>
        <v>#REF!</v>
      </c>
      <c r="T417" s="2073"/>
      <c r="U417" s="2073" t="e">
        <f t="shared" si="948"/>
        <v>#REF!</v>
      </c>
      <c r="V417" s="2073" t="e">
        <f t="shared" si="948"/>
        <v>#REF!</v>
      </c>
      <c r="W417" s="2073">
        <f t="shared" si="948"/>
        <v>0</v>
      </c>
      <c r="X417" s="2074" t="e">
        <f t="shared" si="948"/>
        <v>#REF!</v>
      </c>
      <c r="Y417" s="2071" t="e">
        <f>SUM(Y411:Y416)+SUM(Y404:Y408)</f>
        <v>#REF!</v>
      </c>
      <c r="Z417" s="2072"/>
      <c r="AA417" s="2073" t="e">
        <f>SUM(AA411:AA416)+SUM(AA404:AA408)</f>
        <v>#REF!</v>
      </c>
      <c r="AB417" s="2073"/>
      <c r="AC417" s="2073" t="e">
        <f>SUM(AC411:AC416)+SUM(AC404:AC408)</f>
        <v>#REF!</v>
      </c>
      <c r="AD417" s="2073"/>
      <c r="AE417" s="2073" t="e">
        <f>SUM(AE411:AE416)+SUM(AE404:AE408)</f>
        <v>#REF!</v>
      </c>
      <c r="AF417" s="2073" t="e">
        <f>SUM(AF411:AF416)+SUM(AF404:AF408)</f>
        <v>#REF!</v>
      </c>
      <c r="AG417" s="2073"/>
      <c r="AH417" s="2074" t="e">
        <f t="shared" ref="AH417:AP417" si="949">SUM(AH411:AH416)+SUM(AH404:AH408)</f>
        <v>#REF!</v>
      </c>
      <c r="AI417" s="2071" t="e">
        <f t="shared" si="949"/>
        <v>#REF!</v>
      </c>
      <c r="AJ417" s="2072"/>
      <c r="AK417" s="2073" t="e">
        <f t="shared" si="949"/>
        <v>#REF!</v>
      </c>
      <c r="AL417" s="2073"/>
      <c r="AM417" s="2073" t="e">
        <f t="shared" si="949"/>
        <v>#REF!</v>
      </c>
      <c r="AN417" s="2073"/>
      <c r="AO417" s="2073" t="e">
        <f t="shared" si="949"/>
        <v>#REF!</v>
      </c>
      <c r="AP417" s="2073" t="e">
        <f t="shared" si="949"/>
        <v>#REF!</v>
      </c>
      <c r="AQ417" s="2073"/>
      <c r="AR417" s="2074" t="e">
        <f t="shared" ref="AR417:AZ417" si="950">SUM(AR411:AR416)+SUM(AR404:AR408)</f>
        <v>#REF!</v>
      </c>
      <c r="AS417" s="2071" t="e">
        <f t="shared" si="950"/>
        <v>#REF!</v>
      </c>
      <c r="AT417" s="2072"/>
      <c r="AU417" s="2073" t="e">
        <f t="shared" si="950"/>
        <v>#REF!</v>
      </c>
      <c r="AV417" s="2073"/>
      <c r="AW417" s="2073" t="e">
        <f t="shared" si="950"/>
        <v>#REF!</v>
      </c>
      <c r="AX417" s="2073"/>
      <c r="AY417" s="2073" t="e">
        <f t="shared" si="950"/>
        <v>#REF!</v>
      </c>
      <c r="AZ417" s="2073" t="e">
        <f t="shared" si="950"/>
        <v>#REF!</v>
      </c>
      <c r="BA417" s="2073"/>
      <c r="BB417" s="2074" t="e">
        <f t="shared" ref="BB417:BJ417" si="951">SUM(BB411:BB416)+SUM(BB404:BB408)</f>
        <v>#REF!</v>
      </c>
      <c r="BC417" s="2071" t="e">
        <f t="shared" si="951"/>
        <v>#REF!</v>
      </c>
      <c r="BD417" s="2072"/>
      <c r="BE417" s="2073" t="e">
        <f t="shared" si="951"/>
        <v>#REF!</v>
      </c>
      <c r="BF417" s="2073"/>
      <c r="BG417" s="2073" t="e">
        <f t="shared" si="951"/>
        <v>#REF!</v>
      </c>
      <c r="BH417" s="2073"/>
      <c r="BI417" s="2073" t="e">
        <f t="shared" si="951"/>
        <v>#REF!</v>
      </c>
      <c r="BJ417" s="2073" t="e">
        <f t="shared" si="951"/>
        <v>#REF!</v>
      </c>
      <c r="BK417" s="2073"/>
      <c r="BL417" s="2074" t="e">
        <f t="shared" ref="BL417:BT417" si="952">SUM(BL411:BL416)+SUM(BL404:BL408)</f>
        <v>#REF!</v>
      </c>
      <c r="BM417" s="2071" t="e">
        <f t="shared" si="952"/>
        <v>#REF!</v>
      </c>
      <c r="BN417" s="2072"/>
      <c r="BO417" s="2073" t="e">
        <f t="shared" si="952"/>
        <v>#REF!</v>
      </c>
      <c r="BP417" s="2073"/>
      <c r="BQ417" s="2073" t="e">
        <f t="shared" si="952"/>
        <v>#REF!</v>
      </c>
      <c r="BR417" s="2073"/>
      <c r="BS417" s="2073" t="e">
        <f t="shared" si="952"/>
        <v>#REF!</v>
      </c>
      <c r="BT417" s="2073" t="e">
        <f t="shared" si="952"/>
        <v>#REF!</v>
      </c>
      <c r="BU417" s="2073"/>
      <c r="BV417" s="2074" t="e">
        <f t="shared" ref="BV417:CD417" si="953">SUM(BV411:BV416)+SUM(BV404:BV408)</f>
        <v>#REF!</v>
      </c>
      <c r="BW417" s="2071" t="e">
        <f t="shared" si="953"/>
        <v>#REF!</v>
      </c>
      <c r="BX417" s="2072"/>
      <c r="BY417" s="2073" t="e">
        <f t="shared" si="953"/>
        <v>#REF!</v>
      </c>
      <c r="BZ417" s="2073"/>
      <c r="CA417" s="2073" t="e">
        <f t="shared" si="953"/>
        <v>#REF!</v>
      </c>
      <c r="CB417" s="2073"/>
      <c r="CC417" s="2073" t="e">
        <f t="shared" si="953"/>
        <v>#REF!</v>
      </c>
      <c r="CD417" s="2073" t="e">
        <f t="shared" si="953"/>
        <v>#REF!</v>
      </c>
      <c r="CE417" s="2073"/>
      <c r="CF417" s="2074" t="e">
        <f t="shared" ref="CF417:CN417" si="954">SUM(CF411:CF416)+SUM(CF404:CF408)</f>
        <v>#REF!</v>
      </c>
      <c r="CG417" s="2071" t="e">
        <f t="shared" si="954"/>
        <v>#REF!</v>
      </c>
      <c r="CH417" s="2072"/>
      <c r="CI417" s="2073" t="e">
        <f t="shared" si="954"/>
        <v>#REF!</v>
      </c>
      <c r="CJ417" s="2073"/>
      <c r="CK417" s="2073" t="e">
        <f t="shared" si="954"/>
        <v>#REF!</v>
      </c>
      <c r="CL417" s="2073"/>
      <c r="CM417" s="2073" t="e">
        <f t="shared" si="954"/>
        <v>#REF!</v>
      </c>
      <c r="CN417" s="2073" t="e">
        <f t="shared" si="954"/>
        <v>#REF!</v>
      </c>
      <c r="CO417" s="2073"/>
      <c r="CP417" s="2074" t="e">
        <f t="shared" ref="CP417:CX417" si="955">SUM(CP411:CP416)+SUM(CP404:CP408)</f>
        <v>#REF!</v>
      </c>
      <c r="CQ417" s="2071" t="e">
        <f t="shared" si="955"/>
        <v>#REF!</v>
      </c>
      <c r="CR417" s="2072"/>
      <c r="CS417" s="2073" t="e">
        <f t="shared" si="955"/>
        <v>#REF!</v>
      </c>
      <c r="CT417" s="2073"/>
      <c r="CU417" s="2073" t="e">
        <f t="shared" si="955"/>
        <v>#REF!</v>
      </c>
      <c r="CV417" s="2073"/>
      <c r="CW417" s="2073" t="e">
        <f t="shared" si="955"/>
        <v>#REF!</v>
      </c>
      <c r="CX417" s="2073" t="e">
        <f t="shared" si="955"/>
        <v>#REF!</v>
      </c>
      <c r="CY417" s="2073"/>
      <c r="CZ417" s="2074" t="e">
        <f t="shared" ref="CZ417:DH417" si="956">SUM(CZ411:CZ416)+SUM(CZ404:CZ408)</f>
        <v>#REF!</v>
      </c>
      <c r="DA417" s="2071" t="e">
        <f>SUM(DA411:DA416)+SUM(DA404:DA408)</f>
        <v>#REF!</v>
      </c>
      <c r="DB417" s="2072"/>
      <c r="DC417" s="2073" t="e">
        <f t="shared" si="956"/>
        <v>#REF!</v>
      </c>
      <c r="DD417" s="2073"/>
      <c r="DE417" s="2073" t="e">
        <f t="shared" si="956"/>
        <v>#REF!</v>
      </c>
      <c r="DF417" s="2073"/>
      <c r="DG417" s="2073" t="e">
        <f t="shared" si="956"/>
        <v>#REF!</v>
      </c>
      <c r="DH417" s="2073" t="e">
        <f t="shared" si="956"/>
        <v>#REF!</v>
      </c>
      <c r="DI417" s="2073"/>
      <c r="DJ417" s="2074" t="e">
        <f t="shared" ref="DJ417:DR417" si="957">SUM(DJ411:DJ416)+SUM(DJ404:DJ408)</f>
        <v>#REF!</v>
      </c>
      <c r="DK417" s="2071" t="e">
        <f>SUM(DK411:DK416)+SUM(DK404:DK408)</f>
        <v>#REF!</v>
      </c>
      <c r="DL417" s="2072"/>
      <c r="DM417" s="2073" t="e">
        <f t="shared" si="957"/>
        <v>#REF!</v>
      </c>
      <c r="DN417" s="2073"/>
      <c r="DO417" s="2073" t="e">
        <f t="shared" si="957"/>
        <v>#REF!</v>
      </c>
      <c r="DP417" s="2073"/>
      <c r="DQ417" s="2073" t="e">
        <f t="shared" si="957"/>
        <v>#REF!</v>
      </c>
      <c r="DR417" s="2073" t="e">
        <f t="shared" si="957"/>
        <v>#REF!</v>
      </c>
      <c r="DS417" s="2073"/>
      <c r="DT417" s="2074" t="e">
        <f t="shared" ref="DT417:EB417" si="958">SUM(DT411:DT416)+SUM(DT404:DT408)</f>
        <v>#REF!</v>
      </c>
      <c r="DU417" s="2071" t="e">
        <f t="shared" si="958"/>
        <v>#REF!</v>
      </c>
      <c r="DV417" s="2072"/>
      <c r="DW417" s="2073" t="e">
        <f t="shared" si="958"/>
        <v>#REF!</v>
      </c>
      <c r="DX417" s="2073"/>
      <c r="DY417" s="2073" t="e">
        <f t="shared" si="958"/>
        <v>#REF!</v>
      </c>
      <c r="DZ417" s="2073"/>
      <c r="EA417" s="2073" t="e">
        <f t="shared" si="958"/>
        <v>#REF!</v>
      </c>
      <c r="EB417" s="2073" t="e">
        <f t="shared" si="958"/>
        <v>#REF!</v>
      </c>
      <c r="EC417" s="2073"/>
      <c r="ED417" s="2074" t="e">
        <f>SUM(ED411:ED416)+SUM(ED404:ED408)</f>
        <v>#REF!</v>
      </c>
      <c r="EE417" s="2075" t="e">
        <f>SUM(EE411:EE416)+SUM(EE404:EE409)</f>
        <v>#REF!</v>
      </c>
      <c r="EF417" s="2075"/>
      <c r="EG417" s="2075" t="e">
        <f>SUM(EG411:EG416)+SUM(EG404:EG409)</f>
        <v>#REF!</v>
      </c>
      <c r="EH417" s="2075"/>
      <c r="EI417" s="2075" t="e">
        <f>SUM(EI411:EI416)+SUM(EI404:EI409)</f>
        <v>#REF!</v>
      </c>
      <c r="EJ417" s="2075"/>
      <c r="EK417" s="2075" t="e">
        <f>SUM(EK411:EK416)+SUM(EK404:EK409)</f>
        <v>#REF!</v>
      </c>
      <c r="EL417" s="2075" t="e">
        <f>SUM(EL411:EL416)+SUM(EL404:EL409)</f>
        <v>#REF!</v>
      </c>
      <c r="EM417" s="2073" t="e">
        <f>SUM(EM411:EM416)+SUM(EM404:EM408)</f>
        <v>#REF!</v>
      </c>
      <c r="EN417" s="2076" t="e">
        <f>SUM(EN411:EN416)+SUM(EN404:EN409)</f>
        <v>#REF!</v>
      </c>
    </row>
    <row r="418" spans="2:144">
      <c r="EE418" s="1653">
        <f>7447011867/10^6</f>
        <v>7447.0118670000002</v>
      </c>
      <c r="EN418" s="1609">
        <f>36249293886.7</f>
        <v>36249293886.699997</v>
      </c>
    </row>
    <row r="419" spans="2:144">
      <c r="DU419" s="1620">
        <f>293048598/10^6</f>
        <v>293.04859800000003</v>
      </c>
      <c r="EE419" s="1653" t="e">
        <f>EE418-EE417</f>
        <v>#REF!</v>
      </c>
      <c r="EM419" s="1609" t="s">
        <v>2029</v>
      </c>
      <c r="EN419" s="1609" t="e">
        <f>EN418-EN417</f>
        <v>#REF!</v>
      </c>
    </row>
    <row r="420" spans="2:144">
      <c r="DK420" s="1620" t="e">
        <f>#REF!-#REF!-#REF!</f>
        <v>#REF!</v>
      </c>
      <c r="DO420" s="1611" t="e">
        <f>#REF!-#REF!-#REF!</f>
        <v>#REF!</v>
      </c>
      <c r="DU420" s="1620" t="e">
        <f>DU419-#REF!</f>
        <v>#REF!</v>
      </c>
    </row>
    <row r="422" spans="2:144">
      <c r="DU422" s="1620" t="e">
        <f>#REF!-#REF!-#REF!-#REF!-#REF!</f>
        <v>#REF!</v>
      </c>
      <c r="DY422" s="1611" t="e">
        <f>#REF!-#REF!-#REF!-#REF!-#REF!</f>
        <v>#REF!</v>
      </c>
    </row>
  </sheetData>
  <mergeCells count="124">
    <mergeCell ref="I5:I7"/>
    <mergeCell ref="J5:J7"/>
    <mergeCell ref="K5:K7"/>
    <mergeCell ref="L5:L7"/>
    <mergeCell ref="M5:M7"/>
    <mergeCell ref="N5:N7"/>
    <mergeCell ref="J2:L2"/>
    <mergeCell ref="A4:S4"/>
    <mergeCell ref="A5:A7"/>
    <mergeCell ref="B5:B7"/>
    <mergeCell ref="C5:C7"/>
    <mergeCell ref="D5:D7"/>
    <mergeCell ref="E5:E7"/>
    <mergeCell ref="F5:F7"/>
    <mergeCell ref="G5:G7"/>
    <mergeCell ref="H5:H7"/>
    <mergeCell ref="EE5:EN5"/>
    <mergeCell ref="O6:O7"/>
    <mergeCell ref="P6:Q6"/>
    <mergeCell ref="R6:S6"/>
    <mergeCell ref="T6:U6"/>
    <mergeCell ref="W6:X6"/>
    <mergeCell ref="Y6:Y7"/>
    <mergeCell ref="Z6:AA6"/>
    <mergeCell ref="AB6:AC6"/>
    <mergeCell ref="AD6:AE6"/>
    <mergeCell ref="BW5:CF5"/>
    <mergeCell ref="CG5:CP5"/>
    <mergeCell ref="CQ5:CZ5"/>
    <mergeCell ref="DA5:DJ5"/>
    <mergeCell ref="DK5:DT5"/>
    <mergeCell ref="DU5:ED5"/>
    <mergeCell ref="O5:X5"/>
    <mergeCell ref="Y5:AH5"/>
    <mergeCell ref="AI5:AR5"/>
    <mergeCell ref="AS5:BB5"/>
    <mergeCell ref="BC5:BL5"/>
    <mergeCell ref="BM5:BV5"/>
    <mergeCell ref="AS6:AS7"/>
    <mergeCell ref="AT6:AU6"/>
    <mergeCell ref="AV6:AW6"/>
    <mergeCell ref="AX6:AY6"/>
    <mergeCell ref="BA6:BB6"/>
    <mergeCell ref="BC6:BC7"/>
    <mergeCell ref="AG6:AH6"/>
    <mergeCell ref="AI6:AI7"/>
    <mergeCell ref="AJ6:AK6"/>
    <mergeCell ref="AL6:AM6"/>
    <mergeCell ref="AN6:AO6"/>
    <mergeCell ref="AQ6:AR6"/>
    <mergeCell ref="BP6:BQ6"/>
    <mergeCell ref="BR6:BS6"/>
    <mergeCell ref="BU6:BV6"/>
    <mergeCell ref="BW6:BW7"/>
    <mergeCell ref="BX6:BY6"/>
    <mergeCell ref="BZ6:CA6"/>
    <mergeCell ref="BD6:BE6"/>
    <mergeCell ref="BF6:BG6"/>
    <mergeCell ref="BH6:BI6"/>
    <mergeCell ref="BK6:BL6"/>
    <mergeCell ref="BM6:BM7"/>
    <mergeCell ref="BN6:BO6"/>
    <mergeCell ref="DI6:DJ6"/>
    <mergeCell ref="DK6:DK7"/>
    <mergeCell ref="CO6:CP6"/>
    <mergeCell ref="CQ6:CQ7"/>
    <mergeCell ref="CR6:CS6"/>
    <mergeCell ref="CT6:CU6"/>
    <mergeCell ref="CV6:CW6"/>
    <mergeCell ref="CY6:CZ6"/>
    <mergeCell ref="CB6:CC6"/>
    <mergeCell ref="CE6:CF6"/>
    <mergeCell ref="CG6:CG7"/>
    <mergeCell ref="CH6:CI6"/>
    <mergeCell ref="CJ6:CK6"/>
    <mergeCell ref="CL6:CM6"/>
    <mergeCell ref="BC403:BL403"/>
    <mergeCell ref="BM403:BV403"/>
    <mergeCell ref="EJ6:EK6"/>
    <mergeCell ref="EM6:EN6"/>
    <mergeCell ref="EZ6:EZ7"/>
    <mergeCell ref="EO261:EO263"/>
    <mergeCell ref="EQ261:EQ263"/>
    <mergeCell ref="A393:B393"/>
    <mergeCell ref="DX6:DY6"/>
    <mergeCell ref="DZ6:EA6"/>
    <mergeCell ref="EC6:ED6"/>
    <mergeCell ref="EE6:EE7"/>
    <mergeCell ref="EF6:EG6"/>
    <mergeCell ref="EH6:EI6"/>
    <mergeCell ref="DL6:DM6"/>
    <mergeCell ref="DN6:DO6"/>
    <mergeCell ref="DP6:DQ6"/>
    <mergeCell ref="DS6:DT6"/>
    <mergeCell ref="DU6:DU7"/>
    <mergeCell ref="DV6:DW6"/>
    <mergeCell ref="DA6:DA7"/>
    <mergeCell ref="DB6:DC6"/>
    <mergeCell ref="DD6:DE6"/>
    <mergeCell ref="DF6:DG6"/>
    <mergeCell ref="DA410:DJ410"/>
    <mergeCell ref="DK410:DT410"/>
    <mergeCell ref="DU410:ED410"/>
    <mergeCell ref="EE410:EN410"/>
    <mergeCell ref="EE403:EN403"/>
    <mergeCell ref="O410:X410"/>
    <mergeCell ref="Y410:AH410"/>
    <mergeCell ref="AI410:AR410"/>
    <mergeCell ref="AS410:BB410"/>
    <mergeCell ref="BC410:BL410"/>
    <mergeCell ref="BM410:BV410"/>
    <mergeCell ref="BW410:CF410"/>
    <mergeCell ref="CG410:CP410"/>
    <mergeCell ref="CQ410:CZ410"/>
    <mergeCell ref="BW403:CF403"/>
    <mergeCell ref="CG403:CP403"/>
    <mergeCell ref="CQ403:CZ403"/>
    <mergeCell ref="DA403:DJ403"/>
    <mergeCell ref="DK403:DT403"/>
    <mergeCell ref="DU403:ED403"/>
    <mergeCell ref="O403:X403"/>
    <mergeCell ref="Y403:AH403"/>
    <mergeCell ref="AI403:AR403"/>
    <mergeCell ref="AS403:BB403"/>
  </mergeCells>
  <printOptions horizontalCentered="1"/>
  <pageMargins left="0.15748031496062992" right="0.19685039370078741" top="0.31496062992125984" bottom="0.15748031496062992" header="0.31496062992125984" footer="0.15748031496062992"/>
  <pageSetup paperSize="9" scale="60" orientation="landscape" r:id="rId1"/>
  <rowBreaks count="10" manualBreakCount="10">
    <brk id="40" max="143" man="1"/>
    <brk id="78" max="143" man="1"/>
    <brk id="116" max="143" man="1"/>
    <brk id="154" max="143" man="1"/>
    <brk id="192" max="143" man="1"/>
    <brk id="229" max="143" man="1"/>
    <brk id="267" max="143" man="1"/>
    <brk id="305" max="143" man="1"/>
    <brk id="336" max="143" man="1"/>
    <brk id="366" max="143" man="1"/>
  </rowBreaks>
  <colBreaks count="12" manualBreakCount="12">
    <brk id="24" max="1048575" man="1"/>
    <brk id="34" max="392" man="1"/>
    <brk id="44" max="1048575" man="1"/>
    <brk id="54" max="392" man="1"/>
    <brk id="64" max="392" man="1"/>
    <brk id="74" max="392" man="1"/>
    <brk id="84" max="392" man="1"/>
    <brk id="94" max="392" man="1"/>
    <brk id="104" max="392" man="1"/>
    <brk id="114" max="392" man="1"/>
    <brk id="124" max="392" man="1"/>
    <brk id="134" max="392"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view="pageBreakPreview" zoomScaleNormal="85" zoomScaleSheetLayoutView="100" workbookViewId="0">
      <pane xSplit="1" ySplit="6" topLeftCell="B17" activePane="bottomRight" state="frozen"/>
      <selection activeCell="C105" sqref="C105"/>
      <selection pane="topRight" activeCell="C105" sqref="C105"/>
      <selection pane="bottomLeft" activeCell="C105" sqref="C105"/>
      <selection pane="bottomRight" activeCell="C105" sqref="C105"/>
    </sheetView>
  </sheetViews>
  <sheetFormatPr defaultRowHeight="21" customHeight="1"/>
  <cols>
    <col min="1" max="1" width="5.26953125" style="266" customWidth="1"/>
    <col min="2" max="2" width="58.81640625" style="266" customWidth="1"/>
    <col min="3" max="3" width="17.7265625" style="1273" customWidth="1"/>
    <col min="4" max="4" width="21.1796875" style="1274" customWidth="1"/>
    <col min="5" max="251" width="9.1796875" style="266"/>
    <col min="252" max="252" width="41.7265625" style="266" customWidth="1"/>
    <col min="253" max="254" width="9.1796875" style="266"/>
    <col min="255" max="255" width="14.81640625" style="266" customWidth="1"/>
    <col min="256" max="507" width="9.1796875" style="266"/>
    <col min="508" max="508" width="41.7265625" style="266" customWidth="1"/>
    <col min="509" max="510" width="9.1796875" style="266"/>
    <col min="511" max="511" width="14.81640625" style="266" customWidth="1"/>
    <col min="512" max="763" width="9.1796875" style="266"/>
    <col min="764" max="764" width="41.7265625" style="266" customWidth="1"/>
    <col min="765" max="766" width="9.1796875" style="266"/>
    <col min="767" max="767" width="14.81640625" style="266" customWidth="1"/>
    <col min="768" max="1019" width="9.1796875" style="266"/>
    <col min="1020" max="1020" width="41.7265625" style="266" customWidth="1"/>
    <col min="1021" max="1022" width="9.1796875" style="266"/>
    <col min="1023" max="1023" width="14.81640625" style="266" customWidth="1"/>
    <col min="1024" max="1275" width="9.1796875" style="266"/>
    <col min="1276" max="1276" width="41.7265625" style="266" customWidth="1"/>
    <col min="1277" max="1278" width="9.1796875" style="266"/>
    <col min="1279" max="1279" width="14.81640625" style="266" customWidth="1"/>
    <col min="1280" max="1531" width="9.1796875" style="266"/>
    <col min="1532" max="1532" width="41.7265625" style="266" customWidth="1"/>
    <col min="1533" max="1534" width="9.1796875" style="266"/>
    <col min="1535" max="1535" width="14.81640625" style="266" customWidth="1"/>
    <col min="1536" max="1787" width="9.1796875" style="266"/>
    <col min="1788" max="1788" width="41.7265625" style="266" customWidth="1"/>
    <col min="1789" max="1790" width="9.1796875" style="266"/>
    <col min="1791" max="1791" width="14.81640625" style="266" customWidth="1"/>
    <col min="1792" max="2043" width="9.1796875" style="266"/>
    <col min="2044" max="2044" width="41.7265625" style="266" customWidth="1"/>
    <col min="2045" max="2046" width="9.1796875" style="266"/>
    <col min="2047" max="2047" width="14.81640625" style="266" customWidth="1"/>
    <col min="2048" max="2299" width="9.1796875" style="266"/>
    <col min="2300" max="2300" width="41.7265625" style="266" customWidth="1"/>
    <col min="2301" max="2302" width="9.1796875" style="266"/>
    <col min="2303" max="2303" width="14.81640625" style="266" customWidth="1"/>
    <col min="2304" max="2555" width="9.1796875" style="266"/>
    <col min="2556" max="2556" width="41.7265625" style="266" customWidth="1"/>
    <col min="2557" max="2558" width="9.1796875" style="266"/>
    <col min="2559" max="2559" width="14.81640625" style="266" customWidth="1"/>
    <col min="2560" max="2811" width="9.1796875" style="266"/>
    <col min="2812" max="2812" width="41.7265625" style="266" customWidth="1"/>
    <col min="2813" max="2814" width="9.1796875" style="266"/>
    <col min="2815" max="2815" width="14.81640625" style="266" customWidth="1"/>
    <col min="2816" max="3067" width="9.1796875" style="266"/>
    <col min="3068" max="3068" width="41.7265625" style="266" customWidth="1"/>
    <col min="3069" max="3070" width="9.1796875" style="266"/>
    <col min="3071" max="3071" width="14.81640625" style="266" customWidth="1"/>
    <col min="3072" max="3323" width="9.1796875" style="266"/>
    <col min="3324" max="3324" width="41.7265625" style="266" customWidth="1"/>
    <col min="3325" max="3326" width="9.1796875" style="266"/>
    <col min="3327" max="3327" width="14.81640625" style="266" customWidth="1"/>
    <col min="3328" max="3579" width="9.1796875" style="266"/>
    <col min="3580" max="3580" width="41.7265625" style="266" customWidth="1"/>
    <col min="3581" max="3582" width="9.1796875" style="266"/>
    <col min="3583" max="3583" width="14.81640625" style="266" customWidth="1"/>
    <col min="3584" max="3835" width="9.1796875" style="266"/>
    <col min="3836" max="3836" width="41.7265625" style="266" customWidth="1"/>
    <col min="3837" max="3838" width="9.1796875" style="266"/>
    <col min="3839" max="3839" width="14.81640625" style="266" customWidth="1"/>
    <col min="3840" max="4091" width="9.1796875" style="266"/>
    <col min="4092" max="4092" width="41.7265625" style="266" customWidth="1"/>
    <col min="4093" max="4094" width="9.1796875" style="266"/>
    <col min="4095" max="4095" width="14.81640625" style="266" customWidth="1"/>
    <col min="4096" max="4347" width="9.1796875" style="266"/>
    <col min="4348" max="4348" width="41.7265625" style="266" customWidth="1"/>
    <col min="4349" max="4350" width="9.1796875" style="266"/>
    <col min="4351" max="4351" width="14.81640625" style="266" customWidth="1"/>
    <col min="4352" max="4603" width="9.1796875" style="266"/>
    <col min="4604" max="4604" width="41.7265625" style="266" customWidth="1"/>
    <col min="4605" max="4606" width="9.1796875" style="266"/>
    <col min="4607" max="4607" width="14.81640625" style="266" customWidth="1"/>
    <col min="4608" max="4859" width="9.1796875" style="266"/>
    <col min="4860" max="4860" width="41.7265625" style="266" customWidth="1"/>
    <col min="4861" max="4862" width="9.1796875" style="266"/>
    <col min="4863" max="4863" width="14.81640625" style="266" customWidth="1"/>
    <col min="4864" max="5115" width="9.1796875" style="266"/>
    <col min="5116" max="5116" width="41.7265625" style="266" customWidth="1"/>
    <col min="5117" max="5118" width="9.1796875" style="266"/>
    <col min="5119" max="5119" width="14.81640625" style="266" customWidth="1"/>
    <col min="5120" max="5371" width="9.1796875" style="266"/>
    <col min="5372" max="5372" width="41.7265625" style="266" customWidth="1"/>
    <col min="5373" max="5374" width="9.1796875" style="266"/>
    <col min="5375" max="5375" width="14.81640625" style="266" customWidth="1"/>
    <col min="5376" max="5627" width="9.1796875" style="266"/>
    <col min="5628" max="5628" width="41.7265625" style="266" customWidth="1"/>
    <col min="5629" max="5630" width="9.1796875" style="266"/>
    <col min="5631" max="5631" width="14.81640625" style="266" customWidth="1"/>
    <col min="5632" max="5883" width="9.1796875" style="266"/>
    <col min="5884" max="5884" width="41.7265625" style="266" customWidth="1"/>
    <col min="5885" max="5886" width="9.1796875" style="266"/>
    <col min="5887" max="5887" width="14.81640625" style="266" customWidth="1"/>
    <col min="5888" max="6139" width="9.1796875" style="266"/>
    <col min="6140" max="6140" width="41.7265625" style="266" customWidth="1"/>
    <col min="6141" max="6142" width="9.1796875" style="266"/>
    <col min="6143" max="6143" width="14.81640625" style="266" customWidth="1"/>
    <col min="6144" max="6395" width="9.1796875" style="266"/>
    <col min="6396" max="6396" width="41.7265625" style="266" customWidth="1"/>
    <col min="6397" max="6398" width="9.1796875" style="266"/>
    <col min="6399" max="6399" width="14.81640625" style="266" customWidth="1"/>
    <col min="6400" max="6651" width="9.1796875" style="266"/>
    <col min="6652" max="6652" width="41.7265625" style="266" customWidth="1"/>
    <col min="6653" max="6654" width="9.1796875" style="266"/>
    <col min="6655" max="6655" width="14.81640625" style="266" customWidth="1"/>
    <col min="6656" max="6907" width="9.1796875" style="266"/>
    <col min="6908" max="6908" width="41.7265625" style="266" customWidth="1"/>
    <col min="6909" max="6910" width="9.1796875" style="266"/>
    <col min="6911" max="6911" width="14.81640625" style="266" customWidth="1"/>
    <col min="6912" max="7163" width="9.1796875" style="266"/>
    <col min="7164" max="7164" width="41.7265625" style="266" customWidth="1"/>
    <col min="7165" max="7166" width="9.1796875" style="266"/>
    <col min="7167" max="7167" width="14.81640625" style="266" customWidth="1"/>
    <col min="7168" max="7419" width="9.1796875" style="266"/>
    <col min="7420" max="7420" width="41.7265625" style="266" customWidth="1"/>
    <col min="7421" max="7422" width="9.1796875" style="266"/>
    <col min="7423" max="7423" width="14.81640625" style="266" customWidth="1"/>
    <col min="7424" max="7675" width="9.1796875" style="266"/>
    <col min="7676" max="7676" width="41.7265625" style="266" customWidth="1"/>
    <col min="7677" max="7678" width="9.1796875" style="266"/>
    <col min="7679" max="7679" width="14.81640625" style="266" customWidth="1"/>
    <col min="7680" max="7931" width="9.1796875" style="266"/>
    <col min="7932" max="7932" width="41.7265625" style="266" customWidth="1"/>
    <col min="7933" max="7934" width="9.1796875" style="266"/>
    <col min="7935" max="7935" width="14.81640625" style="266" customWidth="1"/>
    <col min="7936" max="8187" width="9.1796875" style="266"/>
    <col min="8188" max="8188" width="41.7265625" style="266" customWidth="1"/>
    <col min="8189" max="8190" width="9.1796875" style="266"/>
    <col min="8191" max="8191" width="14.81640625" style="266" customWidth="1"/>
    <col min="8192" max="8443" width="9.1796875" style="266"/>
    <col min="8444" max="8444" width="41.7265625" style="266" customWidth="1"/>
    <col min="8445" max="8446" width="9.1796875" style="266"/>
    <col min="8447" max="8447" width="14.81640625" style="266" customWidth="1"/>
    <col min="8448" max="8699" width="9.1796875" style="266"/>
    <col min="8700" max="8700" width="41.7265625" style="266" customWidth="1"/>
    <col min="8701" max="8702" width="9.1796875" style="266"/>
    <col min="8703" max="8703" width="14.81640625" style="266" customWidth="1"/>
    <col min="8704" max="8955" width="9.1796875" style="266"/>
    <col min="8956" max="8956" width="41.7265625" style="266" customWidth="1"/>
    <col min="8957" max="8958" width="9.1796875" style="266"/>
    <col min="8959" max="8959" width="14.81640625" style="266" customWidth="1"/>
    <col min="8960" max="9211" width="9.1796875" style="266"/>
    <col min="9212" max="9212" width="41.7265625" style="266" customWidth="1"/>
    <col min="9213" max="9214" width="9.1796875" style="266"/>
    <col min="9215" max="9215" width="14.81640625" style="266" customWidth="1"/>
    <col min="9216" max="9467" width="9.1796875" style="266"/>
    <col min="9468" max="9468" width="41.7265625" style="266" customWidth="1"/>
    <col min="9469" max="9470" width="9.1796875" style="266"/>
    <col min="9471" max="9471" width="14.81640625" style="266" customWidth="1"/>
    <col min="9472" max="9723" width="9.1796875" style="266"/>
    <col min="9724" max="9724" width="41.7265625" style="266" customWidth="1"/>
    <col min="9725" max="9726" width="9.1796875" style="266"/>
    <col min="9727" max="9727" width="14.81640625" style="266" customWidth="1"/>
    <col min="9728" max="9979" width="9.1796875" style="266"/>
    <col min="9980" max="9980" width="41.7265625" style="266" customWidth="1"/>
    <col min="9981" max="9982" width="9.1796875" style="266"/>
    <col min="9983" max="9983" width="14.81640625" style="266" customWidth="1"/>
    <col min="9984" max="10235" width="9.1796875" style="266"/>
    <col min="10236" max="10236" width="41.7265625" style="266" customWidth="1"/>
    <col min="10237" max="10238" width="9.1796875" style="266"/>
    <col min="10239" max="10239" width="14.81640625" style="266" customWidth="1"/>
    <col min="10240" max="10491" width="9.1796875" style="266"/>
    <col min="10492" max="10492" width="41.7265625" style="266" customWidth="1"/>
    <col min="10493" max="10494" width="9.1796875" style="266"/>
    <col min="10495" max="10495" width="14.81640625" style="266" customWidth="1"/>
    <col min="10496" max="10747" width="9.1796875" style="266"/>
    <col min="10748" max="10748" width="41.7265625" style="266" customWidth="1"/>
    <col min="10749" max="10750" width="9.1796875" style="266"/>
    <col min="10751" max="10751" width="14.81640625" style="266" customWidth="1"/>
    <col min="10752" max="11003" width="9.1796875" style="266"/>
    <col min="11004" max="11004" width="41.7265625" style="266" customWidth="1"/>
    <col min="11005" max="11006" width="9.1796875" style="266"/>
    <col min="11007" max="11007" width="14.81640625" style="266" customWidth="1"/>
    <col min="11008" max="11259" width="9.1796875" style="266"/>
    <col min="11260" max="11260" width="41.7265625" style="266" customWidth="1"/>
    <col min="11261" max="11262" width="9.1796875" style="266"/>
    <col min="11263" max="11263" width="14.81640625" style="266" customWidth="1"/>
    <col min="11264" max="11515" width="9.1796875" style="266"/>
    <col min="11516" max="11516" width="41.7265625" style="266" customWidth="1"/>
    <col min="11517" max="11518" width="9.1796875" style="266"/>
    <col min="11519" max="11519" width="14.81640625" style="266" customWidth="1"/>
    <col min="11520" max="11771" width="9.1796875" style="266"/>
    <col min="11772" max="11772" width="41.7265625" style="266" customWidth="1"/>
    <col min="11773" max="11774" width="9.1796875" style="266"/>
    <col min="11775" max="11775" width="14.81640625" style="266" customWidth="1"/>
    <col min="11776" max="12027" width="9.1796875" style="266"/>
    <col min="12028" max="12028" width="41.7265625" style="266" customWidth="1"/>
    <col min="12029" max="12030" width="9.1796875" style="266"/>
    <col min="12031" max="12031" width="14.81640625" style="266" customWidth="1"/>
    <col min="12032" max="12283" width="9.1796875" style="266"/>
    <col min="12284" max="12284" width="41.7265625" style="266" customWidth="1"/>
    <col min="12285" max="12286" width="9.1796875" style="266"/>
    <col min="12287" max="12287" width="14.81640625" style="266" customWidth="1"/>
    <col min="12288" max="12539" width="9.1796875" style="266"/>
    <col min="12540" max="12540" width="41.7265625" style="266" customWidth="1"/>
    <col min="12541" max="12542" width="9.1796875" style="266"/>
    <col min="12543" max="12543" width="14.81640625" style="266" customWidth="1"/>
    <col min="12544" max="12795" width="9.1796875" style="266"/>
    <col min="12796" max="12796" width="41.7265625" style="266" customWidth="1"/>
    <col min="12797" max="12798" width="9.1796875" style="266"/>
    <col min="12799" max="12799" width="14.81640625" style="266" customWidth="1"/>
    <col min="12800" max="13051" width="9.1796875" style="266"/>
    <col min="13052" max="13052" width="41.7265625" style="266" customWidth="1"/>
    <col min="13053" max="13054" width="9.1796875" style="266"/>
    <col min="13055" max="13055" width="14.81640625" style="266" customWidth="1"/>
    <col min="13056" max="13307" width="9.1796875" style="266"/>
    <col min="13308" max="13308" width="41.7265625" style="266" customWidth="1"/>
    <col min="13309" max="13310" width="9.1796875" style="266"/>
    <col min="13311" max="13311" width="14.81640625" style="266" customWidth="1"/>
    <col min="13312" max="13563" width="9.1796875" style="266"/>
    <col min="13564" max="13564" width="41.7265625" style="266" customWidth="1"/>
    <col min="13565" max="13566" width="9.1796875" style="266"/>
    <col min="13567" max="13567" width="14.81640625" style="266" customWidth="1"/>
    <col min="13568" max="13819" width="9.1796875" style="266"/>
    <col min="13820" max="13820" width="41.7265625" style="266" customWidth="1"/>
    <col min="13821" max="13822" width="9.1796875" style="266"/>
    <col min="13823" max="13823" width="14.81640625" style="266" customWidth="1"/>
    <col min="13824" max="14075" width="9.1796875" style="266"/>
    <col min="14076" max="14076" width="41.7265625" style="266" customWidth="1"/>
    <col min="14077" max="14078" width="9.1796875" style="266"/>
    <col min="14079" max="14079" width="14.81640625" style="266" customWidth="1"/>
    <col min="14080" max="14331" width="9.1796875" style="266"/>
    <col min="14332" max="14332" width="41.7265625" style="266" customWidth="1"/>
    <col min="14333" max="14334" width="9.1796875" style="266"/>
    <col min="14335" max="14335" width="14.81640625" style="266" customWidth="1"/>
    <col min="14336" max="14587" width="9.1796875" style="266"/>
    <col min="14588" max="14588" width="41.7265625" style="266" customWidth="1"/>
    <col min="14589" max="14590" width="9.1796875" style="266"/>
    <col min="14591" max="14591" width="14.81640625" style="266" customWidth="1"/>
    <col min="14592" max="14843" width="9.1796875" style="266"/>
    <col min="14844" max="14844" width="41.7265625" style="266" customWidth="1"/>
    <col min="14845" max="14846" width="9.1796875" style="266"/>
    <col min="14847" max="14847" width="14.81640625" style="266" customWidth="1"/>
    <col min="14848" max="15099" width="9.1796875" style="266"/>
    <col min="15100" max="15100" width="41.7265625" style="266" customWidth="1"/>
    <col min="15101" max="15102" width="9.1796875" style="266"/>
    <col min="15103" max="15103" width="14.81640625" style="266" customWidth="1"/>
    <col min="15104" max="15355" width="9.1796875" style="266"/>
    <col min="15356" max="15356" width="41.7265625" style="266" customWidth="1"/>
    <col min="15357" max="15358" width="9.1796875" style="266"/>
    <col min="15359" max="15359" width="14.81640625" style="266" customWidth="1"/>
    <col min="15360" max="15611" width="9.1796875" style="266"/>
    <col min="15612" max="15612" width="41.7265625" style="266" customWidth="1"/>
    <col min="15613" max="15614" width="9.1796875" style="266"/>
    <col min="15615" max="15615" width="14.81640625" style="266" customWidth="1"/>
    <col min="15616" max="15867" width="9.1796875" style="266"/>
    <col min="15868" max="15868" width="41.7265625" style="266" customWidth="1"/>
    <col min="15869" max="15870" width="9.1796875" style="266"/>
    <col min="15871" max="15871" width="14.81640625" style="266" customWidth="1"/>
    <col min="15872" max="16123" width="9.1796875" style="266"/>
    <col min="16124" max="16124" width="41.7265625" style="266" customWidth="1"/>
    <col min="16125" max="16126" width="9.1796875" style="266"/>
    <col min="16127" max="16127" width="14.81640625" style="266" customWidth="1"/>
    <col min="16128" max="16384" width="9.1796875" style="266"/>
  </cols>
  <sheetData>
    <row r="1" spans="1:7" ht="21" customHeight="1">
      <c r="A1" s="2991" t="s">
        <v>219</v>
      </c>
      <c r="B1" s="2991"/>
    </row>
    <row r="2" spans="1:7" ht="21" customHeight="1">
      <c r="A2" s="715" t="s">
        <v>1604</v>
      </c>
      <c r="B2" s="715"/>
      <c r="C2" s="1275"/>
      <c r="D2" s="1275"/>
      <c r="E2" s="715"/>
      <c r="F2" s="715"/>
      <c r="G2" s="715"/>
    </row>
    <row r="3" spans="1:7" ht="21" customHeight="1">
      <c r="A3" s="304" t="s">
        <v>189</v>
      </c>
      <c r="B3" s="304"/>
      <c r="C3" s="1276"/>
      <c r="D3" s="1235"/>
    </row>
    <row r="4" spans="1:7" ht="21" customHeight="1">
      <c r="A4" s="12"/>
      <c r="B4" s="12"/>
      <c r="C4" s="1277"/>
      <c r="D4" s="1278" t="s">
        <v>141</v>
      </c>
    </row>
    <row r="5" spans="1:7" ht="21" customHeight="1">
      <c r="A5" s="2990" t="s">
        <v>106</v>
      </c>
      <c r="B5" s="2990" t="s">
        <v>14</v>
      </c>
      <c r="C5" s="1279" t="s">
        <v>729</v>
      </c>
      <c r="D5" s="1279" t="s">
        <v>728</v>
      </c>
    </row>
    <row r="6" spans="1:7" ht="21" customHeight="1">
      <c r="A6" s="2990"/>
      <c r="B6" s="2990"/>
      <c r="C6" s="1237" t="s">
        <v>551</v>
      </c>
      <c r="D6" s="1237" t="s">
        <v>545</v>
      </c>
    </row>
    <row r="7" spans="1:7" ht="21" customHeight="1">
      <c r="A7" s="267" t="s">
        <v>140</v>
      </c>
      <c r="B7" s="268" t="s">
        <v>627</v>
      </c>
      <c r="C7" s="938">
        <v>11641.409900000001</v>
      </c>
      <c r="D7" s="938">
        <v>11690.8567296</v>
      </c>
    </row>
    <row r="8" spans="1:7" ht="21" customHeight="1">
      <c r="A8" s="267" t="s">
        <v>152</v>
      </c>
      <c r="B8" s="268" t="s">
        <v>177</v>
      </c>
      <c r="C8" s="938">
        <v>4415.6706999999997</v>
      </c>
      <c r="D8" s="938">
        <v>3360.0753</v>
      </c>
    </row>
    <row r="9" spans="1:7" ht="14.5">
      <c r="A9" s="269" t="s">
        <v>153</v>
      </c>
      <c r="B9" s="270" t="s">
        <v>628</v>
      </c>
      <c r="C9" s="1342">
        <v>16057.080600000001</v>
      </c>
      <c r="D9" s="1342">
        <v>15050.932029600001</v>
      </c>
    </row>
    <row r="10" spans="1:7" ht="14.5">
      <c r="A10" s="269"/>
      <c r="B10" s="270"/>
      <c r="C10" s="705"/>
      <c r="D10" s="744"/>
    </row>
    <row r="11" spans="1:7" ht="14.5">
      <c r="A11" s="267" t="s">
        <v>471</v>
      </c>
      <c r="B11" s="271" t="s">
        <v>629</v>
      </c>
      <c r="C11" s="933"/>
      <c r="D11" s="744"/>
    </row>
    <row r="12" spans="1:7" ht="14.5">
      <c r="A12" s="267"/>
      <c r="B12" s="268" t="s">
        <v>1554</v>
      </c>
      <c r="C12" s="938">
        <v>13723.215099999999</v>
      </c>
      <c r="D12" s="938">
        <v>14096.6630069</v>
      </c>
    </row>
    <row r="13" spans="1:7" ht="29">
      <c r="A13" s="267"/>
      <c r="B13" s="268" t="s">
        <v>630</v>
      </c>
      <c r="C13" s="938">
        <v>0</v>
      </c>
      <c r="D13" s="938">
        <v>0</v>
      </c>
    </row>
    <row r="14" spans="1:7" ht="21" customHeight="1">
      <c r="A14" s="267"/>
      <c r="B14" s="268" t="s">
        <v>631</v>
      </c>
      <c r="C14" s="938">
        <v>309.21379999999999</v>
      </c>
      <c r="D14" s="938">
        <v>726.592264</v>
      </c>
    </row>
    <row r="15" spans="1:7" ht="14.5">
      <c r="A15" s="267"/>
      <c r="B15" s="268" t="s">
        <v>632</v>
      </c>
      <c r="C15" s="938">
        <v>1306.1292000000001</v>
      </c>
      <c r="D15" s="938">
        <v>1748.8850620610001</v>
      </c>
    </row>
    <row r="16" spans="1:7" ht="19.5" customHeight="1">
      <c r="A16" s="267"/>
      <c r="B16" s="268" t="s">
        <v>633</v>
      </c>
      <c r="C16" s="938">
        <v>427.82449999999994</v>
      </c>
      <c r="D16" s="938">
        <v>814.82057529999997</v>
      </c>
    </row>
    <row r="17" spans="1:4" ht="21" customHeight="1">
      <c r="A17" s="267"/>
      <c r="B17" s="272" t="s">
        <v>634</v>
      </c>
      <c r="C17" s="938">
        <v>0</v>
      </c>
      <c r="D17" s="938">
        <v>0</v>
      </c>
    </row>
    <row r="18" spans="1:4" ht="19.5" customHeight="1">
      <c r="A18" s="267"/>
      <c r="B18" s="268" t="s">
        <v>661</v>
      </c>
      <c r="C18" s="938">
        <v>459.73330000000004</v>
      </c>
      <c r="D18" s="938">
        <v>538.68068319999998</v>
      </c>
    </row>
    <row r="19" spans="1:4" ht="21" customHeight="1">
      <c r="A19" s="267"/>
      <c r="B19" s="268" t="s">
        <v>1271</v>
      </c>
      <c r="C19" s="938">
        <v>869.82589999999993</v>
      </c>
      <c r="D19" s="938">
        <v>598.08955460000004</v>
      </c>
    </row>
    <row r="20" spans="1:4" ht="21" customHeight="1">
      <c r="A20" s="267"/>
      <c r="B20" s="268" t="s">
        <v>662</v>
      </c>
      <c r="C20" s="938">
        <v>165.44080000000002</v>
      </c>
      <c r="D20" s="938">
        <v>175.26230000000001</v>
      </c>
    </row>
    <row r="21" spans="1:4" ht="14.5">
      <c r="A21" s="269"/>
      <c r="B21" s="270" t="s">
        <v>635</v>
      </c>
      <c r="C21" s="938">
        <v>17261.382600000001</v>
      </c>
      <c r="D21" s="938">
        <v>18698.993446060998</v>
      </c>
    </row>
    <row r="22" spans="1:4" ht="34.5" customHeight="1">
      <c r="A22" s="267" t="s">
        <v>472</v>
      </c>
      <c r="B22" s="268" t="s">
        <v>665</v>
      </c>
      <c r="C22" s="938">
        <v>-1204.3019999999997</v>
      </c>
      <c r="D22" s="938">
        <v>-3648.0614164609979</v>
      </c>
    </row>
    <row r="23" spans="1:4" ht="29">
      <c r="A23" s="267" t="s">
        <v>473</v>
      </c>
      <c r="B23" s="268" t="s">
        <v>666</v>
      </c>
      <c r="C23" s="938">
        <v>0</v>
      </c>
      <c r="D23" s="938">
        <v>0</v>
      </c>
    </row>
    <row r="24" spans="1:4" ht="21" customHeight="1">
      <c r="A24" s="267" t="s">
        <v>477</v>
      </c>
      <c r="B24" s="268" t="s">
        <v>636</v>
      </c>
      <c r="C24" s="938">
        <v>-1204.3019999999997</v>
      </c>
      <c r="D24" s="938">
        <v>-3648.0614164609979</v>
      </c>
    </row>
    <row r="25" spans="1:4" ht="21" customHeight="1">
      <c r="A25" s="267" t="s">
        <v>478</v>
      </c>
      <c r="B25" s="268" t="s">
        <v>637</v>
      </c>
      <c r="C25" s="938">
        <v>0</v>
      </c>
      <c r="D25" s="938">
        <v>0</v>
      </c>
    </row>
    <row r="26" spans="1:4" ht="21" customHeight="1">
      <c r="A26" s="267"/>
      <c r="B26" s="268" t="s">
        <v>638</v>
      </c>
      <c r="C26" s="938">
        <v>0</v>
      </c>
      <c r="D26" s="938">
        <v>0</v>
      </c>
    </row>
    <row r="27" spans="1:4" ht="21" customHeight="1">
      <c r="A27" s="267"/>
      <c r="B27" s="268" t="s">
        <v>639</v>
      </c>
      <c r="C27" s="938">
        <v>0</v>
      </c>
      <c r="D27" s="938">
        <v>0</v>
      </c>
    </row>
    <row r="28" spans="1:4" ht="21" customHeight="1">
      <c r="A28" s="267"/>
      <c r="B28" s="268" t="s">
        <v>667</v>
      </c>
      <c r="C28" s="938">
        <v>0</v>
      </c>
      <c r="D28" s="938">
        <v>0</v>
      </c>
    </row>
    <row r="29" spans="1:4" ht="21" customHeight="1">
      <c r="A29" s="267"/>
      <c r="B29" s="268" t="s">
        <v>668</v>
      </c>
      <c r="C29" s="938">
        <v>0</v>
      </c>
      <c r="D29" s="938">
        <v>0</v>
      </c>
    </row>
    <row r="30" spans="1:4" ht="21" customHeight="1">
      <c r="A30" s="267"/>
      <c r="B30" s="268" t="s">
        <v>1272</v>
      </c>
      <c r="C30" s="938">
        <v>0</v>
      </c>
      <c r="D30" s="938">
        <v>0</v>
      </c>
    </row>
    <row r="31" spans="1:4" ht="16.5" customHeight="1">
      <c r="A31" s="267" t="s">
        <v>652</v>
      </c>
      <c r="B31" s="268" t="s">
        <v>640</v>
      </c>
      <c r="C31" s="938">
        <v>-1204.3019999999997</v>
      </c>
      <c r="D31" s="938">
        <v>-3648.0614164609979</v>
      </c>
    </row>
    <row r="32" spans="1:4" ht="19.5" customHeight="1">
      <c r="A32" s="267" t="s">
        <v>156</v>
      </c>
      <c r="B32" s="268" t="s">
        <v>641</v>
      </c>
      <c r="C32" s="938">
        <v>0</v>
      </c>
      <c r="D32" s="938">
        <v>0</v>
      </c>
    </row>
    <row r="33" spans="1:4" ht="21" customHeight="1">
      <c r="A33" s="267" t="s">
        <v>653</v>
      </c>
      <c r="B33" s="268" t="s">
        <v>642</v>
      </c>
      <c r="C33" s="938">
        <v>0</v>
      </c>
      <c r="D33" s="938">
        <v>81.923500000000004</v>
      </c>
    </row>
    <row r="34" spans="1:4" ht="18" customHeight="1">
      <c r="A34" s="267" t="s">
        <v>654</v>
      </c>
      <c r="B34" s="268" t="s">
        <v>643</v>
      </c>
      <c r="C34" s="938">
        <v>-1204.3019999999997</v>
      </c>
      <c r="D34" s="938">
        <v>-3648.0614164609979</v>
      </c>
    </row>
    <row r="35" spans="1:4" ht="21" customHeight="1">
      <c r="A35" s="267" t="s">
        <v>655</v>
      </c>
      <c r="B35" s="268" t="s">
        <v>644</v>
      </c>
      <c r="C35" s="938">
        <v>-1204.3019999999997</v>
      </c>
      <c r="D35" s="938">
        <v>-3648.0614164609979</v>
      </c>
    </row>
    <row r="36" spans="1:4" ht="21" customHeight="1">
      <c r="A36" s="267" t="s">
        <v>656</v>
      </c>
      <c r="B36" s="268" t="s">
        <v>645</v>
      </c>
      <c r="C36" s="938">
        <v>0</v>
      </c>
      <c r="D36" s="938">
        <v>0</v>
      </c>
    </row>
    <row r="37" spans="1:4" ht="14.5">
      <c r="A37" s="267"/>
      <c r="B37" s="268" t="s">
        <v>646</v>
      </c>
      <c r="C37" s="938">
        <v>0</v>
      </c>
      <c r="D37" s="938">
        <v>0</v>
      </c>
    </row>
    <row r="38" spans="1:4" ht="29">
      <c r="A38" s="273"/>
      <c r="B38" s="274" t="s">
        <v>663</v>
      </c>
      <c r="C38" s="938">
        <v>0</v>
      </c>
      <c r="D38" s="938">
        <v>0</v>
      </c>
    </row>
    <row r="39" spans="1:4" ht="14.5">
      <c r="A39" s="267"/>
      <c r="B39" s="268" t="s">
        <v>647</v>
      </c>
      <c r="C39" s="938">
        <v>0</v>
      </c>
      <c r="D39" s="938">
        <v>0</v>
      </c>
    </row>
    <row r="40" spans="1:4" ht="29">
      <c r="A40" s="267"/>
      <c r="B40" s="274" t="s">
        <v>664</v>
      </c>
      <c r="C40" s="938">
        <v>-18.688699999999997</v>
      </c>
      <c r="D40" s="938">
        <v>0</v>
      </c>
    </row>
    <row r="41" spans="1:4" ht="14.5">
      <c r="A41" s="267" t="s">
        <v>657</v>
      </c>
      <c r="B41" s="274" t="s">
        <v>669</v>
      </c>
      <c r="C41" s="938">
        <v>-18.688699999999997</v>
      </c>
      <c r="D41" s="938">
        <v>0</v>
      </c>
    </row>
    <row r="42" spans="1:4" ht="51" customHeight="1">
      <c r="A42" s="267" t="s">
        <v>658</v>
      </c>
      <c r="B42" s="268" t="s">
        <v>648</v>
      </c>
      <c r="C42" s="938">
        <v>-1222.9906999999996</v>
      </c>
      <c r="D42" s="938">
        <v>0</v>
      </c>
    </row>
    <row r="43" spans="1:4" ht="14.5">
      <c r="A43" s="267" t="s">
        <v>659</v>
      </c>
      <c r="B43" s="268" t="s">
        <v>649</v>
      </c>
      <c r="C43" s="938">
        <v>0</v>
      </c>
      <c r="D43" s="938">
        <v>0</v>
      </c>
    </row>
    <row r="44" spans="1:4" ht="21" customHeight="1">
      <c r="A44" s="267"/>
      <c r="B44" s="275" t="s">
        <v>1273</v>
      </c>
      <c r="C44" s="938">
        <v>-63.66</v>
      </c>
      <c r="D44" s="938">
        <v>-182.57</v>
      </c>
    </row>
    <row r="45" spans="1:4" ht="21" customHeight="1">
      <c r="A45" s="273"/>
      <c r="B45" s="276" t="s">
        <v>1274</v>
      </c>
      <c r="C45" s="938">
        <v>-63.66</v>
      </c>
      <c r="D45" s="938">
        <v>-182.57</v>
      </c>
    </row>
    <row r="46" spans="1:4" ht="14.5">
      <c r="A46" s="267" t="s">
        <v>660</v>
      </c>
      <c r="B46" s="268" t="s">
        <v>650</v>
      </c>
      <c r="C46" s="938">
        <v>0</v>
      </c>
      <c r="D46" s="938">
        <v>0</v>
      </c>
    </row>
    <row r="47" spans="1:4" ht="21" customHeight="1">
      <c r="A47" s="267"/>
      <c r="B47" s="275" t="s">
        <v>1273</v>
      </c>
      <c r="C47" s="938">
        <v>0</v>
      </c>
      <c r="D47" s="938">
        <v>0</v>
      </c>
    </row>
    <row r="48" spans="1:4" ht="21" customHeight="1">
      <c r="A48" s="273"/>
      <c r="B48" s="276" t="s">
        <v>1274</v>
      </c>
      <c r="C48" s="938">
        <v>0</v>
      </c>
      <c r="D48" s="938">
        <v>0</v>
      </c>
    </row>
    <row r="49" spans="1:4" ht="14.5">
      <c r="A49" s="267" t="s">
        <v>670</v>
      </c>
      <c r="B49" s="268" t="s">
        <v>651</v>
      </c>
      <c r="C49" s="938">
        <v>0</v>
      </c>
      <c r="D49" s="938">
        <v>0</v>
      </c>
    </row>
    <row r="50" spans="1:4" ht="14.5">
      <c r="A50" s="267"/>
      <c r="B50" s="275" t="s">
        <v>1273</v>
      </c>
      <c r="C50" s="938">
        <v>-63.66</v>
      </c>
      <c r="D50" s="938">
        <v>-182.57</v>
      </c>
    </row>
    <row r="51" spans="1:4" ht="21" customHeight="1">
      <c r="A51" s="273"/>
      <c r="B51" s="276" t="s">
        <v>1274</v>
      </c>
      <c r="C51" s="938">
        <v>-63.66</v>
      </c>
      <c r="D51" s="938">
        <v>-182.57</v>
      </c>
    </row>
    <row r="52" spans="1:4" ht="21" customHeight="1">
      <c r="A52" s="266" t="s">
        <v>120</v>
      </c>
      <c r="B52" s="266" t="s">
        <v>732</v>
      </c>
    </row>
    <row r="53" spans="1:4" ht="21" customHeight="1">
      <c r="A53" s="266" t="s">
        <v>731</v>
      </c>
      <c r="B53" s="266" t="s">
        <v>730</v>
      </c>
    </row>
  </sheetData>
  <mergeCells count="3">
    <mergeCell ref="A5:A6"/>
    <mergeCell ref="B5:B6"/>
    <mergeCell ref="A1:B1"/>
  </mergeCells>
  <printOptions horizontalCentered="1" verticalCentered="1"/>
  <pageMargins left="0.19685039370078741" right="0.19685039370078741" top="0.19685039370078741" bottom="0.19685039370078741" header="0.19685039370078741" footer="0.19685039370078741"/>
  <pageSetup paperSize="9" scale="7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225"/>
  <sheetViews>
    <sheetView view="pageBreakPreview" topLeftCell="A197" zoomScale="61" zoomScaleNormal="70" zoomScaleSheetLayoutView="72" workbookViewId="0">
      <selection activeCell="C105" sqref="C105"/>
    </sheetView>
  </sheetViews>
  <sheetFormatPr defaultRowHeight="14.5"/>
  <cols>
    <col min="1" max="1" width="6.453125" style="1356" customWidth="1"/>
    <col min="2" max="2" width="36" style="1356" customWidth="1"/>
    <col min="3" max="3" width="14.54296875" style="1356" customWidth="1"/>
    <col min="4" max="4" width="10.453125" style="1978" customWidth="1"/>
    <col min="5" max="5" width="9.7265625" style="2793" customWidth="1"/>
    <col min="6" max="6" width="13.1796875" style="1356" customWidth="1"/>
    <col min="7" max="7" width="12" style="1356" bestFit="1" customWidth="1"/>
    <col min="8" max="8" width="14.54296875" style="1356" bestFit="1" customWidth="1"/>
    <col min="9" max="9" width="15.7265625" style="1848" customWidth="1"/>
    <col min="10" max="10" width="15" style="1848" bestFit="1" customWidth="1"/>
    <col min="11" max="12" width="14.54296875" style="1848" bestFit="1" customWidth="1"/>
    <col min="13" max="13" width="10.54296875" style="1848" customWidth="1"/>
    <col min="14" max="14" width="14.54296875" style="1848" bestFit="1" customWidth="1"/>
    <col min="15" max="15" width="16.453125" style="1356" customWidth="1"/>
    <col min="16" max="16" width="8.7265625" style="1908" hidden="1" customWidth="1"/>
    <col min="17" max="17" width="10.26953125" style="1356" hidden="1" customWidth="1"/>
    <col min="18" max="18" width="15.81640625" style="1356" hidden="1" customWidth="1"/>
    <col min="19" max="21" width="8.7265625" style="1356" hidden="1" customWidth="1"/>
    <col min="22" max="229" width="9.1796875" style="1356"/>
    <col min="230" max="230" width="3.26953125" style="1356" customWidth="1"/>
    <col min="231" max="231" width="36" style="1356" customWidth="1"/>
    <col min="232" max="232" width="8.26953125" style="1356" customWidth="1"/>
    <col min="233" max="233" width="12.7265625" style="1356" customWidth="1"/>
    <col min="234" max="234" width="5.7265625" style="1356" customWidth="1"/>
    <col min="235" max="235" width="7.453125" style="1356" customWidth="1"/>
    <col min="236" max="236" width="7.26953125" style="1356" customWidth="1"/>
    <col min="237" max="237" width="6.7265625" style="1356" customWidth="1"/>
    <col min="238" max="238" width="6" style="1356" customWidth="1"/>
    <col min="239" max="239" width="6.54296875" style="1356" customWidth="1"/>
    <col min="240" max="240" width="5" style="1356" customWidth="1"/>
    <col min="241" max="241" width="6" style="1356" customWidth="1"/>
    <col min="242" max="242" width="6.54296875" style="1356" customWidth="1"/>
    <col min="243" max="243" width="5" style="1356" customWidth="1"/>
    <col min="244" max="244" width="6.7265625" style="1356" customWidth="1"/>
    <col min="245" max="485" width="9.1796875" style="1356"/>
    <col min="486" max="486" width="3.26953125" style="1356" customWidth="1"/>
    <col min="487" max="487" width="36" style="1356" customWidth="1"/>
    <col min="488" max="488" width="8.26953125" style="1356" customWidth="1"/>
    <col min="489" max="489" width="12.7265625" style="1356" customWidth="1"/>
    <col min="490" max="490" width="5.7265625" style="1356" customWidth="1"/>
    <col min="491" max="491" width="7.453125" style="1356" customWidth="1"/>
    <col min="492" max="492" width="7.26953125" style="1356" customWidth="1"/>
    <col min="493" max="493" width="6.7265625" style="1356" customWidth="1"/>
    <col min="494" max="494" width="6" style="1356" customWidth="1"/>
    <col min="495" max="495" width="6.54296875" style="1356" customWidth="1"/>
    <col min="496" max="496" width="5" style="1356" customWidth="1"/>
    <col min="497" max="497" width="6" style="1356" customWidth="1"/>
    <col min="498" max="498" width="6.54296875" style="1356" customWidth="1"/>
    <col min="499" max="499" width="5" style="1356" customWidth="1"/>
    <col min="500" max="500" width="6.7265625" style="1356" customWidth="1"/>
    <col min="501" max="741" width="9.1796875" style="1356"/>
    <col min="742" max="742" width="3.26953125" style="1356" customWidth="1"/>
    <col min="743" max="743" width="36" style="1356" customWidth="1"/>
    <col min="744" max="744" width="8.26953125" style="1356" customWidth="1"/>
    <col min="745" max="745" width="12.7265625" style="1356" customWidth="1"/>
    <col min="746" max="746" width="5.7265625" style="1356" customWidth="1"/>
    <col min="747" max="747" width="7.453125" style="1356" customWidth="1"/>
    <col min="748" max="748" width="7.26953125" style="1356" customWidth="1"/>
    <col min="749" max="749" width="6.7265625" style="1356" customWidth="1"/>
    <col min="750" max="750" width="6" style="1356" customWidth="1"/>
    <col min="751" max="751" width="6.54296875" style="1356" customWidth="1"/>
    <col min="752" max="752" width="5" style="1356" customWidth="1"/>
    <col min="753" max="753" width="6" style="1356" customWidth="1"/>
    <col min="754" max="754" width="6.54296875" style="1356" customWidth="1"/>
    <col min="755" max="755" width="5" style="1356" customWidth="1"/>
    <col min="756" max="756" width="6.7265625" style="1356" customWidth="1"/>
    <col min="757" max="997" width="9.1796875" style="1356"/>
    <col min="998" max="998" width="3.26953125" style="1356" customWidth="1"/>
    <col min="999" max="999" width="36" style="1356" customWidth="1"/>
    <col min="1000" max="1000" width="8.26953125" style="1356" customWidth="1"/>
    <col min="1001" max="1001" width="12.7265625" style="1356" customWidth="1"/>
    <col min="1002" max="1002" width="5.7265625" style="1356" customWidth="1"/>
    <col min="1003" max="1003" width="7.453125" style="1356" customWidth="1"/>
    <col min="1004" max="1004" width="7.26953125" style="1356" customWidth="1"/>
    <col min="1005" max="1005" width="6.7265625" style="1356" customWidth="1"/>
    <col min="1006" max="1006" width="6" style="1356" customWidth="1"/>
    <col min="1007" max="1007" width="6.54296875" style="1356" customWidth="1"/>
    <col min="1008" max="1008" width="5" style="1356" customWidth="1"/>
    <col min="1009" max="1009" width="6" style="1356" customWidth="1"/>
    <col min="1010" max="1010" width="6.54296875" style="1356" customWidth="1"/>
    <col min="1011" max="1011" width="5" style="1356" customWidth="1"/>
    <col min="1012" max="1012" width="6.7265625" style="1356" customWidth="1"/>
    <col min="1013" max="1253" width="9.1796875" style="1356"/>
    <col min="1254" max="1254" width="3.26953125" style="1356" customWidth="1"/>
    <col min="1255" max="1255" width="36" style="1356" customWidth="1"/>
    <col min="1256" max="1256" width="8.26953125" style="1356" customWidth="1"/>
    <col min="1257" max="1257" width="12.7265625" style="1356" customWidth="1"/>
    <col min="1258" max="1258" width="5.7265625" style="1356" customWidth="1"/>
    <col min="1259" max="1259" width="7.453125" style="1356" customWidth="1"/>
    <col min="1260" max="1260" width="7.26953125" style="1356" customWidth="1"/>
    <col min="1261" max="1261" width="6.7265625" style="1356" customWidth="1"/>
    <col min="1262" max="1262" width="6" style="1356" customWidth="1"/>
    <col min="1263" max="1263" width="6.54296875" style="1356" customWidth="1"/>
    <col min="1264" max="1264" width="5" style="1356" customWidth="1"/>
    <col min="1265" max="1265" width="6" style="1356" customWidth="1"/>
    <col min="1266" max="1266" width="6.54296875" style="1356" customWidth="1"/>
    <col min="1267" max="1267" width="5" style="1356" customWidth="1"/>
    <col min="1268" max="1268" width="6.7265625" style="1356" customWidth="1"/>
    <col min="1269" max="1509" width="9.1796875" style="1356"/>
    <col min="1510" max="1510" width="3.26953125" style="1356" customWidth="1"/>
    <col min="1511" max="1511" width="36" style="1356" customWidth="1"/>
    <col min="1512" max="1512" width="8.26953125" style="1356" customWidth="1"/>
    <col min="1513" max="1513" width="12.7265625" style="1356" customWidth="1"/>
    <col min="1514" max="1514" width="5.7265625" style="1356" customWidth="1"/>
    <col min="1515" max="1515" width="7.453125" style="1356" customWidth="1"/>
    <col min="1516" max="1516" width="7.26953125" style="1356" customWidth="1"/>
    <col min="1517" max="1517" width="6.7265625" style="1356" customWidth="1"/>
    <col min="1518" max="1518" width="6" style="1356" customWidth="1"/>
    <col min="1519" max="1519" width="6.54296875" style="1356" customWidth="1"/>
    <col min="1520" max="1520" width="5" style="1356" customWidth="1"/>
    <col min="1521" max="1521" width="6" style="1356" customWidth="1"/>
    <col min="1522" max="1522" width="6.54296875" style="1356" customWidth="1"/>
    <col min="1523" max="1523" width="5" style="1356" customWidth="1"/>
    <col min="1524" max="1524" width="6.7265625" style="1356" customWidth="1"/>
    <col min="1525" max="1765" width="9.1796875" style="1356"/>
    <col min="1766" max="1766" width="3.26953125" style="1356" customWidth="1"/>
    <col min="1767" max="1767" width="36" style="1356" customWidth="1"/>
    <col min="1768" max="1768" width="8.26953125" style="1356" customWidth="1"/>
    <col min="1769" max="1769" width="12.7265625" style="1356" customWidth="1"/>
    <col min="1770" max="1770" width="5.7265625" style="1356" customWidth="1"/>
    <col min="1771" max="1771" width="7.453125" style="1356" customWidth="1"/>
    <col min="1772" max="1772" width="7.26953125" style="1356" customWidth="1"/>
    <col min="1773" max="1773" width="6.7265625" style="1356" customWidth="1"/>
    <col min="1774" max="1774" width="6" style="1356" customWidth="1"/>
    <col min="1775" max="1775" width="6.54296875" style="1356" customWidth="1"/>
    <col min="1776" max="1776" width="5" style="1356" customWidth="1"/>
    <col min="1777" max="1777" width="6" style="1356" customWidth="1"/>
    <col min="1778" max="1778" width="6.54296875" style="1356" customWidth="1"/>
    <col min="1779" max="1779" width="5" style="1356" customWidth="1"/>
    <col min="1780" max="1780" width="6.7265625" style="1356" customWidth="1"/>
    <col min="1781" max="2021" width="9.1796875" style="1356"/>
    <col min="2022" max="2022" width="3.26953125" style="1356" customWidth="1"/>
    <col min="2023" max="2023" width="36" style="1356" customWidth="1"/>
    <col min="2024" max="2024" width="8.26953125" style="1356" customWidth="1"/>
    <col min="2025" max="2025" width="12.7265625" style="1356" customWidth="1"/>
    <col min="2026" max="2026" width="5.7265625" style="1356" customWidth="1"/>
    <col min="2027" max="2027" width="7.453125" style="1356" customWidth="1"/>
    <col min="2028" max="2028" width="7.26953125" style="1356" customWidth="1"/>
    <col min="2029" max="2029" width="6.7265625" style="1356" customWidth="1"/>
    <col min="2030" max="2030" width="6" style="1356" customWidth="1"/>
    <col min="2031" max="2031" width="6.54296875" style="1356" customWidth="1"/>
    <col min="2032" max="2032" width="5" style="1356" customWidth="1"/>
    <col min="2033" max="2033" width="6" style="1356" customWidth="1"/>
    <col min="2034" max="2034" width="6.54296875" style="1356" customWidth="1"/>
    <col min="2035" max="2035" width="5" style="1356" customWidth="1"/>
    <col min="2036" max="2036" width="6.7265625" style="1356" customWidth="1"/>
    <col min="2037" max="2277" width="9.1796875" style="1356"/>
    <col min="2278" max="2278" width="3.26953125" style="1356" customWidth="1"/>
    <col min="2279" max="2279" width="36" style="1356" customWidth="1"/>
    <col min="2280" max="2280" width="8.26953125" style="1356" customWidth="1"/>
    <col min="2281" max="2281" width="12.7265625" style="1356" customWidth="1"/>
    <col min="2282" max="2282" width="5.7265625" style="1356" customWidth="1"/>
    <col min="2283" max="2283" width="7.453125" style="1356" customWidth="1"/>
    <col min="2284" max="2284" width="7.26953125" style="1356" customWidth="1"/>
    <col min="2285" max="2285" width="6.7265625" style="1356" customWidth="1"/>
    <col min="2286" max="2286" width="6" style="1356" customWidth="1"/>
    <col min="2287" max="2287" width="6.54296875" style="1356" customWidth="1"/>
    <col min="2288" max="2288" width="5" style="1356" customWidth="1"/>
    <col min="2289" max="2289" width="6" style="1356" customWidth="1"/>
    <col min="2290" max="2290" width="6.54296875" style="1356" customWidth="1"/>
    <col min="2291" max="2291" width="5" style="1356" customWidth="1"/>
    <col min="2292" max="2292" width="6.7265625" style="1356" customWidth="1"/>
    <col min="2293" max="2533" width="9.1796875" style="1356"/>
    <col min="2534" max="2534" width="3.26953125" style="1356" customWidth="1"/>
    <col min="2535" max="2535" width="36" style="1356" customWidth="1"/>
    <col min="2536" max="2536" width="8.26953125" style="1356" customWidth="1"/>
    <col min="2537" max="2537" width="12.7265625" style="1356" customWidth="1"/>
    <col min="2538" max="2538" width="5.7265625" style="1356" customWidth="1"/>
    <col min="2539" max="2539" width="7.453125" style="1356" customWidth="1"/>
    <col min="2540" max="2540" width="7.26953125" style="1356" customWidth="1"/>
    <col min="2541" max="2541" width="6.7265625" style="1356" customWidth="1"/>
    <col min="2542" max="2542" width="6" style="1356" customWidth="1"/>
    <col min="2543" max="2543" width="6.54296875" style="1356" customWidth="1"/>
    <col min="2544" max="2544" width="5" style="1356" customWidth="1"/>
    <col min="2545" max="2545" width="6" style="1356" customWidth="1"/>
    <col min="2546" max="2546" width="6.54296875" style="1356" customWidth="1"/>
    <col min="2547" max="2547" width="5" style="1356" customWidth="1"/>
    <col min="2548" max="2548" width="6.7265625" style="1356" customWidth="1"/>
    <col min="2549" max="2789" width="9.1796875" style="1356"/>
    <col min="2790" max="2790" width="3.26953125" style="1356" customWidth="1"/>
    <col min="2791" max="2791" width="36" style="1356" customWidth="1"/>
    <col min="2792" max="2792" width="8.26953125" style="1356" customWidth="1"/>
    <col min="2793" max="2793" width="12.7265625" style="1356" customWidth="1"/>
    <col min="2794" max="2794" width="5.7265625" style="1356" customWidth="1"/>
    <col min="2795" max="2795" width="7.453125" style="1356" customWidth="1"/>
    <col min="2796" max="2796" width="7.26953125" style="1356" customWidth="1"/>
    <col min="2797" max="2797" width="6.7265625" style="1356" customWidth="1"/>
    <col min="2798" max="2798" width="6" style="1356" customWidth="1"/>
    <col min="2799" max="2799" width="6.54296875" style="1356" customWidth="1"/>
    <col min="2800" max="2800" width="5" style="1356" customWidth="1"/>
    <col min="2801" max="2801" width="6" style="1356" customWidth="1"/>
    <col min="2802" max="2802" width="6.54296875" style="1356" customWidth="1"/>
    <col min="2803" max="2803" width="5" style="1356" customWidth="1"/>
    <col min="2804" max="2804" width="6.7265625" style="1356" customWidth="1"/>
    <col min="2805" max="3045" width="9.1796875" style="1356"/>
    <col min="3046" max="3046" width="3.26953125" style="1356" customWidth="1"/>
    <col min="3047" max="3047" width="36" style="1356" customWidth="1"/>
    <col min="3048" max="3048" width="8.26953125" style="1356" customWidth="1"/>
    <col min="3049" max="3049" width="12.7265625" style="1356" customWidth="1"/>
    <col min="3050" max="3050" width="5.7265625" style="1356" customWidth="1"/>
    <col min="3051" max="3051" width="7.453125" style="1356" customWidth="1"/>
    <col min="3052" max="3052" width="7.26953125" style="1356" customWidth="1"/>
    <col min="3053" max="3053" width="6.7265625" style="1356" customWidth="1"/>
    <col min="3054" max="3054" width="6" style="1356" customWidth="1"/>
    <col min="3055" max="3055" width="6.54296875" style="1356" customWidth="1"/>
    <col min="3056" max="3056" width="5" style="1356" customWidth="1"/>
    <col min="3057" max="3057" width="6" style="1356" customWidth="1"/>
    <col min="3058" max="3058" width="6.54296875" style="1356" customWidth="1"/>
    <col min="3059" max="3059" width="5" style="1356" customWidth="1"/>
    <col min="3060" max="3060" width="6.7265625" style="1356" customWidth="1"/>
    <col min="3061" max="3301" width="9.1796875" style="1356"/>
    <col min="3302" max="3302" width="3.26953125" style="1356" customWidth="1"/>
    <col min="3303" max="3303" width="36" style="1356" customWidth="1"/>
    <col min="3304" max="3304" width="8.26953125" style="1356" customWidth="1"/>
    <col min="3305" max="3305" width="12.7265625" style="1356" customWidth="1"/>
    <col min="3306" max="3306" width="5.7265625" style="1356" customWidth="1"/>
    <col min="3307" max="3307" width="7.453125" style="1356" customWidth="1"/>
    <col min="3308" max="3308" width="7.26953125" style="1356" customWidth="1"/>
    <col min="3309" max="3309" width="6.7265625" style="1356" customWidth="1"/>
    <col min="3310" max="3310" width="6" style="1356" customWidth="1"/>
    <col min="3311" max="3311" width="6.54296875" style="1356" customWidth="1"/>
    <col min="3312" max="3312" width="5" style="1356" customWidth="1"/>
    <col min="3313" max="3313" width="6" style="1356" customWidth="1"/>
    <col min="3314" max="3314" width="6.54296875" style="1356" customWidth="1"/>
    <col min="3315" max="3315" width="5" style="1356" customWidth="1"/>
    <col min="3316" max="3316" width="6.7265625" style="1356" customWidth="1"/>
    <col min="3317" max="3557" width="9.1796875" style="1356"/>
    <col min="3558" max="3558" width="3.26953125" style="1356" customWidth="1"/>
    <col min="3559" max="3559" width="36" style="1356" customWidth="1"/>
    <col min="3560" max="3560" width="8.26953125" style="1356" customWidth="1"/>
    <col min="3561" max="3561" width="12.7265625" style="1356" customWidth="1"/>
    <col min="3562" max="3562" width="5.7265625" style="1356" customWidth="1"/>
    <col min="3563" max="3563" width="7.453125" style="1356" customWidth="1"/>
    <col min="3564" max="3564" width="7.26953125" style="1356" customWidth="1"/>
    <col min="3565" max="3565" width="6.7265625" style="1356" customWidth="1"/>
    <col min="3566" max="3566" width="6" style="1356" customWidth="1"/>
    <col min="3567" max="3567" width="6.54296875" style="1356" customWidth="1"/>
    <col min="3568" max="3568" width="5" style="1356" customWidth="1"/>
    <col min="3569" max="3569" width="6" style="1356" customWidth="1"/>
    <col min="3570" max="3570" width="6.54296875" style="1356" customWidth="1"/>
    <col min="3571" max="3571" width="5" style="1356" customWidth="1"/>
    <col min="3572" max="3572" width="6.7265625" style="1356" customWidth="1"/>
    <col min="3573" max="3813" width="9.1796875" style="1356"/>
    <col min="3814" max="3814" width="3.26953125" style="1356" customWidth="1"/>
    <col min="3815" max="3815" width="36" style="1356" customWidth="1"/>
    <col min="3816" max="3816" width="8.26953125" style="1356" customWidth="1"/>
    <col min="3817" max="3817" width="12.7265625" style="1356" customWidth="1"/>
    <col min="3818" max="3818" width="5.7265625" style="1356" customWidth="1"/>
    <col min="3819" max="3819" width="7.453125" style="1356" customWidth="1"/>
    <col min="3820" max="3820" width="7.26953125" style="1356" customWidth="1"/>
    <col min="3821" max="3821" width="6.7265625" style="1356" customWidth="1"/>
    <col min="3822" max="3822" width="6" style="1356" customWidth="1"/>
    <col min="3823" max="3823" width="6.54296875" style="1356" customWidth="1"/>
    <col min="3824" max="3824" width="5" style="1356" customWidth="1"/>
    <col min="3825" max="3825" width="6" style="1356" customWidth="1"/>
    <col min="3826" max="3826" width="6.54296875" style="1356" customWidth="1"/>
    <col min="3827" max="3827" width="5" style="1356" customWidth="1"/>
    <col min="3828" max="3828" width="6.7265625" style="1356" customWidth="1"/>
    <col min="3829" max="4069" width="9.1796875" style="1356"/>
    <col min="4070" max="4070" width="3.26953125" style="1356" customWidth="1"/>
    <col min="4071" max="4071" width="36" style="1356" customWidth="1"/>
    <col min="4072" max="4072" width="8.26953125" style="1356" customWidth="1"/>
    <col min="4073" max="4073" width="12.7265625" style="1356" customWidth="1"/>
    <col min="4074" max="4074" width="5.7265625" style="1356" customWidth="1"/>
    <col min="4075" max="4075" width="7.453125" style="1356" customWidth="1"/>
    <col min="4076" max="4076" width="7.26953125" style="1356" customWidth="1"/>
    <col min="4077" max="4077" width="6.7265625" style="1356" customWidth="1"/>
    <col min="4078" max="4078" width="6" style="1356" customWidth="1"/>
    <col min="4079" max="4079" width="6.54296875" style="1356" customWidth="1"/>
    <col min="4080" max="4080" width="5" style="1356" customWidth="1"/>
    <col min="4081" max="4081" width="6" style="1356" customWidth="1"/>
    <col min="4082" max="4082" width="6.54296875" style="1356" customWidth="1"/>
    <col min="4083" max="4083" width="5" style="1356" customWidth="1"/>
    <col min="4084" max="4084" width="6.7265625" style="1356" customWidth="1"/>
    <col min="4085" max="4325" width="9.1796875" style="1356"/>
    <col min="4326" max="4326" width="3.26953125" style="1356" customWidth="1"/>
    <col min="4327" max="4327" width="36" style="1356" customWidth="1"/>
    <col min="4328" max="4328" width="8.26953125" style="1356" customWidth="1"/>
    <col min="4329" max="4329" width="12.7265625" style="1356" customWidth="1"/>
    <col min="4330" max="4330" width="5.7265625" style="1356" customWidth="1"/>
    <col min="4331" max="4331" width="7.453125" style="1356" customWidth="1"/>
    <col min="4332" max="4332" width="7.26953125" style="1356" customWidth="1"/>
    <col min="4333" max="4333" width="6.7265625" style="1356" customWidth="1"/>
    <col min="4334" max="4334" width="6" style="1356" customWidth="1"/>
    <col min="4335" max="4335" width="6.54296875" style="1356" customWidth="1"/>
    <col min="4336" max="4336" width="5" style="1356" customWidth="1"/>
    <col min="4337" max="4337" width="6" style="1356" customWidth="1"/>
    <col min="4338" max="4338" width="6.54296875" style="1356" customWidth="1"/>
    <col min="4339" max="4339" width="5" style="1356" customWidth="1"/>
    <col min="4340" max="4340" width="6.7265625" style="1356" customWidth="1"/>
    <col min="4341" max="4581" width="9.1796875" style="1356"/>
    <col min="4582" max="4582" width="3.26953125" style="1356" customWidth="1"/>
    <col min="4583" max="4583" width="36" style="1356" customWidth="1"/>
    <col min="4584" max="4584" width="8.26953125" style="1356" customWidth="1"/>
    <col min="4585" max="4585" width="12.7265625" style="1356" customWidth="1"/>
    <col min="4586" max="4586" width="5.7265625" style="1356" customWidth="1"/>
    <col min="4587" max="4587" width="7.453125" style="1356" customWidth="1"/>
    <col min="4588" max="4588" width="7.26953125" style="1356" customWidth="1"/>
    <col min="4589" max="4589" width="6.7265625" style="1356" customWidth="1"/>
    <col min="4590" max="4590" width="6" style="1356" customWidth="1"/>
    <col min="4591" max="4591" width="6.54296875" style="1356" customWidth="1"/>
    <col min="4592" max="4592" width="5" style="1356" customWidth="1"/>
    <col min="4593" max="4593" width="6" style="1356" customWidth="1"/>
    <col min="4594" max="4594" width="6.54296875" style="1356" customWidth="1"/>
    <col min="4595" max="4595" width="5" style="1356" customWidth="1"/>
    <col min="4596" max="4596" width="6.7265625" style="1356" customWidth="1"/>
    <col min="4597" max="4837" width="9.1796875" style="1356"/>
    <col min="4838" max="4838" width="3.26953125" style="1356" customWidth="1"/>
    <col min="4839" max="4839" width="36" style="1356" customWidth="1"/>
    <col min="4840" max="4840" width="8.26953125" style="1356" customWidth="1"/>
    <col min="4841" max="4841" width="12.7265625" style="1356" customWidth="1"/>
    <col min="4842" max="4842" width="5.7265625" style="1356" customWidth="1"/>
    <col min="4843" max="4843" width="7.453125" style="1356" customWidth="1"/>
    <col min="4844" max="4844" width="7.26953125" style="1356" customWidth="1"/>
    <col min="4845" max="4845" width="6.7265625" style="1356" customWidth="1"/>
    <col min="4846" max="4846" width="6" style="1356" customWidth="1"/>
    <col min="4847" max="4847" width="6.54296875" style="1356" customWidth="1"/>
    <col min="4848" max="4848" width="5" style="1356" customWidth="1"/>
    <col min="4849" max="4849" width="6" style="1356" customWidth="1"/>
    <col min="4850" max="4850" width="6.54296875" style="1356" customWidth="1"/>
    <col min="4851" max="4851" width="5" style="1356" customWidth="1"/>
    <col min="4852" max="4852" width="6.7265625" style="1356" customWidth="1"/>
    <col min="4853" max="5093" width="9.1796875" style="1356"/>
    <col min="5094" max="5094" width="3.26953125" style="1356" customWidth="1"/>
    <col min="5095" max="5095" width="36" style="1356" customWidth="1"/>
    <col min="5096" max="5096" width="8.26953125" style="1356" customWidth="1"/>
    <col min="5097" max="5097" width="12.7265625" style="1356" customWidth="1"/>
    <col min="5098" max="5098" width="5.7265625" style="1356" customWidth="1"/>
    <col min="5099" max="5099" width="7.453125" style="1356" customWidth="1"/>
    <col min="5100" max="5100" width="7.26953125" style="1356" customWidth="1"/>
    <col min="5101" max="5101" width="6.7265625" style="1356" customWidth="1"/>
    <col min="5102" max="5102" width="6" style="1356" customWidth="1"/>
    <col min="5103" max="5103" width="6.54296875" style="1356" customWidth="1"/>
    <col min="5104" max="5104" width="5" style="1356" customWidth="1"/>
    <col min="5105" max="5105" width="6" style="1356" customWidth="1"/>
    <col min="5106" max="5106" width="6.54296875" style="1356" customWidth="1"/>
    <col min="5107" max="5107" width="5" style="1356" customWidth="1"/>
    <col min="5108" max="5108" width="6.7265625" style="1356" customWidth="1"/>
    <col min="5109" max="5349" width="9.1796875" style="1356"/>
    <col min="5350" max="5350" width="3.26953125" style="1356" customWidth="1"/>
    <col min="5351" max="5351" width="36" style="1356" customWidth="1"/>
    <col min="5352" max="5352" width="8.26953125" style="1356" customWidth="1"/>
    <col min="5353" max="5353" width="12.7265625" style="1356" customWidth="1"/>
    <col min="5354" max="5354" width="5.7265625" style="1356" customWidth="1"/>
    <col min="5355" max="5355" width="7.453125" style="1356" customWidth="1"/>
    <col min="5356" max="5356" width="7.26953125" style="1356" customWidth="1"/>
    <col min="5357" max="5357" width="6.7265625" style="1356" customWidth="1"/>
    <col min="5358" max="5358" width="6" style="1356" customWidth="1"/>
    <col min="5359" max="5359" width="6.54296875" style="1356" customWidth="1"/>
    <col min="5360" max="5360" width="5" style="1356" customWidth="1"/>
    <col min="5361" max="5361" width="6" style="1356" customWidth="1"/>
    <col min="5362" max="5362" width="6.54296875" style="1356" customWidth="1"/>
    <col min="5363" max="5363" width="5" style="1356" customWidth="1"/>
    <col min="5364" max="5364" width="6.7265625" style="1356" customWidth="1"/>
    <col min="5365" max="5605" width="9.1796875" style="1356"/>
    <col min="5606" max="5606" width="3.26953125" style="1356" customWidth="1"/>
    <col min="5607" max="5607" width="36" style="1356" customWidth="1"/>
    <col min="5608" max="5608" width="8.26953125" style="1356" customWidth="1"/>
    <col min="5609" max="5609" width="12.7265625" style="1356" customWidth="1"/>
    <col min="5610" max="5610" width="5.7265625" style="1356" customWidth="1"/>
    <col min="5611" max="5611" width="7.453125" style="1356" customWidth="1"/>
    <col min="5612" max="5612" width="7.26953125" style="1356" customWidth="1"/>
    <col min="5613" max="5613" width="6.7265625" style="1356" customWidth="1"/>
    <col min="5614" max="5614" width="6" style="1356" customWidth="1"/>
    <col min="5615" max="5615" width="6.54296875" style="1356" customWidth="1"/>
    <col min="5616" max="5616" width="5" style="1356" customWidth="1"/>
    <col min="5617" max="5617" width="6" style="1356" customWidth="1"/>
    <col min="5618" max="5618" width="6.54296875" style="1356" customWidth="1"/>
    <col min="5619" max="5619" width="5" style="1356" customWidth="1"/>
    <col min="5620" max="5620" width="6.7265625" style="1356" customWidth="1"/>
    <col min="5621" max="5861" width="9.1796875" style="1356"/>
    <col min="5862" max="5862" width="3.26953125" style="1356" customWidth="1"/>
    <col min="5863" max="5863" width="36" style="1356" customWidth="1"/>
    <col min="5864" max="5864" width="8.26953125" style="1356" customWidth="1"/>
    <col min="5865" max="5865" width="12.7265625" style="1356" customWidth="1"/>
    <col min="5866" max="5866" width="5.7265625" style="1356" customWidth="1"/>
    <col min="5867" max="5867" width="7.453125" style="1356" customWidth="1"/>
    <col min="5868" max="5868" width="7.26953125" style="1356" customWidth="1"/>
    <col min="5869" max="5869" width="6.7265625" style="1356" customWidth="1"/>
    <col min="5870" max="5870" width="6" style="1356" customWidth="1"/>
    <col min="5871" max="5871" width="6.54296875" style="1356" customWidth="1"/>
    <col min="5872" max="5872" width="5" style="1356" customWidth="1"/>
    <col min="5873" max="5873" width="6" style="1356" customWidth="1"/>
    <col min="5874" max="5874" width="6.54296875" style="1356" customWidth="1"/>
    <col min="5875" max="5875" width="5" style="1356" customWidth="1"/>
    <col min="5876" max="5876" width="6.7265625" style="1356" customWidth="1"/>
    <col min="5877" max="6117" width="9.1796875" style="1356"/>
    <col min="6118" max="6118" width="3.26953125" style="1356" customWidth="1"/>
    <col min="6119" max="6119" width="36" style="1356" customWidth="1"/>
    <col min="6120" max="6120" width="8.26953125" style="1356" customWidth="1"/>
    <col min="6121" max="6121" width="12.7265625" style="1356" customWidth="1"/>
    <col min="6122" max="6122" width="5.7265625" style="1356" customWidth="1"/>
    <col min="6123" max="6123" width="7.453125" style="1356" customWidth="1"/>
    <col min="6124" max="6124" width="7.26953125" style="1356" customWidth="1"/>
    <col min="6125" max="6125" width="6.7265625" style="1356" customWidth="1"/>
    <col min="6126" max="6126" width="6" style="1356" customWidth="1"/>
    <col min="6127" max="6127" width="6.54296875" style="1356" customWidth="1"/>
    <col min="6128" max="6128" width="5" style="1356" customWidth="1"/>
    <col min="6129" max="6129" width="6" style="1356" customWidth="1"/>
    <col min="6130" max="6130" width="6.54296875" style="1356" customWidth="1"/>
    <col min="6131" max="6131" width="5" style="1356" customWidth="1"/>
    <col min="6132" max="6132" width="6.7265625" style="1356" customWidth="1"/>
    <col min="6133" max="6373" width="9.1796875" style="1356"/>
    <col min="6374" max="6374" width="3.26953125" style="1356" customWidth="1"/>
    <col min="6375" max="6375" width="36" style="1356" customWidth="1"/>
    <col min="6376" max="6376" width="8.26953125" style="1356" customWidth="1"/>
    <col min="6377" max="6377" width="12.7265625" style="1356" customWidth="1"/>
    <col min="6378" max="6378" width="5.7265625" style="1356" customWidth="1"/>
    <col min="6379" max="6379" width="7.453125" style="1356" customWidth="1"/>
    <col min="6380" max="6380" width="7.26953125" style="1356" customWidth="1"/>
    <col min="6381" max="6381" width="6.7265625" style="1356" customWidth="1"/>
    <col min="6382" max="6382" width="6" style="1356" customWidth="1"/>
    <col min="6383" max="6383" width="6.54296875" style="1356" customWidth="1"/>
    <col min="6384" max="6384" width="5" style="1356" customWidth="1"/>
    <col min="6385" max="6385" width="6" style="1356" customWidth="1"/>
    <col min="6386" max="6386" width="6.54296875" style="1356" customWidth="1"/>
    <col min="6387" max="6387" width="5" style="1356" customWidth="1"/>
    <col min="6388" max="6388" width="6.7265625" style="1356" customWidth="1"/>
    <col min="6389" max="6629" width="9.1796875" style="1356"/>
    <col min="6630" max="6630" width="3.26953125" style="1356" customWidth="1"/>
    <col min="6631" max="6631" width="36" style="1356" customWidth="1"/>
    <col min="6632" max="6632" width="8.26953125" style="1356" customWidth="1"/>
    <col min="6633" max="6633" width="12.7265625" style="1356" customWidth="1"/>
    <col min="6634" max="6634" width="5.7265625" style="1356" customWidth="1"/>
    <col min="6635" max="6635" width="7.453125" style="1356" customWidth="1"/>
    <col min="6636" max="6636" width="7.26953125" style="1356" customWidth="1"/>
    <col min="6637" max="6637" width="6.7265625" style="1356" customWidth="1"/>
    <col min="6638" max="6638" width="6" style="1356" customWidth="1"/>
    <col min="6639" max="6639" width="6.54296875" style="1356" customWidth="1"/>
    <col min="6640" max="6640" width="5" style="1356" customWidth="1"/>
    <col min="6641" max="6641" width="6" style="1356" customWidth="1"/>
    <col min="6642" max="6642" width="6.54296875" style="1356" customWidth="1"/>
    <col min="6643" max="6643" width="5" style="1356" customWidth="1"/>
    <col min="6644" max="6644" width="6.7265625" style="1356" customWidth="1"/>
    <col min="6645" max="6885" width="9.1796875" style="1356"/>
    <col min="6886" max="6886" width="3.26953125" style="1356" customWidth="1"/>
    <col min="6887" max="6887" width="36" style="1356" customWidth="1"/>
    <col min="6888" max="6888" width="8.26953125" style="1356" customWidth="1"/>
    <col min="6889" max="6889" width="12.7265625" style="1356" customWidth="1"/>
    <col min="6890" max="6890" width="5.7265625" style="1356" customWidth="1"/>
    <col min="6891" max="6891" width="7.453125" style="1356" customWidth="1"/>
    <col min="6892" max="6892" width="7.26953125" style="1356" customWidth="1"/>
    <col min="6893" max="6893" width="6.7265625" style="1356" customWidth="1"/>
    <col min="6894" max="6894" width="6" style="1356" customWidth="1"/>
    <col min="6895" max="6895" width="6.54296875" style="1356" customWidth="1"/>
    <col min="6896" max="6896" width="5" style="1356" customWidth="1"/>
    <col min="6897" max="6897" width="6" style="1356" customWidth="1"/>
    <col min="6898" max="6898" width="6.54296875" style="1356" customWidth="1"/>
    <col min="6899" max="6899" width="5" style="1356" customWidth="1"/>
    <col min="6900" max="6900" width="6.7265625" style="1356" customWidth="1"/>
    <col min="6901" max="7141" width="9.1796875" style="1356"/>
    <col min="7142" max="7142" width="3.26953125" style="1356" customWidth="1"/>
    <col min="7143" max="7143" width="36" style="1356" customWidth="1"/>
    <col min="7144" max="7144" width="8.26953125" style="1356" customWidth="1"/>
    <col min="7145" max="7145" width="12.7265625" style="1356" customWidth="1"/>
    <col min="7146" max="7146" width="5.7265625" style="1356" customWidth="1"/>
    <col min="7147" max="7147" width="7.453125" style="1356" customWidth="1"/>
    <col min="7148" max="7148" width="7.26953125" style="1356" customWidth="1"/>
    <col min="7149" max="7149" width="6.7265625" style="1356" customWidth="1"/>
    <col min="7150" max="7150" width="6" style="1356" customWidth="1"/>
    <col min="7151" max="7151" width="6.54296875" style="1356" customWidth="1"/>
    <col min="7152" max="7152" width="5" style="1356" customWidth="1"/>
    <col min="7153" max="7153" width="6" style="1356" customWidth="1"/>
    <col min="7154" max="7154" width="6.54296875" style="1356" customWidth="1"/>
    <col min="7155" max="7155" width="5" style="1356" customWidth="1"/>
    <col min="7156" max="7156" width="6.7265625" style="1356" customWidth="1"/>
    <col min="7157" max="7397" width="9.1796875" style="1356"/>
    <col min="7398" max="7398" width="3.26953125" style="1356" customWidth="1"/>
    <col min="7399" max="7399" width="36" style="1356" customWidth="1"/>
    <col min="7400" max="7400" width="8.26953125" style="1356" customWidth="1"/>
    <col min="7401" max="7401" width="12.7265625" style="1356" customWidth="1"/>
    <col min="7402" max="7402" width="5.7265625" style="1356" customWidth="1"/>
    <col min="7403" max="7403" width="7.453125" style="1356" customWidth="1"/>
    <col min="7404" max="7404" width="7.26953125" style="1356" customWidth="1"/>
    <col min="7405" max="7405" width="6.7265625" style="1356" customWidth="1"/>
    <col min="7406" max="7406" width="6" style="1356" customWidth="1"/>
    <col min="7407" max="7407" width="6.54296875" style="1356" customWidth="1"/>
    <col min="7408" max="7408" width="5" style="1356" customWidth="1"/>
    <col min="7409" max="7409" width="6" style="1356" customWidth="1"/>
    <col min="7410" max="7410" width="6.54296875" style="1356" customWidth="1"/>
    <col min="7411" max="7411" width="5" style="1356" customWidth="1"/>
    <col min="7412" max="7412" width="6.7265625" style="1356" customWidth="1"/>
    <col min="7413" max="7653" width="9.1796875" style="1356"/>
    <col min="7654" max="7654" width="3.26953125" style="1356" customWidth="1"/>
    <col min="7655" max="7655" width="36" style="1356" customWidth="1"/>
    <col min="7656" max="7656" width="8.26953125" style="1356" customWidth="1"/>
    <col min="7657" max="7657" width="12.7265625" style="1356" customWidth="1"/>
    <col min="7658" max="7658" width="5.7265625" style="1356" customWidth="1"/>
    <col min="7659" max="7659" width="7.453125" style="1356" customWidth="1"/>
    <col min="7660" max="7660" width="7.26953125" style="1356" customWidth="1"/>
    <col min="7661" max="7661" width="6.7265625" style="1356" customWidth="1"/>
    <col min="7662" max="7662" width="6" style="1356" customWidth="1"/>
    <col min="7663" max="7663" width="6.54296875" style="1356" customWidth="1"/>
    <col min="7664" max="7664" width="5" style="1356" customWidth="1"/>
    <col min="7665" max="7665" width="6" style="1356" customWidth="1"/>
    <col min="7666" max="7666" width="6.54296875" style="1356" customWidth="1"/>
    <col min="7667" max="7667" width="5" style="1356" customWidth="1"/>
    <col min="7668" max="7668" width="6.7265625" style="1356" customWidth="1"/>
    <col min="7669" max="7909" width="9.1796875" style="1356"/>
    <col min="7910" max="7910" width="3.26953125" style="1356" customWidth="1"/>
    <col min="7911" max="7911" width="36" style="1356" customWidth="1"/>
    <col min="7912" max="7912" width="8.26953125" style="1356" customWidth="1"/>
    <col min="7913" max="7913" width="12.7265625" style="1356" customWidth="1"/>
    <col min="7914" max="7914" width="5.7265625" style="1356" customWidth="1"/>
    <col min="7915" max="7915" width="7.453125" style="1356" customWidth="1"/>
    <col min="7916" max="7916" width="7.26953125" style="1356" customWidth="1"/>
    <col min="7917" max="7917" width="6.7265625" style="1356" customWidth="1"/>
    <col min="7918" max="7918" width="6" style="1356" customWidth="1"/>
    <col min="7919" max="7919" width="6.54296875" style="1356" customWidth="1"/>
    <col min="7920" max="7920" width="5" style="1356" customWidth="1"/>
    <col min="7921" max="7921" width="6" style="1356" customWidth="1"/>
    <col min="7922" max="7922" width="6.54296875" style="1356" customWidth="1"/>
    <col min="7923" max="7923" width="5" style="1356" customWidth="1"/>
    <col min="7924" max="7924" width="6.7265625" style="1356" customWidth="1"/>
    <col min="7925" max="8165" width="9.1796875" style="1356"/>
    <col min="8166" max="8166" width="3.26953125" style="1356" customWidth="1"/>
    <col min="8167" max="8167" width="36" style="1356" customWidth="1"/>
    <col min="8168" max="8168" width="8.26953125" style="1356" customWidth="1"/>
    <col min="8169" max="8169" width="12.7265625" style="1356" customWidth="1"/>
    <col min="8170" max="8170" width="5.7265625" style="1356" customWidth="1"/>
    <col min="8171" max="8171" width="7.453125" style="1356" customWidth="1"/>
    <col min="8172" max="8172" width="7.26953125" style="1356" customWidth="1"/>
    <col min="8173" max="8173" width="6.7265625" style="1356" customWidth="1"/>
    <col min="8174" max="8174" width="6" style="1356" customWidth="1"/>
    <col min="8175" max="8175" width="6.54296875" style="1356" customWidth="1"/>
    <col min="8176" max="8176" width="5" style="1356" customWidth="1"/>
    <col min="8177" max="8177" width="6" style="1356" customWidth="1"/>
    <col min="8178" max="8178" width="6.54296875" style="1356" customWidth="1"/>
    <col min="8179" max="8179" width="5" style="1356" customWidth="1"/>
    <col min="8180" max="8180" width="6.7265625" style="1356" customWidth="1"/>
    <col min="8181" max="8421" width="9.1796875" style="1356"/>
    <col min="8422" max="8422" width="3.26953125" style="1356" customWidth="1"/>
    <col min="8423" max="8423" width="36" style="1356" customWidth="1"/>
    <col min="8424" max="8424" width="8.26953125" style="1356" customWidth="1"/>
    <col min="8425" max="8425" width="12.7265625" style="1356" customWidth="1"/>
    <col min="8426" max="8426" width="5.7265625" style="1356" customWidth="1"/>
    <col min="8427" max="8427" width="7.453125" style="1356" customWidth="1"/>
    <col min="8428" max="8428" width="7.26953125" style="1356" customWidth="1"/>
    <col min="8429" max="8429" width="6.7265625" style="1356" customWidth="1"/>
    <col min="8430" max="8430" width="6" style="1356" customWidth="1"/>
    <col min="8431" max="8431" width="6.54296875" style="1356" customWidth="1"/>
    <col min="8432" max="8432" width="5" style="1356" customWidth="1"/>
    <col min="8433" max="8433" width="6" style="1356" customWidth="1"/>
    <col min="8434" max="8434" width="6.54296875" style="1356" customWidth="1"/>
    <col min="8435" max="8435" width="5" style="1356" customWidth="1"/>
    <col min="8436" max="8436" width="6.7265625" style="1356" customWidth="1"/>
    <col min="8437" max="8677" width="9.1796875" style="1356"/>
    <col min="8678" max="8678" width="3.26953125" style="1356" customWidth="1"/>
    <col min="8679" max="8679" width="36" style="1356" customWidth="1"/>
    <col min="8680" max="8680" width="8.26953125" style="1356" customWidth="1"/>
    <col min="8681" max="8681" width="12.7265625" style="1356" customWidth="1"/>
    <col min="8682" max="8682" width="5.7265625" style="1356" customWidth="1"/>
    <col min="8683" max="8683" width="7.453125" style="1356" customWidth="1"/>
    <col min="8684" max="8684" width="7.26953125" style="1356" customWidth="1"/>
    <col min="8685" max="8685" width="6.7265625" style="1356" customWidth="1"/>
    <col min="8686" max="8686" width="6" style="1356" customWidth="1"/>
    <col min="8687" max="8687" width="6.54296875" style="1356" customWidth="1"/>
    <col min="8688" max="8688" width="5" style="1356" customWidth="1"/>
    <col min="8689" max="8689" width="6" style="1356" customWidth="1"/>
    <col min="8690" max="8690" width="6.54296875" style="1356" customWidth="1"/>
    <col min="8691" max="8691" width="5" style="1356" customWidth="1"/>
    <col min="8692" max="8692" width="6.7265625" style="1356" customWidth="1"/>
    <col min="8693" max="8933" width="9.1796875" style="1356"/>
    <col min="8934" max="8934" width="3.26953125" style="1356" customWidth="1"/>
    <col min="8935" max="8935" width="36" style="1356" customWidth="1"/>
    <col min="8936" max="8936" width="8.26953125" style="1356" customWidth="1"/>
    <col min="8937" max="8937" width="12.7265625" style="1356" customWidth="1"/>
    <col min="8938" max="8938" width="5.7265625" style="1356" customWidth="1"/>
    <col min="8939" max="8939" width="7.453125" style="1356" customWidth="1"/>
    <col min="8940" max="8940" width="7.26953125" style="1356" customWidth="1"/>
    <col min="8941" max="8941" width="6.7265625" style="1356" customWidth="1"/>
    <col min="8942" max="8942" width="6" style="1356" customWidth="1"/>
    <col min="8943" max="8943" width="6.54296875" style="1356" customWidth="1"/>
    <col min="8944" max="8944" width="5" style="1356" customWidth="1"/>
    <col min="8945" max="8945" width="6" style="1356" customWidth="1"/>
    <col min="8946" max="8946" width="6.54296875" style="1356" customWidth="1"/>
    <col min="8947" max="8947" width="5" style="1356" customWidth="1"/>
    <col min="8948" max="8948" width="6.7265625" style="1356" customWidth="1"/>
    <col min="8949" max="9189" width="9.1796875" style="1356"/>
    <col min="9190" max="9190" width="3.26953125" style="1356" customWidth="1"/>
    <col min="9191" max="9191" width="36" style="1356" customWidth="1"/>
    <col min="9192" max="9192" width="8.26953125" style="1356" customWidth="1"/>
    <col min="9193" max="9193" width="12.7265625" style="1356" customWidth="1"/>
    <col min="9194" max="9194" width="5.7265625" style="1356" customWidth="1"/>
    <col min="9195" max="9195" width="7.453125" style="1356" customWidth="1"/>
    <col min="9196" max="9196" width="7.26953125" style="1356" customWidth="1"/>
    <col min="9197" max="9197" width="6.7265625" style="1356" customWidth="1"/>
    <col min="9198" max="9198" width="6" style="1356" customWidth="1"/>
    <col min="9199" max="9199" width="6.54296875" style="1356" customWidth="1"/>
    <col min="9200" max="9200" width="5" style="1356" customWidth="1"/>
    <col min="9201" max="9201" width="6" style="1356" customWidth="1"/>
    <col min="9202" max="9202" width="6.54296875" style="1356" customWidth="1"/>
    <col min="9203" max="9203" width="5" style="1356" customWidth="1"/>
    <col min="9204" max="9204" width="6.7265625" style="1356" customWidth="1"/>
    <col min="9205" max="9445" width="9.1796875" style="1356"/>
    <col min="9446" max="9446" width="3.26953125" style="1356" customWidth="1"/>
    <col min="9447" max="9447" width="36" style="1356" customWidth="1"/>
    <col min="9448" max="9448" width="8.26953125" style="1356" customWidth="1"/>
    <col min="9449" max="9449" width="12.7265625" style="1356" customWidth="1"/>
    <col min="9450" max="9450" width="5.7265625" style="1356" customWidth="1"/>
    <col min="9451" max="9451" width="7.453125" style="1356" customWidth="1"/>
    <col min="9452" max="9452" width="7.26953125" style="1356" customWidth="1"/>
    <col min="9453" max="9453" width="6.7265625" style="1356" customWidth="1"/>
    <col min="9454" max="9454" width="6" style="1356" customWidth="1"/>
    <col min="9455" max="9455" width="6.54296875" style="1356" customWidth="1"/>
    <col min="9456" max="9456" width="5" style="1356" customWidth="1"/>
    <col min="9457" max="9457" width="6" style="1356" customWidth="1"/>
    <col min="9458" max="9458" width="6.54296875" style="1356" customWidth="1"/>
    <col min="9459" max="9459" width="5" style="1356" customWidth="1"/>
    <col min="9460" max="9460" width="6.7265625" style="1356" customWidth="1"/>
    <col min="9461" max="9701" width="9.1796875" style="1356"/>
    <col min="9702" max="9702" width="3.26953125" style="1356" customWidth="1"/>
    <col min="9703" max="9703" width="36" style="1356" customWidth="1"/>
    <col min="9704" max="9704" width="8.26953125" style="1356" customWidth="1"/>
    <col min="9705" max="9705" width="12.7265625" style="1356" customWidth="1"/>
    <col min="9706" max="9706" width="5.7265625" style="1356" customWidth="1"/>
    <col min="9707" max="9707" width="7.453125" style="1356" customWidth="1"/>
    <col min="9708" max="9708" width="7.26953125" style="1356" customWidth="1"/>
    <col min="9709" max="9709" width="6.7265625" style="1356" customWidth="1"/>
    <col min="9710" max="9710" width="6" style="1356" customWidth="1"/>
    <col min="9711" max="9711" width="6.54296875" style="1356" customWidth="1"/>
    <col min="9712" max="9712" width="5" style="1356" customWidth="1"/>
    <col min="9713" max="9713" width="6" style="1356" customWidth="1"/>
    <col min="9714" max="9714" width="6.54296875" style="1356" customWidth="1"/>
    <col min="9715" max="9715" width="5" style="1356" customWidth="1"/>
    <col min="9716" max="9716" width="6.7265625" style="1356" customWidth="1"/>
    <col min="9717" max="9957" width="9.1796875" style="1356"/>
    <col min="9958" max="9958" width="3.26953125" style="1356" customWidth="1"/>
    <col min="9959" max="9959" width="36" style="1356" customWidth="1"/>
    <col min="9960" max="9960" width="8.26953125" style="1356" customWidth="1"/>
    <col min="9961" max="9961" width="12.7265625" style="1356" customWidth="1"/>
    <col min="9962" max="9962" width="5.7265625" style="1356" customWidth="1"/>
    <col min="9963" max="9963" width="7.453125" style="1356" customWidth="1"/>
    <col min="9964" max="9964" width="7.26953125" style="1356" customWidth="1"/>
    <col min="9965" max="9965" width="6.7265625" style="1356" customWidth="1"/>
    <col min="9966" max="9966" width="6" style="1356" customWidth="1"/>
    <col min="9967" max="9967" width="6.54296875" style="1356" customWidth="1"/>
    <col min="9968" max="9968" width="5" style="1356" customWidth="1"/>
    <col min="9969" max="9969" width="6" style="1356" customWidth="1"/>
    <col min="9970" max="9970" width="6.54296875" style="1356" customWidth="1"/>
    <col min="9971" max="9971" width="5" style="1356" customWidth="1"/>
    <col min="9972" max="9972" width="6.7265625" style="1356" customWidth="1"/>
    <col min="9973" max="10213" width="9.1796875" style="1356"/>
    <col min="10214" max="10214" width="3.26953125" style="1356" customWidth="1"/>
    <col min="10215" max="10215" width="36" style="1356" customWidth="1"/>
    <col min="10216" max="10216" width="8.26953125" style="1356" customWidth="1"/>
    <col min="10217" max="10217" width="12.7265625" style="1356" customWidth="1"/>
    <col min="10218" max="10218" width="5.7265625" style="1356" customWidth="1"/>
    <col min="10219" max="10219" width="7.453125" style="1356" customWidth="1"/>
    <col min="10220" max="10220" width="7.26953125" style="1356" customWidth="1"/>
    <col min="10221" max="10221" width="6.7265625" style="1356" customWidth="1"/>
    <col min="10222" max="10222" width="6" style="1356" customWidth="1"/>
    <col min="10223" max="10223" width="6.54296875" style="1356" customWidth="1"/>
    <col min="10224" max="10224" width="5" style="1356" customWidth="1"/>
    <col min="10225" max="10225" width="6" style="1356" customWidth="1"/>
    <col min="10226" max="10226" width="6.54296875" style="1356" customWidth="1"/>
    <col min="10227" max="10227" width="5" style="1356" customWidth="1"/>
    <col min="10228" max="10228" width="6.7265625" style="1356" customWidth="1"/>
    <col min="10229" max="10469" width="9.1796875" style="1356"/>
    <col min="10470" max="10470" width="3.26953125" style="1356" customWidth="1"/>
    <col min="10471" max="10471" width="36" style="1356" customWidth="1"/>
    <col min="10472" max="10472" width="8.26953125" style="1356" customWidth="1"/>
    <col min="10473" max="10473" width="12.7265625" style="1356" customWidth="1"/>
    <col min="10474" max="10474" width="5.7265625" style="1356" customWidth="1"/>
    <col min="10475" max="10475" width="7.453125" style="1356" customWidth="1"/>
    <col min="10476" max="10476" width="7.26953125" style="1356" customWidth="1"/>
    <col min="10477" max="10477" width="6.7265625" style="1356" customWidth="1"/>
    <col min="10478" max="10478" width="6" style="1356" customWidth="1"/>
    <col min="10479" max="10479" width="6.54296875" style="1356" customWidth="1"/>
    <col min="10480" max="10480" width="5" style="1356" customWidth="1"/>
    <col min="10481" max="10481" width="6" style="1356" customWidth="1"/>
    <col min="10482" max="10482" width="6.54296875" style="1356" customWidth="1"/>
    <col min="10483" max="10483" width="5" style="1356" customWidth="1"/>
    <col min="10484" max="10484" width="6.7265625" style="1356" customWidth="1"/>
    <col min="10485" max="10725" width="9.1796875" style="1356"/>
    <col min="10726" max="10726" width="3.26953125" style="1356" customWidth="1"/>
    <col min="10727" max="10727" width="36" style="1356" customWidth="1"/>
    <col min="10728" max="10728" width="8.26953125" style="1356" customWidth="1"/>
    <col min="10729" max="10729" width="12.7265625" style="1356" customWidth="1"/>
    <col min="10730" max="10730" width="5.7265625" style="1356" customWidth="1"/>
    <col min="10731" max="10731" width="7.453125" style="1356" customWidth="1"/>
    <col min="10732" max="10732" width="7.26953125" style="1356" customWidth="1"/>
    <col min="10733" max="10733" width="6.7265625" style="1356" customWidth="1"/>
    <col min="10734" max="10734" width="6" style="1356" customWidth="1"/>
    <col min="10735" max="10735" width="6.54296875" style="1356" customWidth="1"/>
    <col min="10736" max="10736" width="5" style="1356" customWidth="1"/>
    <col min="10737" max="10737" width="6" style="1356" customWidth="1"/>
    <col min="10738" max="10738" width="6.54296875" style="1356" customWidth="1"/>
    <col min="10739" max="10739" width="5" style="1356" customWidth="1"/>
    <col min="10740" max="10740" width="6.7265625" style="1356" customWidth="1"/>
    <col min="10741" max="10981" width="9.1796875" style="1356"/>
    <col min="10982" max="10982" width="3.26953125" style="1356" customWidth="1"/>
    <col min="10983" max="10983" width="36" style="1356" customWidth="1"/>
    <col min="10984" max="10984" width="8.26953125" style="1356" customWidth="1"/>
    <col min="10985" max="10985" width="12.7265625" style="1356" customWidth="1"/>
    <col min="10986" max="10986" width="5.7265625" style="1356" customWidth="1"/>
    <col min="10987" max="10987" width="7.453125" style="1356" customWidth="1"/>
    <col min="10988" max="10988" width="7.26953125" style="1356" customWidth="1"/>
    <col min="10989" max="10989" width="6.7265625" style="1356" customWidth="1"/>
    <col min="10990" max="10990" width="6" style="1356" customWidth="1"/>
    <col min="10991" max="10991" width="6.54296875" style="1356" customWidth="1"/>
    <col min="10992" max="10992" width="5" style="1356" customWidth="1"/>
    <col min="10993" max="10993" width="6" style="1356" customWidth="1"/>
    <col min="10994" max="10994" width="6.54296875" style="1356" customWidth="1"/>
    <col min="10995" max="10995" width="5" style="1356" customWidth="1"/>
    <col min="10996" max="10996" width="6.7265625" style="1356" customWidth="1"/>
    <col min="10997" max="11237" width="9.1796875" style="1356"/>
    <col min="11238" max="11238" width="3.26953125" style="1356" customWidth="1"/>
    <col min="11239" max="11239" width="36" style="1356" customWidth="1"/>
    <col min="11240" max="11240" width="8.26953125" style="1356" customWidth="1"/>
    <col min="11241" max="11241" width="12.7265625" style="1356" customWidth="1"/>
    <col min="11242" max="11242" width="5.7265625" style="1356" customWidth="1"/>
    <col min="11243" max="11243" width="7.453125" style="1356" customWidth="1"/>
    <col min="11244" max="11244" width="7.26953125" style="1356" customWidth="1"/>
    <col min="11245" max="11245" width="6.7265625" style="1356" customWidth="1"/>
    <col min="11246" max="11246" width="6" style="1356" customWidth="1"/>
    <col min="11247" max="11247" width="6.54296875" style="1356" customWidth="1"/>
    <col min="11248" max="11248" width="5" style="1356" customWidth="1"/>
    <col min="11249" max="11249" width="6" style="1356" customWidth="1"/>
    <col min="11250" max="11250" width="6.54296875" style="1356" customWidth="1"/>
    <col min="11251" max="11251" width="5" style="1356" customWidth="1"/>
    <col min="11252" max="11252" width="6.7265625" style="1356" customWidth="1"/>
    <col min="11253" max="11493" width="9.1796875" style="1356"/>
    <col min="11494" max="11494" width="3.26953125" style="1356" customWidth="1"/>
    <col min="11495" max="11495" width="36" style="1356" customWidth="1"/>
    <col min="11496" max="11496" width="8.26953125" style="1356" customWidth="1"/>
    <col min="11497" max="11497" width="12.7265625" style="1356" customWidth="1"/>
    <col min="11498" max="11498" width="5.7265625" style="1356" customWidth="1"/>
    <col min="11499" max="11499" width="7.453125" style="1356" customWidth="1"/>
    <col min="11500" max="11500" width="7.26953125" style="1356" customWidth="1"/>
    <col min="11501" max="11501" width="6.7265625" style="1356" customWidth="1"/>
    <col min="11502" max="11502" width="6" style="1356" customWidth="1"/>
    <col min="11503" max="11503" width="6.54296875" style="1356" customWidth="1"/>
    <col min="11504" max="11504" width="5" style="1356" customWidth="1"/>
    <col min="11505" max="11505" width="6" style="1356" customWidth="1"/>
    <col min="11506" max="11506" width="6.54296875" style="1356" customWidth="1"/>
    <col min="11507" max="11507" width="5" style="1356" customWidth="1"/>
    <col min="11508" max="11508" width="6.7265625" style="1356" customWidth="1"/>
    <col min="11509" max="11749" width="9.1796875" style="1356"/>
    <col min="11750" max="11750" width="3.26953125" style="1356" customWidth="1"/>
    <col min="11751" max="11751" width="36" style="1356" customWidth="1"/>
    <col min="11752" max="11752" width="8.26953125" style="1356" customWidth="1"/>
    <col min="11753" max="11753" width="12.7265625" style="1356" customWidth="1"/>
    <col min="11754" max="11754" width="5.7265625" style="1356" customWidth="1"/>
    <col min="11755" max="11755" width="7.453125" style="1356" customWidth="1"/>
    <col min="11756" max="11756" width="7.26953125" style="1356" customWidth="1"/>
    <col min="11757" max="11757" width="6.7265625" style="1356" customWidth="1"/>
    <col min="11758" max="11758" width="6" style="1356" customWidth="1"/>
    <col min="11759" max="11759" width="6.54296875" style="1356" customWidth="1"/>
    <col min="11760" max="11760" width="5" style="1356" customWidth="1"/>
    <col min="11761" max="11761" width="6" style="1356" customWidth="1"/>
    <col min="11762" max="11762" width="6.54296875" style="1356" customWidth="1"/>
    <col min="11763" max="11763" width="5" style="1356" customWidth="1"/>
    <col min="11764" max="11764" width="6.7265625" style="1356" customWidth="1"/>
    <col min="11765" max="12005" width="9.1796875" style="1356"/>
    <col min="12006" max="12006" width="3.26953125" style="1356" customWidth="1"/>
    <col min="12007" max="12007" width="36" style="1356" customWidth="1"/>
    <col min="12008" max="12008" width="8.26953125" style="1356" customWidth="1"/>
    <col min="12009" max="12009" width="12.7265625" style="1356" customWidth="1"/>
    <col min="12010" max="12010" width="5.7265625" style="1356" customWidth="1"/>
    <col min="12011" max="12011" width="7.453125" style="1356" customWidth="1"/>
    <col min="12012" max="12012" width="7.26953125" style="1356" customWidth="1"/>
    <col min="12013" max="12013" width="6.7265625" style="1356" customWidth="1"/>
    <col min="12014" max="12014" width="6" style="1356" customWidth="1"/>
    <col min="12015" max="12015" width="6.54296875" style="1356" customWidth="1"/>
    <col min="12016" max="12016" width="5" style="1356" customWidth="1"/>
    <col min="12017" max="12017" width="6" style="1356" customWidth="1"/>
    <col min="12018" max="12018" width="6.54296875" style="1356" customWidth="1"/>
    <col min="12019" max="12019" width="5" style="1356" customWidth="1"/>
    <col min="12020" max="12020" width="6.7265625" style="1356" customWidth="1"/>
    <col min="12021" max="12261" width="9.1796875" style="1356"/>
    <col min="12262" max="12262" width="3.26953125" style="1356" customWidth="1"/>
    <col min="12263" max="12263" width="36" style="1356" customWidth="1"/>
    <col min="12264" max="12264" width="8.26953125" style="1356" customWidth="1"/>
    <col min="12265" max="12265" width="12.7265625" style="1356" customWidth="1"/>
    <col min="12266" max="12266" width="5.7265625" style="1356" customWidth="1"/>
    <col min="12267" max="12267" width="7.453125" style="1356" customWidth="1"/>
    <col min="12268" max="12268" width="7.26953125" style="1356" customWidth="1"/>
    <col min="12269" max="12269" width="6.7265625" style="1356" customWidth="1"/>
    <col min="12270" max="12270" width="6" style="1356" customWidth="1"/>
    <col min="12271" max="12271" width="6.54296875" style="1356" customWidth="1"/>
    <col min="12272" max="12272" width="5" style="1356" customWidth="1"/>
    <col min="12273" max="12273" width="6" style="1356" customWidth="1"/>
    <col min="12274" max="12274" width="6.54296875" style="1356" customWidth="1"/>
    <col min="12275" max="12275" width="5" style="1356" customWidth="1"/>
    <col min="12276" max="12276" width="6.7265625" style="1356" customWidth="1"/>
    <col min="12277" max="12517" width="9.1796875" style="1356"/>
    <col min="12518" max="12518" width="3.26953125" style="1356" customWidth="1"/>
    <col min="12519" max="12519" width="36" style="1356" customWidth="1"/>
    <col min="12520" max="12520" width="8.26953125" style="1356" customWidth="1"/>
    <col min="12521" max="12521" width="12.7265625" style="1356" customWidth="1"/>
    <col min="12522" max="12522" width="5.7265625" style="1356" customWidth="1"/>
    <col min="12523" max="12523" width="7.453125" style="1356" customWidth="1"/>
    <col min="12524" max="12524" width="7.26953125" style="1356" customWidth="1"/>
    <col min="12525" max="12525" width="6.7265625" style="1356" customWidth="1"/>
    <col min="12526" max="12526" width="6" style="1356" customWidth="1"/>
    <col min="12527" max="12527" width="6.54296875" style="1356" customWidth="1"/>
    <col min="12528" max="12528" width="5" style="1356" customWidth="1"/>
    <col min="12529" max="12529" width="6" style="1356" customWidth="1"/>
    <col min="12530" max="12530" width="6.54296875" style="1356" customWidth="1"/>
    <col min="12531" max="12531" width="5" style="1356" customWidth="1"/>
    <col min="12532" max="12532" width="6.7265625" style="1356" customWidth="1"/>
    <col min="12533" max="12773" width="9.1796875" style="1356"/>
    <col min="12774" max="12774" width="3.26953125" style="1356" customWidth="1"/>
    <col min="12775" max="12775" width="36" style="1356" customWidth="1"/>
    <col min="12776" max="12776" width="8.26953125" style="1356" customWidth="1"/>
    <col min="12777" max="12777" width="12.7265625" style="1356" customWidth="1"/>
    <col min="12778" max="12778" width="5.7265625" style="1356" customWidth="1"/>
    <col min="12779" max="12779" width="7.453125" style="1356" customWidth="1"/>
    <col min="12780" max="12780" width="7.26953125" style="1356" customWidth="1"/>
    <col min="12781" max="12781" width="6.7265625" style="1356" customWidth="1"/>
    <col min="12782" max="12782" width="6" style="1356" customWidth="1"/>
    <col min="12783" max="12783" width="6.54296875" style="1356" customWidth="1"/>
    <col min="12784" max="12784" width="5" style="1356" customWidth="1"/>
    <col min="12785" max="12785" width="6" style="1356" customWidth="1"/>
    <col min="12786" max="12786" width="6.54296875" style="1356" customWidth="1"/>
    <col min="12787" max="12787" width="5" style="1356" customWidth="1"/>
    <col min="12788" max="12788" width="6.7265625" style="1356" customWidth="1"/>
    <col min="12789" max="13029" width="9.1796875" style="1356"/>
    <col min="13030" max="13030" width="3.26953125" style="1356" customWidth="1"/>
    <col min="13031" max="13031" width="36" style="1356" customWidth="1"/>
    <col min="13032" max="13032" width="8.26953125" style="1356" customWidth="1"/>
    <col min="13033" max="13033" width="12.7265625" style="1356" customWidth="1"/>
    <col min="13034" max="13034" width="5.7265625" style="1356" customWidth="1"/>
    <col min="13035" max="13035" width="7.453125" style="1356" customWidth="1"/>
    <col min="13036" max="13036" width="7.26953125" style="1356" customWidth="1"/>
    <col min="13037" max="13037" width="6.7265625" style="1356" customWidth="1"/>
    <col min="13038" max="13038" width="6" style="1356" customWidth="1"/>
    <col min="13039" max="13039" width="6.54296875" style="1356" customWidth="1"/>
    <col min="13040" max="13040" width="5" style="1356" customWidth="1"/>
    <col min="13041" max="13041" width="6" style="1356" customWidth="1"/>
    <col min="13042" max="13042" width="6.54296875" style="1356" customWidth="1"/>
    <col min="13043" max="13043" width="5" style="1356" customWidth="1"/>
    <col min="13044" max="13044" width="6.7265625" style="1356" customWidth="1"/>
    <col min="13045" max="13285" width="9.1796875" style="1356"/>
    <col min="13286" max="13286" width="3.26953125" style="1356" customWidth="1"/>
    <col min="13287" max="13287" width="36" style="1356" customWidth="1"/>
    <col min="13288" max="13288" width="8.26953125" style="1356" customWidth="1"/>
    <col min="13289" max="13289" width="12.7265625" style="1356" customWidth="1"/>
    <col min="13290" max="13290" width="5.7265625" style="1356" customWidth="1"/>
    <col min="13291" max="13291" width="7.453125" style="1356" customWidth="1"/>
    <col min="13292" max="13292" width="7.26953125" style="1356" customWidth="1"/>
    <col min="13293" max="13293" width="6.7265625" style="1356" customWidth="1"/>
    <col min="13294" max="13294" width="6" style="1356" customWidth="1"/>
    <col min="13295" max="13295" width="6.54296875" style="1356" customWidth="1"/>
    <col min="13296" max="13296" width="5" style="1356" customWidth="1"/>
    <col min="13297" max="13297" width="6" style="1356" customWidth="1"/>
    <col min="13298" max="13298" width="6.54296875" style="1356" customWidth="1"/>
    <col min="13299" max="13299" width="5" style="1356" customWidth="1"/>
    <col min="13300" max="13300" width="6.7265625" style="1356" customWidth="1"/>
    <col min="13301" max="13541" width="9.1796875" style="1356"/>
    <col min="13542" max="13542" width="3.26953125" style="1356" customWidth="1"/>
    <col min="13543" max="13543" width="36" style="1356" customWidth="1"/>
    <col min="13544" max="13544" width="8.26953125" style="1356" customWidth="1"/>
    <col min="13545" max="13545" width="12.7265625" style="1356" customWidth="1"/>
    <col min="13546" max="13546" width="5.7265625" style="1356" customWidth="1"/>
    <col min="13547" max="13547" width="7.453125" style="1356" customWidth="1"/>
    <col min="13548" max="13548" width="7.26953125" style="1356" customWidth="1"/>
    <col min="13549" max="13549" width="6.7265625" style="1356" customWidth="1"/>
    <col min="13550" max="13550" width="6" style="1356" customWidth="1"/>
    <col min="13551" max="13551" width="6.54296875" style="1356" customWidth="1"/>
    <col min="13552" max="13552" width="5" style="1356" customWidth="1"/>
    <col min="13553" max="13553" width="6" style="1356" customWidth="1"/>
    <col min="13554" max="13554" width="6.54296875" style="1356" customWidth="1"/>
    <col min="13555" max="13555" width="5" style="1356" customWidth="1"/>
    <col min="13556" max="13556" width="6.7265625" style="1356" customWidth="1"/>
    <col min="13557" max="13797" width="9.1796875" style="1356"/>
    <col min="13798" max="13798" width="3.26953125" style="1356" customWidth="1"/>
    <col min="13799" max="13799" width="36" style="1356" customWidth="1"/>
    <col min="13800" max="13800" width="8.26953125" style="1356" customWidth="1"/>
    <col min="13801" max="13801" width="12.7265625" style="1356" customWidth="1"/>
    <col min="13802" max="13802" width="5.7265625" style="1356" customWidth="1"/>
    <col min="13803" max="13803" width="7.453125" style="1356" customWidth="1"/>
    <col min="13804" max="13804" width="7.26953125" style="1356" customWidth="1"/>
    <col min="13805" max="13805" width="6.7265625" style="1356" customWidth="1"/>
    <col min="13806" max="13806" width="6" style="1356" customWidth="1"/>
    <col min="13807" max="13807" width="6.54296875" style="1356" customWidth="1"/>
    <col min="13808" max="13808" width="5" style="1356" customWidth="1"/>
    <col min="13809" max="13809" width="6" style="1356" customWidth="1"/>
    <col min="13810" max="13810" width="6.54296875" style="1356" customWidth="1"/>
    <col min="13811" max="13811" width="5" style="1356" customWidth="1"/>
    <col min="13812" max="13812" width="6.7265625" style="1356" customWidth="1"/>
    <col min="13813" max="14053" width="9.1796875" style="1356"/>
    <col min="14054" max="14054" width="3.26953125" style="1356" customWidth="1"/>
    <col min="14055" max="14055" width="36" style="1356" customWidth="1"/>
    <col min="14056" max="14056" width="8.26953125" style="1356" customWidth="1"/>
    <col min="14057" max="14057" width="12.7265625" style="1356" customWidth="1"/>
    <col min="14058" max="14058" width="5.7265625" style="1356" customWidth="1"/>
    <col min="14059" max="14059" width="7.453125" style="1356" customWidth="1"/>
    <col min="14060" max="14060" width="7.26953125" style="1356" customWidth="1"/>
    <col min="14061" max="14061" width="6.7265625" style="1356" customWidth="1"/>
    <col min="14062" max="14062" width="6" style="1356" customWidth="1"/>
    <col min="14063" max="14063" width="6.54296875" style="1356" customWidth="1"/>
    <col min="14064" max="14064" width="5" style="1356" customWidth="1"/>
    <col min="14065" max="14065" width="6" style="1356" customWidth="1"/>
    <col min="14066" max="14066" width="6.54296875" style="1356" customWidth="1"/>
    <col min="14067" max="14067" width="5" style="1356" customWidth="1"/>
    <col min="14068" max="14068" width="6.7265625" style="1356" customWidth="1"/>
    <col min="14069" max="14309" width="9.1796875" style="1356"/>
    <col min="14310" max="14310" width="3.26953125" style="1356" customWidth="1"/>
    <col min="14311" max="14311" width="36" style="1356" customWidth="1"/>
    <col min="14312" max="14312" width="8.26953125" style="1356" customWidth="1"/>
    <col min="14313" max="14313" width="12.7265625" style="1356" customWidth="1"/>
    <col min="14314" max="14314" width="5.7265625" style="1356" customWidth="1"/>
    <col min="14315" max="14315" width="7.453125" style="1356" customWidth="1"/>
    <col min="14316" max="14316" width="7.26953125" style="1356" customWidth="1"/>
    <col min="14317" max="14317" width="6.7265625" style="1356" customWidth="1"/>
    <col min="14318" max="14318" width="6" style="1356" customWidth="1"/>
    <col min="14319" max="14319" width="6.54296875" style="1356" customWidth="1"/>
    <col min="14320" max="14320" width="5" style="1356" customWidth="1"/>
    <col min="14321" max="14321" width="6" style="1356" customWidth="1"/>
    <col min="14322" max="14322" width="6.54296875" style="1356" customWidth="1"/>
    <col min="14323" max="14323" width="5" style="1356" customWidth="1"/>
    <col min="14324" max="14324" width="6.7265625" style="1356" customWidth="1"/>
    <col min="14325" max="14565" width="9.1796875" style="1356"/>
    <col min="14566" max="14566" width="3.26953125" style="1356" customWidth="1"/>
    <col min="14567" max="14567" width="36" style="1356" customWidth="1"/>
    <col min="14568" max="14568" width="8.26953125" style="1356" customWidth="1"/>
    <col min="14569" max="14569" width="12.7265625" style="1356" customWidth="1"/>
    <col min="14570" max="14570" width="5.7265625" style="1356" customWidth="1"/>
    <col min="14571" max="14571" width="7.453125" style="1356" customWidth="1"/>
    <col min="14572" max="14572" width="7.26953125" style="1356" customWidth="1"/>
    <col min="14573" max="14573" width="6.7265625" style="1356" customWidth="1"/>
    <col min="14574" max="14574" width="6" style="1356" customWidth="1"/>
    <col min="14575" max="14575" width="6.54296875" style="1356" customWidth="1"/>
    <col min="14576" max="14576" width="5" style="1356" customWidth="1"/>
    <col min="14577" max="14577" width="6" style="1356" customWidth="1"/>
    <col min="14578" max="14578" width="6.54296875" style="1356" customWidth="1"/>
    <col min="14579" max="14579" width="5" style="1356" customWidth="1"/>
    <col min="14580" max="14580" width="6.7265625" style="1356" customWidth="1"/>
    <col min="14581" max="14821" width="9.1796875" style="1356"/>
    <col min="14822" max="14822" width="3.26953125" style="1356" customWidth="1"/>
    <col min="14823" max="14823" width="36" style="1356" customWidth="1"/>
    <col min="14824" max="14824" width="8.26953125" style="1356" customWidth="1"/>
    <col min="14825" max="14825" width="12.7265625" style="1356" customWidth="1"/>
    <col min="14826" max="14826" width="5.7265625" style="1356" customWidth="1"/>
    <col min="14827" max="14827" width="7.453125" style="1356" customWidth="1"/>
    <col min="14828" max="14828" width="7.26953125" style="1356" customWidth="1"/>
    <col min="14829" max="14829" width="6.7265625" style="1356" customWidth="1"/>
    <col min="14830" max="14830" width="6" style="1356" customWidth="1"/>
    <col min="14831" max="14831" width="6.54296875" style="1356" customWidth="1"/>
    <col min="14832" max="14832" width="5" style="1356" customWidth="1"/>
    <col min="14833" max="14833" width="6" style="1356" customWidth="1"/>
    <col min="14834" max="14834" width="6.54296875" style="1356" customWidth="1"/>
    <col min="14835" max="14835" width="5" style="1356" customWidth="1"/>
    <col min="14836" max="14836" width="6.7265625" style="1356" customWidth="1"/>
    <col min="14837" max="15077" width="9.1796875" style="1356"/>
    <col min="15078" max="15078" width="3.26953125" style="1356" customWidth="1"/>
    <col min="15079" max="15079" width="36" style="1356" customWidth="1"/>
    <col min="15080" max="15080" width="8.26953125" style="1356" customWidth="1"/>
    <col min="15081" max="15081" width="12.7265625" style="1356" customWidth="1"/>
    <col min="15082" max="15082" width="5.7265625" style="1356" customWidth="1"/>
    <col min="15083" max="15083" width="7.453125" style="1356" customWidth="1"/>
    <col min="15084" max="15084" width="7.26953125" style="1356" customWidth="1"/>
    <col min="15085" max="15085" width="6.7265625" style="1356" customWidth="1"/>
    <col min="15086" max="15086" width="6" style="1356" customWidth="1"/>
    <col min="15087" max="15087" width="6.54296875" style="1356" customWidth="1"/>
    <col min="15088" max="15088" width="5" style="1356" customWidth="1"/>
    <col min="15089" max="15089" width="6" style="1356" customWidth="1"/>
    <col min="15090" max="15090" width="6.54296875" style="1356" customWidth="1"/>
    <col min="15091" max="15091" width="5" style="1356" customWidth="1"/>
    <col min="15092" max="15092" width="6.7265625" style="1356" customWidth="1"/>
    <col min="15093" max="15333" width="9.1796875" style="1356"/>
    <col min="15334" max="15334" width="3.26953125" style="1356" customWidth="1"/>
    <col min="15335" max="15335" width="36" style="1356" customWidth="1"/>
    <col min="15336" max="15336" width="8.26953125" style="1356" customWidth="1"/>
    <col min="15337" max="15337" width="12.7265625" style="1356" customWidth="1"/>
    <col min="15338" max="15338" width="5.7265625" style="1356" customWidth="1"/>
    <col min="15339" max="15339" width="7.453125" style="1356" customWidth="1"/>
    <col min="15340" max="15340" width="7.26953125" style="1356" customWidth="1"/>
    <col min="15341" max="15341" width="6.7265625" style="1356" customWidth="1"/>
    <col min="15342" max="15342" width="6" style="1356" customWidth="1"/>
    <col min="15343" max="15343" width="6.54296875" style="1356" customWidth="1"/>
    <col min="15344" max="15344" width="5" style="1356" customWidth="1"/>
    <col min="15345" max="15345" width="6" style="1356" customWidth="1"/>
    <col min="15346" max="15346" width="6.54296875" style="1356" customWidth="1"/>
    <col min="15347" max="15347" width="5" style="1356" customWidth="1"/>
    <col min="15348" max="15348" width="6.7265625" style="1356" customWidth="1"/>
    <col min="15349" max="15589" width="9.1796875" style="1356"/>
    <col min="15590" max="15590" width="3.26953125" style="1356" customWidth="1"/>
    <col min="15591" max="15591" width="36" style="1356" customWidth="1"/>
    <col min="15592" max="15592" width="8.26953125" style="1356" customWidth="1"/>
    <col min="15593" max="15593" width="12.7265625" style="1356" customWidth="1"/>
    <col min="15594" max="15594" width="5.7265625" style="1356" customWidth="1"/>
    <col min="15595" max="15595" width="7.453125" style="1356" customWidth="1"/>
    <col min="15596" max="15596" width="7.26953125" style="1356" customWidth="1"/>
    <col min="15597" max="15597" width="6.7265625" style="1356" customWidth="1"/>
    <col min="15598" max="15598" width="6" style="1356" customWidth="1"/>
    <col min="15599" max="15599" width="6.54296875" style="1356" customWidth="1"/>
    <col min="15600" max="15600" width="5" style="1356" customWidth="1"/>
    <col min="15601" max="15601" width="6" style="1356" customWidth="1"/>
    <col min="15602" max="15602" width="6.54296875" style="1356" customWidth="1"/>
    <col min="15603" max="15603" width="5" style="1356" customWidth="1"/>
    <col min="15604" max="15604" width="6.7265625" style="1356" customWidth="1"/>
    <col min="15605" max="15845" width="9.1796875" style="1356"/>
    <col min="15846" max="15846" width="3.26953125" style="1356" customWidth="1"/>
    <col min="15847" max="15847" width="36" style="1356" customWidth="1"/>
    <col min="15848" max="15848" width="8.26953125" style="1356" customWidth="1"/>
    <col min="15849" max="15849" width="12.7265625" style="1356" customWidth="1"/>
    <col min="15850" max="15850" width="5.7265625" style="1356" customWidth="1"/>
    <col min="15851" max="15851" width="7.453125" style="1356" customWidth="1"/>
    <col min="15852" max="15852" width="7.26953125" style="1356" customWidth="1"/>
    <col min="15853" max="15853" width="6.7265625" style="1356" customWidth="1"/>
    <col min="15854" max="15854" width="6" style="1356" customWidth="1"/>
    <col min="15855" max="15855" width="6.54296875" style="1356" customWidth="1"/>
    <col min="15856" max="15856" width="5" style="1356" customWidth="1"/>
    <col min="15857" max="15857" width="6" style="1356" customWidth="1"/>
    <col min="15858" max="15858" width="6.54296875" style="1356" customWidth="1"/>
    <col min="15859" max="15859" width="5" style="1356" customWidth="1"/>
    <col min="15860" max="15860" width="6.7265625" style="1356" customWidth="1"/>
    <col min="15861" max="16101" width="9.1796875" style="1356"/>
    <col min="16102" max="16102" width="3.26953125" style="1356" customWidth="1"/>
    <col min="16103" max="16103" width="36" style="1356" customWidth="1"/>
    <col min="16104" max="16104" width="8.26953125" style="1356" customWidth="1"/>
    <col min="16105" max="16105" width="12.7265625" style="1356" customWidth="1"/>
    <col min="16106" max="16106" width="5.7265625" style="1356" customWidth="1"/>
    <col min="16107" max="16107" width="7.453125" style="1356" customWidth="1"/>
    <col min="16108" max="16108" width="7.26953125" style="1356" customWidth="1"/>
    <col min="16109" max="16109" width="6.7265625" style="1356" customWidth="1"/>
    <col min="16110" max="16110" width="6" style="1356" customWidth="1"/>
    <col min="16111" max="16111" width="6.54296875" style="1356" customWidth="1"/>
    <col min="16112" max="16112" width="5" style="1356" customWidth="1"/>
    <col min="16113" max="16113" width="6" style="1356" customWidth="1"/>
    <col min="16114" max="16114" width="6.54296875" style="1356" customWidth="1"/>
    <col min="16115" max="16115" width="5" style="1356" customWidth="1"/>
    <col min="16116" max="16116" width="6.7265625" style="1356" customWidth="1"/>
    <col min="16117" max="16384" width="9.1796875" style="1356"/>
  </cols>
  <sheetData>
    <row r="1" spans="1:19" s="2810" customFormat="1">
      <c r="A1" s="2991" t="s">
        <v>2038</v>
      </c>
      <c r="B1" s="2991"/>
      <c r="D1" s="1916"/>
      <c r="E1" s="2776"/>
      <c r="I1" s="1848"/>
      <c r="J1" s="1848"/>
      <c r="K1" s="1848"/>
      <c r="L1" s="1848"/>
      <c r="M1" s="1848"/>
      <c r="N1" s="1848"/>
      <c r="O1" s="1356"/>
      <c r="P1" s="308"/>
    </row>
    <row r="2" spans="1:19" s="2810" customFormat="1">
      <c r="A2" s="3175"/>
      <c r="B2" s="3175"/>
      <c r="C2" s="3175"/>
      <c r="D2" s="3175"/>
      <c r="E2" s="3175"/>
      <c r="F2" s="3175"/>
      <c r="G2" s="3175"/>
      <c r="H2" s="3175"/>
      <c r="I2" s="3175"/>
      <c r="J2" s="3175"/>
      <c r="K2" s="3175"/>
      <c r="L2" s="3175"/>
      <c r="M2" s="3175"/>
      <c r="N2" s="3175"/>
      <c r="O2" s="3175"/>
      <c r="P2" s="308"/>
    </row>
    <row r="3" spans="1:19" s="2810" customFormat="1">
      <c r="A3" s="304" t="s">
        <v>304</v>
      </c>
      <c r="B3" s="304"/>
      <c r="C3" s="304"/>
      <c r="D3" s="1917"/>
      <c r="E3" s="1384"/>
      <c r="F3" s="304"/>
      <c r="G3" s="304"/>
      <c r="H3" s="304"/>
      <c r="I3" s="1918"/>
      <c r="J3" s="1918"/>
      <c r="K3" s="1918"/>
      <c r="L3" s="1918"/>
      <c r="M3" s="1918"/>
      <c r="N3" s="1918"/>
      <c r="O3" s="1357"/>
      <c r="P3" s="308"/>
    </row>
    <row r="4" spans="1:19" s="2810" customFormat="1">
      <c r="D4" s="1916"/>
      <c r="E4" s="2776"/>
      <c r="I4" s="1848"/>
      <c r="J4" s="1848"/>
      <c r="K4" s="1848"/>
      <c r="L4" s="1848"/>
      <c r="M4" s="1848"/>
      <c r="N4" s="1848"/>
      <c r="O4" s="1356"/>
      <c r="P4" s="308"/>
    </row>
    <row r="5" spans="1:19" s="2810" customFormat="1" ht="6.75" customHeight="1">
      <c r="A5" s="3110" t="s">
        <v>2033</v>
      </c>
      <c r="B5" s="3110" t="s">
        <v>2040</v>
      </c>
      <c r="C5" s="1919"/>
      <c r="D5" s="1920"/>
      <c r="E5" s="1921"/>
      <c r="F5" s="1921"/>
      <c r="G5" s="1921"/>
      <c r="H5" s="3176" t="s">
        <v>547</v>
      </c>
      <c r="I5" s="3176"/>
      <c r="J5" s="3176"/>
      <c r="K5" s="3176"/>
      <c r="L5" s="3176"/>
      <c r="M5" s="3176"/>
      <c r="N5" s="3176"/>
      <c r="O5" s="1921"/>
      <c r="P5" s="308"/>
    </row>
    <row r="6" spans="1:19" s="2810" customFormat="1" ht="8.25" customHeight="1">
      <c r="A6" s="3110"/>
      <c r="B6" s="3110"/>
      <c r="C6" s="1922"/>
      <c r="D6" s="1923"/>
      <c r="E6" s="1924"/>
      <c r="F6" s="1924"/>
      <c r="G6" s="1924"/>
      <c r="H6" s="3177"/>
      <c r="I6" s="3177"/>
      <c r="J6" s="3177"/>
      <c r="K6" s="3177"/>
      <c r="L6" s="3177"/>
      <c r="M6" s="3177"/>
      <c r="N6" s="3177"/>
      <c r="O6" s="1924"/>
      <c r="P6" s="308"/>
    </row>
    <row r="7" spans="1:19" s="2810" customFormat="1" ht="1.5" customHeight="1">
      <c r="A7" s="3110"/>
      <c r="B7" s="3110"/>
      <c r="C7" s="1925"/>
      <c r="D7" s="1926"/>
      <c r="E7" s="1927"/>
      <c r="F7" s="1927"/>
      <c r="G7" s="1927"/>
      <c r="H7" s="1927"/>
      <c r="I7" s="1928"/>
      <c r="J7" s="1928"/>
      <c r="K7" s="1928"/>
      <c r="L7" s="1928"/>
      <c r="M7" s="1928"/>
      <c r="N7" s="1928"/>
      <c r="O7" s="1929"/>
      <c r="P7" s="308"/>
    </row>
    <row r="8" spans="1:19" s="2810" customFormat="1" ht="67.5" customHeight="1">
      <c r="A8" s="3110"/>
      <c r="B8" s="3110"/>
      <c r="C8" s="1930" t="s">
        <v>2041</v>
      </c>
      <c r="D8" s="1931" t="s">
        <v>2042</v>
      </c>
      <c r="E8" s="1930" t="s">
        <v>2043</v>
      </c>
      <c r="F8" s="1930" t="s">
        <v>2044</v>
      </c>
      <c r="G8" s="1930" t="s">
        <v>2045</v>
      </c>
      <c r="H8" s="1930" t="s">
        <v>2046</v>
      </c>
      <c r="I8" s="1932"/>
      <c r="J8" s="1933" t="s">
        <v>2065</v>
      </c>
      <c r="K8" s="1933" t="s">
        <v>2048</v>
      </c>
      <c r="L8" s="1933" t="s">
        <v>2049</v>
      </c>
      <c r="M8" s="1933" t="s">
        <v>2050</v>
      </c>
      <c r="N8" s="1933" t="s">
        <v>2051</v>
      </c>
      <c r="O8" s="1934" t="s">
        <v>2052</v>
      </c>
      <c r="P8" s="627"/>
      <c r="R8" s="2810" t="s">
        <v>2066</v>
      </c>
      <c r="S8" s="2813" t="s">
        <v>2067</v>
      </c>
    </row>
    <row r="9" spans="1:19">
      <c r="A9" s="1867"/>
      <c r="B9" s="1867"/>
      <c r="C9" s="1867"/>
      <c r="D9" s="1935"/>
      <c r="E9" s="1936"/>
      <c r="F9" s="1867"/>
      <c r="G9" s="1867"/>
      <c r="H9" s="1867"/>
      <c r="I9" s="1937"/>
      <c r="J9" s="1937"/>
      <c r="K9" s="1937"/>
      <c r="L9" s="1937"/>
      <c r="M9" s="1937"/>
      <c r="N9" s="1937"/>
      <c r="O9" s="1938"/>
    </row>
    <row r="10" spans="1:19">
      <c r="A10" s="1797" t="s">
        <v>57</v>
      </c>
      <c r="B10" s="1877" t="s">
        <v>1645</v>
      </c>
      <c r="C10" s="1867"/>
      <c r="D10" s="1935"/>
      <c r="E10" s="1936"/>
      <c r="F10" s="1867"/>
      <c r="G10" s="1867"/>
      <c r="H10" s="1867"/>
      <c r="I10" s="1937"/>
      <c r="J10" s="1937"/>
      <c r="K10" s="1937"/>
      <c r="L10" s="1937"/>
      <c r="M10" s="1937"/>
      <c r="N10" s="1937"/>
      <c r="O10" s="1938"/>
    </row>
    <row r="11" spans="1:19" ht="29">
      <c r="A11" s="1797" t="s">
        <v>19</v>
      </c>
      <c r="B11" s="1867" t="s">
        <v>1646</v>
      </c>
      <c r="C11" s="1867"/>
      <c r="D11" s="1935"/>
      <c r="E11" s="1936"/>
      <c r="F11" s="1867"/>
      <c r="G11" s="1867"/>
      <c r="H11" s="1867"/>
      <c r="I11" s="1937"/>
      <c r="J11" s="1937"/>
      <c r="K11" s="1937"/>
      <c r="L11" s="1937"/>
      <c r="M11" s="1937"/>
      <c r="N11" s="1937"/>
      <c r="O11" s="1938"/>
    </row>
    <row r="12" spans="1:19">
      <c r="A12" s="1797"/>
      <c r="B12" s="1877"/>
      <c r="C12" s="1867"/>
      <c r="D12" s="1935"/>
      <c r="E12" s="1936"/>
      <c r="F12" s="1867"/>
      <c r="G12" s="1867"/>
      <c r="H12" s="1867"/>
      <c r="I12" s="1937"/>
      <c r="J12" s="1937"/>
      <c r="K12" s="1937"/>
      <c r="L12" s="1937"/>
      <c r="M12" s="1937"/>
      <c r="N12" s="1937"/>
      <c r="O12" s="1938"/>
    </row>
    <row r="13" spans="1:19">
      <c r="A13" s="1939" t="s">
        <v>20</v>
      </c>
      <c r="B13" s="1940" t="s">
        <v>1647</v>
      </c>
      <c r="C13" s="1900"/>
      <c r="D13" s="1941"/>
      <c r="E13" s="1942"/>
      <c r="F13" s="1900"/>
      <c r="G13" s="1900"/>
      <c r="H13" s="1900"/>
      <c r="I13" s="1943"/>
      <c r="J13" s="1943"/>
      <c r="K13" s="1943"/>
      <c r="L13" s="1943"/>
      <c r="M13" s="1943"/>
      <c r="N13" s="1943"/>
      <c r="O13" s="1944"/>
    </row>
    <row r="14" spans="1:19">
      <c r="A14" s="1797">
        <v>1</v>
      </c>
      <c r="B14" s="1798" t="s">
        <v>1648</v>
      </c>
      <c r="C14" s="1945">
        <f>IFERROR(VLOOKUP($B14,F13_21_22!$B$14:$H$198,2,0),0)</f>
        <v>630</v>
      </c>
      <c r="D14" s="1946">
        <f>IFERROR(VLOOKUP($B14,F13_21_22!$B$14:$H$198,3,0),0)</f>
        <v>0.7036093100699935</v>
      </c>
      <c r="E14" s="1945" t="str">
        <f>IFERROR(VLOOKUP($B14,F13_21_22!$B$14:$H$198,4,0),0)</f>
        <v>Merit</v>
      </c>
      <c r="F14" s="1776">
        <f>IFERROR(VLOOKUP($B14,F13_21_22!$B$14:$H$198,5,0),0)</f>
        <v>8.5000000000000006E-2</v>
      </c>
      <c r="G14" s="1776">
        <f>IFERROR(VLOOKUP($B14,F13_21_22!$B$14:$H$198,6,0),0)</f>
        <v>1</v>
      </c>
      <c r="H14" s="1945">
        <f>IFERROR(VLOOKUP($B14,F13_21_22!$B$14:$H$198,7,0),0)</f>
        <v>630</v>
      </c>
      <c r="I14" s="1945"/>
      <c r="J14" s="1945">
        <v>3553.5516673129032</v>
      </c>
      <c r="K14" s="1945">
        <v>272.05857126000001</v>
      </c>
      <c r="L14" s="1945">
        <v>717.85573974859676</v>
      </c>
      <c r="M14" s="1945"/>
      <c r="N14" s="1945">
        <f>K14+L14</f>
        <v>989.91431100859677</v>
      </c>
      <c r="O14" s="1947">
        <f>IFERROR(N14/J14*10,0)</f>
        <v>2.7857040045716919</v>
      </c>
      <c r="P14" s="1948">
        <f>K14/J14*10</f>
        <v>0.76559621677239631</v>
      </c>
      <c r="Q14" s="1782">
        <f>L14/J14*10</f>
        <v>2.0201077877992955</v>
      </c>
    </row>
    <row r="15" spans="1:19">
      <c r="A15" s="1797">
        <v>2</v>
      </c>
      <c r="B15" s="1798" t="s">
        <v>1650</v>
      </c>
      <c r="C15" s="1945">
        <f>IFERROR(VLOOKUP($B15,F13_21_22!$B$14:$H$198,2,0),0)</f>
        <v>1000</v>
      </c>
      <c r="D15" s="1946">
        <f>IFERROR(VLOOKUP($B15,F13_21_22!$B$14:$H$198,3,0),0)</f>
        <v>0.82269319236034466</v>
      </c>
      <c r="E15" s="1945" t="str">
        <f>IFERROR(VLOOKUP($B15,F13_21_22!$B$14:$H$198,4,0),0)</f>
        <v>Merit</v>
      </c>
      <c r="F15" s="1776">
        <f>IFERROR(VLOOKUP($B15,F13_21_22!$B$14:$H$198,5,0),0)</f>
        <v>6.5500000000000003E-2</v>
      </c>
      <c r="G15" s="1776">
        <f>IFERROR(VLOOKUP($B15,F13_21_22!$B$14:$H$198,6,0),0)</f>
        <v>1</v>
      </c>
      <c r="H15" s="1945">
        <f>IFERROR(VLOOKUP($B15,F13_21_22!$B$14:$H$198,7,0),0)</f>
        <v>1000</v>
      </c>
      <c r="I15" s="1945"/>
      <c r="J15" s="1945">
        <v>6730.0913202161291</v>
      </c>
      <c r="K15" s="1945">
        <v>339.43770022050001</v>
      </c>
      <c r="L15" s="1945">
        <v>1241.100790194087</v>
      </c>
      <c r="M15" s="1945"/>
      <c r="N15" s="1945">
        <f t="shared" ref="N15:N28" si="0">K15+L15</f>
        <v>1580.5384904145872</v>
      </c>
      <c r="O15" s="1947">
        <f t="shared" ref="O15:O78" si="1">IFERROR(N15/J15*10,0)</f>
        <v>2.3484651473701397</v>
      </c>
      <c r="P15" s="1948">
        <f>K15/J15*10</f>
        <v>0.50435823835091642</v>
      </c>
      <c r="Q15" s="1782">
        <f>L15/J15*10</f>
        <v>1.8441069090192233</v>
      </c>
    </row>
    <row r="16" spans="1:19">
      <c r="A16" s="1797">
        <v>3</v>
      </c>
      <c r="B16" s="1798" t="s">
        <v>2068</v>
      </c>
      <c r="C16" s="1945">
        <f>IFERROR(VLOOKUP($B16,F13_21_22!$B$14:$H$198,2,0),0)</f>
        <v>0</v>
      </c>
      <c r="D16" s="1946"/>
      <c r="E16" s="1945">
        <f>IFERROR(VLOOKUP($B16,F13_21_22!$B$14:$H$198,4,0),0)</f>
        <v>0</v>
      </c>
      <c r="F16" s="1776">
        <f>IFERROR(VLOOKUP($B16,F13_21_22!$B$14:$H$198,5,0),0)</f>
        <v>0</v>
      </c>
      <c r="G16" s="1776">
        <f>IFERROR(VLOOKUP($B16,F13_21_22!$B$14:$H$198,6,0),0)</f>
        <v>0</v>
      </c>
      <c r="H16" s="1945">
        <f>IFERROR(VLOOKUP($B16,F13_21_22!$B$14:$H$198,7,0),0)</f>
        <v>0</v>
      </c>
      <c r="I16" s="1945"/>
      <c r="J16" s="1945">
        <v>0</v>
      </c>
      <c r="K16" s="1945">
        <v>0</v>
      </c>
      <c r="L16" s="1945">
        <v>0</v>
      </c>
      <c r="M16" s="1945"/>
      <c r="N16" s="1945"/>
      <c r="O16" s="1947">
        <f t="shared" si="1"/>
        <v>0</v>
      </c>
      <c r="P16" s="1948"/>
      <c r="Q16" s="1782"/>
    </row>
    <row r="17" spans="1:19">
      <c r="A17" s="1797">
        <v>4</v>
      </c>
      <c r="B17" s="1798" t="s">
        <v>2069</v>
      </c>
      <c r="C17" s="1945">
        <f>IFERROR(VLOOKUP($B17,F13_21_22!$B$14:$H$198,2,0),0)</f>
        <v>0</v>
      </c>
      <c r="D17" s="1946"/>
      <c r="E17" s="1945">
        <f>IFERROR(VLOOKUP($B17,F13_21_22!$B$14:$H$198,4,0),0)</f>
        <v>0</v>
      </c>
      <c r="F17" s="1776">
        <f>IFERROR(VLOOKUP($B17,F13_21_22!$B$14:$H$198,5,0),0)</f>
        <v>0</v>
      </c>
      <c r="G17" s="1776">
        <f>IFERROR(VLOOKUP($B17,F13_21_22!$B$14:$H$198,6,0),0)</f>
        <v>0</v>
      </c>
      <c r="H17" s="1945">
        <f>IFERROR(VLOOKUP($B17,F13_21_22!$B$14:$H$198,7,0),0)</f>
        <v>0</v>
      </c>
      <c r="I17" s="1945"/>
      <c r="J17" s="1945">
        <v>0</v>
      </c>
      <c r="K17" s="1945">
        <v>0</v>
      </c>
      <c r="L17" s="1945">
        <v>0</v>
      </c>
      <c r="M17" s="1945"/>
      <c r="N17" s="1945"/>
      <c r="O17" s="1947">
        <f t="shared" si="1"/>
        <v>0</v>
      </c>
      <c r="P17" s="1948"/>
      <c r="Q17" s="1782"/>
    </row>
    <row r="18" spans="1:19">
      <c r="A18" s="1797">
        <v>5</v>
      </c>
      <c r="B18" s="1798" t="s">
        <v>1653</v>
      </c>
      <c r="C18" s="1945">
        <f>IFERROR(VLOOKUP($B18,F13_21_22!$B$14:$H$198,2,0),0)</f>
        <v>420</v>
      </c>
      <c r="D18" s="1946">
        <f>IFERROR(VLOOKUP($B18,F13_21_22!$B$14:$H$198,3,0),0)</f>
        <v>0.84999999999999976</v>
      </c>
      <c r="E18" s="1945" t="str">
        <f>IFERROR(VLOOKUP($B18,F13_21_22!$B$14:$H$198,4,0),0)</f>
        <v>Merit</v>
      </c>
      <c r="F18" s="1776">
        <f>IFERROR(VLOOKUP($B18,F13_21_22!$B$14:$H$198,5,0),0)</f>
        <v>0.09</v>
      </c>
      <c r="G18" s="1776">
        <f>IFERROR(VLOOKUP($B18,F13_21_22!$B$14:$H$198,6,0),0)</f>
        <v>1</v>
      </c>
      <c r="H18" s="1945">
        <f>IFERROR(VLOOKUP($B18,F13_21_22!$B$14:$H$198,7,0),0)</f>
        <v>420</v>
      </c>
      <c r="I18" s="1945"/>
      <c r="J18" s="1945">
        <v>1192.92264</v>
      </c>
      <c r="K18" s="1945">
        <v>367.86015000000003</v>
      </c>
      <c r="L18" s="1945">
        <v>462.92990719575317</v>
      </c>
      <c r="M18" s="1945"/>
      <c r="N18" s="1945">
        <f t="shared" si="0"/>
        <v>830.79005719575321</v>
      </c>
      <c r="O18" s="1947">
        <f t="shared" si="1"/>
        <v>6.9643246706739781</v>
      </c>
      <c r="P18" s="1948">
        <f>K18/J18*10</f>
        <v>3.0836882264217906</v>
      </c>
      <c r="Q18" s="1782">
        <f>L18/J18*10</f>
        <v>3.880636444252187</v>
      </c>
    </row>
    <row r="19" spans="1:19">
      <c r="A19" s="1797">
        <v>6</v>
      </c>
      <c r="B19" s="1798" t="s">
        <v>1654</v>
      </c>
      <c r="C19" s="1945">
        <f>IFERROR(VLOOKUP($B19,F13_21_22!$B$14:$H$198,2,0),0)</f>
        <v>94</v>
      </c>
      <c r="D19" s="1946"/>
      <c r="E19" s="1945" t="str">
        <f>IFERROR(VLOOKUP($B19,F13_21_22!$B$14:$H$198,4,0),0)</f>
        <v>Merit</v>
      </c>
      <c r="F19" s="1776">
        <f>IFERROR(VLOOKUP($B19,F13_21_22!$B$14:$H$198,5,0),0)</f>
        <v>0</v>
      </c>
      <c r="G19" s="1776">
        <f>IFERROR(VLOOKUP($B19,F13_21_22!$B$14:$H$198,6,0),0)</f>
        <v>0</v>
      </c>
      <c r="H19" s="1945">
        <f>IFERROR(VLOOKUP($B19,F13_21_22!$B$14:$H$198,7,0),0)</f>
        <v>0</v>
      </c>
      <c r="I19" s="1945"/>
      <c r="J19" s="1945">
        <v>0</v>
      </c>
      <c r="K19" s="1945">
        <v>0</v>
      </c>
      <c r="L19" s="1945">
        <v>0</v>
      </c>
      <c r="M19" s="1945"/>
      <c r="N19" s="1945"/>
      <c r="O19" s="1947">
        <f t="shared" si="1"/>
        <v>0</v>
      </c>
      <c r="P19" s="1948"/>
      <c r="Q19" s="1782"/>
    </row>
    <row r="20" spans="1:19">
      <c r="A20" s="1797">
        <v>7</v>
      </c>
      <c r="B20" s="1798" t="s">
        <v>1655</v>
      </c>
      <c r="C20" s="1945">
        <f>IFERROR(VLOOKUP($B20,F13_21_22!$B$14:$H$198,2,0),0)</f>
        <v>1000</v>
      </c>
      <c r="D20" s="1946">
        <f>IFERROR(VLOOKUP($B20,F13_21_22!$B$14:$H$198,3,0),0)</f>
        <v>0.47171198165450406</v>
      </c>
      <c r="E20" s="1945" t="str">
        <f>IFERROR(VLOOKUP($B20,F13_21_22!$B$14:$H$198,4,0),0)</f>
        <v>Merit</v>
      </c>
      <c r="F20" s="1776">
        <f>IFERROR(VLOOKUP($B20,F13_21_22!$B$14:$H$198,5,0),0)</f>
        <v>9.7000000000000003E-2</v>
      </c>
      <c r="G20" s="1776">
        <f>IFERROR(VLOOKUP($B20,F13_21_22!$B$14:$H$198,6,0),0)</f>
        <v>1</v>
      </c>
      <c r="H20" s="1945">
        <f>IFERROR(VLOOKUP($B20,F13_21_22!$B$14:$H$198,7,0),0)</f>
        <v>1000</v>
      </c>
      <c r="I20" s="1945"/>
      <c r="J20" s="1945">
        <v>1841.4289831807464</v>
      </c>
      <c r="K20" s="1945">
        <v>367.64169657075007</v>
      </c>
      <c r="L20" s="1945">
        <v>468.0874168983654</v>
      </c>
      <c r="M20" s="1945"/>
      <c r="N20" s="1945">
        <f t="shared" si="0"/>
        <v>835.72911346911542</v>
      </c>
      <c r="O20" s="1947">
        <f t="shared" si="1"/>
        <v>4.5384813701885998</v>
      </c>
      <c r="P20" s="1948">
        <f t="shared" ref="P20:P78" si="2">K20/J20*10</f>
        <v>1.9965021726535082</v>
      </c>
      <c r="Q20" s="1782">
        <f t="shared" ref="Q20:Q78" si="3">L20/J20*10</f>
        <v>2.5419791975350918</v>
      </c>
    </row>
    <row r="21" spans="1:19">
      <c r="A21" s="1797">
        <v>8</v>
      </c>
      <c r="B21" s="1798" t="s">
        <v>1656</v>
      </c>
      <c r="C21" s="1945">
        <f>IFERROR(VLOOKUP($B21,F13_21_22!$B$14:$H$198,2,0),0)</f>
        <v>105</v>
      </c>
      <c r="D21" s="1946">
        <f>IFERROR(VLOOKUP($B21,F13_21_22!$B$14:$H$198,3,0),0)</f>
        <v>0.37560225297237743</v>
      </c>
      <c r="E21" s="1945" t="str">
        <f>IFERROR(VLOOKUP($B21,F13_21_22!$B$14:$H$198,4,0),0)</f>
        <v>Merit</v>
      </c>
      <c r="F21" s="1776">
        <f>IFERROR(VLOOKUP($B21,F13_21_22!$B$14:$H$198,5,0),0)</f>
        <v>0.105</v>
      </c>
      <c r="G21" s="1776">
        <f>IFERROR(VLOOKUP($B21,F13_21_22!$B$14:$H$198,6,0),0)</f>
        <v>1</v>
      </c>
      <c r="H21" s="1945">
        <f>IFERROR(VLOOKUP($B21,F13_21_22!$B$14:$H$198,7,0),0)</f>
        <v>105</v>
      </c>
      <c r="I21" s="1945"/>
      <c r="J21" s="1945">
        <v>0</v>
      </c>
      <c r="K21" s="1945">
        <v>18.18135384975</v>
      </c>
      <c r="L21" s="1945">
        <v>0</v>
      </c>
      <c r="M21" s="1945"/>
      <c r="N21" s="1945">
        <f t="shared" si="0"/>
        <v>18.18135384975</v>
      </c>
      <c r="O21" s="1947">
        <f t="shared" si="1"/>
        <v>0</v>
      </c>
      <c r="P21" s="1948"/>
      <c r="Q21" s="1782"/>
    </row>
    <row r="22" spans="1:19">
      <c r="A22" s="1797">
        <v>9</v>
      </c>
      <c r="B22" s="1798" t="s">
        <v>1657</v>
      </c>
      <c r="C22" s="1945">
        <f>IFERROR(VLOOKUP($B22,F13_21_22!$B$14:$H$198,2,0),0)</f>
        <v>500</v>
      </c>
      <c r="D22" s="1946">
        <f>IFERROR(VLOOKUP($B22,F13_21_22!$B$14:$H$198,3,0),0)</f>
        <v>0.75</v>
      </c>
      <c r="E22" s="1945" t="str">
        <f>IFERROR(VLOOKUP($B22,F13_21_22!$B$14:$H$198,4,0),0)</f>
        <v>Merit</v>
      </c>
      <c r="F22" s="1776">
        <f>IFERROR(VLOOKUP($B22,F13_21_22!$B$14:$H$198,5,0),0)</f>
        <v>0.09</v>
      </c>
      <c r="G22" s="1776">
        <f>IFERROR(VLOOKUP($B22,F13_21_22!$B$14:$H$198,6,0),0)</f>
        <v>1</v>
      </c>
      <c r="H22" s="1945">
        <f>IFERROR(VLOOKUP($B22,F13_21_22!$B$14:$H$198,7,0),0)</f>
        <v>500</v>
      </c>
      <c r="I22" s="1945"/>
      <c r="J22" s="1945">
        <v>1253.07</v>
      </c>
      <c r="K22" s="1945">
        <v>586.94895000000008</v>
      </c>
      <c r="L22" s="1945">
        <v>474.96062728431008</v>
      </c>
      <c r="M22" s="1945"/>
      <c r="N22" s="1945">
        <f t="shared" si="0"/>
        <v>1061.9095772843102</v>
      </c>
      <c r="O22" s="1947">
        <f t="shared" si="1"/>
        <v>8.4744633363204791</v>
      </c>
      <c r="P22" s="1948">
        <f>K22/J22*10</f>
        <v>4.6840874811463058</v>
      </c>
      <c r="Q22" s="1782">
        <f>L22/J22*10</f>
        <v>3.7903758551741729</v>
      </c>
      <c r="R22" s="1781">
        <f t="shared" ref="R22:R28" si="4">H22*(1-F22)*24*365*$U$152*2.5/10^4</f>
        <v>797.16</v>
      </c>
      <c r="S22" s="1782">
        <f t="shared" ref="S22:S28" si="5">R22/J22*10</f>
        <v>6.3616557734204795</v>
      </c>
    </row>
    <row r="23" spans="1:19">
      <c r="A23" s="1797">
        <v>10</v>
      </c>
      <c r="B23" s="1798" t="s">
        <v>1658</v>
      </c>
      <c r="C23" s="1945">
        <f>IFERROR(VLOOKUP($B23,F13_21_22!$B$14:$H$198,2,0),0)</f>
        <v>500</v>
      </c>
      <c r="D23" s="1946">
        <f>IFERROR(VLOOKUP($B23,F13_21_22!$B$14:$H$198,3,0),0)</f>
        <v>0.68019159391058182</v>
      </c>
      <c r="E23" s="1945" t="str">
        <f>IFERROR(VLOOKUP($B23,F13_21_22!$B$14:$H$198,4,0),0)</f>
        <v>Merit</v>
      </c>
      <c r="F23" s="1776">
        <f>IFERROR(VLOOKUP($B23,F13_21_22!$B$14:$H$198,5,0),0)</f>
        <v>0.09</v>
      </c>
      <c r="G23" s="1776">
        <f>IFERROR(VLOOKUP($B23,F13_21_22!$B$14:$H$198,6,0),0)</f>
        <v>1</v>
      </c>
      <c r="H23" s="1945">
        <f>IFERROR(VLOOKUP($B23,F13_21_22!$B$14:$H$198,7,0),0)</f>
        <v>500</v>
      </c>
      <c r="I23" s="1945"/>
      <c r="J23" s="1945">
        <v>1183.9629296672711</v>
      </c>
      <c r="K23" s="1945">
        <v>549.91597477950017</v>
      </c>
      <c r="L23" s="1945">
        <v>460.34626253762156</v>
      </c>
      <c r="M23" s="1945"/>
      <c r="N23" s="1945">
        <f t="shared" si="0"/>
        <v>1010.2622373171217</v>
      </c>
      <c r="O23" s="1947">
        <f t="shared" si="1"/>
        <v>8.5328874072183627</v>
      </c>
      <c r="P23" s="1948">
        <f>K23/J23*10</f>
        <v>4.6447060207707933</v>
      </c>
      <c r="Q23" s="1782">
        <f t="shared" si="3"/>
        <v>3.8881813864475689</v>
      </c>
      <c r="R23" s="1781">
        <f t="shared" si="4"/>
        <v>797.16</v>
      </c>
      <c r="S23" s="1782">
        <f t="shared" si="5"/>
        <v>6.7329810758857604</v>
      </c>
    </row>
    <row r="24" spans="1:19">
      <c r="A24" s="1797">
        <v>11</v>
      </c>
      <c r="B24" s="1798" t="s">
        <v>1659</v>
      </c>
      <c r="C24" s="1945">
        <f>IFERROR(VLOOKUP($B24,F13_21_22!$B$14:$H$198,2,0),0)</f>
        <v>1000</v>
      </c>
      <c r="D24" s="1946">
        <f>IFERROR(VLOOKUP($B24,F13_21_22!$B$14:$H$198,3,0),0)</f>
        <v>0.64995958369228257</v>
      </c>
      <c r="E24" s="1945" t="str">
        <f>IFERROR(VLOOKUP($B24,F13_21_22!$B$14:$H$198,4,0),0)</f>
        <v>Merit</v>
      </c>
      <c r="F24" s="1776">
        <f>IFERROR(VLOOKUP($B24,F13_21_22!$B$14:$H$198,5,0),0)</f>
        <v>6.25E-2</v>
      </c>
      <c r="G24" s="1776">
        <f>IFERROR(VLOOKUP($B24,F13_21_22!$B$14:$H$198,6,0),0)</f>
        <v>1</v>
      </c>
      <c r="H24" s="1945">
        <f>IFERROR(VLOOKUP($B24,F13_21_22!$B$14:$H$198,7,0),0)</f>
        <v>1000</v>
      </c>
      <c r="I24" s="1945"/>
      <c r="J24" s="1945">
        <v>5334.7510297532262</v>
      </c>
      <c r="K24" s="1945">
        <v>680.11653926475014</v>
      </c>
      <c r="L24" s="1945">
        <v>991.13492289963597</v>
      </c>
      <c r="M24" s="1945"/>
      <c r="N24" s="1945">
        <f t="shared" si="0"/>
        <v>1671.2514621643861</v>
      </c>
      <c r="O24" s="1947">
        <f t="shared" si="1"/>
        <v>3.1327637463180631</v>
      </c>
      <c r="P24" s="1948">
        <f t="shared" si="2"/>
        <v>1.2748796250688588</v>
      </c>
      <c r="Q24" s="1782">
        <f t="shared" si="3"/>
        <v>1.8578841212492043</v>
      </c>
      <c r="R24" s="1781">
        <f t="shared" si="4"/>
        <v>1642.5</v>
      </c>
      <c r="S24" s="1782">
        <f t="shared" si="5"/>
        <v>3.0788690809362445</v>
      </c>
    </row>
    <row r="25" spans="1:19">
      <c r="A25" s="1797">
        <v>12</v>
      </c>
      <c r="B25" s="1798" t="s">
        <v>1660</v>
      </c>
      <c r="C25" s="1945">
        <f>IFERROR(VLOOKUP($B25,F13_21_22!$B$14:$H$198,2,0),0)</f>
        <v>660</v>
      </c>
      <c r="D25" s="1946">
        <v>0.85</v>
      </c>
      <c r="E25" s="1945" t="str">
        <f>IFERROR(VLOOKUP($B25,F13_21_22!$B$14:$H$198,4,0),0)</f>
        <v>Merit</v>
      </c>
      <c r="F25" s="1776">
        <f>IFERROR(VLOOKUP($B25,F13_21_22!$B$14:$H$198,5,0),0)</f>
        <v>5.7500000000000002E-2</v>
      </c>
      <c r="G25" s="1776">
        <f>IFERROR(VLOOKUP($B25,F13_21_22!$B$14:$H$198,6,0),0)</f>
        <v>1</v>
      </c>
      <c r="H25" s="1945">
        <f>IFERROR(VLOOKUP($B25,F13_21_22!$B$14:$H$198,7,0),0)</f>
        <v>660</v>
      </c>
      <c r="I25" s="1945"/>
      <c r="J25" s="1945">
        <v>393.38441999999998</v>
      </c>
      <c r="K25" s="1945">
        <v>98.346104999999994</v>
      </c>
      <c r="L25" s="1945">
        <v>85.948201619280013</v>
      </c>
      <c r="M25" s="1945"/>
      <c r="N25" s="1945">
        <f t="shared" si="0"/>
        <v>184.29430661928001</v>
      </c>
      <c r="O25" s="1947">
        <f t="shared" si="1"/>
        <v>4.6848400000000003</v>
      </c>
      <c r="P25" s="1948">
        <f t="shared" si="2"/>
        <v>2.5</v>
      </c>
      <c r="Q25" s="1782">
        <f t="shared" si="3"/>
        <v>2.1848400000000003</v>
      </c>
      <c r="R25" s="1781">
        <f t="shared" si="4"/>
        <v>1089.8316</v>
      </c>
      <c r="S25" s="1782">
        <f t="shared" si="5"/>
        <v>27.703984819734345</v>
      </c>
    </row>
    <row r="26" spans="1:19">
      <c r="A26" s="1797">
        <v>13</v>
      </c>
      <c r="B26" s="1798" t="s">
        <v>1661</v>
      </c>
      <c r="C26" s="1945">
        <f>IFERROR(VLOOKUP($B26,F13_21_22!$B$14:$H$198,2,0),0)</f>
        <v>660</v>
      </c>
      <c r="D26" s="1946">
        <f>IFERROR(VLOOKUP($B26,F13_21_22!$B$14:$H$198,3,0),0)</f>
        <v>0.85</v>
      </c>
      <c r="E26" s="1945" t="str">
        <f>IFERROR(VLOOKUP($B26,F13_21_22!$B$14:$H$198,4,0),0)</f>
        <v>Merit</v>
      </c>
      <c r="F26" s="1776">
        <f>IFERROR(VLOOKUP($B26,F13_21_22!$B$14:$H$198,5,0),0)</f>
        <v>5.7500000000000002E-2</v>
      </c>
      <c r="G26" s="1776">
        <f>IFERROR(VLOOKUP($B26,F13_21_22!$B$14:$H$198,6,0),0)</f>
        <v>1</v>
      </c>
      <c r="H26" s="1945">
        <f>IFERROR(VLOOKUP($B26,F13_21_22!$B$14:$H$198,7,0),0)</f>
        <v>660</v>
      </c>
      <c r="I26" s="1945"/>
      <c r="J26" s="1945">
        <v>1941.5424599999999</v>
      </c>
      <c r="K26" s="1945">
        <v>972.67470299999991</v>
      </c>
      <c r="L26" s="1945">
        <v>646.39384812287994</v>
      </c>
      <c r="M26" s="1945"/>
      <c r="N26" s="1945">
        <f t="shared" si="0"/>
        <v>1619.0685511228799</v>
      </c>
      <c r="O26" s="1947">
        <f t="shared" si="1"/>
        <v>8.3390839215686281</v>
      </c>
      <c r="P26" s="1948">
        <f>K26/J26*10</f>
        <v>5.0098039215686274</v>
      </c>
      <c r="Q26" s="1782">
        <f t="shared" si="3"/>
        <v>3.3292799999999998</v>
      </c>
      <c r="R26" s="1781">
        <f t="shared" si="4"/>
        <v>1089.8316</v>
      </c>
      <c r="S26" s="1782">
        <f t="shared" si="5"/>
        <v>5.6132256824298352</v>
      </c>
    </row>
    <row r="27" spans="1:19">
      <c r="A27" s="1797">
        <v>14</v>
      </c>
      <c r="B27" s="1798" t="s">
        <v>1662</v>
      </c>
      <c r="C27" s="1945">
        <f>IFERROR(VLOOKUP($B27,F13_21_22!$B$14:$H$198,2,0),0)</f>
        <v>1320</v>
      </c>
      <c r="D27" s="1946"/>
      <c r="E27" s="1945" t="str">
        <f>IFERROR(VLOOKUP($B27,F13_21_22!$B$14:$H$198,4,0),0)</f>
        <v>Merit</v>
      </c>
      <c r="F27" s="1776">
        <f>IFERROR(VLOOKUP($B27,F13_21_22!$B$14:$H$198,5,0),0)</f>
        <v>5.7500000000000002E-2</v>
      </c>
      <c r="G27" s="1776">
        <f>IFERROR(VLOOKUP($B27,F13_21_22!$B$14:$H$198,6,0),0)</f>
        <v>0.98636363636363633</v>
      </c>
      <c r="H27" s="1945">
        <f>IFERROR(VLOOKUP($B27,F13_21_22!$B$14:$H$198,7,0),0)</f>
        <v>1302</v>
      </c>
      <c r="I27" s="1945"/>
      <c r="J27" s="1945">
        <v>3477.0106800000003</v>
      </c>
      <c r="K27" s="1945">
        <v>899.39099249999992</v>
      </c>
      <c r="L27" s="1945">
        <v>701.79149082556808</v>
      </c>
      <c r="M27" s="1945"/>
      <c r="N27" s="1945">
        <f t="shared" si="0"/>
        <v>1601.182483325568</v>
      </c>
      <c r="O27" s="1947">
        <f t="shared" si="1"/>
        <v>4.6050548321167879</v>
      </c>
      <c r="P27" s="1948">
        <f t="shared" si="2"/>
        <v>2.586678832116788</v>
      </c>
      <c r="Q27" s="1782">
        <f t="shared" si="3"/>
        <v>2.0183759999999999</v>
      </c>
      <c r="R27" s="1781">
        <f t="shared" si="4"/>
        <v>2149.9405200000001</v>
      </c>
      <c r="S27" s="1782">
        <f t="shared" si="5"/>
        <v>6.1833014559506614</v>
      </c>
    </row>
    <row r="28" spans="1:19">
      <c r="A28" s="1797">
        <v>15</v>
      </c>
      <c r="B28" s="1798" t="s">
        <v>1663</v>
      </c>
      <c r="C28" s="1945">
        <f>IFERROR(VLOOKUP($B28,F13_21_22!$B$14:$H$198,2,0),0)</f>
        <v>1320</v>
      </c>
      <c r="D28" s="1946"/>
      <c r="E28" s="1945" t="str">
        <f>IFERROR(VLOOKUP($B28,F13_21_22!$B$14:$H$198,4,0),0)</f>
        <v>Merit</v>
      </c>
      <c r="F28" s="1776">
        <f>IFERROR(VLOOKUP($B28,F13_21_22!$B$14:$H$198,5,0),0)</f>
        <v>5.7500000000000002E-2</v>
      </c>
      <c r="G28" s="1776">
        <f>IFERROR(VLOOKUP($B28,F13_21_22!$B$14:$H$198,6,0),0)</f>
        <v>1</v>
      </c>
      <c r="H28" s="1945">
        <f>IFERROR(VLOOKUP($B28,F13_21_22!$B$14:$H$198,7,0),0)</f>
        <v>1320</v>
      </c>
      <c r="I28" s="1945"/>
      <c r="J28" s="1945">
        <v>774.0790199999999</v>
      </c>
      <c r="K28" s="1945">
        <v>856.56284999999991</v>
      </c>
      <c r="L28" s="1945">
        <v>215.83428572534399</v>
      </c>
      <c r="M28" s="1945"/>
      <c r="N28" s="1945">
        <f t="shared" si="0"/>
        <v>1072.397135725344</v>
      </c>
      <c r="O28" s="1947">
        <f t="shared" si="1"/>
        <v>13.853845770491805</v>
      </c>
      <c r="P28" s="1948">
        <f t="shared" si="2"/>
        <v>11.065573770491802</v>
      </c>
      <c r="Q28" s="1782">
        <f t="shared" si="3"/>
        <v>2.7882720000000001</v>
      </c>
      <c r="R28" s="1781">
        <f t="shared" si="4"/>
        <v>2179.6632</v>
      </c>
      <c r="S28" s="1782">
        <f t="shared" si="5"/>
        <v>28.158148505303764</v>
      </c>
    </row>
    <row r="29" spans="1:19">
      <c r="A29" s="1797"/>
      <c r="B29" s="1798"/>
      <c r="C29" s="1945"/>
      <c r="D29" s="1949"/>
      <c r="E29" s="1945"/>
      <c r="F29" s="1945"/>
      <c r="G29" s="1777"/>
      <c r="H29" s="1945"/>
      <c r="I29" s="1945"/>
      <c r="J29" s="1945"/>
      <c r="K29" s="1945"/>
      <c r="L29" s="1945"/>
      <c r="M29" s="1945"/>
      <c r="N29" s="1945"/>
      <c r="O29" s="1947">
        <f t="shared" si="1"/>
        <v>0</v>
      </c>
      <c r="P29" s="1948"/>
      <c r="Q29" s="1782"/>
    </row>
    <row r="30" spans="1:19">
      <c r="A30" s="1797"/>
      <c r="B30" s="1798" t="s">
        <v>211</v>
      </c>
      <c r="C30" s="1937">
        <f>SUM(C14:C28)</f>
        <v>9209</v>
      </c>
      <c r="D30" s="1950">
        <v>0.20014417985183941</v>
      </c>
      <c r="E30" s="1937"/>
      <c r="F30" s="1937">
        <v>0.20014417985183941</v>
      </c>
      <c r="G30" s="1951">
        <v>0.20014417985183941</v>
      </c>
      <c r="H30" s="1937">
        <f>SUM(H14:H28)</f>
        <v>9097</v>
      </c>
      <c r="I30" s="1937"/>
      <c r="J30" s="1937">
        <f>SUM(J14:J28)</f>
        <v>27675.795150130278</v>
      </c>
      <c r="K30" s="1937">
        <f>SUM(K14:K28)</f>
        <v>6009.1355864452507</v>
      </c>
      <c r="L30" s="1937">
        <f>SUM(L14:L28)</f>
        <v>6466.3834930514413</v>
      </c>
      <c r="M30" s="1937">
        <f>SUM(M14:M28)</f>
        <v>0</v>
      </c>
      <c r="N30" s="1937">
        <f>SUM(N14:N28)</f>
        <v>12475.519079496695</v>
      </c>
      <c r="O30" s="1947">
        <f t="shared" si="1"/>
        <v>4.5077364577320802</v>
      </c>
      <c r="P30" s="1948">
        <f t="shared" si="2"/>
        <v>2.1712603211029924</v>
      </c>
      <c r="Q30" s="1782">
        <f t="shared" si="3"/>
        <v>2.3364761366290869</v>
      </c>
      <c r="R30" s="1356">
        <f>H30*(1-F30)*24*365*D30*2.5/10^4</f>
        <v>3189.3118336593266</v>
      </c>
      <c r="S30" s="1782">
        <f>R30/J30*10</f>
        <v>1.1523830901184833</v>
      </c>
    </row>
    <row r="31" spans="1:19">
      <c r="A31" s="1797"/>
      <c r="B31" s="1798"/>
      <c r="C31" s="1798"/>
      <c r="D31" s="1949"/>
      <c r="E31" s="1798"/>
      <c r="F31" s="1798"/>
      <c r="G31" s="1777"/>
      <c r="H31" s="1798"/>
      <c r="I31" s="1945"/>
      <c r="J31" s="1945"/>
      <c r="K31" s="1937"/>
      <c r="L31" s="1937"/>
      <c r="M31" s="1937"/>
      <c r="N31" s="1937"/>
      <c r="O31" s="1947"/>
      <c r="P31" s="1948"/>
      <c r="Q31" s="1782"/>
    </row>
    <row r="32" spans="1:19">
      <c r="A32" s="1797" t="s">
        <v>21</v>
      </c>
      <c r="B32" s="1798" t="s">
        <v>1665</v>
      </c>
      <c r="C32" s="1798"/>
      <c r="D32" s="1949"/>
      <c r="E32" s="1798"/>
      <c r="F32" s="1798"/>
      <c r="G32" s="1777"/>
      <c r="H32" s="1798"/>
      <c r="I32" s="1945"/>
      <c r="J32" s="1945"/>
      <c r="K32" s="1937"/>
      <c r="L32" s="1937"/>
      <c r="M32" s="1937"/>
      <c r="N32" s="1937"/>
      <c r="O32" s="1947"/>
      <c r="P32" s="1948"/>
      <c r="Q32" s="1782"/>
    </row>
    <row r="33" spans="1:21">
      <c r="A33" s="1797">
        <v>1</v>
      </c>
      <c r="B33" s="1798" t="s">
        <v>1666</v>
      </c>
      <c r="C33" s="1945">
        <f>IFERROR(VLOOKUP($B33,F13_21_22!$B$14:$H$198,2,0),0)</f>
        <v>300</v>
      </c>
      <c r="D33" s="1946">
        <f>IFERROR(VLOOKUP($B33,F13_21_22!$B$14:$H$198,3,0),0)</f>
        <v>0.24286512033827887</v>
      </c>
      <c r="E33" s="1945" t="str">
        <f>IFERROR(VLOOKUP($B33,F13_21_22!$B$14:$H$198,4,0),0)</f>
        <v xml:space="preserve">Must Run </v>
      </c>
      <c r="F33" s="1776">
        <f>IFERROR(VLOOKUP($B33,F13_21_22!$B$14:$H$198,5,0),0)</f>
        <v>0.01</v>
      </c>
      <c r="G33" s="1776">
        <f>IFERROR(VLOOKUP($B33,F13_21_22!$B$14:$H$198,6,0),0)</f>
        <v>0.85</v>
      </c>
      <c r="H33" s="1945">
        <f>IFERROR(VLOOKUP($B33,F13_21_22!$B$14:$H$198,7,0),0)</f>
        <v>255</v>
      </c>
      <c r="I33" s="1945"/>
      <c r="J33" s="1945">
        <v>537.16551639569889</v>
      </c>
      <c r="K33" s="1945">
        <v>18.100556534182498</v>
      </c>
      <c r="L33" s="1945">
        <v>65.680284568002492</v>
      </c>
      <c r="M33" s="1945"/>
      <c r="N33" s="1945">
        <f t="shared" ref="N33:N40" si="6">K33+L33</f>
        <v>83.780841102184993</v>
      </c>
      <c r="O33" s="1947">
        <f t="shared" si="1"/>
        <v>1.5596839064492085</v>
      </c>
      <c r="P33" s="1948">
        <f t="shared" si="2"/>
        <v>0.33696423135339276</v>
      </c>
      <c r="Q33" s="1782">
        <f t="shared" si="3"/>
        <v>1.2227196750958156</v>
      </c>
      <c r="R33" s="1781">
        <f>H33*(1-F33)*24*365*$U$33*2.25/10^4</f>
        <v>248.78947499999995</v>
      </c>
      <c r="S33" s="1782">
        <f>R33/J33*10</f>
        <v>4.6315235696688148</v>
      </c>
      <c r="U33" s="1952">
        <v>0.5</v>
      </c>
    </row>
    <row r="34" spans="1:21">
      <c r="A34" s="1797">
        <v>2</v>
      </c>
      <c r="B34" s="1798" t="s">
        <v>1668</v>
      </c>
      <c r="C34" s="1945">
        <f>IFERROR(VLOOKUP($B34,F13_21_22!$B$14:$H$198,2,0),0)</f>
        <v>99</v>
      </c>
      <c r="D34" s="1946">
        <f>IFERROR(VLOOKUP($B34,F13_21_22!$B$14:$H$198,3,0),0)</f>
        <v>0.3127712938305397</v>
      </c>
      <c r="E34" s="1945" t="str">
        <f>IFERROR(VLOOKUP($B34,F13_21_22!$B$14:$H$198,4,0),0)</f>
        <v xml:space="preserve">Must Run </v>
      </c>
      <c r="F34" s="1776">
        <f>IFERROR(VLOOKUP($B34,F13_21_22!$B$14:$H$198,5,0),0)</f>
        <v>0.01</v>
      </c>
      <c r="G34" s="1776">
        <f>IFERROR(VLOOKUP($B34,F13_21_22!$B$14:$H$198,6,0),0)</f>
        <v>1</v>
      </c>
      <c r="H34" s="1945">
        <f>IFERROR(VLOOKUP($B34,F13_21_22!$B$14:$H$198,7,0),0)</f>
        <v>99</v>
      </c>
      <c r="I34" s="1945"/>
      <c r="J34" s="1945">
        <v>268.49688302961289</v>
      </c>
      <c r="K34" s="1945">
        <v>9.6613520013675007</v>
      </c>
      <c r="L34" s="1945">
        <v>21.673743512369782</v>
      </c>
      <c r="M34" s="1945"/>
      <c r="N34" s="1945">
        <f t="shared" si="6"/>
        <v>31.335095513737283</v>
      </c>
      <c r="O34" s="1947">
        <f t="shared" si="1"/>
        <v>1.1670562116090297</v>
      </c>
      <c r="P34" s="1948">
        <f t="shared" si="2"/>
        <v>0.35983106739834803</v>
      </c>
      <c r="Q34" s="1782">
        <f t="shared" si="3"/>
        <v>0.8072251442106817</v>
      </c>
      <c r="R34" s="1781">
        <f>H34*(1-F34)*24*365*$U$33*2.25/10^4</f>
        <v>96.588855000000009</v>
      </c>
      <c r="S34" s="1782">
        <f t="shared" ref="S34:S41" si="7">R34/J34*10</f>
        <v>3.5973920408359863</v>
      </c>
    </row>
    <row r="35" spans="1:21">
      <c r="A35" s="1797">
        <v>3</v>
      </c>
      <c r="B35" s="1798" t="s">
        <v>1669</v>
      </c>
      <c r="C35" s="1945">
        <f>IFERROR(VLOOKUP($B35,F13_21_22!$B$14:$H$198,2,0),0)</f>
        <v>30</v>
      </c>
      <c r="D35" s="1946">
        <f>IFERROR(VLOOKUP($B35,F13_21_22!$B$14:$H$198,3,0),0)</f>
        <v>0.35693138080343312</v>
      </c>
      <c r="E35" s="1945" t="str">
        <f>IFERROR(VLOOKUP($B35,F13_21_22!$B$14:$H$198,4,0),0)</f>
        <v xml:space="preserve">Must Run </v>
      </c>
      <c r="F35" s="1776">
        <f>IFERROR(VLOOKUP($B35,F13_21_22!$B$14:$H$198,5,0),0)</f>
        <v>0.01</v>
      </c>
      <c r="G35" s="1776">
        <f>IFERROR(VLOOKUP($B35,F13_21_22!$B$14:$H$198,6,0),0)</f>
        <v>0.66666666666666663</v>
      </c>
      <c r="H35" s="1945">
        <f>IFERROR(VLOOKUP($B35,F13_21_22!$B$14:$H$198,7,0),0)</f>
        <v>20</v>
      </c>
      <c r="I35" s="1945"/>
      <c r="J35" s="1945">
        <v>61.694416131182791</v>
      </c>
      <c r="K35" s="1945">
        <v>3.0477828688649997</v>
      </c>
      <c r="L35" s="1945">
        <v>5.0744030037242016</v>
      </c>
      <c r="M35" s="1945"/>
      <c r="N35" s="1945">
        <f t="shared" si="6"/>
        <v>8.1221858725892009</v>
      </c>
      <c r="O35" s="1947">
        <f t="shared" si="1"/>
        <v>1.3165188005538035</v>
      </c>
      <c r="P35" s="1948">
        <f t="shared" si="2"/>
        <v>0.49401275836445269</v>
      </c>
      <c r="Q35" s="1782">
        <f t="shared" si="3"/>
        <v>0.82250604218935108</v>
      </c>
      <c r="R35" s="1781">
        <f>H35*(1-F35)*24*365*$U$33*2.25/10^4</f>
        <v>19.512900000000002</v>
      </c>
      <c r="S35" s="1782">
        <f t="shared" si="7"/>
        <v>3.1628308076551215</v>
      </c>
    </row>
    <row r="36" spans="1:21">
      <c r="A36" s="1797">
        <v>4</v>
      </c>
      <c r="B36" s="1798" t="s">
        <v>1670</v>
      </c>
      <c r="C36" s="1945">
        <f>IFERROR(VLOOKUP($B36,F13_21_22!$B$14:$H$198,2,0),0)</f>
        <v>72</v>
      </c>
      <c r="D36" s="1946">
        <f>IFERROR(VLOOKUP($B36,F13_21_22!$B$14:$H$198,3,0),0)</f>
        <v>0.51441716659098013</v>
      </c>
      <c r="E36" s="1945" t="str">
        <f>IFERROR(VLOOKUP($B36,F13_21_22!$B$14:$H$198,4,0),0)</f>
        <v xml:space="preserve">Must Run </v>
      </c>
      <c r="F36" s="1776">
        <f>IFERROR(VLOOKUP($B36,F13_21_22!$B$14:$H$198,5,0),0)</f>
        <v>0.01</v>
      </c>
      <c r="G36" s="1776">
        <f>IFERROR(VLOOKUP($B36,F13_21_22!$B$14:$H$198,6,0),0)</f>
        <v>0.8</v>
      </c>
      <c r="H36" s="1945">
        <f>IFERROR(VLOOKUP($B36,F13_21_22!$B$14:$H$198,7,0),0)</f>
        <v>57.6</v>
      </c>
      <c r="I36" s="1945"/>
      <c r="J36" s="1945">
        <v>257.84445449892473</v>
      </c>
      <c r="K36" s="1945">
        <v>13.5564697234575</v>
      </c>
      <c r="L36" s="1945">
        <v>12.998497536623105</v>
      </c>
      <c r="M36" s="1945"/>
      <c r="N36" s="1945">
        <f t="shared" si="6"/>
        <v>26.554967260080605</v>
      </c>
      <c r="O36" s="1947">
        <f t="shared" si="1"/>
        <v>1.0298832027117086</v>
      </c>
      <c r="P36" s="1948">
        <f t="shared" si="2"/>
        <v>0.52576153905664214</v>
      </c>
      <c r="Q36" s="1782">
        <f t="shared" si="3"/>
        <v>0.50412166365506661</v>
      </c>
      <c r="R36" s="1781">
        <f>H36*(1-F36)*24*365*$U$33*2.25/10^4</f>
        <v>56.197152000000003</v>
      </c>
      <c r="S36" s="1782">
        <f t="shared" si="7"/>
        <v>2.1794981827012441</v>
      </c>
    </row>
    <row r="37" spans="1:21">
      <c r="A37" s="1797">
        <v>5</v>
      </c>
      <c r="B37" s="1798" t="s">
        <v>1671</v>
      </c>
      <c r="C37" s="1945">
        <f>IFERROR(VLOOKUP($B37,F13_21_22!$B$14:$H$198,2,0),0)</f>
        <v>13.7</v>
      </c>
      <c r="D37" s="1946">
        <f>IFERROR(VLOOKUP($B37,F13_21_22!$B$14:$H$198,3,0),0)</f>
        <v>0.20316990411924529</v>
      </c>
      <c r="E37" s="1945" t="str">
        <f>IFERROR(VLOOKUP($B37,F13_21_22!$B$14:$H$198,4,0),0)</f>
        <v xml:space="preserve">Must Run </v>
      </c>
      <c r="F37" s="1776">
        <f>IFERROR(VLOOKUP($B37,F13_21_22!$B$14:$H$198,5,0),0)</f>
        <v>0.01</v>
      </c>
      <c r="G37" s="1776">
        <f>IFERROR(VLOOKUP($B37,F13_21_22!$B$14:$H$198,6,0),0)</f>
        <v>1</v>
      </c>
      <c r="H37" s="1945">
        <f>IFERROR(VLOOKUP($B37,F13_21_22!$B$14:$H$198,7,0),0)</f>
        <v>13.7</v>
      </c>
      <c r="I37" s="1945"/>
      <c r="J37" s="1953">
        <v>24.00201555333334</v>
      </c>
      <c r="K37" s="1953">
        <v>0</v>
      </c>
      <c r="L37" s="1953">
        <v>7.0669908409709254</v>
      </c>
      <c r="M37" s="1953"/>
      <c r="N37" s="1953">
        <f t="shared" si="6"/>
        <v>7.0669908409709254</v>
      </c>
      <c r="O37" s="1954">
        <f t="shared" si="1"/>
        <v>2.9443322479596841</v>
      </c>
      <c r="P37" s="1955">
        <f t="shared" si="2"/>
        <v>0</v>
      </c>
      <c r="Q37" s="1956">
        <f t="shared" si="3"/>
        <v>2.9443322479596841</v>
      </c>
      <c r="R37" s="1781"/>
      <c r="S37" s="1782">
        <f t="shared" si="7"/>
        <v>0</v>
      </c>
    </row>
    <row r="38" spans="1:21">
      <c r="A38" s="1797">
        <v>6</v>
      </c>
      <c r="B38" s="1798" t="s">
        <v>1672</v>
      </c>
      <c r="C38" s="1945">
        <f>IFERROR(VLOOKUP($B38,F13_21_22!$B$14:$H$198,2,0),0)</f>
        <v>3.6</v>
      </c>
      <c r="D38" s="1946">
        <f>IFERROR(VLOOKUP($B38,F13_21_22!$B$14:$H$198,3,0),0)</f>
        <v>6.8702307160901852E-2</v>
      </c>
      <c r="E38" s="1945" t="str">
        <f>IFERROR(VLOOKUP($B38,F13_21_22!$B$14:$H$198,4,0),0)</f>
        <v xml:space="preserve">Must Run </v>
      </c>
      <c r="F38" s="1776">
        <f>IFERROR(VLOOKUP($B38,F13_21_22!$B$14:$H$198,5,0),0)</f>
        <v>0.01</v>
      </c>
      <c r="G38" s="1776">
        <f>IFERROR(VLOOKUP($B38,F13_21_22!$B$14:$H$198,6,0),0)</f>
        <v>1</v>
      </c>
      <c r="H38" s="1945">
        <f>IFERROR(VLOOKUP($B38,F13_21_22!$B$14:$H$198,7,0),0)</f>
        <v>3.6</v>
      </c>
      <c r="I38" s="1945"/>
      <c r="J38" s="1945">
        <v>2.098316612903226</v>
      </c>
      <c r="K38" s="1945">
        <v>0</v>
      </c>
      <c r="L38" s="1945">
        <v>0.4220069610790419</v>
      </c>
      <c r="M38" s="1945"/>
      <c r="N38" s="1945">
        <f t="shared" si="6"/>
        <v>0.4220069610790419</v>
      </c>
      <c r="O38" s="1947">
        <f t="shared" si="1"/>
        <v>2.0111691366497548</v>
      </c>
      <c r="P38" s="1948">
        <f t="shared" si="2"/>
        <v>0</v>
      </c>
      <c r="Q38" s="1782">
        <f t="shared" si="3"/>
        <v>2.0111691366497548</v>
      </c>
      <c r="R38" s="1781"/>
      <c r="S38" s="1782">
        <f t="shared" si="7"/>
        <v>0</v>
      </c>
    </row>
    <row r="39" spans="1:21">
      <c r="A39" s="1797">
        <v>7</v>
      </c>
      <c r="B39" s="1798" t="s">
        <v>1673</v>
      </c>
      <c r="C39" s="1945">
        <f>IFERROR(VLOOKUP($B39,F13_21_22!$B$14:$H$198,2,0),0)</f>
        <v>3</v>
      </c>
      <c r="D39" s="1946">
        <f>IFERROR(VLOOKUP($B39,F13_21_22!$B$14:$H$198,3,0),0)</f>
        <v>9.0759339720525523E-2</v>
      </c>
      <c r="E39" s="1945" t="str">
        <f>IFERROR(VLOOKUP($B39,F13_21_22!$B$14:$H$198,4,0),0)</f>
        <v xml:space="preserve">Must Run </v>
      </c>
      <c r="F39" s="1776">
        <f>IFERROR(VLOOKUP($B39,F13_21_22!$B$14:$H$198,5,0),0)</f>
        <v>0.01</v>
      </c>
      <c r="G39" s="1776">
        <f>IFERROR(VLOOKUP($B39,F13_21_22!$B$14:$H$198,6,0),0)</f>
        <v>1</v>
      </c>
      <c r="H39" s="1945">
        <f>IFERROR(VLOOKUP($B39,F13_21_22!$B$14:$H$198,7,0),0)</f>
        <v>3</v>
      </c>
      <c r="I39" s="1945"/>
      <c r="J39" s="1945">
        <v>2.361906871612903</v>
      </c>
      <c r="K39" s="1945">
        <v>0</v>
      </c>
      <c r="L39" s="1945">
        <v>0.43624755841751722</v>
      </c>
      <c r="M39" s="1945"/>
      <c r="N39" s="1945">
        <f t="shared" si="6"/>
        <v>0.43624755841751722</v>
      </c>
      <c r="O39" s="1947">
        <f t="shared" si="1"/>
        <v>1.8470142225362669</v>
      </c>
      <c r="P39" s="1948">
        <f t="shared" si="2"/>
        <v>0</v>
      </c>
      <c r="Q39" s="1782">
        <f t="shared" si="3"/>
        <v>1.8470142225362669</v>
      </c>
      <c r="R39" s="1781"/>
      <c r="S39" s="1782">
        <f t="shared" si="7"/>
        <v>0</v>
      </c>
    </row>
    <row r="40" spans="1:21">
      <c r="A40" s="1797">
        <v>8</v>
      </c>
      <c r="B40" s="1798" t="s">
        <v>1674</v>
      </c>
      <c r="C40" s="1945">
        <f>IFERROR(VLOOKUP($B40,F13_21_22!$B$14:$H$198,2,0),0)</f>
        <v>3</v>
      </c>
      <c r="D40" s="1946">
        <f>IFERROR(VLOOKUP($B40,F13_21_22!$B$14:$H$198,3,0),0)</f>
        <v>9.2201368901077677E-2</v>
      </c>
      <c r="E40" s="1945" t="str">
        <f>IFERROR(VLOOKUP($B40,F13_21_22!$B$14:$H$198,4,0),0)</f>
        <v xml:space="preserve">Must Run </v>
      </c>
      <c r="F40" s="1776">
        <f>IFERROR(VLOOKUP($B40,F13_21_22!$B$14:$H$198,5,0),0)</f>
        <v>0.01</v>
      </c>
      <c r="G40" s="1776">
        <f>IFERROR(VLOOKUP($B40,F13_21_22!$B$14:$H$198,6,0),0)</f>
        <v>1</v>
      </c>
      <c r="H40" s="1945">
        <f>IFERROR(VLOOKUP($B40,F13_21_22!$B$14:$H$198,7,0),0)</f>
        <v>3</v>
      </c>
      <c r="I40" s="1945"/>
      <c r="J40" s="1945">
        <v>2.4014571774193545</v>
      </c>
      <c r="K40" s="1945">
        <v>0</v>
      </c>
      <c r="L40" s="1945">
        <v>0.78563925936621004</v>
      </c>
      <c r="M40" s="1945"/>
      <c r="N40" s="1945">
        <f t="shared" si="6"/>
        <v>0.78563925936621004</v>
      </c>
      <c r="O40" s="1947">
        <f t="shared" si="1"/>
        <v>3.2715105926247285</v>
      </c>
      <c r="P40" s="1948">
        <f t="shared" si="2"/>
        <v>0</v>
      </c>
      <c r="Q40" s="1782">
        <f t="shared" si="3"/>
        <v>3.2715105926247285</v>
      </c>
      <c r="R40" s="1781"/>
      <c r="S40" s="1782">
        <f t="shared" si="7"/>
        <v>0</v>
      </c>
    </row>
    <row r="41" spans="1:21">
      <c r="A41" s="1797"/>
      <c r="B41" s="1798" t="s">
        <v>211</v>
      </c>
      <c r="C41" s="1937">
        <f>SUM(C33:C40)</f>
        <v>524.30000000000007</v>
      </c>
      <c r="D41" s="1950"/>
      <c r="E41" s="1937"/>
      <c r="F41" s="1937"/>
      <c r="G41" s="1937"/>
      <c r="H41" s="1937">
        <f>SUM(H33:H40)</f>
        <v>454.90000000000003</v>
      </c>
      <c r="I41" s="1937"/>
      <c r="J41" s="1937">
        <f>SUM(J33:J40)</f>
        <v>1156.0649662706885</v>
      </c>
      <c r="K41" s="1937">
        <f>SUM(K33:K40)</f>
        <v>44.366161127872502</v>
      </c>
      <c r="L41" s="1937">
        <f>SUM(L33:L40)</f>
        <v>114.13781324055329</v>
      </c>
      <c r="M41" s="1937">
        <f>SUM(M33:M40)</f>
        <v>0</v>
      </c>
      <c r="N41" s="1937">
        <f>SUM(N33:N40)</f>
        <v>158.50397436842576</v>
      </c>
      <c r="O41" s="1947">
        <f t="shared" si="1"/>
        <v>1.3710645940577066</v>
      </c>
      <c r="P41" s="1948">
        <f t="shared" si="2"/>
        <v>0.38376875367992358</v>
      </c>
      <c r="Q41" s="1782">
        <f t="shared" si="3"/>
        <v>0.98729584037778306</v>
      </c>
      <c r="R41" s="1356">
        <f>H41*(1-F41)*24*365*D41*2.5/10^4</f>
        <v>0</v>
      </c>
      <c r="S41" s="1782">
        <f t="shared" si="7"/>
        <v>0</v>
      </c>
    </row>
    <row r="42" spans="1:21">
      <c r="A42" s="1797"/>
      <c r="B42" s="1798"/>
      <c r="C42" s="1798"/>
      <c r="D42" s="1949"/>
      <c r="E42" s="1798"/>
      <c r="F42" s="1798"/>
      <c r="G42" s="1777"/>
      <c r="H42" s="1798"/>
      <c r="I42" s="1945"/>
      <c r="J42" s="1945"/>
      <c r="K42" s="1937"/>
      <c r="L42" s="1937"/>
      <c r="M42" s="1937"/>
      <c r="N42" s="1937"/>
      <c r="O42" s="1947"/>
      <c r="P42" s="1948"/>
      <c r="Q42" s="1782"/>
    </row>
    <row r="43" spans="1:21">
      <c r="A43" s="1797"/>
      <c r="B43" s="1798"/>
      <c r="C43" s="1798"/>
      <c r="D43" s="1949"/>
      <c r="E43" s="1798"/>
      <c r="F43" s="1798"/>
      <c r="G43" s="1777"/>
      <c r="H43" s="1798"/>
      <c r="I43" s="1945"/>
      <c r="J43" s="1945"/>
      <c r="K43" s="1937"/>
      <c r="L43" s="1937"/>
      <c r="M43" s="1937"/>
      <c r="N43" s="1937"/>
      <c r="O43" s="1947"/>
      <c r="P43" s="1948"/>
      <c r="Q43" s="1782"/>
    </row>
    <row r="44" spans="1:21" s="1358" customFormat="1">
      <c r="A44" s="1797" t="s">
        <v>24</v>
      </c>
      <c r="B44" s="1798" t="s">
        <v>1675</v>
      </c>
      <c r="C44" s="1798"/>
      <c r="D44" s="1949"/>
      <c r="E44" s="1798"/>
      <c r="F44" s="1798"/>
      <c r="G44" s="1777"/>
      <c r="H44" s="1798"/>
      <c r="I44" s="1945"/>
      <c r="J44" s="1945"/>
      <c r="K44" s="1957"/>
      <c r="L44" s="1957"/>
      <c r="M44" s="1957"/>
      <c r="N44" s="1957"/>
      <c r="O44" s="1947"/>
      <c r="P44" s="1948"/>
      <c r="Q44" s="1782"/>
    </row>
    <row r="45" spans="1:21">
      <c r="A45" s="1859" t="s">
        <v>19</v>
      </c>
      <c r="B45" s="1798" t="s">
        <v>1676</v>
      </c>
      <c r="C45" s="1798"/>
      <c r="D45" s="1949"/>
      <c r="E45" s="1798"/>
      <c r="F45" s="1798"/>
      <c r="G45" s="1777"/>
      <c r="H45" s="1798"/>
      <c r="I45" s="1945"/>
      <c r="J45" s="1945"/>
      <c r="K45" s="1937"/>
      <c r="L45" s="1937"/>
      <c r="M45" s="1937"/>
      <c r="N45" s="1937"/>
      <c r="O45" s="1947"/>
      <c r="P45" s="1948"/>
      <c r="Q45" s="1782"/>
    </row>
    <row r="46" spans="1:21">
      <c r="A46" s="1797">
        <v>1</v>
      </c>
      <c r="B46" s="1798" t="s">
        <v>1677</v>
      </c>
      <c r="C46" s="1945">
        <f>IFERROR(VLOOKUP($B46,F13_21_22!$B$14:$H$198,2,0),0)</f>
        <v>419</v>
      </c>
      <c r="D46" s="1949">
        <v>0.31942216900537662</v>
      </c>
      <c r="E46" s="1945" t="str">
        <f>IFERROR(VLOOKUP($B46,F13_21_22!$B$14:$H$198,4,0),0)</f>
        <v>Merit</v>
      </c>
      <c r="F46" s="1776">
        <f>IFERROR(VLOOKUP($B46,F13_21_22!$B$14:$H$198,5,0),0)</f>
        <v>2.75E-2</v>
      </c>
      <c r="G46" s="1777">
        <v>0.31942216900537662</v>
      </c>
      <c r="H46" s="1798">
        <v>91.2</v>
      </c>
      <c r="I46" s="1945"/>
      <c r="J46" s="1945">
        <v>42.120707937654032</v>
      </c>
      <c r="K46" s="1945">
        <v>55.230680027249996</v>
      </c>
      <c r="L46" s="1945">
        <v>19.55723651621344</v>
      </c>
      <c r="M46" s="1945"/>
      <c r="N46" s="1945">
        <f t="shared" ref="N46:N81" si="8">K46+L46</f>
        <v>74.787916543463439</v>
      </c>
      <c r="O46" s="1947">
        <f>IFERROR(N46/J46*10,0)</f>
        <v>17.755617178648219</v>
      </c>
      <c r="P46" s="1948">
        <f t="shared" si="2"/>
        <v>13.112476672757021</v>
      </c>
      <c r="Q46" s="1782">
        <f t="shared" si="3"/>
        <v>4.6431405058911999</v>
      </c>
      <c r="R46" s="1781">
        <f>H46*(1-F46)*24*365*$U$152*2.5/10^4</f>
        <v>155.38838400000003</v>
      </c>
      <c r="S46" s="1782">
        <f>R46/J46*10</f>
        <v>36.891209005793975</v>
      </c>
    </row>
    <row r="47" spans="1:21">
      <c r="A47" s="1797">
        <v>2</v>
      </c>
      <c r="B47" s="1798" t="s">
        <v>1678</v>
      </c>
      <c r="C47" s="1945">
        <f>IFERROR(VLOOKUP($B47,F13_21_22!$B$14:$H$198,2,0),0)</f>
        <v>663</v>
      </c>
      <c r="D47" s="1946">
        <f>IFERROR(VLOOKUP($B47,F13_21_22!$B$14:$H$198,3,0),0)</f>
        <v>0.58443403890813428</v>
      </c>
      <c r="E47" s="1945" t="str">
        <f>IFERROR(VLOOKUP($B47,F13_21_22!$B$14:$H$198,4,0),0)</f>
        <v>Merit</v>
      </c>
      <c r="F47" s="1776">
        <f>IFERROR(VLOOKUP($B47,F13_21_22!$B$14:$H$198,5,0),0)</f>
        <v>2.75E-2</v>
      </c>
      <c r="G47" s="1776">
        <f>IFERROR(VLOOKUP($B47,F13_21_22!$B$14:$H$198,6,0),0)</f>
        <v>0.32076923076923075</v>
      </c>
      <c r="H47" s="1945">
        <f>IFERROR(VLOOKUP($B47,F13_21_22!$B$14:$H$198,7,0),0)</f>
        <v>212.67</v>
      </c>
      <c r="I47" s="1945"/>
      <c r="J47" s="1945">
        <v>0</v>
      </c>
      <c r="K47" s="1945">
        <v>109.95806163825003</v>
      </c>
      <c r="L47" s="1945">
        <v>0</v>
      </c>
      <c r="M47" s="1945"/>
      <c r="N47" s="1945">
        <f t="shared" si="8"/>
        <v>109.95806163825003</v>
      </c>
      <c r="O47" s="1947">
        <f>IFERROR(N47/J47*10,0)</f>
        <v>0</v>
      </c>
      <c r="P47" s="1948" t="e">
        <f t="shared" si="2"/>
        <v>#DIV/0!</v>
      </c>
      <c r="Q47" s="1782" t="e">
        <f t="shared" si="3"/>
        <v>#DIV/0!</v>
      </c>
      <c r="R47" s="1781">
        <f t="shared" ref="R47:R78" si="9">H47*(1-F47)*24*365*$U$152*2.5/10^4</f>
        <v>362.35139940000005</v>
      </c>
      <c r="S47" s="1782" t="e">
        <f t="shared" ref="S47:S78" si="10">R47/J47*10</f>
        <v>#DIV/0!</v>
      </c>
    </row>
    <row r="48" spans="1:21">
      <c r="A48" s="1797">
        <v>3</v>
      </c>
      <c r="B48" s="1798" t="s">
        <v>1679</v>
      </c>
      <c r="C48" s="1945">
        <f>IFERROR(VLOOKUP($B48,F13_21_22!$B$14:$H$198,2,0),0)</f>
        <v>830</v>
      </c>
      <c r="D48" s="1946">
        <f>IFERROR(VLOOKUP($B48,F13_21_22!$B$14:$H$198,3,0),0)</f>
        <v>0.62373554196436098</v>
      </c>
      <c r="E48" s="1945" t="str">
        <f>IFERROR(VLOOKUP($B48,F13_21_22!$B$14:$H$198,4,0),0)</f>
        <v>Merit</v>
      </c>
      <c r="F48" s="1776">
        <f>IFERROR(VLOOKUP($B48,F13_21_22!$B$14:$H$198,5,0),0)</f>
        <v>2.75E-2</v>
      </c>
      <c r="G48" s="1776">
        <f>IFERROR(VLOOKUP($B48,F13_21_22!$B$14:$H$198,6,0),0)</f>
        <v>0.29591566265060243</v>
      </c>
      <c r="H48" s="1945">
        <f>IFERROR(VLOOKUP($B48,F13_21_22!$B$14:$H$198,7,0),0)</f>
        <v>245.61</v>
      </c>
      <c r="I48" s="1945"/>
      <c r="J48" s="1945">
        <v>443.41176788999996</v>
      </c>
      <c r="K48" s="1945">
        <v>116.83909290375003</v>
      </c>
      <c r="L48" s="1945">
        <v>175.25962546739112</v>
      </c>
      <c r="M48" s="1945"/>
      <c r="N48" s="1945">
        <f t="shared" si="8"/>
        <v>292.09871837114116</v>
      </c>
      <c r="O48" s="1947">
        <f t="shared" si="1"/>
        <v>6.5875274298900424</v>
      </c>
      <c r="P48" s="1948">
        <f t="shared" si="2"/>
        <v>2.6350020762808231</v>
      </c>
      <c r="Q48" s="1782">
        <f t="shared" si="3"/>
        <v>3.9525253536092193</v>
      </c>
      <c r="R48" s="1781">
        <f t="shared" si="9"/>
        <v>418.47523020000006</v>
      </c>
      <c r="S48" s="1782">
        <f t="shared" si="10"/>
        <v>9.4376212023270867</v>
      </c>
    </row>
    <row r="49" spans="1:19">
      <c r="A49" s="1797">
        <v>4</v>
      </c>
      <c r="B49" s="1798" t="s">
        <v>1680</v>
      </c>
      <c r="C49" s="1945">
        <f>IFERROR(VLOOKUP($B49,F13_21_22!$B$14:$H$198,2,0),0)</f>
        <v>657.39</v>
      </c>
      <c r="D49" s="1946">
        <f>IFERROR(VLOOKUP($B49,F13_21_22!$B$14:$H$198,3,0),0)</f>
        <v>0.82500000000000018</v>
      </c>
      <c r="E49" s="1945" t="str">
        <f>IFERROR(VLOOKUP($B49,F13_21_22!$B$14:$H$198,4,0),0)</f>
        <v>Merit</v>
      </c>
      <c r="F49" s="1776">
        <f>IFERROR(VLOOKUP($B49,F13_21_22!$B$14:$H$198,5,0),0)</f>
        <v>2.75E-2</v>
      </c>
      <c r="G49" s="1776">
        <f>IFERROR(VLOOKUP($B49,F13_21_22!$B$14:$H$198,6,0),0)</f>
        <v>3.0423340787051827E-5</v>
      </c>
      <c r="H49" s="1945">
        <f>IFERROR(VLOOKUP($B49,F13_21_22!$B$14:$H$198,7,0),0)</f>
        <v>0.02</v>
      </c>
      <c r="I49" s="1945"/>
      <c r="J49" s="1945">
        <v>0.14074020000000001</v>
      </c>
      <c r="K49" s="1945">
        <v>0.18888007950000002</v>
      </c>
      <c r="L49" s="1945">
        <v>2.9519319447366393E-2</v>
      </c>
      <c r="M49" s="1945"/>
      <c r="N49" s="1945">
        <f t="shared" si="8"/>
        <v>0.2183993989473664</v>
      </c>
      <c r="O49" s="1947">
        <f t="shared" si="1"/>
        <v>15.517911651920802</v>
      </c>
      <c r="P49" s="1958">
        <f t="shared" si="2"/>
        <v>13.420478264205965</v>
      </c>
      <c r="Q49" s="1895">
        <f t="shared" si="3"/>
        <v>2.0974333877148386</v>
      </c>
      <c r="R49" s="1781">
        <f t="shared" si="9"/>
        <v>3.40764E-2</v>
      </c>
      <c r="S49" s="1782">
        <f t="shared" si="10"/>
        <v>2.4212271973466</v>
      </c>
    </row>
    <row r="50" spans="1:19">
      <c r="A50" s="1797">
        <v>5</v>
      </c>
      <c r="B50" s="1798" t="s">
        <v>1681</v>
      </c>
      <c r="C50" s="1945">
        <f>IFERROR(VLOOKUP($B50,F13_21_22!$B$14:$H$198,2,0),0)</f>
        <v>656.2</v>
      </c>
      <c r="D50" s="1946">
        <f>IFERROR(VLOOKUP($B50,F13_21_22!$B$14:$H$198,3,0),0)</f>
        <v>0.83757081310101889</v>
      </c>
      <c r="E50" s="1945" t="str">
        <f>IFERROR(VLOOKUP($B50,F13_21_22!$B$14:$H$198,4,0),0)</f>
        <v>Merit</v>
      </c>
      <c r="F50" s="1776">
        <f>IFERROR(VLOOKUP($B50,F13_21_22!$B$14:$H$198,5,0),0)</f>
        <v>2.75E-2</v>
      </c>
      <c r="G50" s="1776">
        <f>IFERROR(VLOOKUP($B50,F13_21_22!$B$14:$H$198,6,0),0)</f>
        <v>3.0478512648582749E-5</v>
      </c>
      <c r="H50" s="1945">
        <f>IFERROR(VLOOKUP($B50,F13_21_22!$B$14:$H$198,7,0),0)</f>
        <v>0.02</v>
      </c>
      <c r="I50" s="1945"/>
      <c r="J50" s="1945">
        <v>0.14285270000000003</v>
      </c>
      <c r="K50" s="1945">
        <v>0.16558513649999998</v>
      </c>
      <c r="L50" s="1945">
        <v>3.0123999235904891E-2</v>
      </c>
      <c r="M50" s="1945"/>
      <c r="N50" s="1945">
        <f t="shared" si="8"/>
        <v>0.19570913573590487</v>
      </c>
      <c r="O50" s="1947">
        <f t="shared" si="1"/>
        <v>13.700065573552676</v>
      </c>
      <c r="P50" s="1958">
        <f t="shared" si="2"/>
        <v>11.591320045053397</v>
      </c>
      <c r="Q50" s="1895">
        <f t="shared" si="3"/>
        <v>2.1087455284992784</v>
      </c>
      <c r="R50" s="1781">
        <f t="shared" si="9"/>
        <v>3.40764E-2</v>
      </c>
      <c r="S50" s="1782">
        <f t="shared" si="10"/>
        <v>2.3854221866300036</v>
      </c>
    </row>
    <row r="51" spans="1:19">
      <c r="A51" s="1797">
        <v>6</v>
      </c>
      <c r="B51" s="1798" t="s">
        <v>1682</v>
      </c>
      <c r="C51" s="1945">
        <f>IFERROR(VLOOKUP($B51,F13_21_22!$B$14:$H$198,2,0),0)</f>
        <v>440</v>
      </c>
      <c r="D51" s="1946">
        <f>IFERROR(VLOOKUP($B51,F13_21_22!$B$14:$H$198,3,0),0)</f>
        <v>0.60429331789400254</v>
      </c>
      <c r="E51" s="1945" t="str">
        <f>IFERROR(VLOOKUP($B51,F13_21_22!$B$14:$H$198,4,0),0)</f>
        <v>Merit</v>
      </c>
      <c r="F51" s="1776">
        <f>IFERROR(VLOOKUP($B51,F13_21_22!$B$14:$H$198,5,0),0)</f>
        <v>0.115</v>
      </c>
      <c r="G51" s="1776">
        <f>IFERROR(VLOOKUP($B51,F13_21_22!$B$14:$H$198,6,0),0)</f>
        <v>1</v>
      </c>
      <c r="H51" s="1945">
        <f>IFERROR(VLOOKUP($B51,F13_21_22!$B$14:$H$198,7,0),0)</f>
        <v>440</v>
      </c>
      <c r="I51" s="1945"/>
      <c r="J51" s="1945">
        <v>921.97859845161292</v>
      </c>
      <c r="K51" s="1945">
        <v>370.39982225400007</v>
      </c>
      <c r="L51" s="1945">
        <v>333.04445765648506</v>
      </c>
      <c r="M51" s="1945"/>
      <c r="N51" s="1945">
        <f t="shared" si="8"/>
        <v>703.44427991048519</v>
      </c>
      <c r="O51" s="1947">
        <f t="shared" si="1"/>
        <v>7.629724606317998</v>
      </c>
      <c r="P51" s="1948">
        <f t="shared" si="2"/>
        <v>4.0174449046437308</v>
      </c>
      <c r="Q51" s="1782">
        <f t="shared" si="3"/>
        <v>3.6122797016742663</v>
      </c>
      <c r="R51" s="1781">
        <f t="shared" si="9"/>
        <v>682.22879999999986</v>
      </c>
      <c r="S51" s="1782">
        <f t="shared" si="10"/>
        <v>7.3996164460405804</v>
      </c>
    </row>
    <row r="52" spans="1:19">
      <c r="A52" s="1797">
        <v>7</v>
      </c>
      <c r="B52" s="1798" t="s">
        <v>1683</v>
      </c>
      <c r="C52" s="1945">
        <f>IFERROR(VLOOKUP($B52,F13_21_22!$B$14:$H$198,2,0),0)</f>
        <v>420</v>
      </c>
      <c r="D52" s="1946">
        <f>IFERROR(VLOOKUP($B52,F13_21_22!$B$14:$H$198,3,0),0)</f>
        <v>0.57089542113359137</v>
      </c>
      <c r="E52" s="1945" t="str">
        <f>IFERROR(VLOOKUP($B52,F13_21_22!$B$14:$H$198,4,0),0)</f>
        <v>Merit</v>
      </c>
      <c r="F52" s="1776">
        <f>IFERROR(VLOOKUP($B52,F13_21_22!$B$14:$H$198,5,0),0)</f>
        <v>0.09</v>
      </c>
      <c r="G52" s="1776">
        <f>IFERROR(VLOOKUP($B52,F13_21_22!$B$14:$H$198,6,0),0)</f>
        <v>0.59519047619047616</v>
      </c>
      <c r="H52" s="1945">
        <f>IFERROR(VLOOKUP($B52,F13_21_22!$B$14:$H$198,7,0),0)</f>
        <v>249.98</v>
      </c>
      <c r="I52" s="1945"/>
      <c r="J52" s="1945">
        <v>530.68920810774205</v>
      </c>
      <c r="K52" s="1945">
        <v>187.05267406350004</v>
      </c>
      <c r="L52" s="1945">
        <v>174.66699580669487</v>
      </c>
      <c r="M52" s="1945"/>
      <c r="N52" s="1945">
        <f t="shared" si="8"/>
        <v>361.71966987019493</v>
      </c>
      <c r="O52" s="1947">
        <f t="shared" si="1"/>
        <v>6.8160359084739017</v>
      </c>
      <c r="P52" s="1948">
        <f t="shared" si="2"/>
        <v>3.5247122271520559</v>
      </c>
      <c r="Q52" s="1782">
        <f t="shared" si="3"/>
        <v>3.2913236813218463</v>
      </c>
      <c r="R52" s="1781">
        <f t="shared" si="9"/>
        <v>398.54811360000002</v>
      </c>
      <c r="S52" s="1782">
        <f t="shared" si="10"/>
        <v>7.5100097667538339</v>
      </c>
    </row>
    <row r="53" spans="1:19">
      <c r="A53" s="1797">
        <v>8</v>
      </c>
      <c r="B53" s="1798" t="s">
        <v>1684</v>
      </c>
      <c r="C53" s="1945">
        <f>IFERROR(VLOOKUP($B53,F13_21_22!$B$14:$H$198,2,0),0)</f>
        <v>420</v>
      </c>
      <c r="D53" s="1946">
        <f>IFERROR(VLOOKUP($B53,F13_21_22!$B$14:$H$198,3,0),0)</f>
        <v>0.84999999999999976</v>
      </c>
      <c r="E53" s="1945" t="str">
        <f>IFERROR(VLOOKUP($B53,F13_21_22!$B$14:$H$198,4,0),0)</f>
        <v>Merit</v>
      </c>
      <c r="F53" s="1776">
        <f>IFERROR(VLOOKUP($B53,F13_21_22!$B$14:$H$198,5,0),0)</f>
        <v>9.8000000000000004E-2</v>
      </c>
      <c r="G53" s="1776">
        <f>IFERROR(VLOOKUP($B53,F13_21_22!$B$14:$H$198,6,0),0)</f>
        <v>0.3069047619047619</v>
      </c>
      <c r="H53" s="1945">
        <f>IFERROR(VLOOKUP($B53,F13_21_22!$B$14:$H$198,7,0),0)</f>
        <v>128.9</v>
      </c>
      <c r="I53" s="1945"/>
      <c r="J53" s="1945">
        <v>362.89505736000001</v>
      </c>
      <c r="K53" s="1945">
        <v>94.184799093000009</v>
      </c>
      <c r="L53" s="1945">
        <v>121.73326767479455</v>
      </c>
      <c r="M53" s="1945"/>
      <c r="N53" s="1945">
        <f t="shared" si="8"/>
        <v>215.91806676779456</v>
      </c>
      <c r="O53" s="1947">
        <f t="shared" si="1"/>
        <v>5.9498762076993241</v>
      </c>
      <c r="P53" s="1948">
        <f t="shared" si="2"/>
        <v>2.595372882126818</v>
      </c>
      <c r="Q53" s="1782">
        <f t="shared" si="3"/>
        <v>3.3545033255725065</v>
      </c>
      <c r="R53" s="1781">
        <f t="shared" si="9"/>
        <v>203.7011856</v>
      </c>
      <c r="S53" s="1782">
        <f t="shared" si="10"/>
        <v>5.6132256824298343</v>
      </c>
    </row>
    <row r="54" spans="1:19">
      <c r="A54" s="1797">
        <v>9</v>
      </c>
      <c r="B54" s="1798" t="s">
        <v>1685</v>
      </c>
      <c r="C54" s="1945">
        <f>IFERROR(VLOOKUP($B54,F13_21_22!$B$14:$H$198,2,0),0)</f>
        <v>210</v>
      </c>
      <c r="D54" s="1946">
        <f>IFERROR(VLOOKUP($B54,F13_21_22!$B$14:$H$198,3,0),0)</f>
        <v>0.84999999999999976</v>
      </c>
      <c r="E54" s="1945" t="str">
        <f>IFERROR(VLOOKUP($B54,F13_21_22!$B$14:$H$198,4,0),0)</f>
        <v>Merit</v>
      </c>
      <c r="F54" s="1776">
        <f>IFERROR(VLOOKUP($B54,F13_21_22!$B$14:$H$198,5,0),0)</f>
        <v>0.09</v>
      </c>
      <c r="G54" s="1776">
        <f>IFERROR(VLOOKUP($B54,F13_21_22!$B$14:$H$198,6,0),0)</f>
        <v>0.3</v>
      </c>
      <c r="H54" s="1945">
        <f>IFERROR(VLOOKUP($B54,F13_21_22!$B$14:$H$198,7,0),0)</f>
        <v>63</v>
      </c>
      <c r="I54" s="1945"/>
      <c r="J54" s="1945">
        <v>178.93839600000001</v>
      </c>
      <c r="K54" s="1945">
        <v>62.025115760999995</v>
      </c>
      <c r="L54" s="1945">
        <v>61.447946188870503</v>
      </c>
      <c r="M54" s="1945"/>
      <c r="N54" s="1945">
        <f t="shared" si="8"/>
        <v>123.4730619498705</v>
      </c>
      <c r="O54" s="1947">
        <f t="shared" si="1"/>
        <v>6.9003112082143891</v>
      </c>
      <c r="P54" s="1948">
        <f t="shared" si="2"/>
        <v>3.4662832096136591</v>
      </c>
      <c r="Q54" s="1782">
        <f t="shared" si="3"/>
        <v>3.4340279986007305</v>
      </c>
      <c r="R54" s="1781">
        <f t="shared" si="9"/>
        <v>100.44216000000002</v>
      </c>
      <c r="S54" s="1782">
        <f t="shared" si="10"/>
        <v>5.6132256824298352</v>
      </c>
    </row>
    <row r="55" spans="1:19">
      <c r="A55" s="1797">
        <v>10</v>
      </c>
      <c r="B55" s="1798" t="s">
        <v>1686</v>
      </c>
      <c r="C55" s="1945">
        <f>IFERROR(VLOOKUP($B55,F13_21_22!$B$14:$H$198,2,0),0)</f>
        <v>500</v>
      </c>
      <c r="D55" s="1946">
        <f>IFERROR(VLOOKUP($B55,F13_21_22!$B$14:$H$198,3,0),0)</f>
        <v>0.79999999999999993</v>
      </c>
      <c r="E55" s="1945" t="str">
        <f>IFERROR(VLOOKUP($B55,F13_21_22!$B$14:$H$198,4,0),0)</f>
        <v>Merit</v>
      </c>
      <c r="F55" s="1776">
        <f>IFERROR(VLOOKUP($B55,F13_21_22!$B$14:$H$198,5,0),0)</f>
        <v>6.25E-2</v>
      </c>
      <c r="G55" s="1776">
        <f>IFERROR(VLOOKUP($B55,F13_21_22!$B$14:$H$198,6,0),0)</f>
        <v>0.44588</v>
      </c>
      <c r="H55" s="1945">
        <f>IFERROR(VLOOKUP($B55,F13_21_22!$B$14:$H$198,7,0),0)</f>
        <v>222.94</v>
      </c>
      <c r="I55" s="1945"/>
      <c r="J55" s="1945">
        <v>613.97676000000001</v>
      </c>
      <c r="K55" s="1945">
        <v>254.22843422025005</v>
      </c>
      <c r="L55" s="1945">
        <v>203.69944235281258</v>
      </c>
      <c r="M55" s="1945"/>
      <c r="N55" s="1945">
        <f t="shared" si="8"/>
        <v>457.92787657306263</v>
      </c>
      <c r="O55" s="1947">
        <f t="shared" si="1"/>
        <v>7.4583910402905582</v>
      </c>
      <c r="P55" s="1948">
        <f t="shared" si="2"/>
        <v>4.1406849702299811</v>
      </c>
      <c r="Q55" s="1782">
        <f t="shared" si="3"/>
        <v>3.3177060700605763</v>
      </c>
      <c r="R55" s="1781">
        <f t="shared" si="9"/>
        <v>366.17894999999993</v>
      </c>
      <c r="S55" s="1782">
        <f t="shared" si="10"/>
        <v>5.9640522875816977</v>
      </c>
    </row>
    <row r="56" spans="1:19">
      <c r="A56" s="1797">
        <v>11</v>
      </c>
      <c r="B56" s="1798" t="s">
        <v>1687</v>
      </c>
      <c r="C56" s="1945">
        <f>IFERROR(VLOOKUP($B56,F13_21_22!$B$14:$H$198,2,0),0)</f>
        <v>1600</v>
      </c>
      <c r="D56" s="1946">
        <f>IFERROR(VLOOKUP($B56,F13_21_22!$B$14:$H$198,3,0),0)</f>
        <v>0</v>
      </c>
      <c r="E56" s="1945" t="str">
        <f>IFERROR(VLOOKUP($B56,F13_21_22!$B$14:$H$198,4,0),0)</f>
        <v>Merit</v>
      </c>
      <c r="F56" s="1776">
        <f>IFERROR(VLOOKUP($B56,F13_21_22!$B$14:$H$198,5,0),0)</f>
        <v>6.7799999999999999E-2</v>
      </c>
      <c r="G56" s="1776">
        <f>IFERROR(VLOOKUP($B56,F13_21_22!$B$14:$H$198,6,0),0)</f>
        <v>0</v>
      </c>
      <c r="H56" s="1945">
        <f>IFERROR(VLOOKUP($B56,F13_21_22!$B$14:$H$198,7,0),0)</f>
        <v>0</v>
      </c>
      <c r="I56" s="1945"/>
      <c r="J56" s="1945">
        <v>0</v>
      </c>
      <c r="K56" s="1945">
        <v>0</v>
      </c>
      <c r="L56" s="1945">
        <v>0</v>
      </c>
      <c r="M56" s="1945"/>
      <c r="N56" s="1945">
        <f t="shared" si="8"/>
        <v>0</v>
      </c>
      <c r="O56" s="1947">
        <f t="shared" si="1"/>
        <v>0</v>
      </c>
      <c r="P56" s="1948"/>
      <c r="Q56" s="1782"/>
      <c r="R56" s="1781">
        <f t="shared" si="9"/>
        <v>0</v>
      </c>
      <c r="S56" s="1782"/>
    </row>
    <row r="57" spans="1:19">
      <c r="A57" s="1797">
        <v>12</v>
      </c>
      <c r="B57" s="1798" t="s">
        <v>1688</v>
      </c>
      <c r="C57" s="1945">
        <f>IFERROR(VLOOKUP($B57,F13_21_22!$B$14:$H$198,2,0),0)</f>
        <v>840</v>
      </c>
      <c r="D57" s="1946">
        <f>IFERROR(VLOOKUP($B57,F13_21_22!$B$14:$H$198,3,0),0)</f>
        <v>0.62836365323197718</v>
      </c>
      <c r="E57" s="1945" t="str">
        <f>IFERROR(VLOOKUP($B57,F13_21_22!$B$14:$H$198,4,0),0)</f>
        <v>Merit</v>
      </c>
      <c r="F57" s="1776">
        <f>IFERROR(VLOOKUP($B57,F13_21_22!$B$14:$H$198,5,0),0)</f>
        <v>0.09</v>
      </c>
      <c r="G57" s="1776">
        <f>IFERROR(VLOOKUP($B57,F13_21_22!$B$14:$H$198,6,0),0)</f>
        <v>9.166666666666666E-2</v>
      </c>
      <c r="H57" s="1945">
        <f>IFERROR(VLOOKUP($B57,F13_21_22!$B$14:$H$198,7,0),0)</f>
        <v>77</v>
      </c>
      <c r="I57" s="1945"/>
      <c r="J57" s="1945">
        <v>199.58186117683073</v>
      </c>
      <c r="K57" s="1945">
        <v>51.665261397750001</v>
      </c>
      <c r="L57" s="1945">
        <v>48.83701879150906</v>
      </c>
      <c r="M57" s="1945"/>
      <c r="N57" s="1945">
        <f t="shared" si="8"/>
        <v>100.50228018925907</v>
      </c>
      <c r="O57" s="1947">
        <f t="shared" si="1"/>
        <v>5.0356419965546593</v>
      </c>
      <c r="P57" s="1948">
        <f t="shared" si="2"/>
        <v>2.5886751978915696</v>
      </c>
      <c r="Q57" s="1782">
        <f t="shared" si="3"/>
        <v>2.4469667986630892</v>
      </c>
      <c r="R57" s="1781">
        <f t="shared" si="9"/>
        <v>122.76264000000002</v>
      </c>
      <c r="S57" s="1782">
        <f t="shared" si="10"/>
        <v>6.1509918424516332</v>
      </c>
    </row>
    <row r="58" spans="1:19">
      <c r="A58" s="1797">
        <v>13</v>
      </c>
      <c r="B58" s="1798" t="s">
        <v>1689</v>
      </c>
      <c r="C58" s="1945">
        <f>IFERROR(VLOOKUP($B58,F13_21_22!$B$14:$H$198,2,0),0)</f>
        <v>1500</v>
      </c>
      <c r="D58" s="1946">
        <f>IFERROR(VLOOKUP($B58,F13_21_22!$B$14:$H$198,3,0),0)</f>
        <v>0.88824945348201256</v>
      </c>
      <c r="E58" s="1945" t="str">
        <f>IFERROR(VLOOKUP($B58,F13_21_22!$B$14:$H$198,4,0),0)</f>
        <v>Merit</v>
      </c>
      <c r="F58" s="1776">
        <f>IFERROR(VLOOKUP($B58,F13_21_22!$B$14:$H$198,5,0),0)</f>
        <v>6.25E-2</v>
      </c>
      <c r="G58" s="1776">
        <f>IFERROR(VLOOKUP($B58,F13_21_22!$B$14:$H$198,6,0),0)</f>
        <v>0.1</v>
      </c>
      <c r="H58" s="1945">
        <f>IFERROR(VLOOKUP($B58,F13_21_22!$B$14:$H$198,7,0),0)</f>
        <v>150</v>
      </c>
      <c r="I58" s="1945"/>
      <c r="J58" s="1945">
        <v>626.63558598064515</v>
      </c>
      <c r="K58" s="1945">
        <v>152.99649426600004</v>
      </c>
      <c r="L58" s="1945">
        <v>149.73926646496241</v>
      </c>
      <c r="M58" s="1945"/>
      <c r="N58" s="1945">
        <f t="shared" si="8"/>
        <v>302.73576073096245</v>
      </c>
      <c r="O58" s="1947">
        <f t="shared" si="1"/>
        <v>4.8311294076476692</v>
      </c>
      <c r="P58" s="1948">
        <f t="shared" si="2"/>
        <v>2.4415545125253328</v>
      </c>
      <c r="Q58" s="1782">
        <f t="shared" si="3"/>
        <v>2.3895748951223368</v>
      </c>
      <c r="R58" s="1781">
        <f t="shared" si="9"/>
        <v>246.375</v>
      </c>
      <c r="S58" s="1782">
        <f t="shared" si="10"/>
        <v>3.9317109578837384</v>
      </c>
    </row>
    <row r="59" spans="1:19">
      <c r="A59" s="1797">
        <v>14</v>
      </c>
      <c r="B59" s="1798" t="s">
        <v>1690</v>
      </c>
      <c r="C59" s="1945">
        <f>IFERROR(VLOOKUP($B59,F13_21_22!$B$14:$H$198,2,0),0)</f>
        <v>840</v>
      </c>
      <c r="D59" s="1946">
        <f>IFERROR(VLOOKUP($B59,F13_21_22!$B$14:$H$198,3,0),0)</f>
        <v>0.57394223297426106</v>
      </c>
      <c r="E59" s="1945" t="str">
        <f>IFERROR(VLOOKUP($B59,F13_21_22!$B$14:$H$198,4,0),0)</f>
        <v>Merit</v>
      </c>
      <c r="F59" s="1776">
        <f>IFERROR(VLOOKUP($B59,F13_21_22!$B$14:$H$198,5,0),0)</f>
        <v>8.5000000000000006E-2</v>
      </c>
      <c r="G59" s="1776">
        <f>IFERROR(VLOOKUP($B59,F13_21_22!$B$14:$H$198,6,0),0)</f>
        <v>0.1</v>
      </c>
      <c r="H59" s="1945">
        <f>IFERROR(VLOOKUP($B59,F13_21_22!$B$14:$H$198,7,0),0)</f>
        <v>84</v>
      </c>
      <c r="I59" s="1945"/>
      <c r="J59" s="1945">
        <v>220.61885025999999</v>
      </c>
      <c r="K59" s="1945">
        <v>56.287445791500005</v>
      </c>
      <c r="L59" s="1945">
        <v>73.787611636918498</v>
      </c>
      <c r="M59" s="1945"/>
      <c r="N59" s="1945">
        <f t="shared" si="8"/>
        <v>130.07505742841852</v>
      </c>
      <c r="O59" s="1947">
        <f t="shared" si="1"/>
        <v>5.8959176550473664</v>
      </c>
      <c r="P59" s="1948">
        <f t="shared" si="2"/>
        <v>2.5513434470882732</v>
      </c>
      <c r="Q59" s="1782">
        <f t="shared" si="3"/>
        <v>3.3445742079590919</v>
      </c>
      <c r="R59" s="1781">
        <f t="shared" si="9"/>
        <v>134.65871999999999</v>
      </c>
      <c r="S59" s="1782">
        <f t="shared" si="10"/>
        <v>6.1036815231927957</v>
      </c>
    </row>
    <row r="60" spans="1:19">
      <c r="A60" s="1797">
        <v>15</v>
      </c>
      <c r="B60" s="1798" t="s">
        <v>1691</v>
      </c>
      <c r="C60" s="1945">
        <f>IFERROR(VLOOKUP($B60,F13_21_22!$B$14:$H$198,2,0),0)</f>
        <v>980</v>
      </c>
      <c r="D60" s="1946">
        <f>IFERROR(VLOOKUP($B60,F13_21_22!$B$14:$H$198,3,0),0)</f>
        <v>0.85</v>
      </c>
      <c r="E60" s="1945" t="str">
        <f>IFERROR(VLOOKUP($B60,F13_21_22!$B$14:$H$198,4,0),0)</f>
        <v>Merit</v>
      </c>
      <c r="F60" s="1776">
        <f>IFERROR(VLOOKUP($B60,F13_21_22!$B$14:$H$198,5,0),0)</f>
        <v>5.7500000000000002E-2</v>
      </c>
      <c r="G60" s="1776">
        <f>IFERROR(VLOOKUP($B60,F13_21_22!$B$14:$H$198,6,0),0)</f>
        <v>0.1</v>
      </c>
      <c r="H60" s="1945">
        <f>IFERROR(VLOOKUP($B60,F13_21_22!$B$14:$H$198,7,0),0)</f>
        <v>98</v>
      </c>
      <c r="I60" s="1945"/>
      <c r="J60" s="1945">
        <v>128.0922791979269</v>
      </c>
      <c r="K60" s="1945">
        <v>118.55074829850001</v>
      </c>
      <c r="L60" s="1945">
        <v>49.642991937762282</v>
      </c>
      <c r="M60" s="1945"/>
      <c r="N60" s="1945">
        <f t="shared" si="8"/>
        <v>168.1937402362623</v>
      </c>
      <c r="O60" s="1947">
        <f t="shared" si="1"/>
        <v>13.130669646089366</v>
      </c>
      <c r="P60" s="1948">
        <f t="shared" si="2"/>
        <v>9.255104916613794</v>
      </c>
      <c r="Q60" s="1782">
        <f t="shared" si="3"/>
        <v>3.8755647294755708</v>
      </c>
      <c r="R60" s="1781">
        <f t="shared" si="9"/>
        <v>161.82347999999999</v>
      </c>
      <c r="S60" s="1782">
        <f t="shared" si="10"/>
        <v>12.63335159724592</v>
      </c>
    </row>
    <row r="61" spans="1:19">
      <c r="A61" s="1797">
        <v>16</v>
      </c>
      <c r="B61" s="1798" t="s">
        <v>1692</v>
      </c>
      <c r="C61" s="1945">
        <f>IFERROR(VLOOKUP($B61,F13_21_22!$B$14:$H$198,2,0),0)</f>
        <v>1000</v>
      </c>
      <c r="D61" s="1946">
        <f>IFERROR(VLOOKUP($B61,F13_21_22!$B$14:$H$198,3,0),0)</f>
        <v>0.85600515006017286</v>
      </c>
      <c r="E61" s="1945" t="str">
        <f>IFERROR(VLOOKUP($B61,F13_21_22!$B$14:$H$198,4,0),0)</f>
        <v>Merit</v>
      </c>
      <c r="F61" s="1776">
        <f>IFERROR(VLOOKUP($B61,F13_21_22!$B$14:$H$198,5,0),0)</f>
        <v>0.08</v>
      </c>
      <c r="G61" s="1776">
        <f>IFERROR(VLOOKUP($B61,F13_21_22!$B$14:$H$198,6,0),0)</f>
        <v>0.32569999999999999</v>
      </c>
      <c r="H61" s="1945">
        <f>IFERROR(VLOOKUP($B61,F13_21_22!$B$14:$H$198,7,0),0)</f>
        <v>325.7</v>
      </c>
      <c r="I61" s="1945"/>
      <c r="J61" s="1945">
        <v>2247.3336537638711</v>
      </c>
      <c r="K61" s="1945">
        <v>190.09767785400004</v>
      </c>
      <c r="L61" s="1945">
        <v>353.02521493593321</v>
      </c>
      <c r="M61" s="1945"/>
      <c r="N61" s="1945">
        <f t="shared" si="8"/>
        <v>543.1228927899333</v>
      </c>
      <c r="O61" s="1947">
        <f t="shared" si="1"/>
        <v>2.4167434678882782</v>
      </c>
      <c r="P61" s="1948">
        <f t="shared" si="2"/>
        <v>0.84588097337314083</v>
      </c>
      <c r="Q61" s="1782">
        <f t="shared" si="3"/>
        <v>1.5708624945151373</v>
      </c>
      <c r="R61" s="1781">
        <f t="shared" si="9"/>
        <v>524.97628800000007</v>
      </c>
      <c r="S61" s="1782">
        <f t="shared" si="10"/>
        <v>2.3359962020804574</v>
      </c>
    </row>
    <row r="62" spans="1:19">
      <c r="A62" s="1797">
        <v>17</v>
      </c>
      <c r="B62" s="1798" t="s">
        <v>1693</v>
      </c>
      <c r="C62" s="1945">
        <f>IFERROR(VLOOKUP($B62,F13_21_22!$B$14:$H$198,2,0),0)</f>
        <v>1000</v>
      </c>
      <c r="D62" s="1946">
        <f>IFERROR(VLOOKUP($B62,F13_21_22!$B$14:$H$198,3,0),0)</f>
        <v>0.85340018040083099</v>
      </c>
      <c r="E62" s="1945" t="str">
        <f>IFERROR(VLOOKUP($B62,F13_21_22!$B$14:$H$198,4,0),0)</f>
        <v>Merit</v>
      </c>
      <c r="F62" s="1776">
        <f>IFERROR(VLOOKUP($B62,F13_21_22!$B$14:$H$198,5,0),0)</f>
        <v>6.25E-2</v>
      </c>
      <c r="G62" s="1776">
        <f>IFERROR(VLOOKUP($B62,F13_21_22!$B$14:$H$198,6,0),0)</f>
        <v>0.29599999999999999</v>
      </c>
      <c r="H62" s="1945">
        <f>IFERROR(VLOOKUP($B62,F13_21_22!$B$14:$H$198,7,0),0)</f>
        <v>296</v>
      </c>
      <c r="I62" s="1945"/>
      <c r="J62" s="1945">
        <v>2075.442810648387</v>
      </c>
      <c r="K62" s="1945">
        <v>156.08453469524997</v>
      </c>
      <c r="L62" s="1945">
        <v>317.63067266761487</v>
      </c>
      <c r="M62" s="1945"/>
      <c r="N62" s="1945">
        <f t="shared" si="8"/>
        <v>473.71520736286482</v>
      </c>
      <c r="O62" s="1947">
        <f t="shared" si="1"/>
        <v>2.2824777677919825</v>
      </c>
      <c r="P62" s="1948">
        <f t="shared" si="2"/>
        <v>0.75205413463784021</v>
      </c>
      <c r="Q62" s="1782">
        <f t="shared" si="3"/>
        <v>1.5304236331541421</v>
      </c>
      <c r="R62" s="1781">
        <f t="shared" si="9"/>
        <v>486.18</v>
      </c>
      <c r="S62" s="1782">
        <f t="shared" si="10"/>
        <v>2.3425362409678394</v>
      </c>
    </row>
    <row r="63" spans="1:19">
      <c r="A63" s="1797">
        <v>18</v>
      </c>
      <c r="B63" s="1798" t="s">
        <v>1694</v>
      </c>
      <c r="C63" s="1945">
        <f>IFERROR(VLOOKUP($B63,F13_21_22!$B$14:$H$198,2,0),0)</f>
        <v>1000</v>
      </c>
      <c r="D63" s="1946">
        <f>IFERROR(VLOOKUP($B63,F13_21_22!$B$14:$H$198,3,0),0)</f>
        <v>0.90423912876969903</v>
      </c>
      <c r="E63" s="1945" t="str">
        <f>IFERROR(VLOOKUP($B63,F13_21_22!$B$14:$H$198,4,0),0)</f>
        <v>Merit</v>
      </c>
      <c r="F63" s="1776">
        <f>IFERROR(VLOOKUP($B63,F13_21_22!$B$14:$H$198,5,0),0)</f>
        <v>6.25E-2</v>
      </c>
      <c r="G63" s="1776">
        <f>IFERROR(VLOOKUP($B63,F13_21_22!$B$14:$H$198,6,0),0)</f>
        <v>0.32</v>
      </c>
      <c r="H63" s="1945">
        <f>IFERROR(VLOOKUP($B63,F13_21_22!$B$14:$H$198,7,0),0)</f>
        <v>320</v>
      </c>
      <c r="I63" s="1945"/>
      <c r="J63" s="1945">
        <v>2375.5634976193551</v>
      </c>
      <c r="K63" s="1945">
        <v>346.78891190475002</v>
      </c>
      <c r="L63" s="1945">
        <v>374.44655008793995</v>
      </c>
      <c r="M63" s="1945"/>
      <c r="N63" s="1945">
        <f t="shared" si="8"/>
        <v>721.23546199269003</v>
      </c>
      <c r="O63" s="1947">
        <f t="shared" si="1"/>
        <v>3.0360605503303457</v>
      </c>
      <c r="P63" s="1948">
        <f t="shared" si="2"/>
        <v>1.4598174801569428</v>
      </c>
      <c r="Q63" s="1782">
        <f t="shared" si="3"/>
        <v>1.5762430701734029</v>
      </c>
      <c r="R63" s="1781">
        <f t="shared" si="9"/>
        <v>525.6</v>
      </c>
      <c r="S63" s="1782">
        <f t="shared" si="10"/>
        <v>2.2125276824918565</v>
      </c>
    </row>
    <row r="64" spans="1:19">
      <c r="A64" s="1797">
        <v>19</v>
      </c>
      <c r="B64" s="1798" t="s">
        <v>1695</v>
      </c>
      <c r="C64" s="1945">
        <f>IFERROR(VLOOKUP($B64,F13_21_22!$B$14:$H$198,2,0),0)</f>
        <v>2000</v>
      </c>
      <c r="D64" s="1946">
        <f>IFERROR(VLOOKUP($B64,F13_21_22!$B$14:$H$198,3,0),0)</f>
        <v>0.83838520933696126</v>
      </c>
      <c r="E64" s="1945" t="str">
        <f>IFERROR(VLOOKUP($B64,F13_21_22!$B$14:$H$198,4,0),0)</f>
        <v>Merit</v>
      </c>
      <c r="F64" s="1776">
        <f>IFERROR(VLOOKUP($B64,F13_21_22!$B$14:$H$198,5,0),0)</f>
        <v>7.1300000000000002E-2</v>
      </c>
      <c r="G64" s="1776">
        <f>IFERROR(VLOOKUP($B64,F13_21_22!$B$14:$H$198,6,0),0)</f>
        <v>0.37680000000000002</v>
      </c>
      <c r="H64" s="1945">
        <f>IFERROR(VLOOKUP($B64,F13_21_22!$B$14:$H$198,7,0),0)</f>
        <v>753.6</v>
      </c>
      <c r="I64" s="1945"/>
      <c r="J64" s="1945">
        <v>5140.0067124290326</v>
      </c>
      <c r="K64" s="1945">
        <v>356.25662999325004</v>
      </c>
      <c r="L64" s="1945">
        <v>789.53631667708828</v>
      </c>
      <c r="M64" s="1945"/>
      <c r="N64" s="1945">
        <f t="shared" si="8"/>
        <v>1145.7929466703383</v>
      </c>
      <c r="O64" s="1947">
        <f t="shared" si="1"/>
        <v>2.2291662458332988</v>
      </c>
      <c r="P64" s="1948">
        <f t="shared" si="2"/>
        <v>0.69310537889335266</v>
      </c>
      <c r="Q64" s="1782">
        <f t="shared" si="3"/>
        <v>1.536060866939946</v>
      </c>
      <c r="R64" s="1781">
        <f t="shared" si="9"/>
        <v>1226.1692966400001</v>
      </c>
      <c r="S64" s="1782">
        <f t="shared" si="10"/>
        <v>2.3855402633521945</v>
      </c>
    </row>
    <row r="65" spans="1:19">
      <c r="A65" s="1797">
        <v>20</v>
      </c>
      <c r="B65" s="1798" t="s">
        <v>1696</v>
      </c>
      <c r="C65" s="1945">
        <f>IFERROR(VLOOKUP($B65,F13_21_22!$B$14:$H$198,2,0),0)</f>
        <v>2100</v>
      </c>
      <c r="D65" s="1946">
        <f>IFERROR(VLOOKUP($B65,F13_21_22!$B$14:$H$198,3,0),0)</f>
        <v>0.64620513799674362</v>
      </c>
      <c r="E65" s="1945" t="str">
        <f>IFERROR(VLOOKUP($B65,F13_21_22!$B$14:$H$198,4,0),0)</f>
        <v>Merit</v>
      </c>
      <c r="F65" s="1776">
        <f>IFERROR(VLOOKUP($B65,F13_21_22!$B$14:$H$198,5,0),0)</f>
        <v>7.0400000000000004E-2</v>
      </c>
      <c r="G65" s="1776">
        <f>IFERROR(VLOOKUP($B65,F13_21_22!$B$14:$H$198,6,0),0)</f>
        <v>1.8047619047619047E-3</v>
      </c>
      <c r="H65" s="1945">
        <f>IFERROR(VLOOKUP($B65,F13_21_22!$B$14:$H$198,7,0),0)</f>
        <v>3.79</v>
      </c>
      <c r="I65" s="1945"/>
      <c r="J65" s="1945">
        <v>19.946773255376346</v>
      </c>
      <c r="K65" s="1945">
        <v>1.2248946990000003</v>
      </c>
      <c r="L65" s="1945">
        <v>3.0000798152328612</v>
      </c>
      <c r="M65" s="1945"/>
      <c r="N65" s="1945">
        <f t="shared" si="8"/>
        <v>4.2249745142328612</v>
      </c>
      <c r="O65" s="1947">
        <f t="shared" si="1"/>
        <v>2.1181243001767638</v>
      </c>
      <c r="P65" s="1948">
        <f t="shared" si="2"/>
        <v>0.61408162779904696</v>
      </c>
      <c r="Q65" s="1782">
        <f t="shared" si="3"/>
        <v>1.5040426723777169</v>
      </c>
      <c r="R65" s="1781">
        <f t="shared" si="9"/>
        <v>6.1726183680000002</v>
      </c>
      <c r="S65" s="1782">
        <f t="shared" si="10"/>
        <v>3.0945448113199294</v>
      </c>
    </row>
    <row r="66" spans="1:19">
      <c r="A66" s="1797">
        <v>21</v>
      </c>
      <c r="B66" s="1798" t="s">
        <v>1697</v>
      </c>
      <c r="C66" s="1945">
        <f>IFERROR(VLOOKUP($B66,F13_21_22!$B$14:$H$198,2,0),0)</f>
        <v>500</v>
      </c>
      <c r="D66" s="1946">
        <f>IFERROR(VLOOKUP($B66,F13_21_22!$B$14:$H$198,3,0),0)</f>
        <v>0.82247764274880508</v>
      </c>
      <c r="E66" s="1945" t="str">
        <f>IFERROR(VLOOKUP($B66,F13_21_22!$B$14:$H$198,4,0),0)</f>
        <v>Merit</v>
      </c>
      <c r="F66" s="1776">
        <f>IFERROR(VLOOKUP($B66,F13_21_22!$B$14:$H$198,5,0),0)</f>
        <v>6.25E-2</v>
      </c>
      <c r="G66" s="1776">
        <f>IFERROR(VLOOKUP($B66,F13_21_22!$B$14:$H$198,6,0),0)</f>
        <v>2.82E-3</v>
      </c>
      <c r="H66" s="1945">
        <f>IFERROR(VLOOKUP($B66,F13_21_22!$B$14:$H$198,7,0),0)</f>
        <v>1.41</v>
      </c>
      <c r="I66" s="1945"/>
      <c r="J66" s="1945">
        <v>9.5170316612903232</v>
      </c>
      <c r="K66" s="1945">
        <v>1.212011766</v>
      </c>
      <c r="L66" s="1945">
        <v>1.4584847452966023</v>
      </c>
      <c r="M66" s="1945"/>
      <c r="N66" s="1945">
        <f t="shared" si="8"/>
        <v>2.6704965112966024</v>
      </c>
      <c r="O66" s="1947">
        <f t="shared" si="1"/>
        <v>2.8060183115273314</v>
      </c>
      <c r="P66" s="1948">
        <f t="shared" si="2"/>
        <v>1.2735186864300867</v>
      </c>
      <c r="Q66" s="1782">
        <f t="shared" si="3"/>
        <v>1.5324996250972442</v>
      </c>
      <c r="R66" s="1781">
        <f t="shared" si="9"/>
        <v>2.315925</v>
      </c>
      <c r="S66" s="1782">
        <f t="shared" si="10"/>
        <v>2.4334530790937876</v>
      </c>
    </row>
    <row r="67" spans="1:19">
      <c r="A67" s="1797">
        <v>22</v>
      </c>
      <c r="B67" s="1798" t="s">
        <v>1698</v>
      </c>
      <c r="C67" s="1945">
        <f>IFERROR(VLOOKUP($B67,F13_21_22!$B$14:$H$198,2,0),0)</f>
        <v>1000</v>
      </c>
      <c r="D67" s="1946">
        <f>IFERROR(VLOOKUP($B67,F13_21_22!$B$14:$H$198,3,0),0)</f>
        <v>0.63771180826652507</v>
      </c>
      <c r="E67" s="1945" t="str">
        <f>IFERROR(VLOOKUP($B67,F13_21_22!$B$14:$H$198,4,0),0)</f>
        <v>Merit</v>
      </c>
      <c r="F67" s="1776">
        <f>IFERROR(VLOOKUP($B67,F13_21_22!$B$14:$H$198,5,0),0)</f>
        <v>6.25E-2</v>
      </c>
      <c r="G67" s="1776">
        <f>IFERROR(VLOOKUP($B67,F13_21_22!$B$14:$H$198,6,0),0)</f>
        <v>2.82E-3</v>
      </c>
      <c r="H67" s="1945">
        <f>IFERROR(VLOOKUP($B67,F13_21_22!$B$14:$H$198,7,0),0)</f>
        <v>2.82</v>
      </c>
      <c r="I67" s="1945"/>
      <c r="J67" s="1945">
        <v>7.6296986666666662</v>
      </c>
      <c r="K67" s="1945">
        <v>3.3724425420000004</v>
      </c>
      <c r="L67" s="1945">
        <v>2.529802316381601</v>
      </c>
      <c r="M67" s="1945"/>
      <c r="N67" s="1945">
        <f t="shared" si="8"/>
        <v>5.9022448583816018</v>
      </c>
      <c r="O67" s="1947">
        <f t="shared" si="1"/>
        <v>7.735882000383417</v>
      </c>
      <c r="P67" s="1948">
        <f t="shared" si="2"/>
        <v>4.4201516853264984</v>
      </c>
      <c r="Q67" s="1782">
        <f t="shared" si="3"/>
        <v>3.3157303150569177</v>
      </c>
      <c r="R67" s="1781">
        <f t="shared" si="9"/>
        <v>4.63185</v>
      </c>
      <c r="S67" s="1782">
        <f t="shared" si="10"/>
        <v>6.0708164271756306</v>
      </c>
    </row>
    <row r="68" spans="1:19">
      <c r="A68" s="1797">
        <v>23</v>
      </c>
      <c r="B68" s="1798" t="s">
        <v>1699</v>
      </c>
      <c r="C68" s="1945">
        <f>IFERROR(VLOOKUP($B68,F13_21_22!$B$14:$H$198,2,0),0)</f>
        <v>1320</v>
      </c>
      <c r="D68" s="1946">
        <f>IFERROR(VLOOKUP($B68,F13_21_22!$B$14:$H$198,3,0),0)</f>
        <v>0.72534088271971997</v>
      </c>
      <c r="E68" s="1945" t="str">
        <f>IFERROR(VLOOKUP($B68,F13_21_22!$B$14:$H$198,4,0),0)</f>
        <v>Merit</v>
      </c>
      <c r="F68" s="1776">
        <f>IFERROR(VLOOKUP($B68,F13_21_22!$B$14:$H$198,5,0),0)</f>
        <v>6.25E-2</v>
      </c>
      <c r="G68" s="1776">
        <f>IFERROR(VLOOKUP($B68,F13_21_22!$B$14:$H$198,6,0),0)</f>
        <v>2.8181818181818182E-3</v>
      </c>
      <c r="H68" s="1945">
        <f>IFERROR(VLOOKUP($B68,F13_21_22!$B$14:$H$198,7,0),0)</f>
        <v>3.72</v>
      </c>
      <c r="I68" s="1945"/>
      <c r="J68" s="1945">
        <v>10.046416333333335</v>
      </c>
      <c r="K68" s="1945">
        <v>4.1634666675000007</v>
      </c>
      <c r="L68" s="1945">
        <v>3.3152214055403215</v>
      </c>
      <c r="M68" s="1945"/>
      <c r="N68" s="1945">
        <f t="shared" si="8"/>
        <v>7.4786880730403222</v>
      </c>
      <c r="O68" s="1947">
        <f t="shared" si="1"/>
        <v>7.4441351272956275</v>
      </c>
      <c r="P68" s="1948">
        <f t="shared" si="2"/>
        <v>4.1442306682890475</v>
      </c>
      <c r="Q68" s="1782">
        <f t="shared" si="3"/>
        <v>3.2999044590065809</v>
      </c>
      <c r="R68" s="1781">
        <f t="shared" si="9"/>
        <v>6.1101000000000001</v>
      </c>
      <c r="S68" s="1782">
        <f t="shared" si="10"/>
        <v>6.0818701886035704</v>
      </c>
    </row>
    <row r="69" spans="1:19">
      <c r="A69" s="1797">
        <v>24</v>
      </c>
      <c r="B69" s="1798" t="s">
        <v>1700</v>
      </c>
      <c r="C69" s="1945">
        <f>IFERROR(VLOOKUP($B69,F13_21_22!$B$14:$H$198,2,0),0)</f>
        <v>660</v>
      </c>
      <c r="D69" s="1946">
        <f>IFERROR(VLOOKUP($B69,F13_21_22!$B$14:$H$198,3,0),0)</f>
        <v>0.26751805021295955</v>
      </c>
      <c r="E69" s="1945" t="str">
        <f>IFERROR(VLOOKUP($B69,F13_21_22!$B$14:$H$198,4,0),0)</f>
        <v>Merit</v>
      </c>
      <c r="F69" s="1776">
        <f>IFERROR(VLOOKUP($B69,F13_21_22!$B$14:$H$198,5,0),0)</f>
        <v>6.25E-2</v>
      </c>
      <c r="G69" s="1776">
        <f>IFERROR(VLOOKUP($B69,F13_21_22!$B$14:$H$198,6,0),0)</f>
        <v>5.6363636363636364E-3</v>
      </c>
      <c r="H69" s="1945">
        <f>IFERROR(VLOOKUP($B69,F13_21_22!$B$14:$H$198,7,0),0)</f>
        <v>3.72</v>
      </c>
      <c r="I69" s="1945"/>
      <c r="J69" s="1945">
        <v>4.7131628440860212</v>
      </c>
      <c r="K69" s="1945">
        <v>4.1216893042500002</v>
      </c>
      <c r="L69" s="1945">
        <v>1.7892761086871682</v>
      </c>
      <c r="M69" s="1945"/>
      <c r="N69" s="1945">
        <f t="shared" si="8"/>
        <v>5.910965412937168</v>
      </c>
      <c r="O69" s="1947">
        <f>IFERROR(N69/J69*10,0)</f>
        <v>12.541398649855955</v>
      </c>
      <c r="P69" s="1948">
        <f>K69/J69*10</f>
        <v>8.7450602506166533</v>
      </c>
      <c r="Q69" s="1782">
        <f t="shared" si="3"/>
        <v>3.7963383992393025</v>
      </c>
      <c r="R69" s="1781">
        <f t="shared" si="9"/>
        <v>6.1101000000000001</v>
      </c>
      <c r="S69" s="1782">
        <f t="shared" si="10"/>
        <v>12.963905984421537</v>
      </c>
    </row>
    <row r="70" spans="1:19">
      <c r="A70" s="1797">
        <v>25</v>
      </c>
      <c r="B70" s="1798" t="s">
        <v>1701</v>
      </c>
      <c r="C70" s="1945">
        <f>IFERROR(VLOOKUP($B70,F13_21_22!$B$14:$H$198,2,0),0)</f>
        <v>1980</v>
      </c>
      <c r="D70" s="1946">
        <f>IFERROR(VLOOKUP($B70,F13_21_22!$B$14:$H$198,3,0),0)</f>
        <v>0.83793862177948009</v>
      </c>
      <c r="E70" s="1945" t="str">
        <f>IFERROR(VLOOKUP($B70,F13_21_22!$B$14:$H$198,4,0),0)</f>
        <v>Merit</v>
      </c>
      <c r="F70" s="1776">
        <f>IFERROR(VLOOKUP($B70,F13_21_22!$B$14:$H$198,5,0),0)</f>
        <v>6.25E-2</v>
      </c>
      <c r="G70" s="1776">
        <f>IFERROR(VLOOKUP($B70,F13_21_22!$B$14:$H$198,6,0),0)</f>
        <v>2.8181818181818182E-3</v>
      </c>
      <c r="H70" s="1945">
        <f>IFERROR(VLOOKUP($B70,F13_21_22!$B$14:$H$198,7,0),0)</f>
        <v>5.58</v>
      </c>
      <c r="I70" s="1945"/>
      <c r="J70" s="1945">
        <v>38.394218056451614</v>
      </c>
      <c r="K70" s="1945">
        <v>4.5093203662500008</v>
      </c>
      <c r="L70" s="1945">
        <v>6.1267508998501352</v>
      </c>
      <c r="M70" s="1945"/>
      <c r="N70" s="1945">
        <f t="shared" si="8"/>
        <v>10.636071266100135</v>
      </c>
      <c r="O70" s="1947">
        <f t="shared" si="1"/>
        <v>2.7702273426852333</v>
      </c>
      <c r="P70" s="1948">
        <f t="shared" si="2"/>
        <v>1.1744790217162067</v>
      </c>
      <c r="Q70" s="1782">
        <f t="shared" si="3"/>
        <v>1.5957483209690269</v>
      </c>
      <c r="R70" s="1781">
        <f t="shared" si="9"/>
        <v>9.1651500000000006</v>
      </c>
      <c r="S70" s="1782">
        <f t="shared" si="10"/>
        <v>2.3871172441965971</v>
      </c>
    </row>
    <row r="71" spans="1:19">
      <c r="A71" s="1797">
        <v>26</v>
      </c>
      <c r="B71" s="1798" t="s">
        <v>1702</v>
      </c>
      <c r="C71" s="1945">
        <f>IFERROR(VLOOKUP($B71,F13_21_22!$B$14:$H$198,2,0),0)</f>
        <v>1000</v>
      </c>
      <c r="D71" s="1946">
        <f>IFERROR(VLOOKUP($B71,F13_21_22!$B$14:$H$198,3,0),0)</f>
        <v>0.65507034833351685</v>
      </c>
      <c r="E71" s="1945" t="str">
        <f>IFERROR(VLOOKUP($B71,F13_21_22!$B$14:$H$198,4,0),0)</f>
        <v>Merit</v>
      </c>
      <c r="F71" s="1776">
        <f>IFERROR(VLOOKUP($B71,F13_21_22!$B$14:$H$198,5,0),0)</f>
        <v>6.25E-2</v>
      </c>
      <c r="G71" s="1776">
        <f>IFERROR(VLOOKUP($B71,F13_21_22!$B$14:$H$198,6,0),0)</f>
        <v>2.3700000000000001E-3</v>
      </c>
      <c r="H71" s="1945">
        <f>IFERROR(VLOOKUP($B71,F13_21_22!$B$14:$H$198,7,0),0)</f>
        <v>2.37</v>
      </c>
      <c r="I71" s="1945"/>
      <c r="J71" s="1945">
        <v>12.767714591397853</v>
      </c>
      <c r="K71" s="1945">
        <v>1.500575706</v>
      </c>
      <c r="L71" s="1945">
        <v>2.0782181799510218</v>
      </c>
      <c r="M71" s="1945"/>
      <c r="N71" s="1945">
        <f t="shared" si="8"/>
        <v>3.578793885951022</v>
      </c>
      <c r="O71" s="1947">
        <f t="shared" si="1"/>
        <v>2.8030027303102516</v>
      </c>
      <c r="P71" s="1948">
        <f t="shared" si="2"/>
        <v>1.1752891993771548</v>
      </c>
      <c r="Q71" s="1782">
        <f t="shared" si="3"/>
        <v>1.6277135309330966</v>
      </c>
      <c r="R71" s="1781">
        <f t="shared" si="9"/>
        <v>3.892725</v>
      </c>
      <c r="S71" s="1782">
        <f t="shared" si="10"/>
        <v>3.0488815928127755</v>
      </c>
    </row>
    <row r="72" spans="1:19">
      <c r="A72" s="1797">
        <v>27</v>
      </c>
      <c r="B72" s="1798" t="s">
        <v>1703</v>
      </c>
      <c r="C72" s="1945">
        <f>IFERROR(VLOOKUP($B72,F13_21_22!$B$14:$H$198,2,0),0)</f>
        <v>1260</v>
      </c>
      <c r="D72" s="1946">
        <f>IFERROR(VLOOKUP($B72,F13_21_22!$B$14:$H$198,3,0),0)</f>
        <v>0.67556685549962614</v>
      </c>
      <c r="E72" s="1945" t="str">
        <f>IFERROR(VLOOKUP($B72,F13_21_22!$B$14:$H$198,4,0),0)</f>
        <v>Merit</v>
      </c>
      <c r="F72" s="1776">
        <f>IFERROR(VLOOKUP($B72,F13_21_22!$B$14:$H$198,5,0),0)</f>
        <v>0.09</v>
      </c>
      <c r="G72" s="1776">
        <f>IFERROR(VLOOKUP($B72,F13_21_22!$B$14:$H$198,6,0),0)</f>
        <v>2.5952380952380953E-3</v>
      </c>
      <c r="H72" s="1945">
        <f>IFERROR(VLOOKUP($B72,F13_21_22!$B$14:$H$198,7,0),0)</f>
        <v>3.27</v>
      </c>
      <c r="I72" s="1945"/>
      <c r="J72" s="1945">
        <v>17.626664473333335</v>
      </c>
      <c r="K72" s="1945">
        <v>1.5772861125000002</v>
      </c>
      <c r="L72" s="1945">
        <v>3.1580681658594094</v>
      </c>
      <c r="M72" s="1945"/>
      <c r="N72" s="1945">
        <f t="shared" si="8"/>
        <v>4.7353542783594094</v>
      </c>
      <c r="O72" s="1947">
        <f t="shared" si="1"/>
        <v>2.6864721260924518</v>
      </c>
      <c r="P72" s="1948">
        <f t="shared" si="2"/>
        <v>0.89482960028325964</v>
      </c>
      <c r="Q72" s="1782">
        <f t="shared" si="3"/>
        <v>1.7916425258091921</v>
      </c>
      <c r="R72" s="1781">
        <f t="shared" si="9"/>
        <v>5.2134264000000012</v>
      </c>
      <c r="S72" s="1782">
        <f t="shared" si="10"/>
        <v>2.9576931063090139</v>
      </c>
    </row>
    <row r="73" spans="1:19">
      <c r="A73" s="1797">
        <v>28</v>
      </c>
      <c r="B73" s="1798" t="s">
        <v>1704</v>
      </c>
      <c r="C73" s="1945">
        <f>IFERROR(VLOOKUP($B73,F13_21_22!$B$14:$H$198,2,0),0)</f>
        <v>1000</v>
      </c>
      <c r="D73" s="1946">
        <f>IFERROR(VLOOKUP($B73,F13_21_22!$B$14:$H$198,3,0),0)</f>
        <v>0.65230708910023494</v>
      </c>
      <c r="E73" s="1945" t="str">
        <f>IFERROR(VLOOKUP($B73,F13_21_22!$B$14:$H$198,4,0),0)</f>
        <v>Merit</v>
      </c>
      <c r="F73" s="1776">
        <f>IFERROR(VLOOKUP($B73,F13_21_22!$B$14:$H$198,5,0),0)</f>
        <v>7.0499999999999993E-2</v>
      </c>
      <c r="G73" s="1776">
        <f>IFERROR(VLOOKUP($B73,F13_21_22!$B$14:$H$198,6,0),0)</f>
        <v>2.48E-3</v>
      </c>
      <c r="H73" s="1945">
        <f>IFERROR(VLOOKUP($B73,F13_21_22!$B$14:$H$198,7,0),0)</f>
        <v>2.48</v>
      </c>
      <c r="I73" s="1945"/>
      <c r="J73" s="1945">
        <v>13.165676233870965</v>
      </c>
      <c r="K73" s="1945">
        <v>0.93254245875000008</v>
      </c>
      <c r="L73" s="1945">
        <v>2.2663650037225591</v>
      </c>
      <c r="M73" s="1945"/>
      <c r="N73" s="1945">
        <f t="shared" si="8"/>
        <v>3.1989074624725591</v>
      </c>
      <c r="O73" s="1947">
        <f t="shared" si="1"/>
        <v>2.4297327426621811</v>
      </c>
      <c r="P73" s="1948">
        <f t="shared" si="2"/>
        <v>0.708313376528943</v>
      </c>
      <c r="Q73" s="1782">
        <f t="shared" si="3"/>
        <v>1.721419366133238</v>
      </c>
      <c r="R73" s="1781">
        <f t="shared" si="9"/>
        <v>4.0386403199999998</v>
      </c>
      <c r="S73" s="1782">
        <f t="shared" si="10"/>
        <v>3.0675525117425444</v>
      </c>
    </row>
    <row r="74" spans="1:19">
      <c r="A74" s="1797">
        <v>29</v>
      </c>
      <c r="B74" s="1798" t="s">
        <v>1705</v>
      </c>
      <c r="C74" s="1945">
        <f>IFERROR(VLOOKUP($B74,F13_21_22!$B$14:$H$198,2,0),0)</f>
        <v>1000</v>
      </c>
      <c r="D74" s="1946">
        <f>IFERROR(VLOOKUP($B74,F13_21_22!$B$14:$H$198,3,0),0)</f>
        <v>0.71877651000727349</v>
      </c>
      <c r="E74" s="1945" t="str">
        <f>IFERROR(VLOOKUP($B74,F13_21_22!$B$14:$H$198,4,0),0)</f>
        <v>Merit</v>
      </c>
      <c r="F74" s="1776">
        <f>IFERROR(VLOOKUP($B74,F13_21_22!$B$14:$H$198,5,0),0)</f>
        <v>6.25E-2</v>
      </c>
      <c r="G74" s="1776">
        <f>IFERROR(VLOOKUP($B74,F13_21_22!$B$14:$H$198,6,0),0)</f>
        <v>2.48E-3</v>
      </c>
      <c r="H74" s="1945">
        <f>IFERROR(VLOOKUP($B74,F13_21_22!$B$14:$H$198,7,0),0)</f>
        <v>2.48</v>
      </c>
      <c r="I74" s="1945"/>
      <c r="J74" s="1945">
        <v>14.658314795698923</v>
      </c>
      <c r="K74" s="1945">
        <v>1.5164167567500002</v>
      </c>
      <c r="L74" s="1945">
        <v>2.5324190066179222</v>
      </c>
      <c r="M74" s="1945"/>
      <c r="N74" s="1945">
        <f t="shared" si="8"/>
        <v>4.0488357633679222</v>
      </c>
      <c r="O74" s="1947">
        <f t="shared" si="1"/>
        <v>2.7621427290918472</v>
      </c>
      <c r="P74" s="1948">
        <f t="shared" si="2"/>
        <v>1.0345096130661287</v>
      </c>
      <c r="Q74" s="1782">
        <f t="shared" si="3"/>
        <v>1.7276331160257186</v>
      </c>
      <c r="R74" s="1781">
        <f t="shared" si="9"/>
        <v>4.0734000000000004</v>
      </c>
      <c r="S74" s="1782">
        <f t="shared" si="10"/>
        <v>2.77890061495693</v>
      </c>
    </row>
    <row r="75" spans="1:19">
      <c r="A75" s="1797">
        <v>30</v>
      </c>
      <c r="B75" s="1798" t="s">
        <v>1706</v>
      </c>
      <c r="C75" s="1945">
        <f>IFERROR(VLOOKUP($B75,F13_21_22!$B$14:$H$198,2,0),0)</f>
        <v>1000</v>
      </c>
      <c r="D75" s="1946">
        <f>IFERROR(VLOOKUP($B75,F13_21_22!$B$14:$H$198,3,0),0)</f>
        <v>0.77042506936046751</v>
      </c>
      <c r="E75" s="1945" t="str">
        <f>IFERROR(VLOOKUP($B75,F13_21_22!$B$14:$H$198,4,0),0)</f>
        <v>Merit</v>
      </c>
      <c r="F75" s="1776">
        <f>IFERROR(VLOOKUP($B75,F13_21_22!$B$14:$H$198,5,0),0)</f>
        <v>6.25E-2</v>
      </c>
      <c r="G75" s="1776">
        <f>IFERROR(VLOOKUP($B75,F13_21_22!$B$14:$H$198,6,0),0)</f>
        <v>2.82E-3</v>
      </c>
      <c r="H75" s="1945">
        <f>IFERROR(VLOOKUP($B75,F13_21_22!$B$14:$H$198,7,0),0)</f>
        <v>2.82</v>
      </c>
      <c r="I75" s="1945"/>
      <c r="J75" s="1945">
        <v>17.859387284946237</v>
      </c>
      <c r="K75" s="1945">
        <v>2.9221313782500009</v>
      </c>
      <c r="L75" s="1945">
        <v>3.1458895629148853</v>
      </c>
      <c r="M75" s="1945"/>
      <c r="N75" s="1945">
        <f t="shared" si="8"/>
        <v>6.0680209411648862</v>
      </c>
      <c r="O75" s="1947">
        <f t="shared" si="1"/>
        <v>3.3976646815199811</v>
      </c>
      <c r="P75" s="1948">
        <f t="shared" si="2"/>
        <v>1.6361879227027454</v>
      </c>
      <c r="Q75" s="1782">
        <f t="shared" si="3"/>
        <v>1.7614767588172358</v>
      </c>
      <c r="R75" s="1781">
        <f t="shared" si="9"/>
        <v>4.63185</v>
      </c>
      <c r="S75" s="1782">
        <f t="shared" si="10"/>
        <v>2.5935100270232727</v>
      </c>
    </row>
    <row r="76" spans="1:19">
      <c r="A76" s="1797">
        <v>31</v>
      </c>
      <c r="B76" s="1798" t="s">
        <v>1707</v>
      </c>
      <c r="C76" s="1945">
        <f>IFERROR(VLOOKUP($B76,F13_21_22!$B$14:$H$198,2,0),0)</f>
        <v>500</v>
      </c>
      <c r="D76" s="1946">
        <f>IFERROR(VLOOKUP($B76,F13_21_22!$B$14:$H$198,3,0),0)</f>
        <v>0.79909804513407068</v>
      </c>
      <c r="E76" s="1945" t="str">
        <f>IFERROR(VLOOKUP($B76,F13_21_22!$B$14:$H$198,4,0),0)</f>
        <v>Merit</v>
      </c>
      <c r="F76" s="1776">
        <f>IFERROR(VLOOKUP($B76,F13_21_22!$B$14:$H$198,5,0),0)</f>
        <v>7.2499999999999995E-2</v>
      </c>
      <c r="G76" s="1776">
        <f>IFERROR(VLOOKUP($B76,F13_21_22!$B$14:$H$198,6,0),0)</f>
        <v>2.82E-3</v>
      </c>
      <c r="H76" s="1945">
        <f>IFERROR(VLOOKUP($B76,F13_21_22!$B$14:$H$198,7,0),0)</f>
        <v>1.41</v>
      </c>
      <c r="I76" s="1945"/>
      <c r="J76" s="1945">
        <v>9.1743385133333337</v>
      </c>
      <c r="K76" s="1945">
        <v>1.6847216505000002</v>
      </c>
      <c r="L76" s="1945">
        <v>1.6564275715075039</v>
      </c>
      <c r="M76" s="1945"/>
      <c r="N76" s="1945">
        <f t="shared" si="8"/>
        <v>3.3411492220075041</v>
      </c>
      <c r="O76" s="1947">
        <f t="shared" si="1"/>
        <v>3.6418420980997319</v>
      </c>
      <c r="P76" s="1948">
        <f t="shared" si="2"/>
        <v>1.8363412774136743</v>
      </c>
      <c r="Q76" s="1782">
        <f t="shared" si="3"/>
        <v>1.8055008206860577</v>
      </c>
      <c r="R76" s="1781">
        <f t="shared" si="9"/>
        <v>2.2912217999999998</v>
      </c>
      <c r="S76" s="1782">
        <f t="shared" si="10"/>
        <v>2.497424524580274</v>
      </c>
    </row>
    <row r="77" spans="1:19">
      <c r="A77" s="1797">
        <v>32</v>
      </c>
      <c r="B77" s="1798" t="s">
        <v>1708</v>
      </c>
      <c r="C77" s="1945">
        <f>IFERROR(VLOOKUP($B77,F13_21_22!$B$14:$H$198,2,0),0)</f>
        <v>1320</v>
      </c>
      <c r="D77" s="1946">
        <f>IFERROR(VLOOKUP($B77,F13_21_22!$B$14:$H$198,3,0),0)</f>
        <v>0.85</v>
      </c>
      <c r="E77" s="1945" t="str">
        <f>IFERROR(VLOOKUP($B77,F13_21_22!$B$14:$H$198,4,0),0)</f>
        <v>Merit</v>
      </c>
      <c r="F77" s="1776">
        <f>IFERROR(VLOOKUP($B77,F13_21_22!$B$14:$H$198,5,0),0)</f>
        <v>5.7500000000000002E-2</v>
      </c>
      <c r="G77" s="1776">
        <f>IFERROR(VLOOKUP($B77,F13_21_22!$B$14:$H$198,6,0),0)</f>
        <v>0.71474000000000004</v>
      </c>
      <c r="H77" s="1945">
        <f>IFERROR(VLOOKUP($B77,F13_21_22!$B$14:$H$198,7,0),0)</f>
        <v>943.45680000000004</v>
      </c>
      <c r="I77" s="1945"/>
      <c r="J77" s="1945">
        <f>F13B_22_23_ARR!EE74</f>
        <v>2775.3961157208005</v>
      </c>
      <c r="K77" s="1945">
        <v>524.10708349649997</v>
      </c>
      <c r="L77" s="1945">
        <v>788.3310213630557</v>
      </c>
      <c r="M77" s="1945"/>
      <c r="N77" s="1945">
        <f t="shared" si="8"/>
        <v>1312.4381048595556</v>
      </c>
      <c r="O77" s="1947">
        <f t="shared" si="1"/>
        <v>4.7288316699207495</v>
      </c>
      <c r="P77" s="1948">
        <f t="shared" si="2"/>
        <v>1.8884046155710055</v>
      </c>
      <c r="Q77" s="1782">
        <f t="shared" si="3"/>
        <v>2.8404270543497452</v>
      </c>
      <c r="R77" s="1781">
        <f t="shared" si="9"/>
        <v>1557.892475568</v>
      </c>
      <c r="S77" s="1782">
        <f t="shared" si="10"/>
        <v>5.6132256824298334</v>
      </c>
    </row>
    <row r="78" spans="1:19">
      <c r="A78" s="1797">
        <v>33</v>
      </c>
      <c r="B78" s="1798" t="s">
        <v>1779</v>
      </c>
      <c r="C78" s="1945">
        <f>IFERROR(VLOOKUP($B78,F13_21_22!$B$14:$H$198,2,0),0)</f>
        <v>1320</v>
      </c>
      <c r="D78" s="1946">
        <f>IFERROR(VLOOKUP($B78,F13_21_22!$B$14:$H$198,3,0),0)</f>
        <v>0.84999999999999976</v>
      </c>
      <c r="E78" s="1945" t="str">
        <f>IFERROR(VLOOKUP($B78,F13_21_22!$B$14:$H$198,4,0),0)</f>
        <v>Merit</v>
      </c>
      <c r="F78" s="1776">
        <f>IFERROR(VLOOKUP($B78,F13_21_22!$B$14:$H$198,5,0),0)</f>
        <v>5.7500000000000002E-2</v>
      </c>
      <c r="G78" s="1776">
        <f>IFERROR(VLOOKUP($B78,F13_21_22!$B$14:$H$198,6,0),0)</f>
        <v>0.15834090909090909</v>
      </c>
      <c r="H78" s="1945">
        <f>IFERROR(VLOOKUP($B78,F13_21_22!$B$14:$H$198,7,0),0)</f>
        <v>209.01</v>
      </c>
      <c r="I78" s="1945"/>
      <c r="J78" s="1945">
        <v>1466.8018735499998</v>
      </c>
      <c r="K78" s="1945">
        <v>156.03</v>
      </c>
      <c r="L78" s="1945">
        <v>320.05163047415306</v>
      </c>
      <c r="M78" s="1945"/>
      <c r="N78" s="1945">
        <f t="shared" si="8"/>
        <v>476.08163047415303</v>
      </c>
      <c r="O78" s="1947">
        <f t="shared" si="1"/>
        <v>3.245711906011719</v>
      </c>
      <c r="P78" s="1948">
        <f t="shared" si="2"/>
        <v>1.0637428463489165</v>
      </c>
      <c r="Q78" s="1782">
        <f t="shared" si="3"/>
        <v>2.1819690596628032</v>
      </c>
      <c r="R78" s="1781">
        <f t="shared" si="9"/>
        <v>345.12985259999994</v>
      </c>
      <c r="S78" s="1782">
        <f t="shared" si="10"/>
        <v>2.3529411764705883</v>
      </c>
    </row>
    <row r="79" spans="1:19">
      <c r="A79" s="1797">
        <v>34</v>
      </c>
      <c r="B79" s="1798" t="s">
        <v>2070</v>
      </c>
      <c r="C79" s="1945">
        <f>IFERROR(VLOOKUP($B79,F13_21_22!$B$14:$H$198,2,0),0)</f>
        <v>0</v>
      </c>
      <c r="D79" s="1946">
        <f>IFERROR(VLOOKUP($B79,F13_21_22!$B$14:$H$198,3,0),0)</f>
        <v>0</v>
      </c>
      <c r="E79" s="1945">
        <f>IFERROR(VLOOKUP($B79,F13_21_22!$B$14:$H$198,4,0),0)</f>
        <v>0</v>
      </c>
      <c r="F79" s="1776">
        <f>IFERROR(VLOOKUP($B79,F13_21_22!$B$14:$H$198,5,0),0)</f>
        <v>0</v>
      </c>
      <c r="G79" s="1776">
        <f>IFERROR(VLOOKUP($B79,F13_21_22!$B$14:$H$198,6,0),0)</f>
        <v>0</v>
      </c>
      <c r="H79" s="1945">
        <f>IFERROR(VLOOKUP($B79,F13_21_22!$B$14:$H$198,7,0),0)</f>
        <v>0</v>
      </c>
      <c r="I79" s="1945"/>
      <c r="J79" s="1945">
        <v>0</v>
      </c>
      <c r="K79" s="1945">
        <v>0</v>
      </c>
      <c r="L79" s="1945">
        <v>0</v>
      </c>
      <c r="M79" s="1945"/>
      <c r="N79" s="1945">
        <f>K79+L79</f>
        <v>0</v>
      </c>
      <c r="O79" s="1947">
        <f>IFERROR(N79/J79*10,0)</f>
        <v>0</v>
      </c>
      <c r="P79" s="1948"/>
      <c r="Q79" s="1782"/>
      <c r="R79" s="1781"/>
      <c r="S79" s="1782"/>
    </row>
    <row r="80" spans="1:19">
      <c r="A80" s="1797">
        <v>35</v>
      </c>
      <c r="B80" s="1798" t="s">
        <v>1709</v>
      </c>
      <c r="C80" s="1945"/>
      <c r="D80" s="1946"/>
      <c r="E80" s="1945"/>
      <c r="F80" s="1776">
        <f>IFERROR(VLOOKUP($B80,F13_21_22!$B$14:$H$198,5,0),0)</f>
        <v>0</v>
      </c>
      <c r="G80" s="1776">
        <f>IFERROR(VLOOKUP($B80,F13_21_22!$B$14:$H$198,6,0),0)</f>
        <v>0</v>
      </c>
      <c r="H80" s="1945"/>
      <c r="I80" s="1945"/>
      <c r="J80" s="1945">
        <v>0</v>
      </c>
      <c r="K80" s="1945">
        <v>0</v>
      </c>
      <c r="L80" s="1945">
        <v>0</v>
      </c>
      <c r="M80" s="1945"/>
      <c r="N80" s="1945">
        <f>K80+L80</f>
        <v>0</v>
      </c>
      <c r="O80" s="1947">
        <f t="shared" ref="O80:O143" si="11">IFERROR(N80/J80*10,0)</f>
        <v>0</v>
      </c>
      <c r="P80" s="1948"/>
      <c r="Q80" s="1782"/>
    </row>
    <row r="81" spans="1:19">
      <c r="A81" s="1797">
        <v>36</v>
      </c>
      <c r="B81" s="1798" t="s">
        <v>1710</v>
      </c>
      <c r="C81" s="1945">
        <f>IFERROR(VLOOKUP($B81,F13_21_22!$B$14:$H$198,2,0),0)</f>
        <v>1500</v>
      </c>
      <c r="D81" s="1946">
        <f>IFERROR(VLOOKUP($B81,F13_21_22!$B$14:$H$198,3,0),0)</f>
        <v>0</v>
      </c>
      <c r="E81" s="1945" t="str">
        <f>IFERROR(VLOOKUP($B81,F13_21_22!$B$14:$H$198,4,0),0)</f>
        <v>Merit</v>
      </c>
      <c r="F81" s="1776">
        <f>IFERROR(VLOOKUP($B81,F13_21_22!$B$14:$H$198,5,0),0)</f>
        <v>5.7500000000000002E-2</v>
      </c>
      <c r="G81" s="1776">
        <f>IFERROR(VLOOKUP($B81,F13_21_22!$B$14:$H$198,6,0),0)</f>
        <v>0</v>
      </c>
      <c r="H81" s="1945">
        <f>IFERROR(VLOOKUP($B81,F13_21_22!$B$14:$H$198,7,0),0)</f>
        <v>0</v>
      </c>
      <c r="I81" s="1945"/>
      <c r="J81" s="1945">
        <v>0</v>
      </c>
      <c r="K81" s="1945">
        <v>0</v>
      </c>
      <c r="L81" s="1945">
        <v>0</v>
      </c>
      <c r="M81" s="1945"/>
      <c r="N81" s="1945">
        <f t="shared" si="8"/>
        <v>0</v>
      </c>
      <c r="O81" s="1947">
        <f t="shared" si="11"/>
        <v>0</v>
      </c>
      <c r="P81" s="1948"/>
      <c r="Q81" s="1782"/>
    </row>
    <row r="82" spans="1:19">
      <c r="A82" s="1797">
        <v>37</v>
      </c>
      <c r="B82" s="1798" t="s">
        <v>1711</v>
      </c>
      <c r="C82" s="1945">
        <f>IFERROR(VLOOKUP($B82,F13_21_22!$B$14:$H$198,2,0),0)</f>
        <v>800</v>
      </c>
      <c r="D82" s="1946">
        <f>IFERROR(VLOOKUP($B82,F13_21_22!$B$14:$H$198,3,0),0)</f>
        <v>0</v>
      </c>
      <c r="E82" s="1945" t="str">
        <f>IFERROR(VLOOKUP($B82,F13_21_22!$B$14:$H$198,4,0),0)</f>
        <v>Merit</v>
      </c>
      <c r="F82" s="1776">
        <f>IFERROR(VLOOKUP($B82,F13_21_22!$B$14:$H$198,5,0),0)</f>
        <v>5.7500000000000002E-2</v>
      </c>
      <c r="G82" s="1776">
        <f>IFERROR(VLOOKUP($B82,F13_21_22!$B$14:$H$198,6,0),0)</f>
        <v>2.4124999999999997E-3</v>
      </c>
      <c r="H82" s="1945">
        <f>IFERROR(VLOOKUP($B82,F13_21_22!$B$14:$H$198,7,0),0)</f>
        <v>1.93</v>
      </c>
      <c r="I82" s="1945"/>
      <c r="J82" s="1945">
        <v>0</v>
      </c>
      <c r="K82" s="1945">
        <v>3.3757395682500007</v>
      </c>
      <c r="L82" s="1945">
        <v>0</v>
      </c>
      <c r="M82" s="1945"/>
      <c r="N82" s="1945">
        <f>K82+L82</f>
        <v>3.3757395682500007</v>
      </c>
      <c r="O82" s="1947">
        <f>IFERROR(N82/J82*10,0)</f>
        <v>0</v>
      </c>
      <c r="P82" s="1948"/>
      <c r="Q82" s="1782"/>
      <c r="R82" s="1781"/>
      <c r="S82" s="1782"/>
    </row>
    <row r="83" spans="1:19">
      <c r="A83" s="1797">
        <v>38</v>
      </c>
      <c r="B83" s="1798" t="s">
        <v>1712</v>
      </c>
      <c r="C83" s="1945">
        <f>IFERROR(VLOOKUP($B83,F13_21_22!$B$14:$H$198,2,0),0)</f>
        <v>1600</v>
      </c>
      <c r="D83" s="1946">
        <f>IFERROR(VLOOKUP($B83,F13_21_22!$B$14:$H$198,3,0),0)</f>
        <v>0</v>
      </c>
      <c r="E83" s="1945" t="str">
        <f>IFERROR(VLOOKUP($B83,F13_21_22!$B$14:$H$198,4,0),0)</f>
        <v>Merit</v>
      </c>
      <c r="F83" s="1776">
        <f>IFERROR(VLOOKUP($B83,F13_21_22!$B$14:$H$198,5,0),0)</f>
        <v>5.7500000000000002E-2</v>
      </c>
      <c r="G83" s="1776">
        <f>IFERROR(VLOOKUP($B83,F13_21_22!$B$14:$H$198,6,0),0)</f>
        <v>2.4124999999999997E-3</v>
      </c>
      <c r="H83" s="1945">
        <f>IFERROR(VLOOKUP($B83,F13_21_22!$B$14:$H$198,7,0),0)</f>
        <v>3.86</v>
      </c>
      <c r="I83" s="1945"/>
      <c r="J83" s="1945">
        <v>15.659622419999998</v>
      </c>
      <c r="K83" s="1945">
        <v>4.3394289750000006</v>
      </c>
      <c r="L83" s="1945">
        <v>3.7536209139570125</v>
      </c>
      <c r="M83" s="1945"/>
      <c r="N83" s="1945">
        <f>K83+L83</f>
        <v>8.0930498889570135</v>
      </c>
      <c r="O83" s="1947">
        <f>IFERROR(N83/J83*10,0)</f>
        <v>5.1681002720862637</v>
      </c>
      <c r="P83" s="1948">
        <f>K83/J83*10</f>
        <v>2.7710942566902586</v>
      </c>
      <c r="Q83" s="1782">
        <f>L83/J83*10</f>
        <v>2.3970060153960042</v>
      </c>
    </row>
    <row r="84" spans="1:19">
      <c r="A84" s="1797">
        <v>39</v>
      </c>
      <c r="B84" s="1798" t="s">
        <v>1713</v>
      </c>
      <c r="C84" s="1945">
        <f>IFERROR(VLOOKUP($B84,F13_21_22!$B$14:$H$198,2,0),0)</f>
        <v>1320</v>
      </c>
      <c r="D84" s="1946">
        <f>IFERROR(VLOOKUP($B84,F13_21_22!$B$14:$H$198,3,0),0)</f>
        <v>0.85</v>
      </c>
      <c r="E84" s="1945" t="str">
        <f>IFERROR(VLOOKUP($B84,F13_21_22!$B$14:$H$198,4,0),0)</f>
        <v>Merit</v>
      </c>
      <c r="F84" s="1776">
        <f>IFERROR(VLOOKUP($B84,F13_21_22!$B$14:$H$198,5,0),0)</f>
        <v>5.7500000000000002E-2</v>
      </c>
      <c r="G84" s="1776">
        <f>IFERROR(VLOOKUP($B84,F13_21_22!$B$14:$H$198,6,0),0)</f>
        <v>2.4090909090909093E-3</v>
      </c>
      <c r="H84" s="1945">
        <f>IFERROR(VLOOKUP($B84,F13_21_22!$B$14:$H$198,7,0),0)</f>
        <v>3.18</v>
      </c>
      <c r="I84" s="1945"/>
      <c r="J84" s="1945">
        <v>9.3547045799999999</v>
      </c>
      <c r="K84" s="1945">
        <v>5.1955509847500005</v>
      </c>
      <c r="L84" s="1945">
        <v>2.9435471390377339</v>
      </c>
      <c r="M84" s="1945"/>
      <c r="N84" s="1945">
        <f>K84+L84</f>
        <v>8.1390981237877345</v>
      </c>
      <c r="O84" s="1947">
        <f>IFERROR(N84/J84*10,0)</f>
        <v>8.7005399841153874</v>
      </c>
      <c r="P84" s="1948">
        <f>K84/J84*10</f>
        <v>5.5539444782231708</v>
      </c>
      <c r="Q84" s="1782">
        <f>L84/J84*10</f>
        <v>3.1465955058922166</v>
      </c>
    </row>
    <row r="85" spans="1:19">
      <c r="A85" s="1797"/>
      <c r="B85" s="1798"/>
      <c r="C85" s="1945"/>
      <c r="D85" s="1946"/>
      <c r="E85" s="1945"/>
      <c r="F85" s="1776"/>
      <c r="G85" s="1776"/>
      <c r="H85" s="1945"/>
      <c r="I85" s="1945"/>
      <c r="J85" s="1945"/>
      <c r="K85" s="1945"/>
      <c r="L85" s="1945"/>
      <c r="M85" s="1945"/>
      <c r="N85" s="1945"/>
      <c r="O85" s="1947"/>
      <c r="P85" s="1948"/>
      <c r="Q85" s="1782"/>
    </row>
    <row r="86" spans="1:19">
      <c r="A86" s="1797"/>
      <c r="B86" s="1798" t="s">
        <v>211</v>
      </c>
      <c r="C86" s="1937">
        <f>SUM(C46:C82)</f>
        <v>34235.589999999997</v>
      </c>
      <c r="D86" s="1949"/>
      <c r="E86" s="1798"/>
      <c r="F86" s="1798"/>
      <c r="G86" s="1777"/>
      <c r="H86" s="1937">
        <f>SUM(H46:H85)</f>
        <v>4955.9467999999997</v>
      </c>
      <c r="I86" s="1937"/>
      <c r="J86" s="1937">
        <f>SUM(J46:J84)</f>
        <v>20550.281052703649</v>
      </c>
      <c r="K86" s="1937">
        <f>SUM(K46:K84)</f>
        <v>3400.78615181025</v>
      </c>
      <c r="L86" s="1937">
        <f>SUM(L46:L84)</f>
        <v>4394.2510808534398</v>
      </c>
      <c r="M86" s="1937">
        <f>SUM(M46:M85)</f>
        <v>0</v>
      </c>
      <c r="N86" s="1937">
        <f>SUM(N46:N84)</f>
        <v>7795.0372326636898</v>
      </c>
      <c r="O86" s="1947">
        <f t="shared" si="11"/>
        <v>3.793153588835299</v>
      </c>
      <c r="P86" s="1948">
        <f t="shared" ref="P86:P146" si="12">K86/J86*10</f>
        <v>1.6548611394114408</v>
      </c>
      <c r="Q86" s="1782">
        <f t="shared" ref="Q86:Q146" si="13">L86/J86*10</f>
        <v>2.1382924494238589</v>
      </c>
      <c r="R86" s="1356">
        <f>H86*(1-F86)*24*365*D86*2.5/10^4</f>
        <v>0</v>
      </c>
      <c r="S86" s="1782">
        <f>R86/J86*10</f>
        <v>0</v>
      </c>
    </row>
    <row r="87" spans="1:19">
      <c r="A87" s="1797"/>
      <c r="B87" s="1798"/>
      <c r="C87" s="1798"/>
      <c r="D87" s="1949"/>
      <c r="E87" s="1798"/>
      <c r="F87" s="1798"/>
      <c r="G87" s="1777"/>
      <c r="H87" s="1798"/>
      <c r="I87" s="1945"/>
      <c r="J87" s="1945"/>
      <c r="K87" s="1937"/>
      <c r="L87" s="1937"/>
      <c r="M87" s="1937"/>
      <c r="N87" s="1937"/>
      <c r="O87" s="1947"/>
      <c r="P87" s="1948"/>
      <c r="Q87" s="1782"/>
    </row>
    <row r="88" spans="1:19">
      <c r="A88" s="1859" t="s">
        <v>26</v>
      </c>
      <c r="B88" s="1798" t="s">
        <v>1715</v>
      </c>
      <c r="C88" s="1798"/>
      <c r="D88" s="1949"/>
      <c r="E88" s="1798"/>
      <c r="F88" s="1798"/>
      <c r="G88" s="1777"/>
      <c r="H88" s="1798"/>
      <c r="I88" s="1945"/>
      <c r="J88" s="1945"/>
      <c r="K88" s="1937"/>
      <c r="L88" s="1937"/>
      <c r="M88" s="1937"/>
      <c r="N88" s="1937"/>
      <c r="O88" s="1947"/>
      <c r="P88" s="1948"/>
      <c r="Q88" s="1782"/>
    </row>
    <row r="89" spans="1:19">
      <c r="A89" s="1797">
        <v>1</v>
      </c>
      <c r="B89" s="1798" t="s">
        <v>1716</v>
      </c>
      <c r="C89" s="1945">
        <f>IFERROR(VLOOKUP($B89,F13_21_22!$B$14:$H$198,2,0),0)</f>
        <v>440</v>
      </c>
      <c r="D89" s="1946">
        <f>IFERROR(VLOOKUP($B89,F13_21_22!$B$14:$H$198,3,0),0)</f>
        <v>0.39146408820669581</v>
      </c>
      <c r="E89" s="1945" t="str">
        <f>IFERROR(VLOOKUP($B89,F13_21_22!$B$14:$H$198,4,0),0)</f>
        <v>Must Run</v>
      </c>
      <c r="F89" s="1776">
        <f>IFERROR(VLOOKUP($B89,F13_21_22!$B$14:$H$198,5,0),0)</f>
        <v>0</v>
      </c>
      <c r="G89" s="1776">
        <f>IFERROR(VLOOKUP($B89,F13_21_22!$B$14:$H$198,6,0),0)</f>
        <v>3.7499999999999999E-3</v>
      </c>
      <c r="H89" s="1945">
        <f>IFERROR(VLOOKUP($B89,F13_21_22!$B$14:$H$198,7,0),0)</f>
        <v>1.65</v>
      </c>
      <c r="I89" s="1945"/>
      <c r="J89" s="1945">
        <v>5.6572429086021518</v>
      </c>
      <c r="K89" s="1945">
        <v>0</v>
      </c>
      <c r="L89" s="1945">
        <v>1.3563167491116879</v>
      </c>
      <c r="M89" s="1945"/>
      <c r="N89" s="1945">
        <f>K89+L89</f>
        <v>1.3563167491116879</v>
      </c>
      <c r="O89" s="1947">
        <f t="shared" si="11"/>
        <v>2.3974872053829137</v>
      </c>
      <c r="P89" s="1948">
        <f t="shared" si="12"/>
        <v>0</v>
      </c>
      <c r="Q89" s="1782">
        <f t="shared" si="13"/>
        <v>2.3974872053829137</v>
      </c>
      <c r="S89" s="1782"/>
    </row>
    <row r="90" spans="1:19">
      <c r="A90" s="1797">
        <v>2</v>
      </c>
      <c r="B90" s="1798" t="s">
        <v>1718</v>
      </c>
      <c r="C90" s="1945">
        <f>IFERROR(VLOOKUP($B90,F13_21_22!$B$14:$H$198,2,0),0)</f>
        <v>440</v>
      </c>
      <c r="D90" s="1946">
        <f>IFERROR(VLOOKUP($B90,F13_21_22!$B$14:$H$198,3,0),0)</f>
        <v>0.92607406214751364</v>
      </c>
      <c r="E90" s="1945" t="str">
        <f>IFERROR(VLOOKUP($B90,F13_21_22!$B$14:$H$198,4,0),0)</f>
        <v>Must Run</v>
      </c>
      <c r="F90" s="1776">
        <f>IFERROR(VLOOKUP($B90,F13_21_22!$B$14:$H$198,5,0),0)</f>
        <v>0</v>
      </c>
      <c r="G90" s="1776">
        <f>IFERROR(VLOOKUP($B90,F13_21_22!$B$14:$H$198,6,0),0)</f>
        <v>0.31363636363636366</v>
      </c>
      <c r="H90" s="1945">
        <f>IFERROR(VLOOKUP($B90,F13_21_22!$B$14:$H$198,7,0),0)</f>
        <v>138</v>
      </c>
      <c r="I90" s="1945"/>
      <c r="J90" s="1945">
        <v>1119.9760653854837</v>
      </c>
      <c r="K90" s="1945">
        <v>0</v>
      </c>
      <c r="L90" s="1945">
        <v>352.67967443829309</v>
      </c>
      <c r="M90" s="1945"/>
      <c r="N90" s="1945">
        <f>K90+L90</f>
        <v>352.67967443829309</v>
      </c>
      <c r="O90" s="1947">
        <f t="shared" si="11"/>
        <v>3.1489929592102897</v>
      </c>
      <c r="P90" s="1948">
        <f t="shared" si="12"/>
        <v>0</v>
      </c>
      <c r="Q90" s="1782">
        <f t="shared" si="13"/>
        <v>3.1489929592102897</v>
      </c>
      <c r="S90" s="1782"/>
    </row>
    <row r="91" spans="1:19">
      <c r="A91" s="1797">
        <v>3</v>
      </c>
      <c r="B91" s="1798" t="s">
        <v>1719</v>
      </c>
      <c r="C91" s="1945">
        <f>IFERROR(VLOOKUP($B91,F13_21_22!$B$14:$H$198,2,0),0)</f>
        <v>1080</v>
      </c>
      <c r="D91" s="1946">
        <f>IFERROR(VLOOKUP($B91,F13_21_22!$B$14:$H$198,3,0),0)</f>
        <v>0.60614370602023071</v>
      </c>
      <c r="E91" s="1945" t="str">
        <f>IFERROR(VLOOKUP($B91,F13_21_22!$B$14:$H$198,4,0),0)</f>
        <v>Must Run</v>
      </c>
      <c r="F91" s="1776">
        <f>IFERROR(VLOOKUP($B91,F13_21_22!$B$14:$H$198,5,0),0)</f>
        <v>0</v>
      </c>
      <c r="G91" s="1776">
        <f>IFERROR(VLOOKUP($B91,F13_21_22!$B$14:$H$198,6,0),0)</f>
        <v>3.7499999999999999E-3</v>
      </c>
      <c r="H91" s="1945">
        <f>IFERROR(VLOOKUP($B91,F13_21_22!$B$14:$H$198,7,0),0)</f>
        <v>4.05</v>
      </c>
      <c r="I91" s="1945"/>
      <c r="J91" s="1945">
        <v>21.534052639784946</v>
      </c>
      <c r="K91" s="1945">
        <v>0</v>
      </c>
      <c r="L91" s="1945">
        <v>6.3579354407232058</v>
      </c>
      <c r="M91" s="1945"/>
      <c r="N91" s="1945">
        <f>K91+L91</f>
        <v>6.3579354407232058</v>
      </c>
      <c r="O91" s="1947">
        <f t="shared" si="11"/>
        <v>2.9525029714920863</v>
      </c>
      <c r="P91" s="1948">
        <f t="shared" si="12"/>
        <v>0</v>
      </c>
      <c r="Q91" s="1782">
        <f t="shared" si="13"/>
        <v>2.9525029714920863</v>
      </c>
      <c r="S91" s="1782"/>
    </row>
    <row r="92" spans="1:19">
      <c r="A92" s="1797">
        <v>4</v>
      </c>
      <c r="B92" s="1798" t="s">
        <v>1720</v>
      </c>
      <c r="C92" s="1945">
        <f>IFERROR(VLOOKUP($B92,F13_21_22!$B$14:$H$198,2,0),0)</f>
        <v>440</v>
      </c>
      <c r="D92" s="1946">
        <f>IFERROR(VLOOKUP($B92,F13_21_22!$B$14:$H$198,3,0),0)</f>
        <v>0.89948990992797295</v>
      </c>
      <c r="E92" s="1945" t="str">
        <f>IFERROR(VLOOKUP($B92,F13_21_22!$B$14:$H$198,4,0),0)</f>
        <v>Must Run</v>
      </c>
      <c r="F92" s="1776">
        <f>IFERROR(VLOOKUP($B92,F13_21_22!$B$14:$H$198,5,0),0)</f>
        <v>0</v>
      </c>
      <c r="G92" s="1776">
        <f>IFERROR(VLOOKUP($B92,F13_21_22!$B$14:$H$198,6,0),0)</f>
        <v>0.15</v>
      </c>
      <c r="H92" s="1945">
        <f>IFERROR(VLOOKUP($B92,F13_21_22!$B$14:$H$198,7,0),0)</f>
        <v>66</v>
      </c>
      <c r="I92" s="1945"/>
      <c r="J92" s="1945">
        <v>520.65276701612902</v>
      </c>
      <c r="K92" s="1945">
        <v>0</v>
      </c>
      <c r="L92" s="1945">
        <v>177.9253227112269</v>
      </c>
      <c r="M92" s="1945"/>
      <c r="N92" s="1945">
        <f>K92+L92</f>
        <v>177.9253227112269</v>
      </c>
      <c r="O92" s="1947">
        <f t="shared" si="11"/>
        <v>3.4173509483281981</v>
      </c>
      <c r="P92" s="1948">
        <f t="shared" si="12"/>
        <v>0</v>
      </c>
      <c r="Q92" s="1782">
        <f t="shared" si="13"/>
        <v>3.4173509483281981</v>
      </c>
      <c r="S92" s="1782"/>
    </row>
    <row r="93" spans="1:19">
      <c r="A93" s="1797">
        <v>5</v>
      </c>
      <c r="B93" s="1798" t="s">
        <v>1721</v>
      </c>
      <c r="C93" s="1945">
        <f>IFERROR(VLOOKUP($B93,F13_21_22!$B$14:$H$198,2,0),0)</f>
        <v>440</v>
      </c>
      <c r="D93" s="1946">
        <f>IFERROR(VLOOKUP($B93,F13_21_22!$B$14:$H$198,3,0),0)</f>
        <v>0.90085517447442209</v>
      </c>
      <c r="E93" s="1945" t="str">
        <f>IFERROR(VLOOKUP($B93,F13_21_22!$B$14:$H$198,4,0),0)</f>
        <v>Must Run</v>
      </c>
      <c r="F93" s="1776">
        <f>IFERROR(VLOOKUP($B93,F13_21_22!$B$14:$H$198,5,0),0)</f>
        <v>0</v>
      </c>
      <c r="G93" s="1776">
        <f>IFERROR(VLOOKUP($B93,F13_21_22!$B$14:$H$198,6,0),0)</f>
        <v>0.19545454545454546</v>
      </c>
      <c r="H93" s="1945">
        <f>IFERROR(VLOOKUP($B93,F13_21_22!$B$14:$H$198,7,0),0)</f>
        <v>86</v>
      </c>
      <c r="I93" s="1945"/>
      <c r="J93" s="1945">
        <v>680.53251599999999</v>
      </c>
      <c r="K93" s="1945">
        <v>0</v>
      </c>
      <c r="L93" s="1945">
        <v>272.74742558304956</v>
      </c>
      <c r="M93" s="1945"/>
      <c r="N93" s="1945">
        <f>K93+L93</f>
        <v>272.74742558304956</v>
      </c>
      <c r="O93" s="1947">
        <f t="shared" si="11"/>
        <v>4.0078529558909359</v>
      </c>
      <c r="P93" s="1948">
        <f t="shared" si="12"/>
        <v>0</v>
      </c>
      <c r="Q93" s="1782">
        <f t="shared" si="13"/>
        <v>4.0078529558909359</v>
      </c>
      <c r="S93" s="1782"/>
    </row>
    <row r="94" spans="1:19">
      <c r="A94" s="1797"/>
      <c r="B94" s="1798" t="s">
        <v>211</v>
      </c>
      <c r="C94" s="1959">
        <f>SUM(C89:C93)</f>
        <v>2840</v>
      </c>
      <c r="D94" s="1935"/>
      <c r="E94" s="1959"/>
      <c r="F94" s="1959"/>
      <c r="G94" s="1959"/>
      <c r="H94" s="1959">
        <f>SUM(H89:H93)</f>
        <v>295.70000000000005</v>
      </c>
      <c r="I94" s="1937"/>
      <c r="J94" s="1937">
        <f>SUM(J89:J93)</f>
        <v>2348.3526439500001</v>
      </c>
      <c r="K94" s="1937">
        <f>SUM(K89:K93)</f>
        <v>0</v>
      </c>
      <c r="L94" s="1937">
        <f>SUM(L89:L93)</f>
        <v>811.06667492240445</v>
      </c>
      <c r="M94" s="1937">
        <f>SUM(M89:M93)</f>
        <v>0</v>
      </c>
      <c r="N94" s="1937">
        <f>SUM(N89:N93)</f>
        <v>811.06667492240445</v>
      </c>
      <c r="O94" s="1947">
        <f t="shared" si="11"/>
        <v>3.453768653579071</v>
      </c>
      <c r="P94" s="1948">
        <f t="shared" si="12"/>
        <v>0</v>
      </c>
      <c r="Q94" s="1782">
        <f t="shared" si="13"/>
        <v>3.453768653579071</v>
      </c>
      <c r="S94" s="1782"/>
    </row>
    <row r="95" spans="1:19">
      <c r="A95" s="1797"/>
      <c r="B95" s="1798"/>
      <c r="C95" s="1959"/>
      <c r="D95" s="1949"/>
      <c r="E95" s="1798"/>
      <c r="F95" s="1798"/>
      <c r="G95" s="1777"/>
      <c r="H95" s="1960"/>
      <c r="I95" s="1937"/>
      <c r="J95" s="1937"/>
      <c r="K95" s="1937"/>
      <c r="L95" s="1937"/>
      <c r="M95" s="1937"/>
      <c r="N95" s="1937"/>
      <c r="O95" s="1947"/>
      <c r="P95" s="1948"/>
      <c r="Q95" s="1782"/>
    </row>
    <row r="96" spans="1:19">
      <c r="A96" s="1859" t="s">
        <v>27</v>
      </c>
      <c r="B96" s="1798" t="s">
        <v>1722</v>
      </c>
      <c r="C96" s="1798"/>
      <c r="D96" s="1949"/>
      <c r="E96" s="1798"/>
      <c r="F96" s="1798"/>
      <c r="G96" s="1777"/>
      <c r="H96" s="1798"/>
      <c r="I96" s="1945"/>
      <c r="J96" s="1945"/>
      <c r="K96" s="1937"/>
      <c r="L96" s="1937"/>
      <c r="M96" s="1937"/>
      <c r="N96" s="1937"/>
      <c r="O96" s="1947"/>
      <c r="P96" s="1948"/>
      <c r="Q96" s="1782"/>
    </row>
    <row r="97" spans="1:20">
      <c r="A97" s="1797">
        <v>1</v>
      </c>
      <c r="B97" s="1798" t="s">
        <v>1723</v>
      </c>
      <c r="C97" s="1945">
        <f>IFERROR(VLOOKUP($B97,F13_21_22!$B$14:$H$198,2,0),0)</f>
        <v>690</v>
      </c>
      <c r="D97" s="1946">
        <f>IFERROR(VLOOKUP($B97,F13_21_22!$B$14:$H$198,3,0),0)</f>
        <v>0.55670624686085413</v>
      </c>
      <c r="E97" s="1945" t="str">
        <f>IFERROR(VLOOKUP($B97,F13_21_22!$B$14:$H$198,4,0),0)</f>
        <v>Must Run</v>
      </c>
      <c r="F97" s="1776">
        <f>IFERROR(VLOOKUP($B97,F13_21_22!$B$14:$H$198,5,0),0)</f>
        <v>0.01</v>
      </c>
      <c r="G97" s="1776">
        <f>IFERROR(VLOOKUP($B97,F13_21_22!$B$14:$H$198,6,0),0)</f>
        <v>6.9565217391304349E-2</v>
      </c>
      <c r="H97" s="1945">
        <f>IFERROR(VLOOKUP($B97,F13_21_22!$B$14:$H$198,7,0),0)</f>
        <v>48</v>
      </c>
      <c r="I97" s="1945"/>
      <c r="J97" s="1945">
        <v>232.3421711870968</v>
      </c>
      <c r="K97" s="1945">
        <v>19.891667281500006</v>
      </c>
      <c r="L97" s="1945">
        <v>16.049182360748667</v>
      </c>
      <c r="M97" s="1945"/>
      <c r="N97" s="1945">
        <f t="shared" ref="N97:N111" si="14">K97+L97</f>
        <v>35.940849642248672</v>
      </c>
      <c r="O97" s="1947">
        <f t="shared" si="11"/>
        <v>1.5468930783687476</v>
      </c>
      <c r="P97" s="1948">
        <f t="shared" si="12"/>
        <v>0.85613675639976528</v>
      </c>
      <c r="Q97" s="1782">
        <f t="shared" si="13"/>
        <v>0.69075632196898251</v>
      </c>
      <c r="R97" s="1781">
        <f>H97*(1-F97)*24*365*$U$33*2.25/10^4</f>
        <v>46.830960000000005</v>
      </c>
      <c r="S97" s="1782">
        <f>R97/J97*10</f>
        <v>2.0156030978245751</v>
      </c>
    </row>
    <row r="98" spans="1:20">
      <c r="A98" s="1797">
        <v>2</v>
      </c>
      <c r="B98" s="1798" t="s">
        <v>1724</v>
      </c>
      <c r="C98" s="1945">
        <f>IFERROR(VLOOKUP($B98,F13_21_22!$B$14:$H$198,2,0),0)</f>
        <v>94.2</v>
      </c>
      <c r="D98" s="1946">
        <f>IFERROR(VLOOKUP($B98,F13_21_22!$B$14:$H$198,3,0),0)</f>
        <v>0.44047216414306006</v>
      </c>
      <c r="E98" s="1945" t="str">
        <f>IFERROR(VLOOKUP($B98,F13_21_22!$B$14:$H$198,4,0),0)</f>
        <v>Must Run</v>
      </c>
      <c r="F98" s="1776">
        <f>IFERROR(VLOOKUP($B98,F13_21_22!$B$14:$H$198,5,0),0)</f>
        <v>1.2E-2</v>
      </c>
      <c r="G98" s="1776">
        <f>IFERROR(VLOOKUP($B98,F13_21_22!$B$14:$H$198,6,0),0)</f>
        <v>0.22292993630573249</v>
      </c>
      <c r="H98" s="1945">
        <f>IFERROR(VLOOKUP($B98,F13_21_22!$B$14:$H$198,7,0),0)</f>
        <v>21</v>
      </c>
      <c r="I98" s="1945"/>
      <c r="J98" s="1945">
        <v>80.346378838709668</v>
      </c>
      <c r="K98" s="1945">
        <v>19.315562631750005</v>
      </c>
      <c r="L98" s="1945">
        <v>14.052016360723627</v>
      </c>
      <c r="M98" s="1945"/>
      <c r="N98" s="1945">
        <f t="shared" si="14"/>
        <v>33.367578992473632</v>
      </c>
      <c r="O98" s="1947">
        <f t="shared" si="11"/>
        <v>4.1529661292460931</v>
      </c>
      <c r="P98" s="1948">
        <f t="shared" si="12"/>
        <v>2.4040364868869561</v>
      </c>
      <c r="Q98" s="1782">
        <f t="shared" si="13"/>
        <v>1.7489296423591374</v>
      </c>
      <c r="R98" s="1781">
        <f t="shared" ref="R98:R110" si="15">H98*(1-F98)*24*365*$U$33*2.25/10^4</f>
        <v>20.447154000000001</v>
      </c>
      <c r="S98" s="1782">
        <f t="shared" ref="S98:S110" si="16">R98/J98*10</f>
        <v>2.5448756117617179</v>
      </c>
    </row>
    <row r="99" spans="1:20">
      <c r="A99" s="1797">
        <v>3</v>
      </c>
      <c r="B99" s="1798" t="s">
        <v>1725</v>
      </c>
      <c r="C99" s="1945">
        <f>IFERROR(VLOOKUP($B99,F13_21_22!$B$14:$H$198,2,0),0)</f>
        <v>540</v>
      </c>
      <c r="D99" s="1946">
        <f>IFERROR(VLOOKUP($B99,F13_21_22!$B$14:$H$198,3,0),0)</f>
        <v>0.4919142416631212</v>
      </c>
      <c r="E99" s="1945" t="str">
        <f>IFERROR(VLOOKUP($B99,F13_21_22!$B$14:$H$198,4,0),0)</f>
        <v>Must Run</v>
      </c>
      <c r="F99" s="1776">
        <f>IFERROR(VLOOKUP($B99,F13_21_22!$B$14:$H$198,5,0),0)</f>
        <v>1.2E-2</v>
      </c>
      <c r="G99" s="1776">
        <f>IFERROR(VLOOKUP($B99,F13_21_22!$B$14:$H$198,6,0),0)</f>
        <v>0.20185185185185187</v>
      </c>
      <c r="H99" s="1945">
        <f>IFERROR(VLOOKUP($B99,F13_21_22!$B$14:$H$198,7,0),0)</f>
        <v>109</v>
      </c>
      <c r="I99" s="1945"/>
      <c r="J99" s="1945">
        <v>465.34168273419351</v>
      </c>
      <c r="K99" s="1945">
        <v>43.080843487499997</v>
      </c>
      <c r="L99" s="1945">
        <v>57.461717960417865</v>
      </c>
      <c r="M99" s="1945"/>
      <c r="N99" s="1945">
        <f t="shared" si="14"/>
        <v>100.54256144791786</v>
      </c>
      <c r="O99" s="1947">
        <f t="shared" si="11"/>
        <v>2.1606179970202346</v>
      </c>
      <c r="P99" s="1948">
        <f t="shared" si="12"/>
        <v>0.92578948084708923</v>
      </c>
      <c r="Q99" s="1782">
        <f t="shared" si="13"/>
        <v>1.2348285161731452</v>
      </c>
      <c r="R99" s="1781">
        <f t="shared" si="15"/>
        <v>106.130466</v>
      </c>
      <c r="S99" s="1782">
        <f t="shared" si="16"/>
        <v>2.2806997511250775</v>
      </c>
    </row>
    <row r="100" spans="1:20">
      <c r="A100" s="1797">
        <v>4</v>
      </c>
      <c r="B100" s="1798" t="s">
        <v>1726</v>
      </c>
      <c r="C100" s="1945">
        <f>IFERROR(VLOOKUP($B100,F13_21_22!$B$14:$H$198,2,0),0)</f>
        <v>480</v>
      </c>
      <c r="D100" s="1946">
        <f>IFERROR(VLOOKUP($B100,F13_21_22!$B$14:$H$198,3,0),0)</f>
        <v>0.67690014371333618</v>
      </c>
      <c r="E100" s="1945" t="str">
        <f>IFERROR(VLOOKUP($B100,F13_21_22!$B$14:$H$198,4,0),0)</f>
        <v>Must Run</v>
      </c>
      <c r="F100" s="1776">
        <f>IFERROR(VLOOKUP($B100,F13_21_22!$B$14:$H$198,5,0),0)</f>
        <v>1.2E-2</v>
      </c>
      <c r="G100" s="1776">
        <f>IFERROR(VLOOKUP($B100,F13_21_22!$B$14:$H$198,6,0),0)</f>
        <v>0.2</v>
      </c>
      <c r="H100" s="1945">
        <f>IFERROR(VLOOKUP($B100,F13_21_22!$B$14:$H$198,7,0),0)</f>
        <v>96</v>
      </c>
      <c r="I100" s="1945"/>
      <c r="J100" s="1945">
        <v>562.27590702580642</v>
      </c>
      <c r="K100" s="1945">
        <v>55.542382686000003</v>
      </c>
      <c r="L100" s="1945">
        <v>49.744029520726741</v>
      </c>
      <c r="M100" s="1945"/>
      <c r="N100" s="1945">
        <f t="shared" si="14"/>
        <v>105.28641220672674</v>
      </c>
      <c r="O100" s="1947">
        <f t="shared" si="11"/>
        <v>1.8725044216040803</v>
      </c>
      <c r="P100" s="1948">
        <f t="shared" si="12"/>
        <v>0.98781366926772507</v>
      </c>
      <c r="Q100" s="1782">
        <f t="shared" si="13"/>
        <v>0.88469075233635563</v>
      </c>
      <c r="R100" s="1781">
        <f t="shared" si="15"/>
        <v>93.472704000000007</v>
      </c>
      <c r="S100" s="1782">
        <f t="shared" si="16"/>
        <v>1.6623992390929521</v>
      </c>
    </row>
    <row r="101" spans="1:20">
      <c r="A101" s="1797">
        <v>5</v>
      </c>
      <c r="B101" s="1798" t="s">
        <v>1727</v>
      </c>
      <c r="C101" s="1945">
        <f>IFERROR(VLOOKUP($B101,F13_21_22!$B$14:$H$198,2,0),0)</f>
        <v>300</v>
      </c>
      <c r="D101" s="1946">
        <f>IFERROR(VLOOKUP($B101,F13_21_22!$B$14:$H$198,3,0),0)</f>
        <v>0.57270814735477715</v>
      </c>
      <c r="E101" s="1945" t="str">
        <f>IFERROR(VLOOKUP($B101,F13_21_22!$B$14:$H$198,4,0),0)</f>
        <v>Must Run</v>
      </c>
      <c r="F101" s="1776">
        <f>IFERROR(VLOOKUP($B101,F13_21_22!$B$14:$H$198,5,0),0)</f>
        <v>1.2E-2</v>
      </c>
      <c r="G101" s="1776">
        <f>IFERROR(VLOOKUP($B101,F13_21_22!$B$14:$H$198,6,0),0)</f>
        <v>0.20666666666666667</v>
      </c>
      <c r="H101" s="1945">
        <f>IFERROR(VLOOKUP($B101,F13_21_22!$B$14:$H$198,7,0),0)</f>
        <v>62</v>
      </c>
      <c r="I101" s="1945"/>
      <c r="J101" s="1945">
        <v>308.32916085161287</v>
      </c>
      <c r="K101" s="1945">
        <v>24.1262039655</v>
      </c>
      <c r="L101" s="1945">
        <v>37.722565688205151</v>
      </c>
      <c r="M101" s="1945"/>
      <c r="N101" s="1945">
        <f t="shared" si="14"/>
        <v>61.848769653705148</v>
      </c>
      <c r="O101" s="1947">
        <f t="shared" si="11"/>
        <v>2.0059331878592763</v>
      </c>
      <c r="P101" s="1948">
        <f t="shared" si="12"/>
        <v>0.7824820688014984</v>
      </c>
      <c r="Q101" s="1782">
        <f t="shared" si="13"/>
        <v>1.2234511190577784</v>
      </c>
      <c r="R101" s="1781">
        <f t="shared" si="15"/>
        <v>60.367788000000012</v>
      </c>
      <c r="S101" s="1782">
        <f t="shared" si="16"/>
        <v>1.9579007004482698</v>
      </c>
    </row>
    <row r="102" spans="1:20">
      <c r="A102" s="1797">
        <v>6</v>
      </c>
      <c r="B102" s="1798" t="s">
        <v>1728</v>
      </c>
      <c r="C102" s="1945">
        <f>IFERROR(VLOOKUP($B102,F13_21_22!$B$14:$H$198,2,0),0)</f>
        <v>280</v>
      </c>
      <c r="D102" s="1946">
        <f>IFERROR(VLOOKUP($B102,F13_21_22!$B$14:$H$198,3,0),0)</f>
        <v>0.51493276261410048</v>
      </c>
      <c r="E102" s="1945" t="str">
        <f>IFERROR(VLOOKUP($B102,F13_21_22!$B$14:$H$198,4,0),0)</f>
        <v>Must Run</v>
      </c>
      <c r="F102" s="1776">
        <f>IFERROR(VLOOKUP($B102,F13_21_22!$B$14:$H$198,5,0),0)</f>
        <v>1.2E-2</v>
      </c>
      <c r="G102" s="1776">
        <f>IFERROR(VLOOKUP($B102,F13_21_22!$B$14:$H$198,6,0),0)</f>
        <v>0.2</v>
      </c>
      <c r="H102" s="1945">
        <f>IFERROR(VLOOKUP($B102,F13_21_22!$B$14:$H$198,7,0),0)</f>
        <v>56</v>
      </c>
      <c r="I102" s="1945"/>
      <c r="J102" s="1945">
        <v>250.42144920000004</v>
      </c>
      <c r="K102" s="1945">
        <v>40.527625808250008</v>
      </c>
      <c r="L102" s="1945">
        <v>34.11926122136947</v>
      </c>
      <c r="M102" s="1945"/>
      <c r="N102" s="1945">
        <f t="shared" si="14"/>
        <v>74.646887029619478</v>
      </c>
      <c r="O102" s="1947">
        <f t="shared" si="11"/>
        <v>2.9808503731644191</v>
      </c>
      <c r="P102" s="1948">
        <f t="shared" si="12"/>
        <v>1.6183767779365601</v>
      </c>
      <c r="Q102" s="1782">
        <f t="shared" si="13"/>
        <v>1.362473595227859</v>
      </c>
      <c r="R102" s="1781">
        <f t="shared" si="15"/>
        <v>54.525744000000003</v>
      </c>
      <c r="S102" s="1782">
        <f t="shared" si="16"/>
        <v>2.1773591748705523</v>
      </c>
    </row>
    <row r="103" spans="1:20">
      <c r="A103" s="1797">
        <v>7</v>
      </c>
      <c r="B103" s="1798" t="s">
        <v>1729</v>
      </c>
      <c r="C103" s="1945">
        <f>IFERROR(VLOOKUP($B103,F13_21_22!$B$14:$H$198,2,0),0)</f>
        <v>390</v>
      </c>
      <c r="D103" s="1946">
        <f>IFERROR(VLOOKUP($B103,F13_21_22!$B$14:$H$198,3,0),0)</f>
        <v>0.68356346594258566</v>
      </c>
      <c r="E103" s="1945" t="str">
        <f>IFERROR(VLOOKUP($B103,F13_21_22!$B$14:$H$198,4,0),0)</f>
        <v>Must Run</v>
      </c>
      <c r="F103" s="1776">
        <f>IFERROR(VLOOKUP($B103,F13_21_22!$B$14:$H$198,5,0),0)</f>
        <v>1.2E-2</v>
      </c>
      <c r="G103" s="1776">
        <f>IFERROR(VLOOKUP($B103,F13_21_22!$B$14:$H$198,6,0),0)</f>
        <v>0.21794871794871795</v>
      </c>
      <c r="H103" s="1945">
        <f>IFERROR(VLOOKUP($B103,F13_21_22!$B$14:$H$198,7,0),0)</f>
        <v>85</v>
      </c>
      <c r="I103" s="1945"/>
      <c r="J103" s="1945">
        <v>504.29405360000004</v>
      </c>
      <c r="K103" s="1945">
        <v>156.05896099500001</v>
      </c>
      <c r="L103" s="1945">
        <v>137.87780089215238</v>
      </c>
      <c r="M103" s="1945"/>
      <c r="N103" s="1945">
        <f t="shared" si="14"/>
        <v>293.93676188715239</v>
      </c>
      <c r="O103" s="1947">
        <f t="shared" si="11"/>
        <v>5.8286779268727891</v>
      </c>
      <c r="P103" s="1948">
        <f t="shared" si="12"/>
        <v>3.0946024423834291</v>
      </c>
      <c r="Q103" s="1782">
        <f t="shared" si="13"/>
        <v>2.7340754844893604</v>
      </c>
      <c r="R103" s="1781">
        <f t="shared" si="15"/>
        <v>82.762290000000007</v>
      </c>
      <c r="S103" s="1782">
        <f t="shared" si="16"/>
        <v>1.641151415710447</v>
      </c>
    </row>
    <row r="104" spans="1:20">
      <c r="A104" s="1797">
        <v>8</v>
      </c>
      <c r="B104" s="1798" t="s">
        <v>1730</v>
      </c>
      <c r="C104" s="1945">
        <f>IFERROR(VLOOKUP($B104,F13_21_22!$B$14:$H$198,2,0),0)</f>
        <v>120</v>
      </c>
      <c r="D104" s="1946">
        <f>IFERROR(VLOOKUP($B104,F13_21_22!$B$14:$H$198,3,0),0)</f>
        <v>0.50235798579888047</v>
      </c>
      <c r="E104" s="1945" t="str">
        <f>IFERROR(VLOOKUP($B104,F13_21_22!$B$14:$H$198,4,0),0)</f>
        <v>Must Run</v>
      </c>
      <c r="F104" s="1776">
        <f>IFERROR(VLOOKUP($B104,F13_21_22!$B$14:$H$198,5,0),0)</f>
        <v>1.2E-2</v>
      </c>
      <c r="G104" s="1776">
        <f>IFERROR(VLOOKUP($B104,F13_21_22!$B$14:$H$198,6,0),0)</f>
        <v>0.22500000000000001</v>
      </c>
      <c r="H104" s="1945">
        <f>IFERROR(VLOOKUP($B104,F13_21_22!$B$14:$H$198,7,0),0)</f>
        <v>27</v>
      </c>
      <c r="I104" s="1945"/>
      <c r="J104" s="1945">
        <v>117.12940680000001</v>
      </c>
      <c r="K104" s="1945">
        <v>24.005912946750001</v>
      </c>
      <c r="L104" s="1945">
        <v>32.268908024452806</v>
      </c>
      <c r="M104" s="1945"/>
      <c r="N104" s="1945">
        <f t="shared" si="14"/>
        <v>56.274820971202807</v>
      </c>
      <c r="O104" s="1947">
        <f t="shared" si="11"/>
        <v>4.8044997843532835</v>
      </c>
      <c r="P104" s="1948">
        <f t="shared" si="12"/>
        <v>2.0495205775045382</v>
      </c>
      <c r="Q104" s="1782">
        <f t="shared" si="13"/>
        <v>2.7549792068487449</v>
      </c>
      <c r="R104" s="1781">
        <f t="shared" si="15"/>
        <v>26.289197999999999</v>
      </c>
      <c r="S104" s="1782">
        <f t="shared" si="16"/>
        <v>2.2444575378827922</v>
      </c>
    </row>
    <row r="105" spans="1:20">
      <c r="A105" s="1797">
        <v>9</v>
      </c>
      <c r="B105" s="1798" t="s">
        <v>1731</v>
      </c>
      <c r="C105" s="1945">
        <f>IFERROR(VLOOKUP($B105,F13_21_22!$B$14:$H$198,2,0),0)</f>
        <v>231</v>
      </c>
      <c r="D105" s="1946">
        <f>IFERROR(VLOOKUP($B105,F13_21_22!$B$14:$H$198,3,0),0)</f>
        <v>0.53725444787555621</v>
      </c>
      <c r="E105" s="1945" t="str">
        <f>IFERROR(VLOOKUP($B105,F13_21_22!$B$14:$H$198,4,0),0)</f>
        <v>Must Run</v>
      </c>
      <c r="F105" s="1776">
        <f>IFERROR(VLOOKUP($B105,F13_21_22!$B$14:$H$198,5,0),0)</f>
        <v>1.2E-2</v>
      </c>
      <c r="G105" s="1776">
        <f>IFERROR(VLOOKUP($B105,F13_21_22!$B$14:$H$198,6,0),0)</f>
        <v>0.20346320346320346</v>
      </c>
      <c r="H105" s="1945">
        <f>IFERROR(VLOOKUP($B105,F13_21_22!$B$14:$H$198,7,0),0)</f>
        <v>47</v>
      </c>
      <c r="I105" s="1945"/>
      <c r="J105" s="1945">
        <v>219.28064616774193</v>
      </c>
      <c r="K105" s="1945">
        <v>60.075109347750015</v>
      </c>
      <c r="L105" s="1945">
        <v>47.420703685029473</v>
      </c>
      <c r="M105" s="1945"/>
      <c r="N105" s="1945">
        <f t="shared" si="14"/>
        <v>107.49581303277949</v>
      </c>
      <c r="O105" s="1947">
        <f t="shared" si="11"/>
        <v>4.9022024930804422</v>
      </c>
      <c r="P105" s="1948">
        <f t="shared" si="12"/>
        <v>2.7396448522773271</v>
      </c>
      <c r="Q105" s="1782">
        <f t="shared" si="13"/>
        <v>2.1625576408031155</v>
      </c>
      <c r="R105" s="1781">
        <f t="shared" si="15"/>
        <v>45.762677999999994</v>
      </c>
      <c r="S105" s="1782">
        <f t="shared" si="16"/>
        <v>2.0869456014368528</v>
      </c>
    </row>
    <row r="106" spans="1:20">
      <c r="A106" s="1797">
        <v>10</v>
      </c>
      <c r="B106" s="1798" t="s">
        <v>1732</v>
      </c>
      <c r="C106" s="1945">
        <f>IFERROR(VLOOKUP($B106,F13_21_22!$B$14:$H$198,2,0),0)</f>
        <v>240</v>
      </c>
      <c r="D106" s="1946">
        <f>IFERROR(VLOOKUP($B106,F13_21_22!$B$14:$H$198,3,0),0)</f>
        <v>0.72431490558953759</v>
      </c>
      <c r="E106" s="1945" t="str">
        <f>IFERROR(VLOOKUP($B106,F13_21_22!$B$14:$H$198,4,0),0)</f>
        <v>Must Run</v>
      </c>
      <c r="F106" s="1776">
        <f>IFERROR(VLOOKUP($B106,F13_21_22!$B$14:$H$198,5,0),0)</f>
        <v>1.2E-2</v>
      </c>
      <c r="G106" s="1776">
        <f>IFERROR(VLOOKUP($B106,F13_21_22!$B$14:$H$198,6,0),0)</f>
        <v>0.21249999999999999</v>
      </c>
      <c r="H106" s="1945">
        <f>IFERROR(VLOOKUP($B106,F13_21_22!$B$14:$H$198,7,0),0)</f>
        <v>51</v>
      </c>
      <c r="I106" s="1945"/>
      <c r="J106" s="1945">
        <v>319.6263267290322</v>
      </c>
      <c r="K106" s="1945">
        <v>83.406360870000015</v>
      </c>
      <c r="L106" s="1945">
        <v>65.851542324524843</v>
      </c>
      <c r="M106" s="1945"/>
      <c r="N106" s="1945">
        <f t="shared" si="14"/>
        <v>149.25790319452486</v>
      </c>
      <c r="O106" s="1947">
        <f t="shared" si="11"/>
        <v>4.669762491781861</v>
      </c>
      <c r="P106" s="1948">
        <f t="shared" si="12"/>
        <v>2.609495961223149</v>
      </c>
      <c r="Q106" s="1782">
        <f t="shared" si="13"/>
        <v>2.0602665305587116</v>
      </c>
      <c r="R106" s="1781">
        <f t="shared" si="15"/>
        <v>49.65737399999999</v>
      </c>
      <c r="S106" s="1782">
        <f t="shared" si="16"/>
        <v>1.5536071295559373</v>
      </c>
    </row>
    <row r="107" spans="1:20">
      <c r="A107" s="1797">
        <v>11</v>
      </c>
      <c r="B107" s="1798" t="s">
        <v>1733</v>
      </c>
      <c r="C107" s="1945">
        <f>IFERROR(VLOOKUP($B107,F13_21_22!$B$14:$H$198,2,0),0)</f>
        <v>520</v>
      </c>
      <c r="D107" s="1946">
        <f>IFERROR(VLOOKUP($B107,F13_21_22!$B$14:$H$198,3,0),0)</f>
        <v>0.13383762687276415</v>
      </c>
      <c r="E107" s="1945" t="str">
        <f>IFERROR(VLOOKUP($B107,F13_21_22!$B$14:$H$198,4,0),0)</f>
        <v>Must Run</v>
      </c>
      <c r="F107" s="1776">
        <f>IFERROR(VLOOKUP($B107,F13_21_22!$B$14:$H$198,5,0),0)</f>
        <v>1.2E-2</v>
      </c>
      <c r="G107" s="1776">
        <f>IFERROR(VLOOKUP($B107,F13_21_22!$B$14:$H$198,6,0),0)</f>
        <v>0.26538461538461539</v>
      </c>
      <c r="H107" s="1945">
        <f>IFERROR(VLOOKUP($B107,F13_21_22!$B$14:$H$198,7,0),0)</f>
        <v>138</v>
      </c>
      <c r="I107" s="1945"/>
      <c r="J107" s="1945">
        <v>160.93167825806449</v>
      </c>
      <c r="K107" s="1945">
        <v>74.499659167500013</v>
      </c>
      <c r="L107" s="1945">
        <v>29.095482051426323</v>
      </c>
      <c r="M107" s="1945"/>
      <c r="N107" s="1945">
        <f t="shared" si="14"/>
        <v>103.59514121892633</v>
      </c>
      <c r="O107" s="1947">
        <f t="shared" si="11"/>
        <v>6.4372125078323439</v>
      </c>
      <c r="P107" s="1958">
        <f>K107/J107*10</f>
        <v>4.6292724946318478</v>
      </c>
      <c r="Q107" s="1895">
        <f t="shared" si="13"/>
        <v>1.807940013200497</v>
      </c>
      <c r="R107" s="1781">
        <f t="shared" si="15"/>
        <v>134.36701199999999</v>
      </c>
      <c r="S107" s="1782">
        <f t="shared" si="16"/>
        <v>8.349320249089411</v>
      </c>
      <c r="T107" s="1356" t="s">
        <v>2071</v>
      </c>
    </row>
    <row r="108" spans="1:20">
      <c r="A108" s="1797">
        <v>12</v>
      </c>
      <c r="B108" s="1798" t="s">
        <v>1734</v>
      </c>
      <c r="C108" s="1945">
        <f>IFERROR(VLOOKUP($B108,F13_21_22!$B$14:$H$198,2,0),0)</f>
        <v>330</v>
      </c>
      <c r="D108" s="1946">
        <f>IFERROR(VLOOKUP($B108,F13_21_22!$B$14:$H$198,3,0),0)</f>
        <v>0.38759061582952903</v>
      </c>
      <c r="E108" s="1945" t="str">
        <f>IFERROR(VLOOKUP($B108,F13_21_22!$B$14:$H$198,4,0),0)</f>
        <v>Must Run</v>
      </c>
      <c r="F108" s="1776">
        <f>IFERROR(VLOOKUP($B108,F13_21_22!$B$14:$H$198,5,0),0)</f>
        <v>1.2E-2</v>
      </c>
      <c r="G108" s="1776">
        <f>IFERROR(VLOOKUP($B108,F13_21_22!$B$14:$H$198,6,0),0)</f>
        <v>0.41696969696969693</v>
      </c>
      <c r="H108" s="1945">
        <f>IFERROR(VLOOKUP($B108,F13_21_22!$B$14:$H$198,7,0),0)</f>
        <v>137.6</v>
      </c>
      <c r="I108" s="1945"/>
      <c r="J108" s="1945">
        <v>463.52728057526883</v>
      </c>
      <c r="K108" s="1945">
        <v>106.04852144774999</v>
      </c>
      <c r="L108" s="1945">
        <v>101.8139070205125</v>
      </c>
      <c r="M108" s="1945"/>
      <c r="N108" s="1945">
        <f t="shared" si="14"/>
        <v>207.86242846826249</v>
      </c>
      <c r="O108" s="1947">
        <f t="shared" si="11"/>
        <v>4.4843623488630726</v>
      </c>
      <c r="P108" s="1961">
        <f t="shared" si="12"/>
        <v>2.287859331949925</v>
      </c>
      <c r="Q108" s="1962">
        <f t="shared" si="13"/>
        <v>2.1965030169131476</v>
      </c>
      <c r="R108" s="1781">
        <f t="shared" si="15"/>
        <v>133.9775424</v>
      </c>
      <c r="S108" s="1782">
        <f t="shared" si="16"/>
        <v>2.8903917420723282</v>
      </c>
    </row>
    <row r="109" spans="1:20">
      <c r="A109" s="1797">
        <v>13</v>
      </c>
      <c r="B109" s="1798" t="s">
        <v>1735</v>
      </c>
      <c r="C109" s="1945">
        <f>IFERROR(VLOOKUP($B109,F13_21_22!$B$14:$H$198,2,0),0)</f>
        <v>800</v>
      </c>
      <c r="D109" s="1946">
        <f>IFERROR(VLOOKUP($B109,F13_21_22!$B$14:$H$198,3,0),0)</f>
        <v>0.5</v>
      </c>
      <c r="E109" s="1945" t="str">
        <f>IFERROR(VLOOKUP($B109,F13_21_22!$B$14:$H$198,4,0),0)</f>
        <v>Must Run</v>
      </c>
      <c r="F109" s="1776">
        <f>IFERROR(VLOOKUP($B109,F13_21_22!$B$14:$H$198,5,0),0)</f>
        <v>1.2E-2</v>
      </c>
      <c r="G109" s="1776">
        <f>IFERROR(VLOOKUP($B109,F13_21_22!$B$14:$H$198,6,0),0)</f>
        <v>0.19500000000000001</v>
      </c>
      <c r="H109" s="1945">
        <f>IFERROR(VLOOKUP($B109,F13_21_22!$B$14:$H$198,7,0),0)</f>
        <v>156</v>
      </c>
      <c r="I109" s="1945"/>
      <c r="J109" s="1945">
        <v>675.08064000000002</v>
      </c>
      <c r="K109" s="1945">
        <v>61.582499999999996</v>
      </c>
      <c r="L109" s="1945">
        <v>158.02962701760001</v>
      </c>
      <c r="M109" s="1945"/>
      <c r="N109" s="1945">
        <f t="shared" si="14"/>
        <v>219.61212701760002</v>
      </c>
      <c r="O109" s="1947">
        <f>IFERROR(N109/J109*10,0)</f>
        <v>3.2531243529306368</v>
      </c>
      <c r="P109" s="1948">
        <f t="shared" si="12"/>
        <v>0.91222435293063642</v>
      </c>
      <c r="Q109" s="1782">
        <f t="shared" si="13"/>
        <v>2.3409</v>
      </c>
      <c r="R109" s="1781">
        <f t="shared" si="15"/>
        <v>151.89314399999998</v>
      </c>
      <c r="S109" s="1782">
        <f t="shared" si="16"/>
        <v>2.2499999999999996</v>
      </c>
    </row>
    <row r="110" spans="1:20">
      <c r="A110" s="1797">
        <v>14</v>
      </c>
      <c r="B110" s="1798" t="s">
        <v>1736</v>
      </c>
      <c r="C110" s="1945">
        <f>IFERROR(VLOOKUP($B110,F13_21_22!$B$14:$H$198,2,0),0)</f>
        <v>2000</v>
      </c>
      <c r="D110" s="1946"/>
      <c r="E110" s="1945" t="str">
        <f>IFERROR(VLOOKUP($B110,F13_21_22!$B$14:$H$198,4,0),0)</f>
        <v>Must Run</v>
      </c>
      <c r="F110" s="1776">
        <f>IFERROR(VLOOKUP($B110,F13_21_22!$B$14:$H$198,5,0),0)</f>
        <v>1.2E-2</v>
      </c>
      <c r="G110" s="1776">
        <f>IFERROR(VLOOKUP($B110,F13_21_22!$B$14:$H$198,6,0),0)</f>
        <v>9.0999999999999998E-2</v>
      </c>
      <c r="H110" s="1945">
        <f>IFERROR(VLOOKUP($B110,F13_21_22!$B$14:$H$198,7,0),0)</f>
        <v>182</v>
      </c>
      <c r="I110" s="1945"/>
      <c r="J110" s="1945">
        <v>131.08586399999999</v>
      </c>
      <c r="K110" s="1945">
        <v>29.130191999999994</v>
      </c>
      <c r="L110" s="1945">
        <v>30.685889903759993</v>
      </c>
      <c r="M110" s="1945"/>
      <c r="N110" s="1945">
        <f t="shared" si="14"/>
        <v>59.816081903759986</v>
      </c>
      <c r="O110" s="1947">
        <f t="shared" si="11"/>
        <v>4.5631222222222219</v>
      </c>
      <c r="P110" s="1958">
        <f>K110/J110*10</f>
        <v>2.2222222222222223</v>
      </c>
      <c r="Q110" s="1895">
        <f>L110/J110*10</f>
        <v>2.3408999999999995</v>
      </c>
      <c r="R110" s="1781">
        <f t="shared" si="15"/>
        <v>177.20866799999999</v>
      </c>
      <c r="S110" s="1782">
        <f t="shared" si="16"/>
        <v>13.518518518518519</v>
      </c>
    </row>
    <row r="111" spans="1:20">
      <c r="A111" s="1797">
        <v>15</v>
      </c>
      <c r="B111" s="1798" t="s">
        <v>1737</v>
      </c>
      <c r="C111" s="1945">
        <f>IFERROR(VLOOKUP($B111,F13_21_22!$B$14:$H$198,2,0),0)</f>
        <v>1000</v>
      </c>
      <c r="D111" s="1946"/>
      <c r="E111" s="1945" t="str">
        <f>IFERROR(VLOOKUP($B111,F13_21_22!$B$14:$H$198,4,0),0)</f>
        <v>Must Run</v>
      </c>
      <c r="F111" s="1776">
        <f>IFERROR(VLOOKUP($B111,F13_21_22!$B$14:$H$198,5,0),0)</f>
        <v>0.01</v>
      </c>
      <c r="G111" s="1776">
        <f>IFERROR(VLOOKUP($B111,F13_21_22!$B$14:$H$198,6,0),0)</f>
        <v>0.2</v>
      </c>
      <c r="H111" s="1945">
        <f>IFERROR(VLOOKUP($B111,F13_21_22!$B$14:$H$198,7,0),0)</f>
        <v>200</v>
      </c>
      <c r="I111" s="1945"/>
      <c r="J111" s="1945">
        <v>0</v>
      </c>
      <c r="K111" s="1945">
        <v>0</v>
      </c>
      <c r="L111" s="1945">
        <v>0</v>
      </c>
      <c r="M111" s="1945"/>
      <c r="N111" s="1945">
        <f t="shared" si="14"/>
        <v>0</v>
      </c>
      <c r="O111" s="1947">
        <f t="shared" si="11"/>
        <v>0</v>
      </c>
      <c r="P111" s="1948"/>
      <c r="Q111" s="1782"/>
    </row>
    <row r="112" spans="1:20">
      <c r="A112" s="1797"/>
      <c r="B112" s="1798"/>
      <c r="C112" s="1798"/>
      <c r="D112" s="1949"/>
      <c r="E112" s="1798"/>
      <c r="F112" s="1798"/>
      <c r="G112" s="1777"/>
      <c r="H112" s="1798"/>
      <c r="I112" s="1945"/>
      <c r="J112" s="1945"/>
      <c r="K112" s="1945"/>
      <c r="L112" s="1945"/>
      <c r="M112" s="1945"/>
      <c r="N112" s="1945"/>
      <c r="O112" s="1947">
        <f t="shared" si="11"/>
        <v>0</v>
      </c>
      <c r="P112" s="1948"/>
      <c r="Q112" s="1782"/>
    </row>
    <row r="113" spans="1:20">
      <c r="A113" s="1797"/>
      <c r="B113" s="1798" t="s">
        <v>211</v>
      </c>
      <c r="C113" s="1959">
        <f>SUM(C97:C111)</f>
        <v>8015.2</v>
      </c>
      <c r="D113" s="1949"/>
      <c r="E113" s="1798"/>
      <c r="F113" s="1798"/>
      <c r="G113" s="1777"/>
      <c r="H113" s="1959">
        <f>SUM(H97:H111)</f>
        <v>1415.6</v>
      </c>
      <c r="I113" s="1937"/>
      <c r="J113" s="1937">
        <f>SUM(J97:J111)</f>
        <v>4490.0126459675266</v>
      </c>
      <c r="K113" s="1937">
        <f>SUM(K97:K111)</f>
        <v>797.29150263524991</v>
      </c>
      <c r="L113" s="1937">
        <f>SUM(L97:L111)</f>
        <v>812.19263403164973</v>
      </c>
      <c r="M113" s="1937">
        <f>SUM(M97:M111)</f>
        <v>0</v>
      </c>
      <c r="N113" s="1937">
        <f>SUM(N97:N111)</f>
        <v>1609.4841366669</v>
      </c>
      <c r="O113" s="1947">
        <f t="shared" si="11"/>
        <v>3.5845870904447792</v>
      </c>
      <c r="P113" s="1948">
        <f t="shared" si="12"/>
        <v>1.7756999044341137</v>
      </c>
      <c r="Q113" s="1782">
        <f t="shared" si="13"/>
        <v>1.8088871860106646</v>
      </c>
      <c r="R113" s="1356">
        <f>H113*(1-F113)*24*365*D113*2.5/10^4</f>
        <v>0</v>
      </c>
      <c r="S113" s="1782">
        <f>R113/J113*10</f>
        <v>0</v>
      </c>
    </row>
    <row r="114" spans="1:20">
      <c r="A114" s="1797"/>
      <c r="B114" s="1798"/>
      <c r="C114" s="1798"/>
      <c r="D114" s="1949"/>
      <c r="E114" s="1798"/>
      <c r="F114" s="1798"/>
      <c r="G114" s="1777"/>
      <c r="H114" s="1798"/>
      <c r="I114" s="1945"/>
      <c r="J114" s="1945"/>
      <c r="K114" s="1937"/>
      <c r="L114" s="1937"/>
      <c r="M114" s="1937"/>
      <c r="N114" s="1937"/>
      <c r="O114" s="1947">
        <f t="shared" si="11"/>
        <v>0</v>
      </c>
      <c r="P114" s="1948"/>
      <c r="Q114" s="1782"/>
    </row>
    <row r="115" spans="1:20">
      <c r="A115" s="1797" t="s">
        <v>28</v>
      </c>
      <c r="B115" s="1798" t="s">
        <v>1739</v>
      </c>
      <c r="C115" s="1798"/>
      <c r="D115" s="1949"/>
      <c r="E115" s="1798"/>
      <c r="F115" s="1798"/>
      <c r="G115" s="1777"/>
      <c r="H115" s="1798"/>
      <c r="I115" s="1945"/>
      <c r="J115" s="1945"/>
      <c r="K115" s="1937"/>
      <c r="L115" s="1937"/>
      <c r="M115" s="1937"/>
      <c r="N115" s="1937"/>
      <c r="O115" s="1947">
        <f t="shared" si="11"/>
        <v>0</v>
      </c>
      <c r="P115" s="1948"/>
      <c r="Q115" s="1782"/>
    </row>
    <row r="116" spans="1:20">
      <c r="A116" s="1797">
        <v>1</v>
      </c>
      <c r="B116" s="1798" t="s">
        <v>1740</v>
      </c>
      <c r="C116" s="1945">
        <f>IFERROR(VLOOKUP($B116,F13_21_22!$B$14:$H$198,2,0),0)</f>
        <v>800</v>
      </c>
      <c r="D116" s="1946">
        <f>IFERROR(VLOOKUP($B116,F13_21_22!$B$14:$H$198,3,0),0)</f>
        <v>0.43412032139120088</v>
      </c>
      <c r="E116" s="1945" t="str">
        <f>IFERROR(VLOOKUP($B116,F13_21_22!$B$14:$H$198,4,0),0)</f>
        <v>Must Run</v>
      </c>
      <c r="F116" s="1776">
        <f>IFERROR(VLOOKUP($B116,F13_21_22!$B$14:$H$198,5,0),0)</f>
        <v>0.01</v>
      </c>
      <c r="G116" s="1776">
        <f>IFERROR(VLOOKUP($B116,F13_21_22!$B$14:$H$198,6,0),0)</f>
        <v>0.19889999999999999</v>
      </c>
      <c r="H116" s="1945">
        <f>IFERROR(VLOOKUP($B116,F13_21_22!$B$14:$H$198,7,0),0)</f>
        <v>159.12</v>
      </c>
      <c r="I116" s="1945"/>
      <c r="J116" s="1945">
        <v>601.23373971741933</v>
      </c>
      <c r="K116" s="1945">
        <v>186.03562531050005</v>
      </c>
      <c r="L116" s="1945">
        <v>164.1412869972269</v>
      </c>
      <c r="M116" s="1945"/>
      <c r="N116" s="1945">
        <f>K116+L116</f>
        <v>350.17691230772698</v>
      </c>
      <c r="O116" s="1947">
        <f t="shared" si="11"/>
        <v>5.8243057429263798</v>
      </c>
      <c r="P116" s="1948">
        <f t="shared" si="12"/>
        <v>3.0942312951022517</v>
      </c>
      <c r="Q116" s="1782">
        <f t="shared" si="13"/>
        <v>2.7300744478241281</v>
      </c>
      <c r="R116" s="1781">
        <f>H116*(1-F116)*24*365*$U$33*2.25/10^4</f>
        <v>155.2446324</v>
      </c>
      <c r="S116" s="1782">
        <f>R116/J116*10</f>
        <v>2.5821011387844801</v>
      </c>
    </row>
    <row r="117" spans="1:20">
      <c r="A117" s="1797">
        <v>2</v>
      </c>
      <c r="B117" s="1798" t="s">
        <v>1741</v>
      </c>
      <c r="C117" s="1945">
        <f>IFERROR(VLOOKUP($B117,F13_21_22!$B$14:$H$198,2,0),0)</f>
        <v>520</v>
      </c>
      <c r="D117" s="1946"/>
      <c r="E117" s="1945" t="str">
        <f>IFERROR(VLOOKUP($B117,F13_21_22!$B$14:$H$198,4,0),0)</f>
        <v>Must Run</v>
      </c>
      <c r="F117" s="1776">
        <f>IFERROR(VLOOKUP($B117,F13_21_22!$B$14:$H$198,5,0),0)</f>
        <v>1.2E-2</v>
      </c>
      <c r="G117" s="1776">
        <f>IFERROR(VLOOKUP($B117,F13_21_22!$B$14:$H$198,6,0),0)</f>
        <v>0.19230769230769232</v>
      </c>
      <c r="H117" s="1945">
        <f>IFERROR(VLOOKUP($B117,F13_21_22!$B$14:$H$198,7,0),0)</f>
        <v>100</v>
      </c>
      <c r="I117" s="1945"/>
      <c r="J117" s="1945">
        <v>0</v>
      </c>
      <c r="K117" s="1945">
        <v>0</v>
      </c>
      <c r="L117" s="1945">
        <v>0</v>
      </c>
      <c r="M117" s="1945"/>
      <c r="N117" s="1945">
        <f>K117+L117</f>
        <v>0</v>
      </c>
      <c r="O117" s="1947">
        <f t="shared" si="11"/>
        <v>0</v>
      </c>
      <c r="P117" s="1958"/>
      <c r="Q117" s="1895"/>
    </row>
    <row r="118" spans="1:20">
      <c r="A118" s="1797">
        <v>3</v>
      </c>
      <c r="B118" s="1798" t="s">
        <v>1742</v>
      </c>
      <c r="C118" s="1945">
        <f>IFERROR(VLOOKUP($B118,F13_21_22!$B$14:$H$198,2,0),0)</f>
        <v>171</v>
      </c>
      <c r="D118" s="1946"/>
      <c r="E118" s="1945" t="str">
        <f>IFERROR(VLOOKUP($B118,F13_21_22!$B$14:$H$198,4,0),0)</f>
        <v>Must Run</v>
      </c>
      <c r="F118" s="1776">
        <f>IFERROR(VLOOKUP($B118,F13_21_22!$B$14:$H$198,5,0),0)</f>
        <v>1.2E-2</v>
      </c>
      <c r="G118" s="1776">
        <f>IFERROR(VLOOKUP($B118,F13_21_22!$B$14:$H$198,6,0),0)</f>
        <v>0.19883040935672514</v>
      </c>
      <c r="H118" s="1945">
        <f>IFERROR(VLOOKUP($B118,F13_21_22!$B$14:$H$198,7,0),0)</f>
        <v>34</v>
      </c>
      <c r="I118" s="1945"/>
      <c r="J118" s="1945">
        <v>0</v>
      </c>
      <c r="K118" s="1945">
        <v>0</v>
      </c>
      <c r="L118" s="1945">
        <v>0</v>
      </c>
      <c r="M118" s="1945"/>
      <c r="N118" s="1945">
        <f>K118+L118</f>
        <v>0</v>
      </c>
      <c r="O118" s="1947">
        <f t="shared" si="11"/>
        <v>0</v>
      </c>
      <c r="P118" s="1948"/>
      <c r="Q118" s="1782"/>
    </row>
    <row r="119" spans="1:20">
      <c r="A119" s="1797">
        <v>4</v>
      </c>
      <c r="B119" s="1798" t="s">
        <v>1743</v>
      </c>
      <c r="C119" s="1945">
        <f>IFERROR(VLOOKUP($B119,F13_21_22!$B$14:$H$198,2,0),0)</f>
        <v>8</v>
      </c>
      <c r="D119" s="1946">
        <f>IFERROR(VLOOKUP($B119,F13_21_22!$B$14:$H$198,3,0),0)</f>
        <v>0.75</v>
      </c>
      <c r="E119" s="1945" t="str">
        <f>IFERROR(VLOOKUP($B119,F13_21_22!$B$14:$H$198,4,0),0)</f>
        <v>Must Run</v>
      </c>
      <c r="F119" s="1776">
        <f>IFERROR(VLOOKUP($B119,F13_21_22!$B$14:$H$198,5,0),0)</f>
        <v>0</v>
      </c>
      <c r="G119" s="1776">
        <f>IFERROR(VLOOKUP($B119,F13_21_22!$B$14:$H$198,6,0),0)</f>
        <v>0.42499999999999999</v>
      </c>
      <c r="H119" s="1945">
        <f>IFERROR(VLOOKUP($B119,F13_21_22!$B$14:$H$198,7,0),0)</f>
        <v>3.4</v>
      </c>
      <c r="I119" s="1945"/>
      <c r="J119" s="1945">
        <v>22.705199999999991</v>
      </c>
      <c r="K119" s="1945">
        <v>22.453922043000002</v>
      </c>
      <c r="L119" s="1945">
        <v>8.0091248565074267</v>
      </c>
      <c r="M119" s="1945"/>
      <c r="N119" s="1945">
        <f>K119+L119</f>
        <v>30.463046899507429</v>
      </c>
      <c r="O119" s="1947">
        <f t="shared" si="11"/>
        <v>13.416771003782147</v>
      </c>
      <c r="P119" s="1961">
        <f t="shared" si="12"/>
        <v>9.8893302164261971</v>
      </c>
      <c r="Q119" s="1962">
        <f t="shared" si="13"/>
        <v>3.5274407873559492</v>
      </c>
      <c r="R119" s="1781"/>
      <c r="S119" s="1782"/>
      <c r="T119" s="1356" t="s">
        <v>2072</v>
      </c>
    </row>
    <row r="120" spans="1:20">
      <c r="A120" s="1797"/>
      <c r="B120" s="1798" t="s">
        <v>211</v>
      </c>
      <c r="C120" s="1959">
        <f>SUM(C116:C119)</f>
        <v>1499</v>
      </c>
      <c r="D120" s="1949"/>
      <c r="E120" s="1798"/>
      <c r="F120" s="1798"/>
      <c r="G120" s="1777"/>
      <c r="H120" s="1959">
        <f>SUM(H116:H119)</f>
        <v>296.52</v>
      </c>
      <c r="I120" s="1937"/>
      <c r="J120" s="1937">
        <f>SUM(J116:J119)</f>
        <v>623.93893971741932</v>
      </c>
      <c r="K120" s="1937">
        <f>SUM(K116:K119)</f>
        <v>208.48954735350006</v>
      </c>
      <c r="L120" s="1937">
        <f>SUM(L116:L119)</f>
        <v>172.15041185373434</v>
      </c>
      <c r="M120" s="1937">
        <f>SUM(M116:M119)</f>
        <v>0</v>
      </c>
      <c r="N120" s="1937">
        <f>SUM(N116:N119)</f>
        <v>380.63995920723443</v>
      </c>
      <c r="O120" s="1947">
        <f t="shared" si="11"/>
        <v>6.1005963080237544</v>
      </c>
      <c r="P120" s="1948">
        <f t="shared" si="12"/>
        <v>3.3415056198916604</v>
      </c>
      <c r="Q120" s="1782">
        <f t="shared" si="13"/>
        <v>2.7590906881320936</v>
      </c>
      <c r="R120" s="1781">
        <f>H120*(1-F120)*24*365*$U$33*2.25/10^4</f>
        <v>292.22045999999995</v>
      </c>
      <c r="S120" s="1782">
        <f>R120/J120*10</f>
        <v>4.6834784848072788</v>
      </c>
    </row>
    <row r="121" spans="1:20">
      <c r="A121" s="1797"/>
      <c r="B121" s="1798"/>
      <c r="C121" s="1798"/>
      <c r="D121" s="1949"/>
      <c r="E121" s="1798"/>
      <c r="F121" s="1798"/>
      <c r="G121" s="1777"/>
      <c r="H121" s="1798"/>
      <c r="I121" s="1945"/>
      <c r="J121" s="1945"/>
      <c r="K121" s="1937"/>
      <c r="L121" s="1937"/>
      <c r="M121" s="1937"/>
      <c r="N121" s="1937"/>
      <c r="O121" s="1947">
        <f t="shared" si="11"/>
        <v>0</v>
      </c>
      <c r="P121" s="1948"/>
      <c r="Q121" s="1782"/>
    </row>
    <row r="122" spans="1:20">
      <c r="A122" s="1797" t="s">
        <v>30</v>
      </c>
      <c r="B122" s="1798" t="s">
        <v>1744</v>
      </c>
      <c r="C122" s="1798"/>
      <c r="D122" s="1949"/>
      <c r="E122" s="1798"/>
      <c r="F122" s="1798"/>
      <c r="G122" s="1777"/>
      <c r="H122" s="1798"/>
      <c r="I122" s="1945"/>
      <c r="J122" s="1945"/>
      <c r="K122" s="1937"/>
      <c r="L122" s="1937"/>
      <c r="M122" s="1937"/>
      <c r="N122" s="1937"/>
      <c r="O122" s="1947">
        <f t="shared" si="11"/>
        <v>0</v>
      </c>
      <c r="P122" s="1948"/>
      <c r="Q122" s="1782"/>
    </row>
    <row r="123" spans="1:20">
      <c r="A123" s="1797"/>
      <c r="B123" s="1798" t="s">
        <v>1745</v>
      </c>
      <c r="C123" s="1798"/>
      <c r="D123" s="1949"/>
      <c r="E123" s="1798"/>
      <c r="F123" s="1798"/>
      <c r="G123" s="1777"/>
      <c r="H123" s="1798"/>
      <c r="I123" s="1945"/>
      <c r="J123" s="1945"/>
      <c r="K123" s="1937"/>
      <c r="L123" s="1937"/>
      <c r="M123" s="1937"/>
      <c r="N123" s="1937"/>
      <c r="O123" s="1947">
        <f t="shared" si="11"/>
        <v>0</v>
      </c>
      <c r="P123" s="1948"/>
      <c r="Q123" s="1782"/>
    </row>
    <row r="124" spans="1:20">
      <c r="A124" s="1797">
        <v>1</v>
      </c>
      <c r="B124" s="1798" t="s">
        <v>1746</v>
      </c>
      <c r="C124" s="1945">
        <f>IFERROR(VLOOKUP($B124,F13_21_22!$B$14:$H$198,2,0),0)</f>
        <v>1000</v>
      </c>
      <c r="D124" s="1946">
        <f>IFERROR(VLOOKUP($B124,F13_21_22!$B$14:$H$198,3,0),0)</f>
        <v>0.37861742758037337</v>
      </c>
      <c r="E124" s="1945" t="str">
        <f>IFERROR(VLOOKUP($B124,F13_21_22!$B$14:$H$198,4,0),0)</f>
        <v>Must Run</v>
      </c>
      <c r="F124" s="1776">
        <f>IFERROR(VLOOKUP($B124,F13_21_22!$B$14:$H$198,5,0),0)</f>
        <v>1.2E-2</v>
      </c>
      <c r="G124" s="1776">
        <f>IFERROR(VLOOKUP($B124,F13_21_22!$B$14:$H$198,6,0),0)</f>
        <v>0.374</v>
      </c>
      <c r="H124" s="1945">
        <f>IFERROR(VLOOKUP($B124,F13_21_22!$B$14:$H$198,7,0),0)</f>
        <v>374</v>
      </c>
      <c r="I124" s="1945"/>
      <c r="J124" s="1945">
        <v>1226.6328888483868</v>
      </c>
      <c r="K124" s="1945">
        <v>266.17396968225006</v>
      </c>
      <c r="L124" s="1945">
        <v>253.45294584159041</v>
      </c>
      <c r="M124" s="1945"/>
      <c r="N124" s="1945">
        <f>K124+L124</f>
        <v>519.62691552384047</v>
      </c>
      <c r="O124" s="1947">
        <f t="shared" si="11"/>
        <v>4.2362056345292318</v>
      </c>
      <c r="P124" s="1948">
        <f t="shared" si="12"/>
        <v>2.1699562444648381</v>
      </c>
      <c r="Q124" s="1782">
        <f t="shared" si="13"/>
        <v>2.0662493900643937</v>
      </c>
      <c r="R124" s="1781">
        <f>H124*(1-F124)*24*365*$U$33*2.25/10^4</f>
        <v>364.15407600000003</v>
      </c>
      <c r="S124" s="1782">
        <f>R124/J124*10</f>
        <v>2.9687291064067489</v>
      </c>
    </row>
    <row r="125" spans="1:20">
      <c r="A125" s="1797">
        <v>2</v>
      </c>
      <c r="B125" s="1798" t="s">
        <v>1747</v>
      </c>
      <c r="C125" s="1945">
        <f>IFERROR(VLOOKUP($B125,F13_21_22!$B$14:$H$198,2,0),0)</f>
        <v>400</v>
      </c>
      <c r="D125" s="1946">
        <f>IFERROR(VLOOKUP($B125,F13_21_22!$B$14:$H$198,3,0),0)</f>
        <v>0.37096271345567705</v>
      </c>
      <c r="E125" s="1945" t="str">
        <f>IFERROR(VLOOKUP($B125,F13_21_22!$B$14:$H$198,4,0),0)</f>
        <v>Must Run</v>
      </c>
      <c r="F125" s="1776">
        <f>IFERROR(VLOOKUP($B125,F13_21_22!$B$14:$H$198,5,0),0)</f>
        <v>0.01</v>
      </c>
      <c r="G125" s="1776">
        <f>IFERROR(VLOOKUP($B125,F13_21_22!$B$14:$H$198,6,0),0)</f>
        <v>0.38750000000000001</v>
      </c>
      <c r="H125" s="1945">
        <f>IFERROR(VLOOKUP($B125,F13_21_22!$B$14:$H$198,7,0),0)</f>
        <v>155</v>
      </c>
      <c r="I125" s="1945"/>
      <c r="J125" s="1945">
        <v>498.95539750070969</v>
      </c>
      <c r="K125" s="1945">
        <v>125.51809395825003</v>
      </c>
      <c r="L125" s="1945">
        <v>116.03120230067825</v>
      </c>
      <c r="M125" s="1945"/>
      <c r="N125" s="1945">
        <f>K125+L125</f>
        <v>241.54929625892828</v>
      </c>
      <c r="O125" s="1947">
        <f t="shared" si="11"/>
        <v>4.8410999754458954</v>
      </c>
      <c r="P125" s="1948">
        <f t="shared" si="12"/>
        <v>2.5156175198620137</v>
      </c>
      <c r="Q125" s="1782">
        <f t="shared" si="13"/>
        <v>2.3254824555838822</v>
      </c>
      <c r="R125" s="1781">
        <f>H125*(1-F125)*24*365*$U$33*2.25/10^4</f>
        <v>151.224975</v>
      </c>
      <c r="S125" s="1782">
        <f>R125/J125*10</f>
        <v>3.0308315283789451</v>
      </c>
    </row>
    <row r="126" spans="1:20">
      <c r="A126" s="1797">
        <v>3</v>
      </c>
      <c r="B126" s="1798" t="s">
        <v>1748</v>
      </c>
      <c r="C126" s="1945">
        <f>IFERROR(VLOOKUP($B126,F13_21_22!$B$14:$H$198,2,0),0)</f>
        <v>24</v>
      </c>
      <c r="D126" s="1946">
        <f>IFERROR(VLOOKUP($B126,F13_21_22!$B$14:$H$198,3,0),0)</f>
        <v>0.2693696140548506</v>
      </c>
      <c r="E126" s="1945" t="str">
        <f>IFERROR(VLOOKUP($B126,F13_21_22!$B$14:$H$198,4,0),0)</f>
        <v>Must Run</v>
      </c>
      <c r="F126" s="1776">
        <f>IFERROR(VLOOKUP($B126,F13_21_22!$B$14:$H$198,5,0),0)</f>
        <v>0.01</v>
      </c>
      <c r="G126" s="1776">
        <f>IFERROR(VLOOKUP($B126,F13_21_22!$B$14:$H$198,6,0),0)</f>
        <v>1</v>
      </c>
      <c r="H126" s="1945">
        <f>IFERROR(VLOOKUP($B126,F13_21_22!$B$14:$H$198,7,0),0)</f>
        <v>24</v>
      </c>
      <c r="I126" s="1945"/>
      <c r="J126" s="1945">
        <f>F13B_22_23_ARR!EE119</f>
        <v>56.490610661290326</v>
      </c>
      <c r="K126" s="1945">
        <v>0</v>
      </c>
      <c r="L126" s="1945">
        <v>28.909065653607598</v>
      </c>
      <c r="M126" s="1945"/>
      <c r="N126" s="1945">
        <f>K126+L126</f>
        <v>28.909065653607598</v>
      </c>
      <c r="O126" s="1947">
        <f t="shared" si="11"/>
        <v>5.1174992295520125</v>
      </c>
      <c r="P126" s="1958">
        <f t="shared" si="12"/>
        <v>0</v>
      </c>
      <c r="Q126" s="1895">
        <f t="shared" si="13"/>
        <v>5.1174992295520125</v>
      </c>
      <c r="R126" s="1781"/>
      <c r="S126" s="1782"/>
      <c r="T126" s="1356" t="s">
        <v>2072</v>
      </c>
    </row>
    <row r="127" spans="1:20">
      <c r="A127" s="1797">
        <v>4</v>
      </c>
      <c r="B127" s="1798" t="s">
        <v>1749</v>
      </c>
      <c r="C127" s="1945">
        <f>IFERROR(VLOOKUP($B127,F13_21_22!$B$14:$H$198,2,0),0)</f>
        <v>444</v>
      </c>
      <c r="D127" s="1946"/>
      <c r="E127" s="1945" t="str">
        <f>IFERROR(VLOOKUP($B127,F13_21_22!$B$14:$H$198,4,0),0)</f>
        <v>Must Run</v>
      </c>
      <c r="F127" s="1776">
        <f>IFERROR(VLOOKUP($B127,F13_21_22!$B$14:$H$198,5,0),0)</f>
        <v>1.2E-2</v>
      </c>
      <c r="G127" s="1776">
        <f>IFERROR(VLOOKUP($B127,F13_21_22!$B$14:$H$198,6,0),0)</f>
        <v>0.37387387387387389</v>
      </c>
      <c r="H127" s="1945">
        <f>IFERROR(VLOOKUP($B127,F13_21_22!$B$14:$H$198,7,0),0)</f>
        <v>166</v>
      </c>
      <c r="I127" s="1945"/>
      <c r="J127" s="1945">
        <v>0</v>
      </c>
      <c r="K127" s="1945">
        <v>0</v>
      </c>
      <c r="L127" s="1945"/>
      <c r="M127" s="1945"/>
      <c r="N127" s="1945">
        <f>K127+L127</f>
        <v>0</v>
      </c>
      <c r="O127" s="1947">
        <f t="shared" si="11"/>
        <v>0</v>
      </c>
      <c r="P127" s="1948"/>
      <c r="Q127" s="1782"/>
      <c r="S127" s="1782"/>
    </row>
    <row r="128" spans="1:20">
      <c r="A128" s="1797"/>
      <c r="B128" s="1798" t="s">
        <v>1750</v>
      </c>
      <c r="C128" s="1945"/>
      <c r="D128" s="1946"/>
      <c r="E128" s="1945"/>
      <c r="F128" s="1776"/>
      <c r="G128" s="1776"/>
      <c r="H128" s="1798"/>
      <c r="I128" s="1945"/>
      <c r="J128" s="1945"/>
      <c r="K128" s="1945"/>
      <c r="L128" s="1945"/>
      <c r="M128" s="1945"/>
      <c r="N128" s="1945"/>
      <c r="O128" s="1947">
        <f t="shared" si="11"/>
        <v>0</v>
      </c>
      <c r="P128" s="1948"/>
      <c r="Q128" s="1782"/>
    </row>
    <row r="129" spans="1:20">
      <c r="A129" s="1797">
        <v>1</v>
      </c>
      <c r="B129" s="1798" t="s">
        <v>1751</v>
      </c>
      <c r="C129" s="1945">
        <f>IFERROR(VLOOKUP($B129,F13_21_22!$B$14:$H$198,2,0),0)</f>
        <v>1320</v>
      </c>
      <c r="D129" s="1946"/>
      <c r="E129" s="1945" t="str">
        <f>IFERROR(VLOOKUP($B129,F13_21_22!$B$14:$H$198,4,0),0)</f>
        <v>Merit</v>
      </c>
      <c r="F129" s="1776">
        <f>IFERROR(VLOOKUP($B129,F13_21_22!$B$14:$H$198,5,0),0)</f>
        <v>5.7500000000000002E-2</v>
      </c>
      <c r="G129" s="1776">
        <f>IFERROR(VLOOKUP($B129,F13_21_22!$B$14:$H$198,6,0),0)</f>
        <v>0.3</v>
      </c>
      <c r="H129" s="1945">
        <f>IFERROR(VLOOKUP($B129,F13_21_22!$B$14:$H$198,7,0),0)</f>
        <v>396</v>
      </c>
      <c r="I129" s="1945"/>
      <c r="J129" s="1945">
        <v>0</v>
      </c>
      <c r="K129" s="1945">
        <v>0</v>
      </c>
      <c r="L129" s="1945">
        <v>0</v>
      </c>
      <c r="M129" s="1945"/>
      <c r="N129" s="1945">
        <f>K129+L129</f>
        <v>0</v>
      </c>
      <c r="O129" s="1947">
        <f t="shared" si="11"/>
        <v>0</v>
      </c>
      <c r="P129" s="1948"/>
      <c r="Q129" s="1782"/>
    </row>
    <row r="130" spans="1:20">
      <c r="A130" s="1797"/>
      <c r="B130" s="1798" t="s">
        <v>211</v>
      </c>
      <c r="C130" s="1959">
        <f>SUM(C124:C129)</f>
        <v>3188</v>
      </c>
      <c r="D130" s="1949"/>
      <c r="E130" s="1963"/>
      <c r="F130" s="1963"/>
      <c r="G130" s="1964"/>
      <c r="H130" s="1959">
        <f>SUM(H124:H129)</f>
        <v>1115</v>
      </c>
      <c r="I130" s="1937"/>
      <c r="J130" s="1937">
        <f>SUM(J124:J129)</f>
        <v>1782.0788970103868</v>
      </c>
      <c r="K130" s="1937">
        <f>SUM(K124:K129)</f>
        <v>391.69206364050012</v>
      </c>
      <c r="L130" s="1937">
        <f>SUM(L124:L129)</f>
        <v>398.39321379587625</v>
      </c>
      <c r="M130" s="1937">
        <f>SUM(M124:M129)</f>
        <v>0</v>
      </c>
      <c r="N130" s="1937">
        <f>SUM(N124:N129)</f>
        <v>790.08527743637637</v>
      </c>
      <c r="O130" s="1947">
        <f t="shared" si="11"/>
        <v>4.4335033581387577</v>
      </c>
      <c r="P130" s="1948">
        <f t="shared" si="12"/>
        <v>2.1979501822147283</v>
      </c>
      <c r="Q130" s="1782">
        <f t="shared" si="13"/>
        <v>2.2355531759240299</v>
      </c>
      <c r="R130" s="1356">
        <f>H130*(1-F130)*24*365*D130*2.5/10^4</f>
        <v>0</v>
      </c>
      <c r="S130" s="1782">
        <f>R130/J130*10</f>
        <v>0</v>
      </c>
    </row>
    <row r="131" spans="1:20">
      <c r="A131" s="1797"/>
      <c r="B131" s="1798"/>
      <c r="C131" s="1798"/>
      <c r="D131" s="1949"/>
      <c r="E131" s="1798"/>
      <c r="F131" s="1798"/>
      <c r="G131" s="1777"/>
      <c r="H131" s="1798"/>
      <c r="I131" s="1945"/>
      <c r="J131" s="1945"/>
      <c r="K131" s="1937"/>
      <c r="L131" s="1937"/>
      <c r="M131" s="1937"/>
      <c r="N131" s="1937"/>
      <c r="O131" s="1947"/>
      <c r="P131" s="1948"/>
      <c r="Q131" s="1782"/>
    </row>
    <row r="132" spans="1:20">
      <c r="A132" s="1797" t="s">
        <v>129</v>
      </c>
      <c r="B132" s="1798" t="s">
        <v>1752</v>
      </c>
      <c r="C132" s="1798"/>
      <c r="D132" s="1949"/>
      <c r="E132" s="1798"/>
      <c r="F132" s="1798"/>
      <c r="G132" s="1777"/>
      <c r="H132" s="1798"/>
      <c r="I132" s="1945"/>
      <c r="J132" s="1945"/>
      <c r="K132" s="1937"/>
      <c r="L132" s="1937"/>
      <c r="M132" s="1937"/>
      <c r="N132" s="1937"/>
      <c r="O132" s="1947"/>
      <c r="P132" s="1948"/>
      <c r="Q132" s="1782"/>
    </row>
    <row r="133" spans="1:20">
      <c r="A133" s="1797">
        <v>1</v>
      </c>
      <c r="B133" s="1798" t="s">
        <v>1753</v>
      </c>
      <c r="C133" s="1945">
        <f>IFERROR(VLOOKUP($B133,F13_21_22!$B$14:$H$198,2,0),0)</f>
        <v>412</v>
      </c>
      <c r="D133" s="1946">
        <f>IFERROR(VLOOKUP($B133,F13_21_22!$B$14:$H$198,3,0),0)</f>
        <v>0.54231336177740552</v>
      </c>
      <c r="E133" s="1945" t="str">
        <f>IFERROR(VLOOKUP($B133,F13_21_22!$B$14:$H$198,4,0),0)</f>
        <v>Must Run</v>
      </c>
      <c r="F133" s="1776">
        <f>IFERROR(VLOOKUP($B133,F13_21_22!$B$14:$H$198,5,0),0)</f>
        <v>0.01</v>
      </c>
      <c r="G133" s="1776">
        <f>IFERROR(VLOOKUP($B133,F13_21_22!$B$14:$H$198,6,0),0)</f>
        <v>0.13834951456310679</v>
      </c>
      <c r="H133" s="1945">
        <f>IFERROR(VLOOKUP($B133,F13_21_22!$B$14:$H$198,7,0),0)</f>
        <v>57</v>
      </c>
      <c r="I133" s="1945"/>
      <c r="J133" s="1945">
        <v>268.93086260000001</v>
      </c>
      <c r="K133" s="1945">
        <v>88.604917379999989</v>
      </c>
      <c r="L133" s="1945">
        <v>44.925297951700102</v>
      </c>
      <c r="M133" s="1945"/>
      <c r="N133" s="1945">
        <f>K133+L133</f>
        <v>133.53021533170011</v>
      </c>
      <c r="O133" s="1947">
        <f t="shared" si="11"/>
        <v>4.9652246692975917</v>
      </c>
      <c r="P133" s="1948">
        <f t="shared" si="12"/>
        <v>3.2947098939621662</v>
      </c>
      <c r="Q133" s="1782">
        <f t="shared" si="13"/>
        <v>1.670514775335425</v>
      </c>
      <c r="R133" s="1781">
        <f>H133*(1-F133)*24*365*$U$33*2.25/10^4</f>
        <v>55.611765000000005</v>
      </c>
      <c r="S133" s="1782">
        <f>R133/J133*10</f>
        <v>2.0678833385781883</v>
      </c>
    </row>
    <row r="134" spans="1:20">
      <c r="A134" s="1797">
        <v>2</v>
      </c>
      <c r="B134" s="1798" t="s">
        <v>1754</v>
      </c>
      <c r="C134" s="1945">
        <f>IFERROR(VLOOKUP($B134,F13_21_22!$B$14:$H$198,2,0),0)</f>
        <v>1500</v>
      </c>
      <c r="D134" s="1946">
        <f>IFERROR(VLOOKUP($B134,F13_21_22!$B$14:$H$198,3,0),0)</f>
        <v>0.53913107979790409</v>
      </c>
      <c r="E134" s="1945" t="str">
        <f>IFERROR(VLOOKUP($B134,F13_21_22!$B$14:$H$198,4,0),0)</f>
        <v>Must Run</v>
      </c>
      <c r="F134" s="1776">
        <f>IFERROR(VLOOKUP($B134,F13_21_22!$B$14:$H$198,5,0),0)</f>
        <v>1.2E-2</v>
      </c>
      <c r="G134" s="1776">
        <f>IFERROR(VLOOKUP($B134,F13_21_22!$B$14:$H$198,6,0),0)</f>
        <v>0.14733333333333334</v>
      </c>
      <c r="H134" s="1945">
        <f>IFERROR(VLOOKUP($B134,F13_21_22!$B$14:$H$198,7,0),0)</f>
        <v>221</v>
      </c>
      <c r="I134" s="1945"/>
      <c r="J134" s="1945">
        <v>1034.5812841699999</v>
      </c>
      <c r="K134" s="1945">
        <v>268.97164259175003</v>
      </c>
      <c r="L134" s="1945">
        <v>87.918812091257024</v>
      </c>
      <c r="M134" s="1945"/>
      <c r="N134" s="1945">
        <f>K134+L134</f>
        <v>356.89045468300708</v>
      </c>
      <c r="O134" s="1947">
        <f t="shared" si="11"/>
        <v>3.4496125161332776</v>
      </c>
      <c r="P134" s="1948">
        <f t="shared" si="12"/>
        <v>2.5998116021162554</v>
      </c>
      <c r="Q134" s="1782">
        <f t="shared" si="13"/>
        <v>0.84980091401702196</v>
      </c>
      <c r="R134" s="1781">
        <f>H134*(1-F134)*24*365*$U$33*2.25/10^4</f>
        <v>215.18195399999999</v>
      </c>
      <c r="S134" s="1782">
        <f>R134/J134*10</f>
        <v>2.0798941300453859</v>
      </c>
    </row>
    <row r="135" spans="1:20">
      <c r="A135" s="1797"/>
      <c r="B135" s="1798" t="s">
        <v>211</v>
      </c>
      <c r="C135" s="1959">
        <f>SUM(C133:C134)</f>
        <v>1912</v>
      </c>
      <c r="D135" s="1949"/>
      <c r="E135" s="1798"/>
      <c r="F135" s="1798"/>
      <c r="G135" s="1777"/>
      <c r="H135" s="1959">
        <f>SUM(H133:H134)</f>
        <v>278</v>
      </c>
      <c r="I135" s="1937"/>
      <c r="J135" s="1937">
        <f>SUM(J133:J134)</f>
        <v>1303.5121467699998</v>
      </c>
      <c r="K135" s="1937">
        <f>SUM(K133:K134)</f>
        <v>357.57655997175004</v>
      </c>
      <c r="L135" s="1937">
        <f>SUM(L133:L134)</f>
        <v>132.84411004295714</v>
      </c>
      <c r="M135" s="1937">
        <f>SUM(M133:M134)</f>
        <v>0</v>
      </c>
      <c r="N135" s="1937">
        <f>SUM(N133:N134)</f>
        <v>490.42067001470718</v>
      </c>
      <c r="O135" s="1947">
        <f t="shared" si="11"/>
        <v>3.7623022633884222</v>
      </c>
      <c r="P135" s="1948">
        <f t="shared" si="12"/>
        <v>2.7431778127867585</v>
      </c>
      <c r="Q135" s="1782">
        <f t="shared" si="13"/>
        <v>1.0191244506016637</v>
      </c>
      <c r="S135" s="1782"/>
    </row>
    <row r="136" spans="1:20">
      <c r="A136" s="1797"/>
      <c r="B136" s="1798"/>
      <c r="C136" s="1959"/>
      <c r="D136" s="1949"/>
      <c r="E136" s="1963"/>
      <c r="F136" s="1963"/>
      <c r="G136" s="1964"/>
      <c r="H136" s="1959"/>
      <c r="I136" s="1937"/>
      <c r="J136" s="1937"/>
      <c r="K136" s="1937"/>
      <c r="L136" s="1937"/>
      <c r="M136" s="1937"/>
      <c r="N136" s="1937"/>
      <c r="O136" s="1947">
        <f t="shared" si="11"/>
        <v>0</v>
      </c>
      <c r="P136" s="1948"/>
      <c r="Q136" s="1782"/>
      <c r="S136" s="1782"/>
    </row>
    <row r="137" spans="1:20">
      <c r="A137" s="1797" t="s">
        <v>136</v>
      </c>
      <c r="B137" s="1798" t="s">
        <v>1755</v>
      </c>
      <c r="C137" s="1798"/>
      <c r="D137" s="1949"/>
      <c r="E137" s="1798"/>
      <c r="F137" s="1798"/>
      <c r="G137" s="1777"/>
      <c r="H137" s="1798"/>
      <c r="I137" s="1945"/>
      <c r="J137" s="1945"/>
      <c r="K137" s="1937"/>
      <c r="L137" s="1937"/>
      <c r="M137" s="1937"/>
      <c r="N137" s="1937"/>
      <c r="O137" s="1947">
        <f t="shared" si="11"/>
        <v>0</v>
      </c>
      <c r="P137" s="1948"/>
      <c r="Q137" s="1782"/>
      <c r="S137" s="1782"/>
    </row>
    <row r="138" spans="1:20">
      <c r="A138" s="1797">
        <v>1</v>
      </c>
      <c r="B138" s="1798" t="s">
        <v>1756</v>
      </c>
      <c r="C138" s="1945">
        <f>IFERROR(VLOOKUP($B138,F13_21_22!$B$14:$H$198,2,0),0)</f>
        <v>600</v>
      </c>
      <c r="D138" s="1946">
        <f>IFERROR(VLOOKUP($B138,F13_21_22!$B$14:$H$198,3,0),0)</f>
        <v>0.47</v>
      </c>
      <c r="E138" s="1945" t="str">
        <f>IFERROR(VLOOKUP($B138,F13_21_22!$B$14:$H$198,4,0),0)</f>
        <v>Must Run</v>
      </c>
      <c r="F138" s="1776">
        <f>IFERROR(VLOOKUP($B138,F13_21_22!$B$14:$H$198,5,0),0)</f>
        <v>0.01</v>
      </c>
      <c r="G138" s="1776">
        <f>IFERROR(VLOOKUP($B138,F13_21_22!$B$14:$H$198,6,0),0)</f>
        <v>9.166666666666666E-2</v>
      </c>
      <c r="H138" s="1945">
        <f>IFERROR(VLOOKUP($B138,F13_21_22!$B$14:$H$198,7,0),0)</f>
        <v>55</v>
      </c>
      <c r="I138" s="1945"/>
      <c r="J138" s="1945">
        <v>224.18154000000001</v>
      </c>
      <c r="K138" s="1945">
        <v>0</v>
      </c>
      <c r="L138" s="1945">
        <v>93.319603047090652</v>
      </c>
      <c r="M138" s="1945"/>
      <c r="N138" s="1945">
        <f>K138+L138</f>
        <v>93.319603047090652</v>
      </c>
      <c r="O138" s="1947">
        <f t="shared" si="11"/>
        <v>4.1626800782566953</v>
      </c>
      <c r="P138" s="1958">
        <f t="shared" si="12"/>
        <v>0</v>
      </c>
      <c r="Q138" s="1895">
        <f t="shared" si="13"/>
        <v>4.1626800782566953</v>
      </c>
      <c r="R138" s="1781">
        <f>H138*(1-F138)*24*365*$U$33*2.25/10^4</f>
        <v>53.660475000000012</v>
      </c>
      <c r="S138" s="1782">
        <f>R138/J138*10</f>
        <v>2.3936170212765964</v>
      </c>
      <c r="T138" s="1356" t="s">
        <v>2073</v>
      </c>
    </row>
    <row r="139" spans="1:20">
      <c r="A139" s="1797"/>
      <c r="B139" s="1798"/>
      <c r="C139" s="1798"/>
      <c r="D139" s="1949"/>
      <c r="E139" s="1798"/>
      <c r="F139" s="1798"/>
      <c r="G139" s="1777"/>
      <c r="H139" s="1798"/>
      <c r="I139" s="1945"/>
      <c r="J139" s="1945"/>
      <c r="K139" s="1937"/>
      <c r="L139" s="1937"/>
      <c r="M139" s="1937"/>
      <c r="N139" s="1937"/>
      <c r="O139" s="1947">
        <f t="shared" si="11"/>
        <v>0</v>
      </c>
      <c r="P139" s="1948"/>
      <c r="Q139" s="1782"/>
      <c r="S139" s="1782"/>
    </row>
    <row r="140" spans="1:20">
      <c r="A140" s="1859" t="s">
        <v>706</v>
      </c>
      <c r="B140" s="1798" t="s">
        <v>1757</v>
      </c>
      <c r="C140" s="1798"/>
      <c r="D140" s="1949"/>
      <c r="E140" s="1798"/>
      <c r="F140" s="1798"/>
      <c r="G140" s="1777"/>
      <c r="H140" s="1798"/>
      <c r="I140" s="1945"/>
      <c r="J140" s="1945"/>
      <c r="K140" s="1937"/>
      <c r="L140" s="1937"/>
      <c r="M140" s="1937"/>
      <c r="N140" s="1937"/>
      <c r="O140" s="1947">
        <f t="shared" si="11"/>
        <v>0</v>
      </c>
      <c r="P140" s="1948"/>
      <c r="Q140" s="1782"/>
      <c r="S140" s="1782"/>
    </row>
    <row r="141" spans="1:20">
      <c r="A141" s="1859"/>
      <c r="B141" s="1798" t="s">
        <v>1745</v>
      </c>
      <c r="C141" s="1798"/>
      <c r="D141" s="1949"/>
      <c r="E141" s="1798"/>
      <c r="F141" s="1798"/>
      <c r="G141" s="1777"/>
      <c r="H141" s="1798"/>
      <c r="I141" s="1945"/>
      <c r="J141" s="1945"/>
      <c r="K141" s="1937"/>
      <c r="L141" s="1937"/>
      <c r="M141" s="1937"/>
      <c r="N141" s="1937"/>
      <c r="O141" s="1947">
        <f t="shared" si="11"/>
        <v>0</v>
      </c>
      <c r="P141" s="1948"/>
      <c r="Q141" s="1782"/>
      <c r="S141" s="1782"/>
    </row>
    <row r="142" spans="1:20">
      <c r="A142" s="1797">
        <v>1</v>
      </c>
      <c r="B142" s="1798" t="s">
        <v>1758</v>
      </c>
      <c r="C142" s="1945">
        <f>IFERROR(VLOOKUP($B142,F13_21_22!$B$14:$H$198,2,0),0)</f>
        <v>1020</v>
      </c>
      <c r="D142" s="1946">
        <f>IFERROR(VLOOKUP($B142,F13_21_22!$B$14:$H$198,3,0),0)</f>
        <v>0.34830924252920159</v>
      </c>
      <c r="E142" s="1945" t="str">
        <f>IFERROR(VLOOKUP($B142,F13_21_22!$B$14:$H$198,4,0),0)</f>
        <v>Must Run</v>
      </c>
      <c r="F142" s="1776">
        <f>IFERROR(VLOOKUP($B142,F13_21_22!$B$14:$H$198,5,0),0)</f>
        <v>0.01</v>
      </c>
      <c r="G142" s="1776">
        <f>IFERROR(VLOOKUP($B142,F13_21_22!$B$14:$H$198,6,0),0)</f>
        <v>4.3137254901960784E-2</v>
      </c>
      <c r="H142" s="1945">
        <f>IFERROR(VLOOKUP($B142,F13_21_22!$B$14:$H$198,7,0),0)</f>
        <v>44</v>
      </c>
      <c r="I142" s="1945"/>
      <c r="J142" s="1945">
        <v>133.82128677580644</v>
      </c>
      <c r="K142" s="1945">
        <v>0</v>
      </c>
      <c r="L142" s="1945">
        <v>30.073176080069839</v>
      </c>
      <c r="M142" s="1945"/>
      <c r="N142" s="1945">
        <f t="shared" ref="N142:N148" si="17">K142+L142</f>
        <v>30.073176080069839</v>
      </c>
      <c r="O142" s="1947">
        <f t="shared" si="11"/>
        <v>2.2472640044518517</v>
      </c>
      <c r="P142" s="1958">
        <f t="shared" si="12"/>
        <v>0</v>
      </c>
      <c r="Q142" s="1895">
        <f t="shared" si="13"/>
        <v>2.2472640044518517</v>
      </c>
      <c r="R142" s="1356">
        <f>H142*(1-F142)*24*365*D142*2.5/10^4</f>
        <v>33.227447824012728</v>
      </c>
      <c r="S142" s="1782">
        <f>R142/J142*10</f>
        <v>2.4829717771044417</v>
      </c>
      <c r="T142" s="1356" t="s">
        <v>2073</v>
      </c>
    </row>
    <row r="143" spans="1:20">
      <c r="A143" s="1797">
        <v>2</v>
      </c>
      <c r="B143" s="1798" t="s">
        <v>1759</v>
      </c>
      <c r="C143" s="1945">
        <f>IFERROR(VLOOKUP($B143,F13_21_22!$B$14:$H$198,2,0),0)</f>
        <v>400</v>
      </c>
      <c r="D143" s="1946">
        <f>IFERROR(VLOOKUP($B143,F13_21_22!$B$14:$H$198,3,0),0)</f>
        <v>0.50362204337602667</v>
      </c>
      <c r="E143" s="1945" t="str">
        <f>IFERROR(VLOOKUP($B143,F13_21_22!$B$14:$H$198,4,0),0)</f>
        <v>Must Run</v>
      </c>
      <c r="F143" s="1776">
        <f>IFERROR(VLOOKUP($B143,F13_21_22!$B$14:$H$198,5,0),0)</f>
        <v>5.0000000000000001E-3</v>
      </c>
      <c r="G143" s="1776">
        <f>IFERROR(VLOOKUP($B143,F13_21_22!$B$14:$H$198,6,0),0)</f>
        <v>0.88</v>
      </c>
      <c r="H143" s="1945">
        <f>IFERROR(VLOOKUP($B143,F13_21_22!$B$14:$H$198,7,0),0)</f>
        <v>352</v>
      </c>
      <c r="I143" s="1945"/>
      <c r="J143" s="1945">
        <v>1551.6143259499997</v>
      </c>
      <c r="K143" s="1945">
        <v>24.560171999999994</v>
      </c>
      <c r="L143" s="1945">
        <v>166.53051558879608</v>
      </c>
      <c r="M143" s="1945"/>
      <c r="N143" s="1945">
        <f t="shared" si="17"/>
        <v>191.09068758879607</v>
      </c>
      <c r="O143" s="1947">
        <f t="shared" si="11"/>
        <v>1.2315604747448943</v>
      </c>
      <c r="P143" s="1948">
        <f t="shared" si="12"/>
        <v>0.15828786567153311</v>
      </c>
      <c r="Q143" s="1782">
        <f t="shared" si="13"/>
        <v>1.0732726090733611</v>
      </c>
      <c r="R143" s="1781">
        <f>H143*(1-F143)*24*365*$U$33*2.25/10^4</f>
        <v>345.16152</v>
      </c>
      <c r="S143" s="1782">
        <f>R143/J143*10</f>
        <v>2.2245316650364746</v>
      </c>
    </row>
    <row r="144" spans="1:20">
      <c r="A144" s="1797">
        <v>3</v>
      </c>
      <c r="B144" s="1798" t="s">
        <v>1760</v>
      </c>
      <c r="C144" s="1945">
        <f>IFERROR(VLOOKUP($B144,F13_21_22!$B$14:$H$198,2,0),0)</f>
        <v>1000</v>
      </c>
      <c r="D144" s="1946">
        <f>IFERROR(VLOOKUP($B144,F13_21_22!$B$14:$H$198,3,0),0)</f>
        <v>0.46092558271070777</v>
      </c>
      <c r="E144" s="1945" t="str">
        <f>IFERROR(VLOOKUP($B144,F13_21_22!$B$14:$H$198,4,0),0)</f>
        <v>Must Run</v>
      </c>
      <c r="F144" s="1776">
        <f>IFERROR(VLOOKUP($B144,F13_21_22!$B$14:$H$198,5,0),0)</f>
        <v>1.2E-2</v>
      </c>
      <c r="G144" s="1776">
        <f>IFERROR(VLOOKUP($B144,F13_21_22!$B$14:$H$198,6,0),0)</f>
        <v>0.2</v>
      </c>
      <c r="H144" s="1945">
        <f>IFERROR(VLOOKUP($B144,F13_21_22!$B$14:$H$198,7,0),0)</f>
        <v>200</v>
      </c>
      <c r="I144" s="1945"/>
      <c r="J144" s="1945">
        <v>800.53265424193546</v>
      </c>
      <c r="K144" s="1945">
        <v>202.750070166</v>
      </c>
      <c r="L144" s="1945">
        <v>111.66630033015983</v>
      </c>
      <c r="M144" s="1945"/>
      <c r="N144" s="1945">
        <f t="shared" si="17"/>
        <v>314.41637049615986</v>
      </c>
      <c r="O144" s="1947">
        <f t="shared" ref="O144:O211" si="18">IFERROR(N144/J144*10,0)</f>
        <v>3.9275895721442682</v>
      </c>
      <c r="P144" s="1948">
        <f t="shared" si="12"/>
        <v>2.532689567273108</v>
      </c>
      <c r="Q144" s="1782">
        <f t="shared" si="13"/>
        <v>1.3949000048711599</v>
      </c>
      <c r="R144" s="1781">
        <f>H144*(1-F144)*24*365*$U$33*2.25/10^4</f>
        <v>194.73479999999998</v>
      </c>
      <c r="S144" s="1782">
        <f>R144/J144*10</f>
        <v>2.4325653546813046</v>
      </c>
    </row>
    <row r="145" spans="1:21">
      <c r="A145" s="1797">
        <v>4</v>
      </c>
      <c r="B145" s="1798" t="s">
        <v>1761</v>
      </c>
      <c r="C145" s="1945">
        <f>IFERROR(VLOOKUP($B145,F13_21_22!$B$14:$H$198,2,0),0)</f>
        <v>1200</v>
      </c>
      <c r="D145" s="1946">
        <f>IFERROR(VLOOKUP($B145,F13_21_22!$B$14:$H$198,3,0),0)</f>
        <v>0.49645294401518258</v>
      </c>
      <c r="E145" s="1945" t="str">
        <f>IFERROR(VLOOKUP($B145,F13_21_22!$B$14:$H$198,4,0),0)</f>
        <v>Must Run</v>
      </c>
      <c r="F145" s="1776">
        <f>IFERROR(VLOOKUP($B145,F13_21_22!$B$14:$H$198,5,0),0)</f>
        <v>1.2E-2</v>
      </c>
      <c r="G145" s="1776">
        <f>IFERROR(VLOOKUP($B145,F13_21_22!$B$14:$H$198,6,0),0)</f>
        <v>0.16666666666666666</v>
      </c>
      <c r="H145" s="1945">
        <f>IFERROR(VLOOKUP($B145,F13_21_22!$B$14:$H$198,7,0),0)</f>
        <v>200</v>
      </c>
      <c r="I145" s="1945"/>
      <c r="J145" s="1945">
        <v>862.62301494623648</v>
      </c>
      <c r="K145" s="1945">
        <v>361.49727829950001</v>
      </c>
      <c r="L145" s="1945">
        <v>194.51279500478816</v>
      </c>
      <c r="M145" s="1945"/>
      <c r="N145" s="1945">
        <f t="shared" si="17"/>
        <v>556.0100733042882</v>
      </c>
      <c r="O145" s="1947">
        <f t="shared" si="18"/>
        <v>6.4455742968896077</v>
      </c>
      <c r="P145" s="1948">
        <f t="shared" si="12"/>
        <v>4.1906750925493279</v>
      </c>
      <c r="Q145" s="1782">
        <f t="shared" si="13"/>
        <v>2.2548992043402794</v>
      </c>
      <c r="R145" s="1781">
        <f>H145*(1-F145)*24*365*$U$33*2.25/10^4</f>
        <v>194.73479999999998</v>
      </c>
      <c r="S145" s="1782">
        <f>R145/J145*10</f>
        <v>2.2574728082363644</v>
      </c>
    </row>
    <row r="146" spans="1:21">
      <c r="A146" s="1797">
        <v>5</v>
      </c>
      <c r="B146" s="1798" t="s">
        <v>1762</v>
      </c>
      <c r="C146" s="1945">
        <f>IFERROR(VLOOKUP($B146,F13_21_22!$B$14:$H$198,2,0),0)</f>
        <v>330</v>
      </c>
      <c r="D146" s="1946">
        <f>IFERROR(VLOOKUP($B146,F13_21_22!$B$14:$H$198,3,0),0)</f>
        <v>0.4859984859772879</v>
      </c>
      <c r="E146" s="1945" t="str">
        <f>IFERROR(VLOOKUP($B146,F13_21_22!$B$14:$H$198,4,0),0)</f>
        <v>Must Run</v>
      </c>
      <c r="F146" s="1776">
        <f>IFERROR(VLOOKUP($B146,F13_21_22!$B$14:$H$198,5,0),0)</f>
        <v>0.01</v>
      </c>
      <c r="G146" s="1776">
        <f>IFERROR(VLOOKUP($B146,F13_21_22!$B$14:$H$198,6,0),0)</f>
        <v>0.87999999999999989</v>
      </c>
      <c r="H146" s="1945">
        <f>IFERROR(VLOOKUP($B146,F13_21_22!$B$14:$H$198,7,0),0)</f>
        <v>290.39999999999998</v>
      </c>
      <c r="I146" s="1945"/>
      <c r="J146" s="1945">
        <v>1229.0681561161291</v>
      </c>
      <c r="K146" s="1945">
        <v>410.11083910125012</v>
      </c>
      <c r="L146" s="1945">
        <v>306.21437507551099</v>
      </c>
      <c r="M146" s="1945"/>
      <c r="N146" s="1945">
        <f t="shared" si="17"/>
        <v>716.32521417676116</v>
      </c>
      <c r="O146" s="1947">
        <f t="shared" si="18"/>
        <v>5.8281976521168524</v>
      </c>
      <c r="P146" s="1948">
        <f t="shared" si="12"/>
        <v>3.3367623842538201</v>
      </c>
      <c r="Q146" s="1782">
        <f t="shared" si="13"/>
        <v>2.4914352678630309</v>
      </c>
      <c r="R146" s="1781">
        <f>H146*(1-F146)*24*365*$U$33*2.25/10^4</f>
        <v>283.32730800000002</v>
      </c>
      <c r="S146" s="1782">
        <f>R146/J146*10</f>
        <v>2.3052204760988837</v>
      </c>
    </row>
    <row r="147" spans="1:21">
      <c r="A147" s="1797">
        <v>6</v>
      </c>
      <c r="B147" s="1798" t="s">
        <v>1763</v>
      </c>
      <c r="C147" s="1945">
        <f>IFERROR(VLOOKUP($B147,F13_21_22!$B$14:$H$198,2,0),0)</f>
        <v>45</v>
      </c>
      <c r="D147" s="1946"/>
      <c r="E147" s="1945" t="str">
        <f>IFERROR(VLOOKUP($B147,F13_21_22!$B$14:$H$198,4,0),0)</f>
        <v>Must Run</v>
      </c>
      <c r="F147" s="1776">
        <f>IFERROR(VLOOKUP($B147,F13_21_22!$B$14:$H$198,5,0),0)</f>
        <v>0.01</v>
      </c>
      <c r="G147" s="1776">
        <f>IFERROR(VLOOKUP($B147,F13_21_22!$B$14:$H$198,6,0),0)</f>
        <v>0.40333333333333332</v>
      </c>
      <c r="H147" s="1945">
        <f>IFERROR(VLOOKUP($B147,F13_21_22!$B$14:$H$198,7,0),0)</f>
        <v>18.149999999999999</v>
      </c>
      <c r="I147" s="1945"/>
      <c r="J147" s="1945">
        <v>0</v>
      </c>
      <c r="K147" s="1945">
        <v>0</v>
      </c>
      <c r="L147" s="1945">
        <v>0</v>
      </c>
      <c r="M147" s="1945"/>
      <c r="N147" s="1945">
        <f t="shared" si="17"/>
        <v>0</v>
      </c>
      <c r="O147" s="1947">
        <f t="shared" si="18"/>
        <v>0</v>
      </c>
      <c r="P147" s="1958"/>
      <c r="Q147" s="1895"/>
      <c r="S147" s="1782"/>
    </row>
    <row r="148" spans="1:21">
      <c r="A148" s="1797"/>
      <c r="B148" s="1798" t="s">
        <v>2059</v>
      </c>
      <c r="C148" s="1945">
        <f>IFERROR(VLOOKUP($B148,F13_21_22!$B$14:$H$198,2,0),0)</f>
        <v>400</v>
      </c>
      <c r="D148" s="1946"/>
      <c r="E148" s="1945">
        <f>IFERROR(VLOOKUP($B148,F13_21_22!$B$14:$H$198,4,0),0)</f>
        <v>0</v>
      </c>
      <c r="F148" s="1776">
        <f>IFERROR(VLOOKUP($B148,F13_21_22!$B$14:$H$198,5,0),0)</f>
        <v>0</v>
      </c>
      <c r="G148" s="1776">
        <f>IFERROR(VLOOKUP($B148,F13_21_22!$B$14:$H$198,6,0),0)</f>
        <v>1</v>
      </c>
      <c r="H148" s="1945">
        <f>IFERROR(VLOOKUP($B148,F13_21_22!$B$14:$H$198,7,0),0)</f>
        <v>400</v>
      </c>
      <c r="I148" s="1945"/>
      <c r="J148" s="1945">
        <v>1501.44</v>
      </c>
      <c r="K148" s="1945">
        <v>299.33</v>
      </c>
      <c r="L148" s="1945">
        <v>537.51551999999992</v>
      </c>
      <c r="M148" s="1945"/>
      <c r="N148" s="1945">
        <f t="shared" si="17"/>
        <v>836.84551999999985</v>
      </c>
      <c r="O148" s="1947">
        <f t="shared" si="18"/>
        <v>5.5736194586530257</v>
      </c>
      <c r="P148" s="1958">
        <f t="shared" ref="P148:P197" si="19">K148/J148*10</f>
        <v>1.9936194586530263</v>
      </c>
      <c r="Q148" s="1895">
        <f t="shared" ref="Q148:Q197" si="20">L148/J148*10</f>
        <v>3.5799999999999992</v>
      </c>
      <c r="S148" s="1782"/>
    </row>
    <row r="149" spans="1:21">
      <c r="A149" s="1797"/>
      <c r="B149" s="1798" t="s">
        <v>1750</v>
      </c>
      <c r="C149" s="1798"/>
      <c r="D149" s="1949"/>
      <c r="E149" s="1798"/>
      <c r="F149" s="1798"/>
      <c r="G149" s="1777"/>
      <c r="H149" s="1798"/>
      <c r="I149" s="1945"/>
      <c r="J149" s="1945"/>
      <c r="K149" s="1937"/>
      <c r="L149" s="1937"/>
      <c r="M149" s="1937"/>
      <c r="N149" s="1937"/>
      <c r="O149" s="1947">
        <f t="shared" si="18"/>
        <v>0</v>
      </c>
      <c r="P149" s="1948"/>
      <c r="Q149" s="1782"/>
      <c r="S149" s="1782"/>
    </row>
    <row r="150" spans="1:21">
      <c r="A150" s="1797">
        <v>1</v>
      </c>
      <c r="B150" s="1798" t="s">
        <v>1764</v>
      </c>
      <c r="C150" s="1945">
        <f>IFERROR(VLOOKUP($B150,F13_21_22!$B$14:$H$198,2,0),0)</f>
        <v>1320</v>
      </c>
      <c r="D150" s="1946">
        <f>IFERROR(VLOOKUP($B150,F13_21_22!$B$14:$H$198,3,0),0)</f>
        <v>0.84999999999999976</v>
      </c>
      <c r="E150" s="1945" t="str">
        <f>IFERROR(VLOOKUP($B150,F13_21_22!$B$14:$H$198,4,0),0)</f>
        <v>Merit</v>
      </c>
      <c r="F150" s="1776">
        <f>IFERROR(VLOOKUP($B150,F13_21_22!$B$14:$H$198,5,0),0)</f>
        <v>5.7500000000000002E-2</v>
      </c>
      <c r="G150" s="1776">
        <f>IFERROR(VLOOKUP($B150,F13_21_22!$B$14:$H$198,6,0),0)</f>
        <v>0.77575757575757576</v>
      </c>
      <c r="H150" s="1965">
        <f>IFERROR(VLOOKUP($B150,F13_21_22!$B$14:$H$198,7,0),0)</f>
        <v>1024</v>
      </c>
      <c r="I150" s="1945"/>
      <c r="J150" s="1945">
        <v>3012.3325439999999</v>
      </c>
      <c r="K150" s="1945">
        <v>1037.7714807022501</v>
      </c>
      <c r="L150" s="1945">
        <v>784.98889735031867</v>
      </c>
      <c r="M150" s="1945"/>
      <c r="N150" s="1945">
        <f t="shared" ref="N150:N165" si="21">K150+L150</f>
        <v>1822.7603780525687</v>
      </c>
      <c r="O150" s="1947">
        <f t="shared" si="18"/>
        <v>6.0509932134921982</v>
      </c>
      <c r="P150" s="1948">
        <f t="shared" si="19"/>
        <v>3.4450760848741475</v>
      </c>
      <c r="Q150" s="1782">
        <f t="shared" si="20"/>
        <v>2.6059171286180502</v>
      </c>
      <c r="R150" s="1781">
        <f t="shared" ref="R150:R197" si="22">H150*(1-F150)*24*365*$U$152*2.5/10^4</f>
        <v>1690.8902400000002</v>
      </c>
      <c r="S150" s="1782">
        <f t="shared" ref="S150:S197" si="23">R150/J150*10</f>
        <v>5.6132256824298352</v>
      </c>
    </row>
    <row r="151" spans="1:21">
      <c r="A151" s="1797">
        <v>2</v>
      </c>
      <c r="B151" s="1798" t="s">
        <v>1765</v>
      </c>
      <c r="C151" s="1945">
        <f>IFERROR(VLOOKUP($B151,F13_21_22!$B$14:$H$198,2,0),0)</f>
        <v>1200</v>
      </c>
      <c r="D151" s="1946">
        <f>IFERROR(VLOOKUP($B151,F13_21_22!$B$14:$H$198,3,0),0)</f>
        <v>0.79795511359012961</v>
      </c>
      <c r="E151" s="1945" t="str">
        <f>IFERROR(VLOOKUP($B151,F13_21_22!$B$14:$H$198,4,0),0)</f>
        <v>Merit</v>
      </c>
      <c r="F151" s="1776">
        <f>IFERROR(VLOOKUP($B151,F13_21_22!$B$14:$H$198,5,0),0)</f>
        <v>7.4999999999999997E-2</v>
      </c>
      <c r="G151" s="1776">
        <f>IFERROR(VLOOKUP($B151,F13_21_22!$B$14:$H$198,6,0),0)</f>
        <v>0.91666666666666663</v>
      </c>
      <c r="H151" s="1965">
        <f>IFERROR(VLOOKUP($B151,F13_21_22!$B$14:$H$198,7,0),0)</f>
        <v>1100</v>
      </c>
      <c r="I151" s="1945"/>
      <c r="J151" s="1945">
        <v>7117.812300341935</v>
      </c>
      <c r="K151" s="1945">
        <v>620.12665795626003</v>
      </c>
      <c r="L151" s="1945">
        <v>1508.9761165985672</v>
      </c>
      <c r="M151" s="1945"/>
      <c r="N151" s="1945">
        <f t="shared" si="21"/>
        <v>2129.1027745548272</v>
      </c>
      <c r="O151" s="1947">
        <f t="shared" si="18"/>
        <v>2.9912319751007574</v>
      </c>
      <c r="P151" s="1948">
        <f>K151/J151*10</f>
        <v>0.87123210305288556</v>
      </c>
      <c r="Q151" s="1782">
        <f>L151/J151*10</f>
        <v>2.1199998720478721</v>
      </c>
      <c r="R151" s="1781">
        <f t="shared" si="22"/>
        <v>1782.66</v>
      </c>
      <c r="S151" s="1782">
        <f t="shared" si="23"/>
        <v>2.50450549238895</v>
      </c>
    </row>
    <row r="152" spans="1:21">
      <c r="A152" s="1797">
        <v>4</v>
      </c>
      <c r="B152" s="1798" t="s">
        <v>1766</v>
      </c>
      <c r="C152" s="1945">
        <f>IFERROR(VLOOKUP($B152,F13_21_22!$B$14:$H$198,2,0),0)</f>
        <v>90</v>
      </c>
      <c r="D152" s="1946">
        <f>IFERROR(VLOOKUP($B152,F13_21_22!$B$14:$H$198,3,0),0)</f>
        <v>0.70000000000000007</v>
      </c>
      <c r="E152" s="1945" t="str">
        <f>IFERROR(VLOOKUP($B152,F13_21_22!$B$14:$H$198,4,0),0)</f>
        <v>Merit</v>
      </c>
      <c r="F152" s="1776">
        <f>IFERROR(VLOOKUP($B152,F13_21_22!$B$14:$H$198,5,0),0)</f>
        <v>9.7500000000000003E-2</v>
      </c>
      <c r="G152" s="1776">
        <f>IFERROR(VLOOKUP($B152,F13_21_22!$B$14:$H$198,6,0),0)</f>
        <v>1</v>
      </c>
      <c r="H152" s="1965">
        <f>IFERROR(VLOOKUP($B152,F13_21_22!$B$14:$H$198,7,0),0)</f>
        <v>90</v>
      </c>
      <c r="I152" s="1945"/>
      <c r="J152" s="1945">
        <v>208.78073999999995</v>
      </c>
      <c r="K152" s="1945">
        <v>122.04675000000002</v>
      </c>
      <c r="L152" s="1945">
        <v>74.494356338606565</v>
      </c>
      <c r="M152" s="1945"/>
      <c r="N152" s="1945">
        <f t="shared" si="21"/>
        <v>196.5411063386066</v>
      </c>
      <c r="O152" s="1947">
        <f t="shared" si="18"/>
        <v>9.4137565724983361</v>
      </c>
      <c r="P152" s="1961">
        <f t="shared" si="19"/>
        <v>5.8456900765846527</v>
      </c>
      <c r="Q152" s="1962">
        <f t="shared" si="20"/>
        <v>3.5680664959136839</v>
      </c>
      <c r="R152" s="1781">
        <f t="shared" si="22"/>
        <v>142.30619999999999</v>
      </c>
      <c r="S152" s="1782">
        <f t="shared" si="23"/>
        <v>6.8160597572362294</v>
      </c>
      <c r="U152" s="1952">
        <v>0.8</v>
      </c>
    </row>
    <row r="153" spans="1:21">
      <c r="A153" s="1797">
        <v>5</v>
      </c>
      <c r="B153" s="1798" t="s">
        <v>1767</v>
      </c>
      <c r="C153" s="1945">
        <f>IFERROR(VLOOKUP($B153,F13_21_22!$B$14:$H$198,2,0),0)</f>
        <v>90</v>
      </c>
      <c r="D153" s="1946">
        <f>IFERROR(VLOOKUP($B153,F13_21_22!$B$14:$H$198,3,0),0)</f>
        <v>0.70000000000000007</v>
      </c>
      <c r="E153" s="1945" t="str">
        <f>IFERROR(VLOOKUP($B153,F13_21_22!$B$14:$H$198,4,0),0)</f>
        <v>Merit</v>
      </c>
      <c r="F153" s="1776">
        <f>IFERROR(VLOOKUP($B153,F13_21_22!$B$14:$H$198,5,0),0)</f>
        <v>9.7500000000000003E-2</v>
      </c>
      <c r="G153" s="1776">
        <f>IFERROR(VLOOKUP($B153,F13_21_22!$B$14:$H$198,6,0),0)</f>
        <v>1</v>
      </c>
      <c r="H153" s="1965">
        <f>IFERROR(VLOOKUP($B153,F13_21_22!$B$14:$H$198,7,0),0)</f>
        <v>90</v>
      </c>
      <c r="I153" s="1945"/>
      <c r="J153" s="1945">
        <v>208.78073999999995</v>
      </c>
      <c r="K153" s="1945">
        <v>123.33667500000001</v>
      </c>
      <c r="L153" s="1945">
        <v>74.518300725647933</v>
      </c>
      <c r="M153" s="1945"/>
      <c r="N153" s="1945">
        <f t="shared" si="21"/>
        <v>197.85497572564793</v>
      </c>
      <c r="O153" s="1947">
        <f t="shared" si="18"/>
        <v>9.4766871563750552</v>
      </c>
      <c r="P153" s="1961">
        <f t="shared" si="19"/>
        <v>5.9074737928412375</v>
      </c>
      <c r="Q153" s="1962">
        <f t="shared" si="20"/>
        <v>3.5692133635338181</v>
      </c>
      <c r="R153" s="1781">
        <f t="shared" si="22"/>
        <v>142.30619999999999</v>
      </c>
      <c r="S153" s="1782">
        <f t="shared" si="23"/>
        <v>6.8160597572362294</v>
      </c>
      <c r="U153" s="1952">
        <v>0.8</v>
      </c>
    </row>
    <row r="154" spans="1:21">
      <c r="A154" s="1797">
        <v>6</v>
      </c>
      <c r="B154" s="1798" t="s">
        <v>1768</v>
      </c>
      <c r="C154" s="1945">
        <f>IFERROR(VLOOKUP($B154,F13_21_22!$B$14:$H$198,2,0),0)</f>
        <v>90</v>
      </c>
      <c r="D154" s="1946">
        <f>IFERROR(VLOOKUP($B154,F13_21_22!$B$14:$H$198,3,0),0)</f>
        <v>0.70000000000000007</v>
      </c>
      <c r="E154" s="1945" t="str">
        <f>IFERROR(VLOOKUP($B154,F13_21_22!$B$14:$H$198,4,0),0)</f>
        <v>Merit</v>
      </c>
      <c r="F154" s="1776">
        <f>IFERROR(VLOOKUP($B154,F13_21_22!$B$14:$H$198,5,0),0)</f>
        <v>9.7500000000000003E-2</v>
      </c>
      <c r="G154" s="1776">
        <f>IFERROR(VLOOKUP($B154,F13_21_22!$B$14:$H$198,6,0),0)</f>
        <v>1</v>
      </c>
      <c r="H154" s="1965">
        <f>IFERROR(VLOOKUP($B154,F13_21_22!$B$14:$H$198,7,0),0)</f>
        <v>90</v>
      </c>
      <c r="I154" s="1945"/>
      <c r="J154" s="1945">
        <v>208.78073999999995</v>
      </c>
      <c r="K154" s="1945">
        <v>122.785425</v>
      </c>
      <c r="L154" s="1945">
        <v>68.527493947690687</v>
      </c>
      <c r="M154" s="1945"/>
      <c r="N154" s="1945">
        <f t="shared" si="21"/>
        <v>191.31291894769069</v>
      </c>
      <c r="O154" s="1947">
        <f t="shared" si="18"/>
        <v>9.1633413574303226</v>
      </c>
      <c r="P154" s="1961">
        <f t="shared" si="19"/>
        <v>5.8810704952956883</v>
      </c>
      <c r="Q154" s="1962">
        <f t="shared" si="20"/>
        <v>3.2822708621346348</v>
      </c>
      <c r="R154" s="1781">
        <f t="shared" si="22"/>
        <v>142.30619999999999</v>
      </c>
      <c r="S154" s="1782">
        <f t="shared" si="23"/>
        <v>6.8160597572362294</v>
      </c>
      <c r="U154" s="1952">
        <v>0.8</v>
      </c>
    </row>
    <row r="155" spans="1:21">
      <c r="A155" s="1797">
        <v>7</v>
      </c>
      <c r="B155" s="1798" t="s">
        <v>1769</v>
      </c>
      <c r="C155" s="1945">
        <f>IFERROR(VLOOKUP($B155,F13_21_22!$B$14:$H$198,2,0),0)</f>
        <v>90</v>
      </c>
      <c r="D155" s="1946">
        <f>IFERROR(VLOOKUP($B155,F13_21_22!$B$14:$H$198,3,0),0)</f>
        <v>0.70000000000000007</v>
      </c>
      <c r="E155" s="1945" t="str">
        <f>IFERROR(VLOOKUP($B155,F13_21_22!$B$14:$H$198,4,0),0)</f>
        <v>Merit</v>
      </c>
      <c r="F155" s="1776">
        <f>IFERROR(VLOOKUP($B155,F13_21_22!$B$14:$H$198,5,0),0)</f>
        <v>9.7500000000000003E-2</v>
      </c>
      <c r="G155" s="1776">
        <f>IFERROR(VLOOKUP($B155,F13_21_22!$B$14:$H$198,6,0),0)</f>
        <v>1</v>
      </c>
      <c r="H155" s="1965">
        <f>IFERROR(VLOOKUP($B155,F13_21_22!$B$14:$H$198,7,0),0)</f>
        <v>90</v>
      </c>
      <c r="I155" s="1945"/>
      <c r="J155" s="1945">
        <v>208.78073999999995</v>
      </c>
      <c r="K155" s="1945">
        <v>121.69395011025001</v>
      </c>
      <c r="L155" s="1945">
        <v>72.446775410900003</v>
      </c>
      <c r="M155" s="1945"/>
      <c r="N155" s="1945">
        <f t="shared" si="21"/>
        <v>194.14072552115002</v>
      </c>
      <c r="O155" s="1947">
        <f t="shared" si="18"/>
        <v>9.2987852002608129</v>
      </c>
      <c r="P155" s="1961">
        <f t="shared" si="19"/>
        <v>5.8287919714361607</v>
      </c>
      <c r="Q155" s="1962">
        <f t="shared" si="20"/>
        <v>3.4699932288246522</v>
      </c>
      <c r="R155" s="1781">
        <f t="shared" si="22"/>
        <v>142.30619999999999</v>
      </c>
      <c r="S155" s="1782">
        <f t="shared" si="23"/>
        <v>6.8160597572362294</v>
      </c>
      <c r="U155" s="1952">
        <v>0.8</v>
      </c>
    </row>
    <row r="156" spans="1:21">
      <c r="A156" s="1797">
        <v>8</v>
      </c>
      <c r="B156" s="1798" t="s">
        <v>1770</v>
      </c>
      <c r="C156" s="1945">
        <f>IFERROR(VLOOKUP($B156,F13_21_22!$B$14:$H$198,2,0),0)</f>
        <v>90</v>
      </c>
      <c r="D156" s="1946">
        <f>IFERROR(VLOOKUP($B156,F13_21_22!$B$14:$H$198,3,0),0)</f>
        <v>0.70000000000000007</v>
      </c>
      <c r="E156" s="1945" t="str">
        <f>IFERROR(VLOOKUP($B156,F13_21_22!$B$14:$H$198,4,0),0)</f>
        <v>Merit</v>
      </c>
      <c r="F156" s="1776">
        <f>IFERROR(VLOOKUP($B156,F13_21_22!$B$14:$H$198,5,0),0)</f>
        <v>9.7500000000000003E-2</v>
      </c>
      <c r="G156" s="1776">
        <f>IFERROR(VLOOKUP($B156,F13_21_22!$B$14:$H$198,6,0),0)</f>
        <v>1</v>
      </c>
      <c r="H156" s="1965">
        <f>IFERROR(VLOOKUP($B156,F13_21_22!$B$14:$H$198,7,0),0)</f>
        <v>90</v>
      </c>
      <c r="I156" s="1945"/>
      <c r="J156" s="1945">
        <v>208.78073999999995</v>
      </c>
      <c r="K156" s="1945">
        <v>126.291375</v>
      </c>
      <c r="L156" s="1945">
        <v>72.545827350879193</v>
      </c>
      <c r="M156" s="1945"/>
      <c r="N156" s="1945">
        <f t="shared" si="21"/>
        <v>198.83720235087918</v>
      </c>
      <c r="O156" s="1947">
        <f t="shared" si="18"/>
        <v>9.5237330009884644</v>
      </c>
      <c r="P156" s="1961">
        <f t="shared" si="19"/>
        <v>6.0489954676853834</v>
      </c>
      <c r="Q156" s="1962">
        <f t="shared" si="20"/>
        <v>3.4747375333030823</v>
      </c>
      <c r="R156" s="1781">
        <f t="shared" si="22"/>
        <v>142.30619999999999</v>
      </c>
      <c r="S156" s="1782">
        <f t="shared" si="23"/>
        <v>6.8160597572362294</v>
      </c>
      <c r="U156" s="1952">
        <v>0.8</v>
      </c>
    </row>
    <row r="157" spans="1:21">
      <c r="A157" s="1797">
        <v>9</v>
      </c>
      <c r="B157" s="1798" t="s">
        <v>1771</v>
      </c>
      <c r="C157" s="1945">
        <f>IFERROR(VLOOKUP($B157,F13_21_22!$B$14:$H$198,2,0),0)</f>
        <v>3600</v>
      </c>
      <c r="D157" s="1946">
        <f>IFERROR(VLOOKUP($B157,F13_21_22!$B$14:$H$198,3,0),0)</f>
        <v>0.48884309678774107</v>
      </c>
      <c r="E157" s="1945" t="str">
        <f>IFERROR(VLOOKUP($B157,F13_21_22!$B$14:$H$198,4,0),0)</f>
        <v>Merit</v>
      </c>
      <c r="F157" s="1776">
        <f>IFERROR(VLOOKUP($B157,F13_21_22!$B$14:$H$198,5,0),0)</f>
        <v>0</v>
      </c>
      <c r="G157" s="1776">
        <f>IFERROR(VLOOKUP($B157,F13_21_22!$B$14:$H$198,6,0),0)</f>
        <v>0.27777777777777779</v>
      </c>
      <c r="H157" s="1965">
        <f>IFERROR(VLOOKUP($B157,F13_21_22!$B$14:$H$198,7,0),0)</f>
        <v>1000</v>
      </c>
      <c r="I157" s="1945"/>
      <c r="J157" s="1945">
        <v>2651.1840000000002</v>
      </c>
      <c r="K157" s="1945">
        <v>1641.8430000000001</v>
      </c>
      <c r="L157" s="1945">
        <v>752.58646910495168</v>
      </c>
      <c r="M157" s="1945"/>
      <c r="N157" s="1945">
        <f t="shared" si="21"/>
        <v>2394.4294691049517</v>
      </c>
      <c r="O157" s="1947">
        <f t="shared" si="18"/>
        <v>9.031547674944294</v>
      </c>
      <c r="P157" s="1948">
        <f t="shared" si="19"/>
        <v>6.19286703601108</v>
      </c>
      <c r="Q157" s="1782">
        <f t="shared" si="20"/>
        <v>2.8386806389332149</v>
      </c>
      <c r="R157" s="1781">
        <f t="shared" si="22"/>
        <v>1752</v>
      </c>
      <c r="S157" s="1782">
        <f t="shared" si="23"/>
        <v>6.6083681856860927</v>
      </c>
      <c r="U157" s="1952">
        <v>0.8</v>
      </c>
    </row>
    <row r="158" spans="1:21">
      <c r="A158" s="1797">
        <v>10</v>
      </c>
      <c r="B158" s="1798" t="s">
        <v>1772</v>
      </c>
      <c r="C158" s="1945">
        <f>IFERROR(VLOOKUP($B158,F13_21_22!$B$14:$H$198,2,0),0)</f>
        <v>1980</v>
      </c>
      <c r="D158" s="1946">
        <f>IFERROR(VLOOKUP($B158,F13_21_22!$B$14:$H$198,3,0),0)</f>
        <v>0.85</v>
      </c>
      <c r="E158" s="1945" t="str">
        <f>IFERROR(VLOOKUP($B158,F13_21_22!$B$14:$H$198,4,0),0)</f>
        <v>Merit</v>
      </c>
      <c r="F158" s="1776">
        <f>IFERROR(VLOOKUP($B158,F13_21_22!$B$14:$H$198,5,0),0)</f>
        <v>5.7500000000000002E-2</v>
      </c>
      <c r="G158" s="1776">
        <f>IFERROR(VLOOKUP($B158,F13_21_22!$B$14:$H$198,6,0),0)</f>
        <v>1</v>
      </c>
      <c r="H158" s="1965">
        <f>IFERROR(VLOOKUP($B158,F13_21_22!$B$14:$H$198,7,0),0)</f>
        <v>1980</v>
      </c>
      <c r="I158" s="1945"/>
      <c r="J158" s="1945">
        <v>5824.6273800000008</v>
      </c>
      <c r="K158" s="1945">
        <v>3366.1943753</v>
      </c>
      <c r="L158" s="1945">
        <v>1806.4123618447343</v>
      </c>
      <c r="M158" s="1945"/>
      <c r="N158" s="1945">
        <f t="shared" si="21"/>
        <v>5172.6067371447343</v>
      </c>
      <c r="O158" s="1947">
        <f>IFERROR(N158/J158*10,0)</f>
        <v>8.8805796485898707</v>
      </c>
      <c r="P158" s="1958">
        <f>K158/J158*10</f>
        <v>5.7792441570743014</v>
      </c>
      <c r="Q158" s="1895">
        <f t="shared" si="20"/>
        <v>3.1013354915155689</v>
      </c>
      <c r="R158" s="1781">
        <f t="shared" si="22"/>
        <v>3269.4948000000009</v>
      </c>
      <c r="S158" s="1782">
        <f t="shared" si="23"/>
        <v>5.6132256824298352</v>
      </c>
      <c r="U158" s="1952">
        <v>0.8</v>
      </c>
    </row>
    <row r="159" spans="1:21">
      <c r="A159" s="1797">
        <v>11</v>
      </c>
      <c r="B159" s="1798" t="s">
        <v>1773</v>
      </c>
      <c r="C159" s="1945">
        <f>IFERROR(VLOOKUP($B159,F13_21_22!$B$14:$H$198,2,0),0)</f>
        <v>1200</v>
      </c>
      <c r="D159" s="1946">
        <f>IFERROR(VLOOKUP($B159,F13_21_22!$B$14:$H$198,3,0),0)</f>
        <v>0.78003645831701773</v>
      </c>
      <c r="E159" s="1945" t="str">
        <f>IFERROR(VLOOKUP($B159,F13_21_22!$B$14:$H$198,4,0),0)</f>
        <v>Merit</v>
      </c>
      <c r="F159" s="1776">
        <f>IFERROR(VLOOKUP($B159,F13_21_22!$B$14:$H$198,5,0),0)</f>
        <v>0</v>
      </c>
      <c r="G159" s="1776">
        <f>IFERROR(VLOOKUP($B159,F13_21_22!$B$14:$H$198,6,0),0)</f>
        <v>0.30083333333333334</v>
      </c>
      <c r="H159" s="1965">
        <f>IFERROR(VLOOKUP($B159,F13_21_22!$B$14:$H$198,7,0),0)</f>
        <v>361</v>
      </c>
      <c r="I159" s="1945"/>
      <c r="J159" s="1945">
        <v>2466.8611073313782</v>
      </c>
      <c r="K159" s="1945">
        <v>716.39326210725005</v>
      </c>
      <c r="L159" s="1945">
        <v>539.32986958227798</v>
      </c>
      <c r="M159" s="1945"/>
      <c r="N159" s="1945">
        <f t="shared" si="21"/>
        <v>1255.7231316895281</v>
      </c>
      <c r="O159" s="1947">
        <f t="shared" si="18"/>
        <v>5.0903681928325293</v>
      </c>
      <c r="P159" s="1958">
        <f t="shared" si="19"/>
        <v>2.904068088706607</v>
      </c>
      <c r="Q159" s="1895">
        <f t="shared" si="20"/>
        <v>2.1863001041259222</v>
      </c>
      <c r="R159" s="1781">
        <f t="shared" si="22"/>
        <v>632.47199999999998</v>
      </c>
      <c r="S159" s="1782">
        <f t="shared" si="23"/>
        <v>2.5638735724533794</v>
      </c>
      <c r="U159" s="1952">
        <v>0.8</v>
      </c>
    </row>
    <row r="160" spans="1:21">
      <c r="A160" s="1797">
        <v>12</v>
      </c>
      <c r="B160" s="1798" t="s">
        <v>1774</v>
      </c>
      <c r="C160" s="1945">
        <f>IFERROR(VLOOKUP($B160,F13_21_22!$B$14:$H$198,2,0),0)</f>
        <v>1980</v>
      </c>
      <c r="D160" s="1946">
        <f>IFERROR(VLOOKUP($B160,F13_21_22!$B$14:$H$198,3,0),0)</f>
        <v>0.54461183841864091</v>
      </c>
      <c r="E160" s="1945" t="str">
        <f>IFERROR(VLOOKUP($B160,F13_21_22!$B$14:$H$198,4,0),0)</f>
        <v>Merit</v>
      </c>
      <c r="F160" s="1776">
        <f>IFERROR(VLOOKUP($B160,F13_21_22!$B$14:$H$198,5,0),0)</f>
        <v>7.4999999999999997E-2</v>
      </c>
      <c r="G160" s="1776">
        <f>IFERROR(VLOOKUP($B160,F13_21_22!$B$14:$H$198,6,0),0)</f>
        <v>0.9</v>
      </c>
      <c r="H160" s="1965">
        <f>IFERROR(VLOOKUP($B160,F13_21_22!$B$14:$H$198,7,0),0)</f>
        <v>1782</v>
      </c>
      <c r="I160" s="1945"/>
      <c r="J160" s="1945">
        <v>4449.9141002389479</v>
      </c>
      <c r="K160" s="1945">
        <v>1498.9851635377502</v>
      </c>
      <c r="L160" s="1945">
        <v>1120.350078360234</v>
      </c>
      <c r="M160" s="1945"/>
      <c r="N160" s="1945">
        <f t="shared" si="21"/>
        <v>2619.3352418979839</v>
      </c>
      <c r="O160" s="1947">
        <f t="shared" si="18"/>
        <v>5.8862602353545048</v>
      </c>
      <c r="P160" s="1948">
        <f t="shared" si="19"/>
        <v>3.3685710100724391</v>
      </c>
      <c r="Q160" s="1782">
        <f t="shared" si="20"/>
        <v>2.5176892252820666</v>
      </c>
      <c r="R160" s="1781">
        <f t="shared" si="22"/>
        <v>2887.9092000000001</v>
      </c>
      <c r="S160" s="1782">
        <f t="shared" si="23"/>
        <v>6.4898088703440981</v>
      </c>
      <c r="U160" s="1952">
        <v>0.8</v>
      </c>
    </row>
    <row r="161" spans="1:21">
      <c r="A161" s="1797">
        <v>13</v>
      </c>
      <c r="B161" s="1798" t="s">
        <v>1775</v>
      </c>
      <c r="C161" s="1945">
        <f>IFERROR(VLOOKUP($B161,F13_21_22!$B$14:$H$198,2,0),0)</f>
        <v>1540</v>
      </c>
      <c r="D161" s="1946">
        <f>IFERROR(VLOOKUP($B161,F13_21_22!$B$14:$H$198,3,0),0)</f>
        <v>0.67962661608432773</v>
      </c>
      <c r="E161" s="1945" t="str">
        <f>IFERROR(VLOOKUP($B161,F13_21_22!$B$14:$H$198,4,0),0)</f>
        <v>Merit</v>
      </c>
      <c r="F161" s="1776">
        <f>IFERROR(VLOOKUP($B161,F13_21_22!$B$14:$H$198,5,0),0)</f>
        <v>0</v>
      </c>
      <c r="G161" s="1776">
        <f>IFERROR(VLOOKUP($B161,F13_21_22!$B$14:$H$198,6,0),0)</f>
        <v>0.22727272727272727</v>
      </c>
      <c r="H161" s="1965">
        <f>IFERROR(VLOOKUP($B161,F13_21_22!$B$14:$H$198,7,0),0)</f>
        <v>350</v>
      </c>
      <c r="I161" s="1945"/>
      <c r="J161" s="1945">
        <v>2085.6153454010987</v>
      </c>
      <c r="K161" s="1945">
        <v>665.96669672400003</v>
      </c>
      <c r="L161" s="1945">
        <v>408.79962309284087</v>
      </c>
      <c r="M161" s="1945"/>
      <c r="N161" s="1945">
        <f t="shared" si="21"/>
        <v>1074.7663198168409</v>
      </c>
      <c r="O161" s="1947">
        <f t="shared" si="18"/>
        <v>5.1532336592495938</v>
      </c>
      <c r="P161" s="1958">
        <f t="shared" si="19"/>
        <v>3.1931424852262174</v>
      </c>
      <c r="Q161" s="1895">
        <f t="shared" si="20"/>
        <v>1.9600911740233762</v>
      </c>
      <c r="R161" s="1781">
        <f t="shared" si="22"/>
        <v>613.20000000000005</v>
      </c>
      <c r="S161" s="1782">
        <f t="shared" si="23"/>
        <v>2.9401394717973339</v>
      </c>
      <c r="U161" s="1952">
        <v>0.8</v>
      </c>
    </row>
    <row r="162" spans="1:21">
      <c r="A162" s="1797">
        <v>14</v>
      </c>
      <c r="B162" s="1798" t="s">
        <v>1776</v>
      </c>
      <c r="C162" s="1945">
        <f>IFERROR(VLOOKUP($B162,F13_21_22!$B$14:$H$198,2,0),0)</f>
        <v>1320</v>
      </c>
      <c r="D162" s="1946">
        <f>IFERROR(VLOOKUP($B162,F13_21_22!$B$14:$H$198,3,0),0)</f>
        <v>0.85</v>
      </c>
      <c r="E162" s="1945" t="str">
        <f>IFERROR(VLOOKUP($B162,F13_21_22!$B$14:$H$198,4,0),0)</f>
        <v>Merit</v>
      </c>
      <c r="F162" s="1776">
        <f>IFERROR(VLOOKUP($B162,F13_21_22!$B$14:$H$198,5,0),0)</f>
        <v>8.5000000000000006E-2</v>
      </c>
      <c r="G162" s="1776">
        <f>IFERROR(VLOOKUP($B162,F13_21_22!$B$14:$H$198,6,0),0)</f>
        <v>1</v>
      </c>
      <c r="H162" s="1965">
        <f>IFERROR(VLOOKUP($B162,F13_21_22!$B$14:$H$198,7,0),0)</f>
        <v>1320</v>
      </c>
      <c r="I162" s="1945"/>
      <c r="J162" s="1945">
        <v>3018.2921999999999</v>
      </c>
      <c r="K162" s="1945">
        <v>1282.9176933457502</v>
      </c>
      <c r="L162" s="1945">
        <v>806.81858391987453</v>
      </c>
      <c r="M162" s="1945"/>
      <c r="N162" s="1945">
        <f t="shared" si="21"/>
        <v>2089.7362772656247</v>
      </c>
      <c r="O162" s="1947">
        <f t="shared" si="18"/>
        <v>6.9235718041666905</v>
      </c>
      <c r="P162" s="1948">
        <f t="shared" si="19"/>
        <v>4.2504754620700744</v>
      </c>
      <c r="Q162" s="1782">
        <f t="shared" si="20"/>
        <v>2.6730963420966152</v>
      </c>
      <c r="R162" s="1781">
        <f t="shared" si="22"/>
        <v>2116.0655999999994</v>
      </c>
      <c r="S162" s="1782">
        <f t="shared" si="23"/>
        <v>7.0108043217286902</v>
      </c>
      <c r="U162" s="1952">
        <v>0.8</v>
      </c>
    </row>
    <row r="163" spans="1:21">
      <c r="A163" s="1797">
        <v>15</v>
      </c>
      <c r="B163" s="1798" t="s">
        <v>1777</v>
      </c>
      <c r="C163" s="1945">
        <f>IFERROR(VLOOKUP($B163,F13_21_22!$B$14:$H$198,2,0),0)</f>
        <v>4000</v>
      </c>
      <c r="D163" s="1946">
        <f>IFERROR(VLOOKUP($B163,F13_21_22!$B$14:$H$198,3,0),0)</f>
        <v>0.90830856398650772</v>
      </c>
      <c r="E163" s="1945" t="str">
        <f>IFERROR(VLOOKUP($B163,F13_21_22!$B$14:$H$198,4,0),0)</f>
        <v>Merit</v>
      </c>
      <c r="F163" s="1776">
        <f>IFERROR(VLOOKUP($B163,F13_21_22!$B$14:$H$198,5,0),0)</f>
        <v>0.06</v>
      </c>
      <c r="G163" s="1776">
        <f>IFERROR(VLOOKUP($B163,F13_21_22!$B$14:$H$198,6,0),0)</f>
        <v>0.12375</v>
      </c>
      <c r="H163" s="1965">
        <f>IFERROR(VLOOKUP($B163,F13_21_22!$B$14:$H$198,7,0),0)</f>
        <v>495</v>
      </c>
      <c r="I163" s="1945"/>
      <c r="J163" s="1945">
        <v>3700.1023341548389</v>
      </c>
      <c r="K163" s="1945">
        <v>55.710586039500001</v>
      </c>
      <c r="L163" s="1945">
        <v>411.90963695479707</v>
      </c>
      <c r="M163" s="1945"/>
      <c r="N163" s="1945">
        <f t="shared" si="21"/>
        <v>467.62022299429708</v>
      </c>
      <c r="O163" s="1947">
        <f t="shared" si="18"/>
        <v>1.2638034864003533</v>
      </c>
      <c r="P163" s="1948">
        <f>K163/J163*10</f>
        <v>0.15056498714980857</v>
      </c>
      <c r="Q163" s="1782">
        <f t="shared" si="20"/>
        <v>1.1132384992505449</v>
      </c>
      <c r="R163" s="1781">
        <f t="shared" si="22"/>
        <v>815.2056</v>
      </c>
      <c r="S163" s="1782">
        <f t="shared" si="23"/>
        <v>2.2031974426085856</v>
      </c>
      <c r="U163" s="1952">
        <v>0.8</v>
      </c>
    </row>
    <row r="164" spans="1:21">
      <c r="A164" s="1797">
        <v>16</v>
      </c>
      <c r="B164" s="1798" t="s">
        <v>1778</v>
      </c>
      <c r="C164" s="1945">
        <f>IFERROR(VLOOKUP($B164,F13_21_22!$B$14:$H$198,2,0),0)</f>
        <v>600</v>
      </c>
      <c r="D164" s="1946">
        <f>IFERROR(VLOOKUP($B164,F13_21_22!$B$14:$H$198,3,0),0)</f>
        <v>0.58639735231574275</v>
      </c>
      <c r="E164" s="1945" t="str">
        <f>IFERROR(VLOOKUP($B164,F13_21_22!$B$14:$H$198,4,0),0)</f>
        <v>Merit</v>
      </c>
      <c r="F164" s="1776">
        <f>IFERROR(VLOOKUP($B164,F13_21_22!$B$14:$H$198,5,0),0)</f>
        <v>0</v>
      </c>
      <c r="G164" s="1776">
        <f>IFERROR(VLOOKUP($B164,F13_21_22!$B$14:$H$198,6,0),0)</f>
        <v>0.65</v>
      </c>
      <c r="H164" s="1965">
        <f>IFERROR(VLOOKUP($B164,F13_21_22!$B$14:$H$198,7,0),0)</f>
        <v>390</v>
      </c>
      <c r="I164" s="1945"/>
      <c r="J164" s="1945">
        <v>2005.5675566241287</v>
      </c>
      <c r="K164" s="1945">
        <v>316.87462626749999</v>
      </c>
      <c r="L164" s="1945">
        <v>315.62277907915558</v>
      </c>
      <c r="M164" s="1945"/>
      <c r="N164" s="1945">
        <f t="shared" si="21"/>
        <v>632.49740534665557</v>
      </c>
      <c r="O164" s="1947">
        <f t="shared" si="18"/>
        <v>3.1537078033477304</v>
      </c>
      <c r="P164" s="1948">
        <f t="shared" si="19"/>
        <v>1.5799748316674964</v>
      </c>
      <c r="Q164" s="1782">
        <f t="shared" si="20"/>
        <v>1.573732971680234</v>
      </c>
      <c r="R164" s="1781">
        <f t="shared" si="22"/>
        <v>683.28</v>
      </c>
      <c r="S164" s="1782">
        <f t="shared" si="23"/>
        <v>3.4069159014026478</v>
      </c>
      <c r="U164" s="1952">
        <v>0.8</v>
      </c>
    </row>
    <row r="165" spans="1:21">
      <c r="A165" s="1797">
        <v>17</v>
      </c>
      <c r="B165" s="1798" t="s">
        <v>2060</v>
      </c>
      <c r="C165" s="1945">
        <f>IFERROR(VLOOKUP($B165,F13_21_22!$B$14:$H$198,2,0),0)</f>
        <v>1980</v>
      </c>
      <c r="D165" s="1946">
        <f>IFERROR(VLOOKUP($B165,F13_21_22!$B$14:$H$198,3,0),0)</f>
        <v>0.85</v>
      </c>
      <c r="E165" s="1945" t="str">
        <f>IFERROR(VLOOKUP($B165,F13_21_22!$B$14:$H$198,4,0),0)</f>
        <v>Merit</v>
      </c>
      <c r="F165" s="1776">
        <f>IFERROR(VLOOKUP($B165,F13_21_22!$B$14:$H$198,5,0),0)</f>
        <v>5.7500000000000002E-2</v>
      </c>
      <c r="G165" s="1776">
        <f>IFERROR(VLOOKUP($B165,F13_21_22!$B$14:$H$198,6,0),0)</f>
        <v>0.85</v>
      </c>
      <c r="H165" s="1965">
        <f>IFERROR(VLOOKUP($B165,F13_21_22!$B$14:$H$198,7,0),0)</f>
        <v>1683</v>
      </c>
      <c r="I165" s="1945"/>
      <c r="J165" s="1945">
        <v>6193.3463884401526</v>
      </c>
      <c r="K165" s="1945">
        <v>2359.5134062499997</v>
      </c>
      <c r="L165" s="1945">
        <v>1424.0262257398228</v>
      </c>
      <c r="M165" s="1945"/>
      <c r="N165" s="1945">
        <f t="shared" si="21"/>
        <v>3783.5396319898227</v>
      </c>
      <c r="O165" s="1947">
        <f t="shared" si="18"/>
        <v>6.1090392732623178</v>
      </c>
      <c r="P165" s="1958">
        <f t="shared" si="19"/>
        <v>3.8097552732623168</v>
      </c>
      <c r="Q165" s="1895">
        <f t="shared" si="20"/>
        <v>2.2992840000000001</v>
      </c>
      <c r="R165" s="1781">
        <f t="shared" si="22"/>
        <v>2779.0705800000001</v>
      </c>
      <c r="S165" s="1782">
        <f t="shared" si="23"/>
        <v>4.4871873873987091</v>
      </c>
    </row>
    <row r="166" spans="1:21">
      <c r="A166" s="1797"/>
      <c r="B166" s="1798" t="s">
        <v>211</v>
      </c>
      <c r="C166" s="1960">
        <f>SUM(C142:C165)</f>
        <v>25565</v>
      </c>
      <c r="D166" s="1935"/>
      <c r="E166" s="1960"/>
      <c r="F166" s="1960"/>
      <c r="G166" s="1960"/>
      <c r="H166" s="1960">
        <f>SUM(H142:H165)</f>
        <v>13439.55</v>
      </c>
      <c r="I166" s="1937"/>
      <c r="J166" s="1937">
        <f>SUM(J142:J165)</f>
        <v>49648.658394562583</v>
      </c>
      <c r="K166" s="1937">
        <f>SUM(K142:K165)</f>
        <v>15476.699482907261</v>
      </c>
      <c r="L166" s="1937">
        <f>SUM(L142:L165)</f>
        <v>11588.866077480623</v>
      </c>
      <c r="M166" s="1937">
        <f>SUM(M142:M165)</f>
        <v>0</v>
      </c>
      <c r="N166" s="1937">
        <f>SUM(N142:N165)</f>
        <v>27065.565560387884</v>
      </c>
      <c r="O166" s="1947">
        <f t="shared" si="18"/>
        <v>5.451419320396389</v>
      </c>
      <c r="P166" s="1948">
        <f t="shared" si="19"/>
        <v>3.117244248558031</v>
      </c>
      <c r="Q166" s="1782">
        <f t="shared" si="20"/>
        <v>2.3341750718383585</v>
      </c>
      <c r="R166" s="1781">
        <f t="shared" si="22"/>
        <v>23546.091599999996</v>
      </c>
      <c r="S166" s="1782">
        <f t="shared" si="23"/>
        <v>4.7425433760721152</v>
      </c>
    </row>
    <row r="167" spans="1:21">
      <c r="A167" s="1797"/>
      <c r="B167" s="1798"/>
      <c r="C167" s="1959"/>
      <c r="D167" s="1949"/>
      <c r="E167" s="1798"/>
      <c r="F167" s="1798"/>
      <c r="G167" s="1777"/>
      <c r="H167" s="1959"/>
      <c r="I167" s="1937"/>
      <c r="J167" s="1937"/>
      <c r="K167" s="1937"/>
      <c r="L167" s="1937"/>
      <c r="M167" s="1937"/>
      <c r="N167" s="1937"/>
      <c r="O167" s="1947">
        <f t="shared" si="18"/>
        <v>0</v>
      </c>
      <c r="P167" s="1948"/>
      <c r="Q167" s="1782"/>
      <c r="R167" s="1781"/>
      <c r="S167" s="1782"/>
    </row>
    <row r="168" spans="1:21">
      <c r="A168" s="1797"/>
      <c r="B168" s="1798" t="s">
        <v>1781</v>
      </c>
      <c r="C168" s="1937">
        <f>SUM(C30,C41,C86,C94,C113,C120,C130,C135,C138,C166)</f>
        <v>87588.09</v>
      </c>
      <c r="D168" s="1949"/>
      <c r="E168" s="1798"/>
      <c r="F168" s="1798"/>
      <c r="G168" s="1777"/>
      <c r="H168" s="1937">
        <f>SUM(H30,H41,H86,H94,H113,H120,H130,H135,H138,H166)</f>
        <v>31403.216799999998</v>
      </c>
      <c r="I168" s="1937"/>
      <c r="J168" s="1937">
        <f>SUM(J30,J41,J86,J94,J113,J120,J130,J135,J138,J166)</f>
        <v>109802.87637708253</v>
      </c>
      <c r="K168" s="1937">
        <f>SUM(K30,K41,K86,K94,K113,K120,K130,K135,K138,K166)</f>
        <v>26686.037055891633</v>
      </c>
      <c r="L168" s="1937">
        <f>SUM(L30,L41,L86,L94,L113,L120,L130,L135,L138,L166)</f>
        <v>24983.605112319769</v>
      </c>
      <c r="M168" s="1937">
        <f>SUM(M30,M41,M86,M94,M113,M120,M130,M135,M138,M166)</f>
        <v>0</v>
      </c>
      <c r="N168" s="1937">
        <f>SUM(N30,N41,N86,N94,N113,N120,N130,N135,N138,N166)</f>
        <v>51669.642168211401</v>
      </c>
      <c r="O168" s="1947">
        <f t="shared" si="18"/>
        <v>4.7056729179633416</v>
      </c>
      <c r="P168" s="1948">
        <f t="shared" si="19"/>
        <v>2.4303586514662014</v>
      </c>
      <c r="Q168" s="1782">
        <f t="shared" si="20"/>
        <v>2.2753142664971402</v>
      </c>
      <c r="R168" s="1781">
        <f t="shared" si="22"/>
        <v>55018.435833599993</v>
      </c>
      <c r="S168" s="1782">
        <f t="shared" si="23"/>
        <v>5.0106552440991559</v>
      </c>
    </row>
    <row r="169" spans="1:21">
      <c r="A169" s="1797"/>
      <c r="B169" s="1798"/>
      <c r="C169" s="1798"/>
      <c r="D169" s="1949"/>
      <c r="E169" s="1798"/>
      <c r="F169" s="1798"/>
      <c r="G169" s="1777"/>
      <c r="H169" s="1798"/>
      <c r="I169" s="1945"/>
      <c r="J169" s="1945"/>
      <c r="K169" s="1937"/>
      <c r="L169" s="1937"/>
      <c r="M169" s="1937"/>
      <c r="N169" s="1937"/>
      <c r="O169" s="1947">
        <f t="shared" si="18"/>
        <v>0</v>
      </c>
      <c r="P169" s="1948"/>
      <c r="Q169" s="1782"/>
      <c r="R169" s="1781"/>
      <c r="S169" s="1782"/>
    </row>
    <row r="170" spans="1:21">
      <c r="A170" s="1797" t="s">
        <v>58</v>
      </c>
      <c r="B170" s="1798" t="s">
        <v>1782</v>
      </c>
      <c r="C170" s="1798"/>
      <c r="D170" s="1949"/>
      <c r="E170" s="1798"/>
      <c r="F170" s="1798"/>
      <c r="G170" s="1777"/>
      <c r="H170" s="1798"/>
      <c r="I170" s="1945"/>
      <c r="J170" s="1945"/>
      <c r="K170" s="1937"/>
      <c r="L170" s="1937"/>
      <c r="M170" s="1937"/>
      <c r="N170" s="1937"/>
      <c r="O170" s="1947">
        <f t="shared" si="18"/>
        <v>0</v>
      </c>
      <c r="P170" s="1948"/>
      <c r="Q170" s="1782"/>
      <c r="R170" s="1781"/>
      <c r="S170" s="1782"/>
    </row>
    <row r="171" spans="1:21">
      <c r="A171" s="1797"/>
      <c r="B171" s="1798"/>
      <c r="C171" s="1798"/>
      <c r="D171" s="1949"/>
      <c r="E171" s="1798"/>
      <c r="F171" s="1798"/>
      <c r="G171" s="1777"/>
      <c r="H171" s="1798"/>
      <c r="I171" s="1945"/>
      <c r="J171" s="1945"/>
      <c r="K171" s="1937"/>
      <c r="L171" s="1937"/>
      <c r="M171" s="1937"/>
      <c r="N171" s="1937"/>
      <c r="O171" s="1947">
        <f t="shared" si="18"/>
        <v>0</v>
      </c>
      <c r="P171" s="1948"/>
      <c r="Q171" s="1782"/>
      <c r="R171" s="1781"/>
      <c r="S171" s="1782"/>
    </row>
    <row r="172" spans="1:21">
      <c r="A172" s="1797" t="s">
        <v>67</v>
      </c>
      <c r="B172" s="1798" t="s">
        <v>1783</v>
      </c>
      <c r="C172" s="1798"/>
      <c r="D172" s="1949"/>
      <c r="E172" s="1798"/>
      <c r="F172" s="1798"/>
      <c r="G172" s="1777"/>
      <c r="H172" s="1798"/>
      <c r="I172" s="1945"/>
      <c r="J172" s="1945">
        <v>2720</v>
      </c>
      <c r="K172" s="1945">
        <v>0</v>
      </c>
      <c r="L172" s="1945">
        <v>1496</v>
      </c>
      <c r="M172" s="1937"/>
      <c r="N172" s="1945">
        <f>K172+L172</f>
        <v>1496</v>
      </c>
      <c r="O172" s="1947">
        <f t="shared" si="18"/>
        <v>5.5</v>
      </c>
      <c r="P172" s="1948">
        <f t="shared" si="19"/>
        <v>0</v>
      </c>
      <c r="Q172" s="1782">
        <f t="shared" si="20"/>
        <v>5.5</v>
      </c>
      <c r="R172" s="1781">
        <f t="shared" si="22"/>
        <v>0</v>
      </c>
      <c r="S172" s="1782">
        <f t="shared" si="23"/>
        <v>0</v>
      </c>
    </row>
    <row r="173" spans="1:21">
      <c r="A173" s="1797"/>
      <c r="B173" s="1798" t="s">
        <v>1857</v>
      </c>
      <c r="C173" s="1798"/>
      <c r="D173" s="1949"/>
      <c r="E173" s="1798"/>
      <c r="F173" s="1798"/>
      <c r="G173" s="1777"/>
      <c r="H173" s="1798"/>
      <c r="I173" s="1945"/>
      <c r="J173" s="1945">
        <f>J172</f>
        <v>2720</v>
      </c>
      <c r="K173" s="1937">
        <f>K172</f>
        <v>0</v>
      </c>
      <c r="L173" s="1937">
        <f>L172</f>
        <v>1496</v>
      </c>
      <c r="M173" s="1937"/>
      <c r="N173" s="1945">
        <f>K173+L173</f>
        <v>1496</v>
      </c>
      <c r="O173" s="1947">
        <f t="shared" si="18"/>
        <v>5.5</v>
      </c>
      <c r="P173" s="1948">
        <f t="shared" si="19"/>
        <v>0</v>
      </c>
      <c r="Q173" s="1782">
        <f t="shared" si="20"/>
        <v>5.5</v>
      </c>
      <c r="R173" s="1781">
        <f t="shared" si="22"/>
        <v>0</v>
      </c>
      <c r="S173" s="1782">
        <f t="shared" si="23"/>
        <v>0</v>
      </c>
    </row>
    <row r="174" spans="1:21">
      <c r="A174" s="1797"/>
      <c r="B174" s="1798"/>
      <c r="C174" s="1798"/>
      <c r="D174" s="1949"/>
      <c r="E174" s="1798"/>
      <c r="F174" s="1798"/>
      <c r="G174" s="1777"/>
      <c r="H174" s="1798"/>
      <c r="I174" s="1945"/>
      <c r="J174" s="1945"/>
      <c r="K174" s="1937"/>
      <c r="L174" s="1937"/>
      <c r="M174" s="1937"/>
      <c r="N174" s="1937"/>
      <c r="O174" s="1947">
        <f t="shared" si="18"/>
        <v>0</v>
      </c>
      <c r="P174" s="1948"/>
      <c r="Q174" s="1782"/>
      <c r="R174" s="1781"/>
      <c r="S174" s="1782"/>
    </row>
    <row r="175" spans="1:21">
      <c r="A175" s="1797" t="s">
        <v>68</v>
      </c>
      <c r="B175" s="1798" t="s">
        <v>1785</v>
      </c>
      <c r="C175" s="1798"/>
      <c r="D175" s="1949"/>
      <c r="E175" s="1798"/>
      <c r="F175" s="1798"/>
      <c r="G175" s="1777"/>
      <c r="H175" s="1798"/>
      <c r="I175" s="1945"/>
      <c r="J175" s="1945"/>
      <c r="K175" s="1966"/>
      <c r="L175" s="1966"/>
      <c r="M175" s="1966"/>
      <c r="N175" s="1966"/>
      <c r="O175" s="1947">
        <f t="shared" si="18"/>
        <v>0</v>
      </c>
      <c r="P175" s="1948"/>
      <c r="Q175" s="1782"/>
      <c r="R175" s="1781"/>
      <c r="S175" s="1782"/>
    </row>
    <row r="176" spans="1:21">
      <c r="A176" s="1065"/>
      <c r="B176" s="1798" t="s">
        <v>1786</v>
      </c>
      <c r="C176" s="1945">
        <f>IFERROR(VLOOKUP($B176,F13_21_22!$B$14:$H$198,2,0),0)</f>
        <v>1497.01</v>
      </c>
      <c r="D176" s="1946">
        <f>IFERROR(VLOOKUP($B176,F13_21_22!$B$14:$H$198,3,0),0)</f>
        <v>0.29999999999999993</v>
      </c>
      <c r="E176" s="1945" t="str">
        <f>IFERROR(VLOOKUP($B176,F13_21_22!$B$14:$H$198,4,0),0)</f>
        <v xml:space="preserve">Must Run </v>
      </c>
      <c r="F176" s="1776">
        <f>IFERROR(VLOOKUP($B176,F13_21_22!$B$14:$H$198,5,0),0)</f>
        <v>0</v>
      </c>
      <c r="G176" s="1776">
        <f>IFERROR(VLOOKUP($B176,F13_21_22!$B$14:$H$198,6,0),0)</f>
        <v>1</v>
      </c>
      <c r="H176" s="1965">
        <f>IFERROR(VLOOKUP($B176,F13_21_22!$B$14:$H$198,7,0),0)</f>
        <v>1497.01</v>
      </c>
      <c r="I176" s="1945"/>
      <c r="J176" s="1945">
        <v>3934.1422799999991</v>
      </c>
      <c r="K176" s="1945">
        <v>0</v>
      </c>
      <c r="L176" s="1945">
        <v>1261.542686237904</v>
      </c>
      <c r="M176" s="1945"/>
      <c r="N176" s="1945">
        <f>K176+L176</f>
        <v>1261.542686237904</v>
      </c>
      <c r="O176" s="1947">
        <f t="shared" si="18"/>
        <v>3.2066524198964768</v>
      </c>
      <c r="P176" s="1948"/>
      <c r="Q176" s="1782"/>
      <c r="R176" s="1781"/>
      <c r="S176" s="1782"/>
    </row>
    <row r="177" spans="1:19">
      <c r="A177" s="1797"/>
      <c r="B177" s="1798" t="s">
        <v>1787</v>
      </c>
      <c r="C177" s="1945">
        <f>IFERROR(VLOOKUP($B177,F13_21_22!$B$14:$H$198,2,0),0)</f>
        <v>0</v>
      </c>
      <c r="D177" s="1946">
        <f>IFERROR(VLOOKUP($B177,F13_21_22!$B$14:$H$198,3,0),0)</f>
        <v>0.29999999999999993</v>
      </c>
      <c r="E177" s="1945" t="str">
        <f>IFERROR(VLOOKUP($B177,F13_21_22!$B$14:$H$198,4,0),0)</f>
        <v xml:space="preserve">Must Run </v>
      </c>
      <c r="F177" s="1776">
        <f>IFERROR(VLOOKUP($B177,F13_21_22!$B$14:$H$198,5,0),0)</f>
        <v>0</v>
      </c>
      <c r="G177" s="1776">
        <f>IFERROR(VLOOKUP($B177,F13_21_22!$B$14:$H$198,6,0),0)</f>
        <v>0</v>
      </c>
      <c r="H177" s="1965">
        <f>IFERROR(VLOOKUP($B177,F13_21_22!$B$14:$H$198,7,0),0)</f>
        <v>0</v>
      </c>
      <c r="I177" s="1945"/>
      <c r="J177" s="1945">
        <v>0</v>
      </c>
      <c r="K177" s="1945">
        <v>0</v>
      </c>
      <c r="L177" s="1945">
        <v>0</v>
      </c>
      <c r="M177" s="1945"/>
      <c r="N177" s="1945">
        <f>K177+L177</f>
        <v>0</v>
      </c>
      <c r="O177" s="1947">
        <f t="shared" si="18"/>
        <v>0</v>
      </c>
      <c r="P177" s="1948"/>
      <c r="Q177" s="1782"/>
      <c r="R177" s="1781"/>
      <c r="S177" s="1782"/>
    </row>
    <row r="178" spans="1:19">
      <c r="A178" s="1797"/>
      <c r="B178" s="1798" t="s">
        <v>211</v>
      </c>
      <c r="C178" s="1959">
        <f>SUM(C176:C177)</f>
        <v>1497.01</v>
      </c>
      <c r="D178" s="1949"/>
      <c r="E178" s="1798"/>
      <c r="F178" s="1798"/>
      <c r="G178" s="1777"/>
      <c r="H178" s="1959">
        <f>SUM(H176:H177)</f>
        <v>1497.01</v>
      </c>
      <c r="I178" s="1937"/>
      <c r="J178" s="1937">
        <f>SUM(J176:J177)</f>
        <v>3934.1422799999991</v>
      </c>
      <c r="K178" s="1937">
        <f>SUM(K176:K177)</f>
        <v>0</v>
      </c>
      <c r="L178" s="1937">
        <f>SUM(L176:L177)</f>
        <v>1261.542686237904</v>
      </c>
      <c r="M178" s="1937">
        <f>SUM(M176:M177)</f>
        <v>0</v>
      </c>
      <c r="N178" s="1937">
        <f>SUM(N176:N177)</f>
        <v>1261.542686237904</v>
      </c>
      <c r="O178" s="1947">
        <f t="shared" si="18"/>
        <v>3.2066524198964768</v>
      </c>
      <c r="P178" s="1948"/>
      <c r="Q178" s="1782"/>
      <c r="R178" s="1781"/>
      <c r="S178" s="1782"/>
    </row>
    <row r="179" spans="1:19">
      <c r="A179" s="1797"/>
      <c r="B179" s="1798"/>
      <c r="C179" s="1798"/>
      <c r="D179" s="1949"/>
      <c r="E179" s="1798"/>
      <c r="F179" s="1798"/>
      <c r="G179" s="1777"/>
      <c r="H179" s="1798"/>
      <c r="I179" s="1945"/>
      <c r="J179" s="1945"/>
      <c r="K179" s="1945"/>
      <c r="L179" s="1945"/>
      <c r="M179" s="1945"/>
      <c r="N179" s="1945"/>
      <c r="O179" s="1947">
        <f t="shared" si="18"/>
        <v>0</v>
      </c>
      <c r="P179" s="1948"/>
      <c r="Q179" s="1782"/>
      <c r="R179" s="1781"/>
      <c r="S179" s="1782"/>
    </row>
    <row r="180" spans="1:19" ht="29">
      <c r="A180" s="1797" t="s">
        <v>69</v>
      </c>
      <c r="B180" s="1798" t="s">
        <v>1789</v>
      </c>
      <c r="C180" s="1798"/>
      <c r="D180" s="1949"/>
      <c r="E180" s="1798"/>
      <c r="F180" s="1798"/>
      <c r="G180" s="1777"/>
      <c r="H180" s="1798"/>
      <c r="I180" s="1945"/>
      <c r="J180" s="1945"/>
      <c r="K180" s="1966"/>
      <c r="L180" s="1966"/>
      <c r="M180" s="1966"/>
      <c r="N180" s="1966"/>
      <c r="O180" s="1947">
        <f t="shared" si="18"/>
        <v>0</v>
      </c>
      <c r="P180" s="1948"/>
      <c r="Q180" s="1782"/>
      <c r="R180" s="1781"/>
      <c r="S180" s="1782"/>
    </row>
    <row r="181" spans="1:19">
      <c r="A181" s="1859" t="s">
        <v>70</v>
      </c>
      <c r="B181" s="1798"/>
      <c r="C181" s="1798"/>
      <c r="D181" s="1949"/>
      <c r="E181" s="1798"/>
      <c r="F181" s="1798"/>
      <c r="G181" s="1777"/>
      <c r="H181" s="1798"/>
      <c r="I181" s="1945"/>
      <c r="J181" s="1945"/>
      <c r="K181" s="1966"/>
      <c r="L181" s="1966"/>
      <c r="M181" s="1966"/>
      <c r="N181" s="1966"/>
      <c r="O181" s="1947">
        <f t="shared" si="18"/>
        <v>0</v>
      </c>
      <c r="P181" s="1948"/>
      <c r="Q181" s="1782"/>
      <c r="R181" s="1781"/>
      <c r="S181" s="1782"/>
    </row>
    <row r="182" spans="1:19">
      <c r="A182" s="1044">
        <v>1</v>
      </c>
      <c r="B182" s="1798" t="s">
        <v>1790</v>
      </c>
      <c r="C182" s="1945">
        <f>IFERROR(VLOOKUP($B182,F13_21_22!$B$14:$H$198,2,0),0)</f>
        <v>2343</v>
      </c>
      <c r="D182" s="1946">
        <f>IFERROR(VLOOKUP($B182,F13_21_22!$B$14:$H$198,3,0),0)</f>
        <v>0.18916666666666662</v>
      </c>
      <c r="E182" s="1945" t="str">
        <f>IFERROR(VLOOKUP($B182,F13_21_22!$B$14:$H$198,4,0),0)</f>
        <v xml:space="preserve">Must Run </v>
      </c>
      <c r="F182" s="1776">
        <f>IFERROR(VLOOKUP($B182,F13_21_22!$B$14:$H$198,5,0),0)</f>
        <v>0</v>
      </c>
      <c r="G182" s="1776">
        <f>IFERROR(VLOOKUP($B182,F13_21_22!$B$14:$H$198,6,0),0)</f>
        <v>0</v>
      </c>
      <c r="H182" s="1965">
        <f>IFERROR(VLOOKUP($B182,F13_21_22!$B$14:$H$198,7,0),0)</f>
        <v>2343</v>
      </c>
      <c r="I182" s="1945"/>
      <c r="J182" s="1945">
        <v>3882.2572799999994</v>
      </c>
      <c r="K182" s="1945">
        <v>0</v>
      </c>
      <c r="L182" s="1945">
        <v>1508.3720380640993</v>
      </c>
      <c r="M182" s="1945"/>
      <c r="N182" s="1945">
        <f>K182+L182</f>
        <v>1508.3720380640993</v>
      </c>
      <c r="O182" s="1947">
        <f t="shared" si="18"/>
        <v>3.8852964378087269</v>
      </c>
      <c r="P182" s="1948">
        <f t="shared" si="19"/>
        <v>0</v>
      </c>
      <c r="Q182" s="1782">
        <f t="shared" si="20"/>
        <v>3.8852964378087269</v>
      </c>
      <c r="R182" s="1781">
        <f t="shared" si="22"/>
        <v>4104.9359999999997</v>
      </c>
      <c r="S182" s="1782">
        <f t="shared" si="23"/>
        <v>10.573580533024334</v>
      </c>
    </row>
    <row r="183" spans="1:19">
      <c r="A183" s="1044">
        <v>2</v>
      </c>
      <c r="B183" s="1798" t="s">
        <v>2061</v>
      </c>
      <c r="C183" s="1945">
        <f>IFERROR(VLOOKUP($B183,F13_21_22!$B$14:$H$198,2,0),0)</f>
        <v>0</v>
      </c>
      <c r="D183" s="1946">
        <f>IFERROR(VLOOKUP($B183,F13_21_22!$B$14:$H$198,3,0),0)</f>
        <v>0.18999999999999997</v>
      </c>
      <c r="E183" s="1945" t="str">
        <f>IFERROR(VLOOKUP($B183,F13_21_22!$B$14:$H$198,4,0),0)</f>
        <v xml:space="preserve">Must Run </v>
      </c>
      <c r="F183" s="1776">
        <f>IFERROR(VLOOKUP($B183,F13_21_22!$B$14:$H$198,5,0),0)</f>
        <v>0</v>
      </c>
      <c r="G183" s="1776">
        <f>IFERROR(VLOOKUP($B183,F13_21_22!$B$14:$H$198,6,0),0)</f>
        <v>0</v>
      </c>
      <c r="H183" s="1965">
        <f>IFERROR(VLOOKUP($B183,F13_21_22!$B$14:$H$198,7,0),0)</f>
        <v>0</v>
      </c>
      <c r="I183" s="1945"/>
      <c r="J183" s="1945">
        <v>0</v>
      </c>
      <c r="K183" s="1945">
        <v>0</v>
      </c>
      <c r="L183" s="1945">
        <v>0</v>
      </c>
      <c r="M183" s="1945"/>
      <c r="N183" s="1945">
        <f>K183+L183</f>
        <v>0</v>
      </c>
      <c r="O183" s="1947">
        <f t="shared" si="18"/>
        <v>0</v>
      </c>
      <c r="P183" s="1948"/>
      <c r="Q183" s="1782"/>
      <c r="R183" s="1781"/>
      <c r="S183" s="1782"/>
    </row>
    <row r="184" spans="1:19">
      <c r="A184" s="1044">
        <v>3</v>
      </c>
      <c r="B184" s="1798" t="s">
        <v>1792</v>
      </c>
      <c r="C184" s="1945">
        <f>IFERROR(VLOOKUP($B184,F13_21_22!$B$14:$H$198,2,0),0)</f>
        <v>0</v>
      </c>
      <c r="D184" s="1946">
        <f>IFERROR(VLOOKUP($B184,F13_21_22!$B$14:$H$198,3,0),0)</f>
        <v>0.18999999999999997</v>
      </c>
      <c r="E184" s="1945" t="str">
        <f>IFERROR(VLOOKUP($B184,F13_21_22!$B$14:$H$198,4,0),0)</f>
        <v xml:space="preserve">Must Run </v>
      </c>
      <c r="F184" s="1776">
        <f>IFERROR(VLOOKUP($B184,F13_21_22!$B$14:$H$198,5,0),0)</f>
        <v>0</v>
      </c>
      <c r="G184" s="1776">
        <f>IFERROR(VLOOKUP($B184,F13_21_22!$B$14:$H$198,6,0),0)</f>
        <v>0</v>
      </c>
      <c r="H184" s="1965">
        <f>IFERROR(VLOOKUP($B184,F13_21_22!$B$14:$H$198,7,0),0)</f>
        <v>0</v>
      </c>
      <c r="I184" s="1945"/>
      <c r="J184" s="1945">
        <v>0</v>
      </c>
      <c r="K184" s="1945">
        <v>0</v>
      </c>
      <c r="L184" s="1945">
        <v>0</v>
      </c>
      <c r="M184" s="1945"/>
      <c r="N184" s="1945">
        <f>K184+L184</f>
        <v>0</v>
      </c>
      <c r="O184" s="1947">
        <f t="shared" si="18"/>
        <v>0</v>
      </c>
      <c r="P184" s="1948"/>
      <c r="Q184" s="1782"/>
      <c r="R184" s="1781"/>
      <c r="S184" s="1782"/>
    </row>
    <row r="185" spans="1:19">
      <c r="A185" s="1044">
        <v>4</v>
      </c>
      <c r="B185" s="1798" t="s">
        <v>1793</v>
      </c>
      <c r="C185" s="1945">
        <f>IFERROR(VLOOKUP($B185,F13_21_22!$B$14:$H$198,2,0),0)</f>
        <v>432</v>
      </c>
      <c r="D185" s="1946">
        <f>IFERROR(VLOOKUP($B185,F13_21_22!$B$14:$H$198,3,0),0)</f>
        <v>0.18999999999999997</v>
      </c>
      <c r="E185" s="1945" t="str">
        <f>IFERROR(VLOOKUP($B185,F13_21_22!$B$14:$H$198,4,0),0)</f>
        <v xml:space="preserve">Must Run </v>
      </c>
      <c r="F185" s="1776">
        <f>IFERROR(VLOOKUP($B185,F13_21_22!$B$14:$H$198,5,0),0)</f>
        <v>0</v>
      </c>
      <c r="G185" s="1776">
        <f>IFERROR(VLOOKUP($B185,F13_21_22!$B$14:$H$198,6,0),0)</f>
        <v>0</v>
      </c>
      <c r="H185" s="1965">
        <f>IFERROR(VLOOKUP($B185,F13_21_22!$B$14:$H$198,7,0),0)</f>
        <v>432</v>
      </c>
      <c r="I185" s="1945"/>
      <c r="J185" s="1945">
        <v>720.0040612430771</v>
      </c>
      <c r="K185" s="1945">
        <v>0</v>
      </c>
      <c r="L185" s="1945">
        <v>216.00121837292312</v>
      </c>
      <c r="M185" s="1945"/>
      <c r="N185" s="1945">
        <f>K185+L185</f>
        <v>216.00121837292312</v>
      </c>
      <c r="O185" s="1947">
        <f t="shared" si="18"/>
        <v>3</v>
      </c>
      <c r="P185" s="1948">
        <f t="shared" si="19"/>
        <v>0</v>
      </c>
      <c r="Q185" s="1782">
        <f t="shared" si="20"/>
        <v>3</v>
      </c>
      <c r="R185" s="1781">
        <f t="shared" si="22"/>
        <v>756.86400000000003</v>
      </c>
      <c r="S185" s="1782">
        <f t="shared" si="23"/>
        <v>10.511940706185527</v>
      </c>
    </row>
    <row r="186" spans="1:19">
      <c r="A186" s="1044">
        <v>5</v>
      </c>
      <c r="B186" s="1798" t="s">
        <v>1794</v>
      </c>
      <c r="C186" s="1967"/>
      <c r="D186" s="1949"/>
      <c r="E186" s="1798"/>
      <c r="F186" s="1798"/>
      <c r="G186" s="1777"/>
      <c r="H186" s="1798"/>
      <c r="I186" s="1945"/>
      <c r="J186" s="1945">
        <v>253.05704270769232</v>
      </c>
      <c r="K186" s="1945">
        <v>0</v>
      </c>
      <c r="L186" s="1945">
        <v>75.917112812307693</v>
      </c>
      <c r="M186" s="1945"/>
      <c r="N186" s="1945">
        <f>K186+L186</f>
        <v>75.917112812307693</v>
      </c>
      <c r="O186" s="1947">
        <f>IFERROR(N186/J186*10,0)</f>
        <v>3</v>
      </c>
      <c r="P186" s="1948">
        <f t="shared" si="19"/>
        <v>0</v>
      </c>
      <c r="Q186" s="1782">
        <f t="shared" si="20"/>
        <v>3</v>
      </c>
      <c r="R186" s="1781">
        <f t="shared" si="22"/>
        <v>0</v>
      </c>
      <c r="S186" s="1782">
        <f t="shared" si="23"/>
        <v>0</v>
      </c>
    </row>
    <row r="187" spans="1:19">
      <c r="A187" s="1044">
        <v>6</v>
      </c>
      <c r="B187" s="1798" t="s">
        <v>211</v>
      </c>
      <c r="C187" s="1959">
        <v>3069</v>
      </c>
      <c r="D187" s="1949"/>
      <c r="E187" s="1798"/>
      <c r="F187" s="1798">
        <v>0</v>
      </c>
      <c r="G187" s="1777">
        <v>0</v>
      </c>
      <c r="H187" s="1959">
        <v>3284</v>
      </c>
      <c r="I187" s="1937"/>
      <c r="J187" s="1937">
        <f>SUM(J182:J186)</f>
        <v>4855.3183839507692</v>
      </c>
      <c r="K187" s="1937">
        <f>SUM(K182:K185)</f>
        <v>0</v>
      </c>
      <c r="L187" s="1937">
        <f>SUM(L182:L186)</f>
        <v>1800.2903692493303</v>
      </c>
      <c r="M187" s="1937">
        <f>SUM(M182:M185)</f>
        <v>0</v>
      </c>
      <c r="N187" s="1937">
        <f>SUM(N182:N186)</f>
        <v>1800.2903692493303</v>
      </c>
      <c r="O187" s="1947">
        <f t="shared" si="18"/>
        <v>3.7078729485592152</v>
      </c>
      <c r="P187" s="1948">
        <f t="shared" si="19"/>
        <v>0</v>
      </c>
      <c r="Q187" s="1782">
        <f t="shared" si="20"/>
        <v>3.7078729485592152</v>
      </c>
      <c r="R187" s="1781">
        <f t="shared" si="22"/>
        <v>5753.5680000000002</v>
      </c>
      <c r="S187" s="1782">
        <f t="shared" si="23"/>
        <v>11.850032366607286</v>
      </c>
    </row>
    <row r="188" spans="1:19">
      <c r="A188" s="1044"/>
      <c r="B188" s="1798"/>
      <c r="C188" s="1798"/>
      <c r="D188" s="1949"/>
      <c r="E188" s="1798"/>
      <c r="F188" s="1798"/>
      <c r="G188" s="1777"/>
      <c r="H188" s="1798"/>
      <c r="I188" s="1945"/>
      <c r="J188" s="1945"/>
      <c r="K188" s="1945"/>
      <c r="L188" s="1945"/>
      <c r="M188" s="1945"/>
      <c r="N188" s="1945"/>
      <c r="O188" s="1947">
        <f t="shared" si="18"/>
        <v>0</v>
      </c>
      <c r="P188" s="1948"/>
      <c r="Q188" s="1782"/>
      <c r="R188" s="1781"/>
      <c r="S188" s="1782"/>
    </row>
    <row r="189" spans="1:19">
      <c r="A189" s="1044">
        <v>7</v>
      </c>
      <c r="B189" s="1798" t="s">
        <v>1797</v>
      </c>
      <c r="C189" s="1798"/>
      <c r="D189" s="1949"/>
      <c r="E189" s="1798"/>
      <c r="F189" s="1798"/>
      <c r="G189" s="1777"/>
      <c r="H189" s="1798"/>
      <c r="I189" s="1945"/>
      <c r="J189" s="1945"/>
      <c r="K189" s="1945"/>
      <c r="L189" s="1945"/>
      <c r="M189" s="1945"/>
      <c r="N189" s="1945"/>
      <c r="O189" s="1947">
        <f t="shared" si="18"/>
        <v>0</v>
      </c>
      <c r="P189" s="1948"/>
      <c r="Q189" s="1782"/>
      <c r="R189" s="1781"/>
      <c r="S189" s="1782"/>
    </row>
    <row r="190" spans="1:19">
      <c r="A190" s="1797"/>
      <c r="B190" s="1798" t="s">
        <v>1798</v>
      </c>
      <c r="C190" s="1945">
        <f>IFERROR(VLOOKUP($B190,F13_21_22!$B$14:$H$198,2,0),0)</f>
        <v>0</v>
      </c>
      <c r="D190" s="1946"/>
      <c r="E190" s="1945">
        <f>IFERROR(VLOOKUP($B190,F13_21_22!$B$14:$H$198,4,0),0)</f>
        <v>0</v>
      </c>
      <c r="F190" s="1776">
        <f>IFERROR(VLOOKUP($B190,F13_21_22!$B$14:$H$198,5,0),0)</f>
        <v>0</v>
      </c>
      <c r="G190" s="1776">
        <f>IFERROR(VLOOKUP($B190,F13_21_22!$B$14:$H$198,6,0),0)</f>
        <v>0</v>
      </c>
      <c r="H190" s="1965">
        <f>F13_21_22!H191</f>
        <v>639.9</v>
      </c>
      <c r="I190" s="1945"/>
      <c r="J190" s="1945">
        <v>1403.2973891004049</v>
      </c>
      <c r="K190" s="1945">
        <v>0</v>
      </c>
      <c r="L190" s="1945">
        <v>466.61613109030679</v>
      </c>
      <c r="M190" s="1945"/>
      <c r="N190" s="1945">
        <f t="shared" ref="N190:N196" si="24">K190+L190</f>
        <v>466.61613109030679</v>
      </c>
      <c r="O190" s="1947">
        <f t="shared" si="18"/>
        <v>3.3251407343487953</v>
      </c>
      <c r="P190" s="1948">
        <f t="shared" si="19"/>
        <v>0</v>
      </c>
      <c r="Q190" s="1782">
        <f t="shared" si="20"/>
        <v>3.3251407343487953</v>
      </c>
      <c r="R190" s="1781">
        <f t="shared" si="22"/>
        <v>1121.1047999999998</v>
      </c>
      <c r="S190" s="1782">
        <f t="shared" si="23"/>
        <v>7.9890749367010017</v>
      </c>
    </row>
    <row r="191" spans="1:19">
      <c r="A191" s="1797"/>
      <c r="B191" s="1798" t="s">
        <v>1800</v>
      </c>
      <c r="C191" s="1945">
        <f>IFERROR(VLOOKUP($B191,F13_21_22!$B$14:$H$198,2,0),0)</f>
        <v>0</v>
      </c>
      <c r="D191" s="1946">
        <f>IFERROR(VLOOKUP($B191,F13_21_22!$B$14:$H$198,3,0),0)</f>
        <v>0.25</v>
      </c>
      <c r="E191" s="1945" t="str">
        <f>IFERROR(VLOOKUP($B191,F13_21_22!$B$14:$H$198,4,0),0)</f>
        <v xml:space="preserve">Must Run </v>
      </c>
      <c r="F191" s="1776">
        <f>IFERROR(VLOOKUP($B191,F13_21_22!$B$14:$H$198,5,0),0)</f>
        <v>0</v>
      </c>
      <c r="G191" s="1776">
        <f>IFERROR(VLOOKUP($B191,F13_21_22!$B$14:$H$198,6,0),0)</f>
        <v>0</v>
      </c>
      <c r="H191" s="1965">
        <f>IFERROR(VLOOKUP($B191,F13_21_22!$B$14:$H$198,7,0),0)</f>
        <v>0</v>
      </c>
      <c r="I191" s="1945"/>
      <c r="J191" s="1945">
        <v>0</v>
      </c>
      <c r="K191" s="1945">
        <v>0</v>
      </c>
      <c r="L191" s="1945">
        <v>0</v>
      </c>
      <c r="M191" s="1945"/>
      <c r="N191" s="1945">
        <f t="shared" si="24"/>
        <v>0</v>
      </c>
      <c r="O191" s="1947">
        <f t="shared" si="18"/>
        <v>0</v>
      </c>
      <c r="P191" s="1948"/>
      <c r="Q191" s="1782"/>
      <c r="R191" s="1781"/>
      <c r="S191" s="1782"/>
    </row>
    <row r="192" spans="1:19">
      <c r="A192" s="1859" t="s">
        <v>138</v>
      </c>
      <c r="B192" s="1798" t="s">
        <v>1801</v>
      </c>
      <c r="C192" s="1945">
        <f>IFERROR(VLOOKUP($B192,F13_21_22!$B$14:$H$198,2,0),0)</f>
        <v>809.4</v>
      </c>
      <c r="D192" s="1946">
        <f>IFERROR(VLOOKUP($B192,F13_21_22!$B$14:$H$198,3,0),0)</f>
        <v>0.25</v>
      </c>
      <c r="E192" s="1945" t="str">
        <f>IFERROR(VLOOKUP($B192,F13_21_22!$B$14:$H$198,4,0),0)</f>
        <v xml:space="preserve">Must Run </v>
      </c>
      <c r="F192" s="1776">
        <f>IFERROR(VLOOKUP($B192,F13_21_22!$B$14:$H$198,5,0),0)</f>
        <v>0</v>
      </c>
      <c r="G192" s="1776">
        <f>IFERROR(VLOOKUP($B192,F13_21_22!$B$14:$H$198,6,0),0)</f>
        <v>0</v>
      </c>
      <c r="H192" s="1965">
        <v>809.4</v>
      </c>
      <c r="I192" s="1945"/>
      <c r="J192" s="1945">
        <v>1775.0100120923073</v>
      </c>
      <c r="K192" s="1945">
        <v>0</v>
      </c>
      <c r="L192" s="1945">
        <v>590.21580950850796</v>
      </c>
      <c r="M192" s="1945"/>
      <c r="N192" s="1945">
        <f t="shared" si="24"/>
        <v>590.21580950850796</v>
      </c>
      <c r="O192" s="1947">
        <f t="shared" si="18"/>
        <v>3.3251407343487962</v>
      </c>
      <c r="P192" s="1948">
        <f t="shared" si="19"/>
        <v>0</v>
      </c>
      <c r="Q192" s="1782">
        <f t="shared" si="20"/>
        <v>3.3251407343487962</v>
      </c>
      <c r="R192" s="1781">
        <f t="shared" si="22"/>
        <v>1418.0687999999998</v>
      </c>
      <c r="S192" s="1782">
        <f t="shared" si="23"/>
        <v>7.9890749367010034</v>
      </c>
    </row>
    <row r="193" spans="1:19">
      <c r="A193" s="1859">
        <v>1</v>
      </c>
      <c r="B193" s="1798" t="s">
        <v>2062</v>
      </c>
      <c r="C193" s="1945">
        <f>IFERROR(VLOOKUP($B193,F13_21_22!$B$14:$H$198,2,0),0)</f>
        <v>730.6</v>
      </c>
      <c r="D193" s="1946">
        <f>IFERROR(VLOOKUP($B193,F13_21_22!$B$14:$H$198,3,0),0)</f>
        <v>0.25</v>
      </c>
      <c r="E193" s="1945" t="str">
        <f>IFERROR(VLOOKUP($B193,F13_21_22!$B$14:$H$198,4,0),0)</f>
        <v xml:space="preserve">Must Run </v>
      </c>
      <c r="F193" s="1776">
        <f>IFERROR(VLOOKUP($B193,F13_21_22!$B$14:$H$198,5,0),0)</f>
        <v>0</v>
      </c>
      <c r="G193" s="1776">
        <f>IFERROR(VLOOKUP($B193,F13_21_22!$B$14:$H$198,6,0),0)</f>
        <v>0</v>
      </c>
      <c r="H193" s="1965">
        <f>IFERROR(VLOOKUP($B193,F13_21_22!$B$14:$H$198,7,0),0)</f>
        <v>730.6</v>
      </c>
      <c r="I193" s="1945"/>
      <c r="J193" s="1945">
        <v>1509.5499403238866</v>
      </c>
      <c r="K193" s="1945">
        <v>0</v>
      </c>
      <c r="L193" s="1945">
        <v>501.94659971047497</v>
      </c>
      <c r="M193" s="1945"/>
      <c r="N193" s="1945">
        <f t="shared" si="24"/>
        <v>501.94659971047497</v>
      </c>
      <c r="O193" s="1947">
        <f t="shared" si="18"/>
        <v>3.3251407343487962</v>
      </c>
      <c r="P193" s="1948">
        <f t="shared" si="19"/>
        <v>0</v>
      </c>
      <c r="Q193" s="1782">
        <f t="shared" si="20"/>
        <v>3.3251407343487962</v>
      </c>
      <c r="R193" s="1781">
        <f t="shared" si="22"/>
        <v>1280.0112000000001</v>
      </c>
      <c r="S193" s="1782">
        <f t="shared" si="23"/>
        <v>8.4794226796190859</v>
      </c>
    </row>
    <row r="194" spans="1:19">
      <c r="A194" s="1859">
        <v>2</v>
      </c>
      <c r="B194" s="1798" t="s">
        <v>1802</v>
      </c>
      <c r="C194" s="1945">
        <f>IFERROR(VLOOKUP($B194,F13_21_22!$B$14:$H$198,2,0),0)</f>
        <v>33.5</v>
      </c>
      <c r="D194" s="1946">
        <f>IFERROR(VLOOKUP($B194,F13_21_22!$B$14:$H$198,3,0),0)</f>
        <v>0.5</v>
      </c>
      <c r="E194" s="1945" t="str">
        <f>IFERROR(VLOOKUP($B194,F13_21_22!$B$14:$H$198,4,0),0)</f>
        <v xml:space="preserve">Must Run </v>
      </c>
      <c r="F194" s="1776">
        <f>IFERROR(VLOOKUP($B194,F13_21_22!$B$14:$H$198,5,0),0)</f>
        <v>0</v>
      </c>
      <c r="G194" s="1776">
        <f>IFERROR(VLOOKUP($B194,F13_21_22!$B$14:$H$198,6,0),0)</f>
        <v>0</v>
      </c>
      <c r="H194" s="1965">
        <f>IFERROR(VLOOKUP($B194,F13_21_22!$B$14:$H$198,7,0),0)</f>
        <v>33.5</v>
      </c>
      <c r="I194" s="1945"/>
      <c r="J194" s="1945">
        <v>146.73000000000002</v>
      </c>
      <c r="K194" s="1945">
        <v>0</v>
      </c>
      <c r="L194" s="1945">
        <v>95.449054557108695</v>
      </c>
      <c r="M194" s="1945"/>
      <c r="N194" s="1945">
        <f t="shared" si="24"/>
        <v>95.449054557108695</v>
      </c>
      <c r="O194" s="1947">
        <f t="shared" si="18"/>
        <v>6.5050810711585001</v>
      </c>
      <c r="P194" s="1948">
        <f t="shared" si="19"/>
        <v>0</v>
      </c>
      <c r="Q194" s="1782">
        <f t="shared" si="20"/>
        <v>6.5050810711585001</v>
      </c>
      <c r="R194" s="1781">
        <f t="shared" si="22"/>
        <v>58.692</v>
      </c>
      <c r="S194" s="1782">
        <f t="shared" si="23"/>
        <v>3.9999999999999996</v>
      </c>
    </row>
    <row r="195" spans="1:19">
      <c r="A195" s="1859">
        <v>3</v>
      </c>
      <c r="B195" s="1798" t="s">
        <v>1803</v>
      </c>
      <c r="C195" s="1945">
        <f>IFERROR(VLOOKUP($B195,F13_21_22!$B$14:$H$198,2,0),0)</f>
        <v>0</v>
      </c>
      <c r="D195" s="1946">
        <f>IFERROR(VLOOKUP($B195,F13_21_22!$B$14:$H$198,3,0),0)</f>
        <v>0.5</v>
      </c>
      <c r="E195" s="1945" t="str">
        <f>IFERROR(VLOOKUP($B195,F13_21_22!$B$14:$H$198,4,0),0)</f>
        <v xml:space="preserve">Must Run </v>
      </c>
      <c r="F195" s="1776">
        <f>IFERROR(VLOOKUP($B195,F13_21_22!$B$14:$H$198,5,0),0)</f>
        <v>0</v>
      </c>
      <c r="G195" s="1776">
        <f>IFERROR(VLOOKUP($B195,F13_21_22!$B$14:$H$198,6,0),0)</f>
        <v>0</v>
      </c>
      <c r="H195" s="1965">
        <f>IFERROR(VLOOKUP($B195,F13_21_22!$B$14:$H$198,7,0),0)</f>
        <v>0</v>
      </c>
      <c r="I195" s="1945"/>
      <c r="J195" s="1945">
        <v>0</v>
      </c>
      <c r="K195" s="1945">
        <v>0</v>
      </c>
      <c r="L195" s="1945">
        <v>0</v>
      </c>
      <c r="M195" s="1945"/>
      <c r="N195" s="1945">
        <f t="shared" si="24"/>
        <v>0</v>
      </c>
      <c r="O195" s="1947">
        <f t="shared" si="18"/>
        <v>0</v>
      </c>
      <c r="P195" s="1948"/>
      <c r="Q195" s="1782"/>
      <c r="R195" s="1781"/>
      <c r="S195" s="1782"/>
    </row>
    <row r="196" spans="1:19">
      <c r="A196" s="1859">
        <v>4</v>
      </c>
      <c r="B196" s="1798" t="s">
        <v>2063</v>
      </c>
      <c r="C196" s="1945">
        <f>IFERROR(VLOOKUP($B196,F13_21_22!$B$14:$H$198,2,0),0)</f>
        <v>29.5</v>
      </c>
      <c r="D196" s="1946">
        <f>IFERROR(VLOOKUP($B196,F13_21_22!$B$14:$H$198,3,0),0)</f>
        <v>0.75</v>
      </c>
      <c r="E196" s="1945" t="str">
        <f>IFERROR(VLOOKUP($B196,F13_21_22!$B$14:$H$198,4,0),0)</f>
        <v xml:space="preserve">Must Run </v>
      </c>
      <c r="F196" s="1776">
        <f>IFERROR(VLOOKUP($B196,F13_21_22!$B$14:$H$198,5,0),0)</f>
        <v>0</v>
      </c>
      <c r="G196" s="1776">
        <f>IFERROR(VLOOKUP($B196,F13_21_22!$B$14:$H$198,6,0),0)</f>
        <v>0</v>
      </c>
      <c r="H196" s="1965">
        <f>IFERROR(VLOOKUP($B196,F13_21_22!$B$14:$H$198,7,0),0)</f>
        <v>29.5</v>
      </c>
      <c r="I196" s="1945"/>
      <c r="J196" s="1945">
        <v>193.815</v>
      </c>
      <c r="K196" s="1945">
        <v>0</v>
      </c>
      <c r="L196" s="1945">
        <v>147.49321500000002</v>
      </c>
      <c r="M196" s="1945"/>
      <c r="N196" s="1945">
        <f t="shared" si="24"/>
        <v>147.49321500000002</v>
      </c>
      <c r="O196" s="1947">
        <f t="shared" si="18"/>
        <v>7.6100000000000012</v>
      </c>
      <c r="P196" s="1948">
        <f t="shared" si="19"/>
        <v>0</v>
      </c>
      <c r="Q196" s="1782">
        <f t="shared" si="20"/>
        <v>7.6100000000000012</v>
      </c>
      <c r="R196" s="1781">
        <f t="shared" si="22"/>
        <v>51.683999999999997</v>
      </c>
      <c r="S196" s="1782">
        <f t="shared" si="23"/>
        <v>2.6666666666666665</v>
      </c>
    </row>
    <row r="197" spans="1:19">
      <c r="A197" s="1859"/>
      <c r="B197" s="1960" t="s">
        <v>211</v>
      </c>
      <c r="C197" s="1959">
        <f>SUM(C190:C196)</f>
        <v>1603</v>
      </c>
      <c r="D197" s="1949"/>
      <c r="E197" s="1798"/>
      <c r="F197" s="1798"/>
      <c r="G197" s="1777"/>
      <c r="H197" s="1959">
        <f>SUM(H190:H196)</f>
        <v>2242.9</v>
      </c>
      <c r="I197" s="1937"/>
      <c r="J197" s="1959">
        <f>SUM(J190:J196)</f>
        <v>5028.4023415165984</v>
      </c>
      <c r="K197" s="1937">
        <f>SUM(K190:K196)</f>
        <v>0</v>
      </c>
      <c r="L197" s="1959">
        <f>SUM(L190:L196)</f>
        <v>1801.7208098663984</v>
      </c>
      <c r="M197" s="1937">
        <f>SUM(M190:M196)</f>
        <v>0</v>
      </c>
      <c r="N197" s="1959">
        <f>SUM(N190:N196)</f>
        <v>1801.7208098663984</v>
      </c>
      <c r="O197" s="1947">
        <f t="shared" si="18"/>
        <v>3.5830880019099425</v>
      </c>
      <c r="P197" s="1948">
        <f t="shared" si="19"/>
        <v>0</v>
      </c>
      <c r="Q197" s="1782">
        <f t="shared" si="20"/>
        <v>3.5830880019099425</v>
      </c>
      <c r="R197" s="1781">
        <f t="shared" si="22"/>
        <v>3929.5608000000007</v>
      </c>
      <c r="S197" s="1782">
        <f t="shared" si="23"/>
        <v>7.8147302723887044</v>
      </c>
    </row>
    <row r="198" spans="1:19">
      <c r="A198" s="1859"/>
      <c r="B198" s="1960"/>
      <c r="C198" s="1959"/>
      <c r="D198" s="1949"/>
      <c r="E198" s="1798"/>
      <c r="F198" s="1798"/>
      <c r="G198" s="1777"/>
      <c r="H198" s="1959"/>
      <c r="I198" s="1937"/>
      <c r="J198" s="1937"/>
      <c r="K198" s="1937"/>
      <c r="L198" s="1937"/>
      <c r="M198" s="1937"/>
      <c r="N198" s="1937"/>
      <c r="O198" s="1947"/>
      <c r="P198" s="1948"/>
      <c r="Q198" s="1782"/>
      <c r="R198" s="1781"/>
      <c r="S198" s="1782"/>
    </row>
    <row r="199" spans="1:19">
      <c r="A199" s="1859"/>
      <c r="B199" s="1960" t="s">
        <v>2064</v>
      </c>
      <c r="C199" s="1959"/>
      <c r="D199" s="1949"/>
      <c r="E199" s="1798"/>
      <c r="F199" s="1798"/>
      <c r="G199" s="1777"/>
      <c r="H199" s="1959"/>
      <c r="I199" s="1937"/>
      <c r="J199" s="1937"/>
      <c r="K199" s="1937"/>
      <c r="L199" s="1937"/>
      <c r="M199" s="1937"/>
      <c r="N199" s="1937"/>
      <c r="O199" s="1947"/>
      <c r="P199" s="1948"/>
      <c r="Q199" s="1782"/>
      <c r="R199" s="1781"/>
      <c r="S199" s="1782"/>
    </row>
    <row r="200" spans="1:19">
      <c r="A200" s="1859">
        <v>1</v>
      </c>
      <c r="B200" s="1798" t="s">
        <v>2034</v>
      </c>
      <c r="C200" s="1945">
        <f>IFERROR(VLOOKUP($B200,F13_21_22!$B$14:$H$198,2,0),0)</f>
        <v>0</v>
      </c>
      <c r="D200" s="1946"/>
      <c r="E200" s="1945">
        <f>IFERROR(VLOOKUP($B200,F13_21_22!$B$14:$H$198,4,0),0)</f>
        <v>0</v>
      </c>
      <c r="F200" s="1776">
        <f>IFERROR(VLOOKUP($B200,F13_21_22!$B$14:$H$198,5,0),0)</f>
        <v>0</v>
      </c>
      <c r="G200" s="1776">
        <f>IFERROR(VLOOKUP($B200,F13_21_22!$B$14:$H$198,6,0),0)</f>
        <v>0</v>
      </c>
      <c r="H200" s="1965">
        <f>IFERROR(VLOOKUP($B200,F13_21_22!$B$14:$H$198,7,0),0)</f>
        <v>0</v>
      </c>
      <c r="I200" s="1945"/>
      <c r="J200" s="1945">
        <v>186.15</v>
      </c>
      <c r="K200" s="1945">
        <v>26.889367499999999</v>
      </c>
      <c r="L200" s="1945">
        <v>26.889367499999999</v>
      </c>
      <c r="M200" s="1945"/>
      <c r="N200" s="1945">
        <f>K200+L200</f>
        <v>53.778734999999998</v>
      </c>
      <c r="O200" s="1947">
        <f>IFERROR(N200/J200*10,0)</f>
        <v>2.8889999999999998</v>
      </c>
      <c r="P200" s="1948"/>
      <c r="Q200" s="1782"/>
      <c r="R200" s="1781"/>
      <c r="S200" s="1782"/>
    </row>
    <row r="201" spans="1:19">
      <c r="A201" s="1859"/>
      <c r="B201" s="1798"/>
      <c r="C201" s="1798"/>
      <c r="D201" s="1949"/>
      <c r="E201" s="1798"/>
      <c r="F201" s="1798"/>
      <c r="G201" s="1777"/>
      <c r="H201" s="1798"/>
      <c r="I201" s="1945"/>
      <c r="J201" s="1945"/>
      <c r="K201" s="1945"/>
      <c r="L201" s="1945"/>
      <c r="M201" s="1945"/>
      <c r="N201" s="1945"/>
      <c r="O201" s="1947">
        <f t="shared" si="18"/>
        <v>0</v>
      </c>
      <c r="P201" s="1948"/>
      <c r="Q201" s="1782"/>
      <c r="S201" s="1782"/>
    </row>
    <row r="202" spans="1:19">
      <c r="A202" s="1859">
        <v>7</v>
      </c>
      <c r="B202" s="1798" t="s">
        <v>2074</v>
      </c>
      <c r="C202" s="1798"/>
      <c r="D202" s="1949"/>
      <c r="E202" s="1798"/>
      <c r="F202" s="1798"/>
      <c r="G202" s="1777"/>
      <c r="H202" s="1798"/>
      <c r="I202" s="1945"/>
      <c r="J202" s="1945"/>
      <c r="K202" s="1945"/>
      <c r="L202" s="1945"/>
      <c r="M202" s="1945"/>
      <c r="N202" s="1945"/>
      <c r="O202" s="1947">
        <f t="shared" si="18"/>
        <v>0</v>
      </c>
      <c r="P202" s="1948"/>
      <c r="Q202" s="1782"/>
      <c r="S202" s="1782"/>
    </row>
    <row r="203" spans="1:19">
      <c r="A203" s="1859"/>
      <c r="B203" s="1798" t="s">
        <v>1808</v>
      </c>
      <c r="C203" s="1798"/>
      <c r="D203" s="1949"/>
      <c r="E203" s="1798"/>
      <c r="F203" s="1798"/>
      <c r="G203" s="1777"/>
      <c r="H203" s="1798"/>
      <c r="I203" s="1945"/>
      <c r="J203" s="1945"/>
      <c r="K203" s="1937"/>
      <c r="L203" s="1937"/>
      <c r="M203" s="1937"/>
      <c r="N203" s="1937"/>
      <c r="O203" s="1947">
        <f t="shared" si="18"/>
        <v>0</v>
      </c>
      <c r="P203" s="1948"/>
      <c r="Q203" s="1782"/>
      <c r="S203" s="1782"/>
    </row>
    <row r="204" spans="1:19">
      <c r="A204" s="1859"/>
      <c r="B204" s="1798" t="s">
        <v>1809</v>
      </c>
      <c r="C204" s="1798"/>
      <c r="D204" s="1949"/>
      <c r="E204" s="1798"/>
      <c r="F204" s="1798"/>
      <c r="G204" s="1777"/>
      <c r="H204" s="1798"/>
      <c r="I204" s="1945"/>
      <c r="J204" s="1945">
        <v>0</v>
      </c>
      <c r="K204" s="1945">
        <v>0</v>
      </c>
      <c r="L204" s="1945">
        <v>0</v>
      </c>
      <c r="M204" s="1966"/>
      <c r="N204" s="1966"/>
      <c r="O204" s="1947">
        <f t="shared" si="18"/>
        <v>0</v>
      </c>
      <c r="P204" s="1948"/>
      <c r="Q204" s="1782"/>
      <c r="S204" s="1782"/>
    </row>
    <row r="205" spans="1:19">
      <c r="A205" s="1797" t="s">
        <v>139</v>
      </c>
      <c r="B205" s="1798" t="s">
        <v>1810</v>
      </c>
      <c r="C205" s="1798"/>
      <c r="D205" s="1949"/>
      <c r="E205" s="1798"/>
      <c r="F205" s="1798"/>
      <c r="G205" s="1777"/>
      <c r="H205" s="1798"/>
      <c r="I205" s="1945"/>
      <c r="J205" s="1945">
        <v>0</v>
      </c>
      <c r="K205" s="1945">
        <v>0</v>
      </c>
      <c r="L205" s="1945">
        <v>0</v>
      </c>
      <c r="M205" s="1966"/>
      <c r="N205" s="1966"/>
      <c r="O205" s="1947">
        <f t="shared" si="18"/>
        <v>0</v>
      </c>
      <c r="P205" s="1948"/>
      <c r="Q205" s="1782"/>
      <c r="S205" s="1782"/>
    </row>
    <row r="206" spans="1:19">
      <c r="A206" s="1797" t="s">
        <v>140</v>
      </c>
      <c r="B206" s="1798" t="s">
        <v>2007</v>
      </c>
      <c r="C206" s="1798"/>
      <c r="D206" s="1949"/>
      <c r="E206" s="1798"/>
      <c r="F206" s="1798"/>
      <c r="G206" s="1777"/>
      <c r="H206" s="1798"/>
      <c r="I206" s="1945"/>
      <c r="J206" s="1945">
        <v>0</v>
      </c>
      <c r="K206" s="1945">
        <v>4134.3488061435</v>
      </c>
      <c r="L206" s="1945">
        <v>0</v>
      </c>
      <c r="M206" s="1966"/>
      <c r="N206" s="1945">
        <f>K206+L206</f>
        <v>4134.3488061435</v>
      </c>
      <c r="O206" s="1947">
        <f t="shared" si="18"/>
        <v>0</v>
      </c>
      <c r="P206" s="1948"/>
      <c r="Q206" s="1782"/>
      <c r="S206" s="1782"/>
    </row>
    <row r="207" spans="1:19">
      <c r="A207" s="1797" t="s">
        <v>220</v>
      </c>
      <c r="B207" s="1798" t="s">
        <v>2030</v>
      </c>
      <c r="C207" s="1798"/>
      <c r="D207" s="1949"/>
      <c r="E207" s="1798"/>
      <c r="F207" s="1798"/>
      <c r="G207" s="1777"/>
      <c r="H207" s="1798"/>
      <c r="I207" s="1945"/>
      <c r="J207" s="1945">
        <v>0</v>
      </c>
      <c r="K207" s="1945">
        <v>919.61593321499993</v>
      </c>
      <c r="L207" s="1945">
        <v>0</v>
      </c>
      <c r="M207" s="1966"/>
      <c r="N207" s="1945">
        <f>K207+L207</f>
        <v>919.61593321499993</v>
      </c>
      <c r="O207" s="1947">
        <f t="shared" si="18"/>
        <v>0</v>
      </c>
      <c r="P207" s="1948"/>
      <c r="Q207" s="1782"/>
      <c r="S207" s="1782"/>
    </row>
    <row r="208" spans="1:19">
      <c r="A208" s="1797" t="s">
        <v>479</v>
      </c>
      <c r="B208" s="1798" t="s">
        <v>2012</v>
      </c>
      <c r="C208" s="1798"/>
      <c r="D208" s="1949"/>
      <c r="E208" s="1798"/>
      <c r="F208" s="1798"/>
      <c r="G208" s="1777"/>
      <c r="H208" s="1798"/>
      <c r="I208" s="1945"/>
      <c r="J208" s="1945">
        <v>0</v>
      </c>
      <c r="K208" s="1945">
        <v>316.990954875</v>
      </c>
      <c r="L208" s="1945">
        <v>0</v>
      </c>
      <c r="M208" s="1966"/>
      <c r="N208" s="1945">
        <f>K208+L208</f>
        <v>316.990954875</v>
      </c>
      <c r="O208" s="1947">
        <f t="shared" si="18"/>
        <v>0</v>
      </c>
      <c r="P208" s="1948"/>
      <c r="Q208" s="1782"/>
      <c r="S208" s="1782"/>
    </row>
    <row r="209" spans="1:143">
      <c r="A209" s="1797" t="s">
        <v>480</v>
      </c>
      <c r="B209" s="1798" t="s">
        <v>1815</v>
      </c>
      <c r="C209" s="1798"/>
      <c r="D209" s="1949"/>
      <c r="E209" s="1798"/>
      <c r="F209" s="1798"/>
      <c r="G209" s="1777"/>
      <c r="H209" s="1798"/>
      <c r="I209" s="1945"/>
      <c r="J209" s="1945">
        <v>0</v>
      </c>
      <c r="K209" s="1945">
        <v>0</v>
      </c>
      <c r="L209" s="1945">
        <v>0</v>
      </c>
      <c r="M209" s="1966"/>
      <c r="N209" s="1945">
        <f>K209+L209</f>
        <v>0</v>
      </c>
      <c r="O209" s="1947">
        <f t="shared" si="18"/>
        <v>0</v>
      </c>
      <c r="P209" s="1948"/>
      <c r="Q209" s="1782"/>
      <c r="S209" s="1782"/>
    </row>
    <row r="210" spans="1:143">
      <c r="A210" s="1797" t="s">
        <v>1032</v>
      </c>
      <c r="B210" s="1798" t="s">
        <v>2031</v>
      </c>
      <c r="C210" s="1798"/>
      <c r="D210" s="1949"/>
      <c r="E210" s="1798"/>
      <c r="F210" s="1798"/>
      <c r="G210" s="1777"/>
      <c r="H210" s="1798"/>
      <c r="I210" s="1945"/>
      <c r="J210" s="1945">
        <v>0</v>
      </c>
      <c r="K210" s="1945">
        <v>840.31879312500007</v>
      </c>
      <c r="L210" s="1945">
        <v>0</v>
      </c>
      <c r="M210" s="1966"/>
      <c r="N210" s="1945">
        <f>K210+L210</f>
        <v>840.31879312500007</v>
      </c>
      <c r="O210" s="1947">
        <f t="shared" si="18"/>
        <v>0</v>
      </c>
      <c r="P210" s="1948"/>
      <c r="Q210" s="1782"/>
      <c r="S210" s="1782"/>
    </row>
    <row r="211" spans="1:143">
      <c r="A211" s="1797"/>
      <c r="B211" s="1798" t="s">
        <v>2009</v>
      </c>
      <c r="C211" s="1798"/>
      <c r="D211" s="1949"/>
      <c r="E211" s="1798"/>
      <c r="F211" s="1798"/>
      <c r="G211" s="1777"/>
      <c r="H211" s="1798"/>
      <c r="I211" s="1945"/>
      <c r="J211" s="1945">
        <v>0</v>
      </c>
      <c r="K211" s="1945">
        <v>0</v>
      </c>
      <c r="L211" s="1945">
        <v>0</v>
      </c>
      <c r="M211" s="1966"/>
      <c r="N211" s="1966"/>
      <c r="O211" s="1947">
        <f t="shared" si="18"/>
        <v>0</v>
      </c>
      <c r="P211" s="1948"/>
      <c r="Q211" s="1782"/>
      <c r="S211" s="1782"/>
    </row>
    <row r="212" spans="1:143">
      <c r="A212" s="1797"/>
      <c r="B212" s="1798" t="s">
        <v>783</v>
      </c>
      <c r="C212" s="1798"/>
      <c r="D212" s="1949"/>
      <c r="E212" s="1798"/>
      <c r="F212" s="1798"/>
      <c r="G212" s="1777"/>
      <c r="H212" s="1798"/>
      <c r="I212" s="1945"/>
      <c r="J212" s="1945">
        <v>0</v>
      </c>
      <c r="K212" s="1945">
        <v>0</v>
      </c>
      <c r="L212" s="1945">
        <v>0</v>
      </c>
      <c r="M212" s="1966"/>
      <c r="N212" s="1966"/>
      <c r="O212" s="1947">
        <f>IFERROR(N212/J212*10,0)</f>
        <v>0</v>
      </c>
      <c r="P212" s="1948"/>
      <c r="Q212" s="1782"/>
      <c r="S212" s="1782"/>
    </row>
    <row r="213" spans="1:143">
      <c r="A213" s="1797"/>
      <c r="B213" s="1798" t="s">
        <v>1822</v>
      </c>
      <c r="C213" s="1798"/>
      <c r="D213" s="1949"/>
      <c r="E213" s="1798"/>
      <c r="F213" s="1798"/>
      <c r="G213" s="1777"/>
      <c r="H213" s="1798"/>
      <c r="I213" s="1945"/>
      <c r="J213" s="1945">
        <v>0</v>
      </c>
      <c r="K213" s="1945">
        <v>0</v>
      </c>
      <c r="L213" s="1945">
        <v>0</v>
      </c>
      <c r="M213" s="1968"/>
      <c r="N213" s="1968"/>
      <c r="O213" s="1947">
        <f>IFERROR(N213/J213*10,0)</f>
        <v>0</v>
      </c>
      <c r="P213" s="1948"/>
      <c r="Q213" s="1782"/>
      <c r="S213" s="1782"/>
    </row>
    <row r="214" spans="1:143">
      <c r="A214" s="1869"/>
      <c r="B214" s="1798" t="s">
        <v>1823</v>
      </c>
      <c r="C214" s="1798"/>
      <c r="D214" s="1949"/>
      <c r="E214" s="1798"/>
      <c r="F214" s="1798"/>
      <c r="G214" s="1777"/>
      <c r="H214" s="1798"/>
      <c r="I214" s="1945"/>
      <c r="J214" s="1945">
        <v>0</v>
      </c>
      <c r="K214" s="1966"/>
      <c r="L214" s="1966"/>
      <c r="M214" s="1966"/>
      <c r="N214" s="1966"/>
      <c r="O214" s="1947">
        <f>IFERROR(N214/J214*10,0)</f>
        <v>0</v>
      </c>
      <c r="P214" s="1948"/>
      <c r="Q214" s="1782"/>
      <c r="S214" s="1782"/>
    </row>
    <row r="215" spans="1:143">
      <c r="A215" s="1065"/>
      <c r="B215" s="1798" t="s">
        <v>126</v>
      </c>
      <c r="C215" s="1960"/>
      <c r="D215" s="1950"/>
      <c r="E215" s="1960"/>
      <c r="F215" s="1960"/>
      <c r="G215" s="1951"/>
      <c r="H215" s="1960"/>
      <c r="I215" s="1937"/>
      <c r="J215" s="1937">
        <f>SUM(J168,J178,J187,J197,J173,J200)</f>
        <v>126526.8893825499</v>
      </c>
      <c r="K215" s="1937">
        <f>SUM(K168,K178,K187,K197,K205:K214,K173,K200)</f>
        <v>32924.200910750129</v>
      </c>
      <c r="L215" s="1937">
        <f>SUM(L168,L178,L187,L197,L173,L200)</f>
        <v>31370.0483451734</v>
      </c>
      <c r="M215" s="1937">
        <f>SUM(M168,M178,M187,M197)</f>
        <v>0</v>
      </c>
      <c r="N215" s="1937">
        <f>SUM(N168,N178,N187,N197,N205:N214,N173,N200)</f>
        <v>64294.249255923525</v>
      </c>
      <c r="O215" s="1969">
        <f>IFERROR(N215/J215*10,0)</f>
        <v>5.0814692094051228</v>
      </c>
      <c r="P215" s="1948"/>
      <c r="Q215" s="1782"/>
      <c r="S215" s="1782"/>
      <c r="T215" s="1912"/>
      <c r="U215" s="1912"/>
      <c r="V215" s="1912"/>
      <c r="W215" s="1912"/>
      <c r="X215" s="1912"/>
      <c r="Y215" s="1912"/>
      <c r="Z215" s="1912"/>
      <c r="AA215" s="1912"/>
      <c r="AB215" s="1912"/>
      <c r="AC215" s="1912"/>
      <c r="AD215" s="1912"/>
      <c r="AE215" s="1912"/>
      <c r="AF215" s="1912"/>
      <c r="AG215" s="1912"/>
      <c r="AH215" s="1912"/>
      <c r="AI215" s="1912"/>
      <c r="AJ215" s="1912"/>
      <c r="AK215" s="1912"/>
      <c r="AL215" s="1912"/>
      <c r="AM215" s="1912"/>
      <c r="AN215" s="1912"/>
      <c r="AO215" s="1912"/>
      <c r="AP215" s="1912"/>
      <c r="AQ215" s="1912"/>
      <c r="AR215" s="1912"/>
      <c r="AS215" s="1912"/>
      <c r="AT215" s="1912"/>
      <c r="AU215" s="1912"/>
      <c r="AV215" s="1912"/>
      <c r="AW215" s="1912"/>
      <c r="AX215" s="1912"/>
      <c r="AY215" s="1912"/>
      <c r="AZ215" s="1912"/>
      <c r="BA215" s="1912"/>
      <c r="BB215" s="1912"/>
      <c r="BC215" s="1912"/>
      <c r="BD215" s="1912"/>
      <c r="BE215" s="1912"/>
      <c r="BF215" s="1912"/>
      <c r="BG215" s="1913"/>
      <c r="BH215" s="1913"/>
      <c r="BI215" s="1913"/>
      <c r="BJ215" s="1913"/>
      <c r="BK215" s="1913"/>
      <c r="BL215" s="1913"/>
      <c r="BM215" s="1913"/>
      <c r="BN215" s="1913"/>
      <c r="BO215" s="1913"/>
      <c r="BP215" s="1913"/>
      <c r="BQ215" s="1913"/>
      <c r="BR215" s="1913"/>
      <c r="BS215" s="1913"/>
      <c r="BT215" s="1913"/>
      <c r="BU215" s="1913"/>
      <c r="BV215" s="1913"/>
      <c r="BW215" s="1913"/>
      <c r="BX215" s="1913"/>
      <c r="BY215" s="1913"/>
      <c r="BZ215" s="1913"/>
      <c r="CA215" s="1913"/>
      <c r="CB215" s="1913"/>
      <c r="CC215" s="1913"/>
      <c r="CD215" s="1913"/>
      <c r="CE215" s="1913"/>
      <c r="CF215" s="1913"/>
      <c r="CG215" s="1913"/>
      <c r="CH215" s="1913"/>
      <c r="CI215" s="1913"/>
      <c r="CJ215" s="1913"/>
      <c r="CK215" s="1913"/>
      <c r="CL215" s="1913"/>
      <c r="CM215" s="1913"/>
      <c r="CN215" s="1913"/>
      <c r="CO215" s="1913"/>
      <c r="CP215" s="1913"/>
      <c r="CQ215" s="1913"/>
      <c r="CR215" s="1913"/>
      <c r="CS215" s="1913"/>
      <c r="CT215" s="1913"/>
      <c r="CU215" s="1913"/>
      <c r="CV215" s="1913"/>
      <c r="CW215" s="1913"/>
      <c r="CX215" s="1913"/>
      <c r="CY215" s="1913"/>
      <c r="CZ215" s="1913"/>
      <c r="DA215" s="1913"/>
      <c r="DB215" s="1913"/>
      <c r="DC215" s="1913"/>
      <c r="DD215" s="1913"/>
      <c r="DE215" s="1913"/>
      <c r="DF215" s="1913"/>
      <c r="DG215" s="1913"/>
      <c r="DH215" s="1913"/>
      <c r="DI215" s="1913"/>
      <c r="DJ215" s="1913"/>
      <c r="DK215" s="1913"/>
      <c r="DL215" s="1913"/>
      <c r="DM215" s="1913"/>
      <c r="DN215" s="1913"/>
      <c r="DO215" s="1913"/>
      <c r="DP215" s="1913"/>
      <c r="DQ215" s="1913"/>
      <c r="DR215" s="1913"/>
      <c r="DS215" s="1913"/>
      <c r="DT215" s="1913"/>
      <c r="DU215" s="1913"/>
      <c r="DV215" s="1913"/>
      <c r="DW215" s="1913"/>
      <c r="DX215" s="1913"/>
      <c r="DY215" s="1913"/>
      <c r="DZ215" s="1913"/>
      <c r="EA215" s="1913"/>
      <c r="EB215" s="1913"/>
      <c r="EC215" s="1913"/>
      <c r="ED215" s="1913"/>
      <c r="EE215" s="1913"/>
      <c r="EF215" s="1913"/>
      <c r="EG215" s="1913"/>
      <c r="EH215" s="1913"/>
      <c r="EI215" s="1913"/>
      <c r="EJ215" s="1913"/>
      <c r="EK215" s="1913"/>
      <c r="EL215" s="1913"/>
      <c r="EM215" s="1914"/>
    </row>
    <row r="216" spans="1:143">
      <c r="A216" s="1065"/>
      <c r="B216" s="1798"/>
      <c r="C216" s="1798"/>
      <c r="D216" s="1949"/>
      <c r="E216" s="1798"/>
      <c r="F216" s="1798"/>
      <c r="G216" s="1777"/>
      <c r="H216" s="1798"/>
      <c r="I216" s="1945"/>
      <c r="J216" s="1945"/>
      <c r="K216" s="1966"/>
      <c r="L216" s="1966"/>
      <c r="M216" s="1966"/>
      <c r="N216" s="1966"/>
      <c r="O216" s="1970"/>
      <c r="Q216" s="1782"/>
      <c r="R216" s="1912">
        <v>3014</v>
      </c>
      <c r="S216" s="1971">
        <f>R216/K215</f>
        <v>9.1543603690496689E-2</v>
      </c>
      <c r="T216" s="1912"/>
      <c r="U216" s="1912"/>
      <c r="V216" s="1912"/>
      <c r="W216" s="1912"/>
      <c r="X216" s="1912"/>
      <c r="Y216" s="1912"/>
      <c r="Z216" s="1912"/>
      <c r="AA216" s="1912"/>
      <c r="AB216" s="1912"/>
      <c r="AC216" s="1912"/>
      <c r="AD216" s="1912"/>
      <c r="AE216" s="1912"/>
      <c r="AF216" s="1912"/>
      <c r="AG216" s="1912"/>
      <c r="AH216" s="1912"/>
      <c r="AI216" s="1912"/>
      <c r="AJ216" s="1912"/>
      <c r="AK216" s="1912"/>
      <c r="AL216" s="1912"/>
      <c r="AM216" s="1912"/>
      <c r="AN216" s="1912"/>
      <c r="AO216" s="1912"/>
      <c r="AP216" s="1912"/>
      <c r="AQ216" s="1912"/>
      <c r="AR216" s="1912"/>
      <c r="AS216" s="1912"/>
      <c r="AT216" s="1912"/>
      <c r="AU216" s="1912"/>
      <c r="AV216" s="1912"/>
      <c r="AW216" s="1912"/>
      <c r="AX216" s="1912"/>
      <c r="AY216" s="1912"/>
      <c r="AZ216" s="1912"/>
      <c r="BA216" s="1912"/>
      <c r="BB216" s="1912"/>
      <c r="BC216" s="1912"/>
      <c r="BD216" s="1912"/>
      <c r="BE216" s="1912"/>
      <c r="BF216" s="1912"/>
      <c r="BG216" s="1913"/>
      <c r="BH216" s="1913"/>
      <c r="BI216" s="1913"/>
      <c r="BJ216" s="1913"/>
      <c r="BK216" s="1913"/>
      <c r="BL216" s="1913"/>
      <c r="BM216" s="1913"/>
      <c r="BN216" s="1913"/>
      <c r="BO216" s="1913"/>
      <c r="BP216" s="1913"/>
      <c r="BQ216" s="1913"/>
      <c r="BR216" s="1913"/>
      <c r="BS216" s="1913"/>
      <c r="BT216" s="1913"/>
      <c r="BU216" s="1913"/>
      <c r="BV216" s="1913"/>
      <c r="BW216" s="1913"/>
      <c r="BX216" s="1913"/>
      <c r="BY216" s="1913"/>
      <c r="BZ216" s="1913"/>
      <c r="CA216" s="1913"/>
      <c r="CB216" s="1913"/>
      <c r="CC216" s="1913"/>
      <c r="CD216" s="1913"/>
      <c r="CE216" s="1913"/>
      <c r="CF216" s="1913"/>
      <c r="CG216" s="1913"/>
      <c r="CH216" s="1913"/>
      <c r="CI216" s="1913"/>
      <c r="CJ216" s="1913"/>
      <c r="CK216" s="1913"/>
      <c r="CL216" s="1913"/>
      <c r="CM216" s="1913"/>
      <c r="CN216" s="1913"/>
      <c r="CO216" s="1913"/>
      <c r="CP216" s="1913"/>
      <c r="CQ216" s="1913"/>
      <c r="CR216" s="1913"/>
      <c r="CS216" s="1913"/>
      <c r="CT216" s="1913"/>
      <c r="CU216" s="1913"/>
      <c r="CV216" s="1913"/>
      <c r="CW216" s="1913"/>
      <c r="CX216" s="1913"/>
      <c r="CY216" s="1913"/>
      <c r="CZ216" s="1913"/>
      <c r="DA216" s="1913"/>
      <c r="DB216" s="1913"/>
      <c r="DC216" s="1913"/>
      <c r="DD216" s="1913"/>
      <c r="DE216" s="1913"/>
      <c r="DF216" s="1913"/>
      <c r="DG216" s="1913"/>
      <c r="DH216" s="1913"/>
      <c r="DI216" s="1913"/>
      <c r="DJ216" s="1913"/>
      <c r="DK216" s="1913"/>
      <c r="DL216" s="1913"/>
      <c r="DM216" s="1913"/>
      <c r="DN216" s="1913"/>
      <c r="DO216" s="1913"/>
      <c r="DP216" s="1913"/>
      <c r="DQ216" s="1913"/>
      <c r="DR216" s="1913"/>
      <c r="DS216" s="1913"/>
      <c r="DT216" s="1913"/>
      <c r="DU216" s="1913"/>
      <c r="DV216" s="1913"/>
      <c r="DW216" s="1913"/>
      <c r="DX216" s="1913"/>
      <c r="DY216" s="1913"/>
      <c r="DZ216" s="1913"/>
      <c r="EA216" s="1913"/>
      <c r="EB216" s="1913"/>
      <c r="EC216" s="1913"/>
      <c r="ED216" s="1913"/>
      <c r="EE216" s="1913"/>
      <c r="EF216" s="1913"/>
      <c r="EG216" s="1913"/>
      <c r="EH216" s="1913"/>
      <c r="EI216" s="1913"/>
      <c r="EJ216" s="1913"/>
      <c r="EK216" s="1915"/>
      <c r="EL216" s="1915"/>
      <c r="EM216" s="1915"/>
    </row>
    <row r="217" spans="1:143">
      <c r="A217" s="1065"/>
      <c r="B217" s="1798"/>
      <c r="C217" s="1798"/>
      <c r="D217" s="1949"/>
      <c r="E217" s="1798"/>
      <c r="F217" s="1798"/>
      <c r="G217" s="1777"/>
      <c r="H217" s="1798"/>
      <c r="I217" s="1945"/>
      <c r="J217" s="1945"/>
      <c r="K217" s="1945"/>
      <c r="L217" s="1945"/>
      <c r="M217" s="1945"/>
      <c r="N217" s="1945"/>
      <c r="O217" s="1970"/>
      <c r="P217" s="1912"/>
      <c r="Q217" s="1912"/>
      <c r="R217" s="1971">
        <f>R216/N215</f>
        <v>4.6878220601079899E-2</v>
      </c>
      <c r="S217" s="1912"/>
      <c r="T217" s="1912"/>
      <c r="U217" s="1912"/>
      <c r="V217" s="1912"/>
      <c r="W217" s="1912"/>
      <c r="X217" s="1912"/>
      <c r="Y217" s="1912"/>
      <c r="Z217" s="1912"/>
      <c r="AA217" s="1912"/>
      <c r="AB217" s="1912"/>
      <c r="AC217" s="1912"/>
      <c r="AD217" s="1912"/>
      <c r="AE217" s="1912"/>
      <c r="AF217" s="1912"/>
      <c r="AG217" s="1912"/>
      <c r="AH217" s="1912"/>
      <c r="AI217" s="1912"/>
      <c r="AJ217" s="1912"/>
      <c r="AK217" s="1912"/>
      <c r="AL217" s="1912"/>
      <c r="AM217" s="1912"/>
      <c r="AN217" s="1912"/>
      <c r="AO217" s="1912"/>
      <c r="AP217" s="1912"/>
      <c r="AQ217" s="1912"/>
      <c r="AR217" s="1912"/>
      <c r="AS217" s="1912"/>
      <c r="AT217" s="1912"/>
      <c r="AU217" s="1912"/>
      <c r="AV217" s="1912"/>
      <c r="AW217" s="1912"/>
      <c r="AX217" s="1912"/>
      <c r="AY217" s="1912"/>
      <c r="AZ217" s="1912"/>
      <c r="BA217" s="1912"/>
      <c r="BB217" s="1912"/>
      <c r="BC217" s="1912"/>
      <c r="BD217" s="1912"/>
      <c r="BE217" s="1912"/>
      <c r="BF217" s="1912"/>
      <c r="BG217" s="1913"/>
      <c r="BH217" s="1913"/>
      <c r="BI217" s="1913"/>
      <c r="BJ217" s="1913"/>
      <c r="BK217" s="1913"/>
      <c r="BL217" s="1913"/>
      <c r="BM217" s="1913"/>
      <c r="BN217" s="1913"/>
      <c r="BO217" s="1913"/>
      <c r="BP217" s="1913"/>
      <c r="BQ217" s="1913"/>
      <c r="BR217" s="1913"/>
      <c r="BS217" s="1913"/>
      <c r="BT217" s="1913"/>
      <c r="BU217" s="1913"/>
      <c r="BV217" s="1913"/>
      <c r="BW217" s="1913"/>
      <c r="BX217" s="1913"/>
      <c r="BY217" s="1913"/>
      <c r="BZ217" s="1913"/>
      <c r="CA217" s="1913"/>
      <c r="CB217" s="1913"/>
      <c r="CC217" s="1913"/>
      <c r="CD217" s="1913"/>
      <c r="CE217" s="1913"/>
      <c r="CF217" s="1913"/>
      <c r="CG217" s="1913"/>
      <c r="CH217" s="1913"/>
      <c r="CI217" s="1913"/>
      <c r="CJ217" s="1913"/>
      <c r="CK217" s="1913"/>
      <c r="CL217" s="1913"/>
      <c r="CM217" s="1913"/>
      <c r="CN217" s="1913"/>
      <c r="CO217" s="1913"/>
      <c r="CP217" s="1913"/>
      <c r="CQ217" s="1913"/>
      <c r="CR217" s="1913"/>
      <c r="CS217" s="1913"/>
      <c r="CT217" s="1913"/>
      <c r="CU217" s="1913"/>
      <c r="CV217" s="1913"/>
      <c r="CW217" s="1913"/>
      <c r="CX217" s="1913"/>
      <c r="CY217" s="1913"/>
      <c r="CZ217" s="1913"/>
      <c r="DA217" s="1913"/>
      <c r="DB217" s="1913"/>
      <c r="DC217" s="1913"/>
      <c r="DD217" s="1913"/>
      <c r="DE217" s="1913"/>
      <c r="DF217" s="1913"/>
      <c r="DG217" s="1913"/>
      <c r="DH217" s="1913"/>
      <c r="DI217" s="1913"/>
      <c r="DJ217" s="1913"/>
      <c r="DK217" s="1913"/>
      <c r="DL217" s="1913"/>
      <c r="DM217" s="1913"/>
      <c r="DN217" s="1913"/>
      <c r="DO217" s="1913"/>
      <c r="DP217" s="1913"/>
      <c r="DQ217" s="1913"/>
      <c r="DR217" s="1913"/>
      <c r="DS217" s="1913"/>
      <c r="DT217" s="1913"/>
      <c r="DU217" s="1913"/>
      <c r="DV217" s="1913"/>
      <c r="DW217" s="1913"/>
      <c r="DX217" s="1913"/>
      <c r="DY217" s="1913"/>
      <c r="DZ217" s="1913"/>
      <c r="EA217" s="1913"/>
      <c r="EB217" s="1913"/>
      <c r="EC217" s="1913"/>
      <c r="ED217" s="1913"/>
      <c r="EE217" s="1913"/>
      <c r="EF217" s="1913"/>
      <c r="EG217" s="1913"/>
      <c r="EH217" s="1913"/>
      <c r="EI217" s="1913"/>
      <c r="EJ217" s="1913"/>
      <c r="EK217" s="1915"/>
      <c r="EL217" s="1915"/>
      <c r="EM217" s="1915"/>
    </row>
    <row r="218" spans="1:143">
      <c r="B218" s="3169" t="s">
        <v>1824</v>
      </c>
      <c r="C218" s="3170"/>
      <c r="D218" s="3170"/>
      <c r="E218" s="3170"/>
      <c r="F218" s="3170"/>
      <c r="G218" s="3170"/>
      <c r="H218" s="3170"/>
      <c r="I218" s="3171"/>
      <c r="J218" s="1972"/>
      <c r="Q218" s="1908"/>
      <c r="R218" s="1908"/>
      <c r="S218" s="1908"/>
      <c r="T218" s="1908"/>
      <c r="U218" s="1908"/>
      <c r="V218" s="1908"/>
      <c r="W218" s="1908"/>
      <c r="X218" s="1908"/>
      <c r="Y218" s="1908"/>
      <c r="Z218" s="1908"/>
      <c r="AA218" s="1908"/>
      <c r="AB218" s="1908"/>
      <c r="AC218" s="1908"/>
      <c r="AD218" s="1908"/>
      <c r="AE218" s="1908"/>
      <c r="AF218" s="1908"/>
      <c r="AG218" s="1908"/>
      <c r="AH218" s="1908"/>
      <c r="AI218" s="1908"/>
      <c r="AJ218" s="1908"/>
      <c r="AK218" s="1908"/>
      <c r="AL218" s="1908"/>
      <c r="AM218" s="1908"/>
      <c r="AN218" s="1908"/>
      <c r="AO218" s="1908"/>
      <c r="AP218" s="1908"/>
      <c r="AQ218" s="1908"/>
      <c r="AR218" s="1908"/>
      <c r="AS218" s="1908"/>
      <c r="AT218" s="1908"/>
      <c r="AU218" s="1908"/>
      <c r="AV218" s="1908"/>
      <c r="AW218" s="1908"/>
      <c r="AX218" s="1908"/>
      <c r="AY218" s="1908"/>
      <c r="AZ218" s="1908"/>
      <c r="BA218" s="1908"/>
      <c r="BB218" s="1908"/>
      <c r="BC218" s="1908"/>
      <c r="BD218" s="1908"/>
      <c r="BE218" s="1908"/>
      <c r="BF218" s="1908"/>
    </row>
    <row r="219" spans="1:143">
      <c r="B219" s="3169" t="s">
        <v>1825</v>
      </c>
      <c r="C219" s="3170"/>
      <c r="D219" s="3170"/>
      <c r="E219" s="3170"/>
      <c r="F219" s="3170"/>
      <c r="G219" s="3170"/>
      <c r="H219" s="3170"/>
      <c r="I219" s="3171"/>
      <c r="J219" s="1972"/>
      <c r="Q219" s="1908"/>
      <c r="R219" s="1908"/>
      <c r="S219" s="1908"/>
      <c r="T219" s="1908"/>
      <c r="U219" s="1908"/>
      <c r="V219" s="1908"/>
      <c r="W219" s="1908"/>
      <c r="X219" s="1908"/>
      <c r="Y219" s="1908"/>
      <c r="Z219" s="1908"/>
      <c r="AA219" s="1908"/>
      <c r="AB219" s="1908"/>
      <c r="AC219" s="1908"/>
      <c r="AD219" s="1908"/>
      <c r="AE219" s="1908"/>
      <c r="AF219" s="1908"/>
      <c r="AG219" s="1908"/>
      <c r="AH219" s="1908"/>
      <c r="AI219" s="1908"/>
      <c r="AJ219" s="1908"/>
      <c r="AK219" s="1908"/>
      <c r="AL219" s="1908"/>
      <c r="AM219" s="1908"/>
      <c r="AN219" s="1908"/>
      <c r="AO219" s="1908"/>
      <c r="AP219" s="1908"/>
      <c r="AQ219" s="1908"/>
      <c r="AR219" s="1908"/>
      <c r="AS219" s="1908"/>
      <c r="AT219" s="1908"/>
      <c r="AU219" s="1908"/>
      <c r="AV219" s="1908"/>
      <c r="AW219" s="1908"/>
      <c r="AX219" s="1908"/>
      <c r="AY219" s="1908"/>
      <c r="AZ219" s="1908"/>
      <c r="BA219" s="1908"/>
      <c r="BB219" s="1908"/>
      <c r="BC219" s="1908"/>
      <c r="BD219" s="1908"/>
      <c r="BE219" s="1908"/>
      <c r="BF219" s="1908"/>
    </row>
    <row r="220" spans="1:143">
      <c r="B220" s="3169" t="s">
        <v>1826</v>
      </c>
      <c r="C220" s="3170"/>
      <c r="D220" s="3170"/>
      <c r="E220" s="3170"/>
      <c r="F220" s="3170"/>
      <c r="G220" s="3170"/>
      <c r="H220" s="3170"/>
      <c r="I220" s="3171"/>
      <c r="J220" s="1972"/>
      <c r="Q220" s="1908"/>
      <c r="R220" s="1908"/>
      <c r="S220" s="1908"/>
      <c r="T220" s="1908"/>
      <c r="U220" s="1908"/>
      <c r="V220" s="1908"/>
      <c r="W220" s="1908"/>
      <c r="X220" s="1908"/>
      <c r="Y220" s="1908"/>
      <c r="Z220" s="1908"/>
      <c r="AA220" s="1908"/>
      <c r="AB220" s="1908"/>
      <c r="AC220" s="1908"/>
      <c r="AD220" s="1908"/>
      <c r="AE220" s="1908"/>
      <c r="AF220" s="1908"/>
      <c r="AG220" s="1908"/>
      <c r="AH220" s="1908"/>
      <c r="AI220" s="1908"/>
      <c r="AJ220" s="1908"/>
      <c r="AK220" s="1908"/>
      <c r="AL220" s="1908"/>
      <c r="AM220" s="1908"/>
      <c r="AN220" s="1908"/>
      <c r="AO220" s="1908"/>
      <c r="AP220" s="1908"/>
      <c r="AQ220" s="1908"/>
      <c r="AR220" s="1908"/>
      <c r="AS220" s="1908"/>
      <c r="AT220" s="1908"/>
      <c r="AU220" s="1908"/>
      <c r="AV220" s="1908"/>
      <c r="AW220" s="1908"/>
      <c r="AX220" s="1908"/>
      <c r="AY220" s="1908"/>
      <c r="AZ220" s="1908"/>
      <c r="BA220" s="1908"/>
      <c r="BB220" s="1908"/>
      <c r="BC220" s="1908"/>
      <c r="BD220" s="1908"/>
      <c r="BE220" s="1908"/>
      <c r="BF220" s="1908"/>
    </row>
    <row r="221" spans="1:143">
      <c r="B221" s="3169" t="s">
        <v>1827</v>
      </c>
      <c r="C221" s="3170"/>
      <c r="D221" s="3170"/>
      <c r="E221" s="3170"/>
      <c r="F221" s="3170"/>
      <c r="G221" s="3170"/>
      <c r="H221" s="3170"/>
      <c r="I221" s="3171"/>
      <c r="J221" s="1972"/>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8"/>
      <c r="BE221" s="1908"/>
      <c r="BF221" s="1908"/>
    </row>
    <row r="222" spans="1:143">
      <c r="B222" s="3172" t="s">
        <v>1828</v>
      </c>
      <c r="C222" s="3173"/>
      <c r="D222" s="3173"/>
      <c r="E222" s="3173"/>
      <c r="F222" s="3173"/>
      <c r="G222" s="3173"/>
      <c r="H222" s="3173"/>
      <c r="I222" s="3174"/>
      <c r="J222" s="1972"/>
    </row>
    <row r="223" spans="1:143">
      <c r="B223" s="1973" t="s">
        <v>2053</v>
      </c>
      <c r="C223" s="1974"/>
      <c r="D223" s="1975"/>
      <c r="E223" s="1974"/>
      <c r="F223" s="1974"/>
      <c r="G223" s="1974"/>
      <c r="H223" s="1974"/>
      <c r="I223" s="1974"/>
      <c r="J223" s="1974"/>
      <c r="K223" s="1974"/>
      <c r="L223" s="1974"/>
      <c r="M223" s="1974"/>
      <c r="N223" s="1974"/>
      <c r="O223" s="1974"/>
    </row>
    <row r="224" spans="1:143">
      <c r="B224" s="1976" t="s">
        <v>2054</v>
      </c>
      <c r="C224" s="1913"/>
      <c r="D224" s="1977"/>
      <c r="E224" s="1913"/>
      <c r="F224" s="1913"/>
      <c r="G224" s="1913"/>
      <c r="H224" s="1913"/>
      <c r="I224" s="1913"/>
      <c r="J224" s="1913"/>
      <c r="K224" s="1913"/>
      <c r="L224" s="1913"/>
      <c r="M224" s="1913"/>
      <c r="N224" s="1913"/>
      <c r="O224" s="1913"/>
    </row>
    <row r="225" spans="2:15">
      <c r="B225" s="1976" t="s">
        <v>2055</v>
      </c>
      <c r="C225" s="1913"/>
      <c r="D225" s="1977"/>
      <c r="E225" s="1913"/>
      <c r="F225" s="1913"/>
      <c r="G225" s="1913"/>
      <c r="H225" s="1913"/>
      <c r="I225" s="1913"/>
      <c r="J225" s="1913"/>
      <c r="K225" s="1913"/>
      <c r="L225" s="1913"/>
      <c r="M225" s="1913"/>
      <c r="N225" s="1913"/>
      <c r="O225" s="1913"/>
    </row>
  </sheetData>
  <mergeCells count="10">
    <mergeCell ref="B219:I219"/>
    <mergeCell ref="B220:I220"/>
    <mergeCell ref="B221:I221"/>
    <mergeCell ref="B222:I222"/>
    <mergeCell ref="A1:B1"/>
    <mergeCell ref="A2:O2"/>
    <mergeCell ref="A5:A8"/>
    <mergeCell ref="B5:B8"/>
    <mergeCell ref="H5:N6"/>
    <mergeCell ref="B218:I218"/>
  </mergeCells>
  <printOptions horizontalCentered="1" verticalCentered="1"/>
  <pageMargins left="0.23622047244094491" right="0.23622047244094491" top="0.74803149606299213" bottom="0.74803149606299213" header="0.31496062992125984" footer="0.31496062992125984"/>
  <pageSetup paperSize="9" scale="64" fitToWidth="5" fitToHeight="5" orientation="landscape" r:id="rId1"/>
  <headerFooter>
    <oddFooter>&amp;R&amp;P</oddFooter>
  </headerFooter>
  <colBreaks count="1" manualBreakCount="1">
    <brk id="15"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82"/>
  <sheetViews>
    <sheetView view="pageBreakPreview" topLeftCell="A4" zoomScale="71" zoomScaleNormal="100" zoomScaleSheetLayoutView="85" workbookViewId="0">
      <selection activeCell="C105" sqref="C105"/>
    </sheetView>
  </sheetViews>
  <sheetFormatPr defaultRowHeight="14.5"/>
  <cols>
    <col min="1" max="1" width="8" style="2810" customWidth="1"/>
    <col min="2" max="2" width="19.26953125" style="2810" customWidth="1"/>
    <col min="3" max="3" width="73.7265625" style="67" customWidth="1"/>
    <col min="4" max="14" width="8.7265625" style="2810" customWidth="1"/>
    <col min="15" max="231" width="9.1796875" style="2810"/>
    <col min="232" max="232" width="3.26953125" style="2810" customWidth="1"/>
    <col min="233" max="233" width="36" style="2810" customWidth="1"/>
    <col min="234" max="234" width="8.26953125" style="2810" customWidth="1"/>
    <col min="235" max="235" width="12.7265625" style="2810" customWidth="1"/>
    <col min="236" max="236" width="5.7265625" style="2810" customWidth="1"/>
    <col min="237" max="237" width="7.453125" style="2810" customWidth="1"/>
    <col min="238" max="238" width="7.26953125" style="2810" customWidth="1"/>
    <col min="239" max="239" width="6.7265625" style="2810" customWidth="1"/>
    <col min="240" max="240" width="6" style="2810" customWidth="1"/>
    <col min="241" max="241" width="6.54296875" style="2810" customWidth="1"/>
    <col min="242" max="242" width="5" style="2810" customWidth="1"/>
    <col min="243" max="243" width="6" style="2810" customWidth="1"/>
    <col min="244" max="244" width="6.54296875" style="2810" customWidth="1"/>
    <col min="245" max="245" width="5" style="2810" customWidth="1"/>
    <col min="246" max="246" width="6.7265625" style="2810" customWidth="1"/>
    <col min="247" max="487" width="9.1796875" style="2810"/>
    <col min="488" max="488" width="3.26953125" style="2810" customWidth="1"/>
    <col min="489" max="489" width="36" style="2810" customWidth="1"/>
    <col min="490" max="490" width="8.26953125" style="2810" customWidth="1"/>
    <col min="491" max="491" width="12.7265625" style="2810" customWidth="1"/>
    <col min="492" max="492" width="5.7265625" style="2810" customWidth="1"/>
    <col min="493" max="493" width="7.453125" style="2810" customWidth="1"/>
    <col min="494" max="494" width="7.26953125" style="2810" customWidth="1"/>
    <col min="495" max="495" width="6.7265625" style="2810" customWidth="1"/>
    <col min="496" max="496" width="6" style="2810" customWidth="1"/>
    <col min="497" max="497" width="6.54296875" style="2810" customWidth="1"/>
    <col min="498" max="498" width="5" style="2810" customWidth="1"/>
    <col min="499" max="499" width="6" style="2810" customWidth="1"/>
    <col min="500" max="500" width="6.54296875" style="2810" customWidth="1"/>
    <col min="501" max="501" width="5" style="2810" customWidth="1"/>
    <col min="502" max="502" width="6.7265625" style="2810" customWidth="1"/>
    <col min="503" max="743" width="9.1796875" style="2810"/>
    <col min="744" max="744" width="3.26953125" style="2810" customWidth="1"/>
    <col min="745" max="745" width="36" style="2810" customWidth="1"/>
    <col min="746" max="746" width="8.26953125" style="2810" customWidth="1"/>
    <col min="747" max="747" width="12.7265625" style="2810" customWidth="1"/>
    <col min="748" max="748" width="5.7265625" style="2810" customWidth="1"/>
    <col min="749" max="749" width="7.453125" style="2810" customWidth="1"/>
    <col min="750" max="750" width="7.26953125" style="2810" customWidth="1"/>
    <col min="751" max="751" width="6.7265625" style="2810" customWidth="1"/>
    <col min="752" max="752" width="6" style="2810" customWidth="1"/>
    <col min="753" max="753" width="6.54296875" style="2810" customWidth="1"/>
    <col min="754" max="754" width="5" style="2810" customWidth="1"/>
    <col min="755" max="755" width="6" style="2810" customWidth="1"/>
    <col min="756" max="756" width="6.54296875" style="2810" customWidth="1"/>
    <col min="757" max="757" width="5" style="2810" customWidth="1"/>
    <col min="758" max="758" width="6.7265625" style="2810" customWidth="1"/>
    <col min="759" max="999" width="9.1796875" style="2810"/>
    <col min="1000" max="1000" width="3.26953125" style="2810" customWidth="1"/>
    <col min="1001" max="1001" width="36" style="2810" customWidth="1"/>
    <col min="1002" max="1002" width="8.26953125" style="2810" customWidth="1"/>
    <col min="1003" max="1003" width="12.7265625" style="2810" customWidth="1"/>
    <col min="1004" max="1004" width="5.7265625" style="2810" customWidth="1"/>
    <col min="1005" max="1005" width="7.453125" style="2810" customWidth="1"/>
    <col min="1006" max="1006" width="7.26953125" style="2810" customWidth="1"/>
    <col min="1007" max="1007" width="6.7265625" style="2810" customWidth="1"/>
    <col min="1008" max="1008" width="6" style="2810" customWidth="1"/>
    <col min="1009" max="1009" width="6.54296875" style="2810" customWidth="1"/>
    <col min="1010" max="1010" width="5" style="2810" customWidth="1"/>
    <col min="1011" max="1011" width="6" style="2810" customWidth="1"/>
    <col min="1012" max="1012" width="6.54296875" style="2810" customWidth="1"/>
    <col min="1013" max="1013" width="5" style="2810" customWidth="1"/>
    <col min="1014" max="1014" width="6.7265625" style="2810" customWidth="1"/>
    <col min="1015" max="1255" width="9.1796875" style="2810"/>
    <col min="1256" max="1256" width="3.26953125" style="2810" customWidth="1"/>
    <col min="1257" max="1257" width="36" style="2810" customWidth="1"/>
    <col min="1258" max="1258" width="8.26953125" style="2810" customWidth="1"/>
    <col min="1259" max="1259" width="12.7265625" style="2810" customWidth="1"/>
    <col min="1260" max="1260" width="5.7265625" style="2810" customWidth="1"/>
    <col min="1261" max="1261" width="7.453125" style="2810" customWidth="1"/>
    <col min="1262" max="1262" width="7.26953125" style="2810" customWidth="1"/>
    <col min="1263" max="1263" width="6.7265625" style="2810" customWidth="1"/>
    <col min="1264" max="1264" width="6" style="2810" customWidth="1"/>
    <col min="1265" max="1265" width="6.54296875" style="2810" customWidth="1"/>
    <col min="1266" max="1266" width="5" style="2810" customWidth="1"/>
    <col min="1267" max="1267" width="6" style="2810" customWidth="1"/>
    <col min="1268" max="1268" width="6.54296875" style="2810" customWidth="1"/>
    <col min="1269" max="1269" width="5" style="2810" customWidth="1"/>
    <col min="1270" max="1270" width="6.7265625" style="2810" customWidth="1"/>
    <col min="1271" max="1511" width="9.1796875" style="2810"/>
    <col min="1512" max="1512" width="3.26953125" style="2810" customWidth="1"/>
    <col min="1513" max="1513" width="36" style="2810" customWidth="1"/>
    <col min="1514" max="1514" width="8.26953125" style="2810" customWidth="1"/>
    <col min="1515" max="1515" width="12.7265625" style="2810" customWidth="1"/>
    <col min="1516" max="1516" width="5.7265625" style="2810" customWidth="1"/>
    <col min="1517" max="1517" width="7.453125" style="2810" customWidth="1"/>
    <col min="1518" max="1518" width="7.26953125" style="2810" customWidth="1"/>
    <col min="1519" max="1519" width="6.7265625" style="2810" customWidth="1"/>
    <col min="1520" max="1520" width="6" style="2810" customWidth="1"/>
    <col min="1521" max="1521" width="6.54296875" style="2810" customWidth="1"/>
    <col min="1522" max="1522" width="5" style="2810" customWidth="1"/>
    <col min="1523" max="1523" width="6" style="2810" customWidth="1"/>
    <col min="1524" max="1524" width="6.54296875" style="2810" customWidth="1"/>
    <col min="1525" max="1525" width="5" style="2810" customWidth="1"/>
    <col min="1526" max="1526" width="6.7265625" style="2810" customWidth="1"/>
    <col min="1527" max="1767" width="9.1796875" style="2810"/>
    <col min="1768" max="1768" width="3.26953125" style="2810" customWidth="1"/>
    <col min="1769" max="1769" width="36" style="2810" customWidth="1"/>
    <col min="1770" max="1770" width="8.26953125" style="2810" customWidth="1"/>
    <col min="1771" max="1771" width="12.7265625" style="2810" customWidth="1"/>
    <col min="1772" max="1772" width="5.7265625" style="2810" customWidth="1"/>
    <col min="1773" max="1773" width="7.453125" style="2810" customWidth="1"/>
    <col min="1774" max="1774" width="7.26953125" style="2810" customWidth="1"/>
    <col min="1775" max="1775" width="6.7265625" style="2810" customWidth="1"/>
    <col min="1776" max="1776" width="6" style="2810" customWidth="1"/>
    <col min="1777" max="1777" width="6.54296875" style="2810" customWidth="1"/>
    <col min="1778" max="1778" width="5" style="2810" customWidth="1"/>
    <col min="1779" max="1779" width="6" style="2810" customWidth="1"/>
    <col min="1780" max="1780" width="6.54296875" style="2810" customWidth="1"/>
    <col min="1781" max="1781" width="5" style="2810" customWidth="1"/>
    <col min="1782" max="1782" width="6.7265625" style="2810" customWidth="1"/>
    <col min="1783" max="2023" width="9.1796875" style="2810"/>
    <col min="2024" max="2024" width="3.26953125" style="2810" customWidth="1"/>
    <col min="2025" max="2025" width="36" style="2810" customWidth="1"/>
    <col min="2026" max="2026" width="8.26953125" style="2810" customWidth="1"/>
    <col min="2027" max="2027" width="12.7265625" style="2810" customWidth="1"/>
    <col min="2028" max="2028" width="5.7265625" style="2810" customWidth="1"/>
    <col min="2029" max="2029" width="7.453125" style="2810" customWidth="1"/>
    <col min="2030" max="2030" width="7.26953125" style="2810" customWidth="1"/>
    <col min="2031" max="2031" width="6.7265625" style="2810" customWidth="1"/>
    <col min="2032" max="2032" width="6" style="2810" customWidth="1"/>
    <col min="2033" max="2033" width="6.54296875" style="2810" customWidth="1"/>
    <col min="2034" max="2034" width="5" style="2810" customWidth="1"/>
    <col min="2035" max="2035" width="6" style="2810" customWidth="1"/>
    <col min="2036" max="2036" width="6.54296875" style="2810" customWidth="1"/>
    <col min="2037" max="2037" width="5" style="2810" customWidth="1"/>
    <col min="2038" max="2038" width="6.7265625" style="2810" customWidth="1"/>
    <col min="2039" max="2279" width="9.1796875" style="2810"/>
    <col min="2280" max="2280" width="3.26953125" style="2810" customWidth="1"/>
    <col min="2281" max="2281" width="36" style="2810" customWidth="1"/>
    <col min="2282" max="2282" width="8.26953125" style="2810" customWidth="1"/>
    <col min="2283" max="2283" width="12.7265625" style="2810" customWidth="1"/>
    <col min="2284" max="2284" width="5.7265625" style="2810" customWidth="1"/>
    <col min="2285" max="2285" width="7.453125" style="2810" customWidth="1"/>
    <col min="2286" max="2286" width="7.26953125" style="2810" customWidth="1"/>
    <col min="2287" max="2287" width="6.7265625" style="2810" customWidth="1"/>
    <col min="2288" max="2288" width="6" style="2810" customWidth="1"/>
    <col min="2289" max="2289" width="6.54296875" style="2810" customWidth="1"/>
    <col min="2290" max="2290" width="5" style="2810" customWidth="1"/>
    <col min="2291" max="2291" width="6" style="2810" customWidth="1"/>
    <col min="2292" max="2292" width="6.54296875" style="2810" customWidth="1"/>
    <col min="2293" max="2293" width="5" style="2810" customWidth="1"/>
    <col min="2294" max="2294" width="6.7265625" style="2810" customWidth="1"/>
    <col min="2295" max="2535" width="9.1796875" style="2810"/>
    <col min="2536" max="2536" width="3.26953125" style="2810" customWidth="1"/>
    <col min="2537" max="2537" width="36" style="2810" customWidth="1"/>
    <col min="2538" max="2538" width="8.26953125" style="2810" customWidth="1"/>
    <col min="2539" max="2539" width="12.7265625" style="2810" customWidth="1"/>
    <col min="2540" max="2540" width="5.7265625" style="2810" customWidth="1"/>
    <col min="2541" max="2541" width="7.453125" style="2810" customWidth="1"/>
    <col min="2542" max="2542" width="7.26953125" style="2810" customWidth="1"/>
    <col min="2543" max="2543" width="6.7265625" style="2810" customWidth="1"/>
    <col min="2544" max="2544" width="6" style="2810" customWidth="1"/>
    <col min="2545" max="2545" width="6.54296875" style="2810" customWidth="1"/>
    <col min="2546" max="2546" width="5" style="2810" customWidth="1"/>
    <col min="2547" max="2547" width="6" style="2810" customWidth="1"/>
    <col min="2548" max="2548" width="6.54296875" style="2810" customWidth="1"/>
    <col min="2549" max="2549" width="5" style="2810" customWidth="1"/>
    <col min="2550" max="2550" width="6.7265625" style="2810" customWidth="1"/>
    <col min="2551" max="2791" width="9.1796875" style="2810"/>
    <col min="2792" max="2792" width="3.26953125" style="2810" customWidth="1"/>
    <col min="2793" max="2793" width="36" style="2810" customWidth="1"/>
    <col min="2794" max="2794" width="8.26953125" style="2810" customWidth="1"/>
    <col min="2795" max="2795" width="12.7265625" style="2810" customWidth="1"/>
    <col min="2796" max="2796" width="5.7265625" style="2810" customWidth="1"/>
    <col min="2797" max="2797" width="7.453125" style="2810" customWidth="1"/>
    <col min="2798" max="2798" width="7.26953125" style="2810" customWidth="1"/>
    <col min="2799" max="2799" width="6.7265625" style="2810" customWidth="1"/>
    <col min="2800" max="2800" width="6" style="2810" customWidth="1"/>
    <col min="2801" max="2801" width="6.54296875" style="2810" customWidth="1"/>
    <col min="2802" max="2802" width="5" style="2810" customWidth="1"/>
    <col min="2803" max="2803" width="6" style="2810" customWidth="1"/>
    <col min="2804" max="2804" width="6.54296875" style="2810" customWidth="1"/>
    <col min="2805" max="2805" width="5" style="2810" customWidth="1"/>
    <col min="2806" max="2806" width="6.7265625" style="2810" customWidth="1"/>
    <col min="2807" max="3047" width="9.1796875" style="2810"/>
    <col min="3048" max="3048" width="3.26953125" style="2810" customWidth="1"/>
    <col min="3049" max="3049" width="36" style="2810" customWidth="1"/>
    <col min="3050" max="3050" width="8.26953125" style="2810" customWidth="1"/>
    <col min="3051" max="3051" width="12.7265625" style="2810" customWidth="1"/>
    <col min="3052" max="3052" width="5.7265625" style="2810" customWidth="1"/>
    <col min="3053" max="3053" width="7.453125" style="2810" customWidth="1"/>
    <col min="3054" max="3054" width="7.26953125" style="2810" customWidth="1"/>
    <col min="3055" max="3055" width="6.7265625" style="2810" customWidth="1"/>
    <col min="3056" max="3056" width="6" style="2810" customWidth="1"/>
    <col min="3057" max="3057" width="6.54296875" style="2810" customWidth="1"/>
    <col min="3058" max="3058" width="5" style="2810" customWidth="1"/>
    <col min="3059" max="3059" width="6" style="2810" customWidth="1"/>
    <col min="3060" max="3060" width="6.54296875" style="2810" customWidth="1"/>
    <col min="3061" max="3061" width="5" style="2810" customWidth="1"/>
    <col min="3062" max="3062" width="6.7265625" style="2810" customWidth="1"/>
    <col min="3063" max="3303" width="9.1796875" style="2810"/>
    <col min="3304" max="3304" width="3.26953125" style="2810" customWidth="1"/>
    <col min="3305" max="3305" width="36" style="2810" customWidth="1"/>
    <col min="3306" max="3306" width="8.26953125" style="2810" customWidth="1"/>
    <col min="3307" max="3307" width="12.7265625" style="2810" customWidth="1"/>
    <col min="3308" max="3308" width="5.7265625" style="2810" customWidth="1"/>
    <col min="3309" max="3309" width="7.453125" style="2810" customWidth="1"/>
    <col min="3310" max="3310" width="7.26953125" style="2810" customWidth="1"/>
    <col min="3311" max="3311" width="6.7265625" style="2810" customWidth="1"/>
    <col min="3312" max="3312" width="6" style="2810" customWidth="1"/>
    <col min="3313" max="3313" width="6.54296875" style="2810" customWidth="1"/>
    <col min="3314" max="3314" width="5" style="2810" customWidth="1"/>
    <col min="3315" max="3315" width="6" style="2810" customWidth="1"/>
    <col min="3316" max="3316" width="6.54296875" style="2810" customWidth="1"/>
    <col min="3317" max="3317" width="5" style="2810" customWidth="1"/>
    <col min="3318" max="3318" width="6.7265625" style="2810" customWidth="1"/>
    <col min="3319" max="3559" width="9.1796875" style="2810"/>
    <col min="3560" max="3560" width="3.26953125" style="2810" customWidth="1"/>
    <col min="3561" max="3561" width="36" style="2810" customWidth="1"/>
    <col min="3562" max="3562" width="8.26953125" style="2810" customWidth="1"/>
    <col min="3563" max="3563" width="12.7265625" style="2810" customWidth="1"/>
    <col min="3564" max="3564" width="5.7265625" style="2810" customWidth="1"/>
    <col min="3565" max="3565" width="7.453125" style="2810" customWidth="1"/>
    <col min="3566" max="3566" width="7.26953125" style="2810" customWidth="1"/>
    <col min="3567" max="3567" width="6.7265625" style="2810" customWidth="1"/>
    <col min="3568" max="3568" width="6" style="2810" customWidth="1"/>
    <col min="3569" max="3569" width="6.54296875" style="2810" customWidth="1"/>
    <col min="3570" max="3570" width="5" style="2810" customWidth="1"/>
    <col min="3571" max="3571" width="6" style="2810" customWidth="1"/>
    <col min="3572" max="3572" width="6.54296875" style="2810" customWidth="1"/>
    <col min="3573" max="3573" width="5" style="2810" customWidth="1"/>
    <col min="3574" max="3574" width="6.7265625" style="2810" customWidth="1"/>
    <col min="3575" max="3815" width="9.1796875" style="2810"/>
    <col min="3816" max="3816" width="3.26953125" style="2810" customWidth="1"/>
    <col min="3817" max="3817" width="36" style="2810" customWidth="1"/>
    <col min="3818" max="3818" width="8.26953125" style="2810" customWidth="1"/>
    <col min="3819" max="3819" width="12.7265625" style="2810" customWidth="1"/>
    <col min="3820" max="3820" width="5.7265625" style="2810" customWidth="1"/>
    <col min="3821" max="3821" width="7.453125" style="2810" customWidth="1"/>
    <col min="3822" max="3822" width="7.26953125" style="2810" customWidth="1"/>
    <col min="3823" max="3823" width="6.7265625" style="2810" customWidth="1"/>
    <col min="3824" max="3824" width="6" style="2810" customWidth="1"/>
    <col min="3825" max="3825" width="6.54296875" style="2810" customWidth="1"/>
    <col min="3826" max="3826" width="5" style="2810" customWidth="1"/>
    <col min="3827" max="3827" width="6" style="2810" customWidth="1"/>
    <col min="3828" max="3828" width="6.54296875" style="2810" customWidth="1"/>
    <col min="3829" max="3829" width="5" style="2810" customWidth="1"/>
    <col min="3830" max="3830" width="6.7265625" style="2810" customWidth="1"/>
    <col min="3831" max="4071" width="9.1796875" style="2810"/>
    <col min="4072" max="4072" width="3.26953125" style="2810" customWidth="1"/>
    <col min="4073" max="4073" width="36" style="2810" customWidth="1"/>
    <col min="4074" max="4074" width="8.26953125" style="2810" customWidth="1"/>
    <col min="4075" max="4075" width="12.7265625" style="2810" customWidth="1"/>
    <col min="4076" max="4076" width="5.7265625" style="2810" customWidth="1"/>
    <col min="4077" max="4077" width="7.453125" style="2810" customWidth="1"/>
    <col min="4078" max="4078" width="7.26953125" style="2810" customWidth="1"/>
    <col min="4079" max="4079" width="6.7265625" style="2810" customWidth="1"/>
    <col min="4080" max="4080" width="6" style="2810" customWidth="1"/>
    <col min="4081" max="4081" width="6.54296875" style="2810" customWidth="1"/>
    <col min="4082" max="4082" width="5" style="2810" customWidth="1"/>
    <col min="4083" max="4083" width="6" style="2810" customWidth="1"/>
    <col min="4084" max="4084" width="6.54296875" style="2810" customWidth="1"/>
    <col min="4085" max="4085" width="5" style="2810" customWidth="1"/>
    <col min="4086" max="4086" width="6.7265625" style="2810" customWidth="1"/>
    <col min="4087" max="4327" width="9.1796875" style="2810"/>
    <col min="4328" max="4328" width="3.26953125" style="2810" customWidth="1"/>
    <col min="4329" max="4329" width="36" style="2810" customWidth="1"/>
    <col min="4330" max="4330" width="8.26953125" style="2810" customWidth="1"/>
    <col min="4331" max="4331" width="12.7265625" style="2810" customWidth="1"/>
    <col min="4332" max="4332" width="5.7265625" style="2810" customWidth="1"/>
    <col min="4333" max="4333" width="7.453125" style="2810" customWidth="1"/>
    <col min="4334" max="4334" width="7.26953125" style="2810" customWidth="1"/>
    <col min="4335" max="4335" width="6.7265625" style="2810" customWidth="1"/>
    <col min="4336" max="4336" width="6" style="2810" customWidth="1"/>
    <col min="4337" max="4337" width="6.54296875" style="2810" customWidth="1"/>
    <col min="4338" max="4338" width="5" style="2810" customWidth="1"/>
    <col min="4339" max="4339" width="6" style="2810" customWidth="1"/>
    <col min="4340" max="4340" width="6.54296875" style="2810" customWidth="1"/>
    <col min="4341" max="4341" width="5" style="2810" customWidth="1"/>
    <col min="4342" max="4342" width="6.7265625" style="2810" customWidth="1"/>
    <col min="4343" max="4583" width="9.1796875" style="2810"/>
    <col min="4584" max="4584" width="3.26953125" style="2810" customWidth="1"/>
    <col min="4585" max="4585" width="36" style="2810" customWidth="1"/>
    <col min="4586" max="4586" width="8.26953125" style="2810" customWidth="1"/>
    <col min="4587" max="4587" width="12.7265625" style="2810" customWidth="1"/>
    <col min="4588" max="4588" width="5.7265625" style="2810" customWidth="1"/>
    <col min="4589" max="4589" width="7.453125" style="2810" customWidth="1"/>
    <col min="4590" max="4590" width="7.26953125" style="2810" customWidth="1"/>
    <col min="4591" max="4591" width="6.7265625" style="2810" customWidth="1"/>
    <col min="4592" max="4592" width="6" style="2810" customWidth="1"/>
    <col min="4593" max="4593" width="6.54296875" style="2810" customWidth="1"/>
    <col min="4594" max="4594" width="5" style="2810" customWidth="1"/>
    <col min="4595" max="4595" width="6" style="2810" customWidth="1"/>
    <col min="4596" max="4596" width="6.54296875" style="2810" customWidth="1"/>
    <col min="4597" max="4597" width="5" style="2810" customWidth="1"/>
    <col min="4598" max="4598" width="6.7265625" style="2810" customWidth="1"/>
    <col min="4599" max="4839" width="9.1796875" style="2810"/>
    <col min="4840" max="4840" width="3.26953125" style="2810" customWidth="1"/>
    <col min="4841" max="4841" width="36" style="2810" customWidth="1"/>
    <col min="4842" max="4842" width="8.26953125" style="2810" customWidth="1"/>
    <col min="4843" max="4843" width="12.7265625" style="2810" customWidth="1"/>
    <col min="4844" max="4844" width="5.7265625" style="2810" customWidth="1"/>
    <col min="4845" max="4845" width="7.453125" style="2810" customWidth="1"/>
    <col min="4846" max="4846" width="7.26953125" style="2810" customWidth="1"/>
    <col min="4847" max="4847" width="6.7265625" style="2810" customWidth="1"/>
    <col min="4848" max="4848" width="6" style="2810" customWidth="1"/>
    <col min="4849" max="4849" width="6.54296875" style="2810" customWidth="1"/>
    <col min="4850" max="4850" width="5" style="2810" customWidth="1"/>
    <col min="4851" max="4851" width="6" style="2810" customWidth="1"/>
    <col min="4852" max="4852" width="6.54296875" style="2810" customWidth="1"/>
    <col min="4853" max="4853" width="5" style="2810" customWidth="1"/>
    <col min="4854" max="4854" width="6.7265625" style="2810" customWidth="1"/>
    <col min="4855" max="5095" width="9.1796875" style="2810"/>
    <col min="5096" max="5096" width="3.26953125" style="2810" customWidth="1"/>
    <col min="5097" max="5097" width="36" style="2810" customWidth="1"/>
    <col min="5098" max="5098" width="8.26953125" style="2810" customWidth="1"/>
    <col min="5099" max="5099" width="12.7265625" style="2810" customWidth="1"/>
    <col min="5100" max="5100" width="5.7265625" style="2810" customWidth="1"/>
    <col min="5101" max="5101" width="7.453125" style="2810" customWidth="1"/>
    <col min="5102" max="5102" width="7.26953125" style="2810" customWidth="1"/>
    <col min="5103" max="5103" width="6.7265625" style="2810" customWidth="1"/>
    <col min="5104" max="5104" width="6" style="2810" customWidth="1"/>
    <col min="5105" max="5105" width="6.54296875" style="2810" customWidth="1"/>
    <col min="5106" max="5106" width="5" style="2810" customWidth="1"/>
    <col min="5107" max="5107" width="6" style="2810" customWidth="1"/>
    <col min="5108" max="5108" width="6.54296875" style="2810" customWidth="1"/>
    <col min="5109" max="5109" width="5" style="2810" customWidth="1"/>
    <col min="5110" max="5110" width="6.7265625" style="2810" customWidth="1"/>
    <col min="5111" max="5351" width="9.1796875" style="2810"/>
    <col min="5352" max="5352" width="3.26953125" style="2810" customWidth="1"/>
    <col min="5353" max="5353" width="36" style="2810" customWidth="1"/>
    <col min="5354" max="5354" width="8.26953125" style="2810" customWidth="1"/>
    <col min="5355" max="5355" width="12.7265625" style="2810" customWidth="1"/>
    <col min="5356" max="5356" width="5.7265625" style="2810" customWidth="1"/>
    <col min="5357" max="5357" width="7.453125" style="2810" customWidth="1"/>
    <col min="5358" max="5358" width="7.26953125" style="2810" customWidth="1"/>
    <col min="5359" max="5359" width="6.7265625" style="2810" customWidth="1"/>
    <col min="5360" max="5360" width="6" style="2810" customWidth="1"/>
    <col min="5361" max="5361" width="6.54296875" style="2810" customWidth="1"/>
    <col min="5362" max="5362" width="5" style="2810" customWidth="1"/>
    <col min="5363" max="5363" width="6" style="2810" customWidth="1"/>
    <col min="5364" max="5364" width="6.54296875" style="2810" customWidth="1"/>
    <col min="5365" max="5365" width="5" style="2810" customWidth="1"/>
    <col min="5366" max="5366" width="6.7265625" style="2810" customWidth="1"/>
    <col min="5367" max="5607" width="9.1796875" style="2810"/>
    <col min="5608" max="5608" width="3.26953125" style="2810" customWidth="1"/>
    <col min="5609" max="5609" width="36" style="2810" customWidth="1"/>
    <col min="5610" max="5610" width="8.26953125" style="2810" customWidth="1"/>
    <col min="5611" max="5611" width="12.7265625" style="2810" customWidth="1"/>
    <col min="5612" max="5612" width="5.7265625" style="2810" customWidth="1"/>
    <col min="5613" max="5613" width="7.453125" style="2810" customWidth="1"/>
    <col min="5614" max="5614" width="7.26953125" style="2810" customWidth="1"/>
    <col min="5615" max="5615" width="6.7265625" style="2810" customWidth="1"/>
    <col min="5616" max="5616" width="6" style="2810" customWidth="1"/>
    <col min="5617" max="5617" width="6.54296875" style="2810" customWidth="1"/>
    <col min="5618" max="5618" width="5" style="2810" customWidth="1"/>
    <col min="5619" max="5619" width="6" style="2810" customWidth="1"/>
    <col min="5620" max="5620" width="6.54296875" style="2810" customWidth="1"/>
    <col min="5621" max="5621" width="5" style="2810" customWidth="1"/>
    <col min="5622" max="5622" width="6.7265625" style="2810" customWidth="1"/>
    <col min="5623" max="5863" width="9.1796875" style="2810"/>
    <col min="5864" max="5864" width="3.26953125" style="2810" customWidth="1"/>
    <col min="5865" max="5865" width="36" style="2810" customWidth="1"/>
    <col min="5866" max="5866" width="8.26953125" style="2810" customWidth="1"/>
    <col min="5867" max="5867" width="12.7265625" style="2810" customWidth="1"/>
    <col min="5868" max="5868" width="5.7265625" style="2810" customWidth="1"/>
    <col min="5869" max="5869" width="7.453125" style="2810" customWidth="1"/>
    <col min="5870" max="5870" width="7.26953125" style="2810" customWidth="1"/>
    <col min="5871" max="5871" width="6.7265625" style="2810" customWidth="1"/>
    <col min="5872" max="5872" width="6" style="2810" customWidth="1"/>
    <col min="5873" max="5873" width="6.54296875" style="2810" customWidth="1"/>
    <col min="5874" max="5874" width="5" style="2810" customWidth="1"/>
    <col min="5875" max="5875" width="6" style="2810" customWidth="1"/>
    <col min="5876" max="5876" width="6.54296875" style="2810" customWidth="1"/>
    <col min="5877" max="5877" width="5" style="2810" customWidth="1"/>
    <col min="5878" max="5878" width="6.7265625" style="2810" customWidth="1"/>
    <col min="5879" max="6119" width="9.1796875" style="2810"/>
    <col min="6120" max="6120" width="3.26953125" style="2810" customWidth="1"/>
    <col min="6121" max="6121" width="36" style="2810" customWidth="1"/>
    <col min="6122" max="6122" width="8.26953125" style="2810" customWidth="1"/>
    <col min="6123" max="6123" width="12.7265625" style="2810" customWidth="1"/>
    <col min="6124" max="6124" width="5.7265625" style="2810" customWidth="1"/>
    <col min="6125" max="6125" width="7.453125" style="2810" customWidth="1"/>
    <col min="6126" max="6126" width="7.26953125" style="2810" customWidth="1"/>
    <col min="6127" max="6127" width="6.7265625" style="2810" customWidth="1"/>
    <col min="6128" max="6128" width="6" style="2810" customWidth="1"/>
    <col min="6129" max="6129" width="6.54296875" style="2810" customWidth="1"/>
    <col min="6130" max="6130" width="5" style="2810" customWidth="1"/>
    <col min="6131" max="6131" width="6" style="2810" customWidth="1"/>
    <col min="6132" max="6132" width="6.54296875" style="2810" customWidth="1"/>
    <col min="6133" max="6133" width="5" style="2810" customWidth="1"/>
    <col min="6134" max="6134" width="6.7265625" style="2810" customWidth="1"/>
    <col min="6135" max="6375" width="9.1796875" style="2810"/>
    <col min="6376" max="6376" width="3.26953125" style="2810" customWidth="1"/>
    <col min="6377" max="6377" width="36" style="2810" customWidth="1"/>
    <col min="6378" max="6378" width="8.26953125" style="2810" customWidth="1"/>
    <col min="6379" max="6379" width="12.7265625" style="2810" customWidth="1"/>
    <col min="6380" max="6380" width="5.7265625" style="2810" customWidth="1"/>
    <col min="6381" max="6381" width="7.453125" style="2810" customWidth="1"/>
    <col min="6382" max="6382" width="7.26953125" style="2810" customWidth="1"/>
    <col min="6383" max="6383" width="6.7265625" style="2810" customWidth="1"/>
    <col min="6384" max="6384" width="6" style="2810" customWidth="1"/>
    <col min="6385" max="6385" width="6.54296875" style="2810" customWidth="1"/>
    <col min="6386" max="6386" width="5" style="2810" customWidth="1"/>
    <col min="6387" max="6387" width="6" style="2810" customWidth="1"/>
    <col min="6388" max="6388" width="6.54296875" style="2810" customWidth="1"/>
    <col min="6389" max="6389" width="5" style="2810" customWidth="1"/>
    <col min="6390" max="6390" width="6.7265625" style="2810" customWidth="1"/>
    <col min="6391" max="6631" width="9.1796875" style="2810"/>
    <col min="6632" max="6632" width="3.26953125" style="2810" customWidth="1"/>
    <col min="6633" max="6633" width="36" style="2810" customWidth="1"/>
    <col min="6634" max="6634" width="8.26953125" style="2810" customWidth="1"/>
    <col min="6635" max="6635" width="12.7265625" style="2810" customWidth="1"/>
    <col min="6636" max="6636" width="5.7265625" style="2810" customWidth="1"/>
    <col min="6637" max="6637" width="7.453125" style="2810" customWidth="1"/>
    <col min="6638" max="6638" width="7.26953125" style="2810" customWidth="1"/>
    <col min="6639" max="6639" width="6.7265625" style="2810" customWidth="1"/>
    <col min="6640" max="6640" width="6" style="2810" customWidth="1"/>
    <col min="6641" max="6641" width="6.54296875" style="2810" customWidth="1"/>
    <col min="6642" max="6642" width="5" style="2810" customWidth="1"/>
    <col min="6643" max="6643" width="6" style="2810" customWidth="1"/>
    <col min="6644" max="6644" width="6.54296875" style="2810" customWidth="1"/>
    <col min="6645" max="6645" width="5" style="2810" customWidth="1"/>
    <col min="6646" max="6646" width="6.7265625" style="2810" customWidth="1"/>
    <col min="6647" max="6887" width="9.1796875" style="2810"/>
    <col min="6888" max="6888" width="3.26953125" style="2810" customWidth="1"/>
    <col min="6889" max="6889" width="36" style="2810" customWidth="1"/>
    <col min="6890" max="6890" width="8.26953125" style="2810" customWidth="1"/>
    <col min="6891" max="6891" width="12.7265625" style="2810" customWidth="1"/>
    <col min="6892" max="6892" width="5.7265625" style="2810" customWidth="1"/>
    <col min="6893" max="6893" width="7.453125" style="2810" customWidth="1"/>
    <col min="6894" max="6894" width="7.26953125" style="2810" customWidth="1"/>
    <col min="6895" max="6895" width="6.7265625" style="2810" customWidth="1"/>
    <col min="6896" max="6896" width="6" style="2810" customWidth="1"/>
    <col min="6897" max="6897" width="6.54296875" style="2810" customWidth="1"/>
    <col min="6898" max="6898" width="5" style="2810" customWidth="1"/>
    <col min="6899" max="6899" width="6" style="2810" customWidth="1"/>
    <col min="6900" max="6900" width="6.54296875" style="2810" customWidth="1"/>
    <col min="6901" max="6901" width="5" style="2810" customWidth="1"/>
    <col min="6902" max="6902" width="6.7265625" style="2810" customWidth="1"/>
    <col min="6903" max="7143" width="9.1796875" style="2810"/>
    <col min="7144" max="7144" width="3.26953125" style="2810" customWidth="1"/>
    <col min="7145" max="7145" width="36" style="2810" customWidth="1"/>
    <col min="7146" max="7146" width="8.26953125" style="2810" customWidth="1"/>
    <col min="7147" max="7147" width="12.7265625" style="2810" customWidth="1"/>
    <col min="7148" max="7148" width="5.7265625" style="2810" customWidth="1"/>
    <col min="7149" max="7149" width="7.453125" style="2810" customWidth="1"/>
    <col min="7150" max="7150" width="7.26953125" style="2810" customWidth="1"/>
    <col min="7151" max="7151" width="6.7265625" style="2810" customWidth="1"/>
    <col min="7152" max="7152" width="6" style="2810" customWidth="1"/>
    <col min="7153" max="7153" width="6.54296875" style="2810" customWidth="1"/>
    <col min="7154" max="7154" width="5" style="2810" customWidth="1"/>
    <col min="7155" max="7155" width="6" style="2810" customWidth="1"/>
    <col min="7156" max="7156" width="6.54296875" style="2810" customWidth="1"/>
    <col min="7157" max="7157" width="5" style="2810" customWidth="1"/>
    <col min="7158" max="7158" width="6.7265625" style="2810" customWidth="1"/>
    <col min="7159" max="7399" width="9.1796875" style="2810"/>
    <col min="7400" max="7400" width="3.26953125" style="2810" customWidth="1"/>
    <col min="7401" max="7401" width="36" style="2810" customWidth="1"/>
    <col min="7402" max="7402" width="8.26953125" style="2810" customWidth="1"/>
    <col min="7403" max="7403" width="12.7265625" style="2810" customWidth="1"/>
    <col min="7404" max="7404" width="5.7265625" style="2810" customWidth="1"/>
    <col min="7405" max="7405" width="7.453125" style="2810" customWidth="1"/>
    <col min="7406" max="7406" width="7.26953125" style="2810" customWidth="1"/>
    <col min="7407" max="7407" width="6.7265625" style="2810" customWidth="1"/>
    <col min="7408" max="7408" width="6" style="2810" customWidth="1"/>
    <col min="7409" max="7409" width="6.54296875" style="2810" customWidth="1"/>
    <col min="7410" max="7410" width="5" style="2810" customWidth="1"/>
    <col min="7411" max="7411" width="6" style="2810" customWidth="1"/>
    <col min="7412" max="7412" width="6.54296875" style="2810" customWidth="1"/>
    <col min="7413" max="7413" width="5" style="2810" customWidth="1"/>
    <col min="7414" max="7414" width="6.7265625" style="2810" customWidth="1"/>
    <col min="7415" max="7655" width="9.1796875" style="2810"/>
    <col min="7656" max="7656" width="3.26953125" style="2810" customWidth="1"/>
    <col min="7657" max="7657" width="36" style="2810" customWidth="1"/>
    <col min="7658" max="7658" width="8.26953125" style="2810" customWidth="1"/>
    <col min="7659" max="7659" width="12.7265625" style="2810" customWidth="1"/>
    <col min="7660" max="7660" width="5.7265625" style="2810" customWidth="1"/>
    <col min="7661" max="7661" width="7.453125" style="2810" customWidth="1"/>
    <col min="7662" max="7662" width="7.26953125" style="2810" customWidth="1"/>
    <col min="7663" max="7663" width="6.7265625" style="2810" customWidth="1"/>
    <col min="7664" max="7664" width="6" style="2810" customWidth="1"/>
    <col min="7665" max="7665" width="6.54296875" style="2810" customWidth="1"/>
    <col min="7666" max="7666" width="5" style="2810" customWidth="1"/>
    <col min="7667" max="7667" width="6" style="2810" customWidth="1"/>
    <col min="7668" max="7668" width="6.54296875" style="2810" customWidth="1"/>
    <col min="7669" max="7669" width="5" style="2810" customWidth="1"/>
    <col min="7670" max="7670" width="6.7265625" style="2810" customWidth="1"/>
    <col min="7671" max="7911" width="9.1796875" style="2810"/>
    <col min="7912" max="7912" width="3.26953125" style="2810" customWidth="1"/>
    <col min="7913" max="7913" width="36" style="2810" customWidth="1"/>
    <col min="7914" max="7914" width="8.26953125" style="2810" customWidth="1"/>
    <col min="7915" max="7915" width="12.7265625" style="2810" customWidth="1"/>
    <col min="7916" max="7916" width="5.7265625" style="2810" customWidth="1"/>
    <col min="7917" max="7917" width="7.453125" style="2810" customWidth="1"/>
    <col min="7918" max="7918" width="7.26953125" style="2810" customWidth="1"/>
    <col min="7919" max="7919" width="6.7265625" style="2810" customWidth="1"/>
    <col min="7920" max="7920" width="6" style="2810" customWidth="1"/>
    <col min="7921" max="7921" width="6.54296875" style="2810" customWidth="1"/>
    <col min="7922" max="7922" width="5" style="2810" customWidth="1"/>
    <col min="7923" max="7923" width="6" style="2810" customWidth="1"/>
    <col min="7924" max="7924" width="6.54296875" style="2810" customWidth="1"/>
    <col min="7925" max="7925" width="5" style="2810" customWidth="1"/>
    <col min="7926" max="7926" width="6.7265625" style="2810" customWidth="1"/>
    <col min="7927" max="8167" width="9.1796875" style="2810"/>
    <col min="8168" max="8168" width="3.26953125" style="2810" customWidth="1"/>
    <col min="8169" max="8169" width="36" style="2810" customWidth="1"/>
    <col min="8170" max="8170" width="8.26953125" style="2810" customWidth="1"/>
    <col min="8171" max="8171" width="12.7265625" style="2810" customWidth="1"/>
    <col min="8172" max="8172" width="5.7265625" style="2810" customWidth="1"/>
    <col min="8173" max="8173" width="7.453125" style="2810" customWidth="1"/>
    <col min="8174" max="8174" width="7.26953125" style="2810" customWidth="1"/>
    <col min="8175" max="8175" width="6.7265625" style="2810" customWidth="1"/>
    <col min="8176" max="8176" width="6" style="2810" customWidth="1"/>
    <col min="8177" max="8177" width="6.54296875" style="2810" customWidth="1"/>
    <col min="8178" max="8178" width="5" style="2810" customWidth="1"/>
    <col min="8179" max="8179" width="6" style="2810" customWidth="1"/>
    <col min="8180" max="8180" width="6.54296875" style="2810" customWidth="1"/>
    <col min="8181" max="8181" width="5" style="2810" customWidth="1"/>
    <col min="8182" max="8182" width="6.7265625" style="2810" customWidth="1"/>
    <col min="8183" max="8423" width="9.1796875" style="2810"/>
    <col min="8424" max="8424" width="3.26953125" style="2810" customWidth="1"/>
    <col min="8425" max="8425" width="36" style="2810" customWidth="1"/>
    <col min="8426" max="8426" width="8.26953125" style="2810" customWidth="1"/>
    <col min="8427" max="8427" width="12.7265625" style="2810" customWidth="1"/>
    <col min="8428" max="8428" width="5.7265625" style="2810" customWidth="1"/>
    <col min="8429" max="8429" width="7.453125" style="2810" customWidth="1"/>
    <col min="8430" max="8430" width="7.26953125" style="2810" customWidth="1"/>
    <col min="8431" max="8431" width="6.7265625" style="2810" customWidth="1"/>
    <col min="8432" max="8432" width="6" style="2810" customWidth="1"/>
    <col min="8433" max="8433" width="6.54296875" style="2810" customWidth="1"/>
    <col min="8434" max="8434" width="5" style="2810" customWidth="1"/>
    <col min="8435" max="8435" width="6" style="2810" customWidth="1"/>
    <col min="8436" max="8436" width="6.54296875" style="2810" customWidth="1"/>
    <col min="8437" max="8437" width="5" style="2810" customWidth="1"/>
    <col min="8438" max="8438" width="6.7265625" style="2810" customWidth="1"/>
    <col min="8439" max="8679" width="9.1796875" style="2810"/>
    <col min="8680" max="8680" width="3.26953125" style="2810" customWidth="1"/>
    <col min="8681" max="8681" width="36" style="2810" customWidth="1"/>
    <col min="8682" max="8682" width="8.26953125" style="2810" customWidth="1"/>
    <col min="8683" max="8683" width="12.7265625" style="2810" customWidth="1"/>
    <col min="8684" max="8684" width="5.7265625" style="2810" customWidth="1"/>
    <col min="8685" max="8685" width="7.453125" style="2810" customWidth="1"/>
    <col min="8686" max="8686" width="7.26953125" style="2810" customWidth="1"/>
    <col min="8687" max="8687" width="6.7265625" style="2810" customWidth="1"/>
    <col min="8688" max="8688" width="6" style="2810" customWidth="1"/>
    <col min="8689" max="8689" width="6.54296875" style="2810" customWidth="1"/>
    <col min="8690" max="8690" width="5" style="2810" customWidth="1"/>
    <col min="8691" max="8691" width="6" style="2810" customWidth="1"/>
    <col min="8692" max="8692" width="6.54296875" style="2810" customWidth="1"/>
    <col min="8693" max="8693" width="5" style="2810" customWidth="1"/>
    <col min="8694" max="8694" width="6.7265625" style="2810" customWidth="1"/>
    <col min="8695" max="8935" width="9.1796875" style="2810"/>
    <col min="8936" max="8936" width="3.26953125" style="2810" customWidth="1"/>
    <col min="8937" max="8937" width="36" style="2810" customWidth="1"/>
    <col min="8938" max="8938" width="8.26953125" style="2810" customWidth="1"/>
    <col min="8939" max="8939" width="12.7265625" style="2810" customWidth="1"/>
    <col min="8940" max="8940" width="5.7265625" style="2810" customWidth="1"/>
    <col min="8941" max="8941" width="7.453125" style="2810" customWidth="1"/>
    <col min="8942" max="8942" width="7.26953125" style="2810" customWidth="1"/>
    <col min="8943" max="8943" width="6.7265625" style="2810" customWidth="1"/>
    <col min="8944" max="8944" width="6" style="2810" customWidth="1"/>
    <col min="8945" max="8945" width="6.54296875" style="2810" customWidth="1"/>
    <col min="8946" max="8946" width="5" style="2810" customWidth="1"/>
    <col min="8947" max="8947" width="6" style="2810" customWidth="1"/>
    <col min="8948" max="8948" width="6.54296875" style="2810" customWidth="1"/>
    <col min="8949" max="8949" width="5" style="2810" customWidth="1"/>
    <col min="8950" max="8950" width="6.7265625" style="2810" customWidth="1"/>
    <col min="8951" max="9191" width="9.1796875" style="2810"/>
    <col min="9192" max="9192" width="3.26953125" style="2810" customWidth="1"/>
    <col min="9193" max="9193" width="36" style="2810" customWidth="1"/>
    <col min="9194" max="9194" width="8.26953125" style="2810" customWidth="1"/>
    <col min="9195" max="9195" width="12.7265625" style="2810" customWidth="1"/>
    <col min="9196" max="9196" width="5.7265625" style="2810" customWidth="1"/>
    <col min="9197" max="9197" width="7.453125" style="2810" customWidth="1"/>
    <col min="9198" max="9198" width="7.26953125" style="2810" customWidth="1"/>
    <col min="9199" max="9199" width="6.7265625" style="2810" customWidth="1"/>
    <col min="9200" max="9200" width="6" style="2810" customWidth="1"/>
    <col min="9201" max="9201" width="6.54296875" style="2810" customWidth="1"/>
    <col min="9202" max="9202" width="5" style="2810" customWidth="1"/>
    <col min="9203" max="9203" width="6" style="2810" customWidth="1"/>
    <col min="9204" max="9204" width="6.54296875" style="2810" customWidth="1"/>
    <col min="9205" max="9205" width="5" style="2810" customWidth="1"/>
    <col min="9206" max="9206" width="6.7265625" style="2810" customWidth="1"/>
    <col min="9207" max="9447" width="9.1796875" style="2810"/>
    <col min="9448" max="9448" width="3.26953125" style="2810" customWidth="1"/>
    <col min="9449" max="9449" width="36" style="2810" customWidth="1"/>
    <col min="9450" max="9450" width="8.26953125" style="2810" customWidth="1"/>
    <col min="9451" max="9451" width="12.7265625" style="2810" customWidth="1"/>
    <col min="9452" max="9452" width="5.7265625" style="2810" customWidth="1"/>
    <col min="9453" max="9453" width="7.453125" style="2810" customWidth="1"/>
    <col min="9454" max="9454" width="7.26953125" style="2810" customWidth="1"/>
    <col min="9455" max="9455" width="6.7265625" style="2810" customWidth="1"/>
    <col min="9456" max="9456" width="6" style="2810" customWidth="1"/>
    <col min="9457" max="9457" width="6.54296875" style="2810" customWidth="1"/>
    <col min="9458" max="9458" width="5" style="2810" customWidth="1"/>
    <col min="9459" max="9459" width="6" style="2810" customWidth="1"/>
    <col min="9460" max="9460" width="6.54296875" style="2810" customWidth="1"/>
    <col min="9461" max="9461" width="5" style="2810" customWidth="1"/>
    <col min="9462" max="9462" width="6.7265625" style="2810" customWidth="1"/>
    <col min="9463" max="9703" width="9.1796875" style="2810"/>
    <col min="9704" max="9704" width="3.26953125" style="2810" customWidth="1"/>
    <col min="9705" max="9705" width="36" style="2810" customWidth="1"/>
    <col min="9706" max="9706" width="8.26953125" style="2810" customWidth="1"/>
    <col min="9707" max="9707" width="12.7265625" style="2810" customWidth="1"/>
    <col min="9708" max="9708" width="5.7265625" style="2810" customWidth="1"/>
    <col min="9709" max="9709" width="7.453125" style="2810" customWidth="1"/>
    <col min="9710" max="9710" width="7.26953125" style="2810" customWidth="1"/>
    <col min="9711" max="9711" width="6.7265625" style="2810" customWidth="1"/>
    <col min="9712" max="9712" width="6" style="2810" customWidth="1"/>
    <col min="9713" max="9713" width="6.54296875" style="2810" customWidth="1"/>
    <col min="9714" max="9714" width="5" style="2810" customWidth="1"/>
    <col min="9715" max="9715" width="6" style="2810" customWidth="1"/>
    <col min="9716" max="9716" width="6.54296875" style="2810" customWidth="1"/>
    <col min="9717" max="9717" width="5" style="2810" customWidth="1"/>
    <col min="9718" max="9718" width="6.7265625" style="2810" customWidth="1"/>
    <col min="9719" max="9959" width="9.1796875" style="2810"/>
    <col min="9960" max="9960" width="3.26953125" style="2810" customWidth="1"/>
    <col min="9961" max="9961" width="36" style="2810" customWidth="1"/>
    <col min="9962" max="9962" width="8.26953125" style="2810" customWidth="1"/>
    <col min="9963" max="9963" width="12.7265625" style="2810" customWidth="1"/>
    <col min="9964" max="9964" width="5.7265625" style="2810" customWidth="1"/>
    <col min="9965" max="9965" width="7.453125" style="2810" customWidth="1"/>
    <col min="9966" max="9966" width="7.26953125" style="2810" customWidth="1"/>
    <col min="9967" max="9967" width="6.7265625" style="2810" customWidth="1"/>
    <col min="9968" max="9968" width="6" style="2810" customWidth="1"/>
    <col min="9969" max="9969" width="6.54296875" style="2810" customWidth="1"/>
    <col min="9970" max="9970" width="5" style="2810" customWidth="1"/>
    <col min="9971" max="9971" width="6" style="2810" customWidth="1"/>
    <col min="9972" max="9972" width="6.54296875" style="2810" customWidth="1"/>
    <col min="9973" max="9973" width="5" style="2810" customWidth="1"/>
    <col min="9974" max="9974" width="6.7265625" style="2810" customWidth="1"/>
    <col min="9975" max="10215" width="9.1796875" style="2810"/>
    <col min="10216" max="10216" width="3.26953125" style="2810" customWidth="1"/>
    <col min="10217" max="10217" width="36" style="2810" customWidth="1"/>
    <col min="10218" max="10218" width="8.26953125" style="2810" customWidth="1"/>
    <col min="10219" max="10219" width="12.7265625" style="2810" customWidth="1"/>
    <col min="10220" max="10220" width="5.7265625" style="2810" customWidth="1"/>
    <col min="10221" max="10221" width="7.453125" style="2810" customWidth="1"/>
    <col min="10222" max="10222" width="7.26953125" style="2810" customWidth="1"/>
    <col min="10223" max="10223" width="6.7265625" style="2810" customWidth="1"/>
    <col min="10224" max="10224" width="6" style="2810" customWidth="1"/>
    <col min="10225" max="10225" width="6.54296875" style="2810" customWidth="1"/>
    <col min="10226" max="10226" width="5" style="2810" customWidth="1"/>
    <col min="10227" max="10227" width="6" style="2810" customWidth="1"/>
    <col min="10228" max="10228" width="6.54296875" style="2810" customWidth="1"/>
    <col min="10229" max="10229" width="5" style="2810" customWidth="1"/>
    <col min="10230" max="10230" width="6.7265625" style="2810" customWidth="1"/>
    <col min="10231" max="10471" width="9.1796875" style="2810"/>
    <col min="10472" max="10472" width="3.26953125" style="2810" customWidth="1"/>
    <col min="10473" max="10473" width="36" style="2810" customWidth="1"/>
    <col min="10474" max="10474" width="8.26953125" style="2810" customWidth="1"/>
    <col min="10475" max="10475" width="12.7265625" style="2810" customWidth="1"/>
    <col min="10476" max="10476" width="5.7265625" style="2810" customWidth="1"/>
    <col min="10477" max="10477" width="7.453125" style="2810" customWidth="1"/>
    <col min="10478" max="10478" width="7.26953125" style="2810" customWidth="1"/>
    <col min="10479" max="10479" width="6.7265625" style="2810" customWidth="1"/>
    <col min="10480" max="10480" width="6" style="2810" customWidth="1"/>
    <col min="10481" max="10481" width="6.54296875" style="2810" customWidth="1"/>
    <col min="10482" max="10482" width="5" style="2810" customWidth="1"/>
    <col min="10483" max="10483" width="6" style="2810" customWidth="1"/>
    <col min="10484" max="10484" width="6.54296875" style="2810" customWidth="1"/>
    <col min="10485" max="10485" width="5" style="2810" customWidth="1"/>
    <col min="10486" max="10486" width="6.7265625" style="2810" customWidth="1"/>
    <col min="10487" max="10727" width="9.1796875" style="2810"/>
    <col min="10728" max="10728" width="3.26953125" style="2810" customWidth="1"/>
    <col min="10729" max="10729" width="36" style="2810" customWidth="1"/>
    <col min="10730" max="10730" width="8.26953125" style="2810" customWidth="1"/>
    <col min="10731" max="10731" width="12.7265625" style="2810" customWidth="1"/>
    <col min="10732" max="10732" width="5.7265625" style="2810" customWidth="1"/>
    <col min="10733" max="10733" width="7.453125" style="2810" customWidth="1"/>
    <col min="10734" max="10734" width="7.26953125" style="2810" customWidth="1"/>
    <col min="10735" max="10735" width="6.7265625" style="2810" customWidth="1"/>
    <col min="10736" max="10736" width="6" style="2810" customWidth="1"/>
    <col min="10737" max="10737" width="6.54296875" style="2810" customWidth="1"/>
    <col min="10738" max="10738" width="5" style="2810" customWidth="1"/>
    <col min="10739" max="10739" width="6" style="2810" customWidth="1"/>
    <col min="10740" max="10740" width="6.54296875" style="2810" customWidth="1"/>
    <col min="10741" max="10741" width="5" style="2810" customWidth="1"/>
    <col min="10742" max="10742" width="6.7265625" style="2810" customWidth="1"/>
    <col min="10743" max="10983" width="9.1796875" style="2810"/>
    <col min="10984" max="10984" width="3.26953125" style="2810" customWidth="1"/>
    <col min="10985" max="10985" width="36" style="2810" customWidth="1"/>
    <col min="10986" max="10986" width="8.26953125" style="2810" customWidth="1"/>
    <col min="10987" max="10987" width="12.7265625" style="2810" customWidth="1"/>
    <col min="10988" max="10988" width="5.7265625" style="2810" customWidth="1"/>
    <col min="10989" max="10989" width="7.453125" style="2810" customWidth="1"/>
    <col min="10990" max="10990" width="7.26953125" style="2810" customWidth="1"/>
    <col min="10991" max="10991" width="6.7265625" style="2810" customWidth="1"/>
    <col min="10992" max="10992" width="6" style="2810" customWidth="1"/>
    <col min="10993" max="10993" width="6.54296875" style="2810" customWidth="1"/>
    <col min="10994" max="10994" width="5" style="2810" customWidth="1"/>
    <col min="10995" max="10995" width="6" style="2810" customWidth="1"/>
    <col min="10996" max="10996" width="6.54296875" style="2810" customWidth="1"/>
    <col min="10997" max="10997" width="5" style="2810" customWidth="1"/>
    <col min="10998" max="10998" width="6.7265625" style="2810" customWidth="1"/>
    <col min="10999" max="11239" width="9.1796875" style="2810"/>
    <col min="11240" max="11240" width="3.26953125" style="2810" customWidth="1"/>
    <col min="11241" max="11241" width="36" style="2810" customWidth="1"/>
    <col min="11242" max="11242" width="8.26953125" style="2810" customWidth="1"/>
    <col min="11243" max="11243" width="12.7265625" style="2810" customWidth="1"/>
    <col min="11244" max="11244" width="5.7265625" style="2810" customWidth="1"/>
    <col min="11245" max="11245" width="7.453125" style="2810" customWidth="1"/>
    <col min="11246" max="11246" width="7.26953125" style="2810" customWidth="1"/>
    <col min="11247" max="11247" width="6.7265625" style="2810" customWidth="1"/>
    <col min="11248" max="11248" width="6" style="2810" customWidth="1"/>
    <col min="11249" max="11249" width="6.54296875" style="2810" customWidth="1"/>
    <col min="11250" max="11250" width="5" style="2810" customWidth="1"/>
    <col min="11251" max="11251" width="6" style="2810" customWidth="1"/>
    <col min="11252" max="11252" width="6.54296875" style="2810" customWidth="1"/>
    <col min="11253" max="11253" width="5" style="2810" customWidth="1"/>
    <col min="11254" max="11254" width="6.7265625" style="2810" customWidth="1"/>
    <col min="11255" max="11495" width="9.1796875" style="2810"/>
    <col min="11496" max="11496" width="3.26953125" style="2810" customWidth="1"/>
    <col min="11497" max="11497" width="36" style="2810" customWidth="1"/>
    <col min="11498" max="11498" width="8.26953125" style="2810" customWidth="1"/>
    <col min="11499" max="11499" width="12.7265625" style="2810" customWidth="1"/>
    <col min="11500" max="11500" width="5.7265625" style="2810" customWidth="1"/>
    <col min="11501" max="11501" width="7.453125" style="2810" customWidth="1"/>
    <col min="11502" max="11502" width="7.26953125" style="2810" customWidth="1"/>
    <col min="11503" max="11503" width="6.7265625" style="2810" customWidth="1"/>
    <col min="11504" max="11504" width="6" style="2810" customWidth="1"/>
    <col min="11505" max="11505" width="6.54296875" style="2810" customWidth="1"/>
    <col min="11506" max="11506" width="5" style="2810" customWidth="1"/>
    <col min="11507" max="11507" width="6" style="2810" customWidth="1"/>
    <col min="11508" max="11508" width="6.54296875" style="2810" customWidth="1"/>
    <col min="11509" max="11509" width="5" style="2810" customWidth="1"/>
    <col min="11510" max="11510" width="6.7265625" style="2810" customWidth="1"/>
    <col min="11511" max="11751" width="9.1796875" style="2810"/>
    <col min="11752" max="11752" width="3.26953125" style="2810" customWidth="1"/>
    <col min="11753" max="11753" width="36" style="2810" customWidth="1"/>
    <col min="11754" max="11754" width="8.26953125" style="2810" customWidth="1"/>
    <col min="11755" max="11755" width="12.7265625" style="2810" customWidth="1"/>
    <col min="11756" max="11756" width="5.7265625" style="2810" customWidth="1"/>
    <col min="11757" max="11757" width="7.453125" style="2810" customWidth="1"/>
    <col min="11758" max="11758" width="7.26953125" style="2810" customWidth="1"/>
    <col min="11759" max="11759" width="6.7265625" style="2810" customWidth="1"/>
    <col min="11760" max="11760" width="6" style="2810" customWidth="1"/>
    <col min="11761" max="11761" width="6.54296875" style="2810" customWidth="1"/>
    <col min="11762" max="11762" width="5" style="2810" customWidth="1"/>
    <col min="11763" max="11763" width="6" style="2810" customWidth="1"/>
    <col min="11764" max="11764" width="6.54296875" style="2810" customWidth="1"/>
    <col min="11765" max="11765" width="5" style="2810" customWidth="1"/>
    <col min="11766" max="11766" width="6.7265625" style="2810" customWidth="1"/>
    <col min="11767" max="12007" width="9.1796875" style="2810"/>
    <col min="12008" max="12008" width="3.26953125" style="2810" customWidth="1"/>
    <col min="12009" max="12009" width="36" style="2810" customWidth="1"/>
    <col min="12010" max="12010" width="8.26953125" style="2810" customWidth="1"/>
    <col min="12011" max="12011" width="12.7265625" style="2810" customWidth="1"/>
    <col min="12012" max="12012" width="5.7265625" style="2810" customWidth="1"/>
    <col min="12013" max="12013" width="7.453125" style="2810" customWidth="1"/>
    <col min="12014" max="12014" width="7.26953125" style="2810" customWidth="1"/>
    <col min="12015" max="12015" width="6.7265625" style="2810" customWidth="1"/>
    <col min="12016" max="12016" width="6" style="2810" customWidth="1"/>
    <col min="12017" max="12017" width="6.54296875" style="2810" customWidth="1"/>
    <col min="12018" max="12018" width="5" style="2810" customWidth="1"/>
    <col min="12019" max="12019" width="6" style="2810" customWidth="1"/>
    <col min="12020" max="12020" width="6.54296875" style="2810" customWidth="1"/>
    <col min="12021" max="12021" width="5" style="2810" customWidth="1"/>
    <col min="12022" max="12022" width="6.7265625" style="2810" customWidth="1"/>
    <col min="12023" max="12263" width="9.1796875" style="2810"/>
    <col min="12264" max="12264" width="3.26953125" style="2810" customWidth="1"/>
    <col min="12265" max="12265" width="36" style="2810" customWidth="1"/>
    <col min="12266" max="12266" width="8.26953125" style="2810" customWidth="1"/>
    <col min="12267" max="12267" width="12.7265625" style="2810" customWidth="1"/>
    <col min="12268" max="12268" width="5.7265625" style="2810" customWidth="1"/>
    <col min="12269" max="12269" width="7.453125" style="2810" customWidth="1"/>
    <col min="12270" max="12270" width="7.26953125" style="2810" customWidth="1"/>
    <col min="12271" max="12271" width="6.7265625" style="2810" customWidth="1"/>
    <col min="12272" max="12272" width="6" style="2810" customWidth="1"/>
    <col min="12273" max="12273" width="6.54296875" style="2810" customWidth="1"/>
    <col min="12274" max="12274" width="5" style="2810" customWidth="1"/>
    <col min="12275" max="12275" width="6" style="2810" customWidth="1"/>
    <col min="12276" max="12276" width="6.54296875" style="2810" customWidth="1"/>
    <col min="12277" max="12277" width="5" style="2810" customWidth="1"/>
    <col min="12278" max="12278" width="6.7265625" style="2810" customWidth="1"/>
    <col min="12279" max="12519" width="9.1796875" style="2810"/>
    <col min="12520" max="12520" width="3.26953125" style="2810" customWidth="1"/>
    <col min="12521" max="12521" width="36" style="2810" customWidth="1"/>
    <col min="12522" max="12522" width="8.26953125" style="2810" customWidth="1"/>
    <col min="12523" max="12523" width="12.7265625" style="2810" customWidth="1"/>
    <col min="12524" max="12524" width="5.7265625" style="2810" customWidth="1"/>
    <col min="12525" max="12525" width="7.453125" style="2810" customWidth="1"/>
    <col min="12526" max="12526" width="7.26953125" style="2810" customWidth="1"/>
    <col min="12527" max="12527" width="6.7265625" style="2810" customWidth="1"/>
    <col min="12528" max="12528" width="6" style="2810" customWidth="1"/>
    <col min="12529" max="12529" width="6.54296875" style="2810" customWidth="1"/>
    <col min="12530" max="12530" width="5" style="2810" customWidth="1"/>
    <col min="12531" max="12531" width="6" style="2810" customWidth="1"/>
    <col min="12532" max="12532" width="6.54296875" style="2810" customWidth="1"/>
    <col min="12533" max="12533" width="5" style="2810" customWidth="1"/>
    <col min="12534" max="12534" width="6.7265625" style="2810" customWidth="1"/>
    <col min="12535" max="12775" width="9.1796875" style="2810"/>
    <col min="12776" max="12776" width="3.26953125" style="2810" customWidth="1"/>
    <col min="12777" max="12777" width="36" style="2810" customWidth="1"/>
    <col min="12778" max="12778" width="8.26953125" style="2810" customWidth="1"/>
    <col min="12779" max="12779" width="12.7265625" style="2810" customWidth="1"/>
    <col min="12780" max="12780" width="5.7265625" style="2810" customWidth="1"/>
    <col min="12781" max="12781" width="7.453125" style="2810" customWidth="1"/>
    <col min="12782" max="12782" width="7.26953125" style="2810" customWidth="1"/>
    <col min="12783" max="12783" width="6.7265625" style="2810" customWidth="1"/>
    <col min="12784" max="12784" width="6" style="2810" customWidth="1"/>
    <col min="12785" max="12785" width="6.54296875" style="2810" customWidth="1"/>
    <col min="12786" max="12786" width="5" style="2810" customWidth="1"/>
    <col min="12787" max="12787" width="6" style="2810" customWidth="1"/>
    <col min="12788" max="12788" width="6.54296875" style="2810" customWidth="1"/>
    <col min="12789" max="12789" width="5" style="2810" customWidth="1"/>
    <col min="12790" max="12790" width="6.7265625" style="2810" customWidth="1"/>
    <col min="12791" max="13031" width="9.1796875" style="2810"/>
    <col min="13032" max="13032" width="3.26953125" style="2810" customWidth="1"/>
    <col min="13033" max="13033" width="36" style="2810" customWidth="1"/>
    <col min="13034" max="13034" width="8.26953125" style="2810" customWidth="1"/>
    <col min="13035" max="13035" width="12.7265625" style="2810" customWidth="1"/>
    <col min="13036" max="13036" width="5.7265625" style="2810" customWidth="1"/>
    <col min="13037" max="13037" width="7.453125" style="2810" customWidth="1"/>
    <col min="13038" max="13038" width="7.26953125" style="2810" customWidth="1"/>
    <col min="13039" max="13039" width="6.7265625" style="2810" customWidth="1"/>
    <col min="13040" max="13040" width="6" style="2810" customWidth="1"/>
    <col min="13041" max="13041" width="6.54296875" style="2810" customWidth="1"/>
    <col min="13042" max="13042" width="5" style="2810" customWidth="1"/>
    <col min="13043" max="13043" width="6" style="2810" customWidth="1"/>
    <col min="13044" max="13044" width="6.54296875" style="2810" customWidth="1"/>
    <col min="13045" max="13045" width="5" style="2810" customWidth="1"/>
    <col min="13046" max="13046" width="6.7265625" style="2810" customWidth="1"/>
    <col min="13047" max="13287" width="9.1796875" style="2810"/>
    <col min="13288" max="13288" width="3.26953125" style="2810" customWidth="1"/>
    <col min="13289" max="13289" width="36" style="2810" customWidth="1"/>
    <col min="13290" max="13290" width="8.26953125" style="2810" customWidth="1"/>
    <col min="13291" max="13291" width="12.7265625" style="2810" customWidth="1"/>
    <col min="13292" max="13292" width="5.7265625" style="2810" customWidth="1"/>
    <col min="13293" max="13293" width="7.453125" style="2810" customWidth="1"/>
    <col min="13294" max="13294" width="7.26953125" style="2810" customWidth="1"/>
    <col min="13295" max="13295" width="6.7265625" style="2810" customWidth="1"/>
    <col min="13296" max="13296" width="6" style="2810" customWidth="1"/>
    <col min="13297" max="13297" width="6.54296875" style="2810" customWidth="1"/>
    <col min="13298" max="13298" width="5" style="2810" customWidth="1"/>
    <col min="13299" max="13299" width="6" style="2810" customWidth="1"/>
    <col min="13300" max="13300" width="6.54296875" style="2810" customWidth="1"/>
    <col min="13301" max="13301" width="5" style="2810" customWidth="1"/>
    <col min="13302" max="13302" width="6.7265625" style="2810" customWidth="1"/>
    <col min="13303" max="13543" width="9.1796875" style="2810"/>
    <col min="13544" max="13544" width="3.26953125" style="2810" customWidth="1"/>
    <col min="13545" max="13545" width="36" style="2810" customWidth="1"/>
    <col min="13546" max="13546" width="8.26953125" style="2810" customWidth="1"/>
    <col min="13547" max="13547" width="12.7265625" style="2810" customWidth="1"/>
    <col min="13548" max="13548" width="5.7265625" style="2810" customWidth="1"/>
    <col min="13549" max="13549" width="7.453125" style="2810" customWidth="1"/>
    <col min="13550" max="13550" width="7.26953125" style="2810" customWidth="1"/>
    <col min="13551" max="13551" width="6.7265625" style="2810" customWidth="1"/>
    <col min="13552" max="13552" width="6" style="2810" customWidth="1"/>
    <col min="13553" max="13553" width="6.54296875" style="2810" customWidth="1"/>
    <col min="13554" max="13554" width="5" style="2810" customWidth="1"/>
    <col min="13555" max="13555" width="6" style="2810" customWidth="1"/>
    <col min="13556" max="13556" width="6.54296875" style="2810" customWidth="1"/>
    <col min="13557" max="13557" width="5" style="2810" customWidth="1"/>
    <col min="13558" max="13558" width="6.7265625" style="2810" customWidth="1"/>
    <col min="13559" max="13799" width="9.1796875" style="2810"/>
    <col min="13800" max="13800" width="3.26953125" style="2810" customWidth="1"/>
    <col min="13801" max="13801" width="36" style="2810" customWidth="1"/>
    <col min="13802" max="13802" width="8.26953125" style="2810" customWidth="1"/>
    <col min="13803" max="13803" width="12.7265625" style="2810" customWidth="1"/>
    <col min="13804" max="13804" width="5.7265625" style="2810" customWidth="1"/>
    <col min="13805" max="13805" width="7.453125" style="2810" customWidth="1"/>
    <col min="13806" max="13806" width="7.26953125" style="2810" customWidth="1"/>
    <col min="13807" max="13807" width="6.7265625" style="2810" customWidth="1"/>
    <col min="13808" max="13808" width="6" style="2810" customWidth="1"/>
    <col min="13809" max="13809" width="6.54296875" style="2810" customWidth="1"/>
    <col min="13810" max="13810" width="5" style="2810" customWidth="1"/>
    <col min="13811" max="13811" width="6" style="2810" customWidth="1"/>
    <col min="13812" max="13812" width="6.54296875" style="2810" customWidth="1"/>
    <col min="13813" max="13813" width="5" style="2810" customWidth="1"/>
    <col min="13814" max="13814" width="6.7265625" style="2810" customWidth="1"/>
    <col min="13815" max="14055" width="9.1796875" style="2810"/>
    <col min="14056" max="14056" width="3.26953125" style="2810" customWidth="1"/>
    <col min="14057" max="14057" width="36" style="2810" customWidth="1"/>
    <col min="14058" max="14058" width="8.26953125" style="2810" customWidth="1"/>
    <col min="14059" max="14059" width="12.7265625" style="2810" customWidth="1"/>
    <col min="14060" max="14060" width="5.7265625" style="2810" customWidth="1"/>
    <col min="14061" max="14061" width="7.453125" style="2810" customWidth="1"/>
    <col min="14062" max="14062" width="7.26953125" style="2810" customWidth="1"/>
    <col min="14063" max="14063" width="6.7265625" style="2810" customWidth="1"/>
    <col min="14064" max="14064" width="6" style="2810" customWidth="1"/>
    <col min="14065" max="14065" width="6.54296875" style="2810" customWidth="1"/>
    <col min="14066" max="14066" width="5" style="2810" customWidth="1"/>
    <col min="14067" max="14067" width="6" style="2810" customWidth="1"/>
    <col min="14068" max="14068" width="6.54296875" style="2810" customWidth="1"/>
    <col min="14069" max="14069" width="5" style="2810" customWidth="1"/>
    <col min="14070" max="14070" width="6.7265625" style="2810" customWidth="1"/>
    <col min="14071" max="14311" width="9.1796875" style="2810"/>
    <col min="14312" max="14312" width="3.26953125" style="2810" customWidth="1"/>
    <col min="14313" max="14313" width="36" style="2810" customWidth="1"/>
    <col min="14314" max="14314" width="8.26953125" style="2810" customWidth="1"/>
    <col min="14315" max="14315" width="12.7265625" style="2810" customWidth="1"/>
    <col min="14316" max="14316" width="5.7265625" style="2810" customWidth="1"/>
    <col min="14317" max="14317" width="7.453125" style="2810" customWidth="1"/>
    <col min="14318" max="14318" width="7.26953125" style="2810" customWidth="1"/>
    <col min="14319" max="14319" width="6.7265625" style="2810" customWidth="1"/>
    <col min="14320" max="14320" width="6" style="2810" customWidth="1"/>
    <col min="14321" max="14321" width="6.54296875" style="2810" customWidth="1"/>
    <col min="14322" max="14322" width="5" style="2810" customWidth="1"/>
    <col min="14323" max="14323" width="6" style="2810" customWidth="1"/>
    <col min="14324" max="14324" width="6.54296875" style="2810" customWidth="1"/>
    <col min="14325" max="14325" width="5" style="2810" customWidth="1"/>
    <col min="14326" max="14326" width="6.7265625" style="2810" customWidth="1"/>
    <col min="14327" max="14567" width="9.1796875" style="2810"/>
    <col min="14568" max="14568" width="3.26953125" style="2810" customWidth="1"/>
    <col min="14569" max="14569" width="36" style="2810" customWidth="1"/>
    <col min="14570" max="14570" width="8.26953125" style="2810" customWidth="1"/>
    <col min="14571" max="14571" width="12.7265625" style="2810" customWidth="1"/>
    <col min="14572" max="14572" width="5.7265625" style="2810" customWidth="1"/>
    <col min="14573" max="14573" width="7.453125" style="2810" customWidth="1"/>
    <col min="14574" max="14574" width="7.26953125" style="2810" customWidth="1"/>
    <col min="14575" max="14575" width="6.7265625" style="2810" customWidth="1"/>
    <col min="14576" max="14576" width="6" style="2810" customWidth="1"/>
    <col min="14577" max="14577" width="6.54296875" style="2810" customWidth="1"/>
    <col min="14578" max="14578" width="5" style="2810" customWidth="1"/>
    <col min="14579" max="14579" width="6" style="2810" customWidth="1"/>
    <col min="14580" max="14580" width="6.54296875" style="2810" customWidth="1"/>
    <col min="14581" max="14581" width="5" style="2810" customWidth="1"/>
    <col min="14582" max="14582" width="6.7265625" style="2810" customWidth="1"/>
    <col min="14583" max="14823" width="9.1796875" style="2810"/>
    <col min="14824" max="14824" width="3.26953125" style="2810" customWidth="1"/>
    <col min="14825" max="14825" width="36" style="2810" customWidth="1"/>
    <col min="14826" max="14826" width="8.26953125" style="2810" customWidth="1"/>
    <col min="14827" max="14827" width="12.7265625" style="2810" customWidth="1"/>
    <col min="14828" max="14828" width="5.7265625" style="2810" customWidth="1"/>
    <col min="14829" max="14829" width="7.453125" style="2810" customWidth="1"/>
    <col min="14830" max="14830" width="7.26953125" style="2810" customWidth="1"/>
    <col min="14831" max="14831" width="6.7265625" style="2810" customWidth="1"/>
    <col min="14832" max="14832" width="6" style="2810" customWidth="1"/>
    <col min="14833" max="14833" width="6.54296875" style="2810" customWidth="1"/>
    <col min="14834" max="14834" width="5" style="2810" customWidth="1"/>
    <col min="14835" max="14835" width="6" style="2810" customWidth="1"/>
    <col min="14836" max="14836" width="6.54296875" style="2810" customWidth="1"/>
    <col min="14837" max="14837" width="5" style="2810" customWidth="1"/>
    <col min="14838" max="14838" width="6.7265625" style="2810" customWidth="1"/>
    <col min="14839" max="15079" width="9.1796875" style="2810"/>
    <col min="15080" max="15080" width="3.26953125" style="2810" customWidth="1"/>
    <col min="15081" max="15081" width="36" style="2810" customWidth="1"/>
    <col min="15082" max="15082" width="8.26953125" style="2810" customWidth="1"/>
    <col min="15083" max="15083" width="12.7265625" style="2810" customWidth="1"/>
    <col min="15084" max="15084" width="5.7265625" style="2810" customWidth="1"/>
    <col min="15085" max="15085" width="7.453125" style="2810" customWidth="1"/>
    <col min="15086" max="15086" width="7.26953125" style="2810" customWidth="1"/>
    <col min="15087" max="15087" width="6.7265625" style="2810" customWidth="1"/>
    <col min="15088" max="15088" width="6" style="2810" customWidth="1"/>
    <col min="15089" max="15089" width="6.54296875" style="2810" customWidth="1"/>
    <col min="15090" max="15090" width="5" style="2810" customWidth="1"/>
    <col min="15091" max="15091" width="6" style="2810" customWidth="1"/>
    <col min="15092" max="15092" width="6.54296875" style="2810" customWidth="1"/>
    <col min="15093" max="15093" width="5" style="2810" customWidth="1"/>
    <col min="15094" max="15094" width="6.7265625" style="2810" customWidth="1"/>
    <col min="15095" max="15335" width="9.1796875" style="2810"/>
    <col min="15336" max="15336" width="3.26953125" style="2810" customWidth="1"/>
    <col min="15337" max="15337" width="36" style="2810" customWidth="1"/>
    <col min="15338" max="15338" width="8.26953125" style="2810" customWidth="1"/>
    <col min="15339" max="15339" width="12.7265625" style="2810" customWidth="1"/>
    <col min="15340" max="15340" width="5.7265625" style="2810" customWidth="1"/>
    <col min="15341" max="15341" width="7.453125" style="2810" customWidth="1"/>
    <col min="15342" max="15342" width="7.26953125" style="2810" customWidth="1"/>
    <col min="15343" max="15343" width="6.7265625" style="2810" customWidth="1"/>
    <col min="15344" max="15344" width="6" style="2810" customWidth="1"/>
    <col min="15345" max="15345" width="6.54296875" style="2810" customWidth="1"/>
    <col min="15346" max="15346" width="5" style="2810" customWidth="1"/>
    <col min="15347" max="15347" width="6" style="2810" customWidth="1"/>
    <col min="15348" max="15348" width="6.54296875" style="2810" customWidth="1"/>
    <col min="15349" max="15349" width="5" style="2810" customWidth="1"/>
    <col min="15350" max="15350" width="6.7265625" style="2810" customWidth="1"/>
    <col min="15351" max="15591" width="9.1796875" style="2810"/>
    <col min="15592" max="15592" width="3.26953125" style="2810" customWidth="1"/>
    <col min="15593" max="15593" width="36" style="2810" customWidth="1"/>
    <col min="15594" max="15594" width="8.26953125" style="2810" customWidth="1"/>
    <col min="15595" max="15595" width="12.7265625" style="2810" customWidth="1"/>
    <col min="15596" max="15596" width="5.7265625" style="2810" customWidth="1"/>
    <col min="15597" max="15597" width="7.453125" style="2810" customWidth="1"/>
    <col min="15598" max="15598" width="7.26953125" style="2810" customWidth="1"/>
    <col min="15599" max="15599" width="6.7265625" style="2810" customWidth="1"/>
    <col min="15600" max="15600" width="6" style="2810" customWidth="1"/>
    <col min="15601" max="15601" width="6.54296875" style="2810" customWidth="1"/>
    <col min="15602" max="15602" width="5" style="2810" customWidth="1"/>
    <col min="15603" max="15603" width="6" style="2810" customWidth="1"/>
    <col min="15604" max="15604" width="6.54296875" style="2810" customWidth="1"/>
    <col min="15605" max="15605" width="5" style="2810" customWidth="1"/>
    <col min="15606" max="15606" width="6.7265625" style="2810" customWidth="1"/>
    <col min="15607" max="15847" width="9.1796875" style="2810"/>
    <col min="15848" max="15848" width="3.26953125" style="2810" customWidth="1"/>
    <col min="15849" max="15849" width="36" style="2810" customWidth="1"/>
    <col min="15850" max="15850" width="8.26953125" style="2810" customWidth="1"/>
    <col min="15851" max="15851" width="12.7265625" style="2810" customWidth="1"/>
    <col min="15852" max="15852" width="5.7265625" style="2810" customWidth="1"/>
    <col min="15853" max="15853" width="7.453125" style="2810" customWidth="1"/>
    <col min="15854" max="15854" width="7.26953125" style="2810" customWidth="1"/>
    <col min="15855" max="15855" width="6.7265625" style="2810" customWidth="1"/>
    <col min="15856" max="15856" width="6" style="2810" customWidth="1"/>
    <col min="15857" max="15857" width="6.54296875" style="2810" customWidth="1"/>
    <col min="15858" max="15858" width="5" style="2810" customWidth="1"/>
    <col min="15859" max="15859" width="6" style="2810" customWidth="1"/>
    <col min="15860" max="15860" width="6.54296875" style="2810" customWidth="1"/>
    <col min="15861" max="15861" width="5" style="2810" customWidth="1"/>
    <col min="15862" max="15862" width="6.7265625" style="2810" customWidth="1"/>
    <col min="15863" max="16103" width="9.1796875" style="2810"/>
    <col min="16104" max="16104" width="3.26953125" style="2810" customWidth="1"/>
    <col min="16105" max="16105" width="36" style="2810" customWidth="1"/>
    <col min="16106" max="16106" width="8.26953125" style="2810" customWidth="1"/>
    <col min="16107" max="16107" width="12.7265625" style="2810" customWidth="1"/>
    <col min="16108" max="16108" width="5.7265625" style="2810" customWidth="1"/>
    <col min="16109" max="16109" width="7.453125" style="2810" customWidth="1"/>
    <col min="16110" max="16110" width="7.26953125" style="2810" customWidth="1"/>
    <col min="16111" max="16111" width="6.7265625" style="2810" customWidth="1"/>
    <col min="16112" max="16112" width="6" style="2810" customWidth="1"/>
    <col min="16113" max="16113" width="6.54296875" style="2810" customWidth="1"/>
    <col min="16114" max="16114" width="5" style="2810" customWidth="1"/>
    <col min="16115" max="16115" width="6" style="2810" customWidth="1"/>
    <col min="16116" max="16116" width="6.54296875" style="2810" customWidth="1"/>
    <col min="16117" max="16117" width="5" style="2810" customWidth="1"/>
    <col min="16118" max="16118" width="6.7265625" style="2810" customWidth="1"/>
    <col min="16119" max="16384" width="9.1796875" style="2810"/>
  </cols>
  <sheetData>
    <row r="1" spans="1:14">
      <c r="A1" s="2991" t="s">
        <v>2135</v>
      </c>
      <c r="B1" s="2991"/>
    </row>
    <row r="2" spans="1:14">
      <c r="A2" s="2335"/>
      <c r="B2" s="2335"/>
      <c r="C2" s="2336"/>
      <c r="D2" s="2335"/>
      <c r="E2" s="2335"/>
      <c r="F2" s="2335"/>
      <c r="G2" s="2335"/>
      <c r="H2" s="2335"/>
      <c r="I2" s="2335"/>
      <c r="J2" s="2335"/>
      <c r="K2" s="2335"/>
      <c r="L2" s="2335"/>
      <c r="M2" s="2335"/>
      <c r="N2" s="2335"/>
    </row>
    <row r="3" spans="1:14">
      <c r="A3" s="304" t="s">
        <v>2136</v>
      </c>
      <c r="B3" s="304"/>
      <c r="C3" s="751"/>
      <c r="D3" s="304"/>
      <c r="E3" s="304"/>
      <c r="F3" s="304"/>
      <c r="G3" s="304"/>
      <c r="H3" s="304"/>
      <c r="I3" s="304"/>
      <c r="J3" s="304"/>
      <c r="K3" s="304"/>
      <c r="L3" s="304"/>
      <c r="M3" s="304"/>
      <c r="N3" s="304"/>
    </row>
    <row r="4" spans="1:14" s="1356" customFormat="1">
      <c r="A4" s="1357"/>
      <c r="B4" s="1357"/>
      <c r="C4" s="2337"/>
      <c r="D4" s="1357"/>
      <c r="E4" s="1357"/>
      <c r="F4" s="1357"/>
      <c r="G4" s="1357"/>
      <c r="H4" s="1357"/>
      <c r="I4" s="1357"/>
      <c r="J4" s="1357"/>
      <c r="K4" s="1357"/>
      <c r="L4" s="1357"/>
      <c r="M4" s="1357"/>
      <c r="N4" s="1357"/>
    </row>
    <row r="5" spans="1:14" s="1356" customFormat="1">
      <c r="A5" s="2769">
        <v>1</v>
      </c>
      <c r="B5" s="2338" t="s">
        <v>2137</v>
      </c>
      <c r="C5" s="2338"/>
      <c r="D5" s="1357"/>
      <c r="E5" s="1357"/>
      <c r="F5" s="1357"/>
      <c r="G5" s="1357"/>
      <c r="H5" s="1357"/>
      <c r="I5" s="1357"/>
      <c r="J5" s="1357"/>
      <c r="K5" s="1357"/>
      <c r="L5" s="1357"/>
      <c r="M5" s="1357"/>
      <c r="N5" s="1357"/>
    </row>
    <row r="6" spans="1:14" s="1356" customFormat="1">
      <c r="A6" s="2769" t="s">
        <v>2138</v>
      </c>
      <c r="B6" s="2339" t="s">
        <v>14</v>
      </c>
      <c r="C6" s="2339" t="s">
        <v>2139</v>
      </c>
      <c r="D6" s="1357"/>
      <c r="E6" s="1357"/>
      <c r="F6" s="1357"/>
      <c r="G6" s="1357"/>
      <c r="H6" s="1357"/>
      <c r="I6" s="1357"/>
      <c r="J6" s="1357"/>
      <c r="K6" s="1357"/>
      <c r="L6" s="1357"/>
      <c r="M6" s="1357"/>
      <c r="N6" s="1357"/>
    </row>
    <row r="7" spans="1:14" s="1356" customFormat="1" ht="58">
      <c r="A7" s="2778" t="s">
        <v>129</v>
      </c>
      <c r="B7" s="294" t="s">
        <v>2140</v>
      </c>
      <c r="C7" s="2340" t="s">
        <v>2141</v>
      </c>
      <c r="D7" s="1357"/>
      <c r="E7" s="1357"/>
      <c r="F7" s="1357"/>
      <c r="G7" s="1357"/>
      <c r="H7" s="1357"/>
      <c r="I7" s="1357"/>
      <c r="J7" s="1357"/>
      <c r="K7" s="1357"/>
      <c r="L7" s="1357"/>
      <c r="M7" s="1357"/>
      <c r="N7" s="1357"/>
    </row>
    <row r="8" spans="1:14" s="1356" customFormat="1" ht="72.5">
      <c r="A8" s="2778" t="s">
        <v>130</v>
      </c>
      <c r="B8" s="294" t="s">
        <v>2142</v>
      </c>
      <c r="C8" s="70" t="s">
        <v>2143</v>
      </c>
      <c r="D8" s="1357"/>
      <c r="E8" s="1357"/>
      <c r="F8" s="1357"/>
      <c r="G8" s="1357"/>
      <c r="H8" s="1357"/>
      <c r="I8" s="1357"/>
      <c r="J8" s="1357"/>
      <c r="K8" s="1357"/>
      <c r="L8" s="1357"/>
      <c r="M8" s="1357"/>
      <c r="N8" s="1357"/>
    </row>
    <row r="9" spans="1:14" s="1356" customFormat="1">
      <c r="A9" s="1357"/>
      <c r="B9" s="1357"/>
      <c r="C9" s="2337"/>
      <c r="D9" s="1357"/>
      <c r="E9" s="1357"/>
      <c r="F9" s="1357"/>
      <c r="G9" s="1357"/>
      <c r="H9" s="1357"/>
      <c r="I9" s="1357"/>
      <c r="J9" s="1357"/>
      <c r="K9" s="1357"/>
      <c r="L9" s="1357"/>
      <c r="M9" s="1357"/>
      <c r="N9" s="1357"/>
    </row>
    <row r="10" spans="1:14" s="1356" customFormat="1">
      <c r="A10" s="2769">
        <v>2</v>
      </c>
      <c r="B10" s="2338" t="s">
        <v>2144</v>
      </c>
      <c r="C10" s="2338"/>
      <c r="D10" s="1357"/>
      <c r="E10" s="1357"/>
      <c r="F10" s="1357"/>
      <c r="G10" s="1357"/>
      <c r="H10" s="1357"/>
      <c r="I10" s="1357"/>
      <c r="J10" s="1357"/>
      <c r="K10" s="1357"/>
      <c r="L10" s="1357"/>
      <c r="M10" s="1357"/>
      <c r="N10" s="1357"/>
    </row>
    <row r="11" spans="1:14" s="1356" customFormat="1">
      <c r="A11" s="2769" t="s">
        <v>2145</v>
      </c>
      <c r="B11" s="2339" t="s">
        <v>14</v>
      </c>
      <c r="C11" s="2339" t="s">
        <v>2139</v>
      </c>
      <c r="D11" s="1357"/>
      <c r="E11" s="1357"/>
      <c r="F11" s="1357"/>
      <c r="G11" s="1357"/>
      <c r="H11" s="1357"/>
      <c r="I11" s="1357"/>
      <c r="J11" s="1357"/>
      <c r="K11" s="1357"/>
      <c r="L11" s="1357"/>
      <c r="M11" s="1357"/>
      <c r="N11" s="1357"/>
    </row>
    <row r="12" spans="1:14" s="1356" customFormat="1" ht="43.5">
      <c r="A12" s="2778" t="s">
        <v>129</v>
      </c>
      <c r="B12" s="294" t="s">
        <v>2140</v>
      </c>
      <c r="C12" s="2341" t="s">
        <v>2146</v>
      </c>
      <c r="D12" s="1357"/>
      <c r="E12" s="1357"/>
      <c r="F12" s="1357"/>
      <c r="G12" s="1357"/>
      <c r="H12" s="1357"/>
      <c r="I12" s="1357"/>
      <c r="J12" s="1357"/>
      <c r="K12" s="1357"/>
      <c r="L12" s="1357"/>
      <c r="M12" s="1357"/>
      <c r="N12" s="1357"/>
    </row>
    <row r="13" spans="1:14" s="1356" customFormat="1" ht="72.5">
      <c r="A13" s="2778" t="s">
        <v>130</v>
      </c>
      <c r="B13" s="294" t="s">
        <v>2142</v>
      </c>
      <c r="C13" s="70" t="s">
        <v>2147</v>
      </c>
      <c r="D13" s="1357"/>
      <c r="E13" s="1357"/>
      <c r="F13" s="1357"/>
      <c r="G13" s="1357"/>
      <c r="H13" s="1357"/>
      <c r="I13" s="1357"/>
      <c r="J13" s="1357"/>
      <c r="K13" s="1357"/>
      <c r="L13" s="1357"/>
      <c r="M13" s="1357"/>
      <c r="N13" s="1357"/>
    </row>
    <row r="14" spans="1:14" s="1356" customFormat="1">
      <c r="A14" s="1357"/>
      <c r="B14" s="1357"/>
      <c r="C14" s="2341"/>
      <c r="D14" s="1357"/>
      <c r="E14" s="1357"/>
      <c r="F14" s="1357"/>
      <c r="G14" s="1357"/>
      <c r="H14" s="1357"/>
      <c r="I14" s="1357"/>
      <c r="J14" s="1357"/>
      <c r="K14" s="1357"/>
      <c r="L14" s="1357"/>
      <c r="M14" s="1357"/>
      <c r="N14" s="1357"/>
    </row>
    <row r="15" spans="1:14" s="1356" customFormat="1">
      <c r="A15" s="2769" t="s">
        <v>2148</v>
      </c>
      <c r="B15" s="2338" t="s">
        <v>2149</v>
      </c>
      <c r="C15" s="2338"/>
      <c r="D15" s="1357"/>
      <c r="E15" s="1357"/>
      <c r="F15" s="1357"/>
      <c r="G15" s="1357"/>
      <c r="H15" s="1357"/>
      <c r="I15" s="1357"/>
      <c r="J15" s="1357"/>
      <c r="K15" s="1357"/>
      <c r="L15" s="1357"/>
      <c r="M15" s="1357"/>
      <c r="N15" s="1357"/>
    </row>
    <row r="16" spans="1:14" s="1356" customFormat="1">
      <c r="A16" s="2769" t="s">
        <v>2145</v>
      </c>
      <c r="B16" s="2339" t="s">
        <v>14</v>
      </c>
      <c r="C16" s="2339" t="s">
        <v>2139</v>
      </c>
      <c r="D16" s="1357"/>
      <c r="E16" s="1357"/>
      <c r="F16" s="1357"/>
      <c r="G16" s="1357"/>
      <c r="H16" s="1357"/>
      <c r="I16" s="1357"/>
      <c r="J16" s="1357"/>
      <c r="K16" s="1357"/>
      <c r="L16" s="1357"/>
      <c r="M16" s="1357"/>
      <c r="N16" s="1357"/>
    </row>
    <row r="17" spans="1:14" s="1356" customFormat="1" ht="57" customHeight="1">
      <c r="A17" s="2778" t="s">
        <v>129</v>
      </c>
      <c r="B17" s="294" t="s">
        <v>2140</v>
      </c>
      <c r="C17" s="2340" t="s">
        <v>2146</v>
      </c>
      <c r="D17" s="1357"/>
      <c r="E17" s="1357"/>
      <c r="F17" s="1357"/>
      <c r="G17" s="1357"/>
      <c r="H17" s="1357"/>
      <c r="I17" s="1357"/>
      <c r="J17" s="1357"/>
      <c r="K17" s="1357"/>
      <c r="L17" s="1357"/>
      <c r="M17" s="1357"/>
      <c r="N17" s="1357"/>
    </row>
    <row r="18" spans="1:14" s="1356" customFormat="1" ht="58">
      <c r="A18" s="2778" t="s">
        <v>130</v>
      </c>
      <c r="B18" s="294" t="s">
        <v>2142</v>
      </c>
      <c r="C18" s="70" t="s">
        <v>2150</v>
      </c>
      <c r="D18" s="1357"/>
      <c r="E18" s="1357"/>
      <c r="F18" s="1357"/>
      <c r="G18" s="1357"/>
      <c r="H18" s="1357"/>
      <c r="I18" s="1357"/>
      <c r="J18" s="1357"/>
      <c r="K18" s="1357"/>
      <c r="L18" s="1357"/>
      <c r="M18" s="1357"/>
      <c r="N18" s="1357"/>
    </row>
    <row r="19" spans="1:14" s="1356" customFormat="1">
      <c r="A19" s="2342"/>
      <c r="B19" s="2343"/>
      <c r="C19" s="2341"/>
      <c r="D19" s="1357"/>
      <c r="E19" s="1357"/>
      <c r="F19" s="1357"/>
      <c r="G19" s="1357"/>
      <c r="H19" s="1357"/>
      <c r="I19" s="1357"/>
      <c r="J19" s="1357"/>
      <c r="K19" s="1357"/>
      <c r="L19" s="1357"/>
      <c r="M19" s="1357"/>
      <c r="N19" s="1357"/>
    </row>
    <row r="20" spans="1:14" s="1356" customFormat="1">
      <c r="A20" s="2769" t="s">
        <v>2151</v>
      </c>
      <c r="B20" s="2338" t="s">
        <v>2152</v>
      </c>
      <c r="C20" s="2338"/>
      <c r="D20" s="1357"/>
      <c r="E20" s="1357"/>
      <c r="F20" s="1357"/>
      <c r="G20" s="1357"/>
      <c r="H20" s="1357"/>
      <c r="I20" s="1357"/>
      <c r="J20" s="1357"/>
      <c r="K20" s="1357"/>
      <c r="L20" s="1357"/>
      <c r="M20" s="1357"/>
      <c r="N20" s="1357"/>
    </row>
    <row r="21" spans="1:14" s="1356" customFormat="1">
      <c r="A21" s="2769" t="s">
        <v>2145</v>
      </c>
      <c r="B21" s="2339" t="s">
        <v>14</v>
      </c>
      <c r="C21" s="2339" t="s">
        <v>2139</v>
      </c>
      <c r="D21" s="1357"/>
      <c r="E21" s="1357"/>
      <c r="F21" s="1357"/>
      <c r="G21" s="1357"/>
      <c r="H21" s="1357"/>
      <c r="I21" s="1357"/>
      <c r="J21" s="1357"/>
      <c r="K21" s="1357"/>
      <c r="L21" s="1357"/>
      <c r="M21" s="1357"/>
      <c r="N21" s="1357"/>
    </row>
    <row r="22" spans="1:14" s="1356" customFormat="1" ht="43.5">
      <c r="A22" s="2778" t="s">
        <v>129</v>
      </c>
      <c r="B22" s="294" t="s">
        <v>2140</v>
      </c>
      <c r="C22" s="2341" t="s">
        <v>2146</v>
      </c>
      <c r="D22" s="1357"/>
      <c r="E22" s="1357"/>
      <c r="F22" s="1357"/>
      <c r="G22" s="1357"/>
      <c r="H22" s="1357"/>
      <c r="I22" s="1357"/>
      <c r="J22" s="1357"/>
      <c r="K22" s="1357"/>
      <c r="L22" s="1357"/>
      <c r="M22" s="1357"/>
      <c r="N22" s="1357"/>
    </row>
    <row r="23" spans="1:14" s="1356" customFormat="1" ht="72.5">
      <c r="A23" s="2778" t="s">
        <v>130</v>
      </c>
      <c r="B23" s="294" t="s">
        <v>2142</v>
      </c>
      <c r="C23" s="70" t="s">
        <v>2153</v>
      </c>
      <c r="D23" s="1357"/>
      <c r="E23" s="1357"/>
      <c r="F23" s="1357"/>
      <c r="G23" s="1357"/>
      <c r="H23" s="1357"/>
      <c r="I23" s="1357"/>
      <c r="J23" s="1357"/>
      <c r="K23" s="1357"/>
      <c r="L23" s="1357"/>
      <c r="M23" s="1357"/>
      <c r="N23" s="1357"/>
    </row>
    <row r="24" spans="1:14" s="1356" customFormat="1">
      <c r="A24" s="2342"/>
      <c r="B24" s="2343"/>
      <c r="C24" s="559"/>
      <c r="D24" s="1357"/>
      <c r="E24" s="1357"/>
      <c r="F24" s="1357"/>
      <c r="G24" s="1357"/>
      <c r="H24" s="1357"/>
      <c r="I24" s="1357"/>
      <c r="J24" s="1357"/>
      <c r="K24" s="1357"/>
      <c r="L24" s="1357"/>
      <c r="M24" s="1357"/>
      <c r="N24" s="1357"/>
    </row>
    <row r="25" spans="1:14" s="1839" customFormat="1">
      <c r="A25" s="2769" t="s">
        <v>2154</v>
      </c>
      <c r="B25" s="2339" t="s">
        <v>2155</v>
      </c>
      <c r="C25" s="2338"/>
      <c r="D25" s="1836"/>
      <c r="E25" s="1836"/>
      <c r="F25" s="1836"/>
      <c r="G25" s="1836"/>
      <c r="H25" s="1836"/>
      <c r="I25" s="1836"/>
      <c r="J25" s="1836"/>
      <c r="K25" s="1836"/>
      <c r="L25" s="1836"/>
      <c r="M25" s="1836"/>
      <c r="N25" s="1836"/>
    </row>
    <row r="26" spans="1:14" s="1356" customFormat="1">
      <c r="A26" s="2769" t="s">
        <v>2145</v>
      </c>
      <c r="B26" s="2339" t="s">
        <v>14</v>
      </c>
      <c r="C26" s="2339" t="s">
        <v>2139</v>
      </c>
      <c r="D26" s="1357"/>
      <c r="E26" s="1357"/>
      <c r="F26" s="1357"/>
      <c r="G26" s="1357"/>
      <c r="H26" s="1357"/>
      <c r="I26" s="1357"/>
      <c r="J26" s="1357"/>
      <c r="K26" s="1357"/>
      <c r="L26" s="1357"/>
      <c r="M26" s="1357"/>
      <c r="N26" s="1357"/>
    </row>
    <row r="27" spans="1:14" s="1356" customFormat="1" ht="43.5">
      <c r="A27" s="2778" t="s">
        <v>129</v>
      </c>
      <c r="B27" s="294" t="s">
        <v>2140</v>
      </c>
      <c r="C27" s="524" t="s">
        <v>2156</v>
      </c>
      <c r="D27" s="1357"/>
      <c r="E27" s="1357"/>
      <c r="F27" s="1357"/>
      <c r="G27" s="1357"/>
      <c r="H27" s="1357"/>
      <c r="I27" s="1357"/>
      <c r="J27" s="1357"/>
      <c r="K27" s="1357"/>
      <c r="L27" s="1357"/>
      <c r="M27" s="1357"/>
      <c r="N27" s="1357"/>
    </row>
    <row r="28" spans="1:14" s="1356" customFormat="1" ht="74.25" customHeight="1">
      <c r="A28" s="2778" t="s">
        <v>130</v>
      </c>
      <c r="B28" s="294" t="s">
        <v>2142</v>
      </c>
      <c r="C28" s="70" t="s">
        <v>2153</v>
      </c>
      <c r="D28" s="1357"/>
      <c r="E28" s="1357"/>
      <c r="F28" s="1357"/>
      <c r="G28" s="1357"/>
      <c r="H28" s="1357"/>
      <c r="I28" s="1357"/>
      <c r="J28" s="1357"/>
      <c r="K28" s="1357"/>
      <c r="L28" s="1357"/>
      <c r="M28" s="1357"/>
      <c r="N28" s="1357"/>
    </row>
    <row r="29" spans="1:14" s="1356" customFormat="1">
      <c r="A29" s="2342"/>
      <c r="B29" s="2343"/>
      <c r="C29" s="2344"/>
      <c r="D29" s="1357"/>
      <c r="E29" s="1357"/>
      <c r="F29" s="1357"/>
      <c r="G29" s="1357"/>
      <c r="H29" s="1357"/>
      <c r="I29" s="1357"/>
      <c r="J29" s="1357"/>
      <c r="K29" s="1357"/>
      <c r="L29" s="1357"/>
      <c r="M29" s="1357"/>
      <c r="N29" s="1357"/>
    </row>
    <row r="30" spans="1:14" s="1839" customFormat="1">
      <c r="A30" s="2769" t="s">
        <v>2157</v>
      </c>
      <c r="B30" s="2338" t="s">
        <v>2158</v>
      </c>
      <c r="C30" s="2338"/>
      <c r="D30" s="1836"/>
      <c r="E30" s="1836"/>
      <c r="F30" s="1836"/>
      <c r="G30" s="1836"/>
      <c r="H30" s="1836"/>
      <c r="I30" s="1836"/>
      <c r="J30" s="1836"/>
      <c r="K30" s="1836"/>
      <c r="L30" s="1836"/>
      <c r="M30" s="1836"/>
      <c r="N30" s="1836"/>
    </row>
    <row r="31" spans="1:14" s="1356" customFormat="1">
      <c r="A31" s="2769" t="s">
        <v>2145</v>
      </c>
      <c r="B31" s="2339" t="s">
        <v>14</v>
      </c>
      <c r="C31" s="2339" t="s">
        <v>2139</v>
      </c>
      <c r="D31" s="1357"/>
      <c r="E31" s="1357"/>
      <c r="F31" s="1357"/>
      <c r="G31" s="1357"/>
      <c r="H31" s="1357"/>
      <c r="I31" s="1357"/>
      <c r="J31" s="1357"/>
      <c r="K31" s="1357"/>
      <c r="L31" s="1357"/>
      <c r="M31" s="1357"/>
      <c r="N31" s="1357"/>
    </row>
    <row r="32" spans="1:14" s="1356" customFormat="1" ht="43.5">
      <c r="A32" s="2778" t="s">
        <v>129</v>
      </c>
      <c r="B32" s="294" t="s">
        <v>2140</v>
      </c>
      <c r="C32" s="2341" t="s">
        <v>2146</v>
      </c>
      <c r="D32" s="1357"/>
      <c r="E32" s="1357"/>
      <c r="F32" s="1357"/>
      <c r="G32" s="1357"/>
      <c r="H32" s="1357"/>
      <c r="I32" s="1357"/>
      <c r="J32" s="1357"/>
      <c r="K32" s="1357"/>
      <c r="L32" s="1357"/>
      <c r="M32" s="1357"/>
      <c r="N32" s="1357"/>
    </row>
    <row r="33" spans="1:14" s="1356" customFormat="1" ht="72.5">
      <c r="A33" s="2778" t="s">
        <v>130</v>
      </c>
      <c r="B33" s="294" t="s">
        <v>2142</v>
      </c>
      <c r="C33" s="70" t="s">
        <v>2143</v>
      </c>
      <c r="D33" s="1357"/>
      <c r="E33" s="1357"/>
      <c r="F33" s="1357"/>
      <c r="G33" s="1357"/>
      <c r="H33" s="1357"/>
      <c r="I33" s="1357"/>
      <c r="J33" s="1357"/>
      <c r="K33" s="1357"/>
      <c r="L33" s="1357"/>
      <c r="M33" s="1357"/>
      <c r="N33" s="1357"/>
    </row>
    <row r="34" spans="1:14" s="1356" customFormat="1">
      <c r="A34" s="2342"/>
      <c r="B34" s="2343"/>
      <c r="C34" s="2344"/>
      <c r="D34" s="1357"/>
      <c r="E34" s="1357"/>
      <c r="F34" s="1357"/>
      <c r="G34" s="1357"/>
      <c r="H34" s="1357"/>
      <c r="I34" s="1357"/>
      <c r="J34" s="1357"/>
      <c r="K34" s="1357"/>
      <c r="L34" s="1357"/>
      <c r="M34" s="1357"/>
      <c r="N34" s="1357"/>
    </row>
    <row r="35" spans="1:14" s="1839" customFormat="1">
      <c r="A35" s="2769" t="s">
        <v>2159</v>
      </c>
      <c r="B35" s="2338" t="s">
        <v>2160</v>
      </c>
      <c r="C35" s="2338"/>
      <c r="D35" s="1836"/>
      <c r="E35" s="1836"/>
      <c r="F35" s="1836"/>
      <c r="G35" s="1836"/>
      <c r="H35" s="1836"/>
      <c r="I35" s="1836"/>
      <c r="J35" s="1836"/>
      <c r="K35" s="1836"/>
      <c r="L35" s="1836"/>
      <c r="M35" s="1836"/>
      <c r="N35" s="1836"/>
    </row>
    <row r="36" spans="1:14" s="1356" customFormat="1">
      <c r="A36" s="2769" t="s">
        <v>2145</v>
      </c>
      <c r="B36" s="2339" t="s">
        <v>14</v>
      </c>
      <c r="C36" s="2339" t="s">
        <v>2139</v>
      </c>
      <c r="D36" s="1357"/>
      <c r="E36" s="1357"/>
      <c r="F36" s="1357"/>
      <c r="G36" s="1357"/>
      <c r="H36" s="1357"/>
      <c r="I36" s="1357"/>
      <c r="J36" s="1357"/>
      <c r="K36" s="1357"/>
      <c r="L36" s="1357"/>
      <c r="M36" s="1357"/>
      <c r="N36" s="1357"/>
    </row>
    <row r="37" spans="1:14" s="1356" customFormat="1" ht="43.5">
      <c r="A37" s="2778" t="s">
        <v>129</v>
      </c>
      <c r="B37" s="294" t="s">
        <v>2140</v>
      </c>
      <c r="C37" s="2341" t="s">
        <v>2146</v>
      </c>
      <c r="D37" s="1357"/>
      <c r="E37" s="1357"/>
      <c r="F37" s="1357"/>
      <c r="G37" s="1357"/>
      <c r="H37" s="1357"/>
      <c r="I37" s="1357"/>
      <c r="J37" s="1357"/>
      <c r="K37" s="1357"/>
      <c r="L37" s="1357"/>
      <c r="M37" s="1357"/>
      <c r="N37" s="1357"/>
    </row>
    <row r="38" spans="1:14" s="1356" customFormat="1" ht="72.5">
      <c r="A38" s="2778" t="s">
        <v>130</v>
      </c>
      <c r="B38" s="294" t="s">
        <v>2142</v>
      </c>
      <c r="C38" s="70" t="s">
        <v>2143</v>
      </c>
      <c r="D38" s="1357"/>
      <c r="E38" s="1357"/>
      <c r="F38" s="1357"/>
      <c r="G38" s="1357"/>
      <c r="H38" s="1357"/>
      <c r="I38" s="1357"/>
      <c r="J38" s="1357"/>
      <c r="K38" s="1357"/>
      <c r="L38" s="1357"/>
      <c r="M38" s="1357"/>
      <c r="N38" s="1357"/>
    </row>
    <row r="39" spans="1:14" s="1356" customFormat="1">
      <c r="A39" s="2342"/>
      <c r="B39" s="2343"/>
      <c r="C39" s="2344"/>
      <c r="D39" s="1357"/>
      <c r="E39" s="1357"/>
      <c r="F39" s="1357"/>
      <c r="G39" s="1357"/>
      <c r="H39" s="1357"/>
      <c r="I39" s="1357"/>
      <c r="J39" s="1357"/>
      <c r="K39" s="1357"/>
      <c r="L39" s="1357"/>
      <c r="M39" s="1357"/>
      <c r="N39" s="1357"/>
    </row>
    <row r="40" spans="1:14" s="1356" customFormat="1">
      <c r="A40" s="2342"/>
      <c r="B40" s="2343"/>
      <c r="C40" s="2344"/>
      <c r="D40" s="1357"/>
      <c r="E40" s="1357"/>
      <c r="F40" s="1357"/>
      <c r="G40" s="1357"/>
      <c r="H40" s="1357"/>
      <c r="I40" s="1357"/>
      <c r="J40" s="1357"/>
      <c r="K40" s="1357"/>
      <c r="L40" s="1357"/>
      <c r="M40" s="1357"/>
      <c r="N40" s="1357"/>
    </row>
    <row r="41" spans="1:14" s="1839" customFormat="1">
      <c r="A41" s="2769" t="s">
        <v>2161</v>
      </c>
      <c r="B41" s="2338" t="s">
        <v>2162</v>
      </c>
      <c r="C41" s="2338"/>
      <c r="D41" s="1836"/>
      <c r="E41" s="1836"/>
      <c r="F41" s="1836"/>
      <c r="G41" s="1836"/>
      <c r="H41" s="1836"/>
      <c r="I41" s="1836"/>
      <c r="J41" s="1836"/>
      <c r="K41" s="1836"/>
      <c r="L41" s="1836"/>
      <c r="M41" s="1836"/>
      <c r="N41" s="1836"/>
    </row>
    <row r="42" spans="1:14" s="1356" customFormat="1">
      <c r="A42" s="2769" t="s">
        <v>2145</v>
      </c>
      <c r="B42" s="2339" t="s">
        <v>14</v>
      </c>
      <c r="C42" s="2339" t="s">
        <v>2139</v>
      </c>
      <c r="D42" s="1357"/>
      <c r="E42" s="1357"/>
      <c r="F42" s="1357"/>
      <c r="G42" s="1357"/>
      <c r="H42" s="1357"/>
      <c r="I42" s="1357"/>
      <c r="J42" s="1357"/>
      <c r="K42" s="1357"/>
      <c r="L42" s="1357"/>
      <c r="M42" s="1357"/>
      <c r="N42" s="1357"/>
    </row>
    <row r="43" spans="1:14" s="1356" customFormat="1" ht="70.5" customHeight="1">
      <c r="A43" s="2778" t="s">
        <v>129</v>
      </c>
      <c r="B43" s="294" t="s">
        <v>2140</v>
      </c>
      <c r="C43" s="2341" t="s">
        <v>2163</v>
      </c>
      <c r="D43" s="1357"/>
      <c r="E43" s="1357"/>
      <c r="F43" s="1357"/>
      <c r="G43" s="1357"/>
      <c r="H43" s="1357"/>
      <c r="I43" s="1357"/>
      <c r="J43" s="1357"/>
      <c r="K43" s="1357"/>
      <c r="L43" s="1357"/>
      <c r="M43" s="1357"/>
      <c r="N43" s="1357"/>
    </row>
    <row r="44" spans="1:14" s="1356" customFormat="1" ht="72.5">
      <c r="A44" s="2778" t="s">
        <v>130</v>
      </c>
      <c r="B44" s="294" t="s">
        <v>2142</v>
      </c>
      <c r="C44" s="70" t="s">
        <v>2153</v>
      </c>
      <c r="D44" s="1357"/>
      <c r="E44" s="1357"/>
      <c r="F44" s="1357"/>
      <c r="G44" s="1357"/>
      <c r="H44" s="1357"/>
      <c r="I44" s="1357"/>
      <c r="J44" s="1357"/>
      <c r="K44" s="1357"/>
      <c r="L44" s="1357"/>
      <c r="M44" s="1357"/>
      <c r="N44" s="1357"/>
    </row>
    <row r="45" spans="1:14" s="1356" customFormat="1">
      <c r="A45" s="2778"/>
      <c r="B45" s="294"/>
      <c r="C45" s="421"/>
      <c r="D45" s="1357"/>
      <c r="E45" s="1357"/>
      <c r="F45" s="1357"/>
      <c r="G45" s="1357"/>
      <c r="H45" s="1357"/>
      <c r="I45" s="1357"/>
      <c r="J45" s="1357"/>
      <c r="K45" s="1357"/>
      <c r="L45" s="1357"/>
      <c r="M45" s="1357"/>
      <c r="N45" s="1357"/>
    </row>
    <row r="46" spans="1:14" s="1356" customFormat="1">
      <c r="A46" s="2778"/>
      <c r="B46" s="294"/>
      <c r="C46" s="421"/>
      <c r="D46" s="1357"/>
      <c r="E46" s="1357"/>
      <c r="F46" s="1357"/>
      <c r="G46" s="1357"/>
      <c r="H46" s="1357"/>
      <c r="I46" s="1357"/>
      <c r="J46" s="1357"/>
      <c r="K46" s="1357"/>
      <c r="L46" s="1357"/>
      <c r="M46" s="1357"/>
      <c r="N46" s="1357"/>
    </row>
    <row r="47" spans="1:14" s="1356" customFormat="1">
      <c r="A47" s="2769" t="s">
        <v>2164</v>
      </c>
      <c r="B47" s="2338" t="s">
        <v>2165</v>
      </c>
      <c r="C47" s="2339" t="s">
        <v>2092</v>
      </c>
      <c r="D47" s="1357"/>
      <c r="E47" s="1357"/>
      <c r="F47" s="1357"/>
      <c r="G47" s="1357"/>
      <c r="H47" s="1357"/>
      <c r="I47" s="1357"/>
      <c r="J47" s="1357"/>
      <c r="K47" s="1357"/>
      <c r="L47" s="1357"/>
      <c r="M47" s="1357"/>
      <c r="N47" s="1357"/>
    </row>
    <row r="48" spans="1:14" s="1356" customFormat="1">
      <c r="A48" s="2769" t="s">
        <v>2145</v>
      </c>
      <c r="B48" s="2339" t="s">
        <v>14</v>
      </c>
      <c r="C48" s="2339" t="s">
        <v>2139</v>
      </c>
      <c r="D48" s="1357"/>
      <c r="E48" s="1357"/>
      <c r="F48" s="1357"/>
      <c r="G48" s="1357"/>
      <c r="H48" s="1357"/>
      <c r="I48" s="1357"/>
      <c r="J48" s="1357"/>
      <c r="K48" s="1357"/>
      <c r="L48" s="1357"/>
      <c r="M48" s="1357"/>
      <c r="N48" s="1357"/>
    </row>
    <row r="49" spans="1:14" s="1356" customFormat="1" ht="81.75" customHeight="1">
      <c r="A49" s="2778" t="s">
        <v>129</v>
      </c>
      <c r="B49" s="294" t="s">
        <v>2140</v>
      </c>
      <c r="C49" s="524" t="s">
        <v>2166</v>
      </c>
      <c r="D49" s="1357"/>
      <c r="E49" s="1357"/>
      <c r="F49" s="1357"/>
      <c r="G49" s="1357"/>
      <c r="H49" s="1357"/>
      <c r="I49" s="1357"/>
      <c r="J49" s="1357"/>
      <c r="K49" s="1357"/>
      <c r="L49" s="1357"/>
      <c r="M49" s="1357"/>
      <c r="N49" s="1357"/>
    </row>
    <row r="50" spans="1:14" s="1356" customFormat="1" ht="72.5">
      <c r="A50" s="2778" t="s">
        <v>130</v>
      </c>
      <c r="B50" s="294" t="s">
        <v>2142</v>
      </c>
      <c r="C50" s="70" t="s">
        <v>2153</v>
      </c>
      <c r="D50" s="1357"/>
      <c r="E50" s="1357"/>
      <c r="F50" s="1357"/>
      <c r="G50" s="1357"/>
      <c r="H50" s="1357"/>
      <c r="I50" s="1357"/>
      <c r="J50" s="1357"/>
      <c r="K50" s="1357"/>
      <c r="L50" s="1357"/>
      <c r="M50" s="1357"/>
      <c r="N50" s="1357"/>
    </row>
    <row r="51" spans="1:14" s="1356" customFormat="1">
      <c r="A51" s="1357"/>
      <c r="B51" s="1357"/>
      <c r="C51" s="2337"/>
      <c r="D51" s="1357"/>
      <c r="E51" s="1357"/>
      <c r="F51" s="1357"/>
      <c r="G51" s="1357"/>
      <c r="H51" s="1357"/>
      <c r="I51" s="1357"/>
      <c r="J51" s="1357"/>
      <c r="K51" s="1357"/>
      <c r="L51" s="1357"/>
      <c r="M51" s="1357"/>
      <c r="N51" s="1357"/>
    </row>
    <row r="52" spans="1:14" s="1839" customFormat="1">
      <c r="A52" s="2769" t="s">
        <v>2167</v>
      </c>
      <c r="B52" s="2338" t="s">
        <v>2165</v>
      </c>
      <c r="C52" s="2339" t="s">
        <v>1745</v>
      </c>
      <c r="D52" s="1836"/>
      <c r="E52" s="1836"/>
      <c r="F52" s="1836"/>
      <c r="G52" s="1836"/>
      <c r="H52" s="1836"/>
      <c r="I52" s="1836"/>
      <c r="J52" s="1836"/>
      <c r="K52" s="1836"/>
      <c r="L52" s="1836"/>
      <c r="M52" s="1836"/>
      <c r="N52" s="1836"/>
    </row>
    <row r="53" spans="1:14" s="1356" customFormat="1">
      <c r="A53" s="2769" t="s">
        <v>2145</v>
      </c>
      <c r="B53" s="2339" t="s">
        <v>14</v>
      </c>
      <c r="C53" s="2339" t="s">
        <v>2139</v>
      </c>
      <c r="D53" s="1357"/>
      <c r="E53" s="1357"/>
      <c r="F53" s="1357"/>
      <c r="G53" s="1357"/>
      <c r="H53" s="1357"/>
      <c r="I53" s="1357"/>
      <c r="J53" s="1357"/>
      <c r="K53" s="1357"/>
      <c r="L53" s="1357"/>
      <c r="M53" s="1357"/>
      <c r="N53" s="1357"/>
    </row>
    <row r="54" spans="1:14" s="1356" customFormat="1" ht="43.5">
      <c r="A54" s="2778" t="s">
        <v>129</v>
      </c>
      <c r="B54" s="294" t="s">
        <v>2140</v>
      </c>
      <c r="C54" s="2341" t="s">
        <v>2146</v>
      </c>
      <c r="D54" s="1357"/>
      <c r="E54" s="1357"/>
      <c r="F54" s="1357"/>
      <c r="G54" s="1357"/>
      <c r="H54" s="1357"/>
      <c r="I54" s="1357"/>
      <c r="J54" s="1357"/>
      <c r="K54" s="1357"/>
      <c r="L54" s="1357"/>
      <c r="M54" s="1357"/>
      <c r="N54" s="1357"/>
    </row>
    <row r="55" spans="1:14" s="1356" customFormat="1" ht="72.5">
      <c r="A55" s="2778" t="s">
        <v>130</v>
      </c>
      <c r="B55" s="294" t="s">
        <v>2142</v>
      </c>
      <c r="C55" s="70" t="s">
        <v>2153</v>
      </c>
      <c r="D55" s="1357"/>
      <c r="E55" s="1357"/>
      <c r="F55" s="1357"/>
      <c r="G55" s="1357"/>
      <c r="H55" s="1357"/>
      <c r="I55" s="1357"/>
      <c r="J55" s="1357"/>
      <c r="K55" s="1357"/>
      <c r="L55" s="1357"/>
      <c r="M55" s="1357"/>
      <c r="N55" s="1357"/>
    </row>
    <row r="56" spans="1:14" s="1356" customFormat="1">
      <c r="A56" s="1357"/>
      <c r="B56" s="1357"/>
      <c r="C56" s="2337"/>
      <c r="D56" s="1357"/>
      <c r="E56" s="1357"/>
      <c r="F56" s="1357"/>
      <c r="G56" s="1357"/>
      <c r="H56" s="1357"/>
      <c r="I56" s="1357"/>
      <c r="J56" s="1357"/>
      <c r="K56" s="1357"/>
      <c r="L56" s="1357"/>
      <c r="M56" s="1357"/>
      <c r="N56" s="1357"/>
    </row>
    <row r="57" spans="1:14" s="1356" customFormat="1">
      <c r="A57" s="3178" t="s">
        <v>2168</v>
      </c>
      <c r="B57" s="3179"/>
      <c r="C57" s="3180"/>
      <c r="D57" s="1357"/>
      <c r="E57" s="1357"/>
      <c r="F57" s="1357"/>
      <c r="G57" s="1357"/>
      <c r="H57" s="1357"/>
      <c r="I57" s="1357"/>
      <c r="J57" s="1357"/>
      <c r="K57" s="1357"/>
      <c r="L57" s="1357"/>
      <c r="M57" s="1357"/>
      <c r="N57" s="1357"/>
    </row>
    <row r="58" spans="1:14" s="1356" customFormat="1">
      <c r="A58" s="2769" t="s">
        <v>2145</v>
      </c>
      <c r="B58" s="2339" t="s">
        <v>14</v>
      </c>
      <c r="C58" s="2339" t="s">
        <v>2139</v>
      </c>
      <c r="D58" s="1357"/>
      <c r="E58" s="1357"/>
      <c r="F58" s="1357"/>
      <c r="G58" s="1357"/>
      <c r="H58" s="1357"/>
      <c r="I58" s="1357"/>
      <c r="J58" s="1357"/>
      <c r="K58" s="1357"/>
      <c r="L58" s="1357"/>
      <c r="M58" s="1357"/>
      <c r="N58" s="1357"/>
    </row>
    <row r="59" spans="1:14" s="1356" customFormat="1" ht="72.5">
      <c r="A59" s="2778" t="s">
        <v>129</v>
      </c>
      <c r="B59" s="294" t="s">
        <v>2140</v>
      </c>
      <c r="C59" s="2345" t="s">
        <v>2169</v>
      </c>
      <c r="D59" s="1357"/>
      <c r="E59" s="1357"/>
      <c r="F59" s="1357"/>
      <c r="G59" s="1357"/>
      <c r="H59" s="1357"/>
      <c r="I59" s="1357"/>
      <c r="J59" s="1357"/>
      <c r="K59" s="1357"/>
      <c r="L59" s="1357"/>
      <c r="M59" s="1357"/>
      <c r="N59" s="1357"/>
    </row>
    <row r="60" spans="1:14" s="1356" customFormat="1" ht="29">
      <c r="A60" s="2778" t="s">
        <v>130</v>
      </c>
      <c r="B60" s="294" t="s">
        <v>2142</v>
      </c>
      <c r="C60" s="524" t="s">
        <v>2170</v>
      </c>
      <c r="D60" s="1357"/>
      <c r="E60" s="1357"/>
      <c r="F60" s="1357"/>
      <c r="G60" s="1357"/>
      <c r="H60" s="1357"/>
      <c r="I60" s="1357"/>
      <c r="J60" s="1357"/>
      <c r="K60" s="1357"/>
      <c r="L60" s="1357"/>
      <c r="M60" s="1357"/>
      <c r="N60" s="1357"/>
    </row>
    <row r="61" spans="1:14" s="1356" customFormat="1">
      <c r="A61" s="1357"/>
      <c r="B61" s="1357"/>
      <c r="C61" s="2337"/>
      <c r="D61" s="1357"/>
      <c r="E61" s="1357"/>
      <c r="F61" s="1357"/>
      <c r="G61" s="1357"/>
      <c r="H61" s="1357"/>
      <c r="I61" s="1357"/>
      <c r="J61" s="1357"/>
      <c r="K61" s="1357"/>
      <c r="L61" s="1357"/>
      <c r="M61" s="1357"/>
      <c r="N61" s="1357"/>
    </row>
    <row r="62" spans="1:14" s="1839" customFormat="1">
      <c r="A62" s="2797" t="s">
        <v>2171</v>
      </c>
      <c r="B62" s="2798"/>
      <c r="C62" s="2799"/>
      <c r="D62" s="1836"/>
      <c r="E62" s="1836"/>
      <c r="F62" s="1836"/>
      <c r="G62" s="1836"/>
      <c r="H62" s="1836"/>
      <c r="I62" s="1836"/>
      <c r="J62" s="1836"/>
      <c r="K62" s="1836"/>
      <c r="L62" s="1836"/>
      <c r="M62" s="1836"/>
      <c r="N62" s="1836"/>
    </row>
    <row r="63" spans="1:14" s="1356" customFormat="1">
      <c r="A63" s="2769" t="s">
        <v>2145</v>
      </c>
      <c r="B63" s="2339" t="s">
        <v>14</v>
      </c>
      <c r="C63" s="2339" t="s">
        <v>2139</v>
      </c>
      <c r="D63" s="1357"/>
      <c r="E63" s="1357"/>
      <c r="F63" s="1357"/>
      <c r="G63" s="1357"/>
      <c r="H63" s="1357"/>
      <c r="I63" s="1357"/>
      <c r="J63" s="1357"/>
      <c r="K63" s="1357"/>
      <c r="L63" s="1357"/>
      <c r="M63" s="1357"/>
      <c r="N63" s="1357"/>
    </row>
    <row r="64" spans="1:14" s="1356" customFormat="1" ht="72.5">
      <c r="A64" s="2778" t="s">
        <v>129</v>
      </c>
      <c r="B64" s="294" t="s">
        <v>2140</v>
      </c>
      <c r="C64" s="2345" t="s">
        <v>2172</v>
      </c>
      <c r="D64" s="1357"/>
      <c r="E64" s="1357"/>
      <c r="F64" s="1357"/>
      <c r="G64" s="1357"/>
      <c r="H64" s="1357"/>
      <c r="I64" s="1357"/>
      <c r="J64" s="1357"/>
      <c r="K64" s="1357"/>
      <c r="L64" s="1357"/>
      <c r="M64" s="1357"/>
      <c r="N64" s="1357"/>
    </row>
    <row r="65" spans="1:145" s="1356" customFormat="1" ht="29">
      <c r="A65" s="2778" t="s">
        <v>130</v>
      </c>
      <c r="B65" s="294" t="s">
        <v>2142</v>
      </c>
      <c r="C65" s="524" t="s">
        <v>2173</v>
      </c>
      <c r="D65" s="1357"/>
      <c r="E65" s="1357"/>
      <c r="F65" s="1357"/>
      <c r="G65" s="1357"/>
      <c r="H65" s="1357"/>
      <c r="I65" s="1357"/>
      <c r="J65" s="1357"/>
      <c r="K65" s="1357"/>
      <c r="L65" s="1357"/>
      <c r="M65" s="1357"/>
      <c r="N65" s="1357"/>
    </row>
    <row r="66" spans="1:145" s="1356" customFormat="1">
      <c r="A66" s="2778"/>
      <c r="B66" s="294"/>
      <c r="C66" s="2345"/>
      <c r="D66" s="1357"/>
      <c r="E66" s="1357"/>
      <c r="F66" s="1357"/>
      <c r="G66" s="1357"/>
      <c r="H66" s="1357"/>
      <c r="I66" s="1357"/>
      <c r="J66" s="1357"/>
      <c r="K66" s="1357"/>
      <c r="L66" s="1357"/>
      <c r="M66" s="1357"/>
      <c r="N66" s="1357"/>
    </row>
    <row r="67" spans="1:145" s="1839" customFormat="1">
      <c r="A67" s="2797" t="s">
        <v>2174</v>
      </c>
      <c r="B67" s="2798"/>
      <c r="C67" s="2799"/>
      <c r="D67" s="1836"/>
      <c r="E67" s="1836"/>
      <c r="F67" s="1836"/>
      <c r="G67" s="1836"/>
      <c r="H67" s="1836"/>
      <c r="I67" s="1836"/>
      <c r="J67" s="1836"/>
      <c r="K67" s="1836"/>
      <c r="L67" s="1836"/>
      <c r="M67" s="1836"/>
      <c r="N67" s="1836"/>
    </row>
    <row r="68" spans="1:145" s="1356" customFormat="1">
      <c r="A68" s="2769" t="s">
        <v>2145</v>
      </c>
      <c r="B68" s="2339" t="s">
        <v>14</v>
      </c>
      <c r="C68" s="2339" t="s">
        <v>2139</v>
      </c>
      <c r="D68" s="1357"/>
      <c r="E68" s="1357"/>
      <c r="F68" s="1357"/>
      <c r="G68" s="1357"/>
      <c r="H68" s="1357"/>
      <c r="I68" s="1357"/>
      <c r="J68" s="1357"/>
      <c r="K68" s="1357"/>
      <c r="L68" s="1357"/>
      <c r="M68" s="1357"/>
      <c r="N68" s="1357"/>
    </row>
    <row r="69" spans="1:145" ht="60.75" customHeight="1">
      <c r="A69" s="2778" t="s">
        <v>129</v>
      </c>
      <c r="B69" s="294" t="s">
        <v>2140</v>
      </c>
      <c r="C69" s="2345" t="s">
        <v>2175</v>
      </c>
      <c r="D69" s="2346"/>
      <c r="E69" s="2346"/>
      <c r="F69" s="2346"/>
      <c r="G69" s="2346"/>
      <c r="H69" s="2346"/>
      <c r="I69" s="2346"/>
      <c r="J69" s="2346"/>
      <c r="K69" s="2346"/>
      <c r="L69" s="2346"/>
      <c r="M69" s="2346"/>
      <c r="N69" s="2346"/>
      <c r="O69" s="2346"/>
      <c r="P69" s="2346"/>
      <c r="Q69" s="2346"/>
      <c r="R69" s="2346"/>
      <c r="S69" s="2346"/>
      <c r="T69" s="2346"/>
      <c r="U69" s="2346"/>
      <c r="V69" s="2346"/>
      <c r="W69" s="2346"/>
      <c r="X69" s="2346"/>
      <c r="Y69" s="2346"/>
      <c r="Z69" s="2346"/>
      <c r="AA69" s="2346"/>
      <c r="AB69" s="2346"/>
      <c r="AC69" s="2346"/>
      <c r="AD69" s="2346"/>
      <c r="AE69" s="2346"/>
      <c r="AF69" s="2346"/>
      <c r="AG69" s="2346"/>
      <c r="AH69" s="2346"/>
      <c r="AI69" s="2346"/>
      <c r="AJ69" s="2346"/>
      <c r="AK69" s="2346"/>
      <c r="AL69" s="2346"/>
      <c r="AM69" s="2346"/>
      <c r="AN69" s="2346"/>
      <c r="AO69" s="2346"/>
      <c r="AP69" s="2346"/>
      <c r="AQ69" s="2346"/>
      <c r="AR69" s="2346"/>
      <c r="AS69" s="2346"/>
      <c r="AT69" s="2346"/>
      <c r="AU69" s="2346"/>
      <c r="AV69" s="2346"/>
      <c r="AW69" s="2346"/>
      <c r="AX69" s="2346"/>
      <c r="AY69" s="2346"/>
      <c r="AZ69" s="2346"/>
      <c r="BA69" s="2346"/>
      <c r="BB69" s="2346"/>
      <c r="BC69" s="2346"/>
      <c r="BD69" s="2346"/>
      <c r="BE69" s="2346"/>
      <c r="BF69" s="2346"/>
      <c r="BG69" s="2346"/>
      <c r="BH69" s="2346"/>
      <c r="BI69" s="2347"/>
      <c r="BJ69" s="2347"/>
      <c r="BK69" s="2347"/>
      <c r="BL69" s="2347"/>
      <c r="BM69" s="2347"/>
      <c r="BN69" s="2347"/>
      <c r="BO69" s="2347"/>
      <c r="BP69" s="2347"/>
      <c r="BQ69" s="2347"/>
      <c r="BR69" s="2347"/>
      <c r="BS69" s="2347"/>
      <c r="BT69" s="2347"/>
      <c r="BU69" s="2347"/>
      <c r="BV69" s="2347"/>
      <c r="BW69" s="2347"/>
      <c r="BX69" s="2347"/>
      <c r="BY69" s="2347"/>
      <c r="BZ69" s="2347"/>
      <c r="CA69" s="2347"/>
      <c r="CB69" s="2347"/>
      <c r="CC69" s="2347"/>
      <c r="CD69" s="2347"/>
      <c r="CE69" s="2347"/>
      <c r="CF69" s="2347"/>
      <c r="CG69" s="2347"/>
      <c r="CH69" s="2347"/>
      <c r="CI69" s="2347"/>
      <c r="CJ69" s="2347"/>
      <c r="CK69" s="2347"/>
      <c r="CL69" s="2347"/>
      <c r="CM69" s="2347"/>
      <c r="CN69" s="2347"/>
      <c r="CO69" s="2347"/>
      <c r="CP69" s="2347"/>
      <c r="CQ69" s="2347"/>
      <c r="CR69" s="2347"/>
      <c r="CS69" s="2347"/>
      <c r="CT69" s="2347"/>
      <c r="CU69" s="2347"/>
      <c r="CV69" s="2347"/>
      <c r="CW69" s="2347"/>
      <c r="CX69" s="2347"/>
      <c r="CY69" s="2347"/>
      <c r="CZ69" s="2347"/>
      <c r="DA69" s="2347"/>
      <c r="DB69" s="2347"/>
      <c r="DC69" s="2347"/>
      <c r="DD69" s="2347"/>
      <c r="DE69" s="2347"/>
      <c r="DF69" s="2347"/>
      <c r="DG69" s="2347"/>
      <c r="DH69" s="2347"/>
      <c r="DI69" s="2347"/>
      <c r="DJ69" s="2347"/>
      <c r="DK69" s="2347"/>
      <c r="DL69" s="2347"/>
      <c r="DM69" s="2347"/>
      <c r="DN69" s="2347"/>
      <c r="DO69" s="2347"/>
      <c r="DP69" s="2347"/>
      <c r="DQ69" s="2347"/>
      <c r="DR69" s="2347"/>
      <c r="DS69" s="2347"/>
      <c r="DT69" s="2347"/>
      <c r="DU69" s="2347"/>
      <c r="DV69" s="2347"/>
      <c r="DW69" s="2347"/>
      <c r="DX69" s="2347"/>
      <c r="DY69" s="2347"/>
      <c r="DZ69" s="2347"/>
      <c r="EA69" s="2347"/>
      <c r="EB69" s="2347"/>
      <c r="EC69" s="2347"/>
      <c r="ED69" s="2347"/>
      <c r="EE69" s="2347"/>
      <c r="EF69" s="2347"/>
      <c r="EG69" s="2347"/>
      <c r="EH69" s="2347"/>
      <c r="EI69" s="2347"/>
      <c r="EJ69" s="2347"/>
      <c r="EK69" s="2347"/>
      <c r="EL69" s="2347"/>
      <c r="EM69" s="295"/>
      <c r="EN69" s="295"/>
      <c r="EO69" s="315"/>
    </row>
    <row r="70" spans="1:145" ht="29">
      <c r="A70" s="2778" t="s">
        <v>130</v>
      </c>
      <c r="B70" s="294" t="s">
        <v>2142</v>
      </c>
      <c r="C70" s="524" t="s">
        <v>2176</v>
      </c>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8"/>
      <c r="AN70" s="308"/>
      <c r="AO70" s="308"/>
      <c r="AP70" s="308"/>
      <c r="AQ70" s="308"/>
      <c r="AR70" s="308"/>
      <c r="AS70" s="308"/>
      <c r="AT70" s="308"/>
      <c r="AU70" s="308"/>
      <c r="AV70" s="308"/>
      <c r="AW70" s="308"/>
      <c r="AX70" s="308"/>
      <c r="AY70" s="308"/>
      <c r="AZ70" s="308"/>
      <c r="BA70" s="308"/>
      <c r="BB70" s="308"/>
      <c r="BC70" s="308"/>
      <c r="BD70" s="308"/>
      <c r="BE70" s="308"/>
      <c r="BF70" s="308"/>
      <c r="BG70" s="308"/>
      <c r="BH70" s="308"/>
    </row>
    <row r="71" spans="1:145">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308"/>
      <c r="BC71" s="308"/>
      <c r="BD71" s="308"/>
      <c r="BE71" s="308"/>
      <c r="BF71" s="308"/>
      <c r="BG71" s="308"/>
      <c r="BH71" s="308"/>
    </row>
    <row r="72" spans="1:145" s="1839" customFormat="1">
      <c r="A72" s="2797" t="s">
        <v>2177</v>
      </c>
      <c r="B72" s="2798"/>
      <c r="C72" s="2799"/>
      <c r="O72" s="2348"/>
      <c r="P72" s="2348"/>
      <c r="Q72" s="2348"/>
      <c r="R72" s="2348"/>
      <c r="S72" s="2348"/>
      <c r="T72" s="2348"/>
      <c r="U72" s="2348"/>
      <c r="V72" s="2348"/>
      <c r="W72" s="2348"/>
      <c r="X72" s="2348"/>
      <c r="Y72" s="2348"/>
      <c r="Z72" s="2348"/>
      <c r="AA72" s="2348"/>
      <c r="AB72" s="2348"/>
      <c r="AC72" s="2348"/>
      <c r="AD72" s="2348"/>
      <c r="AE72" s="2348"/>
      <c r="AF72" s="2348"/>
      <c r="AG72" s="2348"/>
      <c r="AH72" s="2348"/>
      <c r="AI72" s="2348"/>
      <c r="AJ72" s="2348"/>
      <c r="AK72" s="2348"/>
      <c r="AL72" s="2348"/>
      <c r="AM72" s="2348"/>
      <c r="AN72" s="2348"/>
      <c r="AO72" s="2348"/>
      <c r="AP72" s="2348"/>
      <c r="AQ72" s="2348"/>
      <c r="AR72" s="2348"/>
      <c r="AS72" s="2348"/>
      <c r="AT72" s="2348"/>
      <c r="AU72" s="2348"/>
      <c r="AV72" s="2348"/>
      <c r="AW72" s="2348"/>
      <c r="AX72" s="2348"/>
      <c r="AY72" s="2348"/>
      <c r="AZ72" s="2348"/>
      <c r="BA72" s="2348"/>
      <c r="BB72" s="2348"/>
      <c r="BC72" s="2348"/>
      <c r="BD72" s="2348"/>
      <c r="BE72" s="2348"/>
      <c r="BF72" s="2348"/>
      <c r="BG72" s="2348"/>
      <c r="BH72" s="2348"/>
    </row>
    <row r="73" spans="1:145">
      <c r="A73" s="2769" t="s">
        <v>2145</v>
      </c>
      <c r="B73" s="2339" t="s">
        <v>14</v>
      </c>
      <c r="C73" s="2339" t="s">
        <v>2139</v>
      </c>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row>
    <row r="74" spans="1:145" ht="58">
      <c r="A74" s="2778" t="s">
        <v>129</v>
      </c>
      <c r="B74" s="294" t="s">
        <v>2140</v>
      </c>
      <c r="C74" s="2345" t="s">
        <v>2175</v>
      </c>
    </row>
    <row r="75" spans="1:145" ht="29">
      <c r="A75" s="2778" t="s">
        <v>130</v>
      </c>
      <c r="B75" s="294" t="s">
        <v>2142</v>
      </c>
      <c r="C75" s="524" t="s">
        <v>2178</v>
      </c>
    </row>
    <row r="77" spans="1:145" s="1839" customFormat="1">
      <c r="A77" s="2797" t="s">
        <v>2179</v>
      </c>
      <c r="B77" s="2798"/>
      <c r="C77" s="2799"/>
    </row>
    <row r="78" spans="1:145">
      <c r="A78" s="2769" t="s">
        <v>2145</v>
      </c>
      <c r="B78" s="2339" t="s">
        <v>14</v>
      </c>
      <c r="C78" s="2339" t="s">
        <v>2139</v>
      </c>
    </row>
    <row r="79" spans="1:145" ht="58">
      <c r="A79" s="2778" t="s">
        <v>129</v>
      </c>
      <c r="B79" s="294" t="s">
        <v>2140</v>
      </c>
      <c r="C79" s="2345" t="s">
        <v>2180</v>
      </c>
    </row>
    <row r="80" spans="1:145" ht="29">
      <c r="A80" s="2778" t="s">
        <v>130</v>
      </c>
      <c r="B80" s="294" t="s">
        <v>2142</v>
      </c>
      <c r="C80" s="524" t="s">
        <v>2181</v>
      </c>
    </row>
    <row r="82" spans="1:3" ht="30.65" customHeight="1">
      <c r="A82" s="3181" t="s">
        <v>1843</v>
      </c>
      <c r="B82" s="3182"/>
      <c r="C82" s="3183"/>
    </row>
  </sheetData>
  <mergeCells count="3">
    <mergeCell ref="A1:B1"/>
    <mergeCell ref="A57:C57"/>
    <mergeCell ref="A82:C82"/>
  </mergeCells>
  <printOptions horizontalCentered="1" verticalCentered="1"/>
  <pageMargins left="0.23622047244094491" right="0.23622047244094491" top="0.74803149606299213" bottom="0.74803149606299213" header="0.31496062992125984" footer="0.31496062992125984"/>
  <pageSetup paperSize="9" scale="86" fitToWidth="3" fitToHeight="3" orientation="portrait" r:id="rId1"/>
  <headerFooter>
    <oddFooter>&amp;R&amp;P</oddFooter>
  </headerFooter>
  <rowBreaks count="2" manualBreakCount="2">
    <brk id="39" max="2" man="1"/>
    <brk id="66" max="2" man="1"/>
  </rowBreaks>
  <colBreaks count="1" manualBreakCount="1">
    <brk id="3" max="1048575"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422"/>
  <sheetViews>
    <sheetView showGridLines="0" view="pageBreakPreview" zoomScale="60" zoomScaleNormal="73" workbookViewId="0">
      <pane xSplit="2" ySplit="7" topLeftCell="CU381" activePane="bottomRight" state="frozen"/>
      <selection activeCell="C105" sqref="C105"/>
      <selection pane="topRight" activeCell="C105" sqref="C105"/>
      <selection pane="bottomLeft" activeCell="C105" sqref="C105"/>
      <selection pane="bottomRight" activeCell="CX425" sqref="CX425"/>
    </sheetView>
  </sheetViews>
  <sheetFormatPr defaultRowHeight="13" outlineLevelCol="1"/>
  <cols>
    <col min="1" max="1" width="8.7265625" style="2782" customWidth="1"/>
    <col min="2" max="2" width="63.1796875" style="1721" customWidth="1"/>
    <col min="3" max="3" width="16.1796875" style="1653" hidden="1" customWidth="1"/>
    <col min="4" max="4" width="16.81640625" style="1653" hidden="1" customWidth="1"/>
    <col min="5" max="5" width="14.7265625" style="1653" hidden="1" customWidth="1"/>
    <col min="6" max="6" width="15" style="1653" hidden="1" customWidth="1"/>
    <col min="7" max="7" width="12.7265625" style="1653" hidden="1" customWidth="1"/>
    <col min="8" max="8" width="17.7265625" style="1653" hidden="1" customWidth="1"/>
    <col min="9" max="9" width="27" style="1653" hidden="1" customWidth="1"/>
    <col min="10" max="10" width="15.81640625" style="1730" hidden="1" customWidth="1"/>
    <col min="11" max="11" width="22.1796875" style="1653" hidden="1" customWidth="1"/>
    <col min="12" max="12" width="11.453125" style="1653" hidden="1" customWidth="1"/>
    <col min="13" max="13" width="17.54296875" style="1653" hidden="1" customWidth="1"/>
    <col min="14" max="14" width="0.1796875" style="1653" customWidth="1"/>
    <col min="15" max="15" width="18.81640625" style="1620" customWidth="1"/>
    <col min="16" max="19" width="25.7265625" style="1611" customWidth="1"/>
    <col min="20" max="20" width="14.7265625" style="1611" customWidth="1"/>
    <col min="21" max="21" width="25.7265625" style="1611" bestFit="1" customWidth="1"/>
    <col min="22" max="22" width="15.26953125" style="1620" customWidth="1"/>
    <col min="23" max="26" width="25.7265625" style="1611" customWidth="1"/>
    <col min="27" max="27" width="15.7265625" style="1611" customWidth="1"/>
    <col min="28" max="28" width="27.1796875" style="1611" bestFit="1" customWidth="1"/>
    <col min="29" max="29" width="14.7265625" style="1620" customWidth="1"/>
    <col min="30" max="33" width="25.7265625" style="1611" customWidth="1"/>
    <col min="34" max="34" width="15.7265625" style="1611" customWidth="1"/>
    <col min="35" max="35" width="21" style="1611" customWidth="1"/>
    <col min="36" max="36" width="16.7265625" style="1620" customWidth="1"/>
    <col min="37" max="40" width="25.7265625" style="1611" customWidth="1"/>
    <col min="41" max="41" width="15.7265625" style="1611" customWidth="1"/>
    <col min="42" max="42" width="29.1796875" style="1611" customWidth="1"/>
    <col min="43" max="43" width="13.7265625" style="1620" customWidth="1"/>
    <col min="44" max="47" width="25.7265625" style="1611" customWidth="1"/>
    <col min="48" max="48" width="15.7265625" style="1611" customWidth="1"/>
    <col min="49" max="49" width="29.1796875" style="1611" customWidth="1"/>
    <col min="50" max="50" width="11.81640625" style="1620" customWidth="1"/>
    <col min="51" max="54" width="25.7265625" style="1611" customWidth="1"/>
    <col min="55" max="55" width="15.7265625" style="1611" customWidth="1"/>
    <col min="56" max="56" width="29.7265625" style="1611" customWidth="1"/>
    <col min="57" max="57" width="25.54296875" style="1620" customWidth="1"/>
    <col min="58" max="61" width="25.7265625" style="1611" customWidth="1" outlineLevel="1"/>
    <col min="62" max="62" width="14.81640625" style="1611" customWidth="1"/>
    <col min="63" max="63" width="22.7265625" style="1621" customWidth="1"/>
    <col min="64" max="64" width="18.81640625" style="1620" customWidth="1" outlineLevel="1"/>
    <col min="65" max="68" width="25.7265625" style="1611" customWidth="1" outlineLevel="1"/>
    <col min="69" max="69" width="12.26953125" style="1611" customWidth="1"/>
    <col min="70" max="70" width="25.7265625" style="1611" customWidth="1"/>
    <col min="71" max="71" width="18.81640625" style="1620" customWidth="1" outlineLevel="1"/>
    <col min="72" max="75" width="25.7265625" style="1611" customWidth="1" outlineLevel="1"/>
    <col min="76" max="76" width="14.54296875" style="1611" customWidth="1"/>
    <col min="77" max="77" width="25.7265625" style="1611" customWidth="1"/>
    <col min="78" max="78" width="18.81640625" style="1620" customWidth="1"/>
    <col min="79" max="82" width="25.7265625" style="1611" customWidth="1"/>
    <col min="83" max="83" width="15.7265625" style="1611" customWidth="1"/>
    <col min="84" max="84" width="25.7265625" style="1611" customWidth="1"/>
    <col min="85" max="85" width="18.81640625" style="1620" customWidth="1"/>
    <col min="86" max="89" width="25.7265625" style="1611" customWidth="1"/>
    <col min="90" max="90" width="15.7265625" style="1611" customWidth="1"/>
    <col min="91" max="91" width="29.453125" style="1611" customWidth="1"/>
    <col min="92" max="92" width="18.81640625" style="1620" customWidth="1"/>
    <col min="93" max="93" width="25.7265625" style="1611" customWidth="1"/>
    <col min="94" max="94" width="29.7265625" style="1611" customWidth="1"/>
    <col min="95" max="96" width="25.7265625" style="1611" customWidth="1"/>
    <col min="97" max="97" width="13.7265625" style="1611" customWidth="1"/>
    <col min="98" max="98" width="29.1796875" style="1611" customWidth="1"/>
    <col min="99" max="99" width="23.7265625" style="1653" customWidth="1"/>
    <col min="100" max="103" width="24.81640625" style="1611" customWidth="1"/>
    <col min="104" max="104" width="14.7265625" style="1609" customWidth="1"/>
    <col min="105" max="105" width="30" style="1609" customWidth="1"/>
    <col min="106" max="106" width="22" style="1611" customWidth="1"/>
    <col min="107" max="107" width="19.26953125" style="2782" customWidth="1"/>
    <col min="108" max="108" width="14.1796875" style="1613" customWidth="1"/>
    <col min="109" max="255" width="9.1796875" style="2782"/>
    <col min="256" max="256" width="8.7265625" style="2782" customWidth="1"/>
    <col min="257" max="257" width="92.7265625" style="2782" customWidth="1"/>
    <col min="258" max="258" width="16.1796875" style="2782" customWidth="1"/>
    <col min="259" max="259" width="16.81640625" style="2782" customWidth="1"/>
    <col min="260" max="260" width="14.7265625" style="2782" customWidth="1"/>
    <col min="261" max="261" width="19.453125" style="2782" customWidth="1"/>
    <col min="262" max="262" width="15" style="2782" customWidth="1"/>
    <col min="263" max="263" width="12.7265625" style="2782" customWidth="1"/>
    <col min="264" max="265" width="12.1796875" style="2782" customWidth="1"/>
    <col min="266" max="266" width="15.81640625" style="2782" customWidth="1"/>
    <col min="267" max="267" width="22.1796875" style="2782" customWidth="1"/>
    <col min="268" max="268" width="11.453125" style="2782" customWidth="1"/>
    <col min="269" max="269" width="17.54296875" style="2782" customWidth="1"/>
    <col min="270" max="270" width="0.1796875" style="2782" customWidth="1"/>
    <col min="271" max="271" width="18.81640625" style="2782" customWidth="1"/>
    <col min="272" max="275" width="25.7265625" style="2782" customWidth="1"/>
    <col min="276" max="276" width="14.7265625" style="2782" customWidth="1"/>
    <col min="277" max="277" width="22" style="2782" customWidth="1"/>
    <col min="278" max="278" width="15.26953125" style="2782" customWidth="1"/>
    <col min="279" max="282" width="25.7265625" style="2782" customWidth="1"/>
    <col min="283" max="283" width="15.7265625" style="2782" customWidth="1"/>
    <col min="284" max="284" width="22.453125" style="2782" customWidth="1"/>
    <col min="285" max="285" width="14.7265625" style="2782" customWidth="1"/>
    <col min="286" max="289" width="25.7265625" style="2782" customWidth="1"/>
    <col min="290" max="290" width="15.7265625" style="2782" customWidth="1"/>
    <col min="291" max="291" width="21" style="2782" customWidth="1"/>
    <col min="292" max="292" width="16.7265625" style="2782" customWidth="1"/>
    <col min="293" max="296" width="25.7265625" style="2782" customWidth="1"/>
    <col min="297" max="297" width="15.7265625" style="2782" customWidth="1"/>
    <col min="298" max="298" width="29.1796875" style="2782" customWidth="1"/>
    <col min="299" max="299" width="13.7265625" style="2782" customWidth="1"/>
    <col min="300" max="303" width="25.7265625" style="2782" customWidth="1"/>
    <col min="304" max="304" width="15.7265625" style="2782" customWidth="1"/>
    <col min="305" max="305" width="29.1796875" style="2782" customWidth="1"/>
    <col min="306" max="306" width="11.81640625" style="2782" customWidth="1"/>
    <col min="307" max="310" width="25.7265625" style="2782" customWidth="1"/>
    <col min="311" max="311" width="15.7265625" style="2782" customWidth="1"/>
    <col min="312" max="312" width="29.7265625" style="2782" customWidth="1"/>
    <col min="313" max="313" width="25.54296875" style="2782" customWidth="1"/>
    <col min="314" max="317" width="25.7265625" style="2782" customWidth="1"/>
    <col min="318" max="318" width="7.26953125" style="2782" customWidth="1"/>
    <col min="319" max="319" width="22.7265625" style="2782" customWidth="1"/>
    <col min="320" max="320" width="18.81640625" style="2782" customWidth="1"/>
    <col min="321" max="324" width="25.7265625" style="2782" customWidth="1"/>
    <col min="325" max="325" width="12.26953125" style="2782" customWidth="1"/>
    <col min="326" max="326" width="25.7265625" style="2782" customWidth="1"/>
    <col min="327" max="327" width="18.81640625" style="2782" customWidth="1"/>
    <col min="328" max="331" width="25.7265625" style="2782" customWidth="1"/>
    <col min="332" max="332" width="14.54296875" style="2782" customWidth="1"/>
    <col min="333" max="333" width="25.7265625" style="2782" customWidth="1"/>
    <col min="334" max="334" width="18.81640625" style="2782" customWidth="1"/>
    <col min="335" max="338" width="25.7265625" style="2782" customWidth="1"/>
    <col min="339" max="339" width="15.7265625" style="2782" customWidth="1"/>
    <col min="340" max="340" width="25.7265625" style="2782" customWidth="1"/>
    <col min="341" max="341" width="18.81640625" style="2782" customWidth="1"/>
    <col min="342" max="345" width="25.7265625" style="2782" customWidth="1"/>
    <col min="346" max="346" width="15.7265625" style="2782" customWidth="1"/>
    <col min="347" max="347" width="29.453125" style="2782" customWidth="1"/>
    <col min="348" max="348" width="18.81640625" style="2782" customWidth="1"/>
    <col min="349" max="349" width="25.7265625" style="2782" customWidth="1"/>
    <col min="350" max="350" width="29.7265625" style="2782" customWidth="1"/>
    <col min="351" max="352" width="25.7265625" style="2782" customWidth="1"/>
    <col min="353" max="353" width="13.7265625" style="2782" customWidth="1"/>
    <col min="354" max="354" width="29.1796875" style="2782" customWidth="1"/>
    <col min="355" max="355" width="23.7265625" style="2782" customWidth="1"/>
    <col min="356" max="359" width="24.81640625" style="2782" customWidth="1"/>
    <col min="360" max="360" width="14.7265625" style="2782" customWidth="1"/>
    <col min="361" max="361" width="30" style="2782" customWidth="1"/>
    <col min="362" max="362" width="22" style="2782" customWidth="1"/>
    <col min="363" max="363" width="19.26953125" style="2782" customWidth="1"/>
    <col min="364" max="364" width="14.1796875" style="2782" customWidth="1"/>
    <col min="365" max="511" width="9.1796875" style="2782"/>
    <col min="512" max="512" width="8.7265625" style="2782" customWidth="1"/>
    <col min="513" max="513" width="92.7265625" style="2782" customWidth="1"/>
    <col min="514" max="514" width="16.1796875" style="2782" customWidth="1"/>
    <col min="515" max="515" width="16.81640625" style="2782" customWidth="1"/>
    <col min="516" max="516" width="14.7265625" style="2782" customWidth="1"/>
    <col min="517" max="517" width="19.453125" style="2782" customWidth="1"/>
    <col min="518" max="518" width="15" style="2782" customWidth="1"/>
    <col min="519" max="519" width="12.7265625" style="2782" customWidth="1"/>
    <col min="520" max="521" width="12.1796875" style="2782" customWidth="1"/>
    <col min="522" max="522" width="15.81640625" style="2782" customWidth="1"/>
    <col min="523" max="523" width="22.1796875" style="2782" customWidth="1"/>
    <col min="524" max="524" width="11.453125" style="2782" customWidth="1"/>
    <col min="525" max="525" width="17.54296875" style="2782" customWidth="1"/>
    <col min="526" max="526" width="0.1796875" style="2782" customWidth="1"/>
    <col min="527" max="527" width="18.81640625" style="2782" customWidth="1"/>
    <col min="528" max="531" width="25.7265625" style="2782" customWidth="1"/>
    <col min="532" max="532" width="14.7265625" style="2782" customWidth="1"/>
    <col min="533" max="533" width="22" style="2782" customWidth="1"/>
    <col min="534" max="534" width="15.26953125" style="2782" customWidth="1"/>
    <col min="535" max="538" width="25.7265625" style="2782" customWidth="1"/>
    <col min="539" max="539" width="15.7265625" style="2782" customWidth="1"/>
    <col min="540" max="540" width="22.453125" style="2782" customWidth="1"/>
    <col min="541" max="541" width="14.7265625" style="2782" customWidth="1"/>
    <col min="542" max="545" width="25.7265625" style="2782" customWidth="1"/>
    <col min="546" max="546" width="15.7265625" style="2782" customWidth="1"/>
    <col min="547" max="547" width="21" style="2782" customWidth="1"/>
    <col min="548" max="548" width="16.7265625" style="2782" customWidth="1"/>
    <col min="549" max="552" width="25.7265625" style="2782" customWidth="1"/>
    <col min="553" max="553" width="15.7265625" style="2782" customWidth="1"/>
    <col min="554" max="554" width="29.1796875" style="2782" customWidth="1"/>
    <col min="555" max="555" width="13.7265625" style="2782" customWidth="1"/>
    <col min="556" max="559" width="25.7265625" style="2782" customWidth="1"/>
    <col min="560" max="560" width="15.7265625" style="2782" customWidth="1"/>
    <col min="561" max="561" width="29.1796875" style="2782" customWidth="1"/>
    <col min="562" max="562" width="11.81640625" style="2782" customWidth="1"/>
    <col min="563" max="566" width="25.7265625" style="2782" customWidth="1"/>
    <col min="567" max="567" width="15.7265625" style="2782" customWidth="1"/>
    <col min="568" max="568" width="29.7265625" style="2782" customWidth="1"/>
    <col min="569" max="569" width="25.54296875" style="2782" customWidth="1"/>
    <col min="570" max="573" width="25.7265625" style="2782" customWidth="1"/>
    <col min="574" max="574" width="7.26953125" style="2782" customWidth="1"/>
    <col min="575" max="575" width="22.7265625" style="2782" customWidth="1"/>
    <col min="576" max="576" width="18.81640625" style="2782" customWidth="1"/>
    <col min="577" max="580" width="25.7265625" style="2782" customWidth="1"/>
    <col min="581" max="581" width="12.26953125" style="2782" customWidth="1"/>
    <col min="582" max="582" width="25.7265625" style="2782" customWidth="1"/>
    <col min="583" max="583" width="18.81640625" style="2782" customWidth="1"/>
    <col min="584" max="587" width="25.7265625" style="2782" customWidth="1"/>
    <col min="588" max="588" width="14.54296875" style="2782" customWidth="1"/>
    <col min="589" max="589" width="25.7265625" style="2782" customWidth="1"/>
    <col min="590" max="590" width="18.81640625" style="2782" customWidth="1"/>
    <col min="591" max="594" width="25.7265625" style="2782" customWidth="1"/>
    <col min="595" max="595" width="15.7265625" style="2782" customWidth="1"/>
    <col min="596" max="596" width="25.7265625" style="2782" customWidth="1"/>
    <col min="597" max="597" width="18.81640625" style="2782" customWidth="1"/>
    <col min="598" max="601" width="25.7265625" style="2782" customWidth="1"/>
    <col min="602" max="602" width="15.7265625" style="2782" customWidth="1"/>
    <col min="603" max="603" width="29.453125" style="2782" customWidth="1"/>
    <col min="604" max="604" width="18.81640625" style="2782" customWidth="1"/>
    <col min="605" max="605" width="25.7265625" style="2782" customWidth="1"/>
    <col min="606" max="606" width="29.7265625" style="2782" customWidth="1"/>
    <col min="607" max="608" width="25.7265625" style="2782" customWidth="1"/>
    <col min="609" max="609" width="13.7265625" style="2782" customWidth="1"/>
    <col min="610" max="610" width="29.1796875" style="2782" customWidth="1"/>
    <col min="611" max="611" width="23.7265625" style="2782" customWidth="1"/>
    <col min="612" max="615" width="24.81640625" style="2782" customWidth="1"/>
    <col min="616" max="616" width="14.7265625" style="2782" customWidth="1"/>
    <col min="617" max="617" width="30" style="2782" customWidth="1"/>
    <col min="618" max="618" width="22" style="2782" customWidth="1"/>
    <col min="619" max="619" width="19.26953125" style="2782" customWidth="1"/>
    <col min="620" max="620" width="14.1796875" style="2782" customWidth="1"/>
    <col min="621" max="767" width="9.1796875" style="2782"/>
    <col min="768" max="768" width="8.7265625" style="2782" customWidth="1"/>
    <col min="769" max="769" width="92.7265625" style="2782" customWidth="1"/>
    <col min="770" max="770" width="16.1796875" style="2782" customWidth="1"/>
    <col min="771" max="771" width="16.81640625" style="2782" customWidth="1"/>
    <col min="772" max="772" width="14.7265625" style="2782" customWidth="1"/>
    <col min="773" max="773" width="19.453125" style="2782" customWidth="1"/>
    <col min="774" max="774" width="15" style="2782" customWidth="1"/>
    <col min="775" max="775" width="12.7265625" style="2782" customWidth="1"/>
    <col min="776" max="777" width="12.1796875" style="2782" customWidth="1"/>
    <col min="778" max="778" width="15.81640625" style="2782" customWidth="1"/>
    <col min="779" max="779" width="22.1796875" style="2782" customWidth="1"/>
    <col min="780" max="780" width="11.453125" style="2782" customWidth="1"/>
    <col min="781" max="781" width="17.54296875" style="2782" customWidth="1"/>
    <col min="782" max="782" width="0.1796875" style="2782" customWidth="1"/>
    <col min="783" max="783" width="18.81640625" style="2782" customWidth="1"/>
    <col min="784" max="787" width="25.7265625" style="2782" customWidth="1"/>
    <col min="788" max="788" width="14.7265625" style="2782" customWidth="1"/>
    <col min="789" max="789" width="22" style="2782" customWidth="1"/>
    <col min="790" max="790" width="15.26953125" style="2782" customWidth="1"/>
    <col min="791" max="794" width="25.7265625" style="2782" customWidth="1"/>
    <col min="795" max="795" width="15.7265625" style="2782" customWidth="1"/>
    <col min="796" max="796" width="22.453125" style="2782" customWidth="1"/>
    <col min="797" max="797" width="14.7265625" style="2782" customWidth="1"/>
    <col min="798" max="801" width="25.7265625" style="2782" customWidth="1"/>
    <col min="802" max="802" width="15.7265625" style="2782" customWidth="1"/>
    <col min="803" max="803" width="21" style="2782" customWidth="1"/>
    <col min="804" max="804" width="16.7265625" style="2782" customWidth="1"/>
    <col min="805" max="808" width="25.7265625" style="2782" customWidth="1"/>
    <col min="809" max="809" width="15.7265625" style="2782" customWidth="1"/>
    <col min="810" max="810" width="29.1796875" style="2782" customWidth="1"/>
    <col min="811" max="811" width="13.7265625" style="2782" customWidth="1"/>
    <col min="812" max="815" width="25.7265625" style="2782" customWidth="1"/>
    <col min="816" max="816" width="15.7265625" style="2782" customWidth="1"/>
    <col min="817" max="817" width="29.1796875" style="2782" customWidth="1"/>
    <col min="818" max="818" width="11.81640625" style="2782" customWidth="1"/>
    <col min="819" max="822" width="25.7265625" style="2782" customWidth="1"/>
    <col min="823" max="823" width="15.7265625" style="2782" customWidth="1"/>
    <col min="824" max="824" width="29.7265625" style="2782" customWidth="1"/>
    <col min="825" max="825" width="25.54296875" style="2782" customWidth="1"/>
    <col min="826" max="829" width="25.7265625" style="2782" customWidth="1"/>
    <col min="830" max="830" width="7.26953125" style="2782" customWidth="1"/>
    <col min="831" max="831" width="22.7265625" style="2782" customWidth="1"/>
    <col min="832" max="832" width="18.81640625" style="2782" customWidth="1"/>
    <col min="833" max="836" width="25.7265625" style="2782" customWidth="1"/>
    <col min="837" max="837" width="12.26953125" style="2782" customWidth="1"/>
    <col min="838" max="838" width="25.7265625" style="2782" customWidth="1"/>
    <col min="839" max="839" width="18.81640625" style="2782" customWidth="1"/>
    <col min="840" max="843" width="25.7265625" style="2782" customWidth="1"/>
    <col min="844" max="844" width="14.54296875" style="2782" customWidth="1"/>
    <col min="845" max="845" width="25.7265625" style="2782" customWidth="1"/>
    <col min="846" max="846" width="18.81640625" style="2782" customWidth="1"/>
    <col min="847" max="850" width="25.7265625" style="2782" customWidth="1"/>
    <col min="851" max="851" width="15.7265625" style="2782" customWidth="1"/>
    <col min="852" max="852" width="25.7265625" style="2782" customWidth="1"/>
    <col min="853" max="853" width="18.81640625" style="2782" customWidth="1"/>
    <col min="854" max="857" width="25.7265625" style="2782" customWidth="1"/>
    <col min="858" max="858" width="15.7265625" style="2782" customWidth="1"/>
    <col min="859" max="859" width="29.453125" style="2782" customWidth="1"/>
    <col min="860" max="860" width="18.81640625" style="2782" customWidth="1"/>
    <col min="861" max="861" width="25.7265625" style="2782" customWidth="1"/>
    <col min="862" max="862" width="29.7265625" style="2782" customWidth="1"/>
    <col min="863" max="864" width="25.7265625" style="2782" customWidth="1"/>
    <col min="865" max="865" width="13.7265625" style="2782" customWidth="1"/>
    <col min="866" max="866" width="29.1796875" style="2782" customWidth="1"/>
    <col min="867" max="867" width="23.7265625" style="2782" customWidth="1"/>
    <col min="868" max="871" width="24.81640625" style="2782" customWidth="1"/>
    <col min="872" max="872" width="14.7265625" style="2782" customWidth="1"/>
    <col min="873" max="873" width="30" style="2782" customWidth="1"/>
    <col min="874" max="874" width="22" style="2782" customWidth="1"/>
    <col min="875" max="875" width="19.26953125" style="2782" customWidth="1"/>
    <col min="876" max="876" width="14.1796875" style="2782" customWidth="1"/>
    <col min="877" max="1023" width="9.1796875" style="2782"/>
    <col min="1024" max="1024" width="8.7265625" style="2782" customWidth="1"/>
    <col min="1025" max="1025" width="92.7265625" style="2782" customWidth="1"/>
    <col min="1026" max="1026" width="16.1796875" style="2782" customWidth="1"/>
    <col min="1027" max="1027" width="16.81640625" style="2782" customWidth="1"/>
    <col min="1028" max="1028" width="14.7265625" style="2782" customWidth="1"/>
    <col min="1029" max="1029" width="19.453125" style="2782" customWidth="1"/>
    <col min="1030" max="1030" width="15" style="2782" customWidth="1"/>
    <col min="1031" max="1031" width="12.7265625" style="2782" customWidth="1"/>
    <col min="1032" max="1033" width="12.1796875" style="2782" customWidth="1"/>
    <col min="1034" max="1034" width="15.81640625" style="2782" customWidth="1"/>
    <col min="1035" max="1035" width="22.1796875" style="2782" customWidth="1"/>
    <col min="1036" max="1036" width="11.453125" style="2782" customWidth="1"/>
    <col min="1037" max="1037" width="17.54296875" style="2782" customWidth="1"/>
    <col min="1038" max="1038" width="0.1796875" style="2782" customWidth="1"/>
    <col min="1039" max="1039" width="18.81640625" style="2782" customWidth="1"/>
    <col min="1040" max="1043" width="25.7265625" style="2782" customWidth="1"/>
    <col min="1044" max="1044" width="14.7265625" style="2782" customWidth="1"/>
    <col min="1045" max="1045" width="22" style="2782" customWidth="1"/>
    <col min="1046" max="1046" width="15.26953125" style="2782" customWidth="1"/>
    <col min="1047" max="1050" width="25.7265625" style="2782" customWidth="1"/>
    <col min="1051" max="1051" width="15.7265625" style="2782" customWidth="1"/>
    <col min="1052" max="1052" width="22.453125" style="2782" customWidth="1"/>
    <col min="1053" max="1053" width="14.7265625" style="2782" customWidth="1"/>
    <col min="1054" max="1057" width="25.7265625" style="2782" customWidth="1"/>
    <col min="1058" max="1058" width="15.7265625" style="2782" customWidth="1"/>
    <col min="1059" max="1059" width="21" style="2782" customWidth="1"/>
    <col min="1060" max="1060" width="16.7265625" style="2782" customWidth="1"/>
    <col min="1061" max="1064" width="25.7265625" style="2782" customWidth="1"/>
    <col min="1065" max="1065" width="15.7265625" style="2782" customWidth="1"/>
    <col min="1066" max="1066" width="29.1796875" style="2782" customWidth="1"/>
    <col min="1067" max="1067" width="13.7265625" style="2782" customWidth="1"/>
    <col min="1068" max="1071" width="25.7265625" style="2782" customWidth="1"/>
    <col min="1072" max="1072" width="15.7265625" style="2782" customWidth="1"/>
    <col min="1073" max="1073" width="29.1796875" style="2782" customWidth="1"/>
    <col min="1074" max="1074" width="11.81640625" style="2782" customWidth="1"/>
    <col min="1075" max="1078" width="25.7265625" style="2782" customWidth="1"/>
    <col min="1079" max="1079" width="15.7265625" style="2782" customWidth="1"/>
    <col min="1080" max="1080" width="29.7265625" style="2782" customWidth="1"/>
    <col min="1081" max="1081" width="25.54296875" style="2782" customWidth="1"/>
    <col min="1082" max="1085" width="25.7265625" style="2782" customWidth="1"/>
    <col min="1086" max="1086" width="7.26953125" style="2782" customWidth="1"/>
    <col min="1087" max="1087" width="22.7265625" style="2782" customWidth="1"/>
    <col min="1088" max="1088" width="18.81640625" style="2782" customWidth="1"/>
    <col min="1089" max="1092" width="25.7265625" style="2782" customWidth="1"/>
    <col min="1093" max="1093" width="12.26953125" style="2782" customWidth="1"/>
    <col min="1094" max="1094" width="25.7265625" style="2782" customWidth="1"/>
    <col min="1095" max="1095" width="18.81640625" style="2782" customWidth="1"/>
    <col min="1096" max="1099" width="25.7265625" style="2782" customWidth="1"/>
    <col min="1100" max="1100" width="14.54296875" style="2782" customWidth="1"/>
    <col min="1101" max="1101" width="25.7265625" style="2782" customWidth="1"/>
    <col min="1102" max="1102" width="18.81640625" style="2782" customWidth="1"/>
    <col min="1103" max="1106" width="25.7265625" style="2782" customWidth="1"/>
    <col min="1107" max="1107" width="15.7265625" style="2782" customWidth="1"/>
    <col min="1108" max="1108" width="25.7265625" style="2782" customWidth="1"/>
    <col min="1109" max="1109" width="18.81640625" style="2782" customWidth="1"/>
    <col min="1110" max="1113" width="25.7265625" style="2782" customWidth="1"/>
    <col min="1114" max="1114" width="15.7265625" style="2782" customWidth="1"/>
    <col min="1115" max="1115" width="29.453125" style="2782" customWidth="1"/>
    <col min="1116" max="1116" width="18.81640625" style="2782" customWidth="1"/>
    <col min="1117" max="1117" width="25.7265625" style="2782" customWidth="1"/>
    <col min="1118" max="1118" width="29.7265625" style="2782" customWidth="1"/>
    <col min="1119" max="1120" width="25.7265625" style="2782" customWidth="1"/>
    <col min="1121" max="1121" width="13.7265625" style="2782" customWidth="1"/>
    <col min="1122" max="1122" width="29.1796875" style="2782" customWidth="1"/>
    <col min="1123" max="1123" width="23.7265625" style="2782" customWidth="1"/>
    <col min="1124" max="1127" width="24.81640625" style="2782" customWidth="1"/>
    <col min="1128" max="1128" width="14.7265625" style="2782" customWidth="1"/>
    <col min="1129" max="1129" width="30" style="2782" customWidth="1"/>
    <col min="1130" max="1130" width="22" style="2782" customWidth="1"/>
    <col min="1131" max="1131" width="19.26953125" style="2782" customWidth="1"/>
    <col min="1132" max="1132" width="14.1796875" style="2782" customWidth="1"/>
    <col min="1133" max="1279" width="9.1796875" style="2782"/>
    <col min="1280" max="1280" width="8.7265625" style="2782" customWidth="1"/>
    <col min="1281" max="1281" width="92.7265625" style="2782" customWidth="1"/>
    <col min="1282" max="1282" width="16.1796875" style="2782" customWidth="1"/>
    <col min="1283" max="1283" width="16.81640625" style="2782" customWidth="1"/>
    <col min="1284" max="1284" width="14.7265625" style="2782" customWidth="1"/>
    <col min="1285" max="1285" width="19.453125" style="2782" customWidth="1"/>
    <col min="1286" max="1286" width="15" style="2782" customWidth="1"/>
    <col min="1287" max="1287" width="12.7265625" style="2782" customWidth="1"/>
    <col min="1288" max="1289" width="12.1796875" style="2782" customWidth="1"/>
    <col min="1290" max="1290" width="15.81640625" style="2782" customWidth="1"/>
    <col min="1291" max="1291" width="22.1796875" style="2782" customWidth="1"/>
    <col min="1292" max="1292" width="11.453125" style="2782" customWidth="1"/>
    <col min="1293" max="1293" width="17.54296875" style="2782" customWidth="1"/>
    <col min="1294" max="1294" width="0.1796875" style="2782" customWidth="1"/>
    <col min="1295" max="1295" width="18.81640625" style="2782" customWidth="1"/>
    <col min="1296" max="1299" width="25.7265625" style="2782" customWidth="1"/>
    <col min="1300" max="1300" width="14.7265625" style="2782" customWidth="1"/>
    <col min="1301" max="1301" width="22" style="2782" customWidth="1"/>
    <col min="1302" max="1302" width="15.26953125" style="2782" customWidth="1"/>
    <col min="1303" max="1306" width="25.7265625" style="2782" customWidth="1"/>
    <col min="1307" max="1307" width="15.7265625" style="2782" customWidth="1"/>
    <col min="1308" max="1308" width="22.453125" style="2782" customWidth="1"/>
    <col min="1309" max="1309" width="14.7265625" style="2782" customWidth="1"/>
    <col min="1310" max="1313" width="25.7265625" style="2782" customWidth="1"/>
    <col min="1314" max="1314" width="15.7265625" style="2782" customWidth="1"/>
    <col min="1315" max="1315" width="21" style="2782" customWidth="1"/>
    <col min="1316" max="1316" width="16.7265625" style="2782" customWidth="1"/>
    <col min="1317" max="1320" width="25.7265625" style="2782" customWidth="1"/>
    <col min="1321" max="1321" width="15.7265625" style="2782" customWidth="1"/>
    <col min="1322" max="1322" width="29.1796875" style="2782" customWidth="1"/>
    <col min="1323" max="1323" width="13.7265625" style="2782" customWidth="1"/>
    <col min="1324" max="1327" width="25.7265625" style="2782" customWidth="1"/>
    <col min="1328" max="1328" width="15.7265625" style="2782" customWidth="1"/>
    <col min="1329" max="1329" width="29.1796875" style="2782" customWidth="1"/>
    <col min="1330" max="1330" width="11.81640625" style="2782" customWidth="1"/>
    <col min="1331" max="1334" width="25.7265625" style="2782" customWidth="1"/>
    <col min="1335" max="1335" width="15.7265625" style="2782" customWidth="1"/>
    <col min="1336" max="1336" width="29.7265625" style="2782" customWidth="1"/>
    <col min="1337" max="1337" width="25.54296875" style="2782" customWidth="1"/>
    <col min="1338" max="1341" width="25.7265625" style="2782" customWidth="1"/>
    <col min="1342" max="1342" width="7.26953125" style="2782" customWidth="1"/>
    <col min="1343" max="1343" width="22.7265625" style="2782" customWidth="1"/>
    <col min="1344" max="1344" width="18.81640625" style="2782" customWidth="1"/>
    <col min="1345" max="1348" width="25.7265625" style="2782" customWidth="1"/>
    <col min="1349" max="1349" width="12.26953125" style="2782" customWidth="1"/>
    <col min="1350" max="1350" width="25.7265625" style="2782" customWidth="1"/>
    <col min="1351" max="1351" width="18.81640625" style="2782" customWidth="1"/>
    <col min="1352" max="1355" width="25.7265625" style="2782" customWidth="1"/>
    <col min="1356" max="1356" width="14.54296875" style="2782" customWidth="1"/>
    <col min="1357" max="1357" width="25.7265625" style="2782" customWidth="1"/>
    <col min="1358" max="1358" width="18.81640625" style="2782" customWidth="1"/>
    <col min="1359" max="1362" width="25.7265625" style="2782" customWidth="1"/>
    <col min="1363" max="1363" width="15.7265625" style="2782" customWidth="1"/>
    <col min="1364" max="1364" width="25.7265625" style="2782" customWidth="1"/>
    <col min="1365" max="1365" width="18.81640625" style="2782" customWidth="1"/>
    <col min="1366" max="1369" width="25.7265625" style="2782" customWidth="1"/>
    <col min="1370" max="1370" width="15.7265625" style="2782" customWidth="1"/>
    <col min="1371" max="1371" width="29.453125" style="2782" customWidth="1"/>
    <col min="1372" max="1372" width="18.81640625" style="2782" customWidth="1"/>
    <col min="1373" max="1373" width="25.7265625" style="2782" customWidth="1"/>
    <col min="1374" max="1374" width="29.7265625" style="2782" customWidth="1"/>
    <col min="1375" max="1376" width="25.7265625" style="2782" customWidth="1"/>
    <col min="1377" max="1377" width="13.7265625" style="2782" customWidth="1"/>
    <col min="1378" max="1378" width="29.1796875" style="2782" customWidth="1"/>
    <col min="1379" max="1379" width="23.7265625" style="2782" customWidth="1"/>
    <col min="1380" max="1383" width="24.81640625" style="2782" customWidth="1"/>
    <col min="1384" max="1384" width="14.7265625" style="2782" customWidth="1"/>
    <col min="1385" max="1385" width="30" style="2782" customWidth="1"/>
    <col min="1386" max="1386" width="22" style="2782" customWidth="1"/>
    <col min="1387" max="1387" width="19.26953125" style="2782" customWidth="1"/>
    <col min="1388" max="1388" width="14.1796875" style="2782" customWidth="1"/>
    <col min="1389" max="1535" width="9.1796875" style="2782"/>
    <col min="1536" max="1536" width="8.7265625" style="2782" customWidth="1"/>
    <col min="1537" max="1537" width="92.7265625" style="2782" customWidth="1"/>
    <col min="1538" max="1538" width="16.1796875" style="2782" customWidth="1"/>
    <col min="1539" max="1539" width="16.81640625" style="2782" customWidth="1"/>
    <col min="1540" max="1540" width="14.7265625" style="2782" customWidth="1"/>
    <col min="1541" max="1541" width="19.453125" style="2782" customWidth="1"/>
    <col min="1542" max="1542" width="15" style="2782" customWidth="1"/>
    <col min="1543" max="1543" width="12.7265625" style="2782" customWidth="1"/>
    <col min="1544" max="1545" width="12.1796875" style="2782" customWidth="1"/>
    <col min="1546" max="1546" width="15.81640625" style="2782" customWidth="1"/>
    <col min="1547" max="1547" width="22.1796875" style="2782" customWidth="1"/>
    <col min="1548" max="1548" width="11.453125" style="2782" customWidth="1"/>
    <col min="1549" max="1549" width="17.54296875" style="2782" customWidth="1"/>
    <col min="1550" max="1550" width="0.1796875" style="2782" customWidth="1"/>
    <col min="1551" max="1551" width="18.81640625" style="2782" customWidth="1"/>
    <col min="1552" max="1555" width="25.7265625" style="2782" customWidth="1"/>
    <col min="1556" max="1556" width="14.7265625" style="2782" customWidth="1"/>
    <col min="1557" max="1557" width="22" style="2782" customWidth="1"/>
    <col min="1558" max="1558" width="15.26953125" style="2782" customWidth="1"/>
    <col min="1559" max="1562" width="25.7265625" style="2782" customWidth="1"/>
    <col min="1563" max="1563" width="15.7265625" style="2782" customWidth="1"/>
    <col min="1564" max="1564" width="22.453125" style="2782" customWidth="1"/>
    <col min="1565" max="1565" width="14.7265625" style="2782" customWidth="1"/>
    <col min="1566" max="1569" width="25.7265625" style="2782" customWidth="1"/>
    <col min="1570" max="1570" width="15.7265625" style="2782" customWidth="1"/>
    <col min="1571" max="1571" width="21" style="2782" customWidth="1"/>
    <col min="1572" max="1572" width="16.7265625" style="2782" customWidth="1"/>
    <col min="1573" max="1576" width="25.7265625" style="2782" customWidth="1"/>
    <col min="1577" max="1577" width="15.7265625" style="2782" customWidth="1"/>
    <col min="1578" max="1578" width="29.1796875" style="2782" customWidth="1"/>
    <col min="1579" max="1579" width="13.7265625" style="2782" customWidth="1"/>
    <col min="1580" max="1583" width="25.7265625" style="2782" customWidth="1"/>
    <col min="1584" max="1584" width="15.7265625" style="2782" customWidth="1"/>
    <col min="1585" max="1585" width="29.1796875" style="2782" customWidth="1"/>
    <col min="1586" max="1586" width="11.81640625" style="2782" customWidth="1"/>
    <col min="1587" max="1590" width="25.7265625" style="2782" customWidth="1"/>
    <col min="1591" max="1591" width="15.7265625" style="2782" customWidth="1"/>
    <col min="1592" max="1592" width="29.7265625" style="2782" customWidth="1"/>
    <col min="1593" max="1593" width="25.54296875" style="2782" customWidth="1"/>
    <col min="1594" max="1597" width="25.7265625" style="2782" customWidth="1"/>
    <col min="1598" max="1598" width="7.26953125" style="2782" customWidth="1"/>
    <col min="1599" max="1599" width="22.7265625" style="2782" customWidth="1"/>
    <col min="1600" max="1600" width="18.81640625" style="2782" customWidth="1"/>
    <col min="1601" max="1604" width="25.7265625" style="2782" customWidth="1"/>
    <col min="1605" max="1605" width="12.26953125" style="2782" customWidth="1"/>
    <col min="1606" max="1606" width="25.7265625" style="2782" customWidth="1"/>
    <col min="1607" max="1607" width="18.81640625" style="2782" customWidth="1"/>
    <col min="1608" max="1611" width="25.7265625" style="2782" customWidth="1"/>
    <col min="1612" max="1612" width="14.54296875" style="2782" customWidth="1"/>
    <col min="1613" max="1613" width="25.7265625" style="2782" customWidth="1"/>
    <col min="1614" max="1614" width="18.81640625" style="2782" customWidth="1"/>
    <col min="1615" max="1618" width="25.7265625" style="2782" customWidth="1"/>
    <col min="1619" max="1619" width="15.7265625" style="2782" customWidth="1"/>
    <col min="1620" max="1620" width="25.7265625" style="2782" customWidth="1"/>
    <col min="1621" max="1621" width="18.81640625" style="2782" customWidth="1"/>
    <col min="1622" max="1625" width="25.7265625" style="2782" customWidth="1"/>
    <col min="1626" max="1626" width="15.7265625" style="2782" customWidth="1"/>
    <col min="1627" max="1627" width="29.453125" style="2782" customWidth="1"/>
    <col min="1628" max="1628" width="18.81640625" style="2782" customWidth="1"/>
    <col min="1629" max="1629" width="25.7265625" style="2782" customWidth="1"/>
    <col min="1630" max="1630" width="29.7265625" style="2782" customWidth="1"/>
    <col min="1631" max="1632" width="25.7265625" style="2782" customWidth="1"/>
    <col min="1633" max="1633" width="13.7265625" style="2782" customWidth="1"/>
    <col min="1634" max="1634" width="29.1796875" style="2782" customWidth="1"/>
    <col min="1635" max="1635" width="23.7265625" style="2782" customWidth="1"/>
    <col min="1636" max="1639" width="24.81640625" style="2782" customWidth="1"/>
    <col min="1640" max="1640" width="14.7265625" style="2782" customWidth="1"/>
    <col min="1641" max="1641" width="30" style="2782" customWidth="1"/>
    <col min="1642" max="1642" width="22" style="2782" customWidth="1"/>
    <col min="1643" max="1643" width="19.26953125" style="2782" customWidth="1"/>
    <col min="1644" max="1644" width="14.1796875" style="2782" customWidth="1"/>
    <col min="1645" max="1791" width="9.1796875" style="2782"/>
    <col min="1792" max="1792" width="8.7265625" style="2782" customWidth="1"/>
    <col min="1793" max="1793" width="92.7265625" style="2782" customWidth="1"/>
    <col min="1794" max="1794" width="16.1796875" style="2782" customWidth="1"/>
    <col min="1795" max="1795" width="16.81640625" style="2782" customWidth="1"/>
    <col min="1796" max="1796" width="14.7265625" style="2782" customWidth="1"/>
    <col min="1797" max="1797" width="19.453125" style="2782" customWidth="1"/>
    <col min="1798" max="1798" width="15" style="2782" customWidth="1"/>
    <col min="1799" max="1799" width="12.7265625" style="2782" customWidth="1"/>
    <col min="1800" max="1801" width="12.1796875" style="2782" customWidth="1"/>
    <col min="1802" max="1802" width="15.81640625" style="2782" customWidth="1"/>
    <col min="1803" max="1803" width="22.1796875" style="2782" customWidth="1"/>
    <col min="1804" max="1804" width="11.453125" style="2782" customWidth="1"/>
    <col min="1805" max="1805" width="17.54296875" style="2782" customWidth="1"/>
    <col min="1806" max="1806" width="0.1796875" style="2782" customWidth="1"/>
    <col min="1807" max="1807" width="18.81640625" style="2782" customWidth="1"/>
    <col min="1808" max="1811" width="25.7265625" style="2782" customWidth="1"/>
    <col min="1812" max="1812" width="14.7265625" style="2782" customWidth="1"/>
    <col min="1813" max="1813" width="22" style="2782" customWidth="1"/>
    <col min="1814" max="1814" width="15.26953125" style="2782" customWidth="1"/>
    <col min="1815" max="1818" width="25.7265625" style="2782" customWidth="1"/>
    <col min="1819" max="1819" width="15.7265625" style="2782" customWidth="1"/>
    <col min="1820" max="1820" width="22.453125" style="2782" customWidth="1"/>
    <col min="1821" max="1821" width="14.7265625" style="2782" customWidth="1"/>
    <col min="1822" max="1825" width="25.7265625" style="2782" customWidth="1"/>
    <col min="1826" max="1826" width="15.7265625" style="2782" customWidth="1"/>
    <col min="1827" max="1827" width="21" style="2782" customWidth="1"/>
    <col min="1828" max="1828" width="16.7265625" style="2782" customWidth="1"/>
    <col min="1829" max="1832" width="25.7265625" style="2782" customWidth="1"/>
    <col min="1833" max="1833" width="15.7265625" style="2782" customWidth="1"/>
    <col min="1834" max="1834" width="29.1796875" style="2782" customWidth="1"/>
    <col min="1835" max="1835" width="13.7265625" style="2782" customWidth="1"/>
    <col min="1836" max="1839" width="25.7265625" style="2782" customWidth="1"/>
    <col min="1840" max="1840" width="15.7265625" style="2782" customWidth="1"/>
    <col min="1841" max="1841" width="29.1796875" style="2782" customWidth="1"/>
    <col min="1842" max="1842" width="11.81640625" style="2782" customWidth="1"/>
    <col min="1843" max="1846" width="25.7265625" style="2782" customWidth="1"/>
    <col min="1847" max="1847" width="15.7265625" style="2782" customWidth="1"/>
    <col min="1848" max="1848" width="29.7265625" style="2782" customWidth="1"/>
    <col min="1849" max="1849" width="25.54296875" style="2782" customWidth="1"/>
    <col min="1850" max="1853" width="25.7265625" style="2782" customWidth="1"/>
    <col min="1854" max="1854" width="7.26953125" style="2782" customWidth="1"/>
    <col min="1855" max="1855" width="22.7265625" style="2782" customWidth="1"/>
    <col min="1856" max="1856" width="18.81640625" style="2782" customWidth="1"/>
    <col min="1857" max="1860" width="25.7265625" style="2782" customWidth="1"/>
    <col min="1861" max="1861" width="12.26953125" style="2782" customWidth="1"/>
    <col min="1862" max="1862" width="25.7265625" style="2782" customWidth="1"/>
    <col min="1863" max="1863" width="18.81640625" style="2782" customWidth="1"/>
    <col min="1864" max="1867" width="25.7265625" style="2782" customWidth="1"/>
    <col min="1868" max="1868" width="14.54296875" style="2782" customWidth="1"/>
    <col min="1869" max="1869" width="25.7265625" style="2782" customWidth="1"/>
    <col min="1870" max="1870" width="18.81640625" style="2782" customWidth="1"/>
    <col min="1871" max="1874" width="25.7265625" style="2782" customWidth="1"/>
    <col min="1875" max="1875" width="15.7265625" style="2782" customWidth="1"/>
    <col min="1876" max="1876" width="25.7265625" style="2782" customWidth="1"/>
    <col min="1877" max="1877" width="18.81640625" style="2782" customWidth="1"/>
    <col min="1878" max="1881" width="25.7265625" style="2782" customWidth="1"/>
    <col min="1882" max="1882" width="15.7265625" style="2782" customWidth="1"/>
    <col min="1883" max="1883" width="29.453125" style="2782" customWidth="1"/>
    <col min="1884" max="1884" width="18.81640625" style="2782" customWidth="1"/>
    <col min="1885" max="1885" width="25.7265625" style="2782" customWidth="1"/>
    <col min="1886" max="1886" width="29.7265625" style="2782" customWidth="1"/>
    <col min="1887" max="1888" width="25.7265625" style="2782" customWidth="1"/>
    <col min="1889" max="1889" width="13.7265625" style="2782" customWidth="1"/>
    <col min="1890" max="1890" width="29.1796875" style="2782" customWidth="1"/>
    <col min="1891" max="1891" width="23.7265625" style="2782" customWidth="1"/>
    <col min="1892" max="1895" width="24.81640625" style="2782" customWidth="1"/>
    <col min="1896" max="1896" width="14.7265625" style="2782" customWidth="1"/>
    <col min="1897" max="1897" width="30" style="2782" customWidth="1"/>
    <col min="1898" max="1898" width="22" style="2782" customWidth="1"/>
    <col min="1899" max="1899" width="19.26953125" style="2782" customWidth="1"/>
    <col min="1900" max="1900" width="14.1796875" style="2782" customWidth="1"/>
    <col min="1901" max="2047" width="9.1796875" style="2782"/>
    <col min="2048" max="2048" width="8.7265625" style="2782" customWidth="1"/>
    <col min="2049" max="2049" width="92.7265625" style="2782" customWidth="1"/>
    <col min="2050" max="2050" width="16.1796875" style="2782" customWidth="1"/>
    <col min="2051" max="2051" width="16.81640625" style="2782" customWidth="1"/>
    <col min="2052" max="2052" width="14.7265625" style="2782" customWidth="1"/>
    <col min="2053" max="2053" width="19.453125" style="2782" customWidth="1"/>
    <col min="2054" max="2054" width="15" style="2782" customWidth="1"/>
    <col min="2055" max="2055" width="12.7265625" style="2782" customWidth="1"/>
    <col min="2056" max="2057" width="12.1796875" style="2782" customWidth="1"/>
    <col min="2058" max="2058" width="15.81640625" style="2782" customWidth="1"/>
    <col min="2059" max="2059" width="22.1796875" style="2782" customWidth="1"/>
    <col min="2060" max="2060" width="11.453125" style="2782" customWidth="1"/>
    <col min="2061" max="2061" width="17.54296875" style="2782" customWidth="1"/>
    <col min="2062" max="2062" width="0.1796875" style="2782" customWidth="1"/>
    <col min="2063" max="2063" width="18.81640625" style="2782" customWidth="1"/>
    <col min="2064" max="2067" width="25.7265625" style="2782" customWidth="1"/>
    <col min="2068" max="2068" width="14.7265625" style="2782" customWidth="1"/>
    <col min="2069" max="2069" width="22" style="2782" customWidth="1"/>
    <col min="2070" max="2070" width="15.26953125" style="2782" customWidth="1"/>
    <col min="2071" max="2074" width="25.7265625" style="2782" customWidth="1"/>
    <col min="2075" max="2075" width="15.7265625" style="2782" customWidth="1"/>
    <col min="2076" max="2076" width="22.453125" style="2782" customWidth="1"/>
    <col min="2077" max="2077" width="14.7265625" style="2782" customWidth="1"/>
    <col min="2078" max="2081" width="25.7265625" style="2782" customWidth="1"/>
    <col min="2082" max="2082" width="15.7265625" style="2782" customWidth="1"/>
    <col min="2083" max="2083" width="21" style="2782" customWidth="1"/>
    <col min="2084" max="2084" width="16.7265625" style="2782" customWidth="1"/>
    <col min="2085" max="2088" width="25.7265625" style="2782" customWidth="1"/>
    <col min="2089" max="2089" width="15.7265625" style="2782" customWidth="1"/>
    <col min="2090" max="2090" width="29.1796875" style="2782" customWidth="1"/>
    <col min="2091" max="2091" width="13.7265625" style="2782" customWidth="1"/>
    <col min="2092" max="2095" width="25.7265625" style="2782" customWidth="1"/>
    <col min="2096" max="2096" width="15.7265625" style="2782" customWidth="1"/>
    <col min="2097" max="2097" width="29.1796875" style="2782" customWidth="1"/>
    <col min="2098" max="2098" width="11.81640625" style="2782" customWidth="1"/>
    <col min="2099" max="2102" width="25.7265625" style="2782" customWidth="1"/>
    <col min="2103" max="2103" width="15.7265625" style="2782" customWidth="1"/>
    <col min="2104" max="2104" width="29.7265625" style="2782" customWidth="1"/>
    <col min="2105" max="2105" width="25.54296875" style="2782" customWidth="1"/>
    <col min="2106" max="2109" width="25.7265625" style="2782" customWidth="1"/>
    <col min="2110" max="2110" width="7.26953125" style="2782" customWidth="1"/>
    <col min="2111" max="2111" width="22.7265625" style="2782" customWidth="1"/>
    <col min="2112" max="2112" width="18.81640625" style="2782" customWidth="1"/>
    <col min="2113" max="2116" width="25.7265625" style="2782" customWidth="1"/>
    <col min="2117" max="2117" width="12.26953125" style="2782" customWidth="1"/>
    <col min="2118" max="2118" width="25.7265625" style="2782" customWidth="1"/>
    <col min="2119" max="2119" width="18.81640625" style="2782" customWidth="1"/>
    <col min="2120" max="2123" width="25.7265625" style="2782" customWidth="1"/>
    <col min="2124" max="2124" width="14.54296875" style="2782" customWidth="1"/>
    <col min="2125" max="2125" width="25.7265625" style="2782" customWidth="1"/>
    <col min="2126" max="2126" width="18.81640625" style="2782" customWidth="1"/>
    <col min="2127" max="2130" width="25.7265625" style="2782" customWidth="1"/>
    <col min="2131" max="2131" width="15.7265625" style="2782" customWidth="1"/>
    <col min="2132" max="2132" width="25.7265625" style="2782" customWidth="1"/>
    <col min="2133" max="2133" width="18.81640625" style="2782" customWidth="1"/>
    <col min="2134" max="2137" width="25.7265625" style="2782" customWidth="1"/>
    <col min="2138" max="2138" width="15.7265625" style="2782" customWidth="1"/>
    <col min="2139" max="2139" width="29.453125" style="2782" customWidth="1"/>
    <col min="2140" max="2140" width="18.81640625" style="2782" customWidth="1"/>
    <col min="2141" max="2141" width="25.7265625" style="2782" customWidth="1"/>
    <col min="2142" max="2142" width="29.7265625" style="2782" customWidth="1"/>
    <col min="2143" max="2144" width="25.7265625" style="2782" customWidth="1"/>
    <col min="2145" max="2145" width="13.7265625" style="2782" customWidth="1"/>
    <col min="2146" max="2146" width="29.1796875" style="2782" customWidth="1"/>
    <col min="2147" max="2147" width="23.7265625" style="2782" customWidth="1"/>
    <col min="2148" max="2151" width="24.81640625" style="2782" customWidth="1"/>
    <col min="2152" max="2152" width="14.7265625" style="2782" customWidth="1"/>
    <col min="2153" max="2153" width="30" style="2782" customWidth="1"/>
    <col min="2154" max="2154" width="22" style="2782" customWidth="1"/>
    <col min="2155" max="2155" width="19.26953125" style="2782" customWidth="1"/>
    <col min="2156" max="2156" width="14.1796875" style="2782" customWidth="1"/>
    <col min="2157" max="2303" width="9.1796875" style="2782"/>
    <col min="2304" max="2304" width="8.7265625" style="2782" customWidth="1"/>
    <col min="2305" max="2305" width="92.7265625" style="2782" customWidth="1"/>
    <col min="2306" max="2306" width="16.1796875" style="2782" customWidth="1"/>
    <col min="2307" max="2307" width="16.81640625" style="2782" customWidth="1"/>
    <col min="2308" max="2308" width="14.7265625" style="2782" customWidth="1"/>
    <col min="2309" max="2309" width="19.453125" style="2782" customWidth="1"/>
    <col min="2310" max="2310" width="15" style="2782" customWidth="1"/>
    <col min="2311" max="2311" width="12.7265625" style="2782" customWidth="1"/>
    <col min="2312" max="2313" width="12.1796875" style="2782" customWidth="1"/>
    <col min="2314" max="2314" width="15.81640625" style="2782" customWidth="1"/>
    <col min="2315" max="2315" width="22.1796875" style="2782" customWidth="1"/>
    <col min="2316" max="2316" width="11.453125" style="2782" customWidth="1"/>
    <col min="2317" max="2317" width="17.54296875" style="2782" customWidth="1"/>
    <col min="2318" max="2318" width="0.1796875" style="2782" customWidth="1"/>
    <col min="2319" max="2319" width="18.81640625" style="2782" customWidth="1"/>
    <col min="2320" max="2323" width="25.7265625" style="2782" customWidth="1"/>
    <col min="2324" max="2324" width="14.7265625" style="2782" customWidth="1"/>
    <col min="2325" max="2325" width="22" style="2782" customWidth="1"/>
    <col min="2326" max="2326" width="15.26953125" style="2782" customWidth="1"/>
    <col min="2327" max="2330" width="25.7265625" style="2782" customWidth="1"/>
    <col min="2331" max="2331" width="15.7265625" style="2782" customWidth="1"/>
    <col min="2332" max="2332" width="22.453125" style="2782" customWidth="1"/>
    <col min="2333" max="2333" width="14.7265625" style="2782" customWidth="1"/>
    <col min="2334" max="2337" width="25.7265625" style="2782" customWidth="1"/>
    <col min="2338" max="2338" width="15.7265625" style="2782" customWidth="1"/>
    <col min="2339" max="2339" width="21" style="2782" customWidth="1"/>
    <col min="2340" max="2340" width="16.7265625" style="2782" customWidth="1"/>
    <col min="2341" max="2344" width="25.7265625" style="2782" customWidth="1"/>
    <col min="2345" max="2345" width="15.7265625" style="2782" customWidth="1"/>
    <col min="2346" max="2346" width="29.1796875" style="2782" customWidth="1"/>
    <col min="2347" max="2347" width="13.7265625" style="2782" customWidth="1"/>
    <col min="2348" max="2351" width="25.7265625" style="2782" customWidth="1"/>
    <col min="2352" max="2352" width="15.7265625" style="2782" customWidth="1"/>
    <col min="2353" max="2353" width="29.1796875" style="2782" customWidth="1"/>
    <col min="2354" max="2354" width="11.81640625" style="2782" customWidth="1"/>
    <col min="2355" max="2358" width="25.7265625" style="2782" customWidth="1"/>
    <col min="2359" max="2359" width="15.7265625" style="2782" customWidth="1"/>
    <col min="2360" max="2360" width="29.7265625" style="2782" customWidth="1"/>
    <col min="2361" max="2361" width="25.54296875" style="2782" customWidth="1"/>
    <col min="2362" max="2365" width="25.7265625" style="2782" customWidth="1"/>
    <col min="2366" max="2366" width="7.26953125" style="2782" customWidth="1"/>
    <col min="2367" max="2367" width="22.7265625" style="2782" customWidth="1"/>
    <col min="2368" max="2368" width="18.81640625" style="2782" customWidth="1"/>
    <col min="2369" max="2372" width="25.7265625" style="2782" customWidth="1"/>
    <col min="2373" max="2373" width="12.26953125" style="2782" customWidth="1"/>
    <col min="2374" max="2374" width="25.7265625" style="2782" customWidth="1"/>
    <col min="2375" max="2375" width="18.81640625" style="2782" customWidth="1"/>
    <col min="2376" max="2379" width="25.7265625" style="2782" customWidth="1"/>
    <col min="2380" max="2380" width="14.54296875" style="2782" customWidth="1"/>
    <col min="2381" max="2381" width="25.7265625" style="2782" customWidth="1"/>
    <col min="2382" max="2382" width="18.81640625" style="2782" customWidth="1"/>
    <col min="2383" max="2386" width="25.7265625" style="2782" customWidth="1"/>
    <col min="2387" max="2387" width="15.7265625" style="2782" customWidth="1"/>
    <col min="2388" max="2388" width="25.7265625" style="2782" customWidth="1"/>
    <col min="2389" max="2389" width="18.81640625" style="2782" customWidth="1"/>
    <col min="2390" max="2393" width="25.7265625" style="2782" customWidth="1"/>
    <col min="2394" max="2394" width="15.7265625" style="2782" customWidth="1"/>
    <col min="2395" max="2395" width="29.453125" style="2782" customWidth="1"/>
    <col min="2396" max="2396" width="18.81640625" style="2782" customWidth="1"/>
    <col min="2397" max="2397" width="25.7265625" style="2782" customWidth="1"/>
    <col min="2398" max="2398" width="29.7265625" style="2782" customWidth="1"/>
    <col min="2399" max="2400" width="25.7265625" style="2782" customWidth="1"/>
    <col min="2401" max="2401" width="13.7265625" style="2782" customWidth="1"/>
    <col min="2402" max="2402" width="29.1796875" style="2782" customWidth="1"/>
    <col min="2403" max="2403" width="23.7265625" style="2782" customWidth="1"/>
    <col min="2404" max="2407" width="24.81640625" style="2782" customWidth="1"/>
    <col min="2408" max="2408" width="14.7265625" style="2782" customWidth="1"/>
    <col min="2409" max="2409" width="30" style="2782" customWidth="1"/>
    <col min="2410" max="2410" width="22" style="2782" customWidth="1"/>
    <col min="2411" max="2411" width="19.26953125" style="2782" customWidth="1"/>
    <col min="2412" max="2412" width="14.1796875" style="2782" customWidth="1"/>
    <col min="2413" max="2559" width="9.1796875" style="2782"/>
    <col min="2560" max="2560" width="8.7265625" style="2782" customWidth="1"/>
    <col min="2561" max="2561" width="92.7265625" style="2782" customWidth="1"/>
    <col min="2562" max="2562" width="16.1796875" style="2782" customWidth="1"/>
    <col min="2563" max="2563" width="16.81640625" style="2782" customWidth="1"/>
    <col min="2564" max="2564" width="14.7265625" style="2782" customWidth="1"/>
    <col min="2565" max="2565" width="19.453125" style="2782" customWidth="1"/>
    <col min="2566" max="2566" width="15" style="2782" customWidth="1"/>
    <col min="2567" max="2567" width="12.7265625" style="2782" customWidth="1"/>
    <col min="2568" max="2569" width="12.1796875" style="2782" customWidth="1"/>
    <col min="2570" max="2570" width="15.81640625" style="2782" customWidth="1"/>
    <col min="2571" max="2571" width="22.1796875" style="2782" customWidth="1"/>
    <col min="2572" max="2572" width="11.453125" style="2782" customWidth="1"/>
    <col min="2573" max="2573" width="17.54296875" style="2782" customWidth="1"/>
    <col min="2574" max="2574" width="0.1796875" style="2782" customWidth="1"/>
    <col min="2575" max="2575" width="18.81640625" style="2782" customWidth="1"/>
    <col min="2576" max="2579" width="25.7265625" style="2782" customWidth="1"/>
    <col min="2580" max="2580" width="14.7265625" style="2782" customWidth="1"/>
    <col min="2581" max="2581" width="22" style="2782" customWidth="1"/>
    <col min="2582" max="2582" width="15.26953125" style="2782" customWidth="1"/>
    <col min="2583" max="2586" width="25.7265625" style="2782" customWidth="1"/>
    <col min="2587" max="2587" width="15.7265625" style="2782" customWidth="1"/>
    <col min="2588" max="2588" width="22.453125" style="2782" customWidth="1"/>
    <col min="2589" max="2589" width="14.7265625" style="2782" customWidth="1"/>
    <col min="2590" max="2593" width="25.7265625" style="2782" customWidth="1"/>
    <col min="2594" max="2594" width="15.7265625" style="2782" customWidth="1"/>
    <col min="2595" max="2595" width="21" style="2782" customWidth="1"/>
    <col min="2596" max="2596" width="16.7265625" style="2782" customWidth="1"/>
    <col min="2597" max="2600" width="25.7265625" style="2782" customWidth="1"/>
    <col min="2601" max="2601" width="15.7265625" style="2782" customWidth="1"/>
    <col min="2602" max="2602" width="29.1796875" style="2782" customWidth="1"/>
    <col min="2603" max="2603" width="13.7265625" style="2782" customWidth="1"/>
    <col min="2604" max="2607" width="25.7265625" style="2782" customWidth="1"/>
    <col min="2608" max="2608" width="15.7265625" style="2782" customWidth="1"/>
    <col min="2609" max="2609" width="29.1796875" style="2782" customWidth="1"/>
    <col min="2610" max="2610" width="11.81640625" style="2782" customWidth="1"/>
    <col min="2611" max="2614" width="25.7265625" style="2782" customWidth="1"/>
    <col min="2615" max="2615" width="15.7265625" style="2782" customWidth="1"/>
    <col min="2616" max="2616" width="29.7265625" style="2782" customWidth="1"/>
    <col min="2617" max="2617" width="25.54296875" style="2782" customWidth="1"/>
    <col min="2618" max="2621" width="25.7265625" style="2782" customWidth="1"/>
    <col min="2622" max="2622" width="7.26953125" style="2782" customWidth="1"/>
    <col min="2623" max="2623" width="22.7265625" style="2782" customWidth="1"/>
    <col min="2624" max="2624" width="18.81640625" style="2782" customWidth="1"/>
    <col min="2625" max="2628" width="25.7265625" style="2782" customWidth="1"/>
    <col min="2629" max="2629" width="12.26953125" style="2782" customWidth="1"/>
    <col min="2630" max="2630" width="25.7265625" style="2782" customWidth="1"/>
    <col min="2631" max="2631" width="18.81640625" style="2782" customWidth="1"/>
    <col min="2632" max="2635" width="25.7265625" style="2782" customWidth="1"/>
    <col min="2636" max="2636" width="14.54296875" style="2782" customWidth="1"/>
    <col min="2637" max="2637" width="25.7265625" style="2782" customWidth="1"/>
    <col min="2638" max="2638" width="18.81640625" style="2782" customWidth="1"/>
    <col min="2639" max="2642" width="25.7265625" style="2782" customWidth="1"/>
    <col min="2643" max="2643" width="15.7265625" style="2782" customWidth="1"/>
    <col min="2644" max="2644" width="25.7265625" style="2782" customWidth="1"/>
    <col min="2645" max="2645" width="18.81640625" style="2782" customWidth="1"/>
    <col min="2646" max="2649" width="25.7265625" style="2782" customWidth="1"/>
    <col min="2650" max="2650" width="15.7265625" style="2782" customWidth="1"/>
    <col min="2651" max="2651" width="29.453125" style="2782" customWidth="1"/>
    <col min="2652" max="2652" width="18.81640625" style="2782" customWidth="1"/>
    <col min="2653" max="2653" width="25.7265625" style="2782" customWidth="1"/>
    <col min="2654" max="2654" width="29.7265625" style="2782" customWidth="1"/>
    <col min="2655" max="2656" width="25.7265625" style="2782" customWidth="1"/>
    <col min="2657" max="2657" width="13.7265625" style="2782" customWidth="1"/>
    <col min="2658" max="2658" width="29.1796875" style="2782" customWidth="1"/>
    <col min="2659" max="2659" width="23.7265625" style="2782" customWidth="1"/>
    <col min="2660" max="2663" width="24.81640625" style="2782" customWidth="1"/>
    <col min="2664" max="2664" width="14.7265625" style="2782" customWidth="1"/>
    <col min="2665" max="2665" width="30" style="2782" customWidth="1"/>
    <col min="2666" max="2666" width="22" style="2782" customWidth="1"/>
    <col min="2667" max="2667" width="19.26953125" style="2782" customWidth="1"/>
    <col min="2668" max="2668" width="14.1796875" style="2782" customWidth="1"/>
    <col min="2669" max="2815" width="9.1796875" style="2782"/>
    <col min="2816" max="2816" width="8.7265625" style="2782" customWidth="1"/>
    <col min="2817" max="2817" width="92.7265625" style="2782" customWidth="1"/>
    <col min="2818" max="2818" width="16.1796875" style="2782" customWidth="1"/>
    <col min="2819" max="2819" width="16.81640625" style="2782" customWidth="1"/>
    <col min="2820" max="2820" width="14.7265625" style="2782" customWidth="1"/>
    <col min="2821" max="2821" width="19.453125" style="2782" customWidth="1"/>
    <col min="2822" max="2822" width="15" style="2782" customWidth="1"/>
    <col min="2823" max="2823" width="12.7265625" style="2782" customWidth="1"/>
    <col min="2824" max="2825" width="12.1796875" style="2782" customWidth="1"/>
    <col min="2826" max="2826" width="15.81640625" style="2782" customWidth="1"/>
    <col min="2827" max="2827" width="22.1796875" style="2782" customWidth="1"/>
    <col min="2828" max="2828" width="11.453125" style="2782" customWidth="1"/>
    <col min="2829" max="2829" width="17.54296875" style="2782" customWidth="1"/>
    <col min="2830" max="2830" width="0.1796875" style="2782" customWidth="1"/>
    <col min="2831" max="2831" width="18.81640625" style="2782" customWidth="1"/>
    <col min="2832" max="2835" width="25.7265625" style="2782" customWidth="1"/>
    <col min="2836" max="2836" width="14.7265625" style="2782" customWidth="1"/>
    <col min="2837" max="2837" width="22" style="2782" customWidth="1"/>
    <col min="2838" max="2838" width="15.26953125" style="2782" customWidth="1"/>
    <col min="2839" max="2842" width="25.7265625" style="2782" customWidth="1"/>
    <col min="2843" max="2843" width="15.7265625" style="2782" customWidth="1"/>
    <col min="2844" max="2844" width="22.453125" style="2782" customWidth="1"/>
    <col min="2845" max="2845" width="14.7265625" style="2782" customWidth="1"/>
    <col min="2846" max="2849" width="25.7265625" style="2782" customWidth="1"/>
    <col min="2850" max="2850" width="15.7265625" style="2782" customWidth="1"/>
    <col min="2851" max="2851" width="21" style="2782" customWidth="1"/>
    <col min="2852" max="2852" width="16.7265625" style="2782" customWidth="1"/>
    <col min="2853" max="2856" width="25.7265625" style="2782" customWidth="1"/>
    <col min="2857" max="2857" width="15.7265625" style="2782" customWidth="1"/>
    <col min="2858" max="2858" width="29.1796875" style="2782" customWidth="1"/>
    <col min="2859" max="2859" width="13.7265625" style="2782" customWidth="1"/>
    <col min="2860" max="2863" width="25.7265625" style="2782" customWidth="1"/>
    <col min="2864" max="2864" width="15.7265625" style="2782" customWidth="1"/>
    <col min="2865" max="2865" width="29.1796875" style="2782" customWidth="1"/>
    <col min="2866" max="2866" width="11.81640625" style="2782" customWidth="1"/>
    <col min="2867" max="2870" width="25.7265625" style="2782" customWidth="1"/>
    <col min="2871" max="2871" width="15.7265625" style="2782" customWidth="1"/>
    <col min="2872" max="2872" width="29.7265625" style="2782" customWidth="1"/>
    <col min="2873" max="2873" width="25.54296875" style="2782" customWidth="1"/>
    <col min="2874" max="2877" width="25.7265625" style="2782" customWidth="1"/>
    <col min="2878" max="2878" width="7.26953125" style="2782" customWidth="1"/>
    <col min="2879" max="2879" width="22.7265625" style="2782" customWidth="1"/>
    <col min="2880" max="2880" width="18.81640625" style="2782" customWidth="1"/>
    <col min="2881" max="2884" width="25.7265625" style="2782" customWidth="1"/>
    <col min="2885" max="2885" width="12.26953125" style="2782" customWidth="1"/>
    <col min="2886" max="2886" width="25.7265625" style="2782" customWidth="1"/>
    <col min="2887" max="2887" width="18.81640625" style="2782" customWidth="1"/>
    <col min="2888" max="2891" width="25.7265625" style="2782" customWidth="1"/>
    <col min="2892" max="2892" width="14.54296875" style="2782" customWidth="1"/>
    <col min="2893" max="2893" width="25.7265625" style="2782" customWidth="1"/>
    <col min="2894" max="2894" width="18.81640625" style="2782" customWidth="1"/>
    <col min="2895" max="2898" width="25.7265625" style="2782" customWidth="1"/>
    <col min="2899" max="2899" width="15.7265625" style="2782" customWidth="1"/>
    <col min="2900" max="2900" width="25.7265625" style="2782" customWidth="1"/>
    <col min="2901" max="2901" width="18.81640625" style="2782" customWidth="1"/>
    <col min="2902" max="2905" width="25.7265625" style="2782" customWidth="1"/>
    <col min="2906" max="2906" width="15.7265625" style="2782" customWidth="1"/>
    <col min="2907" max="2907" width="29.453125" style="2782" customWidth="1"/>
    <col min="2908" max="2908" width="18.81640625" style="2782" customWidth="1"/>
    <col min="2909" max="2909" width="25.7265625" style="2782" customWidth="1"/>
    <col min="2910" max="2910" width="29.7265625" style="2782" customWidth="1"/>
    <col min="2911" max="2912" width="25.7265625" style="2782" customWidth="1"/>
    <col min="2913" max="2913" width="13.7265625" style="2782" customWidth="1"/>
    <col min="2914" max="2914" width="29.1796875" style="2782" customWidth="1"/>
    <col min="2915" max="2915" width="23.7265625" style="2782" customWidth="1"/>
    <col min="2916" max="2919" width="24.81640625" style="2782" customWidth="1"/>
    <col min="2920" max="2920" width="14.7265625" style="2782" customWidth="1"/>
    <col min="2921" max="2921" width="30" style="2782" customWidth="1"/>
    <col min="2922" max="2922" width="22" style="2782" customWidth="1"/>
    <col min="2923" max="2923" width="19.26953125" style="2782" customWidth="1"/>
    <col min="2924" max="2924" width="14.1796875" style="2782" customWidth="1"/>
    <col min="2925" max="3071" width="9.1796875" style="2782"/>
    <col min="3072" max="3072" width="8.7265625" style="2782" customWidth="1"/>
    <col min="3073" max="3073" width="92.7265625" style="2782" customWidth="1"/>
    <col min="3074" max="3074" width="16.1796875" style="2782" customWidth="1"/>
    <col min="3075" max="3075" width="16.81640625" style="2782" customWidth="1"/>
    <col min="3076" max="3076" width="14.7265625" style="2782" customWidth="1"/>
    <col min="3077" max="3077" width="19.453125" style="2782" customWidth="1"/>
    <col min="3078" max="3078" width="15" style="2782" customWidth="1"/>
    <col min="3079" max="3079" width="12.7265625" style="2782" customWidth="1"/>
    <col min="3080" max="3081" width="12.1796875" style="2782" customWidth="1"/>
    <col min="3082" max="3082" width="15.81640625" style="2782" customWidth="1"/>
    <col min="3083" max="3083" width="22.1796875" style="2782" customWidth="1"/>
    <col min="3084" max="3084" width="11.453125" style="2782" customWidth="1"/>
    <col min="3085" max="3085" width="17.54296875" style="2782" customWidth="1"/>
    <col min="3086" max="3086" width="0.1796875" style="2782" customWidth="1"/>
    <col min="3087" max="3087" width="18.81640625" style="2782" customWidth="1"/>
    <col min="3088" max="3091" width="25.7265625" style="2782" customWidth="1"/>
    <col min="3092" max="3092" width="14.7265625" style="2782" customWidth="1"/>
    <col min="3093" max="3093" width="22" style="2782" customWidth="1"/>
    <col min="3094" max="3094" width="15.26953125" style="2782" customWidth="1"/>
    <col min="3095" max="3098" width="25.7265625" style="2782" customWidth="1"/>
    <col min="3099" max="3099" width="15.7265625" style="2782" customWidth="1"/>
    <col min="3100" max="3100" width="22.453125" style="2782" customWidth="1"/>
    <col min="3101" max="3101" width="14.7265625" style="2782" customWidth="1"/>
    <col min="3102" max="3105" width="25.7265625" style="2782" customWidth="1"/>
    <col min="3106" max="3106" width="15.7265625" style="2782" customWidth="1"/>
    <col min="3107" max="3107" width="21" style="2782" customWidth="1"/>
    <col min="3108" max="3108" width="16.7265625" style="2782" customWidth="1"/>
    <col min="3109" max="3112" width="25.7265625" style="2782" customWidth="1"/>
    <col min="3113" max="3113" width="15.7265625" style="2782" customWidth="1"/>
    <col min="3114" max="3114" width="29.1796875" style="2782" customWidth="1"/>
    <col min="3115" max="3115" width="13.7265625" style="2782" customWidth="1"/>
    <col min="3116" max="3119" width="25.7265625" style="2782" customWidth="1"/>
    <col min="3120" max="3120" width="15.7265625" style="2782" customWidth="1"/>
    <col min="3121" max="3121" width="29.1796875" style="2782" customWidth="1"/>
    <col min="3122" max="3122" width="11.81640625" style="2782" customWidth="1"/>
    <col min="3123" max="3126" width="25.7265625" style="2782" customWidth="1"/>
    <col min="3127" max="3127" width="15.7265625" style="2782" customWidth="1"/>
    <col min="3128" max="3128" width="29.7265625" style="2782" customWidth="1"/>
    <col min="3129" max="3129" width="25.54296875" style="2782" customWidth="1"/>
    <col min="3130" max="3133" width="25.7265625" style="2782" customWidth="1"/>
    <col min="3134" max="3134" width="7.26953125" style="2782" customWidth="1"/>
    <col min="3135" max="3135" width="22.7265625" style="2782" customWidth="1"/>
    <col min="3136" max="3136" width="18.81640625" style="2782" customWidth="1"/>
    <col min="3137" max="3140" width="25.7265625" style="2782" customWidth="1"/>
    <col min="3141" max="3141" width="12.26953125" style="2782" customWidth="1"/>
    <col min="3142" max="3142" width="25.7265625" style="2782" customWidth="1"/>
    <col min="3143" max="3143" width="18.81640625" style="2782" customWidth="1"/>
    <col min="3144" max="3147" width="25.7265625" style="2782" customWidth="1"/>
    <col min="3148" max="3148" width="14.54296875" style="2782" customWidth="1"/>
    <col min="3149" max="3149" width="25.7265625" style="2782" customWidth="1"/>
    <col min="3150" max="3150" width="18.81640625" style="2782" customWidth="1"/>
    <col min="3151" max="3154" width="25.7265625" style="2782" customWidth="1"/>
    <col min="3155" max="3155" width="15.7265625" style="2782" customWidth="1"/>
    <col min="3156" max="3156" width="25.7265625" style="2782" customWidth="1"/>
    <col min="3157" max="3157" width="18.81640625" style="2782" customWidth="1"/>
    <col min="3158" max="3161" width="25.7265625" style="2782" customWidth="1"/>
    <col min="3162" max="3162" width="15.7265625" style="2782" customWidth="1"/>
    <col min="3163" max="3163" width="29.453125" style="2782" customWidth="1"/>
    <col min="3164" max="3164" width="18.81640625" style="2782" customWidth="1"/>
    <col min="3165" max="3165" width="25.7265625" style="2782" customWidth="1"/>
    <col min="3166" max="3166" width="29.7265625" style="2782" customWidth="1"/>
    <col min="3167" max="3168" width="25.7265625" style="2782" customWidth="1"/>
    <col min="3169" max="3169" width="13.7265625" style="2782" customWidth="1"/>
    <col min="3170" max="3170" width="29.1796875" style="2782" customWidth="1"/>
    <col min="3171" max="3171" width="23.7265625" style="2782" customWidth="1"/>
    <col min="3172" max="3175" width="24.81640625" style="2782" customWidth="1"/>
    <col min="3176" max="3176" width="14.7265625" style="2782" customWidth="1"/>
    <col min="3177" max="3177" width="30" style="2782" customWidth="1"/>
    <col min="3178" max="3178" width="22" style="2782" customWidth="1"/>
    <col min="3179" max="3179" width="19.26953125" style="2782" customWidth="1"/>
    <col min="3180" max="3180" width="14.1796875" style="2782" customWidth="1"/>
    <col min="3181" max="3327" width="9.1796875" style="2782"/>
    <col min="3328" max="3328" width="8.7265625" style="2782" customWidth="1"/>
    <col min="3329" max="3329" width="92.7265625" style="2782" customWidth="1"/>
    <col min="3330" max="3330" width="16.1796875" style="2782" customWidth="1"/>
    <col min="3331" max="3331" width="16.81640625" style="2782" customWidth="1"/>
    <col min="3332" max="3332" width="14.7265625" style="2782" customWidth="1"/>
    <col min="3333" max="3333" width="19.453125" style="2782" customWidth="1"/>
    <col min="3334" max="3334" width="15" style="2782" customWidth="1"/>
    <col min="3335" max="3335" width="12.7265625" style="2782" customWidth="1"/>
    <col min="3336" max="3337" width="12.1796875" style="2782" customWidth="1"/>
    <col min="3338" max="3338" width="15.81640625" style="2782" customWidth="1"/>
    <col min="3339" max="3339" width="22.1796875" style="2782" customWidth="1"/>
    <col min="3340" max="3340" width="11.453125" style="2782" customWidth="1"/>
    <col min="3341" max="3341" width="17.54296875" style="2782" customWidth="1"/>
    <col min="3342" max="3342" width="0.1796875" style="2782" customWidth="1"/>
    <col min="3343" max="3343" width="18.81640625" style="2782" customWidth="1"/>
    <col min="3344" max="3347" width="25.7265625" style="2782" customWidth="1"/>
    <col min="3348" max="3348" width="14.7265625" style="2782" customWidth="1"/>
    <col min="3349" max="3349" width="22" style="2782" customWidth="1"/>
    <col min="3350" max="3350" width="15.26953125" style="2782" customWidth="1"/>
    <col min="3351" max="3354" width="25.7265625" style="2782" customWidth="1"/>
    <col min="3355" max="3355" width="15.7265625" style="2782" customWidth="1"/>
    <col min="3356" max="3356" width="22.453125" style="2782" customWidth="1"/>
    <col min="3357" max="3357" width="14.7265625" style="2782" customWidth="1"/>
    <col min="3358" max="3361" width="25.7265625" style="2782" customWidth="1"/>
    <col min="3362" max="3362" width="15.7265625" style="2782" customWidth="1"/>
    <col min="3363" max="3363" width="21" style="2782" customWidth="1"/>
    <col min="3364" max="3364" width="16.7265625" style="2782" customWidth="1"/>
    <col min="3365" max="3368" width="25.7265625" style="2782" customWidth="1"/>
    <col min="3369" max="3369" width="15.7265625" style="2782" customWidth="1"/>
    <col min="3370" max="3370" width="29.1796875" style="2782" customWidth="1"/>
    <col min="3371" max="3371" width="13.7265625" style="2782" customWidth="1"/>
    <col min="3372" max="3375" width="25.7265625" style="2782" customWidth="1"/>
    <col min="3376" max="3376" width="15.7265625" style="2782" customWidth="1"/>
    <col min="3377" max="3377" width="29.1796875" style="2782" customWidth="1"/>
    <col min="3378" max="3378" width="11.81640625" style="2782" customWidth="1"/>
    <col min="3379" max="3382" width="25.7265625" style="2782" customWidth="1"/>
    <col min="3383" max="3383" width="15.7265625" style="2782" customWidth="1"/>
    <col min="3384" max="3384" width="29.7265625" style="2782" customWidth="1"/>
    <col min="3385" max="3385" width="25.54296875" style="2782" customWidth="1"/>
    <col min="3386" max="3389" width="25.7265625" style="2782" customWidth="1"/>
    <col min="3390" max="3390" width="7.26953125" style="2782" customWidth="1"/>
    <col min="3391" max="3391" width="22.7265625" style="2782" customWidth="1"/>
    <col min="3392" max="3392" width="18.81640625" style="2782" customWidth="1"/>
    <col min="3393" max="3396" width="25.7265625" style="2782" customWidth="1"/>
    <col min="3397" max="3397" width="12.26953125" style="2782" customWidth="1"/>
    <col min="3398" max="3398" width="25.7265625" style="2782" customWidth="1"/>
    <col min="3399" max="3399" width="18.81640625" style="2782" customWidth="1"/>
    <col min="3400" max="3403" width="25.7265625" style="2782" customWidth="1"/>
    <col min="3404" max="3404" width="14.54296875" style="2782" customWidth="1"/>
    <col min="3405" max="3405" width="25.7265625" style="2782" customWidth="1"/>
    <col min="3406" max="3406" width="18.81640625" style="2782" customWidth="1"/>
    <col min="3407" max="3410" width="25.7265625" style="2782" customWidth="1"/>
    <col min="3411" max="3411" width="15.7265625" style="2782" customWidth="1"/>
    <col min="3412" max="3412" width="25.7265625" style="2782" customWidth="1"/>
    <col min="3413" max="3413" width="18.81640625" style="2782" customWidth="1"/>
    <col min="3414" max="3417" width="25.7265625" style="2782" customWidth="1"/>
    <col min="3418" max="3418" width="15.7265625" style="2782" customWidth="1"/>
    <col min="3419" max="3419" width="29.453125" style="2782" customWidth="1"/>
    <col min="3420" max="3420" width="18.81640625" style="2782" customWidth="1"/>
    <col min="3421" max="3421" width="25.7265625" style="2782" customWidth="1"/>
    <col min="3422" max="3422" width="29.7265625" style="2782" customWidth="1"/>
    <col min="3423" max="3424" width="25.7265625" style="2782" customWidth="1"/>
    <col min="3425" max="3425" width="13.7265625" style="2782" customWidth="1"/>
    <col min="3426" max="3426" width="29.1796875" style="2782" customWidth="1"/>
    <col min="3427" max="3427" width="23.7265625" style="2782" customWidth="1"/>
    <col min="3428" max="3431" width="24.81640625" style="2782" customWidth="1"/>
    <col min="3432" max="3432" width="14.7265625" style="2782" customWidth="1"/>
    <col min="3433" max="3433" width="30" style="2782" customWidth="1"/>
    <col min="3434" max="3434" width="22" style="2782" customWidth="1"/>
    <col min="3435" max="3435" width="19.26953125" style="2782" customWidth="1"/>
    <col min="3436" max="3436" width="14.1796875" style="2782" customWidth="1"/>
    <col min="3437" max="3583" width="9.1796875" style="2782"/>
    <col min="3584" max="3584" width="8.7265625" style="2782" customWidth="1"/>
    <col min="3585" max="3585" width="92.7265625" style="2782" customWidth="1"/>
    <col min="3586" max="3586" width="16.1796875" style="2782" customWidth="1"/>
    <col min="3587" max="3587" width="16.81640625" style="2782" customWidth="1"/>
    <col min="3588" max="3588" width="14.7265625" style="2782" customWidth="1"/>
    <col min="3589" max="3589" width="19.453125" style="2782" customWidth="1"/>
    <col min="3590" max="3590" width="15" style="2782" customWidth="1"/>
    <col min="3591" max="3591" width="12.7265625" style="2782" customWidth="1"/>
    <col min="3592" max="3593" width="12.1796875" style="2782" customWidth="1"/>
    <col min="3594" max="3594" width="15.81640625" style="2782" customWidth="1"/>
    <col min="3595" max="3595" width="22.1796875" style="2782" customWidth="1"/>
    <col min="3596" max="3596" width="11.453125" style="2782" customWidth="1"/>
    <col min="3597" max="3597" width="17.54296875" style="2782" customWidth="1"/>
    <col min="3598" max="3598" width="0.1796875" style="2782" customWidth="1"/>
    <col min="3599" max="3599" width="18.81640625" style="2782" customWidth="1"/>
    <col min="3600" max="3603" width="25.7265625" style="2782" customWidth="1"/>
    <col min="3604" max="3604" width="14.7265625" style="2782" customWidth="1"/>
    <col min="3605" max="3605" width="22" style="2782" customWidth="1"/>
    <col min="3606" max="3606" width="15.26953125" style="2782" customWidth="1"/>
    <col min="3607" max="3610" width="25.7265625" style="2782" customWidth="1"/>
    <col min="3611" max="3611" width="15.7265625" style="2782" customWidth="1"/>
    <col min="3612" max="3612" width="22.453125" style="2782" customWidth="1"/>
    <col min="3613" max="3613" width="14.7265625" style="2782" customWidth="1"/>
    <col min="3614" max="3617" width="25.7265625" style="2782" customWidth="1"/>
    <col min="3618" max="3618" width="15.7265625" style="2782" customWidth="1"/>
    <col min="3619" max="3619" width="21" style="2782" customWidth="1"/>
    <col min="3620" max="3620" width="16.7265625" style="2782" customWidth="1"/>
    <col min="3621" max="3624" width="25.7265625" style="2782" customWidth="1"/>
    <col min="3625" max="3625" width="15.7265625" style="2782" customWidth="1"/>
    <col min="3626" max="3626" width="29.1796875" style="2782" customWidth="1"/>
    <col min="3627" max="3627" width="13.7265625" style="2782" customWidth="1"/>
    <col min="3628" max="3631" width="25.7265625" style="2782" customWidth="1"/>
    <col min="3632" max="3632" width="15.7265625" style="2782" customWidth="1"/>
    <col min="3633" max="3633" width="29.1796875" style="2782" customWidth="1"/>
    <col min="3634" max="3634" width="11.81640625" style="2782" customWidth="1"/>
    <col min="3635" max="3638" width="25.7265625" style="2782" customWidth="1"/>
    <col min="3639" max="3639" width="15.7265625" style="2782" customWidth="1"/>
    <col min="3640" max="3640" width="29.7265625" style="2782" customWidth="1"/>
    <col min="3641" max="3641" width="25.54296875" style="2782" customWidth="1"/>
    <col min="3642" max="3645" width="25.7265625" style="2782" customWidth="1"/>
    <col min="3646" max="3646" width="7.26953125" style="2782" customWidth="1"/>
    <col min="3647" max="3647" width="22.7265625" style="2782" customWidth="1"/>
    <col min="3648" max="3648" width="18.81640625" style="2782" customWidth="1"/>
    <col min="3649" max="3652" width="25.7265625" style="2782" customWidth="1"/>
    <col min="3653" max="3653" width="12.26953125" style="2782" customWidth="1"/>
    <col min="3654" max="3654" width="25.7265625" style="2782" customWidth="1"/>
    <col min="3655" max="3655" width="18.81640625" style="2782" customWidth="1"/>
    <col min="3656" max="3659" width="25.7265625" style="2782" customWidth="1"/>
    <col min="3660" max="3660" width="14.54296875" style="2782" customWidth="1"/>
    <col min="3661" max="3661" width="25.7265625" style="2782" customWidth="1"/>
    <col min="3662" max="3662" width="18.81640625" style="2782" customWidth="1"/>
    <col min="3663" max="3666" width="25.7265625" style="2782" customWidth="1"/>
    <col min="3667" max="3667" width="15.7265625" style="2782" customWidth="1"/>
    <col min="3668" max="3668" width="25.7265625" style="2782" customWidth="1"/>
    <col min="3669" max="3669" width="18.81640625" style="2782" customWidth="1"/>
    <col min="3670" max="3673" width="25.7265625" style="2782" customWidth="1"/>
    <col min="3674" max="3674" width="15.7265625" style="2782" customWidth="1"/>
    <col min="3675" max="3675" width="29.453125" style="2782" customWidth="1"/>
    <col min="3676" max="3676" width="18.81640625" style="2782" customWidth="1"/>
    <col min="3677" max="3677" width="25.7265625" style="2782" customWidth="1"/>
    <col min="3678" max="3678" width="29.7265625" style="2782" customWidth="1"/>
    <col min="3679" max="3680" width="25.7265625" style="2782" customWidth="1"/>
    <col min="3681" max="3681" width="13.7265625" style="2782" customWidth="1"/>
    <col min="3682" max="3682" width="29.1796875" style="2782" customWidth="1"/>
    <col min="3683" max="3683" width="23.7265625" style="2782" customWidth="1"/>
    <col min="3684" max="3687" width="24.81640625" style="2782" customWidth="1"/>
    <col min="3688" max="3688" width="14.7265625" style="2782" customWidth="1"/>
    <col min="3689" max="3689" width="30" style="2782" customWidth="1"/>
    <col min="3690" max="3690" width="22" style="2782" customWidth="1"/>
    <col min="3691" max="3691" width="19.26953125" style="2782" customWidth="1"/>
    <col min="3692" max="3692" width="14.1796875" style="2782" customWidth="1"/>
    <col min="3693" max="3839" width="9.1796875" style="2782"/>
    <col min="3840" max="3840" width="8.7265625" style="2782" customWidth="1"/>
    <col min="3841" max="3841" width="92.7265625" style="2782" customWidth="1"/>
    <col min="3842" max="3842" width="16.1796875" style="2782" customWidth="1"/>
    <col min="3843" max="3843" width="16.81640625" style="2782" customWidth="1"/>
    <col min="3844" max="3844" width="14.7265625" style="2782" customWidth="1"/>
    <col min="3845" max="3845" width="19.453125" style="2782" customWidth="1"/>
    <col min="3846" max="3846" width="15" style="2782" customWidth="1"/>
    <col min="3847" max="3847" width="12.7265625" style="2782" customWidth="1"/>
    <col min="3848" max="3849" width="12.1796875" style="2782" customWidth="1"/>
    <col min="3850" max="3850" width="15.81640625" style="2782" customWidth="1"/>
    <col min="3851" max="3851" width="22.1796875" style="2782" customWidth="1"/>
    <col min="3852" max="3852" width="11.453125" style="2782" customWidth="1"/>
    <col min="3853" max="3853" width="17.54296875" style="2782" customWidth="1"/>
    <col min="3854" max="3854" width="0.1796875" style="2782" customWidth="1"/>
    <col min="3855" max="3855" width="18.81640625" style="2782" customWidth="1"/>
    <col min="3856" max="3859" width="25.7265625" style="2782" customWidth="1"/>
    <col min="3860" max="3860" width="14.7265625" style="2782" customWidth="1"/>
    <col min="3861" max="3861" width="22" style="2782" customWidth="1"/>
    <col min="3862" max="3862" width="15.26953125" style="2782" customWidth="1"/>
    <col min="3863" max="3866" width="25.7265625" style="2782" customWidth="1"/>
    <col min="3867" max="3867" width="15.7265625" style="2782" customWidth="1"/>
    <col min="3868" max="3868" width="22.453125" style="2782" customWidth="1"/>
    <col min="3869" max="3869" width="14.7265625" style="2782" customWidth="1"/>
    <col min="3870" max="3873" width="25.7265625" style="2782" customWidth="1"/>
    <col min="3874" max="3874" width="15.7265625" style="2782" customWidth="1"/>
    <col min="3875" max="3875" width="21" style="2782" customWidth="1"/>
    <col min="3876" max="3876" width="16.7265625" style="2782" customWidth="1"/>
    <col min="3877" max="3880" width="25.7265625" style="2782" customWidth="1"/>
    <col min="3881" max="3881" width="15.7265625" style="2782" customWidth="1"/>
    <col min="3882" max="3882" width="29.1796875" style="2782" customWidth="1"/>
    <col min="3883" max="3883" width="13.7265625" style="2782" customWidth="1"/>
    <col min="3884" max="3887" width="25.7265625" style="2782" customWidth="1"/>
    <col min="3888" max="3888" width="15.7265625" style="2782" customWidth="1"/>
    <col min="3889" max="3889" width="29.1796875" style="2782" customWidth="1"/>
    <col min="3890" max="3890" width="11.81640625" style="2782" customWidth="1"/>
    <col min="3891" max="3894" width="25.7265625" style="2782" customWidth="1"/>
    <col min="3895" max="3895" width="15.7265625" style="2782" customWidth="1"/>
    <col min="3896" max="3896" width="29.7265625" style="2782" customWidth="1"/>
    <col min="3897" max="3897" width="25.54296875" style="2782" customWidth="1"/>
    <col min="3898" max="3901" width="25.7265625" style="2782" customWidth="1"/>
    <col min="3902" max="3902" width="7.26953125" style="2782" customWidth="1"/>
    <col min="3903" max="3903" width="22.7265625" style="2782" customWidth="1"/>
    <col min="3904" max="3904" width="18.81640625" style="2782" customWidth="1"/>
    <col min="3905" max="3908" width="25.7265625" style="2782" customWidth="1"/>
    <col min="3909" max="3909" width="12.26953125" style="2782" customWidth="1"/>
    <col min="3910" max="3910" width="25.7265625" style="2782" customWidth="1"/>
    <col min="3911" max="3911" width="18.81640625" style="2782" customWidth="1"/>
    <col min="3912" max="3915" width="25.7265625" style="2782" customWidth="1"/>
    <col min="3916" max="3916" width="14.54296875" style="2782" customWidth="1"/>
    <col min="3917" max="3917" width="25.7265625" style="2782" customWidth="1"/>
    <col min="3918" max="3918" width="18.81640625" style="2782" customWidth="1"/>
    <col min="3919" max="3922" width="25.7265625" style="2782" customWidth="1"/>
    <col min="3923" max="3923" width="15.7265625" style="2782" customWidth="1"/>
    <col min="3924" max="3924" width="25.7265625" style="2782" customWidth="1"/>
    <col min="3925" max="3925" width="18.81640625" style="2782" customWidth="1"/>
    <col min="3926" max="3929" width="25.7265625" style="2782" customWidth="1"/>
    <col min="3930" max="3930" width="15.7265625" style="2782" customWidth="1"/>
    <col min="3931" max="3931" width="29.453125" style="2782" customWidth="1"/>
    <col min="3932" max="3932" width="18.81640625" style="2782" customWidth="1"/>
    <col min="3933" max="3933" width="25.7265625" style="2782" customWidth="1"/>
    <col min="3934" max="3934" width="29.7265625" style="2782" customWidth="1"/>
    <col min="3935" max="3936" width="25.7265625" style="2782" customWidth="1"/>
    <col min="3937" max="3937" width="13.7265625" style="2782" customWidth="1"/>
    <col min="3938" max="3938" width="29.1796875" style="2782" customWidth="1"/>
    <col min="3939" max="3939" width="23.7265625" style="2782" customWidth="1"/>
    <col min="3940" max="3943" width="24.81640625" style="2782" customWidth="1"/>
    <col min="3944" max="3944" width="14.7265625" style="2782" customWidth="1"/>
    <col min="3945" max="3945" width="30" style="2782" customWidth="1"/>
    <col min="3946" max="3946" width="22" style="2782" customWidth="1"/>
    <col min="3947" max="3947" width="19.26953125" style="2782" customWidth="1"/>
    <col min="3948" max="3948" width="14.1796875" style="2782" customWidth="1"/>
    <col min="3949" max="4095" width="9.1796875" style="2782"/>
    <col min="4096" max="4096" width="8.7265625" style="2782" customWidth="1"/>
    <col min="4097" max="4097" width="92.7265625" style="2782" customWidth="1"/>
    <col min="4098" max="4098" width="16.1796875" style="2782" customWidth="1"/>
    <col min="4099" max="4099" width="16.81640625" style="2782" customWidth="1"/>
    <col min="4100" max="4100" width="14.7265625" style="2782" customWidth="1"/>
    <col min="4101" max="4101" width="19.453125" style="2782" customWidth="1"/>
    <col min="4102" max="4102" width="15" style="2782" customWidth="1"/>
    <col min="4103" max="4103" width="12.7265625" style="2782" customWidth="1"/>
    <col min="4104" max="4105" width="12.1796875" style="2782" customWidth="1"/>
    <col min="4106" max="4106" width="15.81640625" style="2782" customWidth="1"/>
    <col min="4107" max="4107" width="22.1796875" style="2782" customWidth="1"/>
    <col min="4108" max="4108" width="11.453125" style="2782" customWidth="1"/>
    <col min="4109" max="4109" width="17.54296875" style="2782" customWidth="1"/>
    <col min="4110" max="4110" width="0.1796875" style="2782" customWidth="1"/>
    <col min="4111" max="4111" width="18.81640625" style="2782" customWidth="1"/>
    <col min="4112" max="4115" width="25.7265625" style="2782" customWidth="1"/>
    <col min="4116" max="4116" width="14.7265625" style="2782" customWidth="1"/>
    <col min="4117" max="4117" width="22" style="2782" customWidth="1"/>
    <col min="4118" max="4118" width="15.26953125" style="2782" customWidth="1"/>
    <col min="4119" max="4122" width="25.7265625" style="2782" customWidth="1"/>
    <col min="4123" max="4123" width="15.7265625" style="2782" customWidth="1"/>
    <col min="4124" max="4124" width="22.453125" style="2782" customWidth="1"/>
    <col min="4125" max="4125" width="14.7265625" style="2782" customWidth="1"/>
    <col min="4126" max="4129" width="25.7265625" style="2782" customWidth="1"/>
    <col min="4130" max="4130" width="15.7265625" style="2782" customWidth="1"/>
    <col min="4131" max="4131" width="21" style="2782" customWidth="1"/>
    <col min="4132" max="4132" width="16.7265625" style="2782" customWidth="1"/>
    <col min="4133" max="4136" width="25.7265625" style="2782" customWidth="1"/>
    <col min="4137" max="4137" width="15.7265625" style="2782" customWidth="1"/>
    <col min="4138" max="4138" width="29.1796875" style="2782" customWidth="1"/>
    <col min="4139" max="4139" width="13.7265625" style="2782" customWidth="1"/>
    <col min="4140" max="4143" width="25.7265625" style="2782" customWidth="1"/>
    <col min="4144" max="4144" width="15.7265625" style="2782" customWidth="1"/>
    <col min="4145" max="4145" width="29.1796875" style="2782" customWidth="1"/>
    <col min="4146" max="4146" width="11.81640625" style="2782" customWidth="1"/>
    <col min="4147" max="4150" width="25.7265625" style="2782" customWidth="1"/>
    <col min="4151" max="4151" width="15.7265625" style="2782" customWidth="1"/>
    <col min="4152" max="4152" width="29.7265625" style="2782" customWidth="1"/>
    <col min="4153" max="4153" width="25.54296875" style="2782" customWidth="1"/>
    <col min="4154" max="4157" width="25.7265625" style="2782" customWidth="1"/>
    <col min="4158" max="4158" width="7.26953125" style="2782" customWidth="1"/>
    <col min="4159" max="4159" width="22.7265625" style="2782" customWidth="1"/>
    <col min="4160" max="4160" width="18.81640625" style="2782" customWidth="1"/>
    <col min="4161" max="4164" width="25.7265625" style="2782" customWidth="1"/>
    <col min="4165" max="4165" width="12.26953125" style="2782" customWidth="1"/>
    <col min="4166" max="4166" width="25.7265625" style="2782" customWidth="1"/>
    <col min="4167" max="4167" width="18.81640625" style="2782" customWidth="1"/>
    <col min="4168" max="4171" width="25.7265625" style="2782" customWidth="1"/>
    <col min="4172" max="4172" width="14.54296875" style="2782" customWidth="1"/>
    <col min="4173" max="4173" width="25.7265625" style="2782" customWidth="1"/>
    <col min="4174" max="4174" width="18.81640625" style="2782" customWidth="1"/>
    <col min="4175" max="4178" width="25.7265625" style="2782" customWidth="1"/>
    <col min="4179" max="4179" width="15.7265625" style="2782" customWidth="1"/>
    <col min="4180" max="4180" width="25.7265625" style="2782" customWidth="1"/>
    <col min="4181" max="4181" width="18.81640625" style="2782" customWidth="1"/>
    <col min="4182" max="4185" width="25.7265625" style="2782" customWidth="1"/>
    <col min="4186" max="4186" width="15.7265625" style="2782" customWidth="1"/>
    <col min="4187" max="4187" width="29.453125" style="2782" customWidth="1"/>
    <col min="4188" max="4188" width="18.81640625" style="2782" customWidth="1"/>
    <col min="4189" max="4189" width="25.7265625" style="2782" customWidth="1"/>
    <col min="4190" max="4190" width="29.7265625" style="2782" customWidth="1"/>
    <col min="4191" max="4192" width="25.7265625" style="2782" customWidth="1"/>
    <col min="4193" max="4193" width="13.7265625" style="2782" customWidth="1"/>
    <col min="4194" max="4194" width="29.1796875" style="2782" customWidth="1"/>
    <col min="4195" max="4195" width="23.7265625" style="2782" customWidth="1"/>
    <col min="4196" max="4199" width="24.81640625" style="2782" customWidth="1"/>
    <col min="4200" max="4200" width="14.7265625" style="2782" customWidth="1"/>
    <col min="4201" max="4201" width="30" style="2782" customWidth="1"/>
    <col min="4202" max="4202" width="22" style="2782" customWidth="1"/>
    <col min="4203" max="4203" width="19.26953125" style="2782" customWidth="1"/>
    <col min="4204" max="4204" width="14.1796875" style="2782" customWidth="1"/>
    <col min="4205" max="4351" width="9.1796875" style="2782"/>
    <col min="4352" max="4352" width="8.7265625" style="2782" customWidth="1"/>
    <col min="4353" max="4353" width="92.7265625" style="2782" customWidth="1"/>
    <col min="4354" max="4354" width="16.1796875" style="2782" customWidth="1"/>
    <col min="4355" max="4355" width="16.81640625" style="2782" customWidth="1"/>
    <col min="4356" max="4356" width="14.7265625" style="2782" customWidth="1"/>
    <col min="4357" max="4357" width="19.453125" style="2782" customWidth="1"/>
    <col min="4358" max="4358" width="15" style="2782" customWidth="1"/>
    <col min="4359" max="4359" width="12.7265625" style="2782" customWidth="1"/>
    <col min="4360" max="4361" width="12.1796875" style="2782" customWidth="1"/>
    <col min="4362" max="4362" width="15.81640625" style="2782" customWidth="1"/>
    <col min="4363" max="4363" width="22.1796875" style="2782" customWidth="1"/>
    <col min="4364" max="4364" width="11.453125" style="2782" customWidth="1"/>
    <col min="4365" max="4365" width="17.54296875" style="2782" customWidth="1"/>
    <col min="4366" max="4366" width="0.1796875" style="2782" customWidth="1"/>
    <col min="4367" max="4367" width="18.81640625" style="2782" customWidth="1"/>
    <col min="4368" max="4371" width="25.7265625" style="2782" customWidth="1"/>
    <col min="4372" max="4372" width="14.7265625" style="2782" customWidth="1"/>
    <col min="4373" max="4373" width="22" style="2782" customWidth="1"/>
    <col min="4374" max="4374" width="15.26953125" style="2782" customWidth="1"/>
    <col min="4375" max="4378" width="25.7265625" style="2782" customWidth="1"/>
    <col min="4379" max="4379" width="15.7265625" style="2782" customWidth="1"/>
    <col min="4380" max="4380" width="22.453125" style="2782" customWidth="1"/>
    <col min="4381" max="4381" width="14.7265625" style="2782" customWidth="1"/>
    <col min="4382" max="4385" width="25.7265625" style="2782" customWidth="1"/>
    <col min="4386" max="4386" width="15.7265625" style="2782" customWidth="1"/>
    <col min="4387" max="4387" width="21" style="2782" customWidth="1"/>
    <col min="4388" max="4388" width="16.7265625" style="2782" customWidth="1"/>
    <col min="4389" max="4392" width="25.7265625" style="2782" customWidth="1"/>
    <col min="4393" max="4393" width="15.7265625" style="2782" customWidth="1"/>
    <col min="4394" max="4394" width="29.1796875" style="2782" customWidth="1"/>
    <col min="4395" max="4395" width="13.7265625" style="2782" customWidth="1"/>
    <col min="4396" max="4399" width="25.7265625" style="2782" customWidth="1"/>
    <col min="4400" max="4400" width="15.7265625" style="2782" customWidth="1"/>
    <col min="4401" max="4401" width="29.1796875" style="2782" customWidth="1"/>
    <col min="4402" max="4402" width="11.81640625" style="2782" customWidth="1"/>
    <col min="4403" max="4406" width="25.7265625" style="2782" customWidth="1"/>
    <col min="4407" max="4407" width="15.7265625" style="2782" customWidth="1"/>
    <col min="4408" max="4408" width="29.7265625" style="2782" customWidth="1"/>
    <col min="4409" max="4409" width="25.54296875" style="2782" customWidth="1"/>
    <col min="4410" max="4413" width="25.7265625" style="2782" customWidth="1"/>
    <col min="4414" max="4414" width="7.26953125" style="2782" customWidth="1"/>
    <col min="4415" max="4415" width="22.7265625" style="2782" customWidth="1"/>
    <col min="4416" max="4416" width="18.81640625" style="2782" customWidth="1"/>
    <col min="4417" max="4420" width="25.7265625" style="2782" customWidth="1"/>
    <col min="4421" max="4421" width="12.26953125" style="2782" customWidth="1"/>
    <col min="4422" max="4422" width="25.7265625" style="2782" customWidth="1"/>
    <col min="4423" max="4423" width="18.81640625" style="2782" customWidth="1"/>
    <col min="4424" max="4427" width="25.7265625" style="2782" customWidth="1"/>
    <col min="4428" max="4428" width="14.54296875" style="2782" customWidth="1"/>
    <col min="4429" max="4429" width="25.7265625" style="2782" customWidth="1"/>
    <col min="4430" max="4430" width="18.81640625" style="2782" customWidth="1"/>
    <col min="4431" max="4434" width="25.7265625" style="2782" customWidth="1"/>
    <col min="4435" max="4435" width="15.7265625" style="2782" customWidth="1"/>
    <col min="4436" max="4436" width="25.7265625" style="2782" customWidth="1"/>
    <col min="4437" max="4437" width="18.81640625" style="2782" customWidth="1"/>
    <col min="4438" max="4441" width="25.7265625" style="2782" customWidth="1"/>
    <col min="4442" max="4442" width="15.7265625" style="2782" customWidth="1"/>
    <col min="4443" max="4443" width="29.453125" style="2782" customWidth="1"/>
    <col min="4444" max="4444" width="18.81640625" style="2782" customWidth="1"/>
    <col min="4445" max="4445" width="25.7265625" style="2782" customWidth="1"/>
    <col min="4446" max="4446" width="29.7265625" style="2782" customWidth="1"/>
    <col min="4447" max="4448" width="25.7265625" style="2782" customWidth="1"/>
    <col min="4449" max="4449" width="13.7265625" style="2782" customWidth="1"/>
    <col min="4450" max="4450" width="29.1796875" style="2782" customWidth="1"/>
    <col min="4451" max="4451" width="23.7265625" style="2782" customWidth="1"/>
    <col min="4452" max="4455" width="24.81640625" style="2782" customWidth="1"/>
    <col min="4456" max="4456" width="14.7265625" style="2782" customWidth="1"/>
    <col min="4457" max="4457" width="30" style="2782" customWidth="1"/>
    <col min="4458" max="4458" width="22" style="2782" customWidth="1"/>
    <col min="4459" max="4459" width="19.26953125" style="2782" customWidth="1"/>
    <col min="4460" max="4460" width="14.1796875" style="2782" customWidth="1"/>
    <col min="4461" max="4607" width="9.1796875" style="2782"/>
    <col min="4608" max="4608" width="8.7265625" style="2782" customWidth="1"/>
    <col min="4609" max="4609" width="92.7265625" style="2782" customWidth="1"/>
    <col min="4610" max="4610" width="16.1796875" style="2782" customWidth="1"/>
    <col min="4611" max="4611" width="16.81640625" style="2782" customWidth="1"/>
    <col min="4612" max="4612" width="14.7265625" style="2782" customWidth="1"/>
    <col min="4613" max="4613" width="19.453125" style="2782" customWidth="1"/>
    <col min="4614" max="4614" width="15" style="2782" customWidth="1"/>
    <col min="4615" max="4615" width="12.7265625" style="2782" customWidth="1"/>
    <col min="4616" max="4617" width="12.1796875" style="2782" customWidth="1"/>
    <col min="4618" max="4618" width="15.81640625" style="2782" customWidth="1"/>
    <col min="4619" max="4619" width="22.1796875" style="2782" customWidth="1"/>
    <col min="4620" max="4620" width="11.453125" style="2782" customWidth="1"/>
    <col min="4621" max="4621" width="17.54296875" style="2782" customWidth="1"/>
    <col min="4622" max="4622" width="0.1796875" style="2782" customWidth="1"/>
    <col min="4623" max="4623" width="18.81640625" style="2782" customWidth="1"/>
    <col min="4624" max="4627" width="25.7265625" style="2782" customWidth="1"/>
    <col min="4628" max="4628" width="14.7265625" style="2782" customWidth="1"/>
    <col min="4629" max="4629" width="22" style="2782" customWidth="1"/>
    <col min="4630" max="4630" width="15.26953125" style="2782" customWidth="1"/>
    <col min="4631" max="4634" width="25.7265625" style="2782" customWidth="1"/>
    <col min="4635" max="4635" width="15.7265625" style="2782" customWidth="1"/>
    <col min="4636" max="4636" width="22.453125" style="2782" customWidth="1"/>
    <col min="4637" max="4637" width="14.7265625" style="2782" customWidth="1"/>
    <col min="4638" max="4641" width="25.7265625" style="2782" customWidth="1"/>
    <col min="4642" max="4642" width="15.7265625" style="2782" customWidth="1"/>
    <col min="4643" max="4643" width="21" style="2782" customWidth="1"/>
    <col min="4644" max="4644" width="16.7265625" style="2782" customWidth="1"/>
    <col min="4645" max="4648" width="25.7265625" style="2782" customWidth="1"/>
    <col min="4649" max="4649" width="15.7265625" style="2782" customWidth="1"/>
    <col min="4650" max="4650" width="29.1796875" style="2782" customWidth="1"/>
    <col min="4651" max="4651" width="13.7265625" style="2782" customWidth="1"/>
    <col min="4652" max="4655" width="25.7265625" style="2782" customWidth="1"/>
    <col min="4656" max="4656" width="15.7265625" style="2782" customWidth="1"/>
    <col min="4657" max="4657" width="29.1796875" style="2782" customWidth="1"/>
    <col min="4658" max="4658" width="11.81640625" style="2782" customWidth="1"/>
    <col min="4659" max="4662" width="25.7265625" style="2782" customWidth="1"/>
    <col min="4663" max="4663" width="15.7265625" style="2782" customWidth="1"/>
    <col min="4664" max="4664" width="29.7265625" style="2782" customWidth="1"/>
    <col min="4665" max="4665" width="25.54296875" style="2782" customWidth="1"/>
    <col min="4666" max="4669" width="25.7265625" style="2782" customWidth="1"/>
    <col min="4670" max="4670" width="7.26953125" style="2782" customWidth="1"/>
    <col min="4671" max="4671" width="22.7265625" style="2782" customWidth="1"/>
    <col min="4672" max="4672" width="18.81640625" style="2782" customWidth="1"/>
    <col min="4673" max="4676" width="25.7265625" style="2782" customWidth="1"/>
    <col min="4677" max="4677" width="12.26953125" style="2782" customWidth="1"/>
    <col min="4678" max="4678" width="25.7265625" style="2782" customWidth="1"/>
    <col min="4679" max="4679" width="18.81640625" style="2782" customWidth="1"/>
    <col min="4680" max="4683" width="25.7265625" style="2782" customWidth="1"/>
    <col min="4684" max="4684" width="14.54296875" style="2782" customWidth="1"/>
    <col min="4685" max="4685" width="25.7265625" style="2782" customWidth="1"/>
    <col min="4686" max="4686" width="18.81640625" style="2782" customWidth="1"/>
    <col min="4687" max="4690" width="25.7265625" style="2782" customWidth="1"/>
    <col min="4691" max="4691" width="15.7265625" style="2782" customWidth="1"/>
    <col min="4692" max="4692" width="25.7265625" style="2782" customWidth="1"/>
    <col min="4693" max="4693" width="18.81640625" style="2782" customWidth="1"/>
    <col min="4694" max="4697" width="25.7265625" style="2782" customWidth="1"/>
    <col min="4698" max="4698" width="15.7265625" style="2782" customWidth="1"/>
    <col min="4699" max="4699" width="29.453125" style="2782" customWidth="1"/>
    <col min="4700" max="4700" width="18.81640625" style="2782" customWidth="1"/>
    <col min="4701" max="4701" width="25.7265625" style="2782" customWidth="1"/>
    <col min="4702" max="4702" width="29.7265625" style="2782" customWidth="1"/>
    <col min="4703" max="4704" width="25.7265625" style="2782" customWidth="1"/>
    <col min="4705" max="4705" width="13.7265625" style="2782" customWidth="1"/>
    <col min="4706" max="4706" width="29.1796875" style="2782" customWidth="1"/>
    <col min="4707" max="4707" width="23.7265625" style="2782" customWidth="1"/>
    <col min="4708" max="4711" width="24.81640625" style="2782" customWidth="1"/>
    <col min="4712" max="4712" width="14.7265625" style="2782" customWidth="1"/>
    <col min="4713" max="4713" width="30" style="2782" customWidth="1"/>
    <col min="4714" max="4714" width="22" style="2782" customWidth="1"/>
    <col min="4715" max="4715" width="19.26953125" style="2782" customWidth="1"/>
    <col min="4716" max="4716" width="14.1796875" style="2782" customWidth="1"/>
    <col min="4717" max="4863" width="9.1796875" style="2782"/>
    <col min="4864" max="4864" width="8.7265625" style="2782" customWidth="1"/>
    <col min="4865" max="4865" width="92.7265625" style="2782" customWidth="1"/>
    <col min="4866" max="4866" width="16.1796875" style="2782" customWidth="1"/>
    <col min="4867" max="4867" width="16.81640625" style="2782" customWidth="1"/>
    <col min="4868" max="4868" width="14.7265625" style="2782" customWidth="1"/>
    <col min="4869" max="4869" width="19.453125" style="2782" customWidth="1"/>
    <col min="4870" max="4870" width="15" style="2782" customWidth="1"/>
    <col min="4871" max="4871" width="12.7265625" style="2782" customWidth="1"/>
    <col min="4872" max="4873" width="12.1796875" style="2782" customWidth="1"/>
    <col min="4874" max="4874" width="15.81640625" style="2782" customWidth="1"/>
    <col min="4875" max="4875" width="22.1796875" style="2782" customWidth="1"/>
    <col min="4876" max="4876" width="11.453125" style="2782" customWidth="1"/>
    <col min="4877" max="4877" width="17.54296875" style="2782" customWidth="1"/>
    <col min="4878" max="4878" width="0.1796875" style="2782" customWidth="1"/>
    <col min="4879" max="4879" width="18.81640625" style="2782" customWidth="1"/>
    <col min="4880" max="4883" width="25.7265625" style="2782" customWidth="1"/>
    <col min="4884" max="4884" width="14.7265625" style="2782" customWidth="1"/>
    <col min="4885" max="4885" width="22" style="2782" customWidth="1"/>
    <col min="4886" max="4886" width="15.26953125" style="2782" customWidth="1"/>
    <col min="4887" max="4890" width="25.7265625" style="2782" customWidth="1"/>
    <col min="4891" max="4891" width="15.7265625" style="2782" customWidth="1"/>
    <col min="4892" max="4892" width="22.453125" style="2782" customWidth="1"/>
    <col min="4893" max="4893" width="14.7265625" style="2782" customWidth="1"/>
    <col min="4894" max="4897" width="25.7265625" style="2782" customWidth="1"/>
    <col min="4898" max="4898" width="15.7265625" style="2782" customWidth="1"/>
    <col min="4899" max="4899" width="21" style="2782" customWidth="1"/>
    <col min="4900" max="4900" width="16.7265625" style="2782" customWidth="1"/>
    <col min="4901" max="4904" width="25.7265625" style="2782" customWidth="1"/>
    <col min="4905" max="4905" width="15.7265625" style="2782" customWidth="1"/>
    <col min="4906" max="4906" width="29.1796875" style="2782" customWidth="1"/>
    <col min="4907" max="4907" width="13.7265625" style="2782" customWidth="1"/>
    <col min="4908" max="4911" width="25.7265625" style="2782" customWidth="1"/>
    <col min="4912" max="4912" width="15.7265625" style="2782" customWidth="1"/>
    <col min="4913" max="4913" width="29.1796875" style="2782" customWidth="1"/>
    <col min="4914" max="4914" width="11.81640625" style="2782" customWidth="1"/>
    <col min="4915" max="4918" width="25.7265625" style="2782" customWidth="1"/>
    <col min="4919" max="4919" width="15.7265625" style="2782" customWidth="1"/>
    <col min="4920" max="4920" width="29.7265625" style="2782" customWidth="1"/>
    <col min="4921" max="4921" width="25.54296875" style="2782" customWidth="1"/>
    <col min="4922" max="4925" width="25.7265625" style="2782" customWidth="1"/>
    <col min="4926" max="4926" width="7.26953125" style="2782" customWidth="1"/>
    <col min="4927" max="4927" width="22.7265625" style="2782" customWidth="1"/>
    <col min="4928" max="4928" width="18.81640625" style="2782" customWidth="1"/>
    <col min="4929" max="4932" width="25.7265625" style="2782" customWidth="1"/>
    <col min="4933" max="4933" width="12.26953125" style="2782" customWidth="1"/>
    <col min="4934" max="4934" width="25.7265625" style="2782" customWidth="1"/>
    <col min="4935" max="4935" width="18.81640625" style="2782" customWidth="1"/>
    <col min="4936" max="4939" width="25.7265625" style="2782" customWidth="1"/>
    <col min="4940" max="4940" width="14.54296875" style="2782" customWidth="1"/>
    <col min="4941" max="4941" width="25.7265625" style="2782" customWidth="1"/>
    <col min="4942" max="4942" width="18.81640625" style="2782" customWidth="1"/>
    <col min="4943" max="4946" width="25.7265625" style="2782" customWidth="1"/>
    <col min="4947" max="4947" width="15.7265625" style="2782" customWidth="1"/>
    <col min="4948" max="4948" width="25.7265625" style="2782" customWidth="1"/>
    <col min="4949" max="4949" width="18.81640625" style="2782" customWidth="1"/>
    <col min="4950" max="4953" width="25.7265625" style="2782" customWidth="1"/>
    <col min="4954" max="4954" width="15.7265625" style="2782" customWidth="1"/>
    <col min="4955" max="4955" width="29.453125" style="2782" customWidth="1"/>
    <col min="4956" max="4956" width="18.81640625" style="2782" customWidth="1"/>
    <col min="4957" max="4957" width="25.7265625" style="2782" customWidth="1"/>
    <col min="4958" max="4958" width="29.7265625" style="2782" customWidth="1"/>
    <col min="4959" max="4960" width="25.7265625" style="2782" customWidth="1"/>
    <col min="4961" max="4961" width="13.7265625" style="2782" customWidth="1"/>
    <col min="4962" max="4962" width="29.1796875" style="2782" customWidth="1"/>
    <col min="4963" max="4963" width="23.7265625" style="2782" customWidth="1"/>
    <col min="4964" max="4967" width="24.81640625" style="2782" customWidth="1"/>
    <col min="4968" max="4968" width="14.7265625" style="2782" customWidth="1"/>
    <col min="4969" max="4969" width="30" style="2782" customWidth="1"/>
    <col min="4970" max="4970" width="22" style="2782" customWidth="1"/>
    <col min="4971" max="4971" width="19.26953125" style="2782" customWidth="1"/>
    <col min="4972" max="4972" width="14.1796875" style="2782" customWidth="1"/>
    <col min="4973" max="5119" width="9.1796875" style="2782"/>
    <col min="5120" max="5120" width="8.7265625" style="2782" customWidth="1"/>
    <col min="5121" max="5121" width="92.7265625" style="2782" customWidth="1"/>
    <col min="5122" max="5122" width="16.1796875" style="2782" customWidth="1"/>
    <col min="5123" max="5123" width="16.81640625" style="2782" customWidth="1"/>
    <col min="5124" max="5124" width="14.7265625" style="2782" customWidth="1"/>
    <col min="5125" max="5125" width="19.453125" style="2782" customWidth="1"/>
    <col min="5126" max="5126" width="15" style="2782" customWidth="1"/>
    <col min="5127" max="5127" width="12.7265625" style="2782" customWidth="1"/>
    <col min="5128" max="5129" width="12.1796875" style="2782" customWidth="1"/>
    <col min="5130" max="5130" width="15.81640625" style="2782" customWidth="1"/>
    <col min="5131" max="5131" width="22.1796875" style="2782" customWidth="1"/>
    <col min="5132" max="5132" width="11.453125" style="2782" customWidth="1"/>
    <col min="5133" max="5133" width="17.54296875" style="2782" customWidth="1"/>
    <col min="5134" max="5134" width="0.1796875" style="2782" customWidth="1"/>
    <col min="5135" max="5135" width="18.81640625" style="2782" customWidth="1"/>
    <col min="5136" max="5139" width="25.7265625" style="2782" customWidth="1"/>
    <col min="5140" max="5140" width="14.7265625" style="2782" customWidth="1"/>
    <col min="5141" max="5141" width="22" style="2782" customWidth="1"/>
    <col min="5142" max="5142" width="15.26953125" style="2782" customWidth="1"/>
    <col min="5143" max="5146" width="25.7265625" style="2782" customWidth="1"/>
    <col min="5147" max="5147" width="15.7265625" style="2782" customWidth="1"/>
    <col min="5148" max="5148" width="22.453125" style="2782" customWidth="1"/>
    <col min="5149" max="5149" width="14.7265625" style="2782" customWidth="1"/>
    <col min="5150" max="5153" width="25.7265625" style="2782" customWidth="1"/>
    <col min="5154" max="5154" width="15.7265625" style="2782" customWidth="1"/>
    <col min="5155" max="5155" width="21" style="2782" customWidth="1"/>
    <col min="5156" max="5156" width="16.7265625" style="2782" customWidth="1"/>
    <col min="5157" max="5160" width="25.7265625" style="2782" customWidth="1"/>
    <col min="5161" max="5161" width="15.7265625" style="2782" customWidth="1"/>
    <col min="5162" max="5162" width="29.1796875" style="2782" customWidth="1"/>
    <col min="5163" max="5163" width="13.7265625" style="2782" customWidth="1"/>
    <col min="5164" max="5167" width="25.7265625" style="2782" customWidth="1"/>
    <col min="5168" max="5168" width="15.7265625" style="2782" customWidth="1"/>
    <col min="5169" max="5169" width="29.1796875" style="2782" customWidth="1"/>
    <col min="5170" max="5170" width="11.81640625" style="2782" customWidth="1"/>
    <col min="5171" max="5174" width="25.7265625" style="2782" customWidth="1"/>
    <col min="5175" max="5175" width="15.7265625" style="2782" customWidth="1"/>
    <col min="5176" max="5176" width="29.7265625" style="2782" customWidth="1"/>
    <col min="5177" max="5177" width="25.54296875" style="2782" customWidth="1"/>
    <col min="5178" max="5181" width="25.7265625" style="2782" customWidth="1"/>
    <col min="5182" max="5182" width="7.26953125" style="2782" customWidth="1"/>
    <col min="5183" max="5183" width="22.7265625" style="2782" customWidth="1"/>
    <col min="5184" max="5184" width="18.81640625" style="2782" customWidth="1"/>
    <col min="5185" max="5188" width="25.7265625" style="2782" customWidth="1"/>
    <col min="5189" max="5189" width="12.26953125" style="2782" customWidth="1"/>
    <col min="5190" max="5190" width="25.7265625" style="2782" customWidth="1"/>
    <col min="5191" max="5191" width="18.81640625" style="2782" customWidth="1"/>
    <col min="5192" max="5195" width="25.7265625" style="2782" customWidth="1"/>
    <col min="5196" max="5196" width="14.54296875" style="2782" customWidth="1"/>
    <col min="5197" max="5197" width="25.7265625" style="2782" customWidth="1"/>
    <col min="5198" max="5198" width="18.81640625" style="2782" customWidth="1"/>
    <col min="5199" max="5202" width="25.7265625" style="2782" customWidth="1"/>
    <col min="5203" max="5203" width="15.7265625" style="2782" customWidth="1"/>
    <col min="5204" max="5204" width="25.7265625" style="2782" customWidth="1"/>
    <col min="5205" max="5205" width="18.81640625" style="2782" customWidth="1"/>
    <col min="5206" max="5209" width="25.7265625" style="2782" customWidth="1"/>
    <col min="5210" max="5210" width="15.7265625" style="2782" customWidth="1"/>
    <col min="5211" max="5211" width="29.453125" style="2782" customWidth="1"/>
    <col min="5212" max="5212" width="18.81640625" style="2782" customWidth="1"/>
    <col min="5213" max="5213" width="25.7265625" style="2782" customWidth="1"/>
    <col min="5214" max="5214" width="29.7265625" style="2782" customWidth="1"/>
    <col min="5215" max="5216" width="25.7265625" style="2782" customWidth="1"/>
    <col min="5217" max="5217" width="13.7265625" style="2782" customWidth="1"/>
    <col min="5218" max="5218" width="29.1796875" style="2782" customWidth="1"/>
    <col min="5219" max="5219" width="23.7265625" style="2782" customWidth="1"/>
    <col min="5220" max="5223" width="24.81640625" style="2782" customWidth="1"/>
    <col min="5224" max="5224" width="14.7265625" style="2782" customWidth="1"/>
    <col min="5225" max="5225" width="30" style="2782" customWidth="1"/>
    <col min="5226" max="5226" width="22" style="2782" customWidth="1"/>
    <col min="5227" max="5227" width="19.26953125" style="2782" customWidth="1"/>
    <col min="5228" max="5228" width="14.1796875" style="2782" customWidth="1"/>
    <col min="5229" max="5375" width="9.1796875" style="2782"/>
    <col min="5376" max="5376" width="8.7265625" style="2782" customWidth="1"/>
    <col min="5377" max="5377" width="92.7265625" style="2782" customWidth="1"/>
    <col min="5378" max="5378" width="16.1796875" style="2782" customWidth="1"/>
    <col min="5379" max="5379" width="16.81640625" style="2782" customWidth="1"/>
    <col min="5380" max="5380" width="14.7265625" style="2782" customWidth="1"/>
    <col min="5381" max="5381" width="19.453125" style="2782" customWidth="1"/>
    <col min="5382" max="5382" width="15" style="2782" customWidth="1"/>
    <col min="5383" max="5383" width="12.7265625" style="2782" customWidth="1"/>
    <col min="5384" max="5385" width="12.1796875" style="2782" customWidth="1"/>
    <col min="5386" max="5386" width="15.81640625" style="2782" customWidth="1"/>
    <col min="5387" max="5387" width="22.1796875" style="2782" customWidth="1"/>
    <col min="5388" max="5388" width="11.453125" style="2782" customWidth="1"/>
    <col min="5389" max="5389" width="17.54296875" style="2782" customWidth="1"/>
    <col min="5390" max="5390" width="0.1796875" style="2782" customWidth="1"/>
    <col min="5391" max="5391" width="18.81640625" style="2782" customWidth="1"/>
    <col min="5392" max="5395" width="25.7265625" style="2782" customWidth="1"/>
    <col min="5396" max="5396" width="14.7265625" style="2782" customWidth="1"/>
    <col min="5397" max="5397" width="22" style="2782" customWidth="1"/>
    <col min="5398" max="5398" width="15.26953125" style="2782" customWidth="1"/>
    <col min="5399" max="5402" width="25.7265625" style="2782" customWidth="1"/>
    <col min="5403" max="5403" width="15.7265625" style="2782" customWidth="1"/>
    <col min="5404" max="5404" width="22.453125" style="2782" customWidth="1"/>
    <col min="5405" max="5405" width="14.7265625" style="2782" customWidth="1"/>
    <col min="5406" max="5409" width="25.7265625" style="2782" customWidth="1"/>
    <col min="5410" max="5410" width="15.7265625" style="2782" customWidth="1"/>
    <col min="5411" max="5411" width="21" style="2782" customWidth="1"/>
    <col min="5412" max="5412" width="16.7265625" style="2782" customWidth="1"/>
    <col min="5413" max="5416" width="25.7265625" style="2782" customWidth="1"/>
    <col min="5417" max="5417" width="15.7265625" style="2782" customWidth="1"/>
    <col min="5418" max="5418" width="29.1796875" style="2782" customWidth="1"/>
    <col min="5419" max="5419" width="13.7265625" style="2782" customWidth="1"/>
    <col min="5420" max="5423" width="25.7265625" style="2782" customWidth="1"/>
    <col min="5424" max="5424" width="15.7265625" style="2782" customWidth="1"/>
    <col min="5425" max="5425" width="29.1796875" style="2782" customWidth="1"/>
    <col min="5426" max="5426" width="11.81640625" style="2782" customWidth="1"/>
    <col min="5427" max="5430" width="25.7265625" style="2782" customWidth="1"/>
    <col min="5431" max="5431" width="15.7265625" style="2782" customWidth="1"/>
    <col min="5432" max="5432" width="29.7265625" style="2782" customWidth="1"/>
    <col min="5433" max="5433" width="25.54296875" style="2782" customWidth="1"/>
    <col min="5434" max="5437" width="25.7265625" style="2782" customWidth="1"/>
    <col min="5438" max="5438" width="7.26953125" style="2782" customWidth="1"/>
    <col min="5439" max="5439" width="22.7265625" style="2782" customWidth="1"/>
    <col min="5440" max="5440" width="18.81640625" style="2782" customWidth="1"/>
    <col min="5441" max="5444" width="25.7265625" style="2782" customWidth="1"/>
    <col min="5445" max="5445" width="12.26953125" style="2782" customWidth="1"/>
    <col min="5446" max="5446" width="25.7265625" style="2782" customWidth="1"/>
    <col min="5447" max="5447" width="18.81640625" style="2782" customWidth="1"/>
    <col min="5448" max="5451" width="25.7265625" style="2782" customWidth="1"/>
    <col min="5452" max="5452" width="14.54296875" style="2782" customWidth="1"/>
    <col min="5453" max="5453" width="25.7265625" style="2782" customWidth="1"/>
    <col min="5454" max="5454" width="18.81640625" style="2782" customWidth="1"/>
    <col min="5455" max="5458" width="25.7265625" style="2782" customWidth="1"/>
    <col min="5459" max="5459" width="15.7265625" style="2782" customWidth="1"/>
    <col min="5460" max="5460" width="25.7265625" style="2782" customWidth="1"/>
    <col min="5461" max="5461" width="18.81640625" style="2782" customWidth="1"/>
    <col min="5462" max="5465" width="25.7265625" style="2782" customWidth="1"/>
    <col min="5466" max="5466" width="15.7265625" style="2782" customWidth="1"/>
    <col min="5467" max="5467" width="29.453125" style="2782" customWidth="1"/>
    <col min="5468" max="5468" width="18.81640625" style="2782" customWidth="1"/>
    <col min="5469" max="5469" width="25.7265625" style="2782" customWidth="1"/>
    <col min="5470" max="5470" width="29.7265625" style="2782" customWidth="1"/>
    <col min="5471" max="5472" width="25.7265625" style="2782" customWidth="1"/>
    <col min="5473" max="5473" width="13.7265625" style="2782" customWidth="1"/>
    <col min="5474" max="5474" width="29.1796875" style="2782" customWidth="1"/>
    <col min="5475" max="5475" width="23.7265625" style="2782" customWidth="1"/>
    <col min="5476" max="5479" width="24.81640625" style="2782" customWidth="1"/>
    <col min="5480" max="5480" width="14.7265625" style="2782" customWidth="1"/>
    <col min="5481" max="5481" width="30" style="2782" customWidth="1"/>
    <col min="5482" max="5482" width="22" style="2782" customWidth="1"/>
    <col min="5483" max="5483" width="19.26953125" style="2782" customWidth="1"/>
    <col min="5484" max="5484" width="14.1796875" style="2782" customWidth="1"/>
    <col min="5485" max="5631" width="9.1796875" style="2782"/>
    <col min="5632" max="5632" width="8.7265625" style="2782" customWidth="1"/>
    <col min="5633" max="5633" width="92.7265625" style="2782" customWidth="1"/>
    <col min="5634" max="5634" width="16.1796875" style="2782" customWidth="1"/>
    <col min="5635" max="5635" width="16.81640625" style="2782" customWidth="1"/>
    <col min="5636" max="5636" width="14.7265625" style="2782" customWidth="1"/>
    <col min="5637" max="5637" width="19.453125" style="2782" customWidth="1"/>
    <col min="5638" max="5638" width="15" style="2782" customWidth="1"/>
    <col min="5639" max="5639" width="12.7265625" style="2782" customWidth="1"/>
    <col min="5640" max="5641" width="12.1796875" style="2782" customWidth="1"/>
    <col min="5642" max="5642" width="15.81640625" style="2782" customWidth="1"/>
    <col min="5643" max="5643" width="22.1796875" style="2782" customWidth="1"/>
    <col min="5644" max="5644" width="11.453125" style="2782" customWidth="1"/>
    <col min="5645" max="5645" width="17.54296875" style="2782" customWidth="1"/>
    <col min="5646" max="5646" width="0.1796875" style="2782" customWidth="1"/>
    <col min="5647" max="5647" width="18.81640625" style="2782" customWidth="1"/>
    <col min="5648" max="5651" width="25.7265625" style="2782" customWidth="1"/>
    <col min="5652" max="5652" width="14.7265625" style="2782" customWidth="1"/>
    <col min="5653" max="5653" width="22" style="2782" customWidth="1"/>
    <col min="5654" max="5654" width="15.26953125" style="2782" customWidth="1"/>
    <col min="5655" max="5658" width="25.7265625" style="2782" customWidth="1"/>
    <col min="5659" max="5659" width="15.7265625" style="2782" customWidth="1"/>
    <col min="5660" max="5660" width="22.453125" style="2782" customWidth="1"/>
    <col min="5661" max="5661" width="14.7265625" style="2782" customWidth="1"/>
    <col min="5662" max="5665" width="25.7265625" style="2782" customWidth="1"/>
    <col min="5666" max="5666" width="15.7265625" style="2782" customWidth="1"/>
    <col min="5667" max="5667" width="21" style="2782" customWidth="1"/>
    <col min="5668" max="5668" width="16.7265625" style="2782" customWidth="1"/>
    <col min="5669" max="5672" width="25.7265625" style="2782" customWidth="1"/>
    <col min="5673" max="5673" width="15.7265625" style="2782" customWidth="1"/>
    <col min="5674" max="5674" width="29.1796875" style="2782" customWidth="1"/>
    <col min="5675" max="5675" width="13.7265625" style="2782" customWidth="1"/>
    <col min="5676" max="5679" width="25.7265625" style="2782" customWidth="1"/>
    <col min="5680" max="5680" width="15.7265625" style="2782" customWidth="1"/>
    <col min="5681" max="5681" width="29.1796875" style="2782" customWidth="1"/>
    <col min="5682" max="5682" width="11.81640625" style="2782" customWidth="1"/>
    <col min="5683" max="5686" width="25.7265625" style="2782" customWidth="1"/>
    <col min="5687" max="5687" width="15.7265625" style="2782" customWidth="1"/>
    <col min="5688" max="5688" width="29.7265625" style="2782" customWidth="1"/>
    <col min="5689" max="5689" width="25.54296875" style="2782" customWidth="1"/>
    <col min="5690" max="5693" width="25.7265625" style="2782" customWidth="1"/>
    <col min="5694" max="5694" width="7.26953125" style="2782" customWidth="1"/>
    <col min="5695" max="5695" width="22.7265625" style="2782" customWidth="1"/>
    <col min="5696" max="5696" width="18.81640625" style="2782" customWidth="1"/>
    <col min="5697" max="5700" width="25.7265625" style="2782" customWidth="1"/>
    <col min="5701" max="5701" width="12.26953125" style="2782" customWidth="1"/>
    <col min="5702" max="5702" width="25.7265625" style="2782" customWidth="1"/>
    <col min="5703" max="5703" width="18.81640625" style="2782" customWidth="1"/>
    <col min="5704" max="5707" width="25.7265625" style="2782" customWidth="1"/>
    <col min="5708" max="5708" width="14.54296875" style="2782" customWidth="1"/>
    <col min="5709" max="5709" width="25.7265625" style="2782" customWidth="1"/>
    <col min="5710" max="5710" width="18.81640625" style="2782" customWidth="1"/>
    <col min="5711" max="5714" width="25.7265625" style="2782" customWidth="1"/>
    <col min="5715" max="5715" width="15.7265625" style="2782" customWidth="1"/>
    <col min="5716" max="5716" width="25.7265625" style="2782" customWidth="1"/>
    <col min="5717" max="5717" width="18.81640625" style="2782" customWidth="1"/>
    <col min="5718" max="5721" width="25.7265625" style="2782" customWidth="1"/>
    <col min="5722" max="5722" width="15.7265625" style="2782" customWidth="1"/>
    <col min="5723" max="5723" width="29.453125" style="2782" customWidth="1"/>
    <col min="5724" max="5724" width="18.81640625" style="2782" customWidth="1"/>
    <col min="5725" max="5725" width="25.7265625" style="2782" customWidth="1"/>
    <col min="5726" max="5726" width="29.7265625" style="2782" customWidth="1"/>
    <col min="5727" max="5728" width="25.7265625" style="2782" customWidth="1"/>
    <col min="5729" max="5729" width="13.7265625" style="2782" customWidth="1"/>
    <col min="5730" max="5730" width="29.1796875" style="2782" customWidth="1"/>
    <col min="5731" max="5731" width="23.7265625" style="2782" customWidth="1"/>
    <col min="5732" max="5735" width="24.81640625" style="2782" customWidth="1"/>
    <col min="5736" max="5736" width="14.7265625" style="2782" customWidth="1"/>
    <col min="5737" max="5737" width="30" style="2782" customWidth="1"/>
    <col min="5738" max="5738" width="22" style="2782" customWidth="1"/>
    <col min="5739" max="5739" width="19.26953125" style="2782" customWidth="1"/>
    <col min="5740" max="5740" width="14.1796875" style="2782" customWidth="1"/>
    <col min="5741" max="5887" width="9.1796875" style="2782"/>
    <col min="5888" max="5888" width="8.7265625" style="2782" customWidth="1"/>
    <col min="5889" max="5889" width="92.7265625" style="2782" customWidth="1"/>
    <col min="5890" max="5890" width="16.1796875" style="2782" customWidth="1"/>
    <col min="5891" max="5891" width="16.81640625" style="2782" customWidth="1"/>
    <col min="5892" max="5892" width="14.7265625" style="2782" customWidth="1"/>
    <col min="5893" max="5893" width="19.453125" style="2782" customWidth="1"/>
    <col min="5894" max="5894" width="15" style="2782" customWidth="1"/>
    <col min="5895" max="5895" width="12.7265625" style="2782" customWidth="1"/>
    <col min="5896" max="5897" width="12.1796875" style="2782" customWidth="1"/>
    <col min="5898" max="5898" width="15.81640625" style="2782" customWidth="1"/>
    <col min="5899" max="5899" width="22.1796875" style="2782" customWidth="1"/>
    <col min="5900" max="5900" width="11.453125" style="2782" customWidth="1"/>
    <col min="5901" max="5901" width="17.54296875" style="2782" customWidth="1"/>
    <col min="5902" max="5902" width="0.1796875" style="2782" customWidth="1"/>
    <col min="5903" max="5903" width="18.81640625" style="2782" customWidth="1"/>
    <col min="5904" max="5907" width="25.7265625" style="2782" customWidth="1"/>
    <col min="5908" max="5908" width="14.7265625" style="2782" customWidth="1"/>
    <col min="5909" max="5909" width="22" style="2782" customWidth="1"/>
    <col min="5910" max="5910" width="15.26953125" style="2782" customWidth="1"/>
    <col min="5911" max="5914" width="25.7265625" style="2782" customWidth="1"/>
    <col min="5915" max="5915" width="15.7265625" style="2782" customWidth="1"/>
    <col min="5916" max="5916" width="22.453125" style="2782" customWidth="1"/>
    <col min="5917" max="5917" width="14.7265625" style="2782" customWidth="1"/>
    <col min="5918" max="5921" width="25.7265625" style="2782" customWidth="1"/>
    <col min="5922" max="5922" width="15.7265625" style="2782" customWidth="1"/>
    <col min="5923" max="5923" width="21" style="2782" customWidth="1"/>
    <col min="5924" max="5924" width="16.7265625" style="2782" customWidth="1"/>
    <col min="5925" max="5928" width="25.7265625" style="2782" customWidth="1"/>
    <col min="5929" max="5929" width="15.7265625" style="2782" customWidth="1"/>
    <col min="5930" max="5930" width="29.1796875" style="2782" customWidth="1"/>
    <col min="5931" max="5931" width="13.7265625" style="2782" customWidth="1"/>
    <col min="5932" max="5935" width="25.7265625" style="2782" customWidth="1"/>
    <col min="5936" max="5936" width="15.7265625" style="2782" customWidth="1"/>
    <col min="5937" max="5937" width="29.1796875" style="2782" customWidth="1"/>
    <col min="5938" max="5938" width="11.81640625" style="2782" customWidth="1"/>
    <col min="5939" max="5942" width="25.7265625" style="2782" customWidth="1"/>
    <col min="5943" max="5943" width="15.7265625" style="2782" customWidth="1"/>
    <col min="5944" max="5944" width="29.7265625" style="2782" customWidth="1"/>
    <col min="5945" max="5945" width="25.54296875" style="2782" customWidth="1"/>
    <col min="5946" max="5949" width="25.7265625" style="2782" customWidth="1"/>
    <col min="5950" max="5950" width="7.26953125" style="2782" customWidth="1"/>
    <col min="5951" max="5951" width="22.7265625" style="2782" customWidth="1"/>
    <col min="5952" max="5952" width="18.81640625" style="2782" customWidth="1"/>
    <col min="5953" max="5956" width="25.7265625" style="2782" customWidth="1"/>
    <col min="5957" max="5957" width="12.26953125" style="2782" customWidth="1"/>
    <col min="5958" max="5958" width="25.7265625" style="2782" customWidth="1"/>
    <col min="5959" max="5959" width="18.81640625" style="2782" customWidth="1"/>
    <col min="5960" max="5963" width="25.7265625" style="2782" customWidth="1"/>
    <col min="5964" max="5964" width="14.54296875" style="2782" customWidth="1"/>
    <col min="5965" max="5965" width="25.7265625" style="2782" customWidth="1"/>
    <col min="5966" max="5966" width="18.81640625" style="2782" customWidth="1"/>
    <col min="5967" max="5970" width="25.7265625" style="2782" customWidth="1"/>
    <col min="5971" max="5971" width="15.7265625" style="2782" customWidth="1"/>
    <col min="5972" max="5972" width="25.7265625" style="2782" customWidth="1"/>
    <col min="5973" max="5973" width="18.81640625" style="2782" customWidth="1"/>
    <col min="5974" max="5977" width="25.7265625" style="2782" customWidth="1"/>
    <col min="5978" max="5978" width="15.7265625" style="2782" customWidth="1"/>
    <col min="5979" max="5979" width="29.453125" style="2782" customWidth="1"/>
    <col min="5980" max="5980" width="18.81640625" style="2782" customWidth="1"/>
    <col min="5981" max="5981" width="25.7265625" style="2782" customWidth="1"/>
    <col min="5982" max="5982" width="29.7265625" style="2782" customWidth="1"/>
    <col min="5983" max="5984" width="25.7265625" style="2782" customWidth="1"/>
    <col min="5985" max="5985" width="13.7265625" style="2782" customWidth="1"/>
    <col min="5986" max="5986" width="29.1796875" style="2782" customWidth="1"/>
    <col min="5987" max="5987" width="23.7265625" style="2782" customWidth="1"/>
    <col min="5988" max="5991" width="24.81640625" style="2782" customWidth="1"/>
    <col min="5992" max="5992" width="14.7265625" style="2782" customWidth="1"/>
    <col min="5993" max="5993" width="30" style="2782" customWidth="1"/>
    <col min="5994" max="5994" width="22" style="2782" customWidth="1"/>
    <col min="5995" max="5995" width="19.26953125" style="2782" customWidth="1"/>
    <col min="5996" max="5996" width="14.1796875" style="2782" customWidth="1"/>
    <col min="5997" max="6143" width="9.1796875" style="2782"/>
    <col min="6144" max="6144" width="8.7265625" style="2782" customWidth="1"/>
    <col min="6145" max="6145" width="92.7265625" style="2782" customWidth="1"/>
    <col min="6146" max="6146" width="16.1796875" style="2782" customWidth="1"/>
    <col min="6147" max="6147" width="16.81640625" style="2782" customWidth="1"/>
    <col min="6148" max="6148" width="14.7265625" style="2782" customWidth="1"/>
    <col min="6149" max="6149" width="19.453125" style="2782" customWidth="1"/>
    <col min="6150" max="6150" width="15" style="2782" customWidth="1"/>
    <col min="6151" max="6151" width="12.7265625" style="2782" customWidth="1"/>
    <col min="6152" max="6153" width="12.1796875" style="2782" customWidth="1"/>
    <col min="6154" max="6154" width="15.81640625" style="2782" customWidth="1"/>
    <col min="6155" max="6155" width="22.1796875" style="2782" customWidth="1"/>
    <col min="6156" max="6156" width="11.453125" style="2782" customWidth="1"/>
    <col min="6157" max="6157" width="17.54296875" style="2782" customWidth="1"/>
    <col min="6158" max="6158" width="0.1796875" style="2782" customWidth="1"/>
    <col min="6159" max="6159" width="18.81640625" style="2782" customWidth="1"/>
    <col min="6160" max="6163" width="25.7265625" style="2782" customWidth="1"/>
    <col min="6164" max="6164" width="14.7265625" style="2782" customWidth="1"/>
    <col min="6165" max="6165" width="22" style="2782" customWidth="1"/>
    <col min="6166" max="6166" width="15.26953125" style="2782" customWidth="1"/>
    <col min="6167" max="6170" width="25.7265625" style="2782" customWidth="1"/>
    <col min="6171" max="6171" width="15.7265625" style="2782" customWidth="1"/>
    <col min="6172" max="6172" width="22.453125" style="2782" customWidth="1"/>
    <col min="6173" max="6173" width="14.7265625" style="2782" customWidth="1"/>
    <col min="6174" max="6177" width="25.7265625" style="2782" customWidth="1"/>
    <col min="6178" max="6178" width="15.7265625" style="2782" customWidth="1"/>
    <col min="6179" max="6179" width="21" style="2782" customWidth="1"/>
    <col min="6180" max="6180" width="16.7265625" style="2782" customWidth="1"/>
    <col min="6181" max="6184" width="25.7265625" style="2782" customWidth="1"/>
    <col min="6185" max="6185" width="15.7265625" style="2782" customWidth="1"/>
    <col min="6186" max="6186" width="29.1796875" style="2782" customWidth="1"/>
    <col min="6187" max="6187" width="13.7265625" style="2782" customWidth="1"/>
    <col min="6188" max="6191" width="25.7265625" style="2782" customWidth="1"/>
    <col min="6192" max="6192" width="15.7265625" style="2782" customWidth="1"/>
    <col min="6193" max="6193" width="29.1796875" style="2782" customWidth="1"/>
    <col min="6194" max="6194" width="11.81640625" style="2782" customWidth="1"/>
    <col min="6195" max="6198" width="25.7265625" style="2782" customWidth="1"/>
    <col min="6199" max="6199" width="15.7265625" style="2782" customWidth="1"/>
    <col min="6200" max="6200" width="29.7265625" style="2782" customWidth="1"/>
    <col min="6201" max="6201" width="25.54296875" style="2782" customWidth="1"/>
    <col min="6202" max="6205" width="25.7265625" style="2782" customWidth="1"/>
    <col min="6206" max="6206" width="7.26953125" style="2782" customWidth="1"/>
    <col min="6207" max="6207" width="22.7265625" style="2782" customWidth="1"/>
    <col min="6208" max="6208" width="18.81640625" style="2782" customWidth="1"/>
    <col min="6209" max="6212" width="25.7265625" style="2782" customWidth="1"/>
    <col min="6213" max="6213" width="12.26953125" style="2782" customWidth="1"/>
    <col min="6214" max="6214" width="25.7265625" style="2782" customWidth="1"/>
    <col min="6215" max="6215" width="18.81640625" style="2782" customWidth="1"/>
    <col min="6216" max="6219" width="25.7265625" style="2782" customWidth="1"/>
    <col min="6220" max="6220" width="14.54296875" style="2782" customWidth="1"/>
    <col min="6221" max="6221" width="25.7265625" style="2782" customWidth="1"/>
    <col min="6222" max="6222" width="18.81640625" style="2782" customWidth="1"/>
    <col min="6223" max="6226" width="25.7265625" style="2782" customWidth="1"/>
    <col min="6227" max="6227" width="15.7265625" style="2782" customWidth="1"/>
    <col min="6228" max="6228" width="25.7265625" style="2782" customWidth="1"/>
    <col min="6229" max="6229" width="18.81640625" style="2782" customWidth="1"/>
    <col min="6230" max="6233" width="25.7265625" style="2782" customWidth="1"/>
    <col min="6234" max="6234" width="15.7265625" style="2782" customWidth="1"/>
    <col min="6235" max="6235" width="29.453125" style="2782" customWidth="1"/>
    <col min="6236" max="6236" width="18.81640625" style="2782" customWidth="1"/>
    <col min="6237" max="6237" width="25.7265625" style="2782" customWidth="1"/>
    <col min="6238" max="6238" width="29.7265625" style="2782" customWidth="1"/>
    <col min="6239" max="6240" width="25.7265625" style="2782" customWidth="1"/>
    <col min="6241" max="6241" width="13.7265625" style="2782" customWidth="1"/>
    <col min="6242" max="6242" width="29.1796875" style="2782" customWidth="1"/>
    <col min="6243" max="6243" width="23.7265625" style="2782" customWidth="1"/>
    <col min="6244" max="6247" width="24.81640625" style="2782" customWidth="1"/>
    <col min="6248" max="6248" width="14.7265625" style="2782" customWidth="1"/>
    <col min="6249" max="6249" width="30" style="2782" customWidth="1"/>
    <col min="6250" max="6250" width="22" style="2782" customWidth="1"/>
    <col min="6251" max="6251" width="19.26953125" style="2782" customWidth="1"/>
    <col min="6252" max="6252" width="14.1796875" style="2782" customWidth="1"/>
    <col min="6253" max="6399" width="9.1796875" style="2782"/>
    <col min="6400" max="6400" width="8.7265625" style="2782" customWidth="1"/>
    <col min="6401" max="6401" width="92.7265625" style="2782" customWidth="1"/>
    <col min="6402" max="6402" width="16.1796875" style="2782" customWidth="1"/>
    <col min="6403" max="6403" width="16.81640625" style="2782" customWidth="1"/>
    <col min="6404" max="6404" width="14.7265625" style="2782" customWidth="1"/>
    <col min="6405" max="6405" width="19.453125" style="2782" customWidth="1"/>
    <col min="6406" max="6406" width="15" style="2782" customWidth="1"/>
    <col min="6407" max="6407" width="12.7265625" style="2782" customWidth="1"/>
    <col min="6408" max="6409" width="12.1796875" style="2782" customWidth="1"/>
    <col min="6410" max="6410" width="15.81640625" style="2782" customWidth="1"/>
    <col min="6411" max="6411" width="22.1796875" style="2782" customWidth="1"/>
    <col min="6412" max="6412" width="11.453125" style="2782" customWidth="1"/>
    <col min="6413" max="6413" width="17.54296875" style="2782" customWidth="1"/>
    <col min="6414" max="6414" width="0.1796875" style="2782" customWidth="1"/>
    <col min="6415" max="6415" width="18.81640625" style="2782" customWidth="1"/>
    <col min="6416" max="6419" width="25.7265625" style="2782" customWidth="1"/>
    <col min="6420" max="6420" width="14.7265625" style="2782" customWidth="1"/>
    <col min="6421" max="6421" width="22" style="2782" customWidth="1"/>
    <col min="6422" max="6422" width="15.26953125" style="2782" customWidth="1"/>
    <col min="6423" max="6426" width="25.7265625" style="2782" customWidth="1"/>
    <col min="6427" max="6427" width="15.7265625" style="2782" customWidth="1"/>
    <col min="6428" max="6428" width="22.453125" style="2782" customWidth="1"/>
    <col min="6429" max="6429" width="14.7265625" style="2782" customWidth="1"/>
    <col min="6430" max="6433" width="25.7265625" style="2782" customWidth="1"/>
    <col min="6434" max="6434" width="15.7265625" style="2782" customWidth="1"/>
    <col min="6435" max="6435" width="21" style="2782" customWidth="1"/>
    <col min="6436" max="6436" width="16.7265625" style="2782" customWidth="1"/>
    <col min="6437" max="6440" width="25.7265625" style="2782" customWidth="1"/>
    <col min="6441" max="6441" width="15.7265625" style="2782" customWidth="1"/>
    <col min="6442" max="6442" width="29.1796875" style="2782" customWidth="1"/>
    <col min="6443" max="6443" width="13.7265625" style="2782" customWidth="1"/>
    <col min="6444" max="6447" width="25.7265625" style="2782" customWidth="1"/>
    <col min="6448" max="6448" width="15.7265625" style="2782" customWidth="1"/>
    <col min="6449" max="6449" width="29.1796875" style="2782" customWidth="1"/>
    <col min="6450" max="6450" width="11.81640625" style="2782" customWidth="1"/>
    <col min="6451" max="6454" width="25.7265625" style="2782" customWidth="1"/>
    <col min="6455" max="6455" width="15.7265625" style="2782" customWidth="1"/>
    <col min="6456" max="6456" width="29.7265625" style="2782" customWidth="1"/>
    <col min="6457" max="6457" width="25.54296875" style="2782" customWidth="1"/>
    <col min="6458" max="6461" width="25.7265625" style="2782" customWidth="1"/>
    <col min="6462" max="6462" width="7.26953125" style="2782" customWidth="1"/>
    <col min="6463" max="6463" width="22.7265625" style="2782" customWidth="1"/>
    <col min="6464" max="6464" width="18.81640625" style="2782" customWidth="1"/>
    <col min="6465" max="6468" width="25.7265625" style="2782" customWidth="1"/>
    <col min="6469" max="6469" width="12.26953125" style="2782" customWidth="1"/>
    <col min="6470" max="6470" width="25.7265625" style="2782" customWidth="1"/>
    <col min="6471" max="6471" width="18.81640625" style="2782" customWidth="1"/>
    <col min="6472" max="6475" width="25.7265625" style="2782" customWidth="1"/>
    <col min="6476" max="6476" width="14.54296875" style="2782" customWidth="1"/>
    <col min="6477" max="6477" width="25.7265625" style="2782" customWidth="1"/>
    <col min="6478" max="6478" width="18.81640625" style="2782" customWidth="1"/>
    <col min="6479" max="6482" width="25.7265625" style="2782" customWidth="1"/>
    <col min="6483" max="6483" width="15.7265625" style="2782" customWidth="1"/>
    <col min="6484" max="6484" width="25.7265625" style="2782" customWidth="1"/>
    <col min="6485" max="6485" width="18.81640625" style="2782" customWidth="1"/>
    <col min="6486" max="6489" width="25.7265625" style="2782" customWidth="1"/>
    <col min="6490" max="6490" width="15.7265625" style="2782" customWidth="1"/>
    <col min="6491" max="6491" width="29.453125" style="2782" customWidth="1"/>
    <col min="6492" max="6492" width="18.81640625" style="2782" customWidth="1"/>
    <col min="6493" max="6493" width="25.7265625" style="2782" customWidth="1"/>
    <col min="6494" max="6494" width="29.7265625" style="2782" customWidth="1"/>
    <col min="6495" max="6496" width="25.7265625" style="2782" customWidth="1"/>
    <col min="6497" max="6497" width="13.7265625" style="2782" customWidth="1"/>
    <col min="6498" max="6498" width="29.1796875" style="2782" customWidth="1"/>
    <col min="6499" max="6499" width="23.7265625" style="2782" customWidth="1"/>
    <col min="6500" max="6503" width="24.81640625" style="2782" customWidth="1"/>
    <col min="6504" max="6504" width="14.7265625" style="2782" customWidth="1"/>
    <col min="6505" max="6505" width="30" style="2782" customWidth="1"/>
    <col min="6506" max="6506" width="22" style="2782" customWidth="1"/>
    <col min="6507" max="6507" width="19.26953125" style="2782" customWidth="1"/>
    <col min="6508" max="6508" width="14.1796875" style="2782" customWidth="1"/>
    <col min="6509" max="6655" width="9.1796875" style="2782"/>
    <col min="6656" max="6656" width="8.7265625" style="2782" customWidth="1"/>
    <col min="6657" max="6657" width="92.7265625" style="2782" customWidth="1"/>
    <col min="6658" max="6658" width="16.1796875" style="2782" customWidth="1"/>
    <col min="6659" max="6659" width="16.81640625" style="2782" customWidth="1"/>
    <col min="6660" max="6660" width="14.7265625" style="2782" customWidth="1"/>
    <col min="6661" max="6661" width="19.453125" style="2782" customWidth="1"/>
    <col min="6662" max="6662" width="15" style="2782" customWidth="1"/>
    <col min="6663" max="6663" width="12.7265625" style="2782" customWidth="1"/>
    <col min="6664" max="6665" width="12.1796875" style="2782" customWidth="1"/>
    <col min="6666" max="6666" width="15.81640625" style="2782" customWidth="1"/>
    <col min="6667" max="6667" width="22.1796875" style="2782" customWidth="1"/>
    <col min="6668" max="6668" width="11.453125" style="2782" customWidth="1"/>
    <col min="6669" max="6669" width="17.54296875" style="2782" customWidth="1"/>
    <col min="6670" max="6670" width="0.1796875" style="2782" customWidth="1"/>
    <col min="6671" max="6671" width="18.81640625" style="2782" customWidth="1"/>
    <col min="6672" max="6675" width="25.7265625" style="2782" customWidth="1"/>
    <col min="6676" max="6676" width="14.7265625" style="2782" customWidth="1"/>
    <col min="6677" max="6677" width="22" style="2782" customWidth="1"/>
    <col min="6678" max="6678" width="15.26953125" style="2782" customWidth="1"/>
    <col min="6679" max="6682" width="25.7265625" style="2782" customWidth="1"/>
    <col min="6683" max="6683" width="15.7265625" style="2782" customWidth="1"/>
    <col min="6684" max="6684" width="22.453125" style="2782" customWidth="1"/>
    <col min="6685" max="6685" width="14.7265625" style="2782" customWidth="1"/>
    <col min="6686" max="6689" width="25.7265625" style="2782" customWidth="1"/>
    <col min="6690" max="6690" width="15.7265625" style="2782" customWidth="1"/>
    <col min="6691" max="6691" width="21" style="2782" customWidth="1"/>
    <col min="6692" max="6692" width="16.7265625" style="2782" customWidth="1"/>
    <col min="6693" max="6696" width="25.7265625" style="2782" customWidth="1"/>
    <col min="6697" max="6697" width="15.7265625" style="2782" customWidth="1"/>
    <col min="6698" max="6698" width="29.1796875" style="2782" customWidth="1"/>
    <col min="6699" max="6699" width="13.7265625" style="2782" customWidth="1"/>
    <col min="6700" max="6703" width="25.7265625" style="2782" customWidth="1"/>
    <col min="6704" max="6704" width="15.7265625" style="2782" customWidth="1"/>
    <col min="6705" max="6705" width="29.1796875" style="2782" customWidth="1"/>
    <col min="6706" max="6706" width="11.81640625" style="2782" customWidth="1"/>
    <col min="6707" max="6710" width="25.7265625" style="2782" customWidth="1"/>
    <col min="6711" max="6711" width="15.7265625" style="2782" customWidth="1"/>
    <col min="6712" max="6712" width="29.7265625" style="2782" customWidth="1"/>
    <col min="6713" max="6713" width="25.54296875" style="2782" customWidth="1"/>
    <col min="6714" max="6717" width="25.7265625" style="2782" customWidth="1"/>
    <col min="6718" max="6718" width="7.26953125" style="2782" customWidth="1"/>
    <col min="6719" max="6719" width="22.7265625" style="2782" customWidth="1"/>
    <col min="6720" max="6720" width="18.81640625" style="2782" customWidth="1"/>
    <col min="6721" max="6724" width="25.7265625" style="2782" customWidth="1"/>
    <col min="6725" max="6725" width="12.26953125" style="2782" customWidth="1"/>
    <col min="6726" max="6726" width="25.7265625" style="2782" customWidth="1"/>
    <col min="6727" max="6727" width="18.81640625" style="2782" customWidth="1"/>
    <col min="6728" max="6731" width="25.7265625" style="2782" customWidth="1"/>
    <col min="6732" max="6732" width="14.54296875" style="2782" customWidth="1"/>
    <col min="6733" max="6733" width="25.7265625" style="2782" customWidth="1"/>
    <col min="6734" max="6734" width="18.81640625" style="2782" customWidth="1"/>
    <col min="6735" max="6738" width="25.7265625" style="2782" customWidth="1"/>
    <col min="6739" max="6739" width="15.7265625" style="2782" customWidth="1"/>
    <col min="6740" max="6740" width="25.7265625" style="2782" customWidth="1"/>
    <col min="6741" max="6741" width="18.81640625" style="2782" customWidth="1"/>
    <col min="6742" max="6745" width="25.7265625" style="2782" customWidth="1"/>
    <col min="6746" max="6746" width="15.7265625" style="2782" customWidth="1"/>
    <col min="6747" max="6747" width="29.453125" style="2782" customWidth="1"/>
    <col min="6748" max="6748" width="18.81640625" style="2782" customWidth="1"/>
    <col min="6749" max="6749" width="25.7265625" style="2782" customWidth="1"/>
    <col min="6750" max="6750" width="29.7265625" style="2782" customWidth="1"/>
    <col min="6751" max="6752" width="25.7265625" style="2782" customWidth="1"/>
    <col min="6753" max="6753" width="13.7265625" style="2782" customWidth="1"/>
    <col min="6754" max="6754" width="29.1796875" style="2782" customWidth="1"/>
    <col min="6755" max="6755" width="23.7265625" style="2782" customWidth="1"/>
    <col min="6756" max="6759" width="24.81640625" style="2782" customWidth="1"/>
    <col min="6760" max="6760" width="14.7265625" style="2782" customWidth="1"/>
    <col min="6761" max="6761" width="30" style="2782" customWidth="1"/>
    <col min="6762" max="6762" width="22" style="2782" customWidth="1"/>
    <col min="6763" max="6763" width="19.26953125" style="2782" customWidth="1"/>
    <col min="6764" max="6764" width="14.1796875" style="2782" customWidth="1"/>
    <col min="6765" max="6911" width="9.1796875" style="2782"/>
    <col min="6912" max="6912" width="8.7265625" style="2782" customWidth="1"/>
    <col min="6913" max="6913" width="92.7265625" style="2782" customWidth="1"/>
    <col min="6914" max="6914" width="16.1796875" style="2782" customWidth="1"/>
    <col min="6915" max="6915" width="16.81640625" style="2782" customWidth="1"/>
    <col min="6916" max="6916" width="14.7265625" style="2782" customWidth="1"/>
    <col min="6917" max="6917" width="19.453125" style="2782" customWidth="1"/>
    <col min="6918" max="6918" width="15" style="2782" customWidth="1"/>
    <col min="6919" max="6919" width="12.7265625" style="2782" customWidth="1"/>
    <col min="6920" max="6921" width="12.1796875" style="2782" customWidth="1"/>
    <col min="6922" max="6922" width="15.81640625" style="2782" customWidth="1"/>
    <col min="6923" max="6923" width="22.1796875" style="2782" customWidth="1"/>
    <col min="6924" max="6924" width="11.453125" style="2782" customWidth="1"/>
    <col min="6925" max="6925" width="17.54296875" style="2782" customWidth="1"/>
    <col min="6926" max="6926" width="0.1796875" style="2782" customWidth="1"/>
    <col min="6927" max="6927" width="18.81640625" style="2782" customWidth="1"/>
    <col min="6928" max="6931" width="25.7265625" style="2782" customWidth="1"/>
    <col min="6932" max="6932" width="14.7265625" style="2782" customWidth="1"/>
    <col min="6933" max="6933" width="22" style="2782" customWidth="1"/>
    <col min="6934" max="6934" width="15.26953125" style="2782" customWidth="1"/>
    <col min="6935" max="6938" width="25.7265625" style="2782" customWidth="1"/>
    <col min="6939" max="6939" width="15.7265625" style="2782" customWidth="1"/>
    <col min="6940" max="6940" width="22.453125" style="2782" customWidth="1"/>
    <col min="6941" max="6941" width="14.7265625" style="2782" customWidth="1"/>
    <col min="6942" max="6945" width="25.7265625" style="2782" customWidth="1"/>
    <col min="6946" max="6946" width="15.7265625" style="2782" customWidth="1"/>
    <col min="6947" max="6947" width="21" style="2782" customWidth="1"/>
    <col min="6948" max="6948" width="16.7265625" style="2782" customWidth="1"/>
    <col min="6949" max="6952" width="25.7265625" style="2782" customWidth="1"/>
    <col min="6953" max="6953" width="15.7265625" style="2782" customWidth="1"/>
    <col min="6954" max="6954" width="29.1796875" style="2782" customWidth="1"/>
    <col min="6955" max="6955" width="13.7265625" style="2782" customWidth="1"/>
    <col min="6956" max="6959" width="25.7265625" style="2782" customWidth="1"/>
    <col min="6960" max="6960" width="15.7265625" style="2782" customWidth="1"/>
    <col min="6961" max="6961" width="29.1796875" style="2782" customWidth="1"/>
    <col min="6962" max="6962" width="11.81640625" style="2782" customWidth="1"/>
    <col min="6963" max="6966" width="25.7265625" style="2782" customWidth="1"/>
    <col min="6967" max="6967" width="15.7265625" style="2782" customWidth="1"/>
    <col min="6968" max="6968" width="29.7265625" style="2782" customWidth="1"/>
    <col min="6969" max="6969" width="25.54296875" style="2782" customWidth="1"/>
    <col min="6970" max="6973" width="25.7265625" style="2782" customWidth="1"/>
    <col min="6974" max="6974" width="7.26953125" style="2782" customWidth="1"/>
    <col min="6975" max="6975" width="22.7265625" style="2782" customWidth="1"/>
    <col min="6976" max="6976" width="18.81640625" style="2782" customWidth="1"/>
    <col min="6977" max="6980" width="25.7265625" style="2782" customWidth="1"/>
    <col min="6981" max="6981" width="12.26953125" style="2782" customWidth="1"/>
    <col min="6982" max="6982" width="25.7265625" style="2782" customWidth="1"/>
    <col min="6983" max="6983" width="18.81640625" style="2782" customWidth="1"/>
    <col min="6984" max="6987" width="25.7265625" style="2782" customWidth="1"/>
    <col min="6988" max="6988" width="14.54296875" style="2782" customWidth="1"/>
    <col min="6989" max="6989" width="25.7265625" style="2782" customWidth="1"/>
    <col min="6990" max="6990" width="18.81640625" style="2782" customWidth="1"/>
    <col min="6991" max="6994" width="25.7265625" style="2782" customWidth="1"/>
    <col min="6995" max="6995" width="15.7265625" style="2782" customWidth="1"/>
    <col min="6996" max="6996" width="25.7265625" style="2782" customWidth="1"/>
    <col min="6997" max="6997" width="18.81640625" style="2782" customWidth="1"/>
    <col min="6998" max="7001" width="25.7265625" style="2782" customWidth="1"/>
    <col min="7002" max="7002" width="15.7265625" style="2782" customWidth="1"/>
    <col min="7003" max="7003" width="29.453125" style="2782" customWidth="1"/>
    <col min="7004" max="7004" width="18.81640625" style="2782" customWidth="1"/>
    <col min="7005" max="7005" width="25.7265625" style="2782" customWidth="1"/>
    <col min="7006" max="7006" width="29.7265625" style="2782" customWidth="1"/>
    <col min="7007" max="7008" width="25.7265625" style="2782" customWidth="1"/>
    <col min="7009" max="7009" width="13.7265625" style="2782" customWidth="1"/>
    <col min="7010" max="7010" width="29.1796875" style="2782" customWidth="1"/>
    <col min="7011" max="7011" width="23.7265625" style="2782" customWidth="1"/>
    <col min="7012" max="7015" width="24.81640625" style="2782" customWidth="1"/>
    <col min="7016" max="7016" width="14.7265625" style="2782" customWidth="1"/>
    <col min="7017" max="7017" width="30" style="2782" customWidth="1"/>
    <col min="7018" max="7018" width="22" style="2782" customWidth="1"/>
    <col min="7019" max="7019" width="19.26953125" style="2782" customWidth="1"/>
    <col min="7020" max="7020" width="14.1796875" style="2782" customWidth="1"/>
    <col min="7021" max="7167" width="9.1796875" style="2782"/>
    <col min="7168" max="7168" width="8.7265625" style="2782" customWidth="1"/>
    <col min="7169" max="7169" width="92.7265625" style="2782" customWidth="1"/>
    <col min="7170" max="7170" width="16.1796875" style="2782" customWidth="1"/>
    <col min="7171" max="7171" width="16.81640625" style="2782" customWidth="1"/>
    <col min="7172" max="7172" width="14.7265625" style="2782" customWidth="1"/>
    <col min="7173" max="7173" width="19.453125" style="2782" customWidth="1"/>
    <col min="7174" max="7174" width="15" style="2782" customWidth="1"/>
    <col min="7175" max="7175" width="12.7265625" style="2782" customWidth="1"/>
    <col min="7176" max="7177" width="12.1796875" style="2782" customWidth="1"/>
    <col min="7178" max="7178" width="15.81640625" style="2782" customWidth="1"/>
    <col min="7179" max="7179" width="22.1796875" style="2782" customWidth="1"/>
    <col min="7180" max="7180" width="11.453125" style="2782" customWidth="1"/>
    <col min="7181" max="7181" width="17.54296875" style="2782" customWidth="1"/>
    <col min="7182" max="7182" width="0.1796875" style="2782" customWidth="1"/>
    <col min="7183" max="7183" width="18.81640625" style="2782" customWidth="1"/>
    <col min="7184" max="7187" width="25.7265625" style="2782" customWidth="1"/>
    <col min="7188" max="7188" width="14.7265625" style="2782" customWidth="1"/>
    <col min="7189" max="7189" width="22" style="2782" customWidth="1"/>
    <col min="7190" max="7190" width="15.26953125" style="2782" customWidth="1"/>
    <col min="7191" max="7194" width="25.7265625" style="2782" customWidth="1"/>
    <col min="7195" max="7195" width="15.7265625" style="2782" customWidth="1"/>
    <col min="7196" max="7196" width="22.453125" style="2782" customWidth="1"/>
    <col min="7197" max="7197" width="14.7265625" style="2782" customWidth="1"/>
    <col min="7198" max="7201" width="25.7265625" style="2782" customWidth="1"/>
    <col min="7202" max="7202" width="15.7265625" style="2782" customWidth="1"/>
    <col min="7203" max="7203" width="21" style="2782" customWidth="1"/>
    <col min="7204" max="7204" width="16.7265625" style="2782" customWidth="1"/>
    <col min="7205" max="7208" width="25.7265625" style="2782" customWidth="1"/>
    <col min="7209" max="7209" width="15.7265625" style="2782" customWidth="1"/>
    <col min="7210" max="7210" width="29.1796875" style="2782" customWidth="1"/>
    <col min="7211" max="7211" width="13.7265625" style="2782" customWidth="1"/>
    <col min="7212" max="7215" width="25.7265625" style="2782" customWidth="1"/>
    <col min="7216" max="7216" width="15.7265625" style="2782" customWidth="1"/>
    <col min="7217" max="7217" width="29.1796875" style="2782" customWidth="1"/>
    <col min="7218" max="7218" width="11.81640625" style="2782" customWidth="1"/>
    <col min="7219" max="7222" width="25.7265625" style="2782" customWidth="1"/>
    <col min="7223" max="7223" width="15.7265625" style="2782" customWidth="1"/>
    <col min="7224" max="7224" width="29.7265625" style="2782" customWidth="1"/>
    <col min="7225" max="7225" width="25.54296875" style="2782" customWidth="1"/>
    <col min="7226" max="7229" width="25.7265625" style="2782" customWidth="1"/>
    <col min="7230" max="7230" width="7.26953125" style="2782" customWidth="1"/>
    <col min="7231" max="7231" width="22.7265625" style="2782" customWidth="1"/>
    <col min="7232" max="7232" width="18.81640625" style="2782" customWidth="1"/>
    <col min="7233" max="7236" width="25.7265625" style="2782" customWidth="1"/>
    <col min="7237" max="7237" width="12.26953125" style="2782" customWidth="1"/>
    <col min="7238" max="7238" width="25.7265625" style="2782" customWidth="1"/>
    <col min="7239" max="7239" width="18.81640625" style="2782" customWidth="1"/>
    <col min="7240" max="7243" width="25.7265625" style="2782" customWidth="1"/>
    <col min="7244" max="7244" width="14.54296875" style="2782" customWidth="1"/>
    <col min="7245" max="7245" width="25.7265625" style="2782" customWidth="1"/>
    <col min="7246" max="7246" width="18.81640625" style="2782" customWidth="1"/>
    <col min="7247" max="7250" width="25.7265625" style="2782" customWidth="1"/>
    <col min="7251" max="7251" width="15.7265625" style="2782" customWidth="1"/>
    <col min="7252" max="7252" width="25.7265625" style="2782" customWidth="1"/>
    <col min="7253" max="7253" width="18.81640625" style="2782" customWidth="1"/>
    <col min="7254" max="7257" width="25.7265625" style="2782" customWidth="1"/>
    <col min="7258" max="7258" width="15.7265625" style="2782" customWidth="1"/>
    <col min="7259" max="7259" width="29.453125" style="2782" customWidth="1"/>
    <col min="7260" max="7260" width="18.81640625" style="2782" customWidth="1"/>
    <col min="7261" max="7261" width="25.7265625" style="2782" customWidth="1"/>
    <col min="7262" max="7262" width="29.7265625" style="2782" customWidth="1"/>
    <col min="7263" max="7264" width="25.7265625" style="2782" customWidth="1"/>
    <col min="7265" max="7265" width="13.7265625" style="2782" customWidth="1"/>
    <col min="7266" max="7266" width="29.1796875" style="2782" customWidth="1"/>
    <col min="7267" max="7267" width="23.7265625" style="2782" customWidth="1"/>
    <col min="7268" max="7271" width="24.81640625" style="2782" customWidth="1"/>
    <col min="7272" max="7272" width="14.7265625" style="2782" customWidth="1"/>
    <col min="7273" max="7273" width="30" style="2782" customWidth="1"/>
    <col min="7274" max="7274" width="22" style="2782" customWidth="1"/>
    <col min="7275" max="7275" width="19.26953125" style="2782" customWidth="1"/>
    <col min="7276" max="7276" width="14.1796875" style="2782" customWidth="1"/>
    <col min="7277" max="7423" width="9.1796875" style="2782"/>
    <col min="7424" max="7424" width="8.7265625" style="2782" customWidth="1"/>
    <col min="7425" max="7425" width="92.7265625" style="2782" customWidth="1"/>
    <col min="7426" max="7426" width="16.1796875" style="2782" customWidth="1"/>
    <col min="7427" max="7427" width="16.81640625" style="2782" customWidth="1"/>
    <col min="7428" max="7428" width="14.7265625" style="2782" customWidth="1"/>
    <col min="7429" max="7429" width="19.453125" style="2782" customWidth="1"/>
    <col min="7430" max="7430" width="15" style="2782" customWidth="1"/>
    <col min="7431" max="7431" width="12.7265625" style="2782" customWidth="1"/>
    <col min="7432" max="7433" width="12.1796875" style="2782" customWidth="1"/>
    <col min="7434" max="7434" width="15.81640625" style="2782" customWidth="1"/>
    <col min="7435" max="7435" width="22.1796875" style="2782" customWidth="1"/>
    <col min="7436" max="7436" width="11.453125" style="2782" customWidth="1"/>
    <col min="7437" max="7437" width="17.54296875" style="2782" customWidth="1"/>
    <col min="7438" max="7438" width="0.1796875" style="2782" customWidth="1"/>
    <col min="7439" max="7439" width="18.81640625" style="2782" customWidth="1"/>
    <col min="7440" max="7443" width="25.7265625" style="2782" customWidth="1"/>
    <col min="7444" max="7444" width="14.7265625" style="2782" customWidth="1"/>
    <col min="7445" max="7445" width="22" style="2782" customWidth="1"/>
    <col min="7446" max="7446" width="15.26953125" style="2782" customWidth="1"/>
    <col min="7447" max="7450" width="25.7265625" style="2782" customWidth="1"/>
    <col min="7451" max="7451" width="15.7265625" style="2782" customWidth="1"/>
    <col min="7452" max="7452" width="22.453125" style="2782" customWidth="1"/>
    <col min="7453" max="7453" width="14.7265625" style="2782" customWidth="1"/>
    <col min="7454" max="7457" width="25.7265625" style="2782" customWidth="1"/>
    <col min="7458" max="7458" width="15.7265625" style="2782" customWidth="1"/>
    <col min="7459" max="7459" width="21" style="2782" customWidth="1"/>
    <col min="7460" max="7460" width="16.7265625" style="2782" customWidth="1"/>
    <col min="7461" max="7464" width="25.7265625" style="2782" customWidth="1"/>
    <col min="7465" max="7465" width="15.7265625" style="2782" customWidth="1"/>
    <col min="7466" max="7466" width="29.1796875" style="2782" customWidth="1"/>
    <col min="7467" max="7467" width="13.7265625" style="2782" customWidth="1"/>
    <col min="7468" max="7471" width="25.7265625" style="2782" customWidth="1"/>
    <col min="7472" max="7472" width="15.7265625" style="2782" customWidth="1"/>
    <col min="7473" max="7473" width="29.1796875" style="2782" customWidth="1"/>
    <col min="7474" max="7474" width="11.81640625" style="2782" customWidth="1"/>
    <col min="7475" max="7478" width="25.7265625" style="2782" customWidth="1"/>
    <col min="7479" max="7479" width="15.7265625" style="2782" customWidth="1"/>
    <col min="7480" max="7480" width="29.7265625" style="2782" customWidth="1"/>
    <col min="7481" max="7481" width="25.54296875" style="2782" customWidth="1"/>
    <col min="7482" max="7485" width="25.7265625" style="2782" customWidth="1"/>
    <col min="7486" max="7486" width="7.26953125" style="2782" customWidth="1"/>
    <col min="7487" max="7487" width="22.7265625" style="2782" customWidth="1"/>
    <col min="7488" max="7488" width="18.81640625" style="2782" customWidth="1"/>
    <col min="7489" max="7492" width="25.7265625" style="2782" customWidth="1"/>
    <col min="7493" max="7493" width="12.26953125" style="2782" customWidth="1"/>
    <col min="7494" max="7494" width="25.7265625" style="2782" customWidth="1"/>
    <col min="7495" max="7495" width="18.81640625" style="2782" customWidth="1"/>
    <col min="7496" max="7499" width="25.7265625" style="2782" customWidth="1"/>
    <col min="7500" max="7500" width="14.54296875" style="2782" customWidth="1"/>
    <col min="7501" max="7501" width="25.7265625" style="2782" customWidth="1"/>
    <col min="7502" max="7502" width="18.81640625" style="2782" customWidth="1"/>
    <col min="7503" max="7506" width="25.7265625" style="2782" customWidth="1"/>
    <col min="7507" max="7507" width="15.7265625" style="2782" customWidth="1"/>
    <col min="7508" max="7508" width="25.7265625" style="2782" customWidth="1"/>
    <col min="7509" max="7509" width="18.81640625" style="2782" customWidth="1"/>
    <col min="7510" max="7513" width="25.7265625" style="2782" customWidth="1"/>
    <col min="7514" max="7514" width="15.7265625" style="2782" customWidth="1"/>
    <col min="7515" max="7515" width="29.453125" style="2782" customWidth="1"/>
    <col min="7516" max="7516" width="18.81640625" style="2782" customWidth="1"/>
    <col min="7517" max="7517" width="25.7265625" style="2782" customWidth="1"/>
    <col min="7518" max="7518" width="29.7265625" style="2782" customWidth="1"/>
    <col min="7519" max="7520" width="25.7265625" style="2782" customWidth="1"/>
    <col min="7521" max="7521" width="13.7265625" style="2782" customWidth="1"/>
    <col min="7522" max="7522" width="29.1796875" style="2782" customWidth="1"/>
    <col min="7523" max="7523" width="23.7265625" style="2782" customWidth="1"/>
    <col min="7524" max="7527" width="24.81640625" style="2782" customWidth="1"/>
    <col min="7528" max="7528" width="14.7265625" style="2782" customWidth="1"/>
    <col min="7529" max="7529" width="30" style="2782" customWidth="1"/>
    <col min="7530" max="7530" width="22" style="2782" customWidth="1"/>
    <col min="7531" max="7531" width="19.26953125" style="2782" customWidth="1"/>
    <col min="7532" max="7532" width="14.1796875" style="2782" customWidth="1"/>
    <col min="7533" max="7679" width="9.1796875" style="2782"/>
    <col min="7680" max="7680" width="8.7265625" style="2782" customWidth="1"/>
    <col min="7681" max="7681" width="92.7265625" style="2782" customWidth="1"/>
    <col min="7682" max="7682" width="16.1796875" style="2782" customWidth="1"/>
    <col min="7683" max="7683" width="16.81640625" style="2782" customWidth="1"/>
    <col min="7684" max="7684" width="14.7265625" style="2782" customWidth="1"/>
    <col min="7685" max="7685" width="19.453125" style="2782" customWidth="1"/>
    <col min="7686" max="7686" width="15" style="2782" customWidth="1"/>
    <col min="7687" max="7687" width="12.7265625" style="2782" customWidth="1"/>
    <col min="7688" max="7689" width="12.1796875" style="2782" customWidth="1"/>
    <col min="7690" max="7690" width="15.81640625" style="2782" customWidth="1"/>
    <col min="7691" max="7691" width="22.1796875" style="2782" customWidth="1"/>
    <col min="7692" max="7692" width="11.453125" style="2782" customWidth="1"/>
    <col min="7693" max="7693" width="17.54296875" style="2782" customWidth="1"/>
    <col min="7694" max="7694" width="0.1796875" style="2782" customWidth="1"/>
    <col min="7695" max="7695" width="18.81640625" style="2782" customWidth="1"/>
    <col min="7696" max="7699" width="25.7265625" style="2782" customWidth="1"/>
    <col min="7700" max="7700" width="14.7265625" style="2782" customWidth="1"/>
    <col min="7701" max="7701" width="22" style="2782" customWidth="1"/>
    <col min="7702" max="7702" width="15.26953125" style="2782" customWidth="1"/>
    <col min="7703" max="7706" width="25.7265625" style="2782" customWidth="1"/>
    <col min="7707" max="7707" width="15.7265625" style="2782" customWidth="1"/>
    <col min="7708" max="7708" width="22.453125" style="2782" customWidth="1"/>
    <col min="7709" max="7709" width="14.7265625" style="2782" customWidth="1"/>
    <col min="7710" max="7713" width="25.7265625" style="2782" customWidth="1"/>
    <col min="7714" max="7714" width="15.7265625" style="2782" customWidth="1"/>
    <col min="7715" max="7715" width="21" style="2782" customWidth="1"/>
    <col min="7716" max="7716" width="16.7265625" style="2782" customWidth="1"/>
    <col min="7717" max="7720" width="25.7265625" style="2782" customWidth="1"/>
    <col min="7721" max="7721" width="15.7265625" style="2782" customWidth="1"/>
    <col min="7722" max="7722" width="29.1796875" style="2782" customWidth="1"/>
    <col min="7723" max="7723" width="13.7265625" style="2782" customWidth="1"/>
    <col min="7724" max="7727" width="25.7265625" style="2782" customWidth="1"/>
    <col min="7728" max="7728" width="15.7265625" style="2782" customWidth="1"/>
    <col min="7729" max="7729" width="29.1796875" style="2782" customWidth="1"/>
    <col min="7730" max="7730" width="11.81640625" style="2782" customWidth="1"/>
    <col min="7731" max="7734" width="25.7265625" style="2782" customWidth="1"/>
    <col min="7735" max="7735" width="15.7265625" style="2782" customWidth="1"/>
    <col min="7736" max="7736" width="29.7265625" style="2782" customWidth="1"/>
    <col min="7737" max="7737" width="25.54296875" style="2782" customWidth="1"/>
    <col min="7738" max="7741" width="25.7265625" style="2782" customWidth="1"/>
    <col min="7742" max="7742" width="7.26953125" style="2782" customWidth="1"/>
    <col min="7743" max="7743" width="22.7265625" style="2782" customWidth="1"/>
    <col min="7744" max="7744" width="18.81640625" style="2782" customWidth="1"/>
    <col min="7745" max="7748" width="25.7265625" style="2782" customWidth="1"/>
    <col min="7749" max="7749" width="12.26953125" style="2782" customWidth="1"/>
    <col min="7750" max="7750" width="25.7265625" style="2782" customWidth="1"/>
    <col min="7751" max="7751" width="18.81640625" style="2782" customWidth="1"/>
    <col min="7752" max="7755" width="25.7265625" style="2782" customWidth="1"/>
    <col min="7756" max="7756" width="14.54296875" style="2782" customWidth="1"/>
    <col min="7757" max="7757" width="25.7265625" style="2782" customWidth="1"/>
    <col min="7758" max="7758" width="18.81640625" style="2782" customWidth="1"/>
    <col min="7759" max="7762" width="25.7265625" style="2782" customWidth="1"/>
    <col min="7763" max="7763" width="15.7265625" style="2782" customWidth="1"/>
    <col min="7764" max="7764" width="25.7265625" style="2782" customWidth="1"/>
    <col min="7765" max="7765" width="18.81640625" style="2782" customWidth="1"/>
    <col min="7766" max="7769" width="25.7265625" style="2782" customWidth="1"/>
    <col min="7770" max="7770" width="15.7265625" style="2782" customWidth="1"/>
    <col min="7771" max="7771" width="29.453125" style="2782" customWidth="1"/>
    <col min="7772" max="7772" width="18.81640625" style="2782" customWidth="1"/>
    <col min="7773" max="7773" width="25.7265625" style="2782" customWidth="1"/>
    <col min="7774" max="7774" width="29.7265625" style="2782" customWidth="1"/>
    <col min="7775" max="7776" width="25.7265625" style="2782" customWidth="1"/>
    <col min="7777" max="7777" width="13.7265625" style="2782" customWidth="1"/>
    <col min="7778" max="7778" width="29.1796875" style="2782" customWidth="1"/>
    <col min="7779" max="7779" width="23.7265625" style="2782" customWidth="1"/>
    <col min="7780" max="7783" width="24.81640625" style="2782" customWidth="1"/>
    <col min="7784" max="7784" width="14.7265625" style="2782" customWidth="1"/>
    <col min="7785" max="7785" width="30" style="2782" customWidth="1"/>
    <col min="7786" max="7786" width="22" style="2782" customWidth="1"/>
    <col min="7787" max="7787" width="19.26953125" style="2782" customWidth="1"/>
    <col min="7788" max="7788" width="14.1796875" style="2782" customWidth="1"/>
    <col min="7789" max="7935" width="9.1796875" style="2782"/>
    <col min="7936" max="7936" width="8.7265625" style="2782" customWidth="1"/>
    <col min="7937" max="7937" width="92.7265625" style="2782" customWidth="1"/>
    <col min="7938" max="7938" width="16.1796875" style="2782" customWidth="1"/>
    <col min="7939" max="7939" width="16.81640625" style="2782" customWidth="1"/>
    <col min="7940" max="7940" width="14.7265625" style="2782" customWidth="1"/>
    <col min="7941" max="7941" width="19.453125" style="2782" customWidth="1"/>
    <col min="7942" max="7942" width="15" style="2782" customWidth="1"/>
    <col min="7943" max="7943" width="12.7265625" style="2782" customWidth="1"/>
    <col min="7944" max="7945" width="12.1796875" style="2782" customWidth="1"/>
    <col min="7946" max="7946" width="15.81640625" style="2782" customWidth="1"/>
    <col min="7947" max="7947" width="22.1796875" style="2782" customWidth="1"/>
    <col min="7948" max="7948" width="11.453125" style="2782" customWidth="1"/>
    <col min="7949" max="7949" width="17.54296875" style="2782" customWidth="1"/>
    <col min="7950" max="7950" width="0.1796875" style="2782" customWidth="1"/>
    <col min="7951" max="7951" width="18.81640625" style="2782" customWidth="1"/>
    <col min="7952" max="7955" width="25.7265625" style="2782" customWidth="1"/>
    <col min="7956" max="7956" width="14.7265625" style="2782" customWidth="1"/>
    <col min="7957" max="7957" width="22" style="2782" customWidth="1"/>
    <col min="7958" max="7958" width="15.26953125" style="2782" customWidth="1"/>
    <col min="7959" max="7962" width="25.7265625" style="2782" customWidth="1"/>
    <col min="7963" max="7963" width="15.7265625" style="2782" customWidth="1"/>
    <col min="7964" max="7964" width="22.453125" style="2782" customWidth="1"/>
    <col min="7965" max="7965" width="14.7265625" style="2782" customWidth="1"/>
    <col min="7966" max="7969" width="25.7265625" style="2782" customWidth="1"/>
    <col min="7970" max="7970" width="15.7265625" style="2782" customWidth="1"/>
    <col min="7971" max="7971" width="21" style="2782" customWidth="1"/>
    <col min="7972" max="7972" width="16.7265625" style="2782" customWidth="1"/>
    <col min="7973" max="7976" width="25.7265625" style="2782" customWidth="1"/>
    <col min="7977" max="7977" width="15.7265625" style="2782" customWidth="1"/>
    <col min="7978" max="7978" width="29.1796875" style="2782" customWidth="1"/>
    <col min="7979" max="7979" width="13.7265625" style="2782" customWidth="1"/>
    <col min="7980" max="7983" width="25.7265625" style="2782" customWidth="1"/>
    <col min="7984" max="7984" width="15.7265625" style="2782" customWidth="1"/>
    <col min="7985" max="7985" width="29.1796875" style="2782" customWidth="1"/>
    <col min="7986" max="7986" width="11.81640625" style="2782" customWidth="1"/>
    <col min="7987" max="7990" width="25.7265625" style="2782" customWidth="1"/>
    <col min="7991" max="7991" width="15.7265625" style="2782" customWidth="1"/>
    <col min="7992" max="7992" width="29.7265625" style="2782" customWidth="1"/>
    <col min="7993" max="7993" width="25.54296875" style="2782" customWidth="1"/>
    <col min="7994" max="7997" width="25.7265625" style="2782" customWidth="1"/>
    <col min="7998" max="7998" width="7.26953125" style="2782" customWidth="1"/>
    <col min="7999" max="7999" width="22.7265625" style="2782" customWidth="1"/>
    <col min="8000" max="8000" width="18.81640625" style="2782" customWidth="1"/>
    <col min="8001" max="8004" width="25.7265625" style="2782" customWidth="1"/>
    <col min="8005" max="8005" width="12.26953125" style="2782" customWidth="1"/>
    <col min="8006" max="8006" width="25.7265625" style="2782" customWidth="1"/>
    <col min="8007" max="8007" width="18.81640625" style="2782" customWidth="1"/>
    <col min="8008" max="8011" width="25.7265625" style="2782" customWidth="1"/>
    <col min="8012" max="8012" width="14.54296875" style="2782" customWidth="1"/>
    <col min="8013" max="8013" width="25.7265625" style="2782" customWidth="1"/>
    <col min="8014" max="8014" width="18.81640625" style="2782" customWidth="1"/>
    <col min="8015" max="8018" width="25.7265625" style="2782" customWidth="1"/>
    <col min="8019" max="8019" width="15.7265625" style="2782" customWidth="1"/>
    <col min="8020" max="8020" width="25.7265625" style="2782" customWidth="1"/>
    <col min="8021" max="8021" width="18.81640625" style="2782" customWidth="1"/>
    <col min="8022" max="8025" width="25.7265625" style="2782" customWidth="1"/>
    <col min="8026" max="8026" width="15.7265625" style="2782" customWidth="1"/>
    <col min="8027" max="8027" width="29.453125" style="2782" customWidth="1"/>
    <col min="8028" max="8028" width="18.81640625" style="2782" customWidth="1"/>
    <col min="8029" max="8029" width="25.7265625" style="2782" customWidth="1"/>
    <col min="8030" max="8030" width="29.7265625" style="2782" customWidth="1"/>
    <col min="8031" max="8032" width="25.7265625" style="2782" customWidth="1"/>
    <col min="8033" max="8033" width="13.7265625" style="2782" customWidth="1"/>
    <col min="8034" max="8034" width="29.1796875" style="2782" customWidth="1"/>
    <col min="8035" max="8035" width="23.7265625" style="2782" customWidth="1"/>
    <col min="8036" max="8039" width="24.81640625" style="2782" customWidth="1"/>
    <col min="8040" max="8040" width="14.7265625" style="2782" customWidth="1"/>
    <col min="8041" max="8041" width="30" style="2782" customWidth="1"/>
    <col min="8042" max="8042" width="22" style="2782" customWidth="1"/>
    <col min="8043" max="8043" width="19.26953125" style="2782" customWidth="1"/>
    <col min="8044" max="8044" width="14.1796875" style="2782" customWidth="1"/>
    <col min="8045" max="8191" width="9.1796875" style="2782"/>
    <col min="8192" max="8192" width="8.7265625" style="2782" customWidth="1"/>
    <col min="8193" max="8193" width="92.7265625" style="2782" customWidth="1"/>
    <col min="8194" max="8194" width="16.1796875" style="2782" customWidth="1"/>
    <col min="8195" max="8195" width="16.81640625" style="2782" customWidth="1"/>
    <col min="8196" max="8196" width="14.7265625" style="2782" customWidth="1"/>
    <col min="8197" max="8197" width="19.453125" style="2782" customWidth="1"/>
    <col min="8198" max="8198" width="15" style="2782" customWidth="1"/>
    <col min="8199" max="8199" width="12.7265625" style="2782" customWidth="1"/>
    <col min="8200" max="8201" width="12.1796875" style="2782" customWidth="1"/>
    <col min="8202" max="8202" width="15.81640625" style="2782" customWidth="1"/>
    <col min="8203" max="8203" width="22.1796875" style="2782" customWidth="1"/>
    <col min="8204" max="8204" width="11.453125" style="2782" customWidth="1"/>
    <col min="8205" max="8205" width="17.54296875" style="2782" customWidth="1"/>
    <col min="8206" max="8206" width="0.1796875" style="2782" customWidth="1"/>
    <col min="8207" max="8207" width="18.81640625" style="2782" customWidth="1"/>
    <col min="8208" max="8211" width="25.7265625" style="2782" customWidth="1"/>
    <col min="8212" max="8212" width="14.7265625" style="2782" customWidth="1"/>
    <col min="8213" max="8213" width="22" style="2782" customWidth="1"/>
    <col min="8214" max="8214" width="15.26953125" style="2782" customWidth="1"/>
    <col min="8215" max="8218" width="25.7265625" style="2782" customWidth="1"/>
    <col min="8219" max="8219" width="15.7265625" style="2782" customWidth="1"/>
    <col min="8220" max="8220" width="22.453125" style="2782" customWidth="1"/>
    <col min="8221" max="8221" width="14.7265625" style="2782" customWidth="1"/>
    <col min="8222" max="8225" width="25.7265625" style="2782" customWidth="1"/>
    <col min="8226" max="8226" width="15.7265625" style="2782" customWidth="1"/>
    <col min="8227" max="8227" width="21" style="2782" customWidth="1"/>
    <col min="8228" max="8228" width="16.7265625" style="2782" customWidth="1"/>
    <col min="8229" max="8232" width="25.7265625" style="2782" customWidth="1"/>
    <col min="8233" max="8233" width="15.7265625" style="2782" customWidth="1"/>
    <col min="8234" max="8234" width="29.1796875" style="2782" customWidth="1"/>
    <col min="8235" max="8235" width="13.7265625" style="2782" customWidth="1"/>
    <col min="8236" max="8239" width="25.7265625" style="2782" customWidth="1"/>
    <col min="8240" max="8240" width="15.7265625" style="2782" customWidth="1"/>
    <col min="8241" max="8241" width="29.1796875" style="2782" customWidth="1"/>
    <col min="8242" max="8242" width="11.81640625" style="2782" customWidth="1"/>
    <col min="8243" max="8246" width="25.7265625" style="2782" customWidth="1"/>
    <col min="8247" max="8247" width="15.7265625" style="2782" customWidth="1"/>
    <col min="8248" max="8248" width="29.7265625" style="2782" customWidth="1"/>
    <col min="8249" max="8249" width="25.54296875" style="2782" customWidth="1"/>
    <col min="8250" max="8253" width="25.7265625" style="2782" customWidth="1"/>
    <col min="8254" max="8254" width="7.26953125" style="2782" customWidth="1"/>
    <col min="8255" max="8255" width="22.7265625" style="2782" customWidth="1"/>
    <col min="8256" max="8256" width="18.81640625" style="2782" customWidth="1"/>
    <col min="8257" max="8260" width="25.7265625" style="2782" customWidth="1"/>
    <col min="8261" max="8261" width="12.26953125" style="2782" customWidth="1"/>
    <col min="8262" max="8262" width="25.7265625" style="2782" customWidth="1"/>
    <col min="8263" max="8263" width="18.81640625" style="2782" customWidth="1"/>
    <col min="8264" max="8267" width="25.7265625" style="2782" customWidth="1"/>
    <col min="8268" max="8268" width="14.54296875" style="2782" customWidth="1"/>
    <col min="8269" max="8269" width="25.7265625" style="2782" customWidth="1"/>
    <col min="8270" max="8270" width="18.81640625" style="2782" customWidth="1"/>
    <col min="8271" max="8274" width="25.7265625" style="2782" customWidth="1"/>
    <col min="8275" max="8275" width="15.7265625" style="2782" customWidth="1"/>
    <col min="8276" max="8276" width="25.7265625" style="2782" customWidth="1"/>
    <col min="8277" max="8277" width="18.81640625" style="2782" customWidth="1"/>
    <col min="8278" max="8281" width="25.7265625" style="2782" customWidth="1"/>
    <col min="8282" max="8282" width="15.7265625" style="2782" customWidth="1"/>
    <col min="8283" max="8283" width="29.453125" style="2782" customWidth="1"/>
    <col min="8284" max="8284" width="18.81640625" style="2782" customWidth="1"/>
    <col min="8285" max="8285" width="25.7265625" style="2782" customWidth="1"/>
    <col min="8286" max="8286" width="29.7265625" style="2782" customWidth="1"/>
    <col min="8287" max="8288" width="25.7265625" style="2782" customWidth="1"/>
    <col min="8289" max="8289" width="13.7265625" style="2782" customWidth="1"/>
    <col min="8290" max="8290" width="29.1796875" style="2782" customWidth="1"/>
    <col min="8291" max="8291" width="23.7265625" style="2782" customWidth="1"/>
    <col min="8292" max="8295" width="24.81640625" style="2782" customWidth="1"/>
    <col min="8296" max="8296" width="14.7265625" style="2782" customWidth="1"/>
    <col min="8297" max="8297" width="30" style="2782" customWidth="1"/>
    <col min="8298" max="8298" width="22" style="2782" customWidth="1"/>
    <col min="8299" max="8299" width="19.26953125" style="2782" customWidth="1"/>
    <col min="8300" max="8300" width="14.1796875" style="2782" customWidth="1"/>
    <col min="8301" max="8447" width="9.1796875" style="2782"/>
    <col min="8448" max="8448" width="8.7265625" style="2782" customWidth="1"/>
    <col min="8449" max="8449" width="92.7265625" style="2782" customWidth="1"/>
    <col min="8450" max="8450" width="16.1796875" style="2782" customWidth="1"/>
    <col min="8451" max="8451" width="16.81640625" style="2782" customWidth="1"/>
    <col min="8452" max="8452" width="14.7265625" style="2782" customWidth="1"/>
    <col min="8453" max="8453" width="19.453125" style="2782" customWidth="1"/>
    <col min="8454" max="8454" width="15" style="2782" customWidth="1"/>
    <col min="8455" max="8455" width="12.7265625" style="2782" customWidth="1"/>
    <col min="8456" max="8457" width="12.1796875" style="2782" customWidth="1"/>
    <col min="8458" max="8458" width="15.81640625" style="2782" customWidth="1"/>
    <col min="8459" max="8459" width="22.1796875" style="2782" customWidth="1"/>
    <col min="8460" max="8460" width="11.453125" style="2782" customWidth="1"/>
    <col min="8461" max="8461" width="17.54296875" style="2782" customWidth="1"/>
    <col min="8462" max="8462" width="0.1796875" style="2782" customWidth="1"/>
    <col min="8463" max="8463" width="18.81640625" style="2782" customWidth="1"/>
    <col min="8464" max="8467" width="25.7265625" style="2782" customWidth="1"/>
    <col min="8468" max="8468" width="14.7265625" style="2782" customWidth="1"/>
    <col min="8469" max="8469" width="22" style="2782" customWidth="1"/>
    <col min="8470" max="8470" width="15.26953125" style="2782" customWidth="1"/>
    <col min="8471" max="8474" width="25.7265625" style="2782" customWidth="1"/>
    <col min="8475" max="8475" width="15.7265625" style="2782" customWidth="1"/>
    <col min="8476" max="8476" width="22.453125" style="2782" customWidth="1"/>
    <col min="8477" max="8477" width="14.7265625" style="2782" customWidth="1"/>
    <col min="8478" max="8481" width="25.7265625" style="2782" customWidth="1"/>
    <col min="8482" max="8482" width="15.7265625" style="2782" customWidth="1"/>
    <col min="8483" max="8483" width="21" style="2782" customWidth="1"/>
    <col min="8484" max="8484" width="16.7265625" style="2782" customWidth="1"/>
    <col min="8485" max="8488" width="25.7265625" style="2782" customWidth="1"/>
    <col min="8489" max="8489" width="15.7265625" style="2782" customWidth="1"/>
    <col min="8490" max="8490" width="29.1796875" style="2782" customWidth="1"/>
    <col min="8491" max="8491" width="13.7265625" style="2782" customWidth="1"/>
    <col min="8492" max="8495" width="25.7265625" style="2782" customWidth="1"/>
    <col min="8496" max="8496" width="15.7265625" style="2782" customWidth="1"/>
    <col min="8497" max="8497" width="29.1796875" style="2782" customWidth="1"/>
    <col min="8498" max="8498" width="11.81640625" style="2782" customWidth="1"/>
    <col min="8499" max="8502" width="25.7265625" style="2782" customWidth="1"/>
    <col min="8503" max="8503" width="15.7265625" style="2782" customWidth="1"/>
    <col min="8504" max="8504" width="29.7265625" style="2782" customWidth="1"/>
    <col min="8505" max="8505" width="25.54296875" style="2782" customWidth="1"/>
    <col min="8506" max="8509" width="25.7265625" style="2782" customWidth="1"/>
    <col min="8510" max="8510" width="7.26953125" style="2782" customWidth="1"/>
    <col min="8511" max="8511" width="22.7265625" style="2782" customWidth="1"/>
    <col min="8512" max="8512" width="18.81640625" style="2782" customWidth="1"/>
    <col min="8513" max="8516" width="25.7265625" style="2782" customWidth="1"/>
    <col min="8517" max="8517" width="12.26953125" style="2782" customWidth="1"/>
    <col min="8518" max="8518" width="25.7265625" style="2782" customWidth="1"/>
    <col min="8519" max="8519" width="18.81640625" style="2782" customWidth="1"/>
    <col min="8520" max="8523" width="25.7265625" style="2782" customWidth="1"/>
    <col min="8524" max="8524" width="14.54296875" style="2782" customWidth="1"/>
    <col min="8525" max="8525" width="25.7265625" style="2782" customWidth="1"/>
    <col min="8526" max="8526" width="18.81640625" style="2782" customWidth="1"/>
    <col min="8527" max="8530" width="25.7265625" style="2782" customWidth="1"/>
    <col min="8531" max="8531" width="15.7265625" style="2782" customWidth="1"/>
    <col min="8532" max="8532" width="25.7265625" style="2782" customWidth="1"/>
    <col min="8533" max="8533" width="18.81640625" style="2782" customWidth="1"/>
    <col min="8534" max="8537" width="25.7265625" style="2782" customWidth="1"/>
    <col min="8538" max="8538" width="15.7265625" style="2782" customWidth="1"/>
    <col min="8539" max="8539" width="29.453125" style="2782" customWidth="1"/>
    <col min="8540" max="8540" width="18.81640625" style="2782" customWidth="1"/>
    <col min="8541" max="8541" width="25.7265625" style="2782" customWidth="1"/>
    <col min="8542" max="8542" width="29.7265625" style="2782" customWidth="1"/>
    <col min="8543" max="8544" width="25.7265625" style="2782" customWidth="1"/>
    <col min="8545" max="8545" width="13.7265625" style="2782" customWidth="1"/>
    <col min="8546" max="8546" width="29.1796875" style="2782" customWidth="1"/>
    <col min="8547" max="8547" width="23.7265625" style="2782" customWidth="1"/>
    <col min="8548" max="8551" width="24.81640625" style="2782" customWidth="1"/>
    <col min="8552" max="8552" width="14.7265625" style="2782" customWidth="1"/>
    <col min="8553" max="8553" width="30" style="2782" customWidth="1"/>
    <col min="8554" max="8554" width="22" style="2782" customWidth="1"/>
    <col min="8555" max="8555" width="19.26953125" style="2782" customWidth="1"/>
    <col min="8556" max="8556" width="14.1796875" style="2782" customWidth="1"/>
    <col min="8557" max="8703" width="9.1796875" style="2782"/>
    <col min="8704" max="8704" width="8.7265625" style="2782" customWidth="1"/>
    <col min="8705" max="8705" width="92.7265625" style="2782" customWidth="1"/>
    <col min="8706" max="8706" width="16.1796875" style="2782" customWidth="1"/>
    <col min="8707" max="8707" width="16.81640625" style="2782" customWidth="1"/>
    <col min="8708" max="8708" width="14.7265625" style="2782" customWidth="1"/>
    <col min="8709" max="8709" width="19.453125" style="2782" customWidth="1"/>
    <col min="8710" max="8710" width="15" style="2782" customWidth="1"/>
    <col min="8711" max="8711" width="12.7265625" style="2782" customWidth="1"/>
    <col min="8712" max="8713" width="12.1796875" style="2782" customWidth="1"/>
    <col min="8714" max="8714" width="15.81640625" style="2782" customWidth="1"/>
    <col min="8715" max="8715" width="22.1796875" style="2782" customWidth="1"/>
    <col min="8716" max="8716" width="11.453125" style="2782" customWidth="1"/>
    <col min="8717" max="8717" width="17.54296875" style="2782" customWidth="1"/>
    <col min="8718" max="8718" width="0.1796875" style="2782" customWidth="1"/>
    <col min="8719" max="8719" width="18.81640625" style="2782" customWidth="1"/>
    <col min="8720" max="8723" width="25.7265625" style="2782" customWidth="1"/>
    <col min="8724" max="8724" width="14.7265625" style="2782" customWidth="1"/>
    <col min="8725" max="8725" width="22" style="2782" customWidth="1"/>
    <col min="8726" max="8726" width="15.26953125" style="2782" customWidth="1"/>
    <col min="8727" max="8730" width="25.7265625" style="2782" customWidth="1"/>
    <col min="8731" max="8731" width="15.7265625" style="2782" customWidth="1"/>
    <col min="8732" max="8732" width="22.453125" style="2782" customWidth="1"/>
    <col min="8733" max="8733" width="14.7265625" style="2782" customWidth="1"/>
    <col min="8734" max="8737" width="25.7265625" style="2782" customWidth="1"/>
    <col min="8738" max="8738" width="15.7265625" style="2782" customWidth="1"/>
    <col min="8739" max="8739" width="21" style="2782" customWidth="1"/>
    <col min="8740" max="8740" width="16.7265625" style="2782" customWidth="1"/>
    <col min="8741" max="8744" width="25.7265625" style="2782" customWidth="1"/>
    <col min="8745" max="8745" width="15.7265625" style="2782" customWidth="1"/>
    <col min="8746" max="8746" width="29.1796875" style="2782" customWidth="1"/>
    <col min="8747" max="8747" width="13.7265625" style="2782" customWidth="1"/>
    <col min="8748" max="8751" width="25.7265625" style="2782" customWidth="1"/>
    <col min="8752" max="8752" width="15.7265625" style="2782" customWidth="1"/>
    <col min="8753" max="8753" width="29.1796875" style="2782" customWidth="1"/>
    <col min="8754" max="8754" width="11.81640625" style="2782" customWidth="1"/>
    <col min="8755" max="8758" width="25.7265625" style="2782" customWidth="1"/>
    <col min="8759" max="8759" width="15.7265625" style="2782" customWidth="1"/>
    <col min="8760" max="8760" width="29.7265625" style="2782" customWidth="1"/>
    <col min="8761" max="8761" width="25.54296875" style="2782" customWidth="1"/>
    <col min="8762" max="8765" width="25.7265625" style="2782" customWidth="1"/>
    <col min="8766" max="8766" width="7.26953125" style="2782" customWidth="1"/>
    <col min="8767" max="8767" width="22.7265625" style="2782" customWidth="1"/>
    <col min="8768" max="8768" width="18.81640625" style="2782" customWidth="1"/>
    <col min="8769" max="8772" width="25.7265625" style="2782" customWidth="1"/>
    <col min="8773" max="8773" width="12.26953125" style="2782" customWidth="1"/>
    <col min="8774" max="8774" width="25.7265625" style="2782" customWidth="1"/>
    <col min="8775" max="8775" width="18.81640625" style="2782" customWidth="1"/>
    <col min="8776" max="8779" width="25.7265625" style="2782" customWidth="1"/>
    <col min="8780" max="8780" width="14.54296875" style="2782" customWidth="1"/>
    <col min="8781" max="8781" width="25.7265625" style="2782" customWidth="1"/>
    <col min="8782" max="8782" width="18.81640625" style="2782" customWidth="1"/>
    <col min="8783" max="8786" width="25.7265625" style="2782" customWidth="1"/>
    <col min="8787" max="8787" width="15.7265625" style="2782" customWidth="1"/>
    <col min="8788" max="8788" width="25.7265625" style="2782" customWidth="1"/>
    <col min="8789" max="8789" width="18.81640625" style="2782" customWidth="1"/>
    <col min="8790" max="8793" width="25.7265625" style="2782" customWidth="1"/>
    <col min="8794" max="8794" width="15.7265625" style="2782" customWidth="1"/>
    <col min="8795" max="8795" width="29.453125" style="2782" customWidth="1"/>
    <col min="8796" max="8796" width="18.81640625" style="2782" customWidth="1"/>
    <col min="8797" max="8797" width="25.7265625" style="2782" customWidth="1"/>
    <col min="8798" max="8798" width="29.7265625" style="2782" customWidth="1"/>
    <col min="8799" max="8800" width="25.7265625" style="2782" customWidth="1"/>
    <col min="8801" max="8801" width="13.7265625" style="2782" customWidth="1"/>
    <col min="8802" max="8802" width="29.1796875" style="2782" customWidth="1"/>
    <col min="8803" max="8803" width="23.7265625" style="2782" customWidth="1"/>
    <col min="8804" max="8807" width="24.81640625" style="2782" customWidth="1"/>
    <col min="8808" max="8808" width="14.7265625" style="2782" customWidth="1"/>
    <col min="8809" max="8809" width="30" style="2782" customWidth="1"/>
    <col min="8810" max="8810" width="22" style="2782" customWidth="1"/>
    <col min="8811" max="8811" width="19.26953125" style="2782" customWidth="1"/>
    <col min="8812" max="8812" width="14.1796875" style="2782" customWidth="1"/>
    <col min="8813" max="8959" width="9.1796875" style="2782"/>
    <col min="8960" max="8960" width="8.7265625" style="2782" customWidth="1"/>
    <col min="8961" max="8961" width="92.7265625" style="2782" customWidth="1"/>
    <col min="8962" max="8962" width="16.1796875" style="2782" customWidth="1"/>
    <col min="8963" max="8963" width="16.81640625" style="2782" customWidth="1"/>
    <col min="8964" max="8964" width="14.7265625" style="2782" customWidth="1"/>
    <col min="8965" max="8965" width="19.453125" style="2782" customWidth="1"/>
    <col min="8966" max="8966" width="15" style="2782" customWidth="1"/>
    <col min="8967" max="8967" width="12.7265625" style="2782" customWidth="1"/>
    <col min="8968" max="8969" width="12.1796875" style="2782" customWidth="1"/>
    <col min="8970" max="8970" width="15.81640625" style="2782" customWidth="1"/>
    <col min="8971" max="8971" width="22.1796875" style="2782" customWidth="1"/>
    <col min="8972" max="8972" width="11.453125" style="2782" customWidth="1"/>
    <col min="8973" max="8973" width="17.54296875" style="2782" customWidth="1"/>
    <col min="8974" max="8974" width="0.1796875" style="2782" customWidth="1"/>
    <col min="8975" max="8975" width="18.81640625" style="2782" customWidth="1"/>
    <col min="8976" max="8979" width="25.7265625" style="2782" customWidth="1"/>
    <col min="8980" max="8980" width="14.7265625" style="2782" customWidth="1"/>
    <col min="8981" max="8981" width="22" style="2782" customWidth="1"/>
    <col min="8982" max="8982" width="15.26953125" style="2782" customWidth="1"/>
    <col min="8983" max="8986" width="25.7265625" style="2782" customWidth="1"/>
    <col min="8987" max="8987" width="15.7265625" style="2782" customWidth="1"/>
    <col min="8988" max="8988" width="22.453125" style="2782" customWidth="1"/>
    <col min="8989" max="8989" width="14.7265625" style="2782" customWidth="1"/>
    <col min="8990" max="8993" width="25.7265625" style="2782" customWidth="1"/>
    <col min="8994" max="8994" width="15.7265625" style="2782" customWidth="1"/>
    <col min="8995" max="8995" width="21" style="2782" customWidth="1"/>
    <col min="8996" max="8996" width="16.7265625" style="2782" customWidth="1"/>
    <col min="8997" max="9000" width="25.7265625" style="2782" customWidth="1"/>
    <col min="9001" max="9001" width="15.7265625" style="2782" customWidth="1"/>
    <col min="9002" max="9002" width="29.1796875" style="2782" customWidth="1"/>
    <col min="9003" max="9003" width="13.7265625" style="2782" customWidth="1"/>
    <col min="9004" max="9007" width="25.7265625" style="2782" customWidth="1"/>
    <col min="9008" max="9008" width="15.7265625" style="2782" customWidth="1"/>
    <col min="9009" max="9009" width="29.1796875" style="2782" customWidth="1"/>
    <col min="9010" max="9010" width="11.81640625" style="2782" customWidth="1"/>
    <col min="9011" max="9014" width="25.7265625" style="2782" customWidth="1"/>
    <col min="9015" max="9015" width="15.7265625" style="2782" customWidth="1"/>
    <col min="9016" max="9016" width="29.7265625" style="2782" customWidth="1"/>
    <col min="9017" max="9017" width="25.54296875" style="2782" customWidth="1"/>
    <col min="9018" max="9021" width="25.7265625" style="2782" customWidth="1"/>
    <col min="9022" max="9022" width="7.26953125" style="2782" customWidth="1"/>
    <col min="9023" max="9023" width="22.7265625" style="2782" customWidth="1"/>
    <col min="9024" max="9024" width="18.81640625" style="2782" customWidth="1"/>
    <col min="9025" max="9028" width="25.7265625" style="2782" customWidth="1"/>
    <col min="9029" max="9029" width="12.26953125" style="2782" customWidth="1"/>
    <col min="9030" max="9030" width="25.7265625" style="2782" customWidth="1"/>
    <col min="9031" max="9031" width="18.81640625" style="2782" customWidth="1"/>
    <col min="9032" max="9035" width="25.7265625" style="2782" customWidth="1"/>
    <col min="9036" max="9036" width="14.54296875" style="2782" customWidth="1"/>
    <col min="9037" max="9037" width="25.7265625" style="2782" customWidth="1"/>
    <col min="9038" max="9038" width="18.81640625" style="2782" customWidth="1"/>
    <col min="9039" max="9042" width="25.7265625" style="2782" customWidth="1"/>
    <col min="9043" max="9043" width="15.7265625" style="2782" customWidth="1"/>
    <col min="9044" max="9044" width="25.7265625" style="2782" customWidth="1"/>
    <col min="9045" max="9045" width="18.81640625" style="2782" customWidth="1"/>
    <col min="9046" max="9049" width="25.7265625" style="2782" customWidth="1"/>
    <col min="9050" max="9050" width="15.7265625" style="2782" customWidth="1"/>
    <col min="9051" max="9051" width="29.453125" style="2782" customWidth="1"/>
    <col min="9052" max="9052" width="18.81640625" style="2782" customWidth="1"/>
    <col min="9053" max="9053" width="25.7265625" style="2782" customWidth="1"/>
    <col min="9054" max="9054" width="29.7265625" style="2782" customWidth="1"/>
    <col min="9055" max="9056" width="25.7265625" style="2782" customWidth="1"/>
    <col min="9057" max="9057" width="13.7265625" style="2782" customWidth="1"/>
    <col min="9058" max="9058" width="29.1796875" style="2782" customWidth="1"/>
    <col min="9059" max="9059" width="23.7265625" style="2782" customWidth="1"/>
    <col min="9060" max="9063" width="24.81640625" style="2782" customWidth="1"/>
    <col min="9064" max="9064" width="14.7265625" style="2782" customWidth="1"/>
    <col min="9065" max="9065" width="30" style="2782" customWidth="1"/>
    <col min="9066" max="9066" width="22" style="2782" customWidth="1"/>
    <col min="9067" max="9067" width="19.26953125" style="2782" customWidth="1"/>
    <col min="9068" max="9068" width="14.1796875" style="2782" customWidth="1"/>
    <col min="9069" max="9215" width="9.1796875" style="2782"/>
    <col min="9216" max="9216" width="8.7265625" style="2782" customWidth="1"/>
    <col min="9217" max="9217" width="92.7265625" style="2782" customWidth="1"/>
    <col min="9218" max="9218" width="16.1796875" style="2782" customWidth="1"/>
    <col min="9219" max="9219" width="16.81640625" style="2782" customWidth="1"/>
    <col min="9220" max="9220" width="14.7265625" style="2782" customWidth="1"/>
    <col min="9221" max="9221" width="19.453125" style="2782" customWidth="1"/>
    <col min="9222" max="9222" width="15" style="2782" customWidth="1"/>
    <col min="9223" max="9223" width="12.7265625" style="2782" customWidth="1"/>
    <col min="9224" max="9225" width="12.1796875" style="2782" customWidth="1"/>
    <col min="9226" max="9226" width="15.81640625" style="2782" customWidth="1"/>
    <col min="9227" max="9227" width="22.1796875" style="2782" customWidth="1"/>
    <col min="9228" max="9228" width="11.453125" style="2782" customWidth="1"/>
    <col min="9229" max="9229" width="17.54296875" style="2782" customWidth="1"/>
    <col min="9230" max="9230" width="0.1796875" style="2782" customWidth="1"/>
    <col min="9231" max="9231" width="18.81640625" style="2782" customWidth="1"/>
    <col min="9232" max="9235" width="25.7265625" style="2782" customWidth="1"/>
    <col min="9236" max="9236" width="14.7265625" style="2782" customWidth="1"/>
    <col min="9237" max="9237" width="22" style="2782" customWidth="1"/>
    <col min="9238" max="9238" width="15.26953125" style="2782" customWidth="1"/>
    <col min="9239" max="9242" width="25.7265625" style="2782" customWidth="1"/>
    <col min="9243" max="9243" width="15.7265625" style="2782" customWidth="1"/>
    <col min="9244" max="9244" width="22.453125" style="2782" customWidth="1"/>
    <col min="9245" max="9245" width="14.7265625" style="2782" customWidth="1"/>
    <col min="9246" max="9249" width="25.7265625" style="2782" customWidth="1"/>
    <col min="9250" max="9250" width="15.7265625" style="2782" customWidth="1"/>
    <col min="9251" max="9251" width="21" style="2782" customWidth="1"/>
    <col min="9252" max="9252" width="16.7265625" style="2782" customWidth="1"/>
    <col min="9253" max="9256" width="25.7265625" style="2782" customWidth="1"/>
    <col min="9257" max="9257" width="15.7265625" style="2782" customWidth="1"/>
    <col min="9258" max="9258" width="29.1796875" style="2782" customWidth="1"/>
    <col min="9259" max="9259" width="13.7265625" style="2782" customWidth="1"/>
    <col min="9260" max="9263" width="25.7265625" style="2782" customWidth="1"/>
    <col min="9264" max="9264" width="15.7265625" style="2782" customWidth="1"/>
    <col min="9265" max="9265" width="29.1796875" style="2782" customWidth="1"/>
    <col min="9266" max="9266" width="11.81640625" style="2782" customWidth="1"/>
    <col min="9267" max="9270" width="25.7265625" style="2782" customWidth="1"/>
    <col min="9271" max="9271" width="15.7265625" style="2782" customWidth="1"/>
    <col min="9272" max="9272" width="29.7265625" style="2782" customWidth="1"/>
    <col min="9273" max="9273" width="25.54296875" style="2782" customWidth="1"/>
    <col min="9274" max="9277" width="25.7265625" style="2782" customWidth="1"/>
    <col min="9278" max="9278" width="7.26953125" style="2782" customWidth="1"/>
    <col min="9279" max="9279" width="22.7265625" style="2782" customWidth="1"/>
    <col min="9280" max="9280" width="18.81640625" style="2782" customWidth="1"/>
    <col min="9281" max="9284" width="25.7265625" style="2782" customWidth="1"/>
    <col min="9285" max="9285" width="12.26953125" style="2782" customWidth="1"/>
    <col min="9286" max="9286" width="25.7265625" style="2782" customWidth="1"/>
    <col min="9287" max="9287" width="18.81640625" style="2782" customWidth="1"/>
    <col min="9288" max="9291" width="25.7265625" style="2782" customWidth="1"/>
    <col min="9292" max="9292" width="14.54296875" style="2782" customWidth="1"/>
    <col min="9293" max="9293" width="25.7265625" style="2782" customWidth="1"/>
    <col min="9294" max="9294" width="18.81640625" style="2782" customWidth="1"/>
    <col min="9295" max="9298" width="25.7265625" style="2782" customWidth="1"/>
    <col min="9299" max="9299" width="15.7265625" style="2782" customWidth="1"/>
    <col min="9300" max="9300" width="25.7265625" style="2782" customWidth="1"/>
    <col min="9301" max="9301" width="18.81640625" style="2782" customWidth="1"/>
    <col min="9302" max="9305" width="25.7265625" style="2782" customWidth="1"/>
    <col min="9306" max="9306" width="15.7265625" style="2782" customWidth="1"/>
    <col min="9307" max="9307" width="29.453125" style="2782" customWidth="1"/>
    <col min="9308" max="9308" width="18.81640625" style="2782" customWidth="1"/>
    <col min="9309" max="9309" width="25.7265625" style="2782" customWidth="1"/>
    <col min="9310" max="9310" width="29.7265625" style="2782" customWidth="1"/>
    <col min="9311" max="9312" width="25.7265625" style="2782" customWidth="1"/>
    <col min="9313" max="9313" width="13.7265625" style="2782" customWidth="1"/>
    <col min="9314" max="9314" width="29.1796875" style="2782" customWidth="1"/>
    <col min="9315" max="9315" width="23.7265625" style="2782" customWidth="1"/>
    <col min="9316" max="9319" width="24.81640625" style="2782" customWidth="1"/>
    <col min="9320" max="9320" width="14.7265625" style="2782" customWidth="1"/>
    <col min="9321" max="9321" width="30" style="2782" customWidth="1"/>
    <col min="9322" max="9322" width="22" style="2782" customWidth="1"/>
    <col min="9323" max="9323" width="19.26953125" style="2782" customWidth="1"/>
    <col min="9324" max="9324" width="14.1796875" style="2782" customWidth="1"/>
    <col min="9325" max="9471" width="9.1796875" style="2782"/>
    <col min="9472" max="9472" width="8.7265625" style="2782" customWidth="1"/>
    <col min="9473" max="9473" width="92.7265625" style="2782" customWidth="1"/>
    <col min="9474" max="9474" width="16.1796875" style="2782" customWidth="1"/>
    <col min="9475" max="9475" width="16.81640625" style="2782" customWidth="1"/>
    <col min="9476" max="9476" width="14.7265625" style="2782" customWidth="1"/>
    <col min="9477" max="9477" width="19.453125" style="2782" customWidth="1"/>
    <col min="9478" max="9478" width="15" style="2782" customWidth="1"/>
    <col min="9479" max="9479" width="12.7265625" style="2782" customWidth="1"/>
    <col min="9480" max="9481" width="12.1796875" style="2782" customWidth="1"/>
    <col min="9482" max="9482" width="15.81640625" style="2782" customWidth="1"/>
    <col min="9483" max="9483" width="22.1796875" style="2782" customWidth="1"/>
    <col min="9484" max="9484" width="11.453125" style="2782" customWidth="1"/>
    <col min="9485" max="9485" width="17.54296875" style="2782" customWidth="1"/>
    <col min="9486" max="9486" width="0.1796875" style="2782" customWidth="1"/>
    <col min="9487" max="9487" width="18.81640625" style="2782" customWidth="1"/>
    <col min="9488" max="9491" width="25.7265625" style="2782" customWidth="1"/>
    <col min="9492" max="9492" width="14.7265625" style="2782" customWidth="1"/>
    <col min="9493" max="9493" width="22" style="2782" customWidth="1"/>
    <col min="9494" max="9494" width="15.26953125" style="2782" customWidth="1"/>
    <col min="9495" max="9498" width="25.7265625" style="2782" customWidth="1"/>
    <col min="9499" max="9499" width="15.7265625" style="2782" customWidth="1"/>
    <col min="9500" max="9500" width="22.453125" style="2782" customWidth="1"/>
    <col min="9501" max="9501" width="14.7265625" style="2782" customWidth="1"/>
    <col min="9502" max="9505" width="25.7265625" style="2782" customWidth="1"/>
    <col min="9506" max="9506" width="15.7265625" style="2782" customWidth="1"/>
    <col min="9507" max="9507" width="21" style="2782" customWidth="1"/>
    <col min="9508" max="9508" width="16.7265625" style="2782" customWidth="1"/>
    <col min="9509" max="9512" width="25.7265625" style="2782" customWidth="1"/>
    <col min="9513" max="9513" width="15.7265625" style="2782" customWidth="1"/>
    <col min="9514" max="9514" width="29.1796875" style="2782" customWidth="1"/>
    <col min="9515" max="9515" width="13.7265625" style="2782" customWidth="1"/>
    <col min="9516" max="9519" width="25.7265625" style="2782" customWidth="1"/>
    <col min="9520" max="9520" width="15.7265625" style="2782" customWidth="1"/>
    <col min="9521" max="9521" width="29.1796875" style="2782" customWidth="1"/>
    <col min="9522" max="9522" width="11.81640625" style="2782" customWidth="1"/>
    <col min="9523" max="9526" width="25.7265625" style="2782" customWidth="1"/>
    <col min="9527" max="9527" width="15.7265625" style="2782" customWidth="1"/>
    <col min="9528" max="9528" width="29.7265625" style="2782" customWidth="1"/>
    <col min="9529" max="9529" width="25.54296875" style="2782" customWidth="1"/>
    <col min="9530" max="9533" width="25.7265625" style="2782" customWidth="1"/>
    <col min="9534" max="9534" width="7.26953125" style="2782" customWidth="1"/>
    <col min="9535" max="9535" width="22.7265625" style="2782" customWidth="1"/>
    <col min="9536" max="9536" width="18.81640625" style="2782" customWidth="1"/>
    <col min="9537" max="9540" width="25.7265625" style="2782" customWidth="1"/>
    <col min="9541" max="9541" width="12.26953125" style="2782" customWidth="1"/>
    <col min="9542" max="9542" width="25.7265625" style="2782" customWidth="1"/>
    <col min="9543" max="9543" width="18.81640625" style="2782" customWidth="1"/>
    <col min="9544" max="9547" width="25.7265625" style="2782" customWidth="1"/>
    <col min="9548" max="9548" width="14.54296875" style="2782" customWidth="1"/>
    <col min="9549" max="9549" width="25.7265625" style="2782" customWidth="1"/>
    <col min="9550" max="9550" width="18.81640625" style="2782" customWidth="1"/>
    <col min="9551" max="9554" width="25.7265625" style="2782" customWidth="1"/>
    <col min="9555" max="9555" width="15.7265625" style="2782" customWidth="1"/>
    <col min="9556" max="9556" width="25.7265625" style="2782" customWidth="1"/>
    <col min="9557" max="9557" width="18.81640625" style="2782" customWidth="1"/>
    <col min="9558" max="9561" width="25.7265625" style="2782" customWidth="1"/>
    <col min="9562" max="9562" width="15.7265625" style="2782" customWidth="1"/>
    <col min="9563" max="9563" width="29.453125" style="2782" customWidth="1"/>
    <col min="9564" max="9564" width="18.81640625" style="2782" customWidth="1"/>
    <col min="9565" max="9565" width="25.7265625" style="2782" customWidth="1"/>
    <col min="9566" max="9566" width="29.7265625" style="2782" customWidth="1"/>
    <col min="9567" max="9568" width="25.7265625" style="2782" customWidth="1"/>
    <col min="9569" max="9569" width="13.7265625" style="2782" customWidth="1"/>
    <col min="9570" max="9570" width="29.1796875" style="2782" customWidth="1"/>
    <col min="9571" max="9571" width="23.7265625" style="2782" customWidth="1"/>
    <col min="9572" max="9575" width="24.81640625" style="2782" customWidth="1"/>
    <col min="9576" max="9576" width="14.7265625" style="2782" customWidth="1"/>
    <col min="9577" max="9577" width="30" style="2782" customWidth="1"/>
    <col min="9578" max="9578" width="22" style="2782" customWidth="1"/>
    <col min="9579" max="9579" width="19.26953125" style="2782" customWidth="1"/>
    <col min="9580" max="9580" width="14.1796875" style="2782" customWidth="1"/>
    <col min="9581" max="9727" width="9.1796875" style="2782"/>
    <col min="9728" max="9728" width="8.7265625" style="2782" customWidth="1"/>
    <col min="9729" max="9729" width="92.7265625" style="2782" customWidth="1"/>
    <col min="9730" max="9730" width="16.1796875" style="2782" customWidth="1"/>
    <col min="9731" max="9731" width="16.81640625" style="2782" customWidth="1"/>
    <col min="9732" max="9732" width="14.7265625" style="2782" customWidth="1"/>
    <col min="9733" max="9733" width="19.453125" style="2782" customWidth="1"/>
    <col min="9734" max="9734" width="15" style="2782" customWidth="1"/>
    <col min="9735" max="9735" width="12.7265625" style="2782" customWidth="1"/>
    <col min="9736" max="9737" width="12.1796875" style="2782" customWidth="1"/>
    <col min="9738" max="9738" width="15.81640625" style="2782" customWidth="1"/>
    <col min="9739" max="9739" width="22.1796875" style="2782" customWidth="1"/>
    <col min="9740" max="9740" width="11.453125" style="2782" customWidth="1"/>
    <col min="9741" max="9741" width="17.54296875" style="2782" customWidth="1"/>
    <col min="9742" max="9742" width="0.1796875" style="2782" customWidth="1"/>
    <col min="9743" max="9743" width="18.81640625" style="2782" customWidth="1"/>
    <col min="9744" max="9747" width="25.7265625" style="2782" customWidth="1"/>
    <col min="9748" max="9748" width="14.7265625" style="2782" customWidth="1"/>
    <col min="9749" max="9749" width="22" style="2782" customWidth="1"/>
    <col min="9750" max="9750" width="15.26953125" style="2782" customWidth="1"/>
    <col min="9751" max="9754" width="25.7265625" style="2782" customWidth="1"/>
    <col min="9755" max="9755" width="15.7265625" style="2782" customWidth="1"/>
    <col min="9756" max="9756" width="22.453125" style="2782" customWidth="1"/>
    <col min="9757" max="9757" width="14.7265625" style="2782" customWidth="1"/>
    <col min="9758" max="9761" width="25.7265625" style="2782" customWidth="1"/>
    <col min="9762" max="9762" width="15.7265625" style="2782" customWidth="1"/>
    <col min="9763" max="9763" width="21" style="2782" customWidth="1"/>
    <col min="9764" max="9764" width="16.7265625" style="2782" customWidth="1"/>
    <col min="9765" max="9768" width="25.7265625" style="2782" customWidth="1"/>
    <col min="9769" max="9769" width="15.7265625" style="2782" customWidth="1"/>
    <col min="9770" max="9770" width="29.1796875" style="2782" customWidth="1"/>
    <col min="9771" max="9771" width="13.7265625" style="2782" customWidth="1"/>
    <col min="9772" max="9775" width="25.7265625" style="2782" customWidth="1"/>
    <col min="9776" max="9776" width="15.7265625" style="2782" customWidth="1"/>
    <col min="9777" max="9777" width="29.1796875" style="2782" customWidth="1"/>
    <col min="9778" max="9778" width="11.81640625" style="2782" customWidth="1"/>
    <col min="9779" max="9782" width="25.7265625" style="2782" customWidth="1"/>
    <col min="9783" max="9783" width="15.7265625" style="2782" customWidth="1"/>
    <col min="9784" max="9784" width="29.7265625" style="2782" customWidth="1"/>
    <col min="9785" max="9785" width="25.54296875" style="2782" customWidth="1"/>
    <col min="9786" max="9789" width="25.7265625" style="2782" customWidth="1"/>
    <col min="9790" max="9790" width="7.26953125" style="2782" customWidth="1"/>
    <col min="9791" max="9791" width="22.7265625" style="2782" customWidth="1"/>
    <col min="9792" max="9792" width="18.81640625" style="2782" customWidth="1"/>
    <col min="9793" max="9796" width="25.7265625" style="2782" customWidth="1"/>
    <col min="9797" max="9797" width="12.26953125" style="2782" customWidth="1"/>
    <col min="9798" max="9798" width="25.7265625" style="2782" customWidth="1"/>
    <col min="9799" max="9799" width="18.81640625" style="2782" customWidth="1"/>
    <col min="9800" max="9803" width="25.7265625" style="2782" customWidth="1"/>
    <col min="9804" max="9804" width="14.54296875" style="2782" customWidth="1"/>
    <col min="9805" max="9805" width="25.7265625" style="2782" customWidth="1"/>
    <col min="9806" max="9806" width="18.81640625" style="2782" customWidth="1"/>
    <col min="9807" max="9810" width="25.7265625" style="2782" customWidth="1"/>
    <col min="9811" max="9811" width="15.7265625" style="2782" customWidth="1"/>
    <col min="9812" max="9812" width="25.7265625" style="2782" customWidth="1"/>
    <col min="9813" max="9813" width="18.81640625" style="2782" customWidth="1"/>
    <col min="9814" max="9817" width="25.7265625" style="2782" customWidth="1"/>
    <col min="9818" max="9818" width="15.7265625" style="2782" customWidth="1"/>
    <col min="9819" max="9819" width="29.453125" style="2782" customWidth="1"/>
    <col min="9820" max="9820" width="18.81640625" style="2782" customWidth="1"/>
    <col min="9821" max="9821" width="25.7265625" style="2782" customWidth="1"/>
    <col min="9822" max="9822" width="29.7265625" style="2782" customWidth="1"/>
    <col min="9823" max="9824" width="25.7265625" style="2782" customWidth="1"/>
    <col min="9825" max="9825" width="13.7265625" style="2782" customWidth="1"/>
    <col min="9826" max="9826" width="29.1796875" style="2782" customWidth="1"/>
    <col min="9827" max="9827" width="23.7265625" style="2782" customWidth="1"/>
    <col min="9828" max="9831" width="24.81640625" style="2782" customWidth="1"/>
    <col min="9832" max="9832" width="14.7265625" style="2782" customWidth="1"/>
    <col min="9833" max="9833" width="30" style="2782" customWidth="1"/>
    <col min="9834" max="9834" width="22" style="2782" customWidth="1"/>
    <col min="9835" max="9835" width="19.26953125" style="2782" customWidth="1"/>
    <col min="9836" max="9836" width="14.1796875" style="2782" customWidth="1"/>
    <col min="9837" max="9983" width="9.1796875" style="2782"/>
    <col min="9984" max="9984" width="8.7265625" style="2782" customWidth="1"/>
    <col min="9985" max="9985" width="92.7265625" style="2782" customWidth="1"/>
    <col min="9986" max="9986" width="16.1796875" style="2782" customWidth="1"/>
    <col min="9987" max="9987" width="16.81640625" style="2782" customWidth="1"/>
    <col min="9988" max="9988" width="14.7265625" style="2782" customWidth="1"/>
    <col min="9989" max="9989" width="19.453125" style="2782" customWidth="1"/>
    <col min="9990" max="9990" width="15" style="2782" customWidth="1"/>
    <col min="9991" max="9991" width="12.7265625" style="2782" customWidth="1"/>
    <col min="9992" max="9993" width="12.1796875" style="2782" customWidth="1"/>
    <col min="9994" max="9994" width="15.81640625" style="2782" customWidth="1"/>
    <col min="9995" max="9995" width="22.1796875" style="2782" customWidth="1"/>
    <col min="9996" max="9996" width="11.453125" style="2782" customWidth="1"/>
    <col min="9997" max="9997" width="17.54296875" style="2782" customWidth="1"/>
    <col min="9998" max="9998" width="0.1796875" style="2782" customWidth="1"/>
    <col min="9999" max="9999" width="18.81640625" style="2782" customWidth="1"/>
    <col min="10000" max="10003" width="25.7265625" style="2782" customWidth="1"/>
    <col min="10004" max="10004" width="14.7265625" style="2782" customWidth="1"/>
    <col min="10005" max="10005" width="22" style="2782" customWidth="1"/>
    <col min="10006" max="10006" width="15.26953125" style="2782" customWidth="1"/>
    <col min="10007" max="10010" width="25.7265625" style="2782" customWidth="1"/>
    <col min="10011" max="10011" width="15.7265625" style="2782" customWidth="1"/>
    <col min="10012" max="10012" width="22.453125" style="2782" customWidth="1"/>
    <col min="10013" max="10013" width="14.7265625" style="2782" customWidth="1"/>
    <col min="10014" max="10017" width="25.7265625" style="2782" customWidth="1"/>
    <col min="10018" max="10018" width="15.7265625" style="2782" customWidth="1"/>
    <col min="10019" max="10019" width="21" style="2782" customWidth="1"/>
    <col min="10020" max="10020" width="16.7265625" style="2782" customWidth="1"/>
    <col min="10021" max="10024" width="25.7265625" style="2782" customWidth="1"/>
    <col min="10025" max="10025" width="15.7265625" style="2782" customWidth="1"/>
    <col min="10026" max="10026" width="29.1796875" style="2782" customWidth="1"/>
    <col min="10027" max="10027" width="13.7265625" style="2782" customWidth="1"/>
    <col min="10028" max="10031" width="25.7265625" style="2782" customWidth="1"/>
    <col min="10032" max="10032" width="15.7265625" style="2782" customWidth="1"/>
    <col min="10033" max="10033" width="29.1796875" style="2782" customWidth="1"/>
    <col min="10034" max="10034" width="11.81640625" style="2782" customWidth="1"/>
    <col min="10035" max="10038" width="25.7265625" style="2782" customWidth="1"/>
    <col min="10039" max="10039" width="15.7265625" style="2782" customWidth="1"/>
    <col min="10040" max="10040" width="29.7265625" style="2782" customWidth="1"/>
    <col min="10041" max="10041" width="25.54296875" style="2782" customWidth="1"/>
    <col min="10042" max="10045" width="25.7265625" style="2782" customWidth="1"/>
    <col min="10046" max="10046" width="7.26953125" style="2782" customWidth="1"/>
    <col min="10047" max="10047" width="22.7265625" style="2782" customWidth="1"/>
    <col min="10048" max="10048" width="18.81640625" style="2782" customWidth="1"/>
    <col min="10049" max="10052" width="25.7265625" style="2782" customWidth="1"/>
    <col min="10053" max="10053" width="12.26953125" style="2782" customWidth="1"/>
    <col min="10054" max="10054" width="25.7265625" style="2782" customWidth="1"/>
    <col min="10055" max="10055" width="18.81640625" style="2782" customWidth="1"/>
    <col min="10056" max="10059" width="25.7265625" style="2782" customWidth="1"/>
    <col min="10060" max="10060" width="14.54296875" style="2782" customWidth="1"/>
    <col min="10061" max="10061" width="25.7265625" style="2782" customWidth="1"/>
    <col min="10062" max="10062" width="18.81640625" style="2782" customWidth="1"/>
    <col min="10063" max="10066" width="25.7265625" style="2782" customWidth="1"/>
    <col min="10067" max="10067" width="15.7265625" style="2782" customWidth="1"/>
    <col min="10068" max="10068" width="25.7265625" style="2782" customWidth="1"/>
    <col min="10069" max="10069" width="18.81640625" style="2782" customWidth="1"/>
    <col min="10070" max="10073" width="25.7265625" style="2782" customWidth="1"/>
    <col min="10074" max="10074" width="15.7265625" style="2782" customWidth="1"/>
    <col min="10075" max="10075" width="29.453125" style="2782" customWidth="1"/>
    <col min="10076" max="10076" width="18.81640625" style="2782" customWidth="1"/>
    <col min="10077" max="10077" width="25.7265625" style="2782" customWidth="1"/>
    <col min="10078" max="10078" width="29.7265625" style="2782" customWidth="1"/>
    <col min="10079" max="10080" width="25.7265625" style="2782" customWidth="1"/>
    <col min="10081" max="10081" width="13.7265625" style="2782" customWidth="1"/>
    <col min="10082" max="10082" width="29.1796875" style="2782" customWidth="1"/>
    <col min="10083" max="10083" width="23.7265625" style="2782" customWidth="1"/>
    <col min="10084" max="10087" width="24.81640625" style="2782" customWidth="1"/>
    <col min="10088" max="10088" width="14.7265625" style="2782" customWidth="1"/>
    <col min="10089" max="10089" width="30" style="2782" customWidth="1"/>
    <col min="10090" max="10090" width="22" style="2782" customWidth="1"/>
    <col min="10091" max="10091" width="19.26953125" style="2782" customWidth="1"/>
    <col min="10092" max="10092" width="14.1796875" style="2782" customWidth="1"/>
    <col min="10093" max="10239" width="9.1796875" style="2782"/>
    <col min="10240" max="10240" width="8.7265625" style="2782" customWidth="1"/>
    <col min="10241" max="10241" width="92.7265625" style="2782" customWidth="1"/>
    <col min="10242" max="10242" width="16.1796875" style="2782" customWidth="1"/>
    <col min="10243" max="10243" width="16.81640625" style="2782" customWidth="1"/>
    <col min="10244" max="10244" width="14.7265625" style="2782" customWidth="1"/>
    <col min="10245" max="10245" width="19.453125" style="2782" customWidth="1"/>
    <col min="10246" max="10246" width="15" style="2782" customWidth="1"/>
    <col min="10247" max="10247" width="12.7265625" style="2782" customWidth="1"/>
    <col min="10248" max="10249" width="12.1796875" style="2782" customWidth="1"/>
    <col min="10250" max="10250" width="15.81640625" style="2782" customWidth="1"/>
    <col min="10251" max="10251" width="22.1796875" style="2782" customWidth="1"/>
    <col min="10252" max="10252" width="11.453125" style="2782" customWidth="1"/>
    <col min="10253" max="10253" width="17.54296875" style="2782" customWidth="1"/>
    <col min="10254" max="10254" width="0.1796875" style="2782" customWidth="1"/>
    <col min="10255" max="10255" width="18.81640625" style="2782" customWidth="1"/>
    <col min="10256" max="10259" width="25.7265625" style="2782" customWidth="1"/>
    <col min="10260" max="10260" width="14.7265625" style="2782" customWidth="1"/>
    <col min="10261" max="10261" width="22" style="2782" customWidth="1"/>
    <col min="10262" max="10262" width="15.26953125" style="2782" customWidth="1"/>
    <col min="10263" max="10266" width="25.7265625" style="2782" customWidth="1"/>
    <col min="10267" max="10267" width="15.7265625" style="2782" customWidth="1"/>
    <col min="10268" max="10268" width="22.453125" style="2782" customWidth="1"/>
    <col min="10269" max="10269" width="14.7265625" style="2782" customWidth="1"/>
    <col min="10270" max="10273" width="25.7265625" style="2782" customWidth="1"/>
    <col min="10274" max="10274" width="15.7265625" style="2782" customWidth="1"/>
    <col min="10275" max="10275" width="21" style="2782" customWidth="1"/>
    <col min="10276" max="10276" width="16.7265625" style="2782" customWidth="1"/>
    <col min="10277" max="10280" width="25.7265625" style="2782" customWidth="1"/>
    <col min="10281" max="10281" width="15.7265625" style="2782" customWidth="1"/>
    <col min="10282" max="10282" width="29.1796875" style="2782" customWidth="1"/>
    <col min="10283" max="10283" width="13.7265625" style="2782" customWidth="1"/>
    <col min="10284" max="10287" width="25.7265625" style="2782" customWidth="1"/>
    <col min="10288" max="10288" width="15.7265625" style="2782" customWidth="1"/>
    <col min="10289" max="10289" width="29.1796875" style="2782" customWidth="1"/>
    <col min="10290" max="10290" width="11.81640625" style="2782" customWidth="1"/>
    <col min="10291" max="10294" width="25.7265625" style="2782" customWidth="1"/>
    <col min="10295" max="10295" width="15.7265625" style="2782" customWidth="1"/>
    <col min="10296" max="10296" width="29.7265625" style="2782" customWidth="1"/>
    <col min="10297" max="10297" width="25.54296875" style="2782" customWidth="1"/>
    <col min="10298" max="10301" width="25.7265625" style="2782" customWidth="1"/>
    <col min="10302" max="10302" width="7.26953125" style="2782" customWidth="1"/>
    <col min="10303" max="10303" width="22.7265625" style="2782" customWidth="1"/>
    <col min="10304" max="10304" width="18.81640625" style="2782" customWidth="1"/>
    <col min="10305" max="10308" width="25.7265625" style="2782" customWidth="1"/>
    <col min="10309" max="10309" width="12.26953125" style="2782" customWidth="1"/>
    <col min="10310" max="10310" width="25.7265625" style="2782" customWidth="1"/>
    <col min="10311" max="10311" width="18.81640625" style="2782" customWidth="1"/>
    <col min="10312" max="10315" width="25.7265625" style="2782" customWidth="1"/>
    <col min="10316" max="10316" width="14.54296875" style="2782" customWidth="1"/>
    <col min="10317" max="10317" width="25.7265625" style="2782" customWidth="1"/>
    <col min="10318" max="10318" width="18.81640625" style="2782" customWidth="1"/>
    <col min="10319" max="10322" width="25.7265625" style="2782" customWidth="1"/>
    <col min="10323" max="10323" width="15.7265625" style="2782" customWidth="1"/>
    <col min="10324" max="10324" width="25.7265625" style="2782" customWidth="1"/>
    <col min="10325" max="10325" width="18.81640625" style="2782" customWidth="1"/>
    <col min="10326" max="10329" width="25.7265625" style="2782" customWidth="1"/>
    <col min="10330" max="10330" width="15.7265625" style="2782" customWidth="1"/>
    <col min="10331" max="10331" width="29.453125" style="2782" customWidth="1"/>
    <col min="10332" max="10332" width="18.81640625" style="2782" customWidth="1"/>
    <col min="10333" max="10333" width="25.7265625" style="2782" customWidth="1"/>
    <col min="10334" max="10334" width="29.7265625" style="2782" customWidth="1"/>
    <col min="10335" max="10336" width="25.7265625" style="2782" customWidth="1"/>
    <col min="10337" max="10337" width="13.7265625" style="2782" customWidth="1"/>
    <col min="10338" max="10338" width="29.1796875" style="2782" customWidth="1"/>
    <col min="10339" max="10339" width="23.7265625" style="2782" customWidth="1"/>
    <col min="10340" max="10343" width="24.81640625" style="2782" customWidth="1"/>
    <col min="10344" max="10344" width="14.7265625" style="2782" customWidth="1"/>
    <col min="10345" max="10345" width="30" style="2782" customWidth="1"/>
    <col min="10346" max="10346" width="22" style="2782" customWidth="1"/>
    <col min="10347" max="10347" width="19.26953125" style="2782" customWidth="1"/>
    <col min="10348" max="10348" width="14.1796875" style="2782" customWidth="1"/>
    <col min="10349" max="10495" width="9.1796875" style="2782"/>
    <col min="10496" max="10496" width="8.7265625" style="2782" customWidth="1"/>
    <col min="10497" max="10497" width="92.7265625" style="2782" customWidth="1"/>
    <col min="10498" max="10498" width="16.1796875" style="2782" customWidth="1"/>
    <col min="10499" max="10499" width="16.81640625" style="2782" customWidth="1"/>
    <col min="10500" max="10500" width="14.7265625" style="2782" customWidth="1"/>
    <col min="10501" max="10501" width="19.453125" style="2782" customWidth="1"/>
    <col min="10502" max="10502" width="15" style="2782" customWidth="1"/>
    <col min="10503" max="10503" width="12.7265625" style="2782" customWidth="1"/>
    <col min="10504" max="10505" width="12.1796875" style="2782" customWidth="1"/>
    <col min="10506" max="10506" width="15.81640625" style="2782" customWidth="1"/>
    <col min="10507" max="10507" width="22.1796875" style="2782" customWidth="1"/>
    <col min="10508" max="10508" width="11.453125" style="2782" customWidth="1"/>
    <col min="10509" max="10509" width="17.54296875" style="2782" customWidth="1"/>
    <col min="10510" max="10510" width="0.1796875" style="2782" customWidth="1"/>
    <col min="10511" max="10511" width="18.81640625" style="2782" customWidth="1"/>
    <col min="10512" max="10515" width="25.7265625" style="2782" customWidth="1"/>
    <col min="10516" max="10516" width="14.7265625" style="2782" customWidth="1"/>
    <col min="10517" max="10517" width="22" style="2782" customWidth="1"/>
    <col min="10518" max="10518" width="15.26953125" style="2782" customWidth="1"/>
    <col min="10519" max="10522" width="25.7265625" style="2782" customWidth="1"/>
    <col min="10523" max="10523" width="15.7265625" style="2782" customWidth="1"/>
    <col min="10524" max="10524" width="22.453125" style="2782" customWidth="1"/>
    <col min="10525" max="10525" width="14.7265625" style="2782" customWidth="1"/>
    <col min="10526" max="10529" width="25.7265625" style="2782" customWidth="1"/>
    <col min="10530" max="10530" width="15.7265625" style="2782" customWidth="1"/>
    <col min="10531" max="10531" width="21" style="2782" customWidth="1"/>
    <col min="10532" max="10532" width="16.7265625" style="2782" customWidth="1"/>
    <col min="10533" max="10536" width="25.7265625" style="2782" customWidth="1"/>
    <col min="10537" max="10537" width="15.7265625" style="2782" customWidth="1"/>
    <col min="10538" max="10538" width="29.1796875" style="2782" customWidth="1"/>
    <col min="10539" max="10539" width="13.7265625" style="2782" customWidth="1"/>
    <col min="10540" max="10543" width="25.7265625" style="2782" customWidth="1"/>
    <col min="10544" max="10544" width="15.7265625" style="2782" customWidth="1"/>
    <col min="10545" max="10545" width="29.1796875" style="2782" customWidth="1"/>
    <col min="10546" max="10546" width="11.81640625" style="2782" customWidth="1"/>
    <col min="10547" max="10550" width="25.7265625" style="2782" customWidth="1"/>
    <col min="10551" max="10551" width="15.7265625" style="2782" customWidth="1"/>
    <col min="10552" max="10552" width="29.7265625" style="2782" customWidth="1"/>
    <col min="10553" max="10553" width="25.54296875" style="2782" customWidth="1"/>
    <col min="10554" max="10557" width="25.7265625" style="2782" customWidth="1"/>
    <col min="10558" max="10558" width="7.26953125" style="2782" customWidth="1"/>
    <col min="10559" max="10559" width="22.7265625" style="2782" customWidth="1"/>
    <col min="10560" max="10560" width="18.81640625" style="2782" customWidth="1"/>
    <col min="10561" max="10564" width="25.7265625" style="2782" customWidth="1"/>
    <col min="10565" max="10565" width="12.26953125" style="2782" customWidth="1"/>
    <col min="10566" max="10566" width="25.7265625" style="2782" customWidth="1"/>
    <col min="10567" max="10567" width="18.81640625" style="2782" customWidth="1"/>
    <col min="10568" max="10571" width="25.7265625" style="2782" customWidth="1"/>
    <col min="10572" max="10572" width="14.54296875" style="2782" customWidth="1"/>
    <col min="10573" max="10573" width="25.7265625" style="2782" customWidth="1"/>
    <col min="10574" max="10574" width="18.81640625" style="2782" customWidth="1"/>
    <col min="10575" max="10578" width="25.7265625" style="2782" customWidth="1"/>
    <col min="10579" max="10579" width="15.7265625" style="2782" customWidth="1"/>
    <col min="10580" max="10580" width="25.7265625" style="2782" customWidth="1"/>
    <col min="10581" max="10581" width="18.81640625" style="2782" customWidth="1"/>
    <col min="10582" max="10585" width="25.7265625" style="2782" customWidth="1"/>
    <col min="10586" max="10586" width="15.7265625" style="2782" customWidth="1"/>
    <col min="10587" max="10587" width="29.453125" style="2782" customWidth="1"/>
    <col min="10588" max="10588" width="18.81640625" style="2782" customWidth="1"/>
    <col min="10589" max="10589" width="25.7265625" style="2782" customWidth="1"/>
    <col min="10590" max="10590" width="29.7265625" style="2782" customWidth="1"/>
    <col min="10591" max="10592" width="25.7265625" style="2782" customWidth="1"/>
    <col min="10593" max="10593" width="13.7265625" style="2782" customWidth="1"/>
    <col min="10594" max="10594" width="29.1796875" style="2782" customWidth="1"/>
    <col min="10595" max="10595" width="23.7265625" style="2782" customWidth="1"/>
    <col min="10596" max="10599" width="24.81640625" style="2782" customWidth="1"/>
    <col min="10600" max="10600" width="14.7265625" style="2782" customWidth="1"/>
    <col min="10601" max="10601" width="30" style="2782" customWidth="1"/>
    <col min="10602" max="10602" width="22" style="2782" customWidth="1"/>
    <col min="10603" max="10603" width="19.26953125" style="2782" customWidth="1"/>
    <col min="10604" max="10604" width="14.1796875" style="2782" customWidth="1"/>
    <col min="10605" max="10751" width="9.1796875" style="2782"/>
    <col min="10752" max="10752" width="8.7265625" style="2782" customWidth="1"/>
    <col min="10753" max="10753" width="92.7265625" style="2782" customWidth="1"/>
    <col min="10754" max="10754" width="16.1796875" style="2782" customWidth="1"/>
    <col min="10755" max="10755" width="16.81640625" style="2782" customWidth="1"/>
    <col min="10756" max="10756" width="14.7265625" style="2782" customWidth="1"/>
    <col min="10757" max="10757" width="19.453125" style="2782" customWidth="1"/>
    <col min="10758" max="10758" width="15" style="2782" customWidth="1"/>
    <col min="10759" max="10759" width="12.7265625" style="2782" customWidth="1"/>
    <col min="10760" max="10761" width="12.1796875" style="2782" customWidth="1"/>
    <col min="10762" max="10762" width="15.81640625" style="2782" customWidth="1"/>
    <col min="10763" max="10763" width="22.1796875" style="2782" customWidth="1"/>
    <col min="10764" max="10764" width="11.453125" style="2782" customWidth="1"/>
    <col min="10765" max="10765" width="17.54296875" style="2782" customWidth="1"/>
    <col min="10766" max="10766" width="0.1796875" style="2782" customWidth="1"/>
    <col min="10767" max="10767" width="18.81640625" style="2782" customWidth="1"/>
    <col min="10768" max="10771" width="25.7265625" style="2782" customWidth="1"/>
    <col min="10772" max="10772" width="14.7265625" style="2782" customWidth="1"/>
    <col min="10773" max="10773" width="22" style="2782" customWidth="1"/>
    <col min="10774" max="10774" width="15.26953125" style="2782" customWidth="1"/>
    <col min="10775" max="10778" width="25.7265625" style="2782" customWidth="1"/>
    <col min="10779" max="10779" width="15.7265625" style="2782" customWidth="1"/>
    <col min="10780" max="10780" width="22.453125" style="2782" customWidth="1"/>
    <col min="10781" max="10781" width="14.7265625" style="2782" customWidth="1"/>
    <col min="10782" max="10785" width="25.7265625" style="2782" customWidth="1"/>
    <col min="10786" max="10786" width="15.7265625" style="2782" customWidth="1"/>
    <col min="10787" max="10787" width="21" style="2782" customWidth="1"/>
    <col min="10788" max="10788" width="16.7265625" style="2782" customWidth="1"/>
    <col min="10789" max="10792" width="25.7265625" style="2782" customWidth="1"/>
    <col min="10793" max="10793" width="15.7265625" style="2782" customWidth="1"/>
    <col min="10794" max="10794" width="29.1796875" style="2782" customWidth="1"/>
    <col min="10795" max="10795" width="13.7265625" style="2782" customWidth="1"/>
    <col min="10796" max="10799" width="25.7265625" style="2782" customWidth="1"/>
    <col min="10800" max="10800" width="15.7265625" style="2782" customWidth="1"/>
    <col min="10801" max="10801" width="29.1796875" style="2782" customWidth="1"/>
    <col min="10802" max="10802" width="11.81640625" style="2782" customWidth="1"/>
    <col min="10803" max="10806" width="25.7265625" style="2782" customWidth="1"/>
    <col min="10807" max="10807" width="15.7265625" style="2782" customWidth="1"/>
    <col min="10808" max="10808" width="29.7265625" style="2782" customWidth="1"/>
    <col min="10809" max="10809" width="25.54296875" style="2782" customWidth="1"/>
    <col min="10810" max="10813" width="25.7265625" style="2782" customWidth="1"/>
    <col min="10814" max="10814" width="7.26953125" style="2782" customWidth="1"/>
    <col min="10815" max="10815" width="22.7265625" style="2782" customWidth="1"/>
    <col min="10816" max="10816" width="18.81640625" style="2782" customWidth="1"/>
    <col min="10817" max="10820" width="25.7265625" style="2782" customWidth="1"/>
    <col min="10821" max="10821" width="12.26953125" style="2782" customWidth="1"/>
    <col min="10822" max="10822" width="25.7265625" style="2782" customWidth="1"/>
    <col min="10823" max="10823" width="18.81640625" style="2782" customWidth="1"/>
    <col min="10824" max="10827" width="25.7265625" style="2782" customWidth="1"/>
    <col min="10828" max="10828" width="14.54296875" style="2782" customWidth="1"/>
    <col min="10829" max="10829" width="25.7265625" style="2782" customWidth="1"/>
    <col min="10830" max="10830" width="18.81640625" style="2782" customWidth="1"/>
    <col min="10831" max="10834" width="25.7265625" style="2782" customWidth="1"/>
    <col min="10835" max="10835" width="15.7265625" style="2782" customWidth="1"/>
    <col min="10836" max="10836" width="25.7265625" style="2782" customWidth="1"/>
    <col min="10837" max="10837" width="18.81640625" style="2782" customWidth="1"/>
    <col min="10838" max="10841" width="25.7265625" style="2782" customWidth="1"/>
    <col min="10842" max="10842" width="15.7265625" style="2782" customWidth="1"/>
    <col min="10843" max="10843" width="29.453125" style="2782" customWidth="1"/>
    <col min="10844" max="10844" width="18.81640625" style="2782" customWidth="1"/>
    <col min="10845" max="10845" width="25.7265625" style="2782" customWidth="1"/>
    <col min="10846" max="10846" width="29.7265625" style="2782" customWidth="1"/>
    <col min="10847" max="10848" width="25.7265625" style="2782" customWidth="1"/>
    <col min="10849" max="10849" width="13.7265625" style="2782" customWidth="1"/>
    <col min="10850" max="10850" width="29.1796875" style="2782" customWidth="1"/>
    <col min="10851" max="10851" width="23.7265625" style="2782" customWidth="1"/>
    <col min="10852" max="10855" width="24.81640625" style="2782" customWidth="1"/>
    <col min="10856" max="10856" width="14.7265625" style="2782" customWidth="1"/>
    <col min="10857" max="10857" width="30" style="2782" customWidth="1"/>
    <col min="10858" max="10858" width="22" style="2782" customWidth="1"/>
    <col min="10859" max="10859" width="19.26953125" style="2782" customWidth="1"/>
    <col min="10860" max="10860" width="14.1796875" style="2782" customWidth="1"/>
    <col min="10861" max="11007" width="9.1796875" style="2782"/>
    <col min="11008" max="11008" width="8.7265625" style="2782" customWidth="1"/>
    <col min="11009" max="11009" width="92.7265625" style="2782" customWidth="1"/>
    <col min="11010" max="11010" width="16.1796875" style="2782" customWidth="1"/>
    <col min="11011" max="11011" width="16.81640625" style="2782" customWidth="1"/>
    <col min="11012" max="11012" width="14.7265625" style="2782" customWidth="1"/>
    <col min="11013" max="11013" width="19.453125" style="2782" customWidth="1"/>
    <col min="11014" max="11014" width="15" style="2782" customWidth="1"/>
    <col min="11015" max="11015" width="12.7265625" style="2782" customWidth="1"/>
    <col min="11016" max="11017" width="12.1796875" style="2782" customWidth="1"/>
    <col min="11018" max="11018" width="15.81640625" style="2782" customWidth="1"/>
    <col min="11019" max="11019" width="22.1796875" style="2782" customWidth="1"/>
    <col min="11020" max="11020" width="11.453125" style="2782" customWidth="1"/>
    <col min="11021" max="11021" width="17.54296875" style="2782" customWidth="1"/>
    <col min="11022" max="11022" width="0.1796875" style="2782" customWidth="1"/>
    <col min="11023" max="11023" width="18.81640625" style="2782" customWidth="1"/>
    <col min="11024" max="11027" width="25.7265625" style="2782" customWidth="1"/>
    <col min="11028" max="11028" width="14.7265625" style="2782" customWidth="1"/>
    <col min="11029" max="11029" width="22" style="2782" customWidth="1"/>
    <col min="11030" max="11030" width="15.26953125" style="2782" customWidth="1"/>
    <col min="11031" max="11034" width="25.7265625" style="2782" customWidth="1"/>
    <col min="11035" max="11035" width="15.7265625" style="2782" customWidth="1"/>
    <col min="11036" max="11036" width="22.453125" style="2782" customWidth="1"/>
    <col min="11037" max="11037" width="14.7265625" style="2782" customWidth="1"/>
    <col min="11038" max="11041" width="25.7265625" style="2782" customWidth="1"/>
    <col min="11042" max="11042" width="15.7265625" style="2782" customWidth="1"/>
    <col min="11043" max="11043" width="21" style="2782" customWidth="1"/>
    <col min="11044" max="11044" width="16.7265625" style="2782" customWidth="1"/>
    <col min="11045" max="11048" width="25.7265625" style="2782" customWidth="1"/>
    <col min="11049" max="11049" width="15.7265625" style="2782" customWidth="1"/>
    <col min="11050" max="11050" width="29.1796875" style="2782" customWidth="1"/>
    <col min="11051" max="11051" width="13.7265625" style="2782" customWidth="1"/>
    <col min="11052" max="11055" width="25.7265625" style="2782" customWidth="1"/>
    <col min="11056" max="11056" width="15.7265625" style="2782" customWidth="1"/>
    <col min="11057" max="11057" width="29.1796875" style="2782" customWidth="1"/>
    <col min="11058" max="11058" width="11.81640625" style="2782" customWidth="1"/>
    <col min="11059" max="11062" width="25.7265625" style="2782" customWidth="1"/>
    <col min="11063" max="11063" width="15.7265625" style="2782" customWidth="1"/>
    <col min="11064" max="11064" width="29.7265625" style="2782" customWidth="1"/>
    <col min="11065" max="11065" width="25.54296875" style="2782" customWidth="1"/>
    <col min="11066" max="11069" width="25.7265625" style="2782" customWidth="1"/>
    <col min="11070" max="11070" width="7.26953125" style="2782" customWidth="1"/>
    <col min="11071" max="11071" width="22.7265625" style="2782" customWidth="1"/>
    <col min="11072" max="11072" width="18.81640625" style="2782" customWidth="1"/>
    <col min="11073" max="11076" width="25.7265625" style="2782" customWidth="1"/>
    <col min="11077" max="11077" width="12.26953125" style="2782" customWidth="1"/>
    <col min="11078" max="11078" width="25.7265625" style="2782" customWidth="1"/>
    <col min="11079" max="11079" width="18.81640625" style="2782" customWidth="1"/>
    <col min="11080" max="11083" width="25.7265625" style="2782" customWidth="1"/>
    <col min="11084" max="11084" width="14.54296875" style="2782" customWidth="1"/>
    <col min="11085" max="11085" width="25.7265625" style="2782" customWidth="1"/>
    <col min="11086" max="11086" width="18.81640625" style="2782" customWidth="1"/>
    <col min="11087" max="11090" width="25.7265625" style="2782" customWidth="1"/>
    <col min="11091" max="11091" width="15.7265625" style="2782" customWidth="1"/>
    <col min="11092" max="11092" width="25.7265625" style="2782" customWidth="1"/>
    <col min="11093" max="11093" width="18.81640625" style="2782" customWidth="1"/>
    <col min="11094" max="11097" width="25.7265625" style="2782" customWidth="1"/>
    <col min="11098" max="11098" width="15.7265625" style="2782" customWidth="1"/>
    <col min="11099" max="11099" width="29.453125" style="2782" customWidth="1"/>
    <col min="11100" max="11100" width="18.81640625" style="2782" customWidth="1"/>
    <col min="11101" max="11101" width="25.7265625" style="2782" customWidth="1"/>
    <col min="11102" max="11102" width="29.7265625" style="2782" customWidth="1"/>
    <col min="11103" max="11104" width="25.7265625" style="2782" customWidth="1"/>
    <col min="11105" max="11105" width="13.7265625" style="2782" customWidth="1"/>
    <col min="11106" max="11106" width="29.1796875" style="2782" customWidth="1"/>
    <col min="11107" max="11107" width="23.7265625" style="2782" customWidth="1"/>
    <col min="11108" max="11111" width="24.81640625" style="2782" customWidth="1"/>
    <col min="11112" max="11112" width="14.7265625" style="2782" customWidth="1"/>
    <col min="11113" max="11113" width="30" style="2782" customWidth="1"/>
    <col min="11114" max="11114" width="22" style="2782" customWidth="1"/>
    <col min="11115" max="11115" width="19.26953125" style="2782" customWidth="1"/>
    <col min="11116" max="11116" width="14.1796875" style="2782" customWidth="1"/>
    <col min="11117" max="11263" width="9.1796875" style="2782"/>
    <col min="11264" max="11264" width="8.7265625" style="2782" customWidth="1"/>
    <col min="11265" max="11265" width="92.7265625" style="2782" customWidth="1"/>
    <col min="11266" max="11266" width="16.1796875" style="2782" customWidth="1"/>
    <col min="11267" max="11267" width="16.81640625" style="2782" customWidth="1"/>
    <col min="11268" max="11268" width="14.7265625" style="2782" customWidth="1"/>
    <col min="11269" max="11269" width="19.453125" style="2782" customWidth="1"/>
    <col min="11270" max="11270" width="15" style="2782" customWidth="1"/>
    <col min="11271" max="11271" width="12.7265625" style="2782" customWidth="1"/>
    <col min="11272" max="11273" width="12.1796875" style="2782" customWidth="1"/>
    <col min="11274" max="11274" width="15.81640625" style="2782" customWidth="1"/>
    <col min="11275" max="11275" width="22.1796875" style="2782" customWidth="1"/>
    <col min="11276" max="11276" width="11.453125" style="2782" customWidth="1"/>
    <col min="11277" max="11277" width="17.54296875" style="2782" customWidth="1"/>
    <col min="11278" max="11278" width="0.1796875" style="2782" customWidth="1"/>
    <col min="11279" max="11279" width="18.81640625" style="2782" customWidth="1"/>
    <col min="11280" max="11283" width="25.7265625" style="2782" customWidth="1"/>
    <col min="11284" max="11284" width="14.7265625" style="2782" customWidth="1"/>
    <col min="11285" max="11285" width="22" style="2782" customWidth="1"/>
    <col min="11286" max="11286" width="15.26953125" style="2782" customWidth="1"/>
    <col min="11287" max="11290" width="25.7265625" style="2782" customWidth="1"/>
    <col min="11291" max="11291" width="15.7265625" style="2782" customWidth="1"/>
    <col min="11292" max="11292" width="22.453125" style="2782" customWidth="1"/>
    <col min="11293" max="11293" width="14.7265625" style="2782" customWidth="1"/>
    <col min="11294" max="11297" width="25.7265625" style="2782" customWidth="1"/>
    <col min="11298" max="11298" width="15.7265625" style="2782" customWidth="1"/>
    <col min="11299" max="11299" width="21" style="2782" customWidth="1"/>
    <col min="11300" max="11300" width="16.7265625" style="2782" customWidth="1"/>
    <col min="11301" max="11304" width="25.7265625" style="2782" customWidth="1"/>
    <col min="11305" max="11305" width="15.7265625" style="2782" customWidth="1"/>
    <col min="11306" max="11306" width="29.1796875" style="2782" customWidth="1"/>
    <col min="11307" max="11307" width="13.7265625" style="2782" customWidth="1"/>
    <col min="11308" max="11311" width="25.7265625" style="2782" customWidth="1"/>
    <col min="11312" max="11312" width="15.7265625" style="2782" customWidth="1"/>
    <col min="11313" max="11313" width="29.1796875" style="2782" customWidth="1"/>
    <col min="11314" max="11314" width="11.81640625" style="2782" customWidth="1"/>
    <col min="11315" max="11318" width="25.7265625" style="2782" customWidth="1"/>
    <col min="11319" max="11319" width="15.7265625" style="2782" customWidth="1"/>
    <col min="11320" max="11320" width="29.7265625" style="2782" customWidth="1"/>
    <col min="11321" max="11321" width="25.54296875" style="2782" customWidth="1"/>
    <col min="11322" max="11325" width="25.7265625" style="2782" customWidth="1"/>
    <col min="11326" max="11326" width="7.26953125" style="2782" customWidth="1"/>
    <col min="11327" max="11327" width="22.7265625" style="2782" customWidth="1"/>
    <col min="11328" max="11328" width="18.81640625" style="2782" customWidth="1"/>
    <col min="11329" max="11332" width="25.7265625" style="2782" customWidth="1"/>
    <col min="11333" max="11333" width="12.26953125" style="2782" customWidth="1"/>
    <col min="11334" max="11334" width="25.7265625" style="2782" customWidth="1"/>
    <col min="11335" max="11335" width="18.81640625" style="2782" customWidth="1"/>
    <col min="11336" max="11339" width="25.7265625" style="2782" customWidth="1"/>
    <col min="11340" max="11340" width="14.54296875" style="2782" customWidth="1"/>
    <col min="11341" max="11341" width="25.7265625" style="2782" customWidth="1"/>
    <col min="11342" max="11342" width="18.81640625" style="2782" customWidth="1"/>
    <col min="11343" max="11346" width="25.7265625" style="2782" customWidth="1"/>
    <col min="11347" max="11347" width="15.7265625" style="2782" customWidth="1"/>
    <col min="11348" max="11348" width="25.7265625" style="2782" customWidth="1"/>
    <col min="11349" max="11349" width="18.81640625" style="2782" customWidth="1"/>
    <col min="11350" max="11353" width="25.7265625" style="2782" customWidth="1"/>
    <col min="11354" max="11354" width="15.7265625" style="2782" customWidth="1"/>
    <col min="11355" max="11355" width="29.453125" style="2782" customWidth="1"/>
    <col min="11356" max="11356" width="18.81640625" style="2782" customWidth="1"/>
    <col min="11357" max="11357" width="25.7265625" style="2782" customWidth="1"/>
    <col min="11358" max="11358" width="29.7265625" style="2782" customWidth="1"/>
    <col min="11359" max="11360" width="25.7265625" style="2782" customWidth="1"/>
    <col min="11361" max="11361" width="13.7265625" style="2782" customWidth="1"/>
    <col min="11362" max="11362" width="29.1796875" style="2782" customWidth="1"/>
    <col min="11363" max="11363" width="23.7265625" style="2782" customWidth="1"/>
    <col min="11364" max="11367" width="24.81640625" style="2782" customWidth="1"/>
    <col min="11368" max="11368" width="14.7265625" style="2782" customWidth="1"/>
    <col min="11369" max="11369" width="30" style="2782" customWidth="1"/>
    <col min="11370" max="11370" width="22" style="2782" customWidth="1"/>
    <col min="11371" max="11371" width="19.26953125" style="2782" customWidth="1"/>
    <col min="11372" max="11372" width="14.1796875" style="2782" customWidth="1"/>
    <col min="11373" max="11519" width="9.1796875" style="2782"/>
    <col min="11520" max="11520" width="8.7265625" style="2782" customWidth="1"/>
    <col min="11521" max="11521" width="92.7265625" style="2782" customWidth="1"/>
    <col min="11522" max="11522" width="16.1796875" style="2782" customWidth="1"/>
    <col min="11523" max="11523" width="16.81640625" style="2782" customWidth="1"/>
    <col min="11524" max="11524" width="14.7265625" style="2782" customWidth="1"/>
    <col min="11525" max="11525" width="19.453125" style="2782" customWidth="1"/>
    <col min="11526" max="11526" width="15" style="2782" customWidth="1"/>
    <col min="11527" max="11527" width="12.7265625" style="2782" customWidth="1"/>
    <col min="11528" max="11529" width="12.1796875" style="2782" customWidth="1"/>
    <col min="11530" max="11530" width="15.81640625" style="2782" customWidth="1"/>
    <col min="11531" max="11531" width="22.1796875" style="2782" customWidth="1"/>
    <col min="11532" max="11532" width="11.453125" style="2782" customWidth="1"/>
    <col min="11533" max="11533" width="17.54296875" style="2782" customWidth="1"/>
    <col min="11534" max="11534" width="0.1796875" style="2782" customWidth="1"/>
    <col min="11535" max="11535" width="18.81640625" style="2782" customWidth="1"/>
    <col min="11536" max="11539" width="25.7265625" style="2782" customWidth="1"/>
    <col min="11540" max="11540" width="14.7265625" style="2782" customWidth="1"/>
    <col min="11541" max="11541" width="22" style="2782" customWidth="1"/>
    <col min="11542" max="11542" width="15.26953125" style="2782" customWidth="1"/>
    <col min="11543" max="11546" width="25.7265625" style="2782" customWidth="1"/>
    <col min="11547" max="11547" width="15.7265625" style="2782" customWidth="1"/>
    <col min="11548" max="11548" width="22.453125" style="2782" customWidth="1"/>
    <col min="11549" max="11549" width="14.7265625" style="2782" customWidth="1"/>
    <col min="11550" max="11553" width="25.7265625" style="2782" customWidth="1"/>
    <col min="11554" max="11554" width="15.7265625" style="2782" customWidth="1"/>
    <col min="11555" max="11555" width="21" style="2782" customWidth="1"/>
    <col min="11556" max="11556" width="16.7265625" style="2782" customWidth="1"/>
    <col min="11557" max="11560" width="25.7265625" style="2782" customWidth="1"/>
    <col min="11561" max="11561" width="15.7265625" style="2782" customWidth="1"/>
    <col min="11562" max="11562" width="29.1796875" style="2782" customWidth="1"/>
    <col min="11563" max="11563" width="13.7265625" style="2782" customWidth="1"/>
    <col min="11564" max="11567" width="25.7265625" style="2782" customWidth="1"/>
    <col min="11568" max="11568" width="15.7265625" style="2782" customWidth="1"/>
    <col min="11569" max="11569" width="29.1796875" style="2782" customWidth="1"/>
    <col min="11570" max="11570" width="11.81640625" style="2782" customWidth="1"/>
    <col min="11571" max="11574" width="25.7265625" style="2782" customWidth="1"/>
    <col min="11575" max="11575" width="15.7265625" style="2782" customWidth="1"/>
    <col min="11576" max="11576" width="29.7265625" style="2782" customWidth="1"/>
    <col min="11577" max="11577" width="25.54296875" style="2782" customWidth="1"/>
    <col min="11578" max="11581" width="25.7265625" style="2782" customWidth="1"/>
    <col min="11582" max="11582" width="7.26953125" style="2782" customWidth="1"/>
    <col min="11583" max="11583" width="22.7265625" style="2782" customWidth="1"/>
    <col min="11584" max="11584" width="18.81640625" style="2782" customWidth="1"/>
    <col min="11585" max="11588" width="25.7265625" style="2782" customWidth="1"/>
    <col min="11589" max="11589" width="12.26953125" style="2782" customWidth="1"/>
    <col min="11590" max="11590" width="25.7265625" style="2782" customWidth="1"/>
    <col min="11591" max="11591" width="18.81640625" style="2782" customWidth="1"/>
    <col min="11592" max="11595" width="25.7265625" style="2782" customWidth="1"/>
    <col min="11596" max="11596" width="14.54296875" style="2782" customWidth="1"/>
    <col min="11597" max="11597" width="25.7265625" style="2782" customWidth="1"/>
    <col min="11598" max="11598" width="18.81640625" style="2782" customWidth="1"/>
    <col min="11599" max="11602" width="25.7265625" style="2782" customWidth="1"/>
    <col min="11603" max="11603" width="15.7265625" style="2782" customWidth="1"/>
    <col min="11604" max="11604" width="25.7265625" style="2782" customWidth="1"/>
    <col min="11605" max="11605" width="18.81640625" style="2782" customWidth="1"/>
    <col min="11606" max="11609" width="25.7265625" style="2782" customWidth="1"/>
    <col min="11610" max="11610" width="15.7265625" style="2782" customWidth="1"/>
    <col min="11611" max="11611" width="29.453125" style="2782" customWidth="1"/>
    <col min="11612" max="11612" width="18.81640625" style="2782" customWidth="1"/>
    <col min="11613" max="11613" width="25.7265625" style="2782" customWidth="1"/>
    <col min="11614" max="11614" width="29.7265625" style="2782" customWidth="1"/>
    <col min="11615" max="11616" width="25.7265625" style="2782" customWidth="1"/>
    <col min="11617" max="11617" width="13.7265625" style="2782" customWidth="1"/>
    <col min="11618" max="11618" width="29.1796875" style="2782" customWidth="1"/>
    <col min="11619" max="11619" width="23.7265625" style="2782" customWidth="1"/>
    <col min="11620" max="11623" width="24.81640625" style="2782" customWidth="1"/>
    <col min="11624" max="11624" width="14.7265625" style="2782" customWidth="1"/>
    <col min="11625" max="11625" width="30" style="2782" customWidth="1"/>
    <col min="11626" max="11626" width="22" style="2782" customWidth="1"/>
    <col min="11627" max="11627" width="19.26953125" style="2782" customWidth="1"/>
    <col min="11628" max="11628" width="14.1796875" style="2782" customWidth="1"/>
    <col min="11629" max="11775" width="9.1796875" style="2782"/>
    <col min="11776" max="11776" width="8.7265625" style="2782" customWidth="1"/>
    <col min="11777" max="11777" width="92.7265625" style="2782" customWidth="1"/>
    <col min="11778" max="11778" width="16.1796875" style="2782" customWidth="1"/>
    <col min="11779" max="11779" width="16.81640625" style="2782" customWidth="1"/>
    <col min="11780" max="11780" width="14.7265625" style="2782" customWidth="1"/>
    <col min="11781" max="11781" width="19.453125" style="2782" customWidth="1"/>
    <col min="11782" max="11782" width="15" style="2782" customWidth="1"/>
    <col min="11783" max="11783" width="12.7265625" style="2782" customWidth="1"/>
    <col min="11784" max="11785" width="12.1796875" style="2782" customWidth="1"/>
    <col min="11786" max="11786" width="15.81640625" style="2782" customWidth="1"/>
    <col min="11787" max="11787" width="22.1796875" style="2782" customWidth="1"/>
    <col min="11788" max="11788" width="11.453125" style="2782" customWidth="1"/>
    <col min="11789" max="11789" width="17.54296875" style="2782" customWidth="1"/>
    <col min="11790" max="11790" width="0.1796875" style="2782" customWidth="1"/>
    <col min="11791" max="11791" width="18.81640625" style="2782" customWidth="1"/>
    <col min="11792" max="11795" width="25.7265625" style="2782" customWidth="1"/>
    <col min="11796" max="11796" width="14.7265625" style="2782" customWidth="1"/>
    <col min="11797" max="11797" width="22" style="2782" customWidth="1"/>
    <col min="11798" max="11798" width="15.26953125" style="2782" customWidth="1"/>
    <col min="11799" max="11802" width="25.7265625" style="2782" customWidth="1"/>
    <col min="11803" max="11803" width="15.7265625" style="2782" customWidth="1"/>
    <col min="11804" max="11804" width="22.453125" style="2782" customWidth="1"/>
    <col min="11805" max="11805" width="14.7265625" style="2782" customWidth="1"/>
    <col min="11806" max="11809" width="25.7265625" style="2782" customWidth="1"/>
    <col min="11810" max="11810" width="15.7265625" style="2782" customWidth="1"/>
    <col min="11811" max="11811" width="21" style="2782" customWidth="1"/>
    <col min="11812" max="11812" width="16.7265625" style="2782" customWidth="1"/>
    <col min="11813" max="11816" width="25.7265625" style="2782" customWidth="1"/>
    <col min="11817" max="11817" width="15.7265625" style="2782" customWidth="1"/>
    <col min="11818" max="11818" width="29.1796875" style="2782" customWidth="1"/>
    <col min="11819" max="11819" width="13.7265625" style="2782" customWidth="1"/>
    <col min="11820" max="11823" width="25.7265625" style="2782" customWidth="1"/>
    <col min="11824" max="11824" width="15.7265625" style="2782" customWidth="1"/>
    <col min="11825" max="11825" width="29.1796875" style="2782" customWidth="1"/>
    <col min="11826" max="11826" width="11.81640625" style="2782" customWidth="1"/>
    <col min="11827" max="11830" width="25.7265625" style="2782" customWidth="1"/>
    <col min="11831" max="11831" width="15.7265625" style="2782" customWidth="1"/>
    <col min="11832" max="11832" width="29.7265625" style="2782" customWidth="1"/>
    <col min="11833" max="11833" width="25.54296875" style="2782" customWidth="1"/>
    <col min="11834" max="11837" width="25.7265625" style="2782" customWidth="1"/>
    <col min="11838" max="11838" width="7.26953125" style="2782" customWidth="1"/>
    <col min="11839" max="11839" width="22.7265625" style="2782" customWidth="1"/>
    <col min="11840" max="11840" width="18.81640625" style="2782" customWidth="1"/>
    <col min="11841" max="11844" width="25.7265625" style="2782" customWidth="1"/>
    <col min="11845" max="11845" width="12.26953125" style="2782" customWidth="1"/>
    <col min="11846" max="11846" width="25.7265625" style="2782" customWidth="1"/>
    <col min="11847" max="11847" width="18.81640625" style="2782" customWidth="1"/>
    <col min="11848" max="11851" width="25.7265625" style="2782" customWidth="1"/>
    <col min="11852" max="11852" width="14.54296875" style="2782" customWidth="1"/>
    <col min="11853" max="11853" width="25.7265625" style="2782" customWidth="1"/>
    <col min="11854" max="11854" width="18.81640625" style="2782" customWidth="1"/>
    <col min="11855" max="11858" width="25.7265625" style="2782" customWidth="1"/>
    <col min="11859" max="11859" width="15.7265625" style="2782" customWidth="1"/>
    <col min="11860" max="11860" width="25.7265625" style="2782" customWidth="1"/>
    <col min="11861" max="11861" width="18.81640625" style="2782" customWidth="1"/>
    <col min="11862" max="11865" width="25.7265625" style="2782" customWidth="1"/>
    <col min="11866" max="11866" width="15.7265625" style="2782" customWidth="1"/>
    <col min="11867" max="11867" width="29.453125" style="2782" customWidth="1"/>
    <col min="11868" max="11868" width="18.81640625" style="2782" customWidth="1"/>
    <col min="11869" max="11869" width="25.7265625" style="2782" customWidth="1"/>
    <col min="11870" max="11870" width="29.7265625" style="2782" customWidth="1"/>
    <col min="11871" max="11872" width="25.7265625" style="2782" customWidth="1"/>
    <col min="11873" max="11873" width="13.7265625" style="2782" customWidth="1"/>
    <col min="11874" max="11874" width="29.1796875" style="2782" customWidth="1"/>
    <col min="11875" max="11875" width="23.7265625" style="2782" customWidth="1"/>
    <col min="11876" max="11879" width="24.81640625" style="2782" customWidth="1"/>
    <col min="11880" max="11880" width="14.7265625" style="2782" customWidth="1"/>
    <col min="11881" max="11881" width="30" style="2782" customWidth="1"/>
    <col min="11882" max="11882" width="22" style="2782" customWidth="1"/>
    <col min="11883" max="11883" width="19.26953125" style="2782" customWidth="1"/>
    <col min="11884" max="11884" width="14.1796875" style="2782" customWidth="1"/>
    <col min="11885" max="12031" width="9.1796875" style="2782"/>
    <col min="12032" max="12032" width="8.7265625" style="2782" customWidth="1"/>
    <col min="12033" max="12033" width="92.7265625" style="2782" customWidth="1"/>
    <col min="12034" max="12034" width="16.1796875" style="2782" customWidth="1"/>
    <col min="12035" max="12035" width="16.81640625" style="2782" customWidth="1"/>
    <col min="12036" max="12036" width="14.7265625" style="2782" customWidth="1"/>
    <col min="12037" max="12037" width="19.453125" style="2782" customWidth="1"/>
    <col min="12038" max="12038" width="15" style="2782" customWidth="1"/>
    <col min="12039" max="12039" width="12.7265625" style="2782" customWidth="1"/>
    <col min="12040" max="12041" width="12.1796875" style="2782" customWidth="1"/>
    <col min="12042" max="12042" width="15.81640625" style="2782" customWidth="1"/>
    <col min="12043" max="12043" width="22.1796875" style="2782" customWidth="1"/>
    <col min="12044" max="12044" width="11.453125" style="2782" customWidth="1"/>
    <col min="12045" max="12045" width="17.54296875" style="2782" customWidth="1"/>
    <col min="12046" max="12046" width="0.1796875" style="2782" customWidth="1"/>
    <col min="12047" max="12047" width="18.81640625" style="2782" customWidth="1"/>
    <col min="12048" max="12051" width="25.7265625" style="2782" customWidth="1"/>
    <col min="12052" max="12052" width="14.7265625" style="2782" customWidth="1"/>
    <col min="12053" max="12053" width="22" style="2782" customWidth="1"/>
    <col min="12054" max="12054" width="15.26953125" style="2782" customWidth="1"/>
    <col min="12055" max="12058" width="25.7265625" style="2782" customWidth="1"/>
    <col min="12059" max="12059" width="15.7265625" style="2782" customWidth="1"/>
    <col min="12060" max="12060" width="22.453125" style="2782" customWidth="1"/>
    <col min="12061" max="12061" width="14.7265625" style="2782" customWidth="1"/>
    <col min="12062" max="12065" width="25.7265625" style="2782" customWidth="1"/>
    <col min="12066" max="12066" width="15.7265625" style="2782" customWidth="1"/>
    <col min="12067" max="12067" width="21" style="2782" customWidth="1"/>
    <col min="12068" max="12068" width="16.7265625" style="2782" customWidth="1"/>
    <col min="12069" max="12072" width="25.7265625" style="2782" customWidth="1"/>
    <col min="12073" max="12073" width="15.7265625" style="2782" customWidth="1"/>
    <col min="12074" max="12074" width="29.1796875" style="2782" customWidth="1"/>
    <col min="12075" max="12075" width="13.7265625" style="2782" customWidth="1"/>
    <col min="12076" max="12079" width="25.7265625" style="2782" customWidth="1"/>
    <col min="12080" max="12080" width="15.7265625" style="2782" customWidth="1"/>
    <col min="12081" max="12081" width="29.1796875" style="2782" customWidth="1"/>
    <col min="12082" max="12082" width="11.81640625" style="2782" customWidth="1"/>
    <col min="12083" max="12086" width="25.7265625" style="2782" customWidth="1"/>
    <col min="12087" max="12087" width="15.7265625" style="2782" customWidth="1"/>
    <col min="12088" max="12088" width="29.7265625" style="2782" customWidth="1"/>
    <col min="12089" max="12089" width="25.54296875" style="2782" customWidth="1"/>
    <col min="12090" max="12093" width="25.7265625" style="2782" customWidth="1"/>
    <col min="12094" max="12094" width="7.26953125" style="2782" customWidth="1"/>
    <col min="12095" max="12095" width="22.7265625" style="2782" customWidth="1"/>
    <col min="12096" max="12096" width="18.81640625" style="2782" customWidth="1"/>
    <col min="12097" max="12100" width="25.7265625" style="2782" customWidth="1"/>
    <col min="12101" max="12101" width="12.26953125" style="2782" customWidth="1"/>
    <col min="12102" max="12102" width="25.7265625" style="2782" customWidth="1"/>
    <col min="12103" max="12103" width="18.81640625" style="2782" customWidth="1"/>
    <col min="12104" max="12107" width="25.7265625" style="2782" customWidth="1"/>
    <col min="12108" max="12108" width="14.54296875" style="2782" customWidth="1"/>
    <col min="12109" max="12109" width="25.7265625" style="2782" customWidth="1"/>
    <col min="12110" max="12110" width="18.81640625" style="2782" customWidth="1"/>
    <col min="12111" max="12114" width="25.7265625" style="2782" customWidth="1"/>
    <col min="12115" max="12115" width="15.7265625" style="2782" customWidth="1"/>
    <col min="12116" max="12116" width="25.7265625" style="2782" customWidth="1"/>
    <col min="12117" max="12117" width="18.81640625" style="2782" customWidth="1"/>
    <col min="12118" max="12121" width="25.7265625" style="2782" customWidth="1"/>
    <col min="12122" max="12122" width="15.7265625" style="2782" customWidth="1"/>
    <col min="12123" max="12123" width="29.453125" style="2782" customWidth="1"/>
    <col min="12124" max="12124" width="18.81640625" style="2782" customWidth="1"/>
    <col min="12125" max="12125" width="25.7265625" style="2782" customWidth="1"/>
    <col min="12126" max="12126" width="29.7265625" style="2782" customWidth="1"/>
    <col min="12127" max="12128" width="25.7265625" style="2782" customWidth="1"/>
    <col min="12129" max="12129" width="13.7265625" style="2782" customWidth="1"/>
    <col min="12130" max="12130" width="29.1796875" style="2782" customWidth="1"/>
    <col min="12131" max="12131" width="23.7265625" style="2782" customWidth="1"/>
    <col min="12132" max="12135" width="24.81640625" style="2782" customWidth="1"/>
    <col min="12136" max="12136" width="14.7265625" style="2782" customWidth="1"/>
    <col min="12137" max="12137" width="30" style="2782" customWidth="1"/>
    <col min="12138" max="12138" width="22" style="2782" customWidth="1"/>
    <col min="12139" max="12139" width="19.26953125" style="2782" customWidth="1"/>
    <col min="12140" max="12140" width="14.1796875" style="2782" customWidth="1"/>
    <col min="12141" max="12287" width="9.1796875" style="2782"/>
    <col min="12288" max="12288" width="8.7265625" style="2782" customWidth="1"/>
    <col min="12289" max="12289" width="92.7265625" style="2782" customWidth="1"/>
    <col min="12290" max="12290" width="16.1796875" style="2782" customWidth="1"/>
    <col min="12291" max="12291" width="16.81640625" style="2782" customWidth="1"/>
    <col min="12292" max="12292" width="14.7265625" style="2782" customWidth="1"/>
    <col min="12293" max="12293" width="19.453125" style="2782" customWidth="1"/>
    <col min="12294" max="12294" width="15" style="2782" customWidth="1"/>
    <col min="12295" max="12295" width="12.7265625" style="2782" customWidth="1"/>
    <col min="12296" max="12297" width="12.1796875" style="2782" customWidth="1"/>
    <col min="12298" max="12298" width="15.81640625" style="2782" customWidth="1"/>
    <col min="12299" max="12299" width="22.1796875" style="2782" customWidth="1"/>
    <col min="12300" max="12300" width="11.453125" style="2782" customWidth="1"/>
    <col min="12301" max="12301" width="17.54296875" style="2782" customWidth="1"/>
    <col min="12302" max="12302" width="0.1796875" style="2782" customWidth="1"/>
    <col min="12303" max="12303" width="18.81640625" style="2782" customWidth="1"/>
    <col min="12304" max="12307" width="25.7265625" style="2782" customWidth="1"/>
    <col min="12308" max="12308" width="14.7265625" style="2782" customWidth="1"/>
    <col min="12309" max="12309" width="22" style="2782" customWidth="1"/>
    <col min="12310" max="12310" width="15.26953125" style="2782" customWidth="1"/>
    <col min="12311" max="12314" width="25.7265625" style="2782" customWidth="1"/>
    <col min="12315" max="12315" width="15.7265625" style="2782" customWidth="1"/>
    <col min="12316" max="12316" width="22.453125" style="2782" customWidth="1"/>
    <col min="12317" max="12317" width="14.7265625" style="2782" customWidth="1"/>
    <col min="12318" max="12321" width="25.7265625" style="2782" customWidth="1"/>
    <col min="12322" max="12322" width="15.7265625" style="2782" customWidth="1"/>
    <col min="12323" max="12323" width="21" style="2782" customWidth="1"/>
    <col min="12324" max="12324" width="16.7265625" style="2782" customWidth="1"/>
    <col min="12325" max="12328" width="25.7265625" style="2782" customWidth="1"/>
    <col min="12329" max="12329" width="15.7265625" style="2782" customWidth="1"/>
    <col min="12330" max="12330" width="29.1796875" style="2782" customWidth="1"/>
    <col min="12331" max="12331" width="13.7265625" style="2782" customWidth="1"/>
    <col min="12332" max="12335" width="25.7265625" style="2782" customWidth="1"/>
    <col min="12336" max="12336" width="15.7265625" style="2782" customWidth="1"/>
    <col min="12337" max="12337" width="29.1796875" style="2782" customWidth="1"/>
    <col min="12338" max="12338" width="11.81640625" style="2782" customWidth="1"/>
    <col min="12339" max="12342" width="25.7265625" style="2782" customWidth="1"/>
    <col min="12343" max="12343" width="15.7265625" style="2782" customWidth="1"/>
    <col min="12344" max="12344" width="29.7265625" style="2782" customWidth="1"/>
    <col min="12345" max="12345" width="25.54296875" style="2782" customWidth="1"/>
    <col min="12346" max="12349" width="25.7265625" style="2782" customWidth="1"/>
    <col min="12350" max="12350" width="7.26953125" style="2782" customWidth="1"/>
    <col min="12351" max="12351" width="22.7265625" style="2782" customWidth="1"/>
    <col min="12352" max="12352" width="18.81640625" style="2782" customWidth="1"/>
    <col min="12353" max="12356" width="25.7265625" style="2782" customWidth="1"/>
    <col min="12357" max="12357" width="12.26953125" style="2782" customWidth="1"/>
    <col min="12358" max="12358" width="25.7265625" style="2782" customWidth="1"/>
    <col min="12359" max="12359" width="18.81640625" style="2782" customWidth="1"/>
    <col min="12360" max="12363" width="25.7265625" style="2782" customWidth="1"/>
    <col min="12364" max="12364" width="14.54296875" style="2782" customWidth="1"/>
    <col min="12365" max="12365" width="25.7265625" style="2782" customWidth="1"/>
    <col min="12366" max="12366" width="18.81640625" style="2782" customWidth="1"/>
    <col min="12367" max="12370" width="25.7265625" style="2782" customWidth="1"/>
    <col min="12371" max="12371" width="15.7265625" style="2782" customWidth="1"/>
    <col min="12372" max="12372" width="25.7265625" style="2782" customWidth="1"/>
    <col min="12373" max="12373" width="18.81640625" style="2782" customWidth="1"/>
    <col min="12374" max="12377" width="25.7265625" style="2782" customWidth="1"/>
    <col min="12378" max="12378" width="15.7265625" style="2782" customWidth="1"/>
    <col min="12379" max="12379" width="29.453125" style="2782" customWidth="1"/>
    <col min="12380" max="12380" width="18.81640625" style="2782" customWidth="1"/>
    <col min="12381" max="12381" width="25.7265625" style="2782" customWidth="1"/>
    <col min="12382" max="12382" width="29.7265625" style="2782" customWidth="1"/>
    <col min="12383" max="12384" width="25.7265625" style="2782" customWidth="1"/>
    <col min="12385" max="12385" width="13.7265625" style="2782" customWidth="1"/>
    <col min="12386" max="12386" width="29.1796875" style="2782" customWidth="1"/>
    <col min="12387" max="12387" width="23.7265625" style="2782" customWidth="1"/>
    <col min="12388" max="12391" width="24.81640625" style="2782" customWidth="1"/>
    <col min="12392" max="12392" width="14.7265625" style="2782" customWidth="1"/>
    <col min="12393" max="12393" width="30" style="2782" customWidth="1"/>
    <col min="12394" max="12394" width="22" style="2782" customWidth="1"/>
    <col min="12395" max="12395" width="19.26953125" style="2782" customWidth="1"/>
    <col min="12396" max="12396" width="14.1796875" style="2782" customWidth="1"/>
    <col min="12397" max="12543" width="9.1796875" style="2782"/>
    <col min="12544" max="12544" width="8.7265625" style="2782" customWidth="1"/>
    <col min="12545" max="12545" width="92.7265625" style="2782" customWidth="1"/>
    <col min="12546" max="12546" width="16.1796875" style="2782" customWidth="1"/>
    <col min="12547" max="12547" width="16.81640625" style="2782" customWidth="1"/>
    <col min="12548" max="12548" width="14.7265625" style="2782" customWidth="1"/>
    <col min="12549" max="12549" width="19.453125" style="2782" customWidth="1"/>
    <col min="12550" max="12550" width="15" style="2782" customWidth="1"/>
    <col min="12551" max="12551" width="12.7265625" style="2782" customWidth="1"/>
    <col min="12552" max="12553" width="12.1796875" style="2782" customWidth="1"/>
    <col min="12554" max="12554" width="15.81640625" style="2782" customWidth="1"/>
    <col min="12555" max="12555" width="22.1796875" style="2782" customWidth="1"/>
    <col min="12556" max="12556" width="11.453125" style="2782" customWidth="1"/>
    <col min="12557" max="12557" width="17.54296875" style="2782" customWidth="1"/>
    <col min="12558" max="12558" width="0.1796875" style="2782" customWidth="1"/>
    <col min="12559" max="12559" width="18.81640625" style="2782" customWidth="1"/>
    <col min="12560" max="12563" width="25.7265625" style="2782" customWidth="1"/>
    <col min="12564" max="12564" width="14.7265625" style="2782" customWidth="1"/>
    <col min="12565" max="12565" width="22" style="2782" customWidth="1"/>
    <col min="12566" max="12566" width="15.26953125" style="2782" customWidth="1"/>
    <col min="12567" max="12570" width="25.7265625" style="2782" customWidth="1"/>
    <col min="12571" max="12571" width="15.7265625" style="2782" customWidth="1"/>
    <col min="12572" max="12572" width="22.453125" style="2782" customWidth="1"/>
    <col min="12573" max="12573" width="14.7265625" style="2782" customWidth="1"/>
    <col min="12574" max="12577" width="25.7265625" style="2782" customWidth="1"/>
    <col min="12578" max="12578" width="15.7265625" style="2782" customWidth="1"/>
    <col min="12579" max="12579" width="21" style="2782" customWidth="1"/>
    <col min="12580" max="12580" width="16.7265625" style="2782" customWidth="1"/>
    <col min="12581" max="12584" width="25.7265625" style="2782" customWidth="1"/>
    <col min="12585" max="12585" width="15.7265625" style="2782" customWidth="1"/>
    <col min="12586" max="12586" width="29.1796875" style="2782" customWidth="1"/>
    <col min="12587" max="12587" width="13.7265625" style="2782" customWidth="1"/>
    <col min="12588" max="12591" width="25.7265625" style="2782" customWidth="1"/>
    <col min="12592" max="12592" width="15.7265625" style="2782" customWidth="1"/>
    <col min="12593" max="12593" width="29.1796875" style="2782" customWidth="1"/>
    <col min="12594" max="12594" width="11.81640625" style="2782" customWidth="1"/>
    <col min="12595" max="12598" width="25.7265625" style="2782" customWidth="1"/>
    <col min="12599" max="12599" width="15.7265625" style="2782" customWidth="1"/>
    <col min="12600" max="12600" width="29.7265625" style="2782" customWidth="1"/>
    <col min="12601" max="12601" width="25.54296875" style="2782" customWidth="1"/>
    <col min="12602" max="12605" width="25.7265625" style="2782" customWidth="1"/>
    <col min="12606" max="12606" width="7.26953125" style="2782" customWidth="1"/>
    <col min="12607" max="12607" width="22.7265625" style="2782" customWidth="1"/>
    <col min="12608" max="12608" width="18.81640625" style="2782" customWidth="1"/>
    <col min="12609" max="12612" width="25.7265625" style="2782" customWidth="1"/>
    <col min="12613" max="12613" width="12.26953125" style="2782" customWidth="1"/>
    <col min="12614" max="12614" width="25.7265625" style="2782" customWidth="1"/>
    <col min="12615" max="12615" width="18.81640625" style="2782" customWidth="1"/>
    <col min="12616" max="12619" width="25.7265625" style="2782" customWidth="1"/>
    <col min="12620" max="12620" width="14.54296875" style="2782" customWidth="1"/>
    <col min="12621" max="12621" width="25.7265625" style="2782" customWidth="1"/>
    <col min="12622" max="12622" width="18.81640625" style="2782" customWidth="1"/>
    <col min="12623" max="12626" width="25.7265625" style="2782" customWidth="1"/>
    <col min="12627" max="12627" width="15.7265625" style="2782" customWidth="1"/>
    <col min="12628" max="12628" width="25.7265625" style="2782" customWidth="1"/>
    <col min="12629" max="12629" width="18.81640625" style="2782" customWidth="1"/>
    <col min="12630" max="12633" width="25.7265625" style="2782" customWidth="1"/>
    <col min="12634" max="12634" width="15.7265625" style="2782" customWidth="1"/>
    <col min="12635" max="12635" width="29.453125" style="2782" customWidth="1"/>
    <col min="12636" max="12636" width="18.81640625" style="2782" customWidth="1"/>
    <col min="12637" max="12637" width="25.7265625" style="2782" customWidth="1"/>
    <col min="12638" max="12638" width="29.7265625" style="2782" customWidth="1"/>
    <col min="12639" max="12640" width="25.7265625" style="2782" customWidth="1"/>
    <col min="12641" max="12641" width="13.7265625" style="2782" customWidth="1"/>
    <col min="12642" max="12642" width="29.1796875" style="2782" customWidth="1"/>
    <col min="12643" max="12643" width="23.7265625" style="2782" customWidth="1"/>
    <col min="12644" max="12647" width="24.81640625" style="2782" customWidth="1"/>
    <col min="12648" max="12648" width="14.7265625" style="2782" customWidth="1"/>
    <col min="12649" max="12649" width="30" style="2782" customWidth="1"/>
    <col min="12650" max="12650" width="22" style="2782" customWidth="1"/>
    <col min="12651" max="12651" width="19.26953125" style="2782" customWidth="1"/>
    <col min="12652" max="12652" width="14.1796875" style="2782" customWidth="1"/>
    <col min="12653" max="12799" width="9.1796875" style="2782"/>
    <col min="12800" max="12800" width="8.7265625" style="2782" customWidth="1"/>
    <col min="12801" max="12801" width="92.7265625" style="2782" customWidth="1"/>
    <col min="12802" max="12802" width="16.1796875" style="2782" customWidth="1"/>
    <col min="12803" max="12803" width="16.81640625" style="2782" customWidth="1"/>
    <col min="12804" max="12804" width="14.7265625" style="2782" customWidth="1"/>
    <col min="12805" max="12805" width="19.453125" style="2782" customWidth="1"/>
    <col min="12806" max="12806" width="15" style="2782" customWidth="1"/>
    <col min="12807" max="12807" width="12.7265625" style="2782" customWidth="1"/>
    <col min="12808" max="12809" width="12.1796875" style="2782" customWidth="1"/>
    <col min="12810" max="12810" width="15.81640625" style="2782" customWidth="1"/>
    <col min="12811" max="12811" width="22.1796875" style="2782" customWidth="1"/>
    <col min="12812" max="12812" width="11.453125" style="2782" customWidth="1"/>
    <col min="12813" max="12813" width="17.54296875" style="2782" customWidth="1"/>
    <col min="12814" max="12814" width="0.1796875" style="2782" customWidth="1"/>
    <col min="12815" max="12815" width="18.81640625" style="2782" customWidth="1"/>
    <col min="12816" max="12819" width="25.7265625" style="2782" customWidth="1"/>
    <col min="12820" max="12820" width="14.7265625" style="2782" customWidth="1"/>
    <col min="12821" max="12821" width="22" style="2782" customWidth="1"/>
    <col min="12822" max="12822" width="15.26953125" style="2782" customWidth="1"/>
    <col min="12823" max="12826" width="25.7265625" style="2782" customWidth="1"/>
    <col min="12827" max="12827" width="15.7265625" style="2782" customWidth="1"/>
    <col min="12828" max="12828" width="22.453125" style="2782" customWidth="1"/>
    <col min="12829" max="12829" width="14.7265625" style="2782" customWidth="1"/>
    <col min="12830" max="12833" width="25.7265625" style="2782" customWidth="1"/>
    <col min="12834" max="12834" width="15.7265625" style="2782" customWidth="1"/>
    <col min="12835" max="12835" width="21" style="2782" customWidth="1"/>
    <col min="12836" max="12836" width="16.7265625" style="2782" customWidth="1"/>
    <col min="12837" max="12840" width="25.7265625" style="2782" customWidth="1"/>
    <col min="12841" max="12841" width="15.7265625" style="2782" customWidth="1"/>
    <col min="12842" max="12842" width="29.1796875" style="2782" customWidth="1"/>
    <col min="12843" max="12843" width="13.7265625" style="2782" customWidth="1"/>
    <col min="12844" max="12847" width="25.7265625" style="2782" customWidth="1"/>
    <col min="12848" max="12848" width="15.7265625" style="2782" customWidth="1"/>
    <col min="12849" max="12849" width="29.1796875" style="2782" customWidth="1"/>
    <col min="12850" max="12850" width="11.81640625" style="2782" customWidth="1"/>
    <col min="12851" max="12854" width="25.7265625" style="2782" customWidth="1"/>
    <col min="12855" max="12855" width="15.7265625" style="2782" customWidth="1"/>
    <col min="12856" max="12856" width="29.7265625" style="2782" customWidth="1"/>
    <col min="12857" max="12857" width="25.54296875" style="2782" customWidth="1"/>
    <col min="12858" max="12861" width="25.7265625" style="2782" customWidth="1"/>
    <col min="12862" max="12862" width="7.26953125" style="2782" customWidth="1"/>
    <col min="12863" max="12863" width="22.7265625" style="2782" customWidth="1"/>
    <col min="12864" max="12864" width="18.81640625" style="2782" customWidth="1"/>
    <col min="12865" max="12868" width="25.7265625" style="2782" customWidth="1"/>
    <col min="12869" max="12869" width="12.26953125" style="2782" customWidth="1"/>
    <col min="12870" max="12870" width="25.7265625" style="2782" customWidth="1"/>
    <col min="12871" max="12871" width="18.81640625" style="2782" customWidth="1"/>
    <col min="12872" max="12875" width="25.7265625" style="2782" customWidth="1"/>
    <col min="12876" max="12876" width="14.54296875" style="2782" customWidth="1"/>
    <col min="12877" max="12877" width="25.7265625" style="2782" customWidth="1"/>
    <col min="12878" max="12878" width="18.81640625" style="2782" customWidth="1"/>
    <col min="12879" max="12882" width="25.7265625" style="2782" customWidth="1"/>
    <col min="12883" max="12883" width="15.7265625" style="2782" customWidth="1"/>
    <col min="12884" max="12884" width="25.7265625" style="2782" customWidth="1"/>
    <col min="12885" max="12885" width="18.81640625" style="2782" customWidth="1"/>
    <col min="12886" max="12889" width="25.7265625" style="2782" customWidth="1"/>
    <col min="12890" max="12890" width="15.7265625" style="2782" customWidth="1"/>
    <col min="12891" max="12891" width="29.453125" style="2782" customWidth="1"/>
    <col min="12892" max="12892" width="18.81640625" style="2782" customWidth="1"/>
    <col min="12893" max="12893" width="25.7265625" style="2782" customWidth="1"/>
    <col min="12894" max="12894" width="29.7265625" style="2782" customWidth="1"/>
    <col min="12895" max="12896" width="25.7265625" style="2782" customWidth="1"/>
    <col min="12897" max="12897" width="13.7265625" style="2782" customWidth="1"/>
    <col min="12898" max="12898" width="29.1796875" style="2782" customWidth="1"/>
    <col min="12899" max="12899" width="23.7265625" style="2782" customWidth="1"/>
    <col min="12900" max="12903" width="24.81640625" style="2782" customWidth="1"/>
    <col min="12904" max="12904" width="14.7265625" style="2782" customWidth="1"/>
    <col min="12905" max="12905" width="30" style="2782" customWidth="1"/>
    <col min="12906" max="12906" width="22" style="2782" customWidth="1"/>
    <col min="12907" max="12907" width="19.26953125" style="2782" customWidth="1"/>
    <col min="12908" max="12908" width="14.1796875" style="2782" customWidth="1"/>
    <col min="12909" max="13055" width="9.1796875" style="2782"/>
    <col min="13056" max="13056" width="8.7265625" style="2782" customWidth="1"/>
    <col min="13057" max="13057" width="92.7265625" style="2782" customWidth="1"/>
    <col min="13058" max="13058" width="16.1796875" style="2782" customWidth="1"/>
    <col min="13059" max="13059" width="16.81640625" style="2782" customWidth="1"/>
    <col min="13060" max="13060" width="14.7265625" style="2782" customWidth="1"/>
    <col min="13061" max="13061" width="19.453125" style="2782" customWidth="1"/>
    <col min="13062" max="13062" width="15" style="2782" customWidth="1"/>
    <col min="13063" max="13063" width="12.7265625" style="2782" customWidth="1"/>
    <col min="13064" max="13065" width="12.1796875" style="2782" customWidth="1"/>
    <col min="13066" max="13066" width="15.81640625" style="2782" customWidth="1"/>
    <col min="13067" max="13067" width="22.1796875" style="2782" customWidth="1"/>
    <col min="13068" max="13068" width="11.453125" style="2782" customWidth="1"/>
    <col min="13069" max="13069" width="17.54296875" style="2782" customWidth="1"/>
    <col min="13070" max="13070" width="0.1796875" style="2782" customWidth="1"/>
    <col min="13071" max="13071" width="18.81640625" style="2782" customWidth="1"/>
    <col min="13072" max="13075" width="25.7265625" style="2782" customWidth="1"/>
    <col min="13076" max="13076" width="14.7265625" style="2782" customWidth="1"/>
    <col min="13077" max="13077" width="22" style="2782" customWidth="1"/>
    <col min="13078" max="13078" width="15.26953125" style="2782" customWidth="1"/>
    <col min="13079" max="13082" width="25.7265625" style="2782" customWidth="1"/>
    <col min="13083" max="13083" width="15.7265625" style="2782" customWidth="1"/>
    <col min="13084" max="13084" width="22.453125" style="2782" customWidth="1"/>
    <col min="13085" max="13085" width="14.7265625" style="2782" customWidth="1"/>
    <col min="13086" max="13089" width="25.7265625" style="2782" customWidth="1"/>
    <col min="13090" max="13090" width="15.7265625" style="2782" customWidth="1"/>
    <col min="13091" max="13091" width="21" style="2782" customWidth="1"/>
    <col min="13092" max="13092" width="16.7265625" style="2782" customWidth="1"/>
    <col min="13093" max="13096" width="25.7265625" style="2782" customWidth="1"/>
    <col min="13097" max="13097" width="15.7265625" style="2782" customWidth="1"/>
    <col min="13098" max="13098" width="29.1796875" style="2782" customWidth="1"/>
    <col min="13099" max="13099" width="13.7265625" style="2782" customWidth="1"/>
    <col min="13100" max="13103" width="25.7265625" style="2782" customWidth="1"/>
    <col min="13104" max="13104" width="15.7265625" style="2782" customWidth="1"/>
    <col min="13105" max="13105" width="29.1796875" style="2782" customWidth="1"/>
    <col min="13106" max="13106" width="11.81640625" style="2782" customWidth="1"/>
    <col min="13107" max="13110" width="25.7265625" style="2782" customWidth="1"/>
    <col min="13111" max="13111" width="15.7265625" style="2782" customWidth="1"/>
    <col min="13112" max="13112" width="29.7265625" style="2782" customWidth="1"/>
    <col min="13113" max="13113" width="25.54296875" style="2782" customWidth="1"/>
    <col min="13114" max="13117" width="25.7265625" style="2782" customWidth="1"/>
    <col min="13118" max="13118" width="7.26953125" style="2782" customWidth="1"/>
    <col min="13119" max="13119" width="22.7265625" style="2782" customWidth="1"/>
    <col min="13120" max="13120" width="18.81640625" style="2782" customWidth="1"/>
    <col min="13121" max="13124" width="25.7265625" style="2782" customWidth="1"/>
    <col min="13125" max="13125" width="12.26953125" style="2782" customWidth="1"/>
    <col min="13126" max="13126" width="25.7265625" style="2782" customWidth="1"/>
    <col min="13127" max="13127" width="18.81640625" style="2782" customWidth="1"/>
    <col min="13128" max="13131" width="25.7265625" style="2782" customWidth="1"/>
    <col min="13132" max="13132" width="14.54296875" style="2782" customWidth="1"/>
    <col min="13133" max="13133" width="25.7265625" style="2782" customWidth="1"/>
    <col min="13134" max="13134" width="18.81640625" style="2782" customWidth="1"/>
    <col min="13135" max="13138" width="25.7265625" style="2782" customWidth="1"/>
    <col min="13139" max="13139" width="15.7265625" style="2782" customWidth="1"/>
    <col min="13140" max="13140" width="25.7265625" style="2782" customWidth="1"/>
    <col min="13141" max="13141" width="18.81640625" style="2782" customWidth="1"/>
    <col min="13142" max="13145" width="25.7265625" style="2782" customWidth="1"/>
    <col min="13146" max="13146" width="15.7265625" style="2782" customWidth="1"/>
    <col min="13147" max="13147" width="29.453125" style="2782" customWidth="1"/>
    <col min="13148" max="13148" width="18.81640625" style="2782" customWidth="1"/>
    <col min="13149" max="13149" width="25.7265625" style="2782" customWidth="1"/>
    <col min="13150" max="13150" width="29.7265625" style="2782" customWidth="1"/>
    <col min="13151" max="13152" width="25.7265625" style="2782" customWidth="1"/>
    <col min="13153" max="13153" width="13.7265625" style="2782" customWidth="1"/>
    <col min="13154" max="13154" width="29.1796875" style="2782" customWidth="1"/>
    <col min="13155" max="13155" width="23.7265625" style="2782" customWidth="1"/>
    <col min="13156" max="13159" width="24.81640625" style="2782" customWidth="1"/>
    <col min="13160" max="13160" width="14.7265625" style="2782" customWidth="1"/>
    <col min="13161" max="13161" width="30" style="2782" customWidth="1"/>
    <col min="13162" max="13162" width="22" style="2782" customWidth="1"/>
    <col min="13163" max="13163" width="19.26953125" style="2782" customWidth="1"/>
    <col min="13164" max="13164" width="14.1796875" style="2782" customWidth="1"/>
    <col min="13165" max="13311" width="9.1796875" style="2782"/>
    <col min="13312" max="13312" width="8.7265625" style="2782" customWidth="1"/>
    <col min="13313" max="13313" width="92.7265625" style="2782" customWidth="1"/>
    <col min="13314" max="13314" width="16.1796875" style="2782" customWidth="1"/>
    <col min="13315" max="13315" width="16.81640625" style="2782" customWidth="1"/>
    <col min="13316" max="13316" width="14.7265625" style="2782" customWidth="1"/>
    <col min="13317" max="13317" width="19.453125" style="2782" customWidth="1"/>
    <col min="13318" max="13318" width="15" style="2782" customWidth="1"/>
    <col min="13319" max="13319" width="12.7265625" style="2782" customWidth="1"/>
    <col min="13320" max="13321" width="12.1796875" style="2782" customWidth="1"/>
    <col min="13322" max="13322" width="15.81640625" style="2782" customWidth="1"/>
    <col min="13323" max="13323" width="22.1796875" style="2782" customWidth="1"/>
    <col min="13324" max="13324" width="11.453125" style="2782" customWidth="1"/>
    <col min="13325" max="13325" width="17.54296875" style="2782" customWidth="1"/>
    <col min="13326" max="13326" width="0.1796875" style="2782" customWidth="1"/>
    <col min="13327" max="13327" width="18.81640625" style="2782" customWidth="1"/>
    <col min="13328" max="13331" width="25.7265625" style="2782" customWidth="1"/>
    <col min="13332" max="13332" width="14.7265625" style="2782" customWidth="1"/>
    <col min="13333" max="13333" width="22" style="2782" customWidth="1"/>
    <col min="13334" max="13334" width="15.26953125" style="2782" customWidth="1"/>
    <col min="13335" max="13338" width="25.7265625" style="2782" customWidth="1"/>
    <col min="13339" max="13339" width="15.7265625" style="2782" customWidth="1"/>
    <col min="13340" max="13340" width="22.453125" style="2782" customWidth="1"/>
    <col min="13341" max="13341" width="14.7265625" style="2782" customWidth="1"/>
    <col min="13342" max="13345" width="25.7265625" style="2782" customWidth="1"/>
    <col min="13346" max="13346" width="15.7265625" style="2782" customWidth="1"/>
    <col min="13347" max="13347" width="21" style="2782" customWidth="1"/>
    <col min="13348" max="13348" width="16.7265625" style="2782" customWidth="1"/>
    <col min="13349" max="13352" width="25.7265625" style="2782" customWidth="1"/>
    <col min="13353" max="13353" width="15.7265625" style="2782" customWidth="1"/>
    <col min="13354" max="13354" width="29.1796875" style="2782" customWidth="1"/>
    <col min="13355" max="13355" width="13.7265625" style="2782" customWidth="1"/>
    <col min="13356" max="13359" width="25.7265625" style="2782" customWidth="1"/>
    <col min="13360" max="13360" width="15.7265625" style="2782" customWidth="1"/>
    <col min="13361" max="13361" width="29.1796875" style="2782" customWidth="1"/>
    <col min="13362" max="13362" width="11.81640625" style="2782" customWidth="1"/>
    <col min="13363" max="13366" width="25.7265625" style="2782" customWidth="1"/>
    <col min="13367" max="13367" width="15.7265625" style="2782" customWidth="1"/>
    <col min="13368" max="13368" width="29.7265625" style="2782" customWidth="1"/>
    <col min="13369" max="13369" width="25.54296875" style="2782" customWidth="1"/>
    <col min="13370" max="13373" width="25.7265625" style="2782" customWidth="1"/>
    <col min="13374" max="13374" width="7.26953125" style="2782" customWidth="1"/>
    <col min="13375" max="13375" width="22.7265625" style="2782" customWidth="1"/>
    <col min="13376" max="13376" width="18.81640625" style="2782" customWidth="1"/>
    <col min="13377" max="13380" width="25.7265625" style="2782" customWidth="1"/>
    <col min="13381" max="13381" width="12.26953125" style="2782" customWidth="1"/>
    <col min="13382" max="13382" width="25.7265625" style="2782" customWidth="1"/>
    <col min="13383" max="13383" width="18.81640625" style="2782" customWidth="1"/>
    <col min="13384" max="13387" width="25.7265625" style="2782" customWidth="1"/>
    <col min="13388" max="13388" width="14.54296875" style="2782" customWidth="1"/>
    <col min="13389" max="13389" width="25.7265625" style="2782" customWidth="1"/>
    <col min="13390" max="13390" width="18.81640625" style="2782" customWidth="1"/>
    <col min="13391" max="13394" width="25.7265625" style="2782" customWidth="1"/>
    <col min="13395" max="13395" width="15.7265625" style="2782" customWidth="1"/>
    <col min="13396" max="13396" width="25.7265625" style="2782" customWidth="1"/>
    <col min="13397" max="13397" width="18.81640625" style="2782" customWidth="1"/>
    <col min="13398" max="13401" width="25.7265625" style="2782" customWidth="1"/>
    <col min="13402" max="13402" width="15.7265625" style="2782" customWidth="1"/>
    <col min="13403" max="13403" width="29.453125" style="2782" customWidth="1"/>
    <col min="13404" max="13404" width="18.81640625" style="2782" customWidth="1"/>
    <col min="13405" max="13405" width="25.7265625" style="2782" customWidth="1"/>
    <col min="13406" max="13406" width="29.7265625" style="2782" customWidth="1"/>
    <col min="13407" max="13408" width="25.7265625" style="2782" customWidth="1"/>
    <col min="13409" max="13409" width="13.7265625" style="2782" customWidth="1"/>
    <col min="13410" max="13410" width="29.1796875" style="2782" customWidth="1"/>
    <col min="13411" max="13411" width="23.7265625" style="2782" customWidth="1"/>
    <col min="13412" max="13415" width="24.81640625" style="2782" customWidth="1"/>
    <col min="13416" max="13416" width="14.7265625" style="2782" customWidth="1"/>
    <col min="13417" max="13417" width="30" style="2782" customWidth="1"/>
    <col min="13418" max="13418" width="22" style="2782" customWidth="1"/>
    <col min="13419" max="13419" width="19.26953125" style="2782" customWidth="1"/>
    <col min="13420" max="13420" width="14.1796875" style="2782" customWidth="1"/>
    <col min="13421" max="13567" width="9.1796875" style="2782"/>
    <col min="13568" max="13568" width="8.7265625" style="2782" customWidth="1"/>
    <col min="13569" max="13569" width="92.7265625" style="2782" customWidth="1"/>
    <col min="13570" max="13570" width="16.1796875" style="2782" customWidth="1"/>
    <col min="13571" max="13571" width="16.81640625" style="2782" customWidth="1"/>
    <col min="13572" max="13572" width="14.7265625" style="2782" customWidth="1"/>
    <col min="13573" max="13573" width="19.453125" style="2782" customWidth="1"/>
    <col min="13574" max="13574" width="15" style="2782" customWidth="1"/>
    <col min="13575" max="13575" width="12.7265625" style="2782" customWidth="1"/>
    <col min="13576" max="13577" width="12.1796875" style="2782" customWidth="1"/>
    <col min="13578" max="13578" width="15.81640625" style="2782" customWidth="1"/>
    <col min="13579" max="13579" width="22.1796875" style="2782" customWidth="1"/>
    <col min="13580" max="13580" width="11.453125" style="2782" customWidth="1"/>
    <col min="13581" max="13581" width="17.54296875" style="2782" customWidth="1"/>
    <col min="13582" max="13582" width="0.1796875" style="2782" customWidth="1"/>
    <col min="13583" max="13583" width="18.81640625" style="2782" customWidth="1"/>
    <col min="13584" max="13587" width="25.7265625" style="2782" customWidth="1"/>
    <col min="13588" max="13588" width="14.7265625" style="2782" customWidth="1"/>
    <col min="13589" max="13589" width="22" style="2782" customWidth="1"/>
    <col min="13590" max="13590" width="15.26953125" style="2782" customWidth="1"/>
    <col min="13591" max="13594" width="25.7265625" style="2782" customWidth="1"/>
    <col min="13595" max="13595" width="15.7265625" style="2782" customWidth="1"/>
    <col min="13596" max="13596" width="22.453125" style="2782" customWidth="1"/>
    <col min="13597" max="13597" width="14.7265625" style="2782" customWidth="1"/>
    <col min="13598" max="13601" width="25.7265625" style="2782" customWidth="1"/>
    <col min="13602" max="13602" width="15.7265625" style="2782" customWidth="1"/>
    <col min="13603" max="13603" width="21" style="2782" customWidth="1"/>
    <col min="13604" max="13604" width="16.7265625" style="2782" customWidth="1"/>
    <col min="13605" max="13608" width="25.7265625" style="2782" customWidth="1"/>
    <col min="13609" max="13609" width="15.7265625" style="2782" customWidth="1"/>
    <col min="13610" max="13610" width="29.1796875" style="2782" customWidth="1"/>
    <col min="13611" max="13611" width="13.7265625" style="2782" customWidth="1"/>
    <col min="13612" max="13615" width="25.7265625" style="2782" customWidth="1"/>
    <col min="13616" max="13616" width="15.7265625" style="2782" customWidth="1"/>
    <col min="13617" max="13617" width="29.1796875" style="2782" customWidth="1"/>
    <col min="13618" max="13618" width="11.81640625" style="2782" customWidth="1"/>
    <col min="13619" max="13622" width="25.7265625" style="2782" customWidth="1"/>
    <col min="13623" max="13623" width="15.7265625" style="2782" customWidth="1"/>
    <col min="13624" max="13624" width="29.7265625" style="2782" customWidth="1"/>
    <col min="13625" max="13625" width="25.54296875" style="2782" customWidth="1"/>
    <col min="13626" max="13629" width="25.7265625" style="2782" customWidth="1"/>
    <col min="13630" max="13630" width="7.26953125" style="2782" customWidth="1"/>
    <col min="13631" max="13631" width="22.7265625" style="2782" customWidth="1"/>
    <col min="13632" max="13632" width="18.81640625" style="2782" customWidth="1"/>
    <col min="13633" max="13636" width="25.7265625" style="2782" customWidth="1"/>
    <col min="13637" max="13637" width="12.26953125" style="2782" customWidth="1"/>
    <col min="13638" max="13638" width="25.7265625" style="2782" customWidth="1"/>
    <col min="13639" max="13639" width="18.81640625" style="2782" customWidth="1"/>
    <col min="13640" max="13643" width="25.7265625" style="2782" customWidth="1"/>
    <col min="13644" max="13644" width="14.54296875" style="2782" customWidth="1"/>
    <col min="13645" max="13645" width="25.7265625" style="2782" customWidth="1"/>
    <col min="13646" max="13646" width="18.81640625" style="2782" customWidth="1"/>
    <col min="13647" max="13650" width="25.7265625" style="2782" customWidth="1"/>
    <col min="13651" max="13651" width="15.7265625" style="2782" customWidth="1"/>
    <col min="13652" max="13652" width="25.7265625" style="2782" customWidth="1"/>
    <col min="13653" max="13653" width="18.81640625" style="2782" customWidth="1"/>
    <col min="13654" max="13657" width="25.7265625" style="2782" customWidth="1"/>
    <col min="13658" max="13658" width="15.7265625" style="2782" customWidth="1"/>
    <col min="13659" max="13659" width="29.453125" style="2782" customWidth="1"/>
    <col min="13660" max="13660" width="18.81640625" style="2782" customWidth="1"/>
    <col min="13661" max="13661" width="25.7265625" style="2782" customWidth="1"/>
    <col min="13662" max="13662" width="29.7265625" style="2782" customWidth="1"/>
    <col min="13663" max="13664" width="25.7265625" style="2782" customWidth="1"/>
    <col min="13665" max="13665" width="13.7265625" style="2782" customWidth="1"/>
    <col min="13666" max="13666" width="29.1796875" style="2782" customWidth="1"/>
    <col min="13667" max="13667" width="23.7265625" style="2782" customWidth="1"/>
    <col min="13668" max="13671" width="24.81640625" style="2782" customWidth="1"/>
    <col min="13672" max="13672" width="14.7265625" style="2782" customWidth="1"/>
    <col min="13673" max="13673" width="30" style="2782" customWidth="1"/>
    <col min="13674" max="13674" width="22" style="2782" customWidth="1"/>
    <col min="13675" max="13675" width="19.26953125" style="2782" customWidth="1"/>
    <col min="13676" max="13676" width="14.1796875" style="2782" customWidth="1"/>
    <col min="13677" max="13823" width="9.1796875" style="2782"/>
    <col min="13824" max="13824" width="8.7265625" style="2782" customWidth="1"/>
    <col min="13825" max="13825" width="92.7265625" style="2782" customWidth="1"/>
    <col min="13826" max="13826" width="16.1796875" style="2782" customWidth="1"/>
    <col min="13827" max="13827" width="16.81640625" style="2782" customWidth="1"/>
    <col min="13828" max="13828" width="14.7265625" style="2782" customWidth="1"/>
    <col min="13829" max="13829" width="19.453125" style="2782" customWidth="1"/>
    <col min="13830" max="13830" width="15" style="2782" customWidth="1"/>
    <col min="13831" max="13831" width="12.7265625" style="2782" customWidth="1"/>
    <col min="13832" max="13833" width="12.1796875" style="2782" customWidth="1"/>
    <col min="13834" max="13834" width="15.81640625" style="2782" customWidth="1"/>
    <col min="13835" max="13835" width="22.1796875" style="2782" customWidth="1"/>
    <col min="13836" max="13836" width="11.453125" style="2782" customWidth="1"/>
    <col min="13837" max="13837" width="17.54296875" style="2782" customWidth="1"/>
    <col min="13838" max="13838" width="0.1796875" style="2782" customWidth="1"/>
    <col min="13839" max="13839" width="18.81640625" style="2782" customWidth="1"/>
    <col min="13840" max="13843" width="25.7265625" style="2782" customWidth="1"/>
    <col min="13844" max="13844" width="14.7265625" style="2782" customWidth="1"/>
    <col min="13845" max="13845" width="22" style="2782" customWidth="1"/>
    <col min="13846" max="13846" width="15.26953125" style="2782" customWidth="1"/>
    <col min="13847" max="13850" width="25.7265625" style="2782" customWidth="1"/>
    <col min="13851" max="13851" width="15.7265625" style="2782" customWidth="1"/>
    <col min="13852" max="13852" width="22.453125" style="2782" customWidth="1"/>
    <col min="13853" max="13853" width="14.7265625" style="2782" customWidth="1"/>
    <col min="13854" max="13857" width="25.7265625" style="2782" customWidth="1"/>
    <col min="13858" max="13858" width="15.7265625" style="2782" customWidth="1"/>
    <col min="13859" max="13859" width="21" style="2782" customWidth="1"/>
    <col min="13860" max="13860" width="16.7265625" style="2782" customWidth="1"/>
    <col min="13861" max="13864" width="25.7265625" style="2782" customWidth="1"/>
    <col min="13865" max="13865" width="15.7265625" style="2782" customWidth="1"/>
    <col min="13866" max="13866" width="29.1796875" style="2782" customWidth="1"/>
    <col min="13867" max="13867" width="13.7265625" style="2782" customWidth="1"/>
    <col min="13868" max="13871" width="25.7265625" style="2782" customWidth="1"/>
    <col min="13872" max="13872" width="15.7265625" style="2782" customWidth="1"/>
    <col min="13873" max="13873" width="29.1796875" style="2782" customWidth="1"/>
    <col min="13874" max="13874" width="11.81640625" style="2782" customWidth="1"/>
    <col min="13875" max="13878" width="25.7265625" style="2782" customWidth="1"/>
    <col min="13879" max="13879" width="15.7265625" style="2782" customWidth="1"/>
    <col min="13880" max="13880" width="29.7265625" style="2782" customWidth="1"/>
    <col min="13881" max="13881" width="25.54296875" style="2782" customWidth="1"/>
    <col min="13882" max="13885" width="25.7265625" style="2782" customWidth="1"/>
    <col min="13886" max="13886" width="7.26953125" style="2782" customWidth="1"/>
    <col min="13887" max="13887" width="22.7265625" style="2782" customWidth="1"/>
    <col min="13888" max="13888" width="18.81640625" style="2782" customWidth="1"/>
    <col min="13889" max="13892" width="25.7265625" style="2782" customWidth="1"/>
    <col min="13893" max="13893" width="12.26953125" style="2782" customWidth="1"/>
    <col min="13894" max="13894" width="25.7265625" style="2782" customWidth="1"/>
    <col min="13895" max="13895" width="18.81640625" style="2782" customWidth="1"/>
    <col min="13896" max="13899" width="25.7265625" style="2782" customWidth="1"/>
    <col min="13900" max="13900" width="14.54296875" style="2782" customWidth="1"/>
    <col min="13901" max="13901" width="25.7265625" style="2782" customWidth="1"/>
    <col min="13902" max="13902" width="18.81640625" style="2782" customWidth="1"/>
    <col min="13903" max="13906" width="25.7265625" style="2782" customWidth="1"/>
    <col min="13907" max="13907" width="15.7265625" style="2782" customWidth="1"/>
    <col min="13908" max="13908" width="25.7265625" style="2782" customWidth="1"/>
    <col min="13909" max="13909" width="18.81640625" style="2782" customWidth="1"/>
    <col min="13910" max="13913" width="25.7265625" style="2782" customWidth="1"/>
    <col min="13914" max="13914" width="15.7265625" style="2782" customWidth="1"/>
    <col min="13915" max="13915" width="29.453125" style="2782" customWidth="1"/>
    <col min="13916" max="13916" width="18.81640625" style="2782" customWidth="1"/>
    <col min="13917" max="13917" width="25.7265625" style="2782" customWidth="1"/>
    <col min="13918" max="13918" width="29.7265625" style="2782" customWidth="1"/>
    <col min="13919" max="13920" width="25.7265625" style="2782" customWidth="1"/>
    <col min="13921" max="13921" width="13.7265625" style="2782" customWidth="1"/>
    <col min="13922" max="13922" width="29.1796875" style="2782" customWidth="1"/>
    <col min="13923" max="13923" width="23.7265625" style="2782" customWidth="1"/>
    <col min="13924" max="13927" width="24.81640625" style="2782" customWidth="1"/>
    <col min="13928" max="13928" width="14.7265625" style="2782" customWidth="1"/>
    <col min="13929" max="13929" width="30" style="2782" customWidth="1"/>
    <col min="13930" max="13930" width="22" style="2782" customWidth="1"/>
    <col min="13931" max="13931" width="19.26953125" style="2782" customWidth="1"/>
    <col min="13932" max="13932" width="14.1796875" style="2782" customWidth="1"/>
    <col min="13933" max="14079" width="9.1796875" style="2782"/>
    <col min="14080" max="14080" width="8.7265625" style="2782" customWidth="1"/>
    <col min="14081" max="14081" width="92.7265625" style="2782" customWidth="1"/>
    <col min="14082" max="14082" width="16.1796875" style="2782" customWidth="1"/>
    <col min="14083" max="14083" width="16.81640625" style="2782" customWidth="1"/>
    <col min="14084" max="14084" width="14.7265625" style="2782" customWidth="1"/>
    <col min="14085" max="14085" width="19.453125" style="2782" customWidth="1"/>
    <col min="14086" max="14086" width="15" style="2782" customWidth="1"/>
    <col min="14087" max="14087" width="12.7265625" style="2782" customWidth="1"/>
    <col min="14088" max="14089" width="12.1796875" style="2782" customWidth="1"/>
    <col min="14090" max="14090" width="15.81640625" style="2782" customWidth="1"/>
    <col min="14091" max="14091" width="22.1796875" style="2782" customWidth="1"/>
    <col min="14092" max="14092" width="11.453125" style="2782" customWidth="1"/>
    <col min="14093" max="14093" width="17.54296875" style="2782" customWidth="1"/>
    <col min="14094" max="14094" width="0.1796875" style="2782" customWidth="1"/>
    <col min="14095" max="14095" width="18.81640625" style="2782" customWidth="1"/>
    <col min="14096" max="14099" width="25.7265625" style="2782" customWidth="1"/>
    <col min="14100" max="14100" width="14.7265625" style="2782" customWidth="1"/>
    <col min="14101" max="14101" width="22" style="2782" customWidth="1"/>
    <col min="14102" max="14102" width="15.26953125" style="2782" customWidth="1"/>
    <col min="14103" max="14106" width="25.7265625" style="2782" customWidth="1"/>
    <col min="14107" max="14107" width="15.7265625" style="2782" customWidth="1"/>
    <col min="14108" max="14108" width="22.453125" style="2782" customWidth="1"/>
    <col min="14109" max="14109" width="14.7265625" style="2782" customWidth="1"/>
    <col min="14110" max="14113" width="25.7265625" style="2782" customWidth="1"/>
    <col min="14114" max="14114" width="15.7265625" style="2782" customWidth="1"/>
    <col min="14115" max="14115" width="21" style="2782" customWidth="1"/>
    <col min="14116" max="14116" width="16.7265625" style="2782" customWidth="1"/>
    <col min="14117" max="14120" width="25.7265625" style="2782" customWidth="1"/>
    <col min="14121" max="14121" width="15.7265625" style="2782" customWidth="1"/>
    <col min="14122" max="14122" width="29.1796875" style="2782" customWidth="1"/>
    <col min="14123" max="14123" width="13.7265625" style="2782" customWidth="1"/>
    <col min="14124" max="14127" width="25.7265625" style="2782" customWidth="1"/>
    <col min="14128" max="14128" width="15.7265625" style="2782" customWidth="1"/>
    <col min="14129" max="14129" width="29.1796875" style="2782" customWidth="1"/>
    <col min="14130" max="14130" width="11.81640625" style="2782" customWidth="1"/>
    <col min="14131" max="14134" width="25.7265625" style="2782" customWidth="1"/>
    <col min="14135" max="14135" width="15.7265625" style="2782" customWidth="1"/>
    <col min="14136" max="14136" width="29.7265625" style="2782" customWidth="1"/>
    <col min="14137" max="14137" width="25.54296875" style="2782" customWidth="1"/>
    <col min="14138" max="14141" width="25.7265625" style="2782" customWidth="1"/>
    <col min="14142" max="14142" width="7.26953125" style="2782" customWidth="1"/>
    <col min="14143" max="14143" width="22.7265625" style="2782" customWidth="1"/>
    <col min="14144" max="14144" width="18.81640625" style="2782" customWidth="1"/>
    <col min="14145" max="14148" width="25.7265625" style="2782" customWidth="1"/>
    <col min="14149" max="14149" width="12.26953125" style="2782" customWidth="1"/>
    <col min="14150" max="14150" width="25.7265625" style="2782" customWidth="1"/>
    <col min="14151" max="14151" width="18.81640625" style="2782" customWidth="1"/>
    <col min="14152" max="14155" width="25.7265625" style="2782" customWidth="1"/>
    <col min="14156" max="14156" width="14.54296875" style="2782" customWidth="1"/>
    <col min="14157" max="14157" width="25.7265625" style="2782" customWidth="1"/>
    <col min="14158" max="14158" width="18.81640625" style="2782" customWidth="1"/>
    <col min="14159" max="14162" width="25.7265625" style="2782" customWidth="1"/>
    <col min="14163" max="14163" width="15.7265625" style="2782" customWidth="1"/>
    <col min="14164" max="14164" width="25.7265625" style="2782" customWidth="1"/>
    <col min="14165" max="14165" width="18.81640625" style="2782" customWidth="1"/>
    <col min="14166" max="14169" width="25.7265625" style="2782" customWidth="1"/>
    <col min="14170" max="14170" width="15.7265625" style="2782" customWidth="1"/>
    <col min="14171" max="14171" width="29.453125" style="2782" customWidth="1"/>
    <col min="14172" max="14172" width="18.81640625" style="2782" customWidth="1"/>
    <col min="14173" max="14173" width="25.7265625" style="2782" customWidth="1"/>
    <col min="14174" max="14174" width="29.7265625" style="2782" customWidth="1"/>
    <col min="14175" max="14176" width="25.7265625" style="2782" customWidth="1"/>
    <col min="14177" max="14177" width="13.7265625" style="2782" customWidth="1"/>
    <col min="14178" max="14178" width="29.1796875" style="2782" customWidth="1"/>
    <col min="14179" max="14179" width="23.7265625" style="2782" customWidth="1"/>
    <col min="14180" max="14183" width="24.81640625" style="2782" customWidth="1"/>
    <col min="14184" max="14184" width="14.7265625" style="2782" customWidth="1"/>
    <col min="14185" max="14185" width="30" style="2782" customWidth="1"/>
    <col min="14186" max="14186" width="22" style="2782" customWidth="1"/>
    <col min="14187" max="14187" width="19.26953125" style="2782" customWidth="1"/>
    <col min="14188" max="14188" width="14.1796875" style="2782" customWidth="1"/>
    <col min="14189" max="14335" width="9.1796875" style="2782"/>
    <col min="14336" max="14336" width="8.7265625" style="2782" customWidth="1"/>
    <col min="14337" max="14337" width="92.7265625" style="2782" customWidth="1"/>
    <col min="14338" max="14338" width="16.1796875" style="2782" customWidth="1"/>
    <col min="14339" max="14339" width="16.81640625" style="2782" customWidth="1"/>
    <col min="14340" max="14340" width="14.7265625" style="2782" customWidth="1"/>
    <col min="14341" max="14341" width="19.453125" style="2782" customWidth="1"/>
    <col min="14342" max="14342" width="15" style="2782" customWidth="1"/>
    <col min="14343" max="14343" width="12.7265625" style="2782" customWidth="1"/>
    <col min="14344" max="14345" width="12.1796875" style="2782" customWidth="1"/>
    <col min="14346" max="14346" width="15.81640625" style="2782" customWidth="1"/>
    <col min="14347" max="14347" width="22.1796875" style="2782" customWidth="1"/>
    <col min="14348" max="14348" width="11.453125" style="2782" customWidth="1"/>
    <col min="14349" max="14349" width="17.54296875" style="2782" customWidth="1"/>
    <col min="14350" max="14350" width="0.1796875" style="2782" customWidth="1"/>
    <col min="14351" max="14351" width="18.81640625" style="2782" customWidth="1"/>
    <col min="14352" max="14355" width="25.7265625" style="2782" customWidth="1"/>
    <col min="14356" max="14356" width="14.7265625" style="2782" customWidth="1"/>
    <col min="14357" max="14357" width="22" style="2782" customWidth="1"/>
    <col min="14358" max="14358" width="15.26953125" style="2782" customWidth="1"/>
    <col min="14359" max="14362" width="25.7265625" style="2782" customWidth="1"/>
    <col min="14363" max="14363" width="15.7265625" style="2782" customWidth="1"/>
    <col min="14364" max="14364" width="22.453125" style="2782" customWidth="1"/>
    <col min="14365" max="14365" width="14.7265625" style="2782" customWidth="1"/>
    <col min="14366" max="14369" width="25.7265625" style="2782" customWidth="1"/>
    <col min="14370" max="14370" width="15.7265625" style="2782" customWidth="1"/>
    <col min="14371" max="14371" width="21" style="2782" customWidth="1"/>
    <col min="14372" max="14372" width="16.7265625" style="2782" customWidth="1"/>
    <col min="14373" max="14376" width="25.7265625" style="2782" customWidth="1"/>
    <col min="14377" max="14377" width="15.7265625" style="2782" customWidth="1"/>
    <col min="14378" max="14378" width="29.1796875" style="2782" customWidth="1"/>
    <col min="14379" max="14379" width="13.7265625" style="2782" customWidth="1"/>
    <col min="14380" max="14383" width="25.7265625" style="2782" customWidth="1"/>
    <col min="14384" max="14384" width="15.7265625" style="2782" customWidth="1"/>
    <col min="14385" max="14385" width="29.1796875" style="2782" customWidth="1"/>
    <col min="14386" max="14386" width="11.81640625" style="2782" customWidth="1"/>
    <col min="14387" max="14390" width="25.7265625" style="2782" customWidth="1"/>
    <col min="14391" max="14391" width="15.7265625" style="2782" customWidth="1"/>
    <col min="14392" max="14392" width="29.7265625" style="2782" customWidth="1"/>
    <col min="14393" max="14393" width="25.54296875" style="2782" customWidth="1"/>
    <col min="14394" max="14397" width="25.7265625" style="2782" customWidth="1"/>
    <col min="14398" max="14398" width="7.26953125" style="2782" customWidth="1"/>
    <col min="14399" max="14399" width="22.7265625" style="2782" customWidth="1"/>
    <col min="14400" max="14400" width="18.81640625" style="2782" customWidth="1"/>
    <col min="14401" max="14404" width="25.7265625" style="2782" customWidth="1"/>
    <col min="14405" max="14405" width="12.26953125" style="2782" customWidth="1"/>
    <col min="14406" max="14406" width="25.7265625" style="2782" customWidth="1"/>
    <col min="14407" max="14407" width="18.81640625" style="2782" customWidth="1"/>
    <col min="14408" max="14411" width="25.7265625" style="2782" customWidth="1"/>
    <col min="14412" max="14412" width="14.54296875" style="2782" customWidth="1"/>
    <col min="14413" max="14413" width="25.7265625" style="2782" customWidth="1"/>
    <col min="14414" max="14414" width="18.81640625" style="2782" customWidth="1"/>
    <col min="14415" max="14418" width="25.7265625" style="2782" customWidth="1"/>
    <col min="14419" max="14419" width="15.7265625" style="2782" customWidth="1"/>
    <col min="14420" max="14420" width="25.7265625" style="2782" customWidth="1"/>
    <col min="14421" max="14421" width="18.81640625" style="2782" customWidth="1"/>
    <col min="14422" max="14425" width="25.7265625" style="2782" customWidth="1"/>
    <col min="14426" max="14426" width="15.7265625" style="2782" customWidth="1"/>
    <col min="14427" max="14427" width="29.453125" style="2782" customWidth="1"/>
    <col min="14428" max="14428" width="18.81640625" style="2782" customWidth="1"/>
    <col min="14429" max="14429" width="25.7265625" style="2782" customWidth="1"/>
    <col min="14430" max="14430" width="29.7265625" style="2782" customWidth="1"/>
    <col min="14431" max="14432" width="25.7265625" style="2782" customWidth="1"/>
    <col min="14433" max="14433" width="13.7265625" style="2782" customWidth="1"/>
    <col min="14434" max="14434" width="29.1796875" style="2782" customWidth="1"/>
    <col min="14435" max="14435" width="23.7265625" style="2782" customWidth="1"/>
    <col min="14436" max="14439" width="24.81640625" style="2782" customWidth="1"/>
    <col min="14440" max="14440" width="14.7265625" style="2782" customWidth="1"/>
    <col min="14441" max="14441" width="30" style="2782" customWidth="1"/>
    <col min="14442" max="14442" width="22" style="2782" customWidth="1"/>
    <col min="14443" max="14443" width="19.26953125" style="2782" customWidth="1"/>
    <col min="14444" max="14444" width="14.1796875" style="2782" customWidth="1"/>
    <col min="14445" max="14591" width="9.1796875" style="2782"/>
    <col min="14592" max="14592" width="8.7265625" style="2782" customWidth="1"/>
    <col min="14593" max="14593" width="92.7265625" style="2782" customWidth="1"/>
    <col min="14594" max="14594" width="16.1796875" style="2782" customWidth="1"/>
    <col min="14595" max="14595" width="16.81640625" style="2782" customWidth="1"/>
    <col min="14596" max="14596" width="14.7265625" style="2782" customWidth="1"/>
    <col min="14597" max="14597" width="19.453125" style="2782" customWidth="1"/>
    <col min="14598" max="14598" width="15" style="2782" customWidth="1"/>
    <col min="14599" max="14599" width="12.7265625" style="2782" customWidth="1"/>
    <col min="14600" max="14601" width="12.1796875" style="2782" customWidth="1"/>
    <col min="14602" max="14602" width="15.81640625" style="2782" customWidth="1"/>
    <col min="14603" max="14603" width="22.1796875" style="2782" customWidth="1"/>
    <col min="14604" max="14604" width="11.453125" style="2782" customWidth="1"/>
    <col min="14605" max="14605" width="17.54296875" style="2782" customWidth="1"/>
    <col min="14606" max="14606" width="0.1796875" style="2782" customWidth="1"/>
    <col min="14607" max="14607" width="18.81640625" style="2782" customWidth="1"/>
    <col min="14608" max="14611" width="25.7265625" style="2782" customWidth="1"/>
    <col min="14612" max="14612" width="14.7265625" style="2782" customWidth="1"/>
    <col min="14613" max="14613" width="22" style="2782" customWidth="1"/>
    <col min="14614" max="14614" width="15.26953125" style="2782" customWidth="1"/>
    <col min="14615" max="14618" width="25.7265625" style="2782" customWidth="1"/>
    <col min="14619" max="14619" width="15.7265625" style="2782" customWidth="1"/>
    <col min="14620" max="14620" width="22.453125" style="2782" customWidth="1"/>
    <col min="14621" max="14621" width="14.7265625" style="2782" customWidth="1"/>
    <col min="14622" max="14625" width="25.7265625" style="2782" customWidth="1"/>
    <col min="14626" max="14626" width="15.7265625" style="2782" customWidth="1"/>
    <col min="14627" max="14627" width="21" style="2782" customWidth="1"/>
    <col min="14628" max="14628" width="16.7265625" style="2782" customWidth="1"/>
    <col min="14629" max="14632" width="25.7265625" style="2782" customWidth="1"/>
    <col min="14633" max="14633" width="15.7265625" style="2782" customWidth="1"/>
    <col min="14634" max="14634" width="29.1796875" style="2782" customWidth="1"/>
    <col min="14635" max="14635" width="13.7265625" style="2782" customWidth="1"/>
    <col min="14636" max="14639" width="25.7265625" style="2782" customWidth="1"/>
    <col min="14640" max="14640" width="15.7265625" style="2782" customWidth="1"/>
    <col min="14641" max="14641" width="29.1796875" style="2782" customWidth="1"/>
    <col min="14642" max="14642" width="11.81640625" style="2782" customWidth="1"/>
    <col min="14643" max="14646" width="25.7265625" style="2782" customWidth="1"/>
    <col min="14647" max="14647" width="15.7265625" style="2782" customWidth="1"/>
    <col min="14648" max="14648" width="29.7265625" style="2782" customWidth="1"/>
    <col min="14649" max="14649" width="25.54296875" style="2782" customWidth="1"/>
    <col min="14650" max="14653" width="25.7265625" style="2782" customWidth="1"/>
    <col min="14654" max="14654" width="7.26953125" style="2782" customWidth="1"/>
    <col min="14655" max="14655" width="22.7265625" style="2782" customWidth="1"/>
    <col min="14656" max="14656" width="18.81640625" style="2782" customWidth="1"/>
    <col min="14657" max="14660" width="25.7265625" style="2782" customWidth="1"/>
    <col min="14661" max="14661" width="12.26953125" style="2782" customWidth="1"/>
    <col min="14662" max="14662" width="25.7265625" style="2782" customWidth="1"/>
    <col min="14663" max="14663" width="18.81640625" style="2782" customWidth="1"/>
    <col min="14664" max="14667" width="25.7265625" style="2782" customWidth="1"/>
    <col min="14668" max="14668" width="14.54296875" style="2782" customWidth="1"/>
    <col min="14669" max="14669" width="25.7265625" style="2782" customWidth="1"/>
    <col min="14670" max="14670" width="18.81640625" style="2782" customWidth="1"/>
    <col min="14671" max="14674" width="25.7265625" style="2782" customWidth="1"/>
    <col min="14675" max="14675" width="15.7265625" style="2782" customWidth="1"/>
    <col min="14676" max="14676" width="25.7265625" style="2782" customWidth="1"/>
    <col min="14677" max="14677" width="18.81640625" style="2782" customWidth="1"/>
    <col min="14678" max="14681" width="25.7265625" style="2782" customWidth="1"/>
    <col min="14682" max="14682" width="15.7265625" style="2782" customWidth="1"/>
    <col min="14683" max="14683" width="29.453125" style="2782" customWidth="1"/>
    <col min="14684" max="14684" width="18.81640625" style="2782" customWidth="1"/>
    <col min="14685" max="14685" width="25.7265625" style="2782" customWidth="1"/>
    <col min="14686" max="14686" width="29.7265625" style="2782" customWidth="1"/>
    <col min="14687" max="14688" width="25.7265625" style="2782" customWidth="1"/>
    <col min="14689" max="14689" width="13.7265625" style="2782" customWidth="1"/>
    <col min="14690" max="14690" width="29.1796875" style="2782" customWidth="1"/>
    <col min="14691" max="14691" width="23.7265625" style="2782" customWidth="1"/>
    <col min="14692" max="14695" width="24.81640625" style="2782" customWidth="1"/>
    <col min="14696" max="14696" width="14.7265625" style="2782" customWidth="1"/>
    <col min="14697" max="14697" width="30" style="2782" customWidth="1"/>
    <col min="14698" max="14698" width="22" style="2782" customWidth="1"/>
    <col min="14699" max="14699" width="19.26953125" style="2782" customWidth="1"/>
    <col min="14700" max="14700" width="14.1796875" style="2782" customWidth="1"/>
    <col min="14701" max="14847" width="9.1796875" style="2782"/>
    <col min="14848" max="14848" width="8.7265625" style="2782" customWidth="1"/>
    <col min="14849" max="14849" width="92.7265625" style="2782" customWidth="1"/>
    <col min="14850" max="14850" width="16.1796875" style="2782" customWidth="1"/>
    <col min="14851" max="14851" width="16.81640625" style="2782" customWidth="1"/>
    <col min="14852" max="14852" width="14.7265625" style="2782" customWidth="1"/>
    <col min="14853" max="14853" width="19.453125" style="2782" customWidth="1"/>
    <col min="14854" max="14854" width="15" style="2782" customWidth="1"/>
    <col min="14855" max="14855" width="12.7265625" style="2782" customWidth="1"/>
    <col min="14856" max="14857" width="12.1796875" style="2782" customWidth="1"/>
    <col min="14858" max="14858" width="15.81640625" style="2782" customWidth="1"/>
    <col min="14859" max="14859" width="22.1796875" style="2782" customWidth="1"/>
    <col min="14860" max="14860" width="11.453125" style="2782" customWidth="1"/>
    <col min="14861" max="14861" width="17.54296875" style="2782" customWidth="1"/>
    <col min="14862" max="14862" width="0.1796875" style="2782" customWidth="1"/>
    <col min="14863" max="14863" width="18.81640625" style="2782" customWidth="1"/>
    <col min="14864" max="14867" width="25.7265625" style="2782" customWidth="1"/>
    <col min="14868" max="14868" width="14.7265625" style="2782" customWidth="1"/>
    <col min="14869" max="14869" width="22" style="2782" customWidth="1"/>
    <col min="14870" max="14870" width="15.26953125" style="2782" customWidth="1"/>
    <col min="14871" max="14874" width="25.7265625" style="2782" customWidth="1"/>
    <col min="14875" max="14875" width="15.7265625" style="2782" customWidth="1"/>
    <col min="14876" max="14876" width="22.453125" style="2782" customWidth="1"/>
    <col min="14877" max="14877" width="14.7265625" style="2782" customWidth="1"/>
    <col min="14878" max="14881" width="25.7265625" style="2782" customWidth="1"/>
    <col min="14882" max="14882" width="15.7265625" style="2782" customWidth="1"/>
    <col min="14883" max="14883" width="21" style="2782" customWidth="1"/>
    <col min="14884" max="14884" width="16.7265625" style="2782" customWidth="1"/>
    <col min="14885" max="14888" width="25.7265625" style="2782" customWidth="1"/>
    <col min="14889" max="14889" width="15.7265625" style="2782" customWidth="1"/>
    <col min="14890" max="14890" width="29.1796875" style="2782" customWidth="1"/>
    <col min="14891" max="14891" width="13.7265625" style="2782" customWidth="1"/>
    <col min="14892" max="14895" width="25.7265625" style="2782" customWidth="1"/>
    <col min="14896" max="14896" width="15.7265625" style="2782" customWidth="1"/>
    <col min="14897" max="14897" width="29.1796875" style="2782" customWidth="1"/>
    <col min="14898" max="14898" width="11.81640625" style="2782" customWidth="1"/>
    <col min="14899" max="14902" width="25.7265625" style="2782" customWidth="1"/>
    <col min="14903" max="14903" width="15.7265625" style="2782" customWidth="1"/>
    <col min="14904" max="14904" width="29.7265625" style="2782" customWidth="1"/>
    <col min="14905" max="14905" width="25.54296875" style="2782" customWidth="1"/>
    <col min="14906" max="14909" width="25.7265625" style="2782" customWidth="1"/>
    <col min="14910" max="14910" width="7.26953125" style="2782" customWidth="1"/>
    <col min="14911" max="14911" width="22.7265625" style="2782" customWidth="1"/>
    <col min="14912" max="14912" width="18.81640625" style="2782" customWidth="1"/>
    <col min="14913" max="14916" width="25.7265625" style="2782" customWidth="1"/>
    <col min="14917" max="14917" width="12.26953125" style="2782" customWidth="1"/>
    <col min="14918" max="14918" width="25.7265625" style="2782" customWidth="1"/>
    <col min="14919" max="14919" width="18.81640625" style="2782" customWidth="1"/>
    <col min="14920" max="14923" width="25.7265625" style="2782" customWidth="1"/>
    <col min="14924" max="14924" width="14.54296875" style="2782" customWidth="1"/>
    <col min="14925" max="14925" width="25.7265625" style="2782" customWidth="1"/>
    <col min="14926" max="14926" width="18.81640625" style="2782" customWidth="1"/>
    <col min="14927" max="14930" width="25.7265625" style="2782" customWidth="1"/>
    <col min="14931" max="14931" width="15.7265625" style="2782" customWidth="1"/>
    <col min="14932" max="14932" width="25.7265625" style="2782" customWidth="1"/>
    <col min="14933" max="14933" width="18.81640625" style="2782" customWidth="1"/>
    <col min="14934" max="14937" width="25.7265625" style="2782" customWidth="1"/>
    <col min="14938" max="14938" width="15.7265625" style="2782" customWidth="1"/>
    <col min="14939" max="14939" width="29.453125" style="2782" customWidth="1"/>
    <col min="14940" max="14940" width="18.81640625" style="2782" customWidth="1"/>
    <col min="14941" max="14941" width="25.7265625" style="2782" customWidth="1"/>
    <col min="14942" max="14942" width="29.7265625" style="2782" customWidth="1"/>
    <col min="14943" max="14944" width="25.7265625" style="2782" customWidth="1"/>
    <col min="14945" max="14945" width="13.7265625" style="2782" customWidth="1"/>
    <col min="14946" max="14946" width="29.1796875" style="2782" customWidth="1"/>
    <col min="14947" max="14947" width="23.7265625" style="2782" customWidth="1"/>
    <col min="14948" max="14951" width="24.81640625" style="2782" customWidth="1"/>
    <col min="14952" max="14952" width="14.7265625" style="2782" customWidth="1"/>
    <col min="14953" max="14953" width="30" style="2782" customWidth="1"/>
    <col min="14954" max="14954" width="22" style="2782" customWidth="1"/>
    <col min="14955" max="14955" width="19.26953125" style="2782" customWidth="1"/>
    <col min="14956" max="14956" width="14.1796875" style="2782" customWidth="1"/>
    <col min="14957" max="15103" width="9.1796875" style="2782"/>
    <col min="15104" max="15104" width="8.7265625" style="2782" customWidth="1"/>
    <col min="15105" max="15105" width="92.7265625" style="2782" customWidth="1"/>
    <col min="15106" max="15106" width="16.1796875" style="2782" customWidth="1"/>
    <col min="15107" max="15107" width="16.81640625" style="2782" customWidth="1"/>
    <col min="15108" max="15108" width="14.7265625" style="2782" customWidth="1"/>
    <col min="15109" max="15109" width="19.453125" style="2782" customWidth="1"/>
    <col min="15110" max="15110" width="15" style="2782" customWidth="1"/>
    <col min="15111" max="15111" width="12.7265625" style="2782" customWidth="1"/>
    <col min="15112" max="15113" width="12.1796875" style="2782" customWidth="1"/>
    <col min="15114" max="15114" width="15.81640625" style="2782" customWidth="1"/>
    <col min="15115" max="15115" width="22.1796875" style="2782" customWidth="1"/>
    <col min="15116" max="15116" width="11.453125" style="2782" customWidth="1"/>
    <col min="15117" max="15117" width="17.54296875" style="2782" customWidth="1"/>
    <col min="15118" max="15118" width="0.1796875" style="2782" customWidth="1"/>
    <col min="15119" max="15119" width="18.81640625" style="2782" customWidth="1"/>
    <col min="15120" max="15123" width="25.7265625" style="2782" customWidth="1"/>
    <col min="15124" max="15124" width="14.7265625" style="2782" customWidth="1"/>
    <col min="15125" max="15125" width="22" style="2782" customWidth="1"/>
    <col min="15126" max="15126" width="15.26953125" style="2782" customWidth="1"/>
    <col min="15127" max="15130" width="25.7265625" style="2782" customWidth="1"/>
    <col min="15131" max="15131" width="15.7265625" style="2782" customWidth="1"/>
    <col min="15132" max="15132" width="22.453125" style="2782" customWidth="1"/>
    <col min="15133" max="15133" width="14.7265625" style="2782" customWidth="1"/>
    <col min="15134" max="15137" width="25.7265625" style="2782" customWidth="1"/>
    <col min="15138" max="15138" width="15.7265625" style="2782" customWidth="1"/>
    <col min="15139" max="15139" width="21" style="2782" customWidth="1"/>
    <col min="15140" max="15140" width="16.7265625" style="2782" customWidth="1"/>
    <col min="15141" max="15144" width="25.7265625" style="2782" customWidth="1"/>
    <col min="15145" max="15145" width="15.7265625" style="2782" customWidth="1"/>
    <col min="15146" max="15146" width="29.1796875" style="2782" customWidth="1"/>
    <col min="15147" max="15147" width="13.7265625" style="2782" customWidth="1"/>
    <col min="15148" max="15151" width="25.7265625" style="2782" customWidth="1"/>
    <col min="15152" max="15152" width="15.7265625" style="2782" customWidth="1"/>
    <col min="15153" max="15153" width="29.1796875" style="2782" customWidth="1"/>
    <col min="15154" max="15154" width="11.81640625" style="2782" customWidth="1"/>
    <col min="15155" max="15158" width="25.7265625" style="2782" customWidth="1"/>
    <col min="15159" max="15159" width="15.7265625" style="2782" customWidth="1"/>
    <col min="15160" max="15160" width="29.7265625" style="2782" customWidth="1"/>
    <col min="15161" max="15161" width="25.54296875" style="2782" customWidth="1"/>
    <col min="15162" max="15165" width="25.7265625" style="2782" customWidth="1"/>
    <col min="15166" max="15166" width="7.26953125" style="2782" customWidth="1"/>
    <col min="15167" max="15167" width="22.7265625" style="2782" customWidth="1"/>
    <col min="15168" max="15168" width="18.81640625" style="2782" customWidth="1"/>
    <col min="15169" max="15172" width="25.7265625" style="2782" customWidth="1"/>
    <col min="15173" max="15173" width="12.26953125" style="2782" customWidth="1"/>
    <col min="15174" max="15174" width="25.7265625" style="2782" customWidth="1"/>
    <col min="15175" max="15175" width="18.81640625" style="2782" customWidth="1"/>
    <col min="15176" max="15179" width="25.7265625" style="2782" customWidth="1"/>
    <col min="15180" max="15180" width="14.54296875" style="2782" customWidth="1"/>
    <col min="15181" max="15181" width="25.7265625" style="2782" customWidth="1"/>
    <col min="15182" max="15182" width="18.81640625" style="2782" customWidth="1"/>
    <col min="15183" max="15186" width="25.7265625" style="2782" customWidth="1"/>
    <col min="15187" max="15187" width="15.7265625" style="2782" customWidth="1"/>
    <col min="15188" max="15188" width="25.7265625" style="2782" customWidth="1"/>
    <col min="15189" max="15189" width="18.81640625" style="2782" customWidth="1"/>
    <col min="15190" max="15193" width="25.7265625" style="2782" customWidth="1"/>
    <col min="15194" max="15194" width="15.7265625" style="2782" customWidth="1"/>
    <col min="15195" max="15195" width="29.453125" style="2782" customWidth="1"/>
    <col min="15196" max="15196" width="18.81640625" style="2782" customWidth="1"/>
    <col min="15197" max="15197" width="25.7265625" style="2782" customWidth="1"/>
    <col min="15198" max="15198" width="29.7265625" style="2782" customWidth="1"/>
    <col min="15199" max="15200" width="25.7265625" style="2782" customWidth="1"/>
    <col min="15201" max="15201" width="13.7265625" style="2782" customWidth="1"/>
    <col min="15202" max="15202" width="29.1796875" style="2782" customWidth="1"/>
    <col min="15203" max="15203" width="23.7265625" style="2782" customWidth="1"/>
    <col min="15204" max="15207" width="24.81640625" style="2782" customWidth="1"/>
    <col min="15208" max="15208" width="14.7265625" style="2782" customWidth="1"/>
    <col min="15209" max="15209" width="30" style="2782" customWidth="1"/>
    <col min="15210" max="15210" width="22" style="2782" customWidth="1"/>
    <col min="15211" max="15211" width="19.26953125" style="2782" customWidth="1"/>
    <col min="15212" max="15212" width="14.1796875" style="2782" customWidth="1"/>
    <col min="15213" max="15359" width="9.1796875" style="2782"/>
    <col min="15360" max="15360" width="8.7265625" style="2782" customWidth="1"/>
    <col min="15361" max="15361" width="92.7265625" style="2782" customWidth="1"/>
    <col min="15362" max="15362" width="16.1796875" style="2782" customWidth="1"/>
    <col min="15363" max="15363" width="16.81640625" style="2782" customWidth="1"/>
    <col min="15364" max="15364" width="14.7265625" style="2782" customWidth="1"/>
    <col min="15365" max="15365" width="19.453125" style="2782" customWidth="1"/>
    <col min="15366" max="15366" width="15" style="2782" customWidth="1"/>
    <col min="15367" max="15367" width="12.7265625" style="2782" customWidth="1"/>
    <col min="15368" max="15369" width="12.1796875" style="2782" customWidth="1"/>
    <col min="15370" max="15370" width="15.81640625" style="2782" customWidth="1"/>
    <col min="15371" max="15371" width="22.1796875" style="2782" customWidth="1"/>
    <col min="15372" max="15372" width="11.453125" style="2782" customWidth="1"/>
    <col min="15373" max="15373" width="17.54296875" style="2782" customWidth="1"/>
    <col min="15374" max="15374" width="0.1796875" style="2782" customWidth="1"/>
    <col min="15375" max="15375" width="18.81640625" style="2782" customWidth="1"/>
    <col min="15376" max="15379" width="25.7265625" style="2782" customWidth="1"/>
    <col min="15380" max="15380" width="14.7265625" style="2782" customWidth="1"/>
    <col min="15381" max="15381" width="22" style="2782" customWidth="1"/>
    <col min="15382" max="15382" width="15.26953125" style="2782" customWidth="1"/>
    <col min="15383" max="15386" width="25.7265625" style="2782" customWidth="1"/>
    <col min="15387" max="15387" width="15.7265625" style="2782" customWidth="1"/>
    <col min="15388" max="15388" width="22.453125" style="2782" customWidth="1"/>
    <col min="15389" max="15389" width="14.7265625" style="2782" customWidth="1"/>
    <col min="15390" max="15393" width="25.7265625" style="2782" customWidth="1"/>
    <col min="15394" max="15394" width="15.7265625" style="2782" customWidth="1"/>
    <col min="15395" max="15395" width="21" style="2782" customWidth="1"/>
    <col min="15396" max="15396" width="16.7265625" style="2782" customWidth="1"/>
    <col min="15397" max="15400" width="25.7265625" style="2782" customWidth="1"/>
    <col min="15401" max="15401" width="15.7265625" style="2782" customWidth="1"/>
    <col min="15402" max="15402" width="29.1796875" style="2782" customWidth="1"/>
    <col min="15403" max="15403" width="13.7265625" style="2782" customWidth="1"/>
    <col min="15404" max="15407" width="25.7265625" style="2782" customWidth="1"/>
    <col min="15408" max="15408" width="15.7265625" style="2782" customWidth="1"/>
    <col min="15409" max="15409" width="29.1796875" style="2782" customWidth="1"/>
    <col min="15410" max="15410" width="11.81640625" style="2782" customWidth="1"/>
    <col min="15411" max="15414" width="25.7265625" style="2782" customWidth="1"/>
    <col min="15415" max="15415" width="15.7265625" style="2782" customWidth="1"/>
    <col min="15416" max="15416" width="29.7265625" style="2782" customWidth="1"/>
    <col min="15417" max="15417" width="25.54296875" style="2782" customWidth="1"/>
    <col min="15418" max="15421" width="25.7265625" style="2782" customWidth="1"/>
    <col min="15422" max="15422" width="7.26953125" style="2782" customWidth="1"/>
    <col min="15423" max="15423" width="22.7265625" style="2782" customWidth="1"/>
    <col min="15424" max="15424" width="18.81640625" style="2782" customWidth="1"/>
    <col min="15425" max="15428" width="25.7265625" style="2782" customWidth="1"/>
    <col min="15429" max="15429" width="12.26953125" style="2782" customWidth="1"/>
    <col min="15430" max="15430" width="25.7265625" style="2782" customWidth="1"/>
    <col min="15431" max="15431" width="18.81640625" style="2782" customWidth="1"/>
    <col min="15432" max="15435" width="25.7265625" style="2782" customWidth="1"/>
    <col min="15436" max="15436" width="14.54296875" style="2782" customWidth="1"/>
    <col min="15437" max="15437" width="25.7265625" style="2782" customWidth="1"/>
    <col min="15438" max="15438" width="18.81640625" style="2782" customWidth="1"/>
    <col min="15439" max="15442" width="25.7265625" style="2782" customWidth="1"/>
    <col min="15443" max="15443" width="15.7265625" style="2782" customWidth="1"/>
    <col min="15444" max="15444" width="25.7265625" style="2782" customWidth="1"/>
    <col min="15445" max="15445" width="18.81640625" style="2782" customWidth="1"/>
    <col min="15446" max="15449" width="25.7265625" style="2782" customWidth="1"/>
    <col min="15450" max="15450" width="15.7265625" style="2782" customWidth="1"/>
    <col min="15451" max="15451" width="29.453125" style="2782" customWidth="1"/>
    <col min="15452" max="15452" width="18.81640625" style="2782" customWidth="1"/>
    <col min="15453" max="15453" width="25.7265625" style="2782" customWidth="1"/>
    <col min="15454" max="15454" width="29.7265625" style="2782" customWidth="1"/>
    <col min="15455" max="15456" width="25.7265625" style="2782" customWidth="1"/>
    <col min="15457" max="15457" width="13.7265625" style="2782" customWidth="1"/>
    <col min="15458" max="15458" width="29.1796875" style="2782" customWidth="1"/>
    <col min="15459" max="15459" width="23.7265625" style="2782" customWidth="1"/>
    <col min="15460" max="15463" width="24.81640625" style="2782" customWidth="1"/>
    <col min="15464" max="15464" width="14.7265625" style="2782" customWidth="1"/>
    <col min="15465" max="15465" width="30" style="2782" customWidth="1"/>
    <col min="15466" max="15466" width="22" style="2782" customWidth="1"/>
    <col min="15467" max="15467" width="19.26953125" style="2782" customWidth="1"/>
    <col min="15468" max="15468" width="14.1796875" style="2782" customWidth="1"/>
    <col min="15469" max="15615" width="9.1796875" style="2782"/>
    <col min="15616" max="15616" width="8.7265625" style="2782" customWidth="1"/>
    <col min="15617" max="15617" width="92.7265625" style="2782" customWidth="1"/>
    <col min="15618" max="15618" width="16.1796875" style="2782" customWidth="1"/>
    <col min="15619" max="15619" width="16.81640625" style="2782" customWidth="1"/>
    <col min="15620" max="15620" width="14.7265625" style="2782" customWidth="1"/>
    <col min="15621" max="15621" width="19.453125" style="2782" customWidth="1"/>
    <col min="15622" max="15622" width="15" style="2782" customWidth="1"/>
    <col min="15623" max="15623" width="12.7265625" style="2782" customWidth="1"/>
    <col min="15624" max="15625" width="12.1796875" style="2782" customWidth="1"/>
    <col min="15626" max="15626" width="15.81640625" style="2782" customWidth="1"/>
    <col min="15627" max="15627" width="22.1796875" style="2782" customWidth="1"/>
    <col min="15628" max="15628" width="11.453125" style="2782" customWidth="1"/>
    <col min="15629" max="15629" width="17.54296875" style="2782" customWidth="1"/>
    <col min="15630" max="15630" width="0.1796875" style="2782" customWidth="1"/>
    <col min="15631" max="15631" width="18.81640625" style="2782" customWidth="1"/>
    <col min="15632" max="15635" width="25.7265625" style="2782" customWidth="1"/>
    <col min="15636" max="15636" width="14.7265625" style="2782" customWidth="1"/>
    <col min="15637" max="15637" width="22" style="2782" customWidth="1"/>
    <col min="15638" max="15638" width="15.26953125" style="2782" customWidth="1"/>
    <col min="15639" max="15642" width="25.7265625" style="2782" customWidth="1"/>
    <col min="15643" max="15643" width="15.7265625" style="2782" customWidth="1"/>
    <col min="15644" max="15644" width="22.453125" style="2782" customWidth="1"/>
    <col min="15645" max="15645" width="14.7265625" style="2782" customWidth="1"/>
    <col min="15646" max="15649" width="25.7265625" style="2782" customWidth="1"/>
    <col min="15650" max="15650" width="15.7265625" style="2782" customWidth="1"/>
    <col min="15651" max="15651" width="21" style="2782" customWidth="1"/>
    <col min="15652" max="15652" width="16.7265625" style="2782" customWidth="1"/>
    <col min="15653" max="15656" width="25.7265625" style="2782" customWidth="1"/>
    <col min="15657" max="15657" width="15.7265625" style="2782" customWidth="1"/>
    <col min="15658" max="15658" width="29.1796875" style="2782" customWidth="1"/>
    <col min="15659" max="15659" width="13.7265625" style="2782" customWidth="1"/>
    <col min="15660" max="15663" width="25.7265625" style="2782" customWidth="1"/>
    <col min="15664" max="15664" width="15.7265625" style="2782" customWidth="1"/>
    <col min="15665" max="15665" width="29.1796875" style="2782" customWidth="1"/>
    <col min="15666" max="15666" width="11.81640625" style="2782" customWidth="1"/>
    <col min="15667" max="15670" width="25.7265625" style="2782" customWidth="1"/>
    <col min="15671" max="15671" width="15.7265625" style="2782" customWidth="1"/>
    <col min="15672" max="15672" width="29.7265625" style="2782" customWidth="1"/>
    <col min="15673" max="15673" width="25.54296875" style="2782" customWidth="1"/>
    <col min="15674" max="15677" width="25.7265625" style="2782" customWidth="1"/>
    <col min="15678" max="15678" width="7.26953125" style="2782" customWidth="1"/>
    <col min="15679" max="15679" width="22.7265625" style="2782" customWidth="1"/>
    <col min="15680" max="15680" width="18.81640625" style="2782" customWidth="1"/>
    <col min="15681" max="15684" width="25.7265625" style="2782" customWidth="1"/>
    <col min="15685" max="15685" width="12.26953125" style="2782" customWidth="1"/>
    <col min="15686" max="15686" width="25.7265625" style="2782" customWidth="1"/>
    <col min="15687" max="15687" width="18.81640625" style="2782" customWidth="1"/>
    <col min="15688" max="15691" width="25.7265625" style="2782" customWidth="1"/>
    <col min="15692" max="15692" width="14.54296875" style="2782" customWidth="1"/>
    <col min="15693" max="15693" width="25.7265625" style="2782" customWidth="1"/>
    <col min="15694" max="15694" width="18.81640625" style="2782" customWidth="1"/>
    <col min="15695" max="15698" width="25.7265625" style="2782" customWidth="1"/>
    <col min="15699" max="15699" width="15.7265625" style="2782" customWidth="1"/>
    <col min="15700" max="15700" width="25.7265625" style="2782" customWidth="1"/>
    <col min="15701" max="15701" width="18.81640625" style="2782" customWidth="1"/>
    <col min="15702" max="15705" width="25.7265625" style="2782" customWidth="1"/>
    <col min="15706" max="15706" width="15.7265625" style="2782" customWidth="1"/>
    <col min="15707" max="15707" width="29.453125" style="2782" customWidth="1"/>
    <col min="15708" max="15708" width="18.81640625" style="2782" customWidth="1"/>
    <col min="15709" max="15709" width="25.7265625" style="2782" customWidth="1"/>
    <col min="15710" max="15710" width="29.7265625" style="2782" customWidth="1"/>
    <col min="15711" max="15712" width="25.7265625" style="2782" customWidth="1"/>
    <col min="15713" max="15713" width="13.7265625" style="2782" customWidth="1"/>
    <col min="15714" max="15714" width="29.1796875" style="2782" customWidth="1"/>
    <col min="15715" max="15715" width="23.7265625" style="2782" customWidth="1"/>
    <col min="15716" max="15719" width="24.81640625" style="2782" customWidth="1"/>
    <col min="15720" max="15720" width="14.7265625" style="2782" customWidth="1"/>
    <col min="15721" max="15721" width="30" style="2782" customWidth="1"/>
    <col min="15722" max="15722" width="22" style="2782" customWidth="1"/>
    <col min="15723" max="15723" width="19.26953125" style="2782" customWidth="1"/>
    <col min="15724" max="15724" width="14.1796875" style="2782" customWidth="1"/>
    <col min="15725" max="15871" width="9.1796875" style="2782"/>
    <col min="15872" max="15872" width="8.7265625" style="2782" customWidth="1"/>
    <col min="15873" max="15873" width="92.7265625" style="2782" customWidth="1"/>
    <col min="15874" max="15874" width="16.1796875" style="2782" customWidth="1"/>
    <col min="15875" max="15875" width="16.81640625" style="2782" customWidth="1"/>
    <col min="15876" max="15876" width="14.7265625" style="2782" customWidth="1"/>
    <col min="15877" max="15877" width="19.453125" style="2782" customWidth="1"/>
    <col min="15878" max="15878" width="15" style="2782" customWidth="1"/>
    <col min="15879" max="15879" width="12.7265625" style="2782" customWidth="1"/>
    <col min="15880" max="15881" width="12.1796875" style="2782" customWidth="1"/>
    <col min="15882" max="15882" width="15.81640625" style="2782" customWidth="1"/>
    <col min="15883" max="15883" width="22.1796875" style="2782" customWidth="1"/>
    <col min="15884" max="15884" width="11.453125" style="2782" customWidth="1"/>
    <col min="15885" max="15885" width="17.54296875" style="2782" customWidth="1"/>
    <col min="15886" max="15886" width="0.1796875" style="2782" customWidth="1"/>
    <col min="15887" max="15887" width="18.81640625" style="2782" customWidth="1"/>
    <col min="15888" max="15891" width="25.7265625" style="2782" customWidth="1"/>
    <col min="15892" max="15892" width="14.7265625" style="2782" customWidth="1"/>
    <col min="15893" max="15893" width="22" style="2782" customWidth="1"/>
    <col min="15894" max="15894" width="15.26953125" style="2782" customWidth="1"/>
    <col min="15895" max="15898" width="25.7265625" style="2782" customWidth="1"/>
    <col min="15899" max="15899" width="15.7265625" style="2782" customWidth="1"/>
    <col min="15900" max="15900" width="22.453125" style="2782" customWidth="1"/>
    <col min="15901" max="15901" width="14.7265625" style="2782" customWidth="1"/>
    <col min="15902" max="15905" width="25.7265625" style="2782" customWidth="1"/>
    <col min="15906" max="15906" width="15.7265625" style="2782" customWidth="1"/>
    <col min="15907" max="15907" width="21" style="2782" customWidth="1"/>
    <col min="15908" max="15908" width="16.7265625" style="2782" customWidth="1"/>
    <col min="15909" max="15912" width="25.7265625" style="2782" customWidth="1"/>
    <col min="15913" max="15913" width="15.7265625" style="2782" customWidth="1"/>
    <col min="15914" max="15914" width="29.1796875" style="2782" customWidth="1"/>
    <col min="15915" max="15915" width="13.7265625" style="2782" customWidth="1"/>
    <col min="15916" max="15919" width="25.7265625" style="2782" customWidth="1"/>
    <col min="15920" max="15920" width="15.7265625" style="2782" customWidth="1"/>
    <col min="15921" max="15921" width="29.1796875" style="2782" customWidth="1"/>
    <col min="15922" max="15922" width="11.81640625" style="2782" customWidth="1"/>
    <col min="15923" max="15926" width="25.7265625" style="2782" customWidth="1"/>
    <col min="15927" max="15927" width="15.7265625" style="2782" customWidth="1"/>
    <col min="15928" max="15928" width="29.7265625" style="2782" customWidth="1"/>
    <col min="15929" max="15929" width="25.54296875" style="2782" customWidth="1"/>
    <col min="15930" max="15933" width="25.7265625" style="2782" customWidth="1"/>
    <col min="15934" max="15934" width="7.26953125" style="2782" customWidth="1"/>
    <col min="15935" max="15935" width="22.7265625" style="2782" customWidth="1"/>
    <col min="15936" max="15936" width="18.81640625" style="2782" customWidth="1"/>
    <col min="15937" max="15940" width="25.7265625" style="2782" customWidth="1"/>
    <col min="15941" max="15941" width="12.26953125" style="2782" customWidth="1"/>
    <col min="15942" max="15942" width="25.7265625" style="2782" customWidth="1"/>
    <col min="15943" max="15943" width="18.81640625" style="2782" customWidth="1"/>
    <col min="15944" max="15947" width="25.7265625" style="2782" customWidth="1"/>
    <col min="15948" max="15948" width="14.54296875" style="2782" customWidth="1"/>
    <col min="15949" max="15949" width="25.7265625" style="2782" customWidth="1"/>
    <col min="15950" max="15950" width="18.81640625" style="2782" customWidth="1"/>
    <col min="15951" max="15954" width="25.7265625" style="2782" customWidth="1"/>
    <col min="15955" max="15955" width="15.7265625" style="2782" customWidth="1"/>
    <col min="15956" max="15956" width="25.7265625" style="2782" customWidth="1"/>
    <col min="15957" max="15957" width="18.81640625" style="2782" customWidth="1"/>
    <col min="15958" max="15961" width="25.7265625" style="2782" customWidth="1"/>
    <col min="15962" max="15962" width="15.7265625" style="2782" customWidth="1"/>
    <col min="15963" max="15963" width="29.453125" style="2782" customWidth="1"/>
    <col min="15964" max="15964" width="18.81640625" style="2782" customWidth="1"/>
    <col min="15965" max="15965" width="25.7265625" style="2782" customWidth="1"/>
    <col min="15966" max="15966" width="29.7265625" style="2782" customWidth="1"/>
    <col min="15967" max="15968" width="25.7265625" style="2782" customWidth="1"/>
    <col min="15969" max="15969" width="13.7265625" style="2782" customWidth="1"/>
    <col min="15970" max="15970" width="29.1796875" style="2782" customWidth="1"/>
    <col min="15971" max="15971" width="23.7265625" style="2782" customWidth="1"/>
    <col min="15972" max="15975" width="24.81640625" style="2782" customWidth="1"/>
    <col min="15976" max="15976" width="14.7265625" style="2782" customWidth="1"/>
    <col min="15977" max="15977" width="30" style="2782" customWidth="1"/>
    <col min="15978" max="15978" width="22" style="2782" customWidth="1"/>
    <col min="15979" max="15979" width="19.26953125" style="2782" customWidth="1"/>
    <col min="15980" max="15980" width="14.1796875" style="2782" customWidth="1"/>
    <col min="15981" max="16127" width="9.1796875" style="2782"/>
    <col min="16128" max="16128" width="8.7265625" style="2782" customWidth="1"/>
    <col min="16129" max="16129" width="92.7265625" style="2782" customWidth="1"/>
    <col min="16130" max="16130" width="16.1796875" style="2782" customWidth="1"/>
    <col min="16131" max="16131" width="16.81640625" style="2782" customWidth="1"/>
    <col min="16132" max="16132" width="14.7265625" style="2782" customWidth="1"/>
    <col min="16133" max="16133" width="19.453125" style="2782" customWidth="1"/>
    <col min="16134" max="16134" width="15" style="2782" customWidth="1"/>
    <col min="16135" max="16135" width="12.7265625" style="2782" customWidth="1"/>
    <col min="16136" max="16137" width="12.1796875" style="2782" customWidth="1"/>
    <col min="16138" max="16138" width="15.81640625" style="2782" customWidth="1"/>
    <col min="16139" max="16139" width="22.1796875" style="2782" customWidth="1"/>
    <col min="16140" max="16140" width="11.453125" style="2782" customWidth="1"/>
    <col min="16141" max="16141" width="17.54296875" style="2782" customWidth="1"/>
    <col min="16142" max="16142" width="0.1796875" style="2782" customWidth="1"/>
    <col min="16143" max="16143" width="18.81640625" style="2782" customWidth="1"/>
    <col min="16144" max="16147" width="25.7265625" style="2782" customWidth="1"/>
    <col min="16148" max="16148" width="14.7265625" style="2782" customWidth="1"/>
    <col min="16149" max="16149" width="22" style="2782" customWidth="1"/>
    <col min="16150" max="16150" width="15.26953125" style="2782" customWidth="1"/>
    <col min="16151" max="16154" width="25.7265625" style="2782" customWidth="1"/>
    <col min="16155" max="16155" width="15.7265625" style="2782" customWidth="1"/>
    <col min="16156" max="16156" width="22.453125" style="2782" customWidth="1"/>
    <col min="16157" max="16157" width="14.7265625" style="2782" customWidth="1"/>
    <col min="16158" max="16161" width="25.7265625" style="2782" customWidth="1"/>
    <col min="16162" max="16162" width="15.7265625" style="2782" customWidth="1"/>
    <col min="16163" max="16163" width="21" style="2782" customWidth="1"/>
    <col min="16164" max="16164" width="16.7265625" style="2782" customWidth="1"/>
    <col min="16165" max="16168" width="25.7265625" style="2782" customWidth="1"/>
    <col min="16169" max="16169" width="15.7265625" style="2782" customWidth="1"/>
    <col min="16170" max="16170" width="29.1796875" style="2782" customWidth="1"/>
    <col min="16171" max="16171" width="13.7265625" style="2782" customWidth="1"/>
    <col min="16172" max="16175" width="25.7265625" style="2782" customWidth="1"/>
    <col min="16176" max="16176" width="15.7265625" style="2782" customWidth="1"/>
    <col min="16177" max="16177" width="29.1796875" style="2782" customWidth="1"/>
    <col min="16178" max="16178" width="11.81640625" style="2782" customWidth="1"/>
    <col min="16179" max="16182" width="25.7265625" style="2782" customWidth="1"/>
    <col min="16183" max="16183" width="15.7265625" style="2782" customWidth="1"/>
    <col min="16184" max="16184" width="29.7265625" style="2782" customWidth="1"/>
    <col min="16185" max="16185" width="25.54296875" style="2782" customWidth="1"/>
    <col min="16186" max="16189" width="25.7265625" style="2782" customWidth="1"/>
    <col min="16190" max="16190" width="7.26953125" style="2782" customWidth="1"/>
    <col min="16191" max="16191" width="22.7265625" style="2782" customWidth="1"/>
    <col min="16192" max="16192" width="18.81640625" style="2782" customWidth="1"/>
    <col min="16193" max="16196" width="25.7265625" style="2782" customWidth="1"/>
    <col min="16197" max="16197" width="12.26953125" style="2782" customWidth="1"/>
    <col min="16198" max="16198" width="25.7265625" style="2782" customWidth="1"/>
    <col min="16199" max="16199" width="18.81640625" style="2782" customWidth="1"/>
    <col min="16200" max="16203" width="25.7265625" style="2782" customWidth="1"/>
    <col min="16204" max="16204" width="14.54296875" style="2782" customWidth="1"/>
    <col min="16205" max="16205" width="25.7265625" style="2782" customWidth="1"/>
    <col min="16206" max="16206" width="18.81640625" style="2782" customWidth="1"/>
    <col min="16207" max="16210" width="25.7265625" style="2782" customWidth="1"/>
    <col min="16211" max="16211" width="15.7265625" style="2782" customWidth="1"/>
    <col min="16212" max="16212" width="25.7265625" style="2782" customWidth="1"/>
    <col min="16213" max="16213" width="18.81640625" style="2782" customWidth="1"/>
    <col min="16214" max="16217" width="25.7265625" style="2782" customWidth="1"/>
    <col min="16218" max="16218" width="15.7265625" style="2782" customWidth="1"/>
    <col min="16219" max="16219" width="29.453125" style="2782" customWidth="1"/>
    <col min="16220" max="16220" width="18.81640625" style="2782" customWidth="1"/>
    <col min="16221" max="16221" width="25.7265625" style="2782" customWidth="1"/>
    <col min="16222" max="16222" width="29.7265625" style="2782" customWidth="1"/>
    <col min="16223" max="16224" width="25.7265625" style="2782" customWidth="1"/>
    <col min="16225" max="16225" width="13.7265625" style="2782" customWidth="1"/>
    <col min="16226" max="16226" width="29.1796875" style="2782" customWidth="1"/>
    <col min="16227" max="16227" width="23.7265625" style="2782" customWidth="1"/>
    <col min="16228" max="16231" width="24.81640625" style="2782" customWidth="1"/>
    <col min="16232" max="16232" width="14.7265625" style="2782" customWidth="1"/>
    <col min="16233" max="16233" width="30" style="2782" customWidth="1"/>
    <col min="16234" max="16234" width="22" style="2782" customWidth="1"/>
    <col min="16235" max="16235" width="19.26953125" style="2782" customWidth="1"/>
    <col min="16236" max="16236" width="14.1796875" style="2782" customWidth="1"/>
    <col min="16237" max="16384" width="9.1796875" style="2782"/>
  </cols>
  <sheetData>
    <row r="1" spans="1:117" ht="18.75" customHeight="1">
      <c r="A1" s="1605" t="s">
        <v>1615</v>
      </c>
      <c r="B1" s="1606"/>
      <c r="C1" s="1607"/>
      <c r="D1" s="1607"/>
      <c r="E1" s="1607"/>
      <c r="F1" s="1607"/>
      <c r="G1" s="1607"/>
      <c r="H1" s="1607"/>
      <c r="I1" s="1607"/>
      <c r="J1" s="1607"/>
      <c r="K1" s="1607"/>
      <c r="L1" s="1607"/>
      <c r="M1" s="1607"/>
      <c r="N1" s="1607"/>
      <c r="O1" s="1608"/>
      <c r="P1" s="1609"/>
      <c r="Q1" s="1609"/>
      <c r="R1" s="1609"/>
      <c r="S1" s="1609"/>
      <c r="T1" s="1609"/>
      <c r="U1" s="1609"/>
      <c r="V1" s="1608"/>
      <c r="W1" s="1609"/>
      <c r="X1" s="1609"/>
      <c r="Y1" s="1609"/>
      <c r="Z1" s="1609"/>
      <c r="AA1" s="1609"/>
      <c r="AB1" s="1609"/>
      <c r="AC1" s="1608"/>
      <c r="AD1" s="1609"/>
      <c r="AE1" s="1609"/>
      <c r="AF1" s="1609"/>
      <c r="AG1" s="1609"/>
      <c r="AH1" s="1609"/>
      <c r="AI1" s="1609"/>
      <c r="AJ1" s="1608"/>
      <c r="AK1" s="1609"/>
      <c r="AL1" s="1609"/>
      <c r="AM1" s="1609"/>
      <c r="AN1" s="1609"/>
      <c r="AO1" s="1609"/>
      <c r="AP1" s="1609"/>
      <c r="AQ1" s="1608"/>
      <c r="AR1" s="1609"/>
      <c r="AS1" s="1609"/>
      <c r="AT1" s="1609"/>
      <c r="AU1" s="1609"/>
      <c r="AV1" s="1609"/>
      <c r="AW1" s="1609"/>
      <c r="AX1" s="1608"/>
      <c r="AY1" s="1609"/>
      <c r="AZ1" s="1609"/>
      <c r="BA1" s="1609"/>
      <c r="BB1" s="1609"/>
      <c r="BC1" s="1609"/>
      <c r="BD1" s="1609"/>
      <c r="BE1" s="1608"/>
      <c r="BF1" s="1609"/>
      <c r="BG1" s="1609"/>
      <c r="BH1" s="1609"/>
      <c r="BI1" s="1609"/>
      <c r="BJ1" s="1609"/>
      <c r="BK1" s="1610"/>
      <c r="BL1" s="1608"/>
      <c r="BM1" s="1609"/>
      <c r="BN1" s="1609"/>
      <c r="BO1" s="1609"/>
      <c r="BP1" s="1609"/>
      <c r="BQ1" s="1609"/>
      <c r="BR1" s="1609"/>
      <c r="BS1" s="1608"/>
      <c r="BT1" s="1609"/>
      <c r="BU1" s="1609"/>
      <c r="BV1" s="1609"/>
      <c r="BW1" s="1609"/>
      <c r="BX1" s="1609"/>
      <c r="BY1" s="1609"/>
      <c r="BZ1" s="1608"/>
      <c r="CA1" s="1609"/>
      <c r="CB1" s="1609"/>
      <c r="CC1" s="1609"/>
      <c r="CD1" s="1609"/>
      <c r="CE1" s="1609"/>
      <c r="CF1" s="1609"/>
      <c r="CG1" s="1608"/>
      <c r="CH1" s="1609"/>
      <c r="CI1" s="1609"/>
      <c r="CJ1" s="1609"/>
      <c r="CK1" s="1609"/>
      <c r="CL1" s="1609"/>
      <c r="CM1" s="1609"/>
      <c r="CN1" s="1608"/>
      <c r="CO1" s="1609"/>
      <c r="CP1" s="1609"/>
      <c r="CQ1" s="1609"/>
      <c r="CR1" s="1609"/>
      <c r="CS1" s="1609"/>
      <c r="CT1" s="1609"/>
      <c r="CU1" s="1607"/>
      <c r="CV1" s="1609"/>
      <c r="CW1" s="1609"/>
      <c r="CX1" s="1609"/>
      <c r="CY1" s="1609"/>
    </row>
    <row r="2" spans="1:117" ht="18.75" customHeight="1">
      <c r="A2" s="1614" t="s">
        <v>174</v>
      </c>
      <c r="B2" s="1615"/>
      <c r="C2" s="1616"/>
      <c r="D2" s="1616"/>
      <c r="E2" s="1616"/>
      <c r="F2" s="1616"/>
      <c r="G2" s="1616"/>
      <c r="H2" s="1616"/>
      <c r="I2" s="1617"/>
      <c r="J2" s="3155"/>
      <c r="K2" s="3155"/>
      <c r="L2" s="3155"/>
      <c r="M2" s="1616"/>
      <c r="N2" s="1616"/>
      <c r="O2" s="1618"/>
      <c r="P2" s="1619"/>
      <c r="Q2" s="1619"/>
      <c r="R2" s="1619"/>
      <c r="S2" s="1619"/>
      <c r="T2" s="1619"/>
      <c r="U2" s="1619"/>
      <c r="V2" s="1618"/>
      <c r="BH2" s="1611">
        <v>751160654</v>
      </c>
      <c r="BI2" s="1611">
        <v>0</v>
      </c>
      <c r="CO2" s="1622"/>
      <c r="CU2" s="1623"/>
    </row>
    <row r="3" spans="1:117" ht="23.25" customHeight="1">
      <c r="A3" s="1605" t="s">
        <v>1236</v>
      </c>
      <c r="B3" s="1606"/>
      <c r="C3" s="1607"/>
      <c r="D3" s="1607"/>
      <c r="E3" s="1607"/>
      <c r="F3" s="1607"/>
      <c r="G3" s="1607"/>
      <c r="H3" s="1607"/>
      <c r="I3" s="1607"/>
      <c r="J3" s="1607"/>
      <c r="K3" s="1607"/>
      <c r="L3" s="1607"/>
      <c r="M3" s="1607"/>
      <c r="N3" s="1607"/>
      <c r="O3" s="1608"/>
      <c r="P3" s="1609"/>
      <c r="Q3" s="1609"/>
      <c r="R3" s="1609"/>
      <c r="S3" s="1609"/>
      <c r="T3" s="1609"/>
      <c r="U3" s="1609"/>
      <c r="V3" s="1608"/>
      <c r="W3" s="1609"/>
      <c r="X3" s="1609"/>
      <c r="Y3" s="1609"/>
      <c r="Z3" s="1609"/>
      <c r="AA3" s="1609"/>
      <c r="AB3" s="1609"/>
      <c r="AC3" s="1608"/>
      <c r="AD3" s="1609"/>
      <c r="AE3" s="1609"/>
      <c r="AF3" s="1609"/>
      <c r="AG3" s="1609"/>
      <c r="AH3" s="1609"/>
      <c r="AI3" s="1609"/>
      <c r="AJ3" s="1608"/>
      <c r="AK3" s="1609"/>
      <c r="AL3" s="1609"/>
      <c r="AM3" s="1609"/>
      <c r="AN3" s="1609"/>
      <c r="AO3" s="1609"/>
      <c r="AP3" s="1609"/>
      <c r="AQ3" s="1608"/>
      <c r="AR3" s="1609"/>
      <c r="AS3" s="1609"/>
      <c r="AT3" s="1609"/>
      <c r="AU3" s="1609"/>
      <c r="AV3" s="1609"/>
      <c r="AW3" s="1609"/>
      <c r="AX3" s="1608"/>
      <c r="AY3" s="1609"/>
      <c r="AZ3" s="1609"/>
      <c r="BA3" s="1609"/>
      <c r="BB3" s="1609"/>
      <c r="BC3" s="1609"/>
      <c r="BD3" s="1609"/>
      <c r="BE3" s="1608"/>
      <c r="BF3" s="1609"/>
      <c r="BG3" s="1609"/>
      <c r="BH3" s="1609"/>
      <c r="BI3" s="1609"/>
      <c r="BJ3" s="1609"/>
      <c r="BK3" s="1610"/>
      <c r="BL3" s="1608"/>
      <c r="BM3" s="1609"/>
      <c r="BN3" s="1609"/>
      <c r="BO3" s="1609"/>
      <c r="BP3" s="1609"/>
      <c r="BQ3" s="1609"/>
      <c r="BR3" s="1609"/>
      <c r="BS3" s="1608"/>
      <c r="BT3" s="1609"/>
      <c r="BU3" s="1609"/>
      <c r="BV3" s="1609"/>
      <c r="BW3" s="1609"/>
      <c r="BX3" s="1609"/>
      <c r="BY3" s="1609"/>
      <c r="BZ3" s="1608"/>
      <c r="CA3" s="1609"/>
      <c r="CB3" s="1609"/>
      <c r="CC3" s="1609"/>
      <c r="CD3" s="1609"/>
      <c r="CE3" s="1609"/>
      <c r="CF3" s="1609"/>
      <c r="CG3" s="1608"/>
      <c r="CH3" s="1609"/>
      <c r="CI3" s="1609"/>
      <c r="CJ3" s="1609"/>
      <c r="CK3" s="1609"/>
      <c r="CL3" s="1609"/>
      <c r="CM3" s="1609"/>
      <c r="CN3" s="1608"/>
      <c r="CO3" s="1609"/>
      <c r="CP3" s="1609"/>
      <c r="CQ3" s="1609"/>
      <c r="CR3" s="1609"/>
      <c r="CS3" s="1609"/>
      <c r="CT3" s="1609"/>
      <c r="CU3" s="1607"/>
      <c r="CV3" s="1609"/>
      <c r="CW3" s="1609"/>
      <c r="CX3" s="1609"/>
      <c r="CY3" s="1609"/>
    </row>
    <row r="4" spans="1:117" ht="15" customHeight="1" thickBot="1">
      <c r="A4" s="3156"/>
      <c r="B4" s="3156"/>
      <c r="C4" s="3156"/>
      <c r="D4" s="3156"/>
      <c r="E4" s="3156"/>
      <c r="F4" s="3156"/>
      <c r="G4" s="3156"/>
      <c r="H4" s="3156"/>
      <c r="I4" s="3156"/>
      <c r="J4" s="3156"/>
      <c r="K4" s="3156"/>
      <c r="L4" s="3156"/>
      <c r="M4" s="3156"/>
      <c r="N4" s="3156"/>
      <c r="O4" s="3156"/>
      <c r="P4" s="3156"/>
      <c r="Q4" s="3156"/>
      <c r="R4" s="1609"/>
      <c r="CU4" s="2782"/>
    </row>
    <row r="5" spans="1:117" s="1624" customFormat="1" ht="36" customHeight="1" thickBot="1">
      <c r="A5" s="3184" t="s">
        <v>12</v>
      </c>
      <c r="B5" s="3187" t="s">
        <v>1616</v>
      </c>
      <c r="C5" s="3163" t="s">
        <v>1617</v>
      </c>
      <c r="D5" s="3149" t="s">
        <v>1618</v>
      </c>
      <c r="E5" s="3149" t="s">
        <v>1844</v>
      </c>
      <c r="F5" s="3166" t="s">
        <v>1845</v>
      </c>
      <c r="G5" s="3149" t="s">
        <v>1620</v>
      </c>
      <c r="H5" s="3149" t="s">
        <v>1621</v>
      </c>
      <c r="I5" s="3149" t="s">
        <v>1622</v>
      </c>
      <c r="J5" s="3149" t="s">
        <v>1846</v>
      </c>
      <c r="K5" s="3149" t="s">
        <v>1624</v>
      </c>
      <c r="L5" s="3149" t="s">
        <v>1625</v>
      </c>
      <c r="M5" s="3149" t="s">
        <v>1626</v>
      </c>
      <c r="N5" s="3152" t="s">
        <v>1627</v>
      </c>
      <c r="O5" s="3190">
        <v>43922</v>
      </c>
      <c r="P5" s="3191"/>
      <c r="Q5" s="3191"/>
      <c r="R5" s="3191"/>
      <c r="S5" s="3191"/>
      <c r="T5" s="3191"/>
      <c r="U5" s="3193"/>
      <c r="V5" s="3190">
        <v>43952</v>
      </c>
      <c r="W5" s="3191"/>
      <c r="X5" s="3191"/>
      <c r="Y5" s="3191"/>
      <c r="Z5" s="3191"/>
      <c r="AA5" s="3191"/>
      <c r="AB5" s="3192"/>
      <c r="AC5" s="3190">
        <v>43983</v>
      </c>
      <c r="AD5" s="3191"/>
      <c r="AE5" s="3191"/>
      <c r="AF5" s="3191"/>
      <c r="AG5" s="3191"/>
      <c r="AH5" s="3191"/>
      <c r="AI5" s="3192"/>
      <c r="AJ5" s="3190">
        <v>44013</v>
      </c>
      <c r="AK5" s="3191"/>
      <c r="AL5" s="3191"/>
      <c r="AM5" s="3191"/>
      <c r="AN5" s="3191"/>
      <c r="AO5" s="3191"/>
      <c r="AP5" s="3192"/>
      <c r="AQ5" s="3190">
        <v>44044</v>
      </c>
      <c r="AR5" s="3191"/>
      <c r="AS5" s="3191"/>
      <c r="AT5" s="3191"/>
      <c r="AU5" s="3191"/>
      <c r="AV5" s="3191"/>
      <c r="AW5" s="3192"/>
      <c r="AX5" s="3190">
        <v>44075</v>
      </c>
      <c r="AY5" s="3191"/>
      <c r="AZ5" s="3191"/>
      <c r="BA5" s="3191"/>
      <c r="BB5" s="3191"/>
      <c r="BC5" s="3191"/>
      <c r="BD5" s="3192"/>
      <c r="BE5" s="3190">
        <v>44105</v>
      </c>
      <c r="BF5" s="3191"/>
      <c r="BG5" s="3191"/>
      <c r="BH5" s="3191"/>
      <c r="BI5" s="3191"/>
      <c r="BJ5" s="3191"/>
      <c r="BK5" s="3192"/>
      <c r="BL5" s="3190">
        <v>44136</v>
      </c>
      <c r="BM5" s="3191"/>
      <c r="BN5" s="3191"/>
      <c r="BO5" s="3191"/>
      <c r="BP5" s="3191"/>
      <c r="BQ5" s="3191"/>
      <c r="BR5" s="3192"/>
      <c r="BS5" s="3190">
        <v>44166</v>
      </c>
      <c r="BT5" s="3191"/>
      <c r="BU5" s="3191"/>
      <c r="BV5" s="3191"/>
      <c r="BW5" s="3191"/>
      <c r="BX5" s="3191"/>
      <c r="BY5" s="3192"/>
      <c r="BZ5" s="3190">
        <v>44197</v>
      </c>
      <c r="CA5" s="3191"/>
      <c r="CB5" s="3191"/>
      <c r="CC5" s="3191"/>
      <c r="CD5" s="3191"/>
      <c r="CE5" s="3191"/>
      <c r="CF5" s="3192"/>
      <c r="CG5" s="3190">
        <v>44228</v>
      </c>
      <c r="CH5" s="3191"/>
      <c r="CI5" s="3191"/>
      <c r="CJ5" s="3191"/>
      <c r="CK5" s="3191"/>
      <c r="CL5" s="3191"/>
      <c r="CM5" s="3192"/>
      <c r="CN5" s="3190">
        <v>44256</v>
      </c>
      <c r="CO5" s="3191"/>
      <c r="CP5" s="3191"/>
      <c r="CQ5" s="3191"/>
      <c r="CR5" s="3191"/>
      <c r="CS5" s="3191"/>
      <c r="CT5" s="3192"/>
      <c r="CU5" s="3196" t="s">
        <v>1847</v>
      </c>
      <c r="CV5" s="3197"/>
      <c r="CW5" s="3197"/>
      <c r="CX5" s="3197"/>
      <c r="CY5" s="3197"/>
      <c r="CZ5" s="3197"/>
      <c r="DA5" s="3198"/>
      <c r="DB5" s="1609"/>
      <c r="DD5" s="1625"/>
    </row>
    <row r="6" spans="1:117" s="1624" customFormat="1" ht="49.5" customHeight="1">
      <c r="A6" s="3185"/>
      <c r="B6" s="3188"/>
      <c r="C6" s="3164"/>
      <c r="D6" s="3150"/>
      <c r="E6" s="3150"/>
      <c r="F6" s="3167"/>
      <c r="G6" s="3150"/>
      <c r="H6" s="3150"/>
      <c r="I6" s="3150"/>
      <c r="J6" s="3150"/>
      <c r="K6" s="3150"/>
      <c r="L6" s="3150"/>
      <c r="M6" s="3150"/>
      <c r="N6" s="3153"/>
      <c r="O6" s="3194" t="s">
        <v>1628</v>
      </c>
      <c r="P6" s="2852" t="s">
        <v>1848</v>
      </c>
      <c r="Q6" s="2853" t="s">
        <v>1849</v>
      </c>
      <c r="R6" s="2852" t="s">
        <v>1850</v>
      </c>
      <c r="S6" s="2852" t="s">
        <v>1631</v>
      </c>
      <c r="T6" s="3199" t="s">
        <v>1632</v>
      </c>
      <c r="U6" s="3200"/>
      <c r="V6" s="3194" t="s">
        <v>1628</v>
      </c>
      <c r="W6" s="2852" t="s">
        <v>1848</v>
      </c>
      <c r="X6" s="2853" t="s">
        <v>1849</v>
      </c>
      <c r="Y6" s="2852" t="s">
        <v>1850</v>
      </c>
      <c r="Z6" s="2852" t="s">
        <v>1631</v>
      </c>
      <c r="AA6" s="3199" t="s">
        <v>1632</v>
      </c>
      <c r="AB6" s="3201"/>
      <c r="AC6" s="3194" t="s">
        <v>1628</v>
      </c>
      <c r="AD6" s="2852" t="s">
        <v>1848</v>
      </c>
      <c r="AE6" s="2853" t="s">
        <v>1849</v>
      </c>
      <c r="AF6" s="2852" t="s">
        <v>1850</v>
      </c>
      <c r="AG6" s="2852" t="s">
        <v>1631</v>
      </c>
      <c r="AH6" s="3199" t="s">
        <v>1632</v>
      </c>
      <c r="AI6" s="3201"/>
      <c r="AJ6" s="3202" t="s">
        <v>1628</v>
      </c>
      <c r="AK6" s="2854" t="s">
        <v>1634</v>
      </c>
      <c r="AL6" s="2854" t="s">
        <v>1629</v>
      </c>
      <c r="AM6" s="2854" t="s">
        <v>1630</v>
      </c>
      <c r="AN6" s="2855" t="s">
        <v>1631</v>
      </c>
      <c r="AO6" s="3203" t="s">
        <v>1632</v>
      </c>
      <c r="AP6" s="3204"/>
      <c r="AQ6" s="3194" t="s">
        <v>1628</v>
      </c>
      <c r="AR6" s="2856" t="s">
        <v>1634</v>
      </c>
      <c r="AS6" s="2856" t="s">
        <v>1629</v>
      </c>
      <c r="AT6" s="2856" t="s">
        <v>1630</v>
      </c>
      <c r="AU6" s="2852" t="s">
        <v>1631</v>
      </c>
      <c r="AV6" s="3199" t="s">
        <v>1632</v>
      </c>
      <c r="AW6" s="3201"/>
      <c r="AX6" s="3194" t="s">
        <v>1628</v>
      </c>
      <c r="AY6" s="2856" t="s">
        <v>1634</v>
      </c>
      <c r="AZ6" s="2856" t="s">
        <v>1629</v>
      </c>
      <c r="BA6" s="2856" t="s">
        <v>1630</v>
      </c>
      <c r="BB6" s="2852" t="s">
        <v>1631</v>
      </c>
      <c r="BC6" s="3199" t="s">
        <v>1636</v>
      </c>
      <c r="BD6" s="3201"/>
      <c r="BE6" s="3194" t="s">
        <v>1628</v>
      </c>
      <c r="BF6" s="2856" t="s">
        <v>1634</v>
      </c>
      <c r="BG6" s="2856" t="s">
        <v>1629</v>
      </c>
      <c r="BH6" s="2856" t="s">
        <v>1630</v>
      </c>
      <c r="BI6" s="2852" t="s">
        <v>1631</v>
      </c>
      <c r="BJ6" s="3199" t="s">
        <v>1636</v>
      </c>
      <c r="BK6" s="3201"/>
      <c r="BL6" s="3194" t="s">
        <v>1628</v>
      </c>
      <c r="BM6" s="2856" t="s">
        <v>1634</v>
      </c>
      <c r="BN6" s="2856" t="s">
        <v>1629</v>
      </c>
      <c r="BO6" s="2856" t="s">
        <v>1630</v>
      </c>
      <c r="BP6" s="2852" t="s">
        <v>1631</v>
      </c>
      <c r="BQ6" s="3199" t="s">
        <v>1636</v>
      </c>
      <c r="BR6" s="3201"/>
      <c r="BS6" s="3194" t="s">
        <v>1628</v>
      </c>
      <c r="BT6" s="2856" t="s">
        <v>1634</v>
      </c>
      <c r="BU6" s="2856" t="s">
        <v>1629</v>
      </c>
      <c r="BV6" s="2856" t="s">
        <v>1635</v>
      </c>
      <c r="BW6" s="2852" t="s">
        <v>1631</v>
      </c>
      <c r="BX6" s="3199" t="s">
        <v>1636</v>
      </c>
      <c r="BY6" s="3201"/>
      <c r="BZ6" s="3194" t="s">
        <v>1628</v>
      </c>
      <c r="CA6" s="2856" t="s">
        <v>1634</v>
      </c>
      <c r="CB6" s="2856" t="s">
        <v>1629</v>
      </c>
      <c r="CC6" s="2856" t="s">
        <v>1635</v>
      </c>
      <c r="CD6" s="2852" t="s">
        <v>1631</v>
      </c>
      <c r="CE6" s="3200" t="s">
        <v>1636</v>
      </c>
      <c r="CF6" s="3205"/>
      <c r="CG6" s="3206" t="s">
        <v>1628</v>
      </c>
      <c r="CH6" s="2856" t="s">
        <v>1634</v>
      </c>
      <c r="CI6" s="2856" t="s">
        <v>1629</v>
      </c>
      <c r="CJ6" s="2856" t="s">
        <v>1635</v>
      </c>
      <c r="CK6" s="2852" t="s">
        <v>1631</v>
      </c>
      <c r="CL6" s="3200" t="s">
        <v>1636</v>
      </c>
      <c r="CM6" s="3205"/>
      <c r="CN6" s="3208" t="s">
        <v>1628</v>
      </c>
      <c r="CO6" s="2857" t="s">
        <v>1634</v>
      </c>
      <c r="CP6" s="2857" t="s">
        <v>1629</v>
      </c>
      <c r="CQ6" s="2857" t="s">
        <v>1630</v>
      </c>
      <c r="CR6" s="2858" t="s">
        <v>1631</v>
      </c>
      <c r="CS6" s="3209" t="s">
        <v>1636</v>
      </c>
      <c r="CT6" s="3210"/>
      <c r="CU6" s="3211" t="s">
        <v>1628</v>
      </c>
      <c r="CV6" s="2856" t="s">
        <v>1638</v>
      </c>
      <c r="CW6" s="2856" t="s">
        <v>1639</v>
      </c>
      <c r="CX6" s="2856" t="s">
        <v>1640</v>
      </c>
      <c r="CY6" s="2852" t="s">
        <v>1631</v>
      </c>
      <c r="CZ6" s="3199" t="s">
        <v>1636</v>
      </c>
      <c r="DA6" s="3201"/>
      <c r="DB6" s="1609"/>
      <c r="DD6" s="1625"/>
      <c r="DM6" s="3121" t="s">
        <v>1851</v>
      </c>
    </row>
    <row r="7" spans="1:117" s="1624" customFormat="1" ht="32.25" customHeight="1" thickBot="1">
      <c r="A7" s="3186"/>
      <c r="B7" s="3189"/>
      <c r="C7" s="3165"/>
      <c r="D7" s="3151"/>
      <c r="E7" s="3151"/>
      <c r="F7" s="3168"/>
      <c r="G7" s="3151"/>
      <c r="H7" s="3151"/>
      <c r="I7" s="3151"/>
      <c r="J7" s="3151"/>
      <c r="K7" s="3151"/>
      <c r="L7" s="3151"/>
      <c r="M7" s="3151"/>
      <c r="N7" s="3154"/>
      <c r="O7" s="3195"/>
      <c r="P7" s="2859" t="s">
        <v>3045</v>
      </c>
      <c r="Q7" s="2859" t="s">
        <v>3045</v>
      </c>
      <c r="R7" s="2859" t="s">
        <v>3045</v>
      </c>
      <c r="S7" s="2859" t="s">
        <v>3045</v>
      </c>
      <c r="T7" s="2859" t="s">
        <v>1162</v>
      </c>
      <c r="U7" s="2860" t="s">
        <v>3045</v>
      </c>
      <c r="V7" s="3195"/>
      <c r="W7" s="2859" t="s">
        <v>3045</v>
      </c>
      <c r="X7" s="2859" t="s">
        <v>3045</v>
      </c>
      <c r="Y7" s="2859" t="s">
        <v>3045</v>
      </c>
      <c r="Z7" s="2859" t="s">
        <v>3045</v>
      </c>
      <c r="AA7" s="2859" t="s">
        <v>1162</v>
      </c>
      <c r="AB7" s="2861" t="s">
        <v>3045</v>
      </c>
      <c r="AC7" s="3195"/>
      <c r="AD7" s="2859" t="s">
        <v>3045</v>
      </c>
      <c r="AE7" s="2859" t="s">
        <v>3045</v>
      </c>
      <c r="AF7" s="2859" t="s">
        <v>3045</v>
      </c>
      <c r="AG7" s="2859" t="s">
        <v>3045</v>
      </c>
      <c r="AH7" s="2859" t="s">
        <v>1162</v>
      </c>
      <c r="AI7" s="2861" t="s">
        <v>3045</v>
      </c>
      <c r="AJ7" s="3195"/>
      <c r="AK7" s="2859" t="s">
        <v>3045</v>
      </c>
      <c r="AL7" s="2859" t="s">
        <v>3045</v>
      </c>
      <c r="AM7" s="2859" t="s">
        <v>3045</v>
      </c>
      <c r="AN7" s="2859" t="s">
        <v>3045</v>
      </c>
      <c r="AO7" s="2859" t="s">
        <v>1162</v>
      </c>
      <c r="AP7" s="2861" t="s">
        <v>3045</v>
      </c>
      <c r="AQ7" s="3195"/>
      <c r="AR7" s="2859" t="s">
        <v>3045</v>
      </c>
      <c r="AS7" s="2859" t="s">
        <v>3045</v>
      </c>
      <c r="AT7" s="2859" t="s">
        <v>3045</v>
      </c>
      <c r="AU7" s="2859" t="s">
        <v>3045</v>
      </c>
      <c r="AV7" s="2859" t="s">
        <v>1162</v>
      </c>
      <c r="AW7" s="2861" t="s">
        <v>3045</v>
      </c>
      <c r="AX7" s="3195"/>
      <c r="AY7" s="2859" t="s">
        <v>3045</v>
      </c>
      <c r="AZ7" s="2859" t="s">
        <v>3045</v>
      </c>
      <c r="BA7" s="2859" t="s">
        <v>3045</v>
      </c>
      <c r="BB7" s="2859" t="s">
        <v>3045</v>
      </c>
      <c r="BC7" s="2859" t="s">
        <v>1162</v>
      </c>
      <c r="BD7" s="2861" t="s">
        <v>3045</v>
      </c>
      <c r="BE7" s="3195"/>
      <c r="BF7" s="2859" t="s">
        <v>3045</v>
      </c>
      <c r="BG7" s="2859" t="s">
        <v>3045</v>
      </c>
      <c r="BH7" s="2859" t="s">
        <v>3045</v>
      </c>
      <c r="BI7" s="2859" t="s">
        <v>3045</v>
      </c>
      <c r="BJ7" s="2859" t="s">
        <v>1162</v>
      </c>
      <c r="BK7" s="2861" t="s">
        <v>3045</v>
      </c>
      <c r="BL7" s="3195"/>
      <c r="BM7" s="2859" t="s">
        <v>3045</v>
      </c>
      <c r="BN7" s="2859" t="s">
        <v>3045</v>
      </c>
      <c r="BO7" s="2859" t="s">
        <v>3045</v>
      </c>
      <c r="BP7" s="2859" t="s">
        <v>3045</v>
      </c>
      <c r="BQ7" s="2859" t="s">
        <v>1162</v>
      </c>
      <c r="BR7" s="2861" t="s">
        <v>3045</v>
      </c>
      <c r="BS7" s="3195"/>
      <c r="BT7" s="2859" t="s">
        <v>3045</v>
      </c>
      <c r="BU7" s="2859" t="s">
        <v>3045</v>
      </c>
      <c r="BV7" s="2859" t="s">
        <v>3045</v>
      </c>
      <c r="BW7" s="2859" t="s">
        <v>3045</v>
      </c>
      <c r="BX7" s="2859" t="s">
        <v>1162</v>
      </c>
      <c r="BY7" s="2861" t="s">
        <v>3045</v>
      </c>
      <c r="BZ7" s="3195"/>
      <c r="CA7" s="2859" t="s">
        <v>3045</v>
      </c>
      <c r="CB7" s="2859" t="s">
        <v>3045</v>
      </c>
      <c r="CC7" s="2859" t="s">
        <v>3045</v>
      </c>
      <c r="CD7" s="2859" t="s">
        <v>3045</v>
      </c>
      <c r="CE7" s="2859" t="s">
        <v>1162</v>
      </c>
      <c r="CF7" s="2861" t="s">
        <v>3045</v>
      </c>
      <c r="CG7" s="3207"/>
      <c r="CH7" s="2859" t="s">
        <v>3045</v>
      </c>
      <c r="CI7" s="2859" t="s">
        <v>3045</v>
      </c>
      <c r="CJ7" s="2859" t="s">
        <v>3045</v>
      </c>
      <c r="CK7" s="2859" t="s">
        <v>3045</v>
      </c>
      <c r="CL7" s="2859" t="s">
        <v>1162</v>
      </c>
      <c r="CM7" s="2861" t="s">
        <v>3045</v>
      </c>
      <c r="CN7" s="3207"/>
      <c r="CO7" s="2859" t="s">
        <v>3045</v>
      </c>
      <c r="CP7" s="2859" t="s">
        <v>3045</v>
      </c>
      <c r="CQ7" s="2859" t="s">
        <v>3045</v>
      </c>
      <c r="CR7" s="2859" t="s">
        <v>3045</v>
      </c>
      <c r="CS7" s="2859" t="s">
        <v>1162</v>
      </c>
      <c r="CT7" s="2861" t="s">
        <v>3045</v>
      </c>
      <c r="CU7" s="3212"/>
      <c r="CV7" s="2859" t="s">
        <v>3045</v>
      </c>
      <c r="CW7" s="2859" t="s">
        <v>3045</v>
      </c>
      <c r="CX7" s="2859" t="s">
        <v>3045</v>
      </c>
      <c r="CY7" s="2859" t="s">
        <v>3045</v>
      </c>
      <c r="CZ7" s="2859" t="s">
        <v>1162</v>
      </c>
      <c r="DA7" s="2861" t="s">
        <v>3045</v>
      </c>
      <c r="DB7" s="1609"/>
      <c r="DD7" s="1625"/>
      <c r="DM7" s="3121"/>
    </row>
    <row r="8" spans="1:117" ht="21" customHeight="1">
      <c r="A8" s="1632" t="s">
        <v>57</v>
      </c>
      <c r="B8" s="1633" t="s">
        <v>1645</v>
      </c>
      <c r="C8" s="1634"/>
      <c r="D8" s="1635"/>
      <c r="E8" s="1635"/>
      <c r="F8" s="1635"/>
      <c r="G8" s="1635"/>
      <c r="H8" s="1635"/>
      <c r="I8" s="1635"/>
      <c r="J8" s="1635"/>
      <c r="K8" s="1635"/>
      <c r="L8" s="1635"/>
      <c r="M8" s="1635"/>
      <c r="N8" s="1636"/>
      <c r="O8" s="2862"/>
      <c r="P8" s="2863"/>
      <c r="Q8" s="2863"/>
      <c r="R8" s="2863"/>
      <c r="S8" s="2863"/>
      <c r="T8" s="2863"/>
      <c r="U8" s="2864"/>
      <c r="V8" s="2862"/>
      <c r="W8" s="2863"/>
      <c r="X8" s="2863"/>
      <c r="Y8" s="2863"/>
      <c r="Z8" s="2863"/>
      <c r="AA8" s="2863"/>
      <c r="AB8" s="2864"/>
      <c r="AC8" s="2862"/>
      <c r="AD8" s="2863"/>
      <c r="AE8" s="2863"/>
      <c r="AF8" s="2863"/>
      <c r="AG8" s="2863"/>
      <c r="AH8" s="2863"/>
      <c r="AI8" s="2864"/>
      <c r="AJ8" s="2862"/>
      <c r="AK8" s="2863"/>
      <c r="AL8" s="2863"/>
      <c r="AM8" s="2863"/>
      <c r="AN8" s="2863"/>
      <c r="AO8" s="2863"/>
      <c r="AP8" s="2864"/>
      <c r="AQ8" s="2862"/>
      <c r="AR8" s="2863"/>
      <c r="AS8" s="2863"/>
      <c r="AT8" s="2863"/>
      <c r="AU8" s="2863"/>
      <c r="AV8" s="2863"/>
      <c r="AW8" s="2864"/>
      <c r="AX8" s="2862"/>
      <c r="AY8" s="2863"/>
      <c r="AZ8" s="2863"/>
      <c r="BA8" s="2863"/>
      <c r="BB8" s="2863"/>
      <c r="BC8" s="2863"/>
      <c r="BD8" s="2864"/>
      <c r="BE8" s="2862"/>
      <c r="BF8" s="2863"/>
      <c r="BG8" s="2863"/>
      <c r="BH8" s="2863"/>
      <c r="BI8" s="2863"/>
      <c r="BJ8" s="2863"/>
      <c r="BK8" s="2864"/>
      <c r="BL8" s="2862"/>
      <c r="BM8" s="2863"/>
      <c r="BN8" s="2863"/>
      <c r="BO8" s="2863"/>
      <c r="BP8" s="2863"/>
      <c r="BQ8" s="2863"/>
      <c r="BR8" s="2864"/>
      <c r="BS8" s="2862"/>
      <c r="BT8" s="2863"/>
      <c r="BU8" s="2863"/>
      <c r="BV8" s="2863"/>
      <c r="BW8" s="2863"/>
      <c r="BX8" s="2863"/>
      <c r="BY8" s="2864"/>
      <c r="BZ8" s="2862"/>
      <c r="CA8" s="2863"/>
      <c r="CB8" s="2863"/>
      <c r="CC8" s="2863"/>
      <c r="CD8" s="2863"/>
      <c r="CE8" s="2863"/>
      <c r="CF8" s="2864"/>
      <c r="CG8" s="2862"/>
      <c r="CH8" s="2863"/>
      <c r="CI8" s="2863"/>
      <c r="CJ8" s="2863"/>
      <c r="CK8" s="2863"/>
      <c r="CL8" s="2863"/>
      <c r="CM8" s="2864"/>
      <c r="CN8" s="2865"/>
      <c r="CO8" s="2863"/>
      <c r="CP8" s="2863"/>
      <c r="CQ8" s="2863"/>
      <c r="CR8" s="2863"/>
      <c r="CS8" s="2863"/>
      <c r="CT8" s="2864"/>
      <c r="CU8" s="2866"/>
      <c r="CV8" s="2863"/>
      <c r="CW8" s="2863"/>
      <c r="CX8" s="2863"/>
      <c r="CY8" s="2863"/>
      <c r="CZ8" s="2867"/>
      <c r="DA8" s="2868"/>
    </row>
    <row r="9" spans="1:117" ht="21" customHeight="1">
      <c r="A9" s="1637" t="s">
        <v>19</v>
      </c>
      <c r="B9" s="1638" t="s">
        <v>1646</v>
      </c>
      <c r="C9" s="1639"/>
      <c r="D9" s="1640"/>
      <c r="E9" s="1640"/>
      <c r="F9" s="1640"/>
      <c r="G9" s="1640"/>
      <c r="H9" s="1640"/>
      <c r="I9" s="1641"/>
      <c r="J9" s="1641"/>
      <c r="K9" s="1641"/>
      <c r="L9" s="1640"/>
      <c r="M9" s="1640"/>
      <c r="N9" s="1642"/>
      <c r="O9" s="2869"/>
      <c r="P9" s="2870"/>
      <c r="Q9" s="2870"/>
      <c r="R9" s="2870"/>
      <c r="S9" s="2870"/>
      <c r="T9" s="2870"/>
      <c r="U9" s="2871"/>
      <c r="V9" s="2869"/>
      <c r="W9" s="2870"/>
      <c r="X9" s="2870"/>
      <c r="Y9" s="2870"/>
      <c r="Z9" s="2870"/>
      <c r="AA9" s="2870"/>
      <c r="AB9" s="2871"/>
      <c r="AC9" s="2869"/>
      <c r="AD9" s="2870"/>
      <c r="AE9" s="2870"/>
      <c r="AF9" s="2870"/>
      <c r="AG9" s="2870"/>
      <c r="AH9" s="2870"/>
      <c r="AI9" s="2871"/>
      <c r="AJ9" s="2869"/>
      <c r="AK9" s="2870"/>
      <c r="AL9" s="2870"/>
      <c r="AM9" s="2870"/>
      <c r="AN9" s="2870"/>
      <c r="AO9" s="2870"/>
      <c r="AP9" s="2871"/>
      <c r="AQ9" s="2869"/>
      <c r="AR9" s="2870"/>
      <c r="AS9" s="2870"/>
      <c r="AT9" s="2870"/>
      <c r="AU9" s="2870"/>
      <c r="AV9" s="2870"/>
      <c r="AW9" s="2871"/>
      <c r="AX9" s="2869"/>
      <c r="AY9" s="2870"/>
      <c r="AZ9" s="2870"/>
      <c r="BA9" s="2870"/>
      <c r="BB9" s="2870"/>
      <c r="BC9" s="2870"/>
      <c r="BD9" s="2871"/>
      <c r="BE9" s="2869"/>
      <c r="BF9" s="2870"/>
      <c r="BG9" s="2870"/>
      <c r="BH9" s="2870"/>
      <c r="BI9" s="2870"/>
      <c r="BJ9" s="2870"/>
      <c r="BK9" s="2871"/>
      <c r="BL9" s="2869"/>
      <c r="BM9" s="2870"/>
      <c r="BN9" s="2870"/>
      <c r="BO9" s="2870"/>
      <c r="BP9" s="2870"/>
      <c r="BQ9" s="2870"/>
      <c r="BR9" s="2871"/>
      <c r="BS9" s="2869"/>
      <c r="BT9" s="2870"/>
      <c r="BU9" s="2870"/>
      <c r="BV9" s="2870"/>
      <c r="BW9" s="2870"/>
      <c r="BX9" s="2870"/>
      <c r="BY9" s="2871"/>
      <c r="BZ9" s="2869"/>
      <c r="CA9" s="2870"/>
      <c r="CB9" s="2870"/>
      <c r="CC9" s="2870"/>
      <c r="CD9" s="2870"/>
      <c r="CE9" s="2870"/>
      <c r="CF9" s="2871"/>
      <c r="CG9" s="2869"/>
      <c r="CH9" s="2870"/>
      <c r="CI9" s="2870"/>
      <c r="CJ9" s="2870"/>
      <c r="CK9" s="2870"/>
      <c r="CL9" s="2870"/>
      <c r="CM9" s="2871"/>
      <c r="CN9" s="2872"/>
      <c r="CO9" s="2870"/>
      <c r="CP9" s="2870"/>
      <c r="CQ9" s="2870"/>
      <c r="CR9" s="2870"/>
      <c r="CS9" s="2870"/>
      <c r="CT9" s="2871"/>
      <c r="CU9" s="2873">
        <v>0</v>
      </c>
      <c r="CV9" s="2870"/>
      <c r="CW9" s="2870"/>
      <c r="CX9" s="2870"/>
      <c r="CY9" s="2870"/>
      <c r="CZ9" s="2874"/>
      <c r="DA9" s="2875"/>
    </row>
    <row r="10" spans="1:117" ht="21" customHeight="1">
      <c r="A10" s="1637"/>
      <c r="B10" s="1638"/>
      <c r="C10" s="1643"/>
      <c r="D10" s="1641"/>
      <c r="E10" s="1641"/>
      <c r="F10" s="1641"/>
      <c r="G10" s="1641"/>
      <c r="H10" s="1641"/>
      <c r="I10" s="1641"/>
      <c r="J10" s="1641"/>
      <c r="K10" s="1641"/>
      <c r="L10" s="1641"/>
      <c r="M10" s="1641"/>
      <c r="N10" s="1642"/>
      <c r="O10" s="2876"/>
      <c r="P10" s="2870"/>
      <c r="Q10" s="2870"/>
      <c r="R10" s="2870"/>
      <c r="S10" s="2870"/>
      <c r="T10" s="2877"/>
      <c r="U10" s="2871"/>
      <c r="V10" s="2869"/>
      <c r="W10" s="2870"/>
      <c r="X10" s="2870"/>
      <c r="Y10" s="2870"/>
      <c r="Z10" s="2870"/>
      <c r="AA10" s="2870"/>
      <c r="AB10" s="2871"/>
      <c r="AC10" s="2869"/>
      <c r="AD10" s="2870"/>
      <c r="AE10" s="2870"/>
      <c r="AF10" s="2870"/>
      <c r="AG10" s="2870"/>
      <c r="AH10" s="2870"/>
      <c r="AI10" s="2871"/>
      <c r="AJ10" s="2869"/>
      <c r="AK10" s="2870"/>
      <c r="AL10" s="2870"/>
      <c r="AM10" s="2870"/>
      <c r="AN10" s="2870"/>
      <c r="AO10" s="2870"/>
      <c r="AP10" s="2871"/>
      <c r="AQ10" s="2869"/>
      <c r="AR10" s="2870"/>
      <c r="AS10" s="2870"/>
      <c r="AT10" s="2870"/>
      <c r="AU10" s="2870"/>
      <c r="AV10" s="2870"/>
      <c r="AW10" s="2871"/>
      <c r="AX10" s="2869"/>
      <c r="AY10" s="2870"/>
      <c r="AZ10" s="2870"/>
      <c r="BA10" s="2870"/>
      <c r="BB10" s="2870"/>
      <c r="BC10" s="2870"/>
      <c r="BD10" s="2871"/>
      <c r="BE10" s="2869"/>
      <c r="BF10" s="2870"/>
      <c r="BG10" s="2870"/>
      <c r="BH10" s="2870"/>
      <c r="BI10" s="2870"/>
      <c r="BJ10" s="2870"/>
      <c r="BK10" s="2871"/>
      <c r="BL10" s="2869"/>
      <c r="BM10" s="2870"/>
      <c r="BN10" s="2870"/>
      <c r="BO10" s="2870"/>
      <c r="BP10" s="2870"/>
      <c r="BQ10" s="2870"/>
      <c r="BR10" s="2871"/>
      <c r="BS10" s="2869"/>
      <c r="BT10" s="2870"/>
      <c r="BU10" s="2870"/>
      <c r="BV10" s="2870"/>
      <c r="BW10" s="2870"/>
      <c r="BX10" s="2870"/>
      <c r="BY10" s="2871"/>
      <c r="BZ10" s="2869"/>
      <c r="CA10" s="2870"/>
      <c r="CB10" s="2870"/>
      <c r="CC10" s="2870"/>
      <c r="CD10" s="2870"/>
      <c r="CE10" s="2870"/>
      <c r="CF10" s="2871"/>
      <c r="CG10" s="2869"/>
      <c r="CH10" s="2870"/>
      <c r="CI10" s="2870"/>
      <c r="CJ10" s="2870"/>
      <c r="CK10" s="2870"/>
      <c r="CL10" s="2870"/>
      <c r="CM10" s="2871"/>
      <c r="CN10" s="2872"/>
      <c r="CO10" s="2870"/>
      <c r="CP10" s="2870"/>
      <c r="CQ10" s="2870"/>
      <c r="CR10" s="2870"/>
      <c r="CS10" s="2870"/>
      <c r="CT10" s="2871"/>
      <c r="CU10" s="2873">
        <v>0</v>
      </c>
      <c r="CV10" s="2870"/>
      <c r="CW10" s="2870"/>
      <c r="CX10" s="2870"/>
      <c r="CY10" s="2870"/>
      <c r="CZ10" s="2874"/>
      <c r="DA10" s="2875"/>
    </row>
    <row r="11" spans="1:117" ht="21" customHeight="1">
      <c r="A11" s="1637" t="s">
        <v>20</v>
      </c>
      <c r="B11" s="1638" t="s">
        <v>1647</v>
      </c>
      <c r="C11" s="1643"/>
      <c r="D11" s="1641"/>
      <c r="E11" s="1641"/>
      <c r="F11" s="1641"/>
      <c r="G11" s="1641"/>
      <c r="H11" s="1641"/>
      <c r="I11" s="1641"/>
      <c r="J11" s="1641"/>
      <c r="K11" s="1641"/>
      <c r="L11" s="1641"/>
      <c r="M11" s="1641"/>
      <c r="N11" s="1642"/>
      <c r="O11" s="2869"/>
      <c r="P11" s="2870"/>
      <c r="Q11" s="2870"/>
      <c r="R11" s="2870"/>
      <c r="S11" s="2870"/>
      <c r="T11" s="2870"/>
      <c r="U11" s="2871"/>
      <c r="V11" s="2869"/>
      <c r="W11" s="2870"/>
      <c r="X11" s="2870"/>
      <c r="Y11" s="2870"/>
      <c r="Z11" s="2870"/>
      <c r="AA11" s="2870"/>
      <c r="AB11" s="2871"/>
      <c r="AC11" s="2869"/>
      <c r="AD11" s="2870"/>
      <c r="AE11" s="2870"/>
      <c r="AF11" s="2870"/>
      <c r="AG11" s="2870"/>
      <c r="AH11" s="2870"/>
      <c r="AI11" s="2871"/>
      <c r="AJ11" s="2869"/>
      <c r="AK11" s="2870"/>
      <c r="AL11" s="2870"/>
      <c r="AM11" s="2870"/>
      <c r="AN11" s="2870"/>
      <c r="AO11" s="2870"/>
      <c r="AP11" s="2871"/>
      <c r="AQ11" s="2869"/>
      <c r="AR11" s="2870"/>
      <c r="AS11" s="2870"/>
      <c r="AT11" s="2870"/>
      <c r="AU11" s="2870"/>
      <c r="AV11" s="2870"/>
      <c r="AW11" s="2871"/>
      <c r="AX11" s="2869"/>
      <c r="AY11" s="2870"/>
      <c r="AZ11" s="2870"/>
      <c r="BA11" s="2870"/>
      <c r="BB11" s="2870"/>
      <c r="BC11" s="2870"/>
      <c r="BD11" s="2871"/>
      <c r="BE11" s="2869"/>
      <c r="BF11" s="2870"/>
      <c r="BG11" s="2870"/>
      <c r="BH11" s="2870"/>
      <c r="BI11" s="2870"/>
      <c r="BJ11" s="2870"/>
      <c r="BK11" s="2871"/>
      <c r="BL11" s="2869"/>
      <c r="BM11" s="2870"/>
      <c r="BN11" s="2870"/>
      <c r="BO11" s="2870"/>
      <c r="BP11" s="2870"/>
      <c r="BQ11" s="2870"/>
      <c r="BR11" s="2871"/>
      <c r="BS11" s="2869"/>
      <c r="BT11" s="2870"/>
      <c r="BU11" s="2870"/>
      <c r="BV11" s="2870"/>
      <c r="BW11" s="2870"/>
      <c r="BX11" s="2870"/>
      <c r="BY11" s="2871"/>
      <c r="BZ11" s="2869"/>
      <c r="CA11" s="2870"/>
      <c r="CB11" s="2870"/>
      <c r="CC11" s="2870"/>
      <c r="CD11" s="2870"/>
      <c r="CE11" s="2870"/>
      <c r="CF11" s="2871"/>
      <c r="CG11" s="2869"/>
      <c r="CH11" s="2870"/>
      <c r="CI11" s="2870"/>
      <c r="CJ11" s="2870"/>
      <c r="CK11" s="2870"/>
      <c r="CL11" s="2870"/>
      <c r="CM11" s="2871"/>
      <c r="CN11" s="2872"/>
      <c r="CO11" s="2870"/>
      <c r="CP11" s="2870"/>
      <c r="CQ11" s="2870"/>
      <c r="CR11" s="2870"/>
      <c r="CS11" s="2870"/>
      <c r="CT11" s="2871"/>
      <c r="CU11" s="2873"/>
      <c r="CV11" s="2870"/>
      <c r="CW11" s="2870"/>
      <c r="CX11" s="2870"/>
      <c r="CY11" s="2870"/>
      <c r="CZ11" s="2874"/>
      <c r="DA11" s="2875"/>
    </row>
    <row r="12" spans="1:117" ht="21" customHeight="1">
      <c r="A12" s="1652">
        <v>1</v>
      </c>
      <c r="B12" s="1644" t="s">
        <v>1648</v>
      </c>
      <c r="C12" s="1645">
        <v>630</v>
      </c>
      <c r="D12" s="1646">
        <v>100</v>
      </c>
      <c r="E12" s="1646">
        <v>84.12</v>
      </c>
      <c r="F12" s="1646">
        <v>8.5</v>
      </c>
      <c r="G12" s="1640"/>
      <c r="H12" s="1647">
        <v>630</v>
      </c>
      <c r="I12" s="1648" t="s">
        <v>1649</v>
      </c>
      <c r="J12" s="1649">
        <v>2</v>
      </c>
      <c r="K12" s="1648"/>
      <c r="L12" s="1640"/>
      <c r="M12" s="1640"/>
      <c r="N12" s="1642"/>
      <c r="O12" s="2876">
        <v>268.96055000000001</v>
      </c>
      <c r="P12" s="2870">
        <v>222673900</v>
      </c>
      <c r="Q12" s="2870">
        <v>491848158</v>
      </c>
      <c r="R12" s="2870"/>
      <c r="S12" s="2870"/>
      <c r="T12" s="2870">
        <v>2.6566054315400529</v>
      </c>
      <c r="U12" s="2875">
        <v>714522058</v>
      </c>
      <c r="V12" s="2869">
        <v>294.03762499999999</v>
      </c>
      <c r="W12" s="2870">
        <v>221446060</v>
      </c>
      <c r="X12" s="2870">
        <v>546998194</v>
      </c>
      <c r="Y12" s="2870"/>
      <c r="Z12" s="2870"/>
      <c r="AA12" s="2877">
        <v>2.6134215102574032</v>
      </c>
      <c r="AB12" s="2875">
        <v>768444254</v>
      </c>
      <c r="AC12" s="2869">
        <v>290.369845</v>
      </c>
      <c r="AD12" s="2870">
        <v>230654860</v>
      </c>
      <c r="AE12" s="2870">
        <v>576906808</v>
      </c>
      <c r="AF12" s="2870"/>
      <c r="AG12" s="2870"/>
      <c r="AH12" s="2877">
        <v>2.7811485314530509</v>
      </c>
      <c r="AI12" s="2875">
        <v>807561668</v>
      </c>
      <c r="AJ12" s="2869">
        <v>312.62511000000001</v>
      </c>
      <c r="AK12" s="2870">
        <v>231882700</v>
      </c>
      <c r="AL12" s="2870">
        <v>652698705</v>
      </c>
      <c r="AM12" s="2870"/>
      <c r="AN12" s="2870"/>
      <c r="AO12" s="2877">
        <v>2.8295276889306811</v>
      </c>
      <c r="AP12" s="2875">
        <v>884581405</v>
      </c>
      <c r="AQ12" s="2869">
        <v>236.79881499999999</v>
      </c>
      <c r="AR12" s="2870">
        <v>178062380</v>
      </c>
      <c r="AS12" s="2870">
        <v>488942192</v>
      </c>
      <c r="AT12" s="2870"/>
      <c r="AU12" s="2870"/>
      <c r="AV12" s="2877">
        <v>2.8167563760823717</v>
      </c>
      <c r="AW12" s="2875">
        <v>667004572</v>
      </c>
      <c r="AX12" s="2869">
        <v>209.76857999999999</v>
      </c>
      <c r="AY12" s="2870">
        <v>155551980</v>
      </c>
      <c r="AZ12" s="2870">
        <v>447310520</v>
      </c>
      <c r="BA12" s="2870"/>
      <c r="BB12" s="2870"/>
      <c r="BC12" s="2877">
        <v>2.8739408923872203</v>
      </c>
      <c r="BD12" s="2875">
        <v>602862500</v>
      </c>
      <c r="BE12" s="2869">
        <v>257.96648499999998</v>
      </c>
      <c r="BF12" s="2870">
        <v>188447860</v>
      </c>
      <c r="BG12" s="2870">
        <v>526148443</v>
      </c>
      <c r="BH12" s="2870"/>
      <c r="BI12" s="2870"/>
      <c r="BJ12" s="2877">
        <v>2.7701129586659294</v>
      </c>
      <c r="BK12" s="2875">
        <v>714596303</v>
      </c>
      <c r="BL12" s="2869">
        <v>247.21297000000001</v>
      </c>
      <c r="BM12" s="2870">
        <v>211469860</v>
      </c>
      <c r="BN12" s="2870">
        <v>462288254</v>
      </c>
      <c r="BO12" s="2870"/>
      <c r="BP12" s="2870"/>
      <c r="BQ12" s="2877">
        <v>2.7254157174682216</v>
      </c>
      <c r="BR12" s="2875">
        <v>673758114</v>
      </c>
      <c r="BS12" s="2869">
        <v>197.22254000000001</v>
      </c>
      <c r="BT12" s="2870">
        <v>170260480</v>
      </c>
      <c r="BU12" s="2870">
        <v>382625355</v>
      </c>
      <c r="BV12" s="2870"/>
      <c r="BW12" s="2870"/>
      <c r="BX12" s="2877">
        <v>2.8033602802194921</v>
      </c>
      <c r="BY12" s="2875">
        <v>552885835</v>
      </c>
      <c r="BZ12" s="2869">
        <v>209.35384500000001</v>
      </c>
      <c r="CA12" s="2870">
        <v>169953520</v>
      </c>
      <c r="CB12" s="2870">
        <v>385115897</v>
      </c>
      <c r="CC12" s="2870"/>
      <c r="CD12" s="2870"/>
      <c r="CE12" s="2877">
        <v>2.651345701341191</v>
      </c>
      <c r="CF12" s="2875">
        <v>555069417</v>
      </c>
      <c r="CG12" s="2869">
        <v>224.03592</v>
      </c>
      <c r="CH12" s="2870">
        <v>200854160</v>
      </c>
      <c r="CI12" s="2870">
        <v>415183367</v>
      </c>
      <c r="CJ12" s="2870"/>
      <c r="CK12" s="2870"/>
      <c r="CL12" s="2877">
        <v>2.7497265929499162</v>
      </c>
      <c r="CM12" s="2875">
        <v>616037527</v>
      </c>
      <c r="CN12" s="2872">
        <v>394.25716999999997</v>
      </c>
      <c r="CO12" s="2870">
        <v>286393680</v>
      </c>
      <c r="CP12" s="2870">
        <v>725827450</v>
      </c>
      <c r="CQ12" s="2870"/>
      <c r="CR12" s="2870"/>
      <c r="CS12" s="2877">
        <v>2.5674133713281613</v>
      </c>
      <c r="CT12" s="2875">
        <v>1012221130</v>
      </c>
      <c r="CU12" s="2878">
        <v>3142.6094549999998</v>
      </c>
      <c r="CV12" s="2870">
        <v>2467651440</v>
      </c>
      <c r="CW12" s="2870">
        <v>6101893343</v>
      </c>
      <c r="CX12" s="2870">
        <v>0</v>
      </c>
      <c r="CY12" s="2870">
        <v>0</v>
      </c>
      <c r="CZ12" s="2879">
        <v>2.7268882454883343</v>
      </c>
      <c r="DA12" s="2875">
        <v>8569544783</v>
      </c>
      <c r="DJ12" s="1611" t="s">
        <v>1649</v>
      </c>
      <c r="DK12" s="2782" t="s">
        <v>1649</v>
      </c>
      <c r="DM12" s="1650">
        <v>1.9416645403684119</v>
      </c>
    </row>
    <row r="13" spans="1:117" ht="21" customHeight="1">
      <c r="A13" s="1652">
        <v>2</v>
      </c>
      <c r="B13" s="1644" t="s">
        <v>1650</v>
      </c>
      <c r="C13" s="1645">
        <v>1000</v>
      </c>
      <c r="D13" s="1646">
        <v>100</v>
      </c>
      <c r="E13" s="1646">
        <v>82.52</v>
      </c>
      <c r="F13" s="1646">
        <v>6.55</v>
      </c>
      <c r="G13" s="1640"/>
      <c r="H13" s="1647">
        <v>1000</v>
      </c>
      <c r="I13" s="1648" t="s">
        <v>1649</v>
      </c>
      <c r="J13" s="1649">
        <v>2</v>
      </c>
      <c r="K13" s="1648"/>
      <c r="L13" s="1640"/>
      <c r="M13" s="1640"/>
      <c r="N13" s="1642"/>
      <c r="O13" s="2876">
        <v>586.968073</v>
      </c>
      <c r="P13" s="2870">
        <v>256566667</v>
      </c>
      <c r="Q13" s="2870">
        <v>1020091814</v>
      </c>
      <c r="R13" s="2870"/>
      <c r="S13" s="2870"/>
      <c r="T13" s="2870">
        <v>2.1750049785075789</v>
      </c>
      <c r="U13" s="2875">
        <v>1276658481</v>
      </c>
      <c r="V13" s="2869">
        <v>484.61951800000003</v>
      </c>
      <c r="W13" s="2870">
        <v>241223980</v>
      </c>
      <c r="X13" s="2870">
        <v>869407415</v>
      </c>
      <c r="Y13" s="2870"/>
      <c r="Z13" s="2870"/>
      <c r="AA13" s="2877">
        <v>2.291759522157752</v>
      </c>
      <c r="AB13" s="2875">
        <v>1110631395</v>
      </c>
      <c r="AC13" s="2869">
        <v>570.83122500000002</v>
      </c>
      <c r="AD13" s="2870">
        <v>271909353</v>
      </c>
      <c r="AE13" s="2870">
        <v>1074304366</v>
      </c>
      <c r="AF13" s="2870"/>
      <c r="AG13" s="2870"/>
      <c r="AH13" s="2877">
        <v>2.3583393129904553</v>
      </c>
      <c r="AI13" s="2875">
        <v>1346213719</v>
      </c>
      <c r="AJ13" s="2869">
        <v>559.34375499999999</v>
      </c>
      <c r="AK13" s="2870">
        <v>256566667</v>
      </c>
      <c r="AL13" s="2870">
        <v>1049944162</v>
      </c>
      <c r="AM13" s="2870"/>
      <c r="AN13" s="2870"/>
      <c r="AO13" s="2877">
        <v>2.3357922875173602</v>
      </c>
      <c r="AP13" s="2875">
        <v>1306510829</v>
      </c>
      <c r="AQ13" s="2869">
        <v>522.901163</v>
      </c>
      <c r="AR13" s="2870">
        <v>247073700</v>
      </c>
      <c r="AS13" s="2870">
        <v>1005382066</v>
      </c>
      <c r="AT13" s="2870"/>
      <c r="AU13" s="2870"/>
      <c r="AV13" s="2877">
        <v>2.3952055467124675</v>
      </c>
      <c r="AW13" s="2875">
        <v>1252455766</v>
      </c>
      <c r="AX13" s="2869">
        <v>638.69581500000004</v>
      </c>
      <c r="AY13" s="2870">
        <v>266059633</v>
      </c>
      <c r="AZ13" s="2870">
        <v>1193019913</v>
      </c>
      <c r="BA13" s="2870"/>
      <c r="BB13" s="2870"/>
      <c r="BC13" s="2877">
        <v>2.2844670525984268</v>
      </c>
      <c r="BD13" s="2875">
        <v>1459079546</v>
      </c>
      <c r="BE13" s="2869">
        <v>633.29200500000002</v>
      </c>
      <c r="BF13" s="2870">
        <v>256566667</v>
      </c>
      <c r="BG13" s="2870">
        <v>1133149384</v>
      </c>
      <c r="BH13" s="2870"/>
      <c r="BI13" s="2870"/>
      <c r="BJ13" s="2877">
        <v>2.1944316997969997</v>
      </c>
      <c r="BK13" s="2875">
        <v>1389716051</v>
      </c>
      <c r="BL13" s="2869">
        <v>569.77272000000005</v>
      </c>
      <c r="BM13" s="2870">
        <v>256566667</v>
      </c>
      <c r="BN13" s="2870">
        <v>923031806</v>
      </c>
      <c r="BO13" s="2870"/>
      <c r="BP13" s="2870"/>
      <c r="BQ13" s="2877">
        <v>2.0702965087552805</v>
      </c>
      <c r="BR13" s="2875">
        <v>1179598473</v>
      </c>
      <c r="BS13" s="2869">
        <v>578.47713499999998</v>
      </c>
      <c r="BT13" s="2870">
        <v>256566667</v>
      </c>
      <c r="BU13" s="2870">
        <v>981119413</v>
      </c>
      <c r="BV13" s="2870"/>
      <c r="BW13" s="2870"/>
      <c r="BX13" s="2877">
        <v>2.139559206605461</v>
      </c>
      <c r="BY13" s="2875">
        <v>1237686080</v>
      </c>
      <c r="BZ13" s="2869">
        <v>641.79692999999997</v>
      </c>
      <c r="CA13" s="2870">
        <v>256566667</v>
      </c>
      <c r="CB13" s="2870">
        <v>1111358156</v>
      </c>
      <c r="CC13" s="2870"/>
      <c r="CD13" s="2870"/>
      <c r="CE13" s="2877">
        <v>2.1313982025435991</v>
      </c>
      <c r="CF13" s="2875">
        <v>1367924823</v>
      </c>
      <c r="CG13" s="2869">
        <v>577.43983800000001</v>
      </c>
      <c r="CH13" s="2870">
        <v>256566667</v>
      </c>
      <c r="CI13" s="2870">
        <v>975295887</v>
      </c>
      <c r="CJ13" s="2870"/>
      <c r="CK13" s="2870"/>
      <c r="CL13" s="2877">
        <v>2.1333175734231209</v>
      </c>
      <c r="CM13" s="2875">
        <v>1231862554</v>
      </c>
      <c r="CN13" s="2872">
        <v>618.01881800000001</v>
      </c>
      <c r="CO13" s="2870">
        <v>256566667</v>
      </c>
      <c r="CP13" s="2870">
        <v>1039754859</v>
      </c>
      <c r="CQ13" s="2870">
        <v>15515497</v>
      </c>
      <c r="CR13" s="2870"/>
      <c r="CS13" s="2877">
        <v>2.1226489951314074</v>
      </c>
      <c r="CT13" s="2875">
        <v>1311837023</v>
      </c>
      <c r="CU13" s="2878">
        <v>6982.1569950000012</v>
      </c>
      <c r="CV13" s="2870">
        <v>3078800002</v>
      </c>
      <c r="CW13" s="2870">
        <v>12375859241</v>
      </c>
      <c r="CX13" s="2870">
        <v>15515497</v>
      </c>
      <c r="CY13" s="2870">
        <v>0</v>
      </c>
      <c r="CZ13" s="2879">
        <v>2.2156727141882318</v>
      </c>
      <c r="DA13" s="2875">
        <v>15470174740</v>
      </c>
      <c r="DJ13" s="1611" t="s">
        <v>1649</v>
      </c>
      <c r="DK13" s="2782" t="s">
        <v>1649</v>
      </c>
      <c r="DM13" s="1650">
        <v>1.7724979902145552</v>
      </c>
    </row>
    <row r="14" spans="1:117" ht="21" customHeight="1">
      <c r="A14" s="1652">
        <v>3</v>
      </c>
      <c r="B14" s="1644" t="s">
        <v>1651</v>
      </c>
      <c r="C14" s="1645">
        <v>660</v>
      </c>
      <c r="D14" s="1646">
        <v>100</v>
      </c>
      <c r="E14" s="1646" t="s">
        <v>1594</v>
      </c>
      <c r="F14" s="1646">
        <v>9.8000000000000007</v>
      </c>
      <c r="G14" s="1641"/>
      <c r="H14" s="1651">
        <v>660</v>
      </c>
      <c r="I14" s="1648" t="s">
        <v>1649</v>
      </c>
      <c r="J14" s="1649">
        <v>2</v>
      </c>
      <c r="K14" s="1648"/>
      <c r="L14" s="1641"/>
      <c r="M14" s="1641"/>
      <c r="N14" s="1642"/>
      <c r="O14" s="2876"/>
      <c r="P14" s="2870"/>
      <c r="Q14" s="2870"/>
      <c r="R14" s="2870"/>
      <c r="S14" s="2870"/>
      <c r="T14" s="2877"/>
      <c r="U14" s="2875">
        <v>0</v>
      </c>
      <c r="V14" s="2869"/>
      <c r="W14" s="2870"/>
      <c r="X14" s="2870"/>
      <c r="Y14" s="2870"/>
      <c r="Z14" s="2870"/>
      <c r="AA14" s="2877">
        <v>0</v>
      </c>
      <c r="AB14" s="2875">
        <v>0</v>
      </c>
      <c r="AC14" s="2869"/>
      <c r="AD14" s="2870"/>
      <c r="AE14" s="2870"/>
      <c r="AF14" s="2870"/>
      <c r="AG14" s="2870"/>
      <c r="AH14" s="2877">
        <v>0</v>
      </c>
      <c r="AI14" s="2875">
        <v>0</v>
      </c>
      <c r="AJ14" s="2869"/>
      <c r="AK14" s="2870"/>
      <c r="AL14" s="2870"/>
      <c r="AM14" s="2870"/>
      <c r="AN14" s="2870"/>
      <c r="AO14" s="2877">
        <v>0</v>
      </c>
      <c r="AP14" s="2875">
        <v>0</v>
      </c>
      <c r="AQ14" s="2869"/>
      <c r="AR14" s="2870"/>
      <c r="AS14" s="2870"/>
      <c r="AT14" s="2870"/>
      <c r="AU14" s="2870"/>
      <c r="AV14" s="2877">
        <v>0</v>
      </c>
      <c r="AW14" s="2875">
        <v>0</v>
      </c>
      <c r="AX14" s="2869"/>
      <c r="AY14" s="2870"/>
      <c r="AZ14" s="2870"/>
      <c r="BA14" s="2870"/>
      <c r="BB14" s="2870"/>
      <c r="BC14" s="2877">
        <v>0</v>
      </c>
      <c r="BD14" s="2875">
        <v>0</v>
      </c>
      <c r="BE14" s="2869"/>
      <c r="BF14" s="2870"/>
      <c r="BG14" s="2870"/>
      <c r="BH14" s="2870"/>
      <c r="BI14" s="2870"/>
      <c r="BJ14" s="2877">
        <v>0</v>
      </c>
      <c r="BK14" s="2875">
        <v>0</v>
      </c>
      <c r="BL14" s="2869"/>
      <c r="BM14" s="2870"/>
      <c r="BN14" s="2870"/>
      <c r="BO14" s="2870"/>
      <c r="BP14" s="2870"/>
      <c r="BQ14" s="2877">
        <v>0</v>
      </c>
      <c r="BR14" s="2875">
        <v>0</v>
      </c>
      <c r="BS14" s="2869"/>
      <c r="BT14" s="2870"/>
      <c r="BU14" s="2870"/>
      <c r="BV14" s="2870"/>
      <c r="BW14" s="2870"/>
      <c r="BX14" s="2877">
        <v>0</v>
      </c>
      <c r="BY14" s="2875">
        <v>0</v>
      </c>
      <c r="BZ14" s="2869"/>
      <c r="CA14" s="2870"/>
      <c r="CB14" s="2870"/>
      <c r="CC14" s="2870"/>
      <c r="CD14" s="2870"/>
      <c r="CE14" s="2877">
        <v>0</v>
      </c>
      <c r="CF14" s="2875">
        <v>0</v>
      </c>
      <c r="CG14" s="2869"/>
      <c r="CH14" s="2870"/>
      <c r="CI14" s="2870"/>
      <c r="CJ14" s="2870"/>
      <c r="CK14" s="2870"/>
      <c r="CL14" s="2877">
        <v>0</v>
      </c>
      <c r="CM14" s="2875">
        <v>0</v>
      </c>
      <c r="CN14" s="2872"/>
      <c r="CO14" s="2870"/>
      <c r="CP14" s="2870"/>
      <c r="CQ14" s="2870"/>
      <c r="CR14" s="2870"/>
      <c r="CS14" s="2877">
        <v>0</v>
      </c>
      <c r="CT14" s="2875">
        <v>0</v>
      </c>
      <c r="CU14" s="2878">
        <v>0</v>
      </c>
      <c r="CV14" s="2870">
        <v>0</v>
      </c>
      <c r="CW14" s="2870">
        <v>0</v>
      </c>
      <c r="CX14" s="2870">
        <v>0</v>
      </c>
      <c r="CY14" s="2870">
        <v>0</v>
      </c>
      <c r="CZ14" s="2879">
        <v>0</v>
      </c>
      <c r="DA14" s="2875">
        <v>0</v>
      </c>
      <c r="DJ14" s="1611" t="e">
        <v>#N/A</v>
      </c>
      <c r="DK14" s="2782" t="s">
        <v>1649</v>
      </c>
      <c r="DM14" s="1650">
        <v>0</v>
      </c>
    </row>
    <row r="15" spans="1:117" ht="21" customHeight="1">
      <c r="A15" s="1652">
        <v>4</v>
      </c>
      <c r="B15" s="1644" t="s">
        <v>1652</v>
      </c>
      <c r="C15" s="1645">
        <v>220</v>
      </c>
      <c r="D15" s="1646">
        <v>100</v>
      </c>
      <c r="E15" s="1646">
        <v>71.17</v>
      </c>
      <c r="F15" s="1646">
        <v>10.7</v>
      </c>
      <c r="G15" s="1641"/>
      <c r="H15" s="1651">
        <v>220</v>
      </c>
      <c r="I15" s="1648" t="s">
        <v>1649</v>
      </c>
      <c r="J15" s="1649">
        <v>2</v>
      </c>
      <c r="K15" s="1648"/>
      <c r="L15" s="1641"/>
      <c r="M15" s="1641"/>
      <c r="N15" s="1642"/>
      <c r="O15" s="2876"/>
      <c r="P15" s="2870"/>
      <c r="Q15" s="2870"/>
      <c r="R15" s="2870"/>
      <c r="S15" s="2870"/>
      <c r="T15" s="2877"/>
      <c r="U15" s="2875">
        <v>0</v>
      </c>
      <c r="V15" s="2869"/>
      <c r="W15" s="2870"/>
      <c r="X15" s="2870"/>
      <c r="Y15" s="2870"/>
      <c r="Z15" s="2870"/>
      <c r="AA15" s="2877">
        <v>0</v>
      </c>
      <c r="AB15" s="2875">
        <v>0</v>
      </c>
      <c r="AC15" s="2869"/>
      <c r="AD15" s="2870"/>
      <c r="AE15" s="2870"/>
      <c r="AF15" s="2870"/>
      <c r="AG15" s="2870"/>
      <c r="AH15" s="2877">
        <v>0</v>
      </c>
      <c r="AI15" s="2875">
        <v>0</v>
      </c>
      <c r="AJ15" s="2869"/>
      <c r="AK15" s="2870"/>
      <c r="AL15" s="2870"/>
      <c r="AM15" s="2870"/>
      <c r="AN15" s="2870"/>
      <c r="AO15" s="2877">
        <v>0</v>
      </c>
      <c r="AP15" s="2875">
        <v>0</v>
      </c>
      <c r="AQ15" s="2869"/>
      <c r="AR15" s="2870"/>
      <c r="AS15" s="2870"/>
      <c r="AT15" s="2870"/>
      <c r="AU15" s="2870"/>
      <c r="AV15" s="2877">
        <v>0</v>
      </c>
      <c r="AW15" s="2875">
        <v>0</v>
      </c>
      <c r="AX15" s="2869"/>
      <c r="AY15" s="2870"/>
      <c r="AZ15" s="2870"/>
      <c r="BA15" s="2870"/>
      <c r="BB15" s="2870"/>
      <c r="BC15" s="2877">
        <v>0</v>
      </c>
      <c r="BD15" s="2875">
        <v>0</v>
      </c>
      <c r="BE15" s="2869"/>
      <c r="BF15" s="2870"/>
      <c r="BG15" s="2870"/>
      <c r="BH15" s="2870"/>
      <c r="BI15" s="2870"/>
      <c r="BJ15" s="2877">
        <v>0</v>
      </c>
      <c r="BK15" s="2875">
        <v>0</v>
      </c>
      <c r="BL15" s="2869"/>
      <c r="BM15" s="2870"/>
      <c r="BN15" s="2870"/>
      <c r="BO15" s="2870"/>
      <c r="BP15" s="2870"/>
      <c r="BQ15" s="2877">
        <v>0</v>
      </c>
      <c r="BR15" s="2875">
        <v>0</v>
      </c>
      <c r="BS15" s="2869"/>
      <c r="BT15" s="2870"/>
      <c r="BU15" s="2870"/>
      <c r="BV15" s="2870"/>
      <c r="BW15" s="2870"/>
      <c r="BX15" s="2877">
        <v>0</v>
      </c>
      <c r="BY15" s="2875">
        <v>0</v>
      </c>
      <c r="BZ15" s="2869"/>
      <c r="CA15" s="2870"/>
      <c r="CB15" s="2870"/>
      <c r="CC15" s="2870"/>
      <c r="CD15" s="2870"/>
      <c r="CE15" s="2877">
        <v>0</v>
      </c>
      <c r="CF15" s="2875">
        <v>0</v>
      </c>
      <c r="CG15" s="2869"/>
      <c r="CH15" s="2870"/>
      <c r="CI15" s="2870"/>
      <c r="CJ15" s="2870"/>
      <c r="CK15" s="2870"/>
      <c r="CL15" s="2877">
        <v>0</v>
      </c>
      <c r="CM15" s="2875">
        <v>0</v>
      </c>
      <c r="CN15" s="2872"/>
      <c r="CO15" s="2870"/>
      <c r="CP15" s="2870"/>
      <c r="CQ15" s="2870"/>
      <c r="CR15" s="2870"/>
      <c r="CS15" s="2877">
        <v>0</v>
      </c>
      <c r="CT15" s="2875">
        <v>0</v>
      </c>
      <c r="CU15" s="2878">
        <v>0</v>
      </c>
      <c r="CV15" s="2870">
        <v>0</v>
      </c>
      <c r="CW15" s="2870">
        <v>0</v>
      </c>
      <c r="CX15" s="2870">
        <v>0</v>
      </c>
      <c r="CY15" s="2870">
        <v>0</v>
      </c>
      <c r="CZ15" s="2879">
        <v>0</v>
      </c>
      <c r="DA15" s="2875">
        <v>0</v>
      </c>
      <c r="DJ15" s="1611" t="e">
        <v>#N/A</v>
      </c>
      <c r="DK15" s="2782" t="s">
        <v>1649</v>
      </c>
      <c r="DM15" s="1650">
        <v>0</v>
      </c>
    </row>
    <row r="16" spans="1:117" ht="21" customHeight="1">
      <c r="A16" s="1652">
        <v>5</v>
      </c>
      <c r="B16" s="1644" t="s">
        <v>1653</v>
      </c>
      <c r="C16" s="1645">
        <v>420</v>
      </c>
      <c r="D16" s="1646">
        <v>100</v>
      </c>
      <c r="E16" s="1646">
        <v>89.51</v>
      </c>
      <c r="F16" s="1646">
        <v>9</v>
      </c>
      <c r="G16" s="1641"/>
      <c r="H16" s="1651">
        <v>420</v>
      </c>
      <c r="I16" s="1648" t="s">
        <v>1649</v>
      </c>
      <c r="J16" s="1649">
        <v>2</v>
      </c>
      <c r="K16" s="1648"/>
      <c r="L16" s="1641"/>
      <c r="M16" s="1641"/>
      <c r="N16" s="1642"/>
      <c r="O16" s="2876">
        <v>0</v>
      </c>
      <c r="P16" s="2870">
        <v>163549010</v>
      </c>
      <c r="Q16" s="2870">
        <v>0</v>
      </c>
      <c r="R16" s="2870"/>
      <c r="S16" s="2870"/>
      <c r="T16" s="2877">
        <v>0</v>
      </c>
      <c r="U16" s="2875">
        <v>163549010</v>
      </c>
      <c r="V16" s="2869">
        <v>75.715258000000006</v>
      </c>
      <c r="W16" s="2870">
        <v>245073270</v>
      </c>
      <c r="X16" s="2870">
        <v>273173079</v>
      </c>
      <c r="Y16" s="2870"/>
      <c r="Z16" s="2870"/>
      <c r="AA16" s="2877">
        <v>6.8446752040387953</v>
      </c>
      <c r="AB16" s="2875">
        <v>518246349</v>
      </c>
      <c r="AC16" s="2869">
        <v>99.514668</v>
      </c>
      <c r="AD16" s="2870">
        <v>321175555</v>
      </c>
      <c r="AE16" s="2870">
        <v>368443107</v>
      </c>
      <c r="AF16" s="2870"/>
      <c r="AG16" s="2870"/>
      <c r="AH16" s="2877">
        <v>6.9298192503641776</v>
      </c>
      <c r="AI16" s="2875">
        <v>689618662</v>
      </c>
      <c r="AJ16" s="2869">
        <v>185.066408</v>
      </c>
      <c r="AK16" s="2870">
        <v>306883785</v>
      </c>
      <c r="AL16" s="2870">
        <v>695590601</v>
      </c>
      <c r="AM16" s="2870"/>
      <c r="AN16" s="2870"/>
      <c r="AO16" s="2877">
        <v>5.4168360256930042</v>
      </c>
      <c r="AP16" s="2875">
        <v>1002474386</v>
      </c>
      <c r="AQ16" s="2869">
        <v>169.07875799999999</v>
      </c>
      <c r="AR16" s="2870">
        <v>323678005</v>
      </c>
      <c r="AS16" s="2870">
        <v>640081454</v>
      </c>
      <c r="AT16" s="2870"/>
      <c r="AU16" s="2870"/>
      <c r="AV16" s="2877">
        <v>5.7000623283499632</v>
      </c>
      <c r="AW16" s="2875">
        <v>963759459</v>
      </c>
      <c r="AX16" s="2869">
        <v>193.08011999999999</v>
      </c>
      <c r="AY16" s="2870">
        <v>307940375</v>
      </c>
      <c r="AZ16" s="2870">
        <v>741195964</v>
      </c>
      <c r="BA16" s="2870"/>
      <c r="BB16" s="2870"/>
      <c r="BC16" s="2877">
        <v>5.433683897648292</v>
      </c>
      <c r="BD16" s="2875">
        <v>1049136339</v>
      </c>
      <c r="BE16" s="2869">
        <v>85.346203000000003</v>
      </c>
      <c r="BF16" s="2870">
        <v>278050000</v>
      </c>
      <c r="BG16" s="2870">
        <v>310079825</v>
      </c>
      <c r="BH16" s="2870"/>
      <c r="BI16" s="2870"/>
      <c r="BJ16" s="2877">
        <v>6.891107094711642</v>
      </c>
      <c r="BK16" s="2875">
        <v>588129825</v>
      </c>
      <c r="BL16" s="2869">
        <v>0</v>
      </c>
      <c r="BM16" s="2870">
        <v>278050000</v>
      </c>
      <c r="BN16" s="2870">
        <v>0</v>
      </c>
      <c r="BO16" s="2870"/>
      <c r="BP16" s="2870"/>
      <c r="BQ16" s="2877">
        <v>0</v>
      </c>
      <c r="BR16" s="2875">
        <v>278050000</v>
      </c>
      <c r="BS16" s="2869">
        <v>58.783434999999997</v>
      </c>
      <c r="BT16" s="2870">
        <v>278050000</v>
      </c>
      <c r="BU16" s="2870">
        <v>188694826</v>
      </c>
      <c r="BV16" s="2870"/>
      <c r="BW16" s="2870"/>
      <c r="BX16" s="2877">
        <v>7.940074036163419</v>
      </c>
      <c r="BY16" s="2875">
        <v>466744826</v>
      </c>
      <c r="BZ16" s="2869">
        <v>123.42899</v>
      </c>
      <c r="CA16" s="2870">
        <v>278050000</v>
      </c>
      <c r="CB16" s="2870">
        <v>502962384</v>
      </c>
      <c r="CC16" s="2870"/>
      <c r="CD16" s="2870"/>
      <c r="CE16" s="2877">
        <v>6.3276251713637128</v>
      </c>
      <c r="CF16" s="2875">
        <v>781012384</v>
      </c>
      <c r="CG16" s="2869">
        <v>63.373674999999999</v>
      </c>
      <c r="CH16" s="2870">
        <v>278050000</v>
      </c>
      <c r="CI16" s="2870">
        <v>235287443</v>
      </c>
      <c r="CJ16" s="2870"/>
      <c r="CK16" s="2870"/>
      <c r="CL16" s="2877">
        <v>8.1001684532260434</v>
      </c>
      <c r="CM16" s="2875">
        <v>513337443</v>
      </c>
      <c r="CN16" s="2872">
        <v>188.315933</v>
      </c>
      <c r="CO16" s="2870">
        <v>278050000</v>
      </c>
      <c r="CP16" s="2870">
        <v>675978873</v>
      </c>
      <c r="CQ16" s="2870"/>
      <c r="CR16" s="2870"/>
      <c r="CS16" s="2877">
        <v>5.0661080971836832</v>
      </c>
      <c r="CT16" s="2875">
        <v>954028873</v>
      </c>
      <c r="CU16" s="2878">
        <v>1241.703448</v>
      </c>
      <c r="CV16" s="2870">
        <v>3336600000</v>
      </c>
      <c r="CW16" s="2870">
        <v>4631487556</v>
      </c>
      <c r="CX16" s="2870">
        <v>0</v>
      </c>
      <c r="CY16" s="2870">
        <v>0</v>
      </c>
      <c r="CZ16" s="2879">
        <v>6.4170616332217838</v>
      </c>
      <c r="DA16" s="2875">
        <v>7968087556</v>
      </c>
      <c r="DJ16" s="1611" t="s">
        <v>1649</v>
      </c>
      <c r="DK16" s="2782" t="s">
        <v>1649</v>
      </c>
      <c r="DM16" s="1650">
        <v>3.7299466015495835</v>
      </c>
    </row>
    <row r="17" spans="1:117" ht="21" customHeight="1">
      <c r="A17" s="1652">
        <v>6</v>
      </c>
      <c r="B17" s="1644" t="s">
        <v>1654</v>
      </c>
      <c r="C17" s="1645">
        <v>94</v>
      </c>
      <c r="D17" s="1646">
        <v>100</v>
      </c>
      <c r="E17" s="1646" t="s">
        <v>1594</v>
      </c>
      <c r="F17" s="1646">
        <v>10</v>
      </c>
      <c r="G17" s="1641"/>
      <c r="H17" s="1651">
        <v>94</v>
      </c>
      <c r="I17" s="1648" t="s">
        <v>1649</v>
      </c>
      <c r="J17" s="1649">
        <v>2</v>
      </c>
      <c r="K17" s="1648"/>
      <c r="L17" s="1641"/>
      <c r="M17" s="1641"/>
      <c r="N17" s="1642"/>
      <c r="O17" s="2876"/>
      <c r="P17" s="2870"/>
      <c r="Q17" s="2870"/>
      <c r="R17" s="2870"/>
      <c r="S17" s="2870"/>
      <c r="T17" s="2877"/>
      <c r="U17" s="2875">
        <v>0</v>
      </c>
      <c r="V17" s="2869"/>
      <c r="W17" s="2870"/>
      <c r="X17" s="2870"/>
      <c r="Y17" s="2870"/>
      <c r="Z17" s="2870"/>
      <c r="AA17" s="2877">
        <v>0</v>
      </c>
      <c r="AB17" s="2875">
        <v>0</v>
      </c>
      <c r="AC17" s="2869"/>
      <c r="AD17" s="2870"/>
      <c r="AE17" s="2870"/>
      <c r="AF17" s="2870"/>
      <c r="AG17" s="2870"/>
      <c r="AH17" s="2877">
        <v>0</v>
      </c>
      <c r="AI17" s="2875">
        <v>0</v>
      </c>
      <c r="AJ17" s="2869"/>
      <c r="AK17" s="2870"/>
      <c r="AL17" s="2870"/>
      <c r="AM17" s="2870"/>
      <c r="AN17" s="2870"/>
      <c r="AO17" s="2877">
        <v>0</v>
      </c>
      <c r="AP17" s="2875">
        <v>0</v>
      </c>
      <c r="AQ17" s="2869"/>
      <c r="AR17" s="2870"/>
      <c r="AS17" s="2870"/>
      <c r="AT17" s="2870"/>
      <c r="AU17" s="2870"/>
      <c r="AV17" s="2877">
        <v>0</v>
      </c>
      <c r="AW17" s="2875">
        <v>0</v>
      </c>
      <c r="AX17" s="2869"/>
      <c r="AY17" s="2870"/>
      <c r="AZ17" s="2870"/>
      <c r="BA17" s="2870"/>
      <c r="BB17" s="2870"/>
      <c r="BC17" s="2877">
        <v>0</v>
      </c>
      <c r="BD17" s="2875">
        <v>0</v>
      </c>
      <c r="BE17" s="2869"/>
      <c r="BF17" s="2870"/>
      <c r="BG17" s="2870"/>
      <c r="BH17" s="2870"/>
      <c r="BI17" s="2870"/>
      <c r="BJ17" s="2877">
        <v>0</v>
      </c>
      <c r="BK17" s="2875">
        <v>0</v>
      </c>
      <c r="BL17" s="2869"/>
      <c r="BM17" s="2870"/>
      <c r="BN17" s="2870"/>
      <c r="BO17" s="2870"/>
      <c r="BP17" s="2870"/>
      <c r="BQ17" s="2877">
        <v>0</v>
      </c>
      <c r="BR17" s="2875">
        <v>0</v>
      </c>
      <c r="BS17" s="2869"/>
      <c r="BT17" s="2870"/>
      <c r="BU17" s="2870"/>
      <c r="BV17" s="2870"/>
      <c r="BW17" s="2870"/>
      <c r="BX17" s="2877">
        <v>0</v>
      </c>
      <c r="BY17" s="2875">
        <v>0</v>
      </c>
      <c r="BZ17" s="2869"/>
      <c r="CA17" s="2870"/>
      <c r="CB17" s="2870"/>
      <c r="CC17" s="2870"/>
      <c r="CD17" s="2870"/>
      <c r="CE17" s="2877">
        <v>0</v>
      </c>
      <c r="CF17" s="2875">
        <v>0</v>
      </c>
      <c r="CG17" s="2869"/>
      <c r="CH17" s="2870"/>
      <c r="CI17" s="2870"/>
      <c r="CJ17" s="2870"/>
      <c r="CK17" s="2870"/>
      <c r="CL17" s="2877">
        <v>0</v>
      </c>
      <c r="CM17" s="2875">
        <v>0</v>
      </c>
      <c r="CN17" s="2872"/>
      <c r="CO17" s="2870"/>
      <c r="CP17" s="2870"/>
      <c r="CQ17" s="2870"/>
      <c r="CR17" s="2870"/>
      <c r="CS17" s="2877">
        <v>0</v>
      </c>
      <c r="CT17" s="2875">
        <v>0</v>
      </c>
      <c r="CU17" s="2878">
        <v>0</v>
      </c>
      <c r="CV17" s="2870">
        <v>0</v>
      </c>
      <c r="CW17" s="2870">
        <v>0</v>
      </c>
      <c r="CX17" s="2870">
        <v>0</v>
      </c>
      <c r="CY17" s="2870">
        <v>0</v>
      </c>
      <c r="CZ17" s="2879">
        <v>0</v>
      </c>
      <c r="DA17" s="2875">
        <v>0</v>
      </c>
      <c r="DJ17" s="1611" t="e">
        <v>#N/A</v>
      </c>
      <c r="DK17" s="2782" t="s">
        <v>1649</v>
      </c>
      <c r="DM17" s="1650">
        <v>0</v>
      </c>
    </row>
    <row r="18" spans="1:117" ht="21" customHeight="1">
      <c r="A18" s="1652">
        <v>7</v>
      </c>
      <c r="B18" s="1644" t="s">
        <v>1655</v>
      </c>
      <c r="C18" s="1645">
        <v>1000</v>
      </c>
      <c r="D18" s="1646">
        <v>100</v>
      </c>
      <c r="E18" s="1646">
        <v>47.39</v>
      </c>
      <c r="F18" s="1646">
        <v>9.6999999999999993</v>
      </c>
      <c r="G18" s="1641"/>
      <c r="H18" s="1651">
        <v>1000</v>
      </c>
      <c r="I18" s="1648" t="s">
        <v>1649</v>
      </c>
      <c r="J18" s="1649">
        <v>2</v>
      </c>
      <c r="K18" s="1648"/>
      <c r="L18" s="1641"/>
      <c r="M18" s="1641"/>
      <c r="N18" s="1642"/>
      <c r="O18" s="2876">
        <v>324.549778</v>
      </c>
      <c r="P18" s="2870">
        <v>292018195</v>
      </c>
      <c r="Q18" s="2870">
        <v>759349116</v>
      </c>
      <c r="R18" s="2870"/>
      <c r="S18" s="2870"/>
      <c r="T18" s="2870">
        <v>3.2394639659867521</v>
      </c>
      <c r="U18" s="2875">
        <v>1051367311</v>
      </c>
      <c r="V18" s="2869">
        <v>267.21326499999998</v>
      </c>
      <c r="W18" s="2870">
        <v>228664380</v>
      </c>
      <c r="X18" s="2870">
        <v>630943962</v>
      </c>
      <c r="Y18" s="2870"/>
      <c r="Z18" s="2870"/>
      <c r="AA18" s="2877">
        <v>3.2169373852005441</v>
      </c>
      <c r="AB18" s="2875">
        <v>859608342</v>
      </c>
      <c r="AC18" s="2869">
        <v>278.70704499999999</v>
      </c>
      <c r="AD18" s="2870">
        <v>231758240</v>
      </c>
      <c r="AE18" s="2870">
        <v>606048469</v>
      </c>
      <c r="AF18" s="2870"/>
      <c r="AG18" s="2870"/>
      <c r="AH18" s="2877">
        <v>3.0060478342052672</v>
      </c>
      <c r="AI18" s="2875">
        <v>837806709</v>
      </c>
      <c r="AJ18" s="2869">
        <v>299.95165300000002</v>
      </c>
      <c r="AK18" s="2870">
        <v>205249485</v>
      </c>
      <c r="AL18" s="2870">
        <v>705456293</v>
      </c>
      <c r="AM18" s="2870"/>
      <c r="AN18" s="2870"/>
      <c r="AO18" s="2877">
        <v>3.0361752265455926</v>
      </c>
      <c r="AP18" s="2875">
        <v>910705778</v>
      </c>
      <c r="AQ18" s="2869">
        <v>367.78287</v>
      </c>
      <c r="AR18" s="2870">
        <v>269833813</v>
      </c>
      <c r="AS18" s="2870">
        <v>824642751</v>
      </c>
      <c r="AT18" s="2870"/>
      <c r="AU18" s="2870"/>
      <c r="AV18" s="2877">
        <v>2.9758769460905019</v>
      </c>
      <c r="AW18" s="2875">
        <v>1094476564</v>
      </c>
      <c r="AX18" s="2869">
        <v>402.76762300000001</v>
      </c>
      <c r="AY18" s="2870">
        <v>281787363</v>
      </c>
      <c r="AZ18" s="2870">
        <v>911503408</v>
      </c>
      <c r="BA18" s="2870"/>
      <c r="BB18" s="2870"/>
      <c r="BC18" s="2877">
        <v>2.9627276445703781</v>
      </c>
      <c r="BD18" s="2875">
        <v>1193290771</v>
      </c>
      <c r="BE18" s="2869">
        <v>411.34734800000001</v>
      </c>
      <c r="BF18" s="2870">
        <v>287975083</v>
      </c>
      <c r="BG18" s="2870">
        <v>625247969</v>
      </c>
      <c r="BH18" s="2870"/>
      <c r="BI18" s="2870"/>
      <c r="BJ18" s="2877">
        <v>2.2200776459120384</v>
      </c>
      <c r="BK18" s="2875">
        <v>913223052</v>
      </c>
      <c r="BL18" s="2869">
        <v>360.097713</v>
      </c>
      <c r="BM18" s="2870">
        <v>295569103</v>
      </c>
      <c r="BN18" s="2870">
        <v>1158816357</v>
      </c>
      <c r="BO18" s="2870"/>
      <c r="BP18" s="2870"/>
      <c r="BQ18" s="2877">
        <v>4.0388633626229113</v>
      </c>
      <c r="BR18" s="2875">
        <v>1454385460</v>
      </c>
      <c r="BS18" s="2869">
        <v>376.21253000000002</v>
      </c>
      <c r="BT18" s="2870">
        <v>320777030</v>
      </c>
      <c r="BU18" s="2870">
        <v>1095785218</v>
      </c>
      <c r="BV18" s="2870"/>
      <c r="BW18" s="2870"/>
      <c r="BX18" s="2877">
        <v>3.7653244776297057</v>
      </c>
      <c r="BY18" s="2875">
        <v>1416562248</v>
      </c>
      <c r="BZ18" s="2869">
        <v>350.81312800000001</v>
      </c>
      <c r="CA18" s="2870">
        <v>321972385</v>
      </c>
      <c r="CB18" s="2870">
        <v>1183918865</v>
      </c>
      <c r="CC18" s="2870"/>
      <c r="CD18" s="2870"/>
      <c r="CE18" s="2877">
        <v>4.2925738229499784</v>
      </c>
      <c r="CF18" s="2875">
        <v>1505891250</v>
      </c>
      <c r="CG18" s="2869">
        <v>358.830645</v>
      </c>
      <c r="CH18" s="2870">
        <v>303725643</v>
      </c>
      <c r="CI18" s="2870">
        <v>825776963</v>
      </c>
      <c r="CJ18" s="2870"/>
      <c r="CK18" s="2870"/>
      <c r="CL18" s="2877">
        <v>3.1477317273166565</v>
      </c>
      <c r="CM18" s="2875">
        <v>1129502606</v>
      </c>
      <c r="CN18" s="2872">
        <v>395.3922</v>
      </c>
      <c r="CO18" s="2870">
        <v>295287843</v>
      </c>
      <c r="CP18" s="2870">
        <v>918772855</v>
      </c>
      <c r="CQ18" s="2870"/>
      <c r="CR18" s="2870"/>
      <c r="CS18" s="2877">
        <v>3.0705226304413693</v>
      </c>
      <c r="CT18" s="2875">
        <v>1214060698</v>
      </c>
      <c r="CU18" s="2878">
        <v>4193.665798</v>
      </c>
      <c r="CV18" s="2870">
        <v>3334618563</v>
      </c>
      <c r="CW18" s="2870">
        <v>10246262226</v>
      </c>
      <c r="CX18" s="2870">
        <v>0</v>
      </c>
      <c r="CY18" s="2870">
        <v>0</v>
      </c>
      <c r="CZ18" s="2879">
        <v>3.2384270571767675</v>
      </c>
      <c r="DA18" s="2875">
        <v>13580880789</v>
      </c>
      <c r="DJ18" s="1611" t="s">
        <v>1649</v>
      </c>
      <c r="DK18" s="2782" t="s">
        <v>1649</v>
      </c>
      <c r="DM18" s="1650">
        <v>2.4432710472271162</v>
      </c>
    </row>
    <row r="19" spans="1:117" ht="21" customHeight="1">
      <c r="A19" s="1652">
        <v>8</v>
      </c>
      <c r="B19" s="1644" t="s">
        <v>1656</v>
      </c>
      <c r="C19" s="1645">
        <v>110</v>
      </c>
      <c r="D19" s="1646">
        <v>100</v>
      </c>
      <c r="E19" s="1646">
        <v>76.73</v>
      </c>
      <c r="F19" s="1646">
        <v>10.5</v>
      </c>
      <c r="G19" s="1641"/>
      <c r="H19" s="1651">
        <v>110</v>
      </c>
      <c r="I19" s="1648" t="s">
        <v>1649</v>
      </c>
      <c r="J19" s="1649">
        <v>2</v>
      </c>
      <c r="K19" s="1648"/>
      <c r="L19" s="1641"/>
      <c r="M19" s="1641"/>
      <c r="N19" s="1642"/>
      <c r="O19" s="2876">
        <v>0</v>
      </c>
      <c r="P19" s="2870">
        <v>65816667</v>
      </c>
      <c r="Q19" s="2870">
        <v>0</v>
      </c>
      <c r="R19" s="2870"/>
      <c r="S19" s="2870"/>
      <c r="T19" s="2870" t="s">
        <v>1594</v>
      </c>
      <c r="U19" s="2875">
        <v>65816667</v>
      </c>
      <c r="V19" s="2869">
        <v>0</v>
      </c>
      <c r="W19" s="2870">
        <v>65816667</v>
      </c>
      <c r="X19" s="2870"/>
      <c r="Y19" s="2870"/>
      <c r="Z19" s="2870"/>
      <c r="AA19" s="2877">
        <v>0</v>
      </c>
      <c r="AB19" s="2875">
        <v>65816667</v>
      </c>
      <c r="AC19" s="2869">
        <v>0</v>
      </c>
      <c r="AD19" s="2870">
        <v>33652062</v>
      </c>
      <c r="AE19" s="2870">
        <v>0</v>
      </c>
      <c r="AF19" s="2870"/>
      <c r="AG19" s="2870"/>
      <c r="AH19" s="2877">
        <v>0</v>
      </c>
      <c r="AI19" s="2875">
        <v>33652062</v>
      </c>
      <c r="AJ19" s="2869">
        <v>0</v>
      </c>
      <c r="AK19" s="2870">
        <v>-928015</v>
      </c>
      <c r="AL19" s="2870">
        <v>0</v>
      </c>
      <c r="AM19" s="2870"/>
      <c r="AN19" s="2870"/>
      <c r="AO19" s="2877">
        <v>0</v>
      </c>
      <c r="AP19" s="2875">
        <v>-928015</v>
      </c>
      <c r="AQ19" s="2869">
        <v>0</v>
      </c>
      <c r="AR19" s="2870">
        <v>-539697</v>
      </c>
      <c r="AS19" s="2870">
        <v>0</v>
      </c>
      <c r="AT19" s="2870"/>
      <c r="AU19" s="2870"/>
      <c r="AV19" s="2877">
        <v>0</v>
      </c>
      <c r="AW19" s="2875">
        <v>-539697</v>
      </c>
      <c r="AX19" s="2869">
        <v>0</v>
      </c>
      <c r="AY19" s="2870">
        <v>579187</v>
      </c>
      <c r="AZ19" s="2870">
        <v>0</v>
      </c>
      <c r="BA19" s="2870"/>
      <c r="BB19" s="2870"/>
      <c r="BC19" s="2877">
        <v>0</v>
      </c>
      <c r="BD19" s="2875">
        <v>579187</v>
      </c>
      <c r="BE19" s="2869">
        <v>0</v>
      </c>
      <c r="BF19" s="2870">
        <v>-381737</v>
      </c>
      <c r="BG19" s="2870">
        <v>0</v>
      </c>
      <c r="BH19" s="2870"/>
      <c r="BI19" s="2870"/>
      <c r="BJ19" s="2877">
        <v>0</v>
      </c>
      <c r="BK19" s="2875">
        <v>-381737</v>
      </c>
      <c r="BL19" s="2869">
        <v>0</v>
      </c>
      <c r="BM19" s="2870">
        <v>368573</v>
      </c>
      <c r="BN19" s="2870"/>
      <c r="BO19" s="2870"/>
      <c r="BP19" s="2870"/>
      <c r="BQ19" s="2877">
        <v>0</v>
      </c>
      <c r="BR19" s="2875">
        <v>368573</v>
      </c>
      <c r="BS19" s="2869">
        <v>0</v>
      </c>
      <c r="BT19" s="2870">
        <v>-361993</v>
      </c>
      <c r="BU19" s="2870">
        <v>0</v>
      </c>
      <c r="BV19" s="2870"/>
      <c r="BW19" s="2870"/>
      <c r="BX19" s="2877">
        <v>0</v>
      </c>
      <c r="BY19" s="2875">
        <v>-361993</v>
      </c>
      <c r="BZ19" s="2869">
        <v>0</v>
      </c>
      <c r="CA19" s="2870">
        <v>-204032</v>
      </c>
      <c r="CB19" s="2870"/>
      <c r="CC19" s="2870"/>
      <c r="CD19" s="2870"/>
      <c r="CE19" s="2877">
        <v>0</v>
      </c>
      <c r="CF19" s="2875">
        <v>-204032</v>
      </c>
      <c r="CG19" s="2869">
        <v>0</v>
      </c>
      <c r="CH19" s="2870">
        <v>1250517</v>
      </c>
      <c r="CI19" s="2870">
        <v>0</v>
      </c>
      <c r="CJ19" s="2870"/>
      <c r="CK19" s="2870"/>
      <c r="CL19" s="2877">
        <v>0</v>
      </c>
      <c r="CM19" s="2875">
        <v>1250517</v>
      </c>
      <c r="CN19" s="2872">
        <v>0</v>
      </c>
      <c r="CO19" s="2870">
        <v>-157960</v>
      </c>
      <c r="CP19" s="2870">
        <v>0</v>
      </c>
      <c r="CQ19" s="2870"/>
      <c r="CR19" s="2870"/>
      <c r="CS19" s="2877">
        <v>0</v>
      </c>
      <c r="CT19" s="2875">
        <v>-157960</v>
      </c>
      <c r="CU19" s="2878">
        <v>0</v>
      </c>
      <c r="CV19" s="2870">
        <v>164910239</v>
      </c>
      <c r="CW19" s="2870">
        <v>0</v>
      </c>
      <c r="CX19" s="2870">
        <v>0</v>
      </c>
      <c r="CY19" s="2870">
        <v>0</v>
      </c>
      <c r="CZ19" s="2879">
        <v>0</v>
      </c>
      <c r="DA19" s="2875">
        <v>164910239</v>
      </c>
      <c r="DJ19" s="1611" t="e">
        <v>#N/A</v>
      </c>
      <c r="DK19" s="2782" t="s">
        <v>1649</v>
      </c>
      <c r="DM19" s="1650">
        <v>0</v>
      </c>
    </row>
    <row r="20" spans="1:117" ht="21" customHeight="1">
      <c r="A20" s="1652">
        <v>9</v>
      </c>
      <c r="B20" s="1644" t="s">
        <v>1657</v>
      </c>
      <c r="C20" s="1645">
        <v>500</v>
      </c>
      <c r="D20" s="1646">
        <v>100</v>
      </c>
      <c r="E20" s="1646">
        <v>94.55</v>
      </c>
      <c r="F20" s="1646">
        <v>9</v>
      </c>
      <c r="G20" s="1641"/>
      <c r="H20" s="1651">
        <v>500</v>
      </c>
      <c r="I20" s="1648" t="s">
        <v>1649</v>
      </c>
      <c r="J20" s="1649">
        <v>2</v>
      </c>
      <c r="K20" s="1648"/>
      <c r="L20" s="1641"/>
      <c r="M20" s="1641"/>
      <c r="N20" s="1642"/>
      <c r="O20" s="2876">
        <v>94.165172999999996</v>
      </c>
      <c r="P20" s="2870">
        <v>443650000</v>
      </c>
      <c r="Q20" s="2870">
        <v>316498563</v>
      </c>
      <c r="R20" s="2870"/>
      <c r="S20" s="2870"/>
      <c r="T20" s="2870">
        <v>8.0725021659547096</v>
      </c>
      <c r="U20" s="2875">
        <v>760148563</v>
      </c>
      <c r="V20" s="2869">
        <v>122.55677</v>
      </c>
      <c r="W20" s="2870">
        <v>352967940</v>
      </c>
      <c r="X20" s="2870">
        <v>425051390</v>
      </c>
      <c r="Y20" s="2870"/>
      <c r="Z20" s="2870"/>
      <c r="AA20" s="2877">
        <v>6.3482362500251925</v>
      </c>
      <c r="AB20" s="2875">
        <v>778019330</v>
      </c>
      <c r="AC20" s="2869">
        <v>237.031938</v>
      </c>
      <c r="AD20" s="2870">
        <v>479896205</v>
      </c>
      <c r="AE20" s="2870">
        <v>808800378</v>
      </c>
      <c r="AF20" s="2870"/>
      <c r="AG20" s="2870"/>
      <c r="AH20" s="2877">
        <v>5.4368056637160853</v>
      </c>
      <c r="AI20" s="2875">
        <v>1288696583</v>
      </c>
      <c r="AJ20" s="2869">
        <v>220.90698499999999</v>
      </c>
      <c r="AK20" s="2870">
        <v>433135495</v>
      </c>
      <c r="AL20" s="2870">
        <v>777747222</v>
      </c>
      <c r="AM20" s="2870"/>
      <c r="AN20" s="2870"/>
      <c r="AO20" s="2877">
        <v>5.4814143473100225</v>
      </c>
      <c r="AP20" s="2875">
        <v>1210882717</v>
      </c>
      <c r="AQ20" s="2869">
        <v>246.540423</v>
      </c>
      <c r="AR20" s="2870">
        <v>505272985</v>
      </c>
      <c r="AS20" s="2870">
        <v>862866826</v>
      </c>
      <c r="AT20" s="2870"/>
      <c r="AU20" s="2870"/>
      <c r="AV20" s="2877">
        <v>5.5493528986116809</v>
      </c>
      <c r="AW20" s="2875">
        <v>1368139811</v>
      </c>
      <c r="AX20" s="2869">
        <v>247.39961500000001</v>
      </c>
      <c r="AY20" s="2870">
        <v>446977375</v>
      </c>
      <c r="AZ20" s="2870">
        <v>930272032</v>
      </c>
      <c r="BA20" s="2870"/>
      <c r="BB20" s="2870"/>
      <c r="BC20" s="2877">
        <v>5.5669019816380878</v>
      </c>
      <c r="BD20" s="2875">
        <v>1377249407</v>
      </c>
      <c r="BE20" s="2869">
        <v>193.59479300000001</v>
      </c>
      <c r="BF20" s="2870">
        <v>443650000</v>
      </c>
      <c r="BG20" s="2870">
        <v>516898097</v>
      </c>
      <c r="BH20" s="2870"/>
      <c r="BI20" s="2870"/>
      <c r="BJ20" s="2877">
        <v>4.9616422121435884</v>
      </c>
      <c r="BK20" s="2875">
        <v>960548097</v>
      </c>
      <c r="BL20" s="2869">
        <v>0</v>
      </c>
      <c r="BM20" s="2870">
        <v>443650000</v>
      </c>
      <c r="BN20" s="2870">
        <v>188483890</v>
      </c>
      <c r="BO20" s="2870"/>
      <c r="BP20" s="2870"/>
      <c r="BQ20" s="2877">
        <v>0</v>
      </c>
      <c r="BR20" s="2875">
        <v>632133890</v>
      </c>
      <c r="BS20" s="2869">
        <v>86.330545000000001</v>
      </c>
      <c r="BT20" s="2870">
        <v>443650000</v>
      </c>
      <c r="BU20" s="2870">
        <v>230502555</v>
      </c>
      <c r="BV20" s="2870"/>
      <c r="BW20" s="2870"/>
      <c r="BX20" s="2877">
        <v>7.8089690618772298</v>
      </c>
      <c r="BY20" s="2875">
        <v>674152555</v>
      </c>
      <c r="BZ20" s="2869">
        <v>211.39173</v>
      </c>
      <c r="CA20" s="2870">
        <v>443650000</v>
      </c>
      <c r="CB20" s="2870">
        <v>983960114</v>
      </c>
      <c r="CC20" s="2870"/>
      <c r="CD20" s="2870"/>
      <c r="CE20" s="2877">
        <v>6.753386776294418</v>
      </c>
      <c r="CF20" s="2875">
        <v>1427610114</v>
      </c>
      <c r="CG20" s="2869">
        <v>208.58849499999999</v>
      </c>
      <c r="CH20" s="2870">
        <v>443650000</v>
      </c>
      <c r="CI20" s="2870">
        <v>788130770</v>
      </c>
      <c r="CJ20" s="2870"/>
      <c r="CK20" s="2870"/>
      <c r="CL20" s="2877">
        <v>5.9053150079058767</v>
      </c>
      <c r="CM20" s="2875">
        <v>1231780770</v>
      </c>
      <c r="CN20" s="2872">
        <v>89.700063</v>
      </c>
      <c r="CO20" s="2870">
        <v>443650000</v>
      </c>
      <c r="CP20" s="2870">
        <v>304908454</v>
      </c>
      <c r="CQ20" s="2870">
        <v>58400000</v>
      </c>
      <c r="CR20" s="2870"/>
      <c r="CS20" s="2877">
        <v>8.9961860338938671</v>
      </c>
      <c r="CT20" s="2875">
        <v>806958454</v>
      </c>
      <c r="CU20" s="2878">
        <v>1958.2065299999999</v>
      </c>
      <c r="CV20" s="2870">
        <v>5323800000</v>
      </c>
      <c r="CW20" s="2870">
        <v>7134120291</v>
      </c>
      <c r="CX20" s="2870">
        <v>58400000</v>
      </c>
      <c r="CY20" s="2870">
        <v>0</v>
      </c>
      <c r="CZ20" s="2879">
        <v>6.3917263573827423</v>
      </c>
      <c r="DA20" s="2875">
        <v>12516320291</v>
      </c>
      <c r="DJ20" s="1611" t="s">
        <v>1649</v>
      </c>
      <c r="DK20" s="2782" t="s">
        <v>1649</v>
      </c>
      <c r="DM20" s="1650">
        <v>3.6431909411516465</v>
      </c>
    </row>
    <row r="21" spans="1:117" ht="21" customHeight="1">
      <c r="A21" s="1652">
        <v>10</v>
      </c>
      <c r="B21" s="1644" t="s">
        <v>1658</v>
      </c>
      <c r="C21" s="1645">
        <v>500</v>
      </c>
      <c r="D21" s="1646">
        <v>100</v>
      </c>
      <c r="E21" s="1646">
        <v>56.7</v>
      </c>
      <c r="F21" s="1646">
        <v>9</v>
      </c>
      <c r="G21" s="1641"/>
      <c r="H21" s="1651">
        <v>500</v>
      </c>
      <c r="I21" s="1648" t="s">
        <v>1649</v>
      </c>
      <c r="J21" s="1649">
        <v>2</v>
      </c>
      <c r="K21" s="1648"/>
      <c r="L21" s="1641"/>
      <c r="M21" s="1641"/>
      <c r="N21" s="1642"/>
      <c r="O21" s="2876">
        <v>151.03384800000001</v>
      </c>
      <c r="P21" s="2870">
        <v>415658333</v>
      </c>
      <c r="Q21" s="2870">
        <v>552496919</v>
      </c>
      <c r="R21" s="2870"/>
      <c r="S21" s="2870"/>
      <c r="T21" s="2870">
        <v>6.4101872846409895</v>
      </c>
      <c r="U21" s="2875">
        <v>968155252</v>
      </c>
      <c r="V21" s="2869">
        <v>200.65496999999999</v>
      </c>
      <c r="W21" s="2870">
        <v>415658333</v>
      </c>
      <c r="X21" s="2870">
        <v>723963132</v>
      </c>
      <c r="Y21" s="2870"/>
      <c r="Z21" s="2870"/>
      <c r="AA21" s="2877">
        <v>5.6795077889174639</v>
      </c>
      <c r="AB21" s="2875">
        <v>1139621465</v>
      </c>
      <c r="AC21" s="2869">
        <v>118.075318</v>
      </c>
      <c r="AD21" s="2870">
        <v>415658333</v>
      </c>
      <c r="AE21" s="2870">
        <v>437162058</v>
      </c>
      <c r="AF21" s="2870"/>
      <c r="AG21" s="2870"/>
      <c r="AH21" s="2877">
        <v>7.2226812973732581</v>
      </c>
      <c r="AI21" s="2875">
        <v>852820391</v>
      </c>
      <c r="AJ21" s="2869">
        <v>194.22291799999999</v>
      </c>
      <c r="AK21" s="2870">
        <v>415658333</v>
      </c>
      <c r="AL21" s="2870">
        <v>730006260</v>
      </c>
      <c r="AM21" s="2870"/>
      <c r="AN21" s="2870"/>
      <c r="AO21" s="2877">
        <v>5.8987096105723218</v>
      </c>
      <c r="AP21" s="2875">
        <v>1145664593</v>
      </c>
      <c r="AQ21" s="2869">
        <v>246.96277499999999</v>
      </c>
      <c r="AR21" s="2870">
        <v>415658333</v>
      </c>
      <c r="AS21" s="2870">
        <v>934926978</v>
      </c>
      <c r="AT21" s="2870"/>
      <c r="AU21" s="2870"/>
      <c r="AV21" s="2877">
        <v>5.4687809164761774</v>
      </c>
      <c r="AW21" s="2875">
        <v>1350585311</v>
      </c>
      <c r="AX21" s="2869">
        <v>223.135773</v>
      </c>
      <c r="AY21" s="2870">
        <v>415658333</v>
      </c>
      <c r="AZ21" s="2870">
        <v>856573605</v>
      </c>
      <c r="BA21" s="2870"/>
      <c r="BB21" s="2870"/>
      <c r="BC21" s="2877">
        <v>5.7016045472905859</v>
      </c>
      <c r="BD21" s="2875">
        <v>1272231938</v>
      </c>
      <c r="BE21" s="2869">
        <v>121.360525</v>
      </c>
      <c r="BF21" s="2870">
        <v>415658333</v>
      </c>
      <c r="BG21" s="2870">
        <v>440927059</v>
      </c>
      <c r="BH21" s="2870"/>
      <c r="BI21" s="2870"/>
      <c r="BJ21" s="2877">
        <v>7.0581879239563277</v>
      </c>
      <c r="BK21" s="2875">
        <v>856585392</v>
      </c>
      <c r="BL21" s="2869">
        <v>34.358274999999999</v>
      </c>
      <c r="BM21" s="2870">
        <v>415658333</v>
      </c>
      <c r="BN21" s="2870">
        <v>110290063</v>
      </c>
      <c r="BO21" s="2870"/>
      <c r="BP21" s="2870"/>
      <c r="BQ21" s="2877">
        <v>15.307764897975815</v>
      </c>
      <c r="BR21" s="2875">
        <v>525948396</v>
      </c>
      <c r="BS21" s="2869">
        <v>233.66170299999999</v>
      </c>
      <c r="BT21" s="2870">
        <v>415658335</v>
      </c>
      <c r="BU21" s="2870">
        <v>775431089</v>
      </c>
      <c r="BV21" s="2870"/>
      <c r="BW21" s="2870"/>
      <c r="BX21" s="2877">
        <v>5.0974952621996428</v>
      </c>
      <c r="BY21" s="2875">
        <v>1191089424</v>
      </c>
      <c r="BZ21" s="2869">
        <v>309.112145</v>
      </c>
      <c r="CA21" s="2870">
        <v>415658333</v>
      </c>
      <c r="CB21" s="2870">
        <v>1316892897</v>
      </c>
      <c r="CC21" s="2870"/>
      <c r="CD21" s="2870"/>
      <c r="CE21" s="2877">
        <v>5.6049277196792122</v>
      </c>
      <c r="CF21" s="2875">
        <v>1732551230</v>
      </c>
      <c r="CG21" s="2869">
        <v>43.035589999999999</v>
      </c>
      <c r="CH21" s="2870">
        <v>415658333</v>
      </c>
      <c r="CI21" s="2870">
        <v>159778235</v>
      </c>
      <c r="CJ21" s="2870"/>
      <c r="CK21" s="2870"/>
      <c r="CL21" s="2877">
        <v>13.371178784815079</v>
      </c>
      <c r="CM21" s="2875">
        <v>575436568</v>
      </c>
      <c r="CN21" s="2872">
        <v>195.84841</v>
      </c>
      <c r="CO21" s="2870">
        <v>415658333</v>
      </c>
      <c r="CP21" s="2870">
        <v>703017452</v>
      </c>
      <c r="CQ21" s="2870"/>
      <c r="CR21" s="2870"/>
      <c r="CS21" s="2877">
        <v>5.7119472402150215</v>
      </c>
      <c r="CT21" s="2875">
        <v>1118675785</v>
      </c>
      <c r="CU21" s="2878">
        <v>2071.46225</v>
      </c>
      <c r="CV21" s="2870">
        <v>4987899998</v>
      </c>
      <c r="CW21" s="2870">
        <v>7741465747</v>
      </c>
      <c r="CX21" s="2870">
        <v>0</v>
      </c>
      <c r="CY21" s="2870">
        <v>0</v>
      </c>
      <c r="CZ21" s="2879">
        <v>6.145111138279252</v>
      </c>
      <c r="DA21" s="2875">
        <v>12729365745</v>
      </c>
      <c r="DJ21" s="1611" t="s">
        <v>1649</v>
      </c>
      <c r="DK21" s="2782" t="s">
        <v>1649</v>
      </c>
      <c r="DM21" s="1650">
        <v>3.73719856444403</v>
      </c>
    </row>
    <row r="22" spans="1:117" ht="21" customHeight="1">
      <c r="A22" s="1652">
        <v>11</v>
      </c>
      <c r="B22" s="1644" t="s">
        <v>1659</v>
      </c>
      <c r="C22" s="1645">
        <v>1000</v>
      </c>
      <c r="D22" s="1646">
        <v>100</v>
      </c>
      <c r="E22" s="1646">
        <v>64.25</v>
      </c>
      <c r="F22" s="1646">
        <v>6.25</v>
      </c>
      <c r="G22" s="1641"/>
      <c r="H22" s="1651">
        <v>1000</v>
      </c>
      <c r="I22" s="1648" t="s">
        <v>1649</v>
      </c>
      <c r="J22" s="1649">
        <v>2</v>
      </c>
      <c r="K22" s="1648"/>
      <c r="L22" s="1641"/>
      <c r="M22" s="1641"/>
      <c r="N22" s="1642"/>
      <c r="O22" s="2876">
        <v>258.82360799999998</v>
      </c>
      <c r="P22" s="2870">
        <v>477053958</v>
      </c>
      <c r="Q22" s="2870">
        <v>434694250</v>
      </c>
      <c r="R22" s="2870"/>
      <c r="S22" s="2870"/>
      <c r="T22" s="2870">
        <v>3.5226624613006714</v>
      </c>
      <c r="U22" s="2875">
        <v>911748208</v>
      </c>
      <c r="V22" s="2869">
        <v>303.59958799999998</v>
      </c>
      <c r="W22" s="2870">
        <v>509716458</v>
      </c>
      <c r="X22" s="2870">
        <v>533151237</v>
      </c>
      <c r="Y22" s="2870"/>
      <c r="Z22" s="2870"/>
      <c r="AA22" s="2877">
        <v>3.4350102444803055</v>
      </c>
      <c r="AB22" s="2875">
        <v>1042867695</v>
      </c>
      <c r="AC22" s="2869">
        <v>328.57593300000002</v>
      </c>
      <c r="AD22" s="2870">
        <v>532035833</v>
      </c>
      <c r="AE22" s="2870">
        <v>607799761</v>
      </c>
      <c r="AF22" s="2870"/>
      <c r="AG22" s="2870"/>
      <c r="AH22" s="2877">
        <v>3.4690172940937827</v>
      </c>
      <c r="AI22" s="2875">
        <v>1139835594</v>
      </c>
      <c r="AJ22" s="2869">
        <v>340.96430299999997</v>
      </c>
      <c r="AK22" s="2870">
        <v>533124583</v>
      </c>
      <c r="AL22" s="2870">
        <v>700102003</v>
      </c>
      <c r="AM22" s="2870"/>
      <c r="AN22" s="2870"/>
      <c r="AO22" s="2877">
        <v>3.6168788789599478</v>
      </c>
      <c r="AP22" s="2875">
        <v>1233226586</v>
      </c>
      <c r="AQ22" s="2869">
        <v>330.95791300000002</v>
      </c>
      <c r="AR22" s="2870">
        <v>533396771</v>
      </c>
      <c r="AS22" s="2870">
        <v>633585830</v>
      </c>
      <c r="AT22" s="2870"/>
      <c r="AU22" s="2870"/>
      <c r="AV22" s="2877">
        <v>3.5260755375865571</v>
      </c>
      <c r="AW22" s="2875">
        <v>1166982601</v>
      </c>
      <c r="AX22" s="2869">
        <v>332.05133799999999</v>
      </c>
      <c r="AY22" s="2870">
        <v>532852396</v>
      </c>
      <c r="AZ22" s="2870">
        <v>676554601</v>
      </c>
      <c r="BA22" s="2870"/>
      <c r="BB22" s="2870"/>
      <c r="BC22" s="2877">
        <v>3.642228952560342</v>
      </c>
      <c r="BD22" s="2875">
        <v>1209406997</v>
      </c>
      <c r="BE22" s="2869">
        <v>339.19099299999999</v>
      </c>
      <c r="BF22" s="2870">
        <v>527317917</v>
      </c>
      <c r="BG22" s="2870">
        <v>586732580</v>
      </c>
      <c r="BH22" s="2870"/>
      <c r="BI22" s="2870"/>
      <c r="BJ22" s="2877">
        <v>3.2844341978149165</v>
      </c>
      <c r="BK22" s="2875">
        <v>1114050497</v>
      </c>
      <c r="BL22" s="2869">
        <v>271.36349799999999</v>
      </c>
      <c r="BM22" s="2870">
        <v>475783750</v>
      </c>
      <c r="BN22" s="2870">
        <v>390763437</v>
      </c>
      <c r="BO22" s="2870"/>
      <c r="BP22" s="2870"/>
      <c r="BQ22" s="2877">
        <v>3.193307844962995</v>
      </c>
      <c r="BR22" s="2875">
        <v>866547187</v>
      </c>
      <c r="BS22" s="2869">
        <v>341.28915499999999</v>
      </c>
      <c r="BT22" s="2870">
        <v>533124583</v>
      </c>
      <c r="BU22" s="2870">
        <v>549826671</v>
      </c>
      <c r="BV22" s="2870"/>
      <c r="BW22" s="2870"/>
      <c r="BX22" s="2877">
        <v>3.1731194447125048</v>
      </c>
      <c r="BY22" s="2875">
        <v>1082951254</v>
      </c>
      <c r="BZ22" s="2869">
        <v>346.577585</v>
      </c>
      <c r="CA22" s="2870">
        <v>534394792</v>
      </c>
      <c r="CB22" s="2870">
        <v>651900621</v>
      </c>
      <c r="CC22" s="2870"/>
      <c r="CD22" s="2870"/>
      <c r="CE22" s="2877">
        <v>3.4228855654355144</v>
      </c>
      <c r="CF22" s="2875">
        <v>1186295413</v>
      </c>
      <c r="CG22" s="2869">
        <v>262.78019999999998</v>
      </c>
      <c r="CH22" s="2870">
        <v>452012708</v>
      </c>
      <c r="CI22" s="2870">
        <v>447724905</v>
      </c>
      <c r="CJ22" s="2870"/>
      <c r="CK22" s="2870"/>
      <c r="CL22" s="2877">
        <v>3.4239170721386167</v>
      </c>
      <c r="CM22" s="2875">
        <v>899737613</v>
      </c>
      <c r="CN22" s="2872">
        <v>342.17882800000001</v>
      </c>
      <c r="CO22" s="2870">
        <v>528043750</v>
      </c>
      <c r="CP22" s="2870">
        <v>570035709</v>
      </c>
      <c r="CQ22" s="2870"/>
      <c r="CR22" s="2870"/>
      <c r="CS22" s="2877">
        <v>3.2090806594264212</v>
      </c>
      <c r="CT22" s="2875">
        <v>1098079459</v>
      </c>
      <c r="CU22" s="2878">
        <v>3798.3529420000004</v>
      </c>
      <c r="CV22" s="2870">
        <v>6168857499</v>
      </c>
      <c r="CW22" s="2870">
        <v>6782871605</v>
      </c>
      <c r="CX22" s="2870">
        <v>0</v>
      </c>
      <c r="CY22" s="2870">
        <v>0</v>
      </c>
      <c r="CZ22" s="2879">
        <v>3.4098277073694852</v>
      </c>
      <c r="DA22" s="2875">
        <v>12951729104</v>
      </c>
      <c r="DJ22" s="1611" t="s">
        <v>1649</v>
      </c>
      <c r="DK22" s="2782" t="s">
        <v>1649</v>
      </c>
      <c r="DM22" s="1650">
        <v>1.7857402165025029</v>
      </c>
    </row>
    <row r="23" spans="1:117" ht="21" customHeight="1">
      <c r="A23" s="1652">
        <v>12</v>
      </c>
      <c r="B23" s="1644" t="s">
        <v>1852</v>
      </c>
      <c r="D23" s="1641"/>
      <c r="E23" s="1641"/>
      <c r="F23" s="1641"/>
      <c r="G23" s="1641"/>
      <c r="H23" s="1641"/>
      <c r="I23" s="1648"/>
      <c r="J23" s="1649"/>
      <c r="K23" s="1648"/>
      <c r="L23" s="1641"/>
      <c r="M23" s="1641"/>
      <c r="N23" s="1642"/>
      <c r="O23" s="2876"/>
      <c r="P23" s="2870"/>
      <c r="Q23" s="2870"/>
      <c r="R23" s="2870"/>
      <c r="S23" s="2870"/>
      <c r="T23" s="2870"/>
      <c r="U23" s="2875">
        <v>0</v>
      </c>
      <c r="V23" s="2869"/>
      <c r="W23" s="2870"/>
      <c r="X23" s="2870"/>
      <c r="Y23" s="2870"/>
      <c r="Z23" s="2870"/>
      <c r="AA23" s="2877">
        <v>0</v>
      </c>
      <c r="AB23" s="2875">
        <v>0</v>
      </c>
      <c r="AC23" s="2869"/>
      <c r="AD23" s="2870"/>
      <c r="AE23" s="2870"/>
      <c r="AF23" s="2870"/>
      <c r="AG23" s="2870"/>
      <c r="AH23" s="2877">
        <v>0</v>
      </c>
      <c r="AI23" s="2875">
        <v>0</v>
      </c>
      <c r="AJ23" s="2869"/>
      <c r="AK23" s="2870"/>
      <c r="AL23" s="2870"/>
      <c r="AM23" s="2870"/>
      <c r="AN23" s="2870"/>
      <c r="AO23" s="2877">
        <v>0</v>
      </c>
      <c r="AP23" s="2875">
        <v>0</v>
      </c>
      <c r="AQ23" s="2869"/>
      <c r="AR23" s="2870"/>
      <c r="AS23" s="2870"/>
      <c r="AT23" s="2870"/>
      <c r="AU23" s="2870"/>
      <c r="AV23" s="2877">
        <v>0</v>
      </c>
      <c r="AW23" s="2875">
        <v>0</v>
      </c>
      <c r="AX23" s="2869"/>
      <c r="AY23" s="2870"/>
      <c r="AZ23" s="2870"/>
      <c r="BA23" s="2870"/>
      <c r="BB23" s="2870"/>
      <c r="BC23" s="2877">
        <v>0</v>
      </c>
      <c r="BD23" s="2875">
        <v>0</v>
      </c>
      <c r="BE23" s="2869"/>
      <c r="BF23" s="2870"/>
      <c r="BG23" s="2870"/>
      <c r="BH23" s="2870"/>
      <c r="BI23" s="2870"/>
      <c r="BJ23" s="2877">
        <v>0</v>
      </c>
      <c r="BK23" s="2875">
        <v>0</v>
      </c>
      <c r="BL23" s="2869"/>
      <c r="BM23" s="2870"/>
      <c r="BN23" s="2870"/>
      <c r="BO23" s="2870"/>
      <c r="BP23" s="2870"/>
      <c r="BQ23" s="2877">
        <v>0</v>
      </c>
      <c r="BR23" s="2875">
        <v>0</v>
      </c>
      <c r="BS23" s="2869"/>
      <c r="BT23" s="2870"/>
      <c r="BU23" s="2870"/>
      <c r="BV23" s="2870"/>
      <c r="BW23" s="2870"/>
      <c r="BX23" s="2877">
        <v>0</v>
      </c>
      <c r="BY23" s="2875">
        <v>0</v>
      </c>
      <c r="BZ23" s="2869"/>
      <c r="CA23" s="2870"/>
      <c r="CB23" s="2870"/>
      <c r="CC23" s="2870"/>
      <c r="CD23" s="2870"/>
      <c r="CE23" s="2877">
        <v>0</v>
      </c>
      <c r="CF23" s="2875">
        <v>0</v>
      </c>
      <c r="CG23" s="2869"/>
      <c r="CH23" s="2870"/>
      <c r="CI23" s="2870"/>
      <c r="CJ23" s="2870">
        <v>1671600049</v>
      </c>
      <c r="CK23" s="2870"/>
      <c r="CL23" s="2877">
        <v>0</v>
      </c>
      <c r="CM23" s="2875">
        <v>1671600049</v>
      </c>
      <c r="CN23" s="2872"/>
      <c r="CO23" s="2870"/>
      <c r="CP23" s="2870"/>
      <c r="CQ23" s="2870">
        <v>887928621</v>
      </c>
      <c r="CR23" s="2870"/>
      <c r="CS23" s="2877">
        <v>0</v>
      </c>
      <c r="CT23" s="2875">
        <v>887928621</v>
      </c>
      <c r="CU23" s="2878">
        <v>0</v>
      </c>
      <c r="CV23" s="2870">
        <v>0</v>
      </c>
      <c r="CW23" s="2870">
        <v>0</v>
      </c>
      <c r="CX23" s="2870">
        <v>2559528670</v>
      </c>
      <c r="CY23" s="2870">
        <v>0</v>
      </c>
      <c r="CZ23" s="2879">
        <v>0</v>
      </c>
      <c r="DA23" s="2875">
        <v>2559528670</v>
      </c>
      <c r="DJ23" s="1611" t="e">
        <v>#N/A</v>
      </c>
      <c r="DK23" s="2782">
        <v>0</v>
      </c>
      <c r="DM23" s="1650">
        <v>0</v>
      </c>
    </row>
    <row r="24" spans="1:117" ht="21" customHeight="1">
      <c r="A24" s="1652">
        <v>13</v>
      </c>
      <c r="B24" s="1644"/>
      <c r="C24" s="1643"/>
      <c r="D24" s="1641"/>
      <c r="E24" s="1641"/>
      <c r="F24" s="1641"/>
      <c r="G24" s="1641"/>
      <c r="H24" s="1641"/>
      <c r="I24" s="1648"/>
      <c r="J24" s="1649"/>
      <c r="K24" s="1648"/>
      <c r="L24" s="1641"/>
      <c r="M24" s="1641"/>
      <c r="N24" s="1642"/>
      <c r="O24" s="2876"/>
      <c r="P24" s="2870"/>
      <c r="Q24" s="2870"/>
      <c r="R24" s="2870"/>
      <c r="S24" s="2870"/>
      <c r="T24" s="2870"/>
      <c r="U24" s="2875">
        <v>0</v>
      </c>
      <c r="V24" s="2869"/>
      <c r="W24" s="2870"/>
      <c r="X24" s="2870"/>
      <c r="Y24" s="2870"/>
      <c r="Z24" s="2870"/>
      <c r="AA24" s="2877"/>
      <c r="AB24" s="2875">
        <v>0</v>
      </c>
      <c r="AC24" s="2869"/>
      <c r="AD24" s="2870"/>
      <c r="AE24" s="2870"/>
      <c r="AF24" s="2870"/>
      <c r="AG24" s="2870"/>
      <c r="AH24" s="2877"/>
      <c r="AI24" s="2875">
        <v>0</v>
      </c>
      <c r="AJ24" s="2869"/>
      <c r="AK24" s="2870"/>
      <c r="AL24" s="2870"/>
      <c r="AM24" s="2870"/>
      <c r="AN24" s="2870"/>
      <c r="AO24" s="2877"/>
      <c r="AP24" s="2875">
        <v>0</v>
      </c>
      <c r="AQ24" s="2869"/>
      <c r="AR24" s="2870"/>
      <c r="AS24" s="2870"/>
      <c r="AT24" s="2870"/>
      <c r="AU24" s="2870"/>
      <c r="AV24" s="2877"/>
      <c r="AW24" s="2875">
        <v>0</v>
      </c>
      <c r="AX24" s="2869"/>
      <c r="AY24" s="2870"/>
      <c r="AZ24" s="2870"/>
      <c r="BA24" s="2870"/>
      <c r="BB24" s="2870"/>
      <c r="BC24" s="2877"/>
      <c r="BD24" s="2875">
        <v>0</v>
      </c>
      <c r="BE24" s="2869"/>
      <c r="BF24" s="2870"/>
      <c r="BG24" s="2870"/>
      <c r="BH24" s="2870"/>
      <c r="BI24" s="2870"/>
      <c r="BJ24" s="2877"/>
      <c r="BK24" s="2875">
        <v>0</v>
      </c>
      <c r="BL24" s="2869"/>
      <c r="BM24" s="2870"/>
      <c r="BN24" s="2870"/>
      <c r="BO24" s="2870"/>
      <c r="BP24" s="2870"/>
      <c r="BQ24" s="2877"/>
      <c r="BR24" s="2875">
        <v>0</v>
      </c>
      <c r="BS24" s="2869"/>
      <c r="BT24" s="2870"/>
      <c r="BU24" s="2870"/>
      <c r="BV24" s="2870"/>
      <c r="BW24" s="2870"/>
      <c r="BX24" s="2877"/>
      <c r="BY24" s="2875">
        <v>0</v>
      </c>
      <c r="BZ24" s="2869"/>
      <c r="CA24" s="2870"/>
      <c r="CB24" s="2870"/>
      <c r="CC24" s="2870"/>
      <c r="CD24" s="2870"/>
      <c r="CE24" s="2877"/>
      <c r="CF24" s="2875">
        <v>0</v>
      </c>
      <c r="CG24" s="2869"/>
      <c r="CH24" s="2870"/>
      <c r="CI24" s="2870"/>
      <c r="CJ24" s="2870"/>
      <c r="CK24" s="2870"/>
      <c r="CL24" s="2877"/>
      <c r="CM24" s="2875">
        <v>0</v>
      </c>
      <c r="CN24" s="2872"/>
      <c r="CO24" s="2870"/>
      <c r="CP24" s="2870"/>
      <c r="CQ24" s="2870"/>
      <c r="CR24" s="2870"/>
      <c r="CS24" s="2877"/>
      <c r="CT24" s="2875">
        <v>0</v>
      </c>
      <c r="CU24" s="2878">
        <v>0</v>
      </c>
      <c r="CV24" s="2870">
        <v>0</v>
      </c>
      <c r="CW24" s="2870">
        <v>0</v>
      </c>
      <c r="CX24" s="2870">
        <v>0</v>
      </c>
      <c r="CY24" s="2870">
        <v>0</v>
      </c>
      <c r="CZ24" s="2879">
        <v>0</v>
      </c>
      <c r="DA24" s="2875">
        <v>0</v>
      </c>
      <c r="DJ24" s="1611" t="e">
        <v>#N/A</v>
      </c>
      <c r="DK24" s="2782" t="e">
        <v>#N/A</v>
      </c>
      <c r="DM24" s="1650">
        <v>0</v>
      </c>
    </row>
    <row r="25" spans="1:117" ht="21" customHeight="1">
      <c r="A25" s="1652">
        <v>14</v>
      </c>
      <c r="B25" s="1644"/>
      <c r="C25" s="1643"/>
      <c r="D25" s="1641"/>
      <c r="E25" s="1641"/>
      <c r="F25" s="1641"/>
      <c r="G25" s="1641"/>
      <c r="H25" s="1641"/>
      <c r="I25" s="1648"/>
      <c r="J25" s="1649"/>
      <c r="K25" s="1648"/>
      <c r="L25" s="1641"/>
      <c r="M25" s="1641"/>
      <c r="N25" s="1642"/>
      <c r="O25" s="2876"/>
      <c r="P25" s="2870"/>
      <c r="Q25" s="2870"/>
      <c r="R25" s="2870"/>
      <c r="S25" s="2870"/>
      <c r="T25" s="2870"/>
      <c r="U25" s="2875">
        <v>0</v>
      </c>
      <c r="V25" s="2869"/>
      <c r="W25" s="2870"/>
      <c r="X25" s="2870"/>
      <c r="Y25" s="2870"/>
      <c r="Z25" s="2870"/>
      <c r="AA25" s="2877"/>
      <c r="AB25" s="2875"/>
      <c r="AC25" s="2869"/>
      <c r="AD25" s="2870"/>
      <c r="AE25" s="2870"/>
      <c r="AF25" s="2870"/>
      <c r="AG25" s="2870"/>
      <c r="AH25" s="2877"/>
      <c r="AI25" s="2875"/>
      <c r="AJ25" s="2869"/>
      <c r="AK25" s="2870"/>
      <c r="AL25" s="2870"/>
      <c r="AM25" s="2870"/>
      <c r="AN25" s="2870"/>
      <c r="AO25" s="2877"/>
      <c r="AP25" s="2875"/>
      <c r="AQ25" s="2869"/>
      <c r="AR25" s="2870"/>
      <c r="AS25" s="2870"/>
      <c r="AT25" s="2870"/>
      <c r="AU25" s="2870"/>
      <c r="AV25" s="2877"/>
      <c r="AW25" s="2875"/>
      <c r="AX25" s="2869"/>
      <c r="AY25" s="2870"/>
      <c r="AZ25" s="2870"/>
      <c r="BA25" s="2870"/>
      <c r="BB25" s="2870"/>
      <c r="BC25" s="2877"/>
      <c r="BD25" s="2875"/>
      <c r="BE25" s="2869"/>
      <c r="BF25" s="2870"/>
      <c r="BG25" s="2870"/>
      <c r="BH25" s="2870"/>
      <c r="BI25" s="2870"/>
      <c r="BJ25" s="2877"/>
      <c r="BK25" s="2875"/>
      <c r="BL25" s="2869"/>
      <c r="BM25" s="2870"/>
      <c r="BN25" s="2870"/>
      <c r="BO25" s="2870"/>
      <c r="BP25" s="2870"/>
      <c r="BQ25" s="2877"/>
      <c r="BR25" s="2875"/>
      <c r="BS25" s="2869"/>
      <c r="BT25" s="2870"/>
      <c r="BU25" s="2870"/>
      <c r="BV25" s="2870"/>
      <c r="BW25" s="2870"/>
      <c r="BX25" s="2877"/>
      <c r="BY25" s="2875">
        <v>0</v>
      </c>
      <c r="BZ25" s="2869"/>
      <c r="CA25" s="2870"/>
      <c r="CB25" s="2870"/>
      <c r="CC25" s="2870"/>
      <c r="CD25" s="2870"/>
      <c r="CE25" s="2877"/>
      <c r="CF25" s="2875">
        <v>0</v>
      </c>
      <c r="CG25" s="2869"/>
      <c r="CH25" s="2870"/>
      <c r="CI25" s="2870"/>
      <c r="CJ25" s="2870"/>
      <c r="CK25" s="2870"/>
      <c r="CL25" s="2877"/>
      <c r="CM25" s="2875">
        <v>0</v>
      </c>
      <c r="CN25" s="2872"/>
      <c r="CO25" s="2870"/>
      <c r="CP25" s="2870"/>
      <c r="CQ25" s="2870"/>
      <c r="CR25" s="2870"/>
      <c r="CS25" s="2877"/>
      <c r="CT25" s="2875">
        <v>0</v>
      </c>
      <c r="CU25" s="2878">
        <v>0</v>
      </c>
      <c r="CV25" s="2870">
        <v>0</v>
      </c>
      <c r="CW25" s="2870">
        <v>0</v>
      </c>
      <c r="CX25" s="2870">
        <v>0</v>
      </c>
      <c r="CY25" s="2870">
        <v>0</v>
      </c>
      <c r="CZ25" s="2879">
        <v>0</v>
      </c>
      <c r="DA25" s="2875">
        <v>0</v>
      </c>
      <c r="DJ25" s="1611" t="e">
        <v>#N/A</v>
      </c>
      <c r="DK25" s="2782" t="e">
        <v>#N/A</v>
      </c>
      <c r="DM25" s="1650">
        <v>0</v>
      </c>
    </row>
    <row r="26" spans="1:117" s="1727" customFormat="1" ht="21" customHeight="1">
      <c r="A26" s="1637"/>
      <c r="B26" s="1638" t="s">
        <v>211</v>
      </c>
      <c r="C26" s="1643"/>
      <c r="D26" s="1641"/>
      <c r="E26" s="1641"/>
      <c r="F26" s="1641"/>
      <c r="G26" s="1641"/>
      <c r="H26" s="1641">
        <v>6134</v>
      </c>
      <c r="I26" s="1641"/>
      <c r="J26" s="1649"/>
      <c r="K26" s="1641"/>
      <c r="L26" s="1641"/>
      <c r="M26" s="1641"/>
      <c r="N26" s="1671"/>
      <c r="O26" s="2876">
        <v>1684.5010300000001</v>
      </c>
      <c r="P26" s="2874">
        <v>2336986730</v>
      </c>
      <c r="Q26" s="2874">
        <v>3574978820</v>
      </c>
      <c r="R26" s="2874">
        <v>0</v>
      </c>
      <c r="S26" s="2874">
        <v>0</v>
      </c>
      <c r="T26" s="2879">
        <v>3.5096241823016272</v>
      </c>
      <c r="U26" s="2875">
        <v>5911965550</v>
      </c>
      <c r="V26" s="2876">
        <v>1748.3969939999999</v>
      </c>
      <c r="W26" s="2874">
        <v>2280567088</v>
      </c>
      <c r="X26" s="2874">
        <v>4002688409</v>
      </c>
      <c r="Y26" s="2874">
        <v>0</v>
      </c>
      <c r="Z26" s="2874">
        <v>0</v>
      </c>
      <c r="AA26" s="2879">
        <v>3.593723575688097</v>
      </c>
      <c r="AB26" s="2875">
        <v>6283255497</v>
      </c>
      <c r="AC26" s="2876">
        <v>1923.1059720000001</v>
      </c>
      <c r="AD26" s="2874">
        <v>2516740441</v>
      </c>
      <c r="AE26" s="2874">
        <v>4479464947</v>
      </c>
      <c r="AF26" s="2874">
        <v>0</v>
      </c>
      <c r="AG26" s="2874">
        <v>0</v>
      </c>
      <c r="AH26" s="2879">
        <v>3.6379718485945194</v>
      </c>
      <c r="AI26" s="2875">
        <v>6996205388</v>
      </c>
      <c r="AJ26" s="2876">
        <v>2113.0811320000003</v>
      </c>
      <c r="AK26" s="2874">
        <v>2381573033</v>
      </c>
      <c r="AL26" s="2874">
        <v>5311545246</v>
      </c>
      <c r="AM26" s="2874">
        <v>0</v>
      </c>
      <c r="AN26" s="2874">
        <v>0</v>
      </c>
      <c r="AO26" s="2879">
        <v>3.6407112639913533</v>
      </c>
      <c r="AP26" s="2875">
        <v>7693118279</v>
      </c>
      <c r="AQ26" s="2876">
        <v>2121.0227169999998</v>
      </c>
      <c r="AR26" s="2874">
        <v>2472436290</v>
      </c>
      <c r="AS26" s="2874">
        <v>5390428097</v>
      </c>
      <c r="AT26" s="2874">
        <v>0</v>
      </c>
      <c r="AU26" s="2874">
        <v>0</v>
      </c>
      <c r="AV26" s="2879">
        <v>3.7071099352115051</v>
      </c>
      <c r="AW26" s="2875">
        <v>7862864387</v>
      </c>
      <c r="AX26" s="2876">
        <v>2246.8988639999998</v>
      </c>
      <c r="AY26" s="2874">
        <v>2407406642</v>
      </c>
      <c r="AZ26" s="2874">
        <v>5756430043</v>
      </c>
      <c r="BA26" s="2874">
        <v>0</v>
      </c>
      <c r="BB26" s="2874">
        <v>0</v>
      </c>
      <c r="BC26" s="2879">
        <v>3.6333796842402073</v>
      </c>
      <c r="BD26" s="2875">
        <v>8163836685</v>
      </c>
      <c r="BE26" s="2876">
        <v>2042.098352</v>
      </c>
      <c r="BF26" s="2874">
        <v>2397284123</v>
      </c>
      <c r="BG26" s="2874">
        <v>4139183357</v>
      </c>
      <c r="BH26" s="2874">
        <v>0</v>
      </c>
      <c r="BI26" s="2874">
        <v>0</v>
      </c>
      <c r="BJ26" s="2879">
        <v>3.2008583100800623</v>
      </c>
      <c r="BK26" s="2875">
        <v>6536467480</v>
      </c>
      <c r="BL26" s="2876">
        <v>1482.8051760000001</v>
      </c>
      <c r="BM26" s="2874">
        <v>2377116286</v>
      </c>
      <c r="BN26" s="2874">
        <v>3233673807</v>
      </c>
      <c r="BO26" s="2874">
        <v>0</v>
      </c>
      <c r="BP26" s="2874">
        <v>0</v>
      </c>
      <c r="BQ26" s="2879">
        <v>3.7839024194234403</v>
      </c>
      <c r="BR26" s="2875">
        <v>5610790093</v>
      </c>
      <c r="BS26" s="2876">
        <v>1871.9770429999999</v>
      </c>
      <c r="BT26" s="2874">
        <v>2417725102</v>
      </c>
      <c r="BU26" s="2874">
        <v>4203985127</v>
      </c>
      <c r="BV26" s="2874">
        <v>0</v>
      </c>
      <c r="BW26" s="2874">
        <v>0</v>
      </c>
      <c r="BX26" s="2879">
        <v>3.5372817491330748</v>
      </c>
      <c r="BY26" s="2875">
        <v>6621710229</v>
      </c>
      <c r="BZ26" s="2876">
        <v>2192.4743530000001</v>
      </c>
      <c r="CA26" s="2874">
        <v>2420041665</v>
      </c>
      <c r="CB26" s="2874">
        <v>6136108934</v>
      </c>
      <c r="CC26" s="2874">
        <v>0</v>
      </c>
      <c r="CD26" s="2874">
        <v>0</v>
      </c>
      <c r="CE26" s="2879">
        <v>3.9025088650603705</v>
      </c>
      <c r="CF26" s="2875">
        <v>8556150599</v>
      </c>
      <c r="CG26" s="2876">
        <v>1738.0843629999999</v>
      </c>
      <c r="CH26" s="2874">
        <v>2351768028</v>
      </c>
      <c r="CI26" s="2874">
        <v>3847177570</v>
      </c>
      <c r="CJ26" s="2874">
        <v>1671600049</v>
      </c>
      <c r="CK26" s="2874">
        <v>0</v>
      </c>
      <c r="CL26" s="2879">
        <v>4.5282874724303586</v>
      </c>
      <c r="CM26" s="2875">
        <v>7870545647</v>
      </c>
      <c r="CN26" s="2880">
        <v>2223.7114219999999</v>
      </c>
      <c r="CO26" s="2874">
        <v>2503492313</v>
      </c>
      <c r="CP26" s="2874">
        <v>4938295652</v>
      </c>
      <c r="CQ26" s="2874">
        <v>961844118</v>
      </c>
      <c r="CR26" s="2874">
        <v>0</v>
      </c>
      <c r="CS26" s="2879">
        <v>3.7791019103736923</v>
      </c>
      <c r="CT26" s="2875">
        <v>8403632083</v>
      </c>
      <c r="CU26" s="2881">
        <v>23388.157418000003</v>
      </c>
      <c r="CV26" s="2874">
        <v>28863137741</v>
      </c>
      <c r="CW26" s="2874">
        <v>55013960009</v>
      </c>
      <c r="CX26" s="2874">
        <v>2633444167</v>
      </c>
      <c r="CY26" s="2874">
        <v>0</v>
      </c>
      <c r="CZ26" s="2879">
        <v>3.6989036960397623</v>
      </c>
      <c r="DA26" s="2875">
        <v>86510541917</v>
      </c>
      <c r="DB26" s="1609"/>
      <c r="DD26" s="1625"/>
      <c r="DJ26" s="1611" t="e">
        <v>#N/A</v>
      </c>
      <c r="DK26" s="2782">
        <v>0</v>
      </c>
      <c r="DM26" s="1650">
        <v>2.3522143718196515</v>
      </c>
    </row>
    <row r="27" spans="1:117" ht="21" customHeight="1">
      <c r="A27" s="1652"/>
      <c r="B27" s="1644"/>
      <c r="C27" s="1662"/>
      <c r="D27" s="1648"/>
      <c r="E27" s="1648"/>
      <c r="F27" s="1648"/>
      <c r="G27" s="1648"/>
      <c r="H27" s="1648"/>
      <c r="I27" s="1648"/>
      <c r="J27" s="1663"/>
      <c r="K27" s="1648"/>
      <c r="L27" s="1648"/>
      <c r="M27" s="1648"/>
      <c r="N27" s="1642"/>
      <c r="O27" s="2876"/>
      <c r="P27" s="2870"/>
      <c r="Q27" s="2870"/>
      <c r="R27" s="2870"/>
      <c r="S27" s="2870"/>
      <c r="T27" s="2870"/>
      <c r="U27" s="2875"/>
      <c r="V27" s="2869"/>
      <c r="W27" s="2870"/>
      <c r="X27" s="2870"/>
      <c r="Y27" s="2870"/>
      <c r="Z27" s="2870"/>
      <c r="AA27" s="2870"/>
      <c r="AB27" s="2875"/>
      <c r="AC27" s="2869"/>
      <c r="AD27" s="2870"/>
      <c r="AE27" s="2870"/>
      <c r="AF27" s="2870"/>
      <c r="AG27" s="2870"/>
      <c r="AH27" s="2870"/>
      <c r="AI27" s="2875"/>
      <c r="AJ27" s="2869"/>
      <c r="AK27" s="2870"/>
      <c r="AL27" s="2870"/>
      <c r="AM27" s="2870"/>
      <c r="AN27" s="2870"/>
      <c r="AO27" s="2870"/>
      <c r="AP27" s="2875"/>
      <c r="AQ27" s="2869"/>
      <c r="AR27" s="2870"/>
      <c r="AS27" s="2870"/>
      <c r="AT27" s="2870"/>
      <c r="AU27" s="2870"/>
      <c r="AV27" s="2870"/>
      <c r="AW27" s="2875"/>
      <c r="AX27" s="2869"/>
      <c r="AY27" s="2870"/>
      <c r="AZ27" s="2870"/>
      <c r="BA27" s="2870"/>
      <c r="BB27" s="2870"/>
      <c r="BC27" s="2870"/>
      <c r="BD27" s="2875"/>
      <c r="BE27" s="2869"/>
      <c r="BF27" s="2870"/>
      <c r="BG27" s="2870"/>
      <c r="BH27" s="2870"/>
      <c r="BI27" s="2870"/>
      <c r="BJ27" s="2870"/>
      <c r="BK27" s="2875"/>
      <c r="BL27" s="2869"/>
      <c r="BM27" s="2870"/>
      <c r="BN27" s="2870"/>
      <c r="BO27" s="2870"/>
      <c r="BP27" s="2870"/>
      <c r="BQ27" s="2870"/>
      <c r="BR27" s="2875"/>
      <c r="BS27" s="2869"/>
      <c r="BT27" s="2870"/>
      <c r="BU27" s="2870"/>
      <c r="BV27" s="2870"/>
      <c r="BW27" s="2870"/>
      <c r="BX27" s="2870"/>
      <c r="BY27" s="2875"/>
      <c r="BZ27" s="2869"/>
      <c r="CA27" s="2870"/>
      <c r="CB27" s="2870"/>
      <c r="CC27" s="2870"/>
      <c r="CD27" s="2870"/>
      <c r="CE27" s="2870"/>
      <c r="CF27" s="2875"/>
      <c r="CG27" s="2869"/>
      <c r="CH27" s="2870"/>
      <c r="CI27" s="2870"/>
      <c r="CJ27" s="2870"/>
      <c r="CK27" s="2870"/>
      <c r="CL27" s="2870"/>
      <c r="CM27" s="2875"/>
      <c r="CN27" s="2872"/>
      <c r="CO27" s="2870"/>
      <c r="CP27" s="2870"/>
      <c r="CQ27" s="2870"/>
      <c r="CR27" s="2870"/>
      <c r="CS27" s="2870"/>
      <c r="CT27" s="2875"/>
      <c r="CU27" s="2878"/>
      <c r="CV27" s="2870"/>
      <c r="CW27" s="2870"/>
      <c r="CX27" s="2870"/>
      <c r="CY27" s="2870"/>
      <c r="CZ27" s="2879"/>
      <c r="DA27" s="2875"/>
      <c r="DJ27" s="1611" t="e">
        <v>#N/A</v>
      </c>
      <c r="DK27" s="2782" t="e">
        <v>#N/A</v>
      </c>
      <c r="DM27" s="1650">
        <v>0</v>
      </c>
    </row>
    <row r="28" spans="1:117" ht="21" customHeight="1">
      <c r="A28" s="1652" t="s">
        <v>21</v>
      </c>
      <c r="B28" s="1638" t="s">
        <v>1665</v>
      </c>
      <c r="C28" s="1662"/>
      <c r="D28" s="1648"/>
      <c r="E28" s="1648"/>
      <c r="F28" s="1648"/>
      <c r="G28" s="1648"/>
      <c r="H28" s="1648"/>
      <c r="I28" s="1648"/>
      <c r="J28" s="1663"/>
      <c r="K28" s="1648"/>
      <c r="L28" s="1648"/>
      <c r="M28" s="1648"/>
      <c r="N28" s="1642"/>
      <c r="O28" s="2876"/>
      <c r="P28" s="2870"/>
      <c r="Q28" s="2870"/>
      <c r="R28" s="2870"/>
      <c r="S28" s="2870"/>
      <c r="T28" s="2870"/>
      <c r="U28" s="2875">
        <v>0</v>
      </c>
      <c r="V28" s="2869"/>
      <c r="W28" s="2870"/>
      <c r="X28" s="2870"/>
      <c r="Y28" s="2870"/>
      <c r="Z28" s="2870"/>
      <c r="AA28" s="2870"/>
      <c r="AB28" s="2875">
        <v>0</v>
      </c>
      <c r="AC28" s="2869"/>
      <c r="AD28" s="2870"/>
      <c r="AE28" s="2870"/>
      <c r="AF28" s="2870"/>
      <c r="AG28" s="2870"/>
      <c r="AH28" s="2870"/>
      <c r="AI28" s="2875">
        <v>0</v>
      </c>
      <c r="AJ28" s="2869"/>
      <c r="AK28" s="2870"/>
      <c r="AL28" s="2870"/>
      <c r="AM28" s="2870"/>
      <c r="AN28" s="2870"/>
      <c r="AO28" s="2870"/>
      <c r="AP28" s="2875">
        <v>0</v>
      </c>
      <c r="AQ28" s="2869"/>
      <c r="AR28" s="2870"/>
      <c r="AS28" s="2870"/>
      <c r="AT28" s="2870"/>
      <c r="AU28" s="2870"/>
      <c r="AV28" s="2870"/>
      <c r="AW28" s="2875">
        <v>0</v>
      </c>
      <c r="AX28" s="2869"/>
      <c r="AY28" s="2870"/>
      <c r="AZ28" s="2870"/>
      <c r="BA28" s="2870"/>
      <c r="BB28" s="2870"/>
      <c r="BC28" s="2870"/>
      <c r="BD28" s="2875">
        <v>0</v>
      </c>
      <c r="BE28" s="2869"/>
      <c r="BF28" s="2870"/>
      <c r="BG28" s="2870"/>
      <c r="BH28" s="2870"/>
      <c r="BI28" s="2870"/>
      <c r="BJ28" s="2870"/>
      <c r="BK28" s="2875">
        <v>0</v>
      </c>
      <c r="BL28" s="2869"/>
      <c r="BM28" s="2870"/>
      <c r="BN28" s="2870"/>
      <c r="BO28" s="2870"/>
      <c r="BP28" s="2870"/>
      <c r="BQ28" s="2870"/>
      <c r="BR28" s="2875">
        <v>0</v>
      </c>
      <c r="BS28" s="2869"/>
      <c r="BT28" s="2870"/>
      <c r="BU28" s="2870"/>
      <c r="BV28" s="2870"/>
      <c r="BW28" s="2870"/>
      <c r="BX28" s="2870"/>
      <c r="BY28" s="2875">
        <v>0</v>
      </c>
      <c r="BZ28" s="2869"/>
      <c r="CA28" s="2870"/>
      <c r="CB28" s="2870"/>
      <c r="CC28" s="2870"/>
      <c r="CD28" s="2870"/>
      <c r="CE28" s="2870"/>
      <c r="CF28" s="2875">
        <v>0</v>
      </c>
      <c r="CG28" s="2869"/>
      <c r="CH28" s="2870"/>
      <c r="CI28" s="2870"/>
      <c r="CJ28" s="2870"/>
      <c r="CK28" s="2870"/>
      <c r="CL28" s="2870"/>
      <c r="CM28" s="2875">
        <v>0</v>
      </c>
      <c r="CN28" s="2872"/>
      <c r="CO28" s="2870"/>
      <c r="CP28" s="2870"/>
      <c r="CQ28" s="2870"/>
      <c r="CR28" s="2870"/>
      <c r="CS28" s="2870"/>
      <c r="CT28" s="2875">
        <v>0</v>
      </c>
      <c r="CU28" s="2878"/>
      <c r="CV28" s="2870"/>
      <c r="CW28" s="2870"/>
      <c r="CX28" s="2870"/>
      <c r="CY28" s="2870"/>
      <c r="CZ28" s="2879"/>
      <c r="DA28" s="2875"/>
      <c r="DJ28" s="1611" t="e">
        <v>#N/A</v>
      </c>
      <c r="DK28" s="2782">
        <v>0</v>
      </c>
      <c r="DM28" s="1650">
        <v>0</v>
      </c>
    </row>
    <row r="29" spans="1:117" ht="21" customHeight="1">
      <c r="A29" s="1652">
        <v>1</v>
      </c>
      <c r="B29" s="1644" t="s">
        <v>1666</v>
      </c>
      <c r="C29" s="1664">
        <v>300</v>
      </c>
      <c r="D29" s="1646">
        <v>85</v>
      </c>
      <c r="E29" s="1646">
        <v>62.63</v>
      </c>
      <c r="F29" s="1665">
        <v>1</v>
      </c>
      <c r="G29" s="1640"/>
      <c r="H29" s="1640">
        <v>255</v>
      </c>
      <c r="I29" s="1648" t="s">
        <v>1717</v>
      </c>
      <c r="J29" s="1649">
        <v>2</v>
      </c>
      <c r="K29" s="1648"/>
      <c r="L29" s="1640"/>
      <c r="M29" s="1640"/>
      <c r="N29" s="1642"/>
      <c r="O29" s="2876">
        <v>25.542014000000002</v>
      </c>
      <c r="P29" s="2870">
        <v>13334086</v>
      </c>
      <c r="Q29" s="2870">
        <v>14661116</v>
      </c>
      <c r="R29" s="2870"/>
      <c r="S29" s="2870"/>
      <c r="T29" s="2870">
        <v>1.0960452061454511</v>
      </c>
      <c r="U29" s="2875">
        <v>27995202</v>
      </c>
      <c r="V29" s="2869">
        <v>38.585242000000001</v>
      </c>
      <c r="W29" s="2870">
        <v>13687893</v>
      </c>
      <c r="X29" s="2870">
        <v>46302290</v>
      </c>
      <c r="Y29" s="2870"/>
      <c r="Z29" s="2870"/>
      <c r="AA29" s="2877">
        <v>1.5547442465178785</v>
      </c>
      <c r="AB29" s="2875">
        <v>59990183</v>
      </c>
      <c r="AC29" s="2869">
        <v>66.609713999999997</v>
      </c>
      <c r="AD29" s="2870">
        <v>12360809</v>
      </c>
      <c r="AE29" s="2870">
        <v>79931657</v>
      </c>
      <c r="AF29" s="2870">
        <v>15989300</v>
      </c>
      <c r="AG29" s="2870"/>
      <c r="AH29" s="2877">
        <v>1.6256152368406807</v>
      </c>
      <c r="AI29" s="2875">
        <v>108281766</v>
      </c>
      <c r="AJ29" s="2869">
        <v>79.797640999999999</v>
      </c>
      <c r="AK29" s="2870">
        <v>13633074</v>
      </c>
      <c r="AL29" s="2870">
        <v>95757169</v>
      </c>
      <c r="AM29" s="2870"/>
      <c r="AN29" s="2870"/>
      <c r="AO29" s="2877">
        <v>1.3708455742444818</v>
      </c>
      <c r="AP29" s="2875">
        <v>109390243</v>
      </c>
      <c r="AQ29" s="2869">
        <v>86.597030000000004</v>
      </c>
      <c r="AR29" s="2870">
        <v>14322528</v>
      </c>
      <c r="AS29" s="2870">
        <v>103916435</v>
      </c>
      <c r="AT29" s="2870"/>
      <c r="AU29" s="2870"/>
      <c r="AV29" s="2877">
        <v>1.3653928200539902</v>
      </c>
      <c r="AW29" s="2875">
        <v>118238963</v>
      </c>
      <c r="AX29" s="2869">
        <v>81.311891000000003</v>
      </c>
      <c r="AY29" s="2870">
        <v>13766653</v>
      </c>
      <c r="AZ29" s="2870">
        <v>97574269</v>
      </c>
      <c r="BA29" s="2870"/>
      <c r="BB29" s="2870"/>
      <c r="BC29" s="2877">
        <v>1.3693067598194217</v>
      </c>
      <c r="BD29" s="2875">
        <v>111340922</v>
      </c>
      <c r="BE29" s="2869">
        <v>76.507794000000004</v>
      </c>
      <c r="BF29" s="2870">
        <v>17267998</v>
      </c>
      <c r="BG29" s="2870">
        <v>91809353</v>
      </c>
      <c r="BH29" s="2870"/>
      <c r="BI29" s="2870"/>
      <c r="BJ29" s="2877">
        <v>1.4257024715677986</v>
      </c>
      <c r="BK29" s="2875">
        <v>109077351</v>
      </c>
      <c r="BL29" s="2869">
        <v>20.668963999999999</v>
      </c>
      <c r="BM29" s="2870">
        <v>13603420</v>
      </c>
      <c r="BN29" s="2870">
        <v>24802757</v>
      </c>
      <c r="BO29" s="2870"/>
      <c r="BP29" s="2870"/>
      <c r="BQ29" s="2877">
        <v>1.8581568481129485</v>
      </c>
      <c r="BR29" s="2875">
        <v>38406177</v>
      </c>
      <c r="BS29" s="2869">
        <v>40.725769999999997</v>
      </c>
      <c r="BT29" s="2870">
        <v>13487593</v>
      </c>
      <c r="BU29" s="2870">
        <v>48870924</v>
      </c>
      <c r="BV29" s="2870"/>
      <c r="BW29" s="2870"/>
      <c r="BX29" s="2877">
        <v>1.5311807978093477</v>
      </c>
      <c r="BY29" s="2875">
        <v>62358517</v>
      </c>
      <c r="BZ29" s="2869">
        <v>59.126148999999998</v>
      </c>
      <c r="CA29" s="2870">
        <v>13877651</v>
      </c>
      <c r="CB29" s="2870">
        <v>70951379</v>
      </c>
      <c r="CC29" s="2870"/>
      <c r="CD29" s="2870"/>
      <c r="CE29" s="2877">
        <v>1.4347125837672938</v>
      </c>
      <c r="CF29" s="2875">
        <v>84829030</v>
      </c>
      <c r="CG29" s="2869">
        <v>39.100842999999998</v>
      </c>
      <c r="CH29" s="2870">
        <v>10424596</v>
      </c>
      <c r="CI29" s="2870">
        <v>46921012</v>
      </c>
      <c r="CJ29" s="2870"/>
      <c r="CK29" s="2870"/>
      <c r="CL29" s="2877">
        <v>1.4666079705749566</v>
      </c>
      <c r="CM29" s="2875">
        <v>57345608</v>
      </c>
      <c r="CN29" s="2872">
        <v>31.197886</v>
      </c>
      <c r="CO29" s="2870">
        <v>14411082.529999999</v>
      </c>
      <c r="CP29" s="2870">
        <v>37437463.200000003</v>
      </c>
      <c r="CQ29" s="2870"/>
      <c r="CR29" s="2870"/>
      <c r="CS29" s="2877">
        <v>1.6619249692110549</v>
      </c>
      <c r="CT29" s="2875">
        <v>51848545.730000004</v>
      </c>
      <c r="CU29" s="2878">
        <v>645.770938</v>
      </c>
      <c r="CV29" s="2870">
        <v>164177383.53</v>
      </c>
      <c r="CW29" s="2870">
        <v>758935824.20000005</v>
      </c>
      <c r="CX29" s="2870">
        <v>15989300</v>
      </c>
      <c r="CY29" s="2870">
        <v>0</v>
      </c>
      <c r="CZ29" s="2879">
        <v>1.4542347022281141</v>
      </c>
      <c r="DA29" s="2875">
        <v>939102507.73000002</v>
      </c>
      <c r="DJ29" s="1611" t="s">
        <v>1717</v>
      </c>
      <c r="DK29" s="2782" t="s">
        <v>1667</v>
      </c>
      <c r="DM29" s="1650">
        <v>1.1752399799075506</v>
      </c>
    </row>
    <row r="30" spans="1:117" ht="21" customHeight="1">
      <c r="A30" s="1652">
        <v>2</v>
      </c>
      <c r="B30" s="1644" t="s">
        <v>1668</v>
      </c>
      <c r="C30" s="1666">
        <v>99</v>
      </c>
      <c r="D30" s="1646">
        <v>100</v>
      </c>
      <c r="E30" s="1646">
        <v>65.680000000000007</v>
      </c>
      <c r="F30" s="1665">
        <v>1</v>
      </c>
      <c r="G30" s="1640"/>
      <c r="H30" s="1646">
        <v>99</v>
      </c>
      <c r="I30" s="1648" t="s">
        <v>1717</v>
      </c>
      <c r="J30" s="1649">
        <v>2</v>
      </c>
      <c r="K30" s="1648"/>
      <c r="L30" s="1640"/>
      <c r="M30" s="1640"/>
      <c r="N30" s="1642"/>
      <c r="O30" s="2876">
        <v>13.524702</v>
      </c>
      <c r="P30" s="2870">
        <v>7164864</v>
      </c>
      <c r="Q30" s="2870">
        <v>5639801</v>
      </c>
      <c r="R30" s="2870"/>
      <c r="S30" s="2870"/>
      <c r="T30" s="2870">
        <v>0.94676134084137309</v>
      </c>
      <c r="U30" s="2875">
        <v>12804665</v>
      </c>
      <c r="V30" s="2869">
        <v>20.267901999999999</v>
      </c>
      <c r="W30" s="2870">
        <v>7569448</v>
      </c>
      <c r="X30" s="2870">
        <v>16031910</v>
      </c>
      <c r="Y30" s="2870"/>
      <c r="Z30" s="2870"/>
      <c r="AA30" s="2877">
        <v>1.1644697117639506</v>
      </c>
      <c r="AB30" s="2875">
        <v>23601358</v>
      </c>
      <c r="AC30" s="2869">
        <v>34.78096</v>
      </c>
      <c r="AD30" s="2870">
        <v>6875239</v>
      </c>
      <c r="AE30" s="2870">
        <v>27511739</v>
      </c>
      <c r="AF30" s="2870">
        <v>5058238</v>
      </c>
      <c r="AG30" s="2870"/>
      <c r="AH30" s="2877">
        <v>1.1341037165161629</v>
      </c>
      <c r="AI30" s="2875">
        <v>39445216</v>
      </c>
      <c r="AJ30" s="2869">
        <v>40.914760000000001</v>
      </c>
      <c r="AK30" s="2870">
        <v>7647721</v>
      </c>
      <c r="AL30" s="2870">
        <v>32363575</v>
      </c>
      <c r="AM30" s="2870"/>
      <c r="AN30" s="2870"/>
      <c r="AO30" s="2877">
        <v>0.97791838446565493</v>
      </c>
      <c r="AP30" s="2875">
        <v>40011296</v>
      </c>
      <c r="AQ30" s="2869">
        <v>41.417907</v>
      </c>
      <c r="AR30" s="2870">
        <v>7660383</v>
      </c>
      <c r="AS30" s="2870">
        <v>32761563</v>
      </c>
      <c r="AT30" s="2870"/>
      <c r="AU30" s="2870"/>
      <c r="AV30" s="2877">
        <v>0.97595337205233479</v>
      </c>
      <c r="AW30" s="2875">
        <v>40421946</v>
      </c>
      <c r="AX30" s="2869">
        <v>38.108840000000001</v>
      </c>
      <c r="AY30" s="2870">
        <v>7404362</v>
      </c>
      <c r="AZ30" s="2870">
        <v>30144092</v>
      </c>
      <c r="BA30" s="2870"/>
      <c r="BB30" s="2870"/>
      <c r="BC30" s="2877">
        <v>0.9852951178781616</v>
      </c>
      <c r="BD30" s="2875">
        <v>37548454</v>
      </c>
      <c r="BE30" s="2869">
        <v>36.36392</v>
      </c>
      <c r="BF30" s="2870">
        <v>7599375</v>
      </c>
      <c r="BG30" s="2870">
        <v>28763861</v>
      </c>
      <c r="BH30" s="2870"/>
      <c r="BI30" s="2870"/>
      <c r="BJ30" s="2877">
        <v>0.99998119014671683</v>
      </c>
      <c r="BK30" s="2875">
        <v>36363236</v>
      </c>
      <c r="BL30" s="2869">
        <v>14.491633999999999</v>
      </c>
      <c r="BM30" s="2870">
        <v>7409931</v>
      </c>
      <c r="BN30" s="2870">
        <v>11462883</v>
      </c>
      <c r="BO30" s="2870"/>
      <c r="BP30" s="2870"/>
      <c r="BQ30" s="2877">
        <v>1.3023247757982295</v>
      </c>
      <c r="BR30" s="2875">
        <v>18872814</v>
      </c>
      <c r="BS30" s="2869">
        <v>22.531498600000003</v>
      </c>
      <c r="BT30" s="2870">
        <v>7625850</v>
      </c>
      <c r="BU30" s="2870">
        <v>17822415</v>
      </c>
      <c r="BV30" s="2870"/>
      <c r="BW30" s="2870"/>
      <c r="BX30" s="2877">
        <v>1.1294528363062366</v>
      </c>
      <c r="BY30" s="2875">
        <v>25448265</v>
      </c>
      <c r="BZ30" s="2869">
        <v>30.938950999999999</v>
      </c>
      <c r="CA30" s="2870">
        <v>7584411</v>
      </c>
      <c r="CB30" s="2870">
        <v>24472711</v>
      </c>
      <c r="CC30" s="2870"/>
      <c r="CD30" s="2870"/>
      <c r="CE30" s="2877">
        <v>1.0361412059510355</v>
      </c>
      <c r="CF30" s="2875">
        <v>32057122</v>
      </c>
      <c r="CG30" s="2869">
        <v>21.941838000000001</v>
      </c>
      <c r="CH30" s="2870">
        <v>5535243</v>
      </c>
      <c r="CI30" s="2870">
        <v>17355994</v>
      </c>
      <c r="CJ30" s="2870"/>
      <c r="CK30" s="2870"/>
      <c r="CL30" s="2877">
        <v>1.0432688911475876</v>
      </c>
      <c r="CM30" s="2875">
        <v>22891237</v>
      </c>
      <c r="CN30" s="2872">
        <v>19.248088690000003</v>
      </c>
      <c r="CO30" s="2870">
        <v>7554483.6699999999</v>
      </c>
      <c r="CP30" s="2870">
        <v>15225238.16</v>
      </c>
      <c r="CQ30" s="2870"/>
      <c r="CR30" s="2870"/>
      <c r="CS30" s="2877">
        <v>1.1834796793010827</v>
      </c>
      <c r="CT30" s="2875">
        <v>22779721.829999998</v>
      </c>
      <c r="CU30" s="2878">
        <v>334.53100128999995</v>
      </c>
      <c r="CV30" s="2870">
        <v>87631310.670000002</v>
      </c>
      <c r="CW30" s="2870">
        <v>259555782.16</v>
      </c>
      <c r="CX30" s="2870">
        <v>5058238</v>
      </c>
      <c r="CY30" s="2870">
        <v>0</v>
      </c>
      <c r="CZ30" s="2879">
        <v>1.0529527292588459</v>
      </c>
      <c r="DA30" s="2875">
        <v>352245330.82999998</v>
      </c>
      <c r="DJ30" s="1611" t="s">
        <v>1717</v>
      </c>
      <c r="DK30" s="2782" t="s">
        <v>1667</v>
      </c>
      <c r="DM30" s="1650">
        <v>0.77587960804563805</v>
      </c>
    </row>
    <row r="31" spans="1:117" ht="21" customHeight="1">
      <c r="A31" s="1652">
        <v>3</v>
      </c>
      <c r="B31" s="1644" t="s">
        <v>1669</v>
      </c>
      <c r="C31" s="1664">
        <v>30</v>
      </c>
      <c r="D31" s="1646">
        <v>66.666666666666657</v>
      </c>
      <c r="E31" s="1646">
        <v>98.51</v>
      </c>
      <c r="F31" s="1665">
        <v>1</v>
      </c>
      <c r="G31" s="1640"/>
      <c r="H31" s="1646">
        <v>20</v>
      </c>
      <c r="I31" s="1648" t="s">
        <v>1717</v>
      </c>
      <c r="J31" s="1649">
        <v>2</v>
      </c>
      <c r="K31" s="1648"/>
      <c r="L31" s="1640"/>
      <c r="M31" s="1640"/>
      <c r="N31" s="1642"/>
      <c r="O31" s="2876">
        <v>6.8680000000000005E-2</v>
      </c>
      <c r="P31" s="2870">
        <v>2536791</v>
      </c>
      <c r="Q31" s="2870">
        <v>22184</v>
      </c>
      <c r="R31" s="2870"/>
      <c r="S31" s="2870"/>
      <c r="T31" s="2870">
        <v>37.259391380314504</v>
      </c>
      <c r="U31" s="2875">
        <v>2558975</v>
      </c>
      <c r="V31" s="2869">
        <v>6.1998059999999997</v>
      </c>
      <c r="W31" s="2870">
        <v>1650140</v>
      </c>
      <c r="X31" s="2870">
        <v>4904047</v>
      </c>
      <c r="Y31" s="2870"/>
      <c r="Z31" s="2870"/>
      <c r="AA31" s="2877">
        <v>1.0571600143617397</v>
      </c>
      <c r="AB31" s="2875">
        <v>6554187</v>
      </c>
      <c r="AC31" s="2869">
        <v>-0.18249299999999999</v>
      </c>
      <c r="AD31" s="2870">
        <v>1983517</v>
      </c>
      <c r="AE31" s="2870">
        <v>-144352</v>
      </c>
      <c r="AF31" s="2870">
        <v>32142</v>
      </c>
      <c r="AG31" s="2870"/>
      <c r="AH31" s="2877">
        <v>-10.254130295408592</v>
      </c>
      <c r="AI31" s="2875">
        <v>1871307</v>
      </c>
      <c r="AJ31" s="2869">
        <v>-2.47E-2</v>
      </c>
      <c r="AK31" s="2870">
        <v>2621350</v>
      </c>
      <c r="AL31" s="2870">
        <v>-19538</v>
      </c>
      <c r="AM31" s="2870"/>
      <c r="AN31" s="2870"/>
      <c r="AO31" s="2877">
        <v>-105.33651821862348</v>
      </c>
      <c r="AP31" s="2875">
        <v>2601812</v>
      </c>
      <c r="AQ31" s="2869">
        <v>2.8729550000000001</v>
      </c>
      <c r="AR31" s="2870">
        <v>2497623</v>
      </c>
      <c r="AS31" s="2870">
        <v>2272507</v>
      </c>
      <c r="AT31" s="2870"/>
      <c r="AU31" s="2870"/>
      <c r="AV31" s="2877">
        <v>1.6603566710930036</v>
      </c>
      <c r="AW31" s="2875">
        <v>4770130</v>
      </c>
      <c r="AX31" s="2869">
        <v>9.9803230000000003</v>
      </c>
      <c r="AY31" s="2870">
        <v>2330549</v>
      </c>
      <c r="AZ31" s="2870">
        <v>7894435</v>
      </c>
      <c r="BA31" s="2870"/>
      <c r="BB31" s="2870"/>
      <c r="BC31" s="2877">
        <v>1.0245143368606406</v>
      </c>
      <c r="BD31" s="2875">
        <v>10224984</v>
      </c>
      <c r="BE31" s="2869">
        <v>12.157393000000001</v>
      </c>
      <c r="BF31" s="2870">
        <v>2590419</v>
      </c>
      <c r="BG31" s="2870">
        <v>9616498</v>
      </c>
      <c r="BH31" s="2870"/>
      <c r="BI31" s="2870"/>
      <c r="BJ31" s="2877">
        <v>1.0040735707071409</v>
      </c>
      <c r="BK31" s="2875">
        <v>12206917</v>
      </c>
      <c r="BL31" s="2869">
        <v>10.835608000000001</v>
      </c>
      <c r="BM31" s="2870">
        <v>2534254</v>
      </c>
      <c r="BN31" s="2870">
        <v>8570966</v>
      </c>
      <c r="BO31" s="2870"/>
      <c r="BP31" s="2870"/>
      <c r="BQ31" s="2877">
        <v>1.0248820370762766</v>
      </c>
      <c r="BR31" s="2875">
        <v>11105220</v>
      </c>
      <c r="BS31" s="2869">
        <v>9.6838490000000004</v>
      </c>
      <c r="BT31" s="2870">
        <v>2601953</v>
      </c>
      <c r="BU31" s="2870">
        <v>7659925</v>
      </c>
      <c r="BV31" s="2870"/>
      <c r="BW31" s="2870"/>
      <c r="BX31" s="2877">
        <v>1.0596900054926508</v>
      </c>
      <c r="BY31" s="2875">
        <v>10261878</v>
      </c>
      <c r="BZ31" s="2869">
        <v>9.1302070000000004</v>
      </c>
      <c r="CA31" s="2870">
        <v>2548739</v>
      </c>
      <c r="CB31" s="2870">
        <v>7221994</v>
      </c>
      <c r="CC31" s="2870"/>
      <c r="CD31" s="2870"/>
      <c r="CE31" s="2877">
        <v>1.0701545978092282</v>
      </c>
      <c r="CF31" s="2875">
        <v>9770733</v>
      </c>
      <c r="CG31" s="2869">
        <v>8.473217</v>
      </c>
      <c r="CH31" s="2870">
        <v>2019387</v>
      </c>
      <c r="CI31" s="2870">
        <v>6702315</v>
      </c>
      <c r="CJ31" s="2870"/>
      <c r="CK31" s="2870"/>
      <c r="CL31" s="2877">
        <v>1.0293259337038105</v>
      </c>
      <c r="CM31" s="2875">
        <v>8721702</v>
      </c>
      <c r="CN31" s="2872">
        <v>5.0570199999999996</v>
      </c>
      <c r="CO31" s="2870">
        <v>1729567.06</v>
      </c>
      <c r="CP31" s="2870">
        <v>4000102.82</v>
      </c>
      <c r="CQ31" s="2870"/>
      <c r="CR31" s="2870"/>
      <c r="CS31" s="2877">
        <v>1.1330130946684016</v>
      </c>
      <c r="CT31" s="2875">
        <v>5729669.8799999999</v>
      </c>
      <c r="CU31" s="2878">
        <v>74.251864999999995</v>
      </c>
      <c r="CV31" s="2870">
        <v>27644289.059999999</v>
      </c>
      <c r="CW31" s="2870">
        <v>58701083.82</v>
      </c>
      <c r="CX31" s="2870">
        <v>32142</v>
      </c>
      <c r="CY31" s="2870">
        <v>0</v>
      </c>
      <c r="CZ31" s="2879">
        <v>1.1633043140397887</v>
      </c>
      <c r="DA31" s="2875">
        <v>86377514.879999995</v>
      </c>
      <c r="DJ31" s="1611" t="s">
        <v>1717</v>
      </c>
      <c r="DK31" s="2782" t="s">
        <v>1667</v>
      </c>
      <c r="DM31" s="1650">
        <v>0.79056713013201751</v>
      </c>
    </row>
    <row r="32" spans="1:117" ht="21" customHeight="1">
      <c r="A32" s="1652">
        <v>4</v>
      </c>
      <c r="B32" s="1644" t="s">
        <v>1670</v>
      </c>
      <c r="C32" s="1664">
        <v>72</v>
      </c>
      <c r="D32" s="1646">
        <v>80</v>
      </c>
      <c r="E32" s="1646">
        <v>69.38</v>
      </c>
      <c r="F32" s="1665">
        <v>1</v>
      </c>
      <c r="G32" s="1640"/>
      <c r="H32" s="1640">
        <v>57.6</v>
      </c>
      <c r="I32" s="1648" t="s">
        <v>1717</v>
      </c>
      <c r="J32" s="1649">
        <v>2</v>
      </c>
      <c r="K32" s="1648"/>
      <c r="L32" s="1640"/>
      <c r="M32" s="1640"/>
      <c r="N32" s="1642"/>
      <c r="O32" s="2876">
        <v>26.893958000000001</v>
      </c>
      <c r="P32" s="2870">
        <v>10607408</v>
      </c>
      <c r="Q32" s="2870">
        <v>9950765</v>
      </c>
      <c r="R32" s="2870"/>
      <c r="S32" s="2870"/>
      <c r="T32" s="2870">
        <v>0.76441604467442092</v>
      </c>
      <c r="U32" s="2875">
        <v>20558173</v>
      </c>
      <c r="V32" s="2869">
        <v>30.466795999999999</v>
      </c>
      <c r="W32" s="2870">
        <v>11559406</v>
      </c>
      <c r="X32" s="2870">
        <v>15172464</v>
      </c>
      <c r="Y32" s="2870"/>
      <c r="Z32" s="2870"/>
      <c r="AA32" s="2877">
        <v>0.87740995147635481</v>
      </c>
      <c r="AB32" s="2875">
        <v>26731870</v>
      </c>
      <c r="AC32" s="2869">
        <v>34.193668000000002</v>
      </c>
      <c r="AD32" s="2870">
        <v>11589232</v>
      </c>
      <c r="AE32" s="2870">
        <v>17028447</v>
      </c>
      <c r="AF32" s="2870">
        <v>3442426</v>
      </c>
      <c r="AG32" s="2870"/>
      <c r="AH32" s="2877">
        <v>0.93760356449621018</v>
      </c>
      <c r="AI32" s="2875">
        <v>32060105</v>
      </c>
      <c r="AJ32" s="2869">
        <v>30.431630999999999</v>
      </c>
      <c r="AK32" s="2870">
        <v>11335149</v>
      </c>
      <c r="AL32" s="2870">
        <v>15154952</v>
      </c>
      <c r="AM32" s="2870"/>
      <c r="AN32" s="2870"/>
      <c r="AO32" s="2877">
        <v>0.87047917346263826</v>
      </c>
      <c r="AP32" s="2875">
        <v>26490101</v>
      </c>
      <c r="AQ32" s="2869">
        <v>35.139961999999997</v>
      </c>
      <c r="AR32" s="2870">
        <v>11660141</v>
      </c>
      <c r="AS32" s="2870">
        <v>17499701</v>
      </c>
      <c r="AT32" s="2870"/>
      <c r="AU32" s="2870"/>
      <c r="AV32" s="2877">
        <v>0.82981996394873736</v>
      </c>
      <c r="AW32" s="2875">
        <v>29159842</v>
      </c>
      <c r="AX32" s="2869">
        <v>33.755462000000001</v>
      </c>
      <c r="AY32" s="2870">
        <v>11149384</v>
      </c>
      <c r="AZ32" s="2870">
        <v>16810221</v>
      </c>
      <c r="BA32" s="2870"/>
      <c r="BB32" s="2870"/>
      <c r="BC32" s="2877">
        <v>0.82829869133475342</v>
      </c>
      <c r="BD32" s="2875">
        <v>27959605</v>
      </c>
      <c r="BE32" s="2869">
        <v>19.171014</v>
      </c>
      <c r="BF32" s="2870">
        <v>10689962</v>
      </c>
      <c r="BG32" s="2870">
        <v>9547165</v>
      </c>
      <c r="BH32" s="2870"/>
      <c r="BI32" s="2870"/>
      <c r="BJ32" s="2877">
        <v>1.0556106734886324</v>
      </c>
      <c r="BK32" s="2875">
        <v>20237127</v>
      </c>
      <c r="BL32" s="2869">
        <v>12.892125</v>
      </c>
      <c r="BM32" s="2870">
        <v>11303737</v>
      </c>
      <c r="BN32" s="2870">
        <v>6420278</v>
      </c>
      <c r="BO32" s="2870"/>
      <c r="BP32" s="2870"/>
      <c r="BQ32" s="2877">
        <v>1.3747939148899038</v>
      </c>
      <c r="BR32" s="2875">
        <v>17724015</v>
      </c>
      <c r="BS32" s="2869">
        <v>9.9089639999999992</v>
      </c>
      <c r="BT32" s="2870">
        <v>9259277</v>
      </c>
      <c r="BU32" s="2870">
        <v>4934664</v>
      </c>
      <c r="BV32" s="2870"/>
      <c r="BW32" s="2870"/>
      <c r="BX32" s="2877">
        <v>1.4324344098939101</v>
      </c>
      <c r="BY32" s="2875">
        <v>14193941</v>
      </c>
      <c r="BZ32" s="2869">
        <v>8.9239119999999996</v>
      </c>
      <c r="CA32" s="2870">
        <v>7934125</v>
      </c>
      <c r="CB32" s="2870">
        <v>4444108</v>
      </c>
      <c r="CC32" s="2870"/>
      <c r="CD32" s="2870"/>
      <c r="CE32" s="2877">
        <v>1.3870859551281993</v>
      </c>
      <c r="CF32" s="2875">
        <v>12378233</v>
      </c>
      <c r="CG32" s="2869">
        <v>6.973446</v>
      </c>
      <c r="CH32" s="2870">
        <v>7373193</v>
      </c>
      <c r="CI32" s="2870">
        <v>3472776</v>
      </c>
      <c r="CJ32" s="2870"/>
      <c r="CK32" s="2870"/>
      <c r="CL32" s="2877">
        <v>1.5553241539405338</v>
      </c>
      <c r="CM32" s="2875">
        <v>10845969</v>
      </c>
      <c r="CN32" s="2872">
        <v>7.1155264999999996</v>
      </c>
      <c r="CO32" s="2870">
        <v>8500162.6300000008</v>
      </c>
      <c r="CP32" s="2870">
        <v>3543532.2</v>
      </c>
      <c r="CQ32" s="2870"/>
      <c r="CR32" s="2870"/>
      <c r="CS32" s="2877">
        <v>1.6925936302816105</v>
      </c>
      <c r="CT32" s="2875">
        <v>12043694.830000002</v>
      </c>
      <c r="CU32" s="2878">
        <v>255.86646449999995</v>
      </c>
      <c r="CV32" s="2870">
        <v>122961176.63</v>
      </c>
      <c r="CW32" s="2870">
        <v>123979073.2</v>
      </c>
      <c r="CX32" s="2870">
        <v>3442426</v>
      </c>
      <c r="CY32" s="2870">
        <v>0</v>
      </c>
      <c r="CZ32" s="2879">
        <v>0.97856777096320113</v>
      </c>
      <c r="DA32" s="2875">
        <v>250382675.82999998</v>
      </c>
      <c r="DJ32" s="1611" t="s">
        <v>1717</v>
      </c>
      <c r="DK32" s="2782" t="s">
        <v>1667</v>
      </c>
      <c r="DM32" s="1650">
        <v>0.48454600505100592</v>
      </c>
    </row>
    <row r="33" spans="1:117" ht="21" customHeight="1">
      <c r="A33" s="1652">
        <v>5</v>
      </c>
      <c r="B33" s="1644" t="s">
        <v>1671</v>
      </c>
      <c r="C33" s="1667">
        <v>13.7</v>
      </c>
      <c r="D33" s="1646">
        <v>100</v>
      </c>
      <c r="E33" s="1646" t="s">
        <v>1594</v>
      </c>
      <c r="F33" s="1665">
        <v>1</v>
      </c>
      <c r="G33" s="1640"/>
      <c r="H33" s="1640">
        <v>13.7</v>
      </c>
      <c r="I33" s="1648" t="s">
        <v>1717</v>
      </c>
      <c r="J33" s="1649">
        <v>2</v>
      </c>
      <c r="K33" s="1648"/>
      <c r="L33" s="1640"/>
      <c r="M33" s="1640"/>
      <c r="N33" s="1642"/>
      <c r="O33" s="2876">
        <v>2.699872</v>
      </c>
      <c r="P33" s="2870">
        <v>0</v>
      </c>
      <c r="Q33" s="2870">
        <v>7640638</v>
      </c>
      <c r="R33" s="2870"/>
      <c r="S33" s="2870"/>
      <c r="T33" s="2870">
        <v>2.8300000888931032</v>
      </c>
      <c r="U33" s="2875">
        <v>7640638</v>
      </c>
      <c r="V33" s="2869">
        <v>2.7596850000000002</v>
      </c>
      <c r="W33" s="2870"/>
      <c r="X33" s="2870">
        <v>7809909</v>
      </c>
      <c r="Y33" s="2870"/>
      <c r="Z33" s="2870"/>
      <c r="AA33" s="2877">
        <v>2.8300001630620888</v>
      </c>
      <c r="AB33" s="2875">
        <v>7809909</v>
      </c>
      <c r="AC33" s="2869">
        <v>2.5927020000000001</v>
      </c>
      <c r="AD33" s="2870">
        <v>0</v>
      </c>
      <c r="AE33" s="2870">
        <v>7337347</v>
      </c>
      <c r="AF33" s="2870"/>
      <c r="AG33" s="2870"/>
      <c r="AH33" s="2877">
        <v>2.8300001311373233</v>
      </c>
      <c r="AI33" s="2875">
        <v>7337347</v>
      </c>
      <c r="AJ33" s="2869">
        <v>2.0518809999999998</v>
      </c>
      <c r="AK33" s="2870"/>
      <c r="AL33" s="2870">
        <v>5806823</v>
      </c>
      <c r="AM33" s="2870"/>
      <c r="AN33" s="2870"/>
      <c r="AO33" s="2877">
        <v>2.8299998879077299</v>
      </c>
      <c r="AP33" s="2875">
        <v>5806823</v>
      </c>
      <c r="AQ33" s="2869">
        <v>1.3963829999999999</v>
      </c>
      <c r="AR33" s="2870">
        <v>0</v>
      </c>
      <c r="AS33" s="2870">
        <v>3951764</v>
      </c>
      <c r="AT33" s="2870"/>
      <c r="AU33" s="2870"/>
      <c r="AV33" s="2877">
        <v>2.8300000787749493</v>
      </c>
      <c r="AW33" s="2875">
        <v>3951764</v>
      </c>
      <c r="AX33" s="2869">
        <v>1.791447</v>
      </c>
      <c r="AY33" s="2870">
        <v>0</v>
      </c>
      <c r="AZ33" s="2870">
        <v>5069795</v>
      </c>
      <c r="BA33" s="2870"/>
      <c r="BB33" s="2870"/>
      <c r="BC33" s="2877">
        <v>2.8299999944179204</v>
      </c>
      <c r="BD33" s="2875">
        <v>5069795</v>
      </c>
      <c r="BE33" s="2869">
        <v>0.99791099999999999</v>
      </c>
      <c r="BF33" s="2870">
        <v>0</v>
      </c>
      <c r="BG33" s="2870">
        <v>2824088</v>
      </c>
      <c r="BH33" s="2870"/>
      <c r="BI33" s="2870"/>
      <c r="BJ33" s="2877">
        <v>2.8299998697278617</v>
      </c>
      <c r="BK33" s="2875">
        <v>2824088</v>
      </c>
      <c r="BL33" s="2869">
        <v>0.34547000000000005</v>
      </c>
      <c r="BM33" s="2870">
        <v>0</v>
      </c>
      <c r="BN33" s="2870">
        <v>977680</v>
      </c>
      <c r="BO33" s="2870"/>
      <c r="BP33" s="2870"/>
      <c r="BQ33" s="2877">
        <v>2.8299997105392647</v>
      </c>
      <c r="BR33" s="2875">
        <v>977680</v>
      </c>
      <c r="BS33" s="2869">
        <v>2.5792890000000002</v>
      </c>
      <c r="BT33" s="2870"/>
      <c r="BU33" s="2870">
        <v>7299388</v>
      </c>
      <c r="BV33" s="2870"/>
      <c r="BW33" s="2870"/>
      <c r="BX33" s="2877">
        <v>2.8300000504014866</v>
      </c>
      <c r="BY33" s="2875">
        <v>7299388</v>
      </c>
      <c r="BZ33" s="2869">
        <v>2.984737</v>
      </c>
      <c r="CA33" s="2870">
        <v>0</v>
      </c>
      <c r="CB33" s="2870">
        <v>8446806</v>
      </c>
      <c r="CC33" s="2870"/>
      <c r="CD33" s="2870"/>
      <c r="CE33" s="2877">
        <v>2.8300000971609895</v>
      </c>
      <c r="CF33" s="2875">
        <v>8446806</v>
      </c>
      <c r="CG33" s="2869">
        <v>2.442447</v>
      </c>
      <c r="CH33" s="2870">
        <v>0</v>
      </c>
      <c r="CI33" s="2870">
        <v>6912125</v>
      </c>
      <c r="CJ33" s="2870"/>
      <c r="CK33" s="2870"/>
      <c r="CL33" s="2877">
        <v>2.8299999959057454</v>
      </c>
      <c r="CM33" s="2875">
        <v>6912125</v>
      </c>
      <c r="CN33" s="2872">
        <v>3.6115680999999999</v>
      </c>
      <c r="CO33" s="2870">
        <v>0</v>
      </c>
      <c r="CP33" s="2870">
        <v>10220742.9</v>
      </c>
      <c r="CQ33" s="2870"/>
      <c r="CR33" s="2870"/>
      <c r="CS33" s="2877">
        <v>2.8300014334493651</v>
      </c>
      <c r="CT33" s="2875">
        <v>10220742.9</v>
      </c>
      <c r="CU33" s="2878">
        <v>26.253392099999999</v>
      </c>
      <c r="CV33" s="2870">
        <v>0</v>
      </c>
      <c r="CW33" s="2870">
        <v>74297105.900000006</v>
      </c>
      <c r="CX33" s="2870">
        <v>0</v>
      </c>
      <c r="CY33" s="2870">
        <v>0</v>
      </c>
      <c r="CZ33" s="2879">
        <v>2.8300002383311074</v>
      </c>
      <c r="DA33" s="2875">
        <v>74297105.900000006</v>
      </c>
      <c r="DJ33" s="1611" t="s">
        <v>1717</v>
      </c>
      <c r="DK33" s="2782" t="s">
        <v>1667</v>
      </c>
      <c r="DM33" s="1650">
        <v>2.8300002383311074</v>
      </c>
    </row>
    <row r="34" spans="1:117" ht="21" customHeight="1">
      <c r="A34" s="1652">
        <v>6</v>
      </c>
      <c r="B34" s="1644" t="s">
        <v>1672</v>
      </c>
      <c r="C34" s="1645">
        <v>3.6</v>
      </c>
      <c r="D34" s="1646">
        <v>100</v>
      </c>
      <c r="E34" s="1646" t="s">
        <v>1594</v>
      </c>
      <c r="F34" s="1665">
        <v>1</v>
      </c>
      <c r="G34" s="1640"/>
      <c r="H34" s="1640">
        <v>3.6</v>
      </c>
      <c r="I34" s="1648" t="s">
        <v>1717</v>
      </c>
      <c r="J34" s="1649">
        <v>2</v>
      </c>
      <c r="K34" s="1648"/>
      <c r="L34" s="1640"/>
      <c r="M34" s="1640"/>
      <c r="N34" s="1642"/>
      <c r="O34" s="2876">
        <v>-3.2000000000000002E-3</v>
      </c>
      <c r="P34" s="2870">
        <v>0</v>
      </c>
      <c r="Q34" s="2870">
        <v>-4928</v>
      </c>
      <c r="R34" s="2870"/>
      <c r="S34" s="2870"/>
      <c r="T34" s="2870">
        <v>1.54</v>
      </c>
      <c r="U34" s="2875">
        <v>-4928</v>
      </c>
      <c r="V34" s="2869">
        <v>0.24645</v>
      </c>
      <c r="W34" s="2870"/>
      <c r="X34" s="2870">
        <v>379533</v>
      </c>
      <c r="Y34" s="2870"/>
      <c r="Z34" s="2870"/>
      <c r="AA34" s="2877">
        <v>1.54</v>
      </c>
      <c r="AB34" s="2875">
        <v>379533</v>
      </c>
      <c r="AC34" s="2869">
        <v>0.10315000000000001</v>
      </c>
      <c r="AD34" s="2870">
        <v>0</v>
      </c>
      <c r="AE34" s="2870">
        <v>1092419</v>
      </c>
      <c r="AF34" s="2870"/>
      <c r="AG34" s="2870"/>
      <c r="AH34" s="2877">
        <v>10.590586524478914</v>
      </c>
      <c r="AI34" s="2875">
        <v>1092419</v>
      </c>
      <c r="AJ34" s="2869">
        <v>-6.8999999999999999E-3</v>
      </c>
      <c r="AK34" s="2870"/>
      <c r="AL34" s="2870">
        <v>-10626</v>
      </c>
      <c r="AM34" s="2870"/>
      <c r="AN34" s="2870"/>
      <c r="AO34" s="2877">
        <v>1.54</v>
      </c>
      <c r="AP34" s="2875">
        <v>-10626</v>
      </c>
      <c r="AQ34" s="2869">
        <v>2.3349999999999999E-2</v>
      </c>
      <c r="AR34" s="2870">
        <v>0</v>
      </c>
      <c r="AS34" s="2870">
        <v>35959</v>
      </c>
      <c r="AT34" s="2870"/>
      <c r="AU34" s="2870"/>
      <c r="AV34" s="2877">
        <v>1.54</v>
      </c>
      <c r="AW34" s="2875">
        <v>35959</v>
      </c>
      <c r="AX34" s="2869">
        <v>0.33215</v>
      </c>
      <c r="AY34" s="2870">
        <v>0</v>
      </c>
      <c r="AZ34" s="2870">
        <v>511511</v>
      </c>
      <c r="BA34" s="2870"/>
      <c r="BB34" s="2870"/>
      <c r="BC34" s="2877">
        <v>1.54</v>
      </c>
      <c r="BD34" s="2875">
        <v>511511</v>
      </c>
      <c r="BE34" s="2869">
        <v>0.45155000000000001</v>
      </c>
      <c r="BF34" s="2870">
        <v>0</v>
      </c>
      <c r="BG34" s="2870">
        <v>695387</v>
      </c>
      <c r="BH34" s="2870"/>
      <c r="BI34" s="2870"/>
      <c r="BJ34" s="2877">
        <v>1.54</v>
      </c>
      <c r="BK34" s="2875">
        <v>695387</v>
      </c>
      <c r="BL34" s="2869">
        <v>0.27400000000000002</v>
      </c>
      <c r="BM34" s="2870">
        <v>0</v>
      </c>
      <c r="BN34" s="2870">
        <v>421960</v>
      </c>
      <c r="BO34" s="2870"/>
      <c r="BP34" s="2870"/>
      <c r="BQ34" s="2877">
        <v>1.54</v>
      </c>
      <c r="BR34" s="2875">
        <v>421960</v>
      </c>
      <c r="BS34" s="2869">
        <v>0.27629999999999999</v>
      </c>
      <c r="BT34" s="2870"/>
      <c r="BU34" s="2870">
        <v>425502</v>
      </c>
      <c r="BV34" s="2870"/>
      <c r="BW34" s="2870"/>
      <c r="BX34" s="2877">
        <v>1.54</v>
      </c>
      <c r="BY34" s="2875">
        <v>425502</v>
      </c>
      <c r="BZ34" s="2869">
        <v>0.25245000000000001</v>
      </c>
      <c r="CA34" s="2870">
        <v>0</v>
      </c>
      <c r="CB34" s="2870">
        <v>388773</v>
      </c>
      <c r="CC34" s="2870"/>
      <c r="CD34" s="2870"/>
      <c r="CE34" s="2877">
        <v>1.54</v>
      </c>
      <c r="CF34" s="2875">
        <v>388773</v>
      </c>
      <c r="CG34" s="2869">
        <v>0.42875000000000002</v>
      </c>
      <c r="CH34" s="2870">
        <v>0</v>
      </c>
      <c r="CI34" s="2870">
        <v>660275</v>
      </c>
      <c r="CJ34" s="2870"/>
      <c r="CK34" s="2870"/>
      <c r="CL34" s="2877">
        <v>1.54</v>
      </c>
      <c r="CM34" s="2875">
        <v>660275</v>
      </c>
      <c r="CN34" s="2872">
        <v>-3.0000000000000001E-3</v>
      </c>
      <c r="CO34" s="2870">
        <v>0</v>
      </c>
      <c r="CP34" s="2870">
        <v>-4620</v>
      </c>
      <c r="CQ34" s="2870"/>
      <c r="CR34" s="2870"/>
      <c r="CS34" s="2877">
        <v>1.54</v>
      </c>
      <c r="CT34" s="2875">
        <v>-4620</v>
      </c>
      <c r="CU34" s="2878">
        <v>2.3750499999999999</v>
      </c>
      <c r="CV34" s="2870">
        <v>0</v>
      </c>
      <c r="CW34" s="2870">
        <v>4591145</v>
      </c>
      <c r="CX34" s="2870">
        <v>0</v>
      </c>
      <c r="CY34" s="2870">
        <v>0</v>
      </c>
      <c r="CZ34" s="2879">
        <v>1.933072987937096</v>
      </c>
      <c r="DA34" s="2875">
        <v>4591145</v>
      </c>
      <c r="DJ34" s="1611" t="s">
        <v>1717</v>
      </c>
      <c r="DK34" s="2782" t="s">
        <v>1667</v>
      </c>
      <c r="DM34" s="1650">
        <v>1.933072987937096</v>
      </c>
    </row>
    <row r="35" spans="1:117" ht="21" customHeight="1">
      <c r="A35" s="1652">
        <v>7</v>
      </c>
      <c r="B35" s="1644" t="s">
        <v>1673</v>
      </c>
      <c r="C35" s="1639">
        <v>3</v>
      </c>
      <c r="D35" s="1646">
        <v>100</v>
      </c>
      <c r="E35" s="1646" t="s">
        <v>1594</v>
      </c>
      <c r="F35" s="1665">
        <v>1</v>
      </c>
      <c r="G35" s="1640"/>
      <c r="H35" s="1640">
        <v>3</v>
      </c>
      <c r="I35" s="1648" t="s">
        <v>1717</v>
      </c>
      <c r="J35" s="1649">
        <v>2</v>
      </c>
      <c r="K35" s="1648"/>
      <c r="L35" s="1640"/>
      <c r="M35" s="1640"/>
      <c r="N35" s="1642"/>
      <c r="O35" s="2876">
        <v>0.28003299999999998</v>
      </c>
      <c r="P35" s="2870">
        <v>0</v>
      </c>
      <c r="Q35" s="2870">
        <v>593670</v>
      </c>
      <c r="R35" s="2870"/>
      <c r="S35" s="2870"/>
      <c r="T35" s="2870">
        <v>2.1200001428403081</v>
      </c>
      <c r="U35" s="2875">
        <v>593670</v>
      </c>
      <c r="V35" s="2869">
        <v>0.48149700000000001</v>
      </c>
      <c r="W35" s="2870"/>
      <c r="X35" s="2870">
        <v>1020774</v>
      </c>
      <c r="Y35" s="2870"/>
      <c r="Z35" s="2870"/>
      <c r="AA35" s="2877">
        <v>2.1200007476682097</v>
      </c>
      <c r="AB35" s="2875">
        <v>1020774</v>
      </c>
      <c r="AC35" s="2869">
        <v>0.51529199999999997</v>
      </c>
      <c r="AD35" s="2870">
        <v>0</v>
      </c>
      <c r="AE35" s="2870">
        <v>-4245</v>
      </c>
      <c r="AF35" s="2870"/>
      <c r="AG35" s="2870"/>
      <c r="AH35" s="2877">
        <v>-8.2380475536200839E-3</v>
      </c>
      <c r="AI35" s="2875">
        <v>-4245</v>
      </c>
      <c r="AJ35" s="2869">
        <v>0.355298</v>
      </c>
      <c r="AK35" s="2870"/>
      <c r="AL35" s="2870">
        <v>753232</v>
      </c>
      <c r="AM35" s="2870"/>
      <c r="AN35" s="2870"/>
      <c r="AO35" s="2877">
        <v>2.1200006754893077</v>
      </c>
      <c r="AP35" s="2875">
        <v>753232</v>
      </c>
      <c r="AQ35" s="2869">
        <v>0.27948400000000001</v>
      </c>
      <c r="AR35" s="2870">
        <v>0</v>
      </c>
      <c r="AS35" s="2870">
        <v>592506</v>
      </c>
      <c r="AT35" s="2870"/>
      <c r="AU35" s="2870"/>
      <c r="AV35" s="2877">
        <v>2.1199997137582116</v>
      </c>
      <c r="AW35" s="2875">
        <v>592506</v>
      </c>
      <c r="AX35" s="2869">
        <v>0.47031699999999999</v>
      </c>
      <c r="AY35" s="2870">
        <v>0</v>
      </c>
      <c r="AZ35" s="2870">
        <v>997072</v>
      </c>
      <c r="BA35" s="2870"/>
      <c r="BB35" s="2870"/>
      <c r="BC35" s="2877">
        <v>2.1199999149509798</v>
      </c>
      <c r="BD35" s="2875">
        <v>997072</v>
      </c>
      <c r="BE35" s="2869">
        <v>0.110758</v>
      </c>
      <c r="BF35" s="2870">
        <v>0</v>
      </c>
      <c r="BG35" s="2870">
        <v>234807</v>
      </c>
      <c r="BH35" s="2870"/>
      <c r="BI35" s="2870"/>
      <c r="BJ35" s="2877">
        <v>2.1200003611477274</v>
      </c>
      <c r="BK35" s="2875">
        <v>234807</v>
      </c>
      <c r="BL35" s="2869">
        <v>1.9751000000000001E-2</v>
      </c>
      <c r="BM35" s="2870">
        <v>0</v>
      </c>
      <c r="BN35" s="2870">
        <v>41872</v>
      </c>
      <c r="BO35" s="2870"/>
      <c r="BP35" s="2870"/>
      <c r="BQ35" s="2877">
        <v>2.1199939243582602</v>
      </c>
      <c r="BR35" s="2875">
        <v>41872</v>
      </c>
      <c r="BS35" s="2869">
        <v>0.30286200000000002</v>
      </c>
      <c r="BT35" s="2870"/>
      <c r="BU35" s="2870">
        <v>642067</v>
      </c>
      <c r="BV35" s="2870"/>
      <c r="BW35" s="2870"/>
      <c r="BX35" s="2877">
        <v>2.1199985471931111</v>
      </c>
      <c r="BY35" s="2875">
        <v>642067</v>
      </c>
      <c r="BZ35" s="2869">
        <v>0.12363399999999999</v>
      </c>
      <c r="CA35" s="2870">
        <v>0</v>
      </c>
      <c r="CB35" s="2870">
        <v>262104</v>
      </c>
      <c r="CC35" s="2870"/>
      <c r="CD35" s="2870"/>
      <c r="CE35" s="2877">
        <v>2.1199993529288061</v>
      </c>
      <c r="CF35" s="2875">
        <v>262104</v>
      </c>
      <c r="CG35" s="2869">
        <v>0.17299700000000001</v>
      </c>
      <c r="CH35" s="2870">
        <v>0</v>
      </c>
      <c r="CI35" s="2870">
        <v>366754</v>
      </c>
      <c r="CJ35" s="2870"/>
      <c r="CK35" s="2870"/>
      <c r="CL35" s="2877">
        <v>2.1200020809609414</v>
      </c>
      <c r="CM35" s="2875">
        <v>366754</v>
      </c>
      <c r="CN35" s="2872">
        <v>6.9509000000000001E-2</v>
      </c>
      <c r="CO35" s="2870">
        <v>0</v>
      </c>
      <c r="CP35" s="2870">
        <v>147359.07999999999</v>
      </c>
      <c r="CQ35" s="2870"/>
      <c r="CR35" s="2870"/>
      <c r="CS35" s="2877">
        <v>2.1199999999999997</v>
      </c>
      <c r="CT35" s="2875">
        <v>147359.07999999999</v>
      </c>
      <c r="CU35" s="2878">
        <v>3.1814320000000005</v>
      </c>
      <c r="CV35" s="2870">
        <v>0</v>
      </c>
      <c r="CW35" s="2870">
        <v>5647972.0800000001</v>
      </c>
      <c r="CX35" s="2870">
        <v>0</v>
      </c>
      <c r="CY35" s="2870">
        <v>0</v>
      </c>
      <c r="CZ35" s="2879">
        <v>1.7752924092044085</v>
      </c>
      <c r="DA35" s="2875">
        <v>5647972.0800000001</v>
      </c>
      <c r="DJ35" s="1611" t="s">
        <v>1717</v>
      </c>
      <c r="DK35" s="2782" t="s">
        <v>1667</v>
      </c>
      <c r="DM35" s="1650">
        <v>1.7752924092044085</v>
      </c>
    </row>
    <row r="36" spans="1:117" ht="21" customHeight="1">
      <c r="A36" s="1652">
        <v>8</v>
      </c>
      <c r="B36" s="1644" t="s">
        <v>1674</v>
      </c>
      <c r="C36" s="1639">
        <v>3</v>
      </c>
      <c r="D36" s="1646">
        <v>100</v>
      </c>
      <c r="E36" s="1646" t="s">
        <v>1594</v>
      </c>
      <c r="F36" s="1665">
        <v>1</v>
      </c>
      <c r="G36" s="1640"/>
      <c r="H36" s="1640">
        <v>3</v>
      </c>
      <c r="I36" s="1648" t="s">
        <v>1717</v>
      </c>
      <c r="J36" s="1649">
        <v>2</v>
      </c>
      <c r="K36" s="1648"/>
      <c r="L36" s="1640"/>
      <c r="M36" s="1640"/>
      <c r="N36" s="1642"/>
      <c r="O36" s="2876">
        <v>-1.5E-3</v>
      </c>
      <c r="P36" s="2870">
        <v>0</v>
      </c>
      <c r="Q36" s="2870">
        <v>-4245</v>
      </c>
      <c r="R36" s="2870"/>
      <c r="S36" s="2870"/>
      <c r="T36" s="2870">
        <v>2.83</v>
      </c>
      <c r="U36" s="2875">
        <v>-4245</v>
      </c>
      <c r="V36" s="2869">
        <v>-1.5E-3</v>
      </c>
      <c r="W36" s="2870"/>
      <c r="X36" s="2870">
        <v>-4245</v>
      </c>
      <c r="Y36" s="2870"/>
      <c r="Z36" s="2870"/>
      <c r="AA36" s="2877">
        <v>2.83</v>
      </c>
      <c r="AB36" s="2875">
        <v>-4245</v>
      </c>
      <c r="AC36" s="2869">
        <v>-1.5E-3</v>
      </c>
      <c r="AD36" s="2870">
        <v>0</v>
      </c>
      <c r="AE36" s="2870">
        <v>158851</v>
      </c>
      <c r="AF36" s="2870"/>
      <c r="AG36" s="2870"/>
      <c r="AH36" s="2877">
        <v>-105.90066666666667</v>
      </c>
      <c r="AI36" s="2875">
        <v>158851</v>
      </c>
      <c r="AJ36" s="2869">
        <v>-2.0999999999999999E-3</v>
      </c>
      <c r="AK36" s="2870"/>
      <c r="AL36" s="2870">
        <v>-5943</v>
      </c>
      <c r="AM36" s="2870"/>
      <c r="AN36" s="2870"/>
      <c r="AO36" s="2877">
        <v>2.83</v>
      </c>
      <c r="AP36" s="2875">
        <v>-5943</v>
      </c>
      <c r="AQ36" s="2869">
        <v>-4.0499999999999998E-3</v>
      </c>
      <c r="AR36" s="2870">
        <v>0</v>
      </c>
      <c r="AS36" s="2870">
        <v>-11462</v>
      </c>
      <c r="AT36" s="2870"/>
      <c r="AU36" s="2870"/>
      <c r="AV36" s="2877">
        <v>2.8301234567901234</v>
      </c>
      <c r="AW36" s="2875">
        <v>-11462</v>
      </c>
      <c r="AX36" s="2869">
        <v>-4.1999999999999997E-3</v>
      </c>
      <c r="AY36" s="2870">
        <v>0</v>
      </c>
      <c r="AZ36" s="2870">
        <v>-11886</v>
      </c>
      <c r="BA36" s="2870"/>
      <c r="BB36" s="2870"/>
      <c r="BC36" s="2877">
        <v>2.83</v>
      </c>
      <c r="BD36" s="2875">
        <v>-11886</v>
      </c>
      <c r="BE36" s="2869">
        <v>-4.4999999999999997E-3</v>
      </c>
      <c r="BF36" s="2870">
        <v>0</v>
      </c>
      <c r="BG36" s="2870">
        <v>-12735</v>
      </c>
      <c r="BH36" s="2870">
        <v>2312967</v>
      </c>
      <c r="BI36" s="2870"/>
      <c r="BJ36" s="2877">
        <v>-511.16266666666667</v>
      </c>
      <c r="BK36" s="2875">
        <v>2300232</v>
      </c>
      <c r="BL36" s="2869">
        <v>-6.0000000000000001E-3</v>
      </c>
      <c r="BM36" s="2870">
        <v>0</v>
      </c>
      <c r="BN36" s="2870">
        <v>-16980</v>
      </c>
      <c r="BO36" s="2870"/>
      <c r="BP36" s="2870"/>
      <c r="BQ36" s="2877">
        <v>2.83</v>
      </c>
      <c r="BR36" s="2875">
        <v>-16980</v>
      </c>
      <c r="BS36" s="2869">
        <v>0.125775</v>
      </c>
      <c r="BT36" s="2870"/>
      <c r="BU36" s="2870">
        <v>355943</v>
      </c>
      <c r="BV36" s="2870"/>
      <c r="BW36" s="2870"/>
      <c r="BX36" s="2877">
        <v>2.8299980123235939</v>
      </c>
      <c r="BY36" s="2875">
        <v>355943</v>
      </c>
      <c r="BZ36" s="2869">
        <v>0.11835</v>
      </c>
      <c r="CA36" s="2870">
        <v>0</v>
      </c>
      <c r="CB36" s="2870">
        <v>334930</v>
      </c>
      <c r="CC36" s="2870"/>
      <c r="CD36" s="2870"/>
      <c r="CE36" s="2877">
        <v>2.8299957752429235</v>
      </c>
      <c r="CF36" s="2875">
        <v>334930</v>
      </c>
      <c r="CG36" s="2869">
        <v>0.14962500000000001</v>
      </c>
      <c r="CH36" s="2870">
        <v>0</v>
      </c>
      <c r="CI36" s="2870">
        <v>423438</v>
      </c>
      <c r="CJ36" s="2870"/>
      <c r="CK36" s="2870"/>
      <c r="CL36" s="2877">
        <v>2.8299949874686718</v>
      </c>
      <c r="CM36" s="2875">
        <v>423438</v>
      </c>
      <c r="CN36" s="2872">
        <v>0.150225</v>
      </c>
      <c r="CO36" s="2870">
        <v>0</v>
      </c>
      <c r="CP36" s="2870">
        <v>425136.75</v>
      </c>
      <c r="CQ36" s="2870"/>
      <c r="CR36" s="2870"/>
      <c r="CS36" s="2877">
        <v>2.83</v>
      </c>
      <c r="CT36" s="2875">
        <v>425136.75</v>
      </c>
      <c r="CU36" s="2878">
        <v>0.518625</v>
      </c>
      <c r="CV36" s="2870">
        <v>0</v>
      </c>
      <c r="CW36" s="2870">
        <v>1630802.75</v>
      </c>
      <c r="CX36" s="2870">
        <v>2312967</v>
      </c>
      <c r="CY36" s="2870">
        <v>0</v>
      </c>
      <c r="CZ36" s="2879">
        <v>7.6042800674861413</v>
      </c>
      <c r="DA36" s="2875">
        <v>3943769.75</v>
      </c>
      <c r="DJ36" s="1611" t="s">
        <v>1717</v>
      </c>
      <c r="DK36" s="2782" t="s">
        <v>1667</v>
      </c>
      <c r="DM36" s="1650">
        <v>3.1444738491202697</v>
      </c>
    </row>
    <row r="37" spans="1:117" ht="21" customHeight="1">
      <c r="A37" s="1652"/>
      <c r="B37" s="1644" t="s">
        <v>1853</v>
      </c>
      <c r="C37" s="1639"/>
      <c r="D37" s="1640"/>
      <c r="E37" s="1640"/>
      <c r="F37" s="1640"/>
      <c r="G37" s="1640"/>
      <c r="H37" s="1640"/>
      <c r="I37" s="1648"/>
      <c r="J37" s="1649"/>
      <c r="K37" s="1648"/>
      <c r="L37" s="1640"/>
      <c r="M37" s="1640"/>
      <c r="N37" s="1642"/>
      <c r="O37" s="2876"/>
      <c r="P37" s="2870"/>
      <c r="Q37" s="2870"/>
      <c r="R37" s="2870"/>
      <c r="S37" s="2870"/>
      <c r="T37" s="2870"/>
      <c r="U37" s="2875">
        <v>0</v>
      </c>
      <c r="V37" s="2869"/>
      <c r="W37" s="2870"/>
      <c r="X37" s="2870"/>
      <c r="Y37" s="2870"/>
      <c r="Z37" s="2870"/>
      <c r="AA37" s="2870"/>
      <c r="AB37" s="2875">
        <v>0</v>
      </c>
      <c r="AC37" s="2869"/>
      <c r="AD37" s="2870"/>
      <c r="AE37" s="2870"/>
      <c r="AF37" s="2870"/>
      <c r="AG37" s="2870"/>
      <c r="AH37" s="2870"/>
      <c r="AI37" s="2875">
        <v>0</v>
      </c>
      <c r="AJ37" s="2869"/>
      <c r="AK37" s="2870"/>
      <c r="AL37" s="2870"/>
      <c r="AM37" s="2870"/>
      <c r="AN37" s="2870"/>
      <c r="AO37" s="2870"/>
      <c r="AP37" s="2875">
        <v>0</v>
      </c>
      <c r="AQ37" s="2869"/>
      <c r="AR37" s="2870"/>
      <c r="AS37" s="2870"/>
      <c r="AT37" s="2870"/>
      <c r="AU37" s="2870"/>
      <c r="AV37" s="2870"/>
      <c r="AW37" s="2875">
        <v>0</v>
      </c>
      <c r="AX37" s="2869"/>
      <c r="AY37" s="2870"/>
      <c r="AZ37" s="2870"/>
      <c r="BA37" s="2870"/>
      <c r="BB37" s="2870"/>
      <c r="BC37" s="2870"/>
      <c r="BD37" s="2875">
        <v>0</v>
      </c>
      <c r="BE37" s="2869"/>
      <c r="BF37" s="2870"/>
      <c r="BG37" s="2870"/>
      <c r="BH37" s="2870"/>
      <c r="BI37" s="2870"/>
      <c r="BJ37" s="2870"/>
      <c r="BK37" s="2875">
        <v>0</v>
      </c>
      <c r="BL37" s="2869"/>
      <c r="BM37" s="2870"/>
      <c r="BN37" s="2870"/>
      <c r="BO37" s="2870"/>
      <c r="BP37" s="2870"/>
      <c r="BQ37" s="2870"/>
      <c r="BR37" s="2875">
        <v>0</v>
      </c>
      <c r="BS37" s="2869"/>
      <c r="BT37" s="2870"/>
      <c r="BU37" s="2870"/>
      <c r="BV37" s="2870"/>
      <c r="BW37" s="2870"/>
      <c r="BX37" s="2870"/>
      <c r="BY37" s="2875">
        <v>0</v>
      </c>
      <c r="BZ37" s="2869"/>
      <c r="CA37" s="2870"/>
      <c r="CB37" s="2870"/>
      <c r="CC37" s="2870"/>
      <c r="CD37" s="2870"/>
      <c r="CE37" s="2870"/>
      <c r="CF37" s="2875">
        <v>0</v>
      </c>
      <c r="CG37" s="2869"/>
      <c r="CH37" s="2870"/>
      <c r="CI37" s="2870"/>
      <c r="CJ37" s="2870"/>
      <c r="CK37" s="2870"/>
      <c r="CL37" s="2870"/>
      <c r="CM37" s="2875">
        <v>0</v>
      </c>
      <c r="CN37" s="2872">
        <v>-0.42720999999999998</v>
      </c>
      <c r="CO37" s="2870"/>
      <c r="CP37" s="2870"/>
      <c r="CQ37" s="2870">
        <v>-497821</v>
      </c>
      <c r="CR37" s="2870"/>
      <c r="CS37" s="2870"/>
      <c r="CT37" s="2875">
        <v>-497821</v>
      </c>
      <c r="CU37" s="2878">
        <v>-0.42720999999999998</v>
      </c>
      <c r="CV37" s="2870">
        <v>0</v>
      </c>
      <c r="CW37" s="2870">
        <v>0</v>
      </c>
      <c r="CX37" s="2870">
        <v>-497821</v>
      </c>
      <c r="CY37" s="2870">
        <v>0</v>
      </c>
      <c r="CZ37" s="2879">
        <v>1.1652840523395989</v>
      </c>
      <c r="DA37" s="2875">
        <v>-497821</v>
      </c>
      <c r="DJ37" s="1611" t="e">
        <v>#N/A</v>
      </c>
      <c r="DK37" s="2782" t="e">
        <v>#N/A</v>
      </c>
      <c r="DM37" s="1650">
        <v>0</v>
      </c>
    </row>
    <row r="38" spans="1:117" ht="21" customHeight="1">
      <c r="A38" s="1652"/>
      <c r="B38" s="1644"/>
      <c r="C38" s="1639"/>
      <c r="D38" s="1640"/>
      <c r="E38" s="1640"/>
      <c r="F38" s="1640"/>
      <c r="G38" s="1640"/>
      <c r="H38" s="1640"/>
      <c r="I38" s="1648"/>
      <c r="J38" s="1649"/>
      <c r="K38" s="1648"/>
      <c r="L38" s="1640"/>
      <c r="M38" s="1640"/>
      <c r="N38" s="1642"/>
      <c r="O38" s="2876"/>
      <c r="P38" s="2870"/>
      <c r="Q38" s="2870"/>
      <c r="R38" s="2870"/>
      <c r="S38" s="2870"/>
      <c r="T38" s="2870"/>
      <c r="U38" s="2875">
        <v>0</v>
      </c>
      <c r="V38" s="2869"/>
      <c r="W38" s="2870"/>
      <c r="X38" s="2870"/>
      <c r="Y38" s="2870"/>
      <c r="Z38" s="2870"/>
      <c r="AA38" s="2870"/>
      <c r="AB38" s="2875">
        <v>0</v>
      </c>
      <c r="AC38" s="2869"/>
      <c r="AD38" s="2870"/>
      <c r="AE38" s="2870"/>
      <c r="AF38" s="2870"/>
      <c r="AG38" s="2870"/>
      <c r="AH38" s="2870"/>
      <c r="AI38" s="2875">
        <v>0</v>
      </c>
      <c r="AJ38" s="2869"/>
      <c r="AK38" s="2870"/>
      <c r="AL38" s="2870"/>
      <c r="AM38" s="2870"/>
      <c r="AN38" s="2870"/>
      <c r="AO38" s="2870"/>
      <c r="AP38" s="2875">
        <v>0</v>
      </c>
      <c r="AQ38" s="2869"/>
      <c r="AR38" s="2870"/>
      <c r="AS38" s="2870"/>
      <c r="AT38" s="2870"/>
      <c r="AU38" s="2870"/>
      <c r="AV38" s="2870"/>
      <c r="AW38" s="2875">
        <v>0</v>
      </c>
      <c r="AX38" s="2869"/>
      <c r="AY38" s="2870"/>
      <c r="AZ38" s="2870"/>
      <c r="BA38" s="2870"/>
      <c r="BB38" s="2870"/>
      <c r="BC38" s="2870"/>
      <c r="BD38" s="2875">
        <v>0</v>
      </c>
      <c r="BE38" s="2869"/>
      <c r="BF38" s="2870"/>
      <c r="BG38" s="2870"/>
      <c r="BH38" s="2870"/>
      <c r="BI38" s="2870"/>
      <c r="BJ38" s="2870"/>
      <c r="BK38" s="2875">
        <v>0</v>
      </c>
      <c r="BL38" s="2869"/>
      <c r="BM38" s="2870"/>
      <c r="BN38" s="2870"/>
      <c r="BO38" s="2870"/>
      <c r="BP38" s="2870"/>
      <c r="BQ38" s="2870"/>
      <c r="BR38" s="2875">
        <v>0</v>
      </c>
      <c r="BS38" s="2869"/>
      <c r="BT38" s="2870"/>
      <c r="BU38" s="2870"/>
      <c r="BV38" s="2870"/>
      <c r="BW38" s="2870"/>
      <c r="BX38" s="2870"/>
      <c r="BY38" s="2875">
        <v>0</v>
      </c>
      <c r="BZ38" s="2869"/>
      <c r="CA38" s="2870"/>
      <c r="CB38" s="2870"/>
      <c r="CC38" s="2870"/>
      <c r="CD38" s="2870"/>
      <c r="CE38" s="2870"/>
      <c r="CF38" s="2875">
        <v>0</v>
      </c>
      <c r="CG38" s="2869"/>
      <c r="CH38" s="2870"/>
      <c r="CI38" s="2870"/>
      <c r="CJ38" s="2870"/>
      <c r="CK38" s="2870"/>
      <c r="CL38" s="2870"/>
      <c r="CM38" s="2875">
        <v>0</v>
      </c>
      <c r="CN38" s="2872"/>
      <c r="CO38" s="2870"/>
      <c r="CP38" s="2870"/>
      <c r="CQ38" s="2870"/>
      <c r="CR38" s="2870"/>
      <c r="CS38" s="2870"/>
      <c r="CT38" s="2875">
        <v>0</v>
      </c>
      <c r="CU38" s="2878">
        <v>0</v>
      </c>
      <c r="CV38" s="2870">
        <v>0</v>
      </c>
      <c r="CW38" s="2870">
        <v>0</v>
      </c>
      <c r="CX38" s="2870">
        <v>0</v>
      </c>
      <c r="CY38" s="2870">
        <v>0</v>
      </c>
      <c r="CZ38" s="2879">
        <v>0</v>
      </c>
      <c r="DA38" s="2875">
        <v>0</v>
      </c>
      <c r="DJ38" s="1611" t="e">
        <v>#N/A</v>
      </c>
      <c r="DK38" s="2782" t="e">
        <v>#N/A</v>
      </c>
      <c r="DM38" s="1650">
        <v>0</v>
      </c>
    </row>
    <row r="39" spans="1:117" ht="21" customHeight="1">
      <c r="A39" s="1652"/>
      <c r="B39" s="1644"/>
      <c r="C39" s="1639"/>
      <c r="D39" s="1640"/>
      <c r="E39" s="1640"/>
      <c r="F39" s="1640"/>
      <c r="G39" s="1640"/>
      <c r="H39" s="1640"/>
      <c r="I39" s="1648"/>
      <c r="J39" s="1649"/>
      <c r="K39" s="1648"/>
      <c r="L39" s="1640"/>
      <c r="M39" s="1640"/>
      <c r="N39" s="1642"/>
      <c r="O39" s="2876"/>
      <c r="P39" s="2870"/>
      <c r="Q39" s="2870"/>
      <c r="R39" s="2870"/>
      <c r="S39" s="2870"/>
      <c r="T39" s="2870"/>
      <c r="U39" s="2875">
        <v>0</v>
      </c>
      <c r="V39" s="2869"/>
      <c r="W39" s="2870"/>
      <c r="X39" s="2870"/>
      <c r="Y39" s="2870"/>
      <c r="Z39" s="2870"/>
      <c r="AA39" s="2870"/>
      <c r="AB39" s="2875">
        <v>0</v>
      </c>
      <c r="AC39" s="2869"/>
      <c r="AD39" s="2870"/>
      <c r="AE39" s="2870"/>
      <c r="AF39" s="2870"/>
      <c r="AG39" s="2870"/>
      <c r="AH39" s="2870"/>
      <c r="AI39" s="2875">
        <v>0</v>
      </c>
      <c r="AJ39" s="2869"/>
      <c r="AK39" s="2870"/>
      <c r="AL39" s="2870"/>
      <c r="AM39" s="2870"/>
      <c r="AN39" s="2870"/>
      <c r="AO39" s="2870"/>
      <c r="AP39" s="2875">
        <v>0</v>
      </c>
      <c r="AQ39" s="2869"/>
      <c r="AR39" s="2870"/>
      <c r="AS39" s="2870"/>
      <c r="AT39" s="2870"/>
      <c r="AU39" s="2870"/>
      <c r="AV39" s="2870"/>
      <c r="AW39" s="2875">
        <v>0</v>
      </c>
      <c r="AX39" s="2869"/>
      <c r="AY39" s="2870"/>
      <c r="AZ39" s="2870"/>
      <c r="BA39" s="2870"/>
      <c r="BB39" s="2870"/>
      <c r="BC39" s="2870"/>
      <c r="BD39" s="2875">
        <v>0</v>
      </c>
      <c r="BE39" s="2869"/>
      <c r="BF39" s="2870"/>
      <c r="BG39" s="2870"/>
      <c r="BH39" s="2870"/>
      <c r="BI39" s="2870"/>
      <c r="BJ39" s="2870"/>
      <c r="BK39" s="2875">
        <v>0</v>
      </c>
      <c r="BL39" s="2869"/>
      <c r="BM39" s="2870"/>
      <c r="BN39" s="2870"/>
      <c r="BO39" s="2870"/>
      <c r="BP39" s="2870"/>
      <c r="BQ39" s="2870"/>
      <c r="BR39" s="2875">
        <v>0</v>
      </c>
      <c r="BS39" s="2869"/>
      <c r="BT39" s="2870"/>
      <c r="BU39" s="2870"/>
      <c r="BV39" s="2870"/>
      <c r="BW39" s="2870"/>
      <c r="BX39" s="2870"/>
      <c r="BY39" s="2875">
        <v>0</v>
      </c>
      <c r="BZ39" s="2869"/>
      <c r="CA39" s="2870"/>
      <c r="CB39" s="2870"/>
      <c r="CC39" s="2870"/>
      <c r="CD39" s="2870"/>
      <c r="CE39" s="2870"/>
      <c r="CF39" s="2875">
        <v>0</v>
      </c>
      <c r="CG39" s="2869"/>
      <c r="CH39" s="2870"/>
      <c r="CI39" s="2870"/>
      <c r="CJ39" s="2870"/>
      <c r="CK39" s="2870"/>
      <c r="CL39" s="2870"/>
      <c r="CM39" s="2875">
        <v>0</v>
      </c>
      <c r="CN39" s="2872"/>
      <c r="CO39" s="2870"/>
      <c r="CP39" s="2870"/>
      <c r="CQ39" s="2870"/>
      <c r="CR39" s="2870"/>
      <c r="CS39" s="2870"/>
      <c r="CT39" s="2875">
        <v>0</v>
      </c>
      <c r="CU39" s="2878">
        <v>0</v>
      </c>
      <c r="CV39" s="2870">
        <v>0</v>
      </c>
      <c r="CW39" s="2870">
        <v>0</v>
      </c>
      <c r="CX39" s="2870">
        <v>0</v>
      </c>
      <c r="CY39" s="2870">
        <v>0</v>
      </c>
      <c r="CZ39" s="2879">
        <v>0</v>
      </c>
      <c r="DA39" s="2875">
        <v>0</v>
      </c>
      <c r="DJ39" s="1611" t="e">
        <v>#N/A</v>
      </c>
      <c r="DK39" s="2782" t="e">
        <v>#N/A</v>
      </c>
      <c r="DM39" s="1650">
        <v>0</v>
      </c>
    </row>
    <row r="40" spans="1:117" s="1727" customFormat="1" ht="21" customHeight="1">
      <c r="A40" s="1637"/>
      <c r="B40" s="1638" t="s">
        <v>211</v>
      </c>
      <c r="C40" s="1643"/>
      <c r="D40" s="1641"/>
      <c r="E40" s="1641"/>
      <c r="F40" s="1641"/>
      <c r="G40" s="1641"/>
      <c r="H40" s="1641">
        <v>454.90000000000003</v>
      </c>
      <c r="I40" s="1641"/>
      <c r="J40" s="1649"/>
      <c r="K40" s="1641"/>
      <c r="L40" s="1641"/>
      <c r="M40" s="1641"/>
      <c r="N40" s="1671"/>
      <c r="O40" s="2876">
        <v>69.004559</v>
      </c>
      <c r="P40" s="2874">
        <v>33643149</v>
      </c>
      <c r="Q40" s="2874">
        <v>38499001</v>
      </c>
      <c r="R40" s="2874">
        <v>0</v>
      </c>
      <c r="S40" s="2874">
        <v>0</v>
      </c>
      <c r="T40" s="2879">
        <v>1.0454693290627364</v>
      </c>
      <c r="U40" s="2875">
        <v>72142150</v>
      </c>
      <c r="V40" s="2876">
        <v>99.00587800000001</v>
      </c>
      <c r="W40" s="2874">
        <v>34466887</v>
      </c>
      <c r="X40" s="2874">
        <v>91616682</v>
      </c>
      <c r="Y40" s="2874">
        <v>0</v>
      </c>
      <c r="Z40" s="2874">
        <v>0</v>
      </c>
      <c r="AA40" s="2879">
        <v>1.2734957918357128</v>
      </c>
      <c r="AB40" s="2875">
        <v>126083569</v>
      </c>
      <c r="AC40" s="2876">
        <v>138.611493</v>
      </c>
      <c r="AD40" s="2874">
        <v>32808797</v>
      </c>
      <c r="AE40" s="2874">
        <v>132911863</v>
      </c>
      <c r="AF40" s="2874">
        <v>24522106</v>
      </c>
      <c r="AG40" s="2874">
        <v>0</v>
      </c>
      <c r="AH40" s="2879">
        <v>1.372489119643203</v>
      </c>
      <c r="AI40" s="2875">
        <v>190242766</v>
      </c>
      <c r="AJ40" s="2876">
        <v>153.51751100000001</v>
      </c>
      <c r="AK40" s="2874">
        <v>35237294</v>
      </c>
      <c r="AL40" s="2874">
        <v>149799644</v>
      </c>
      <c r="AM40" s="2874">
        <v>0</v>
      </c>
      <c r="AN40" s="2874">
        <v>0</v>
      </c>
      <c r="AO40" s="2879">
        <v>1.2053148646997018</v>
      </c>
      <c r="AP40" s="2875">
        <v>185036938</v>
      </c>
      <c r="AQ40" s="2876">
        <v>167.72302099999996</v>
      </c>
      <c r="AR40" s="2874">
        <v>36140675</v>
      </c>
      <c r="AS40" s="2874">
        <v>161018973</v>
      </c>
      <c r="AT40" s="2874">
        <v>0</v>
      </c>
      <c r="AU40" s="2874">
        <v>0</v>
      </c>
      <c r="AV40" s="2879">
        <v>1.1755073741487165</v>
      </c>
      <c r="AW40" s="2875">
        <v>197159648</v>
      </c>
      <c r="AX40" s="2876">
        <v>165.74623000000003</v>
      </c>
      <c r="AY40" s="2874">
        <v>34650948</v>
      </c>
      <c r="AZ40" s="2874">
        <v>158989509</v>
      </c>
      <c r="BA40" s="2874">
        <v>0</v>
      </c>
      <c r="BB40" s="2874">
        <v>0</v>
      </c>
      <c r="BC40" s="2879">
        <v>1.1682947901741112</v>
      </c>
      <c r="BD40" s="2875">
        <v>193640457</v>
      </c>
      <c r="BE40" s="2876">
        <v>145.75583999999998</v>
      </c>
      <c r="BF40" s="2874">
        <v>38147754</v>
      </c>
      <c r="BG40" s="2874">
        <v>143478424</v>
      </c>
      <c r="BH40" s="2874">
        <v>2312967</v>
      </c>
      <c r="BI40" s="2874">
        <v>0</v>
      </c>
      <c r="BJ40" s="2879">
        <v>1.261967582225179</v>
      </c>
      <c r="BK40" s="2875">
        <v>183939145</v>
      </c>
      <c r="BL40" s="2876">
        <v>59.521552</v>
      </c>
      <c r="BM40" s="2874">
        <v>34851342</v>
      </c>
      <c r="BN40" s="2874">
        <v>52681416</v>
      </c>
      <c r="BO40" s="2874">
        <v>0</v>
      </c>
      <c r="BP40" s="2874">
        <v>0</v>
      </c>
      <c r="BQ40" s="2879">
        <v>1.4706061091955398</v>
      </c>
      <c r="BR40" s="2875">
        <v>87532758</v>
      </c>
      <c r="BS40" s="2876">
        <v>86.134307600000014</v>
      </c>
      <c r="BT40" s="2874">
        <v>32974673</v>
      </c>
      <c r="BU40" s="2874">
        <v>88010828</v>
      </c>
      <c r="BV40" s="2874">
        <v>0</v>
      </c>
      <c r="BW40" s="2874">
        <v>0</v>
      </c>
      <c r="BX40" s="2879">
        <v>1.4046145417670948</v>
      </c>
      <c r="BY40" s="2875">
        <v>120985501</v>
      </c>
      <c r="BZ40" s="2876">
        <v>111.59838999999999</v>
      </c>
      <c r="CA40" s="2874">
        <v>31944926</v>
      </c>
      <c r="CB40" s="2874">
        <v>116522805</v>
      </c>
      <c r="CC40" s="2874">
        <v>0</v>
      </c>
      <c r="CD40" s="2874">
        <v>0</v>
      </c>
      <c r="CE40" s="2879">
        <v>1.3303752052336957</v>
      </c>
      <c r="CF40" s="2875">
        <v>148467731</v>
      </c>
      <c r="CG40" s="2876">
        <v>79.683162999999993</v>
      </c>
      <c r="CH40" s="2874">
        <v>25352419</v>
      </c>
      <c r="CI40" s="2874">
        <v>82814689</v>
      </c>
      <c r="CJ40" s="2874">
        <v>0</v>
      </c>
      <c r="CK40" s="2874">
        <v>0</v>
      </c>
      <c r="CL40" s="2879">
        <v>1.3574650393835395</v>
      </c>
      <c r="CM40" s="2875">
        <v>108167108</v>
      </c>
      <c r="CN40" s="2880">
        <v>66.019613290000009</v>
      </c>
      <c r="CO40" s="2874">
        <v>32195295.890000001</v>
      </c>
      <c r="CP40" s="2874">
        <v>70994955.109999999</v>
      </c>
      <c r="CQ40" s="2874">
        <v>-497821</v>
      </c>
      <c r="CR40" s="2874">
        <v>0</v>
      </c>
      <c r="CS40" s="2879">
        <v>1.5554836643606156</v>
      </c>
      <c r="CT40" s="2875">
        <v>102692430</v>
      </c>
      <c r="CU40" s="2881">
        <v>1342.3215578899999</v>
      </c>
      <c r="CV40" s="2874">
        <v>402414159.88999999</v>
      </c>
      <c r="CW40" s="2874">
        <v>1287338789.1100001</v>
      </c>
      <c r="CX40" s="2874">
        <v>26337252</v>
      </c>
      <c r="CY40" s="2874">
        <v>0</v>
      </c>
      <c r="CZ40" s="2879">
        <v>1.2784494079775701</v>
      </c>
      <c r="DA40" s="2875">
        <v>1716090201</v>
      </c>
      <c r="DB40" s="1609"/>
      <c r="DD40" s="1625"/>
      <c r="DJ40" s="1611" t="e">
        <v>#N/A</v>
      </c>
      <c r="DK40" s="2782">
        <v>0</v>
      </c>
      <c r="DM40" s="1650">
        <v>0.95903904809036422</v>
      </c>
    </row>
    <row r="41" spans="1:117" ht="21" customHeight="1">
      <c r="A41" s="1652"/>
      <c r="B41" s="1644"/>
      <c r="C41" s="1662"/>
      <c r="D41" s="1648"/>
      <c r="E41" s="1648"/>
      <c r="F41" s="1648"/>
      <c r="G41" s="1648"/>
      <c r="H41" s="1648"/>
      <c r="I41" s="1648"/>
      <c r="J41" s="1663"/>
      <c r="K41" s="1648"/>
      <c r="L41" s="1648"/>
      <c r="M41" s="1648"/>
      <c r="N41" s="1642"/>
      <c r="O41" s="2876"/>
      <c r="P41" s="2870"/>
      <c r="Q41" s="2870"/>
      <c r="R41" s="2870"/>
      <c r="S41" s="2870"/>
      <c r="T41" s="2870"/>
      <c r="U41" s="2875">
        <v>0</v>
      </c>
      <c r="V41" s="2869"/>
      <c r="W41" s="2870"/>
      <c r="X41" s="2870"/>
      <c r="Y41" s="2870"/>
      <c r="Z41" s="2870"/>
      <c r="AA41" s="2870"/>
      <c r="AB41" s="2875">
        <v>0</v>
      </c>
      <c r="AC41" s="2869"/>
      <c r="AD41" s="2870"/>
      <c r="AE41" s="2870"/>
      <c r="AF41" s="2870"/>
      <c r="AG41" s="2870"/>
      <c r="AH41" s="2870"/>
      <c r="AI41" s="2875">
        <v>0</v>
      </c>
      <c r="AJ41" s="2869"/>
      <c r="AK41" s="2870"/>
      <c r="AL41" s="2870"/>
      <c r="AM41" s="2870"/>
      <c r="AN41" s="2870"/>
      <c r="AO41" s="2870"/>
      <c r="AP41" s="2875">
        <v>0</v>
      </c>
      <c r="AQ41" s="2869"/>
      <c r="AR41" s="2870"/>
      <c r="AS41" s="2870"/>
      <c r="AT41" s="2870"/>
      <c r="AU41" s="2870"/>
      <c r="AV41" s="2870"/>
      <c r="AW41" s="2875">
        <v>0</v>
      </c>
      <c r="AX41" s="2869"/>
      <c r="AY41" s="2870"/>
      <c r="AZ41" s="2870"/>
      <c r="BA41" s="2870"/>
      <c r="BB41" s="2870"/>
      <c r="BC41" s="2870"/>
      <c r="BD41" s="2875">
        <v>0</v>
      </c>
      <c r="BE41" s="2869"/>
      <c r="BF41" s="2870"/>
      <c r="BG41" s="2870"/>
      <c r="BH41" s="2870"/>
      <c r="BI41" s="2870"/>
      <c r="BJ41" s="2870"/>
      <c r="BK41" s="2875">
        <v>0</v>
      </c>
      <c r="BL41" s="2869"/>
      <c r="BM41" s="2870"/>
      <c r="BN41" s="2870"/>
      <c r="BO41" s="2870"/>
      <c r="BP41" s="2870"/>
      <c r="BQ41" s="2870"/>
      <c r="BR41" s="2875">
        <v>0</v>
      </c>
      <c r="BS41" s="2869"/>
      <c r="BT41" s="2870"/>
      <c r="BU41" s="2870"/>
      <c r="BV41" s="2870"/>
      <c r="BW41" s="2870"/>
      <c r="BX41" s="2870"/>
      <c r="BY41" s="2875">
        <v>0</v>
      </c>
      <c r="BZ41" s="2869"/>
      <c r="CA41" s="2870"/>
      <c r="CB41" s="2870"/>
      <c r="CC41" s="2870"/>
      <c r="CD41" s="2870"/>
      <c r="CE41" s="2870"/>
      <c r="CF41" s="2875">
        <v>0</v>
      </c>
      <c r="CG41" s="2869"/>
      <c r="CH41" s="2870"/>
      <c r="CI41" s="2870"/>
      <c r="CJ41" s="2870"/>
      <c r="CK41" s="2870"/>
      <c r="CL41" s="2870"/>
      <c r="CM41" s="2875">
        <v>0</v>
      </c>
      <c r="CN41" s="2872"/>
      <c r="CO41" s="2870"/>
      <c r="CP41" s="2870"/>
      <c r="CQ41" s="2870"/>
      <c r="CR41" s="2870"/>
      <c r="CS41" s="2870"/>
      <c r="CT41" s="2875">
        <v>0</v>
      </c>
      <c r="CU41" s="2878"/>
      <c r="CV41" s="2870"/>
      <c r="CW41" s="2870"/>
      <c r="CX41" s="2870"/>
      <c r="CY41" s="2870"/>
      <c r="CZ41" s="2879"/>
      <c r="DA41" s="2875"/>
      <c r="DJ41" s="1611" t="e">
        <v>#N/A</v>
      </c>
      <c r="DK41" s="2782" t="e">
        <v>#N/A</v>
      </c>
      <c r="DM41" s="1650">
        <v>0</v>
      </c>
    </row>
    <row r="42" spans="1:117" ht="21" customHeight="1">
      <c r="A42" s="1652" t="s">
        <v>24</v>
      </c>
      <c r="B42" s="1638" t="s">
        <v>1675</v>
      </c>
      <c r="C42" s="1662"/>
      <c r="D42" s="1648"/>
      <c r="E42" s="1648"/>
      <c r="F42" s="1648"/>
      <c r="G42" s="1648"/>
      <c r="H42" s="1648"/>
      <c r="I42" s="1648"/>
      <c r="J42" s="1663"/>
      <c r="K42" s="1648"/>
      <c r="L42" s="1648"/>
      <c r="M42" s="1648"/>
      <c r="N42" s="1642"/>
      <c r="O42" s="2876"/>
      <c r="P42" s="2870"/>
      <c r="Q42" s="2870"/>
      <c r="R42" s="2870"/>
      <c r="S42" s="2870"/>
      <c r="T42" s="2870"/>
      <c r="U42" s="2875">
        <v>0</v>
      </c>
      <c r="V42" s="2869"/>
      <c r="W42" s="2870"/>
      <c r="X42" s="2870"/>
      <c r="Y42" s="2870"/>
      <c r="Z42" s="2870"/>
      <c r="AA42" s="2870"/>
      <c r="AB42" s="2875">
        <v>0</v>
      </c>
      <c r="AC42" s="2869"/>
      <c r="AD42" s="2870"/>
      <c r="AE42" s="2870"/>
      <c r="AF42" s="2870"/>
      <c r="AG42" s="2870"/>
      <c r="AH42" s="2870"/>
      <c r="AI42" s="2875">
        <v>0</v>
      </c>
      <c r="AJ42" s="2869"/>
      <c r="AK42" s="2870"/>
      <c r="AL42" s="2870"/>
      <c r="AM42" s="2870"/>
      <c r="AN42" s="2870"/>
      <c r="AO42" s="2870"/>
      <c r="AP42" s="2875">
        <v>0</v>
      </c>
      <c r="AQ42" s="2869"/>
      <c r="AR42" s="2870"/>
      <c r="AS42" s="2870"/>
      <c r="AT42" s="2870"/>
      <c r="AU42" s="2870"/>
      <c r="AV42" s="2870"/>
      <c r="AW42" s="2875">
        <v>0</v>
      </c>
      <c r="AX42" s="2869"/>
      <c r="AY42" s="2870"/>
      <c r="AZ42" s="2870"/>
      <c r="BA42" s="2870"/>
      <c r="BB42" s="2870"/>
      <c r="BC42" s="2870"/>
      <c r="BD42" s="2875">
        <v>0</v>
      </c>
      <c r="BE42" s="2869"/>
      <c r="BF42" s="2870"/>
      <c r="BG42" s="2870"/>
      <c r="BH42" s="2870"/>
      <c r="BI42" s="2870"/>
      <c r="BJ42" s="2870"/>
      <c r="BK42" s="2875">
        <v>0</v>
      </c>
      <c r="BL42" s="2869"/>
      <c r="BM42" s="2870"/>
      <c r="BN42" s="2870"/>
      <c r="BO42" s="2870"/>
      <c r="BP42" s="2870"/>
      <c r="BQ42" s="2870"/>
      <c r="BR42" s="2875">
        <v>0</v>
      </c>
      <c r="BS42" s="2869"/>
      <c r="BT42" s="2870"/>
      <c r="BU42" s="2870"/>
      <c r="BV42" s="2870"/>
      <c r="BW42" s="2870"/>
      <c r="BX42" s="2870"/>
      <c r="BY42" s="2875">
        <v>0</v>
      </c>
      <c r="BZ42" s="2869"/>
      <c r="CA42" s="2870"/>
      <c r="CB42" s="2870"/>
      <c r="CC42" s="2870"/>
      <c r="CD42" s="2870"/>
      <c r="CE42" s="2870"/>
      <c r="CF42" s="2875">
        <v>0</v>
      </c>
      <c r="CG42" s="2869"/>
      <c r="CH42" s="2870"/>
      <c r="CI42" s="2870"/>
      <c r="CJ42" s="2870"/>
      <c r="CK42" s="2870"/>
      <c r="CL42" s="2870"/>
      <c r="CM42" s="2875">
        <v>0</v>
      </c>
      <c r="CN42" s="2872"/>
      <c r="CO42" s="2870"/>
      <c r="CP42" s="2870"/>
      <c r="CQ42" s="2870"/>
      <c r="CR42" s="2870"/>
      <c r="CS42" s="2870"/>
      <c r="CT42" s="2875">
        <v>0</v>
      </c>
      <c r="CU42" s="2878"/>
      <c r="CV42" s="2870"/>
      <c r="CW42" s="2870"/>
      <c r="CX42" s="2870"/>
      <c r="CY42" s="2870"/>
      <c r="CZ42" s="2879"/>
      <c r="DA42" s="2875"/>
      <c r="DJ42" s="1611" t="e">
        <v>#N/A</v>
      </c>
      <c r="DK42" s="2782">
        <v>0</v>
      </c>
      <c r="DM42" s="1650">
        <v>0</v>
      </c>
    </row>
    <row r="43" spans="1:117" ht="21" customHeight="1">
      <c r="A43" s="1652" t="s">
        <v>19</v>
      </c>
      <c r="B43" s="1638" t="s">
        <v>1676</v>
      </c>
      <c r="C43" s="1662"/>
      <c r="D43" s="1648"/>
      <c r="E43" s="1648"/>
      <c r="F43" s="1648"/>
      <c r="G43" s="1648"/>
      <c r="H43" s="1648"/>
      <c r="I43" s="1648"/>
      <c r="J43" s="1649"/>
      <c r="K43" s="1648"/>
      <c r="L43" s="1648"/>
      <c r="M43" s="1648"/>
      <c r="N43" s="1642"/>
      <c r="O43" s="2876"/>
      <c r="P43" s="2870"/>
      <c r="Q43" s="2870"/>
      <c r="R43" s="2870"/>
      <c r="S43" s="2870"/>
      <c r="T43" s="2870"/>
      <c r="U43" s="2875">
        <v>0</v>
      </c>
      <c r="V43" s="2869"/>
      <c r="W43" s="2870"/>
      <c r="X43" s="2870"/>
      <c r="Y43" s="2870"/>
      <c r="Z43" s="2870"/>
      <c r="AA43" s="2870"/>
      <c r="AB43" s="2875">
        <v>0</v>
      </c>
      <c r="AC43" s="2869"/>
      <c r="AD43" s="2870"/>
      <c r="AE43" s="2870"/>
      <c r="AF43" s="2870"/>
      <c r="AG43" s="2870"/>
      <c r="AH43" s="2870"/>
      <c r="AI43" s="2875">
        <v>0</v>
      </c>
      <c r="AJ43" s="2869"/>
      <c r="AK43" s="2870"/>
      <c r="AL43" s="2870"/>
      <c r="AM43" s="2870"/>
      <c r="AN43" s="2870"/>
      <c r="AO43" s="2870"/>
      <c r="AP43" s="2875">
        <v>0</v>
      </c>
      <c r="AQ43" s="2869"/>
      <c r="AR43" s="2870"/>
      <c r="AS43" s="2870"/>
      <c r="AT43" s="2870"/>
      <c r="AU43" s="2870"/>
      <c r="AV43" s="2870"/>
      <c r="AW43" s="2875">
        <v>0</v>
      </c>
      <c r="AX43" s="2869"/>
      <c r="AY43" s="2870"/>
      <c r="AZ43" s="2870"/>
      <c r="BA43" s="2870"/>
      <c r="BB43" s="2870"/>
      <c r="BC43" s="2870"/>
      <c r="BD43" s="2875">
        <v>0</v>
      </c>
      <c r="BE43" s="2869"/>
      <c r="BF43" s="2870"/>
      <c r="BG43" s="2870"/>
      <c r="BH43" s="2870"/>
      <c r="BI43" s="2870"/>
      <c r="BJ43" s="2870"/>
      <c r="BK43" s="2875">
        <v>0</v>
      </c>
      <c r="BL43" s="2869"/>
      <c r="BM43" s="2870"/>
      <c r="BN43" s="2870"/>
      <c r="BO43" s="2870"/>
      <c r="BP43" s="2870"/>
      <c r="BQ43" s="2870"/>
      <c r="BR43" s="2875">
        <v>0</v>
      </c>
      <c r="BS43" s="2869"/>
      <c r="BT43" s="2870"/>
      <c r="BU43" s="2870"/>
      <c r="BV43" s="2870"/>
      <c r="BW43" s="2870"/>
      <c r="BX43" s="2870"/>
      <c r="BY43" s="2875">
        <v>0</v>
      </c>
      <c r="BZ43" s="2869"/>
      <c r="CA43" s="2870"/>
      <c r="CB43" s="2870"/>
      <c r="CC43" s="2870"/>
      <c r="CD43" s="2870"/>
      <c r="CE43" s="2870"/>
      <c r="CF43" s="2875">
        <v>0</v>
      </c>
      <c r="CG43" s="2869"/>
      <c r="CH43" s="2870"/>
      <c r="CI43" s="2870"/>
      <c r="CJ43" s="2870"/>
      <c r="CK43" s="2870"/>
      <c r="CL43" s="2870"/>
      <c r="CM43" s="2875">
        <v>0</v>
      </c>
      <c r="CN43" s="2872"/>
      <c r="CO43" s="2870"/>
      <c r="CP43" s="2870"/>
      <c r="CQ43" s="2870"/>
      <c r="CR43" s="2870"/>
      <c r="CS43" s="2870"/>
      <c r="CT43" s="2875">
        <v>0</v>
      </c>
      <c r="CU43" s="2878"/>
      <c r="CV43" s="2870"/>
      <c r="CW43" s="2870"/>
      <c r="CX43" s="2870"/>
      <c r="CY43" s="2870"/>
      <c r="CZ43" s="2879"/>
      <c r="DA43" s="2875"/>
      <c r="DJ43" s="1611" t="e">
        <v>#N/A</v>
      </c>
      <c r="DK43" s="2782">
        <v>0</v>
      </c>
      <c r="DM43" s="1650">
        <v>0</v>
      </c>
    </row>
    <row r="44" spans="1:117" ht="21" customHeight="1">
      <c r="A44" s="1652">
        <v>1</v>
      </c>
      <c r="B44" s="1668" t="s">
        <v>1677</v>
      </c>
      <c r="C44" s="1645">
        <v>419</v>
      </c>
      <c r="D44" s="1646">
        <v>21.766109785202865</v>
      </c>
      <c r="E44" s="1646">
        <v>86.200999999999993</v>
      </c>
      <c r="F44" s="1665">
        <v>2.75</v>
      </c>
      <c r="G44" s="1640"/>
      <c r="H44" s="1640">
        <v>91.2</v>
      </c>
      <c r="I44" s="1648" t="s">
        <v>1649</v>
      </c>
      <c r="J44" s="1649">
        <v>1</v>
      </c>
      <c r="K44" s="1648"/>
      <c r="L44" s="1640"/>
      <c r="M44" s="1640"/>
      <c r="N44" s="1642"/>
      <c r="O44" s="2876">
        <v>0</v>
      </c>
      <c r="P44" s="2870">
        <v>42446168</v>
      </c>
      <c r="Q44" s="2870">
        <v>0</v>
      </c>
      <c r="R44" s="2870">
        <v>0</v>
      </c>
      <c r="S44" s="2870"/>
      <c r="T44" s="2870" t="s">
        <v>1594</v>
      </c>
      <c r="U44" s="2875">
        <v>42446168</v>
      </c>
      <c r="V44" s="2869">
        <v>0</v>
      </c>
      <c r="W44" s="2870">
        <v>42446168</v>
      </c>
      <c r="X44" s="2870"/>
      <c r="Y44" s="2870"/>
      <c r="Z44" s="2870"/>
      <c r="AA44" s="2877">
        <v>0</v>
      </c>
      <c r="AB44" s="2875">
        <v>42446168</v>
      </c>
      <c r="AC44" s="2869">
        <v>26.818663999999998</v>
      </c>
      <c r="AD44" s="2870">
        <v>43506339</v>
      </c>
      <c r="AE44" s="2870">
        <v>129695059</v>
      </c>
      <c r="AF44" s="2870">
        <v>1705488</v>
      </c>
      <c r="AG44" s="2870"/>
      <c r="AH44" s="2877">
        <v>6.5218344209838346</v>
      </c>
      <c r="AI44" s="2875">
        <v>174906886</v>
      </c>
      <c r="AJ44" s="2869">
        <v>71.083254999999994</v>
      </c>
      <c r="AK44" s="2870">
        <v>52158547</v>
      </c>
      <c r="AL44" s="2870">
        <v>272454977</v>
      </c>
      <c r="AM44" s="2870">
        <v>-145052</v>
      </c>
      <c r="AN44" s="2870"/>
      <c r="AO44" s="2877">
        <v>4.5646259727413998</v>
      </c>
      <c r="AP44" s="2875">
        <v>324468472</v>
      </c>
      <c r="AQ44" s="2869">
        <v>117.47260900000001</v>
      </c>
      <c r="AR44" s="2870">
        <v>51609663</v>
      </c>
      <c r="AS44" s="2870">
        <v>510985685</v>
      </c>
      <c r="AT44" s="2870">
        <v>631715</v>
      </c>
      <c r="AU44" s="2870"/>
      <c r="AV44" s="2877">
        <v>4.794539491329421</v>
      </c>
      <c r="AW44" s="2875">
        <v>563227063</v>
      </c>
      <c r="AX44" s="2869">
        <v>16.683558999999999</v>
      </c>
      <c r="AY44" s="2870">
        <v>51609663</v>
      </c>
      <c r="AZ44" s="2870">
        <v>80298273</v>
      </c>
      <c r="BA44" s="2870">
        <v>4738209</v>
      </c>
      <c r="BB44" s="2870"/>
      <c r="BC44" s="2877">
        <v>8.1904673337385638</v>
      </c>
      <c r="BD44" s="2875">
        <v>136646145</v>
      </c>
      <c r="BE44" s="2869">
        <v>8.6630000000000006E-3</v>
      </c>
      <c r="BF44" s="2870">
        <v>47469055</v>
      </c>
      <c r="BG44" s="2870">
        <v>17587</v>
      </c>
      <c r="BH44" s="2870">
        <v>-3409025</v>
      </c>
      <c r="BI44" s="2870"/>
      <c r="BJ44" s="2877">
        <v>5088.0315133325639</v>
      </c>
      <c r="BK44" s="2875">
        <v>44077617</v>
      </c>
      <c r="BL44" s="2869">
        <v>0</v>
      </c>
      <c r="BM44" s="2870">
        <v>42446169</v>
      </c>
      <c r="BN44" s="2870">
        <v>0</v>
      </c>
      <c r="BO44" s="2870">
        <v>267316</v>
      </c>
      <c r="BP44" s="2870"/>
      <c r="BQ44" s="2877">
        <v>0</v>
      </c>
      <c r="BR44" s="2875">
        <v>42713485</v>
      </c>
      <c r="BS44" s="2869">
        <v>2.6619999999999999E-3</v>
      </c>
      <c r="BT44" s="2870">
        <v>42446169</v>
      </c>
      <c r="BU44" s="2870">
        <v>5369</v>
      </c>
      <c r="BV44" s="2870">
        <v>183041</v>
      </c>
      <c r="BW44" s="2870"/>
      <c r="BX44" s="2877">
        <v>16015.995116453794</v>
      </c>
      <c r="BY44" s="2875">
        <v>42634579</v>
      </c>
      <c r="BZ44" s="2869">
        <v>0</v>
      </c>
      <c r="CA44" s="2870">
        <v>42446169</v>
      </c>
      <c r="CB44" s="2870">
        <v>0</v>
      </c>
      <c r="CC44" s="2870">
        <v>156175</v>
      </c>
      <c r="CD44" s="2870"/>
      <c r="CE44" s="2877">
        <v>0</v>
      </c>
      <c r="CF44" s="2875">
        <v>42602344</v>
      </c>
      <c r="CG44" s="2869">
        <v>5.0520000000000001E-3</v>
      </c>
      <c r="CH44" s="2870">
        <v>42374439</v>
      </c>
      <c r="CI44" s="2870">
        <v>10230</v>
      </c>
      <c r="CJ44" s="2870">
        <v>104790</v>
      </c>
      <c r="CK44" s="2870"/>
      <c r="CL44" s="2877">
        <v>8410.4233966745851</v>
      </c>
      <c r="CM44" s="2875">
        <v>42489459</v>
      </c>
      <c r="CN44" s="2872">
        <v>8.4388000000000005E-2</v>
      </c>
      <c r="CO44" s="2870"/>
      <c r="CP44" s="2870">
        <v>42621026</v>
      </c>
      <c r="CQ44" s="2870"/>
      <c r="CR44" s="2870"/>
      <c r="CS44" s="2877">
        <v>505.0602692325923</v>
      </c>
      <c r="CT44" s="2875">
        <v>42621026</v>
      </c>
      <c r="CU44" s="2878">
        <v>232.158852</v>
      </c>
      <c r="CV44" s="2870">
        <v>500958549</v>
      </c>
      <c r="CW44" s="2870">
        <v>1036088206</v>
      </c>
      <c r="CX44" s="2870">
        <v>4232657</v>
      </c>
      <c r="CY44" s="2870">
        <v>0</v>
      </c>
      <c r="CZ44" s="2879">
        <v>6.6389000407359013</v>
      </c>
      <c r="DA44" s="2875">
        <v>1541279412</v>
      </c>
      <c r="DJ44" s="1611" t="s">
        <v>1649</v>
      </c>
      <c r="DK44" s="2782" t="s">
        <v>1649</v>
      </c>
      <c r="DM44" s="1650">
        <v>4.4628417011641668</v>
      </c>
    </row>
    <row r="45" spans="1:117" ht="21" customHeight="1">
      <c r="A45" s="1652">
        <v>2</v>
      </c>
      <c r="B45" s="1668" t="s">
        <v>1678</v>
      </c>
      <c r="C45" s="1645">
        <v>663</v>
      </c>
      <c r="D45" s="1646">
        <v>32.076923076923073</v>
      </c>
      <c r="E45" s="1646">
        <v>94.954999999999998</v>
      </c>
      <c r="F45" s="1665">
        <v>2.75</v>
      </c>
      <c r="G45" s="1640"/>
      <c r="H45" s="1640">
        <v>212.67</v>
      </c>
      <c r="I45" s="1648" t="s">
        <v>1649</v>
      </c>
      <c r="J45" s="1649">
        <v>2</v>
      </c>
      <c r="K45" s="1648"/>
      <c r="L45" s="1640"/>
      <c r="M45" s="1640"/>
      <c r="N45" s="1642"/>
      <c r="O45" s="2876">
        <v>38.817363999999998</v>
      </c>
      <c r="P45" s="2870">
        <v>86335972</v>
      </c>
      <c r="Q45" s="2870">
        <v>101041598</v>
      </c>
      <c r="R45" s="2870">
        <v>13025286</v>
      </c>
      <c r="S45" s="2870"/>
      <c r="T45" s="2870">
        <v>5.1627116153482238</v>
      </c>
      <c r="U45" s="2875">
        <v>200402856</v>
      </c>
      <c r="V45" s="2869">
        <v>50.689486000000002</v>
      </c>
      <c r="W45" s="2870">
        <v>86335972</v>
      </c>
      <c r="X45" s="2870">
        <v>135313334</v>
      </c>
      <c r="Y45" s="2870">
        <v>6919655</v>
      </c>
      <c r="Z45" s="2870"/>
      <c r="AA45" s="2877">
        <v>4.5091986334207457</v>
      </c>
      <c r="AB45" s="2875">
        <v>228568961</v>
      </c>
      <c r="AC45" s="2869">
        <v>83.262736000000004</v>
      </c>
      <c r="AD45" s="2870">
        <v>88483570</v>
      </c>
      <c r="AE45" s="2870">
        <v>280561075</v>
      </c>
      <c r="AF45" s="2870">
        <v>14170112</v>
      </c>
      <c r="AG45" s="2870"/>
      <c r="AH45" s="2877">
        <v>4.6024761545188717</v>
      </c>
      <c r="AI45" s="2875">
        <v>383214757</v>
      </c>
      <c r="AJ45" s="2869">
        <v>44.385157</v>
      </c>
      <c r="AK45" s="2870">
        <v>99221559</v>
      </c>
      <c r="AL45" s="2870">
        <v>219287227</v>
      </c>
      <c r="AM45" s="2870">
        <v>7022719</v>
      </c>
      <c r="AN45" s="2870"/>
      <c r="AO45" s="2877">
        <v>7.3342425036369701</v>
      </c>
      <c r="AP45" s="2875">
        <v>325531505</v>
      </c>
      <c r="AQ45" s="2869">
        <v>82.544996999999995</v>
      </c>
      <c r="AR45" s="2870">
        <v>99221559</v>
      </c>
      <c r="AS45" s="2870">
        <v>479091163</v>
      </c>
      <c r="AT45" s="2870">
        <v>11573989</v>
      </c>
      <c r="AU45" s="2870"/>
      <c r="AV45" s="2877">
        <v>7.1462442599640532</v>
      </c>
      <c r="AW45" s="2875">
        <v>589886711</v>
      </c>
      <c r="AX45" s="2869">
        <v>37.455725000000001</v>
      </c>
      <c r="AY45" s="2870">
        <v>99221559</v>
      </c>
      <c r="AZ45" s="2870">
        <v>239342084</v>
      </c>
      <c r="BA45" s="2870">
        <v>-18970711</v>
      </c>
      <c r="BB45" s="2870"/>
      <c r="BC45" s="2877">
        <v>8.5325522867332033</v>
      </c>
      <c r="BD45" s="2875">
        <v>319592932</v>
      </c>
      <c r="BE45" s="2869">
        <v>0</v>
      </c>
      <c r="BF45" s="2870">
        <v>93391276</v>
      </c>
      <c r="BG45" s="2870">
        <v>0</v>
      </c>
      <c r="BH45" s="2870">
        <v>29685234</v>
      </c>
      <c r="BI45" s="2870"/>
      <c r="BJ45" s="2877">
        <v>0</v>
      </c>
      <c r="BK45" s="2875">
        <v>123076510</v>
      </c>
      <c r="BL45" s="2869">
        <v>0</v>
      </c>
      <c r="BM45" s="2870">
        <v>86310557</v>
      </c>
      <c r="BN45" s="2870">
        <v>0</v>
      </c>
      <c r="BO45" s="2870">
        <v>794297</v>
      </c>
      <c r="BP45" s="2870"/>
      <c r="BQ45" s="2877">
        <v>0</v>
      </c>
      <c r="BR45" s="2875">
        <v>87104854</v>
      </c>
      <c r="BS45" s="2869">
        <v>0</v>
      </c>
      <c r="BT45" s="2870">
        <v>86310557</v>
      </c>
      <c r="BU45" s="2870">
        <v>0</v>
      </c>
      <c r="BV45" s="2870">
        <v>599997</v>
      </c>
      <c r="BW45" s="2870"/>
      <c r="BX45" s="2877">
        <v>0</v>
      </c>
      <c r="BY45" s="2875">
        <v>86910554</v>
      </c>
      <c r="BZ45" s="2869">
        <v>0</v>
      </c>
      <c r="CA45" s="2870">
        <v>86310557</v>
      </c>
      <c r="CB45" s="2870">
        <v>0</v>
      </c>
      <c r="CC45" s="2870">
        <v>374073</v>
      </c>
      <c r="CD45" s="2870"/>
      <c r="CE45" s="2877">
        <v>0</v>
      </c>
      <c r="CF45" s="2875">
        <v>86684630</v>
      </c>
      <c r="CG45" s="2869">
        <v>6.8839999999999998E-2</v>
      </c>
      <c r="CH45" s="2870">
        <v>86208895</v>
      </c>
      <c r="CI45" s="2870">
        <v>142568</v>
      </c>
      <c r="CJ45" s="2870">
        <v>1437515</v>
      </c>
      <c r="CK45" s="2870"/>
      <c r="CL45" s="2877">
        <v>1275.2611563044741</v>
      </c>
      <c r="CM45" s="2875">
        <v>87788978</v>
      </c>
      <c r="CN45" s="2872">
        <v>14.653276999999999</v>
      </c>
      <c r="CO45" s="2870"/>
      <c r="CP45" s="2870">
        <v>266480924</v>
      </c>
      <c r="CQ45" s="2870"/>
      <c r="CR45" s="2870"/>
      <c r="CS45" s="2877">
        <v>18.185756264622583</v>
      </c>
      <c r="CT45" s="2875">
        <v>266480924</v>
      </c>
      <c r="CU45" s="2878">
        <v>351.87758200000007</v>
      </c>
      <c r="CV45" s="2870">
        <v>997352033</v>
      </c>
      <c r="CW45" s="2870">
        <v>1721259973</v>
      </c>
      <c r="CX45" s="2870">
        <v>66632166</v>
      </c>
      <c r="CY45" s="2870">
        <v>0</v>
      </c>
      <c r="CZ45" s="2879">
        <v>7.9153782863041258</v>
      </c>
      <c r="DA45" s="2875">
        <v>2785244172</v>
      </c>
      <c r="DJ45" s="1611" t="s">
        <v>1649</v>
      </c>
      <c r="DK45" s="2782" t="s">
        <v>1649</v>
      </c>
      <c r="DM45" s="1650">
        <v>4.8916443133907848</v>
      </c>
    </row>
    <row r="46" spans="1:117" ht="21" customHeight="1">
      <c r="A46" s="1652">
        <v>3</v>
      </c>
      <c r="B46" s="1668" t="s">
        <v>1679</v>
      </c>
      <c r="C46" s="1645">
        <v>830</v>
      </c>
      <c r="D46" s="1646">
        <v>29.591566265060244</v>
      </c>
      <c r="E46" s="1646">
        <v>92.832999999999998</v>
      </c>
      <c r="F46" s="1665">
        <v>2.75</v>
      </c>
      <c r="G46" s="1640"/>
      <c r="H46" s="1640">
        <v>245.61</v>
      </c>
      <c r="I46" s="1648" t="s">
        <v>1649</v>
      </c>
      <c r="J46" s="1649">
        <v>2</v>
      </c>
      <c r="K46" s="1648"/>
      <c r="L46" s="1640"/>
      <c r="M46" s="1640"/>
      <c r="N46" s="1642"/>
      <c r="O46" s="2876">
        <v>43.561875999999998</v>
      </c>
      <c r="P46" s="2870">
        <v>91226776</v>
      </c>
      <c r="Q46" s="2870">
        <v>104722748</v>
      </c>
      <c r="R46" s="2870">
        <v>10949059</v>
      </c>
      <c r="S46" s="2870"/>
      <c r="T46" s="2870">
        <v>4.7495333534304169</v>
      </c>
      <c r="U46" s="2875">
        <v>206898583</v>
      </c>
      <c r="V46" s="2869">
        <v>56.208019</v>
      </c>
      <c r="W46" s="2870">
        <v>91226776</v>
      </c>
      <c r="X46" s="2870">
        <v>142877042</v>
      </c>
      <c r="Y46" s="2870">
        <v>6371514</v>
      </c>
      <c r="Z46" s="2870"/>
      <c r="AA46" s="2877">
        <v>4.2783100397115934</v>
      </c>
      <c r="AB46" s="2875">
        <v>240475332</v>
      </c>
      <c r="AC46" s="2869">
        <v>123.220523</v>
      </c>
      <c r="AD46" s="2870">
        <v>93755235</v>
      </c>
      <c r="AE46" s="2870">
        <v>409840925</v>
      </c>
      <c r="AF46" s="2870">
        <v>7678391</v>
      </c>
      <c r="AG46" s="2870"/>
      <c r="AH46" s="2877">
        <v>4.1492645750253798</v>
      </c>
      <c r="AI46" s="2875">
        <v>511274551</v>
      </c>
      <c r="AJ46" s="2869">
        <v>108.21042199999999</v>
      </c>
      <c r="AK46" s="2870">
        <v>106397526</v>
      </c>
      <c r="AL46" s="2870">
        <v>416775013</v>
      </c>
      <c r="AM46" s="2870">
        <v>7532784</v>
      </c>
      <c r="AN46" s="2870"/>
      <c r="AO46" s="2877">
        <v>4.9043827127852806</v>
      </c>
      <c r="AP46" s="2875">
        <v>530705323</v>
      </c>
      <c r="AQ46" s="2869">
        <v>126.25261500000001</v>
      </c>
      <c r="AR46" s="2870">
        <v>106397526</v>
      </c>
      <c r="AS46" s="2870">
        <v>530711836</v>
      </c>
      <c r="AT46" s="2870">
        <v>7577214</v>
      </c>
      <c r="AU46" s="2870"/>
      <c r="AV46" s="2877">
        <v>5.1063225581505778</v>
      </c>
      <c r="AW46" s="2875">
        <v>644686576</v>
      </c>
      <c r="AX46" s="2869">
        <v>216.00742500000001</v>
      </c>
      <c r="AY46" s="2870">
        <v>106397526</v>
      </c>
      <c r="AZ46" s="2870">
        <v>1047679953</v>
      </c>
      <c r="BA46" s="2870">
        <v>-11443907</v>
      </c>
      <c r="BB46" s="2870"/>
      <c r="BC46" s="2877">
        <v>5.2897884042643444</v>
      </c>
      <c r="BD46" s="2875">
        <v>1142633572</v>
      </c>
      <c r="BE46" s="2869">
        <v>35.549421000000002</v>
      </c>
      <c r="BF46" s="2870">
        <v>99543236</v>
      </c>
      <c r="BG46" s="2870">
        <v>71416801</v>
      </c>
      <c r="BH46" s="2870">
        <v>19860578</v>
      </c>
      <c r="BI46" s="2870"/>
      <c r="BJ46" s="2877">
        <v>5.3677559192876867</v>
      </c>
      <c r="BK46" s="2875">
        <v>190820615</v>
      </c>
      <c r="BL46" s="2869">
        <v>14.974928</v>
      </c>
      <c r="BM46" s="2870">
        <v>91226776</v>
      </c>
      <c r="BN46" s="2870">
        <v>30273986</v>
      </c>
      <c r="BO46" s="2870">
        <v>10338731</v>
      </c>
      <c r="BP46" s="2870"/>
      <c r="BQ46" s="2877">
        <v>8.8040151511913773</v>
      </c>
      <c r="BR46" s="2875">
        <v>131839493</v>
      </c>
      <c r="BS46" s="2869">
        <v>26.912018</v>
      </c>
      <c r="BT46" s="2870">
        <v>91226776</v>
      </c>
      <c r="BU46" s="2870">
        <v>54685221</v>
      </c>
      <c r="BV46" s="2870">
        <v>4808043</v>
      </c>
      <c r="BW46" s="2870"/>
      <c r="BX46" s="2877">
        <v>5.6004733647250085</v>
      </c>
      <c r="BY46" s="2875">
        <v>150720040</v>
      </c>
      <c r="BZ46" s="2869">
        <v>29.268609000000001</v>
      </c>
      <c r="CA46" s="2870">
        <v>91226776</v>
      </c>
      <c r="CB46" s="2870">
        <v>59298202</v>
      </c>
      <c r="CC46" s="2870">
        <v>7984013</v>
      </c>
      <c r="CD46" s="2870"/>
      <c r="CE46" s="2877">
        <v>5.4156653293636197</v>
      </c>
      <c r="CF46" s="2875">
        <v>158508991</v>
      </c>
      <c r="CG46" s="2869">
        <v>8.742521</v>
      </c>
      <c r="CH46" s="2870">
        <v>91140086</v>
      </c>
      <c r="CI46" s="2870">
        <v>17594529</v>
      </c>
      <c r="CJ46" s="2870">
        <v>3912770</v>
      </c>
      <c r="CK46" s="2870"/>
      <c r="CL46" s="2877">
        <v>12.88500021904437</v>
      </c>
      <c r="CM46" s="2875">
        <v>112647385</v>
      </c>
      <c r="CN46" s="2872">
        <v>0</v>
      </c>
      <c r="CO46" s="2870"/>
      <c r="CP46" s="2870">
        <v>111221362</v>
      </c>
      <c r="CQ46" s="2870"/>
      <c r="CR46" s="2870"/>
      <c r="CS46" s="2877">
        <v>0</v>
      </c>
      <c r="CT46" s="2875">
        <v>111221362</v>
      </c>
      <c r="CU46" s="2878">
        <v>788.90837699999997</v>
      </c>
      <c r="CV46" s="2870">
        <v>1059765015</v>
      </c>
      <c r="CW46" s="2870">
        <v>2997097618</v>
      </c>
      <c r="CX46" s="2870">
        <v>75569190</v>
      </c>
      <c r="CY46" s="2870">
        <v>0</v>
      </c>
      <c r="CZ46" s="2879">
        <v>5.2381644605099691</v>
      </c>
      <c r="DA46" s="2875">
        <v>4132431823</v>
      </c>
      <c r="DJ46" s="1611" t="s">
        <v>1649</v>
      </c>
      <c r="DK46" s="2782" t="s">
        <v>1649</v>
      </c>
      <c r="DM46" s="1650">
        <v>3.7990439769408102</v>
      </c>
    </row>
    <row r="47" spans="1:117" ht="21" customHeight="1">
      <c r="A47" s="1652">
        <v>4</v>
      </c>
      <c r="B47" s="1668" t="s">
        <v>1683</v>
      </c>
      <c r="C47" s="1645">
        <v>420</v>
      </c>
      <c r="D47" s="1646">
        <v>68.095238095238102</v>
      </c>
      <c r="E47" s="1646">
        <v>95.561999999999998</v>
      </c>
      <c r="F47" s="1665">
        <v>9</v>
      </c>
      <c r="G47" s="1640"/>
      <c r="H47" s="1640">
        <v>286</v>
      </c>
      <c r="I47" s="1648" t="s">
        <v>1649</v>
      </c>
      <c r="J47" s="1649">
        <v>2</v>
      </c>
      <c r="K47" s="1648"/>
      <c r="L47" s="1640"/>
      <c r="M47" s="1640"/>
      <c r="N47" s="1642"/>
      <c r="O47" s="2876">
        <v>0</v>
      </c>
      <c r="P47" s="2870">
        <v>154136841</v>
      </c>
      <c r="Q47" s="2870">
        <v>0</v>
      </c>
      <c r="R47" s="2870">
        <v>0</v>
      </c>
      <c r="S47" s="2870"/>
      <c r="T47" s="2870" t="s">
        <v>1594</v>
      </c>
      <c r="U47" s="2875">
        <v>154136841</v>
      </c>
      <c r="V47" s="2869">
        <v>15.447994</v>
      </c>
      <c r="W47" s="2870">
        <v>154136841</v>
      </c>
      <c r="X47" s="2870">
        <v>51874364</v>
      </c>
      <c r="Y47" s="2870">
        <v>3758873</v>
      </c>
      <c r="Z47" s="2870"/>
      <c r="AA47" s="2877">
        <v>13.579114414467018</v>
      </c>
      <c r="AB47" s="2875">
        <v>209770078</v>
      </c>
      <c r="AC47" s="2869">
        <v>67.509236999999999</v>
      </c>
      <c r="AD47" s="2870">
        <v>154188109</v>
      </c>
      <c r="AE47" s="2870">
        <v>219270002</v>
      </c>
      <c r="AF47" s="2870">
        <v>15003826</v>
      </c>
      <c r="AG47" s="2870"/>
      <c r="AH47" s="2877">
        <v>5.7542042283784065</v>
      </c>
      <c r="AI47" s="2875">
        <v>388461937</v>
      </c>
      <c r="AJ47" s="2869">
        <v>103.663062</v>
      </c>
      <c r="AK47" s="2870">
        <v>154444449</v>
      </c>
      <c r="AL47" s="2870">
        <v>311818491</v>
      </c>
      <c r="AM47" s="2870">
        <v>21242062</v>
      </c>
      <c r="AN47" s="2870"/>
      <c r="AO47" s="2877">
        <v>4.7027841218890485</v>
      </c>
      <c r="AP47" s="2875">
        <v>487505002</v>
      </c>
      <c r="AQ47" s="2869">
        <v>106.04584800000001</v>
      </c>
      <c r="AR47" s="2870">
        <v>154444449</v>
      </c>
      <c r="AS47" s="2870">
        <v>331605367</v>
      </c>
      <c r="AT47" s="2870">
        <v>21929264</v>
      </c>
      <c r="AU47" s="2870"/>
      <c r="AV47" s="2877">
        <v>4.7901835817277822</v>
      </c>
      <c r="AW47" s="2875">
        <v>507979080</v>
      </c>
      <c r="AX47" s="2869">
        <v>112.864464</v>
      </c>
      <c r="AY47" s="2870">
        <v>154444449</v>
      </c>
      <c r="AZ47" s="2870">
        <v>350782754</v>
      </c>
      <c r="BA47" s="2870">
        <v>20278948</v>
      </c>
      <c r="BB47" s="2870"/>
      <c r="BC47" s="2877">
        <v>4.6560815723184579</v>
      </c>
      <c r="BD47" s="2875">
        <v>525506151</v>
      </c>
      <c r="BE47" s="2869">
        <v>72.767640999999998</v>
      </c>
      <c r="BF47" s="2870">
        <v>154306026</v>
      </c>
      <c r="BG47" s="2870">
        <v>220267649</v>
      </c>
      <c r="BH47" s="2870">
        <v>23150321</v>
      </c>
      <c r="BI47" s="2870"/>
      <c r="BJ47" s="2877">
        <v>5.4656711490757273</v>
      </c>
      <c r="BK47" s="2875">
        <v>397723996</v>
      </c>
      <c r="BL47" s="2869">
        <v>42.522191999999997</v>
      </c>
      <c r="BM47" s="2870">
        <v>154136841</v>
      </c>
      <c r="BN47" s="2870">
        <v>122974179</v>
      </c>
      <c r="BO47" s="2870">
        <v>13129442</v>
      </c>
      <c r="BP47" s="2870"/>
      <c r="BQ47" s="2877">
        <v>6.8256232416240445</v>
      </c>
      <c r="BR47" s="2875">
        <v>290240462</v>
      </c>
      <c r="BS47" s="2869">
        <v>69.681608999999995</v>
      </c>
      <c r="BT47" s="2870">
        <v>154136841</v>
      </c>
      <c r="BU47" s="2870">
        <v>197198953</v>
      </c>
      <c r="BV47" s="2870">
        <v>18179357</v>
      </c>
      <c r="BW47" s="2870"/>
      <c r="BX47" s="2877">
        <v>5.3029078447370521</v>
      </c>
      <c r="BY47" s="2875">
        <v>369515151</v>
      </c>
      <c r="BZ47" s="2869">
        <v>100.103269</v>
      </c>
      <c r="CA47" s="2870">
        <v>154136841</v>
      </c>
      <c r="CB47" s="2870">
        <v>287596692</v>
      </c>
      <c r="CC47" s="2870">
        <v>34258575</v>
      </c>
      <c r="CD47" s="2870"/>
      <c r="CE47" s="2877">
        <v>4.7550106280744942</v>
      </c>
      <c r="CF47" s="2875">
        <v>475992108</v>
      </c>
      <c r="CG47" s="2869">
        <v>66.293008999999998</v>
      </c>
      <c r="CH47" s="2870">
        <v>154111207</v>
      </c>
      <c r="CI47" s="2870">
        <v>194371102</v>
      </c>
      <c r="CJ47" s="2870">
        <v>25162176</v>
      </c>
      <c r="CK47" s="2870"/>
      <c r="CL47" s="2877">
        <v>5.6362577387307917</v>
      </c>
      <c r="CM47" s="2875">
        <v>373644485</v>
      </c>
      <c r="CN47" s="2872">
        <v>96.655569999999997</v>
      </c>
      <c r="CO47" s="2870"/>
      <c r="CP47" s="2870">
        <v>412473192</v>
      </c>
      <c r="CQ47" s="2870"/>
      <c r="CR47" s="2870"/>
      <c r="CS47" s="2877">
        <v>4.267453929452798</v>
      </c>
      <c r="CT47" s="2875">
        <v>412473192</v>
      </c>
      <c r="CU47" s="2878">
        <v>853.55389500000001</v>
      </c>
      <c r="CV47" s="2870">
        <v>1696622894</v>
      </c>
      <c r="CW47" s="2870">
        <v>2700232745</v>
      </c>
      <c r="CX47" s="2870">
        <v>196092844</v>
      </c>
      <c r="CY47" s="2870">
        <v>0</v>
      </c>
      <c r="CZ47" s="2879">
        <v>5.3809706802404085</v>
      </c>
      <c r="DA47" s="2875">
        <v>4592948483</v>
      </c>
      <c r="DJ47" s="1611" t="s">
        <v>1649</v>
      </c>
      <c r="DK47" s="2782" t="s">
        <v>1649</v>
      </c>
      <c r="DM47" s="1650">
        <v>3.1635175714358379</v>
      </c>
    </row>
    <row r="48" spans="1:117" ht="21" customHeight="1">
      <c r="A48" s="1652">
        <v>5</v>
      </c>
      <c r="B48" s="1668" t="s">
        <v>1684</v>
      </c>
      <c r="C48" s="1645">
        <v>420</v>
      </c>
      <c r="D48" s="1646">
        <v>30.714285714285715</v>
      </c>
      <c r="E48" s="1646">
        <v>98.739000000000004</v>
      </c>
      <c r="F48" s="1665">
        <v>9.8000000000000007</v>
      </c>
      <c r="G48" s="1640"/>
      <c r="H48" s="1640">
        <v>129</v>
      </c>
      <c r="I48" s="1648" t="s">
        <v>1649</v>
      </c>
      <c r="J48" s="1649">
        <v>2</v>
      </c>
      <c r="K48" s="1648"/>
      <c r="L48" s="1640"/>
      <c r="M48" s="1640"/>
      <c r="N48" s="1642"/>
      <c r="O48" s="2876">
        <v>0</v>
      </c>
      <c r="P48" s="2870">
        <v>77358311</v>
      </c>
      <c r="Q48" s="2870">
        <v>0</v>
      </c>
      <c r="R48" s="2870">
        <v>0</v>
      </c>
      <c r="S48" s="2870"/>
      <c r="T48" s="2870" t="s">
        <v>1594</v>
      </c>
      <c r="U48" s="2875">
        <v>77358311</v>
      </c>
      <c r="V48" s="2869">
        <v>10.465467</v>
      </c>
      <c r="W48" s="2870">
        <v>77358311</v>
      </c>
      <c r="X48" s="2870">
        <v>35457002</v>
      </c>
      <c r="Y48" s="2870">
        <v>2720079</v>
      </c>
      <c r="Z48" s="2870"/>
      <c r="AA48" s="2877">
        <v>11.039678592460326</v>
      </c>
      <c r="AB48" s="2875">
        <v>115535392</v>
      </c>
      <c r="AC48" s="2869">
        <v>50.713856</v>
      </c>
      <c r="AD48" s="2870">
        <v>77512506</v>
      </c>
      <c r="AE48" s="2870">
        <v>166189306</v>
      </c>
      <c r="AF48" s="2870">
        <v>12450180</v>
      </c>
      <c r="AG48" s="2870"/>
      <c r="AH48" s="2877">
        <v>5.0509271470108681</v>
      </c>
      <c r="AI48" s="2875">
        <v>256151992</v>
      </c>
      <c r="AJ48" s="2869">
        <v>54.690389000000003</v>
      </c>
      <c r="AK48" s="2870">
        <v>78283480</v>
      </c>
      <c r="AL48" s="2870">
        <v>165930640</v>
      </c>
      <c r="AM48" s="2870">
        <v>11611382</v>
      </c>
      <c r="AN48" s="2870"/>
      <c r="AO48" s="2877">
        <v>4.6777049254486016</v>
      </c>
      <c r="AP48" s="2875">
        <v>255825502</v>
      </c>
      <c r="AQ48" s="2869">
        <v>55.770344999999999</v>
      </c>
      <c r="AR48" s="2870">
        <v>78283480</v>
      </c>
      <c r="AS48" s="2870">
        <v>175955438</v>
      </c>
      <c r="AT48" s="2870">
        <v>12631939</v>
      </c>
      <c r="AU48" s="2870"/>
      <c r="AV48" s="2877">
        <v>4.7851749348152675</v>
      </c>
      <c r="AW48" s="2875">
        <v>266870857</v>
      </c>
      <c r="AX48" s="2869">
        <v>50.559916999999999</v>
      </c>
      <c r="AY48" s="2870">
        <v>78283480</v>
      </c>
      <c r="AZ48" s="2870">
        <v>158505340</v>
      </c>
      <c r="BA48" s="2870">
        <v>9676591</v>
      </c>
      <c r="BB48" s="2870"/>
      <c r="BC48" s="2877">
        <v>4.8747194541478382</v>
      </c>
      <c r="BD48" s="2875">
        <v>246465411</v>
      </c>
      <c r="BE48" s="2869">
        <v>14.755877999999999</v>
      </c>
      <c r="BF48" s="2870">
        <v>77865968</v>
      </c>
      <c r="BG48" s="2870">
        <v>45064451</v>
      </c>
      <c r="BH48" s="2870">
        <v>10007393</v>
      </c>
      <c r="BI48" s="2870"/>
      <c r="BJ48" s="2877">
        <v>9.0091427971958016</v>
      </c>
      <c r="BK48" s="2875">
        <v>132937812</v>
      </c>
      <c r="BL48" s="2869">
        <v>25.803127</v>
      </c>
      <c r="BM48" s="2870">
        <v>75108549</v>
      </c>
      <c r="BN48" s="2870">
        <v>75293525</v>
      </c>
      <c r="BO48" s="2870">
        <v>13112142</v>
      </c>
      <c r="BP48" s="2870"/>
      <c r="BQ48" s="2877">
        <v>6.336992256791202</v>
      </c>
      <c r="BR48" s="2875">
        <v>163514216</v>
      </c>
      <c r="BS48" s="2869">
        <v>38.630842999999999</v>
      </c>
      <c r="BT48" s="2870">
        <v>79608073</v>
      </c>
      <c r="BU48" s="2870">
        <v>110291057</v>
      </c>
      <c r="BV48" s="2870">
        <v>17650958</v>
      </c>
      <c r="BW48" s="2870"/>
      <c r="BX48" s="2877">
        <v>5.3726523130753323</v>
      </c>
      <c r="BY48" s="2875">
        <v>207550088</v>
      </c>
      <c r="BZ48" s="2869">
        <v>42.703873000000002</v>
      </c>
      <c r="CA48" s="2870">
        <v>77358311</v>
      </c>
      <c r="CB48" s="2870">
        <v>123798528</v>
      </c>
      <c r="CC48" s="2870">
        <v>22895581</v>
      </c>
      <c r="CD48" s="2870"/>
      <c r="CE48" s="2877">
        <v>5.2466533890263305</v>
      </c>
      <c r="CF48" s="2875">
        <v>224052420</v>
      </c>
      <c r="CG48" s="2869">
        <v>34.130172999999999</v>
      </c>
      <c r="CH48" s="2870">
        <v>77263423</v>
      </c>
      <c r="CI48" s="2870">
        <v>100957052</v>
      </c>
      <c r="CJ48" s="2870">
        <v>9846598</v>
      </c>
      <c r="CK48" s="2870"/>
      <c r="CL48" s="2877">
        <v>5.5102877152131633</v>
      </c>
      <c r="CM48" s="2875">
        <v>188067073</v>
      </c>
      <c r="CN48" s="2872">
        <v>37.807355999999999</v>
      </c>
      <c r="CO48" s="2870"/>
      <c r="CP48" s="2870">
        <v>183943786</v>
      </c>
      <c r="CQ48" s="2870"/>
      <c r="CR48" s="2870"/>
      <c r="CS48" s="2877">
        <v>4.8652909238085833</v>
      </c>
      <c r="CT48" s="2875">
        <v>183943786</v>
      </c>
      <c r="CU48" s="2878">
        <v>416.03122399999995</v>
      </c>
      <c r="CV48" s="2870">
        <v>854283892</v>
      </c>
      <c r="CW48" s="2870">
        <v>1341386125</v>
      </c>
      <c r="CX48" s="2870">
        <v>122602843</v>
      </c>
      <c r="CY48" s="2870">
        <v>0</v>
      </c>
      <c r="CZ48" s="2879">
        <v>5.5723530501162584</v>
      </c>
      <c r="DA48" s="2875">
        <v>2318272860</v>
      </c>
      <c r="DJ48" s="1611" t="s">
        <v>1649</v>
      </c>
      <c r="DK48" s="2782" t="s">
        <v>1649</v>
      </c>
      <c r="DM48" s="1650">
        <v>3.2242438730992946</v>
      </c>
    </row>
    <row r="49" spans="1:117" ht="21" customHeight="1">
      <c r="A49" s="1652">
        <v>6</v>
      </c>
      <c r="B49" s="1668" t="s">
        <v>1685</v>
      </c>
      <c r="C49" s="2782">
        <v>210</v>
      </c>
      <c r="D49" s="1646">
        <v>30</v>
      </c>
      <c r="E49" s="1646">
        <v>103.13</v>
      </c>
      <c r="F49" s="1665">
        <v>9</v>
      </c>
      <c r="G49" s="1640"/>
      <c r="H49" s="1640">
        <v>63</v>
      </c>
      <c r="I49" s="1648" t="s">
        <v>1649</v>
      </c>
      <c r="J49" s="1649">
        <v>2</v>
      </c>
      <c r="K49" s="1648"/>
      <c r="L49" s="1640"/>
      <c r="M49" s="1640"/>
      <c r="N49" s="1642"/>
      <c r="O49" s="2876">
        <v>21.813079999999999</v>
      </c>
      <c r="P49" s="2870">
        <v>50940740</v>
      </c>
      <c r="Q49" s="2870">
        <v>79334172</v>
      </c>
      <c r="R49" s="2870">
        <v>1590609</v>
      </c>
      <c r="S49" s="2870"/>
      <c r="T49" s="2870">
        <v>6.0452499601156733</v>
      </c>
      <c r="U49" s="2875">
        <v>131865521</v>
      </c>
      <c r="V49" s="2869">
        <v>23.691139</v>
      </c>
      <c r="W49" s="2870">
        <v>50940740</v>
      </c>
      <c r="X49" s="2870">
        <v>79554845</v>
      </c>
      <c r="Y49" s="2870">
        <v>11075249</v>
      </c>
      <c r="Z49" s="2870"/>
      <c r="AA49" s="2877">
        <v>5.9756871123840858</v>
      </c>
      <c r="AB49" s="2875">
        <v>141570834</v>
      </c>
      <c r="AC49" s="2869">
        <v>24.014737</v>
      </c>
      <c r="AD49" s="2870">
        <v>51047765</v>
      </c>
      <c r="AE49" s="2870">
        <v>77999866</v>
      </c>
      <c r="AF49" s="2870">
        <v>6195395</v>
      </c>
      <c r="AG49" s="2870"/>
      <c r="AH49" s="2877">
        <v>5.6316680045257206</v>
      </c>
      <c r="AI49" s="2875">
        <v>135243026</v>
      </c>
      <c r="AJ49" s="2869">
        <v>27.180617000000002</v>
      </c>
      <c r="AK49" s="2870">
        <v>51579696</v>
      </c>
      <c r="AL49" s="2870">
        <v>81759296</v>
      </c>
      <c r="AM49" s="2870">
        <v>8075760</v>
      </c>
      <c r="AN49" s="2870"/>
      <c r="AO49" s="2877">
        <v>5.2027793188064866</v>
      </c>
      <c r="AP49" s="2875">
        <v>141414752</v>
      </c>
      <c r="AQ49" s="2869">
        <v>27.951563</v>
      </c>
      <c r="AR49" s="2870">
        <v>51579696</v>
      </c>
      <c r="AS49" s="2870">
        <v>87404538</v>
      </c>
      <c r="AT49" s="2870">
        <v>6060583</v>
      </c>
      <c r="AU49" s="2870"/>
      <c r="AV49" s="2877">
        <v>5.1891487069971722</v>
      </c>
      <c r="AW49" s="2875">
        <v>145044817</v>
      </c>
      <c r="AX49" s="2869">
        <v>31.019988000000001</v>
      </c>
      <c r="AY49" s="2870">
        <v>51579696</v>
      </c>
      <c r="AZ49" s="2870">
        <v>96410123</v>
      </c>
      <c r="BA49" s="2870">
        <v>4058008</v>
      </c>
      <c r="BB49" s="2870"/>
      <c r="BC49" s="2877">
        <v>4.9016081824403024</v>
      </c>
      <c r="BD49" s="2875">
        <v>152047827</v>
      </c>
      <c r="BE49" s="2869">
        <v>18.084517999999999</v>
      </c>
      <c r="BF49" s="2870">
        <v>51282582</v>
      </c>
      <c r="BG49" s="2870">
        <v>54741836</v>
      </c>
      <c r="BH49" s="2870">
        <v>11173384</v>
      </c>
      <c r="BI49" s="2870"/>
      <c r="BJ49" s="2877">
        <v>6.4805598910626205</v>
      </c>
      <c r="BK49" s="2875">
        <v>117197802</v>
      </c>
      <c r="BL49" s="2869">
        <v>18.151553</v>
      </c>
      <c r="BM49" s="2870">
        <v>50924766</v>
      </c>
      <c r="BN49" s="2870">
        <v>52494291</v>
      </c>
      <c r="BO49" s="2870">
        <v>10587033</v>
      </c>
      <c r="BP49" s="2870"/>
      <c r="BQ49" s="2877">
        <v>6.2807898585867559</v>
      </c>
      <c r="BR49" s="2875">
        <v>114006090</v>
      </c>
      <c r="BS49" s="2869">
        <v>21.039867000000001</v>
      </c>
      <c r="BT49" s="2870">
        <v>50924766</v>
      </c>
      <c r="BU49" s="2870">
        <v>59542824</v>
      </c>
      <c r="BV49" s="2870">
        <v>11304588</v>
      </c>
      <c r="BW49" s="2870"/>
      <c r="BX49" s="2877">
        <v>5.7876876312953875</v>
      </c>
      <c r="BY49" s="2875">
        <v>121772178</v>
      </c>
      <c r="BZ49" s="2869">
        <v>21.835750999999998</v>
      </c>
      <c r="CA49" s="2870">
        <v>50924766</v>
      </c>
      <c r="CB49" s="2870">
        <v>62734113</v>
      </c>
      <c r="CC49" s="2870">
        <v>14515546</v>
      </c>
      <c r="CD49" s="2870"/>
      <c r="CE49" s="2877">
        <v>5.8699343567345128</v>
      </c>
      <c r="CF49" s="2875">
        <v>128174425</v>
      </c>
      <c r="CG49" s="2869">
        <v>17.220051999999999</v>
      </c>
      <c r="CH49" s="2870">
        <v>50860871</v>
      </c>
      <c r="CI49" s="2870">
        <v>50489192</v>
      </c>
      <c r="CJ49" s="2870">
        <v>13045762</v>
      </c>
      <c r="CK49" s="2870"/>
      <c r="CL49" s="2877">
        <v>6.6431753516191474</v>
      </c>
      <c r="CM49" s="2875">
        <v>114395825</v>
      </c>
      <c r="CN49" s="2872">
        <v>0</v>
      </c>
      <c r="CO49" s="2870"/>
      <c r="CP49" s="2870">
        <v>49315848</v>
      </c>
      <c r="CQ49" s="2870"/>
      <c r="CR49" s="2870"/>
      <c r="CS49" s="2877">
        <v>0</v>
      </c>
      <c r="CT49" s="2875">
        <v>49315848</v>
      </c>
      <c r="CU49" s="2878">
        <v>252.00286500000001</v>
      </c>
      <c r="CV49" s="2870">
        <v>562586084</v>
      </c>
      <c r="CW49" s="2870">
        <v>831780944</v>
      </c>
      <c r="CX49" s="2870">
        <v>97681917</v>
      </c>
      <c r="CY49" s="2870">
        <v>0</v>
      </c>
      <c r="CZ49" s="2879">
        <v>5.9207618334021719</v>
      </c>
      <c r="DA49" s="2875">
        <v>1492048945</v>
      </c>
      <c r="DJ49" s="1611" t="s">
        <v>1649</v>
      </c>
      <c r="DK49" s="2782" t="s">
        <v>1649</v>
      </c>
      <c r="DM49" s="1650">
        <v>3.3006805061521822</v>
      </c>
    </row>
    <row r="50" spans="1:117" ht="21" customHeight="1">
      <c r="A50" s="1652">
        <v>7</v>
      </c>
      <c r="B50" s="1668" t="s">
        <v>1686</v>
      </c>
      <c r="C50" s="1645">
        <v>500</v>
      </c>
      <c r="D50" s="1646">
        <v>44.6</v>
      </c>
      <c r="E50" s="1646">
        <v>95.677999999999997</v>
      </c>
      <c r="F50" s="1670">
        <v>6.25</v>
      </c>
      <c r="G50" s="1640"/>
      <c r="H50" s="1640">
        <v>223</v>
      </c>
      <c r="I50" s="1648" t="s">
        <v>1649</v>
      </c>
      <c r="J50" s="1649">
        <v>2</v>
      </c>
      <c r="K50" s="1648"/>
      <c r="L50" s="1640"/>
      <c r="M50" s="1640"/>
      <c r="N50" s="1642"/>
      <c r="O50" s="2876">
        <v>82.692318</v>
      </c>
      <c r="P50" s="2870">
        <v>210851885</v>
      </c>
      <c r="Q50" s="2870">
        <v>283469266</v>
      </c>
      <c r="R50" s="2870">
        <v>5841280</v>
      </c>
      <c r="S50" s="2870"/>
      <c r="T50" s="2870">
        <v>6.0484751558179806</v>
      </c>
      <c r="U50" s="2875">
        <v>500162431</v>
      </c>
      <c r="V50" s="2869">
        <v>89.881202000000002</v>
      </c>
      <c r="W50" s="2870">
        <v>210851885</v>
      </c>
      <c r="X50" s="2870">
        <v>284384123</v>
      </c>
      <c r="Y50" s="2870">
        <v>-5841280</v>
      </c>
      <c r="Z50" s="2870"/>
      <c r="AA50" s="2877">
        <v>5.4449063553911969</v>
      </c>
      <c r="AB50" s="2875">
        <v>489394728</v>
      </c>
      <c r="AC50" s="2869">
        <v>86.052819999999997</v>
      </c>
      <c r="AD50" s="2870">
        <v>211146574</v>
      </c>
      <c r="AE50" s="2870">
        <v>263407682</v>
      </c>
      <c r="AF50" s="2870">
        <v>66840426</v>
      </c>
      <c r="AG50" s="2870"/>
      <c r="AH50" s="2877">
        <v>6.2914228958446685</v>
      </c>
      <c r="AI50" s="2875">
        <v>541394682</v>
      </c>
      <c r="AJ50" s="2869">
        <v>88.308357999999998</v>
      </c>
      <c r="AK50" s="2870">
        <v>212620016</v>
      </c>
      <c r="AL50" s="2870">
        <v>250265887</v>
      </c>
      <c r="AM50" s="2870">
        <v>12498740</v>
      </c>
      <c r="AN50" s="2870"/>
      <c r="AO50" s="2877">
        <v>5.3832349934532813</v>
      </c>
      <c r="AP50" s="2875">
        <v>475384643</v>
      </c>
      <c r="AQ50" s="2869">
        <v>102.76652300000001</v>
      </c>
      <c r="AR50" s="2870">
        <v>212620016</v>
      </c>
      <c r="AS50" s="2870">
        <v>302852943</v>
      </c>
      <c r="AT50" s="2870">
        <v>15058499</v>
      </c>
      <c r="AU50" s="2870"/>
      <c r="AV50" s="2877">
        <v>5.1624930231413977</v>
      </c>
      <c r="AW50" s="2875">
        <v>530531458</v>
      </c>
      <c r="AX50" s="2869">
        <v>98.565612999999999</v>
      </c>
      <c r="AY50" s="2870">
        <v>212620016</v>
      </c>
      <c r="AZ50" s="2870">
        <v>288698680</v>
      </c>
      <c r="BA50" s="2870">
        <v>10823956</v>
      </c>
      <c r="BB50" s="2870"/>
      <c r="BC50" s="2877">
        <v>5.1959566466654046</v>
      </c>
      <c r="BD50" s="2875">
        <v>512142652</v>
      </c>
      <c r="BE50" s="2869">
        <v>81.855554999999995</v>
      </c>
      <c r="BF50" s="2870">
        <v>211817556</v>
      </c>
      <c r="BG50" s="2870">
        <v>233533898</v>
      </c>
      <c r="BH50" s="2870">
        <v>30981568</v>
      </c>
      <c r="BI50" s="2870"/>
      <c r="BJ50" s="2877">
        <v>5.8191899376896288</v>
      </c>
      <c r="BK50" s="2875">
        <v>476333022</v>
      </c>
      <c r="BL50" s="2869">
        <v>74.075689999999994</v>
      </c>
      <c r="BM50" s="2870">
        <v>210851885</v>
      </c>
      <c r="BN50" s="2870">
        <v>201930331</v>
      </c>
      <c r="BO50" s="2870">
        <v>25972804</v>
      </c>
      <c r="BP50" s="2870"/>
      <c r="BQ50" s="2877">
        <v>5.9230635583684741</v>
      </c>
      <c r="BR50" s="2875">
        <v>438755020</v>
      </c>
      <c r="BS50" s="2869">
        <v>47.111978999999998</v>
      </c>
      <c r="BT50" s="2870">
        <v>210851885</v>
      </c>
      <c r="BU50" s="2870">
        <v>125647648</v>
      </c>
      <c r="BV50" s="2870">
        <v>14925806</v>
      </c>
      <c r="BW50" s="2870"/>
      <c r="BX50" s="2877">
        <v>7.4593627026366267</v>
      </c>
      <c r="BY50" s="2875">
        <v>351425339</v>
      </c>
      <c r="BZ50" s="2869">
        <v>9.6523009999999996</v>
      </c>
      <c r="CA50" s="2870">
        <v>146899268</v>
      </c>
      <c r="CB50" s="2870">
        <v>26138431</v>
      </c>
      <c r="CC50" s="2870">
        <v>11843059</v>
      </c>
      <c r="CD50" s="2870"/>
      <c r="CE50" s="2877">
        <v>19.154060570634918</v>
      </c>
      <c r="CF50" s="2875">
        <v>184880758</v>
      </c>
      <c r="CG50" s="2869">
        <v>83.103498000000002</v>
      </c>
      <c r="CH50" s="2870">
        <v>254795855</v>
      </c>
      <c r="CI50" s="2870">
        <v>229614965</v>
      </c>
      <c r="CJ50" s="2870">
        <v>12482044</v>
      </c>
      <c r="CK50" s="2870"/>
      <c r="CL50" s="2877">
        <v>5.9792051593303572</v>
      </c>
      <c r="CM50" s="2875">
        <v>496892864</v>
      </c>
      <c r="CN50" s="2872">
        <v>88.910696999999999</v>
      </c>
      <c r="CO50" s="2870"/>
      <c r="CP50" s="2870">
        <v>485202221</v>
      </c>
      <c r="CQ50" s="2870"/>
      <c r="CR50" s="2870"/>
      <c r="CS50" s="2877">
        <v>5.4571861133874586</v>
      </c>
      <c r="CT50" s="2875">
        <v>485202221</v>
      </c>
      <c r="CU50" s="2878">
        <v>932.97655400000008</v>
      </c>
      <c r="CV50" s="2870">
        <v>2305926841</v>
      </c>
      <c r="CW50" s="2870">
        <v>2975146075</v>
      </c>
      <c r="CX50" s="2870">
        <v>201426902</v>
      </c>
      <c r="CY50" s="2870">
        <v>0</v>
      </c>
      <c r="CZ50" s="2879">
        <v>5.8763532636426783</v>
      </c>
      <c r="DA50" s="2875">
        <v>5482499818</v>
      </c>
      <c r="DJ50" s="1611" t="s">
        <v>1649</v>
      </c>
      <c r="DK50" s="2782" t="s">
        <v>1649</v>
      </c>
      <c r="DM50" s="1650">
        <v>3.1888754998659907</v>
      </c>
    </row>
    <row r="51" spans="1:117" ht="21" customHeight="1">
      <c r="A51" s="1652">
        <v>8</v>
      </c>
      <c r="B51" s="1668" t="s">
        <v>1687</v>
      </c>
      <c r="C51" s="1645">
        <v>1600</v>
      </c>
      <c r="D51" s="1646">
        <v>0</v>
      </c>
      <c r="E51" s="1646">
        <v>89.234999999999999</v>
      </c>
      <c r="F51" s="1670">
        <v>6.78</v>
      </c>
      <c r="G51" s="1640"/>
      <c r="H51" s="1640"/>
      <c r="I51" s="1648" t="s">
        <v>1649</v>
      </c>
      <c r="J51" s="1649">
        <v>1</v>
      </c>
      <c r="K51" s="1648"/>
      <c r="L51" s="1640"/>
      <c r="M51" s="1640"/>
      <c r="N51" s="1642"/>
      <c r="O51" s="2876">
        <v>12.248158</v>
      </c>
      <c r="P51" s="2870">
        <v>15869791</v>
      </c>
      <c r="Q51" s="2870">
        <v>36070825</v>
      </c>
      <c r="R51" s="2870">
        <v>2278653</v>
      </c>
      <c r="S51" s="2870"/>
      <c r="T51" s="2870">
        <v>4.4267284109169722</v>
      </c>
      <c r="U51" s="2875">
        <v>54219269</v>
      </c>
      <c r="V51" s="2869">
        <v>16.246096000000001</v>
      </c>
      <c r="W51" s="2870">
        <v>15869791</v>
      </c>
      <c r="X51" s="2870">
        <v>47796014</v>
      </c>
      <c r="Y51" s="2870">
        <v>-240053</v>
      </c>
      <c r="Z51" s="2870"/>
      <c r="AA51" s="2877">
        <v>3.904061135672225</v>
      </c>
      <c r="AB51" s="2875">
        <v>63425752</v>
      </c>
      <c r="AC51" s="2869">
        <v>12.130966000000001</v>
      </c>
      <c r="AD51" s="2870">
        <v>15869791</v>
      </c>
      <c r="AE51" s="2870">
        <v>34185062</v>
      </c>
      <c r="AF51" s="2870">
        <v>1823977</v>
      </c>
      <c r="AG51" s="2870"/>
      <c r="AH51" s="2877">
        <v>4.2765621468232622</v>
      </c>
      <c r="AI51" s="2875">
        <v>51878830</v>
      </c>
      <c r="AJ51" s="2869">
        <v>36.228707999999997</v>
      </c>
      <c r="AK51" s="2870">
        <v>15869791</v>
      </c>
      <c r="AL51" s="2870">
        <v>94484470</v>
      </c>
      <c r="AM51" s="2870">
        <v>-3862576</v>
      </c>
      <c r="AN51" s="2870"/>
      <c r="AO51" s="2877">
        <v>2.9394281739221837</v>
      </c>
      <c r="AP51" s="2875">
        <v>106491685</v>
      </c>
      <c r="AQ51" s="2869">
        <v>24.475285</v>
      </c>
      <c r="AR51" s="2870">
        <v>15869791</v>
      </c>
      <c r="AS51" s="2870">
        <v>63611266</v>
      </c>
      <c r="AT51" s="2870"/>
      <c r="AU51" s="2870"/>
      <c r="AV51" s="2877">
        <v>3.2474006737817351</v>
      </c>
      <c r="AW51" s="2875">
        <v>79481057</v>
      </c>
      <c r="AX51" s="2869">
        <v>47.350318000000001</v>
      </c>
      <c r="AY51" s="2870">
        <v>15869791</v>
      </c>
      <c r="AZ51" s="2870">
        <v>127277655</v>
      </c>
      <c r="BA51" s="2870">
        <v>0</v>
      </c>
      <c r="BB51" s="2870"/>
      <c r="BC51" s="2877">
        <v>3.0231570144893221</v>
      </c>
      <c r="BD51" s="2875">
        <v>143147446</v>
      </c>
      <c r="BE51" s="2869">
        <v>20.059654999999999</v>
      </c>
      <c r="BF51" s="2870">
        <v>15869791</v>
      </c>
      <c r="BG51" s="2870">
        <v>54782918</v>
      </c>
      <c r="BH51" s="2870">
        <v>0</v>
      </c>
      <c r="BI51" s="2870"/>
      <c r="BJ51" s="2877">
        <v>3.5221298172874858</v>
      </c>
      <c r="BK51" s="2875">
        <v>70652709</v>
      </c>
      <c r="BL51" s="2869">
        <v>9.4071719999999992</v>
      </c>
      <c r="BM51" s="2870">
        <v>15869791</v>
      </c>
      <c r="BN51" s="2870">
        <v>25258257</v>
      </c>
      <c r="BO51" s="2870">
        <v>0</v>
      </c>
      <c r="BP51" s="2870"/>
      <c r="BQ51" s="2877">
        <v>4.3719885210985829</v>
      </c>
      <c r="BR51" s="2875">
        <v>41128048</v>
      </c>
      <c r="BS51" s="2869">
        <v>9.9138369999999991</v>
      </c>
      <c r="BT51" s="2870">
        <v>15869791</v>
      </c>
      <c r="BU51" s="2870">
        <v>26172530</v>
      </c>
      <c r="BV51" s="2870">
        <v>0</v>
      </c>
      <c r="BW51" s="2870"/>
      <c r="BX51" s="2877">
        <v>4.2407718625997184</v>
      </c>
      <c r="BY51" s="2875">
        <v>42042321</v>
      </c>
      <c r="BZ51" s="2869">
        <v>10.456597</v>
      </c>
      <c r="CA51" s="2870">
        <v>15869791</v>
      </c>
      <c r="CB51" s="2870">
        <v>27082586</v>
      </c>
      <c r="CC51" s="2870">
        <v>-94919</v>
      </c>
      <c r="CD51" s="2870"/>
      <c r="CE51" s="2877">
        <v>4.0986047372773378</v>
      </c>
      <c r="CF51" s="2875">
        <v>42857458</v>
      </c>
      <c r="CG51" s="2869">
        <v>9.6913219999999995</v>
      </c>
      <c r="CH51" s="2870">
        <v>15869791</v>
      </c>
      <c r="CI51" s="2870">
        <v>25517251</v>
      </c>
      <c r="CJ51" s="2870">
        <v>-249568</v>
      </c>
      <c r="CK51" s="2870"/>
      <c r="CL51" s="2877">
        <v>4.2447742423582664</v>
      </c>
      <c r="CM51" s="2875">
        <v>41137474</v>
      </c>
      <c r="CN51" s="2872">
        <v>13.334894999999999</v>
      </c>
      <c r="CO51" s="2870"/>
      <c r="CP51" s="2870">
        <v>50241303</v>
      </c>
      <c r="CQ51" s="2870"/>
      <c r="CR51" s="2870"/>
      <c r="CS51" s="2877">
        <v>3.7676564382396713</v>
      </c>
      <c r="CT51" s="2875">
        <v>50241303</v>
      </c>
      <c r="CU51" s="2878">
        <v>221.54300899999996</v>
      </c>
      <c r="CV51" s="2870">
        <v>174567701</v>
      </c>
      <c r="CW51" s="2870">
        <v>612480137</v>
      </c>
      <c r="CX51" s="2870">
        <v>-344486</v>
      </c>
      <c r="CY51" s="2870">
        <v>0</v>
      </c>
      <c r="CZ51" s="2879">
        <v>3.5510186286221299</v>
      </c>
      <c r="DA51" s="2875">
        <v>786703352</v>
      </c>
      <c r="DJ51" s="1611" t="e">
        <v>#N/A</v>
      </c>
      <c r="DK51" s="2782" t="s">
        <v>1649</v>
      </c>
      <c r="DM51" s="1650">
        <v>2.7646105366385094</v>
      </c>
    </row>
    <row r="52" spans="1:117" ht="21" customHeight="1">
      <c r="A52" s="1652">
        <v>9</v>
      </c>
      <c r="B52" s="1668" t="s">
        <v>1688</v>
      </c>
      <c r="C52" s="1645">
        <v>840</v>
      </c>
      <c r="D52" s="1646">
        <v>0</v>
      </c>
      <c r="E52" s="1646">
        <v>88.73</v>
      </c>
      <c r="F52" s="1665">
        <v>9</v>
      </c>
      <c r="G52" s="1640"/>
      <c r="H52" s="1640"/>
      <c r="I52" s="1648" t="s">
        <v>1649</v>
      </c>
      <c r="J52" s="1649">
        <v>1</v>
      </c>
      <c r="K52" s="1648"/>
      <c r="L52" s="1640"/>
      <c r="M52" s="1640"/>
      <c r="N52" s="1642"/>
      <c r="O52" s="2876">
        <v>31.878488999999998</v>
      </c>
      <c r="P52" s="2870">
        <v>45332761</v>
      </c>
      <c r="Q52" s="2870">
        <v>72045385</v>
      </c>
      <c r="R52" s="2870">
        <v>0</v>
      </c>
      <c r="S52" s="2870"/>
      <c r="T52" s="2870">
        <v>3.6820486065070397</v>
      </c>
      <c r="U52" s="2875">
        <v>117378146</v>
      </c>
      <c r="V52" s="2869">
        <v>35.901933</v>
      </c>
      <c r="W52" s="2870">
        <v>45332761</v>
      </c>
      <c r="X52" s="2870">
        <v>80851153</v>
      </c>
      <c r="Y52" s="2870"/>
      <c r="Z52" s="2870"/>
      <c r="AA52" s="2877">
        <v>3.51468301163617</v>
      </c>
      <c r="AB52" s="2875">
        <v>126183914</v>
      </c>
      <c r="AC52" s="2869">
        <v>31.583431999999998</v>
      </c>
      <c r="AD52" s="2870">
        <v>45332761</v>
      </c>
      <c r="AE52" s="2870">
        <v>69704634</v>
      </c>
      <c r="AF52" s="2870">
        <v>1463001</v>
      </c>
      <c r="AG52" s="2870"/>
      <c r="AH52" s="2877">
        <v>3.6886553684222791</v>
      </c>
      <c r="AI52" s="2875">
        <v>116500396</v>
      </c>
      <c r="AJ52" s="2869">
        <v>40.683684</v>
      </c>
      <c r="AK52" s="2870">
        <v>45332761</v>
      </c>
      <c r="AL52" s="2870">
        <v>85598471</v>
      </c>
      <c r="AM52" s="2870">
        <v>-134110</v>
      </c>
      <c r="AN52" s="2870"/>
      <c r="AO52" s="2877">
        <v>3.2149773358774492</v>
      </c>
      <c r="AP52" s="2875">
        <v>130797122</v>
      </c>
      <c r="AQ52" s="2869">
        <v>25.823004000000001</v>
      </c>
      <c r="AR52" s="2870">
        <v>35471552</v>
      </c>
      <c r="AS52" s="2870">
        <v>55519459</v>
      </c>
      <c r="AT52" s="2870">
        <v>615573</v>
      </c>
      <c r="AU52" s="2870"/>
      <c r="AV52" s="2877">
        <v>3.5474797587453422</v>
      </c>
      <c r="AW52" s="2875">
        <v>91606584</v>
      </c>
      <c r="AX52" s="2869">
        <v>45.889400999999999</v>
      </c>
      <c r="AY52" s="2870">
        <v>48433095</v>
      </c>
      <c r="AZ52" s="2870">
        <v>105040839</v>
      </c>
      <c r="BA52" s="2870">
        <v>-782271</v>
      </c>
      <c r="BB52" s="2870"/>
      <c r="BC52" s="2877">
        <v>3.327384094640939</v>
      </c>
      <c r="BD52" s="2875">
        <v>152691663</v>
      </c>
      <c r="BE52" s="2869">
        <v>34.111992999999998</v>
      </c>
      <c r="BF52" s="2870">
        <v>45332761</v>
      </c>
      <c r="BG52" s="2870">
        <v>81937007</v>
      </c>
      <c r="BH52" s="2870">
        <v>221661</v>
      </c>
      <c r="BI52" s="2870"/>
      <c r="BJ52" s="2877">
        <v>3.737437123653256</v>
      </c>
      <c r="BK52" s="2875">
        <v>127491429</v>
      </c>
      <c r="BL52" s="2869">
        <v>16.603116</v>
      </c>
      <c r="BM52" s="2870">
        <v>45332761</v>
      </c>
      <c r="BN52" s="2870">
        <v>38768276</v>
      </c>
      <c r="BO52" s="2870">
        <v>680172</v>
      </c>
      <c r="BP52" s="2870"/>
      <c r="BQ52" s="2877">
        <v>5.1063432309935077</v>
      </c>
      <c r="BR52" s="2875">
        <v>84781209</v>
      </c>
      <c r="BS52" s="2869">
        <v>14.16886</v>
      </c>
      <c r="BT52" s="2870">
        <v>30138713</v>
      </c>
      <c r="BU52" s="2870">
        <v>33084288</v>
      </c>
      <c r="BV52" s="2870">
        <v>746554</v>
      </c>
      <c r="BW52" s="2870"/>
      <c r="BX52" s="2877">
        <v>4.5147990028837892</v>
      </c>
      <c r="BY52" s="2875">
        <v>63969555</v>
      </c>
      <c r="BZ52" s="2869">
        <v>20.754964000000001</v>
      </c>
      <c r="CA52" s="2870">
        <v>40654527</v>
      </c>
      <c r="CB52" s="2870">
        <v>46076020</v>
      </c>
      <c r="CC52" s="2870">
        <v>555796</v>
      </c>
      <c r="CD52" s="2870"/>
      <c r="CE52" s="2877">
        <v>4.2055646543159506</v>
      </c>
      <c r="CF52" s="2875">
        <v>87286343</v>
      </c>
      <c r="CG52" s="2869">
        <v>21.481793</v>
      </c>
      <c r="CH52" s="2870">
        <v>41924698</v>
      </c>
      <c r="CI52" s="2870">
        <v>47603653</v>
      </c>
      <c r="CJ52" s="2870">
        <v>27883</v>
      </c>
      <c r="CK52" s="2870"/>
      <c r="CL52" s="2877">
        <v>4.1689366432308512</v>
      </c>
      <c r="CM52" s="2875">
        <v>89556234</v>
      </c>
      <c r="CN52" s="2872">
        <v>30.630822999999999</v>
      </c>
      <c r="CO52" s="2870"/>
      <c r="CP52" s="2870">
        <v>105803703</v>
      </c>
      <c r="CQ52" s="2870"/>
      <c r="CR52" s="2870"/>
      <c r="CS52" s="2877">
        <v>3.4541580224599255</v>
      </c>
      <c r="CT52" s="2875">
        <v>105803703</v>
      </c>
      <c r="CU52" s="2878">
        <v>349.51149199999998</v>
      </c>
      <c r="CV52" s="2870">
        <v>468619151</v>
      </c>
      <c r="CW52" s="2870">
        <v>822032888</v>
      </c>
      <c r="CX52" s="2870">
        <v>3394259</v>
      </c>
      <c r="CY52" s="2870">
        <v>0</v>
      </c>
      <c r="CZ52" s="2879">
        <v>3.7024427740418906</v>
      </c>
      <c r="DA52" s="2875">
        <v>1294046298</v>
      </c>
      <c r="DJ52" s="1611" t="e">
        <v>#N/A</v>
      </c>
      <c r="DK52" s="2782" t="s">
        <v>1649</v>
      </c>
      <c r="DM52" s="1650">
        <v>2.3519480956008163</v>
      </c>
    </row>
    <row r="53" spans="1:117" ht="21" customHeight="1">
      <c r="A53" s="1652">
        <v>10</v>
      </c>
      <c r="B53" s="1668" t="s">
        <v>1689</v>
      </c>
      <c r="C53" s="1645">
        <v>1500</v>
      </c>
      <c r="D53" s="1646">
        <v>10</v>
      </c>
      <c r="E53" s="1646">
        <v>87.795000000000002</v>
      </c>
      <c r="F53" s="1665">
        <v>6.25</v>
      </c>
      <c r="G53" s="1640"/>
      <c r="H53" s="1640">
        <v>150</v>
      </c>
      <c r="I53" s="1648" t="s">
        <v>1649</v>
      </c>
      <c r="J53" s="1649">
        <v>1</v>
      </c>
      <c r="K53" s="1648"/>
      <c r="L53" s="1640"/>
      <c r="M53" s="1640"/>
      <c r="N53" s="1642"/>
      <c r="O53" s="2876">
        <v>86.901184000000001</v>
      </c>
      <c r="P53" s="2870">
        <v>157855003</v>
      </c>
      <c r="Q53" s="2870">
        <v>186229237</v>
      </c>
      <c r="R53" s="2870">
        <v>0</v>
      </c>
      <c r="S53" s="2870"/>
      <c r="T53" s="2870">
        <v>3.9594885151392183</v>
      </c>
      <c r="U53" s="2875">
        <v>344084240</v>
      </c>
      <c r="V53" s="2869">
        <v>98.615483999999995</v>
      </c>
      <c r="W53" s="2870">
        <v>149296720</v>
      </c>
      <c r="X53" s="2870">
        <v>210741289</v>
      </c>
      <c r="Y53" s="2870">
        <v>1797882</v>
      </c>
      <c r="Z53" s="2870"/>
      <c r="AA53" s="2877">
        <v>3.6691590034684616</v>
      </c>
      <c r="AB53" s="2875">
        <v>361835891</v>
      </c>
      <c r="AC53" s="2869">
        <v>80.664377999999999</v>
      </c>
      <c r="AD53" s="2870">
        <v>144022517</v>
      </c>
      <c r="AE53" s="2870">
        <v>168830543</v>
      </c>
      <c r="AF53" s="2870">
        <v>3337035</v>
      </c>
      <c r="AG53" s="2870"/>
      <c r="AH53" s="2877">
        <v>3.9198231343208274</v>
      </c>
      <c r="AI53" s="2875">
        <v>316190095</v>
      </c>
      <c r="AJ53" s="2869">
        <v>102.87083</v>
      </c>
      <c r="AK53" s="2870">
        <v>134959223</v>
      </c>
      <c r="AL53" s="2870">
        <v>205330177</v>
      </c>
      <c r="AM53" s="2870">
        <v>1950482</v>
      </c>
      <c r="AN53" s="2870"/>
      <c r="AO53" s="2877">
        <v>3.3268894787764425</v>
      </c>
      <c r="AP53" s="2875">
        <v>342239882</v>
      </c>
      <c r="AQ53" s="2869">
        <v>54.790458999999998</v>
      </c>
      <c r="AR53" s="2870">
        <v>78371987</v>
      </c>
      <c r="AS53" s="2870">
        <v>111772536</v>
      </c>
      <c r="AT53" s="2870">
        <v>5901877</v>
      </c>
      <c r="AU53" s="2870"/>
      <c r="AV53" s="2877">
        <v>3.5781120212918824</v>
      </c>
      <c r="AW53" s="2875">
        <v>196046400</v>
      </c>
      <c r="AX53" s="2869">
        <v>85.695133999999996</v>
      </c>
      <c r="AY53" s="2870">
        <v>97483538</v>
      </c>
      <c r="AZ53" s="2870">
        <v>186044136</v>
      </c>
      <c r="BA53" s="2870">
        <v>5403269</v>
      </c>
      <c r="BB53" s="2870"/>
      <c r="BC53" s="2877">
        <v>3.3716143439369612</v>
      </c>
      <c r="BD53" s="2875">
        <v>288930943</v>
      </c>
      <c r="BE53" s="2869">
        <v>83.387770000000003</v>
      </c>
      <c r="BF53" s="2870">
        <v>111308168</v>
      </c>
      <c r="BG53" s="2870">
        <v>189957340</v>
      </c>
      <c r="BH53" s="2870">
        <v>5004716</v>
      </c>
      <c r="BI53" s="2870"/>
      <c r="BJ53" s="2877">
        <v>3.6728434397514169</v>
      </c>
      <c r="BK53" s="2875">
        <v>306270224</v>
      </c>
      <c r="BL53" s="2869">
        <v>42.674674000000003</v>
      </c>
      <c r="BM53" s="2870">
        <v>77429671</v>
      </c>
      <c r="BN53" s="2870">
        <v>94481728</v>
      </c>
      <c r="BO53" s="2870">
        <v>7969488</v>
      </c>
      <c r="BP53" s="2870"/>
      <c r="BQ53" s="2877">
        <v>4.2151672207267481</v>
      </c>
      <c r="BR53" s="2875">
        <v>179880887</v>
      </c>
      <c r="BS53" s="2869">
        <v>65.493018000000006</v>
      </c>
      <c r="BT53" s="2870">
        <v>127989299</v>
      </c>
      <c r="BU53" s="2870">
        <v>145001542</v>
      </c>
      <c r="BV53" s="2870">
        <v>1624583</v>
      </c>
      <c r="BW53" s="2870"/>
      <c r="BX53" s="2877">
        <v>4.193048852932689</v>
      </c>
      <c r="BY53" s="2875">
        <v>274615424</v>
      </c>
      <c r="BZ53" s="2869">
        <v>70.989401000000001</v>
      </c>
      <c r="CA53" s="2870">
        <v>131958325</v>
      </c>
      <c r="CB53" s="2870">
        <v>149432689</v>
      </c>
      <c r="CC53" s="2870">
        <v>212283</v>
      </c>
      <c r="CD53" s="2870"/>
      <c r="CE53" s="2877">
        <v>3.9668357956703986</v>
      </c>
      <c r="CF53" s="2875">
        <v>281603297</v>
      </c>
      <c r="CG53" s="2869">
        <v>109.92080900000001</v>
      </c>
      <c r="CH53" s="2870">
        <v>177048853</v>
      </c>
      <c r="CI53" s="2870">
        <v>231053541</v>
      </c>
      <c r="CJ53" s="2870">
        <v>-12759368</v>
      </c>
      <c r="CK53" s="2870"/>
      <c r="CL53" s="2877">
        <v>3.5966167789030736</v>
      </c>
      <c r="CM53" s="2875">
        <v>395343026</v>
      </c>
      <c r="CN53" s="2872">
        <v>152.32768300000001</v>
      </c>
      <c r="CO53" s="2870"/>
      <c r="CP53" s="2870">
        <v>496760546</v>
      </c>
      <c r="CQ53" s="2870"/>
      <c r="CR53" s="2870"/>
      <c r="CS53" s="2877">
        <v>3.2611311103576623</v>
      </c>
      <c r="CT53" s="2875">
        <v>496760546</v>
      </c>
      <c r="CU53" s="2878">
        <v>1034.3308240000001</v>
      </c>
      <c r="CV53" s="2870">
        <v>1387723304</v>
      </c>
      <c r="CW53" s="2870">
        <v>2375635304</v>
      </c>
      <c r="CX53" s="2870">
        <v>20442247</v>
      </c>
      <c r="CY53" s="2870">
        <v>0</v>
      </c>
      <c r="CZ53" s="2879">
        <v>3.6582114418355567</v>
      </c>
      <c r="DA53" s="2875">
        <v>3783800855</v>
      </c>
      <c r="DJ53" s="1611" t="s">
        <v>1649</v>
      </c>
      <c r="DK53" s="2782" t="s">
        <v>1649</v>
      </c>
      <c r="DM53" s="1650">
        <v>2.2967847896216229</v>
      </c>
    </row>
    <row r="54" spans="1:117" ht="21" customHeight="1">
      <c r="A54" s="1652">
        <v>11</v>
      </c>
      <c r="B54" s="1668" t="s">
        <v>1690</v>
      </c>
      <c r="C54" s="1645">
        <v>840</v>
      </c>
      <c r="D54" s="1646">
        <v>10</v>
      </c>
      <c r="E54" s="1646">
        <v>99.488</v>
      </c>
      <c r="F54" s="1665">
        <v>8.5</v>
      </c>
      <c r="G54" s="1640"/>
      <c r="H54" s="1640">
        <v>84</v>
      </c>
      <c r="I54" s="1648" t="s">
        <v>1649</v>
      </c>
      <c r="J54" s="1649">
        <v>1</v>
      </c>
      <c r="K54" s="1648"/>
      <c r="L54" s="1640"/>
      <c r="M54" s="1640"/>
      <c r="N54" s="1642"/>
      <c r="O54" s="2876">
        <v>0</v>
      </c>
      <c r="P54" s="2870">
        <v>46413066</v>
      </c>
      <c r="Q54" s="2870">
        <v>0</v>
      </c>
      <c r="R54" s="2870">
        <v>0</v>
      </c>
      <c r="S54" s="2870"/>
      <c r="T54" s="2870" t="s">
        <v>1594</v>
      </c>
      <c r="U54" s="2875">
        <v>46413066</v>
      </c>
      <c r="V54" s="2869">
        <v>0.29527900000000001</v>
      </c>
      <c r="W54" s="2870">
        <v>46413066</v>
      </c>
      <c r="X54" s="2870">
        <v>1115564</v>
      </c>
      <c r="Y54" s="2870">
        <v>538642</v>
      </c>
      <c r="Z54" s="2870"/>
      <c r="AA54" s="2877">
        <v>162.78594820491807</v>
      </c>
      <c r="AB54" s="2875">
        <v>48067272</v>
      </c>
      <c r="AC54" s="2869">
        <v>0.97448100000000004</v>
      </c>
      <c r="AD54" s="2870">
        <v>46413066</v>
      </c>
      <c r="AE54" s="2870">
        <v>3602656</v>
      </c>
      <c r="AF54" s="2870">
        <v>253355</v>
      </c>
      <c r="AG54" s="2870"/>
      <c r="AH54" s="2877">
        <v>51.585487043872583</v>
      </c>
      <c r="AI54" s="2875">
        <v>50269077</v>
      </c>
      <c r="AJ54" s="2869">
        <v>40.152627000000003</v>
      </c>
      <c r="AK54" s="2870">
        <v>46413066</v>
      </c>
      <c r="AL54" s="2870">
        <v>150331435</v>
      </c>
      <c r="AM54" s="2870">
        <v>1545188</v>
      </c>
      <c r="AN54" s="2870"/>
      <c r="AO54" s="2877">
        <v>4.9383988997780897</v>
      </c>
      <c r="AP54" s="2875">
        <v>198289689</v>
      </c>
      <c r="AQ54" s="2869">
        <v>15.826252</v>
      </c>
      <c r="AR54" s="2870">
        <v>46413066</v>
      </c>
      <c r="AS54" s="2870">
        <v>57829125</v>
      </c>
      <c r="AT54" s="2870">
        <v>1662100</v>
      </c>
      <c r="AU54" s="2870"/>
      <c r="AV54" s="2877">
        <v>6.6916848663852946</v>
      </c>
      <c r="AW54" s="2875">
        <v>105904291</v>
      </c>
      <c r="AX54" s="2869">
        <v>184.519193</v>
      </c>
      <c r="AY54" s="2870">
        <v>46413066</v>
      </c>
      <c r="AZ54" s="2870">
        <v>596919589</v>
      </c>
      <c r="BA54" s="2870">
        <v>-2281571</v>
      </c>
      <c r="BB54" s="2870"/>
      <c r="BC54" s="2877">
        <v>3.4741702127431262</v>
      </c>
      <c r="BD54" s="2875">
        <v>641051084</v>
      </c>
      <c r="BE54" s="2869">
        <v>0</v>
      </c>
      <c r="BF54" s="2870">
        <v>46413066</v>
      </c>
      <c r="BG54" s="2870">
        <v>0</v>
      </c>
      <c r="BH54" s="2870">
        <v>1303793</v>
      </c>
      <c r="BI54" s="2870"/>
      <c r="BJ54" s="2877">
        <v>0</v>
      </c>
      <c r="BK54" s="2875">
        <v>47716859</v>
      </c>
      <c r="BL54" s="2869">
        <v>0</v>
      </c>
      <c r="BM54" s="2870">
        <v>46413066</v>
      </c>
      <c r="BN54" s="2870">
        <v>0</v>
      </c>
      <c r="BO54" s="2870">
        <v>909349</v>
      </c>
      <c r="BP54" s="2870"/>
      <c r="BQ54" s="2877">
        <v>0</v>
      </c>
      <c r="BR54" s="2875">
        <v>47322415</v>
      </c>
      <c r="BS54" s="2869"/>
      <c r="BT54" s="2870">
        <v>46413066</v>
      </c>
      <c r="BU54" s="2870">
        <v>0</v>
      </c>
      <c r="BV54" s="2870">
        <v>709844</v>
      </c>
      <c r="BW54" s="2870"/>
      <c r="BX54" s="2877">
        <v>0</v>
      </c>
      <c r="BY54" s="2875">
        <v>47122910</v>
      </c>
      <c r="BZ54" s="2869">
        <v>0</v>
      </c>
      <c r="CA54" s="2870">
        <v>46413066</v>
      </c>
      <c r="CB54" s="2870">
        <v>0</v>
      </c>
      <c r="CC54" s="2870">
        <v>658030</v>
      </c>
      <c r="CD54" s="2870"/>
      <c r="CE54" s="2877">
        <v>0</v>
      </c>
      <c r="CF54" s="2875">
        <v>47071096</v>
      </c>
      <c r="CG54" s="2869">
        <v>4.8756469999999998</v>
      </c>
      <c r="CH54" s="2870">
        <v>46413066</v>
      </c>
      <c r="CI54" s="2870">
        <v>14280770</v>
      </c>
      <c r="CJ54" s="2870">
        <v>822359</v>
      </c>
      <c r="CK54" s="2870"/>
      <c r="CL54" s="2877">
        <v>12.617032160039479</v>
      </c>
      <c r="CM54" s="2875">
        <v>61516195</v>
      </c>
      <c r="CN54" s="2872">
        <v>227.81430599999999</v>
      </c>
      <c r="CO54" s="2870"/>
      <c r="CP54" s="2870">
        <v>701160452</v>
      </c>
      <c r="CQ54" s="2870"/>
      <c r="CR54" s="2870"/>
      <c r="CS54" s="2877">
        <v>3.0777718235131379</v>
      </c>
      <c r="CT54" s="2875">
        <v>701160452</v>
      </c>
      <c r="CU54" s="2878">
        <v>474.45778499999994</v>
      </c>
      <c r="CV54" s="2870">
        <v>510543726</v>
      </c>
      <c r="CW54" s="2870">
        <v>1525239591</v>
      </c>
      <c r="CX54" s="2870">
        <v>6121089</v>
      </c>
      <c r="CY54" s="2870">
        <v>0</v>
      </c>
      <c r="CZ54" s="2879">
        <v>4.3036587670281357</v>
      </c>
      <c r="DA54" s="2875">
        <v>2041904406</v>
      </c>
      <c r="DJ54" s="1611" t="s">
        <v>1649</v>
      </c>
      <c r="DK54" s="2782" t="s">
        <v>1649</v>
      </c>
      <c r="DM54" s="1650">
        <v>3.2147003152240408</v>
      </c>
    </row>
    <row r="55" spans="1:117" ht="21" customHeight="1">
      <c r="A55" s="1652">
        <v>12</v>
      </c>
      <c r="B55" s="1668" t="s">
        <v>1691</v>
      </c>
      <c r="C55" s="1645">
        <v>980</v>
      </c>
      <c r="D55" s="1646">
        <v>10</v>
      </c>
      <c r="E55" s="1646">
        <v>90.087000000000003</v>
      </c>
      <c r="F55" s="1665">
        <v>5.75</v>
      </c>
      <c r="G55" s="1640"/>
      <c r="H55" s="1640">
        <v>98</v>
      </c>
      <c r="I55" s="1648" t="s">
        <v>1649</v>
      </c>
      <c r="J55" s="1649">
        <v>1</v>
      </c>
      <c r="K55" s="1648"/>
      <c r="L55" s="1640"/>
      <c r="M55" s="1640"/>
      <c r="N55" s="1642"/>
      <c r="O55" s="2876">
        <v>16.934408999999999</v>
      </c>
      <c r="P55" s="2870">
        <v>96763933</v>
      </c>
      <c r="Q55" s="2870">
        <v>61505773</v>
      </c>
      <c r="R55" s="2870">
        <v>1602705</v>
      </c>
      <c r="S55" s="2870"/>
      <c r="T55" s="2870">
        <v>9.4406844077050458</v>
      </c>
      <c r="U55" s="2875">
        <v>159872411</v>
      </c>
      <c r="V55" s="2869">
        <v>15.110905000000001</v>
      </c>
      <c r="W55" s="2870">
        <v>96763933</v>
      </c>
      <c r="X55" s="2870">
        <v>54051707</v>
      </c>
      <c r="Y55" s="2870">
        <v>10717508</v>
      </c>
      <c r="Z55" s="2870"/>
      <c r="AA55" s="2877">
        <v>10.68983942391273</v>
      </c>
      <c r="AB55" s="2875">
        <v>161533148</v>
      </c>
      <c r="AC55" s="2869">
        <v>13.640574000000001</v>
      </c>
      <c r="AD55" s="2870">
        <v>97266281</v>
      </c>
      <c r="AE55" s="2870">
        <v>47605603</v>
      </c>
      <c r="AF55" s="2870">
        <v>9273492</v>
      </c>
      <c r="AG55" s="2870"/>
      <c r="AH55" s="2877">
        <v>11.300505096046544</v>
      </c>
      <c r="AI55" s="2875">
        <v>154145376</v>
      </c>
      <c r="AJ55" s="2869">
        <v>73.654953000000006</v>
      </c>
      <c r="AK55" s="2870">
        <v>99761556</v>
      </c>
      <c r="AL55" s="2870">
        <v>261990668</v>
      </c>
      <c r="AM55" s="2870">
        <v>2802842</v>
      </c>
      <c r="AN55" s="2870"/>
      <c r="AO55" s="2877">
        <v>4.9494983181918535</v>
      </c>
      <c r="AP55" s="2875">
        <v>364555066</v>
      </c>
      <c r="AQ55" s="2869">
        <v>14.03729</v>
      </c>
      <c r="AR55" s="2870">
        <v>99761556</v>
      </c>
      <c r="AS55" s="2870">
        <v>48428651</v>
      </c>
      <c r="AT55" s="2870">
        <v>7887125</v>
      </c>
      <c r="AU55" s="2870"/>
      <c r="AV55" s="2877">
        <v>11.118765231750572</v>
      </c>
      <c r="AW55" s="2875">
        <v>156077332</v>
      </c>
      <c r="AX55" s="2869">
        <v>34.573462999999997</v>
      </c>
      <c r="AY55" s="2870">
        <v>99761556</v>
      </c>
      <c r="AZ55" s="2870">
        <v>119174727</v>
      </c>
      <c r="BA55" s="2870">
        <v>8011298</v>
      </c>
      <c r="BB55" s="2870"/>
      <c r="BC55" s="2877">
        <v>6.5642131654558291</v>
      </c>
      <c r="BD55" s="2875">
        <v>226947581</v>
      </c>
      <c r="BE55" s="2869">
        <v>17.275583999999998</v>
      </c>
      <c r="BF55" s="2870">
        <v>98402744</v>
      </c>
      <c r="BG55" s="2870">
        <v>55834687</v>
      </c>
      <c r="BH55" s="2870">
        <v>9377775</v>
      </c>
      <c r="BI55" s="2870"/>
      <c r="BJ55" s="2877">
        <v>9.4708929087433447</v>
      </c>
      <c r="BK55" s="2875">
        <v>163615206</v>
      </c>
      <c r="BL55" s="2869">
        <v>0</v>
      </c>
      <c r="BM55" s="2870">
        <v>96763933</v>
      </c>
      <c r="BN55" s="2870">
        <v>0</v>
      </c>
      <c r="BO55" s="2870">
        <v>-80429</v>
      </c>
      <c r="BP55" s="2870"/>
      <c r="BQ55" s="2877">
        <v>0</v>
      </c>
      <c r="BR55" s="2875">
        <v>96683504</v>
      </c>
      <c r="BS55" s="2869">
        <v>8.4237009999999994</v>
      </c>
      <c r="BT55" s="2870">
        <v>96763933</v>
      </c>
      <c r="BU55" s="2870">
        <v>24900460</v>
      </c>
      <c r="BV55" s="2870">
        <v>3018257</v>
      </c>
      <c r="BW55" s="2870"/>
      <c r="BX55" s="2877">
        <v>14.801409736646635</v>
      </c>
      <c r="BY55" s="2875">
        <v>124682650</v>
      </c>
      <c r="BZ55" s="2869">
        <v>26.719881000000001</v>
      </c>
      <c r="CA55" s="2870">
        <v>96763933</v>
      </c>
      <c r="CB55" s="2870">
        <v>79117568</v>
      </c>
      <c r="CC55" s="2870">
        <v>12052829</v>
      </c>
      <c r="CD55" s="2870"/>
      <c r="CE55" s="2877">
        <v>7.0335017584846282</v>
      </c>
      <c r="CF55" s="2875">
        <v>187934330</v>
      </c>
      <c r="CG55" s="2869">
        <v>26.892092000000002</v>
      </c>
      <c r="CH55" s="2870">
        <v>96516876</v>
      </c>
      <c r="CI55" s="2870">
        <v>80568708</v>
      </c>
      <c r="CJ55" s="2870">
        <v>10490697</v>
      </c>
      <c r="CK55" s="2870"/>
      <c r="CL55" s="2877">
        <v>6.975146485442635</v>
      </c>
      <c r="CM55" s="2875">
        <v>187576281</v>
      </c>
      <c r="CN55" s="2872">
        <v>25.099574</v>
      </c>
      <c r="CO55" s="2870"/>
      <c r="CP55" s="2870">
        <v>181391048</v>
      </c>
      <c r="CQ55" s="2870"/>
      <c r="CR55" s="2870"/>
      <c r="CS55" s="2877">
        <v>7.2268576351136478</v>
      </c>
      <c r="CT55" s="2875">
        <v>181391048</v>
      </c>
      <c r="CU55" s="2878">
        <v>272.36242600000003</v>
      </c>
      <c r="CV55" s="2870">
        <v>1075290234</v>
      </c>
      <c r="CW55" s="2870">
        <v>1014569600</v>
      </c>
      <c r="CX55" s="2870">
        <v>75154099</v>
      </c>
      <c r="CY55" s="2870">
        <v>0</v>
      </c>
      <c r="CZ55" s="2879">
        <v>7.9490183899301883</v>
      </c>
      <c r="DA55" s="2875">
        <v>2165013933</v>
      </c>
      <c r="DJ55" s="1611" t="s">
        <v>1649</v>
      </c>
      <c r="DK55" s="2782" t="s">
        <v>1649</v>
      </c>
      <c r="DM55" s="1650">
        <v>3.7250718276389563</v>
      </c>
    </row>
    <row r="56" spans="1:117" ht="21" customHeight="1">
      <c r="A56" s="1652">
        <v>13</v>
      </c>
      <c r="B56" s="1668" t="s">
        <v>1692</v>
      </c>
      <c r="C56" s="1645">
        <v>1000</v>
      </c>
      <c r="D56" s="1646">
        <v>32.6</v>
      </c>
      <c r="E56" s="1646">
        <v>87.912999999999997</v>
      </c>
      <c r="F56" s="1665">
        <v>8</v>
      </c>
      <c r="G56" s="1640"/>
      <c r="H56" s="1640">
        <v>326</v>
      </c>
      <c r="I56" s="1648" t="s">
        <v>1649</v>
      </c>
      <c r="J56" s="1649">
        <v>2</v>
      </c>
      <c r="K56" s="1648"/>
      <c r="L56" s="1640"/>
      <c r="M56" s="1640"/>
      <c r="N56" s="1642"/>
      <c r="O56" s="2876">
        <v>188.20396199999999</v>
      </c>
      <c r="P56" s="2870">
        <v>164561530</v>
      </c>
      <c r="Q56" s="2870">
        <v>263109139</v>
      </c>
      <c r="R56" s="2870">
        <v>1157753</v>
      </c>
      <c r="S56" s="2870"/>
      <c r="T56" s="2870">
        <v>2.2785302575086064</v>
      </c>
      <c r="U56" s="2875">
        <v>428828422</v>
      </c>
      <c r="V56" s="2869">
        <v>177.76557700000001</v>
      </c>
      <c r="W56" s="2870">
        <v>164561530</v>
      </c>
      <c r="X56" s="2870">
        <v>255804665</v>
      </c>
      <c r="Y56" s="2870">
        <v>-1157753</v>
      </c>
      <c r="Z56" s="2870"/>
      <c r="AA56" s="2877">
        <v>2.3582093286823467</v>
      </c>
      <c r="AB56" s="2875">
        <v>419208442</v>
      </c>
      <c r="AC56" s="2869">
        <v>178.19631699999999</v>
      </c>
      <c r="AD56" s="2870">
        <v>164826486</v>
      </c>
      <c r="AE56" s="2870">
        <v>256959089</v>
      </c>
      <c r="AF56" s="2870">
        <v>2765255</v>
      </c>
      <c r="AG56" s="2870"/>
      <c r="AH56" s="2877">
        <v>2.3824893642442677</v>
      </c>
      <c r="AI56" s="2875">
        <v>424550830</v>
      </c>
      <c r="AJ56" s="2869">
        <v>172.13294300000001</v>
      </c>
      <c r="AK56" s="2870">
        <v>166151264</v>
      </c>
      <c r="AL56" s="2870">
        <v>250281298</v>
      </c>
      <c r="AM56" s="2870">
        <v>-2765255</v>
      </c>
      <c r="AN56" s="2870"/>
      <c r="AO56" s="2877">
        <v>2.4031850021875245</v>
      </c>
      <c r="AP56" s="2875">
        <v>413667307</v>
      </c>
      <c r="AQ56" s="2869">
        <v>182.281057</v>
      </c>
      <c r="AR56" s="2870">
        <v>166151264</v>
      </c>
      <c r="AS56" s="2870">
        <v>269229121</v>
      </c>
      <c r="AT56" s="2870">
        <v>5079994</v>
      </c>
      <c r="AU56" s="2870"/>
      <c r="AV56" s="2877">
        <v>2.4163804305786969</v>
      </c>
      <c r="AW56" s="2875">
        <v>440460379</v>
      </c>
      <c r="AX56" s="2869">
        <v>211.296156</v>
      </c>
      <c r="AY56" s="2870">
        <v>166151264</v>
      </c>
      <c r="AZ56" s="2870">
        <v>307435907</v>
      </c>
      <c r="BA56" s="2870">
        <v>1598735</v>
      </c>
      <c r="BB56" s="2870"/>
      <c r="BC56" s="2877">
        <v>2.2489093743854007</v>
      </c>
      <c r="BD56" s="2875">
        <v>475185906</v>
      </c>
      <c r="BE56" s="2869">
        <v>115.901627</v>
      </c>
      <c r="BF56" s="2870">
        <v>148011968</v>
      </c>
      <c r="BG56" s="2870">
        <v>161335065</v>
      </c>
      <c r="BH56" s="2870">
        <v>-1598735</v>
      </c>
      <c r="BI56" s="2870"/>
      <c r="BJ56" s="2877">
        <v>2.6552543390956886</v>
      </c>
      <c r="BK56" s="2875">
        <v>307748298</v>
      </c>
      <c r="BL56" s="2869">
        <v>66.942249000000004</v>
      </c>
      <c r="BM56" s="2870">
        <v>64899583</v>
      </c>
      <c r="BN56" s="2870">
        <v>92982784</v>
      </c>
      <c r="BO56" s="2870">
        <v>0</v>
      </c>
      <c r="BP56" s="2870"/>
      <c r="BQ56" s="2877">
        <v>2.3584861482619144</v>
      </c>
      <c r="BR56" s="2875">
        <v>157882367</v>
      </c>
      <c r="BS56" s="2869">
        <v>139.654134</v>
      </c>
      <c r="BT56" s="2870">
        <v>151582852</v>
      </c>
      <c r="BU56" s="2870">
        <v>198867487</v>
      </c>
      <c r="BV56" s="2870">
        <v>0</v>
      </c>
      <c r="BW56" s="2870"/>
      <c r="BX56" s="2877">
        <v>2.5094161480389832</v>
      </c>
      <c r="BY56" s="2875">
        <v>350450339</v>
      </c>
      <c r="BZ56" s="2869">
        <v>214.91524000000001</v>
      </c>
      <c r="CA56" s="2870">
        <v>179344189</v>
      </c>
      <c r="CB56" s="2870">
        <v>293574218</v>
      </c>
      <c r="CC56" s="2870">
        <v>0</v>
      </c>
      <c r="CD56" s="2870"/>
      <c r="CE56" s="2877">
        <v>2.2004880016884796</v>
      </c>
      <c r="CF56" s="2875">
        <v>472918407</v>
      </c>
      <c r="CG56" s="2869">
        <v>197.469415</v>
      </c>
      <c r="CH56" s="2870">
        <v>188000046</v>
      </c>
      <c r="CI56" s="2870">
        <v>272902732</v>
      </c>
      <c r="CJ56" s="2870">
        <v>16632</v>
      </c>
      <c r="CK56" s="2870"/>
      <c r="CL56" s="2877">
        <v>2.3341306297990503</v>
      </c>
      <c r="CM56" s="2875">
        <v>460919410</v>
      </c>
      <c r="CN56" s="2872">
        <v>227.414942</v>
      </c>
      <c r="CO56" s="2870"/>
      <c r="CP56" s="2870">
        <v>506218822</v>
      </c>
      <c r="CQ56" s="2870"/>
      <c r="CR56" s="2870"/>
      <c r="CS56" s="2877">
        <v>2.2259699276927898</v>
      </c>
      <c r="CT56" s="2875">
        <v>506218822</v>
      </c>
      <c r="CU56" s="2878">
        <v>2072.1736190000001</v>
      </c>
      <c r="CV56" s="2870">
        <v>1724241976</v>
      </c>
      <c r="CW56" s="2870">
        <v>3128700327</v>
      </c>
      <c r="CX56" s="2870">
        <v>5096626</v>
      </c>
      <c r="CY56" s="2870">
        <v>0</v>
      </c>
      <c r="CZ56" s="2879">
        <v>2.3444169371022183</v>
      </c>
      <c r="DA56" s="2875">
        <v>4858038929</v>
      </c>
      <c r="DJ56" s="1611" t="s">
        <v>1649</v>
      </c>
      <c r="DK56" s="2782" t="s">
        <v>1649</v>
      </c>
      <c r="DM56" s="1650">
        <v>1.5098639893455761</v>
      </c>
    </row>
    <row r="57" spans="1:117" ht="21" customHeight="1">
      <c r="A57" s="1652">
        <v>14</v>
      </c>
      <c r="B57" s="1668" t="s">
        <v>1693</v>
      </c>
      <c r="C57" s="1645">
        <v>1000</v>
      </c>
      <c r="D57" s="1646">
        <v>29.599999999999998</v>
      </c>
      <c r="E57" s="1646">
        <v>88.494</v>
      </c>
      <c r="F57" s="1670">
        <v>6.25</v>
      </c>
      <c r="G57" s="1640"/>
      <c r="H57" s="1640">
        <v>296</v>
      </c>
      <c r="I57" s="1648" t="s">
        <v>1649</v>
      </c>
      <c r="J57" s="1649">
        <v>2</v>
      </c>
      <c r="K57" s="1648"/>
      <c r="L57" s="1640"/>
      <c r="M57" s="1640"/>
      <c r="N57" s="1642"/>
      <c r="O57" s="2876">
        <v>184.11947000000001</v>
      </c>
      <c r="P57" s="2870">
        <v>128216564</v>
      </c>
      <c r="Q57" s="2870">
        <v>256846661</v>
      </c>
      <c r="R57" s="2870">
        <v>1563186</v>
      </c>
      <c r="S57" s="2870"/>
      <c r="T57" s="2870">
        <v>2.099867064574974</v>
      </c>
      <c r="U57" s="2875">
        <v>386626411</v>
      </c>
      <c r="V57" s="2869">
        <v>189.33477999999999</v>
      </c>
      <c r="W57" s="2870">
        <v>128216564</v>
      </c>
      <c r="X57" s="2870">
        <v>271884744</v>
      </c>
      <c r="Y57" s="2870">
        <v>1444629</v>
      </c>
      <c r="Z57" s="2870"/>
      <c r="AA57" s="2877">
        <v>2.1208250116539604</v>
      </c>
      <c r="AB57" s="2875">
        <v>401545937</v>
      </c>
      <c r="AC57" s="2869">
        <v>174.99291700000001</v>
      </c>
      <c r="AD57" s="2870">
        <v>128462189</v>
      </c>
      <c r="AE57" s="2870">
        <v>251814809</v>
      </c>
      <c r="AF57" s="2870">
        <v>3803679</v>
      </c>
      <c r="AG57" s="2870"/>
      <c r="AH57" s="2877">
        <v>2.1948355601158416</v>
      </c>
      <c r="AI57" s="2875">
        <v>384080677</v>
      </c>
      <c r="AJ57" s="2869">
        <v>181.75226799999999</v>
      </c>
      <c r="AK57" s="2870">
        <v>129690316</v>
      </c>
      <c r="AL57" s="2870">
        <v>263722541</v>
      </c>
      <c r="AM57" s="2870">
        <v>1331974</v>
      </c>
      <c r="AN57" s="2870"/>
      <c r="AO57" s="2877">
        <v>2.1718839348953818</v>
      </c>
      <c r="AP57" s="2875">
        <v>394744831</v>
      </c>
      <c r="AQ57" s="2869">
        <v>188.15632600000001</v>
      </c>
      <c r="AR57" s="2870">
        <v>129690316</v>
      </c>
      <c r="AS57" s="2870">
        <v>277342426</v>
      </c>
      <c r="AT57" s="2870">
        <v>3885096</v>
      </c>
      <c r="AU57" s="2870"/>
      <c r="AV57" s="2877">
        <v>2.1839172072269313</v>
      </c>
      <c r="AW57" s="2875">
        <v>410917838</v>
      </c>
      <c r="AX57" s="2869">
        <v>210.76442299999999</v>
      </c>
      <c r="AY57" s="2870">
        <v>129690316</v>
      </c>
      <c r="AZ57" s="2870">
        <v>306029942</v>
      </c>
      <c r="BA57" s="2870">
        <v>14950781</v>
      </c>
      <c r="BB57" s="2870"/>
      <c r="BC57" s="2877">
        <v>2.1382690331944687</v>
      </c>
      <c r="BD57" s="2875">
        <v>450671039</v>
      </c>
      <c r="BE57" s="2869">
        <v>218.637259</v>
      </c>
      <c r="BF57" s="2870">
        <v>129023034</v>
      </c>
      <c r="BG57" s="2870">
        <v>303687154</v>
      </c>
      <c r="BH57" s="2870">
        <v>19175302</v>
      </c>
      <c r="BI57" s="2870"/>
      <c r="BJ57" s="2877">
        <v>2.0668274568883063</v>
      </c>
      <c r="BK57" s="2875">
        <v>451885490</v>
      </c>
      <c r="BL57" s="2869">
        <v>176.58758</v>
      </c>
      <c r="BM57" s="2870">
        <v>128216564</v>
      </c>
      <c r="BN57" s="2870">
        <v>244750386</v>
      </c>
      <c r="BO57" s="2870">
        <v>-1348317</v>
      </c>
      <c r="BP57" s="2870"/>
      <c r="BQ57" s="2877">
        <v>2.1044437723196614</v>
      </c>
      <c r="BR57" s="2875">
        <v>371618633</v>
      </c>
      <c r="BS57" s="2869">
        <v>210.832381</v>
      </c>
      <c r="BT57" s="2870">
        <v>128216564</v>
      </c>
      <c r="BU57" s="2870">
        <v>299592813</v>
      </c>
      <c r="BV57" s="2870">
        <v>32241124</v>
      </c>
      <c r="BW57" s="2870"/>
      <c r="BX57" s="2877">
        <v>2.1820675686435473</v>
      </c>
      <c r="BY57" s="2875">
        <v>460050501</v>
      </c>
      <c r="BZ57" s="2869">
        <v>195.711299</v>
      </c>
      <c r="CA57" s="2870">
        <v>128216564</v>
      </c>
      <c r="CB57" s="2870">
        <v>266754501</v>
      </c>
      <c r="CC57" s="2870">
        <v>-12045078</v>
      </c>
      <c r="CD57" s="2870"/>
      <c r="CE57" s="2877">
        <v>1.9565859966010444</v>
      </c>
      <c r="CF57" s="2875">
        <v>382925987</v>
      </c>
      <c r="CG57" s="2869">
        <v>171.01269099999999</v>
      </c>
      <c r="CH57" s="2870">
        <v>128093750</v>
      </c>
      <c r="CI57" s="2870">
        <v>235826500</v>
      </c>
      <c r="CJ57" s="2870">
        <v>1779252</v>
      </c>
      <c r="CK57" s="2870"/>
      <c r="CL57" s="2877">
        <v>2.1384348720645532</v>
      </c>
      <c r="CM57" s="2875">
        <v>365699502</v>
      </c>
      <c r="CN57" s="2872">
        <v>203.886605</v>
      </c>
      <c r="CO57" s="2870"/>
      <c r="CP57" s="2870">
        <v>413551105</v>
      </c>
      <c r="CQ57" s="2870"/>
      <c r="CR57" s="2870"/>
      <c r="CS57" s="2877">
        <v>2.0283387670318018</v>
      </c>
      <c r="CT57" s="2875">
        <v>413551105</v>
      </c>
      <c r="CU57" s="2878">
        <v>2305.7879990000006</v>
      </c>
      <c r="CV57" s="2870">
        <v>1415732741</v>
      </c>
      <c r="CW57" s="2870">
        <v>3391803582</v>
      </c>
      <c r="CX57" s="2870">
        <v>66781628</v>
      </c>
      <c r="CY57" s="2870">
        <v>0</v>
      </c>
      <c r="CZ57" s="2879">
        <v>2.1139488769626471</v>
      </c>
      <c r="DA57" s="2875">
        <v>4874317951</v>
      </c>
      <c r="DJ57" s="1611" t="s">
        <v>1649</v>
      </c>
      <c r="DK57" s="2782" t="s">
        <v>1649</v>
      </c>
      <c r="DM57" s="1650">
        <v>1.4709954182565763</v>
      </c>
    </row>
    <row r="58" spans="1:117" ht="21" customHeight="1">
      <c r="A58" s="1652">
        <v>15</v>
      </c>
      <c r="B58" s="1668" t="s">
        <v>1694</v>
      </c>
      <c r="C58" s="1645">
        <v>1000</v>
      </c>
      <c r="D58" s="1646">
        <v>32</v>
      </c>
      <c r="E58" s="1646">
        <v>101.139</v>
      </c>
      <c r="F58" s="1670">
        <v>6.25</v>
      </c>
      <c r="G58" s="1640"/>
      <c r="H58" s="1640">
        <v>320</v>
      </c>
      <c r="I58" s="1648" t="s">
        <v>1649</v>
      </c>
      <c r="J58" s="1649">
        <v>2</v>
      </c>
      <c r="K58" s="1648"/>
      <c r="L58" s="1640"/>
      <c r="M58" s="1640"/>
      <c r="N58" s="1642"/>
      <c r="O58" s="2876">
        <v>212.744946</v>
      </c>
      <c r="P58" s="2870">
        <v>284877124</v>
      </c>
      <c r="Q58" s="2870">
        <v>292949791</v>
      </c>
      <c r="R58" s="2870">
        <v>6296689</v>
      </c>
      <c r="S58" s="2870"/>
      <c r="T58" s="2870">
        <v>2.7456520823766124</v>
      </c>
      <c r="U58" s="2875">
        <v>584123604</v>
      </c>
      <c r="V58" s="2869">
        <v>217.14298700000001</v>
      </c>
      <c r="W58" s="2870">
        <v>284877124</v>
      </c>
      <c r="X58" s="2870">
        <v>307691614</v>
      </c>
      <c r="Y58" s="2870">
        <v>4811222</v>
      </c>
      <c r="Z58" s="2870"/>
      <c r="AA58" s="2877">
        <v>2.7510902758282496</v>
      </c>
      <c r="AB58" s="2875">
        <v>597379960</v>
      </c>
      <c r="AC58" s="2869">
        <v>214.778378</v>
      </c>
      <c r="AD58" s="2870">
        <v>285422834</v>
      </c>
      <c r="AE58" s="2870">
        <v>304985298</v>
      </c>
      <c r="AF58" s="2870">
        <v>9810300</v>
      </c>
      <c r="AG58" s="2870"/>
      <c r="AH58" s="2877">
        <v>2.7945943050189159</v>
      </c>
      <c r="AI58" s="2875">
        <v>600218432</v>
      </c>
      <c r="AJ58" s="2869">
        <v>225.484149</v>
      </c>
      <c r="AK58" s="2870">
        <v>288151381</v>
      </c>
      <c r="AL58" s="2870">
        <v>322893302</v>
      </c>
      <c r="AM58" s="2870">
        <v>11848115.5</v>
      </c>
      <c r="AN58" s="2870"/>
      <c r="AO58" s="2877">
        <v>2.7624682323013312</v>
      </c>
      <c r="AP58" s="2875">
        <v>622892798.5</v>
      </c>
      <c r="AQ58" s="2869">
        <v>226.21119400000001</v>
      </c>
      <c r="AR58" s="2870">
        <v>288151381</v>
      </c>
      <c r="AS58" s="2870">
        <v>329137289</v>
      </c>
      <c r="AT58" s="2870">
        <v>12232957</v>
      </c>
      <c r="AU58" s="2870"/>
      <c r="AV58" s="2877">
        <v>2.7828933478862234</v>
      </c>
      <c r="AW58" s="2875">
        <v>629521627</v>
      </c>
      <c r="AX58" s="2869">
        <v>215.650564</v>
      </c>
      <c r="AY58" s="2870">
        <v>288151381</v>
      </c>
      <c r="AZ58" s="2870">
        <v>309027258</v>
      </c>
      <c r="BA58" s="2870">
        <v>10538214</v>
      </c>
      <c r="BB58" s="2870"/>
      <c r="BC58" s="2877">
        <v>2.8180628964179291</v>
      </c>
      <c r="BD58" s="2875">
        <v>607716853</v>
      </c>
      <c r="BE58" s="2869">
        <v>237.928191</v>
      </c>
      <c r="BF58" s="2870">
        <v>286673759</v>
      </c>
      <c r="BG58" s="2870">
        <v>326199550</v>
      </c>
      <c r="BH58" s="2870">
        <v>22641982</v>
      </c>
      <c r="BI58" s="2870"/>
      <c r="BJ58" s="2877">
        <v>2.6710382167365783</v>
      </c>
      <c r="BK58" s="2875">
        <v>635515291</v>
      </c>
      <c r="BL58" s="2869">
        <v>220.408231</v>
      </c>
      <c r="BM58" s="2870">
        <v>284877124</v>
      </c>
      <c r="BN58" s="2870">
        <v>301518461</v>
      </c>
      <c r="BO58" s="2870">
        <v>16483284</v>
      </c>
      <c r="BP58" s="2870"/>
      <c r="BQ58" s="2877">
        <v>2.7352829169070367</v>
      </c>
      <c r="BR58" s="2875">
        <v>602878869</v>
      </c>
      <c r="BS58" s="2869">
        <v>219.26138700000001</v>
      </c>
      <c r="BT58" s="2870">
        <v>284877124</v>
      </c>
      <c r="BU58" s="2870">
        <v>307404465</v>
      </c>
      <c r="BV58" s="2870">
        <v>29642751</v>
      </c>
      <c r="BW58" s="2870"/>
      <c r="BX58" s="2877">
        <v>2.8364517278183596</v>
      </c>
      <c r="BY58" s="2875">
        <v>621924340</v>
      </c>
      <c r="BZ58" s="2869">
        <v>146.83765600000001</v>
      </c>
      <c r="CA58" s="2870">
        <v>284877124</v>
      </c>
      <c r="CB58" s="2870">
        <v>197643485</v>
      </c>
      <c r="CC58" s="2870">
        <v>-53000028</v>
      </c>
      <c r="CD58" s="2870"/>
      <c r="CE58" s="2877">
        <v>2.9251391822816895</v>
      </c>
      <c r="CF58" s="2875">
        <v>429520581</v>
      </c>
      <c r="CG58" s="2869">
        <v>107.275564</v>
      </c>
      <c r="CH58" s="2870">
        <v>284541303</v>
      </c>
      <c r="CI58" s="2870">
        <v>146002043</v>
      </c>
      <c r="CJ58" s="2870">
        <v>-37186421</v>
      </c>
      <c r="CK58" s="2870"/>
      <c r="CL58" s="2877">
        <v>3.6667896241496338</v>
      </c>
      <c r="CM58" s="2875">
        <v>393356925</v>
      </c>
      <c r="CN58" s="2872">
        <v>219.61725100000001</v>
      </c>
      <c r="CO58" s="2870"/>
      <c r="CP58" s="2870">
        <v>586596069</v>
      </c>
      <c r="CQ58" s="2870"/>
      <c r="CR58" s="2870"/>
      <c r="CS58" s="2877">
        <v>2.6709926762538339</v>
      </c>
      <c r="CT58" s="2875">
        <v>586596069</v>
      </c>
      <c r="CU58" s="2878">
        <v>2463.3404980000005</v>
      </c>
      <c r="CV58" s="2870">
        <v>3145477659</v>
      </c>
      <c r="CW58" s="2870">
        <v>3732048625</v>
      </c>
      <c r="CX58" s="2870">
        <v>34119065.5</v>
      </c>
      <c r="CY58" s="2870">
        <v>0</v>
      </c>
      <c r="CZ58" s="2879">
        <v>2.8058018593497742</v>
      </c>
      <c r="DA58" s="2875">
        <v>6911645349.5</v>
      </c>
      <c r="DJ58" s="1611" t="s">
        <v>1649</v>
      </c>
      <c r="DK58" s="2782" t="s">
        <v>1649</v>
      </c>
      <c r="DM58" s="1650">
        <v>1.5150356306933899</v>
      </c>
    </row>
    <row r="59" spans="1:117" ht="21" customHeight="1">
      <c r="A59" s="1652">
        <v>16</v>
      </c>
      <c r="B59" s="1668" t="s">
        <v>1695</v>
      </c>
      <c r="C59" s="1645">
        <v>2000</v>
      </c>
      <c r="D59" s="1646">
        <v>37.700000000000003</v>
      </c>
      <c r="E59" s="1646">
        <v>98.631</v>
      </c>
      <c r="F59" s="1670">
        <v>7.13</v>
      </c>
      <c r="G59" s="1640"/>
      <c r="H59" s="1640">
        <v>754</v>
      </c>
      <c r="I59" s="1648" t="s">
        <v>1649</v>
      </c>
      <c r="J59" s="1649">
        <v>1</v>
      </c>
      <c r="K59" s="1648"/>
      <c r="L59" s="1640"/>
      <c r="M59" s="1640"/>
      <c r="N59" s="1642"/>
      <c r="O59" s="2876">
        <v>364.23139200000003</v>
      </c>
      <c r="P59" s="2870">
        <v>296544885</v>
      </c>
      <c r="Q59" s="2870">
        <v>502639321</v>
      </c>
      <c r="R59" s="2870">
        <v>0</v>
      </c>
      <c r="S59" s="2870"/>
      <c r="T59" s="2870">
        <v>2.1941661909251358</v>
      </c>
      <c r="U59" s="2875">
        <v>799184206</v>
      </c>
      <c r="V59" s="2869">
        <v>387.84914500000002</v>
      </c>
      <c r="W59" s="2870">
        <v>296544885</v>
      </c>
      <c r="X59" s="2870">
        <v>555399976</v>
      </c>
      <c r="Y59" s="2870"/>
      <c r="Z59" s="2870"/>
      <c r="AA59" s="2877">
        <v>2.1965882147297244</v>
      </c>
      <c r="AB59" s="2875">
        <v>851944861</v>
      </c>
      <c r="AC59" s="2869">
        <v>399.31383599999998</v>
      </c>
      <c r="AD59" s="2870">
        <v>295813969</v>
      </c>
      <c r="AE59" s="2870">
        <v>570619472</v>
      </c>
      <c r="AF59" s="2870"/>
      <c r="AG59" s="2870"/>
      <c r="AH59" s="2877">
        <v>2.1698057089111233</v>
      </c>
      <c r="AI59" s="2875">
        <v>866433441</v>
      </c>
      <c r="AJ59" s="2869">
        <v>419.87903999999997</v>
      </c>
      <c r="AK59" s="2870">
        <v>281662509</v>
      </c>
      <c r="AL59" s="2870">
        <v>607564971</v>
      </c>
      <c r="AM59" s="2870">
        <v>0</v>
      </c>
      <c r="AN59" s="2870"/>
      <c r="AO59" s="2877">
        <v>2.1178182173608855</v>
      </c>
      <c r="AP59" s="2875">
        <v>889227480</v>
      </c>
      <c r="AQ59" s="2869">
        <v>395.08676500000001</v>
      </c>
      <c r="AR59" s="2870">
        <v>278199844</v>
      </c>
      <c r="AS59" s="2870">
        <v>552726384</v>
      </c>
      <c r="AT59" s="2870"/>
      <c r="AU59" s="2870"/>
      <c r="AV59" s="2877">
        <v>2.103148729874563</v>
      </c>
      <c r="AW59" s="2875">
        <v>830926228</v>
      </c>
      <c r="AX59" s="2869">
        <v>348.85802999999999</v>
      </c>
      <c r="AY59" s="2870">
        <v>241847485</v>
      </c>
      <c r="AZ59" s="2870">
        <v>491540964</v>
      </c>
      <c r="BA59" s="2870">
        <v>0</v>
      </c>
      <c r="BB59" s="2870"/>
      <c r="BC59" s="2877">
        <v>2.1022547452899394</v>
      </c>
      <c r="BD59" s="2875">
        <v>733388449</v>
      </c>
      <c r="BE59" s="2869">
        <v>393.224266</v>
      </c>
      <c r="BF59" s="2870">
        <v>252719797</v>
      </c>
      <c r="BG59" s="2870">
        <v>567815840</v>
      </c>
      <c r="BH59" s="2870">
        <v>0</v>
      </c>
      <c r="BI59" s="2870"/>
      <c r="BJ59" s="2877">
        <v>2.0866861685489164</v>
      </c>
      <c r="BK59" s="2875">
        <v>820535637</v>
      </c>
      <c r="BL59" s="2869">
        <v>464.19431800000001</v>
      </c>
      <c r="BM59" s="2870">
        <v>331909852</v>
      </c>
      <c r="BN59" s="2870">
        <v>665654652</v>
      </c>
      <c r="BO59" s="2870">
        <v>0</v>
      </c>
      <c r="BP59" s="2870"/>
      <c r="BQ59" s="2877">
        <v>2.1490235130366244</v>
      </c>
      <c r="BR59" s="2875">
        <v>997564504</v>
      </c>
      <c r="BS59" s="2869">
        <v>448.09325899999999</v>
      </c>
      <c r="BT59" s="2870">
        <v>363178526</v>
      </c>
      <c r="BU59" s="2870">
        <v>642117640</v>
      </c>
      <c r="BV59" s="2870">
        <v>0</v>
      </c>
      <c r="BW59" s="2870"/>
      <c r="BX59" s="2877">
        <v>2.2434976331567622</v>
      </c>
      <c r="BY59" s="2875">
        <v>1005296166</v>
      </c>
      <c r="BZ59" s="2869">
        <v>422.06025499999998</v>
      </c>
      <c r="CA59" s="2870">
        <v>288920832</v>
      </c>
      <c r="CB59" s="2870">
        <v>592150538</v>
      </c>
      <c r="CC59" s="2870">
        <v>0</v>
      </c>
      <c r="CD59" s="2870"/>
      <c r="CE59" s="2877">
        <v>2.0875487790244547</v>
      </c>
      <c r="CF59" s="2875">
        <v>881071370</v>
      </c>
      <c r="CG59" s="2869">
        <v>436.64397200000002</v>
      </c>
      <c r="CH59" s="2870">
        <v>304010069</v>
      </c>
      <c r="CI59" s="2870">
        <v>613921425</v>
      </c>
      <c r="CJ59" s="2870">
        <v>0</v>
      </c>
      <c r="CK59" s="2870"/>
      <c r="CL59" s="2877">
        <v>2.1022424512023266</v>
      </c>
      <c r="CM59" s="2875">
        <v>917931494</v>
      </c>
      <c r="CN59" s="2872">
        <v>488.13610199999999</v>
      </c>
      <c r="CO59" s="2870"/>
      <c r="CP59" s="2870">
        <v>972038037</v>
      </c>
      <c r="CQ59" s="2870"/>
      <c r="CR59" s="2870"/>
      <c r="CS59" s="2877">
        <v>1.9913258474784969</v>
      </c>
      <c r="CT59" s="2875">
        <v>972038037</v>
      </c>
      <c r="CU59" s="2878">
        <v>4967.570380000001</v>
      </c>
      <c r="CV59" s="2870">
        <v>3231352653</v>
      </c>
      <c r="CW59" s="2870">
        <v>7334189220</v>
      </c>
      <c r="CX59" s="2870">
        <v>0</v>
      </c>
      <c r="CY59" s="2870">
        <v>0</v>
      </c>
      <c r="CZ59" s="2879">
        <v>2.1269033078098025</v>
      </c>
      <c r="DA59" s="2875">
        <v>10565541873</v>
      </c>
      <c r="DJ59" s="1611" t="s">
        <v>1649</v>
      </c>
      <c r="DK59" s="2782" t="s">
        <v>1649</v>
      </c>
      <c r="DM59" s="1650">
        <v>1.4764137513840314</v>
      </c>
    </row>
    <row r="60" spans="1:117" ht="21" customHeight="1">
      <c r="A60" s="1652">
        <v>17</v>
      </c>
      <c r="B60" s="1668" t="s">
        <v>1682</v>
      </c>
      <c r="C60" s="1645">
        <v>440</v>
      </c>
      <c r="D60" s="1646">
        <v>100</v>
      </c>
      <c r="E60" s="1646">
        <v>92.953000000000003</v>
      </c>
      <c r="F60" s="1665">
        <v>11.5</v>
      </c>
      <c r="G60" s="1640"/>
      <c r="H60" s="1640">
        <v>440</v>
      </c>
      <c r="I60" s="1648" t="s">
        <v>1649</v>
      </c>
      <c r="J60" s="1649">
        <v>2</v>
      </c>
      <c r="K60" s="1648"/>
      <c r="L60" s="1640"/>
      <c r="M60" s="1640"/>
      <c r="N60" s="1642"/>
      <c r="O60" s="2876">
        <v>0</v>
      </c>
      <c r="P60" s="2870">
        <v>305421416</v>
      </c>
      <c r="Q60" s="2870">
        <v>0</v>
      </c>
      <c r="R60" s="2870">
        <v>0</v>
      </c>
      <c r="S60" s="2870"/>
      <c r="T60" s="2870" t="s">
        <v>1594</v>
      </c>
      <c r="U60" s="2875">
        <v>305421416</v>
      </c>
      <c r="V60" s="2869">
        <v>100.05770800000001</v>
      </c>
      <c r="W60" s="2870">
        <v>305421416</v>
      </c>
      <c r="X60" s="2870">
        <v>297871794</v>
      </c>
      <c r="Y60" s="2870">
        <v>14108137</v>
      </c>
      <c r="Z60" s="2870"/>
      <c r="AA60" s="2877">
        <v>6.1704526251990499</v>
      </c>
      <c r="AB60" s="2875">
        <v>617401347</v>
      </c>
      <c r="AC60" s="2869">
        <v>138.77585999999999</v>
      </c>
      <c r="AD60" s="2870">
        <v>305421416</v>
      </c>
      <c r="AE60" s="2870">
        <v>427290873</v>
      </c>
      <c r="AF60" s="2870">
        <v>7604386</v>
      </c>
      <c r="AG60" s="2870"/>
      <c r="AH60" s="2877">
        <v>5.3346214175866029</v>
      </c>
      <c r="AI60" s="2875">
        <v>740316675</v>
      </c>
      <c r="AJ60" s="2869">
        <v>213.432873</v>
      </c>
      <c r="AK60" s="2870">
        <v>305421416</v>
      </c>
      <c r="AL60" s="2870">
        <v>711371766</v>
      </c>
      <c r="AM60" s="2870">
        <v>46127444</v>
      </c>
      <c r="AN60" s="2870"/>
      <c r="AO60" s="2877">
        <v>4.9801167508062356</v>
      </c>
      <c r="AP60" s="2875">
        <v>1062920626</v>
      </c>
      <c r="AQ60" s="2869">
        <v>146.7474</v>
      </c>
      <c r="AR60" s="2870">
        <v>305421416</v>
      </c>
      <c r="AS60" s="2870">
        <v>467243722</v>
      </c>
      <c r="AT60" s="2870">
        <v>23809152</v>
      </c>
      <c r="AU60" s="2870"/>
      <c r="AV60" s="2877">
        <v>5.4275189202670715</v>
      </c>
      <c r="AW60" s="2875">
        <v>796474290</v>
      </c>
      <c r="AX60" s="2869">
        <v>207.71473</v>
      </c>
      <c r="AY60" s="2870">
        <v>305421416</v>
      </c>
      <c r="AZ60" s="2870">
        <v>694182628</v>
      </c>
      <c r="BA60" s="2870">
        <v>35007268</v>
      </c>
      <c r="BB60" s="2870"/>
      <c r="BC60" s="2877">
        <v>4.9809241357124749</v>
      </c>
      <c r="BD60" s="2875">
        <v>1034611312</v>
      </c>
      <c r="BE60" s="2869">
        <v>118.087898</v>
      </c>
      <c r="BF60" s="2870">
        <v>305421416</v>
      </c>
      <c r="BG60" s="2870">
        <v>389099624</v>
      </c>
      <c r="BH60" s="2870">
        <v>18539800</v>
      </c>
      <c r="BI60" s="2870"/>
      <c r="BJ60" s="2877">
        <v>6.0383904877365167</v>
      </c>
      <c r="BK60" s="2875">
        <v>713060840</v>
      </c>
      <c r="BL60" s="2869">
        <v>0</v>
      </c>
      <c r="BM60" s="2870">
        <v>305421416</v>
      </c>
      <c r="BN60" s="2870">
        <v>0</v>
      </c>
      <c r="BO60" s="2870">
        <v>0</v>
      </c>
      <c r="BP60" s="2870"/>
      <c r="BQ60" s="2877">
        <v>0</v>
      </c>
      <c r="BR60" s="2875">
        <v>305421416</v>
      </c>
      <c r="BS60" s="2869">
        <v>49.511898000000002</v>
      </c>
      <c r="BT60" s="2870">
        <v>305421416</v>
      </c>
      <c r="BU60" s="2870">
        <v>147248385</v>
      </c>
      <c r="BV60" s="2870">
        <v>7773368</v>
      </c>
      <c r="BW60" s="2870"/>
      <c r="BX60" s="2877">
        <v>9.2996469050732014</v>
      </c>
      <c r="BY60" s="2875">
        <v>460443169</v>
      </c>
      <c r="BZ60" s="2869">
        <v>114.80276000000001</v>
      </c>
      <c r="CA60" s="2870">
        <v>305421416</v>
      </c>
      <c r="CB60" s="2870">
        <v>342571436</v>
      </c>
      <c r="CC60" s="2870">
        <v>19113164</v>
      </c>
      <c r="CD60" s="2870"/>
      <c r="CE60" s="2877">
        <v>5.8108883096538797</v>
      </c>
      <c r="CF60" s="2875">
        <v>667106016</v>
      </c>
      <c r="CG60" s="2869">
        <v>107.833765</v>
      </c>
      <c r="CH60" s="2870">
        <v>305421416</v>
      </c>
      <c r="CI60" s="2870">
        <v>355312256</v>
      </c>
      <c r="CJ60" s="2870">
        <v>14643805</v>
      </c>
      <c r="CK60" s="2870"/>
      <c r="CL60" s="2877">
        <v>6.2631354566911392</v>
      </c>
      <c r="CM60" s="2875">
        <v>675377477</v>
      </c>
      <c r="CN60" s="2872">
        <v>203.16560999999999</v>
      </c>
      <c r="CO60" s="2870"/>
      <c r="CP60" s="2870">
        <v>1029075290</v>
      </c>
      <c r="CQ60" s="2870"/>
      <c r="CR60" s="2870"/>
      <c r="CS60" s="2877">
        <v>5.0652041455244321</v>
      </c>
      <c r="CT60" s="2875">
        <v>1029075290</v>
      </c>
      <c r="CU60" s="2878">
        <v>1400.130502</v>
      </c>
      <c r="CV60" s="2870">
        <v>3359635576</v>
      </c>
      <c r="CW60" s="2870">
        <v>4861267774</v>
      </c>
      <c r="CX60" s="2870">
        <v>186726524</v>
      </c>
      <c r="CY60" s="2870">
        <v>0</v>
      </c>
      <c r="CZ60" s="2879">
        <v>6.0048901598745399</v>
      </c>
      <c r="DA60" s="2875">
        <v>8407629874</v>
      </c>
      <c r="DJ60" s="1611" t="s">
        <v>1649</v>
      </c>
      <c r="DK60" s="2782" t="s">
        <v>1649</v>
      </c>
      <c r="DM60" s="1650">
        <v>3.4720104783489676</v>
      </c>
    </row>
    <row r="61" spans="1:117" ht="21" customHeight="1">
      <c r="A61" s="1652">
        <v>18</v>
      </c>
      <c r="B61" s="1668" t="s">
        <v>1680</v>
      </c>
      <c r="C61" s="1645">
        <v>657.39</v>
      </c>
      <c r="D61" s="1646">
        <v>4.5635011180577738E-3</v>
      </c>
      <c r="E61" s="1646">
        <v>95.648200000000003</v>
      </c>
      <c r="F61" s="1670">
        <v>2.75</v>
      </c>
      <c r="G61" s="1640"/>
      <c r="H61" s="1640">
        <v>0.03</v>
      </c>
      <c r="I61" s="1648" t="s">
        <v>1649</v>
      </c>
      <c r="J61" s="1649">
        <v>1</v>
      </c>
      <c r="K61" s="1648"/>
      <c r="L61" s="1640"/>
      <c r="M61" s="1640"/>
      <c r="N61" s="1642"/>
      <c r="O61" s="2876">
        <v>0.39144899999999999</v>
      </c>
      <c r="P61" s="2870">
        <v>360301</v>
      </c>
      <c r="Q61" s="2870">
        <v>782156</v>
      </c>
      <c r="R61" s="2870">
        <v>0</v>
      </c>
      <c r="S61" s="2870"/>
      <c r="T61" s="2870">
        <v>2.9185334488017598</v>
      </c>
      <c r="U61" s="2875">
        <v>1142457</v>
      </c>
      <c r="V61" s="2869">
        <v>0.78139999999999998</v>
      </c>
      <c r="W61" s="2870">
        <v>674556</v>
      </c>
      <c r="X61" s="2870">
        <v>1577058</v>
      </c>
      <c r="Y61" s="2870"/>
      <c r="Z61" s="2870"/>
      <c r="AA61" s="2877">
        <v>2.8815126695674431</v>
      </c>
      <c r="AB61" s="2875">
        <v>2251614</v>
      </c>
      <c r="AC61" s="2869">
        <v>1.322E-3</v>
      </c>
      <c r="AD61" s="2870">
        <v>12100</v>
      </c>
      <c r="AE61" s="2870">
        <v>2754</v>
      </c>
      <c r="AF61" s="2870"/>
      <c r="AG61" s="2870"/>
      <c r="AH61" s="2877">
        <v>11.236006051437217</v>
      </c>
      <c r="AI61" s="2875">
        <v>14854</v>
      </c>
      <c r="AJ61" s="2869">
        <v>0.36412499999999998</v>
      </c>
      <c r="AK61" s="2870">
        <v>341899</v>
      </c>
      <c r="AL61" s="2870">
        <v>730519</v>
      </c>
      <c r="AM61" s="2870">
        <v>0</v>
      </c>
      <c r="AN61" s="2870"/>
      <c r="AO61" s="2877">
        <v>2.9451918983865433</v>
      </c>
      <c r="AP61" s="2875">
        <v>1072418</v>
      </c>
      <c r="AQ61" s="2869">
        <v>4.2292000000000003E-2</v>
      </c>
      <c r="AR61" s="2870">
        <v>45794</v>
      </c>
      <c r="AS61" s="2870">
        <v>84077</v>
      </c>
      <c r="AT61" s="2870"/>
      <c r="AU61" s="2870"/>
      <c r="AV61" s="2877">
        <v>3.0708171758252152</v>
      </c>
      <c r="AW61" s="2875">
        <v>129871</v>
      </c>
      <c r="AX61" s="2869">
        <v>0.21168799999999999</v>
      </c>
      <c r="AY61" s="2870">
        <v>223928</v>
      </c>
      <c r="AZ61" s="2870">
        <v>426559</v>
      </c>
      <c r="BA61" s="2870"/>
      <c r="BB61" s="2870"/>
      <c r="BC61" s="2877">
        <v>3.0728572238388572</v>
      </c>
      <c r="BD61" s="2875">
        <v>650487</v>
      </c>
      <c r="BE61" s="2869">
        <v>0</v>
      </c>
      <c r="BF61" s="2870">
        <v>11764</v>
      </c>
      <c r="BG61" s="2870">
        <v>0</v>
      </c>
      <c r="BH61" s="2870"/>
      <c r="BI61" s="2870"/>
      <c r="BJ61" s="2877">
        <v>0</v>
      </c>
      <c r="BK61" s="2875">
        <v>11764</v>
      </c>
      <c r="BL61" s="2882"/>
      <c r="BM61" s="2870">
        <v>10924</v>
      </c>
      <c r="BN61" s="2883"/>
      <c r="BO61" s="2883"/>
      <c r="BP61" s="2883"/>
      <c r="BQ61" s="2884">
        <v>0</v>
      </c>
      <c r="BR61" s="2875">
        <v>10924</v>
      </c>
      <c r="BS61" s="2869">
        <v>0</v>
      </c>
      <c r="BT61" s="2870">
        <v>10924</v>
      </c>
      <c r="BU61" s="2870">
        <v>0</v>
      </c>
      <c r="BV61" s="2870"/>
      <c r="BW61" s="2870"/>
      <c r="BX61" s="2877">
        <v>0</v>
      </c>
      <c r="BY61" s="2875">
        <v>10924</v>
      </c>
      <c r="BZ61" s="2869">
        <v>0</v>
      </c>
      <c r="CA61" s="2870">
        <v>10504</v>
      </c>
      <c r="CB61" s="2870">
        <v>0</v>
      </c>
      <c r="CC61" s="2870">
        <v>-5</v>
      </c>
      <c r="CD61" s="2870"/>
      <c r="CE61" s="2877">
        <v>0</v>
      </c>
      <c r="CF61" s="2875">
        <v>10499</v>
      </c>
      <c r="CG61" s="2869">
        <v>0</v>
      </c>
      <c r="CH61" s="2870">
        <v>10504</v>
      </c>
      <c r="CI61" s="2870">
        <v>0</v>
      </c>
      <c r="CJ61" s="2870">
        <v>0</v>
      </c>
      <c r="CK61" s="2870"/>
      <c r="CL61" s="2877">
        <v>0</v>
      </c>
      <c r="CM61" s="2875">
        <v>10504</v>
      </c>
      <c r="CN61" s="2872">
        <v>0</v>
      </c>
      <c r="CO61" s="2870"/>
      <c r="CP61" s="2870">
        <v>10083</v>
      </c>
      <c r="CQ61" s="2870"/>
      <c r="CR61" s="2870"/>
      <c r="CS61" s="2877">
        <v>0</v>
      </c>
      <c r="CT61" s="2875">
        <v>10083</v>
      </c>
      <c r="CU61" s="2878">
        <v>1.7922760000000002</v>
      </c>
      <c r="CV61" s="2870">
        <v>1713198</v>
      </c>
      <c r="CW61" s="2870">
        <v>3613206</v>
      </c>
      <c r="CX61" s="2870">
        <v>-5</v>
      </c>
      <c r="CY61" s="2870">
        <v>0</v>
      </c>
      <c r="CZ61" s="2879">
        <v>2.9718631505415458</v>
      </c>
      <c r="DA61" s="2875">
        <v>5326399</v>
      </c>
      <c r="DC61" s="2885">
        <v>0.17131979999999999</v>
      </c>
      <c r="DD61" s="1613">
        <v>0.95587844729271598</v>
      </c>
      <c r="DJ61" s="1611" t="e">
        <v>#N/A</v>
      </c>
      <c r="DK61" s="2782" t="s">
        <v>1649</v>
      </c>
      <c r="DM61" s="1650">
        <v>2.0159874929977302</v>
      </c>
    </row>
    <row r="62" spans="1:117" ht="21" customHeight="1">
      <c r="A62" s="1652">
        <v>19</v>
      </c>
      <c r="B62" s="1668" t="s">
        <v>1696</v>
      </c>
      <c r="C62" s="1645">
        <v>2100</v>
      </c>
      <c r="D62" s="1646">
        <v>0.12047619047619046</v>
      </c>
      <c r="E62" s="1646">
        <v>88.725899999999996</v>
      </c>
      <c r="F62" s="1670">
        <v>7.04</v>
      </c>
      <c r="G62" s="1640"/>
      <c r="H62" s="1640">
        <v>2.5299999999999998</v>
      </c>
      <c r="I62" s="1648" t="s">
        <v>1649</v>
      </c>
      <c r="J62" s="1649">
        <v>1</v>
      </c>
      <c r="K62" s="1648"/>
      <c r="L62" s="1640"/>
      <c r="M62" s="1640"/>
      <c r="N62" s="1642"/>
      <c r="O62" s="2876">
        <v>1.285752</v>
      </c>
      <c r="P62" s="2870">
        <v>902777</v>
      </c>
      <c r="Q62" s="2870">
        <v>1820625</v>
      </c>
      <c r="R62" s="2870">
        <v>7933</v>
      </c>
      <c r="S62" s="2870"/>
      <c r="T62" s="2870">
        <v>2.1243093535922948</v>
      </c>
      <c r="U62" s="2875">
        <v>2731335</v>
      </c>
      <c r="V62" s="2869">
        <v>1.4008940000000001</v>
      </c>
      <c r="W62" s="2870">
        <v>895133</v>
      </c>
      <c r="X62" s="2870">
        <v>1983666</v>
      </c>
      <c r="Y62" s="2870">
        <v>34850</v>
      </c>
      <c r="Z62" s="2870"/>
      <c r="AA62" s="2877">
        <v>2.0798497245330481</v>
      </c>
      <c r="AB62" s="2875">
        <v>2913649</v>
      </c>
      <c r="AC62" s="2869">
        <v>1.8535470000000001</v>
      </c>
      <c r="AD62" s="2870">
        <v>1196558</v>
      </c>
      <c r="AE62" s="2870">
        <v>2574577</v>
      </c>
      <c r="AF62" s="2870">
        <v>58634</v>
      </c>
      <c r="AG62" s="2870"/>
      <c r="AH62" s="2877">
        <v>2.0661839165664535</v>
      </c>
      <c r="AI62" s="2875">
        <v>3829769</v>
      </c>
      <c r="AJ62" s="2869">
        <v>1.668201</v>
      </c>
      <c r="AK62" s="2870">
        <v>989515</v>
      </c>
      <c r="AL62" s="2870">
        <v>2240394</v>
      </c>
      <c r="AM62" s="2870">
        <v>103273</v>
      </c>
      <c r="AN62" s="2870"/>
      <c r="AO62" s="2877">
        <v>1.9980697769633275</v>
      </c>
      <c r="AP62" s="2875">
        <v>3333182</v>
      </c>
      <c r="AQ62" s="2869">
        <v>1.8733409999999999</v>
      </c>
      <c r="AR62" s="2870">
        <v>1132916</v>
      </c>
      <c r="AS62" s="2870">
        <v>2412863</v>
      </c>
      <c r="AT62" s="2870">
        <v>94434</v>
      </c>
      <c r="AU62" s="2870"/>
      <c r="AV62" s="2877">
        <v>1.9431662468285271</v>
      </c>
      <c r="AW62" s="2875">
        <v>3640213</v>
      </c>
      <c r="AX62" s="2869">
        <v>1.5701350000000001</v>
      </c>
      <c r="AY62" s="2870">
        <v>1011615</v>
      </c>
      <c r="AZ62" s="2870">
        <v>2066298</v>
      </c>
      <c r="BA62" s="2870">
        <v>59975</v>
      </c>
      <c r="BB62" s="2870"/>
      <c r="BC62" s="2877">
        <v>1.9984829329962073</v>
      </c>
      <c r="BD62" s="2875">
        <v>3137888</v>
      </c>
      <c r="BE62" s="2869">
        <v>1.526295</v>
      </c>
      <c r="BF62" s="2870">
        <v>1022583</v>
      </c>
      <c r="BG62" s="2870">
        <v>2361178</v>
      </c>
      <c r="BH62" s="2870">
        <v>1829</v>
      </c>
      <c r="BI62" s="2870"/>
      <c r="BJ62" s="2877">
        <v>2.2181753854923199</v>
      </c>
      <c r="BK62" s="2875">
        <v>3385590</v>
      </c>
      <c r="BL62" s="2869">
        <v>1.3955850000000001</v>
      </c>
      <c r="BM62" s="2870">
        <v>977883</v>
      </c>
      <c r="BN62" s="2870">
        <v>2059883</v>
      </c>
      <c r="BO62" s="2870">
        <v>-2170</v>
      </c>
      <c r="BP62" s="2870"/>
      <c r="BQ62" s="2877">
        <v>2.1751423238283589</v>
      </c>
      <c r="BR62" s="2875">
        <v>3035596</v>
      </c>
      <c r="BS62" s="2869">
        <v>1.0773029999999999</v>
      </c>
      <c r="BT62" s="2870">
        <v>967416</v>
      </c>
      <c r="BU62" s="2870">
        <v>1547007</v>
      </c>
      <c r="BV62" s="2870">
        <v>-182437</v>
      </c>
      <c r="BW62" s="2870"/>
      <c r="BX62" s="2877">
        <v>2.1646519131572082</v>
      </c>
      <c r="BY62" s="2875">
        <v>2331986</v>
      </c>
      <c r="BZ62" s="2869">
        <v>1.2931250000000001</v>
      </c>
      <c r="CA62" s="2870">
        <v>1000649</v>
      </c>
      <c r="CB62" s="2870">
        <v>1845289</v>
      </c>
      <c r="CC62" s="2870">
        <v>-91425</v>
      </c>
      <c r="CD62" s="2870"/>
      <c r="CE62" s="2877">
        <v>2.1301212179797004</v>
      </c>
      <c r="CF62" s="2875">
        <v>2754513</v>
      </c>
      <c r="CG62" s="2869">
        <v>1.4972179999999999</v>
      </c>
      <c r="CH62" s="2870">
        <v>1013111</v>
      </c>
      <c r="CI62" s="2870">
        <v>2045200</v>
      </c>
      <c r="CJ62" s="2870">
        <v>74803</v>
      </c>
      <c r="CK62" s="2870"/>
      <c r="CL62" s="2877">
        <v>2.0926237862488963</v>
      </c>
      <c r="CM62" s="2875">
        <v>3133114</v>
      </c>
      <c r="CN62" s="2872">
        <v>1.492491</v>
      </c>
      <c r="CO62" s="2870"/>
      <c r="CP62" s="2870">
        <v>2968944</v>
      </c>
      <c r="CQ62" s="2870"/>
      <c r="CR62" s="2870"/>
      <c r="CS62" s="2877">
        <v>1.9892542065580294</v>
      </c>
      <c r="CT62" s="2875">
        <v>2968944</v>
      </c>
      <c r="CU62" s="2878">
        <v>17.933887000000002</v>
      </c>
      <c r="CV62" s="2870">
        <v>11110156</v>
      </c>
      <c r="CW62" s="2870">
        <v>25925924</v>
      </c>
      <c r="CX62" s="2870">
        <v>159699</v>
      </c>
      <c r="CY62" s="2870">
        <v>0</v>
      </c>
      <c r="CZ62" s="2879">
        <v>2.0740500372284041</v>
      </c>
      <c r="DA62" s="2875">
        <v>37195779</v>
      </c>
      <c r="DJ62" s="1611" t="e">
        <v>#N/A</v>
      </c>
      <c r="DK62" s="2782" t="s">
        <v>1649</v>
      </c>
      <c r="DM62" s="1650">
        <v>1.4456388623392127</v>
      </c>
    </row>
    <row r="63" spans="1:117" ht="21" customHeight="1">
      <c r="A63" s="1652">
        <v>20</v>
      </c>
      <c r="B63" s="1668" t="s">
        <v>1697</v>
      </c>
      <c r="C63" s="1645">
        <v>500</v>
      </c>
      <c r="D63" s="1646">
        <v>0.312</v>
      </c>
      <c r="E63" s="1646">
        <v>87.401700000000005</v>
      </c>
      <c r="F63" s="1670">
        <v>6.25</v>
      </c>
      <c r="G63" s="1640"/>
      <c r="H63" s="1640">
        <v>1.56</v>
      </c>
      <c r="I63" s="1648" t="s">
        <v>1649</v>
      </c>
      <c r="J63" s="1649">
        <v>1</v>
      </c>
      <c r="K63" s="1648"/>
      <c r="L63" s="1640"/>
      <c r="M63" s="1640"/>
      <c r="N63" s="1642"/>
      <c r="O63" s="2876">
        <v>0.66506200000000004</v>
      </c>
      <c r="P63" s="2870">
        <v>1003327</v>
      </c>
      <c r="Q63" s="2870">
        <v>926431</v>
      </c>
      <c r="R63" s="2870">
        <v>1350</v>
      </c>
      <c r="S63" s="2870"/>
      <c r="T63" s="2870">
        <v>2.9036510881692235</v>
      </c>
      <c r="U63" s="2875">
        <v>1931108</v>
      </c>
      <c r="V63" s="2869">
        <v>0.74792499999999995</v>
      </c>
      <c r="W63" s="2870">
        <v>989865</v>
      </c>
      <c r="X63" s="2870">
        <v>1041112</v>
      </c>
      <c r="Y63" s="2870">
        <v>10308</v>
      </c>
      <c r="Z63" s="2870"/>
      <c r="AA63" s="2877">
        <v>2.7292642978908312</v>
      </c>
      <c r="AB63" s="2875">
        <v>2041285</v>
      </c>
      <c r="AC63" s="2869">
        <v>0.78755799999999998</v>
      </c>
      <c r="AD63" s="2870">
        <v>1023137</v>
      </c>
      <c r="AE63" s="2870">
        <v>1077379</v>
      </c>
      <c r="AF63" s="2870">
        <v>29135</v>
      </c>
      <c r="AG63" s="2870"/>
      <c r="AH63" s="2877">
        <v>2.7041195696063021</v>
      </c>
      <c r="AI63" s="2875">
        <v>2129651</v>
      </c>
      <c r="AJ63" s="2869">
        <v>0.84162000000000003</v>
      </c>
      <c r="AK63" s="2870">
        <v>1017094</v>
      </c>
      <c r="AL63" s="2870">
        <v>1099156</v>
      </c>
      <c r="AM63" s="2870">
        <v>46618</v>
      </c>
      <c r="AN63" s="2870"/>
      <c r="AO63" s="2877">
        <v>2.5698866471804376</v>
      </c>
      <c r="AP63" s="2875">
        <v>2162868</v>
      </c>
      <c r="AQ63" s="2869">
        <v>0.85373299999999996</v>
      </c>
      <c r="AR63" s="2870">
        <v>1038280</v>
      </c>
      <c r="AS63" s="2870">
        <v>1083387</v>
      </c>
      <c r="AT63" s="2870">
        <v>46750</v>
      </c>
      <c r="AU63" s="2870"/>
      <c r="AV63" s="2877">
        <v>2.5399240746228622</v>
      </c>
      <c r="AW63" s="2875">
        <v>2168417</v>
      </c>
      <c r="AX63" s="2869">
        <v>0.86979700000000004</v>
      </c>
      <c r="AY63" s="2870">
        <v>1039657</v>
      </c>
      <c r="AZ63" s="2870">
        <v>1127257</v>
      </c>
      <c r="BA63" s="2870">
        <v>67243</v>
      </c>
      <c r="BB63" s="2870"/>
      <c r="BC63" s="2877">
        <v>2.5685958907653164</v>
      </c>
      <c r="BD63" s="2875">
        <v>2234157</v>
      </c>
      <c r="BE63" s="2869">
        <v>0.88241199999999997</v>
      </c>
      <c r="BF63" s="2870">
        <v>1021454</v>
      </c>
      <c r="BG63" s="2870">
        <v>1343031</v>
      </c>
      <c r="BH63" s="2870">
        <v>53451</v>
      </c>
      <c r="BI63" s="2870"/>
      <c r="BJ63" s="2877">
        <v>2.7401440596909379</v>
      </c>
      <c r="BK63" s="2875">
        <v>2417936</v>
      </c>
      <c r="BL63" s="2869">
        <v>0.73816300000000001</v>
      </c>
      <c r="BM63" s="2870">
        <v>977398</v>
      </c>
      <c r="BN63" s="2870">
        <v>1072551</v>
      </c>
      <c r="BO63" s="2870">
        <v>23953</v>
      </c>
      <c r="BP63" s="2870"/>
      <c r="BQ63" s="2877">
        <v>2.8095447753409477</v>
      </c>
      <c r="BR63" s="2875">
        <v>2073902</v>
      </c>
      <c r="BS63" s="2869">
        <v>0.65457799999999999</v>
      </c>
      <c r="BT63" s="2870">
        <v>970362</v>
      </c>
      <c r="BU63" s="2870">
        <v>921646</v>
      </c>
      <c r="BV63" s="2870">
        <v>-27712</v>
      </c>
      <c r="BW63" s="2870"/>
      <c r="BX63" s="2877">
        <v>2.8480883867163271</v>
      </c>
      <c r="BY63" s="2875">
        <v>1864296</v>
      </c>
      <c r="BZ63" s="2869">
        <v>0.70070200000000005</v>
      </c>
      <c r="CA63" s="2870">
        <v>960266</v>
      </c>
      <c r="CB63" s="2870">
        <v>980282</v>
      </c>
      <c r="CC63" s="2870">
        <v>-317</v>
      </c>
      <c r="CD63" s="2870"/>
      <c r="CE63" s="2877">
        <v>2.7689816783739736</v>
      </c>
      <c r="CF63" s="2875">
        <v>1940231</v>
      </c>
      <c r="CG63" s="2869">
        <v>0.75290000000000001</v>
      </c>
      <c r="CH63" s="2870">
        <v>952464</v>
      </c>
      <c r="CI63" s="2870">
        <v>1007380</v>
      </c>
      <c r="CJ63" s="2870">
        <v>62789</v>
      </c>
      <c r="CK63" s="2870"/>
      <c r="CL63" s="2877">
        <v>2.6864563687076637</v>
      </c>
      <c r="CM63" s="2875">
        <v>2022633</v>
      </c>
      <c r="CN63" s="2872">
        <v>0.79915999999999998</v>
      </c>
      <c r="CO63" s="2870"/>
      <c r="CP63" s="2870">
        <v>2009790</v>
      </c>
      <c r="CQ63" s="2870"/>
      <c r="CR63" s="2870"/>
      <c r="CS63" s="2877">
        <v>2.5148781220281293</v>
      </c>
      <c r="CT63" s="2875">
        <v>2009790</v>
      </c>
      <c r="CU63" s="2878">
        <v>9.2936099999999993</v>
      </c>
      <c r="CV63" s="2870">
        <v>10993304</v>
      </c>
      <c r="CW63" s="2870">
        <v>13689402</v>
      </c>
      <c r="CX63" s="2870">
        <v>313568</v>
      </c>
      <c r="CY63" s="2870">
        <v>0</v>
      </c>
      <c r="CZ63" s="2879">
        <v>2.6896194266813436</v>
      </c>
      <c r="DA63" s="2875">
        <v>24996274</v>
      </c>
      <c r="DJ63" s="1611" t="e">
        <v>#N/A</v>
      </c>
      <c r="DK63" s="2782" t="s">
        <v>1649</v>
      </c>
      <c r="DM63" s="1650">
        <v>1.4729907969023879</v>
      </c>
    </row>
    <row r="64" spans="1:117" ht="21" customHeight="1">
      <c r="A64" s="1652">
        <v>21</v>
      </c>
      <c r="B64" s="1668" t="s">
        <v>1681</v>
      </c>
      <c r="C64" s="1645">
        <v>656.2</v>
      </c>
      <c r="D64" s="1646">
        <v>4.5717768972874124E-3</v>
      </c>
      <c r="E64" s="1646">
        <v>94.361000000000004</v>
      </c>
      <c r="F64" s="1670">
        <v>2.75</v>
      </c>
      <c r="G64" s="1640"/>
      <c r="H64" s="1640">
        <v>0.03</v>
      </c>
      <c r="I64" s="1648" t="s">
        <v>1649</v>
      </c>
      <c r="J64" s="1649">
        <v>1</v>
      </c>
      <c r="K64" s="1648"/>
      <c r="L64" s="1640"/>
      <c r="M64" s="1640"/>
      <c r="N64" s="1642"/>
      <c r="O64" s="2876">
        <v>0.74917900000000004</v>
      </c>
      <c r="P64" s="2870">
        <v>534495</v>
      </c>
      <c r="Q64" s="2870">
        <v>1480241</v>
      </c>
      <c r="R64" s="2870">
        <v>0</v>
      </c>
      <c r="S64" s="2870"/>
      <c r="T64" s="2870">
        <v>2.6892585083137677</v>
      </c>
      <c r="U64" s="2875">
        <v>2014736</v>
      </c>
      <c r="V64" s="2869">
        <v>0.84100399999999997</v>
      </c>
      <c r="W64" s="2870">
        <v>569264</v>
      </c>
      <c r="X64" s="2870">
        <v>1748561</v>
      </c>
      <c r="Y64" s="2870"/>
      <c r="Z64" s="2870"/>
      <c r="AA64" s="2877">
        <v>2.7560213744524402</v>
      </c>
      <c r="AB64" s="2875">
        <v>2317825</v>
      </c>
      <c r="AC64" s="2869">
        <v>2.0089999999999999E-3</v>
      </c>
      <c r="AD64" s="2870">
        <v>8310</v>
      </c>
      <c r="AE64" s="2870">
        <v>4099</v>
      </c>
      <c r="AF64" s="2870"/>
      <c r="AG64" s="2870"/>
      <c r="AH64" s="2877">
        <v>6.1767048282727721</v>
      </c>
      <c r="AI64" s="2875">
        <v>12409</v>
      </c>
      <c r="AJ64" s="2869">
        <v>1.067E-3</v>
      </c>
      <c r="AK64" s="2870">
        <v>8310</v>
      </c>
      <c r="AL64" s="2870">
        <v>2252</v>
      </c>
      <c r="AM64" s="2870">
        <v>0</v>
      </c>
      <c r="AN64" s="2870"/>
      <c r="AO64" s="2877">
        <v>9.8987816307403929</v>
      </c>
      <c r="AP64" s="2875">
        <v>10562</v>
      </c>
      <c r="AQ64" s="2869">
        <v>0.11183800000000001</v>
      </c>
      <c r="AR64" s="2870">
        <v>89415</v>
      </c>
      <c r="AS64" s="2870">
        <v>221663</v>
      </c>
      <c r="AT64" s="2870">
        <v>-63</v>
      </c>
      <c r="AU64" s="2870"/>
      <c r="AV64" s="2877">
        <v>2.7809420769327065</v>
      </c>
      <c r="AW64" s="2875">
        <v>311015</v>
      </c>
      <c r="AX64" s="2869">
        <v>0.28766900000000001</v>
      </c>
      <c r="AY64" s="2870">
        <v>254882</v>
      </c>
      <c r="AZ64" s="2870">
        <v>576727</v>
      </c>
      <c r="BA64" s="2870">
        <v>-8</v>
      </c>
      <c r="BB64" s="2870"/>
      <c r="BC64" s="2877">
        <v>2.8908259145059079</v>
      </c>
      <c r="BD64" s="2875">
        <v>831601</v>
      </c>
      <c r="BE64" s="2869">
        <v>1.7819999999999999E-3</v>
      </c>
      <c r="BF64" s="2870">
        <v>7978</v>
      </c>
      <c r="BG64" s="2870">
        <v>2735</v>
      </c>
      <c r="BH64" s="2870">
        <v>-36</v>
      </c>
      <c r="BI64" s="2870"/>
      <c r="BJ64" s="2877">
        <v>5.9915824915824913</v>
      </c>
      <c r="BK64" s="2875">
        <v>10677</v>
      </c>
      <c r="BL64" s="2869">
        <v>1.273E-3</v>
      </c>
      <c r="BM64" s="2870">
        <v>7313</v>
      </c>
      <c r="BN64" s="2870">
        <v>2001</v>
      </c>
      <c r="BO64" s="2870">
        <v>-10</v>
      </c>
      <c r="BP64" s="2870"/>
      <c r="BQ64" s="2877">
        <v>7.3087195600942652</v>
      </c>
      <c r="BR64" s="2875">
        <v>9304</v>
      </c>
      <c r="BS64" s="2869">
        <v>0</v>
      </c>
      <c r="BT64" s="2870">
        <v>7313</v>
      </c>
      <c r="BU64" s="2870">
        <v>0</v>
      </c>
      <c r="BV64" s="2870">
        <v>0</v>
      </c>
      <c r="BW64" s="2870"/>
      <c r="BX64" s="2877">
        <v>0</v>
      </c>
      <c r="BY64" s="2875">
        <v>7313</v>
      </c>
      <c r="BZ64" s="2869">
        <v>0</v>
      </c>
      <c r="CA64" s="2870">
        <v>7313</v>
      </c>
      <c r="CB64" s="2870">
        <v>0</v>
      </c>
      <c r="CC64" s="2870">
        <v>-6</v>
      </c>
      <c r="CD64" s="2870"/>
      <c r="CE64" s="2877">
        <v>0</v>
      </c>
      <c r="CF64" s="2875">
        <v>7307</v>
      </c>
      <c r="CG64" s="2869">
        <v>0</v>
      </c>
      <c r="CH64" s="2870">
        <v>7313</v>
      </c>
      <c r="CI64" s="2870">
        <v>0</v>
      </c>
      <c r="CJ64" s="2870">
        <v>0</v>
      </c>
      <c r="CK64" s="2870"/>
      <c r="CL64" s="2877">
        <v>0</v>
      </c>
      <c r="CM64" s="2875">
        <v>7313</v>
      </c>
      <c r="CN64" s="2872">
        <v>1.9000000000000001E-5</v>
      </c>
      <c r="CO64" s="2870"/>
      <c r="CP64" s="2870">
        <v>7010</v>
      </c>
      <c r="CQ64" s="2870"/>
      <c r="CR64" s="2870"/>
      <c r="CS64" s="2877">
        <v>368.94736842105266</v>
      </c>
      <c r="CT64" s="2875">
        <v>7010</v>
      </c>
      <c r="CU64" s="2878">
        <v>1.9958400000000001</v>
      </c>
      <c r="CV64" s="2870">
        <v>1501906</v>
      </c>
      <c r="CW64" s="2870">
        <v>4045289</v>
      </c>
      <c r="CX64" s="2870">
        <v>-123</v>
      </c>
      <c r="CY64" s="2870">
        <v>0</v>
      </c>
      <c r="CZ64" s="2879">
        <v>2.7793169793169792</v>
      </c>
      <c r="DA64" s="2875">
        <v>5547072</v>
      </c>
      <c r="DJ64" s="1611" t="e">
        <v>#N/A</v>
      </c>
      <c r="DK64" s="2782" t="s">
        <v>1649</v>
      </c>
      <c r="DM64" s="1650">
        <v>2.0268603695687029</v>
      </c>
    </row>
    <row r="65" spans="1:117" ht="21" customHeight="1">
      <c r="A65" s="1652">
        <v>22</v>
      </c>
      <c r="B65" s="1668" t="s">
        <v>1698</v>
      </c>
      <c r="C65" s="2782">
        <v>1000</v>
      </c>
      <c r="D65" s="1646">
        <v>0.311</v>
      </c>
      <c r="E65" s="1646">
        <v>100.1354</v>
      </c>
      <c r="F65" s="1670">
        <v>6.25</v>
      </c>
      <c r="G65" s="1640"/>
      <c r="H65" s="1640">
        <v>3.11</v>
      </c>
      <c r="I65" s="1648" t="s">
        <v>1649</v>
      </c>
      <c r="J65" s="1649">
        <v>1</v>
      </c>
      <c r="K65" s="1648"/>
      <c r="L65" s="1640"/>
      <c r="M65" s="1640"/>
      <c r="N65" s="1642"/>
      <c r="O65" s="2876">
        <v>0</v>
      </c>
      <c r="P65" s="2870">
        <v>2790139</v>
      </c>
      <c r="Q65" s="2870">
        <v>0</v>
      </c>
      <c r="R65" s="2870">
        <v>0</v>
      </c>
      <c r="S65" s="2870"/>
      <c r="T65" s="2870" t="s">
        <v>1594</v>
      </c>
      <c r="U65" s="2875">
        <v>2790139</v>
      </c>
      <c r="V65" s="2869"/>
      <c r="W65" s="2870">
        <v>2778121</v>
      </c>
      <c r="X65" s="2870"/>
      <c r="Y65" s="2870"/>
      <c r="Z65" s="2870"/>
      <c r="AA65" s="2877">
        <v>0</v>
      </c>
      <c r="AB65" s="2875">
        <v>2778121</v>
      </c>
      <c r="AC65" s="2869">
        <v>7.4174000000000004E-2</v>
      </c>
      <c r="AD65" s="2870">
        <v>2776592</v>
      </c>
      <c r="AE65" s="2870">
        <v>213992</v>
      </c>
      <c r="AF65" s="2870"/>
      <c r="AG65" s="2870"/>
      <c r="AH65" s="2877">
        <v>40.318494351120336</v>
      </c>
      <c r="AI65" s="2875">
        <v>2990584</v>
      </c>
      <c r="AJ65" s="2869">
        <v>0.66444499999999995</v>
      </c>
      <c r="AK65" s="2870">
        <v>3456756</v>
      </c>
      <c r="AL65" s="2870">
        <v>1835862</v>
      </c>
      <c r="AM65" s="2870">
        <v>77065</v>
      </c>
      <c r="AN65" s="2870"/>
      <c r="AO65" s="2877">
        <v>8.0814559519599065</v>
      </c>
      <c r="AP65" s="2875">
        <v>5369683</v>
      </c>
      <c r="AQ65" s="2869">
        <v>3.5348999999999998E-2</v>
      </c>
      <c r="AR65" s="2870">
        <v>2774625</v>
      </c>
      <c r="AS65" s="2870">
        <v>103891</v>
      </c>
      <c r="AT65" s="2870">
        <v>43336</v>
      </c>
      <c r="AU65" s="2870"/>
      <c r="AV65" s="2877">
        <v>82.657274604656422</v>
      </c>
      <c r="AW65" s="2875">
        <v>2921852</v>
      </c>
      <c r="AX65" s="2869">
        <v>0.82927700000000004</v>
      </c>
      <c r="AY65" s="2870">
        <v>2798877</v>
      </c>
      <c r="AZ65" s="2870">
        <v>2428123</v>
      </c>
      <c r="BA65" s="2870">
        <v>73701</v>
      </c>
      <c r="BB65" s="2870"/>
      <c r="BC65" s="2877">
        <v>6.391954678593522</v>
      </c>
      <c r="BD65" s="2875">
        <v>5300701</v>
      </c>
      <c r="BE65" s="2869">
        <v>0.68046700000000004</v>
      </c>
      <c r="BF65" s="2870">
        <v>2933687</v>
      </c>
      <c r="BG65" s="2870">
        <v>1900544</v>
      </c>
      <c r="BH65" s="2870">
        <v>117754</v>
      </c>
      <c r="BI65" s="2870"/>
      <c r="BJ65" s="2877">
        <v>7.2773330668496783</v>
      </c>
      <c r="BK65" s="2875">
        <v>4951985</v>
      </c>
      <c r="BL65" s="2869">
        <v>0.26948499999999997</v>
      </c>
      <c r="BM65" s="2870">
        <v>2599614</v>
      </c>
      <c r="BN65" s="2870">
        <v>726532</v>
      </c>
      <c r="BO65" s="2870">
        <v>111704</v>
      </c>
      <c r="BP65" s="2870"/>
      <c r="BQ65" s="2877">
        <v>12.757110785386942</v>
      </c>
      <c r="BR65" s="2875">
        <v>3437850</v>
      </c>
      <c r="BS65" s="2869">
        <v>0.71737499999999998</v>
      </c>
      <c r="BT65" s="2870">
        <v>2735297</v>
      </c>
      <c r="BU65" s="2870">
        <v>1939782</v>
      </c>
      <c r="BV65" s="2870">
        <v>189713</v>
      </c>
      <c r="BW65" s="2870"/>
      <c r="BX65" s="2877">
        <v>6.781379334378812</v>
      </c>
      <c r="BY65" s="2875">
        <v>4864792</v>
      </c>
      <c r="BZ65" s="2869">
        <v>0.63697300000000001</v>
      </c>
      <c r="CA65" s="2870">
        <v>2557008</v>
      </c>
      <c r="CB65" s="2870">
        <v>1679061</v>
      </c>
      <c r="CC65" s="2870">
        <v>241457</v>
      </c>
      <c r="CD65" s="2870"/>
      <c r="CE65" s="2877">
        <v>7.0293811511633928</v>
      </c>
      <c r="CF65" s="2875">
        <v>4477526</v>
      </c>
      <c r="CG65" s="2869">
        <v>0.34781600000000001</v>
      </c>
      <c r="CH65" s="2870">
        <v>2388332</v>
      </c>
      <c r="CI65" s="2870">
        <v>918930</v>
      </c>
      <c r="CJ65" s="2870">
        <v>132681</v>
      </c>
      <c r="CK65" s="2870"/>
      <c r="CL65" s="2877">
        <v>9.8901229385652183</v>
      </c>
      <c r="CM65" s="2875">
        <v>3439943</v>
      </c>
      <c r="CN65" s="2872">
        <v>0.86787199999999998</v>
      </c>
      <c r="CO65" s="2870"/>
      <c r="CP65" s="2870">
        <v>4580906</v>
      </c>
      <c r="CQ65" s="2870"/>
      <c r="CR65" s="2870"/>
      <c r="CS65" s="2877">
        <v>5.2783198444010173</v>
      </c>
      <c r="CT65" s="2875">
        <v>4580906</v>
      </c>
      <c r="CU65" s="2878">
        <v>5.1232329999999999</v>
      </c>
      <c r="CV65" s="2870">
        <v>30589048</v>
      </c>
      <c r="CW65" s="2870">
        <v>16327623</v>
      </c>
      <c r="CX65" s="2870">
        <v>987411</v>
      </c>
      <c r="CY65" s="2870">
        <v>0</v>
      </c>
      <c r="CZ65" s="2879">
        <v>9.3503617735129367</v>
      </c>
      <c r="DA65" s="2875">
        <v>47904082</v>
      </c>
      <c r="DJ65" s="1611" t="e">
        <v>#N/A</v>
      </c>
      <c r="DK65" s="2782" t="s">
        <v>1649</v>
      </c>
      <c r="DM65" s="1650">
        <v>3.1869764658370991</v>
      </c>
    </row>
    <row r="66" spans="1:117" ht="21" customHeight="1">
      <c r="A66" s="1652">
        <v>23</v>
      </c>
      <c r="B66" s="1668" t="s">
        <v>1699</v>
      </c>
      <c r="C66" s="1645">
        <v>1320</v>
      </c>
      <c r="D66" s="1646">
        <v>0.3113636363636364</v>
      </c>
      <c r="E66" s="1646">
        <v>89.256900000000002</v>
      </c>
      <c r="F66" s="1670">
        <v>6.25</v>
      </c>
      <c r="G66" s="1640"/>
      <c r="H66" s="1640">
        <v>4.1100000000000003</v>
      </c>
      <c r="I66" s="1648" t="s">
        <v>1649</v>
      </c>
      <c r="J66" s="1649">
        <v>1</v>
      </c>
      <c r="K66" s="1648"/>
      <c r="L66" s="1640"/>
      <c r="M66" s="1640"/>
      <c r="N66" s="1642"/>
      <c r="O66" s="2876">
        <v>0</v>
      </c>
      <c r="P66" s="2870">
        <v>2912105</v>
      </c>
      <c r="Q66" s="2870">
        <v>0</v>
      </c>
      <c r="R66" s="2870">
        <v>0</v>
      </c>
      <c r="S66" s="2870"/>
      <c r="T66" s="2870" t="s">
        <v>1594</v>
      </c>
      <c r="U66" s="2875">
        <v>2912105</v>
      </c>
      <c r="V66" s="2869"/>
      <c r="W66" s="2870">
        <v>2899563</v>
      </c>
      <c r="X66" s="2870"/>
      <c r="Y66" s="2870"/>
      <c r="Z66" s="2870"/>
      <c r="AA66" s="2877">
        <v>0</v>
      </c>
      <c r="AB66" s="2875">
        <v>2899563</v>
      </c>
      <c r="AC66" s="2869">
        <v>3.6704000000000001E-2</v>
      </c>
      <c r="AD66" s="2870">
        <v>2896370</v>
      </c>
      <c r="AE66" s="2870">
        <v>106038</v>
      </c>
      <c r="AF66" s="2870"/>
      <c r="AG66" s="2870"/>
      <c r="AH66" s="2877">
        <v>81.80056669572798</v>
      </c>
      <c r="AI66" s="2875">
        <v>3002408</v>
      </c>
      <c r="AJ66" s="2869">
        <v>2.0138609999999999</v>
      </c>
      <c r="AK66" s="2870">
        <v>5082388</v>
      </c>
      <c r="AL66" s="2870">
        <v>5731448</v>
      </c>
      <c r="AM66" s="2870">
        <v>23742</v>
      </c>
      <c r="AN66" s="2870"/>
      <c r="AO66" s="2877">
        <v>5.3814925657729109</v>
      </c>
      <c r="AP66" s="2875">
        <v>10837578</v>
      </c>
      <c r="AQ66" s="2869">
        <v>6.6356999999999999E-2</v>
      </c>
      <c r="AR66" s="2870">
        <v>2894545</v>
      </c>
      <c r="AS66" s="2870">
        <v>195820</v>
      </c>
      <c r="AT66" s="2870">
        <v>22850</v>
      </c>
      <c r="AU66" s="2870"/>
      <c r="AV66" s="2877">
        <v>46.916150519161505</v>
      </c>
      <c r="AW66" s="2875">
        <v>3113215</v>
      </c>
      <c r="AX66" s="2869">
        <v>0.430365</v>
      </c>
      <c r="AY66" s="2870">
        <v>2987359</v>
      </c>
      <c r="AZ66" s="2870">
        <v>1266134</v>
      </c>
      <c r="BA66" s="2870">
        <v>40491</v>
      </c>
      <c r="BB66" s="2870"/>
      <c r="BC66" s="2877">
        <v>9.9775399951204218</v>
      </c>
      <c r="BD66" s="2875">
        <v>4293984</v>
      </c>
      <c r="BE66" s="2869">
        <v>4.3714599999999999</v>
      </c>
      <c r="BF66" s="2870">
        <v>7438753</v>
      </c>
      <c r="BG66" s="2870">
        <v>12581062</v>
      </c>
      <c r="BH66" s="2870">
        <v>85883</v>
      </c>
      <c r="BI66" s="2870"/>
      <c r="BJ66" s="2877">
        <v>4.5993096128067057</v>
      </c>
      <c r="BK66" s="2875">
        <v>20105698</v>
      </c>
      <c r="BL66" s="2869">
        <v>0.33996300000000002</v>
      </c>
      <c r="BM66" s="2870">
        <v>2671520</v>
      </c>
      <c r="BN66" s="2870">
        <v>988272</v>
      </c>
      <c r="BO66" s="2870">
        <v>122547</v>
      </c>
      <c r="BP66" s="2870"/>
      <c r="BQ66" s="2877">
        <v>11.125737212579017</v>
      </c>
      <c r="BR66" s="2875">
        <v>3782339</v>
      </c>
      <c r="BS66" s="2869">
        <v>0.71587900000000004</v>
      </c>
      <c r="BT66" s="2870">
        <v>2733776</v>
      </c>
      <c r="BU66" s="2870">
        <v>2086787</v>
      </c>
      <c r="BV66" s="2870">
        <v>-18481</v>
      </c>
      <c r="BW66" s="2870"/>
      <c r="BX66" s="2877">
        <v>6.7079520421747247</v>
      </c>
      <c r="BY66" s="2875">
        <v>4802082</v>
      </c>
      <c r="BZ66" s="2869">
        <v>0.80349499999999996</v>
      </c>
      <c r="CA66" s="2870">
        <v>2685887</v>
      </c>
      <c r="CB66" s="2870">
        <v>2373524</v>
      </c>
      <c r="CC66" s="2870">
        <v>124285</v>
      </c>
      <c r="CD66" s="2870"/>
      <c r="CE66" s="2877">
        <v>6.4514352920677789</v>
      </c>
      <c r="CF66" s="2875">
        <v>5183696</v>
      </c>
      <c r="CG66" s="2869">
        <v>0.40071600000000002</v>
      </c>
      <c r="CH66" s="2870">
        <v>2561604</v>
      </c>
      <c r="CI66" s="2870">
        <v>1180109</v>
      </c>
      <c r="CJ66" s="2870">
        <v>64937</v>
      </c>
      <c r="CK66" s="2870"/>
      <c r="CL66" s="2877">
        <v>9.499620678984618</v>
      </c>
      <c r="CM66" s="2875">
        <v>3806650</v>
      </c>
      <c r="CN66" s="2872">
        <v>1.3063830000000001</v>
      </c>
      <c r="CO66" s="2870"/>
      <c r="CP66" s="2870">
        <v>6747344</v>
      </c>
      <c r="CQ66" s="2870"/>
      <c r="CR66" s="2870"/>
      <c r="CS66" s="2877">
        <v>5.1649049321676719</v>
      </c>
      <c r="CT66" s="2875">
        <v>6747344</v>
      </c>
      <c r="CU66" s="2878">
        <v>10.485182999999999</v>
      </c>
      <c r="CV66" s="2870">
        <v>37763870</v>
      </c>
      <c r="CW66" s="2870">
        <v>33256538</v>
      </c>
      <c r="CX66" s="2870">
        <v>466254</v>
      </c>
      <c r="CY66" s="2870">
        <v>0</v>
      </c>
      <c r="CZ66" s="2879">
        <v>6.8178745187375362</v>
      </c>
      <c r="DA66" s="2875">
        <v>71486662</v>
      </c>
      <c r="DJ66" s="1611" t="e">
        <v>#N/A</v>
      </c>
      <c r="DK66" s="2782" t="s">
        <v>1649</v>
      </c>
      <c r="DM66" s="1650">
        <v>3.1717651470651491</v>
      </c>
    </row>
    <row r="67" spans="1:117" ht="21" customHeight="1">
      <c r="A67" s="1652">
        <v>24</v>
      </c>
      <c r="B67" s="1668" t="s">
        <v>1700</v>
      </c>
      <c r="C67" s="1645">
        <v>660</v>
      </c>
      <c r="D67" s="1646">
        <v>0.31060606060606055</v>
      </c>
      <c r="E67" s="1646">
        <v>94.679000000000002</v>
      </c>
      <c r="F67" s="1670">
        <v>6.25</v>
      </c>
      <c r="G67" s="1640"/>
      <c r="H67" s="1640">
        <v>2.0499999999999998</v>
      </c>
      <c r="I67" s="1648" t="s">
        <v>1649</v>
      </c>
      <c r="J67" s="1649">
        <v>1</v>
      </c>
      <c r="K67" s="1648"/>
      <c r="L67" s="1640"/>
      <c r="M67" s="1640"/>
      <c r="N67" s="1642"/>
      <c r="O67" s="2876">
        <v>0</v>
      </c>
      <c r="P67" s="2870">
        <v>3374130</v>
      </c>
      <c r="Q67" s="2870">
        <v>0</v>
      </c>
      <c r="R67" s="2870">
        <v>0</v>
      </c>
      <c r="S67" s="2870"/>
      <c r="T67" s="2870" t="s">
        <v>1594</v>
      </c>
      <c r="U67" s="2875">
        <v>3374130</v>
      </c>
      <c r="V67" s="2869"/>
      <c r="W67" s="2870">
        <v>3359598</v>
      </c>
      <c r="X67" s="2870"/>
      <c r="Y67" s="2870"/>
      <c r="Z67" s="2870"/>
      <c r="AA67" s="2877">
        <v>0</v>
      </c>
      <c r="AB67" s="2875">
        <v>3359598</v>
      </c>
      <c r="AC67" s="2869">
        <v>0</v>
      </c>
      <c r="AD67" s="2870">
        <v>3359598</v>
      </c>
      <c r="AE67" s="2870">
        <v>0</v>
      </c>
      <c r="AF67" s="2870"/>
      <c r="AG67" s="2870"/>
      <c r="AH67" s="2877">
        <v>0</v>
      </c>
      <c r="AI67" s="2875">
        <v>3359598</v>
      </c>
      <c r="AJ67" s="2869">
        <v>9.6021999999999996E-2</v>
      </c>
      <c r="AK67" s="2870">
        <v>3356162</v>
      </c>
      <c r="AL67" s="2870">
        <v>272510</v>
      </c>
      <c r="AM67" s="2870">
        <v>23768</v>
      </c>
      <c r="AN67" s="2870"/>
      <c r="AO67" s="2877">
        <v>38.03753306533919</v>
      </c>
      <c r="AP67" s="2875">
        <v>3652440</v>
      </c>
      <c r="AQ67" s="2869">
        <v>9.8094000000000001E-2</v>
      </c>
      <c r="AR67" s="2870">
        <v>3358541</v>
      </c>
      <c r="AS67" s="2870">
        <v>288494</v>
      </c>
      <c r="AT67" s="2870">
        <v>30628</v>
      </c>
      <c r="AU67" s="2870"/>
      <c r="AV67" s="2877">
        <v>37.491212510449159</v>
      </c>
      <c r="AW67" s="2875">
        <v>3677663</v>
      </c>
      <c r="AX67" s="2869">
        <v>1.044354</v>
      </c>
      <c r="AY67" s="2870">
        <v>3995583</v>
      </c>
      <c r="AZ67" s="2870">
        <v>2980586</v>
      </c>
      <c r="BA67" s="2870">
        <v>24647</v>
      </c>
      <c r="BB67" s="2870"/>
      <c r="BC67" s="2877">
        <v>6.7034894298293493</v>
      </c>
      <c r="BD67" s="2875">
        <v>7000816</v>
      </c>
      <c r="BE67" s="2869">
        <v>0.63722800000000002</v>
      </c>
      <c r="BF67" s="2870">
        <v>3959120</v>
      </c>
      <c r="BG67" s="2870">
        <v>1828207</v>
      </c>
      <c r="BH67" s="2870">
        <v>42214</v>
      </c>
      <c r="BI67" s="2870"/>
      <c r="BJ67" s="2877">
        <v>9.148281305906206</v>
      </c>
      <c r="BK67" s="2875">
        <v>5829541</v>
      </c>
      <c r="BL67" s="2869">
        <v>0.35159200000000002</v>
      </c>
      <c r="BM67" s="2870">
        <v>3195251</v>
      </c>
      <c r="BN67" s="2870">
        <v>1017859</v>
      </c>
      <c r="BO67" s="2870">
        <v>72460</v>
      </c>
      <c r="BP67" s="2870"/>
      <c r="BQ67" s="2877">
        <v>12.189042981637808</v>
      </c>
      <c r="BR67" s="2875">
        <v>4285570</v>
      </c>
      <c r="BS67" s="2869">
        <v>0.64436700000000002</v>
      </c>
      <c r="BT67" s="2870">
        <v>3252323</v>
      </c>
      <c r="BU67" s="2870">
        <v>1873819</v>
      </c>
      <c r="BV67" s="2870">
        <v>7260</v>
      </c>
      <c r="BW67" s="2870"/>
      <c r="BX67" s="2877">
        <v>7.9665811563906903</v>
      </c>
      <c r="BY67" s="2875">
        <v>5133402</v>
      </c>
      <c r="BZ67" s="2869">
        <v>0.55301900000000004</v>
      </c>
      <c r="CA67" s="2870">
        <v>3069216</v>
      </c>
      <c r="CB67" s="2870">
        <v>1629194</v>
      </c>
      <c r="CC67" s="2870">
        <v>51333</v>
      </c>
      <c r="CD67" s="2870"/>
      <c r="CE67" s="2877">
        <v>8.588751923532465</v>
      </c>
      <c r="CF67" s="2875">
        <v>4749743</v>
      </c>
      <c r="CG67" s="2869">
        <v>0.50730500000000001</v>
      </c>
      <c r="CH67" s="2870">
        <v>3105415</v>
      </c>
      <c r="CI67" s="2870">
        <v>1532568</v>
      </c>
      <c r="CJ67" s="2870">
        <v>-265594</v>
      </c>
      <c r="CK67" s="2870"/>
      <c r="CL67" s="2877">
        <v>8.6188565064408991</v>
      </c>
      <c r="CM67" s="2875">
        <v>4372389</v>
      </c>
      <c r="CN67" s="2872">
        <v>1.1664950000000001</v>
      </c>
      <c r="CO67" s="2870"/>
      <c r="CP67" s="2870">
        <v>7180704</v>
      </c>
      <c r="CQ67" s="2870"/>
      <c r="CR67" s="2870"/>
      <c r="CS67" s="2877">
        <v>6.1557949241102623</v>
      </c>
      <c r="CT67" s="2875">
        <v>7180704</v>
      </c>
      <c r="CU67" s="2878">
        <v>5.0984759999999998</v>
      </c>
      <c r="CV67" s="2870">
        <v>37384937</v>
      </c>
      <c r="CW67" s="2870">
        <v>18603941</v>
      </c>
      <c r="CX67" s="2870">
        <v>-13284</v>
      </c>
      <c r="CY67" s="2870">
        <v>0</v>
      </c>
      <c r="CZ67" s="2879">
        <v>10.978887416553496</v>
      </c>
      <c r="DA67" s="2875">
        <v>55975594</v>
      </c>
      <c r="DB67" s="1611">
        <v>3.6489219523638043</v>
      </c>
      <c r="DJ67" s="1611" t="e">
        <v>#N/A</v>
      </c>
      <c r="DK67" s="2782" t="s">
        <v>1649</v>
      </c>
      <c r="DM67" s="1650">
        <v>3.6489219523638043</v>
      </c>
    </row>
    <row r="68" spans="1:117" ht="21" customHeight="1">
      <c r="A68" s="1652">
        <v>25</v>
      </c>
      <c r="B68" s="1668" t="s">
        <v>1701</v>
      </c>
      <c r="C68" s="1645">
        <v>1980</v>
      </c>
      <c r="D68" s="1646">
        <v>0.31111111111111112</v>
      </c>
      <c r="E68" s="1646">
        <v>87.898099999999999</v>
      </c>
      <c r="F68" s="1670">
        <v>6.25</v>
      </c>
      <c r="G68" s="1640"/>
      <c r="H68" s="1640">
        <v>6.16</v>
      </c>
      <c r="I68" s="1648" t="s">
        <v>1649</v>
      </c>
      <c r="J68" s="1649">
        <v>1</v>
      </c>
      <c r="K68" s="1648"/>
      <c r="L68" s="1640"/>
      <c r="M68" s="1640"/>
      <c r="N68" s="1642"/>
      <c r="O68" s="2876">
        <v>2.400223</v>
      </c>
      <c r="P68" s="2870">
        <v>3808145</v>
      </c>
      <c r="Q68" s="2870">
        <v>3732347</v>
      </c>
      <c r="R68" s="2870">
        <v>0</v>
      </c>
      <c r="S68" s="2870"/>
      <c r="T68" s="2870">
        <v>3.1415797615471561</v>
      </c>
      <c r="U68" s="2875">
        <v>7540492</v>
      </c>
      <c r="V68" s="2869">
        <v>2.8841960000000002</v>
      </c>
      <c r="W68" s="2870">
        <v>3582863</v>
      </c>
      <c r="X68" s="2870">
        <v>4283031</v>
      </c>
      <c r="Y68" s="2870">
        <v>39969</v>
      </c>
      <c r="Z68" s="2870"/>
      <c r="AA68" s="2877">
        <v>2.7410976923898378</v>
      </c>
      <c r="AB68" s="2875">
        <v>7905863</v>
      </c>
      <c r="AC68" s="2869">
        <v>3.4215399999999998</v>
      </c>
      <c r="AD68" s="2870">
        <v>4649192</v>
      </c>
      <c r="AE68" s="2870">
        <v>4779891</v>
      </c>
      <c r="AF68" s="2870">
        <v>630.5</v>
      </c>
      <c r="AG68" s="2870"/>
      <c r="AH68" s="2877">
        <v>2.7559851704203369</v>
      </c>
      <c r="AI68" s="2875">
        <v>9429713.5</v>
      </c>
      <c r="AJ68" s="2869">
        <v>3.2003110000000001</v>
      </c>
      <c r="AK68" s="2870">
        <v>3813251</v>
      </c>
      <c r="AL68" s="2870">
        <v>4365224</v>
      </c>
      <c r="AM68" s="2870">
        <v>108128</v>
      </c>
      <c r="AN68" s="2870"/>
      <c r="AO68" s="2877">
        <v>2.5893117887605297</v>
      </c>
      <c r="AP68" s="2875">
        <v>8286603</v>
      </c>
      <c r="AQ68" s="2869">
        <v>3.1550440000000002</v>
      </c>
      <c r="AR68" s="2870">
        <v>3833075</v>
      </c>
      <c r="AS68" s="2870">
        <v>4565349</v>
      </c>
      <c r="AT68" s="2870">
        <v>62047</v>
      </c>
      <c r="AU68" s="2870"/>
      <c r="AV68" s="2877">
        <v>2.6815698925276479</v>
      </c>
      <c r="AW68" s="2875">
        <v>8460471</v>
      </c>
      <c r="AX68" s="2869">
        <v>3.1193930000000001</v>
      </c>
      <c r="AY68" s="2870">
        <v>3826468</v>
      </c>
      <c r="AZ68" s="2870">
        <v>4691567</v>
      </c>
      <c r="BA68" s="2870">
        <v>92928</v>
      </c>
      <c r="BB68" s="2870"/>
      <c r="BC68" s="2877">
        <v>2.7604610897055935</v>
      </c>
      <c r="BD68" s="2875">
        <v>8610963</v>
      </c>
      <c r="BE68" s="2869">
        <v>2.151227</v>
      </c>
      <c r="BF68" s="2870">
        <v>2950986</v>
      </c>
      <c r="BG68" s="2870">
        <v>2983752</v>
      </c>
      <c r="BH68" s="2870">
        <v>0</v>
      </c>
      <c r="BI68" s="2870"/>
      <c r="BJ68" s="2877">
        <v>2.7587688328567834</v>
      </c>
      <c r="BK68" s="2875">
        <v>5934738</v>
      </c>
      <c r="BL68" s="2869">
        <v>2.5359449999999999</v>
      </c>
      <c r="BM68" s="2870">
        <v>3608395</v>
      </c>
      <c r="BN68" s="2870">
        <v>3273905</v>
      </c>
      <c r="BO68" s="2870">
        <v>-95773</v>
      </c>
      <c r="BP68" s="2870"/>
      <c r="BQ68" s="2877">
        <v>2.6761333546271704</v>
      </c>
      <c r="BR68" s="2875">
        <v>6786527</v>
      </c>
      <c r="BS68" s="2869">
        <v>3.2718590000000001</v>
      </c>
      <c r="BT68" s="2870">
        <v>3621011</v>
      </c>
      <c r="BU68" s="2870">
        <v>4423553</v>
      </c>
      <c r="BV68" s="2870">
        <v>197555</v>
      </c>
      <c r="BW68" s="2870"/>
      <c r="BX68" s="2877">
        <v>2.5190935795216114</v>
      </c>
      <c r="BY68" s="2875">
        <v>8242119</v>
      </c>
      <c r="BZ68" s="2869">
        <v>3.2417600000000002</v>
      </c>
      <c r="CA68" s="2870">
        <v>3601187</v>
      </c>
      <c r="CB68" s="2870">
        <v>4788080</v>
      </c>
      <c r="CC68" s="2870">
        <v>225158</v>
      </c>
      <c r="CD68" s="2870"/>
      <c r="CE68" s="2877">
        <v>2.6573296604313708</v>
      </c>
      <c r="CF68" s="2875">
        <v>8614425</v>
      </c>
      <c r="CG68" s="2869">
        <v>2.7837019999999999</v>
      </c>
      <c r="CH68" s="2870">
        <v>3606292</v>
      </c>
      <c r="CI68" s="2870">
        <v>3883264</v>
      </c>
      <c r="CJ68" s="2870">
        <v>125119</v>
      </c>
      <c r="CK68" s="2870"/>
      <c r="CL68" s="2877">
        <v>2.7354490530954823</v>
      </c>
      <c r="CM68" s="2875">
        <v>7614675</v>
      </c>
      <c r="CN68" s="2872">
        <v>2.9963609999999998</v>
      </c>
      <c r="CO68" s="2870"/>
      <c r="CP68" s="2870">
        <v>8160258</v>
      </c>
      <c r="CQ68" s="2870"/>
      <c r="CR68" s="2870"/>
      <c r="CS68" s="2877">
        <v>2.7233894714288431</v>
      </c>
      <c r="CT68" s="2875">
        <v>8160258</v>
      </c>
      <c r="CU68" s="2878">
        <v>35.161560999999992</v>
      </c>
      <c r="CV68" s="2870">
        <v>40900865</v>
      </c>
      <c r="CW68" s="2870">
        <v>53930221</v>
      </c>
      <c r="CX68" s="2870">
        <v>755761.5</v>
      </c>
      <c r="CY68" s="2870">
        <v>0</v>
      </c>
      <c r="CZ68" s="2879">
        <v>2.7185040931487663</v>
      </c>
      <c r="DA68" s="2875">
        <v>95586847.5</v>
      </c>
      <c r="DJ68" s="1611" t="e">
        <v>#N/A</v>
      </c>
      <c r="DK68" s="2782" t="s">
        <v>1649</v>
      </c>
      <c r="DM68" s="1650">
        <v>1.5337834688283609</v>
      </c>
    </row>
    <row r="69" spans="1:117" ht="21" customHeight="1">
      <c r="A69" s="1652">
        <v>26</v>
      </c>
      <c r="B69" s="1668" t="s">
        <v>1702</v>
      </c>
      <c r="C69" s="1645">
        <v>1000</v>
      </c>
      <c r="D69" s="1646">
        <v>0.20800000000000002</v>
      </c>
      <c r="E69" s="1646">
        <v>90.625799999999998</v>
      </c>
      <c r="F69" s="1670">
        <v>6.25</v>
      </c>
      <c r="G69" s="1640"/>
      <c r="H69" s="1640">
        <v>2.08</v>
      </c>
      <c r="I69" s="1648" t="s">
        <v>1649</v>
      </c>
      <c r="J69" s="1649">
        <v>1</v>
      </c>
      <c r="K69" s="1648"/>
      <c r="L69" s="1640"/>
      <c r="M69" s="1640"/>
      <c r="N69" s="1642"/>
      <c r="O69" s="2876">
        <v>0.90371000000000001</v>
      </c>
      <c r="P69" s="2870">
        <v>1163225</v>
      </c>
      <c r="Q69" s="2870">
        <v>1448647</v>
      </c>
      <c r="R69" s="2870">
        <v>14461</v>
      </c>
      <c r="S69" s="2870"/>
      <c r="T69" s="2870">
        <v>2.9061679078465437</v>
      </c>
      <c r="U69" s="2875">
        <v>2626333</v>
      </c>
      <c r="V69" s="2869">
        <v>0.93448299999999995</v>
      </c>
      <c r="W69" s="2870">
        <v>1094943</v>
      </c>
      <c r="X69" s="2870">
        <v>1430693</v>
      </c>
      <c r="Y69" s="2870">
        <v>16720</v>
      </c>
      <c r="Z69" s="2870"/>
      <c r="AA69" s="2877">
        <v>2.7206016588851805</v>
      </c>
      <c r="AB69" s="2875">
        <v>2542356</v>
      </c>
      <c r="AC69" s="2869">
        <v>1.2884549999999999</v>
      </c>
      <c r="AD69" s="2870">
        <v>1617999</v>
      </c>
      <c r="AE69" s="2870">
        <v>1854087</v>
      </c>
      <c r="AF69" s="2870">
        <v>12442</v>
      </c>
      <c r="AG69" s="2870"/>
      <c r="AH69" s="2877">
        <v>2.7044235149850016</v>
      </c>
      <c r="AI69" s="2875">
        <v>3484528</v>
      </c>
      <c r="AJ69" s="2869">
        <v>1.0181720000000001</v>
      </c>
      <c r="AK69" s="2870">
        <v>1208889</v>
      </c>
      <c r="AL69" s="2870">
        <v>1431550</v>
      </c>
      <c r="AM69" s="2870">
        <v>16594</v>
      </c>
      <c r="AN69" s="2870"/>
      <c r="AO69" s="2877">
        <v>2.6096111462503386</v>
      </c>
      <c r="AP69" s="2875">
        <v>2657033</v>
      </c>
      <c r="AQ69" s="2869">
        <v>1.2566010000000001</v>
      </c>
      <c r="AR69" s="2870">
        <v>1373829</v>
      </c>
      <c r="AS69" s="2870">
        <v>1874849</v>
      </c>
      <c r="AT69" s="2870">
        <v>50141</v>
      </c>
      <c r="AU69" s="2870"/>
      <c r="AV69" s="2877">
        <v>2.625192085634183</v>
      </c>
      <c r="AW69" s="2875">
        <v>3298819</v>
      </c>
      <c r="AX69" s="2869">
        <v>1.0984069999999999</v>
      </c>
      <c r="AY69" s="2870">
        <v>1209754</v>
      </c>
      <c r="AZ69" s="2870">
        <v>1703629</v>
      </c>
      <c r="BA69" s="2870">
        <v>54476</v>
      </c>
      <c r="BB69" s="2870"/>
      <c r="BC69" s="2877">
        <v>2.7019665752312214</v>
      </c>
      <c r="BD69" s="2875">
        <v>2967859</v>
      </c>
      <c r="BE69" s="2869">
        <v>1.1539429999999999</v>
      </c>
      <c r="BF69" s="2870">
        <v>1216236</v>
      </c>
      <c r="BG69" s="2870">
        <v>1650138</v>
      </c>
      <c r="BH69" s="2870">
        <v>65302</v>
      </c>
      <c r="BI69" s="2870"/>
      <c r="BJ69" s="2877">
        <v>2.5405726279374283</v>
      </c>
      <c r="BK69" s="2875">
        <v>2931676</v>
      </c>
      <c r="BL69" s="2869">
        <v>0.78801900000000002</v>
      </c>
      <c r="BM69" s="2870">
        <v>1179791</v>
      </c>
      <c r="BN69" s="2870">
        <v>1048065</v>
      </c>
      <c r="BO69" s="2870">
        <v>-67518</v>
      </c>
      <c r="BP69" s="2870"/>
      <c r="BQ69" s="2877">
        <v>2.7414795836141006</v>
      </c>
      <c r="BR69" s="2875">
        <v>2160338</v>
      </c>
      <c r="BS69" s="2869">
        <v>0.65160300000000004</v>
      </c>
      <c r="BT69" s="2870">
        <v>1174749</v>
      </c>
      <c r="BU69" s="2870">
        <v>907683</v>
      </c>
      <c r="BV69" s="2870">
        <v>-82855</v>
      </c>
      <c r="BW69" s="2870"/>
      <c r="BX69" s="2877">
        <v>3.0687044105076251</v>
      </c>
      <c r="BY69" s="2875">
        <v>1999577</v>
      </c>
      <c r="BZ69" s="2869">
        <v>0.97857099999999997</v>
      </c>
      <c r="CA69" s="2870">
        <v>1185264</v>
      </c>
      <c r="CB69" s="2870">
        <v>1490364</v>
      </c>
      <c r="CC69" s="2870">
        <v>0</v>
      </c>
      <c r="CD69" s="2870"/>
      <c r="CE69" s="2877">
        <v>2.7342195916290182</v>
      </c>
      <c r="CF69" s="2875">
        <v>2675628</v>
      </c>
      <c r="CG69" s="2869">
        <v>0.50582899999999997</v>
      </c>
      <c r="CH69" s="2870">
        <v>1185985</v>
      </c>
      <c r="CI69" s="2870">
        <v>727382</v>
      </c>
      <c r="CJ69" s="2870">
        <v>0</v>
      </c>
      <c r="CK69" s="2870"/>
      <c r="CL69" s="2877">
        <v>3.7826360291719139</v>
      </c>
      <c r="CM69" s="2875">
        <v>1913367</v>
      </c>
      <c r="CN69" s="2872">
        <v>0.90943399999999996</v>
      </c>
      <c r="CO69" s="2870"/>
      <c r="CP69" s="2870">
        <v>2404765</v>
      </c>
      <c r="CQ69" s="2870"/>
      <c r="CR69" s="2870"/>
      <c r="CS69" s="2877">
        <v>2.6442435624795202</v>
      </c>
      <c r="CT69" s="2875">
        <v>2404765</v>
      </c>
      <c r="CU69" s="2878">
        <v>11.487226999999999</v>
      </c>
      <c r="CV69" s="2870">
        <v>13610664</v>
      </c>
      <c r="CW69" s="2870">
        <v>17971852</v>
      </c>
      <c r="CX69" s="2870">
        <v>79763</v>
      </c>
      <c r="CY69" s="2870">
        <v>0</v>
      </c>
      <c r="CZ69" s="2879">
        <v>2.7563030660053993</v>
      </c>
      <c r="DA69" s="2875">
        <v>31662279</v>
      </c>
      <c r="DJ69" s="1611" t="e">
        <v>#N/A</v>
      </c>
      <c r="DK69" s="2782" t="s">
        <v>1649</v>
      </c>
      <c r="DM69" s="1650">
        <v>1.5645074307315423</v>
      </c>
    </row>
    <row r="70" spans="1:117" ht="21" customHeight="1">
      <c r="A70" s="1652">
        <v>27</v>
      </c>
      <c r="B70" s="1668" t="s">
        <v>1703</v>
      </c>
      <c r="C70" s="1645">
        <v>1260</v>
      </c>
      <c r="D70" s="1646">
        <v>0.23095238095238094</v>
      </c>
      <c r="E70" s="1646">
        <v>86.932400000000001</v>
      </c>
      <c r="F70" s="1665">
        <v>9</v>
      </c>
      <c r="G70" s="1640"/>
      <c r="H70" s="1640">
        <v>2.91</v>
      </c>
      <c r="I70" s="1648" t="s">
        <v>1649</v>
      </c>
      <c r="J70" s="1649">
        <v>1</v>
      </c>
      <c r="K70" s="1648"/>
      <c r="L70" s="1640"/>
      <c r="M70" s="1640"/>
      <c r="N70" s="1642"/>
      <c r="O70" s="2876">
        <v>1.040041</v>
      </c>
      <c r="P70" s="2870">
        <v>980888</v>
      </c>
      <c r="Q70" s="2870">
        <v>1839833</v>
      </c>
      <c r="R70" s="2870">
        <v>0</v>
      </c>
      <c r="S70" s="2870"/>
      <c r="T70" s="2870">
        <v>2.7121248104642031</v>
      </c>
      <c r="U70" s="2875">
        <v>2820721</v>
      </c>
      <c r="V70" s="2869">
        <v>1.351704</v>
      </c>
      <c r="W70" s="2870">
        <v>1149746</v>
      </c>
      <c r="X70" s="2870">
        <v>2242477</v>
      </c>
      <c r="Y70" s="2870"/>
      <c r="Z70" s="2870"/>
      <c r="AA70" s="2877">
        <v>2.5095901173629729</v>
      </c>
      <c r="AB70" s="2875">
        <v>3392223</v>
      </c>
      <c r="AC70" s="2869">
        <v>1.476737</v>
      </c>
      <c r="AD70" s="2870">
        <v>1382154</v>
      </c>
      <c r="AE70" s="2870">
        <v>2519313</v>
      </c>
      <c r="AF70" s="2870">
        <v>0</v>
      </c>
      <c r="AG70" s="2870"/>
      <c r="AH70" s="2877">
        <v>2.641951139573262</v>
      </c>
      <c r="AI70" s="2875">
        <v>3901467</v>
      </c>
      <c r="AJ70" s="2869">
        <v>1.988718</v>
      </c>
      <c r="AK70" s="2870">
        <v>1695158</v>
      </c>
      <c r="AL70" s="2870">
        <v>3347012</v>
      </c>
      <c r="AM70" s="2870">
        <v>0</v>
      </c>
      <c r="AN70" s="2870"/>
      <c r="AO70" s="2877">
        <v>2.5353871187367942</v>
      </c>
      <c r="AP70" s="2875">
        <v>5042170</v>
      </c>
      <c r="AQ70" s="2869">
        <v>2.1053199999999999</v>
      </c>
      <c r="AR70" s="2870">
        <v>1889460</v>
      </c>
      <c r="AS70" s="2870">
        <v>3429566</v>
      </c>
      <c r="AT70" s="2870"/>
      <c r="AU70" s="2870"/>
      <c r="AV70" s="2877">
        <v>2.5264691353333459</v>
      </c>
      <c r="AW70" s="2875">
        <v>5319026</v>
      </c>
      <c r="AX70" s="2869">
        <v>2.2068370000000002</v>
      </c>
      <c r="AY70" s="2870">
        <v>1766986</v>
      </c>
      <c r="AZ70" s="2870">
        <v>3592731</v>
      </c>
      <c r="BA70" s="2870"/>
      <c r="BB70" s="2870"/>
      <c r="BC70" s="2877">
        <v>2.428687302233921</v>
      </c>
      <c r="BD70" s="2875">
        <v>5359717</v>
      </c>
      <c r="BE70" s="2869">
        <v>1.277998</v>
      </c>
      <c r="BF70" s="2870">
        <v>1135624</v>
      </c>
      <c r="BG70" s="2870">
        <v>1969395</v>
      </c>
      <c r="BH70" s="2870">
        <v>0</v>
      </c>
      <c r="BI70" s="2870"/>
      <c r="BJ70" s="2877">
        <v>2.4295961339532615</v>
      </c>
      <c r="BK70" s="2875">
        <v>3105019</v>
      </c>
      <c r="BL70" s="2869">
        <v>0.98182100000000005</v>
      </c>
      <c r="BM70" s="2870">
        <v>1077918</v>
      </c>
      <c r="BN70" s="2870">
        <v>1572877</v>
      </c>
      <c r="BO70" s="2870">
        <v>0</v>
      </c>
      <c r="BP70" s="2870"/>
      <c r="BQ70" s="2877">
        <v>2.6998760466520881</v>
      </c>
      <c r="BR70" s="2875">
        <v>2650795</v>
      </c>
      <c r="BS70" s="2869">
        <v>1.078651</v>
      </c>
      <c r="BT70" s="2870">
        <v>1065499</v>
      </c>
      <c r="BU70" s="2870">
        <v>1818606</v>
      </c>
      <c r="BV70" s="2870">
        <v>0</v>
      </c>
      <c r="BW70" s="2870"/>
      <c r="BX70" s="2877">
        <v>2.6738073760651035</v>
      </c>
      <c r="BY70" s="2875">
        <v>2884105</v>
      </c>
      <c r="BZ70" s="2869">
        <v>1.1321589999999999</v>
      </c>
      <c r="CA70" s="2870">
        <v>1074752</v>
      </c>
      <c r="CB70" s="2870">
        <v>2114873</v>
      </c>
      <c r="CC70" s="2870">
        <v>0</v>
      </c>
      <c r="CD70" s="2870"/>
      <c r="CE70" s="2877">
        <v>2.8172942139752455</v>
      </c>
      <c r="CF70" s="2875">
        <v>3189625</v>
      </c>
      <c r="CG70" s="2869">
        <v>1.198178</v>
      </c>
      <c r="CH70" s="2870">
        <v>1088265</v>
      </c>
      <c r="CI70" s="2870">
        <v>1954228</v>
      </c>
      <c r="CJ70" s="2870">
        <v>0</v>
      </c>
      <c r="CK70" s="2870"/>
      <c r="CL70" s="2877">
        <v>2.5392662859775426</v>
      </c>
      <c r="CM70" s="2875">
        <v>3042493</v>
      </c>
      <c r="CN70" s="2872">
        <v>1.1736040000000001</v>
      </c>
      <c r="CO70" s="2870"/>
      <c r="CP70" s="2870">
        <v>2894559</v>
      </c>
      <c r="CQ70" s="2870"/>
      <c r="CR70" s="2870"/>
      <c r="CS70" s="2877">
        <v>2.4663847430649519</v>
      </c>
      <c r="CT70" s="2875">
        <v>2894559</v>
      </c>
      <c r="CU70" s="2878">
        <v>17.011768000000004</v>
      </c>
      <c r="CV70" s="2870">
        <v>14306450</v>
      </c>
      <c r="CW70" s="2870">
        <v>29295470</v>
      </c>
      <c r="CX70" s="2870">
        <v>0</v>
      </c>
      <c r="CY70" s="2870">
        <v>0</v>
      </c>
      <c r="CZ70" s="2879">
        <v>2.5630445936013229</v>
      </c>
      <c r="DA70" s="2875">
        <v>43601920</v>
      </c>
      <c r="DJ70" s="1611" t="e">
        <v>#N/A</v>
      </c>
      <c r="DK70" s="2782" t="s">
        <v>1649</v>
      </c>
      <c r="DM70" s="1650">
        <v>1.7220708629461672</v>
      </c>
    </row>
    <row r="71" spans="1:117" ht="21" customHeight="1">
      <c r="A71" s="1652">
        <v>28</v>
      </c>
      <c r="B71" s="1668" t="s">
        <v>1704</v>
      </c>
      <c r="C71" s="1645">
        <v>1000</v>
      </c>
      <c r="D71" s="1646">
        <v>0.219</v>
      </c>
      <c r="E71" s="1646">
        <v>84.820099999999996</v>
      </c>
      <c r="F71" s="1670">
        <v>7.05</v>
      </c>
      <c r="G71" s="1640"/>
      <c r="H71" s="1640">
        <v>2.19</v>
      </c>
      <c r="I71" s="1648" t="s">
        <v>1649</v>
      </c>
      <c r="J71" s="1649">
        <v>1</v>
      </c>
      <c r="K71" s="1648"/>
      <c r="L71" s="1640"/>
      <c r="M71" s="1640"/>
      <c r="N71" s="1642"/>
      <c r="O71" s="2876">
        <v>0.75094300000000003</v>
      </c>
      <c r="P71" s="2870">
        <v>540103</v>
      </c>
      <c r="Q71" s="2870">
        <v>1279607</v>
      </c>
      <c r="R71" s="2870">
        <v>4558</v>
      </c>
      <c r="S71" s="2870"/>
      <c r="T71" s="2870">
        <v>2.429302889833183</v>
      </c>
      <c r="U71" s="2875">
        <v>1824268</v>
      </c>
      <c r="V71" s="2869">
        <v>0.94398499999999996</v>
      </c>
      <c r="W71" s="2870">
        <v>659147</v>
      </c>
      <c r="X71" s="2870">
        <v>1508488</v>
      </c>
      <c r="Y71" s="2870"/>
      <c r="Z71" s="2870"/>
      <c r="AA71" s="2877">
        <v>2.2962600041314216</v>
      </c>
      <c r="AB71" s="2875">
        <v>2167635</v>
      </c>
      <c r="AC71" s="2869">
        <v>1.812152</v>
      </c>
      <c r="AD71" s="2870">
        <v>1187127</v>
      </c>
      <c r="AE71" s="2870">
        <v>2977366</v>
      </c>
      <c r="AF71" s="2870">
        <v>71407</v>
      </c>
      <c r="AG71" s="2870"/>
      <c r="AH71" s="2877">
        <v>2.3374970753005266</v>
      </c>
      <c r="AI71" s="2875">
        <v>4235900</v>
      </c>
      <c r="AJ71" s="2869">
        <v>1.09277</v>
      </c>
      <c r="AK71" s="2870">
        <v>912833</v>
      </c>
      <c r="AL71" s="2870">
        <v>1771380</v>
      </c>
      <c r="AM71" s="2870">
        <v>-71407</v>
      </c>
      <c r="AN71" s="2870"/>
      <c r="AO71" s="2877">
        <v>2.3909935302030618</v>
      </c>
      <c r="AP71" s="2875">
        <v>2612806</v>
      </c>
      <c r="AQ71" s="2869">
        <v>1.4561299999999999</v>
      </c>
      <c r="AR71" s="2870">
        <v>964556</v>
      </c>
      <c r="AS71" s="2870">
        <v>2284668</v>
      </c>
      <c r="AT71" s="2870">
        <v>6648</v>
      </c>
      <c r="AU71" s="2870"/>
      <c r="AV71" s="2877">
        <v>2.2359761834451595</v>
      </c>
      <c r="AW71" s="2875">
        <v>3255872</v>
      </c>
      <c r="AX71" s="2869">
        <v>1.165025</v>
      </c>
      <c r="AY71" s="2870">
        <v>733338</v>
      </c>
      <c r="AZ71" s="2870">
        <v>1826759</v>
      </c>
      <c r="BA71" s="2870">
        <v>54020</v>
      </c>
      <c r="BB71" s="2870"/>
      <c r="BC71" s="2877">
        <v>2.2438291023797774</v>
      </c>
      <c r="BD71" s="2875">
        <v>2614117</v>
      </c>
      <c r="BE71" s="2869">
        <v>1.101721</v>
      </c>
      <c r="BF71" s="2870">
        <v>715801</v>
      </c>
      <c r="BG71" s="2870">
        <v>1638259</v>
      </c>
      <c r="BH71" s="2870">
        <v>23366</v>
      </c>
      <c r="BI71" s="2870"/>
      <c r="BJ71" s="2877">
        <v>2.1579201993971249</v>
      </c>
      <c r="BK71" s="2875">
        <v>2377426</v>
      </c>
      <c r="BL71" s="2869">
        <v>0.94399900000000003</v>
      </c>
      <c r="BM71" s="2870">
        <v>681937</v>
      </c>
      <c r="BN71" s="2870">
        <v>1456590</v>
      </c>
      <c r="BO71" s="2870">
        <v>-13672</v>
      </c>
      <c r="BP71" s="2870"/>
      <c r="BQ71" s="2877">
        <v>2.2509081047755348</v>
      </c>
      <c r="BR71" s="2875">
        <v>2124855</v>
      </c>
      <c r="BS71" s="2869">
        <v>0.46866799999999997</v>
      </c>
      <c r="BT71" s="2870">
        <v>684039</v>
      </c>
      <c r="BU71" s="2870">
        <v>761117</v>
      </c>
      <c r="BV71" s="2870">
        <v>-46997</v>
      </c>
      <c r="BW71" s="2870"/>
      <c r="BX71" s="2877">
        <v>2.983261071803494</v>
      </c>
      <c r="BY71" s="2875">
        <v>1398159</v>
      </c>
      <c r="BZ71" s="2869">
        <v>0.79463200000000001</v>
      </c>
      <c r="CA71" s="2870">
        <v>686787</v>
      </c>
      <c r="CB71" s="2870">
        <v>1429543</v>
      </c>
      <c r="CC71" s="2870">
        <v>0</v>
      </c>
      <c r="CD71" s="2870"/>
      <c r="CE71" s="2877">
        <v>2.6632831298009645</v>
      </c>
      <c r="CF71" s="2875">
        <v>2116330</v>
      </c>
      <c r="CG71" s="2869">
        <v>0.974773</v>
      </c>
      <c r="CH71" s="2870">
        <v>692767</v>
      </c>
      <c r="CI71" s="2870">
        <v>1531368</v>
      </c>
      <c r="CJ71" s="2870">
        <v>0</v>
      </c>
      <c r="CK71" s="2870"/>
      <c r="CL71" s="2877">
        <v>2.281695328040477</v>
      </c>
      <c r="CM71" s="2875">
        <v>2224135</v>
      </c>
      <c r="CN71" s="2872">
        <v>1.0939380000000001</v>
      </c>
      <c r="CO71" s="2870"/>
      <c r="CP71" s="2870">
        <v>2380403</v>
      </c>
      <c r="CQ71" s="2870"/>
      <c r="CR71" s="2870"/>
      <c r="CS71" s="2877">
        <v>2.1759944347851525</v>
      </c>
      <c r="CT71" s="2875">
        <v>2380403</v>
      </c>
      <c r="CU71" s="2878">
        <v>12.598735999999999</v>
      </c>
      <c r="CV71" s="2870">
        <v>8458435</v>
      </c>
      <c r="CW71" s="2870">
        <v>20845548</v>
      </c>
      <c r="CX71" s="2870">
        <v>27923</v>
      </c>
      <c r="CY71" s="2870">
        <v>0</v>
      </c>
      <c r="CZ71" s="2879">
        <v>2.3281626029785847</v>
      </c>
      <c r="DA71" s="2875">
        <v>29331906</v>
      </c>
      <c r="DJ71" s="1611" t="e">
        <v>#N/A</v>
      </c>
      <c r="DK71" s="2782" t="s">
        <v>1649</v>
      </c>
      <c r="DM71" s="1650">
        <v>1.6545745541457495</v>
      </c>
    </row>
    <row r="72" spans="1:117" ht="21" customHeight="1">
      <c r="A72" s="1652">
        <v>29</v>
      </c>
      <c r="B72" s="1668" t="s">
        <v>1705</v>
      </c>
      <c r="C72" s="1645">
        <v>1000</v>
      </c>
      <c r="D72" s="1646">
        <v>0.219</v>
      </c>
      <c r="E72" s="1646">
        <v>90.459400000000002</v>
      </c>
      <c r="F72" s="1670">
        <v>6.25</v>
      </c>
      <c r="G72" s="1640"/>
      <c r="H72" s="1640">
        <v>2.19</v>
      </c>
      <c r="I72" s="1648" t="s">
        <v>1649</v>
      </c>
      <c r="J72" s="1649">
        <v>1</v>
      </c>
      <c r="K72" s="1648"/>
      <c r="L72" s="1640"/>
      <c r="M72" s="1640"/>
      <c r="N72" s="1642"/>
      <c r="O72" s="2876">
        <v>1.063709</v>
      </c>
      <c r="P72" s="2870">
        <v>1314956</v>
      </c>
      <c r="Q72" s="2870">
        <v>1799796</v>
      </c>
      <c r="R72" s="2870">
        <v>0</v>
      </c>
      <c r="S72" s="2870"/>
      <c r="T72" s="2870">
        <v>2.9281993477539441</v>
      </c>
      <c r="U72" s="2875">
        <v>3114752</v>
      </c>
      <c r="V72" s="2869">
        <v>1.1696</v>
      </c>
      <c r="W72" s="2870">
        <v>1159810</v>
      </c>
      <c r="X72" s="2870">
        <v>1856155</v>
      </c>
      <c r="Y72" s="2870">
        <v>21327</v>
      </c>
      <c r="Z72" s="2870"/>
      <c r="AA72" s="2877">
        <v>2.5968638850889194</v>
      </c>
      <c r="AB72" s="2875">
        <v>3037292</v>
      </c>
      <c r="AC72" s="2869">
        <v>1.7844199999999999</v>
      </c>
      <c r="AD72" s="2870">
        <v>1869636</v>
      </c>
      <c r="AE72" s="2870">
        <v>2910389</v>
      </c>
      <c r="AF72" s="2870">
        <v>21648</v>
      </c>
      <c r="AG72" s="2870"/>
      <c r="AH72" s="2877">
        <v>2.6908872350679771</v>
      </c>
      <c r="AI72" s="2875">
        <v>4801673</v>
      </c>
      <c r="AJ72" s="2869">
        <v>1.5430779999999999</v>
      </c>
      <c r="AK72" s="2870">
        <v>1483276</v>
      </c>
      <c r="AL72" s="2870">
        <v>2481269</v>
      </c>
      <c r="AM72" s="2870">
        <v>53340</v>
      </c>
      <c r="AN72" s="2870"/>
      <c r="AO72" s="2877">
        <v>2.6038119913575333</v>
      </c>
      <c r="AP72" s="2875">
        <v>4017885</v>
      </c>
      <c r="AQ72" s="2869">
        <v>1.424747</v>
      </c>
      <c r="AR72" s="2870">
        <v>1432548</v>
      </c>
      <c r="AS72" s="2870">
        <v>2216906</v>
      </c>
      <c r="AT72" s="2870">
        <v>21899</v>
      </c>
      <c r="AU72" s="2870"/>
      <c r="AV72" s="2877">
        <v>2.5768455732842392</v>
      </c>
      <c r="AW72" s="2875">
        <v>3671353</v>
      </c>
      <c r="AX72" s="2869">
        <v>1.186698</v>
      </c>
      <c r="AY72" s="2870">
        <v>1104337</v>
      </c>
      <c r="AZ72" s="2870">
        <v>1844129</v>
      </c>
      <c r="BA72" s="2870">
        <v>59075</v>
      </c>
      <c r="BB72" s="2870"/>
      <c r="BC72" s="2877">
        <v>2.5343777439584461</v>
      </c>
      <c r="BD72" s="2875">
        <v>3007541</v>
      </c>
      <c r="BE72" s="2869">
        <v>1.203417</v>
      </c>
      <c r="BF72" s="2870">
        <v>1225832</v>
      </c>
      <c r="BG72" s="2870">
        <v>1770226</v>
      </c>
      <c r="BH72" s="2870">
        <v>0</v>
      </c>
      <c r="BI72" s="2870"/>
      <c r="BJ72" s="2877">
        <v>2.4896257905613766</v>
      </c>
      <c r="BK72" s="2875">
        <v>2996058</v>
      </c>
      <c r="BL72" s="2869">
        <v>0.94383700000000004</v>
      </c>
      <c r="BM72" s="2870">
        <v>1049352</v>
      </c>
      <c r="BN72" s="2870">
        <v>1446902</v>
      </c>
      <c r="BO72" s="2870">
        <v>-29198</v>
      </c>
      <c r="BP72" s="2870"/>
      <c r="BQ72" s="2877">
        <v>2.6138581132123448</v>
      </c>
      <c r="BR72" s="2875">
        <v>2467056</v>
      </c>
      <c r="BS72" s="2869">
        <v>0.94635000000000002</v>
      </c>
      <c r="BT72" s="2870">
        <v>1033537</v>
      </c>
      <c r="BU72" s="2870">
        <v>1526463</v>
      </c>
      <c r="BV72" s="2870">
        <v>-45561</v>
      </c>
      <c r="BW72" s="2870"/>
      <c r="BX72" s="2877">
        <v>2.656986315845089</v>
      </c>
      <c r="BY72" s="2875">
        <v>2514439</v>
      </c>
      <c r="BZ72" s="2869">
        <v>0.89392700000000003</v>
      </c>
      <c r="CA72" s="2870">
        <v>1037308</v>
      </c>
      <c r="CB72" s="2870">
        <v>1599235</v>
      </c>
      <c r="CC72" s="2870">
        <v>-71771</v>
      </c>
      <c r="CD72" s="2870"/>
      <c r="CE72" s="2877">
        <v>2.8691067615140833</v>
      </c>
      <c r="CF72" s="2875">
        <v>2564772</v>
      </c>
      <c r="CG72" s="2869">
        <v>1.0225580000000001</v>
      </c>
      <c r="CH72" s="2870">
        <v>1043755</v>
      </c>
      <c r="CI72" s="2870">
        <v>1598258</v>
      </c>
      <c r="CJ72" s="2870">
        <v>38359</v>
      </c>
      <c r="CK72" s="2870"/>
      <c r="CL72" s="2877">
        <v>2.6212420224574053</v>
      </c>
      <c r="CM72" s="2875">
        <v>2680372</v>
      </c>
      <c r="CN72" s="2872">
        <v>1.1035520000000001</v>
      </c>
      <c r="CO72" s="2870"/>
      <c r="CP72" s="2870">
        <v>2672669</v>
      </c>
      <c r="CQ72" s="2870"/>
      <c r="CR72" s="2870"/>
      <c r="CS72" s="2877">
        <v>2.4218786246592821</v>
      </c>
      <c r="CT72" s="2875">
        <v>2672669</v>
      </c>
      <c r="CU72" s="2878">
        <v>14.285893000000002</v>
      </c>
      <c r="CV72" s="2870">
        <v>13754347</v>
      </c>
      <c r="CW72" s="2870">
        <v>23722397</v>
      </c>
      <c r="CX72" s="2870">
        <v>69118</v>
      </c>
      <c r="CY72" s="2870">
        <v>0</v>
      </c>
      <c r="CZ72" s="2879">
        <v>2.6281774614999565</v>
      </c>
      <c r="DA72" s="2875">
        <v>37545862</v>
      </c>
      <c r="DJ72" s="1611" t="e">
        <v>#N/A</v>
      </c>
      <c r="DK72" s="2782" t="s">
        <v>1649</v>
      </c>
      <c r="DM72" s="1650">
        <v>1.6605470165568226</v>
      </c>
    </row>
    <row r="73" spans="1:117" ht="21" customHeight="1">
      <c r="A73" s="1652">
        <v>30</v>
      </c>
      <c r="B73" s="1668" t="s">
        <v>1706</v>
      </c>
      <c r="C73" s="1645">
        <v>1000</v>
      </c>
      <c r="D73" s="1646">
        <v>0.311</v>
      </c>
      <c r="E73" s="1646">
        <v>92.121799999999993</v>
      </c>
      <c r="F73" s="1670">
        <v>6.25</v>
      </c>
      <c r="G73" s="1640"/>
      <c r="H73" s="1640">
        <v>3.11</v>
      </c>
      <c r="I73" s="1648" t="s">
        <v>1649</v>
      </c>
      <c r="J73" s="1649">
        <v>1</v>
      </c>
      <c r="K73" s="1648"/>
      <c r="L73" s="1640"/>
      <c r="M73" s="1640"/>
      <c r="N73" s="1642"/>
      <c r="O73" s="2876">
        <v>2.0223</v>
      </c>
      <c r="P73" s="2870">
        <v>3250233</v>
      </c>
      <c r="Q73" s="2870">
        <v>3379263</v>
      </c>
      <c r="R73" s="2870">
        <v>29402</v>
      </c>
      <c r="S73" s="2870"/>
      <c r="T73" s="2870">
        <v>3.2927350046976214</v>
      </c>
      <c r="U73" s="2875">
        <v>6658898</v>
      </c>
      <c r="V73" s="2869">
        <v>1.22807</v>
      </c>
      <c r="W73" s="2870">
        <v>2339440</v>
      </c>
      <c r="X73" s="2870">
        <v>1921930</v>
      </c>
      <c r="Y73" s="2870"/>
      <c r="Z73" s="2870"/>
      <c r="AA73" s="2877">
        <v>3.4699732099961729</v>
      </c>
      <c r="AB73" s="2875">
        <v>4261370</v>
      </c>
      <c r="AC73" s="2869">
        <v>1.388798</v>
      </c>
      <c r="AD73" s="2870">
        <v>2754553</v>
      </c>
      <c r="AE73" s="2870">
        <v>2234576</v>
      </c>
      <c r="AF73" s="2870">
        <v>0</v>
      </c>
      <c r="AG73" s="2870"/>
      <c r="AH73" s="2877">
        <v>3.5924079671773721</v>
      </c>
      <c r="AI73" s="2875">
        <v>4989129</v>
      </c>
      <c r="AJ73" s="2869">
        <v>1.378681</v>
      </c>
      <c r="AK73" s="2870">
        <v>2354584</v>
      </c>
      <c r="AL73" s="2870">
        <v>2190724</v>
      </c>
      <c r="AM73" s="2870">
        <v>0</v>
      </c>
      <c r="AN73" s="2870"/>
      <c r="AO73" s="2877">
        <v>3.2968525714070189</v>
      </c>
      <c r="AP73" s="2875">
        <v>4545308</v>
      </c>
      <c r="AQ73" s="2869">
        <v>1.437228</v>
      </c>
      <c r="AR73" s="2870">
        <v>2362200</v>
      </c>
      <c r="AS73" s="2870">
        <v>2210457</v>
      </c>
      <c r="AT73" s="2870"/>
      <c r="AU73" s="2870"/>
      <c r="AV73" s="2877">
        <v>3.1815807930265763</v>
      </c>
      <c r="AW73" s="2875">
        <v>4572657</v>
      </c>
      <c r="AX73" s="2869">
        <v>1.6946479999999999</v>
      </c>
      <c r="AY73" s="2870">
        <v>2384779</v>
      </c>
      <c r="AZ73" s="2870">
        <v>2602979</v>
      </c>
      <c r="BA73" s="2870"/>
      <c r="BB73" s="2870"/>
      <c r="BC73" s="2877">
        <v>2.9432413102898063</v>
      </c>
      <c r="BD73" s="2875">
        <v>4987758</v>
      </c>
      <c r="BE73" s="2869">
        <v>1.661</v>
      </c>
      <c r="BF73" s="2870">
        <v>2310670</v>
      </c>
      <c r="BG73" s="2870">
        <v>2415094</v>
      </c>
      <c r="BH73" s="2870">
        <v>67912</v>
      </c>
      <c r="BI73" s="2870"/>
      <c r="BJ73" s="2877">
        <v>2.88601806140879</v>
      </c>
      <c r="BK73" s="2875">
        <v>4793676</v>
      </c>
      <c r="BL73" s="2869">
        <v>1.382369</v>
      </c>
      <c r="BM73" s="2870">
        <v>2213982</v>
      </c>
      <c r="BN73" s="2870">
        <v>2092907</v>
      </c>
      <c r="BO73" s="2870">
        <v>0</v>
      </c>
      <c r="BP73" s="2870"/>
      <c r="BQ73" s="2877">
        <v>3.1155856359626122</v>
      </c>
      <c r="BR73" s="2875">
        <v>4306889</v>
      </c>
      <c r="BS73" s="2869">
        <v>1.2819400000000001</v>
      </c>
      <c r="BT73" s="2870">
        <v>2188490</v>
      </c>
      <c r="BU73" s="2870">
        <v>2040848</v>
      </c>
      <c r="BV73" s="2870">
        <v>0</v>
      </c>
      <c r="BW73" s="2870"/>
      <c r="BX73" s="2877">
        <v>3.2991700079566906</v>
      </c>
      <c r="BY73" s="2875">
        <v>4229338</v>
      </c>
      <c r="BZ73" s="2869">
        <v>0.89274500000000001</v>
      </c>
      <c r="CA73" s="2870">
        <v>2175562</v>
      </c>
      <c r="CB73" s="2870">
        <v>1572124</v>
      </c>
      <c r="CC73" s="2870">
        <v>0</v>
      </c>
      <c r="CD73" s="2870"/>
      <c r="CE73" s="2877">
        <v>4.1979355807089371</v>
      </c>
      <c r="CF73" s="2875">
        <v>3747686</v>
      </c>
      <c r="CG73" s="2869">
        <v>0.70967599999999997</v>
      </c>
      <c r="CH73" s="2870">
        <v>2170100</v>
      </c>
      <c r="CI73" s="2870">
        <v>1092191</v>
      </c>
      <c r="CJ73" s="2870">
        <v>0</v>
      </c>
      <c r="CK73" s="2870"/>
      <c r="CL73" s="2877">
        <v>4.5968737846566601</v>
      </c>
      <c r="CM73" s="2875">
        <v>3262291</v>
      </c>
      <c r="CN73" s="2872">
        <v>1.0405500000000001</v>
      </c>
      <c r="CO73" s="2870"/>
      <c r="CP73" s="2870">
        <v>3535922</v>
      </c>
      <c r="CQ73" s="2870"/>
      <c r="CR73" s="2870"/>
      <c r="CS73" s="2877">
        <v>3.3981279131228672</v>
      </c>
      <c r="CT73" s="2875">
        <v>3535922</v>
      </c>
      <c r="CU73" s="2878">
        <v>16.118005</v>
      </c>
      <c r="CV73" s="2870">
        <v>26504593</v>
      </c>
      <c r="CW73" s="2870">
        <v>27289015</v>
      </c>
      <c r="CX73" s="2870">
        <v>97314</v>
      </c>
      <c r="CY73" s="2870">
        <v>0</v>
      </c>
      <c r="CZ73" s="2879">
        <v>3.3435230973063974</v>
      </c>
      <c r="DA73" s="2875">
        <v>53890922</v>
      </c>
      <c r="DJ73" s="1611" t="e">
        <v>#N/A</v>
      </c>
      <c r="DK73" s="2782" t="s">
        <v>1649</v>
      </c>
      <c r="DM73" s="1650">
        <v>1.6930764694513993</v>
      </c>
    </row>
    <row r="74" spans="1:117" ht="21" customHeight="1">
      <c r="A74" s="1652">
        <v>31</v>
      </c>
      <c r="B74" s="1668" t="s">
        <v>1707</v>
      </c>
      <c r="C74" s="1645">
        <v>500</v>
      </c>
      <c r="D74" s="1646">
        <v>0.312</v>
      </c>
      <c r="E74" s="1646">
        <v>98.541300000000007</v>
      </c>
      <c r="F74" s="1670">
        <v>7.25</v>
      </c>
      <c r="G74" s="1640"/>
      <c r="H74" s="1640">
        <v>1.56</v>
      </c>
      <c r="I74" s="1648" t="s">
        <v>1649</v>
      </c>
      <c r="J74" s="1649">
        <v>1</v>
      </c>
      <c r="K74" s="1648"/>
      <c r="L74" s="1640"/>
      <c r="M74" s="1640"/>
      <c r="N74" s="1642"/>
      <c r="O74" s="2876">
        <v>0.97376099999999999</v>
      </c>
      <c r="P74" s="2870">
        <v>1976590</v>
      </c>
      <c r="Q74" s="2870">
        <v>1676661</v>
      </c>
      <c r="R74" s="2870">
        <v>0</v>
      </c>
      <c r="S74" s="2870"/>
      <c r="T74" s="2870">
        <v>3.7516916368595581</v>
      </c>
      <c r="U74" s="2875">
        <v>3653251</v>
      </c>
      <c r="V74" s="2869">
        <v>0.88770099999999996</v>
      </c>
      <c r="W74" s="2870">
        <v>1513146</v>
      </c>
      <c r="X74" s="2870">
        <v>1435413</v>
      </c>
      <c r="Y74" s="2870"/>
      <c r="Z74" s="2870"/>
      <c r="AA74" s="2877">
        <v>3.3215677350819703</v>
      </c>
      <c r="AB74" s="2875">
        <v>2948559</v>
      </c>
      <c r="AC74" s="2869">
        <v>0.64438399999999996</v>
      </c>
      <c r="AD74" s="2870">
        <v>1322463</v>
      </c>
      <c r="AE74" s="2870">
        <v>1070322</v>
      </c>
      <c r="AF74" s="2870">
        <v>0</v>
      </c>
      <c r="AG74" s="2870"/>
      <c r="AH74" s="2877">
        <v>3.7132905224214134</v>
      </c>
      <c r="AI74" s="2875">
        <v>2392785</v>
      </c>
      <c r="AJ74" s="2869">
        <v>1.0151159999999999</v>
      </c>
      <c r="AK74" s="2870">
        <v>1606370</v>
      </c>
      <c r="AL74" s="2870">
        <v>1663775</v>
      </c>
      <c r="AM74" s="2870">
        <v>0</v>
      </c>
      <c r="AN74" s="2870"/>
      <c r="AO74" s="2877">
        <v>3.2214495683251969</v>
      </c>
      <c r="AP74" s="2875">
        <v>3270145</v>
      </c>
      <c r="AQ74" s="2869">
        <v>0.89217000000000002</v>
      </c>
      <c r="AR74" s="2870">
        <v>1566445</v>
      </c>
      <c r="AS74" s="2870">
        <v>1416766</v>
      </c>
      <c r="AT74" s="2870"/>
      <c r="AU74" s="2870"/>
      <c r="AV74" s="2877">
        <v>3.3437696851496912</v>
      </c>
      <c r="AW74" s="2875">
        <v>2983211</v>
      </c>
      <c r="AX74" s="2869">
        <v>0.85052899999999998</v>
      </c>
      <c r="AY74" s="2870">
        <v>1265797</v>
      </c>
      <c r="AZ74" s="2870">
        <v>1351491</v>
      </c>
      <c r="BA74" s="2870"/>
      <c r="BB74" s="2870"/>
      <c r="BC74" s="2877">
        <v>3.0772472190836528</v>
      </c>
      <c r="BD74" s="2875">
        <v>2617288</v>
      </c>
      <c r="BE74" s="2869">
        <v>0.83400300000000005</v>
      </c>
      <c r="BF74" s="2870">
        <v>1395527</v>
      </c>
      <c r="BG74" s="2870">
        <v>1256009</v>
      </c>
      <c r="BH74" s="2870">
        <v>0</v>
      </c>
      <c r="BI74" s="2870"/>
      <c r="BJ74" s="2877">
        <v>3.1792883239029117</v>
      </c>
      <c r="BK74" s="2875">
        <v>2651536</v>
      </c>
      <c r="BL74" s="2869">
        <v>0.71072000000000002</v>
      </c>
      <c r="BM74" s="2870">
        <v>1168628</v>
      </c>
      <c r="BN74" s="2870">
        <v>1111566</v>
      </c>
      <c r="BO74" s="2870">
        <v>0</v>
      </c>
      <c r="BP74" s="2870"/>
      <c r="BQ74" s="2877">
        <v>3.2082873705538044</v>
      </c>
      <c r="BR74" s="2875">
        <v>2280194</v>
      </c>
      <c r="BS74" s="2869">
        <v>0.62911499999999998</v>
      </c>
      <c r="BT74" s="2870">
        <v>1157467</v>
      </c>
      <c r="BU74" s="2870">
        <v>1034894</v>
      </c>
      <c r="BV74" s="2870">
        <v>0</v>
      </c>
      <c r="BW74" s="2870"/>
      <c r="BX74" s="2877">
        <v>3.4848334565222574</v>
      </c>
      <c r="BY74" s="2875">
        <v>2192361</v>
      </c>
      <c r="BZ74" s="2869">
        <v>0.59322900000000001</v>
      </c>
      <c r="CA74" s="2870">
        <v>1151503</v>
      </c>
      <c r="CB74" s="2870">
        <v>1056541</v>
      </c>
      <c r="CC74" s="2870">
        <v>0</v>
      </c>
      <c r="CD74" s="2870"/>
      <c r="CE74" s="2877">
        <v>3.7220769719619238</v>
      </c>
      <c r="CF74" s="2875">
        <v>2208044</v>
      </c>
      <c r="CG74" s="2869">
        <v>0.57183399999999995</v>
      </c>
      <c r="CH74" s="2870">
        <v>1156986</v>
      </c>
      <c r="CI74" s="2870">
        <v>906929</v>
      </c>
      <c r="CJ74" s="2870">
        <v>0</v>
      </c>
      <c r="CK74" s="2870"/>
      <c r="CL74" s="2877">
        <v>3.6092904584197512</v>
      </c>
      <c r="CM74" s="2875">
        <v>2063915</v>
      </c>
      <c r="CN74" s="2872">
        <v>0.75887400000000005</v>
      </c>
      <c r="CO74" s="2870"/>
      <c r="CP74" s="2870">
        <v>2265385</v>
      </c>
      <c r="CQ74" s="2870"/>
      <c r="CR74" s="2870"/>
      <c r="CS74" s="2877">
        <v>2.9851925352561821</v>
      </c>
      <c r="CT74" s="2875">
        <v>2265385</v>
      </c>
      <c r="CU74" s="2878">
        <v>9.3614359999999994</v>
      </c>
      <c r="CV74" s="2870">
        <v>15280922</v>
      </c>
      <c r="CW74" s="2870">
        <v>16245752</v>
      </c>
      <c r="CX74" s="2870">
        <v>0</v>
      </c>
      <c r="CY74" s="2870">
        <v>0</v>
      </c>
      <c r="CZ74" s="2879">
        <v>3.3677177304849386</v>
      </c>
      <c r="DA74" s="2875">
        <v>31526674</v>
      </c>
      <c r="DJ74" s="1611" t="e">
        <v>#N/A</v>
      </c>
      <c r="DK74" s="2782" t="s">
        <v>1649</v>
      </c>
      <c r="DM74" s="1650">
        <v>1.7353910233429999</v>
      </c>
    </row>
    <row r="75" spans="1:117" ht="21" customHeight="1">
      <c r="A75" s="1652">
        <v>32</v>
      </c>
      <c r="B75" s="1668" t="s">
        <v>1711</v>
      </c>
      <c r="C75" s="1645">
        <v>800</v>
      </c>
      <c r="D75" s="1646">
        <v>0.24124999999999996</v>
      </c>
      <c r="E75" s="1646">
        <v>97.028700000000001</v>
      </c>
      <c r="F75" s="1670">
        <v>6.25</v>
      </c>
      <c r="G75" s="1640"/>
      <c r="H75" s="1640">
        <v>1.93</v>
      </c>
      <c r="I75" s="1648" t="s">
        <v>1649</v>
      </c>
      <c r="J75" s="1649">
        <v>1</v>
      </c>
      <c r="K75" s="1648"/>
      <c r="L75" s="1640"/>
      <c r="M75" s="1640"/>
      <c r="N75" s="1642"/>
      <c r="O75" s="2876">
        <v>0</v>
      </c>
      <c r="P75" s="2870">
        <v>2361150</v>
      </c>
      <c r="Q75" s="2870">
        <v>0</v>
      </c>
      <c r="R75" s="2870">
        <v>0</v>
      </c>
      <c r="S75" s="2870"/>
      <c r="T75" s="2870" t="s">
        <v>1594</v>
      </c>
      <c r="U75" s="2875">
        <v>2361150</v>
      </c>
      <c r="V75" s="2869">
        <v>0</v>
      </c>
      <c r="W75" s="2870">
        <v>2350980</v>
      </c>
      <c r="X75" s="2870"/>
      <c r="Y75" s="2870"/>
      <c r="Z75" s="2870"/>
      <c r="AA75" s="2877">
        <v>0</v>
      </c>
      <c r="AB75" s="2875">
        <v>2350980</v>
      </c>
      <c r="AC75" s="2869">
        <v>0</v>
      </c>
      <c r="AD75" s="2870">
        <v>2350980</v>
      </c>
      <c r="AE75" s="2870">
        <v>0</v>
      </c>
      <c r="AF75" s="2870">
        <v>0</v>
      </c>
      <c r="AG75" s="2870"/>
      <c r="AH75" s="2877">
        <v>0</v>
      </c>
      <c r="AI75" s="2875">
        <v>2350980</v>
      </c>
      <c r="AJ75" s="2869">
        <v>0.410908</v>
      </c>
      <c r="AK75" s="2870">
        <v>2379825</v>
      </c>
      <c r="AL75" s="2870">
        <v>1026037</v>
      </c>
      <c r="AM75" s="2870">
        <v>114092</v>
      </c>
      <c r="AN75" s="2870"/>
      <c r="AO75" s="2877">
        <v>8.5662824768561325</v>
      </c>
      <c r="AP75" s="2875">
        <v>3519954</v>
      </c>
      <c r="AQ75" s="2869">
        <v>1.5090250000000001</v>
      </c>
      <c r="AR75" s="2870">
        <v>3929825</v>
      </c>
      <c r="AS75" s="2870">
        <v>3730310</v>
      </c>
      <c r="AT75" s="2870">
        <v>-29881</v>
      </c>
      <c r="AU75" s="2870"/>
      <c r="AV75" s="2877">
        <v>5.056413246964099</v>
      </c>
      <c r="AW75" s="2875">
        <v>7630254</v>
      </c>
      <c r="AX75" s="2869">
        <v>2.464334</v>
      </c>
      <c r="AY75" s="2870">
        <v>6219419</v>
      </c>
      <c r="AZ75" s="2870">
        <v>6084441</v>
      </c>
      <c r="BA75" s="2870">
        <v>30117</v>
      </c>
      <c r="BB75" s="2870"/>
      <c r="BC75" s="2877">
        <v>5.0049940470731649</v>
      </c>
      <c r="BD75" s="2875">
        <v>12333977</v>
      </c>
      <c r="BE75" s="2869">
        <v>0.892459</v>
      </c>
      <c r="BF75" s="2870">
        <v>2414585</v>
      </c>
      <c r="BG75" s="2870">
        <v>2261491</v>
      </c>
      <c r="BH75" s="2870">
        <v>59853</v>
      </c>
      <c r="BI75" s="2870"/>
      <c r="BJ75" s="2877">
        <v>5.3066068021051951</v>
      </c>
      <c r="BK75" s="2875">
        <v>4735929</v>
      </c>
      <c r="BL75" s="2869">
        <v>0.38470300000000002</v>
      </c>
      <c r="BM75" s="2870">
        <v>2190859</v>
      </c>
      <c r="BN75" s="2870">
        <v>982147</v>
      </c>
      <c r="BO75" s="2870">
        <v>50534</v>
      </c>
      <c r="BP75" s="2870"/>
      <c r="BQ75" s="2877">
        <v>8.3792951965542244</v>
      </c>
      <c r="BR75" s="2875">
        <v>3223540</v>
      </c>
      <c r="BS75" s="2869">
        <v>0.35791499999999998</v>
      </c>
      <c r="BT75" s="2870">
        <v>2203617</v>
      </c>
      <c r="BU75" s="2870">
        <v>909104</v>
      </c>
      <c r="BV75" s="2870">
        <v>-661</v>
      </c>
      <c r="BW75" s="2870"/>
      <c r="BX75" s="2877">
        <v>8.6949694759929042</v>
      </c>
      <c r="BY75" s="2875">
        <v>3112060</v>
      </c>
      <c r="BZ75" s="2869">
        <v>0.58685299999999996</v>
      </c>
      <c r="CA75" s="2870">
        <v>2147408</v>
      </c>
      <c r="CB75" s="2870">
        <v>1377931</v>
      </c>
      <c r="CC75" s="2870">
        <v>-60716</v>
      </c>
      <c r="CD75" s="2870"/>
      <c r="CE75" s="2877">
        <v>5.9037322804859143</v>
      </c>
      <c r="CF75" s="2875">
        <v>3464623</v>
      </c>
      <c r="CG75" s="2869">
        <v>0.63685400000000003</v>
      </c>
      <c r="CH75" s="2870">
        <v>2070305</v>
      </c>
      <c r="CI75" s="2870">
        <v>1579398</v>
      </c>
      <c r="CJ75" s="2870">
        <v>-256173</v>
      </c>
      <c r="CK75" s="2870"/>
      <c r="CL75" s="2877">
        <v>5.3285839454568862</v>
      </c>
      <c r="CM75" s="2875">
        <v>3393530</v>
      </c>
      <c r="CN75" s="2872">
        <v>1.630495</v>
      </c>
      <c r="CO75" s="2870"/>
      <c r="CP75" s="2870">
        <v>8434869</v>
      </c>
      <c r="CQ75" s="2870"/>
      <c r="CR75" s="2870"/>
      <c r="CS75" s="2877">
        <v>5.1731952566551875</v>
      </c>
      <c r="CT75" s="2875">
        <v>8434869</v>
      </c>
      <c r="CU75" s="2878">
        <v>8.8735459999999993</v>
      </c>
      <c r="CV75" s="2870">
        <v>30618953</v>
      </c>
      <c r="CW75" s="2870">
        <v>26385728</v>
      </c>
      <c r="CX75" s="2870">
        <v>-92835</v>
      </c>
      <c r="CY75" s="2870">
        <v>0</v>
      </c>
      <c r="CZ75" s="2879">
        <v>6.4136531213113672</v>
      </c>
      <c r="DA75" s="2875">
        <v>56911846</v>
      </c>
      <c r="DJ75" s="1611" t="e">
        <v>#N/A</v>
      </c>
      <c r="DK75" s="2782" t="s">
        <v>1649</v>
      </c>
      <c r="DM75" s="1650">
        <v>2.9735269304965568</v>
      </c>
    </row>
    <row r="76" spans="1:117" ht="21" customHeight="1">
      <c r="A76" s="1652">
        <v>33</v>
      </c>
      <c r="B76" s="1668" t="s">
        <v>1712</v>
      </c>
      <c r="C76" s="1645">
        <v>1600</v>
      </c>
      <c r="D76" s="1646">
        <v>0.24124999999999996</v>
      </c>
      <c r="E76" s="1646">
        <v>86.3446</v>
      </c>
      <c r="F76" s="1670">
        <v>6.25</v>
      </c>
      <c r="G76" s="1640"/>
      <c r="H76" s="1640">
        <v>3.86</v>
      </c>
      <c r="I76" s="1648" t="s">
        <v>1649</v>
      </c>
      <c r="J76" s="1649">
        <v>1</v>
      </c>
      <c r="K76" s="1648"/>
      <c r="L76" s="1640"/>
      <c r="M76" s="1640"/>
      <c r="N76" s="1642"/>
      <c r="O76" s="2876">
        <v>0.19695399999999999</v>
      </c>
      <c r="P76" s="2870">
        <v>2257664</v>
      </c>
      <c r="Q76" s="2870">
        <v>463827</v>
      </c>
      <c r="R76" s="2870">
        <v>0</v>
      </c>
      <c r="S76" s="2870"/>
      <c r="T76" s="2870">
        <v>13.817901642007778</v>
      </c>
      <c r="U76" s="2875">
        <v>2721491</v>
      </c>
      <c r="V76" s="2869">
        <v>5.3160150000000002</v>
      </c>
      <c r="W76" s="2870">
        <v>9940918</v>
      </c>
      <c r="X76" s="2870">
        <v>11870662</v>
      </c>
      <c r="Y76" s="2870">
        <v>7994</v>
      </c>
      <c r="Z76" s="2870"/>
      <c r="AA76" s="2877">
        <v>4.1044982002496226</v>
      </c>
      <c r="AB76" s="2875">
        <v>21819574</v>
      </c>
      <c r="AC76" s="2869">
        <v>3.9440999999999997E-2</v>
      </c>
      <c r="AD76" s="2870">
        <v>2347539</v>
      </c>
      <c r="AE76" s="2870">
        <v>85429</v>
      </c>
      <c r="AF76" s="2870">
        <v>0</v>
      </c>
      <c r="AG76" s="2870"/>
      <c r="AH76" s="2877">
        <v>61.686265561218022</v>
      </c>
      <c r="AI76" s="2875">
        <v>2432968</v>
      </c>
      <c r="AJ76" s="2869">
        <v>0.91376299999999999</v>
      </c>
      <c r="AK76" s="2870">
        <v>2949632</v>
      </c>
      <c r="AL76" s="2870">
        <v>1896972</v>
      </c>
      <c r="AM76" s="2870">
        <v>37239</v>
      </c>
      <c r="AN76" s="2870"/>
      <c r="AO76" s="2877">
        <v>5.3447589801731956</v>
      </c>
      <c r="AP76" s="2875">
        <v>4883843</v>
      </c>
      <c r="AQ76" s="2869">
        <v>1.9162140000000001</v>
      </c>
      <c r="AR76" s="2870">
        <v>3799795</v>
      </c>
      <c r="AS76" s="2870">
        <v>3815182</v>
      </c>
      <c r="AT76" s="2870">
        <v>-22981</v>
      </c>
      <c r="AU76" s="2870"/>
      <c r="AV76" s="2877">
        <v>3.9619771069410827</v>
      </c>
      <c r="AW76" s="2875">
        <v>7591996</v>
      </c>
      <c r="AX76" s="2869">
        <v>1.630379</v>
      </c>
      <c r="AY76" s="2870">
        <v>3062524</v>
      </c>
      <c r="AZ76" s="2870">
        <v>3034135</v>
      </c>
      <c r="BA76" s="2870">
        <v>-22444</v>
      </c>
      <c r="BB76" s="2870"/>
      <c r="BC76" s="2877">
        <v>3.725646000101817</v>
      </c>
      <c r="BD76" s="2875">
        <v>6074215</v>
      </c>
      <c r="BE76" s="2869">
        <v>0.84867599999999999</v>
      </c>
      <c r="BF76" s="2870">
        <v>2390081</v>
      </c>
      <c r="BG76" s="2870">
        <v>1618425</v>
      </c>
      <c r="BH76" s="2870">
        <v>0</v>
      </c>
      <c r="BI76" s="2870"/>
      <c r="BJ76" s="2877">
        <v>4.7232465628814762</v>
      </c>
      <c r="BK76" s="2875">
        <v>4008506</v>
      </c>
      <c r="BL76" s="2869">
        <v>1.412514</v>
      </c>
      <c r="BM76" s="2870">
        <v>3424116</v>
      </c>
      <c r="BN76" s="2870">
        <v>2857516</v>
      </c>
      <c r="BO76" s="2870">
        <v>0</v>
      </c>
      <c r="BP76" s="2870"/>
      <c r="BQ76" s="2877">
        <v>4.4471290196061775</v>
      </c>
      <c r="BR76" s="2875">
        <v>6281632</v>
      </c>
      <c r="BS76" s="2869">
        <v>1.098857</v>
      </c>
      <c r="BT76" s="2870">
        <v>3721107</v>
      </c>
      <c r="BU76" s="2870">
        <v>2358147</v>
      </c>
      <c r="BV76" s="2870">
        <v>0</v>
      </c>
      <c r="BW76" s="2870"/>
      <c r="BX76" s="2877">
        <v>5.5323431529307268</v>
      </c>
      <c r="BY76" s="2875">
        <v>6079254</v>
      </c>
      <c r="BZ76" s="2869">
        <v>0.62534299999999998</v>
      </c>
      <c r="CA76" s="2870">
        <v>2949346</v>
      </c>
      <c r="CB76" s="2870">
        <v>1229424</v>
      </c>
      <c r="CC76" s="2870">
        <v>0</v>
      </c>
      <c r="CD76" s="2870"/>
      <c r="CE76" s="2877">
        <v>6.6823647182426287</v>
      </c>
      <c r="CF76" s="2875">
        <v>4178770</v>
      </c>
      <c r="CG76" s="2869">
        <v>1.0472939999999999</v>
      </c>
      <c r="CH76" s="2870">
        <v>2517178</v>
      </c>
      <c r="CI76" s="2870">
        <v>2142764</v>
      </c>
      <c r="CJ76" s="2870">
        <v>0</v>
      </c>
      <c r="CK76" s="2870"/>
      <c r="CL76" s="2877">
        <v>4.4495070152220864</v>
      </c>
      <c r="CM76" s="2875">
        <v>4659942</v>
      </c>
      <c r="CN76" s="2872">
        <v>2.1314739999999999</v>
      </c>
      <c r="CO76" s="2870"/>
      <c r="CP76" s="2870">
        <v>8201902</v>
      </c>
      <c r="CQ76" s="2870"/>
      <c r="CR76" s="2870"/>
      <c r="CS76" s="2877">
        <v>3.8479953309306141</v>
      </c>
      <c r="CT76" s="2875">
        <v>8201902</v>
      </c>
      <c r="CU76" s="2878">
        <v>17.176924000000003</v>
      </c>
      <c r="CV76" s="2870">
        <v>39359900</v>
      </c>
      <c r="CW76" s="2870">
        <v>39574385</v>
      </c>
      <c r="CX76" s="2870">
        <v>-192</v>
      </c>
      <c r="CY76" s="2870">
        <v>0</v>
      </c>
      <c r="CZ76" s="2879">
        <v>4.5953567122961001</v>
      </c>
      <c r="DA76" s="2875">
        <v>78934093</v>
      </c>
      <c r="DJ76" s="1611" t="e">
        <v>#N/A</v>
      </c>
      <c r="DK76" s="2782" t="s">
        <v>1649</v>
      </c>
      <c r="DM76" s="1650">
        <v>2.3039273504382969</v>
      </c>
    </row>
    <row r="77" spans="1:117" ht="21" customHeight="1">
      <c r="A77" s="1652">
        <v>34</v>
      </c>
      <c r="B77" s="1668" t="s">
        <v>1713</v>
      </c>
      <c r="C77" s="1645">
        <v>1320</v>
      </c>
      <c r="D77" s="1646">
        <v>0.24090909090909093</v>
      </c>
      <c r="E77" s="1646">
        <v>97.252499999999998</v>
      </c>
      <c r="F77" s="1670">
        <v>6.25</v>
      </c>
      <c r="G77" s="1640"/>
      <c r="H77" s="1640">
        <v>3.18</v>
      </c>
      <c r="I77" s="1648" t="s">
        <v>1649</v>
      </c>
      <c r="J77" s="1649">
        <v>1</v>
      </c>
      <c r="K77" s="1648"/>
      <c r="L77" s="1640"/>
      <c r="M77" s="1640"/>
      <c r="N77" s="1642"/>
      <c r="O77" s="2876">
        <v>0</v>
      </c>
      <c r="P77" s="2870">
        <v>3395286</v>
      </c>
      <c r="Q77" s="2870">
        <v>0</v>
      </c>
      <c r="R77" s="2870">
        <v>0</v>
      </c>
      <c r="S77" s="2870"/>
      <c r="T77" s="2870" t="s">
        <v>1594</v>
      </c>
      <c r="U77" s="2875">
        <v>3395286</v>
      </c>
      <c r="V77" s="2869">
        <v>0</v>
      </c>
      <c r="W77" s="2870">
        <v>3539668</v>
      </c>
      <c r="X77" s="2870"/>
      <c r="Y77" s="2870"/>
      <c r="Z77" s="2870"/>
      <c r="AA77" s="2877">
        <v>0</v>
      </c>
      <c r="AB77" s="2875">
        <v>3539668</v>
      </c>
      <c r="AC77" s="2869">
        <v>0</v>
      </c>
      <c r="AD77" s="2870">
        <v>3539668</v>
      </c>
      <c r="AE77" s="2870">
        <v>0</v>
      </c>
      <c r="AF77" s="2870">
        <v>0</v>
      </c>
      <c r="AG77" s="2870"/>
      <c r="AH77" s="2877">
        <v>0</v>
      </c>
      <c r="AI77" s="2875">
        <v>3539668</v>
      </c>
      <c r="AJ77" s="2869">
        <v>0.59272400000000003</v>
      </c>
      <c r="AK77" s="2870">
        <v>4377724</v>
      </c>
      <c r="AL77" s="2870">
        <v>1528635</v>
      </c>
      <c r="AM77" s="2870">
        <v>54936</v>
      </c>
      <c r="AN77" s="2870"/>
      <c r="AO77" s="2877">
        <v>10.05745507183782</v>
      </c>
      <c r="AP77" s="2875">
        <v>5961295</v>
      </c>
      <c r="AQ77" s="2869">
        <v>4.0903919999999996</v>
      </c>
      <c r="AR77" s="2870">
        <v>8797850</v>
      </c>
      <c r="AS77" s="2870">
        <v>11449007</v>
      </c>
      <c r="AT77" s="2870">
        <v>54042</v>
      </c>
      <c r="AU77" s="2870"/>
      <c r="AV77" s="2877">
        <v>4.963069309738529</v>
      </c>
      <c r="AW77" s="2875">
        <v>20300899</v>
      </c>
      <c r="AX77" s="2869">
        <v>1.654682</v>
      </c>
      <c r="AY77" s="2870">
        <v>6206833</v>
      </c>
      <c r="AZ77" s="2870">
        <v>4601671</v>
      </c>
      <c r="BA77" s="2870">
        <v>31980</v>
      </c>
      <c r="BB77" s="2870"/>
      <c r="BC77" s="2877">
        <v>6.5514002086201462</v>
      </c>
      <c r="BD77" s="2875">
        <v>10840484</v>
      </c>
      <c r="BE77" s="2869">
        <v>1.294251</v>
      </c>
      <c r="BF77" s="2870">
        <v>4315528</v>
      </c>
      <c r="BG77" s="2870">
        <v>3600606</v>
      </c>
      <c r="BH77" s="2870">
        <v>61775</v>
      </c>
      <c r="BI77" s="2870"/>
      <c r="BJ77" s="2877">
        <v>6.1641126798433996</v>
      </c>
      <c r="BK77" s="2875">
        <v>7977909</v>
      </c>
      <c r="BL77" s="2869">
        <v>0.69089100000000003</v>
      </c>
      <c r="BM77" s="2870">
        <v>3346104</v>
      </c>
      <c r="BN77" s="2870">
        <v>1918604</v>
      </c>
      <c r="BO77" s="2870">
        <v>-33223</v>
      </c>
      <c r="BP77" s="2870"/>
      <c r="BQ77" s="2877">
        <v>7.5720844532639733</v>
      </c>
      <c r="BR77" s="2875">
        <v>5231485</v>
      </c>
      <c r="BS77" s="2869">
        <v>0.79546899999999998</v>
      </c>
      <c r="BT77" s="2870">
        <v>3302484</v>
      </c>
      <c r="BU77" s="2870">
        <v>2125493</v>
      </c>
      <c r="BV77" s="2870">
        <v>-133083</v>
      </c>
      <c r="BW77" s="2870"/>
      <c r="BX77" s="2877">
        <v>6.6563172166357205</v>
      </c>
      <c r="BY77" s="2875">
        <v>5294894</v>
      </c>
      <c r="BZ77" s="2869">
        <v>0.805118</v>
      </c>
      <c r="CA77" s="2870">
        <v>3139629</v>
      </c>
      <c r="CB77" s="2870">
        <v>2066738</v>
      </c>
      <c r="CC77" s="2870">
        <v>-99722</v>
      </c>
      <c r="CD77" s="2870"/>
      <c r="CE77" s="2877">
        <v>6.3427286435031887</v>
      </c>
      <c r="CF77" s="2875">
        <v>5106645</v>
      </c>
      <c r="CG77" s="2869">
        <v>0.46385700000000002</v>
      </c>
      <c r="CH77" s="2870">
        <v>3164405</v>
      </c>
      <c r="CI77" s="2870">
        <v>1234787</v>
      </c>
      <c r="CJ77" s="2870">
        <v>-155867</v>
      </c>
      <c r="CK77" s="2870"/>
      <c r="CL77" s="2877">
        <v>9.1479162759212436</v>
      </c>
      <c r="CM77" s="2875">
        <v>4243325</v>
      </c>
      <c r="CN77" s="2872">
        <v>1.1665000000000001</v>
      </c>
      <c r="CO77" s="2870"/>
      <c r="CP77" s="2870">
        <v>6418134</v>
      </c>
      <c r="CQ77" s="2870"/>
      <c r="CR77" s="2870"/>
      <c r="CS77" s="2877">
        <v>5.5020437205315043</v>
      </c>
      <c r="CT77" s="2875">
        <v>6418134</v>
      </c>
      <c r="CU77" s="2878">
        <v>11.553884000000004</v>
      </c>
      <c r="CV77" s="2870">
        <v>47125179</v>
      </c>
      <c r="CW77" s="2870">
        <v>34943675</v>
      </c>
      <c r="CX77" s="2870">
        <v>-219162</v>
      </c>
      <c r="CY77" s="2870">
        <v>0</v>
      </c>
      <c r="CZ77" s="2879">
        <v>7.084171175684296</v>
      </c>
      <c r="DA77" s="2875">
        <v>81849692</v>
      </c>
      <c r="DJ77" s="1611" t="e">
        <v>#N/A</v>
      </c>
      <c r="DK77" s="2782" t="s">
        <v>1649</v>
      </c>
      <c r="DM77" s="1650">
        <v>3.024409367447344</v>
      </c>
    </row>
    <row r="78" spans="1:117" ht="21" customHeight="1">
      <c r="A78" s="1652">
        <v>35</v>
      </c>
      <c r="B78" s="1668" t="s">
        <v>1854</v>
      </c>
      <c r="C78" s="1645">
        <v>1320</v>
      </c>
      <c r="D78" s="1646">
        <v>71.474000000000004</v>
      </c>
      <c r="E78" s="1646">
        <v>91.412999999999997</v>
      </c>
      <c r="F78" s="1670">
        <v>5.75</v>
      </c>
      <c r="G78" s="1648"/>
      <c r="H78" s="1646">
        <v>943.45680000000004</v>
      </c>
      <c r="I78" s="1648" t="s">
        <v>1649</v>
      </c>
      <c r="J78" s="1649">
        <v>2</v>
      </c>
      <c r="K78" s="1641"/>
      <c r="L78" s="1648"/>
      <c r="M78" s="1648"/>
      <c r="N78" s="1671"/>
      <c r="O78" s="2876">
        <v>226.39302499999999</v>
      </c>
      <c r="P78" s="2870">
        <v>450247466</v>
      </c>
      <c r="Q78" s="2870">
        <v>589301044</v>
      </c>
      <c r="R78" s="2870">
        <v>3333920</v>
      </c>
      <c r="S78" s="2870"/>
      <c r="T78" s="2870">
        <v>4.6065130760985236</v>
      </c>
      <c r="U78" s="2875">
        <v>1042882430</v>
      </c>
      <c r="V78" s="2869">
        <v>238.75941700000001</v>
      </c>
      <c r="W78" s="2870">
        <v>450247466</v>
      </c>
      <c r="X78" s="2870">
        <v>608836513</v>
      </c>
      <c r="Y78" s="2870">
        <v>12959037</v>
      </c>
      <c r="Z78" s="2870"/>
      <c r="AA78" s="2877">
        <v>4.4900554267980981</v>
      </c>
      <c r="AB78" s="2875">
        <v>1072043016</v>
      </c>
      <c r="AC78" s="2869">
        <v>226.95424199999999</v>
      </c>
      <c r="AD78" s="2870">
        <v>450513576</v>
      </c>
      <c r="AE78" s="2870">
        <v>571470781</v>
      </c>
      <c r="AF78" s="2870">
        <v>8150898</v>
      </c>
      <c r="AG78" s="2870"/>
      <c r="AH78" s="2877">
        <v>4.538955720422269</v>
      </c>
      <c r="AI78" s="2875">
        <v>1030135255</v>
      </c>
      <c r="AJ78" s="2869">
        <v>259.14754799999997</v>
      </c>
      <c r="AK78" s="2870">
        <v>451844132</v>
      </c>
      <c r="AL78" s="2870">
        <v>655643296</v>
      </c>
      <c r="AM78" s="2870">
        <v>10055822</v>
      </c>
      <c r="AN78" s="2870"/>
      <c r="AO78" s="2877">
        <v>4.3123821105959301</v>
      </c>
      <c r="AP78" s="2875">
        <v>1117543250</v>
      </c>
      <c r="AQ78" s="2869">
        <v>224.596958</v>
      </c>
      <c r="AR78" s="2870">
        <v>451844132</v>
      </c>
      <c r="AS78" s="2870">
        <v>572722243</v>
      </c>
      <c r="AT78" s="2870">
        <v>5515750</v>
      </c>
      <c r="AU78" s="2870"/>
      <c r="AV78" s="2877">
        <v>4.5863583112287749</v>
      </c>
      <c r="AW78" s="2875">
        <v>1030082125</v>
      </c>
      <c r="AX78" s="2869"/>
      <c r="AY78" s="2870"/>
      <c r="AZ78" s="2870"/>
      <c r="BA78" s="2870"/>
      <c r="BB78" s="2870"/>
      <c r="BC78" s="2877">
        <v>0</v>
      </c>
      <c r="BD78" s="2875">
        <v>0</v>
      </c>
      <c r="BE78" s="2869">
        <v>247.869158</v>
      </c>
      <c r="BF78" s="2870">
        <v>544090994</v>
      </c>
      <c r="BG78" s="2870">
        <v>633553568</v>
      </c>
      <c r="BH78" s="2870">
        <v>12750172</v>
      </c>
      <c r="BI78" s="2870"/>
      <c r="BJ78" s="2877">
        <v>4.8025125175113557</v>
      </c>
      <c r="BK78" s="2875">
        <v>1190394734</v>
      </c>
      <c r="BL78" s="2869">
        <v>207.673698</v>
      </c>
      <c r="BM78" s="2870">
        <v>540445140</v>
      </c>
      <c r="BN78" s="2870">
        <v>538705572</v>
      </c>
      <c r="BO78" s="2870">
        <v>12872331</v>
      </c>
      <c r="BP78" s="2870"/>
      <c r="BQ78" s="2877">
        <v>5.2583598862866108</v>
      </c>
      <c r="BR78" s="2875">
        <v>1092023043</v>
      </c>
      <c r="BS78" s="2869">
        <v>228.64336499999999</v>
      </c>
      <c r="BT78" s="2870">
        <v>514387339</v>
      </c>
      <c r="BU78" s="2870">
        <v>588070735</v>
      </c>
      <c r="BV78" s="2870">
        <v>16010348</v>
      </c>
      <c r="BW78" s="2870"/>
      <c r="BX78" s="2877">
        <v>4.8917598024329285</v>
      </c>
      <c r="BY78" s="2875">
        <v>1118468422</v>
      </c>
      <c r="BZ78" s="2869">
        <v>238.80197899999999</v>
      </c>
      <c r="CA78" s="2870">
        <v>450185580</v>
      </c>
      <c r="CB78" s="2870">
        <v>601542185</v>
      </c>
      <c r="CC78" s="2870">
        <v>16824442</v>
      </c>
      <c r="CD78" s="2870"/>
      <c r="CE78" s="2877">
        <v>4.4746371511435425</v>
      </c>
      <c r="CF78" s="2875">
        <v>1068552207</v>
      </c>
      <c r="CG78" s="2869">
        <v>223.921582</v>
      </c>
      <c r="CH78" s="2870">
        <v>449999921</v>
      </c>
      <c r="CI78" s="2870">
        <v>559580033</v>
      </c>
      <c r="CJ78" s="2870">
        <v>15286273</v>
      </c>
      <c r="CK78" s="2870"/>
      <c r="CL78" s="2877">
        <v>4.5768979383148514</v>
      </c>
      <c r="CM78" s="2875">
        <v>1024866227</v>
      </c>
      <c r="CN78" s="2872">
        <v>277.12105300000002</v>
      </c>
      <c r="CO78" s="2870"/>
      <c r="CP78" s="2870">
        <v>1178589449</v>
      </c>
      <c r="CQ78" s="2870"/>
      <c r="CR78" s="2870"/>
      <c r="CS78" s="2877">
        <v>4.2529769436174885</v>
      </c>
      <c r="CT78" s="2875">
        <v>1178589449</v>
      </c>
      <c r="CU78" s="2878">
        <v>2599.8820249999999</v>
      </c>
      <c r="CV78" s="2870">
        <v>4753805746</v>
      </c>
      <c r="CW78" s="2870">
        <v>7098015419</v>
      </c>
      <c r="CX78" s="2870">
        <v>113758993</v>
      </c>
      <c r="CY78" s="2870">
        <v>0</v>
      </c>
      <c r="CZ78" s="2879">
        <v>4.6023550464756182</v>
      </c>
      <c r="DA78" s="2875">
        <v>11965580158</v>
      </c>
      <c r="DJ78" s="1611" t="e">
        <v>#N/A</v>
      </c>
      <c r="DK78" s="2782" t="e">
        <v>#N/A</v>
      </c>
      <c r="DM78" s="1650">
        <v>2.7301298100247453</v>
      </c>
    </row>
    <row r="79" spans="1:117" ht="21" customHeight="1">
      <c r="A79" s="1652">
        <v>36</v>
      </c>
      <c r="B79" s="1672" t="s">
        <v>1714</v>
      </c>
      <c r="C79" s="1645"/>
      <c r="D79" s="1648"/>
      <c r="E79" s="1648"/>
      <c r="F79" s="1648"/>
      <c r="G79" s="1648"/>
      <c r="H79" s="1648"/>
      <c r="I79" s="1648" t="s">
        <v>1649</v>
      </c>
      <c r="J79" s="1663"/>
      <c r="K79" s="1648"/>
      <c r="L79" s="1648"/>
      <c r="M79" s="1648"/>
      <c r="N79" s="1642"/>
      <c r="O79" s="2876"/>
      <c r="P79" s="2870"/>
      <c r="Q79" s="2870"/>
      <c r="R79" s="2870"/>
      <c r="S79" s="2870"/>
      <c r="T79" s="2870"/>
      <c r="U79" s="2875">
        <v>0</v>
      </c>
      <c r="V79" s="2869"/>
      <c r="W79" s="2870"/>
      <c r="X79" s="2870"/>
      <c r="Y79" s="2870">
        <v>-551087</v>
      </c>
      <c r="Z79" s="2870"/>
      <c r="AA79" s="2870"/>
      <c r="AB79" s="2875">
        <v>-551087</v>
      </c>
      <c r="AC79" s="2869"/>
      <c r="AD79" s="2870"/>
      <c r="AE79" s="2870"/>
      <c r="AF79" s="2870">
        <v>-1163888551</v>
      </c>
      <c r="AG79" s="2870"/>
      <c r="AH79" s="2870"/>
      <c r="AI79" s="2875">
        <v>-1163888551</v>
      </c>
      <c r="AJ79" s="2869"/>
      <c r="AK79" s="2870"/>
      <c r="AL79" s="2870"/>
      <c r="AM79" s="2870">
        <v>65648553</v>
      </c>
      <c r="AN79" s="2870"/>
      <c r="AO79" s="2870"/>
      <c r="AP79" s="2875">
        <v>65648553</v>
      </c>
      <c r="AQ79" s="2869"/>
      <c r="AR79" s="2870"/>
      <c r="AS79" s="2870"/>
      <c r="AT79" s="2870">
        <v>17658509</v>
      </c>
      <c r="AU79" s="2870"/>
      <c r="AV79" s="2870"/>
      <c r="AW79" s="2875">
        <v>17658509</v>
      </c>
      <c r="AX79" s="2869"/>
      <c r="AY79" s="2870"/>
      <c r="AZ79" s="2870"/>
      <c r="BA79" s="2870">
        <v>94938756</v>
      </c>
      <c r="BB79" s="2870"/>
      <c r="BC79" s="2870"/>
      <c r="BD79" s="2875">
        <v>94938756</v>
      </c>
      <c r="BE79" s="2869"/>
      <c r="BF79" s="2870"/>
      <c r="BG79" s="2870"/>
      <c r="BH79" s="2870">
        <v>229511805</v>
      </c>
      <c r="BI79" s="2870"/>
      <c r="BJ79" s="2870"/>
      <c r="BK79" s="2875">
        <v>229511805</v>
      </c>
      <c r="BL79" s="2869"/>
      <c r="BM79" s="2870"/>
      <c r="BN79" s="2870"/>
      <c r="BO79" s="2870">
        <v>-136123362</v>
      </c>
      <c r="BP79" s="2870"/>
      <c r="BQ79" s="2870"/>
      <c r="BR79" s="2875">
        <v>-136123362</v>
      </c>
      <c r="BS79" s="2869"/>
      <c r="BT79" s="2870"/>
      <c r="BU79" s="2870"/>
      <c r="BV79" s="2870">
        <v>23911462</v>
      </c>
      <c r="BW79" s="2870"/>
      <c r="BX79" s="2870"/>
      <c r="BY79" s="2875">
        <v>23911462</v>
      </c>
      <c r="BZ79" s="2869"/>
      <c r="CA79" s="2870"/>
      <c r="CB79" s="2870"/>
      <c r="CC79" s="2870">
        <v>80773205</v>
      </c>
      <c r="CD79" s="2870"/>
      <c r="CE79" s="2870"/>
      <c r="CF79" s="2875">
        <v>80773205</v>
      </c>
      <c r="CG79" s="2869"/>
      <c r="CH79" s="2870"/>
      <c r="CI79" s="2870"/>
      <c r="CJ79" s="2870">
        <v>16531350</v>
      </c>
      <c r="CK79" s="2870"/>
      <c r="CL79" s="2870"/>
      <c r="CM79" s="2875">
        <v>16531350</v>
      </c>
      <c r="CN79" s="2872"/>
      <c r="CO79" s="2870"/>
      <c r="CP79" s="2870"/>
      <c r="CQ79" s="2870">
        <v>1183255674</v>
      </c>
      <c r="CR79" s="2870">
        <v>5393469663</v>
      </c>
      <c r="CS79" s="2877">
        <v>0</v>
      </c>
      <c r="CT79" s="2875">
        <v>6576725337</v>
      </c>
      <c r="CU79" s="2878">
        <v>0</v>
      </c>
      <c r="CV79" s="2870">
        <v>0</v>
      </c>
      <c r="CW79" s="2870">
        <v>0</v>
      </c>
      <c r="CX79" s="2870">
        <v>411666314</v>
      </c>
      <c r="CY79" s="2870">
        <v>5393469663</v>
      </c>
      <c r="CZ79" s="2879">
        <v>0</v>
      </c>
      <c r="DA79" s="2875">
        <v>5805135977</v>
      </c>
      <c r="DJ79" s="1611" t="e">
        <v>#N/A</v>
      </c>
      <c r="DK79" s="2782" t="s">
        <v>1649</v>
      </c>
      <c r="DM79" s="1650">
        <v>0</v>
      </c>
    </row>
    <row r="80" spans="1:117" ht="21" customHeight="1">
      <c r="A80" s="1652">
        <v>37</v>
      </c>
      <c r="B80" s="1668"/>
      <c r="C80" s="1645"/>
      <c r="D80" s="1648"/>
      <c r="E80" s="1648"/>
      <c r="F80" s="1648"/>
      <c r="G80" s="1648"/>
      <c r="H80" s="1648"/>
      <c r="I80" s="1648"/>
      <c r="J80" s="1663"/>
      <c r="K80" s="1648"/>
      <c r="L80" s="1648"/>
      <c r="M80" s="1648"/>
      <c r="N80" s="1642"/>
      <c r="O80" s="2876"/>
      <c r="P80" s="2870"/>
      <c r="Q80" s="2870"/>
      <c r="R80" s="2870"/>
      <c r="S80" s="2870"/>
      <c r="T80" s="2870"/>
      <c r="U80" s="2875">
        <v>0</v>
      </c>
      <c r="V80" s="2869"/>
      <c r="W80" s="2870"/>
      <c r="X80" s="2870"/>
      <c r="Y80" s="2870"/>
      <c r="Z80" s="2870"/>
      <c r="AA80" s="2870"/>
      <c r="AB80" s="2875">
        <v>0</v>
      </c>
      <c r="AC80" s="2869"/>
      <c r="AD80" s="2870"/>
      <c r="AE80" s="2870"/>
      <c r="AF80" s="2870"/>
      <c r="AG80" s="2870"/>
      <c r="AH80" s="2870"/>
      <c r="AI80" s="2875">
        <v>0</v>
      </c>
      <c r="AJ80" s="2869"/>
      <c r="AK80" s="2870"/>
      <c r="AL80" s="2870"/>
      <c r="AM80" s="2870"/>
      <c r="AN80" s="2870"/>
      <c r="AO80" s="2870"/>
      <c r="AP80" s="2875">
        <v>0</v>
      </c>
      <c r="AQ80" s="2869"/>
      <c r="AR80" s="2870"/>
      <c r="AS80" s="2870"/>
      <c r="AT80" s="2870"/>
      <c r="AU80" s="2870"/>
      <c r="AV80" s="2870"/>
      <c r="AW80" s="2875">
        <v>0</v>
      </c>
      <c r="AX80" s="2869"/>
      <c r="AY80" s="2870"/>
      <c r="AZ80" s="2870"/>
      <c r="BA80" s="2870"/>
      <c r="BB80" s="2870"/>
      <c r="BC80" s="2870"/>
      <c r="BD80" s="2875">
        <v>0</v>
      </c>
      <c r="BE80" s="2869"/>
      <c r="BF80" s="2870"/>
      <c r="BG80" s="2870"/>
      <c r="BH80" s="2870"/>
      <c r="BI80" s="2870"/>
      <c r="BJ80" s="2870"/>
      <c r="BK80" s="2875">
        <v>0</v>
      </c>
      <c r="BL80" s="2869"/>
      <c r="BM80" s="2870"/>
      <c r="BN80" s="2870"/>
      <c r="BO80" s="2870"/>
      <c r="BP80" s="2870"/>
      <c r="BQ80" s="2870"/>
      <c r="BR80" s="2875">
        <v>0</v>
      </c>
      <c r="BS80" s="2869"/>
      <c r="BT80" s="2870"/>
      <c r="BU80" s="2870"/>
      <c r="BV80" s="2870"/>
      <c r="BW80" s="2870"/>
      <c r="BX80" s="2870"/>
      <c r="BY80" s="2875">
        <v>0</v>
      </c>
      <c r="BZ80" s="2869"/>
      <c r="CA80" s="2870"/>
      <c r="CB80" s="2870"/>
      <c r="CC80" s="2870"/>
      <c r="CD80" s="2870"/>
      <c r="CE80" s="2870"/>
      <c r="CF80" s="2875">
        <v>0</v>
      </c>
      <c r="CG80" s="2869"/>
      <c r="CH80" s="2870"/>
      <c r="CI80" s="2870"/>
      <c r="CJ80" s="2870"/>
      <c r="CK80" s="2870"/>
      <c r="CL80" s="2870"/>
      <c r="CM80" s="2875">
        <v>0</v>
      </c>
      <c r="CN80" s="2872"/>
      <c r="CO80" s="2870"/>
      <c r="CP80" s="2870"/>
      <c r="CQ80" s="2870"/>
      <c r="CR80" s="2870"/>
      <c r="CS80" s="2870"/>
      <c r="CT80" s="2875">
        <v>0</v>
      </c>
      <c r="CU80" s="2878">
        <v>0</v>
      </c>
      <c r="CV80" s="2870">
        <v>0</v>
      </c>
      <c r="CW80" s="2870">
        <v>0</v>
      </c>
      <c r="CX80" s="2870">
        <v>0</v>
      </c>
      <c r="CY80" s="2870">
        <v>0</v>
      </c>
      <c r="CZ80" s="2879">
        <v>0</v>
      </c>
      <c r="DA80" s="2875">
        <v>0</v>
      </c>
      <c r="DJ80" s="1611" t="e">
        <v>#N/A</v>
      </c>
      <c r="DK80" s="2782" t="e">
        <v>#N/A</v>
      </c>
      <c r="DM80" s="1650">
        <v>0</v>
      </c>
    </row>
    <row r="81" spans="1:117" ht="21" customHeight="1">
      <c r="A81" s="1652">
        <v>38</v>
      </c>
      <c r="B81" s="1668"/>
      <c r="C81" s="1645"/>
      <c r="D81" s="1648"/>
      <c r="E81" s="1648"/>
      <c r="F81" s="1648"/>
      <c r="G81" s="1648"/>
      <c r="H81" s="1648"/>
      <c r="I81" s="1648"/>
      <c r="J81" s="1663"/>
      <c r="K81" s="1648"/>
      <c r="L81" s="1648"/>
      <c r="M81" s="1648"/>
      <c r="N81" s="1642"/>
      <c r="O81" s="2876"/>
      <c r="P81" s="2870"/>
      <c r="Q81" s="2870"/>
      <c r="R81" s="2870"/>
      <c r="S81" s="2870"/>
      <c r="T81" s="2870"/>
      <c r="U81" s="2875">
        <v>0</v>
      </c>
      <c r="V81" s="2869"/>
      <c r="W81" s="2870"/>
      <c r="X81" s="2870"/>
      <c r="Y81" s="2870"/>
      <c r="Z81" s="2870"/>
      <c r="AA81" s="2870"/>
      <c r="AB81" s="2875">
        <v>0</v>
      </c>
      <c r="AC81" s="2869"/>
      <c r="AD81" s="2870"/>
      <c r="AE81" s="2870"/>
      <c r="AF81" s="2870"/>
      <c r="AG81" s="2870"/>
      <c r="AH81" s="2870"/>
      <c r="AI81" s="2875">
        <v>0</v>
      </c>
      <c r="AJ81" s="2869"/>
      <c r="AK81" s="2870"/>
      <c r="AL81" s="2870"/>
      <c r="AM81" s="2870"/>
      <c r="AN81" s="2870"/>
      <c r="AO81" s="2870"/>
      <c r="AP81" s="2875">
        <v>0</v>
      </c>
      <c r="AQ81" s="2869"/>
      <c r="AR81" s="2870"/>
      <c r="AS81" s="2870"/>
      <c r="AT81" s="2870"/>
      <c r="AU81" s="2870"/>
      <c r="AV81" s="2870"/>
      <c r="AW81" s="2875">
        <v>0</v>
      </c>
      <c r="AX81" s="2869"/>
      <c r="AY81" s="2870"/>
      <c r="AZ81" s="2870"/>
      <c r="BA81" s="2870"/>
      <c r="BB81" s="2870"/>
      <c r="BC81" s="2870"/>
      <c r="BD81" s="2875">
        <v>0</v>
      </c>
      <c r="BE81" s="2869"/>
      <c r="BF81" s="2870"/>
      <c r="BG81" s="2870"/>
      <c r="BH81" s="2870"/>
      <c r="BI81" s="2870"/>
      <c r="BJ81" s="2870"/>
      <c r="BK81" s="2875">
        <v>0</v>
      </c>
      <c r="BL81" s="2869"/>
      <c r="BM81" s="2870"/>
      <c r="BN81" s="2870"/>
      <c r="BO81" s="2870"/>
      <c r="BP81" s="2870"/>
      <c r="BQ81" s="2870"/>
      <c r="BR81" s="2875">
        <v>0</v>
      </c>
      <c r="BS81" s="2869"/>
      <c r="BT81" s="2870"/>
      <c r="BU81" s="2870"/>
      <c r="BV81" s="2870"/>
      <c r="BW81" s="2870"/>
      <c r="BX81" s="2870"/>
      <c r="BY81" s="2875">
        <v>0</v>
      </c>
      <c r="BZ81" s="2869"/>
      <c r="CA81" s="2870"/>
      <c r="CB81" s="2870"/>
      <c r="CC81" s="2870"/>
      <c r="CD81" s="2870"/>
      <c r="CE81" s="2870"/>
      <c r="CF81" s="2875">
        <v>0</v>
      </c>
      <c r="CG81" s="2869"/>
      <c r="CH81" s="2870"/>
      <c r="CI81" s="2870"/>
      <c r="CJ81" s="2870"/>
      <c r="CK81" s="2870"/>
      <c r="CL81" s="2870"/>
      <c r="CM81" s="2875">
        <v>0</v>
      </c>
      <c r="CN81" s="2872"/>
      <c r="CO81" s="2870"/>
      <c r="CP81" s="2870"/>
      <c r="CQ81" s="2870"/>
      <c r="CR81" s="2870"/>
      <c r="CS81" s="2870"/>
      <c r="CT81" s="2875">
        <v>0</v>
      </c>
      <c r="CU81" s="2878">
        <v>0</v>
      </c>
      <c r="CV81" s="2870">
        <v>0</v>
      </c>
      <c r="CW81" s="2870">
        <v>0</v>
      </c>
      <c r="CX81" s="2870">
        <v>0</v>
      </c>
      <c r="CY81" s="2870">
        <v>0</v>
      </c>
      <c r="CZ81" s="2879">
        <v>0</v>
      </c>
      <c r="DA81" s="2875">
        <v>0</v>
      </c>
      <c r="DJ81" s="1611" t="e">
        <v>#N/A</v>
      </c>
      <c r="DK81" s="2782" t="e">
        <v>#N/A</v>
      </c>
      <c r="DM81" s="1650">
        <v>0</v>
      </c>
    </row>
    <row r="82" spans="1:117" s="1727" customFormat="1" ht="21" customHeight="1">
      <c r="A82" s="1637"/>
      <c r="B82" s="1675" t="s">
        <v>1855</v>
      </c>
      <c r="C82" s="2886"/>
      <c r="D82" s="1641"/>
      <c r="E82" s="1641"/>
      <c r="F82" s="1641"/>
      <c r="G82" s="1641"/>
      <c r="H82" s="1641">
        <v>4704.5268000000005</v>
      </c>
      <c r="I82" s="1641"/>
      <c r="J82" s="1649"/>
      <c r="K82" s="1641"/>
      <c r="L82" s="1641"/>
      <c r="M82" s="1641"/>
      <c r="N82" s="1671"/>
      <c r="O82" s="2876">
        <v>1522.9827560000001</v>
      </c>
      <c r="P82" s="2874">
        <v>2738325746</v>
      </c>
      <c r="Q82" s="2874">
        <v>2849894394</v>
      </c>
      <c r="R82" s="2874">
        <v>47696844</v>
      </c>
      <c r="S82" s="2874"/>
      <c r="T82" s="2879">
        <v>3.7005783301199768</v>
      </c>
      <c r="U82" s="2875">
        <v>5635916984</v>
      </c>
      <c r="V82" s="2876">
        <v>1741.9495950000003</v>
      </c>
      <c r="W82" s="2874">
        <v>2736338710</v>
      </c>
      <c r="X82" s="2874">
        <v>3454404989</v>
      </c>
      <c r="Y82" s="2874">
        <v>69563422</v>
      </c>
      <c r="Z82" s="2874">
        <v>0</v>
      </c>
      <c r="AA82" s="2879">
        <v>3.5938509007202355</v>
      </c>
      <c r="AB82" s="2875">
        <v>6260307121</v>
      </c>
      <c r="AC82" s="2876">
        <v>1948.2091950000001</v>
      </c>
      <c r="AD82" s="2874">
        <v>2733298960</v>
      </c>
      <c r="AE82" s="2874">
        <v>4276442947</v>
      </c>
      <c r="AF82" s="2874">
        <v>-991365458.5</v>
      </c>
      <c r="AG82" s="2874">
        <v>0</v>
      </c>
      <c r="AH82" s="2879">
        <v>3.0891838843312716</v>
      </c>
      <c r="AI82" s="2875">
        <v>6018376448.5</v>
      </c>
      <c r="AJ82" s="2876">
        <v>2281.7444649999998</v>
      </c>
      <c r="AK82" s="2874">
        <v>2756996354</v>
      </c>
      <c r="AL82" s="2874">
        <v>5361118645</v>
      </c>
      <c r="AM82" s="2874">
        <v>202974262.5</v>
      </c>
      <c r="AN82" s="2874">
        <v>0</v>
      </c>
      <c r="AO82" s="2879">
        <v>3.646810319533305</v>
      </c>
      <c r="AP82" s="2875">
        <v>8321089261.5</v>
      </c>
      <c r="AQ82" s="2876">
        <v>2139.1603650000002</v>
      </c>
      <c r="AR82" s="2874">
        <v>2690786393</v>
      </c>
      <c r="AS82" s="2874">
        <v>5265552447</v>
      </c>
      <c r="AT82" s="2874">
        <v>160091186</v>
      </c>
      <c r="AU82" s="2874">
        <v>0</v>
      </c>
      <c r="AV82" s="2879">
        <v>3.7942129813161527</v>
      </c>
      <c r="AW82" s="2875">
        <v>8116430026</v>
      </c>
      <c r="AX82" s="2876">
        <v>2177.7823199999993</v>
      </c>
      <c r="AY82" s="2874">
        <v>2233471433</v>
      </c>
      <c r="AZ82" s="2874">
        <v>5546596068</v>
      </c>
      <c r="BA82" s="2874">
        <v>187111774</v>
      </c>
      <c r="BB82" s="2874">
        <v>0</v>
      </c>
      <c r="BC82" s="2879">
        <v>3.6583910163252686</v>
      </c>
      <c r="BD82" s="2875">
        <v>7967179275</v>
      </c>
      <c r="BE82" s="2876">
        <v>1730.023416</v>
      </c>
      <c r="BF82" s="2874">
        <v>2755409406</v>
      </c>
      <c r="BG82" s="2874">
        <v>3430425127</v>
      </c>
      <c r="BH82" s="2874">
        <v>438957027</v>
      </c>
      <c r="BI82" s="2874">
        <v>0</v>
      </c>
      <c r="BJ82" s="2879">
        <v>3.829307452564561</v>
      </c>
      <c r="BK82" s="2875">
        <v>6624791560</v>
      </c>
      <c r="BL82" s="2876">
        <v>1393.8894070000003</v>
      </c>
      <c r="BM82" s="2874">
        <v>2678965429</v>
      </c>
      <c r="BN82" s="2874">
        <v>2508714605</v>
      </c>
      <c r="BO82" s="2874">
        <v>-24296085</v>
      </c>
      <c r="BP82" s="2874">
        <v>0</v>
      </c>
      <c r="BQ82" s="2879">
        <v>3.7042995829295364</v>
      </c>
      <c r="BR82" s="2875">
        <v>5163383949</v>
      </c>
      <c r="BS82" s="2876">
        <v>1611.7647469999999</v>
      </c>
      <c r="BT82" s="2874">
        <v>2811173101</v>
      </c>
      <c r="BU82" s="2874">
        <v>2986106366</v>
      </c>
      <c r="BV82" s="2874">
        <v>183186822</v>
      </c>
      <c r="BW82" s="2874">
        <v>0</v>
      </c>
      <c r="BX82" s="2879">
        <v>3.7105081868377656</v>
      </c>
      <c r="BY82" s="2875">
        <v>5980466289</v>
      </c>
      <c r="BZ82" s="2876">
        <v>1680.1454860000006</v>
      </c>
      <c r="CA82" s="2874">
        <v>2647367624</v>
      </c>
      <c r="CB82" s="2874">
        <v>3182743395</v>
      </c>
      <c r="CC82" s="2874">
        <v>157395017</v>
      </c>
      <c r="CD82" s="2874">
        <v>0</v>
      </c>
      <c r="CE82" s="2879">
        <v>3.5636830773832155</v>
      </c>
      <c r="CF82" s="2875">
        <v>5987506036</v>
      </c>
      <c r="CG82" s="2876">
        <v>1640.002307</v>
      </c>
      <c r="CH82" s="2874">
        <v>2823329346</v>
      </c>
      <c r="CI82" s="2874">
        <v>3199083306</v>
      </c>
      <c r="CJ82" s="2874">
        <v>75215603</v>
      </c>
      <c r="CK82" s="2874">
        <v>0</v>
      </c>
      <c r="CL82" s="2879">
        <v>3.7180607789230384</v>
      </c>
      <c r="CM82" s="2875">
        <v>6097628255</v>
      </c>
      <c r="CN82" s="2880">
        <v>2326.2973339999994</v>
      </c>
      <c r="CO82" s="2874">
        <v>0</v>
      </c>
      <c r="CP82" s="2874">
        <v>7843557830</v>
      </c>
      <c r="CQ82" s="2874">
        <v>1183255674</v>
      </c>
      <c r="CR82" s="2874">
        <v>5393469663</v>
      </c>
      <c r="CS82" s="2879">
        <v>6.1988134346544381</v>
      </c>
      <c r="CT82" s="2875">
        <v>14420283167</v>
      </c>
      <c r="CU82" s="2881">
        <v>22193.951392999999</v>
      </c>
      <c r="CV82" s="2874">
        <v>29605462502</v>
      </c>
      <c r="CW82" s="2874">
        <v>49904640119</v>
      </c>
      <c r="CX82" s="2874">
        <v>1689786088</v>
      </c>
      <c r="CY82" s="2874">
        <v>5393469663</v>
      </c>
      <c r="CZ82" s="2879">
        <v>3.9016647751743592</v>
      </c>
      <c r="DA82" s="2875">
        <v>86593358372</v>
      </c>
      <c r="DB82" s="1609"/>
      <c r="DD82" s="1625"/>
      <c r="DJ82" s="1611" t="e">
        <v>#N/A</v>
      </c>
      <c r="DK82" s="2782" t="e">
        <v>#N/A</v>
      </c>
      <c r="DM82" s="1650">
        <v>2.2485694068312676</v>
      </c>
    </row>
    <row r="83" spans="1:117" ht="21" customHeight="1">
      <c r="A83" s="1652"/>
      <c r="B83" s="1668"/>
      <c r="C83" s="1645"/>
      <c r="D83" s="1648"/>
      <c r="E83" s="1648"/>
      <c r="F83" s="1648"/>
      <c r="G83" s="1648"/>
      <c r="H83" s="1648"/>
      <c r="I83" s="1648"/>
      <c r="J83" s="1663"/>
      <c r="K83" s="1648"/>
      <c r="L83" s="1648"/>
      <c r="M83" s="1648"/>
      <c r="N83" s="1642"/>
      <c r="O83" s="2876"/>
      <c r="P83" s="2870"/>
      <c r="Q83" s="2870"/>
      <c r="R83" s="2870"/>
      <c r="S83" s="2870"/>
      <c r="T83" s="2870"/>
      <c r="U83" s="2887"/>
      <c r="V83" s="2869"/>
      <c r="W83" s="2870"/>
      <c r="X83" s="2870"/>
      <c r="Y83" s="2870"/>
      <c r="Z83" s="2870"/>
      <c r="AA83" s="2870"/>
      <c r="AB83" s="2875"/>
      <c r="AC83" s="2869"/>
      <c r="AD83" s="2870"/>
      <c r="AE83" s="2870"/>
      <c r="AF83" s="2870"/>
      <c r="AG83" s="2870"/>
      <c r="AH83" s="2870"/>
      <c r="AI83" s="2875"/>
      <c r="AJ83" s="2869"/>
      <c r="AK83" s="2870"/>
      <c r="AL83" s="2870"/>
      <c r="AM83" s="2870"/>
      <c r="AN83" s="2870"/>
      <c r="AO83" s="2870"/>
      <c r="AP83" s="2875"/>
      <c r="AQ83" s="2869"/>
      <c r="AR83" s="2870"/>
      <c r="AS83" s="2870"/>
      <c r="AT83" s="2870"/>
      <c r="AU83" s="2870"/>
      <c r="AV83" s="2870"/>
      <c r="AW83" s="2875"/>
      <c r="AX83" s="2876"/>
      <c r="AY83" s="2870"/>
      <c r="AZ83" s="2870"/>
      <c r="BA83" s="2870"/>
      <c r="BB83" s="2870"/>
      <c r="BC83" s="2870"/>
      <c r="BD83" s="2875"/>
      <c r="BE83" s="2876"/>
      <c r="BF83" s="2888"/>
      <c r="BG83" s="2888"/>
      <c r="BH83" s="2888"/>
      <c r="BI83" s="2870"/>
      <c r="BJ83" s="2870"/>
      <c r="BK83" s="2875"/>
      <c r="BL83" s="2876"/>
      <c r="BM83" s="2888"/>
      <c r="BN83" s="2888"/>
      <c r="BO83" s="2888"/>
      <c r="BP83" s="2888">
        <v>0</v>
      </c>
      <c r="BQ83" s="2888"/>
      <c r="BR83" s="2888"/>
      <c r="BS83" s="2889"/>
      <c r="BT83" s="2890"/>
      <c r="BU83" s="2890"/>
      <c r="BV83" s="2870"/>
      <c r="BW83" s="2870"/>
      <c r="BX83" s="2870"/>
      <c r="BY83" s="2887"/>
      <c r="BZ83" s="2889"/>
      <c r="CA83" s="2890"/>
      <c r="CB83" s="2890"/>
      <c r="CC83" s="2870"/>
      <c r="CD83" s="2870"/>
      <c r="CE83" s="2870"/>
      <c r="CF83" s="2887"/>
      <c r="CG83" s="2889"/>
      <c r="CH83" s="2891"/>
      <c r="CI83" s="2891"/>
      <c r="CJ83" s="2870"/>
      <c r="CK83" s="2870"/>
      <c r="CL83" s="2870"/>
      <c r="CM83" s="2891"/>
      <c r="CN83" s="2892"/>
      <c r="CO83" s="2890"/>
      <c r="CP83" s="2890"/>
      <c r="CQ83" s="2870"/>
      <c r="CR83" s="2870"/>
      <c r="CS83" s="2870"/>
      <c r="CT83" s="2887"/>
      <c r="CU83" s="2878"/>
      <c r="CV83" s="2870"/>
      <c r="CW83" s="2870"/>
      <c r="CX83" s="2870"/>
      <c r="CY83" s="2870"/>
      <c r="CZ83" s="2879"/>
      <c r="DA83" s="2875"/>
      <c r="DJ83" s="1611" t="e">
        <v>#N/A</v>
      </c>
      <c r="DK83" s="2782" t="e">
        <v>#N/A</v>
      </c>
      <c r="DM83" s="1650">
        <v>0</v>
      </c>
    </row>
    <row r="84" spans="1:117" ht="21" customHeight="1">
      <c r="A84" s="1637" t="s">
        <v>26</v>
      </c>
      <c r="B84" s="1675" t="s">
        <v>1715</v>
      </c>
      <c r="C84" s="1645"/>
      <c r="D84" s="1646"/>
      <c r="E84" s="1646"/>
      <c r="F84" s="1648"/>
      <c r="G84" s="1648"/>
      <c r="H84" s="1648"/>
      <c r="I84" s="1648"/>
      <c r="J84" s="1663"/>
      <c r="K84" s="1648"/>
      <c r="L84" s="1648"/>
      <c r="M84" s="1648"/>
      <c r="N84" s="1642"/>
      <c r="O84" s="2876"/>
      <c r="P84" s="2870"/>
      <c r="Q84" s="2870"/>
      <c r="R84" s="2870"/>
      <c r="S84" s="2870"/>
      <c r="T84" s="2870"/>
      <c r="U84" s="2875"/>
      <c r="V84" s="2869"/>
      <c r="W84" s="2870"/>
      <c r="X84" s="2870"/>
      <c r="Y84" s="2870"/>
      <c r="Z84" s="2870"/>
      <c r="AA84" s="2870"/>
      <c r="AB84" s="2875"/>
      <c r="AC84" s="2869"/>
      <c r="AD84" s="2870"/>
      <c r="AE84" s="2870"/>
      <c r="AF84" s="2870"/>
      <c r="AG84" s="2870"/>
      <c r="AH84" s="2870"/>
      <c r="AI84" s="2875"/>
      <c r="AJ84" s="2869"/>
      <c r="AK84" s="2870"/>
      <c r="AL84" s="2870"/>
      <c r="AM84" s="2870"/>
      <c r="AN84" s="2870"/>
      <c r="AO84" s="2870"/>
      <c r="AP84" s="2875"/>
      <c r="AQ84" s="2869"/>
      <c r="AR84" s="2870"/>
      <c r="AS84" s="2870"/>
      <c r="AT84" s="2870"/>
      <c r="AU84" s="2870"/>
      <c r="AV84" s="2870"/>
      <c r="AW84" s="2875"/>
      <c r="AX84" s="2869"/>
      <c r="AY84" s="2870"/>
      <c r="AZ84" s="2870"/>
      <c r="BA84" s="2870"/>
      <c r="BB84" s="2870"/>
      <c r="BC84" s="2870"/>
      <c r="BD84" s="2875"/>
      <c r="BE84" s="2869"/>
      <c r="BF84" s="2870"/>
      <c r="BG84" s="2870"/>
      <c r="BH84" s="2870"/>
      <c r="BI84" s="2870"/>
      <c r="BJ84" s="2870"/>
      <c r="BK84" s="2875"/>
      <c r="BL84" s="2869"/>
      <c r="BM84" s="2870"/>
      <c r="BN84" s="2870"/>
      <c r="BO84" s="2870"/>
      <c r="BP84" s="2870"/>
      <c r="BQ84" s="2870"/>
      <c r="BR84" s="2875"/>
      <c r="BS84" s="2869"/>
      <c r="BT84" s="2870"/>
      <c r="BU84" s="2870"/>
      <c r="BV84" s="2870"/>
      <c r="BW84" s="2870"/>
      <c r="BX84" s="2870"/>
      <c r="BY84" s="2875"/>
      <c r="BZ84" s="2869"/>
      <c r="CA84" s="2870"/>
      <c r="CB84" s="2870"/>
      <c r="CC84" s="2870"/>
      <c r="CD84" s="2870"/>
      <c r="CE84" s="2870"/>
      <c r="CF84" s="2875"/>
      <c r="CG84" s="2869"/>
      <c r="CH84" s="2870"/>
      <c r="CI84" s="2870"/>
      <c r="CJ84" s="2870"/>
      <c r="CK84" s="2870"/>
      <c r="CL84" s="2870"/>
      <c r="CM84" s="2875"/>
      <c r="CN84" s="2872"/>
      <c r="CO84" s="2870"/>
      <c r="CP84" s="2870"/>
      <c r="CQ84" s="2870"/>
      <c r="CR84" s="2870"/>
      <c r="CS84" s="2870"/>
      <c r="CT84" s="2875"/>
      <c r="CU84" s="2878"/>
      <c r="CV84" s="2870"/>
      <c r="CW84" s="2870"/>
      <c r="CX84" s="2870"/>
      <c r="CY84" s="2870"/>
      <c r="CZ84" s="2879"/>
      <c r="DA84" s="2875"/>
      <c r="DJ84" s="1611" t="e">
        <v>#N/A</v>
      </c>
      <c r="DK84" s="2782">
        <v>0</v>
      </c>
      <c r="DM84" s="1650">
        <v>0</v>
      </c>
    </row>
    <row r="85" spans="1:117" s="1677" customFormat="1" ht="21" customHeight="1">
      <c r="A85" s="1652">
        <v>1</v>
      </c>
      <c r="B85" s="1644" t="s">
        <v>1716</v>
      </c>
      <c r="C85" s="1645">
        <v>440</v>
      </c>
      <c r="D85" s="1646">
        <v>0.375</v>
      </c>
      <c r="E85" s="1646" t="s">
        <v>1391</v>
      </c>
      <c r="F85" s="1670" t="s">
        <v>1594</v>
      </c>
      <c r="G85" s="1640"/>
      <c r="H85" s="1640">
        <v>1.65</v>
      </c>
      <c r="I85" s="1648" t="s">
        <v>1717</v>
      </c>
      <c r="J85" s="1649">
        <v>1</v>
      </c>
      <c r="K85" s="1648"/>
      <c r="L85" s="1640"/>
      <c r="M85" s="1640"/>
      <c r="N85" s="1642"/>
      <c r="O85" s="2876">
        <v>0.44698700000000002</v>
      </c>
      <c r="P85" s="2870"/>
      <c r="Q85" s="2870">
        <v>1111210</v>
      </c>
      <c r="R85" s="2870"/>
      <c r="S85" s="2870"/>
      <c r="T85" s="2870">
        <v>2.4860007114300862</v>
      </c>
      <c r="U85" s="2875">
        <v>1111210</v>
      </c>
      <c r="V85" s="2869">
        <v>0.46678500000000001</v>
      </c>
      <c r="W85" s="2870"/>
      <c r="X85" s="2870">
        <v>1068331</v>
      </c>
      <c r="Y85" s="2870"/>
      <c r="Z85" s="2870"/>
      <c r="AA85" s="2877">
        <v>2.2887003652645221</v>
      </c>
      <c r="AB85" s="2875">
        <v>1068331</v>
      </c>
      <c r="AC85" s="2869">
        <v>0.45309199999999999</v>
      </c>
      <c r="AD85" s="2870"/>
      <c r="AE85" s="2870">
        <v>1036357</v>
      </c>
      <c r="AF85" s="2870">
        <v>468</v>
      </c>
      <c r="AG85" s="2870"/>
      <c r="AH85" s="2877">
        <v>2.288332170949829</v>
      </c>
      <c r="AI85" s="2875">
        <v>1036825</v>
      </c>
      <c r="AJ85" s="2869">
        <v>0.396482</v>
      </c>
      <c r="AK85" s="2870"/>
      <c r="AL85" s="2870">
        <v>906913</v>
      </c>
      <c r="AM85" s="2870"/>
      <c r="AN85" s="2870"/>
      <c r="AO85" s="2877">
        <v>2.2874001846237659</v>
      </c>
      <c r="AP85" s="2875">
        <v>906913</v>
      </c>
      <c r="AQ85" s="2869">
        <v>0.43354300000000001</v>
      </c>
      <c r="AR85" s="2870"/>
      <c r="AS85" s="2870">
        <v>990993</v>
      </c>
      <c r="AT85" s="2870">
        <v>-88503</v>
      </c>
      <c r="AU85" s="2870"/>
      <c r="AV85" s="2877">
        <v>2.0816620266040506</v>
      </c>
      <c r="AW85" s="2875">
        <v>902490</v>
      </c>
      <c r="AX85" s="2869">
        <v>0.44267200000000001</v>
      </c>
      <c r="AY85" s="2870"/>
      <c r="AZ85" s="2870">
        <v>1011860</v>
      </c>
      <c r="BA85" s="2870">
        <v>466</v>
      </c>
      <c r="BB85" s="2870"/>
      <c r="BC85" s="2877">
        <v>2.2868534716449198</v>
      </c>
      <c r="BD85" s="2875">
        <v>1012326</v>
      </c>
      <c r="BE85" s="2869">
        <v>0.465057</v>
      </c>
      <c r="BF85" s="2870"/>
      <c r="BG85" s="2870">
        <v>1063027</v>
      </c>
      <c r="BH85" s="2870"/>
      <c r="BI85" s="2870"/>
      <c r="BJ85" s="2877">
        <v>2.2857993751303605</v>
      </c>
      <c r="BK85" s="2875">
        <v>1063027</v>
      </c>
      <c r="BL85" s="2869">
        <v>0.44152799999999998</v>
      </c>
      <c r="BM85" s="2870"/>
      <c r="BN85" s="2870">
        <v>1009377</v>
      </c>
      <c r="BO85" s="2870"/>
      <c r="BP85" s="2870"/>
      <c r="BQ85" s="2877">
        <v>2.2860996358101864</v>
      </c>
      <c r="BR85" s="2875">
        <v>1009377</v>
      </c>
      <c r="BS85" s="2869">
        <v>0.38240299999999999</v>
      </c>
      <c r="BT85" s="2870"/>
      <c r="BU85" s="2870">
        <v>874211</v>
      </c>
      <c r="BV85" s="2870">
        <v>456</v>
      </c>
      <c r="BW85" s="2870"/>
      <c r="BX85" s="2877">
        <v>2.2872911561886284</v>
      </c>
      <c r="BY85" s="2875">
        <v>874667</v>
      </c>
      <c r="BZ85" s="2869">
        <v>0.49102299999999999</v>
      </c>
      <c r="CA85" s="2870"/>
      <c r="CB85" s="2870">
        <v>1124344</v>
      </c>
      <c r="CC85" s="2870">
        <v>14536</v>
      </c>
      <c r="CD85" s="2870"/>
      <c r="CE85" s="2877">
        <v>2.3194025534445433</v>
      </c>
      <c r="CF85" s="2875">
        <v>1138880</v>
      </c>
      <c r="CG85" s="2869">
        <v>0.439083</v>
      </c>
      <c r="CH85" s="2870"/>
      <c r="CI85" s="2870">
        <v>1005412</v>
      </c>
      <c r="CJ85" s="2870"/>
      <c r="CK85" s="2870"/>
      <c r="CL85" s="2877">
        <v>2.2897994228881555</v>
      </c>
      <c r="CM85" s="2875">
        <v>1005412</v>
      </c>
      <c r="CN85" s="2872">
        <v>0.397532</v>
      </c>
      <c r="CO85" s="2870"/>
      <c r="CP85" s="2870">
        <v>910269</v>
      </c>
      <c r="CQ85" s="2870">
        <v>-509692.29</v>
      </c>
      <c r="CR85" s="2870"/>
      <c r="CS85" s="2877">
        <v>1.0076590312226437</v>
      </c>
      <c r="CT85" s="2875">
        <v>400576.71</v>
      </c>
      <c r="CU85" s="2878">
        <v>5.2561869999999997</v>
      </c>
      <c r="CV85" s="2870">
        <v>0</v>
      </c>
      <c r="CW85" s="2870">
        <v>12112304</v>
      </c>
      <c r="CX85" s="2870">
        <v>-582269.29</v>
      </c>
      <c r="CY85" s="2870">
        <v>0</v>
      </c>
      <c r="CZ85" s="2879">
        <v>2.1936119681434469</v>
      </c>
      <c r="DA85" s="2875">
        <v>11530034.710000001</v>
      </c>
      <c r="DB85" s="1676"/>
      <c r="DD85" s="1678"/>
      <c r="DJ85" s="1611" t="e">
        <v>#N/A</v>
      </c>
      <c r="DK85" s="2782" t="s">
        <v>1717</v>
      </c>
      <c r="DM85" s="1650">
        <v>2.3043898552315585</v>
      </c>
    </row>
    <row r="86" spans="1:117" ht="21" customHeight="1">
      <c r="A86" s="1652">
        <v>2</v>
      </c>
      <c r="B86" s="1644" t="s">
        <v>1718</v>
      </c>
      <c r="C86" s="1645">
        <v>440</v>
      </c>
      <c r="D86" s="1646">
        <v>31.363636363636367</v>
      </c>
      <c r="E86" s="1646" t="s">
        <v>1391</v>
      </c>
      <c r="F86" s="1670" t="s">
        <v>1594</v>
      </c>
      <c r="G86" s="1640"/>
      <c r="H86" s="1679">
        <v>138</v>
      </c>
      <c r="I86" s="1648" t="s">
        <v>1717</v>
      </c>
      <c r="J86" s="1649">
        <v>2</v>
      </c>
      <c r="K86" s="1648"/>
      <c r="L86" s="1640"/>
      <c r="M86" s="1640"/>
      <c r="N86" s="1642"/>
      <c r="O86" s="2876">
        <v>79.935655999999994</v>
      </c>
      <c r="P86" s="2870"/>
      <c r="Q86" s="2870">
        <v>240422473</v>
      </c>
      <c r="R86" s="2870"/>
      <c r="S86" s="2870"/>
      <c r="T86" s="2870">
        <v>3.0077000056145158</v>
      </c>
      <c r="U86" s="2875">
        <v>240422473</v>
      </c>
      <c r="V86" s="2869">
        <v>86.544499000000002</v>
      </c>
      <c r="W86" s="2870"/>
      <c r="X86" s="2870">
        <v>260299888</v>
      </c>
      <c r="Y86" s="2870"/>
      <c r="Z86" s="2870"/>
      <c r="AA86" s="2877">
        <v>3.0076999810236349</v>
      </c>
      <c r="AB86" s="2875">
        <v>260299888</v>
      </c>
      <c r="AC86" s="2869">
        <v>89.493560000000002</v>
      </c>
      <c r="AD86" s="2870"/>
      <c r="AE86" s="2870">
        <v>269304020</v>
      </c>
      <c r="AF86" s="2870">
        <v>466144</v>
      </c>
      <c r="AG86" s="2870"/>
      <c r="AH86" s="2877">
        <v>3.0144086792390423</v>
      </c>
      <c r="AI86" s="2875">
        <v>269770164</v>
      </c>
      <c r="AJ86" s="2869">
        <v>102.724783</v>
      </c>
      <c r="AK86" s="2870"/>
      <c r="AL86" s="2870">
        <v>309119417</v>
      </c>
      <c r="AM86" s="2870"/>
      <c r="AN86" s="2870"/>
      <c r="AO86" s="2877">
        <v>3.009199999964955</v>
      </c>
      <c r="AP86" s="2875">
        <v>309119417</v>
      </c>
      <c r="AQ86" s="2869">
        <v>102.73884099999999</v>
      </c>
      <c r="AR86" s="2870"/>
      <c r="AS86" s="2870">
        <v>309161720</v>
      </c>
      <c r="AT86" s="2870"/>
      <c r="AU86" s="2870"/>
      <c r="AV86" s="2877">
        <v>3.0091999967178915</v>
      </c>
      <c r="AW86" s="2875">
        <v>309161720</v>
      </c>
      <c r="AX86" s="2869">
        <v>99.733542</v>
      </c>
      <c r="AY86" s="2870"/>
      <c r="AZ86" s="2870">
        <v>300118174</v>
      </c>
      <c r="BA86" s="2870"/>
      <c r="BB86" s="2870"/>
      <c r="BC86" s="2877">
        <v>3.0091999941203333</v>
      </c>
      <c r="BD86" s="2875">
        <v>300118174</v>
      </c>
      <c r="BE86" s="2869">
        <v>101.02349700000001</v>
      </c>
      <c r="BF86" s="2870"/>
      <c r="BG86" s="2870">
        <v>303999908</v>
      </c>
      <c r="BH86" s="2870"/>
      <c r="BI86" s="2870"/>
      <c r="BJ86" s="2877">
        <v>3.0092000081921535</v>
      </c>
      <c r="BK86" s="2875">
        <v>303999908</v>
      </c>
      <c r="BL86" s="2869">
        <v>93.700828999999999</v>
      </c>
      <c r="BM86" s="2870"/>
      <c r="BN86" s="2870">
        <v>281964534</v>
      </c>
      <c r="BO86" s="2870"/>
      <c r="BP86" s="2870"/>
      <c r="BQ86" s="2877">
        <v>3.0091999933106246</v>
      </c>
      <c r="BR86" s="2875">
        <v>281964534</v>
      </c>
      <c r="BS86" s="2869">
        <v>86.929373999999996</v>
      </c>
      <c r="BT86" s="2870"/>
      <c r="BU86" s="2870">
        <v>261587873</v>
      </c>
      <c r="BV86" s="2870">
        <v>-1111121</v>
      </c>
      <c r="BW86" s="2870"/>
      <c r="BX86" s="2877">
        <v>2.9964181267427508</v>
      </c>
      <c r="BY86" s="2875">
        <v>260476752</v>
      </c>
      <c r="BZ86" s="2869">
        <v>24.372292000000002</v>
      </c>
      <c r="CA86" s="2870"/>
      <c r="CB86" s="2870">
        <v>73372784</v>
      </c>
      <c r="CC86" s="2870">
        <v>1095672</v>
      </c>
      <c r="CD86" s="2870"/>
      <c r="CE86" s="2877">
        <v>3.0554555968720547</v>
      </c>
      <c r="CF86" s="2875">
        <v>74468456</v>
      </c>
      <c r="CG86" s="2869">
        <v>64.588274999999996</v>
      </c>
      <c r="CH86" s="2870"/>
      <c r="CI86" s="2870">
        <v>194443003</v>
      </c>
      <c r="CJ86" s="2870"/>
      <c r="CK86" s="2870"/>
      <c r="CL86" s="2877">
        <v>3.0105000172244889</v>
      </c>
      <c r="CM86" s="2875">
        <v>194443003</v>
      </c>
      <c r="CN86" s="2872">
        <v>89.891097999999957</v>
      </c>
      <c r="CO86" s="2870"/>
      <c r="CP86" s="2870">
        <v>288527722</v>
      </c>
      <c r="CQ86" s="2870">
        <v>-7506058</v>
      </c>
      <c r="CR86" s="2870"/>
      <c r="CS86" s="2877">
        <v>3.1262457601752751</v>
      </c>
      <c r="CT86" s="2875">
        <v>281021664</v>
      </c>
      <c r="CU86" s="2878">
        <v>1021.676246</v>
      </c>
      <c r="CV86" s="2870">
        <v>0</v>
      </c>
      <c r="CW86" s="2870">
        <v>3092321516</v>
      </c>
      <c r="CX86" s="2870">
        <v>-7055363</v>
      </c>
      <c r="CY86" s="2870">
        <v>0</v>
      </c>
      <c r="CZ86" s="2879">
        <v>3.0198080508176952</v>
      </c>
      <c r="DA86" s="2875">
        <v>3085266153</v>
      </c>
      <c r="DJ86" s="1611" t="s">
        <v>1717</v>
      </c>
      <c r="DK86" s="2782" t="s">
        <v>1717</v>
      </c>
      <c r="DM86" s="1650">
        <v>3.0267137247311511</v>
      </c>
    </row>
    <row r="87" spans="1:117" ht="21" customHeight="1">
      <c r="A87" s="1652">
        <v>3</v>
      </c>
      <c r="B87" s="1644" t="s">
        <v>1719</v>
      </c>
      <c r="C87" s="2782">
        <v>1080</v>
      </c>
      <c r="D87" s="1646">
        <v>0.375</v>
      </c>
      <c r="E87" s="1646" t="s">
        <v>1391</v>
      </c>
      <c r="F87" s="1670" t="s">
        <v>1594</v>
      </c>
      <c r="G87" s="1640"/>
      <c r="H87" s="2782">
        <v>4.05</v>
      </c>
      <c r="I87" s="1648" t="s">
        <v>1717</v>
      </c>
      <c r="J87" s="1649">
        <v>1</v>
      </c>
      <c r="K87" s="1648"/>
      <c r="L87" s="1640"/>
      <c r="M87" s="1640"/>
      <c r="N87" s="1642"/>
      <c r="O87" s="2876">
        <v>1.5873159999999999</v>
      </c>
      <c r="P87" s="2870"/>
      <c r="Q87" s="2870">
        <v>5377253</v>
      </c>
      <c r="R87" s="2870">
        <v>527</v>
      </c>
      <c r="S87" s="2870"/>
      <c r="T87" s="2870">
        <v>3.3879706372266138</v>
      </c>
      <c r="U87" s="2875">
        <v>5377780</v>
      </c>
      <c r="V87" s="2869">
        <v>1.6312089999999999</v>
      </c>
      <c r="W87" s="2870"/>
      <c r="X87" s="2870">
        <v>5531595</v>
      </c>
      <c r="Y87" s="2870">
        <v>525</v>
      </c>
      <c r="Z87" s="2870"/>
      <c r="AA87" s="2877">
        <v>3.3914231714023155</v>
      </c>
      <c r="AB87" s="2875">
        <v>5532120</v>
      </c>
      <c r="AC87" s="2869">
        <v>1.5692459999999999</v>
      </c>
      <c r="AD87" s="2870"/>
      <c r="AE87" s="2870">
        <v>5321051</v>
      </c>
      <c r="AF87" s="2870">
        <v>523</v>
      </c>
      <c r="AG87" s="2870"/>
      <c r="AH87" s="2877">
        <v>3.3911662033868493</v>
      </c>
      <c r="AI87" s="2875">
        <v>5321574</v>
      </c>
      <c r="AJ87" s="2869">
        <v>1.620689</v>
      </c>
      <c r="AK87" s="2870"/>
      <c r="AL87" s="2870">
        <v>5495515</v>
      </c>
      <c r="AM87" s="2870">
        <v>8221</v>
      </c>
      <c r="AN87" s="2870"/>
      <c r="AO87" s="2877">
        <v>3.3959235855861305</v>
      </c>
      <c r="AP87" s="2875">
        <v>5503736</v>
      </c>
      <c r="AQ87" s="2869">
        <v>1.6330880000000001</v>
      </c>
      <c r="AR87" s="2870"/>
      <c r="AS87" s="2870">
        <v>5539521</v>
      </c>
      <c r="AT87" s="2870">
        <v>523</v>
      </c>
      <c r="AU87" s="2870"/>
      <c r="AV87" s="2877">
        <v>3.3923732217737195</v>
      </c>
      <c r="AW87" s="2875">
        <v>5540044</v>
      </c>
      <c r="AX87" s="2869">
        <v>0.89147600000000005</v>
      </c>
      <c r="AY87" s="2870"/>
      <c r="AZ87" s="2870">
        <v>3023933</v>
      </c>
      <c r="BA87" s="2870">
        <v>516</v>
      </c>
      <c r="BB87" s="2870"/>
      <c r="BC87" s="2877">
        <v>3.392630872844586</v>
      </c>
      <c r="BD87" s="2875">
        <v>3024449</v>
      </c>
      <c r="BE87" s="2869">
        <v>0.79453499999999999</v>
      </c>
      <c r="BF87" s="2870"/>
      <c r="BG87" s="2870">
        <v>2695104</v>
      </c>
      <c r="BH87" s="2870">
        <v>515</v>
      </c>
      <c r="BI87" s="2870"/>
      <c r="BJ87" s="2877">
        <v>3.3927001327820676</v>
      </c>
      <c r="BK87" s="2875">
        <v>2695619</v>
      </c>
      <c r="BL87" s="2869">
        <v>1.2526440000000001</v>
      </c>
      <c r="BM87" s="2870"/>
      <c r="BN87" s="2870">
        <v>4249034</v>
      </c>
      <c r="BO87" s="2870">
        <v>513</v>
      </c>
      <c r="BP87" s="2870"/>
      <c r="BQ87" s="2877">
        <v>3.3924618646638631</v>
      </c>
      <c r="BR87" s="2875">
        <v>4249547</v>
      </c>
      <c r="BS87" s="2869">
        <v>1.5692079999999999</v>
      </c>
      <c r="BT87" s="2870"/>
      <c r="BU87" s="2870">
        <v>5323223</v>
      </c>
      <c r="BV87" s="2870"/>
      <c r="BW87" s="2870"/>
      <c r="BX87" s="2877">
        <v>3.3922991725762297</v>
      </c>
      <c r="BY87" s="2875">
        <v>5323223</v>
      </c>
      <c r="BZ87" s="2869">
        <v>0.81113100000000005</v>
      </c>
      <c r="CA87" s="2870"/>
      <c r="CB87" s="2870">
        <v>2751616</v>
      </c>
      <c r="CC87" s="2870">
        <v>6686</v>
      </c>
      <c r="CD87" s="2870"/>
      <c r="CE87" s="2877">
        <v>3.4005629177037986</v>
      </c>
      <c r="CF87" s="2875">
        <v>2758302</v>
      </c>
      <c r="CG87" s="2869">
        <v>0.73522100000000001</v>
      </c>
      <c r="CH87" s="2870"/>
      <c r="CI87" s="2870">
        <v>2494105</v>
      </c>
      <c r="CJ87" s="2870">
        <v>506</v>
      </c>
      <c r="CK87" s="2870"/>
      <c r="CL87" s="2877">
        <v>3.3930083607513932</v>
      </c>
      <c r="CM87" s="2875">
        <v>2494611</v>
      </c>
      <c r="CN87" s="2872">
        <v>3.76661</v>
      </c>
      <c r="CO87" s="2870"/>
      <c r="CP87" s="2870">
        <v>2888851</v>
      </c>
      <c r="CQ87" s="2870">
        <v>-2040260</v>
      </c>
      <c r="CR87" s="2870"/>
      <c r="CS87" s="2877">
        <v>0.22529303538194823</v>
      </c>
      <c r="CT87" s="2875">
        <v>848591</v>
      </c>
      <c r="CU87" s="2878">
        <v>17.862372999999998</v>
      </c>
      <c r="CV87" s="2870">
        <v>0</v>
      </c>
      <c r="CW87" s="2870">
        <v>50690801</v>
      </c>
      <c r="CX87" s="2870">
        <v>-2021205</v>
      </c>
      <c r="CY87" s="2870">
        <v>0</v>
      </c>
      <c r="CZ87" s="2879">
        <v>2.7246993442584593</v>
      </c>
      <c r="DA87" s="2875">
        <v>48669596</v>
      </c>
      <c r="DJ87" s="1611" t="e">
        <v>#N/A</v>
      </c>
      <c r="DK87" s="2782" t="s">
        <v>1717</v>
      </c>
      <c r="DM87" s="1650">
        <v>2.8378536827105787</v>
      </c>
    </row>
    <row r="88" spans="1:117" ht="21" customHeight="1">
      <c r="A88" s="1652">
        <v>4</v>
      </c>
      <c r="B88" s="1644" t="s">
        <v>1720</v>
      </c>
      <c r="C88" s="1639">
        <v>440</v>
      </c>
      <c r="D88" s="1646">
        <v>15</v>
      </c>
      <c r="E88" s="1646" t="s">
        <v>1391</v>
      </c>
      <c r="F88" s="1670" t="s">
        <v>1594</v>
      </c>
      <c r="G88" s="1640"/>
      <c r="H88" s="1640">
        <v>66</v>
      </c>
      <c r="I88" s="1648" t="s">
        <v>1717</v>
      </c>
      <c r="J88" s="1649">
        <v>1</v>
      </c>
      <c r="K88" s="1648"/>
      <c r="L88" s="1640"/>
      <c r="M88" s="1640"/>
      <c r="N88" s="1642"/>
      <c r="O88" s="2876">
        <v>42.047015000000002</v>
      </c>
      <c r="P88" s="2870"/>
      <c r="Q88" s="2870">
        <v>138351497</v>
      </c>
      <c r="R88" s="2870"/>
      <c r="S88" s="2870"/>
      <c r="T88" s="2870">
        <v>3.2903999725069664</v>
      </c>
      <c r="U88" s="2875">
        <v>138351497</v>
      </c>
      <c r="V88" s="2869">
        <v>48.197450000000003</v>
      </c>
      <c r="W88" s="2870"/>
      <c r="X88" s="2870">
        <v>158588889</v>
      </c>
      <c r="Y88" s="2870"/>
      <c r="Z88" s="2870"/>
      <c r="AA88" s="2877">
        <v>3.2903999900409668</v>
      </c>
      <c r="AB88" s="2875">
        <v>158588889</v>
      </c>
      <c r="AC88" s="2869">
        <v>45.026080999999998</v>
      </c>
      <c r="AD88" s="2870"/>
      <c r="AE88" s="2870">
        <v>148090780</v>
      </c>
      <c r="AF88" s="2870"/>
      <c r="AG88" s="2870"/>
      <c r="AH88" s="2877">
        <v>3.2889999909163756</v>
      </c>
      <c r="AI88" s="2875">
        <v>148090780</v>
      </c>
      <c r="AJ88" s="2869">
        <v>45.779131999999997</v>
      </c>
      <c r="AK88" s="2870"/>
      <c r="AL88" s="2870">
        <v>150567565</v>
      </c>
      <c r="AM88" s="2870"/>
      <c r="AN88" s="2870"/>
      <c r="AO88" s="2877">
        <v>3.2889999967670858</v>
      </c>
      <c r="AP88" s="2875">
        <v>150567565</v>
      </c>
      <c r="AQ88" s="2869">
        <v>45.897117000000001</v>
      </c>
      <c r="AR88" s="2870"/>
      <c r="AS88" s="2870">
        <v>150955618</v>
      </c>
      <c r="AT88" s="2870"/>
      <c r="AU88" s="2870"/>
      <c r="AV88" s="2877">
        <v>3.2890000040743299</v>
      </c>
      <c r="AW88" s="2875">
        <v>150955618</v>
      </c>
      <c r="AX88" s="2869">
        <v>44.284605999999997</v>
      </c>
      <c r="AY88" s="2870"/>
      <c r="AZ88" s="2870">
        <v>145665355</v>
      </c>
      <c r="BA88" s="2870">
        <v>130588.15</v>
      </c>
      <c r="BB88" s="2870"/>
      <c r="BC88" s="2877">
        <v>3.2922488494083022</v>
      </c>
      <c r="BD88" s="2875">
        <v>145795943.15000001</v>
      </c>
      <c r="BE88" s="2869">
        <v>45.964823000000003</v>
      </c>
      <c r="BF88" s="2870"/>
      <c r="BG88" s="2870">
        <v>150723250</v>
      </c>
      <c r="BH88" s="2870">
        <v>-6217177</v>
      </c>
      <c r="BI88" s="2870"/>
      <c r="BJ88" s="2877">
        <v>3.1438405190856495</v>
      </c>
      <c r="BK88" s="2875">
        <v>144506073</v>
      </c>
      <c r="BL88" s="2869">
        <v>44.883535999999999</v>
      </c>
      <c r="BM88" s="2870"/>
      <c r="BN88" s="2870">
        <v>147177604</v>
      </c>
      <c r="BO88" s="2870"/>
      <c r="BP88" s="2870"/>
      <c r="BQ88" s="2877">
        <v>3.2791000245613446</v>
      </c>
      <c r="BR88" s="2875">
        <v>147177604</v>
      </c>
      <c r="BS88" s="2869">
        <v>46.575128999999997</v>
      </c>
      <c r="BT88" s="2870"/>
      <c r="BU88" s="2870">
        <v>152724505</v>
      </c>
      <c r="BV88" s="2870">
        <v>230102</v>
      </c>
      <c r="BW88" s="2870"/>
      <c r="BX88" s="2877">
        <v>3.2840404371182741</v>
      </c>
      <c r="BY88" s="2875">
        <v>152954607</v>
      </c>
      <c r="BZ88" s="2869">
        <v>46.770162999999997</v>
      </c>
      <c r="CA88" s="2870"/>
      <c r="CB88" s="2870">
        <v>153424841</v>
      </c>
      <c r="CC88" s="2870">
        <v>1299645</v>
      </c>
      <c r="CD88" s="2870"/>
      <c r="CE88" s="2877">
        <v>3.308187871827601</v>
      </c>
      <c r="CF88" s="2875">
        <v>154724486</v>
      </c>
      <c r="CG88" s="2869">
        <v>37.317394999999998</v>
      </c>
      <c r="CH88" s="2870"/>
      <c r="CI88" s="2870">
        <v>122415983</v>
      </c>
      <c r="CJ88" s="2870"/>
      <c r="CK88" s="2870"/>
      <c r="CL88" s="2877">
        <v>3.2804000118443422</v>
      </c>
      <c r="CM88" s="2875">
        <v>122415983</v>
      </c>
      <c r="CN88" s="2872">
        <v>46.786906999999999</v>
      </c>
      <c r="CO88" s="2870"/>
      <c r="CP88" s="2870">
        <v>153479770</v>
      </c>
      <c r="CQ88" s="2870">
        <v>831546</v>
      </c>
      <c r="CR88" s="2870">
        <v>2125499321</v>
      </c>
      <c r="CS88" s="2877">
        <v>48.727534756678828</v>
      </c>
      <c r="CT88" s="2875">
        <v>2279810637</v>
      </c>
      <c r="CU88" s="2878">
        <v>539.52935400000001</v>
      </c>
      <c r="CV88" s="2870">
        <v>0</v>
      </c>
      <c r="CW88" s="2870">
        <v>1772165657</v>
      </c>
      <c r="CX88" s="2870">
        <v>-3725295.8499999996</v>
      </c>
      <c r="CY88" s="2870">
        <v>2125499321</v>
      </c>
      <c r="CZ88" s="2879">
        <v>7.2172897605678745</v>
      </c>
      <c r="DA88" s="2875">
        <v>3893939682.1500001</v>
      </c>
      <c r="DJ88" s="1611" t="s">
        <v>1717</v>
      </c>
      <c r="DK88" s="2782" t="s">
        <v>1717</v>
      </c>
      <c r="DM88" s="1650">
        <v>3.2846510460670877</v>
      </c>
    </row>
    <row r="89" spans="1:117" ht="21" customHeight="1">
      <c r="A89" s="1652">
        <v>5</v>
      </c>
      <c r="B89" s="1644" t="s">
        <v>1721</v>
      </c>
      <c r="C89" s="1639">
        <v>440</v>
      </c>
      <c r="D89" s="1646">
        <v>19.545454545454547</v>
      </c>
      <c r="E89" s="1646" t="s">
        <v>1391</v>
      </c>
      <c r="F89" s="1670" t="s">
        <v>1594</v>
      </c>
      <c r="G89" s="1640"/>
      <c r="H89" s="1640">
        <v>86</v>
      </c>
      <c r="I89" s="1648" t="s">
        <v>1717</v>
      </c>
      <c r="J89" s="1649">
        <v>1</v>
      </c>
      <c r="K89" s="1648"/>
      <c r="L89" s="1640"/>
      <c r="M89" s="1640"/>
      <c r="N89" s="1642"/>
      <c r="O89" s="2876">
        <v>62.913890000000002</v>
      </c>
      <c r="P89" s="2870"/>
      <c r="Q89" s="2870">
        <v>242728080</v>
      </c>
      <c r="R89" s="2870"/>
      <c r="S89" s="2870"/>
      <c r="T89" s="2870">
        <v>3.8581000157516887</v>
      </c>
      <c r="U89" s="2875">
        <v>242728080</v>
      </c>
      <c r="V89" s="2869">
        <v>65.022614000000004</v>
      </c>
      <c r="W89" s="2870"/>
      <c r="X89" s="2870">
        <v>250863747</v>
      </c>
      <c r="Y89" s="2870"/>
      <c r="Z89" s="2870"/>
      <c r="AA89" s="2877">
        <v>3.8580999988711615</v>
      </c>
      <c r="AB89" s="2875">
        <v>250863747</v>
      </c>
      <c r="AC89" s="2869">
        <v>66.603962999999993</v>
      </c>
      <c r="AD89" s="2870"/>
      <c r="AE89" s="2870">
        <v>256871503</v>
      </c>
      <c r="AF89" s="2870"/>
      <c r="AG89" s="2870"/>
      <c r="AH89" s="2877">
        <v>3.8566999834529372</v>
      </c>
      <c r="AI89" s="2875">
        <v>256871503</v>
      </c>
      <c r="AJ89" s="2869">
        <v>88.969213999999994</v>
      </c>
      <c r="AK89" s="2870"/>
      <c r="AL89" s="2870">
        <v>343127568</v>
      </c>
      <c r="AM89" s="2870"/>
      <c r="AN89" s="2870"/>
      <c r="AO89" s="2877">
        <v>3.8567000041160306</v>
      </c>
      <c r="AP89" s="2875">
        <v>343127568</v>
      </c>
      <c r="AQ89" s="2869">
        <v>59.047029999999999</v>
      </c>
      <c r="AR89" s="2870"/>
      <c r="AS89" s="2870">
        <v>227726680</v>
      </c>
      <c r="AT89" s="2870"/>
      <c r="AU89" s="2870"/>
      <c r="AV89" s="2877">
        <v>3.8566999898216725</v>
      </c>
      <c r="AW89" s="2875">
        <v>227726680</v>
      </c>
      <c r="AX89" s="2869">
        <v>90.104636999999997</v>
      </c>
      <c r="AY89" s="2870"/>
      <c r="AZ89" s="2870">
        <v>347533586</v>
      </c>
      <c r="BA89" s="2870"/>
      <c r="BB89" s="2870"/>
      <c r="BC89" s="2877">
        <v>3.8570000121081449</v>
      </c>
      <c r="BD89" s="2875">
        <v>347533586</v>
      </c>
      <c r="BE89" s="2869">
        <v>77.710014000000001</v>
      </c>
      <c r="BF89" s="2870"/>
      <c r="BG89" s="2870">
        <v>298896027</v>
      </c>
      <c r="BH89" s="2870"/>
      <c r="BI89" s="2870"/>
      <c r="BJ89" s="2877">
        <v>3.8463000019534164</v>
      </c>
      <c r="BK89" s="2875">
        <v>298896027</v>
      </c>
      <c r="BL89" s="2869">
        <v>63.774971000000001</v>
      </c>
      <c r="BM89" s="2870"/>
      <c r="BN89" s="2870">
        <v>245297672</v>
      </c>
      <c r="BO89" s="2870">
        <v>1185558.2490000001</v>
      </c>
      <c r="BP89" s="2870"/>
      <c r="BQ89" s="2877">
        <v>3.8648897268647917</v>
      </c>
      <c r="BR89" s="2875">
        <v>246483230.24900001</v>
      </c>
      <c r="BS89" s="2869">
        <v>66.180746999999997</v>
      </c>
      <c r="BT89" s="2870"/>
      <c r="BU89" s="2870">
        <v>254551006</v>
      </c>
      <c r="BV89" s="2870"/>
      <c r="BW89" s="2870"/>
      <c r="BX89" s="2877">
        <v>3.8462999820778694</v>
      </c>
      <c r="BY89" s="2875">
        <v>254551006</v>
      </c>
      <c r="BZ89" s="2869">
        <v>48.784162000000002</v>
      </c>
      <c r="CA89" s="2870"/>
      <c r="CB89" s="2870">
        <v>187697062</v>
      </c>
      <c r="CC89" s="2870"/>
      <c r="CD89" s="2870"/>
      <c r="CE89" s="2877">
        <v>3.8474999734544992</v>
      </c>
      <c r="CF89" s="2875">
        <v>187697062</v>
      </c>
      <c r="CG89" s="2869">
        <v>29.629296</v>
      </c>
      <c r="CH89" s="2870"/>
      <c r="CI89" s="2870">
        <v>113998716</v>
      </c>
      <c r="CJ89" s="2870"/>
      <c r="CK89" s="2870"/>
      <c r="CL89" s="2877">
        <v>3.8474999878498632</v>
      </c>
      <c r="CM89" s="2875">
        <v>113998716</v>
      </c>
      <c r="CN89" s="2872">
        <v>34.632979000000006</v>
      </c>
      <c r="CO89" s="2870"/>
      <c r="CP89" s="2870">
        <v>132871249</v>
      </c>
      <c r="CQ89" s="2870">
        <v>-46490744.999000072</v>
      </c>
      <c r="CR89" s="2870"/>
      <c r="CS89" s="2877">
        <v>2.4941690404686212</v>
      </c>
      <c r="CT89" s="2875">
        <v>86380504.000999928</v>
      </c>
      <c r="CU89" s="2878">
        <v>753.37351699999999</v>
      </c>
      <c r="CV89" s="2870">
        <v>0</v>
      </c>
      <c r="CW89" s="2870">
        <v>2902162896</v>
      </c>
      <c r="CX89" s="2870">
        <v>-45305186.750000075</v>
      </c>
      <c r="CY89" s="2870">
        <v>0</v>
      </c>
      <c r="CZ89" s="2879">
        <v>3.7920867203114068</v>
      </c>
      <c r="DA89" s="2875">
        <v>2856857709.25</v>
      </c>
      <c r="DJ89" s="1611" t="s">
        <v>1717</v>
      </c>
      <c r="DK89" s="2782" t="s">
        <v>1717</v>
      </c>
      <c r="DM89" s="1650">
        <v>3.8522231409947478</v>
      </c>
    </row>
    <row r="90" spans="1:117" ht="21" customHeight="1">
      <c r="A90" s="1652"/>
      <c r="B90" s="1644"/>
      <c r="C90" s="1639"/>
      <c r="D90" s="1640"/>
      <c r="E90" s="1640"/>
      <c r="F90" s="1640"/>
      <c r="G90" s="1640"/>
      <c r="H90" s="1640"/>
      <c r="I90" s="1648"/>
      <c r="J90" s="1649"/>
      <c r="K90" s="1648"/>
      <c r="L90" s="1640"/>
      <c r="M90" s="1640"/>
      <c r="N90" s="1642"/>
      <c r="O90" s="2876"/>
      <c r="P90" s="2870"/>
      <c r="Q90" s="2870"/>
      <c r="R90" s="2870"/>
      <c r="S90" s="2870"/>
      <c r="T90" s="2870"/>
      <c r="U90" s="2875">
        <v>0</v>
      </c>
      <c r="V90" s="2869"/>
      <c r="W90" s="2870"/>
      <c r="X90" s="2870"/>
      <c r="Y90" s="2870"/>
      <c r="Z90" s="2870"/>
      <c r="AA90" s="2870"/>
      <c r="AB90" s="2875">
        <v>0</v>
      </c>
      <c r="AC90" s="2869"/>
      <c r="AD90" s="2870"/>
      <c r="AE90" s="2870"/>
      <c r="AF90" s="2870"/>
      <c r="AG90" s="2870"/>
      <c r="AH90" s="2870"/>
      <c r="AI90" s="2875">
        <v>0</v>
      </c>
      <c r="AJ90" s="2869"/>
      <c r="AK90" s="2870"/>
      <c r="AL90" s="2870"/>
      <c r="AM90" s="2870"/>
      <c r="AN90" s="2870"/>
      <c r="AO90" s="2870"/>
      <c r="AP90" s="2875">
        <v>0</v>
      </c>
      <c r="AQ90" s="2869"/>
      <c r="AR90" s="2870"/>
      <c r="AS90" s="2870"/>
      <c r="AT90" s="2870"/>
      <c r="AU90" s="2870"/>
      <c r="AV90" s="2870"/>
      <c r="AW90" s="2875">
        <v>0</v>
      </c>
      <c r="AX90" s="2869"/>
      <c r="AY90" s="2870"/>
      <c r="AZ90" s="2870"/>
      <c r="BA90" s="2870"/>
      <c r="BB90" s="2870"/>
      <c r="BC90" s="2870"/>
      <c r="BD90" s="2875">
        <v>0</v>
      </c>
      <c r="BE90" s="2869"/>
      <c r="BF90" s="2870"/>
      <c r="BG90" s="2870"/>
      <c r="BH90" s="2870"/>
      <c r="BI90" s="2870"/>
      <c r="BJ90" s="2870"/>
      <c r="BK90" s="2875">
        <v>0</v>
      </c>
      <c r="BL90" s="2869"/>
      <c r="BM90" s="2870"/>
      <c r="BN90" s="2870"/>
      <c r="BO90" s="2870"/>
      <c r="BP90" s="2870"/>
      <c r="BQ90" s="2870"/>
      <c r="BR90" s="2875">
        <v>0</v>
      </c>
      <c r="BS90" s="2869"/>
      <c r="BT90" s="2870"/>
      <c r="BU90" s="2870"/>
      <c r="BV90" s="2870"/>
      <c r="BW90" s="2870"/>
      <c r="BX90" s="2870"/>
      <c r="BY90" s="2875">
        <v>0</v>
      </c>
      <c r="BZ90" s="2869"/>
      <c r="CA90" s="2870"/>
      <c r="CB90" s="2870"/>
      <c r="CC90" s="2870"/>
      <c r="CD90" s="2870"/>
      <c r="CE90" s="2870"/>
      <c r="CF90" s="2875">
        <v>0</v>
      </c>
      <c r="CG90" s="2869"/>
      <c r="CH90" s="2870"/>
      <c r="CI90" s="2870"/>
      <c r="CJ90" s="2870"/>
      <c r="CK90" s="2870"/>
      <c r="CL90" s="2870"/>
      <c r="CM90" s="2875">
        <v>0</v>
      </c>
      <c r="CN90" s="2872"/>
      <c r="CO90" s="2870"/>
      <c r="CP90" s="2870"/>
      <c r="CQ90" s="2870"/>
      <c r="CR90" s="2870"/>
      <c r="CS90" s="2870"/>
      <c r="CT90" s="2875">
        <v>0</v>
      </c>
      <c r="CU90" s="2878">
        <v>0</v>
      </c>
      <c r="CV90" s="2870">
        <v>0</v>
      </c>
      <c r="CW90" s="2870">
        <v>0</v>
      </c>
      <c r="CX90" s="2870">
        <v>0</v>
      </c>
      <c r="CY90" s="2870">
        <v>0</v>
      </c>
      <c r="CZ90" s="2879">
        <v>0</v>
      </c>
      <c r="DA90" s="2875">
        <v>0</v>
      </c>
      <c r="DJ90" s="1611" t="e">
        <v>#N/A</v>
      </c>
      <c r="DK90" s="2782" t="e">
        <v>#N/A</v>
      </c>
      <c r="DM90" s="1650">
        <v>0</v>
      </c>
    </row>
    <row r="91" spans="1:117" ht="21" customHeight="1">
      <c r="A91" s="1652"/>
      <c r="B91" s="1644"/>
      <c r="C91" s="1639"/>
      <c r="D91" s="1640"/>
      <c r="E91" s="1640"/>
      <c r="F91" s="1640"/>
      <c r="G91" s="1640"/>
      <c r="H91" s="1640"/>
      <c r="I91" s="1648"/>
      <c r="J91" s="1649"/>
      <c r="K91" s="1648"/>
      <c r="L91" s="1640"/>
      <c r="M91" s="1640"/>
      <c r="N91" s="1642"/>
      <c r="O91" s="2876"/>
      <c r="P91" s="2870"/>
      <c r="Q91" s="2870"/>
      <c r="R91" s="2870"/>
      <c r="S91" s="2870"/>
      <c r="T91" s="2870"/>
      <c r="U91" s="2875">
        <v>0</v>
      </c>
      <c r="V91" s="2869"/>
      <c r="W91" s="2870"/>
      <c r="X91" s="2870"/>
      <c r="Y91" s="2870"/>
      <c r="Z91" s="2870"/>
      <c r="AA91" s="2870"/>
      <c r="AB91" s="2875">
        <v>0</v>
      </c>
      <c r="AC91" s="2869"/>
      <c r="AD91" s="2870"/>
      <c r="AE91" s="2870"/>
      <c r="AF91" s="2870"/>
      <c r="AG91" s="2870"/>
      <c r="AH91" s="2870"/>
      <c r="AI91" s="2875">
        <v>0</v>
      </c>
      <c r="AJ91" s="2869"/>
      <c r="AK91" s="2870"/>
      <c r="AL91" s="2870"/>
      <c r="AM91" s="2870"/>
      <c r="AN91" s="2870"/>
      <c r="AO91" s="2870"/>
      <c r="AP91" s="2875">
        <v>0</v>
      </c>
      <c r="AQ91" s="2869"/>
      <c r="AR91" s="2870"/>
      <c r="AS91" s="2870"/>
      <c r="AT91" s="2870"/>
      <c r="AU91" s="2870"/>
      <c r="AV91" s="2870"/>
      <c r="AW91" s="2875">
        <v>0</v>
      </c>
      <c r="AX91" s="2869"/>
      <c r="AY91" s="2870"/>
      <c r="AZ91" s="2870"/>
      <c r="BA91" s="2870"/>
      <c r="BB91" s="2870"/>
      <c r="BC91" s="2870"/>
      <c r="BD91" s="2875">
        <v>0</v>
      </c>
      <c r="BE91" s="2869"/>
      <c r="BF91" s="2870"/>
      <c r="BG91" s="2870"/>
      <c r="BH91" s="2870"/>
      <c r="BI91" s="2870"/>
      <c r="BJ91" s="2870"/>
      <c r="BK91" s="2875">
        <v>0</v>
      </c>
      <c r="BL91" s="2869"/>
      <c r="BM91" s="2870"/>
      <c r="BN91" s="2870"/>
      <c r="BO91" s="2870"/>
      <c r="BP91" s="2870"/>
      <c r="BQ91" s="2870"/>
      <c r="BR91" s="2875">
        <v>0</v>
      </c>
      <c r="BS91" s="2869"/>
      <c r="BT91" s="2870"/>
      <c r="BU91" s="2870"/>
      <c r="BV91" s="2870"/>
      <c r="BW91" s="2870"/>
      <c r="BX91" s="2870"/>
      <c r="BY91" s="2875">
        <v>0</v>
      </c>
      <c r="BZ91" s="2869"/>
      <c r="CA91" s="2870"/>
      <c r="CB91" s="2870"/>
      <c r="CC91" s="2870"/>
      <c r="CD91" s="2870"/>
      <c r="CE91" s="2870"/>
      <c r="CF91" s="2875">
        <v>0</v>
      </c>
      <c r="CG91" s="2869"/>
      <c r="CH91" s="2870"/>
      <c r="CI91" s="2870"/>
      <c r="CJ91" s="2870"/>
      <c r="CK91" s="2870"/>
      <c r="CL91" s="2870"/>
      <c r="CM91" s="2875">
        <v>0</v>
      </c>
      <c r="CN91" s="2872"/>
      <c r="CO91" s="2870"/>
      <c r="CP91" s="2870"/>
      <c r="CQ91" s="2870"/>
      <c r="CR91" s="2870"/>
      <c r="CS91" s="2870"/>
      <c r="CT91" s="2875">
        <v>0</v>
      </c>
      <c r="CU91" s="2878">
        <v>0</v>
      </c>
      <c r="CV91" s="2870">
        <v>0</v>
      </c>
      <c r="CW91" s="2870">
        <v>0</v>
      </c>
      <c r="CX91" s="2870">
        <v>0</v>
      </c>
      <c r="CY91" s="2870">
        <v>0</v>
      </c>
      <c r="CZ91" s="2879">
        <v>0</v>
      </c>
      <c r="DA91" s="2875">
        <v>0</v>
      </c>
      <c r="DJ91" s="1611" t="e">
        <v>#N/A</v>
      </c>
      <c r="DK91" s="2782" t="e">
        <v>#N/A</v>
      </c>
      <c r="DM91" s="1650">
        <v>0</v>
      </c>
    </row>
    <row r="92" spans="1:117" ht="21" customHeight="1">
      <c r="A92" s="1652"/>
      <c r="B92" s="1644"/>
      <c r="C92" s="1639"/>
      <c r="D92" s="1640"/>
      <c r="E92" s="1640"/>
      <c r="F92" s="1640"/>
      <c r="G92" s="1640"/>
      <c r="H92" s="1640"/>
      <c r="I92" s="1648"/>
      <c r="J92" s="1649"/>
      <c r="K92" s="1648"/>
      <c r="L92" s="1640"/>
      <c r="M92" s="1640"/>
      <c r="N92" s="1642"/>
      <c r="O92" s="2876"/>
      <c r="P92" s="2870"/>
      <c r="Q92" s="2870"/>
      <c r="R92" s="2870"/>
      <c r="S92" s="2870"/>
      <c r="T92" s="2870"/>
      <c r="U92" s="2875">
        <v>0</v>
      </c>
      <c r="V92" s="2869"/>
      <c r="W92" s="2870"/>
      <c r="X92" s="2870"/>
      <c r="Y92" s="2870"/>
      <c r="Z92" s="2870"/>
      <c r="AA92" s="2870"/>
      <c r="AB92" s="2875">
        <v>0</v>
      </c>
      <c r="AC92" s="2869"/>
      <c r="AD92" s="2870"/>
      <c r="AE92" s="2870"/>
      <c r="AF92" s="2870"/>
      <c r="AG92" s="2870"/>
      <c r="AH92" s="2870"/>
      <c r="AI92" s="2875">
        <v>0</v>
      </c>
      <c r="AJ92" s="2869"/>
      <c r="AK92" s="2870"/>
      <c r="AL92" s="2870"/>
      <c r="AM92" s="2870"/>
      <c r="AN92" s="2870"/>
      <c r="AO92" s="2870"/>
      <c r="AP92" s="2875">
        <v>0</v>
      </c>
      <c r="AQ92" s="2869"/>
      <c r="AR92" s="2870"/>
      <c r="AS92" s="2870"/>
      <c r="AT92" s="2870"/>
      <c r="AU92" s="2870"/>
      <c r="AV92" s="2870"/>
      <c r="AW92" s="2875">
        <v>0</v>
      </c>
      <c r="AX92" s="2869"/>
      <c r="AY92" s="2870"/>
      <c r="AZ92" s="2870"/>
      <c r="BA92" s="2870"/>
      <c r="BB92" s="2870"/>
      <c r="BC92" s="2870"/>
      <c r="BD92" s="2875">
        <v>0</v>
      </c>
      <c r="BE92" s="2869"/>
      <c r="BF92" s="2870"/>
      <c r="BG92" s="2870"/>
      <c r="BH92" s="2870"/>
      <c r="BI92" s="2870"/>
      <c r="BJ92" s="2870"/>
      <c r="BK92" s="2875">
        <v>0</v>
      </c>
      <c r="BL92" s="2869"/>
      <c r="BM92" s="2870"/>
      <c r="BN92" s="2870"/>
      <c r="BO92" s="2870"/>
      <c r="BP92" s="2870"/>
      <c r="BQ92" s="2870"/>
      <c r="BR92" s="2875">
        <v>0</v>
      </c>
      <c r="BS92" s="2869"/>
      <c r="BT92" s="2870"/>
      <c r="BU92" s="2870"/>
      <c r="BV92" s="2870"/>
      <c r="BW92" s="2870"/>
      <c r="BX92" s="2870"/>
      <c r="BY92" s="2875">
        <v>0</v>
      </c>
      <c r="BZ92" s="2869"/>
      <c r="CA92" s="2870"/>
      <c r="CB92" s="2870"/>
      <c r="CC92" s="2870"/>
      <c r="CD92" s="2870"/>
      <c r="CE92" s="2870"/>
      <c r="CF92" s="2875">
        <v>0</v>
      </c>
      <c r="CG92" s="2869"/>
      <c r="CH92" s="2870"/>
      <c r="CI92" s="2870"/>
      <c r="CJ92" s="2870"/>
      <c r="CK92" s="2870"/>
      <c r="CL92" s="2870"/>
      <c r="CM92" s="2875">
        <v>0</v>
      </c>
      <c r="CN92" s="2872"/>
      <c r="CO92" s="2870"/>
      <c r="CP92" s="2870"/>
      <c r="CQ92" s="2870"/>
      <c r="CR92" s="2870"/>
      <c r="CS92" s="2870"/>
      <c r="CT92" s="2875">
        <v>0</v>
      </c>
      <c r="CU92" s="2878">
        <v>0</v>
      </c>
      <c r="CV92" s="2870">
        <v>0</v>
      </c>
      <c r="CW92" s="2870">
        <v>0</v>
      </c>
      <c r="CX92" s="2870">
        <v>0</v>
      </c>
      <c r="CY92" s="2870">
        <v>0</v>
      </c>
      <c r="CZ92" s="2879">
        <v>0</v>
      </c>
      <c r="DA92" s="2875">
        <v>0</v>
      </c>
      <c r="DJ92" s="1611" t="e">
        <v>#N/A</v>
      </c>
      <c r="DK92" s="2782" t="e">
        <v>#N/A</v>
      </c>
      <c r="DM92" s="1650">
        <v>0</v>
      </c>
    </row>
    <row r="93" spans="1:117" s="1727" customFormat="1" ht="21" customHeight="1">
      <c r="A93" s="1637"/>
      <c r="B93" s="1638" t="s">
        <v>211</v>
      </c>
      <c r="C93" s="1643"/>
      <c r="D93" s="1641"/>
      <c r="E93" s="1641"/>
      <c r="F93" s="1641"/>
      <c r="G93" s="1641"/>
      <c r="H93" s="1641">
        <v>295.70000000000005</v>
      </c>
      <c r="I93" s="1641"/>
      <c r="J93" s="1649"/>
      <c r="K93" s="1641"/>
      <c r="L93" s="1641"/>
      <c r="M93" s="1641"/>
      <c r="N93" s="1671"/>
      <c r="O93" s="2876">
        <v>186.93086400000001</v>
      </c>
      <c r="P93" s="2874">
        <v>0</v>
      </c>
      <c r="Q93" s="2874">
        <v>627990513</v>
      </c>
      <c r="R93" s="2874">
        <v>527</v>
      </c>
      <c r="S93" s="2874"/>
      <c r="T93" s="2879">
        <v>3.3594828941677601</v>
      </c>
      <c r="U93" s="2875">
        <v>627991040</v>
      </c>
      <c r="V93" s="2876">
        <v>201.86255700000001</v>
      </c>
      <c r="W93" s="2874">
        <v>0</v>
      </c>
      <c r="X93" s="2874">
        <v>676352450</v>
      </c>
      <c r="Y93" s="2874">
        <v>525</v>
      </c>
      <c r="Z93" s="2874">
        <v>0</v>
      </c>
      <c r="AA93" s="2879">
        <v>3.350561813204417</v>
      </c>
      <c r="AB93" s="2875">
        <v>676352975</v>
      </c>
      <c r="AC93" s="2876">
        <v>203.14594199999999</v>
      </c>
      <c r="AD93" s="2874">
        <v>0</v>
      </c>
      <c r="AE93" s="2874">
        <v>680623711</v>
      </c>
      <c r="AF93" s="2874">
        <v>467135</v>
      </c>
      <c r="AG93" s="2874">
        <v>0</v>
      </c>
      <c r="AH93" s="2879">
        <v>3.3527169644373207</v>
      </c>
      <c r="AI93" s="2875">
        <v>681090846</v>
      </c>
      <c r="AJ93" s="2876">
        <v>239.49029999999999</v>
      </c>
      <c r="AK93" s="2874">
        <v>0</v>
      </c>
      <c r="AL93" s="2874">
        <v>809216978</v>
      </c>
      <c r="AM93" s="2874">
        <v>8221</v>
      </c>
      <c r="AN93" s="2874">
        <v>0</v>
      </c>
      <c r="AO93" s="2879">
        <v>3.3789477026835741</v>
      </c>
      <c r="AP93" s="2875">
        <v>809225199</v>
      </c>
      <c r="AQ93" s="2876">
        <v>209.749619</v>
      </c>
      <c r="AR93" s="2874">
        <v>0</v>
      </c>
      <c r="AS93" s="2874">
        <v>694374532</v>
      </c>
      <c r="AT93" s="2874">
        <v>-87980</v>
      </c>
      <c r="AU93" s="2874">
        <v>0</v>
      </c>
      <c r="AV93" s="2879">
        <v>3.310073006616522</v>
      </c>
      <c r="AW93" s="2875">
        <v>694286552</v>
      </c>
      <c r="AX93" s="2876">
        <v>235.45693299999999</v>
      </c>
      <c r="AY93" s="2874">
        <v>0</v>
      </c>
      <c r="AZ93" s="2874">
        <v>797352908</v>
      </c>
      <c r="BA93" s="2874">
        <v>131570.15</v>
      </c>
      <c r="BB93" s="2874">
        <v>0</v>
      </c>
      <c r="BC93" s="2879">
        <v>3.3869653697986459</v>
      </c>
      <c r="BD93" s="2875">
        <v>797484478.14999998</v>
      </c>
      <c r="BE93" s="2876">
        <v>225.95792600000001</v>
      </c>
      <c r="BF93" s="2874">
        <v>0</v>
      </c>
      <c r="BG93" s="2874">
        <v>757377316</v>
      </c>
      <c r="BH93" s="2874">
        <v>-6216662</v>
      </c>
      <c r="BI93" s="2874">
        <v>0</v>
      </c>
      <c r="BJ93" s="2879">
        <v>3.3243385939026542</v>
      </c>
      <c r="BK93" s="2875">
        <v>751160654</v>
      </c>
      <c r="BL93" s="2876">
        <v>204.05350799999999</v>
      </c>
      <c r="BM93" s="2874">
        <v>0</v>
      </c>
      <c r="BN93" s="2874">
        <v>679698221</v>
      </c>
      <c r="BO93" s="2874">
        <v>1186071.2490000001</v>
      </c>
      <c r="BP93" s="2874">
        <v>0</v>
      </c>
      <c r="BQ93" s="2879">
        <v>3.3367928781160678</v>
      </c>
      <c r="BR93" s="2875">
        <v>680884292.24900007</v>
      </c>
      <c r="BS93" s="2876">
        <v>201.63686099999998</v>
      </c>
      <c r="BT93" s="2874">
        <v>0</v>
      </c>
      <c r="BU93" s="2874">
        <v>675060818</v>
      </c>
      <c r="BV93" s="2874">
        <v>-880563</v>
      </c>
      <c r="BW93" s="2874">
        <v>0</v>
      </c>
      <c r="BX93" s="2879">
        <v>3.3435367504555633</v>
      </c>
      <c r="BY93" s="2875">
        <v>674180255</v>
      </c>
      <c r="BZ93" s="2876">
        <v>121.22877099999999</v>
      </c>
      <c r="CA93" s="2874">
        <v>0</v>
      </c>
      <c r="CB93" s="2874">
        <v>418370647</v>
      </c>
      <c r="CC93" s="2874">
        <v>2416539</v>
      </c>
      <c r="CD93" s="2874">
        <v>0</v>
      </c>
      <c r="CE93" s="2879">
        <v>3.4710175029325341</v>
      </c>
      <c r="CF93" s="2875">
        <v>420787186</v>
      </c>
      <c r="CG93" s="2876">
        <v>132.70927</v>
      </c>
      <c r="CH93" s="2874">
        <v>0</v>
      </c>
      <c r="CI93" s="2874">
        <v>434357219</v>
      </c>
      <c r="CJ93" s="2874">
        <v>506</v>
      </c>
      <c r="CK93" s="2874">
        <v>0</v>
      </c>
      <c r="CL93" s="2879">
        <v>3.2730021422015207</v>
      </c>
      <c r="CM93" s="2875">
        <v>434357725</v>
      </c>
      <c r="CN93" s="2880">
        <v>175.47512599999996</v>
      </c>
      <c r="CO93" s="2874">
        <v>0</v>
      </c>
      <c r="CP93" s="2874">
        <v>578677861</v>
      </c>
      <c r="CQ93" s="2874">
        <v>-55715209.289000072</v>
      </c>
      <c r="CR93" s="2874">
        <v>2125499321</v>
      </c>
      <c r="CS93" s="2879">
        <v>15.09309058829797</v>
      </c>
      <c r="CT93" s="2875">
        <v>2648461972.711</v>
      </c>
      <c r="CU93" s="2881">
        <v>2337.6976770000001</v>
      </c>
      <c r="CV93" s="2874">
        <v>0</v>
      </c>
      <c r="CW93" s="2874">
        <v>7829453174</v>
      </c>
      <c r="CX93" s="2874">
        <v>-58689319.890000075</v>
      </c>
      <c r="CY93" s="2874">
        <v>2125499321</v>
      </c>
      <c r="CZ93" s="2879">
        <v>4.2333374723672623</v>
      </c>
      <c r="DA93" s="2875">
        <v>9896263175.1100006</v>
      </c>
      <c r="DB93" s="1609"/>
      <c r="DD93" s="1625"/>
      <c r="DJ93" s="1611" t="e">
        <v>#N/A</v>
      </c>
      <c r="DK93" s="2782">
        <v>0</v>
      </c>
      <c r="DM93" s="1650">
        <v>3.3492154486150865</v>
      </c>
    </row>
    <row r="94" spans="1:117" ht="21" customHeight="1">
      <c r="A94" s="1652"/>
      <c r="B94" s="1680"/>
      <c r="C94" s="1662"/>
      <c r="D94" s="1648"/>
      <c r="E94" s="1648"/>
      <c r="F94" s="1648"/>
      <c r="G94" s="1648"/>
      <c r="H94" s="1648"/>
      <c r="I94" s="1648"/>
      <c r="J94" s="1663"/>
      <c r="K94" s="1648"/>
      <c r="L94" s="1648"/>
      <c r="M94" s="1648"/>
      <c r="N94" s="1642"/>
      <c r="O94" s="2876"/>
      <c r="P94" s="2870"/>
      <c r="Q94" s="2870"/>
      <c r="R94" s="2870"/>
      <c r="S94" s="2870"/>
      <c r="T94" s="2870"/>
      <c r="U94" s="2875">
        <v>0</v>
      </c>
      <c r="V94" s="2869"/>
      <c r="W94" s="2870"/>
      <c r="X94" s="2870"/>
      <c r="Y94" s="2870"/>
      <c r="Z94" s="2870"/>
      <c r="AA94" s="2870"/>
      <c r="AB94" s="2875">
        <v>0</v>
      </c>
      <c r="AC94" s="2869"/>
      <c r="AD94" s="2870"/>
      <c r="AE94" s="2870"/>
      <c r="AF94" s="2870"/>
      <c r="AG94" s="2870"/>
      <c r="AH94" s="2870"/>
      <c r="AI94" s="2875">
        <v>0</v>
      </c>
      <c r="AJ94" s="2869"/>
      <c r="AK94" s="2870"/>
      <c r="AL94" s="2870"/>
      <c r="AM94" s="2870"/>
      <c r="AN94" s="2870"/>
      <c r="AO94" s="2870"/>
      <c r="AP94" s="2875">
        <v>0</v>
      </c>
      <c r="AQ94" s="2869"/>
      <c r="AR94" s="2870"/>
      <c r="AS94" s="2870"/>
      <c r="AT94" s="2870"/>
      <c r="AU94" s="2870"/>
      <c r="AV94" s="2870"/>
      <c r="AW94" s="2875">
        <v>0</v>
      </c>
      <c r="AX94" s="2869"/>
      <c r="AY94" s="2870"/>
      <c r="AZ94" s="2870"/>
      <c r="BA94" s="2870"/>
      <c r="BB94" s="2870"/>
      <c r="BC94" s="2870"/>
      <c r="BD94" s="2875">
        <v>0</v>
      </c>
      <c r="BE94" s="2869"/>
      <c r="BF94" s="2870"/>
      <c r="BG94" s="2870"/>
      <c r="BH94" s="2870"/>
      <c r="BI94" s="2870"/>
      <c r="BJ94" s="2870"/>
      <c r="BK94" s="2875">
        <v>0</v>
      </c>
      <c r="BL94" s="2869"/>
      <c r="BM94" s="2870"/>
      <c r="BN94" s="2870"/>
      <c r="BO94" s="2870"/>
      <c r="BP94" s="2870"/>
      <c r="BQ94" s="2870"/>
      <c r="BR94" s="2875">
        <v>0</v>
      </c>
      <c r="BS94" s="2869"/>
      <c r="BT94" s="2870"/>
      <c r="BU94" s="2870"/>
      <c r="BV94" s="2870"/>
      <c r="BW94" s="2870"/>
      <c r="BX94" s="2870"/>
      <c r="BY94" s="2875">
        <v>0</v>
      </c>
      <c r="BZ94" s="2869"/>
      <c r="CA94" s="2870"/>
      <c r="CB94" s="2870"/>
      <c r="CC94" s="2870"/>
      <c r="CD94" s="2870"/>
      <c r="CE94" s="2870"/>
      <c r="CF94" s="2875">
        <v>0</v>
      </c>
      <c r="CG94" s="2869"/>
      <c r="CH94" s="2870"/>
      <c r="CI94" s="2870"/>
      <c r="CJ94" s="2870"/>
      <c r="CK94" s="2870"/>
      <c r="CL94" s="2870"/>
      <c r="CM94" s="2875">
        <v>0</v>
      </c>
      <c r="CN94" s="2872"/>
      <c r="CO94" s="2870"/>
      <c r="CP94" s="2870"/>
      <c r="CQ94" s="2870"/>
      <c r="CR94" s="2870"/>
      <c r="CS94" s="2870"/>
      <c r="CT94" s="2875">
        <v>0</v>
      </c>
      <c r="CU94" s="2878"/>
      <c r="CV94" s="2870"/>
      <c r="CW94" s="2870"/>
      <c r="CX94" s="2870"/>
      <c r="CY94" s="2870"/>
      <c r="CZ94" s="2879"/>
      <c r="DA94" s="2875"/>
      <c r="DJ94" s="1611" t="e">
        <v>#N/A</v>
      </c>
      <c r="DK94" s="2782" t="e">
        <v>#N/A</v>
      </c>
      <c r="DM94" s="1650">
        <v>0</v>
      </c>
    </row>
    <row r="95" spans="1:117" ht="21" customHeight="1">
      <c r="A95" s="1637" t="s">
        <v>27</v>
      </c>
      <c r="B95" s="1638" t="s">
        <v>1722</v>
      </c>
      <c r="C95" s="1645"/>
      <c r="D95" s="1640"/>
      <c r="E95" s="1640"/>
      <c r="F95" s="1640"/>
      <c r="G95" s="1640"/>
      <c r="H95" s="1640"/>
      <c r="I95" s="1648"/>
      <c r="J95" s="1649"/>
      <c r="K95" s="1648"/>
      <c r="L95" s="1640"/>
      <c r="M95" s="1640"/>
      <c r="N95" s="1642"/>
      <c r="O95" s="2876"/>
      <c r="P95" s="2870"/>
      <c r="Q95" s="2870"/>
      <c r="R95" s="2870"/>
      <c r="S95" s="2870"/>
      <c r="T95" s="2870"/>
      <c r="U95" s="2875">
        <v>0</v>
      </c>
      <c r="V95" s="2869"/>
      <c r="W95" s="2870"/>
      <c r="X95" s="2870"/>
      <c r="Y95" s="2870"/>
      <c r="Z95" s="2870"/>
      <c r="AA95" s="2870"/>
      <c r="AB95" s="2875">
        <v>0</v>
      </c>
      <c r="AC95" s="2869"/>
      <c r="AD95" s="2870"/>
      <c r="AE95" s="2870"/>
      <c r="AF95" s="2870"/>
      <c r="AG95" s="2870"/>
      <c r="AH95" s="2870"/>
      <c r="AI95" s="2875">
        <v>0</v>
      </c>
      <c r="AJ95" s="2869"/>
      <c r="AK95" s="2870"/>
      <c r="AL95" s="2870"/>
      <c r="AM95" s="2870"/>
      <c r="AN95" s="2870"/>
      <c r="AO95" s="2870"/>
      <c r="AP95" s="2875">
        <v>0</v>
      </c>
      <c r="AQ95" s="2869"/>
      <c r="AR95" s="2870"/>
      <c r="AS95" s="2870"/>
      <c r="AT95" s="2870"/>
      <c r="AU95" s="2870"/>
      <c r="AV95" s="2870"/>
      <c r="AW95" s="2875">
        <v>0</v>
      </c>
      <c r="AX95" s="2869"/>
      <c r="AY95" s="2870"/>
      <c r="AZ95" s="2870"/>
      <c r="BA95" s="2870"/>
      <c r="BB95" s="2870"/>
      <c r="BC95" s="2870"/>
      <c r="BD95" s="2875">
        <v>0</v>
      </c>
      <c r="BE95" s="2869"/>
      <c r="BF95" s="2870"/>
      <c r="BG95" s="2870"/>
      <c r="BH95" s="2870"/>
      <c r="BI95" s="2870"/>
      <c r="BJ95" s="2870"/>
      <c r="BK95" s="2875">
        <v>0</v>
      </c>
      <c r="BL95" s="2869"/>
      <c r="BM95" s="2870"/>
      <c r="BN95" s="2870"/>
      <c r="BO95" s="2870"/>
      <c r="BP95" s="2870"/>
      <c r="BQ95" s="2870"/>
      <c r="BR95" s="2875">
        <v>0</v>
      </c>
      <c r="BS95" s="2869"/>
      <c r="BT95" s="2870"/>
      <c r="BU95" s="2870"/>
      <c r="BV95" s="2870"/>
      <c r="BW95" s="2870"/>
      <c r="BX95" s="2870"/>
      <c r="BY95" s="2875">
        <v>0</v>
      </c>
      <c r="BZ95" s="2869"/>
      <c r="CA95" s="2870"/>
      <c r="CB95" s="2870"/>
      <c r="CC95" s="2870"/>
      <c r="CD95" s="2870"/>
      <c r="CE95" s="2870"/>
      <c r="CF95" s="2875">
        <v>0</v>
      </c>
      <c r="CG95" s="2869"/>
      <c r="CH95" s="2870"/>
      <c r="CI95" s="2870"/>
      <c r="CJ95" s="2870"/>
      <c r="CK95" s="2870"/>
      <c r="CL95" s="2870"/>
      <c r="CM95" s="2875">
        <v>0</v>
      </c>
      <c r="CN95" s="2872"/>
      <c r="CO95" s="2870"/>
      <c r="CP95" s="2870"/>
      <c r="CQ95" s="2870"/>
      <c r="CR95" s="2870"/>
      <c r="CS95" s="2870"/>
      <c r="CT95" s="2875">
        <v>0</v>
      </c>
      <c r="CU95" s="2878"/>
      <c r="CV95" s="2870"/>
      <c r="CW95" s="2870"/>
      <c r="CX95" s="2870"/>
      <c r="CY95" s="2870"/>
      <c r="CZ95" s="2879"/>
      <c r="DA95" s="2875"/>
      <c r="DJ95" s="1611" t="e">
        <v>#N/A</v>
      </c>
      <c r="DK95" s="2782">
        <v>0</v>
      </c>
      <c r="DM95" s="1650">
        <v>0</v>
      </c>
    </row>
    <row r="96" spans="1:117" ht="21" customHeight="1">
      <c r="A96" s="1652">
        <v>1</v>
      </c>
      <c r="B96" s="1644" t="s">
        <v>1723</v>
      </c>
      <c r="C96" s="1645">
        <v>690</v>
      </c>
      <c r="D96" s="1646">
        <v>6.9565217391304346</v>
      </c>
      <c r="E96" s="1646">
        <v>97.43</v>
      </c>
      <c r="F96" s="1665">
        <v>1</v>
      </c>
      <c r="G96" s="1640"/>
      <c r="H96" s="1646">
        <v>48</v>
      </c>
      <c r="I96" s="1648" t="s">
        <v>1717</v>
      </c>
      <c r="J96" s="1649">
        <v>1</v>
      </c>
      <c r="K96" s="1648"/>
      <c r="L96" s="1640"/>
      <c r="M96" s="1640"/>
      <c r="N96" s="1642"/>
      <c r="O96" s="2876">
        <v>21.643606999999999</v>
      </c>
      <c r="P96" s="2870">
        <v>17181736</v>
      </c>
      <c r="Q96" s="2870">
        <v>13332462</v>
      </c>
      <c r="R96" s="2870">
        <v>21082</v>
      </c>
      <c r="S96" s="2870"/>
      <c r="T96" s="2870">
        <v>1.4108221425384411</v>
      </c>
      <c r="U96" s="2875">
        <v>30535280</v>
      </c>
      <c r="V96" s="2869">
        <v>31.372216000000002</v>
      </c>
      <c r="W96" s="2870">
        <v>17877127</v>
      </c>
      <c r="X96" s="2870">
        <v>19325285</v>
      </c>
      <c r="Y96" s="2870">
        <v>21040</v>
      </c>
      <c r="Z96" s="2870"/>
      <c r="AA96" s="2877">
        <v>1.1865101273050014</v>
      </c>
      <c r="AB96" s="2875">
        <v>37223452</v>
      </c>
      <c r="AC96" s="2869">
        <v>34.225147999999997</v>
      </c>
      <c r="AD96" s="2870">
        <v>17615329</v>
      </c>
      <c r="AE96" s="2870">
        <v>21082691</v>
      </c>
      <c r="AF96" s="2870">
        <v>21033</v>
      </c>
      <c r="AG96" s="2870"/>
      <c r="AH96" s="2877">
        <v>1.1313041801893742</v>
      </c>
      <c r="AI96" s="2875">
        <v>38719053</v>
      </c>
      <c r="AJ96" s="2869">
        <v>35.474629999999998</v>
      </c>
      <c r="AK96" s="2870">
        <v>18429474</v>
      </c>
      <c r="AL96" s="2870">
        <v>21852372</v>
      </c>
      <c r="AM96" s="2870">
        <v>21029</v>
      </c>
      <c r="AN96" s="2870"/>
      <c r="AO96" s="2877">
        <v>1.1361041679645425</v>
      </c>
      <c r="AP96" s="2875">
        <v>40302875</v>
      </c>
      <c r="AQ96" s="2869">
        <v>33.483835999999997</v>
      </c>
      <c r="AR96" s="2870">
        <v>18388586</v>
      </c>
      <c r="AS96" s="2870">
        <v>20626043</v>
      </c>
      <c r="AT96" s="2870">
        <v>21011</v>
      </c>
      <c r="AU96" s="2870"/>
      <c r="AV96" s="2877">
        <v>1.1658054949259697</v>
      </c>
      <c r="AW96" s="2875">
        <v>39035640</v>
      </c>
      <c r="AX96" s="2869">
        <v>31.769691999999999</v>
      </c>
      <c r="AY96" s="2870">
        <v>17795405</v>
      </c>
      <c r="AZ96" s="2870">
        <v>19570130</v>
      </c>
      <c r="BA96" s="2870">
        <v>354488723</v>
      </c>
      <c r="BB96" s="2870"/>
      <c r="BC96" s="2877">
        <v>12.33421646014069</v>
      </c>
      <c r="BD96" s="2875">
        <v>391854258</v>
      </c>
      <c r="BE96" s="2869">
        <v>14.296006</v>
      </c>
      <c r="BF96" s="2870">
        <v>16753548</v>
      </c>
      <c r="BG96" s="2870">
        <v>8806340</v>
      </c>
      <c r="BH96" s="2870">
        <v>20953</v>
      </c>
      <c r="BI96" s="2870"/>
      <c r="BJ96" s="2877">
        <v>1.789369772228691</v>
      </c>
      <c r="BK96" s="2875">
        <v>25580841</v>
      </c>
      <c r="BL96" s="2869">
        <v>6.4937389999999997</v>
      </c>
      <c r="BM96" s="2870">
        <v>14679441</v>
      </c>
      <c r="BN96" s="2870">
        <v>4000143</v>
      </c>
      <c r="BO96" s="2870">
        <v>20941</v>
      </c>
      <c r="BP96" s="2870"/>
      <c r="BQ96" s="2877">
        <v>2.8797777366783603</v>
      </c>
      <c r="BR96" s="2875">
        <v>18700525</v>
      </c>
      <c r="BS96" s="2869">
        <v>6.0637020000000001</v>
      </c>
      <c r="BT96" s="2870">
        <v>3735241</v>
      </c>
      <c r="BU96" s="2870">
        <v>15151256</v>
      </c>
      <c r="BV96" s="2870">
        <v>-178982</v>
      </c>
      <c r="BW96" s="2870"/>
      <c r="BX96" s="2877">
        <v>3.0851639806837472</v>
      </c>
      <c r="BY96" s="2875">
        <v>18707515</v>
      </c>
      <c r="BZ96" s="2869">
        <v>8.4887200000000007</v>
      </c>
      <c r="CA96" s="2870">
        <v>12283313</v>
      </c>
      <c r="CB96" s="2870">
        <v>5229052</v>
      </c>
      <c r="CC96" s="2870">
        <v>12861</v>
      </c>
      <c r="CD96" s="2870"/>
      <c r="CE96" s="2877">
        <v>2.064531048261693</v>
      </c>
      <c r="CF96" s="2875">
        <v>17525226</v>
      </c>
      <c r="CG96" s="2869">
        <v>5.1815720000000001</v>
      </c>
      <c r="CH96" s="2870">
        <v>10558623</v>
      </c>
      <c r="CI96" s="2870">
        <v>3191848</v>
      </c>
      <c r="CJ96" s="2870">
        <v>40455098</v>
      </c>
      <c r="CK96" s="2870"/>
      <c r="CL96" s="2877">
        <v>10.461220841860346</v>
      </c>
      <c r="CM96" s="2875">
        <v>54205569</v>
      </c>
      <c r="CN96" s="2872">
        <v>9.6711919999999996</v>
      </c>
      <c r="CO96" s="2870">
        <v>15125463</v>
      </c>
      <c r="CP96" s="2870">
        <v>5957455</v>
      </c>
      <c r="CQ96" s="2870">
        <v>11577</v>
      </c>
      <c r="CR96" s="2870"/>
      <c r="CS96" s="2877">
        <v>2.1811680504326665</v>
      </c>
      <c r="CT96" s="2875">
        <v>21094495</v>
      </c>
      <c r="CU96" s="2878">
        <v>238.16405999999998</v>
      </c>
      <c r="CV96" s="2870">
        <v>180423286</v>
      </c>
      <c r="CW96" s="2870">
        <v>158125077</v>
      </c>
      <c r="CX96" s="2870">
        <v>394936366</v>
      </c>
      <c r="CY96" s="2870">
        <v>0</v>
      </c>
      <c r="CZ96" s="2879">
        <v>3.0797456551588853</v>
      </c>
      <c r="DA96" s="2875">
        <v>733484729</v>
      </c>
      <c r="DJ96" s="1611" t="s">
        <v>1717</v>
      </c>
      <c r="DK96" s="2782" t="s">
        <v>1717</v>
      </c>
      <c r="DM96" s="1650">
        <v>0.66393341211936019</v>
      </c>
    </row>
    <row r="97" spans="1:117" ht="21" customHeight="1">
      <c r="A97" s="1652">
        <v>2</v>
      </c>
      <c r="B97" s="1644" t="s">
        <v>1724</v>
      </c>
      <c r="C97" s="1645">
        <v>94.2</v>
      </c>
      <c r="D97" s="1646">
        <v>22.29299363057325</v>
      </c>
      <c r="E97" s="1646">
        <v>84.406999999999996</v>
      </c>
      <c r="F97" s="1665">
        <v>1.2</v>
      </c>
      <c r="G97" s="1640"/>
      <c r="H97" s="1646">
        <v>21</v>
      </c>
      <c r="I97" s="1648" t="s">
        <v>1717</v>
      </c>
      <c r="J97" s="1649">
        <v>1</v>
      </c>
      <c r="K97" s="1648"/>
      <c r="L97" s="1640"/>
      <c r="M97" s="1640"/>
      <c r="N97" s="1642"/>
      <c r="O97" s="2876">
        <v>5.5877379999999999</v>
      </c>
      <c r="P97" s="2870">
        <v>15167846</v>
      </c>
      <c r="Q97" s="2870">
        <v>9208592</v>
      </c>
      <c r="R97" s="2870">
        <v>7982</v>
      </c>
      <c r="S97" s="2870"/>
      <c r="T97" s="2870">
        <v>4.3639161320734798</v>
      </c>
      <c r="U97" s="2875">
        <v>24384420</v>
      </c>
      <c r="V97" s="2869">
        <v>8.6747530000000008</v>
      </c>
      <c r="W97" s="2870">
        <v>20804740</v>
      </c>
      <c r="X97" s="2870">
        <v>14295993</v>
      </c>
      <c r="Y97" s="2870">
        <v>7966</v>
      </c>
      <c r="Z97" s="2870"/>
      <c r="AA97" s="2877">
        <v>4.0472275118380896</v>
      </c>
      <c r="AB97" s="2875">
        <v>35108699</v>
      </c>
      <c r="AC97" s="2869">
        <v>9.6583229999999993</v>
      </c>
      <c r="AD97" s="2870">
        <v>20412055</v>
      </c>
      <c r="AE97" s="2870">
        <v>15916916</v>
      </c>
      <c r="AF97" s="2870">
        <v>7964</v>
      </c>
      <c r="AG97" s="2870"/>
      <c r="AH97" s="2877">
        <v>3.7622406084368891</v>
      </c>
      <c r="AI97" s="2875">
        <v>36336935</v>
      </c>
      <c r="AJ97" s="2869">
        <v>10.369002</v>
      </c>
      <c r="AK97" s="2870">
        <v>21715300</v>
      </c>
      <c r="AL97" s="2870">
        <v>17088115</v>
      </c>
      <c r="AM97" s="2870">
        <v>7962</v>
      </c>
      <c r="AN97" s="2870"/>
      <c r="AO97" s="2877">
        <v>3.7430195307127918</v>
      </c>
      <c r="AP97" s="2875">
        <v>38811377</v>
      </c>
      <c r="AQ97" s="2869">
        <v>9.5246849999999998</v>
      </c>
      <c r="AR97" s="2870">
        <v>21736552</v>
      </c>
      <c r="AS97" s="2870">
        <v>15696681</v>
      </c>
      <c r="AT97" s="2870">
        <v>7956</v>
      </c>
      <c r="AU97" s="2870"/>
      <c r="AV97" s="2877">
        <v>3.9309634911810734</v>
      </c>
      <c r="AW97" s="2875">
        <v>37441189</v>
      </c>
      <c r="AX97" s="2869">
        <v>12.573670999999999</v>
      </c>
      <c r="AY97" s="2870">
        <v>21035373</v>
      </c>
      <c r="AZ97" s="2870">
        <v>20721410</v>
      </c>
      <c r="BA97" s="2870">
        <v>7951</v>
      </c>
      <c r="BB97" s="2870"/>
      <c r="BC97" s="2877">
        <v>3.3216022591970158</v>
      </c>
      <c r="BD97" s="2875">
        <v>41764734</v>
      </c>
      <c r="BE97" s="2869">
        <v>10.416043</v>
      </c>
      <c r="BF97" s="2870">
        <v>20657612</v>
      </c>
      <c r="BG97" s="2870">
        <v>17165639</v>
      </c>
      <c r="BH97" s="2870">
        <v>7932</v>
      </c>
      <c r="BI97" s="2870"/>
      <c r="BJ97" s="2877">
        <v>3.6320110237640146</v>
      </c>
      <c r="BK97" s="2875">
        <v>37831183</v>
      </c>
      <c r="BL97" s="2869">
        <v>5.7459800000000003</v>
      </c>
      <c r="BM97" s="2870">
        <v>13680151</v>
      </c>
      <c r="BN97" s="2870">
        <v>9469375</v>
      </c>
      <c r="BO97" s="2870">
        <v>7929</v>
      </c>
      <c r="BP97" s="2870"/>
      <c r="BQ97" s="2877">
        <v>4.0302011145183245</v>
      </c>
      <c r="BR97" s="2875">
        <v>23157455</v>
      </c>
      <c r="BS97" s="2869">
        <v>4.6591089999999999</v>
      </c>
      <c r="BT97" s="2870">
        <v>7678212</v>
      </c>
      <c r="BU97" s="2870">
        <v>10276085</v>
      </c>
      <c r="BV97" s="2870">
        <v>7918</v>
      </c>
      <c r="BW97" s="2870"/>
      <c r="BX97" s="2877">
        <v>3.8552897131189674</v>
      </c>
      <c r="BY97" s="2875">
        <v>17962215</v>
      </c>
      <c r="BZ97" s="2869">
        <v>1.930061</v>
      </c>
      <c r="CA97" s="2870">
        <v>9270709</v>
      </c>
      <c r="CB97" s="2870">
        <v>3180741</v>
      </c>
      <c r="CC97" s="2870">
        <v>7860</v>
      </c>
      <c r="CD97" s="2870"/>
      <c r="CE97" s="2877">
        <v>6.4553970055868701</v>
      </c>
      <c r="CF97" s="2875">
        <v>12459310</v>
      </c>
      <c r="CG97" s="2869">
        <v>0.29975299999999999</v>
      </c>
      <c r="CH97" s="2870">
        <v>3079725</v>
      </c>
      <c r="CI97" s="2870">
        <v>493993</v>
      </c>
      <c r="CJ97" s="2870">
        <v>7801</v>
      </c>
      <c r="CK97" s="2870"/>
      <c r="CL97" s="2877">
        <v>11.948234046031232</v>
      </c>
      <c r="CM97" s="2875">
        <v>3581519</v>
      </c>
      <c r="CN97" s="2872">
        <v>-0.75521199999999999</v>
      </c>
      <c r="CO97" s="2870">
        <v>-40428</v>
      </c>
      <c r="CP97" s="2870">
        <v>-1244590</v>
      </c>
      <c r="CQ97" s="2870">
        <v>7788</v>
      </c>
      <c r="CR97" s="2870"/>
      <c r="CS97" s="2877">
        <v>1.6912204784881597</v>
      </c>
      <c r="CT97" s="2875">
        <v>-1277230</v>
      </c>
      <c r="CU97" s="2878">
        <v>78.683905999999993</v>
      </c>
      <c r="CV97" s="2870">
        <v>175197847</v>
      </c>
      <c r="CW97" s="2870">
        <v>132268950</v>
      </c>
      <c r="CX97" s="2870">
        <v>95009</v>
      </c>
      <c r="CY97" s="2870">
        <v>0</v>
      </c>
      <c r="CZ97" s="2879">
        <v>3.9088273782442879</v>
      </c>
      <c r="DA97" s="2875">
        <v>307561806</v>
      </c>
      <c r="DJ97" s="1611" t="s">
        <v>1717</v>
      </c>
      <c r="DK97" s="2782" t="s">
        <v>1717</v>
      </c>
      <c r="DM97" s="1650">
        <v>1.6810165728173179</v>
      </c>
    </row>
    <row r="98" spans="1:117" ht="21" customHeight="1">
      <c r="A98" s="1652">
        <v>3</v>
      </c>
      <c r="B98" s="1644" t="s">
        <v>1725</v>
      </c>
      <c r="C98" s="1645">
        <v>540</v>
      </c>
      <c r="D98" s="1646">
        <v>20.185185185185187</v>
      </c>
      <c r="E98" s="1646">
        <v>95.186999999999998</v>
      </c>
      <c r="F98" s="1665">
        <v>1.2</v>
      </c>
      <c r="G98" s="1640"/>
      <c r="H98" s="1646">
        <v>109</v>
      </c>
      <c r="I98" s="1648" t="s">
        <v>1717</v>
      </c>
      <c r="J98" s="1649">
        <v>1</v>
      </c>
      <c r="K98" s="1648"/>
      <c r="L98" s="1640"/>
      <c r="M98" s="1640"/>
      <c r="N98" s="1642"/>
      <c r="O98" s="2876">
        <v>49.952553999999999</v>
      </c>
      <c r="P98" s="2870">
        <v>36139054</v>
      </c>
      <c r="Q98" s="2870">
        <v>56995864</v>
      </c>
      <c r="R98" s="2870">
        <v>48120</v>
      </c>
      <c r="S98" s="2870"/>
      <c r="T98" s="2870">
        <v>1.8654309046940822</v>
      </c>
      <c r="U98" s="2875">
        <v>93183038</v>
      </c>
      <c r="V98" s="2869">
        <v>64.036098999999993</v>
      </c>
      <c r="W98" s="2870">
        <v>37343689</v>
      </c>
      <c r="X98" s="2870">
        <v>73065189</v>
      </c>
      <c r="Y98" s="2870">
        <v>48024</v>
      </c>
      <c r="Z98" s="2870"/>
      <c r="AA98" s="2877">
        <v>1.7249161601802137</v>
      </c>
      <c r="AB98" s="2875">
        <v>110456902</v>
      </c>
      <c r="AC98" s="2869">
        <v>70.787840000000003</v>
      </c>
      <c r="AD98" s="2870">
        <v>36095628</v>
      </c>
      <c r="AE98" s="2870">
        <v>80768925</v>
      </c>
      <c r="AF98" s="2870">
        <v>48008</v>
      </c>
      <c r="AG98" s="2870"/>
      <c r="AH98" s="2877">
        <v>1.6515910218478203</v>
      </c>
      <c r="AI98" s="2875">
        <v>116912561</v>
      </c>
      <c r="AJ98" s="2869">
        <v>73.992341999999994</v>
      </c>
      <c r="AK98" s="2870">
        <v>33837131</v>
      </c>
      <c r="AL98" s="2870">
        <v>84425262</v>
      </c>
      <c r="AM98" s="2870">
        <v>47999</v>
      </c>
      <c r="AN98" s="2870"/>
      <c r="AO98" s="2877">
        <v>1.5989545512696435</v>
      </c>
      <c r="AP98" s="2875">
        <v>118310392</v>
      </c>
      <c r="AQ98" s="2869">
        <v>76.673992999999996</v>
      </c>
      <c r="AR98" s="2870">
        <v>37007321</v>
      </c>
      <c r="AS98" s="2870">
        <v>87485026</v>
      </c>
      <c r="AT98" s="2870">
        <v>-992138</v>
      </c>
      <c r="AU98" s="2870"/>
      <c r="AV98" s="2877">
        <v>1.6107183696563188</v>
      </c>
      <c r="AW98" s="2875">
        <v>123500209</v>
      </c>
      <c r="AX98" s="2869">
        <v>44.237743000000002</v>
      </c>
      <c r="AY98" s="2870">
        <v>35813536</v>
      </c>
      <c r="AZ98" s="2870">
        <v>50475265</v>
      </c>
      <c r="BA98" s="2870">
        <v>-219466</v>
      </c>
      <c r="BB98" s="2870"/>
      <c r="BC98" s="2877">
        <v>1.945608640115297</v>
      </c>
      <c r="BD98" s="2875">
        <v>86069335</v>
      </c>
      <c r="BE98" s="2869">
        <v>19.312352000000001</v>
      </c>
      <c r="BF98" s="2870">
        <v>36732339</v>
      </c>
      <c r="BG98" s="2870">
        <v>22035394</v>
      </c>
      <c r="BH98" s="2870">
        <v>209167</v>
      </c>
      <c r="BI98" s="2870"/>
      <c r="BJ98" s="2877">
        <v>3.0538434676418493</v>
      </c>
      <c r="BK98" s="2875">
        <v>58976900</v>
      </c>
      <c r="BL98" s="2869">
        <v>11.310670999999999</v>
      </c>
      <c r="BM98" s="2870">
        <v>35813536</v>
      </c>
      <c r="BN98" s="2870">
        <v>12905476</v>
      </c>
      <c r="BO98" s="2870">
        <v>15308</v>
      </c>
      <c r="BP98" s="2870"/>
      <c r="BQ98" s="2877">
        <v>4.3087028170123594</v>
      </c>
      <c r="BR98" s="2875">
        <v>48734320</v>
      </c>
      <c r="BS98" s="2869">
        <v>10.446638999999999</v>
      </c>
      <c r="BT98" s="2870">
        <v>11919615</v>
      </c>
      <c r="BU98" s="2870">
        <v>32709562</v>
      </c>
      <c r="BV98" s="2870">
        <v>17724</v>
      </c>
      <c r="BW98" s="2870"/>
      <c r="BX98" s="2877">
        <v>4.273805287997412</v>
      </c>
      <c r="BY98" s="2875">
        <v>44646901</v>
      </c>
      <c r="BZ98" s="2869">
        <v>10.258355</v>
      </c>
      <c r="CA98" s="2870">
        <v>33491071</v>
      </c>
      <c r="CB98" s="2870">
        <v>11704783</v>
      </c>
      <c r="CC98" s="2870">
        <v>17916</v>
      </c>
      <c r="CD98" s="2870"/>
      <c r="CE98" s="2877">
        <v>4.4075068566061519</v>
      </c>
      <c r="CF98" s="2875">
        <v>45213770</v>
      </c>
      <c r="CG98" s="2869">
        <v>9.0507639999999991</v>
      </c>
      <c r="CH98" s="2870">
        <v>28347012</v>
      </c>
      <c r="CI98" s="2870">
        <v>10326922</v>
      </c>
      <c r="CJ98" s="2870">
        <v>21029</v>
      </c>
      <c r="CK98" s="2870"/>
      <c r="CL98" s="2877">
        <v>4.2753255968225448</v>
      </c>
      <c r="CM98" s="2875">
        <v>38694963</v>
      </c>
      <c r="CN98" s="2872">
        <v>13.091747</v>
      </c>
      <c r="CO98" s="2870">
        <v>28216018</v>
      </c>
      <c r="CP98" s="2870">
        <v>14937683</v>
      </c>
      <c r="CQ98" s="2870">
        <v>9332</v>
      </c>
      <c r="CR98" s="2870"/>
      <c r="CS98" s="2877">
        <v>3.2969651032822433</v>
      </c>
      <c r="CT98" s="2875">
        <v>43163033</v>
      </c>
      <c r="CU98" s="2878">
        <v>453.15109900000004</v>
      </c>
      <c r="CV98" s="2870">
        <v>390755950</v>
      </c>
      <c r="CW98" s="2870">
        <v>537835351</v>
      </c>
      <c r="CX98" s="2870">
        <v>-728977</v>
      </c>
      <c r="CY98" s="2870">
        <v>0</v>
      </c>
      <c r="CZ98" s="2879">
        <v>2.0475782273232439</v>
      </c>
      <c r="DA98" s="2875">
        <v>927862324</v>
      </c>
      <c r="DJ98" s="1611" t="s">
        <v>1717</v>
      </c>
      <c r="DK98" s="2782" t="s">
        <v>1717</v>
      </c>
      <c r="DM98" s="1650">
        <v>1.1868786199280517</v>
      </c>
    </row>
    <row r="99" spans="1:117" ht="21" customHeight="1">
      <c r="A99" s="1652">
        <v>4</v>
      </c>
      <c r="B99" s="1644" t="s">
        <v>1726</v>
      </c>
      <c r="C99" s="1645">
        <v>480</v>
      </c>
      <c r="D99" s="1646">
        <v>20</v>
      </c>
      <c r="E99" s="1646">
        <v>93.605999999999995</v>
      </c>
      <c r="F99" s="1665">
        <v>1.2</v>
      </c>
      <c r="G99" s="1640"/>
      <c r="H99" s="1646">
        <v>96</v>
      </c>
      <c r="I99" s="1648" t="s">
        <v>1717</v>
      </c>
      <c r="J99" s="1649">
        <v>1</v>
      </c>
      <c r="K99" s="1648"/>
      <c r="L99" s="1640"/>
      <c r="M99" s="1640"/>
      <c r="N99" s="1642"/>
      <c r="O99" s="2876">
        <v>67.706433000000004</v>
      </c>
      <c r="P99" s="2870">
        <v>47709819</v>
      </c>
      <c r="Q99" s="2870">
        <v>55654688</v>
      </c>
      <c r="R99" s="2870">
        <v>42330</v>
      </c>
      <c r="S99" s="2870"/>
      <c r="T99" s="2870">
        <v>1.5272823041792793</v>
      </c>
      <c r="U99" s="2875">
        <v>103406837</v>
      </c>
      <c r="V99" s="2869">
        <v>70.924818999999999</v>
      </c>
      <c r="W99" s="2870">
        <v>49340795</v>
      </c>
      <c r="X99" s="2870">
        <v>58300201</v>
      </c>
      <c r="Y99" s="2870">
        <v>42246</v>
      </c>
      <c r="Z99" s="2870"/>
      <c r="AA99" s="2877">
        <v>1.5182730603796113</v>
      </c>
      <c r="AB99" s="2875">
        <v>107683242</v>
      </c>
      <c r="AC99" s="2869">
        <v>69.400593999999998</v>
      </c>
      <c r="AD99" s="2870">
        <v>47810035</v>
      </c>
      <c r="AE99" s="2870">
        <v>57047288</v>
      </c>
      <c r="AF99" s="2870">
        <v>42232</v>
      </c>
      <c r="AG99" s="2870"/>
      <c r="AH99" s="2877">
        <v>1.5115080283030431</v>
      </c>
      <c r="AI99" s="2875">
        <v>104899555</v>
      </c>
      <c r="AJ99" s="2869">
        <v>69.809915000000004</v>
      </c>
      <c r="AK99" s="2870">
        <v>49453545</v>
      </c>
      <c r="AL99" s="2870">
        <v>57383750</v>
      </c>
      <c r="AM99" s="2870">
        <v>42224</v>
      </c>
      <c r="AN99" s="2870"/>
      <c r="AO99" s="2877">
        <v>1.5310077229001067</v>
      </c>
      <c r="AP99" s="2875">
        <v>106879519</v>
      </c>
      <c r="AQ99" s="2869">
        <v>49.345858999999997</v>
      </c>
      <c r="AR99" s="2870">
        <v>37244042</v>
      </c>
      <c r="AS99" s="2870">
        <v>40562296</v>
      </c>
      <c r="AT99" s="2870">
        <v>42189</v>
      </c>
      <c r="AU99" s="2870"/>
      <c r="AV99" s="2877">
        <v>1.5776101293524953</v>
      </c>
      <c r="AW99" s="2875">
        <v>77848527</v>
      </c>
      <c r="AX99" s="2869">
        <v>53.997512</v>
      </c>
      <c r="AY99" s="2870">
        <v>42779569</v>
      </c>
      <c r="AZ99" s="2870">
        <v>44385955</v>
      </c>
      <c r="BA99" s="2870">
        <v>42162</v>
      </c>
      <c r="BB99" s="2870"/>
      <c r="BC99" s="2877">
        <v>1.6150315592318401</v>
      </c>
      <c r="BD99" s="2875">
        <v>87207686</v>
      </c>
      <c r="BE99" s="2869">
        <v>19.650777999999999</v>
      </c>
      <c r="BF99" s="2870">
        <v>43924887</v>
      </c>
      <c r="BG99" s="2870">
        <v>16152940</v>
      </c>
      <c r="BH99" s="2870">
        <v>42071</v>
      </c>
      <c r="BI99" s="2870"/>
      <c r="BJ99" s="2877">
        <v>3.0594156628302454</v>
      </c>
      <c r="BK99" s="2875">
        <v>60119898</v>
      </c>
      <c r="BL99" s="2869">
        <v>19.108902</v>
      </c>
      <c r="BM99" s="2870">
        <v>35549034</v>
      </c>
      <c r="BN99" s="2870">
        <v>15707517</v>
      </c>
      <c r="BO99" s="2870">
        <v>42048</v>
      </c>
      <c r="BP99" s="2870"/>
      <c r="BQ99" s="2877">
        <v>2.684539331459233</v>
      </c>
      <c r="BR99" s="2875">
        <v>51298599</v>
      </c>
      <c r="BS99" s="2869">
        <v>27.606833000000002</v>
      </c>
      <c r="BT99" s="2870">
        <v>22692817</v>
      </c>
      <c r="BU99" s="2870">
        <v>39021439</v>
      </c>
      <c r="BV99" s="2870">
        <v>41991</v>
      </c>
      <c r="BW99" s="2870"/>
      <c r="BX99" s="2877">
        <v>2.2369913636960819</v>
      </c>
      <c r="BY99" s="2875">
        <v>61756247</v>
      </c>
      <c r="BZ99" s="2869">
        <v>26.764068000000002</v>
      </c>
      <c r="CA99" s="2870">
        <v>38846264</v>
      </c>
      <c r="CB99" s="2870">
        <v>22000064</v>
      </c>
      <c r="CC99" s="2870">
        <v>41683</v>
      </c>
      <c r="CD99" s="2870"/>
      <c r="CE99" s="2877">
        <v>2.2749908945082638</v>
      </c>
      <c r="CF99" s="2875">
        <v>60888011</v>
      </c>
      <c r="CG99" s="2869">
        <v>32.058799</v>
      </c>
      <c r="CH99" s="2870">
        <v>38524574</v>
      </c>
      <c r="CI99" s="2870">
        <v>26352333</v>
      </c>
      <c r="CJ99" s="2870">
        <v>46976799</v>
      </c>
      <c r="CK99" s="2870"/>
      <c r="CL99" s="2877">
        <v>3.4890173521472216</v>
      </c>
      <c r="CM99" s="2875">
        <v>111853706</v>
      </c>
      <c r="CN99" s="2872">
        <v>69.852565999999996</v>
      </c>
      <c r="CO99" s="2870">
        <v>49910403</v>
      </c>
      <c r="CP99" s="2870">
        <v>57418810</v>
      </c>
      <c r="CQ99" s="2870">
        <v>-913677</v>
      </c>
      <c r="CR99" s="2870"/>
      <c r="CS99" s="2877">
        <v>1.5234305923707943</v>
      </c>
      <c r="CT99" s="2875">
        <v>106415536</v>
      </c>
      <c r="CU99" s="2878">
        <v>576.22707800000012</v>
      </c>
      <c r="CV99" s="2870">
        <v>503785784</v>
      </c>
      <c r="CW99" s="2870">
        <v>489987281</v>
      </c>
      <c r="CX99" s="2870">
        <v>46484298</v>
      </c>
      <c r="CY99" s="2870">
        <v>0</v>
      </c>
      <c r="CZ99" s="2879">
        <v>1.8052906618178741</v>
      </c>
      <c r="DA99" s="2875">
        <v>1040257363</v>
      </c>
      <c r="DJ99" s="1611" t="s">
        <v>1717</v>
      </c>
      <c r="DK99" s="2782" t="s">
        <v>1717</v>
      </c>
      <c r="DM99" s="1650">
        <v>0.85033713219565132</v>
      </c>
    </row>
    <row r="100" spans="1:117" ht="21" customHeight="1">
      <c r="A100" s="1652">
        <v>5</v>
      </c>
      <c r="B100" s="1644" t="s">
        <v>1727</v>
      </c>
      <c r="C100" s="1645">
        <v>300</v>
      </c>
      <c r="D100" s="1646">
        <v>20.666666666666668</v>
      </c>
      <c r="E100" s="1646">
        <v>54.895000000000003</v>
      </c>
      <c r="F100" s="1665">
        <v>1.2</v>
      </c>
      <c r="G100" s="1640"/>
      <c r="H100" s="1646">
        <v>62</v>
      </c>
      <c r="I100" s="1648" t="s">
        <v>1717</v>
      </c>
      <c r="J100" s="1649">
        <v>1</v>
      </c>
      <c r="K100" s="1648"/>
      <c r="L100" s="1640"/>
      <c r="M100" s="1640"/>
      <c r="N100" s="1642"/>
      <c r="O100" s="2876">
        <v>16.129605000000002</v>
      </c>
      <c r="P100" s="2870">
        <v>10532763</v>
      </c>
      <c r="Q100" s="2870">
        <v>16210253</v>
      </c>
      <c r="R100" s="2870">
        <v>30281</v>
      </c>
      <c r="S100" s="2870"/>
      <c r="T100" s="2870">
        <v>1.659885471466908</v>
      </c>
      <c r="U100" s="2875">
        <v>26773297</v>
      </c>
      <c r="V100" s="2869">
        <v>16.766400000000001</v>
      </c>
      <c r="W100" s="2870">
        <v>10883855</v>
      </c>
      <c r="X100" s="2870">
        <v>16850232</v>
      </c>
      <c r="Y100" s="2870">
        <v>30221</v>
      </c>
      <c r="Z100" s="2870"/>
      <c r="AA100" s="2877">
        <v>1.6559492795114037</v>
      </c>
      <c r="AB100" s="2875">
        <v>27764308</v>
      </c>
      <c r="AC100" s="2869">
        <v>16.963452</v>
      </c>
      <c r="AD100" s="2870">
        <v>11000682</v>
      </c>
      <c r="AE100" s="2870">
        <v>17048269</v>
      </c>
      <c r="AF100" s="2870">
        <v>31553</v>
      </c>
      <c r="AG100" s="2870"/>
      <c r="AH100" s="2877">
        <v>1.6553531675038784</v>
      </c>
      <c r="AI100" s="2875">
        <v>28080504</v>
      </c>
      <c r="AJ100" s="2869">
        <v>16.963452</v>
      </c>
      <c r="AK100" s="2870">
        <v>13784952</v>
      </c>
      <c r="AL100" s="2870">
        <v>20790365</v>
      </c>
      <c r="AM100" s="2870">
        <v>38256</v>
      </c>
      <c r="AN100" s="2870"/>
      <c r="AO100" s="2877">
        <v>2.0404793198931443</v>
      </c>
      <c r="AP100" s="2875">
        <v>34613573</v>
      </c>
      <c r="AQ100" s="2869">
        <v>20.729533</v>
      </c>
      <c r="AR100" s="2870">
        <v>13784952</v>
      </c>
      <c r="AS100" s="2870">
        <v>20833181</v>
      </c>
      <c r="AT100" s="2870">
        <v>38224</v>
      </c>
      <c r="AU100" s="2870"/>
      <c r="AV100" s="2877">
        <v>1.6718349130199894</v>
      </c>
      <c r="AW100" s="2875">
        <v>34656357</v>
      </c>
      <c r="AX100" s="2869">
        <v>20.025651</v>
      </c>
      <c r="AY100" s="2870">
        <v>13340276</v>
      </c>
      <c r="AZ100" s="2870">
        <v>20125779</v>
      </c>
      <c r="BA100" s="2870">
        <v>38200</v>
      </c>
      <c r="BB100" s="2870"/>
      <c r="BC100" s="2877">
        <v>1.6730669579730517</v>
      </c>
      <c r="BD100" s="2875">
        <v>33504255</v>
      </c>
      <c r="BE100" s="2869">
        <v>15.244457000000001</v>
      </c>
      <c r="BF100" s="2870">
        <v>17437909</v>
      </c>
      <c r="BG100" s="2870">
        <v>15320679</v>
      </c>
      <c r="BH100" s="2870">
        <v>34495</v>
      </c>
      <c r="BI100" s="2870"/>
      <c r="BJ100" s="2877">
        <v>2.1511479877571236</v>
      </c>
      <c r="BK100" s="2875">
        <v>32793083</v>
      </c>
      <c r="BL100" s="2869">
        <v>9.9478600000000004</v>
      </c>
      <c r="BM100" s="2870">
        <v>28614036</v>
      </c>
      <c r="BN100" s="2870">
        <v>9997599</v>
      </c>
      <c r="BO100" s="2870">
        <v>30079</v>
      </c>
      <c r="BP100" s="2870"/>
      <c r="BQ100" s="2877">
        <v>3.8844247908595415</v>
      </c>
      <c r="BR100" s="2875">
        <v>38641714</v>
      </c>
      <c r="BS100" s="2869">
        <v>8.2990480000000009</v>
      </c>
      <c r="BT100" s="2870">
        <v>8340543</v>
      </c>
      <c r="BU100" s="2870">
        <v>32651887</v>
      </c>
      <c r="BV100" s="2870">
        <v>30039</v>
      </c>
      <c r="BW100" s="2870"/>
      <c r="BX100" s="2877">
        <v>4.9430331045199392</v>
      </c>
      <c r="BY100" s="2875">
        <v>41022469</v>
      </c>
      <c r="BZ100" s="2869">
        <v>7.6112630000000001</v>
      </c>
      <c r="CA100" s="2870">
        <v>31832485</v>
      </c>
      <c r="CB100" s="2870">
        <v>7649319</v>
      </c>
      <c r="CC100" s="2870">
        <v>29818</v>
      </c>
      <c r="CD100" s="2870"/>
      <c r="CE100" s="2877">
        <v>5.1912044032639519</v>
      </c>
      <c r="CF100" s="2875">
        <v>39511622</v>
      </c>
      <c r="CG100" s="2869">
        <v>6.7526419999999998</v>
      </c>
      <c r="CH100" s="2870">
        <v>19618341</v>
      </c>
      <c r="CI100" s="2870">
        <v>6786405</v>
      </c>
      <c r="CJ100" s="2870">
        <v>10790927</v>
      </c>
      <c r="CK100" s="2870"/>
      <c r="CL100" s="2877">
        <v>5.5083140791411713</v>
      </c>
      <c r="CM100" s="2875">
        <v>37195673</v>
      </c>
      <c r="CN100" s="2872">
        <v>8.6765279999999994</v>
      </c>
      <c r="CO100" s="2870">
        <v>39660988</v>
      </c>
      <c r="CP100" s="2870">
        <v>8719913</v>
      </c>
      <c r="CQ100" s="2870">
        <v>29614</v>
      </c>
      <c r="CR100" s="2870"/>
      <c r="CS100" s="2877">
        <v>5.5794800639149669</v>
      </c>
      <c r="CT100" s="2875">
        <v>48410515</v>
      </c>
      <c r="CU100" s="2878">
        <v>164.109891</v>
      </c>
      <c r="CV100" s="2870">
        <v>218831782</v>
      </c>
      <c r="CW100" s="2870">
        <v>192983881</v>
      </c>
      <c r="CX100" s="2870">
        <v>11151707</v>
      </c>
      <c r="CY100" s="2870">
        <v>0</v>
      </c>
      <c r="CZ100" s="2879">
        <v>2.5773423370319586</v>
      </c>
      <c r="DA100" s="2875">
        <v>422967370</v>
      </c>
      <c r="DJ100" s="1611" t="s">
        <v>1717</v>
      </c>
      <c r="DK100" s="2782" t="s">
        <v>1717</v>
      </c>
      <c r="DM100" s="1650">
        <v>1.175943021009014</v>
      </c>
    </row>
    <row r="101" spans="1:117" ht="21" customHeight="1">
      <c r="A101" s="1652">
        <v>6</v>
      </c>
      <c r="B101" s="1644" t="s">
        <v>1728</v>
      </c>
      <c r="C101" s="1645">
        <v>280</v>
      </c>
      <c r="D101" s="1646">
        <v>20</v>
      </c>
      <c r="E101" s="1646">
        <v>98.988</v>
      </c>
      <c r="F101" s="1665">
        <v>1.2</v>
      </c>
      <c r="G101" s="1640"/>
      <c r="H101" s="1646">
        <v>56</v>
      </c>
      <c r="I101" s="1648" t="s">
        <v>1717</v>
      </c>
      <c r="J101" s="1649">
        <v>1</v>
      </c>
      <c r="K101" s="1648"/>
      <c r="L101" s="1640"/>
      <c r="M101" s="1640"/>
      <c r="N101" s="1642"/>
      <c r="O101" s="2876">
        <v>13.417081</v>
      </c>
      <c r="P101" s="2870">
        <v>33197351</v>
      </c>
      <c r="Q101" s="2870">
        <v>16301753</v>
      </c>
      <c r="R101" s="2870">
        <v>26970</v>
      </c>
      <c r="S101" s="2870"/>
      <c r="T101" s="2870">
        <v>3.6912704037487738</v>
      </c>
      <c r="U101" s="2875">
        <v>49526074</v>
      </c>
      <c r="V101" s="2869">
        <v>27.693324</v>
      </c>
      <c r="W101" s="2870">
        <v>34303930</v>
      </c>
      <c r="X101" s="2870">
        <v>33647389</v>
      </c>
      <c r="Y101" s="2870">
        <v>26916</v>
      </c>
      <c r="Z101" s="2870"/>
      <c r="AA101" s="2877">
        <v>2.4546795104841874</v>
      </c>
      <c r="AB101" s="2875">
        <v>67978235</v>
      </c>
      <c r="AC101" s="2869">
        <v>39.008325999999997</v>
      </c>
      <c r="AD101" s="2870">
        <v>34485245</v>
      </c>
      <c r="AE101" s="2870">
        <v>47395116</v>
      </c>
      <c r="AF101" s="2870">
        <v>27951</v>
      </c>
      <c r="AG101" s="2870"/>
      <c r="AH101" s="2877">
        <v>2.0997648553285777</v>
      </c>
      <c r="AI101" s="2875">
        <v>81908312</v>
      </c>
      <c r="AJ101" s="2869">
        <v>55.796743999999997</v>
      </c>
      <c r="AK101" s="2870">
        <v>42229975</v>
      </c>
      <c r="AL101" s="2870">
        <v>67793044</v>
      </c>
      <c r="AM101" s="2870">
        <v>33164</v>
      </c>
      <c r="AN101" s="2870"/>
      <c r="AO101" s="2877">
        <v>1.9724481234962383</v>
      </c>
      <c r="AP101" s="2875">
        <v>110056183</v>
      </c>
      <c r="AQ101" s="2869">
        <v>53.570044000000003</v>
      </c>
      <c r="AR101" s="2870">
        <v>40034842</v>
      </c>
      <c r="AS101" s="2870">
        <v>65087603</v>
      </c>
      <c r="AT101" s="2870">
        <v>33137</v>
      </c>
      <c r="AU101" s="2870"/>
      <c r="AV101" s="2877">
        <v>1.962954930557832</v>
      </c>
      <c r="AW101" s="2875">
        <v>105155582</v>
      </c>
      <c r="AX101" s="2869">
        <v>43.978636999999999</v>
      </c>
      <c r="AY101" s="2870">
        <v>41065068</v>
      </c>
      <c r="AZ101" s="2870">
        <v>53434044</v>
      </c>
      <c r="BA101" s="2870">
        <v>33116</v>
      </c>
      <c r="BB101" s="2870"/>
      <c r="BC101" s="2877">
        <v>2.1495033600063596</v>
      </c>
      <c r="BD101" s="2875">
        <v>94532228</v>
      </c>
      <c r="BE101" s="2869">
        <v>20.851302</v>
      </c>
      <c r="BF101" s="2870">
        <v>38812646</v>
      </c>
      <c r="BG101" s="2870">
        <v>25334332</v>
      </c>
      <c r="BH101" s="2870">
        <v>30224</v>
      </c>
      <c r="BI101" s="2870"/>
      <c r="BJ101" s="2877">
        <v>3.0778510617706272</v>
      </c>
      <c r="BK101" s="2875">
        <v>64177202</v>
      </c>
      <c r="BL101" s="2869">
        <v>8.3116369999999993</v>
      </c>
      <c r="BM101" s="2870">
        <v>33311205</v>
      </c>
      <c r="BN101" s="2870">
        <v>10098639</v>
      </c>
      <c r="BO101" s="2870">
        <v>26790</v>
      </c>
      <c r="BP101" s="2870"/>
      <c r="BQ101" s="2877">
        <v>5.2260022905235157</v>
      </c>
      <c r="BR101" s="2875">
        <v>43436634</v>
      </c>
      <c r="BS101" s="2869">
        <v>6.4435919999999998</v>
      </c>
      <c r="BT101" s="2870">
        <v>7828964</v>
      </c>
      <c r="BU101" s="2870">
        <v>34394928</v>
      </c>
      <c r="BV101" s="2870">
        <v>26754</v>
      </c>
      <c r="BW101" s="2870"/>
      <c r="BX101" s="2877">
        <v>6.5570020572376402</v>
      </c>
      <c r="BY101" s="2875">
        <v>42250646</v>
      </c>
      <c r="BZ101" s="2869">
        <v>5.719265</v>
      </c>
      <c r="CA101" s="2870">
        <v>33075121</v>
      </c>
      <c r="CB101" s="2870">
        <v>6948907</v>
      </c>
      <c r="CC101" s="2870">
        <v>26558</v>
      </c>
      <c r="CD101" s="2870"/>
      <c r="CE101" s="2877">
        <v>7.0027505282584386</v>
      </c>
      <c r="CF101" s="2875">
        <v>40050586</v>
      </c>
      <c r="CG101" s="2869">
        <v>1.2704139999999999</v>
      </c>
      <c r="CH101" s="2870">
        <v>7328561</v>
      </c>
      <c r="CI101" s="2870">
        <v>1543553</v>
      </c>
      <c r="CJ101" s="2870">
        <v>26322</v>
      </c>
      <c r="CK101" s="2870"/>
      <c r="CL101" s="2877">
        <v>7.0043592088878111</v>
      </c>
      <c r="CM101" s="2875">
        <v>8898436</v>
      </c>
      <c r="CN101" s="2872">
        <v>4.6193710000000001</v>
      </c>
      <c r="CO101" s="2870">
        <v>21924605</v>
      </c>
      <c r="CP101" s="2870">
        <v>5589637</v>
      </c>
      <c r="CQ101" s="2870">
        <v>-889623</v>
      </c>
      <c r="CR101" s="2870"/>
      <c r="CS101" s="2877">
        <v>5.7636892555285124</v>
      </c>
      <c r="CT101" s="2875">
        <v>26624619</v>
      </c>
      <c r="CU101" s="2878">
        <v>280.67973700000005</v>
      </c>
      <c r="CV101" s="2870">
        <v>367597513</v>
      </c>
      <c r="CW101" s="2870">
        <v>367568945</v>
      </c>
      <c r="CX101" s="2870">
        <v>-571721</v>
      </c>
      <c r="CY101" s="2870">
        <v>0</v>
      </c>
      <c r="CZ101" s="2879">
        <v>2.617199035639683</v>
      </c>
      <c r="DA101" s="2875">
        <v>734594737</v>
      </c>
      <c r="DJ101" s="1611" t="s">
        <v>1717</v>
      </c>
      <c r="DK101" s="2782" t="s">
        <v>1717</v>
      </c>
      <c r="DM101" s="1650">
        <v>1.3095670849940975</v>
      </c>
    </row>
    <row r="102" spans="1:117" ht="21" customHeight="1">
      <c r="A102" s="1652">
        <v>7</v>
      </c>
      <c r="B102" s="1644" t="s">
        <v>1729</v>
      </c>
      <c r="C102" s="1645">
        <v>390</v>
      </c>
      <c r="D102" s="1646">
        <v>21.794871794871796</v>
      </c>
      <c r="E102" s="1646">
        <v>79.745999999999995</v>
      </c>
      <c r="F102" s="1665">
        <v>1.2</v>
      </c>
      <c r="G102" s="1640"/>
      <c r="H102" s="1646">
        <v>85</v>
      </c>
      <c r="I102" s="1648" t="s">
        <v>1717</v>
      </c>
      <c r="J102" s="1649">
        <v>1</v>
      </c>
      <c r="K102" s="1648"/>
      <c r="L102" s="1640"/>
      <c r="M102" s="1640"/>
      <c r="N102" s="1642"/>
      <c r="O102" s="2876">
        <v>37.396498000000001</v>
      </c>
      <c r="P102" s="2870">
        <v>117981964</v>
      </c>
      <c r="Q102" s="2870">
        <v>102802973</v>
      </c>
      <c r="R102" s="2870">
        <v>40685</v>
      </c>
      <c r="S102" s="2870"/>
      <c r="T102" s="2870">
        <v>5.9049813166997618</v>
      </c>
      <c r="U102" s="2875">
        <v>220825622</v>
      </c>
      <c r="V102" s="2869">
        <v>67.732984000000002</v>
      </c>
      <c r="W102" s="2870">
        <v>121914697</v>
      </c>
      <c r="X102" s="2870">
        <v>186197973</v>
      </c>
      <c r="Y102" s="2870">
        <v>40604</v>
      </c>
      <c r="Z102" s="2870"/>
      <c r="AA102" s="2877">
        <v>4.549530462145297</v>
      </c>
      <c r="AB102" s="2875">
        <v>308153274</v>
      </c>
      <c r="AC102" s="2869">
        <v>65.579993999999999</v>
      </c>
      <c r="AD102" s="2870">
        <v>119525259</v>
      </c>
      <c r="AE102" s="2870">
        <v>180279404</v>
      </c>
      <c r="AF102" s="2870">
        <v>42041</v>
      </c>
      <c r="AG102" s="2870"/>
      <c r="AH102" s="2877">
        <v>4.5722282926710847</v>
      </c>
      <c r="AI102" s="2875">
        <v>299846704</v>
      </c>
      <c r="AJ102" s="2869">
        <v>80.408985999999999</v>
      </c>
      <c r="AK102" s="2870">
        <v>146312531</v>
      </c>
      <c r="AL102" s="2870">
        <v>221044303</v>
      </c>
      <c r="AM102" s="2870">
        <v>49289</v>
      </c>
      <c r="AN102" s="2870"/>
      <c r="AO102" s="2877">
        <v>4.5692172141058958</v>
      </c>
      <c r="AP102" s="2875">
        <v>367406123</v>
      </c>
      <c r="AQ102" s="2869">
        <v>80.176715000000002</v>
      </c>
      <c r="AR102" s="2870">
        <v>148064962</v>
      </c>
      <c r="AS102" s="2870">
        <v>220405790</v>
      </c>
      <c r="AT102" s="2870">
        <v>49247</v>
      </c>
      <c r="AU102" s="2870"/>
      <c r="AV102" s="2877">
        <v>4.5963469443715672</v>
      </c>
      <c r="AW102" s="2875">
        <v>368519999</v>
      </c>
      <c r="AX102" s="2869">
        <v>79.958594000000005</v>
      </c>
      <c r="AY102" s="2870">
        <v>143731734</v>
      </c>
      <c r="AZ102" s="2870">
        <v>219806175</v>
      </c>
      <c r="BA102" s="2870">
        <v>49216</v>
      </c>
      <c r="BB102" s="2870"/>
      <c r="BC102" s="2877">
        <v>4.5471925756973661</v>
      </c>
      <c r="BD102" s="2875">
        <v>363587125</v>
      </c>
      <c r="BE102" s="2869">
        <v>66.640512999999999</v>
      </c>
      <c r="BF102" s="2870">
        <v>137757420</v>
      </c>
      <c r="BG102" s="2870">
        <v>183194770</v>
      </c>
      <c r="BH102" s="2870">
        <v>45192</v>
      </c>
      <c r="BI102" s="2870"/>
      <c r="BJ102" s="2877">
        <v>4.816850404497937</v>
      </c>
      <c r="BK102" s="2875">
        <v>320997382</v>
      </c>
      <c r="BL102" s="2869">
        <v>26.025048000000002</v>
      </c>
      <c r="BM102" s="2870">
        <v>119293037</v>
      </c>
      <c r="BN102" s="2870">
        <v>66054146</v>
      </c>
      <c r="BO102" s="2870">
        <v>40414</v>
      </c>
      <c r="BP102" s="2870"/>
      <c r="BQ102" s="2877">
        <v>7.1234295898320728</v>
      </c>
      <c r="BR102" s="2875">
        <v>185387597</v>
      </c>
      <c r="BS102" s="2869">
        <v>22.095347</v>
      </c>
      <c r="BT102" s="2870">
        <v>26514416</v>
      </c>
      <c r="BU102" s="2870">
        <v>88825934</v>
      </c>
      <c r="BV102" s="2870">
        <v>40360</v>
      </c>
      <c r="BW102" s="2870"/>
      <c r="BX102" s="2877">
        <v>5.2219460504512556</v>
      </c>
      <c r="BY102" s="2875">
        <v>115380710</v>
      </c>
      <c r="BZ102" s="2869">
        <v>19.674848000000001</v>
      </c>
      <c r="CA102" s="2870">
        <v>103377009</v>
      </c>
      <c r="CB102" s="2870">
        <v>23609818</v>
      </c>
      <c r="CC102" s="2870">
        <v>40064</v>
      </c>
      <c r="CD102" s="2870"/>
      <c r="CE102" s="2877">
        <v>6.4563086332356923</v>
      </c>
      <c r="CF102" s="2875">
        <v>127026891</v>
      </c>
      <c r="CG102" s="2869">
        <v>14.94537</v>
      </c>
      <c r="CH102" s="2870">
        <v>111152491</v>
      </c>
      <c r="CI102" s="2870">
        <v>17934444</v>
      </c>
      <c r="CJ102" s="2870">
        <v>69217012</v>
      </c>
      <c r="CK102" s="2870"/>
      <c r="CL102" s="2877">
        <v>13.268587328383305</v>
      </c>
      <c r="CM102" s="2875">
        <v>198303947</v>
      </c>
      <c r="CN102" s="2872">
        <v>18.5046</v>
      </c>
      <c r="CO102" s="2870">
        <v>119875260</v>
      </c>
      <c r="CP102" s="2870">
        <v>11769588</v>
      </c>
      <c r="CQ102" s="2870">
        <v>-899695</v>
      </c>
      <c r="CR102" s="2870"/>
      <c r="CS102" s="2877">
        <v>7.0655487284242833</v>
      </c>
      <c r="CT102" s="2875">
        <v>130745153</v>
      </c>
      <c r="CU102" s="2878">
        <v>579.13949700000001</v>
      </c>
      <c r="CV102" s="2870">
        <v>1415500780</v>
      </c>
      <c r="CW102" s="2870">
        <v>1521925318</v>
      </c>
      <c r="CX102" s="2870">
        <v>68754429</v>
      </c>
      <c r="CY102" s="2870">
        <v>0</v>
      </c>
      <c r="CZ102" s="2879">
        <v>5.1907710362914514</v>
      </c>
      <c r="DA102" s="2875">
        <v>3006180527</v>
      </c>
      <c r="DJ102" s="1611" t="s">
        <v>1717</v>
      </c>
      <c r="DK102" s="2782" t="s">
        <v>1717</v>
      </c>
      <c r="DM102" s="1650">
        <v>2.6279080012392937</v>
      </c>
    </row>
    <row r="103" spans="1:117" ht="21" customHeight="1">
      <c r="A103" s="1652">
        <v>8</v>
      </c>
      <c r="B103" s="1644" t="s">
        <v>1730</v>
      </c>
      <c r="C103" s="1645">
        <v>120</v>
      </c>
      <c r="D103" s="1646">
        <v>22.5</v>
      </c>
      <c r="E103" s="1646">
        <v>109.04</v>
      </c>
      <c r="F103" s="1665">
        <v>1.2</v>
      </c>
      <c r="G103" s="1640"/>
      <c r="H103" s="1646">
        <v>27</v>
      </c>
      <c r="I103" s="1648" t="s">
        <v>1717</v>
      </c>
      <c r="J103" s="1649">
        <v>1</v>
      </c>
      <c r="K103" s="1648"/>
      <c r="L103" s="1640"/>
      <c r="M103" s="1640"/>
      <c r="N103" s="1642"/>
      <c r="O103" s="2876">
        <v>21.054189000000001</v>
      </c>
      <c r="P103" s="2870">
        <v>34664439</v>
      </c>
      <c r="Q103" s="2870">
        <v>55751492</v>
      </c>
      <c r="R103" s="2870">
        <v>12883</v>
      </c>
      <c r="S103" s="2870"/>
      <c r="T103" s="2870">
        <v>4.2950509278699833</v>
      </c>
      <c r="U103" s="2875">
        <v>90428814</v>
      </c>
      <c r="V103" s="2869">
        <v>21.729548999999999</v>
      </c>
      <c r="W103" s="2870">
        <v>35819921</v>
      </c>
      <c r="X103" s="2870">
        <v>57539846</v>
      </c>
      <c r="Y103" s="2870">
        <v>12857</v>
      </c>
      <c r="Z103" s="2870"/>
      <c r="AA103" s="2877">
        <v>4.2970346048139332</v>
      </c>
      <c r="AB103" s="2875">
        <v>93372624</v>
      </c>
      <c r="AC103" s="2869">
        <v>17.546299000000001</v>
      </c>
      <c r="AD103" s="2870">
        <v>35868184</v>
      </c>
      <c r="AE103" s="2870">
        <v>46462600</v>
      </c>
      <c r="AF103" s="2870">
        <v>13299</v>
      </c>
      <c r="AG103" s="2870"/>
      <c r="AH103" s="2877">
        <v>4.6929602077338357</v>
      </c>
      <c r="AI103" s="2875">
        <v>82344083</v>
      </c>
      <c r="AJ103" s="2869">
        <v>12.300913</v>
      </c>
      <c r="AK103" s="2870">
        <v>43286071</v>
      </c>
      <c r="AL103" s="2870">
        <v>32572818</v>
      </c>
      <c r="AM103" s="2870">
        <v>15529</v>
      </c>
      <c r="AN103" s="2870"/>
      <c r="AO103" s="2877">
        <v>6.1681940194195342</v>
      </c>
      <c r="AP103" s="2875">
        <v>75874418</v>
      </c>
      <c r="AQ103" s="2869">
        <v>14.402538</v>
      </c>
      <c r="AR103" s="2870">
        <v>43244405</v>
      </c>
      <c r="AS103" s="2870">
        <v>38137921</v>
      </c>
      <c r="AT103" s="2870">
        <v>15516</v>
      </c>
      <c r="AU103" s="2870"/>
      <c r="AV103" s="2877">
        <v>5.6516318165589983</v>
      </c>
      <c r="AW103" s="2875">
        <v>81397842</v>
      </c>
      <c r="AX103" s="2869">
        <v>9.0260130000000007</v>
      </c>
      <c r="AY103" s="2870">
        <v>33511873</v>
      </c>
      <c r="AZ103" s="2870">
        <v>23900882</v>
      </c>
      <c r="BA103" s="2870">
        <v>15506</v>
      </c>
      <c r="BB103" s="2870"/>
      <c r="BC103" s="2877">
        <v>6.3625280619471738</v>
      </c>
      <c r="BD103" s="2875">
        <v>57428261</v>
      </c>
      <c r="BE103" s="2869">
        <v>0</v>
      </c>
      <c r="BF103" s="2870">
        <v>0</v>
      </c>
      <c r="BG103" s="2870">
        <v>0</v>
      </c>
      <c r="BH103" s="2870">
        <v>14266</v>
      </c>
      <c r="BI103" s="2870"/>
      <c r="BJ103" s="2877">
        <v>0</v>
      </c>
      <c r="BK103" s="2875">
        <v>14266</v>
      </c>
      <c r="BL103" s="2869">
        <v>0</v>
      </c>
      <c r="BM103" s="2870">
        <v>0</v>
      </c>
      <c r="BN103" s="2870">
        <v>0</v>
      </c>
      <c r="BO103" s="2870">
        <v>12797</v>
      </c>
      <c r="BP103" s="2870"/>
      <c r="BQ103" s="2877">
        <v>0</v>
      </c>
      <c r="BR103" s="2875">
        <v>12797</v>
      </c>
      <c r="BS103" s="2869">
        <v>0</v>
      </c>
      <c r="BT103" s="2870">
        <v>0</v>
      </c>
      <c r="BU103" s="2870">
        <v>0</v>
      </c>
      <c r="BV103" s="2870">
        <v>12779</v>
      </c>
      <c r="BW103" s="2870"/>
      <c r="BX103" s="2877">
        <v>0</v>
      </c>
      <c r="BY103" s="2875">
        <v>12779</v>
      </c>
      <c r="BZ103" s="2869">
        <v>0</v>
      </c>
      <c r="CA103" s="2870">
        <v>0</v>
      </c>
      <c r="CB103" s="2870">
        <v>0</v>
      </c>
      <c r="CC103" s="2870">
        <v>12686</v>
      </c>
      <c r="CD103" s="2870"/>
      <c r="CE103" s="2877">
        <v>0</v>
      </c>
      <c r="CF103" s="2875">
        <v>12686</v>
      </c>
      <c r="CG103" s="2869">
        <v>0</v>
      </c>
      <c r="CH103" s="2870">
        <v>0</v>
      </c>
      <c r="CI103" s="2870">
        <v>0</v>
      </c>
      <c r="CJ103" s="2870">
        <v>13326120</v>
      </c>
      <c r="CK103" s="2870"/>
      <c r="CL103" s="2877">
        <v>0</v>
      </c>
      <c r="CM103" s="2875">
        <v>13326120</v>
      </c>
      <c r="CN103" s="2872">
        <v>-5.1735000000000003E-2</v>
      </c>
      <c r="CO103" s="2870">
        <v>-8654186</v>
      </c>
      <c r="CP103" s="2870">
        <v>-136994</v>
      </c>
      <c r="CQ103" s="2870">
        <v>13314</v>
      </c>
      <c r="CR103" s="2870"/>
      <c r="CS103" s="2877">
        <v>169.66977867981058</v>
      </c>
      <c r="CT103" s="2875">
        <v>-8777866</v>
      </c>
      <c r="CU103" s="2878">
        <v>96.007766000000018</v>
      </c>
      <c r="CV103" s="2870">
        <v>217740707</v>
      </c>
      <c r="CW103" s="2870">
        <v>254228565</v>
      </c>
      <c r="CX103" s="2870">
        <v>13477552</v>
      </c>
      <c r="CY103" s="2870">
        <v>0</v>
      </c>
      <c r="CZ103" s="2879">
        <v>5.0563287140750672</v>
      </c>
      <c r="DA103" s="2875">
        <v>485446824</v>
      </c>
      <c r="DJ103" s="1611" t="s">
        <v>1717</v>
      </c>
      <c r="DK103" s="2782" t="s">
        <v>1717</v>
      </c>
      <c r="DM103" s="1650">
        <v>2.6480000065828002</v>
      </c>
    </row>
    <row r="104" spans="1:117" ht="21" customHeight="1">
      <c r="A104" s="1652">
        <v>9</v>
      </c>
      <c r="B104" s="1644" t="s">
        <v>1731</v>
      </c>
      <c r="C104" s="1645">
        <v>231</v>
      </c>
      <c r="D104" s="1646">
        <v>20.346320346320347</v>
      </c>
      <c r="E104" s="1646">
        <v>93.159000000000006</v>
      </c>
      <c r="F104" s="1665">
        <v>1.2</v>
      </c>
      <c r="G104" s="1640"/>
      <c r="H104" s="1646">
        <v>47</v>
      </c>
      <c r="I104" s="1648" t="s">
        <v>1717</v>
      </c>
      <c r="J104" s="1649">
        <v>1</v>
      </c>
      <c r="K104" s="1648"/>
      <c r="L104" s="1640"/>
      <c r="M104" s="1640"/>
      <c r="N104" s="1642"/>
      <c r="O104" s="2876">
        <v>17.849837000000001</v>
      </c>
      <c r="P104" s="2870">
        <v>47280044</v>
      </c>
      <c r="Q104" s="2870">
        <v>35164180</v>
      </c>
      <c r="R104" s="2870">
        <v>22406</v>
      </c>
      <c r="S104" s="2870"/>
      <c r="T104" s="2870">
        <v>4.6200214601399443</v>
      </c>
      <c r="U104" s="2875">
        <v>82466630</v>
      </c>
      <c r="V104" s="2869">
        <v>31.347951999999999</v>
      </c>
      <c r="W104" s="2870">
        <v>48856046</v>
      </c>
      <c r="X104" s="2870">
        <v>61755466</v>
      </c>
      <c r="Y104" s="2870">
        <v>22362</v>
      </c>
      <c r="Z104" s="2870"/>
      <c r="AA104" s="2877">
        <v>3.5292217494782436</v>
      </c>
      <c r="AB104" s="2875">
        <v>110633874</v>
      </c>
      <c r="AC104" s="2869">
        <v>37.258783000000001</v>
      </c>
      <c r="AD104" s="2870">
        <v>49099332</v>
      </c>
      <c r="AE104" s="2870">
        <v>73399804</v>
      </c>
      <c r="AF104" s="2870">
        <v>23215</v>
      </c>
      <c r="AG104" s="2870"/>
      <c r="AH104" s="2877">
        <v>3.2884152711053392</v>
      </c>
      <c r="AI104" s="2875">
        <v>122522351</v>
      </c>
      <c r="AJ104" s="2869">
        <v>44.933681</v>
      </c>
      <c r="AK104" s="2870">
        <v>58187308</v>
      </c>
      <c r="AL104" s="2870">
        <v>88519353</v>
      </c>
      <c r="AM104" s="2870">
        <v>27506</v>
      </c>
      <c r="AN104" s="2870"/>
      <c r="AO104" s="2877">
        <v>3.2655719214279375</v>
      </c>
      <c r="AP104" s="2875">
        <v>146734167</v>
      </c>
      <c r="AQ104" s="2869">
        <v>42.101664</v>
      </c>
      <c r="AR104" s="2870">
        <v>55278114</v>
      </c>
      <c r="AS104" s="2870">
        <v>82940279</v>
      </c>
      <c r="AT104" s="2870">
        <v>27483</v>
      </c>
      <c r="AU104" s="2870"/>
      <c r="AV104" s="2877">
        <v>3.2836202388580178</v>
      </c>
      <c r="AW104" s="2875">
        <v>138245876</v>
      </c>
      <c r="AX104" s="2869">
        <v>31.850930000000002</v>
      </c>
      <c r="AY104" s="2870">
        <v>58187198</v>
      </c>
      <c r="AZ104" s="2870">
        <v>62746333</v>
      </c>
      <c r="BA104" s="2870">
        <v>27466</v>
      </c>
      <c r="BB104" s="2870"/>
      <c r="BC104" s="2877">
        <v>3.7977226096694823</v>
      </c>
      <c r="BD104" s="2875">
        <v>120960997</v>
      </c>
      <c r="BE104" s="2869">
        <v>12.680046000000001</v>
      </c>
      <c r="BF104" s="2870">
        <v>55036123</v>
      </c>
      <c r="BG104" s="2870">
        <v>24979692</v>
      </c>
      <c r="BH104" s="2870">
        <v>25087</v>
      </c>
      <c r="BI104" s="2870"/>
      <c r="BJ104" s="2877">
        <v>6.3123510750670775</v>
      </c>
      <c r="BK104" s="2875">
        <v>80040902</v>
      </c>
      <c r="BL104" s="2869">
        <v>5.8052669999999997</v>
      </c>
      <c r="BM104" s="2870">
        <v>47280044</v>
      </c>
      <c r="BN104" s="2870">
        <v>11436377</v>
      </c>
      <c r="BO104" s="2870">
        <v>22257</v>
      </c>
      <c r="BP104" s="2870"/>
      <c r="BQ104" s="2877">
        <v>10.118169930857617</v>
      </c>
      <c r="BR104" s="2875">
        <v>58738678</v>
      </c>
      <c r="BS104" s="2869">
        <v>3.5655489999999999</v>
      </c>
      <c r="BT104" s="2870">
        <v>7024132</v>
      </c>
      <c r="BU104" s="2870">
        <v>33201465</v>
      </c>
      <c r="BV104" s="2870">
        <v>22227</v>
      </c>
      <c r="BW104" s="2870"/>
      <c r="BX104" s="2877">
        <v>11.287973885648466</v>
      </c>
      <c r="BY104" s="2875">
        <v>40247824</v>
      </c>
      <c r="BZ104" s="2869">
        <v>4.1574010000000001</v>
      </c>
      <c r="CA104" s="2870">
        <v>35094231</v>
      </c>
      <c r="CB104" s="2870">
        <v>8190080</v>
      </c>
      <c r="CC104" s="2870">
        <v>22064</v>
      </c>
      <c r="CD104" s="2870"/>
      <c r="CE104" s="2877">
        <v>10.416694227956361</v>
      </c>
      <c r="CF104" s="2875">
        <v>43306375</v>
      </c>
      <c r="CG104" s="2869">
        <v>4.2530520000000003</v>
      </c>
      <c r="CH104" s="2870">
        <v>38164943</v>
      </c>
      <c r="CI104" s="2870">
        <v>8378512</v>
      </c>
      <c r="CJ104" s="2870">
        <v>21859</v>
      </c>
      <c r="CK104" s="2870"/>
      <c r="CL104" s="2877">
        <v>10.94868202881131</v>
      </c>
      <c r="CM104" s="2875">
        <v>46565314</v>
      </c>
      <c r="CN104" s="2872">
        <v>5.2774720000000004</v>
      </c>
      <c r="CO104" s="2870">
        <v>45411436</v>
      </c>
      <c r="CP104" s="2870">
        <v>10396619</v>
      </c>
      <c r="CQ104" s="2870">
        <v>21909</v>
      </c>
      <c r="CR104" s="2870"/>
      <c r="CS104" s="2877">
        <v>10.578921877747527</v>
      </c>
      <c r="CT104" s="2875">
        <v>55829964</v>
      </c>
      <c r="CU104" s="2878">
        <v>241.08163399999998</v>
      </c>
      <c r="CV104" s="2870">
        <v>544898951</v>
      </c>
      <c r="CW104" s="2870">
        <v>501108160</v>
      </c>
      <c r="CX104" s="2870">
        <v>285841</v>
      </c>
      <c r="CY104" s="2870">
        <v>0</v>
      </c>
      <c r="CZ104" s="2879">
        <v>4.339994443541892</v>
      </c>
      <c r="DA104" s="2875">
        <v>1046292952</v>
      </c>
      <c r="DJ104" s="1611" t="s">
        <v>1717</v>
      </c>
      <c r="DK104" s="2782" t="s">
        <v>1717</v>
      </c>
      <c r="DM104" s="1650">
        <v>2.0785828919676232</v>
      </c>
    </row>
    <row r="105" spans="1:117" ht="21" customHeight="1">
      <c r="A105" s="1652">
        <v>10</v>
      </c>
      <c r="B105" s="1644" t="s">
        <v>1732</v>
      </c>
      <c r="C105" s="1645">
        <v>240</v>
      </c>
      <c r="D105" s="1646">
        <v>26.25</v>
      </c>
      <c r="E105" s="1646">
        <v>97.91</v>
      </c>
      <c r="F105" s="1665">
        <v>1.2</v>
      </c>
      <c r="G105" s="1640"/>
      <c r="H105" s="1646">
        <v>63</v>
      </c>
      <c r="I105" s="1648" t="s">
        <v>1717</v>
      </c>
      <c r="J105" s="1649">
        <v>1</v>
      </c>
      <c r="K105" s="1648"/>
      <c r="L105" s="1640"/>
      <c r="M105" s="1640"/>
      <c r="N105" s="1642"/>
      <c r="O105" s="2876">
        <v>36.046978000000003</v>
      </c>
      <c r="P105" s="2870">
        <v>61898698</v>
      </c>
      <c r="Q105" s="2870">
        <v>76852157</v>
      </c>
      <c r="R105" s="2870">
        <v>22289</v>
      </c>
      <c r="S105" s="2870"/>
      <c r="T105" s="2870">
        <v>3.8497857989648954</v>
      </c>
      <c r="U105" s="2875">
        <v>138773144</v>
      </c>
      <c r="V105" s="2869">
        <v>37.281629000000002</v>
      </c>
      <c r="W105" s="2870">
        <v>64209474</v>
      </c>
      <c r="X105" s="2870">
        <v>79484433</v>
      </c>
      <c r="Y105" s="2870">
        <v>22244</v>
      </c>
      <c r="Z105" s="2870"/>
      <c r="AA105" s="2877">
        <v>3.85487852475545</v>
      </c>
      <c r="AB105" s="2875">
        <v>143716151</v>
      </c>
      <c r="AC105" s="2869">
        <v>36.097399000000003</v>
      </c>
      <c r="AD105" s="2870">
        <v>65573818</v>
      </c>
      <c r="AE105" s="2870">
        <v>76959655</v>
      </c>
      <c r="AF105" s="2870">
        <v>23466</v>
      </c>
      <c r="AG105" s="2870"/>
      <c r="AH105" s="2877">
        <v>3.9492302201607381</v>
      </c>
      <c r="AI105" s="2875">
        <v>142556939</v>
      </c>
      <c r="AJ105" s="2869">
        <v>49.780973000000003</v>
      </c>
      <c r="AK105" s="2870">
        <v>85516381</v>
      </c>
      <c r="AL105" s="2870">
        <v>106133034</v>
      </c>
      <c r="AM105" s="2870">
        <v>29610</v>
      </c>
      <c r="AN105" s="2870"/>
      <c r="AO105" s="2877">
        <v>3.8504475394645259</v>
      </c>
      <c r="AP105" s="2875">
        <v>191679025</v>
      </c>
      <c r="AQ105" s="2869">
        <v>41.832521</v>
      </c>
      <c r="AR105" s="2870">
        <v>85164150</v>
      </c>
      <c r="AS105" s="2870">
        <v>89186935</v>
      </c>
      <c r="AT105" s="2870">
        <v>29586</v>
      </c>
      <c r="AU105" s="2870"/>
      <c r="AV105" s="2877">
        <v>4.1685432011137937</v>
      </c>
      <c r="AW105" s="2875">
        <v>174380671</v>
      </c>
      <c r="AX105" s="2869">
        <v>41.866230000000002</v>
      </c>
      <c r="AY105" s="2870">
        <v>82076050</v>
      </c>
      <c r="AZ105" s="2870">
        <v>89258802</v>
      </c>
      <c r="BA105" s="2870">
        <v>29567</v>
      </c>
      <c r="BB105" s="2870"/>
      <c r="BC105" s="2877">
        <v>4.0931418711453125</v>
      </c>
      <c r="BD105" s="2875">
        <v>171364419</v>
      </c>
      <c r="BE105" s="2869">
        <v>16.429141000000001</v>
      </c>
      <c r="BF105" s="2870">
        <v>64403282</v>
      </c>
      <c r="BG105" s="2870">
        <v>35026929</v>
      </c>
      <c r="BH105" s="2870">
        <v>26183</v>
      </c>
      <c r="BI105" s="2870"/>
      <c r="BJ105" s="2877">
        <v>6.0536575831931803</v>
      </c>
      <c r="BK105" s="2875">
        <v>99456394</v>
      </c>
      <c r="BL105" s="2869">
        <v>12.393072999999999</v>
      </c>
      <c r="BM105" s="2870">
        <v>47770936</v>
      </c>
      <c r="BN105" s="2870">
        <v>26422032</v>
      </c>
      <c r="BO105" s="2870">
        <v>22140</v>
      </c>
      <c r="BP105" s="2870"/>
      <c r="BQ105" s="2877">
        <v>5.9884346683022036</v>
      </c>
      <c r="BR105" s="2875">
        <v>74215108</v>
      </c>
      <c r="BS105" s="2869">
        <v>16.832132000000001</v>
      </c>
      <c r="BT105" s="2870">
        <v>21278911</v>
      </c>
      <c r="BU105" s="2870">
        <v>58559133</v>
      </c>
      <c r="BV105" s="2870">
        <v>-849673</v>
      </c>
      <c r="BW105" s="2870"/>
      <c r="BX105" s="2877">
        <v>4.6927133770101142</v>
      </c>
      <c r="BY105" s="2875">
        <v>78988371</v>
      </c>
      <c r="BZ105" s="2869">
        <v>16.046707999999999</v>
      </c>
      <c r="CA105" s="2870">
        <v>59987034</v>
      </c>
      <c r="CB105" s="2870">
        <v>19256050</v>
      </c>
      <c r="CC105" s="2870">
        <v>-26531</v>
      </c>
      <c r="CD105" s="2870"/>
      <c r="CE105" s="2877">
        <v>4.936623324858906</v>
      </c>
      <c r="CF105" s="2875">
        <v>79216553</v>
      </c>
      <c r="CG105" s="2869">
        <v>20.776139000000001</v>
      </c>
      <c r="CH105" s="2870">
        <v>57335455</v>
      </c>
      <c r="CI105" s="2870">
        <v>24931367</v>
      </c>
      <c r="CJ105" s="2870">
        <v>59160547</v>
      </c>
      <c r="CK105" s="2870"/>
      <c r="CL105" s="2877">
        <v>6.8072017134656253</v>
      </c>
      <c r="CM105" s="2875">
        <v>141427369</v>
      </c>
      <c r="CN105" s="2872">
        <v>37.115605000000002</v>
      </c>
      <c r="CO105" s="2870">
        <v>61306091</v>
      </c>
      <c r="CP105" s="2870">
        <v>35772211</v>
      </c>
      <c r="CQ105" s="2870">
        <v>-3930098</v>
      </c>
      <c r="CR105" s="2870"/>
      <c r="CS105" s="2877">
        <v>2.5096776409814687</v>
      </c>
      <c r="CT105" s="2875">
        <v>93148204</v>
      </c>
      <c r="CU105" s="2878">
        <v>362.49852800000002</v>
      </c>
      <c r="CV105" s="2870">
        <v>756520280</v>
      </c>
      <c r="CW105" s="2870">
        <v>717842738</v>
      </c>
      <c r="CX105" s="2870">
        <v>54559330</v>
      </c>
      <c r="CY105" s="2870">
        <v>0</v>
      </c>
      <c r="CZ105" s="2879">
        <v>4.21773394897758</v>
      </c>
      <c r="DA105" s="2875">
        <v>1528922348</v>
      </c>
      <c r="DJ105" s="1611" t="s">
        <v>1717</v>
      </c>
      <c r="DK105" s="2782" t="s">
        <v>1717</v>
      </c>
      <c r="DM105" s="1650">
        <v>1.9802638702025295</v>
      </c>
    </row>
    <row r="106" spans="1:117" ht="21" customHeight="1">
      <c r="A106" s="1652">
        <v>11</v>
      </c>
      <c r="B106" s="1644" t="s">
        <v>1733</v>
      </c>
      <c r="C106" s="1645">
        <v>520</v>
      </c>
      <c r="D106" s="1646">
        <v>26.153846153846157</v>
      </c>
      <c r="E106" s="1646">
        <v>43</v>
      </c>
      <c r="F106" s="1665">
        <v>1.2</v>
      </c>
      <c r="G106" s="1640"/>
      <c r="H106" s="1646">
        <v>136</v>
      </c>
      <c r="I106" s="1648" t="s">
        <v>1717</v>
      </c>
      <c r="J106" s="1649">
        <v>1</v>
      </c>
      <c r="K106" s="1648"/>
      <c r="L106" s="1640"/>
      <c r="M106" s="1640"/>
      <c r="N106" s="1642"/>
      <c r="O106" s="2876">
        <v>6.0544609999999999</v>
      </c>
      <c r="P106" s="2870">
        <v>54160906</v>
      </c>
      <c r="Q106" s="2870">
        <v>9317815</v>
      </c>
      <c r="R106" s="2870">
        <v>50452</v>
      </c>
      <c r="S106" s="2870"/>
      <c r="T106" s="2870">
        <v>10.492952717013125</v>
      </c>
      <c r="U106" s="2875">
        <v>63529173</v>
      </c>
      <c r="V106" s="2869">
        <v>11.342589</v>
      </c>
      <c r="W106" s="2870">
        <v>55966269</v>
      </c>
      <c r="X106" s="2870">
        <v>17456244</v>
      </c>
      <c r="Y106" s="2870">
        <v>50352</v>
      </c>
      <c r="Z106" s="2870"/>
      <c r="AA106" s="2877">
        <v>6.4776097414796565</v>
      </c>
      <c r="AB106" s="2875">
        <v>73472865</v>
      </c>
      <c r="AC106" s="2869">
        <v>22.145056</v>
      </c>
      <c r="AD106" s="2870">
        <v>56241941</v>
      </c>
      <c r="AE106" s="2870">
        <v>34081241</v>
      </c>
      <c r="AF106" s="2870">
        <v>52268</v>
      </c>
      <c r="AG106" s="2870"/>
      <c r="AH106" s="2877">
        <v>4.0810666723985705</v>
      </c>
      <c r="AI106" s="2875">
        <v>90375450</v>
      </c>
      <c r="AJ106" s="2869">
        <v>34.864817000000002</v>
      </c>
      <c r="AK106" s="2870">
        <v>68873760</v>
      </c>
      <c r="AL106" s="2870">
        <v>53656953</v>
      </c>
      <c r="AM106" s="2870">
        <v>61933</v>
      </c>
      <c r="AN106" s="2870"/>
      <c r="AO106" s="2877">
        <v>3.5162280071626362</v>
      </c>
      <c r="AP106" s="2875">
        <v>122592646</v>
      </c>
      <c r="AQ106" s="2869">
        <v>37.816498000000003</v>
      </c>
      <c r="AR106" s="2870">
        <v>68873760</v>
      </c>
      <c r="AS106" s="2870">
        <v>58199590</v>
      </c>
      <c r="AT106" s="2870">
        <v>61882</v>
      </c>
      <c r="AU106" s="2870"/>
      <c r="AV106" s="2877">
        <v>3.3618986083798665</v>
      </c>
      <c r="AW106" s="2875">
        <v>127135232</v>
      </c>
      <c r="AX106" s="2869">
        <v>19.505973000000001</v>
      </c>
      <c r="AY106" s="2870">
        <v>66652026</v>
      </c>
      <c r="AZ106" s="2870">
        <v>30019692</v>
      </c>
      <c r="BA106" s="2870">
        <v>61842</v>
      </c>
      <c r="BB106" s="2870"/>
      <c r="BC106" s="2877">
        <v>4.9591763507516387</v>
      </c>
      <c r="BD106" s="2875">
        <v>96733560</v>
      </c>
      <c r="BE106" s="2869">
        <v>7.8195379999999997</v>
      </c>
      <c r="BF106" s="2870">
        <v>63031155</v>
      </c>
      <c r="BG106" s="2870">
        <v>12034269</v>
      </c>
      <c r="BH106" s="2870">
        <v>56474</v>
      </c>
      <c r="BI106" s="2870"/>
      <c r="BJ106" s="2877">
        <v>9.6069483900455506</v>
      </c>
      <c r="BK106" s="2875">
        <v>75121898</v>
      </c>
      <c r="BL106" s="2869">
        <v>3.7786029999999999</v>
      </c>
      <c r="BM106" s="2870">
        <v>43892002</v>
      </c>
      <c r="BN106" s="2870">
        <v>5815270</v>
      </c>
      <c r="BO106" s="2870">
        <v>50094</v>
      </c>
      <c r="BP106" s="2870"/>
      <c r="BQ106" s="2877">
        <v>13.168190995455198</v>
      </c>
      <c r="BR106" s="2875">
        <v>49757366</v>
      </c>
      <c r="BS106" s="2869">
        <v>3.0078809999999998</v>
      </c>
      <c r="BT106" s="2870">
        <v>4629129</v>
      </c>
      <c r="BU106" s="2870">
        <v>34968273</v>
      </c>
      <c r="BV106" s="2870">
        <v>50026</v>
      </c>
      <c r="BW106" s="2870"/>
      <c r="BX106" s="2877">
        <v>13.181182367254555</v>
      </c>
      <c r="BY106" s="2875">
        <v>39647428</v>
      </c>
      <c r="BZ106" s="2869">
        <v>2.3228360000000001</v>
      </c>
      <c r="CA106" s="2870">
        <v>17493894</v>
      </c>
      <c r="CB106" s="2870">
        <v>3574845</v>
      </c>
      <c r="CC106" s="2870">
        <v>49659</v>
      </c>
      <c r="CD106" s="2870"/>
      <c r="CE106" s="2877">
        <v>9.0916440075838327</v>
      </c>
      <c r="CF106" s="2875">
        <v>21118398</v>
      </c>
      <c r="CG106" s="2869">
        <v>1.8199529999999999</v>
      </c>
      <c r="CH106" s="2870">
        <v>21050436</v>
      </c>
      <c r="CI106" s="2870">
        <v>2800908</v>
      </c>
      <c r="CJ106" s="2870">
        <v>49196</v>
      </c>
      <c r="CK106" s="2870"/>
      <c r="CL106" s="2877">
        <v>13.132503971256401</v>
      </c>
      <c r="CM106" s="2875">
        <v>23900540</v>
      </c>
      <c r="CN106" s="2872">
        <v>2.182715</v>
      </c>
      <c r="CO106" s="2870">
        <v>154868592</v>
      </c>
      <c r="CP106" s="2870">
        <v>3359200</v>
      </c>
      <c r="CQ106" s="2870">
        <v>49273</v>
      </c>
      <c r="CR106" s="2870"/>
      <c r="CS106" s="2877">
        <v>72.513848578490553</v>
      </c>
      <c r="CT106" s="2875">
        <v>158277065</v>
      </c>
      <c r="CU106" s="2878">
        <v>152.66092</v>
      </c>
      <c r="CV106" s="2870">
        <v>675733870</v>
      </c>
      <c r="CW106" s="2870">
        <v>265284300</v>
      </c>
      <c r="CX106" s="2870">
        <v>643451</v>
      </c>
      <c r="CY106" s="2870">
        <v>0</v>
      </c>
      <c r="CZ106" s="2879">
        <v>6.1683214079936111</v>
      </c>
      <c r="DA106" s="2875">
        <v>941661621</v>
      </c>
      <c r="DJ106" s="1611" t="s">
        <v>1717</v>
      </c>
      <c r="DK106" s="2782" t="s">
        <v>1717</v>
      </c>
      <c r="DM106" s="1650">
        <v>1.7377354990393088</v>
      </c>
    </row>
    <row r="107" spans="1:117" ht="21" customHeight="1">
      <c r="A107" s="1652">
        <v>12</v>
      </c>
      <c r="B107" s="1644" t="s">
        <v>1734</v>
      </c>
      <c r="C107" s="1645">
        <v>330</v>
      </c>
      <c r="D107" s="1646">
        <v>41.696969696969695</v>
      </c>
      <c r="E107" s="1646">
        <v>48.917000000000002</v>
      </c>
      <c r="F107" s="1665">
        <v>1.2</v>
      </c>
      <c r="G107" s="1640"/>
      <c r="H107" s="1646">
        <v>137.6</v>
      </c>
      <c r="I107" s="1648" t="s">
        <v>1717</v>
      </c>
      <c r="J107" s="1649">
        <v>1</v>
      </c>
      <c r="K107" s="1648"/>
      <c r="L107" s="1640"/>
      <c r="M107" s="1640"/>
      <c r="N107" s="1642"/>
      <c r="O107" s="2876">
        <v>3.7443550000000001</v>
      </c>
      <c r="P107" s="2870">
        <v>6023928</v>
      </c>
      <c r="Q107" s="2870">
        <v>7372635</v>
      </c>
      <c r="R107" s="2870">
        <v>63266</v>
      </c>
      <c r="S107" s="2870"/>
      <c r="T107" s="2870">
        <v>3.5946989534913221</v>
      </c>
      <c r="U107" s="2875">
        <v>13459829</v>
      </c>
      <c r="V107" s="2869">
        <v>59.488235000000003</v>
      </c>
      <c r="W107" s="2870">
        <v>78814988</v>
      </c>
      <c r="X107" s="2870">
        <v>117132335</v>
      </c>
      <c r="Y107" s="2870">
        <v>63140</v>
      </c>
      <c r="Z107" s="2870"/>
      <c r="AA107" s="2877">
        <v>3.2949450088744436</v>
      </c>
      <c r="AB107" s="2875">
        <v>196010463</v>
      </c>
      <c r="AC107" s="2869">
        <v>60.602935000000002</v>
      </c>
      <c r="AD107" s="2870">
        <v>80642471</v>
      </c>
      <c r="AE107" s="2870">
        <v>119327179</v>
      </c>
      <c r="AF107" s="2870">
        <v>64350</v>
      </c>
      <c r="AG107" s="2870"/>
      <c r="AH107" s="2877">
        <v>3.3007312269612026</v>
      </c>
      <c r="AI107" s="2875">
        <v>200034000</v>
      </c>
      <c r="AJ107" s="2869">
        <v>79.703676000000002</v>
      </c>
      <c r="AK107" s="2870">
        <v>104768122</v>
      </c>
      <c r="AL107" s="2870">
        <v>156936538</v>
      </c>
      <c r="AM107" s="2870">
        <v>70489</v>
      </c>
      <c r="AN107" s="2870"/>
      <c r="AO107" s="2877">
        <v>3.284354776811047</v>
      </c>
      <c r="AP107" s="2875">
        <v>261775149</v>
      </c>
      <c r="AQ107" s="2869">
        <v>79.462560999999994</v>
      </c>
      <c r="AR107" s="2870">
        <v>104768122</v>
      </c>
      <c r="AS107" s="2870">
        <v>156461783</v>
      </c>
      <c r="AT107" s="2870">
        <v>70430</v>
      </c>
      <c r="AU107" s="2870"/>
      <c r="AV107" s="2877">
        <v>3.2883452497837315</v>
      </c>
      <c r="AW107" s="2875">
        <v>261300335</v>
      </c>
      <c r="AX107" s="2869">
        <v>66.099436999999995</v>
      </c>
      <c r="AY107" s="2870">
        <v>103205870</v>
      </c>
      <c r="AZ107" s="2870">
        <v>130149791</v>
      </c>
      <c r="BA107" s="2870">
        <v>70383</v>
      </c>
      <c r="BB107" s="2870"/>
      <c r="BC107" s="2877">
        <v>3.531437703470909</v>
      </c>
      <c r="BD107" s="2875">
        <v>233426044</v>
      </c>
      <c r="BE107" s="2869">
        <v>30.748567999999999</v>
      </c>
      <c r="BF107" s="2870">
        <v>116377613</v>
      </c>
      <c r="BG107" s="2870">
        <v>60543930</v>
      </c>
      <c r="BH107" s="2870">
        <v>66910</v>
      </c>
      <c r="BI107" s="2870"/>
      <c r="BJ107" s="2877">
        <v>5.7559901000918154</v>
      </c>
      <c r="BK107" s="2875">
        <v>176988453</v>
      </c>
      <c r="BL107" s="2869">
        <v>20.612929999999999</v>
      </c>
      <c r="BM107" s="2870">
        <v>104372291</v>
      </c>
      <c r="BN107" s="2870">
        <v>40586859</v>
      </c>
      <c r="BO107" s="2870">
        <v>62845</v>
      </c>
      <c r="BP107" s="2870"/>
      <c r="BQ107" s="2877">
        <v>7.0354867066448099</v>
      </c>
      <c r="BR107" s="2875">
        <v>145021995</v>
      </c>
      <c r="BS107" s="2869">
        <v>19.575768</v>
      </c>
      <c r="BT107" s="2870">
        <v>38544687</v>
      </c>
      <c r="BU107" s="2870">
        <v>109601257</v>
      </c>
      <c r="BV107" s="2870">
        <v>62760</v>
      </c>
      <c r="BW107" s="2870"/>
      <c r="BX107" s="2877">
        <v>7.5710288352416111</v>
      </c>
      <c r="BY107" s="2875">
        <v>148208704</v>
      </c>
      <c r="BZ107" s="2869">
        <v>14.05541</v>
      </c>
      <c r="CA107" s="2870">
        <v>79862728</v>
      </c>
      <c r="CB107" s="2870">
        <v>27675102</v>
      </c>
      <c r="CC107" s="2870">
        <v>62300</v>
      </c>
      <c r="CD107" s="2870"/>
      <c r="CE107" s="2877">
        <v>7.6554244949097896</v>
      </c>
      <c r="CF107" s="2875">
        <v>107600130</v>
      </c>
      <c r="CG107" s="2869">
        <v>18.177871</v>
      </c>
      <c r="CH107" s="2870">
        <v>60089977</v>
      </c>
      <c r="CI107" s="2870">
        <v>35792228</v>
      </c>
      <c r="CJ107" s="2870">
        <v>14295844</v>
      </c>
      <c r="CK107" s="2870"/>
      <c r="CL107" s="2877">
        <v>6.0611085313566146</v>
      </c>
      <c r="CM107" s="2875">
        <v>110178049</v>
      </c>
      <c r="CN107" s="2872">
        <v>47.387251999999997</v>
      </c>
      <c r="CO107" s="2870">
        <v>84420554</v>
      </c>
      <c r="CP107" s="2870">
        <v>93305500</v>
      </c>
      <c r="CQ107" s="2870">
        <v>-383845</v>
      </c>
      <c r="CR107" s="2870"/>
      <c r="CS107" s="2877">
        <v>3.74240331555837</v>
      </c>
      <c r="CT107" s="2875">
        <v>177342209</v>
      </c>
      <c r="CU107" s="2878">
        <v>499.65899799999988</v>
      </c>
      <c r="CV107" s="2870">
        <v>961891351</v>
      </c>
      <c r="CW107" s="2870">
        <v>1054885137</v>
      </c>
      <c r="CX107" s="2870">
        <v>14568872</v>
      </c>
      <c r="CY107" s="2870">
        <v>0</v>
      </c>
      <c r="CZ107" s="2879">
        <v>4.0654633822885753</v>
      </c>
      <c r="DA107" s="2875">
        <v>2031345360</v>
      </c>
      <c r="DJ107" s="1611" t="s">
        <v>1717</v>
      </c>
      <c r="DK107" s="2782" t="s">
        <v>1717</v>
      </c>
      <c r="DM107" s="1650">
        <v>2.1112101277519679</v>
      </c>
    </row>
    <row r="108" spans="1:117" ht="21" customHeight="1">
      <c r="A108" s="1652">
        <v>13</v>
      </c>
      <c r="B108" s="1672" t="s">
        <v>1738</v>
      </c>
      <c r="C108" s="1639"/>
      <c r="D108" s="1640"/>
      <c r="E108" s="1640"/>
      <c r="F108" s="1640"/>
      <c r="G108" s="1640"/>
      <c r="H108" s="1640"/>
      <c r="I108" s="1648"/>
      <c r="J108" s="1649"/>
      <c r="K108" s="1648"/>
      <c r="L108" s="1640"/>
      <c r="M108" s="1640"/>
      <c r="N108" s="1642"/>
      <c r="O108" s="2876"/>
      <c r="P108" s="2870"/>
      <c r="Q108" s="2870"/>
      <c r="R108" s="2870"/>
      <c r="S108" s="2870"/>
      <c r="T108" s="2870"/>
      <c r="U108" s="2875">
        <v>0</v>
      </c>
      <c r="V108" s="2869"/>
      <c r="W108" s="2870"/>
      <c r="X108" s="2870"/>
      <c r="Y108" s="2870"/>
      <c r="Z108" s="2870"/>
      <c r="AA108" s="2877"/>
      <c r="AB108" s="2875">
        <v>0</v>
      </c>
      <c r="AC108" s="2869"/>
      <c r="AD108" s="2870"/>
      <c r="AE108" s="2870"/>
      <c r="AF108" s="2870">
        <v>-315598733</v>
      </c>
      <c r="AG108" s="2870"/>
      <c r="AH108" s="2877"/>
      <c r="AI108" s="2875">
        <v>-315598733</v>
      </c>
      <c r="AJ108" s="2869"/>
      <c r="AK108" s="2870"/>
      <c r="AL108" s="2870"/>
      <c r="AM108" s="2870"/>
      <c r="AN108" s="2870"/>
      <c r="AO108" s="2877"/>
      <c r="AP108" s="2875">
        <v>0</v>
      </c>
      <c r="AQ108" s="2869"/>
      <c r="AR108" s="2870"/>
      <c r="AS108" s="2870"/>
      <c r="AT108" s="2870">
        <v>-26150335</v>
      </c>
      <c r="AU108" s="2870"/>
      <c r="AV108" s="2877"/>
      <c r="AW108" s="2875">
        <v>-26150335</v>
      </c>
      <c r="AX108" s="2869"/>
      <c r="AY108" s="2870"/>
      <c r="AZ108" s="2870"/>
      <c r="BA108" s="2870">
        <v>-7768380</v>
      </c>
      <c r="BB108" s="2870"/>
      <c r="BC108" s="2877"/>
      <c r="BD108" s="2875">
        <v>-7768380</v>
      </c>
      <c r="BE108" s="2869"/>
      <c r="BF108" s="2870"/>
      <c r="BG108" s="2870"/>
      <c r="BH108" s="2870">
        <v>-1085997</v>
      </c>
      <c r="BI108" s="2870"/>
      <c r="BJ108" s="2877"/>
      <c r="BK108" s="2875">
        <v>-1085997</v>
      </c>
      <c r="BL108" s="2869"/>
      <c r="BM108" s="2870"/>
      <c r="BN108" s="2870"/>
      <c r="BO108" s="2870">
        <v>581571190</v>
      </c>
      <c r="BP108" s="2870"/>
      <c r="BQ108" s="2877"/>
      <c r="BR108" s="2875">
        <v>581571190</v>
      </c>
      <c r="BS108" s="2869"/>
      <c r="BT108" s="2870"/>
      <c r="BU108" s="2870"/>
      <c r="BV108" s="2883"/>
      <c r="BW108" s="2883"/>
      <c r="BX108" s="2877"/>
      <c r="BY108" s="2875">
        <v>0</v>
      </c>
      <c r="BZ108" s="2869"/>
      <c r="CA108" s="2870"/>
      <c r="CB108" s="2870"/>
      <c r="CC108" s="2870">
        <v>9130769</v>
      </c>
      <c r="CD108" s="2883"/>
      <c r="CE108" s="2877"/>
      <c r="CF108" s="2875">
        <v>9130769</v>
      </c>
      <c r="CG108" s="2869"/>
      <c r="CH108" s="2870"/>
      <c r="CI108" s="2870"/>
      <c r="CJ108" s="2870">
        <v>47976575</v>
      </c>
      <c r="CK108" s="2883"/>
      <c r="CL108" s="2877"/>
      <c r="CM108" s="2875">
        <v>47976575</v>
      </c>
      <c r="CN108" s="2872"/>
      <c r="CO108" s="2870"/>
      <c r="CP108" s="2870"/>
      <c r="CQ108" s="2870">
        <v>334490908</v>
      </c>
      <c r="CR108" s="2870">
        <v>1112224292</v>
      </c>
      <c r="CS108" s="2877">
        <v>0</v>
      </c>
      <c r="CT108" s="2875">
        <v>1446715200</v>
      </c>
      <c r="CU108" s="2878">
        <v>0</v>
      </c>
      <c r="CV108" s="2870">
        <v>0</v>
      </c>
      <c r="CW108" s="2870">
        <v>0</v>
      </c>
      <c r="CX108" s="2870">
        <v>622565997</v>
      </c>
      <c r="CY108" s="2870">
        <v>1112224292</v>
      </c>
      <c r="CZ108" s="2879">
        <v>0</v>
      </c>
      <c r="DA108" s="2875">
        <v>1734790289</v>
      </c>
      <c r="DJ108" s="1611" t="e">
        <v>#N/A</v>
      </c>
      <c r="DK108" s="2782">
        <v>0</v>
      </c>
      <c r="DM108" s="1650">
        <v>0</v>
      </c>
    </row>
    <row r="109" spans="1:117" ht="21" customHeight="1">
      <c r="A109" s="1652">
        <v>14</v>
      </c>
      <c r="B109" s="1644"/>
      <c r="C109" s="1639"/>
      <c r="D109" s="1640"/>
      <c r="E109" s="1640"/>
      <c r="F109" s="1640"/>
      <c r="G109" s="1640"/>
      <c r="H109" s="1640"/>
      <c r="I109" s="1648"/>
      <c r="J109" s="1649"/>
      <c r="K109" s="1648"/>
      <c r="L109" s="1640"/>
      <c r="M109" s="1640"/>
      <c r="N109" s="1642"/>
      <c r="O109" s="2876"/>
      <c r="P109" s="2870"/>
      <c r="Q109" s="2870"/>
      <c r="R109" s="2870"/>
      <c r="S109" s="2870"/>
      <c r="T109" s="2870"/>
      <c r="U109" s="2875">
        <v>0</v>
      </c>
      <c r="V109" s="2869"/>
      <c r="W109" s="2870"/>
      <c r="X109" s="2870"/>
      <c r="Y109" s="2870"/>
      <c r="Z109" s="2870"/>
      <c r="AA109" s="2877"/>
      <c r="AB109" s="2875">
        <v>0</v>
      </c>
      <c r="AC109" s="2869"/>
      <c r="AD109" s="2870"/>
      <c r="AE109" s="2870"/>
      <c r="AF109" s="2870"/>
      <c r="AG109" s="2870"/>
      <c r="AH109" s="2877"/>
      <c r="AI109" s="2875">
        <v>0</v>
      </c>
      <c r="AJ109" s="2869"/>
      <c r="AK109" s="2870"/>
      <c r="AL109" s="2870"/>
      <c r="AM109" s="2870"/>
      <c r="AN109" s="2870"/>
      <c r="AO109" s="2877"/>
      <c r="AP109" s="2875">
        <v>0</v>
      </c>
      <c r="AQ109" s="2869"/>
      <c r="AR109" s="2870"/>
      <c r="AS109" s="2870"/>
      <c r="AT109" s="2870"/>
      <c r="AU109" s="2870"/>
      <c r="AV109" s="2877"/>
      <c r="AW109" s="2875">
        <v>0</v>
      </c>
      <c r="AX109" s="2869"/>
      <c r="AY109" s="2870"/>
      <c r="AZ109" s="2870"/>
      <c r="BA109" s="2870"/>
      <c r="BB109" s="2870"/>
      <c r="BC109" s="2877"/>
      <c r="BD109" s="2875">
        <v>0</v>
      </c>
      <c r="BE109" s="2869"/>
      <c r="BF109" s="2870"/>
      <c r="BG109" s="2870"/>
      <c r="BH109" s="2870"/>
      <c r="BI109" s="2870"/>
      <c r="BJ109" s="2877"/>
      <c r="BK109" s="2875">
        <v>0</v>
      </c>
      <c r="BL109" s="2869"/>
      <c r="BM109" s="2870"/>
      <c r="BN109" s="2870"/>
      <c r="BO109" s="2870"/>
      <c r="BP109" s="2870"/>
      <c r="BQ109" s="2877"/>
      <c r="BR109" s="2875">
        <v>0</v>
      </c>
      <c r="BS109" s="2869"/>
      <c r="BT109" s="2870"/>
      <c r="BU109" s="2870"/>
      <c r="BV109" s="2870"/>
      <c r="BW109" s="2870"/>
      <c r="BX109" s="2877"/>
      <c r="BY109" s="2875">
        <v>0</v>
      </c>
      <c r="BZ109" s="2869"/>
      <c r="CA109" s="2870"/>
      <c r="CB109" s="2870"/>
      <c r="CC109" s="2870"/>
      <c r="CD109" s="2870"/>
      <c r="CE109" s="2877"/>
      <c r="CF109" s="2875">
        <v>0</v>
      </c>
      <c r="CG109" s="2869"/>
      <c r="CH109" s="2870"/>
      <c r="CI109" s="2870"/>
      <c r="CJ109" s="2870"/>
      <c r="CK109" s="2870"/>
      <c r="CL109" s="2877"/>
      <c r="CM109" s="2875">
        <v>0</v>
      </c>
      <c r="CN109" s="2872"/>
      <c r="CO109" s="2870"/>
      <c r="CP109" s="2870"/>
      <c r="CQ109" s="2870"/>
      <c r="CR109" s="2870"/>
      <c r="CS109" s="2877"/>
      <c r="CT109" s="2875">
        <v>0</v>
      </c>
      <c r="CU109" s="2878">
        <v>0</v>
      </c>
      <c r="CV109" s="2870">
        <v>0</v>
      </c>
      <c r="CW109" s="2870">
        <v>0</v>
      </c>
      <c r="CX109" s="2870">
        <v>0</v>
      </c>
      <c r="CY109" s="2870">
        <v>0</v>
      </c>
      <c r="CZ109" s="2879">
        <v>0</v>
      </c>
      <c r="DA109" s="2875">
        <v>0</v>
      </c>
      <c r="DJ109" s="1611" t="e">
        <v>#N/A</v>
      </c>
      <c r="DK109" s="2782" t="e">
        <v>#N/A</v>
      </c>
      <c r="DM109" s="1650">
        <v>0</v>
      </c>
    </row>
    <row r="110" spans="1:117" ht="21" customHeight="1">
      <c r="A110" s="1652">
        <v>15</v>
      </c>
      <c r="B110" s="1644"/>
      <c r="C110" s="1639"/>
      <c r="D110" s="1640"/>
      <c r="E110" s="1640"/>
      <c r="F110" s="1640"/>
      <c r="G110" s="1640"/>
      <c r="H110" s="1640"/>
      <c r="I110" s="1648"/>
      <c r="J110" s="1649"/>
      <c r="K110" s="1648"/>
      <c r="L110" s="1640"/>
      <c r="M110" s="1640"/>
      <c r="N110" s="1642"/>
      <c r="O110" s="2876"/>
      <c r="P110" s="2870"/>
      <c r="Q110" s="2870"/>
      <c r="R110" s="2870"/>
      <c r="S110" s="2870"/>
      <c r="T110" s="2870"/>
      <c r="U110" s="2875">
        <v>0</v>
      </c>
      <c r="V110" s="2869"/>
      <c r="W110" s="2870"/>
      <c r="X110" s="2870"/>
      <c r="Y110" s="2870"/>
      <c r="Z110" s="2870"/>
      <c r="AA110" s="2877"/>
      <c r="AB110" s="2875">
        <v>0</v>
      </c>
      <c r="AC110" s="2869"/>
      <c r="AD110" s="2870"/>
      <c r="AE110" s="2870"/>
      <c r="AF110" s="2870"/>
      <c r="AG110" s="2870"/>
      <c r="AH110" s="2877"/>
      <c r="AI110" s="2875">
        <v>0</v>
      </c>
      <c r="AJ110" s="2869"/>
      <c r="AK110" s="2870"/>
      <c r="AL110" s="2870"/>
      <c r="AM110" s="2870"/>
      <c r="AN110" s="2870"/>
      <c r="AO110" s="2877"/>
      <c r="AP110" s="2875">
        <v>0</v>
      </c>
      <c r="AQ110" s="2869"/>
      <c r="AR110" s="2870"/>
      <c r="AS110" s="2870"/>
      <c r="AT110" s="2870"/>
      <c r="AU110" s="2870"/>
      <c r="AV110" s="2877"/>
      <c r="AW110" s="2875">
        <v>0</v>
      </c>
      <c r="AX110" s="2869"/>
      <c r="AY110" s="2870"/>
      <c r="AZ110" s="2870"/>
      <c r="BA110" s="2870"/>
      <c r="BB110" s="2870"/>
      <c r="BC110" s="2877"/>
      <c r="BD110" s="2875">
        <v>0</v>
      </c>
      <c r="BE110" s="2869"/>
      <c r="BF110" s="2870"/>
      <c r="BG110" s="2870"/>
      <c r="BH110" s="2870"/>
      <c r="BI110" s="2870"/>
      <c r="BJ110" s="2877"/>
      <c r="BK110" s="2875">
        <v>0</v>
      </c>
      <c r="BL110" s="2869"/>
      <c r="BM110" s="2870"/>
      <c r="BN110" s="2870"/>
      <c r="BO110" s="2870"/>
      <c r="BP110" s="2870"/>
      <c r="BQ110" s="2877"/>
      <c r="BR110" s="2875">
        <v>0</v>
      </c>
      <c r="BS110" s="2869"/>
      <c r="BT110" s="2870"/>
      <c r="BU110" s="2870"/>
      <c r="BV110" s="2870"/>
      <c r="BW110" s="2870"/>
      <c r="BX110" s="2877"/>
      <c r="BY110" s="2875">
        <v>0</v>
      </c>
      <c r="BZ110" s="2869"/>
      <c r="CA110" s="2870"/>
      <c r="CB110" s="2870"/>
      <c r="CC110" s="2870"/>
      <c r="CD110" s="2870"/>
      <c r="CE110" s="2877"/>
      <c r="CF110" s="2875">
        <v>0</v>
      </c>
      <c r="CG110" s="2869"/>
      <c r="CH110" s="2870"/>
      <c r="CI110" s="2870"/>
      <c r="CJ110" s="2870"/>
      <c r="CK110" s="2870"/>
      <c r="CL110" s="2877"/>
      <c r="CM110" s="2875">
        <v>0</v>
      </c>
      <c r="CN110" s="2872"/>
      <c r="CO110" s="2870"/>
      <c r="CP110" s="2870"/>
      <c r="CQ110" s="2870"/>
      <c r="CR110" s="2870"/>
      <c r="CS110" s="2877"/>
      <c r="CT110" s="2875">
        <v>0</v>
      </c>
      <c r="CU110" s="2878">
        <v>0</v>
      </c>
      <c r="CV110" s="2870">
        <v>0</v>
      </c>
      <c r="CW110" s="2870">
        <v>0</v>
      </c>
      <c r="CX110" s="2870">
        <v>0</v>
      </c>
      <c r="CY110" s="2870">
        <v>0</v>
      </c>
      <c r="CZ110" s="2879">
        <v>0</v>
      </c>
      <c r="DA110" s="2875">
        <v>0</v>
      </c>
      <c r="DJ110" s="1611" t="e">
        <v>#N/A</v>
      </c>
      <c r="DK110" s="2782" t="e">
        <v>#N/A</v>
      </c>
      <c r="DM110" s="1650">
        <v>0</v>
      </c>
    </row>
    <row r="111" spans="1:117" s="1727" customFormat="1" ht="21" customHeight="1">
      <c r="A111" s="1637"/>
      <c r="B111" s="1638" t="s">
        <v>211</v>
      </c>
      <c r="C111" s="1643"/>
      <c r="D111" s="1641"/>
      <c r="E111" s="1641"/>
      <c r="F111" s="1641"/>
      <c r="G111" s="1641"/>
      <c r="H111" s="1641"/>
      <c r="I111" s="1641"/>
      <c r="J111" s="1649"/>
      <c r="K111" s="1641"/>
      <c r="L111" s="1641"/>
      <c r="M111" s="1641"/>
      <c r="N111" s="1671"/>
      <c r="O111" s="2876">
        <v>296.58333600000003</v>
      </c>
      <c r="P111" s="2874">
        <v>481938548</v>
      </c>
      <c r="Q111" s="2874">
        <v>454964864</v>
      </c>
      <c r="R111" s="2874">
        <v>388746</v>
      </c>
      <c r="S111" s="2874"/>
      <c r="T111" s="2879">
        <v>3.1602994647008753</v>
      </c>
      <c r="U111" s="2875">
        <v>937292158</v>
      </c>
      <c r="V111" s="2876">
        <v>448.39054899999996</v>
      </c>
      <c r="W111" s="2874">
        <v>576135531</v>
      </c>
      <c r="X111" s="2874">
        <v>735050586</v>
      </c>
      <c r="Y111" s="2874">
        <v>387972</v>
      </c>
      <c r="Z111" s="2874">
        <v>0</v>
      </c>
      <c r="AA111" s="2879">
        <v>2.9250707712842541</v>
      </c>
      <c r="AB111" s="2875">
        <v>1311574089</v>
      </c>
      <c r="AC111" s="2876">
        <v>479.27414899999997</v>
      </c>
      <c r="AD111" s="2874">
        <v>574369979</v>
      </c>
      <c r="AE111" s="2874">
        <v>769769088</v>
      </c>
      <c r="AF111" s="2874">
        <v>-315201353</v>
      </c>
      <c r="AG111" s="2874">
        <v>0</v>
      </c>
      <c r="AH111" s="2879">
        <v>2.1468667069710872</v>
      </c>
      <c r="AI111" s="2875">
        <v>1028937714</v>
      </c>
      <c r="AJ111" s="2876">
        <v>564.39913100000001</v>
      </c>
      <c r="AK111" s="2874">
        <v>686394550</v>
      </c>
      <c r="AL111" s="2874">
        <v>928195907</v>
      </c>
      <c r="AM111" s="2874">
        <v>444990</v>
      </c>
      <c r="AN111" s="2874">
        <v>0</v>
      </c>
      <c r="AO111" s="2879">
        <v>2.8615129937186241</v>
      </c>
      <c r="AP111" s="2875">
        <v>1615035447</v>
      </c>
      <c r="AQ111" s="2876">
        <v>539.12044700000001</v>
      </c>
      <c r="AR111" s="2874">
        <v>673589808</v>
      </c>
      <c r="AS111" s="2874">
        <v>895623128</v>
      </c>
      <c r="AT111" s="2874">
        <v>-26745812</v>
      </c>
      <c r="AU111" s="2874">
        <v>0</v>
      </c>
      <c r="AV111" s="2879">
        <v>2.8610807335971806</v>
      </c>
      <c r="AW111" s="2875">
        <v>1542467124</v>
      </c>
      <c r="AX111" s="2876">
        <v>454.890083</v>
      </c>
      <c r="AY111" s="2874">
        <v>659193978</v>
      </c>
      <c r="AZ111" s="2874">
        <v>764594258</v>
      </c>
      <c r="BA111" s="2874">
        <v>346876286</v>
      </c>
      <c r="BB111" s="2874">
        <v>0</v>
      </c>
      <c r="BC111" s="2879">
        <v>3.8925107145059479</v>
      </c>
      <c r="BD111" s="2875">
        <v>1770664522</v>
      </c>
      <c r="BE111" s="2876">
        <v>234.08874400000002</v>
      </c>
      <c r="BF111" s="2874">
        <v>610924534</v>
      </c>
      <c r="BG111" s="2874">
        <v>420594914</v>
      </c>
      <c r="BH111" s="2874">
        <v>-507043</v>
      </c>
      <c r="BI111" s="2874">
        <v>0</v>
      </c>
      <c r="BJ111" s="2879">
        <v>4.4043655725710584</v>
      </c>
      <c r="BK111" s="2875">
        <v>1031012405</v>
      </c>
      <c r="BL111" s="2876">
        <v>129.53371000000001</v>
      </c>
      <c r="BM111" s="2874">
        <v>524255713</v>
      </c>
      <c r="BN111" s="2874">
        <v>212493433</v>
      </c>
      <c r="BO111" s="2874">
        <v>581924832</v>
      </c>
      <c r="BP111" s="2874">
        <v>0</v>
      </c>
      <c r="BQ111" s="2879">
        <v>10.180160654705249</v>
      </c>
      <c r="BR111" s="2875">
        <v>1318673978</v>
      </c>
      <c r="BS111" s="2876">
        <v>128.59560000000002</v>
      </c>
      <c r="BT111" s="2874">
        <v>160186667</v>
      </c>
      <c r="BU111" s="2874">
        <v>489361219</v>
      </c>
      <c r="BV111" s="2874">
        <v>-716077</v>
      </c>
      <c r="BW111" s="2874">
        <v>0</v>
      </c>
      <c r="BX111" s="2879">
        <v>5.045521067594847</v>
      </c>
      <c r="BY111" s="2875">
        <v>648831809</v>
      </c>
      <c r="BZ111" s="2876">
        <v>117.02893499999999</v>
      </c>
      <c r="CA111" s="2874">
        <v>454613859</v>
      </c>
      <c r="CB111" s="2874">
        <v>139018761</v>
      </c>
      <c r="CC111" s="2874">
        <v>9427707</v>
      </c>
      <c r="CD111" s="2874">
        <v>0</v>
      </c>
      <c r="CE111" s="2879">
        <v>5.1530873710847667</v>
      </c>
      <c r="CF111" s="2875">
        <v>603060327</v>
      </c>
      <c r="CG111" s="2876">
        <v>114.58632899999999</v>
      </c>
      <c r="CH111" s="2874">
        <v>395250138</v>
      </c>
      <c r="CI111" s="2874">
        <v>138532513</v>
      </c>
      <c r="CJ111" s="2874">
        <v>302325129</v>
      </c>
      <c r="CK111" s="2874">
        <v>0</v>
      </c>
      <c r="CL111" s="2879">
        <v>7.2967498592262272</v>
      </c>
      <c r="CM111" s="2875">
        <v>836107780</v>
      </c>
      <c r="CN111" s="2880">
        <v>215.572101</v>
      </c>
      <c r="CO111" s="2874">
        <v>612024796</v>
      </c>
      <c r="CP111" s="2874">
        <v>245845032</v>
      </c>
      <c r="CQ111" s="2874">
        <v>327616777</v>
      </c>
      <c r="CR111" s="2874">
        <v>1112224292</v>
      </c>
      <c r="CS111" s="2879">
        <v>10.65866541329483</v>
      </c>
      <c r="CT111" s="2875">
        <v>2297710897</v>
      </c>
      <c r="CU111" s="2881">
        <v>3722.0631140000005</v>
      </c>
      <c r="CV111" s="2874">
        <v>6408878101</v>
      </c>
      <c r="CW111" s="2874">
        <v>6194043703</v>
      </c>
      <c r="CX111" s="2874">
        <v>1226222154</v>
      </c>
      <c r="CY111" s="2874">
        <v>1112224292</v>
      </c>
      <c r="CZ111" s="2879">
        <v>4.0142705248065811</v>
      </c>
      <c r="DA111" s="2875">
        <v>14941368250</v>
      </c>
      <c r="DB111" s="1609"/>
      <c r="DD111" s="1625"/>
      <c r="DJ111" s="1611" t="e">
        <v>#N/A</v>
      </c>
      <c r="DK111" s="2782">
        <v>0</v>
      </c>
      <c r="DM111" s="1650">
        <v>1.6641425771911291</v>
      </c>
    </row>
    <row r="112" spans="1:117" ht="21" customHeight="1">
      <c r="A112" s="1652"/>
      <c r="B112" s="1644"/>
      <c r="C112" s="1662"/>
      <c r="D112" s="1648"/>
      <c r="E112" s="1648"/>
      <c r="F112" s="1648"/>
      <c r="G112" s="1648"/>
      <c r="H112" s="1648"/>
      <c r="I112" s="1648"/>
      <c r="J112" s="1663"/>
      <c r="K112" s="1648"/>
      <c r="L112" s="1648"/>
      <c r="M112" s="1648"/>
      <c r="N112" s="1642"/>
      <c r="O112" s="2876"/>
      <c r="P112" s="2870"/>
      <c r="Q112" s="2870"/>
      <c r="R112" s="2870"/>
      <c r="S112" s="2870"/>
      <c r="T112" s="2870"/>
      <c r="U112" s="2875"/>
      <c r="V112" s="2869"/>
      <c r="W112" s="2870"/>
      <c r="X112" s="2870"/>
      <c r="Y112" s="2870"/>
      <c r="Z112" s="2870"/>
      <c r="AA112" s="2877"/>
      <c r="AB112" s="2875"/>
      <c r="AC112" s="2869"/>
      <c r="AD112" s="2870"/>
      <c r="AE112" s="2870"/>
      <c r="AF112" s="2870"/>
      <c r="AG112" s="2870"/>
      <c r="AH112" s="2877"/>
      <c r="AI112" s="2875"/>
      <c r="AJ112" s="2869"/>
      <c r="AK112" s="2870"/>
      <c r="AL112" s="2870"/>
      <c r="AM112" s="2870"/>
      <c r="AN112" s="2870"/>
      <c r="AO112" s="2877"/>
      <c r="AP112" s="2875"/>
      <c r="AQ112" s="2869"/>
      <c r="AR112" s="2870"/>
      <c r="AS112" s="2870"/>
      <c r="AT112" s="2870"/>
      <c r="AU112" s="2870"/>
      <c r="AV112" s="2877"/>
      <c r="AW112" s="2875"/>
      <c r="AX112" s="2869"/>
      <c r="AY112" s="2870"/>
      <c r="AZ112" s="2870"/>
      <c r="BA112" s="2870"/>
      <c r="BB112" s="2870"/>
      <c r="BC112" s="2877"/>
      <c r="BD112" s="2875"/>
      <c r="BE112" s="2869"/>
      <c r="BF112" s="2870"/>
      <c r="BG112" s="2870"/>
      <c r="BH112" s="2870"/>
      <c r="BI112" s="2870"/>
      <c r="BJ112" s="2877"/>
      <c r="BK112" s="2875"/>
      <c r="BL112" s="2869"/>
      <c r="BM112" s="2870"/>
      <c r="BN112" s="2870"/>
      <c r="BO112" s="2870"/>
      <c r="BP112" s="2870"/>
      <c r="BQ112" s="2877"/>
      <c r="BR112" s="2875"/>
      <c r="BS112" s="2869"/>
      <c r="BT112" s="2870"/>
      <c r="BU112" s="2870"/>
      <c r="BV112" s="2870"/>
      <c r="BW112" s="2870"/>
      <c r="BX112" s="2877"/>
      <c r="BY112" s="2875"/>
      <c r="BZ112" s="2869"/>
      <c r="CA112" s="2870"/>
      <c r="CB112" s="2870"/>
      <c r="CC112" s="2870"/>
      <c r="CD112" s="2870"/>
      <c r="CE112" s="2877"/>
      <c r="CF112" s="2875"/>
      <c r="CG112" s="2869"/>
      <c r="CH112" s="2870"/>
      <c r="CI112" s="2870"/>
      <c r="CJ112" s="2870"/>
      <c r="CK112" s="2870"/>
      <c r="CL112" s="2877"/>
      <c r="CM112" s="2875"/>
      <c r="CN112" s="2872"/>
      <c r="CO112" s="2870"/>
      <c r="CP112" s="2870"/>
      <c r="CQ112" s="2870"/>
      <c r="CR112" s="2870"/>
      <c r="CS112" s="2877"/>
      <c r="CT112" s="2875"/>
      <c r="CU112" s="2878"/>
      <c r="CV112" s="2870"/>
      <c r="CW112" s="2870"/>
      <c r="CX112" s="2870"/>
      <c r="CY112" s="2870"/>
      <c r="CZ112" s="2879"/>
      <c r="DA112" s="2875"/>
      <c r="DJ112" s="1611" t="e">
        <v>#N/A</v>
      </c>
      <c r="DK112" s="2782" t="e">
        <v>#N/A</v>
      </c>
      <c r="DM112" s="1650">
        <v>0</v>
      </c>
    </row>
    <row r="113" spans="1:117" ht="21" customHeight="1">
      <c r="A113" s="1652" t="s">
        <v>28</v>
      </c>
      <c r="B113" s="1638" t="s">
        <v>1739</v>
      </c>
      <c r="C113" s="1639"/>
      <c r="D113" s="1640"/>
      <c r="E113" s="1640"/>
      <c r="F113" s="1640"/>
      <c r="G113" s="1640"/>
      <c r="H113" s="1640"/>
      <c r="I113" s="1648"/>
      <c r="J113" s="1649"/>
      <c r="K113" s="1648"/>
      <c r="L113" s="1640"/>
      <c r="M113" s="1640"/>
      <c r="N113" s="1642"/>
      <c r="O113" s="2876"/>
      <c r="P113" s="2870"/>
      <c r="Q113" s="2870"/>
      <c r="R113" s="2870"/>
      <c r="S113" s="2870"/>
      <c r="T113" s="2870"/>
      <c r="U113" s="2875">
        <v>0</v>
      </c>
      <c r="V113" s="2869"/>
      <c r="W113" s="2870"/>
      <c r="X113" s="2870"/>
      <c r="Y113" s="2870"/>
      <c r="Z113" s="2870"/>
      <c r="AA113" s="2877">
        <v>0</v>
      </c>
      <c r="AB113" s="2875">
        <v>0</v>
      </c>
      <c r="AC113" s="2869"/>
      <c r="AD113" s="2870"/>
      <c r="AE113" s="2870"/>
      <c r="AF113" s="2870"/>
      <c r="AG113" s="2870"/>
      <c r="AH113" s="2877">
        <v>0</v>
      </c>
      <c r="AI113" s="2875">
        <v>0</v>
      </c>
      <c r="AJ113" s="2869"/>
      <c r="AK113" s="2870"/>
      <c r="AL113" s="2870"/>
      <c r="AM113" s="2870"/>
      <c r="AN113" s="2870"/>
      <c r="AO113" s="2877">
        <v>0</v>
      </c>
      <c r="AP113" s="2875">
        <v>0</v>
      </c>
      <c r="AQ113" s="2869"/>
      <c r="AR113" s="2870"/>
      <c r="AS113" s="2870"/>
      <c r="AT113" s="2870"/>
      <c r="AU113" s="2870"/>
      <c r="AV113" s="2877">
        <v>0</v>
      </c>
      <c r="AW113" s="2875">
        <v>0</v>
      </c>
      <c r="AX113" s="2869"/>
      <c r="AY113" s="2870"/>
      <c r="AZ113" s="2870"/>
      <c r="BA113" s="2870"/>
      <c r="BB113" s="2870"/>
      <c r="BC113" s="2877">
        <v>0</v>
      </c>
      <c r="BD113" s="2875">
        <v>0</v>
      </c>
      <c r="BE113" s="2869"/>
      <c r="BF113" s="2870"/>
      <c r="BG113" s="2870"/>
      <c r="BH113" s="2870"/>
      <c r="BI113" s="2870"/>
      <c r="BJ113" s="2877">
        <v>0</v>
      </c>
      <c r="BK113" s="2875">
        <v>0</v>
      </c>
      <c r="BL113" s="2869"/>
      <c r="BM113" s="2870"/>
      <c r="BN113" s="2870"/>
      <c r="BO113" s="2870"/>
      <c r="BP113" s="2870"/>
      <c r="BQ113" s="2877">
        <v>0</v>
      </c>
      <c r="BR113" s="2875">
        <v>0</v>
      </c>
      <c r="BS113" s="2869"/>
      <c r="BT113" s="2870"/>
      <c r="BU113" s="2870"/>
      <c r="BV113" s="2870"/>
      <c r="BW113" s="2870"/>
      <c r="BX113" s="2877">
        <v>0</v>
      </c>
      <c r="BY113" s="2875">
        <v>0</v>
      </c>
      <c r="BZ113" s="2869"/>
      <c r="CA113" s="2870"/>
      <c r="CB113" s="2870"/>
      <c r="CC113" s="2870"/>
      <c r="CD113" s="2870"/>
      <c r="CE113" s="2877">
        <v>0</v>
      </c>
      <c r="CF113" s="2875">
        <v>0</v>
      </c>
      <c r="CG113" s="2869"/>
      <c r="CH113" s="2870"/>
      <c r="CI113" s="2870"/>
      <c r="CJ113" s="2870"/>
      <c r="CK113" s="2870"/>
      <c r="CL113" s="2877">
        <v>0</v>
      </c>
      <c r="CM113" s="2875">
        <v>0</v>
      </c>
      <c r="CN113" s="2872"/>
      <c r="CO113" s="2870"/>
      <c r="CP113" s="2870"/>
      <c r="CQ113" s="2870"/>
      <c r="CR113" s="2870"/>
      <c r="CS113" s="2877">
        <v>0</v>
      </c>
      <c r="CT113" s="2875">
        <v>0</v>
      </c>
      <c r="CU113" s="2878"/>
      <c r="CV113" s="2870"/>
      <c r="CW113" s="2870"/>
      <c r="CX113" s="2870"/>
      <c r="CY113" s="2870"/>
      <c r="CZ113" s="2879"/>
      <c r="DA113" s="2875"/>
      <c r="DJ113" s="1611" t="e">
        <v>#N/A</v>
      </c>
      <c r="DK113" s="2782">
        <v>0</v>
      </c>
      <c r="DM113" s="1650">
        <v>0</v>
      </c>
    </row>
    <row r="114" spans="1:117" ht="21" customHeight="1">
      <c r="A114" s="1652">
        <v>1</v>
      </c>
      <c r="B114" s="1644" t="s">
        <v>1740</v>
      </c>
      <c r="C114" s="1682">
        <v>800</v>
      </c>
      <c r="D114" s="1646">
        <v>19.89</v>
      </c>
      <c r="E114" s="1646">
        <v>110.101</v>
      </c>
      <c r="F114" s="1665">
        <v>1</v>
      </c>
      <c r="G114" s="1640"/>
      <c r="H114" s="1640">
        <v>159.12</v>
      </c>
      <c r="I114" s="1648" t="s">
        <v>1717</v>
      </c>
      <c r="J114" s="1649">
        <v>1</v>
      </c>
      <c r="K114" s="1648"/>
      <c r="L114" s="1640"/>
      <c r="M114" s="1640"/>
      <c r="N114" s="1642"/>
      <c r="O114" s="2876">
        <v>28.410074000000002</v>
      </c>
      <c r="P114" s="2870">
        <v>147566719</v>
      </c>
      <c r="Q114" s="2870">
        <v>69661501</v>
      </c>
      <c r="R114" s="2870"/>
      <c r="S114" s="2870"/>
      <c r="T114" s="2870">
        <v>7.6461687498596449</v>
      </c>
      <c r="U114" s="2875">
        <v>217228220</v>
      </c>
      <c r="V114" s="2869">
        <v>51.717816999999997</v>
      </c>
      <c r="W114" s="2870">
        <v>148796073</v>
      </c>
      <c r="X114" s="2870">
        <v>126812087</v>
      </c>
      <c r="Y114" s="2870"/>
      <c r="Z114" s="2870"/>
      <c r="AA114" s="2877">
        <v>5.3290756645818984</v>
      </c>
      <c r="AB114" s="2875">
        <v>275608160</v>
      </c>
      <c r="AC114" s="2869">
        <v>103.679423</v>
      </c>
      <c r="AD114" s="2870">
        <v>150497174</v>
      </c>
      <c r="AE114" s="2870">
        <v>254221945</v>
      </c>
      <c r="AF114" s="2870"/>
      <c r="AG114" s="2870"/>
      <c r="AH114" s="2877">
        <v>3.9035626095257108</v>
      </c>
      <c r="AI114" s="2875">
        <v>404719119</v>
      </c>
      <c r="AJ114" s="2869">
        <v>139.44377499999999</v>
      </c>
      <c r="AK114" s="2870">
        <v>170669845</v>
      </c>
      <c r="AL114" s="2870">
        <v>341916136</v>
      </c>
      <c r="AM114" s="2870">
        <v>0</v>
      </c>
      <c r="AN114" s="2870"/>
      <c r="AO114" s="2877">
        <v>3.6759330490012911</v>
      </c>
      <c r="AP114" s="2875">
        <v>512585981</v>
      </c>
      <c r="AQ114" s="2869">
        <v>143.89534699999999</v>
      </c>
      <c r="AR114" s="2870">
        <v>170907014</v>
      </c>
      <c r="AS114" s="2870">
        <v>352831391</v>
      </c>
      <c r="AT114" s="2870"/>
      <c r="AU114" s="2870"/>
      <c r="AV114" s="2877">
        <v>3.6397174468747764</v>
      </c>
      <c r="AW114" s="2875">
        <v>523738405</v>
      </c>
      <c r="AX114" s="2869">
        <v>88.321776</v>
      </c>
      <c r="AY114" s="2870">
        <v>165543896</v>
      </c>
      <c r="AZ114" s="2870">
        <v>216564995</v>
      </c>
      <c r="BA114" s="2870">
        <v>0</v>
      </c>
      <c r="BB114" s="2870"/>
      <c r="BC114" s="2877">
        <v>4.3263270770279805</v>
      </c>
      <c r="BD114" s="2875">
        <v>382108891</v>
      </c>
      <c r="BE114" s="2869">
        <v>34.642648000000001</v>
      </c>
      <c r="BF114" s="2870">
        <v>162829425</v>
      </c>
      <c r="BG114" s="2870">
        <v>84943773</v>
      </c>
      <c r="BH114" s="2870"/>
      <c r="BI114" s="2870"/>
      <c r="BJ114" s="2877">
        <v>7.1522592037421617</v>
      </c>
      <c r="BK114" s="2875">
        <v>247773198</v>
      </c>
      <c r="BL114" s="2869">
        <v>19.217081</v>
      </c>
      <c r="BM114" s="2870">
        <v>147905811</v>
      </c>
      <c r="BN114" s="2870">
        <v>47120283</v>
      </c>
      <c r="BO114" s="2870"/>
      <c r="BP114" s="2870"/>
      <c r="BQ114" s="2877">
        <v>10.148580525835323</v>
      </c>
      <c r="BR114" s="2875">
        <v>195026094</v>
      </c>
      <c r="BS114" s="2869">
        <v>16.313099000000001</v>
      </c>
      <c r="BT114" s="2870">
        <v>142382318</v>
      </c>
      <c r="BU114" s="2870">
        <v>39999719</v>
      </c>
      <c r="BV114" s="2870"/>
      <c r="BW114" s="2870"/>
      <c r="BX114" s="2877">
        <v>11.1800974787194</v>
      </c>
      <c r="BY114" s="2875">
        <v>182382037</v>
      </c>
      <c r="BZ114" s="2869">
        <v>16.134264000000002</v>
      </c>
      <c r="CA114" s="2870">
        <v>152836004</v>
      </c>
      <c r="CB114" s="2870">
        <v>39561215</v>
      </c>
      <c r="CC114" s="2870">
        <v>0</v>
      </c>
      <c r="CD114" s="2870"/>
      <c r="CE114" s="2877">
        <v>11.924759567588579</v>
      </c>
      <c r="CF114" s="2875">
        <v>192397219</v>
      </c>
      <c r="CG114" s="2869">
        <v>13.449230999999999</v>
      </c>
      <c r="CH114" s="2870">
        <v>127463683</v>
      </c>
      <c r="CI114" s="2870">
        <v>19257721</v>
      </c>
      <c r="CJ114" s="2870">
        <v>0</v>
      </c>
      <c r="CK114" s="2870"/>
      <c r="CL114" s="2877">
        <v>10.909278307436313</v>
      </c>
      <c r="CM114" s="2875">
        <v>146721404</v>
      </c>
      <c r="CN114" s="2872">
        <v>15.655467</v>
      </c>
      <c r="CO114" s="2870"/>
      <c r="CP114" s="2874">
        <v>167540175</v>
      </c>
      <c r="CQ114" s="2893">
        <v>0</v>
      </c>
      <c r="CR114" s="2870"/>
      <c r="CS114" s="2877">
        <v>10.701704075643352</v>
      </c>
      <c r="CT114" s="2875">
        <v>167540175</v>
      </c>
      <c r="CU114" s="2878">
        <v>670.8800020000001</v>
      </c>
      <c r="CV114" s="2870">
        <v>1687397962</v>
      </c>
      <c r="CW114" s="2870">
        <v>1760430941</v>
      </c>
      <c r="CX114" s="2870">
        <v>0</v>
      </c>
      <c r="CY114" s="2870">
        <v>0</v>
      </c>
      <c r="CZ114" s="2879">
        <v>5.1392631956854773</v>
      </c>
      <c r="DA114" s="2875">
        <v>3447828903</v>
      </c>
      <c r="DJ114" s="1611" t="s">
        <v>1717</v>
      </c>
      <c r="DK114" s="2782" t="s">
        <v>1717</v>
      </c>
      <c r="DM114" s="1650">
        <v>2.6240623297040826</v>
      </c>
    </row>
    <row r="115" spans="1:117" ht="21" customHeight="1">
      <c r="A115" s="1652">
        <v>2</v>
      </c>
      <c r="B115" s="1644" t="s">
        <v>1743</v>
      </c>
      <c r="C115" s="1682">
        <v>8</v>
      </c>
      <c r="D115" s="1646">
        <v>42.5</v>
      </c>
      <c r="E115" s="1646">
        <v>87.852000000000004</v>
      </c>
      <c r="F115" s="1670" t="s">
        <v>1594</v>
      </c>
      <c r="G115" s="1640"/>
      <c r="H115" s="1640">
        <v>3.4</v>
      </c>
      <c r="I115" s="1648" t="s">
        <v>1717</v>
      </c>
      <c r="J115" s="1649">
        <v>1</v>
      </c>
      <c r="K115" s="1648"/>
      <c r="L115" s="1640"/>
      <c r="M115" s="1640"/>
      <c r="N115" s="1642"/>
      <c r="O115" s="2876">
        <v>1.0253969999999999</v>
      </c>
      <c r="P115" s="2870">
        <v>0</v>
      </c>
      <c r="Q115" s="2870">
        <v>5168001</v>
      </c>
      <c r="R115" s="2870"/>
      <c r="S115" s="2870"/>
      <c r="T115" s="2870">
        <v>5.0400001170278443</v>
      </c>
      <c r="U115" s="2875">
        <v>5168001</v>
      </c>
      <c r="V115" s="2869">
        <v>1.146819</v>
      </c>
      <c r="W115" s="2870">
        <v>0</v>
      </c>
      <c r="X115" s="2870">
        <v>5779968</v>
      </c>
      <c r="Y115" s="2870"/>
      <c r="Z115" s="2870"/>
      <c r="AA115" s="2877">
        <v>5.040000209274524</v>
      </c>
      <c r="AB115" s="2875">
        <v>5779968</v>
      </c>
      <c r="AC115" s="2869">
        <v>1.3553550000000001</v>
      </c>
      <c r="AD115" s="2870">
        <v>0</v>
      </c>
      <c r="AE115" s="2870">
        <v>6830989</v>
      </c>
      <c r="AF115" s="2870"/>
      <c r="AG115" s="2870"/>
      <c r="AH115" s="2877">
        <v>5.0399998524371847</v>
      </c>
      <c r="AI115" s="2875">
        <v>6830989</v>
      </c>
      <c r="AJ115" s="2869">
        <v>1.745465</v>
      </c>
      <c r="AK115" s="2870">
        <v>0</v>
      </c>
      <c r="AL115" s="2870">
        <v>8797144</v>
      </c>
      <c r="AM115" s="2870"/>
      <c r="AN115" s="2870"/>
      <c r="AO115" s="2877">
        <v>5.0400002291652939</v>
      </c>
      <c r="AP115" s="2875">
        <v>8797144</v>
      </c>
      <c r="AQ115" s="2869">
        <v>1.0005809999999999</v>
      </c>
      <c r="AR115" s="2870">
        <v>0</v>
      </c>
      <c r="AS115" s="2870">
        <v>5042928</v>
      </c>
      <c r="AT115" s="2870"/>
      <c r="AU115" s="2870"/>
      <c r="AV115" s="2877">
        <v>5.0399997601393594</v>
      </c>
      <c r="AW115" s="2875">
        <v>5042928</v>
      </c>
      <c r="AX115" s="2869">
        <v>16.789487000000001</v>
      </c>
      <c r="AY115" s="2870">
        <v>203663692</v>
      </c>
      <c r="AZ115" s="2870">
        <v>42578139</v>
      </c>
      <c r="BA115" s="2870">
        <v>629717</v>
      </c>
      <c r="BB115" s="2870"/>
      <c r="BC115" s="2877">
        <v>14.703936338257387</v>
      </c>
      <c r="BD115" s="2875">
        <v>246871548</v>
      </c>
      <c r="BE115" s="2869"/>
      <c r="BF115" s="2870"/>
      <c r="BG115" s="2870"/>
      <c r="BH115" s="2870"/>
      <c r="BI115" s="2870"/>
      <c r="BJ115" s="2877">
        <v>0</v>
      </c>
      <c r="BK115" s="2875">
        <v>0</v>
      </c>
      <c r="BL115" s="2869"/>
      <c r="BM115" s="2870"/>
      <c r="BN115" s="2870"/>
      <c r="BO115" s="2870"/>
      <c r="BP115" s="2870"/>
      <c r="BQ115" s="2877">
        <v>0</v>
      </c>
      <c r="BR115" s="2875">
        <v>0</v>
      </c>
      <c r="BS115" s="2869"/>
      <c r="BT115" s="2870"/>
      <c r="BU115" s="2870"/>
      <c r="BV115" s="2870"/>
      <c r="BW115" s="2870"/>
      <c r="BX115" s="2877">
        <v>0</v>
      </c>
      <c r="BY115" s="2875">
        <v>0</v>
      </c>
      <c r="BZ115" s="2869">
        <v>0.205095</v>
      </c>
      <c r="CA115" s="2870">
        <v>0</v>
      </c>
      <c r="CB115" s="2870">
        <v>1033679</v>
      </c>
      <c r="CC115" s="2870">
        <v>0</v>
      </c>
      <c r="CD115" s="2870"/>
      <c r="CE115" s="2877">
        <v>5.0400009751578541</v>
      </c>
      <c r="CF115" s="2875">
        <v>1033679</v>
      </c>
      <c r="CG115" s="2869">
        <v>0.84850599999999998</v>
      </c>
      <c r="CH115" s="2870">
        <v>0</v>
      </c>
      <c r="CI115" s="2870">
        <v>4276470</v>
      </c>
      <c r="CJ115" s="2870">
        <v>0</v>
      </c>
      <c r="CK115" s="2870"/>
      <c r="CL115" s="2877">
        <v>5.0399997171499082</v>
      </c>
      <c r="CM115" s="2875">
        <v>4276470</v>
      </c>
      <c r="CN115" s="2872">
        <v>1.3698109999999999</v>
      </c>
      <c r="CO115" s="2870"/>
      <c r="CP115" s="2874">
        <v>6903847</v>
      </c>
      <c r="CQ115" s="2893">
        <v>0</v>
      </c>
      <c r="CR115" s="2870"/>
      <c r="CS115" s="2877">
        <v>5.0399996787878036</v>
      </c>
      <c r="CT115" s="2875">
        <v>6903847</v>
      </c>
      <c r="CU115" s="2878">
        <v>25.486516000000002</v>
      </c>
      <c r="CV115" s="2870">
        <v>203663692</v>
      </c>
      <c r="CW115" s="2870">
        <v>86411165</v>
      </c>
      <c r="CX115" s="2870">
        <v>629717</v>
      </c>
      <c r="CY115" s="2870">
        <v>0</v>
      </c>
      <c r="CZ115" s="2879">
        <v>11.406210797897995</v>
      </c>
      <c r="DA115" s="2875">
        <v>290704574</v>
      </c>
      <c r="DJ115" s="1611" t="s">
        <v>1717</v>
      </c>
      <c r="DK115" s="2782" t="s">
        <v>1717</v>
      </c>
      <c r="DM115" s="1650">
        <v>3.3904659624720774</v>
      </c>
    </row>
    <row r="116" spans="1:117" ht="21" customHeight="1">
      <c r="A116" s="1652">
        <v>3</v>
      </c>
      <c r="B116" s="1644"/>
      <c r="C116" s="1639"/>
      <c r="D116" s="1640"/>
      <c r="E116" s="1640"/>
      <c r="F116" s="1640"/>
      <c r="G116" s="1640"/>
      <c r="H116" s="1640"/>
      <c r="I116" s="1648"/>
      <c r="J116" s="1649"/>
      <c r="K116" s="1648"/>
      <c r="L116" s="1640"/>
      <c r="M116" s="1640"/>
      <c r="N116" s="1642"/>
      <c r="O116" s="2876"/>
      <c r="P116" s="2870"/>
      <c r="Q116" s="2870"/>
      <c r="R116" s="2870"/>
      <c r="S116" s="2870"/>
      <c r="T116" s="2870"/>
      <c r="U116" s="2875">
        <v>0</v>
      </c>
      <c r="V116" s="2869"/>
      <c r="W116" s="2870"/>
      <c r="X116" s="2870"/>
      <c r="Y116" s="2870"/>
      <c r="Z116" s="2870"/>
      <c r="AA116" s="2877"/>
      <c r="AB116" s="2875">
        <v>0</v>
      </c>
      <c r="AC116" s="2869"/>
      <c r="AD116" s="2870"/>
      <c r="AE116" s="2870"/>
      <c r="AF116" s="2870"/>
      <c r="AG116" s="2870"/>
      <c r="AH116" s="2877"/>
      <c r="AI116" s="2875">
        <v>0</v>
      </c>
      <c r="AJ116" s="2869"/>
      <c r="AK116" s="2870"/>
      <c r="AL116" s="2870"/>
      <c r="AM116" s="2870">
        <v>0</v>
      </c>
      <c r="AN116" s="2870"/>
      <c r="AO116" s="2877"/>
      <c r="AP116" s="2875">
        <v>0</v>
      </c>
      <c r="AQ116" s="2869"/>
      <c r="AR116" s="2870"/>
      <c r="AS116" s="2870"/>
      <c r="AT116" s="2870"/>
      <c r="AU116" s="2870"/>
      <c r="AV116" s="2877"/>
      <c r="AW116" s="2875">
        <v>0</v>
      </c>
      <c r="AX116" s="2869"/>
      <c r="AY116" s="2870"/>
      <c r="AZ116" s="2870"/>
      <c r="BA116" s="2870"/>
      <c r="BB116" s="2870"/>
      <c r="BC116" s="2877"/>
      <c r="BD116" s="2875">
        <v>0</v>
      </c>
      <c r="BE116" s="2869"/>
      <c r="BF116" s="2870"/>
      <c r="BG116" s="2870"/>
      <c r="BH116" s="2870"/>
      <c r="BI116" s="2870"/>
      <c r="BJ116" s="2877"/>
      <c r="BK116" s="2875">
        <v>0</v>
      </c>
      <c r="BL116" s="2869"/>
      <c r="BM116" s="2870"/>
      <c r="BN116" s="2870"/>
      <c r="BO116" s="2870"/>
      <c r="BP116" s="2870"/>
      <c r="BQ116" s="2877"/>
      <c r="BR116" s="2875">
        <v>0</v>
      </c>
      <c r="BS116" s="2869"/>
      <c r="BT116" s="2870"/>
      <c r="BU116" s="2870"/>
      <c r="BV116" s="2870"/>
      <c r="BW116" s="2870"/>
      <c r="BX116" s="2877"/>
      <c r="BY116" s="2875">
        <v>0</v>
      </c>
      <c r="BZ116" s="2869"/>
      <c r="CA116" s="2870"/>
      <c r="CB116" s="2870"/>
      <c r="CC116" s="2870"/>
      <c r="CD116" s="2870"/>
      <c r="CE116" s="2877"/>
      <c r="CF116" s="2875">
        <v>0</v>
      </c>
      <c r="CG116" s="2869"/>
      <c r="CH116" s="2870"/>
      <c r="CI116" s="2870"/>
      <c r="CJ116" s="2870"/>
      <c r="CK116" s="2870"/>
      <c r="CL116" s="2877"/>
      <c r="CM116" s="2875">
        <v>0</v>
      </c>
      <c r="CN116" s="2872"/>
      <c r="CO116" s="2870"/>
      <c r="CP116" s="2870"/>
      <c r="CQ116" s="2870"/>
      <c r="CR116" s="2870"/>
      <c r="CS116" s="2877"/>
      <c r="CT116" s="2875">
        <v>0</v>
      </c>
      <c r="CU116" s="2878">
        <v>0</v>
      </c>
      <c r="CV116" s="2870">
        <v>0</v>
      </c>
      <c r="CW116" s="2870">
        <v>0</v>
      </c>
      <c r="CX116" s="2870">
        <v>0</v>
      </c>
      <c r="CY116" s="2870"/>
      <c r="CZ116" s="2879">
        <v>0</v>
      </c>
      <c r="DA116" s="2875">
        <v>0</v>
      </c>
      <c r="DJ116" s="1611" t="e">
        <v>#N/A</v>
      </c>
      <c r="DK116" s="2782" t="e">
        <v>#N/A</v>
      </c>
      <c r="DM116" s="1650">
        <v>0</v>
      </c>
    </row>
    <row r="117" spans="1:117" ht="21" customHeight="1">
      <c r="A117" s="1652">
        <v>4</v>
      </c>
      <c r="B117" s="1644"/>
      <c r="C117" s="1639"/>
      <c r="D117" s="1640"/>
      <c r="E117" s="1640"/>
      <c r="F117" s="1640"/>
      <c r="G117" s="1640"/>
      <c r="H117" s="1640"/>
      <c r="I117" s="1648"/>
      <c r="J117" s="1649"/>
      <c r="K117" s="1648"/>
      <c r="L117" s="1640"/>
      <c r="M117" s="1640"/>
      <c r="N117" s="1642"/>
      <c r="O117" s="2876"/>
      <c r="P117" s="2870"/>
      <c r="Q117" s="2870"/>
      <c r="R117" s="2870"/>
      <c r="S117" s="2870"/>
      <c r="T117" s="2870"/>
      <c r="U117" s="2875">
        <v>0</v>
      </c>
      <c r="V117" s="2869"/>
      <c r="W117" s="2870"/>
      <c r="X117" s="2870"/>
      <c r="Y117" s="2870"/>
      <c r="Z117" s="2870"/>
      <c r="AA117" s="2877"/>
      <c r="AB117" s="2875">
        <v>0</v>
      </c>
      <c r="AC117" s="2869"/>
      <c r="AD117" s="2870"/>
      <c r="AE117" s="2870"/>
      <c r="AF117" s="2870"/>
      <c r="AG117" s="2870"/>
      <c r="AH117" s="2877"/>
      <c r="AI117" s="2875">
        <v>0</v>
      </c>
      <c r="AJ117" s="2869"/>
      <c r="AK117" s="2870"/>
      <c r="AL117" s="2870"/>
      <c r="AM117" s="2870"/>
      <c r="AN117" s="2870"/>
      <c r="AO117" s="2877"/>
      <c r="AP117" s="2875">
        <v>0</v>
      </c>
      <c r="AQ117" s="2869"/>
      <c r="AR117" s="2870"/>
      <c r="AS117" s="2870"/>
      <c r="AT117" s="2870"/>
      <c r="AU117" s="2870"/>
      <c r="AV117" s="2877"/>
      <c r="AW117" s="2875">
        <v>0</v>
      </c>
      <c r="AX117" s="2869"/>
      <c r="AY117" s="2870"/>
      <c r="AZ117" s="2870"/>
      <c r="BA117" s="2870"/>
      <c r="BB117" s="2870"/>
      <c r="BC117" s="2877"/>
      <c r="BD117" s="2875">
        <v>0</v>
      </c>
      <c r="BE117" s="2869"/>
      <c r="BF117" s="2870"/>
      <c r="BG117" s="2870"/>
      <c r="BH117" s="2870"/>
      <c r="BI117" s="2870"/>
      <c r="BJ117" s="2877"/>
      <c r="BK117" s="2875">
        <v>0</v>
      </c>
      <c r="BL117" s="2869"/>
      <c r="BM117" s="2870"/>
      <c r="BN117" s="2870"/>
      <c r="BO117" s="2870"/>
      <c r="BP117" s="2870"/>
      <c r="BQ117" s="2877"/>
      <c r="BR117" s="2875">
        <v>0</v>
      </c>
      <c r="BS117" s="2869"/>
      <c r="BT117" s="2870"/>
      <c r="BU117" s="2870"/>
      <c r="BV117" s="2870"/>
      <c r="BW117" s="2870"/>
      <c r="BX117" s="2877"/>
      <c r="BY117" s="2875">
        <v>0</v>
      </c>
      <c r="BZ117" s="2869"/>
      <c r="CA117" s="2870"/>
      <c r="CB117" s="2870"/>
      <c r="CC117" s="2870"/>
      <c r="CD117" s="2870"/>
      <c r="CE117" s="2877"/>
      <c r="CF117" s="2875">
        <v>0</v>
      </c>
      <c r="CG117" s="2869"/>
      <c r="CH117" s="2870"/>
      <c r="CI117" s="2870"/>
      <c r="CJ117" s="2870"/>
      <c r="CK117" s="2870"/>
      <c r="CL117" s="2877"/>
      <c r="CM117" s="2875">
        <v>0</v>
      </c>
      <c r="CN117" s="2872"/>
      <c r="CO117" s="2870"/>
      <c r="CP117" s="2870"/>
      <c r="CQ117" s="2870"/>
      <c r="CR117" s="2870"/>
      <c r="CS117" s="2877"/>
      <c r="CT117" s="2875">
        <v>0</v>
      </c>
      <c r="CU117" s="2878">
        <v>0</v>
      </c>
      <c r="CV117" s="2870">
        <v>0</v>
      </c>
      <c r="CW117" s="2870">
        <v>0</v>
      </c>
      <c r="CX117" s="2870">
        <v>0</v>
      </c>
      <c r="CY117" s="2870"/>
      <c r="CZ117" s="2879">
        <v>0</v>
      </c>
      <c r="DA117" s="2875">
        <v>0</v>
      </c>
      <c r="DJ117" s="1611" t="e">
        <v>#N/A</v>
      </c>
      <c r="DK117" s="2782" t="e">
        <v>#N/A</v>
      </c>
      <c r="DM117" s="1650">
        <v>0</v>
      </c>
    </row>
    <row r="118" spans="1:117" ht="21" customHeight="1">
      <c r="A118" s="1652">
        <v>5</v>
      </c>
      <c r="B118" s="1644"/>
      <c r="C118" s="1639"/>
      <c r="D118" s="1640"/>
      <c r="E118" s="1640"/>
      <c r="F118" s="1640"/>
      <c r="G118" s="1640"/>
      <c r="H118" s="1640"/>
      <c r="I118" s="1648"/>
      <c r="J118" s="1649"/>
      <c r="K118" s="1648"/>
      <c r="L118" s="1640"/>
      <c r="M118" s="1640"/>
      <c r="N118" s="1642"/>
      <c r="O118" s="2876"/>
      <c r="P118" s="2870"/>
      <c r="Q118" s="2870"/>
      <c r="R118" s="2870"/>
      <c r="S118" s="2870"/>
      <c r="T118" s="2870"/>
      <c r="U118" s="2875">
        <v>0</v>
      </c>
      <c r="V118" s="2869"/>
      <c r="W118" s="2870"/>
      <c r="X118" s="2870"/>
      <c r="Y118" s="2870"/>
      <c r="Z118" s="2870"/>
      <c r="AA118" s="2877"/>
      <c r="AB118" s="2875">
        <v>0</v>
      </c>
      <c r="AC118" s="2869"/>
      <c r="AD118" s="2870"/>
      <c r="AE118" s="2870"/>
      <c r="AF118" s="2870"/>
      <c r="AG118" s="2870"/>
      <c r="AH118" s="2877"/>
      <c r="AI118" s="2875">
        <v>0</v>
      </c>
      <c r="AJ118" s="2869"/>
      <c r="AK118" s="2870"/>
      <c r="AL118" s="2870"/>
      <c r="AM118" s="2870"/>
      <c r="AN118" s="2870"/>
      <c r="AO118" s="2877"/>
      <c r="AP118" s="2875">
        <v>0</v>
      </c>
      <c r="AQ118" s="2869"/>
      <c r="AR118" s="2870"/>
      <c r="AS118" s="2870"/>
      <c r="AT118" s="2870"/>
      <c r="AU118" s="2870"/>
      <c r="AV118" s="2877"/>
      <c r="AW118" s="2875">
        <v>0</v>
      </c>
      <c r="AX118" s="2869"/>
      <c r="AY118" s="2870"/>
      <c r="AZ118" s="2870"/>
      <c r="BA118" s="2870"/>
      <c r="BB118" s="2870"/>
      <c r="BC118" s="2877"/>
      <c r="BD118" s="2875">
        <v>0</v>
      </c>
      <c r="BE118" s="2869"/>
      <c r="BF118" s="2870"/>
      <c r="BG118" s="2870"/>
      <c r="BH118" s="2870"/>
      <c r="BI118" s="2870"/>
      <c r="BJ118" s="2877"/>
      <c r="BK118" s="2875">
        <v>0</v>
      </c>
      <c r="BL118" s="2869"/>
      <c r="BM118" s="2870"/>
      <c r="BN118" s="2870"/>
      <c r="BO118" s="2870"/>
      <c r="BP118" s="2870"/>
      <c r="BQ118" s="2877"/>
      <c r="BR118" s="2875">
        <v>0</v>
      </c>
      <c r="BS118" s="2869"/>
      <c r="BT118" s="2870"/>
      <c r="BU118" s="2870"/>
      <c r="BV118" s="2870"/>
      <c r="BW118" s="2870"/>
      <c r="BX118" s="2877"/>
      <c r="BY118" s="2875">
        <v>0</v>
      </c>
      <c r="BZ118" s="2869"/>
      <c r="CA118" s="2870"/>
      <c r="CB118" s="2870"/>
      <c r="CC118" s="2870"/>
      <c r="CD118" s="2870"/>
      <c r="CE118" s="2877"/>
      <c r="CF118" s="2875">
        <v>0</v>
      </c>
      <c r="CG118" s="2869"/>
      <c r="CH118" s="2870"/>
      <c r="CI118" s="2870"/>
      <c r="CJ118" s="2870"/>
      <c r="CK118" s="2870"/>
      <c r="CL118" s="2877"/>
      <c r="CM118" s="2875">
        <v>0</v>
      </c>
      <c r="CN118" s="2872"/>
      <c r="CO118" s="2870"/>
      <c r="CP118" s="2870"/>
      <c r="CQ118" s="2870"/>
      <c r="CR118" s="2870"/>
      <c r="CS118" s="2877"/>
      <c r="CT118" s="2875">
        <v>0</v>
      </c>
      <c r="CU118" s="2878">
        <v>0</v>
      </c>
      <c r="CV118" s="2870">
        <v>0</v>
      </c>
      <c r="CW118" s="2870">
        <v>0</v>
      </c>
      <c r="CX118" s="2870">
        <v>0</v>
      </c>
      <c r="CY118" s="2870"/>
      <c r="CZ118" s="2879">
        <v>0</v>
      </c>
      <c r="DA118" s="2875">
        <v>0</v>
      </c>
      <c r="DJ118" s="1611" t="e">
        <v>#N/A</v>
      </c>
      <c r="DK118" s="2782" t="e">
        <v>#N/A</v>
      </c>
      <c r="DM118" s="1650">
        <v>0</v>
      </c>
    </row>
    <row r="119" spans="1:117" s="1727" customFormat="1" ht="21" customHeight="1">
      <c r="A119" s="1637"/>
      <c r="B119" s="1638" t="s">
        <v>211</v>
      </c>
      <c r="C119" s="1643"/>
      <c r="D119" s="1641"/>
      <c r="E119" s="1641"/>
      <c r="F119" s="1641"/>
      <c r="G119" s="1641"/>
      <c r="H119" s="1641"/>
      <c r="I119" s="1641"/>
      <c r="J119" s="1649"/>
      <c r="K119" s="1641"/>
      <c r="L119" s="1641"/>
      <c r="M119" s="1641"/>
      <c r="N119" s="1671"/>
      <c r="O119" s="2876">
        <v>29.435471</v>
      </c>
      <c r="P119" s="2874">
        <v>147566719</v>
      </c>
      <c r="Q119" s="2874">
        <v>74829502</v>
      </c>
      <c r="R119" s="2874">
        <v>0</v>
      </c>
      <c r="S119" s="2874"/>
      <c r="T119" s="2879">
        <v>7.5553817705176183</v>
      </c>
      <c r="U119" s="2875">
        <v>222396221</v>
      </c>
      <c r="V119" s="2876">
        <v>52.864635999999997</v>
      </c>
      <c r="W119" s="2874">
        <v>148796073</v>
      </c>
      <c r="X119" s="2874">
        <v>132592055</v>
      </c>
      <c r="Y119" s="2874">
        <v>0</v>
      </c>
      <c r="Z119" s="2874">
        <v>0</v>
      </c>
      <c r="AA119" s="2879">
        <v>5.3228046060886527</v>
      </c>
      <c r="AB119" s="2875">
        <v>281388128</v>
      </c>
      <c r="AC119" s="2876">
        <v>105.034778</v>
      </c>
      <c r="AD119" s="2874">
        <v>150497174</v>
      </c>
      <c r="AE119" s="2874">
        <v>261052934</v>
      </c>
      <c r="AF119" s="2874">
        <v>0</v>
      </c>
      <c r="AG119" s="2874">
        <v>0</v>
      </c>
      <c r="AH119" s="2879">
        <v>3.9182270466644868</v>
      </c>
      <c r="AI119" s="2875">
        <v>411550108</v>
      </c>
      <c r="AJ119" s="2876">
        <v>141.18923999999998</v>
      </c>
      <c r="AK119" s="2874">
        <v>170669845</v>
      </c>
      <c r="AL119" s="2874">
        <v>350713280</v>
      </c>
      <c r="AM119" s="2874">
        <v>0</v>
      </c>
      <c r="AN119" s="2874">
        <v>0</v>
      </c>
      <c r="AO119" s="2879">
        <v>3.6927964553106181</v>
      </c>
      <c r="AP119" s="2875">
        <v>521383125</v>
      </c>
      <c r="AQ119" s="2876">
        <v>144.895928</v>
      </c>
      <c r="AR119" s="2874">
        <v>170907014</v>
      </c>
      <c r="AS119" s="2874">
        <v>357874319</v>
      </c>
      <c r="AT119" s="2874">
        <v>0</v>
      </c>
      <c r="AU119" s="2874">
        <v>0</v>
      </c>
      <c r="AV119" s="2879">
        <v>3.6493871173522558</v>
      </c>
      <c r="AW119" s="2875">
        <v>528781333</v>
      </c>
      <c r="AX119" s="2876">
        <v>105.11126300000001</v>
      </c>
      <c r="AY119" s="2874">
        <v>369207588</v>
      </c>
      <c r="AZ119" s="2874">
        <v>259143134</v>
      </c>
      <c r="BA119" s="2874">
        <v>629717</v>
      </c>
      <c r="BB119" s="2874">
        <v>0</v>
      </c>
      <c r="BC119" s="2879">
        <v>5.9839490179087651</v>
      </c>
      <c r="BD119" s="2875">
        <v>628980439</v>
      </c>
      <c r="BE119" s="2876">
        <v>34.642648000000001</v>
      </c>
      <c r="BF119" s="2874">
        <v>162829425</v>
      </c>
      <c r="BG119" s="2874">
        <v>84943773</v>
      </c>
      <c r="BH119" s="2874">
        <v>0</v>
      </c>
      <c r="BI119" s="2874">
        <v>0</v>
      </c>
      <c r="BJ119" s="2879">
        <v>7.1522592037421617</v>
      </c>
      <c r="BK119" s="2875">
        <v>247773198</v>
      </c>
      <c r="BL119" s="2876">
        <v>19.217081</v>
      </c>
      <c r="BM119" s="2874">
        <v>147905811</v>
      </c>
      <c r="BN119" s="2874">
        <v>47120283</v>
      </c>
      <c r="BO119" s="2874">
        <v>0</v>
      </c>
      <c r="BP119" s="2874">
        <v>0</v>
      </c>
      <c r="BQ119" s="2879">
        <v>10.148580525835323</v>
      </c>
      <c r="BR119" s="2875">
        <v>195026094</v>
      </c>
      <c r="BS119" s="2876">
        <v>16.313099000000001</v>
      </c>
      <c r="BT119" s="2874">
        <v>142382318</v>
      </c>
      <c r="BU119" s="2874">
        <v>39999719</v>
      </c>
      <c r="BV119" s="2874">
        <v>0</v>
      </c>
      <c r="BW119" s="2874">
        <v>0</v>
      </c>
      <c r="BX119" s="2879">
        <v>11.1800974787194</v>
      </c>
      <c r="BY119" s="2875">
        <v>182382037</v>
      </c>
      <c r="BZ119" s="2876">
        <v>16.339359000000002</v>
      </c>
      <c r="CA119" s="2874">
        <v>152836004</v>
      </c>
      <c r="CB119" s="2874">
        <v>40594894</v>
      </c>
      <c r="CC119" s="2874">
        <v>0</v>
      </c>
      <c r="CD119" s="2874">
        <v>0</v>
      </c>
      <c r="CE119" s="2879">
        <v>11.838340659508123</v>
      </c>
      <c r="CF119" s="2875">
        <v>193430898</v>
      </c>
      <c r="CG119" s="2876">
        <v>14.297737</v>
      </c>
      <c r="CH119" s="2874">
        <v>127463683</v>
      </c>
      <c r="CI119" s="2874">
        <v>23534191</v>
      </c>
      <c r="CJ119" s="2874">
        <v>0</v>
      </c>
      <c r="CK119" s="2874">
        <v>0</v>
      </c>
      <c r="CL119" s="2879">
        <v>10.560963178998186</v>
      </c>
      <c r="CM119" s="2875">
        <v>150997874</v>
      </c>
      <c r="CN119" s="2880">
        <v>17.025278</v>
      </c>
      <c r="CO119" s="2874">
        <v>0</v>
      </c>
      <c r="CP119" s="2874">
        <v>174444022</v>
      </c>
      <c r="CQ119" s="2874">
        <v>0</v>
      </c>
      <c r="CR119" s="2874">
        <v>0</v>
      </c>
      <c r="CS119" s="2879">
        <v>10.246177595455416</v>
      </c>
      <c r="CT119" s="2875">
        <v>174444022</v>
      </c>
      <c r="CU119" s="2881">
        <v>696.36651800000016</v>
      </c>
      <c r="CV119" s="2874">
        <v>1891061654</v>
      </c>
      <c r="CW119" s="2874">
        <v>1846842106</v>
      </c>
      <c r="CX119" s="2874">
        <v>629717</v>
      </c>
      <c r="CY119" s="2874">
        <v>0</v>
      </c>
      <c r="CZ119" s="2879">
        <v>5.3686289911485945</v>
      </c>
      <c r="DA119" s="2875">
        <v>3738533477</v>
      </c>
      <c r="DB119" s="1609"/>
      <c r="DD119" s="1625"/>
      <c r="DJ119" s="1611" t="e">
        <v>#N/A</v>
      </c>
      <c r="DK119" s="2782">
        <v>0</v>
      </c>
      <c r="DM119" s="1650">
        <v>2.6521121539620025</v>
      </c>
    </row>
    <row r="120" spans="1:117" ht="21" customHeight="1">
      <c r="A120" s="1652"/>
      <c r="B120" s="1644"/>
      <c r="C120" s="1662"/>
      <c r="D120" s="1648"/>
      <c r="E120" s="1648"/>
      <c r="F120" s="1648"/>
      <c r="G120" s="1648"/>
      <c r="H120" s="1648"/>
      <c r="I120" s="1648"/>
      <c r="J120" s="1663"/>
      <c r="K120" s="1648"/>
      <c r="L120" s="1648"/>
      <c r="M120" s="1648"/>
      <c r="N120" s="1642"/>
      <c r="O120" s="2876"/>
      <c r="P120" s="2870"/>
      <c r="Q120" s="2870"/>
      <c r="R120" s="2870"/>
      <c r="S120" s="2870"/>
      <c r="T120" s="2870"/>
      <c r="U120" s="2875">
        <v>0</v>
      </c>
      <c r="V120" s="2869"/>
      <c r="W120" s="2870"/>
      <c r="X120" s="2870"/>
      <c r="Y120" s="2870"/>
      <c r="Z120" s="2870"/>
      <c r="AA120" s="2877">
        <v>0</v>
      </c>
      <c r="AB120" s="2875">
        <v>0</v>
      </c>
      <c r="AC120" s="2869"/>
      <c r="AD120" s="2870"/>
      <c r="AE120" s="2870"/>
      <c r="AF120" s="2870"/>
      <c r="AG120" s="2870"/>
      <c r="AH120" s="2877">
        <v>0</v>
      </c>
      <c r="AI120" s="2875">
        <v>0</v>
      </c>
      <c r="AJ120" s="2869"/>
      <c r="AK120" s="2870"/>
      <c r="AL120" s="2870"/>
      <c r="AM120" s="2870"/>
      <c r="AN120" s="2870"/>
      <c r="AO120" s="2877">
        <v>0</v>
      </c>
      <c r="AP120" s="2875">
        <v>0</v>
      </c>
      <c r="AQ120" s="2869"/>
      <c r="AR120" s="2870"/>
      <c r="AS120" s="2870"/>
      <c r="AT120" s="2870"/>
      <c r="AU120" s="2870"/>
      <c r="AV120" s="2877">
        <v>0</v>
      </c>
      <c r="AW120" s="2875">
        <v>0</v>
      </c>
      <c r="AX120" s="2869"/>
      <c r="AY120" s="2870"/>
      <c r="AZ120" s="2870"/>
      <c r="BA120" s="2870"/>
      <c r="BB120" s="2870"/>
      <c r="BC120" s="2877">
        <v>0</v>
      </c>
      <c r="BD120" s="2875">
        <v>0</v>
      </c>
      <c r="BE120" s="2869"/>
      <c r="BF120" s="2870"/>
      <c r="BG120" s="2870"/>
      <c r="BH120" s="2870"/>
      <c r="BI120" s="2870"/>
      <c r="BJ120" s="2877">
        <v>0</v>
      </c>
      <c r="BK120" s="2875">
        <v>0</v>
      </c>
      <c r="BL120" s="2869"/>
      <c r="BM120" s="2870"/>
      <c r="BN120" s="2870"/>
      <c r="BO120" s="2870"/>
      <c r="BP120" s="2870"/>
      <c r="BQ120" s="2877">
        <v>0</v>
      </c>
      <c r="BR120" s="2875">
        <v>0</v>
      </c>
      <c r="BS120" s="2869"/>
      <c r="BT120" s="2870"/>
      <c r="BU120" s="2870"/>
      <c r="BV120" s="2870"/>
      <c r="BW120" s="2870"/>
      <c r="BX120" s="2877">
        <v>0</v>
      </c>
      <c r="BY120" s="2875">
        <v>0</v>
      </c>
      <c r="BZ120" s="2869"/>
      <c r="CA120" s="2870"/>
      <c r="CB120" s="2870"/>
      <c r="CC120" s="2870"/>
      <c r="CD120" s="2870"/>
      <c r="CE120" s="2877">
        <v>0</v>
      </c>
      <c r="CF120" s="2875">
        <v>0</v>
      </c>
      <c r="CG120" s="2869"/>
      <c r="CH120" s="2870"/>
      <c r="CI120" s="2870"/>
      <c r="CJ120" s="2870"/>
      <c r="CK120" s="2870"/>
      <c r="CL120" s="2877">
        <v>0</v>
      </c>
      <c r="CM120" s="2875">
        <v>0</v>
      </c>
      <c r="CN120" s="2872"/>
      <c r="CO120" s="2870"/>
      <c r="CP120" s="2870"/>
      <c r="CQ120" s="2870"/>
      <c r="CR120" s="2870"/>
      <c r="CS120" s="2877">
        <v>0</v>
      </c>
      <c r="CT120" s="2875">
        <v>0</v>
      </c>
      <c r="CU120" s="2878"/>
      <c r="CV120" s="2870"/>
      <c r="CW120" s="2870"/>
      <c r="CX120" s="2870"/>
      <c r="CY120" s="2870"/>
      <c r="CZ120" s="2879"/>
      <c r="DA120" s="2875"/>
      <c r="DJ120" s="1611" t="e">
        <v>#N/A</v>
      </c>
      <c r="DK120" s="2782" t="e">
        <v>#N/A</v>
      </c>
      <c r="DM120" s="1650">
        <v>0</v>
      </c>
    </row>
    <row r="121" spans="1:117" ht="21" customHeight="1">
      <c r="A121" s="1652" t="s">
        <v>30</v>
      </c>
      <c r="B121" s="1638" t="s">
        <v>1744</v>
      </c>
      <c r="C121" s="1662"/>
      <c r="D121" s="1648"/>
      <c r="E121" s="1648"/>
      <c r="F121" s="1648"/>
      <c r="G121" s="1648"/>
      <c r="H121" s="1648"/>
      <c r="I121" s="1648"/>
      <c r="J121" s="1663"/>
      <c r="K121" s="1648"/>
      <c r="L121" s="1648"/>
      <c r="M121" s="1648"/>
      <c r="N121" s="1642"/>
      <c r="O121" s="2876"/>
      <c r="P121" s="2870"/>
      <c r="Q121" s="2870"/>
      <c r="R121" s="2870"/>
      <c r="S121" s="2870"/>
      <c r="T121" s="2870"/>
      <c r="U121" s="2875">
        <v>0</v>
      </c>
      <c r="V121" s="2869"/>
      <c r="W121" s="2870"/>
      <c r="X121" s="2870"/>
      <c r="Y121" s="2870"/>
      <c r="Z121" s="2870"/>
      <c r="AA121" s="2877">
        <v>0</v>
      </c>
      <c r="AB121" s="2875">
        <v>0</v>
      </c>
      <c r="AC121" s="2869"/>
      <c r="AD121" s="2870"/>
      <c r="AE121" s="2870"/>
      <c r="AF121" s="2870"/>
      <c r="AG121" s="2870"/>
      <c r="AH121" s="2877">
        <v>0</v>
      </c>
      <c r="AI121" s="2875">
        <v>0</v>
      </c>
      <c r="AJ121" s="2869"/>
      <c r="AK121" s="2870"/>
      <c r="AL121" s="2870"/>
      <c r="AM121" s="2870"/>
      <c r="AN121" s="2870"/>
      <c r="AO121" s="2877">
        <v>0</v>
      </c>
      <c r="AP121" s="2875">
        <v>0</v>
      </c>
      <c r="AQ121" s="2869"/>
      <c r="AR121" s="2870"/>
      <c r="AS121" s="2870"/>
      <c r="AT121" s="2870"/>
      <c r="AU121" s="2870"/>
      <c r="AV121" s="2877">
        <v>0</v>
      </c>
      <c r="AW121" s="2875">
        <v>0</v>
      </c>
      <c r="AX121" s="2869"/>
      <c r="AY121" s="2870"/>
      <c r="AZ121" s="2870"/>
      <c r="BA121" s="2870"/>
      <c r="BB121" s="2870"/>
      <c r="BC121" s="2877">
        <v>0</v>
      </c>
      <c r="BD121" s="2875">
        <v>0</v>
      </c>
      <c r="BE121" s="2869"/>
      <c r="BF121" s="2870"/>
      <c r="BG121" s="2870"/>
      <c r="BH121" s="2870"/>
      <c r="BI121" s="2870"/>
      <c r="BJ121" s="2877">
        <v>0</v>
      </c>
      <c r="BK121" s="2875">
        <v>0</v>
      </c>
      <c r="BL121" s="2869"/>
      <c r="BM121" s="2870"/>
      <c r="BN121" s="2870"/>
      <c r="BO121" s="2870"/>
      <c r="BP121" s="2870"/>
      <c r="BQ121" s="2877">
        <v>0</v>
      </c>
      <c r="BR121" s="2875">
        <v>0</v>
      </c>
      <c r="BS121" s="2869"/>
      <c r="BT121" s="2870"/>
      <c r="BU121" s="2870"/>
      <c r="BV121" s="2870"/>
      <c r="BW121" s="2870"/>
      <c r="BX121" s="2877">
        <v>0</v>
      </c>
      <c r="BY121" s="2875">
        <v>0</v>
      </c>
      <c r="BZ121" s="2869"/>
      <c r="CA121" s="2870"/>
      <c r="CB121" s="2870"/>
      <c r="CC121" s="2870"/>
      <c r="CD121" s="2870"/>
      <c r="CE121" s="2877">
        <v>0</v>
      </c>
      <c r="CF121" s="2875">
        <v>0</v>
      </c>
      <c r="CG121" s="2869"/>
      <c r="CH121" s="2870"/>
      <c r="CI121" s="2870"/>
      <c r="CJ121" s="2870"/>
      <c r="CK121" s="2870"/>
      <c r="CL121" s="2877">
        <v>0</v>
      </c>
      <c r="CM121" s="2875">
        <v>0</v>
      </c>
      <c r="CN121" s="2872"/>
      <c r="CO121" s="2870"/>
      <c r="CP121" s="2870"/>
      <c r="CQ121" s="2870"/>
      <c r="CR121" s="2870"/>
      <c r="CS121" s="2877">
        <v>0</v>
      </c>
      <c r="CT121" s="2875">
        <v>0</v>
      </c>
      <c r="CU121" s="2878"/>
      <c r="CV121" s="2870"/>
      <c r="CW121" s="2870"/>
      <c r="CX121" s="2870"/>
      <c r="CY121" s="2870"/>
      <c r="CZ121" s="2879"/>
      <c r="DA121" s="2875"/>
      <c r="DJ121" s="1611" t="e">
        <v>#N/A</v>
      </c>
      <c r="DK121" s="2782">
        <v>0</v>
      </c>
      <c r="DM121" s="1650">
        <v>0</v>
      </c>
    </row>
    <row r="122" spans="1:117" ht="21" customHeight="1">
      <c r="A122" s="1652"/>
      <c r="B122" s="1638" t="s">
        <v>1745</v>
      </c>
      <c r="C122" s="1662"/>
      <c r="D122" s="1648"/>
      <c r="E122" s="1648"/>
      <c r="F122" s="1683"/>
      <c r="G122" s="1648"/>
      <c r="H122" s="1648"/>
      <c r="I122" s="1648"/>
      <c r="J122" s="1649"/>
      <c r="K122" s="1648"/>
      <c r="L122" s="1648"/>
      <c r="M122" s="1648"/>
      <c r="N122" s="1642"/>
      <c r="O122" s="2876"/>
      <c r="P122" s="2870"/>
      <c r="Q122" s="2870"/>
      <c r="R122" s="2870"/>
      <c r="S122" s="2870"/>
      <c r="T122" s="2870"/>
      <c r="U122" s="2875">
        <v>0</v>
      </c>
      <c r="V122" s="2869"/>
      <c r="W122" s="2870"/>
      <c r="X122" s="2870"/>
      <c r="Y122" s="2870"/>
      <c r="Z122" s="2870"/>
      <c r="AA122" s="2877">
        <v>0</v>
      </c>
      <c r="AB122" s="2875">
        <v>0</v>
      </c>
      <c r="AC122" s="2869"/>
      <c r="AD122" s="2870"/>
      <c r="AE122" s="2870"/>
      <c r="AF122" s="2870"/>
      <c r="AG122" s="2870"/>
      <c r="AH122" s="2877">
        <v>0</v>
      </c>
      <c r="AI122" s="2875">
        <v>0</v>
      </c>
      <c r="AJ122" s="2869"/>
      <c r="AK122" s="2870"/>
      <c r="AL122" s="2870"/>
      <c r="AM122" s="2870"/>
      <c r="AN122" s="2870"/>
      <c r="AO122" s="2877">
        <v>0</v>
      </c>
      <c r="AP122" s="2875">
        <v>0</v>
      </c>
      <c r="AQ122" s="2869"/>
      <c r="AR122" s="2870"/>
      <c r="AS122" s="2870"/>
      <c r="AT122" s="2870"/>
      <c r="AU122" s="2870"/>
      <c r="AV122" s="2877">
        <v>0</v>
      </c>
      <c r="AW122" s="2875">
        <v>0</v>
      </c>
      <c r="AX122" s="2869"/>
      <c r="AY122" s="2870"/>
      <c r="AZ122" s="2870"/>
      <c r="BA122" s="2870"/>
      <c r="BB122" s="2870"/>
      <c r="BC122" s="2877">
        <v>0</v>
      </c>
      <c r="BD122" s="2875">
        <v>0</v>
      </c>
      <c r="BE122" s="2869"/>
      <c r="BF122" s="2870"/>
      <c r="BG122" s="2870"/>
      <c r="BH122" s="2870"/>
      <c r="BI122" s="2870"/>
      <c r="BJ122" s="2877">
        <v>0</v>
      </c>
      <c r="BK122" s="2875">
        <v>0</v>
      </c>
      <c r="BL122" s="2869"/>
      <c r="BM122" s="2870"/>
      <c r="BN122" s="2870"/>
      <c r="BO122" s="2870"/>
      <c r="BP122" s="2870"/>
      <c r="BQ122" s="2877">
        <v>0</v>
      </c>
      <c r="BR122" s="2875">
        <v>0</v>
      </c>
      <c r="BS122" s="2869"/>
      <c r="BT122" s="2870"/>
      <c r="BU122" s="2870"/>
      <c r="BV122" s="2870"/>
      <c r="BW122" s="2870"/>
      <c r="BX122" s="2877">
        <v>0</v>
      </c>
      <c r="BY122" s="2875">
        <v>0</v>
      </c>
      <c r="BZ122" s="2869"/>
      <c r="CA122" s="2870"/>
      <c r="CB122" s="2870"/>
      <c r="CC122" s="2870"/>
      <c r="CD122" s="2870"/>
      <c r="CE122" s="2877">
        <v>0</v>
      </c>
      <c r="CF122" s="2875">
        <v>0</v>
      </c>
      <c r="CG122" s="2869"/>
      <c r="CH122" s="2870"/>
      <c r="CI122" s="2870"/>
      <c r="CJ122" s="2870"/>
      <c r="CK122" s="2870"/>
      <c r="CL122" s="2877">
        <v>0</v>
      </c>
      <c r="CM122" s="2875">
        <v>0</v>
      </c>
      <c r="CN122" s="2872"/>
      <c r="CO122" s="2870"/>
      <c r="CP122" s="2870"/>
      <c r="CQ122" s="2870"/>
      <c r="CR122" s="2870"/>
      <c r="CS122" s="2877">
        <v>0</v>
      </c>
      <c r="CT122" s="2875">
        <v>0</v>
      </c>
      <c r="CU122" s="2878"/>
      <c r="CV122" s="2870"/>
      <c r="CW122" s="2870"/>
      <c r="CX122" s="2870"/>
      <c r="CY122" s="2870"/>
      <c r="CZ122" s="2879"/>
      <c r="DA122" s="2875"/>
      <c r="DJ122" s="1611" t="e">
        <v>#N/A</v>
      </c>
      <c r="DK122" s="2782">
        <v>0</v>
      </c>
      <c r="DM122" s="1650">
        <v>0</v>
      </c>
    </row>
    <row r="123" spans="1:117" ht="21" customHeight="1">
      <c r="A123" s="1652">
        <v>1</v>
      </c>
      <c r="B123" s="1644" t="s">
        <v>1746</v>
      </c>
      <c r="C123" s="1684">
        <v>1000</v>
      </c>
      <c r="D123" s="1646">
        <v>37.4</v>
      </c>
      <c r="E123" s="1646">
        <v>63.915999999999997</v>
      </c>
      <c r="F123" s="1651">
        <v>1.2</v>
      </c>
      <c r="G123" s="1648"/>
      <c r="H123" s="1648">
        <v>374</v>
      </c>
      <c r="I123" s="1648" t="s">
        <v>1717</v>
      </c>
      <c r="J123" s="1649">
        <v>1</v>
      </c>
      <c r="K123" s="1648"/>
      <c r="L123" s="1648"/>
      <c r="M123" s="1648"/>
      <c r="N123" s="1642"/>
      <c r="O123" s="2876">
        <v>63.399304999999998</v>
      </c>
      <c r="P123" s="2870">
        <v>169099864</v>
      </c>
      <c r="Q123" s="2870">
        <v>129841778</v>
      </c>
      <c r="R123" s="2870">
        <v>193132</v>
      </c>
      <c r="S123" s="2870"/>
      <c r="T123" s="2870">
        <v>4.718265823260996</v>
      </c>
      <c r="U123" s="2875">
        <v>299134774</v>
      </c>
      <c r="V123" s="2869">
        <v>93.110190000000003</v>
      </c>
      <c r="W123" s="2870">
        <v>162683007</v>
      </c>
      <c r="X123" s="2870">
        <v>190689670</v>
      </c>
      <c r="Y123" s="2870">
        <v>192748</v>
      </c>
      <c r="Z123" s="2870"/>
      <c r="AA123" s="2877">
        <v>3.7972795995798099</v>
      </c>
      <c r="AB123" s="2875">
        <v>353565425</v>
      </c>
      <c r="AC123" s="2869">
        <v>131.08255299999999</v>
      </c>
      <c r="AD123" s="2870">
        <v>268457068</v>
      </c>
      <c r="AE123" s="2870">
        <v>127314156</v>
      </c>
      <c r="AF123" s="2870">
        <v>-95229693</v>
      </c>
      <c r="AG123" s="2870"/>
      <c r="AH123" s="2877">
        <v>2.2927653156099272</v>
      </c>
      <c r="AI123" s="2875">
        <v>300541531</v>
      </c>
      <c r="AJ123" s="2869">
        <v>92.650088999999994</v>
      </c>
      <c r="AK123" s="2870">
        <v>189747384</v>
      </c>
      <c r="AL123" s="2870">
        <v>181266713</v>
      </c>
      <c r="AM123" s="2870">
        <v>209442</v>
      </c>
      <c r="AN123" s="2870"/>
      <c r="AO123" s="2877">
        <v>4.0067261996909682</v>
      </c>
      <c r="AP123" s="2875">
        <v>371223539</v>
      </c>
      <c r="AQ123" s="2869">
        <v>130.190437</v>
      </c>
      <c r="AR123" s="2870">
        <v>266630015</v>
      </c>
      <c r="AS123" s="2870">
        <v>250773671</v>
      </c>
      <c r="AT123" s="2870">
        <v>-12642834</v>
      </c>
      <c r="AU123" s="2870"/>
      <c r="AV123" s="2877">
        <v>3.8770962263533995</v>
      </c>
      <c r="AW123" s="2875">
        <v>504760852</v>
      </c>
      <c r="AX123" s="2869">
        <v>134.101731</v>
      </c>
      <c r="AY123" s="2870">
        <v>274640346</v>
      </c>
      <c r="AZ123" s="2870">
        <v>262251563</v>
      </c>
      <c r="BA123" s="2870">
        <v>586845</v>
      </c>
      <c r="BB123" s="2870"/>
      <c r="BC123" s="2877">
        <v>4.0079926634205787</v>
      </c>
      <c r="BD123" s="2875">
        <v>537478754</v>
      </c>
      <c r="BE123" s="2869">
        <v>76.107881000000006</v>
      </c>
      <c r="BF123" s="2870">
        <v>155868941</v>
      </c>
      <c r="BG123" s="2870">
        <v>260128348</v>
      </c>
      <c r="BH123" s="2870">
        <v>-225678</v>
      </c>
      <c r="BI123" s="2870"/>
      <c r="BJ123" s="2877">
        <v>5.4629245425976318</v>
      </c>
      <c r="BK123" s="2875">
        <v>415771611</v>
      </c>
      <c r="BL123" s="2869">
        <v>76.943066000000002</v>
      </c>
      <c r="BM123" s="2870">
        <v>157579399</v>
      </c>
      <c r="BN123" s="2870">
        <v>241224017</v>
      </c>
      <c r="BO123" s="2870">
        <v>168823</v>
      </c>
      <c r="BP123" s="2870"/>
      <c r="BQ123" s="2877">
        <v>5.1852916674778724</v>
      </c>
      <c r="BR123" s="2875">
        <v>398972239</v>
      </c>
      <c r="BS123" s="2869">
        <v>119.786078</v>
      </c>
      <c r="BT123" s="2870">
        <v>247901013</v>
      </c>
      <c r="BU123" s="2870">
        <v>245321889</v>
      </c>
      <c r="BV123" s="2870">
        <v>168596</v>
      </c>
      <c r="BW123" s="2870"/>
      <c r="BX123" s="2877">
        <v>4.1189385798239426</v>
      </c>
      <c r="BY123" s="2875">
        <v>493391498</v>
      </c>
      <c r="BZ123" s="2869">
        <v>98.375245000000007</v>
      </c>
      <c r="CA123" s="2870">
        <v>227722754</v>
      </c>
      <c r="CB123" s="2870">
        <v>201472502</v>
      </c>
      <c r="CC123" s="2870">
        <v>167359</v>
      </c>
      <c r="CD123" s="2870"/>
      <c r="CE123" s="2877">
        <v>4.364539219190763</v>
      </c>
      <c r="CF123" s="2875">
        <v>429362615</v>
      </c>
      <c r="CG123" s="2869">
        <v>104.14863699999999</v>
      </c>
      <c r="CH123" s="2870">
        <v>170306342</v>
      </c>
      <c r="CI123" s="2870">
        <v>198217989</v>
      </c>
      <c r="CJ123" s="2870">
        <v>-756885</v>
      </c>
      <c r="CK123" s="2870"/>
      <c r="CL123" s="2877">
        <v>3.5311786749547189</v>
      </c>
      <c r="CM123" s="2875">
        <v>367767446</v>
      </c>
      <c r="CN123" s="2872">
        <v>81.899604999999994</v>
      </c>
      <c r="CO123" s="2870">
        <v>123640236</v>
      </c>
      <c r="CP123" s="2870">
        <v>98279526</v>
      </c>
      <c r="CQ123" s="2870">
        <v>95945</v>
      </c>
      <c r="CR123" s="2870"/>
      <c r="CS123" s="2877">
        <v>2.7108275674833839</v>
      </c>
      <c r="CT123" s="2875">
        <v>222015707</v>
      </c>
      <c r="CU123" s="2878">
        <v>1201.794817</v>
      </c>
      <c r="CV123" s="2870">
        <v>2414276369</v>
      </c>
      <c r="CW123" s="2870">
        <v>2386781822</v>
      </c>
      <c r="CX123" s="2870">
        <v>-107072200</v>
      </c>
      <c r="CY123" s="2870">
        <v>0</v>
      </c>
      <c r="CZ123" s="2879">
        <v>3.9058131426439662</v>
      </c>
      <c r="DA123" s="2875">
        <v>4693985991</v>
      </c>
      <c r="DJ123" s="1611" t="s">
        <v>1717</v>
      </c>
      <c r="DK123" s="2782" t="s">
        <v>1717</v>
      </c>
      <c r="DM123" s="1650">
        <v>1.9860144079819242</v>
      </c>
    </row>
    <row r="124" spans="1:117" ht="21" customHeight="1">
      <c r="A124" s="1652">
        <v>2</v>
      </c>
      <c r="B124" s="1644" t="s">
        <v>1747</v>
      </c>
      <c r="C124" s="1684">
        <v>400</v>
      </c>
      <c r="D124" s="1646">
        <v>38.75</v>
      </c>
      <c r="E124" s="1646">
        <v>68.599999999999994</v>
      </c>
      <c r="F124" s="1651">
        <v>1</v>
      </c>
      <c r="G124" s="1648"/>
      <c r="H124" s="1648">
        <v>155</v>
      </c>
      <c r="I124" s="1648" t="s">
        <v>1717</v>
      </c>
      <c r="J124" s="1649">
        <v>1</v>
      </c>
      <c r="K124" s="1648"/>
      <c r="L124" s="1648"/>
      <c r="M124" s="1648"/>
      <c r="N124" s="1642"/>
      <c r="O124" s="2876">
        <v>28.480433000000001</v>
      </c>
      <c r="P124" s="2870">
        <v>68441684</v>
      </c>
      <c r="Q124" s="2870">
        <v>65903722</v>
      </c>
      <c r="R124" s="2870">
        <v>79970</v>
      </c>
      <c r="S124" s="2870"/>
      <c r="T124" s="2870">
        <v>4.7199203748060992</v>
      </c>
      <c r="U124" s="2875">
        <v>134425376</v>
      </c>
      <c r="V124" s="2869">
        <v>43.448914000000002</v>
      </c>
      <c r="W124" s="2870">
        <v>119673811</v>
      </c>
      <c r="X124" s="2870">
        <v>100540786</v>
      </c>
      <c r="Y124" s="2870">
        <v>79812</v>
      </c>
      <c r="Z124" s="2870"/>
      <c r="AA124" s="2877">
        <v>5.0701936761871655</v>
      </c>
      <c r="AB124" s="2875">
        <v>220294409</v>
      </c>
      <c r="AC124" s="2869">
        <v>70.318944999999999</v>
      </c>
      <c r="AD124" s="2870">
        <v>162718039</v>
      </c>
      <c r="AE124" s="2870">
        <v>132443078</v>
      </c>
      <c r="AF124" s="2870">
        <v>-45570632</v>
      </c>
      <c r="AG124" s="2870"/>
      <c r="AH124" s="2877">
        <v>3.54940599578108</v>
      </c>
      <c r="AI124" s="2875">
        <v>249590485</v>
      </c>
      <c r="AJ124" s="2869">
        <v>42.627316</v>
      </c>
      <c r="AK124" s="2870">
        <v>98639607</v>
      </c>
      <c r="AL124" s="2870">
        <v>129015940</v>
      </c>
      <c r="AM124" s="2870">
        <v>86488</v>
      </c>
      <c r="AN124" s="2870"/>
      <c r="AO124" s="2877">
        <v>5.3426313540359898</v>
      </c>
      <c r="AP124" s="2875">
        <v>227742035</v>
      </c>
      <c r="AQ124" s="2869">
        <v>49.345573000000002</v>
      </c>
      <c r="AR124" s="2870">
        <v>132297064</v>
      </c>
      <c r="AS124" s="2870">
        <v>114185656</v>
      </c>
      <c r="AT124" s="2870">
        <v>-4353648</v>
      </c>
      <c r="AU124" s="2870"/>
      <c r="AV124" s="2877">
        <v>4.9068043449409329</v>
      </c>
      <c r="AW124" s="2875">
        <v>242129072</v>
      </c>
      <c r="AX124" s="2869">
        <v>45.405565000000003</v>
      </c>
      <c r="AY124" s="2870">
        <v>105068476</v>
      </c>
      <c r="AZ124" s="2870">
        <v>126672743</v>
      </c>
      <c r="BA124" s="2870">
        <v>249861</v>
      </c>
      <c r="BB124" s="2870"/>
      <c r="BC124" s="2877">
        <v>5.1093093985285725</v>
      </c>
      <c r="BD124" s="2875">
        <v>231991080</v>
      </c>
      <c r="BE124" s="2869">
        <v>24.983858999999999</v>
      </c>
      <c r="BF124" s="2870">
        <v>57812650</v>
      </c>
      <c r="BG124" s="2870">
        <v>44729690</v>
      </c>
      <c r="BH124" s="2870">
        <v>-100633</v>
      </c>
      <c r="BI124" s="2870"/>
      <c r="BJ124" s="2877">
        <v>4.1003156077689997</v>
      </c>
      <c r="BK124" s="2875">
        <v>102441707</v>
      </c>
      <c r="BL124" s="2869">
        <v>26.122254999999999</v>
      </c>
      <c r="BM124" s="2870">
        <v>60446897</v>
      </c>
      <c r="BN124" s="2870">
        <v>38932421</v>
      </c>
      <c r="BO124" s="2870">
        <v>69905</v>
      </c>
      <c r="BP124" s="2870"/>
      <c r="BQ124" s="2877">
        <v>3.807068838429148</v>
      </c>
      <c r="BR124" s="2875">
        <v>99449223</v>
      </c>
      <c r="BS124" s="2869">
        <v>43.040461000000001</v>
      </c>
      <c r="BT124" s="2870">
        <v>125414367</v>
      </c>
      <c r="BU124" s="2870">
        <v>99595627</v>
      </c>
      <c r="BV124" s="2870">
        <v>69811</v>
      </c>
      <c r="BW124" s="2870"/>
      <c r="BX124" s="2877">
        <v>5.2294933597481679</v>
      </c>
      <c r="BY124" s="2875">
        <v>225079805</v>
      </c>
      <c r="BZ124" s="2869">
        <v>38.117925999999997</v>
      </c>
      <c r="CA124" s="2870">
        <v>81652871</v>
      </c>
      <c r="CB124" s="2870">
        <v>88204880</v>
      </c>
      <c r="CC124" s="2870">
        <v>69299</v>
      </c>
      <c r="CD124" s="2870"/>
      <c r="CE124" s="2877">
        <v>4.4579301087892347</v>
      </c>
      <c r="CF124" s="2875">
        <v>169927050</v>
      </c>
      <c r="CG124" s="2869">
        <v>43.346899999999998</v>
      </c>
      <c r="CH124" s="2870">
        <v>68731020</v>
      </c>
      <c r="CI124" s="2870">
        <v>100304727</v>
      </c>
      <c r="CJ124" s="2870">
        <v>42915</v>
      </c>
      <c r="CK124" s="2870"/>
      <c r="CL124" s="2877">
        <v>3.9005940909269174</v>
      </c>
      <c r="CM124" s="2875">
        <v>169078662</v>
      </c>
      <c r="CN124" s="2872">
        <v>38.664201859999999</v>
      </c>
      <c r="CO124" s="2870">
        <v>57589627</v>
      </c>
      <c r="CP124" s="2870">
        <v>63431944</v>
      </c>
      <c r="CQ124" s="2870">
        <v>-5075433</v>
      </c>
      <c r="CR124" s="2870">
        <v>3992463368</v>
      </c>
      <c r="CS124" s="2877">
        <v>106.25874344635962</v>
      </c>
      <c r="CT124" s="2875">
        <v>4108409506</v>
      </c>
      <c r="CU124" s="2878">
        <v>493.90234886000002</v>
      </c>
      <c r="CV124" s="2870">
        <v>1138486113</v>
      </c>
      <c r="CW124" s="2870">
        <v>1103961214</v>
      </c>
      <c r="CX124" s="2870">
        <v>-54352285</v>
      </c>
      <c r="CY124" s="2870">
        <v>3992463368</v>
      </c>
      <c r="CZ124" s="2879">
        <v>12.513725484937755</v>
      </c>
      <c r="DA124" s="2875">
        <v>6180558410</v>
      </c>
      <c r="DJ124" s="1611" t="s">
        <v>1717</v>
      </c>
      <c r="DK124" s="2782" t="s">
        <v>1717</v>
      </c>
      <c r="DM124" s="1650">
        <v>2.2351811376238775</v>
      </c>
    </row>
    <row r="125" spans="1:117" ht="21" customHeight="1">
      <c r="A125" s="1652">
        <v>3</v>
      </c>
      <c r="B125" s="1644" t="s">
        <v>1856</v>
      </c>
      <c r="C125" s="1662">
        <v>24</v>
      </c>
      <c r="D125" s="1646">
        <v>100</v>
      </c>
      <c r="E125" s="1648"/>
      <c r="F125" s="1648"/>
      <c r="G125" s="1648"/>
      <c r="H125" s="1648">
        <v>24</v>
      </c>
      <c r="I125" s="1648" t="s">
        <v>1717</v>
      </c>
      <c r="J125" s="1649">
        <v>2</v>
      </c>
      <c r="K125" s="1648"/>
      <c r="L125" s="1648"/>
      <c r="M125" s="1648"/>
      <c r="N125" s="1642"/>
      <c r="O125" s="2876"/>
      <c r="P125" s="2870"/>
      <c r="Q125" s="2870"/>
      <c r="R125" s="2870"/>
      <c r="S125" s="2870"/>
      <c r="T125" s="2870"/>
      <c r="U125" s="2875">
        <v>0</v>
      </c>
      <c r="V125" s="2869">
        <v>7.2406839999999999</v>
      </c>
      <c r="W125" s="2870"/>
      <c r="X125" s="2870">
        <v>35262131</v>
      </c>
      <c r="Y125" s="2870"/>
      <c r="Z125" s="2870"/>
      <c r="AA125" s="2877">
        <v>4.8699999889513199</v>
      </c>
      <c r="AB125" s="2875">
        <v>35262131</v>
      </c>
      <c r="AC125" s="2869">
        <v>0.28221800000000002</v>
      </c>
      <c r="AD125" s="2870"/>
      <c r="AE125" s="2870">
        <v>1374402</v>
      </c>
      <c r="AF125" s="2870"/>
      <c r="AG125" s="2870"/>
      <c r="AH125" s="2877">
        <v>4.870001204742433</v>
      </c>
      <c r="AI125" s="2875">
        <v>1374402</v>
      </c>
      <c r="AJ125" s="2869"/>
      <c r="AK125" s="2870"/>
      <c r="AL125" s="2870"/>
      <c r="AM125" s="2870"/>
      <c r="AN125" s="2870"/>
      <c r="AO125" s="2877">
        <v>0</v>
      </c>
      <c r="AP125" s="2875">
        <v>0</v>
      </c>
      <c r="AQ125" s="2869">
        <v>3.7728510000000002</v>
      </c>
      <c r="AR125" s="2870"/>
      <c r="AS125" s="2870">
        <v>18373784</v>
      </c>
      <c r="AT125" s="2870"/>
      <c r="AU125" s="2870"/>
      <c r="AV125" s="2877">
        <v>4.8699999019309272</v>
      </c>
      <c r="AW125" s="2875">
        <v>18373784</v>
      </c>
      <c r="AX125" s="2869">
        <v>11.997814999999999</v>
      </c>
      <c r="AY125" s="2870"/>
      <c r="AZ125" s="2870">
        <v>58429359</v>
      </c>
      <c r="BA125" s="2870"/>
      <c r="BB125" s="2870"/>
      <c r="BC125" s="2877">
        <v>4.8699999958325746</v>
      </c>
      <c r="BD125" s="2875">
        <v>58429359</v>
      </c>
      <c r="BE125" s="2869">
        <v>10.902771</v>
      </c>
      <c r="BF125" s="2870"/>
      <c r="BG125" s="2870">
        <v>53096493</v>
      </c>
      <c r="BH125" s="2870"/>
      <c r="BI125" s="2870"/>
      <c r="BJ125" s="2877">
        <v>4.8699998376559499</v>
      </c>
      <c r="BK125" s="2875">
        <v>53096493</v>
      </c>
      <c r="BL125" s="2869">
        <v>8.9407879999999995</v>
      </c>
      <c r="BM125" s="2870"/>
      <c r="BN125" s="2870">
        <v>43541636</v>
      </c>
      <c r="BO125" s="2870"/>
      <c r="BP125" s="2870"/>
      <c r="BQ125" s="2877">
        <v>4.8699998255187351</v>
      </c>
      <c r="BR125" s="2875">
        <v>43541636</v>
      </c>
      <c r="BS125" s="2869">
        <v>7.8455050000000002</v>
      </c>
      <c r="BT125" s="2870"/>
      <c r="BU125" s="2870">
        <v>38207610</v>
      </c>
      <c r="BV125" s="2870"/>
      <c r="BW125" s="2870"/>
      <c r="BX125" s="2877">
        <v>4.8700000828499883</v>
      </c>
      <c r="BY125" s="2875">
        <v>38207610</v>
      </c>
      <c r="BZ125" s="2869">
        <v>6.6346530000000001</v>
      </c>
      <c r="CA125" s="2870"/>
      <c r="CB125" s="2870">
        <v>32310760</v>
      </c>
      <c r="CC125" s="2870"/>
      <c r="CD125" s="2870"/>
      <c r="CE125" s="2877">
        <v>4.8699999834203842</v>
      </c>
      <c r="CF125" s="2875">
        <v>32310760</v>
      </c>
      <c r="CG125" s="2869">
        <v>11.549825</v>
      </c>
      <c r="CH125" s="2870"/>
      <c r="CI125" s="2870">
        <v>57957466</v>
      </c>
      <c r="CJ125" s="2870"/>
      <c r="CK125" s="2870"/>
      <c r="CL125" s="2877">
        <v>5.0180384551281083</v>
      </c>
      <c r="CM125" s="2875">
        <v>57957466</v>
      </c>
      <c r="CN125" s="2872">
        <v>1.7291749999999999</v>
      </c>
      <c r="CO125" s="2870"/>
      <c r="CP125" s="2870">
        <v>10169623</v>
      </c>
      <c r="CQ125" s="2870">
        <v>86459</v>
      </c>
      <c r="CR125" s="2870"/>
      <c r="CS125" s="2877">
        <v>5.9311995604840462</v>
      </c>
      <c r="CT125" s="2875">
        <v>10256082</v>
      </c>
      <c r="CU125" s="2878">
        <v>70.896285000000006</v>
      </c>
      <c r="CV125" s="2870">
        <v>0</v>
      </c>
      <c r="CW125" s="2870">
        <v>348723264</v>
      </c>
      <c r="CX125" s="2870">
        <v>86459</v>
      </c>
      <c r="CY125" s="2870">
        <v>0</v>
      </c>
      <c r="CZ125" s="2879">
        <v>4.9200000112840891</v>
      </c>
      <c r="DA125" s="2875">
        <v>348809723</v>
      </c>
      <c r="DJ125" s="1611" t="e">
        <v>#N/A</v>
      </c>
      <c r="DK125" s="2782" t="e">
        <v>#N/A</v>
      </c>
      <c r="DM125" s="1650">
        <v>4.9187804974548381</v>
      </c>
    </row>
    <row r="126" spans="1:117" ht="21" customHeight="1">
      <c r="A126" s="1652">
        <v>4</v>
      </c>
      <c r="B126" s="1644"/>
      <c r="C126" s="1662"/>
      <c r="D126" s="1648"/>
      <c r="E126" s="1648"/>
      <c r="F126" s="1648"/>
      <c r="G126" s="1648"/>
      <c r="H126" s="1648"/>
      <c r="I126" s="1648"/>
      <c r="J126" s="1649"/>
      <c r="K126" s="1648"/>
      <c r="L126" s="1648"/>
      <c r="M126" s="1648"/>
      <c r="N126" s="1642"/>
      <c r="O126" s="2876"/>
      <c r="P126" s="2870"/>
      <c r="Q126" s="2870"/>
      <c r="R126" s="2870"/>
      <c r="S126" s="2870"/>
      <c r="T126" s="2870"/>
      <c r="U126" s="2875">
        <v>0</v>
      </c>
      <c r="V126" s="2869"/>
      <c r="W126" s="2870"/>
      <c r="X126" s="2870"/>
      <c r="Y126" s="2870"/>
      <c r="Z126" s="2870"/>
      <c r="AA126" s="2877">
        <v>0</v>
      </c>
      <c r="AB126" s="2875">
        <v>0</v>
      </c>
      <c r="AC126" s="2869"/>
      <c r="AD126" s="2870"/>
      <c r="AE126" s="2870"/>
      <c r="AF126" s="2870"/>
      <c r="AG126" s="2870"/>
      <c r="AH126" s="2877">
        <v>0</v>
      </c>
      <c r="AI126" s="2875">
        <v>0</v>
      </c>
      <c r="AJ126" s="2869"/>
      <c r="AK126" s="2870"/>
      <c r="AL126" s="2870"/>
      <c r="AM126" s="2870"/>
      <c r="AN126" s="2870"/>
      <c r="AO126" s="2877">
        <v>0</v>
      </c>
      <c r="AP126" s="2875">
        <v>0</v>
      </c>
      <c r="AQ126" s="2869"/>
      <c r="AR126" s="2870"/>
      <c r="AS126" s="2870"/>
      <c r="AT126" s="2870"/>
      <c r="AU126" s="2870"/>
      <c r="AV126" s="2877">
        <v>0</v>
      </c>
      <c r="AW126" s="2875">
        <v>0</v>
      </c>
      <c r="AX126" s="2869"/>
      <c r="AY126" s="2870"/>
      <c r="AZ126" s="2870"/>
      <c r="BA126" s="2870"/>
      <c r="BB126" s="2870"/>
      <c r="BC126" s="2877">
        <v>0</v>
      </c>
      <c r="BD126" s="2875">
        <v>0</v>
      </c>
      <c r="BE126" s="2869"/>
      <c r="BF126" s="2870"/>
      <c r="BG126" s="2870"/>
      <c r="BH126" s="2870"/>
      <c r="BI126" s="2870"/>
      <c r="BJ126" s="2877">
        <v>0</v>
      </c>
      <c r="BK126" s="2875">
        <v>0</v>
      </c>
      <c r="BL126" s="2869"/>
      <c r="BM126" s="2870"/>
      <c r="BN126" s="2870"/>
      <c r="BO126" s="2870"/>
      <c r="BP126" s="2870"/>
      <c r="BQ126" s="2877">
        <v>0</v>
      </c>
      <c r="BR126" s="2875">
        <v>0</v>
      </c>
      <c r="BS126" s="2869"/>
      <c r="BT126" s="2870"/>
      <c r="BU126" s="2870"/>
      <c r="BV126" s="2870"/>
      <c r="BW126" s="2870"/>
      <c r="BX126" s="2877">
        <v>0</v>
      </c>
      <c r="BY126" s="2875">
        <v>0</v>
      </c>
      <c r="BZ126" s="2869"/>
      <c r="CA126" s="2870"/>
      <c r="CB126" s="2870"/>
      <c r="CC126" s="2870"/>
      <c r="CD126" s="2870"/>
      <c r="CE126" s="2877">
        <v>0</v>
      </c>
      <c r="CF126" s="2875">
        <v>0</v>
      </c>
      <c r="CG126" s="2869"/>
      <c r="CH126" s="2870"/>
      <c r="CI126" s="2870"/>
      <c r="CJ126" s="2870"/>
      <c r="CK126" s="2870"/>
      <c r="CL126" s="2877">
        <v>0</v>
      </c>
      <c r="CM126" s="2875">
        <v>0</v>
      </c>
      <c r="CN126" s="2872"/>
      <c r="CO126" s="2870"/>
      <c r="CP126" s="2870"/>
      <c r="CQ126" s="2870"/>
      <c r="CR126" s="2870"/>
      <c r="CS126" s="2877">
        <v>0</v>
      </c>
      <c r="CT126" s="2875">
        <v>0</v>
      </c>
      <c r="CU126" s="2878">
        <v>0</v>
      </c>
      <c r="CV126" s="2870">
        <v>0</v>
      </c>
      <c r="CW126" s="2870">
        <v>0</v>
      </c>
      <c r="CX126" s="2870">
        <v>0</v>
      </c>
      <c r="CY126" s="2870">
        <v>0</v>
      </c>
      <c r="CZ126" s="2879">
        <v>0</v>
      </c>
      <c r="DA126" s="2875">
        <v>0</v>
      </c>
      <c r="DJ126" s="1611" t="e">
        <v>#N/A</v>
      </c>
      <c r="DK126" s="2782" t="e">
        <v>#N/A</v>
      </c>
      <c r="DM126" s="1650">
        <v>0</v>
      </c>
    </row>
    <row r="127" spans="1:117" ht="21" customHeight="1">
      <c r="A127" s="1652">
        <v>5</v>
      </c>
      <c r="B127" s="1644"/>
      <c r="C127" s="1662"/>
      <c r="D127" s="1648"/>
      <c r="E127" s="1648"/>
      <c r="F127" s="1648"/>
      <c r="G127" s="1648"/>
      <c r="H127" s="1648"/>
      <c r="I127" s="1648"/>
      <c r="J127" s="1649"/>
      <c r="K127" s="1648"/>
      <c r="L127" s="1648"/>
      <c r="M127" s="1648"/>
      <c r="N127" s="1642"/>
      <c r="O127" s="2876"/>
      <c r="P127" s="2870"/>
      <c r="Q127" s="2870"/>
      <c r="R127" s="2870"/>
      <c r="S127" s="2870"/>
      <c r="T127" s="2870"/>
      <c r="U127" s="2875">
        <v>0</v>
      </c>
      <c r="V127" s="2869"/>
      <c r="W127" s="2870"/>
      <c r="X127" s="2870"/>
      <c r="Y127" s="2870"/>
      <c r="Z127" s="2870"/>
      <c r="AA127" s="2877">
        <v>0</v>
      </c>
      <c r="AB127" s="2875">
        <v>0</v>
      </c>
      <c r="AC127" s="2869"/>
      <c r="AD127" s="2870"/>
      <c r="AE127" s="2870"/>
      <c r="AF127" s="2870"/>
      <c r="AG127" s="2870"/>
      <c r="AH127" s="2877">
        <v>0</v>
      </c>
      <c r="AI127" s="2875">
        <v>0</v>
      </c>
      <c r="AJ127" s="2869"/>
      <c r="AK127" s="2870"/>
      <c r="AL127" s="2870"/>
      <c r="AM127" s="2870"/>
      <c r="AN127" s="2870"/>
      <c r="AO127" s="2877">
        <v>0</v>
      </c>
      <c r="AP127" s="2875">
        <v>0</v>
      </c>
      <c r="AQ127" s="2869"/>
      <c r="AR127" s="2870"/>
      <c r="AS127" s="2870"/>
      <c r="AT127" s="2870"/>
      <c r="AU127" s="2870"/>
      <c r="AV127" s="2877">
        <v>0</v>
      </c>
      <c r="AW127" s="2875">
        <v>0</v>
      </c>
      <c r="AX127" s="2869"/>
      <c r="AY127" s="2870"/>
      <c r="AZ127" s="2870"/>
      <c r="BA127" s="2870"/>
      <c r="BB127" s="2870"/>
      <c r="BC127" s="2877">
        <v>0</v>
      </c>
      <c r="BD127" s="2875">
        <v>0</v>
      </c>
      <c r="BE127" s="2869"/>
      <c r="BF127" s="2870"/>
      <c r="BG127" s="2870"/>
      <c r="BH127" s="2870"/>
      <c r="BI127" s="2870"/>
      <c r="BJ127" s="2877">
        <v>0</v>
      </c>
      <c r="BK127" s="2875">
        <v>0</v>
      </c>
      <c r="BL127" s="2869"/>
      <c r="BM127" s="2870"/>
      <c r="BN127" s="2870"/>
      <c r="BO127" s="2870"/>
      <c r="BP127" s="2870"/>
      <c r="BQ127" s="2877">
        <v>0</v>
      </c>
      <c r="BR127" s="2875">
        <v>0</v>
      </c>
      <c r="BS127" s="2869"/>
      <c r="BT127" s="2870"/>
      <c r="BU127" s="2870"/>
      <c r="BV127" s="2870"/>
      <c r="BW127" s="2870"/>
      <c r="BX127" s="2877">
        <v>0</v>
      </c>
      <c r="BY127" s="2875">
        <v>0</v>
      </c>
      <c r="BZ127" s="2869"/>
      <c r="CA127" s="2870"/>
      <c r="CB127" s="2870"/>
      <c r="CC127" s="2870"/>
      <c r="CD127" s="2870"/>
      <c r="CE127" s="2877">
        <v>0</v>
      </c>
      <c r="CF127" s="2875">
        <v>0</v>
      </c>
      <c r="CG127" s="2869"/>
      <c r="CH127" s="2870"/>
      <c r="CI127" s="2870"/>
      <c r="CJ127" s="2870"/>
      <c r="CK127" s="2870"/>
      <c r="CL127" s="2877">
        <v>0</v>
      </c>
      <c r="CM127" s="2875">
        <v>0</v>
      </c>
      <c r="CN127" s="2872"/>
      <c r="CO127" s="2870"/>
      <c r="CP127" s="2870"/>
      <c r="CQ127" s="2870"/>
      <c r="CR127" s="2870"/>
      <c r="CS127" s="2877">
        <v>0</v>
      </c>
      <c r="CT127" s="2875">
        <v>0</v>
      </c>
      <c r="CU127" s="2878">
        <v>0</v>
      </c>
      <c r="CV127" s="2870">
        <v>0</v>
      </c>
      <c r="CW127" s="2870">
        <v>0</v>
      </c>
      <c r="CX127" s="2870">
        <v>0</v>
      </c>
      <c r="CY127" s="2870">
        <v>0</v>
      </c>
      <c r="CZ127" s="2879">
        <v>0</v>
      </c>
      <c r="DA127" s="2875">
        <v>0</v>
      </c>
      <c r="DJ127" s="1611" t="e">
        <v>#N/A</v>
      </c>
      <c r="DK127" s="2782" t="e">
        <v>#N/A</v>
      </c>
      <c r="DM127" s="1650">
        <v>0</v>
      </c>
    </row>
    <row r="128" spans="1:117" s="1727" customFormat="1" ht="21" customHeight="1">
      <c r="A128" s="1637"/>
      <c r="B128" s="1638" t="s">
        <v>211</v>
      </c>
      <c r="C128" s="1643"/>
      <c r="D128" s="1641"/>
      <c r="E128" s="1641"/>
      <c r="F128" s="1641"/>
      <c r="G128" s="1641"/>
      <c r="H128" s="1641"/>
      <c r="I128" s="1641"/>
      <c r="J128" s="1649"/>
      <c r="K128" s="1641"/>
      <c r="L128" s="1641"/>
      <c r="M128" s="1641"/>
      <c r="N128" s="1671"/>
      <c r="O128" s="2876">
        <v>91.879738000000003</v>
      </c>
      <c r="P128" s="2874">
        <v>237541548</v>
      </c>
      <c r="Q128" s="2874">
        <v>195745500</v>
      </c>
      <c r="R128" s="2874">
        <v>273102</v>
      </c>
      <c r="S128" s="2874"/>
      <c r="T128" s="2879">
        <v>4.7187786930781188</v>
      </c>
      <c r="U128" s="2875">
        <v>433560150</v>
      </c>
      <c r="V128" s="2876">
        <v>143.79978799999998</v>
      </c>
      <c r="W128" s="2874">
        <v>282356818</v>
      </c>
      <c r="X128" s="2874">
        <v>326492587</v>
      </c>
      <c r="Y128" s="2874">
        <v>272560</v>
      </c>
      <c r="Z128" s="2874">
        <v>0</v>
      </c>
      <c r="AA128" s="2879">
        <v>4.2359030807472413</v>
      </c>
      <c r="AB128" s="2875">
        <v>609121965</v>
      </c>
      <c r="AC128" s="2876">
        <v>201.683716</v>
      </c>
      <c r="AD128" s="2874">
        <v>431175107</v>
      </c>
      <c r="AE128" s="2874">
        <v>261131636</v>
      </c>
      <c r="AF128" s="2874">
        <v>-140800325</v>
      </c>
      <c r="AG128" s="2874">
        <v>0</v>
      </c>
      <c r="AH128" s="2879">
        <v>2.7345113871265641</v>
      </c>
      <c r="AI128" s="2875">
        <v>551506418</v>
      </c>
      <c r="AJ128" s="2876">
        <v>135.27740499999999</v>
      </c>
      <c r="AK128" s="2874">
        <v>288386991</v>
      </c>
      <c r="AL128" s="2874">
        <v>310282653</v>
      </c>
      <c r="AM128" s="2874">
        <v>295930</v>
      </c>
      <c r="AN128" s="2874">
        <v>0</v>
      </c>
      <c r="AO128" s="2879">
        <v>4.4276837953832722</v>
      </c>
      <c r="AP128" s="2875">
        <v>598965574</v>
      </c>
      <c r="AQ128" s="2876">
        <v>183.30886100000001</v>
      </c>
      <c r="AR128" s="2874">
        <v>398927079</v>
      </c>
      <c r="AS128" s="2874">
        <v>383333111</v>
      </c>
      <c r="AT128" s="2874">
        <v>-16996482</v>
      </c>
      <c r="AU128" s="2874">
        <v>0</v>
      </c>
      <c r="AV128" s="2879">
        <v>4.1747229447898864</v>
      </c>
      <c r="AW128" s="2875">
        <v>765263708</v>
      </c>
      <c r="AX128" s="2876">
        <v>191.505111</v>
      </c>
      <c r="AY128" s="2874">
        <v>379708822</v>
      </c>
      <c r="AZ128" s="2874">
        <v>447353665</v>
      </c>
      <c r="BA128" s="2874">
        <v>836706</v>
      </c>
      <c r="BB128" s="2874">
        <v>0</v>
      </c>
      <c r="BC128" s="2879">
        <v>4.3231180028401432</v>
      </c>
      <c r="BD128" s="2875">
        <v>827899193</v>
      </c>
      <c r="BE128" s="2876">
        <v>111.994511</v>
      </c>
      <c r="BF128" s="2874">
        <v>213681591</v>
      </c>
      <c r="BG128" s="2874">
        <v>357954531</v>
      </c>
      <c r="BH128" s="2874">
        <v>-326311</v>
      </c>
      <c r="BI128" s="2874">
        <v>0</v>
      </c>
      <c r="BJ128" s="2879">
        <v>5.1012304611964421</v>
      </c>
      <c r="BK128" s="2875">
        <v>571309811</v>
      </c>
      <c r="BL128" s="2876">
        <v>112.006109</v>
      </c>
      <c r="BM128" s="2874">
        <v>218026296</v>
      </c>
      <c r="BN128" s="2874">
        <v>323698074</v>
      </c>
      <c r="BO128" s="2874">
        <v>238728</v>
      </c>
      <c r="BP128" s="2874">
        <v>0</v>
      </c>
      <c r="BQ128" s="2879">
        <v>4.8386923073990546</v>
      </c>
      <c r="BR128" s="2875">
        <v>541963098</v>
      </c>
      <c r="BS128" s="2876">
        <v>170.672044</v>
      </c>
      <c r="BT128" s="2874">
        <v>373315380</v>
      </c>
      <c r="BU128" s="2874">
        <v>383125126</v>
      </c>
      <c r="BV128" s="2874">
        <v>238407</v>
      </c>
      <c r="BW128" s="2874">
        <v>0</v>
      </c>
      <c r="BX128" s="2879">
        <v>4.4335258151592774</v>
      </c>
      <c r="BY128" s="2875">
        <v>756678913</v>
      </c>
      <c r="BZ128" s="2876">
        <v>143.12782400000003</v>
      </c>
      <c r="CA128" s="2874">
        <v>309375625</v>
      </c>
      <c r="CB128" s="2874">
        <v>321988142</v>
      </c>
      <c r="CC128" s="2874">
        <v>236658</v>
      </c>
      <c r="CD128" s="2874">
        <v>0</v>
      </c>
      <c r="CE128" s="2879">
        <v>4.4128416638263142</v>
      </c>
      <c r="CF128" s="2875">
        <v>631600425</v>
      </c>
      <c r="CG128" s="2876">
        <v>159.04536199999998</v>
      </c>
      <c r="CH128" s="2874">
        <v>239037362</v>
      </c>
      <c r="CI128" s="2874">
        <v>356480182</v>
      </c>
      <c r="CJ128" s="2874">
        <v>-713970</v>
      </c>
      <c r="CK128" s="2874">
        <v>0</v>
      </c>
      <c r="CL128" s="2879">
        <v>3.7398360223795781</v>
      </c>
      <c r="CM128" s="2875">
        <v>594803574</v>
      </c>
      <c r="CN128" s="2880">
        <v>122.29298186</v>
      </c>
      <c r="CO128" s="2874">
        <v>181229863</v>
      </c>
      <c r="CP128" s="2874">
        <v>171881093</v>
      </c>
      <c r="CQ128" s="2874">
        <v>-4893029</v>
      </c>
      <c r="CR128" s="2874">
        <v>3992463368</v>
      </c>
      <c r="CS128" s="2879">
        <v>35.494116088927953</v>
      </c>
      <c r="CT128" s="2875">
        <v>4340681295</v>
      </c>
      <c r="CU128" s="2881">
        <v>1766.5934508600001</v>
      </c>
      <c r="CV128" s="2874">
        <v>3552762482</v>
      </c>
      <c r="CW128" s="2874">
        <v>3839466300</v>
      </c>
      <c r="CX128" s="2874">
        <v>-161338026</v>
      </c>
      <c r="CY128" s="2874">
        <v>3992463368</v>
      </c>
      <c r="CZ128" s="2879">
        <v>6.3531052481465551</v>
      </c>
      <c r="DA128" s="2875">
        <v>11223354124</v>
      </c>
      <c r="DB128" s="1609"/>
      <c r="DD128" s="1625"/>
      <c r="DJ128" s="1611" t="e">
        <v>#N/A</v>
      </c>
      <c r="DK128" s="2782">
        <v>0</v>
      </c>
      <c r="DM128" s="1650">
        <v>2.1733728822162783</v>
      </c>
    </row>
    <row r="129" spans="1:117" ht="21" customHeight="1">
      <c r="A129" s="1652"/>
      <c r="B129" s="1644"/>
      <c r="C129" s="1662"/>
      <c r="D129" s="1648"/>
      <c r="E129" s="1648"/>
      <c r="F129" s="1648"/>
      <c r="G129" s="1648"/>
      <c r="H129" s="1648"/>
      <c r="I129" s="1648"/>
      <c r="J129" s="1649"/>
      <c r="K129" s="1648"/>
      <c r="L129" s="1648"/>
      <c r="M129" s="1648"/>
      <c r="N129" s="1642"/>
      <c r="O129" s="2876"/>
      <c r="P129" s="2870"/>
      <c r="Q129" s="2870"/>
      <c r="R129" s="2870"/>
      <c r="S129" s="2870"/>
      <c r="T129" s="2870"/>
      <c r="U129" s="2875"/>
      <c r="V129" s="2869"/>
      <c r="W129" s="2870"/>
      <c r="X129" s="2870"/>
      <c r="Y129" s="2870"/>
      <c r="Z129" s="2870"/>
      <c r="AA129" s="2877">
        <v>0</v>
      </c>
      <c r="AB129" s="2875">
        <v>0</v>
      </c>
      <c r="AC129" s="2869"/>
      <c r="AD129" s="2870"/>
      <c r="AE129" s="2870"/>
      <c r="AF129" s="2870"/>
      <c r="AG129" s="2870"/>
      <c r="AH129" s="2877">
        <v>0</v>
      </c>
      <c r="AI129" s="2875"/>
      <c r="AJ129" s="2869"/>
      <c r="AK129" s="2870"/>
      <c r="AL129" s="2870"/>
      <c r="AM129" s="2870"/>
      <c r="AN129" s="2870"/>
      <c r="AO129" s="2877">
        <v>0</v>
      </c>
      <c r="AP129" s="2875"/>
      <c r="AQ129" s="2869"/>
      <c r="AR129" s="2870"/>
      <c r="AS129" s="2870"/>
      <c r="AT129" s="2870"/>
      <c r="AU129" s="2870"/>
      <c r="AV129" s="2877">
        <v>0</v>
      </c>
      <c r="AW129" s="2875"/>
      <c r="AX129" s="2869"/>
      <c r="AY129" s="2870"/>
      <c r="AZ129" s="2870"/>
      <c r="BA129" s="2870"/>
      <c r="BB129" s="2870"/>
      <c r="BC129" s="2877">
        <v>0</v>
      </c>
      <c r="BD129" s="2875"/>
      <c r="BE129" s="2869"/>
      <c r="BF129" s="2870"/>
      <c r="BG129" s="2870"/>
      <c r="BH129" s="2870"/>
      <c r="BI129" s="2870"/>
      <c r="BJ129" s="2877">
        <v>0</v>
      </c>
      <c r="BK129" s="2875"/>
      <c r="BL129" s="2869"/>
      <c r="BM129" s="2870"/>
      <c r="BN129" s="2870"/>
      <c r="BO129" s="2870"/>
      <c r="BP129" s="2870"/>
      <c r="BQ129" s="2877">
        <v>0</v>
      </c>
      <c r="BR129" s="2875"/>
      <c r="BS129" s="2869"/>
      <c r="BT129" s="2870"/>
      <c r="BU129" s="2870"/>
      <c r="BV129" s="2870"/>
      <c r="BW129" s="2870"/>
      <c r="BX129" s="2877">
        <v>0</v>
      </c>
      <c r="BY129" s="2875"/>
      <c r="BZ129" s="2869"/>
      <c r="CA129" s="2870"/>
      <c r="CB129" s="2870"/>
      <c r="CC129" s="2870"/>
      <c r="CD129" s="2870"/>
      <c r="CE129" s="2877">
        <v>0</v>
      </c>
      <c r="CF129" s="2875"/>
      <c r="CG129" s="2869"/>
      <c r="CH129" s="2870"/>
      <c r="CI129" s="2870"/>
      <c r="CJ129" s="2870"/>
      <c r="CK129" s="2870"/>
      <c r="CL129" s="2877">
        <v>0</v>
      </c>
      <c r="CM129" s="2875"/>
      <c r="CN129" s="2872"/>
      <c r="CO129" s="2870"/>
      <c r="CP129" s="2870"/>
      <c r="CQ129" s="2870"/>
      <c r="CR129" s="2870"/>
      <c r="CS129" s="2877">
        <v>0</v>
      </c>
      <c r="CT129" s="2875"/>
      <c r="CU129" s="2878"/>
      <c r="CV129" s="2870"/>
      <c r="CW129" s="2870"/>
      <c r="CX129" s="2870"/>
      <c r="CY129" s="2870"/>
      <c r="CZ129" s="2879"/>
      <c r="DA129" s="2875"/>
      <c r="DJ129" s="1611" t="e">
        <v>#N/A</v>
      </c>
      <c r="DK129" s="2782" t="e">
        <v>#N/A</v>
      </c>
      <c r="DM129" s="1650">
        <v>0</v>
      </c>
    </row>
    <row r="130" spans="1:117" ht="21" customHeight="1">
      <c r="A130" s="1637" t="s">
        <v>129</v>
      </c>
      <c r="B130" s="1638" t="s">
        <v>1752</v>
      </c>
      <c r="C130" s="1662"/>
      <c r="D130" s="1648"/>
      <c r="E130" s="1648"/>
      <c r="F130" s="1648"/>
      <c r="G130" s="1648"/>
      <c r="H130" s="1648"/>
      <c r="I130" s="1648"/>
      <c r="J130" s="1649"/>
      <c r="K130" s="1648"/>
      <c r="L130" s="1648"/>
      <c r="M130" s="1648"/>
      <c r="N130" s="1642"/>
      <c r="O130" s="2876"/>
      <c r="P130" s="2870"/>
      <c r="Q130" s="2870"/>
      <c r="R130" s="2870"/>
      <c r="S130" s="2870"/>
      <c r="T130" s="2870"/>
      <c r="U130" s="2875">
        <v>0</v>
      </c>
      <c r="V130" s="2869"/>
      <c r="W130" s="2870"/>
      <c r="X130" s="2870"/>
      <c r="Y130" s="2870"/>
      <c r="Z130" s="2870"/>
      <c r="AA130" s="2877">
        <v>0</v>
      </c>
      <c r="AB130" s="2875">
        <v>0</v>
      </c>
      <c r="AC130" s="2869"/>
      <c r="AD130" s="2870"/>
      <c r="AE130" s="2870"/>
      <c r="AF130" s="2870"/>
      <c r="AG130" s="2870"/>
      <c r="AH130" s="2877">
        <v>0</v>
      </c>
      <c r="AI130" s="2875">
        <v>0</v>
      </c>
      <c r="AJ130" s="2869"/>
      <c r="AK130" s="2870"/>
      <c r="AL130" s="2870"/>
      <c r="AM130" s="2870"/>
      <c r="AN130" s="2870"/>
      <c r="AO130" s="2877">
        <v>0</v>
      </c>
      <c r="AP130" s="2875">
        <v>0</v>
      </c>
      <c r="AQ130" s="2869"/>
      <c r="AR130" s="2870"/>
      <c r="AS130" s="2870"/>
      <c r="AT130" s="2870"/>
      <c r="AU130" s="2870"/>
      <c r="AV130" s="2877">
        <v>0</v>
      </c>
      <c r="AW130" s="2875">
        <v>0</v>
      </c>
      <c r="AX130" s="2869"/>
      <c r="AY130" s="2870"/>
      <c r="AZ130" s="2870"/>
      <c r="BA130" s="2870"/>
      <c r="BB130" s="2870"/>
      <c r="BC130" s="2877">
        <v>0</v>
      </c>
      <c r="BD130" s="2875">
        <v>0</v>
      </c>
      <c r="BE130" s="2869"/>
      <c r="BF130" s="2870"/>
      <c r="BG130" s="2870"/>
      <c r="BH130" s="2870"/>
      <c r="BI130" s="2870"/>
      <c r="BJ130" s="2877">
        <v>0</v>
      </c>
      <c r="BK130" s="2875">
        <v>0</v>
      </c>
      <c r="BL130" s="2869"/>
      <c r="BM130" s="2870"/>
      <c r="BN130" s="2870"/>
      <c r="BO130" s="2870"/>
      <c r="BP130" s="2870"/>
      <c r="BQ130" s="2877">
        <v>0</v>
      </c>
      <c r="BR130" s="2875">
        <v>0</v>
      </c>
      <c r="BS130" s="2869"/>
      <c r="BT130" s="2870"/>
      <c r="BU130" s="2870"/>
      <c r="BV130" s="2870"/>
      <c r="BW130" s="2870"/>
      <c r="BX130" s="2877">
        <v>0</v>
      </c>
      <c r="BY130" s="2875">
        <v>0</v>
      </c>
      <c r="BZ130" s="2869"/>
      <c r="CA130" s="2870"/>
      <c r="CB130" s="2870"/>
      <c r="CC130" s="2870"/>
      <c r="CD130" s="2870"/>
      <c r="CE130" s="2877">
        <v>0</v>
      </c>
      <c r="CF130" s="2875">
        <v>0</v>
      </c>
      <c r="CG130" s="2869"/>
      <c r="CH130" s="2870"/>
      <c r="CI130" s="2870"/>
      <c r="CJ130" s="2870"/>
      <c r="CK130" s="2870"/>
      <c r="CL130" s="2877">
        <v>0</v>
      </c>
      <c r="CM130" s="2875">
        <v>0</v>
      </c>
      <c r="CN130" s="2872"/>
      <c r="CO130" s="2870"/>
      <c r="CP130" s="2870"/>
      <c r="CQ130" s="2870"/>
      <c r="CR130" s="2870"/>
      <c r="CS130" s="2877">
        <v>0</v>
      </c>
      <c r="CT130" s="2875">
        <v>0</v>
      </c>
      <c r="CU130" s="2878"/>
      <c r="CV130" s="2870"/>
      <c r="CW130" s="2870"/>
      <c r="CX130" s="2870"/>
      <c r="CY130" s="2870"/>
      <c r="CZ130" s="2879"/>
      <c r="DA130" s="2875"/>
      <c r="DJ130" s="1611" t="e">
        <v>#N/A</v>
      </c>
      <c r="DK130" s="2782">
        <v>0</v>
      </c>
      <c r="DM130" s="1650">
        <v>0</v>
      </c>
    </row>
    <row r="131" spans="1:117" ht="21" customHeight="1">
      <c r="A131" s="1637">
        <v>1</v>
      </c>
      <c r="B131" s="1644" t="s">
        <v>1753</v>
      </c>
      <c r="C131" s="1684">
        <v>412</v>
      </c>
      <c r="D131" s="1646">
        <v>17.597087378640776</v>
      </c>
      <c r="E131" s="1646">
        <v>99.012</v>
      </c>
      <c r="F131" s="1641">
        <v>1</v>
      </c>
      <c r="G131" s="1648"/>
      <c r="H131" s="1648">
        <v>72.5</v>
      </c>
      <c r="I131" s="1648" t="s">
        <v>1717</v>
      </c>
      <c r="J131" s="1649">
        <v>1</v>
      </c>
      <c r="K131" s="1648"/>
      <c r="L131" s="1648"/>
      <c r="M131" s="1648"/>
      <c r="N131" s="1642"/>
      <c r="O131" s="2876">
        <v>13.351203</v>
      </c>
      <c r="P131" s="2870">
        <v>59943053</v>
      </c>
      <c r="Q131" s="2870">
        <v>28317902</v>
      </c>
      <c r="R131" s="2870">
        <v>-606407</v>
      </c>
      <c r="S131" s="2870"/>
      <c r="T131" s="2870">
        <v>6.5652921313532575</v>
      </c>
      <c r="U131" s="2875">
        <v>87654548</v>
      </c>
      <c r="V131" s="2869"/>
      <c r="W131" s="2870"/>
      <c r="X131" s="2870"/>
      <c r="Y131" s="2870"/>
      <c r="Z131" s="2870"/>
      <c r="AA131" s="2877">
        <v>0</v>
      </c>
      <c r="AB131" s="2875">
        <v>0</v>
      </c>
      <c r="AC131" s="2869">
        <v>75.799426400000002</v>
      </c>
      <c r="AD131" s="2870">
        <v>97362375</v>
      </c>
      <c r="AE131" s="2870">
        <v>63825851</v>
      </c>
      <c r="AF131" s="2870">
        <v>95725264</v>
      </c>
      <c r="AG131" s="2870"/>
      <c r="AH131" s="2877">
        <v>3.3893856748235232</v>
      </c>
      <c r="AI131" s="2875">
        <v>256913490</v>
      </c>
      <c r="AJ131" s="2869">
        <v>59.507683</v>
      </c>
      <c r="AK131" s="2870">
        <v>126215796</v>
      </c>
      <c r="AL131" s="2870">
        <v>77277093</v>
      </c>
      <c r="AM131" s="2870">
        <v>37444</v>
      </c>
      <c r="AN131" s="2870"/>
      <c r="AO131" s="2877">
        <v>3.4202362239511155</v>
      </c>
      <c r="AP131" s="2875">
        <v>203530333</v>
      </c>
      <c r="AQ131" s="2869">
        <v>57.458697000000001</v>
      </c>
      <c r="AR131" s="2870">
        <v>121869897</v>
      </c>
      <c r="AS131" s="2870">
        <v>77246539</v>
      </c>
      <c r="AT131" s="2870">
        <v>-3361883</v>
      </c>
      <c r="AU131" s="2870"/>
      <c r="AV131" s="2877">
        <v>3.4068742108788159</v>
      </c>
      <c r="AW131" s="2875">
        <v>195754553</v>
      </c>
      <c r="AX131" s="2869">
        <v>49.829717000000002</v>
      </c>
      <c r="AY131" s="2870">
        <v>105688829</v>
      </c>
      <c r="AZ131" s="2870">
        <v>75355712</v>
      </c>
      <c r="BA131" s="2870">
        <v>37389</v>
      </c>
      <c r="BB131" s="2870"/>
      <c r="BC131" s="2877">
        <v>3.6340148189081627</v>
      </c>
      <c r="BD131" s="2875">
        <v>181081930</v>
      </c>
      <c r="BE131" s="2869">
        <v>21.337268000000002</v>
      </c>
      <c r="BF131" s="2870">
        <v>45256346</v>
      </c>
      <c r="BG131" s="2870">
        <v>71818216</v>
      </c>
      <c r="BH131" s="2870">
        <v>34410</v>
      </c>
      <c r="BI131" s="2870"/>
      <c r="BJ131" s="2877">
        <v>5.4884707826700216</v>
      </c>
      <c r="BK131" s="2875">
        <v>117108972</v>
      </c>
      <c r="BL131" s="2869">
        <v>11.404712999999999</v>
      </c>
      <c r="BM131" s="2870">
        <v>24189397</v>
      </c>
      <c r="BN131" s="2870">
        <v>62400086</v>
      </c>
      <c r="BO131" s="2870">
        <v>30877</v>
      </c>
      <c r="BP131" s="2870"/>
      <c r="BQ131" s="2877">
        <v>7.5951372033649598</v>
      </c>
      <c r="BR131" s="2875">
        <v>86620360</v>
      </c>
      <c r="BS131" s="2869">
        <v>9.3303025000000002</v>
      </c>
      <c r="BT131" s="2870">
        <v>63765774</v>
      </c>
      <c r="BU131" s="2870">
        <v>19789572</v>
      </c>
      <c r="BV131" s="2870">
        <v>26826</v>
      </c>
      <c r="BW131" s="2870"/>
      <c r="BX131" s="2877">
        <v>8.9581417108394934</v>
      </c>
      <c r="BY131" s="2875">
        <v>83582172</v>
      </c>
      <c r="BZ131" s="2869">
        <v>8.0603029999999993</v>
      </c>
      <c r="CA131" s="2870">
        <v>56148385</v>
      </c>
      <c r="CB131" s="2870">
        <v>17095903</v>
      </c>
      <c r="CC131" s="2870">
        <v>26630</v>
      </c>
      <c r="CD131" s="2870"/>
      <c r="CE131" s="2877">
        <v>9.0903428816509759</v>
      </c>
      <c r="CF131" s="2875">
        <v>73270918</v>
      </c>
      <c r="CG131" s="2869">
        <v>6.8130110000000004</v>
      </c>
      <c r="CH131" s="2870">
        <v>46342277</v>
      </c>
      <c r="CI131" s="2870">
        <v>12661194</v>
      </c>
      <c r="CJ131" s="2870">
        <v>26377</v>
      </c>
      <c r="CK131" s="2870"/>
      <c r="CL131" s="2877">
        <v>8.6642819158812454</v>
      </c>
      <c r="CM131" s="2875">
        <v>59029848</v>
      </c>
      <c r="CN131" s="2872">
        <v>8.3657939999999993</v>
      </c>
      <c r="CO131" s="2870">
        <v>56890591</v>
      </c>
      <c r="CP131" s="2870">
        <v>10038953</v>
      </c>
      <c r="CQ131" s="2870">
        <v>200796042</v>
      </c>
      <c r="CR131" s="2894">
        <v>131157650</v>
      </c>
      <c r="CS131" s="2877">
        <v>47.680260355442655</v>
      </c>
      <c r="CT131" s="2875">
        <v>398883236</v>
      </c>
      <c r="CU131" s="2878">
        <v>321.2581179</v>
      </c>
      <c r="CV131" s="2870">
        <v>803672720</v>
      </c>
      <c r="CW131" s="2870">
        <v>515827021</v>
      </c>
      <c r="CX131" s="2870">
        <v>292772969</v>
      </c>
      <c r="CY131" s="2870">
        <v>131157650</v>
      </c>
      <c r="CZ131" s="2879">
        <v>5.4268834400090968</v>
      </c>
      <c r="DA131" s="2875">
        <v>1743430360</v>
      </c>
      <c r="DJ131" s="1611" t="s">
        <v>1717</v>
      </c>
      <c r="DK131" s="2782" t="s">
        <v>1717</v>
      </c>
      <c r="DM131" s="1650">
        <v>1.6056466506491975</v>
      </c>
    </row>
    <row r="132" spans="1:117" ht="21" customHeight="1">
      <c r="A132" s="1637">
        <v>2</v>
      </c>
      <c r="B132" s="1644" t="s">
        <v>1754</v>
      </c>
      <c r="C132" s="1684">
        <v>1500</v>
      </c>
      <c r="D132" s="1646">
        <v>18.866666666666667</v>
      </c>
      <c r="E132" s="1646">
        <v>101.759</v>
      </c>
      <c r="F132" s="1641">
        <v>1.2</v>
      </c>
      <c r="G132" s="1648"/>
      <c r="H132" s="1648">
        <v>283</v>
      </c>
      <c r="I132" s="1648" t="s">
        <v>1717</v>
      </c>
      <c r="J132" s="1649">
        <v>1</v>
      </c>
      <c r="K132" s="1641"/>
      <c r="L132" s="1648"/>
      <c r="M132" s="1648"/>
      <c r="N132" s="1671"/>
      <c r="O132" s="2876">
        <v>51.439196000000003</v>
      </c>
      <c r="P132" s="2870">
        <v>116001770</v>
      </c>
      <c r="Q132" s="2870">
        <v>58537805</v>
      </c>
      <c r="R132" s="2870">
        <v>-2765709</v>
      </c>
      <c r="S132" s="2870"/>
      <c r="T132" s="2870">
        <v>3.3393575202847261</v>
      </c>
      <c r="U132" s="2875">
        <v>171773866</v>
      </c>
      <c r="V132" s="2876"/>
      <c r="W132" s="2874"/>
      <c r="X132" s="2874"/>
      <c r="Y132" s="2870"/>
      <c r="Z132" s="2870"/>
      <c r="AA132" s="2877">
        <v>0</v>
      </c>
      <c r="AB132" s="2875">
        <v>0</v>
      </c>
      <c r="AC132" s="2869">
        <v>293.58356280000004</v>
      </c>
      <c r="AD132" s="2870">
        <v>203082294</v>
      </c>
      <c r="AE132" s="2870">
        <v>121812265</v>
      </c>
      <c r="AF132" s="2870">
        <v>192137253</v>
      </c>
      <c r="AG132" s="2870"/>
      <c r="AH132" s="2877">
        <v>1.761106129610605</v>
      </c>
      <c r="AI132" s="2875">
        <v>517031812</v>
      </c>
      <c r="AJ132" s="2869">
        <v>232.00182699999999</v>
      </c>
      <c r="AK132" s="2870">
        <v>264018079</v>
      </c>
      <c r="AL132" s="2870">
        <v>147641509</v>
      </c>
      <c r="AM132" s="2870">
        <v>144862</v>
      </c>
      <c r="AN132" s="2870"/>
      <c r="AO132" s="2877">
        <v>1.7750052028685102</v>
      </c>
      <c r="AP132" s="2875">
        <v>411804450</v>
      </c>
      <c r="AQ132" s="2869">
        <v>224.97465600000001</v>
      </c>
      <c r="AR132" s="2870">
        <v>256021159</v>
      </c>
      <c r="AS132" s="2870">
        <v>148389426</v>
      </c>
      <c r="AT132" s="2870">
        <v>-7246330</v>
      </c>
      <c r="AU132" s="2870"/>
      <c r="AV132" s="2877">
        <v>1.765373318317242</v>
      </c>
      <c r="AW132" s="2875">
        <v>397164255</v>
      </c>
      <c r="AX132" s="2869">
        <v>193.93352300000001</v>
      </c>
      <c r="AY132" s="2870">
        <v>220696350</v>
      </c>
      <c r="AZ132" s="2870">
        <v>143940878</v>
      </c>
      <c r="BA132" s="2870">
        <v>144649</v>
      </c>
      <c r="BB132" s="2870"/>
      <c r="BC132" s="2877">
        <v>1.8809634938669164</v>
      </c>
      <c r="BD132" s="2875">
        <v>364781877</v>
      </c>
      <c r="BE132" s="2869">
        <v>82.393527000000006</v>
      </c>
      <c r="BF132" s="2870">
        <v>93763833</v>
      </c>
      <c r="BG132" s="2870">
        <v>137007559</v>
      </c>
      <c r="BH132" s="2870">
        <v>132953</v>
      </c>
      <c r="BI132" s="2870"/>
      <c r="BJ132" s="2877">
        <v>2.8024573459514603</v>
      </c>
      <c r="BK132" s="2875">
        <v>230904345</v>
      </c>
      <c r="BL132" s="2869">
        <v>43.921120000000002</v>
      </c>
      <c r="BM132" s="2870">
        <v>49982235</v>
      </c>
      <c r="BN132" s="2870">
        <v>118836355</v>
      </c>
      <c r="BO132" s="2870">
        <v>119097</v>
      </c>
      <c r="BP132" s="2870"/>
      <c r="BQ132" s="2877">
        <v>3.8463884117709202</v>
      </c>
      <c r="BR132" s="2875">
        <v>168937687</v>
      </c>
      <c r="BS132" s="2869">
        <v>35.826799999999999</v>
      </c>
      <c r="BT132" s="2870">
        <v>122797567</v>
      </c>
      <c r="BU132" s="2870">
        <v>40770898</v>
      </c>
      <c r="BV132" s="2870">
        <v>104664</v>
      </c>
      <c r="BW132" s="2870"/>
      <c r="BX132" s="2877">
        <v>4.5684551508926274</v>
      </c>
      <c r="BY132" s="2875">
        <v>163673129</v>
      </c>
      <c r="BZ132" s="2869">
        <v>31.14161</v>
      </c>
      <c r="CA132" s="2870">
        <v>108559744</v>
      </c>
      <c r="CB132" s="2870">
        <v>35439152</v>
      </c>
      <c r="CC132" s="2870">
        <v>103896</v>
      </c>
      <c r="CD132" s="2870"/>
      <c r="CE132" s="2877">
        <v>4.6273391773899935</v>
      </c>
      <c r="CF132" s="2875">
        <v>144102792</v>
      </c>
      <c r="CG132" s="2869">
        <v>26.528926999999999</v>
      </c>
      <c r="CH132" s="2870">
        <v>92542715</v>
      </c>
      <c r="CI132" s="2870">
        <v>30189920</v>
      </c>
      <c r="CJ132" s="2870">
        <v>-156084778</v>
      </c>
      <c r="CK132" s="2870"/>
      <c r="CL132" s="2877">
        <v>-1.2571990944073992</v>
      </c>
      <c r="CM132" s="2875">
        <v>-33352143</v>
      </c>
      <c r="CN132" s="2872">
        <v>32.556598600000001</v>
      </c>
      <c r="CO132" s="2870">
        <v>108513621</v>
      </c>
      <c r="CP132" s="2870">
        <v>37049406</v>
      </c>
      <c r="CQ132" s="2870">
        <v>2463353</v>
      </c>
      <c r="CR132" s="2895"/>
      <c r="CS132" s="2877">
        <v>4.5467397199165642</v>
      </c>
      <c r="CT132" s="2875">
        <v>148026380</v>
      </c>
      <c r="CU132" s="2878">
        <v>1248.3013473999999</v>
      </c>
      <c r="CV132" s="2870">
        <v>1635979367</v>
      </c>
      <c r="CW132" s="2870">
        <v>1019615173</v>
      </c>
      <c r="CX132" s="2870">
        <v>29253910</v>
      </c>
      <c r="CY132" s="2870">
        <v>0</v>
      </c>
      <c r="CZ132" s="2879">
        <v>2.1508015316911133</v>
      </c>
      <c r="DA132" s="2875">
        <v>2684848450</v>
      </c>
      <c r="DJ132" s="1611" t="s">
        <v>1717</v>
      </c>
      <c r="DK132" s="2782" t="s">
        <v>1717</v>
      </c>
      <c r="DM132" s="1650">
        <v>0.81680210882066706</v>
      </c>
    </row>
    <row r="133" spans="1:117" ht="21" customHeight="1">
      <c r="A133" s="1637">
        <v>3</v>
      </c>
      <c r="B133" s="1644"/>
      <c r="C133" s="1662"/>
      <c r="D133" s="1648"/>
      <c r="E133" s="1648"/>
      <c r="F133" s="1648"/>
      <c r="G133" s="1648"/>
      <c r="H133" s="1648"/>
      <c r="I133" s="1641"/>
      <c r="J133" s="1649"/>
      <c r="K133" s="1641"/>
      <c r="L133" s="1648"/>
      <c r="M133" s="1648"/>
      <c r="N133" s="1671"/>
      <c r="O133" s="2876"/>
      <c r="P133" s="2874"/>
      <c r="Q133" s="2874"/>
      <c r="R133" s="2870"/>
      <c r="S133" s="2870"/>
      <c r="T133" s="2870"/>
      <c r="U133" s="2875">
        <v>0</v>
      </c>
      <c r="V133" s="2876"/>
      <c r="W133" s="2874"/>
      <c r="X133" s="2874"/>
      <c r="Y133" s="2870"/>
      <c r="Z133" s="2870"/>
      <c r="AA133" s="2877">
        <v>0</v>
      </c>
      <c r="AB133" s="2875">
        <v>0</v>
      </c>
      <c r="AC133" s="2876"/>
      <c r="AD133" s="2874"/>
      <c r="AE133" s="2874"/>
      <c r="AF133" s="2870"/>
      <c r="AG133" s="2870"/>
      <c r="AH133" s="2877">
        <v>0</v>
      </c>
      <c r="AI133" s="2875">
        <v>0</v>
      </c>
      <c r="AJ133" s="2876"/>
      <c r="AK133" s="2874"/>
      <c r="AL133" s="2874"/>
      <c r="AM133" s="2870"/>
      <c r="AN133" s="2870"/>
      <c r="AO133" s="2877">
        <v>0</v>
      </c>
      <c r="AP133" s="2875">
        <v>0</v>
      </c>
      <c r="AQ133" s="2876"/>
      <c r="AR133" s="2874"/>
      <c r="AS133" s="2874"/>
      <c r="AT133" s="2870"/>
      <c r="AU133" s="2870"/>
      <c r="AV133" s="2877">
        <v>0</v>
      </c>
      <c r="AW133" s="2875">
        <v>0</v>
      </c>
      <c r="AX133" s="2876"/>
      <c r="AY133" s="2874"/>
      <c r="AZ133" s="2874"/>
      <c r="BA133" s="2870"/>
      <c r="BB133" s="2870"/>
      <c r="BC133" s="2877">
        <v>0</v>
      </c>
      <c r="BD133" s="2875">
        <v>0</v>
      </c>
      <c r="BE133" s="2876"/>
      <c r="BF133" s="2874"/>
      <c r="BG133" s="2874"/>
      <c r="BH133" s="2870"/>
      <c r="BI133" s="2870"/>
      <c r="BJ133" s="2877">
        <v>0</v>
      </c>
      <c r="BK133" s="2875">
        <v>0</v>
      </c>
      <c r="BL133" s="2876"/>
      <c r="BM133" s="2874"/>
      <c r="BN133" s="2874"/>
      <c r="BO133" s="2870"/>
      <c r="BP133" s="2870"/>
      <c r="BQ133" s="2877">
        <v>0</v>
      </c>
      <c r="BR133" s="2875">
        <v>0</v>
      </c>
      <c r="BS133" s="2876"/>
      <c r="BT133" s="2874"/>
      <c r="BU133" s="2874"/>
      <c r="BV133" s="2870"/>
      <c r="BW133" s="2870"/>
      <c r="BX133" s="2877">
        <v>0</v>
      </c>
      <c r="BY133" s="2875">
        <v>0</v>
      </c>
      <c r="BZ133" s="2876"/>
      <c r="CA133" s="2896"/>
      <c r="CB133" s="2870"/>
      <c r="CC133" s="2870"/>
      <c r="CD133" s="2870"/>
      <c r="CE133" s="2877">
        <v>0</v>
      </c>
      <c r="CF133" s="2875"/>
      <c r="CG133" s="2876"/>
      <c r="CH133" s="2896"/>
      <c r="CI133" s="2870"/>
      <c r="CJ133" s="2870"/>
      <c r="CK133" s="2870"/>
      <c r="CL133" s="2877">
        <v>0</v>
      </c>
      <c r="CM133" s="2875"/>
      <c r="CN133" s="2880"/>
      <c r="CO133" s="2870"/>
      <c r="CP133" s="2870"/>
      <c r="CQ133" s="2870"/>
      <c r="CR133" s="2870"/>
      <c r="CS133" s="2884">
        <v>0</v>
      </c>
      <c r="CT133" s="2875">
        <v>0</v>
      </c>
      <c r="CU133" s="2878">
        <v>0</v>
      </c>
      <c r="CV133" s="2870">
        <v>0</v>
      </c>
      <c r="CW133" s="2870">
        <v>0</v>
      </c>
      <c r="CX133" s="2870">
        <v>0</v>
      </c>
      <c r="CY133" s="2870"/>
      <c r="CZ133" s="2879">
        <v>0</v>
      </c>
      <c r="DA133" s="2875">
        <v>0</v>
      </c>
      <c r="DJ133" s="1611" t="e">
        <v>#N/A</v>
      </c>
      <c r="DK133" s="2782" t="e">
        <v>#N/A</v>
      </c>
      <c r="DM133" s="1650">
        <v>0</v>
      </c>
    </row>
    <row r="134" spans="1:117" ht="21" customHeight="1">
      <c r="A134" s="1637">
        <v>4</v>
      </c>
      <c r="B134" s="1644"/>
      <c r="C134" s="1662"/>
      <c r="D134" s="1648"/>
      <c r="E134" s="1648"/>
      <c r="F134" s="1648"/>
      <c r="G134" s="1648"/>
      <c r="H134" s="1648"/>
      <c r="I134" s="1641"/>
      <c r="J134" s="1649"/>
      <c r="K134" s="1641"/>
      <c r="L134" s="1648"/>
      <c r="M134" s="1648"/>
      <c r="N134" s="1671"/>
      <c r="O134" s="2876"/>
      <c r="P134" s="2874"/>
      <c r="Q134" s="2874"/>
      <c r="R134" s="2870"/>
      <c r="S134" s="2870"/>
      <c r="T134" s="2870"/>
      <c r="U134" s="2875">
        <v>0</v>
      </c>
      <c r="V134" s="2876"/>
      <c r="W134" s="2874"/>
      <c r="X134" s="2874"/>
      <c r="Y134" s="2870"/>
      <c r="Z134" s="2870"/>
      <c r="AA134" s="2877">
        <v>0</v>
      </c>
      <c r="AB134" s="2875">
        <v>0</v>
      </c>
      <c r="AC134" s="2876"/>
      <c r="AD134" s="2874"/>
      <c r="AE134" s="2874"/>
      <c r="AF134" s="2870"/>
      <c r="AG134" s="2870"/>
      <c r="AH134" s="2877">
        <v>0</v>
      </c>
      <c r="AI134" s="2875">
        <v>0</v>
      </c>
      <c r="AJ134" s="2876"/>
      <c r="AK134" s="2874"/>
      <c r="AL134" s="2874"/>
      <c r="AM134" s="2870"/>
      <c r="AN134" s="2870"/>
      <c r="AO134" s="2877">
        <v>0</v>
      </c>
      <c r="AP134" s="2875">
        <v>0</v>
      </c>
      <c r="AQ134" s="2876"/>
      <c r="AR134" s="2874"/>
      <c r="AS134" s="2874"/>
      <c r="AT134" s="2870"/>
      <c r="AU134" s="2870"/>
      <c r="AV134" s="2877">
        <v>0</v>
      </c>
      <c r="AW134" s="2875">
        <v>0</v>
      </c>
      <c r="AX134" s="2876"/>
      <c r="AY134" s="2874"/>
      <c r="AZ134" s="2874"/>
      <c r="BA134" s="2870"/>
      <c r="BB134" s="2870"/>
      <c r="BC134" s="2877">
        <v>0</v>
      </c>
      <c r="BD134" s="2875">
        <v>0</v>
      </c>
      <c r="BE134" s="2876"/>
      <c r="BF134" s="2874"/>
      <c r="BG134" s="2874"/>
      <c r="BH134" s="2870"/>
      <c r="BI134" s="2870"/>
      <c r="BJ134" s="2877">
        <v>0</v>
      </c>
      <c r="BK134" s="2875">
        <v>0</v>
      </c>
      <c r="BL134" s="2876"/>
      <c r="BM134" s="2874"/>
      <c r="BN134" s="2874"/>
      <c r="BO134" s="2870"/>
      <c r="BP134" s="2870"/>
      <c r="BQ134" s="2877">
        <v>0</v>
      </c>
      <c r="BR134" s="2875">
        <v>0</v>
      </c>
      <c r="BS134" s="2876"/>
      <c r="BT134" s="2874"/>
      <c r="BU134" s="2874"/>
      <c r="BV134" s="2870"/>
      <c r="BW134" s="2870"/>
      <c r="BX134" s="2877">
        <v>0</v>
      </c>
      <c r="BY134" s="2875">
        <v>0</v>
      </c>
      <c r="BZ134" s="2876"/>
      <c r="CA134" s="2874"/>
      <c r="CB134" s="2874"/>
      <c r="CC134" s="2870"/>
      <c r="CD134" s="2870"/>
      <c r="CE134" s="2877">
        <v>0</v>
      </c>
      <c r="CF134" s="2875">
        <v>0</v>
      </c>
      <c r="CG134" s="2876"/>
      <c r="CH134" s="2874"/>
      <c r="CI134" s="2874"/>
      <c r="CJ134" s="2870"/>
      <c r="CK134" s="2870"/>
      <c r="CL134" s="2877">
        <v>0</v>
      </c>
      <c r="CM134" s="2875">
        <v>0</v>
      </c>
      <c r="CN134" s="2880"/>
      <c r="CO134" s="2874"/>
      <c r="CP134" s="2874"/>
      <c r="CQ134" s="2870"/>
      <c r="CR134" s="2870"/>
      <c r="CS134" s="2884">
        <v>0</v>
      </c>
      <c r="CT134" s="2875">
        <v>0</v>
      </c>
      <c r="CU134" s="2878">
        <v>0</v>
      </c>
      <c r="CV134" s="2870">
        <v>0</v>
      </c>
      <c r="CW134" s="2870">
        <v>0</v>
      </c>
      <c r="CX134" s="2870">
        <v>0</v>
      </c>
      <c r="CY134" s="2870"/>
      <c r="CZ134" s="2879">
        <v>0</v>
      </c>
      <c r="DA134" s="2875">
        <v>0</v>
      </c>
      <c r="DJ134" s="1611" t="e">
        <v>#N/A</v>
      </c>
      <c r="DK134" s="2782" t="e">
        <v>#N/A</v>
      </c>
      <c r="DM134" s="1650">
        <v>0</v>
      </c>
    </row>
    <row r="135" spans="1:117" ht="21" customHeight="1">
      <c r="A135" s="1637">
        <v>5</v>
      </c>
      <c r="B135" s="1644"/>
      <c r="C135" s="1662"/>
      <c r="D135" s="1648"/>
      <c r="E135" s="1648"/>
      <c r="F135" s="1648"/>
      <c r="G135" s="1648"/>
      <c r="H135" s="1648"/>
      <c r="I135" s="1641"/>
      <c r="J135" s="1649"/>
      <c r="K135" s="1641"/>
      <c r="L135" s="1648"/>
      <c r="M135" s="1648"/>
      <c r="N135" s="1671"/>
      <c r="O135" s="2876"/>
      <c r="P135" s="2874"/>
      <c r="Q135" s="2874"/>
      <c r="R135" s="2870"/>
      <c r="S135" s="2870"/>
      <c r="T135" s="2870"/>
      <c r="U135" s="2875">
        <v>0</v>
      </c>
      <c r="V135" s="2876"/>
      <c r="W135" s="2874"/>
      <c r="X135" s="2874"/>
      <c r="Y135" s="2870"/>
      <c r="Z135" s="2870"/>
      <c r="AA135" s="2877">
        <v>0</v>
      </c>
      <c r="AB135" s="2875">
        <v>0</v>
      </c>
      <c r="AC135" s="2876"/>
      <c r="AD135" s="2874"/>
      <c r="AE135" s="2874"/>
      <c r="AF135" s="2870"/>
      <c r="AG135" s="2870"/>
      <c r="AH135" s="2877">
        <v>0</v>
      </c>
      <c r="AI135" s="2875">
        <v>0</v>
      </c>
      <c r="AJ135" s="2876"/>
      <c r="AK135" s="2874"/>
      <c r="AL135" s="2874"/>
      <c r="AM135" s="2870"/>
      <c r="AN135" s="2870"/>
      <c r="AO135" s="2877">
        <v>0</v>
      </c>
      <c r="AP135" s="2875">
        <v>0</v>
      </c>
      <c r="AQ135" s="2876"/>
      <c r="AR135" s="2874"/>
      <c r="AS135" s="2874"/>
      <c r="AT135" s="2870"/>
      <c r="AU135" s="2870"/>
      <c r="AV135" s="2877">
        <v>0</v>
      </c>
      <c r="AW135" s="2875">
        <v>0</v>
      </c>
      <c r="AX135" s="2876"/>
      <c r="AY135" s="2874"/>
      <c r="AZ135" s="2874"/>
      <c r="BA135" s="2870"/>
      <c r="BB135" s="2870"/>
      <c r="BC135" s="2877">
        <v>0</v>
      </c>
      <c r="BD135" s="2875">
        <v>0</v>
      </c>
      <c r="BE135" s="2876"/>
      <c r="BF135" s="2874"/>
      <c r="BG135" s="2874"/>
      <c r="BH135" s="2870"/>
      <c r="BI135" s="2870"/>
      <c r="BJ135" s="2877">
        <v>0</v>
      </c>
      <c r="BK135" s="2875">
        <v>0</v>
      </c>
      <c r="BL135" s="2876"/>
      <c r="BM135" s="2874"/>
      <c r="BN135" s="2874"/>
      <c r="BO135" s="2870"/>
      <c r="BP135" s="2870"/>
      <c r="BQ135" s="2877">
        <v>0</v>
      </c>
      <c r="BR135" s="2875">
        <v>0</v>
      </c>
      <c r="BS135" s="2876"/>
      <c r="BT135" s="2874"/>
      <c r="BU135" s="2874"/>
      <c r="BV135" s="2870"/>
      <c r="BW135" s="2870"/>
      <c r="BX135" s="2877">
        <v>0</v>
      </c>
      <c r="BY135" s="2875">
        <v>0</v>
      </c>
      <c r="BZ135" s="2876"/>
      <c r="CA135" s="2874"/>
      <c r="CB135" s="2874"/>
      <c r="CC135" s="2870"/>
      <c r="CD135" s="2870"/>
      <c r="CE135" s="2877">
        <v>0</v>
      </c>
      <c r="CF135" s="2875">
        <v>0</v>
      </c>
      <c r="CG135" s="2876"/>
      <c r="CH135" s="2874"/>
      <c r="CI135" s="2874"/>
      <c r="CJ135" s="2870"/>
      <c r="CK135" s="2870"/>
      <c r="CL135" s="2877">
        <v>0</v>
      </c>
      <c r="CM135" s="2875">
        <v>0</v>
      </c>
      <c r="CN135" s="2880"/>
      <c r="CO135" s="2874"/>
      <c r="CP135" s="2874"/>
      <c r="CQ135" s="2870"/>
      <c r="CR135" s="2870"/>
      <c r="CS135" s="2884">
        <v>0</v>
      </c>
      <c r="CT135" s="2875">
        <v>0</v>
      </c>
      <c r="CU135" s="2878">
        <v>0</v>
      </c>
      <c r="CV135" s="2870">
        <v>0</v>
      </c>
      <c r="CW135" s="2870">
        <v>0</v>
      </c>
      <c r="CX135" s="2870">
        <v>0</v>
      </c>
      <c r="CY135" s="2870"/>
      <c r="CZ135" s="2879">
        <v>0</v>
      </c>
      <c r="DA135" s="2875">
        <v>0</v>
      </c>
      <c r="DJ135" s="1611" t="e">
        <v>#N/A</v>
      </c>
      <c r="DK135" s="2782" t="e">
        <v>#N/A</v>
      </c>
      <c r="DM135" s="1650">
        <v>0</v>
      </c>
    </row>
    <row r="136" spans="1:117" s="1727" customFormat="1" ht="21" customHeight="1">
      <c r="A136" s="2021"/>
      <c r="B136" s="1638" t="s">
        <v>211</v>
      </c>
      <c r="C136" s="1643"/>
      <c r="D136" s="1641"/>
      <c r="E136" s="1641"/>
      <c r="F136" s="1641"/>
      <c r="G136" s="1641"/>
      <c r="H136" s="1641"/>
      <c r="I136" s="1641"/>
      <c r="J136" s="1649"/>
      <c r="K136" s="1641"/>
      <c r="L136" s="1641"/>
      <c r="M136" s="1641"/>
      <c r="N136" s="1671"/>
      <c r="O136" s="2876">
        <v>64.790399000000008</v>
      </c>
      <c r="P136" s="2874">
        <v>175944823</v>
      </c>
      <c r="Q136" s="2874">
        <v>86855707</v>
      </c>
      <c r="R136" s="2874">
        <v>-3372116</v>
      </c>
      <c r="S136" s="2874"/>
      <c r="T136" s="2879">
        <v>4.004118171891486</v>
      </c>
      <c r="U136" s="2875">
        <v>259428414</v>
      </c>
      <c r="V136" s="2876">
        <v>0</v>
      </c>
      <c r="W136" s="2874">
        <v>0</v>
      </c>
      <c r="X136" s="2874">
        <v>0</v>
      </c>
      <c r="Y136" s="2874">
        <v>0</v>
      </c>
      <c r="Z136" s="2874">
        <v>0</v>
      </c>
      <c r="AA136" s="2879">
        <v>0</v>
      </c>
      <c r="AB136" s="2875">
        <v>0</v>
      </c>
      <c r="AC136" s="2876">
        <v>369.38298920000005</v>
      </c>
      <c r="AD136" s="2874">
        <v>300444669</v>
      </c>
      <c r="AE136" s="2874">
        <v>185638116</v>
      </c>
      <c r="AF136" s="2874">
        <v>287862517</v>
      </c>
      <c r="AG136" s="2874">
        <v>0</v>
      </c>
      <c r="AH136" s="2879">
        <v>2.0952380716724135</v>
      </c>
      <c r="AI136" s="2875">
        <v>773945302</v>
      </c>
      <c r="AJ136" s="2876">
        <v>291.50950999999998</v>
      </c>
      <c r="AK136" s="2874">
        <v>390233875</v>
      </c>
      <c r="AL136" s="2874">
        <v>224918602</v>
      </c>
      <c r="AM136" s="2874">
        <v>182306</v>
      </c>
      <c r="AN136" s="2874">
        <v>0</v>
      </c>
      <c r="AO136" s="2879">
        <v>2.1108566338024444</v>
      </c>
      <c r="AP136" s="2875">
        <v>615334783</v>
      </c>
      <c r="AQ136" s="2876">
        <v>282.43335300000001</v>
      </c>
      <c r="AR136" s="2874">
        <v>377891056</v>
      </c>
      <c r="AS136" s="2874">
        <v>225635965</v>
      </c>
      <c r="AT136" s="2874">
        <v>-10608213</v>
      </c>
      <c r="AU136" s="2874">
        <v>0</v>
      </c>
      <c r="AV136" s="2879">
        <v>2.0993229082260694</v>
      </c>
      <c r="AW136" s="2875">
        <v>592918808</v>
      </c>
      <c r="AX136" s="2876">
        <v>243.76324</v>
      </c>
      <c r="AY136" s="2874">
        <v>326385179</v>
      </c>
      <c r="AZ136" s="2874">
        <v>219296590</v>
      </c>
      <c r="BA136" s="2874">
        <v>182038</v>
      </c>
      <c r="BB136" s="2874">
        <v>0</v>
      </c>
      <c r="BC136" s="2879">
        <v>2.239319624238667</v>
      </c>
      <c r="BD136" s="2875">
        <v>545863807</v>
      </c>
      <c r="BE136" s="2876">
        <v>103.730795</v>
      </c>
      <c r="BF136" s="2874">
        <v>139020179</v>
      </c>
      <c r="BG136" s="2874">
        <v>208825775</v>
      </c>
      <c r="BH136" s="2874">
        <v>167363</v>
      </c>
      <c r="BI136" s="2874">
        <v>0</v>
      </c>
      <c r="BJ136" s="2879">
        <v>3.3549662566453868</v>
      </c>
      <c r="BK136" s="2875">
        <v>348013317</v>
      </c>
      <c r="BL136" s="2876">
        <v>55.325833000000003</v>
      </c>
      <c r="BM136" s="2874">
        <v>74171632</v>
      </c>
      <c r="BN136" s="2874">
        <v>181236441</v>
      </c>
      <c r="BO136" s="2874">
        <v>149974</v>
      </c>
      <c r="BP136" s="2874">
        <v>0</v>
      </c>
      <c r="BQ136" s="2879">
        <v>4.6191450384488562</v>
      </c>
      <c r="BR136" s="2875">
        <v>255558047</v>
      </c>
      <c r="BS136" s="2876">
        <v>45.157102500000001</v>
      </c>
      <c r="BT136" s="2874">
        <v>186563341</v>
      </c>
      <c r="BU136" s="2874">
        <v>60560470</v>
      </c>
      <c r="BV136" s="2874">
        <v>131490</v>
      </c>
      <c r="BW136" s="2874">
        <v>0</v>
      </c>
      <c r="BX136" s="2879">
        <v>5.4754465479710532</v>
      </c>
      <c r="BY136" s="2875">
        <v>247255301</v>
      </c>
      <c r="BZ136" s="2876">
        <v>39.201912999999998</v>
      </c>
      <c r="CA136" s="2874">
        <v>200147281</v>
      </c>
      <c r="CB136" s="2874">
        <v>52638951</v>
      </c>
      <c r="CC136" s="2874">
        <v>130526</v>
      </c>
      <c r="CD136" s="2874">
        <v>0</v>
      </c>
      <c r="CE136" s="2879">
        <v>5.5449771035408402</v>
      </c>
      <c r="CF136" s="2875">
        <v>217373710</v>
      </c>
      <c r="CG136" s="2876">
        <v>33.341937999999999</v>
      </c>
      <c r="CH136" s="2874">
        <v>169074912</v>
      </c>
      <c r="CI136" s="2874">
        <v>-113233664</v>
      </c>
      <c r="CJ136" s="2874">
        <v>-156058401</v>
      </c>
      <c r="CK136" s="2874">
        <v>0</v>
      </c>
      <c r="CL136" s="2879">
        <v>0.77013234803567809</v>
      </c>
      <c r="CM136" s="2875">
        <v>25677705</v>
      </c>
      <c r="CN136" s="2880">
        <v>40.922392600000002</v>
      </c>
      <c r="CO136" s="2874">
        <v>165404212</v>
      </c>
      <c r="CP136" s="2874">
        <v>47088359</v>
      </c>
      <c r="CQ136" s="2874">
        <v>203259395</v>
      </c>
      <c r="CR136" s="2874">
        <v>131157650</v>
      </c>
      <c r="CS136" s="2879">
        <v>13.364556206325043</v>
      </c>
      <c r="CT136" s="2875">
        <v>546909616</v>
      </c>
      <c r="CU136" s="2881">
        <v>1569.5594652999998</v>
      </c>
      <c r="CV136" s="2874">
        <v>2439652087</v>
      </c>
      <c r="CW136" s="2874">
        <v>1535442194</v>
      </c>
      <c r="CX136" s="2874">
        <v>322026879</v>
      </c>
      <c r="CY136" s="2874">
        <v>131157650</v>
      </c>
      <c r="CZ136" s="2879">
        <v>2.8213514096795276</v>
      </c>
      <c r="DA136" s="2875">
        <v>4428278810</v>
      </c>
      <c r="DB136" s="1609"/>
      <c r="DD136" s="1625"/>
      <c r="DJ136" s="1611" t="e">
        <v>#N/A</v>
      </c>
      <c r="DK136" s="2782">
        <v>0</v>
      </c>
      <c r="DM136" s="1650">
        <v>0.97826315469132052</v>
      </c>
    </row>
    <row r="137" spans="1:117" ht="21" customHeight="1">
      <c r="A137" s="1652"/>
      <c r="B137" s="1644"/>
      <c r="C137" s="1662"/>
      <c r="D137" s="1648"/>
      <c r="E137" s="1648"/>
      <c r="F137" s="1648"/>
      <c r="G137" s="1648"/>
      <c r="H137" s="1648"/>
      <c r="I137" s="1648"/>
      <c r="J137" s="1663"/>
      <c r="K137" s="1648"/>
      <c r="L137" s="1648"/>
      <c r="M137" s="1648"/>
      <c r="N137" s="1642"/>
      <c r="O137" s="2876"/>
      <c r="P137" s="2870"/>
      <c r="Q137" s="2870"/>
      <c r="R137" s="2870"/>
      <c r="S137" s="2870"/>
      <c r="T137" s="2870"/>
      <c r="U137" s="2875">
        <v>0</v>
      </c>
      <c r="V137" s="2869"/>
      <c r="W137" s="2870"/>
      <c r="X137" s="2870"/>
      <c r="Y137" s="2870"/>
      <c r="Z137" s="2870"/>
      <c r="AA137" s="2877">
        <v>0</v>
      </c>
      <c r="AB137" s="2875">
        <v>0</v>
      </c>
      <c r="AC137" s="2869"/>
      <c r="AD137" s="2870"/>
      <c r="AE137" s="2870"/>
      <c r="AF137" s="2870"/>
      <c r="AG137" s="2870"/>
      <c r="AH137" s="2877">
        <v>0</v>
      </c>
      <c r="AI137" s="2875">
        <v>0</v>
      </c>
      <c r="AJ137" s="2869"/>
      <c r="AK137" s="2870"/>
      <c r="AL137" s="2870"/>
      <c r="AM137" s="2870"/>
      <c r="AN137" s="2870"/>
      <c r="AO137" s="2877">
        <v>0</v>
      </c>
      <c r="AP137" s="2875">
        <v>0</v>
      </c>
      <c r="AQ137" s="2869"/>
      <c r="AR137" s="2870"/>
      <c r="AS137" s="2870"/>
      <c r="AT137" s="2870"/>
      <c r="AU137" s="2870"/>
      <c r="AV137" s="2877">
        <v>0</v>
      </c>
      <c r="AW137" s="2875">
        <v>0</v>
      </c>
      <c r="AX137" s="2869"/>
      <c r="AY137" s="2870"/>
      <c r="AZ137" s="2870"/>
      <c r="BA137" s="2870"/>
      <c r="BB137" s="2870"/>
      <c r="BC137" s="2877">
        <v>0</v>
      </c>
      <c r="BD137" s="2875">
        <v>0</v>
      </c>
      <c r="BE137" s="2869"/>
      <c r="BF137" s="2870"/>
      <c r="BG137" s="2870"/>
      <c r="BH137" s="2870"/>
      <c r="BI137" s="2870"/>
      <c r="BJ137" s="2877">
        <v>0</v>
      </c>
      <c r="BK137" s="2875">
        <v>0</v>
      </c>
      <c r="BL137" s="2869"/>
      <c r="BM137" s="2870"/>
      <c r="BN137" s="2870"/>
      <c r="BO137" s="2870"/>
      <c r="BP137" s="2870"/>
      <c r="BQ137" s="2877">
        <v>0</v>
      </c>
      <c r="BR137" s="2875">
        <v>0</v>
      </c>
      <c r="BS137" s="2869"/>
      <c r="BT137" s="2870"/>
      <c r="BU137" s="2870"/>
      <c r="BV137" s="2870"/>
      <c r="BW137" s="2870"/>
      <c r="BX137" s="2877">
        <v>0</v>
      </c>
      <c r="BY137" s="2875">
        <v>0</v>
      </c>
      <c r="BZ137" s="2869"/>
      <c r="CA137" s="2870"/>
      <c r="CB137" s="2870"/>
      <c r="CC137" s="2870"/>
      <c r="CD137" s="2870"/>
      <c r="CE137" s="2877">
        <v>0</v>
      </c>
      <c r="CF137" s="2875">
        <v>0</v>
      </c>
      <c r="CG137" s="2869"/>
      <c r="CH137" s="2870"/>
      <c r="CI137" s="2870"/>
      <c r="CJ137" s="2870"/>
      <c r="CK137" s="2870"/>
      <c r="CL137" s="2877">
        <v>0</v>
      </c>
      <c r="CM137" s="2875">
        <v>0</v>
      </c>
      <c r="CN137" s="2872"/>
      <c r="CO137" s="2870"/>
      <c r="CP137" s="2870"/>
      <c r="CQ137" s="2870"/>
      <c r="CR137" s="2870"/>
      <c r="CS137" s="2877">
        <v>0</v>
      </c>
      <c r="CT137" s="2875">
        <v>0</v>
      </c>
      <c r="CU137" s="2878"/>
      <c r="CV137" s="2870"/>
      <c r="CW137" s="2870"/>
      <c r="CX137" s="2870"/>
      <c r="CY137" s="2870"/>
      <c r="CZ137" s="2879"/>
      <c r="DA137" s="2875"/>
      <c r="DJ137" s="1611" t="e">
        <v>#N/A</v>
      </c>
      <c r="DK137" s="2782" t="e">
        <v>#N/A</v>
      </c>
      <c r="DM137" s="1650">
        <v>0</v>
      </c>
    </row>
    <row r="138" spans="1:117" ht="21" customHeight="1">
      <c r="A138" s="1652" t="s">
        <v>136</v>
      </c>
      <c r="B138" s="1638" t="s">
        <v>1755</v>
      </c>
      <c r="C138" s="1662"/>
      <c r="D138" s="1648"/>
      <c r="E138" s="1648"/>
      <c r="F138" s="1648"/>
      <c r="G138" s="1648"/>
      <c r="H138" s="1648"/>
      <c r="I138" s="1648"/>
      <c r="J138" s="1649"/>
      <c r="K138" s="1648"/>
      <c r="L138" s="1648"/>
      <c r="M138" s="1648"/>
      <c r="N138" s="1642"/>
      <c r="O138" s="2876"/>
      <c r="P138" s="2870"/>
      <c r="Q138" s="2870"/>
      <c r="R138" s="2870"/>
      <c r="S138" s="2870"/>
      <c r="T138" s="2870"/>
      <c r="U138" s="2875">
        <v>0</v>
      </c>
      <c r="V138" s="2869"/>
      <c r="W138" s="2870"/>
      <c r="X138" s="2870"/>
      <c r="Y138" s="2870"/>
      <c r="Z138" s="2870"/>
      <c r="AA138" s="2877">
        <v>0</v>
      </c>
      <c r="AB138" s="2875">
        <v>0</v>
      </c>
      <c r="AC138" s="2869"/>
      <c r="AD138" s="2870"/>
      <c r="AE138" s="2870"/>
      <c r="AF138" s="2870"/>
      <c r="AG138" s="2870"/>
      <c r="AH138" s="2877">
        <v>0</v>
      </c>
      <c r="AI138" s="2875">
        <v>0</v>
      </c>
      <c r="AJ138" s="2869"/>
      <c r="AK138" s="2870"/>
      <c r="AL138" s="2870"/>
      <c r="AM138" s="2870"/>
      <c r="AN138" s="2870"/>
      <c r="AO138" s="2877">
        <v>0</v>
      </c>
      <c r="AP138" s="2875">
        <v>0</v>
      </c>
      <c r="AQ138" s="2869"/>
      <c r="AR138" s="2870"/>
      <c r="AS138" s="2870"/>
      <c r="AT138" s="2870"/>
      <c r="AU138" s="2870"/>
      <c r="AV138" s="2877">
        <v>0</v>
      </c>
      <c r="AW138" s="2875">
        <v>0</v>
      </c>
      <c r="AX138" s="2869"/>
      <c r="AY138" s="2870"/>
      <c r="AZ138" s="2870"/>
      <c r="BA138" s="2870"/>
      <c r="BB138" s="2870"/>
      <c r="BC138" s="2877">
        <v>0</v>
      </c>
      <c r="BD138" s="2875">
        <v>0</v>
      </c>
      <c r="BE138" s="2869"/>
      <c r="BF138" s="2870"/>
      <c r="BG138" s="2870"/>
      <c r="BH138" s="2870"/>
      <c r="BI138" s="2870"/>
      <c r="BJ138" s="2877">
        <v>0</v>
      </c>
      <c r="BK138" s="2875">
        <v>0</v>
      </c>
      <c r="BL138" s="2869"/>
      <c r="BM138" s="2870"/>
      <c r="BN138" s="2870"/>
      <c r="BO138" s="2870"/>
      <c r="BP138" s="2870"/>
      <c r="BQ138" s="2877">
        <v>0</v>
      </c>
      <c r="BR138" s="2875">
        <v>0</v>
      </c>
      <c r="BS138" s="2869"/>
      <c r="BT138" s="2870"/>
      <c r="BU138" s="2870"/>
      <c r="BV138" s="2870"/>
      <c r="BW138" s="2870"/>
      <c r="BX138" s="2877">
        <v>0</v>
      </c>
      <c r="BY138" s="2875">
        <v>0</v>
      </c>
      <c r="BZ138" s="2869"/>
      <c r="CA138" s="2870"/>
      <c r="CB138" s="2870"/>
      <c r="CC138" s="2870"/>
      <c r="CD138" s="2870"/>
      <c r="CE138" s="2877">
        <v>0</v>
      </c>
      <c r="CF138" s="2875">
        <v>0</v>
      </c>
      <c r="CG138" s="2869"/>
      <c r="CH138" s="2870"/>
      <c r="CI138" s="2870"/>
      <c r="CJ138" s="2870"/>
      <c r="CK138" s="2870"/>
      <c r="CL138" s="2877">
        <v>0</v>
      </c>
      <c r="CM138" s="2875">
        <v>0</v>
      </c>
      <c r="CN138" s="2872"/>
      <c r="CO138" s="2870"/>
      <c r="CP138" s="2870"/>
      <c r="CQ138" s="2870"/>
      <c r="CR138" s="2870"/>
      <c r="CS138" s="2877">
        <v>0</v>
      </c>
      <c r="CT138" s="2875">
        <v>0</v>
      </c>
      <c r="CU138" s="2878"/>
      <c r="CV138" s="2870"/>
      <c r="CW138" s="2870"/>
      <c r="CX138" s="2870"/>
      <c r="CY138" s="2870"/>
      <c r="CZ138" s="2879"/>
      <c r="DA138" s="2875"/>
      <c r="DJ138" s="1611" t="e">
        <v>#N/A</v>
      </c>
      <c r="DK138" s="2782">
        <v>0</v>
      </c>
      <c r="DM138" s="1650">
        <v>0</v>
      </c>
    </row>
    <row r="139" spans="1:117" ht="21" customHeight="1">
      <c r="A139" s="1652">
        <v>1</v>
      </c>
      <c r="B139" s="1644" t="s">
        <v>1756</v>
      </c>
      <c r="C139" s="1662">
        <v>600</v>
      </c>
      <c r="D139" s="1646">
        <v>9.1666666666666661</v>
      </c>
      <c r="E139" s="1646"/>
      <c r="F139" s="1648"/>
      <c r="G139" s="1648"/>
      <c r="H139" s="1648">
        <v>55</v>
      </c>
      <c r="I139" s="1648" t="s">
        <v>1717</v>
      </c>
      <c r="J139" s="1649">
        <v>1</v>
      </c>
      <c r="K139" s="1648"/>
      <c r="L139" s="1648"/>
      <c r="M139" s="1648"/>
      <c r="N139" s="1642"/>
      <c r="O139" s="2876"/>
      <c r="P139" s="2870"/>
      <c r="Q139" s="2870"/>
      <c r="R139" s="2870"/>
      <c r="S139" s="2870"/>
      <c r="T139" s="2870"/>
      <c r="U139" s="2875">
        <v>0</v>
      </c>
      <c r="V139" s="2869"/>
      <c r="W139" s="2870"/>
      <c r="X139" s="2870"/>
      <c r="Y139" s="2870"/>
      <c r="Z139" s="2870"/>
      <c r="AA139" s="2877">
        <v>0</v>
      </c>
      <c r="AB139" s="2875">
        <v>0</v>
      </c>
      <c r="AC139" s="2869"/>
      <c r="AD139" s="2870"/>
      <c r="AE139" s="2870"/>
      <c r="AF139" s="2870"/>
      <c r="AG139" s="2870"/>
      <c r="AH139" s="2877">
        <v>0</v>
      </c>
      <c r="AI139" s="2875">
        <v>0</v>
      </c>
      <c r="AJ139" s="2869"/>
      <c r="AK139" s="2870"/>
      <c r="AL139" s="2870"/>
      <c r="AM139" s="2870"/>
      <c r="AN139" s="2870"/>
      <c r="AO139" s="2877">
        <v>0</v>
      </c>
      <c r="AP139" s="2875">
        <v>0</v>
      </c>
      <c r="AQ139" s="2869"/>
      <c r="AR139" s="2870"/>
      <c r="AS139" s="2870"/>
      <c r="AT139" s="2870"/>
      <c r="AU139" s="2870"/>
      <c r="AV139" s="2877">
        <v>0</v>
      </c>
      <c r="AW139" s="2875">
        <v>0</v>
      </c>
      <c r="AX139" s="2869">
        <v>58.023466999999997</v>
      </c>
      <c r="AY139" s="2870"/>
      <c r="AZ139" s="2870">
        <v>232093868</v>
      </c>
      <c r="BA139" s="2870">
        <v>138115</v>
      </c>
      <c r="BB139" s="2870"/>
      <c r="BC139" s="2877">
        <v>4.0023803300137164</v>
      </c>
      <c r="BD139" s="2875">
        <v>232231983</v>
      </c>
      <c r="BE139" s="2869">
        <v>20.543966999999999</v>
      </c>
      <c r="BF139" s="2870"/>
      <c r="BG139" s="2870">
        <v>82175869</v>
      </c>
      <c r="BH139" s="2870">
        <v>54703</v>
      </c>
      <c r="BI139" s="2870"/>
      <c r="BJ139" s="2877">
        <v>4.0026627768629108</v>
      </c>
      <c r="BK139" s="2875">
        <v>82230572</v>
      </c>
      <c r="BL139" s="2869">
        <v>13.234994</v>
      </c>
      <c r="BM139" s="2870"/>
      <c r="BN139" s="2870">
        <v>52994679</v>
      </c>
      <c r="BO139" s="2870"/>
      <c r="BP139" s="2870"/>
      <c r="BQ139" s="2877">
        <v>4.0041332092783719</v>
      </c>
      <c r="BR139" s="2875">
        <v>52994679</v>
      </c>
      <c r="BS139" s="2869">
        <v>11.237864</v>
      </c>
      <c r="BT139" s="2870"/>
      <c r="BU139" s="2870">
        <v>44951456</v>
      </c>
      <c r="BV139" s="2870">
        <v>54703</v>
      </c>
      <c r="BW139" s="2870"/>
      <c r="BX139" s="2877">
        <v>4.0048677399904467</v>
      </c>
      <c r="BY139" s="2875">
        <v>45006159</v>
      </c>
      <c r="BZ139" s="2869">
        <v>9.7346909999999998</v>
      </c>
      <c r="CA139" s="2870"/>
      <c r="CB139" s="2870">
        <v>38938763</v>
      </c>
      <c r="CC139" s="2870">
        <v>54703</v>
      </c>
      <c r="CD139" s="2870"/>
      <c r="CE139" s="2877">
        <v>4.0056192846799146</v>
      </c>
      <c r="CF139" s="2875">
        <v>38993466</v>
      </c>
      <c r="CG139" s="2869">
        <v>7.3201330000000002</v>
      </c>
      <c r="CH139" s="2870"/>
      <c r="CI139" s="2870">
        <v>29358884</v>
      </c>
      <c r="CJ139" s="2870"/>
      <c r="CK139" s="2870"/>
      <c r="CL139" s="2877">
        <v>4.0107036306580772</v>
      </c>
      <c r="CM139" s="2875">
        <v>29358884</v>
      </c>
      <c r="CN139" s="2872">
        <v>8.0686385999999999</v>
      </c>
      <c r="CO139" s="2870"/>
      <c r="CP139" s="2870">
        <v>32274551</v>
      </c>
      <c r="CQ139" s="2870">
        <v>278606</v>
      </c>
      <c r="CR139" s="2870">
        <v>14704454</v>
      </c>
      <c r="CS139" s="2877">
        <v>5.8569497709316165</v>
      </c>
      <c r="CT139" s="2875">
        <v>47257611</v>
      </c>
      <c r="CU139" s="2878">
        <v>128.1637546</v>
      </c>
      <c r="CV139" s="2870">
        <v>0</v>
      </c>
      <c r="CW139" s="2870">
        <v>512788070</v>
      </c>
      <c r="CX139" s="2870">
        <v>580830</v>
      </c>
      <c r="CY139" s="2870">
        <v>14704454</v>
      </c>
      <c r="CZ139" s="2879">
        <v>4.1203018407826821</v>
      </c>
      <c r="DA139" s="2875">
        <v>528073354</v>
      </c>
      <c r="DJ139" s="1611" t="s">
        <v>1717</v>
      </c>
      <c r="DK139" s="2782" t="s">
        <v>1717</v>
      </c>
      <c r="DM139" s="1650">
        <v>4.00103813750163</v>
      </c>
    </row>
    <row r="140" spans="1:117" ht="21" customHeight="1">
      <c r="A140" s="1652"/>
      <c r="B140" s="1644"/>
      <c r="C140" s="1662"/>
      <c r="D140" s="1648"/>
      <c r="E140" s="1648"/>
      <c r="F140" s="1648"/>
      <c r="G140" s="1648"/>
      <c r="H140" s="1648"/>
      <c r="I140" s="1648"/>
      <c r="J140" s="1663"/>
      <c r="K140" s="1648"/>
      <c r="L140" s="1648"/>
      <c r="M140" s="1648"/>
      <c r="N140" s="1642"/>
      <c r="O140" s="2876"/>
      <c r="P140" s="2870"/>
      <c r="Q140" s="2870"/>
      <c r="R140" s="2870"/>
      <c r="S140" s="2870"/>
      <c r="T140" s="2870"/>
      <c r="U140" s="2875">
        <v>0</v>
      </c>
      <c r="V140" s="2869"/>
      <c r="W140" s="2870"/>
      <c r="X140" s="2870"/>
      <c r="Y140" s="2870"/>
      <c r="Z140" s="2870"/>
      <c r="AA140" s="2877"/>
      <c r="AB140" s="2875">
        <v>0</v>
      </c>
      <c r="AC140" s="2869"/>
      <c r="AD140" s="2870"/>
      <c r="AE140" s="2870"/>
      <c r="AF140" s="2870"/>
      <c r="AG140" s="2870"/>
      <c r="AH140" s="2877"/>
      <c r="AI140" s="2875">
        <v>0</v>
      </c>
      <c r="AJ140" s="2869"/>
      <c r="AK140" s="2870"/>
      <c r="AL140" s="2870"/>
      <c r="AM140" s="2870"/>
      <c r="AN140" s="2870"/>
      <c r="AO140" s="2877"/>
      <c r="AP140" s="2875">
        <v>0</v>
      </c>
      <c r="AQ140" s="2869"/>
      <c r="AR140" s="2870"/>
      <c r="AS140" s="2870"/>
      <c r="AT140" s="2870"/>
      <c r="AU140" s="2870"/>
      <c r="AV140" s="2877"/>
      <c r="AW140" s="2875">
        <v>0</v>
      </c>
      <c r="AX140" s="2869"/>
      <c r="AY140" s="2870"/>
      <c r="AZ140" s="2870"/>
      <c r="BA140" s="2870"/>
      <c r="BB140" s="2870"/>
      <c r="BC140" s="2877"/>
      <c r="BD140" s="2875">
        <v>0</v>
      </c>
      <c r="BE140" s="2869"/>
      <c r="BF140" s="2870"/>
      <c r="BG140" s="2870"/>
      <c r="BH140" s="2870"/>
      <c r="BI140" s="2870"/>
      <c r="BJ140" s="2877"/>
      <c r="BK140" s="2875">
        <v>0</v>
      </c>
      <c r="BL140" s="2869"/>
      <c r="BM140" s="2870"/>
      <c r="BN140" s="2870"/>
      <c r="BO140" s="2870"/>
      <c r="BP140" s="2870"/>
      <c r="BQ140" s="2877"/>
      <c r="BR140" s="2875">
        <v>0</v>
      </c>
      <c r="BS140" s="2869"/>
      <c r="BT140" s="2870"/>
      <c r="BU140" s="2870"/>
      <c r="BV140" s="2870"/>
      <c r="BW140" s="2870"/>
      <c r="BX140" s="2877"/>
      <c r="BY140" s="2875">
        <v>0</v>
      </c>
      <c r="BZ140" s="2869"/>
      <c r="CA140" s="2870"/>
      <c r="CB140" s="2870"/>
      <c r="CC140" s="2870"/>
      <c r="CD140" s="2870"/>
      <c r="CE140" s="2877"/>
      <c r="CF140" s="2875">
        <v>0</v>
      </c>
      <c r="CG140" s="2869"/>
      <c r="CH140" s="2870"/>
      <c r="CI140" s="2870"/>
      <c r="CJ140" s="2870"/>
      <c r="CK140" s="2870"/>
      <c r="CL140" s="2877"/>
      <c r="CM140" s="2875">
        <v>0</v>
      </c>
      <c r="CN140" s="2872"/>
      <c r="CO140" s="2870"/>
      <c r="CP140" s="2870"/>
      <c r="CQ140" s="2870"/>
      <c r="CR140" s="2870"/>
      <c r="CS140" s="2877"/>
      <c r="CT140" s="2875">
        <v>0</v>
      </c>
      <c r="CU140" s="2878">
        <v>0</v>
      </c>
      <c r="CV140" s="2870">
        <v>0</v>
      </c>
      <c r="CW140" s="2870">
        <v>0</v>
      </c>
      <c r="CX140" s="2870">
        <v>0</v>
      </c>
      <c r="CY140" s="2870"/>
      <c r="CZ140" s="2879">
        <v>0</v>
      </c>
      <c r="DA140" s="2875">
        <v>0</v>
      </c>
      <c r="DJ140" s="1611" t="e">
        <v>#N/A</v>
      </c>
      <c r="DK140" s="2782" t="e">
        <v>#N/A</v>
      </c>
      <c r="DM140" s="1650">
        <v>0</v>
      </c>
    </row>
    <row r="141" spans="1:117" s="1727" customFormat="1" ht="21" customHeight="1">
      <c r="A141" s="1637"/>
      <c r="B141" s="1638" t="s">
        <v>211</v>
      </c>
      <c r="C141" s="1643"/>
      <c r="D141" s="1641"/>
      <c r="E141" s="1641"/>
      <c r="F141" s="1641"/>
      <c r="G141" s="1641"/>
      <c r="H141" s="1641"/>
      <c r="I141" s="1641"/>
      <c r="J141" s="1649"/>
      <c r="K141" s="1641"/>
      <c r="L141" s="1641"/>
      <c r="M141" s="1641"/>
      <c r="N141" s="1671"/>
      <c r="O141" s="2876">
        <v>0</v>
      </c>
      <c r="P141" s="2874">
        <v>0</v>
      </c>
      <c r="Q141" s="2874">
        <v>0</v>
      </c>
      <c r="R141" s="2874">
        <v>0</v>
      </c>
      <c r="S141" s="2874"/>
      <c r="T141" s="2879">
        <v>0</v>
      </c>
      <c r="U141" s="2875">
        <v>0</v>
      </c>
      <c r="V141" s="2876">
        <v>0</v>
      </c>
      <c r="W141" s="2874">
        <v>0</v>
      </c>
      <c r="X141" s="2874">
        <v>0</v>
      </c>
      <c r="Y141" s="2874">
        <v>0</v>
      </c>
      <c r="Z141" s="2874">
        <v>0</v>
      </c>
      <c r="AA141" s="2879">
        <v>0</v>
      </c>
      <c r="AB141" s="2875">
        <v>0</v>
      </c>
      <c r="AC141" s="2876">
        <v>0</v>
      </c>
      <c r="AD141" s="2874">
        <v>0</v>
      </c>
      <c r="AE141" s="2874">
        <v>0</v>
      </c>
      <c r="AF141" s="2874">
        <v>0</v>
      </c>
      <c r="AG141" s="2874">
        <v>0</v>
      </c>
      <c r="AH141" s="2879">
        <v>0</v>
      </c>
      <c r="AI141" s="2875">
        <v>0</v>
      </c>
      <c r="AJ141" s="2876">
        <v>0</v>
      </c>
      <c r="AK141" s="2874">
        <v>0</v>
      </c>
      <c r="AL141" s="2874">
        <v>0</v>
      </c>
      <c r="AM141" s="2874">
        <v>0</v>
      </c>
      <c r="AN141" s="2874">
        <v>0</v>
      </c>
      <c r="AO141" s="2879">
        <v>0</v>
      </c>
      <c r="AP141" s="2875">
        <v>0</v>
      </c>
      <c r="AQ141" s="2876">
        <v>0</v>
      </c>
      <c r="AR141" s="2874">
        <v>0</v>
      </c>
      <c r="AS141" s="2874">
        <v>0</v>
      </c>
      <c r="AT141" s="2874">
        <v>0</v>
      </c>
      <c r="AU141" s="2874"/>
      <c r="AV141" s="2879">
        <v>0</v>
      </c>
      <c r="AW141" s="2875">
        <v>0</v>
      </c>
      <c r="AX141" s="2876">
        <v>58.023466999999997</v>
      </c>
      <c r="AY141" s="2874">
        <v>0</v>
      </c>
      <c r="AZ141" s="2874">
        <v>232093868</v>
      </c>
      <c r="BA141" s="2874">
        <v>138115</v>
      </c>
      <c r="BB141" s="2874"/>
      <c r="BC141" s="2879">
        <v>4.0023803300137164</v>
      </c>
      <c r="BD141" s="2875">
        <v>232231983</v>
      </c>
      <c r="BE141" s="2876">
        <v>20.543966999999999</v>
      </c>
      <c r="BF141" s="2874">
        <v>0</v>
      </c>
      <c r="BG141" s="2874">
        <v>82175869</v>
      </c>
      <c r="BH141" s="2874">
        <v>54703</v>
      </c>
      <c r="BI141" s="2874"/>
      <c r="BJ141" s="2879">
        <v>4.0026627768629108</v>
      </c>
      <c r="BK141" s="2875">
        <v>82230572</v>
      </c>
      <c r="BL141" s="2876">
        <v>13.234994</v>
      </c>
      <c r="BM141" s="2874">
        <v>0</v>
      </c>
      <c r="BN141" s="2874">
        <v>52994679</v>
      </c>
      <c r="BO141" s="2874">
        <v>0</v>
      </c>
      <c r="BP141" s="2874"/>
      <c r="BQ141" s="2879">
        <v>4.0041332092783719</v>
      </c>
      <c r="BR141" s="2875">
        <v>52994679</v>
      </c>
      <c r="BS141" s="2876">
        <v>11.237864</v>
      </c>
      <c r="BT141" s="2874">
        <v>0</v>
      </c>
      <c r="BU141" s="2874">
        <v>44951456</v>
      </c>
      <c r="BV141" s="2874">
        <v>54703</v>
      </c>
      <c r="BW141" s="2874"/>
      <c r="BX141" s="2879">
        <v>4.0048677399904467</v>
      </c>
      <c r="BY141" s="2875">
        <v>45006159</v>
      </c>
      <c r="BZ141" s="2876">
        <v>9.7346909999999998</v>
      </c>
      <c r="CA141" s="2874">
        <v>0</v>
      </c>
      <c r="CB141" s="2874">
        <v>38938763</v>
      </c>
      <c r="CC141" s="2874">
        <v>54703</v>
      </c>
      <c r="CD141" s="2874"/>
      <c r="CE141" s="2879">
        <v>4.0056192846799146</v>
      </c>
      <c r="CF141" s="2875">
        <v>38993466</v>
      </c>
      <c r="CG141" s="2876">
        <v>7.3201330000000002</v>
      </c>
      <c r="CH141" s="2874">
        <v>0</v>
      </c>
      <c r="CI141" s="2874">
        <v>29358884</v>
      </c>
      <c r="CJ141" s="2874">
        <v>0</v>
      </c>
      <c r="CK141" s="2874"/>
      <c r="CL141" s="2879">
        <v>4.0107036306580772</v>
      </c>
      <c r="CM141" s="2875">
        <v>29358884</v>
      </c>
      <c r="CN141" s="2880">
        <v>8.0686385999999999</v>
      </c>
      <c r="CO141" s="2874">
        <v>0</v>
      </c>
      <c r="CP141" s="2874">
        <v>32274551</v>
      </c>
      <c r="CQ141" s="2874">
        <v>278606</v>
      </c>
      <c r="CR141" s="2874">
        <v>14704454</v>
      </c>
      <c r="CS141" s="2879">
        <v>5.8569497709316165</v>
      </c>
      <c r="CT141" s="2875">
        <v>47257611</v>
      </c>
      <c r="CU141" s="2881">
        <v>128.1637546</v>
      </c>
      <c r="CV141" s="2874">
        <v>0</v>
      </c>
      <c r="CW141" s="2874">
        <v>512788070</v>
      </c>
      <c r="CX141" s="2874">
        <v>580830</v>
      </c>
      <c r="CY141" s="2874">
        <v>14704454</v>
      </c>
      <c r="CZ141" s="2879">
        <v>4.1203018407826821</v>
      </c>
      <c r="DA141" s="2875">
        <v>528073354</v>
      </c>
      <c r="DB141" s="1609"/>
      <c r="DD141" s="1625"/>
      <c r="DJ141" s="1611" t="e">
        <v>#N/A</v>
      </c>
      <c r="DK141" s="2782">
        <v>0</v>
      </c>
      <c r="DM141" s="1650">
        <v>4.00103813750163</v>
      </c>
    </row>
    <row r="142" spans="1:117" ht="21" customHeight="1">
      <c r="A142" s="1652"/>
      <c r="B142" s="1644"/>
      <c r="C142" s="1662"/>
      <c r="D142" s="1648"/>
      <c r="E142" s="1648"/>
      <c r="F142" s="1648"/>
      <c r="G142" s="1648"/>
      <c r="H142" s="1648"/>
      <c r="I142" s="1648"/>
      <c r="J142" s="1663"/>
      <c r="K142" s="1648"/>
      <c r="L142" s="1648"/>
      <c r="M142" s="1648"/>
      <c r="N142" s="1642"/>
      <c r="O142" s="2876"/>
      <c r="P142" s="2870"/>
      <c r="Q142" s="2870"/>
      <c r="R142" s="2870"/>
      <c r="S142" s="2870"/>
      <c r="T142" s="2870"/>
      <c r="U142" s="2875"/>
      <c r="V142" s="2869"/>
      <c r="W142" s="2870"/>
      <c r="X142" s="2870"/>
      <c r="Y142" s="2870"/>
      <c r="Z142" s="2870"/>
      <c r="AA142" s="2877"/>
      <c r="AB142" s="2875">
        <v>0</v>
      </c>
      <c r="AC142" s="2869"/>
      <c r="AD142" s="2870"/>
      <c r="AE142" s="2870"/>
      <c r="AF142" s="2870"/>
      <c r="AG142" s="2870"/>
      <c r="AH142" s="2877"/>
      <c r="AI142" s="2875"/>
      <c r="AJ142" s="2869"/>
      <c r="AK142" s="2870"/>
      <c r="AL142" s="2870"/>
      <c r="AM142" s="2870"/>
      <c r="AN142" s="2870"/>
      <c r="AO142" s="2877"/>
      <c r="AP142" s="2875"/>
      <c r="AQ142" s="2869"/>
      <c r="AR142" s="2870"/>
      <c r="AS142" s="2870"/>
      <c r="AT142" s="2870"/>
      <c r="AU142" s="2870"/>
      <c r="AV142" s="2877"/>
      <c r="AW142" s="2875"/>
      <c r="AX142" s="2869"/>
      <c r="AY142" s="2870"/>
      <c r="AZ142" s="2870"/>
      <c r="BA142" s="2870"/>
      <c r="BB142" s="2870"/>
      <c r="BC142" s="2877"/>
      <c r="BD142" s="2875"/>
      <c r="BE142" s="2869"/>
      <c r="BF142" s="2870"/>
      <c r="BG142" s="2870"/>
      <c r="BH142" s="2870"/>
      <c r="BI142" s="2870"/>
      <c r="BJ142" s="2877"/>
      <c r="BK142" s="2875"/>
      <c r="BL142" s="2869"/>
      <c r="BM142" s="2870"/>
      <c r="BN142" s="2870"/>
      <c r="BO142" s="2870"/>
      <c r="BP142" s="2870"/>
      <c r="BQ142" s="2877"/>
      <c r="BR142" s="2875"/>
      <c r="BS142" s="2869"/>
      <c r="BT142" s="2870"/>
      <c r="BU142" s="2870"/>
      <c r="BV142" s="2870"/>
      <c r="BW142" s="2870"/>
      <c r="BX142" s="2877"/>
      <c r="BY142" s="2875"/>
      <c r="BZ142" s="2869"/>
      <c r="CA142" s="2870"/>
      <c r="CB142" s="2870"/>
      <c r="CC142" s="2870"/>
      <c r="CD142" s="2870"/>
      <c r="CE142" s="2877"/>
      <c r="CF142" s="2875"/>
      <c r="CG142" s="2869"/>
      <c r="CH142" s="2870"/>
      <c r="CI142" s="2870"/>
      <c r="CJ142" s="2870"/>
      <c r="CK142" s="2870"/>
      <c r="CL142" s="2877"/>
      <c r="CM142" s="2875"/>
      <c r="CN142" s="2872"/>
      <c r="CO142" s="2870"/>
      <c r="CP142" s="2870"/>
      <c r="CQ142" s="2870"/>
      <c r="CR142" s="2870"/>
      <c r="CS142" s="2877"/>
      <c r="CT142" s="2875"/>
      <c r="CU142" s="2878"/>
      <c r="CV142" s="2870"/>
      <c r="CW142" s="2870"/>
      <c r="CX142" s="2870"/>
      <c r="CY142" s="2870"/>
      <c r="CZ142" s="2879"/>
      <c r="DA142" s="2875"/>
      <c r="DJ142" s="1611" t="e">
        <v>#N/A</v>
      </c>
      <c r="DK142" s="2782" t="e">
        <v>#N/A</v>
      </c>
      <c r="DM142" s="1650">
        <v>0</v>
      </c>
    </row>
    <row r="143" spans="1:117" ht="21" customHeight="1">
      <c r="A143" s="1637" t="s">
        <v>706</v>
      </c>
      <c r="B143" s="1638" t="s">
        <v>1757</v>
      </c>
      <c r="C143" s="1662"/>
      <c r="D143" s="1648"/>
      <c r="E143" s="1648"/>
      <c r="F143" s="1648"/>
      <c r="G143" s="1648"/>
      <c r="H143" s="1648"/>
      <c r="I143" s="1648"/>
      <c r="J143" s="1649"/>
      <c r="K143" s="1648"/>
      <c r="L143" s="1648"/>
      <c r="M143" s="1648"/>
      <c r="N143" s="1642"/>
      <c r="O143" s="2876"/>
      <c r="P143" s="2870"/>
      <c r="Q143" s="2870"/>
      <c r="R143" s="2870"/>
      <c r="S143" s="2870"/>
      <c r="T143" s="2870"/>
      <c r="U143" s="2875"/>
      <c r="V143" s="2869"/>
      <c r="W143" s="2870"/>
      <c r="X143" s="2870"/>
      <c r="Y143" s="2870"/>
      <c r="Z143" s="2870"/>
      <c r="AA143" s="2877">
        <v>0</v>
      </c>
      <c r="AB143" s="2875">
        <v>0</v>
      </c>
      <c r="AC143" s="2869"/>
      <c r="AD143" s="2870"/>
      <c r="AE143" s="2870"/>
      <c r="AF143" s="2870"/>
      <c r="AG143" s="2870"/>
      <c r="AH143" s="2877">
        <v>0</v>
      </c>
      <c r="AI143" s="2875">
        <v>0</v>
      </c>
      <c r="AJ143" s="2869"/>
      <c r="AK143" s="2870"/>
      <c r="AL143" s="2870"/>
      <c r="AM143" s="2870"/>
      <c r="AN143" s="2870"/>
      <c r="AO143" s="2877">
        <v>0</v>
      </c>
      <c r="AP143" s="2875">
        <v>0</v>
      </c>
      <c r="AQ143" s="2869"/>
      <c r="AR143" s="2870"/>
      <c r="AS143" s="2870"/>
      <c r="AT143" s="2870"/>
      <c r="AU143" s="2870"/>
      <c r="AV143" s="2877">
        <v>0</v>
      </c>
      <c r="AW143" s="2875">
        <v>0</v>
      </c>
      <c r="AX143" s="2869"/>
      <c r="AY143" s="2870"/>
      <c r="AZ143" s="2870"/>
      <c r="BA143" s="2870"/>
      <c r="BB143" s="2870"/>
      <c r="BC143" s="2877">
        <v>0</v>
      </c>
      <c r="BD143" s="2875">
        <v>0</v>
      </c>
      <c r="BE143" s="2869"/>
      <c r="BF143" s="2870"/>
      <c r="BG143" s="2870"/>
      <c r="BH143" s="2870"/>
      <c r="BI143" s="2870"/>
      <c r="BJ143" s="2877">
        <v>0</v>
      </c>
      <c r="BK143" s="2875">
        <v>0</v>
      </c>
      <c r="BL143" s="2869"/>
      <c r="BM143" s="2870"/>
      <c r="BN143" s="2870"/>
      <c r="BO143" s="2870"/>
      <c r="BP143" s="2870"/>
      <c r="BQ143" s="2877">
        <v>0</v>
      </c>
      <c r="BR143" s="2875">
        <v>0</v>
      </c>
      <c r="BS143" s="2869"/>
      <c r="BT143" s="2870"/>
      <c r="BU143" s="2870"/>
      <c r="BV143" s="2870"/>
      <c r="BW143" s="2870"/>
      <c r="BX143" s="2877">
        <v>0</v>
      </c>
      <c r="BY143" s="2875">
        <v>0</v>
      </c>
      <c r="BZ143" s="2869"/>
      <c r="CA143" s="2870"/>
      <c r="CB143" s="2870"/>
      <c r="CC143" s="2870"/>
      <c r="CD143" s="2870"/>
      <c r="CE143" s="2877">
        <v>0</v>
      </c>
      <c r="CF143" s="2875">
        <v>0</v>
      </c>
      <c r="CG143" s="2869"/>
      <c r="CH143" s="2870"/>
      <c r="CI143" s="2870"/>
      <c r="CJ143" s="2870"/>
      <c r="CK143" s="2870"/>
      <c r="CL143" s="2877">
        <v>0</v>
      </c>
      <c r="CM143" s="2875">
        <v>0</v>
      </c>
      <c r="CN143" s="2872"/>
      <c r="CO143" s="2870"/>
      <c r="CP143" s="2870"/>
      <c r="CQ143" s="2870"/>
      <c r="CR143" s="2870"/>
      <c r="CS143" s="2877"/>
      <c r="CT143" s="2875"/>
      <c r="CU143" s="2878"/>
      <c r="CV143" s="2870"/>
      <c r="CW143" s="2870"/>
      <c r="CX143" s="2870"/>
      <c r="CY143" s="2870"/>
      <c r="CZ143" s="2879"/>
      <c r="DA143" s="2875"/>
      <c r="DJ143" s="1611" t="e">
        <v>#N/A</v>
      </c>
      <c r="DK143" s="2782">
        <v>0</v>
      </c>
      <c r="DM143" s="1650">
        <v>0</v>
      </c>
    </row>
    <row r="144" spans="1:117" ht="21" customHeight="1">
      <c r="A144" s="1637"/>
      <c r="B144" s="1638" t="s">
        <v>1745</v>
      </c>
      <c r="C144" s="1645"/>
      <c r="D144" s="1648"/>
      <c r="E144" s="1648"/>
      <c r="F144" s="1648"/>
      <c r="G144" s="1648"/>
      <c r="H144" s="1648"/>
      <c r="I144" s="1648"/>
      <c r="J144" s="1649"/>
      <c r="K144" s="1648"/>
      <c r="L144" s="1648"/>
      <c r="M144" s="1648"/>
      <c r="N144" s="1642"/>
      <c r="O144" s="2876"/>
      <c r="P144" s="2870"/>
      <c r="Q144" s="2870"/>
      <c r="R144" s="2870"/>
      <c r="S144" s="2870"/>
      <c r="T144" s="2870"/>
      <c r="U144" s="2875"/>
      <c r="V144" s="2869"/>
      <c r="W144" s="2870"/>
      <c r="X144" s="2870"/>
      <c r="Y144" s="2870"/>
      <c r="Z144" s="2870"/>
      <c r="AA144" s="2877">
        <v>0</v>
      </c>
      <c r="AB144" s="2871"/>
      <c r="AC144" s="2869"/>
      <c r="AD144" s="2870"/>
      <c r="AE144" s="2870"/>
      <c r="AF144" s="2870"/>
      <c r="AG144" s="2870"/>
      <c r="AH144" s="2877">
        <v>0</v>
      </c>
      <c r="AI144" s="2871"/>
      <c r="AJ144" s="2869"/>
      <c r="AK144" s="2870"/>
      <c r="AL144" s="2870"/>
      <c r="AM144" s="2870"/>
      <c r="AN144" s="2870"/>
      <c r="AO144" s="2877">
        <v>0</v>
      </c>
      <c r="AP144" s="2871"/>
      <c r="AQ144" s="2869"/>
      <c r="AR144" s="2870"/>
      <c r="AS144" s="2870"/>
      <c r="AT144" s="2870"/>
      <c r="AU144" s="2870"/>
      <c r="AV144" s="2877">
        <v>0</v>
      </c>
      <c r="AW144" s="2871"/>
      <c r="AX144" s="2869"/>
      <c r="AY144" s="2870"/>
      <c r="AZ144" s="2870"/>
      <c r="BA144" s="2870"/>
      <c r="BB144" s="2870"/>
      <c r="BC144" s="2877">
        <v>0</v>
      </c>
      <c r="BD144" s="2871"/>
      <c r="BE144" s="2869"/>
      <c r="BF144" s="2870"/>
      <c r="BG144" s="2870"/>
      <c r="BH144" s="2870"/>
      <c r="BI144" s="2870"/>
      <c r="BJ144" s="2877">
        <v>0</v>
      </c>
      <c r="BK144" s="2871"/>
      <c r="BL144" s="2869"/>
      <c r="BM144" s="2870"/>
      <c r="BN144" s="2870"/>
      <c r="BO144" s="2870"/>
      <c r="BP144" s="2870"/>
      <c r="BQ144" s="2877">
        <v>0</v>
      </c>
      <c r="BR144" s="2871"/>
      <c r="BS144" s="2869"/>
      <c r="BT144" s="2870"/>
      <c r="BU144" s="2870"/>
      <c r="BV144" s="2870"/>
      <c r="BW144" s="2870"/>
      <c r="BX144" s="2877">
        <v>0</v>
      </c>
      <c r="BY144" s="2875">
        <v>0</v>
      </c>
      <c r="BZ144" s="2869"/>
      <c r="CA144" s="2870"/>
      <c r="CB144" s="2870"/>
      <c r="CC144" s="2870"/>
      <c r="CD144" s="2870"/>
      <c r="CE144" s="2877">
        <v>0</v>
      </c>
      <c r="CF144" s="2875">
        <v>0</v>
      </c>
      <c r="CG144" s="2869"/>
      <c r="CH144" s="2870"/>
      <c r="CI144" s="2870"/>
      <c r="CJ144" s="2870"/>
      <c r="CK144" s="2870"/>
      <c r="CL144" s="2877">
        <v>0</v>
      </c>
      <c r="CM144" s="2875">
        <v>0</v>
      </c>
      <c r="CN144" s="2872"/>
      <c r="CO144" s="2870"/>
      <c r="CP144" s="2870"/>
      <c r="CQ144" s="2870"/>
      <c r="CR144" s="2870"/>
      <c r="CS144" s="2877"/>
      <c r="CT144" s="2875"/>
      <c r="CU144" s="2878"/>
      <c r="CV144" s="2870"/>
      <c r="CW144" s="2870"/>
      <c r="CX144" s="2870"/>
      <c r="CY144" s="2870"/>
      <c r="CZ144" s="2879"/>
      <c r="DA144" s="2875"/>
      <c r="DJ144" s="1611" t="e">
        <v>#N/A</v>
      </c>
      <c r="DK144" s="2782">
        <v>0</v>
      </c>
      <c r="DM144" s="1650">
        <v>0</v>
      </c>
    </row>
    <row r="145" spans="1:117" ht="21" customHeight="1">
      <c r="A145" s="1652">
        <v>1</v>
      </c>
      <c r="B145" s="1680" t="s">
        <v>1758</v>
      </c>
      <c r="C145" s="1645">
        <v>1020</v>
      </c>
      <c r="D145" s="1646">
        <v>4.3656862745098044</v>
      </c>
      <c r="E145" s="1646" t="s">
        <v>1594</v>
      </c>
      <c r="F145" s="1648" t="s">
        <v>1594</v>
      </c>
      <c r="G145" s="1648"/>
      <c r="H145" s="1648">
        <v>44.53</v>
      </c>
      <c r="I145" s="1648" t="s">
        <v>1717</v>
      </c>
      <c r="J145" s="1649">
        <v>1</v>
      </c>
      <c r="K145" s="1648"/>
      <c r="L145" s="1648"/>
      <c r="M145" s="1648"/>
      <c r="N145" s="1642"/>
      <c r="O145" s="2876">
        <v>1.8141430000000001</v>
      </c>
      <c r="P145" s="2870">
        <v>0</v>
      </c>
      <c r="Q145" s="2870">
        <v>3918549</v>
      </c>
      <c r="R145" s="2870"/>
      <c r="S145" s="2870"/>
      <c r="T145" s="2870">
        <v>2.1600000661469356</v>
      </c>
      <c r="U145" s="2875">
        <v>3918549</v>
      </c>
      <c r="V145" s="2869">
        <v>12.181243</v>
      </c>
      <c r="W145" s="2870"/>
      <c r="X145" s="2870">
        <v>26311485</v>
      </c>
      <c r="Y145" s="2870"/>
      <c r="Z145" s="2870"/>
      <c r="AA145" s="2877">
        <v>2.1600000098512115</v>
      </c>
      <c r="AB145" s="2875">
        <v>26311485</v>
      </c>
      <c r="AC145" s="2869">
        <v>21.489115000000002</v>
      </c>
      <c r="AD145" s="2870"/>
      <c r="AE145" s="2870">
        <v>46416488</v>
      </c>
      <c r="AF145" s="2870"/>
      <c r="AG145" s="2870"/>
      <c r="AH145" s="2877">
        <v>2.159999981385925</v>
      </c>
      <c r="AI145" s="2875">
        <v>46416488</v>
      </c>
      <c r="AJ145" s="2869">
        <v>29.773446</v>
      </c>
      <c r="AK145" s="2870"/>
      <c r="AL145" s="2870">
        <v>64310643</v>
      </c>
      <c r="AM145" s="2870"/>
      <c r="AN145" s="2870"/>
      <c r="AO145" s="2877">
        <v>2.1599999879086886</v>
      </c>
      <c r="AP145" s="2875">
        <v>64310643</v>
      </c>
      <c r="AQ145" s="2869">
        <v>29.986751000000002</v>
      </c>
      <c r="AR145" s="2870"/>
      <c r="AS145" s="2870">
        <v>64771382</v>
      </c>
      <c r="AT145" s="2870"/>
      <c r="AU145" s="2870"/>
      <c r="AV145" s="2877">
        <v>2.15999999466431</v>
      </c>
      <c r="AW145" s="2875">
        <v>64771382</v>
      </c>
      <c r="AX145" s="2869">
        <v>29.076968999999998</v>
      </c>
      <c r="AY145" s="2870"/>
      <c r="AZ145" s="2870">
        <v>62806253</v>
      </c>
      <c r="BA145" s="2870"/>
      <c r="BB145" s="2870"/>
      <c r="BC145" s="2877">
        <v>2.159999998624341</v>
      </c>
      <c r="BD145" s="2875">
        <v>62806253</v>
      </c>
      <c r="BE145" s="2869">
        <v>16.779679000000002</v>
      </c>
      <c r="BF145" s="2870"/>
      <c r="BG145" s="2870">
        <v>36244107</v>
      </c>
      <c r="BH145" s="2870"/>
      <c r="BI145" s="2870"/>
      <c r="BJ145" s="2877">
        <v>2.1600000214545223</v>
      </c>
      <c r="BK145" s="2875">
        <v>36244107</v>
      </c>
      <c r="BL145" s="2869">
        <v>6.1015290000000002</v>
      </c>
      <c r="BM145" s="2870"/>
      <c r="BN145" s="2870">
        <v>13179303</v>
      </c>
      <c r="BO145" s="2870"/>
      <c r="BP145" s="2870"/>
      <c r="BQ145" s="2877">
        <v>2.1600000590016042</v>
      </c>
      <c r="BR145" s="2875">
        <v>13179303</v>
      </c>
      <c r="BS145" s="2869">
        <v>2.2371409999999998</v>
      </c>
      <c r="BT145" s="2870"/>
      <c r="BU145" s="2870">
        <v>4832225</v>
      </c>
      <c r="BV145" s="2870"/>
      <c r="BW145" s="2870"/>
      <c r="BX145" s="2877">
        <v>2.1600001966796012</v>
      </c>
      <c r="BY145" s="2875">
        <v>4832225</v>
      </c>
      <c r="BZ145" s="2869">
        <v>0.128305</v>
      </c>
      <c r="CA145" s="2870"/>
      <c r="CB145" s="2870">
        <v>277139</v>
      </c>
      <c r="CC145" s="2870"/>
      <c r="CD145" s="2870"/>
      <c r="CE145" s="2877">
        <v>2.160001558785706</v>
      </c>
      <c r="CF145" s="2875">
        <v>277139</v>
      </c>
      <c r="CG145" s="2869"/>
      <c r="CH145" s="2870"/>
      <c r="CI145" s="2870"/>
      <c r="CJ145" s="2870"/>
      <c r="CK145" s="2870"/>
      <c r="CL145" s="2877">
        <v>0</v>
      </c>
      <c r="CM145" s="2875">
        <v>0</v>
      </c>
      <c r="CN145" s="2872">
        <v>0</v>
      </c>
      <c r="CO145" s="2870">
        <v>0</v>
      </c>
      <c r="CP145" s="2870">
        <v>0</v>
      </c>
      <c r="CQ145" s="2870">
        <v>0</v>
      </c>
      <c r="CR145" s="2870">
        <v>0</v>
      </c>
      <c r="CS145" s="2877">
        <v>0</v>
      </c>
      <c r="CT145" s="2875">
        <v>0</v>
      </c>
      <c r="CU145" s="2878">
        <v>149.568321</v>
      </c>
      <c r="CV145" s="2870">
        <v>0</v>
      </c>
      <c r="CW145" s="2870">
        <v>323067574</v>
      </c>
      <c r="CX145" s="2870">
        <v>0</v>
      </c>
      <c r="CY145" s="2870">
        <v>0</v>
      </c>
      <c r="CZ145" s="2879">
        <v>2.1600000042789809</v>
      </c>
      <c r="DA145" s="2875">
        <v>323067574</v>
      </c>
      <c r="DJ145" s="1611" t="e">
        <v>#N/A</v>
      </c>
      <c r="DK145" s="2782" t="s">
        <v>1717</v>
      </c>
      <c r="DM145" s="1650">
        <v>2.1600000042789809</v>
      </c>
    </row>
    <row r="146" spans="1:117" ht="21" customHeight="1">
      <c r="A146" s="1652">
        <v>2</v>
      </c>
      <c r="B146" s="1644" t="s">
        <v>1762</v>
      </c>
      <c r="C146" s="1645">
        <v>330</v>
      </c>
      <c r="D146" s="1646">
        <v>87.999999999999986</v>
      </c>
      <c r="E146" s="1646">
        <v>59.59</v>
      </c>
      <c r="F146" s="1641">
        <v>1</v>
      </c>
      <c r="G146" s="1648"/>
      <c r="H146" s="1648">
        <v>290.39999999999998</v>
      </c>
      <c r="I146" s="1648" t="s">
        <v>1717</v>
      </c>
      <c r="J146" s="1649">
        <v>1</v>
      </c>
      <c r="K146" s="1648"/>
      <c r="L146" s="1648"/>
      <c r="M146" s="1648"/>
      <c r="N146" s="1642"/>
      <c r="O146" s="2876">
        <v>67.160150000000002</v>
      </c>
      <c r="P146" s="2870">
        <v>255756303</v>
      </c>
      <c r="Q146" s="2870">
        <v>173541828</v>
      </c>
      <c r="R146" s="2870"/>
      <c r="S146" s="2870"/>
      <c r="T146" s="2870">
        <v>6.3921556309805743</v>
      </c>
      <c r="U146" s="2875">
        <v>429298131</v>
      </c>
      <c r="V146" s="2869">
        <v>112.0607</v>
      </c>
      <c r="W146" s="2870">
        <v>337333591</v>
      </c>
      <c r="X146" s="2870">
        <v>289564849</v>
      </c>
      <c r="Y146" s="2870"/>
      <c r="Z146" s="2870"/>
      <c r="AA146" s="2877">
        <v>5.5942756024190459</v>
      </c>
      <c r="AB146" s="2875">
        <v>626898440</v>
      </c>
      <c r="AC146" s="2869">
        <v>181.45386999999999</v>
      </c>
      <c r="AD146" s="2870">
        <v>485075357</v>
      </c>
      <c r="AE146" s="2870">
        <v>468876800</v>
      </c>
      <c r="AF146" s="2870"/>
      <c r="AG146" s="2870"/>
      <c r="AH146" s="2877">
        <v>5.2572709361337955</v>
      </c>
      <c r="AI146" s="2875">
        <v>953952157</v>
      </c>
      <c r="AJ146" s="2869">
        <v>222.13767999999999</v>
      </c>
      <c r="AK146" s="2870">
        <v>553005886</v>
      </c>
      <c r="AL146" s="2870">
        <v>574003765</v>
      </c>
      <c r="AM146" s="2870"/>
      <c r="AN146" s="2870"/>
      <c r="AO146" s="2877">
        <v>5.0734735817894556</v>
      </c>
      <c r="AP146" s="2875">
        <v>1127009651</v>
      </c>
      <c r="AQ146" s="2869">
        <v>210.61001999999999</v>
      </c>
      <c r="AR146" s="2870">
        <v>552618782</v>
      </c>
      <c r="AS146" s="2870">
        <v>544216292</v>
      </c>
      <c r="AT146" s="2870"/>
      <c r="AU146" s="2870"/>
      <c r="AV146" s="2877">
        <v>5.2078959681025623</v>
      </c>
      <c r="AW146" s="2875">
        <v>1096835074</v>
      </c>
      <c r="AX146" s="2869">
        <v>192.89343</v>
      </c>
      <c r="AY146" s="2870">
        <v>512957557</v>
      </c>
      <c r="AZ146" s="2870">
        <v>498436623</v>
      </c>
      <c r="BA146" s="2870"/>
      <c r="BB146" s="2870"/>
      <c r="BC146" s="2877">
        <v>5.2432795663387806</v>
      </c>
      <c r="BD146" s="2875">
        <v>1011394180</v>
      </c>
      <c r="BE146" s="2869">
        <v>100.49217</v>
      </c>
      <c r="BF146" s="2870">
        <v>335951076</v>
      </c>
      <c r="BG146" s="2870">
        <v>259671767</v>
      </c>
      <c r="BH146" s="2870"/>
      <c r="BI146" s="2870"/>
      <c r="BJ146" s="2877">
        <v>5.9270572324192026</v>
      </c>
      <c r="BK146" s="2875">
        <v>595622843</v>
      </c>
      <c r="BL146" s="2869">
        <v>51.132710000000003</v>
      </c>
      <c r="BM146" s="2870">
        <v>160121962</v>
      </c>
      <c r="BN146" s="2870">
        <v>66732089</v>
      </c>
      <c r="BO146" s="2870"/>
      <c r="BP146" s="2870"/>
      <c r="BQ146" s="2877">
        <v>4.4365739856150785</v>
      </c>
      <c r="BR146" s="2875">
        <v>226854051</v>
      </c>
      <c r="BS146" s="2869">
        <v>38.952660000000002</v>
      </c>
      <c r="BT146" s="2870">
        <v>138472674</v>
      </c>
      <c r="BU146" s="2870">
        <v>46743192</v>
      </c>
      <c r="BV146" s="2870"/>
      <c r="BW146" s="2870"/>
      <c r="BX146" s="2877">
        <v>4.7548964820374273</v>
      </c>
      <c r="BY146" s="2875">
        <v>185215866</v>
      </c>
      <c r="BZ146" s="2869">
        <v>32.57094</v>
      </c>
      <c r="CA146" s="2870">
        <v>138472674</v>
      </c>
      <c r="CB146" s="2870">
        <v>39085128</v>
      </c>
      <c r="CC146" s="2870"/>
      <c r="CD146" s="2870"/>
      <c r="CE146" s="2877">
        <v>5.4514177975827529</v>
      </c>
      <c r="CF146" s="2875">
        <v>177557802</v>
      </c>
      <c r="CG146" s="2869">
        <v>25.874210000000001</v>
      </c>
      <c r="CH146" s="2870">
        <v>120446823</v>
      </c>
      <c r="CI146" s="2870">
        <v>31049052</v>
      </c>
      <c r="CJ146" s="2870">
        <v>1502203485</v>
      </c>
      <c r="CK146" s="2870"/>
      <c r="CL146" s="2877">
        <v>63.913037731393537</v>
      </c>
      <c r="CM146" s="2875">
        <v>1653699360</v>
      </c>
      <c r="CN146" s="2872">
        <v>28.182030000000001</v>
      </c>
      <c r="CO146" s="2870">
        <v>129613520</v>
      </c>
      <c r="CP146" s="2870">
        <v>33818436</v>
      </c>
      <c r="CQ146" s="2870">
        <v>76194132</v>
      </c>
      <c r="CR146" s="2870"/>
      <c r="CS146" s="2877">
        <v>8.5027972789752901</v>
      </c>
      <c r="CT146" s="2875">
        <v>239626088</v>
      </c>
      <c r="CU146" s="2878">
        <v>1263.5205699999999</v>
      </c>
      <c r="CV146" s="2870">
        <v>3719826205</v>
      </c>
      <c r="CW146" s="2870">
        <v>3025739821</v>
      </c>
      <c r="CX146" s="2870">
        <v>1578397617</v>
      </c>
      <c r="CY146" s="2870">
        <v>0</v>
      </c>
      <c r="CZ146" s="2879">
        <v>6.5879130428402917</v>
      </c>
      <c r="DA146" s="2875">
        <v>8323963643</v>
      </c>
      <c r="DJ146" s="1611" t="s">
        <v>1717</v>
      </c>
      <c r="DK146" s="2782" t="s">
        <v>1717</v>
      </c>
      <c r="DM146" s="1650">
        <v>2.3946897999452434</v>
      </c>
    </row>
    <row r="147" spans="1:117" ht="21" customHeight="1">
      <c r="A147" s="1652">
        <v>3</v>
      </c>
      <c r="B147" s="1644" t="s">
        <v>1759</v>
      </c>
      <c r="C147" s="1645">
        <v>400</v>
      </c>
      <c r="D147" s="1646">
        <v>88</v>
      </c>
      <c r="E147" s="1646">
        <v>99.19</v>
      </c>
      <c r="F147" s="1641">
        <v>0.5</v>
      </c>
      <c r="G147" s="1648"/>
      <c r="H147" s="1648">
        <v>352</v>
      </c>
      <c r="I147" s="1648" t="s">
        <v>1717</v>
      </c>
      <c r="J147" s="1649">
        <v>2</v>
      </c>
      <c r="K147" s="1648"/>
      <c r="L147" s="1648"/>
      <c r="M147" s="1648"/>
      <c r="N147" s="1642"/>
      <c r="O147" s="2876">
        <v>49.762957</v>
      </c>
      <c r="P147" s="2870">
        <v>20400000</v>
      </c>
      <c r="Q147" s="2870">
        <v>65303928</v>
      </c>
      <c r="R147" s="2870"/>
      <c r="S147" s="2870"/>
      <c r="T147" s="2870">
        <v>1.7222434752018454</v>
      </c>
      <c r="U147" s="2875">
        <v>85703928</v>
      </c>
      <c r="V147" s="2869">
        <v>137.77964600000001</v>
      </c>
      <c r="W147" s="2870">
        <v>20400000</v>
      </c>
      <c r="X147" s="2870">
        <v>180808229</v>
      </c>
      <c r="Y147" s="2870"/>
      <c r="Z147" s="2870"/>
      <c r="AA147" s="2877">
        <v>1.4603625052135785</v>
      </c>
      <c r="AB147" s="2875">
        <v>201208229</v>
      </c>
      <c r="AC147" s="2869">
        <v>246.97402</v>
      </c>
      <c r="AD147" s="2870">
        <v>20400000</v>
      </c>
      <c r="AE147" s="2870">
        <v>254383241</v>
      </c>
      <c r="AF147" s="2870">
        <v>-52943277</v>
      </c>
      <c r="AG147" s="2870"/>
      <c r="AH147" s="2877">
        <v>0.89823198407670568</v>
      </c>
      <c r="AI147" s="2875">
        <v>221839964</v>
      </c>
      <c r="AJ147" s="2869">
        <v>277.40516100000002</v>
      </c>
      <c r="AK147" s="2870">
        <v>20400000</v>
      </c>
      <c r="AL147" s="2870">
        <v>285727315</v>
      </c>
      <c r="AM147" s="2870"/>
      <c r="AN147" s="2870"/>
      <c r="AO147" s="2877">
        <v>1.1035386432482415</v>
      </c>
      <c r="AP147" s="2875">
        <v>306127315</v>
      </c>
      <c r="AQ147" s="2869">
        <v>261.266231</v>
      </c>
      <c r="AR147" s="2870">
        <v>20400000</v>
      </c>
      <c r="AS147" s="2870">
        <v>269104218</v>
      </c>
      <c r="AT147" s="2870"/>
      <c r="AU147" s="2870"/>
      <c r="AV147" s="2877">
        <v>1.1080812736185566</v>
      </c>
      <c r="AW147" s="2875">
        <v>289504218</v>
      </c>
      <c r="AX147" s="2869">
        <v>268.83283699999998</v>
      </c>
      <c r="AY147" s="2870">
        <v>20400000</v>
      </c>
      <c r="AZ147" s="2870">
        <v>276588822</v>
      </c>
      <c r="BA147" s="2870"/>
      <c r="BB147" s="2870"/>
      <c r="BC147" s="2877">
        <v>1.104734173526577</v>
      </c>
      <c r="BD147" s="2875">
        <v>296988822</v>
      </c>
      <c r="BE147" s="2869">
        <v>140.21926500000001</v>
      </c>
      <c r="BF147" s="2870">
        <v>20400000</v>
      </c>
      <c r="BG147" s="2870">
        <v>144425843</v>
      </c>
      <c r="BH147" s="2870"/>
      <c r="BI147" s="2870"/>
      <c r="BJ147" s="2877">
        <v>1.1754864283449211</v>
      </c>
      <c r="BK147" s="2875">
        <v>164825843</v>
      </c>
      <c r="BL147" s="2869">
        <v>50.238802</v>
      </c>
      <c r="BM147" s="2870">
        <v>20400000</v>
      </c>
      <c r="BN147" s="2870">
        <v>52054966</v>
      </c>
      <c r="BO147" s="2870"/>
      <c r="BP147" s="2870"/>
      <c r="BQ147" s="2877">
        <v>1.4422112613274496</v>
      </c>
      <c r="BR147" s="2875">
        <v>72454966</v>
      </c>
      <c r="BS147" s="2869">
        <v>41.397996999999997</v>
      </c>
      <c r="BT147" s="2870">
        <v>20400000</v>
      </c>
      <c r="BU147" s="2870">
        <v>42639936</v>
      </c>
      <c r="BV147" s="2870">
        <v>-282600000</v>
      </c>
      <c r="BW147" s="2870"/>
      <c r="BX147" s="2877">
        <v>-5.3036397872099945</v>
      </c>
      <c r="BY147" s="2875">
        <v>-219560064</v>
      </c>
      <c r="BZ147" s="2869">
        <v>35.817968999999998</v>
      </c>
      <c r="CA147" s="2870">
        <v>20400000</v>
      </c>
      <c r="CB147" s="2870">
        <v>36892508</v>
      </c>
      <c r="CC147" s="2870">
        <v>-31400000</v>
      </c>
      <c r="CD147" s="2870"/>
      <c r="CE147" s="2877">
        <v>0.72289157433800899</v>
      </c>
      <c r="CF147" s="2875">
        <v>25892508</v>
      </c>
      <c r="CG147" s="2869">
        <v>6.6041869999999996</v>
      </c>
      <c r="CH147" s="2870">
        <v>5508000</v>
      </c>
      <c r="CI147" s="2870">
        <v>6802313</v>
      </c>
      <c r="CJ147" s="2870"/>
      <c r="CK147" s="2870"/>
      <c r="CL147" s="2877">
        <v>1.8640164186750012</v>
      </c>
      <c r="CM147" s="2875">
        <v>12310313</v>
      </c>
      <c r="CN147" s="2872">
        <v>71.966325999999995</v>
      </c>
      <c r="CO147" s="2870">
        <v>13260000</v>
      </c>
      <c r="CP147" s="2870">
        <v>23717112</v>
      </c>
      <c r="CQ147" s="2870">
        <v>359525357</v>
      </c>
      <c r="CR147" s="2870"/>
      <c r="CS147" s="2877">
        <v>5.5095555246213346</v>
      </c>
      <c r="CT147" s="2875">
        <v>396502469</v>
      </c>
      <c r="CU147" s="2878">
        <v>1588.2653979999998</v>
      </c>
      <c r="CV147" s="2870">
        <v>222768000</v>
      </c>
      <c r="CW147" s="2870">
        <v>1638448431</v>
      </c>
      <c r="CX147" s="2870">
        <v>-7417920</v>
      </c>
      <c r="CY147" s="2870">
        <v>0</v>
      </c>
      <c r="CZ147" s="2879">
        <v>1.1671843467309486</v>
      </c>
      <c r="DA147" s="2875">
        <v>1853798511</v>
      </c>
      <c r="DJ147" s="1611" t="s">
        <v>1717</v>
      </c>
      <c r="DK147" s="2782" t="s">
        <v>1717</v>
      </c>
      <c r="DM147" s="1650">
        <v>1.0315961255991553</v>
      </c>
    </row>
    <row r="148" spans="1:117" ht="21" customHeight="1">
      <c r="A148" s="1652">
        <v>4</v>
      </c>
      <c r="B148" s="1644" t="s">
        <v>1760</v>
      </c>
      <c r="C148" s="1645">
        <v>1000</v>
      </c>
      <c r="D148" s="1646">
        <v>20</v>
      </c>
      <c r="E148" s="1646">
        <v>88.42</v>
      </c>
      <c r="F148" s="1641">
        <v>1.2</v>
      </c>
      <c r="G148" s="1648"/>
      <c r="H148" s="1648">
        <v>200</v>
      </c>
      <c r="I148" s="1648" t="s">
        <v>1717</v>
      </c>
      <c r="J148" s="1649">
        <v>1</v>
      </c>
      <c r="K148" s="1648"/>
      <c r="L148" s="1648"/>
      <c r="M148" s="1648"/>
      <c r="N148" s="1642"/>
      <c r="O148" s="2876">
        <v>33.890847999999998</v>
      </c>
      <c r="P148" s="2870">
        <v>119562132</v>
      </c>
      <c r="Q148" s="2870">
        <v>57004406</v>
      </c>
      <c r="R148" s="2870">
        <v>76777049</v>
      </c>
      <c r="S148" s="2870"/>
      <c r="T148" s="2870">
        <v>7.475280258552397</v>
      </c>
      <c r="U148" s="2875">
        <v>253343587</v>
      </c>
      <c r="V148" s="2869">
        <v>77.864481999999995</v>
      </c>
      <c r="W148" s="2870">
        <v>129572665</v>
      </c>
      <c r="X148" s="2870">
        <v>130968059</v>
      </c>
      <c r="Y148" s="2870">
        <v>77624886</v>
      </c>
      <c r="Z148" s="2870"/>
      <c r="AA148" s="2877">
        <v>4.3430021148795417</v>
      </c>
      <c r="AB148" s="2875">
        <v>338165610</v>
      </c>
      <c r="AC148" s="2869">
        <v>139.906058</v>
      </c>
      <c r="AD148" s="2870">
        <v>235321990</v>
      </c>
      <c r="AE148" s="2870">
        <v>135257185</v>
      </c>
      <c r="AF148" s="2870">
        <v>69354087</v>
      </c>
      <c r="AG148" s="2870"/>
      <c r="AH148" s="2877">
        <v>3.1444904408642547</v>
      </c>
      <c r="AI148" s="2875">
        <v>439933262</v>
      </c>
      <c r="AJ148" s="2869">
        <v>161.07944499999999</v>
      </c>
      <c r="AK148" s="2870">
        <v>270935626</v>
      </c>
      <c r="AL148" s="2870">
        <v>142529932</v>
      </c>
      <c r="AM148" s="2870">
        <v>80972145</v>
      </c>
      <c r="AN148" s="2870"/>
      <c r="AO148" s="2877">
        <v>3.0695269840295265</v>
      </c>
      <c r="AP148" s="2875">
        <v>494437703</v>
      </c>
      <c r="AQ148" s="2869">
        <v>157.852508</v>
      </c>
      <c r="AR148" s="2870">
        <v>265507918</v>
      </c>
      <c r="AS148" s="2870">
        <v>142529932</v>
      </c>
      <c r="AT148" s="2870">
        <v>81240606</v>
      </c>
      <c r="AU148" s="2870"/>
      <c r="AV148" s="2877">
        <v>3.0995925386247269</v>
      </c>
      <c r="AW148" s="2875">
        <v>489278456</v>
      </c>
      <c r="AX148" s="2869">
        <v>121.075005</v>
      </c>
      <c r="AY148" s="2870">
        <v>203648158</v>
      </c>
      <c r="AZ148" s="2870">
        <v>137932192</v>
      </c>
      <c r="BA148" s="2870">
        <v>94112111</v>
      </c>
      <c r="BB148" s="2870"/>
      <c r="BC148" s="2877">
        <v>3.5985334958276485</v>
      </c>
      <c r="BD148" s="2875">
        <v>435692461</v>
      </c>
      <c r="BE148" s="2869">
        <v>51.572167999999998</v>
      </c>
      <c r="BF148" s="2870">
        <v>86744387</v>
      </c>
      <c r="BG148" s="2870">
        <v>142529931</v>
      </c>
      <c r="BH148" s="2870">
        <v>75485789</v>
      </c>
      <c r="BI148" s="2870"/>
      <c r="BJ148" s="2877">
        <v>5.9093910304488269</v>
      </c>
      <c r="BK148" s="2875">
        <v>304760107</v>
      </c>
      <c r="BL148" s="2869">
        <v>30.493289999999998</v>
      </c>
      <c r="BM148" s="2870">
        <v>51289714</v>
      </c>
      <c r="BN148" s="2870">
        <v>137932192</v>
      </c>
      <c r="BO148" s="2870">
        <v>74109444</v>
      </c>
      <c r="BP148" s="2870"/>
      <c r="BQ148" s="2877">
        <v>8.6357146113128493</v>
      </c>
      <c r="BR148" s="2875">
        <v>263331350</v>
      </c>
      <c r="BS148" s="2869">
        <v>24.112964999999999</v>
      </c>
      <c r="BT148" s="2870">
        <v>124143570</v>
      </c>
      <c r="BU148" s="2870">
        <v>40558007</v>
      </c>
      <c r="BV148" s="2870">
        <v>13785853</v>
      </c>
      <c r="BW148" s="2870"/>
      <c r="BX148" s="2877">
        <v>7.4021353242954566</v>
      </c>
      <c r="BY148" s="2875">
        <v>178487430</v>
      </c>
      <c r="BZ148" s="2869">
        <v>21.206081999999999</v>
      </c>
      <c r="CA148" s="2870">
        <v>117975912</v>
      </c>
      <c r="CB148" s="2870">
        <v>35396111</v>
      </c>
      <c r="CC148" s="2870">
        <v>86580</v>
      </c>
      <c r="CD148" s="2870"/>
      <c r="CE148" s="2877">
        <v>7.2365372820872809</v>
      </c>
      <c r="CF148" s="2875">
        <v>153458603</v>
      </c>
      <c r="CG148" s="2869">
        <v>18.07864</v>
      </c>
      <c r="CH148" s="2870">
        <v>107937797</v>
      </c>
      <c r="CI148" s="2870">
        <v>21694368</v>
      </c>
      <c r="CJ148" s="2870">
        <v>-37248062</v>
      </c>
      <c r="CK148" s="2870"/>
      <c r="CL148" s="2877">
        <v>5.1101246000805371</v>
      </c>
      <c r="CM148" s="2875">
        <v>92384103</v>
      </c>
      <c r="CN148" s="2872">
        <v>21.616738000000002</v>
      </c>
      <c r="CO148" s="2870">
        <v>126363035</v>
      </c>
      <c r="CP148" s="2870">
        <v>27020923</v>
      </c>
      <c r="CQ148" s="2870">
        <v>50307316.079999901</v>
      </c>
      <c r="CR148" s="2870">
        <v>146037632</v>
      </c>
      <c r="CS148" s="2877">
        <v>16.178616129778689</v>
      </c>
      <c r="CT148" s="2875">
        <v>349728906.07999992</v>
      </c>
      <c r="CU148" s="2878">
        <v>858.74822900000015</v>
      </c>
      <c r="CV148" s="2870">
        <v>1839002904</v>
      </c>
      <c r="CW148" s="2870">
        <v>1151353238</v>
      </c>
      <c r="CX148" s="2870">
        <v>656607804.07999992</v>
      </c>
      <c r="CY148" s="2870">
        <v>146037632</v>
      </c>
      <c r="CZ148" s="2879">
        <v>4.4168959538896466</v>
      </c>
      <c r="DA148" s="2875">
        <v>3793001578.0799999</v>
      </c>
      <c r="DJ148" s="1611" t="s">
        <v>1717</v>
      </c>
      <c r="DK148" s="2782" t="s">
        <v>1717</v>
      </c>
      <c r="DM148" s="1650">
        <v>1.3407343376308725</v>
      </c>
    </row>
    <row r="149" spans="1:117" ht="21" customHeight="1">
      <c r="A149" s="1652">
        <v>5</v>
      </c>
      <c r="B149" s="1644" t="s">
        <v>1761</v>
      </c>
      <c r="C149" s="1645">
        <v>1200</v>
      </c>
      <c r="D149" s="1646">
        <v>16.666666666666664</v>
      </c>
      <c r="E149" s="1646">
        <v>110</v>
      </c>
      <c r="F149" s="1641">
        <v>1.2</v>
      </c>
      <c r="G149" s="1648"/>
      <c r="H149" s="1648">
        <v>200</v>
      </c>
      <c r="I149" s="1648" t="s">
        <v>1717</v>
      </c>
      <c r="J149" s="1649">
        <v>1</v>
      </c>
      <c r="K149" s="1648"/>
      <c r="L149" s="1648"/>
      <c r="M149" s="1648"/>
      <c r="N149" s="1642"/>
      <c r="O149" s="2876">
        <v>45.549250000000001</v>
      </c>
      <c r="P149" s="2870">
        <v>234072315</v>
      </c>
      <c r="Q149" s="2870">
        <v>132684965</v>
      </c>
      <c r="R149" s="2870">
        <v>287289891</v>
      </c>
      <c r="S149" s="2870"/>
      <c r="T149" s="2870">
        <v>14.359120534366648</v>
      </c>
      <c r="U149" s="2875">
        <v>654047171</v>
      </c>
      <c r="V149" s="2869">
        <v>82.5672</v>
      </c>
      <c r="W149" s="2870">
        <v>240518254</v>
      </c>
      <c r="X149" s="2870">
        <v>241755987</v>
      </c>
      <c r="Y149" s="2870">
        <v>-280884068</v>
      </c>
      <c r="Z149" s="2870"/>
      <c r="AA149" s="2877">
        <v>2.4391062431570889</v>
      </c>
      <c r="AB149" s="2875">
        <v>201390173</v>
      </c>
      <c r="AC149" s="2869">
        <v>137.11358000000001</v>
      </c>
      <c r="AD149" s="2870">
        <v>399411859</v>
      </c>
      <c r="AE149" s="2870">
        <v>234072315</v>
      </c>
      <c r="AF149" s="2870">
        <v>7897386</v>
      </c>
      <c r="AG149" s="2870"/>
      <c r="AH149" s="2877">
        <v>4.6777391415204823</v>
      </c>
      <c r="AI149" s="2875">
        <v>641381560</v>
      </c>
      <c r="AJ149" s="2869">
        <v>132.846825</v>
      </c>
      <c r="AK149" s="2870">
        <v>386982801</v>
      </c>
      <c r="AL149" s="2870">
        <v>234073166</v>
      </c>
      <c r="AM149" s="2870">
        <v>6642341</v>
      </c>
      <c r="AN149" s="2870"/>
      <c r="AO149" s="2877">
        <v>4.7249778683081063</v>
      </c>
      <c r="AP149" s="2875">
        <v>627698308</v>
      </c>
      <c r="AQ149" s="2869">
        <v>141.30080000000001</v>
      </c>
      <c r="AR149" s="2870">
        <v>411609230</v>
      </c>
      <c r="AS149" s="2870">
        <v>241874726</v>
      </c>
      <c r="AT149" s="2870">
        <v>7065040</v>
      </c>
      <c r="AU149" s="2870"/>
      <c r="AV149" s="2877">
        <v>4.674771805962882</v>
      </c>
      <c r="AW149" s="2875">
        <v>660548996</v>
      </c>
      <c r="AX149" s="2869">
        <v>122.703945</v>
      </c>
      <c r="AY149" s="2870">
        <v>357436592</v>
      </c>
      <c r="AZ149" s="2870">
        <v>228065168</v>
      </c>
      <c r="BA149" s="2870">
        <v>6135197</v>
      </c>
      <c r="BB149" s="2870"/>
      <c r="BC149" s="2877">
        <v>4.8216620663663257</v>
      </c>
      <c r="BD149" s="2875">
        <v>591636957</v>
      </c>
      <c r="BE149" s="2869">
        <v>88.879199999999997</v>
      </c>
      <c r="BF149" s="2870">
        <v>258905110</v>
      </c>
      <c r="BG149" s="2870">
        <v>241874726</v>
      </c>
      <c r="BH149" s="2870">
        <v>5266606</v>
      </c>
      <c r="BI149" s="2870"/>
      <c r="BJ149" s="2877">
        <v>5.6936430795956756</v>
      </c>
      <c r="BK149" s="2875">
        <v>506046442</v>
      </c>
      <c r="BL149" s="2869">
        <v>31.711500000000001</v>
      </c>
      <c r="BM149" s="2870">
        <v>45859045</v>
      </c>
      <c r="BN149" s="2870">
        <v>234072315</v>
      </c>
      <c r="BO149" s="2870">
        <v>1585575</v>
      </c>
      <c r="BP149" s="2870"/>
      <c r="BQ149" s="2877">
        <v>8.8774398877378875</v>
      </c>
      <c r="BR149" s="2875">
        <v>281516935</v>
      </c>
      <c r="BS149" s="2869">
        <v>30.45</v>
      </c>
      <c r="BT149" s="2870">
        <v>241874726</v>
      </c>
      <c r="BU149" s="2870">
        <v>36540000</v>
      </c>
      <c r="BV149" s="2870">
        <v>2078103</v>
      </c>
      <c r="BW149" s="2870"/>
      <c r="BX149" s="2877">
        <v>9.2115871592775047</v>
      </c>
      <c r="BY149" s="2875">
        <v>280492829</v>
      </c>
      <c r="BZ149" s="2869">
        <v>25.3825</v>
      </c>
      <c r="CA149" s="2870">
        <v>241874726</v>
      </c>
      <c r="CB149" s="2870">
        <v>30459000</v>
      </c>
      <c r="CC149" s="2870">
        <v>1361086</v>
      </c>
      <c r="CD149" s="2870"/>
      <c r="CE149" s="2877">
        <v>10.782815404313995</v>
      </c>
      <c r="CF149" s="2875">
        <v>273694812</v>
      </c>
      <c r="CG149" s="2869">
        <v>18.313500000000001</v>
      </c>
      <c r="CH149" s="2870">
        <v>218467494</v>
      </c>
      <c r="CI149" s="2870">
        <v>22891875</v>
      </c>
      <c r="CJ149" s="2870">
        <v>91961</v>
      </c>
      <c r="CK149" s="2870"/>
      <c r="CL149" s="2877">
        <v>13.184335599421193</v>
      </c>
      <c r="CM149" s="2875">
        <v>241451330</v>
      </c>
      <c r="CN149" s="2872">
        <v>23.272500000000001</v>
      </c>
      <c r="CO149" s="2870">
        <v>241874726</v>
      </c>
      <c r="CP149" s="2870">
        <v>29090625</v>
      </c>
      <c r="CQ149" s="2870">
        <v>1676746.5</v>
      </c>
      <c r="CR149" s="2870">
        <v>303843045</v>
      </c>
      <c r="CS149" s="2877">
        <v>24.771087871951874</v>
      </c>
      <c r="CT149" s="2875">
        <v>576485142.5</v>
      </c>
      <c r="CU149" s="2878">
        <v>880.09080000000006</v>
      </c>
      <c r="CV149" s="2870">
        <v>3278886878</v>
      </c>
      <c r="CW149" s="2870">
        <v>1907454868</v>
      </c>
      <c r="CX149" s="2870">
        <v>46205864.5</v>
      </c>
      <c r="CY149" s="2870">
        <v>303843045</v>
      </c>
      <c r="CZ149" s="2879">
        <v>6.2907039313443569</v>
      </c>
      <c r="DA149" s="2875">
        <v>5536390655.5</v>
      </c>
      <c r="DJ149" s="1611" t="s">
        <v>1717</v>
      </c>
      <c r="DK149" s="2782" t="s">
        <v>1717</v>
      </c>
      <c r="DM149" s="1650">
        <v>2.1673387200502492</v>
      </c>
    </row>
    <row r="150" spans="1:117" ht="21" customHeight="1">
      <c r="A150" s="1652"/>
      <c r="B150" s="1644"/>
      <c r="C150" s="1662"/>
      <c r="D150" s="1648"/>
      <c r="E150" s="1648"/>
      <c r="F150" s="1648"/>
      <c r="G150" s="1648"/>
      <c r="H150" s="1648"/>
      <c r="I150" s="1648"/>
      <c r="J150" s="1649"/>
      <c r="K150" s="1648"/>
      <c r="L150" s="1648"/>
      <c r="M150" s="1648"/>
      <c r="N150" s="1642"/>
      <c r="O150" s="2876"/>
      <c r="P150" s="2870"/>
      <c r="Q150" s="2870"/>
      <c r="R150" s="2870"/>
      <c r="S150" s="2870"/>
      <c r="T150" s="2870"/>
      <c r="U150" s="2875">
        <v>0</v>
      </c>
      <c r="V150" s="2869"/>
      <c r="W150" s="2870"/>
      <c r="X150" s="2870"/>
      <c r="Y150" s="2870"/>
      <c r="Z150" s="2870"/>
      <c r="AA150" s="2877"/>
      <c r="AB150" s="2875">
        <v>0</v>
      </c>
      <c r="AC150" s="2869"/>
      <c r="AD150" s="2870"/>
      <c r="AE150" s="2870"/>
      <c r="AF150" s="2870"/>
      <c r="AG150" s="2870"/>
      <c r="AH150" s="2877"/>
      <c r="AI150" s="2875">
        <v>0</v>
      </c>
      <c r="AJ150" s="2869"/>
      <c r="AK150" s="2870"/>
      <c r="AL150" s="2870"/>
      <c r="AM150" s="2870"/>
      <c r="AN150" s="2870"/>
      <c r="AO150" s="2877"/>
      <c r="AP150" s="2875">
        <v>0</v>
      </c>
      <c r="AQ150" s="2869"/>
      <c r="AR150" s="2870"/>
      <c r="AS150" s="2870"/>
      <c r="AT150" s="2870"/>
      <c r="AU150" s="2870"/>
      <c r="AV150" s="2877"/>
      <c r="AW150" s="2875">
        <v>0</v>
      </c>
      <c r="AX150" s="2869"/>
      <c r="AY150" s="2870"/>
      <c r="AZ150" s="2870"/>
      <c r="BA150" s="2870"/>
      <c r="BB150" s="2870"/>
      <c r="BC150" s="2877"/>
      <c r="BD150" s="2875">
        <v>0</v>
      </c>
      <c r="BE150" s="2869"/>
      <c r="BF150" s="2870"/>
      <c r="BG150" s="2870"/>
      <c r="BH150" s="2870"/>
      <c r="BI150" s="2870"/>
      <c r="BJ150" s="2877"/>
      <c r="BK150" s="2875">
        <v>0</v>
      </c>
      <c r="BL150" s="2869"/>
      <c r="BM150" s="2870"/>
      <c r="BN150" s="2870"/>
      <c r="BO150" s="2870"/>
      <c r="BP150" s="2870"/>
      <c r="BQ150" s="2877"/>
      <c r="BR150" s="2875">
        <v>0</v>
      </c>
      <c r="BS150" s="2869"/>
      <c r="BT150" s="2870"/>
      <c r="BU150" s="2870"/>
      <c r="BV150" s="2870"/>
      <c r="BW150" s="2870"/>
      <c r="BX150" s="2877"/>
      <c r="BY150" s="2875">
        <v>0</v>
      </c>
      <c r="BZ150" s="2869"/>
      <c r="CA150" s="2870"/>
      <c r="CB150" s="2870"/>
      <c r="CC150" s="2870"/>
      <c r="CD150" s="2870"/>
      <c r="CE150" s="2877"/>
      <c r="CF150" s="2875">
        <v>0</v>
      </c>
      <c r="CG150" s="2869"/>
      <c r="CH150" s="2870"/>
      <c r="CI150" s="2870"/>
      <c r="CJ150" s="2870"/>
      <c r="CK150" s="2870"/>
      <c r="CL150" s="2877"/>
      <c r="CM150" s="2875">
        <v>0</v>
      </c>
      <c r="CN150" s="2872"/>
      <c r="CO150" s="2870"/>
      <c r="CP150" s="2870"/>
      <c r="CQ150" s="2870"/>
      <c r="CR150" s="2870"/>
      <c r="CS150" s="2884"/>
      <c r="CT150" s="2875">
        <v>0</v>
      </c>
      <c r="CU150" s="2878">
        <v>0</v>
      </c>
      <c r="CV150" s="2870">
        <v>0</v>
      </c>
      <c r="CW150" s="2870">
        <v>0</v>
      </c>
      <c r="CX150" s="2870">
        <v>0</v>
      </c>
      <c r="CY150" s="2870">
        <v>0</v>
      </c>
      <c r="CZ150" s="2879">
        <v>0</v>
      </c>
      <c r="DA150" s="2875">
        <v>0</v>
      </c>
      <c r="DJ150" s="1611" t="e">
        <v>#N/A</v>
      </c>
      <c r="DK150" s="2782" t="e">
        <v>#N/A</v>
      </c>
      <c r="DM150" s="1650">
        <v>0</v>
      </c>
    </row>
    <row r="151" spans="1:117" ht="21" customHeight="1">
      <c r="A151" s="1652">
        <v>6</v>
      </c>
      <c r="B151" s="1644"/>
      <c r="C151" s="1662"/>
      <c r="D151" s="1648"/>
      <c r="E151" s="1648"/>
      <c r="F151" s="1648"/>
      <c r="G151" s="1648"/>
      <c r="H151" s="1648"/>
      <c r="I151" s="1648"/>
      <c r="J151" s="1649"/>
      <c r="K151" s="1648"/>
      <c r="L151" s="1648"/>
      <c r="M151" s="1648"/>
      <c r="N151" s="1642"/>
      <c r="O151" s="2876"/>
      <c r="P151" s="2870"/>
      <c r="Q151" s="2870"/>
      <c r="R151" s="2870"/>
      <c r="S151" s="2870"/>
      <c r="T151" s="2870"/>
      <c r="U151" s="2875">
        <v>0</v>
      </c>
      <c r="V151" s="2869"/>
      <c r="W151" s="2870"/>
      <c r="X151" s="2870"/>
      <c r="Y151" s="2870"/>
      <c r="Z151" s="2870"/>
      <c r="AA151" s="2877"/>
      <c r="AB151" s="2875">
        <v>0</v>
      </c>
      <c r="AC151" s="2869"/>
      <c r="AD151" s="2870"/>
      <c r="AE151" s="2870"/>
      <c r="AF151" s="2870"/>
      <c r="AG151" s="2870"/>
      <c r="AH151" s="2877"/>
      <c r="AI151" s="2875"/>
      <c r="AJ151" s="2869"/>
      <c r="AK151" s="2870"/>
      <c r="AL151" s="2870"/>
      <c r="AM151" s="2870"/>
      <c r="AN151" s="2870"/>
      <c r="AO151" s="2877"/>
      <c r="AP151" s="2875"/>
      <c r="AQ151" s="2869"/>
      <c r="AR151" s="2870"/>
      <c r="AS151" s="2870"/>
      <c r="AT151" s="2870"/>
      <c r="AU151" s="2870"/>
      <c r="AV151" s="2877"/>
      <c r="AW151" s="2875"/>
      <c r="AX151" s="2876"/>
      <c r="AY151" s="2870"/>
      <c r="AZ151" s="2870"/>
      <c r="BA151" s="2870"/>
      <c r="BB151" s="2870"/>
      <c r="BC151" s="2877"/>
      <c r="BD151" s="2875"/>
      <c r="BE151" s="2876"/>
      <c r="BF151" s="2870"/>
      <c r="BG151" s="2870"/>
      <c r="BH151" s="2870"/>
      <c r="BI151" s="2870"/>
      <c r="BJ151" s="2877"/>
      <c r="BK151" s="2875"/>
      <c r="BL151" s="2876"/>
      <c r="BM151" s="2870"/>
      <c r="BN151" s="2870"/>
      <c r="BO151" s="2870"/>
      <c r="BP151" s="2870"/>
      <c r="BQ151" s="2877"/>
      <c r="BR151" s="2875"/>
      <c r="BS151" s="2876"/>
      <c r="BT151" s="2870"/>
      <c r="BU151" s="2870"/>
      <c r="BV151" s="2870"/>
      <c r="BW151" s="2870"/>
      <c r="BX151" s="2877"/>
      <c r="BY151" s="2875">
        <v>0</v>
      </c>
      <c r="BZ151" s="2876"/>
      <c r="CA151" s="2870"/>
      <c r="CB151" s="2870"/>
      <c r="CC151" s="2870"/>
      <c r="CD151" s="2870"/>
      <c r="CE151" s="2877"/>
      <c r="CF151" s="2875">
        <v>0</v>
      </c>
      <c r="CG151" s="2876"/>
      <c r="CH151" s="2870"/>
      <c r="CI151" s="2870"/>
      <c r="CJ151" s="2870"/>
      <c r="CK151" s="2870"/>
      <c r="CL151" s="2877"/>
      <c r="CM151" s="2875">
        <v>0</v>
      </c>
      <c r="CN151" s="2880"/>
      <c r="CO151" s="2870"/>
      <c r="CP151" s="2870"/>
      <c r="CQ151" s="2870"/>
      <c r="CR151" s="2870"/>
      <c r="CS151" s="2884"/>
      <c r="CT151" s="2875">
        <v>0</v>
      </c>
      <c r="CU151" s="2878">
        <v>0</v>
      </c>
      <c r="CV151" s="2870">
        <v>0</v>
      </c>
      <c r="CW151" s="2870">
        <v>0</v>
      </c>
      <c r="CX151" s="2870">
        <v>0</v>
      </c>
      <c r="CY151" s="2870">
        <v>0</v>
      </c>
      <c r="CZ151" s="2879">
        <v>0</v>
      </c>
      <c r="DA151" s="2875">
        <v>0</v>
      </c>
      <c r="DJ151" s="1611" t="e">
        <v>#N/A</v>
      </c>
      <c r="DK151" s="2782" t="e">
        <v>#N/A</v>
      </c>
      <c r="DM151" s="1650">
        <v>0</v>
      </c>
    </row>
    <row r="152" spans="1:117" ht="21" customHeight="1">
      <c r="A152" s="1652">
        <v>7</v>
      </c>
      <c r="B152" s="1644"/>
      <c r="C152" s="1662"/>
      <c r="D152" s="1648"/>
      <c r="E152" s="1648"/>
      <c r="F152" s="1648"/>
      <c r="G152" s="1648"/>
      <c r="H152" s="1648"/>
      <c r="I152" s="1648"/>
      <c r="J152" s="1649"/>
      <c r="K152" s="1648"/>
      <c r="L152" s="1648"/>
      <c r="M152" s="1648"/>
      <c r="N152" s="1642"/>
      <c r="O152" s="2876"/>
      <c r="P152" s="2870"/>
      <c r="Q152" s="2870"/>
      <c r="R152" s="2870"/>
      <c r="S152" s="2870"/>
      <c r="T152" s="2870"/>
      <c r="U152" s="2875">
        <v>0</v>
      </c>
      <c r="V152" s="2869"/>
      <c r="W152" s="2870"/>
      <c r="X152" s="2870"/>
      <c r="Y152" s="2870"/>
      <c r="Z152" s="2870"/>
      <c r="AA152" s="2877"/>
      <c r="AB152" s="2875">
        <v>0</v>
      </c>
      <c r="AC152" s="2869"/>
      <c r="AD152" s="2870"/>
      <c r="AE152" s="2870"/>
      <c r="AF152" s="2870"/>
      <c r="AG152" s="2870"/>
      <c r="AH152" s="2877"/>
      <c r="AI152" s="2875">
        <v>0</v>
      </c>
      <c r="AJ152" s="2869"/>
      <c r="AK152" s="2870"/>
      <c r="AL152" s="2870"/>
      <c r="AM152" s="2870"/>
      <c r="AN152" s="2870"/>
      <c r="AO152" s="2877"/>
      <c r="AP152" s="2875">
        <v>0</v>
      </c>
      <c r="AQ152" s="2869"/>
      <c r="AR152" s="2870"/>
      <c r="AS152" s="2870"/>
      <c r="AT152" s="2870"/>
      <c r="AU152" s="2870"/>
      <c r="AV152" s="2877"/>
      <c r="AW152" s="2875">
        <v>0</v>
      </c>
      <c r="AX152" s="2869"/>
      <c r="AY152" s="2870"/>
      <c r="AZ152" s="2870"/>
      <c r="BA152" s="2870"/>
      <c r="BB152" s="2870"/>
      <c r="BC152" s="2877"/>
      <c r="BD152" s="2875">
        <v>0</v>
      </c>
      <c r="BE152" s="2869"/>
      <c r="BF152" s="2870"/>
      <c r="BG152" s="2870"/>
      <c r="BH152" s="2870"/>
      <c r="BI152" s="2870"/>
      <c r="BJ152" s="2877"/>
      <c r="BK152" s="2875">
        <v>0</v>
      </c>
      <c r="BL152" s="2869"/>
      <c r="BM152" s="2870"/>
      <c r="BN152" s="2870"/>
      <c r="BO152" s="2870"/>
      <c r="BP152" s="2870"/>
      <c r="BQ152" s="2877"/>
      <c r="BR152" s="2875">
        <v>0</v>
      </c>
      <c r="BS152" s="2869"/>
      <c r="BT152" s="2870"/>
      <c r="BU152" s="2870"/>
      <c r="BV152" s="2870"/>
      <c r="BW152" s="2870"/>
      <c r="BX152" s="2877"/>
      <c r="BY152" s="2875">
        <v>0</v>
      </c>
      <c r="BZ152" s="2869"/>
      <c r="CA152" s="2870"/>
      <c r="CB152" s="2870"/>
      <c r="CC152" s="2870"/>
      <c r="CD152" s="2870"/>
      <c r="CE152" s="2877"/>
      <c r="CF152" s="2875">
        <v>0</v>
      </c>
      <c r="CG152" s="2869"/>
      <c r="CH152" s="2870"/>
      <c r="CI152" s="2870"/>
      <c r="CJ152" s="2870"/>
      <c r="CK152" s="2870"/>
      <c r="CL152" s="2877"/>
      <c r="CM152" s="2875">
        <v>0</v>
      </c>
      <c r="CN152" s="2872"/>
      <c r="CO152" s="2870"/>
      <c r="CP152" s="2870"/>
      <c r="CQ152" s="2870"/>
      <c r="CR152" s="2870"/>
      <c r="CS152" s="2884"/>
      <c r="CT152" s="2875">
        <v>0</v>
      </c>
      <c r="CU152" s="2878">
        <v>0</v>
      </c>
      <c r="CV152" s="2870">
        <v>0</v>
      </c>
      <c r="CW152" s="2870">
        <v>0</v>
      </c>
      <c r="CX152" s="2870">
        <v>0</v>
      </c>
      <c r="CY152" s="2870">
        <v>0</v>
      </c>
      <c r="CZ152" s="2879">
        <v>0</v>
      </c>
      <c r="DA152" s="2875">
        <v>0</v>
      </c>
      <c r="DJ152" s="1611" t="e">
        <v>#N/A</v>
      </c>
      <c r="DK152" s="2782" t="e">
        <v>#N/A</v>
      </c>
      <c r="DM152" s="1650">
        <v>0</v>
      </c>
    </row>
    <row r="153" spans="1:117" s="1727" customFormat="1" ht="21" customHeight="1">
      <c r="A153" s="1637"/>
      <c r="B153" s="1638" t="s">
        <v>211</v>
      </c>
      <c r="C153" s="1643"/>
      <c r="D153" s="1641"/>
      <c r="E153" s="1641"/>
      <c r="F153" s="1641"/>
      <c r="G153" s="1641"/>
      <c r="H153" s="1641"/>
      <c r="I153" s="1641"/>
      <c r="J153" s="1649"/>
      <c r="K153" s="1641"/>
      <c r="L153" s="1641"/>
      <c r="M153" s="1641"/>
      <c r="N153" s="1671"/>
      <c r="O153" s="2876">
        <v>198.17734799999999</v>
      </c>
      <c r="P153" s="2874">
        <v>629790750</v>
      </c>
      <c r="Q153" s="2874">
        <v>432453676</v>
      </c>
      <c r="R153" s="2874">
        <v>364066940</v>
      </c>
      <c r="S153" s="2874"/>
      <c r="T153" s="2879">
        <v>7.1971462954484586</v>
      </c>
      <c r="U153" s="2875">
        <v>1426311366</v>
      </c>
      <c r="V153" s="2876">
        <v>422.45327100000003</v>
      </c>
      <c r="W153" s="2874">
        <v>727824510</v>
      </c>
      <c r="X153" s="2874">
        <v>869408609</v>
      </c>
      <c r="Y153" s="2874">
        <v>-203259182</v>
      </c>
      <c r="Z153" s="2874">
        <v>0</v>
      </c>
      <c r="AA153" s="2879">
        <v>3.2997115484519468</v>
      </c>
      <c r="AB153" s="2875">
        <v>1393973937</v>
      </c>
      <c r="AC153" s="2876">
        <v>726.936643</v>
      </c>
      <c r="AD153" s="2874">
        <v>1140209206</v>
      </c>
      <c r="AE153" s="2874">
        <v>1139006029</v>
      </c>
      <c r="AF153" s="2874">
        <v>24308196</v>
      </c>
      <c r="AG153" s="2874">
        <v>0</v>
      </c>
      <c r="AH153" s="2879">
        <v>3.1688090746032183</v>
      </c>
      <c r="AI153" s="2875">
        <v>2303523431</v>
      </c>
      <c r="AJ153" s="2876">
        <v>823.24255699999992</v>
      </c>
      <c r="AK153" s="2874">
        <v>1231324313</v>
      </c>
      <c r="AL153" s="2874">
        <v>1300644821</v>
      </c>
      <c r="AM153" s="2874">
        <v>87614486</v>
      </c>
      <c r="AN153" s="2874">
        <v>0</v>
      </c>
      <c r="AO153" s="2879">
        <v>3.1820313438922478</v>
      </c>
      <c r="AP153" s="2875">
        <v>2619583620</v>
      </c>
      <c r="AQ153" s="2876">
        <v>801.01630999999998</v>
      </c>
      <c r="AR153" s="2874">
        <v>1250135930</v>
      </c>
      <c r="AS153" s="2874">
        <v>1262496550</v>
      </c>
      <c r="AT153" s="2874">
        <v>88305646</v>
      </c>
      <c r="AU153" s="2874">
        <v>0</v>
      </c>
      <c r="AV153" s="2879">
        <v>3.247047648755117</v>
      </c>
      <c r="AW153" s="2875">
        <v>2600938126</v>
      </c>
      <c r="AX153" s="2876">
        <v>734.58218599999998</v>
      </c>
      <c r="AY153" s="2874">
        <v>1094442307</v>
      </c>
      <c r="AZ153" s="2874">
        <v>1203829058</v>
      </c>
      <c r="BA153" s="2874">
        <v>100247308</v>
      </c>
      <c r="BB153" s="2874">
        <v>0</v>
      </c>
      <c r="BC153" s="2879">
        <v>3.2651467987000706</v>
      </c>
      <c r="BD153" s="2875">
        <v>2398518673</v>
      </c>
      <c r="BE153" s="2876">
        <v>397.94248200000004</v>
      </c>
      <c r="BF153" s="2874">
        <v>702000573</v>
      </c>
      <c r="BG153" s="2874">
        <v>824746374</v>
      </c>
      <c r="BH153" s="2874">
        <v>80752395</v>
      </c>
      <c r="BI153" s="2874">
        <v>0</v>
      </c>
      <c r="BJ153" s="2879">
        <v>4.0395268530289759</v>
      </c>
      <c r="BK153" s="2875">
        <v>1607499342</v>
      </c>
      <c r="BL153" s="2876">
        <v>169.677831</v>
      </c>
      <c r="BM153" s="2874">
        <v>277670721</v>
      </c>
      <c r="BN153" s="2874">
        <v>503970865</v>
      </c>
      <c r="BO153" s="2874">
        <v>75695019</v>
      </c>
      <c r="BP153" s="2874">
        <v>0</v>
      </c>
      <c r="BQ153" s="2879">
        <v>5.0527319918416449</v>
      </c>
      <c r="BR153" s="2875">
        <v>857336605</v>
      </c>
      <c r="BS153" s="2876">
        <v>137.15076299999998</v>
      </c>
      <c r="BT153" s="2874">
        <v>524890970</v>
      </c>
      <c r="BU153" s="2874">
        <v>171313360</v>
      </c>
      <c r="BV153" s="2874">
        <v>-266736044</v>
      </c>
      <c r="BW153" s="2874">
        <v>0</v>
      </c>
      <c r="BX153" s="2879">
        <v>3.1313590723516436</v>
      </c>
      <c r="BY153" s="2875">
        <v>429468286</v>
      </c>
      <c r="BZ153" s="2876">
        <v>115.105796</v>
      </c>
      <c r="CA153" s="2874">
        <v>518723312</v>
      </c>
      <c r="CB153" s="2874">
        <v>142109886</v>
      </c>
      <c r="CC153" s="2874">
        <v>-29952334</v>
      </c>
      <c r="CD153" s="2874">
        <v>0</v>
      </c>
      <c r="CE153" s="2879">
        <v>5.4808783390890241</v>
      </c>
      <c r="CF153" s="2875">
        <v>630880864</v>
      </c>
      <c r="CG153" s="2876">
        <v>68.870536999999999</v>
      </c>
      <c r="CH153" s="2874">
        <v>452360114</v>
      </c>
      <c r="CI153" s="2874">
        <v>82437608</v>
      </c>
      <c r="CJ153" s="2874">
        <v>1465047384</v>
      </c>
      <c r="CK153" s="2874">
        <v>0</v>
      </c>
      <c r="CL153" s="2879">
        <v>29.037745211715134</v>
      </c>
      <c r="CM153" s="2875">
        <v>1999845106</v>
      </c>
      <c r="CN153" s="2880">
        <v>145.03759399999998</v>
      </c>
      <c r="CO153" s="2874">
        <v>511111281</v>
      </c>
      <c r="CP153" s="2874">
        <v>113647096</v>
      </c>
      <c r="CQ153" s="2874">
        <v>487703551.57999992</v>
      </c>
      <c r="CR153" s="2874">
        <v>449880677</v>
      </c>
      <c r="CS153" s="2879">
        <v>10.771983749123695</v>
      </c>
      <c r="CT153" s="2875">
        <v>1562342605.5799999</v>
      </c>
      <c r="CU153" s="2881">
        <v>4740.1933180000005</v>
      </c>
      <c r="CV153" s="2874">
        <v>9060483987</v>
      </c>
      <c r="CW153" s="2874">
        <v>8046063932</v>
      </c>
      <c r="CX153" s="2874">
        <v>2273793365.5799999</v>
      </c>
      <c r="CY153" s="2874">
        <v>449880677</v>
      </c>
      <c r="CZ153" s="2879">
        <v>4.1834205128888788</v>
      </c>
      <c r="DA153" s="2875">
        <v>19830221961.580002</v>
      </c>
      <c r="DB153" s="1609"/>
      <c r="DD153" s="1625"/>
      <c r="DJ153" s="1611" t="e">
        <v>#N/A</v>
      </c>
      <c r="DK153" s="2782">
        <v>0</v>
      </c>
      <c r="DM153" s="1650">
        <v>1.6974126142591213</v>
      </c>
    </row>
    <row r="154" spans="1:117" s="1686" customFormat="1" ht="21" customHeight="1">
      <c r="A154" s="1652">
        <v>8</v>
      </c>
      <c r="B154" s="1644"/>
      <c r="C154" s="1662"/>
      <c r="D154" s="1648"/>
      <c r="E154" s="1648"/>
      <c r="F154" s="1648"/>
      <c r="G154" s="1648"/>
      <c r="H154" s="1648"/>
      <c r="I154" s="1648"/>
      <c r="J154" s="1649"/>
      <c r="K154" s="1648"/>
      <c r="L154" s="1648"/>
      <c r="M154" s="1648"/>
      <c r="N154" s="1642"/>
      <c r="O154" s="2876"/>
      <c r="P154" s="2870"/>
      <c r="Q154" s="2870"/>
      <c r="R154" s="2870"/>
      <c r="S154" s="2870"/>
      <c r="T154" s="2870"/>
      <c r="U154" s="2875"/>
      <c r="V154" s="2869"/>
      <c r="W154" s="2870"/>
      <c r="X154" s="2870"/>
      <c r="Y154" s="2870"/>
      <c r="Z154" s="2870"/>
      <c r="AA154" s="2877"/>
      <c r="AB154" s="2875">
        <v>0</v>
      </c>
      <c r="AC154" s="2869"/>
      <c r="AD154" s="2870"/>
      <c r="AE154" s="2870"/>
      <c r="AF154" s="2870"/>
      <c r="AG154" s="2870"/>
      <c r="AH154" s="2877"/>
      <c r="AI154" s="2875">
        <v>0</v>
      </c>
      <c r="AJ154" s="2869"/>
      <c r="AK154" s="2870"/>
      <c r="AL154" s="2870"/>
      <c r="AM154" s="2870"/>
      <c r="AN154" s="2870"/>
      <c r="AO154" s="2877"/>
      <c r="AP154" s="2875">
        <v>0</v>
      </c>
      <c r="AQ154" s="2869"/>
      <c r="AR154" s="2870"/>
      <c r="AS154" s="2870"/>
      <c r="AT154" s="2870"/>
      <c r="AU154" s="2870"/>
      <c r="AV154" s="2877"/>
      <c r="AW154" s="2875">
        <v>0</v>
      </c>
      <c r="AX154" s="2869"/>
      <c r="AY154" s="2870"/>
      <c r="AZ154" s="2870"/>
      <c r="BA154" s="2870"/>
      <c r="BB154" s="2870"/>
      <c r="BC154" s="2877"/>
      <c r="BD154" s="2875">
        <v>0</v>
      </c>
      <c r="BE154" s="2869"/>
      <c r="BF154" s="2870"/>
      <c r="BG154" s="2870"/>
      <c r="BH154" s="2870"/>
      <c r="BI154" s="2870"/>
      <c r="BJ154" s="2877"/>
      <c r="BK154" s="2875"/>
      <c r="BL154" s="2869"/>
      <c r="BM154" s="2870"/>
      <c r="BN154" s="2870"/>
      <c r="BO154" s="2870"/>
      <c r="BP154" s="2870"/>
      <c r="BQ154" s="2877"/>
      <c r="BR154" s="2875"/>
      <c r="BS154" s="2869"/>
      <c r="BT154" s="2870"/>
      <c r="BU154" s="2870"/>
      <c r="BV154" s="2870"/>
      <c r="BW154" s="2870"/>
      <c r="BX154" s="2877"/>
      <c r="BY154" s="2875"/>
      <c r="BZ154" s="2869"/>
      <c r="CA154" s="2870"/>
      <c r="CB154" s="2870"/>
      <c r="CC154" s="2870"/>
      <c r="CD154" s="2870"/>
      <c r="CE154" s="2877"/>
      <c r="CF154" s="2875"/>
      <c r="CG154" s="2869"/>
      <c r="CH154" s="2870"/>
      <c r="CI154" s="2870"/>
      <c r="CJ154" s="2870"/>
      <c r="CK154" s="2870"/>
      <c r="CL154" s="2877"/>
      <c r="CM154" s="2875"/>
      <c r="CN154" s="2872"/>
      <c r="CO154" s="2870"/>
      <c r="CP154" s="2870"/>
      <c r="CQ154" s="2870"/>
      <c r="CR154" s="2870"/>
      <c r="CS154" s="2877"/>
      <c r="CT154" s="2875"/>
      <c r="CU154" s="2878"/>
      <c r="CV154" s="2870"/>
      <c r="CW154" s="2870"/>
      <c r="CX154" s="2870"/>
      <c r="CY154" s="2870"/>
      <c r="CZ154" s="2879"/>
      <c r="DA154" s="2875"/>
      <c r="DB154" s="1621"/>
      <c r="DD154" s="1687"/>
      <c r="DJ154" s="1611" t="e">
        <v>#N/A</v>
      </c>
      <c r="DK154" s="2782" t="e">
        <v>#N/A</v>
      </c>
      <c r="DM154" s="1650">
        <v>0</v>
      </c>
    </row>
    <row r="155" spans="1:117" ht="21" customHeight="1">
      <c r="A155" s="1652"/>
      <c r="B155" s="1638" t="s">
        <v>1750</v>
      </c>
      <c r="D155" s="1648"/>
      <c r="E155" s="1648"/>
      <c r="F155" s="1648"/>
      <c r="G155" s="1648"/>
      <c r="H155" s="1648"/>
      <c r="I155" s="1648"/>
      <c r="J155" s="1649"/>
      <c r="K155" s="1648"/>
      <c r="L155" s="1648"/>
      <c r="M155" s="1648"/>
      <c r="N155" s="1642"/>
      <c r="O155" s="2876"/>
      <c r="P155" s="2870"/>
      <c r="Q155" s="2870"/>
      <c r="R155" s="2870"/>
      <c r="S155" s="2870"/>
      <c r="T155" s="2870"/>
      <c r="U155" s="2875"/>
      <c r="V155" s="2869"/>
      <c r="W155" s="2870"/>
      <c r="X155" s="2870"/>
      <c r="Y155" s="2870"/>
      <c r="Z155" s="2870"/>
      <c r="AA155" s="2877">
        <v>0</v>
      </c>
      <c r="AB155" s="2875"/>
      <c r="AC155" s="2869"/>
      <c r="AD155" s="2870"/>
      <c r="AE155" s="2870"/>
      <c r="AF155" s="2870"/>
      <c r="AG155" s="2870"/>
      <c r="AH155" s="2877">
        <v>0</v>
      </c>
      <c r="AI155" s="2875"/>
      <c r="AJ155" s="2869"/>
      <c r="AK155" s="2870"/>
      <c r="AL155" s="2870"/>
      <c r="AM155" s="2870"/>
      <c r="AN155" s="2870"/>
      <c r="AO155" s="2877">
        <v>0</v>
      </c>
      <c r="AP155" s="2875"/>
      <c r="AQ155" s="2869"/>
      <c r="AR155" s="2870"/>
      <c r="AS155" s="2870"/>
      <c r="AT155" s="2870"/>
      <c r="AU155" s="2870"/>
      <c r="AV155" s="2877">
        <v>0</v>
      </c>
      <c r="AW155" s="2875"/>
      <c r="AX155" s="2869"/>
      <c r="AY155" s="2870"/>
      <c r="AZ155" s="2870"/>
      <c r="BA155" s="2870"/>
      <c r="BB155" s="2870"/>
      <c r="BC155" s="2877">
        <v>0</v>
      </c>
      <c r="BD155" s="2875"/>
      <c r="BE155" s="2869"/>
      <c r="BF155" s="2870"/>
      <c r="BG155" s="2870"/>
      <c r="BH155" s="2870"/>
      <c r="BI155" s="2870"/>
      <c r="BJ155" s="2877">
        <v>0</v>
      </c>
      <c r="BK155" s="2875"/>
      <c r="BL155" s="2869"/>
      <c r="BM155" s="2870"/>
      <c r="BN155" s="2870"/>
      <c r="BO155" s="2870"/>
      <c r="BP155" s="2870"/>
      <c r="BQ155" s="2877">
        <v>0</v>
      </c>
      <c r="BR155" s="2875"/>
      <c r="BS155" s="2869"/>
      <c r="BT155" s="2870"/>
      <c r="BU155" s="2870"/>
      <c r="BV155" s="2870"/>
      <c r="BW155" s="2870"/>
      <c r="BX155" s="2877">
        <v>0</v>
      </c>
      <c r="BY155" s="2875"/>
      <c r="BZ155" s="2869"/>
      <c r="CA155" s="2870"/>
      <c r="CB155" s="2870"/>
      <c r="CC155" s="2870"/>
      <c r="CD155" s="2870"/>
      <c r="CE155" s="2877">
        <v>0</v>
      </c>
      <c r="CF155" s="2875"/>
      <c r="CG155" s="2869"/>
      <c r="CH155" s="2870"/>
      <c r="CI155" s="2870"/>
      <c r="CJ155" s="2870"/>
      <c r="CK155" s="2870"/>
      <c r="CL155" s="2877">
        <v>0</v>
      </c>
      <c r="CM155" s="2875"/>
      <c r="CN155" s="2872"/>
      <c r="CO155" s="2870"/>
      <c r="CP155" s="2870"/>
      <c r="CQ155" s="2870"/>
      <c r="CR155" s="2870"/>
      <c r="CS155" s="2877">
        <v>0</v>
      </c>
      <c r="CT155" s="2875"/>
      <c r="CU155" s="2878"/>
      <c r="CV155" s="2870"/>
      <c r="CW155" s="2870"/>
      <c r="CX155" s="2870"/>
      <c r="CY155" s="2870"/>
      <c r="CZ155" s="2879"/>
      <c r="DA155" s="2875"/>
      <c r="DJ155" s="1611" t="e">
        <v>#N/A</v>
      </c>
      <c r="DK155" s="2782">
        <v>0</v>
      </c>
      <c r="DM155" s="1650">
        <v>0</v>
      </c>
    </row>
    <row r="156" spans="1:117" ht="21" customHeight="1">
      <c r="A156" s="1652">
        <v>1</v>
      </c>
      <c r="B156" s="1644" t="s">
        <v>1764</v>
      </c>
      <c r="C156" s="1645">
        <v>1320</v>
      </c>
      <c r="D156" s="1646">
        <v>77.575757575757578</v>
      </c>
      <c r="E156" s="1646">
        <v>26.62</v>
      </c>
      <c r="F156" s="1641">
        <v>6.25</v>
      </c>
      <c r="G156" s="1648"/>
      <c r="H156" s="1648">
        <v>1024</v>
      </c>
      <c r="I156" s="1648" t="s">
        <v>1649</v>
      </c>
      <c r="J156" s="1649">
        <v>2</v>
      </c>
      <c r="K156" s="1648"/>
      <c r="L156" s="1648"/>
      <c r="M156" s="1648"/>
      <c r="N156" s="1642"/>
      <c r="O156" s="2876">
        <v>0</v>
      </c>
      <c r="P156" s="2870">
        <v>700908860</v>
      </c>
      <c r="Q156" s="2870">
        <v>0</v>
      </c>
      <c r="R156" s="2870"/>
      <c r="S156" s="2870"/>
      <c r="T156" s="2870" t="s">
        <v>1594</v>
      </c>
      <c r="U156" s="2875">
        <v>700908860</v>
      </c>
      <c r="V156" s="2869">
        <v>109.526668</v>
      </c>
      <c r="W156" s="2870">
        <v>700908860</v>
      </c>
      <c r="X156" s="2870">
        <v>328360950</v>
      </c>
      <c r="Y156" s="2870"/>
      <c r="Z156" s="2870"/>
      <c r="AA156" s="2877">
        <v>9.3974356090153321</v>
      </c>
      <c r="AB156" s="2875">
        <v>1029269810</v>
      </c>
      <c r="AC156" s="2869">
        <v>183.91367500000001</v>
      </c>
      <c r="AD156" s="2870">
        <v>678446476</v>
      </c>
      <c r="AE156" s="2870">
        <v>527464420</v>
      </c>
      <c r="AF156" s="2870"/>
      <c r="AG156" s="2870"/>
      <c r="AH156" s="2877">
        <v>6.556939803415923</v>
      </c>
      <c r="AI156" s="2875">
        <v>1205910896</v>
      </c>
      <c r="AJ156" s="2869">
        <v>251.427055</v>
      </c>
      <c r="AK156" s="2870">
        <v>750146918</v>
      </c>
      <c r="AL156" s="2870">
        <v>657733176</v>
      </c>
      <c r="AM156" s="2870">
        <v>-234483502</v>
      </c>
      <c r="AN156" s="2870"/>
      <c r="AO156" s="2877">
        <v>4.6669464111569061</v>
      </c>
      <c r="AP156" s="2875">
        <v>1173396592</v>
      </c>
      <c r="AQ156" s="2869">
        <v>221.04075</v>
      </c>
      <c r="AR156" s="2870">
        <v>681701118</v>
      </c>
      <c r="AS156" s="2870">
        <v>544865449</v>
      </c>
      <c r="AT156" s="2870">
        <v>27879514</v>
      </c>
      <c r="AU156" s="2870"/>
      <c r="AV156" s="2877">
        <v>5.6751801692674313</v>
      </c>
      <c r="AW156" s="2875">
        <v>1254446081</v>
      </c>
      <c r="AX156" s="2869">
        <v>258.19054299999999</v>
      </c>
      <c r="AY156" s="2870">
        <v>723258712</v>
      </c>
      <c r="AZ156" s="2870">
        <v>598743869</v>
      </c>
      <c r="BA156" s="2870">
        <v>4956882</v>
      </c>
      <c r="BB156" s="2870"/>
      <c r="BC156" s="2877">
        <v>5.1394580435891486</v>
      </c>
      <c r="BD156" s="2875">
        <v>1326959463</v>
      </c>
      <c r="BE156" s="2869">
        <v>294.37868100000003</v>
      </c>
      <c r="BF156" s="2870">
        <v>713161839</v>
      </c>
      <c r="BG156" s="2870">
        <v>693382673</v>
      </c>
      <c r="BH156" s="2870">
        <v>18308330</v>
      </c>
      <c r="BI156" s="2870"/>
      <c r="BJ156" s="2877">
        <v>4.8402039072931373</v>
      </c>
      <c r="BK156" s="2875">
        <v>1424852842</v>
      </c>
      <c r="BL156" s="2869">
        <v>293.79963900000001</v>
      </c>
      <c r="BM156" s="2870">
        <v>700908861</v>
      </c>
      <c r="BN156" s="2870">
        <v>727889386</v>
      </c>
      <c r="BO156" s="2870">
        <v>3689972</v>
      </c>
      <c r="BP156" s="2870"/>
      <c r="BQ156" s="2877">
        <v>4.8757317193299885</v>
      </c>
      <c r="BR156" s="2875">
        <v>1432488219</v>
      </c>
      <c r="BS156" s="2869">
        <v>250.72769299999999</v>
      </c>
      <c r="BT156" s="2870">
        <v>700908861</v>
      </c>
      <c r="BU156" s="2870">
        <v>641590822.16999996</v>
      </c>
      <c r="BV156" s="2870">
        <v>18324933</v>
      </c>
      <c r="BW156" s="2870"/>
      <c r="BX156" s="2877">
        <v>5.4275002489254351</v>
      </c>
      <c r="BY156" s="2875">
        <v>1360824616.1700001</v>
      </c>
      <c r="BZ156" s="2869">
        <v>356.612435</v>
      </c>
      <c r="CA156" s="2870">
        <v>716153355</v>
      </c>
      <c r="CB156" s="2870">
        <v>827195818</v>
      </c>
      <c r="CC156" s="2870">
        <v>31458242</v>
      </c>
      <c r="CD156" s="2870"/>
      <c r="CE156" s="2877">
        <v>4.4160193544568909</v>
      </c>
      <c r="CF156" s="2875">
        <v>1574807415</v>
      </c>
      <c r="CG156" s="2869">
        <v>455.150915</v>
      </c>
      <c r="CH156" s="2870">
        <v>1173194695</v>
      </c>
      <c r="CI156" s="2870">
        <v>1165641494</v>
      </c>
      <c r="CJ156" s="2870">
        <v>19230801</v>
      </c>
      <c r="CK156" s="2870"/>
      <c r="CL156" s="2877">
        <v>5.1808464232132767</v>
      </c>
      <c r="CM156" s="2875">
        <v>2358066990</v>
      </c>
      <c r="CN156" s="2872">
        <v>463.21699000000001</v>
      </c>
      <c r="CO156" s="2870">
        <v>1173194694</v>
      </c>
      <c r="CP156" s="2870">
        <v>1146925268</v>
      </c>
      <c r="CQ156" s="2870">
        <v>162044686.85000229</v>
      </c>
      <c r="CR156" s="2870"/>
      <c r="CS156" s="2877">
        <v>5.3585354217037731</v>
      </c>
      <c r="CT156" s="2875">
        <v>2482164648.8500023</v>
      </c>
      <c r="CU156" s="2878">
        <v>3137.985044</v>
      </c>
      <c r="CV156" s="2870">
        <v>9412893249</v>
      </c>
      <c r="CW156" s="2870">
        <v>7859793325.1700001</v>
      </c>
      <c r="CX156" s="2870">
        <v>51409858.850002289</v>
      </c>
      <c r="CY156" s="2870">
        <v>0</v>
      </c>
      <c r="CZ156" s="2879">
        <v>5.5207708736995498</v>
      </c>
      <c r="DA156" s="2875">
        <v>17324096433.02</v>
      </c>
      <c r="DJ156" s="1611" t="e">
        <v>#N/A</v>
      </c>
      <c r="DK156" s="2782" t="s">
        <v>1649</v>
      </c>
      <c r="DM156" s="1650">
        <v>2.5047261905210023</v>
      </c>
    </row>
    <row r="157" spans="1:117" s="1677" customFormat="1" ht="21" customHeight="1">
      <c r="A157" s="1652">
        <v>2</v>
      </c>
      <c r="B157" s="1644" t="s">
        <v>1765</v>
      </c>
      <c r="C157" s="1645">
        <v>1200</v>
      </c>
      <c r="D157" s="1646">
        <v>91.666666666666657</v>
      </c>
      <c r="E157" s="1646">
        <v>81.25</v>
      </c>
      <c r="F157" s="1651">
        <v>7.5</v>
      </c>
      <c r="G157" s="1648"/>
      <c r="H157" s="1648">
        <v>1100</v>
      </c>
      <c r="I157" s="1648" t="s">
        <v>1649</v>
      </c>
      <c r="J157" s="1649">
        <v>2</v>
      </c>
      <c r="K157" s="1648"/>
      <c r="L157" s="1648"/>
      <c r="M157" s="1648"/>
      <c r="N157" s="1642"/>
      <c r="O157" s="2876">
        <v>607.60335999999995</v>
      </c>
      <c r="P157" s="2870">
        <v>455295662</v>
      </c>
      <c r="Q157" s="2870">
        <v>1325747026</v>
      </c>
      <c r="R157" s="2870">
        <v>81428477</v>
      </c>
      <c r="S157" s="2870"/>
      <c r="T157" s="2870">
        <v>3.0652746308052015</v>
      </c>
      <c r="U157" s="2875">
        <v>1862471165</v>
      </c>
      <c r="V157" s="2869">
        <v>630.74973</v>
      </c>
      <c r="W157" s="2870">
        <v>470508796</v>
      </c>
      <c r="X157" s="2870">
        <v>1263557809</v>
      </c>
      <c r="Y157" s="2870">
        <v>84027069.5</v>
      </c>
      <c r="Z157" s="2870"/>
      <c r="AA157" s="2877">
        <v>2.8824327431737466</v>
      </c>
      <c r="AB157" s="2875">
        <v>1818093674.5</v>
      </c>
      <c r="AC157" s="2869">
        <v>612.47801300000003</v>
      </c>
      <c r="AD157" s="2870">
        <v>457847327</v>
      </c>
      <c r="AE157" s="2870">
        <v>1146654162</v>
      </c>
      <c r="AF157" s="2870">
        <v>81101737</v>
      </c>
      <c r="AG157" s="2870"/>
      <c r="AH157" s="2877">
        <v>2.7521040596113613</v>
      </c>
      <c r="AI157" s="2875">
        <v>1685603226</v>
      </c>
      <c r="AJ157" s="2869">
        <v>673.41768000000002</v>
      </c>
      <c r="AK157" s="2870">
        <v>470480735</v>
      </c>
      <c r="AL157" s="2870">
        <v>1358574186</v>
      </c>
      <c r="AM157" s="2870">
        <v>84682460</v>
      </c>
      <c r="AN157" s="2870"/>
      <c r="AO157" s="2877">
        <v>2.8418282409811395</v>
      </c>
      <c r="AP157" s="2875">
        <v>1913737381</v>
      </c>
      <c r="AQ157" s="2869">
        <v>618.84599000000003</v>
      </c>
      <c r="AR157" s="2870">
        <v>470576832</v>
      </c>
      <c r="AS157" s="2870">
        <v>1461208158</v>
      </c>
      <c r="AT157" s="2870">
        <v>83857397</v>
      </c>
      <c r="AU157" s="2870"/>
      <c r="AV157" s="2877">
        <v>3.2570985666401424</v>
      </c>
      <c r="AW157" s="2875">
        <v>2015642387</v>
      </c>
      <c r="AX157" s="2869">
        <v>666.47689000000003</v>
      </c>
      <c r="AY157" s="2870">
        <v>455459415</v>
      </c>
      <c r="AZ157" s="2870">
        <v>1231071135</v>
      </c>
      <c r="BA157" s="2870">
        <v>81381441</v>
      </c>
      <c r="BB157" s="2870"/>
      <c r="BC157" s="2877">
        <v>2.6526230954534671</v>
      </c>
      <c r="BD157" s="2875">
        <v>1767911991</v>
      </c>
      <c r="BE157" s="2869">
        <v>676.01424999999995</v>
      </c>
      <c r="BF157" s="2870">
        <v>470709012.67000002</v>
      </c>
      <c r="BG157" s="2870">
        <v>1306157727.29</v>
      </c>
      <c r="BH157" s="2870"/>
      <c r="BI157" s="2870"/>
      <c r="BJ157" s="2877">
        <v>2.6284456872913551</v>
      </c>
      <c r="BK157" s="2875">
        <v>1776866739.96</v>
      </c>
      <c r="BL157" s="2869">
        <v>628.33082000000002</v>
      </c>
      <c r="BM157" s="2870">
        <v>455604148.50999999</v>
      </c>
      <c r="BN157" s="2870">
        <v>1197765410</v>
      </c>
      <c r="BO157" s="2870"/>
      <c r="BP157" s="2894"/>
      <c r="BQ157" s="2877">
        <v>2.6313679130207235</v>
      </c>
      <c r="BR157" s="2875">
        <v>1653369558.51</v>
      </c>
      <c r="BS157" s="2869">
        <v>628.68242000000009</v>
      </c>
      <c r="BT157" s="2870">
        <v>548697406.82999992</v>
      </c>
      <c r="BU157" s="2870">
        <v>1528023824.7799997</v>
      </c>
      <c r="BV157" s="2870"/>
      <c r="BW157" s="2894"/>
      <c r="BX157" s="2877">
        <v>3.3032914004657536</v>
      </c>
      <c r="BY157" s="2897">
        <v>2076721231.6099997</v>
      </c>
      <c r="BZ157" s="2869">
        <v>640.09916999999996</v>
      </c>
      <c r="CA157" s="2870">
        <v>473392471.19999999</v>
      </c>
      <c r="CB157" s="2870">
        <v>1218888901.4400001</v>
      </c>
      <c r="CC157" s="2870">
        <v>84217115</v>
      </c>
      <c r="CD157" s="2870"/>
      <c r="CE157" s="2877">
        <v>2.7753488379620928</v>
      </c>
      <c r="CF157" s="2897">
        <v>1776498487.6400001</v>
      </c>
      <c r="CG157" s="2869">
        <v>561.42710999999997</v>
      </c>
      <c r="CH157" s="2870">
        <v>425255111.01999998</v>
      </c>
      <c r="CI157" s="2870">
        <v>1123589992.78</v>
      </c>
      <c r="CJ157" s="2870"/>
      <c r="CK157" s="2870"/>
      <c r="CL157" s="2877">
        <v>2.7587643635520203</v>
      </c>
      <c r="CM157" s="2897">
        <v>1548845103.8</v>
      </c>
      <c r="CN157" s="2872">
        <v>601.33353</v>
      </c>
      <c r="CO157" s="2870">
        <v>470904674.20999998</v>
      </c>
      <c r="CP157" s="2870">
        <v>1213975081.8799999</v>
      </c>
      <c r="CQ157" s="2870">
        <v>502137</v>
      </c>
      <c r="CR157" s="2870">
        <v>534810883</v>
      </c>
      <c r="CS157" s="2877">
        <v>3.6921153824400914</v>
      </c>
      <c r="CT157" s="2875">
        <v>2220192776.0900002</v>
      </c>
      <c r="CU157" s="2878">
        <v>7545.458963</v>
      </c>
      <c r="CV157" s="2870">
        <v>5624731591.4399996</v>
      </c>
      <c r="CW157" s="2870">
        <v>15375213414.17</v>
      </c>
      <c r="CX157" s="2870">
        <v>581197833.5</v>
      </c>
      <c r="CY157" s="2870">
        <v>534810883</v>
      </c>
      <c r="CZ157" s="2879">
        <v>2.9310282953705067</v>
      </c>
      <c r="DA157" s="2875">
        <v>22115953722.110001</v>
      </c>
      <c r="DB157" s="1676"/>
      <c r="DD157" s="1678"/>
      <c r="DJ157" s="1611" t="s">
        <v>1649</v>
      </c>
      <c r="DK157" s="2782" t="s">
        <v>1649</v>
      </c>
      <c r="DM157" s="1650">
        <v>2.0376776932409379</v>
      </c>
    </row>
    <row r="158" spans="1:117" ht="21" customHeight="1">
      <c r="A158" s="1652">
        <v>3</v>
      </c>
      <c r="B158" s="1644" t="s">
        <v>1780</v>
      </c>
      <c r="C158" s="1645"/>
      <c r="D158" s="1646" t="e">
        <v>#DIV/0!</v>
      </c>
      <c r="E158" s="1646"/>
      <c r="F158" s="1651">
        <v>5.75</v>
      </c>
      <c r="G158" s="1648"/>
      <c r="H158" s="1648"/>
      <c r="I158" s="1648" t="s">
        <v>1649</v>
      </c>
      <c r="J158" s="1649">
        <v>1</v>
      </c>
      <c r="K158" s="1648"/>
      <c r="L158" s="1648"/>
      <c r="M158" s="1648"/>
      <c r="N158" s="1642"/>
      <c r="O158" s="2876">
        <v>0</v>
      </c>
      <c r="P158" s="2870">
        <v>13743842</v>
      </c>
      <c r="Q158" s="2870">
        <v>0</v>
      </c>
      <c r="R158" s="2870"/>
      <c r="S158" s="2870"/>
      <c r="T158" s="2870" t="s">
        <v>1594</v>
      </c>
      <c r="U158" s="2875">
        <v>13743842</v>
      </c>
      <c r="V158" s="2869">
        <v>0</v>
      </c>
      <c r="W158" s="2870">
        <v>13743842</v>
      </c>
      <c r="X158" s="2870">
        <v>0</v>
      </c>
      <c r="Y158" s="2870">
        <v>6396</v>
      </c>
      <c r="Z158" s="2870"/>
      <c r="AA158" s="2877">
        <v>0</v>
      </c>
      <c r="AB158" s="2875">
        <v>13750238</v>
      </c>
      <c r="AC158" s="2869">
        <v>0</v>
      </c>
      <c r="AD158" s="2870">
        <v>19836471</v>
      </c>
      <c r="AE158" s="2870">
        <v>0</v>
      </c>
      <c r="AF158" s="2870">
        <v>-5993616</v>
      </c>
      <c r="AG158" s="2870"/>
      <c r="AH158" s="2877">
        <v>0</v>
      </c>
      <c r="AI158" s="2875">
        <v>13842855</v>
      </c>
      <c r="AJ158" s="2869">
        <v>53.340854</v>
      </c>
      <c r="AK158" s="2870">
        <v>50299625</v>
      </c>
      <c r="AL158" s="2870">
        <v>177625044</v>
      </c>
      <c r="AM158" s="2870">
        <v>48861</v>
      </c>
      <c r="AN158" s="2870"/>
      <c r="AO158" s="2877">
        <v>4.2739010140332585</v>
      </c>
      <c r="AP158" s="2875">
        <v>227973530</v>
      </c>
      <c r="AQ158" s="2869">
        <v>16.993082000000001</v>
      </c>
      <c r="AR158" s="2870">
        <v>50299625</v>
      </c>
      <c r="AS158" s="2870">
        <v>56824866</v>
      </c>
      <c r="AT158" s="2870">
        <v>197654</v>
      </c>
      <c r="AU158" s="2870"/>
      <c r="AV158" s="2877">
        <v>6.3156374458735618</v>
      </c>
      <c r="AW158" s="2875">
        <v>107322145</v>
      </c>
      <c r="AX158" s="2869">
        <v>149.987044</v>
      </c>
      <c r="AY158" s="2870">
        <v>50299625</v>
      </c>
      <c r="AZ158" s="2870">
        <v>499520234</v>
      </c>
      <c r="BA158" s="2870">
        <v>-284028</v>
      </c>
      <c r="BB158" s="2870"/>
      <c r="BC158" s="2877">
        <v>3.6638886689439656</v>
      </c>
      <c r="BD158" s="2875">
        <v>549535831</v>
      </c>
      <c r="BE158" s="2869">
        <v>4.403041</v>
      </c>
      <c r="BF158" s="2870">
        <v>33022638</v>
      </c>
      <c r="BG158" s="2870">
        <v>15090329</v>
      </c>
      <c r="BH158" s="2870">
        <v>-83576</v>
      </c>
      <c r="BI158" s="2870"/>
      <c r="BJ158" s="2877">
        <v>10.908231606292105</v>
      </c>
      <c r="BK158" s="2875">
        <v>48029391</v>
      </c>
      <c r="BL158" s="2869">
        <v>0.66588999999999998</v>
      </c>
      <c r="BM158" s="2870">
        <v>13743841</v>
      </c>
      <c r="BN158" s="2870">
        <v>2185450</v>
      </c>
      <c r="BO158" s="2870">
        <v>7666917</v>
      </c>
      <c r="BP158" s="2870"/>
      <c r="BQ158" s="2877">
        <v>35.435594467554701</v>
      </c>
      <c r="BR158" s="2875">
        <v>23596208</v>
      </c>
      <c r="BS158" s="2869">
        <v>0.86589899999999997</v>
      </c>
      <c r="BT158" s="2870">
        <v>13743841</v>
      </c>
      <c r="BU158" s="2870">
        <v>2736243</v>
      </c>
      <c r="BV158" s="2870">
        <v>206315</v>
      </c>
      <c r="BW158" s="2870"/>
      <c r="BX158" s="2877">
        <v>19.270606618092874</v>
      </c>
      <c r="BY158" s="2897">
        <v>16686399</v>
      </c>
      <c r="BZ158" s="2869">
        <v>2.7389839999999999</v>
      </c>
      <c r="CA158" s="2870">
        <v>13743841</v>
      </c>
      <c r="CB158" s="2870">
        <v>8644235</v>
      </c>
      <c r="CC158" s="2870">
        <v>-139952</v>
      </c>
      <c r="CD158" s="2870"/>
      <c r="CE158" s="2877">
        <v>8.1227652297348207</v>
      </c>
      <c r="CF158" s="2897">
        <v>22248124</v>
      </c>
      <c r="CG158" s="2869">
        <v>2.7400069999999999</v>
      </c>
      <c r="CH158" s="2870">
        <v>13460463</v>
      </c>
      <c r="CI158" s="2870">
        <v>8688562</v>
      </c>
      <c r="CJ158" s="2870">
        <v>-227047</v>
      </c>
      <c r="CK158" s="2870"/>
      <c r="CL158" s="2877">
        <v>8.0007014580619682</v>
      </c>
      <c r="CM158" s="2897">
        <v>21921978</v>
      </c>
      <c r="CN158" s="2872">
        <v>3.9591163000000003</v>
      </c>
      <c r="CO158" s="2870">
        <v>13460463</v>
      </c>
      <c r="CP158" s="2870">
        <v>12922556</v>
      </c>
      <c r="CQ158" s="2870">
        <v>284150203</v>
      </c>
      <c r="CR158" s="2870">
        <v>19954198</v>
      </c>
      <c r="CS158" s="2877">
        <v>83.475047196769637</v>
      </c>
      <c r="CT158" s="2875">
        <v>330487420</v>
      </c>
      <c r="CU158" s="2878">
        <v>235.69391729999998</v>
      </c>
      <c r="CV158" s="2870">
        <v>299398117</v>
      </c>
      <c r="CW158" s="2870">
        <v>784237519</v>
      </c>
      <c r="CX158" s="2870">
        <v>285548127</v>
      </c>
      <c r="CY158" s="2870">
        <v>19954198</v>
      </c>
      <c r="CZ158" s="2879">
        <v>5.893821855537551</v>
      </c>
      <c r="DA158" s="2875">
        <v>1389137961</v>
      </c>
      <c r="DB158" s="1611">
        <v>1.2702835967502502</v>
      </c>
      <c r="DJ158" s="1611" t="e">
        <v>#N/A</v>
      </c>
      <c r="DK158" s="2782" t="s">
        <v>1649</v>
      </c>
      <c r="DM158" s="1650">
        <v>3.3273557840773349</v>
      </c>
    </row>
    <row r="159" spans="1:117" ht="21" customHeight="1">
      <c r="A159" s="1652">
        <v>4</v>
      </c>
      <c r="B159" s="1644" t="s">
        <v>1766</v>
      </c>
      <c r="C159" s="1645">
        <v>90</v>
      </c>
      <c r="D159" s="1646">
        <v>100</v>
      </c>
      <c r="E159" s="1646">
        <v>70.97</v>
      </c>
      <c r="F159" s="1651">
        <v>9.75</v>
      </c>
      <c r="G159" s="1648"/>
      <c r="H159" s="1648">
        <v>90</v>
      </c>
      <c r="I159" s="1648" t="s">
        <v>1649</v>
      </c>
      <c r="J159" s="1649">
        <v>2</v>
      </c>
      <c r="K159" s="1648"/>
      <c r="L159" s="1648"/>
      <c r="M159" s="1648"/>
      <c r="N159" s="1642"/>
      <c r="O159" s="2876">
        <v>0</v>
      </c>
      <c r="P159" s="2870">
        <v>92250000</v>
      </c>
      <c r="Q159" s="2870">
        <v>0</v>
      </c>
      <c r="R159" s="2870"/>
      <c r="S159" s="2870"/>
      <c r="T159" s="2870" t="s">
        <v>1594</v>
      </c>
      <c r="U159" s="2875">
        <v>92250000</v>
      </c>
      <c r="V159" s="2869">
        <v>4.3152799999999996</v>
      </c>
      <c r="W159" s="2870">
        <v>92250000</v>
      </c>
      <c r="X159" s="2870">
        <v>14611943</v>
      </c>
      <c r="Y159" s="2870"/>
      <c r="Z159" s="2870"/>
      <c r="AA159" s="2877">
        <v>24.763617424593537</v>
      </c>
      <c r="AB159" s="2875">
        <v>106861943</v>
      </c>
      <c r="AC159" s="2869">
        <v>13.875427999999999</v>
      </c>
      <c r="AD159" s="2870">
        <v>92250000</v>
      </c>
      <c r="AE159" s="2870">
        <v>47390936</v>
      </c>
      <c r="AF159" s="2870"/>
      <c r="AG159" s="2898">
        <v>0</v>
      </c>
      <c r="AH159" s="2877">
        <v>10.063901163985717</v>
      </c>
      <c r="AI159" s="2875">
        <v>139640936</v>
      </c>
      <c r="AJ159" s="2869">
        <v>34.505822000000002</v>
      </c>
      <c r="AK159" s="2870">
        <v>92250000</v>
      </c>
      <c r="AL159" s="2870">
        <v>117750825</v>
      </c>
      <c r="AM159" s="2870"/>
      <c r="AN159" s="2870">
        <v>12111836</v>
      </c>
      <c r="AO159" s="2877">
        <v>6.4369618842872374</v>
      </c>
      <c r="AP159" s="2875">
        <v>222112661</v>
      </c>
      <c r="AQ159" s="2869">
        <v>19.64969</v>
      </c>
      <c r="AR159" s="2870">
        <v>92250000</v>
      </c>
      <c r="AS159" s="2870">
        <v>67376307</v>
      </c>
      <c r="AT159" s="2870"/>
      <c r="AU159" s="2870"/>
      <c r="AV159" s="2877">
        <v>8.1236043418496671</v>
      </c>
      <c r="AW159" s="2875">
        <v>159626307</v>
      </c>
      <c r="AX159" s="2869">
        <v>42.097619999999999</v>
      </c>
      <c r="AY159" s="2870">
        <v>92250000</v>
      </c>
      <c r="AZ159" s="2870">
        <v>144706976</v>
      </c>
      <c r="BA159" s="2870"/>
      <c r="BB159" s="2870"/>
      <c r="BC159" s="2877">
        <v>5.6287499388326463</v>
      </c>
      <c r="BD159" s="2875">
        <v>236956976</v>
      </c>
      <c r="BE159" s="2869">
        <v>20.614809999999999</v>
      </c>
      <c r="BF159" s="2870">
        <v>92250000</v>
      </c>
      <c r="BG159" s="2870">
        <v>71406014</v>
      </c>
      <c r="BH159" s="2870"/>
      <c r="BI159" s="2870"/>
      <c r="BJ159" s="2877">
        <v>7.9387592706408645</v>
      </c>
      <c r="BK159" s="2875">
        <v>163656014</v>
      </c>
      <c r="BL159" s="2869">
        <v>0</v>
      </c>
      <c r="BM159" s="2870">
        <v>92250000</v>
      </c>
      <c r="BN159" s="2870">
        <v>1014726</v>
      </c>
      <c r="BO159" s="2870"/>
      <c r="BP159" s="2870"/>
      <c r="BQ159" s="2877">
        <v>0</v>
      </c>
      <c r="BR159" s="2875">
        <v>93264726</v>
      </c>
      <c r="BS159" s="2869">
        <v>11.2903</v>
      </c>
      <c r="BT159" s="2870">
        <v>92250000</v>
      </c>
      <c r="BU159" s="2870">
        <v>39138768</v>
      </c>
      <c r="BV159" s="2870"/>
      <c r="BW159" s="2870"/>
      <c r="BX159" s="2877">
        <v>11.63731415462831</v>
      </c>
      <c r="BY159" s="2897">
        <v>131388768</v>
      </c>
      <c r="BZ159" s="2869">
        <v>16.554497999999999</v>
      </c>
      <c r="CA159" s="2870">
        <v>92250000</v>
      </c>
      <c r="CB159" s="2870">
        <v>55342107</v>
      </c>
      <c r="CC159" s="2870"/>
      <c r="CD159" s="2870"/>
      <c r="CE159" s="2877">
        <v>8.9155290000337075</v>
      </c>
      <c r="CF159" s="2897">
        <v>147592107</v>
      </c>
      <c r="CG159" s="2869">
        <v>5.8823470000000002</v>
      </c>
      <c r="CH159" s="2870">
        <v>92250000</v>
      </c>
      <c r="CI159" s="2870">
        <v>20110362</v>
      </c>
      <c r="CJ159" s="2870">
        <v>164250778</v>
      </c>
      <c r="CK159" s="2898"/>
      <c r="CL159" s="2877">
        <v>47.023941294180709</v>
      </c>
      <c r="CM159" s="2897">
        <v>276611140</v>
      </c>
      <c r="CN159" s="2872">
        <v>0.86004599999999998</v>
      </c>
      <c r="CO159" s="2870">
        <v>92250000</v>
      </c>
      <c r="CP159" s="2870">
        <v>2953844</v>
      </c>
      <c r="CQ159" s="2870">
        <v>-259073183</v>
      </c>
      <c r="CR159" s="2894">
        <v>708546699</v>
      </c>
      <c r="CS159" s="2877">
        <v>633.31189261969712</v>
      </c>
      <c r="CT159" s="2875">
        <v>544677360</v>
      </c>
      <c r="CU159" s="2878">
        <v>169.64584100000002</v>
      </c>
      <c r="CV159" s="2870">
        <v>1107000000</v>
      </c>
      <c r="CW159" s="2870">
        <v>581802808</v>
      </c>
      <c r="CX159" s="2870">
        <v>-94822405</v>
      </c>
      <c r="CY159" s="2870">
        <v>720658535</v>
      </c>
      <c r="CZ159" s="2879">
        <v>13.643947439890376</v>
      </c>
      <c r="DA159" s="2875">
        <v>2314638938</v>
      </c>
      <c r="DJ159" s="1611" t="s">
        <v>1649</v>
      </c>
      <c r="DK159" s="2782" t="s">
        <v>1649</v>
      </c>
      <c r="DM159" s="1650">
        <v>3.4295141252534442</v>
      </c>
    </row>
    <row r="160" spans="1:117" ht="21" customHeight="1">
      <c r="A160" s="1652">
        <v>5</v>
      </c>
      <c r="B160" s="1644" t="s">
        <v>1767</v>
      </c>
      <c r="C160" s="1688">
        <v>90</v>
      </c>
      <c r="D160" s="1646">
        <v>100</v>
      </c>
      <c r="E160" s="1646">
        <v>68.11</v>
      </c>
      <c r="F160" s="1651">
        <v>9.75</v>
      </c>
      <c r="G160" s="1648"/>
      <c r="H160" s="1648">
        <v>90</v>
      </c>
      <c r="I160" s="1648" t="s">
        <v>1649</v>
      </c>
      <c r="J160" s="1649">
        <v>2</v>
      </c>
      <c r="K160" s="1648"/>
      <c r="L160" s="1648"/>
      <c r="M160" s="1648"/>
      <c r="N160" s="1642"/>
      <c r="O160" s="2876">
        <v>0</v>
      </c>
      <c r="P160" s="2870">
        <v>93225000</v>
      </c>
      <c r="Q160" s="2870">
        <v>0</v>
      </c>
      <c r="R160" s="2870"/>
      <c r="S160" s="2870"/>
      <c r="T160" s="2870" t="s">
        <v>1594</v>
      </c>
      <c r="U160" s="2875">
        <v>93225000</v>
      </c>
      <c r="V160" s="2869">
        <v>7.0770650000000002</v>
      </c>
      <c r="W160" s="2870">
        <v>93225000</v>
      </c>
      <c r="X160" s="2870">
        <v>23921584</v>
      </c>
      <c r="Y160" s="2870"/>
      <c r="Z160" s="2870"/>
      <c r="AA160" s="2877">
        <v>16.552989692761052</v>
      </c>
      <c r="AB160" s="2875">
        <v>117146584</v>
      </c>
      <c r="AC160" s="2869">
        <v>13.84281</v>
      </c>
      <c r="AD160" s="2870">
        <v>93225000</v>
      </c>
      <c r="AE160" s="2870">
        <v>47852310</v>
      </c>
      <c r="AF160" s="2870"/>
      <c r="AG160" s="2870"/>
      <c r="AH160" s="2877">
        <v>10.191378051132682</v>
      </c>
      <c r="AI160" s="2875">
        <v>141077310</v>
      </c>
      <c r="AJ160" s="2869">
        <v>34.495925</v>
      </c>
      <c r="AK160" s="2870">
        <v>93225000</v>
      </c>
      <c r="AL160" s="2870">
        <v>118784333</v>
      </c>
      <c r="AM160" s="2870"/>
      <c r="AN160" s="2870"/>
      <c r="AO160" s="2877">
        <v>6.1459239895726814</v>
      </c>
      <c r="AP160" s="2875">
        <v>212009333</v>
      </c>
      <c r="AQ160" s="2869">
        <v>19.272718000000001</v>
      </c>
      <c r="AR160" s="2870">
        <v>93225000</v>
      </c>
      <c r="AS160" s="2870">
        <v>66341443</v>
      </c>
      <c r="AT160" s="2870"/>
      <c r="AU160" s="2870"/>
      <c r="AV160" s="2877">
        <v>8.2793948938598074</v>
      </c>
      <c r="AW160" s="2875">
        <v>159566443</v>
      </c>
      <c r="AX160" s="2869">
        <v>42.115695000000002</v>
      </c>
      <c r="AY160" s="2870">
        <v>93225000</v>
      </c>
      <c r="AZ160" s="2870">
        <v>144418986</v>
      </c>
      <c r="BA160" s="2870"/>
      <c r="BB160" s="2870"/>
      <c r="BC160" s="2877">
        <v>5.6426466665218271</v>
      </c>
      <c r="BD160" s="2875">
        <v>237643986</v>
      </c>
      <c r="BE160" s="2869">
        <v>20.741980000000002</v>
      </c>
      <c r="BF160" s="2870">
        <v>93225000</v>
      </c>
      <c r="BG160" s="2870">
        <v>72354192</v>
      </c>
      <c r="BH160" s="2870"/>
      <c r="BI160" s="2870"/>
      <c r="BJ160" s="2877">
        <v>7.9828054988000181</v>
      </c>
      <c r="BK160" s="2875">
        <v>165579192</v>
      </c>
      <c r="BL160" s="2869">
        <v>0</v>
      </c>
      <c r="BM160" s="2870">
        <v>93225000</v>
      </c>
      <c r="BN160" s="2870">
        <v>-2740665</v>
      </c>
      <c r="BO160" s="2870"/>
      <c r="BP160" s="2870"/>
      <c r="BQ160" s="2877">
        <v>0</v>
      </c>
      <c r="BR160" s="2875">
        <v>90484335</v>
      </c>
      <c r="BS160" s="2869">
        <v>10.817527999999999</v>
      </c>
      <c r="BT160" s="2870">
        <v>93225000</v>
      </c>
      <c r="BU160" s="2870">
        <v>37806988</v>
      </c>
      <c r="BV160" s="2870"/>
      <c r="BW160" s="2870"/>
      <c r="BX160" s="2877">
        <v>12.112932640433193</v>
      </c>
      <c r="BY160" s="2897">
        <v>131031988</v>
      </c>
      <c r="BZ160" s="2869">
        <v>17.088842</v>
      </c>
      <c r="CA160" s="2870">
        <v>93225000</v>
      </c>
      <c r="CB160" s="2870">
        <v>59020750</v>
      </c>
      <c r="CC160" s="2870"/>
      <c r="CD160" s="2870"/>
      <c r="CE160" s="2877">
        <v>8.9090735346490995</v>
      </c>
      <c r="CF160" s="2897">
        <v>152245750</v>
      </c>
      <c r="CG160" s="2869">
        <v>5.9624180000000004</v>
      </c>
      <c r="CH160" s="2870">
        <v>93225000</v>
      </c>
      <c r="CI160" s="2870">
        <v>20306411</v>
      </c>
      <c r="CJ160" s="2870"/>
      <c r="CK160" s="2870"/>
      <c r="CL160" s="2877">
        <v>19.041169371218189</v>
      </c>
      <c r="CM160" s="2897">
        <v>113531411</v>
      </c>
      <c r="CN160" s="2872">
        <v>0.85995999999999995</v>
      </c>
      <c r="CO160" s="2870">
        <v>93225000</v>
      </c>
      <c r="CP160" s="2870">
        <v>2942916</v>
      </c>
      <c r="CQ160" s="2870"/>
      <c r="CR160" s="2870"/>
      <c r="CS160" s="2877">
        <v>111.82835945857947</v>
      </c>
      <c r="CT160" s="2875">
        <v>96167916</v>
      </c>
      <c r="CU160" s="2878">
        <v>172.27494100000004</v>
      </c>
      <c r="CV160" s="2870">
        <v>1118700000</v>
      </c>
      <c r="CW160" s="2870">
        <v>591009248</v>
      </c>
      <c r="CX160" s="2870">
        <v>0</v>
      </c>
      <c r="CY160" s="2870">
        <v>0</v>
      </c>
      <c r="CZ160" s="2879">
        <v>9.9243061009087779</v>
      </c>
      <c r="DA160" s="2875">
        <v>1709709248</v>
      </c>
      <c r="DJ160" s="1611" t="e">
        <v>#N/A</v>
      </c>
      <c r="DK160" s="2782" t="s">
        <v>1649</v>
      </c>
      <c r="DM160" s="1650">
        <v>3.4306164586061296</v>
      </c>
    </row>
    <row r="161" spans="1:117" ht="21" customHeight="1">
      <c r="A161" s="1652">
        <v>6</v>
      </c>
      <c r="B161" s="1644" t="s">
        <v>1768</v>
      </c>
      <c r="C161" s="1645">
        <v>90</v>
      </c>
      <c r="D161" s="1646">
        <v>100</v>
      </c>
      <c r="E161" s="1646">
        <v>68.2</v>
      </c>
      <c r="F161" s="1651">
        <v>9.75</v>
      </c>
      <c r="G161" s="1648"/>
      <c r="H161" s="1648">
        <v>90</v>
      </c>
      <c r="I161" s="1648" t="s">
        <v>1649</v>
      </c>
      <c r="J161" s="1649">
        <v>2</v>
      </c>
      <c r="K161" s="1648"/>
      <c r="L161" s="1648"/>
      <c r="M161" s="1648"/>
      <c r="N161" s="1642"/>
      <c r="O161" s="2876">
        <v>0</v>
      </c>
      <c r="P161" s="2870">
        <v>92808333</v>
      </c>
      <c r="Q161" s="2870">
        <v>0</v>
      </c>
      <c r="R161" s="2870"/>
      <c r="S161" s="2870"/>
      <c r="T161" s="2870" t="s">
        <v>1594</v>
      </c>
      <c r="U161" s="2875">
        <v>92808333</v>
      </c>
      <c r="V161" s="2869">
        <v>4.7377950000000002</v>
      </c>
      <c r="W161" s="2870">
        <v>92808334</v>
      </c>
      <c r="X161" s="2870">
        <v>15219362</v>
      </c>
      <c r="Y161" s="2870"/>
      <c r="Z161" s="2870"/>
      <c r="AA161" s="2877">
        <v>22.801260079847271</v>
      </c>
      <c r="AB161" s="2875">
        <v>108027696</v>
      </c>
      <c r="AC161" s="2869">
        <v>20.944814999999998</v>
      </c>
      <c r="AD161" s="2870">
        <v>92808333</v>
      </c>
      <c r="AE161" s="2870">
        <v>66839459</v>
      </c>
      <c r="AF161" s="2870"/>
      <c r="AG161" s="2870"/>
      <c r="AH161" s="2877">
        <v>7.6223061411619053</v>
      </c>
      <c r="AI161" s="2875">
        <v>159647792</v>
      </c>
      <c r="AJ161" s="2869">
        <v>40.535649999999997</v>
      </c>
      <c r="AK161" s="2870">
        <v>92808333</v>
      </c>
      <c r="AL161" s="2870">
        <v>129386243</v>
      </c>
      <c r="AM161" s="2870"/>
      <c r="AN161" s="2870"/>
      <c r="AO161" s="2877">
        <v>5.4814607882197519</v>
      </c>
      <c r="AP161" s="2875">
        <v>222194576</v>
      </c>
      <c r="AQ161" s="2869">
        <v>39.292482999999997</v>
      </c>
      <c r="AR161" s="2870">
        <v>92808334</v>
      </c>
      <c r="AS161" s="2870">
        <v>126116293</v>
      </c>
      <c r="AT161" s="2870"/>
      <c r="AU161" s="2870"/>
      <c r="AV161" s="2877">
        <v>5.57166690127473</v>
      </c>
      <c r="AW161" s="2875">
        <v>218924627</v>
      </c>
      <c r="AX161" s="2869">
        <v>43.855080000000001</v>
      </c>
      <c r="AY161" s="2870">
        <v>92808333</v>
      </c>
      <c r="AZ161" s="2870">
        <v>141051889</v>
      </c>
      <c r="BA161" s="2870"/>
      <c r="BB161" s="2870"/>
      <c r="BC161" s="2877">
        <v>5.3325685872651469</v>
      </c>
      <c r="BD161" s="2875">
        <v>233860222</v>
      </c>
      <c r="BE161" s="2869">
        <v>27.686005000000002</v>
      </c>
      <c r="BF161" s="2870">
        <v>92808333</v>
      </c>
      <c r="BG161" s="2870">
        <v>87422051</v>
      </c>
      <c r="BH161" s="2870"/>
      <c r="BI161" s="2870"/>
      <c r="BJ161" s="2877">
        <v>6.5098010348549744</v>
      </c>
      <c r="BK161" s="2875">
        <v>180230384</v>
      </c>
      <c r="BL161" s="2869">
        <v>0</v>
      </c>
      <c r="BM161" s="2870">
        <v>92808334</v>
      </c>
      <c r="BN161" s="2870">
        <v>-10244600</v>
      </c>
      <c r="BO161" s="2870"/>
      <c r="BP161" s="2870"/>
      <c r="BQ161" s="2877">
        <v>0</v>
      </c>
      <c r="BR161" s="2875">
        <v>82563734</v>
      </c>
      <c r="BS161" s="2869">
        <v>12.48329</v>
      </c>
      <c r="BT161" s="2870">
        <v>92808333</v>
      </c>
      <c r="BU161" s="2870">
        <v>39504185</v>
      </c>
      <c r="BV161" s="2870"/>
      <c r="BW161" s="2870"/>
      <c r="BX161" s="2877">
        <v>10.599170411005431</v>
      </c>
      <c r="BY161" s="2897">
        <v>132312518</v>
      </c>
      <c r="BZ161" s="2869">
        <v>27.153144999999999</v>
      </c>
      <c r="CA161" s="2870">
        <v>92808333</v>
      </c>
      <c r="CB161" s="2870">
        <v>87820833</v>
      </c>
      <c r="CC161" s="2870"/>
      <c r="CD161" s="2870"/>
      <c r="CE161" s="2877">
        <v>6.6522373743446659</v>
      </c>
      <c r="CF161" s="2897">
        <v>180629166</v>
      </c>
      <c r="CG161" s="2869">
        <v>9.0280050000000003</v>
      </c>
      <c r="CH161" s="2870">
        <v>92808334</v>
      </c>
      <c r="CI161" s="2870">
        <v>29054616</v>
      </c>
      <c r="CJ161" s="2870"/>
      <c r="CK161" s="2870"/>
      <c r="CL161" s="2877">
        <v>13.498325488300017</v>
      </c>
      <c r="CM161" s="2897">
        <v>121862950</v>
      </c>
      <c r="CN161" s="2872">
        <v>1.0726720000000001</v>
      </c>
      <c r="CO161" s="2870">
        <v>92808333</v>
      </c>
      <c r="CP161" s="2870">
        <v>3307110</v>
      </c>
      <c r="CQ161" s="2870"/>
      <c r="CR161" s="2870"/>
      <c r="CS161" s="2877">
        <v>89.603758651293219</v>
      </c>
      <c r="CT161" s="2875">
        <v>96115443</v>
      </c>
      <c r="CU161" s="2878">
        <v>226.78894</v>
      </c>
      <c r="CV161" s="2870">
        <v>1113700000</v>
      </c>
      <c r="CW161" s="2870">
        <v>715477441</v>
      </c>
      <c r="CX161" s="2870">
        <v>0</v>
      </c>
      <c r="CY161" s="2870">
        <v>0</v>
      </c>
      <c r="CZ161" s="2879">
        <v>8.0655495854427475</v>
      </c>
      <c r="DA161" s="2875">
        <v>1829177441</v>
      </c>
      <c r="DJ161" s="1611" t="s">
        <v>1649</v>
      </c>
      <c r="DK161" s="2782" t="s">
        <v>1649</v>
      </c>
      <c r="DM161" s="1650">
        <v>3.1548162842508987</v>
      </c>
    </row>
    <row r="162" spans="1:117" ht="21" customHeight="1">
      <c r="A162" s="1652">
        <v>7</v>
      </c>
      <c r="B162" s="1644" t="s">
        <v>1769</v>
      </c>
      <c r="C162" s="1645">
        <v>90</v>
      </c>
      <c r="D162" s="1646">
        <v>100</v>
      </c>
      <c r="E162" s="1646">
        <v>66</v>
      </c>
      <c r="F162" s="1651">
        <v>9.75</v>
      </c>
      <c r="G162" s="1648"/>
      <c r="H162" s="1648">
        <v>90</v>
      </c>
      <c r="I162" s="1648" t="s">
        <v>1649</v>
      </c>
      <c r="J162" s="1649">
        <v>2</v>
      </c>
      <c r="K162" s="1648"/>
      <c r="L162" s="1648"/>
      <c r="M162" s="1648"/>
      <c r="N162" s="1642"/>
      <c r="O162" s="2876">
        <v>0</v>
      </c>
      <c r="P162" s="2870">
        <v>91983333</v>
      </c>
      <c r="Q162" s="2870">
        <v>0</v>
      </c>
      <c r="R162" s="2870"/>
      <c r="S162" s="2870"/>
      <c r="T162" s="2870" t="s">
        <v>1594</v>
      </c>
      <c r="U162" s="2875">
        <v>91983333</v>
      </c>
      <c r="V162" s="2869">
        <v>4.4052199999999999</v>
      </c>
      <c r="W162" s="2870">
        <v>91983334</v>
      </c>
      <c r="X162" s="2870">
        <v>14929338</v>
      </c>
      <c r="Y162" s="2870"/>
      <c r="Z162" s="2870"/>
      <c r="AA162" s="2877">
        <v>24.269542043303172</v>
      </c>
      <c r="AB162" s="2875">
        <v>106912672</v>
      </c>
      <c r="AC162" s="2869">
        <v>13.89617</v>
      </c>
      <c r="AD162" s="2870">
        <v>91983333</v>
      </c>
      <c r="AE162" s="2870">
        <v>48131525</v>
      </c>
      <c r="AF162" s="2870"/>
      <c r="AG162" s="2870"/>
      <c r="AH162" s="2877">
        <v>10.082983872534662</v>
      </c>
      <c r="AI162" s="2875">
        <v>140114858</v>
      </c>
      <c r="AJ162" s="2869">
        <v>34.402740000000001</v>
      </c>
      <c r="AK162" s="2870">
        <v>91983333</v>
      </c>
      <c r="AL162" s="2870">
        <v>114912000</v>
      </c>
      <c r="AM162" s="2870"/>
      <c r="AN162" s="2870"/>
      <c r="AO162" s="2877">
        <v>6.0139201993794682</v>
      </c>
      <c r="AP162" s="2875">
        <v>206895333</v>
      </c>
      <c r="AQ162" s="2869">
        <v>18.373284999999999</v>
      </c>
      <c r="AR162" s="2870">
        <v>91983334</v>
      </c>
      <c r="AS162" s="2870">
        <v>61008022</v>
      </c>
      <c r="AT162" s="2870"/>
      <c r="AU162" s="2870"/>
      <c r="AV162" s="2877">
        <v>8.3268373619633067</v>
      </c>
      <c r="AW162" s="2875">
        <v>152991356</v>
      </c>
      <c r="AX162" s="2869">
        <v>42.318393</v>
      </c>
      <c r="AY162" s="2870">
        <v>91983333</v>
      </c>
      <c r="AZ162" s="2870">
        <v>138114436</v>
      </c>
      <c r="BA162" s="2870"/>
      <c r="BB162" s="2870"/>
      <c r="BC162" s="2877">
        <v>5.4372993086008723</v>
      </c>
      <c r="BD162" s="2875">
        <v>230097769</v>
      </c>
      <c r="BE162" s="2869">
        <v>25.667335000000001</v>
      </c>
      <c r="BF162" s="2870">
        <v>91983333</v>
      </c>
      <c r="BG162" s="2870">
        <v>83428240</v>
      </c>
      <c r="BH162" s="2870"/>
      <c r="BI162" s="2870"/>
      <c r="BJ162" s="2877">
        <v>6.8340391785902197</v>
      </c>
      <c r="BK162" s="2875">
        <v>175411573</v>
      </c>
      <c r="BL162" s="2869">
        <v>0</v>
      </c>
      <c r="BM162" s="2870">
        <v>91983334</v>
      </c>
      <c r="BN162" s="2870">
        <v>-1129315</v>
      </c>
      <c r="BO162" s="2870"/>
      <c r="BP162" s="2870"/>
      <c r="BQ162" s="2877">
        <v>0</v>
      </c>
      <c r="BR162" s="2875">
        <v>90854019</v>
      </c>
      <c r="BS162" s="2869">
        <v>12.314920000000001</v>
      </c>
      <c r="BT162" s="2870">
        <v>91983334</v>
      </c>
      <c r="BU162" s="2870">
        <v>41719528</v>
      </c>
      <c r="BV162" s="2870"/>
      <c r="BW162" s="2870"/>
      <c r="BX162" s="2877">
        <v>10.85698177495266</v>
      </c>
      <c r="BY162" s="2897">
        <v>133702862</v>
      </c>
      <c r="BZ162" s="2869">
        <v>20.163225000000001</v>
      </c>
      <c r="CA162" s="2870">
        <v>91983333</v>
      </c>
      <c r="CB162" s="2870">
        <v>70075588</v>
      </c>
      <c r="CC162" s="2870"/>
      <c r="CD162" s="2870"/>
      <c r="CE162" s="2877">
        <v>8.0373512173771804</v>
      </c>
      <c r="CF162" s="2897">
        <v>162058921</v>
      </c>
      <c r="CG162" s="2869">
        <v>7.1750819999999997</v>
      </c>
      <c r="CH162" s="2870">
        <v>91983334</v>
      </c>
      <c r="CI162" s="2870">
        <v>24774465</v>
      </c>
      <c r="CJ162" s="2870"/>
      <c r="CK162" s="2870"/>
      <c r="CL162" s="2877">
        <v>16.272677998662594</v>
      </c>
      <c r="CM162" s="2897">
        <v>116757799</v>
      </c>
      <c r="CN162" s="2872">
        <v>0.83981300000000003</v>
      </c>
      <c r="CO162" s="2870">
        <v>91983333</v>
      </c>
      <c r="CP162" s="2870">
        <v>2900782</v>
      </c>
      <c r="CQ162" s="2870"/>
      <c r="CR162" s="2870"/>
      <c r="CS162" s="2877">
        <v>112.98243180327049</v>
      </c>
      <c r="CT162" s="2875">
        <v>94884115</v>
      </c>
      <c r="CU162" s="2878">
        <v>179.556183</v>
      </c>
      <c r="CV162" s="2870">
        <v>1103800001</v>
      </c>
      <c r="CW162" s="2870">
        <v>598864609</v>
      </c>
      <c r="CX162" s="2870">
        <v>0</v>
      </c>
      <c r="CY162" s="2870">
        <v>0</v>
      </c>
      <c r="CZ162" s="2879">
        <v>9.4826286767301138</v>
      </c>
      <c r="DA162" s="2875">
        <v>1702664610</v>
      </c>
      <c r="DJ162" s="1611" t="s">
        <v>1649</v>
      </c>
      <c r="DK162" s="2782" t="s">
        <v>1649</v>
      </c>
      <c r="DM162" s="1650">
        <v>3.3352491626534522</v>
      </c>
    </row>
    <row r="163" spans="1:117" ht="21" customHeight="1">
      <c r="A163" s="1652">
        <v>8</v>
      </c>
      <c r="B163" s="1644" t="s">
        <v>1770</v>
      </c>
      <c r="C163" s="1645">
        <v>90</v>
      </c>
      <c r="D163" s="1646">
        <v>100</v>
      </c>
      <c r="E163" s="1646">
        <v>66.739999999999995</v>
      </c>
      <c r="F163" s="1651">
        <v>9.75</v>
      </c>
      <c r="G163" s="1648"/>
      <c r="H163" s="1648">
        <v>90</v>
      </c>
      <c r="I163" s="1648" t="s">
        <v>1649</v>
      </c>
      <c r="J163" s="1649">
        <v>2</v>
      </c>
      <c r="K163" s="1648"/>
      <c r="L163" s="1648"/>
      <c r="M163" s="1648"/>
      <c r="N163" s="1642"/>
      <c r="O163" s="2876">
        <v>9.4897829999999992</v>
      </c>
      <c r="P163" s="2870">
        <v>95458333</v>
      </c>
      <c r="Q163" s="2870">
        <v>31210868</v>
      </c>
      <c r="R163" s="2870"/>
      <c r="S163" s="2870"/>
      <c r="T163" s="2870">
        <v>13.34795548012004</v>
      </c>
      <c r="U163" s="2875">
        <v>126669201</v>
      </c>
      <c r="V163" s="2869">
        <v>25.485982</v>
      </c>
      <c r="W163" s="2870">
        <v>95458334</v>
      </c>
      <c r="X163" s="2870">
        <v>82934300</v>
      </c>
      <c r="Y163" s="2870"/>
      <c r="Z163" s="2870"/>
      <c r="AA163" s="2877">
        <v>6.9996374477546128</v>
      </c>
      <c r="AB163" s="2875">
        <v>178392634</v>
      </c>
      <c r="AC163" s="2869">
        <v>20.836680000000001</v>
      </c>
      <c r="AD163" s="2870">
        <v>95458333</v>
      </c>
      <c r="AE163" s="2870">
        <v>68268056</v>
      </c>
      <c r="AF163" s="2870"/>
      <c r="AG163" s="2870"/>
      <c r="AH163" s="2877">
        <v>7.8576044264249392</v>
      </c>
      <c r="AI163" s="2875">
        <v>163726389</v>
      </c>
      <c r="AJ163" s="2869">
        <v>40.645105000000001</v>
      </c>
      <c r="AK163" s="2870">
        <v>95458333</v>
      </c>
      <c r="AL163" s="2870">
        <v>135119502</v>
      </c>
      <c r="AM163" s="2870"/>
      <c r="AN163" s="2870"/>
      <c r="AO163" s="2877">
        <v>5.6729545907188577</v>
      </c>
      <c r="AP163" s="2875">
        <v>230577835</v>
      </c>
      <c r="AQ163" s="2869">
        <v>33.223120000000002</v>
      </c>
      <c r="AR163" s="2870">
        <v>95458334</v>
      </c>
      <c r="AS163" s="2870">
        <v>110176875</v>
      </c>
      <c r="AT163" s="2870"/>
      <c r="AU163" s="2870"/>
      <c r="AV163" s="2877">
        <v>6.1895213032370231</v>
      </c>
      <c r="AW163" s="2875">
        <v>205635209</v>
      </c>
      <c r="AX163" s="2869">
        <v>42.459524999999999</v>
      </c>
      <c r="AY163" s="2870">
        <v>95458333</v>
      </c>
      <c r="AZ163" s="2870">
        <v>140860032</v>
      </c>
      <c r="BA163" s="2870"/>
      <c r="BB163" s="2870"/>
      <c r="BC163" s="2877">
        <v>5.5657326595151497</v>
      </c>
      <c r="BD163" s="2875">
        <v>236318365</v>
      </c>
      <c r="BE163" s="2869">
        <v>25.895695</v>
      </c>
      <c r="BF163" s="2870">
        <v>95458333</v>
      </c>
      <c r="BG163" s="2870">
        <v>87044746</v>
      </c>
      <c r="BH163" s="2870"/>
      <c r="BI163" s="2870"/>
      <c r="BJ163" s="2877">
        <v>7.047622355762222</v>
      </c>
      <c r="BK163" s="2875">
        <v>182503079</v>
      </c>
      <c r="BL163" s="2869">
        <v>0</v>
      </c>
      <c r="BM163" s="2870">
        <v>95458334</v>
      </c>
      <c r="BN163" s="2870">
        <v>4540533</v>
      </c>
      <c r="BO163" s="2870"/>
      <c r="BP163" s="2870"/>
      <c r="BQ163" s="2877">
        <v>0</v>
      </c>
      <c r="BR163" s="2875">
        <v>99998867</v>
      </c>
      <c r="BS163" s="2869">
        <v>11.327540000000001</v>
      </c>
      <c r="BT163" s="2870">
        <v>95458333</v>
      </c>
      <c r="BU163" s="2870">
        <v>38219046</v>
      </c>
      <c r="BV163" s="2870"/>
      <c r="BW163" s="2870"/>
      <c r="BX163" s="2877">
        <v>11.801095295183243</v>
      </c>
      <c r="BY163" s="2897">
        <v>133677379</v>
      </c>
      <c r="BZ163" s="2869">
        <v>20.051735000000001</v>
      </c>
      <c r="CA163" s="2870">
        <v>95458333</v>
      </c>
      <c r="CB163" s="2870">
        <v>67232194</v>
      </c>
      <c r="CC163" s="2870"/>
      <c r="CD163" s="2870"/>
      <c r="CE163" s="2877">
        <v>8.1135386538870584</v>
      </c>
      <c r="CF163" s="2897">
        <v>162690527</v>
      </c>
      <c r="CG163" s="2869">
        <v>8.8656649999999999</v>
      </c>
      <c r="CH163" s="2870">
        <v>95458334</v>
      </c>
      <c r="CI163" s="2870">
        <v>30139385</v>
      </c>
      <c r="CJ163" s="2870"/>
      <c r="CK163" s="2870"/>
      <c r="CL163" s="2877">
        <v>14.166756695634225</v>
      </c>
      <c r="CM163" s="2897">
        <v>125597719</v>
      </c>
      <c r="CN163" s="2872">
        <v>0.906115</v>
      </c>
      <c r="CO163" s="2870">
        <v>95458333</v>
      </c>
      <c r="CP163" s="2870">
        <v>3093232</v>
      </c>
      <c r="CQ163" s="2870"/>
      <c r="CR163" s="2870"/>
      <c r="CS163" s="2877">
        <v>108.76275638301982</v>
      </c>
      <c r="CT163" s="2875">
        <v>98551565</v>
      </c>
      <c r="CU163" s="2878">
        <v>239.18694500000001</v>
      </c>
      <c r="CV163" s="2870">
        <v>1145500000</v>
      </c>
      <c r="CW163" s="2870">
        <v>798838769</v>
      </c>
      <c r="CX163" s="2870">
        <v>0</v>
      </c>
      <c r="CY163" s="2870">
        <v>0</v>
      </c>
      <c r="CZ163" s="2879">
        <v>8.1289502192521415</v>
      </c>
      <c r="DA163" s="2875">
        <v>1944338769</v>
      </c>
      <c r="DJ163" s="1611" t="s">
        <v>1649</v>
      </c>
      <c r="DK163" s="2782" t="s">
        <v>1649</v>
      </c>
      <c r="DM163" s="1650">
        <v>3.3398092400068071</v>
      </c>
    </row>
    <row r="164" spans="1:117" ht="21" customHeight="1">
      <c r="A164" s="1652">
        <v>9</v>
      </c>
      <c r="B164" s="1644" t="s">
        <v>1771</v>
      </c>
      <c r="C164" s="1645">
        <v>3600</v>
      </c>
      <c r="D164" s="1646">
        <v>27.777777777777779</v>
      </c>
      <c r="E164" s="1646">
        <v>69.400000000000006</v>
      </c>
      <c r="F164" s="1689" t="s">
        <v>1594</v>
      </c>
      <c r="G164" s="1648"/>
      <c r="H164" s="1648">
        <v>1000</v>
      </c>
      <c r="I164" s="1648" t="s">
        <v>1649</v>
      </c>
      <c r="J164" s="1649">
        <v>1</v>
      </c>
      <c r="K164" s="1648"/>
      <c r="L164" s="1648"/>
      <c r="M164" s="1648"/>
      <c r="N164" s="1642"/>
      <c r="O164" s="2876">
        <v>485.70249999999999</v>
      </c>
      <c r="P164" s="2870">
        <v>1224000000</v>
      </c>
      <c r="Q164" s="2870">
        <v>1433016656</v>
      </c>
      <c r="R164" s="2870">
        <v>-169334702</v>
      </c>
      <c r="S164" s="2870"/>
      <c r="T164" s="2870">
        <v>5.1218224201028404</v>
      </c>
      <c r="U164" s="2875">
        <v>2487681954</v>
      </c>
      <c r="V164" s="2869">
        <v>498.26949999999999</v>
      </c>
      <c r="W164" s="2870">
        <v>1264800000</v>
      </c>
      <c r="X164" s="2870">
        <v>1470094333</v>
      </c>
      <c r="Y164" s="2870">
        <v>-171816184</v>
      </c>
      <c r="Z164" s="2870"/>
      <c r="AA164" s="2877">
        <v>5.143959541974775</v>
      </c>
      <c r="AB164" s="2875">
        <v>2563078149</v>
      </c>
      <c r="AC164" s="2869">
        <v>476.005</v>
      </c>
      <c r="AD164" s="2870">
        <v>1224000000</v>
      </c>
      <c r="AE164" s="2870">
        <v>1404405152</v>
      </c>
      <c r="AF164" s="2870">
        <v>-162681560</v>
      </c>
      <c r="AG164" s="2870"/>
      <c r="AH164" s="2877">
        <v>5.1800371676768098</v>
      </c>
      <c r="AI164" s="2875">
        <v>2465723592</v>
      </c>
      <c r="AJ164" s="2869">
        <v>528.995</v>
      </c>
      <c r="AK164" s="2870">
        <v>1264800000</v>
      </c>
      <c r="AL164" s="2870">
        <v>1381036815</v>
      </c>
      <c r="AM164" s="2870"/>
      <c r="AN164" s="2870"/>
      <c r="AO164" s="2877">
        <v>5.0016291552850216</v>
      </c>
      <c r="AP164" s="2875">
        <v>2645836815</v>
      </c>
      <c r="AQ164" s="2869">
        <v>489.59</v>
      </c>
      <c r="AR164" s="2870">
        <v>1264800000</v>
      </c>
      <c r="AS164" s="2870">
        <v>1444486336</v>
      </c>
      <c r="AT164" s="2870">
        <v>-166434083</v>
      </c>
      <c r="AU164" s="2870"/>
      <c r="AV164" s="2877">
        <v>5.1938402602177334</v>
      </c>
      <c r="AW164" s="2875">
        <v>2542852253</v>
      </c>
      <c r="AX164" s="2869">
        <v>585.42750000000001</v>
      </c>
      <c r="AY164" s="2870">
        <v>1224000000</v>
      </c>
      <c r="AZ164" s="2870">
        <v>1527315257</v>
      </c>
      <c r="BA164" s="2870"/>
      <c r="BB164" s="2870"/>
      <c r="BC164" s="2877">
        <v>4.6996686301890502</v>
      </c>
      <c r="BD164" s="2875">
        <v>2751315257</v>
      </c>
      <c r="BE164" s="2869">
        <v>578.66250000000002</v>
      </c>
      <c r="BF164" s="2870">
        <v>1264800000</v>
      </c>
      <c r="BG164" s="2870">
        <v>1507482181</v>
      </c>
      <c r="BH164" s="2870"/>
      <c r="BI164" s="2870"/>
      <c r="BJ164" s="2877">
        <v>4.7908447169118444</v>
      </c>
      <c r="BK164" s="2875">
        <v>2772282181</v>
      </c>
      <c r="BL164" s="2869">
        <v>28.248750000000001</v>
      </c>
      <c r="BM164" s="2870">
        <v>1224000000</v>
      </c>
      <c r="BN164" s="2870">
        <v>72588641</v>
      </c>
      <c r="BO164" s="2870"/>
      <c r="BP164" s="2870"/>
      <c r="BQ164" s="2877">
        <v>45.898973972299657</v>
      </c>
      <c r="BR164" s="2875">
        <v>1296588641</v>
      </c>
      <c r="BS164" s="2869">
        <v>254.35</v>
      </c>
      <c r="BT164" s="2870">
        <v>1264800000</v>
      </c>
      <c r="BU164" s="2870">
        <v>621253151</v>
      </c>
      <c r="BV164" s="2870">
        <v>64880813</v>
      </c>
      <c r="BW164" s="2870"/>
      <c r="BX164" s="2877">
        <v>7.6702731039905645</v>
      </c>
      <c r="BY164" s="2897">
        <v>1950933964</v>
      </c>
      <c r="BZ164" s="2869">
        <v>327.44150000000002</v>
      </c>
      <c r="CA164" s="2870">
        <v>1264800000</v>
      </c>
      <c r="CB164" s="2870">
        <v>966083402</v>
      </c>
      <c r="CC164" s="2870">
        <v>-222989503</v>
      </c>
      <c r="CD164" s="2870"/>
      <c r="CE164" s="2877">
        <v>6.1320690840959378</v>
      </c>
      <c r="CF164" s="2897">
        <v>2007893899</v>
      </c>
      <c r="CG164" s="2869">
        <v>448.34500000000003</v>
      </c>
      <c r="CH164" s="2870">
        <v>1142400000</v>
      </c>
      <c r="CI164" s="2870">
        <v>1105988484</v>
      </c>
      <c r="CJ164" s="2870"/>
      <c r="CK164" s="2870"/>
      <c r="CL164" s="2877">
        <v>5.0148624028371005</v>
      </c>
      <c r="CM164" s="2897">
        <v>2248388484</v>
      </c>
      <c r="CN164" s="2872">
        <v>490.48500000000001</v>
      </c>
      <c r="CO164" s="2870">
        <v>1264800000</v>
      </c>
      <c r="CP164" s="2870">
        <v>1231064757</v>
      </c>
      <c r="CQ164" s="2870">
        <v>337743910</v>
      </c>
      <c r="CR164" s="2870">
        <v>2018679805</v>
      </c>
      <c r="CS164" s="2877">
        <v>9.8928376443724062</v>
      </c>
      <c r="CT164" s="2875">
        <v>4852288472</v>
      </c>
      <c r="CU164" s="2878">
        <v>5191.52225</v>
      </c>
      <c r="CV164" s="2870">
        <v>14892000000</v>
      </c>
      <c r="CW164" s="2870">
        <v>14164815165</v>
      </c>
      <c r="CX164" s="2870">
        <v>-490631309</v>
      </c>
      <c r="CY164" s="2870">
        <v>2018679805</v>
      </c>
      <c r="CZ164" s="2879">
        <v>5.8913093671128927</v>
      </c>
      <c r="DA164" s="2875">
        <v>30584863661</v>
      </c>
      <c r="DJ164" s="1611" t="s">
        <v>1649</v>
      </c>
      <c r="DK164" s="2782" t="s">
        <v>1649</v>
      </c>
      <c r="DM164" s="1650">
        <v>2.7284512100473037</v>
      </c>
    </row>
    <row r="165" spans="1:117" ht="21" customHeight="1">
      <c r="A165" s="1652">
        <v>10</v>
      </c>
      <c r="B165" s="1644" t="s">
        <v>1772</v>
      </c>
      <c r="C165" s="1645">
        <v>1980</v>
      </c>
      <c r="D165" s="1646">
        <v>100</v>
      </c>
      <c r="E165" s="1646">
        <v>77.930000000000007</v>
      </c>
      <c r="F165" s="1689">
        <v>5.75</v>
      </c>
      <c r="G165" s="1648"/>
      <c r="H165" s="1648">
        <v>1980</v>
      </c>
      <c r="I165" s="1648" t="s">
        <v>1649</v>
      </c>
      <c r="J165" s="1649">
        <v>2</v>
      </c>
      <c r="K165" s="1648"/>
      <c r="L165" s="1648"/>
      <c r="M165" s="1648"/>
      <c r="N165" s="1642"/>
      <c r="O165" s="2876">
        <v>70.283017999999998</v>
      </c>
      <c r="P165" s="2870">
        <v>2597650000</v>
      </c>
      <c r="Q165" s="2870">
        <v>213217614</v>
      </c>
      <c r="R165" s="2870"/>
      <c r="S165" s="2870"/>
      <c r="T165" s="2870">
        <v>39.993553122604951</v>
      </c>
      <c r="U165" s="2875">
        <v>2810867614</v>
      </c>
      <c r="V165" s="2869">
        <v>266.43468200000001</v>
      </c>
      <c r="W165" s="2870">
        <v>2597650000</v>
      </c>
      <c r="X165" s="2870">
        <v>796007248</v>
      </c>
      <c r="Y165" s="2870"/>
      <c r="Z165" s="2870"/>
      <c r="AA165" s="2877">
        <v>12.737295394598815</v>
      </c>
      <c r="AB165" s="2875">
        <v>3393657248</v>
      </c>
      <c r="AC165" s="2869">
        <v>677.62302299999999</v>
      </c>
      <c r="AD165" s="2870">
        <v>2597650000</v>
      </c>
      <c r="AE165" s="2870">
        <v>2088639401</v>
      </c>
      <c r="AF165" s="2870"/>
      <c r="AG165" s="2870"/>
      <c r="AH165" s="2877">
        <v>6.9157765334664552</v>
      </c>
      <c r="AI165" s="2875">
        <v>4686289401</v>
      </c>
      <c r="AJ165" s="2869">
        <v>985.39534000000003</v>
      </c>
      <c r="AK165" s="2870">
        <v>2597650000</v>
      </c>
      <c r="AL165" s="2870">
        <v>2960913202</v>
      </c>
      <c r="AM165" s="2870"/>
      <c r="AN165" s="2898"/>
      <c r="AO165" s="2877">
        <v>5.6409473196818647</v>
      </c>
      <c r="AP165" s="2875">
        <v>5558563202</v>
      </c>
      <c r="AQ165" s="2869">
        <v>837.341993</v>
      </c>
      <c r="AR165" s="2870">
        <v>2597650000</v>
      </c>
      <c r="AS165" s="2870">
        <v>2490008672</v>
      </c>
      <c r="AT165" s="2870"/>
      <c r="AU165" s="2870">
        <v>137401793</v>
      </c>
      <c r="AV165" s="2877">
        <v>6.2400554476908932</v>
      </c>
      <c r="AW165" s="2875">
        <v>5225060465</v>
      </c>
      <c r="AX165" s="2869">
        <v>1046.41355</v>
      </c>
      <c r="AY165" s="2870">
        <v>2597650000</v>
      </c>
      <c r="AZ165" s="2870">
        <v>3038604266</v>
      </c>
      <c r="BA165" s="2870"/>
      <c r="BB165" s="2870"/>
      <c r="BC165" s="2877">
        <v>5.3862588705966203</v>
      </c>
      <c r="BD165" s="2875">
        <v>5636254266</v>
      </c>
      <c r="BE165" s="2869">
        <v>887.84994300000005</v>
      </c>
      <c r="BF165" s="2870">
        <v>2597650000</v>
      </c>
      <c r="BG165" s="2870">
        <v>2613789178</v>
      </c>
      <c r="BH165" s="2870"/>
      <c r="BI165" s="2870"/>
      <c r="BJ165" s="2877">
        <v>5.8697296982312244</v>
      </c>
      <c r="BK165" s="2875">
        <v>5211439178</v>
      </c>
      <c r="BL165" s="2869">
        <v>450.57570299999998</v>
      </c>
      <c r="BM165" s="2870">
        <v>2597650000</v>
      </c>
      <c r="BN165" s="2870">
        <v>1394788786</v>
      </c>
      <c r="BO165" s="2870"/>
      <c r="BP165" s="2870"/>
      <c r="BQ165" s="2877">
        <v>8.8607502788493679</v>
      </c>
      <c r="BR165" s="2875">
        <v>3992438786</v>
      </c>
      <c r="BS165" s="2869">
        <v>600.68792800000006</v>
      </c>
      <c r="BT165" s="2870">
        <v>2597650000</v>
      </c>
      <c r="BU165" s="2870">
        <v>1792758338</v>
      </c>
      <c r="BV165" s="2870"/>
      <c r="BW165" s="2870"/>
      <c r="BX165" s="2877">
        <v>7.3089671580681408</v>
      </c>
      <c r="BY165" s="2897">
        <v>4390408338</v>
      </c>
      <c r="BZ165" s="2869">
        <v>496.60834999999997</v>
      </c>
      <c r="CA165" s="2870">
        <v>2597650000</v>
      </c>
      <c r="CB165" s="2870">
        <v>1476443399</v>
      </c>
      <c r="CC165" s="2870"/>
      <c r="CD165" s="2870"/>
      <c r="CE165" s="2877">
        <v>8.2038358779106311</v>
      </c>
      <c r="CF165" s="2897">
        <v>4074093399</v>
      </c>
      <c r="CG165" s="2869">
        <v>343.60308800000001</v>
      </c>
      <c r="CH165" s="2870">
        <v>5087793753</v>
      </c>
      <c r="CI165" s="2870">
        <v>1019014048</v>
      </c>
      <c r="CJ165" s="2870"/>
      <c r="CK165" s="2898"/>
      <c r="CL165" s="2877">
        <v>17.772854826613198</v>
      </c>
      <c r="CM165" s="2897">
        <v>6106807801</v>
      </c>
      <c r="CN165" s="2872">
        <v>401.0413585</v>
      </c>
      <c r="CO165" s="2870">
        <v>2597650000</v>
      </c>
      <c r="CP165" s="2870">
        <v>1172518510</v>
      </c>
      <c r="CQ165" s="2870">
        <v>19584251803</v>
      </c>
      <c r="CR165" s="2894">
        <v>5289230114</v>
      </c>
      <c r="CS165" s="2877">
        <v>71.423183220141624</v>
      </c>
      <c r="CT165" s="2875">
        <v>28643650427</v>
      </c>
      <c r="CU165" s="2878">
        <v>7063.8579765000004</v>
      </c>
      <c r="CV165" s="2870">
        <v>33661943753</v>
      </c>
      <c r="CW165" s="2870">
        <v>21056702662</v>
      </c>
      <c r="CX165" s="2870">
        <v>19584251803</v>
      </c>
      <c r="CY165" s="2870">
        <v>5426631907</v>
      </c>
      <c r="CZ165" s="2879">
        <v>11.286966752480545</v>
      </c>
      <c r="DA165" s="2875">
        <v>79729530125</v>
      </c>
      <c r="DJ165" s="1611" t="s">
        <v>1649</v>
      </c>
      <c r="DK165" s="2782" t="s">
        <v>1649</v>
      </c>
      <c r="DM165" s="1650">
        <v>2.9809068545901276</v>
      </c>
    </row>
    <row r="166" spans="1:117" ht="21" customHeight="1">
      <c r="A166" s="1652">
        <v>11</v>
      </c>
      <c r="B166" s="1644" t="s">
        <v>1773</v>
      </c>
      <c r="C166" s="1645">
        <v>1200</v>
      </c>
      <c r="D166" s="1646">
        <v>30.083333333333336</v>
      </c>
      <c r="E166" s="1646">
        <v>87.41</v>
      </c>
      <c r="F166" s="1689" t="s">
        <v>1594</v>
      </c>
      <c r="G166" s="1648"/>
      <c r="H166" s="1648">
        <v>361</v>
      </c>
      <c r="I166" s="1648" t="s">
        <v>1649</v>
      </c>
      <c r="J166" s="1649">
        <v>1</v>
      </c>
      <c r="K166" s="1648"/>
      <c r="L166" s="1648"/>
      <c r="M166" s="1648"/>
      <c r="N166" s="1642"/>
      <c r="O166" s="2876">
        <v>29.838249999999999</v>
      </c>
      <c r="P166" s="2870">
        <v>532689145</v>
      </c>
      <c r="Q166" s="2870">
        <v>358009103</v>
      </c>
      <c r="R166" s="2870"/>
      <c r="S166" s="2870"/>
      <c r="T166" s="2870">
        <v>29.850887635836553</v>
      </c>
      <c r="U166" s="2875">
        <v>890698248</v>
      </c>
      <c r="V166" s="2869">
        <v>195.93625</v>
      </c>
      <c r="W166" s="2870">
        <v>550765065</v>
      </c>
      <c r="X166" s="2870">
        <v>382310811</v>
      </c>
      <c r="Y166" s="2870"/>
      <c r="Z166" s="2870"/>
      <c r="AA166" s="2877">
        <v>4.7621401144504913</v>
      </c>
      <c r="AB166" s="2875">
        <v>933075876</v>
      </c>
      <c r="AC166" s="2869">
        <v>182.94550000000001</v>
      </c>
      <c r="AD166" s="2870">
        <v>533307755</v>
      </c>
      <c r="AE166" s="2870">
        <v>356901797</v>
      </c>
      <c r="AF166" s="2870">
        <v>116146757</v>
      </c>
      <c r="AG166" s="2870"/>
      <c r="AH166" s="2877">
        <v>5.5008530354668466</v>
      </c>
      <c r="AI166" s="2875">
        <v>1006356309</v>
      </c>
      <c r="AJ166" s="2869">
        <v>192.52475000000001</v>
      </c>
      <c r="AK166" s="2870">
        <v>551404295</v>
      </c>
      <c r="AL166" s="2870">
        <v>375654292</v>
      </c>
      <c r="AM166" s="2870">
        <v>115959850</v>
      </c>
      <c r="AN166" s="2870"/>
      <c r="AO166" s="2877">
        <v>5.4175810486703657</v>
      </c>
      <c r="AP166" s="2875">
        <v>1043018437</v>
      </c>
      <c r="AQ166" s="2869">
        <v>199.62625</v>
      </c>
      <c r="AR166" s="2870">
        <v>551723910</v>
      </c>
      <c r="AS166" s="2870">
        <v>389510739</v>
      </c>
      <c r="AT166" s="2870"/>
      <c r="AU166" s="2870"/>
      <c r="AV166" s="2877">
        <v>4.7149843720452598</v>
      </c>
      <c r="AW166" s="2875">
        <v>941234649</v>
      </c>
      <c r="AX166" s="2869">
        <v>218.61874999999998</v>
      </c>
      <c r="AY166" s="2870">
        <v>534235669</v>
      </c>
      <c r="AZ166" s="2870">
        <v>426568905</v>
      </c>
      <c r="BA166" s="2870"/>
      <c r="BB166" s="2870"/>
      <c r="BC166" s="2877">
        <v>4.394886412990652</v>
      </c>
      <c r="BD166" s="2875">
        <v>960804574</v>
      </c>
      <c r="BE166" s="2869">
        <v>216.11025000000001</v>
      </c>
      <c r="BF166" s="2870">
        <v>552363140</v>
      </c>
      <c r="BG166" s="2870">
        <v>421674320</v>
      </c>
      <c r="BH166" s="2870">
        <v>227835273</v>
      </c>
      <c r="BI166" s="2870"/>
      <c r="BJ166" s="2877">
        <v>5.5613869911306848</v>
      </c>
      <c r="BK166" s="2875">
        <v>1201872733</v>
      </c>
      <c r="BL166" s="2869">
        <v>179.39924999999999</v>
      </c>
      <c r="BM166" s="2870">
        <v>534611254</v>
      </c>
      <c r="BN166" s="2870">
        <v>350043817</v>
      </c>
      <c r="BO166" s="2870">
        <v>0</v>
      </c>
      <c r="BP166" s="2870"/>
      <c r="BQ166" s="2877">
        <v>4.9312083021528794</v>
      </c>
      <c r="BR166" s="2875">
        <v>884655071</v>
      </c>
      <c r="BS166" s="2869">
        <v>190.59549999999999</v>
      </c>
      <c r="BT166" s="2870">
        <v>552477288</v>
      </c>
      <c r="BU166" s="2870">
        <v>371889940</v>
      </c>
      <c r="BV166" s="2870">
        <v>222750182</v>
      </c>
      <c r="BW166" s="2870">
        <v>693671354</v>
      </c>
      <c r="BX166" s="2877">
        <v>9.6580914239843025</v>
      </c>
      <c r="BY166" s="2897">
        <v>1840788764</v>
      </c>
      <c r="BZ166" s="2869">
        <v>192.42850000000001</v>
      </c>
      <c r="CA166" s="2870">
        <v>552545777</v>
      </c>
      <c r="CB166" s="2870">
        <v>375466489</v>
      </c>
      <c r="CC166" s="2870">
        <v>99546712</v>
      </c>
      <c r="CD166" s="2870"/>
      <c r="CE166" s="2877">
        <v>5.3399521276733957</v>
      </c>
      <c r="CF166" s="2897">
        <v>1027558978</v>
      </c>
      <c r="CG166" s="2869">
        <v>164.51625000000001</v>
      </c>
      <c r="CH166" s="2870">
        <v>499114846</v>
      </c>
      <c r="CI166" s="2870">
        <v>321004107</v>
      </c>
      <c r="CJ166" s="2870">
        <v>166001976</v>
      </c>
      <c r="CK166" s="2870"/>
      <c r="CL166" s="2877">
        <v>5.9940639845607953</v>
      </c>
      <c r="CM166" s="2897">
        <v>986120929</v>
      </c>
      <c r="CN166" s="2872">
        <v>108.54325</v>
      </c>
      <c r="CO166" s="2870">
        <v>552659925</v>
      </c>
      <c r="CP166" s="2870">
        <v>223146026</v>
      </c>
      <c r="CQ166" s="2870">
        <v>395417703</v>
      </c>
      <c r="CR166" s="2870"/>
      <c r="CS166" s="2877">
        <v>10.790386818157739</v>
      </c>
      <c r="CT166" s="2875">
        <v>1171223654</v>
      </c>
      <c r="CU166" s="2878">
        <v>2071.08275</v>
      </c>
      <c r="CV166" s="2870">
        <v>6497898069</v>
      </c>
      <c r="CW166" s="2870">
        <v>4352180346</v>
      </c>
      <c r="CX166" s="2870">
        <v>1343658453</v>
      </c>
      <c r="CY166" s="2870">
        <v>693671354</v>
      </c>
      <c r="CZ166" s="2879">
        <v>6.2225462608869684</v>
      </c>
      <c r="DA166" s="2875">
        <v>12887408222</v>
      </c>
      <c r="DJ166" s="1611" t="s">
        <v>1649</v>
      </c>
      <c r="DK166" s="2782" t="s">
        <v>1649</v>
      </c>
      <c r="DM166" s="1650">
        <v>2.1014034065031928</v>
      </c>
    </row>
    <row r="167" spans="1:117" s="1677" customFormat="1" ht="21" customHeight="1">
      <c r="A167" s="1652">
        <v>12</v>
      </c>
      <c r="B167" s="1644" t="s">
        <v>1774</v>
      </c>
      <c r="C167" s="1645">
        <v>1980</v>
      </c>
      <c r="D167" s="1646">
        <v>90</v>
      </c>
      <c r="E167" s="1646">
        <v>69.727000000000004</v>
      </c>
      <c r="F167" s="1689" t="s">
        <v>1594</v>
      </c>
      <c r="G167" s="1648"/>
      <c r="H167" s="1648">
        <v>1782</v>
      </c>
      <c r="I167" s="1648" t="s">
        <v>1649</v>
      </c>
      <c r="J167" s="1649">
        <v>2</v>
      </c>
      <c r="K167" s="1648"/>
      <c r="L167" s="1648"/>
      <c r="M167" s="1648"/>
      <c r="N167" s="1642"/>
      <c r="O167" s="2876">
        <v>813.06557999999995</v>
      </c>
      <c r="P167" s="2870">
        <v>1113467904</v>
      </c>
      <c r="Q167" s="2870">
        <v>2010711179</v>
      </c>
      <c r="R167" s="2870">
        <v>15350469</v>
      </c>
      <c r="S167" s="2870"/>
      <c r="T167" s="2870">
        <v>3.8613484929469033</v>
      </c>
      <c r="U167" s="2875">
        <v>3139529552</v>
      </c>
      <c r="V167" s="2869">
        <v>841.18114500000001</v>
      </c>
      <c r="W167" s="2870">
        <v>1151564390</v>
      </c>
      <c r="X167" s="2870">
        <v>2045752545</v>
      </c>
      <c r="Y167" s="2870"/>
      <c r="Z167" s="2870"/>
      <c r="AA167" s="2877">
        <v>3.8009850244562959</v>
      </c>
      <c r="AB167" s="2875">
        <v>3197316935</v>
      </c>
      <c r="AC167" s="2869">
        <v>603.83376499999997</v>
      </c>
      <c r="AD167" s="2870">
        <v>1115366400</v>
      </c>
      <c r="AE167" s="2870">
        <v>1469731384</v>
      </c>
      <c r="AF167" s="2870">
        <v>4262137</v>
      </c>
      <c r="AG167" s="2870"/>
      <c r="AH167" s="2877">
        <v>4.2881999501965575</v>
      </c>
      <c r="AI167" s="2875">
        <v>2589359921</v>
      </c>
      <c r="AJ167" s="2869">
        <v>716.95620799999995</v>
      </c>
      <c r="AK167" s="2870">
        <v>1012628665</v>
      </c>
      <c r="AL167" s="2870">
        <v>1772315745</v>
      </c>
      <c r="AM167" s="2870">
        <v>8793040</v>
      </c>
      <c r="AN167" s="2870"/>
      <c r="AO167" s="2877">
        <v>3.8966640065692828</v>
      </c>
      <c r="AP167" s="2875">
        <v>2793737450</v>
      </c>
      <c r="AQ167" s="2869">
        <v>816.08544300000005</v>
      </c>
      <c r="AR167" s="2870">
        <v>1145376379</v>
      </c>
      <c r="AS167" s="2870">
        <v>2018179298</v>
      </c>
      <c r="AT167" s="2870">
        <v>8160853</v>
      </c>
      <c r="AU167" s="2870"/>
      <c r="AV167" s="2877">
        <v>3.8865005584960546</v>
      </c>
      <c r="AW167" s="2875">
        <v>3171716530</v>
      </c>
      <c r="AX167" s="2869">
        <v>933.736175</v>
      </c>
      <c r="AY167" s="2870">
        <v>1196754644</v>
      </c>
      <c r="AZ167" s="2870">
        <v>2279250003</v>
      </c>
      <c r="BA167" s="2870">
        <v>8403626</v>
      </c>
      <c r="BB167" s="2870"/>
      <c r="BC167" s="2877">
        <v>3.7316839234594288</v>
      </c>
      <c r="BD167" s="2875">
        <v>3484408273</v>
      </c>
      <c r="BE167" s="2869">
        <v>926.73235999999997</v>
      </c>
      <c r="BF167" s="2870">
        <v>1227956524</v>
      </c>
      <c r="BG167" s="2870">
        <v>2277345536</v>
      </c>
      <c r="BH167" s="2870">
        <v>3945205</v>
      </c>
      <c r="BI167" s="2870"/>
      <c r="BJ167" s="2877">
        <v>3.7866890339299255</v>
      </c>
      <c r="BK167" s="2875">
        <v>3509247265</v>
      </c>
      <c r="BL167" s="2869">
        <v>860.16279499999996</v>
      </c>
      <c r="BM167" s="2870">
        <v>1119163392</v>
      </c>
      <c r="BN167" s="2870">
        <v>2112559825</v>
      </c>
      <c r="BO167" s="2870">
        <v>30876562</v>
      </c>
      <c r="BP167" s="2870"/>
      <c r="BQ167" s="2877">
        <v>3.7930026710815827</v>
      </c>
      <c r="BR167" s="2875">
        <v>3262599779</v>
      </c>
      <c r="BS167" s="2869">
        <v>890.70622300000002</v>
      </c>
      <c r="BT167" s="2870">
        <v>1156468838</v>
      </c>
      <c r="BU167" s="2870">
        <v>2164458089</v>
      </c>
      <c r="BV167" s="2870"/>
      <c r="BW167" s="2870"/>
      <c r="BX167" s="2877">
        <v>3.728420034851379</v>
      </c>
      <c r="BY167" s="2897">
        <v>3320926927</v>
      </c>
      <c r="BZ167" s="2869">
        <v>902.13629800000001</v>
      </c>
      <c r="CA167" s="2870">
        <v>1156468838</v>
      </c>
      <c r="CB167" s="2870">
        <v>1998231899</v>
      </c>
      <c r="CC167" s="2870">
        <v>23120092</v>
      </c>
      <c r="CD167" s="2870"/>
      <c r="CE167" s="2877">
        <v>3.5225506789219114</v>
      </c>
      <c r="CF167" s="2897">
        <v>3177820829</v>
      </c>
      <c r="CG167" s="2869">
        <v>912.93007799999998</v>
      </c>
      <c r="CH167" s="2870">
        <v>1044552499</v>
      </c>
      <c r="CI167" s="2870">
        <v>2055918535</v>
      </c>
      <c r="CJ167" s="2870">
        <v>33025930</v>
      </c>
      <c r="CK167" s="2870"/>
      <c r="CL167" s="2877">
        <v>3.432351545328316</v>
      </c>
      <c r="CM167" s="2897">
        <v>3133496964</v>
      </c>
      <c r="CN167" s="2872">
        <v>570.39921949999996</v>
      </c>
      <c r="CO167" s="2870">
        <v>1156468838</v>
      </c>
      <c r="CP167" s="2870">
        <v>1481584062</v>
      </c>
      <c r="CQ167" s="2870"/>
      <c r="CR167" s="2870">
        <v>2423467992</v>
      </c>
      <c r="CS167" s="2877">
        <v>8.8736462445317219</v>
      </c>
      <c r="CT167" s="2875">
        <v>5061520892</v>
      </c>
      <c r="CU167" s="2878">
        <v>9787.9252894999991</v>
      </c>
      <c r="CV167" s="2870">
        <v>13596237311</v>
      </c>
      <c r="CW167" s="2870">
        <v>23686038100</v>
      </c>
      <c r="CX167" s="2870">
        <v>135937914</v>
      </c>
      <c r="CY167" s="2870">
        <v>2423467992</v>
      </c>
      <c r="CZ167" s="2879">
        <v>4.070492994030122</v>
      </c>
      <c r="DA167" s="2875">
        <v>39841681317</v>
      </c>
      <c r="DB167" s="1676"/>
      <c r="DD167" s="1678"/>
      <c r="DJ167" s="1611" t="s">
        <v>1649</v>
      </c>
      <c r="DK167" s="2782" t="s">
        <v>1649</v>
      </c>
      <c r="DM167" s="1650">
        <v>2.4199242842003712</v>
      </c>
    </row>
    <row r="168" spans="1:117" s="1677" customFormat="1" ht="21" customHeight="1">
      <c r="A168" s="1652">
        <v>13</v>
      </c>
      <c r="B168" s="1644" t="s">
        <v>1775</v>
      </c>
      <c r="C168" s="1645">
        <v>1540</v>
      </c>
      <c r="D168" s="1646">
        <v>22.727272727272727</v>
      </c>
      <c r="E168" s="1646">
        <v>74.05</v>
      </c>
      <c r="F168" s="1689" t="s">
        <v>1594</v>
      </c>
      <c r="G168" s="1648"/>
      <c r="H168" s="1648">
        <v>350</v>
      </c>
      <c r="I168" s="1648" t="s">
        <v>1649</v>
      </c>
      <c r="J168" s="1649">
        <v>1</v>
      </c>
      <c r="K168" s="1648"/>
      <c r="L168" s="1648"/>
      <c r="M168" s="1648"/>
      <c r="N168" s="1642"/>
      <c r="O168" s="2876">
        <v>183.09437500000001</v>
      </c>
      <c r="P168" s="2870">
        <v>494000360</v>
      </c>
      <c r="Q168" s="2870">
        <v>342990693</v>
      </c>
      <c r="R168" s="2870"/>
      <c r="S168" s="2870"/>
      <c r="T168" s="2870">
        <v>4.5713641011636756</v>
      </c>
      <c r="U168" s="2875">
        <v>836991053</v>
      </c>
      <c r="V168" s="2869">
        <v>198.44687500000001</v>
      </c>
      <c r="W168" s="2870">
        <v>511206864</v>
      </c>
      <c r="X168" s="2870">
        <v>372464940</v>
      </c>
      <c r="Y168" s="2870"/>
      <c r="Z168" s="2870"/>
      <c r="AA168" s="2877">
        <v>4.4529388734390505</v>
      </c>
      <c r="AB168" s="2875">
        <v>883671804</v>
      </c>
      <c r="AC168" s="2869">
        <v>187.58875</v>
      </c>
      <c r="AD168" s="2870">
        <v>486860960</v>
      </c>
      <c r="AE168" s="2870">
        <v>352760644</v>
      </c>
      <c r="AF168" s="2870"/>
      <c r="AG168" s="2870"/>
      <c r="AH168" s="2877">
        <v>4.4758633126986558</v>
      </c>
      <c r="AI168" s="2875">
        <v>839621604</v>
      </c>
      <c r="AJ168" s="2869">
        <v>204.38874999999999</v>
      </c>
      <c r="AK168" s="2870">
        <v>512247162</v>
      </c>
      <c r="AL168" s="2870">
        <v>385088844</v>
      </c>
      <c r="AM168" s="2870"/>
      <c r="AN168" s="2870"/>
      <c r="AO168" s="2877">
        <v>4.3903395172190249</v>
      </c>
      <c r="AP168" s="2875">
        <v>897336006</v>
      </c>
      <c r="AQ168" s="2869">
        <v>197.40625</v>
      </c>
      <c r="AR168" s="2870">
        <v>512778378</v>
      </c>
      <c r="AS168" s="2870">
        <v>372624038</v>
      </c>
      <c r="AT168" s="2870">
        <v>262552701</v>
      </c>
      <c r="AU168" s="2870"/>
      <c r="AV168" s="2877">
        <v>5.8151913477916732</v>
      </c>
      <c r="AW168" s="2875">
        <v>1147955117</v>
      </c>
      <c r="AX168" s="2869">
        <v>210.86562499999999</v>
      </c>
      <c r="AY168" s="2870">
        <v>496751220</v>
      </c>
      <c r="AZ168" s="2870">
        <v>398789070</v>
      </c>
      <c r="BA168" s="2870"/>
      <c r="BB168" s="2870"/>
      <c r="BC168" s="2877">
        <v>4.2469714539769106</v>
      </c>
      <c r="BD168" s="2875">
        <v>895540290</v>
      </c>
      <c r="BE168" s="2869">
        <v>214.715</v>
      </c>
      <c r="BF168" s="2870">
        <v>513840810</v>
      </c>
      <c r="BG168" s="2870">
        <v>406820511</v>
      </c>
      <c r="BH168" s="2870"/>
      <c r="BI168" s="2870"/>
      <c r="BJ168" s="2877">
        <v>4.2878295461425608</v>
      </c>
      <c r="BK168" s="2875">
        <v>920661321</v>
      </c>
      <c r="BL168" s="2869">
        <v>205.73249999999999</v>
      </c>
      <c r="BM168" s="2870">
        <v>505922300</v>
      </c>
      <c r="BN168" s="2870">
        <v>389040158</v>
      </c>
      <c r="BO168" s="2870"/>
      <c r="BP168" s="2870"/>
      <c r="BQ168" s="2877">
        <v>4.3501267811356978</v>
      </c>
      <c r="BR168" s="2875">
        <v>894962458</v>
      </c>
      <c r="BS168" s="2869">
        <v>212.49250000000001</v>
      </c>
      <c r="BT168" s="2870">
        <v>514017882</v>
      </c>
      <c r="BU168" s="2870">
        <v>401037095</v>
      </c>
      <c r="BV168" s="2870"/>
      <c r="BW168" s="2870"/>
      <c r="BX168" s="2877">
        <v>4.3062930550490019</v>
      </c>
      <c r="BY168" s="2897">
        <v>915054977</v>
      </c>
      <c r="BZ168" s="2869">
        <v>203.68937500000001</v>
      </c>
      <c r="CA168" s="2870">
        <v>514128552</v>
      </c>
      <c r="CB168" s="2870">
        <v>383669307</v>
      </c>
      <c r="CC168" s="2870"/>
      <c r="CD168" s="2870"/>
      <c r="CE168" s="2877">
        <v>4.4076813481311925</v>
      </c>
      <c r="CF168" s="2897">
        <v>897797859</v>
      </c>
      <c r="CG168" s="2869">
        <v>200.173125</v>
      </c>
      <c r="CH168" s="2870">
        <v>464454144</v>
      </c>
      <c r="CI168" s="2870">
        <v>376305458</v>
      </c>
      <c r="CJ168" s="2870">
        <v>24694893</v>
      </c>
      <c r="CK168" s="2870"/>
      <c r="CL168" s="2877">
        <v>4.3235299194135077</v>
      </c>
      <c r="CM168" s="2897">
        <v>865454495</v>
      </c>
      <c r="CN168" s="2872">
        <v>232.57067499999999</v>
      </c>
      <c r="CO168" s="2870">
        <v>514305624</v>
      </c>
      <c r="CP168" s="2870">
        <v>436349006</v>
      </c>
      <c r="CQ168" s="2870">
        <v>72802798</v>
      </c>
      <c r="CR168" s="2870">
        <v>486081368</v>
      </c>
      <c r="CS168" s="2877">
        <v>6.4906669596242086</v>
      </c>
      <c r="CT168" s="2875">
        <v>1509538796</v>
      </c>
      <c r="CU168" s="2878">
        <v>2451.1637999999998</v>
      </c>
      <c r="CV168" s="2870">
        <v>6040514256</v>
      </c>
      <c r="CW168" s="2870">
        <v>4617939764</v>
      </c>
      <c r="CX168" s="2870">
        <v>360050392</v>
      </c>
      <c r="CY168" s="2870">
        <v>486081368</v>
      </c>
      <c r="CZ168" s="2879">
        <v>4.693519780277434</v>
      </c>
      <c r="DA168" s="2875">
        <v>11504585780</v>
      </c>
      <c r="DB168" s="1676"/>
      <c r="DD168" s="1678"/>
      <c r="DJ168" s="1611" t="s">
        <v>1649</v>
      </c>
      <c r="DK168" s="2782" t="s">
        <v>1649</v>
      </c>
      <c r="DM168" s="1650">
        <v>1.8839784448513803</v>
      </c>
    </row>
    <row r="169" spans="1:117" s="1686" customFormat="1" ht="21" customHeight="1">
      <c r="A169" s="1652">
        <v>14</v>
      </c>
      <c r="B169" s="1644" t="s">
        <v>1776</v>
      </c>
      <c r="C169" s="1645">
        <v>1200</v>
      </c>
      <c r="D169" s="1646">
        <v>100</v>
      </c>
      <c r="E169" s="1646">
        <v>97.564999999999998</v>
      </c>
      <c r="F169" s="1689">
        <v>8.5</v>
      </c>
      <c r="G169" s="1648"/>
      <c r="H169" s="1648">
        <v>1200</v>
      </c>
      <c r="I169" s="1648" t="s">
        <v>1649</v>
      </c>
      <c r="J169" s="1649">
        <v>2</v>
      </c>
      <c r="K169" s="1648"/>
      <c r="L169" s="1648"/>
      <c r="M169" s="1648"/>
      <c r="N169" s="1642"/>
      <c r="O169" s="2876">
        <v>454.71066999999999</v>
      </c>
      <c r="P169" s="2870">
        <v>1057858333</v>
      </c>
      <c r="Q169" s="2870">
        <v>1291378303</v>
      </c>
      <c r="R169" s="2870"/>
      <c r="S169" s="2870"/>
      <c r="T169" s="2870">
        <v>5.166442731594576</v>
      </c>
      <c r="U169" s="2875">
        <v>2349236636</v>
      </c>
      <c r="V169" s="2869">
        <v>568.09136000000001</v>
      </c>
      <c r="W169" s="2870">
        <v>1057858333</v>
      </c>
      <c r="X169" s="2870">
        <v>1562819331</v>
      </c>
      <c r="Y169" s="2870"/>
      <c r="Z169" s="2870"/>
      <c r="AA169" s="2877">
        <v>4.6131271280027919</v>
      </c>
      <c r="AB169" s="2875">
        <v>2620677664</v>
      </c>
      <c r="AC169" s="2869"/>
      <c r="AD169" s="2870"/>
      <c r="AE169" s="2870"/>
      <c r="AF169" s="2870">
        <v>107994432</v>
      </c>
      <c r="AG169" s="2870"/>
      <c r="AH169" s="2877">
        <v>0</v>
      </c>
      <c r="AI169" s="2875">
        <v>107994432</v>
      </c>
      <c r="AJ169" s="2869">
        <v>1218.39428</v>
      </c>
      <c r="AK169" s="2870">
        <v>1057858333</v>
      </c>
      <c r="AL169" s="2870">
        <v>1921826499</v>
      </c>
      <c r="AM169" s="2870">
        <v>2354863931</v>
      </c>
      <c r="AN169" s="2870"/>
      <c r="AO169" s="2877">
        <v>4.3783435711796024</v>
      </c>
      <c r="AP169" s="2875">
        <v>5334548763</v>
      </c>
      <c r="AQ169" s="2869">
        <v>602.46540800000002</v>
      </c>
      <c r="AR169" s="2870">
        <v>1057858333</v>
      </c>
      <c r="AS169" s="2870">
        <v>1766044656</v>
      </c>
      <c r="AT169" s="2870"/>
      <c r="AU169" s="2870"/>
      <c r="AV169" s="2877">
        <v>4.6872450293444894</v>
      </c>
      <c r="AW169" s="2875">
        <v>2823902989</v>
      </c>
      <c r="AX169" s="2869">
        <v>674.89959999999996</v>
      </c>
      <c r="AY169" s="2870">
        <v>1057858333</v>
      </c>
      <c r="AZ169" s="2870">
        <v>1954398925</v>
      </c>
      <c r="BA169" s="2870"/>
      <c r="BB169" s="2870"/>
      <c r="BC169" s="2877">
        <v>4.4632672148568471</v>
      </c>
      <c r="BD169" s="2875">
        <v>3012257258</v>
      </c>
      <c r="BE169" s="2869">
        <v>610.74639000000002</v>
      </c>
      <c r="BF169" s="2870">
        <v>1057858333</v>
      </c>
      <c r="BG169" s="2870">
        <v>1741784551</v>
      </c>
      <c r="BH169" s="2870"/>
      <c r="BI169" s="2870"/>
      <c r="BJ169" s="2877">
        <v>4.5839695982484647</v>
      </c>
      <c r="BK169" s="2875">
        <v>2799642884</v>
      </c>
      <c r="BL169" s="2869">
        <v>338.74596300000002</v>
      </c>
      <c r="BM169" s="2870">
        <v>1057858333</v>
      </c>
      <c r="BN169" s="2870">
        <v>913259115</v>
      </c>
      <c r="BO169" s="2870">
        <v>107994432</v>
      </c>
      <c r="BP169" s="2870"/>
      <c r="BQ169" s="2877">
        <v>6.137672790509388</v>
      </c>
      <c r="BR169" s="2875">
        <v>2079111880</v>
      </c>
      <c r="BS169" s="2869">
        <v>443.29301299999997</v>
      </c>
      <c r="BT169" s="2870">
        <v>1057858333</v>
      </c>
      <c r="BU169" s="2870">
        <v>1170351707</v>
      </c>
      <c r="BV169" s="2870"/>
      <c r="BW169" s="2870"/>
      <c r="BX169" s="2877">
        <v>5.0264948344674227</v>
      </c>
      <c r="BY169" s="2897">
        <v>2228210040</v>
      </c>
      <c r="BZ169" s="2869">
        <v>464.27539999999999</v>
      </c>
      <c r="CA169" s="2870">
        <v>1057858333</v>
      </c>
      <c r="CB169" s="2870">
        <v>1225645091</v>
      </c>
      <c r="CC169" s="2870"/>
      <c r="CD169" s="2870"/>
      <c r="CE169" s="2877">
        <v>4.9184243317651548</v>
      </c>
      <c r="CF169" s="2897">
        <v>2283503424</v>
      </c>
      <c r="CG169" s="2869">
        <v>440.08629999999999</v>
      </c>
      <c r="CH169" s="2870">
        <v>1057858333</v>
      </c>
      <c r="CI169" s="2870">
        <v>1210343446</v>
      </c>
      <c r="CJ169" s="2870">
        <v>957700000</v>
      </c>
      <c r="CK169" s="2870"/>
      <c r="CL169" s="2877">
        <v>7.3301572418864209</v>
      </c>
      <c r="CM169" s="2897">
        <v>3225901779</v>
      </c>
      <c r="CN169" s="2872">
        <v>487.46583299999998</v>
      </c>
      <c r="CO169" s="2870">
        <v>1057858333</v>
      </c>
      <c r="CP169" s="2870">
        <v>1436873427</v>
      </c>
      <c r="CQ169" s="2870"/>
      <c r="CR169" s="2870"/>
      <c r="CS169" s="2877">
        <v>5.1177571659673635</v>
      </c>
      <c r="CT169" s="2875">
        <v>2494731760</v>
      </c>
      <c r="CU169" s="2878">
        <v>6303.1742170000007</v>
      </c>
      <c r="CV169" s="2870">
        <v>11636441663</v>
      </c>
      <c r="CW169" s="2870">
        <v>16194725051</v>
      </c>
      <c r="CX169" s="2870">
        <v>3528552795</v>
      </c>
      <c r="CY169" s="2870">
        <v>0</v>
      </c>
      <c r="CZ169" s="2879">
        <v>4.9752265175252726</v>
      </c>
      <c r="DA169" s="2875">
        <v>31359719509</v>
      </c>
      <c r="DB169" s="1621"/>
      <c r="DD169" s="1687"/>
      <c r="DJ169" s="1611" t="s">
        <v>1649</v>
      </c>
      <c r="DK169" s="2782" t="s">
        <v>1649</v>
      </c>
      <c r="DM169" s="1650">
        <v>2.5692967532647204</v>
      </c>
    </row>
    <row r="170" spans="1:117" s="1677" customFormat="1" ht="21" customHeight="1">
      <c r="A170" s="1652">
        <v>15</v>
      </c>
      <c r="B170" s="1644" t="s">
        <v>1777</v>
      </c>
      <c r="C170" s="1645">
        <v>4000</v>
      </c>
      <c r="D170" s="1646">
        <v>12.375</v>
      </c>
      <c r="E170" s="1646">
        <v>93.91</v>
      </c>
      <c r="F170" s="1689" t="s">
        <v>1594</v>
      </c>
      <c r="G170" s="1648"/>
      <c r="H170" s="1648">
        <v>495</v>
      </c>
      <c r="I170" s="1648" t="s">
        <v>1649</v>
      </c>
      <c r="J170" s="1649">
        <v>1</v>
      </c>
      <c r="K170" s="1648"/>
      <c r="L170" s="1648"/>
      <c r="M170" s="1648"/>
      <c r="N170" s="1642"/>
      <c r="O170" s="2876">
        <v>311.486603</v>
      </c>
      <c r="P170" s="2870">
        <v>45378811</v>
      </c>
      <c r="Q170" s="2870">
        <v>358164057</v>
      </c>
      <c r="R170" s="2870">
        <v>24655922</v>
      </c>
      <c r="S170" s="2870"/>
      <c r="T170" s="2870">
        <v>1.3746940827500052</v>
      </c>
      <c r="U170" s="2875">
        <v>428198790</v>
      </c>
      <c r="V170" s="2869">
        <v>313.651431</v>
      </c>
      <c r="W170" s="2870">
        <v>46893331</v>
      </c>
      <c r="X170" s="2870">
        <v>360654816</v>
      </c>
      <c r="Y170" s="2870">
        <v>110317</v>
      </c>
      <c r="Z170" s="2870"/>
      <c r="AA170" s="2877">
        <v>1.2997181702639833</v>
      </c>
      <c r="AB170" s="2875">
        <v>407658464</v>
      </c>
      <c r="AC170" s="2869">
        <v>311.54841099999999</v>
      </c>
      <c r="AD170" s="2870">
        <v>45382477</v>
      </c>
      <c r="AE170" s="2870">
        <v>358238150</v>
      </c>
      <c r="AF170" s="2870">
        <v>110317</v>
      </c>
      <c r="AG170" s="2870"/>
      <c r="AH170" s="2877">
        <v>1.2958851008230627</v>
      </c>
      <c r="AI170" s="2875">
        <v>403730944</v>
      </c>
      <c r="AJ170" s="2869">
        <v>315.11602699999997</v>
      </c>
      <c r="AK170" s="2870">
        <v>0</v>
      </c>
      <c r="AL170" s="2870">
        <v>61308105</v>
      </c>
      <c r="AM170" s="2870">
        <v>347908309</v>
      </c>
      <c r="AN170" s="2870"/>
      <c r="AO170" s="2877">
        <v>1.2986213931924193</v>
      </c>
      <c r="AP170" s="2875">
        <v>409216414</v>
      </c>
      <c r="AQ170" s="2869">
        <v>315.45745099999999</v>
      </c>
      <c r="AR170" s="2870">
        <v>46899009</v>
      </c>
      <c r="AS170" s="2870">
        <v>362736071</v>
      </c>
      <c r="AT170" s="2870">
        <v>32701780</v>
      </c>
      <c r="AU170" s="2870"/>
      <c r="AV170" s="2877">
        <v>1.402207678397807</v>
      </c>
      <c r="AW170" s="2875">
        <v>442336860</v>
      </c>
      <c r="AX170" s="2869">
        <v>314.43910699999998</v>
      </c>
      <c r="AY170" s="2870">
        <v>45387969</v>
      </c>
      <c r="AZ170" s="2870">
        <v>361566630</v>
      </c>
      <c r="BA170" s="2870">
        <v>9108405</v>
      </c>
      <c r="BB170" s="2870"/>
      <c r="BC170" s="2877">
        <v>1.3231910240732239</v>
      </c>
      <c r="BD170" s="2875">
        <v>416063004</v>
      </c>
      <c r="BE170" s="2869">
        <v>339.43535000000003</v>
      </c>
      <c r="BF170" s="2870">
        <v>46902791</v>
      </c>
      <c r="BG170" s="2870">
        <v>390301602</v>
      </c>
      <c r="BH170" s="2870">
        <v>108277</v>
      </c>
      <c r="BI170" s="2870"/>
      <c r="BJ170" s="2877">
        <v>1.2883533491723829</v>
      </c>
      <c r="BK170" s="2875">
        <v>437312670</v>
      </c>
      <c r="BL170" s="2869">
        <v>315.26791900000001</v>
      </c>
      <c r="BM170" s="2870">
        <v>45390133</v>
      </c>
      <c r="BN170" s="2870">
        <v>362519610</v>
      </c>
      <c r="BO170" s="2870">
        <v>107951</v>
      </c>
      <c r="BP170" s="2870"/>
      <c r="BQ170" s="2877">
        <v>1.2941935078399145</v>
      </c>
      <c r="BR170" s="2875">
        <v>408017694</v>
      </c>
      <c r="BS170" s="2869">
        <v>294.300273</v>
      </c>
      <c r="BT170" s="2870">
        <v>46903487</v>
      </c>
      <c r="BU170" s="2870">
        <v>338407900</v>
      </c>
      <c r="BV170" s="2870">
        <v>4766205</v>
      </c>
      <c r="BW170" s="2870"/>
      <c r="BX170" s="2877">
        <v>1.3254408092241219</v>
      </c>
      <c r="BY170" s="2897">
        <v>390077592</v>
      </c>
      <c r="BZ170" s="2869">
        <v>305.97031099999998</v>
      </c>
      <c r="CA170" s="2870">
        <v>46903833</v>
      </c>
      <c r="CB170" s="2870">
        <v>351825423</v>
      </c>
      <c r="CC170" s="2870">
        <v>190319664</v>
      </c>
      <c r="CD170" s="2870"/>
      <c r="CE170" s="2877">
        <v>1.9251832574043435</v>
      </c>
      <c r="CF170" s="2897">
        <v>589048920</v>
      </c>
      <c r="CG170" s="2869">
        <v>293.33880699999997</v>
      </c>
      <c r="CH170" s="2870">
        <v>42365068</v>
      </c>
      <c r="CI170" s="2870">
        <v>337299390</v>
      </c>
      <c r="CJ170" s="2870">
        <v>4446424</v>
      </c>
      <c r="CK170" s="2870"/>
      <c r="CL170" s="2877">
        <v>1.3094444813774675</v>
      </c>
      <c r="CM170" s="2897">
        <v>384110882</v>
      </c>
      <c r="CN170" s="2872">
        <v>339.713776</v>
      </c>
      <c r="CO170" s="2870">
        <v>46904529</v>
      </c>
      <c r="CP170" s="2870">
        <v>390622537</v>
      </c>
      <c r="CQ170" s="2870">
        <v>239747312.99999982</v>
      </c>
      <c r="CR170" s="2870"/>
      <c r="CS170" s="2877">
        <v>1.993661802516951</v>
      </c>
      <c r="CT170" s="2875">
        <v>677274378.99999976</v>
      </c>
      <c r="CU170" s="2878">
        <v>3769.7254659999999</v>
      </c>
      <c r="CV170" s="2870">
        <v>505311438</v>
      </c>
      <c r="CW170" s="2870">
        <v>4033644291</v>
      </c>
      <c r="CX170" s="2870">
        <v>854090883.99999976</v>
      </c>
      <c r="CY170" s="2870">
        <v>0</v>
      </c>
      <c r="CZ170" s="2879">
        <v>1.4306205217438506</v>
      </c>
      <c r="DA170" s="2875">
        <v>5393046613</v>
      </c>
      <c r="DB170" s="1676"/>
      <c r="DD170" s="1678"/>
      <c r="DJ170" s="1611" t="s">
        <v>1649</v>
      </c>
      <c r="DK170" s="2782" t="s">
        <v>1649</v>
      </c>
      <c r="DM170" s="1650">
        <v>1.0700100915518498</v>
      </c>
    </row>
    <row r="171" spans="1:117" ht="21" customHeight="1">
      <c r="A171" s="1652">
        <v>16</v>
      </c>
      <c r="B171" s="1644" t="s">
        <v>1778</v>
      </c>
      <c r="C171" s="1645">
        <v>600</v>
      </c>
      <c r="D171" s="1646">
        <v>65</v>
      </c>
      <c r="E171" s="1646">
        <v>50.03</v>
      </c>
      <c r="F171" s="1699" t="s">
        <v>1594</v>
      </c>
      <c r="G171" s="1648"/>
      <c r="H171" s="1648">
        <v>390</v>
      </c>
      <c r="I171" s="1648" t="s">
        <v>1649</v>
      </c>
      <c r="J171" s="1649">
        <v>1</v>
      </c>
      <c r="K171" s="1648"/>
      <c r="L171" s="1648"/>
      <c r="M171" s="1648"/>
      <c r="N171" s="1642"/>
      <c r="O171" s="2876">
        <v>0</v>
      </c>
      <c r="P171" s="2870">
        <v>0</v>
      </c>
      <c r="Q171" s="2870">
        <v>0</v>
      </c>
      <c r="R171" s="2870">
        <v>-74827584</v>
      </c>
      <c r="S171" s="2870"/>
      <c r="T171" s="2870" t="s">
        <v>1594</v>
      </c>
      <c r="U171" s="2875">
        <v>-74827584</v>
      </c>
      <c r="V171" s="2869">
        <v>162.648</v>
      </c>
      <c r="W171" s="2870">
        <v>295560123</v>
      </c>
      <c r="X171" s="2870">
        <v>254213054</v>
      </c>
      <c r="Y171" s="2870">
        <v>0</v>
      </c>
      <c r="Z171" s="2870"/>
      <c r="AA171" s="2877">
        <v>3.3801410223304313</v>
      </c>
      <c r="AB171" s="2875">
        <v>549773177</v>
      </c>
      <c r="AC171" s="2869">
        <v>143.318375</v>
      </c>
      <c r="AD171" s="2870">
        <v>256902800</v>
      </c>
      <c r="AE171" s="2870">
        <v>216530572</v>
      </c>
      <c r="AF171" s="2870">
        <v>0</v>
      </c>
      <c r="AG171" s="2870"/>
      <c r="AH171" s="2877">
        <v>3.3033682666301512</v>
      </c>
      <c r="AI171" s="2875">
        <v>473433372</v>
      </c>
      <c r="AJ171" s="2869">
        <v>142.63300000000001</v>
      </c>
      <c r="AK171" s="2870">
        <v>250443388</v>
      </c>
      <c r="AL171" s="2870">
        <v>211514291</v>
      </c>
      <c r="AM171" s="2870">
        <v>0</v>
      </c>
      <c r="AN171" s="2870"/>
      <c r="AO171" s="2877">
        <v>3.2387854073040603</v>
      </c>
      <c r="AP171" s="2875">
        <v>461957679</v>
      </c>
      <c r="AQ171" s="2869">
        <v>173.70262500000001</v>
      </c>
      <c r="AR171" s="2870">
        <v>305538958</v>
      </c>
      <c r="AS171" s="2870">
        <v>274552944</v>
      </c>
      <c r="AT171" s="2870">
        <v>0</v>
      </c>
      <c r="AU171" s="2870"/>
      <c r="AV171" s="2877">
        <v>3.3395690019077144</v>
      </c>
      <c r="AW171" s="2875">
        <v>580091902</v>
      </c>
      <c r="AX171" s="2869">
        <v>160.8365</v>
      </c>
      <c r="AY171" s="2870">
        <v>277756927</v>
      </c>
      <c r="AZ171" s="2870">
        <v>249893376</v>
      </c>
      <c r="BA171" s="2870">
        <v>0</v>
      </c>
      <c r="BB171" s="2870"/>
      <c r="BC171" s="2877">
        <v>3.2806626791804101</v>
      </c>
      <c r="BD171" s="2875">
        <v>527650303</v>
      </c>
      <c r="BE171" s="2869">
        <v>120.235375</v>
      </c>
      <c r="BF171" s="2870">
        <v>205552883</v>
      </c>
      <c r="BG171" s="2870">
        <v>164913859</v>
      </c>
      <c r="BH171" s="2870">
        <v>0</v>
      </c>
      <c r="BI171" s="2870"/>
      <c r="BJ171" s="2877">
        <v>3.0811792452928266</v>
      </c>
      <c r="BK171" s="2875">
        <v>370466742</v>
      </c>
      <c r="BL171" s="2869">
        <v>200.2645</v>
      </c>
      <c r="BM171" s="2870">
        <v>399487825</v>
      </c>
      <c r="BN171" s="2870">
        <v>340167046</v>
      </c>
      <c r="BO171" s="2870">
        <v>0</v>
      </c>
      <c r="BP171" s="2870"/>
      <c r="BQ171" s="2877">
        <v>3.6933898469274387</v>
      </c>
      <c r="BR171" s="2875">
        <v>739654871</v>
      </c>
      <c r="BS171" s="2869">
        <v>124.4645</v>
      </c>
      <c r="BT171" s="2870">
        <v>220440114</v>
      </c>
      <c r="BU171" s="2870">
        <v>174929375</v>
      </c>
      <c r="BV171" s="2870">
        <v>0</v>
      </c>
      <c r="BW171" s="2870"/>
      <c r="BX171" s="2877">
        <v>3.1765643135191159</v>
      </c>
      <c r="BY171" s="2897">
        <v>395369489</v>
      </c>
      <c r="BZ171" s="2869">
        <v>126.574</v>
      </c>
      <c r="CA171" s="2870">
        <v>211859561</v>
      </c>
      <c r="CB171" s="2870">
        <v>176722937</v>
      </c>
      <c r="CC171" s="2870">
        <v>0</v>
      </c>
      <c r="CD171" s="2870">
        <v>173683266</v>
      </c>
      <c r="CE171" s="2877">
        <v>4.4421900548295863</v>
      </c>
      <c r="CF171" s="2897">
        <v>562265764</v>
      </c>
      <c r="CG171" s="2869">
        <v>109.44</v>
      </c>
      <c r="CH171" s="2870">
        <v>183202560</v>
      </c>
      <c r="CI171" s="2870">
        <v>149870938</v>
      </c>
      <c r="CJ171" s="2870">
        <v>0</v>
      </c>
      <c r="CK171" s="2870"/>
      <c r="CL171" s="2877">
        <v>3.0434347404970761</v>
      </c>
      <c r="CM171" s="2897">
        <v>333073498</v>
      </c>
      <c r="CN171" s="2872">
        <v>157.52699999999999</v>
      </c>
      <c r="CO171" s="2870">
        <v>267401131</v>
      </c>
      <c r="CP171" s="2870">
        <v>239627435</v>
      </c>
      <c r="CQ171" s="2870">
        <v>953678733</v>
      </c>
      <c r="CR171" s="2870">
        <v>201465495</v>
      </c>
      <c r="CS171" s="2877">
        <v>10.551669199565788</v>
      </c>
      <c r="CT171" s="2875">
        <v>1662172794</v>
      </c>
      <c r="CU171" s="2878">
        <v>1621.6438750000002</v>
      </c>
      <c r="CV171" s="2870">
        <v>2874146270</v>
      </c>
      <c r="CW171" s="2870">
        <v>2452935827</v>
      </c>
      <c r="CX171" s="2870">
        <v>878851149</v>
      </c>
      <c r="CY171" s="2870">
        <v>375148761</v>
      </c>
      <c r="CZ171" s="2879">
        <v>4.0582782129029402</v>
      </c>
      <c r="DA171" s="2875">
        <v>6581082007</v>
      </c>
      <c r="DJ171" s="1611" t="s">
        <v>1649</v>
      </c>
      <c r="DK171" s="2782" t="s">
        <v>1649</v>
      </c>
      <c r="DM171" s="1650">
        <v>1.5126230023839233</v>
      </c>
    </row>
    <row r="172" spans="1:117" ht="21" customHeight="1">
      <c r="A172" s="1652">
        <v>17</v>
      </c>
      <c r="B172" s="1644" t="s">
        <v>1779</v>
      </c>
      <c r="C172" s="1662" t="s">
        <v>1594</v>
      </c>
      <c r="D172" s="1646" t="e">
        <v>#VALUE!</v>
      </c>
      <c r="E172" s="1646"/>
      <c r="F172" s="1699" t="s">
        <v>1594</v>
      </c>
      <c r="G172" s="1648"/>
      <c r="H172" s="1648" t="s">
        <v>1594</v>
      </c>
      <c r="I172" s="1648" t="s">
        <v>1649</v>
      </c>
      <c r="J172" s="1649">
        <v>1</v>
      </c>
      <c r="K172" s="1648"/>
      <c r="L172" s="1648"/>
      <c r="M172" s="1648"/>
      <c r="N172" s="1642"/>
      <c r="O172" s="2876">
        <v>29.466218000000001</v>
      </c>
      <c r="P172" s="2870">
        <v>111260505</v>
      </c>
      <c r="Q172" s="2870">
        <v>59492294</v>
      </c>
      <c r="R172" s="2870"/>
      <c r="S172" s="2870"/>
      <c r="T172" s="2870">
        <v>5.7948664806593095</v>
      </c>
      <c r="U172" s="2875">
        <v>170752799</v>
      </c>
      <c r="V172" s="2869">
        <v>29.901558999999999</v>
      </c>
      <c r="W172" s="2870">
        <v>111260505</v>
      </c>
      <c r="X172" s="2870">
        <v>57530600</v>
      </c>
      <c r="Y172" s="2870">
        <v>-5734668</v>
      </c>
      <c r="Z172" s="2870"/>
      <c r="AA172" s="2877">
        <v>5.4531082141904372</v>
      </c>
      <c r="AB172" s="2875">
        <v>163056437</v>
      </c>
      <c r="AC172" s="2869">
        <v>37.850000999999999</v>
      </c>
      <c r="AD172" s="2870">
        <v>111260505</v>
      </c>
      <c r="AE172" s="2870">
        <v>72028552</v>
      </c>
      <c r="AF172" s="2870">
        <v>-48312313</v>
      </c>
      <c r="AG172" s="2870"/>
      <c r="AH172" s="2877">
        <v>3.5660961805522806</v>
      </c>
      <c r="AI172" s="2875">
        <v>134976744</v>
      </c>
      <c r="AJ172" s="2869">
        <v>40.773176999999997</v>
      </c>
      <c r="AK172" s="2870">
        <v>111260505</v>
      </c>
      <c r="AL172" s="2870">
        <v>82117178</v>
      </c>
      <c r="AM172" s="2870">
        <v>-2190086</v>
      </c>
      <c r="AN172" s="2870"/>
      <c r="AO172" s="2877">
        <v>4.6890532224162955</v>
      </c>
      <c r="AP172" s="2875">
        <v>191187597</v>
      </c>
      <c r="AQ172" s="2869"/>
      <c r="AR172" s="2870"/>
      <c r="AS172" s="2870"/>
      <c r="AT172" s="2870"/>
      <c r="AU172" s="2870"/>
      <c r="AV172" s="2877">
        <v>0</v>
      </c>
      <c r="AW172" s="2875">
        <v>0</v>
      </c>
      <c r="AX172" s="2869">
        <v>82.952472</v>
      </c>
      <c r="AY172" s="2870">
        <v>222521010</v>
      </c>
      <c r="AZ172" s="2870">
        <v>176362136</v>
      </c>
      <c r="BA172" s="2870">
        <v>-4457719</v>
      </c>
      <c r="BB172" s="2870"/>
      <c r="BC172" s="2877">
        <v>4.7548363236239659</v>
      </c>
      <c r="BD172" s="2875">
        <v>394425427</v>
      </c>
      <c r="BE172" s="2869">
        <v>35.283047000000003</v>
      </c>
      <c r="BF172" s="2870">
        <v>111260505</v>
      </c>
      <c r="BG172" s="2870">
        <v>78998742</v>
      </c>
      <c r="BH172" s="2870">
        <v>-6321295</v>
      </c>
      <c r="BI172" s="2870"/>
      <c r="BJ172" s="2877">
        <v>5.2132105257235866</v>
      </c>
      <c r="BK172" s="2875">
        <v>183937952</v>
      </c>
      <c r="BL172" s="2869">
        <v>20.105609999999999</v>
      </c>
      <c r="BM172" s="2870">
        <v>111260505</v>
      </c>
      <c r="BN172" s="2870">
        <v>44835510</v>
      </c>
      <c r="BO172" s="2870">
        <v>-11867296</v>
      </c>
      <c r="BP172" s="2870"/>
      <c r="BQ172" s="2877">
        <v>7.1735559876074388</v>
      </c>
      <c r="BR172" s="2875">
        <v>144228719</v>
      </c>
      <c r="BS172" s="2869">
        <v>30.455227000000001</v>
      </c>
      <c r="BT172" s="2870">
        <v>111260505</v>
      </c>
      <c r="BU172" s="2870">
        <v>69437918</v>
      </c>
      <c r="BV172" s="2870">
        <v>-3792601</v>
      </c>
      <c r="BW172" s="2870"/>
      <c r="BX172" s="2877">
        <v>5.8087178926625631</v>
      </c>
      <c r="BY172" s="2897">
        <v>176905822</v>
      </c>
      <c r="BZ172" s="2869">
        <v>29.980429000000001</v>
      </c>
      <c r="CA172" s="2870">
        <v>111260505</v>
      </c>
      <c r="CB172" s="2870">
        <v>64547864</v>
      </c>
      <c r="CC172" s="2870">
        <v>-2392927</v>
      </c>
      <c r="CD172" s="2870"/>
      <c r="CE172" s="2877">
        <v>5.7842882101520292</v>
      </c>
      <c r="CF172" s="2897">
        <v>173415442</v>
      </c>
      <c r="CG172" s="2869">
        <v>20.238803000000001</v>
      </c>
      <c r="CH172" s="2870">
        <v>111260505</v>
      </c>
      <c r="CI172" s="2870">
        <v>42825307</v>
      </c>
      <c r="CJ172" s="2870">
        <v>-132836</v>
      </c>
      <c r="CK172" s="2870"/>
      <c r="CL172" s="2877">
        <v>7.6068222018861489</v>
      </c>
      <c r="CM172" s="2897">
        <v>153952976</v>
      </c>
      <c r="CN172" s="2872">
        <v>32.96613</v>
      </c>
      <c r="CO172" s="2870">
        <v>111260505</v>
      </c>
      <c r="CP172" s="2870">
        <v>69690399</v>
      </c>
      <c r="CQ172" s="2870">
        <v>-4556984</v>
      </c>
      <c r="CR172" s="2870"/>
      <c r="CS172" s="2877">
        <v>5.3507621307080937</v>
      </c>
      <c r="CT172" s="2875">
        <v>176393920</v>
      </c>
      <c r="CU172" s="2878">
        <v>389.97267300000004</v>
      </c>
      <c r="CV172" s="2870">
        <v>1335126060</v>
      </c>
      <c r="CW172" s="2870">
        <v>817866500</v>
      </c>
      <c r="CX172" s="2870">
        <v>-89758725</v>
      </c>
      <c r="CY172" s="2870">
        <v>0</v>
      </c>
      <c r="CZ172" s="2879">
        <v>5.290713882918662</v>
      </c>
      <c r="DA172" s="2875">
        <v>2063233835</v>
      </c>
      <c r="DJ172" s="1611" t="s">
        <v>1649</v>
      </c>
      <c r="DK172" s="2782" t="s">
        <v>1649</v>
      </c>
      <c r="DM172" s="1650">
        <v>2.0972405417750895</v>
      </c>
    </row>
    <row r="173" spans="1:117" ht="21" customHeight="1">
      <c r="A173" s="1652">
        <v>18</v>
      </c>
      <c r="B173" s="1644"/>
      <c r="C173" s="1662"/>
      <c r="D173" s="1648"/>
      <c r="E173" s="1648"/>
      <c r="F173" s="1648"/>
      <c r="G173" s="1648"/>
      <c r="H173" s="1648"/>
      <c r="I173" s="1648"/>
      <c r="J173" s="1649"/>
      <c r="K173" s="1648"/>
      <c r="L173" s="1648"/>
      <c r="M173" s="1648"/>
      <c r="N173" s="1642"/>
      <c r="O173" s="2876"/>
      <c r="P173" s="2870"/>
      <c r="Q173" s="2870"/>
      <c r="R173" s="2870"/>
      <c r="S173" s="2870"/>
      <c r="T173" s="2870"/>
      <c r="U173" s="2875">
        <v>0</v>
      </c>
      <c r="V173" s="2869"/>
      <c r="W173" s="2870"/>
      <c r="X173" s="2870"/>
      <c r="Y173" s="2870"/>
      <c r="Z173" s="2870"/>
      <c r="AA173" s="2877"/>
      <c r="AB173" s="2875">
        <v>0</v>
      </c>
      <c r="AC173" s="2869"/>
      <c r="AD173" s="2870"/>
      <c r="AE173" s="2870"/>
      <c r="AF173" s="2870"/>
      <c r="AG173" s="2870"/>
      <c r="AH173" s="2877"/>
      <c r="AI173" s="2875"/>
      <c r="AJ173" s="2869"/>
      <c r="AK173" s="2870"/>
      <c r="AL173" s="2870"/>
      <c r="AM173" s="2870"/>
      <c r="AN173" s="2870"/>
      <c r="AO173" s="2877"/>
      <c r="AP173" s="2875"/>
      <c r="AQ173" s="2869"/>
      <c r="AR173" s="2870"/>
      <c r="AS173" s="2870"/>
      <c r="AT173" s="2870"/>
      <c r="AU173" s="2870"/>
      <c r="AV173" s="2877"/>
      <c r="AW173" s="2875"/>
      <c r="AX173" s="2869"/>
      <c r="AY173" s="2870"/>
      <c r="AZ173" s="2870"/>
      <c r="BA173" s="2870"/>
      <c r="BB173" s="2870"/>
      <c r="BC173" s="2877"/>
      <c r="BD173" s="2875"/>
      <c r="BE173" s="2869"/>
      <c r="BF173" s="2870"/>
      <c r="BG173" s="2870"/>
      <c r="BH173" s="2870"/>
      <c r="BI173" s="2870"/>
      <c r="BJ173" s="2877"/>
      <c r="BK173" s="2875"/>
      <c r="BL173" s="2869"/>
      <c r="BM173" s="2870"/>
      <c r="BN173" s="2870"/>
      <c r="BO173" s="2870"/>
      <c r="BP173" s="2870"/>
      <c r="BQ173" s="2877"/>
      <c r="BR173" s="2875"/>
      <c r="BS173" s="2869"/>
      <c r="BT173" s="2870"/>
      <c r="BU173" s="2870"/>
      <c r="BV173" s="2870"/>
      <c r="BW173" s="2870"/>
      <c r="BX173" s="2877"/>
      <c r="BY173" s="2875">
        <v>0</v>
      </c>
      <c r="BZ173" s="2869"/>
      <c r="CA173" s="2870"/>
      <c r="CB173" s="2870"/>
      <c r="CC173" s="2870"/>
      <c r="CD173" s="2870"/>
      <c r="CE173" s="2877"/>
      <c r="CF173" s="2875">
        <v>0</v>
      </c>
      <c r="CG173" s="2869"/>
      <c r="CH173" s="2870"/>
      <c r="CI173" s="2870"/>
      <c r="CJ173" s="2870"/>
      <c r="CK173" s="2870"/>
      <c r="CL173" s="2877"/>
      <c r="CM173" s="2875">
        <v>0</v>
      </c>
      <c r="CN173" s="2872"/>
      <c r="CO173" s="2870"/>
      <c r="CP173" s="2870"/>
      <c r="CQ173" s="2870"/>
      <c r="CR173" s="2870"/>
      <c r="CS173" s="2877"/>
      <c r="CT173" s="2875">
        <v>0</v>
      </c>
      <c r="CU173" s="2878">
        <v>0</v>
      </c>
      <c r="CV173" s="2870">
        <v>0</v>
      </c>
      <c r="CW173" s="2870">
        <v>0</v>
      </c>
      <c r="CX173" s="2870">
        <v>0</v>
      </c>
      <c r="CY173" s="2870">
        <v>0</v>
      </c>
      <c r="CZ173" s="2879">
        <v>0</v>
      </c>
      <c r="DA173" s="2875">
        <v>0</v>
      </c>
      <c r="DJ173" s="1611" t="e">
        <v>#N/A</v>
      </c>
      <c r="DK173" s="2782" t="e">
        <v>#N/A</v>
      </c>
      <c r="DM173" s="1650">
        <v>0</v>
      </c>
    </row>
    <row r="174" spans="1:117" ht="21" customHeight="1">
      <c r="A174" s="1652">
        <v>19</v>
      </c>
      <c r="B174" s="1644"/>
      <c r="C174" s="1662"/>
      <c r="D174" s="1648"/>
      <c r="E174" s="1648"/>
      <c r="F174" s="1648"/>
      <c r="G174" s="1648"/>
      <c r="H174" s="1648"/>
      <c r="I174" s="1648"/>
      <c r="J174" s="1649"/>
      <c r="K174" s="1648"/>
      <c r="L174" s="1648"/>
      <c r="M174" s="1648"/>
      <c r="N174" s="1642"/>
      <c r="O174" s="2876"/>
      <c r="P174" s="2870"/>
      <c r="Q174" s="2870"/>
      <c r="R174" s="2870"/>
      <c r="S174" s="2870"/>
      <c r="T174" s="2870"/>
      <c r="U174" s="2875">
        <v>0</v>
      </c>
      <c r="V174" s="2869"/>
      <c r="W174" s="2870"/>
      <c r="X174" s="2870"/>
      <c r="Y174" s="2870"/>
      <c r="Z174" s="2870"/>
      <c r="AA174" s="2877"/>
      <c r="AB174" s="2875">
        <v>0</v>
      </c>
      <c r="AC174" s="2869"/>
      <c r="AD174" s="2870"/>
      <c r="AE174" s="2870"/>
      <c r="AF174" s="2870"/>
      <c r="AG174" s="2870"/>
      <c r="AH174" s="2877"/>
      <c r="AI174" s="2875">
        <v>0</v>
      </c>
      <c r="AJ174" s="2869"/>
      <c r="AK174" s="2870"/>
      <c r="AL174" s="2870"/>
      <c r="AM174" s="2870"/>
      <c r="AN174" s="2870"/>
      <c r="AO174" s="2877"/>
      <c r="AP174" s="2875">
        <v>0</v>
      </c>
      <c r="AQ174" s="2869"/>
      <c r="AR174" s="2870"/>
      <c r="AS174" s="2870"/>
      <c r="AT174" s="2870"/>
      <c r="AU174" s="2870"/>
      <c r="AV174" s="2877"/>
      <c r="AW174" s="2875">
        <v>0</v>
      </c>
      <c r="AX174" s="2869"/>
      <c r="AY174" s="2870"/>
      <c r="AZ174" s="2870"/>
      <c r="BA174" s="2870"/>
      <c r="BB174" s="2870"/>
      <c r="BC174" s="2877"/>
      <c r="BD174" s="2875">
        <v>0</v>
      </c>
      <c r="BE174" s="2869"/>
      <c r="BF174" s="2870"/>
      <c r="BG174" s="2870"/>
      <c r="BH174" s="2870"/>
      <c r="BI174" s="2870"/>
      <c r="BJ174" s="2877"/>
      <c r="BK174" s="2875">
        <v>0</v>
      </c>
      <c r="BL174" s="2869"/>
      <c r="BM174" s="2870"/>
      <c r="BN174" s="2870"/>
      <c r="BO174" s="2870"/>
      <c r="BP174" s="2870"/>
      <c r="BQ174" s="2877"/>
      <c r="BR174" s="2875">
        <v>0</v>
      </c>
      <c r="BS174" s="2869"/>
      <c r="BT174" s="2870"/>
      <c r="BU174" s="2870"/>
      <c r="BV174" s="2870"/>
      <c r="BW174" s="2870"/>
      <c r="BX174" s="2877"/>
      <c r="BY174" s="2875">
        <v>0</v>
      </c>
      <c r="BZ174" s="2869"/>
      <c r="CA174" s="2870"/>
      <c r="CB174" s="2870"/>
      <c r="CC174" s="2870"/>
      <c r="CD174" s="2870"/>
      <c r="CE174" s="2877"/>
      <c r="CF174" s="2875">
        <v>0</v>
      </c>
      <c r="CG174" s="2869"/>
      <c r="CH174" s="2870"/>
      <c r="CI174" s="2870"/>
      <c r="CJ174" s="2870"/>
      <c r="CK174" s="2870"/>
      <c r="CL174" s="2877"/>
      <c r="CM174" s="2875">
        <v>0</v>
      </c>
      <c r="CN174" s="2872"/>
      <c r="CO174" s="2870"/>
      <c r="CP174" s="2870"/>
      <c r="CQ174" s="2870"/>
      <c r="CR174" s="2870"/>
      <c r="CS174" s="2877"/>
      <c r="CT174" s="2875">
        <v>0</v>
      </c>
      <c r="CU174" s="2878">
        <v>0</v>
      </c>
      <c r="CV174" s="2870">
        <v>0</v>
      </c>
      <c r="CW174" s="2870">
        <v>0</v>
      </c>
      <c r="CX174" s="2870">
        <v>0</v>
      </c>
      <c r="CY174" s="2870">
        <v>0</v>
      </c>
      <c r="CZ174" s="2879">
        <v>0</v>
      </c>
      <c r="DA174" s="2875">
        <v>0</v>
      </c>
      <c r="DJ174" s="1611" t="e">
        <v>#N/A</v>
      </c>
      <c r="DK174" s="2782" t="e">
        <v>#N/A</v>
      </c>
      <c r="DM174" s="1650">
        <v>0</v>
      </c>
    </row>
    <row r="175" spans="1:117" ht="21" customHeight="1">
      <c r="A175" s="1652">
        <v>20</v>
      </c>
      <c r="B175" s="1700"/>
      <c r="D175" s="1648"/>
      <c r="E175" s="1648"/>
      <c r="F175" s="1648"/>
      <c r="G175" s="1648"/>
      <c r="H175" s="1648"/>
      <c r="I175" s="1641"/>
      <c r="J175" s="1649"/>
      <c r="K175" s="1641"/>
      <c r="L175" s="1648"/>
      <c r="M175" s="1648"/>
      <c r="N175" s="1671"/>
      <c r="O175" s="2876"/>
      <c r="P175" s="2874"/>
      <c r="Q175" s="2874"/>
      <c r="R175" s="2870"/>
      <c r="S175" s="2870"/>
      <c r="T175" s="2870"/>
      <c r="U175" s="2875">
        <v>0</v>
      </c>
      <c r="V175" s="2876"/>
      <c r="W175" s="2874"/>
      <c r="X175" s="2874"/>
      <c r="Y175" s="2870"/>
      <c r="Z175" s="2870"/>
      <c r="AA175" s="2877"/>
      <c r="AB175" s="2875">
        <v>0</v>
      </c>
      <c r="AC175" s="2876"/>
      <c r="AD175" s="2874"/>
      <c r="AE175" s="2874"/>
      <c r="AF175" s="2870"/>
      <c r="AG175" s="2870"/>
      <c r="AH175" s="2877"/>
      <c r="AI175" s="2875">
        <v>0</v>
      </c>
      <c r="AJ175" s="2876"/>
      <c r="AK175" s="2874"/>
      <c r="AL175" s="2874"/>
      <c r="AM175" s="2870"/>
      <c r="AN175" s="2870"/>
      <c r="AO175" s="2877"/>
      <c r="AP175" s="2875">
        <v>0</v>
      </c>
      <c r="AQ175" s="2876"/>
      <c r="AR175" s="2874"/>
      <c r="AS175" s="2874"/>
      <c r="AT175" s="2870"/>
      <c r="AU175" s="2870"/>
      <c r="AV175" s="2877"/>
      <c r="AW175" s="2875">
        <v>0</v>
      </c>
      <c r="AX175" s="2876"/>
      <c r="AY175" s="2874"/>
      <c r="AZ175" s="2874"/>
      <c r="BA175" s="2870"/>
      <c r="BB175" s="2870"/>
      <c r="BC175" s="2877"/>
      <c r="BD175" s="2875">
        <v>0</v>
      </c>
      <c r="BE175" s="2876"/>
      <c r="BF175" s="2874"/>
      <c r="BG175" s="2874"/>
      <c r="BH175" s="2870"/>
      <c r="BI175" s="2870"/>
      <c r="BJ175" s="2877"/>
      <c r="BK175" s="2875">
        <v>0</v>
      </c>
      <c r="BL175" s="2876"/>
      <c r="BM175" s="2874"/>
      <c r="BN175" s="2874"/>
      <c r="BO175" s="2870"/>
      <c r="BP175" s="2870"/>
      <c r="BQ175" s="2877"/>
      <c r="BR175" s="2875">
        <v>0</v>
      </c>
      <c r="BS175" s="2876"/>
      <c r="BT175" s="2874"/>
      <c r="BU175" s="2874"/>
      <c r="BV175" s="2870"/>
      <c r="BW175" s="2870"/>
      <c r="BX175" s="2877"/>
      <c r="BY175" s="2875">
        <v>0</v>
      </c>
      <c r="BZ175" s="2876"/>
      <c r="CA175" s="2874"/>
      <c r="CB175" s="2874"/>
      <c r="CC175" s="2870"/>
      <c r="CD175" s="2870"/>
      <c r="CE175" s="2877"/>
      <c r="CF175" s="2875">
        <v>0</v>
      </c>
      <c r="CG175" s="2876"/>
      <c r="CH175" s="2874"/>
      <c r="CI175" s="2874"/>
      <c r="CJ175" s="2870"/>
      <c r="CK175" s="2870"/>
      <c r="CL175" s="2877"/>
      <c r="CM175" s="2875">
        <v>0</v>
      </c>
      <c r="CN175" s="2880"/>
      <c r="CO175" s="2874"/>
      <c r="CP175" s="2874"/>
      <c r="CQ175" s="2870"/>
      <c r="CR175" s="2870"/>
      <c r="CS175" s="2877"/>
      <c r="CT175" s="2875">
        <v>0</v>
      </c>
      <c r="CU175" s="2878">
        <v>0</v>
      </c>
      <c r="CV175" s="2870">
        <v>0</v>
      </c>
      <c r="CW175" s="2870">
        <v>0</v>
      </c>
      <c r="CX175" s="2870">
        <v>0</v>
      </c>
      <c r="CY175" s="2870">
        <v>0</v>
      </c>
      <c r="CZ175" s="2879">
        <v>0</v>
      </c>
      <c r="DA175" s="2875">
        <v>0</v>
      </c>
      <c r="DJ175" s="1611" t="e">
        <v>#N/A</v>
      </c>
      <c r="DK175" s="2782" t="e">
        <v>#N/A</v>
      </c>
      <c r="DM175" s="1650">
        <v>0</v>
      </c>
    </row>
    <row r="176" spans="1:117" s="1727" customFormat="1" ht="21" customHeight="1">
      <c r="A176" s="1637"/>
      <c r="B176" s="1638" t="s">
        <v>211</v>
      </c>
      <c r="C176" s="1643"/>
      <c r="D176" s="1641"/>
      <c r="E176" s="1641"/>
      <c r="F176" s="1641"/>
      <c r="G176" s="1641"/>
      <c r="H176" s="1641"/>
      <c r="I176" s="1641"/>
      <c r="J176" s="1649"/>
      <c r="K176" s="1641"/>
      <c r="L176" s="1641"/>
      <c r="M176" s="1641"/>
      <c r="N176" s="1671"/>
      <c r="O176" s="2876">
        <v>2994.7403569999997</v>
      </c>
      <c r="P176" s="2874">
        <v>8811978421</v>
      </c>
      <c r="Q176" s="2874">
        <v>7423937793</v>
      </c>
      <c r="R176" s="2874">
        <v>-122727418</v>
      </c>
      <c r="S176" s="2874"/>
      <c r="T176" s="2879">
        <v>5.380496094873978</v>
      </c>
      <c r="U176" s="2875">
        <v>16113188796</v>
      </c>
      <c r="V176" s="2876">
        <v>3860.8585419999999</v>
      </c>
      <c r="W176" s="2874">
        <v>9238445111</v>
      </c>
      <c r="X176" s="2874">
        <v>9045382964</v>
      </c>
      <c r="Y176" s="2874">
        <v>-93407069.5</v>
      </c>
      <c r="Z176" s="2874">
        <v>0</v>
      </c>
      <c r="AA176" s="2879">
        <v>4.7114963699439265</v>
      </c>
      <c r="AB176" s="2875">
        <v>18190421005.5</v>
      </c>
      <c r="AC176" s="2876">
        <v>3500.5004159999989</v>
      </c>
      <c r="AD176" s="2874">
        <v>7992586170</v>
      </c>
      <c r="AE176" s="2874">
        <v>8271836520</v>
      </c>
      <c r="AF176" s="2874">
        <v>92627891</v>
      </c>
      <c r="AG176" s="2874">
        <v>0</v>
      </c>
      <c r="AH176" s="2879">
        <v>4.6727749284746851</v>
      </c>
      <c r="AI176" s="2875">
        <v>16357050581</v>
      </c>
      <c r="AJ176" s="2876">
        <v>5507.9473630000002</v>
      </c>
      <c r="AK176" s="2874">
        <v>9094944625</v>
      </c>
      <c r="AL176" s="2874">
        <v>11961660280</v>
      </c>
      <c r="AM176" s="2874">
        <v>2675582863</v>
      </c>
      <c r="AN176" s="2874">
        <v>12111836</v>
      </c>
      <c r="AO176" s="2879">
        <v>4.3109162159943466</v>
      </c>
      <c r="AP176" s="2875">
        <v>23744299604</v>
      </c>
      <c r="AQ176" s="2876">
        <v>4618.3665380000002</v>
      </c>
      <c r="AR176" s="2874">
        <v>9150927544</v>
      </c>
      <c r="AS176" s="2874">
        <v>11612060167</v>
      </c>
      <c r="AT176" s="2874">
        <v>248915816</v>
      </c>
      <c r="AU176" s="2874">
        <v>137401793</v>
      </c>
      <c r="AV176" s="2879">
        <v>4.5793908183733683</v>
      </c>
      <c r="AW176" s="2875">
        <v>21149305320</v>
      </c>
      <c r="AX176" s="2876">
        <v>5515.6900690000002</v>
      </c>
      <c r="AY176" s="2874">
        <v>9347658523</v>
      </c>
      <c r="AZ176" s="2874">
        <v>13451236125</v>
      </c>
      <c r="BA176" s="2874">
        <v>99108607</v>
      </c>
      <c r="BB176" s="2874">
        <v>0</v>
      </c>
      <c r="BC176" s="2879">
        <v>4.1514303683766318</v>
      </c>
      <c r="BD176" s="2875">
        <v>22898003255</v>
      </c>
      <c r="BE176" s="2876">
        <v>5025.172012</v>
      </c>
      <c r="BF176" s="2874">
        <v>9260803474.6700001</v>
      </c>
      <c r="BG176" s="2874">
        <v>12019396452.290001</v>
      </c>
      <c r="BH176" s="2874">
        <v>243792214</v>
      </c>
      <c r="BI176" s="2874">
        <v>0</v>
      </c>
      <c r="BJ176" s="2879">
        <v>4.2832349001310162</v>
      </c>
      <c r="BK176" s="2875">
        <v>21523992140.959999</v>
      </c>
      <c r="BL176" s="2876">
        <v>3521.2993389999997</v>
      </c>
      <c r="BM176" s="2874">
        <v>9231325594.5100002</v>
      </c>
      <c r="BN176" s="2874">
        <v>7899083433</v>
      </c>
      <c r="BO176" s="2874">
        <v>138468538</v>
      </c>
      <c r="BP176" s="2874">
        <v>0</v>
      </c>
      <c r="BQ176" s="2879">
        <v>4.9041208664793956</v>
      </c>
      <c r="BR176" s="2875">
        <v>17268877565.510002</v>
      </c>
      <c r="BS176" s="2876">
        <v>3979.854754</v>
      </c>
      <c r="BT176" s="2874">
        <v>9250951555.8299999</v>
      </c>
      <c r="BU176" s="2874">
        <v>9473262917.9500008</v>
      </c>
      <c r="BV176" s="2874">
        <v>307135847</v>
      </c>
      <c r="BW176" s="2874">
        <v>693671354</v>
      </c>
      <c r="BX176" s="2879">
        <v>4.9562164686927668</v>
      </c>
      <c r="BY176" s="2875">
        <v>19725021674.779999</v>
      </c>
      <c r="BZ176" s="2876">
        <v>4149.5661970000001</v>
      </c>
      <c r="CA176" s="2874">
        <v>9182490065.2000008</v>
      </c>
      <c r="CB176" s="2874">
        <v>9412856237.4400005</v>
      </c>
      <c r="CC176" s="2874">
        <v>203139443</v>
      </c>
      <c r="CD176" s="2874">
        <v>173683266</v>
      </c>
      <c r="CE176" s="2879">
        <v>4.5720849146487295</v>
      </c>
      <c r="CF176" s="2875">
        <v>18972169011.639999</v>
      </c>
      <c r="CG176" s="2876">
        <v>3988.9030000000002</v>
      </c>
      <c r="CH176" s="2874">
        <v>11710636979.02</v>
      </c>
      <c r="CI176" s="2874">
        <v>9040875000.7799988</v>
      </c>
      <c r="CJ176" s="2874">
        <v>1368990919</v>
      </c>
      <c r="CK176" s="2874">
        <v>0</v>
      </c>
      <c r="CL176" s="2879">
        <v>5.5455103568073723</v>
      </c>
      <c r="CM176" s="2875">
        <v>22120502898.799999</v>
      </c>
      <c r="CN176" s="2880">
        <v>3893.7604843000004</v>
      </c>
      <c r="CO176" s="2874">
        <v>9692593715.2099991</v>
      </c>
      <c r="CP176" s="2874">
        <v>9070496948.8800011</v>
      </c>
      <c r="CQ176" s="2874">
        <v>21766709119.850002</v>
      </c>
      <c r="CR176" s="2874">
        <v>11682236554</v>
      </c>
      <c r="CS176" s="2879">
        <v>13.409154607342627</v>
      </c>
      <c r="CT176" s="2875">
        <v>52212036337.940002</v>
      </c>
      <c r="CU176" s="2881">
        <v>50556.659071299997</v>
      </c>
      <c r="CV176" s="2874">
        <v>111965341778.44</v>
      </c>
      <c r="CW176" s="2874">
        <v>118682084839.34</v>
      </c>
      <c r="CX176" s="2874">
        <v>26928336770.350002</v>
      </c>
      <c r="CY176" s="2874">
        <v>12699104803</v>
      </c>
      <c r="CZ176" s="2879">
        <v>5.3459796030026761</v>
      </c>
      <c r="DA176" s="2875">
        <v>270274868191.13</v>
      </c>
      <c r="DB176" s="1609"/>
      <c r="DD176" s="1625"/>
      <c r="DJ176" s="1611" t="e">
        <v>#N/A</v>
      </c>
      <c r="DK176" s="2782">
        <v>0</v>
      </c>
      <c r="DM176" s="1650">
        <v>2.3475064812325277</v>
      </c>
    </row>
    <row r="177" spans="1:117" ht="21" customHeight="1">
      <c r="A177" s="1652"/>
      <c r="B177" s="1638"/>
      <c r="C177" s="1662"/>
      <c r="D177" s="1648"/>
      <c r="E177" s="1648"/>
      <c r="F177" s="1648"/>
      <c r="G177" s="1648"/>
      <c r="H177" s="1648"/>
      <c r="I177" s="1641"/>
      <c r="J177" s="1649"/>
      <c r="K177" s="1641"/>
      <c r="L177" s="1648"/>
      <c r="M177" s="1648"/>
      <c r="N177" s="1671"/>
      <c r="O177" s="2876"/>
      <c r="P177" s="2870"/>
      <c r="Q177" s="2874"/>
      <c r="R177" s="2870"/>
      <c r="S177" s="2870"/>
      <c r="T177" s="2870"/>
      <c r="U177" s="2875">
        <v>0</v>
      </c>
      <c r="V177" s="2876"/>
      <c r="W177" s="2874"/>
      <c r="X177" s="2874"/>
      <c r="Y177" s="2870"/>
      <c r="Z177" s="2870"/>
      <c r="AA177" s="2877"/>
      <c r="AB177" s="2875">
        <v>0</v>
      </c>
      <c r="AC177" s="2876"/>
      <c r="AD177" s="2874"/>
      <c r="AE177" s="2874"/>
      <c r="AF177" s="2870"/>
      <c r="AG177" s="2870"/>
      <c r="AH177" s="2877"/>
      <c r="AI177" s="2875">
        <v>0</v>
      </c>
      <c r="AJ177" s="2876"/>
      <c r="AK177" s="2874"/>
      <c r="AL177" s="2874"/>
      <c r="AM177" s="2870"/>
      <c r="AN177" s="2870"/>
      <c r="AO177" s="2877"/>
      <c r="AP177" s="2875">
        <v>0</v>
      </c>
      <c r="AQ177" s="2876"/>
      <c r="AR177" s="2874"/>
      <c r="AS177" s="2874"/>
      <c r="AT177" s="2870"/>
      <c r="AU177" s="2870"/>
      <c r="AV177" s="2877"/>
      <c r="AW177" s="2875">
        <v>0</v>
      </c>
      <c r="AX177" s="2876"/>
      <c r="AY177" s="2874"/>
      <c r="AZ177" s="2874">
        <v>0</v>
      </c>
      <c r="BA177" s="2870"/>
      <c r="BB177" s="2870"/>
      <c r="BC177" s="2877"/>
      <c r="BD177" s="2875">
        <v>0</v>
      </c>
      <c r="BE177" s="2876"/>
      <c r="BF177" s="2874"/>
      <c r="BG177" s="2874"/>
      <c r="BH177" s="2870"/>
      <c r="BI177" s="2870"/>
      <c r="BJ177" s="2877"/>
      <c r="BK177" s="2875">
        <v>0</v>
      </c>
      <c r="BL177" s="2876"/>
      <c r="BM177" s="2874"/>
      <c r="BN177" s="2874"/>
      <c r="BO177" s="2870"/>
      <c r="BP177" s="2870"/>
      <c r="BQ177" s="2877"/>
      <c r="BR177" s="2875">
        <v>0</v>
      </c>
      <c r="BS177" s="2876"/>
      <c r="BT177" s="2874"/>
      <c r="BU177" s="2874"/>
      <c r="BV177" s="2870"/>
      <c r="BW177" s="2870"/>
      <c r="BX177" s="2877"/>
      <c r="BY177" s="2875">
        <v>0</v>
      </c>
      <c r="BZ177" s="2876" t="s">
        <v>541</v>
      </c>
      <c r="CA177" s="2874"/>
      <c r="CB177" s="2874"/>
      <c r="CC177" s="2870"/>
      <c r="CD177" s="2870"/>
      <c r="CE177" s="2877"/>
      <c r="CF177" s="2875">
        <v>0</v>
      </c>
      <c r="CG177" s="2876" t="s">
        <v>541</v>
      </c>
      <c r="CH177" s="2874"/>
      <c r="CI177" s="2874"/>
      <c r="CJ177" s="2870"/>
      <c r="CK177" s="2870"/>
      <c r="CL177" s="2877"/>
      <c r="CM177" s="2875">
        <v>0</v>
      </c>
      <c r="CN177" s="2880" t="s">
        <v>541</v>
      </c>
      <c r="CO177" s="2874"/>
      <c r="CP177" s="2874"/>
      <c r="CQ177" s="2870"/>
      <c r="CR177" s="2870"/>
      <c r="CS177" s="2877"/>
      <c r="CT177" s="2875">
        <v>0</v>
      </c>
      <c r="CU177" s="2878"/>
      <c r="CV177" s="2870"/>
      <c r="CW177" s="2870"/>
      <c r="CX177" s="2870"/>
      <c r="CY177" s="2870"/>
      <c r="CZ177" s="2879"/>
      <c r="DA177" s="2875"/>
      <c r="DJ177" s="1611" t="e">
        <v>#N/A</v>
      </c>
      <c r="DK177" s="2782" t="e">
        <v>#N/A</v>
      </c>
      <c r="DM177" s="1650">
        <v>0</v>
      </c>
    </row>
    <row r="178" spans="1:117" ht="21" customHeight="1">
      <c r="A178" s="1652"/>
      <c r="B178" s="1638" t="s">
        <v>1781</v>
      </c>
      <c r="C178" s="1662"/>
      <c r="D178" s="1648"/>
      <c r="E178" s="1648"/>
      <c r="F178" s="1648"/>
      <c r="G178" s="1648"/>
      <c r="H178" s="1648"/>
      <c r="I178" s="1648"/>
      <c r="J178" s="1663"/>
      <c r="K178" s="1648"/>
      <c r="L178" s="1648"/>
      <c r="M178" s="1648"/>
      <c r="N178" s="1642"/>
      <c r="O178" s="2876"/>
      <c r="P178" s="2870"/>
      <c r="Q178" s="2870"/>
      <c r="R178" s="2870"/>
      <c r="S178" s="2870"/>
      <c r="T178" s="2870"/>
      <c r="U178" s="2875">
        <v>0</v>
      </c>
      <c r="V178" s="2869"/>
      <c r="W178" s="2870"/>
      <c r="X178" s="2870"/>
      <c r="Y178" s="2870"/>
      <c r="Z178" s="2870"/>
      <c r="AA178" s="2877"/>
      <c r="AB178" s="2875">
        <v>0</v>
      </c>
      <c r="AC178" s="2869"/>
      <c r="AD178" s="2870"/>
      <c r="AE178" s="2870"/>
      <c r="AF178" s="2870"/>
      <c r="AG178" s="2870"/>
      <c r="AH178" s="2877"/>
      <c r="AI178" s="2875">
        <v>0</v>
      </c>
      <c r="AJ178" s="2869"/>
      <c r="AK178" s="2870"/>
      <c r="AL178" s="2870"/>
      <c r="AM178" s="2870"/>
      <c r="AN178" s="2870"/>
      <c r="AO178" s="2877"/>
      <c r="AP178" s="2875">
        <v>0</v>
      </c>
      <c r="AQ178" s="2869"/>
      <c r="AR178" s="2870"/>
      <c r="AS178" s="2870"/>
      <c r="AT178" s="2870"/>
      <c r="AU178" s="2870"/>
      <c r="AV178" s="2877"/>
      <c r="AW178" s="2875">
        <v>0</v>
      </c>
      <c r="AX178" s="2869"/>
      <c r="AY178" s="2870"/>
      <c r="AZ178" s="2870"/>
      <c r="BA178" s="2870"/>
      <c r="BB178" s="2870"/>
      <c r="BC178" s="2877"/>
      <c r="BD178" s="2875">
        <v>0</v>
      </c>
      <c r="BE178" s="2869"/>
      <c r="BF178" s="2870"/>
      <c r="BG178" s="2870"/>
      <c r="BH178" s="2870"/>
      <c r="BI178" s="2870"/>
      <c r="BJ178" s="2877"/>
      <c r="BK178" s="2875">
        <v>0</v>
      </c>
      <c r="BL178" s="2869"/>
      <c r="BM178" s="2870"/>
      <c r="BN178" s="2870"/>
      <c r="BO178" s="2870"/>
      <c r="BP178" s="2870"/>
      <c r="BQ178" s="2877"/>
      <c r="BR178" s="2875">
        <v>0</v>
      </c>
      <c r="BS178" s="2869"/>
      <c r="BT178" s="2870"/>
      <c r="BU178" s="2870"/>
      <c r="BV178" s="2870"/>
      <c r="BW178" s="2870"/>
      <c r="BX178" s="2877"/>
      <c r="BY178" s="2875">
        <v>0</v>
      </c>
      <c r="BZ178" s="2869"/>
      <c r="CA178" s="2870"/>
      <c r="CB178" s="2870"/>
      <c r="CC178" s="2870"/>
      <c r="CD178" s="2870"/>
      <c r="CE178" s="2877"/>
      <c r="CF178" s="2875">
        <v>0</v>
      </c>
      <c r="CG178" s="2869"/>
      <c r="CH178" s="2870"/>
      <c r="CI178" s="2870"/>
      <c r="CJ178" s="2870"/>
      <c r="CK178" s="2870"/>
      <c r="CL178" s="2877"/>
      <c r="CM178" s="2875">
        <v>0</v>
      </c>
      <c r="CN178" s="2872"/>
      <c r="CO178" s="2870"/>
      <c r="CP178" s="2870"/>
      <c r="CQ178" s="2870"/>
      <c r="CR178" s="2870"/>
      <c r="CS178" s="2877"/>
      <c r="CT178" s="2875">
        <v>0</v>
      </c>
      <c r="CU178" s="2878"/>
      <c r="CV178" s="2870"/>
      <c r="CW178" s="2870"/>
      <c r="CX178" s="2870"/>
      <c r="CY178" s="2870"/>
      <c r="CZ178" s="2879"/>
      <c r="DA178" s="2875"/>
      <c r="DJ178" s="1611" t="e">
        <v>#N/A</v>
      </c>
      <c r="DK178" s="2782">
        <v>0</v>
      </c>
      <c r="DM178" s="1650">
        <v>0</v>
      </c>
    </row>
    <row r="179" spans="1:117" ht="21" customHeight="1">
      <c r="A179" s="1652"/>
      <c r="B179" s="1644"/>
      <c r="C179" s="1662"/>
      <c r="D179" s="1648"/>
      <c r="E179" s="1648"/>
      <c r="F179" s="1648"/>
      <c r="G179" s="1648"/>
      <c r="H179" s="1648"/>
      <c r="I179" s="1648"/>
      <c r="J179" s="1663"/>
      <c r="K179" s="1648"/>
      <c r="L179" s="1648"/>
      <c r="M179" s="1648"/>
      <c r="N179" s="1642"/>
      <c r="O179" s="2876"/>
      <c r="P179" s="2870"/>
      <c r="Q179" s="2870"/>
      <c r="R179" s="2870"/>
      <c r="S179" s="2870"/>
      <c r="T179" s="2870"/>
      <c r="U179" s="2875">
        <v>0</v>
      </c>
      <c r="V179" s="2869"/>
      <c r="W179" s="2870"/>
      <c r="X179" s="2870"/>
      <c r="Y179" s="2870"/>
      <c r="Z179" s="2870"/>
      <c r="AA179" s="2877"/>
      <c r="AB179" s="2875">
        <v>0</v>
      </c>
      <c r="AC179" s="2869"/>
      <c r="AD179" s="2870"/>
      <c r="AE179" s="2870"/>
      <c r="AF179" s="2870"/>
      <c r="AG179" s="2870"/>
      <c r="AH179" s="2877"/>
      <c r="AI179" s="2875">
        <v>0</v>
      </c>
      <c r="AJ179" s="2869"/>
      <c r="AK179" s="2870"/>
      <c r="AL179" s="2870"/>
      <c r="AM179" s="2870"/>
      <c r="AN179" s="2870"/>
      <c r="AO179" s="2877"/>
      <c r="AP179" s="2875">
        <v>0</v>
      </c>
      <c r="AQ179" s="2869"/>
      <c r="AR179" s="2870"/>
      <c r="AS179" s="2870"/>
      <c r="AT179" s="2870"/>
      <c r="AU179" s="2870"/>
      <c r="AV179" s="2877"/>
      <c r="AW179" s="2875">
        <v>0</v>
      </c>
      <c r="AX179" s="2869"/>
      <c r="AY179" s="2870"/>
      <c r="AZ179" s="2870"/>
      <c r="BA179" s="2870"/>
      <c r="BB179" s="2870"/>
      <c r="BC179" s="2877"/>
      <c r="BD179" s="2875">
        <v>0</v>
      </c>
      <c r="BE179" s="2869"/>
      <c r="BF179" s="2870"/>
      <c r="BG179" s="2870"/>
      <c r="BH179" s="2870"/>
      <c r="BI179" s="2870"/>
      <c r="BJ179" s="2877"/>
      <c r="BK179" s="2875">
        <v>0</v>
      </c>
      <c r="BL179" s="2869"/>
      <c r="BM179" s="2870"/>
      <c r="BN179" s="2870"/>
      <c r="BO179" s="2870"/>
      <c r="BP179" s="2870"/>
      <c r="BQ179" s="2877"/>
      <c r="BR179" s="2875">
        <v>0</v>
      </c>
      <c r="BS179" s="2869"/>
      <c r="BT179" s="2870"/>
      <c r="BU179" s="2870"/>
      <c r="BV179" s="2870"/>
      <c r="BW179" s="2870"/>
      <c r="BX179" s="2877"/>
      <c r="BY179" s="2875">
        <v>0</v>
      </c>
      <c r="BZ179" s="2869"/>
      <c r="CA179" s="2870"/>
      <c r="CB179" s="2870"/>
      <c r="CC179" s="2870"/>
      <c r="CD179" s="2870"/>
      <c r="CE179" s="2877"/>
      <c r="CF179" s="2875">
        <v>0</v>
      </c>
      <c r="CG179" s="2869"/>
      <c r="CH179" s="2870"/>
      <c r="CI179" s="2870"/>
      <c r="CJ179" s="2870"/>
      <c r="CK179" s="2870"/>
      <c r="CL179" s="2877"/>
      <c r="CM179" s="2875">
        <v>0</v>
      </c>
      <c r="CN179" s="2872"/>
      <c r="CO179" s="2870"/>
      <c r="CP179" s="2870"/>
      <c r="CQ179" s="2870"/>
      <c r="CR179" s="2870"/>
      <c r="CS179" s="2877"/>
      <c r="CT179" s="2875">
        <v>0</v>
      </c>
      <c r="CU179" s="2878"/>
      <c r="CV179" s="2870"/>
      <c r="CW179" s="2870"/>
      <c r="CX179" s="2870"/>
      <c r="CY179" s="2870"/>
      <c r="CZ179" s="2879"/>
      <c r="DA179" s="2875"/>
      <c r="DJ179" s="1611" t="e">
        <v>#N/A</v>
      </c>
      <c r="DK179" s="2782" t="e">
        <v>#N/A</v>
      </c>
      <c r="DM179" s="1650">
        <v>0</v>
      </c>
    </row>
    <row r="180" spans="1:117" ht="21" customHeight="1">
      <c r="A180" s="1637" t="s">
        <v>58</v>
      </c>
      <c r="B180" s="1638" t="s">
        <v>1782</v>
      </c>
      <c r="C180" s="1662"/>
      <c r="D180" s="1648"/>
      <c r="E180" s="1648"/>
      <c r="F180" s="1648"/>
      <c r="G180" s="1648"/>
      <c r="H180" s="1648"/>
      <c r="I180" s="1648"/>
      <c r="J180" s="1663"/>
      <c r="K180" s="1648"/>
      <c r="L180" s="1648"/>
      <c r="M180" s="1648"/>
      <c r="N180" s="1642"/>
      <c r="O180" s="2876"/>
      <c r="P180" s="2870"/>
      <c r="Q180" s="2870"/>
      <c r="R180" s="2870"/>
      <c r="S180" s="2870"/>
      <c r="T180" s="2870"/>
      <c r="U180" s="2875">
        <v>0</v>
      </c>
      <c r="V180" s="2869"/>
      <c r="W180" s="2870"/>
      <c r="X180" s="2870"/>
      <c r="Y180" s="2870"/>
      <c r="Z180" s="2870"/>
      <c r="AA180" s="2877">
        <v>0</v>
      </c>
      <c r="AB180" s="2875">
        <v>0</v>
      </c>
      <c r="AC180" s="2869"/>
      <c r="AD180" s="2870"/>
      <c r="AE180" s="2870"/>
      <c r="AF180" s="2870"/>
      <c r="AG180" s="2870"/>
      <c r="AH180" s="2877">
        <v>0</v>
      </c>
      <c r="AI180" s="2875">
        <v>0</v>
      </c>
      <c r="AJ180" s="2869"/>
      <c r="AK180" s="2870"/>
      <c r="AL180" s="2870"/>
      <c r="AM180" s="2870"/>
      <c r="AN180" s="2870"/>
      <c r="AO180" s="2877">
        <v>0</v>
      </c>
      <c r="AP180" s="2875">
        <v>0</v>
      </c>
      <c r="AQ180" s="2869"/>
      <c r="AR180" s="2870"/>
      <c r="AS180" s="2870"/>
      <c r="AT180" s="2870"/>
      <c r="AU180" s="2870"/>
      <c r="AV180" s="2877">
        <v>0</v>
      </c>
      <c r="AW180" s="2875">
        <v>0</v>
      </c>
      <c r="AX180" s="2869"/>
      <c r="AY180" s="2870"/>
      <c r="AZ180" s="2870"/>
      <c r="BA180" s="2870"/>
      <c r="BB180" s="2870"/>
      <c r="BC180" s="2877">
        <v>0</v>
      </c>
      <c r="BD180" s="2875">
        <v>0</v>
      </c>
      <c r="BE180" s="2869"/>
      <c r="BF180" s="2870"/>
      <c r="BG180" s="2870"/>
      <c r="BH180" s="2870"/>
      <c r="BI180" s="2870"/>
      <c r="BJ180" s="2877">
        <v>0</v>
      </c>
      <c r="BK180" s="2875">
        <v>0</v>
      </c>
      <c r="BL180" s="2869"/>
      <c r="BM180" s="2870"/>
      <c r="BN180" s="2870"/>
      <c r="BO180" s="2870"/>
      <c r="BP180" s="2870"/>
      <c r="BQ180" s="2877">
        <v>0</v>
      </c>
      <c r="BR180" s="2875">
        <v>0</v>
      </c>
      <c r="BS180" s="2869"/>
      <c r="BT180" s="2870"/>
      <c r="BU180" s="2870"/>
      <c r="BV180" s="2870"/>
      <c r="BW180" s="2870"/>
      <c r="BX180" s="2877">
        <v>0</v>
      </c>
      <c r="BY180" s="2875">
        <v>0</v>
      </c>
      <c r="BZ180" s="2869"/>
      <c r="CA180" s="2870"/>
      <c r="CB180" s="2870"/>
      <c r="CC180" s="2870"/>
      <c r="CD180" s="2870"/>
      <c r="CE180" s="2877">
        <v>0</v>
      </c>
      <c r="CF180" s="2875">
        <v>0</v>
      </c>
      <c r="CG180" s="2869"/>
      <c r="CH180" s="2870"/>
      <c r="CI180" s="2870"/>
      <c r="CJ180" s="2870"/>
      <c r="CK180" s="2870"/>
      <c r="CL180" s="2877">
        <v>0</v>
      </c>
      <c r="CM180" s="2875">
        <v>0</v>
      </c>
      <c r="CN180" s="2872"/>
      <c r="CO180" s="2870"/>
      <c r="CP180" s="2870"/>
      <c r="CQ180" s="2870"/>
      <c r="CR180" s="2870"/>
      <c r="CS180" s="2877">
        <v>0</v>
      </c>
      <c r="CT180" s="2875">
        <v>0</v>
      </c>
      <c r="CU180" s="2878"/>
      <c r="CV180" s="2870"/>
      <c r="CW180" s="2870"/>
      <c r="CX180" s="2870"/>
      <c r="CY180" s="2870"/>
      <c r="CZ180" s="2879"/>
      <c r="DA180" s="2875"/>
      <c r="DJ180" s="1611" t="e">
        <v>#N/A</v>
      </c>
      <c r="DK180" s="2782">
        <v>0</v>
      </c>
      <c r="DM180" s="1650">
        <v>0</v>
      </c>
    </row>
    <row r="181" spans="1:117" ht="21" customHeight="1">
      <c r="A181" s="1637"/>
      <c r="B181" s="1701" t="s">
        <v>1857</v>
      </c>
      <c r="C181" s="1662"/>
      <c r="D181" s="1648"/>
      <c r="E181" s="1648"/>
      <c r="F181" s="1648"/>
      <c r="G181" s="1648"/>
      <c r="H181" s="1648"/>
      <c r="I181" s="1648"/>
      <c r="J181" s="1663">
        <v>1</v>
      </c>
      <c r="K181" s="1648"/>
      <c r="L181" s="1648"/>
      <c r="M181" s="1648"/>
      <c r="N181" s="1642"/>
      <c r="O181" s="2876"/>
      <c r="P181" s="2870"/>
      <c r="Q181" s="2870"/>
      <c r="R181" s="2870"/>
      <c r="S181" s="2870"/>
      <c r="T181" s="2870"/>
      <c r="U181" s="2875">
        <v>0</v>
      </c>
      <c r="V181" s="2869"/>
      <c r="W181" s="2870"/>
      <c r="X181" s="2870"/>
      <c r="Y181" s="2870"/>
      <c r="Z181" s="2870"/>
      <c r="AA181" s="2877">
        <v>0</v>
      </c>
      <c r="AB181" s="2875">
        <v>0</v>
      </c>
      <c r="AC181" s="2869"/>
      <c r="AD181" s="2870"/>
      <c r="AE181" s="2870"/>
      <c r="AF181" s="2870"/>
      <c r="AG181" s="2870"/>
      <c r="AH181" s="2877">
        <v>0</v>
      </c>
      <c r="AI181" s="2875">
        <v>0</v>
      </c>
      <c r="AJ181" s="2869"/>
      <c r="AK181" s="2870"/>
      <c r="AL181" s="2870"/>
      <c r="AM181" s="2870"/>
      <c r="AN181" s="2870"/>
      <c r="AO181" s="2877">
        <v>0</v>
      </c>
      <c r="AP181" s="2875">
        <v>0</v>
      </c>
      <c r="AQ181" s="2869"/>
      <c r="AR181" s="2870"/>
      <c r="AS181" s="2870"/>
      <c r="AT181" s="2870"/>
      <c r="AU181" s="2870"/>
      <c r="AV181" s="2877">
        <v>0</v>
      </c>
      <c r="AW181" s="2875">
        <v>0</v>
      </c>
      <c r="AX181" s="2869"/>
      <c r="AY181" s="2870"/>
      <c r="AZ181" s="2870"/>
      <c r="BA181" s="2870"/>
      <c r="BB181" s="2870"/>
      <c r="BC181" s="2877">
        <v>0</v>
      </c>
      <c r="BD181" s="2875">
        <v>0</v>
      </c>
      <c r="BE181" s="2869"/>
      <c r="BF181" s="2870"/>
      <c r="BG181" s="2870"/>
      <c r="BH181" s="2870"/>
      <c r="BI181" s="2870"/>
      <c r="BJ181" s="2877">
        <v>0</v>
      </c>
      <c r="BK181" s="2875">
        <v>0</v>
      </c>
      <c r="BL181" s="2869"/>
      <c r="BM181" s="2870"/>
      <c r="BN181" s="2870"/>
      <c r="BO181" s="2870"/>
      <c r="BP181" s="2870"/>
      <c r="BQ181" s="2877">
        <v>0</v>
      </c>
      <c r="BR181" s="2875">
        <v>0</v>
      </c>
      <c r="BS181" s="2869"/>
      <c r="BT181" s="2870"/>
      <c r="BU181" s="2870"/>
      <c r="BV181" s="2870"/>
      <c r="BW181" s="2870"/>
      <c r="BX181" s="2877">
        <v>0</v>
      </c>
      <c r="BY181" s="2875">
        <v>0</v>
      </c>
      <c r="BZ181" s="2869"/>
      <c r="CA181" s="2870"/>
      <c r="CB181" s="2870"/>
      <c r="CC181" s="2870"/>
      <c r="CD181" s="2870"/>
      <c r="CE181" s="2877">
        <v>0</v>
      </c>
      <c r="CF181" s="2875">
        <v>0</v>
      </c>
      <c r="CG181" s="2869"/>
      <c r="CH181" s="2870"/>
      <c r="CI181" s="2870"/>
      <c r="CJ181" s="2870"/>
      <c r="CK181" s="2870"/>
      <c r="CL181" s="2877">
        <v>0</v>
      </c>
      <c r="CM181" s="2875">
        <v>0</v>
      </c>
      <c r="CN181" s="2872"/>
      <c r="CO181" s="2870"/>
      <c r="CP181" s="2870"/>
      <c r="CQ181" s="2870"/>
      <c r="CR181" s="2870"/>
      <c r="CS181" s="2877">
        <v>0</v>
      </c>
      <c r="CT181" s="2875">
        <v>0</v>
      </c>
      <c r="CU181" s="2878">
        <v>0</v>
      </c>
      <c r="CV181" s="2870">
        <v>0</v>
      </c>
      <c r="CW181" s="2870">
        <v>0</v>
      </c>
      <c r="CX181" s="2870">
        <v>0</v>
      </c>
      <c r="CY181" s="2870">
        <v>0</v>
      </c>
      <c r="CZ181" s="2879">
        <v>0</v>
      </c>
      <c r="DA181" s="2875">
        <v>0</v>
      </c>
      <c r="DJ181" s="1611" t="e">
        <v>#N/A</v>
      </c>
      <c r="DK181" s="2782" t="e">
        <v>#N/A</v>
      </c>
      <c r="DM181" s="1650">
        <v>0</v>
      </c>
    </row>
    <row r="182" spans="1:117" ht="21" customHeight="1">
      <c r="A182" s="1637"/>
      <c r="B182" s="1668" t="s">
        <v>1858</v>
      </c>
      <c r="C182" s="1662"/>
      <c r="D182" s="1648"/>
      <c r="E182" s="1648"/>
      <c r="F182" s="1648"/>
      <c r="G182" s="1648"/>
      <c r="H182" s="1648"/>
      <c r="I182" s="1648"/>
      <c r="J182" s="1663">
        <v>1</v>
      </c>
      <c r="K182" s="1648"/>
      <c r="L182" s="1648"/>
      <c r="M182" s="1648"/>
      <c r="N182" s="1642"/>
      <c r="O182" s="2876"/>
      <c r="P182" s="2870"/>
      <c r="Q182" s="2870"/>
      <c r="R182" s="2870"/>
      <c r="S182" s="2870"/>
      <c r="T182" s="2870"/>
      <c r="U182" s="2875">
        <v>0</v>
      </c>
      <c r="V182" s="2869"/>
      <c r="W182" s="2870"/>
      <c r="X182" s="2870"/>
      <c r="Y182" s="2870"/>
      <c r="Z182" s="2870"/>
      <c r="AA182" s="2877">
        <v>0</v>
      </c>
      <c r="AB182" s="2875">
        <v>0</v>
      </c>
      <c r="AC182" s="2869"/>
      <c r="AD182" s="2870"/>
      <c r="AE182" s="2870"/>
      <c r="AF182" s="2870"/>
      <c r="AG182" s="2870"/>
      <c r="AH182" s="2877">
        <v>0</v>
      </c>
      <c r="AI182" s="2875">
        <v>0</v>
      </c>
      <c r="AJ182" s="2869"/>
      <c r="AK182" s="2870"/>
      <c r="AL182" s="2870"/>
      <c r="AM182" s="2870"/>
      <c r="AN182" s="2870"/>
      <c r="AO182" s="2877">
        <v>0</v>
      </c>
      <c r="AP182" s="2875">
        <v>0</v>
      </c>
      <c r="AQ182" s="2869"/>
      <c r="AR182" s="2870"/>
      <c r="AS182" s="2870"/>
      <c r="AT182" s="2870"/>
      <c r="AU182" s="2870"/>
      <c r="AV182" s="2877">
        <v>0</v>
      </c>
      <c r="AW182" s="2875">
        <v>0</v>
      </c>
      <c r="AX182" s="2869"/>
      <c r="AY182" s="2870"/>
      <c r="AZ182" s="2870"/>
      <c r="BA182" s="2870"/>
      <c r="BB182" s="2870"/>
      <c r="BC182" s="2877">
        <v>0</v>
      </c>
      <c r="BD182" s="2875">
        <v>0</v>
      </c>
      <c r="BE182" s="2869"/>
      <c r="BF182" s="2870"/>
      <c r="BG182" s="2870"/>
      <c r="BH182" s="2870"/>
      <c r="BI182" s="2870"/>
      <c r="BJ182" s="2877">
        <v>0</v>
      </c>
      <c r="BK182" s="2875">
        <v>0</v>
      </c>
      <c r="BL182" s="2869"/>
      <c r="BM182" s="2870"/>
      <c r="BN182" s="2870"/>
      <c r="BO182" s="2870"/>
      <c r="BP182" s="2870"/>
      <c r="BQ182" s="2877">
        <v>0</v>
      </c>
      <c r="BR182" s="2875">
        <v>0</v>
      </c>
      <c r="BS182" s="2869"/>
      <c r="BT182" s="2870"/>
      <c r="BU182" s="2870"/>
      <c r="BV182" s="2870"/>
      <c r="BW182" s="2870"/>
      <c r="BX182" s="2877">
        <v>0</v>
      </c>
      <c r="BY182" s="2875">
        <v>0</v>
      </c>
      <c r="BZ182" s="2869"/>
      <c r="CA182" s="2870"/>
      <c r="CB182" s="2870"/>
      <c r="CC182" s="2870"/>
      <c r="CD182" s="2870"/>
      <c r="CE182" s="2877">
        <v>0</v>
      </c>
      <c r="CF182" s="2875">
        <v>0</v>
      </c>
      <c r="CG182" s="2869"/>
      <c r="CH182" s="2870"/>
      <c r="CI182" s="2870"/>
      <c r="CJ182" s="2870"/>
      <c r="CK182" s="2870"/>
      <c r="CL182" s="2877">
        <v>0</v>
      </c>
      <c r="CM182" s="2875">
        <v>0</v>
      </c>
      <c r="CN182" s="2872"/>
      <c r="CO182" s="2870"/>
      <c r="CP182" s="2870"/>
      <c r="CQ182" s="2870"/>
      <c r="CR182" s="2870"/>
      <c r="CS182" s="2877">
        <v>0</v>
      </c>
      <c r="CT182" s="2875">
        <v>0</v>
      </c>
      <c r="CU182" s="2878">
        <v>0</v>
      </c>
      <c r="CV182" s="2870">
        <v>0</v>
      </c>
      <c r="CW182" s="2870">
        <v>0</v>
      </c>
      <c r="CX182" s="2870">
        <v>0</v>
      </c>
      <c r="CY182" s="2870">
        <v>0</v>
      </c>
      <c r="CZ182" s="2879">
        <v>0</v>
      </c>
      <c r="DA182" s="2875">
        <v>0</v>
      </c>
      <c r="DJ182" s="1611" t="e">
        <v>#N/A</v>
      </c>
      <c r="DK182" s="2782" t="e">
        <v>#N/A</v>
      </c>
      <c r="DM182" s="1650">
        <v>0</v>
      </c>
    </row>
    <row r="183" spans="1:117" s="1727" customFormat="1" ht="21" customHeight="1">
      <c r="A183" s="1637"/>
      <c r="B183" s="1638" t="s">
        <v>211</v>
      </c>
      <c r="C183" s="1643"/>
      <c r="D183" s="1641"/>
      <c r="E183" s="1641"/>
      <c r="F183" s="1641"/>
      <c r="G183" s="1641"/>
      <c r="H183" s="1641"/>
      <c r="I183" s="1641"/>
      <c r="J183" s="1649"/>
      <c r="K183" s="1641"/>
      <c r="L183" s="1641"/>
      <c r="M183" s="1641"/>
      <c r="N183" s="1671"/>
      <c r="O183" s="2876">
        <v>0</v>
      </c>
      <c r="P183" s="2874">
        <v>0</v>
      </c>
      <c r="Q183" s="2874">
        <v>0</v>
      </c>
      <c r="R183" s="2874">
        <v>0</v>
      </c>
      <c r="S183" s="2874"/>
      <c r="T183" s="2879">
        <v>0</v>
      </c>
      <c r="U183" s="2875">
        <v>0</v>
      </c>
      <c r="V183" s="2876">
        <v>0</v>
      </c>
      <c r="W183" s="2874">
        <v>0</v>
      </c>
      <c r="X183" s="2874">
        <v>0</v>
      </c>
      <c r="Y183" s="2874">
        <v>0</v>
      </c>
      <c r="Z183" s="2874">
        <v>0</v>
      </c>
      <c r="AA183" s="2879">
        <v>0</v>
      </c>
      <c r="AB183" s="2875">
        <v>0</v>
      </c>
      <c r="AC183" s="2876">
        <v>0</v>
      </c>
      <c r="AD183" s="2874">
        <v>0</v>
      </c>
      <c r="AE183" s="2874">
        <v>0</v>
      </c>
      <c r="AF183" s="2874">
        <v>0</v>
      </c>
      <c r="AG183" s="2874">
        <v>0</v>
      </c>
      <c r="AH183" s="2879">
        <v>0</v>
      </c>
      <c r="AI183" s="2875">
        <v>0</v>
      </c>
      <c r="AJ183" s="2876">
        <v>0</v>
      </c>
      <c r="AK183" s="2874">
        <v>0</v>
      </c>
      <c r="AL183" s="2874">
        <v>0</v>
      </c>
      <c r="AM183" s="2874">
        <v>0</v>
      </c>
      <c r="AN183" s="2874">
        <v>0</v>
      </c>
      <c r="AO183" s="2879">
        <v>0</v>
      </c>
      <c r="AP183" s="2875">
        <v>0</v>
      </c>
      <c r="AQ183" s="2876"/>
      <c r="AR183" s="2874"/>
      <c r="AS183" s="2874"/>
      <c r="AT183" s="2874"/>
      <c r="AU183" s="2874"/>
      <c r="AV183" s="2879">
        <v>0</v>
      </c>
      <c r="AW183" s="2875">
        <v>0</v>
      </c>
      <c r="AX183" s="2876"/>
      <c r="AY183" s="2874"/>
      <c r="AZ183" s="2874"/>
      <c r="BA183" s="2874"/>
      <c r="BB183" s="2874"/>
      <c r="BC183" s="2879">
        <v>0</v>
      </c>
      <c r="BD183" s="2875">
        <v>0</v>
      </c>
      <c r="BE183" s="2876"/>
      <c r="BF183" s="2874"/>
      <c r="BG183" s="2874"/>
      <c r="BH183" s="2874"/>
      <c r="BI183" s="2874"/>
      <c r="BJ183" s="2879">
        <v>0</v>
      </c>
      <c r="BK183" s="2875">
        <v>0</v>
      </c>
      <c r="BL183" s="2876"/>
      <c r="BM183" s="2874"/>
      <c r="BN183" s="2874"/>
      <c r="BO183" s="2874"/>
      <c r="BP183" s="2874"/>
      <c r="BQ183" s="2879">
        <v>0</v>
      </c>
      <c r="BR183" s="2875">
        <v>0</v>
      </c>
      <c r="BS183" s="2876">
        <v>0</v>
      </c>
      <c r="BT183" s="2874">
        <v>0</v>
      </c>
      <c r="BU183" s="2874">
        <v>0</v>
      </c>
      <c r="BV183" s="2874">
        <v>0</v>
      </c>
      <c r="BW183" s="2874">
        <v>0</v>
      </c>
      <c r="BX183" s="2879">
        <v>0</v>
      </c>
      <c r="BY183" s="2875">
        <v>0</v>
      </c>
      <c r="BZ183" s="2876">
        <v>0</v>
      </c>
      <c r="CA183" s="2874">
        <v>0</v>
      </c>
      <c r="CB183" s="2874">
        <v>0</v>
      </c>
      <c r="CC183" s="2874">
        <v>0</v>
      </c>
      <c r="CD183" s="2874">
        <v>0</v>
      </c>
      <c r="CE183" s="2879">
        <v>0</v>
      </c>
      <c r="CF183" s="2875">
        <v>0</v>
      </c>
      <c r="CG183" s="2876">
        <v>0</v>
      </c>
      <c r="CH183" s="2874">
        <v>0</v>
      </c>
      <c r="CI183" s="2874">
        <v>0</v>
      </c>
      <c r="CJ183" s="2874">
        <v>0</v>
      </c>
      <c r="CK183" s="2874">
        <v>0</v>
      </c>
      <c r="CL183" s="2879">
        <v>0</v>
      </c>
      <c r="CM183" s="2875">
        <v>0</v>
      </c>
      <c r="CN183" s="2880">
        <v>0</v>
      </c>
      <c r="CO183" s="2874">
        <v>0</v>
      </c>
      <c r="CP183" s="2874">
        <v>0</v>
      </c>
      <c r="CQ183" s="2874">
        <v>0</v>
      </c>
      <c r="CR183" s="2874">
        <v>0</v>
      </c>
      <c r="CS183" s="2879">
        <v>0</v>
      </c>
      <c r="CT183" s="2875">
        <v>0</v>
      </c>
      <c r="CU183" s="2881">
        <v>0</v>
      </c>
      <c r="CV183" s="2874">
        <v>0</v>
      </c>
      <c r="CW183" s="2874">
        <v>0</v>
      </c>
      <c r="CX183" s="2874">
        <v>0</v>
      </c>
      <c r="CY183" s="2874">
        <v>0</v>
      </c>
      <c r="CZ183" s="2879">
        <v>0</v>
      </c>
      <c r="DA183" s="2875">
        <v>0</v>
      </c>
      <c r="DB183" s="1609"/>
      <c r="DD183" s="1625"/>
      <c r="DJ183" s="1611" t="e">
        <v>#N/A</v>
      </c>
      <c r="DK183" s="2782">
        <v>0</v>
      </c>
      <c r="DM183" s="1650">
        <v>0</v>
      </c>
    </row>
    <row r="184" spans="1:117" ht="21" customHeight="1">
      <c r="A184" s="1652"/>
      <c r="B184" s="1644"/>
      <c r="C184" s="1662"/>
      <c r="D184" s="1648"/>
      <c r="E184" s="1648"/>
      <c r="F184" s="1648"/>
      <c r="G184" s="1648"/>
      <c r="H184" s="1648"/>
      <c r="I184" s="1648"/>
      <c r="J184" s="1663"/>
      <c r="K184" s="1648"/>
      <c r="L184" s="1648"/>
      <c r="M184" s="1648"/>
      <c r="N184" s="1642"/>
      <c r="O184" s="2876"/>
      <c r="P184" s="2870"/>
      <c r="Q184" s="2870"/>
      <c r="R184" s="2870"/>
      <c r="S184" s="2870"/>
      <c r="T184" s="2870"/>
      <c r="U184" s="2875">
        <v>0</v>
      </c>
      <c r="V184" s="2869"/>
      <c r="W184" s="2870"/>
      <c r="X184" s="2870"/>
      <c r="Y184" s="2870"/>
      <c r="Z184" s="2870"/>
      <c r="AA184" s="2877"/>
      <c r="AB184" s="2875">
        <v>0</v>
      </c>
      <c r="AC184" s="2869"/>
      <c r="AD184" s="2870"/>
      <c r="AE184" s="2870"/>
      <c r="AF184" s="2870"/>
      <c r="AG184" s="2870"/>
      <c r="AH184" s="2877"/>
      <c r="AI184" s="2875">
        <v>0</v>
      </c>
      <c r="AJ184" s="2869"/>
      <c r="AK184" s="2870"/>
      <c r="AL184" s="2870"/>
      <c r="AM184" s="2870"/>
      <c r="AN184" s="2870"/>
      <c r="AO184" s="2877"/>
      <c r="AP184" s="2875">
        <v>0</v>
      </c>
      <c r="AQ184" s="2869"/>
      <c r="AR184" s="2870"/>
      <c r="AS184" s="2870"/>
      <c r="AT184" s="2870"/>
      <c r="AU184" s="2870"/>
      <c r="AV184" s="2877"/>
      <c r="AW184" s="2875">
        <v>0</v>
      </c>
      <c r="AX184" s="2869"/>
      <c r="AY184" s="2870"/>
      <c r="AZ184" s="2870"/>
      <c r="BA184" s="2870"/>
      <c r="BB184" s="2870"/>
      <c r="BC184" s="2877"/>
      <c r="BD184" s="2875">
        <v>0</v>
      </c>
      <c r="BE184" s="2869"/>
      <c r="BF184" s="2870"/>
      <c r="BG184" s="2870"/>
      <c r="BH184" s="2870"/>
      <c r="BI184" s="2870"/>
      <c r="BJ184" s="2877"/>
      <c r="BK184" s="2875">
        <v>0</v>
      </c>
      <c r="BL184" s="2869"/>
      <c r="BM184" s="2870"/>
      <c r="BN184" s="2870"/>
      <c r="BO184" s="2870"/>
      <c r="BP184" s="2870"/>
      <c r="BQ184" s="2877"/>
      <c r="BR184" s="2875">
        <v>0</v>
      </c>
      <c r="BS184" s="2869"/>
      <c r="BT184" s="2870"/>
      <c r="BU184" s="2870"/>
      <c r="BV184" s="2870"/>
      <c r="BW184" s="2870"/>
      <c r="BX184" s="2877"/>
      <c r="BY184" s="2875">
        <v>0</v>
      </c>
      <c r="BZ184" s="2869"/>
      <c r="CA184" s="2870"/>
      <c r="CB184" s="2870"/>
      <c r="CC184" s="2870"/>
      <c r="CD184" s="2870"/>
      <c r="CE184" s="2877"/>
      <c r="CF184" s="2875">
        <v>0</v>
      </c>
      <c r="CG184" s="2869"/>
      <c r="CH184" s="2870"/>
      <c r="CI184" s="2870"/>
      <c r="CJ184" s="2870"/>
      <c r="CK184" s="2870"/>
      <c r="CL184" s="2877"/>
      <c r="CM184" s="2875">
        <v>0</v>
      </c>
      <c r="CN184" s="2872"/>
      <c r="CO184" s="2870"/>
      <c r="CP184" s="2870"/>
      <c r="CQ184" s="2870"/>
      <c r="CR184" s="2870"/>
      <c r="CS184" s="2877"/>
      <c r="CT184" s="2875">
        <v>0</v>
      </c>
      <c r="CU184" s="2878"/>
      <c r="CV184" s="2870"/>
      <c r="CW184" s="2870"/>
      <c r="CX184" s="2870"/>
      <c r="CY184" s="2870"/>
      <c r="CZ184" s="2879"/>
      <c r="DA184" s="2875"/>
      <c r="DJ184" s="1611" t="e">
        <v>#N/A</v>
      </c>
      <c r="DK184" s="2782" t="e">
        <v>#N/A</v>
      </c>
      <c r="DM184" s="1650">
        <v>0</v>
      </c>
    </row>
    <row r="185" spans="1:117" ht="21" customHeight="1">
      <c r="A185" s="1637" t="s">
        <v>67</v>
      </c>
      <c r="B185" s="1638" t="s">
        <v>1783</v>
      </c>
      <c r="C185" s="1662"/>
      <c r="D185" s="1648"/>
      <c r="E185" s="1648"/>
      <c r="F185" s="1648"/>
      <c r="G185" s="1648"/>
      <c r="H185" s="1648"/>
      <c r="I185" s="1648"/>
      <c r="J185" s="1663"/>
      <c r="K185" s="1648"/>
      <c r="L185" s="1648"/>
      <c r="M185" s="1648"/>
      <c r="N185" s="1642"/>
      <c r="O185" s="2876"/>
      <c r="P185" s="2870"/>
      <c r="Q185" s="2870"/>
      <c r="R185" s="2870"/>
      <c r="S185" s="2870"/>
      <c r="T185" s="2870"/>
      <c r="U185" s="2875">
        <v>0</v>
      </c>
      <c r="V185" s="2869"/>
      <c r="W185" s="2870"/>
      <c r="X185" s="2870"/>
      <c r="Y185" s="2870"/>
      <c r="Z185" s="2870"/>
      <c r="AA185" s="2877">
        <v>0</v>
      </c>
      <c r="AB185" s="2875">
        <v>0</v>
      </c>
      <c r="AC185" s="2869"/>
      <c r="AD185" s="2870"/>
      <c r="AE185" s="2870"/>
      <c r="AF185" s="2870"/>
      <c r="AG185" s="2870"/>
      <c r="AH185" s="2877">
        <v>0</v>
      </c>
      <c r="AI185" s="2875">
        <v>0</v>
      </c>
      <c r="AJ185" s="2869"/>
      <c r="AK185" s="2870"/>
      <c r="AL185" s="2870"/>
      <c r="AM185" s="2870"/>
      <c r="AN185" s="2870"/>
      <c r="AO185" s="2877">
        <v>0</v>
      </c>
      <c r="AP185" s="2875">
        <v>0</v>
      </c>
      <c r="AQ185" s="2869"/>
      <c r="AR185" s="2870"/>
      <c r="AS185" s="2870"/>
      <c r="AT185" s="2870"/>
      <c r="AU185" s="2870"/>
      <c r="AV185" s="2877">
        <v>0</v>
      </c>
      <c r="AW185" s="2875">
        <v>0</v>
      </c>
      <c r="AX185" s="2869"/>
      <c r="AY185" s="2870"/>
      <c r="AZ185" s="2870"/>
      <c r="BA185" s="2870"/>
      <c r="BB185" s="2870"/>
      <c r="BC185" s="2877">
        <v>0</v>
      </c>
      <c r="BD185" s="2875">
        <v>0</v>
      </c>
      <c r="BE185" s="2869"/>
      <c r="BF185" s="2870"/>
      <c r="BG185" s="2870"/>
      <c r="BH185" s="2870"/>
      <c r="BI185" s="2870"/>
      <c r="BJ185" s="2877">
        <v>0</v>
      </c>
      <c r="BK185" s="2875">
        <v>0</v>
      </c>
      <c r="BL185" s="2869"/>
      <c r="BM185" s="2870"/>
      <c r="BN185" s="2870"/>
      <c r="BO185" s="2870"/>
      <c r="BP185" s="2870"/>
      <c r="BQ185" s="2877">
        <v>0</v>
      </c>
      <c r="BR185" s="2875">
        <v>0</v>
      </c>
      <c r="BS185" s="2869"/>
      <c r="BT185" s="2870"/>
      <c r="BU185" s="2870"/>
      <c r="BV185" s="2870"/>
      <c r="BW185" s="2870"/>
      <c r="BX185" s="2877">
        <v>0</v>
      </c>
      <c r="BY185" s="2875">
        <v>0</v>
      </c>
      <c r="BZ185" s="2869"/>
      <c r="CA185" s="2870"/>
      <c r="CB185" s="2870"/>
      <c r="CC185" s="2870"/>
      <c r="CD185" s="2870"/>
      <c r="CE185" s="2877">
        <v>0</v>
      </c>
      <c r="CF185" s="2875">
        <v>0</v>
      </c>
      <c r="CG185" s="2869"/>
      <c r="CH185" s="2870"/>
      <c r="CI185" s="2870"/>
      <c r="CJ185" s="2870"/>
      <c r="CK185" s="2870"/>
      <c r="CL185" s="2877">
        <v>0</v>
      </c>
      <c r="CM185" s="2875">
        <v>0</v>
      </c>
      <c r="CN185" s="2872"/>
      <c r="CO185" s="2870"/>
      <c r="CP185" s="2870"/>
      <c r="CQ185" s="2870"/>
      <c r="CR185" s="2870"/>
      <c r="CS185" s="2877">
        <v>0</v>
      </c>
      <c r="CT185" s="2875">
        <v>0</v>
      </c>
      <c r="CU185" s="2878"/>
      <c r="CV185" s="2870"/>
      <c r="CW185" s="2870"/>
      <c r="CX185" s="2870"/>
      <c r="CY185" s="2870"/>
      <c r="CZ185" s="2879"/>
      <c r="DA185" s="2875"/>
      <c r="DJ185" s="1611" t="e">
        <v>#N/A</v>
      </c>
      <c r="DK185" s="2782">
        <v>0</v>
      </c>
      <c r="DM185" s="1650">
        <v>0</v>
      </c>
    </row>
    <row r="186" spans="1:117" ht="21" customHeight="1">
      <c r="A186" s="1637"/>
      <c r="B186" s="1701" t="s">
        <v>1857</v>
      </c>
      <c r="C186" s="1662"/>
      <c r="D186" s="1646" t="e">
        <v>#DIV/0!</v>
      </c>
      <c r="E186" s="1646"/>
      <c r="F186" s="1648"/>
      <c r="G186" s="1648"/>
      <c r="H186" s="1648"/>
      <c r="I186" s="1648"/>
      <c r="J186" s="1663">
        <v>1</v>
      </c>
      <c r="K186" s="1648"/>
      <c r="L186" s="1648"/>
      <c r="M186" s="1648"/>
      <c r="N186" s="1642"/>
      <c r="O186" s="2876"/>
      <c r="P186" s="2870"/>
      <c r="Q186" s="2870"/>
      <c r="R186" s="2870"/>
      <c r="S186" s="2870"/>
      <c r="T186" s="2870"/>
      <c r="U186" s="2875">
        <v>0</v>
      </c>
      <c r="V186" s="2869"/>
      <c r="W186" s="2870"/>
      <c r="X186" s="2870"/>
      <c r="Y186" s="2870"/>
      <c r="Z186" s="2870"/>
      <c r="AA186" s="2877">
        <v>0</v>
      </c>
      <c r="AB186" s="2875">
        <v>0</v>
      </c>
      <c r="AC186" s="2869"/>
      <c r="AD186" s="2870"/>
      <c r="AE186" s="2870"/>
      <c r="AF186" s="2870"/>
      <c r="AG186" s="2870"/>
      <c r="AH186" s="2877">
        <v>0</v>
      </c>
      <c r="AI186" s="2875">
        <v>0</v>
      </c>
      <c r="AJ186" s="2869"/>
      <c r="AK186" s="2870"/>
      <c r="AL186" s="2870"/>
      <c r="AM186" s="2870"/>
      <c r="AN186" s="2870"/>
      <c r="AO186" s="2877">
        <v>0</v>
      </c>
      <c r="AP186" s="2875">
        <v>0</v>
      </c>
      <c r="AQ186" s="2869"/>
      <c r="AR186" s="2870"/>
      <c r="AS186" s="2870"/>
      <c r="AT186" s="2870"/>
      <c r="AU186" s="2870"/>
      <c r="AV186" s="2877">
        <v>0</v>
      </c>
      <c r="AW186" s="2875">
        <v>0</v>
      </c>
      <c r="AX186" s="2869"/>
      <c r="AY186" s="2870"/>
      <c r="AZ186" s="2870"/>
      <c r="BA186" s="2870"/>
      <c r="BB186" s="2870"/>
      <c r="BC186" s="2877">
        <v>0</v>
      </c>
      <c r="BD186" s="2875">
        <v>0</v>
      </c>
      <c r="BE186" s="2869"/>
      <c r="BF186" s="2870"/>
      <c r="BG186" s="2870"/>
      <c r="BH186" s="2870"/>
      <c r="BI186" s="2870"/>
      <c r="BJ186" s="2877">
        <v>0</v>
      </c>
      <c r="BK186" s="2875">
        <v>0</v>
      </c>
      <c r="BL186" s="2869"/>
      <c r="BM186" s="2870"/>
      <c r="BN186" s="2870"/>
      <c r="BO186" s="2870"/>
      <c r="BP186" s="2870"/>
      <c r="BQ186" s="2877">
        <v>0</v>
      </c>
      <c r="BR186" s="2875">
        <v>0</v>
      </c>
      <c r="BS186" s="2869"/>
      <c r="BT186" s="2870"/>
      <c r="BU186" s="2870"/>
      <c r="BV186" s="2870"/>
      <c r="BW186" s="2870"/>
      <c r="BX186" s="2877">
        <v>0</v>
      </c>
      <c r="BY186" s="2875">
        <v>0</v>
      </c>
      <c r="BZ186" s="2869"/>
      <c r="CA186" s="2870"/>
      <c r="CB186" s="2870"/>
      <c r="CC186" s="2870"/>
      <c r="CD186" s="2870"/>
      <c r="CE186" s="2877">
        <v>0</v>
      </c>
      <c r="CF186" s="2875">
        <v>0</v>
      </c>
      <c r="CG186" s="2869"/>
      <c r="CH186" s="2870"/>
      <c r="CI186" s="2870"/>
      <c r="CJ186" s="2870"/>
      <c r="CK186" s="2870"/>
      <c r="CL186" s="2877">
        <v>0</v>
      </c>
      <c r="CM186" s="2875">
        <v>0</v>
      </c>
      <c r="CN186" s="2872"/>
      <c r="CO186" s="2870"/>
      <c r="CP186" s="2870"/>
      <c r="CQ186" s="2870"/>
      <c r="CR186" s="2870"/>
      <c r="CS186" s="2877">
        <v>0</v>
      </c>
      <c r="CT186" s="2875">
        <v>0</v>
      </c>
      <c r="CU186" s="2878">
        <v>0</v>
      </c>
      <c r="CV186" s="2870">
        <v>0</v>
      </c>
      <c r="CW186" s="2870">
        <v>0</v>
      </c>
      <c r="CX186" s="2870">
        <v>0</v>
      </c>
      <c r="CY186" s="2870">
        <v>0</v>
      </c>
      <c r="CZ186" s="2879">
        <v>0</v>
      </c>
      <c r="DA186" s="2875">
        <v>0</v>
      </c>
      <c r="DJ186" s="1611" t="e">
        <v>#N/A</v>
      </c>
      <c r="DK186" s="2782" t="e">
        <v>#N/A</v>
      </c>
      <c r="DM186" s="1650">
        <v>0</v>
      </c>
    </row>
    <row r="187" spans="1:117" ht="21" customHeight="1">
      <c r="A187" s="1637"/>
      <c r="B187" s="1668" t="s">
        <v>1858</v>
      </c>
      <c r="C187" s="1662"/>
      <c r="D187" s="1646" t="e">
        <v>#DIV/0!</v>
      </c>
      <c r="E187" s="1646"/>
      <c r="F187" s="1648"/>
      <c r="G187" s="1648"/>
      <c r="H187" s="1648"/>
      <c r="I187" s="1648"/>
      <c r="J187" s="1663">
        <v>1</v>
      </c>
      <c r="K187" s="1648"/>
      <c r="L187" s="1648"/>
      <c r="M187" s="1648"/>
      <c r="N187" s="1642"/>
      <c r="O187" s="2876"/>
      <c r="P187" s="2870"/>
      <c r="Q187" s="2870"/>
      <c r="R187" s="2870"/>
      <c r="S187" s="2870"/>
      <c r="T187" s="2870"/>
      <c r="U187" s="2875">
        <v>0</v>
      </c>
      <c r="V187" s="2869"/>
      <c r="W187" s="2870"/>
      <c r="X187" s="2870"/>
      <c r="Y187" s="2870"/>
      <c r="Z187" s="2870"/>
      <c r="AA187" s="2877">
        <v>0</v>
      </c>
      <c r="AB187" s="2875">
        <v>0</v>
      </c>
      <c r="AC187" s="2869"/>
      <c r="AD187" s="2870"/>
      <c r="AE187" s="2870"/>
      <c r="AF187" s="2870"/>
      <c r="AG187" s="2870"/>
      <c r="AH187" s="2877">
        <v>0</v>
      </c>
      <c r="AI187" s="2875">
        <v>0</v>
      </c>
      <c r="AJ187" s="2869"/>
      <c r="AK187" s="2870"/>
      <c r="AL187" s="2870"/>
      <c r="AM187" s="2870"/>
      <c r="AN187" s="2870"/>
      <c r="AO187" s="2877">
        <v>0</v>
      </c>
      <c r="AP187" s="2875">
        <v>0</v>
      </c>
      <c r="AQ187" s="2869"/>
      <c r="AR187" s="2870"/>
      <c r="AS187" s="2870"/>
      <c r="AT187" s="2870"/>
      <c r="AU187" s="2870"/>
      <c r="AV187" s="2877">
        <v>0</v>
      </c>
      <c r="AW187" s="2875">
        <v>0</v>
      </c>
      <c r="AX187" s="2869"/>
      <c r="AY187" s="2870"/>
      <c r="AZ187" s="2870"/>
      <c r="BA187" s="2870"/>
      <c r="BB187" s="2870"/>
      <c r="BC187" s="2877">
        <v>0</v>
      </c>
      <c r="BD187" s="2875">
        <v>0</v>
      </c>
      <c r="BE187" s="2869"/>
      <c r="BF187" s="2870"/>
      <c r="BG187" s="2870"/>
      <c r="BH187" s="2870"/>
      <c r="BI187" s="2870"/>
      <c r="BJ187" s="2877">
        <v>0</v>
      </c>
      <c r="BK187" s="2875">
        <v>0</v>
      </c>
      <c r="BL187" s="2869"/>
      <c r="BM187" s="2870"/>
      <c r="BN187" s="2870"/>
      <c r="BO187" s="2870"/>
      <c r="BP187" s="2870"/>
      <c r="BQ187" s="2877">
        <v>0</v>
      </c>
      <c r="BR187" s="2875">
        <v>0</v>
      </c>
      <c r="BS187" s="2869"/>
      <c r="BT187" s="2870"/>
      <c r="BU187" s="2870"/>
      <c r="BV187" s="2870"/>
      <c r="BW187" s="2870"/>
      <c r="BX187" s="2877">
        <v>0</v>
      </c>
      <c r="BY187" s="2875">
        <v>0</v>
      </c>
      <c r="BZ187" s="2869"/>
      <c r="CA187" s="2870"/>
      <c r="CB187" s="2870"/>
      <c r="CC187" s="2870"/>
      <c r="CD187" s="2870"/>
      <c r="CE187" s="2877">
        <v>0</v>
      </c>
      <c r="CF187" s="2875">
        <v>0</v>
      </c>
      <c r="CG187" s="2869"/>
      <c r="CH187" s="2870"/>
      <c r="CI187" s="2870"/>
      <c r="CJ187" s="2870"/>
      <c r="CK187" s="2870"/>
      <c r="CL187" s="2877">
        <v>0</v>
      </c>
      <c r="CM187" s="2875">
        <v>0</v>
      </c>
      <c r="CN187" s="2872"/>
      <c r="CO187" s="2870"/>
      <c r="CP187" s="2870"/>
      <c r="CQ187" s="2870"/>
      <c r="CR187" s="2870"/>
      <c r="CS187" s="2877">
        <v>0</v>
      </c>
      <c r="CT187" s="2875">
        <v>0</v>
      </c>
      <c r="CU187" s="2878">
        <v>0</v>
      </c>
      <c r="CV187" s="2870">
        <v>0</v>
      </c>
      <c r="CW187" s="2870">
        <v>0</v>
      </c>
      <c r="CX187" s="2870">
        <v>0</v>
      </c>
      <c r="CY187" s="2870">
        <v>0</v>
      </c>
      <c r="CZ187" s="2879">
        <v>0</v>
      </c>
      <c r="DA187" s="2875">
        <v>0</v>
      </c>
      <c r="DJ187" s="1611" t="e">
        <v>#N/A</v>
      </c>
      <c r="DK187" s="2782" t="e">
        <v>#N/A</v>
      </c>
      <c r="DM187" s="1650">
        <v>0</v>
      </c>
    </row>
    <row r="188" spans="1:117" s="1727" customFormat="1" ht="21" customHeight="1">
      <c r="A188" s="2025"/>
      <c r="B188" s="1638" t="s">
        <v>211</v>
      </c>
      <c r="C188" s="1643"/>
      <c r="D188" s="1641"/>
      <c r="E188" s="1641"/>
      <c r="F188" s="1641"/>
      <c r="G188" s="1641"/>
      <c r="H188" s="1641"/>
      <c r="I188" s="1641"/>
      <c r="J188" s="1649"/>
      <c r="K188" s="1641"/>
      <c r="L188" s="1641"/>
      <c r="M188" s="1641"/>
      <c r="N188" s="1671"/>
      <c r="O188" s="2876">
        <v>0</v>
      </c>
      <c r="P188" s="2874">
        <v>0</v>
      </c>
      <c r="Q188" s="2874">
        <v>0</v>
      </c>
      <c r="R188" s="2874">
        <v>0</v>
      </c>
      <c r="S188" s="2874"/>
      <c r="T188" s="2879">
        <v>0</v>
      </c>
      <c r="U188" s="2875">
        <v>0</v>
      </c>
      <c r="V188" s="2876">
        <v>0</v>
      </c>
      <c r="W188" s="2874">
        <v>0</v>
      </c>
      <c r="X188" s="2874">
        <v>0</v>
      </c>
      <c r="Y188" s="2874">
        <v>0</v>
      </c>
      <c r="Z188" s="2874">
        <v>0</v>
      </c>
      <c r="AA188" s="2879">
        <v>0</v>
      </c>
      <c r="AB188" s="2875">
        <v>0</v>
      </c>
      <c r="AC188" s="2876">
        <v>0</v>
      </c>
      <c r="AD188" s="2874">
        <v>0</v>
      </c>
      <c r="AE188" s="2874">
        <v>0</v>
      </c>
      <c r="AF188" s="2874">
        <v>0</v>
      </c>
      <c r="AG188" s="2874">
        <v>0</v>
      </c>
      <c r="AH188" s="2879">
        <v>0</v>
      </c>
      <c r="AI188" s="2875">
        <v>0</v>
      </c>
      <c r="AJ188" s="2876">
        <v>0</v>
      </c>
      <c r="AK188" s="2874">
        <v>0</v>
      </c>
      <c r="AL188" s="2874">
        <v>0</v>
      </c>
      <c r="AM188" s="2874">
        <v>0</v>
      </c>
      <c r="AN188" s="2874">
        <v>0</v>
      </c>
      <c r="AO188" s="2879">
        <v>0</v>
      </c>
      <c r="AP188" s="2875">
        <v>0</v>
      </c>
      <c r="AQ188" s="2876"/>
      <c r="AR188" s="2874"/>
      <c r="AS188" s="2874"/>
      <c r="AT188" s="2874"/>
      <c r="AU188" s="2874"/>
      <c r="AV188" s="2879">
        <v>0</v>
      </c>
      <c r="AW188" s="2875">
        <v>0</v>
      </c>
      <c r="AX188" s="2876"/>
      <c r="AY188" s="2874"/>
      <c r="AZ188" s="2874"/>
      <c r="BA188" s="2874"/>
      <c r="BB188" s="2874"/>
      <c r="BC188" s="2879">
        <v>0</v>
      </c>
      <c r="BD188" s="2875">
        <v>0</v>
      </c>
      <c r="BE188" s="2876"/>
      <c r="BF188" s="2874"/>
      <c r="BG188" s="2874"/>
      <c r="BH188" s="2874"/>
      <c r="BI188" s="2874"/>
      <c r="BJ188" s="2879">
        <v>0</v>
      </c>
      <c r="BK188" s="2875">
        <v>0</v>
      </c>
      <c r="BL188" s="2876"/>
      <c r="BM188" s="2874"/>
      <c r="BN188" s="2874"/>
      <c r="BO188" s="2874"/>
      <c r="BP188" s="2874"/>
      <c r="BQ188" s="2879">
        <v>0</v>
      </c>
      <c r="BR188" s="2875">
        <v>0</v>
      </c>
      <c r="BS188" s="2876">
        <v>0</v>
      </c>
      <c r="BT188" s="2874">
        <v>0</v>
      </c>
      <c r="BU188" s="2874">
        <v>0</v>
      </c>
      <c r="BV188" s="2874">
        <v>0</v>
      </c>
      <c r="BW188" s="2874">
        <v>0</v>
      </c>
      <c r="BX188" s="2879">
        <v>0</v>
      </c>
      <c r="BY188" s="2875">
        <v>0</v>
      </c>
      <c r="BZ188" s="2876">
        <v>0</v>
      </c>
      <c r="CA188" s="2874">
        <v>0</v>
      </c>
      <c r="CB188" s="2874">
        <v>0</v>
      </c>
      <c r="CC188" s="2874">
        <v>0</v>
      </c>
      <c r="CD188" s="2874">
        <v>0</v>
      </c>
      <c r="CE188" s="2879">
        <v>0</v>
      </c>
      <c r="CF188" s="2875">
        <v>0</v>
      </c>
      <c r="CG188" s="2876">
        <v>0</v>
      </c>
      <c r="CH188" s="2874">
        <v>0</v>
      </c>
      <c r="CI188" s="2874">
        <v>0</v>
      </c>
      <c r="CJ188" s="2874">
        <v>0</v>
      </c>
      <c r="CK188" s="2874">
        <v>0</v>
      </c>
      <c r="CL188" s="2879">
        <v>0</v>
      </c>
      <c r="CM188" s="2875">
        <v>0</v>
      </c>
      <c r="CN188" s="2880">
        <v>0</v>
      </c>
      <c r="CO188" s="2874">
        <v>0</v>
      </c>
      <c r="CP188" s="2874">
        <v>0</v>
      </c>
      <c r="CQ188" s="2874">
        <v>0</v>
      </c>
      <c r="CR188" s="2874">
        <v>0</v>
      </c>
      <c r="CS188" s="2879">
        <v>0</v>
      </c>
      <c r="CT188" s="2875">
        <v>0</v>
      </c>
      <c r="CU188" s="2881">
        <v>0</v>
      </c>
      <c r="CV188" s="2874">
        <v>0</v>
      </c>
      <c r="CW188" s="2874">
        <v>0</v>
      </c>
      <c r="CX188" s="2874">
        <v>0</v>
      </c>
      <c r="CY188" s="2874">
        <v>0</v>
      </c>
      <c r="CZ188" s="2879">
        <v>0</v>
      </c>
      <c r="DA188" s="2875">
        <v>0</v>
      </c>
      <c r="DB188" s="1609"/>
      <c r="DD188" s="1625"/>
      <c r="DJ188" s="1611" t="e">
        <v>#N/A</v>
      </c>
      <c r="DK188" s="2782">
        <v>0</v>
      </c>
      <c r="DM188" s="1650">
        <v>0</v>
      </c>
    </row>
    <row r="189" spans="1:117" ht="21" customHeight="1">
      <c r="A189" s="1652"/>
      <c r="B189" s="1644"/>
      <c r="C189" s="1662"/>
      <c r="D189" s="1648"/>
      <c r="E189" s="1648"/>
      <c r="F189" s="1648"/>
      <c r="G189" s="1648"/>
      <c r="H189" s="1648"/>
      <c r="I189" s="1648"/>
      <c r="J189" s="1663"/>
      <c r="K189" s="1648"/>
      <c r="L189" s="1648"/>
      <c r="M189" s="1648"/>
      <c r="N189" s="1642"/>
      <c r="O189" s="2876"/>
      <c r="P189" s="2870"/>
      <c r="Q189" s="2870"/>
      <c r="R189" s="2870"/>
      <c r="S189" s="2870"/>
      <c r="T189" s="2870"/>
      <c r="U189" s="2875">
        <v>0</v>
      </c>
      <c r="V189" s="2869"/>
      <c r="W189" s="2870"/>
      <c r="X189" s="2870"/>
      <c r="Y189" s="2870"/>
      <c r="Z189" s="2870"/>
      <c r="AA189" s="2877"/>
      <c r="AB189" s="2875">
        <v>0</v>
      </c>
      <c r="AC189" s="2869"/>
      <c r="AD189" s="2870"/>
      <c r="AE189" s="2870"/>
      <c r="AF189" s="2870"/>
      <c r="AG189" s="2870"/>
      <c r="AH189" s="2877"/>
      <c r="AI189" s="2875">
        <v>0</v>
      </c>
      <c r="AJ189" s="2869"/>
      <c r="AK189" s="2870"/>
      <c r="AL189" s="2870"/>
      <c r="AM189" s="2870"/>
      <c r="AN189" s="2870"/>
      <c r="AO189" s="2877"/>
      <c r="AP189" s="2875">
        <v>0</v>
      </c>
      <c r="AQ189" s="2869"/>
      <c r="AR189" s="2870"/>
      <c r="AS189" s="2870"/>
      <c r="AT189" s="2870"/>
      <c r="AU189" s="2870"/>
      <c r="AV189" s="2877"/>
      <c r="AW189" s="2875">
        <v>0</v>
      </c>
      <c r="AX189" s="2869"/>
      <c r="AY189" s="2870"/>
      <c r="AZ189" s="2870"/>
      <c r="BA189" s="2870"/>
      <c r="BB189" s="2870"/>
      <c r="BC189" s="2877"/>
      <c r="BD189" s="2875">
        <v>0</v>
      </c>
      <c r="BE189" s="2869"/>
      <c r="BF189" s="2870"/>
      <c r="BG189" s="2870"/>
      <c r="BH189" s="2870"/>
      <c r="BI189" s="2870"/>
      <c r="BJ189" s="2877"/>
      <c r="BK189" s="2875">
        <v>0</v>
      </c>
      <c r="BL189" s="2869"/>
      <c r="BM189" s="2870"/>
      <c r="BN189" s="2870"/>
      <c r="BO189" s="2870"/>
      <c r="BP189" s="2870"/>
      <c r="BQ189" s="2877"/>
      <c r="BR189" s="2875">
        <v>0</v>
      </c>
      <c r="BS189" s="2869"/>
      <c r="BT189" s="2870"/>
      <c r="BU189" s="2870"/>
      <c r="BV189" s="2870"/>
      <c r="BW189" s="2870"/>
      <c r="BX189" s="2877"/>
      <c r="BY189" s="2875">
        <v>0</v>
      </c>
      <c r="BZ189" s="2869"/>
      <c r="CA189" s="2870"/>
      <c r="CB189" s="2870"/>
      <c r="CC189" s="2870"/>
      <c r="CD189" s="2870"/>
      <c r="CE189" s="2877"/>
      <c r="CF189" s="2875">
        <v>0</v>
      </c>
      <c r="CG189" s="2869"/>
      <c r="CH189" s="2870"/>
      <c r="CI189" s="2870"/>
      <c r="CJ189" s="2870"/>
      <c r="CK189" s="2870"/>
      <c r="CL189" s="2877"/>
      <c r="CM189" s="2875">
        <v>0</v>
      </c>
      <c r="CN189" s="2872"/>
      <c r="CO189" s="2870"/>
      <c r="CP189" s="2870"/>
      <c r="CQ189" s="2870"/>
      <c r="CR189" s="2870"/>
      <c r="CS189" s="2877"/>
      <c r="CT189" s="2875">
        <v>0</v>
      </c>
      <c r="CU189" s="2878"/>
      <c r="CV189" s="2870"/>
      <c r="CW189" s="2870"/>
      <c r="CX189" s="2870"/>
      <c r="CY189" s="2870"/>
      <c r="CZ189" s="2879"/>
      <c r="DA189" s="2875"/>
      <c r="DJ189" s="1611" t="e">
        <v>#N/A</v>
      </c>
      <c r="DK189" s="2782" t="e">
        <v>#N/A</v>
      </c>
      <c r="DM189" s="1650">
        <v>0</v>
      </c>
    </row>
    <row r="190" spans="1:117" ht="21" customHeight="1">
      <c r="A190" s="1637" t="s">
        <v>68</v>
      </c>
      <c r="B190" s="1638" t="s">
        <v>1785</v>
      </c>
      <c r="C190" s="1662"/>
      <c r="D190" s="1648"/>
      <c r="E190" s="1648"/>
      <c r="F190" s="1648"/>
      <c r="G190" s="1648"/>
      <c r="H190" s="1648"/>
      <c r="I190" s="1648"/>
      <c r="J190" s="1649"/>
      <c r="K190" s="1648"/>
      <c r="L190" s="1648"/>
      <c r="M190" s="1648"/>
      <c r="N190" s="1642"/>
      <c r="O190" s="2876"/>
      <c r="P190" s="2870"/>
      <c r="Q190" s="2870"/>
      <c r="R190" s="2870"/>
      <c r="S190" s="2870"/>
      <c r="T190" s="2870"/>
      <c r="U190" s="2875">
        <v>0</v>
      </c>
      <c r="V190" s="2869"/>
      <c r="W190" s="2870"/>
      <c r="X190" s="2870"/>
      <c r="Y190" s="2870"/>
      <c r="Z190" s="2870"/>
      <c r="AA190" s="2877">
        <v>0</v>
      </c>
      <c r="AB190" s="2875">
        <v>0</v>
      </c>
      <c r="AC190" s="2869"/>
      <c r="AD190" s="2870"/>
      <c r="AE190" s="2870"/>
      <c r="AF190" s="2870"/>
      <c r="AG190" s="2870"/>
      <c r="AH190" s="2877">
        <v>0</v>
      </c>
      <c r="AI190" s="2875">
        <v>0</v>
      </c>
      <c r="AJ190" s="2869"/>
      <c r="AK190" s="2870"/>
      <c r="AL190" s="2870"/>
      <c r="AM190" s="2870"/>
      <c r="AN190" s="2870"/>
      <c r="AO190" s="2877">
        <v>0</v>
      </c>
      <c r="AP190" s="2875">
        <v>0</v>
      </c>
      <c r="AQ190" s="2869"/>
      <c r="AR190" s="2870"/>
      <c r="AS190" s="2870"/>
      <c r="AT190" s="2870"/>
      <c r="AU190" s="2870"/>
      <c r="AV190" s="2877">
        <v>0</v>
      </c>
      <c r="AW190" s="2875">
        <v>0</v>
      </c>
      <c r="AX190" s="2869"/>
      <c r="AY190" s="2870"/>
      <c r="AZ190" s="2870"/>
      <c r="BA190" s="2870"/>
      <c r="BB190" s="2870"/>
      <c r="BC190" s="2877">
        <v>0</v>
      </c>
      <c r="BD190" s="2875">
        <v>0</v>
      </c>
      <c r="BE190" s="2869"/>
      <c r="BF190" s="2870"/>
      <c r="BG190" s="2870"/>
      <c r="BH190" s="2870"/>
      <c r="BI190" s="2870"/>
      <c r="BJ190" s="2877">
        <v>0</v>
      </c>
      <c r="BK190" s="2875">
        <v>0</v>
      </c>
      <c r="BL190" s="2869"/>
      <c r="BM190" s="2870"/>
      <c r="BN190" s="2870"/>
      <c r="BO190" s="2870"/>
      <c r="BP190" s="2870"/>
      <c r="BQ190" s="2877">
        <v>0</v>
      </c>
      <c r="BR190" s="2875">
        <v>0</v>
      </c>
      <c r="BS190" s="2869"/>
      <c r="BT190" s="2870"/>
      <c r="BU190" s="2870"/>
      <c r="BV190" s="2870"/>
      <c r="BW190" s="2870"/>
      <c r="BX190" s="2877">
        <v>0</v>
      </c>
      <c r="BY190" s="2875">
        <v>0</v>
      </c>
      <c r="BZ190" s="2869"/>
      <c r="CA190" s="2870"/>
      <c r="CB190" s="2870"/>
      <c r="CC190" s="2870"/>
      <c r="CD190" s="2870"/>
      <c r="CE190" s="2877">
        <v>0</v>
      </c>
      <c r="CF190" s="2875">
        <v>0</v>
      </c>
      <c r="CG190" s="2869"/>
      <c r="CH190" s="2870"/>
      <c r="CI190" s="2870"/>
      <c r="CJ190" s="2870"/>
      <c r="CK190" s="2870"/>
      <c r="CL190" s="2877">
        <v>0</v>
      </c>
      <c r="CM190" s="2875">
        <v>0</v>
      </c>
      <c r="CN190" s="2872"/>
      <c r="CO190" s="2870"/>
      <c r="CP190" s="2870"/>
      <c r="CQ190" s="2870"/>
      <c r="CR190" s="2870"/>
      <c r="CS190" s="2877">
        <v>0</v>
      </c>
      <c r="CT190" s="2875">
        <v>0</v>
      </c>
      <c r="CU190" s="2878"/>
      <c r="CV190" s="2870"/>
      <c r="CW190" s="2870"/>
      <c r="CX190" s="2870"/>
      <c r="CY190" s="2870"/>
      <c r="CZ190" s="2879"/>
      <c r="DA190" s="2875"/>
      <c r="DJ190" s="1611" t="e">
        <v>#N/A</v>
      </c>
      <c r="DK190" s="2782">
        <v>0</v>
      </c>
      <c r="DM190" s="1650">
        <v>0</v>
      </c>
    </row>
    <row r="191" spans="1:117" ht="21" customHeight="1">
      <c r="A191" s="1652">
        <v>1</v>
      </c>
      <c r="B191" s="1701" t="s">
        <v>1859</v>
      </c>
      <c r="C191" s="1662">
        <v>26.5</v>
      </c>
      <c r="D191" s="1646">
        <v>100</v>
      </c>
      <c r="E191" s="1646"/>
      <c r="F191" s="1648" t="s">
        <v>1594</v>
      </c>
      <c r="G191" s="1648"/>
      <c r="H191" s="1648">
        <v>26.5</v>
      </c>
      <c r="I191" s="1648" t="s">
        <v>1717</v>
      </c>
      <c r="J191" s="1649">
        <v>2</v>
      </c>
      <c r="K191" s="1648"/>
      <c r="L191" s="1648"/>
      <c r="M191" s="1648"/>
      <c r="N191" s="1642"/>
      <c r="O191" s="2876"/>
      <c r="P191" s="2870"/>
      <c r="Q191" s="2870"/>
      <c r="R191" s="2870"/>
      <c r="S191" s="2870"/>
      <c r="T191" s="2870"/>
      <c r="U191" s="2875">
        <v>0</v>
      </c>
      <c r="V191" s="2869"/>
      <c r="W191" s="2870"/>
      <c r="X191" s="2870"/>
      <c r="Y191" s="2870"/>
      <c r="Z191" s="2870"/>
      <c r="AA191" s="2877">
        <v>0</v>
      </c>
      <c r="AB191" s="2875">
        <v>0</v>
      </c>
      <c r="AC191" s="2869"/>
      <c r="AD191" s="2870"/>
      <c r="AE191" s="2870"/>
      <c r="AF191" s="2870"/>
      <c r="AG191" s="2870"/>
      <c r="AH191" s="2877">
        <v>0</v>
      </c>
      <c r="AI191" s="2875">
        <v>0</v>
      </c>
      <c r="AJ191" s="2869"/>
      <c r="AK191" s="2870"/>
      <c r="AL191" s="2870"/>
      <c r="AM191" s="2870"/>
      <c r="AN191" s="2870"/>
      <c r="AO191" s="2877">
        <v>0</v>
      </c>
      <c r="AP191" s="2875">
        <v>0</v>
      </c>
      <c r="AQ191" s="2869"/>
      <c r="AR191" s="2870"/>
      <c r="AS191" s="2870"/>
      <c r="AT191" s="2870"/>
      <c r="AU191" s="2870"/>
      <c r="AV191" s="2877">
        <v>0</v>
      </c>
      <c r="AW191" s="2875">
        <v>0</v>
      </c>
      <c r="AX191" s="2869"/>
      <c r="AY191" s="2870"/>
      <c r="AZ191" s="2870"/>
      <c r="BA191" s="2870"/>
      <c r="BB191" s="2870"/>
      <c r="BC191" s="2877">
        <v>0</v>
      </c>
      <c r="BD191" s="2875">
        <v>0</v>
      </c>
      <c r="BE191" s="2869"/>
      <c r="BF191" s="2870"/>
      <c r="BG191" s="2870"/>
      <c r="BH191" s="2870"/>
      <c r="BI191" s="2870"/>
      <c r="BJ191" s="2877">
        <v>0</v>
      </c>
      <c r="BK191" s="2875">
        <v>0</v>
      </c>
      <c r="BL191" s="2869"/>
      <c r="BM191" s="2870"/>
      <c r="BN191" s="2870"/>
      <c r="BO191" s="2870"/>
      <c r="BP191" s="2870"/>
      <c r="BQ191" s="2877">
        <v>0</v>
      </c>
      <c r="BR191" s="2875">
        <v>0</v>
      </c>
      <c r="BS191" s="2869"/>
      <c r="BT191" s="2870"/>
      <c r="BU191" s="2870"/>
      <c r="BV191" s="2870"/>
      <c r="BW191" s="2870"/>
      <c r="BX191" s="2877">
        <v>0</v>
      </c>
      <c r="BY191" s="2875">
        <v>0</v>
      </c>
      <c r="BZ191" s="2869"/>
      <c r="CA191" s="2870"/>
      <c r="CB191" s="2870"/>
      <c r="CC191" s="2870"/>
      <c r="CD191" s="2870"/>
      <c r="CE191" s="2877">
        <v>0</v>
      </c>
      <c r="CF191" s="2875">
        <v>0</v>
      </c>
      <c r="CG191" s="2869"/>
      <c r="CH191" s="2870"/>
      <c r="CI191" s="2870"/>
      <c r="CJ191" s="2870"/>
      <c r="CK191" s="2870"/>
      <c r="CL191" s="2877">
        <v>0</v>
      </c>
      <c r="CM191" s="2875">
        <v>0</v>
      </c>
      <c r="CN191" s="2872">
        <v>0</v>
      </c>
      <c r="CO191" s="2870"/>
      <c r="CP191" s="2870">
        <v>0</v>
      </c>
      <c r="CQ191" s="2870"/>
      <c r="CR191" s="2870"/>
      <c r="CS191" s="2877">
        <v>0</v>
      </c>
      <c r="CT191" s="2875">
        <v>0</v>
      </c>
      <c r="CU191" s="2878">
        <v>0</v>
      </c>
      <c r="CV191" s="2870">
        <v>0</v>
      </c>
      <c r="CW191" s="2870">
        <v>0</v>
      </c>
      <c r="CX191" s="2870">
        <v>0</v>
      </c>
      <c r="CY191" s="2870">
        <v>0</v>
      </c>
      <c r="CZ191" s="2879">
        <v>0</v>
      </c>
      <c r="DA191" s="2875">
        <v>0</v>
      </c>
      <c r="DJ191" s="1611" t="e">
        <v>#N/A</v>
      </c>
      <c r="DK191" s="2782" t="e">
        <v>#N/A</v>
      </c>
      <c r="DM191" s="1650">
        <v>0</v>
      </c>
    </row>
    <row r="192" spans="1:117" ht="21" customHeight="1">
      <c r="A192" s="1652">
        <v>2</v>
      </c>
      <c r="B192" s="1701" t="s">
        <v>1860</v>
      </c>
      <c r="C192" s="1662">
        <v>0</v>
      </c>
      <c r="D192" s="1646" t="e">
        <v>#DIV/0!</v>
      </c>
      <c r="E192" s="1646"/>
      <c r="F192" s="1648" t="s">
        <v>1594</v>
      </c>
      <c r="G192" s="1648"/>
      <c r="H192" s="1648">
        <v>0</v>
      </c>
      <c r="I192" s="1648" t="s">
        <v>1717</v>
      </c>
      <c r="J192" s="1649">
        <v>2</v>
      </c>
      <c r="K192" s="1648"/>
      <c r="L192" s="1648"/>
      <c r="M192" s="1648"/>
      <c r="N192" s="1642"/>
      <c r="O192" s="2876"/>
      <c r="P192" s="2870"/>
      <c r="Q192" s="2870"/>
      <c r="R192" s="2870"/>
      <c r="S192" s="2870"/>
      <c r="T192" s="2870"/>
      <c r="U192" s="2875">
        <v>0</v>
      </c>
      <c r="V192" s="2869"/>
      <c r="W192" s="2870"/>
      <c r="X192" s="2870"/>
      <c r="Y192" s="2870"/>
      <c r="Z192" s="2870"/>
      <c r="AA192" s="2877">
        <v>0</v>
      </c>
      <c r="AB192" s="2875">
        <v>0</v>
      </c>
      <c r="AC192" s="2869"/>
      <c r="AD192" s="2870"/>
      <c r="AE192" s="2870"/>
      <c r="AF192" s="2870"/>
      <c r="AG192" s="2870"/>
      <c r="AH192" s="2877">
        <v>0</v>
      </c>
      <c r="AI192" s="2875">
        <v>0</v>
      </c>
      <c r="AJ192" s="2869"/>
      <c r="AK192" s="2870"/>
      <c r="AL192" s="2870"/>
      <c r="AM192" s="2870"/>
      <c r="AN192" s="2870"/>
      <c r="AO192" s="2877">
        <v>0</v>
      </c>
      <c r="AP192" s="2875">
        <v>0</v>
      </c>
      <c r="AQ192" s="2869"/>
      <c r="AR192" s="2870"/>
      <c r="AS192" s="2870"/>
      <c r="AT192" s="2870"/>
      <c r="AU192" s="2870"/>
      <c r="AV192" s="2877">
        <v>0</v>
      </c>
      <c r="AW192" s="2875">
        <v>0</v>
      </c>
      <c r="AX192" s="2869"/>
      <c r="AY192" s="2870"/>
      <c r="AZ192" s="2870"/>
      <c r="BA192" s="2870"/>
      <c r="BB192" s="2870"/>
      <c r="BC192" s="2877">
        <v>0</v>
      </c>
      <c r="BD192" s="2875">
        <v>0</v>
      </c>
      <c r="BE192" s="2869"/>
      <c r="BF192" s="2870"/>
      <c r="BG192" s="2870"/>
      <c r="BH192" s="2870"/>
      <c r="BI192" s="2870"/>
      <c r="BJ192" s="2877">
        <v>0</v>
      </c>
      <c r="BK192" s="2875">
        <v>0</v>
      </c>
      <c r="BL192" s="2869"/>
      <c r="BM192" s="2870"/>
      <c r="BN192" s="2870"/>
      <c r="BO192" s="2870"/>
      <c r="BP192" s="2870"/>
      <c r="BQ192" s="2877">
        <v>0</v>
      </c>
      <c r="BR192" s="2875">
        <v>0</v>
      </c>
      <c r="BS192" s="2869"/>
      <c r="BT192" s="2870"/>
      <c r="BU192" s="2870"/>
      <c r="BV192" s="2870"/>
      <c r="BW192" s="2870"/>
      <c r="BX192" s="2877">
        <v>0</v>
      </c>
      <c r="BY192" s="2875">
        <v>0</v>
      </c>
      <c r="BZ192" s="2869"/>
      <c r="CA192" s="2870"/>
      <c r="CB192" s="2870"/>
      <c r="CC192" s="2870"/>
      <c r="CD192" s="2870"/>
      <c r="CE192" s="2877">
        <v>0</v>
      </c>
      <c r="CF192" s="2875">
        <v>0</v>
      </c>
      <c r="CG192" s="2869"/>
      <c r="CH192" s="2870"/>
      <c r="CI192" s="2870"/>
      <c r="CJ192" s="2870"/>
      <c r="CK192" s="2870"/>
      <c r="CL192" s="2877">
        <v>0</v>
      </c>
      <c r="CM192" s="2875">
        <v>0</v>
      </c>
      <c r="CN192" s="2872">
        <v>0</v>
      </c>
      <c r="CO192" s="2870"/>
      <c r="CP192" s="2870">
        <v>0</v>
      </c>
      <c r="CQ192" s="2870"/>
      <c r="CR192" s="2870"/>
      <c r="CS192" s="2877">
        <v>0</v>
      </c>
      <c r="CT192" s="2875">
        <v>0</v>
      </c>
      <c r="CU192" s="2878">
        <v>0</v>
      </c>
      <c r="CV192" s="2870">
        <v>0</v>
      </c>
      <c r="CW192" s="2870">
        <v>0</v>
      </c>
      <c r="CX192" s="2870">
        <v>0</v>
      </c>
      <c r="CY192" s="2870">
        <v>0</v>
      </c>
      <c r="CZ192" s="2879">
        <v>0</v>
      </c>
      <c r="DA192" s="2875">
        <v>0</v>
      </c>
      <c r="DJ192" s="1611" t="e">
        <v>#N/A</v>
      </c>
      <c r="DK192" s="2782" t="e">
        <v>#N/A</v>
      </c>
      <c r="DM192" s="1650">
        <v>0</v>
      </c>
    </row>
    <row r="193" spans="1:117" ht="21" customHeight="1">
      <c r="A193" s="1652">
        <v>3</v>
      </c>
      <c r="B193" s="1701" t="s">
        <v>1861</v>
      </c>
      <c r="C193" s="1662">
        <v>11</v>
      </c>
      <c r="D193" s="1646">
        <v>100</v>
      </c>
      <c r="E193" s="1646"/>
      <c r="F193" s="1648" t="s">
        <v>1594</v>
      </c>
      <c r="G193" s="1648"/>
      <c r="H193" s="1648">
        <v>11</v>
      </c>
      <c r="I193" s="1648" t="s">
        <v>1717</v>
      </c>
      <c r="J193" s="1649">
        <v>2</v>
      </c>
      <c r="K193" s="1648"/>
      <c r="L193" s="1648"/>
      <c r="M193" s="1648"/>
      <c r="N193" s="1642"/>
      <c r="O193" s="2876"/>
      <c r="P193" s="2870"/>
      <c r="Q193" s="2870"/>
      <c r="R193" s="2870"/>
      <c r="S193" s="2870"/>
      <c r="T193" s="2870"/>
      <c r="U193" s="2875">
        <v>0</v>
      </c>
      <c r="V193" s="2869"/>
      <c r="W193" s="2870"/>
      <c r="X193" s="2870"/>
      <c r="Y193" s="2870"/>
      <c r="Z193" s="2870"/>
      <c r="AA193" s="2877">
        <v>0</v>
      </c>
      <c r="AB193" s="2875">
        <v>0</v>
      </c>
      <c r="AC193" s="2869"/>
      <c r="AD193" s="2870"/>
      <c r="AE193" s="2870"/>
      <c r="AF193" s="2870"/>
      <c r="AG193" s="2870"/>
      <c r="AH193" s="2877">
        <v>0</v>
      </c>
      <c r="AI193" s="2875">
        <v>0</v>
      </c>
      <c r="AJ193" s="2869">
        <v>4.675586</v>
      </c>
      <c r="AK193" s="2870"/>
      <c r="AL193" s="2870">
        <v>14167026</v>
      </c>
      <c r="AM193" s="2870"/>
      <c r="AN193" s="2870"/>
      <c r="AO193" s="2877">
        <v>3.0300000898283126</v>
      </c>
      <c r="AP193" s="2875">
        <v>14167026</v>
      </c>
      <c r="AQ193" s="2869"/>
      <c r="AR193" s="2870"/>
      <c r="AS193" s="2870"/>
      <c r="AT193" s="2870"/>
      <c r="AU193" s="2870"/>
      <c r="AV193" s="2877">
        <v>0</v>
      </c>
      <c r="AW193" s="2875">
        <v>0</v>
      </c>
      <c r="AX193" s="2869"/>
      <c r="AY193" s="2870"/>
      <c r="AZ193" s="2870"/>
      <c r="BA193" s="2870"/>
      <c r="BB193" s="2870"/>
      <c r="BC193" s="2877">
        <v>0</v>
      </c>
      <c r="BD193" s="2875">
        <v>0</v>
      </c>
      <c r="BE193" s="2869"/>
      <c r="BF193" s="2870"/>
      <c r="BG193" s="2870"/>
      <c r="BH193" s="2870"/>
      <c r="BI193" s="2870"/>
      <c r="BJ193" s="2877">
        <v>0</v>
      </c>
      <c r="BK193" s="2875">
        <v>0</v>
      </c>
      <c r="BL193" s="2869"/>
      <c r="BM193" s="2870"/>
      <c r="BN193" s="2870"/>
      <c r="BO193" s="2870"/>
      <c r="BP193" s="2870"/>
      <c r="BQ193" s="2877">
        <v>0</v>
      </c>
      <c r="BR193" s="2875">
        <v>0</v>
      </c>
      <c r="BS193" s="2869"/>
      <c r="BT193" s="2870"/>
      <c r="BU193" s="2870"/>
      <c r="BV193" s="2870"/>
      <c r="BW193" s="2870"/>
      <c r="BX193" s="2877">
        <v>0</v>
      </c>
      <c r="BY193" s="2875">
        <v>0</v>
      </c>
      <c r="BZ193" s="2869">
        <v>7.5927489999999995</v>
      </c>
      <c r="CA193" s="2870"/>
      <c r="CB193" s="2870">
        <v>23006033</v>
      </c>
      <c r="CC193" s="2870"/>
      <c r="CD193" s="2870"/>
      <c r="CE193" s="2877">
        <v>3.0300004649172525</v>
      </c>
      <c r="CF193" s="2875">
        <v>23006033</v>
      </c>
      <c r="CG193" s="2869">
        <v>11.768882</v>
      </c>
      <c r="CH193" s="2870"/>
      <c r="CI193" s="2870">
        <v>35659714</v>
      </c>
      <c r="CJ193" s="2870"/>
      <c r="CK193" s="2870"/>
      <c r="CL193" s="2877">
        <v>3.0300001308535509</v>
      </c>
      <c r="CM193" s="2875">
        <v>35659714</v>
      </c>
      <c r="CN193" s="2872">
        <v>6.3148765000000004</v>
      </c>
      <c r="CO193" s="2870"/>
      <c r="CP193" s="2870">
        <v>15916473</v>
      </c>
      <c r="CQ193" s="2896"/>
      <c r="CR193" s="2870"/>
      <c r="CS193" s="2877">
        <v>2.5204725698119352</v>
      </c>
      <c r="CT193" s="2875">
        <v>15916473</v>
      </c>
      <c r="CU193" s="2878">
        <v>30.352093499999999</v>
      </c>
      <c r="CV193" s="2870">
        <v>0</v>
      </c>
      <c r="CW193" s="2870">
        <v>88749246</v>
      </c>
      <c r="CX193" s="2870">
        <v>0</v>
      </c>
      <c r="CY193" s="2870">
        <v>0</v>
      </c>
      <c r="CZ193" s="2879">
        <v>2.9239909266884672</v>
      </c>
      <c r="DA193" s="2875">
        <v>88749246</v>
      </c>
      <c r="DB193" s="1613">
        <v>30.352093499999999</v>
      </c>
      <c r="DC193" s="2899">
        <v>0</v>
      </c>
      <c r="DE193" s="2782" t="b">
        <v>1</v>
      </c>
      <c r="DJ193" s="1611" t="e">
        <v>#N/A</v>
      </c>
      <c r="DK193" s="2782" t="e">
        <v>#N/A</v>
      </c>
      <c r="DM193" s="1650">
        <v>2.9239909266884672</v>
      </c>
    </row>
    <row r="194" spans="1:117" ht="21" customHeight="1">
      <c r="A194" s="1652">
        <v>4</v>
      </c>
      <c r="B194" s="1701" t="s">
        <v>1862</v>
      </c>
      <c r="C194" s="1662">
        <v>26.5</v>
      </c>
      <c r="D194" s="1646">
        <v>100</v>
      </c>
      <c r="E194" s="1646"/>
      <c r="F194" s="1648" t="s">
        <v>1594</v>
      </c>
      <c r="G194" s="1648"/>
      <c r="H194" s="1648">
        <v>26.5</v>
      </c>
      <c r="I194" s="1648" t="s">
        <v>1717</v>
      </c>
      <c r="J194" s="1649">
        <v>2</v>
      </c>
      <c r="K194" s="1648"/>
      <c r="L194" s="1648"/>
      <c r="M194" s="1648"/>
      <c r="N194" s="1642"/>
      <c r="O194" s="2876"/>
      <c r="P194" s="2870"/>
      <c r="Q194" s="2870"/>
      <c r="R194" s="2870"/>
      <c r="S194" s="2870"/>
      <c r="T194" s="2870"/>
      <c r="U194" s="2875">
        <v>0</v>
      </c>
      <c r="V194" s="2869"/>
      <c r="W194" s="2870"/>
      <c r="X194" s="2870"/>
      <c r="Y194" s="2870"/>
      <c r="Z194" s="2870"/>
      <c r="AA194" s="2877">
        <v>0</v>
      </c>
      <c r="AB194" s="2875">
        <v>0</v>
      </c>
      <c r="AC194" s="2869"/>
      <c r="AD194" s="2870"/>
      <c r="AE194" s="2870"/>
      <c r="AF194" s="2870"/>
      <c r="AG194" s="2870"/>
      <c r="AH194" s="2877">
        <v>0</v>
      </c>
      <c r="AI194" s="2875">
        <v>0</v>
      </c>
      <c r="AJ194" s="2869">
        <v>9.8021379999999994</v>
      </c>
      <c r="AK194" s="2870"/>
      <c r="AL194" s="2870">
        <v>29811244</v>
      </c>
      <c r="AM194" s="2870"/>
      <c r="AN194" s="2870"/>
      <c r="AO194" s="2877">
        <v>3.0413001734927625</v>
      </c>
      <c r="AP194" s="2875">
        <v>29811244</v>
      </c>
      <c r="AQ194" s="2869"/>
      <c r="AR194" s="2870"/>
      <c r="AS194" s="2870"/>
      <c r="AT194" s="2870"/>
      <c r="AU194" s="2870"/>
      <c r="AV194" s="2877">
        <v>0</v>
      </c>
      <c r="AW194" s="2875">
        <v>0</v>
      </c>
      <c r="AX194" s="2869"/>
      <c r="AY194" s="2870"/>
      <c r="AZ194" s="2870"/>
      <c r="BA194" s="2870"/>
      <c r="BB194" s="2870"/>
      <c r="BC194" s="2877">
        <v>0</v>
      </c>
      <c r="BD194" s="2875">
        <v>0</v>
      </c>
      <c r="BE194" s="2869"/>
      <c r="BF194" s="2870"/>
      <c r="BG194" s="2870"/>
      <c r="BH194" s="2870"/>
      <c r="BI194" s="2870"/>
      <c r="BJ194" s="2877">
        <v>0</v>
      </c>
      <c r="BK194" s="2875">
        <v>0</v>
      </c>
      <c r="BL194" s="2869"/>
      <c r="BM194" s="2870"/>
      <c r="BN194" s="2870"/>
      <c r="BO194" s="2870"/>
      <c r="BP194" s="2870"/>
      <c r="BQ194" s="2877">
        <v>0</v>
      </c>
      <c r="BR194" s="2875">
        <v>0</v>
      </c>
      <c r="BS194" s="2869"/>
      <c r="BT194" s="2870"/>
      <c r="BU194" s="2870"/>
      <c r="BV194" s="2870"/>
      <c r="BW194" s="2870"/>
      <c r="BX194" s="2877">
        <v>0</v>
      </c>
      <c r="BY194" s="2875">
        <v>0</v>
      </c>
      <c r="BZ194" s="2869"/>
      <c r="CA194" s="2870"/>
      <c r="CB194" s="2870"/>
      <c r="CC194" s="2870"/>
      <c r="CD194" s="2870"/>
      <c r="CE194" s="2877">
        <v>0</v>
      </c>
      <c r="CF194" s="2875">
        <v>0</v>
      </c>
      <c r="CG194" s="2869"/>
      <c r="CH194" s="2870"/>
      <c r="CI194" s="2870"/>
      <c r="CJ194" s="2870"/>
      <c r="CK194" s="2870"/>
      <c r="CL194" s="2877">
        <v>0</v>
      </c>
      <c r="CM194" s="2875">
        <v>0</v>
      </c>
      <c r="CN194" s="2872">
        <v>35.5905585</v>
      </c>
      <c r="CO194" s="2870"/>
      <c r="CP194" s="2870">
        <v>104551856.86999999</v>
      </c>
      <c r="CQ194" s="2870"/>
      <c r="CR194" s="2870"/>
      <c r="CS194" s="2877">
        <v>2.9376290026468674</v>
      </c>
      <c r="CT194" s="2875">
        <v>104551856.86999999</v>
      </c>
      <c r="CU194" s="2878">
        <v>45.3926965</v>
      </c>
      <c r="CV194" s="2870">
        <v>0</v>
      </c>
      <c r="CW194" s="2870">
        <v>134363100.87</v>
      </c>
      <c r="CX194" s="2870">
        <v>0</v>
      </c>
      <c r="CY194" s="2870">
        <v>0</v>
      </c>
      <c r="CZ194" s="2879">
        <v>2.9600158446194094</v>
      </c>
      <c r="DA194" s="2875">
        <v>134363100.87</v>
      </c>
      <c r="DB194" s="1613">
        <v>39.553584000000001</v>
      </c>
      <c r="DC194" s="2899">
        <v>-5.8391124999999988</v>
      </c>
      <c r="DE194" s="2782" t="b">
        <v>0</v>
      </c>
      <c r="DJ194" s="1611" t="e">
        <v>#N/A</v>
      </c>
      <c r="DK194" s="2782" t="e">
        <v>#N/A</v>
      </c>
      <c r="DM194" s="1650">
        <v>2.9600158446194094</v>
      </c>
    </row>
    <row r="195" spans="1:117" ht="21" customHeight="1">
      <c r="A195" s="1652">
        <v>5</v>
      </c>
      <c r="B195" s="1701" t="s">
        <v>1863</v>
      </c>
      <c r="C195" s="1662">
        <v>13.5</v>
      </c>
      <c r="D195" s="1646">
        <v>100</v>
      </c>
      <c r="E195" s="1646"/>
      <c r="F195" s="1648" t="s">
        <v>1594</v>
      </c>
      <c r="G195" s="1648"/>
      <c r="H195" s="1648">
        <v>13.5</v>
      </c>
      <c r="I195" s="1648" t="s">
        <v>1717</v>
      </c>
      <c r="J195" s="1649">
        <v>2</v>
      </c>
      <c r="K195" s="1648"/>
      <c r="L195" s="1648"/>
      <c r="M195" s="1648"/>
      <c r="N195" s="1642"/>
      <c r="O195" s="2876"/>
      <c r="P195" s="2870"/>
      <c r="Q195" s="2870"/>
      <c r="R195" s="2870"/>
      <c r="S195" s="2870"/>
      <c r="T195" s="2870"/>
      <c r="U195" s="2875">
        <v>0</v>
      </c>
      <c r="V195" s="2869"/>
      <c r="W195" s="2870"/>
      <c r="X195" s="2870"/>
      <c r="Y195" s="2870"/>
      <c r="Z195" s="2870"/>
      <c r="AA195" s="2877">
        <v>0</v>
      </c>
      <c r="AB195" s="2875">
        <v>0</v>
      </c>
      <c r="AC195" s="2869"/>
      <c r="AD195" s="2870"/>
      <c r="AE195" s="2870"/>
      <c r="AF195" s="2870"/>
      <c r="AG195" s="2870"/>
      <c r="AH195" s="2877">
        <v>0</v>
      </c>
      <c r="AI195" s="2875">
        <v>0</v>
      </c>
      <c r="AJ195" s="2869"/>
      <c r="AK195" s="2870"/>
      <c r="AL195" s="2870"/>
      <c r="AM195" s="2870"/>
      <c r="AN195" s="2870"/>
      <c r="AO195" s="2877">
        <v>0</v>
      </c>
      <c r="AP195" s="2875">
        <v>0</v>
      </c>
      <c r="AQ195" s="2869">
        <v>15.409558000000001</v>
      </c>
      <c r="AR195" s="2870"/>
      <c r="AS195" s="2870">
        <v>46999152</v>
      </c>
      <c r="AT195" s="2870"/>
      <c r="AU195" s="2870"/>
      <c r="AV195" s="2877">
        <v>3.050000006489479</v>
      </c>
      <c r="AW195" s="2875">
        <v>46999152</v>
      </c>
      <c r="AX195" s="2869"/>
      <c r="AY195" s="2870"/>
      <c r="AZ195" s="2870"/>
      <c r="BA195" s="2870"/>
      <c r="BB195" s="2870"/>
      <c r="BC195" s="2877">
        <v>0</v>
      </c>
      <c r="BD195" s="2875">
        <v>0</v>
      </c>
      <c r="BE195" s="2869"/>
      <c r="BF195" s="2870"/>
      <c r="BG195" s="2870"/>
      <c r="BH195" s="2870"/>
      <c r="BI195" s="2870"/>
      <c r="BJ195" s="2877">
        <v>0</v>
      </c>
      <c r="BK195" s="2875">
        <v>0</v>
      </c>
      <c r="BL195" s="2869"/>
      <c r="BM195" s="2870"/>
      <c r="BN195" s="2870"/>
      <c r="BO195" s="2870"/>
      <c r="BP195" s="2870"/>
      <c r="BQ195" s="2877">
        <v>0</v>
      </c>
      <c r="BR195" s="2875">
        <v>0</v>
      </c>
      <c r="BS195" s="2869"/>
      <c r="BT195" s="2870"/>
      <c r="BU195" s="2870"/>
      <c r="BV195" s="2870"/>
      <c r="BW195" s="2870"/>
      <c r="BX195" s="2877">
        <v>0</v>
      </c>
      <c r="BY195" s="2875">
        <v>0</v>
      </c>
      <c r="BZ195" s="2869"/>
      <c r="CA195" s="2870"/>
      <c r="CB195" s="2870"/>
      <c r="CC195" s="2870"/>
      <c r="CD195" s="2870"/>
      <c r="CE195" s="2877">
        <v>0</v>
      </c>
      <c r="CF195" s="2875">
        <v>0</v>
      </c>
      <c r="CG195" s="2869"/>
      <c r="CH195" s="2870"/>
      <c r="CI195" s="2870"/>
      <c r="CJ195" s="2870"/>
      <c r="CK195" s="2870"/>
      <c r="CL195" s="2877">
        <v>0</v>
      </c>
      <c r="CM195" s="2875">
        <v>0</v>
      </c>
      <c r="CN195" s="2872">
        <v>46.602947999999998</v>
      </c>
      <c r="CO195" s="2870"/>
      <c r="CP195" s="2870">
        <v>113433960.75</v>
      </c>
      <c r="CQ195" s="2870"/>
      <c r="CR195" s="2870"/>
      <c r="CS195" s="2877">
        <v>2.4340511838435628</v>
      </c>
      <c r="CT195" s="2875">
        <v>113433960.75</v>
      </c>
      <c r="CU195" s="2878">
        <v>62.012506000000002</v>
      </c>
      <c r="CV195" s="2870">
        <v>0</v>
      </c>
      <c r="CW195" s="2870">
        <v>160433112.75</v>
      </c>
      <c r="CX195" s="2870">
        <v>0</v>
      </c>
      <c r="CY195" s="2870">
        <v>0</v>
      </c>
      <c r="CZ195" s="2879">
        <v>2.5871090058834261</v>
      </c>
      <c r="DA195" s="2875">
        <v>160433112.75</v>
      </c>
      <c r="DB195" s="1613">
        <v>62.012506000000002</v>
      </c>
      <c r="DC195" s="2899">
        <v>0</v>
      </c>
      <c r="DE195" s="2782" t="b">
        <v>1</v>
      </c>
      <c r="DJ195" s="1611" t="e">
        <v>#N/A</v>
      </c>
      <c r="DK195" s="2782" t="e">
        <v>#N/A</v>
      </c>
      <c r="DM195" s="1650">
        <v>2.5871090058834261</v>
      </c>
    </row>
    <row r="196" spans="1:117" ht="21" customHeight="1">
      <c r="A196" s="1652">
        <v>6</v>
      </c>
      <c r="B196" s="1701" t="s">
        <v>1864</v>
      </c>
      <c r="C196" s="1662">
        <v>12</v>
      </c>
      <c r="D196" s="1646">
        <v>100</v>
      </c>
      <c r="E196" s="1646"/>
      <c r="F196" s="1648" t="s">
        <v>1594</v>
      </c>
      <c r="G196" s="1648"/>
      <c r="H196" s="1648">
        <v>12</v>
      </c>
      <c r="I196" s="1648" t="s">
        <v>1717</v>
      </c>
      <c r="J196" s="1649">
        <v>2</v>
      </c>
      <c r="K196" s="1648"/>
      <c r="L196" s="1648"/>
      <c r="M196" s="1648"/>
      <c r="N196" s="1642"/>
      <c r="O196" s="2876"/>
      <c r="P196" s="2870"/>
      <c r="Q196" s="2870"/>
      <c r="R196" s="2870"/>
      <c r="S196" s="2870"/>
      <c r="T196" s="2870"/>
      <c r="U196" s="2875">
        <v>0</v>
      </c>
      <c r="V196" s="2869"/>
      <c r="W196" s="2870"/>
      <c r="X196" s="2870"/>
      <c r="Y196" s="2870"/>
      <c r="Z196" s="2870"/>
      <c r="AA196" s="2877">
        <v>0</v>
      </c>
      <c r="AB196" s="2875">
        <v>0</v>
      </c>
      <c r="AC196" s="2869"/>
      <c r="AD196" s="2870"/>
      <c r="AE196" s="2870"/>
      <c r="AF196" s="2870"/>
      <c r="AG196" s="2870"/>
      <c r="AH196" s="2877">
        <v>0</v>
      </c>
      <c r="AI196" s="2875">
        <v>0</v>
      </c>
      <c r="AJ196" s="2869">
        <v>1.7507740000000001</v>
      </c>
      <c r="AK196" s="2870"/>
      <c r="AL196" s="2870">
        <v>5339861</v>
      </c>
      <c r="AM196" s="2870"/>
      <c r="AN196" s="2870"/>
      <c r="AO196" s="2877">
        <v>3.0500001713527847</v>
      </c>
      <c r="AP196" s="2875">
        <v>5339861</v>
      </c>
      <c r="AQ196" s="2869"/>
      <c r="AR196" s="2870"/>
      <c r="AS196" s="2870"/>
      <c r="AT196" s="2870"/>
      <c r="AU196" s="2870"/>
      <c r="AV196" s="2877">
        <v>0</v>
      </c>
      <c r="AW196" s="2875">
        <v>0</v>
      </c>
      <c r="AX196" s="2869"/>
      <c r="AY196" s="2870"/>
      <c r="AZ196" s="2870"/>
      <c r="BA196" s="2870"/>
      <c r="BB196" s="2870"/>
      <c r="BC196" s="2877">
        <v>0</v>
      </c>
      <c r="BD196" s="2875">
        <v>0</v>
      </c>
      <c r="BE196" s="2869"/>
      <c r="BF196" s="2870"/>
      <c r="BG196" s="2870"/>
      <c r="BH196" s="2870"/>
      <c r="BI196" s="2870"/>
      <c r="BJ196" s="2877">
        <v>0</v>
      </c>
      <c r="BK196" s="2875">
        <v>0</v>
      </c>
      <c r="BL196" s="2869"/>
      <c r="BM196" s="2870"/>
      <c r="BN196" s="2870"/>
      <c r="BO196" s="2870"/>
      <c r="BP196" s="2870"/>
      <c r="BQ196" s="2877">
        <v>0</v>
      </c>
      <c r="BR196" s="2875">
        <v>0</v>
      </c>
      <c r="BS196" s="2869"/>
      <c r="BT196" s="2870"/>
      <c r="BU196" s="2870"/>
      <c r="BV196" s="2870"/>
      <c r="BW196" s="2870"/>
      <c r="BX196" s="2877">
        <v>0</v>
      </c>
      <c r="BY196" s="2875">
        <v>0</v>
      </c>
      <c r="BZ196" s="2869"/>
      <c r="CA196" s="2870"/>
      <c r="CB196" s="2870"/>
      <c r="CC196" s="2870"/>
      <c r="CD196" s="2870"/>
      <c r="CE196" s="2877">
        <v>0</v>
      </c>
      <c r="CF196" s="2875">
        <v>0</v>
      </c>
      <c r="CG196" s="2869">
        <v>5.6559110000000006</v>
      </c>
      <c r="CH196" s="2870"/>
      <c r="CI196" s="2870">
        <v>17250526</v>
      </c>
      <c r="CJ196" s="2870"/>
      <c r="CK196" s="2870"/>
      <c r="CL196" s="2877">
        <v>3.0499995491442489</v>
      </c>
      <c r="CM196" s="2875">
        <v>17250526</v>
      </c>
      <c r="CN196" s="2872">
        <v>5.385192</v>
      </c>
      <c r="CO196" s="2870"/>
      <c r="CP196" s="2870">
        <v>10611592.5</v>
      </c>
      <c r="CQ196" s="2870"/>
      <c r="CR196" s="2870"/>
      <c r="CS196" s="2877">
        <v>1.9705133076035173</v>
      </c>
      <c r="CT196" s="2875">
        <v>10611592.5</v>
      </c>
      <c r="CU196" s="2878">
        <v>12.791876999999999</v>
      </c>
      <c r="CV196" s="2870">
        <v>0</v>
      </c>
      <c r="CW196" s="2870">
        <v>33201979.5</v>
      </c>
      <c r="CX196" s="2870">
        <v>0</v>
      </c>
      <c r="CY196" s="2870">
        <v>0</v>
      </c>
      <c r="CZ196" s="2879">
        <v>2.5955518099493919</v>
      </c>
      <c r="DA196" s="2875">
        <v>33201979.5</v>
      </c>
      <c r="DB196" s="1613">
        <v>12.791876999999999</v>
      </c>
      <c r="DC196" s="2899">
        <v>0</v>
      </c>
      <c r="DE196" s="2782" t="b">
        <v>1</v>
      </c>
      <c r="DJ196" s="1611" t="e">
        <v>#N/A</v>
      </c>
      <c r="DK196" s="2782" t="e">
        <v>#N/A</v>
      </c>
      <c r="DM196" s="1650">
        <v>2.5955518099493919</v>
      </c>
    </row>
    <row r="197" spans="1:117" ht="21" customHeight="1">
      <c r="A197" s="1652">
        <v>7</v>
      </c>
      <c r="B197" s="1701" t="s">
        <v>1865</v>
      </c>
      <c r="C197" s="1662">
        <v>10</v>
      </c>
      <c r="D197" s="1646">
        <v>100</v>
      </c>
      <c r="E197" s="1646"/>
      <c r="F197" s="1648" t="s">
        <v>1594</v>
      </c>
      <c r="G197" s="1648"/>
      <c r="H197" s="1648">
        <v>10</v>
      </c>
      <c r="I197" s="1648" t="s">
        <v>1717</v>
      </c>
      <c r="J197" s="1649">
        <v>2</v>
      </c>
      <c r="K197" s="1648"/>
      <c r="L197" s="1648"/>
      <c r="M197" s="1648"/>
      <c r="N197" s="1642"/>
      <c r="O197" s="2876"/>
      <c r="P197" s="2870"/>
      <c r="Q197" s="2870"/>
      <c r="R197" s="2870"/>
      <c r="S197" s="2870"/>
      <c r="T197" s="2870"/>
      <c r="U197" s="2875">
        <v>0</v>
      </c>
      <c r="V197" s="2869"/>
      <c r="W197" s="2870"/>
      <c r="X197" s="2870"/>
      <c r="Y197" s="2870"/>
      <c r="Z197" s="2870"/>
      <c r="AA197" s="2877">
        <v>0</v>
      </c>
      <c r="AB197" s="2875">
        <v>0</v>
      </c>
      <c r="AC197" s="2869"/>
      <c r="AD197" s="2870"/>
      <c r="AE197" s="2870"/>
      <c r="AF197" s="2870"/>
      <c r="AG197" s="2870"/>
      <c r="AH197" s="2877">
        <v>0</v>
      </c>
      <c r="AI197" s="2875">
        <v>0</v>
      </c>
      <c r="AJ197" s="2869">
        <v>7.0246770000000005</v>
      </c>
      <c r="AK197" s="2870"/>
      <c r="AL197" s="2870">
        <v>21425264</v>
      </c>
      <c r="AM197" s="2870"/>
      <c r="AN197" s="2870"/>
      <c r="AO197" s="2877">
        <v>3.049999878997995</v>
      </c>
      <c r="AP197" s="2875">
        <v>21425264</v>
      </c>
      <c r="AQ197" s="2869"/>
      <c r="AR197" s="2870"/>
      <c r="AS197" s="2870"/>
      <c r="AT197" s="2870"/>
      <c r="AU197" s="2870"/>
      <c r="AV197" s="2877">
        <v>0</v>
      </c>
      <c r="AW197" s="2875">
        <v>0</v>
      </c>
      <c r="AX197" s="2869"/>
      <c r="AY197" s="2870"/>
      <c r="AZ197" s="2870"/>
      <c r="BA197" s="2870"/>
      <c r="BB197" s="2870"/>
      <c r="BC197" s="2877">
        <v>0</v>
      </c>
      <c r="BD197" s="2875">
        <v>0</v>
      </c>
      <c r="BE197" s="2869"/>
      <c r="BF197" s="2870"/>
      <c r="BG197" s="2870"/>
      <c r="BH197" s="2870"/>
      <c r="BI197" s="2870"/>
      <c r="BJ197" s="2877">
        <v>0</v>
      </c>
      <c r="BK197" s="2875">
        <v>0</v>
      </c>
      <c r="BL197" s="2869"/>
      <c r="BM197" s="2870"/>
      <c r="BN197" s="2870"/>
      <c r="BO197" s="2870"/>
      <c r="BP197" s="2870"/>
      <c r="BQ197" s="2877">
        <v>0</v>
      </c>
      <c r="BR197" s="2875">
        <v>0</v>
      </c>
      <c r="BS197" s="2869"/>
      <c r="BT197" s="2870"/>
      <c r="BU197" s="2870"/>
      <c r="BV197" s="2870"/>
      <c r="BW197" s="2870"/>
      <c r="BX197" s="2877">
        <v>0</v>
      </c>
      <c r="BY197" s="2875">
        <v>0</v>
      </c>
      <c r="BZ197" s="2869"/>
      <c r="CA197" s="2870"/>
      <c r="CB197" s="2870"/>
      <c r="CC197" s="2870"/>
      <c r="CD197" s="2870"/>
      <c r="CE197" s="2877">
        <v>0</v>
      </c>
      <c r="CF197" s="2875">
        <v>0</v>
      </c>
      <c r="CG197" s="2869"/>
      <c r="CH197" s="2870"/>
      <c r="CI197" s="2870"/>
      <c r="CJ197" s="2870"/>
      <c r="CK197" s="2870"/>
      <c r="CL197" s="2877">
        <v>0</v>
      </c>
      <c r="CM197" s="2875">
        <v>0</v>
      </c>
      <c r="CN197" s="2900">
        <v>21.493017000000002</v>
      </c>
      <c r="CO197" s="2901"/>
      <c r="CP197" s="2895">
        <v>63160733</v>
      </c>
      <c r="CQ197" s="2870"/>
      <c r="CR197" s="2870"/>
      <c r="CS197" s="2877">
        <v>2.9386629620215721</v>
      </c>
      <c r="CT197" s="2875">
        <v>63160733</v>
      </c>
      <c r="CU197" s="2878">
        <v>28.517694000000002</v>
      </c>
      <c r="CV197" s="2870">
        <v>0</v>
      </c>
      <c r="CW197" s="2870">
        <v>84585997</v>
      </c>
      <c r="CX197" s="2870">
        <v>0</v>
      </c>
      <c r="CY197" s="2870">
        <v>0</v>
      </c>
      <c r="CZ197" s="2879">
        <v>2.9660882468266889</v>
      </c>
      <c r="DA197" s="2875">
        <v>84585997</v>
      </c>
      <c r="DB197" s="1613">
        <v>28.517693999999999</v>
      </c>
      <c r="DC197" s="2899">
        <v>0</v>
      </c>
      <c r="DE197" s="2782" t="b">
        <v>1</v>
      </c>
      <c r="DJ197" s="1611" t="e">
        <v>#N/A</v>
      </c>
      <c r="DK197" s="2782" t="e">
        <v>#N/A</v>
      </c>
      <c r="DM197" s="1650">
        <v>2.9660882468266889</v>
      </c>
    </row>
    <row r="198" spans="1:117" ht="21" customHeight="1">
      <c r="A198" s="1652">
        <v>8</v>
      </c>
      <c r="B198" s="1701" t="s">
        <v>1866</v>
      </c>
      <c r="C198" s="1662">
        <v>20</v>
      </c>
      <c r="D198" s="1646">
        <v>100</v>
      </c>
      <c r="E198" s="1646"/>
      <c r="F198" s="1648" t="s">
        <v>1594</v>
      </c>
      <c r="G198" s="1648"/>
      <c r="H198" s="1648">
        <v>20</v>
      </c>
      <c r="I198" s="1648" t="s">
        <v>1717</v>
      </c>
      <c r="J198" s="1649">
        <v>2</v>
      </c>
      <c r="K198" s="1648"/>
      <c r="L198" s="1648"/>
      <c r="M198" s="1648"/>
      <c r="N198" s="1642"/>
      <c r="O198" s="2876"/>
      <c r="P198" s="2870"/>
      <c r="Q198" s="2870"/>
      <c r="R198" s="2870"/>
      <c r="S198" s="2870"/>
      <c r="T198" s="2870"/>
      <c r="U198" s="2875">
        <v>0</v>
      </c>
      <c r="V198" s="2869"/>
      <c r="W198" s="2870"/>
      <c r="X198" s="2870"/>
      <c r="Y198" s="2870"/>
      <c r="Z198" s="2870"/>
      <c r="AA198" s="2877">
        <v>0</v>
      </c>
      <c r="AB198" s="2875">
        <v>0</v>
      </c>
      <c r="AC198" s="2869"/>
      <c r="AD198" s="2870"/>
      <c r="AE198" s="2870"/>
      <c r="AF198" s="2870"/>
      <c r="AG198" s="2870"/>
      <c r="AH198" s="2877">
        <v>0</v>
      </c>
      <c r="AI198" s="2875">
        <v>0</v>
      </c>
      <c r="AJ198" s="2869">
        <v>3.0724320000000001</v>
      </c>
      <c r="AK198" s="2870"/>
      <c r="AL198" s="2870">
        <v>9370919</v>
      </c>
      <c r="AM198" s="2870"/>
      <c r="AN198" s="2870"/>
      <c r="AO198" s="2877">
        <v>3.0500004556650886</v>
      </c>
      <c r="AP198" s="2875">
        <v>9370919</v>
      </c>
      <c r="AQ198" s="2869"/>
      <c r="AR198" s="2870"/>
      <c r="AS198" s="2870"/>
      <c r="AT198" s="2870"/>
      <c r="AU198" s="2870"/>
      <c r="AV198" s="2877">
        <v>0</v>
      </c>
      <c r="AW198" s="2875">
        <v>0</v>
      </c>
      <c r="AX198" s="2869"/>
      <c r="AY198" s="2870"/>
      <c r="AZ198" s="2870"/>
      <c r="BA198" s="2870"/>
      <c r="BB198" s="2870"/>
      <c r="BC198" s="2877">
        <v>0</v>
      </c>
      <c r="BD198" s="2875">
        <v>0</v>
      </c>
      <c r="BE198" s="2869"/>
      <c r="BF198" s="2870"/>
      <c r="BG198" s="2870"/>
      <c r="BH198" s="2870"/>
      <c r="BI198" s="2870"/>
      <c r="BJ198" s="2877">
        <v>0</v>
      </c>
      <c r="BK198" s="2875">
        <v>0</v>
      </c>
      <c r="BL198" s="2869"/>
      <c r="BM198" s="2870"/>
      <c r="BN198" s="2870"/>
      <c r="BO198" s="2870"/>
      <c r="BP198" s="2870"/>
      <c r="BQ198" s="2877">
        <v>0</v>
      </c>
      <c r="BR198" s="2875">
        <v>0</v>
      </c>
      <c r="BS198" s="2869"/>
      <c r="BT198" s="2870"/>
      <c r="BU198" s="2870"/>
      <c r="BV198" s="2870"/>
      <c r="BW198" s="2870"/>
      <c r="BX198" s="2877">
        <v>0</v>
      </c>
      <c r="BY198" s="2875">
        <v>0</v>
      </c>
      <c r="BZ198" s="2869"/>
      <c r="CA198" s="2870"/>
      <c r="CB198" s="2870"/>
      <c r="CC198" s="2870"/>
      <c r="CD198" s="2870"/>
      <c r="CE198" s="2877">
        <v>0</v>
      </c>
      <c r="CF198" s="2875">
        <v>0</v>
      </c>
      <c r="CG198" s="2869">
        <v>8.5252750000000006</v>
      </c>
      <c r="CH198" s="2870"/>
      <c r="CI198" s="2870">
        <v>26002089</v>
      </c>
      <c r="CJ198" s="2870"/>
      <c r="CK198" s="2870"/>
      <c r="CL198" s="2877">
        <v>3.050000029324567</v>
      </c>
      <c r="CM198" s="2875">
        <v>26002089</v>
      </c>
      <c r="CN198" s="2900">
        <v>2.6657399999999991</v>
      </c>
      <c r="CO198" s="2901"/>
      <c r="CP198" s="2895">
        <v>6233730</v>
      </c>
      <c r="CQ198" s="2870"/>
      <c r="CR198" s="2870"/>
      <c r="CS198" s="2877">
        <v>2.3384613653244513</v>
      </c>
      <c r="CT198" s="2875">
        <v>6233730</v>
      </c>
      <c r="CU198" s="2878">
        <v>14.263446999999999</v>
      </c>
      <c r="CV198" s="2870">
        <v>0</v>
      </c>
      <c r="CW198" s="2870">
        <v>41606738</v>
      </c>
      <c r="CX198" s="2870">
        <v>0</v>
      </c>
      <c r="CY198" s="2870">
        <v>0</v>
      </c>
      <c r="CZ198" s="2879">
        <v>2.9170184458216868</v>
      </c>
      <c r="DA198" s="2875">
        <v>41606738</v>
      </c>
      <c r="DB198" s="1613">
        <v>14.263446999999999</v>
      </c>
      <c r="DC198" s="2899">
        <v>0</v>
      </c>
      <c r="DE198" s="2782" t="b">
        <v>1</v>
      </c>
      <c r="DJ198" s="1611" t="e">
        <v>#N/A</v>
      </c>
      <c r="DK198" s="2782" t="e">
        <v>#N/A</v>
      </c>
      <c r="DM198" s="1650">
        <v>2.9170184458216868</v>
      </c>
    </row>
    <row r="199" spans="1:117" ht="21" customHeight="1">
      <c r="A199" s="1652">
        <v>9</v>
      </c>
      <c r="B199" s="1701" t="s">
        <v>1867</v>
      </c>
      <c r="C199" s="1662">
        <v>10</v>
      </c>
      <c r="D199" s="1646">
        <v>100</v>
      </c>
      <c r="E199" s="1646"/>
      <c r="F199" s="1648" t="s">
        <v>1594</v>
      </c>
      <c r="G199" s="1648"/>
      <c r="H199" s="1648">
        <v>10</v>
      </c>
      <c r="I199" s="1648" t="s">
        <v>1717</v>
      </c>
      <c r="J199" s="1649">
        <v>2</v>
      </c>
      <c r="K199" s="1648"/>
      <c r="L199" s="1648"/>
      <c r="M199" s="1648"/>
      <c r="N199" s="1642"/>
      <c r="O199" s="2876"/>
      <c r="P199" s="2870"/>
      <c r="Q199" s="2870"/>
      <c r="R199" s="2870"/>
      <c r="S199" s="2870"/>
      <c r="T199" s="2870"/>
      <c r="U199" s="2875">
        <v>0</v>
      </c>
      <c r="V199" s="2869"/>
      <c r="W199" s="2870"/>
      <c r="X199" s="2870"/>
      <c r="Y199" s="2870"/>
      <c r="Z199" s="2870"/>
      <c r="AA199" s="2877">
        <v>0</v>
      </c>
      <c r="AB199" s="2875">
        <v>0</v>
      </c>
      <c r="AC199" s="2869"/>
      <c r="AD199" s="2870"/>
      <c r="AE199" s="2870"/>
      <c r="AF199" s="2870"/>
      <c r="AG199" s="2870"/>
      <c r="AH199" s="2877">
        <v>0</v>
      </c>
      <c r="AI199" s="2875">
        <v>0</v>
      </c>
      <c r="AJ199" s="2869"/>
      <c r="AK199" s="2870"/>
      <c r="AL199" s="2870"/>
      <c r="AM199" s="2870"/>
      <c r="AN199" s="2870"/>
      <c r="AO199" s="2877">
        <v>0</v>
      </c>
      <c r="AP199" s="2875">
        <v>0</v>
      </c>
      <c r="AQ199" s="2869">
        <v>0.184201</v>
      </c>
      <c r="AR199" s="2870"/>
      <c r="AS199" s="2870">
        <v>561814</v>
      </c>
      <c r="AT199" s="2870"/>
      <c r="AU199" s="2870"/>
      <c r="AV199" s="2877">
        <v>3.050005157409569</v>
      </c>
      <c r="AW199" s="2875">
        <v>561814</v>
      </c>
      <c r="AX199" s="2869"/>
      <c r="AY199" s="2870"/>
      <c r="AZ199" s="2870"/>
      <c r="BA199" s="2870"/>
      <c r="BB199" s="2870"/>
      <c r="BC199" s="2877">
        <v>0</v>
      </c>
      <c r="BD199" s="2875">
        <v>0</v>
      </c>
      <c r="BE199" s="2869">
        <v>5.7009999999999998E-2</v>
      </c>
      <c r="BF199" s="2870"/>
      <c r="BG199" s="2870">
        <v>1150997</v>
      </c>
      <c r="BH199" s="2870"/>
      <c r="BI199" s="2870"/>
      <c r="BJ199" s="2877">
        <v>20.189387826697072</v>
      </c>
      <c r="BK199" s="2875">
        <v>1150997</v>
      </c>
      <c r="BL199" s="2869"/>
      <c r="BM199" s="2870"/>
      <c r="BN199" s="2870"/>
      <c r="BO199" s="2870"/>
      <c r="BP199" s="2870"/>
      <c r="BQ199" s="2877">
        <v>0</v>
      </c>
      <c r="BR199" s="2875">
        <v>0</v>
      </c>
      <c r="BS199" s="2869"/>
      <c r="BT199" s="2870"/>
      <c r="BU199" s="2870"/>
      <c r="BV199" s="2870"/>
      <c r="BW199" s="2870"/>
      <c r="BX199" s="2877">
        <v>0</v>
      </c>
      <c r="BY199" s="2875">
        <v>0</v>
      </c>
      <c r="BZ199" s="2869"/>
      <c r="CA199" s="2870"/>
      <c r="CB199" s="2870"/>
      <c r="CC199" s="2870"/>
      <c r="CD199" s="2870"/>
      <c r="CE199" s="2877">
        <v>0</v>
      </c>
      <c r="CF199" s="2875">
        <v>0</v>
      </c>
      <c r="CG199" s="2869"/>
      <c r="CH199" s="2870"/>
      <c r="CI199" s="2870"/>
      <c r="CJ199" s="2870"/>
      <c r="CK199" s="2870"/>
      <c r="CL199" s="2877">
        <v>0</v>
      </c>
      <c r="CM199" s="2875">
        <v>0</v>
      </c>
      <c r="CN199" s="2872">
        <v>1.7893370000000002</v>
      </c>
      <c r="CO199" s="2870"/>
      <c r="CP199" s="2870">
        <v>45888</v>
      </c>
      <c r="CQ199" s="2870"/>
      <c r="CR199" s="2870"/>
      <c r="CS199" s="2877">
        <v>2.5645252962410096E-2</v>
      </c>
      <c r="CT199" s="2875">
        <v>45888</v>
      </c>
      <c r="CU199" s="2878">
        <v>2.030548</v>
      </c>
      <c r="CV199" s="2870">
        <v>0</v>
      </c>
      <c r="CW199" s="2870">
        <v>1758699</v>
      </c>
      <c r="CX199" s="2870">
        <v>0</v>
      </c>
      <c r="CY199" s="2870">
        <v>0</v>
      </c>
      <c r="CZ199" s="2879">
        <v>0.86612037735626046</v>
      </c>
      <c r="DA199" s="2875">
        <v>1758699</v>
      </c>
      <c r="DB199" s="1613">
        <v>3.030548</v>
      </c>
      <c r="DC199" s="2899">
        <v>1</v>
      </c>
      <c r="DE199" s="2782" t="b">
        <v>0</v>
      </c>
      <c r="DJ199" s="1611" t="e">
        <v>#N/A</v>
      </c>
      <c r="DK199" s="2782" t="e">
        <v>#N/A</v>
      </c>
      <c r="DM199" s="1650">
        <v>0.86612037735626046</v>
      </c>
    </row>
    <row r="200" spans="1:117" ht="21" customHeight="1">
      <c r="A200" s="1652">
        <v>10</v>
      </c>
      <c r="B200" s="1701" t="s">
        <v>1868</v>
      </c>
      <c r="C200" s="1662">
        <v>12</v>
      </c>
      <c r="D200" s="1646">
        <v>100</v>
      </c>
      <c r="E200" s="1646"/>
      <c r="F200" s="1648" t="s">
        <v>1594</v>
      </c>
      <c r="G200" s="1648"/>
      <c r="H200" s="1648">
        <v>12</v>
      </c>
      <c r="I200" s="1648" t="s">
        <v>1717</v>
      </c>
      <c r="J200" s="1649">
        <v>2</v>
      </c>
      <c r="K200" s="1648"/>
      <c r="L200" s="1648"/>
      <c r="M200" s="1648"/>
      <c r="N200" s="1642"/>
      <c r="O200" s="2876"/>
      <c r="P200" s="2870"/>
      <c r="Q200" s="2870"/>
      <c r="R200" s="2870"/>
      <c r="S200" s="2870"/>
      <c r="T200" s="2870"/>
      <c r="U200" s="2875">
        <v>0</v>
      </c>
      <c r="V200" s="2869"/>
      <c r="W200" s="2870"/>
      <c r="X200" s="2870"/>
      <c r="Y200" s="2870"/>
      <c r="Z200" s="2870"/>
      <c r="AA200" s="2877">
        <v>0</v>
      </c>
      <c r="AB200" s="2875">
        <v>0</v>
      </c>
      <c r="AC200" s="2869"/>
      <c r="AD200" s="2870"/>
      <c r="AE200" s="2870"/>
      <c r="AF200" s="2870"/>
      <c r="AG200" s="2870"/>
      <c r="AH200" s="2877">
        <v>0</v>
      </c>
      <c r="AI200" s="2875">
        <v>0</v>
      </c>
      <c r="AJ200" s="2869"/>
      <c r="AK200" s="2870"/>
      <c r="AL200" s="2870"/>
      <c r="AM200" s="2870"/>
      <c r="AN200" s="2870"/>
      <c r="AO200" s="2877">
        <v>0</v>
      </c>
      <c r="AP200" s="2875">
        <v>0</v>
      </c>
      <c r="AQ200" s="2869">
        <v>0.61</v>
      </c>
      <c r="AR200" s="2870"/>
      <c r="AS200" s="2870">
        <v>1860503</v>
      </c>
      <c r="AT200" s="2870"/>
      <c r="AU200" s="2870"/>
      <c r="AV200" s="2877">
        <v>3.0500049180327871</v>
      </c>
      <c r="AW200" s="2875">
        <v>1860503</v>
      </c>
      <c r="AX200" s="2869"/>
      <c r="AY200" s="2870"/>
      <c r="AZ200" s="2870"/>
      <c r="BA200" s="2870"/>
      <c r="BB200" s="2870"/>
      <c r="BC200" s="2877">
        <v>0</v>
      </c>
      <c r="BD200" s="2875">
        <v>0</v>
      </c>
      <c r="BE200" s="2869"/>
      <c r="BF200" s="2870"/>
      <c r="BG200" s="2870"/>
      <c r="BH200" s="2870"/>
      <c r="BI200" s="2870"/>
      <c r="BJ200" s="2877">
        <v>0</v>
      </c>
      <c r="BK200" s="2875">
        <v>0</v>
      </c>
      <c r="BL200" s="2869"/>
      <c r="BM200" s="2870"/>
      <c r="BN200" s="2870"/>
      <c r="BO200" s="2870"/>
      <c r="BP200" s="2870"/>
      <c r="BQ200" s="2877">
        <v>0</v>
      </c>
      <c r="BR200" s="2875">
        <v>0</v>
      </c>
      <c r="BS200" s="2869"/>
      <c r="BT200" s="2870"/>
      <c r="BU200" s="2870"/>
      <c r="BV200" s="2870"/>
      <c r="BW200" s="2870"/>
      <c r="BX200" s="2877">
        <v>0</v>
      </c>
      <c r="BY200" s="2875">
        <v>0</v>
      </c>
      <c r="BZ200" s="2869"/>
      <c r="CA200" s="2870"/>
      <c r="CB200" s="2870"/>
      <c r="CC200" s="2870"/>
      <c r="CD200" s="2870"/>
      <c r="CE200" s="2877">
        <v>0</v>
      </c>
      <c r="CF200" s="2875">
        <v>0</v>
      </c>
      <c r="CG200" s="2869">
        <v>5.7600000000000004E-3</v>
      </c>
      <c r="CH200" s="2870"/>
      <c r="CI200" s="2870">
        <v>17599</v>
      </c>
      <c r="CJ200" s="2870"/>
      <c r="CK200" s="2870"/>
      <c r="CL200" s="2877">
        <v>3.0553819444444446</v>
      </c>
      <c r="CM200" s="2875">
        <v>17599</v>
      </c>
      <c r="CN200" s="2900">
        <v>10.965446499999999</v>
      </c>
      <c r="CO200" s="2901"/>
      <c r="CP200" s="2895">
        <v>6732174</v>
      </c>
      <c r="CQ200" s="2870"/>
      <c r="CR200" s="2870"/>
      <c r="CS200" s="2877">
        <v>0.61394435693977456</v>
      </c>
      <c r="CT200" s="2875">
        <v>6732174</v>
      </c>
      <c r="CU200" s="2878">
        <v>11.581206499999999</v>
      </c>
      <c r="CV200" s="2870">
        <v>0</v>
      </c>
      <c r="CW200" s="2870">
        <v>8610276</v>
      </c>
      <c r="CX200" s="2870">
        <v>0</v>
      </c>
      <c r="CY200" s="2870">
        <v>0</v>
      </c>
      <c r="CZ200" s="2879">
        <v>0.74346968944902259</v>
      </c>
      <c r="DA200" s="2875">
        <v>8610276</v>
      </c>
      <c r="DB200" s="1613">
        <v>4.4371539999999996</v>
      </c>
      <c r="DC200" s="2899">
        <v>-7.144052499999999</v>
      </c>
      <c r="DE200" s="2782" t="b">
        <v>0</v>
      </c>
      <c r="DJ200" s="1611" t="e">
        <v>#N/A</v>
      </c>
      <c r="DK200" s="2782" t="e">
        <v>#N/A</v>
      </c>
      <c r="DM200" s="1650">
        <v>0.74346968944902259</v>
      </c>
    </row>
    <row r="201" spans="1:117" ht="21" customHeight="1">
      <c r="A201" s="1652">
        <v>11</v>
      </c>
      <c r="B201" s="1701" t="s">
        <v>1869</v>
      </c>
      <c r="C201" s="1662">
        <v>10</v>
      </c>
      <c r="D201" s="1646">
        <v>100</v>
      </c>
      <c r="E201" s="1646"/>
      <c r="F201" s="1648" t="s">
        <v>1594</v>
      </c>
      <c r="G201" s="1648"/>
      <c r="H201" s="1648">
        <v>10</v>
      </c>
      <c r="I201" s="1648" t="s">
        <v>1717</v>
      </c>
      <c r="J201" s="1649">
        <v>2</v>
      </c>
      <c r="K201" s="1648"/>
      <c r="L201" s="1648"/>
      <c r="M201" s="1648"/>
      <c r="N201" s="1642"/>
      <c r="O201" s="2876"/>
      <c r="P201" s="2870"/>
      <c r="Q201" s="2870"/>
      <c r="R201" s="2870"/>
      <c r="S201" s="2870"/>
      <c r="T201" s="2870"/>
      <c r="U201" s="2875">
        <v>0</v>
      </c>
      <c r="V201" s="2869"/>
      <c r="W201" s="2870"/>
      <c r="X201" s="2870"/>
      <c r="Y201" s="2870"/>
      <c r="Z201" s="2870"/>
      <c r="AA201" s="2877">
        <v>0</v>
      </c>
      <c r="AB201" s="2875">
        <v>0</v>
      </c>
      <c r="AC201" s="2869"/>
      <c r="AD201" s="2870"/>
      <c r="AE201" s="2870"/>
      <c r="AF201" s="2870"/>
      <c r="AG201" s="2870"/>
      <c r="AH201" s="2877">
        <v>0</v>
      </c>
      <c r="AI201" s="2875">
        <v>0</v>
      </c>
      <c r="AJ201" s="2869">
        <v>6.2384690000000003</v>
      </c>
      <c r="AK201" s="2870"/>
      <c r="AL201" s="2870">
        <v>19027329</v>
      </c>
      <c r="AM201" s="2870"/>
      <c r="AN201" s="2870"/>
      <c r="AO201" s="2877">
        <v>3.0499997675711783</v>
      </c>
      <c r="AP201" s="2875">
        <v>19027329</v>
      </c>
      <c r="AQ201" s="2869"/>
      <c r="AR201" s="2870"/>
      <c r="AS201" s="2870"/>
      <c r="AT201" s="2870"/>
      <c r="AU201" s="2870"/>
      <c r="AV201" s="2877">
        <v>0</v>
      </c>
      <c r="AW201" s="2875">
        <v>0</v>
      </c>
      <c r="AX201" s="2869"/>
      <c r="AY201" s="2870"/>
      <c r="AZ201" s="2870"/>
      <c r="BA201" s="2870"/>
      <c r="BB201" s="2870"/>
      <c r="BC201" s="2877">
        <v>0</v>
      </c>
      <c r="BD201" s="2875">
        <v>0</v>
      </c>
      <c r="BE201" s="2869">
        <v>4.4280999999999997</v>
      </c>
      <c r="BF201" s="2870"/>
      <c r="BG201" s="2870">
        <v>13362548</v>
      </c>
      <c r="BH201" s="2870"/>
      <c r="BI201" s="2870"/>
      <c r="BJ201" s="2877">
        <v>3.0176707843092974</v>
      </c>
      <c r="BK201" s="2875">
        <v>13362548</v>
      </c>
      <c r="BL201" s="2869"/>
      <c r="BM201" s="2870"/>
      <c r="BN201" s="2870"/>
      <c r="BO201" s="2870"/>
      <c r="BP201" s="2870"/>
      <c r="BQ201" s="2877">
        <v>0</v>
      </c>
      <c r="BR201" s="2875">
        <v>0</v>
      </c>
      <c r="BS201" s="2869"/>
      <c r="BT201" s="2870"/>
      <c r="BU201" s="2870"/>
      <c r="BV201" s="2870"/>
      <c r="BW201" s="2870"/>
      <c r="BX201" s="2877">
        <v>0</v>
      </c>
      <c r="BY201" s="2875">
        <v>0</v>
      </c>
      <c r="BZ201" s="2869"/>
      <c r="CA201" s="2870"/>
      <c r="CB201" s="2870"/>
      <c r="CC201" s="2870"/>
      <c r="CD201" s="2870"/>
      <c r="CE201" s="2877">
        <v>0</v>
      </c>
      <c r="CF201" s="2875">
        <v>0</v>
      </c>
      <c r="CG201" s="2869"/>
      <c r="CH201" s="2870"/>
      <c r="CI201" s="2870"/>
      <c r="CJ201" s="2870"/>
      <c r="CK201" s="2870"/>
      <c r="CL201" s="2877">
        <v>0</v>
      </c>
      <c r="CM201" s="2875">
        <v>0</v>
      </c>
      <c r="CN201" s="2872">
        <v>20.179616999999997</v>
      </c>
      <c r="CO201" s="2870"/>
      <c r="CP201" s="2870">
        <v>57985824</v>
      </c>
      <c r="CQ201" s="2870"/>
      <c r="CR201" s="2870"/>
      <c r="CS201" s="2877">
        <v>2.8734848634639603</v>
      </c>
      <c r="CT201" s="2875">
        <v>57985824</v>
      </c>
      <c r="CU201" s="2878">
        <v>30.846185999999996</v>
      </c>
      <c r="CV201" s="2870">
        <v>0</v>
      </c>
      <c r="CW201" s="2870">
        <v>90375701</v>
      </c>
      <c r="CX201" s="2870">
        <v>0</v>
      </c>
      <c r="CY201" s="2870">
        <v>0</v>
      </c>
      <c r="CZ201" s="2879">
        <v>2.9298825144865561</v>
      </c>
      <c r="DA201" s="2875">
        <v>90375701</v>
      </c>
      <c r="DB201" s="1613">
        <v>30.846185999999999</v>
      </c>
      <c r="DC201" s="2899">
        <v>0</v>
      </c>
      <c r="DE201" s="2782" t="b">
        <v>1</v>
      </c>
      <c r="DJ201" s="1611" t="e">
        <v>#N/A</v>
      </c>
      <c r="DK201" s="2782" t="e">
        <v>#N/A</v>
      </c>
      <c r="DM201" s="1650">
        <v>2.9298825144865561</v>
      </c>
    </row>
    <row r="202" spans="1:117" ht="21" customHeight="1">
      <c r="A202" s="1652">
        <v>12</v>
      </c>
      <c r="B202" s="1701" t="s">
        <v>1870</v>
      </c>
      <c r="C202" s="1662">
        <v>20</v>
      </c>
      <c r="D202" s="1646">
        <v>100</v>
      </c>
      <c r="E202" s="1646"/>
      <c r="F202" s="1648" t="s">
        <v>1594</v>
      </c>
      <c r="G202" s="1648"/>
      <c r="H202" s="1648">
        <v>20</v>
      </c>
      <c r="I202" s="1648" t="s">
        <v>1717</v>
      </c>
      <c r="J202" s="1649">
        <v>2</v>
      </c>
      <c r="K202" s="1648"/>
      <c r="L202" s="1648"/>
      <c r="M202" s="1648"/>
      <c r="N202" s="1642"/>
      <c r="O202" s="2876"/>
      <c r="P202" s="2870"/>
      <c r="Q202" s="2870"/>
      <c r="R202" s="2870"/>
      <c r="S202" s="2870"/>
      <c r="T202" s="2870"/>
      <c r="U202" s="2875">
        <v>0</v>
      </c>
      <c r="V202" s="2869"/>
      <c r="W202" s="2870"/>
      <c r="X202" s="2870"/>
      <c r="Y202" s="2870"/>
      <c r="Z202" s="2870"/>
      <c r="AA202" s="2877">
        <v>0</v>
      </c>
      <c r="AB202" s="2875">
        <v>0</v>
      </c>
      <c r="AC202" s="2869"/>
      <c r="AD202" s="2870"/>
      <c r="AE202" s="2870"/>
      <c r="AF202" s="2870"/>
      <c r="AG202" s="2870"/>
      <c r="AH202" s="2877">
        <v>0</v>
      </c>
      <c r="AI202" s="2875">
        <v>0</v>
      </c>
      <c r="AJ202" s="2869">
        <v>1.65768</v>
      </c>
      <c r="AK202" s="2870"/>
      <c r="AL202" s="2870">
        <v>5486922</v>
      </c>
      <c r="AM202" s="2870"/>
      <c r="AN202" s="2870"/>
      <c r="AO202" s="2877">
        <v>3.3100007239032867</v>
      </c>
      <c r="AP202" s="2875">
        <v>5486922</v>
      </c>
      <c r="AQ202" s="2869"/>
      <c r="AR202" s="2870"/>
      <c r="AS202" s="2870"/>
      <c r="AT202" s="2870"/>
      <c r="AU202" s="2870"/>
      <c r="AV202" s="2877">
        <v>0</v>
      </c>
      <c r="AW202" s="2875">
        <v>0</v>
      </c>
      <c r="AX202" s="2869"/>
      <c r="AY202" s="2870"/>
      <c r="AZ202" s="2870"/>
      <c r="BA202" s="2870"/>
      <c r="BB202" s="2870"/>
      <c r="BC202" s="2877">
        <v>0</v>
      </c>
      <c r="BD202" s="2875">
        <v>0</v>
      </c>
      <c r="BE202" s="2869"/>
      <c r="BF202" s="2870"/>
      <c r="BG202" s="2870"/>
      <c r="BH202" s="2870"/>
      <c r="BI202" s="2870"/>
      <c r="BJ202" s="2877">
        <v>0</v>
      </c>
      <c r="BK202" s="2875">
        <v>0</v>
      </c>
      <c r="BL202" s="2869"/>
      <c r="BM202" s="2870"/>
      <c r="BN202" s="2870"/>
      <c r="BO202" s="2870"/>
      <c r="BP202" s="2870"/>
      <c r="BQ202" s="2877">
        <v>0</v>
      </c>
      <c r="BR202" s="2875">
        <v>0</v>
      </c>
      <c r="BS202" s="2869"/>
      <c r="BT202" s="2870"/>
      <c r="BU202" s="2870"/>
      <c r="BV202" s="2870"/>
      <c r="BW202" s="2870"/>
      <c r="BX202" s="2877">
        <v>0</v>
      </c>
      <c r="BY202" s="2875">
        <v>0</v>
      </c>
      <c r="BZ202" s="2869"/>
      <c r="CA202" s="2870"/>
      <c r="CB202" s="2870"/>
      <c r="CC202" s="2870"/>
      <c r="CD202" s="2870"/>
      <c r="CE202" s="2877">
        <v>0</v>
      </c>
      <c r="CF202" s="2875">
        <v>0</v>
      </c>
      <c r="CG202" s="2869"/>
      <c r="CH202" s="2870"/>
      <c r="CI202" s="2870"/>
      <c r="CJ202" s="2870"/>
      <c r="CK202" s="2870"/>
      <c r="CL202" s="2877">
        <v>0</v>
      </c>
      <c r="CM202" s="2875">
        <v>0</v>
      </c>
      <c r="CN202" s="2872">
        <v>30.251965999999999</v>
      </c>
      <c r="CO202" s="2870"/>
      <c r="CP202" s="2870">
        <v>94843827</v>
      </c>
      <c r="CQ202" s="2870"/>
      <c r="CR202" s="2870"/>
      <c r="CS202" s="2877">
        <v>3.1351293664682816</v>
      </c>
      <c r="CT202" s="2875">
        <v>94843827</v>
      </c>
      <c r="CU202" s="2878">
        <v>31.909645999999999</v>
      </c>
      <c r="CV202" s="2870">
        <v>0</v>
      </c>
      <c r="CW202" s="2870">
        <v>100330749</v>
      </c>
      <c r="CX202" s="2870">
        <v>0</v>
      </c>
      <c r="CY202" s="2870">
        <v>0</v>
      </c>
      <c r="CZ202" s="2879">
        <v>3.144213790400558</v>
      </c>
      <c r="DA202" s="2875">
        <v>100330749</v>
      </c>
      <c r="DB202" s="1613">
        <v>31.909645999999999</v>
      </c>
      <c r="DC202" s="2899">
        <v>0</v>
      </c>
      <c r="DE202" s="2782" t="b">
        <v>1</v>
      </c>
      <c r="DJ202" s="1611" t="e">
        <v>#N/A</v>
      </c>
      <c r="DK202" s="2782" t="e">
        <v>#N/A</v>
      </c>
      <c r="DM202" s="1650">
        <v>3.144213790400558</v>
      </c>
    </row>
    <row r="203" spans="1:117" ht="21" customHeight="1">
      <c r="A203" s="1652">
        <v>13</v>
      </c>
      <c r="B203" s="1701" t="s">
        <v>1871</v>
      </c>
      <c r="C203" s="1662">
        <v>12</v>
      </c>
      <c r="D203" s="1646">
        <v>100</v>
      </c>
      <c r="E203" s="1646"/>
      <c r="F203" s="1648" t="s">
        <v>1594</v>
      </c>
      <c r="G203" s="1648"/>
      <c r="H203" s="1648">
        <v>12</v>
      </c>
      <c r="I203" s="1648" t="s">
        <v>1717</v>
      </c>
      <c r="J203" s="1649">
        <v>2</v>
      </c>
      <c r="K203" s="1648"/>
      <c r="L203" s="1648"/>
      <c r="M203" s="1648"/>
      <c r="N203" s="1642"/>
      <c r="O203" s="2876"/>
      <c r="P203" s="2870"/>
      <c r="Q203" s="2870"/>
      <c r="R203" s="2870"/>
      <c r="S203" s="2870"/>
      <c r="T203" s="2870"/>
      <c r="U203" s="2875">
        <v>0</v>
      </c>
      <c r="V203" s="2869"/>
      <c r="W203" s="2870"/>
      <c r="X203" s="2870"/>
      <c r="Y203" s="2870"/>
      <c r="Z203" s="2870"/>
      <c r="AA203" s="2877">
        <v>0</v>
      </c>
      <c r="AB203" s="2875">
        <v>0</v>
      </c>
      <c r="AC203" s="2869"/>
      <c r="AD203" s="2870"/>
      <c r="AE203" s="2870"/>
      <c r="AF203" s="2870"/>
      <c r="AG203" s="2870"/>
      <c r="AH203" s="2877">
        <v>0</v>
      </c>
      <c r="AI203" s="2875">
        <v>0</v>
      </c>
      <c r="AJ203" s="2869">
        <v>1.1640840000000001</v>
      </c>
      <c r="AK203" s="2870"/>
      <c r="AL203" s="2870">
        <v>3585382</v>
      </c>
      <c r="AM203" s="2870"/>
      <c r="AN203" s="2870"/>
      <c r="AO203" s="2877">
        <v>3.0800028176660783</v>
      </c>
      <c r="AP203" s="2875">
        <v>3585382</v>
      </c>
      <c r="AQ203" s="2869"/>
      <c r="AR203" s="2870"/>
      <c r="AS203" s="2870"/>
      <c r="AT203" s="2870"/>
      <c r="AU203" s="2870"/>
      <c r="AV203" s="2877">
        <v>0</v>
      </c>
      <c r="AW203" s="2875">
        <v>0</v>
      </c>
      <c r="AX203" s="2869"/>
      <c r="AY203" s="2870"/>
      <c r="AZ203" s="2870"/>
      <c r="BA203" s="2870"/>
      <c r="BB203" s="2870"/>
      <c r="BC203" s="2877">
        <v>0</v>
      </c>
      <c r="BD203" s="2875">
        <v>0</v>
      </c>
      <c r="BE203" s="2869"/>
      <c r="BF203" s="2870"/>
      <c r="BG203" s="2870"/>
      <c r="BH203" s="2870"/>
      <c r="BI203" s="2870"/>
      <c r="BJ203" s="2877">
        <v>0</v>
      </c>
      <c r="BK203" s="2875">
        <v>0</v>
      </c>
      <c r="BL203" s="2869"/>
      <c r="BM203" s="2870"/>
      <c r="BN203" s="2870"/>
      <c r="BO203" s="2870"/>
      <c r="BP203" s="2870"/>
      <c r="BQ203" s="2877">
        <v>0</v>
      </c>
      <c r="BR203" s="2875">
        <v>0</v>
      </c>
      <c r="BS203" s="2869"/>
      <c r="BT203" s="2870"/>
      <c r="BU203" s="2870"/>
      <c r="BV203" s="2870"/>
      <c r="BW203" s="2870"/>
      <c r="BX203" s="2877">
        <v>0</v>
      </c>
      <c r="BY203" s="2875">
        <v>0</v>
      </c>
      <c r="BZ203" s="2869"/>
      <c r="CA203" s="2870"/>
      <c r="CB203" s="2870"/>
      <c r="CC203" s="2870"/>
      <c r="CD203" s="2870"/>
      <c r="CE203" s="2877">
        <v>0</v>
      </c>
      <c r="CF203" s="2875">
        <v>0</v>
      </c>
      <c r="CG203" s="2869">
        <v>7.3335129999999999</v>
      </c>
      <c r="CH203" s="2870"/>
      <c r="CI203" s="2870">
        <v>22587219</v>
      </c>
      <c r="CJ203" s="2870"/>
      <c r="CK203" s="2870"/>
      <c r="CL203" s="2877">
        <v>3.0799998581852925</v>
      </c>
      <c r="CM203" s="2875">
        <v>22587219</v>
      </c>
      <c r="CN203" s="2872">
        <v>3.8369804099999998</v>
      </c>
      <c r="CO203" s="2870"/>
      <c r="CP203" s="2870">
        <v>6343342</v>
      </c>
      <c r="CQ203" s="2870"/>
      <c r="CR203" s="2870"/>
      <c r="CS203" s="2877">
        <v>1.6532119849942106</v>
      </c>
      <c r="CT203" s="2875">
        <v>6343342</v>
      </c>
      <c r="CU203" s="2878">
        <v>12.334577410000001</v>
      </c>
      <c r="CV203" s="2870">
        <v>0</v>
      </c>
      <c r="CW203" s="2870">
        <v>32515943</v>
      </c>
      <c r="CX203" s="2870">
        <v>0</v>
      </c>
      <c r="CY203" s="2870">
        <v>0</v>
      </c>
      <c r="CZ203" s="2879">
        <v>2.6361618983102231</v>
      </c>
      <c r="DA203" s="2875">
        <v>32515943</v>
      </c>
      <c r="DB203" s="1613">
        <v>12.33457741</v>
      </c>
      <c r="DC203" s="2899">
        <v>0</v>
      </c>
      <c r="DE203" s="2782" t="b">
        <v>1</v>
      </c>
      <c r="DJ203" s="1611" t="e">
        <v>#N/A</v>
      </c>
      <c r="DK203" s="2782" t="e">
        <v>#N/A</v>
      </c>
      <c r="DM203" s="1650">
        <v>2.6361618983102231</v>
      </c>
    </row>
    <row r="204" spans="1:117" ht="21" customHeight="1">
      <c r="A204" s="1652">
        <v>14</v>
      </c>
      <c r="B204" s="1701" t="s">
        <v>1872</v>
      </c>
      <c r="C204" s="1662">
        <v>12</v>
      </c>
      <c r="D204" s="1646">
        <v>100</v>
      </c>
      <c r="E204" s="1646"/>
      <c r="F204" s="1648" t="s">
        <v>1594</v>
      </c>
      <c r="G204" s="1648"/>
      <c r="H204" s="1648">
        <v>12</v>
      </c>
      <c r="I204" s="1648" t="s">
        <v>1717</v>
      </c>
      <c r="J204" s="1649">
        <v>2</v>
      </c>
      <c r="K204" s="1648"/>
      <c r="L204" s="1648"/>
      <c r="M204" s="1648"/>
      <c r="N204" s="1642"/>
      <c r="O204" s="2876"/>
      <c r="P204" s="2870"/>
      <c r="Q204" s="2870"/>
      <c r="R204" s="2870"/>
      <c r="S204" s="2870"/>
      <c r="T204" s="2870"/>
      <c r="U204" s="2875">
        <v>0</v>
      </c>
      <c r="V204" s="2869"/>
      <c r="W204" s="2870"/>
      <c r="X204" s="2870"/>
      <c r="Y204" s="2870"/>
      <c r="Z204" s="2870"/>
      <c r="AA204" s="2877">
        <v>0</v>
      </c>
      <c r="AB204" s="2875">
        <v>0</v>
      </c>
      <c r="AC204" s="2869"/>
      <c r="AD204" s="2870"/>
      <c r="AE204" s="2870"/>
      <c r="AF204" s="2870"/>
      <c r="AG204" s="2870"/>
      <c r="AH204" s="2877">
        <v>0</v>
      </c>
      <c r="AI204" s="2875">
        <v>0</v>
      </c>
      <c r="AJ204" s="2869">
        <v>6.8656999999999996E-2</v>
      </c>
      <c r="AK204" s="2870"/>
      <c r="AL204" s="2870">
        <v>209401</v>
      </c>
      <c r="AM204" s="2870"/>
      <c r="AN204" s="2870"/>
      <c r="AO204" s="2877">
        <v>3.0499584893018921</v>
      </c>
      <c r="AP204" s="2875">
        <v>209401</v>
      </c>
      <c r="AQ204" s="2869"/>
      <c r="AR204" s="2870"/>
      <c r="AS204" s="2870"/>
      <c r="AT204" s="2870"/>
      <c r="AU204" s="2870"/>
      <c r="AV204" s="2877">
        <v>0</v>
      </c>
      <c r="AW204" s="2875">
        <v>0</v>
      </c>
      <c r="AX204" s="2869"/>
      <c r="AY204" s="2870"/>
      <c r="AZ204" s="2870"/>
      <c r="BA204" s="2870"/>
      <c r="BB204" s="2870"/>
      <c r="BC204" s="2877">
        <v>0</v>
      </c>
      <c r="BD204" s="2875">
        <v>0</v>
      </c>
      <c r="BE204" s="2869"/>
      <c r="BF204" s="2870"/>
      <c r="BG204" s="2870"/>
      <c r="BH204" s="2870"/>
      <c r="BI204" s="2870"/>
      <c r="BJ204" s="2877">
        <v>0</v>
      </c>
      <c r="BK204" s="2875">
        <v>0</v>
      </c>
      <c r="BL204" s="2869"/>
      <c r="BM204" s="2870"/>
      <c r="BN204" s="2870"/>
      <c r="BO204" s="2870"/>
      <c r="BP204" s="2870"/>
      <c r="BQ204" s="2877">
        <v>0</v>
      </c>
      <c r="BR204" s="2875">
        <v>0</v>
      </c>
      <c r="BS204" s="2869"/>
      <c r="BT204" s="2870"/>
      <c r="BU204" s="2870"/>
      <c r="BV204" s="2870"/>
      <c r="BW204" s="2870"/>
      <c r="BX204" s="2877">
        <v>0</v>
      </c>
      <c r="BY204" s="2875">
        <v>0</v>
      </c>
      <c r="BZ204" s="2869"/>
      <c r="CA204" s="2870"/>
      <c r="CB204" s="2870"/>
      <c r="CC204" s="2870"/>
      <c r="CD204" s="2870"/>
      <c r="CE204" s="2877">
        <v>0</v>
      </c>
      <c r="CF204" s="2875">
        <v>0</v>
      </c>
      <c r="CG204" s="2869"/>
      <c r="CH204" s="2870"/>
      <c r="CI204" s="2870"/>
      <c r="CJ204" s="2870"/>
      <c r="CK204" s="2870"/>
      <c r="CL204" s="2877">
        <v>0</v>
      </c>
      <c r="CM204" s="2875">
        <v>0</v>
      </c>
      <c r="CN204" s="2872">
        <v>10.322344999999999</v>
      </c>
      <c r="CO204" s="2870"/>
      <c r="CP204" s="2870">
        <v>8846373.5</v>
      </c>
      <c r="CQ204" s="2870"/>
      <c r="CR204" s="2870"/>
      <c r="CS204" s="2877">
        <v>0.85701199678948936</v>
      </c>
      <c r="CT204" s="2875">
        <v>8846373.5</v>
      </c>
      <c r="CU204" s="2878">
        <v>10.391001999999999</v>
      </c>
      <c r="CV204" s="2870">
        <v>0</v>
      </c>
      <c r="CW204" s="2870">
        <v>9055774.5</v>
      </c>
      <c r="CX204" s="2870">
        <v>0</v>
      </c>
      <c r="CY204" s="2870">
        <v>0</v>
      </c>
      <c r="CZ204" s="2879">
        <v>0.87150156452669358</v>
      </c>
      <c r="DA204" s="2875">
        <v>9055774.5</v>
      </c>
      <c r="DB204" s="1613">
        <v>10.391002</v>
      </c>
      <c r="DC204" s="2899">
        <v>0</v>
      </c>
      <c r="DE204" s="2782" t="b">
        <v>1</v>
      </c>
      <c r="DJ204" s="1611" t="e">
        <v>#N/A</v>
      </c>
      <c r="DK204" s="2782" t="e">
        <v>#N/A</v>
      </c>
      <c r="DM204" s="1650">
        <v>0.87150156452669358</v>
      </c>
    </row>
    <row r="205" spans="1:117" ht="21" customHeight="1">
      <c r="A205" s="1652">
        <v>15</v>
      </c>
      <c r="B205" s="1701" t="s">
        <v>1873</v>
      </c>
      <c r="C205" s="1662">
        <v>10</v>
      </c>
      <c r="D205" s="1646">
        <v>100</v>
      </c>
      <c r="E205" s="1646"/>
      <c r="F205" s="1648" t="s">
        <v>1594</v>
      </c>
      <c r="G205" s="1648"/>
      <c r="H205" s="1648">
        <v>10</v>
      </c>
      <c r="I205" s="1648" t="s">
        <v>1717</v>
      </c>
      <c r="J205" s="1649">
        <v>2</v>
      </c>
      <c r="K205" s="1648"/>
      <c r="L205" s="1648"/>
      <c r="M205" s="1648"/>
      <c r="N205" s="1642"/>
      <c r="O205" s="2876"/>
      <c r="P205" s="2870"/>
      <c r="Q205" s="2870"/>
      <c r="R205" s="2870"/>
      <c r="S205" s="2870"/>
      <c r="T205" s="2870"/>
      <c r="U205" s="2875">
        <v>0</v>
      </c>
      <c r="V205" s="2869"/>
      <c r="W205" s="2870"/>
      <c r="X205" s="2870"/>
      <c r="Y205" s="2870"/>
      <c r="Z205" s="2870"/>
      <c r="AA205" s="2877">
        <v>0</v>
      </c>
      <c r="AB205" s="2875">
        <v>0</v>
      </c>
      <c r="AC205" s="2869"/>
      <c r="AD205" s="2870"/>
      <c r="AE205" s="2870"/>
      <c r="AF205" s="2870"/>
      <c r="AG205" s="2870"/>
      <c r="AH205" s="2877">
        <v>0</v>
      </c>
      <c r="AI205" s="2875">
        <v>0</v>
      </c>
      <c r="AJ205" s="2869"/>
      <c r="AK205" s="2870"/>
      <c r="AL205" s="2870"/>
      <c r="AM205" s="2870"/>
      <c r="AN205" s="2870"/>
      <c r="AO205" s="2877">
        <v>0</v>
      </c>
      <c r="AP205" s="2875">
        <v>0</v>
      </c>
      <c r="AQ205" s="2869">
        <v>7.0162859999999991</v>
      </c>
      <c r="AR205" s="2870"/>
      <c r="AS205" s="2870">
        <v>21399671</v>
      </c>
      <c r="AT205" s="2870"/>
      <c r="AU205" s="2870"/>
      <c r="AV205" s="2877">
        <v>3.0499998147167893</v>
      </c>
      <c r="AW205" s="2875">
        <v>21399671</v>
      </c>
      <c r="AX205" s="2869"/>
      <c r="AY205" s="2870"/>
      <c r="AZ205" s="2870"/>
      <c r="BA205" s="2870"/>
      <c r="BB205" s="2870"/>
      <c r="BC205" s="2877">
        <v>0</v>
      </c>
      <c r="BD205" s="2875">
        <v>0</v>
      </c>
      <c r="BE205" s="2869"/>
      <c r="BF205" s="2870"/>
      <c r="BG205" s="2870"/>
      <c r="BH205" s="2870"/>
      <c r="BI205" s="2870"/>
      <c r="BJ205" s="2877">
        <v>0</v>
      </c>
      <c r="BK205" s="2875">
        <v>0</v>
      </c>
      <c r="BL205" s="2869"/>
      <c r="BM205" s="2870"/>
      <c r="BN205" s="2870"/>
      <c r="BO205" s="2870"/>
      <c r="BP205" s="2870"/>
      <c r="BQ205" s="2877">
        <v>0</v>
      </c>
      <c r="BR205" s="2875">
        <v>0</v>
      </c>
      <c r="BS205" s="2869"/>
      <c r="BT205" s="2870"/>
      <c r="BU205" s="2870"/>
      <c r="BV205" s="2870"/>
      <c r="BW205" s="2870"/>
      <c r="BX205" s="2877">
        <v>0</v>
      </c>
      <c r="BY205" s="2875">
        <v>0</v>
      </c>
      <c r="BZ205" s="2869"/>
      <c r="CA205" s="2870"/>
      <c r="CB205" s="2870"/>
      <c r="CC205" s="2870"/>
      <c r="CD205" s="2870"/>
      <c r="CE205" s="2877">
        <v>0</v>
      </c>
      <c r="CF205" s="2875">
        <v>0</v>
      </c>
      <c r="CG205" s="2869">
        <v>20.050425000000001</v>
      </c>
      <c r="CH205" s="2870"/>
      <c r="CI205" s="2870">
        <v>61153797</v>
      </c>
      <c r="CJ205" s="2870"/>
      <c r="CK205" s="2870"/>
      <c r="CL205" s="2877">
        <v>3.0500000374056908</v>
      </c>
      <c r="CM205" s="2875">
        <v>61153797</v>
      </c>
      <c r="CN205" s="2872">
        <v>6.9993255000000101</v>
      </c>
      <c r="CO205" s="2870"/>
      <c r="CP205" s="2870">
        <v>18844574</v>
      </c>
      <c r="CQ205" s="2870"/>
      <c r="CR205" s="2870"/>
      <c r="CS205" s="2877">
        <v>2.6923414263274328</v>
      </c>
      <c r="CT205" s="2875">
        <v>18844574</v>
      </c>
      <c r="CU205" s="2878">
        <v>34.06603650000001</v>
      </c>
      <c r="CV205" s="2870">
        <v>0</v>
      </c>
      <c r="CW205" s="2870">
        <v>101398042</v>
      </c>
      <c r="CX205" s="2870">
        <v>0</v>
      </c>
      <c r="CY205" s="2870">
        <v>0</v>
      </c>
      <c r="CZ205" s="2879">
        <v>2.976514218200875</v>
      </c>
      <c r="DA205" s="2875">
        <v>101398042</v>
      </c>
      <c r="DB205" s="1613">
        <v>34.066036500000003</v>
      </c>
      <c r="DC205" s="2899">
        <v>0</v>
      </c>
      <c r="DE205" s="2782" t="b">
        <v>1</v>
      </c>
      <c r="DJ205" s="1611" t="e">
        <v>#N/A</v>
      </c>
      <c r="DK205" s="2782" t="e">
        <v>#N/A</v>
      </c>
      <c r="DM205" s="1650">
        <v>2.976514218200875</v>
      </c>
    </row>
    <row r="206" spans="1:117" ht="21" customHeight="1">
      <c r="A206" s="1652">
        <v>16</v>
      </c>
      <c r="B206" s="1701" t="s">
        <v>1874</v>
      </c>
      <c r="C206" s="1662">
        <v>12</v>
      </c>
      <c r="D206" s="1646">
        <v>100</v>
      </c>
      <c r="E206" s="1646"/>
      <c r="F206" s="1648" t="s">
        <v>1594</v>
      </c>
      <c r="G206" s="1648"/>
      <c r="H206" s="1648">
        <v>12</v>
      </c>
      <c r="I206" s="1648" t="s">
        <v>1717</v>
      </c>
      <c r="J206" s="1649">
        <v>2</v>
      </c>
      <c r="K206" s="1648"/>
      <c r="L206" s="1648"/>
      <c r="M206" s="1648"/>
      <c r="N206" s="1642"/>
      <c r="O206" s="2876"/>
      <c r="P206" s="2870"/>
      <c r="Q206" s="2870"/>
      <c r="R206" s="2870"/>
      <c r="S206" s="2870"/>
      <c r="T206" s="2870"/>
      <c r="U206" s="2875">
        <v>0</v>
      </c>
      <c r="V206" s="2869"/>
      <c r="W206" s="2870"/>
      <c r="X206" s="2870"/>
      <c r="Y206" s="2870"/>
      <c r="Z206" s="2870"/>
      <c r="AA206" s="2877">
        <v>0</v>
      </c>
      <c r="AB206" s="2875">
        <v>0</v>
      </c>
      <c r="AC206" s="2869"/>
      <c r="AD206" s="2870"/>
      <c r="AE206" s="2870"/>
      <c r="AF206" s="2870"/>
      <c r="AG206" s="2870"/>
      <c r="AH206" s="2877">
        <v>0</v>
      </c>
      <c r="AI206" s="2875">
        <v>0</v>
      </c>
      <c r="AJ206" s="2869">
        <v>0.55967999999999996</v>
      </c>
      <c r="AK206" s="2870"/>
      <c r="AL206" s="2870">
        <v>2054026</v>
      </c>
      <c r="AM206" s="2870"/>
      <c r="AN206" s="2870"/>
      <c r="AO206" s="2877">
        <v>3.6700007146941109</v>
      </c>
      <c r="AP206" s="2875">
        <v>2054026</v>
      </c>
      <c r="AQ206" s="2869"/>
      <c r="AR206" s="2870"/>
      <c r="AS206" s="2870"/>
      <c r="AT206" s="2870"/>
      <c r="AU206" s="2870"/>
      <c r="AV206" s="2877">
        <v>0</v>
      </c>
      <c r="AW206" s="2875">
        <v>0</v>
      </c>
      <c r="AX206" s="2869"/>
      <c r="AY206" s="2870"/>
      <c r="AZ206" s="2870"/>
      <c r="BA206" s="2870"/>
      <c r="BB206" s="2870"/>
      <c r="BC206" s="2877">
        <v>0</v>
      </c>
      <c r="BD206" s="2875">
        <v>0</v>
      </c>
      <c r="BE206" s="2869"/>
      <c r="BF206" s="2870"/>
      <c r="BG206" s="2870"/>
      <c r="BH206" s="2870"/>
      <c r="BI206" s="2870"/>
      <c r="BJ206" s="2877">
        <v>0</v>
      </c>
      <c r="BK206" s="2875">
        <v>0</v>
      </c>
      <c r="BL206" s="2869"/>
      <c r="BM206" s="2870"/>
      <c r="BN206" s="2870"/>
      <c r="BO206" s="2870"/>
      <c r="BP206" s="2870"/>
      <c r="BQ206" s="2877">
        <v>0</v>
      </c>
      <c r="BR206" s="2875">
        <v>0</v>
      </c>
      <c r="BS206" s="2869"/>
      <c r="BT206" s="2870"/>
      <c r="BU206" s="2870"/>
      <c r="BV206" s="2870"/>
      <c r="BW206" s="2870"/>
      <c r="BX206" s="2877">
        <v>0</v>
      </c>
      <c r="BY206" s="2875">
        <v>0</v>
      </c>
      <c r="BZ206" s="2869"/>
      <c r="CA206" s="2870"/>
      <c r="CB206" s="2870"/>
      <c r="CC206" s="2870"/>
      <c r="CD206" s="2870"/>
      <c r="CE206" s="2877">
        <v>0</v>
      </c>
      <c r="CF206" s="2875">
        <v>0</v>
      </c>
      <c r="CG206" s="2869">
        <v>20.952750999999999</v>
      </c>
      <c r="CH206" s="2870"/>
      <c r="CI206" s="2870">
        <v>76942023</v>
      </c>
      <c r="CJ206" s="2870"/>
      <c r="CK206" s="2870"/>
      <c r="CL206" s="2877">
        <v>3.6721680604136422</v>
      </c>
      <c r="CM206" s="2875">
        <v>76942023</v>
      </c>
      <c r="CN206" s="2872">
        <v>1.509047</v>
      </c>
      <c r="CO206" s="2870"/>
      <c r="CP206" s="2870">
        <v>956331</v>
      </c>
      <c r="CQ206" s="2870"/>
      <c r="CR206" s="2870"/>
      <c r="CS206" s="2877">
        <v>0.63373175255641478</v>
      </c>
      <c r="CT206" s="2875">
        <v>956331</v>
      </c>
      <c r="CU206" s="2878">
        <v>23.021477999999998</v>
      </c>
      <c r="CV206" s="2870">
        <v>0</v>
      </c>
      <c r="CW206" s="2870">
        <v>79952380</v>
      </c>
      <c r="CX206" s="2870">
        <v>0</v>
      </c>
      <c r="CY206" s="2870">
        <v>0</v>
      </c>
      <c r="CZ206" s="2879">
        <v>3.4729473059896501</v>
      </c>
      <c r="DA206" s="2875">
        <v>79952380</v>
      </c>
      <c r="DB206" s="1613">
        <v>23.021477999999998</v>
      </c>
      <c r="DC206" s="2899">
        <v>0</v>
      </c>
      <c r="DE206" s="2782" t="b">
        <v>1</v>
      </c>
      <c r="DJ206" s="1611" t="e">
        <v>#N/A</v>
      </c>
      <c r="DK206" s="2782" t="e">
        <v>#N/A</v>
      </c>
      <c r="DM206" s="1650">
        <v>3.4729473059896501</v>
      </c>
    </row>
    <row r="207" spans="1:117" ht="21" customHeight="1">
      <c r="A207" s="1652">
        <v>17</v>
      </c>
      <c r="B207" s="1701" t="s">
        <v>1875</v>
      </c>
      <c r="C207" s="1662">
        <v>27.25</v>
      </c>
      <c r="D207" s="1646">
        <v>100</v>
      </c>
      <c r="E207" s="1646"/>
      <c r="F207" s="1648" t="s">
        <v>1594</v>
      </c>
      <c r="G207" s="1648"/>
      <c r="H207" s="1648">
        <v>27.25</v>
      </c>
      <c r="I207" s="1648" t="s">
        <v>1717</v>
      </c>
      <c r="J207" s="1649">
        <v>2</v>
      </c>
      <c r="K207" s="1648"/>
      <c r="L207" s="1648"/>
      <c r="M207" s="1648"/>
      <c r="N207" s="1642"/>
      <c r="O207" s="2876"/>
      <c r="P207" s="2870"/>
      <c r="Q207" s="2870"/>
      <c r="R207" s="2870"/>
      <c r="S207" s="2870"/>
      <c r="T207" s="2870"/>
      <c r="U207" s="2875">
        <v>0</v>
      </c>
      <c r="V207" s="2869"/>
      <c r="W207" s="2870"/>
      <c r="X207" s="2870"/>
      <c r="Y207" s="2870"/>
      <c r="Z207" s="2870"/>
      <c r="AA207" s="2877">
        <v>0</v>
      </c>
      <c r="AB207" s="2875">
        <v>0</v>
      </c>
      <c r="AC207" s="2869"/>
      <c r="AD207" s="2870"/>
      <c r="AE207" s="2870"/>
      <c r="AF207" s="2870"/>
      <c r="AG207" s="2870"/>
      <c r="AH207" s="2877">
        <v>0</v>
      </c>
      <c r="AI207" s="2875">
        <v>0</v>
      </c>
      <c r="AJ207" s="2869"/>
      <c r="AK207" s="2870"/>
      <c r="AL207" s="2870"/>
      <c r="AM207" s="2870"/>
      <c r="AN207" s="2870"/>
      <c r="AO207" s="2877">
        <v>0</v>
      </c>
      <c r="AP207" s="2875">
        <v>0</v>
      </c>
      <c r="AQ207" s="2869">
        <v>0.94942199999999999</v>
      </c>
      <c r="AR207" s="2870"/>
      <c r="AS207" s="2870">
        <v>3043941</v>
      </c>
      <c r="AT207" s="2870">
        <v>18366</v>
      </c>
      <c r="AU207" s="2870"/>
      <c r="AV207" s="2877">
        <v>3.2254434803490968</v>
      </c>
      <c r="AW207" s="2875">
        <v>3062307</v>
      </c>
      <c r="AX207" s="2869">
        <v>7.7013800000000003</v>
      </c>
      <c r="AY207" s="2870"/>
      <c r="AZ207" s="2870">
        <v>24691393</v>
      </c>
      <c r="BA207" s="2870"/>
      <c r="BB207" s="2870"/>
      <c r="BC207" s="2877">
        <v>3.2060998158771543</v>
      </c>
      <c r="BD207" s="2875">
        <v>24691393</v>
      </c>
      <c r="BE207" s="2869"/>
      <c r="BF207" s="2870"/>
      <c r="BG207" s="2870"/>
      <c r="BH207" s="2870"/>
      <c r="BI207" s="2870"/>
      <c r="BJ207" s="2877">
        <v>0</v>
      </c>
      <c r="BK207" s="2875">
        <v>0</v>
      </c>
      <c r="BL207" s="2869">
        <v>10.224387</v>
      </c>
      <c r="BM207" s="2870"/>
      <c r="BN207" s="2870">
        <v>32466683</v>
      </c>
      <c r="BO207" s="2870"/>
      <c r="BP207" s="2870"/>
      <c r="BQ207" s="2877">
        <v>3.1754160909597808</v>
      </c>
      <c r="BR207" s="2875">
        <v>32466683</v>
      </c>
      <c r="BS207" s="2869"/>
      <c r="BT207" s="2870"/>
      <c r="BU207" s="2870"/>
      <c r="BV207" s="2870"/>
      <c r="BW207" s="2870"/>
      <c r="BX207" s="2877">
        <v>0</v>
      </c>
      <c r="BY207" s="2875">
        <v>0</v>
      </c>
      <c r="BZ207" s="2869"/>
      <c r="CA207" s="2870"/>
      <c r="CB207" s="2870"/>
      <c r="CC207" s="2870"/>
      <c r="CD207" s="2870"/>
      <c r="CE207" s="2877">
        <v>0</v>
      </c>
      <c r="CF207" s="2875">
        <v>0</v>
      </c>
      <c r="CG207" s="2869">
        <v>45.976424000000002</v>
      </c>
      <c r="CH207" s="2870"/>
      <c r="CI207" s="2870">
        <v>147405014</v>
      </c>
      <c r="CJ207" s="2870"/>
      <c r="CK207" s="2870"/>
      <c r="CL207" s="2877">
        <v>3.2061000220460816</v>
      </c>
      <c r="CM207" s="2875">
        <v>147405014</v>
      </c>
      <c r="CN207" s="2872">
        <v>0.67795649999999386</v>
      </c>
      <c r="CO207" s="2870"/>
      <c r="CP207" s="2870">
        <v>3918629</v>
      </c>
      <c r="CQ207" s="2870"/>
      <c r="CR207" s="2870"/>
      <c r="CS207" s="2877">
        <v>5.7800596350946343</v>
      </c>
      <c r="CT207" s="2875">
        <v>3918629</v>
      </c>
      <c r="CU207" s="2878">
        <v>65.529569499999994</v>
      </c>
      <c r="CV207" s="2870">
        <v>0</v>
      </c>
      <c r="CW207" s="2870">
        <v>211525660</v>
      </c>
      <c r="CX207" s="2870">
        <v>18366</v>
      </c>
      <c r="CY207" s="2870">
        <v>0</v>
      </c>
      <c r="CZ207" s="2879">
        <v>3.2282224286548993</v>
      </c>
      <c r="DA207" s="2875">
        <v>211544026</v>
      </c>
      <c r="DB207" s="1613">
        <v>65.529659499999994</v>
      </c>
      <c r="DC207" s="2899">
        <v>9.0000000000145519E-5</v>
      </c>
      <c r="DE207" s="2782" t="b">
        <v>0</v>
      </c>
      <c r="DJ207" s="1611" t="e">
        <v>#N/A</v>
      </c>
      <c r="DK207" s="2782" t="e">
        <v>#N/A</v>
      </c>
      <c r="DM207" s="1650">
        <v>3.2279421582343835</v>
      </c>
    </row>
    <row r="208" spans="1:117" ht="21" customHeight="1">
      <c r="A208" s="1652">
        <v>18</v>
      </c>
      <c r="B208" s="1701" t="s">
        <v>1876</v>
      </c>
      <c r="C208" s="1662">
        <v>10</v>
      </c>
      <c r="D208" s="1646">
        <v>100</v>
      </c>
      <c r="E208" s="1646"/>
      <c r="F208" s="1648" t="s">
        <v>1594</v>
      </c>
      <c r="G208" s="1648"/>
      <c r="H208" s="1648">
        <v>10</v>
      </c>
      <c r="I208" s="1648" t="s">
        <v>1717</v>
      </c>
      <c r="J208" s="1649">
        <v>2</v>
      </c>
      <c r="K208" s="1648"/>
      <c r="L208" s="1648"/>
      <c r="M208" s="1648"/>
      <c r="N208" s="1642"/>
      <c r="O208" s="2876"/>
      <c r="P208" s="2870"/>
      <c r="Q208" s="2870"/>
      <c r="R208" s="2870"/>
      <c r="S208" s="2870"/>
      <c r="T208" s="2870"/>
      <c r="U208" s="2875">
        <v>0</v>
      </c>
      <c r="V208" s="2869"/>
      <c r="W208" s="2870"/>
      <c r="X208" s="2870"/>
      <c r="Y208" s="2870"/>
      <c r="Z208" s="2870"/>
      <c r="AA208" s="2877">
        <v>0</v>
      </c>
      <c r="AB208" s="2875">
        <v>0</v>
      </c>
      <c r="AC208" s="2869"/>
      <c r="AD208" s="2870"/>
      <c r="AE208" s="2870"/>
      <c r="AF208" s="2870"/>
      <c r="AG208" s="2870"/>
      <c r="AH208" s="2877">
        <v>0</v>
      </c>
      <c r="AI208" s="2875">
        <v>0</v>
      </c>
      <c r="AJ208" s="2869">
        <v>5.5656540000000003</v>
      </c>
      <c r="AK208" s="2870"/>
      <c r="AL208" s="2870">
        <v>18255344</v>
      </c>
      <c r="AM208" s="2870"/>
      <c r="AN208" s="2870"/>
      <c r="AO208" s="2877">
        <v>3.2799997987657874</v>
      </c>
      <c r="AP208" s="2875">
        <v>18255344</v>
      </c>
      <c r="AQ208" s="2869">
        <v>3.0839300000000001</v>
      </c>
      <c r="AR208" s="2870"/>
      <c r="AS208" s="2870">
        <v>10115289</v>
      </c>
      <c r="AT208" s="2870"/>
      <c r="AU208" s="2870"/>
      <c r="AV208" s="2877">
        <v>3.2799995460337947</v>
      </c>
      <c r="AW208" s="2875">
        <v>10115289</v>
      </c>
      <c r="AX208" s="2869">
        <v>2.8196120000000002</v>
      </c>
      <c r="AY208" s="2870"/>
      <c r="AZ208" s="2870">
        <v>9248327</v>
      </c>
      <c r="BA208" s="2870"/>
      <c r="BB208" s="2870"/>
      <c r="BC208" s="2877">
        <v>3.2799998723228585</v>
      </c>
      <c r="BD208" s="2875">
        <v>9248327</v>
      </c>
      <c r="BE208" s="2869"/>
      <c r="BF208" s="2870"/>
      <c r="BG208" s="2870"/>
      <c r="BH208" s="2870">
        <v>61977320</v>
      </c>
      <c r="BI208" s="2870"/>
      <c r="BJ208" s="2877">
        <v>0</v>
      </c>
      <c r="BK208" s="2875">
        <v>61977320</v>
      </c>
      <c r="BL208" s="2869"/>
      <c r="BM208" s="2870"/>
      <c r="BN208" s="2870"/>
      <c r="BO208" s="2870"/>
      <c r="BP208" s="2870"/>
      <c r="BQ208" s="2877">
        <v>0</v>
      </c>
      <c r="BR208" s="2875">
        <v>0</v>
      </c>
      <c r="BS208" s="2869"/>
      <c r="BT208" s="2870"/>
      <c r="BU208" s="2870"/>
      <c r="BV208" s="2870"/>
      <c r="BW208" s="2870"/>
      <c r="BX208" s="2877">
        <v>0</v>
      </c>
      <c r="BY208" s="2875">
        <v>0</v>
      </c>
      <c r="BZ208" s="2869"/>
      <c r="CA208" s="2870"/>
      <c r="CB208" s="2870"/>
      <c r="CC208" s="2870"/>
      <c r="CD208" s="2870"/>
      <c r="CE208" s="2877">
        <v>0</v>
      </c>
      <c r="CF208" s="2875">
        <v>0</v>
      </c>
      <c r="CG208" s="2869"/>
      <c r="CH208" s="2870"/>
      <c r="CI208" s="2870"/>
      <c r="CJ208" s="2870"/>
      <c r="CK208" s="2870"/>
      <c r="CL208" s="2877">
        <v>0</v>
      </c>
      <c r="CM208" s="2875">
        <v>0</v>
      </c>
      <c r="CN208" s="2872">
        <v>19.995107999999998</v>
      </c>
      <c r="CO208" s="2870"/>
      <c r="CP208" s="2870">
        <v>99650</v>
      </c>
      <c r="CQ208" s="2870"/>
      <c r="CR208" s="2870"/>
      <c r="CS208" s="2877">
        <v>4.9837190176717228E-3</v>
      </c>
      <c r="CT208" s="2875">
        <v>99650</v>
      </c>
      <c r="CU208" s="2878">
        <v>31.464303999999998</v>
      </c>
      <c r="CV208" s="2870">
        <v>0</v>
      </c>
      <c r="CW208" s="2870">
        <v>37718610</v>
      </c>
      <c r="CX208" s="2870">
        <v>61977320</v>
      </c>
      <c r="CY208" s="2870">
        <v>0</v>
      </c>
      <c r="CZ208" s="2879">
        <v>3.1685407692475893</v>
      </c>
      <c r="DA208" s="2875">
        <v>99695930</v>
      </c>
      <c r="DB208" s="1613">
        <v>31.464303999999998</v>
      </c>
      <c r="DC208" s="2899">
        <v>0</v>
      </c>
      <c r="DE208" s="2782" t="b">
        <v>1</v>
      </c>
      <c r="DJ208" s="1611" t="e">
        <v>#N/A</v>
      </c>
      <c r="DK208" s="2782" t="e">
        <v>#N/A</v>
      </c>
      <c r="DM208" s="1650">
        <v>1.1987746495202944</v>
      </c>
    </row>
    <row r="209" spans="1:117" ht="21" customHeight="1">
      <c r="A209" s="1652">
        <v>19</v>
      </c>
      <c r="B209" s="1701" t="s">
        <v>1877</v>
      </c>
      <c r="C209" s="1662">
        <v>10</v>
      </c>
      <c r="D209" s="1646">
        <v>100</v>
      </c>
      <c r="E209" s="1646"/>
      <c r="F209" s="1648" t="s">
        <v>1594</v>
      </c>
      <c r="G209" s="1648"/>
      <c r="H209" s="1648">
        <v>10</v>
      </c>
      <c r="I209" s="1648" t="s">
        <v>1717</v>
      </c>
      <c r="J209" s="1649">
        <v>2</v>
      </c>
      <c r="K209" s="1648"/>
      <c r="L209" s="1648"/>
      <c r="M209" s="1648"/>
      <c r="N209" s="1642"/>
      <c r="O209" s="2876"/>
      <c r="P209" s="2870"/>
      <c r="Q209" s="2870"/>
      <c r="R209" s="2870"/>
      <c r="S209" s="2870"/>
      <c r="T209" s="2870"/>
      <c r="U209" s="2875">
        <v>0</v>
      </c>
      <c r="V209" s="2869"/>
      <c r="W209" s="2870"/>
      <c r="X209" s="2870"/>
      <c r="Y209" s="2870"/>
      <c r="Z209" s="2870"/>
      <c r="AA209" s="2877">
        <v>0</v>
      </c>
      <c r="AB209" s="2875">
        <v>0</v>
      </c>
      <c r="AC209" s="2869"/>
      <c r="AD209" s="2870"/>
      <c r="AE209" s="2870"/>
      <c r="AF209" s="2870"/>
      <c r="AG209" s="2870"/>
      <c r="AH209" s="2877">
        <v>0</v>
      </c>
      <c r="AI209" s="2875">
        <v>0</v>
      </c>
      <c r="AJ209" s="2869">
        <v>0.30756</v>
      </c>
      <c r="AK209" s="2870"/>
      <c r="AL209" s="2870">
        <v>1193332</v>
      </c>
      <c r="AM209" s="2870"/>
      <c r="AN209" s="2870"/>
      <c r="AO209" s="2877">
        <v>3.8799973988815188</v>
      </c>
      <c r="AP209" s="2875">
        <v>1193332</v>
      </c>
      <c r="AQ209" s="2869">
        <v>1.8220799999999999</v>
      </c>
      <c r="AR209" s="2870"/>
      <c r="AS209" s="2870">
        <v>6928277</v>
      </c>
      <c r="AT209" s="2870"/>
      <c r="AU209" s="2870"/>
      <c r="AV209" s="2877">
        <v>3.8024000043905866</v>
      </c>
      <c r="AW209" s="2875">
        <v>6928277</v>
      </c>
      <c r="AX209" s="2869">
        <v>2.2662</v>
      </c>
      <c r="AY209" s="2870"/>
      <c r="AZ209" s="2870">
        <v>8792856</v>
      </c>
      <c r="BA209" s="2870"/>
      <c r="BB209" s="2870"/>
      <c r="BC209" s="2877">
        <v>3.88</v>
      </c>
      <c r="BD209" s="2875">
        <v>8792856</v>
      </c>
      <c r="BE209" s="2869">
        <v>1.9823999999999999</v>
      </c>
      <c r="BF209" s="2870"/>
      <c r="BG209" s="2870">
        <v>7691712</v>
      </c>
      <c r="BH209" s="2870">
        <v>23642246</v>
      </c>
      <c r="BI209" s="2870"/>
      <c r="BJ209" s="2877">
        <v>15.806072437449556</v>
      </c>
      <c r="BK209" s="2875">
        <v>31333958</v>
      </c>
      <c r="BL209" s="2869"/>
      <c r="BM209" s="2870"/>
      <c r="BN209" s="2870"/>
      <c r="BO209" s="2870"/>
      <c r="BP209" s="2870"/>
      <c r="BQ209" s="2877">
        <v>0</v>
      </c>
      <c r="BR209" s="2875">
        <v>0</v>
      </c>
      <c r="BS209" s="2869"/>
      <c r="BT209" s="2870"/>
      <c r="BU209" s="2870"/>
      <c r="BV209" s="2870"/>
      <c r="BW209" s="2870"/>
      <c r="BX209" s="2877">
        <v>0</v>
      </c>
      <c r="BY209" s="2875">
        <v>0</v>
      </c>
      <c r="BZ209" s="2869"/>
      <c r="CA209" s="2870"/>
      <c r="CB209" s="2870"/>
      <c r="CC209" s="2870"/>
      <c r="CD209" s="2870"/>
      <c r="CE209" s="2877">
        <v>0</v>
      </c>
      <c r="CF209" s="2875">
        <v>0</v>
      </c>
      <c r="CG209" s="2869">
        <v>6.7919999999999998</v>
      </c>
      <c r="CH209" s="2870"/>
      <c r="CI209" s="2870">
        <v>27100080</v>
      </c>
      <c r="CJ209" s="2870"/>
      <c r="CK209" s="2870"/>
      <c r="CL209" s="2877">
        <v>3.99</v>
      </c>
      <c r="CM209" s="2875">
        <v>27100080</v>
      </c>
      <c r="CN209" s="2872">
        <v>5.9253749999999998</v>
      </c>
      <c r="CO209" s="2870"/>
      <c r="CP209" s="2870">
        <v>1573799</v>
      </c>
      <c r="CQ209" s="2870">
        <v>-8736048</v>
      </c>
      <c r="CR209" s="2870"/>
      <c r="CS209" s="2877">
        <v>-1.2087418939729553</v>
      </c>
      <c r="CT209" s="2875">
        <v>-7162249</v>
      </c>
      <c r="CU209" s="2878">
        <v>19.095614999999999</v>
      </c>
      <c r="CV209" s="2870">
        <v>0</v>
      </c>
      <c r="CW209" s="2870">
        <v>53280056</v>
      </c>
      <c r="CX209" s="2870">
        <v>14906198</v>
      </c>
      <c r="CY209" s="2870">
        <v>0</v>
      </c>
      <c r="CZ209" s="2879">
        <v>3.5707807263604758</v>
      </c>
      <c r="DA209" s="2875">
        <v>68186254</v>
      </c>
      <c r="DB209" s="1613">
        <v>19.095614999999999</v>
      </c>
      <c r="DC209" s="2899">
        <v>0</v>
      </c>
      <c r="DE209" s="2782" t="b">
        <v>1</v>
      </c>
      <c r="DJ209" s="1611" t="e">
        <v>#N/A</v>
      </c>
      <c r="DK209" s="2782" t="e">
        <v>#N/A</v>
      </c>
      <c r="DM209" s="1650">
        <v>2.7901722987188422</v>
      </c>
    </row>
    <row r="210" spans="1:117" ht="21" customHeight="1">
      <c r="A210" s="1652">
        <v>20</v>
      </c>
      <c r="B210" s="1701" t="s">
        <v>1878</v>
      </c>
      <c r="C210" s="1662">
        <v>25</v>
      </c>
      <c r="D210" s="1646">
        <v>100</v>
      </c>
      <c r="E210" s="1646"/>
      <c r="F210" s="1648" t="s">
        <v>1594</v>
      </c>
      <c r="G210" s="1648"/>
      <c r="H210" s="1648">
        <v>25</v>
      </c>
      <c r="I210" s="1648" t="s">
        <v>1717</v>
      </c>
      <c r="J210" s="1649">
        <v>2</v>
      </c>
      <c r="K210" s="1648"/>
      <c r="L210" s="1648"/>
      <c r="M210" s="1648"/>
      <c r="N210" s="1642"/>
      <c r="O210" s="2876"/>
      <c r="P210" s="2870"/>
      <c r="Q210" s="2870"/>
      <c r="R210" s="2870"/>
      <c r="S210" s="2870"/>
      <c r="T210" s="2870"/>
      <c r="U210" s="2875">
        <v>0</v>
      </c>
      <c r="V210" s="2869"/>
      <c r="W210" s="2870"/>
      <c r="X210" s="2870"/>
      <c r="Y210" s="2870"/>
      <c r="Z210" s="2870"/>
      <c r="AA210" s="2877">
        <v>0</v>
      </c>
      <c r="AB210" s="2875">
        <v>0</v>
      </c>
      <c r="AC210" s="2869"/>
      <c r="AD210" s="2870"/>
      <c r="AE210" s="2870"/>
      <c r="AF210" s="2870"/>
      <c r="AG210" s="2870"/>
      <c r="AH210" s="2877">
        <v>0</v>
      </c>
      <c r="AI210" s="2875">
        <v>0</v>
      </c>
      <c r="AJ210" s="2869"/>
      <c r="AK210" s="2870"/>
      <c r="AL210" s="2870"/>
      <c r="AM210" s="2870"/>
      <c r="AN210" s="2870"/>
      <c r="AO210" s="2877">
        <v>0</v>
      </c>
      <c r="AP210" s="2875">
        <v>0</v>
      </c>
      <c r="AQ210" s="2869"/>
      <c r="AR210" s="2870"/>
      <c r="AS210" s="2870"/>
      <c r="AT210" s="2870"/>
      <c r="AU210" s="2870"/>
      <c r="AV210" s="2877">
        <v>0</v>
      </c>
      <c r="AW210" s="2875">
        <v>0</v>
      </c>
      <c r="AX210" s="2869">
        <v>17.743297000000002</v>
      </c>
      <c r="AY210" s="2870"/>
      <c r="AZ210" s="2870">
        <v>54117057</v>
      </c>
      <c r="BA210" s="2870"/>
      <c r="BB210" s="2870"/>
      <c r="BC210" s="2877">
        <v>3.0500000648132075</v>
      </c>
      <c r="BD210" s="2875">
        <v>54117057</v>
      </c>
      <c r="BE210" s="2869"/>
      <c r="BF210" s="2870"/>
      <c r="BG210" s="2870"/>
      <c r="BH210" s="2870"/>
      <c r="BI210" s="2870"/>
      <c r="BJ210" s="2877">
        <v>0</v>
      </c>
      <c r="BK210" s="2875">
        <v>0</v>
      </c>
      <c r="BL210" s="2869">
        <v>11.36665</v>
      </c>
      <c r="BM210" s="2870"/>
      <c r="BN210" s="2870">
        <v>43382208.75</v>
      </c>
      <c r="BO210" s="2870"/>
      <c r="BP210" s="2870"/>
      <c r="BQ210" s="2877">
        <v>3.8166222017920846</v>
      </c>
      <c r="BR210" s="2875">
        <v>43382208.75</v>
      </c>
      <c r="BS210" s="2869"/>
      <c r="BT210" s="2870"/>
      <c r="BU210" s="2870"/>
      <c r="BV210" s="2870"/>
      <c r="BW210" s="2870"/>
      <c r="BX210" s="2877">
        <v>0</v>
      </c>
      <c r="BY210" s="2875">
        <v>0</v>
      </c>
      <c r="BZ210" s="2869"/>
      <c r="CA210" s="2870"/>
      <c r="CB210" s="2870"/>
      <c r="CC210" s="2870"/>
      <c r="CD210" s="2870"/>
      <c r="CE210" s="2877">
        <v>0</v>
      </c>
      <c r="CF210" s="2875">
        <v>0</v>
      </c>
      <c r="CG210" s="2869"/>
      <c r="CH210" s="2870"/>
      <c r="CI210" s="2870"/>
      <c r="CJ210" s="2870"/>
      <c r="CK210" s="2870"/>
      <c r="CL210" s="2877">
        <v>0</v>
      </c>
      <c r="CM210" s="2875">
        <v>0</v>
      </c>
      <c r="CN210" s="2872">
        <v>51.496702999999997</v>
      </c>
      <c r="CO210" s="2870"/>
      <c r="CP210" s="2870">
        <v>145147675</v>
      </c>
      <c r="CQ210" s="2870"/>
      <c r="CR210" s="2870"/>
      <c r="CS210" s="2877">
        <v>2.8185819002820431</v>
      </c>
      <c r="CT210" s="2875">
        <v>145147675</v>
      </c>
      <c r="CU210" s="2878">
        <v>80.606650000000002</v>
      </c>
      <c r="CV210" s="2870">
        <v>0</v>
      </c>
      <c r="CW210" s="2870">
        <v>242646940.75</v>
      </c>
      <c r="CX210" s="2870">
        <v>0</v>
      </c>
      <c r="CY210" s="2870">
        <v>0</v>
      </c>
      <c r="CZ210" s="2879">
        <v>3.0102595846620597</v>
      </c>
      <c r="DA210" s="2875">
        <v>242646940.75</v>
      </c>
      <c r="DB210" s="1613">
        <v>80.606650000000002</v>
      </c>
      <c r="DC210" s="2899">
        <v>0</v>
      </c>
      <c r="DE210" s="2782" t="b">
        <v>1</v>
      </c>
      <c r="DJ210" s="1611" t="e">
        <v>#N/A</v>
      </c>
      <c r="DK210" s="2782" t="e">
        <v>#N/A</v>
      </c>
      <c r="DM210" s="1650">
        <v>3.0102595846620597</v>
      </c>
    </row>
    <row r="211" spans="1:117" ht="21" customHeight="1">
      <c r="A211" s="1652">
        <v>21</v>
      </c>
      <c r="B211" s="1701" t="s">
        <v>1879</v>
      </c>
      <c r="C211" s="1662">
        <v>25</v>
      </c>
      <c r="D211" s="1646">
        <v>100</v>
      </c>
      <c r="E211" s="1646"/>
      <c r="F211" s="1648" t="s">
        <v>1594</v>
      </c>
      <c r="G211" s="1648"/>
      <c r="H211" s="1648">
        <v>25</v>
      </c>
      <c r="I211" s="1648" t="s">
        <v>1717</v>
      </c>
      <c r="J211" s="1649">
        <v>2</v>
      </c>
      <c r="K211" s="1648"/>
      <c r="L211" s="1648"/>
      <c r="M211" s="1648"/>
      <c r="N211" s="1642"/>
      <c r="O211" s="2876"/>
      <c r="P211" s="2870"/>
      <c r="Q211" s="2870"/>
      <c r="R211" s="2870"/>
      <c r="S211" s="2870"/>
      <c r="T211" s="2870"/>
      <c r="U211" s="2875">
        <v>0</v>
      </c>
      <c r="V211" s="2869"/>
      <c r="W211" s="2870"/>
      <c r="X211" s="2870"/>
      <c r="Y211" s="2870"/>
      <c r="Z211" s="2870"/>
      <c r="AA211" s="2877">
        <v>0</v>
      </c>
      <c r="AB211" s="2875">
        <v>0</v>
      </c>
      <c r="AC211" s="2869"/>
      <c r="AD211" s="2870"/>
      <c r="AE211" s="2870"/>
      <c r="AF211" s="2870"/>
      <c r="AG211" s="2870"/>
      <c r="AH211" s="2877">
        <v>0</v>
      </c>
      <c r="AI211" s="2875">
        <v>0</v>
      </c>
      <c r="AJ211" s="2869">
        <v>15.826124</v>
      </c>
      <c r="AK211" s="2870"/>
      <c r="AL211" s="2870">
        <v>48269676</v>
      </c>
      <c r="AM211" s="2870"/>
      <c r="AN211" s="2870"/>
      <c r="AO211" s="2877">
        <v>3.0499998609893364</v>
      </c>
      <c r="AP211" s="2875">
        <v>48269676</v>
      </c>
      <c r="AQ211" s="2869"/>
      <c r="AR211" s="2870"/>
      <c r="AS211" s="2870"/>
      <c r="AT211" s="2870"/>
      <c r="AU211" s="2870"/>
      <c r="AV211" s="2877">
        <v>0</v>
      </c>
      <c r="AW211" s="2875">
        <v>0</v>
      </c>
      <c r="AX211" s="2869"/>
      <c r="AY211" s="2870"/>
      <c r="AZ211" s="2870"/>
      <c r="BA211" s="2870"/>
      <c r="BB211" s="2870"/>
      <c r="BC211" s="2877">
        <v>0</v>
      </c>
      <c r="BD211" s="2875">
        <v>0</v>
      </c>
      <c r="BE211" s="2869"/>
      <c r="BF211" s="2870"/>
      <c r="BG211" s="2870"/>
      <c r="BH211" s="2870"/>
      <c r="BI211" s="2870"/>
      <c r="BJ211" s="2877">
        <v>0</v>
      </c>
      <c r="BK211" s="2875">
        <v>0</v>
      </c>
      <c r="BL211" s="2869"/>
      <c r="BM211" s="2870"/>
      <c r="BN211" s="2870"/>
      <c r="BO211" s="2870"/>
      <c r="BP211" s="2870"/>
      <c r="BQ211" s="2877">
        <v>0</v>
      </c>
      <c r="BR211" s="2875">
        <v>0</v>
      </c>
      <c r="BS211" s="2869"/>
      <c r="BT211" s="2870"/>
      <c r="BU211" s="2870"/>
      <c r="BV211" s="2870"/>
      <c r="BW211" s="2870"/>
      <c r="BX211" s="2877">
        <v>0</v>
      </c>
      <c r="BY211" s="2875">
        <v>0</v>
      </c>
      <c r="BZ211" s="2869"/>
      <c r="CA211" s="2870"/>
      <c r="CB211" s="2870"/>
      <c r="CC211" s="2870"/>
      <c r="CD211" s="2870"/>
      <c r="CE211" s="2877">
        <v>0</v>
      </c>
      <c r="CF211" s="2875">
        <v>0</v>
      </c>
      <c r="CG211" s="2869"/>
      <c r="CH211" s="2870"/>
      <c r="CI211" s="2870"/>
      <c r="CJ211" s="2870"/>
      <c r="CK211" s="2870"/>
      <c r="CL211" s="2877">
        <v>0</v>
      </c>
      <c r="CM211" s="2875">
        <v>0</v>
      </c>
      <c r="CN211" s="2872">
        <v>48.495550000000001</v>
      </c>
      <c r="CO211" s="2870"/>
      <c r="CP211" s="2870">
        <v>143264024</v>
      </c>
      <c r="CQ211" s="2870"/>
      <c r="CR211" s="2870"/>
      <c r="CS211" s="2877">
        <v>2.9541684546314042</v>
      </c>
      <c r="CT211" s="2875">
        <v>143264024</v>
      </c>
      <c r="CU211" s="2878">
        <v>64.321674000000002</v>
      </c>
      <c r="CV211" s="2870">
        <v>0</v>
      </c>
      <c r="CW211" s="2870">
        <v>191533700</v>
      </c>
      <c r="CX211" s="2870">
        <v>0</v>
      </c>
      <c r="CY211" s="2870">
        <v>0</v>
      </c>
      <c r="CZ211" s="2879">
        <v>2.9777474386005562</v>
      </c>
      <c r="DA211" s="2875">
        <v>191533700</v>
      </c>
      <c r="DB211" s="1613">
        <v>64.321674000000002</v>
      </c>
      <c r="DC211" s="2899">
        <v>0</v>
      </c>
      <c r="DE211" s="2782" t="b">
        <v>1</v>
      </c>
      <c r="DJ211" s="1611" t="e">
        <v>#N/A</v>
      </c>
      <c r="DK211" s="2782" t="e">
        <v>#N/A</v>
      </c>
      <c r="DM211" s="1650">
        <v>2.9777474386005562</v>
      </c>
    </row>
    <row r="212" spans="1:117" ht="21" customHeight="1">
      <c r="A212" s="1652">
        <v>22</v>
      </c>
      <c r="B212" s="1701" t="s">
        <v>1880</v>
      </c>
      <c r="C212" s="1662">
        <v>25</v>
      </c>
      <c r="D212" s="1646">
        <v>100</v>
      </c>
      <c r="E212" s="1646"/>
      <c r="F212" s="1648" t="s">
        <v>1594</v>
      </c>
      <c r="G212" s="1648"/>
      <c r="H212" s="1648">
        <v>25</v>
      </c>
      <c r="I212" s="1648" t="s">
        <v>1717</v>
      </c>
      <c r="J212" s="1649">
        <v>2</v>
      </c>
      <c r="K212" s="1648"/>
      <c r="L212" s="1648"/>
      <c r="M212" s="1648"/>
      <c r="N212" s="1642"/>
      <c r="O212" s="2876"/>
      <c r="P212" s="2870"/>
      <c r="Q212" s="2870"/>
      <c r="R212" s="2870"/>
      <c r="S212" s="2870"/>
      <c r="T212" s="2870"/>
      <c r="U212" s="2875">
        <v>0</v>
      </c>
      <c r="V212" s="2869"/>
      <c r="W212" s="2870"/>
      <c r="X212" s="2870"/>
      <c r="Y212" s="2870"/>
      <c r="Z212" s="2870"/>
      <c r="AA212" s="2877">
        <v>0</v>
      </c>
      <c r="AB212" s="2875">
        <v>0</v>
      </c>
      <c r="AC212" s="2869"/>
      <c r="AD212" s="2870"/>
      <c r="AE212" s="2870"/>
      <c r="AF212" s="2870"/>
      <c r="AG212" s="2870"/>
      <c r="AH212" s="2877">
        <v>0</v>
      </c>
      <c r="AI212" s="2875">
        <v>0</v>
      </c>
      <c r="AJ212" s="2869">
        <v>8.8698259999999998</v>
      </c>
      <c r="AK212" s="2870"/>
      <c r="AL212" s="2870">
        <v>27052969</v>
      </c>
      <c r="AM212" s="2870"/>
      <c r="AN212" s="2870"/>
      <c r="AO212" s="2877">
        <v>3.0499999661774648</v>
      </c>
      <c r="AP212" s="2875">
        <v>27052969</v>
      </c>
      <c r="AQ212" s="2869"/>
      <c r="AR212" s="2870"/>
      <c r="AS212" s="2870"/>
      <c r="AT212" s="2870"/>
      <c r="AU212" s="2870"/>
      <c r="AV212" s="2877">
        <v>0</v>
      </c>
      <c r="AW212" s="2875">
        <v>0</v>
      </c>
      <c r="AX212" s="2869"/>
      <c r="AY212" s="2870"/>
      <c r="AZ212" s="2870"/>
      <c r="BA212" s="2870"/>
      <c r="BB212" s="2870"/>
      <c r="BC212" s="2877">
        <v>0</v>
      </c>
      <c r="BD212" s="2875">
        <v>0</v>
      </c>
      <c r="BE212" s="2869"/>
      <c r="BF212" s="2870"/>
      <c r="BG212" s="2870"/>
      <c r="BH212" s="2870"/>
      <c r="BI212" s="2870"/>
      <c r="BJ212" s="2877">
        <v>0</v>
      </c>
      <c r="BK212" s="2875">
        <v>0</v>
      </c>
      <c r="BL212" s="2869"/>
      <c r="BM212" s="2870"/>
      <c r="BN212" s="2870"/>
      <c r="BO212" s="2870"/>
      <c r="BP212" s="2870"/>
      <c r="BQ212" s="2877">
        <v>0</v>
      </c>
      <c r="BR212" s="2875">
        <v>0</v>
      </c>
      <c r="BS212" s="2869"/>
      <c r="BT212" s="2870"/>
      <c r="BU212" s="2870"/>
      <c r="BV212" s="2870"/>
      <c r="BW212" s="2870"/>
      <c r="BX212" s="2877">
        <v>0</v>
      </c>
      <c r="BY212" s="2875">
        <v>0</v>
      </c>
      <c r="BZ212" s="2869"/>
      <c r="CA212" s="2870"/>
      <c r="CB212" s="2870"/>
      <c r="CC212" s="2870"/>
      <c r="CD212" s="2870"/>
      <c r="CE212" s="2877">
        <v>0</v>
      </c>
      <c r="CF212" s="2875">
        <v>0</v>
      </c>
      <c r="CG212" s="2869"/>
      <c r="CH212" s="2870"/>
      <c r="CI212" s="2870"/>
      <c r="CJ212" s="2870"/>
      <c r="CK212" s="2870"/>
      <c r="CL212" s="2877">
        <v>0</v>
      </c>
      <c r="CM212" s="2875">
        <v>0</v>
      </c>
      <c r="CN212" s="2872">
        <v>38.611386000000003</v>
      </c>
      <c r="CO212" s="2870"/>
      <c r="CP212" s="2870">
        <v>114996289</v>
      </c>
      <c r="CQ212" s="2870"/>
      <c r="CR212" s="2870"/>
      <c r="CS212" s="2877">
        <v>2.9782999501753187</v>
      </c>
      <c r="CT212" s="2875">
        <v>114996289</v>
      </c>
      <c r="CU212" s="2878">
        <v>47.481211999999999</v>
      </c>
      <c r="CV212" s="2870">
        <v>0</v>
      </c>
      <c r="CW212" s="2870">
        <v>142049258</v>
      </c>
      <c r="CX212" s="2870">
        <v>0</v>
      </c>
      <c r="CY212" s="2870">
        <v>0</v>
      </c>
      <c r="CZ212" s="2879">
        <v>2.991694019942035</v>
      </c>
      <c r="DA212" s="2875">
        <v>142049258</v>
      </c>
      <c r="DB212" s="1613">
        <v>47.481211999999999</v>
      </c>
      <c r="DC212" s="2899">
        <v>0</v>
      </c>
      <c r="DE212" s="2782" t="b">
        <v>1</v>
      </c>
      <c r="DJ212" s="1611" t="e">
        <v>#N/A</v>
      </c>
      <c r="DK212" s="2782" t="e">
        <v>#N/A</v>
      </c>
      <c r="DM212" s="1650">
        <v>2.991694019942035</v>
      </c>
    </row>
    <row r="213" spans="1:117" ht="21" customHeight="1">
      <c r="A213" s="1652">
        <v>23</v>
      </c>
      <c r="B213" s="1701" t="s">
        <v>1881</v>
      </c>
      <c r="C213" s="1662">
        <v>20</v>
      </c>
      <c r="D213" s="1646">
        <v>100</v>
      </c>
      <c r="E213" s="1646"/>
      <c r="F213" s="1648" t="s">
        <v>1594</v>
      </c>
      <c r="G213" s="1648"/>
      <c r="H213" s="1648">
        <v>20</v>
      </c>
      <c r="I213" s="1648" t="s">
        <v>1717</v>
      </c>
      <c r="J213" s="1649">
        <v>2</v>
      </c>
      <c r="K213" s="1648"/>
      <c r="L213" s="1648"/>
      <c r="M213" s="1648"/>
      <c r="N213" s="1642"/>
      <c r="O213" s="2876"/>
      <c r="P213" s="2870"/>
      <c r="Q213" s="2870"/>
      <c r="R213" s="2870"/>
      <c r="S213" s="2870"/>
      <c r="T213" s="2870"/>
      <c r="U213" s="2875">
        <v>0</v>
      </c>
      <c r="V213" s="2869"/>
      <c r="W213" s="2870"/>
      <c r="X213" s="2870"/>
      <c r="Y213" s="2870"/>
      <c r="Z213" s="2870"/>
      <c r="AA213" s="2877">
        <v>0</v>
      </c>
      <c r="AB213" s="2875">
        <v>0</v>
      </c>
      <c r="AC213" s="2869"/>
      <c r="AD213" s="2870"/>
      <c r="AE213" s="2870"/>
      <c r="AF213" s="2870"/>
      <c r="AG213" s="2870"/>
      <c r="AH213" s="2877">
        <v>0</v>
      </c>
      <c r="AI213" s="2875">
        <v>0</v>
      </c>
      <c r="AJ213" s="2869">
        <v>19.312011000000002</v>
      </c>
      <c r="AK213" s="2870"/>
      <c r="AL213" s="2870">
        <v>59480994</v>
      </c>
      <c r="AM213" s="2870"/>
      <c r="AN213" s="2870"/>
      <c r="AO213" s="2877">
        <v>3.0800000062137496</v>
      </c>
      <c r="AP213" s="2875">
        <v>59480994</v>
      </c>
      <c r="AQ213" s="2869"/>
      <c r="AR213" s="2870"/>
      <c r="AS213" s="2870"/>
      <c r="AT213" s="2870"/>
      <c r="AU213" s="2870"/>
      <c r="AV213" s="2877">
        <v>0</v>
      </c>
      <c r="AW213" s="2875">
        <v>0</v>
      </c>
      <c r="AX213" s="2869"/>
      <c r="AY213" s="2870"/>
      <c r="AZ213" s="2870"/>
      <c r="BA213" s="2870"/>
      <c r="BB213" s="2870"/>
      <c r="BC213" s="2877">
        <v>0</v>
      </c>
      <c r="BD213" s="2875">
        <v>0</v>
      </c>
      <c r="BE213" s="2869"/>
      <c r="BF213" s="2870"/>
      <c r="BG213" s="2870"/>
      <c r="BH213" s="2870"/>
      <c r="BI213" s="2870"/>
      <c r="BJ213" s="2877">
        <v>0</v>
      </c>
      <c r="BK213" s="2875">
        <v>0</v>
      </c>
      <c r="BL213" s="2869"/>
      <c r="BM213" s="2870"/>
      <c r="BN213" s="2870"/>
      <c r="BO213" s="2870"/>
      <c r="BP213" s="2870"/>
      <c r="BQ213" s="2877">
        <v>0</v>
      </c>
      <c r="BR213" s="2875">
        <v>0</v>
      </c>
      <c r="BS213" s="2869"/>
      <c r="BT213" s="2870"/>
      <c r="BU213" s="2870"/>
      <c r="BV213" s="2870"/>
      <c r="BW213" s="2870"/>
      <c r="BX213" s="2877">
        <v>0</v>
      </c>
      <c r="BY213" s="2875">
        <v>0</v>
      </c>
      <c r="BZ213" s="2869"/>
      <c r="CA213" s="2870"/>
      <c r="CB213" s="2870"/>
      <c r="CC213" s="2870"/>
      <c r="CD213" s="2870"/>
      <c r="CE213" s="2877">
        <v>0</v>
      </c>
      <c r="CF213" s="2875">
        <v>0</v>
      </c>
      <c r="CG213" s="2869"/>
      <c r="CH213" s="2870"/>
      <c r="CI213" s="2870"/>
      <c r="CJ213" s="2870"/>
      <c r="CK213" s="2870"/>
      <c r="CL213" s="2877">
        <v>0</v>
      </c>
      <c r="CM213" s="2875">
        <v>0</v>
      </c>
      <c r="CN213" s="2872">
        <v>50.271319999999996</v>
      </c>
      <c r="CO213" s="2870"/>
      <c r="CP213" s="2870">
        <v>147759391.75</v>
      </c>
      <c r="CQ213" s="2870"/>
      <c r="CR213" s="2870"/>
      <c r="CS213" s="2877">
        <v>2.9392383520066714</v>
      </c>
      <c r="CT213" s="2875">
        <v>147759391.75</v>
      </c>
      <c r="CU213" s="2878">
        <v>69.583331000000001</v>
      </c>
      <c r="CV213" s="2870">
        <v>0</v>
      </c>
      <c r="CW213" s="2870">
        <v>207240385.75</v>
      </c>
      <c r="CX213" s="2870">
        <v>0</v>
      </c>
      <c r="CY213" s="2870">
        <v>0</v>
      </c>
      <c r="CZ213" s="2879">
        <v>2.9783050447814867</v>
      </c>
      <c r="DA213" s="2875">
        <v>207240385.75</v>
      </c>
      <c r="DB213" s="1613">
        <v>69.583331000000001</v>
      </c>
      <c r="DC213" s="2899">
        <v>0</v>
      </c>
      <c r="DE213" s="2782" t="b">
        <v>1</v>
      </c>
      <c r="DJ213" s="1611" t="e">
        <v>#N/A</v>
      </c>
      <c r="DK213" s="2782" t="e">
        <v>#N/A</v>
      </c>
      <c r="DM213" s="1650">
        <v>2.9783050447814867</v>
      </c>
    </row>
    <row r="214" spans="1:117" ht="21" customHeight="1">
      <c r="A214" s="1652">
        <v>24</v>
      </c>
      <c r="B214" s="1701" t="s">
        <v>1882</v>
      </c>
      <c r="C214" s="1662">
        <v>15</v>
      </c>
      <c r="D214" s="1646">
        <v>100</v>
      </c>
      <c r="E214" s="1646"/>
      <c r="F214" s="1648" t="s">
        <v>1594</v>
      </c>
      <c r="G214" s="1648"/>
      <c r="H214" s="1648">
        <v>15</v>
      </c>
      <c r="I214" s="1648" t="s">
        <v>1717</v>
      </c>
      <c r="J214" s="1649">
        <v>2</v>
      </c>
      <c r="K214" s="1648"/>
      <c r="L214" s="1648"/>
      <c r="M214" s="1648"/>
      <c r="N214" s="1642"/>
      <c r="O214" s="2876"/>
      <c r="P214" s="2870"/>
      <c r="Q214" s="2870"/>
      <c r="R214" s="2870"/>
      <c r="S214" s="2870"/>
      <c r="T214" s="2870"/>
      <c r="U214" s="2875">
        <v>0</v>
      </c>
      <c r="V214" s="2869"/>
      <c r="W214" s="2870"/>
      <c r="X214" s="2870"/>
      <c r="Y214" s="2870"/>
      <c r="Z214" s="2870"/>
      <c r="AA214" s="2877">
        <v>0</v>
      </c>
      <c r="AB214" s="2875">
        <v>0</v>
      </c>
      <c r="AC214" s="2869"/>
      <c r="AD214" s="2870"/>
      <c r="AE214" s="2870"/>
      <c r="AF214" s="2870"/>
      <c r="AG214" s="2870"/>
      <c r="AH214" s="2877">
        <v>0</v>
      </c>
      <c r="AI214" s="2875">
        <v>0</v>
      </c>
      <c r="AJ214" s="2869">
        <v>8.2786460000000002</v>
      </c>
      <c r="AK214" s="2870"/>
      <c r="AL214" s="2870">
        <v>25415443</v>
      </c>
      <c r="AM214" s="2870"/>
      <c r="AN214" s="2870"/>
      <c r="AO214" s="2877">
        <v>3.069999973425606</v>
      </c>
      <c r="AP214" s="2875">
        <v>25415443</v>
      </c>
      <c r="AQ214" s="2869"/>
      <c r="AR214" s="2870"/>
      <c r="AS214" s="2870"/>
      <c r="AT214" s="2870"/>
      <c r="AU214" s="2870"/>
      <c r="AV214" s="2877">
        <v>0</v>
      </c>
      <c r="AW214" s="2875">
        <v>0</v>
      </c>
      <c r="AX214" s="2869"/>
      <c r="AY214" s="2870"/>
      <c r="AZ214" s="2870"/>
      <c r="BA214" s="2870"/>
      <c r="BB214" s="2870"/>
      <c r="BC214" s="2877">
        <v>0</v>
      </c>
      <c r="BD214" s="2875">
        <v>0</v>
      </c>
      <c r="BE214" s="2869"/>
      <c r="BF214" s="2870"/>
      <c r="BG214" s="2870"/>
      <c r="BH214" s="2870"/>
      <c r="BI214" s="2870"/>
      <c r="BJ214" s="2877">
        <v>0</v>
      </c>
      <c r="BK214" s="2875">
        <v>0</v>
      </c>
      <c r="BL214" s="2869"/>
      <c r="BM214" s="2870"/>
      <c r="BN214" s="2870"/>
      <c r="BO214" s="2870"/>
      <c r="BP214" s="2870"/>
      <c r="BQ214" s="2877">
        <v>0</v>
      </c>
      <c r="BR214" s="2875">
        <v>0</v>
      </c>
      <c r="BS214" s="2869"/>
      <c r="BT214" s="2870"/>
      <c r="BU214" s="2870"/>
      <c r="BV214" s="2870"/>
      <c r="BW214" s="2870"/>
      <c r="BX214" s="2877">
        <v>0</v>
      </c>
      <c r="BY214" s="2875">
        <v>0</v>
      </c>
      <c r="BZ214" s="2869"/>
      <c r="CA214" s="2870"/>
      <c r="CB214" s="2870"/>
      <c r="CC214" s="2870"/>
      <c r="CD214" s="2870"/>
      <c r="CE214" s="2877">
        <v>0</v>
      </c>
      <c r="CF214" s="2875">
        <v>0</v>
      </c>
      <c r="CG214" s="2869"/>
      <c r="CH214" s="2870"/>
      <c r="CI214" s="2870"/>
      <c r="CJ214" s="2870"/>
      <c r="CK214" s="2870"/>
      <c r="CL214" s="2877">
        <v>0</v>
      </c>
      <c r="CM214" s="2875">
        <v>0</v>
      </c>
      <c r="CN214" s="2878">
        <v>40.860175000000005</v>
      </c>
      <c r="CO214" s="2870"/>
      <c r="CP214" s="2870">
        <v>125032137</v>
      </c>
      <c r="CQ214" s="2870"/>
      <c r="CR214" s="2870"/>
      <c r="CS214" s="2877">
        <v>3.0600000367105618</v>
      </c>
      <c r="CT214" s="2875">
        <v>125032137</v>
      </c>
      <c r="CU214" s="2878">
        <v>49.138821000000007</v>
      </c>
      <c r="CV214" s="2870">
        <v>0</v>
      </c>
      <c r="CW214" s="2870">
        <v>150447580</v>
      </c>
      <c r="CX214" s="2870">
        <v>0</v>
      </c>
      <c r="CY214" s="2870">
        <v>0</v>
      </c>
      <c r="CZ214" s="2879">
        <v>3.0616847726159317</v>
      </c>
      <c r="DA214" s="2875">
        <v>150447580</v>
      </c>
      <c r="DB214" s="1613">
        <v>56.679645999999998</v>
      </c>
      <c r="DC214" s="2899">
        <v>7.540824999999991</v>
      </c>
      <c r="DE214" s="2782" t="b">
        <v>0</v>
      </c>
      <c r="DJ214" s="1611" t="e">
        <v>#N/A</v>
      </c>
      <c r="DK214" s="2782" t="e">
        <v>#N/A</v>
      </c>
      <c r="DM214" s="1650">
        <v>3.0616847726159317</v>
      </c>
    </row>
    <row r="215" spans="1:117" ht="21" customHeight="1">
      <c r="A215" s="1652">
        <v>25</v>
      </c>
      <c r="B215" s="1701" t="s">
        <v>1883</v>
      </c>
      <c r="C215" s="1662">
        <v>39</v>
      </c>
      <c r="D215" s="1646">
        <v>100</v>
      </c>
      <c r="E215" s="1646"/>
      <c r="F215" s="1648" t="s">
        <v>1594</v>
      </c>
      <c r="G215" s="1648"/>
      <c r="H215" s="1648">
        <v>39</v>
      </c>
      <c r="I215" s="1648" t="s">
        <v>1717</v>
      </c>
      <c r="J215" s="1649">
        <v>2</v>
      </c>
      <c r="K215" s="1648"/>
      <c r="L215" s="1648"/>
      <c r="M215" s="1648"/>
      <c r="N215" s="1642"/>
      <c r="O215" s="2876"/>
      <c r="P215" s="2870"/>
      <c r="Q215" s="2870"/>
      <c r="R215" s="2870"/>
      <c r="S215" s="2870"/>
      <c r="T215" s="2870"/>
      <c r="U215" s="2875">
        <v>0</v>
      </c>
      <c r="V215" s="2869"/>
      <c r="W215" s="2870"/>
      <c r="X215" s="2870"/>
      <c r="Y215" s="2870"/>
      <c r="Z215" s="2870"/>
      <c r="AA215" s="2877">
        <v>0</v>
      </c>
      <c r="AB215" s="2875">
        <v>0</v>
      </c>
      <c r="AC215" s="2869"/>
      <c r="AD215" s="2870"/>
      <c r="AE215" s="2870"/>
      <c r="AF215" s="2870"/>
      <c r="AG215" s="2870"/>
      <c r="AH215" s="2877">
        <v>0</v>
      </c>
      <c r="AI215" s="2875">
        <v>0</v>
      </c>
      <c r="AJ215" s="2869"/>
      <c r="AK215" s="2870"/>
      <c r="AL215" s="2870"/>
      <c r="AM215" s="2870"/>
      <c r="AN215" s="2870"/>
      <c r="AO215" s="2877">
        <v>0</v>
      </c>
      <c r="AP215" s="2875">
        <v>0</v>
      </c>
      <c r="AQ215" s="2869"/>
      <c r="AR215" s="2870"/>
      <c r="AS215" s="2870"/>
      <c r="AT215" s="2870"/>
      <c r="AU215" s="2870"/>
      <c r="AV215" s="2877">
        <v>0</v>
      </c>
      <c r="AW215" s="2875">
        <v>0</v>
      </c>
      <c r="AX215" s="2869">
        <v>23.913512999999998</v>
      </c>
      <c r="AY215" s="2870"/>
      <c r="AZ215" s="2870">
        <v>91279063</v>
      </c>
      <c r="BA215" s="2870"/>
      <c r="BB215" s="2870"/>
      <c r="BC215" s="2877">
        <v>3.8170495066952315</v>
      </c>
      <c r="BD215" s="2875">
        <v>91279063</v>
      </c>
      <c r="BE215" s="2869">
        <v>0.53515999999999997</v>
      </c>
      <c r="BF215" s="2870"/>
      <c r="BG215" s="2870">
        <v>1878412</v>
      </c>
      <c r="BH215" s="2870">
        <v>1409</v>
      </c>
      <c r="BI215" s="2870"/>
      <c r="BJ215" s="2877">
        <v>3.5126336049032063</v>
      </c>
      <c r="BK215" s="2875">
        <v>1879821</v>
      </c>
      <c r="BL215" s="2869"/>
      <c r="BM215" s="2870"/>
      <c r="BN215" s="2870"/>
      <c r="BO215" s="2870"/>
      <c r="BP215" s="2870"/>
      <c r="BQ215" s="2877">
        <v>0</v>
      </c>
      <c r="BR215" s="2875">
        <v>0</v>
      </c>
      <c r="BS215" s="2869"/>
      <c r="BT215" s="2870"/>
      <c r="BU215" s="2870"/>
      <c r="BV215" s="2870"/>
      <c r="BW215" s="2870"/>
      <c r="BX215" s="2877">
        <v>0</v>
      </c>
      <c r="BY215" s="2875">
        <v>0</v>
      </c>
      <c r="BZ215" s="2869"/>
      <c r="CA215" s="2870"/>
      <c r="CB215" s="2870"/>
      <c r="CC215" s="2870"/>
      <c r="CD215" s="2870"/>
      <c r="CE215" s="2877">
        <v>0</v>
      </c>
      <c r="CF215" s="2875">
        <v>0</v>
      </c>
      <c r="CG215" s="2869"/>
      <c r="CH215" s="2870"/>
      <c r="CI215" s="2870"/>
      <c r="CJ215" s="2870"/>
      <c r="CK215" s="2870"/>
      <c r="CL215" s="2877">
        <v>0</v>
      </c>
      <c r="CM215" s="2875">
        <v>0</v>
      </c>
      <c r="CN215" s="2902">
        <v>103.88012000000001</v>
      </c>
      <c r="CO215" s="2870"/>
      <c r="CP215" s="2870">
        <v>395152022</v>
      </c>
      <c r="CQ215" s="2870"/>
      <c r="CR215" s="2870"/>
      <c r="CS215" s="2877">
        <v>3.803923426349527</v>
      </c>
      <c r="CT215" s="2875">
        <v>395152022</v>
      </c>
      <c r="CU215" s="2878">
        <v>128.32879300000002</v>
      </c>
      <c r="CV215" s="2870">
        <v>0</v>
      </c>
      <c r="CW215" s="2870">
        <v>488309497</v>
      </c>
      <c r="CX215" s="2870">
        <v>1409</v>
      </c>
      <c r="CY215" s="2870">
        <v>0</v>
      </c>
      <c r="CZ215" s="2879">
        <v>3.8051546701604209</v>
      </c>
      <c r="DA215" s="2875">
        <v>488310906</v>
      </c>
      <c r="DB215" s="1613">
        <v>45.091813000000002</v>
      </c>
      <c r="DC215" s="2899">
        <v>-83.236980000000017</v>
      </c>
      <c r="DE215" s="2782" t="b">
        <v>0</v>
      </c>
      <c r="DJ215" s="1611" t="e">
        <v>#N/A</v>
      </c>
      <c r="DK215" s="2782" t="e">
        <v>#N/A</v>
      </c>
      <c r="DM215" s="1650">
        <v>3.8051436905511919</v>
      </c>
    </row>
    <row r="216" spans="1:117" ht="21" customHeight="1">
      <c r="A216" s="1652">
        <v>26</v>
      </c>
      <c r="B216" s="1701" t="s">
        <v>1884</v>
      </c>
      <c r="C216" s="1662">
        <v>48.5</v>
      </c>
      <c r="D216" s="1646">
        <v>100</v>
      </c>
      <c r="E216" s="1646"/>
      <c r="F216" s="1648" t="s">
        <v>1594</v>
      </c>
      <c r="G216" s="1648"/>
      <c r="H216" s="1648">
        <v>48.5</v>
      </c>
      <c r="I216" s="1648" t="s">
        <v>1717</v>
      </c>
      <c r="J216" s="1649">
        <v>2</v>
      </c>
      <c r="K216" s="1648"/>
      <c r="L216" s="1648"/>
      <c r="M216" s="1648"/>
      <c r="N216" s="1642"/>
      <c r="O216" s="2876"/>
      <c r="P216" s="2870"/>
      <c r="Q216" s="2870"/>
      <c r="R216" s="2870"/>
      <c r="S216" s="2870"/>
      <c r="T216" s="2870"/>
      <c r="U216" s="2875">
        <v>0</v>
      </c>
      <c r="V216" s="2869"/>
      <c r="W216" s="2870"/>
      <c r="X216" s="2870"/>
      <c r="Y216" s="2870"/>
      <c r="Z216" s="2870"/>
      <c r="AA216" s="2877">
        <v>0</v>
      </c>
      <c r="AB216" s="2875">
        <v>0</v>
      </c>
      <c r="AC216" s="2869"/>
      <c r="AD216" s="2870"/>
      <c r="AE216" s="2870"/>
      <c r="AF216" s="2870"/>
      <c r="AG216" s="2870"/>
      <c r="AH216" s="2877">
        <v>0</v>
      </c>
      <c r="AI216" s="2875">
        <v>0</v>
      </c>
      <c r="AJ216" s="2869"/>
      <c r="AK216" s="2870"/>
      <c r="AL216" s="2870"/>
      <c r="AM216" s="2870"/>
      <c r="AN216" s="2870"/>
      <c r="AO216" s="2877">
        <v>0</v>
      </c>
      <c r="AP216" s="2875">
        <v>0</v>
      </c>
      <c r="AQ216" s="2869">
        <v>27.798994999999998</v>
      </c>
      <c r="AR216" s="2870"/>
      <c r="AS216" s="2870">
        <v>75396131</v>
      </c>
      <c r="AT216" s="2870"/>
      <c r="AU216" s="2870"/>
      <c r="AV216" s="2877">
        <v>2.7121890917279567</v>
      </c>
      <c r="AW216" s="2875">
        <v>75396131</v>
      </c>
      <c r="AX216" s="2869"/>
      <c r="AY216" s="2870"/>
      <c r="AZ216" s="2870"/>
      <c r="BA216" s="2870"/>
      <c r="BB216" s="2870"/>
      <c r="BC216" s="2877">
        <v>0</v>
      </c>
      <c r="BD216" s="2875">
        <v>0</v>
      </c>
      <c r="BE216" s="2869"/>
      <c r="BF216" s="2870"/>
      <c r="BG216" s="2870"/>
      <c r="BH216" s="2870"/>
      <c r="BI216" s="2870"/>
      <c r="BJ216" s="2877">
        <v>0</v>
      </c>
      <c r="BK216" s="2875">
        <v>0</v>
      </c>
      <c r="BL216" s="2869"/>
      <c r="BM216" s="2870"/>
      <c r="BN216" s="2870"/>
      <c r="BO216" s="2870"/>
      <c r="BP216" s="2870"/>
      <c r="BQ216" s="2877">
        <v>0</v>
      </c>
      <c r="BR216" s="2875">
        <v>0</v>
      </c>
      <c r="BS216" s="2869"/>
      <c r="BT216" s="2870"/>
      <c r="BU216" s="2870"/>
      <c r="BV216" s="2870"/>
      <c r="BW216" s="2870"/>
      <c r="BX216" s="2877">
        <v>0</v>
      </c>
      <c r="BY216" s="2875">
        <v>0</v>
      </c>
      <c r="BZ216" s="2869"/>
      <c r="CA216" s="2870"/>
      <c r="CB216" s="2870"/>
      <c r="CC216" s="2870"/>
      <c r="CD216" s="2870"/>
      <c r="CE216" s="2877">
        <v>0</v>
      </c>
      <c r="CF216" s="2875">
        <v>0</v>
      </c>
      <c r="CG216" s="2869">
        <v>55.216875000000002</v>
      </c>
      <c r="CH216" s="2870"/>
      <c r="CI216" s="2870">
        <v>189338665.65000001</v>
      </c>
      <c r="CJ216" s="2870"/>
      <c r="CK216" s="2870"/>
      <c r="CL216" s="2877">
        <v>3.4290000230907673</v>
      </c>
      <c r="CM216" s="2875">
        <v>189338665.65000001</v>
      </c>
      <c r="CN216" s="2872">
        <v>64.284450499999991</v>
      </c>
      <c r="CO216" s="2870"/>
      <c r="CP216" s="2870">
        <v>241736862.05000001</v>
      </c>
      <c r="CQ216" s="2870"/>
      <c r="CR216" s="2870"/>
      <c r="CS216" s="2877">
        <v>3.760425113223921</v>
      </c>
      <c r="CT216" s="2875">
        <v>241736862.05000001</v>
      </c>
      <c r="CU216" s="2878">
        <v>147.3003205</v>
      </c>
      <c r="CV216" s="2870">
        <v>0</v>
      </c>
      <c r="CW216" s="2870">
        <v>506471658.70000005</v>
      </c>
      <c r="CX216" s="2870">
        <v>0</v>
      </c>
      <c r="CY216" s="2870">
        <v>0</v>
      </c>
      <c r="CZ216" s="2879">
        <v>3.4383608737633402</v>
      </c>
      <c r="DA216" s="2875">
        <v>506471658.70000005</v>
      </c>
      <c r="DB216" s="1613">
        <v>138.02494250000001</v>
      </c>
      <c r="DC216" s="2899">
        <v>-9.2753779999999892</v>
      </c>
      <c r="DE216" s="2782" t="b">
        <v>0</v>
      </c>
      <c r="DJ216" s="1611" t="e">
        <v>#N/A</v>
      </c>
      <c r="DK216" s="2782" t="e">
        <v>#N/A</v>
      </c>
      <c r="DM216" s="1650">
        <v>3.4383608737633402</v>
      </c>
    </row>
    <row r="217" spans="1:117" ht="21" customHeight="1">
      <c r="A217" s="1652">
        <v>27</v>
      </c>
      <c r="B217" s="1701" t="s">
        <v>1885</v>
      </c>
      <c r="C217" s="1662">
        <v>12.5</v>
      </c>
      <c r="D217" s="1646">
        <v>100</v>
      </c>
      <c r="E217" s="1646"/>
      <c r="F217" s="1648" t="s">
        <v>1594</v>
      </c>
      <c r="G217" s="1648"/>
      <c r="H217" s="1648">
        <v>12.5</v>
      </c>
      <c r="I217" s="1648" t="s">
        <v>1717</v>
      </c>
      <c r="J217" s="1649">
        <v>2</v>
      </c>
      <c r="K217" s="1648"/>
      <c r="L217" s="1648"/>
      <c r="M217" s="1648"/>
      <c r="N217" s="1642"/>
      <c r="O217" s="2876"/>
      <c r="P217" s="2870"/>
      <c r="Q217" s="2870"/>
      <c r="R217" s="2870"/>
      <c r="S217" s="2870"/>
      <c r="T217" s="2870"/>
      <c r="U217" s="2875">
        <v>0</v>
      </c>
      <c r="V217" s="2869"/>
      <c r="W217" s="2870"/>
      <c r="X217" s="2870"/>
      <c r="Y217" s="2870"/>
      <c r="Z217" s="2870"/>
      <c r="AA217" s="2877">
        <v>0</v>
      </c>
      <c r="AB217" s="2875">
        <v>0</v>
      </c>
      <c r="AC217" s="2869"/>
      <c r="AD217" s="2870"/>
      <c r="AE217" s="2870"/>
      <c r="AF217" s="2870"/>
      <c r="AG217" s="2870"/>
      <c r="AH217" s="2877">
        <v>0</v>
      </c>
      <c r="AI217" s="2875">
        <v>0</v>
      </c>
      <c r="AJ217" s="2869">
        <v>2.3007499999999999</v>
      </c>
      <c r="AK217" s="2870"/>
      <c r="AL217" s="2870">
        <v>6971273</v>
      </c>
      <c r="AM217" s="2870"/>
      <c r="AN217" s="2870"/>
      <c r="AO217" s="2877">
        <v>3.0300002173204388</v>
      </c>
      <c r="AP217" s="2875">
        <v>6971273</v>
      </c>
      <c r="AQ217" s="2869"/>
      <c r="AR217" s="2870"/>
      <c r="AS217" s="2870"/>
      <c r="AT217" s="2870"/>
      <c r="AU217" s="2870"/>
      <c r="AV217" s="2877">
        <v>0</v>
      </c>
      <c r="AW217" s="2875">
        <v>0</v>
      </c>
      <c r="AX217" s="2869">
        <v>9.8352295000000005</v>
      </c>
      <c r="AY217" s="2870"/>
      <c r="AZ217" s="2870"/>
      <c r="BA217" s="2870"/>
      <c r="BB217" s="2870"/>
      <c r="BC217" s="2877">
        <v>0</v>
      </c>
      <c r="BD217" s="2875">
        <v>0</v>
      </c>
      <c r="BE217" s="2869"/>
      <c r="BF217" s="2870"/>
      <c r="BG217" s="2870"/>
      <c r="BH217" s="2870"/>
      <c r="BI217" s="2870"/>
      <c r="BJ217" s="2877">
        <v>0</v>
      </c>
      <c r="BK217" s="2875">
        <v>0</v>
      </c>
      <c r="BL217" s="2869"/>
      <c r="BM217" s="2870"/>
      <c r="BN217" s="2870"/>
      <c r="BO217" s="2870"/>
      <c r="BP217" s="2870"/>
      <c r="BQ217" s="2877">
        <v>0</v>
      </c>
      <c r="BR217" s="2875">
        <v>0</v>
      </c>
      <c r="BS217" s="2869"/>
      <c r="BT217" s="2870"/>
      <c r="BU217" s="2870"/>
      <c r="BV217" s="2870"/>
      <c r="BW217" s="2870"/>
      <c r="BX217" s="2877">
        <v>0</v>
      </c>
      <c r="BY217" s="2875">
        <v>0</v>
      </c>
      <c r="BZ217" s="2869"/>
      <c r="CA217" s="2870"/>
      <c r="CB217" s="2870"/>
      <c r="CC217" s="2870"/>
      <c r="CD217" s="2870"/>
      <c r="CE217" s="2877">
        <v>0</v>
      </c>
      <c r="CF217" s="2875">
        <v>0</v>
      </c>
      <c r="CG217" s="2869"/>
      <c r="CH217" s="2870"/>
      <c r="CI217" s="2870"/>
      <c r="CJ217" s="2870"/>
      <c r="CK217" s="2870"/>
      <c r="CL217" s="2877">
        <v>0</v>
      </c>
      <c r="CM217" s="2875">
        <v>0</v>
      </c>
      <c r="CN217" s="2872">
        <v>5.3968169999999995</v>
      </c>
      <c r="CO217" s="2870"/>
      <c r="CP217" s="2870">
        <v>42360153</v>
      </c>
      <c r="CQ217" s="2870"/>
      <c r="CR217" s="2870"/>
      <c r="CS217" s="2877">
        <v>7.8490993858046343</v>
      </c>
      <c r="CT217" s="2875">
        <v>42360153</v>
      </c>
      <c r="CU217" s="2878">
        <v>17.5327965</v>
      </c>
      <c r="CV217" s="2870">
        <v>0</v>
      </c>
      <c r="CW217" s="2870">
        <v>49331426</v>
      </c>
      <c r="CX217" s="2870">
        <v>0</v>
      </c>
      <c r="CY217" s="2870">
        <v>0</v>
      </c>
      <c r="CZ217" s="2879">
        <v>2.8136655781067215</v>
      </c>
      <c r="DA217" s="2875">
        <v>49331426</v>
      </c>
      <c r="DB217" s="1613">
        <v>17.5327965</v>
      </c>
      <c r="DC217" s="2899">
        <v>0</v>
      </c>
      <c r="DE217" s="2782" t="b">
        <v>1</v>
      </c>
      <c r="DJ217" s="1611" t="e">
        <v>#N/A</v>
      </c>
      <c r="DK217" s="2782" t="e">
        <v>#N/A</v>
      </c>
      <c r="DM217" s="1650">
        <v>2.8136655781067215</v>
      </c>
    </row>
    <row r="218" spans="1:117" ht="21" customHeight="1">
      <c r="A218" s="1652">
        <v>28</v>
      </c>
      <c r="B218" s="1701" t="s">
        <v>1886</v>
      </c>
      <c r="C218" s="1662">
        <v>63</v>
      </c>
      <c r="D218" s="1646">
        <v>100</v>
      </c>
      <c r="E218" s="1646"/>
      <c r="F218" s="1648" t="s">
        <v>1594</v>
      </c>
      <c r="G218" s="1648"/>
      <c r="H218" s="1648">
        <v>63</v>
      </c>
      <c r="I218" s="1648" t="s">
        <v>1717</v>
      </c>
      <c r="J218" s="1649">
        <v>2</v>
      </c>
      <c r="K218" s="1648"/>
      <c r="L218" s="1648"/>
      <c r="M218" s="1648"/>
      <c r="N218" s="1642"/>
      <c r="O218" s="2876"/>
      <c r="P218" s="2870"/>
      <c r="Q218" s="2870"/>
      <c r="R218" s="2870"/>
      <c r="S218" s="2870"/>
      <c r="T218" s="2870"/>
      <c r="U218" s="2875">
        <v>0</v>
      </c>
      <c r="V218" s="2869"/>
      <c r="W218" s="2870"/>
      <c r="X218" s="2870"/>
      <c r="Y218" s="2870"/>
      <c r="Z218" s="2870"/>
      <c r="AA218" s="2877">
        <v>0</v>
      </c>
      <c r="AB218" s="2875">
        <v>0</v>
      </c>
      <c r="AC218" s="2869"/>
      <c r="AD218" s="2870"/>
      <c r="AE218" s="2870"/>
      <c r="AF218" s="2870"/>
      <c r="AG218" s="2870"/>
      <c r="AH218" s="2877">
        <v>0</v>
      </c>
      <c r="AI218" s="2875">
        <v>0</v>
      </c>
      <c r="AJ218" s="2869">
        <v>14.377544</v>
      </c>
      <c r="AK218" s="2870"/>
      <c r="AL218" s="2870">
        <v>44282835</v>
      </c>
      <c r="AM218" s="2870"/>
      <c r="AN218" s="2870"/>
      <c r="AO218" s="2877">
        <v>3.0799999638324875</v>
      </c>
      <c r="AP218" s="2875">
        <v>44282835</v>
      </c>
      <c r="AQ218" s="2869"/>
      <c r="AR218" s="2870"/>
      <c r="AS218" s="2870"/>
      <c r="AT218" s="2870"/>
      <c r="AU218" s="2870"/>
      <c r="AV218" s="2877">
        <v>0</v>
      </c>
      <c r="AW218" s="2875">
        <v>0</v>
      </c>
      <c r="AX218" s="2869"/>
      <c r="AY218" s="2870"/>
      <c r="AZ218" s="2870"/>
      <c r="BA218" s="2870"/>
      <c r="BB218" s="2870"/>
      <c r="BC218" s="2877">
        <v>0</v>
      </c>
      <c r="BD218" s="2875">
        <v>0</v>
      </c>
      <c r="BE218" s="2869"/>
      <c r="BF218" s="2870"/>
      <c r="BG218" s="2870"/>
      <c r="BH218" s="2870"/>
      <c r="BI218" s="2870"/>
      <c r="BJ218" s="2877">
        <v>0</v>
      </c>
      <c r="BK218" s="2875">
        <v>0</v>
      </c>
      <c r="BL218" s="2869"/>
      <c r="BM218" s="2870"/>
      <c r="BN218" s="2870"/>
      <c r="BO218" s="2870"/>
      <c r="BP218" s="2870"/>
      <c r="BQ218" s="2877">
        <v>0</v>
      </c>
      <c r="BR218" s="2875">
        <v>0</v>
      </c>
      <c r="BS218" s="2869"/>
      <c r="BT218" s="2870"/>
      <c r="BU218" s="2870"/>
      <c r="BV218" s="2870"/>
      <c r="BW218" s="2870"/>
      <c r="BX218" s="2877">
        <v>0</v>
      </c>
      <c r="BY218" s="2875">
        <v>0</v>
      </c>
      <c r="BZ218" s="2869"/>
      <c r="CA218" s="2870"/>
      <c r="CB218" s="2870"/>
      <c r="CC218" s="2870"/>
      <c r="CD218" s="2870"/>
      <c r="CE218" s="2877">
        <v>0</v>
      </c>
      <c r="CF218" s="2875">
        <v>0</v>
      </c>
      <c r="CG218" s="2869"/>
      <c r="CH218" s="2870"/>
      <c r="CI218" s="2870"/>
      <c r="CJ218" s="2870"/>
      <c r="CK218" s="2870"/>
      <c r="CL218" s="2877">
        <v>0</v>
      </c>
      <c r="CM218" s="2875">
        <v>0</v>
      </c>
      <c r="CN218" s="2878">
        <v>99.853680999999995</v>
      </c>
      <c r="CO218" s="2870"/>
      <c r="CP218" s="2870">
        <v>304185294</v>
      </c>
      <c r="CQ218" s="2870"/>
      <c r="CR218" s="2870"/>
      <c r="CS218" s="2877">
        <v>3.046310270725022</v>
      </c>
      <c r="CT218" s="2875">
        <v>304185294</v>
      </c>
      <c r="CU218" s="2878">
        <v>114.23122499999999</v>
      </c>
      <c r="CV218" s="2870">
        <v>0</v>
      </c>
      <c r="CW218" s="2870">
        <v>348468129</v>
      </c>
      <c r="CX218" s="2870">
        <v>0</v>
      </c>
      <c r="CY218" s="2870">
        <v>0</v>
      </c>
      <c r="CZ218" s="2879">
        <v>3.0505505740658911</v>
      </c>
      <c r="DA218" s="2875">
        <v>348468129</v>
      </c>
      <c r="DB218" s="1613">
        <v>114.23122499999999</v>
      </c>
      <c r="DC218" s="2899">
        <v>0</v>
      </c>
      <c r="DE218" s="2782" t="b">
        <v>1</v>
      </c>
      <c r="DJ218" s="1611" t="e">
        <v>#N/A</v>
      </c>
      <c r="DK218" s="2782" t="e">
        <v>#N/A</v>
      </c>
      <c r="DM218" s="1650">
        <v>3.0505505740658911</v>
      </c>
    </row>
    <row r="219" spans="1:117" ht="21" customHeight="1">
      <c r="A219" s="1652">
        <v>29</v>
      </c>
      <c r="B219" s="1701" t="s">
        <v>1887</v>
      </c>
      <c r="C219" s="1662">
        <v>20</v>
      </c>
      <c r="D219" s="1646">
        <v>100</v>
      </c>
      <c r="E219" s="1646"/>
      <c r="F219" s="1648" t="s">
        <v>1594</v>
      </c>
      <c r="G219" s="1648"/>
      <c r="H219" s="1648">
        <v>20</v>
      </c>
      <c r="I219" s="1648" t="s">
        <v>1717</v>
      </c>
      <c r="J219" s="1649">
        <v>2</v>
      </c>
      <c r="K219" s="1648"/>
      <c r="L219" s="1648"/>
      <c r="M219" s="1648"/>
      <c r="N219" s="1642"/>
      <c r="O219" s="2876"/>
      <c r="P219" s="2870"/>
      <c r="Q219" s="2870"/>
      <c r="R219" s="2870"/>
      <c r="S219" s="2870"/>
      <c r="T219" s="2870"/>
      <c r="U219" s="2875">
        <v>0</v>
      </c>
      <c r="V219" s="2869"/>
      <c r="W219" s="2870"/>
      <c r="X219" s="2870"/>
      <c r="Y219" s="2870"/>
      <c r="Z219" s="2870"/>
      <c r="AA219" s="2877">
        <v>0</v>
      </c>
      <c r="AB219" s="2875">
        <v>0</v>
      </c>
      <c r="AC219" s="2869"/>
      <c r="AD219" s="2870"/>
      <c r="AE219" s="2870"/>
      <c r="AF219" s="2870"/>
      <c r="AG219" s="2870"/>
      <c r="AH219" s="2877">
        <v>0</v>
      </c>
      <c r="AI219" s="2875">
        <v>0</v>
      </c>
      <c r="AJ219" s="2869">
        <v>26.299036000000001</v>
      </c>
      <c r="AK219" s="2870"/>
      <c r="AL219" s="2870">
        <v>80212057</v>
      </c>
      <c r="AM219" s="2870"/>
      <c r="AN219" s="2870"/>
      <c r="AO219" s="2877">
        <v>3.049999893532219</v>
      </c>
      <c r="AP219" s="2875">
        <v>80212057</v>
      </c>
      <c r="AQ219" s="2869"/>
      <c r="AR219" s="2870"/>
      <c r="AS219" s="2870"/>
      <c r="AT219" s="2870"/>
      <c r="AU219" s="2870"/>
      <c r="AV219" s="2877">
        <v>0</v>
      </c>
      <c r="AW219" s="2875">
        <v>0</v>
      </c>
      <c r="AX219" s="2869"/>
      <c r="AY219" s="2870"/>
      <c r="AZ219" s="2870"/>
      <c r="BA219" s="2870"/>
      <c r="BB219" s="2870"/>
      <c r="BC219" s="2877">
        <v>0</v>
      </c>
      <c r="BD219" s="2875">
        <v>0</v>
      </c>
      <c r="BE219" s="2869"/>
      <c r="BF219" s="2870"/>
      <c r="BG219" s="2870"/>
      <c r="BH219" s="2870"/>
      <c r="BI219" s="2870"/>
      <c r="BJ219" s="2877">
        <v>0</v>
      </c>
      <c r="BK219" s="2875">
        <v>0</v>
      </c>
      <c r="BL219" s="2872">
        <v>9.7431099999999997</v>
      </c>
      <c r="BM219" s="2870"/>
      <c r="BN219" s="2870">
        <v>36169221</v>
      </c>
      <c r="BO219" s="2870"/>
      <c r="BP219" s="2870"/>
      <c r="BQ219" s="2877">
        <v>3.7122870418172433</v>
      </c>
      <c r="BR219" s="2875">
        <v>36169221</v>
      </c>
      <c r="BS219" s="2869"/>
      <c r="BT219" s="2870"/>
      <c r="BU219" s="2870"/>
      <c r="BV219" s="2870"/>
      <c r="BW219" s="2870"/>
      <c r="BX219" s="2877">
        <v>0</v>
      </c>
      <c r="BY219" s="2875">
        <v>0</v>
      </c>
      <c r="BZ219" s="2869"/>
      <c r="CA219" s="2870"/>
      <c r="CB219" s="2870"/>
      <c r="CC219" s="2870"/>
      <c r="CD219" s="2870"/>
      <c r="CE219" s="2877">
        <v>0</v>
      </c>
      <c r="CF219" s="2875">
        <v>0</v>
      </c>
      <c r="CG219" s="2869">
        <v>39.815574999999995</v>
      </c>
      <c r="CH219" s="2870"/>
      <c r="CI219" s="2870">
        <v>121437505</v>
      </c>
      <c r="CJ219" s="2870"/>
      <c r="CK219" s="2870"/>
      <c r="CL219" s="2877">
        <v>3.0500000313947502</v>
      </c>
      <c r="CM219" s="2875">
        <v>121437505</v>
      </c>
      <c r="CN219" s="2902">
        <v>3.9815480000000099</v>
      </c>
      <c r="CO219" s="2870"/>
      <c r="CP219" s="2870">
        <v>0</v>
      </c>
      <c r="CQ219" s="2870"/>
      <c r="CR219" s="2870"/>
      <c r="CS219" s="2877">
        <v>0</v>
      </c>
      <c r="CT219" s="2875">
        <v>0</v>
      </c>
      <c r="CU219" s="2878">
        <v>79.839269000000002</v>
      </c>
      <c r="CV219" s="2870">
        <v>0</v>
      </c>
      <c r="CW219" s="2870">
        <v>237818783</v>
      </c>
      <c r="CX219" s="2870">
        <v>0</v>
      </c>
      <c r="CY219" s="2870">
        <v>0</v>
      </c>
      <c r="CZ219" s="2879">
        <v>2.9787194444377993</v>
      </c>
      <c r="DA219" s="2875">
        <v>237818783</v>
      </c>
      <c r="DB219" s="1613">
        <v>79.839267000000007</v>
      </c>
      <c r="DC219" s="2899">
        <v>-1.9999999949504854E-6</v>
      </c>
      <c r="DE219" s="2782" t="b">
        <v>0</v>
      </c>
      <c r="DJ219" s="1611" t="e">
        <v>#N/A</v>
      </c>
      <c r="DK219" s="2782" t="e">
        <v>#N/A</v>
      </c>
      <c r="DM219" s="1650">
        <v>2.9787194444377993</v>
      </c>
    </row>
    <row r="220" spans="1:117" ht="21" customHeight="1">
      <c r="A220" s="1652">
        <v>30</v>
      </c>
      <c r="B220" s="1701" t="s">
        <v>1888</v>
      </c>
      <c r="C220" s="1662">
        <v>40</v>
      </c>
      <c r="D220" s="1646">
        <v>100</v>
      </c>
      <c r="E220" s="1646"/>
      <c r="F220" s="1648" t="s">
        <v>1594</v>
      </c>
      <c r="G220" s="1648"/>
      <c r="H220" s="1648">
        <v>40</v>
      </c>
      <c r="I220" s="1648" t="s">
        <v>1717</v>
      </c>
      <c r="J220" s="1649">
        <v>2</v>
      </c>
      <c r="K220" s="1648"/>
      <c r="L220" s="1648"/>
      <c r="M220" s="1648"/>
      <c r="N220" s="1642"/>
      <c r="O220" s="2876"/>
      <c r="P220" s="2870"/>
      <c r="Q220" s="2870"/>
      <c r="R220" s="2870"/>
      <c r="S220" s="2870"/>
      <c r="T220" s="2870"/>
      <c r="U220" s="2875">
        <v>0</v>
      </c>
      <c r="V220" s="2869"/>
      <c r="W220" s="2870"/>
      <c r="X220" s="2870"/>
      <c r="Y220" s="2870"/>
      <c r="Z220" s="2870"/>
      <c r="AA220" s="2877">
        <v>0</v>
      </c>
      <c r="AB220" s="2875">
        <v>0</v>
      </c>
      <c r="AC220" s="2869"/>
      <c r="AD220" s="2870"/>
      <c r="AE220" s="2870"/>
      <c r="AF220" s="2870"/>
      <c r="AG220" s="2870"/>
      <c r="AH220" s="2877">
        <v>0</v>
      </c>
      <c r="AI220" s="2875">
        <v>0</v>
      </c>
      <c r="AJ220" s="2869">
        <v>7.2290840000000003</v>
      </c>
      <c r="AK220" s="2870"/>
      <c r="AL220" s="2870">
        <v>-96189370</v>
      </c>
      <c r="AM220" s="2870"/>
      <c r="AN220" s="2870"/>
      <c r="AO220" s="2877">
        <v>-13.305886333593579</v>
      </c>
      <c r="AP220" s="2875">
        <v>-96189370</v>
      </c>
      <c r="AQ220" s="2869"/>
      <c r="AR220" s="2870"/>
      <c r="AS220" s="2870"/>
      <c r="AT220" s="2870"/>
      <c r="AU220" s="2870"/>
      <c r="AV220" s="2877">
        <v>0</v>
      </c>
      <c r="AW220" s="2875">
        <v>0</v>
      </c>
      <c r="AX220" s="2869"/>
      <c r="AY220" s="2870"/>
      <c r="AZ220" s="2870"/>
      <c r="BA220" s="2870"/>
      <c r="BB220" s="2870"/>
      <c r="BC220" s="2877">
        <v>0</v>
      </c>
      <c r="BD220" s="2875">
        <v>0</v>
      </c>
      <c r="BE220" s="2869"/>
      <c r="BF220" s="2870"/>
      <c r="BG220" s="2870"/>
      <c r="BH220" s="2870"/>
      <c r="BI220" s="2870"/>
      <c r="BJ220" s="2877">
        <v>0</v>
      </c>
      <c r="BK220" s="2875">
        <v>0</v>
      </c>
      <c r="BL220" s="2869">
        <v>-31.596675000000001</v>
      </c>
      <c r="BM220" s="2870"/>
      <c r="BN220" s="2870"/>
      <c r="BO220" s="2870"/>
      <c r="BP220" s="2870"/>
      <c r="BQ220" s="2877">
        <v>0</v>
      </c>
      <c r="BR220" s="2875">
        <v>0</v>
      </c>
      <c r="BS220" s="2869"/>
      <c r="BT220" s="2870"/>
      <c r="BU220" s="2870"/>
      <c r="BV220" s="2870"/>
      <c r="BW220" s="2870"/>
      <c r="BX220" s="2877">
        <v>0</v>
      </c>
      <c r="BY220" s="2875">
        <v>0</v>
      </c>
      <c r="BZ220" s="2869"/>
      <c r="CA220" s="2870"/>
      <c r="CB220" s="2870"/>
      <c r="CC220" s="2870"/>
      <c r="CD220" s="2870"/>
      <c r="CE220" s="2877">
        <v>0</v>
      </c>
      <c r="CF220" s="2875">
        <v>0</v>
      </c>
      <c r="CG220" s="2869">
        <v>42.127650000000003</v>
      </c>
      <c r="CH220" s="2870"/>
      <c r="CI220" s="2870">
        <v>165982942</v>
      </c>
      <c r="CJ220" s="2870"/>
      <c r="CK220" s="2870"/>
      <c r="CL220" s="2877">
        <v>3.9400000237373791</v>
      </c>
      <c r="CM220" s="2875">
        <v>165982942</v>
      </c>
      <c r="CN220" s="2872">
        <v>43.405542000000004</v>
      </c>
      <c r="CO220" s="2870"/>
      <c r="CP220" s="2870">
        <v>165982942</v>
      </c>
      <c r="CQ220" s="2870"/>
      <c r="CR220" s="2870"/>
      <c r="CS220" s="2877">
        <v>3.8240034417724806</v>
      </c>
      <c r="CT220" s="2875">
        <v>165982942</v>
      </c>
      <c r="CU220" s="2878">
        <v>61.165601000000009</v>
      </c>
      <c r="CV220" s="2870">
        <v>0</v>
      </c>
      <c r="CW220" s="2870">
        <v>235776514</v>
      </c>
      <c r="CX220" s="2870">
        <v>0</v>
      </c>
      <c r="CY220" s="2870">
        <v>0</v>
      </c>
      <c r="CZ220" s="2879">
        <v>3.8547240629581974</v>
      </c>
      <c r="DA220" s="2875">
        <v>235776514</v>
      </c>
      <c r="DB220" s="1613">
        <v>61.165601000000002</v>
      </c>
      <c r="DC220" s="2899">
        <v>0</v>
      </c>
      <c r="DE220" s="2782" t="b">
        <v>1</v>
      </c>
      <c r="DJ220" s="1611" t="e">
        <v>#N/A</v>
      </c>
      <c r="DK220" s="2782" t="e">
        <v>#N/A</v>
      </c>
      <c r="DM220" s="1650">
        <v>3.8547240629581974</v>
      </c>
    </row>
    <row r="221" spans="1:117" ht="21" customHeight="1">
      <c r="A221" s="1652">
        <v>31</v>
      </c>
      <c r="B221" s="1701" t="s">
        <v>1889</v>
      </c>
      <c r="C221" s="1662">
        <v>40</v>
      </c>
      <c r="D221" s="1646">
        <v>100</v>
      </c>
      <c r="E221" s="1646"/>
      <c r="F221" s="1648" t="s">
        <v>1594</v>
      </c>
      <c r="G221" s="1648"/>
      <c r="H221" s="1648">
        <v>40</v>
      </c>
      <c r="I221" s="1648" t="s">
        <v>1717</v>
      </c>
      <c r="J221" s="1649">
        <v>2</v>
      </c>
      <c r="K221" s="1648"/>
      <c r="L221" s="1648"/>
      <c r="M221" s="1648"/>
      <c r="N221" s="1642"/>
      <c r="O221" s="2876"/>
      <c r="P221" s="2870"/>
      <c r="Q221" s="2870"/>
      <c r="R221" s="2870"/>
      <c r="S221" s="2870"/>
      <c r="T221" s="2870"/>
      <c r="U221" s="2875">
        <v>0</v>
      </c>
      <c r="V221" s="2869"/>
      <c r="W221" s="2870"/>
      <c r="X221" s="2870"/>
      <c r="Y221" s="2870"/>
      <c r="Z221" s="2870"/>
      <c r="AA221" s="2877">
        <v>0</v>
      </c>
      <c r="AB221" s="2875">
        <v>0</v>
      </c>
      <c r="AC221" s="2869"/>
      <c r="AD221" s="2870"/>
      <c r="AE221" s="2870"/>
      <c r="AF221" s="2870"/>
      <c r="AG221" s="2870"/>
      <c r="AH221" s="2877">
        <v>0</v>
      </c>
      <c r="AI221" s="2875">
        <v>0</v>
      </c>
      <c r="AJ221" s="2869">
        <v>16.484097999999999</v>
      </c>
      <c r="AK221" s="2870"/>
      <c r="AL221" s="2870">
        <v>50276500</v>
      </c>
      <c r="AM221" s="2870"/>
      <c r="AN221" s="2870"/>
      <c r="AO221" s="2877">
        <v>3.0500000667309792</v>
      </c>
      <c r="AP221" s="2875">
        <v>50276500</v>
      </c>
      <c r="AQ221" s="2869"/>
      <c r="AR221" s="2870"/>
      <c r="AS221" s="2870"/>
      <c r="AT221" s="2870"/>
      <c r="AU221" s="2870"/>
      <c r="AV221" s="2877">
        <v>0</v>
      </c>
      <c r="AW221" s="2875">
        <v>0</v>
      </c>
      <c r="AX221" s="2869"/>
      <c r="AY221" s="2870"/>
      <c r="AZ221" s="2870"/>
      <c r="BA221" s="2870"/>
      <c r="BB221" s="2870"/>
      <c r="BC221" s="2877">
        <v>0</v>
      </c>
      <c r="BD221" s="2875">
        <v>0</v>
      </c>
      <c r="BE221" s="2869"/>
      <c r="BF221" s="2870"/>
      <c r="BG221" s="2870"/>
      <c r="BH221" s="2870"/>
      <c r="BI221" s="2870"/>
      <c r="BJ221" s="2877">
        <v>0</v>
      </c>
      <c r="BK221" s="2875">
        <v>0</v>
      </c>
      <c r="BL221" s="2869"/>
      <c r="BM221" s="2870"/>
      <c r="BN221" s="2870"/>
      <c r="BO221" s="2870"/>
      <c r="BP221" s="2870"/>
      <c r="BQ221" s="2877">
        <v>0</v>
      </c>
      <c r="BR221" s="2875">
        <v>0</v>
      </c>
      <c r="BS221" s="2869"/>
      <c r="BT221" s="2870"/>
      <c r="BU221" s="2870"/>
      <c r="BV221" s="2870"/>
      <c r="BW221" s="2870"/>
      <c r="BX221" s="2877">
        <v>0</v>
      </c>
      <c r="BY221" s="2875">
        <v>0</v>
      </c>
      <c r="BZ221" s="2869"/>
      <c r="CA221" s="2870"/>
      <c r="CB221" s="2870"/>
      <c r="CC221" s="2870"/>
      <c r="CD221" s="2870"/>
      <c r="CE221" s="2877">
        <v>0</v>
      </c>
      <c r="CF221" s="2875">
        <v>0</v>
      </c>
      <c r="CG221" s="2869">
        <v>11.278375000000004</v>
      </c>
      <c r="CH221" s="2870"/>
      <c r="CI221" s="2870">
        <v>126281438</v>
      </c>
      <c r="CJ221" s="2870"/>
      <c r="CK221" s="2870"/>
      <c r="CL221" s="2877">
        <v>11.196775953982728</v>
      </c>
      <c r="CM221" s="2875">
        <v>126281438</v>
      </c>
      <c r="CN221" s="2872">
        <v>43.169408300000001</v>
      </c>
      <c r="CO221" s="2870"/>
      <c r="CP221" s="2870">
        <v>34565091</v>
      </c>
      <c r="CQ221" s="2870"/>
      <c r="CR221" s="2870"/>
      <c r="CS221" s="2877">
        <v>0.80068484515225569</v>
      </c>
      <c r="CT221" s="2875">
        <v>34565091</v>
      </c>
      <c r="CU221" s="2878">
        <v>70.931881300000001</v>
      </c>
      <c r="CV221" s="2870">
        <v>0</v>
      </c>
      <c r="CW221" s="2870">
        <v>211123029</v>
      </c>
      <c r="CX221" s="2870">
        <v>0</v>
      </c>
      <c r="CY221" s="2870">
        <v>0</v>
      </c>
      <c r="CZ221" s="2879">
        <v>2.9764194200217839</v>
      </c>
      <c r="DA221" s="2875">
        <v>211123029</v>
      </c>
      <c r="DB221" s="1613">
        <v>70.931881000000004</v>
      </c>
      <c r="DC221" s="2899">
        <v>-2.9999999640040187E-7</v>
      </c>
      <c r="DE221" s="2782" t="b">
        <v>0</v>
      </c>
      <c r="DJ221" s="1611" t="e">
        <v>#N/A</v>
      </c>
      <c r="DK221" s="2782" t="e">
        <v>#N/A</v>
      </c>
      <c r="DM221" s="1650">
        <v>2.9764194200217839</v>
      </c>
    </row>
    <row r="222" spans="1:117" ht="21" customHeight="1">
      <c r="A222" s="1652">
        <v>32</v>
      </c>
      <c r="B222" s="1701" t="s">
        <v>1890</v>
      </c>
      <c r="C222" s="1662">
        <v>24</v>
      </c>
      <c r="D222" s="1646">
        <v>100</v>
      </c>
      <c r="E222" s="1646"/>
      <c r="F222" s="1648" t="s">
        <v>1594</v>
      </c>
      <c r="G222" s="1648"/>
      <c r="H222" s="1648">
        <v>24</v>
      </c>
      <c r="I222" s="1648" t="s">
        <v>1717</v>
      </c>
      <c r="J222" s="1649">
        <v>2</v>
      </c>
      <c r="K222" s="1648"/>
      <c r="L222" s="1648"/>
      <c r="M222" s="1648"/>
      <c r="N222" s="1642"/>
      <c r="O222" s="2876"/>
      <c r="P222" s="2870"/>
      <c r="Q222" s="2870"/>
      <c r="R222" s="2870"/>
      <c r="S222" s="2870"/>
      <c r="T222" s="2870"/>
      <c r="U222" s="2875">
        <v>0</v>
      </c>
      <c r="V222" s="2869"/>
      <c r="W222" s="2870"/>
      <c r="X222" s="2870"/>
      <c r="Y222" s="2870"/>
      <c r="Z222" s="2870"/>
      <c r="AA222" s="2877">
        <v>0</v>
      </c>
      <c r="AB222" s="2875">
        <v>0</v>
      </c>
      <c r="AC222" s="2869"/>
      <c r="AD222" s="2870"/>
      <c r="AE222" s="2870"/>
      <c r="AF222" s="2870"/>
      <c r="AG222" s="2870"/>
      <c r="AH222" s="2877">
        <v>0</v>
      </c>
      <c r="AI222" s="2875">
        <v>0</v>
      </c>
      <c r="AJ222" s="2869"/>
      <c r="AK222" s="2870"/>
      <c r="AL222" s="2870"/>
      <c r="AM222" s="2870"/>
      <c r="AN222" s="2870"/>
      <c r="AO222" s="2877">
        <v>0</v>
      </c>
      <c r="AP222" s="2875">
        <v>0</v>
      </c>
      <c r="AQ222" s="2869">
        <v>18.178184000000002</v>
      </c>
      <c r="AR222" s="2870"/>
      <c r="AS222" s="2870">
        <v>55625242</v>
      </c>
      <c r="AT222" s="2870"/>
      <c r="AU222" s="2870"/>
      <c r="AV222" s="2877">
        <v>3.0599999427885645</v>
      </c>
      <c r="AW222" s="2875">
        <v>55625242</v>
      </c>
      <c r="AX222" s="2869"/>
      <c r="AY222" s="2870"/>
      <c r="AZ222" s="2870"/>
      <c r="BA222" s="2870"/>
      <c r="BB222" s="2870"/>
      <c r="BC222" s="2877">
        <v>0</v>
      </c>
      <c r="BD222" s="2875">
        <v>0</v>
      </c>
      <c r="BE222" s="2869"/>
      <c r="BF222" s="2870"/>
      <c r="BG222" s="2870"/>
      <c r="BH222" s="2870"/>
      <c r="BI222" s="2870"/>
      <c r="BJ222" s="2877">
        <v>0</v>
      </c>
      <c r="BK222" s="2875">
        <v>0</v>
      </c>
      <c r="BL222" s="2869">
        <v>9.2936250000000005</v>
      </c>
      <c r="BM222" s="2870"/>
      <c r="BN222" s="2870">
        <v>28732792</v>
      </c>
      <c r="BO222" s="2870"/>
      <c r="BP222" s="2870"/>
      <c r="BQ222" s="2877">
        <v>3.0916668146175468</v>
      </c>
      <c r="BR222" s="2875">
        <v>28732792</v>
      </c>
      <c r="BS222" s="2869"/>
      <c r="BT222" s="2870"/>
      <c r="BU222" s="2870"/>
      <c r="BV222" s="2870"/>
      <c r="BW222" s="2870"/>
      <c r="BX222" s="2877">
        <v>0</v>
      </c>
      <c r="BY222" s="2875">
        <v>0</v>
      </c>
      <c r="BZ222" s="2869"/>
      <c r="CA222" s="2870"/>
      <c r="CB222" s="2870"/>
      <c r="CC222" s="2870"/>
      <c r="CD222" s="2870"/>
      <c r="CE222" s="2877">
        <v>0</v>
      </c>
      <c r="CF222" s="2875">
        <v>0</v>
      </c>
      <c r="CG222" s="2869">
        <v>34.789000000000001</v>
      </c>
      <c r="CH222" s="2870"/>
      <c r="CI222" s="2870">
        <v>106454341</v>
      </c>
      <c r="CJ222" s="2870"/>
      <c r="CK222" s="2870"/>
      <c r="CL222" s="2877">
        <v>3.0600000287447182</v>
      </c>
      <c r="CM222" s="2875">
        <v>106454341</v>
      </c>
      <c r="CN222" s="2902">
        <v>0.18655199999999894</v>
      </c>
      <c r="CO222" s="2870"/>
      <c r="CP222" s="2870"/>
      <c r="CQ222" s="2870"/>
      <c r="CR222" s="2870"/>
      <c r="CS222" s="2877">
        <v>0</v>
      </c>
      <c r="CT222" s="2875">
        <v>0</v>
      </c>
      <c r="CU222" s="2878">
        <v>62.447361000000001</v>
      </c>
      <c r="CV222" s="2870">
        <v>0</v>
      </c>
      <c r="CW222" s="2870">
        <v>190812375</v>
      </c>
      <c r="CX222" s="2870">
        <v>0</v>
      </c>
      <c r="CY222" s="2870">
        <v>0</v>
      </c>
      <c r="CZ222" s="2879">
        <v>3.0555714756304915</v>
      </c>
      <c r="DA222" s="2875">
        <v>190812375</v>
      </c>
      <c r="DB222" s="1613">
        <v>62.447361000000001</v>
      </c>
      <c r="DC222" s="2899">
        <v>0</v>
      </c>
      <c r="DE222" s="2782" t="b">
        <v>1</v>
      </c>
      <c r="DJ222" s="1611" t="e">
        <v>#N/A</v>
      </c>
      <c r="DK222" s="2782" t="e">
        <v>#N/A</v>
      </c>
      <c r="DM222" s="1650">
        <v>3.0555714756304915</v>
      </c>
    </row>
    <row r="223" spans="1:117" ht="21" customHeight="1">
      <c r="A223" s="1652">
        <v>33</v>
      </c>
      <c r="B223" s="1701" t="s">
        <v>1891</v>
      </c>
      <c r="C223" s="1662">
        <v>24</v>
      </c>
      <c r="D223" s="1646">
        <v>100</v>
      </c>
      <c r="E223" s="1646"/>
      <c r="F223" s="1648" t="s">
        <v>1594</v>
      </c>
      <c r="G223" s="1648"/>
      <c r="H223" s="1648">
        <v>24</v>
      </c>
      <c r="I223" s="1648" t="s">
        <v>1717</v>
      </c>
      <c r="J223" s="1649">
        <v>2</v>
      </c>
      <c r="K223" s="1648"/>
      <c r="L223" s="1648"/>
      <c r="M223" s="1648"/>
      <c r="N223" s="1642"/>
      <c r="O223" s="2876"/>
      <c r="P223" s="2870"/>
      <c r="Q223" s="2870"/>
      <c r="R223" s="2870"/>
      <c r="S223" s="2870"/>
      <c r="T223" s="2870"/>
      <c r="U223" s="2875">
        <v>0</v>
      </c>
      <c r="V223" s="2869"/>
      <c r="W223" s="2870"/>
      <c r="X223" s="2870"/>
      <c r="Y223" s="2870"/>
      <c r="Z223" s="2870"/>
      <c r="AA223" s="2877">
        <v>0</v>
      </c>
      <c r="AB223" s="2875">
        <v>0</v>
      </c>
      <c r="AC223" s="2869"/>
      <c r="AD223" s="2870"/>
      <c r="AE223" s="2870"/>
      <c r="AF223" s="2870"/>
      <c r="AG223" s="2870"/>
      <c r="AH223" s="2877">
        <v>0</v>
      </c>
      <c r="AI223" s="2875">
        <v>0</v>
      </c>
      <c r="AJ223" s="2869"/>
      <c r="AK223" s="2870"/>
      <c r="AL223" s="2870"/>
      <c r="AM223" s="2870"/>
      <c r="AN223" s="2870"/>
      <c r="AO223" s="2877">
        <v>0</v>
      </c>
      <c r="AP223" s="2875">
        <v>0</v>
      </c>
      <c r="AQ223" s="2869">
        <v>17.428063999999999</v>
      </c>
      <c r="AR223" s="2870"/>
      <c r="AS223" s="2870">
        <v>53329876</v>
      </c>
      <c r="AT223" s="2870"/>
      <c r="AU223" s="2870"/>
      <c r="AV223" s="2877">
        <v>3.060000009180595</v>
      </c>
      <c r="AW223" s="2875">
        <v>53329876</v>
      </c>
      <c r="AX223" s="2869"/>
      <c r="AY223" s="2870"/>
      <c r="AZ223" s="2870"/>
      <c r="BA223" s="2870"/>
      <c r="BB223" s="2870"/>
      <c r="BC223" s="2877">
        <v>0</v>
      </c>
      <c r="BD223" s="2875">
        <v>0</v>
      </c>
      <c r="BE223" s="2869"/>
      <c r="BF223" s="2870"/>
      <c r="BG223" s="2870"/>
      <c r="BH223" s="2870"/>
      <c r="BI223" s="2870"/>
      <c r="BJ223" s="2877">
        <v>0</v>
      </c>
      <c r="BK223" s="2875">
        <v>0</v>
      </c>
      <c r="BL223" s="2869">
        <v>13.7163</v>
      </c>
      <c r="BM223" s="2870"/>
      <c r="BN223" s="2870">
        <v>39907494</v>
      </c>
      <c r="BO223" s="2870"/>
      <c r="BP223" s="2870"/>
      <c r="BQ223" s="2877">
        <v>2.9094941055532471</v>
      </c>
      <c r="BR223" s="2875">
        <v>39907494</v>
      </c>
      <c r="BS223" s="2869"/>
      <c r="BT223" s="2870"/>
      <c r="BU223" s="2870"/>
      <c r="BV223" s="2870"/>
      <c r="BW223" s="2870"/>
      <c r="BX223" s="2877">
        <v>0</v>
      </c>
      <c r="BY223" s="2875">
        <v>0</v>
      </c>
      <c r="BZ223" s="2869"/>
      <c r="CA223" s="2870"/>
      <c r="CB223" s="2870"/>
      <c r="CC223" s="2870"/>
      <c r="CD223" s="2870"/>
      <c r="CE223" s="2877">
        <v>0</v>
      </c>
      <c r="CF223" s="2875">
        <v>0</v>
      </c>
      <c r="CG223" s="2869">
        <v>48.042425000000001</v>
      </c>
      <c r="CH223" s="2870"/>
      <c r="CI223" s="2870">
        <v>147009822</v>
      </c>
      <c r="CJ223" s="2870"/>
      <c r="CK223" s="2870"/>
      <c r="CL223" s="2877">
        <v>3.0600000312224038</v>
      </c>
      <c r="CM223" s="2875">
        <v>147009822</v>
      </c>
      <c r="CN223" s="2872">
        <v>0</v>
      </c>
      <c r="CO223" s="2870"/>
      <c r="CP223" s="2870"/>
      <c r="CQ223" s="2870"/>
      <c r="CR223" s="2870"/>
      <c r="CS223" s="2877">
        <v>0</v>
      </c>
      <c r="CT223" s="2875">
        <v>0</v>
      </c>
      <c r="CU223" s="2878">
        <v>79.186789000000005</v>
      </c>
      <c r="CV223" s="2870">
        <v>0</v>
      </c>
      <c r="CW223" s="2870">
        <v>240247192</v>
      </c>
      <c r="CX223" s="2870">
        <v>0</v>
      </c>
      <c r="CY223" s="2870">
        <v>0</v>
      </c>
      <c r="CZ223" s="2879">
        <v>3.0339302178296434</v>
      </c>
      <c r="DA223" s="2875">
        <v>240247192</v>
      </c>
      <c r="DB223" s="1613">
        <v>79.186789000000005</v>
      </c>
      <c r="DC223" s="2899">
        <v>0</v>
      </c>
      <c r="DD223" s="1613">
        <v>0</v>
      </c>
      <c r="DE223" s="2782" t="b">
        <v>1</v>
      </c>
      <c r="DJ223" s="1611" t="e">
        <v>#N/A</v>
      </c>
      <c r="DK223" s="2782" t="e">
        <v>#N/A</v>
      </c>
      <c r="DM223" s="1650">
        <v>3.0339302178296434</v>
      </c>
    </row>
    <row r="224" spans="1:117" ht="21" customHeight="1">
      <c r="A224" s="1652">
        <v>34</v>
      </c>
      <c r="B224" s="1701" t="s">
        <v>1892</v>
      </c>
      <c r="C224" s="1662">
        <v>7.5</v>
      </c>
      <c r="D224" s="1646">
        <v>100</v>
      </c>
      <c r="E224" s="1646"/>
      <c r="F224" s="1648" t="s">
        <v>1594</v>
      </c>
      <c r="G224" s="1648"/>
      <c r="H224" s="1648">
        <v>7.5</v>
      </c>
      <c r="I224" s="1648" t="s">
        <v>1717</v>
      </c>
      <c r="J224" s="1649">
        <v>2</v>
      </c>
      <c r="K224" s="1648"/>
      <c r="L224" s="1648"/>
      <c r="M224" s="1648"/>
      <c r="N224" s="1642"/>
      <c r="O224" s="2876"/>
      <c r="P224" s="2870"/>
      <c r="Q224" s="2870"/>
      <c r="R224" s="2870"/>
      <c r="S224" s="2870"/>
      <c r="T224" s="2870"/>
      <c r="U224" s="2875">
        <v>0</v>
      </c>
      <c r="V224" s="2869"/>
      <c r="W224" s="2870"/>
      <c r="X224" s="2870"/>
      <c r="Y224" s="2870"/>
      <c r="Z224" s="2870"/>
      <c r="AA224" s="2877">
        <v>0</v>
      </c>
      <c r="AB224" s="2875">
        <v>0</v>
      </c>
      <c r="AC224" s="2869"/>
      <c r="AD224" s="2870"/>
      <c r="AE224" s="2870"/>
      <c r="AF224" s="2870"/>
      <c r="AG224" s="2870"/>
      <c r="AH224" s="2877">
        <v>0</v>
      </c>
      <c r="AI224" s="2875">
        <v>0</v>
      </c>
      <c r="AJ224" s="2869"/>
      <c r="AK224" s="2870"/>
      <c r="AL224" s="2870"/>
      <c r="AM224" s="2870"/>
      <c r="AN224" s="2870"/>
      <c r="AO224" s="2877">
        <v>0</v>
      </c>
      <c r="AP224" s="2875">
        <v>0</v>
      </c>
      <c r="AQ224" s="2869">
        <v>8.3585010000000004</v>
      </c>
      <c r="AR224" s="2870"/>
      <c r="AS224" s="2870">
        <v>25326257</v>
      </c>
      <c r="AT224" s="2870"/>
      <c r="AU224" s="2870"/>
      <c r="AV224" s="2877">
        <v>3.029999876772163</v>
      </c>
      <c r="AW224" s="2875">
        <v>25326257</v>
      </c>
      <c r="AX224" s="2869"/>
      <c r="AY224" s="2870"/>
      <c r="AZ224" s="2870"/>
      <c r="BA224" s="2870"/>
      <c r="BB224" s="2870"/>
      <c r="BC224" s="2877">
        <v>0</v>
      </c>
      <c r="BD224" s="2875">
        <v>0</v>
      </c>
      <c r="BE224" s="2869"/>
      <c r="BF224" s="2870"/>
      <c r="BG224" s="2870"/>
      <c r="BH224" s="2870"/>
      <c r="BI224" s="2870"/>
      <c r="BJ224" s="2877">
        <v>0</v>
      </c>
      <c r="BK224" s="2875">
        <v>0</v>
      </c>
      <c r="BL224" s="2869">
        <v>4.3138500000000004</v>
      </c>
      <c r="BM224" s="2870"/>
      <c r="BN224" s="2870">
        <v>13624122</v>
      </c>
      <c r="BO224" s="2870"/>
      <c r="BP224" s="2870"/>
      <c r="BQ224" s="2877">
        <v>3.1582280329635939</v>
      </c>
      <c r="BR224" s="2875">
        <v>13624122</v>
      </c>
      <c r="BS224" s="2869"/>
      <c r="BT224" s="2870"/>
      <c r="BU224" s="2870"/>
      <c r="BV224" s="2870"/>
      <c r="BW224" s="2870"/>
      <c r="BX224" s="2877">
        <v>0</v>
      </c>
      <c r="BY224" s="2875">
        <v>0</v>
      </c>
      <c r="BZ224" s="2869"/>
      <c r="CA224" s="2870"/>
      <c r="CB224" s="2870"/>
      <c r="CC224" s="2870"/>
      <c r="CD224" s="2870"/>
      <c r="CE224" s="2877">
        <v>0</v>
      </c>
      <c r="CF224" s="2875">
        <v>0</v>
      </c>
      <c r="CG224" s="2869">
        <v>16.789149999999999</v>
      </c>
      <c r="CH224" s="2870"/>
      <c r="CI224" s="2870">
        <v>50897766</v>
      </c>
      <c r="CJ224" s="2870"/>
      <c r="CK224" s="2870"/>
      <c r="CL224" s="2877">
        <v>3.0315868283981025</v>
      </c>
      <c r="CM224" s="2875">
        <v>50897766</v>
      </c>
      <c r="CN224" s="2872">
        <v>8.3060000000003201E-2</v>
      </c>
      <c r="CO224" s="2870"/>
      <c r="CP224" s="2870"/>
      <c r="CQ224" s="2870"/>
      <c r="CR224" s="2870"/>
      <c r="CS224" s="2877">
        <v>0</v>
      </c>
      <c r="CT224" s="2875">
        <v>0</v>
      </c>
      <c r="CU224" s="2878">
        <v>29.544561000000002</v>
      </c>
      <c r="CV224" s="2870">
        <v>0</v>
      </c>
      <c r="CW224" s="2870">
        <v>89848145</v>
      </c>
      <c r="CX224" s="2870">
        <v>0</v>
      </c>
      <c r="CY224" s="2870">
        <v>0</v>
      </c>
      <c r="CZ224" s="2879">
        <v>3.0411061108675805</v>
      </c>
      <c r="DA224" s="2875">
        <v>89848145</v>
      </c>
      <c r="DB224" s="1613">
        <v>29.544561000000002</v>
      </c>
      <c r="DC224" s="2899">
        <v>0</v>
      </c>
      <c r="DE224" s="2782" t="b">
        <v>1</v>
      </c>
      <c r="DJ224" s="1611" t="e">
        <v>#N/A</v>
      </c>
      <c r="DK224" s="2782" t="e">
        <v>#N/A</v>
      </c>
      <c r="DM224" s="1650">
        <v>3.0411061108675805</v>
      </c>
    </row>
    <row r="225" spans="1:117" ht="21" customHeight="1">
      <c r="A225" s="1652">
        <v>35</v>
      </c>
      <c r="B225" s="1701" t="s">
        <v>1893</v>
      </c>
      <c r="C225" s="1662">
        <v>22</v>
      </c>
      <c r="D225" s="1646">
        <v>100</v>
      </c>
      <c r="E225" s="1646"/>
      <c r="F225" s="1648" t="s">
        <v>1594</v>
      </c>
      <c r="G225" s="1648"/>
      <c r="H225" s="1648">
        <v>22</v>
      </c>
      <c r="I225" s="1648" t="s">
        <v>1717</v>
      </c>
      <c r="J225" s="1649">
        <v>2</v>
      </c>
      <c r="K225" s="1648"/>
      <c r="L225" s="1648"/>
      <c r="M225" s="1648"/>
      <c r="N225" s="1642"/>
      <c r="O225" s="2876"/>
      <c r="P225" s="2870"/>
      <c r="Q225" s="2870"/>
      <c r="R225" s="2870"/>
      <c r="S225" s="2870"/>
      <c r="T225" s="2870"/>
      <c r="U225" s="2875">
        <v>0</v>
      </c>
      <c r="V225" s="2869"/>
      <c r="W225" s="2870"/>
      <c r="X225" s="2870"/>
      <c r="Y225" s="2870"/>
      <c r="Z225" s="2870"/>
      <c r="AA225" s="2877">
        <v>0</v>
      </c>
      <c r="AB225" s="2875">
        <v>0</v>
      </c>
      <c r="AC225" s="2869"/>
      <c r="AD225" s="2870"/>
      <c r="AE225" s="2870"/>
      <c r="AF225" s="2870"/>
      <c r="AG225" s="2870"/>
      <c r="AH225" s="2877">
        <v>0</v>
      </c>
      <c r="AI225" s="2875">
        <v>0</v>
      </c>
      <c r="AJ225" s="2869">
        <v>14.478725000000001</v>
      </c>
      <c r="AK225" s="2870"/>
      <c r="AL225" s="2870">
        <v>57480542</v>
      </c>
      <c r="AM225" s="2870"/>
      <c r="AN225" s="2870"/>
      <c r="AO225" s="2877">
        <v>3.9700002590007064</v>
      </c>
      <c r="AP225" s="2875">
        <v>57480542</v>
      </c>
      <c r="AQ225" s="2869">
        <v>13.260702500000001</v>
      </c>
      <c r="AR225" s="2870"/>
      <c r="AS225" s="2870">
        <v>57775996</v>
      </c>
      <c r="AT225" s="2870"/>
      <c r="AU225" s="2870"/>
      <c r="AV225" s="2877">
        <v>4.3569332771020237</v>
      </c>
      <c r="AW225" s="2875">
        <v>57775996</v>
      </c>
      <c r="AX225" s="2869">
        <v>0.26905499999999999</v>
      </c>
      <c r="AY225" s="2870"/>
      <c r="AZ225" s="2870">
        <v>1068147</v>
      </c>
      <c r="BA225" s="2870"/>
      <c r="BB225" s="2870"/>
      <c r="BC225" s="2877">
        <v>3.9699949824385348</v>
      </c>
      <c r="BD225" s="2875">
        <v>1068147</v>
      </c>
      <c r="BE225" s="2869">
        <v>0.40149800000000002</v>
      </c>
      <c r="BF225" s="2870"/>
      <c r="BG225" s="2870">
        <v>1593948</v>
      </c>
      <c r="BH225" s="2870"/>
      <c r="BI225" s="2870"/>
      <c r="BJ225" s="2877">
        <v>3.9700023412320857</v>
      </c>
      <c r="BK225" s="2875">
        <v>1593948</v>
      </c>
      <c r="BL225" s="2869"/>
      <c r="BM225" s="2870"/>
      <c r="BN225" s="2870"/>
      <c r="BO225" s="2870"/>
      <c r="BP225" s="2870"/>
      <c r="BQ225" s="2877">
        <v>0</v>
      </c>
      <c r="BR225" s="2875">
        <v>0</v>
      </c>
      <c r="BS225" s="2869"/>
      <c r="BT225" s="2870"/>
      <c r="BU225" s="2870"/>
      <c r="BV225" s="2870"/>
      <c r="BW225" s="2870"/>
      <c r="BX225" s="2877">
        <v>0</v>
      </c>
      <c r="BY225" s="2875">
        <v>0</v>
      </c>
      <c r="BZ225" s="2869">
        <v>18.844307000000001</v>
      </c>
      <c r="CA225" s="2870"/>
      <c r="CB225" s="2870">
        <v>74811902</v>
      </c>
      <c r="CC225" s="2870"/>
      <c r="CD225" s="2870"/>
      <c r="CE225" s="2877">
        <v>3.9700001703432237</v>
      </c>
      <c r="CF225" s="2875">
        <v>74811902</v>
      </c>
      <c r="CG225" s="2869">
        <v>16.158294999999999</v>
      </c>
      <c r="CH225" s="2870"/>
      <c r="CI225" s="2870">
        <v>64148431</v>
      </c>
      <c r="CJ225" s="2870"/>
      <c r="CK225" s="2870"/>
      <c r="CL225" s="2877">
        <v>3.9699999907168428</v>
      </c>
      <c r="CM225" s="2875">
        <v>64148431</v>
      </c>
      <c r="CN225" s="2872">
        <v>17.433544000000001</v>
      </c>
      <c r="CO225" s="2870"/>
      <c r="CP225" s="2870">
        <v>56820466</v>
      </c>
      <c r="CQ225" s="2870"/>
      <c r="CR225" s="2870"/>
      <c r="CS225" s="2877">
        <v>3.2592607676327887</v>
      </c>
      <c r="CT225" s="2875">
        <v>56820466</v>
      </c>
      <c r="CU225" s="2878">
        <v>80.846126499999997</v>
      </c>
      <c r="CV225" s="2870">
        <v>0</v>
      </c>
      <c r="CW225" s="2870">
        <v>313699432</v>
      </c>
      <c r="CX225" s="2870">
        <v>0</v>
      </c>
      <c r="CY225" s="2870">
        <v>0</v>
      </c>
      <c r="CZ225" s="2879">
        <v>3.8802036112391853</v>
      </c>
      <c r="DA225" s="2875">
        <v>313699432</v>
      </c>
      <c r="DB225" s="1613">
        <v>80.846126499999997</v>
      </c>
      <c r="DC225" s="2899">
        <v>0</v>
      </c>
      <c r="DE225" s="2782" t="b">
        <v>1</v>
      </c>
      <c r="DJ225" s="1611" t="e">
        <v>#N/A</v>
      </c>
      <c r="DK225" s="2782" t="e">
        <v>#N/A</v>
      </c>
      <c r="DM225" s="1650">
        <v>3.8802036112391853</v>
      </c>
    </row>
    <row r="226" spans="1:117" ht="21" customHeight="1">
      <c r="A226" s="1652">
        <v>36</v>
      </c>
      <c r="B226" s="1701" t="s">
        <v>1894</v>
      </c>
      <c r="C226" s="1662">
        <v>20</v>
      </c>
      <c r="D226" s="1646">
        <v>100</v>
      </c>
      <c r="E226" s="1646"/>
      <c r="F226" s="1648" t="s">
        <v>1594</v>
      </c>
      <c r="G226" s="1648"/>
      <c r="H226" s="1648">
        <v>20</v>
      </c>
      <c r="I226" s="1648" t="s">
        <v>1717</v>
      </c>
      <c r="J226" s="1649">
        <v>2</v>
      </c>
      <c r="K226" s="1648"/>
      <c r="L226" s="1648"/>
      <c r="M226" s="1648"/>
      <c r="N226" s="1642"/>
      <c r="O226" s="2876"/>
      <c r="P226" s="2870"/>
      <c r="Q226" s="2870"/>
      <c r="R226" s="2870"/>
      <c r="S226" s="2870"/>
      <c r="T226" s="2870"/>
      <c r="U226" s="2875">
        <v>0</v>
      </c>
      <c r="V226" s="2869"/>
      <c r="W226" s="2870"/>
      <c r="X226" s="2870"/>
      <c r="Y226" s="2870"/>
      <c r="Z226" s="2870"/>
      <c r="AA226" s="2877">
        <v>0</v>
      </c>
      <c r="AB226" s="2875">
        <v>0</v>
      </c>
      <c r="AC226" s="2869"/>
      <c r="AD226" s="2870"/>
      <c r="AE226" s="2870"/>
      <c r="AF226" s="2870"/>
      <c r="AG226" s="2870"/>
      <c r="AH226" s="2877">
        <v>0</v>
      </c>
      <c r="AI226" s="2875">
        <v>0</v>
      </c>
      <c r="AJ226" s="2869">
        <v>22.242587999999998</v>
      </c>
      <c r="AK226" s="2870"/>
      <c r="AL226" s="2870">
        <v>68062318</v>
      </c>
      <c r="AM226" s="2870"/>
      <c r="AN226" s="2870"/>
      <c r="AO226" s="2877">
        <v>3.0599999424527402</v>
      </c>
      <c r="AP226" s="2875">
        <v>68062318</v>
      </c>
      <c r="AQ226" s="2869"/>
      <c r="AR226" s="2870"/>
      <c r="AS226" s="2870"/>
      <c r="AT226" s="2870"/>
      <c r="AU226" s="2870"/>
      <c r="AV226" s="2877">
        <v>0</v>
      </c>
      <c r="AW226" s="2875">
        <v>0</v>
      </c>
      <c r="AX226" s="2869"/>
      <c r="AY226" s="2870"/>
      <c r="AZ226" s="2870"/>
      <c r="BA226" s="2870"/>
      <c r="BB226" s="2870"/>
      <c r="BC226" s="2877">
        <v>0</v>
      </c>
      <c r="BD226" s="2875">
        <v>0</v>
      </c>
      <c r="BE226" s="2869"/>
      <c r="BF226" s="2870"/>
      <c r="BG226" s="2870"/>
      <c r="BH226" s="2870"/>
      <c r="BI226" s="2870"/>
      <c r="BJ226" s="2877">
        <v>0</v>
      </c>
      <c r="BK226" s="2875">
        <v>0</v>
      </c>
      <c r="BL226" s="2869"/>
      <c r="BM226" s="2870"/>
      <c r="BN226" s="2870"/>
      <c r="BO226" s="2870"/>
      <c r="BP226" s="2870"/>
      <c r="BQ226" s="2877">
        <v>0</v>
      </c>
      <c r="BR226" s="2875">
        <v>0</v>
      </c>
      <c r="BS226" s="2869"/>
      <c r="BT226" s="2870"/>
      <c r="BU226" s="2870"/>
      <c r="BV226" s="2870"/>
      <c r="BW226" s="2870"/>
      <c r="BX226" s="2877">
        <v>0</v>
      </c>
      <c r="BY226" s="2875">
        <v>0</v>
      </c>
      <c r="BZ226" s="2869">
        <v>15.824875</v>
      </c>
      <c r="CA226" s="2870"/>
      <c r="CB226" s="2870">
        <v>48424117</v>
      </c>
      <c r="CC226" s="2870"/>
      <c r="CD226" s="2870"/>
      <c r="CE226" s="2877">
        <v>3.0599999684041737</v>
      </c>
      <c r="CF226" s="2875">
        <v>48424117</v>
      </c>
      <c r="CG226" s="2869">
        <v>21.570499999999999</v>
      </c>
      <c r="CH226" s="2870"/>
      <c r="CI226" s="2870">
        <v>66005730</v>
      </c>
      <c r="CJ226" s="2870"/>
      <c r="CK226" s="2870"/>
      <c r="CL226" s="2877">
        <v>3.06</v>
      </c>
      <c r="CM226" s="2875">
        <v>66005730</v>
      </c>
      <c r="CN226" s="2903">
        <v>2.5000350000000005</v>
      </c>
      <c r="CO226" s="2870"/>
      <c r="CP226" s="2870">
        <v>1120904</v>
      </c>
      <c r="CQ226" s="2870"/>
      <c r="CR226" s="2870"/>
      <c r="CS226" s="2877">
        <v>0.44835532302547754</v>
      </c>
      <c r="CT226" s="2875">
        <v>1120904</v>
      </c>
      <c r="CU226" s="2878">
        <v>62.137997999999996</v>
      </c>
      <c r="CV226" s="2870">
        <v>0</v>
      </c>
      <c r="CW226" s="2870">
        <v>183613069</v>
      </c>
      <c r="CX226" s="2870">
        <v>0</v>
      </c>
      <c r="CY226" s="2870">
        <v>0</v>
      </c>
      <c r="CZ226" s="2879">
        <v>2.9549241190551396</v>
      </c>
      <c r="DA226" s="2875">
        <v>183613069</v>
      </c>
      <c r="DB226" s="1613">
        <v>72.764872999999994</v>
      </c>
      <c r="DC226" s="2899">
        <v>10.626874999999998</v>
      </c>
      <c r="DE226" s="2782" t="b">
        <v>0</v>
      </c>
      <c r="DJ226" s="1611" t="e">
        <v>#N/A</v>
      </c>
      <c r="DK226" s="2782" t="e">
        <v>#N/A</v>
      </c>
      <c r="DM226" s="1650">
        <v>2.9549241190551396</v>
      </c>
    </row>
    <row r="227" spans="1:117" ht="21" customHeight="1">
      <c r="A227" s="1652">
        <v>37</v>
      </c>
      <c r="B227" s="1701" t="s">
        <v>1895</v>
      </c>
      <c r="C227" s="1662">
        <v>23</v>
      </c>
      <c r="D227" s="1646">
        <v>100</v>
      </c>
      <c r="E227" s="1646"/>
      <c r="F227" s="1648" t="s">
        <v>1594</v>
      </c>
      <c r="G227" s="1648"/>
      <c r="H227" s="1648">
        <v>23</v>
      </c>
      <c r="I227" s="1648" t="s">
        <v>1717</v>
      </c>
      <c r="J227" s="1649">
        <v>2</v>
      </c>
      <c r="K227" s="1648"/>
      <c r="L227" s="1648"/>
      <c r="M227" s="1648"/>
      <c r="N227" s="1642"/>
      <c r="O227" s="2876"/>
      <c r="P227" s="2870"/>
      <c r="Q227" s="2870"/>
      <c r="R227" s="2870"/>
      <c r="S227" s="2870"/>
      <c r="T227" s="2870"/>
      <c r="U227" s="2875">
        <v>0</v>
      </c>
      <c r="V227" s="2869"/>
      <c r="W227" s="2870"/>
      <c r="X227" s="2870"/>
      <c r="Y227" s="2870"/>
      <c r="Z227" s="2870"/>
      <c r="AA227" s="2877">
        <v>0</v>
      </c>
      <c r="AB227" s="2875">
        <v>0</v>
      </c>
      <c r="AC227" s="2869"/>
      <c r="AD227" s="2870"/>
      <c r="AE227" s="2870"/>
      <c r="AF227" s="2870"/>
      <c r="AG227" s="2870"/>
      <c r="AH227" s="2877">
        <v>0</v>
      </c>
      <c r="AI227" s="2875">
        <v>0</v>
      </c>
      <c r="AJ227" s="2869"/>
      <c r="AK227" s="2870"/>
      <c r="AL227" s="2870"/>
      <c r="AM227" s="2870"/>
      <c r="AN227" s="2870"/>
      <c r="AO227" s="2877">
        <v>0</v>
      </c>
      <c r="AP227" s="2875">
        <v>0</v>
      </c>
      <c r="AQ227" s="2869">
        <v>0.16450000000000001</v>
      </c>
      <c r="AR227" s="2870"/>
      <c r="AS227" s="2870">
        <v>494437</v>
      </c>
      <c r="AT227" s="2870"/>
      <c r="AU227" s="2870"/>
      <c r="AV227" s="2877">
        <v>3.0056960486322191</v>
      </c>
      <c r="AW227" s="2875">
        <v>494437</v>
      </c>
      <c r="AX227" s="2869"/>
      <c r="AY227" s="2870"/>
      <c r="AZ227" s="2870"/>
      <c r="BA227" s="2870"/>
      <c r="BB227" s="2870"/>
      <c r="BC227" s="2877">
        <v>0</v>
      </c>
      <c r="BD227" s="2875">
        <v>0</v>
      </c>
      <c r="BE227" s="2869"/>
      <c r="BF227" s="2870"/>
      <c r="BG227" s="2870"/>
      <c r="BH227" s="2870"/>
      <c r="BI227" s="2870"/>
      <c r="BJ227" s="2877">
        <v>0</v>
      </c>
      <c r="BK227" s="2875">
        <v>0</v>
      </c>
      <c r="BL227" s="2869">
        <v>4.0430580000000003</v>
      </c>
      <c r="BM227" s="2870"/>
      <c r="BN227" s="2870">
        <v>14022977</v>
      </c>
      <c r="BO227" s="2870"/>
      <c r="BP227" s="2870"/>
      <c r="BQ227" s="2877">
        <v>3.4684085659913855</v>
      </c>
      <c r="BR227" s="2875">
        <v>14022977</v>
      </c>
      <c r="BS227" s="2869"/>
      <c r="BT227" s="2870"/>
      <c r="BU227" s="2870"/>
      <c r="BV227" s="2870"/>
      <c r="BW227" s="2870"/>
      <c r="BX227" s="2877">
        <v>0</v>
      </c>
      <c r="BY227" s="2875">
        <v>0</v>
      </c>
      <c r="BZ227" s="2869">
        <v>8.2894880000000004</v>
      </c>
      <c r="CA227" s="2870"/>
      <c r="CB227" s="2870">
        <v>24915713</v>
      </c>
      <c r="CC227" s="2870"/>
      <c r="CD227" s="2870"/>
      <c r="CE227" s="2877">
        <v>3.0056998695214951</v>
      </c>
      <c r="CF227" s="2875">
        <v>24915713</v>
      </c>
      <c r="CG227" s="2869">
        <v>16.197138000000002</v>
      </c>
      <c r="CH227" s="2870"/>
      <c r="CI227" s="2870">
        <v>48683738</v>
      </c>
      <c r="CJ227" s="2870"/>
      <c r="CK227" s="2870"/>
      <c r="CL227" s="2877">
        <v>3.005700019349097</v>
      </c>
      <c r="CM227" s="2875">
        <v>48683738</v>
      </c>
      <c r="CN227" s="2903">
        <v>1.5661769999999962</v>
      </c>
      <c r="CO227" s="2870"/>
      <c r="CP227" s="2870"/>
      <c r="CQ227" s="2870"/>
      <c r="CR227" s="2870"/>
      <c r="CS227" s="2877">
        <v>0</v>
      </c>
      <c r="CT227" s="2875">
        <v>0</v>
      </c>
      <c r="CU227" s="2878">
        <v>30.260361</v>
      </c>
      <c r="CV227" s="2870">
        <v>0</v>
      </c>
      <c r="CW227" s="2870">
        <v>88116865</v>
      </c>
      <c r="CX227" s="2870">
        <v>0</v>
      </c>
      <c r="CY227" s="2870">
        <v>0</v>
      </c>
      <c r="CZ227" s="2879">
        <v>2.9119568335618995</v>
      </c>
      <c r="DA227" s="2875">
        <v>88116865</v>
      </c>
      <c r="DB227" s="1613">
        <v>30.260361</v>
      </c>
      <c r="DC227" s="2899">
        <v>0</v>
      </c>
      <c r="DE227" s="2782" t="b">
        <v>1</v>
      </c>
      <c r="DJ227" s="1611" t="e">
        <v>#N/A</v>
      </c>
      <c r="DK227" s="2782" t="e">
        <v>#N/A</v>
      </c>
      <c r="DM227" s="1650">
        <v>2.9119568335618995</v>
      </c>
    </row>
    <row r="228" spans="1:117" ht="21" customHeight="1">
      <c r="A228" s="1652">
        <v>38</v>
      </c>
      <c r="B228" s="1701" t="s">
        <v>1896</v>
      </c>
      <c r="C228" s="1662">
        <v>0</v>
      </c>
      <c r="D228" s="1646" t="e">
        <v>#DIV/0!</v>
      </c>
      <c r="E228" s="1646"/>
      <c r="F228" s="1648" t="s">
        <v>1594</v>
      </c>
      <c r="G228" s="1648"/>
      <c r="H228" s="1648">
        <v>0</v>
      </c>
      <c r="I228" s="1648" t="s">
        <v>1717</v>
      </c>
      <c r="J228" s="1649">
        <v>2</v>
      </c>
      <c r="K228" s="1648"/>
      <c r="L228" s="1648"/>
      <c r="M228" s="1648"/>
      <c r="N228" s="1642"/>
      <c r="O228" s="2876"/>
      <c r="P228" s="2870"/>
      <c r="Q228" s="2870"/>
      <c r="R228" s="2870"/>
      <c r="S228" s="2870"/>
      <c r="T228" s="2870"/>
      <c r="U228" s="2875">
        <v>0</v>
      </c>
      <c r="V228" s="2869"/>
      <c r="W228" s="2870"/>
      <c r="X228" s="2870"/>
      <c r="Y228" s="2870"/>
      <c r="Z228" s="2870"/>
      <c r="AA228" s="2877">
        <v>0</v>
      </c>
      <c r="AB228" s="2875">
        <v>0</v>
      </c>
      <c r="AC228" s="2869"/>
      <c r="AD228" s="2870"/>
      <c r="AE228" s="2870"/>
      <c r="AF228" s="2870"/>
      <c r="AG228" s="2870"/>
      <c r="AH228" s="2877">
        <v>0</v>
      </c>
      <c r="AI228" s="2875">
        <v>0</v>
      </c>
      <c r="AJ228" s="2869"/>
      <c r="AK228" s="2870"/>
      <c r="AL228" s="2870"/>
      <c r="AM228" s="2870"/>
      <c r="AN228" s="2870"/>
      <c r="AO228" s="2877">
        <v>0</v>
      </c>
      <c r="AP228" s="2875">
        <v>0</v>
      </c>
      <c r="AQ228" s="2869"/>
      <c r="AR228" s="2870"/>
      <c r="AS228" s="2870"/>
      <c r="AT228" s="2870"/>
      <c r="AU228" s="2870"/>
      <c r="AV228" s="2877">
        <v>0</v>
      </c>
      <c r="AW228" s="2875">
        <v>0</v>
      </c>
      <c r="AX228" s="2869"/>
      <c r="AY228" s="2870"/>
      <c r="AZ228" s="2870"/>
      <c r="BA228" s="2870"/>
      <c r="BB228" s="2870"/>
      <c r="BC228" s="2877">
        <v>0</v>
      </c>
      <c r="BD228" s="2875">
        <v>0</v>
      </c>
      <c r="BE228" s="2869"/>
      <c r="BF228" s="2870"/>
      <c r="BG228" s="2870"/>
      <c r="BH228" s="2870"/>
      <c r="BI228" s="2870"/>
      <c r="BJ228" s="2877">
        <v>0</v>
      </c>
      <c r="BK228" s="2875">
        <v>0</v>
      </c>
      <c r="BL228" s="2869"/>
      <c r="BM228" s="2870"/>
      <c r="BN228" s="2870"/>
      <c r="BO228" s="2870"/>
      <c r="BP228" s="2870"/>
      <c r="BQ228" s="2877">
        <v>0</v>
      </c>
      <c r="BR228" s="2875">
        <v>0</v>
      </c>
      <c r="BS228" s="2869"/>
      <c r="BT228" s="2870"/>
      <c r="BU228" s="2870"/>
      <c r="BV228" s="2870"/>
      <c r="BW228" s="2870"/>
      <c r="BX228" s="2877">
        <v>0</v>
      </c>
      <c r="BY228" s="2875">
        <v>0</v>
      </c>
      <c r="BZ228" s="2869"/>
      <c r="CA228" s="2870"/>
      <c r="CB228" s="2870"/>
      <c r="CC228" s="2870"/>
      <c r="CD228" s="2870"/>
      <c r="CE228" s="2877">
        <v>0</v>
      </c>
      <c r="CF228" s="2875">
        <v>0</v>
      </c>
      <c r="CG228" s="2869"/>
      <c r="CH228" s="2870"/>
      <c r="CI228" s="2870"/>
      <c r="CJ228" s="2870"/>
      <c r="CK228" s="2870"/>
      <c r="CL228" s="2877">
        <v>0</v>
      </c>
      <c r="CM228" s="2875">
        <v>0</v>
      </c>
      <c r="CN228" s="2903">
        <v>0</v>
      </c>
      <c r="CO228" s="2870"/>
      <c r="CP228" s="2870">
        <v>0</v>
      </c>
      <c r="CQ228" s="2870">
        <v>52776637</v>
      </c>
      <c r="CR228" s="2870"/>
      <c r="CS228" s="2877">
        <v>0</v>
      </c>
      <c r="CT228" s="2875">
        <v>52776637</v>
      </c>
      <c r="CU228" s="2878">
        <v>0</v>
      </c>
      <c r="CV228" s="2870">
        <v>0</v>
      </c>
      <c r="CW228" s="2870">
        <v>0</v>
      </c>
      <c r="CX228" s="2870">
        <v>52776637</v>
      </c>
      <c r="CY228" s="2870">
        <v>0</v>
      </c>
      <c r="CZ228" s="2879">
        <v>0</v>
      </c>
      <c r="DA228" s="2875">
        <v>52776637</v>
      </c>
      <c r="DB228" s="1613">
        <v>0</v>
      </c>
      <c r="DC228" s="2899">
        <v>0</v>
      </c>
      <c r="DD228" s="1613">
        <v>0</v>
      </c>
      <c r="DE228" s="2782" t="b">
        <v>1</v>
      </c>
      <c r="DJ228" s="1611" t="e">
        <v>#N/A</v>
      </c>
      <c r="DK228" s="2782" t="e">
        <v>#N/A</v>
      </c>
      <c r="DM228" s="1650">
        <v>0</v>
      </c>
    </row>
    <row r="229" spans="1:117" ht="21" customHeight="1">
      <c r="A229" s="1652">
        <v>39</v>
      </c>
      <c r="B229" s="1701" t="s">
        <v>1897</v>
      </c>
      <c r="C229" s="1662">
        <v>8</v>
      </c>
      <c r="D229" s="1646">
        <v>100</v>
      </c>
      <c r="E229" s="1646"/>
      <c r="F229" s="1648" t="s">
        <v>1594</v>
      </c>
      <c r="G229" s="1648"/>
      <c r="H229" s="1648">
        <v>8</v>
      </c>
      <c r="I229" s="1648" t="s">
        <v>1717</v>
      </c>
      <c r="J229" s="1649">
        <v>2</v>
      </c>
      <c r="K229" s="1648"/>
      <c r="L229" s="1648"/>
      <c r="M229" s="1648"/>
      <c r="N229" s="1642"/>
      <c r="O229" s="2876"/>
      <c r="P229" s="2870"/>
      <c r="Q229" s="2870"/>
      <c r="R229" s="2870"/>
      <c r="S229" s="2870"/>
      <c r="T229" s="2870"/>
      <c r="U229" s="2875">
        <v>0</v>
      </c>
      <c r="V229" s="2869"/>
      <c r="W229" s="2870"/>
      <c r="X229" s="2870"/>
      <c r="Y229" s="2870"/>
      <c r="Z229" s="2870"/>
      <c r="AA229" s="2877">
        <v>0</v>
      </c>
      <c r="AB229" s="2875">
        <v>0</v>
      </c>
      <c r="AC229" s="2869"/>
      <c r="AD229" s="2870"/>
      <c r="AE229" s="2870"/>
      <c r="AF229" s="2870"/>
      <c r="AG229" s="2870"/>
      <c r="AH229" s="2877">
        <v>0</v>
      </c>
      <c r="AI229" s="2875">
        <v>0</v>
      </c>
      <c r="AJ229" s="2869">
        <v>3.4485410000000001</v>
      </c>
      <c r="AK229" s="2870"/>
      <c r="AL229" s="2870">
        <v>23691475</v>
      </c>
      <c r="AM229" s="2870"/>
      <c r="AN229" s="2870"/>
      <c r="AO229" s="2877">
        <v>6.8699995157372351</v>
      </c>
      <c r="AP229" s="2875">
        <v>23691475</v>
      </c>
      <c r="AQ229" s="2869">
        <v>8.0129000000000006E-2</v>
      </c>
      <c r="AR229" s="2870"/>
      <c r="AS229" s="2870">
        <v>550486</v>
      </c>
      <c r="AT229" s="2870"/>
      <c r="AU229" s="2870"/>
      <c r="AV229" s="2877">
        <v>6.8699971296284739</v>
      </c>
      <c r="AW229" s="2875">
        <v>550486</v>
      </c>
      <c r="AX229" s="2869">
        <v>4.8802499999999999E-2</v>
      </c>
      <c r="AY229" s="2870"/>
      <c r="AZ229" s="2870">
        <v>810073.99</v>
      </c>
      <c r="BA229" s="2870"/>
      <c r="BB229" s="2870"/>
      <c r="BC229" s="2877">
        <v>16.59902648429896</v>
      </c>
      <c r="BD229" s="2875">
        <v>810073.99</v>
      </c>
      <c r="BE229" s="2869"/>
      <c r="BF229" s="2870"/>
      <c r="BG229" s="2870"/>
      <c r="BH229" s="2870"/>
      <c r="BI229" s="2870"/>
      <c r="BJ229" s="2877">
        <v>0</v>
      </c>
      <c r="BK229" s="2875">
        <v>0</v>
      </c>
      <c r="BL229" s="2869"/>
      <c r="BM229" s="2870"/>
      <c r="BN229" s="2870"/>
      <c r="BO229" s="2870"/>
      <c r="BP229" s="2870"/>
      <c r="BQ229" s="2877">
        <v>0</v>
      </c>
      <c r="BR229" s="2875">
        <v>0</v>
      </c>
      <c r="BS229" s="2869"/>
      <c r="BT229" s="2870"/>
      <c r="BU229" s="2870"/>
      <c r="BV229" s="2870"/>
      <c r="BW229" s="2870"/>
      <c r="BX229" s="2877">
        <v>0</v>
      </c>
      <c r="BY229" s="2875">
        <v>0</v>
      </c>
      <c r="BZ229" s="2869"/>
      <c r="CA229" s="2870"/>
      <c r="CB229" s="2870"/>
      <c r="CC229" s="2870"/>
      <c r="CD229" s="2870"/>
      <c r="CE229" s="2877">
        <v>0</v>
      </c>
      <c r="CF229" s="2875">
        <v>0</v>
      </c>
      <c r="CG229" s="2869">
        <v>2.9E-4</v>
      </c>
      <c r="CH229" s="2870"/>
      <c r="CI229" s="2870">
        <v>1998.41</v>
      </c>
      <c r="CJ229" s="2870"/>
      <c r="CK229" s="2870"/>
      <c r="CL229" s="2877">
        <v>6.8910689655172419</v>
      </c>
      <c r="CM229" s="2875">
        <v>1998.41</v>
      </c>
      <c r="CN229" s="2904">
        <v>1.38106119</v>
      </c>
      <c r="CO229" s="2870"/>
      <c r="CP229" s="2870">
        <v>3313880.1600000015</v>
      </c>
      <c r="CQ229" s="2870"/>
      <c r="CR229" s="2870"/>
      <c r="CS229" s="2877">
        <v>2.3995172581744924</v>
      </c>
      <c r="CT229" s="2875">
        <v>3313880.1600000015</v>
      </c>
      <c r="CU229" s="2878">
        <v>4.95882369</v>
      </c>
      <c r="CV229" s="2870">
        <v>0</v>
      </c>
      <c r="CW229" s="2870">
        <v>28367913.559999999</v>
      </c>
      <c r="CX229" s="2870">
        <v>0</v>
      </c>
      <c r="CY229" s="2870">
        <v>0</v>
      </c>
      <c r="CZ229" s="2879">
        <v>5.7206941269573539</v>
      </c>
      <c r="DA229" s="2875">
        <v>28367913.559999999</v>
      </c>
      <c r="DB229" s="1613">
        <v>4.95882369</v>
      </c>
      <c r="DC229" s="2899">
        <v>0</v>
      </c>
      <c r="DE229" s="2782" t="b">
        <v>1</v>
      </c>
      <c r="DJ229" s="1611" t="e">
        <v>#N/A</v>
      </c>
      <c r="DK229" s="2782" t="e">
        <v>#N/A</v>
      </c>
      <c r="DM229" s="1650">
        <v>5.7206941269573539</v>
      </c>
    </row>
    <row r="230" spans="1:117" ht="21" customHeight="1">
      <c r="A230" s="1652">
        <v>40</v>
      </c>
      <c r="B230" s="1701" t="s">
        <v>1898</v>
      </c>
      <c r="C230" s="1662">
        <v>38.56</v>
      </c>
      <c r="D230" s="1646">
        <v>100</v>
      </c>
      <c r="E230" s="1646"/>
      <c r="F230" s="1648" t="s">
        <v>1594</v>
      </c>
      <c r="G230" s="1648"/>
      <c r="H230" s="1648">
        <v>38.56</v>
      </c>
      <c r="I230" s="1648" t="s">
        <v>1717</v>
      </c>
      <c r="J230" s="1649">
        <v>2</v>
      </c>
      <c r="K230" s="1648"/>
      <c r="L230" s="1648"/>
      <c r="M230" s="1648"/>
      <c r="N230" s="1642"/>
      <c r="O230" s="2876"/>
      <c r="P230" s="2870"/>
      <c r="Q230" s="2870"/>
      <c r="R230" s="2870"/>
      <c r="S230" s="2870"/>
      <c r="T230" s="2870"/>
      <c r="U230" s="2875">
        <v>0</v>
      </c>
      <c r="V230" s="2869"/>
      <c r="W230" s="2870"/>
      <c r="X230" s="2870"/>
      <c r="Y230" s="2870"/>
      <c r="Z230" s="2870"/>
      <c r="AA230" s="2877">
        <v>0</v>
      </c>
      <c r="AB230" s="2875">
        <v>0</v>
      </c>
      <c r="AC230" s="2869"/>
      <c r="AD230" s="2870"/>
      <c r="AE230" s="2870"/>
      <c r="AF230" s="2870"/>
      <c r="AG230" s="2870"/>
      <c r="AH230" s="2877">
        <v>0</v>
      </c>
      <c r="AI230" s="2875">
        <v>0</v>
      </c>
      <c r="AJ230" s="2869">
        <v>8.7269909999999999</v>
      </c>
      <c r="AK230" s="2870"/>
      <c r="AL230" s="2870">
        <v>26530052</v>
      </c>
      <c r="AM230" s="2870"/>
      <c r="AN230" s="2870"/>
      <c r="AO230" s="2877">
        <v>3.0399999266642994</v>
      </c>
      <c r="AP230" s="2875">
        <v>26530052</v>
      </c>
      <c r="AQ230" s="2869"/>
      <c r="AR230" s="2870"/>
      <c r="AS230" s="2870"/>
      <c r="AT230" s="2870"/>
      <c r="AU230" s="2870"/>
      <c r="AV230" s="2877">
        <v>0</v>
      </c>
      <c r="AW230" s="2875">
        <v>0</v>
      </c>
      <c r="AX230" s="2869"/>
      <c r="AY230" s="2870"/>
      <c r="AZ230" s="2870"/>
      <c r="BA230" s="2870"/>
      <c r="BB230" s="2870"/>
      <c r="BC230" s="2877">
        <v>0</v>
      </c>
      <c r="BD230" s="2875">
        <v>0</v>
      </c>
      <c r="BE230" s="2869"/>
      <c r="BF230" s="2870"/>
      <c r="BG230" s="2870"/>
      <c r="BH230" s="2870"/>
      <c r="BI230" s="2870"/>
      <c r="BJ230" s="2877">
        <v>0</v>
      </c>
      <c r="BK230" s="2875">
        <v>0</v>
      </c>
      <c r="BL230" s="2869"/>
      <c r="BM230" s="2870"/>
      <c r="BN230" s="2870"/>
      <c r="BO230" s="2870"/>
      <c r="BP230" s="2870"/>
      <c r="BQ230" s="2877">
        <v>0</v>
      </c>
      <c r="BR230" s="2875">
        <v>0</v>
      </c>
      <c r="BS230" s="2869"/>
      <c r="BT230" s="2870"/>
      <c r="BU230" s="2870"/>
      <c r="BV230" s="2870"/>
      <c r="BW230" s="2870"/>
      <c r="BX230" s="2877">
        <v>0</v>
      </c>
      <c r="BY230" s="2875">
        <v>0</v>
      </c>
      <c r="BZ230" s="2869">
        <v>23.382950000000001</v>
      </c>
      <c r="CA230" s="2870"/>
      <c r="CB230" s="2870">
        <v>71084166</v>
      </c>
      <c r="CC230" s="2870"/>
      <c r="CD230" s="2870"/>
      <c r="CE230" s="2877">
        <v>3.0399999144675927</v>
      </c>
      <c r="CF230" s="2875">
        <v>71084166</v>
      </c>
      <c r="CG230" s="2869">
        <v>10.245175</v>
      </c>
      <c r="CH230" s="2870"/>
      <c r="CI230" s="2870">
        <v>31145332</v>
      </c>
      <c r="CJ230" s="2870"/>
      <c r="CK230" s="2870"/>
      <c r="CL230" s="2877">
        <v>3.04</v>
      </c>
      <c r="CM230" s="2875">
        <v>31145332</v>
      </c>
      <c r="CN230" s="2872">
        <v>10.897214660000005</v>
      </c>
      <c r="CO230" s="2870"/>
      <c r="CP230" s="2870">
        <v>32243351</v>
      </c>
      <c r="CQ230" s="2870"/>
      <c r="CR230" s="2870"/>
      <c r="CS230" s="2877">
        <v>2.9588616913599446</v>
      </c>
      <c r="CT230" s="2875">
        <v>32243351</v>
      </c>
      <c r="CU230" s="2878">
        <v>53.252330659999998</v>
      </c>
      <c r="CV230" s="2870">
        <v>0</v>
      </c>
      <c r="CW230" s="2870">
        <v>161002901</v>
      </c>
      <c r="CX230" s="2870">
        <v>0</v>
      </c>
      <c r="CY230" s="2870">
        <v>0</v>
      </c>
      <c r="CZ230" s="2879">
        <v>3.0233963284716072</v>
      </c>
      <c r="DA230" s="2875">
        <v>161002901</v>
      </c>
      <c r="DB230" s="1613">
        <v>53.252330659999998</v>
      </c>
      <c r="DC230" s="2899">
        <v>0</v>
      </c>
      <c r="DE230" s="2782" t="b">
        <v>1</v>
      </c>
      <c r="DJ230" s="1611" t="e">
        <v>#N/A</v>
      </c>
      <c r="DK230" s="2782" t="e">
        <v>#N/A</v>
      </c>
      <c r="DM230" s="1650">
        <v>3.0233963284716072</v>
      </c>
    </row>
    <row r="231" spans="1:117" ht="21" customHeight="1">
      <c r="A231" s="1652">
        <v>41</v>
      </c>
      <c r="B231" s="1701" t="s">
        <v>1899</v>
      </c>
      <c r="C231" s="1662">
        <v>32</v>
      </c>
      <c r="D231" s="1646">
        <v>100</v>
      </c>
      <c r="E231" s="1646"/>
      <c r="F231" s="1648" t="s">
        <v>1594</v>
      </c>
      <c r="G231" s="1648"/>
      <c r="H231" s="1648">
        <v>32</v>
      </c>
      <c r="I231" s="1648" t="s">
        <v>1717</v>
      </c>
      <c r="J231" s="1649">
        <v>2</v>
      </c>
      <c r="K231" s="1648"/>
      <c r="L231" s="1648"/>
      <c r="M231" s="1648"/>
      <c r="N231" s="1642"/>
      <c r="O231" s="2876"/>
      <c r="P231" s="2870"/>
      <c r="Q231" s="2870"/>
      <c r="R231" s="2870"/>
      <c r="S231" s="2870"/>
      <c r="T231" s="2870"/>
      <c r="U231" s="2875">
        <v>0</v>
      </c>
      <c r="V231" s="2869"/>
      <c r="W231" s="2870"/>
      <c r="X231" s="2870"/>
      <c r="Y231" s="2870"/>
      <c r="Z231" s="2870"/>
      <c r="AA231" s="2877">
        <v>0</v>
      </c>
      <c r="AB231" s="2875">
        <v>0</v>
      </c>
      <c r="AC231" s="2869"/>
      <c r="AD231" s="2870"/>
      <c r="AE231" s="2870"/>
      <c r="AF231" s="2870"/>
      <c r="AG231" s="2870"/>
      <c r="AH231" s="2877">
        <v>0</v>
      </c>
      <c r="AI231" s="2875">
        <v>0</v>
      </c>
      <c r="AJ231" s="2869"/>
      <c r="AK231" s="2870"/>
      <c r="AL231" s="2870"/>
      <c r="AM231" s="2870"/>
      <c r="AN231" s="2870"/>
      <c r="AO231" s="2877">
        <v>0</v>
      </c>
      <c r="AP231" s="2875">
        <v>0</v>
      </c>
      <c r="AQ231" s="2869"/>
      <c r="AR231" s="2870"/>
      <c r="AS231" s="2870"/>
      <c r="AT231" s="2870"/>
      <c r="AU231" s="2870"/>
      <c r="AV231" s="2877">
        <v>0</v>
      </c>
      <c r="AW231" s="2875">
        <v>0</v>
      </c>
      <c r="AX231" s="2869"/>
      <c r="AY231" s="2870"/>
      <c r="AZ231" s="2870"/>
      <c r="BA231" s="2870"/>
      <c r="BB231" s="2870"/>
      <c r="BC231" s="2877">
        <v>0</v>
      </c>
      <c r="BD231" s="2875">
        <v>0</v>
      </c>
      <c r="BE231" s="2869">
        <v>27.143692999999999</v>
      </c>
      <c r="BF231" s="2870"/>
      <c r="BG231" s="2870">
        <v>178362151</v>
      </c>
      <c r="BH231" s="2870"/>
      <c r="BI231" s="2870"/>
      <c r="BJ231" s="2877">
        <v>6.5710347888181611</v>
      </c>
      <c r="BK231" s="2875">
        <v>178362151</v>
      </c>
      <c r="BL231" s="2869"/>
      <c r="BM231" s="2870"/>
      <c r="BN231" s="2870"/>
      <c r="BO231" s="2870"/>
      <c r="BP231" s="2870"/>
      <c r="BQ231" s="2877">
        <v>0</v>
      </c>
      <c r="BR231" s="2875">
        <v>0</v>
      </c>
      <c r="BS231" s="2869"/>
      <c r="BT231" s="2870"/>
      <c r="BU231" s="2870"/>
      <c r="BV231" s="2870"/>
      <c r="BW231" s="2870"/>
      <c r="BX231" s="2877">
        <v>0</v>
      </c>
      <c r="BY231" s="2875">
        <v>0</v>
      </c>
      <c r="BZ231" s="2869">
        <v>48.882250000000006</v>
      </c>
      <c r="CA231" s="2870"/>
      <c r="CB231" s="2870">
        <v>184774905</v>
      </c>
      <c r="CC231" s="2870"/>
      <c r="CD231" s="2870"/>
      <c r="CE231" s="2877">
        <v>3.7799999999999994</v>
      </c>
      <c r="CF231" s="2875">
        <v>184774905</v>
      </c>
      <c r="CG231" s="2869"/>
      <c r="CH231" s="2870"/>
      <c r="CI231" s="2870"/>
      <c r="CJ231" s="2870"/>
      <c r="CK231" s="2870"/>
      <c r="CL231" s="2877">
        <v>0</v>
      </c>
      <c r="CM231" s="2875">
        <v>0</v>
      </c>
      <c r="CN231" s="2902">
        <v>30.608222999999981</v>
      </c>
      <c r="CO231" s="2870"/>
      <c r="CP231" s="2870">
        <v>37903601</v>
      </c>
      <c r="CQ231" s="2870"/>
      <c r="CR231" s="2870"/>
      <c r="CS231" s="2877">
        <v>1.2383469958383413</v>
      </c>
      <c r="CT231" s="2875">
        <v>37903601</v>
      </c>
      <c r="CU231" s="2878">
        <v>106.63416599999999</v>
      </c>
      <c r="CV231" s="2870">
        <v>0</v>
      </c>
      <c r="CW231" s="2870">
        <v>401040657</v>
      </c>
      <c r="CX231" s="2870">
        <v>0</v>
      </c>
      <c r="CY231" s="2870">
        <v>0</v>
      </c>
      <c r="CZ231" s="2879">
        <v>3.760902082733971</v>
      </c>
      <c r="DA231" s="2875">
        <v>401040657</v>
      </c>
      <c r="DB231" s="1613">
        <v>106.63416599999999</v>
      </c>
      <c r="DC231" s="2899">
        <v>0</v>
      </c>
      <c r="DE231" s="2782" t="b">
        <v>1</v>
      </c>
      <c r="DJ231" s="1611" t="e">
        <v>#N/A</v>
      </c>
      <c r="DK231" s="2782" t="e">
        <v>#N/A</v>
      </c>
      <c r="DM231" s="1650">
        <v>3.760902082733971</v>
      </c>
    </row>
    <row r="232" spans="1:117" ht="21" customHeight="1">
      <c r="A232" s="1652">
        <v>42</v>
      </c>
      <c r="B232" s="1701" t="s">
        <v>1900</v>
      </c>
      <c r="C232" s="1662">
        <v>24</v>
      </c>
      <c r="D232" s="1646">
        <v>100</v>
      </c>
      <c r="E232" s="1646"/>
      <c r="F232" s="1648" t="s">
        <v>1594</v>
      </c>
      <c r="G232" s="1648"/>
      <c r="H232" s="1648">
        <v>24</v>
      </c>
      <c r="I232" s="1648" t="s">
        <v>1717</v>
      </c>
      <c r="J232" s="1649">
        <v>2</v>
      </c>
      <c r="K232" s="1648"/>
      <c r="L232" s="1648"/>
      <c r="M232" s="1648"/>
      <c r="N232" s="1642"/>
      <c r="O232" s="2876"/>
      <c r="P232" s="2870"/>
      <c r="Q232" s="2870"/>
      <c r="R232" s="2870"/>
      <c r="S232" s="2870"/>
      <c r="T232" s="2870"/>
      <c r="U232" s="2875">
        <v>0</v>
      </c>
      <c r="V232" s="2869"/>
      <c r="W232" s="2870"/>
      <c r="X232" s="2870"/>
      <c r="Y232" s="2870"/>
      <c r="Z232" s="2870"/>
      <c r="AA232" s="2877">
        <v>0</v>
      </c>
      <c r="AB232" s="2875">
        <v>0</v>
      </c>
      <c r="AC232" s="2869"/>
      <c r="AD232" s="2870"/>
      <c r="AE232" s="2870"/>
      <c r="AF232" s="2870"/>
      <c r="AG232" s="2870"/>
      <c r="AH232" s="2877">
        <v>0</v>
      </c>
      <c r="AI232" s="2875">
        <v>0</v>
      </c>
      <c r="AJ232" s="2869"/>
      <c r="AK232" s="2870"/>
      <c r="AL232" s="2870"/>
      <c r="AM232" s="2870"/>
      <c r="AN232" s="2870"/>
      <c r="AO232" s="2877">
        <v>0</v>
      </c>
      <c r="AP232" s="2875">
        <v>0</v>
      </c>
      <c r="AQ232" s="2869"/>
      <c r="AR232" s="2870"/>
      <c r="AS232" s="2870"/>
      <c r="AT232" s="2870"/>
      <c r="AU232" s="2870"/>
      <c r="AV232" s="2877">
        <v>0</v>
      </c>
      <c r="AW232" s="2875">
        <v>0</v>
      </c>
      <c r="AX232" s="2872">
        <v>3.6271200000000001</v>
      </c>
      <c r="AY232" s="2870"/>
      <c r="AZ232" s="2870">
        <v>14791790</v>
      </c>
      <c r="BA232" s="2870"/>
      <c r="BB232" s="2870"/>
      <c r="BC232" s="2877">
        <v>4.0781088025761489</v>
      </c>
      <c r="BD232" s="2875">
        <v>14791790</v>
      </c>
      <c r="BE232" s="2869">
        <v>3.0126740000000001</v>
      </c>
      <c r="BF232" s="2870"/>
      <c r="BG232" s="2870">
        <v>12321837</v>
      </c>
      <c r="BH232" s="2870"/>
      <c r="BI232" s="2870"/>
      <c r="BJ232" s="2877">
        <v>4.0900001128565524</v>
      </c>
      <c r="BK232" s="2875">
        <v>12321837</v>
      </c>
      <c r="BL232" s="2869"/>
      <c r="BM232" s="2870"/>
      <c r="BN232" s="2870"/>
      <c r="BO232" s="2870"/>
      <c r="BP232" s="2870"/>
      <c r="BQ232" s="2877">
        <v>0</v>
      </c>
      <c r="BR232" s="2875">
        <v>0</v>
      </c>
      <c r="BS232" s="2869"/>
      <c r="BT232" s="2870"/>
      <c r="BU232" s="2870"/>
      <c r="BV232" s="2870"/>
      <c r="BW232" s="2870"/>
      <c r="BX232" s="2877">
        <v>0</v>
      </c>
      <c r="BY232" s="2875">
        <v>0</v>
      </c>
      <c r="BZ232" s="2869"/>
      <c r="CA232" s="2870"/>
      <c r="CB232" s="2870"/>
      <c r="CC232" s="2870"/>
      <c r="CD232" s="2870"/>
      <c r="CE232" s="2877">
        <v>0</v>
      </c>
      <c r="CF232" s="2875">
        <v>0</v>
      </c>
      <c r="CG232" s="2869"/>
      <c r="CH232" s="2870"/>
      <c r="CI232" s="2870"/>
      <c r="CJ232" s="2870"/>
      <c r="CK232" s="2870"/>
      <c r="CL232" s="2877">
        <v>0</v>
      </c>
      <c r="CM232" s="2875">
        <v>0</v>
      </c>
      <c r="CN232" s="2872">
        <v>9.0367320000000007</v>
      </c>
      <c r="CO232" s="2870"/>
      <c r="CP232" s="2870">
        <v>36722638</v>
      </c>
      <c r="CQ232" s="2870"/>
      <c r="CR232" s="2870"/>
      <c r="CS232" s="2877">
        <v>4.0637077651522695</v>
      </c>
      <c r="CT232" s="2875">
        <v>36722638</v>
      </c>
      <c r="CU232" s="2878">
        <v>15.676526000000001</v>
      </c>
      <c r="CV232" s="2870">
        <v>0</v>
      </c>
      <c r="CW232" s="2870">
        <v>63836265</v>
      </c>
      <c r="CX232" s="2870">
        <v>0</v>
      </c>
      <c r="CY232" s="2870">
        <v>0</v>
      </c>
      <c r="CZ232" s="2879">
        <v>4.0720925669373429</v>
      </c>
      <c r="DA232" s="2875">
        <v>63836265</v>
      </c>
      <c r="DB232" s="1613">
        <v>15.138926</v>
      </c>
      <c r="DC232" s="2899">
        <v>-0.53760000000000119</v>
      </c>
      <c r="DE232" s="2782" t="b">
        <v>0</v>
      </c>
      <c r="DJ232" s="1611" t="e">
        <v>#N/A</v>
      </c>
      <c r="DK232" s="2782" t="e">
        <v>#N/A</v>
      </c>
      <c r="DM232" s="1650">
        <v>4.0720925669373429</v>
      </c>
    </row>
    <row r="233" spans="1:117" ht="21" customHeight="1">
      <c r="A233" s="1652">
        <v>43</v>
      </c>
      <c r="B233" s="1701" t="s">
        <v>1901</v>
      </c>
      <c r="C233" s="1662">
        <v>23</v>
      </c>
      <c r="D233" s="1646">
        <v>100</v>
      </c>
      <c r="E233" s="1646"/>
      <c r="F233" s="1648" t="s">
        <v>1594</v>
      </c>
      <c r="G233" s="1648"/>
      <c r="H233" s="1648">
        <v>23</v>
      </c>
      <c r="I233" s="1648" t="s">
        <v>1717</v>
      </c>
      <c r="J233" s="1649">
        <v>2</v>
      </c>
      <c r="K233" s="1648"/>
      <c r="L233" s="1648"/>
      <c r="M233" s="1648"/>
      <c r="N233" s="1642"/>
      <c r="O233" s="2876"/>
      <c r="P233" s="2870"/>
      <c r="Q233" s="2870"/>
      <c r="R233" s="2870"/>
      <c r="S233" s="2870"/>
      <c r="T233" s="2870"/>
      <c r="U233" s="2875">
        <v>0</v>
      </c>
      <c r="V233" s="2869"/>
      <c r="W233" s="2870"/>
      <c r="X233" s="2870"/>
      <c r="Y233" s="2870"/>
      <c r="Z233" s="2870"/>
      <c r="AA233" s="2877">
        <v>0</v>
      </c>
      <c r="AB233" s="2875">
        <v>0</v>
      </c>
      <c r="AC233" s="2869"/>
      <c r="AD233" s="2870"/>
      <c r="AE233" s="2870"/>
      <c r="AF233" s="2870"/>
      <c r="AG233" s="2870"/>
      <c r="AH233" s="2877">
        <v>0</v>
      </c>
      <c r="AI233" s="2875">
        <v>0</v>
      </c>
      <c r="AJ233" s="2869">
        <v>19.493878000000002</v>
      </c>
      <c r="AK233" s="2870"/>
      <c r="AL233" s="2870">
        <v>66871799</v>
      </c>
      <c r="AM233" s="2870"/>
      <c r="AN233" s="2870"/>
      <c r="AO233" s="2877">
        <v>3.4303999953216073</v>
      </c>
      <c r="AP233" s="2875">
        <v>66871799</v>
      </c>
      <c r="AQ233" s="2869"/>
      <c r="AR233" s="2870"/>
      <c r="AS233" s="2870"/>
      <c r="AT233" s="2870"/>
      <c r="AU233" s="2870"/>
      <c r="AV233" s="2877">
        <v>0</v>
      </c>
      <c r="AW233" s="2875">
        <v>0</v>
      </c>
      <c r="AX233" s="2869"/>
      <c r="AY233" s="2870"/>
      <c r="AZ233" s="2870"/>
      <c r="BA233" s="2870"/>
      <c r="BB233" s="2870"/>
      <c r="BC233" s="2877">
        <v>0</v>
      </c>
      <c r="BD233" s="2875">
        <v>0</v>
      </c>
      <c r="BE233" s="2869"/>
      <c r="BF233" s="2870"/>
      <c r="BG233" s="2870"/>
      <c r="BH233" s="2870"/>
      <c r="BI233" s="2870"/>
      <c r="BJ233" s="2877">
        <v>0</v>
      </c>
      <c r="BK233" s="2875">
        <v>0</v>
      </c>
      <c r="BL233" s="2869"/>
      <c r="BM233" s="2870"/>
      <c r="BN233" s="2870"/>
      <c r="BO233" s="2870"/>
      <c r="BP233" s="2870"/>
      <c r="BQ233" s="2877">
        <v>0</v>
      </c>
      <c r="BR233" s="2875">
        <v>0</v>
      </c>
      <c r="BS233" s="2869"/>
      <c r="BT233" s="2870"/>
      <c r="BU233" s="2870"/>
      <c r="BV233" s="2870"/>
      <c r="BW233" s="2870"/>
      <c r="BX233" s="2877">
        <v>0</v>
      </c>
      <c r="BY233" s="2875">
        <v>0</v>
      </c>
      <c r="BZ233" s="2869"/>
      <c r="CA233" s="2870"/>
      <c r="CB233" s="2870"/>
      <c r="CC233" s="2870"/>
      <c r="CD233" s="2870"/>
      <c r="CE233" s="2877">
        <v>0</v>
      </c>
      <c r="CF233" s="2875">
        <v>0</v>
      </c>
      <c r="CG233" s="2869">
        <v>35.037202000000001</v>
      </c>
      <c r="CH233" s="2870"/>
      <c r="CI233" s="2870">
        <v>120191615</v>
      </c>
      <c r="CJ233" s="2870"/>
      <c r="CK233" s="2870"/>
      <c r="CL233" s="2877">
        <v>3.4303999217745753</v>
      </c>
      <c r="CM233" s="2875">
        <v>120191615</v>
      </c>
      <c r="CN233" s="2872">
        <v>8.3917699999999904</v>
      </c>
      <c r="CO233" s="2870"/>
      <c r="CP233" s="2870">
        <v>22264118</v>
      </c>
      <c r="CQ233" s="2870"/>
      <c r="CR233" s="2870"/>
      <c r="CS233" s="2877">
        <v>2.6530896342487966</v>
      </c>
      <c r="CT233" s="2875">
        <v>22264118</v>
      </c>
      <c r="CU233" s="2878">
        <v>62.922849999999997</v>
      </c>
      <c r="CV233" s="2870">
        <v>0</v>
      </c>
      <c r="CW233" s="2870">
        <v>209327532</v>
      </c>
      <c r="CX233" s="2870">
        <v>0</v>
      </c>
      <c r="CY233" s="2870">
        <v>0</v>
      </c>
      <c r="CZ233" s="2879">
        <v>3.3267331660914916</v>
      </c>
      <c r="DA233" s="2875">
        <v>209327532</v>
      </c>
      <c r="DB233" s="1613">
        <v>62.922849999999997</v>
      </c>
      <c r="DC233" s="2899">
        <v>0</v>
      </c>
      <c r="DE233" s="2782" t="b">
        <v>1</v>
      </c>
      <c r="DJ233" s="1611" t="e">
        <v>#N/A</v>
      </c>
      <c r="DK233" s="2782" t="e">
        <v>#N/A</v>
      </c>
      <c r="DM233" s="1650">
        <v>3.3267331660914916</v>
      </c>
    </row>
    <row r="234" spans="1:117" ht="21" customHeight="1">
      <c r="A234" s="1652">
        <v>44</v>
      </c>
      <c r="B234" s="1701" t="s">
        <v>1902</v>
      </c>
      <c r="C234" s="1662">
        <v>40</v>
      </c>
      <c r="D234" s="1646">
        <v>100</v>
      </c>
      <c r="E234" s="1646"/>
      <c r="F234" s="1648" t="s">
        <v>1594</v>
      </c>
      <c r="G234" s="1648"/>
      <c r="H234" s="1648">
        <v>40</v>
      </c>
      <c r="I234" s="1648" t="s">
        <v>1717</v>
      </c>
      <c r="J234" s="1649">
        <v>2</v>
      </c>
      <c r="K234" s="1648"/>
      <c r="L234" s="1648"/>
      <c r="M234" s="1648"/>
      <c r="N234" s="1642"/>
      <c r="O234" s="2876"/>
      <c r="P234" s="2870"/>
      <c r="Q234" s="2870"/>
      <c r="R234" s="2870"/>
      <c r="S234" s="2870"/>
      <c r="T234" s="2870"/>
      <c r="U234" s="2875">
        <v>0</v>
      </c>
      <c r="V234" s="2869"/>
      <c r="W234" s="2870"/>
      <c r="X234" s="2870"/>
      <c r="Y234" s="2870"/>
      <c r="Z234" s="2870"/>
      <c r="AA234" s="2877">
        <v>0</v>
      </c>
      <c r="AB234" s="2875">
        <v>0</v>
      </c>
      <c r="AC234" s="2869"/>
      <c r="AD234" s="2870"/>
      <c r="AE234" s="2870"/>
      <c r="AF234" s="2870"/>
      <c r="AG234" s="2870"/>
      <c r="AH234" s="2877">
        <v>0</v>
      </c>
      <c r="AI234" s="2875">
        <v>0</v>
      </c>
      <c r="AJ234" s="2869">
        <v>21.379624</v>
      </c>
      <c r="AK234" s="2870"/>
      <c r="AL234" s="2870">
        <v>62385742</v>
      </c>
      <c r="AM234" s="2870"/>
      <c r="AN234" s="2870"/>
      <c r="AO234" s="2877">
        <v>2.9179999610844418</v>
      </c>
      <c r="AP234" s="2875">
        <v>62385742</v>
      </c>
      <c r="AQ234" s="2869">
        <v>-53.010938000000003</v>
      </c>
      <c r="AR234" s="2870"/>
      <c r="AS234" s="2870">
        <v>-153668890.06999999</v>
      </c>
      <c r="AT234" s="2870"/>
      <c r="AU234" s="2870"/>
      <c r="AV234" s="2877">
        <v>2.8988147704535994</v>
      </c>
      <c r="AW234" s="2875">
        <v>-153668890.06999999</v>
      </c>
      <c r="AX234" s="2869"/>
      <c r="AY234" s="2870"/>
      <c r="AZ234" s="2870"/>
      <c r="BA234" s="2870"/>
      <c r="BB234" s="2870"/>
      <c r="BC234" s="2877">
        <v>0</v>
      </c>
      <c r="BD234" s="2875">
        <v>0</v>
      </c>
      <c r="BE234" s="2869"/>
      <c r="BF234" s="2870"/>
      <c r="BG234" s="2870"/>
      <c r="BH234" s="2870"/>
      <c r="BI234" s="2870"/>
      <c r="BJ234" s="2877">
        <v>0</v>
      </c>
      <c r="BK234" s="2875">
        <v>0</v>
      </c>
      <c r="BL234" s="2869"/>
      <c r="BM234" s="2870"/>
      <c r="BN234" s="2870"/>
      <c r="BO234" s="2870"/>
      <c r="BP234" s="2870"/>
      <c r="BQ234" s="2877">
        <v>0</v>
      </c>
      <c r="BR234" s="2875">
        <v>0</v>
      </c>
      <c r="BS234" s="2869"/>
      <c r="BT234" s="2870"/>
      <c r="BU234" s="2870"/>
      <c r="BV234" s="2870"/>
      <c r="BW234" s="2870"/>
      <c r="BX234" s="2877">
        <v>0</v>
      </c>
      <c r="BY234" s="2875">
        <v>0</v>
      </c>
      <c r="BZ234" s="2869"/>
      <c r="CA234" s="2870"/>
      <c r="CB234" s="2870"/>
      <c r="CC234" s="2870"/>
      <c r="CD234" s="2870"/>
      <c r="CE234" s="2877">
        <v>0</v>
      </c>
      <c r="CF234" s="2875">
        <v>0</v>
      </c>
      <c r="CG234" s="2869">
        <v>52.830938000000003</v>
      </c>
      <c r="CH234" s="2870"/>
      <c r="CI234" s="2870">
        <v>153790859.06999999</v>
      </c>
      <c r="CJ234" s="2870"/>
      <c r="CK234" s="2870"/>
      <c r="CL234" s="2877">
        <v>2.9109999725918172</v>
      </c>
      <c r="CM234" s="2875">
        <v>153790859.06999999</v>
      </c>
      <c r="CN234" s="2872">
        <v>66.751031999999995</v>
      </c>
      <c r="CO234" s="2870"/>
      <c r="CP234" s="2870">
        <v>189511164.65000001</v>
      </c>
      <c r="CQ234" s="2870"/>
      <c r="CR234" s="2870"/>
      <c r="CS234" s="2877">
        <v>2.8390746775270834</v>
      </c>
      <c r="CT234" s="2875">
        <v>189511164.65000001</v>
      </c>
      <c r="CU234" s="2878">
        <v>87.950655999999995</v>
      </c>
      <c r="CV234" s="2870">
        <v>0</v>
      </c>
      <c r="CW234" s="2870">
        <v>252018875.65000001</v>
      </c>
      <c r="CX234" s="2870">
        <v>0</v>
      </c>
      <c r="CY234" s="2870">
        <v>0</v>
      </c>
      <c r="CZ234" s="2879">
        <v>2.8654575998841896</v>
      </c>
      <c r="DA234" s="2875">
        <v>252018875.65000001</v>
      </c>
      <c r="DB234" s="1613">
        <v>86.494754999999998</v>
      </c>
      <c r="DC234" s="2899">
        <v>-1.4559009999999972</v>
      </c>
      <c r="DE234" s="2782" t="b">
        <v>0</v>
      </c>
      <c r="DJ234" s="1611" t="e">
        <v>#N/A</v>
      </c>
      <c r="DK234" s="2782" t="e">
        <v>#N/A</v>
      </c>
      <c r="DM234" s="1650">
        <v>2.8654575998841896</v>
      </c>
    </row>
    <row r="235" spans="1:117" ht="21" customHeight="1">
      <c r="A235" s="1652">
        <v>45</v>
      </c>
      <c r="B235" s="1701" t="s">
        <v>1903</v>
      </c>
      <c r="C235" s="1662">
        <v>30</v>
      </c>
      <c r="D235" s="1646">
        <v>100</v>
      </c>
      <c r="E235" s="1646"/>
      <c r="F235" s="1648" t="s">
        <v>1594</v>
      </c>
      <c r="G235" s="1648"/>
      <c r="H235" s="1648">
        <v>30</v>
      </c>
      <c r="I235" s="1648" t="s">
        <v>1717</v>
      </c>
      <c r="J235" s="1649">
        <v>2</v>
      </c>
      <c r="K235" s="1648"/>
      <c r="L235" s="1648"/>
      <c r="M235" s="1648"/>
      <c r="N235" s="1642"/>
      <c r="O235" s="2876"/>
      <c r="P235" s="2870"/>
      <c r="Q235" s="2870"/>
      <c r="R235" s="2870"/>
      <c r="S235" s="2870"/>
      <c r="T235" s="2870"/>
      <c r="U235" s="2875">
        <v>0</v>
      </c>
      <c r="V235" s="2869"/>
      <c r="W235" s="2870"/>
      <c r="X235" s="2870"/>
      <c r="Y235" s="2870"/>
      <c r="Z235" s="2870"/>
      <c r="AA235" s="2877">
        <v>0</v>
      </c>
      <c r="AB235" s="2875">
        <v>0</v>
      </c>
      <c r="AC235" s="2869"/>
      <c r="AD235" s="2870"/>
      <c r="AE235" s="2870"/>
      <c r="AF235" s="2870"/>
      <c r="AG235" s="2870"/>
      <c r="AH235" s="2877">
        <v>0</v>
      </c>
      <c r="AI235" s="2875">
        <v>0</v>
      </c>
      <c r="AJ235" s="2869"/>
      <c r="AK235" s="2870"/>
      <c r="AL235" s="2870"/>
      <c r="AM235" s="2870"/>
      <c r="AN235" s="2870"/>
      <c r="AO235" s="2877">
        <v>0</v>
      </c>
      <c r="AP235" s="2875">
        <v>0</v>
      </c>
      <c r="AQ235" s="2869">
        <v>19.345521999999999</v>
      </c>
      <c r="AR235" s="2870"/>
      <c r="AS235" s="2870">
        <v>61725754</v>
      </c>
      <c r="AT235" s="2870"/>
      <c r="AU235" s="2870"/>
      <c r="AV235" s="2877">
        <v>3.1906998425785562</v>
      </c>
      <c r="AW235" s="2875">
        <v>61725754</v>
      </c>
      <c r="AX235" s="2869">
        <v>0.41528799999999999</v>
      </c>
      <c r="AY235" s="2870"/>
      <c r="AZ235" s="2870">
        <v>1325059</v>
      </c>
      <c r="BA235" s="2870"/>
      <c r="BB235" s="2870"/>
      <c r="BC235" s="2877">
        <v>3.1906989848009091</v>
      </c>
      <c r="BD235" s="2875">
        <v>1325059</v>
      </c>
      <c r="BE235" s="2869"/>
      <c r="BF235" s="2870"/>
      <c r="BG235" s="2870"/>
      <c r="BH235" s="2870">
        <v>993</v>
      </c>
      <c r="BI235" s="2870"/>
      <c r="BJ235" s="2877">
        <v>0</v>
      </c>
      <c r="BK235" s="2875">
        <v>993</v>
      </c>
      <c r="BL235" s="2872">
        <v>14.1873</v>
      </c>
      <c r="BM235" s="2870"/>
      <c r="BN235" s="2870">
        <v>46258375</v>
      </c>
      <c r="BO235" s="2870"/>
      <c r="BP235" s="2870"/>
      <c r="BQ235" s="2877" t="e">
        <v>#REF!</v>
      </c>
      <c r="BR235" s="2875">
        <v>46258375</v>
      </c>
      <c r="BS235" s="2869"/>
      <c r="BT235" s="2870"/>
      <c r="BU235" s="2870"/>
      <c r="BV235" s="2870"/>
      <c r="BW235" s="2870"/>
      <c r="BX235" s="2877">
        <v>0</v>
      </c>
      <c r="BY235" s="2875">
        <v>0</v>
      </c>
      <c r="BZ235" s="2869"/>
      <c r="CA235" s="2870"/>
      <c r="CB235" s="2870"/>
      <c r="CC235" s="2870"/>
      <c r="CD235" s="2870"/>
      <c r="CE235" s="2877">
        <v>0</v>
      </c>
      <c r="CF235" s="2875">
        <v>0</v>
      </c>
      <c r="CG235" s="2869">
        <v>49.621259000000002</v>
      </c>
      <c r="CH235" s="2870"/>
      <c r="CI235" s="2870">
        <v>158326549</v>
      </c>
      <c r="CJ235" s="2870"/>
      <c r="CK235" s="2870"/>
      <c r="CL235" s="2877">
        <v>3.1906999578547572</v>
      </c>
      <c r="CM235" s="2875">
        <v>158326549</v>
      </c>
      <c r="CN235" s="2902">
        <v>1.179735000000008</v>
      </c>
      <c r="CO235" s="2870">
        <v>0</v>
      </c>
      <c r="CP235" s="2870">
        <v>2223718</v>
      </c>
      <c r="CQ235" s="2870"/>
      <c r="CR235" s="2870"/>
      <c r="CS235" s="2877">
        <v>0.15674004215037393</v>
      </c>
      <c r="CT235" s="2875">
        <v>2223718</v>
      </c>
      <c r="CU235" s="2878">
        <v>84.749104000000003</v>
      </c>
      <c r="CV235" s="2870">
        <v>0</v>
      </c>
      <c r="CW235" s="2870">
        <v>269859455</v>
      </c>
      <c r="CX235" s="2870">
        <v>993</v>
      </c>
      <c r="CY235" s="2870">
        <v>0</v>
      </c>
      <c r="CZ235" s="2879">
        <v>3.1842277412160014</v>
      </c>
      <c r="DA235" s="2875">
        <v>269860448</v>
      </c>
      <c r="DB235" s="1613">
        <v>84.749104000000003</v>
      </c>
      <c r="DC235" s="2899">
        <v>0</v>
      </c>
      <c r="DE235" s="2782" t="b">
        <v>1</v>
      </c>
      <c r="DJ235" s="1611" t="e">
        <v>#N/A</v>
      </c>
      <c r="DK235" s="2782" t="e">
        <v>#N/A</v>
      </c>
      <c r="DM235" s="1650">
        <v>3.1842160242779678</v>
      </c>
    </row>
    <row r="236" spans="1:117" ht="21" customHeight="1">
      <c r="A236" s="1652">
        <v>46</v>
      </c>
      <c r="B236" s="1701" t="s">
        <v>1904</v>
      </c>
      <c r="C236" s="1662">
        <v>19</v>
      </c>
      <c r="D236" s="1646">
        <v>100</v>
      </c>
      <c r="E236" s="1646"/>
      <c r="F236" s="1648" t="s">
        <v>1594</v>
      </c>
      <c r="G236" s="1648"/>
      <c r="H236" s="1648">
        <v>19</v>
      </c>
      <c r="I236" s="1648" t="s">
        <v>1717</v>
      </c>
      <c r="J236" s="1649">
        <v>2</v>
      </c>
      <c r="K236" s="1648"/>
      <c r="L236" s="1648"/>
      <c r="M236" s="1648"/>
      <c r="N236" s="1642"/>
      <c r="O236" s="2876"/>
      <c r="P236" s="2870"/>
      <c r="Q236" s="2870"/>
      <c r="R236" s="2870"/>
      <c r="S236" s="2870"/>
      <c r="T236" s="2870"/>
      <c r="U236" s="2875">
        <v>0</v>
      </c>
      <c r="V236" s="2869"/>
      <c r="W236" s="2870"/>
      <c r="X236" s="2870"/>
      <c r="Y236" s="2870"/>
      <c r="Z236" s="2870"/>
      <c r="AA236" s="2877">
        <v>0</v>
      </c>
      <c r="AB236" s="2875">
        <v>0</v>
      </c>
      <c r="AC236" s="2869"/>
      <c r="AD236" s="2870"/>
      <c r="AE236" s="2870"/>
      <c r="AF236" s="2870"/>
      <c r="AG236" s="2870"/>
      <c r="AH236" s="2877">
        <v>0</v>
      </c>
      <c r="AI236" s="2875">
        <v>0</v>
      </c>
      <c r="AJ236" s="2869"/>
      <c r="AK236" s="2870"/>
      <c r="AL236" s="2870"/>
      <c r="AM236" s="2870"/>
      <c r="AN236" s="2870"/>
      <c r="AO236" s="2877">
        <v>0</v>
      </c>
      <c r="AP236" s="2875">
        <v>0</v>
      </c>
      <c r="AQ236" s="2869">
        <v>9.0325489999999995</v>
      </c>
      <c r="AR236" s="2870"/>
      <c r="AS236" s="2870">
        <v>27458948</v>
      </c>
      <c r="AT236" s="2870"/>
      <c r="AU236" s="2870"/>
      <c r="AV236" s="2877">
        <v>3.0399998937177091</v>
      </c>
      <c r="AW236" s="2875">
        <v>27458948</v>
      </c>
      <c r="AX236" s="2869"/>
      <c r="AY236" s="2870"/>
      <c r="AZ236" s="2870"/>
      <c r="BA236" s="2870"/>
      <c r="BB236" s="2870"/>
      <c r="BC236" s="2877">
        <v>0</v>
      </c>
      <c r="BD236" s="2875">
        <v>0</v>
      </c>
      <c r="BE236" s="2869"/>
      <c r="BF236" s="2870"/>
      <c r="BG236" s="2870"/>
      <c r="BH236" s="2870"/>
      <c r="BI236" s="2870"/>
      <c r="BJ236" s="2877">
        <v>0</v>
      </c>
      <c r="BK236" s="2875">
        <v>0</v>
      </c>
      <c r="BL236" s="2869">
        <v>4.4341749999999998</v>
      </c>
      <c r="BM236" s="2870"/>
      <c r="BN236" s="2870">
        <v>19468474</v>
      </c>
      <c r="BO236" s="2870"/>
      <c r="BP236" s="2870"/>
      <c r="BQ236" s="2877">
        <v>4.3905515682173117</v>
      </c>
      <c r="BR236" s="2875">
        <v>19468474</v>
      </c>
      <c r="BS236" s="2869"/>
      <c r="BT236" s="2870"/>
      <c r="BU236" s="2870"/>
      <c r="BV236" s="2870"/>
      <c r="BW236" s="2870"/>
      <c r="BX236" s="2877">
        <v>0</v>
      </c>
      <c r="BY236" s="2875">
        <v>0</v>
      </c>
      <c r="BZ236" s="2869"/>
      <c r="CA236" s="2870"/>
      <c r="CB236" s="2870"/>
      <c r="CC236" s="2870"/>
      <c r="CD236" s="2870"/>
      <c r="CE236" s="2877">
        <v>0</v>
      </c>
      <c r="CF236" s="2875">
        <v>0</v>
      </c>
      <c r="CG236" s="2869"/>
      <c r="CH236" s="2870"/>
      <c r="CI236" s="2870"/>
      <c r="CJ236" s="2870"/>
      <c r="CK236" s="2870"/>
      <c r="CL236" s="2877">
        <v>0</v>
      </c>
      <c r="CM236" s="2875">
        <v>0</v>
      </c>
      <c r="CN236" s="2872">
        <v>20.8293225</v>
      </c>
      <c r="CO236" s="2870"/>
      <c r="CP236" s="2870">
        <v>56806010</v>
      </c>
      <c r="CQ236" s="2870"/>
      <c r="CR236" s="2870"/>
      <c r="CS236" s="2877">
        <v>2.7272135231474763</v>
      </c>
      <c r="CT236" s="2875">
        <v>56806010</v>
      </c>
      <c r="CU236" s="2878">
        <v>34.296046500000003</v>
      </c>
      <c r="CV236" s="2870">
        <v>0</v>
      </c>
      <c r="CW236" s="2870">
        <v>103733432</v>
      </c>
      <c r="CX236" s="2870">
        <v>0</v>
      </c>
      <c r="CY236" s="2870">
        <v>0</v>
      </c>
      <c r="CZ236" s="2879">
        <v>3.0246469370748024</v>
      </c>
      <c r="DA236" s="2875">
        <v>103733432</v>
      </c>
      <c r="DB236" s="1613">
        <v>34.296046500000003</v>
      </c>
      <c r="DC236" s="2899">
        <v>0</v>
      </c>
      <c r="DE236" s="2782" t="b">
        <v>1</v>
      </c>
      <c r="DJ236" s="1611" t="e">
        <v>#N/A</v>
      </c>
      <c r="DK236" s="2782" t="e">
        <v>#N/A</v>
      </c>
      <c r="DM236" s="1650">
        <v>3.0246469370748024</v>
      </c>
    </row>
    <row r="237" spans="1:117" ht="21" customHeight="1">
      <c r="A237" s="1652">
        <v>47</v>
      </c>
      <c r="B237" s="1701" t="s">
        <v>1905</v>
      </c>
      <c r="C237" s="1662">
        <v>11</v>
      </c>
      <c r="D237" s="1646">
        <v>100</v>
      </c>
      <c r="E237" s="1646"/>
      <c r="F237" s="1648" t="s">
        <v>1594</v>
      </c>
      <c r="G237" s="1648"/>
      <c r="H237" s="1648">
        <v>11</v>
      </c>
      <c r="I237" s="1648" t="s">
        <v>1717</v>
      </c>
      <c r="J237" s="1649">
        <v>2</v>
      </c>
      <c r="K237" s="1648"/>
      <c r="L237" s="1648"/>
      <c r="M237" s="1648"/>
      <c r="N237" s="1642"/>
      <c r="O237" s="2876"/>
      <c r="P237" s="2870"/>
      <c r="Q237" s="2870"/>
      <c r="R237" s="2870"/>
      <c r="S237" s="2870"/>
      <c r="T237" s="2870"/>
      <c r="U237" s="2875">
        <v>0</v>
      </c>
      <c r="V237" s="2869"/>
      <c r="W237" s="2870"/>
      <c r="X237" s="2870"/>
      <c r="Y237" s="2870"/>
      <c r="Z237" s="2870"/>
      <c r="AA237" s="2877">
        <v>0</v>
      </c>
      <c r="AB237" s="2875">
        <v>0</v>
      </c>
      <c r="AC237" s="2869"/>
      <c r="AD237" s="2870"/>
      <c r="AE237" s="2870"/>
      <c r="AF237" s="2870"/>
      <c r="AG237" s="2870"/>
      <c r="AH237" s="2877">
        <v>0</v>
      </c>
      <c r="AI237" s="2875">
        <v>0</v>
      </c>
      <c r="AJ237" s="2869"/>
      <c r="AK237" s="2870"/>
      <c r="AL237" s="2870"/>
      <c r="AM237" s="2870"/>
      <c r="AN237" s="2870"/>
      <c r="AO237" s="2877">
        <v>0</v>
      </c>
      <c r="AP237" s="2875">
        <v>0</v>
      </c>
      <c r="AQ237" s="2869">
        <v>7.6803125000000003</v>
      </c>
      <c r="AR237" s="2870"/>
      <c r="AS237" s="2870">
        <v>25250591</v>
      </c>
      <c r="AT237" s="2870"/>
      <c r="AU237" s="2870"/>
      <c r="AV237" s="2877">
        <v>3.2877035927900069</v>
      </c>
      <c r="AW237" s="2875">
        <v>25250591</v>
      </c>
      <c r="AX237" s="2869">
        <v>4.1410090000000004</v>
      </c>
      <c r="AY237" s="2870"/>
      <c r="AZ237" s="2870">
        <v>12630079</v>
      </c>
      <c r="BA237" s="2870"/>
      <c r="BB237" s="2870"/>
      <c r="BC237" s="2877">
        <v>3.0500003743049096</v>
      </c>
      <c r="BD237" s="2875">
        <v>12630079</v>
      </c>
      <c r="BE237" s="2869">
        <v>1.4495629999999999</v>
      </c>
      <c r="BF237" s="2870"/>
      <c r="BG237" s="2870">
        <v>4421166</v>
      </c>
      <c r="BH237" s="2870"/>
      <c r="BI237" s="2870"/>
      <c r="BJ237" s="2877">
        <v>3.0499992066574548</v>
      </c>
      <c r="BK237" s="2875">
        <v>4421166</v>
      </c>
      <c r="BL237" s="2869"/>
      <c r="BM237" s="2870"/>
      <c r="BN237" s="2870"/>
      <c r="BO237" s="2870"/>
      <c r="BP237" s="2870"/>
      <c r="BQ237" s="2877">
        <v>0</v>
      </c>
      <c r="BR237" s="2875">
        <v>0</v>
      </c>
      <c r="BS237" s="2869"/>
      <c r="BT237" s="2870"/>
      <c r="BU237" s="2870"/>
      <c r="BV237" s="2870"/>
      <c r="BW237" s="2870"/>
      <c r="BX237" s="2877">
        <v>0</v>
      </c>
      <c r="BY237" s="2875">
        <v>0</v>
      </c>
      <c r="BZ237" s="2869"/>
      <c r="CA237" s="2870"/>
      <c r="CB237" s="2870"/>
      <c r="CC237" s="2870"/>
      <c r="CD237" s="2870"/>
      <c r="CE237" s="2877">
        <v>0</v>
      </c>
      <c r="CF237" s="2875">
        <v>0</v>
      </c>
      <c r="CG237" s="2869"/>
      <c r="CH237" s="2870"/>
      <c r="CI237" s="2870"/>
      <c r="CJ237" s="2870"/>
      <c r="CK237" s="2870"/>
      <c r="CL237" s="2877">
        <v>0</v>
      </c>
      <c r="CM237" s="2875">
        <v>0</v>
      </c>
      <c r="CN237" s="2872">
        <v>24.710171500000001</v>
      </c>
      <c r="CO237" s="2870"/>
      <c r="CP237" s="2870">
        <v>71175334</v>
      </c>
      <c r="CQ237" s="2870"/>
      <c r="CR237" s="2870"/>
      <c r="CS237" s="2877">
        <v>2.8804063136510405</v>
      </c>
      <c r="CT237" s="2875">
        <v>71175334</v>
      </c>
      <c r="CU237" s="2878">
        <v>37.981056000000002</v>
      </c>
      <c r="CV237" s="2870">
        <v>0</v>
      </c>
      <c r="CW237" s="2870">
        <v>113477170</v>
      </c>
      <c r="CX237" s="2870">
        <v>0</v>
      </c>
      <c r="CY237" s="2870">
        <v>0</v>
      </c>
      <c r="CZ237" s="2879">
        <v>2.9877307782069038</v>
      </c>
      <c r="DA237" s="2875">
        <v>113477170</v>
      </c>
      <c r="DB237" s="1613">
        <v>37.981056000000002</v>
      </c>
      <c r="DC237" s="2899">
        <v>0</v>
      </c>
      <c r="DE237" s="2782" t="b">
        <v>1</v>
      </c>
      <c r="DJ237" s="1611" t="e">
        <v>#N/A</v>
      </c>
      <c r="DK237" s="2782" t="e">
        <v>#N/A</v>
      </c>
      <c r="DM237" s="1650">
        <v>2.9877307782069038</v>
      </c>
    </row>
    <row r="238" spans="1:117" ht="21" customHeight="1">
      <c r="A238" s="1652">
        <v>48</v>
      </c>
      <c r="B238" s="1701" t="s">
        <v>1906</v>
      </c>
      <c r="C238" s="1662">
        <v>17</v>
      </c>
      <c r="D238" s="1646">
        <v>100</v>
      </c>
      <c r="E238" s="1646"/>
      <c r="F238" s="1648" t="s">
        <v>1594</v>
      </c>
      <c r="G238" s="1648"/>
      <c r="H238" s="1648">
        <v>17</v>
      </c>
      <c r="I238" s="1648" t="s">
        <v>1717</v>
      </c>
      <c r="J238" s="1649">
        <v>2</v>
      </c>
      <c r="K238" s="1648"/>
      <c r="L238" s="1648"/>
      <c r="M238" s="1648"/>
      <c r="N238" s="1642"/>
      <c r="O238" s="2876"/>
      <c r="P238" s="2870"/>
      <c r="Q238" s="2870"/>
      <c r="R238" s="2870"/>
      <c r="S238" s="2870"/>
      <c r="T238" s="2870"/>
      <c r="U238" s="2875">
        <v>0</v>
      </c>
      <c r="V238" s="2869"/>
      <c r="W238" s="2870"/>
      <c r="X238" s="2870"/>
      <c r="Y238" s="2870"/>
      <c r="Z238" s="2870"/>
      <c r="AA238" s="2877">
        <v>0</v>
      </c>
      <c r="AB238" s="2875">
        <v>0</v>
      </c>
      <c r="AC238" s="2869"/>
      <c r="AD238" s="2870"/>
      <c r="AE238" s="2870"/>
      <c r="AF238" s="2870"/>
      <c r="AG238" s="2870"/>
      <c r="AH238" s="2877">
        <v>0</v>
      </c>
      <c r="AI238" s="2875">
        <v>0</v>
      </c>
      <c r="AJ238" s="2869"/>
      <c r="AK238" s="2870"/>
      <c r="AL238" s="2870"/>
      <c r="AM238" s="2870"/>
      <c r="AN238" s="2870"/>
      <c r="AO238" s="2877">
        <v>0</v>
      </c>
      <c r="AP238" s="2875">
        <v>0</v>
      </c>
      <c r="AQ238" s="2869">
        <v>17.165102000000001</v>
      </c>
      <c r="AR238" s="2870"/>
      <c r="AS238" s="2870">
        <v>52353561</v>
      </c>
      <c r="AT238" s="2870"/>
      <c r="AU238" s="2870"/>
      <c r="AV238" s="2877">
        <v>3.0499999941742262</v>
      </c>
      <c r="AW238" s="2875">
        <v>52353561</v>
      </c>
      <c r="AX238" s="2869"/>
      <c r="AY238" s="2870"/>
      <c r="AZ238" s="2870"/>
      <c r="BA238" s="2870"/>
      <c r="BB238" s="2870"/>
      <c r="BC238" s="2877">
        <v>0</v>
      </c>
      <c r="BD238" s="2875">
        <v>0</v>
      </c>
      <c r="BE238" s="2869"/>
      <c r="BF238" s="2870"/>
      <c r="BG238" s="2870"/>
      <c r="BH238" s="2870"/>
      <c r="BI238" s="2870"/>
      <c r="BJ238" s="2877">
        <v>0</v>
      </c>
      <c r="BK238" s="2875">
        <v>0</v>
      </c>
      <c r="BL238" s="2869">
        <v>8.3721250000000005</v>
      </c>
      <c r="BM238" s="2870"/>
      <c r="BN238" s="2870">
        <v>54952853</v>
      </c>
      <c r="BO238" s="2870"/>
      <c r="BP238" s="2870"/>
      <c r="BQ238" s="2877">
        <v>6.5637879271988888</v>
      </c>
      <c r="BR238" s="2875">
        <v>54952853</v>
      </c>
      <c r="BS238" s="2869"/>
      <c r="BT238" s="2870"/>
      <c r="BU238" s="2870"/>
      <c r="BV238" s="2870"/>
      <c r="BW238" s="2870"/>
      <c r="BX238" s="2877">
        <v>0</v>
      </c>
      <c r="BY238" s="2875">
        <v>0</v>
      </c>
      <c r="BZ238" s="2869"/>
      <c r="CA238" s="2870"/>
      <c r="CB238" s="2870"/>
      <c r="CC238" s="2870"/>
      <c r="CD238" s="2870"/>
      <c r="CE238" s="2877">
        <v>0</v>
      </c>
      <c r="CF238" s="2875">
        <v>0</v>
      </c>
      <c r="CG238" s="2869">
        <v>24.966650000000001</v>
      </c>
      <c r="CH238" s="2870"/>
      <c r="CI238" s="2870">
        <v>76148283</v>
      </c>
      <c r="CJ238" s="2870"/>
      <c r="CK238" s="2870"/>
      <c r="CL238" s="2877">
        <v>3.0500000200267157</v>
      </c>
      <c r="CM238" s="2905">
        <v>76148283</v>
      </c>
      <c r="CN238" s="2906">
        <v>10.434097999999999</v>
      </c>
      <c r="CO238" s="2870">
        <v>0</v>
      </c>
      <c r="CP238" s="2870">
        <v>0</v>
      </c>
      <c r="CQ238" s="2870"/>
      <c r="CR238" s="2870"/>
      <c r="CS238" s="2877">
        <v>0</v>
      </c>
      <c r="CT238" s="2875">
        <v>0</v>
      </c>
      <c r="CU238" s="2878">
        <v>60.937975000000002</v>
      </c>
      <c r="CV238" s="2870">
        <v>0</v>
      </c>
      <c r="CW238" s="2870">
        <v>183454697</v>
      </c>
      <c r="CX238" s="2870">
        <v>0</v>
      </c>
      <c r="CY238" s="2870">
        <v>0</v>
      </c>
      <c r="CZ238" s="2879">
        <v>3.0105151508562602</v>
      </c>
      <c r="DA238" s="2875">
        <v>183454697</v>
      </c>
      <c r="DB238" s="1613">
        <v>60.937975000000002</v>
      </c>
      <c r="DC238" s="2899">
        <v>0</v>
      </c>
      <c r="DE238" s="2782" t="b">
        <v>1</v>
      </c>
      <c r="DJ238" s="1611" t="e">
        <v>#N/A</v>
      </c>
      <c r="DK238" s="2782" t="e">
        <v>#N/A</v>
      </c>
      <c r="DM238" s="1650">
        <v>3.0105151508562602</v>
      </c>
    </row>
    <row r="239" spans="1:117" ht="21" customHeight="1">
      <c r="A239" s="1652">
        <v>49</v>
      </c>
      <c r="B239" s="1701" t="s">
        <v>1907</v>
      </c>
      <c r="C239" s="1662">
        <v>20</v>
      </c>
      <c r="D239" s="1646">
        <v>100</v>
      </c>
      <c r="E239" s="1646"/>
      <c r="F239" s="1648" t="s">
        <v>1594</v>
      </c>
      <c r="G239" s="1648"/>
      <c r="H239" s="1648">
        <v>20</v>
      </c>
      <c r="I239" s="1648" t="s">
        <v>1717</v>
      </c>
      <c r="J239" s="1649">
        <v>2</v>
      </c>
      <c r="K239" s="1648"/>
      <c r="L239" s="1648"/>
      <c r="M239" s="1648"/>
      <c r="N239" s="1642"/>
      <c r="O239" s="2876"/>
      <c r="P239" s="2870"/>
      <c r="Q239" s="2870"/>
      <c r="R239" s="2870"/>
      <c r="S239" s="2870"/>
      <c r="T239" s="2870"/>
      <c r="U239" s="2875">
        <v>0</v>
      </c>
      <c r="V239" s="2869"/>
      <c r="W239" s="2870"/>
      <c r="X239" s="2870"/>
      <c r="Y239" s="2870"/>
      <c r="Z239" s="2870"/>
      <c r="AA239" s="2877">
        <v>0</v>
      </c>
      <c r="AB239" s="2875">
        <v>0</v>
      </c>
      <c r="AC239" s="2869"/>
      <c r="AD239" s="2870"/>
      <c r="AE239" s="2870"/>
      <c r="AF239" s="2870"/>
      <c r="AG239" s="2870"/>
      <c r="AH239" s="2877">
        <v>0</v>
      </c>
      <c r="AI239" s="2875">
        <v>0</v>
      </c>
      <c r="AJ239" s="2869"/>
      <c r="AK239" s="2870"/>
      <c r="AL239" s="2870"/>
      <c r="AM239" s="2870"/>
      <c r="AN239" s="2870"/>
      <c r="AO239" s="2877">
        <v>0</v>
      </c>
      <c r="AP239" s="2875">
        <v>0</v>
      </c>
      <c r="AQ239" s="2869">
        <v>1.7135130000000001</v>
      </c>
      <c r="AR239" s="2870"/>
      <c r="AS239" s="2870">
        <v>27009668</v>
      </c>
      <c r="AT239" s="2870"/>
      <c r="AU239" s="2870"/>
      <c r="AV239" s="2877">
        <v>15.762744723850943</v>
      </c>
      <c r="AW239" s="2875">
        <v>27009668</v>
      </c>
      <c r="AX239" s="2869"/>
      <c r="AY239" s="2870"/>
      <c r="AZ239" s="2870"/>
      <c r="BA239" s="2870"/>
      <c r="BB239" s="2870"/>
      <c r="BC239" s="2877">
        <v>0</v>
      </c>
      <c r="BD239" s="2875">
        <v>0</v>
      </c>
      <c r="BE239" s="2869"/>
      <c r="BF239" s="2870"/>
      <c r="BG239" s="2870"/>
      <c r="BH239" s="2870"/>
      <c r="BI239" s="2870"/>
      <c r="BJ239" s="2877">
        <v>0</v>
      </c>
      <c r="BK239" s="2875">
        <v>0</v>
      </c>
      <c r="BL239" s="2869"/>
      <c r="BM239" s="2870"/>
      <c r="BN239" s="2870"/>
      <c r="BO239" s="2870"/>
      <c r="BP239" s="2870"/>
      <c r="BQ239" s="2877">
        <v>0</v>
      </c>
      <c r="BR239" s="2875">
        <v>0</v>
      </c>
      <c r="BS239" s="2869"/>
      <c r="BT239" s="2870"/>
      <c r="BU239" s="2870"/>
      <c r="BV239" s="2870"/>
      <c r="BW239" s="2870"/>
      <c r="BX239" s="2877">
        <v>0</v>
      </c>
      <c r="BY239" s="2875">
        <v>0</v>
      </c>
      <c r="BZ239" s="2869"/>
      <c r="CA239" s="2870"/>
      <c r="CB239" s="2870"/>
      <c r="CC239" s="2870"/>
      <c r="CD239" s="2870"/>
      <c r="CE239" s="2877">
        <v>0</v>
      </c>
      <c r="CF239" s="2875">
        <v>0</v>
      </c>
      <c r="CG239" s="2869">
        <v>11.867775</v>
      </c>
      <c r="CH239" s="2870"/>
      <c r="CI239" s="2870">
        <v>36315391.5</v>
      </c>
      <c r="CJ239" s="2870"/>
      <c r="CK239" s="2870"/>
      <c r="CL239" s="2877">
        <v>3.06</v>
      </c>
      <c r="CM239" s="2905">
        <v>36315391.5</v>
      </c>
      <c r="CN239" s="2906">
        <v>7.6394083000000004</v>
      </c>
      <c r="CO239" s="2870"/>
      <c r="CP239" s="2870">
        <v>25047752.400000006</v>
      </c>
      <c r="CQ239" s="2870"/>
      <c r="CR239" s="2870"/>
      <c r="CS239" s="2877">
        <v>3.2787555549295622</v>
      </c>
      <c r="CT239" s="2875">
        <v>25047752.400000006</v>
      </c>
      <c r="CU239" s="2878">
        <v>21.2206963</v>
      </c>
      <c r="CV239" s="2870">
        <v>0</v>
      </c>
      <c r="CW239" s="2870">
        <v>88372811.900000006</v>
      </c>
      <c r="CX239" s="2870">
        <v>0</v>
      </c>
      <c r="CY239" s="2870">
        <v>0</v>
      </c>
      <c r="CZ239" s="2879">
        <v>4.1644633451542301</v>
      </c>
      <c r="DA239" s="2875">
        <v>88372811.900000006</v>
      </c>
      <c r="DB239" s="1613">
        <v>21.220696</v>
      </c>
      <c r="DC239" s="2899">
        <v>-2.9999999995311555E-7</v>
      </c>
      <c r="DE239" s="2782" t="b">
        <v>0</v>
      </c>
      <c r="DJ239" s="1611" t="e">
        <v>#N/A</v>
      </c>
      <c r="DK239" s="2782" t="e">
        <v>#N/A</v>
      </c>
      <c r="DM239" s="1650">
        <v>4.1644633451542301</v>
      </c>
    </row>
    <row r="240" spans="1:117" ht="21" customHeight="1">
      <c r="A240" s="1652">
        <v>50</v>
      </c>
      <c r="B240" s="1701" t="s">
        <v>1908</v>
      </c>
      <c r="C240" s="1662">
        <v>7</v>
      </c>
      <c r="D240" s="1646">
        <v>100</v>
      </c>
      <c r="E240" s="1646"/>
      <c r="F240" s="1648" t="s">
        <v>1594</v>
      </c>
      <c r="G240" s="1648"/>
      <c r="H240" s="1648">
        <v>7</v>
      </c>
      <c r="I240" s="1648" t="s">
        <v>1717</v>
      </c>
      <c r="J240" s="1649">
        <v>2</v>
      </c>
      <c r="K240" s="1648"/>
      <c r="L240" s="1648"/>
      <c r="M240" s="1648"/>
      <c r="N240" s="1642"/>
      <c r="O240" s="2876"/>
      <c r="P240" s="2870"/>
      <c r="Q240" s="2870"/>
      <c r="R240" s="2870"/>
      <c r="S240" s="2870"/>
      <c r="T240" s="2870"/>
      <c r="U240" s="2875">
        <v>0</v>
      </c>
      <c r="V240" s="2869"/>
      <c r="W240" s="2870"/>
      <c r="X240" s="2870"/>
      <c r="Y240" s="2870"/>
      <c r="Z240" s="2870"/>
      <c r="AA240" s="2877">
        <v>0</v>
      </c>
      <c r="AB240" s="2875">
        <v>0</v>
      </c>
      <c r="AC240" s="2869"/>
      <c r="AD240" s="2870"/>
      <c r="AE240" s="2870"/>
      <c r="AF240" s="2870"/>
      <c r="AG240" s="2870"/>
      <c r="AH240" s="2877">
        <v>0</v>
      </c>
      <c r="AI240" s="2875">
        <v>0</v>
      </c>
      <c r="AJ240" s="2869"/>
      <c r="AK240" s="2870"/>
      <c r="AL240" s="2870"/>
      <c r="AM240" s="2870"/>
      <c r="AN240" s="2870"/>
      <c r="AO240" s="2877">
        <v>0</v>
      </c>
      <c r="AP240" s="2875">
        <v>0</v>
      </c>
      <c r="AQ240" s="2869">
        <v>2.3830480000000001</v>
      </c>
      <c r="AR240" s="2870"/>
      <c r="AS240" s="2870">
        <v>7292126</v>
      </c>
      <c r="AT240" s="2870"/>
      <c r="AU240" s="2870"/>
      <c r="AV240" s="2877">
        <v>3.059999630725021</v>
      </c>
      <c r="AW240" s="2875">
        <v>7292126</v>
      </c>
      <c r="AX240" s="2869"/>
      <c r="AY240" s="2870"/>
      <c r="AZ240" s="2870"/>
      <c r="BA240" s="2870"/>
      <c r="BB240" s="2870"/>
      <c r="BC240" s="2877">
        <v>0</v>
      </c>
      <c r="BD240" s="2875">
        <v>0</v>
      </c>
      <c r="BE240" s="2869"/>
      <c r="BF240" s="2870"/>
      <c r="BG240" s="2870"/>
      <c r="BH240" s="2870"/>
      <c r="BI240" s="2870"/>
      <c r="BJ240" s="2877">
        <v>0</v>
      </c>
      <c r="BK240" s="2875">
        <v>0</v>
      </c>
      <c r="BL240" s="2869"/>
      <c r="BM240" s="2870"/>
      <c r="BN240" s="2870"/>
      <c r="BO240" s="2870"/>
      <c r="BP240" s="2870"/>
      <c r="BQ240" s="2877">
        <v>0</v>
      </c>
      <c r="BR240" s="2875">
        <v>0</v>
      </c>
      <c r="BS240" s="2869"/>
      <c r="BT240" s="2870"/>
      <c r="BU240" s="2870"/>
      <c r="BV240" s="2870"/>
      <c r="BW240" s="2870"/>
      <c r="BX240" s="2877">
        <v>0</v>
      </c>
      <c r="BY240" s="2875">
        <v>0</v>
      </c>
      <c r="BZ240" s="2869"/>
      <c r="CA240" s="2870"/>
      <c r="CB240" s="2870"/>
      <c r="CC240" s="2870"/>
      <c r="CD240" s="2870"/>
      <c r="CE240" s="2877">
        <v>0</v>
      </c>
      <c r="CF240" s="2875">
        <v>0</v>
      </c>
      <c r="CG240" s="2869"/>
      <c r="CH240" s="2870"/>
      <c r="CI240" s="2870"/>
      <c r="CJ240" s="2870"/>
      <c r="CK240" s="2870"/>
      <c r="CL240" s="2877">
        <v>0</v>
      </c>
      <c r="CM240" s="2905">
        <v>0</v>
      </c>
      <c r="CN240" s="2906">
        <v>2.7634940899999996</v>
      </c>
      <c r="CO240" s="2870"/>
      <c r="CP240" s="2870">
        <v>27694002</v>
      </c>
      <c r="CQ240" s="2870"/>
      <c r="CR240" s="2870"/>
      <c r="CS240" s="2877">
        <v>10.021371893000866</v>
      </c>
      <c r="CT240" s="2875">
        <v>27694002</v>
      </c>
      <c r="CU240" s="2878">
        <v>5.1465420899999996</v>
      </c>
      <c r="CV240" s="2870">
        <v>0</v>
      </c>
      <c r="CW240" s="2870">
        <v>34986128</v>
      </c>
      <c r="CX240" s="2870">
        <v>0</v>
      </c>
      <c r="CY240" s="2870">
        <v>0</v>
      </c>
      <c r="CZ240" s="2879">
        <v>6.7979873453245192</v>
      </c>
      <c r="DA240" s="2875">
        <v>34986128</v>
      </c>
      <c r="DB240" s="1613">
        <v>5.1465420899999996</v>
      </c>
      <c r="DC240" s="2899">
        <v>0</v>
      </c>
      <c r="DE240" s="2782" t="b">
        <v>1</v>
      </c>
      <c r="DJ240" s="1611" t="e">
        <v>#N/A</v>
      </c>
      <c r="DK240" s="2782" t="e">
        <v>#N/A</v>
      </c>
      <c r="DM240" s="1650">
        <v>6.7979873453245192</v>
      </c>
    </row>
    <row r="241" spans="1:117" ht="21" customHeight="1">
      <c r="A241" s="1652">
        <v>51</v>
      </c>
      <c r="B241" s="1701" t="s">
        <v>1909</v>
      </c>
      <c r="C241" s="1662"/>
      <c r="D241" s="1648"/>
      <c r="E241" s="1648"/>
      <c r="F241" s="1648"/>
      <c r="G241" s="1648"/>
      <c r="H241" s="1648"/>
      <c r="I241" s="1648" t="s">
        <v>1717</v>
      </c>
      <c r="J241" s="1649">
        <v>2</v>
      </c>
      <c r="K241" s="1648"/>
      <c r="L241" s="1648"/>
      <c r="M241" s="1648"/>
      <c r="N241" s="1642"/>
      <c r="O241" s="2876"/>
      <c r="P241" s="2870"/>
      <c r="Q241" s="2870"/>
      <c r="R241" s="2870"/>
      <c r="S241" s="2870"/>
      <c r="T241" s="2870"/>
      <c r="U241" s="2875">
        <v>0</v>
      </c>
      <c r="V241" s="2869"/>
      <c r="W241" s="2870"/>
      <c r="X241" s="2870"/>
      <c r="Y241" s="2870"/>
      <c r="Z241" s="2870"/>
      <c r="AA241" s="2877"/>
      <c r="AB241" s="2875"/>
      <c r="AC241" s="2869"/>
      <c r="AD241" s="2870"/>
      <c r="AE241" s="2870"/>
      <c r="AF241" s="2870"/>
      <c r="AG241" s="2870"/>
      <c r="AH241" s="2877"/>
      <c r="AI241" s="2875"/>
      <c r="AJ241" s="2869"/>
      <c r="AK241" s="2870"/>
      <c r="AL241" s="2870"/>
      <c r="AM241" s="2870"/>
      <c r="AN241" s="2870"/>
      <c r="AO241" s="2877"/>
      <c r="AP241" s="2875"/>
      <c r="AQ241" s="2869"/>
      <c r="AR241" s="2870"/>
      <c r="AS241" s="2870"/>
      <c r="AT241" s="2870"/>
      <c r="AU241" s="2870"/>
      <c r="AV241" s="2877"/>
      <c r="AW241" s="2875"/>
      <c r="AX241" s="2869"/>
      <c r="AY241" s="2870"/>
      <c r="AZ241" s="2870"/>
      <c r="BA241" s="2870"/>
      <c r="BB241" s="2870"/>
      <c r="BC241" s="2877"/>
      <c r="BD241" s="2875"/>
      <c r="BE241" s="2869">
        <v>0.55333699999999997</v>
      </c>
      <c r="BF241" s="2870"/>
      <c r="BG241" s="2870">
        <v>2561951</v>
      </c>
      <c r="BH241" s="2870">
        <v>3011</v>
      </c>
      <c r="BI241" s="2870"/>
      <c r="BJ241" s="2877">
        <v>4.635442777186416</v>
      </c>
      <c r="BK241" s="2875">
        <v>2564962</v>
      </c>
      <c r="BL241" s="2869"/>
      <c r="BM241" s="2870"/>
      <c r="BN241" s="2870"/>
      <c r="BO241" s="2870"/>
      <c r="BP241" s="2870"/>
      <c r="BQ241" s="2877">
        <v>0</v>
      </c>
      <c r="BR241" s="2875">
        <v>0</v>
      </c>
      <c r="BS241" s="2869"/>
      <c r="BT241" s="2870"/>
      <c r="BU241" s="2870"/>
      <c r="BV241" s="2870"/>
      <c r="BW241" s="2870"/>
      <c r="BX241" s="2877">
        <v>0</v>
      </c>
      <c r="BY241" s="2875">
        <v>0</v>
      </c>
      <c r="BZ241" s="2869"/>
      <c r="CA241" s="2870"/>
      <c r="CB241" s="2870"/>
      <c r="CC241" s="2870"/>
      <c r="CD241" s="2870"/>
      <c r="CE241" s="2877">
        <v>0</v>
      </c>
      <c r="CF241" s="2875">
        <v>0</v>
      </c>
      <c r="CG241" s="2869">
        <v>3.0246879999999998</v>
      </c>
      <c r="CH241" s="2870"/>
      <c r="CI241" s="2870">
        <v>14004303.129999999</v>
      </c>
      <c r="CJ241" s="2870"/>
      <c r="CK241" s="2870"/>
      <c r="CL241" s="2877">
        <v>4.6299992362848661</v>
      </c>
      <c r="CM241" s="2905">
        <v>14004303.129999999</v>
      </c>
      <c r="CN241" s="2906">
        <v>1.093556</v>
      </c>
      <c r="CO241" s="2870"/>
      <c r="CP241" s="2870">
        <v>3317858.63</v>
      </c>
      <c r="CQ241" s="2870"/>
      <c r="CR241" s="2870"/>
      <c r="CS241" s="2877">
        <v>3.0340088939203844</v>
      </c>
      <c r="CT241" s="2875">
        <v>3317858.63</v>
      </c>
      <c r="CU241" s="2878">
        <v>4.6715809999999998</v>
      </c>
      <c r="CV241" s="2870">
        <v>0</v>
      </c>
      <c r="CW241" s="2870">
        <v>19884112.759999998</v>
      </c>
      <c r="CX241" s="2870">
        <v>3011</v>
      </c>
      <c r="CY241" s="2870">
        <v>0</v>
      </c>
      <c r="CZ241" s="2879">
        <v>4.2570435490682916</v>
      </c>
      <c r="DA241" s="2875">
        <v>19887123.759999998</v>
      </c>
      <c r="DB241" s="1613">
        <v>4.6715809999999998</v>
      </c>
      <c r="DC241" s="2899">
        <v>0</v>
      </c>
      <c r="DE241" s="2782" t="b">
        <v>1</v>
      </c>
      <c r="DJ241" s="1611" t="e">
        <v>#N/A</v>
      </c>
      <c r="DK241" s="2782" t="e">
        <v>#N/A</v>
      </c>
      <c r="DM241" s="1650">
        <v>4.2563990135245433</v>
      </c>
    </row>
    <row r="242" spans="1:117" ht="21" customHeight="1">
      <c r="A242" s="1652">
        <v>52</v>
      </c>
      <c r="B242" s="1701" t="s">
        <v>1910</v>
      </c>
      <c r="C242" s="1662">
        <v>9.8000000000000007</v>
      </c>
      <c r="D242" s="1646">
        <v>100</v>
      </c>
      <c r="E242" s="1646"/>
      <c r="F242" s="1648" t="s">
        <v>1594</v>
      </c>
      <c r="G242" s="1648"/>
      <c r="H242" s="1648">
        <v>9.8000000000000007</v>
      </c>
      <c r="I242" s="1648" t="s">
        <v>1717</v>
      </c>
      <c r="J242" s="1649">
        <v>2</v>
      </c>
      <c r="K242" s="1648"/>
      <c r="L242" s="1648"/>
      <c r="M242" s="1648"/>
      <c r="N242" s="1642"/>
      <c r="O242" s="2876"/>
      <c r="P242" s="2870"/>
      <c r="Q242" s="2870"/>
      <c r="R242" s="2870"/>
      <c r="S242" s="2870"/>
      <c r="T242" s="2870"/>
      <c r="U242" s="2875">
        <v>0</v>
      </c>
      <c r="V242" s="2869"/>
      <c r="W242" s="2870"/>
      <c r="X242" s="2870"/>
      <c r="Y242" s="2870"/>
      <c r="Z242" s="2870"/>
      <c r="AA242" s="2877">
        <v>0</v>
      </c>
      <c r="AB242" s="2875">
        <v>0</v>
      </c>
      <c r="AC242" s="2869"/>
      <c r="AD242" s="2870"/>
      <c r="AE242" s="2870"/>
      <c r="AF242" s="2870"/>
      <c r="AG242" s="2870"/>
      <c r="AH242" s="2877">
        <v>0</v>
      </c>
      <c r="AI242" s="2875">
        <v>0</v>
      </c>
      <c r="AJ242" s="2869"/>
      <c r="AK242" s="2870"/>
      <c r="AL242" s="2870"/>
      <c r="AM242" s="2870"/>
      <c r="AN242" s="2870"/>
      <c r="AO242" s="2877">
        <v>0</v>
      </c>
      <c r="AP242" s="2875">
        <v>0</v>
      </c>
      <c r="AQ242" s="2869"/>
      <c r="AR242" s="2870"/>
      <c r="AS242" s="2870"/>
      <c r="AT242" s="2870"/>
      <c r="AU242" s="2870"/>
      <c r="AV242" s="2877">
        <v>0</v>
      </c>
      <c r="AW242" s="2875">
        <v>0</v>
      </c>
      <c r="AX242" s="2869"/>
      <c r="AY242" s="2870"/>
      <c r="AZ242" s="2870"/>
      <c r="BA242" s="2870"/>
      <c r="BB242" s="2870"/>
      <c r="BC242" s="2877">
        <v>0</v>
      </c>
      <c r="BD242" s="2875">
        <v>0</v>
      </c>
      <c r="BE242" s="2869">
        <v>2.6669149999999999</v>
      </c>
      <c r="BF242" s="2870"/>
      <c r="BG242" s="2870">
        <v>7920737</v>
      </c>
      <c r="BH242" s="2870"/>
      <c r="BI242" s="2870"/>
      <c r="BJ242" s="2877">
        <v>2.9699997937692051</v>
      </c>
      <c r="BK242" s="2875">
        <v>7920737</v>
      </c>
      <c r="BL242" s="2869"/>
      <c r="BM242" s="2870"/>
      <c r="BN242" s="2870"/>
      <c r="BO242" s="2870"/>
      <c r="BP242" s="2870"/>
      <c r="BQ242" s="2877">
        <v>0</v>
      </c>
      <c r="BR242" s="2875">
        <v>0</v>
      </c>
      <c r="BS242" s="2869"/>
      <c r="BT242" s="2870"/>
      <c r="BU242" s="2870"/>
      <c r="BV242" s="2870"/>
      <c r="BW242" s="2870"/>
      <c r="BX242" s="2877">
        <v>0</v>
      </c>
      <c r="BY242" s="2875">
        <v>0</v>
      </c>
      <c r="BZ242" s="2869"/>
      <c r="CA242" s="2870"/>
      <c r="CB242" s="2870"/>
      <c r="CC242" s="2870"/>
      <c r="CD242" s="2870"/>
      <c r="CE242" s="2877">
        <v>0</v>
      </c>
      <c r="CF242" s="2875">
        <v>0</v>
      </c>
      <c r="CG242" s="2869"/>
      <c r="CH242" s="2870"/>
      <c r="CI242" s="2870"/>
      <c r="CJ242" s="2870"/>
      <c r="CK242" s="2870"/>
      <c r="CL242" s="2877">
        <v>0</v>
      </c>
      <c r="CM242" s="2905">
        <v>0</v>
      </c>
      <c r="CN242" s="2906">
        <v>23.775863000000001</v>
      </c>
      <c r="CO242" s="2870"/>
      <c r="CP242" s="2870">
        <v>69337190</v>
      </c>
      <c r="CQ242" s="2870"/>
      <c r="CR242" s="2870"/>
      <c r="CS242" s="2877">
        <v>2.9162848894275677</v>
      </c>
      <c r="CT242" s="2875">
        <v>69337190</v>
      </c>
      <c r="CU242" s="2878">
        <v>26.442778000000001</v>
      </c>
      <c r="CV242" s="2870">
        <v>0</v>
      </c>
      <c r="CW242" s="2870">
        <v>77257927</v>
      </c>
      <c r="CX242" s="2870">
        <v>0</v>
      </c>
      <c r="CY242" s="2870">
        <v>0</v>
      </c>
      <c r="CZ242" s="2879">
        <v>2.921702364252349</v>
      </c>
      <c r="DA242" s="2875">
        <v>77257927</v>
      </c>
      <c r="DB242" s="1613">
        <v>25.840720000000001</v>
      </c>
      <c r="DC242" s="2899">
        <v>-0.60205799999999954</v>
      </c>
      <c r="DE242" s="2782" t="b">
        <v>0</v>
      </c>
      <c r="DJ242" s="1611" t="e">
        <v>#N/A</v>
      </c>
      <c r="DK242" s="2782" t="e">
        <v>#N/A</v>
      </c>
      <c r="DM242" s="1650">
        <v>2.921702364252349</v>
      </c>
    </row>
    <row r="243" spans="1:117" ht="21" customHeight="1">
      <c r="A243" s="1652">
        <v>53</v>
      </c>
      <c r="B243" s="1701" t="s">
        <v>1911</v>
      </c>
      <c r="C243" s="1662"/>
      <c r="D243" s="1648"/>
      <c r="E243" s="1648"/>
      <c r="F243" s="1648"/>
      <c r="G243" s="1648"/>
      <c r="H243" s="1648"/>
      <c r="I243" s="1648" t="s">
        <v>1717</v>
      </c>
      <c r="J243" s="1649">
        <v>2</v>
      </c>
      <c r="K243" s="1648"/>
      <c r="L243" s="1648"/>
      <c r="M243" s="1648"/>
      <c r="N243" s="1642"/>
      <c r="O243" s="2876"/>
      <c r="P243" s="2870"/>
      <c r="Q243" s="2870"/>
      <c r="R243" s="2870"/>
      <c r="S243" s="2870"/>
      <c r="T243" s="2870"/>
      <c r="U243" s="2875">
        <v>0</v>
      </c>
      <c r="V243" s="2869"/>
      <c r="W243" s="2870"/>
      <c r="X243" s="2870"/>
      <c r="Y243" s="2870"/>
      <c r="Z243" s="2870"/>
      <c r="AA243" s="2877"/>
      <c r="AB243" s="2875">
        <v>0</v>
      </c>
      <c r="AC243" s="2869"/>
      <c r="AD243" s="2870"/>
      <c r="AE243" s="2870"/>
      <c r="AF243" s="2870"/>
      <c r="AG243" s="2870"/>
      <c r="AH243" s="2877"/>
      <c r="AI243" s="2875">
        <v>0</v>
      </c>
      <c r="AJ243" s="2869">
        <v>13.104038999999998</v>
      </c>
      <c r="AK243" s="2870"/>
      <c r="AL243" s="2870">
        <v>60016501</v>
      </c>
      <c r="AM243" s="2870"/>
      <c r="AN243" s="2870"/>
      <c r="AO243" s="2877"/>
      <c r="AP243" s="2875">
        <v>60016501</v>
      </c>
      <c r="AQ243" s="2869"/>
      <c r="AR243" s="2870"/>
      <c r="AS243" s="2870"/>
      <c r="AT243" s="2870"/>
      <c r="AU243" s="2870"/>
      <c r="AV243" s="2877">
        <v>0</v>
      </c>
      <c r="AW243" s="2875">
        <v>0</v>
      </c>
      <c r="AX243" s="2869"/>
      <c r="AY243" s="2870"/>
      <c r="AZ243" s="2870"/>
      <c r="BA243" s="2870"/>
      <c r="BB243" s="2870"/>
      <c r="BC243" s="2877">
        <v>0</v>
      </c>
      <c r="BD243" s="2875">
        <v>0</v>
      </c>
      <c r="BE243" s="2869"/>
      <c r="BF243" s="2870"/>
      <c r="BG243" s="2870"/>
      <c r="BH243" s="2870"/>
      <c r="BI243" s="2870"/>
      <c r="BJ243" s="2877">
        <v>0</v>
      </c>
      <c r="BK243" s="2875">
        <v>0</v>
      </c>
      <c r="BL243" s="2869"/>
      <c r="BM243" s="2870"/>
      <c r="BN243" s="2870"/>
      <c r="BO243" s="2870"/>
      <c r="BP243" s="2870"/>
      <c r="BQ243" s="2877">
        <v>0</v>
      </c>
      <c r="BR243" s="2875">
        <v>0</v>
      </c>
      <c r="BS243" s="2869"/>
      <c r="BT243" s="2870"/>
      <c r="BU243" s="2870"/>
      <c r="BV243" s="2870"/>
      <c r="BW243" s="2870"/>
      <c r="BX243" s="2877">
        <v>0</v>
      </c>
      <c r="BY243" s="2875">
        <v>0</v>
      </c>
      <c r="BZ243" s="2869"/>
      <c r="CA243" s="2870"/>
      <c r="CB243" s="2870"/>
      <c r="CC243" s="2870"/>
      <c r="CD243" s="2870"/>
      <c r="CE243" s="2877">
        <v>0</v>
      </c>
      <c r="CF243" s="2875">
        <v>0</v>
      </c>
      <c r="CG243" s="2869">
        <v>30.490750000000002</v>
      </c>
      <c r="CH243" s="2870"/>
      <c r="CI243" s="2870">
        <v>139647634.25</v>
      </c>
      <c r="CJ243" s="2870"/>
      <c r="CK243" s="2870"/>
      <c r="CL243" s="2877">
        <v>4.5799999754023757</v>
      </c>
      <c r="CM243" s="2905">
        <v>139647634.25</v>
      </c>
      <c r="CN243" s="2906">
        <v>2.9329724700000059</v>
      </c>
      <c r="CO243" s="2870"/>
      <c r="CP243" s="2870">
        <v>59675535</v>
      </c>
      <c r="CQ243" s="2870"/>
      <c r="CR243" s="2870"/>
      <c r="CS243" s="2877">
        <v>20.346435437220411</v>
      </c>
      <c r="CT243" s="2875">
        <v>59675535</v>
      </c>
      <c r="CU243" s="2878">
        <v>46.527761470000002</v>
      </c>
      <c r="CV243" s="2870">
        <v>0</v>
      </c>
      <c r="CW243" s="2870">
        <v>259339670.25</v>
      </c>
      <c r="CX243" s="2870">
        <v>0</v>
      </c>
      <c r="CY243" s="2870">
        <v>0</v>
      </c>
      <c r="CZ243" s="2879">
        <v>5.5738694933177921</v>
      </c>
      <c r="DA243" s="2875">
        <v>259339670.25</v>
      </c>
      <c r="DB243" s="1613">
        <v>46.154055469999996</v>
      </c>
      <c r="DC243" s="2899">
        <v>-0.37370600000000564</v>
      </c>
      <c r="DE243" s="2782" t="b">
        <v>0</v>
      </c>
      <c r="DJ243" s="1611" t="e">
        <v>#N/A</v>
      </c>
      <c r="DK243" s="2782" t="e">
        <v>#N/A</v>
      </c>
      <c r="DM243" s="1650">
        <v>5.5738694933177921</v>
      </c>
    </row>
    <row r="244" spans="1:117" ht="21" customHeight="1">
      <c r="A244" s="1652">
        <v>54</v>
      </c>
      <c r="B244" s="1701" t="s">
        <v>1912</v>
      </c>
      <c r="C244" s="1662">
        <v>27</v>
      </c>
      <c r="D244" s="1646">
        <v>100</v>
      </c>
      <c r="E244" s="1646"/>
      <c r="F244" s="1648" t="s">
        <v>1594</v>
      </c>
      <c r="G244" s="1648"/>
      <c r="H244" s="1648">
        <v>27</v>
      </c>
      <c r="I244" s="1648" t="s">
        <v>1717</v>
      </c>
      <c r="J244" s="1649">
        <v>2</v>
      </c>
      <c r="K244" s="1648"/>
      <c r="L244" s="1648"/>
      <c r="M244" s="1648"/>
      <c r="N244" s="1642"/>
      <c r="O244" s="2876"/>
      <c r="P244" s="2870"/>
      <c r="Q244" s="2870"/>
      <c r="R244" s="2870"/>
      <c r="S244" s="2870"/>
      <c r="T244" s="2870"/>
      <c r="U244" s="2875">
        <v>0</v>
      </c>
      <c r="V244" s="2869"/>
      <c r="W244" s="2870"/>
      <c r="X244" s="2870"/>
      <c r="Y244" s="2870"/>
      <c r="Z244" s="2870"/>
      <c r="AA244" s="2877">
        <v>0</v>
      </c>
      <c r="AB244" s="2875">
        <v>0</v>
      </c>
      <c r="AC244" s="2869"/>
      <c r="AD244" s="2870"/>
      <c r="AE244" s="2870"/>
      <c r="AF244" s="2870"/>
      <c r="AG244" s="2870"/>
      <c r="AH244" s="2877">
        <v>0</v>
      </c>
      <c r="AI244" s="2875">
        <v>0</v>
      </c>
      <c r="AJ244" s="2869"/>
      <c r="AK244" s="2870"/>
      <c r="AL244" s="2870"/>
      <c r="AM244" s="2870"/>
      <c r="AN244" s="2870"/>
      <c r="AO244" s="2877">
        <v>0</v>
      </c>
      <c r="AP244" s="2875">
        <v>0</v>
      </c>
      <c r="AQ244" s="2869">
        <v>5.2538229999999997</v>
      </c>
      <c r="AR244" s="2870"/>
      <c r="AS244" s="2870">
        <v>17285078</v>
      </c>
      <c r="AT244" s="2870"/>
      <c r="AU244" s="2870"/>
      <c r="AV244" s="2877">
        <v>3.2900000628114041</v>
      </c>
      <c r="AW244" s="2875">
        <v>17285078</v>
      </c>
      <c r="AX244" s="2869"/>
      <c r="AY244" s="2870"/>
      <c r="AZ244" s="2870"/>
      <c r="BA244" s="2870"/>
      <c r="BB244" s="2870"/>
      <c r="BC244" s="2877">
        <v>0</v>
      </c>
      <c r="BD244" s="2875">
        <v>0</v>
      </c>
      <c r="BE244" s="2869"/>
      <c r="BF244" s="2870"/>
      <c r="BG244" s="2870"/>
      <c r="BH244" s="2870"/>
      <c r="BI244" s="2870"/>
      <c r="BJ244" s="2877">
        <v>0</v>
      </c>
      <c r="BK244" s="2875">
        <v>0</v>
      </c>
      <c r="BL244" s="2869"/>
      <c r="BM244" s="2870"/>
      <c r="BN244" s="2870"/>
      <c r="BO244" s="2870"/>
      <c r="BP244" s="2870"/>
      <c r="BQ244" s="2877">
        <v>0</v>
      </c>
      <c r="BR244" s="2875">
        <v>0</v>
      </c>
      <c r="BS244" s="2869"/>
      <c r="BT244" s="2870"/>
      <c r="BU244" s="2870"/>
      <c r="BV244" s="2870"/>
      <c r="BW244" s="2870"/>
      <c r="BX244" s="2877">
        <v>0</v>
      </c>
      <c r="BY244" s="2875">
        <v>0</v>
      </c>
      <c r="BZ244" s="2869"/>
      <c r="CA244" s="2870"/>
      <c r="CB244" s="2870"/>
      <c r="CC244" s="2870"/>
      <c r="CD244" s="2870"/>
      <c r="CE244" s="2877">
        <v>0</v>
      </c>
      <c r="CF244" s="2875">
        <v>0</v>
      </c>
      <c r="CG244" s="2869"/>
      <c r="CH244" s="2870"/>
      <c r="CI244" s="2870"/>
      <c r="CJ244" s="2870"/>
      <c r="CK244" s="2870"/>
      <c r="CL244" s="2877">
        <v>0</v>
      </c>
      <c r="CM244" s="2875">
        <v>0</v>
      </c>
      <c r="CN244" s="2872">
        <v>34.991875</v>
      </c>
      <c r="CO244" s="2870"/>
      <c r="CP244" s="2870">
        <v>113679824</v>
      </c>
      <c r="CQ244" s="2870"/>
      <c r="CR244" s="2870"/>
      <c r="CS244" s="2877">
        <v>3.2487491453373103</v>
      </c>
      <c r="CT244" s="2875">
        <v>113679824</v>
      </c>
      <c r="CU244" s="2878">
        <v>40.245697999999997</v>
      </c>
      <c r="CV244" s="2870">
        <v>0</v>
      </c>
      <c r="CW244" s="2870">
        <v>130964902</v>
      </c>
      <c r="CX244" s="2870">
        <v>0</v>
      </c>
      <c r="CY244" s="2870">
        <v>0</v>
      </c>
      <c r="CZ244" s="2879">
        <v>3.2541341934236052</v>
      </c>
      <c r="DA244" s="2875">
        <v>130964902</v>
      </c>
      <c r="DB244" s="1613">
        <v>40.245697999999997</v>
      </c>
      <c r="DC244" s="2899">
        <v>0</v>
      </c>
      <c r="DE244" s="2782" t="b">
        <v>1</v>
      </c>
      <c r="DJ244" s="1611" t="e">
        <v>#N/A</v>
      </c>
      <c r="DK244" s="2782" t="e">
        <v>#N/A</v>
      </c>
      <c r="DM244" s="1650">
        <v>3.2541341934236052</v>
      </c>
    </row>
    <row r="245" spans="1:117" ht="21" customHeight="1">
      <c r="A245" s="1652">
        <v>55</v>
      </c>
      <c r="B245" s="1701" t="s">
        <v>1913</v>
      </c>
      <c r="C245" s="1662">
        <v>29</v>
      </c>
      <c r="D245" s="1646">
        <v>100</v>
      </c>
      <c r="E245" s="1646"/>
      <c r="F245" s="1648" t="s">
        <v>1594</v>
      </c>
      <c r="G245" s="1648"/>
      <c r="H245" s="1648">
        <v>29</v>
      </c>
      <c r="I245" s="1648" t="s">
        <v>1717</v>
      </c>
      <c r="J245" s="1649">
        <v>2</v>
      </c>
      <c r="K245" s="1648"/>
      <c r="L245" s="1648"/>
      <c r="M245" s="1648"/>
      <c r="N245" s="1642"/>
      <c r="O245" s="2876"/>
      <c r="P245" s="2870"/>
      <c r="Q245" s="2870"/>
      <c r="R245" s="2870"/>
      <c r="S245" s="2870"/>
      <c r="T245" s="2870"/>
      <c r="U245" s="2875">
        <v>0</v>
      </c>
      <c r="V245" s="2869"/>
      <c r="W245" s="2870"/>
      <c r="X245" s="2870"/>
      <c r="Y245" s="2870"/>
      <c r="Z245" s="2870"/>
      <c r="AA245" s="2877">
        <v>0</v>
      </c>
      <c r="AB245" s="2875">
        <v>0</v>
      </c>
      <c r="AC245" s="2869"/>
      <c r="AD245" s="2870"/>
      <c r="AE245" s="2870"/>
      <c r="AF245" s="2870"/>
      <c r="AG245" s="2870"/>
      <c r="AH245" s="2877">
        <v>0</v>
      </c>
      <c r="AI245" s="2875">
        <v>0</v>
      </c>
      <c r="AJ245" s="2869"/>
      <c r="AK245" s="2870"/>
      <c r="AL245" s="2870"/>
      <c r="AM245" s="2870"/>
      <c r="AN245" s="2870"/>
      <c r="AO245" s="2877">
        <v>0</v>
      </c>
      <c r="AP245" s="2875">
        <v>0</v>
      </c>
      <c r="AQ245" s="2869">
        <v>2.5438339999999999</v>
      </c>
      <c r="AR245" s="2870"/>
      <c r="AS245" s="2870">
        <v>8453416</v>
      </c>
      <c r="AT245" s="2870"/>
      <c r="AU245" s="2870"/>
      <c r="AV245" s="2877">
        <v>3.3231004853304107</v>
      </c>
      <c r="AW245" s="2875">
        <v>8453416</v>
      </c>
      <c r="AX245" s="2869"/>
      <c r="AY245" s="2870"/>
      <c r="AZ245" s="2870"/>
      <c r="BA245" s="2870"/>
      <c r="BB245" s="2870"/>
      <c r="BC245" s="2877">
        <v>0</v>
      </c>
      <c r="BD245" s="2875">
        <v>0</v>
      </c>
      <c r="BE245" s="2869">
        <v>10.551055</v>
      </c>
      <c r="BF245" s="2870"/>
      <c r="BG245" s="2870">
        <v>29297833.359999999</v>
      </c>
      <c r="BH245" s="2870"/>
      <c r="BI245" s="2870"/>
      <c r="BJ245" s="2877">
        <v>2.776768139299814</v>
      </c>
      <c r="BK245" s="2875">
        <v>29297833.359999999</v>
      </c>
      <c r="BL245" s="2869"/>
      <c r="BM245" s="2870"/>
      <c r="BN245" s="2870"/>
      <c r="BO245" s="2870"/>
      <c r="BP245" s="2870"/>
      <c r="BQ245" s="2877">
        <v>0</v>
      </c>
      <c r="BR245" s="2875">
        <v>0</v>
      </c>
      <c r="BS245" s="2869"/>
      <c r="BT245" s="2870"/>
      <c r="BU245" s="2870"/>
      <c r="BV245" s="2870"/>
      <c r="BW245" s="2870"/>
      <c r="BX245" s="2877">
        <v>0</v>
      </c>
      <c r="BY245" s="2875">
        <v>0</v>
      </c>
      <c r="BZ245" s="2869"/>
      <c r="CA245" s="2870"/>
      <c r="CB245" s="2870"/>
      <c r="CC245" s="2870"/>
      <c r="CD245" s="2870"/>
      <c r="CE245" s="2877">
        <v>0</v>
      </c>
      <c r="CF245" s="2875">
        <v>0</v>
      </c>
      <c r="CG245" s="2869"/>
      <c r="CH245" s="2870"/>
      <c r="CI245" s="2870"/>
      <c r="CJ245" s="2870"/>
      <c r="CK245" s="2870"/>
      <c r="CL245" s="2877">
        <v>0</v>
      </c>
      <c r="CM245" s="2875">
        <v>0</v>
      </c>
      <c r="CN245" s="2872"/>
      <c r="CO245" s="2870"/>
      <c r="CP245" s="2870"/>
      <c r="CQ245" s="2870"/>
      <c r="CR245" s="2870"/>
      <c r="CS245" s="2877">
        <v>0</v>
      </c>
      <c r="CT245" s="2875">
        <v>0</v>
      </c>
      <c r="CU245" s="2878">
        <v>13.094889</v>
      </c>
      <c r="CV245" s="2870">
        <v>0</v>
      </c>
      <c r="CW245" s="2870">
        <v>37751249.359999999</v>
      </c>
      <c r="CX245" s="2870">
        <v>0</v>
      </c>
      <c r="CY245" s="2870">
        <v>0</v>
      </c>
      <c r="CZ245" s="2879">
        <v>2.8828995312598678</v>
      </c>
      <c r="DA245" s="2875">
        <v>37751249.359999999</v>
      </c>
      <c r="DB245" s="1613">
        <v>13.094889</v>
      </c>
      <c r="DC245" s="2899">
        <v>0</v>
      </c>
      <c r="DE245" s="2782" t="b">
        <v>1</v>
      </c>
      <c r="DJ245" s="1611" t="e">
        <v>#N/A</v>
      </c>
      <c r="DK245" s="2782" t="e">
        <v>#N/A</v>
      </c>
      <c r="DM245" s="1650">
        <v>2.8828995312598678</v>
      </c>
    </row>
    <row r="246" spans="1:117" ht="21" customHeight="1">
      <c r="A246" s="1652">
        <v>56</v>
      </c>
      <c r="B246" s="1701" t="s">
        <v>1914</v>
      </c>
      <c r="C246" s="1662">
        <v>18</v>
      </c>
      <c r="D246" s="1646">
        <v>100</v>
      </c>
      <c r="E246" s="1646"/>
      <c r="F246" s="1648" t="s">
        <v>1594</v>
      </c>
      <c r="G246" s="1648"/>
      <c r="H246" s="1648">
        <v>18</v>
      </c>
      <c r="I246" s="1648" t="s">
        <v>1717</v>
      </c>
      <c r="J246" s="1649">
        <v>2</v>
      </c>
      <c r="K246" s="1648"/>
      <c r="L246" s="1648"/>
      <c r="M246" s="1648"/>
      <c r="N246" s="1642"/>
      <c r="O246" s="2876"/>
      <c r="P246" s="2870"/>
      <c r="Q246" s="2870"/>
      <c r="R246" s="2870"/>
      <c r="S246" s="2870"/>
      <c r="T246" s="2870"/>
      <c r="U246" s="2875">
        <v>0</v>
      </c>
      <c r="V246" s="2869"/>
      <c r="W246" s="2870"/>
      <c r="X246" s="2870"/>
      <c r="Y246" s="2870"/>
      <c r="Z246" s="2870"/>
      <c r="AA246" s="2877">
        <v>0</v>
      </c>
      <c r="AB246" s="2875">
        <v>0</v>
      </c>
      <c r="AC246" s="2869"/>
      <c r="AD246" s="2870"/>
      <c r="AE246" s="2870"/>
      <c r="AF246" s="2870"/>
      <c r="AG246" s="2870"/>
      <c r="AH246" s="2877">
        <v>0</v>
      </c>
      <c r="AI246" s="2875">
        <v>0</v>
      </c>
      <c r="AJ246" s="2869"/>
      <c r="AK246" s="2870"/>
      <c r="AL246" s="2870"/>
      <c r="AM246" s="2870"/>
      <c r="AN246" s="2870"/>
      <c r="AO246" s="2877">
        <v>0</v>
      </c>
      <c r="AP246" s="2875">
        <v>0</v>
      </c>
      <c r="AQ246" s="2869">
        <v>9.0765370000000001</v>
      </c>
      <c r="AR246" s="2870"/>
      <c r="AS246" s="2870">
        <v>37123035</v>
      </c>
      <c r="AT246" s="2870"/>
      <c r="AU246" s="2870"/>
      <c r="AV246" s="2877">
        <v>4.0899998534683437</v>
      </c>
      <c r="AW246" s="2875">
        <v>37123035</v>
      </c>
      <c r="AX246" s="2869"/>
      <c r="AY246" s="2870"/>
      <c r="AZ246" s="2870"/>
      <c r="BA246" s="2870"/>
      <c r="BB246" s="2870"/>
      <c r="BC246" s="2877">
        <v>0</v>
      </c>
      <c r="BD246" s="2875">
        <v>0</v>
      </c>
      <c r="BE246" s="2869"/>
      <c r="BF246" s="2870"/>
      <c r="BG246" s="2870"/>
      <c r="BH246" s="2870"/>
      <c r="BI246" s="2870"/>
      <c r="BJ246" s="2877">
        <v>0</v>
      </c>
      <c r="BK246" s="2875">
        <v>0</v>
      </c>
      <c r="BL246" s="2869"/>
      <c r="BM246" s="2870"/>
      <c r="BN246" s="2870"/>
      <c r="BO246" s="2870">
        <v>33119184</v>
      </c>
      <c r="BP246" s="2870"/>
      <c r="BQ246" s="2877">
        <v>0</v>
      </c>
      <c r="BR246" s="2875">
        <v>33119184</v>
      </c>
      <c r="BS246" s="2869"/>
      <c r="BT246" s="2870"/>
      <c r="BU246" s="2870"/>
      <c r="BV246" s="2870"/>
      <c r="BW246" s="2870"/>
      <c r="BX246" s="2877">
        <v>0</v>
      </c>
      <c r="BY246" s="2875">
        <v>0</v>
      </c>
      <c r="BZ246" s="2869"/>
      <c r="CA246" s="2870"/>
      <c r="CB246" s="2870"/>
      <c r="CC246" s="2870"/>
      <c r="CD246" s="2870"/>
      <c r="CE246" s="2877">
        <v>0</v>
      </c>
      <c r="CF246" s="2875">
        <v>0</v>
      </c>
      <c r="CG246" s="2869"/>
      <c r="CH246" s="2870"/>
      <c r="CI246" s="2870"/>
      <c r="CJ246" s="2870"/>
      <c r="CK246" s="2870"/>
      <c r="CL246" s="2877">
        <v>0</v>
      </c>
      <c r="CM246" s="2875">
        <v>0</v>
      </c>
      <c r="CN246" s="2872">
        <v>53.092599999999997</v>
      </c>
      <c r="CO246" s="2870"/>
      <c r="CP246" s="2870">
        <v>214942418</v>
      </c>
      <c r="CQ246" s="2870"/>
      <c r="CR246" s="2870"/>
      <c r="CS246" s="2877">
        <v>4.0484440016122774</v>
      </c>
      <c r="CT246" s="2875">
        <v>214942418</v>
      </c>
      <c r="CU246" s="2878">
        <v>62.169136999999999</v>
      </c>
      <c r="CV246" s="2870">
        <v>0</v>
      </c>
      <c r="CW246" s="2870">
        <v>252065453</v>
      </c>
      <c r="CX246" s="2870">
        <v>33119184</v>
      </c>
      <c r="CY246" s="2870">
        <v>0</v>
      </c>
      <c r="CZ246" s="2879">
        <v>4.5872381500164625</v>
      </c>
      <c r="DA246" s="2875">
        <v>285184637</v>
      </c>
      <c r="DB246" s="1613">
        <v>62.169136999999999</v>
      </c>
      <c r="DC246" s="2899">
        <v>0</v>
      </c>
      <c r="DE246" s="2782" t="b">
        <v>1</v>
      </c>
      <c r="DJ246" s="1611" t="e">
        <v>#N/A</v>
      </c>
      <c r="DK246" s="2782" t="e">
        <v>#N/A</v>
      </c>
      <c r="DM246" s="1650">
        <v>4.054511051038074</v>
      </c>
    </row>
    <row r="247" spans="1:117" ht="21" customHeight="1">
      <c r="A247" s="1652">
        <v>57</v>
      </c>
      <c r="B247" s="1701" t="s">
        <v>1915</v>
      </c>
      <c r="C247" s="1662">
        <v>23</v>
      </c>
      <c r="D247" s="1646">
        <v>100</v>
      </c>
      <c r="E247" s="1646"/>
      <c r="F247" s="1648" t="s">
        <v>1594</v>
      </c>
      <c r="G247" s="1648"/>
      <c r="H247" s="1648">
        <v>23</v>
      </c>
      <c r="I247" s="1648" t="s">
        <v>1717</v>
      </c>
      <c r="J247" s="1649">
        <v>2</v>
      </c>
      <c r="K247" s="1648"/>
      <c r="L247" s="1648"/>
      <c r="M247" s="1648"/>
      <c r="N247" s="1642"/>
      <c r="O247" s="2876"/>
      <c r="P247" s="2870"/>
      <c r="Q247" s="2870"/>
      <c r="R247" s="2870"/>
      <c r="S247" s="2870"/>
      <c r="T247" s="2870"/>
      <c r="U247" s="2875">
        <v>0</v>
      </c>
      <c r="V247" s="2869"/>
      <c r="W247" s="2870"/>
      <c r="X247" s="2870"/>
      <c r="Y247" s="2870"/>
      <c r="Z247" s="2870"/>
      <c r="AA247" s="2877">
        <v>0</v>
      </c>
      <c r="AB247" s="2875">
        <v>0</v>
      </c>
      <c r="AC247" s="2869"/>
      <c r="AD247" s="2870"/>
      <c r="AE247" s="2870"/>
      <c r="AF247" s="2870"/>
      <c r="AG247" s="2870"/>
      <c r="AH247" s="2877">
        <v>0</v>
      </c>
      <c r="AI247" s="2875">
        <v>0</v>
      </c>
      <c r="AJ247" s="2869"/>
      <c r="AK247" s="2870"/>
      <c r="AL247" s="2870"/>
      <c r="AM247" s="2870"/>
      <c r="AN247" s="2870"/>
      <c r="AO247" s="2877">
        <v>0</v>
      </c>
      <c r="AP247" s="2875">
        <v>0</v>
      </c>
      <c r="AQ247" s="2869">
        <v>15.175034</v>
      </c>
      <c r="AR247" s="2870"/>
      <c r="AS247" s="2870">
        <v>46435604</v>
      </c>
      <c r="AT247" s="2870"/>
      <c r="AU247" s="2870"/>
      <c r="AV247" s="2877">
        <v>3.0599999973640917</v>
      </c>
      <c r="AW247" s="2875">
        <v>46435604</v>
      </c>
      <c r="AX247" s="2869"/>
      <c r="AY247" s="2870"/>
      <c r="AZ247" s="2870"/>
      <c r="BA247" s="2870"/>
      <c r="BB247" s="2870"/>
      <c r="BC247" s="2877">
        <v>0</v>
      </c>
      <c r="BD247" s="2875">
        <v>0</v>
      </c>
      <c r="BE247" s="2869"/>
      <c r="BF247" s="2870"/>
      <c r="BG247" s="2870"/>
      <c r="BH247" s="2870"/>
      <c r="BI247" s="2870"/>
      <c r="BJ247" s="2877">
        <v>0</v>
      </c>
      <c r="BK247" s="2875">
        <v>0</v>
      </c>
      <c r="BL247" s="2869"/>
      <c r="BM247" s="2870"/>
      <c r="BN247" s="2870"/>
      <c r="BO247" s="2870"/>
      <c r="BP247" s="2870"/>
      <c r="BQ247" s="2877">
        <v>0</v>
      </c>
      <c r="BR247" s="2875">
        <v>0</v>
      </c>
      <c r="BS247" s="2869"/>
      <c r="BT247" s="2870"/>
      <c r="BU247" s="2870"/>
      <c r="BV247" s="2870"/>
      <c r="BW247" s="2870"/>
      <c r="BX247" s="2877">
        <v>0</v>
      </c>
      <c r="BY247" s="2875">
        <v>0</v>
      </c>
      <c r="BZ247" s="2869">
        <v>11.552887999999999</v>
      </c>
      <c r="CA247" s="2870"/>
      <c r="CB247" s="2870">
        <v>35351836</v>
      </c>
      <c r="CC247" s="2870"/>
      <c r="CD247" s="2870"/>
      <c r="CE247" s="2877">
        <v>3.0599998892051925</v>
      </c>
      <c r="CF247" s="2875">
        <v>35351836</v>
      </c>
      <c r="CG247" s="2869">
        <v>19.67559</v>
      </c>
      <c r="CH247" s="2870"/>
      <c r="CI247" s="2870">
        <v>60207305</v>
      </c>
      <c r="CJ247" s="2870"/>
      <c r="CK247" s="2870"/>
      <c r="CL247" s="2877">
        <v>3.0599999796702413</v>
      </c>
      <c r="CM247" s="2875">
        <v>60207305</v>
      </c>
      <c r="CN247" s="2872">
        <v>11.556775500000001</v>
      </c>
      <c r="CO247" s="2870"/>
      <c r="CP247" s="2870">
        <v>31979580</v>
      </c>
      <c r="CQ247" s="2870"/>
      <c r="CR247" s="2870"/>
      <c r="CS247" s="2877">
        <v>2.7671715176953988</v>
      </c>
      <c r="CT247" s="2875">
        <v>31979580</v>
      </c>
      <c r="CU247" s="2878">
        <v>57.9602875</v>
      </c>
      <c r="CV247" s="2870">
        <v>0</v>
      </c>
      <c r="CW247" s="2870">
        <v>173974325</v>
      </c>
      <c r="CX247" s="2870">
        <v>0</v>
      </c>
      <c r="CY247" s="2870">
        <v>0</v>
      </c>
      <c r="CZ247" s="2879">
        <v>3.001612526507913</v>
      </c>
      <c r="DA247" s="2875">
        <v>173974325</v>
      </c>
      <c r="DB247" s="1613">
        <v>57.9602875</v>
      </c>
      <c r="DC247" s="2899">
        <v>0</v>
      </c>
      <c r="DE247" s="2782" t="b">
        <v>1</v>
      </c>
      <c r="DJ247" s="1611" t="e">
        <v>#N/A</v>
      </c>
      <c r="DK247" s="2782" t="e">
        <v>#N/A</v>
      </c>
      <c r="DM247" s="1650">
        <v>3.001612526507913</v>
      </c>
    </row>
    <row r="248" spans="1:117" ht="21" customHeight="1">
      <c r="A248" s="1652">
        <v>58</v>
      </c>
      <c r="B248" s="1701" t="s">
        <v>1916</v>
      </c>
      <c r="C248" s="1662">
        <v>14</v>
      </c>
      <c r="D248" s="1646">
        <v>100</v>
      </c>
      <c r="E248" s="1646"/>
      <c r="F248" s="1648" t="s">
        <v>1594</v>
      </c>
      <c r="G248" s="1648"/>
      <c r="H248" s="1648">
        <v>14</v>
      </c>
      <c r="I248" s="1648" t="s">
        <v>1717</v>
      </c>
      <c r="J248" s="1649">
        <v>2</v>
      </c>
      <c r="K248" s="1648"/>
      <c r="L248" s="1648"/>
      <c r="M248" s="1648"/>
      <c r="N248" s="1642"/>
      <c r="O248" s="2876"/>
      <c r="P248" s="2870"/>
      <c r="Q248" s="2870"/>
      <c r="R248" s="2870"/>
      <c r="S248" s="2870"/>
      <c r="T248" s="2870"/>
      <c r="U248" s="2875">
        <v>0</v>
      </c>
      <c r="V248" s="2869"/>
      <c r="W248" s="2870"/>
      <c r="X248" s="2870"/>
      <c r="Y248" s="2870"/>
      <c r="Z248" s="2870"/>
      <c r="AA248" s="2877">
        <v>0</v>
      </c>
      <c r="AB248" s="2875">
        <v>0</v>
      </c>
      <c r="AC248" s="2869"/>
      <c r="AD248" s="2870"/>
      <c r="AE248" s="2870"/>
      <c r="AF248" s="2870"/>
      <c r="AG248" s="2870"/>
      <c r="AH248" s="2877">
        <v>0</v>
      </c>
      <c r="AI248" s="2875">
        <v>0</v>
      </c>
      <c r="AJ248" s="2869"/>
      <c r="AK248" s="2870"/>
      <c r="AL248" s="2870"/>
      <c r="AM248" s="2870"/>
      <c r="AN248" s="2870"/>
      <c r="AO248" s="2877">
        <v>0</v>
      </c>
      <c r="AP248" s="2875">
        <v>0</v>
      </c>
      <c r="AQ248" s="2869">
        <v>7.9001950000000001</v>
      </c>
      <c r="AR248" s="2870"/>
      <c r="AS248" s="2870">
        <v>23937591</v>
      </c>
      <c r="AT248" s="2870"/>
      <c r="AU248" s="2870"/>
      <c r="AV248" s="2877">
        <v>3.0300000189868732</v>
      </c>
      <c r="AW248" s="2875">
        <v>23937591</v>
      </c>
      <c r="AX248" s="2869"/>
      <c r="AY248" s="2870"/>
      <c r="AZ248" s="2870"/>
      <c r="BA248" s="2870"/>
      <c r="BB248" s="2870"/>
      <c r="BC248" s="2877">
        <v>0</v>
      </c>
      <c r="BD248" s="2875">
        <v>0</v>
      </c>
      <c r="BE248" s="2869"/>
      <c r="BF248" s="2870"/>
      <c r="BG248" s="2870"/>
      <c r="BH248" s="2870"/>
      <c r="BI248" s="2870"/>
      <c r="BJ248" s="2877">
        <v>0</v>
      </c>
      <c r="BK248" s="2875">
        <v>0</v>
      </c>
      <c r="BL248" s="2869">
        <v>6.1396750000000004</v>
      </c>
      <c r="BM248" s="2870"/>
      <c r="BN248" s="2870">
        <v>18447148</v>
      </c>
      <c r="BO248" s="2870"/>
      <c r="BP248" s="2870"/>
      <c r="BQ248" s="2877">
        <v>3.0045805356146702</v>
      </c>
      <c r="BR248" s="2875">
        <v>18447148</v>
      </c>
      <c r="BS248" s="2869"/>
      <c r="BT248" s="2870"/>
      <c r="BU248" s="2870"/>
      <c r="BV248" s="2870"/>
      <c r="BW248" s="2870"/>
      <c r="BX248" s="2877">
        <v>0</v>
      </c>
      <c r="BY248" s="2875">
        <v>0</v>
      </c>
      <c r="BZ248" s="2869"/>
      <c r="CA248" s="2870"/>
      <c r="CB248" s="2870"/>
      <c r="CC248" s="2870"/>
      <c r="CD248" s="2870"/>
      <c r="CE248" s="2877">
        <v>0</v>
      </c>
      <c r="CF248" s="2875">
        <v>0</v>
      </c>
      <c r="CG248" s="2869">
        <v>14.563424999999999</v>
      </c>
      <c r="CH248" s="2870"/>
      <c r="CI248" s="2870">
        <v>44127178</v>
      </c>
      <c r="CJ248" s="2870"/>
      <c r="CK248" s="2870"/>
      <c r="CL248" s="2877">
        <v>3.0300000171662922</v>
      </c>
      <c r="CM248" s="2875">
        <v>44127178</v>
      </c>
      <c r="CN248" s="2872">
        <v>6.5983435000000004</v>
      </c>
      <c r="CO248" s="2870"/>
      <c r="CP248" s="2870">
        <v>17668422</v>
      </c>
      <c r="CQ248" s="2870"/>
      <c r="CR248" s="2870"/>
      <c r="CS248" s="2877">
        <v>2.6777056999230187</v>
      </c>
      <c r="CT248" s="2875">
        <v>17668422</v>
      </c>
      <c r="CU248" s="2878">
        <v>35.201638500000001</v>
      </c>
      <c r="CV248" s="2870">
        <v>0</v>
      </c>
      <c r="CW248" s="2870">
        <v>104180339</v>
      </c>
      <c r="CX248" s="2870">
        <v>0</v>
      </c>
      <c r="CY248" s="2870">
        <v>0</v>
      </c>
      <c r="CZ248" s="2879">
        <v>2.9595309604693543</v>
      </c>
      <c r="DA248" s="2875">
        <v>104180339</v>
      </c>
      <c r="DB248" s="1613">
        <v>35.201638500000001</v>
      </c>
      <c r="DC248" s="2899">
        <v>0</v>
      </c>
      <c r="DE248" s="2782" t="b">
        <v>1</v>
      </c>
      <c r="DJ248" s="1611" t="e">
        <v>#N/A</v>
      </c>
      <c r="DK248" s="2782" t="e">
        <v>#N/A</v>
      </c>
      <c r="DM248" s="1650">
        <v>2.9595309604693543</v>
      </c>
    </row>
    <row r="249" spans="1:117" ht="21" customHeight="1">
      <c r="A249" s="1652">
        <v>59</v>
      </c>
      <c r="B249" s="1701" t="s">
        <v>1917</v>
      </c>
      <c r="C249" s="1662">
        <v>35</v>
      </c>
      <c r="D249" s="1646">
        <v>100</v>
      </c>
      <c r="E249" s="1646"/>
      <c r="F249" s="1648" t="s">
        <v>1594</v>
      </c>
      <c r="G249" s="1648"/>
      <c r="H249" s="1648">
        <v>35</v>
      </c>
      <c r="I249" s="1648" t="s">
        <v>1717</v>
      </c>
      <c r="J249" s="1649">
        <v>2</v>
      </c>
      <c r="K249" s="1648"/>
      <c r="L249" s="1648"/>
      <c r="M249" s="1648"/>
      <c r="N249" s="1642"/>
      <c r="O249" s="2876"/>
      <c r="P249" s="2870"/>
      <c r="Q249" s="2870"/>
      <c r="R249" s="2870"/>
      <c r="S249" s="2870"/>
      <c r="T249" s="2870"/>
      <c r="U249" s="2875">
        <v>0</v>
      </c>
      <c r="V249" s="2869"/>
      <c r="W249" s="2870"/>
      <c r="X249" s="2870"/>
      <c r="Y249" s="2870"/>
      <c r="Z249" s="2870"/>
      <c r="AA249" s="2877">
        <v>0</v>
      </c>
      <c r="AB249" s="2875">
        <v>0</v>
      </c>
      <c r="AC249" s="2869"/>
      <c r="AD249" s="2870"/>
      <c r="AE249" s="2870"/>
      <c r="AF249" s="2870"/>
      <c r="AG249" s="2870"/>
      <c r="AH249" s="2877">
        <v>0</v>
      </c>
      <c r="AI249" s="2875">
        <v>0</v>
      </c>
      <c r="AJ249" s="2869">
        <v>2.1916419999999999</v>
      </c>
      <c r="AK249" s="2870"/>
      <c r="AL249" s="2870">
        <v>7429668</v>
      </c>
      <c r="AM249" s="2870"/>
      <c r="AN249" s="2870"/>
      <c r="AO249" s="2877">
        <v>3.3900007391718172</v>
      </c>
      <c r="AP249" s="2875">
        <v>7429668</v>
      </c>
      <c r="AQ249" s="2869"/>
      <c r="AR249" s="2870"/>
      <c r="AS249" s="2870"/>
      <c r="AT249" s="2870"/>
      <c r="AU249" s="2870"/>
      <c r="AV249" s="2877">
        <v>0</v>
      </c>
      <c r="AW249" s="2875">
        <v>0</v>
      </c>
      <c r="AX249" s="2869"/>
      <c r="AY249" s="2870"/>
      <c r="AZ249" s="2870"/>
      <c r="BA249" s="2870"/>
      <c r="BB249" s="2870"/>
      <c r="BC249" s="2877">
        <v>0</v>
      </c>
      <c r="BD249" s="2875">
        <v>0</v>
      </c>
      <c r="BE249" s="2869"/>
      <c r="BF249" s="2870"/>
      <c r="BG249" s="2870"/>
      <c r="BH249" s="2870"/>
      <c r="BI249" s="2870"/>
      <c r="BJ249" s="2877">
        <v>0</v>
      </c>
      <c r="BK249" s="2875">
        <v>0</v>
      </c>
      <c r="BL249" s="2869"/>
      <c r="BM249" s="2870"/>
      <c r="BN249" s="2870"/>
      <c r="BO249" s="2870"/>
      <c r="BP249" s="2870"/>
      <c r="BQ249" s="2877">
        <v>0</v>
      </c>
      <c r="BR249" s="2875">
        <v>0</v>
      </c>
      <c r="BS249" s="2869"/>
      <c r="BT249" s="2870"/>
      <c r="BU249" s="2870"/>
      <c r="BV249" s="2870"/>
      <c r="BW249" s="2870"/>
      <c r="BX249" s="2877">
        <v>0</v>
      </c>
      <c r="BY249" s="2875">
        <v>0</v>
      </c>
      <c r="BZ249" s="2869"/>
      <c r="CA249" s="2870"/>
      <c r="CB249" s="2870"/>
      <c r="CC249" s="2870"/>
      <c r="CD249" s="2870"/>
      <c r="CE249" s="2877">
        <v>0</v>
      </c>
      <c r="CF249" s="2875">
        <v>0</v>
      </c>
      <c r="CG249" s="2869">
        <v>17.536401000000001</v>
      </c>
      <c r="CH249" s="2870"/>
      <c r="CI249" s="2870">
        <v>59352998</v>
      </c>
      <c r="CJ249" s="2870"/>
      <c r="CK249" s="2870"/>
      <c r="CL249" s="2877">
        <v>3.3845598079104144</v>
      </c>
      <c r="CM249" s="2875">
        <v>59352998</v>
      </c>
      <c r="CN249" s="2872">
        <v>0</v>
      </c>
      <c r="CO249" s="2870"/>
      <c r="CP249" s="2870">
        <v>-105056</v>
      </c>
      <c r="CQ249" s="2870"/>
      <c r="CR249" s="2870"/>
      <c r="CS249" s="2877">
        <v>0</v>
      </c>
      <c r="CT249" s="2875">
        <v>-105056</v>
      </c>
      <c r="CU249" s="2878">
        <v>19.728043</v>
      </c>
      <c r="CV249" s="2870">
        <v>0</v>
      </c>
      <c r="CW249" s="2870">
        <v>66677610</v>
      </c>
      <c r="CX249" s="2870">
        <v>0</v>
      </c>
      <c r="CY249" s="2870">
        <v>0</v>
      </c>
      <c r="CZ249" s="2879">
        <v>3.3798390443492039</v>
      </c>
      <c r="DA249" s="2875">
        <v>66677610</v>
      </c>
      <c r="DB249" s="1613">
        <v>19.728043</v>
      </c>
      <c r="DC249" s="2899">
        <v>0</v>
      </c>
      <c r="DD249" s="1613">
        <v>0</v>
      </c>
      <c r="DE249" s="2782" t="b">
        <v>1</v>
      </c>
      <c r="DJ249" s="1611" t="e">
        <v>#N/A</v>
      </c>
      <c r="DK249" s="2782" t="e">
        <v>#N/A</v>
      </c>
      <c r="DM249" s="1650">
        <v>3.3798390443492039</v>
      </c>
    </row>
    <row r="250" spans="1:117" ht="21" customHeight="1">
      <c r="A250" s="1652">
        <v>60</v>
      </c>
      <c r="B250" s="1701" t="s">
        <v>1918</v>
      </c>
      <c r="C250" s="1662">
        <v>45</v>
      </c>
      <c r="D250" s="1646">
        <v>100</v>
      </c>
      <c r="E250" s="1646"/>
      <c r="F250" s="1648" t="s">
        <v>1594</v>
      </c>
      <c r="G250" s="1648"/>
      <c r="H250" s="1648">
        <v>45</v>
      </c>
      <c r="I250" s="1648" t="s">
        <v>1717</v>
      </c>
      <c r="J250" s="1649">
        <v>2</v>
      </c>
      <c r="K250" s="1648"/>
      <c r="L250" s="1648"/>
      <c r="M250" s="1648"/>
      <c r="N250" s="1642"/>
      <c r="O250" s="2876"/>
      <c r="P250" s="2870"/>
      <c r="Q250" s="2870"/>
      <c r="R250" s="2870"/>
      <c r="S250" s="2870"/>
      <c r="T250" s="2870"/>
      <c r="U250" s="2875">
        <v>0</v>
      </c>
      <c r="V250" s="2869"/>
      <c r="W250" s="2870"/>
      <c r="X250" s="2870"/>
      <c r="Y250" s="2870"/>
      <c r="Z250" s="2870"/>
      <c r="AA250" s="2877">
        <v>0</v>
      </c>
      <c r="AB250" s="2875">
        <v>0</v>
      </c>
      <c r="AC250" s="2869"/>
      <c r="AD250" s="2870"/>
      <c r="AE250" s="2870"/>
      <c r="AF250" s="2870"/>
      <c r="AG250" s="2870"/>
      <c r="AH250" s="2877">
        <v>0</v>
      </c>
      <c r="AI250" s="2875">
        <v>0</v>
      </c>
      <c r="AJ250" s="2869">
        <v>16.085515000000001</v>
      </c>
      <c r="AK250" s="2870"/>
      <c r="AL250" s="2870">
        <v>57003844</v>
      </c>
      <c r="AM250" s="2870"/>
      <c r="AN250" s="2870"/>
      <c r="AO250" s="2877">
        <v>3.5437997477855077</v>
      </c>
      <c r="AP250" s="2875">
        <v>57003844</v>
      </c>
      <c r="AQ250" s="2869"/>
      <c r="AR250" s="2870"/>
      <c r="AS250" s="2870"/>
      <c r="AT250" s="2870"/>
      <c r="AU250" s="2870"/>
      <c r="AV250" s="2877">
        <v>0</v>
      </c>
      <c r="AW250" s="2875">
        <v>0</v>
      </c>
      <c r="AX250" s="2869"/>
      <c r="AY250" s="2870"/>
      <c r="AZ250" s="2870"/>
      <c r="BA250" s="2870"/>
      <c r="BB250" s="2870"/>
      <c r="BC250" s="2877">
        <v>0</v>
      </c>
      <c r="BD250" s="2875">
        <v>0</v>
      </c>
      <c r="BE250" s="2869"/>
      <c r="BF250" s="2870"/>
      <c r="BG250" s="2870"/>
      <c r="BH250" s="2870"/>
      <c r="BI250" s="2870"/>
      <c r="BJ250" s="2877">
        <v>0</v>
      </c>
      <c r="BK250" s="2875">
        <v>0</v>
      </c>
      <c r="BL250" s="2869"/>
      <c r="BM250" s="2870"/>
      <c r="BN250" s="2870"/>
      <c r="BO250" s="2870"/>
      <c r="BP250" s="2870"/>
      <c r="BQ250" s="2877">
        <v>0</v>
      </c>
      <c r="BR250" s="2875">
        <v>0</v>
      </c>
      <c r="BS250" s="2869"/>
      <c r="BT250" s="2870"/>
      <c r="BU250" s="2870"/>
      <c r="BV250" s="2870"/>
      <c r="BW250" s="2870"/>
      <c r="BX250" s="2877">
        <v>0</v>
      </c>
      <c r="BY250" s="2875">
        <v>0</v>
      </c>
      <c r="BZ250" s="2869"/>
      <c r="CA250" s="2870"/>
      <c r="CB250" s="2870"/>
      <c r="CC250" s="2870"/>
      <c r="CD250" s="2870"/>
      <c r="CE250" s="2877">
        <v>0</v>
      </c>
      <c r="CF250" s="2875">
        <v>0</v>
      </c>
      <c r="CG250" s="2869">
        <v>69.027974999999998</v>
      </c>
      <c r="CH250" s="2870"/>
      <c r="CI250" s="2870">
        <v>248466197</v>
      </c>
      <c r="CJ250" s="2870"/>
      <c r="CK250" s="2870"/>
      <c r="CL250" s="2877">
        <v>3.5995000143057942</v>
      </c>
      <c r="CM250" s="2875">
        <v>248466197</v>
      </c>
      <c r="CN250" s="2902">
        <v>19.668578999999998</v>
      </c>
      <c r="CO250" s="2870"/>
      <c r="CP250" s="2870">
        <v>62414510</v>
      </c>
      <c r="CQ250" s="2870"/>
      <c r="CR250" s="2870"/>
      <c r="CS250" s="2877">
        <v>3.1733105884263431</v>
      </c>
      <c r="CT250" s="2875">
        <v>62414510</v>
      </c>
      <c r="CU250" s="2878">
        <v>104.78206899999999</v>
      </c>
      <c r="CV250" s="2870">
        <v>0</v>
      </c>
      <c r="CW250" s="2870">
        <v>367884551</v>
      </c>
      <c r="CX250" s="2870">
        <v>0</v>
      </c>
      <c r="CY250" s="2870">
        <v>0</v>
      </c>
      <c r="CZ250" s="2879">
        <v>3.5109494831601387</v>
      </c>
      <c r="DA250" s="2875">
        <v>367884551</v>
      </c>
      <c r="DB250" s="1613">
        <v>104.782067</v>
      </c>
      <c r="DC250" s="2899">
        <v>-1.9999999949504854E-6</v>
      </c>
      <c r="DE250" s="2782" t="b">
        <v>0</v>
      </c>
      <c r="DJ250" s="1611" t="e">
        <v>#N/A</v>
      </c>
      <c r="DK250" s="2782" t="e">
        <v>#N/A</v>
      </c>
      <c r="DM250" s="1650">
        <v>3.5109494831601387</v>
      </c>
    </row>
    <row r="251" spans="1:117" ht="21" customHeight="1">
      <c r="A251" s="1652">
        <v>61</v>
      </c>
      <c r="B251" s="1701" t="s">
        <v>1919</v>
      </c>
      <c r="C251" s="1662">
        <v>10</v>
      </c>
      <c r="D251" s="1646">
        <v>100</v>
      </c>
      <c r="E251" s="1646"/>
      <c r="F251" s="1648" t="s">
        <v>1594</v>
      </c>
      <c r="G251" s="1648"/>
      <c r="H251" s="1648">
        <v>10</v>
      </c>
      <c r="I251" s="1648" t="s">
        <v>1717</v>
      </c>
      <c r="J251" s="1649">
        <v>2</v>
      </c>
      <c r="K251" s="1648"/>
      <c r="L251" s="1648"/>
      <c r="M251" s="1648"/>
      <c r="N251" s="1642"/>
      <c r="O251" s="2876"/>
      <c r="P251" s="2870"/>
      <c r="Q251" s="2870"/>
      <c r="R251" s="2870"/>
      <c r="S251" s="2870"/>
      <c r="T251" s="2870"/>
      <c r="U251" s="2875">
        <v>0</v>
      </c>
      <c r="V251" s="2869"/>
      <c r="W251" s="2870"/>
      <c r="X251" s="2870"/>
      <c r="Y251" s="2870"/>
      <c r="Z251" s="2870"/>
      <c r="AA251" s="2877">
        <v>0</v>
      </c>
      <c r="AB251" s="2875">
        <v>0</v>
      </c>
      <c r="AC251" s="2869"/>
      <c r="AD251" s="2870"/>
      <c r="AE251" s="2870"/>
      <c r="AF251" s="2870"/>
      <c r="AG251" s="2870"/>
      <c r="AH251" s="2877">
        <v>0</v>
      </c>
      <c r="AI251" s="2875">
        <v>0</v>
      </c>
      <c r="AJ251" s="2869">
        <v>1.5388999999999999</v>
      </c>
      <c r="AK251" s="2870"/>
      <c r="AL251" s="2870">
        <v>5970932</v>
      </c>
      <c r="AM251" s="2870"/>
      <c r="AN251" s="2870"/>
      <c r="AO251" s="2877">
        <v>3.88</v>
      </c>
      <c r="AP251" s="2875">
        <v>5970932</v>
      </c>
      <c r="AQ251" s="2869">
        <v>0.25269999999999998</v>
      </c>
      <c r="AR251" s="2870"/>
      <c r="AS251" s="2870">
        <v>980476</v>
      </c>
      <c r="AT251" s="2870"/>
      <c r="AU251" s="2870"/>
      <c r="AV251" s="2877">
        <v>3.8800000000000003</v>
      </c>
      <c r="AW251" s="2875">
        <v>980476</v>
      </c>
      <c r="AX251" s="2869"/>
      <c r="AY251" s="2870"/>
      <c r="AZ251" s="2870"/>
      <c r="BA251" s="2870"/>
      <c r="BB251" s="2870"/>
      <c r="BC251" s="2877">
        <v>0</v>
      </c>
      <c r="BD251" s="2875">
        <v>0</v>
      </c>
      <c r="BE251" s="2869">
        <v>2.5550000000000002</v>
      </c>
      <c r="BF251" s="2870"/>
      <c r="BG251" s="2870">
        <v>9913400</v>
      </c>
      <c r="BH251" s="2870"/>
      <c r="BI251" s="2870"/>
      <c r="BJ251" s="2877">
        <v>3.88</v>
      </c>
      <c r="BK251" s="2875">
        <v>9913400</v>
      </c>
      <c r="BL251" s="2869">
        <v>5.6325250000000002</v>
      </c>
      <c r="BM251" s="2870"/>
      <c r="BN251" s="2870">
        <v>22473775</v>
      </c>
      <c r="BO251" s="2870"/>
      <c r="BP251" s="2870"/>
      <c r="BQ251" s="2877">
        <v>3.9900000443850669</v>
      </c>
      <c r="BR251" s="2875">
        <v>22473775</v>
      </c>
      <c r="BS251" s="2869"/>
      <c r="BT251" s="2870"/>
      <c r="BU251" s="2870"/>
      <c r="BV251" s="2870"/>
      <c r="BW251" s="2870"/>
      <c r="BX251" s="2877">
        <v>0</v>
      </c>
      <c r="BY251" s="2875">
        <v>0</v>
      </c>
      <c r="BZ251" s="2869"/>
      <c r="CA251" s="2870"/>
      <c r="CB251" s="2870"/>
      <c r="CC251" s="2870"/>
      <c r="CD251" s="2870"/>
      <c r="CE251" s="2877">
        <v>0</v>
      </c>
      <c r="CF251" s="2875">
        <v>0</v>
      </c>
      <c r="CG251" s="2869">
        <v>14.574499999999999</v>
      </c>
      <c r="CH251" s="2870"/>
      <c r="CI251" s="2870">
        <v>58152255</v>
      </c>
      <c r="CJ251" s="2870"/>
      <c r="CK251" s="2870"/>
      <c r="CL251" s="2877">
        <v>3.9900000000000007</v>
      </c>
      <c r="CM251" s="2875">
        <v>58152255</v>
      </c>
      <c r="CN251" s="2872">
        <v>8.7690751600000016</v>
      </c>
      <c r="CO251" s="2870"/>
      <c r="CP251" s="2870">
        <v>34988610</v>
      </c>
      <c r="CQ251" s="2870"/>
      <c r="CR251" s="2870"/>
      <c r="CS251" s="2877">
        <v>3.9900000127265409</v>
      </c>
      <c r="CT251" s="2875">
        <v>34988610</v>
      </c>
      <c r="CU251" s="2878">
        <v>33.322700159999997</v>
      </c>
      <c r="CV251" s="2870">
        <v>0</v>
      </c>
      <c r="CW251" s="2870">
        <v>132479448</v>
      </c>
      <c r="CX251" s="2870">
        <v>0</v>
      </c>
      <c r="CY251" s="2870">
        <v>0</v>
      </c>
      <c r="CZ251" s="2879">
        <v>3.9756516537944329</v>
      </c>
      <c r="DA251" s="2875">
        <v>132479448</v>
      </c>
      <c r="DB251" s="1613">
        <v>33.322699999999998</v>
      </c>
      <c r="DC251" s="2899">
        <v>-1.5999999902760464E-7</v>
      </c>
      <c r="DD251" s="1613">
        <v>0</v>
      </c>
      <c r="DE251" s="2782" t="b">
        <v>0</v>
      </c>
      <c r="DJ251" s="1611" t="e">
        <v>#N/A</v>
      </c>
      <c r="DK251" s="2782" t="e">
        <v>#N/A</v>
      </c>
      <c r="DM251" s="1650">
        <v>3.9756516537944329</v>
      </c>
    </row>
    <row r="252" spans="1:117" ht="21" customHeight="1">
      <c r="A252" s="1652">
        <v>62</v>
      </c>
      <c r="B252" s="1701" t="s">
        <v>1920</v>
      </c>
      <c r="C252" s="1662">
        <v>14.67</v>
      </c>
      <c r="D252" s="1646">
        <v>100</v>
      </c>
      <c r="E252" s="1646"/>
      <c r="F252" s="1648" t="s">
        <v>1594</v>
      </c>
      <c r="G252" s="1648"/>
      <c r="H252" s="1648">
        <v>14.67</v>
      </c>
      <c r="I252" s="1648" t="s">
        <v>1717</v>
      </c>
      <c r="J252" s="1649">
        <v>2</v>
      </c>
      <c r="K252" s="1648"/>
      <c r="L252" s="1648"/>
      <c r="M252" s="1648"/>
      <c r="N252" s="1642"/>
      <c r="O252" s="2876">
        <v>8.6156740000000003</v>
      </c>
      <c r="P252" s="2870"/>
      <c r="Q252" s="2870">
        <v>56863446</v>
      </c>
      <c r="R252" s="2870"/>
      <c r="S252" s="2870"/>
      <c r="T252" s="2870">
        <v>6.5999997214379285</v>
      </c>
      <c r="U252" s="2875">
        <v>56863446</v>
      </c>
      <c r="V252" s="2869">
        <v>9.1141880000000004</v>
      </c>
      <c r="W252" s="2870"/>
      <c r="X252" s="2870">
        <v>60153641</v>
      </c>
      <c r="Y252" s="2870"/>
      <c r="Z252" s="2870"/>
      <c r="AA252" s="2877">
        <v>6.6000000219438091</v>
      </c>
      <c r="AB252" s="2875">
        <v>60153641</v>
      </c>
      <c r="AC252" s="2869">
        <v>7.2641080000000002</v>
      </c>
      <c r="AD252" s="2870"/>
      <c r="AE252" s="2870">
        <v>47943113</v>
      </c>
      <c r="AF252" s="2870"/>
      <c r="AG252" s="2870"/>
      <c r="AH252" s="2877">
        <v>6.60000002753263</v>
      </c>
      <c r="AI252" s="2875">
        <v>47943113</v>
      </c>
      <c r="AJ252" s="2869">
        <v>8.6246130000000001</v>
      </c>
      <c r="AK252" s="2870"/>
      <c r="AL252" s="2870">
        <v>56922446</v>
      </c>
      <c r="AM252" s="2870"/>
      <c r="AN252" s="2870"/>
      <c r="AO252" s="2877">
        <v>6.6000000231894465</v>
      </c>
      <c r="AP252" s="2875">
        <v>56922446</v>
      </c>
      <c r="AQ252" s="2869">
        <v>7.8179090000000002</v>
      </c>
      <c r="AR252" s="2870"/>
      <c r="AS252" s="2870">
        <v>51598199</v>
      </c>
      <c r="AT252" s="2870"/>
      <c r="AU252" s="2870"/>
      <c r="AV252" s="2877">
        <v>6.599999948835424</v>
      </c>
      <c r="AW252" s="2875">
        <v>51598199</v>
      </c>
      <c r="AX252" s="2869">
        <v>5.6497570000000001</v>
      </c>
      <c r="AY252" s="2870"/>
      <c r="AZ252" s="2870">
        <v>37288396</v>
      </c>
      <c r="BA252" s="2870"/>
      <c r="BB252" s="2870"/>
      <c r="BC252" s="2877">
        <v>6.5999999646002472</v>
      </c>
      <c r="BD252" s="2875">
        <v>37288396</v>
      </c>
      <c r="BE252" s="2869"/>
      <c r="BF252" s="2870"/>
      <c r="BG252" s="2870"/>
      <c r="BH252" s="2870"/>
      <c r="BI252" s="2870"/>
      <c r="BJ252" s="2877">
        <v>0</v>
      </c>
      <c r="BK252" s="2875">
        <v>0</v>
      </c>
      <c r="BL252" s="2869"/>
      <c r="BM252" s="2870"/>
      <c r="BN252" s="2870"/>
      <c r="BO252" s="2870"/>
      <c r="BP252" s="2870"/>
      <c r="BQ252" s="2877">
        <v>0</v>
      </c>
      <c r="BR252" s="2875">
        <v>0</v>
      </c>
      <c r="BS252" s="2869">
        <v>7.6877620000000002</v>
      </c>
      <c r="BT252" s="2870"/>
      <c r="BU252" s="2870">
        <v>50739233</v>
      </c>
      <c r="BV252" s="2870"/>
      <c r="BW252" s="2870"/>
      <c r="BX252" s="2877">
        <v>6.6000004942920967</v>
      </c>
      <c r="BY252" s="2875">
        <v>50739233</v>
      </c>
      <c r="BZ252" s="2869">
        <v>8.3351849999999992</v>
      </c>
      <c r="CA252" s="2870"/>
      <c r="CB252" s="2870">
        <v>55012221</v>
      </c>
      <c r="CC252" s="2870"/>
      <c r="CD252" s="2870"/>
      <c r="CE252" s="2877">
        <v>6.6000000000000005</v>
      </c>
      <c r="CF252" s="2875">
        <v>55012221</v>
      </c>
      <c r="CG252" s="2869">
        <v>7.3297949999999998</v>
      </c>
      <c r="CH252" s="2870"/>
      <c r="CI252" s="2870">
        <v>48376647</v>
      </c>
      <c r="CJ252" s="2870"/>
      <c r="CK252" s="2870"/>
      <c r="CL252" s="2877">
        <v>6.6</v>
      </c>
      <c r="CM252" s="2875">
        <v>48376647</v>
      </c>
      <c r="CN252" s="2872">
        <v>11.52117</v>
      </c>
      <c r="CO252" s="2870"/>
      <c r="CP252" s="2870">
        <v>75838448.349976003</v>
      </c>
      <c r="CQ252" s="2870"/>
      <c r="CR252" s="2870"/>
      <c r="CS252" s="2877">
        <v>6.5825301032773584</v>
      </c>
      <c r="CT252" s="2875">
        <v>75838448.349976003</v>
      </c>
      <c r="CU252" s="2878">
        <v>81.960160999999999</v>
      </c>
      <c r="CV252" s="2870">
        <v>0</v>
      </c>
      <c r="CW252" s="2870">
        <v>540735790.34997606</v>
      </c>
      <c r="CX252" s="2870">
        <v>0</v>
      </c>
      <c r="CY252" s="2870">
        <v>0</v>
      </c>
      <c r="CZ252" s="2879">
        <v>6.5975442672687779</v>
      </c>
      <c r="DA252" s="2875">
        <v>540735790.34997606</v>
      </c>
      <c r="DB252" s="1613">
        <v>81.960160999999999</v>
      </c>
      <c r="DC252" s="2899">
        <v>0</v>
      </c>
      <c r="DE252" s="2782" t="b">
        <v>1</v>
      </c>
      <c r="DJ252" s="1611" t="e">
        <v>#N/A</v>
      </c>
      <c r="DK252" s="2782" t="e">
        <v>#N/A</v>
      </c>
      <c r="DM252" s="1650">
        <v>6.5975442672687779</v>
      </c>
    </row>
    <row r="253" spans="1:117" ht="21" customHeight="1">
      <c r="A253" s="1652">
        <v>63</v>
      </c>
      <c r="B253" s="1701" t="s">
        <v>1921</v>
      </c>
      <c r="C253" s="1662">
        <v>24</v>
      </c>
      <c r="D253" s="1646">
        <v>100</v>
      </c>
      <c r="E253" s="1646"/>
      <c r="F253" s="1648" t="s">
        <v>1594</v>
      </c>
      <c r="G253" s="1648"/>
      <c r="H253" s="1648">
        <v>24</v>
      </c>
      <c r="I253" s="1648" t="s">
        <v>1717</v>
      </c>
      <c r="J253" s="1649">
        <v>2</v>
      </c>
      <c r="K253" s="1648"/>
      <c r="L253" s="1648"/>
      <c r="M253" s="1648"/>
      <c r="N253" s="1642"/>
      <c r="O253" s="2876"/>
      <c r="P253" s="2870"/>
      <c r="Q253" s="2870"/>
      <c r="R253" s="2870"/>
      <c r="S253" s="2870"/>
      <c r="T253" s="2870"/>
      <c r="U253" s="2875">
        <v>0</v>
      </c>
      <c r="V253" s="2869"/>
      <c r="W253" s="2870"/>
      <c r="X253" s="2870"/>
      <c r="Y253" s="2870"/>
      <c r="Z253" s="2870"/>
      <c r="AA253" s="2877">
        <v>0</v>
      </c>
      <c r="AB253" s="2875">
        <v>0</v>
      </c>
      <c r="AC253" s="2869"/>
      <c r="AD253" s="2870"/>
      <c r="AE253" s="2870"/>
      <c r="AF253" s="2870"/>
      <c r="AG253" s="2870"/>
      <c r="AH253" s="2877">
        <v>0</v>
      </c>
      <c r="AI253" s="2875">
        <v>0</v>
      </c>
      <c r="AJ253" s="2869"/>
      <c r="AK253" s="2870"/>
      <c r="AL253" s="2870"/>
      <c r="AM253" s="2870"/>
      <c r="AN253" s="2870"/>
      <c r="AO253" s="2877">
        <v>0</v>
      </c>
      <c r="AP253" s="2875">
        <v>0</v>
      </c>
      <c r="AQ253" s="2869">
        <v>29.076732</v>
      </c>
      <c r="AR253" s="2870"/>
      <c r="AS253" s="2870">
        <v>118560834</v>
      </c>
      <c r="AT253" s="2870"/>
      <c r="AU253" s="2870"/>
      <c r="AV253" s="2877">
        <v>4.0775157951037961</v>
      </c>
      <c r="AW253" s="2875">
        <v>118560834</v>
      </c>
      <c r="AX253" s="2869"/>
      <c r="AY253" s="2870"/>
      <c r="AZ253" s="2870"/>
      <c r="BA253" s="2870"/>
      <c r="BB253" s="2870"/>
      <c r="BC253" s="2877">
        <v>0</v>
      </c>
      <c r="BD253" s="2875">
        <v>0</v>
      </c>
      <c r="BE253" s="2869"/>
      <c r="BF253" s="2870"/>
      <c r="BG253" s="2870"/>
      <c r="BH253" s="2870"/>
      <c r="BI253" s="2870"/>
      <c r="BJ253" s="2877">
        <v>0</v>
      </c>
      <c r="BK253" s="2875">
        <v>0</v>
      </c>
      <c r="BL253" s="2869"/>
      <c r="BM253" s="2870"/>
      <c r="BN253" s="2870"/>
      <c r="BO253" s="2870"/>
      <c r="BP253" s="2870"/>
      <c r="BQ253" s="2877">
        <v>0</v>
      </c>
      <c r="BR253" s="2875">
        <v>0</v>
      </c>
      <c r="BS253" s="2869"/>
      <c r="BT253" s="2870"/>
      <c r="BU253" s="2870"/>
      <c r="BV253" s="2870"/>
      <c r="BW253" s="2870"/>
      <c r="BX253" s="2877">
        <v>0</v>
      </c>
      <c r="BY253" s="2875">
        <v>0</v>
      </c>
      <c r="BZ253" s="2869"/>
      <c r="CA253" s="2870"/>
      <c r="CB253" s="2870"/>
      <c r="CC253" s="2870"/>
      <c r="CD253" s="2870"/>
      <c r="CE253" s="2877">
        <v>0</v>
      </c>
      <c r="CF253" s="2875">
        <v>0</v>
      </c>
      <c r="CG253" s="2869"/>
      <c r="CH253" s="2870"/>
      <c r="CI253" s="2870"/>
      <c r="CJ253" s="2870"/>
      <c r="CK253" s="2870"/>
      <c r="CL253" s="2877">
        <v>0</v>
      </c>
      <c r="CM253" s="2875">
        <v>0</v>
      </c>
      <c r="CN253" s="2872">
        <v>63.909008</v>
      </c>
      <c r="CO253" s="2870"/>
      <c r="CP253" s="2870">
        <v>258242958.90000001</v>
      </c>
      <c r="CQ253" s="2870"/>
      <c r="CR253" s="2870"/>
      <c r="CS253" s="2877">
        <v>4.0407912277405398</v>
      </c>
      <c r="CT253" s="2875">
        <v>258242958.90000001</v>
      </c>
      <c r="CU253" s="2878">
        <v>92.985739999999993</v>
      </c>
      <c r="CV253" s="2870">
        <v>0</v>
      </c>
      <c r="CW253" s="2870">
        <v>376803792.89999998</v>
      </c>
      <c r="CX253" s="2870">
        <v>0</v>
      </c>
      <c r="CY253" s="2870">
        <v>0</v>
      </c>
      <c r="CZ253" s="2879">
        <v>4.052275035935617</v>
      </c>
      <c r="DA253" s="2875">
        <v>376803792.89999998</v>
      </c>
      <c r="DB253" s="1613">
        <v>92.985740000000007</v>
      </c>
      <c r="DC253" s="2899">
        <v>0</v>
      </c>
      <c r="DE253" s="2782" t="b">
        <v>1</v>
      </c>
      <c r="DJ253" s="1611" t="e">
        <v>#N/A</v>
      </c>
      <c r="DK253" s="2782" t="e">
        <v>#N/A</v>
      </c>
      <c r="DM253" s="1650">
        <v>4.052275035935617</v>
      </c>
    </row>
    <row r="254" spans="1:117" ht="21" customHeight="1">
      <c r="A254" s="1652">
        <v>64</v>
      </c>
      <c r="B254" s="1701" t="s">
        <v>1922</v>
      </c>
      <c r="C254" s="1662">
        <v>28</v>
      </c>
      <c r="D254" s="1646">
        <v>100</v>
      </c>
      <c r="E254" s="1646"/>
      <c r="F254" s="1648" t="s">
        <v>1594</v>
      </c>
      <c r="G254" s="1648"/>
      <c r="H254" s="1648">
        <v>28</v>
      </c>
      <c r="I254" s="1648" t="s">
        <v>1717</v>
      </c>
      <c r="J254" s="1649">
        <v>2</v>
      </c>
      <c r="K254" s="1648"/>
      <c r="L254" s="1648"/>
      <c r="M254" s="1648"/>
      <c r="N254" s="1642"/>
      <c r="O254" s="2876"/>
      <c r="P254" s="2870"/>
      <c r="Q254" s="2870"/>
      <c r="R254" s="2870"/>
      <c r="S254" s="2870"/>
      <c r="T254" s="2870"/>
      <c r="U254" s="2875">
        <v>0</v>
      </c>
      <c r="V254" s="2869"/>
      <c r="W254" s="2870"/>
      <c r="X254" s="2870"/>
      <c r="Y254" s="2870"/>
      <c r="Z254" s="2870"/>
      <c r="AA254" s="2877">
        <v>0</v>
      </c>
      <c r="AB254" s="2875">
        <v>0</v>
      </c>
      <c r="AC254" s="2869"/>
      <c r="AD254" s="2870"/>
      <c r="AE254" s="2870"/>
      <c r="AF254" s="2870"/>
      <c r="AG254" s="2870"/>
      <c r="AH254" s="2877">
        <v>0</v>
      </c>
      <c r="AI254" s="2875">
        <v>0</v>
      </c>
      <c r="AJ254" s="2869">
        <v>16.911371000000003</v>
      </c>
      <c r="AK254" s="2870"/>
      <c r="AL254" s="2870">
        <v>73226239</v>
      </c>
      <c r="AM254" s="2870"/>
      <c r="AN254" s="2870"/>
      <c r="AO254" s="2877">
        <v>4.3300001519687541</v>
      </c>
      <c r="AP254" s="2875">
        <v>73226239</v>
      </c>
      <c r="AQ254" s="2869"/>
      <c r="AR254" s="2870"/>
      <c r="AS254" s="2870"/>
      <c r="AT254" s="2870"/>
      <c r="AU254" s="2870"/>
      <c r="AV254" s="2877">
        <v>0</v>
      </c>
      <c r="AW254" s="2875">
        <v>0</v>
      </c>
      <c r="AX254" s="2869"/>
      <c r="AY254" s="2870"/>
      <c r="AZ254" s="2870"/>
      <c r="BA254" s="2870"/>
      <c r="BB254" s="2870"/>
      <c r="BC254" s="2877">
        <v>0</v>
      </c>
      <c r="BD254" s="2875">
        <v>0</v>
      </c>
      <c r="BE254" s="2869"/>
      <c r="BF254" s="2870"/>
      <c r="BG254" s="2870"/>
      <c r="BH254" s="2870"/>
      <c r="BI254" s="2870"/>
      <c r="BJ254" s="2877">
        <v>0</v>
      </c>
      <c r="BK254" s="2875">
        <v>0</v>
      </c>
      <c r="BL254" s="2869"/>
      <c r="BM254" s="2870"/>
      <c r="BN254" s="2870"/>
      <c r="BO254" s="2870"/>
      <c r="BP254" s="2870"/>
      <c r="BQ254" s="2877">
        <v>0</v>
      </c>
      <c r="BR254" s="2875">
        <v>0</v>
      </c>
      <c r="BS254" s="2869"/>
      <c r="BT254" s="2870"/>
      <c r="BU254" s="2870"/>
      <c r="BV254" s="2870"/>
      <c r="BW254" s="2870"/>
      <c r="BX254" s="2877">
        <v>0</v>
      </c>
      <c r="BY254" s="2875">
        <v>0</v>
      </c>
      <c r="BZ254" s="2869">
        <v>33.368750000000006</v>
      </c>
      <c r="CA254" s="2870"/>
      <c r="CB254" s="2870">
        <v>144486688</v>
      </c>
      <c r="CC254" s="2870"/>
      <c r="CD254" s="2870"/>
      <c r="CE254" s="2877">
        <v>4.330000014984078</v>
      </c>
      <c r="CF254" s="2875">
        <v>144486688</v>
      </c>
      <c r="CG254" s="2869">
        <v>14.535488000000001</v>
      </c>
      <c r="CH254" s="2870"/>
      <c r="CI254" s="2870">
        <v>62938661</v>
      </c>
      <c r="CJ254" s="2870"/>
      <c r="CK254" s="2870"/>
      <c r="CL254" s="2877">
        <v>4.3299998596538352</v>
      </c>
      <c r="CM254" s="2875">
        <v>62938661</v>
      </c>
      <c r="CN254" s="2878">
        <v>16.619000519999986</v>
      </c>
      <c r="CO254" s="2870"/>
      <c r="CP254" s="2896">
        <v>68748834</v>
      </c>
      <c r="CQ254" s="2870"/>
      <c r="CR254" s="2870"/>
      <c r="CS254" s="2877">
        <v>4.1367610475289913</v>
      </c>
      <c r="CT254" s="2875">
        <v>68748834</v>
      </c>
      <c r="CU254" s="2878">
        <v>81.434609519999995</v>
      </c>
      <c r="CV254" s="2870">
        <v>0</v>
      </c>
      <c r="CW254" s="2870">
        <v>349400422</v>
      </c>
      <c r="CX254" s="2870">
        <v>0</v>
      </c>
      <c r="CY254" s="2870">
        <v>0</v>
      </c>
      <c r="CZ254" s="2879">
        <v>4.2905642215204427</v>
      </c>
      <c r="DA254" s="2875">
        <v>349400422</v>
      </c>
      <c r="DB254" s="1613">
        <v>81.434609519999995</v>
      </c>
      <c r="DC254" s="2899">
        <v>0</v>
      </c>
      <c r="DE254" s="2782" t="b">
        <v>1</v>
      </c>
      <c r="DJ254" s="1611" t="e">
        <v>#N/A</v>
      </c>
      <c r="DK254" s="2782" t="e">
        <v>#N/A</v>
      </c>
      <c r="DM254" s="1650">
        <v>4.2905642215204427</v>
      </c>
    </row>
    <row r="255" spans="1:117" ht="21" customHeight="1">
      <c r="A255" s="1652">
        <v>65</v>
      </c>
      <c r="B255" s="1701" t="s">
        <v>1923</v>
      </c>
      <c r="C255" s="1662">
        <v>16</v>
      </c>
      <c r="D255" s="1646">
        <v>100</v>
      </c>
      <c r="E255" s="1646"/>
      <c r="F255" s="1648" t="s">
        <v>1594</v>
      </c>
      <c r="G255" s="1648"/>
      <c r="H255" s="1648">
        <v>16</v>
      </c>
      <c r="I255" s="1648" t="s">
        <v>1717</v>
      </c>
      <c r="J255" s="1649">
        <v>2</v>
      </c>
      <c r="K255" s="1648"/>
      <c r="L255" s="1648"/>
      <c r="M255" s="1648"/>
      <c r="N255" s="1642"/>
      <c r="O255" s="2876"/>
      <c r="P255" s="2870"/>
      <c r="Q255" s="2870"/>
      <c r="R255" s="2870"/>
      <c r="S255" s="2870"/>
      <c r="T255" s="2870"/>
      <c r="U255" s="2875">
        <v>0</v>
      </c>
      <c r="V255" s="2869"/>
      <c r="W255" s="2870"/>
      <c r="X255" s="2870"/>
      <c r="Y255" s="2870"/>
      <c r="Z255" s="2870"/>
      <c r="AA255" s="2877">
        <v>0</v>
      </c>
      <c r="AB255" s="2875">
        <v>0</v>
      </c>
      <c r="AC255" s="2869"/>
      <c r="AD255" s="2870"/>
      <c r="AE255" s="2870"/>
      <c r="AF255" s="2870"/>
      <c r="AG255" s="2870"/>
      <c r="AH255" s="2877">
        <v>0</v>
      </c>
      <c r="AI255" s="2875">
        <v>0</v>
      </c>
      <c r="AJ255" s="2869"/>
      <c r="AK255" s="2870"/>
      <c r="AL255" s="2870"/>
      <c r="AM255" s="2870"/>
      <c r="AN255" s="2870"/>
      <c r="AO255" s="2877">
        <v>0</v>
      </c>
      <c r="AP255" s="2875">
        <v>0</v>
      </c>
      <c r="AQ255" s="2869"/>
      <c r="AR255" s="2870"/>
      <c r="AS255" s="2870"/>
      <c r="AT255" s="2870"/>
      <c r="AU255" s="2870"/>
      <c r="AV255" s="2877">
        <v>0</v>
      </c>
      <c r="AW255" s="2875">
        <v>0</v>
      </c>
      <c r="AX255" s="2869">
        <v>13.222932</v>
      </c>
      <c r="AY255" s="2870"/>
      <c r="AZ255" s="2870">
        <v>208156928</v>
      </c>
      <c r="BA255" s="2870"/>
      <c r="BB255" s="2870"/>
      <c r="BC255" s="2877">
        <v>15.742115893812356</v>
      </c>
      <c r="BD255" s="2875">
        <v>208156928</v>
      </c>
      <c r="BE255" s="2869"/>
      <c r="BF255" s="2870"/>
      <c r="BG255" s="2870"/>
      <c r="BH255" s="2870"/>
      <c r="BI255" s="2870"/>
      <c r="BJ255" s="2877">
        <v>0</v>
      </c>
      <c r="BK255" s="2875">
        <v>0</v>
      </c>
      <c r="BL255" s="2869"/>
      <c r="BM255" s="2870"/>
      <c r="BN255" s="2870"/>
      <c r="BO255" s="2870"/>
      <c r="BP255" s="2870"/>
      <c r="BQ255" s="2877">
        <v>0</v>
      </c>
      <c r="BR255" s="2875">
        <v>0</v>
      </c>
      <c r="BS255" s="2869"/>
      <c r="BT255" s="2870"/>
      <c r="BU255" s="2870"/>
      <c r="BV255" s="2870"/>
      <c r="BW255" s="2870"/>
      <c r="BX255" s="2877">
        <v>0</v>
      </c>
      <c r="BY255" s="2875">
        <v>0</v>
      </c>
      <c r="BZ255" s="2869"/>
      <c r="CA255" s="2870"/>
      <c r="CB255" s="2870"/>
      <c r="CC255" s="2870"/>
      <c r="CD255" s="2870"/>
      <c r="CE255" s="2877">
        <v>0</v>
      </c>
      <c r="CF255" s="2875">
        <v>0</v>
      </c>
      <c r="CG255" s="2869"/>
      <c r="CH255" s="2870"/>
      <c r="CI255" s="2870"/>
      <c r="CJ255" s="2870"/>
      <c r="CK255" s="2870"/>
      <c r="CL255" s="2877">
        <v>0</v>
      </c>
      <c r="CM255" s="2875">
        <v>0</v>
      </c>
      <c r="CN255" s="2902">
        <v>46.231473999999999</v>
      </c>
      <c r="CO255" s="2870"/>
      <c r="CP255" s="2870">
        <v>223982.37999999523</v>
      </c>
      <c r="CQ255" s="2870"/>
      <c r="CR255" s="2870"/>
      <c r="CS255" s="2877">
        <v>4.8448029150010494E-3</v>
      </c>
      <c r="CT255" s="2875">
        <v>223982.37999999523</v>
      </c>
      <c r="CU255" s="2878">
        <v>59.454405999999999</v>
      </c>
      <c r="CV255" s="2870">
        <v>0</v>
      </c>
      <c r="CW255" s="2870">
        <v>208380910.38</v>
      </c>
      <c r="CX255" s="2870">
        <v>0</v>
      </c>
      <c r="CY255" s="2870">
        <v>0</v>
      </c>
      <c r="CZ255" s="2879">
        <v>3.5048859184633012</v>
      </c>
      <c r="DA255" s="2875">
        <v>208380910.38</v>
      </c>
      <c r="DB255" s="1613">
        <v>59.454405999999999</v>
      </c>
      <c r="DC255" s="2899">
        <v>0</v>
      </c>
      <c r="DE255" s="2782" t="b">
        <v>1</v>
      </c>
      <c r="DJ255" s="1611" t="e">
        <v>#N/A</v>
      </c>
      <c r="DK255" s="2782" t="e">
        <v>#N/A</v>
      </c>
      <c r="DM255" s="1650">
        <v>3.5048859184633012</v>
      </c>
    </row>
    <row r="256" spans="1:117" ht="21" customHeight="1">
      <c r="A256" s="1652">
        <v>66</v>
      </c>
      <c r="B256" s="1701" t="s">
        <v>1924</v>
      </c>
      <c r="C256" s="1662">
        <v>5</v>
      </c>
      <c r="D256" s="1646">
        <v>100</v>
      </c>
      <c r="E256" s="1646"/>
      <c r="F256" s="1648" t="s">
        <v>1594</v>
      </c>
      <c r="G256" s="1648"/>
      <c r="H256" s="1648">
        <v>5</v>
      </c>
      <c r="I256" s="1648" t="s">
        <v>1717</v>
      </c>
      <c r="J256" s="1649">
        <v>2</v>
      </c>
      <c r="K256" s="1648"/>
      <c r="L256" s="1648"/>
      <c r="M256" s="1648"/>
      <c r="N256" s="1642"/>
      <c r="O256" s="2876"/>
      <c r="P256" s="2870"/>
      <c r="Q256" s="2870"/>
      <c r="R256" s="2870"/>
      <c r="S256" s="2870"/>
      <c r="T256" s="2870"/>
      <c r="U256" s="2875">
        <v>0</v>
      </c>
      <c r="V256" s="2869"/>
      <c r="W256" s="2870"/>
      <c r="X256" s="2870"/>
      <c r="Y256" s="2870"/>
      <c r="Z256" s="2870"/>
      <c r="AA256" s="2877">
        <v>0</v>
      </c>
      <c r="AB256" s="2875">
        <v>0</v>
      </c>
      <c r="AC256" s="2869"/>
      <c r="AD256" s="2870"/>
      <c r="AE256" s="2870"/>
      <c r="AF256" s="2870"/>
      <c r="AG256" s="2870"/>
      <c r="AH256" s="2877">
        <v>0</v>
      </c>
      <c r="AI256" s="2875">
        <v>0</v>
      </c>
      <c r="AJ256" s="2869"/>
      <c r="AK256" s="2870"/>
      <c r="AL256" s="2870"/>
      <c r="AM256" s="2870"/>
      <c r="AN256" s="2870"/>
      <c r="AO256" s="2877">
        <v>0</v>
      </c>
      <c r="AP256" s="2875">
        <v>0</v>
      </c>
      <c r="AQ256" s="2869"/>
      <c r="AR256" s="2870"/>
      <c r="AS256" s="2870"/>
      <c r="AT256" s="2870"/>
      <c r="AU256" s="2870"/>
      <c r="AV256" s="2877">
        <v>0</v>
      </c>
      <c r="AW256" s="2875">
        <v>0</v>
      </c>
      <c r="AX256" s="2869"/>
      <c r="AY256" s="2870"/>
      <c r="AZ256" s="2870"/>
      <c r="BA256" s="2870"/>
      <c r="BB256" s="2870"/>
      <c r="BC256" s="2877">
        <v>0</v>
      </c>
      <c r="BD256" s="2875">
        <v>0</v>
      </c>
      <c r="BE256" s="2869">
        <v>1.9349240000000001</v>
      </c>
      <c r="BF256" s="2870"/>
      <c r="BG256" s="2870">
        <v>5901518</v>
      </c>
      <c r="BH256" s="2870"/>
      <c r="BI256" s="2870"/>
      <c r="BJ256" s="2877">
        <v>3.0499998966367672</v>
      </c>
      <c r="BK256" s="2875">
        <v>5901518</v>
      </c>
      <c r="BL256" s="2869"/>
      <c r="BM256" s="2870"/>
      <c r="BN256" s="2870"/>
      <c r="BO256" s="2870"/>
      <c r="BP256" s="2870"/>
      <c r="BQ256" s="2877">
        <v>0</v>
      </c>
      <c r="BR256" s="2875">
        <v>0</v>
      </c>
      <c r="BS256" s="2869"/>
      <c r="BT256" s="2870"/>
      <c r="BU256" s="2870"/>
      <c r="BV256" s="2870"/>
      <c r="BW256" s="2870"/>
      <c r="BX256" s="2877">
        <v>0</v>
      </c>
      <c r="BY256" s="2875">
        <v>0</v>
      </c>
      <c r="BZ256" s="2869"/>
      <c r="CA256" s="2870"/>
      <c r="CB256" s="2870"/>
      <c r="CC256" s="2870"/>
      <c r="CD256" s="2870"/>
      <c r="CE256" s="2877">
        <v>0</v>
      </c>
      <c r="CF256" s="2875">
        <v>0</v>
      </c>
      <c r="CG256" s="2869"/>
      <c r="CH256" s="2870"/>
      <c r="CI256" s="2870"/>
      <c r="CJ256" s="2870"/>
      <c r="CK256" s="2870"/>
      <c r="CL256" s="2877">
        <v>0</v>
      </c>
      <c r="CM256" s="2875">
        <v>0</v>
      </c>
      <c r="CN256" s="2872">
        <v>11.210892999999999</v>
      </c>
      <c r="CO256" s="2870"/>
      <c r="CP256" s="2870">
        <v>32819798.25</v>
      </c>
      <c r="CQ256" s="2870"/>
      <c r="CR256" s="2870"/>
      <c r="CS256" s="2877">
        <v>2.9274918822256182</v>
      </c>
      <c r="CT256" s="2875">
        <v>32819798.25</v>
      </c>
      <c r="CU256" s="2878">
        <v>13.145816999999999</v>
      </c>
      <c r="CV256" s="2870">
        <v>0</v>
      </c>
      <c r="CW256" s="2870">
        <v>38721316.25</v>
      </c>
      <c r="CX256" s="2870">
        <v>0</v>
      </c>
      <c r="CY256" s="2870">
        <v>0</v>
      </c>
      <c r="CZ256" s="2879">
        <v>2.9455237548187383</v>
      </c>
      <c r="DA256" s="2875">
        <v>38721316.25</v>
      </c>
      <c r="DB256" s="1613">
        <v>13.145816999999999</v>
      </c>
      <c r="DC256" s="2899">
        <v>0</v>
      </c>
      <c r="DE256" s="2782" t="b">
        <v>1</v>
      </c>
      <c r="DJ256" s="1611" t="e">
        <v>#N/A</v>
      </c>
      <c r="DK256" s="2782" t="e">
        <v>#N/A</v>
      </c>
      <c r="DM256" s="1650">
        <v>2.9455237548187383</v>
      </c>
    </row>
    <row r="257" spans="1:117" ht="21" customHeight="1">
      <c r="A257" s="1652">
        <v>67</v>
      </c>
      <c r="B257" s="1701" t="s">
        <v>1925</v>
      </c>
      <c r="C257" s="1662">
        <v>3</v>
      </c>
      <c r="D257" s="1646">
        <v>100</v>
      </c>
      <c r="E257" s="1646"/>
      <c r="F257" s="1648" t="s">
        <v>1594</v>
      </c>
      <c r="G257" s="1648"/>
      <c r="H257" s="1648">
        <v>3</v>
      </c>
      <c r="I257" s="1648" t="s">
        <v>1717</v>
      </c>
      <c r="J257" s="1649">
        <v>2</v>
      </c>
      <c r="K257" s="1648"/>
      <c r="L257" s="1648"/>
      <c r="M257" s="1648"/>
      <c r="N257" s="1642"/>
      <c r="O257" s="2876"/>
      <c r="P257" s="2870"/>
      <c r="Q257" s="2870"/>
      <c r="R257" s="2870"/>
      <c r="S257" s="2870"/>
      <c r="T257" s="2870"/>
      <c r="U257" s="2875">
        <v>0</v>
      </c>
      <c r="V257" s="2869"/>
      <c r="W257" s="2870"/>
      <c r="X257" s="2870"/>
      <c r="Y257" s="2870"/>
      <c r="Z257" s="2870"/>
      <c r="AA257" s="2877">
        <v>0</v>
      </c>
      <c r="AB257" s="2875">
        <v>0</v>
      </c>
      <c r="AC257" s="2869"/>
      <c r="AD257" s="2870"/>
      <c r="AE257" s="2870"/>
      <c r="AF257" s="2870"/>
      <c r="AG257" s="2870"/>
      <c r="AH257" s="2877">
        <v>0</v>
      </c>
      <c r="AI257" s="2875">
        <v>0</v>
      </c>
      <c r="AJ257" s="2869"/>
      <c r="AK257" s="2870"/>
      <c r="AL257" s="2870"/>
      <c r="AM257" s="2870"/>
      <c r="AN257" s="2870"/>
      <c r="AO257" s="2877">
        <v>0</v>
      </c>
      <c r="AP257" s="2875">
        <v>0</v>
      </c>
      <c r="AQ257" s="2869"/>
      <c r="AR257" s="2870"/>
      <c r="AS257" s="2870"/>
      <c r="AT257" s="2870"/>
      <c r="AU257" s="2870"/>
      <c r="AV257" s="2877">
        <v>0</v>
      </c>
      <c r="AW257" s="2875">
        <v>0</v>
      </c>
      <c r="AX257" s="2869"/>
      <c r="AY257" s="2870"/>
      <c r="AZ257" s="2870"/>
      <c r="BA257" s="2870"/>
      <c r="BB257" s="2870"/>
      <c r="BC257" s="2877">
        <v>0</v>
      </c>
      <c r="BD257" s="2875">
        <v>0</v>
      </c>
      <c r="BE257" s="2869">
        <v>7.5630000000000003E-2</v>
      </c>
      <c r="BF257" s="2870"/>
      <c r="BG257" s="2870">
        <v>230673</v>
      </c>
      <c r="BH257" s="2870"/>
      <c r="BI257" s="2870"/>
      <c r="BJ257" s="2877">
        <v>3.0500198333994448</v>
      </c>
      <c r="BK257" s="2875">
        <v>230673</v>
      </c>
      <c r="BL257" s="2869"/>
      <c r="BM257" s="2870"/>
      <c r="BN257" s="2870"/>
      <c r="BO257" s="2870"/>
      <c r="BP257" s="2870"/>
      <c r="BQ257" s="2877">
        <v>0</v>
      </c>
      <c r="BR257" s="2875">
        <v>0</v>
      </c>
      <c r="BS257" s="2869"/>
      <c r="BT257" s="2870"/>
      <c r="BU257" s="2870"/>
      <c r="BV257" s="2870"/>
      <c r="BW257" s="2870"/>
      <c r="BX257" s="2877">
        <v>0</v>
      </c>
      <c r="BY257" s="2875">
        <v>0</v>
      </c>
      <c r="BZ257" s="2869"/>
      <c r="CA257" s="2870"/>
      <c r="CB257" s="2870"/>
      <c r="CC257" s="2870"/>
      <c r="CD257" s="2870"/>
      <c r="CE257" s="2877">
        <v>0</v>
      </c>
      <c r="CF257" s="2875">
        <v>0</v>
      </c>
      <c r="CG257" s="2869"/>
      <c r="CH257" s="2870"/>
      <c r="CI257" s="2870"/>
      <c r="CJ257" s="2870"/>
      <c r="CK257" s="2870"/>
      <c r="CL257" s="2877">
        <v>0</v>
      </c>
      <c r="CM257" s="2875">
        <v>0</v>
      </c>
      <c r="CN257" s="2902">
        <v>9.5690255000000004</v>
      </c>
      <c r="CO257" s="2870"/>
      <c r="CP257" s="2870">
        <v>28371665</v>
      </c>
      <c r="CQ257" s="2870"/>
      <c r="CR257" s="2870"/>
      <c r="CS257" s="2877">
        <v>2.9649482071084461</v>
      </c>
      <c r="CT257" s="2875">
        <v>28371665</v>
      </c>
      <c r="CU257" s="2878">
        <v>9.6446555000000007</v>
      </c>
      <c r="CV257" s="2870">
        <v>0</v>
      </c>
      <c r="CW257" s="2870">
        <v>28602338</v>
      </c>
      <c r="CX257" s="2870">
        <v>0</v>
      </c>
      <c r="CY257" s="2870">
        <v>0</v>
      </c>
      <c r="CZ257" s="2879">
        <v>2.9656153089138333</v>
      </c>
      <c r="DA257" s="2875">
        <v>28602338</v>
      </c>
      <c r="DB257" s="1613">
        <v>8.1275429999999993</v>
      </c>
      <c r="DC257" s="2899">
        <v>-1.5171125000000014</v>
      </c>
      <c r="DE257" s="2782" t="b">
        <v>0</v>
      </c>
      <c r="DJ257" s="1611" t="e">
        <v>#N/A</v>
      </c>
      <c r="DK257" s="2782" t="e">
        <v>#N/A</v>
      </c>
      <c r="DM257" s="1650">
        <v>2.9656153089138333</v>
      </c>
    </row>
    <row r="258" spans="1:117" ht="21" customHeight="1">
      <c r="A258" s="1652">
        <v>68</v>
      </c>
      <c r="B258" s="1701" t="s">
        <v>1926</v>
      </c>
      <c r="C258" s="1662">
        <v>16.170000000000002</v>
      </c>
      <c r="D258" s="1646">
        <v>100</v>
      </c>
      <c r="E258" s="1646"/>
      <c r="F258" s="1648" t="s">
        <v>1594</v>
      </c>
      <c r="G258" s="1648"/>
      <c r="H258" s="1648">
        <v>16.170000000000002</v>
      </c>
      <c r="I258" s="1648" t="s">
        <v>1717</v>
      </c>
      <c r="J258" s="1649">
        <v>2</v>
      </c>
      <c r="K258" s="1648"/>
      <c r="L258" s="1648"/>
      <c r="M258" s="1648"/>
      <c r="N258" s="1642"/>
      <c r="O258" s="2876"/>
      <c r="P258" s="2870"/>
      <c r="Q258" s="2870"/>
      <c r="R258" s="2870"/>
      <c r="S258" s="2870"/>
      <c r="T258" s="2870"/>
      <c r="U258" s="2875">
        <v>0</v>
      </c>
      <c r="V258" s="2869"/>
      <c r="W258" s="2870"/>
      <c r="X258" s="2870"/>
      <c r="Y258" s="2870"/>
      <c r="Z258" s="2870"/>
      <c r="AA258" s="2877">
        <v>0</v>
      </c>
      <c r="AB258" s="2875">
        <v>0</v>
      </c>
      <c r="AC258" s="2869"/>
      <c r="AD258" s="2870"/>
      <c r="AE258" s="2870"/>
      <c r="AF258" s="2870"/>
      <c r="AG258" s="2870"/>
      <c r="AH258" s="2877">
        <v>0</v>
      </c>
      <c r="AI258" s="2875">
        <v>0</v>
      </c>
      <c r="AJ258" s="2869">
        <v>17.627786999999998</v>
      </c>
      <c r="AK258" s="2870"/>
      <c r="AL258" s="2870">
        <v>53412194</v>
      </c>
      <c r="AM258" s="2870"/>
      <c r="AN258" s="2870"/>
      <c r="AO258" s="2877">
        <v>3.0299999653955436</v>
      </c>
      <c r="AP258" s="2875">
        <v>53412194</v>
      </c>
      <c r="AQ258" s="2869"/>
      <c r="AR258" s="2870"/>
      <c r="AS258" s="2870"/>
      <c r="AT258" s="2870"/>
      <c r="AU258" s="2870"/>
      <c r="AV258" s="2877">
        <v>0</v>
      </c>
      <c r="AW258" s="2875">
        <v>0</v>
      </c>
      <c r="AX258" s="2869"/>
      <c r="AY258" s="2870"/>
      <c r="AZ258" s="2870"/>
      <c r="BA258" s="2870"/>
      <c r="BB258" s="2870"/>
      <c r="BC258" s="2877">
        <v>0</v>
      </c>
      <c r="BD258" s="2875">
        <v>0</v>
      </c>
      <c r="BE258" s="2869"/>
      <c r="BF258" s="2870"/>
      <c r="BG258" s="2870"/>
      <c r="BH258" s="2870"/>
      <c r="BI258" s="2870"/>
      <c r="BJ258" s="2877">
        <v>0</v>
      </c>
      <c r="BK258" s="2875">
        <v>0</v>
      </c>
      <c r="BL258" s="2869"/>
      <c r="BM258" s="2870"/>
      <c r="BN258" s="2870"/>
      <c r="BO258" s="2870"/>
      <c r="BP258" s="2870"/>
      <c r="BQ258" s="2877">
        <v>0</v>
      </c>
      <c r="BR258" s="2875">
        <v>0</v>
      </c>
      <c r="BS258" s="2869"/>
      <c r="BT258" s="2870"/>
      <c r="BU258" s="2870"/>
      <c r="BV258" s="2870"/>
      <c r="BW258" s="2870"/>
      <c r="BX258" s="2877">
        <v>0</v>
      </c>
      <c r="BY258" s="2875">
        <v>0</v>
      </c>
      <c r="BZ258" s="2869"/>
      <c r="CA258" s="2870"/>
      <c r="CB258" s="2870"/>
      <c r="CC258" s="2870"/>
      <c r="CD258" s="2870"/>
      <c r="CE258" s="2877">
        <v>0</v>
      </c>
      <c r="CF258" s="2875">
        <v>0</v>
      </c>
      <c r="CG258" s="2869">
        <v>29.816271999999998</v>
      </c>
      <c r="CH258" s="2870"/>
      <c r="CI258" s="2870">
        <v>90343304.299999997</v>
      </c>
      <c r="CJ258" s="2870"/>
      <c r="CK258" s="2870"/>
      <c r="CL258" s="2877">
        <v>3.030000004695423</v>
      </c>
      <c r="CM258" s="2875">
        <v>90343304.299999997</v>
      </c>
      <c r="CN258" s="2902">
        <v>9.748132</v>
      </c>
      <c r="CO258" s="2870"/>
      <c r="CP258" s="2896">
        <v>27774995.309999999</v>
      </c>
      <c r="CQ258" s="2870"/>
      <c r="CR258" s="2870"/>
      <c r="CS258" s="2877">
        <v>2.8492633573283577</v>
      </c>
      <c r="CT258" s="2875">
        <v>27774995.309999999</v>
      </c>
      <c r="CU258" s="2878">
        <v>57.192190999999994</v>
      </c>
      <c r="CV258" s="2870">
        <v>0</v>
      </c>
      <c r="CW258" s="2870">
        <v>171530493.61000001</v>
      </c>
      <c r="CX258" s="2870">
        <v>0</v>
      </c>
      <c r="CY258" s="2870">
        <v>0</v>
      </c>
      <c r="CZ258" s="2879">
        <v>2.9991943062646444</v>
      </c>
      <c r="DA258" s="2875">
        <v>171530493.61000001</v>
      </c>
      <c r="DB258" s="1613">
        <v>48.471513999999999</v>
      </c>
      <c r="DC258" s="2899">
        <v>-8.7206769999999949</v>
      </c>
      <c r="DE258" s="2782" t="b">
        <v>0</v>
      </c>
      <c r="DJ258" s="1611" t="e">
        <v>#N/A</v>
      </c>
      <c r="DK258" s="2782" t="e">
        <v>#N/A</v>
      </c>
      <c r="DM258" s="1650">
        <v>2.9991943062646444</v>
      </c>
    </row>
    <row r="259" spans="1:117" ht="21" customHeight="1">
      <c r="A259" s="1652">
        <v>69</v>
      </c>
      <c r="B259" s="1701" t="s">
        <v>1927</v>
      </c>
      <c r="C259" s="1662">
        <v>34</v>
      </c>
      <c r="D259" s="1646">
        <v>100</v>
      </c>
      <c r="E259" s="1646"/>
      <c r="F259" s="1648" t="s">
        <v>1594</v>
      </c>
      <c r="G259" s="1648"/>
      <c r="H259" s="1648">
        <v>34</v>
      </c>
      <c r="I259" s="1648" t="s">
        <v>1717</v>
      </c>
      <c r="J259" s="1649">
        <v>2</v>
      </c>
      <c r="K259" s="1648"/>
      <c r="L259" s="1648"/>
      <c r="M259" s="1648"/>
      <c r="N259" s="1642"/>
      <c r="O259" s="2876"/>
      <c r="P259" s="2870"/>
      <c r="Q259" s="2870"/>
      <c r="R259" s="2870"/>
      <c r="S259" s="2870"/>
      <c r="T259" s="2870"/>
      <c r="U259" s="2875">
        <v>0</v>
      </c>
      <c r="V259" s="2869"/>
      <c r="W259" s="2870"/>
      <c r="X259" s="2870"/>
      <c r="Y259" s="2870"/>
      <c r="Z259" s="2870"/>
      <c r="AA259" s="2877">
        <v>0</v>
      </c>
      <c r="AB259" s="2875">
        <v>0</v>
      </c>
      <c r="AC259" s="2869"/>
      <c r="AD259" s="2870"/>
      <c r="AE259" s="2870"/>
      <c r="AF259" s="2870"/>
      <c r="AG259" s="2870"/>
      <c r="AH259" s="2877">
        <v>0</v>
      </c>
      <c r="AI259" s="2875">
        <v>0</v>
      </c>
      <c r="AJ259" s="2869">
        <v>36.617524000000003</v>
      </c>
      <c r="AK259" s="2870"/>
      <c r="AL259" s="2870">
        <v>107655521</v>
      </c>
      <c r="AM259" s="2870"/>
      <c r="AN259" s="2870"/>
      <c r="AO259" s="2877">
        <v>2.9400000120161045</v>
      </c>
      <c r="AP259" s="2875">
        <v>107655521</v>
      </c>
      <c r="AQ259" s="2869"/>
      <c r="AR259" s="2870"/>
      <c r="AS259" s="2870"/>
      <c r="AT259" s="2870"/>
      <c r="AU259" s="2870"/>
      <c r="AV259" s="2877">
        <v>0</v>
      </c>
      <c r="AW259" s="2875">
        <v>0</v>
      </c>
      <c r="AX259" s="2869"/>
      <c r="AY259" s="2870"/>
      <c r="AZ259" s="2870"/>
      <c r="BA259" s="2870"/>
      <c r="BB259" s="2870"/>
      <c r="BC259" s="2877">
        <v>0</v>
      </c>
      <c r="BD259" s="2875">
        <v>0</v>
      </c>
      <c r="BE259" s="2869"/>
      <c r="BF259" s="2870"/>
      <c r="BG259" s="2870"/>
      <c r="BH259" s="2870"/>
      <c r="BI259" s="2870"/>
      <c r="BJ259" s="2877">
        <v>0</v>
      </c>
      <c r="BK259" s="2875">
        <v>0</v>
      </c>
      <c r="BL259" s="2869"/>
      <c r="BM259" s="2870"/>
      <c r="BN259" s="2870"/>
      <c r="BO259" s="2870"/>
      <c r="BP259" s="2870"/>
      <c r="BQ259" s="2877">
        <v>0</v>
      </c>
      <c r="BR259" s="2875">
        <v>0</v>
      </c>
      <c r="BS259" s="2869"/>
      <c r="BT259" s="2870"/>
      <c r="BU259" s="2870"/>
      <c r="BV259" s="2870"/>
      <c r="BW259" s="2870"/>
      <c r="BX259" s="2877">
        <v>0</v>
      </c>
      <c r="BY259" s="2875">
        <v>0</v>
      </c>
      <c r="BZ259" s="2869"/>
      <c r="CA259" s="2870"/>
      <c r="CB259" s="2870"/>
      <c r="CC259" s="2870"/>
      <c r="CD259" s="2870"/>
      <c r="CE259" s="2877">
        <v>0</v>
      </c>
      <c r="CF259" s="2875">
        <v>0</v>
      </c>
      <c r="CG259" s="2869">
        <v>73.988550000000004</v>
      </c>
      <c r="CH259" s="2870"/>
      <c r="CI259" s="2870">
        <v>217526337</v>
      </c>
      <c r="CJ259" s="2870"/>
      <c r="CK259" s="2870"/>
      <c r="CL259" s="2877">
        <v>2.94</v>
      </c>
      <c r="CM259" s="2875">
        <v>217526337</v>
      </c>
      <c r="CN259" s="2872">
        <v>19.274129999999978</v>
      </c>
      <c r="CO259" s="2870"/>
      <c r="CP259" s="2870">
        <v>52086075</v>
      </c>
      <c r="CQ259" s="2870"/>
      <c r="CR259" s="2870"/>
      <c r="CS259" s="2877">
        <v>2.7023826756382809</v>
      </c>
      <c r="CT259" s="2875">
        <v>52086075</v>
      </c>
      <c r="CU259" s="2878">
        <v>129.88020399999999</v>
      </c>
      <c r="CV259" s="2870">
        <v>0</v>
      </c>
      <c r="CW259" s="2870">
        <v>377267933</v>
      </c>
      <c r="CX259" s="2870">
        <v>0</v>
      </c>
      <c r="CY259" s="2870">
        <v>0</v>
      </c>
      <c r="CZ259" s="2879">
        <v>2.9047377612680685</v>
      </c>
      <c r="DA259" s="2875">
        <v>377267933</v>
      </c>
      <c r="DB259" s="1613">
        <v>129.88020399999999</v>
      </c>
      <c r="DC259" s="2899">
        <v>0</v>
      </c>
      <c r="DE259" s="2782" t="b">
        <v>1</v>
      </c>
      <c r="DJ259" s="1611" t="e">
        <v>#N/A</v>
      </c>
      <c r="DK259" s="2782" t="e">
        <v>#N/A</v>
      </c>
      <c r="DM259" s="1650">
        <v>2.9047377612680685</v>
      </c>
    </row>
    <row r="260" spans="1:117" ht="21" customHeight="1">
      <c r="A260" s="1652">
        <v>70</v>
      </c>
      <c r="B260" s="1701" t="s">
        <v>1928</v>
      </c>
      <c r="C260" s="1662">
        <v>6</v>
      </c>
      <c r="D260" s="1646">
        <v>100</v>
      </c>
      <c r="E260" s="1646"/>
      <c r="F260" s="1648" t="s">
        <v>1594</v>
      </c>
      <c r="G260" s="1648"/>
      <c r="H260" s="1648">
        <v>6</v>
      </c>
      <c r="I260" s="1648" t="s">
        <v>1717</v>
      </c>
      <c r="J260" s="1649">
        <v>2</v>
      </c>
      <c r="K260" s="1648"/>
      <c r="L260" s="1648"/>
      <c r="M260" s="1648"/>
      <c r="N260" s="1642"/>
      <c r="O260" s="2876"/>
      <c r="P260" s="2870"/>
      <c r="Q260" s="2870"/>
      <c r="R260" s="2870"/>
      <c r="S260" s="2870"/>
      <c r="T260" s="2870"/>
      <c r="U260" s="2875">
        <v>0</v>
      </c>
      <c r="V260" s="2869"/>
      <c r="W260" s="2870"/>
      <c r="X260" s="2870"/>
      <c r="Y260" s="2870"/>
      <c r="Z260" s="2870"/>
      <c r="AA260" s="2877">
        <v>0</v>
      </c>
      <c r="AB260" s="2875">
        <v>0</v>
      </c>
      <c r="AC260" s="2869"/>
      <c r="AD260" s="2870"/>
      <c r="AE260" s="2870"/>
      <c r="AF260" s="2870"/>
      <c r="AG260" s="2870"/>
      <c r="AH260" s="2877">
        <v>0</v>
      </c>
      <c r="AI260" s="2875">
        <v>0</v>
      </c>
      <c r="AJ260" s="2869"/>
      <c r="AK260" s="2870"/>
      <c r="AL260" s="2870"/>
      <c r="AM260" s="2870"/>
      <c r="AN260" s="2870"/>
      <c r="AO260" s="2877">
        <v>0</v>
      </c>
      <c r="AP260" s="2875">
        <v>0</v>
      </c>
      <c r="AQ260" s="2869"/>
      <c r="AR260" s="2870"/>
      <c r="AS260" s="2870"/>
      <c r="AT260" s="2870"/>
      <c r="AU260" s="2870"/>
      <c r="AV260" s="2877">
        <v>0</v>
      </c>
      <c r="AW260" s="2875">
        <v>0</v>
      </c>
      <c r="AX260" s="2869">
        <v>12.9548475</v>
      </c>
      <c r="AY260" s="2870"/>
      <c r="AZ260" s="2870">
        <v>48489216.880000003</v>
      </c>
      <c r="BA260" s="2870"/>
      <c r="BB260" s="2870"/>
      <c r="BC260" s="2877">
        <v>3.742939998328811</v>
      </c>
      <c r="BD260" s="2875">
        <v>48489216.880000003</v>
      </c>
      <c r="BE260" s="2869">
        <v>3.1967759999999998</v>
      </c>
      <c r="BF260" s="2870"/>
      <c r="BG260" s="2870">
        <v>12179713</v>
      </c>
      <c r="BH260" s="2870"/>
      <c r="BI260" s="2870"/>
      <c r="BJ260" s="2877">
        <v>3.8099988863780259</v>
      </c>
      <c r="BK260" s="2875">
        <v>12179713</v>
      </c>
      <c r="BL260" s="2869"/>
      <c r="BM260" s="2870"/>
      <c r="BN260" s="2870"/>
      <c r="BO260" s="2870"/>
      <c r="BP260" s="2870"/>
      <c r="BQ260" s="2877">
        <v>0</v>
      </c>
      <c r="BR260" s="2875">
        <v>0</v>
      </c>
      <c r="BS260" s="2869"/>
      <c r="BT260" s="2870"/>
      <c r="BU260" s="2870"/>
      <c r="BV260" s="2870"/>
      <c r="BW260" s="2870"/>
      <c r="BX260" s="2877">
        <v>0</v>
      </c>
      <c r="BY260" s="2875">
        <v>0</v>
      </c>
      <c r="BZ260" s="2869"/>
      <c r="CA260" s="2870"/>
      <c r="CB260" s="2870"/>
      <c r="CC260" s="2870"/>
      <c r="CD260" s="2870"/>
      <c r="CE260" s="2877">
        <v>0</v>
      </c>
      <c r="CF260" s="2875">
        <v>0</v>
      </c>
      <c r="CG260" s="2869"/>
      <c r="CH260" s="2870"/>
      <c r="CI260" s="2870"/>
      <c r="CJ260" s="2870"/>
      <c r="CK260" s="2870"/>
      <c r="CL260" s="2877">
        <v>0</v>
      </c>
      <c r="CM260" s="2875">
        <v>0</v>
      </c>
      <c r="CN260" s="2902">
        <v>2.6322375000000022</v>
      </c>
      <c r="CO260" s="2870"/>
      <c r="CP260" s="2870">
        <v>10028824.880000001</v>
      </c>
      <c r="CQ260" s="2870"/>
      <c r="CR260" s="2870"/>
      <c r="CS260" s="2877">
        <v>3.8100000018995215</v>
      </c>
      <c r="CT260" s="2875">
        <v>10028824.880000001</v>
      </c>
      <c r="CU260" s="2878">
        <v>18.783861000000002</v>
      </c>
      <c r="CV260" s="2870">
        <v>0</v>
      </c>
      <c r="CW260" s="2870">
        <v>70697754.760000005</v>
      </c>
      <c r="CX260" s="2870">
        <v>0</v>
      </c>
      <c r="CY260" s="2870">
        <v>0</v>
      </c>
      <c r="CZ260" s="2879">
        <v>3.7637498893331891</v>
      </c>
      <c r="DA260" s="2875">
        <v>70697754.760000005</v>
      </c>
      <c r="DB260" s="1613">
        <v>18.783861000000002</v>
      </c>
      <c r="DC260" s="2899">
        <v>0</v>
      </c>
      <c r="DE260" s="2782" t="b">
        <v>1</v>
      </c>
      <c r="DJ260" s="1611" t="e">
        <v>#N/A</v>
      </c>
      <c r="DK260" s="2782" t="e">
        <v>#N/A</v>
      </c>
      <c r="DM260" s="1650">
        <v>3.7637498893331891</v>
      </c>
    </row>
    <row r="261" spans="1:117" ht="21" customHeight="1">
      <c r="A261" s="1652">
        <v>71</v>
      </c>
      <c r="B261" s="1701" t="s">
        <v>1929</v>
      </c>
      <c r="C261" s="1662"/>
      <c r="D261" s="1648"/>
      <c r="E261" s="1648"/>
      <c r="F261" s="1648"/>
      <c r="G261" s="1648"/>
      <c r="H261" s="1648"/>
      <c r="I261" s="1648" t="s">
        <v>1717</v>
      </c>
      <c r="J261" s="1649">
        <v>2</v>
      </c>
      <c r="K261" s="1648"/>
      <c r="L261" s="1648"/>
      <c r="M261" s="1648"/>
      <c r="N261" s="1642"/>
      <c r="O261" s="2876"/>
      <c r="P261" s="2870"/>
      <c r="Q261" s="2870"/>
      <c r="R261" s="2870"/>
      <c r="S261" s="2870"/>
      <c r="T261" s="2870"/>
      <c r="U261" s="2875">
        <v>0</v>
      </c>
      <c r="V261" s="2869"/>
      <c r="W261" s="2870"/>
      <c r="X261" s="2870"/>
      <c r="Y261" s="2870"/>
      <c r="Z261" s="2870"/>
      <c r="AA261" s="2877"/>
      <c r="AB261" s="2875"/>
      <c r="AC261" s="2869"/>
      <c r="AD261" s="2870"/>
      <c r="AE261" s="2870"/>
      <c r="AF261" s="2870"/>
      <c r="AG261" s="2870"/>
      <c r="AH261" s="2877"/>
      <c r="AI261" s="2875"/>
      <c r="AJ261" s="2869"/>
      <c r="AK261" s="2870"/>
      <c r="AL261" s="2870"/>
      <c r="AM261" s="2870"/>
      <c r="AN261" s="2870"/>
      <c r="AO261" s="2877"/>
      <c r="AP261" s="2875"/>
      <c r="AQ261" s="2869">
        <v>6.1469220999999994</v>
      </c>
      <c r="AR261" s="2870"/>
      <c r="AS261" s="2870">
        <v>27353804</v>
      </c>
      <c r="AT261" s="2870"/>
      <c r="AU261" s="2870"/>
      <c r="AV261" s="2877">
        <v>4.4500001065573942</v>
      </c>
      <c r="AW261" s="2875">
        <v>27353804</v>
      </c>
      <c r="AX261" s="2869"/>
      <c r="AY261" s="2870"/>
      <c r="AZ261" s="2870"/>
      <c r="BA261" s="2870"/>
      <c r="BB261" s="2870"/>
      <c r="BC261" s="2877">
        <v>0</v>
      </c>
      <c r="BD261" s="2875">
        <v>0</v>
      </c>
      <c r="BE261" s="2869"/>
      <c r="BF261" s="2870"/>
      <c r="BG261" s="2870"/>
      <c r="BH261" s="2870"/>
      <c r="BI261" s="2870"/>
      <c r="BJ261" s="2877">
        <v>0</v>
      </c>
      <c r="BK261" s="2875">
        <v>0</v>
      </c>
      <c r="BL261" s="2869"/>
      <c r="BM261" s="2870"/>
      <c r="BN261" s="2870"/>
      <c r="BO261" s="2870"/>
      <c r="BP261" s="2870"/>
      <c r="BQ261" s="2877">
        <v>0</v>
      </c>
      <c r="BR261" s="2875">
        <v>0</v>
      </c>
      <c r="BS261" s="2869"/>
      <c r="BT261" s="2870"/>
      <c r="BU261" s="2870"/>
      <c r="BV261" s="2870"/>
      <c r="BW261" s="2870"/>
      <c r="BX261" s="2877">
        <v>0</v>
      </c>
      <c r="BY261" s="2875">
        <v>0</v>
      </c>
      <c r="BZ261" s="2869"/>
      <c r="CA261" s="2870"/>
      <c r="CB261" s="2870"/>
      <c r="CC261" s="2870"/>
      <c r="CD261" s="2870"/>
      <c r="CE261" s="2877">
        <v>0</v>
      </c>
      <c r="CF261" s="2875">
        <v>0</v>
      </c>
      <c r="CG261" s="2869"/>
      <c r="CH261" s="2870"/>
      <c r="CI261" s="2870"/>
      <c r="CJ261" s="2870"/>
      <c r="CK261" s="2870"/>
      <c r="CL261" s="2877">
        <v>0</v>
      </c>
      <c r="CM261" s="2875">
        <v>0</v>
      </c>
      <c r="CN261" s="2872">
        <v>27.175754999999999</v>
      </c>
      <c r="CO261" s="2870"/>
      <c r="CP261" s="2870">
        <v>120932110</v>
      </c>
      <c r="CQ261" s="2870"/>
      <c r="CR261" s="2870"/>
      <c r="CS261" s="2877">
        <v>4.4500000091993765</v>
      </c>
      <c r="CT261" s="2875">
        <v>120932110</v>
      </c>
      <c r="CU261" s="2878">
        <v>33.3226771</v>
      </c>
      <c r="CV261" s="2870">
        <v>0</v>
      </c>
      <c r="CW261" s="2870">
        <v>148285914</v>
      </c>
      <c r="CX261" s="2870">
        <v>0</v>
      </c>
      <c r="CY261" s="2870">
        <v>0</v>
      </c>
      <c r="CZ261" s="2879">
        <v>4.4500000271586817</v>
      </c>
      <c r="DA261" s="2875">
        <v>148285914</v>
      </c>
      <c r="DB261" s="3122">
        <v>56.487923100000003</v>
      </c>
      <c r="DC261" s="3213">
        <v>85.854582100000002</v>
      </c>
      <c r="DD261" s="3123">
        <v>-29.366658999999999</v>
      </c>
      <c r="DE261" s="2782" t="b">
        <v>0</v>
      </c>
      <c r="DG261" s="2782">
        <v>1.692901</v>
      </c>
      <c r="DJ261" s="1611" t="e">
        <v>#N/A</v>
      </c>
      <c r="DK261" s="2782" t="e">
        <v>#N/A</v>
      </c>
      <c r="DM261" s="1650">
        <v>4.4500000271586817</v>
      </c>
    </row>
    <row r="262" spans="1:117" ht="21" customHeight="1">
      <c r="A262" s="1652">
        <v>72</v>
      </c>
      <c r="B262" s="1701" t="s">
        <v>1930</v>
      </c>
      <c r="C262" s="1662"/>
      <c r="D262" s="1646" t="e">
        <v>#DIV/0!</v>
      </c>
      <c r="E262" s="1646"/>
      <c r="F262" s="1648" t="s">
        <v>1594</v>
      </c>
      <c r="G262" s="1648"/>
      <c r="H262" s="1648"/>
      <c r="I262" s="1648" t="s">
        <v>1717</v>
      </c>
      <c r="J262" s="1649">
        <v>2</v>
      </c>
      <c r="K262" s="1648"/>
      <c r="L262" s="1648"/>
      <c r="M262" s="1648"/>
      <c r="N262" s="1642"/>
      <c r="O262" s="2876"/>
      <c r="P262" s="2870"/>
      <c r="Q262" s="2870"/>
      <c r="R262" s="2870"/>
      <c r="S262" s="2870"/>
      <c r="T262" s="2870"/>
      <c r="U262" s="2875">
        <v>0</v>
      </c>
      <c r="V262" s="2869"/>
      <c r="W262" s="2870"/>
      <c r="X262" s="2870"/>
      <c r="Y262" s="2870"/>
      <c r="Z262" s="2870"/>
      <c r="AA262" s="2877">
        <v>0</v>
      </c>
      <c r="AB262" s="2875">
        <v>0</v>
      </c>
      <c r="AC262" s="2869"/>
      <c r="AD262" s="2870"/>
      <c r="AE262" s="2870"/>
      <c r="AF262" s="2870"/>
      <c r="AG262" s="2870"/>
      <c r="AH262" s="2877">
        <v>0</v>
      </c>
      <c r="AI262" s="2875">
        <v>0</v>
      </c>
      <c r="AJ262" s="2869">
        <v>4.8056539999999996</v>
      </c>
      <c r="AK262" s="2870"/>
      <c r="AL262" s="2870">
        <v>22009894</v>
      </c>
      <c r="AM262" s="2870"/>
      <c r="AN262" s="2870"/>
      <c r="AO262" s="2877">
        <v>4.579999725323546</v>
      </c>
      <c r="AP262" s="2875">
        <v>22009894</v>
      </c>
      <c r="AQ262" s="2869"/>
      <c r="AR262" s="2870"/>
      <c r="AS262" s="2870"/>
      <c r="AT262" s="2870"/>
      <c r="AU262" s="2870"/>
      <c r="AV262" s="2877">
        <v>0</v>
      </c>
      <c r="AW262" s="2875">
        <v>0</v>
      </c>
      <c r="AX262" s="2869"/>
      <c r="AY262" s="2870"/>
      <c r="AZ262" s="2870"/>
      <c r="BA262" s="2870"/>
      <c r="BB262" s="2870"/>
      <c r="BC262" s="2877">
        <v>0</v>
      </c>
      <c r="BD262" s="2875">
        <v>0</v>
      </c>
      <c r="BE262" s="2869"/>
      <c r="BF262" s="2870"/>
      <c r="BG262" s="2870"/>
      <c r="BH262" s="2870"/>
      <c r="BI262" s="2870"/>
      <c r="BJ262" s="2877">
        <v>0</v>
      </c>
      <c r="BK262" s="2875">
        <v>0</v>
      </c>
      <c r="BL262" s="2869"/>
      <c r="BM262" s="2870"/>
      <c r="BN262" s="2870"/>
      <c r="BO262" s="2870"/>
      <c r="BP262" s="2870"/>
      <c r="BQ262" s="2877">
        <v>0</v>
      </c>
      <c r="BR262" s="2875">
        <v>0</v>
      </c>
      <c r="BS262" s="2869"/>
      <c r="BT262" s="2870"/>
      <c r="BU262" s="2870"/>
      <c r="BV262" s="2870"/>
      <c r="BW262" s="2870"/>
      <c r="BX262" s="2877">
        <v>0</v>
      </c>
      <c r="BY262" s="2875">
        <v>0</v>
      </c>
      <c r="BZ262" s="2869">
        <v>12.765985000000001</v>
      </c>
      <c r="CA262" s="2870"/>
      <c r="CB262" s="2870">
        <v>58468211</v>
      </c>
      <c r="CC262" s="2870"/>
      <c r="CD262" s="2870"/>
      <c r="CE262" s="2877">
        <v>4.5799999765000505</v>
      </c>
      <c r="CF262" s="2875">
        <v>58468211</v>
      </c>
      <c r="CG262" s="2869">
        <v>7.5420749999999996</v>
      </c>
      <c r="CH262" s="2870"/>
      <c r="CI262" s="2870">
        <v>34542703.5</v>
      </c>
      <c r="CJ262" s="2870"/>
      <c r="CK262" s="2870"/>
      <c r="CL262" s="2877">
        <v>4.58</v>
      </c>
      <c r="CM262" s="2875">
        <v>34542703.5</v>
      </c>
      <c r="CN262" s="2872">
        <v>11.966934</v>
      </c>
      <c r="CO262" s="2870"/>
      <c r="CP262" s="2870">
        <v>43517352.400000006</v>
      </c>
      <c r="CQ262" s="2870"/>
      <c r="CR262" s="2870"/>
      <c r="CS262" s="2877">
        <v>3.6364663162678097</v>
      </c>
      <c r="CT262" s="2875">
        <v>43517352.400000006</v>
      </c>
      <c r="CU262" s="2878">
        <v>37.080648000000004</v>
      </c>
      <c r="CV262" s="2870">
        <v>0</v>
      </c>
      <c r="CW262" s="2870">
        <v>158538160.90000001</v>
      </c>
      <c r="CX262" s="2870">
        <v>0</v>
      </c>
      <c r="CY262" s="2870">
        <v>0</v>
      </c>
      <c r="CZ262" s="2879">
        <v>4.2754959649033104</v>
      </c>
      <c r="DA262" s="2875">
        <v>158538160.90000001</v>
      </c>
      <c r="DB262" s="3122"/>
      <c r="DC262" s="3213"/>
      <c r="DD262" s="3123"/>
      <c r="DE262" s="2782" t="b">
        <v>0</v>
      </c>
      <c r="DG262" s="2782">
        <v>1.6286499999999999</v>
      </c>
      <c r="DJ262" s="1611" t="e">
        <v>#N/A</v>
      </c>
      <c r="DK262" s="2782" t="e">
        <v>#N/A</v>
      </c>
      <c r="DM262" s="1650">
        <v>4.2754959649033104</v>
      </c>
    </row>
    <row r="263" spans="1:117" ht="21" customHeight="1">
      <c r="A263" s="1652">
        <v>73</v>
      </c>
      <c r="B263" s="1701" t="s">
        <v>1931</v>
      </c>
      <c r="C263" s="1662"/>
      <c r="D263" s="1646" t="e">
        <v>#DIV/0!</v>
      </c>
      <c r="E263" s="1646"/>
      <c r="F263" s="1648" t="s">
        <v>1594</v>
      </c>
      <c r="G263" s="1648"/>
      <c r="H263" s="1648"/>
      <c r="I263" s="1648" t="s">
        <v>1717</v>
      </c>
      <c r="J263" s="1649">
        <v>2</v>
      </c>
      <c r="K263" s="1648"/>
      <c r="L263" s="1648"/>
      <c r="M263" s="1648"/>
      <c r="N263" s="1642"/>
      <c r="O263" s="2876"/>
      <c r="P263" s="2870"/>
      <c r="Q263" s="2870"/>
      <c r="R263" s="2870"/>
      <c r="S263" s="2870"/>
      <c r="T263" s="2870"/>
      <c r="U263" s="2875">
        <v>0</v>
      </c>
      <c r="V263" s="2869"/>
      <c r="W263" s="2870"/>
      <c r="X263" s="2870"/>
      <c r="Y263" s="2870"/>
      <c r="Z263" s="2870"/>
      <c r="AA263" s="2877">
        <v>0</v>
      </c>
      <c r="AB263" s="2875">
        <v>0</v>
      </c>
      <c r="AC263" s="2869"/>
      <c r="AD263" s="2870"/>
      <c r="AE263" s="2870"/>
      <c r="AF263" s="2870"/>
      <c r="AG263" s="2870"/>
      <c r="AH263" s="2877">
        <v>0</v>
      </c>
      <c r="AI263" s="2875">
        <v>0</v>
      </c>
      <c r="AJ263" s="2869">
        <v>0.61510699999999996</v>
      </c>
      <c r="AK263" s="2870"/>
      <c r="AL263" s="2870">
        <v>2817190.06</v>
      </c>
      <c r="AM263" s="2870"/>
      <c r="AN263" s="2870"/>
      <c r="AO263" s="2877">
        <v>4.58</v>
      </c>
      <c r="AP263" s="2875">
        <v>2817190.06</v>
      </c>
      <c r="AQ263" s="2869"/>
      <c r="AR263" s="2870"/>
      <c r="AS263" s="2870"/>
      <c r="AT263" s="2870"/>
      <c r="AU263" s="2870"/>
      <c r="AV263" s="2877">
        <v>0</v>
      </c>
      <c r="AW263" s="2875">
        <v>0</v>
      </c>
      <c r="AX263" s="2869"/>
      <c r="AY263" s="2870"/>
      <c r="AZ263" s="2870"/>
      <c r="BA263" s="2870"/>
      <c r="BB263" s="2870"/>
      <c r="BC263" s="2877">
        <v>0</v>
      </c>
      <c r="BD263" s="2875">
        <v>0</v>
      </c>
      <c r="BE263" s="2869"/>
      <c r="BF263" s="2870"/>
      <c r="BG263" s="2870"/>
      <c r="BH263" s="2870"/>
      <c r="BI263" s="2870"/>
      <c r="BJ263" s="2877">
        <v>0</v>
      </c>
      <c r="BK263" s="2875">
        <v>0</v>
      </c>
      <c r="BL263" s="2869"/>
      <c r="BM263" s="2870"/>
      <c r="BN263" s="2870"/>
      <c r="BO263" s="2870"/>
      <c r="BP263" s="2870"/>
      <c r="BQ263" s="2877">
        <v>0</v>
      </c>
      <c r="BR263" s="2875">
        <v>0</v>
      </c>
      <c r="BS263" s="2869"/>
      <c r="BT263" s="2870"/>
      <c r="BU263" s="2870"/>
      <c r="BV263" s="2870"/>
      <c r="BW263" s="2870"/>
      <c r="BX263" s="2877">
        <v>0</v>
      </c>
      <c r="BY263" s="2875">
        <v>0</v>
      </c>
      <c r="BZ263" s="2869">
        <v>11.4443</v>
      </c>
      <c r="CA263" s="2870"/>
      <c r="CB263" s="2870">
        <v>52414894</v>
      </c>
      <c r="CC263" s="2870"/>
      <c r="CD263" s="2870"/>
      <c r="CE263" s="2877">
        <v>4.58</v>
      </c>
      <c r="CF263" s="2875">
        <v>52414894</v>
      </c>
      <c r="CG263" s="2869">
        <v>3.3918499999999998</v>
      </c>
      <c r="CH263" s="2870"/>
      <c r="CI263" s="2870">
        <v>15534673</v>
      </c>
      <c r="CJ263" s="2870"/>
      <c r="CK263" s="2870"/>
      <c r="CL263" s="2877">
        <v>4.58</v>
      </c>
      <c r="CM263" s="2875">
        <v>15534673</v>
      </c>
      <c r="CN263" s="2872"/>
      <c r="CO263" s="2870"/>
      <c r="CP263" s="2870">
        <v>0</v>
      </c>
      <c r="CQ263" s="2870"/>
      <c r="CR263" s="2870"/>
      <c r="CS263" s="2877">
        <v>0</v>
      </c>
      <c r="CT263" s="2875">
        <v>0</v>
      </c>
      <c r="CU263" s="2878">
        <v>15.451257</v>
      </c>
      <c r="CV263" s="2870">
        <v>0</v>
      </c>
      <c r="CW263" s="2870">
        <v>70766757.060000002</v>
      </c>
      <c r="CX263" s="2870">
        <v>0</v>
      </c>
      <c r="CY263" s="2870">
        <v>0</v>
      </c>
      <c r="CZ263" s="2879">
        <v>4.58</v>
      </c>
      <c r="DA263" s="2875">
        <v>70766757.060000002</v>
      </c>
      <c r="DB263" s="3122"/>
      <c r="DC263" s="3213"/>
      <c r="DD263" s="3123"/>
      <c r="DE263" s="2782" t="b">
        <v>0</v>
      </c>
      <c r="DG263" s="2782">
        <v>3.3215509999999999</v>
      </c>
      <c r="DJ263" s="1611" t="e">
        <v>#N/A</v>
      </c>
      <c r="DK263" s="2782" t="e">
        <v>#N/A</v>
      </c>
      <c r="DM263" s="1650">
        <v>4.58</v>
      </c>
    </row>
    <row r="264" spans="1:117" ht="21" customHeight="1">
      <c r="A264" s="1652">
        <v>74</v>
      </c>
      <c r="B264" s="1701" t="s">
        <v>1932</v>
      </c>
      <c r="C264" s="1662">
        <v>12</v>
      </c>
      <c r="D264" s="1646">
        <v>100</v>
      </c>
      <c r="E264" s="1646"/>
      <c r="F264" s="1648" t="s">
        <v>1594</v>
      </c>
      <c r="G264" s="1648"/>
      <c r="H264" s="1648">
        <v>12</v>
      </c>
      <c r="I264" s="1648" t="s">
        <v>1717</v>
      </c>
      <c r="J264" s="1649">
        <v>2</v>
      </c>
      <c r="K264" s="1648"/>
      <c r="L264" s="1648"/>
      <c r="M264" s="1648"/>
      <c r="N264" s="1642"/>
      <c r="O264" s="2876"/>
      <c r="P264" s="2870"/>
      <c r="Q264" s="2870"/>
      <c r="R264" s="2870"/>
      <c r="S264" s="2870"/>
      <c r="T264" s="2870"/>
      <c r="U264" s="2875">
        <v>0</v>
      </c>
      <c r="V264" s="2869"/>
      <c r="W264" s="2870"/>
      <c r="X264" s="2870"/>
      <c r="Y264" s="2870"/>
      <c r="Z264" s="2870"/>
      <c r="AA264" s="2877">
        <v>0</v>
      </c>
      <c r="AB264" s="2875">
        <v>0</v>
      </c>
      <c r="AC264" s="2869"/>
      <c r="AD264" s="2870"/>
      <c r="AE264" s="2870"/>
      <c r="AF264" s="2870"/>
      <c r="AG264" s="2870"/>
      <c r="AH264" s="2877">
        <v>0</v>
      </c>
      <c r="AI264" s="2875">
        <v>0</v>
      </c>
      <c r="AJ264" s="2869"/>
      <c r="AK264" s="2870"/>
      <c r="AL264" s="2870"/>
      <c r="AM264" s="2870"/>
      <c r="AN264" s="2870"/>
      <c r="AO264" s="2877">
        <v>0</v>
      </c>
      <c r="AP264" s="2875">
        <v>0</v>
      </c>
      <c r="AQ264" s="2869"/>
      <c r="AR264" s="2870"/>
      <c r="AS264" s="2870"/>
      <c r="AT264" s="2870"/>
      <c r="AU264" s="2870"/>
      <c r="AV264" s="2877">
        <v>0</v>
      </c>
      <c r="AW264" s="2875">
        <v>0</v>
      </c>
      <c r="AX264" s="2869"/>
      <c r="AY264" s="2870"/>
      <c r="AZ264" s="2870"/>
      <c r="BA264" s="2870"/>
      <c r="BB264" s="2870"/>
      <c r="BC264" s="2877">
        <v>0</v>
      </c>
      <c r="BD264" s="2875">
        <v>0</v>
      </c>
      <c r="BE264" s="2869"/>
      <c r="BF264" s="2870"/>
      <c r="BG264" s="2870"/>
      <c r="BH264" s="2870"/>
      <c r="BI264" s="2870"/>
      <c r="BJ264" s="2877">
        <v>0</v>
      </c>
      <c r="BK264" s="2875">
        <v>0</v>
      </c>
      <c r="BL264" s="2869"/>
      <c r="BM264" s="2870"/>
      <c r="BN264" s="2870"/>
      <c r="BO264" s="2870"/>
      <c r="BP264" s="2870"/>
      <c r="BQ264" s="2877">
        <v>0</v>
      </c>
      <c r="BR264" s="2875">
        <v>0</v>
      </c>
      <c r="BS264" s="2869"/>
      <c r="BT264" s="2870"/>
      <c r="BU264" s="2870"/>
      <c r="BV264" s="2870"/>
      <c r="BW264" s="2870"/>
      <c r="BX264" s="2877">
        <v>0</v>
      </c>
      <c r="BY264" s="2875">
        <v>0</v>
      </c>
      <c r="BZ264" s="2869"/>
      <c r="CA264" s="2870"/>
      <c r="CB264" s="2870"/>
      <c r="CC264" s="2870"/>
      <c r="CD264" s="2870"/>
      <c r="CE264" s="2877">
        <v>0</v>
      </c>
      <c r="CF264" s="2875">
        <v>0</v>
      </c>
      <c r="CG264" s="2869"/>
      <c r="CH264" s="2870"/>
      <c r="CI264" s="2870"/>
      <c r="CJ264" s="2870"/>
      <c r="CK264" s="2870"/>
      <c r="CL264" s="2877">
        <v>0</v>
      </c>
      <c r="CM264" s="2875">
        <v>0</v>
      </c>
      <c r="CN264" s="2872">
        <v>0</v>
      </c>
      <c r="CO264" s="2870"/>
      <c r="CP264" s="2870">
        <v>0</v>
      </c>
      <c r="CQ264" s="2870"/>
      <c r="CR264" s="2870"/>
      <c r="CS264" s="2877">
        <v>0</v>
      </c>
      <c r="CT264" s="2875">
        <v>0</v>
      </c>
      <c r="CU264" s="2878">
        <v>0</v>
      </c>
      <c r="CV264" s="2870">
        <v>0</v>
      </c>
      <c r="CW264" s="2870">
        <v>0</v>
      </c>
      <c r="CX264" s="2870">
        <v>0</v>
      </c>
      <c r="CY264" s="2870">
        <v>0</v>
      </c>
      <c r="CZ264" s="2879">
        <v>0</v>
      </c>
      <c r="DA264" s="2875">
        <v>0</v>
      </c>
      <c r="DB264" s="1613">
        <v>0</v>
      </c>
      <c r="DC264" s="2899">
        <v>0</v>
      </c>
      <c r="DE264" s="2782" t="b">
        <v>1</v>
      </c>
      <c r="DG264" s="2782">
        <v>5.74</v>
      </c>
      <c r="DJ264" s="1611" t="e">
        <v>#N/A</v>
      </c>
      <c r="DK264" s="2782" t="e">
        <v>#N/A</v>
      </c>
      <c r="DM264" s="1650">
        <v>0</v>
      </c>
    </row>
    <row r="265" spans="1:117" ht="21" customHeight="1">
      <c r="A265" s="1652">
        <v>75</v>
      </c>
      <c r="B265" s="1701" t="s">
        <v>1933</v>
      </c>
      <c r="C265" s="1662">
        <v>26</v>
      </c>
      <c r="D265" s="1646">
        <v>100</v>
      </c>
      <c r="E265" s="1646"/>
      <c r="F265" s="1648" t="s">
        <v>1594</v>
      </c>
      <c r="G265" s="1648"/>
      <c r="H265" s="1648">
        <v>26</v>
      </c>
      <c r="I265" s="1648" t="s">
        <v>1717</v>
      </c>
      <c r="J265" s="1649">
        <v>2</v>
      </c>
      <c r="K265" s="1648"/>
      <c r="L265" s="1648"/>
      <c r="M265" s="1648"/>
      <c r="N265" s="1642"/>
      <c r="O265" s="2876"/>
      <c r="P265" s="2870"/>
      <c r="Q265" s="2870"/>
      <c r="R265" s="2870"/>
      <c r="S265" s="2870"/>
      <c r="T265" s="2870"/>
      <c r="U265" s="2875">
        <v>0</v>
      </c>
      <c r="V265" s="2869"/>
      <c r="W265" s="2870"/>
      <c r="X265" s="2870"/>
      <c r="Y265" s="2870"/>
      <c r="Z265" s="2870"/>
      <c r="AA265" s="2877">
        <v>0</v>
      </c>
      <c r="AB265" s="2875">
        <v>0</v>
      </c>
      <c r="AC265" s="2869"/>
      <c r="AD265" s="2870"/>
      <c r="AE265" s="2870"/>
      <c r="AF265" s="2870"/>
      <c r="AG265" s="2870"/>
      <c r="AH265" s="2877">
        <v>0</v>
      </c>
      <c r="AI265" s="2875">
        <v>0</v>
      </c>
      <c r="AJ265" s="2869">
        <v>15.023665999999999</v>
      </c>
      <c r="AK265" s="2870"/>
      <c r="AL265" s="2870">
        <v>46197775</v>
      </c>
      <c r="AM265" s="2870"/>
      <c r="AN265" s="2870"/>
      <c r="AO265" s="2877">
        <v>3.0750001364513833</v>
      </c>
      <c r="AP265" s="2875">
        <v>46197775</v>
      </c>
      <c r="AQ265" s="2869"/>
      <c r="AR265" s="2870"/>
      <c r="AS265" s="2870"/>
      <c r="AT265" s="2870"/>
      <c r="AU265" s="2870"/>
      <c r="AV265" s="2877">
        <v>0</v>
      </c>
      <c r="AW265" s="2875">
        <v>0</v>
      </c>
      <c r="AX265" s="2869"/>
      <c r="AY265" s="2870"/>
      <c r="AZ265" s="2870"/>
      <c r="BA265" s="2870"/>
      <c r="BB265" s="2870"/>
      <c r="BC265" s="2877">
        <v>0</v>
      </c>
      <c r="BD265" s="2875">
        <v>0</v>
      </c>
      <c r="BE265" s="2869"/>
      <c r="BF265" s="2870"/>
      <c r="BG265" s="2870"/>
      <c r="BH265" s="2870"/>
      <c r="BI265" s="2870"/>
      <c r="BJ265" s="2877">
        <v>0</v>
      </c>
      <c r="BK265" s="2875">
        <v>0</v>
      </c>
      <c r="BL265" s="2869"/>
      <c r="BM265" s="2870"/>
      <c r="BN265" s="2870"/>
      <c r="BO265" s="2870"/>
      <c r="BP265" s="2870"/>
      <c r="BQ265" s="2877">
        <v>0</v>
      </c>
      <c r="BR265" s="2875">
        <v>0</v>
      </c>
      <c r="BS265" s="2869"/>
      <c r="BT265" s="2870"/>
      <c r="BU265" s="2870"/>
      <c r="BV265" s="2870"/>
      <c r="BW265" s="2870"/>
      <c r="BX265" s="2877">
        <v>0</v>
      </c>
      <c r="BY265" s="2875">
        <v>0</v>
      </c>
      <c r="BZ265" s="2869"/>
      <c r="CA265" s="2870"/>
      <c r="CB265" s="2870"/>
      <c r="CC265" s="2870"/>
      <c r="CD265" s="2870"/>
      <c r="CE265" s="2877">
        <v>0</v>
      </c>
      <c r="CF265" s="2875">
        <v>0</v>
      </c>
      <c r="CG265" s="2869"/>
      <c r="CH265" s="2870"/>
      <c r="CI265" s="2870"/>
      <c r="CJ265" s="2870"/>
      <c r="CK265" s="2870"/>
      <c r="CL265" s="2877">
        <v>0</v>
      </c>
      <c r="CM265" s="2875">
        <v>0</v>
      </c>
      <c r="CN265" s="2872">
        <v>36.892508499999998</v>
      </c>
      <c r="CO265" s="2870"/>
      <c r="CP265" s="2870">
        <v>108849829.51000001</v>
      </c>
      <c r="CQ265" s="2870"/>
      <c r="CR265" s="2870"/>
      <c r="CS265" s="2877">
        <v>2.9504588854401161</v>
      </c>
      <c r="CT265" s="2875">
        <v>108849829.51000001</v>
      </c>
      <c r="CU265" s="2878">
        <v>51.916174499999997</v>
      </c>
      <c r="CV265" s="2870">
        <v>0</v>
      </c>
      <c r="CW265" s="2870">
        <v>155047604.50999999</v>
      </c>
      <c r="CX265" s="2870">
        <v>0</v>
      </c>
      <c r="CY265" s="2870">
        <v>0</v>
      </c>
      <c r="CZ265" s="2879">
        <v>2.9864990246921987</v>
      </c>
      <c r="DA265" s="2875">
        <v>155047604.50999999</v>
      </c>
      <c r="DB265" s="1613">
        <v>51.916173999999998</v>
      </c>
      <c r="DC265" s="2899">
        <v>-4.9999999873762135E-7</v>
      </c>
      <c r="DE265" s="2782" t="b">
        <v>0</v>
      </c>
      <c r="DG265" s="2782">
        <v>9.0615509999999997</v>
      </c>
      <c r="DJ265" s="1611" t="e">
        <v>#N/A</v>
      </c>
      <c r="DK265" s="2782" t="e">
        <v>#N/A</v>
      </c>
      <c r="DM265" s="1650">
        <v>2.9864990246921987</v>
      </c>
    </row>
    <row r="266" spans="1:117" ht="21" customHeight="1">
      <c r="A266" s="1652">
        <v>76</v>
      </c>
      <c r="B266" s="1701" t="s">
        <v>1934</v>
      </c>
      <c r="C266" s="1662">
        <v>15</v>
      </c>
      <c r="D266" s="1646">
        <v>100</v>
      </c>
      <c r="E266" s="1646"/>
      <c r="F266" s="1648" t="s">
        <v>1594</v>
      </c>
      <c r="G266" s="1648"/>
      <c r="H266" s="1648">
        <v>15</v>
      </c>
      <c r="I266" s="1648" t="s">
        <v>1717</v>
      </c>
      <c r="J266" s="1649">
        <v>2</v>
      </c>
      <c r="K266" s="1648"/>
      <c r="L266" s="1648"/>
      <c r="M266" s="1648"/>
      <c r="N266" s="1642"/>
      <c r="O266" s="2876"/>
      <c r="P266" s="2870"/>
      <c r="Q266" s="2870"/>
      <c r="R266" s="2870"/>
      <c r="S266" s="2870"/>
      <c r="T266" s="2870"/>
      <c r="U266" s="2875">
        <v>0</v>
      </c>
      <c r="V266" s="2869"/>
      <c r="W266" s="2870"/>
      <c r="X266" s="2870"/>
      <c r="Y266" s="2870"/>
      <c r="Z266" s="2870"/>
      <c r="AA266" s="2877">
        <v>0</v>
      </c>
      <c r="AB266" s="2875">
        <v>0</v>
      </c>
      <c r="AC266" s="2869"/>
      <c r="AD266" s="2870"/>
      <c r="AE266" s="2870"/>
      <c r="AF266" s="2870"/>
      <c r="AG266" s="2870"/>
      <c r="AH266" s="2877">
        <v>0</v>
      </c>
      <c r="AI266" s="2875">
        <v>0</v>
      </c>
      <c r="AJ266" s="2869">
        <v>9.1237929999999992</v>
      </c>
      <c r="AK266" s="2870"/>
      <c r="AL266" s="2870">
        <v>27918804</v>
      </c>
      <c r="AM266" s="2870"/>
      <c r="AN266" s="2870"/>
      <c r="AO266" s="2877">
        <v>3.0599997172228699</v>
      </c>
      <c r="AP266" s="2875">
        <v>27918804</v>
      </c>
      <c r="AQ266" s="2869"/>
      <c r="AR266" s="2870"/>
      <c r="AS266" s="2870"/>
      <c r="AT266" s="2870"/>
      <c r="AU266" s="2870"/>
      <c r="AV266" s="2877">
        <v>0</v>
      </c>
      <c r="AW266" s="2875">
        <v>0</v>
      </c>
      <c r="AX266" s="2869"/>
      <c r="AY266" s="2870"/>
      <c r="AZ266" s="2870"/>
      <c r="BA266" s="2870"/>
      <c r="BB266" s="2870"/>
      <c r="BC266" s="2877">
        <v>0</v>
      </c>
      <c r="BD266" s="2875">
        <v>0</v>
      </c>
      <c r="BE266" s="2872">
        <v>14.507624999999999</v>
      </c>
      <c r="BF266" s="2870"/>
      <c r="BG266" s="2870">
        <v>55933333.5</v>
      </c>
      <c r="BH266" s="2870"/>
      <c r="BI266" s="2870"/>
      <c r="BJ266" s="2877">
        <v>3.8554438441853853</v>
      </c>
      <c r="BK266" s="2875">
        <v>55933333.5</v>
      </c>
      <c r="BL266" s="2869"/>
      <c r="BM266" s="2870"/>
      <c r="BN266" s="2870"/>
      <c r="BO266" s="2870"/>
      <c r="BP266" s="2870"/>
      <c r="BQ266" s="2877">
        <v>0</v>
      </c>
      <c r="BR266" s="2875">
        <v>0</v>
      </c>
      <c r="BS266" s="2869"/>
      <c r="BT266" s="2870"/>
      <c r="BU266" s="2870"/>
      <c r="BV266" s="2870"/>
      <c r="BW266" s="2870"/>
      <c r="BX266" s="2877">
        <v>0</v>
      </c>
      <c r="BY266" s="2875">
        <v>0</v>
      </c>
      <c r="BZ266" s="2869"/>
      <c r="CA266" s="2870"/>
      <c r="CB266" s="2870"/>
      <c r="CC266" s="2870"/>
      <c r="CD266" s="2870"/>
      <c r="CE266" s="2877">
        <v>0</v>
      </c>
      <c r="CF266" s="2875">
        <v>0</v>
      </c>
      <c r="CG266" s="2869"/>
      <c r="CH266" s="2870"/>
      <c r="CI266" s="2870"/>
      <c r="CJ266" s="2870"/>
      <c r="CK266" s="2870"/>
      <c r="CL266" s="2877">
        <v>0</v>
      </c>
      <c r="CM266" s="2875">
        <v>0</v>
      </c>
      <c r="CN266" s="2872">
        <v>6.521891000000001</v>
      </c>
      <c r="CO266" s="2870"/>
      <c r="CP266" s="2870">
        <v>5512622</v>
      </c>
      <c r="CQ266" s="2870"/>
      <c r="CR266" s="2870"/>
      <c r="CS266" s="2877">
        <v>0.8452490236344028</v>
      </c>
      <c r="CT266" s="2875">
        <v>5512622</v>
      </c>
      <c r="CU266" s="2878">
        <v>30.153308999999997</v>
      </c>
      <c r="CV266" s="2870">
        <v>0</v>
      </c>
      <c r="CW266" s="2870">
        <v>89364759.5</v>
      </c>
      <c r="CX266" s="2870">
        <v>0</v>
      </c>
      <c r="CY266" s="2870">
        <v>0</v>
      </c>
      <c r="CZ266" s="2879">
        <v>2.9636800226469342</v>
      </c>
      <c r="DA266" s="2875">
        <v>89364759.5</v>
      </c>
      <c r="DB266" s="1613">
        <v>28.077493</v>
      </c>
      <c r="DC266" s="2899">
        <v>-2.0758159999999961</v>
      </c>
      <c r="DE266" s="2782" t="b">
        <v>0</v>
      </c>
      <c r="DJ266" s="1611" t="e">
        <v>#N/A</v>
      </c>
      <c r="DK266" s="2782" t="e">
        <v>#N/A</v>
      </c>
      <c r="DM266" s="1650">
        <v>2.9636800226469342</v>
      </c>
    </row>
    <row r="267" spans="1:117" ht="21" customHeight="1">
      <c r="A267" s="1652">
        <v>77</v>
      </c>
      <c r="B267" s="1701" t="s">
        <v>1935</v>
      </c>
      <c r="C267" s="1662">
        <v>25</v>
      </c>
      <c r="D267" s="1646">
        <v>100</v>
      </c>
      <c r="E267" s="1646"/>
      <c r="F267" s="1648" t="s">
        <v>1594</v>
      </c>
      <c r="G267" s="1648"/>
      <c r="H267" s="1648">
        <v>25</v>
      </c>
      <c r="I267" s="1648" t="s">
        <v>1717</v>
      </c>
      <c r="J267" s="1649">
        <v>2</v>
      </c>
      <c r="K267" s="1648"/>
      <c r="L267" s="1648"/>
      <c r="M267" s="1648"/>
      <c r="N267" s="1642"/>
      <c r="O267" s="2876"/>
      <c r="P267" s="2870"/>
      <c r="Q267" s="2870"/>
      <c r="R267" s="2870"/>
      <c r="S267" s="2870"/>
      <c r="T267" s="2870"/>
      <c r="U267" s="2875">
        <v>0</v>
      </c>
      <c r="V267" s="2869"/>
      <c r="W267" s="2870"/>
      <c r="X267" s="2870"/>
      <c r="Y267" s="2870"/>
      <c r="Z267" s="2870"/>
      <c r="AA267" s="2877">
        <v>0</v>
      </c>
      <c r="AB267" s="2875">
        <v>0</v>
      </c>
      <c r="AC267" s="2869"/>
      <c r="AD267" s="2870"/>
      <c r="AE267" s="2870"/>
      <c r="AF267" s="2870"/>
      <c r="AG267" s="2870"/>
      <c r="AH267" s="2877">
        <v>0</v>
      </c>
      <c r="AI267" s="2875">
        <v>0</v>
      </c>
      <c r="AJ267" s="2869">
        <v>10.216937</v>
      </c>
      <c r="AK267" s="2870"/>
      <c r="AL267" s="2870">
        <v>31263826</v>
      </c>
      <c r="AM267" s="2870"/>
      <c r="AN267" s="2870"/>
      <c r="AO267" s="2877">
        <v>3.0599998805904352</v>
      </c>
      <c r="AP267" s="2875">
        <v>31263826</v>
      </c>
      <c r="AQ267" s="2869"/>
      <c r="AR267" s="2870"/>
      <c r="AS267" s="2870"/>
      <c r="AT267" s="2870"/>
      <c r="AU267" s="2870"/>
      <c r="AV267" s="2877">
        <v>0</v>
      </c>
      <c r="AW267" s="2875">
        <v>0</v>
      </c>
      <c r="AX267" s="2869"/>
      <c r="AY267" s="2870"/>
      <c r="AZ267" s="2870"/>
      <c r="BA267" s="2870"/>
      <c r="BB267" s="2870"/>
      <c r="BC267" s="2877">
        <v>0</v>
      </c>
      <c r="BD267" s="2875">
        <v>0</v>
      </c>
      <c r="BE267" s="2869"/>
      <c r="BF267" s="2870"/>
      <c r="BG267" s="2870"/>
      <c r="BH267" s="2870"/>
      <c r="BI267" s="2870"/>
      <c r="BJ267" s="2877">
        <v>0</v>
      </c>
      <c r="BK267" s="2875">
        <v>0</v>
      </c>
      <c r="BL267" s="2869"/>
      <c r="BM267" s="2870"/>
      <c r="BN267" s="2870"/>
      <c r="BO267" s="2870"/>
      <c r="BP267" s="2870"/>
      <c r="BQ267" s="2877">
        <v>0</v>
      </c>
      <c r="BR267" s="2875">
        <v>0</v>
      </c>
      <c r="BS267" s="2869"/>
      <c r="BT267" s="2870"/>
      <c r="BU267" s="2870"/>
      <c r="BV267" s="2870"/>
      <c r="BW267" s="2870"/>
      <c r="BX267" s="2877">
        <v>0</v>
      </c>
      <c r="BY267" s="2875">
        <v>0</v>
      </c>
      <c r="BZ267" s="2869"/>
      <c r="CA267" s="2870"/>
      <c r="CB267" s="2870"/>
      <c r="CC267" s="2870"/>
      <c r="CD267" s="2870"/>
      <c r="CE267" s="2877">
        <v>0</v>
      </c>
      <c r="CF267" s="2875">
        <v>0</v>
      </c>
      <c r="CG267" s="2869"/>
      <c r="CH267" s="2870"/>
      <c r="CI267" s="2870"/>
      <c r="CJ267" s="2870"/>
      <c r="CK267" s="2870"/>
      <c r="CL267" s="2877">
        <v>0</v>
      </c>
      <c r="CM267" s="2875">
        <v>0</v>
      </c>
      <c r="CN267" s="2872">
        <v>31.608750999999998</v>
      </c>
      <c r="CO267" s="2870"/>
      <c r="CP267" s="2870">
        <v>85018050</v>
      </c>
      <c r="CQ267" s="2870"/>
      <c r="CR267" s="2870"/>
      <c r="CS267" s="2877">
        <v>2.6896997606770356</v>
      </c>
      <c r="CT267" s="2875">
        <v>85018050</v>
      </c>
      <c r="CU267" s="2878">
        <v>41.825688</v>
      </c>
      <c r="CV267" s="2870">
        <v>0</v>
      </c>
      <c r="CW267" s="2870">
        <v>116281876</v>
      </c>
      <c r="CX267" s="2870">
        <v>0</v>
      </c>
      <c r="CY267" s="2870">
        <v>0</v>
      </c>
      <c r="CZ267" s="2879">
        <v>2.780154530871076</v>
      </c>
      <c r="DA267" s="2875">
        <v>116281876</v>
      </c>
      <c r="DB267" s="1613">
        <v>41.825688</v>
      </c>
      <c r="DC267" s="2899">
        <v>0</v>
      </c>
      <c r="DE267" s="2782" t="b">
        <v>1</v>
      </c>
      <c r="DJ267" s="1611" t="e">
        <v>#N/A</v>
      </c>
      <c r="DK267" s="2782" t="e">
        <v>#N/A</v>
      </c>
      <c r="DM267" s="1650">
        <v>2.780154530871076</v>
      </c>
    </row>
    <row r="268" spans="1:117" ht="21" customHeight="1">
      <c r="A268" s="1652">
        <v>78</v>
      </c>
      <c r="B268" s="1701" t="s">
        <v>1936</v>
      </c>
      <c r="C268" s="1662">
        <v>23</v>
      </c>
      <c r="D268" s="1646">
        <v>100</v>
      </c>
      <c r="E268" s="1646"/>
      <c r="F268" s="1648" t="s">
        <v>1594</v>
      </c>
      <c r="G268" s="1648"/>
      <c r="H268" s="1648">
        <v>23</v>
      </c>
      <c r="I268" s="1648" t="s">
        <v>1717</v>
      </c>
      <c r="J268" s="1649">
        <v>2</v>
      </c>
      <c r="K268" s="1648"/>
      <c r="L268" s="1648"/>
      <c r="M268" s="1648"/>
      <c r="N268" s="1642"/>
      <c r="O268" s="2876"/>
      <c r="P268" s="2870"/>
      <c r="Q268" s="2870"/>
      <c r="R268" s="2870"/>
      <c r="S268" s="2870"/>
      <c r="T268" s="2870"/>
      <c r="U268" s="2875">
        <v>0</v>
      </c>
      <c r="V268" s="2869"/>
      <c r="W268" s="2870"/>
      <c r="X268" s="2870"/>
      <c r="Y268" s="2870"/>
      <c r="Z268" s="2870"/>
      <c r="AA268" s="2877">
        <v>0</v>
      </c>
      <c r="AB268" s="2875">
        <v>0</v>
      </c>
      <c r="AC268" s="2869"/>
      <c r="AD268" s="2870"/>
      <c r="AE268" s="2870"/>
      <c r="AF268" s="2870"/>
      <c r="AG268" s="2870"/>
      <c r="AH268" s="2877">
        <v>0</v>
      </c>
      <c r="AI268" s="2875">
        <v>0</v>
      </c>
      <c r="AJ268" s="2869"/>
      <c r="AK268" s="2870"/>
      <c r="AL268" s="2870"/>
      <c r="AM268" s="2870"/>
      <c r="AN268" s="2870"/>
      <c r="AO268" s="2877">
        <v>0</v>
      </c>
      <c r="AP268" s="2875">
        <v>0</v>
      </c>
      <c r="AQ268" s="2869"/>
      <c r="AR268" s="2870"/>
      <c r="AS268" s="2870"/>
      <c r="AT268" s="2870"/>
      <c r="AU268" s="2870"/>
      <c r="AV268" s="2877">
        <v>0</v>
      </c>
      <c r="AW268" s="2875">
        <v>0</v>
      </c>
      <c r="AX268" s="2869"/>
      <c r="AY268" s="2870"/>
      <c r="AZ268" s="2870"/>
      <c r="BA268" s="2870"/>
      <c r="BB268" s="2870"/>
      <c r="BC268" s="2877">
        <v>0</v>
      </c>
      <c r="BD268" s="2875">
        <v>0</v>
      </c>
      <c r="BE268" s="2869"/>
      <c r="BF268" s="2870"/>
      <c r="BG268" s="2870"/>
      <c r="BH268" s="2870"/>
      <c r="BI268" s="2870"/>
      <c r="BJ268" s="2877">
        <v>0</v>
      </c>
      <c r="BK268" s="2875">
        <v>0</v>
      </c>
      <c r="BL268" s="2869"/>
      <c r="BM268" s="2870"/>
      <c r="BN268" s="2870"/>
      <c r="BO268" s="2870"/>
      <c r="BP268" s="2870"/>
      <c r="BQ268" s="2877">
        <v>0</v>
      </c>
      <c r="BR268" s="2875">
        <v>0</v>
      </c>
      <c r="BS268" s="2869"/>
      <c r="BT268" s="2870"/>
      <c r="BU268" s="2870"/>
      <c r="BV268" s="2870"/>
      <c r="BW268" s="2870"/>
      <c r="BX268" s="2877">
        <v>0</v>
      </c>
      <c r="BY268" s="2875">
        <v>0</v>
      </c>
      <c r="BZ268" s="2869"/>
      <c r="CA268" s="2870"/>
      <c r="CB268" s="2870"/>
      <c r="CC268" s="2870"/>
      <c r="CD268" s="2870"/>
      <c r="CE268" s="2877">
        <v>0</v>
      </c>
      <c r="CF268" s="2875">
        <v>0</v>
      </c>
      <c r="CG268" s="2869"/>
      <c r="CH268" s="2870"/>
      <c r="CI268" s="2870"/>
      <c r="CJ268" s="2870"/>
      <c r="CK268" s="2870"/>
      <c r="CL268" s="2877">
        <v>0</v>
      </c>
      <c r="CM268" s="2875">
        <v>0</v>
      </c>
      <c r="CN268" s="2902">
        <v>34.582707999999997</v>
      </c>
      <c r="CO268" s="2870"/>
      <c r="CP268" s="2870">
        <v>78985038</v>
      </c>
      <c r="CQ268" s="2870"/>
      <c r="CR268" s="2870"/>
      <c r="CS268" s="2877">
        <v>2.2839460113996854</v>
      </c>
      <c r="CT268" s="2875">
        <v>78985038</v>
      </c>
      <c r="CU268" s="2878">
        <v>34.582707999999997</v>
      </c>
      <c r="CV268" s="2870">
        <v>0</v>
      </c>
      <c r="CW268" s="2870">
        <v>78985038</v>
      </c>
      <c r="CX268" s="2870">
        <v>0</v>
      </c>
      <c r="CY268" s="2870">
        <v>0</v>
      </c>
      <c r="CZ268" s="2879">
        <v>2.2839460113996854</v>
      </c>
      <c r="DA268" s="2875">
        <v>78985038</v>
      </c>
      <c r="DB268" s="1613">
        <v>56.437381999999999</v>
      </c>
      <c r="DC268" s="2899">
        <v>21.854674000000003</v>
      </c>
      <c r="DE268" s="2782" t="b">
        <v>0</v>
      </c>
      <c r="DJ268" s="1611" t="e">
        <v>#N/A</v>
      </c>
      <c r="DK268" s="2782" t="e">
        <v>#N/A</v>
      </c>
      <c r="DM268" s="1650">
        <v>2.2839460113996854</v>
      </c>
    </row>
    <row r="269" spans="1:117" ht="21" customHeight="1">
      <c r="A269" s="1652">
        <v>79</v>
      </c>
      <c r="B269" s="1701" t="s">
        <v>1937</v>
      </c>
      <c r="C269" s="1662">
        <v>25</v>
      </c>
      <c r="D269" s="1646">
        <v>100</v>
      </c>
      <c r="E269" s="1646"/>
      <c r="F269" s="1648" t="s">
        <v>1594</v>
      </c>
      <c r="G269" s="1648"/>
      <c r="H269" s="1648">
        <v>25</v>
      </c>
      <c r="I269" s="1648" t="s">
        <v>1717</v>
      </c>
      <c r="J269" s="1649">
        <v>2</v>
      </c>
      <c r="K269" s="1648"/>
      <c r="L269" s="1648"/>
      <c r="M269" s="1648"/>
      <c r="N269" s="1642"/>
      <c r="O269" s="2876"/>
      <c r="P269" s="2870"/>
      <c r="Q269" s="2870"/>
      <c r="R269" s="2870"/>
      <c r="S269" s="2870"/>
      <c r="T269" s="2870"/>
      <c r="U269" s="2875">
        <v>0</v>
      </c>
      <c r="V269" s="2869"/>
      <c r="W269" s="2870"/>
      <c r="X269" s="2870"/>
      <c r="Y269" s="2870"/>
      <c r="Z269" s="2870"/>
      <c r="AA269" s="2877">
        <v>0</v>
      </c>
      <c r="AB269" s="2875">
        <v>0</v>
      </c>
      <c r="AC269" s="2869"/>
      <c r="AD269" s="2870"/>
      <c r="AE269" s="2870"/>
      <c r="AF269" s="2870"/>
      <c r="AG269" s="2870"/>
      <c r="AH269" s="2877">
        <v>0</v>
      </c>
      <c r="AI269" s="2875">
        <v>0</v>
      </c>
      <c r="AJ269" s="2869"/>
      <c r="AK269" s="2870"/>
      <c r="AL269" s="2870"/>
      <c r="AM269" s="2870"/>
      <c r="AN269" s="2870"/>
      <c r="AO269" s="2877">
        <v>0</v>
      </c>
      <c r="AP269" s="2875">
        <v>0</v>
      </c>
      <c r="AQ269" s="2869"/>
      <c r="AR269" s="2870"/>
      <c r="AS269" s="2870"/>
      <c r="AT269" s="2870"/>
      <c r="AU269" s="2870"/>
      <c r="AV269" s="2877">
        <v>0</v>
      </c>
      <c r="AW269" s="2875">
        <v>0</v>
      </c>
      <c r="AX269" s="2869"/>
      <c r="AY269" s="2870"/>
      <c r="AZ269" s="2870"/>
      <c r="BA269" s="2870"/>
      <c r="BB269" s="2870"/>
      <c r="BC269" s="2877">
        <v>0</v>
      </c>
      <c r="BD269" s="2875">
        <v>0</v>
      </c>
      <c r="BE269" s="2869"/>
      <c r="BF269" s="2870"/>
      <c r="BG269" s="2870"/>
      <c r="BH269" s="2870"/>
      <c r="BI269" s="2870"/>
      <c r="BJ269" s="2877">
        <v>0</v>
      </c>
      <c r="BK269" s="2875">
        <v>0</v>
      </c>
      <c r="BL269" s="2869"/>
      <c r="BM269" s="2870"/>
      <c r="BN269" s="2870"/>
      <c r="BO269" s="2870"/>
      <c r="BP269" s="2870"/>
      <c r="BQ269" s="2877">
        <v>0</v>
      </c>
      <c r="BR269" s="2875">
        <v>0</v>
      </c>
      <c r="BS269" s="2869"/>
      <c r="BT269" s="2870"/>
      <c r="BU269" s="2870"/>
      <c r="BV269" s="2870"/>
      <c r="BW269" s="2870"/>
      <c r="BX269" s="2877">
        <v>0</v>
      </c>
      <c r="BY269" s="2875">
        <v>0</v>
      </c>
      <c r="BZ269" s="2869"/>
      <c r="CA269" s="2870"/>
      <c r="CB269" s="2870"/>
      <c r="CC269" s="2870"/>
      <c r="CD269" s="2870"/>
      <c r="CE269" s="2877">
        <v>0</v>
      </c>
      <c r="CF269" s="2875">
        <v>0</v>
      </c>
      <c r="CG269" s="2869"/>
      <c r="CH269" s="2870"/>
      <c r="CI269" s="2870"/>
      <c r="CJ269" s="2870"/>
      <c r="CK269" s="2870"/>
      <c r="CL269" s="2877">
        <v>0</v>
      </c>
      <c r="CM269" s="2875">
        <v>0</v>
      </c>
      <c r="CN269" s="2902">
        <v>13.925727</v>
      </c>
      <c r="CO269" s="2870"/>
      <c r="CP269" s="2870">
        <v>44557851.509999998</v>
      </c>
      <c r="CQ269" s="2870"/>
      <c r="CR269" s="2870"/>
      <c r="CS269" s="2877">
        <v>3.1996786602236278</v>
      </c>
      <c r="CT269" s="2875">
        <v>44557851.509999998</v>
      </c>
      <c r="CU269" s="2878">
        <v>13.925727</v>
      </c>
      <c r="CV269" s="2870">
        <v>0</v>
      </c>
      <c r="CW269" s="2870">
        <v>44557851.509999998</v>
      </c>
      <c r="CX269" s="2870">
        <v>0</v>
      </c>
      <c r="CY269" s="2870">
        <v>0</v>
      </c>
      <c r="CZ269" s="2879">
        <v>3.1996786602236278</v>
      </c>
      <c r="DA269" s="2875">
        <v>44557851.509999998</v>
      </c>
      <c r="DB269" s="1613">
        <v>13.925727</v>
      </c>
      <c r="DC269" s="2899">
        <v>0</v>
      </c>
      <c r="DE269" s="2782" t="b">
        <v>1</v>
      </c>
      <c r="DJ269" s="1611" t="e">
        <v>#N/A</v>
      </c>
      <c r="DK269" s="2782" t="e">
        <v>#N/A</v>
      </c>
      <c r="DM269" s="1650">
        <v>3.1996786602236278</v>
      </c>
    </row>
    <row r="270" spans="1:117" ht="21" customHeight="1">
      <c r="A270" s="1652"/>
      <c r="B270" s="1644"/>
      <c r="C270" s="1662"/>
      <c r="D270" s="1648"/>
      <c r="E270" s="1648"/>
      <c r="F270" s="1648"/>
      <c r="G270" s="1648"/>
      <c r="H270" s="1648"/>
      <c r="I270" s="1648"/>
      <c r="J270" s="1649"/>
      <c r="K270" s="1648"/>
      <c r="L270" s="1648"/>
      <c r="M270" s="1648"/>
      <c r="N270" s="1642"/>
      <c r="O270" s="2876"/>
      <c r="P270" s="2870"/>
      <c r="Q270" s="2870"/>
      <c r="R270" s="2870"/>
      <c r="S270" s="2870"/>
      <c r="T270" s="2870"/>
      <c r="U270" s="2875">
        <v>0</v>
      </c>
      <c r="V270" s="2869"/>
      <c r="W270" s="2870"/>
      <c r="X270" s="2870"/>
      <c r="Y270" s="2870"/>
      <c r="Z270" s="2870"/>
      <c r="AA270" s="2877"/>
      <c r="AB270" s="2875">
        <v>0</v>
      </c>
      <c r="AC270" s="2869"/>
      <c r="AD270" s="2870"/>
      <c r="AE270" s="2870"/>
      <c r="AF270" s="2870"/>
      <c r="AG270" s="2870"/>
      <c r="AH270" s="2877"/>
      <c r="AI270" s="2875">
        <v>0</v>
      </c>
      <c r="AJ270" s="2869"/>
      <c r="AK270" s="2870"/>
      <c r="AL270" s="2870"/>
      <c r="AM270" s="2870"/>
      <c r="AN270" s="2870"/>
      <c r="AO270" s="2877"/>
      <c r="AP270" s="2875">
        <v>0</v>
      </c>
      <c r="AQ270" s="2869"/>
      <c r="AR270" s="2870"/>
      <c r="AS270" s="2870"/>
      <c r="AT270" s="2870"/>
      <c r="AU270" s="2870"/>
      <c r="AV270" s="2877"/>
      <c r="AW270" s="2875">
        <v>0</v>
      </c>
      <c r="AX270" s="2869"/>
      <c r="AY270" s="2870"/>
      <c r="AZ270" s="2870"/>
      <c r="BA270" s="2870"/>
      <c r="BB270" s="2870"/>
      <c r="BC270" s="2877"/>
      <c r="BD270" s="2875">
        <v>0</v>
      </c>
      <c r="BE270" s="2869"/>
      <c r="BF270" s="2870"/>
      <c r="BG270" s="2870"/>
      <c r="BH270" s="2870"/>
      <c r="BI270" s="2870"/>
      <c r="BJ270" s="2877"/>
      <c r="BK270" s="2875">
        <v>0</v>
      </c>
      <c r="BL270" s="2869"/>
      <c r="BM270" s="2870"/>
      <c r="BN270" s="2870"/>
      <c r="BO270" s="2870"/>
      <c r="BP270" s="2870"/>
      <c r="BQ270" s="2877"/>
      <c r="BR270" s="2875">
        <v>0</v>
      </c>
      <c r="BS270" s="2869"/>
      <c r="BT270" s="2870"/>
      <c r="BU270" s="2870"/>
      <c r="BV270" s="2870"/>
      <c r="BW270" s="2870"/>
      <c r="BX270" s="2877"/>
      <c r="BY270" s="2875">
        <v>0</v>
      </c>
      <c r="BZ270" s="2869"/>
      <c r="CA270" s="2870"/>
      <c r="CB270" s="2870"/>
      <c r="CC270" s="2870"/>
      <c r="CD270" s="2870"/>
      <c r="CE270" s="2877"/>
      <c r="CF270" s="2875">
        <v>0</v>
      </c>
      <c r="CG270" s="2869"/>
      <c r="CH270" s="2870"/>
      <c r="CI270" s="2870"/>
      <c r="CJ270" s="2870"/>
      <c r="CK270" s="2870"/>
      <c r="CL270" s="2877"/>
      <c r="CM270" s="2875">
        <v>0</v>
      </c>
      <c r="CN270" s="2872"/>
      <c r="CO270" s="2870"/>
      <c r="CP270" s="2870"/>
      <c r="CQ270" s="2870"/>
      <c r="CR270" s="2870"/>
      <c r="CS270" s="2877"/>
      <c r="CT270" s="2875">
        <v>0</v>
      </c>
      <c r="CU270" s="2878">
        <v>0</v>
      </c>
      <c r="CV270" s="2870">
        <v>0</v>
      </c>
      <c r="CW270" s="2870">
        <v>0</v>
      </c>
      <c r="CX270" s="2870">
        <v>0</v>
      </c>
      <c r="CY270" s="2870">
        <v>0</v>
      </c>
      <c r="CZ270" s="2879">
        <v>0</v>
      </c>
      <c r="DA270" s="2875">
        <v>0</v>
      </c>
      <c r="DB270" s="1613"/>
      <c r="DC270" s="2899"/>
      <c r="DJ270" s="1611" t="e">
        <v>#N/A</v>
      </c>
      <c r="DK270" s="2782" t="e">
        <v>#N/A</v>
      </c>
      <c r="DM270" s="1650">
        <v>0</v>
      </c>
    </row>
    <row r="271" spans="1:117" ht="21" customHeight="1">
      <c r="A271" s="1652"/>
      <c r="B271" s="1644"/>
      <c r="C271" s="1662"/>
      <c r="D271" s="1648"/>
      <c r="E271" s="1648"/>
      <c r="F271" s="1648"/>
      <c r="G271" s="1648"/>
      <c r="H271" s="1648"/>
      <c r="I271" s="1648"/>
      <c r="J271" s="1649"/>
      <c r="K271" s="1648"/>
      <c r="L271" s="1648"/>
      <c r="M271" s="1648"/>
      <c r="N271" s="1642"/>
      <c r="O271" s="2876"/>
      <c r="P271" s="2870"/>
      <c r="Q271" s="2870"/>
      <c r="R271" s="2870"/>
      <c r="S271" s="2870"/>
      <c r="T271" s="2870"/>
      <c r="U271" s="2875">
        <v>0</v>
      </c>
      <c r="V271" s="2869"/>
      <c r="W271" s="2870"/>
      <c r="X271" s="2870"/>
      <c r="Y271" s="2870"/>
      <c r="Z271" s="2870"/>
      <c r="AA271" s="2877"/>
      <c r="AB271" s="2875">
        <v>0</v>
      </c>
      <c r="AC271" s="2869"/>
      <c r="AD271" s="2870"/>
      <c r="AE271" s="2870"/>
      <c r="AF271" s="2870"/>
      <c r="AG271" s="2870"/>
      <c r="AH271" s="2877"/>
      <c r="AI271" s="2875">
        <v>0</v>
      </c>
      <c r="AJ271" s="2869"/>
      <c r="AK271" s="2870"/>
      <c r="AL271" s="2870"/>
      <c r="AM271" s="2870"/>
      <c r="AN271" s="2870"/>
      <c r="AO271" s="2877"/>
      <c r="AP271" s="2875">
        <v>0</v>
      </c>
      <c r="AQ271" s="2869"/>
      <c r="AR271" s="2870"/>
      <c r="AS271" s="2870"/>
      <c r="AT271" s="2870"/>
      <c r="AU271" s="2870"/>
      <c r="AV271" s="2877"/>
      <c r="AW271" s="2875">
        <v>0</v>
      </c>
      <c r="AX271" s="2869"/>
      <c r="AY271" s="2870"/>
      <c r="AZ271" s="2870"/>
      <c r="BA271" s="2870"/>
      <c r="BB271" s="2870"/>
      <c r="BC271" s="2877"/>
      <c r="BD271" s="2875">
        <v>0</v>
      </c>
      <c r="BE271" s="2869"/>
      <c r="BF271" s="2870"/>
      <c r="BG271" s="2870"/>
      <c r="BH271" s="2870"/>
      <c r="BI271" s="2870"/>
      <c r="BJ271" s="2877"/>
      <c r="BK271" s="2875">
        <v>0</v>
      </c>
      <c r="BL271" s="2869"/>
      <c r="BM271" s="2870"/>
      <c r="BN271" s="2870"/>
      <c r="BO271" s="2870"/>
      <c r="BP271" s="2870"/>
      <c r="BQ271" s="2877"/>
      <c r="BR271" s="2875">
        <v>0</v>
      </c>
      <c r="BS271" s="2869"/>
      <c r="BT271" s="2870"/>
      <c r="BU271" s="2870"/>
      <c r="BV271" s="2870"/>
      <c r="BW271" s="2870"/>
      <c r="BX271" s="2877"/>
      <c r="BY271" s="2875">
        <v>0</v>
      </c>
      <c r="BZ271" s="2869"/>
      <c r="CA271" s="2870"/>
      <c r="CB271" s="2870"/>
      <c r="CC271" s="2870"/>
      <c r="CD271" s="2870"/>
      <c r="CE271" s="2877"/>
      <c r="CF271" s="2875">
        <v>0</v>
      </c>
      <c r="CG271" s="2869"/>
      <c r="CH271" s="2870"/>
      <c r="CI271" s="2870"/>
      <c r="CJ271" s="2870"/>
      <c r="CK271" s="2870"/>
      <c r="CL271" s="2877"/>
      <c r="CM271" s="2875">
        <v>0</v>
      </c>
      <c r="CN271" s="2872"/>
      <c r="CO271" s="2870"/>
      <c r="CP271" s="2870"/>
      <c r="CQ271" s="2870"/>
      <c r="CR271" s="2870"/>
      <c r="CS271" s="2877"/>
      <c r="CT271" s="2875">
        <v>0</v>
      </c>
      <c r="CU271" s="2878">
        <v>0</v>
      </c>
      <c r="CV271" s="2870">
        <v>0</v>
      </c>
      <c r="CW271" s="2870">
        <v>0</v>
      </c>
      <c r="CX271" s="2870">
        <v>0</v>
      </c>
      <c r="CY271" s="2870">
        <v>0</v>
      </c>
      <c r="CZ271" s="2879">
        <v>0</v>
      </c>
      <c r="DA271" s="2875">
        <v>0</v>
      </c>
      <c r="DB271" s="1613"/>
      <c r="DC271" s="2899"/>
      <c r="DJ271" s="1611" t="e">
        <v>#N/A</v>
      </c>
      <c r="DK271" s="2782" t="e">
        <v>#N/A</v>
      </c>
      <c r="DM271" s="1650">
        <v>0</v>
      </c>
    </row>
    <row r="272" spans="1:117" s="1727" customFormat="1" ht="21" customHeight="1">
      <c r="A272" s="1637"/>
      <c r="B272" s="1638" t="s">
        <v>211</v>
      </c>
      <c r="C272" s="1643"/>
      <c r="D272" s="1641"/>
      <c r="E272" s="1641"/>
      <c r="F272" s="1641"/>
      <c r="G272" s="1641"/>
      <c r="H272" s="1641"/>
      <c r="I272" s="1641"/>
      <c r="J272" s="1649"/>
      <c r="K272" s="1641"/>
      <c r="L272" s="1641"/>
      <c r="M272" s="1641"/>
      <c r="N272" s="1671"/>
      <c r="O272" s="2876">
        <v>8.6156740000000003</v>
      </c>
      <c r="P272" s="2874">
        <v>0</v>
      </c>
      <c r="Q272" s="2874">
        <v>56863446</v>
      </c>
      <c r="R272" s="2874">
        <v>0</v>
      </c>
      <c r="S272" s="2874"/>
      <c r="T272" s="2879">
        <v>6.5999997214379285</v>
      </c>
      <c r="U272" s="2875">
        <v>56863446</v>
      </c>
      <c r="V272" s="2876">
        <v>9.1141880000000004</v>
      </c>
      <c r="W272" s="2874">
        <v>0</v>
      </c>
      <c r="X272" s="2874">
        <v>60153641</v>
      </c>
      <c r="Y272" s="2874">
        <v>0</v>
      </c>
      <c r="Z272" s="2874">
        <v>0</v>
      </c>
      <c r="AA272" s="2879">
        <v>6.6000000219438091</v>
      </c>
      <c r="AB272" s="2875">
        <v>60153641</v>
      </c>
      <c r="AC272" s="2876">
        <v>7.2641080000000002</v>
      </c>
      <c r="AD272" s="2874">
        <v>0</v>
      </c>
      <c r="AE272" s="2874">
        <v>47943113</v>
      </c>
      <c r="AF272" s="2874">
        <v>0</v>
      </c>
      <c r="AG272" s="2874">
        <v>0</v>
      </c>
      <c r="AH272" s="2879">
        <v>6.60000002753263</v>
      </c>
      <c r="AI272" s="2875">
        <v>47943113</v>
      </c>
      <c r="AJ272" s="2876">
        <v>403.12140499999992</v>
      </c>
      <c r="AK272" s="2874">
        <v>0</v>
      </c>
      <c r="AL272" s="2874">
        <v>1232565189.0599999</v>
      </c>
      <c r="AM272" s="2874">
        <v>0</v>
      </c>
      <c r="AN272" s="2874">
        <v>0</v>
      </c>
      <c r="AO272" s="2879">
        <v>3.0575533171204343</v>
      </c>
      <c r="AP272" s="2875">
        <v>1232565189.0599999</v>
      </c>
      <c r="AQ272" s="2876">
        <v>201.89734710000002</v>
      </c>
      <c r="AR272" s="2874">
        <v>0</v>
      </c>
      <c r="AS272" s="2874">
        <v>738556866.93000007</v>
      </c>
      <c r="AT272" s="2874">
        <v>18366</v>
      </c>
      <c r="AU272" s="2874">
        <v>0</v>
      </c>
      <c r="AV272" s="2879">
        <v>3.658172053960584</v>
      </c>
      <c r="AW272" s="2875">
        <v>738575232.93000007</v>
      </c>
      <c r="AX272" s="2876">
        <v>104.60804249999998</v>
      </c>
      <c r="AY272" s="2874">
        <v>0</v>
      </c>
      <c r="AZ272" s="2874">
        <v>512688385.87</v>
      </c>
      <c r="BA272" s="2874">
        <v>0</v>
      </c>
      <c r="BB272" s="2874">
        <v>0</v>
      </c>
      <c r="BC272" s="2879">
        <v>4.9010417709517897</v>
      </c>
      <c r="BD272" s="2875">
        <v>512688385.87</v>
      </c>
      <c r="BE272" s="2876">
        <v>75.051359999999988</v>
      </c>
      <c r="BF272" s="2874">
        <v>0</v>
      </c>
      <c r="BG272" s="2874">
        <v>344721929.86000001</v>
      </c>
      <c r="BH272" s="2874">
        <v>85624979</v>
      </c>
      <c r="BI272" s="2874">
        <v>0</v>
      </c>
      <c r="BJ272" s="2879">
        <v>5.7340321196044961</v>
      </c>
      <c r="BK272" s="2875">
        <v>430346908.86000001</v>
      </c>
      <c r="BL272" s="2876">
        <v>69.870104999999995</v>
      </c>
      <c r="BM272" s="2874">
        <v>0</v>
      </c>
      <c r="BN272" s="2874">
        <v>369906122.75</v>
      </c>
      <c r="BO272" s="2874">
        <v>33119184</v>
      </c>
      <c r="BP272" s="2874">
        <v>0</v>
      </c>
      <c r="BQ272" s="2879">
        <v>5.7682081163324428</v>
      </c>
      <c r="BR272" s="2875">
        <v>403025306.75</v>
      </c>
      <c r="BS272" s="2876">
        <v>7.6877620000000002</v>
      </c>
      <c r="BT272" s="2874">
        <v>0</v>
      </c>
      <c r="BU272" s="2874">
        <v>50739233</v>
      </c>
      <c r="BV272" s="2874">
        <v>0</v>
      </c>
      <c r="BW272" s="2874">
        <v>0</v>
      </c>
      <c r="BX272" s="2879">
        <v>6.6000004942920967</v>
      </c>
      <c r="BY272" s="2875">
        <v>50739233</v>
      </c>
      <c r="BZ272" s="2876">
        <v>200.283727</v>
      </c>
      <c r="CA272" s="2874">
        <v>0</v>
      </c>
      <c r="CB272" s="2874">
        <v>772750686</v>
      </c>
      <c r="CC272" s="2874">
        <v>0</v>
      </c>
      <c r="CD272" s="2874">
        <v>0</v>
      </c>
      <c r="CE272" s="2879">
        <v>3.8582799390386819</v>
      </c>
      <c r="CF272" s="2875">
        <v>772750686</v>
      </c>
      <c r="CG272" s="2876">
        <v>919.11257199999989</v>
      </c>
      <c r="CH272" s="2874">
        <v>0</v>
      </c>
      <c r="CI272" s="2874">
        <v>3169498663.8100004</v>
      </c>
      <c r="CJ272" s="2874">
        <v>0</v>
      </c>
      <c r="CK272" s="2874">
        <v>0</v>
      </c>
      <c r="CL272" s="2879">
        <v>3.4484335873168765</v>
      </c>
      <c r="CM272" s="2875">
        <v>3169498663.8100004</v>
      </c>
      <c r="CN272" s="2880">
        <v>1556.4721516000002</v>
      </c>
      <c r="CO272" s="2874">
        <v>0</v>
      </c>
      <c r="CP272" s="2874">
        <v>4586534904.7499771</v>
      </c>
      <c r="CQ272" s="2874">
        <v>44040589</v>
      </c>
      <c r="CR272" s="2874">
        <v>0</v>
      </c>
      <c r="CS272" s="2879">
        <v>2.9750455149421748</v>
      </c>
      <c r="CT272" s="2875">
        <v>4630575493.7499771</v>
      </c>
      <c r="CU272" s="2881">
        <v>3563.0984422000001</v>
      </c>
      <c r="CV272" s="2874">
        <v>0</v>
      </c>
      <c r="CW272" s="2874">
        <v>11942922182.029974</v>
      </c>
      <c r="CX272" s="2874">
        <v>162803118</v>
      </c>
      <c r="CY272" s="2874">
        <v>0</v>
      </c>
      <c r="CZ272" s="2879">
        <v>3.3975276003195165</v>
      </c>
      <c r="DA272" s="2875">
        <v>12105725300.029974</v>
      </c>
      <c r="DB272" s="2907">
        <v>3453.9758484399999</v>
      </c>
      <c r="DC272" s="2899">
        <v>6.0986473400000349</v>
      </c>
      <c r="DD272" s="1625"/>
      <c r="DJ272" s="1611" t="e">
        <v>#N/A</v>
      </c>
      <c r="DK272" s="2782">
        <v>0</v>
      </c>
      <c r="DM272" s="1650">
        <v>3.3518361548989182</v>
      </c>
    </row>
    <row r="273" spans="1:117" ht="21" customHeight="1">
      <c r="A273" s="1652"/>
      <c r="B273" s="1644"/>
      <c r="C273" s="1662"/>
      <c r="D273" s="1648"/>
      <c r="E273" s="1648"/>
      <c r="F273" s="1648"/>
      <c r="G273" s="1648"/>
      <c r="H273" s="1648"/>
      <c r="I273" s="1648"/>
      <c r="J273" s="1663"/>
      <c r="K273" s="1648"/>
      <c r="L273" s="1648"/>
      <c r="M273" s="1648"/>
      <c r="N273" s="1642"/>
      <c r="O273" s="2876"/>
      <c r="P273" s="2870"/>
      <c r="Q273" s="2870"/>
      <c r="R273" s="2870"/>
      <c r="S273" s="2870"/>
      <c r="T273" s="2870"/>
      <c r="U273" s="2875">
        <v>0</v>
      </c>
      <c r="V273" s="2869"/>
      <c r="W273" s="2870"/>
      <c r="X273" s="2870"/>
      <c r="Y273" s="2870"/>
      <c r="Z273" s="2870"/>
      <c r="AA273" s="2877"/>
      <c r="AB273" s="2875">
        <v>0</v>
      </c>
      <c r="AC273" s="2869"/>
      <c r="AD273" s="2870"/>
      <c r="AE273" s="2870"/>
      <c r="AF273" s="2870"/>
      <c r="AG273" s="2870"/>
      <c r="AH273" s="2877"/>
      <c r="AI273" s="2875">
        <v>0</v>
      </c>
      <c r="AJ273" s="2869"/>
      <c r="AK273" s="2870"/>
      <c r="AL273" s="2870"/>
      <c r="AM273" s="2870"/>
      <c r="AN273" s="2870"/>
      <c r="AO273" s="2877"/>
      <c r="AP273" s="2875">
        <v>0</v>
      </c>
      <c r="AQ273" s="2869"/>
      <c r="AR273" s="2870"/>
      <c r="AS273" s="2870"/>
      <c r="AT273" s="2870"/>
      <c r="AU273" s="2870"/>
      <c r="AV273" s="2877"/>
      <c r="AW273" s="2875">
        <v>0</v>
      </c>
      <c r="AX273" s="2869"/>
      <c r="AY273" s="2870"/>
      <c r="AZ273" s="2870"/>
      <c r="BA273" s="2870"/>
      <c r="BB273" s="2870"/>
      <c r="BC273" s="2877"/>
      <c r="BD273" s="2875">
        <v>0</v>
      </c>
      <c r="BE273" s="2869"/>
      <c r="BF273" s="2870"/>
      <c r="BG273" s="2870"/>
      <c r="BH273" s="2870"/>
      <c r="BI273" s="2870"/>
      <c r="BJ273" s="2877"/>
      <c r="BK273" s="2875">
        <v>0</v>
      </c>
      <c r="BL273" s="2869"/>
      <c r="BM273" s="2870"/>
      <c r="BN273" s="2870"/>
      <c r="BO273" s="2870"/>
      <c r="BP273" s="2870"/>
      <c r="BQ273" s="2877"/>
      <c r="BR273" s="2875">
        <v>0</v>
      </c>
      <c r="BS273" s="2869"/>
      <c r="BT273" s="2870"/>
      <c r="BU273" s="2870"/>
      <c r="BV273" s="2870"/>
      <c r="BW273" s="2870"/>
      <c r="BX273" s="2877"/>
      <c r="BY273" s="2875">
        <v>0</v>
      </c>
      <c r="BZ273" s="2869"/>
      <c r="CA273" s="2870"/>
      <c r="CB273" s="2870"/>
      <c r="CC273" s="2870"/>
      <c r="CD273" s="2870"/>
      <c r="CE273" s="2877"/>
      <c r="CF273" s="2875">
        <v>0</v>
      </c>
      <c r="CG273" s="2869"/>
      <c r="CH273" s="2870"/>
      <c r="CI273" s="2870"/>
      <c r="CJ273" s="2870"/>
      <c r="CK273" s="2870"/>
      <c r="CL273" s="2877"/>
      <c r="CM273" s="2875">
        <v>0</v>
      </c>
      <c r="CN273" s="2872"/>
      <c r="CO273" s="2870"/>
      <c r="CP273" s="2870"/>
      <c r="CQ273" s="2870"/>
      <c r="CR273" s="2870"/>
      <c r="CS273" s="2877"/>
      <c r="CT273" s="2875">
        <v>0</v>
      </c>
      <c r="CU273" s="2878"/>
      <c r="CV273" s="2870"/>
      <c r="CW273" s="2870"/>
      <c r="CX273" s="2870"/>
      <c r="CY273" s="2870"/>
      <c r="CZ273" s="2879"/>
      <c r="DA273" s="2875"/>
      <c r="DC273" s="2908"/>
      <c r="DJ273" s="1611" t="e">
        <v>#N/A</v>
      </c>
      <c r="DK273" s="2782" t="e">
        <v>#N/A</v>
      </c>
      <c r="DM273" s="1650">
        <v>0</v>
      </c>
    </row>
    <row r="274" spans="1:117" ht="27" customHeight="1">
      <c r="A274" s="1637" t="s">
        <v>69</v>
      </c>
      <c r="B274" s="1638" t="s">
        <v>1938</v>
      </c>
      <c r="C274" s="1662"/>
      <c r="D274" s="1648"/>
      <c r="E274" s="1648"/>
      <c r="F274" s="1648"/>
      <c r="G274" s="1648"/>
      <c r="H274" s="1648"/>
      <c r="I274" s="1648"/>
      <c r="J274" s="1663"/>
      <c r="K274" s="1648"/>
      <c r="L274" s="1648"/>
      <c r="M274" s="1648"/>
      <c r="N274" s="1642"/>
      <c r="O274" s="2876"/>
      <c r="P274" s="2870"/>
      <c r="Q274" s="2870"/>
      <c r="R274" s="2870"/>
      <c r="S274" s="2870"/>
      <c r="T274" s="2870"/>
      <c r="U274" s="2875"/>
      <c r="V274" s="2869"/>
      <c r="W274" s="2870"/>
      <c r="X274" s="2870"/>
      <c r="Y274" s="2870"/>
      <c r="Z274" s="2870"/>
      <c r="AA274" s="2877">
        <v>0</v>
      </c>
      <c r="AB274" s="2875">
        <v>0</v>
      </c>
      <c r="AC274" s="2869"/>
      <c r="AD274" s="2870"/>
      <c r="AE274" s="2870"/>
      <c r="AF274" s="2870"/>
      <c r="AG274" s="2870"/>
      <c r="AH274" s="2877"/>
      <c r="AI274" s="2875"/>
      <c r="AJ274" s="2869"/>
      <c r="AK274" s="2870"/>
      <c r="AL274" s="2870"/>
      <c r="AM274" s="2870"/>
      <c r="AN274" s="2870"/>
      <c r="AO274" s="2877"/>
      <c r="AP274" s="2875"/>
      <c r="AQ274" s="2869"/>
      <c r="AR274" s="2870"/>
      <c r="AS274" s="2870"/>
      <c r="AT274" s="2870"/>
      <c r="AU274" s="2870"/>
      <c r="AV274" s="2877"/>
      <c r="AW274" s="2875"/>
      <c r="AX274" s="2869"/>
      <c r="AY274" s="2870"/>
      <c r="AZ274" s="2870"/>
      <c r="BA274" s="2870"/>
      <c r="BB274" s="2870"/>
      <c r="BC274" s="2877"/>
      <c r="BD274" s="2875"/>
      <c r="BE274" s="2869"/>
      <c r="BF274" s="2870"/>
      <c r="BG274" s="2870"/>
      <c r="BH274" s="2870"/>
      <c r="BI274" s="2870"/>
      <c r="BJ274" s="2877"/>
      <c r="BK274" s="2875"/>
      <c r="BL274" s="2869"/>
      <c r="BM274" s="2870"/>
      <c r="BN274" s="2870"/>
      <c r="BO274" s="2870"/>
      <c r="BP274" s="2870"/>
      <c r="BQ274" s="2877"/>
      <c r="BR274" s="2875"/>
      <c r="BS274" s="2869"/>
      <c r="BT274" s="2870"/>
      <c r="BU274" s="2870"/>
      <c r="BV274" s="2870"/>
      <c r="BW274" s="2870"/>
      <c r="BX274" s="2877"/>
      <c r="BY274" s="2875"/>
      <c r="BZ274" s="2869"/>
      <c r="CA274" s="2870"/>
      <c r="CB274" s="2870"/>
      <c r="CC274" s="2870"/>
      <c r="CD274" s="2870"/>
      <c r="CE274" s="2877"/>
      <c r="CF274" s="2875"/>
      <c r="CG274" s="2869"/>
      <c r="CH274" s="2870"/>
      <c r="CI274" s="2870"/>
      <c r="CJ274" s="2870"/>
      <c r="CK274" s="2870"/>
      <c r="CL274" s="2877"/>
      <c r="CM274" s="2875"/>
      <c r="CN274" s="2872"/>
      <c r="CO274" s="2870"/>
      <c r="CP274" s="2870"/>
      <c r="CQ274" s="2870"/>
      <c r="CR274" s="2870"/>
      <c r="CS274" s="2877"/>
      <c r="CT274" s="2875"/>
      <c r="CU274" s="2878"/>
      <c r="CV274" s="2870"/>
      <c r="CW274" s="2870"/>
      <c r="CX274" s="2870"/>
      <c r="CY274" s="2870"/>
      <c r="CZ274" s="2879"/>
      <c r="DA274" s="2875"/>
      <c r="DJ274" s="1611" t="e">
        <v>#N/A</v>
      </c>
      <c r="DK274" s="2782" t="e">
        <v>#N/A</v>
      </c>
      <c r="DM274" s="1650">
        <v>0</v>
      </c>
    </row>
    <row r="275" spans="1:117" ht="21" customHeight="1">
      <c r="A275" s="1652"/>
      <c r="B275" s="1644" t="s">
        <v>1939</v>
      </c>
      <c r="C275" s="1662"/>
      <c r="D275" s="1646" t="e">
        <v>#DIV/0!</v>
      </c>
      <c r="E275" s="1646"/>
      <c r="F275" s="1648"/>
      <c r="G275" s="1648"/>
      <c r="H275" s="1648"/>
      <c r="I275" s="1648"/>
      <c r="J275" s="1663"/>
      <c r="K275" s="1648"/>
      <c r="L275" s="1648"/>
      <c r="M275" s="1648"/>
      <c r="N275" s="1642"/>
      <c r="O275" s="2876"/>
      <c r="P275" s="2870"/>
      <c r="Q275" s="2870"/>
      <c r="R275" s="2870"/>
      <c r="S275" s="2870"/>
      <c r="T275" s="2870"/>
      <c r="U275" s="2875"/>
      <c r="V275" s="2876"/>
      <c r="W275" s="2870"/>
      <c r="X275" s="2874"/>
      <c r="Y275" s="2870"/>
      <c r="Z275" s="2870"/>
      <c r="AA275" s="2877">
        <v>0</v>
      </c>
      <c r="AB275" s="2875"/>
      <c r="AC275" s="2876"/>
      <c r="AD275" s="2870"/>
      <c r="AE275" s="2874"/>
      <c r="AF275" s="2870"/>
      <c r="AG275" s="2870"/>
      <c r="AH275" s="2877">
        <v>0</v>
      </c>
      <c r="AI275" s="2875"/>
      <c r="AJ275" s="2876"/>
      <c r="AK275" s="2870"/>
      <c r="AL275" s="2874"/>
      <c r="AM275" s="2870"/>
      <c r="AN275" s="2870"/>
      <c r="AO275" s="2877">
        <v>0</v>
      </c>
      <c r="AP275" s="2875"/>
      <c r="AQ275" s="2876"/>
      <c r="AR275" s="2870"/>
      <c r="AS275" s="2874"/>
      <c r="AT275" s="2870"/>
      <c r="AU275" s="2870"/>
      <c r="AV275" s="2877">
        <v>0</v>
      </c>
      <c r="AW275" s="2875"/>
      <c r="AX275" s="2876"/>
      <c r="AY275" s="2870"/>
      <c r="AZ275" s="2874"/>
      <c r="BA275" s="2870"/>
      <c r="BB275" s="2870"/>
      <c r="BC275" s="2877">
        <v>0</v>
      </c>
      <c r="BD275" s="2875"/>
      <c r="BE275" s="2876"/>
      <c r="BF275" s="2870"/>
      <c r="BG275" s="2874"/>
      <c r="BH275" s="2870"/>
      <c r="BI275" s="2870"/>
      <c r="BJ275" s="2877">
        <v>0</v>
      </c>
      <c r="BK275" s="2875"/>
      <c r="BL275" s="2876"/>
      <c r="BM275" s="2870"/>
      <c r="BN275" s="2874"/>
      <c r="BO275" s="2870"/>
      <c r="BP275" s="2870"/>
      <c r="BQ275" s="2877">
        <v>0</v>
      </c>
      <c r="BR275" s="2875"/>
      <c r="BS275" s="2876"/>
      <c r="BT275" s="2870"/>
      <c r="BU275" s="2874"/>
      <c r="BV275" s="2870"/>
      <c r="BW275" s="2870"/>
      <c r="BX275" s="2877">
        <v>0</v>
      </c>
      <c r="BY275" s="2875"/>
      <c r="BZ275" s="2876"/>
      <c r="CA275" s="2870"/>
      <c r="CB275" s="2876"/>
      <c r="CC275" s="2870"/>
      <c r="CD275" s="2870"/>
      <c r="CE275" s="2877">
        <v>0</v>
      </c>
      <c r="CF275" s="2875"/>
      <c r="CG275" s="2876"/>
      <c r="CH275" s="2870"/>
      <c r="CI275" s="2876"/>
      <c r="CJ275" s="2870"/>
      <c r="CK275" s="2870"/>
      <c r="CL275" s="2877">
        <v>0</v>
      </c>
      <c r="CM275" s="2875"/>
      <c r="CN275" s="2880"/>
      <c r="CO275" s="2870"/>
      <c r="CP275" s="2874"/>
      <c r="CQ275" s="2870"/>
      <c r="CR275" s="2870"/>
      <c r="CS275" s="2877">
        <v>0</v>
      </c>
      <c r="CT275" s="2875"/>
      <c r="CU275" s="2878">
        <v>0</v>
      </c>
      <c r="CV275" s="2870">
        <v>0</v>
      </c>
      <c r="CW275" s="2870">
        <v>0</v>
      </c>
      <c r="CX275" s="2870">
        <v>0</v>
      </c>
      <c r="CY275" s="2870">
        <v>0</v>
      </c>
      <c r="CZ275" s="2879">
        <v>0</v>
      </c>
      <c r="DA275" s="2875">
        <v>0</v>
      </c>
      <c r="DJ275" s="1611" t="e">
        <v>#N/A</v>
      </c>
      <c r="DK275" s="2782" t="e">
        <v>#N/A</v>
      </c>
      <c r="DM275" s="1650">
        <v>0</v>
      </c>
    </row>
    <row r="276" spans="1:117" ht="21" customHeight="1">
      <c r="A276" s="1652"/>
      <c r="B276" s="1644" t="s">
        <v>1940</v>
      </c>
      <c r="C276" s="1662"/>
      <c r="D276" s="1646" t="e">
        <v>#DIV/0!</v>
      </c>
      <c r="E276" s="1646"/>
      <c r="F276" s="1648" t="s">
        <v>1594</v>
      </c>
      <c r="G276" s="1648"/>
      <c r="H276" s="1648"/>
      <c r="I276" s="1648"/>
      <c r="J276" s="1663"/>
      <c r="K276" s="1648"/>
      <c r="L276" s="1648"/>
      <c r="M276" s="1648"/>
      <c r="N276" s="1642"/>
      <c r="O276" s="2876">
        <v>-374.60750000000002</v>
      </c>
      <c r="P276" s="2870"/>
      <c r="Q276" s="2870">
        <v>-767974056</v>
      </c>
      <c r="R276" s="2870"/>
      <c r="S276" s="2870"/>
      <c r="T276" s="2877">
        <v>2.0500765628024</v>
      </c>
      <c r="U276" s="2875">
        <v>-767974056</v>
      </c>
      <c r="V276" s="2869">
        <v>-180.86721000000003</v>
      </c>
      <c r="W276" s="2870"/>
      <c r="X276" s="2870">
        <v>-382939724</v>
      </c>
      <c r="Y276" s="2870"/>
      <c r="Z276" s="2870"/>
      <c r="AA276" s="2877">
        <v>2.1172423901491042</v>
      </c>
      <c r="AB276" s="2875">
        <v>-382939724</v>
      </c>
      <c r="AC276" s="2869">
        <v>-97.358999999999995</v>
      </c>
      <c r="AD276" s="2870"/>
      <c r="AE276" s="2870">
        <v>-199156350</v>
      </c>
      <c r="AF276" s="2870"/>
      <c r="AG276" s="2870"/>
      <c r="AH276" s="2877">
        <v>2.0455874649493113</v>
      </c>
      <c r="AI276" s="2875">
        <v>-199156350</v>
      </c>
      <c r="AJ276" s="2869">
        <v>-115.41982</v>
      </c>
      <c r="AK276" s="2870"/>
      <c r="AL276" s="2870">
        <v>-253533831</v>
      </c>
      <c r="AM276" s="2870"/>
      <c r="AN276" s="2870"/>
      <c r="AO276" s="2877">
        <v>2.1966229976792548</v>
      </c>
      <c r="AP276" s="2875">
        <v>-253533831</v>
      </c>
      <c r="AQ276" s="2869">
        <v>-93.029238000000007</v>
      </c>
      <c r="AR276" s="2870"/>
      <c r="AS276" s="2870">
        <v>-188787623</v>
      </c>
      <c r="AT276" s="2870"/>
      <c r="AU276" s="2870"/>
      <c r="AV276" s="2877">
        <v>2.0293364436673125</v>
      </c>
      <c r="AW276" s="2875">
        <v>-188787623</v>
      </c>
      <c r="AX276" s="2869">
        <v>-46.626195000000003</v>
      </c>
      <c r="AY276" s="2870"/>
      <c r="AZ276" s="2870">
        <v>-107513547</v>
      </c>
      <c r="BA276" s="2870"/>
      <c r="BB276" s="2870"/>
      <c r="BC276" s="2877">
        <v>2.3058614797969255</v>
      </c>
      <c r="BD276" s="2875">
        <v>-107513547</v>
      </c>
      <c r="BE276" s="2869">
        <v>-187.09032999999999</v>
      </c>
      <c r="BF276" s="2870"/>
      <c r="BG276" s="2870">
        <v>-468454380</v>
      </c>
      <c r="BH276" s="2870"/>
      <c r="BI276" s="2870"/>
      <c r="BJ276" s="2877">
        <v>2.5038941349881632</v>
      </c>
      <c r="BK276" s="2875">
        <v>-468454380</v>
      </c>
      <c r="BL276" s="2869">
        <v>-245.55557300000001</v>
      </c>
      <c r="BM276" s="2870"/>
      <c r="BN276" s="2870">
        <v>-642574947</v>
      </c>
      <c r="BO276" s="2870"/>
      <c r="BP276" s="2870"/>
      <c r="BQ276" s="2877">
        <v>2.6168208652303728</v>
      </c>
      <c r="BR276" s="2875">
        <v>-642574947</v>
      </c>
      <c r="BS276" s="2869">
        <v>-578.76783750000004</v>
      </c>
      <c r="BT276" s="2870"/>
      <c r="BU276" s="2870">
        <v>-1667204167</v>
      </c>
      <c r="BV276" s="2870"/>
      <c r="BW276" s="2870"/>
      <c r="BX276" s="2877">
        <v>2.8806095622063657</v>
      </c>
      <c r="BY276" s="2875">
        <v>-1667204167</v>
      </c>
      <c r="BZ276" s="2869">
        <v>-729.25491799999998</v>
      </c>
      <c r="CA276" s="2870"/>
      <c r="CB276" s="2870">
        <v>-2189262875</v>
      </c>
      <c r="CC276" s="2870"/>
      <c r="CD276" s="2870"/>
      <c r="CE276" s="2877">
        <v>3.0020543173080116</v>
      </c>
      <c r="CF276" s="2875">
        <v>-2189262875</v>
      </c>
      <c r="CG276" s="2869">
        <v>-921.65033000000005</v>
      </c>
      <c r="CH276" s="2870"/>
      <c r="CI276" s="2870">
        <v>-3032676556.3899999</v>
      </c>
      <c r="CJ276" s="2870"/>
      <c r="CK276" s="2870"/>
      <c r="CL276" s="2877">
        <v>3.2904849677534429</v>
      </c>
      <c r="CM276" s="2875">
        <v>-3032676556.3899999</v>
      </c>
      <c r="CN276" s="2872">
        <v>-1107.6704500000001</v>
      </c>
      <c r="CO276" s="2870"/>
      <c r="CP276" s="2870">
        <v>-4185386798.5900002</v>
      </c>
      <c r="CQ276" s="2870"/>
      <c r="CR276" s="2870"/>
      <c r="CS276" s="2877">
        <v>3.7785487539096128</v>
      </c>
      <c r="CT276" s="2875">
        <v>-4185386798.5900002</v>
      </c>
      <c r="CU276" s="2881">
        <v>-4677.8984015000005</v>
      </c>
      <c r="CV276" s="2870">
        <v>0</v>
      </c>
      <c r="CW276" s="2870">
        <v>-14085464854.98</v>
      </c>
      <c r="CX276" s="2870">
        <v>0</v>
      </c>
      <c r="CY276" s="2870">
        <v>0</v>
      </c>
      <c r="CZ276" s="2879">
        <v>3.0110668608072797</v>
      </c>
      <c r="DA276" s="2875">
        <v>-14085464854.98</v>
      </c>
      <c r="DJ276" s="1611" t="e">
        <v>#N/A</v>
      </c>
      <c r="DK276" s="2782" t="e">
        <v>#N/A</v>
      </c>
      <c r="DM276" s="1650">
        <v>3.0110668608072797</v>
      </c>
    </row>
    <row r="277" spans="1:117" ht="21" customHeight="1">
      <c r="A277" s="1652"/>
      <c r="B277" s="1644" t="s">
        <v>1941</v>
      </c>
      <c r="C277" s="1662"/>
      <c r="D277" s="1646" t="e">
        <v>#DIV/0!</v>
      </c>
      <c r="E277" s="1646"/>
      <c r="F277" s="1648" t="s">
        <v>1594</v>
      </c>
      <c r="G277" s="1648"/>
      <c r="H277" s="1648"/>
      <c r="I277" s="1648"/>
      <c r="J277" s="1663"/>
      <c r="K277" s="1648"/>
      <c r="L277" s="1648"/>
      <c r="M277" s="1648"/>
      <c r="N277" s="1642"/>
      <c r="O277" s="2876">
        <v>71.515163000000001</v>
      </c>
      <c r="P277" s="2870"/>
      <c r="Q277" s="2870">
        <v>206097874</v>
      </c>
      <c r="R277" s="2870"/>
      <c r="S277" s="2870"/>
      <c r="T277" s="2877">
        <v>2.8818765888850733</v>
      </c>
      <c r="U277" s="2875">
        <v>206097874</v>
      </c>
      <c r="V277" s="2869">
        <v>84.369862999999995</v>
      </c>
      <c r="W277" s="2870"/>
      <c r="X277" s="2870">
        <v>285490506</v>
      </c>
      <c r="Y277" s="2870"/>
      <c r="Z277" s="2870"/>
      <c r="AA277" s="2877">
        <v>3.3837971978216914</v>
      </c>
      <c r="AB277" s="2875">
        <v>285490506</v>
      </c>
      <c r="AC277" s="2869">
        <v>26.633399999999998</v>
      </c>
      <c r="AD277" s="2870"/>
      <c r="AE277" s="2870">
        <v>90141262</v>
      </c>
      <c r="AF277" s="2870"/>
      <c r="AG277" s="2870"/>
      <c r="AH277" s="2877">
        <v>3.3845195130925831</v>
      </c>
      <c r="AI277" s="2875">
        <v>90141262</v>
      </c>
      <c r="AJ277" s="2869">
        <v>176.55553800000001</v>
      </c>
      <c r="AK277" s="2870"/>
      <c r="AL277" s="2870">
        <v>640589744</v>
      </c>
      <c r="AM277" s="2870"/>
      <c r="AN277" s="2870"/>
      <c r="AO277" s="2877">
        <v>3.6282619693300133</v>
      </c>
      <c r="AP277" s="2875">
        <v>640589744</v>
      </c>
      <c r="AQ277" s="2869">
        <v>166.05965699999999</v>
      </c>
      <c r="AR277" s="2870"/>
      <c r="AS277" s="2870">
        <v>576767165</v>
      </c>
      <c r="AT277" s="2870"/>
      <c r="AU277" s="2870"/>
      <c r="AV277" s="2877">
        <v>3.4732527780663789</v>
      </c>
      <c r="AW277" s="2875">
        <v>576767165</v>
      </c>
      <c r="AX277" s="2869">
        <v>341.91463499999998</v>
      </c>
      <c r="AY277" s="2870"/>
      <c r="AZ277" s="2870">
        <v>1203323289</v>
      </c>
      <c r="BA277" s="2870"/>
      <c r="BB277" s="2870"/>
      <c r="BC277" s="2877">
        <v>3.5193676017992033</v>
      </c>
      <c r="BD277" s="2875">
        <v>1203323289</v>
      </c>
      <c r="BE277" s="2869">
        <v>154.83377400000001</v>
      </c>
      <c r="BF277" s="2870"/>
      <c r="BG277" s="2870">
        <v>520552995</v>
      </c>
      <c r="BH277" s="2870"/>
      <c r="BI277" s="2870"/>
      <c r="BJ277" s="2877">
        <v>3.3620119277077105</v>
      </c>
      <c r="BK277" s="2875">
        <v>520552995</v>
      </c>
      <c r="BL277" s="2869">
        <v>61.860880000000002</v>
      </c>
      <c r="BM277" s="2870"/>
      <c r="BN277" s="2870">
        <v>218529811</v>
      </c>
      <c r="BO277" s="2870">
        <v>15000</v>
      </c>
      <c r="BP277" s="2870"/>
      <c r="BQ277" s="2877">
        <v>3.5328435515304664</v>
      </c>
      <c r="BR277" s="2875">
        <v>218544811</v>
      </c>
      <c r="BS277" s="2869">
        <v>105.371695</v>
      </c>
      <c r="BT277" s="2870"/>
      <c r="BU277" s="2870">
        <v>394917225</v>
      </c>
      <c r="BV277" s="2870"/>
      <c r="BW277" s="2870"/>
      <c r="BX277" s="2877">
        <v>3.7478492207988112</v>
      </c>
      <c r="BY277" s="2875">
        <v>394917225</v>
      </c>
      <c r="BZ277" s="2869">
        <v>123.58313699999999</v>
      </c>
      <c r="CA277" s="2870"/>
      <c r="CB277" s="2870">
        <v>553805524</v>
      </c>
      <c r="CC277" s="2870"/>
      <c r="CD277" s="2870"/>
      <c r="CE277" s="2877">
        <v>4.4812386013473668</v>
      </c>
      <c r="CF277" s="2875">
        <v>553805524</v>
      </c>
      <c r="CG277" s="2869">
        <v>57.318739000000001</v>
      </c>
      <c r="CH277" s="2870"/>
      <c r="CI277" s="2870">
        <v>278620073.44</v>
      </c>
      <c r="CJ277" s="2870"/>
      <c r="CK277" s="2870"/>
      <c r="CL277" s="2877">
        <v>4.8608897945225209</v>
      </c>
      <c r="CM277" s="2875">
        <v>278620073.44</v>
      </c>
      <c r="CN277" s="2872">
        <v>120.06591300000001</v>
      </c>
      <c r="CO277" s="2870"/>
      <c r="CP277" s="2870">
        <v>635483991.49000001</v>
      </c>
      <c r="CQ277" s="2870"/>
      <c r="CR277" s="2870"/>
      <c r="CS277" s="2877">
        <v>5.292792730356366</v>
      </c>
      <c r="CT277" s="2875">
        <v>635483991.49000001</v>
      </c>
      <c r="CU277" s="2881">
        <v>1490.082394</v>
      </c>
      <c r="CV277" s="2870">
        <v>0</v>
      </c>
      <c r="CW277" s="2870">
        <v>5604319459.9299994</v>
      </c>
      <c r="CX277" s="2870">
        <v>15000</v>
      </c>
      <c r="CY277" s="2870">
        <v>0</v>
      </c>
      <c r="CZ277" s="2879">
        <v>3.7610903145333046</v>
      </c>
      <c r="DA277" s="2875">
        <v>5604334459.9299994</v>
      </c>
      <c r="DJ277" s="1611" t="e">
        <v>#N/A</v>
      </c>
      <c r="DK277" s="2782" t="e">
        <v>#N/A</v>
      </c>
      <c r="DM277" s="1650">
        <v>3.7610802479758707</v>
      </c>
    </row>
    <row r="278" spans="1:117" ht="21" customHeight="1">
      <c r="A278" s="1652"/>
      <c r="B278" s="1644" t="s">
        <v>1942</v>
      </c>
      <c r="C278" s="1662"/>
      <c r="D278" s="1646" t="e">
        <v>#DIV/0!</v>
      </c>
      <c r="E278" s="1646"/>
      <c r="F278" s="1648"/>
      <c r="G278" s="1648"/>
      <c r="H278" s="1648"/>
      <c r="I278" s="1648"/>
      <c r="J278" s="1663"/>
      <c r="K278" s="1648"/>
      <c r="L278" s="1648"/>
      <c r="M278" s="1648"/>
      <c r="N278" s="1642"/>
      <c r="O278" s="2876">
        <v>0</v>
      </c>
      <c r="P278" s="2874">
        <v>0</v>
      </c>
      <c r="Q278" s="2874">
        <v>0</v>
      </c>
      <c r="R278" s="2874">
        <v>0</v>
      </c>
      <c r="S278" s="2874"/>
      <c r="T278" s="2877">
        <v>0</v>
      </c>
      <c r="U278" s="2875">
        <v>0</v>
      </c>
      <c r="V278" s="2869">
        <v>312.55053799999996</v>
      </c>
      <c r="W278" s="2870">
        <v>0</v>
      </c>
      <c r="X278" s="2870">
        <v>1148481730</v>
      </c>
      <c r="Y278" s="2870">
        <v>0</v>
      </c>
      <c r="Z278" s="2870">
        <v>0</v>
      </c>
      <c r="AA278" s="2870">
        <v>14.908175483413039</v>
      </c>
      <c r="AB278" s="2875">
        <v>1148481730</v>
      </c>
      <c r="AC278" s="2869">
        <v>758.15496000000007</v>
      </c>
      <c r="AD278" s="2870">
        <v>0</v>
      </c>
      <c r="AE278" s="2870">
        <v>2753458575</v>
      </c>
      <c r="AF278" s="2870">
        <v>0</v>
      </c>
      <c r="AG278" s="2870">
        <v>0</v>
      </c>
      <c r="AH278" s="2870">
        <v>14.56372330608677</v>
      </c>
      <c r="AI278" s="2875">
        <v>2753458575</v>
      </c>
      <c r="AJ278" s="2869">
        <v>239.01868000000002</v>
      </c>
      <c r="AK278" s="2870">
        <v>0</v>
      </c>
      <c r="AL278" s="2870">
        <v>809709572</v>
      </c>
      <c r="AM278" s="2870">
        <v>0</v>
      </c>
      <c r="AN278" s="2870">
        <v>0</v>
      </c>
      <c r="AO278" s="2870">
        <v>13.822372775593655</v>
      </c>
      <c r="AP278" s="2875">
        <v>809709572</v>
      </c>
      <c r="AQ278" s="2869">
        <v>208.18604499999998</v>
      </c>
      <c r="AR278" s="2870">
        <v>0</v>
      </c>
      <c r="AS278" s="2870">
        <v>641129123</v>
      </c>
      <c r="AT278" s="2870">
        <v>0</v>
      </c>
      <c r="AU278" s="2870">
        <v>0</v>
      </c>
      <c r="AV278" s="2870">
        <v>12.56985044965653</v>
      </c>
      <c r="AW278" s="2875">
        <v>641129123</v>
      </c>
      <c r="AX278" s="2876">
        <v>94.803599999999989</v>
      </c>
      <c r="AY278" s="2870">
        <v>0</v>
      </c>
      <c r="AZ278" s="2870">
        <v>310375598</v>
      </c>
      <c r="BA278" s="2870">
        <v>8570739</v>
      </c>
      <c r="BB278" s="2870">
        <v>0</v>
      </c>
      <c r="BC278" s="2870">
        <v>10.010977549955481</v>
      </c>
      <c r="BD278" s="2875">
        <v>318946337</v>
      </c>
      <c r="BE278" s="2876">
        <v>0</v>
      </c>
      <c r="BF278" s="2870">
        <v>0</v>
      </c>
      <c r="BG278" s="2870">
        <v>0</v>
      </c>
      <c r="BH278" s="2870">
        <v>0</v>
      </c>
      <c r="BI278" s="2870">
        <v>0</v>
      </c>
      <c r="BJ278" s="2870">
        <v>0</v>
      </c>
      <c r="BK278" s="2875">
        <v>0</v>
      </c>
      <c r="BL278" s="2876">
        <v>0</v>
      </c>
      <c r="BM278" s="2870">
        <v>0</v>
      </c>
      <c r="BN278" s="2870">
        <v>0</v>
      </c>
      <c r="BO278" s="2870">
        <v>0</v>
      </c>
      <c r="BP278" s="2870">
        <v>0</v>
      </c>
      <c r="BQ278" s="2870">
        <v>0</v>
      </c>
      <c r="BR278" s="2875">
        <v>0</v>
      </c>
      <c r="BS278" s="2876">
        <v>0</v>
      </c>
      <c r="BT278" s="2870">
        <v>0</v>
      </c>
      <c r="BU278" s="2870">
        <v>-35612800</v>
      </c>
      <c r="BV278" s="2870">
        <v>0</v>
      </c>
      <c r="BW278" s="2870">
        <v>0</v>
      </c>
      <c r="BX278" s="2870">
        <v>0</v>
      </c>
      <c r="BY278" s="2875">
        <v>-35612800</v>
      </c>
      <c r="BZ278" s="2876">
        <v>-59.617600000000003</v>
      </c>
      <c r="CA278" s="2870"/>
      <c r="CB278" s="2874">
        <v>-141339327</v>
      </c>
      <c r="CC278" s="2874">
        <v>0</v>
      </c>
      <c r="CD278" s="2870">
        <v>0</v>
      </c>
      <c r="CE278" s="2870">
        <v>2.3707651264056251</v>
      </c>
      <c r="CF278" s="2875">
        <v>-141339327</v>
      </c>
      <c r="CG278" s="2876">
        <v>0</v>
      </c>
      <c r="CH278" s="2870"/>
      <c r="CI278" s="2874">
        <v>0</v>
      </c>
      <c r="CJ278" s="2874">
        <v>0</v>
      </c>
      <c r="CK278" s="2870">
        <v>0</v>
      </c>
      <c r="CL278" s="2870">
        <v>0</v>
      </c>
      <c r="CM278" s="2875">
        <v>0</v>
      </c>
      <c r="CN278" s="2880">
        <v>0</v>
      </c>
      <c r="CO278" s="2870"/>
      <c r="CP278" s="2874">
        <v>0</v>
      </c>
      <c r="CQ278" s="2874">
        <v>0</v>
      </c>
      <c r="CR278" s="2870">
        <v>0</v>
      </c>
      <c r="CS278" s="2870">
        <v>0</v>
      </c>
      <c r="CT278" s="2875">
        <v>0</v>
      </c>
      <c r="CU278" s="2881">
        <v>1556.0279380000002</v>
      </c>
      <c r="CV278" s="2870">
        <v>0</v>
      </c>
      <c r="CW278" s="2870">
        <v>5486202471</v>
      </c>
      <c r="CX278" s="2870">
        <v>8570739</v>
      </c>
      <c r="CY278" s="2870">
        <v>0</v>
      </c>
      <c r="CZ278" s="2879">
        <v>3.5312818464317313</v>
      </c>
      <c r="DA278" s="2875">
        <v>5494773210</v>
      </c>
      <c r="DJ278" s="1611" t="e">
        <v>#N/A</v>
      </c>
      <c r="DK278" s="2782" t="e">
        <v>#N/A</v>
      </c>
      <c r="DM278" s="1650">
        <v>3.5257737583115292</v>
      </c>
    </row>
    <row r="279" spans="1:117" ht="21" customHeight="1">
      <c r="A279" s="1652"/>
      <c r="B279" s="1644" t="s">
        <v>1943</v>
      </c>
      <c r="C279" s="1662"/>
      <c r="D279" s="1646"/>
      <c r="E279" s="1646"/>
      <c r="F279" s="1648"/>
      <c r="G279" s="1648"/>
      <c r="H279" s="1648"/>
      <c r="I279" s="1648"/>
      <c r="J279" s="1663"/>
      <c r="K279" s="1648"/>
      <c r="L279" s="1648"/>
      <c r="M279" s="1648"/>
      <c r="N279" s="1642"/>
      <c r="O279" s="2876"/>
      <c r="P279" s="2874"/>
      <c r="Q279" s="2874"/>
      <c r="R279" s="2874"/>
      <c r="S279" s="2874"/>
      <c r="T279" s="2877">
        <v>0</v>
      </c>
      <c r="U279" s="2875">
        <v>0</v>
      </c>
      <c r="V279" s="2869">
        <v>27.787279999999999</v>
      </c>
      <c r="W279" s="2870"/>
      <c r="X279" s="2870">
        <v>111149122</v>
      </c>
      <c r="Y279" s="2870"/>
      <c r="Z279" s="2870"/>
      <c r="AA279" s="2877">
        <v>4.0000000719753785</v>
      </c>
      <c r="AB279" s="2871">
        <v>111149122</v>
      </c>
      <c r="AC279" s="2869">
        <v>99.581490000000002</v>
      </c>
      <c r="AD279" s="2870"/>
      <c r="AE279" s="2870">
        <v>365746334</v>
      </c>
      <c r="AF279" s="2870"/>
      <c r="AG279" s="2870"/>
      <c r="AH279" s="2877">
        <v>3.6728345197485996</v>
      </c>
      <c r="AI279" s="2871">
        <v>365746334</v>
      </c>
      <c r="AJ279" s="2869">
        <v>7.5933999999999999</v>
      </c>
      <c r="AK279" s="2870"/>
      <c r="AL279" s="2870">
        <v>29614260</v>
      </c>
      <c r="AM279" s="2870"/>
      <c r="AN279" s="2870"/>
      <c r="AO279" s="2877">
        <v>3.9</v>
      </c>
      <c r="AP279" s="2875">
        <v>29614260</v>
      </c>
      <c r="AQ279" s="2869">
        <v>7.9630799999999997</v>
      </c>
      <c r="AR279" s="2870"/>
      <c r="AS279" s="2870">
        <v>24685548</v>
      </c>
      <c r="AT279" s="2870"/>
      <c r="AU279" s="2870"/>
      <c r="AV279" s="2877">
        <v>3.1</v>
      </c>
      <c r="AW279" s="2875">
        <v>24685548</v>
      </c>
      <c r="AX279" s="2869"/>
      <c r="AY279" s="2870"/>
      <c r="AZ279" s="2870"/>
      <c r="BA279" s="2870"/>
      <c r="BB279" s="2870"/>
      <c r="BC279" s="2877">
        <v>0</v>
      </c>
      <c r="BD279" s="2875">
        <v>0</v>
      </c>
      <c r="BE279" s="2869"/>
      <c r="BF279" s="2870"/>
      <c r="BG279" s="2870"/>
      <c r="BH279" s="2870"/>
      <c r="BI279" s="2870"/>
      <c r="BJ279" s="2877">
        <v>0</v>
      </c>
      <c r="BK279" s="2875">
        <v>0</v>
      </c>
      <c r="BL279" s="2869"/>
      <c r="BM279" s="2870"/>
      <c r="BN279" s="2870"/>
      <c r="BO279" s="2870"/>
      <c r="BP279" s="2870"/>
      <c r="BQ279" s="2877">
        <v>0</v>
      </c>
      <c r="BR279" s="2875">
        <v>0</v>
      </c>
      <c r="BS279" s="2869"/>
      <c r="BT279" s="2870"/>
      <c r="BU279" s="2870"/>
      <c r="BV279" s="2870"/>
      <c r="BW279" s="2870"/>
      <c r="BX279" s="2877">
        <v>0</v>
      </c>
      <c r="BY279" s="2875">
        <v>0</v>
      </c>
      <c r="BZ279" s="2869"/>
      <c r="CA279" s="2870"/>
      <c r="CB279" s="2870"/>
      <c r="CC279" s="2870"/>
      <c r="CD279" s="2870"/>
      <c r="CE279" s="2877">
        <v>0</v>
      </c>
      <c r="CF279" s="2875">
        <v>0</v>
      </c>
      <c r="CG279" s="2869"/>
      <c r="CH279" s="2870"/>
      <c r="CI279" s="2870"/>
      <c r="CJ279" s="2870"/>
      <c r="CK279" s="2870"/>
      <c r="CL279" s="2877">
        <v>0</v>
      </c>
      <c r="CM279" s="2875">
        <v>0</v>
      </c>
      <c r="CN279" s="2872"/>
      <c r="CO279" s="2870"/>
      <c r="CP279" s="2870"/>
      <c r="CQ279" s="2870"/>
      <c r="CR279" s="2870"/>
      <c r="CS279" s="2877">
        <v>0</v>
      </c>
      <c r="CT279" s="2875">
        <v>0</v>
      </c>
      <c r="CU279" s="2878">
        <v>142.92524999999998</v>
      </c>
      <c r="CV279" s="2870">
        <v>0</v>
      </c>
      <c r="CW279" s="2870">
        <v>531195264</v>
      </c>
      <c r="CX279" s="2870">
        <v>0</v>
      </c>
      <c r="CY279" s="2870">
        <v>0</v>
      </c>
      <c r="CZ279" s="2879">
        <v>3.7165949613521763</v>
      </c>
      <c r="DA279" s="2871">
        <v>531195264</v>
      </c>
      <c r="DJ279" s="1611" t="e">
        <v>#N/A</v>
      </c>
      <c r="DK279" s="2782" t="e">
        <v>#N/A</v>
      </c>
      <c r="DM279" s="1650">
        <v>3.7165949613521763</v>
      </c>
    </row>
    <row r="280" spans="1:117" ht="21" customHeight="1">
      <c r="A280" s="1652"/>
      <c r="B280" s="1644" t="s">
        <v>1944</v>
      </c>
      <c r="C280" s="1662"/>
      <c r="D280" s="1646"/>
      <c r="E280" s="1646"/>
      <c r="F280" s="1648"/>
      <c r="G280" s="1648"/>
      <c r="H280" s="1648"/>
      <c r="I280" s="1648"/>
      <c r="J280" s="1663"/>
      <c r="K280" s="1648"/>
      <c r="L280" s="1648"/>
      <c r="M280" s="1648"/>
      <c r="N280" s="1642"/>
      <c r="O280" s="2876"/>
      <c r="P280" s="2874"/>
      <c r="Q280" s="2874"/>
      <c r="R280" s="2874"/>
      <c r="S280" s="2874"/>
      <c r="T280" s="2877">
        <v>0</v>
      </c>
      <c r="U280" s="2875">
        <v>0</v>
      </c>
      <c r="V280" s="2869">
        <v>33.365090000000002</v>
      </c>
      <c r="W280" s="2870"/>
      <c r="X280" s="2870">
        <v>120756962</v>
      </c>
      <c r="Y280" s="2870"/>
      <c r="Z280" s="2870"/>
      <c r="AA280" s="2877">
        <v>3.619260790245133</v>
      </c>
      <c r="AB280" s="2871">
        <v>120756962</v>
      </c>
      <c r="AC280" s="2869">
        <v>75.541184999999999</v>
      </c>
      <c r="AD280" s="2870"/>
      <c r="AE280" s="2870">
        <v>271530605</v>
      </c>
      <c r="AF280" s="2870"/>
      <c r="AG280" s="2870"/>
      <c r="AH280" s="2877">
        <v>3.5944710822315007</v>
      </c>
      <c r="AI280" s="2871">
        <v>271530605</v>
      </c>
      <c r="AJ280" s="2869">
        <v>21.241820000000001</v>
      </c>
      <c r="AK280" s="2870"/>
      <c r="AL280" s="2870">
        <v>66603894</v>
      </c>
      <c r="AM280" s="2870"/>
      <c r="AN280" s="2870"/>
      <c r="AO280" s="2877">
        <v>3.1355078802098877</v>
      </c>
      <c r="AP280" s="2875">
        <v>66603894</v>
      </c>
      <c r="AQ280" s="2869">
        <v>108.28391499999999</v>
      </c>
      <c r="AR280" s="2870"/>
      <c r="AS280" s="2870">
        <v>322307042</v>
      </c>
      <c r="AT280" s="2870"/>
      <c r="AU280" s="2870"/>
      <c r="AV280" s="2877">
        <v>2.9764997137386473</v>
      </c>
      <c r="AW280" s="2875">
        <v>322307042</v>
      </c>
      <c r="AX280" s="2869">
        <v>29.0047</v>
      </c>
      <c r="AY280" s="2870"/>
      <c r="AZ280" s="2870">
        <v>87033574</v>
      </c>
      <c r="BA280" s="2870">
        <v>8570739</v>
      </c>
      <c r="BB280" s="2870"/>
      <c r="BC280" s="2877">
        <v>3.2961662420228444</v>
      </c>
      <c r="BD280" s="2875">
        <v>95604313</v>
      </c>
      <c r="BE280" s="2869"/>
      <c r="BF280" s="2870"/>
      <c r="BG280" s="2870"/>
      <c r="BH280" s="2870"/>
      <c r="BI280" s="2870"/>
      <c r="BJ280" s="2877">
        <v>0</v>
      </c>
      <c r="BK280" s="2875">
        <v>0</v>
      </c>
      <c r="BL280" s="2869"/>
      <c r="BM280" s="2870"/>
      <c r="BN280" s="2870"/>
      <c r="BO280" s="2870"/>
      <c r="BP280" s="2870"/>
      <c r="BQ280" s="2877">
        <v>0</v>
      </c>
      <c r="BR280" s="2875">
        <v>0</v>
      </c>
      <c r="BS280" s="2869"/>
      <c r="BT280" s="2870"/>
      <c r="BU280" s="2870">
        <v>-35612800</v>
      </c>
      <c r="BV280" s="2870"/>
      <c r="BW280" s="2870"/>
      <c r="BX280" s="2877">
        <v>0</v>
      </c>
      <c r="BY280" s="2875">
        <v>-35612800</v>
      </c>
      <c r="BZ280" s="2869">
        <v>-59.617600000000003</v>
      </c>
      <c r="CA280" s="2870"/>
      <c r="CB280" s="2870">
        <v>-141339327</v>
      </c>
      <c r="CC280" s="2870"/>
      <c r="CD280" s="2870"/>
      <c r="CE280" s="2877">
        <v>2.3707651264056251</v>
      </c>
      <c r="CF280" s="2875">
        <v>-141339327</v>
      </c>
      <c r="CG280" s="2869"/>
      <c r="CH280" s="2870"/>
      <c r="CI280" s="2870"/>
      <c r="CJ280" s="2870"/>
      <c r="CK280" s="2870"/>
      <c r="CL280" s="2877">
        <v>0</v>
      </c>
      <c r="CM280" s="2875">
        <v>0</v>
      </c>
      <c r="CN280" s="2872"/>
      <c r="CO280" s="2870"/>
      <c r="CP280" s="2870"/>
      <c r="CQ280" s="2870"/>
      <c r="CR280" s="2870"/>
      <c r="CS280" s="2877">
        <v>0</v>
      </c>
      <c r="CT280" s="2875">
        <v>0</v>
      </c>
      <c r="CU280" s="2878">
        <v>207.81910999999999</v>
      </c>
      <c r="CV280" s="2870">
        <v>0</v>
      </c>
      <c r="CW280" s="2870">
        <v>691279950</v>
      </c>
      <c r="CX280" s="2870">
        <v>8570739</v>
      </c>
      <c r="CY280" s="2870">
        <v>0</v>
      </c>
      <c r="CZ280" s="2879">
        <v>3.3675954487534856</v>
      </c>
      <c r="DA280" s="2871">
        <v>699850689</v>
      </c>
      <c r="DJ280" s="1611" t="e">
        <v>#N/A</v>
      </c>
      <c r="DK280" s="2782" t="e">
        <v>#N/A</v>
      </c>
      <c r="DM280" s="1650">
        <v>3.3263541067036617</v>
      </c>
    </row>
    <row r="281" spans="1:117" ht="21" customHeight="1">
      <c r="A281" s="1652"/>
      <c r="B281" s="1644" t="s">
        <v>1945</v>
      </c>
      <c r="C281" s="1662"/>
      <c r="D281" s="1648"/>
      <c r="E281" s="1648"/>
      <c r="F281" s="1648"/>
      <c r="G281" s="1648"/>
      <c r="H281" s="1648"/>
      <c r="I281" s="1648"/>
      <c r="J281" s="1663"/>
      <c r="K281" s="1648"/>
      <c r="L281" s="1648"/>
      <c r="M281" s="1648"/>
      <c r="N281" s="1642"/>
      <c r="O281" s="2876"/>
      <c r="P281" s="2874"/>
      <c r="Q281" s="2874"/>
      <c r="R281" s="2874"/>
      <c r="S281" s="2874"/>
      <c r="T281" s="2877">
        <v>0</v>
      </c>
      <c r="U281" s="2875">
        <v>0</v>
      </c>
      <c r="V281" s="2869">
        <v>92.664568000000003</v>
      </c>
      <c r="W281" s="2870"/>
      <c r="X281" s="2870">
        <v>337199076</v>
      </c>
      <c r="Y281" s="2870"/>
      <c r="Z281" s="2870"/>
      <c r="AA281" s="2877">
        <v>3.6389213620463865</v>
      </c>
      <c r="AB281" s="2871">
        <v>337199076</v>
      </c>
      <c r="AC281" s="2869">
        <v>120.529625</v>
      </c>
      <c r="AD281" s="2870"/>
      <c r="AE281" s="2870">
        <v>443538514</v>
      </c>
      <c r="AF281" s="2870"/>
      <c r="AG281" s="2870"/>
      <c r="AH281" s="2877">
        <v>3.6799128347076495</v>
      </c>
      <c r="AI281" s="2871">
        <v>443538514</v>
      </c>
      <c r="AJ281" s="2869">
        <v>108.60534</v>
      </c>
      <c r="AK281" s="2870"/>
      <c r="AL281" s="2870">
        <v>372378406</v>
      </c>
      <c r="AM281" s="2870"/>
      <c r="AN281" s="2870"/>
      <c r="AO281" s="2877">
        <v>3.4287301710947178</v>
      </c>
      <c r="AP281" s="2875">
        <v>372378406</v>
      </c>
      <c r="AQ281" s="2869">
        <v>34.961399999999998</v>
      </c>
      <c r="AR281" s="2870"/>
      <c r="AS281" s="2870">
        <v>120431465</v>
      </c>
      <c r="AT281" s="2870"/>
      <c r="AU281" s="2870"/>
      <c r="AV281" s="2877">
        <v>3.4446980098050992</v>
      </c>
      <c r="AW281" s="2875">
        <v>120431465</v>
      </c>
      <c r="AX281" s="2869">
        <v>51.070749999999997</v>
      </c>
      <c r="AY281" s="2870"/>
      <c r="AZ281" s="2870">
        <v>174877790</v>
      </c>
      <c r="BA281" s="2870"/>
      <c r="BB281" s="2870"/>
      <c r="BC281" s="2877">
        <v>3.4242260002055973</v>
      </c>
      <c r="BD281" s="2875">
        <v>174877790</v>
      </c>
      <c r="BE281" s="2869"/>
      <c r="BF281" s="2870"/>
      <c r="BG281" s="2870"/>
      <c r="BH281" s="2870"/>
      <c r="BI281" s="2870"/>
      <c r="BJ281" s="2877">
        <v>0</v>
      </c>
      <c r="BK281" s="2875">
        <v>0</v>
      </c>
      <c r="BL281" s="2869"/>
      <c r="BM281" s="2870"/>
      <c r="BN281" s="2870"/>
      <c r="BO281" s="2870"/>
      <c r="BP281" s="2870"/>
      <c r="BQ281" s="2877">
        <v>0</v>
      </c>
      <c r="BR281" s="2875">
        <v>0</v>
      </c>
      <c r="BS281" s="2869"/>
      <c r="BT281" s="2870"/>
      <c r="BU281" s="2870"/>
      <c r="BV281" s="2870"/>
      <c r="BW281" s="2870"/>
      <c r="BX281" s="2877">
        <v>0</v>
      </c>
      <c r="BY281" s="2875">
        <v>0</v>
      </c>
      <c r="BZ281" s="2869"/>
      <c r="CA281" s="2870"/>
      <c r="CB281" s="2870"/>
      <c r="CC281" s="2870"/>
      <c r="CD281" s="2870"/>
      <c r="CE281" s="2877">
        <v>0</v>
      </c>
      <c r="CF281" s="2875">
        <v>0</v>
      </c>
      <c r="CG281" s="2869"/>
      <c r="CH281" s="2870"/>
      <c r="CI281" s="2870"/>
      <c r="CJ281" s="2870"/>
      <c r="CK281" s="2870"/>
      <c r="CL281" s="2877">
        <v>0</v>
      </c>
      <c r="CM281" s="2875">
        <v>0</v>
      </c>
      <c r="CN281" s="2872">
        <v>2.9618920000000899</v>
      </c>
      <c r="CO281" s="2870"/>
      <c r="CP281" s="2870"/>
      <c r="CQ281" s="2870"/>
      <c r="CR281" s="2870"/>
      <c r="CS281" s="2877">
        <v>0</v>
      </c>
      <c r="CT281" s="2875">
        <v>0</v>
      </c>
      <c r="CU281" s="2878">
        <v>410.79357500000009</v>
      </c>
      <c r="CV281" s="2870">
        <v>0</v>
      </c>
      <c r="CW281" s="2870">
        <v>1448425251</v>
      </c>
      <c r="CX281" s="2870">
        <v>0</v>
      </c>
      <c r="CY281" s="2870">
        <v>0</v>
      </c>
      <c r="CZ281" s="2879">
        <v>3.5259199246239419</v>
      </c>
      <c r="DA281" s="2871">
        <v>1448425251</v>
      </c>
      <c r="DJ281" s="1611" t="e">
        <v>#N/A</v>
      </c>
      <c r="DK281" s="2782" t="e">
        <v>#N/A</v>
      </c>
      <c r="DM281" s="1650">
        <v>3.5259199246239419</v>
      </c>
    </row>
    <row r="282" spans="1:117" ht="21" customHeight="1">
      <c r="A282" s="1652"/>
      <c r="B282" s="1644" t="s">
        <v>1946</v>
      </c>
      <c r="C282" s="1662"/>
      <c r="D282" s="1648"/>
      <c r="E282" s="1648"/>
      <c r="F282" s="1648"/>
      <c r="G282" s="1648"/>
      <c r="H282" s="1648"/>
      <c r="I282" s="1648"/>
      <c r="J282" s="1663"/>
      <c r="K282" s="1648"/>
      <c r="L282" s="1648"/>
      <c r="M282" s="1648"/>
      <c r="N282" s="1642"/>
      <c r="O282" s="2876"/>
      <c r="P282" s="2874"/>
      <c r="Q282" s="2874"/>
      <c r="R282" s="2874"/>
      <c r="S282" s="2874"/>
      <c r="T282" s="2877">
        <v>0</v>
      </c>
      <c r="U282" s="2875">
        <v>0</v>
      </c>
      <c r="V282" s="2869">
        <v>158.7336</v>
      </c>
      <c r="W282" s="2870"/>
      <c r="X282" s="2870">
        <v>579376570</v>
      </c>
      <c r="Y282" s="2870"/>
      <c r="Z282" s="2870"/>
      <c r="AA282" s="2877">
        <v>3.6499932591461417</v>
      </c>
      <c r="AB282" s="2871">
        <v>579376570</v>
      </c>
      <c r="AC282" s="2869">
        <v>462.50265999999999</v>
      </c>
      <c r="AD282" s="2870"/>
      <c r="AE282" s="2870">
        <v>1672643122</v>
      </c>
      <c r="AF282" s="2870"/>
      <c r="AG282" s="2870"/>
      <c r="AH282" s="2877">
        <v>3.6165048693990216</v>
      </c>
      <c r="AI282" s="2871">
        <v>1672643122</v>
      </c>
      <c r="AJ282" s="2869">
        <v>101.57812</v>
      </c>
      <c r="AK282" s="2870"/>
      <c r="AL282" s="2870">
        <v>341113012</v>
      </c>
      <c r="AM282" s="2870"/>
      <c r="AN282" s="2870"/>
      <c r="AO282" s="2877">
        <v>3.3581347242890498</v>
      </c>
      <c r="AP282" s="2875">
        <v>341113012</v>
      </c>
      <c r="AQ282" s="2869">
        <v>56.977649999999997</v>
      </c>
      <c r="AR282" s="2870"/>
      <c r="AS282" s="2870">
        <v>173705068</v>
      </c>
      <c r="AT282" s="2870"/>
      <c r="AU282" s="2870"/>
      <c r="AV282" s="2877">
        <v>3.0486527261127829</v>
      </c>
      <c r="AW282" s="2875">
        <v>173705068</v>
      </c>
      <c r="AX282" s="2869">
        <v>14.728149999999999</v>
      </c>
      <c r="AY282" s="2870"/>
      <c r="AZ282" s="2870">
        <v>48464234</v>
      </c>
      <c r="BA282" s="2870"/>
      <c r="BB282" s="2870"/>
      <c r="BC282" s="2877">
        <v>3.2905853077270395</v>
      </c>
      <c r="BD282" s="2875">
        <v>48464234</v>
      </c>
      <c r="BE282" s="2869"/>
      <c r="BF282" s="2870"/>
      <c r="BG282" s="2870"/>
      <c r="BH282" s="2870"/>
      <c r="BI282" s="2870"/>
      <c r="BJ282" s="2877">
        <v>0</v>
      </c>
      <c r="BK282" s="2875">
        <v>0</v>
      </c>
      <c r="BL282" s="2869"/>
      <c r="BM282" s="2870"/>
      <c r="BN282" s="2870"/>
      <c r="BO282" s="2870"/>
      <c r="BP282" s="2870"/>
      <c r="BQ282" s="2877">
        <v>0</v>
      </c>
      <c r="BR282" s="2875">
        <v>0</v>
      </c>
      <c r="BS282" s="2869"/>
      <c r="BT282" s="2870"/>
      <c r="BU282" s="2870"/>
      <c r="BV282" s="2870"/>
      <c r="BW282" s="2870"/>
      <c r="BX282" s="2877">
        <v>0</v>
      </c>
      <c r="BY282" s="2875">
        <v>0</v>
      </c>
      <c r="BZ282" s="2869"/>
      <c r="CA282" s="2870"/>
      <c r="CB282" s="2870"/>
      <c r="CC282" s="2870"/>
      <c r="CD282" s="2870"/>
      <c r="CE282" s="2877">
        <v>0</v>
      </c>
      <c r="CF282" s="2875">
        <v>0</v>
      </c>
      <c r="CG282" s="2869"/>
      <c r="CH282" s="2870"/>
      <c r="CI282" s="2870"/>
      <c r="CJ282" s="2870"/>
      <c r="CK282" s="2870"/>
      <c r="CL282" s="2877">
        <v>0</v>
      </c>
      <c r="CM282" s="2875">
        <v>0</v>
      </c>
      <c r="CN282" s="2872">
        <v>-3.0176999999999999E-2</v>
      </c>
      <c r="CO282" s="2870"/>
      <c r="CP282" s="2870"/>
      <c r="CQ282" s="2870"/>
      <c r="CR282" s="2870"/>
      <c r="CS282" s="2877">
        <v>0</v>
      </c>
      <c r="CT282" s="2875">
        <v>0</v>
      </c>
      <c r="CU282" s="2878">
        <v>794.49000300000012</v>
      </c>
      <c r="CV282" s="2870">
        <v>0</v>
      </c>
      <c r="CW282" s="2870">
        <v>2815302006</v>
      </c>
      <c r="CX282" s="2870">
        <v>0</v>
      </c>
      <c r="CY282" s="2870">
        <v>0</v>
      </c>
      <c r="CZ282" s="2879">
        <v>3.5435335817560936</v>
      </c>
      <c r="DA282" s="2871">
        <v>2815302006</v>
      </c>
      <c r="DJ282" s="1611" t="e">
        <v>#N/A</v>
      </c>
      <c r="DK282" s="2782" t="e">
        <v>#N/A</v>
      </c>
      <c r="DM282" s="1650">
        <v>3.5435335817560936</v>
      </c>
    </row>
    <row r="283" spans="1:117" s="1727" customFormat="1" ht="21" customHeight="1">
      <c r="A283" s="1637"/>
      <c r="B283" s="1638" t="s">
        <v>211</v>
      </c>
      <c r="C283" s="1643"/>
      <c r="D283" s="1641"/>
      <c r="E283" s="1641"/>
      <c r="F283" s="1641"/>
      <c r="G283" s="1641"/>
      <c r="H283" s="1641"/>
      <c r="I283" s="1641"/>
      <c r="J283" s="1649"/>
      <c r="K283" s="1641"/>
      <c r="L283" s="1641"/>
      <c r="M283" s="1641"/>
      <c r="N283" s="1671"/>
      <c r="O283" s="2876">
        <v>-303.09233700000004</v>
      </c>
      <c r="P283" s="2876">
        <v>0</v>
      </c>
      <c r="Q283" s="2876">
        <v>-561876182</v>
      </c>
      <c r="R283" s="2876">
        <v>0</v>
      </c>
      <c r="S283" s="2876">
        <v>0</v>
      </c>
      <c r="T283" s="2879">
        <v>1.8538119028723576</v>
      </c>
      <c r="U283" s="2876">
        <v>-561876182</v>
      </c>
      <c r="V283" s="2876">
        <v>216.05319099999991</v>
      </c>
      <c r="W283" s="2876">
        <v>0</v>
      </c>
      <c r="X283" s="2876">
        <v>1051032512</v>
      </c>
      <c r="Y283" s="2876">
        <v>0</v>
      </c>
      <c r="Z283" s="2876">
        <v>0</v>
      </c>
      <c r="AA283" s="2879">
        <v>4.8646933060109276</v>
      </c>
      <c r="AB283" s="2876">
        <v>1051032512</v>
      </c>
      <c r="AC283" s="2876">
        <v>687.42936000000009</v>
      </c>
      <c r="AD283" s="2876">
        <v>0</v>
      </c>
      <c r="AE283" s="2876">
        <v>2644443487</v>
      </c>
      <c r="AF283" s="2876">
        <v>0</v>
      </c>
      <c r="AG283" s="2876">
        <v>0</v>
      </c>
      <c r="AH283" s="2879">
        <v>3.8468585150334569</v>
      </c>
      <c r="AI283" s="2888">
        <v>2644443487</v>
      </c>
      <c r="AJ283" s="2876">
        <v>300.15439800000001</v>
      </c>
      <c r="AK283" s="2876">
        <v>0</v>
      </c>
      <c r="AL283" s="2876">
        <v>1196765485</v>
      </c>
      <c r="AM283" s="2876">
        <v>0</v>
      </c>
      <c r="AN283" s="2876">
        <v>0</v>
      </c>
      <c r="AO283" s="2879">
        <v>3.9871662483519565</v>
      </c>
      <c r="AP283" s="2876">
        <v>1196765485</v>
      </c>
      <c r="AQ283" s="2876">
        <v>281.21646399999997</v>
      </c>
      <c r="AR283" s="2876">
        <v>0</v>
      </c>
      <c r="AS283" s="2876">
        <v>1029108665</v>
      </c>
      <c r="AT283" s="2876">
        <v>0</v>
      </c>
      <c r="AU283" s="2876">
        <v>0</v>
      </c>
      <c r="AV283" s="2879">
        <v>3.6594893853725434</v>
      </c>
      <c r="AW283" s="2876">
        <v>1029108665</v>
      </c>
      <c r="AX283" s="2876">
        <v>390.09204</v>
      </c>
      <c r="AY283" s="2876">
        <v>0</v>
      </c>
      <c r="AZ283" s="2876">
        <v>1406185340</v>
      </c>
      <c r="BA283" s="2876">
        <v>8570739</v>
      </c>
      <c r="BB283" s="2876">
        <v>0</v>
      </c>
      <c r="BC283" s="2879">
        <v>3.6267237829308181</v>
      </c>
      <c r="BD283" s="2876">
        <v>1414756079</v>
      </c>
      <c r="BE283" s="2876">
        <v>-32.256555999999989</v>
      </c>
      <c r="BF283" s="2876">
        <v>0</v>
      </c>
      <c r="BG283" s="2876">
        <v>52098615</v>
      </c>
      <c r="BH283" s="2876">
        <v>0</v>
      </c>
      <c r="BI283" s="2876">
        <v>0</v>
      </c>
      <c r="BJ283" s="2879">
        <v>-1.6151325950606761</v>
      </c>
      <c r="BK283" s="2876">
        <v>52098615</v>
      </c>
      <c r="BL283" s="2876">
        <v>-183.694693</v>
      </c>
      <c r="BM283" s="2876">
        <v>0</v>
      </c>
      <c r="BN283" s="2876">
        <v>-424045136</v>
      </c>
      <c r="BO283" s="2876">
        <v>15000</v>
      </c>
      <c r="BP283" s="2876">
        <v>0</v>
      </c>
      <c r="BQ283" s="2879">
        <v>2.3083417875332959</v>
      </c>
      <c r="BR283" s="2876">
        <v>-424030136</v>
      </c>
      <c r="BS283" s="2876">
        <v>-473.39614250000005</v>
      </c>
      <c r="BT283" s="2876">
        <v>0</v>
      </c>
      <c r="BU283" s="2876">
        <v>-1307899742</v>
      </c>
      <c r="BV283" s="2876">
        <v>0</v>
      </c>
      <c r="BW283" s="2876">
        <v>0</v>
      </c>
      <c r="BX283" s="2879">
        <v>2.7628018578541753</v>
      </c>
      <c r="BY283" s="2876">
        <v>-1307899742</v>
      </c>
      <c r="BZ283" s="2876">
        <v>-665.28938100000005</v>
      </c>
      <c r="CA283" s="2876">
        <v>0</v>
      </c>
      <c r="CB283" s="2876">
        <v>-1776796678</v>
      </c>
      <c r="CC283" s="2876">
        <v>0</v>
      </c>
      <c r="CD283" s="2876">
        <v>0</v>
      </c>
      <c r="CE283" s="2879">
        <v>2.670712518106463</v>
      </c>
      <c r="CF283" s="2876">
        <v>-1776796678</v>
      </c>
      <c r="CG283" s="2876">
        <v>-864.331591</v>
      </c>
      <c r="CH283" s="2876">
        <v>0</v>
      </c>
      <c r="CI283" s="2876">
        <v>-2754056482.9499998</v>
      </c>
      <c r="CJ283" s="2876">
        <v>0</v>
      </c>
      <c r="CK283" s="2876">
        <v>0</v>
      </c>
      <c r="CL283" s="2879">
        <v>3.1863425005253565</v>
      </c>
      <c r="CM283" s="2876">
        <v>-2754056482.9499998</v>
      </c>
      <c r="CN283" s="2876">
        <v>-987.60453700000005</v>
      </c>
      <c r="CO283" s="2876">
        <v>0</v>
      </c>
      <c r="CP283" s="2876">
        <v>-3549902807.1000004</v>
      </c>
      <c r="CQ283" s="2876">
        <v>0</v>
      </c>
      <c r="CR283" s="2876">
        <v>0</v>
      </c>
      <c r="CS283" s="2879">
        <v>3.5944577754607869</v>
      </c>
      <c r="CT283" s="2876">
        <v>-3549902807.1000004</v>
      </c>
      <c r="CU283" s="2881">
        <v>-1631.7880695000003</v>
      </c>
      <c r="CV283" s="2888">
        <v>0</v>
      </c>
      <c r="CW283" s="2888">
        <v>-2994942924.0500002</v>
      </c>
      <c r="CX283" s="2888">
        <v>8585739</v>
      </c>
      <c r="CY283" s="2888">
        <v>0</v>
      </c>
      <c r="CZ283" s="2879">
        <v>1.8301133835137404</v>
      </c>
      <c r="DA283" s="2888">
        <v>-2986357185.0500002</v>
      </c>
      <c r="DB283" s="1609"/>
      <c r="DD283" s="1625"/>
      <c r="DJ283" s="1611" t="e">
        <v>#N/A</v>
      </c>
      <c r="DK283" s="2782">
        <v>0</v>
      </c>
      <c r="DM283" s="1650">
        <v>1.8353749362609859</v>
      </c>
    </row>
    <row r="284" spans="1:117" ht="21" customHeight="1">
      <c r="A284" s="1652"/>
      <c r="B284" s="1644"/>
      <c r="C284" s="1662"/>
      <c r="D284" s="1648"/>
      <c r="E284" s="1648"/>
      <c r="F284" s="1648"/>
      <c r="G284" s="1648"/>
      <c r="H284" s="1648"/>
      <c r="I284" s="1648"/>
      <c r="J284" s="1663"/>
      <c r="K284" s="1648"/>
      <c r="L284" s="1648"/>
      <c r="M284" s="1648"/>
      <c r="N284" s="1642"/>
      <c r="O284" s="2876"/>
      <c r="P284" s="2870"/>
      <c r="Q284" s="2870"/>
      <c r="R284" s="2870"/>
      <c r="S284" s="2870"/>
      <c r="T284" s="2870"/>
      <c r="U284" s="2875"/>
      <c r="V284" s="2869"/>
      <c r="W284" s="2870"/>
      <c r="X284" s="2870"/>
      <c r="Y284" s="2870"/>
      <c r="Z284" s="2870"/>
      <c r="AA284" s="2877">
        <v>0</v>
      </c>
      <c r="AB284" s="2875">
        <v>0</v>
      </c>
      <c r="AC284" s="2869"/>
      <c r="AD284" s="2870"/>
      <c r="AE284" s="2870"/>
      <c r="AF284" s="2870"/>
      <c r="AG284" s="2870"/>
      <c r="AH284" s="2877"/>
      <c r="AI284" s="2875"/>
      <c r="AJ284" s="2869"/>
      <c r="AK284" s="2870"/>
      <c r="AL284" s="2870"/>
      <c r="AM284" s="2870"/>
      <c r="AN284" s="2870"/>
      <c r="AO284" s="2877"/>
      <c r="AP284" s="2875"/>
      <c r="AQ284" s="2869"/>
      <c r="AR284" s="2870"/>
      <c r="AS284" s="2870"/>
      <c r="AT284" s="2870"/>
      <c r="AU284" s="2870"/>
      <c r="AV284" s="2877"/>
      <c r="AW284" s="2875"/>
      <c r="AX284" s="2869"/>
      <c r="AY284" s="2870"/>
      <c r="AZ284" s="2870"/>
      <c r="BA284" s="2870"/>
      <c r="BB284" s="2870"/>
      <c r="BC284" s="2877"/>
      <c r="BD284" s="2875"/>
      <c r="BE284" s="2869"/>
      <c r="BF284" s="2870"/>
      <c r="BG284" s="2870"/>
      <c r="BH284" s="2870"/>
      <c r="BI284" s="2870"/>
      <c r="BJ284" s="2877"/>
      <c r="BK284" s="2875"/>
      <c r="BL284" s="2869"/>
      <c r="BM284" s="2870"/>
      <c r="BN284" s="2870"/>
      <c r="BO284" s="2870"/>
      <c r="BP284" s="2870"/>
      <c r="BQ284" s="2877"/>
      <c r="BR284" s="2875"/>
      <c r="BS284" s="2869"/>
      <c r="BT284" s="2870"/>
      <c r="BU284" s="2870"/>
      <c r="BV284" s="2870"/>
      <c r="BW284" s="2870"/>
      <c r="BX284" s="2877"/>
      <c r="BY284" s="2875"/>
      <c r="BZ284" s="2869"/>
      <c r="CA284" s="2870"/>
      <c r="CB284" s="2870"/>
      <c r="CC284" s="2870"/>
      <c r="CD284" s="2870"/>
      <c r="CE284" s="2877"/>
      <c r="CF284" s="2875"/>
      <c r="CG284" s="2869"/>
      <c r="CH284" s="2870"/>
      <c r="CI284" s="2870"/>
      <c r="CJ284" s="2870"/>
      <c r="CK284" s="2870"/>
      <c r="CL284" s="2877"/>
      <c r="CM284" s="2875"/>
      <c r="CN284" s="2872"/>
      <c r="CO284" s="2870"/>
      <c r="CP284" s="2870"/>
      <c r="CQ284" s="2870"/>
      <c r="CR284" s="2870"/>
      <c r="CS284" s="2877"/>
      <c r="CT284" s="2875"/>
      <c r="CU284" s="2878"/>
      <c r="CV284" s="2870"/>
      <c r="CW284" s="2870"/>
      <c r="CX284" s="2870"/>
      <c r="CY284" s="2870"/>
      <c r="CZ284" s="2879"/>
      <c r="DA284" s="2875"/>
      <c r="DJ284" s="1611" t="e">
        <v>#N/A</v>
      </c>
      <c r="DK284" s="2782" t="e">
        <v>#N/A</v>
      </c>
      <c r="DM284" s="1650">
        <v>0</v>
      </c>
    </row>
    <row r="285" spans="1:117" ht="21" customHeight="1">
      <c r="A285" s="1637" t="s">
        <v>1947</v>
      </c>
      <c r="B285" s="1703" t="s">
        <v>1948</v>
      </c>
      <c r="C285" s="1662"/>
      <c r="D285" s="1648"/>
      <c r="E285" s="1648"/>
      <c r="F285" s="1648"/>
      <c r="G285" s="1648"/>
      <c r="H285" s="1648"/>
      <c r="I285" s="1648"/>
      <c r="J285" s="1663"/>
      <c r="K285" s="1648"/>
      <c r="L285" s="1648"/>
      <c r="M285" s="1648"/>
      <c r="N285" s="1642"/>
      <c r="O285" s="2876"/>
      <c r="P285" s="2870"/>
      <c r="Q285" s="2870"/>
      <c r="R285" s="2870"/>
      <c r="S285" s="2870"/>
      <c r="T285" s="2870"/>
      <c r="U285" s="2875">
        <v>0</v>
      </c>
      <c r="V285" s="2869"/>
      <c r="W285" s="2870"/>
      <c r="X285" s="2870"/>
      <c r="Y285" s="2870"/>
      <c r="Z285" s="2870"/>
      <c r="AA285" s="2877">
        <v>0</v>
      </c>
      <c r="AB285" s="2875">
        <v>0</v>
      </c>
      <c r="AC285" s="2869"/>
      <c r="AD285" s="2870"/>
      <c r="AE285" s="2870"/>
      <c r="AF285" s="2870"/>
      <c r="AG285" s="2870"/>
      <c r="AH285" s="2877">
        <v>0</v>
      </c>
      <c r="AI285" s="2875">
        <v>0</v>
      </c>
      <c r="AJ285" s="2869"/>
      <c r="AK285" s="2870"/>
      <c r="AL285" s="2870"/>
      <c r="AM285" s="2870"/>
      <c r="AN285" s="2870"/>
      <c r="AO285" s="2877">
        <v>0</v>
      </c>
      <c r="AP285" s="2875">
        <v>0</v>
      </c>
      <c r="AQ285" s="2869"/>
      <c r="AR285" s="2870"/>
      <c r="AS285" s="2870"/>
      <c r="AT285" s="2870"/>
      <c r="AU285" s="2870"/>
      <c r="AV285" s="2877">
        <v>0</v>
      </c>
      <c r="AW285" s="2875">
        <v>0</v>
      </c>
      <c r="AX285" s="2869"/>
      <c r="AY285" s="2870"/>
      <c r="AZ285" s="2870"/>
      <c r="BA285" s="2870"/>
      <c r="BB285" s="2870"/>
      <c r="BC285" s="2877">
        <v>0</v>
      </c>
      <c r="BD285" s="2875">
        <v>0</v>
      </c>
      <c r="BE285" s="2869"/>
      <c r="BF285" s="2870"/>
      <c r="BG285" s="2870"/>
      <c r="BH285" s="2870"/>
      <c r="BI285" s="2870"/>
      <c r="BJ285" s="2877">
        <v>0</v>
      </c>
      <c r="BK285" s="2875">
        <v>0</v>
      </c>
      <c r="BL285" s="2869"/>
      <c r="BM285" s="2870"/>
      <c r="BN285" s="2870"/>
      <c r="BO285" s="2870"/>
      <c r="BP285" s="2870"/>
      <c r="BQ285" s="2877">
        <v>0</v>
      </c>
      <c r="BR285" s="2875">
        <v>0</v>
      </c>
      <c r="BS285" s="2869"/>
      <c r="BT285" s="2870"/>
      <c r="BU285" s="2870"/>
      <c r="BV285" s="2870"/>
      <c r="BW285" s="2870"/>
      <c r="BX285" s="2877">
        <v>0</v>
      </c>
      <c r="BY285" s="2875">
        <v>0</v>
      </c>
      <c r="BZ285" s="2869"/>
      <c r="CA285" s="2870"/>
      <c r="CB285" s="2870"/>
      <c r="CC285" s="2870"/>
      <c r="CD285" s="2870"/>
      <c r="CE285" s="2877">
        <v>0</v>
      </c>
      <c r="CF285" s="2875">
        <v>0</v>
      </c>
      <c r="CG285" s="2869"/>
      <c r="CH285" s="2870"/>
      <c r="CI285" s="2870"/>
      <c r="CJ285" s="2870"/>
      <c r="CK285" s="2870"/>
      <c r="CL285" s="2877">
        <v>0</v>
      </c>
      <c r="CM285" s="2875">
        <v>0</v>
      </c>
      <c r="CN285" s="2872"/>
      <c r="CO285" s="2870"/>
      <c r="CP285" s="2870"/>
      <c r="CQ285" s="2870"/>
      <c r="CR285" s="2870"/>
      <c r="CS285" s="2877">
        <v>0</v>
      </c>
      <c r="CT285" s="2875">
        <v>0</v>
      </c>
      <c r="CU285" s="2878"/>
      <c r="CV285" s="2870"/>
      <c r="CW285" s="2870"/>
      <c r="CX285" s="2870"/>
      <c r="CY285" s="2870"/>
      <c r="CZ285" s="2879"/>
      <c r="DA285" s="2875"/>
      <c r="DJ285" s="1611" t="e">
        <v>#N/A</v>
      </c>
      <c r="DK285" s="2782" t="e">
        <v>#N/A</v>
      </c>
      <c r="DM285" s="1650">
        <v>0</v>
      </c>
    </row>
    <row r="286" spans="1:117" ht="21" customHeight="1">
      <c r="A286" s="1652" t="s">
        <v>129</v>
      </c>
      <c r="B286" s="1644" t="s">
        <v>1949</v>
      </c>
      <c r="C286" s="1662"/>
      <c r="D286" s="1646" t="e">
        <v>#DIV/0!</v>
      </c>
      <c r="E286" s="1646"/>
      <c r="F286" s="1648" t="s">
        <v>1594</v>
      </c>
      <c r="G286" s="1648"/>
      <c r="H286" s="1648"/>
      <c r="I286" s="1648"/>
      <c r="J286" s="1663"/>
      <c r="K286" s="1648"/>
      <c r="L286" s="1648"/>
      <c r="M286" s="1648"/>
      <c r="N286" s="1642"/>
      <c r="O286" s="2876">
        <v>-32.204864999999998</v>
      </c>
      <c r="P286" s="2870"/>
      <c r="Q286" s="2870">
        <v>-45022991</v>
      </c>
      <c r="R286" s="2870"/>
      <c r="S286" s="2870"/>
      <c r="T286" s="2870">
        <v>1.3980183118295948</v>
      </c>
      <c r="U286" s="2875">
        <v>-45022991</v>
      </c>
      <c r="V286" s="2869">
        <v>-84.179576999999995</v>
      </c>
      <c r="W286" s="2870"/>
      <c r="X286" s="2870">
        <v>-114879104</v>
      </c>
      <c r="Y286" s="2870"/>
      <c r="Z286" s="2870"/>
      <c r="AA286" s="2877">
        <v>1.3646909154699125</v>
      </c>
      <c r="AB286" s="2875">
        <v>-114879104</v>
      </c>
      <c r="AC286" s="2869">
        <v>-72.678011999999995</v>
      </c>
      <c r="AD286" s="2870"/>
      <c r="AE286" s="2870">
        <v>-123239314</v>
      </c>
      <c r="AF286" s="2870"/>
      <c r="AG286" s="2870"/>
      <c r="AH286" s="2877">
        <v>1.695689117088123</v>
      </c>
      <c r="AI286" s="2875">
        <v>-123239314</v>
      </c>
      <c r="AJ286" s="2869">
        <v>-82.144417000000004</v>
      </c>
      <c r="AK286" s="2870"/>
      <c r="AL286" s="2870">
        <v>-156931796</v>
      </c>
      <c r="AM286" s="2870"/>
      <c r="AN286" s="2870"/>
      <c r="AO286" s="2877">
        <v>1.9104377598784346</v>
      </c>
      <c r="AP286" s="2875">
        <v>-156931796</v>
      </c>
      <c r="AQ286" s="2869">
        <v>-106.83976071099046</v>
      </c>
      <c r="AR286" s="2870"/>
      <c r="AS286" s="2870">
        <v>-94009224</v>
      </c>
      <c r="AT286" s="2870"/>
      <c r="AU286" s="2870"/>
      <c r="AV286" s="2877">
        <v>0.87990859745841232</v>
      </c>
      <c r="AW286" s="2875">
        <v>-94009224</v>
      </c>
      <c r="AX286" s="2869">
        <v>-74.268260999999995</v>
      </c>
      <c r="AY286" s="2870"/>
      <c r="AZ286" s="2870">
        <v>-117635211</v>
      </c>
      <c r="BA286" s="2870"/>
      <c r="BB286" s="2870"/>
      <c r="BC286" s="2877">
        <v>1.5839230569839249</v>
      </c>
      <c r="BD286" s="2875">
        <v>-117635211</v>
      </c>
      <c r="BE286" s="2869">
        <v>-67.075421000000006</v>
      </c>
      <c r="BF286" s="2870"/>
      <c r="BG286" s="2870">
        <v>-65522387</v>
      </c>
      <c r="BH286" s="2870"/>
      <c r="BI286" s="2870"/>
      <c r="BJ286" s="2877">
        <v>0.9768464516980071</v>
      </c>
      <c r="BK286" s="2875">
        <v>-65522387</v>
      </c>
      <c r="BL286" s="2869">
        <v>-148.265617609</v>
      </c>
      <c r="BM286" s="2870"/>
      <c r="BN286" s="2870">
        <v>37877046.710000008</v>
      </c>
      <c r="BO286" s="2870"/>
      <c r="BP286" s="2870"/>
      <c r="BQ286" s="2877">
        <v>-0.25546750029320892</v>
      </c>
      <c r="BR286" s="2875">
        <v>37877046.710000008</v>
      </c>
      <c r="BS286" s="2869">
        <v>-55.394829000000001</v>
      </c>
      <c r="BT286" s="2870"/>
      <c r="BU286" s="2870">
        <v>-29205102</v>
      </c>
      <c r="BV286" s="2870"/>
      <c r="BW286" s="2870"/>
      <c r="BX286" s="2877">
        <v>0.52721711624021805</v>
      </c>
      <c r="BY286" s="2875">
        <v>-29205102</v>
      </c>
      <c r="BZ286" s="2869">
        <v>-84.923590000000004</v>
      </c>
      <c r="CA286" s="2870"/>
      <c r="CB286" s="2870">
        <v>-58781135</v>
      </c>
      <c r="CC286" s="2870"/>
      <c r="CD286" s="2870"/>
      <c r="CE286" s="2877">
        <v>0.69216498030759177</v>
      </c>
      <c r="CF286" s="2875">
        <v>-58781135</v>
      </c>
      <c r="CG286" s="2869">
        <v>-85.878966000000005</v>
      </c>
      <c r="CH286" s="2870"/>
      <c r="CI286" s="2870">
        <v>-51130529.869999997</v>
      </c>
      <c r="CJ286" s="2870"/>
      <c r="CK286" s="2870"/>
      <c r="CL286" s="2877">
        <v>0.59537896473974772</v>
      </c>
      <c r="CM286" s="2875">
        <v>-51130529.869999997</v>
      </c>
      <c r="CN286" s="2872">
        <v>109.4248995699905</v>
      </c>
      <c r="CO286" s="2870"/>
      <c r="CP286" s="2870">
        <v>-29854921.620000005</v>
      </c>
      <c r="CQ286" s="2870"/>
      <c r="CR286" s="2870"/>
      <c r="CS286" s="2877">
        <v>-0.27283480942017369</v>
      </c>
      <c r="CT286" s="2875">
        <v>-29854921.620000005</v>
      </c>
      <c r="CU286" s="2878">
        <v>-784.42841674999988</v>
      </c>
      <c r="CV286" s="2870">
        <v>0</v>
      </c>
      <c r="CW286" s="2870">
        <v>-848334668.77999997</v>
      </c>
      <c r="CX286" s="2870">
        <v>0</v>
      </c>
      <c r="CY286" s="2870">
        <v>0</v>
      </c>
      <c r="CZ286" s="2879">
        <v>1.0814685580805103</v>
      </c>
      <c r="DA286" s="2875">
        <v>-848334668.77999997</v>
      </c>
      <c r="DJ286" s="1611" t="e">
        <v>#N/A</v>
      </c>
      <c r="DK286" s="2782" t="e">
        <v>#N/A</v>
      </c>
      <c r="DM286" s="1650">
        <v>1.0814685580805103</v>
      </c>
    </row>
    <row r="287" spans="1:117" ht="21" customHeight="1">
      <c r="A287" s="1652" t="s">
        <v>130</v>
      </c>
      <c r="B287" s="1644" t="s">
        <v>1950</v>
      </c>
      <c r="C287" s="1662"/>
      <c r="D287" s="1646" t="e">
        <v>#DIV/0!</v>
      </c>
      <c r="E287" s="1646"/>
      <c r="F287" s="1648" t="s">
        <v>1594</v>
      </c>
      <c r="G287" s="1648"/>
      <c r="H287" s="1648"/>
      <c r="I287" s="1648"/>
      <c r="J287" s="1663"/>
      <c r="K287" s="1648"/>
      <c r="L287" s="1648"/>
      <c r="M287" s="1648"/>
      <c r="N287" s="1642"/>
      <c r="O287" s="2876">
        <v>61.733403000000003</v>
      </c>
      <c r="P287" s="2870"/>
      <c r="Q287" s="2870">
        <v>300250046</v>
      </c>
      <c r="R287" s="2870"/>
      <c r="S287" s="2870"/>
      <c r="T287" s="2870">
        <v>4.863656163584567</v>
      </c>
      <c r="U287" s="2875">
        <v>300250046</v>
      </c>
      <c r="V287" s="2869">
        <v>82.774467999999999</v>
      </c>
      <c r="W287" s="2870"/>
      <c r="X287" s="2870">
        <v>519205631</v>
      </c>
      <c r="Y287" s="2870"/>
      <c r="Z287" s="2870"/>
      <c r="AA287" s="2877">
        <v>6.2725335909135653</v>
      </c>
      <c r="AB287" s="2875">
        <v>519205631</v>
      </c>
      <c r="AC287" s="2869">
        <v>32.792876999999997</v>
      </c>
      <c r="AD287" s="2870"/>
      <c r="AE287" s="2870">
        <v>169465998</v>
      </c>
      <c r="AF287" s="2870"/>
      <c r="AG287" s="2870"/>
      <c r="AH287" s="2877">
        <v>5.167768537051507</v>
      </c>
      <c r="AI287" s="2875">
        <v>169465998</v>
      </c>
      <c r="AJ287" s="2869">
        <v>45.695731000000002</v>
      </c>
      <c r="AK287" s="2870"/>
      <c r="AL287" s="2870">
        <v>167257713</v>
      </c>
      <c r="AM287" s="2870"/>
      <c r="AN287" s="2870"/>
      <c r="AO287" s="2877">
        <v>3.6602481093912251</v>
      </c>
      <c r="AP287" s="2875">
        <v>167257713</v>
      </c>
      <c r="AQ287" s="2869">
        <v>27.427557</v>
      </c>
      <c r="AR287" s="2870"/>
      <c r="AS287" s="2870">
        <v>78307231.25</v>
      </c>
      <c r="AT287" s="2870"/>
      <c r="AU287" s="2870"/>
      <c r="AV287" s="2877">
        <v>2.8550567318117324</v>
      </c>
      <c r="AW287" s="2875">
        <v>78307231.25</v>
      </c>
      <c r="AX287" s="2869">
        <v>57.460690999999997</v>
      </c>
      <c r="AY287" s="2870"/>
      <c r="AZ287" s="2870">
        <v>30271102</v>
      </c>
      <c r="BA287" s="2870"/>
      <c r="BB287" s="2870"/>
      <c r="BC287" s="2877">
        <v>0.52681409626626319</v>
      </c>
      <c r="BD287" s="2875">
        <v>30271102</v>
      </c>
      <c r="BE287" s="2869">
        <v>62.623066000000001</v>
      </c>
      <c r="BF287" s="2870"/>
      <c r="BG287" s="2870">
        <v>-68758420</v>
      </c>
      <c r="BH287" s="2870"/>
      <c r="BI287" s="2870"/>
      <c r="BJ287" s="2877">
        <v>-1.0979727501684444</v>
      </c>
      <c r="BK287" s="2875">
        <v>-68758420</v>
      </c>
      <c r="BL287" s="2869">
        <v>73.273403999999999</v>
      </c>
      <c r="BM287" s="2870"/>
      <c r="BN287" s="2870">
        <v>34782528</v>
      </c>
      <c r="BO287" s="2870"/>
      <c r="BP287" s="2870"/>
      <c r="BQ287" s="2877">
        <v>0.4746951294906403</v>
      </c>
      <c r="BR287" s="2875">
        <v>34782528</v>
      </c>
      <c r="BS287" s="2869">
        <v>64.517100999999997</v>
      </c>
      <c r="BT287" s="2870"/>
      <c r="BU287" s="2870">
        <v>9365322</v>
      </c>
      <c r="BV287" s="2870"/>
      <c r="BW287" s="2870"/>
      <c r="BX287" s="2877">
        <v>0.14516030408743877</v>
      </c>
      <c r="BY287" s="2875">
        <v>9365322</v>
      </c>
      <c r="BZ287" s="2869">
        <v>61.213605999999999</v>
      </c>
      <c r="CA287" s="2870"/>
      <c r="CB287" s="2870">
        <v>-41572896</v>
      </c>
      <c r="CC287" s="2870"/>
      <c r="CD287" s="2870"/>
      <c r="CE287" s="2877">
        <v>-0.67914469864755234</v>
      </c>
      <c r="CF287" s="2875">
        <v>-41572896</v>
      </c>
      <c r="CG287" s="2869">
        <v>92.857152999999997</v>
      </c>
      <c r="CH287" s="2870"/>
      <c r="CI287" s="2870">
        <v>-156870333.38</v>
      </c>
      <c r="CJ287" s="2870"/>
      <c r="CK287" s="2870"/>
      <c r="CL287" s="2877">
        <v>-1.6893726364839119</v>
      </c>
      <c r="CM287" s="2875">
        <v>-156870333.38</v>
      </c>
      <c r="CN287" s="2872">
        <v>-103.16602725</v>
      </c>
      <c r="CO287" s="2870"/>
      <c r="CP287" s="2870">
        <v>-346537373</v>
      </c>
      <c r="CQ287" s="2870"/>
      <c r="CR287" s="2870"/>
      <c r="CS287" s="2877">
        <v>3.3590260499247826</v>
      </c>
      <c r="CT287" s="2875">
        <v>-346537373</v>
      </c>
      <c r="CU287" s="2878">
        <v>559.20302975000016</v>
      </c>
      <c r="CV287" s="2870">
        <v>0</v>
      </c>
      <c r="CW287" s="2870">
        <v>695166548.87</v>
      </c>
      <c r="CX287" s="2870">
        <v>0</v>
      </c>
      <c r="CY287" s="2870">
        <v>0</v>
      </c>
      <c r="CZ287" s="2879">
        <v>1.2431380230196256</v>
      </c>
      <c r="DA287" s="2875">
        <v>695166548.87</v>
      </c>
      <c r="DJ287" s="1611" t="e">
        <v>#N/A</v>
      </c>
      <c r="DK287" s="2782" t="e">
        <v>#N/A</v>
      </c>
      <c r="DM287" s="1650">
        <v>1.2431380230196256</v>
      </c>
    </row>
    <row r="288" spans="1:117" s="1727" customFormat="1" ht="21" customHeight="1">
      <c r="A288" s="1637"/>
      <c r="B288" s="1638" t="s">
        <v>211</v>
      </c>
      <c r="C288" s="1643"/>
      <c r="D288" s="1641"/>
      <c r="E288" s="1641"/>
      <c r="F288" s="1641"/>
      <c r="G288" s="1641"/>
      <c r="H288" s="1641"/>
      <c r="I288" s="1641"/>
      <c r="J288" s="1649"/>
      <c r="K288" s="1641"/>
      <c r="L288" s="1641"/>
      <c r="M288" s="1641"/>
      <c r="N288" s="1671"/>
      <c r="O288" s="2876">
        <v>29.528538000000005</v>
      </c>
      <c r="P288" s="2874">
        <v>0</v>
      </c>
      <c r="Q288" s="2874">
        <v>255227055</v>
      </c>
      <c r="R288" s="2874">
        <v>0</v>
      </c>
      <c r="S288" s="2874"/>
      <c r="T288" s="2879">
        <v>8.6434030360731029</v>
      </c>
      <c r="U288" s="2875">
        <v>255227055</v>
      </c>
      <c r="V288" s="2876">
        <v>-1.4051089999999959</v>
      </c>
      <c r="W288" s="2874">
        <v>0</v>
      </c>
      <c r="X288" s="2874">
        <v>404326527</v>
      </c>
      <c r="Y288" s="2874">
        <v>0</v>
      </c>
      <c r="Z288" s="2874">
        <v>0</v>
      </c>
      <c r="AA288" s="2879">
        <v>-287.75456352496576</v>
      </c>
      <c r="AB288" s="2875">
        <v>404326527</v>
      </c>
      <c r="AC288" s="2876">
        <v>-39.885134999999998</v>
      </c>
      <c r="AD288" s="2874">
        <v>0</v>
      </c>
      <c r="AE288" s="2874">
        <v>46226684</v>
      </c>
      <c r="AF288" s="2874">
        <v>0</v>
      </c>
      <c r="AG288" s="2874">
        <v>0</v>
      </c>
      <c r="AH288" s="2879">
        <v>-1.1589952998780122</v>
      </c>
      <c r="AI288" s="2875">
        <v>46226684</v>
      </c>
      <c r="AJ288" s="2876">
        <v>-36.448686000000002</v>
      </c>
      <c r="AK288" s="2874">
        <v>0</v>
      </c>
      <c r="AL288" s="2874">
        <v>10325917</v>
      </c>
      <c r="AM288" s="2874">
        <v>0</v>
      </c>
      <c r="AN288" s="2874">
        <v>0</v>
      </c>
      <c r="AO288" s="2879">
        <v>-0.28330011677238515</v>
      </c>
      <c r="AP288" s="2875">
        <v>10325917</v>
      </c>
      <c r="AQ288" s="2876">
        <v>-79.412203710990468</v>
      </c>
      <c r="AR288" s="2874">
        <v>0</v>
      </c>
      <c r="AS288" s="2874">
        <v>-15701992.75</v>
      </c>
      <c r="AT288" s="2874">
        <v>0</v>
      </c>
      <c r="AU288" s="2874">
        <v>0</v>
      </c>
      <c r="AV288" s="2879">
        <v>0.19772770451183033</v>
      </c>
      <c r="AW288" s="2875">
        <v>-15701992.75</v>
      </c>
      <c r="AX288" s="2876">
        <v>-16.807569999999998</v>
      </c>
      <c r="AY288" s="2874">
        <v>0</v>
      </c>
      <c r="AZ288" s="2874">
        <v>-87364109</v>
      </c>
      <c r="BA288" s="2874">
        <v>0</v>
      </c>
      <c r="BB288" s="2874">
        <v>0</v>
      </c>
      <c r="BC288" s="2879">
        <v>5.1979024332488279</v>
      </c>
      <c r="BD288" s="2875">
        <v>-87364109</v>
      </c>
      <c r="BE288" s="2876">
        <v>-4.4523550000000043</v>
      </c>
      <c r="BF288" s="2874">
        <v>0</v>
      </c>
      <c r="BG288" s="2874">
        <v>-134280807</v>
      </c>
      <c r="BH288" s="2874">
        <v>0</v>
      </c>
      <c r="BI288" s="2874">
        <v>0</v>
      </c>
      <c r="BJ288" s="2879">
        <v>30.159501432387998</v>
      </c>
      <c r="BK288" s="2875">
        <v>-134280807</v>
      </c>
      <c r="BL288" s="2876">
        <v>-74.992213609000004</v>
      </c>
      <c r="BM288" s="2874">
        <v>0</v>
      </c>
      <c r="BN288" s="2874">
        <v>72659574.710000008</v>
      </c>
      <c r="BO288" s="2874">
        <v>0</v>
      </c>
      <c r="BP288" s="2874">
        <v>0</v>
      </c>
      <c r="BQ288" s="2879">
        <v>-0.96889491872900202</v>
      </c>
      <c r="BR288" s="2875">
        <v>72659574.710000008</v>
      </c>
      <c r="BS288" s="2876">
        <v>9.1222719999999953</v>
      </c>
      <c r="BT288" s="2874">
        <v>0</v>
      </c>
      <c r="BU288" s="2874">
        <v>-19839780</v>
      </c>
      <c r="BV288" s="2874">
        <v>0</v>
      </c>
      <c r="BW288" s="2874">
        <v>0</v>
      </c>
      <c r="BX288" s="2879">
        <v>-2.1748726633014246</v>
      </c>
      <c r="BY288" s="2875">
        <v>-19839780</v>
      </c>
      <c r="BZ288" s="2876">
        <v>-23.709984000000006</v>
      </c>
      <c r="CA288" s="2874">
        <v>0</v>
      </c>
      <c r="CB288" s="2874">
        <v>-100354031</v>
      </c>
      <c r="CC288" s="2874">
        <v>0</v>
      </c>
      <c r="CD288" s="2874">
        <v>0</v>
      </c>
      <c r="CE288" s="2879">
        <v>4.2325642649105104</v>
      </c>
      <c r="CF288" s="2875">
        <v>-100354031</v>
      </c>
      <c r="CG288" s="2876">
        <v>6.9781869999999913</v>
      </c>
      <c r="CH288" s="2874">
        <v>0</v>
      </c>
      <c r="CI288" s="2874">
        <v>-208000863.25</v>
      </c>
      <c r="CJ288" s="2874">
        <v>0</v>
      </c>
      <c r="CK288" s="2874">
        <v>0</v>
      </c>
      <c r="CL288" s="2879">
        <v>-29.807292818320899</v>
      </c>
      <c r="CM288" s="2875">
        <v>-208000863.25</v>
      </c>
      <c r="CN288" s="2909">
        <v>6.2588723199905019</v>
      </c>
      <c r="CO288" s="2874">
        <v>0</v>
      </c>
      <c r="CP288" s="2910">
        <v>-376392294.62</v>
      </c>
      <c r="CQ288" s="2874">
        <v>0</v>
      </c>
      <c r="CR288" s="2874">
        <v>0</v>
      </c>
      <c r="CS288" s="2879">
        <v>-60.137397821301327</v>
      </c>
      <c r="CT288" s="2875">
        <v>-376392294.62</v>
      </c>
      <c r="CU288" s="2881">
        <v>-225.22538699999998</v>
      </c>
      <c r="CV288" s="2874">
        <v>0</v>
      </c>
      <c r="CW288" s="2874">
        <v>-153168119.90999997</v>
      </c>
      <c r="CX288" s="2874">
        <v>0</v>
      </c>
      <c r="CY288" s="2874">
        <v>0</v>
      </c>
      <c r="CZ288" s="2879">
        <v>0.68006596392261942</v>
      </c>
      <c r="DA288" s="2875">
        <v>-153168119.90999997</v>
      </c>
      <c r="DB288" s="1609"/>
      <c r="DD288" s="1625"/>
      <c r="DJ288" s="1611" t="e">
        <v>#N/A</v>
      </c>
      <c r="DK288" s="2782">
        <v>0</v>
      </c>
      <c r="DM288" s="1650">
        <v>0.68006596392261942</v>
      </c>
    </row>
    <row r="289" spans="1:117" ht="21" customHeight="1">
      <c r="A289" s="1652"/>
      <c r="B289" s="1672"/>
      <c r="C289" s="1662"/>
      <c r="D289" s="1648"/>
      <c r="E289" s="1648"/>
      <c r="F289" s="1648"/>
      <c r="G289" s="1648"/>
      <c r="H289" s="1648"/>
      <c r="I289" s="1648"/>
      <c r="J289" s="1649"/>
      <c r="K289" s="1648"/>
      <c r="L289" s="1648"/>
      <c r="M289" s="1648"/>
      <c r="N289" s="1642"/>
      <c r="O289" s="2876"/>
      <c r="P289" s="2870"/>
      <c r="Q289" s="2870"/>
      <c r="R289" s="2870"/>
      <c r="S289" s="2870"/>
      <c r="T289" s="2870"/>
      <c r="U289" s="2875"/>
      <c r="V289" s="2869"/>
      <c r="W289" s="2870"/>
      <c r="X289" s="2870"/>
      <c r="Y289" s="2870"/>
      <c r="Z289" s="2870"/>
      <c r="AA289" s="2877"/>
      <c r="AB289" s="2875"/>
      <c r="AC289" s="2869"/>
      <c r="AD289" s="2870"/>
      <c r="AE289" s="2870"/>
      <c r="AF289" s="2870"/>
      <c r="AG289" s="2870"/>
      <c r="AH289" s="2877"/>
      <c r="AI289" s="2875"/>
      <c r="AJ289" s="2869"/>
      <c r="AK289" s="2870"/>
      <c r="AL289" s="2870"/>
      <c r="AM289" s="2870"/>
      <c r="AN289" s="2870"/>
      <c r="AO289" s="2877"/>
      <c r="AP289" s="2875"/>
      <c r="AQ289" s="2869"/>
      <c r="AR289" s="2870"/>
      <c r="AS289" s="2870"/>
      <c r="AT289" s="2870"/>
      <c r="AU289" s="2870"/>
      <c r="AV289" s="2877"/>
      <c r="AW289" s="2875"/>
      <c r="AX289" s="2869"/>
      <c r="AY289" s="2870"/>
      <c r="AZ289" s="2870"/>
      <c r="BA289" s="2870"/>
      <c r="BB289" s="2870"/>
      <c r="BC289" s="2877"/>
      <c r="BD289" s="2875"/>
      <c r="BE289" s="2869"/>
      <c r="BF289" s="2870"/>
      <c r="BG289" s="2870"/>
      <c r="BH289" s="2870"/>
      <c r="BI289" s="2870"/>
      <c r="BJ289" s="2877"/>
      <c r="BK289" s="2875"/>
      <c r="BL289" s="2869"/>
      <c r="BM289" s="2870"/>
      <c r="BN289" s="2870"/>
      <c r="BO289" s="2870"/>
      <c r="BP289" s="2870"/>
      <c r="BQ289" s="2877"/>
      <c r="BR289" s="2875"/>
      <c r="BS289" s="2869"/>
      <c r="BT289" s="2870"/>
      <c r="BU289" s="2870"/>
      <c r="BV289" s="2870"/>
      <c r="BW289" s="2870"/>
      <c r="BX289" s="2877"/>
      <c r="BY289" s="2875"/>
      <c r="BZ289" s="2869"/>
      <c r="CA289" s="2870"/>
      <c r="CB289" s="2870"/>
      <c r="CC289" s="2870"/>
      <c r="CD289" s="2870"/>
      <c r="CE289" s="2877"/>
      <c r="CF289" s="2875"/>
      <c r="CG289" s="2869"/>
      <c r="CH289" s="2870"/>
      <c r="CI289" s="2870"/>
      <c r="CJ289" s="2870"/>
      <c r="CK289" s="2870"/>
      <c r="CL289" s="2877"/>
      <c r="CM289" s="2875"/>
      <c r="CN289" s="2872"/>
      <c r="CO289" s="2870"/>
      <c r="CP289" s="2870"/>
      <c r="CQ289" s="2870"/>
      <c r="CR289" s="2870"/>
      <c r="CS289" s="2877"/>
      <c r="CT289" s="2875"/>
      <c r="CU289" s="2878"/>
      <c r="CV289" s="2870"/>
      <c r="CW289" s="2870"/>
      <c r="CX289" s="2870"/>
      <c r="CY289" s="2870"/>
      <c r="CZ289" s="2879"/>
      <c r="DA289" s="2875"/>
      <c r="DJ289" s="1611" t="e">
        <v>#N/A</v>
      </c>
      <c r="DK289" s="2782" t="e">
        <v>#N/A</v>
      </c>
      <c r="DM289" s="1650">
        <v>0</v>
      </c>
    </row>
    <row r="290" spans="1:117" ht="21" customHeight="1">
      <c r="A290" s="1637" t="s">
        <v>70</v>
      </c>
      <c r="B290" s="1638" t="s">
        <v>1790</v>
      </c>
      <c r="C290" s="1662"/>
      <c r="D290" s="1648"/>
      <c r="E290" s="1648"/>
      <c r="F290" s="1648"/>
      <c r="G290" s="1648"/>
      <c r="H290" s="1648"/>
      <c r="I290" s="1648"/>
      <c r="J290" s="1649"/>
      <c r="K290" s="1648"/>
      <c r="L290" s="1648"/>
      <c r="M290" s="1648"/>
      <c r="N290" s="1642"/>
      <c r="O290" s="2876"/>
      <c r="P290" s="2870"/>
      <c r="Q290" s="2870"/>
      <c r="R290" s="2870"/>
      <c r="S290" s="2870"/>
      <c r="T290" s="2870"/>
      <c r="U290" s="2875"/>
      <c r="V290" s="2869"/>
      <c r="W290" s="2870"/>
      <c r="X290" s="2870"/>
      <c r="Y290" s="2870"/>
      <c r="Z290" s="2870"/>
      <c r="AA290" s="2877">
        <v>0</v>
      </c>
      <c r="AB290" s="2875">
        <v>0</v>
      </c>
      <c r="AC290" s="2869"/>
      <c r="AD290" s="2870"/>
      <c r="AE290" s="2870"/>
      <c r="AF290" s="2870"/>
      <c r="AG290" s="2870"/>
      <c r="AH290" s="2877">
        <v>0</v>
      </c>
      <c r="AI290" s="2875">
        <v>0</v>
      </c>
      <c r="AJ290" s="2869"/>
      <c r="AK290" s="2870"/>
      <c r="AL290" s="2870"/>
      <c r="AM290" s="2870"/>
      <c r="AN290" s="2870"/>
      <c r="AO290" s="2877">
        <v>0</v>
      </c>
      <c r="AP290" s="2875">
        <v>0</v>
      </c>
      <c r="AQ290" s="2869"/>
      <c r="AR290" s="2870"/>
      <c r="AS290" s="2870"/>
      <c r="AT290" s="2870"/>
      <c r="AU290" s="2870"/>
      <c r="AV290" s="2877">
        <v>0</v>
      </c>
      <c r="AW290" s="2875">
        <v>0</v>
      </c>
      <c r="AX290" s="2869"/>
      <c r="AY290" s="2870"/>
      <c r="AZ290" s="2870"/>
      <c r="BA290" s="2870"/>
      <c r="BB290" s="2870"/>
      <c r="BC290" s="2877">
        <v>0</v>
      </c>
      <c r="BD290" s="2875">
        <v>0</v>
      </c>
      <c r="BE290" s="2869"/>
      <c r="BF290" s="2870"/>
      <c r="BG290" s="2870"/>
      <c r="BH290" s="2870"/>
      <c r="BI290" s="2870"/>
      <c r="BJ290" s="2877">
        <v>0</v>
      </c>
      <c r="BK290" s="2875">
        <v>0</v>
      </c>
      <c r="BL290" s="2869"/>
      <c r="BM290" s="2870"/>
      <c r="BN290" s="2870"/>
      <c r="BO290" s="2870"/>
      <c r="BP290" s="2870"/>
      <c r="BQ290" s="2877">
        <v>0</v>
      </c>
      <c r="BR290" s="2875">
        <v>0</v>
      </c>
      <c r="BS290" s="2869"/>
      <c r="BT290" s="2870"/>
      <c r="BU290" s="2870"/>
      <c r="BV290" s="2870"/>
      <c r="BW290" s="2870"/>
      <c r="BX290" s="2877"/>
      <c r="BY290" s="2875"/>
      <c r="BZ290" s="2869"/>
      <c r="CA290" s="2870"/>
      <c r="CB290" s="2870"/>
      <c r="CC290" s="2870"/>
      <c r="CD290" s="2870"/>
      <c r="CE290" s="2877"/>
      <c r="CF290" s="2875"/>
      <c r="CG290" s="2869"/>
      <c r="CH290" s="2870"/>
      <c r="CI290" s="2870"/>
      <c r="CJ290" s="2870"/>
      <c r="CK290" s="2870"/>
      <c r="CL290" s="2877"/>
      <c r="CM290" s="2875"/>
      <c r="CN290" s="2872"/>
      <c r="CO290" s="2870"/>
      <c r="CP290" s="2870"/>
      <c r="CQ290" s="2870"/>
      <c r="CR290" s="2870"/>
      <c r="CS290" s="2877"/>
      <c r="CT290" s="2875"/>
      <c r="CU290" s="2878"/>
      <c r="CV290" s="2870"/>
      <c r="CW290" s="2870"/>
      <c r="CX290" s="2870"/>
      <c r="CY290" s="2870"/>
      <c r="CZ290" s="2879"/>
      <c r="DA290" s="2875"/>
      <c r="DJ290" s="1611" t="s">
        <v>1717</v>
      </c>
      <c r="DK290" s="2782" t="s">
        <v>1667</v>
      </c>
      <c r="DM290" s="1650">
        <v>0</v>
      </c>
    </row>
    <row r="291" spans="1:117" ht="21" customHeight="1">
      <c r="A291" s="1652">
        <v>1</v>
      </c>
      <c r="B291" s="1701" t="s">
        <v>1951</v>
      </c>
      <c r="C291" s="1662">
        <v>50</v>
      </c>
      <c r="D291" s="1646">
        <v>100</v>
      </c>
      <c r="E291" s="1646"/>
      <c r="F291" s="1648"/>
      <c r="G291" s="1648"/>
      <c r="H291" s="1648">
        <v>50</v>
      </c>
      <c r="I291" s="1648" t="s">
        <v>1667</v>
      </c>
      <c r="J291" s="1649">
        <v>2</v>
      </c>
      <c r="K291" s="1648"/>
      <c r="L291" s="1648"/>
      <c r="M291" s="1648"/>
      <c r="N291" s="1642"/>
      <c r="O291" s="2876">
        <v>9.3619800000000009</v>
      </c>
      <c r="P291" s="2870"/>
      <c r="Q291" s="2870">
        <v>47465239</v>
      </c>
      <c r="R291" s="2870"/>
      <c r="S291" s="2870"/>
      <c r="T291" s="2870">
        <v>5.0700000427260044</v>
      </c>
      <c r="U291" s="2875">
        <v>47465239</v>
      </c>
      <c r="V291" s="2869">
        <v>9.7538999999999998</v>
      </c>
      <c r="W291" s="2870"/>
      <c r="X291" s="2870">
        <v>49452273</v>
      </c>
      <c r="Y291" s="2870"/>
      <c r="Z291" s="2870"/>
      <c r="AA291" s="2877">
        <v>5.07</v>
      </c>
      <c r="AB291" s="2875">
        <v>49452273</v>
      </c>
      <c r="AC291" s="2869">
        <v>7.8249899999999997</v>
      </c>
      <c r="AD291" s="2870"/>
      <c r="AE291" s="2870">
        <v>39672699</v>
      </c>
      <c r="AF291" s="2870"/>
      <c r="AG291" s="2870"/>
      <c r="AH291" s="2877">
        <v>5.069999961661293</v>
      </c>
      <c r="AI291" s="2875">
        <v>39672699</v>
      </c>
      <c r="AJ291" s="2869">
        <v>7.2875100000000002</v>
      </c>
      <c r="AK291" s="2870"/>
      <c r="AL291" s="2870">
        <v>36947676</v>
      </c>
      <c r="AM291" s="2870"/>
      <c r="AN291" s="2870"/>
      <c r="AO291" s="2877">
        <v>5.070000041166324</v>
      </c>
      <c r="AP291" s="2875">
        <v>36947676</v>
      </c>
      <c r="AQ291" s="2869">
        <v>6.2235300000000002</v>
      </c>
      <c r="AR291" s="2870"/>
      <c r="AS291" s="2870">
        <v>31553297</v>
      </c>
      <c r="AT291" s="2870"/>
      <c r="AU291" s="2870"/>
      <c r="AV291" s="2877">
        <v>5.0699999839319485</v>
      </c>
      <c r="AW291" s="2875">
        <v>31553297</v>
      </c>
      <c r="AX291" s="2869">
        <v>8.4171300000000002</v>
      </c>
      <c r="AY291" s="2870"/>
      <c r="AZ291" s="2870">
        <v>42674849</v>
      </c>
      <c r="BA291" s="2870"/>
      <c r="BB291" s="2870"/>
      <c r="BC291" s="2877">
        <v>5.0699999881194655</v>
      </c>
      <c r="BD291" s="2875">
        <v>42674849</v>
      </c>
      <c r="BE291" s="2869">
        <v>8.3505900000000004</v>
      </c>
      <c r="BF291" s="2870"/>
      <c r="BG291" s="2870">
        <v>42337491</v>
      </c>
      <c r="BH291" s="2870"/>
      <c r="BI291" s="2870"/>
      <c r="BJ291" s="2877">
        <v>5.0699999640743947</v>
      </c>
      <c r="BK291" s="2875">
        <v>42337491</v>
      </c>
      <c r="BL291" s="2869">
        <v>7.2193800000000001</v>
      </c>
      <c r="BM291" s="2870"/>
      <c r="BN291" s="2870">
        <v>36602257</v>
      </c>
      <c r="BO291" s="2870"/>
      <c r="BP291" s="2870"/>
      <c r="BQ291" s="2877">
        <v>5.0700000554064202</v>
      </c>
      <c r="BR291" s="2875">
        <v>36602257</v>
      </c>
      <c r="BS291" s="2869">
        <v>7.4414100000000003</v>
      </c>
      <c r="BT291" s="2870"/>
      <c r="BU291" s="2870">
        <v>37727949</v>
      </c>
      <c r="BV291" s="2870"/>
      <c r="BW291" s="2870"/>
      <c r="BX291" s="2877">
        <v>5.0700000403149401</v>
      </c>
      <c r="BY291" s="2875">
        <v>37727949</v>
      </c>
      <c r="BZ291" s="2869">
        <v>7.2320399999999996</v>
      </c>
      <c r="CA291" s="2870"/>
      <c r="CB291" s="2870">
        <v>36666443</v>
      </c>
      <c r="CC291" s="2870"/>
      <c r="CD291" s="2870"/>
      <c r="CE291" s="2877">
        <v>5.0700000276547144</v>
      </c>
      <c r="CF291" s="2875">
        <v>36666443</v>
      </c>
      <c r="CG291" s="2869">
        <v>8.4899699999999996</v>
      </c>
      <c r="CH291" s="2870"/>
      <c r="CI291" s="2870">
        <v>43044148</v>
      </c>
      <c r="CJ291" s="2870"/>
      <c r="CK291" s="2870"/>
      <c r="CL291" s="2877">
        <v>5.070000011778605</v>
      </c>
      <c r="CM291" s="2875">
        <v>43044148</v>
      </c>
      <c r="CN291" s="2911">
        <v>9.4887599999999992</v>
      </c>
      <c r="CO291" s="2870"/>
      <c r="CP291" s="2870">
        <v>48108012</v>
      </c>
      <c r="CQ291" s="2870"/>
      <c r="CR291" s="2870"/>
      <c r="CS291" s="2877">
        <v>5.0699998735345817</v>
      </c>
      <c r="CT291" s="2875">
        <v>48108012</v>
      </c>
      <c r="CU291" s="2878">
        <v>97.091189999999997</v>
      </c>
      <c r="CV291" s="2870">
        <v>0</v>
      </c>
      <c r="CW291" s="2870">
        <v>492252333</v>
      </c>
      <c r="CX291" s="2870">
        <v>0</v>
      </c>
      <c r="CY291" s="2870">
        <v>0</v>
      </c>
      <c r="CZ291" s="2879">
        <v>5.0699999969101217</v>
      </c>
      <c r="DA291" s="2875">
        <v>492252333</v>
      </c>
      <c r="DJ291" s="1611" t="e">
        <v>#N/A</v>
      </c>
      <c r="DK291" s="2782" t="e">
        <v>#N/A</v>
      </c>
      <c r="DM291" s="1650">
        <v>5.0699999969101217</v>
      </c>
    </row>
    <row r="292" spans="1:117" ht="21" customHeight="1">
      <c r="A292" s="1652">
        <v>2</v>
      </c>
      <c r="B292" s="1644" t="s">
        <v>1952</v>
      </c>
      <c r="C292" s="1662"/>
      <c r="D292" s="1648"/>
      <c r="E292" s="1648"/>
      <c r="F292" s="1648"/>
      <c r="G292" s="1648"/>
      <c r="H292" s="1648"/>
      <c r="I292" s="1648" t="s">
        <v>1667</v>
      </c>
      <c r="J292" s="1649">
        <v>2</v>
      </c>
      <c r="K292" s="1648"/>
      <c r="L292" s="1648"/>
      <c r="M292" s="1648"/>
      <c r="N292" s="1642"/>
      <c r="O292" s="2876"/>
      <c r="P292" s="2870"/>
      <c r="Q292" s="2870"/>
      <c r="R292" s="2870"/>
      <c r="S292" s="2870"/>
      <c r="T292" s="2870"/>
      <c r="U292" s="2875">
        <v>0</v>
      </c>
      <c r="V292" s="2869"/>
      <c r="W292" s="2870"/>
      <c r="X292" s="2870"/>
      <c r="Y292" s="2870"/>
      <c r="Z292" s="2870"/>
      <c r="AA292" s="2877"/>
      <c r="AB292" s="2875">
        <v>0</v>
      </c>
      <c r="AC292" s="2869"/>
      <c r="AD292" s="2870"/>
      <c r="AE292" s="2870"/>
      <c r="AF292" s="2870"/>
      <c r="AG292" s="2870"/>
      <c r="AH292" s="2877"/>
      <c r="AI292" s="2871"/>
      <c r="AJ292" s="2869"/>
      <c r="AK292" s="2870"/>
      <c r="AL292" s="2870"/>
      <c r="AM292" s="2870"/>
      <c r="AN292" s="2870"/>
      <c r="AO292" s="2877"/>
      <c r="AP292" s="2871"/>
      <c r="AQ292" s="2869"/>
      <c r="AR292" s="2870"/>
      <c r="AS292" s="2870"/>
      <c r="AT292" s="2870"/>
      <c r="AU292" s="2870"/>
      <c r="AV292" s="2877"/>
      <c r="AW292" s="2871"/>
      <c r="AX292" s="2869"/>
      <c r="AY292" s="2870"/>
      <c r="AZ292" s="2870"/>
      <c r="BA292" s="2870"/>
      <c r="BB292" s="2870"/>
      <c r="BC292" s="2877"/>
      <c r="BD292" s="2871"/>
      <c r="BE292" s="2869"/>
      <c r="BF292" s="2870"/>
      <c r="BG292" s="2870"/>
      <c r="BH292" s="2870"/>
      <c r="BI292" s="2870"/>
      <c r="BJ292" s="2877"/>
      <c r="BK292" s="2871"/>
      <c r="BL292" s="2869"/>
      <c r="BM292" s="2870"/>
      <c r="BN292" s="2870"/>
      <c r="BO292" s="2870"/>
      <c r="BP292" s="2870"/>
      <c r="BQ292" s="2877"/>
      <c r="BR292" s="2871"/>
      <c r="BS292" s="2869">
        <v>1.8773280000000001</v>
      </c>
      <c r="BT292" s="2870"/>
      <c r="BU292" s="2870">
        <v>4491508</v>
      </c>
      <c r="BV292" s="2870"/>
      <c r="BW292" s="2870"/>
      <c r="BX292" s="2877">
        <v>2.3925004048306957</v>
      </c>
      <c r="BY292" s="2875">
        <v>4491508</v>
      </c>
      <c r="BZ292" s="2869">
        <v>2.6542560000000002</v>
      </c>
      <c r="CA292" s="2870"/>
      <c r="CB292" s="2870">
        <v>6663132</v>
      </c>
      <c r="CC292" s="2870"/>
      <c r="CD292" s="2870"/>
      <c r="CE292" s="2877">
        <v>2.5103577047579435</v>
      </c>
      <c r="CF292" s="2875">
        <v>6663132</v>
      </c>
      <c r="CG292" s="2869">
        <v>17.030455</v>
      </c>
      <c r="CH292" s="2870"/>
      <c r="CI292" s="2870">
        <v>50921197</v>
      </c>
      <c r="CJ292" s="2870"/>
      <c r="CK292" s="2870"/>
      <c r="CL292" s="2877">
        <v>2.9900080179889499</v>
      </c>
      <c r="CM292" s="2875">
        <v>50921197</v>
      </c>
      <c r="CN292" s="2911">
        <v>21.766525999999999</v>
      </c>
      <c r="CO292" s="2870"/>
      <c r="CP292" s="2870">
        <v>69356363</v>
      </c>
      <c r="CQ292" s="2870"/>
      <c r="CR292" s="2870"/>
      <c r="CS292" s="2877">
        <v>3.1863772381499924</v>
      </c>
      <c r="CT292" s="2875">
        <v>69356363</v>
      </c>
      <c r="CU292" s="2878">
        <v>43.328564999999998</v>
      </c>
      <c r="CV292" s="2870">
        <v>0</v>
      </c>
      <c r="CW292" s="2870">
        <v>131432200</v>
      </c>
      <c r="CX292" s="2870">
        <v>0</v>
      </c>
      <c r="CY292" s="2870">
        <v>0</v>
      </c>
      <c r="CZ292" s="2879">
        <v>3.0333845582008081</v>
      </c>
      <c r="DA292" s="2875">
        <v>131432200</v>
      </c>
      <c r="DJ292" s="1611" t="e">
        <v>#N/A</v>
      </c>
      <c r="DK292" s="2782" t="e">
        <v>#N/A</v>
      </c>
      <c r="DM292" s="1650">
        <v>3.0333845582008081</v>
      </c>
    </row>
    <row r="293" spans="1:117" ht="21" customHeight="1">
      <c r="A293" s="1652">
        <v>3</v>
      </c>
      <c r="B293" s="1701" t="s">
        <v>1953</v>
      </c>
      <c r="C293" s="1662"/>
      <c r="D293" s="1648"/>
      <c r="E293" s="1648"/>
      <c r="F293" s="1648"/>
      <c r="G293" s="1648"/>
      <c r="H293" s="1648"/>
      <c r="I293" s="1648" t="s">
        <v>1667</v>
      </c>
      <c r="J293" s="1649">
        <v>2</v>
      </c>
      <c r="K293" s="1648"/>
      <c r="L293" s="1648"/>
      <c r="M293" s="1648"/>
      <c r="N293" s="1642"/>
      <c r="O293" s="2876"/>
      <c r="P293" s="2870"/>
      <c r="Q293" s="2870"/>
      <c r="R293" s="2870"/>
      <c r="S293" s="2870"/>
      <c r="T293" s="2870"/>
      <c r="U293" s="2875">
        <v>0</v>
      </c>
      <c r="V293" s="2869"/>
      <c r="W293" s="2870"/>
      <c r="X293" s="2870"/>
      <c r="Y293" s="2870"/>
      <c r="Z293" s="2870"/>
      <c r="AA293" s="2877"/>
      <c r="AB293" s="2875">
        <v>0</v>
      </c>
      <c r="AC293" s="2869"/>
      <c r="AD293" s="2870"/>
      <c r="AE293" s="2870"/>
      <c r="AF293" s="2870"/>
      <c r="AG293" s="2870"/>
      <c r="AH293" s="2877"/>
      <c r="AI293" s="2875">
        <v>0</v>
      </c>
      <c r="AJ293" s="2869"/>
      <c r="AK293" s="2870"/>
      <c r="AL293" s="2870"/>
      <c r="AM293" s="2870"/>
      <c r="AN293" s="2870"/>
      <c r="AO293" s="2877"/>
      <c r="AP293" s="2875">
        <v>0</v>
      </c>
      <c r="AQ293" s="2869"/>
      <c r="AR293" s="2870"/>
      <c r="AS293" s="2870"/>
      <c r="AT293" s="2870"/>
      <c r="AU293" s="2870"/>
      <c r="AV293" s="2877"/>
      <c r="AW293" s="2875">
        <v>0</v>
      </c>
      <c r="AX293" s="2869"/>
      <c r="AY293" s="2870"/>
      <c r="AZ293" s="2870"/>
      <c r="BA293" s="2870"/>
      <c r="BB293" s="2870"/>
      <c r="BC293" s="2877"/>
      <c r="BD293" s="2875">
        <v>0</v>
      </c>
      <c r="BE293" s="2869"/>
      <c r="BF293" s="2870"/>
      <c r="BG293" s="2870"/>
      <c r="BH293" s="2870"/>
      <c r="BI293" s="2870"/>
      <c r="BJ293" s="2877"/>
      <c r="BK293" s="2875">
        <v>0</v>
      </c>
      <c r="BL293" s="2869">
        <v>1.5485279999999999</v>
      </c>
      <c r="BM293" s="2870"/>
      <c r="BN293" s="2870">
        <v>3704853</v>
      </c>
      <c r="BO293" s="2870"/>
      <c r="BP293" s="2870"/>
      <c r="BQ293" s="2877">
        <v>2.3924998450141035</v>
      </c>
      <c r="BR293" s="2875">
        <v>3704853</v>
      </c>
      <c r="BS293" s="2869">
        <v>1.359237</v>
      </c>
      <c r="BT293" s="2870"/>
      <c r="BU293" s="2870">
        <v>3282557</v>
      </c>
      <c r="BV293" s="2870"/>
      <c r="BW293" s="2870"/>
      <c r="BX293" s="2877">
        <v>2.4149997388240609</v>
      </c>
      <c r="BY293" s="2875">
        <v>3282557</v>
      </c>
      <c r="BZ293" s="2869">
        <v>2.3308800000000001</v>
      </c>
      <c r="CA293" s="2870"/>
      <c r="CB293" s="2870">
        <v>2348452</v>
      </c>
      <c r="CC293" s="2870"/>
      <c r="CD293" s="2870"/>
      <c r="CE293" s="2877">
        <v>1.0075387836353651</v>
      </c>
      <c r="CF293" s="2875">
        <v>2348452</v>
      </c>
      <c r="CG293" s="2869"/>
      <c r="CH293" s="2870"/>
      <c r="CI293" s="2870"/>
      <c r="CJ293" s="2870"/>
      <c r="CK293" s="2870"/>
      <c r="CL293" s="2877">
        <v>0</v>
      </c>
      <c r="CM293" s="2875">
        <v>0</v>
      </c>
      <c r="CN293" s="2911">
        <v>2.5153226699999998</v>
      </c>
      <c r="CO293" s="2870"/>
      <c r="CP293" s="2870">
        <v>8517649</v>
      </c>
      <c r="CQ293" s="2870"/>
      <c r="CR293" s="2870"/>
      <c r="CS293" s="2877">
        <v>3.3863047081748761</v>
      </c>
      <c r="CT293" s="2875">
        <v>8517649</v>
      </c>
      <c r="CU293" s="2878">
        <v>7.7539676699999998</v>
      </c>
      <c r="CV293" s="2870">
        <v>0</v>
      </c>
      <c r="CW293" s="2870">
        <v>17853511</v>
      </c>
      <c r="CX293" s="2870">
        <v>0</v>
      </c>
      <c r="CY293" s="2870">
        <v>0</v>
      </c>
      <c r="CZ293" s="2879">
        <v>2.3025000567225735</v>
      </c>
      <c r="DA293" s="2875">
        <v>17853511</v>
      </c>
      <c r="DJ293" s="1611" t="e">
        <v>#N/A</v>
      </c>
      <c r="DK293" s="2782" t="e">
        <v>#N/A</v>
      </c>
      <c r="DM293" s="1650">
        <v>2.3025000567225735</v>
      </c>
    </row>
    <row r="294" spans="1:117" ht="21" customHeight="1">
      <c r="A294" s="1652">
        <v>4</v>
      </c>
      <c r="B294" s="1668" t="s">
        <v>1954</v>
      </c>
      <c r="C294" s="1662">
        <v>5</v>
      </c>
      <c r="D294" s="1646">
        <v>100</v>
      </c>
      <c r="E294" s="1646"/>
      <c r="F294" s="1648" t="s">
        <v>1594</v>
      </c>
      <c r="G294" s="1648"/>
      <c r="H294" s="1648">
        <v>5</v>
      </c>
      <c r="I294" s="1648" t="s">
        <v>1667</v>
      </c>
      <c r="J294" s="1649">
        <v>2</v>
      </c>
      <c r="K294" s="1648"/>
      <c r="L294" s="1648"/>
      <c r="M294" s="1648"/>
      <c r="N294" s="1642"/>
      <c r="O294" s="2876">
        <v>0.71460000000000001</v>
      </c>
      <c r="P294" s="2870"/>
      <c r="Q294" s="2870">
        <v>5016492</v>
      </c>
      <c r="R294" s="2870"/>
      <c r="S294" s="2870"/>
      <c r="T294" s="2870">
        <v>7.02</v>
      </c>
      <c r="U294" s="2875">
        <v>5016492</v>
      </c>
      <c r="V294" s="2869">
        <v>0.75209999999999999</v>
      </c>
      <c r="W294" s="2870"/>
      <c r="X294" s="2870">
        <v>5279742</v>
      </c>
      <c r="Y294" s="2870"/>
      <c r="Z294" s="2870"/>
      <c r="AA294" s="2877">
        <v>7.02</v>
      </c>
      <c r="AB294" s="2875">
        <v>5279742</v>
      </c>
      <c r="AC294" s="2869">
        <v>0.5958</v>
      </c>
      <c r="AD294" s="2870"/>
      <c r="AE294" s="2870">
        <v>4182516</v>
      </c>
      <c r="AF294" s="2870"/>
      <c r="AG294" s="2870"/>
      <c r="AH294" s="2877">
        <v>7.02</v>
      </c>
      <c r="AI294" s="2875">
        <v>4182516</v>
      </c>
      <c r="AJ294" s="2869">
        <v>0.67259999999999998</v>
      </c>
      <c r="AK294" s="2870"/>
      <c r="AL294" s="2870">
        <v>4721652</v>
      </c>
      <c r="AM294" s="2870"/>
      <c r="AN294" s="2870"/>
      <c r="AO294" s="2877">
        <v>7.02</v>
      </c>
      <c r="AP294" s="2875">
        <v>4721652</v>
      </c>
      <c r="AQ294" s="2869">
        <v>0.59309999999999996</v>
      </c>
      <c r="AR294" s="2870"/>
      <c r="AS294" s="2870">
        <v>4163562</v>
      </c>
      <c r="AT294" s="2870"/>
      <c r="AU294" s="2870"/>
      <c r="AV294" s="2877">
        <v>7.02</v>
      </c>
      <c r="AW294" s="2875">
        <v>4163562</v>
      </c>
      <c r="AX294" s="2869">
        <v>0.68340000000000001</v>
      </c>
      <c r="AY294" s="2870"/>
      <c r="AZ294" s="2870">
        <v>4797468</v>
      </c>
      <c r="BA294" s="2870"/>
      <c r="BB294" s="2870"/>
      <c r="BC294" s="2877">
        <v>7.02</v>
      </c>
      <c r="BD294" s="2875">
        <v>4797468</v>
      </c>
      <c r="BE294" s="2869">
        <v>0.75180000000000002</v>
      </c>
      <c r="BF294" s="2870"/>
      <c r="BG294" s="2870">
        <v>5277636</v>
      </c>
      <c r="BH294" s="2870"/>
      <c r="BI294" s="2870"/>
      <c r="BJ294" s="2877">
        <v>7.02</v>
      </c>
      <c r="BK294" s="2875">
        <v>5277636</v>
      </c>
      <c r="BL294" s="2869">
        <v>0.63449999999999995</v>
      </c>
      <c r="BM294" s="2870"/>
      <c r="BN294" s="2870">
        <v>4454190</v>
      </c>
      <c r="BO294" s="2870"/>
      <c r="BP294" s="2870"/>
      <c r="BQ294" s="2877">
        <v>7.02</v>
      </c>
      <c r="BR294" s="2875">
        <v>4454190</v>
      </c>
      <c r="BS294" s="2869">
        <v>0.66090000000000004</v>
      </c>
      <c r="BT294" s="2870"/>
      <c r="BU294" s="2870">
        <v>4639518</v>
      </c>
      <c r="BV294" s="2870"/>
      <c r="BW294" s="2870"/>
      <c r="BX294" s="2877">
        <v>7.02</v>
      </c>
      <c r="BY294" s="2875">
        <v>4639518</v>
      </c>
      <c r="BZ294" s="2869">
        <v>0.61650000000000005</v>
      </c>
      <c r="CA294" s="2870"/>
      <c r="CB294" s="2870">
        <v>4327830</v>
      </c>
      <c r="CC294" s="2870"/>
      <c r="CD294" s="2870"/>
      <c r="CE294" s="2877">
        <v>7.02</v>
      </c>
      <c r="CF294" s="2875">
        <v>4327830</v>
      </c>
      <c r="CG294" s="2869">
        <v>0.77129999999999999</v>
      </c>
      <c r="CH294" s="2870"/>
      <c r="CI294" s="2870">
        <v>5414526</v>
      </c>
      <c r="CJ294" s="2870"/>
      <c r="CK294" s="2870"/>
      <c r="CL294" s="2877">
        <v>7.02</v>
      </c>
      <c r="CM294" s="2875">
        <v>5414526</v>
      </c>
      <c r="CN294" s="2911">
        <v>0.82979999999999998</v>
      </c>
      <c r="CO294" s="2870"/>
      <c r="CP294" s="2870">
        <v>5825196</v>
      </c>
      <c r="CQ294" s="2870"/>
      <c r="CR294" s="2870"/>
      <c r="CS294" s="2877">
        <v>7.02</v>
      </c>
      <c r="CT294" s="2875">
        <v>5825196</v>
      </c>
      <c r="CU294" s="2878">
        <v>8.2764000000000006</v>
      </c>
      <c r="CV294" s="2870">
        <v>0</v>
      </c>
      <c r="CW294" s="2870">
        <v>58100328</v>
      </c>
      <c r="CX294" s="2870">
        <v>0</v>
      </c>
      <c r="CY294" s="2870">
        <v>0</v>
      </c>
      <c r="CZ294" s="2879">
        <v>7.02</v>
      </c>
      <c r="DA294" s="2875">
        <v>58100328</v>
      </c>
      <c r="DJ294" s="1611" t="e">
        <v>#N/A</v>
      </c>
      <c r="DK294" s="2782" t="e">
        <v>#N/A</v>
      </c>
      <c r="DM294" s="1650">
        <v>7.02</v>
      </c>
    </row>
    <row r="295" spans="1:117" ht="21" customHeight="1">
      <c r="A295" s="1652">
        <v>5</v>
      </c>
      <c r="B295" s="1668" t="s">
        <v>1955</v>
      </c>
      <c r="C295" s="1662">
        <v>5</v>
      </c>
      <c r="D295" s="1646">
        <v>100</v>
      </c>
      <c r="E295" s="1646"/>
      <c r="F295" s="1648" t="s">
        <v>1594</v>
      </c>
      <c r="G295" s="1648"/>
      <c r="H295" s="1648">
        <v>5</v>
      </c>
      <c r="I295" s="1648" t="s">
        <v>1667</v>
      </c>
      <c r="J295" s="1649">
        <v>2</v>
      </c>
      <c r="K295" s="1648"/>
      <c r="L295" s="1648"/>
      <c r="M295" s="1648"/>
      <c r="N295" s="1642"/>
      <c r="O295" s="2876">
        <v>0.700569</v>
      </c>
      <c r="P295" s="2870"/>
      <c r="Q295" s="2870">
        <v>4917994</v>
      </c>
      <c r="R295" s="2870"/>
      <c r="S295" s="2870"/>
      <c r="T295" s="2870">
        <v>7.0199994575837641</v>
      </c>
      <c r="U295" s="2875">
        <v>4917994</v>
      </c>
      <c r="V295" s="2869">
        <v>0.71650499999999995</v>
      </c>
      <c r="W295" s="2870"/>
      <c r="X295" s="2870">
        <v>5029865</v>
      </c>
      <c r="Y295" s="2870"/>
      <c r="Z295" s="2870"/>
      <c r="AA295" s="2877">
        <v>7.0199998604336331</v>
      </c>
      <c r="AB295" s="2875">
        <v>5029865</v>
      </c>
      <c r="AC295" s="2869">
        <v>0.50739599999999996</v>
      </c>
      <c r="AD295" s="2870"/>
      <c r="AE295" s="2870">
        <v>3561920</v>
      </c>
      <c r="AF295" s="2870"/>
      <c r="AG295" s="2870"/>
      <c r="AH295" s="2877">
        <v>7.0200001576677789</v>
      </c>
      <c r="AI295" s="2875">
        <v>3561920</v>
      </c>
      <c r="AJ295" s="2869">
        <v>0.48282900000000001</v>
      </c>
      <c r="AK295" s="2870"/>
      <c r="AL295" s="2870">
        <v>3389460</v>
      </c>
      <c r="AM295" s="2870"/>
      <c r="AN295" s="2870"/>
      <c r="AO295" s="2877">
        <v>7.0200008698731846</v>
      </c>
      <c r="AP295" s="2875">
        <v>3389460</v>
      </c>
      <c r="AQ295" s="2869">
        <v>0.44988</v>
      </c>
      <c r="AR295" s="2870"/>
      <c r="AS295" s="2870">
        <v>3158158</v>
      </c>
      <c r="AT295" s="2870"/>
      <c r="AU295" s="2870"/>
      <c r="AV295" s="2877">
        <v>7.0200008891259893</v>
      </c>
      <c r="AW295" s="2875">
        <v>3158158</v>
      </c>
      <c r="AX295" s="2869">
        <v>0.55253099999999999</v>
      </c>
      <c r="AY295" s="2870"/>
      <c r="AZ295" s="2870">
        <v>3878768</v>
      </c>
      <c r="BA295" s="2870"/>
      <c r="BB295" s="2870"/>
      <c r="BC295" s="2877">
        <v>7.0200006877442167</v>
      </c>
      <c r="BD295" s="2875">
        <v>3878768</v>
      </c>
      <c r="BE295" s="2869">
        <v>0.58304699999999998</v>
      </c>
      <c r="BF295" s="2870"/>
      <c r="BG295" s="2870">
        <v>4092990</v>
      </c>
      <c r="BH295" s="2870"/>
      <c r="BI295" s="2870"/>
      <c r="BJ295" s="2877">
        <v>7.0200001029076562</v>
      </c>
      <c r="BK295" s="2875">
        <v>4092990</v>
      </c>
      <c r="BL295" s="2869">
        <v>0.50148599999999999</v>
      </c>
      <c r="BM295" s="2870"/>
      <c r="BN295" s="2870">
        <v>3520432</v>
      </c>
      <c r="BO295" s="2870"/>
      <c r="BP295" s="2870"/>
      <c r="BQ295" s="2877">
        <v>7.0200005583406115</v>
      </c>
      <c r="BR295" s="2875">
        <v>3520432</v>
      </c>
      <c r="BS295" s="2869">
        <v>0.53057100000000001</v>
      </c>
      <c r="BT295" s="2870"/>
      <c r="BU295" s="2870">
        <v>3724608</v>
      </c>
      <c r="BV295" s="2870"/>
      <c r="BW295" s="2870"/>
      <c r="BX295" s="2877">
        <v>7.0199992084000069</v>
      </c>
      <c r="BY295" s="2875">
        <v>3724608</v>
      </c>
      <c r="BZ295" s="2869">
        <v>0.48749999999999999</v>
      </c>
      <c r="CA295" s="2870"/>
      <c r="CB295" s="2870">
        <v>3422250</v>
      </c>
      <c r="CC295" s="2870"/>
      <c r="CD295" s="2870"/>
      <c r="CE295" s="2877">
        <v>7.02</v>
      </c>
      <c r="CF295" s="2875">
        <v>3422250</v>
      </c>
      <c r="CG295" s="2869">
        <v>0.63857399999999997</v>
      </c>
      <c r="CH295" s="2870"/>
      <c r="CI295" s="2870">
        <v>4482789</v>
      </c>
      <c r="CJ295" s="2870"/>
      <c r="CK295" s="2870"/>
      <c r="CL295" s="2877">
        <v>7.019999248325175</v>
      </c>
      <c r="CM295" s="2875">
        <v>4482789</v>
      </c>
      <c r="CN295" s="2911">
        <v>0.73771500000000001</v>
      </c>
      <c r="CO295" s="2870"/>
      <c r="CP295" s="2870">
        <v>5178759</v>
      </c>
      <c r="CQ295" s="2870"/>
      <c r="CR295" s="2870"/>
      <c r="CS295" s="2877">
        <v>7.0199995933388912</v>
      </c>
      <c r="CT295" s="2875">
        <v>5178759</v>
      </c>
      <c r="CU295" s="2878">
        <v>6.8886029999999998</v>
      </c>
      <c r="CV295" s="2870">
        <v>0</v>
      </c>
      <c r="CW295" s="2870">
        <v>48357993</v>
      </c>
      <c r="CX295" s="2870">
        <v>0</v>
      </c>
      <c r="CY295" s="2870">
        <v>0</v>
      </c>
      <c r="CZ295" s="2879">
        <v>7.0199999912899615</v>
      </c>
      <c r="DA295" s="2875">
        <v>48357993</v>
      </c>
      <c r="DJ295" s="1611" t="e">
        <v>#N/A</v>
      </c>
      <c r="DK295" s="2782" t="e">
        <v>#N/A</v>
      </c>
      <c r="DM295" s="1650">
        <v>7.0199999912899615</v>
      </c>
    </row>
    <row r="296" spans="1:117" ht="21" customHeight="1">
      <c r="A296" s="1652">
        <v>6</v>
      </c>
      <c r="B296" s="1644" t="s">
        <v>1956</v>
      </c>
      <c r="C296" s="1662"/>
      <c r="D296" s="1648"/>
      <c r="E296" s="1648"/>
      <c r="F296" s="1648"/>
      <c r="G296" s="1648"/>
      <c r="H296" s="1648"/>
      <c r="I296" s="1648" t="s">
        <v>1667</v>
      </c>
      <c r="J296" s="1649">
        <v>2</v>
      </c>
      <c r="K296" s="1648"/>
      <c r="L296" s="1648"/>
      <c r="M296" s="1648"/>
      <c r="N296" s="1642"/>
      <c r="O296" s="2876"/>
      <c r="P296" s="2870"/>
      <c r="Q296" s="2870"/>
      <c r="R296" s="2870"/>
      <c r="S296" s="2870"/>
      <c r="T296" s="2870"/>
      <c r="U296" s="2875">
        <v>0</v>
      </c>
      <c r="V296" s="2869"/>
      <c r="W296" s="2870"/>
      <c r="X296" s="2870"/>
      <c r="Y296" s="2870"/>
      <c r="Z296" s="2870"/>
      <c r="AA296" s="2877"/>
      <c r="AB296" s="2875"/>
      <c r="AC296" s="2869"/>
      <c r="AD296" s="2870"/>
      <c r="AE296" s="2870"/>
      <c r="AF296" s="2870"/>
      <c r="AG296" s="2870"/>
      <c r="AH296" s="2877"/>
      <c r="AI296" s="2875"/>
      <c r="AJ296" s="2869"/>
      <c r="AK296" s="2870"/>
      <c r="AL296" s="2870"/>
      <c r="AM296" s="2870"/>
      <c r="AN296" s="2870"/>
      <c r="AO296" s="2877"/>
      <c r="AP296" s="2875"/>
      <c r="AQ296" s="2869"/>
      <c r="AR296" s="2870"/>
      <c r="AS296" s="2870"/>
      <c r="AT296" s="2870"/>
      <c r="AU296" s="2870"/>
      <c r="AV296" s="2877"/>
      <c r="AW296" s="2875"/>
      <c r="AX296" s="2869"/>
      <c r="AY296" s="2870"/>
      <c r="AZ296" s="2870"/>
      <c r="BA296" s="2870"/>
      <c r="BB296" s="2870"/>
      <c r="BC296" s="2877"/>
      <c r="BD296" s="2875"/>
      <c r="BE296" s="2869"/>
      <c r="BF296" s="2870"/>
      <c r="BG296" s="2870"/>
      <c r="BH296" s="2870"/>
      <c r="BI296" s="2870"/>
      <c r="BJ296" s="2877"/>
      <c r="BK296" s="2875"/>
      <c r="BL296" s="2869"/>
      <c r="BM296" s="2870"/>
      <c r="BN296" s="2870"/>
      <c r="BO296" s="2870"/>
      <c r="BP296" s="2870"/>
      <c r="BQ296" s="2877"/>
      <c r="BR296" s="2875"/>
      <c r="BS296" s="2869"/>
      <c r="BT296" s="2870"/>
      <c r="BU296" s="2870"/>
      <c r="BV296" s="2870"/>
      <c r="BW296" s="2870"/>
      <c r="BX296" s="2877"/>
      <c r="BY296" s="2875">
        <v>0</v>
      </c>
      <c r="BZ296" s="2869"/>
      <c r="CA296" s="2870"/>
      <c r="CB296" s="2870"/>
      <c r="CC296" s="2870"/>
      <c r="CD296" s="2870"/>
      <c r="CE296" s="2877"/>
      <c r="CF296" s="2875">
        <v>0</v>
      </c>
      <c r="CG296" s="2869">
        <v>0.67703999999999998</v>
      </c>
      <c r="CH296" s="2870"/>
      <c r="CI296" s="2870">
        <v>1638436.8</v>
      </c>
      <c r="CJ296" s="2870"/>
      <c r="CK296" s="2870"/>
      <c r="CL296" s="2877">
        <v>2.42</v>
      </c>
      <c r="CM296" s="2875">
        <v>1638436.8</v>
      </c>
      <c r="CN296" s="2902">
        <v>3.6856800000000005</v>
      </c>
      <c r="CO296" s="2870"/>
      <c r="CP296" s="2870">
        <v>8919346.1999999993</v>
      </c>
      <c r="CQ296" s="2870"/>
      <c r="CR296" s="2870"/>
      <c r="CS296" s="2877">
        <v>2.4200001627922116</v>
      </c>
      <c r="CT296" s="2875">
        <v>8919346.1999999993</v>
      </c>
      <c r="CU296" s="2878">
        <v>4.3627200000000004</v>
      </c>
      <c r="CV296" s="2870">
        <v>0</v>
      </c>
      <c r="CW296" s="2870">
        <v>10557783</v>
      </c>
      <c r="CX296" s="2870">
        <v>0</v>
      </c>
      <c r="CY296" s="2870">
        <v>0</v>
      </c>
      <c r="CZ296" s="2879">
        <v>2.4200001375288811</v>
      </c>
      <c r="DA296" s="2875">
        <v>10557783</v>
      </c>
      <c r="DJ296" s="1611" t="e">
        <v>#N/A</v>
      </c>
      <c r="DK296" s="2782" t="e">
        <v>#N/A</v>
      </c>
      <c r="DM296" s="1650">
        <v>2.4200001375288811</v>
      </c>
    </row>
    <row r="297" spans="1:117" ht="21" customHeight="1">
      <c r="A297" s="1652">
        <v>7</v>
      </c>
      <c r="B297" s="1668" t="s">
        <v>1957</v>
      </c>
      <c r="C297" s="1662">
        <v>10</v>
      </c>
      <c r="D297" s="1646">
        <v>100</v>
      </c>
      <c r="E297" s="1646"/>
      <c r="F297" s="1648" t="s">
        <v>1594</v>
      </c>
      <c r="G297" s="1648"/>
      <c r="H297" s="1648">
        <v>10</v>
      </c>
      <c r="I297" s="1648" t="s">
        <v>1667</v>
      </c>
      <c r="J297" s="1649">
        <v>2</v>
      </c>
      <c r="K297" s="1648"/>
      <c r="L297" s="1648"/>
      <c r="M297" s="1648"/>
      <c r="N297" s="1642"/>
      <c r="O297" s="2876">
        <v>1.7369399999999999</v>
      </c>
      <c r="P297" s="2870"/>
      <c r="Q297" s="2870">
        <v>15615091</v>
      </c>
      <c r="R297" s="2870"/>
      <c r="S297" s="2870"/>
      <c r="T297" s="2870">
        <v>8.9900002302900504</v>
      </c>
      <c r="U297" s="2875">
        <v>15615091</v>
      </c>
      <c r="V297" s="2869">
        <v>1.7696400000000001</v>
      </c>
      <c r="W297" s="2870"/>
      <c r="X297" s="2870">
        <v>15909064</v>
      </c>
      <c r="Y297" s="2870"/>
      <c r="Z297" s="2870"/>
      <c r="AA297" s="2877">
        <v>8.9900002260346739</v>
      </c>
      <c r="AB297" s="2875">
        <v>15909064</v>
      </c>
      <c r="AC297" s="2869">
        <v>1.24884</v>
      </c>
      <c r="AD297" s="2870"/>
      <c r="AE297" s="2870">
        <v>11227072</v>
      </c>
      <c r="AF297" s="2870"/>
      <c r="AG297" s="2870"/>
      <c r="AH297" s="2877">
        <v>8.9900003202972361</v>
      </c>
      <c r="AI297" s="2875">
        <v>11227072</v>
      </c>
      <c r="AJ297" s="2869">
        <v>1.3003800000000001</v>
      </c>
      <c r="AK297" s="2870"/>
      <c r="AL297" s="2870">
        <v>11690416</v>
      </c>
      <c r="AM297" s="2870"/>
      <c r="AN297" s="2870"/>
      <c r="AO297" s="2877">
        <v>8.9899998461988027</v>
      </c>
      <c r="AP297" s="2875">
        <v>11690416</v>
      </c>
      <c r="AQ297" s="2869">
        <v>1.19418</v>
      </c>
      <c r="AR297" s="2870"/>
      <c r="AS297" s="2870">
        <v>10735678</v>
      </c>
      <c r="AT297" s="2870"/>
      <c r="AU297" s="2870"/>
      <c r="AV297" s="2877">
        <v>8.9899998325210611</v>
      </c>
      <c r="AW297" s="2875">
        <v>10735678</v>
      </c>
      <c r="AX297" s="2869">
        <v>1.37544</v>
      </c>
      <c r="AY297" s="2870"/>
      <c r="AZ297" s="2870">
        <v>12365206</v>
      </c>
      <c r="BA297" s="2870"/>
      <c r="BB297" s="2870"/>
      <c r="BC297" s="2877">
        <v>8.9900002908160292</v>
      </c>
      <c r="BD297" s="2875">
        <v>12365206</v>
      </c>
      <c r="BE297" s="2869">
        <v>1.5339</v>
      </c>
      <c r="BF297" s="2870"/>
      <c r="BG297" s="2870">
        <v>13789761</v>
      </c>
      <c r="BH297" s="2870"/>
      <c r="BI297" s="2870"/>
      <c r="BJ297" s="2877">
        <v>8.99</v>
      </c>
      <c r="BK297" s="2875">
        <v>13789761</v>
      </c>
      <c r="BL297" s="2869">
        <v>1.3217399999999999</v>
      </c>
      <c r="BM297" s="2870"/>
      <c r="BN297" s="2870">
        <v>11882443</v>
      </c>
      <c r="BO297" s="2870"/>
      <c r="BP297" s="2870"/>
      <c r="BQ297" s="2877">
        <v>8.9900003026313797</v>
      </c>
      <c r="BR297" s="2875">
        <v>11882443</v>
      </c>
      <c r="BS297" s="2869">
        <v>1.3555200000000001</v>
      </c>
      <c r="BT297" s="2870"/>
      <c r="BU297" s="2870">
        <v>12186125</v>
      </c>
      <c r="BV297" s="2870"/>
      <c r="BW297" s="2870"/>
      <c r="BX297" s="2877">
        <v>8.990000147544853</v>
      </c>
      <c r="BY297" s="2875">
        <v>12186125</v>
      </c>
      <c r="BZ297" s="2869">
        <v>1.2946800000000001</v>
      </c>
      <c r="CA297" s="2870"/>
      <c r="CB297" s="2870">
        <v>11639173</v>
      </c>
      <c r="CC297" s="2870"/>
      <c r="CD297" s="2870"/>
      <c r="CE297" s="2877">
        <v>8.9899998455216732</v>
      </c>
      <c r="CF297" s="2875">
        <v>11639173</v>
      </c>
      <c r="CG297" s="2869">
        <v>1.6316999999999999</v>
      </c>
      <c r="CH297" s="2870"/>
      <c r="CI297" s="2870">
        <v>14668983</v>
      </c>
      <c r="CJ297" s="2870"/>
      <c r="CK297" s="2870"/>
      <c r="CL297" s="2877">
        <v>8.99</v>
      </c>
      <c r="CM297" s="2875">
        <v>14668983</v>
      </c>
      <c r="CN297" s="2911">
        <v>1.8680399999999999</v>
      </c>
      <c r="CO297" s="2870"/>
      <c r="CP297" s="2870">
        <v>16793680</v>
      </c>
      <c r="CQ297" s="2870"/>
      <c r="CR297" s="2870"/>
      <c r="CS297" s="2877">
        <v>8.9900002141281767</v>
      </c>
      <c r="CT297" s="2875">
        <v>16793680</v>
      </c>
      <c r="CU297" s="2878">
        <v>17.631</v>
      </c>
      <c r="CV297" s="2870">
        <v>0</v>
      </c>
      <c r="CW297" s="2870">
        <v>158502692</v>
      </c>
      <c r="CX297" s="2870">
        <v>0</v>
      </c>
      <c r="CY297" s="2870">
        <v>0</v>
      </c>
      <c r="CZ297" s="2879">
        <v>8.9900001134365599</v>
      </c>
      <c r="DA297" s="2875">
        <v>158502692</v>
      </c>
      <c r="DJ297" s="1611" t="e">
        <v>#N/A</v>
      </c>
      <c r="DK297" s="2782" t="e">
        <v>#N/A</v>
      </c>
      <c r="DM297" s="1650">
        <v>8.9900001134365599</v>
      </c>
    </row>
    <row r="298" spans="1:117" ht="21" customHeight="1">
      <c r="A298" s="1652">
        <v>8</v>
      </c>
      <c r="B298" s="1668" t="s">
        <v>1958</v>
      </c>
      <c r="C298" s="1662">
        <v>1</v>
      </c>
      <c r="D298" s="1646">
        <v>100</v>
      </c>
      <c r="E298" s="1646"/>
      <c r="F298" s="1648" t="s">
        <v>1594</v>
      </c>
      <c r="G298" s="1648"/>
      <c r="H298" s="1648">
        <v>1</v>
      </c>
      <c r="I298" s="1648" t="s">
        <v>1667</v>
      </c>
      <c r="J298" s="1649">
        <v>2</v>
      </c>
      <c r="K298" s="1648"/>
      <c r="L298" s="1648"/>
      <c r="M298" s="1648"/>
      <c r="N298" s="1642"/>
      <c r="O298" s="2876">
        <v>0.24984000000000001</v>
      </c>
      <c r="P298" s="2870"/>
      <c r="Q298" s="2870">
        <v>3735108</v>
      </c>
      <c r="R298" s="2870"/>
      <c r="S298" s="2870"/>
      <c r="T298" s="2870">
        <v>14.95</v>
      </c>
      <c r="U298" s="2875">
        <v>3735108</v>
      </c>
      <c r="V298" s="2869">
        <v>0.26416800000000001</v>
      </c>
      <c r="W298" s="2870"/>
      <c r="X298" s="2870">
        <v>3949311</v>
      </c>
      <c r="Y298" s="2870"/>
      <c r="Z298" s="2870"/>
      <c r="AA298" s="2877">
        <v>14.949997728718088</v>
      </c>
      <c r="AB298" s="2875">
        <v>3949311</v>
      </c>
      <c r="AC298" s="2869">
        <v>0.20227200000000001</v>
      </c>
      <c r="AD298" s="2870"/>
      <c r="AE298" s="2870">
        <v>3023966</v>
      </c>
      <c r="AF298" s="2870"/>
      <c r="AG298" s="2870"/>
      <c r="AH298" s="2877">
        <v>14.949998022464801</v>
      </c>
      <c r="AI298" s="2875">
        <v>3023966</v>
      </c>
      <c r="AJ298" s="2869">
        <v>0.188448</v>
      </c>
      <c r="AK298" s="2870"/>
      <c r="AL298" s="2870">
        <v>2817297</v>
      </c>
      <c r="AM298" s="2870"/>
      <c r="AN298" s="2870"/>
      <c r="AO298" s="2877">
        <v>14.94999681609781</v>
      </c>
      <c r="AP298" s="2875">
        <v>2817297</v>
      </c>
      <c r="AQ298" s="2869">
        <v>0.17291999999999999</v>
      </c>
      <c r="AR298" s="2870"/>
      <c r="AS298" s="2870">
        <v>2585154</v>
      </c>
      <c r="AT298" s="2870"/>
      <c r="AU298" s="2870"/>
      <c r="AV298" s="2877">
        <v>14.95</v>
      </c>
      <c r="AW298" s="2875">
        <v>2585154</v>
      </c>
      <c r="AX298" s="2869">
        <v>0.19317599999999999</v>
      </c>
      <c r="AY298" s="2870"/>
      <c r="AZ298" s="2870">
        <v>2887981</v>
      </c>
      <c r="BA298" s="2870"/>
      <c r="BB298" s="2870"/>
      <c r="BC298" s="2877">
        <v>14.9499989646747</v>
      </c>
      <c r="BD298" s="2875">
        <v>2887981</v>
      </c>
      <c r="BE298" s="2869">
        <v>0.202704</v>
      </c>
      <c r="BF298" s="2870"/>
      <c r="BG298" s="2870">
        <v>3030425</v>
      </c>
      <c r="BH298" s="2870"/>
      <c r="BI298" s="2870"/>
      <c r="BJ298" s="2877">
        <v>14.950000986660353</v>
      </c>
      <c r="BK298" s="2875">
        <v>3030425</v>
      </c>
      <c r="BL298" s="2869">
        <v>0.170712</v>
      </c>
      <c r="BM298" s="2870"/>
      <c r="BN298" s="2870">
        <v>2552144</v>
      </c>
      <c r="BO298" s="2870"/>
      <c r="BP298" s="2870"/>
      <c r="BQ298" s="2877">
        <v>14.949997656872393</v>
      </c>
      <c r="BR298" s="2875">
        <v>2552144</v>
      </c>
      <c r="BS298" s="2869">
        <v>0.15343200000000001</v>
      </c>
      <c r="BT298" s="2870"/>
      <c r="BU298" s="2870">
        <v>2293808</v>
      </c>
      <c r="BV298" s="2870"/>
      <c r="BW298" s="2870"/>
      <c r="BX298" s="2877">
        <v>14.949997392981908</v>
      </c>
      <c r="BY298" s="2875">
        <v>2293808</v>
      </c>
      <c r="BZ298" s="2869">
        <v>0.16994400000000001</v>
      </c>
      <c r="CA298" s="2870"/>
      <c r="CB298" s="2870">
        <v>2540663</v>
      </c>
      <c r="CC298" s="2870"/>
      <c r="CD298" s="2870"/>
      <c r="CE298" s="2877">
        <v>14.95000117685826</v>
      </c>
      <c r="CF298" s="2875">
        <v>2540663</v>
      </c>
      <c r="CG298" s="2869">
        <v>0.20114399999999999</v>
      </c>
      <c r="CH298" s="2870"/>
      <c r="CI298" s="2870">
        <v>3007103</v>
      </c>
      <c r="CJ298" s="2870"/>
      <c r="CK298" s="2870"/>
      <c r="CL298" s="2877">
        <v>14.950000994312532</v>
      </c>
      <c r="CM298" s="2875">
        <v>3007103</v>
      </c>
      <c r="CN298" s="2911">
        <v>0.23769599999999999</v>
      </c>
      <c r="CO298" s="2870"/>
      <c r="CP298" s="2870">
        <v>3553554</v>
      </c>
      <c r="CQ298" s="2870"/>
      <c r="CR298" s="2870"/>
      <c r="CS298" s="2877">
        <v>14.949994951534734</v>
      </c>
      <c r="CT298" s="2875">
        <v>3553554</v>
      </c>
      <c r="CU298" s="2878">
        <v>2.4064559999999999</v>
      </c>
      <c r="CV298" s="2870">
        <v>0</v>
      </c>
      <c r="CW298" s="2870">
        <v>35976514</v>
      </c>
      <c r="CX298" s="2870">
        <v>0</v>
      </c>
      <c r="CY298" s="2870">
        <v>0</v>
      </c>
      <c r="CZ298" s="2879">
        <v>14.94999867024371</v>
      </c>
      <c r="DA298" s="2875">
        <v>35976514</v>
      </c>
      <c r="DJ298" s="1611" t="e">
        <v>#N/A</v>
      </c>
      <c r="DK298" s="2782" t="e">
        <v>#N/A</v>
      </c>
      <c r="DM298" s="1650">
        <v>14.94999867024371</v>
      </c>
    </row>
    <row r="299" spans="1:117" ht="21" customHeight="1">
      <c r="A299" s="1652">
        <v>9</v>
      </c>
      <c r="B299" s="1668" t="s">
        <v>1959</v>
      </c>
      <c r="C299" s="1662">
        <v>1</v>
      </c>
      <c r="D299" s="1646">
        <v>100</v>
      </c>
      <c r="E299" s="1646"/>
      <c r="F299" s="1648" t="s">
        <v>1594</v>
      </c>
      <c r="G299" s="1648"/>
      <c r="H299" s="1648">
        <v>1</v>
      </c>
      <c r="I299" s="1648" t="s">
        <v>1667</v>
      </c>
      <c r="J299" s="1649">
        <v>2</v>
      </c>
      <c r="K299" s="1648"/>
      <c r="L299" s="1648"/>
      <c r="M299" s="1648"/>
      <c r="N299" s="1642"/>
      <c r="O299" s="2876">
        <v>0.11415500000000001</v>
      </c>
      <c r="P299" s="2870"/>
      <c r="Q299" s="2870">
        <v>2044516</v>
      </c>
      <c r="R299" s="2870"/>
      <c r="S299" s="2870"/>
      <c r="T299" s="2870">
        <v>17.909999561999037</v>
      </c>
      <c r="U299" s="2875">
        <v>2044516</v>
      </c>
      <c r="V299" s="2869">
        <v>2.462E-2</v>
      </c>
      <c r="W299" s="2870"/>
      <c r="X299" s="2870">
        <v>440944</v>
      </c>
      <c r="Y299" s="2870"/>
      <c r="Z299" s="2870"/>
      <c r="AA299" s="2877">
        <v>17.909991876523151</v>
      </c>
      <c r="AB299" s="2875">
        <v>440944</v>
      </c>
      <c r="AC299" s="2869">
        <v>9.0590000000000004E-2</v>
      </c>
      <c r="AD299" s="2870"/>
      <c r="AE299" s="2870">
        <v>1622467</v>
      </c>
      <c r="AF299" s="2870"/>
      <c r="AG299" s="2870"/>
      <c r="AH299" s="2877">
        <v>17.910001103874599</v>
      </c>
      <c r="AI299" s="2875">
        <v>1622467</v>
      </c>
      <c r="AJ299" s="2869">
        <v>9.0609999999999996E-2</v>
      </c>
      <c r="AK299" s="2870"/>
      <c r="AL299" s="2870">
        <v>1622825</v>
      </c>
      <c r="AM299" s="2870"/>
      <c r="AN299" s="2870"/>
      <c r="AO299" s="2877">
        <v>17.909998896369054</v>
      </c>
      <c r="AP299" s="2875">
        <v>1622825</v>
      </c>
      <c r="AQ299" s="2869">
        <v>7.7310000000000004E-2</v>
      </c>
      <c r="AR299" s="2870"/>
      <c r="AS299" s="2870">
        <v>1384622</v>
      </c>
      <c r="AT299" s="2870"/>
      <c r="AU299" s="2870"/>
      <c r="AV299" s="2877">
        <v>17.909998706506272</v>
      </c>
      <c r="AW299" s="2875">
        <v>1384622</v>
      </c>
      <c r="AX299" s="2869">
        <v>9.9739999999999995E-2</v>
      </c>
      <c r="AY299" s="2870"/>
      <c r="AZ299" s="2870">
        <v>1786344</v>
      </c>
      <c r="BA299" s="2870"/>
      <c r="BB299" s="2870"/>
      <c r="BC299" s="2877">
        <v>17.910006015640665</v>
      </c>
      <c r="BD299" s="2875">
        <v>1786344</v>
      </c>
      <c r="BE299" s="2869">
        <v>9.9250000000000005E-2</v>
      </c>
      <c r="BF299" s="2870"/>
      <c r="BG299" s="2870">
        <v>1777567</v>
      </c>
      <c r="BH299" s="2870"/>
      <c r="BI299" s="2870"/>
      <c r="BJ299" s="2877">
        <v>17.909994962216626</v>
      </c>
      <c r="BK299" s="2875">
        <v>1777567</v>
      </c>
      <c r="BL299" s="2869"/>
      <c r="BM299" s="2870"/>
      <c r="BN299" s="2870"/>
      <c r="BO299" s="2870"/>
      <c r="BP299" s="2870"/>
      <c r="BQ299" s="2877">
        <v>0</v>
      </c>
      <c r="BR299" s="2875">
        <v>0</v>
      </c>
      <c r="BS299" s="2869">
        <v>0.16752</v>
      </c>
      <c r="BT299" s="2870"/>
      <c r="BU299" s="2870">
        <v>3000283</v>
      </c>
      <c r="BV299" s="2870"/>
      <c r="BW299" s="2870"/>
      <c r="BX299" s="2877">
        <v>17.909998806112704</v>
      </c>
      <c r="BY299" s="2875">
        <v>3000283</v>
      </c>
      <c r="BZ299" s="2869">
        <v>8.004E-2</v>
      </c>
      <c r="CA299" s="2870"/>
      <c r="CB299" s="2870">
        <v>1433517</v>
      </c>
      <c r="CC299" s="2870"/>
      <c r="CD299" s="2870"/>
      <c r="CE299" s="2877">
        <v>17.910007496251875</v>
      </c>
      <c r="CF299" s="2875">
        <v>1433517</v>
      </c>
      <c r="CG299" s="2869"/>
      <c r="CH299" s="2870"/>
      <c r="CI299" s="2870"/>
      <c r="CJ299" s="2870"/>
      <c r="CK299" s="2870"/>
      <c r="CL299" s="2877">
        <v>0</v>
      </c>
      <c r="CM299" s="2875">
        <v>0</v>
      </c>
      <c r="CN299" s="2911">
        <v>0.21060999999999999</v>
      </c>
      <c r="CO299" s="2870"/>
      <c r="CP299" s="2870">
        <v>3772024</v>
      </c>
      <c r="CQ299" s="2870"/>
      <c r="CR299" s="2870"/>
      <c r="CS299" s="2877">
        <v>17.909994777076111</v>
      </c>
      <c r="CT299" s="2875">
        <v>3772024</v>
      </c>
      <c r="CU299" s="2878">
        <v>1.0544450000000001</v>
      </c>
      <c r="CV299" s="2870">
        <v>0</v>
      </c>
      <c r="CW299" s="2870">
        <v>18885109</v>
      </c>
      <c r="CX299" s="2870">
        <v>0</v>
      </c>
      <c r="CY299" s="2870">
        <v>0</v>
      </c>
      <c r="CZ299" s="2879">
        <v>17.909999099052108</v>
      </c>
      <c r="DA299" s="2875">
        <v>18885109</v>
      </c>
      <c r="DJ299" s="1611" t="e">
        <v>#N/A</v>
      </c>
      <c r="DK299" s="2782" t="e">
        <v>#N/A</v>
      </c>
      <c r="DM299" s="1650">
        <v>17.909999099052108</v>
      </c>
    </row>
    <row r="300" spans="1:117" ht="21" customHeight="1">
      <c r="A300" s="1652">
        <v>10</v>
      </c>
      <c r="B300" s="1668" t="s">
        <v>1960</v>
      </c>
      <c r="C300" s="1662">
        <v>50</v>
      </c>
      <c r="D300" s="1646">
        <v>100</v>
      </c>
      <c r="E300" s="1646"/>
      <c r="F300" s="1648" t="s">
        <v>1594</v>
      </c>
      <c r="G300" s="1648"/>
      <c r="H300" s="1648">
        <v>50</v>
      </c>
      <c r="I300" s="1648" t="s">
        <v>1667</v>
      </c>
      <c r="J300" s="1649">
        <v>2</v>
      </c>
      <c r="K300" s="1648"/>
      <c r="L300" s="1648"/>
      <c r="M300" s="1648"/>
      <c r="N300" s="1642"/>
      <c r="O300" s="2876">
        <v>5.8735080000000002</v>
      </c>
      <c r="P300" s="2870"/>
      <c r="Q300" s="2870">
        <v>54447419</v>
      </c>
      <c r="R300" s="2870"/>
      <c r="S300" s="2870"/>
      <c r="T300" s="2870">
        <v>9.2699999727590399</v>
      </c>
      <c r="U300" s="2875">
        <v>54447419</v>
      </c>
      <c r="V300" s="2869">
        <v>6.1428960000000004</v>
      </c>
      <c r="W300" s="2870"/>
      <c r="X300" s="2870">
        <v>56944645</v>
      </c>
      <c r="Y300" s="2870"/>
      <c r="Z300" s="2870"/>
      <c r="AA300" s="2877">
        <v>9.2699998502335053</v>
      </c>
      <c r="AB300" s="2875">
        <v>56944645</v>
      </c>
      <c r="AC300" s="2869">
        <v>4.7112480000000003</v>
      </c>
      <c r="AD300" s="2870"/>
      <c r="AE300" s="2870">
        <v>43673269</v>
      </c>
      <c r="AF300" s="2870"/>
      <c r="AG300" s="2870"/>
      <c r="AH300" s="2877">
        <v>9.2700000084903191</v>
      </c>
      <c r="AI300" s="2875">
        <v>43673269</v>
      </c>
      <c r="AJ300" s="2869">
        <v>4.3556759999999999</v>
      </c>
      <c r="AK300" s="2870"/>
      <c r="AL300" s="2870">
        <v>40377116</v>
      </c>
      <c r="AM300" s="2870"/>
      <c r="AN300" s="2870"/>
      <c r="AO300" s="2877">
        <v>9.269999880615547</v>
      </c>
      <c r="AP300" s="2875">
        <v>40377116</v>
      </c>
      <c r="AQ300" s="2869">
        <v>3.2078880000000001</v>
      </c>
      <c r="AR300" s="2870"/>
      <c r="AS300" s="2870">
        <v>29737121</v>
      </c>
      <c r="AT300" s="2870"/>
      <c r="AU300" s="2870"/>
      <c r="AV300" s="2877">
        <v>9.2699997630839981</v>
      </c>
      <c r="AW300" s="2875">
        <v>29737121</v>
      </c>
      <c r="AX300" s="2869">
        <v>3.7257120000000001</v>
      </c>
      <c r="AY300" s="2870"/>
      <c r="AZ300" s="2870">
        <v>34537350</v>
      </c>
      <c r="BA300" s="2870"/>
      <c r="BB300" s="2870"/>
      <c r="BC300" s="2877">
        <v>9.2699999355827831</v>
      </c>
      <c r="BD300" s="2875">
        <v>34537350</v>
      </c>
      <c r="BE300" s="2869">
        <v>5.4109800000000003</v>
      </c>
      <c r="BF300" s="2870"/>
      <c r="BG300" s="2870">
        <v>50159785</v>
      </c>
      <c r="BH300" s="2870"/>
      <c r="BI300" s="2870"/>
      <c r="BJ300" s="2877">
        <v>9.2700000739237627</v>
      </c>
      <c r="BK300" s="2875">
        <v>50159785</v>
      </c>
      <c r="BL300" s="2869">
        <v>5.03172</v>
      </c>
      <c r="BM300" s="2870"/>
      <c r="BN300" s="2870">
        <v>46644044</v>
      </c>
      <c r="BO300" s="2870"/>
      <c r="BP300" s="2870"/>
      <c r="BQ300" s="2877">
        <v>9.2699999205043202</v>
      </c>
      <c r="BR300" s="2875">
        <v>46644044</v>
      </c>
      <c r="BS300" s="2869">
        <v>4.9652640000000003</v>
      </c>
      <c r="BT300" s="2870"/>
      <c r="BU300" s="2870">
        <v>46027998</v>
      </c>
      <c r="BV300" s="2870"/>
      <c r="BW300" s="2870"/>
      <c r="BX300" s="2877">
        <v>9.2700001450073959</v>
      </c>
      <c r="BY300" s="2875">
        <v>46027998</v>
      </c>
      <c r="BZ300" s="2869">
        <v>4.8636359999999996</v>
      </c>
      <c r="CA300" s="2870"/>
      <c r="CB300" s="2870">
        <v>45085906</v>
      </c>
      <c r="CC300" s="2870"/>
      <c r="CD300" s="2870"/>
      <c r="CE300" s="2877">
        <v>9.2700000575700976</v>
      </c>
      <c r="CF300" s="2875">
        <v>45085906</v>
      </c>
      <c r="CG300" s="2869">
        <v>6.5567479999999998</v>
      </c>
      <c r="CH300" s="2870"/>
      <c r="CI300" s="2870">
        <v>60781058</v>
      </c>
      <c r="CJ300" s="2870"/>
      <c r="CK300" s="2870"/>
      <c r="CL300" s="2877">
        <v>9.2700006161591073</v>
      </c>
      <c r="CM300" s="2875">
        <v>60781058</v>
      </c>
      <c r="CN300" s="2911">
        <v>8.0299443999999998</v>
      </c>
      <c r="CO300" s="2870"/>
      <c r="CP300" s="2870">
        <v>58366990</v>
      </c>
      <c r="CQ300" s="2870"/>
      <c r="CR300" s="2870"/>
      <c r="CS300" s="2877">
        <v>7.2686667668583116</v>
      </c>
      <c r="CT300" s="2875">
        <v>58366990</v>
      </c>
      <c r="CU300" s="2878">
        <v>62.875220399999996</v>
      </c>
      <c r="CV300" s="2870">
        <v>0</v>
      </c>
      <c r="CW300" s="2870">
        <v>566782701</v>
      </c>
      <c r="CX300" s="2870">
        <v>0</v>
      </c>
      <c r="CY300" s="2870">
        <v>0</v>
      </c>
      <c r="CZ300" s="2879">
        <v>9.0144049976165181</v>
      </c>
      <c r="DA300" s="2875">
        <v>566782701</v>
      </c>
      <c r="DJ300" s="1611" t="e">
        <v>#N/A</v>
      </c>
      <c r="DK300" s="2782" t="e">
        <v>#N/A</v>
      </c>
      <c r="DM300" s="1650">
        <v>9.0144049976165181</v>
      </c>
    </row>
    <row r="301" spans="1:117" ht="21" customHeight="1">
      <c r="A301" s="1652">
        <v>11</v>
      </c>
      <c r="B301" s="1668" t="s">
        <v>1961</v>
      </c>
      <c r="C301" s="1662">
        <v>30</v>
      </c>
      <c r="D301" s="1646">
        <v>100</v>
      </c>
      <c r="E301" s="1646"/>
      <c r="F301" s="1648" t="s">
        <v>1594</v>
      </c>
      <c r="G301" s="1648"/>
      <c r="H301" s="1648">
        <v>30</v>
      </c>
      <c r="I301" s="1648" t="s">
        <v>1667</v>
      </c>
      <c r="J301" s="1649">
        <v>2</v>
      </c>
      <c r="K301" s="1648"/>
      <c r="L301" s="1648"/>
      <c r="M301" s="1648"/>
      <c r="N301" s="1642"/>
      <c r="O301" s="2876">
        <v>4.4306279999999996</v>
      </c>
      <c r="P301" s="2870"/>
      <c r="Q301" s="2870">
        <v>40939003</v>
      </c>
      <c r="R301" s="2870"/>
      <c r="S301" s="2870"/>
      <c r="T301" s="2870">
        <v>9.2400000631964581</v>
      </c>
      <c r="U301" s="2875">
        <v>40939003</v>
      </c>
      <c r="V301" s="2869">
        <v>4.9670820000000004</v>
      </c>
      <c r="W301" s="2870"/>
      <c r="X301" s="2870">
        <v>45895838</v>
      </c>
      <c r="Y301" s="2870"/>
      <c r="Z301" s="2870"/>
      <c r="AA301" s="2877">
        <v>9.2400000644241427</v>
      </c>
      <c r="AB301" s="2875">
        <v>45895838</v>
      </c>
      <c r="AC301" s="2869">
        <v>3.8626559999999999</v>
      </c>
      <c r="AD301" s="2870"/>
      <c r="AE301" s="2870">
        <v>35690942</v>
      </c>
      <c r="AF301" s="2870"/>
      <c r="AG301" s="2870"/>
      <c r="AH301" s="2877">
        <v>9.2400001449779641</v>
      </c>
      <c r="AI301" s="2875">
        <v>35690942</v>
      </c>
      <c r="AJ301" s="2869">
        <v>4.0674239999999999</v>
      </c>
      <c r="AK301" s="2870"/>
      <c r="AL301" s="2870">
        <v>37582998</v>
      </c>
      <c r="AM301" s="2870"/>
      <c r="AN301" s="2870"/>
      <c r="AO301" s="2877">
        <v>9.2400000590054052</v>
      </c>
      <c r="AP301" s="2875">
        <v>37582998</v>
      </c>
      <c r="AQ301" s="2869">
        <v>3.6406079999999998</v>
      </c>
      <c r="AR301" s="2870"/>
      <c r="AS301" s="2870">
        <v>33639218</v>
      </c>
      <c r="AT301" s="2870"/>
      <c r="AU301" s="2870"/>
      <c r="AV301" s="2877">
        <v>9.2400000219743514</v>
      </c>
      <c r="AW301" s="2875">
        <v>33639218</v>
      </c>
      <c r="AX301" s="2869">
        <v>4.0619880000000004</v>
      </c>
      <c r="AY301" s="2870"/>
      <c r="AZ301" s="2870">
        <v>37532769</v>
      </c>
      <c r="BA301" s="2870"/>
      <c r="BB301" s="2870"/>
      <c r="BC301" s="2877">
        <v>9.2399999704578146</v>
      </c>
      <c r="BD301" s="2875">
        <v>37532769</v>
      </c>
      <c r="BE301" s="2869">
        <v>4.377834</v>
      </c>
      <c r="BF301" s="2870"/>
      <c r="BG301" s="2870">
        <v>40451186</v>
      </c>
      <c r="BH301" s="2870"/>
      <c r="BI301" s="2870"/>
      <c r="BJ301" s="2877">
        <v>9.2399999634522452</v>
      </c>
      <c r="BK301" s="2875">
        <v>40451186</v>
      </c>
      <c r="BL301" s="2869">
        <v>3.7075499999999999</v>
      </c>
      <c r="BM301" s="2870"/>
      <c r="BN301" s="2870">
        <v>34257762</v>
      </c>
      <c r="BO301" s="2870"/>
      <c r="BP301" s="2870"/>
      <c r="BQ301" s="2877">
        <v>9.24</v>
      </c>
      <c r="BR301" s="2875">
        <v>34257762</v>
      </c>
      <c r="BS301" s="2869">
        <v>3.6476639999999998</v>
      </c>
      <c r="BT301" s="2870"/>
      <c r="BU301" s="2870">
        <v>33704416</v>
      </c>
      <c r="BV301" s="2870"/>
      <c r="BW301" s="2870"/>
      <c r="BX301" s="2877">
        <v>9.2400001754547567</v>
      </c>
      <c r="BY301" s="2875">
        <v>33704416</v>
      </c>
      <c r="BZ301" s="2869">
        <v>3.5086140000000001</v>
      </c>
      <c r="CA301" s="2870"/>
      <c r="CB301" s="2870">
        <v>32419593</v>
      </c>
      <c r="CC301" s="2870"/>
      <c r="CD301" s="2870"/>
      <c r="CE301" s="2877">
        <v>9.2399998973953821</v>
      </c>
      <c r="CF301" s="2875">
        <v>32419593</v>
      </c>
      <c r="CG301" s="2869">
        <v>4.1820659999999998</v>
      </c>
      <c r="CH301" s="2870"/>
      <c r="CI301" s="2870">
        <v>38642289.840000004</v>
      </c>
      <c r="CJ301" s="2870"/>
      <c r="CK301" s="2870"/>
      <c r="CL301" s="2877">
        <v>9.24</v>
      </c>
      <c r="CM301" s="2875">
        <v>38642289.840000004</v>
      </c>
      <c r="CN301" s="2911">
        <v>5.0964660000000004</v>
      </c>
      <c r="CO301" s="2870"/>
      <c r="CP301" s="2870">
        <v>47091347.160000004</v>
      </c>
      <c r="CQ301" s="2870"/>
      <c r="CR301" s="2870"/>
      <c r="CS301" s="2877">
        <v>9.2400002590030041</v>
      </c>
      <c r="CT301" s="2875">
        <v>47091347.160000004</v>
      </c>
      <c r="CU301" s="2878">
        <v>49.550579999999997</v>
      </c>
      <c r="CV301" s="2870">
        <v>0</v>
      </c>
      <c r="CW301" s="2870">
        <v>457847362.00000006</v>
      </c>
      <c r="CX301" s="2870">
        <v>0</v>
      </c>
      <c r="CY301" s="2870">
        <v>0</v>
      </c>
      <c r="CZ301" s="2879">
        <v>9.2400000565079168</v>
      </c>
      <c r="DA301" s="2875">
        <v>457847362.00000006</v>
      </c>
      <c r="DJ301" s="1611" t="e">
        <v>#N/A</v>
      </c>
      <c r="DK301" s="2782" t="e">
        <v>#N/A</v>
      </c>
      <c r="DM301" s="1650">
        <v>9.2400000565079168</v>
      </c>
    </row>
    <row r="302" spans="1:117" ht="21" customHeight="1">
      <c r="A302" s="1652">
        <v>12</v>
      </c>
      <c r="B302" s="1668" t="s">
        <v>1962</v>
      </c>
      <c r="C302" s="1662">
        <v>10</v>
      </c>
      <c r="D302" s="1646">
        <v>100</v>
      </c>
      <c r="E302" s="1646"/>
      <c r="F302" s="1648" t="s">
        <v>1594</v>
      </c>
      <c r="G302" s="1648"/>
      <c r="H302" s="1648">
        <v>10</v>
      </c>
      <c r="I302" s="1648" t="s">
        <v>1667</v>
      </c>
      <c r="J302" s="1649">
        <v>2</v>
      </c>
      <c r="K302" s="1648"/>
      <c r="L302" s="1648"/>
      <c r="M302" s="1648"/>
      <c r="N302" s="1642"/>
      <c r="O302" s="2876">
        <v>1.6829639999999999</v>
      </c>
      <c r="P302" s="2870"/>
      <c r="Q302" s="2870">
        <v>14204216</v>
      </c>
      <c r="R302" s="2870"/>
      <c r="S302" s="2870"/>
      <c r="T302" s="2870">
        <v>8.4399999049296355</v>
      </c>
      <c r="U302" s="2875">
        <v>14204216</v>
      </c>
      <c r="V302" s="2869">
        <v>1.595904</v>
      </c>
      <c r="W302" s="2870"/>
      <c r="X302" s="2870">
        <v>13469430</v>
      </c>
      <c r="Y302" s="2870"/>
      <c r="Z302" s="2870"/>
      <c r="AA302" s="2877">
        <v>8.4400001503849857</v>
      </c>
      <c r="AB302" s="2875">
        <v>13469430</v>
      </c>
      <c r="AC302" s="2869">
        <v>1.2124440000000001</v>
      </c>
      <c r="AD302" s="2870"/>
      <c r="AE302" s="2870">
        <v>10233027</v>
      </c>
      <c r="AF302" s="2870"/>
      <c r="AG302" s="2870"/>
      <c r="AH302" s="2877">
        <v>8.4399997030790708</v>
      </c>
      <c r="AI302" s="2875">
        <v>10233027</v>
      </c>
      <c r="AJ302" s="2869">
        <v>1.289512</v>
      </c>
      <c r="AK302" s="2870"/>
      <c r="AL302" s="2870">
        <v>10883483</v>
      </c>
      <c r="AM302" s="2870"/>
      <c r="AN302" s="2870"/>
      <c r="AO302" s="2877">
        <v>8.4400013338379178</v>
      </c>
      <c r="AP302" s="2875">
        <v>10883483</v>
      </c>
      <c r="AQ302" s="2869">
        <v>0.97646699999999997</v>
      </c>
      <c r="AR302" s="2870"/>
      <c r="AS302" s="2870">
        <v>8241381</v>
      </c>
      <c r="AT302" s="2870"/>
      <c r="AU302" s="2870"/>
      <c r="AV302" s="2877">
        <v>8.4399995084319279</v>
      </c>
      <c r="AW302" s="2875">
        <v>8241381</v>
      </c>
      <c r="AX302" s="2869">
        <v>1.311369</v>
      </c>
      <c r="AY302" s="2870"/>
      <c r="AZ302" s="2870">
        <v>11067954</v>
      </c>
      <c r="BA302" s="2870"/>
      <c r="BB302" s="2870"/>
      <c r="BC302" s="2877">
        <v>8.4399997254777261</v>
      </c>
      <c r="BD302" s="2875">
        <v>11067954</v>
      </c>
      <c r="BE302" s="2869">
        <v>1.419216</v>
      </c>
      <c r="BF302" s="2870"/>
      <c r="BG302" s="2870">
        <v>11978183</v>
      </c>
      <c r="BH302" s="2870"/>
      <c r="BI302" s="2870"/>
      <c r="BJ302" s="2877">
        <v>8.4399999718154248</v>
      </c>
      <c r="BK302" s="2875">
        <v>11978183</v>
      </c>
      <c r="BL302" s="2869">
        <v>1.339968</v>
      </c>
      <c r="BM302" s="2870"/>
      <c r="BN302" s="2870">
        <v>11309330</v>
      </c>
      <c r="BO302" s="2870"/>
      <c r="BP302" s="2870"/>
      <c r="BQ302" s="2877">
        <v>8.4400000597029177</v>
      </c>
      <c r="BR302" s="2875">
        <v>11309330</v>
      </c>
      <c r="BS302" s="2869">
        <v>1.2870539999999999</v>
      </c>
      <c r="BT302" s="2870"/>
      <c r="BU302" s="2870">
        <v>10862736</v>
      </c>
      <c r="BV302" s="2870"/>
      <c r="BW302" s="2870"/>
      <c r="BX302" s="2877">
        <v>8.4400001864723624</v>
      </c>
      <c r="BY302" s="2875">
        <v>10862736</v>
      </c>
      <c r="BZ302" s="2869">
        <v>1.3850070000000001</v>
      </c>
      <c r="CA302" s="2870"/>
      <c r="CB302" s="2870">
        <v>11689460</v>
      </c>
      <c r="CC302" s="2870"/>
      <c r="CD302" s="2870"/>
      <c r="CE302" s="2877">
        <v>8.440000664256571</v>
      </c>
      <c r="CF302" s="2875">
        <v>11689460</v>
      </c>
      <c r="CG302" s="2869">
        <v>1.6917709999999999</v>
      </c>
      <c r="CH302" s="2870"/>
      <c r="CI302" s="2870">
        <v>14278543.02</v>
      </c>
      <c r="CJ302" s="2870"/>
      <c r="CK302" s="2870"/>
      <c r="CL302" s="2877">
        <v>8.4399975055725616</v>
      </c>
      <c r="CM302" s="2875">
        <v>14278543.02</v>
      </c>
      <c r="CN302" s="2911">
        <v>1.8166183999999999</v>
      </c>
      <c r="CO302" s="2870"/>
      <c r="CP302" s="2870">
        <v>15332258.98</v>
      </c>
      <c r="CQ302" s="2870"/>
      <c r="CR302" s="2870"/>
      <c r="CS302" s="2877">
        <v>8.4399998260504248</v>
      </c>
      <c r="CT302" s="2875">
        <v>15332258.98</v>
      </c>
      <c r="CU302" s="2878">
        <v>17.0082944</v>
      </c>
      <c r="CV302" s="2870">
        <v>0</v>
      </c>
      <c r="CW302" s="2870">
        <v>143550002</v>
      </c>
      <c r="CX302" s="2870">
        <v>0</v>
      </c>
      <c r="CY302" s="2870">
        <v>0</v>
      </c>
      <c r="CZ302" s="2879">
        <v>8.4399998391373074</v>
      </c>
      <c r="DA302" s="2875">
        <v>143550002</v>
      </c>
      <c r="DJ302" s="1611" t="e">
        <v>#N/A</v>
      </c>
      <c r="DK302" s="2782" t="e">
        <v>#N/A</v>
      </c>
      <c r="DM302" s="1650">
        <v>8.4399998391373074</v>
      </c>
    </row>
    <row r="303" spans="1:117" ht="21" customHeight="1">
      <c r="A303" s="1652">
        <v>13</v>
      </c>
      <c r="B303" s="1668" t="s">
        <v>1963</v>
      </c>
      <c r="C303" s="1662">
        <v>5</v>
      </c>
      <c r="D303" s="1646">
        <v>100</v>
      </c>
      <c r="E303" s="1646"/>
      <c r="F303" s="1648" t="s">
        <v>1594</v>
      </c>
      <c r="G303" s="1648"/>
      <c r="H303" s="1648">
        <v>5</v>
      </c>
      <c r="I303" s="1648" t="s">
        <v>1667</v>
      </c>
      <c r="J303" s="1649">
        <v>2</v>
      </c>
      <c r="K303" s="1648"/>
      <c r="L303" s="1648"/>
      <c r="M303" s="1648"/>
      <c r="N303" s="1642"/>
      <c r="O303" s="2876">
        <v>0.84</v>
      </c>
      <c r="P303" s="2870"/>
      <c r="Q303" s="2870">
        <v>7770000</v>
      </c>
      <c r="R303" s="2870"/>
      <c r="S303" s="2870"/>
      <c r="T303" s="2870">
        <v>9.25</v>
      </c>
      <c r="U303" s="2875">
        <v>7770000</v>
      </c>
      <c r="V303" s="2869">
        <v>0.90269999999999995</v>
      </c>
      <c r="W303" s="2870"/>
      <c r="X303" s="2870">
        <v>8349975</v>
      </c>
      <c r="Y303" s="2870"/>
      <c r="Z303" s="2870"/>
      <c r="AA303" s="2877">
        <v>9.25</v>
      </c>
      <c r="AB303" s="2875">
        <v>8349975</v>
      </c>
      <c r="AC303" s="2869">
        <v>0.70679999999999998</v>
      </c>
      <c r="AD303" s="2870"/>
      <c r="AE303" s="2870">
        <v>6537900</v>
      </c>
      <c r="AF303" s="2870"/>
      <c r="AG303" s="2870"/>
      <c r="AH303" s="2877">
        <v>9.25</v>
      </c>
      <c r="AI303" s="2875">
        <v>6537900</v>
      </c>
      <c r="AJ303" s="2869">
        <v>0.7107</v>
      </c>
      <c r="AK303" s="2870"/>
      <c r="AL303" s="2870">
        <v>6573975</v>
      </c>
      <c r="AM303" s="2870"/>
      <c r="AN303" s="2870"/>
      <c r="AO303" s="2877">
        <v>9.25</v>
      </c>
      <c r="AP303" s="2875">
        <v>6573975</v>
      </c>
      <c r="AQ303" s="2869">
        <v>0.64259999999999995</v>
      </c>
      <c r="AR303" s="2870"/>
      <c r="AS303" s="2870">
        <v>5944050</v>
      </c>
      <c r="AT303" s="2870"/>
      <c r="AU303" s="2870"/>
      <c r="AV303" s="2877">
        <v>9.25</v>
      </c>
      <c r="AW303" s="2875">
        <v>5944050</v>
      </c>
      <c r="AX303" s="2869">
        <v>0.71582999999999997</v>
      </c>
      <c r="AY303" s="2870"/>
      <c r="AZ303" s="2870">
        <v>6621428</v>
      </c>
      <c r="BA303" s="2870"/>
      <c r="BB303" s="2870"/>
      <c r="BC303" s="2877">
        <v>9.2500006984898651</v>
      </c>
      <c r="BD303" s="2875">
        <v>6621428</v>
      </c>
      <c r="BE303" s="2869">
        <v>0.7722</v>
      </c>
      <c r="BF303" s="2870"/>
      <c r="BG303" s="2870">
        <v>7142850</v>
      </c>
      <c r="BH303" s="2870"/>
      <c r="BI303" s="2870"/>
      <c r="BJ303" s="2877">
        <v>9.25</v>
      </c>
      <c r="BK303" s="2875">
        <v>7142850</v>
      </c>
      <c r="BL303" s="2869">
        <v>0.65820000000000001</v>
      </c>
      <c r="BM303" s="2870"/>
      <c r="BN303" s="2870">
        <v>6088350</v>
      </c>
      <c r="BO303" s="2870"/>
      <c r="BP303" s="2870"/>
      <c r="BQ303" s="2877">
        <v>9.25</v>
      </c>
      <c r="BR303" s="2875">
        <v>6088350</v>
      </c>
      <c r="BS303" s="2869">
        <v>0.65490000000000004</v>
      </c>
      <c r="BT303" s="2870"/>
      <c r="BU303" s="2870">
        <v>6057825</v>
      </c>
      <c r="BV303" s="2870"/>
      <c r="BW303" s="2870"/>
      <c r="BX303" s="2877">
        <v>9.25</v>
      </c>
      <c r="BY303" s="2875">
        <v>6057825</v>
      </c>
      <c r="BZ303" s="2869">
        <v>0.60719999999999996</v>
      </c>
      <c r="CA303" s="2870"/>
      <c r="CB303" s="2870">
        <v>5616600</v>
      </c>
      <c r="CC303" s="2870"/>
      <c r="CD303" s="2870"/>
      <c r="CE303" s="2877">
        <v>9.25</v>
      </c>
      <c r="CF303" s="2875">
        <v>5616600</v>
      </c>
      <c r="CG303" s="2869">
        <v>0.79410000000000003</v>
      </c>
      <c r="CH303" s="2870"/>
      <c r="CI303" s="2870">
        <v>7345425</v>
      </c>
      <c r="CJ303" s="2870"/>
      <c r="CK303" s="2870"/>
      <c r="CL303" s="2877">
        <v>9.25</v>
      </c>
      <c r="CM303" s="2875">
        <v>7345425</v>
      </c>
      <c r="CN303" s="2911">
        <v>0.88500000000000001</v>
      </c>
      <c r="CO303" s="2870"/>
      <c r="CP303" s="2870">
        <v>8186250</v>
      </c>
      <c r="CQ303" s="2870"/>
      <c r="CR303" s="2870"/>
      <c r="CS303" s="2877">
        <v>9.25</v>
      </c>
      <c r="CT303" s="2875">
        <v>8186250</v>
      </c>
      <c r="CU303" s="2878">
        <v>8.890229999999999</v>
      </c>
      <c r="CV303" s="2870">
        <v>0</v>
      </c>
      <c r="CW303" s="2870">
        <v>82234628</v>
      </c>
      <c r="CX303" s="2870">
        <v>0</v>
      </c>
      <c r="CY303" s="2870">
        <v>0</v>
      </c>
      <c r="CZ303" s="2879">
        <v>9.2500000562415163</v>
      </c>
      <c r="DA303" s="2875">
        <v>82234628</v>
      </c>
      <c r="DJ303" s="1611" t="e">
        <v>#N/A</v>
      </c>
      <c r="DK303" s="2782" t="e">
        <v>#N/A</v>
      </c>
      <c r="DM303" s="1650">
        <v>9.2500000562415163</v>
      </c>
    </row>
    <row r="304" spans="1:117" ht="21" customHeight="1">
      <c r="A304" s="1652">
        <v>14</v>
      </c>
      <c r="B304" s="1668" t="s">
        <v>1964</v>
      </c>
      <c r="C304" s="1662">
        <v>5</v>
      </c>
      <c r="D304" s="1646">
        <v>100</v>
      </c>
      <c r="E304" s="1646"/>
      <c r="F304" s="1648" t="s">
        <v>1594</v>
      </c>
      <c r="G304" s="1648"/>
      <c r="H304" s="1648">
        <v>5</v>
      </c>
      <c r="I304" s="1648" t="s">
        <v>1667</v>
      </c>
      <c r="J304" s="1649">
        <v>2</v>
      </c>
      <c r="K304" s="1648"/>
      <c r="L304" s="1648"/>
      <c r="M304" s="1648"/>
      <c r="N304" s="1642"/>
      <c r="O304" s="2876">
        <v>0.85202599999999995</v>
      </c>
      <c r="P304" s="2870"/>
      <c r="Q304" s="2870">
        <v>5981224</v>
      </c>
      <c r="R304" s="2870"/>
      <c r="S304" s="2870"/>
      <c r="T304" s="2870">
        <v>7.0200017370361936</v>
      </c>
      <c r="U304" s="2875">
        <v>5981224</v>
      </c>
      <c r="V304" s="2869">
        <v>0.82522499999999999</v>
      </c>
      <c r="W304" s="2870"/>
      <c r="X304" s="2870">
        <v>5793079</v>
      </c>
      <c r="Y304" s="2870"/>
      <c r="Z304" s="2870"/>
      <c r="AA304" s="2877">
        <v>7.0199993941046381</v>
      </c>
      <c r="AB304" s="2875">
        <v>5793079</v>
      </c>
      <c r="AC304" s="2869">
        <v>0.61305699999999996</v>
      </c>
      <c r="AD304" s="2870"/>
      <c r="AE304" s="2870">
        <v>4303663</v>
      </c>
      <c r="AF304" s="2870"/>
      <c r="AG304" s="2870"/>
      <c r="AH304" s="2877">
        <v>7.0200046651453292</v>
      </c>
      <c r="AI304" s="2875">
        <v>4303663</v>
      </c>
      <c r="AJ304" s="2869">
        <v>0.66082200000000002</v>
      </c>
      <c r="AK304" s="2870"/>
      <c r="AL304" s="2870">
        <v>4638965</v>
      </c>
      <c r="AM304" s="2870"/>
      <c r="AN304" s="2870"/>
      <c r="AO304" s="2877">
        <v>7.0199917678285528</v>
      </c>
      <c r="AP304" s="2875">
        <v>4638965</v>
      </c>
      <c r="AQ304" s="2869">
        <v>0.59909299999999999</v>
      </c>
      <c r="AR304" s="2870"/>
      <c r="AS304" s="2870">
        <v>4205629</v>
      </c>
      <c r="AT304" s="2870"/>
      <c r="AU304" s="2870"/>
      <c r="AV304" s="2877">
        <v>7.0199935569268881</v>
      </c>
      <c r="AW304" s="2875">
        <v>4205629</v>
      </c>
      <c r="AX304" s="2869">
        <v>0.70564199999999999</v>
      </c>
      <c r="AY304" s="2870"/>
      <c r="AZ304" s="2870">
        <v>4953601</v>
      </c>
      <c r="BA304" s="2870"/>
      <c r="BB304" s="2870"/>
      <c r="BC304" s="2877">
        <v>7.0199917238486371</v>
      </c>
      <c r="BD304" s="2875">
        <v>4953601</v>
      </c>
      <c r="BE304" s="2869">
        <v>0.74412800000000001</v>
      </c>
      <c r="BF304" s="2870"/>
      <c r="BG304" s="2870">
        <v>5223775</v>
      </c>
      <c r="BH304" s="2870"/>
      <c r="BI304" s="2870"/>
      <c r="BJ304" s="2877">
        <v>7.0199952158768388</v>
      </c>
      <c r="BK304" s="2875">
        <v>5223775</v>
      </c>
      <c r="BL304" s="2869">
        <v>0.65650500000000001</v>
      </c>
      <c r="BM304" s="2870"/>
      <c r="BN304" s="2870">
        <v>4608665</v>
      </c>
      <c r="BO304" s="2870"/>
      <c r="BP304" s="2870"/>
      <c r="BQ304" s="2877">
        <v>7.0199998476782355</v>
      </c>
      <c r="BR304" s="2875">
        <v>4608665</v>
      </c>
      <c r="BS304" s="2869">
        <v>0.61203799999999997</v>
      </c>
      <c r="BT304" s="2870"/>
      <c r="BU304" s="2870">
        <v>4296503</v>
      </c>
      <c r="BV304" s="2870"/>
      <c r="BW304" s="2870"/>
      <c r="BX304" s="2877">
        <v>7.0199938565906042</v>
      </c>
      <c r="BY304" s="2875">
        <v>4296503</v>
      </c>
      <c r="BZ304" s="2869">
        <v>0.50129999999999997</v>
      </c>
      <c r="CA304" s="2870"/>
      <c r="CB304" s="2870">
        <v>3519126</v>
      </c>
      <c r="CC304" s="2870"/>
      <c r="CD304" s="2870"/>
      <c r="CE304" s="2877">
        <v>7.0200000000000005</v>
      </c>
      <c r="CF304" s="2875">
        <v>3519126</v>
      </c>
      <c r="CG304" s="2869">
        <v>0.73235600000000001</v>
      </c>
      <c r="CH304" s="2870"/>
      <c r="CI304" s="2870">
        <v>5141141</v>
      </c>
      <c r="CJ304" s="2870"/>
      <c r="CK304" s="2870"/>
      <c r="CL304" s="2877">
        <v>7.020002567057551</v>
      </c>
      <c r="CM304" s="2875">
        <v>5141141</v>
      </c>
      <c r="CN304" s="2911">
        <v>0.86235224999999993</v>
      </c>
      <c r="CO304" s="2870"/>
      <c r="CP304" s="2870">
        <v>6053722</v>
      </c>
      <c r="CQ304" s="2870"/>
      <c r="CR304" s="2870"/>
      <c r="CS304" s="2877">
        <v>7.0200106742923216</v>
      </c>
      <c r="CT304" s="2875">
        <v>6053722</v>
      </c>
      <c r="CU304" s="2878">
        <v>8.3645442499999998</v>
      </c>
      <c r="CV304" s="2870">
        <v>0</v>
      </c>
      <c r="CW304" s="2870">
        <v>58719093</v>
      </c>
      <c r="CX304" s="2870">
        <v>0</v>
      </c>
      <c r="CY304" s="2870">
        <v>0</v>
      </c>
      <c r="CZ304" s="2879">
        <v>7.0199990872186495</v>
      </c>
      <c r="DA304" s="2875">
        <v>58719093</v>
      </c>
      <c r="DJ304" s="1611" t="e">
        <v>#N/A</v>
      </c>
      <c r="DK304" s="2782" t="e">
        <v>#N/A</v>
      </c>
      <c r="DM304" s="1650">
        <v>7.0199990872186495</v>
      </c>
    </row>
    <row r="305" spans="1:117" ht="21" customHeight="1">
      <c r="A305" s="1652">
        <v>15</v>
      </c>
      <c r="B305" s="1668" t="s">
        <v>1965</v>
      </c>
      <c r="C305" s="1662">
        <v>30</v>
      </c>
      <c r="D305" s="1646">
        <v>100</v>
      </c>
      <c r="E305" s="1646"/>
      <c r="F305" s="1648" t="s">
        <v>1594</v>
      </c>
      <c r="G305" s="1648"/>
      <c r="H305" s="1648">
        <v>30</v>
      </c>
      <c r="I305" s="1648" t="s">
        <v>1667</v>
      </c>
      <c r="J305" s="1649">
        <v>2</v>
      </c>
      <c r="K305" s="1648"/>
      <c r="L305" s="1648"/>
      <c r="M305" s="1648"/>
      <c r="N305" s="1642"/>
      <c r="O305" s="2876">
        <v>5.1161279999999998</v>
      </c>
      <c r="P305" s="2870"/>
      <c r="Q305" s="2870">
        <v>45687023</v>
      </c>
      <c r="R305" s="2870"/>
      <c r="S305" s="2870"/>
      <c r="T305" s="2870">
        <v>8.9299999921815871</v>
      </c>
      <c r="U305" s="2875">
        <v>45687023</v>
      </c>
      <c r="V305" s="2869">
        <v>5.387016</v>
      </c>
      <c r="W305" s="2870"/>
      <c r="X305" s="2870">
        <v>48106052</v>
      </c>
      <c r="Y305" s="2870"/>
      <c r="Z305" s="2870"/>
      <c r="AA305" s="2877">
        <v>8.9299998366442566</v>
      </c>
      <c r="AB305" s="2875">
        <v>48106052</v>
      </c>
      <c r="AC305" s="2869">
        <v>4.2254639999999997</v>
      </c>
      <c r="AD305" s="2870"/>
      <c r="AE305" s="2870">
        <v>37733393</v>
      </c>
      <c r="AF305" s="2870"/>
      <c r="AG305" s="2870"/>
      <c r="AH305" s="2877">
        <v>8.9299998769365914</v>
      </c>
      <c r="AI305" s="2875">
        <v>37733393</v>
      </c>
      <c r="AJ305" s="2869">
        <v>4.1919360000000001</v>
      </c>
      <c r="AK305" s="2870"/>
      <c r="AL305" s="2870">
        <v>37433988</v>
      </c>
      <c r="AM305" s="2870"/>
      <c r="AN305" s="2870"/>
      <c r="AO305" s="2877">
        <v>8.9299998854944356</v>
      </c>
      <c r="AP305" s="2875">
        <v>37433988</v>
      </c>
      <c r="AQ305" s="2869">
        <v>3.8431289999999998</v>
      </c>
      <c r="AR305" s="2870"/>
      <c r="AS305" s="2870">
        <v>34319143</v>
      </c>
      <c r="AT305" s="2870"/>
      <c r="AU305" s="2870"/>
      <c r="AV305" s="2877">
        <v>8.9300002680107795</v>
      </c>
      <c r="AW305" s="2875">
        <v>34319143</v>
      </c>
      <c r="AX305" s="2869">
        <v>4.3044479999999998</v>
      </c>
      <c r="AY305" s="2870"/>
      <c r="AZ305" s="2870">
        <v>38438721</v>
      </c>
      <c r="BA305" s="2870"/>
      <c r="BB305" s="2870"/>
      <c r="BC305" s="2877">
        <v>8.9300000836344164</v>
      </c>
      <c r="BD305" s="2875">
        <v>38438721</v>
      </c>
      <c r="BE305" s="2869">
        <v>4.6439760000000003</v>
      </c>
      <c r="BF305" s="2870"/>
      <c r="BG305" s="2870">
        <v>41470706</v>
      </c>
      <c r="BH305" s="2870"/>
      <c r="BI305" s="2870"/>
      <c r="BJ305" s="2877">
        <v>8.9300000689064714</v>
      </c>
      <c r="BK305" s="2875">
        <v>41470706</v>
      </c>
      <c r="BL305" s="2869">
        <v>4.0263600000000004</v>
      </c>
      <c r="BM305" s="2870"/>
      <c r="BN305" s="2870">
        <v>35955395</v>
      </c>
      <c r="BO305" s="2870"/>
      <c r="BP305" s="2870"/>
      <c r="BQ305" s="2877">
        <v>8.9300000496726568</v>
      </c>
      <c r="BR305" s="2875">
        <v>35955395</v>
      </c>
      <c r="BS305" s="2869">
        <v>3.850584</v>
      </c>
      <c r="BT305" s="2870"/>
      <c r="BU305" s="2870">
        <v>34385715</v>
      </c>
      <c r="BV305" s="2870"/>
      <c r="BW305" s="2870"/>
      <c r="BX305" s="2877">
        <v>8.9299999688358955</v>
      </c>
      <c r="BY305" s="2875">
        <v>34385715</v>
      </c>
      <c r="BZ305" s="2869">
        <v>3.7129919999999998</v>
      </c>
      <c r="CA305" s="2870"/>
      <c r="CB305" s="2870">
        <v>33157019</v>
      </c>
      <c r="CC305" s="2870"/>
      <c r="CD305" s="2870"/>
      <c r="CE305" s="2877">
        <v>8.9300001185028144</v>
      </c>
      <c r="CF305" s="2875">
        <v>33157019</v>
      </c>
      <c r="CG305" s="2869">
        <v>4.6781519999999999</v>
      </c>
      <c r="CH305" s="2870"/>
      <c r="CI305" s="2870">
        <v>41775897</v>
      </c>
      <c r="CJ305" s="2870"/>
      <c r="CK305" s="2870"/>
      <c r="CL305" s="2877">
        <v>8.9299999230465357</v>
      </c>
      <c r="CM305" s="2875">
        <v>41775897</v>
      </c>
      <c r="CN305" s="2911">
        <v>5.2575839999999996</v>
      </c>
      <c r="CO305" s="2870"/>
      <c r="CP305" s="2870">
        <v>46950225</v>
      </c>
      <c r="CQ305" s="2870"/>
      <c r="CR305" s="2870"/>
      <c r="CS305" s="2877">
        <v>8.9299999771758287</v>
      </c>
      <c r="CT305" s="2875">
        <v>46950225</v>
      </c>
      <c r="CU305" s="2878">
        <v>53.237768999999993</v>
      </c>
      <c r="CV305" s="2870">
        <v>0</v>
      </c>
      <c r="CW305" s="2870">
        <v>475413277</v>
      </c>
      <c r="CX305" s="2870">
        <v>0</v>
      </c>
      <c r="CY305" s="2870">
        <v>0</v>
      </c>
      <c r="CZ305" s="2879">
        <v>8.9299999968067798</v>
      </c>
      <c r="DA305" s="2875">
        <v>475413277</v>
      </c>
      <c r="DJ305" s="1611" t="e">
        <v>#N/A</v>
      </c>
      <c r="DK305" s="2782" t="e">
        <v>#N/A</v>
      </c>
      <c r="DM305" s="1650">
        <v>8.9299999968067798</v>
      </c>
    </row>
    <row r="306" spans="1:117" ht="21" customHeight="1">
      <c r="A306" s="1652">
        <v>16</v>
      </c>
      <c r="B306" s="1644" t="s">
        <v>1966</v>
      </c>
      <c r="C306" s="1662"/>
      <c r="D306" s="1648"/>
      <c r="E306" s="1648"/>
      <c r="F306" s="1648"/>
      <c r="G306" s="1648"/>
      <c r="H306" s="1648"/>
      <c r="I306" s="1648" t="s">
        <v>1667</v>
      </c>
      <c r="J306" s="1649">
        <v>2</v>
      </c>
      <c r="K306" s="1648"/>
      <c r="L306" s="1648"/>
      <c r="M306" s="1648"/>
      <c r="N306" s="1642"/>
      <c r="O306" s="2876"/>
      <c r="P306" s="2870"/>
      <c r="Q306" s="2870"/>
      <c r="R306" s="2870"/>
      <c r="S306" s="2870"/>
      <c r="T306" s="2870"/>
      <c r="U306" s="2875">
        <v>0</v>
      </c>
      <c r="V306" s="2869"/>
      <c r="W306" s="2870"/>
      <c r="X306" s="2870"/>
      <c r="Y306" s="2870"/>
      <c r="Z306" s="2870"/>
      <c r="AA306" s="2877"/>
      <c r="AB306" s="2875">
        <v>0</v>
      </c>
      <c r="AC306" s="2869"/>
      <c r="AD306" s="2870"/>
      <c r="AE306" s="2870"/>
      <c r="AF306" s="2870"/>
      <c r="AG306" s="2870"/>
      <c r="AH306" s="2877"/>
      <c r="AI306" s="2875">
        <v>0</v>
      </c>
      <c r="AJ306" s="2869"/>
      <c r="AK306" s="2870"/>
      <c r="AL306" s="2870"/>
      <c r="AM306" s="2870"/>
      <c r="AN306" s="2870"/>
      <c r="AO306" s="2877"/>
      <c r="AP306" s="2875">
        <v>0</v>
      </c>
      <c r="AQ306" s="2869"/>
      <c r="AR306" s="2870"/>
      <c r="AS306" s="2870"/>
      <c r="AT306" s="2870"/>
      <c r="AU306" s="2870"/>
      <c r="AV306" s="2877"/>
      <c r="AW306" s="2875">
        <v>0</v>
      </c>
      <c r="AX306" s="2869"/>
      <c r="AY306" s="2870"/>
      <c r="AZ306" s="2870"/>
      <c r="BA306" s="2870"/>
      <c r="BB306" s="2870"/>
      <c r="BC306" s="2877"/>
      <c r="BD306" s="2875">
        <v>0</v>
      </c>
      <c r="BE306" s="2869"/>
      <c r="BF306" s="2870"/>
      <c r="BG306" s="2870"/>
      <c r="BH306" s="2870"/>
      <c r="BI306" s="2870"/>
      <c r="BJ306" s="2877"/>
      <c r="BK306" s="2875">
        <v>0</v>
      </c>
      <c r="BL306" s="2869">
        <v>0.56974000000000002</v>
      </c>
      <c r="BM306" s="2870"/>
      <c r="BN306" s="2870">
        <v>1307553</v>
      </c>
      <c r="BO306" s="2870"/>
      <c r="BP306" s="2870"/>
      <c r="BQ306" s="2877">
        <v>2.2949994734440269</v>
      </c>
      <c r="BR306" s="2875">
        <v>1307553</v>
      </c>
      <c r="BS306" s="2869">
        <v>1.3525499999999999</v>
      </c>
      <c r="BT306" s="2870"/>
      <c r="BU306" s="2870">
        <v>3104102</v>
      </c>
      <c r="BV306" s="2870"/>
      <c r="BW306" s="2870"/>
      <c r="BX306" s="2877">
        <v>2.2949998151639495</v>
      </c>
      <c r="BY306" s="2875">
        <v>3104102</v>
      </c>
      <c r="BZ306" s="2869">
        <v>1.2927649999999999</v>
      </c>
      <c r="CA306" s="2870"/>
      <c r="CB306" s="2870">
        <v>2966896</v>
      </c>
      <c r="CC306" s="2870"/>
      <c r="CD306" s="2870"/>
      <c r="CE306" s="2877">
        <v>2.295000251399133</v>
      </c>
      <c r="CF306" s="2875">
        <v>2966896</v>
      </c>
      <c r="CG306" s="2869">
        <v>1.8325549999999999</v>
      </c>
      <c r="CH306" s="2870"/>
      <c r="CI306" s="2870">
        <v>4731009</v>
      </c>
      <c r="CJ306" s="2870"/>
      <c r="CK306" s="2870"/>
      <c r="CL306" s="2877">
        <v>2.5816463898764295</v>
      </c>
      <c r="CM306" s="2875">
        <v>4731009</v>
      </c>
      <c r="CN306" s="2902">
        <v>62.803339999999999</v>
      </c>
      <c r="CO306" s="2870"/>
      <c r="CP306" s="2912">
        <v>198794340.56999999</v>
      </c>
      <c r="CQ306" s="2870"/>
      <c r="CR306" s="2870"/>
      <c r="CS306" s="2877">
        <v>3.1653466291760917</v>
      </c>
      <c r="CT306" s="2875">
        <v>198794340.56999999</v>
      </c>
      <c r="CU306" s="2878">
        <v>67.850949999999997</v>
      </c>
      <c r="CV306" s="2870">
        <v>0</v>
      </c>
      <c r="CW306" s="2870">
        <v>210903900.56999999</v>
      </c>
      <c r="CX306" s="2870">
        <v>0</v>
      </c>
      <c r="CY306" s="2870">
        <v>0</v>
      </c>
      <c r="CZ306" s="2879">
        <v>3.1083411591142052</v>
      </c>
      <c r="DA306" s="2875">
        <v>210903900.56999999</v>
      </c>
      <c r="DJ306" s="1611" t="e">
        <v>#N/A</v>
      </c>
      <c r="DK306" s="2782" t="e">
        <v>#N/A</v>
      </c>
      <c r="DM306" s="1650">
        <v>3.1083411591142052</v>
      </c>
    </row>
    <row r="307" spans="1:117" ht="21" customHeight="1">
      <c r="A307" s="1652">
        <v>17</v>
      </c>
      <c r="B307" s="1701" t="s">
        <v>1967</v>
      </c>
      <c r="C307" s="1662">
        <v>5</v>
      </c>
      <c r="D307" s="1646">
        <v>100</v>
      </c>
      <c r="E307" s="1646"/>
      <c r="F307" s="1648"/>
      <c r="G307" s="1648"/>
      <c r="H307" s="1648">
        <v>5</v>
      </c>
      <c r="I307" s="1648" t="s">
        <v>1667</v>
      </c>
      <c r="J307" s="1649">
        <v>2</v>
      </c>
      <c r="K307" s="1648"/>
      <c r="L307" s="1648"/>
      <c r="M307" s="1648"/>
      <c r="N307" s="1642"/>
      <c r="O307" s="2876">
        <v>0.70360500000000004</v>
      </c>
      <c r="P307" s="2870"/>
      <c r="Q307" s="2870">
        <v>1783639</v>
      </c>
      <c r="R307" s="2870"/>
      <c r="S307" s="2870"/>
      <c r="T307" s="2870">
        <v>2.5350004619068938</v>
      </c>
      <c r="U307" s="2875">
        <v>1783639</v>
      </c>
      <c r="V307" s="2869">
        <v>0.65483999999999998</v>
      </c>
      <c r="W307" s="2870"/>
      <c r="X307" s="2870">
        <v>1660019</v>
      </c>
      <c r="Y307" s="2870"/>
      <c r="Z307" s="2870"/>
      <c r="AA307" s="2877">
        <v>2.5349993891637652</v>
      </c>
      <c r="AB307" s="2875">
        <v>1660019</v>
      </c>
      <c r="AC307" s="2869">
        <v>0.51476999999999995</v>
      </c>
      <c r="AD307" s="2870"/>
      <c r="AE307" s="2870">
        <v>1304942</v>
      </c>
      <c r="AF307" s="2870"/>
      <c r="AG307" s="2870"/>
      <c r="AH307" s="2877">
        <v>2.5350000971307578</v>
      </c>
      <c r="AI307" s="2875">
        <v>1304942</v>
      </c>
      <c r="AJ307" s="2869">
        <v>0.467835</v>
      </c>
      <c r="AK307" s="2870"/>
      <c r="AL307" s="2870">
        <v>1185962</v>
      </c>
      <c r="AM307" s="2870"/>
      <c r="AN307" s="2870"/>
      <c r="AO307" s="2877">
        <v>2.5350005878140798</v>
      </c>
      <c r="AP307" s="2875">
        <v>1185962</v>
      </c>
      <c r="AQ307" s="2869">
        <v>0.45041999999999999</v>
      </c>
      <c r="AR307" s="2870"/>
      <c r="AS307" s="2870">
        <v>1141815</v>
      </c>
      <c r="AT307" s="2870"/>
      <c r="AU307" s="2870"/>
      <c r="AV307" s="2877">
        <v>2.5350006660450246</v>
      </c>
      <c r="AW307" s="2875">
        <v>1141815</v>
      </c>
      <c r="AX307" s="2869">
        <v>0.55547999999999997</v>
      </c>
      <c r="AY307" s="2870"/>
      <c r="AZ307" s="2870">
        <v>1408142</v>
      </c>
      <c r="BA307" s="2870"/>
      <c r="BB307" s="2870"/>
      <c r="BC307" s="2877">
        <v>2.5350003600489668</v>
      </c>
      <c r="BD307" s="2875">
        <v>1408142</v>
      </c>
      <c r="BE307" s="2869">
        <v>0.67406999999999995</v>
      </c>
      <c r="BF307" s="2870"/>
      <c r="BG307" s="2870">
        <v>1708767</v>
      </c>
      <c r="BH307" s="2870"/>
      <c r="BI307" s="2870"/>
      <c r="BJ307" s="2877">
        <v>2.5349993324135474</v>
      </c>
      <c r="BK307" s="2875">
        <v>1708767</v>
      </c>
      <c r="BL307" s="2869">
        <v>0.50649</v>
      </c>
      <c r="BM307" s="2870"/>
      <c r="BN307" s="2870">
        <v>1283952</v>
      </c>
      <c r="BO307" s="2870"/>
      <c r="BP307" s="2870"/>
      <c r="BQ307" s="2877">
        <v>2.5349997038441034</v>
      </c>
      <c r="BR307" s="2875">
        <v>1283952</v>
      </c>
      <c r="BS307" s="2869">
        <v>0.47350500000000001</v>
      </c>
      <c r="BT307" s="2870"/>
      <c r="BU307" s="2870">
        <v>1200335</v>
      </c>
      <c r="BV307" s="2870"/>
      <c r="BW307" s="2870"/>
      <c r="BX307" s="2877">
        <v>2.5349996304157294</v>
      </c>
      <c r="BY307" s="2875">
        <v>1200335</v>
      </c>
      <c r="BZ307" s="2869">
        <v>0.42318</v>
      </c>
      <c r="CA307" s="2870"/>
      <c r="CB307" s="2870">
        <v>1072761</v>
      </c>
      <c r="CC307" s="2870"/>
      <c r="CD307" s="2870"/>
      <c r="CE307" s="2877">
        <v>2.5349992910818093</v>
      </c>
      <c r="CF307" s="2875">
        <v>1072761</v>
      </c>
      <c r="CG307" s="2869">
        <v>0.55444499999999997</v>
      </c>
      <c r="CH307" s="2870"/>
      <c r="CI307" s="2870">
        <v>2122214</v>
      </c>
      <c r="CJ307" s="2870"/>
      <c r="CK307" s="2870"/>
      <c r="CL307" s="2877">
        <v>3.8276366456546635</v>
      </c>
      <c r="CM307" s="2875">
        <v>2122214</v>
      </c>
      <c r="CN307" s="2911">
        <v>0.77661000000000002</v>
      </c>
      <c r="CO307" s="2870"/>
      <c r="CP307" s="2870">
        <v>2691848</v>
      </c>
      <c r="CQ307" s="2870"/>
      <c r="CR307" s="2870"/>
      <c r="CS307" s="2877">
        <v>3.4661516076280243</v>
      </c>
      <c r="CT307" s="2875">
        <v>2691848</v>
      </c>
      <c r="CU307" s="2878">
        <v>6.7552500000000011</v>
      </c>
      <c r="CV307" s="2870">
        <v>0</v>
      </c>
      <c r="CW307" s="2870">
        <v>18564396</v>
      </c>
      <c r="CX307" s="2870">
        <v>0</v>
      </c>
      <c r="CY307" s="2870">
        <v>0</v>
      </c>
      <c r="CZ307" s="2879">
        <v>2.7481434439880088</v>
      </c>
      <c r="DA307" s="2875">
        <v>18564396</v>
      </c>
      <c r="DJ307" s="1611" t="e">
        <v>#N/A</v>
      </c>
      <c r="DK307" s="2782" t="e">
        <v>#N/A</v>
      </c>
      <c r="DM307" s="1650">
        <v>2.7481434439880088</v>
      </c>
    </row>
    <row r="308" spans="1:117" ht="21" customHeight="1">
      <c r="A308" s="1652">
        <v>18</v>
      </c>
      <c r="B308" s="1668" t="s">
        <v>1968</v>
      </c>
      <c r="C308" s="1662">
        <v>2</v>
      </c>
      <c r="D308" s="1646">
        <v>100</v>
      </c>
      <c r="E308" s="1646"/>
      <c r="F308" s="1648" t="s">
        <v>1594</v>
      </c>
      <c r="G308" s="1648"/>
      <c r="H308" s="1648">
        <v>2</v>
      </c>
      <c r="I308" s="1648" t="s">
        <v>1667</v>
      </c>
      <c r="J308" s="1649">
        <v>2</v>
      </c>
      <c r="K308" s="1648"/>
      <c r="L308" s="1648"/>
      <c r="M308" s="1648"/>
      <c r="N308" s="1642"/>
      <c r="O308" s="2876">
        <v>0.22631999999999999</v>
      </c>
      <c r="P308" s="2870"/>
      <c r="Q308" s="2870">
        <v>4053391</v>
      </c>
      <c r="R308" s="2870"/>
      <c r="S308" s="2870"/>
      <c r="T308" s="2870">
        <v>17.909999116295509</v>
      </c>
      <c r="U308" s="2875">
        <v>4053391</v>
      </c>
      <c r="V308" s="2869">
        <v>0.1981</v>
      </c>
      <c r="W308" s="2870"/>
      <c r="X308" s="2870">
        <v>3547971</v>
      </c>
      <c r="Y308" s="2870"/>
      <c r="Z308" s="2870"/>
      <c r="AA308" s="2877">
        <v>17.91</v>
      </c>
      <c r="AB308" s="2875">
        <v>3547971</v>
      </c>
      <c r="AC308" s="2869">
        <v>0.19792000000000001</v>
      </c>
      <c r="AD308" s="2870"/>
      <c r="AE308" s="2870">
        <v>3544747</v>
      </c>
      <c r="AF308" s="2870"/>
      <c r="AG308" s="2870"/>
      <c r="AH308" s="2877">
        <v>17.909998989490703</v>
      </c>
      <c r="AI308" s="2875">
        <v>3544747</v>
      </c>
      <c r="AJ308" s="2869">
        <v>0.1648</v>
      </c>
      <c r="AK308" s="2870"/>
      <c r="AL308" s="2870">
        <v>2951568</v>
      </c>
      <c r="AM308" s="2870"/>
      <c r="AN308" s="2870"/>
      <c r="AO308" s="2877">
        <v>17.91</v>
      </c>
      <c r="AP308" s="2875">
        <v>2951568</v>
      </c>
      <c r="AQ308" s="2869">
        <v>0.15204000000000001</v>
      </c>
      <c r="AR308" s="2870"/>
      <c r="AS308" s="2870">
        <v>2723036</v>
      </c>
      <c r="AT308" s="2870"/>
      <c r="AU308" s="2870"/>
      <c r="AV308" s="2877">
        <v>17.909997369113391</v>
      </c>
      <c r="AW308" s="2875">
        <v>2723036</v>
      </c>
      <c r="AX308" s="2869">
        <v>0.1976</v>
      </c>
      <c r="AY308" s="2870"/>
      <c r="AZ308" s="2870">
        <v>3539016</v>
      </c>
      <c r="BA308" s="2870"/>
      <c r="BB308" s="2870"/>
      <c r="BC308" s="2877">
        <v>17.91</v>
      </c>
      <c r="BD308" s="2875">
        <v>3539016</v>
      </c>
      <c r="BE308" s="2869">
        <v>0.21460000000000001</v>
      </c>
      <c r="BF308" s="2870"/>
      <c r="BG308" s="2870">
        <v>3843486</v>
      </c>
      <c r="BH308" s="2870"/>
      <c r="BI308" s="2870"/>
      <c r="BJ308" s="2877">
        <v>17.91</v>
      </c>
      <c r="BK308" s="2875">
        <v>3843486</v>
      </c>
      <c r="BL308" s="2869">
        <v>0.17684</v>
      </c>
      <c r="BM308" s="2870"/>
      <c r="BN308" s="2870">
        <v>3167204</v>
      </c>
      <c r="BO308" s="2870"/>
      <c r="BP308" s="2870"/>
      <c r="BQ308" s="2877">
        <v>17.909997738068309</v>
      </c>
      <c r="BR308" s="2875">
        <v>3167204</v>
      </c>
      <c r="BS308" s="2869">
        <v>0.16682</v>
      </c>
      <c r="BT308" s="2870"/>
      <c r="BU308" s="2870">
        <v>2987746</v>
      </c>
      <c r="BV308" s="2870"/>
      <c r="BW308" s="2870"/>
      <c r="BX308" s="2877">
        <v>17.909998801102986</v>
      </c>
      <c r="BY308" s="2875">
        <v>2987746</v>
      </c>
      <c r="BZ308" s="2869">
        <v>0.11142000000000001</v>
      </c>
      <c r="CA308" s="2870"/>
      <c r="CB308" s="2870">
        <v>1995532</v>
      </c>
      <c r="CC308" s="2870"/>
      <c r="CD308" s="2870"/>
      <c r="CE308" s="2877">
        <v>17.909998204990128</v>
      </c>
      <c r="CF308" s="2875">
        <v>1995532</v>
      </c>
      <c r="CG308" s="2869">
        <v>0.17474000000000001</v>
      </c>
      <c r="CH308" s="2870"/>
      <c r="CI308" s="2870">
        <v>3129593</v>
      </c>
      <c r="CJ308" s="2870"/>
      <c r="CK308" s="2870"/>
      <c r="CL308" s="2877">
        <v>17.909997710884742</v>
      </c>
      <c r="CM308" s="2875">
        <v>3129593</v>
      </c>
      <c r="CN308" s="2911">
        <v>0.25571496000864075</v>
      </c>
      <c r="CO308" s="2870"/>
      <c r="CP308" s="2870">
        <v>4501858</v>
      </c>
      <c r="CQ308" s="2870"/>
      <c r="CR308" s="2870"/>
      <c r="CS308" s="2877">
        <v>17.604984862238329</v>
      </c>
      <c r="CT308" s="2875">
        <v>4501858</v>
      </c>
      <c r="CU308" s="2878">
        <v>2.2369149600086407</v>
      </c>
      <c r="CV308" s="2870">
        <v>0</v>
      </c>
      <c r="CW308" s="2870">
        <v>39985148</v>
      </c>
      <c r="CX308" s="2870">
        <v>0</v>
      </c>
      <c r="CY308" s="2870">
        <v>0</v>
      </c>
      <c r="CZ308" s="2879">
        <v>17.875131024134035</v>
      </c>
      <c r="DA308" s="2875">
        <v>39985148</v>
      </c>
      <c r="DJ308" s="1611" t="e">
        <v>#N/A</v>
      </c>
      <c r="DK308" s="2782" t="e">
        <v>#N/A</v>
      </c>
      <c r="DM308" s="1650">
        <v>17.875131024134035</v>
      </c>
    </row>
    <row r="309" spans="1:117" ht="21" customHeight="1">
      <c r="A309" s="1652">
        <v>19</v>
      </c>
      <c r="B309" s="1668" t="s">
        <v>1969</v>
      </c>
      <c r="C309" s="1662">
        <v>15</v>
      </c>
      <c r="D309" s="1646">
        <v>100</v>
      </c>
      <c r="E309" s="1646"/>
      <c r="F309" s="1648" t="s">
        <v>1594</v>
      </c>
      <c r="G309" s="1648"/>
      <c r="H309" s="1648">
        <v>15</v>
      </c>
      <c r="I309" s="1648" t="s">
        <v>1667</v>
      </c>
      <c r="J309" s="1649">
        <v>2</v>
      </c>
      <c r="K309" s="1648"/>
      <c r="L309" s="1648"/>
      <c r="M309" s="1648"/>
      <c r="N309" s="1642"/>
      <c r="O309" s="2876">
        <v>2.6701679999999999</v>
      </c>
      <c r="P309" s="2870"/>
      <c r="Q309" s="2870">
        <v>18744579</v>
      </c>
      <c r="R309" s="2870"/>
      <c r="S309" s="2870"/>
      <c r="T309" s="2870">
        <v>7.0199998651770228</v>
      </c>
      <c r="U309" s="2875">
        <v>18744579</v>
      </c>
      <c r="V309" s="2869">
        <v>2.6068920000000002</v>
      </c>
      <c r="W309" s="2870"/>
      <c r="X309" s="2870">
        <v>18300381</v>
      </c>
      <c r="Y309" s="2870"/>
      <c r="Z309" s="2870"/>
      <c r="AA309" s="2877">
        <v>7.0199996777772151</v>
      </c>
      <c r="AB309" s="2875">
        <v>18300381</v>
      </c>
      <c r="AC309" s="2869">
        <v>2.101308</v>
      </c>
      <c r="AD309" s="2870"/>
      <c r="AE309" s="2870">
        <v>14751182</v>
      </c>
      <c r="AF309" s="2870"/>
      <c r="AG309" s="2870"/>
      <c r="AH309" s="2877">
        <v>7.0199999238569504</v>
      </c>
      <c r="AI309" s="2875">
        <v>14751182</v>
      </c>
      <c r="AJ309" s="2869">
        <v>2.0808719999999998</v>
      </c>
      <c r="AK309" s="2870"/>
      <c r="AL309" s="2870">
        <v>14607721</v>
      </c>
      <c r="AM309" s="2870"/>
      <c r="AN309" s="2870"/>
      <c r="AO309" s="2877">
        <v>7.0199997885501855</v>
      </c>
      <c r="AP309" s="2875">
        <v>14607721</v>
      </c>
      <c r="AQ309" s="2869">
        <v>2.0079959999999999</v>
      </c>
      <c r="AR309" s="2870"/>
      <c r="AS309" s="2870">
        <v>14096131</v>
      </c>
      <c r="AT309" s="2870"/>
      <c r="AU309" s="2870"/>
      <c r="AV309" s="2877">
        <v>7.0199995418317567</v>
      </c>
      <c r="AW309" s="2875">
        <v>14096131</v>
      </c>
      <c r="AX309" s="2869">
        <v>2.1241680000000001</v>
      </c>
      <c r="AY309" s="2870"/>
      <c r="AZ309" s="2870">
        <v>14911659</v>
      </c>
      <c r="BA309" s="2870"/>
      <c r="BB309" s="2870"/>
      <c r="BC309" s="2877">
        <v>7.01999983052188</v>
      </c>
      <c r="BD309" s="2875">
        <v>14911659</v>
      </c>
      <c r="BE309" s="2869">
        <v>2.2697880000000001</v>
      </c>
      <c r="BF309" s="2870"/>
      <c r="BG309" s="2870">
        <v>15933912</v>
      </c>
      <c r="BH309" s="2870"/>
      <c r="BI309" s="2870"/>
      <c r="BJ309" s="2877">
        <v>7.0200001057367469</v>
      </c>
      <c r="BK309" s="2875">
        <v>15933912</v>
      </c>
      <c r="BL309" s="2869">
        <v>1.9334880000000001</v>
      </c>
      <c r="BM309" s="2870"/>
      <c r="BN309" s="2870">
        <v>13573085</v>
      </c>
      <c r="BO309" s="2870"/>
      <c r="BP309" s="2870"/>
      <c r="BQ309" s="2877">
        <v>7.0199996069279971</v>
      </c>
      <c r="BR309" s="2875">
        <v>13573085</v>
      </c>
      <c r="BS309" s="2869">
        <v>1.931484</v>
      </c>
      <c r="BT309" s="2870"/>
      <c r="BU309" s="2870">
        <v>13559018</v>
      </c>
      <c r="BV309" s="2870"/>
      <c r="BW309" s="2870"/>
      <c r="BX309" s="2877">
        <v>7.0200001656757189</v>
      </c>
      <c r="BY309" s="2875">
        <v>13559018</v>
      </c>
      <c r="BZ309" s="2869">
        <v>1.78566</v>
      </c>
      <c r="CA309" s="2870"/>
      <c r="CB309" s="2870">
        <v>12535333</v>
      </c>
      <c r="CC309" s="2870"/>
      <c r="CD309" s="2870"/>
      <c r="CE309" s="2877">
        <v>7.0199998879965948</v>
      </c>
      <c r="CF309" s="2875">
        <v>12535333</v>
      </c>
      <c r="CG309" s="2869">
        <v>2.2745039999999999</v>
      </c>
      <c r="CH309" s="2870"/>
      <c r="CI309" s="2870">
        <v>15967018</v>
      </c>
      <c r="CJ309" s="2870"/>
      <c r="CK309" s="2870"/>
      <c r="CL309" s="2877">
        <v>7.0199999648274964</v>
      </c>
      <c r="CM309" s="2875">
        <v>15967018</v>
      </c>
      <c r="CN309" s="2911">
        <v>2.724936</v>
      </c>
      <c r="CO309" s="2870"/>
      <c r="CP309" s="2870">
        <v>19129052</v>
      </c>
      <c r="CQ309" s="2870"/>
      <c r="CR309" s="2870"/>
      <c r="CS309" s="2877">
        <v>7.0200004697358027</v>
      </c>
      <c r="CT309" s="2875">
        <v>19129052</v>
      </c>
      <c r="CU309" s="2878">
        <v>26.511264000000001</v>
      </c>
      <c r="CV309" s="2870">
        <v>0</v>
      </c>
      <c r="CW309" s="2870">
        <v>186109071</v>
      </c>
      <c r="CX309" s="2870">
        <v>0</v>
      </c>
      <c r="CY309" s="2870">
        <v>0</v>
      </c>
      <c r="CZ309" s="2879">
        <v>7.0199999139988192</v>
      </c>
      <c r="DA309" s="2875">
        <v>186109071</v>
      </c>
      <c r="DJ309" s="1611" t="e">
        <v>#N/A</v>
      </c>
      <c r="DK309" s="2782" t="e">
        <v>#N/A</v>
      </c>
      <c r="DM309" s="1650">
        <v>7.0199999139988192</v>
      </c>
    </row>
    <row r="310" spans="1:117" ht="21" customHeight="1">
      <c r="A310" s="1652">
        <v>20</v>
      </c>
      <c r="B310" s="1668" t="s">
        <v>1970</v>
      </c>
      <c r="C310" s="1662">
        <v>10</v>
      </c>
      <c r="D310" s="1646">
        <v>100</v>
      </c>
      <c r="E310" s="1646"/>
      <c r="F310" s="1648" t="s">
        <v>1594</v>
      </c>
      <c r="G310" s="1648"/>
      <c r="H310" s="1648">
        <v>10</v>
      </c>
      <c r="I310" s="1648" t="s">
        <v>1667</v>
      </c>
      <c r="J310" s="1649">
        <v>2</v>
      </c>
      <c r="K310" s="1648"/>
      <c r="L310" s="1648"/>
      <c r="M310" s="1648"/>
      <c r="N310" s="1642"/>
      <c r="O310" s="2876">
        <v>1.6468590000000001</v>
      </c>
      <c r="P310" s="2870"/>
      <c r="Q310" s="2870">
        <v>15216977</v>
      </c>
      <c r="R310" s="2870"/>
      <c r="S310" s="2870"/>
      <c r="T310" s="2870">
        <v>9.2399999028453568</v>
      </c>
      <c r="U310" s="2875">
        <v>15216977</v>
      </c>
      <c r="V310" s="2869">
        <v>1.624779</v>
      </c>
      <c r="W310" s="2870"/>
      <c r="X310" s="2870">
        <v>15012958</v>
      </c>
      <c r="Y310" s="2870"/>
      <c r="Z310" s="2870"/>
      <c r="AA310" s="2877">
        <v>9.2400000246187322</v>
      </c>
      <c r="AB310" s="2875">
        <v>15012958</v>
      </c>
      <c r="AC310" s="2869">
        <v>1.316716</v>
      </c>
      <c r="AD310" s="2870"/>
      <c r="AE310" s="2870">
        <v>12166460</v>
      </c>
      <c r="AF310" s="2870"/>
      <c r="AG310" s="2870"/>
      <c r="AH310" s="2877">
        <v>9.2400031593752949</v>
      </c>
      <c r="AI310" s="2875">
        <v>12166460</v>
      </c>
      <c r="AJ310" s="2869">
        <v>1.054581</v>
      </c>
      <c r="AK310" s="2870"/>
      <c r="AL310" s="2870">
        <v>9744334</v>
      </c>
      <c r="AM310" s="2870"/>
      <c r="AN310" s="2870"/>
      <c r="AO310" s="2877">
        <v>9.2400052722360826</v>
      </c>
      <c r="AP310" s="2875">
        <v>9744334</v>
      </c>
      <c r="AQ310" s="2869">
        <v>0.91432100000000005</v>
      </c>
      <c r="AR310" s="2870"/>
      <c r="AS310" s="2870">
        <v>8448321</v>
      </c>
      <c r="AT310" s="2870"/>
      <c r="AU310" s="2870"/>
      <c r="AV310" s="2877">
        <v>9.2399944877127407</v>
      </c>
      <c r="AW310" s="2875">
        <v>8448321</v>
      </c>
      <c r="AX310" s="2869">
        <v>1.442456</v>
      </c>
      <c r="AY310" s="2870"/>
      <c r="AZ310" s="2870">
        <v>13328289</v>
      </c>
      <c r="BA310" s="2870"/>
      <c r="BB310" s="2870"/>
      <c r="BC310" s="2877">
        <v>9.239996921916509</v>
      </c>
      <c r="BD310" s="2875">
        <v>13328289</v>
      </c>
      <c r="BE310" s="2869">
        <v>1.5288409999999999</v>
      </c>
      <c r="BF310" s="2870"/>
      <c r="BG310" s="2870">
        <v>14126486</v>
      </c>
      <c r="BH310" s="2870"/>
      <c r="BI310" s="2870"/>
      <c r="BJ310" s="2877">
        <v>9.2399968342031649</v>
      </c>
      <c r="BK310" s="2875">
        <v>14126486</v>
      </c>
      <c r="BL310" s="2869">
        <v>1.340238</v>
      </c>
      <c r="BM310" s="2870"/>
      <c r="BN310" s="2870">
        <v>12383799</v>
      </c>
      <c r="BO310" s="2870"/>
      <c r="BP310" s="2870"/>
      <c r="BQ310" s="2877">
        <v>9.2399999104636645</v>
      </c>
      <c r="BR310" s="2875">
        <v>12383799</v>
      </c>
      <c r="BS310" s="2869">
        <v>1.3246020000000001</v>
      </c>
      <c r="BT310" s="2870"/>
      <c r="BU310" s="2870">
        <v>12239322</v>
      </c>
      <c r="BV310" s="2870"/>
      <c r="BW310" s="2870"/>
      <c r="BX310" s="2877">
        <v>9.2399996376270011</v>
      </c>
      <c r="BY310" s="2875">
        <v>12239322</v>
      </c>
      <c r="BZ310" s="2869">
        <v>1.300003</v>
      </c>
      <c r="CA310" s="2870"/>
      <c r="CB310" s="2870">
        <v>12012032</v>
      </c>
      <c r="CC310" s="2870"/>
      <c r="CD310" s="2870"/>
      <c r="CE310" s="2877">
        <v>9.240003292300095</v>
      </c>
      <c r="CF310" s="2875">
        <v>12012032</v>
      </c>
      <c r="CG310" s="2869">
        <v>1.5590619999999999</v>
      </c>
      <c r="CH310" s="2870"/>
      <c r="CI310" s="2870">
        <v>14405738</v>
      </c>
      <c r="CJ310" s="2870"/>
      <c r="CK310" s="2870"/>
      <c r="CL310" s="2877">
        <v>9.2400032840259083</v>
      </c>
      <c r="CM310" s="2875">
        <v>14405738</v>
      </c>
      <c r="CN310" s="2911">
        <v>1.7166786000000001</v>
      </c>
      <c r="CO310" s="2870"/>
      <c r="CP310" s="2870">
        <v>15862091</v>
      </c>
      <c r="CQ310" s="2870"/>
      <c r="CR310" s="2870"/>
      <c r="CS310" s="2877">
        <v>9.2399887783304333</v>
      </c>
      <c r="CT310" s="2875">
        <v>15862091</v>
      </c>
      <c r="CU310" s="2878">
        <v>16.769136600000003</v>
      </c>
      <c r="CV310" s="2870">
        <v>0</v>
      </c>
      <c r="CW310" s="2870">
        <v>154946807</v>
      </c>
      <c r="CX310" s="2870">
        <v>0</v>
      </c>
      <c r="CY310" s="2870">
        <v>0</v>
      </c>
      <c r="CZ310" s="2879">
        <v>9.2399990945270236</v>
      </c>
      <c r="DA310" s="2875">
        <v>154946807</v>
      </c>
      <c r="DJ310" s="1611" t="e">
        <v>#N/A</v>
      </c>
      <c r="DK310" s="2782" t="e">
        <v>#N/A</v>
      </c>
      <c r="DM310" s="1650">
        <v>9.2399990945270236</v>
      </c>
    </row>
    <row r="311" spans="1:117" ht="21" customHeight="1">
      <c r="A311" s="1652">
        <v>21</v>
      </c>
      <c r="B311" s="1668" t="s">
        <v>1971</v>
      </c>
      <c r="C311" s="1662">
        <v>5</v>
      </c>
      <c r="D311" s="1646">
        <v>100</v>
      </c>
      <c r="E311" s="1646"/>
      <c r="F311" s="1648"/>
      <c r="G311" s="1648"/>
      <c r="H311" s="1648">
        <v>5</v>
      </c>
      <c r="I311" s="1648" t="s">
        <v>1667</v>
      </c>
      <c r="J311" s="1649">
        <v>2</v>
      </c>
      <c r="K311" s="1648"/>
      <c r="L311" s="1648"/>
      <c r="M311" s="1648"/>
      <c r="N311" s="1642"/>
      <c r="O311" s="2876">
        <v>0.74719999999999998</v>
      </c>
      <c r="P311" s="2870"/>
      <c r="Q311" s="2870">
        <v>3788304</v>
      </c>
      <c r="R311" s="2870"/>
      <c r="S311" s="2870"/>
      <c r="T311" s="2870">
        <v>5.07</v>
      </c>
      <c r="U311" s="2875">
        <v>3788304</v>
      </c>
      <c r="V311" s="2869">
        <v>0.80930000000000002</v>
      </c>
      <c r="W311" s="2870"/>
      <c r="X311" s="2870">
        <v>4103151</v>
      </c>
      <c r="Y311" s="2870"/>
      <c r="Z311" s="2870"/>
      <c r="AA311" s="2877">
        <v>5.07</v>
      </c>
      <c r="AB311" s="2875">
        <v>4103151</v>
      </c>
      <c r="AC311" s="2869">
        <v>0.58399999999999996</v>
      </c>
      <c r="AD311" s="2870"/>
      <c r="AE311" s="2870">
        <v>2960880</v>
      </c>
      <c r="AF311" s="2870"/>
      <c r="AG311" s="2870"/>
      <c r="AH311" s="2877">
        <v>5.07</v>
      </c>
      <c r="AI311" s="2875">
        <v>2960880</v>
      </c>
      <c r="AJ311" s="2869">
        <v>0.67379900000000004</v>
      </c>
      <c r="AK311" s="2870"/>
      <c r="AL311" s="2870">
        <v>3416161</v>
      </c>
      <c r="AM311" s="2870"/>
      <c r="AN311" s="2870"/>
      <c r="AO311" s="2877">
        <v>5.0700001038885487</v>
      </c>
      <c r="AP311" s="2875">
        <v>3416161</v>
      </c>
      <c r="AQ311" s="2869">
        <v>0.50450099999999998</v>
      </c>
      <c r="AR311" s="2870"/>
      <c r="AS311" s="2870">
        <v>2557820</v>
      </c>
      <c r="AT311" s="2870"/>
      <c r="AU311" s="2870"/>
      <c r="AV311" s="2877">
        <v>5.0699998612490358</v>
      </c>
      <c r="AW311" s="2875">
        <v>2557820</v>
      </c>
      <c r="AX311" s="2869">
        <v>0.66109899999999999</v>
      </c>
      <c r="AY311" s="2870"/>
      <c r="AZ311" s="2870">
        <v>3351772</v>
      </c>
      <c r="BA311" s="2870"/>
      <c r="BB311" s="2870"/>
      <c r="BC311" s="2877">
        <v>5.0700001058842927</v>
      </c>
      <c r="BD311" s="2875">
        <v>3351772</v>
      </c>
      <c r="BE311" s="2869">
        <v>0.67990099999999998</v>
      </c>
      <c r="BF311" s="2870"/>
      <c r="BG311" s="2870">
        <v>3447098</v>
      </c>
      <c r="BH311" s="2870"/>
      <c r="BI311" s="2870"/>
      <c r="BJ311" s="2877">
        <v>5.069999897043834</v>
      </c>
      <c r="BK311" s="2875">
        <v>3447098</v>
      </c>
      <c r="BL311" s="2869">
        <v>0.523899</v>
      </c>
      <c r="BM311" s="2870"/>
      <c r="BN311" s="2870">
        <v>2656168</v>
      </c>
      <c r="BO311" s="2870"/>
      <c r="BP311" s="2870"/>
      <c r="BQ311" s="2877">
        <v>5.0700001336135401</v>
      </c>
      <c r="BR311" s="2875">
        <v>2656168</v>
      </c>
      <c r="BS311" s="2869">
        <v>0.51160099999999997</v>
      </c>
      <c r="BT311" s="2870"/>
      <c r="BU311" s="2870">
        <v>2593817</v>
      </c>
      <c r="BV311" s="2870"/>
      <c r="BW311" s="2870"/>
      <c r="BX311" s="2877">
        <v>5.0699998631746226</v>
      </c>
      <c r="BY311" s="2875">
        <v>2593817</v>
      </c>
      <c r="BZ311" s="2869">
        <v>0.42830000000000001</v>
      </c>
      <c r="CA311" s="2870"/>
      <c r="CB311" s="2870">
        <v>2171481</v>
      </c>
      <c r="CC311" s="2870"/>
      <c r="CD311" s="2870"/>
      <c r="CE311" s="2877">
        <v>5.07</v>
      </c>
      <c r="CF311" s="2875">
        <v>2171481</v>
      </c>
      <c r="CG311" s="2869">
        <v>0.63090000000000002</v>
      </c>
      <c r="CH311" s="2870"/>
      <c r="CI311" s="2870">
        <v>3198663</v>
      </c>
      <c r="CJ311" s="2870"/>
      <c r="CK311" s="2870"/>
      <c r="CL311" s="2877">
        <v>5.07</v>
      </c>
      <c r="CM311" s="2875">
        <v>3198663</v>
      </c>
      <c r="CN311" s="2911">
        <v>0.78480000000000005</v>
      </c>
      <c r="CO311" s="2870"/>
      <c r="CP311" s="2870">
        <v>3978936</v>
      </c>
      <c r="CQ311" s="2870"/>
      <c r="CR311" s="2870"/>
      <c r="CS311" s="2877">
        <v>5.07</v>
      </c>
      <c r="CT311" s="2875">
        <v>3978936</v>
      </c>
      <c r="CU311" s="2878">
        <v>7.5392999999999999</v>
      </c>
      <c r="CV311" s="2870">
        <v>0</v>
      </c>
      <c r="CW311" s="2870">
        <v>38224251</v>
      </c>
      <c r="CX311" s="2870">
        <v>0</v>
      </c>
      <c r="CY311" s="2870">
        <v>0</v>
      </c>
      <c r="CZ311" s="2879">
        <v>5.07</v>
      </c>
      <c r="DA311" s="2875">
        <v>38224251</v>
      </c>
      <c r="DJ311" s="1611" t="e">
        <v>#N/A</v>
      </c>
      <c r="DK311" s="2782" t="e">
        <v>#N/A</v>
      </c>
      <c r="DM311" s="1650">
        <v>5.07</v>
      </c>
    </row>
    <row r="312" spans="1:117" ht="21" customHeight="1">
      <c r="A312" s="1652">
        <v>22</v>
      </c>
      <c r="B312" s="1668" t="s">
        <v>1972</v>
      </c>
      <c r="C312" s="1662">
        <v>5</v>
      </c>
      <c r="D312" s="1646">
        <v>100</v>
      </c>
      <c r="E312" s="1646"/>
      <c r="F312" s="1648" t="s">
        <v>1594</v>
      </c>
      <c r="G312" s="1648"/>
      <c r="H312" s="1648">
        <v>5</v>
      </c>
      <c r="I312" s="1648" t="s">
        <v>1667</v>
      </c>
      <c r="J312" s="1649">
        <v>2</v>
      </c>
      <c r="K312" s="1648"/>
      <c r="L312" s="1648"/>
      <c r="M312" s="1648"/>
      <c r="N312" s="1642"/>
      <c r="O312" s="2876">
        <v>0.92188300000000001</v>
      </c>
      <c r="P312" s="2870"/>
      <c r="Q312" s="2870">
        <v>6471622</v>
      </c>
      <c r="R312" s="2870"/>
      <c r="S312" s="2870"/>
      <c r="T312" s="2870">
        <v>7.0200036230194067</v>
      </c>
      <c r="U312" s="2875">
        <v>6471622</v>
      </c>
      <c r="V312" s="2869">
        <v>0.97619400000000001</v>
      </c>
      <c r="W312" s="2870"/>
      <c r="X312" s="2870">
        <v>6852882</v>
      </c>
      <c r="Y312" s="2870"/>
      <c r="Z312" s="2870"/>
      <c r="AA312" s="2877">
        <v>7.020000122926386</v>
      </c>
      <c r="AB312" s="2875">
        <v>6852882</v>
      </c>
      <c r="AC312" s="2869">
        <v>0.75164399999999998</v>
      </c>
      <c r="AD312" s="2870"/>
      <c r="AE312" s="2870">
        <v>5276541</v>
      </c>
      <c r="AF312" s="2870"/>
      <c r="AG312" s="2870"/>
      <c r="AH312" s="2877">
        <v>7.0200001596500474</v>
      </c>
      <c r="AI312" s="2875">
        <v>5276541</v>
      </c>
      <c r="AJ312" s="2869">
        <v>0.73491300000000004</v>
      </c>
      <c r="AK312" s="2870"/>
      <c r="AL312" s="2870">
        <v>5159089</v>
      </c>
      <c r="AM312" s="2870"/>
      <c r="AN312" s="2870"/>
      <c r="AO312" s="2877">
        <v>7.0199996462166272</v>
      </c>
      <c r="AP312" s="2875">
        <v>5159089</v>
      </c>
      <c r="AQ312" s="2869">
        <v>0.70046600000000003</v>
      </c>
      <c r="AR312" s="2870"/>
      <c r="AS312" s="2870">
        <v>4917268</v>
      </c>
      <c r="AT312" s="2870"/>
      <c r="AU312" s="2870"/>
      <c r="AV312" s="2877">
        <v>7.0199952602981446</v>
      </c>
      <c r="AW312" s="2875">
        <v>4917268</v>
      </c>
      <c r="AX312" s="2869">
        <v>0.73177599999999998</v>
      </c>
      <c r="AY312" s="2870"/>
      <c r="AZ312" s="2870">
        <v>5137071</v>
      </c>
      <c r="BA312" s="2870"/>
      <c r="BB312" s="2870"/>
      <c r="BC312" s="2877">
        <v>7.0200047555536118</v>
      </c>
      <c r="BD312" s="2875">
        <v>5137071</v>
      </c>
      <c r="BE312" s="2869">
        <v>0.78727499999999995</v>
      </c>
      <c r="BF312" s="2870"/>
      <c r="BG312" s="2870">
        <v>5526671</v>
      </c>
      <c r="BH312" s="2870"/>
      <c r="BI312" s="2870"/>
      <c r="BJ312" s="2877">
        <v>7.0200006351020923</v>
      </c>
      <c r="BK312" s="2875">
        <v>5526671</v>
      </c>
      <c r="BL312" s="2869">
        <v>0.71480699999999997</v>
      </c>
      <c r="BM312" s="2870"/>
      <c r="BN312" s="2870">
        <v>5017945</v>
      </c>
      <c r="BO312" s="2870"/>
      <c r="BP312" s="2870"/>
      <c r="BQ312" s="2877">
        <v>7.0199998041429366</v>
      </c>
      <c r="BR312" s="2875">
        <v>5017945</v>
      </c>
      <c r="BS312" s="2869">
        <v>0.68353600000000003</v>
      </c>
      <c r="BT312" s="2870"/>
      <c r="BU312" s="2870">
        <v>4798426</v>
      </c>
      <c r="BV312" s="2870"/>
      <c r="BW312" s="2870"/>
      <c r="BX312" s="2877">
        <v>7.0200047985768119</v>
      </c>
      <c r="BY312" s="2875">
        <v>4798426</v>
      </c>
      <c r="BZ312" s="2869">
        <v>0.629888</v>
      </c>
      <c r="CA312" s="2870"/>
      <c r="CB312" s="2870">
        <v>4421810</v>
      </c>
      <c r="CC312" s="2870"/>
      <c r="CD312" s="2870"/>
      <c r="CE312" s="2877">
        <v>7.0199940306848205</v>
      </c>
      <c r="CF312" s="2875">
        <v>4421810</v>
      </c>
      <c r="CG312" s="2869">
        <v>0.60311700000000001</v>
      </c>
      <c r="CH312" s="2870"/>
      <c r="CI312" s="2870">
        <v>4233881</v>
      </c>
      <c r="CJ312" s="2870"/>
      <c r="CK312" s="2870"/>
      <c r="CL312" s="2877">
        <v>7.0199994362619522</v>
      </c>
      <c r="CM312" s="2875">
        <v>4233881</v>
      </c>
      <c r="CN312" s="2911">
        <v>0.84768599999999994</v>
      </c>
      <c r="CO312" s="2870"/>
      <c r="CP312" s="2870">
        <v>5950735</v>
      </c>
      <c r="CQ312" s="2870"/>
      <c r="CR312" s="2870"/>
      <c r="CS312" s="2877">
        <v>7.0199755569869042</v>
      </c>
      <c r="CT312" s="2875">
        <v>5950735</v>
      </c>
      <c r="CU312" s="2878">
        <v>9.0831850000000003</v>
      </c>
      <c r="CV312" s="2870">
        <v>0</v>
      </c>
      <c r="CW312" s="2870">
        <v>63763941</v>
      </c>
      <c r="CX312" s="2870">
        <v>0</v>
      </c>
      <c r="CY312" s="2870">
        <v>0</v>
      </c>
      <c r="CZ312" s="2879">
        <v>7.0199980513443245</v>
      </c>
      <c r="DA312" s="2875">
        <v>63763941</v>
      </c>
      <c r="DJ312" s="1611" t="e">
        <v>#N/A</v>
      </c>
      <c r="DK312" s="2782" t="e">
        <v>#N/A</v>
      </c>
      <c r="DM312" s="1650">
        <v>7.0199980513443245</v>
      </c>
    </row>
    <row r="313" spans="1:117" ht="21" customHeight="1">
      <c r="A313" s="1652">
        <v>23</v>
      </c>
      <c r="B313" s="1668" t="s">
        <v>1973</v>
      </c>
      <c r="C313" s="1662">
        <v>10</v>
      </c>
      <c r="D313" s="1646">
        <v>100</v>
      </c>
      <c r="E313" s="1646"/>
      <c r="F313" s="1648" t="s">
        <v>1594</v>
      </c>
      <c r="G313" s="1648"/>
      <c r="H313" s="1648">
        <v>10</v>
      </c>
      <c r="I313" s="1648" t="s">
        <v>1667</v>
      </c>
      <c r="J313" s="1649">
        <v>2</v>
      </c>
      <c r="K313" s="1648"/>
      <c r="L313" s="1648"/>
      <c r="M313" s="1648"/>
      <c r="N313" s="1642"/>
      <c r="O313" s="2876">
        <v>1.642706</v>
      </c>
      <c r="P313" s="2870"/>
      <c r="Q313" s="2870">
        <v>15326442</v>
      </c>
      <c r="R313" s="2870"/>
      <c r="S313" s="2870"/>
      <c r="T313" s="2870">
        <v>9.3299969684167472</v>
      </c>
      <c r="U313" s="2875">
        <v>15326442</v>
      </c>
      <c r="V313" s="2869">
        <v>1.6562490000000001</v>
      </c>
      <c r="W313" s="2870"/>
      <c r="X313" s="2870">
        <v>15452803</v>
      </c>
      <c r="Y313" s="2870"/>
      <c r="Z313" s="2870"/>
      <c r="AA313" s="2877">
        <v>9.3299998973584284</v>
      </c>
      <c r="AB313" s="2875">
        <v>15452803</v>
      </c>
      <c r="AC313" s="2869">
        <v>1.3093250000000001</v>
      </c>
      <c r="AD313" s="2870"/>
      <c r="AE313" s="2870">
        <v>12215998</v>
      </c>
      <c r="AF313" s="2870"/>
      <c r="AG313" s="2870"/>
      <c r="AH313" s="2877">
        <v>9.3299967540526616</v>
      </c>
      <c r="AI313" s="2875">
        <v>12215998</v>
      </c>
      <c r="AJ313" s="2869">
        <v>1.3760600000000001</v>
      </c>
      <c r="AK313" s="2870"/>
      <c r="AL313" s="2870">
        <v>12838639</v>
      </c>
      <c r="AM313" s="2870"/>
      <c r="AN313" s="2870"/>
      <c r="AO313" s="2877">
        <v>9.3299994186300008</v>
      </c>
      <c r="AP313" s="2875">
        <v>12838639</v>
      </c>
      <c r="AQ313" s="2869">
        <v>0.95664899999999997</v>
      </c>
      <c r="AR313" s="2870"/>
      <c r="AS313" s="2870">
        <v>8925535</v>
      </c>
      <c r="AT313" s="2870"/>
      <c r="AU313" s="2870"/>
      <c r="AV313" s="2877">
        <v>9.3299998222963705</v>
      </c>
      <c r="AW313" s="2875">
        <v>8925535</v>
      </c>
      <c r="AX313" s="2869">
        <v>1.4115530000000001</v>
      </c>
      <c r="AY313" s="2870"/>
      <c r="AZ313" s="2870">
        <v>13169785</v>
      </c>
      <c r="BA313" s="2870"/>
      <c r="BB313" s="2870"/>
      <c r="BC313" s="2877">
        <v>9.3299968191063325</v>
      </c>
      <c r="BD313" s="2875">
        <v>13169785</v>
      </c>
      <c r="BE313" s="2869">
        <v>1.521042</v>
      </c>
      <c r="BF313" s="2870"/>
      <c r="BG313" s="2870">
        <v>14191321</v>
      </c>
      <c r="BH313" s="2870"/>
      <c r="BI313" s="2870"/>
      <c r="BJ313" s="2877">
        <v>9.3299994345981236</v>
      </c>
      <c r="BK313" s="2875">
        <v>14191321</v>
      </c>
      <c r="BL313" s="2869">
        <v>1.340883</v>
      </c>
      <c r="BM313" s="2870"/>
      <c r="BN313" s="2870">
        <v>12510438</v>
      </c>
      <c r="BO313" s="2870"/>
      <c r="BP313" s="2870"/>
      <c r="BQ313" s="2877">
        <v>9.3299997091468825</v>
      </c>
      <c r="BR313" s="2875">
        <v>12510438</v>
      </c>
      <c r="BS313" s="2869">
        <v>1.3111710000000001</v>
      </c>
      <c r="BT313" s="2870"/>
      <c r="BU313" s="2870">
        <v>12233225</v>
      </c>
      <c r="BV313" s="2870"/>
      <c r="BW313" s="2870"/>
      <c r="BX313" s="2877">
        <v>9.3299996720488778</v>
      </c>
      <c r="BY313" s="2875">
        <v>12233225</v>
      </c>
      <c r="BZ313" s="2869">
        <v>1.2942830000000001</v>
      </c>
      <c r="CA313" s="2870"/>
      <c r="CB313" s="2870">
        <v>12075655</v>
      </c>
      <c r="CC313" s="2870"/>
      <c r="CD313" s="2870"/>
      <c r="CE313" s="2877">
        <v>9.329995835532106</v>
      </c>
      <c r="CF313" s="2875">
        <v>12075655</v>
      </c>
      <c r="CG313" s="2869">
        <v>1.5460929999999999</v>
      </c>
      <c r="CH313" s="2870"/>
      <c r="CI313" s="2870">
        <v>14425052</v>
      </c>
      <c r="CJ313" s="2870"/>
      <c r="CK313" s="2870"/>
      <c r="CL313" s="2877">
        <v>9.3300027876718925</v>
      </c>
      <c r="CM313" s="2875">
        <v>14425052</v>
      </c>
      <c r="CN313" s="2911">
        <v>1.69861795</v>
      </c>
      <c r="CO313" s="2870"/>
      <c r="CP313" s="2870">
        <v>15848122</v>
      </c>
      <c r="CQ313" s="2870"/>
      <c r="CR313" s="2870"/>
      <c r="CS313" s="2877">
        <v>9.3300097293802882</v>
      </c>
      <c r="CT313" s="2875">
        <v>15848122</v>
      </c>
      <c r="CU313" s="2878">
        <v>17.064631949999999</v>
      </c>
      <c r="CV313" s="2870">
        <v>0</v>
      </c>
      <c r="CW313" s="2870">
        <v>159213015</v>
      </c>
      <c r="CX313" s="2870">
        <v>0</v>
      </c>
      <c r="CY313" s="2870">
        <v>0</v>
      </c>
      <c r="CZ313" s="2879">
        <v>9.3299999359200942</v>
      </c>
      <c r="DA313" s="2875">
        <v>159213015</v>
      </c>
      <c r="DJ313" s="1611" t="e">
        <v>#N/A</v>
      </c>
      <c r="DK313" s="2782" t="e">
        <v>#N/A</v>
      </c>
      <c r="DM313" s="1650">
        <v>9.3299999359200942</v>
      </c>
    </row>
    <row r="314" spans="1:117" ht="21" customHeight="1">
      <c r="A314" s="1652">
        <v>24</v>
      </c>
      <c r="B314" s="1668" t="s">
        <v>1974</v>
      </c>
      <c r="C314" s="1662">
        <v>625</v>
      </c>
      <c r="D314" s="1646">
        <v>100</v>
      </c>
      <c r="E314" s="1646"/>
      <c r="F314" s="1648"/>
      <c r="G314" s="1648"/>
      <c r="H314" s="1648">
        <v>625</v>
      </c>
      <c r="I314" s="1648" t="s">
        <v>1667</v>
      </c>
      <c r="J314" s="1649">
        <v>2</v>
      </c>
      <c r="K314" s="1648"/>
      <c r="L314" s="1648"/>
      <c r="M314" s="1648"/>
      <c r="N314" s="1642"/>
      <c r="O314" s="2876">
        <v>222.85144399999999</v>
      </c>
      <c r="P314" s="2870"/>
      <c r="Q314" s="2870">
        <v>627900099</v>
      </c>
      <c r="R314" s="2870"/>
      <c r="S314" s="2870"/>
      <c r="T314" s="2870">
        <v>2.8175724946166381</v>
      </c>
      <c r="U314" s="2875">
        <v>627900099</v>
      </c>
      <c r="V314" s="2869">
        <v>295.496084</v>
      </c>
      <c r="W314" s="2870"/>
      <c r="X314" s="2870">
        <v>941305954</v>
      </c>
      <c r="Y314" s="2870"/>
      <c r="Z314" s="2870"/>
      <c r="AA314" s="2877">
        <v>3.1855107562102245</v>
      </c>
      <c r="AB314" s="2875">
        <v>941305954</v>
      </c>
      <c r="AC314" s="2869">
        <v>236.81514100000001</v>
      </c>
      <c r="AD314" s="2870"/>
      <c r="AE314" s="2870">
        <v>696944200</v>
      </c>
      <c r="AF314" s="2870"/>
      <c r="AG314" s="2870"/>
      <c r="AH314" s="2877">
        <v>2.9429883454960342</v>
      </c>
      <c r="AI314" s="2875">
        <v>696944200</v>
      </c>
      <c r="AJ314" s="2869">
        <v>241.21759599999999</v>
      </c>
      <c r="AK314" s="2870"/>
      <c r="AL314" s="2870">
        <v>709029494</v>
      </c>
      <c r="AM314" s="2870"/>
      <c r="AN314" s="2870"/>
      <c r="AO314" s="2877">
        <v>2.9393771671615534</v>
      </c>
      <c r="AP314" s="2875">
        <v>709029494</v>
      </c>
      <c r="AQ314" s="2869">
        <v>218.22008500000001</v>
      </c>
      <c r="AR314" s="2870"/>
      <c r="AS314" s="2870">
        <v>649671223</v>
      </c>
      <c r="AT314" s="2870"/>
      <c r="AU314" s="2870"/>
      <c r="AV314" s="2877">
        <v>2.9771376131578355</v>
      </c>
      <c r="AW314" s="2875">
        <v>649671223</v>
      </c>
      <c r="AX314" s="2869">
        <v>225.751002</v>
      </c>
      <c r="AY314" s="2870"/>
      <c r="AZ314" s="2870">
        <v>670415940</v>
      </c>
      <c r="BA314" s="2870"/>
      <c r="BB314" s="2870"/>
      <c r="BC314" s="2877">
        <v>2.9697141277804828</v>
      </c>
      <c r="BD314" s="2875">
        <v>670415940</v>
      </c>
      <c r="BE314" s="2869">
        <v>241.94934900000001</v>
      </c>
      <c r="BF314" s="2870"/>
      <c r="BG314" s="2870">
        <v>721229205</v>
      </c>
      <c r="BH314" s="2870"/>
      <c r="BI314" s="2870"/>
      <c r="BJ314" s="2877">
        <v>2.98090988043948</v>
      </c>
      <c r="BK314" s="2875">
        <v>721229205</v>
      </c>
      <c r="BL314" s="2869">
        <v>209.54180400000001</v>
      </c>
      <c r="BM314" s="2870"/>
      <c r="BN314" s="2870">
        <v>625253913</v>
      </c>
      <c r="BO314" s="2870"/>
      <c r="BP314" s="2870"/>
      <c r="BQ314" s="2877">
        <v>2.9839101366140763</v>
      </c>
      <c r="BR314" s="2875">
        <v>625253913</v>
      </c>
      <c r="BS314" s="2869">
        <v>215.67319000000001</v>
      </c>
      <c r="BT314" s="2870"/>
      <c r="BU314" s="2870">
        <v>637643568</v>
      </c>
      <c r="BV314" s="2870"/>
      <c r="BW314" s="2870"/>
      <c r="BX314" s="2877">
        <v>2.9565268079912945</v>
      </c>
      <c r="BY314" s="2875">
        <v>637643568</v>
      </c>
      <c r="BZ314" s="2869">
        <v>211.718028</v>
      </c>
      <c r="CA314" s="2870"/>
      <c r="CB314" s="2870">
        <v>623479458</v>
      </c>
      <c r="CC314" s="2870"/>
      <c r="CD314" s="2870"/>
      <c r="CE314" s="2877">
        <v>2.944857667009821</v>
      </c>
      <c r="CF314" s="2875">
        <v>623479458</v>
      </c>
      <c r="CG314" s="2869">
        <v>231.75252599999999</v>
      </c>
      <c r="CH314" s="2870"/>
      <c r="CI314" s="2870">
        <v>700338198</v>
      </c>
      <c r="CJ314" s="2870"/>
      <c r="CK314" s="2870"/>
      <c r="CL314" s="2877">
        <v>3.0219226089470972</v>
      </c>
      <c r="CM314" s="2875">
        <v>700338198</v>
      </c>
      <c r="CN314" s="2911">
        <v>271.65087939999222</v>
      </c>
      <c r="CO314" s="2870"/>
      <c r="CP314" s="2870">
        <v>793627691.54999995</v>
      </c>
      <c r="CQ314" s="2870"/>
      <c r="CR314" s="2870"/>
      <c r="CS314" s="2877">
        <v>2.9214987019475949</v>
      </c>
      <c r="CT314" s="2875">
        <v>793627691.54999995</v>
      </c>
      <c r="CU314" s="2878">
        <v>2822.6371283999929</v>
      </c>
      <c r="CV314" s="2870">
        <v>0</v>
      </c>
      <c r="CW314" s="2870">
        <v>8396838943.5500002</v>
      </c>
      <c r="CX314" s="2870">
        <v>0</v>
      </c>
      <c r="CY314" s="2870">
        <v>0</v>
      </c>
      <c r="CZ314" s="2879">
        <v>2.97482055311507</v>
      </c>
      <c r="DA314" s="2875">
        <v>8396838943.5500002</v>
      </c>
      <c r="DJ314" s="1611" t="e">
        <v>#N/A</v>
      </c>
      <c r="DK314" s="2782" t="e">
        <v>#N/A</v>
      </c>
      <c r="DM314" s="1650">
        <v>2.97482055311507</v>
      </c>
    </row>
    <row r="315" spans="1:117" ht="21" customHeight="1">
      <c r="A315" s="1652">
        <v>25</v>
      </c>
      <c r="B315" s="1668" t="s">
        <v>1975</v>
      </c>
      <c r="C315" s="1662">
        <v>20</v>
      </c>
      <c r="D315" s="1646">
        <v>100</v>
      </c>
      <c r="E315" s="1646"/>
      <c r="F315" s="1648" t="s">
        <v>1594</v>
      </c>
      <c r="G315" s="1648"/>
      <c r="H315" s="1648">
        <v>20</v>
      </c>
      <c r="I315" s="1648" t="s">
        <v>1667</v>
      </c>
      <c r="J315" s="1649">
        <v>2</v>
      </c>
      <c r="K315" s="1648"/>
      <c r="L315" s="1648"/>
      <c r="M315" s="1648"/>
      <c r="N315" s="1642"/>
      <c r="O315" s="2876">
        <v>3.1495199999999999</v>
      </c>
      <c r="P315" s="2870"/>
      <c r="Q315" s="2870">
        <v>23747381</v>
      </c>
      <c r="R315" s="2870"/>
      <c r="S315" s="2870"/>
      <c r="T315" s="2870">
        <v>7.5400000635017399</v>
      </c>
      <c r="U315" s="2875">
        <v>23747381</v>
      </c>
      <c r="V315" s="2869">
        <v>3.4764599999999999</v>
      </c>
      <c r="W315" s="2870"/>
      <c r="X315" s="2870">
        <v>26212508</v>
      </c>
      <c r="Y315" s="2870"/>
      <c r="Z315" s="2870"/>
      <c r="AA315" s="2877">
        <v>7.5399998849404275</v>
      </c>
      <c r="AB315" s="2875">
        <v>26212508</v>
      </c>
      <c r="AC315" s="2869">
        <v>2.553312</v>
      </c>
      <c r="AD315" s="2870"/>
      <c r="AE315" s="2870">
        <v>19251972</v>
      </c>
      <c r="AF315" s="2870"/>
      <c r="AG315" s="2870"/>
      <c r="AH315" s="2877">
        <v>7.5399998120088734</v>
      </c>
      <c r="AI315" s="2875">
        <v>19251972</v>
      </c>
      <c r="AJ315" s="2869">
        <v>2.7841079999999998</v>
      </c>
      <c r="AK315" s="2870"/>
      <c r="AL315" s="2870">
        <v>20992174</v>
      </c>
      <c r="AM315" s="2870"/>
      <c r="AN315" s="2870"/>
      <c r="AO315" s="2877">
        <v>7.5399998850619303</v>
      </c>
      <c r="AP315" s="2875">
        <v>20992174</v>
      </c>
      <c r="AQ315" s="2869">
        <v>2.532324</v>
      </c>
      <c r="AR315" s="2870"/>
      <c r="AS315" s="2870">
        <v>19093722</v>
      </c>
      <c r="AT315" s="2870"/>
      <c r="AU315" s="2870"/>
      <c r="AV315" s="2877">
        <v>7.5399996209015905</v>
      </c>
      <c r="AW315" s="2875">
        <v>19093722</v>
      </c>
      <c r="AX315" s="2869">
        <v>2.6712959999999999</v>
      </c>
      <c r="AY315" s="2870"/>
      <c r="AZ315" s="2870">
        <v>20141572</v>
      </c>
      <c r="BA315" s="2870"/>
      <c r="BB315" s="2870"/>
      <c r="BC315" s="2877">
        <v>7.5400000598960206</v>
      </c>
      <c r="BD315" s="2875">
        <v>20141572</v>
      </c>
      <c r="BE315" s="2869">
        <v>2.884541</v>
      </c>
      <c r="BF315" s="2870"/>
      <c r="BG315" s="2870">
        <v>21749438</v>
      </c>
      <c r="BH315" s="2870"/>
      <c r="BI315" s="2870"/>
      <c r="BJ315" s="2877">
        <v>7.5399996047898092</v>
      </c>
      <c r="BK315" s="2875">
        <v>21749438</v>
      </c>
      <c r="BL315" s="2869">
        <v>2.5947360000000002</v>
      </c>
      <c r="BM315" s="2870"/>
      <c r="BN315" s="2870">
        <v>19564309</v>
      </c>
      <c r="BO315" s="2870"/>
      <c r="BP315" s="2870"/>
      <c r="BQ315" s="2877">
        <v>7.5399998304259084</v>
      </c>
      <c r="BR315" s="2875">
        <v>19564309</v>
      </c>
      <c r="BS315" s="2869">
        <v>2.6491560000000001</v>
      </c>
      <c r="BT315" s="2870"/>
      <c r="BU315" s="2870">
        <v>19974636</v>
      </c>
      <c r="BV315" s="2870"/>
      <c r="BW315" s="2870"/>
      <c r="BX315" s="2877">
        <v>7.5399999094051084</v>
      </c>
      <c r="BY315" s="2875">
        <v>19974636</v>
      </c>
      <c r="BZ315" s="2869">
        <v>2.5112519999999998</v>
      </c>
      <c r="CA315" s="2870"/>
      <c r="CB315" s="2870">
        <v>18934840</v>
      </c>
      <c r="CC315" s="2870"/>
      <c r="CD315" s="2870"/>
      <c r="CE315" s="2877">
        <v>7.5399999681433805</v>
      </c>
      <c r="CF315" s="2875">
        <v>18934840</v>
      </c>
      <c r="CG315" s="2869">
        <v>3.1350959999999999</v>
      </c>
      <c r="CH315" s="2870"/>
      <c r="CI315" s="2870">
        <v>23638623.84</v>
      </c>
      <c r="CJ315" s="2870"/>
      <c r="CK315" s="2870"/>
      <c r="CL315" s="2877">
        <v>7.54</v>
      </c>
      <c r="CM315" s="2875">
        <v>23638623.84</v>
      </c>
      <c r="CN315" s="2911">
        <v>3.4666440000000001</v>
      </c>
      <c r="CO315" s="2870"/>
      <c r="CP315" s="2870">
        <v>26138497.16</v>
      </c>
      <c r="CQ315" s="2870"/>
      <c r="CR315" s="2870"/>
      <c r="CS315" s="2877">
        <v>7.5400004038487944</v>
      </c>
      <c r="CT315" s="2875">
        <v>26138497.16</v>
      </c>
      <c r="CU315" s="2878">
        <v>34.408445</v>
      </c>
      <c r="CV315" s="2870">
        <v>0</v>
      </c>
      <c r="CW315" s="2870">
        <v>259439673</v>
      </c>
      <c r="CX315" s="2870">
        <v>0</v>
      </c>
      <c r="CY315" s="2870">
        <v>0</v>
      </c>
      <c r="CZ315" s="2879">
        <v>7.5399999331559444</v>
      </c>
      <c r="DA315" s="2875">
        <v>259439673</v>
      </c>
      <c r="DJ315" s="1611" t="e">
        <v>#N/A</v>
      </c>
      <c r="DK315" s="2782" t="e">
        <v>#N/A</v>
      </c>
      <c r="DM315" s="1650">
        <v>7.5399999331559444</v>
      </c>
    </row>
    <row r="316" spans="1:117" ht="21" customHeight="1">
      <c r="A316" s="1652">
        <v>26</v>
      </c>
      <c r="B316" s="1668" t="s">
        <v>1976</v>
      </c>
      <c r="C316" s="1662">
        <v>10</v>
      </c>
      <c r="D316" s="1646">
        <v>100</v>
      </c>
      <c r="E316" s="1646"/>
      <c r="F316" s="1648" t="s">
        <v>1594</v>
      </c>
      <c r="G316" s="1648"/>
      <c r="H316" s="1648">
        <v>10</v>
      </c>
      <c r="I316" s="1648" t="s">
        <v>1667</v>
      </c>
      <c r="J316" s="1649">
        <v>2</v>
      </c>
      <c r="K316" s="1648"/>
      <c r="L316" s="1648"/>
      <c r="M316" s="1648"/>
      <c r="N316" s="1642"/>
      <c r="O316" s="2876">
        <v>1.717875</v>
      </c>
      <c r="P316" s="2870"/>
      <c r="Q316" s="2870">
        <v>12059482</v>
      </c>
      <c r="R316" s="2870"/>
      <c r="S316" s="2870"/>
      <c r="T316" s="2870">
        <v>7.0199997089427342</v>
      </c>
      <c r="U316" s="2875">
        <v>12059482</v>
      </c>
      <c r="V316" s="2869">
        <v>1.740578</v>
      </c>
      <c r="W316" s="2870"/>
      <c r="X316" s="2870">
        <v>12218854</v>
      </c>
      <c r="Y316" s="2870"/>
      <c r="Z316" s="2870"/>
      <c r="AA316" s="2877">
        <v>7.0199979547024034</v>
      </c>
      <c r="AB316" s="2875">
        <v>12218854</v>
      </c>
      <c r="AC316" s="2869">
        <v>1.2662169999999999</v>
      </c>
      <c r="AD316" s="2870"/>
      <c r="AE316" s="2870">
        <v>8888847</v>
      </c>
      <c r="AF316" s="2870"/>
      <c r="AG316" s="2870"/>
      <c r="AH316" s="2877">
        <v>7.0200028904998115</v>
      </c>
      <c r="AI316" s="2875">
        <v>8888847</v>
      </c>
      <c r="AJ316" s="2869">
        <v>1.429103</v>
      </c>
      <c r="AK316" s="2870"/>
      <c r="AL316" s="2870">
        <v>10032300</v>
      </c>
      <c r="AM316" s="2870"/>
      <c r="AN316" s="2870"/>
      <c r="AO316" s="2877">
        <v>7.0199978587967413</v>
      </c>
      <c r="AP316" s="2875">
        <v>10032300</v>
      </c>
      <c r="AQ316" s="2869">
        <v>1.066103</v>
      </c>
      <c r="AR316" s="2870"/>
      <c r="AS316" s="2870">
        <v>7484040</v>
      </c>
      <c r="AT316" s="2870"/>
      <c r="AU316" s="2870"/>
      <c r="AV316" s="2877">
        <v>7.0199971297332437</v>
      </c>
      <c r="AW316" s="2875">
        <v>7484040</v>
      </c>
      <c r="AX316" s="2869">
        <v>1.364835</v>
      </c>
      <c r="AY316" s="2870"/>
      <c r="AZ316" s="2870">
        <v>9581142</v>
      </c>
      <c r="BA316" s="2870"/>
      <c r="BB316" s="2870"/>
      <c r="BC316" s="2877">
        <v>7.0200002198067901</v>
      </c>
      <c r="BD316" s="2875">
        <v>9581142</v>
      </c>
      <c r="BE316" s="2869">
        <v>1.417343</v>
      </c>
      <c r="BF316" s="2870"/>
      <c r="BG316" s="2870">
        <v>9949744</v>
      </c>
      <c r="BH316" s="2870"/>
      <c r="BI316" s="2870"/>
      <c r="BJ316" s="2877">
        <v>7.0199972765943039</v>
      </c>
      <c r="BK316" s="2875">
        <v>9949744</v>
      </c>
      <c r="BL316" s="2869">
        <v>1.3796550000000001</v>
      </c>
      <c r="BM316" s="2870"/>
      <c r="BN316" s="2870">
        <v>9685178</v>
      </c>
      <c r="BO316" s="2870"/>
      <c r="BP316" s="2870"/>
      <c r="BQ316" s="2877">
        <v>7.0199999275181115</v>
      </c>
      <c r="BR316" s="2875">
        <v>9685178</v>
      </c>
      <c r="BS316" s="2869">
        <v>1.356608</v>
      </c>
      <c r="BT316" s="2870"/>
      <c r="BU316" s="2870">
        <v>9523385</v>
      </c>
      <c r="BV316" s="2870"/>
      <c r="BW316" s="2870"/>
      <c r="BX316" s="2877">
        <v>7.0199976706609428</v>
      </c>
      <c r="BY316" s="2875">
        <v>9523385</v>
      </c>
      <c r="BZ316" s="2869">
        <v>1.3686689999999999</v>
      </c>
      <c r="CA316" s="2870"/>
      <c r="CB316" s="2870">
        <v>9608051</v>
      </c>
      <c r="CC316" s="2870"/>
      <c r="CD316" s="2870"/>
      <c r="CE316" s="2877">
        <v>7.0199960691737742</v>
      </c>
      <c r="CF316" s="2875">
        <v>9608051</v>
      </c>
      <c r="CG316" s="2869">
        <v>1.6239980000000001</v>
      </c>
      <c r="CH316" s="2870"/>
      <c r="CI316" s="2870">
        <v>11400462.449999999</v>
      </c>
      <c r="CJ316" s="2870"/>
      <c r="CK316" s="2870"/>
      <c r="CL316" s="2877">
        <v>7.0199978386672885</v>
      </c>
      <c r="CM316" s="2875">
        <v>11400462.449999999</v>
      </c>
      <c r="CN316" s="2911">
        <v>1.7580715</v>
      </c>
      <c r="CO316" s="2870"/>
      <c r="CP316" s="2870">
        <v>12341686.550000001</v>
      </c>
      <c r="CQ316" s="2870"/>
      <c r="CR316" s="2870"/>
      <c r="CS316" s="2877">
        <v>7.0200140039810668</v>
      </c>
      <c r="CT316" s="2875">
        <v>12341686.550000001</v>
      </c>
      <c r="CU316" s="2878">
        <v>17.489055499999999</v>
      </c>
      <c r="CV316" s="2870">
        <v>0</v>
      </c>
      <c r="CW316" s="2870">
        <v>122773172</v>
      </c>
      <c r="CX316" s="2870">
        <v>0</v>
      </c>
      <c r="CY316" s="2870">
        <v>0</v>
      </c>
      <c r="CZ316" s="2879">
        <v>7.0200001366568934</v>
      </c>
      <c r="DA316" s="2875">
        <v>122773172</v>
      </c>
      <c r="DJ316" s="1611" t="e">
        <v>#N/A</v>
      </c>
      <c r="DK316" s="2782" t="e">
        <v>#N/A</v>
      </c>
      <c r="DM316" s="1650">
        <v>7.0200001366568934</v>
      </c>
    </row>
    <row r="317" spans="1:117" ht="21" customHeight="1">
      <c r="A317" s="1652">
        <v>27</v>
      </c>
      <c r="B317" s="1668" t="s">
        <v>1977</v>
      </c>
      <c r="C317" s="1662">
        <v>20</v>
      </c>
      <c r="D317" s="1646">
        <v>100</v>
      </c>
      <c r="E317" s="1646"/>
      <c r="F317" s="1648" t="s">
        <v>1594</v>
      </c>
      <c r="G317" s="1648"/>
      <c r="H317" s="1648">
        <v>20</v>
      </c>
      <c r="I317" s="1648" t="s">
        <v>1667</v>
      </c>
      <c r="J317" s="1649">
        <v>2</v>
      </c>
      <c r="K317" s="1648"/>
      <c r="L317" s="1648"/>
      <c r="M317" s="1648"/>
      <c r="N317" s="1642"/>
      <c r="O317" s="2876">
        <v>3.4068000000000001</v>
      </c>
      <c r="P317" s="2870"/>
      <c r="Q317" s="2870">
        <v>23915736</v>
      </c>
      <c r="R317" s="2870"/>
      <c r="S317" s="2870"/>
      <c r="T317" s="2870">
        <v>7.02</v>
      </c>
      <c r="U317" s="2875">
        <v>23915736</v>
      </c>
      <c r="V317" s="2869">
        <v>3.4308000000000001</v>
      </c>
      <c r="W317" s="2870"/>
      <c r="X317" s="2870">
        <v>24084216</v>
      </c>
      <c r="Y317" s="2870"/>
      <c r="Z317" s="2870"/>
      <c r="AA317" s="2877">
        <v>7.02</v>
      </c>
      <c r="AB317" s="2875">
        <v>24084216</v>
      </c>
      <c r="AC317" s="2869">
        <v>2.5188000000000001</v>
      </c>
      <c r="AD317" s="2870"/>
      <c r="AE317" s="2870">
        <v>17681976</v>
      </c>
      <c r="AF317" s="2870"/>
      <c r="AG317" s="2870"/>
      <c r="AH317" s="2877">
        <v>7.02</v>
      </c>
      <c r="AI317" s="2875">
        <v>17681976</v>
      </c>
      <c r="AJ317" s="2869">
        <v>2.8656000000000001</v>
      </c>
      <c r="AK317" s="2870"/>
      <c r="AL317" s="2870">
        <v>20116512</v>
      </c>
      <c r="AM317" s="2870"/>
      <c r="AN317" s="2870"/>
      <c r="AO317" s="2877">
        <v>7.02</v>
      </c>
      <c r="AP317" s="2875">
        <v>20116512</v>
      </c>
      <c r="AQ317" s="2869">
        <v>2.1587999999999998</v>
      </c>
      <c r="AR317" s="2870"/>
      <c r="AS317" s="2870">
        <v>15154776</v>
      </c>
      <c r="AT317" s="2870"/>
      <c r="AU317" s="2870"/>
      <c r="AV317" s="2877">
        <v>7.02</v>
      </c>
      <c r="AW317" s="2875">
        <v>15154776</v>
      </c>
      <c r="AX317" s="2869">
        <v>2.7972000000000001</v>
      </c>
      <c r="AY317" s="2870"/>
      <c r="AZ317" s="2870">
        <v>19636344</v>
      </c>
      <c r="BA317" s="2870"/>
      <c r="BB317" s="2870"/>
      <c r="BC317" s="2877">
        <v>7.02</v>
      </c>
      <c r="BD317" s="2875">
        <v>19636344</v>
      </c>
      <c r="BE317" s="2869">
        <v>2.976</v>
      </c>
      <c r="BF317" s="2870"/>
      <c r="BG317" s="2870">
        <v>20891520</v>
      </c>
      <c r="BH317" s="2870"/>
      <c r="BI317" s="2870"/>
      <c r="BJ317" s="2877">
        <v>7.02</v>
      </c>
      <c r="BK317" s="2875">
        <v>20891520</v>
      </c>
      <c r="BL317" s="2869">
        <v>2.6951999999999998</v>
      </c>
      <c r="BM317" s="2870"/>
      <c r="BN317" s="2870">
        <v>18920304</v>
      </c>
      <c r="BO317" s="2870"/>
      <c r="BP317" s="2870"/>
      <c r="BQ317" s="2877">
        <v>7.02</v>
      </c>
      <c r="BR317" s="2875">
        <v>18920304</v>
      </c>
      <c r="BS317" s="2869">
        <v>2.7204000000000002</v>
      </c>
      <c r="BT317" s="2870"/>
      <c r="BU317" s="2870">
        <v>19097208</v>
      </c>
      <c r="BV317" s="2870"/>
      <c r="BW317" s="2870"/>
      <c r="BX317" s="2877">
        <v>7.02</v>
      </c>
      <c r="BY317" s="2875">
        <v>19097208</v>
      </c>
      <c r="BZ317" s="2869">
        <v>2.6472000000000002</v>
      </c>
      <c r="CA317" s="2870"/>
      <c r="CB317" s="2870">
        <v>18583344</v>
      </c>
      <c r="CC317" s="2870"/>
      <c r="CD317" s="2870"/>
      <c r="CE317" s="2877">
        <v>7.02</v>
      </c>
      <c r="CF317" s="2875">
        <v>18583344</v>
      </c>
      <c r="CG317" s="2869">
        <v>3.222</v>
      </c>
      <c r="CH317" s="2870"/>
      <c r="CI317" s="2870">
        <v>22618440</v>
      </c>
      <c r="CJ317" s="2870"/>
      <c r="CK317" s="2870"/>
      <c r="CL317" s="2877">
        <v>7.02</v>
      </c>
      <c r="CM317" s="2875">
        <v>22618440</v>
      </c>
      <c r="CN317" s="2911">
        <v>3.5171999999999999</v>
      </c>
      <c r="CO317" s="2870"/>
      <c r="CP317" s="2870">
        <v>24690744</v>
      </c>
      <c r="CQ317" s="2870"/>
      <c r="CR317" s="2870"/>
      <c r="CS317" s="2877">
        <v>7.02</v>
      </c>
      <c r="CT317" s="2875">
        <v>24690744</v>
      </c>
      <c r="CU317" s="2878">
        <v>34.956000000000003</v>
      </c>
      <c r="CV317" s="2870">
        <v>0</v>
      </c>
      <c r="CW317" s="2870">
        <v>245391120</v>
      </c>
      <c r="CX317" s="2870">
        <v>0</v>
      </c>
      <c r="CY317" s="2870">
        <v>0</v>
      </c>
      <c r="CZ317" s="2879">
        <v>7.02</v>
      </c>
      <c r="DA317" s="2875">
        <v>245391120</v>
      </c>
      <c r="DJ317" s="1611" t="e">
        <v>#N/A</v>
      </c>
      <c r="DK317" s="2782" t="e">
        <v>#N/A</v>
      </c>
      <c r="DM317" s="1650">
        <v>7.02</v>
      </c>
    </row>
    <row r="318" spans="1:117" ht="21" customHeight="1">
      <c r="A318" s="1652">
        <v>28</v>
      </c>
      <c r="B318" s="1668" t="s">
        <v>1978</v>
      </c>
      <c r="C318" s="1662">
        <v>20</v>
      </c>
      <c r="D318" s="1646">
        <v>100</v>
      </c>
      <c r="E318" s="1646"/>
      <c r="F318" s="1648" t="s">
        <v>1594</v>
      </c>
      <c r="G318" s="1648"/>
      <c r="H318" s="1648">
        <v>20</v>
      </c>
      <c r="I318" s="1648" t="s">
        <v>1667</v>
      </c>
      <c r="J318" s="1649">
        <v>2</v>
      </c>
      <c r="K318" s="1648"/>
      <c r="L318" s="1648"/>
      <c r="M318" s="1648"/>
      <c r="N318" s="1642"/>
      <c r="O318" s="2876">
        <v>3.3660000000000001</v>
      </c>
      <c r="P318" s="2870"/>
      <c r="Q318" s="2870">
        <v>23629320</v>
      </c>
      <c r="R318" s="2870"/>
      <c r="S318" s="2870"/>
      <c r="T318" s="2870">
        <v>7.02</v>
      </c>
      <c r="U318" s="2875">
        <v>23629320</v>
      </c>
      <c r="V318" s="2869">
        <v>3.4032</v>
      </c>
      <c r="W318" s="2870"/>
      <c r="X318" s="2870">
        <v>23890464</v>
      </c>
      <c r="Y318" s="2870"/>
      <c r="Z318" s="2870"/>
      <c r="AA318" s="2877">
        <v>7.02</v>
      </c>
      <c r="AB318" s="2875">
        <v>23890464</v>
      </c>
      <c r="AC318" s="2869">
        <v>2.6543999999999999</v>
      </c>
      <c r="AD318" s="2870"/>
      <c r="AE318" s="2870">
        <v>18633888</v>
      </c>
      <c r="AF318" s="2870"/>
      <c r="AG318" s="2870"/>
      <c r="AH318" s="2877">
        <v>7.02</v>
      </c>
      <c r="AI318" s="2875">
        <v>18633888</v>
      </c>
      <c r="AJ318" s="2869">
        <v>2.544</v>
      </c>
      <c r="AK318" s="2870"/>
      <c r="AL318" s="2870">
        <v>17858880</v>
      </c>
      <c r="AM318" s="2870"/>
      <c r="AN318" s="2870"/>
      <c r="AO318" s="2877">
        <v>7.02</v>
      </c>
      <c r="AP318" s="2875">
        <v>17858880</v>
      </c>
      <c r="AQ318" s="2869">
        <v>2.4636</v>
      </c>
      <c r="AR318" s="2870"/>
      <c r="AS318" s="2870">
        <v>17294472</v>
      </c>
      <c r="AT318" s="2870"/>
      <c r="AU318" s="2870"/>
      <c r="AV318" s="2877">
        <v>7.02</v>
      </c>
      <c r="AW318" s="2875">
        <v>17294472</v>
      </c>
      <c r="AX318" s="2869">
        <v>2.8847999999999998</v>
      </c>
      <c r="AY318" s="2870"/>
      <c r="AZ318" s="2870">
        <v>20251296</v>
      </c>
      <c r="BA318" s="2870"/>
      <c r="BB318" s="2870"/>
      <c r="BC318" s="2877">
        <v>7.02</v>
      </c>
      <c r="BD318" s="2875">
        <v>20251296</v>
      </c>
      <c r="BE318" s="2869">
        <v>3.0564</v>
      </c>
      <c r="BF318" s="2870"/>
      <c r="BG318" s="2870">
        <v>21455928</v>
      </c>
      <c r="BH318" s="2870"/>
      <c r="BI318" s="2870"/>
      <c r="BJ318" s="2877">
        <v>7.02</v>
      </c>
      <c r="BK318" s="2875">
        <v>21455928</v>
      </c>
      <c r="BL318" s="2869">
        <v>2.5571999999999999</v>
      </c>
      <c r="BM318" s="2870"/>
      <c r="BN318" s="2870">
        <v>17951544</v>
      </c>
      <c r="BO318" s="2870"/>
      <c r="BP318" s="2870"/>
      <c r="BQ318" s="2877">
        <v>7.02</v>
      </c>
      <c r="BR318" s="2875">
        <v>17951544</v>
      </c>
      <c r="BS318" s="2869">
        <v>2.5464000000000002</v>
      </c>
      <c r="BT318" s="2870"/>
      <c r="BU318" s="2870">
        <v>17875728</v>
      </c>
      <c r="BV318" s="2870"/>
      <c r="BW318" s="2870"/>
      <c r="BX318" s="2877">
        <v>7.02</v>
      </c>
      <c r="BY318" s="2875">
        <v>17875728</v>
      </c>
      <c r="BZ318" s="2869">
        <v>2.4624000000000001</v>
      </c>
      <c r="CA318" s="2870"/>
      <c r="CB318" s="2870">
        <v>17286048</v>
      </c>
      <c r="CC318" s="2870"/>
      <c r="CD318" s="2870"/>
      <c r="CE318" s="2877">
        <v>7.02</v>
      </c>
      <c r="CF318" s="2875">
        <v>17286048</v>
      </c>
      <c r="CG318" s="2869">
        <v>3.1379999999999999</v>
      </c>
      <c r="CH318" s="2870"/>
      <c r="CI318" s="2870">
        <v>22028760</v>
      </c>
      <c r="CJ318" s="2870"/>
      <c r="CK318" s="2870"/>
      <c r="CL318" s="2877">
        <v>7.02</v>
      </c>
      <c r="CM318" s="2875">
        <v>22028760</v>
      </c>
      <c r="CN318" s="2911">
        <v>3.5472000000000001</v>
      </c>
      <c r="CO318" s="2870"/>
      <c r="CP318" s="2870">
        <v>24901344</v>
      </c>
      <c r="CQ318" s="2870"/>
      <c r="CR318" s="2870"/>
      <c r="CS318" s="2877">
        <v>7.02</v>
      </c>
      <c r="CT318" s="2875">
        <v>24901344</v>
      </c>
      <c r="CU318" s="2878">
        <v>34.623599999999996</v>
      </c>
      <c r="CV318" s="2870">
        <v>0</v>
      </c>
      <c r="CW318" s="2870">
        <v>243057672</v>
      </c>
      <c r="CX318" s="2870">
        <v>0</v>
      </c>
      <c r="CY318" s="2870">
        <v>0</v>
      </c>
      <c r="CZ318" s="2879">
        <v>7.0200000000000014</v>
      </c>
      <c r="DA318" s="2875">
        <v>243057672</v>
      </c>
      <c r="DJ318" s="1611" t="e">
        <v>#N/A</v>
      </c>
      <c r="DK318" s="2782" t="e">
        <v>#N/A</v>
      </c>
      <c r="DM318" s="1650">
        <v>7.0200000000000014</v>
      </c>
    </row>
    <row r="319" spans="1:117" ht="21" customHeight="1">
      <c r="A319" s="1652">
        <v>29</v>
      </c>
      <c r="B319" s="1644" t="s">
        <v>1979</v>
      </c>
      <c r="C319" s="1662"/>
      <c r="D319" s="1648"/>
      <c r="E319" s="1648"/>
      <c r="F319" s="1648"/>
      <c r="G319" s="1648"/>
      <c r="H319" s="1648"/>
      <c r="I319" s="1648" t="s">
        <v>1667</v>
      </c>
      <c r="J319" s="1649">
        <v>2</v>
      </c>
      <c r="K319" s="1648"/>
      <c r="L319" s="1648"/>
      <c r="M319" s="1648"/>
      <c r="N319" s="1642"/>
      <c r="O319" s="2876"/>
      <c r="P319" s="2870"/>
      <c r="Q319" s="2870"/>
      <c r="R319" s="2870"/>
      <c r="S319" s="2870"/>
      <c r="T319" s="2870"/>
      <c r="U319" s="2875">
        <v>0</v>
      </c>
      <c r="V319" s="2869"/>
      <c r="W319" s="2870"/>
      <c r="X319" s="2870"/>
      <c r="Y319" s="2870"/>
      <c r="Z319" s="2870"/>
      <c r="AA319" s="2877"/>
      <c r="AB319" s="2875"/>
      <c r="AC319" s="2869"/>
      <c r="AD319" s="2870"/>
      <c r="AE319" s="2870"/>
      <c r="AF319" s="2870"/>
      <c r="AG319" s="2870"/>
      <c r="AH319" s="2877"/>
      <c r="AI319" s="2875"/>
      <c r="AJ319" s="2869"/>
      <c r="AK319" s="2870"/>
      <c r="AL319" s="2870"/>
      <c r="AM319" s="2870"/>
      <c r="AN319" s="2870"/>
      <c r="AO319" s="2877"/>
      <c r="AP319" s="2875"/>
      <c r="AQ319" s="2869"/>
      <c r="AR319" s="2870"/>
      <c r="AS319" s="2870"/>
      <c r="AT319" s="2870"/>
      <c r="AU319" s="2870"/>
      <c r="AV319" s="2877"/>
      <c r="AW319" s="2875"/>
      <c r="AX319" s="2869"/>
      <c r="AY319" s="2870"/>
      <c r="AZ319" s="2870"/>
      <c r="BA319" s="2870"/>
      <c r="BB319" s="2870"/>
      <c r="BC319" s="2877"/>
      <c r="BD319" s="2875"/>
      <c r="BE319" s="2869"/>
      <c r="BF319" s="2870"/>
      <c r="BG319" s="2870"/>
      <c r="BH319" s="2870"/>
      <c r="BI319" s="2870"/>
      <c r="BJ319" s="2877"/>
      <c r="BK319" s="2875"/>
      <c r="BL319" s="2869"/>
      <c r="BM319" s="2870"/>
      <c r="BN319" s="2870"/>
      <c r="BO319" s="2870"/>
      <c r="BP319" s="2870"/>
      <c r="BQ319" s="2877"/>
      <c r="BR319" s="2875"/>
      <c r="BS319" s="2869"/>
      <c r="BT319" s="2870"/>
      <c r="BU319" s="2870"/>
      <c r="BV319" s="2870"/>
      <c r="BW319" s="2870"/>
      <c r="BX319" s="2877"/>
      <c r="BY319" s="2875">
        <v>0</v>
      </c>
      <c r="BZ319" s="2869"/>
      <c r="CA319" s="2870"/>
      <c r="CB319" s="2870"/>
      <c r="CC319" s="2870"/>
      <c r="CD319" s="2870"/>
      <c r="CE319" s="2877"/>
      <c r="CF319" s="2875">
        <v>0</v>
      </c>
      <c r="CG319" s="2869">
        <v>10.127393</v>
      </c>
      <c r="CH319" s="2870"/>
      <c r="CI319" s="2870">
        <v>32407658.18</v>
      </c>
      <c r="CJ319" s="2870"/>
      <c r="CK319" s="2870"/>
      <c r="CL319" s="2877">
        <v>3.2000000572704148</v>
      </c>
      <c r="CM319" s="2875">
        <v>32407658.18</v>
      </c>
      <c r="CN319" s="2911">
        <v>10.738194949999999</v>
      </c>
      <c r="CO319" s="2870"/>
      <c r="CP319" s="2870">
        <v>34362222.82</v>
      </c>
      <c r="CQ319" s="2870"/>
      <c r="CR319" s="2870"/>
      <c r="CS319" s="2877">
        <v>3.199999905011969</v>
      </c>
      <c r="CT319" s="2875">
        <v>34362222.82</v>
      </c>
      <c r="CU319" s="2878">
        <v>20.865587949999998</v>
      </c>
      <c r="CV319" s="2870">
        <v>0</v>
      </c>
      <c r="CW319" s="2870">
        <v>66769881</v>
      </c>
      <c r="CX319" s="2870">
        <v>0</v>
      </c>
      <c r="CY319" s="2870">
        <v>0</v>
      </c>
      <c r="CZ319" s="2879">
        <v>3.1999999789126479</v>
      </c>
      <c r="DA319" s="2875">
        <v>66769881</v>
      </c>
      <c r="DJ319" s="1611" t="e">
        <v>#N/A</v>
      </c>
      <c r="DK319" s="2782" t="e">
        <v>#N/A</v>
      </c>
      <c r="DM319" s="1650">
        <v>3.1999999789126479</v>
      </c>
    </row>
    <row r="320" spans="1:117" ht="21" customHeight="1">
      <c r="A320" s="1652">
        <v>30</v>
      </c>
      <c r="B320" s="1668" t="s">
        <v>1980</v>
      </c>
      <c r="C320" s="1662">
        <v>10</v>
      </c>
      <c r="D320" s="1646">
        <v>100</v>
      </c>
      <c r="E320" s="1646"/>
      <c r="F320" s="1648" t="s">
        <v>1594</v>
      </c>
      <c r="G320" s="1648"/>
      <c r="H320" s="1648">
        <v>10</v>
      </c>
      <c r="I320" s="1648" t="s">
        <v>1667</v>
      </c>
      <c r="J320" s="1649">
        <v>2</v>
      </c>
      <c r="K320" s="1648"/>
      <c r="L320" s="1648"/>
      <c r="M320" s="1648"/>
      <c r="N320" s="1642"/>
      <c r="O320" s="2876">
        <v>1.68222</v>
      </c>
      <c r="P320" s="2870"/>
      <c r="Q320" s="2870">
        <v>15594179</v>
      </c>
      <c r="R320" s="2870"/>
      <c r="S320" s="2870"/>
      <c r="T320" s="2870">
        <v>9.2699997622189727</v>
      </c>
      <c r="U320" s="2875">
        <v>15594179</v>
      </c>
      <c r="V320" s="2869">
        <v>1.7408699999999999</v>
      </c>
      <c r="W320" s="2870"/>
      <c r="X320" s="2870">
        <v>16137865</v>
      </c>
      <c r="Y320" s="2870"/>
      <c r="Z320" s="2870"/>
      <c r="AA320" s="2877">
        <v>9.2700000574425427</v>
      </c>
      <c r="AB320" s="2875">
        <v>16137865</v>
      </c>
      <c r="AC320" s="2869">
        <v>1.2778799999999999</v>
      </c>
      <c r="AD320" s="2870"/>
      <c r="AE320" s="2870">
        <v>11845948</v>
      </c>
      <c r="AF320" s="2870"/>
      <c r="AG320" s="2870"/>
      <c r="AH320" s="2877">
        <v>9.2700003130184374</v>
      </c>
      <c r="AI320" s="2875">
        <v>11845948</v>
      </c>
      <c r="AJ320" s="2869">
        <v>1.43106</v>
      </c>
      <c r="AK320" s="2870"/>
      <c r="AL320" s="2870">
        <v>13265926</v>
      </c>
      <c r="AM320" s="2870"/>
      <c r="AN320" s="2870"/>
      <c r="AO320" s="2877">
        <v>9.2699998602434555</v>
      </c>
      <c r="AP320" s="2875">
        <v>13265926</v>
      </c>
      <c r="AQ320" s="2869">
        <v>1.00464</v>
      </c>
      <c r="AR320" s="2870"/>
      <c r="AS320" s="2870">
        <v>9313013</v>
      </c>
      <c r="AT320" s="2870"/>
      <c r="AU320" s="2870"/>
      <c r="AV320" s="2877">
        <v>9.2700001990762857</v>
      </c>
      <c r="AW320" s="2875">
        <v>9313013</v>
      </c>
      <c r="AX320" s="2869">
        <v>1.3951800000000001</v>
      </c>
      <c r="AY320" s="2870"/>
      <c r="AZ320" s="2870">
        <v>12933319</v>
      </c>
      <c r="BA320" s="2870"/>
      <c r="BB320" s="2870"/>
      <c r="BC320" s="2877">
        <v>9.2700002867013573</v>
      </c>
      <c r="BD320" s="2875">
        <v>12933319</v>
      </c>
      <c r="BE320" s="2869">
        <v>1.52007</v>
      </c>
      <c r="BF320" s="2870"/>
      <c r="BG320" s="2870">
        <v>14091049</v>
      </c>
      <c r="BH320" s="2870"/>
      <c r="BI320" s="2870"/>
      <c r="BJ320" s="2877">
        <v>9.2700000657864443</v>
      </c>
      <c r="BK320" s="2875">
        <v>14091049</v>
      </c>
      <c r="BL320" s="2869">
        <v>1.3717200000000001</v>
      </c>
      <c r="BM320" s="2870"/>
      <c r="BN320" s="2870">
        <v>12715844</v>
      </c>
      <c r="BO320" s="2870"/>
      <c r="BP320" s="2870"/>
      <c r="BQ320" s="2877">
        <v>9.2699997083953001</v>
      </c>
      <c r="BR320" s="2875">
        <v>12715844</v>
      </c>
      <c r="BS320" s="2869">
        <v>1.38897</v>
      </c>
      <c r="BT320" s="2870"/>
      <c r="BU320" s="2870">
        <v>12875752</v>
      </c>
      <c r="BV320" s="2870"/>
      <c r="BW320" s="2870"/>
      <c r="BX320" s="2877">
        <v>9.2700000719957956</v>
      </c>
      <c r="BY320" s="2875">
        <v>12875752</v>
      </c>
      <c r="BZ320" s="2869">
        <v>1.3593</v>
      </c>
      <c r="CA320" s="2870"/>
      <c r="CB320" s="2870">
        <v>12600711</v>
      </c>
      <c r="CC320" s="2870"/>
      <c r="CD320" s="2870"/>
      <c r="CE320" s="2877">
        <v>9.27</v>
      </c>
      <c r="CF320" s="2875">
        <v>12600711</v>
      </c>
      <c r="CG320" s="2869">
        <v>1.6346099999999999</v>
      </c>
      <c r="CH320" s="2870"/>
      <c r="CI320" s="2870">
        <v>15152834.699999999</v>
      </c>
      <c r="CJ320" s="2870"/>
      <c r="CK320" s="2870"/>
      <c r="CL320" s="2877">
        <v>9.27</v>
      </c>
      <c r="CM320" s="2875">
        <v>15152834.699999999</v>
      </c>
      <c r="CN320" s="2911">
        <v>1.7926200000000001</v>
      </c>
      <c r="CO320" s="2870"/>
      <c r="CP320" s="2870">
        <v>16617587.300000001</v>
      </c>
      <c r="CQ320" s="2870"/>
      <c r="CR320" s="2870"/>
      <c r="CS320" s="2877">
        <v>9.2699999442157299</v>
      </c>
      <c r="CT320" s="2875">
        <v>16617587.300000001</v>
      </c>
      <c r="CU320" s="2878">
        <v>17.599140000000002</v>
      </c>
      <c r="CV320" s="2870">
        <v>0</v>
      </c>
      <c r="CW320" s="2870">
        <v>163144028</v>
      </c>
      <c r="CX320" s="2870">
        <v>0</v>
      </c>
      <c r="CY320" s="2870">
        <v>0</v>
      </c>
      <c r="CZ320" s="2879">
        <v>9.2700000113641892</v>
      </c>
      <c r="DA320" s="2875">
        <v>163144028</v>
      </c>
      <c r="DJ320" s="1611" t="e">
        <v>#N/A</v>
      </c>
      <c r="DK320" s="2782" t="e">
        <v>#N/A</v>
      </c>
      <c r="DM320" s="1650">
        <v>9.2700000113641892</v>
      </c>
    </row>
    <row r="321" spans="1:117" ht="21" customHeight="1">
      <c r="A321" s="1652">
        <v>31</v>
      </c>
      <c r="B321" s="1701" t="s">
        <v>1981</v>
      </c>
      <c r="C321" s="1662">
        <v>10</v>
      </c>
      <c r="D321" s="1646">
        <v>100</v>
      </c>
      <c r="E321" s="1646"/>
      <c r="F321" s="1648"/>
      <c r="G321" s="1648"/>
      <c r="H321" s="1648">
        <v>10</v>
      </c>
      <c r="I321" s="1648" t="s">
        <v>1667</v>
      </c>
      <c r="J321" s="1649">
        <v>2</v>
      </c>
      <c r="K321" s="1648"/>
      <c r="L321" s="1648"/>
      <c r="M321" s="1648"/>
      <c r="N321" s="1642"/>
      <c r="O321" s="2876">
        <v>1.7813000000000001</v>
      </c>
      <c r="P321" s="2870"/>
      <c r="Q321" s="2870">
        <v>9031191</v>
      </c>
      <c r="R321" s="2870"/>
      <c r="S321" s="2870"/>
      <c r="T321" s="2870">
        <v>5.07</v>
      </c>
      <c r="U321" s="2875">
        <v>9031191</v>
      </c>
      <c r="V321" s="2869">
        <v>1.7563</v>
      </c>
      <c r="W321" s="2870"/>
      <c r="X321" s="2870">
        <v>8904441</v>
      </c>
      <c r="Y321" s="2870"/>
      <c r="Z321" s="2870"/>
      <c r="AA321" s="2877">
        <v>5.07</v>
      </c>
      <c r="AB321" s="2875">
        <v>8904441</v>
      </c>
      <c r="AC321" s="2869">
        <v>1.3005</v>
      </c>
      <c r="AD321" s="2870"/>
      <c r="AE321" s="2870">
        <v>6593535</v>
      </c>
      <c r="AF321" s="2870"/>
      <c r="AG321" s="2870"/>
      <c r="AH321" s="2877">
        <v>5.07</v>
      </c>
      <c r="AI321" s="2875">
        <v>6593535</v>
      </c>
      <c r="AJ321" s="2869">
        <v>1.1223000000000001</v>
      </c>
      <c r="AK321" s="2870"/>
      <c r="AL321" s="2870">
        <v>5690061</v>
      </c>
      <c r="AM321" s="2870"/>
      <c r="AN321" s="2870"/>
      <c r="AO321" s="2877">
        <v>5.07</v>
      </c>
      <c r="AP321" s="2875">
        <v>5690061</v>
      </c>
      <c r="AQ321" s="2869">
        <v>1.4984</v>
      </c>
      <c r="AR321" s="2870"/>
      <c r="AS321" s="2870">
        <v>7596888</v>
      </c>
      <c r="AT321" s="2870"/>
      <c r="AU321" s="2870"/>
      <c r="AV321" s="2877">
        <v>5.07</v>
      </c>
      <c r="AW321" s="2875">
        <v>7596888</v>
      </c>
      <c r="AX321" s="2869">
        <v>1.3694</v>
      </c>
      <c r="AY321" s="2870"/>
      <c r="AZ321" s="2870">
        <v>6942858</v>
      </c>
      <c r="BA321" s="2870"/>
      <c r="BB321" s="2870"/>
      <c r="BC321" s="2877">
        <v>5.07</v>
      </c>
      <c r="BD321" s="2875">
        <v>6942858</v>
      </c>
      <c r="BE321" s="2869">
        <v>1.6062000000000001</v>
      </c>
      <c r="BF321" s="2870"/>
      <c r="BG321" s="2870">
        <v>8143434</v>
      </c>
      <c r="BH321" s="2870"/>
      <c r="BI321" s="2870"/>
      <c r="BJ321" s="2877">
        <v>5.07</v>
      </c>
      <c r="BK321" s="2875">
        <v>8143434</v>
      </c>
      <c r="BL321" s="2869">
        <v>1.3159000000000001</v>
      </c>
      <c r="BM321" s="2870"/>
      <c r="BN321" s="2870">
        <v>6671613</v>
      </c>
      <c r="BO321" s="2870"/>
      <c r="BP321" s="2870"/>
      <c r="BQ321" s="2877">
        <v>5.07</v>
      </c>
      <c r="BR321" s="2875">
        <v>6671613</v>
      </c>
      <c r="BS321" s="2869">
        <v>0.98570000000000002</v>
      </c>
      <c r="BT321" s="2870"/>
      <c r="BU321" s="2870">
        <v>4997499</v>
      </c>
      <c r="BV321" s="2870"/>
      <c r="BW321" s="2870"/>
      <c r="BX321" s="2877">
        <v>5.07</v>
      </c>
      <c r="BY321" s="2875">
        <v>4997499</v>
      </c>
      <c r="BZ321" s="2869">
        <v>0.78759999999999997</v>
      </c>
      <c r="CA321" s="2870"/>
      <c r="CB321" s="2870">
        <v>3993132</v>
      </c>
      <c r="CC321" s="2870"/>
      <c r="CD321" s="2870"/>
      <c r="CE321" s="2877">
        <v>5.07</v>
      </c>
      <c r="CF321" s="2875">
        <v>3993132</v>
      </c>
      <c r="CG321" s="2869">
        <v>1.3072999999999999</v>
      </c>
      <c r="CH321" s="2870"/>
      <c r="CI321" s="2870">
        <v>6628011</v>
      </c>
      <c r="CJ321" s="2870"/>
      <c r="CK321" s="2870"/>
      <c r="CL321" s="2877">
        <v>5.07</v>
      </c>
      <c r="CM321" s="2875">
        <v>6628011</v>
      </c>
      <c r="CN321" s="2911">
        <v>1.7205999999999999</v>
      </c>
      <c r="CO321" s="2870"/>
      <c r="CP321" s="2870">
        <v>8723442</v>
      </c>
      <c r="CQ321" s="2870"/>
      <c r="CR321" s="2870"/>
      <c r="CS321" s="2877">
        <v>5.07</v>
      </c>
      <c r="CT321" s="2875">
        <v>8723442</v>
      </c>
      <c r="CU321" s="2878">
        <v>16.551499999999997</v>
      </c>
      <c r="CV321" s="2870">
        <v>0</v>
      </c>
      <c r="CW321" s="2870">
        <v>83916105</v>
      </c>
      <c r="CX321" s="2870">
        <v>0</v>
      </c>
      <c r="CY321" s="2870">
        <v>0</v>
      </c>
      <c r="CZ321" s="2879">
        <v>5.07</v>
      </c>
      <c r="DA321" s="2875">
        <v>83916105</v>
      </c>
      <c r="DJ321" s="1611" t="e">
        <v>#N/A</v>
      </c>
      <c r="DK321" s="2782" t="e">
        <v>#N/A</v>
      </c>
      <c r="DM321" s="1650">
        <v>5.07</v>
      </c>
    </row>
    <row r="322" spans="1:117" ht="21" customHeight="1">
      <c r="A322" s="1652">
        <v>32</v>
      </c>
      <c r="B322" s="1644" t="s">
        <v>1982</v>
      </c>
      <c r="C322" s="1662"/>
      <c r="D322" s="1648"/>
      <c r="E322" s="1648"/>
      <c r="F322" s="1648"/>
      <c r="G322" s="1648"/>
      <c r="H322" s="1648"/>
      <c r="I322" s="1648" t="s">
        <v>1667</v>
      </c>
      <c r="J322" s="1649">
        <v>2</v>
      </c>
      <c r="K322" s="1648"/>
      <c r="L322" s="1648"/>
      <c r="M322" s="1648"/>
      <c r="N322" s="1642"/>
      <c r="O322" s="2876"/>
      <c r="P322" s="2870"/>
      <c r="Q322" s="2870"/>
      <c r="R322" s="2870"/>
      <c r="S322" s="2870"/>
      <c r="T322" s="2870"/>
      <c r="U322" s="2875">
        <v>0</v>
      </c>
      <c r="V322" s="2869"/>
      <c r="W322" s="2870"/>
      <c r="X322" s="2870"/>
      <c r="Y322" s="2870"/>
      <c r="Z322" s="2870"/>
      <c r="AA322" s="2877"/>
      <c r="AB322" s="2875">
        <v>0</v>
      </c>
      <c r="AC322" s="2869"/>
      <c r="AD322" s="2870"/>
      <c r="AE322" s="2870"/>
      <c r="AF322" s="2870"/>
      <c r="AG322" s="2870"/>
      <c r="AH322" s="2877"/>
      <c r="AI322" s="2875">
        <v>0</v>
      </c>
      <c r="AJ322" s="2869"/>
      <c r="AK322" s="2870"/>
      <c r="AL322" s="2870"/>
      <c r="AM322" s="2870"/>
      <c r="AN322" s="2870"/>
      <c r="AO322" s="2877"/>
      <c r="AP322" s="2875">
        <v>0</v>
      </c>
      <c r="AQ322" s="2869"/>
      <c r="AR322" s="2870"/>
      <c r="AS322" s="2870"/>
      <c r="AT322" s="2870"/>
      <c r="AU322" s="2870"/>
      <c r="AV322" s="2877"/>
      <c r="AW322" s="2875">
        <v>0</v>
      </c>
      <c r="AX322" s="2869"/>
      <c r="AY322" s="2870"/>
      <c r="AZ322" s="2870"/>
      <c r="BA322" s="2870"/>
      <c r="BB322" s="2870"/>
      <c r="BC322" s="2877"/>
      <c r="BD322" s="2875">
        <v>0</v>
      </c>
      <c r="BE322" s="2869"/>
      <c r="BF322" s="2870"/>
      <c r="BG322" s="2870"/>
      <c r="BH322" s="2870"/>
      <c r="BI322" s="2870"/>
      <c r="BJ322" s="2877"/>
      <c r="BK322" s="2875">
        <v>0</v>
      </c>
      <c r="BL322" s="2869"/>
      <c r="BM322" s="2870"/>
      <c r="BN322" s="2870"/>
      <c r="BO322" s="2870"/>
      <c r="BP322" s="2870"/>
      <c r="BQ322" s="2877"/>
      <c r="BR322" s="2875">
        <v>0</v>
      </c>
      <c r="BS322" s="2869"/>
      <c r="BT322" s="2870"/>
      <c r="BU322" s="2870"/>
      <c r="BV322" s="2870"/>
      <c r="BW322" s="2870"/>
      <c r="BX322" s="2877"/>
      <c r="BY322" s="2875">
        <v>0</v>
      </c>
      <c r="BZ322" s="2869">
        <v>0.82320000000000004</v>
      </c>
      <c r="CA322" s="2870"/>
      <c r="CB322" s="2870">
        <v>2642472</v>
      </c>
      <c r="CC322" s="2870"/>
      <c r="CD322" s="2870"/>
      <c r="CE322" s="2877">
        <v>3.21</v>
      </c>
      <c r="CF322" s="2875">
        <v>2642472</v>
      </c>
      <c r="CG322" s="2869">
        <v>2.6419199999999998</v>
      </c>
      <c r="CH322" s="2870"/>
      <c r="CI322" s="2870">
        <v>8480563</v>
      </c>
      <c r="CJ322" s="2870"/>
      <c r="CK322" s="2870"/>
      <c r="CL322" s="2877">
        <v>3.2099999242974806</v>
      </c>
      <c r="CM322" s="2875">
        <v>8480563</v>
      </c>
      <c r="CN322" s="2911">
        <v>4.1236800000000002</v>
      </c>
      <c r="CO322" s="2870"/>
      <c r="CP322" s="2870">
        <v>13237013</v>
      </c>
      <c r="CQ322" s="2870">
        <v>-13620672</v>
      </c>
      <c r="CR322" s="2870"/>
      <c r="CS322" s="2877">
        <v>-9.3038014588910867E-2</v>
      </c>
      <c r="CT322" s="2875">
        <v>-383659</v>
      </c>
      <c r="CU322" s="2878">
        <v>7.5888</v>
      </c>
      <c r="CV322" s="2870">
        <v>0</v>
      </c>
      <c r="CW322" s="2870">
        <v>24360048</v>
      </c>
      <c r="CX322" s="2870">
        <v>-13620672</v>
      </c>
      <c r="CY322" s="2870">
        <v>0</v>
      </c>
      <c r="CZ322" s="2879">
        <v>1.4151612903225808</v>
      </c>
      <c r="DA322" s="2875">
        <v>10739376</v>
      </c>
      <c r="DJ322" s="1611" t="e">
        <v>#N/A</v>
      </c>
      <c r="DK322" s="2782" t="e">
        <v>#N/A</v>
      </c>
      <c r="DM322" s="1650">
        <v>3.21</v>
      </c>
    </row>
    <row r="323" spans="1:117" ht="21" customHeight="1">
      <c r="A323" s="1652">
        <v>33</v>
      </c>
      <c r="B323" s="1668" t="s">
        <v>1983</v>
      </c>
      <c r="C323" s="1662">
        <v>2</v>
      </c>
      <c r="D323" s="1646">
        <v>100</v>
      </c>
      <c r="E323" s="1646"/>
      <c r="F323" s="1648" t="s">
        <v>1594</v>
      </c>
      <c r="G323" s="1648"/>
      <c r="H323" s="1648">
        <v>2</v>
      </c>
      <c r="I323" s="1648" t="s">
        <v>1667</v>
      </c>
      <c r="J323" s="1649">
        <v>2</v>
      </c>
      <c r="K323" s="1648"/>
      <c r="L323" s="1648"/>
      <c r="M323" s="1648"/>
      <c r="N323" s="1642"/>
      <c r="O323" s="2876"/>
      <c r="P323" s="2870"/>
      <c r="Q323" s="2870"/>
      <c r="R323" s="2870"/>
      <c r="S323" s="2870"/>
      <c r="T323" s="2870" t="s">
        <v>1594</v>
      </c>
      <c r="U323" s="2875">
        <v>0</v>
      </c>
      <c r="V323" s="2869">
        <v>0.57628000000000001</v>
      </c>
      <c r="W323" s="2870"/>
      <c r="X323" s="2870">
        <v>10321175</v>
      </c>
      <c r="Y323" s="2870"/>
      <c r="Z323" s="2870"/>
      <c r="AA323" s="2877">
        <v>17.910000347053515</v>
      </c>
      <c r="AB323" s="2875">
        <v>10321175</v>
      </c>
      <c r="AC323" s="2869">
        <v>0.18903</v>
      </c>
      <c r="AD323" s="2870"/>
      <c r="AE323" s="2870">
        <v>3385527</v>
      </c>
      <c r="AF323" s="2870"/>
      <c r="AG323" s="2870"/>
      <c r="AH323" s="2877">
        <v>17.909998412950326</v>
      </c>
      <c r="AI323" s="2875">
        <v>3385527</v>
      </c>
      <c r="AJ323" s="2869">
        <v>0.20516999999999999</v>
      </c>
      <c r="AK323" s="2870"/>
      <c r="AL323" s="2870">
        <v>3674595</v>
      </c>
      <c r="AM323" s="2870"/>
      <c r="AN323" s="2870"/>
      <c r="AO323" s="2877">
        <v>17.910001462202075</v>
      </c>
      <c r="AP323" s="2875">
        <v>3674595</v>
      </c>
      <c r="AQ323" s="2869">
        <v>0.22434000000000001</v>
      </c>
      <c r="AR323" s="2870"/>
      <c r="AS323" s="2870">
        <v>4017929</v>
      </c>
      <c r="AT323" s="2870"/>
      <c r="AU323" s="2870"/>
      <c r="AV323" s="2877">
        <v>17.909998216992065</v>
      </c>
      <c r="AW323" s="2875">
        <v>4017929</v>
      </c>
      <c r="AX323" s="2869">
        <v>0.22367999999999999</v>
      </c>
      <c r="AY323" s="2870"/>
      <c r="AZ323" s="2870">
        <v>4006109</v>
      </c>
      <c r="BA323" s="2870"/>
      <c r="BB323" s="2870"/>
      <c r="BC323" s="2877">
        <v>17.910000894134477</v>
      </c>
      <c r="BD323" s="2875">
        <v>4006109</v>
      </c>
      <c r="BE323" s="2869">
        <v>0.23880000000000001</v>
      </c>
      <c r="BF323" s="2870"/>
      <c r="BG323" s="2870">
        <v>4276908</v>
      </c>
      <c r="BH323" s="2870"/>
      <c r="BI323" s="2870"/>
      <c r="BJ323" s="2877">
        <v>17.91</v>
      </c>
      <c r="BK323" s="2875">
        <v>4276908</v>
      </c>
      <c r="BL323" s="2869">
        <v>0.20515</v>
      </c>
      <c r="BM323" s="2870"/>
      <c r="BN323" s="2870">
        <v>3674236</v>
      </c>
      <c r="BO323" s="2870"/>
      <c r="BP323" s="2870"/>
      <c r="BQ323" s="2877">
        <v>17.909997562758956</v>
      </c>
      <c r="BR323" s="2875">
        <v>3674236</v>
      </c>
      <c r="BS323" s="2869">
        <v>0.17612</v>
      </c>
      <c r="BT323" s="2870"/>
      <c r="BU323" s="2870">
        <v>3154309</v>
      </c>
      <c r="BV323" s="2870"/>
      <c r="BW323" s="2870"/>
      <c r="BX323" s="2877">
        <v>17.909998864410628</v>
      </c>
      <c r="BY323" s="2875">
        <v>3154309</v>
      </c>
      <c r="BZ323" s="2869">
        <v>0.15304000000000001</v>
      </c>
      <c r="CA323" s="2870"/>
      <c r="CB323" s="2870">
        <v>2740946</v>
      </c>
      <c r="CC323" s="2870"/>
      <c r="CD323" s="2870"/>
      <c r="CE323" s="2877">
        <v>17.909997386304234</v>
      </c>
      <c r="CF323" s="2875">
        <v>2740946</v>
      </c>
      <c r="CG323" s="2869">
        <v>0.22009000000000001</v>
      </c>
      <c r="CH323" s="2870"/>
      <c r="CI323" s="2870">
        <v>3941811.9</v>
      </c>
      <c r="CJ323" s="2870"/>
      <c r="CK323" s="2870"/>
      <c r="CL323" s="2877">
        <v>17.91</v>
      </c>
      <c r="CM323" s="2875">
        <v>3941811.9</v>
      </c>
      <c r="CN323" s="2911">
        <v>0.28549000000000002</v>
      </c>
      <c r="CO323" s="2870"/>
      <c r="CP323" s="2870">
        <v>5113126.0999999996</v>
      </c>
      <c r="CQ323" s="2870"/>
      <c r="CR323" s="2870"/>
      <c r="CS323" s="2877">
        <v>17.910000700549929</v>
      </c>
      <c r="CT323" s="2875">
        <v>5113126.0999999996</v>
      </c>
      <c r="CU323" s="2878">
        <v>2.6971899999999991</v>
      </c>
      <c r="CV323" s="2870">
        <v>0</v>
      </c>
      <c r="CW323" s="2870">
        <v>48306672</v>
      </c>
      <c r="CX323" s="2870">
        <v>0</v>
      </c>
      <c r="CY323" s="2870">
        <v>0</v>
      </c>
      <c r="CZ323" s="2879">
        <v>17.909999666319397</v>
      </c>
      <c r="DA323" s="2875">
        <v>48306672</v>
      </c>
      <c r="DJ323" s="1611" t="e">
        <v>#N/A</v>
      </c>
      <c r="DK323" s="2782" t="e">
        <v>#N/A</v>
      </c>
      <c r="DM323" s="1650">
        <v>17.909999666319397</v>
      </c>
    </row>
    <row r="324" spans="1:117" ht="21" customHeight="1">
      <c r="A324" s="1652">
        <v>34</v>
      </c>
      <c r="B324" s="1668" t="s">
        <v>1984</v>
      </c>
      <c r="C324" s="1662">
        <v>50</v>
      </c>
      <c r="D324" s="1646">
        <v>100</v>
      </c>
      <c r="E324" s="1646"/>
      <c r="F324" s="1648" t="s">
        <v>1594</v>
      </c>
      <c r="G324" s="1648"/>
      <c r="H324" s="1648">
        <v>50</v>
      </c>
      <c r="I324" s="1648" t="s">
        <v>1667</v>
      </c>
      <c r="J324" s="1649">
        <v>2</v>
      </c>
      <c r="K324" s="1648"/>
      <c r="L324" s="1648"/>
      <c r="M324" s="1648"/>
      <c r="N324" s="1642"/>
      <c r="O324" s="2876">
        <v>6.9040800000000004</v>
      </c>
      <c r="P324" s="2870"/>
      <c r="Q324" s="2870">
        <v>48466641</v>
      </c>
      <c r="R324" s="2870"/>
      <c r="S324" s="2870"/>
      <c r="T324" s="2870">
        <v>7.0199999130948658</v>
      </c>
      <c r="U324" s="2875">
        <v>48466641</v>
      </c>
      <c r="V324" s="2869">
        <v>6.7926599999999997</v>
      </c>
      <c r="W324" s="2870"/>
      <c r="X324" s="2870">
        <v>47684473</v>
      </c>
      <c r="Y324" s="2870"/>
      <c r="Z324" s="2870"/>
      <c r="AA324" s="2877">
        <v>7.0199999705564533</v>
      </c>
      <c r="AB324" s="2875">
        <v>47684473</v>
      </c>
      <c r="AC324" s="2869">
        <v>5.3649719999999999</v>
      </c>
      <c r="AD324" s="2870"/>
      <c r="AE324" s="2870">
        <v>37662103</v>
      </c>
      <c r="AF324" s="2870"/>
      <c r="AG324" s="2870"/>
      <c r="AH324" s="2877">
        <v>7.0199999179865245</v>
      </c>
      <c r="AI324" s="2875">
        <v>37662103</v>
      </c>
      <c r="AJ324" s="2869">
        <v>4.9547879999999997</v>
      </c>
      <c r="AK324" s="2870"/>
      <c r="AL324" s="2870">
        <v>34782611</v>
      </c>
      <c r="AM324" s="2870"/>
      <c r="AN324" s="2870"/>
      <c r="AO324" s="2877">
        <v>7.0199998466130138</v>
      </c>
      <c r="AP324" s="2875">
        <v>34782611</v>
      </c>
      <c r="AQ324" s="2869">
        <v>4.7556000000000003</v>
      </c>
      <c r="AR324" s="2870"/>
      <c r="AS324" s="2870">
        <v>33384312</v>
      </c>
      <c r="AT324" s="2870"/>
      <c r="AU324" s="2870"/>
      <c r="AV324" s="2877">
        <v>7.02</v>
      </c>
      <c r="AW324" s="2875">
        <v>33384312</v>
      </c>
      <c r="AX324" s="2869">
        <v>4.9674240000000003</v>
      </c>
      <c r="AY324" s="2870"/>
      <c r="AZ324" s="2870">
        <v>34871316</v>
      </c>
      <c r="BA324" s="2870"/>
      <c r="BB324" s="2870"/>
      <c r="BC324" s="2877">
        <v>7.0199999033704392</v>
      </c>
      <c r="BD324" s="2875">
        <v>34871316</v>
      </c>
      <c r="BE324" s="2869">
        <v>6.0861960000000002</v>
      </c>
      <c r="BF324" s="2870"/>
      <c r="BG324" s="2870">
        <v>42725096</v>
      </c>
      <c r="BH324" s="2870"/>
      <c r="BI324" s="2870"/>
      <c r="BJ324" s="2877">
        <v>7.0200000131444993</v>
      </c>
      <c r="BK324" s="2875">
        <v>42725096</v>
      </c>
      <c r="BL324" s="2869">
        <v>5.678388</v>
      </c>
      <c r="BM324" s="2870"/>
      <c r="BN324" s="2870">
        <v>39862284</v>
      </c>
      <c r="BO324" s="2870"/>
      <c r="BP324" s="2870"/>
      <c r="BQ324" s="2877">
        <v>7.020000042265516</v>
      </c>
      <c r="BR324" s="2875">
        <v>39862284</v>
      </c>
      <c r="BS324" s="2869">
        <v>5.8088519999999999</v>
      </c>
      <c r="BT324" s="2870"/>
      <c r="BU324" s="2870">
        <v>40778141</v>
      </c>
      <c r="BV324" s="2870"/>
      <c r="BW324" s="2870"/>
      <c r="BX324" s="2877">
        <v>7.0199999931139576</v>
      </c>
      <c r="BY324" s="2875">
        <v>40778141</v>
      </c>
      <c r="BZ324" s="2869">
        <v>5.3737919999999999</v>
      </c>
      <c r="CA324" s="2870"/>
      <c r="CB324" s="2870">
        <v>37724019</v>
      </c>
      <c r="CC324" s="2870"/>
      <c r="CD324" s="2870"/>
      <c r="CE324" s="2877">
        <v>7.0199998436857998</v>
      </c>
      <c r="CF324" s="2875">
        <v>37724019</v>
      </c>
      <c r="CG324" s="2869">
        <v>6.8162289999999999</v>
      </c>
      <c r="CH324" s="2870"/>
      <c r="CI324" s="2870">
        <v>47849929</v>
      </c>
      <c r="CJ324" s="2870"/>
      <c r="CK324" s="2870"/>
      <c r="CL324" s="2877">
        <v>7.0200002083263344</v>
      </c>
      <c r="CM324" s="2875">
        <v>47849929</v>
      </c>
      <c r="CN324" s="2911">
        <v>8.1063722000000009</v>
      </c>
      <c r="CO324" s="2870"/>
      <c r="CP324" s="2870">
        <v>56906732</v>
      </c>
      <c r="CQ324" s="2870"/>
      <c r="CR324" s="2870"/>
      <c r="CS324" s="2877">
        <v>7.019999895884375</v>
      </c>
      <c r="CT324" s="2875">
        <v>56906732</v>
      </c>
      <c r="CU324" s="2878">
        <v>71.609353200000001</v>
      </c>
      <c r="CV324" s="2870">
        <v>0</v>
      </c>
      <c r="CW324" s="2870">
        <v>502697657</v>
      </c>
      <c r="CX324" s="2870">
        <v>0</v>
      </c>
      <c r="CY324" s="2870">
        <v>0</v>
      </c>
      <c r="CZ324" s="2879">
        <v>7.0199999655910865</v>
      </c>
      <c r="DA324" s="2875">
        <v>502697657</v>
      </c>
      <c r="DJ324" s="1611" t="e">
        <v>#N/A</v>
      </c>
      <c r="DK324" s="2782" t="e">
        <v>#N/A</v>
      </c>
      <c r="DM324" s="1650">
        <v>7.0199999655910865</v>
      </c>
    </row>
    <row r="325" spans="1:117" ht="21" customHeight="1">
      <c r="A325" s="1652">
        <v>35</v>
      </c>
      <c r="B325" s="1668" t="s">
        <v>1985</v>
      </c>
      <c r="C325" s="1662">
        <v>30</v>
      </c>
      <c r="D325" s="1646">
        <v>100</v>
      </c>
      <c r="E325" s="1646"/>
      <c r="F325" s="1648" t="s">
        <v>1594</v>
      </c>
      <c r="G325" s="1648"/>
      <c r="H325" s="1648">
        <v>30</v>
      </c>
      <c r="I325" s="1648" t="s">
        <v>1667</v>
      </c>
      <c r="J325" s="1649">
        <v>2</v>
      </c>
      <c r="K325" s="1648"/>
      <c r="L325" s="1648"/>
      <c r="M325" s="1648"/>
      <c r="N325" s="1642"/>
      <c r="O325" s="2876">
        <v>5.1083999999999996</v>
      </c>
      <c r="P325" s="2870"/>
      <c r="Q325" s="2870">
        <v>47661372</v>
      </c>
      <c r="R325" s="2870"/>
      <c r="S325" s="2870"/>
      <c r="T325" s="2870">
        <v>9.33</v>
      </c>
      <c r="U325" s="2875">
        <v>47661372</v>
      </c>
      <c r="V325" s="2869">
        <v>5.3154000000000003</v>
      </c>
      <c r="W325" s="2870"/>
      <c r="X325" s="2870">
        <v>49592682</v>
      </c>
      <c r="Y325" s="2870"/>
      <c r="Z325" s="2870"/>
      <c r="AA325" s="2877">
        <v>9.33</v>
      </c>
      <c r="AB325" s="2875">
        <v>49592682</v>
      </c>
      <c r="AC325" s="2869">
        <v>4.0301999999999998</v>
      </c>
      <c r="AD325" s="2870"/>
      <c r="AE325" s="2870">
        <v>37601766</v>
      </c>
      <c r="AF325" s="2870"/>
      <c r="AG325" s="2870"/>
      <c r="AH325" s="2877">
        <v>9.33</v>
      </c>
      <c r="AI325" s="2875">
        <v>37601766</v>
      </c>
      <c r="AJ325" s="2869">
        <v>4.0895999999999999</v>
      </c>
      <c r="AK325" s="2870"/>
      <c r="AL325" s="2870">
        <v>38155968</v>
      </c>
      <c r="AM325" s="2870"/>
      <c r="AN325" s="2870"/>
      <c r="AO325" s="2877">
        <v>9.33</v>
      </c>
      <c r="AP325" s="2875">
        <v>38155968</v>
      </c>
      <c r="AQ325" s="2869">
        <v>3.6179999999999999</v>
      </c>
      <c r="AR325" s="2870"/>
      <c r="AS325" s="2870">
        <v>33755940</v>
      </c>
      <c r="AT325" s="2870"/>
      <c r="AU325" s="2870"/>
      <c r="AV325" s="2877">
        <v>9.33</v>
      </c>
      <c r="AW325" s="2875">
        <v>33755940</v>
      </c>
      <c r="AX325" s="2869">
        <v>4.2860699999999996</v>
      </c>
      <c r="AY325" s="2870"/>
      <c r="AZ325" s="2870">
        <v>39989033</v>
      </c>
      <c r="BA325" s="2870"/>
      <c r="BB325" s="2870"/>
      <c r="BC325" s="2877">
        <v>9.3299999766686028</v>
      </c>
      <c r="BD325" s="2875">
        <v>39989033</v>
      </c>
      <c r="BE325" s="2869">
        <v>4.3109999999999999</v>
      </c>
      <c r="BF325" s="2870"/>
      <c r="BG325" s="2870">
        <v>40221630</v>
      </c>
      <c r="BH325" s="2870"/>
      <c r="BI325" s="2870"/>
      <c r="BJ325" s="2877">
        <v>9.33</v>
      </c>
      <c r="BK325" s="2875">
        <v>40221630</v>
      </c>
      <c r="BL325" s="2869">
        <v>3.7475999999999998</v>
      </c>
      <c r="BM325" s="2870"/>
      <c r="BN325" s="2870">
        <v>34965108</v>
      </c>
      <c r="BO325" s="2870"/>
      <c r="BP325" s="2870"/>
      <c r="BQ325" s="2877">
        <v>9.33</v>
      </c>
      <c r="BR325" s="2875">
        <v>34965108</v>
      </c>
      <c r="BS325" s="2869">
        <v>3.8915999999999999</v>
      </c>
      <c r="BT325" s="2870"/>
      <c r="BU325" s="2870">
        <v>36308628</v>
      </c>
      <c r="BV325" s="2870"/>
      <c r="BW325" s="2870"/>
      <c r="BX325" s="2877">
        <v>9.33</v>
      </c>
      <c r="BY325" s="2875">
        <v>36308628</v>
      </c>
      <c r="BZ325" s="2869">
        <v>3.7547999999999999</v>
      </c>
      <c r="CA325" s="2870"/>
      <c r="CB325" s="2870">
        <v>35032284</v>
      </c>
      <c r="CC325" s="2870"/>
      <c r="CD325" s="2870"/>
      <c r="CE325" s="2877">
        <v>9.33</v>
      </c>
      <c r="CF325" s="2875">
        <v>35032284</v>
      </c>
      <c r="CG325" s="2869">
        <v>4.806</v>
      </c>
      <c r="CH325" s="2870"/>
      <c r="CI325" s="2870">
        <v>44839980</v>
      </c>
      <c r="CJ325" s="2870"/>
      <c r="CK325" s="2870"/>
      <c r="CL325" s="2877">
        <v>9.33</v>
      </c>
      <c r="CM325" s="2875">
        <v>44839980</v>
      </c>
      <c r="CN325" s="2911">
        <v>5.4917999999999996</v>
      </c>
      <c r="CO325" s="2870"/>
      <c r="CP325" s="2870">
        <v>51238494</v>
      </c>
      <c r="CQ325" s="2870"/>
      <c r="CR325" s="2870"/>
      <c r="CS325" s="2877">
        <v>9.33</v>
      </c>
      <c r="CT325" s="2875">
        <v>51238494</v>
      </c>
      <c r="CU325" s="2878">
        <v>52.450469999999996</v>
      </c>
      <c r="CV325" s="2870">
        <v>0</v>
      </c>
      <c r="CW325" s="2870">
        <v>489362885</v>
      </c>
      <c r="CX325" s="2870">
        <v>0</v>
      </c>
      <c r="CY325" s="2870">
        <v>0</v>
      </c>
      <c r="CZ325" s="2879">
        <v>9.3299999980934416</v>
      </c>
      <c r="DA325" s="2875">
        <v>489362885</v>
      </c>
      <c r="DJ325" s="1611" t="e">
        <v>#N/A</v>
      </c>
      <c r="DK325" s="2782" t="e">
        <v>#N/A</v>
      </c>
      <c r="DM325" s="1650">
        <v>9.3299999980934416</v>
      </c>
    </row>
    <row r="326" spans="1:117" ht="21" customHeight="1">
      <c r="A326" s="1652">
        <v>36</v>
      </c>
      <c r="B326" s="1701" t="s">
        <v>1986</v>
      </c>
      <c r="C326" s="1662">
        <v>25</v>
      </c>
      <c r="D326" s="1646">
        <v>100</v>
      </c>
      <c r="E326" s="1646"/>
      <c r="F326" s="1648"/>
      <c r="G326" s="1648"/>
      <c r="H326" s="1648">
        <v>25</v>
      </c>
      <c r="I326" s="1648" t="s">
        <v>1667</v>
      </c>
      <c r="J326" s="1649">
        <v>2</v>
      </c>
      <c r="K326" s="1648"/>
      <c r="L326" s="1648"/>
      <c r="M326" s="1648"/>
      <c r="N326" s="1642"/>
      <c r="O326" s="2876"/>
      <c r="P326" s="2870"/>
      <c r="Q326" s="2870"/>
      <c r="R326" s="2870"/>
      <c r="S326" s="2870"/>
      <c r="T326" s="2870" t="s">
        <v>1594</v>
      </c>
      <c r="U326" s="2875">
        <v>0</v>
      </c>
      <c r="V326" s="2869"/>
      <c r="W326" s="2870"/>
      <c r="X326" s="2870"/>
      <c r="Y326" s="2870"/>
      <c r="Z326" s="2870"/>
      <c r="AA326" s="2877">
        <v>0</v>
      </c>
      <c r="AB326" s="2875">
        <v>0</v>
      </c>
      <c r="AC326" s="2869">
        <v>7.0899239999999999</v>
      </c>
      <c r="AD326" s="2870"/>
      <c r="AE326" s="2870">
        <v>37434799</v>
      </c>
      <c r="AF326" s="2870"/>
      <c r="AG326" s="2870"/>
      <c r="AH326" s="2877">
        <v>5.2800000394926663</v>
      </c>
      <c r="AI326" s="2875">
        <v>37434799</v>
      </c>
      <c r="AJ326" s="2869">
        <v>2.9142839999999999</v>
      </c>
      <c r="AK326" s="2870"/>
      <c r="AL326" s="2870">
        <v>15387420</v>
      </c>
      <c r="AM326" s="2870"/>
      <c r="AN326" s="2870"/>
      <c r="AO326" s="2877">
        <v>5.2800001647059789</v>
      </c>
      <c r="AP326" s="2875">
        <v>15387420</v>
      </c>
      <c r="AQ326" s="2869">
        <v>2.7580079999999998</v>
      </c>
      <c r="AR326" s="2870"/>
      <c r="AS326" s="2870">
        <v>14562282</v>
      </c>
      <c r="AT326" s="2870"/>
      <c r="AU326" s="2870"/>
      <c r="AV326" s="2877">
        <v>5.2799999129806734</v>
      </c>
      <c r="AW326" s="2875">
        <v>14562282</v>
      </c>
      <c r="AX326" s="2869">
        <v>2.566176</v>
      </c>
      <c r="AY326" s="2870"/>
      <c r="AZ326" s="2870">
        <v>13549409</v>
      </c>
      <c r="BA326" s="2870"/>
      <c r="BB326" s="2870"/>
      <c r="BC326" s="2877">
        <v>5.2799998908882317</v>
      </c>
      <c r="BD326" s="2875">
        <v>13549409</v>
      </c>
      <c r="BE326" s="2869">
        <v>7.8283679999999993</v>
      </c>
      <c r="BF326" s="2870"/>
      <c r="BG326" s="2870">
        <v>41333781</v>
      </c>
      <c r="BH326" s="2870"/>
      <c r="BI326" s="2870"/>
      <c r="BJ326" s="2877">
        <v>5.2799997394092877</v>
      </c>
      <c r="BK326" s="2875">
        <v>41333781</v>
      </c>
      <c r="BL326" s="2869"/>
      <c r="BM326" s="2870"/>
      <c r="BN326" s="2870"/>
      <c r="BO326" s="2870"/>
      <c r="BP326" s="2870"/>
      <c r="BQ326" s="2877">
        <v>0</v>
      </c>
      <c r="BR326" s="2875">
        <v>0</v>
      </c>
      <c r="BS326" s="2869">
        <v>3.0757919999999999</v>
      </c>
      <c r="BT326" s="2870"/>
      <c r="BU326" s="2870">
        <v>16240182</v>
      </c>
      <c r="BV326" s="2870"/>
      <c r="BW326" s="2870"/>
      <c r="BX326" s="2877">
        <v>5.2800000780286833</v>
      </c>
      <c r="BY326" s="2875">
        <v>16240182</v>
      </c>
      <c r="BZ326" s="2869">
        <v>2.503152</v>
      </c>
      <c r="CA326" s="2870"/>
      <c r="CB326" s="2870">
        <v>13216643</v>
      </c>
      <c r="CC326" s="2870"/>
      <c r="CD326" s="2870"/>
      <c r="CE326" s="2877">
        <v>5.2800001757783788</v>
      </c>
      <c r="CF326" s="2875">
        <v>13216643</v>
      </c>
      <c r="CG326" s="2869">
        <v>5.3506320000000001</v>
      </c>
      <c r="CH326" s="2870"/>
      <c r="CI326" s="2870">
        <v>28251337</v>
      </c>
      <c r="CJ326" s="2870"/>
      <c r="CK326" s="2870"/>
      <c r="CL326" s="2877">
        <v>5.2800000074757527</v>
      </c>
      <c r="CM326" s="2875">
        <v>28251337</v>
      </c>
      <c r="CN326" s="2911">
        <v>5.7339420000000043</v>
      </c>
      <c r="CO326" s="2870"/>
      <c r="CP326" s="2870">
        <v>25258368.460000001</v>
      </c>
      <c r="CQ326" s="2870">
        <v>5016845.5399999917</v>
      </c>
      <c r="CR326" s="2870"/>
      <c r="CS326" s="2877">
        <v>5.2800000418560158</v>
      </c>
      <c r="CT326" s="2875">
        <v>30275213.999999993</v>
      </c>
      <c r="CU326" s="2878">
        <v>39.820278000000002</v>
      </c>
      <c r="CV326" s="2870"/>
      <c r="CW326" s="2870">
        <v>205234221.46000001</v>
      </c>
      <c r="CX326" s="2870">
        <v>5016845.5399999917</v>
      </c>
      <c r="CY326" s="2870">
        <v>0</v>
      </c>
      <c r="CZ326" s="2879">
        <v>5.2799999789052201</v>
      </c>
      <c r="DA326" s="2875">
        <v>210251067</v>
      </c>
      <c r="DJ326" s="1611" t="e">
        <v>#N/A</v>
      </c>
      <c r="DK326" s="2782" t="e">
        <v>#N/A</v>
      </c>
      <c r="DM326" s="1650">
        <v>5.1540127735923891</v>
      </c>
    </row>
    <row r="327" spans="1:117" ht="21" customHeight="1">
      <c r="A327" s="1652"/>
      <c r="B327" s="1644"/>
      <c r="C327" s="1662"/>
      <c r="D327" s="1648"/>
      <c r="E327" s="1648"/>
      <c r="F327" s="1648"/>
      <c r="G327" s="1648"/>
      <c r="H327" s="1648"/>
      <c r="I327" s="1648"/>
      <c r="J327" s="1649"/>
      <c r="K327" s="1648"/>
      <c r="L327" s="1648"/>
      <c r="M327" s="1648"/>
      <c r="N327" s="1642"/>
      <c r="O327" s="2876"/>
      <c r="P327" s="2870"/>
      <c r="Q327" s="2870"/>
      <c r="R327" s="2870"/>
      <c r="S327" s="2870"/>
      <c r="T327" s="2870"/>
      <c r="U327" s="2875">
        <v>0</v>
      </c>
      <c r="V327" s="2869"/>
      <c r="W327" s="2870"/>
      <c r="X327" s="2870"/>
      <c r="Y327" s="2870"/>
      <c r="Z327" s="2870"/>
      <c r="AA327" s="2877"/>
      <c r="AB327" s="2875">
        <v>0</v>
      </c>
      <c r="AC327" s="2869"/>
      <c r="AD327" s="2870"/>
      <c r="AE327" s="2870"/>
      <c r="AF327" s="2870"/>
      <c r="AG327" s="2870"/>
      <c r="AH327" s="2877"/>
      <c r="AI327" s="2875">
        <v>0</v>
      </c>
      <c r="AJ327" s="2869"/>
      <c r="AK327" s="2870"/>
      <c r="AL327" s="2870"/>
      <c r="AM327" s="2870"/>
      <c r="AN327" s="2870"/>
      <c r="AO327" s="2877"/>
      <c r="AP327" s="2875">
        <v>0</v>
      </c>
      <c r="AQ327" s="2869"/>
      <c r="AR327" s="2870"/>
      <c r="AS327" s="2870"/>
      <c r="AT327" s="2870"/>
      <c r="AU327" s="2870"/>
      <c r="AV327" s="2877"/>
      <c r="AW327" s="2875">
        <v>0</v>
      </c>
      <c r="AX327" s="2869"/>
      <c r="AY327" s="2870"/>
      <c r="AZ327" s="2870"/>
      <c r="BA327" s="2870"/>
      <c r="BB327" s="2870"/>
      <c r="BC327" s="2877"/>
      <c r="BD327" s="2875">
        <v>0</v>
      </c>
      <c r="BE327" s="2869"/>
      <c r="BF327" s="2870"/>
      <c r="BG327" s="2870"/>
      <c r="BH327" s="2870"/>
      <c r="BI327" s="2870"/>
      <c r="BJ327" s="2877"/>
      <c r="BK327" s="2875">
        <v>0</v>
      </c>
      <c r="BL327" s="2869"/>
      <c r="BM327" s="2870"/>
      <c r="BN327" s="2870"/>
      <c r="BO327" s="2870"/>
      <c r="BP327" s="2870"/>
      <c r="BQ327" s="2877"/>
      <c r="BR327" s="2875">
        <v>0</v>
      </c>
      <c r="BS327" s="2869"/>
      <c r="BT327" s="2870"/>
      <c r="BU327" s="2870"/>
      <c r="BV327" s="2870"/>
      <c r="BW327" s="2870"/>
      <c r="BX327" s="2877"/>
      <c r="BY327" s="2875">
        <v>0</v>
      </c>
      <c r="BZ327" s="2869"/>
      <c r="CA327" s="2870"/>
      <c r="CB327" s="2870"/>
      <c r="CC327" s="2870"/>
      <c r="CD327" s="2870"/>
      <c r="CE327" s="2877"/>
      <c r="CF327" s="2875">
        <v>0</v>
      </c>
      <c r="CG327" s="2869"/>
      <c r="CH327" s="2870"/>
      <c r="CI327" s="2870"/>
      <c r="CJ327" s="2870"/>
      <c r="CK327" s="2870"/>
      <c r="CL327" s="2877"/>
      <c r="CM327" s="2875">
        <v>0</v>
      </c>
      <c r="CN327" s="2911"/>
      <c r="CO327" s="2870"/>
      <c r="CP327" s="2870"/>
      <c r="CQ327" s="2870"/>
      <c r="CR327" s="2870"/>
      <c r="CS327" s="2877"/>
      <c r="CT327" s="2875">
        <v>0</v>
      </c>
      <c r="CU327" s="2878">
        <v>0</v>
      </c>
      <c r="CV327" s="2870">
        <v>0</v>
      </c>
      <c r="CW327" s="2870">
        <v>0</v>
      </c>
      <c r="CX327" s="2870">
        <v>0</v>
      </c>
      <c r="CY327" s="2870">
        <v>0</v>
      </c>
      <c r="CZ327" s="2879">
        <v>0</v>
      </c>
      <c r="DA327" s="2875">
        <v>0</v>
      </c>
      <c r="DJ327" s="1611" t="e">
        <v>#N/A</v>
      </c>
      <c r="DK327" s="2782" t="e">
        <v>#N/A</v>
      </c>
      <c r="DM327" s="1650">
        <v>0</v>
      </c>
    </row>
    <row r="328" spans="1:117" s="1727" customFormat="1" ht="21" customHeight="1">
      <c r="A328" s="1637"/>
      <c r="B328" s="1638" t="s">
        <v>211</v>
      </c>
      <c r="C328" s="1643"/>
      <c r="D328" s="1641"/>
      <c r="E328" s="1641"/>
      <c r="F328" s="1641"/>
      <c r="G328" s="1641"/>
      <c r="H328" s="1641"/>
      <c r="I328" s="1641"/>
      <c r="J328" s="1649"/>
      <c r="K328" s="1641"/>
      <c r="L328" s="1641"/>
      <c r="M328" s="1641"/>
      <c r="N328" s="1671"/>
      <c r="O328" s="2876">
        <v>290.1997179999999</v>
      </c>
      <c r="P328" s="2874">
        <v>0</v>
      </c>
      <c r="Q328" s="2874">
        <v>1145213680</v>
      </c>
      <c r="R328" s="2874">
        <v>0</v>
      </c>
      <c r="S328" s="2874"/>
      <c r="T328" s="2879">
        <v>3.9462949443665569</v>
      </c>
      <c r="U328" s="2875">
        <v>1145213680</v>
      </c>
      <c r="V328" s="2876">
        <v>365.356742</v>
      </c>
      <c r="W328" s="2874">
        <v>0</v>
      </c>
      <c r="X328" s="2874">
        <v>1483903015</v>
      </c>
      <c r="Y328" s="2874">
        <v>0</v>
      </c>
      <c r="Z328" s="2874">
        <v>0</v>
      </c>
      <c r="AA328" s="2879">
        <v>4.0615180846998031</v>
      </c>
      <c r="AB328" s="2875">
        <v>1483903015</v>
      </c>
      <c r="AC328" s="2876">
        <v>297.63761599999998</v>
      </c>
      <c r="AD328" s="2874">
        <v>0</v>
      </c>
      <c r="AE328" s="2874">
        <v>1149608145</v>
      </c>
      <c r="AF328" s="2874">
        <v>0</v>
      </c>
      <c r="AG328" s="2874">
        <v>0</v>
      </c>
      <c r="AH328" s="2879">
        <v>3.8624423903462524</v>
      </c>
      <c r="AI328" s="2875">
        <v>1149608145</v>
      </c>
      <c r="AJ328" s="2876">
        <v>297.40891599999998</v>
      </c>
      <c r="AK328" s="2874">
        <v>0</v>
      </c>
      <c r="AL328" s="2874">
        <v>1137569266</v>
      </c>
      <c r="AM328" s="2874">
        <v>0</v>
      </c>
      <c r="AN328" s="2874">
        <v>0</v>
      </c>
      <c r="AO328" s="2879">
        <v>3.8249332982337356</v>
      </c>
      <c r="AP328" s="2875">
        <v>1137569266</v>
      </c>
      <c r="AQ328" s="2876">
        <v>267.60699800000003</v>
      </c>
      <c r="AR328" s="2874">
        <v>0</v>
      </c>
      <c r="AS328" s="2874">
        <v>1023805536</v>
      </c>
      <c r="AT328" s="2874">
        <v>0</v>
      </c>
      <c r="AU328" s="2874">
        <v>0</v>
      </c>
      <c r="AV328" s="2879">
        <v>3.8257801315046325</v>
      </c>
      <c r="AW328" s="2875">
        <v>1023805536</v>
      </c>
      <c r="AX328" s="2876">
        <v>283.54760099999993</v>
      </c>
      <c r="AY328" s="2874">
        <v>0</v>
      </c>
      <c r="AZ328" s="2874">
        <v>1108706511</v>
      </c>
      <c r="BA328" s="2874">
        <v>0</v>
      </c>
      <c r="BB328" s="2874">
        <v>0</v>
      </c>
      <c r="BC328" s="2879">
        <v>3.9101248153392074</v>
      </c>
      <c r="BD328" s="2875">
        <v>1108706511</v>
      </c>
      <c r="BE328" s="2876">
        <v>310.43940900000001</v>
      </c>
      <c r="BF328" s="2874">
        <v>0</v>
      </c>
      <c r="BG328" s="2874">
        <v>1231577829</v>
      </c>
      <c r="BH328" s="2874">
        <v>0</v>
      </c>
      <c r="BI328" s="2874">
        <v>0</v>
      </c>
      <c r="BJ328" s="2879">
        <v>3.9672083933132343</v>
      </c>
      <c r="BK328" s="2875">
        <v>1231577829</v>
      </c>
      <c r="BL328" s="2876">
        <v>265.01038700000004</v>
      </c>
      <c r="BM328" s="2874">
        <v>0</v>
      </c>
      <c r="BN328" s="2874">
        <v>1042744342</v>
      </c>
      <c r="BO328" s="2874">
        <v>0</v>
      </c>
      <c r="BP328" s="2874">
        <v>0</v>
      </c>
      <c r="BQ328" s="2879">
        <v>3.9347300828627518</v>
      </c>
      <c r="BR328" s="2875">
        <v>1042744342</v>
      </c>
      <c r="BS328" s="2876">
        <v>276.59147899999999</v>
      </c>
      <c r="BT328" s="2874">
        <v>0</v>
      </c>
      <c r="BU328" s="2874">
        <v>1077866576</v>
      </c>
      <c r="BV328" s="2874">
        <v>0</v>
      </c>
      <c r="BW328" s="2874">
        <v>0</v>
      </c>
      <c r="BX328" s="2879">
        <v>3.8969623355605978</v>
      </c>
      <c r="BY328" s="2875">
        <v>1077866576</v>
      </c>
      <c r="BZ328" s="2876">
        <v>272.17252099999996</v>
      </c>
      <c r="CA328" s="2874">
        <v>0</v>
      </c>
      <c r="CB328" s="2874">
        <v>1045622612</v>
      </c>
      <c r="CC328" s="2874">
        <v>0</v>
      </c>
      <c r="CD328" s="2874">
        <v>0</v>
      </c>
      <c r="CE328" s="2879">
        <v>3.8417640699297495</v>
      </c>
      <c r="CF328" s="2875">
        <v>1045622612</v>
      </c>
      <c r="CG328" s="2876">
        <v>333.02658599999995</v>
      </c>
      <c r="CH328" s="2874">
        <v>0</v>
      </c>
      <c r="CI328" s="2874">
        <v>1320931313.7300003</v>
      </c>
      <c r="CJ328" s="2874">
        <v>0</v>
      </c>
      <c r="CK328" s="2874">
        <v>0</v>
      </c>
      <c r="CL328" s="2879">
        <v>3.966444029576667</v>
      </c>
      <c r="CM328" s="2875">
        <v>1320931313.7300003</v>
      </c>
      <c r="CN328" s="2909">
        <v>456.82919228000083</v>
      </c>
      <c r="CO328" s="2874">
        <v>0</v>
      </c>
      <c r="CP328" s="2874">
        <v>1711919307.8499999</v>
      </c>
      <c r="CQ328" s="2874">
        <v>-8603826.4600000083</v>
      </c>
      <c r="CR328" s="2874">
        <v>0</v>
      </c>
      <c r="CS328" s="2879">
        <v>3.7285609373798505</v>
      </c>
      <c r="CT328" s="2875">
        <v>1703315481.3899999</v>
      </c>
      <c r="CU328" s="2881">
        <v>3715.8271652800013</v>
      </c>
      <c r="CV328" s="2874">
        <v>0</v>
      </c>
      <c r="CW328" s="2874">
        <v>14479468133.58</v>
      </c>
      <c r="CX328" s="2874">
        <v>-8603826.4600000083</v>
      </c>
      <c r="CY328" s="2874">
        <v>0</v>
      </c>
      <c r="CZ328" s="2879">
        <v>3.8943857352497631</v>
      </c>
      <c r="DA328" s="2875">
        <v>14470864307.120001</v>
      </c>
      <c r="DB328" s="1609"/>
      <c r="DD328" s="1625"/>
      <c r="DJ328" s="1611" t="e">
        <v>#N/A</v>
      </c>
      <c r="DK328" s="2782">
        <v>0</v>
      </c>
      <c r="DM328" s="1650">
        <v>3.8967011891385748</v>
      </c>
    </row>
    <row r="329" spans="1:117" ht="21" customHeight="1">
      <c r="A329" s="1652"/>
      <c r="B329" s="1644"/>
      <c r="C329" s="1662"/>
      <c r="D329" s="1648"/>
      <c r="E329" s="1648"/>
      <c r="F329" s="1648"/>
      <c r="G329" s="1648"/>
      <c r="H329" s="1648"/>
      <c r="I329" s="1648"/>
      <c r="J329" s="1663"/>
      <c r="K329" s="1648"/>
      <c r="L329" s="1648"/>
      <c r="M329" s="1648"/>
      <c r="N329" s="1642"/>
      <c r="O329" s="2876"/>
      <c r="P329" s="2870"/>
      <c r="Q329" s="2870"/>
      <c r="R329" s="2870"/>
      <c r="S329" s="2870"/>
      <c r="T329" s="2870"/>
      <c r="U329" s="2871"/>
      <c r="V329" s="2869"/>
      <c r="W329" s="2870"/>
      <c r="X329" s="2870"/>
      <c r="Y329" s="2870"/>
      <c r="Z329" s="2870"/>
      <c r="AA329" s="2877"/>
      <c r="AB329" s="2875">
        <v>0</v>
      </c>
      <c r="AC329" s="2869"/>
      <c r="AD329" s="2870"/>
      <c r="AE329" s="2870"/>
      <c r="AF329" s="2870"/>
      <c r="AG329" s="2870"/>
      <c r="AH329" s="2877"/>
      <c r="AI329" s="2875">
        <v>0</v>
      </c>
      <c r="AJ329" s="2869"/>
      <c r="AK329" s="2870"/>
      <c r="AL329" s="2870"/>
      <c r="AM329" s="2870"/>
      <c r="AN329" s="2870"/>
      <c r="AO329" s="2877"/>
      <c r="AP329" s="2875">
        <v>0</v>
      </c>
      <c r="AQ329" s="2869"/>
      <c r="AR329" s="2870"/>
      <c r="AS329" s="2870"/>
      <c r="AT329" s="2870"/>
      <c r="AU329" s="2870"/>
      <c r="AV329" s="2877"/>
      <c r="AW329" s="2875">
        <v>0</v>
      </c>
      <c r="AX329" s="2869"/>
      <c r="AY329" s="2870"/>
      <c r="AZ329" s="2870"/>
      <c r="BA329" s="2870"/>
      <c r="BB329" s="2870"/>
      <c r="BC329" s="2877"/>
      <c r="BD329" s="2875">
        <v>0</v>
      </c>
      <c r="BE329" s="2869"/>
      <c r="BF329" s="2870"/>
      <c r="BG329" s="2870"/>
      <c r="BH329" s="2870"/>
      <c r="BI329" s="2870"/>
      <c r="BJ329" s="2877"/>
      <c r="BK329" s="2875">
        <v>0</v>
      </c>
      <c r="BL329" s="2869"/>
      <c r="BM329" s="2870"/>
      <c r="BN329" s="2870"/>
      <c r="BO329" s="2870"/>
      <c r="BP329" s="2870"/>
      <c r="BQ329" s="2877"/>
      <c r="BR329" s="2875">
        <v>0</v>
      </c>
      <c r="BS329" s="2869"/>
      <c r="BT329" s="2870"/>
      <c r="BU329" s="2870"/>
      <c r="BV329" s="2870"/>
      <c r="BW329" s="2870"/>
      <c r="BX329" s="2877"/>
      <c r="BY329" s="2875">
        <v>0</v>
      </c>
      <c r="BZ329" s="2869"/>
      <c r="CA329" s="2870"/>
      <c r="CB329" s="2870"/>
      <c r="CC329" s="2870"/>
      <c r="CD329" s="2870"/>
      <c r="CE329" s="2877"/>
      <c r="CF329" s="2875">
        <v>0</v>
      </c>
      <c r="CG329" s="2869"/>
      <c r="CH329" s="2870"/>
      <c r="CI329" s="2870"/>
      <c r="CJ329" s="2870"/>
      <c r="CK329" s="2870"/>
      <c r="CL329" s="2877"/>
      <c r="CM329" s="2913"/>
      <c r="CN329" s="2872"/>
      <c r="CO329" s="2870"/>
      <c r="CP329" s="2870"/>
      <c r="CQ329" s="2870"/>
      <c r="CR329" s="2870"/>
      <c r="CS329" s="2877"/>
      <c r="CT329" s="2871"/>
      <c r="CU329" s="2878"/>
      <c r="CV329" s="2870"/>
      <c r="CW329" s="2870"/>
      <c r="CX329" s="2870"/>
      <c r="CY329" s="2870"/>
      <c r="CZ329" s="2879"/>
      <c r="DA329" s="2875"/>
      <c r="DJ329" s="1611" t="e">
        <v>#N/A</v>
      </c>
      <c r="DK329" s="2782" t="e">
        <v>#N/A</v>
      </c>
      <c r="DM329" s="1650">
        <v>0</v>
      </c>
    </row>
    <row r="330" spans="1:117" ht="21" customHeight="1">
      <c r="A330" s="1652" t="s">
        <v>138</v>
      </c>
      <c r="B330" s="1638" t="s">
        <v>1797</v>
      </c>
      <c r="C330" s="1662"/>
      <c r="D330" s="1648"/>
      <c r="E330" s="1648"/>
      <c r="F330" s="1648"/>
      <c r="G330" s="1648"/>
      <c r="H330" s="1648"/>
      <c r="I330" s="1648"/>
      <c r="J330" s="1649"/>
      <c r="K330" s="1648"/>
      <c r="L330" s="1648"/>
      <c r="M330" s="1648"/>
      <c r="N330" s="1642"/>
      <c r="O330" s="2876"/>
      <c r="P330" s="2870"/>
      <c r="Q330" s="2870"/>
      <c r="R330" s="2870"/>
      <c r="S330" s="2870"/>
      <c r="T330" s="2870"/>
      <c r="U330" s="2875"/>
      <c r="V330" s="2869"/>
      <c r="W330" s="2870"/>
      <c r="X330" s="2870"/>
      <c r="Y330" s="2870"/>
      <c r="Z330" s="2870"/>
      <c r="AA330" s="2877">
        <v>0</v>
      </c>
      <c r="AB330" s="2875">
        <v>0</v>
      </c>
      <c r="AC330" s="2869"/>
      <c r="AD330" s="2870"/>
      <c r="AE330" s="2870"/>
      <c r="AF330" s="2870"/>
      <c r="AG330" s="2870"/>
      <c r="AH330" s="2877">
        <v>0</v>
      </c>
      <c r="AI330" s="2875">
        <v>0</v>
      </c>
      <c r="AJ330" s="2869"/>
      <c r="AK330" s="2870"/>
      <c r="AL330" s="2870"/>
      <c r="AM330" s="2870"/>
      <c r="AN330" s="2870"/>
      <c r="AO330" s="2877">
        <v>0</v>
      </c>
      <c r="AP330" s="2875">
        <v>0</v>
      </c>
      <c r="AQ330" s="2869"/>
      <c r="AR330" s="2870"/>
      <c r="AS330" s="2870"/>
      <c r="AT330" s="2870"/>
      <c r="AU330" s="2870"/>
      <c r="AV330" s="2877">
        <v>0</v>
      </c>
      <c r="AW330" s="2875">
        <v>0</v>
      </c>
      <c r="AX330" s="2869"/>
      <c r="AY330" s="2870"/>
      <c r="AZ330" s="2870"/>
      <c r="BA330" s="2870"/>
      <c r="BB330" s="2870"/>
      <c r="BC330" s="2877">
        <v>0</v>
      </c>
      <c r="BD330" s="2875">
        <v>0</v>
      </c>
      <c r="BE330" s="2869"/>
      <c r="BF330" s="2870"/>
      <c r="BG330" s="2870"/>
      <c r="BH330" s="2870"/>
      <c r="BI330" s="2870"/>
      <c r="BJ330" s="2877">
        <v>0</v>
      </c>
      <c r="BK330" s="2875">
        <v>0</v>
      </c>
      <c r="BL330" s="2869"/>
      <c r="BM330" s="2870"/>
      <c r="BN330" s="2870"/>
      <c r="BO330" s="2870"/>
      <c r="BP330" s="2870"/>
      <c r="BQ330" s="2877">
        <v>0</v>
      </c>
      <c r="BR330" s="2875">
        <v>0</v>
      </c>
      <c r="BS330" s="2869"/>
      <c r="BT330" s="2870"/>
      <c r="BU330" s="2870"/>
      <c r="BV330" s="2870"/>
      <c r="BW330" s="2870"/>
      <c r="BX330" s="2877">
        <v>0</v>
      </c>
      <c r="BY330" s="2875">
        <v>0</v>
      </c>
      <c r="BZ330" s="2869"/>
      <c r="CA330" s="2870"/>
      <c r="CB330" s="2870"/>
      <c r="CC330" s="2870"/>
      <c r="CD330" s="2870"/>
      <c r="CE330" s="2877">
        <v>0</v>
      </c>
      <c r="CF330" s="2875">
        <v>0</v>
      </c>
      <c r="CG330" s="2869"/>
      <c r="CH330" s="2870"/>
      <c r="CI330" s="2870"/>
      <c r="CJ330" s="2870"/>
      <c r="CK330" s="2870"/>
      <c r="CL330" s="2877">
        <v>0</v>
      </c>
      <c r="CM330" s="2875">
        <v>0</v>
      </c>
      <c r="CN330" s="2872"/>
      <c r="CO330" s="2870"/>
      <c r="CP330" s="2870"/>
      <c r="CQ330" s="2870"/>
      <c r="CR330" s="2870"/>
      <c r="CS330" s="2877"/>
      <c r="CT330" s="2875"/>
      <c r="CU330" s="2878"/>
      <c r="CV330" s="2870"/>
      <c r="CW330" s="2870"/>
      <c r="CX330" s="2870"/>
      <c r="CY330" s="2870"/>
      <c r="CZ330" s="2879"/>
      <c r="DA330" s="2875"/>
      <c r="DJ330" s="1611" t="e">
        <v>#N/A</v>
      </c>
      <c r="DK330" s="2782">
        <v>0</v>
      </c>
      <c r="DM330" s="1650">
        <v>0</v>
      </c>
    </row>
    <row r="331" spans="1:117" ht="21" customHeight="1">
      <c r="A331" s="1637" t="s">
        <v>140</v>
      </c>
      <c r="B331" s="1638" t="s">
        <v>1987</v>
      </c>
      <c r="C331" s="1662"/>
      <c r="D331" s="1648"/>
      <c r="E331" s="1648"/>
      <c r="F331" s="1648"/>
      <c r="G331" s="1648"/>
      <c r="H331" s="1648"/>
      <c r="I331" s="1648"/>
      <c r="J331" s="1649"/>
      <c r="K331" s="1648"/>
      <c r="L331" s="1648"/>
      <c r="M331" s="1648"/>
      <c r="N331" s="1642"/>
      <c r="O331" s="2876"/>
      <c r="P331" s="2870"/>
      <c r="Q331" s="2870"/>
      <c r="R331" s="2870"/>
      <c r="S331" s="2870"/>
      <c r="T331" s="2870"/>
      <c r="U331" s="2875"/>
      <c r="V331" s="2869"/>
      <c r="W331" s="2870"/>
      <c r="X331" s="2870"/>
      <c r="Y331" s="2870"/>
      <c r="Z331" s="2870"/>
      <c r="AA331" s="2877">
        <v>0</v>
      </c>
      <c r="AB331" s="2875">
        <v>0</v>
      </c>
      <c r="AC331" s="2869"/>
      <c r="AD331" s="2870"/>
      <c r="AE331" s="2870"/>
      <c r="AF331" s="2870"/>
      <c r="AG331" s="2870"/>
      <c r="AH331" s="2877">
        <v>0</v>
      </c>
      <c r="AI331" s="2875">
        <v>0</v>
      </c>
      <c r="AJ331" s="2869"/>
      <c r="AK331" s="2870"/>
      <c r="AL331" s="2870"/>
      <c r="AM331" s="2870"/>
      <c r="AN331" s="2870"/>
      <c r="AO331" s="2877">
        <v>0</v>
      </c>
      <c r="AP331" s="2875">
        <v>0</v>
      </c>
      <c r="AQ331" s="2869"/>
      <c r="AR331" s="2870"/>
      <c r="AS331" s="2870"/>
      <c r="AT331" s="2870"/>
      <c r="AU331" s="2870"/>
      <c r="AV331" s="2877">
        <v>0</v>
      </c>
      <c r="AW331" s="2875">
        <v>0</v>
      </c>
      <c r="AX331" s="2869"/>
      <c r="AY331" s="2870"/>
      <c r="AZ331" s="2870"/>
      <c r="BA331" s="2870"/>
      <c r="BB331" s="2870"/>
      <c r="BC331" s="2877">
        <v>0</v>
      </c>
      <c r="BD331" s="2875">
        <v>0</v>
      </c>
      <c r="BE331" s="2869"/>
      <c r="BF331" s="2870"/>
      <c r="BG331" s="2870"/>
      <c r="BH331" s="2870"/>
      <c r="BI331" s="2870"/>
      <c r="BJ331" s="2877">
        <v>0</v>
      </c>
      <c r="BK331" s="2875">
        <v>0</v>
      </c>
      <c r="BL331" s="2869"/>
      <c r="BM331" s="2870"/>
      <c r="BN331" s="2870"/>
      <c r="BO331" s="2870"/>
      <c r="BP331" s="2870"/>
      <c r="BQ331" s="2877">
        <v>0</v>
      </c>
      <c r="BR331" s="2875">
        <v>0</v>
      </c>
      <c r="BS331" s="2869"/>
      <c r="BT331" s="2870"/>
      <c r="BU331" s="2870"/>
      <c r="BV331" s="2870"/>
      <c r="BW331" s="2870"/>
      <c r="BX331" s="2877">
        <v>0</v>
      </c>
      <c r="BY331" s="2875">
        <v>0</v>
      </c>
      <c r="BZ331" s="2869"/>
      <c r="CA331" s="2870"/>
      <c r="CB331" s="2870"/>
      <c r="CC331" s="2870"/>
      <c r="CD331" s="2870"/>
      <c r="CE331" s="2877">
        <v>0</v>
      </c>
      <c r="CF331" s="2875">
        <v>0</v>
      </c>
      <c r="CG331" s="2869"/>
      <c r="CH331" s="2870"/>
      <c r="CI331" s="2870"/>
      <c r="CJ331" s="2870"/>
      <c r="CK331" s="2870"/>
      <c r="CL331" s="2877">
        <v>0</v>
      </c>
      <c r="CM331" s="2875">
        <v>0</v>
      </c>
      <c r="CN331" s="2872"/>
      <c r="CO331" s="2870"/>
      <c r="CP331" s="2870"/>
      <c r="CQ331" s="2870"/>
      <c r="CR331" s="2870"/>
      <c r="CS331" s="2877"/>
      <c r="CT331" s="2875"/>
      <c r="CU331" s="2878"/>
      <c r="CV331" s="2870"/>
      <c r="CW331" s="2870"/>
      <c r="CX331" s="2870"/>
      <c r="CY331" s="2870"/>
      <c r="CZ331" s="2879"/>
      <c r="DA331" s="2875"/>
      <c r="DJ331" s="1611" t="e">
        <v>#N/A</v>
      </c>
      <c r="DK331" s="2782" t="e">
        <v>#N/A</v>
      </c>
      <c r="DM331" s="1650">
        <v>0</v>
      </c>
    </row>
    <row r="332" spans="1:117" ht="21" customHeight="1">
      <c r="A332" s="1652">
        <v>1</v>
      </c>
      <c r="B332" s="1668" t="s">
        <v>1988</v>
      </c>
      <c r="C332" s="1662">
        <v>250</v>
      </c>
      <c r="D332" s="1646">
        <v>40</v>
      </c>
      <c r="E332" s="1646"/>
      <c r="F332" s="1648"/>
      <c r="G332" s="1648"/>
      <c r="H332" s="1648">
        <v>100</v>
      </c>
      <c r="I332" s="1648" t="s">
        <v>1667</v>
      </c>
      <c r="J332" s="1649">
        <v>1</v>
      </c>
      <c r="K332" s="1648"/>
      <c r="L332" s="1648"/>
      <c r="M332" s="1648"/>
      <c r="N332" s="1642"/>
      <c r="O332" s="2876">
        <v>25.644020999999999</v>
      </c>
      <c r="P332" s="2870"/>
      <c r="Q332" s="2870">
        <v>90523395</v>
      </c>
      <c r="R332" s="2870"/>
      <c r="S332" s="2870"/>
      <c r="T332" s="2870">
        <v>3.5300000339260369</v>
      </c>
      <c r="U332" s="2875">
        <v>90523395</v>
      </c>
      <c r="V332" s="2869">
        <v>36.814746999999997</v>
      </c>
      <c r="W332" s="2870"/>
      <c r="X332" s="2870">
        <v>129956059</v>
      </c>
      <c r="Y332" s="2870"/>
      <c r="Z332" s="2870"/>
      <c r="AA332" s="2877">
        <v>3.5300000567707284</v>
      </c>
      <c r="AB332" s="2875">
        <v>129956059</v>
      </c>
      <c r="AC332" s="2869">
        <v>20.737265000000001</v>
      </c>
      <c r="AD332" s="2870"/>
      <c r="AE332" s="2870">
        <v>73202545</v>
      </c>
      <c r="AF332" s="2870"/>
      <c r="AG332" s="2870"/>
      <c r="AH332" s="2877">
        <v>3.5299999782999349</v>
      </c>
      <c r="AI332" s="2875">
        <v>73202545</v>
      </c>
      <c r="AJ332" s="2869">
        <v>25.307234000000001</v>
      </c>
      <c r="AK332" s="2870"/>
      <c r="AL332" s="2870">
        <v>89334539</v>
      </c>
      <c r="AM332" s="2870"/>
      <c r="AN332" s="2870"/>
      <c r="AO332" s="2877">
        <v>3.5300001177528921</v>
      </c>
      <c r="AP332" s="2875">
        <v>89334539</v>
      </c>
      <c r="AQ332" s="2869">
        <v>29.658657999999999</v>
      </c>
      <c r="AR332" s="2870"/>
      <c r="AS332" s="2870">
        <v>104695061</v>
      </c>
      <c r="AT332" s="2870"/>
      <c r="AU332" s="2870"/>
      <c r="AV332" s="2877">
        <v>3.529999941332477</v>
      </c>
      <c r="AW332" s="2875">
        <v>104695061</v>
      </c>
      <c r="AX332" s="2869">
        <v>14.445957999999999</v>
      </c>
      <c r="AY332" s="2870"/>
      <c r="AZ332" s="2870">
        <v>50994230</v>
      </c>
      <c r="BA332" s="2870"/>
      <c r="BB332" s="2870"/>
      <c r="BC332" s="2877">
        <v>3.5299998795510827</v>
      </c>
      <c r="BD332" s="2875">
        <v>50994230</v>
      </c>
      <c r="BE332" s="2869">
        <v>14.605338</v>
      </c>
      <c r="BF332" s="2870"/>
      <c r="BG332" s="2870">
        <v>51556841</v>
      </c>
      <c r="BH332" s="2870">
        <v>76914</v>
      </c>
      <c r="BI332" s="2870"/>
      <c r="BJ332" s="2877">
        <v>3.5352660102765165</v>
      </c>
      <c r="BK332" s="2875">
        <v>51633755</v>
      </c>
      <c r="BL332" s="2869">
        <v>21.558845000000002</v>
      </c>
      <c r="BM332" s="2870"/>
      <c r="BN332" s="2870">
        <v>76102723</v>
      </c>
      <c r="BO332" s="2870"/>
      <c r="BP332" s="2870"/>
      <c r="BQ332" s="2877">
        <v>3.5300000069577013</v>
      </c>
      <c r="BR332" s="2875">
        <v>76102723</v>
      </c>
      <c r="BS332" s="2869">
        <v>23.231845</v>
      </c>
      <c r="BT332" s="2870"/>
      <c r="BU332" s="2870">
        <v>82008413</v>
      </c>
      <c r="BV332" s="2870"/>
      <c r="BW332" s="2870"/>
      <c r="BX332" s="2877">
        <v>3.5300000064566546</v>
      </c>
      <c r="BY332" s="2875">
        <v>82008413</v>
      </c>
      <c r="BZ332" s="2869">
        <v>28.094595000000002</v>
      </c>
      <c r="CA332" s="2870"/>
      <c r="CB332" s="2870">
        <v>99173920</v>
      </c>
      <c r="CC332" s="2870"/>
      <c r="CD332" s="2870"/>
      <c r="CE332" s="2877">
        <v>3.5299999875420878</v>
      </c>
      <c r="CF332" s="2875">
        <v>99173920</v>
      </c>
      <c r="CG332" s="2869">
        <v>14.946652</v>
      </c>
      <c r="CH332" s="2870"/>
      <c r="CI332" s="2870">
        <v>52761683</v>
      </c>
      <c r="CJ332" s="2870"/>
      <c r="CK332" s="2870"/>
      <c r="CL332" s="2877">
        <v>3.5300000963426457</v>
      </c>
      <c r="CM332" s="2875">
        <v>52761683</v>
      </c>
      <c r="CN332" s="2872">
        <v>21.286068</v>
      </c>
      <c r="CO332" s="2870"/>
      <c r="CP332" s="2870">
        <v>75062904</v>
      </c>
      <c r="CQ332" s="2870"/>
      <c r="CR332" s="2870"/>
      <c r="CS332" s="2877">
        <v>3.526386554811344</v>
      </c>
      <c r="CT332" s="2875">
        <v>75062904</v>
      </c>
      <c r="CU332" s="2878">
        <v>276.33122599999996</v>
      </c>
      <c r="CV332" s="2870">
        <v>0</v>
      </c>
      <c r="CW332" s="2870">
        <v>975372313</v>
      </c>
      <c r="CX332" s="2870">
        <v>76914</v>
      </c>
      <c r="CY332" s="2870">
        <v>0</v>
      </c>
      <c r="CZ332" s="2879">
        <v>3.5299999971773013</v>
      </c>
      <c r="DA332" s="2875">
        <v>975449227</v>
      </c>
      <c r="DJ332" s="1611" t="e">
        <v>#N/A</v>
      </c>
      <c r="DK332" s="2782" t="e">
        <v>#N/A</v>
      </c>
      <c r="DM332" s="1650">
        <v>3.529721657298333</v>
      </c>
    </row>
    <row r="333" spans="1:117" ht="21" customHeight="1">
      <c r="A333" s="1652">
        <v>2</v>
      </c>
      <c r="B333" s="1668" t="s">
        <v>1989</v>
      </c>
      <c r="C333" s="1662">
        <v>249.9</v>
      </c>
      <c r="D333" s="1646">
        <v>39.975990396158466</v>
      </c>
      <c r="E333" s="1646"/>
      <c r="F333" s="1648"/>
      <c r="G333" s="1648"/>
      <c r="H333" s="1648">
        <v>99.9</v>
      </c>
      <c r="I333" s="1648" t="s">
        <v>1667</v>
      </c>
      <c r="J333" s="1649">
        <v>1</v>
      </c>
      <c r="K333" s="1648"/>
      <c r="L333" s="1648"/>
      <c r="M333" s="1648"/>
      <c r="N333" s="1642"/>
      <c r="O333" s="2876">
        <v>11.343075000000001</v>
      </c>
      <c r="P333" s="2870"/>
      <c r="Q333" s="2870">
        <v>40041055</v>
      </c>
      <c r="R333" s="2870"/>
      <c r="S333" s="2870"/>
      <c r="T333" s="2870">
        <v>3.5300000220398791</v>
      </c>
      <c r="U333" s="2875">
        <v>40041055</v>
      </c>
      <c r="V333" s="2869">
        <v>18.455697000000001</v>
      </c>
      <c r="W333" s="2870"/>
      <c r="X333" s="2870">
        <v>65148612</v>
      </c>
      <c r="Y333" s="2870"/>
      <c r="Z333" s="2870"/>
      <c r="AA333" s="2877">
        <v>3.5300000861522598</v>
      </c>
      <c r="AB333" s="2875">
        <v>65148612</v>
      </c>
      <c r="AC333" s="2869">
        <v>37.555233000000001</v>
      </c>
      <c r="AD333" s="2870"/>
      <c r="AE333" s="2870">
        <v>132569971</v>
      </c>
      <c r="AF333" s="2870"/>
      <c r="AG333" s="2870"/>
      <c r="AH333" s="2877">
        <v>3.5299999603251031</v>
      </c>
      <c r="AI333" s="2875">
        <v>132569971</v>
      </c>
      <c r="AJ333" s="2869">
        <v>31.408571999999999</v>
      </c>
      <c r="AK333" s="2870"/>
      <c r="AL333" s="2870">
        <v>110872261</v>
      </c>
      <c r="AM333" s="2870"/>
      <c r="AN333" s="2870"/>
      <c r="AO333" s="2877">
        <v>3.5300000585827336</v>
      </c>
      <c r="AP333" s="2875">
        <v>110872261</v>
      </c>
      <c r="AQ333" s="2869">
        <v>41.047162999999998</v>
      </c>
      <c r="AR333" s="2870"/>
      <c r="AS333" s="2870">
        <v>144896484</v>
      </c>
      <c r="AT333" s="2870"/>
      <c r="AU333" s="2870"/>
      <c r="AV333" s="2877">
        <v>3.5299999661365149</v>
      </c>
      <c r="AW333" s="2875">
        <v>144896484</v>
      </c>
      <c r="AX333" s="2869">
        <v>35.771541999999997</v>
      </c>
      <c r="AY333" s="2870"/>
      <c r="AZ333" s="2870">
        <v>126273545</v>
      </c>
      <c r="BA333" s="2870"/>
      <c r="BB333" s="2870"/>
      <c r="BC333" s="2877">
        <v>3.5300000486420182</v>
      </c>
      <c r="BD333" s="2875">
        <v>126273545</v>
      </c>
      <c r="BE333" s="2869">
        <v>28.982379999999999</v>
      </c>
      <c r="BF333" s="2870"/>
      <c r="BG333" s="2870">
        <v>102307801</v>
      </c>
      <c r="BH333" s="2870">
        <v>171436</v>
      </c>
      <c r="BI333" s="2870"/>
      <c r="BJ333" s="2877">
        <v>3.5359151663873014</v>
      </c>
      <c r="BK333" s="2875">
        <v>102479237</v>
      </c>
      <c r="BL333" s="2869">
        <v>15.303463000000001</v>
      </c>
      <c r="BM333" s="2870"/>
      <c r="BN333" s="2870">
        <v>54021223</v>
      </c>
      <c r="BO333" s="2870"/>
      <c r="BP333" s="2870"/>
      <c r="BQ333" s="2877">
        <v>3.5299999091708849</v>
      </c>
      <c r="BR333" s="2875">
        <v>54021223</v>
      </c>
      <c r="BS333" s="2869">
        <v>21.098800000000001</v>
      </c>
      <c r="BT333" s="2870"/>
      <c r="BU333" s="2870">
        <v>74478764</v>
      </c>
      <c r="BV333" s="2870"/>
      <c r="BW333" s="2870"/>
      <c r="BX333" s="2877">
        <v>3.53</v>
      </c>
      <c r="BY333" s="2875">
        <v>74478764</v>
      </c>
      <c r="BZ333" s="2869">
        <v>21.532202999999999</v>
      </c>
      <c r="CA333" s="2870"/>
      <c r="CB333" s="2870">
        <v>76008674</v>
      </c>
      <c r="CC333" s="2870"/>
      <c r="CD333" s="2870"/>
      <c r="CE333" s="2877">
        <v>3.529999879715048</v>
      </c>
      <c r="CF333" s="2875">
        <v>76008674</v>
      </c>
      <c r="CG333" s="2869">
        <v>18.506271999999999</v>
      </c>
      <c r="CH333" s="2870"/>
      <c r="CI333" s="2870">
        <v>65327142</v>
      </c>
      <c r="CJ333" s="2870"/>
      <c r="CK333" s="2870"/>
      <c r="CL333" s="2877">
        <v>3.5300000994257514</v>
      </c>
      <c r="CM333" s="2875">
        <v>65327142</v>
      </c>
      <c r="CN333" s="2872">
        <v>13.861700000000001</v>
      </c>
      <c r="CO333" s="2870"/>
      <c r="CP333" s="2870">
        <v>48655092</v>
      </c>
      <c r="CQ333" s="2870"/>
      <c r="CR333" s="2870"/>
      <c r="CS333" s="2877">
        <v>3.5100378741424212</v>
      </c>
      <c r="CT333" s="2875">
        <v>48655092</v>
      </c>
      <c r="CU333" s="2878">
        <v>294.86610000000002</v>
      </c>
      <c r="CV333" s="2870">
        <v>0</v>
      </c>
      <c r="CW333" s="2870">
        <v>1040600624</v>
      </c>
      <c r="CX333" s="2870">
        <v>171436</v>
      </c>
      <c r="CY333" s="2870">
        <v>0</v>
      </c>
      <c r="CZ333" s="2879">
        <v>3.5296429803222549</v>
      </c>
      <c r="DA333" s="2875">
        <v>1040772060</v>
      </c>
      <c r="DJ333" s="1611" t="e">
        <v>#N/A</v>
      </c>
      <c r="DK333" s="2782" t="e">
        <v>#N/A</v>
      </c>
      <c r="DM333" s="1650">
        <v>3.5290615774414218</v>
      </c>
    </row>
    <row r="334" spans="1:117" ht="21" customHeight="1">
      <c r="A334" s="1652">
        <v>3</v>
      </c>
      <c r="B334" s="1668" t="s">
        <v>1990</v>
      </c>
      <c r="C334" s="1662">
        <v>250</v>
      </c>
      <c r="D334" s="1646">
        <v>40</v>
      </c>
      <c r="E334" s="1646"/>
      <c r="F334" s="1648"/>
      <c r="G334" s="1648"/>
      <c r="H334" s="1648">
        <v>100</v>
      </c>
      <c r="I334" s="1648" t="s">
        <v>1667</v>
      </c>
      <c r="J334" s="1649">
        <v>1</v>
      </c>
      <c r="K334" s="1648"/>
      <c r="L334" s="1648"/>
      <c r="M334" s="1648"/>
      <c r="N334" s="1642"/>
      <c r="O334" s="2876">
        <v>7.7830170000000001</v>
      </c>
      <c r="P334" s="2870"/>
      <c r="Q334" s="2870">
        <v>27474052</v>
      </c>
      <c r="R334" s="2870"/>
      <c r="S334" s="2870"/>
      <c r="T334" s="2870">
        <v>3.5300002556849099</v>
      </c>
      <c r="U334" s="2875">
        <v>27474052</v>
      </c>
      <c r="V334" s="2869">
        <v>13.566435</v>
      </c>
      <c r="W334" s="2870"/>
      <c r="X334" s="2870">
        <v>47889516</v>
      </c>
      <c r="Y334" s="2870"/>
      <c r="Z334" s="2870"/>
      <c r="AA334" s="2877">
        <v>3.5300000331700998</v>
      </c>
      <c r="AB334" s="2875">
        <v>47889516</v>
      </c>
      <c r="AC334" s="2869">
        <v>22.386803</v>
      </c>
      <c r="AD334" s="2870"/>
      <c r="AE334" s="2870">
        <v>79025413</v>
      </c>
      <c r="AF334" s="2870"/>
      <c r="AG334" s="2870"/>
      <c r="AH334" s="2877">
        <v>3.5299999289760131</v>
      </c>
      <c r="AI334" s="2875">
        <v>79025413</v>
      </c>
      <c r="AJ334" s="2869">
        <v>22.296361999999998</v>
      </c>
      <c r="AK334" s="2870"/>
      <c r="AL334" s="2870">
        <v>78706160</v>
      </c>
      <c r="AM334" s="2870"/>
      <c r="AN334" s="2870"/>
      <c r="AO334" s="2877">
        <v>3.5300000959797835</v>
      </c>
      <c r="AP334" s="2875">
        <v>78706160</v>
      </c>
      <c r="AQ334" s="2869">
        <v>32.066212999999998</v>
      </c>
      <c r="AR334" s="2870"/>
      <c r="AS334" s="2870">
        <v>113193730</v>
      </c>
      <c r="AT334" s="2870"/>
      <c r="AU334" s="2870"/>
      <c r="AV334" s="2877">
        <v>3.5299999410594576</v>
      </c>
      <c r="AW334" s="2875">
        <v>113193730</v>
      </c>
      <c r="AX334" s="2869">
        <v>30.31015</v>
      </c>
      <c r="AY334" s="2870"/>
      <c r="AZ334" s="2870">
        <v>106994830</v>
      </c>
      <c r="BA334" s="2870"/>
      <c r="BB334" s="2870"/>
      <c r="BC334" s="2877">
        <v>3.5300000164961243</v>
      </c>
      <c r="BD334" s="2875">
        <v>106994830</v>
      </c>
      <c r="BE334" s="2869">
        <v>23.016887000000001</v>
      </c>
      <c r="BF334" s="2870"/>
      <c r="BG334" s="2870">
        <v>81249613</v>
      </c>
      <c r="BH334" s="2870">
        <v>141183</v>
      </c>
      <c r="BI334" s="2870"/>
      <c r="BJ334" s="2877">
        <v>3.536133969810948</v>
      </c>
      <c r="BK334" s="2875">
        <v>81390796</v>
      </c>
      <c r="BL334" s="2869">
        <v>10.51492</v>
      </c>
      <c r="BM334" s="2870"/>
      <c r="BN334" s="2870">
        <v>37117668</v>
      </c>
      <c r="BO334" s="2870"/>
      <c r="BP334" s="2870"/>
      <c r="BQ334" s="2877">
        <v>3.5300000380411833</v>
      </c>
      <c r="BR334" s="2875">
        <v>37117668</v>
      </c>
      <c r="BS334" s="2869">
        <v>13.13903</v>
      </c>
      <c r="BT334" s="2870"/>
      <c r="BU334" s="2870">
        <v>46380776</v>
      </c>
      <c r="BV334" s="2870"/>
      <c r="BW334" s="2870"/>
      <c r="BX334" s="2877">
        <v>3.5300000076109117</v>
      </c>
      <c r="BY334" s="2875">
        <v>46380776</v>
      </c>
      <c r="BZ334" s="2869">
        <v>12.62189</v>
      </c>
      <c r="CA334" s="2870"/>
      <c r="CB334" s="2870">
        <v>44555272</v>
      </c>
      <c r="CC334" s="2870"/>
      <c r="CD334" s="2870"/>
      <c r="CE334" s="2877">
        <v>3.5300000237682312</v>
      </c>
      <c r="CF334" s="2875">
        <v>44555272</v>
      </c>
      <c r="CG334" s="2869">
        <v>11.096897</v>
      </c>
      <c r="CH334" s="2870"/>
      <c r="CI334" s="2870">
        <v>39172048</v>
      </c>
      <c r="CJ334" s="2870"/>
      <c r="CK334" s="2870"/>
      <c r="CL334" s="2877">
        <v>3.5300001432832979</v>
      </c>
      <c r="CM334" s="2875">
        <v>39172048</v>
      </c>
      <c r="CN334" s="2872">
        <v>9.7417800000000003</v>
      </c>
      <c r="CO334" s="2870"/>
      <c r="CP334" s="2870">
        <v>219239587</v>
      </c>
      <c r="CQ334" s="2870"/>
      <c r="CR334" s="2870"/>
      <c r="CS334" s="2877">
        <v>22.505085004999085</v>
      </c>
      <c r="CT334" s="2875">
        <v>219239587</v>
      </c>
      <c r="CU334" s="2878">
        <v>208.54038399999999</v>
      </c>
      <c r="CV334" s="2870">
        <v>0</v>
      </c>
      <c r="CW334" s="2870">
        <v>920998665</v>
      </c>
      <c r="CX334" s="2870">
        <v>141183</v>
      </c>
      <c r="CY334" s="2870">
        <v>0</v>
      </c>
      <c r="CZ334" s="2879">
        <v>4.4170813841025627</v>
      </c>
      <c r="DA334" s="2875">
        <v>921139848</v>
      </c>
      <c r="DJ334" s="1611" t="e">
        <v>#N/A</v>
      </c>
      <c r="DK334" s="2782" t="e">
        <v>#N/A</v>
      </c>
      <c r="DM334" s="1650">
        <v>4.4164043785399381</v>
      </c>
    </row>
    <row r="335" spans="1:117" ht="21" customHeight="1">
      <c r="A335" s="1652">
        <v>4</v>
      </c>
      <c r="B335" s="1668" t="s">
        <v>1991</v>
      </c>
      <c r="C335" s="1662">
        <v>100</v>
      </c>
      <c r="D335" s="1646">
        <v>50</v>
      </c>
      <c r="E335" s="1646"/>
      <c r="F335" s="1648"/>
      <c r="G335" s="1648"/>
      <c r="H335" s="1648">
        <v>50</v>
      </c>
      <c r="I335" s="1648" t="s">
        <v>1667</v>
      </c>
      <c r="J335" s="1649">
        <v>1</v>
      </c>
      <c r="K335" s="1648"/>
      <c r="L335" s="1648"/>
      <c r="M335" s="1648"/>
      <c r="N335" s="1642"/>
      <c r="O335" s="2876">
        <v>19.217679</v>
      </c>
      <c r="P335" s="2870"/>
      <c r="Q335" s="2870">
        <v>52079908</v>
      </c>
      <c r="R335" s="2870"/>
      <c r="S335" s="2870"/>
      <c r="T335" s="2870">
        <v>2.709999891245972</v>
      </c>
      <c r="U335" s="2875">
        <v>52079908</v>
      </c>
      <c r="V335" s="2869">
        <v>28.658294999999999</v>
      </c>
      <c r="W335" s="2870"/>
      <c r="X335" s="2870">
        <v>77663979</v>
      </c>
      <c r="Y335" s="2870"/>
      <c r="Z335" s="2870"/>
      <c r="AA335" s="2877">
        <v>2.70999998429774</v>
      </c>
      <c r="AB335" s="2875">
        <v>77663979</v>
      </c>
      <c r="AC335" s="2869">
        <v>18.947272999999999</v>
      </c>
      <c r="AD335" s="2870"/>
      <c r="AE335" s="2870">
        <v>51347108</v>
      </c>
      <c r="AF335" s="2870"/>
      <c r="AG335" s="2870"/>
      <c r="AH335" s="2877">
        <v>2.7099999034161804</v>
      </c>
      <c r="AI335" s="2875">
        <v>51347108</v>
      </c>
      <c r="AJ335" s="2869">
        <v>22.300211999999998</v>
      </c>
      <c r="AK335" s="2870"/>
      <c r="AL335" s="2870">
        <v>60433576</v>
      </c>
      <c r="AM335" s="2870"/>
      <c r="AN335" s="2870"/>
      <c r="AO335" s="2877">
        <v>2.710000066367082</v>
      </c>
      <c r="AP335" s="2875">
        <v>60433576</v>
      </c>
      <c r="AQ335" s="2869">
        <v>24.333089999999999</v>
      </c>
      <c r="AR335" s="2870"/>
      <c r="AS335" s="2870">
        <v>65942674</v>
      </c>
      <c r="AT335" s="2870"/>
      <c r="AU335" s="2870"/>
      <c r="AV335" s="2877">
        <v>2.7100000041096299</v>
      </c>
      <c r="AW335" s="2875">
        <v>65942674</v>
      </c>
      <c r="AX335" s="2869">
        <v>11.444832999999999</v>
      </c>
      <c r="AY335" s="2870"/>
      <c r="AZ335" s="2870">
        <v>31015496</v>
      </c>
      <c r="BA335" s="2870"/>
      <c r="BB335" s="2870"/>
      <c r="BC335" s="2877">
        <v>2.7099998750527856</v>
      </c>
      <c r="BD335" s="2875">
        <v>31015496</v>
      </c>
      <c r="BE335" s="2869">
        <v>11.734985</v>
      </c>
      <c r="BF335" s="2870"/>
      <c r="BG335" s="2870">
        <v>31801809</v>
      </c>
      <c r="BH335" s="2870">
        <v>47113</v>
      </c>
      <c r="BI335" s="2870"/>
      <c r="BJ335" s="2877">
        <v>2.7140147175305294</v>
      </c>
      <c r="BK335" s="2875">
        <v>31848922</v>
      </c>
      <c r="BL335" s="2869">
        <v>17.989387000000001</v>
      </c>
      <c r="BM335" s="2870"/>
      <c r="BN335" s="2870">
        <v>48751240</v>
      </c>
      <c r="BO335" s="2870"/>
      <c r="BP335" s="2870"/>
      <c r="BQ335" s="2877">
        <v>2.7100000683736472</v>
      </c>
      <c r="BR335" s="2875">
        <v>48751240</v>
      </c>
      <c r="BS335" s="2869">
        <v>20.376989999999999</v>
      </c>
      <c r="BT335" s="2870"/>
      <c r="BU335" s="2870">
        <v>55221643</v>
      </c>
      <c r="BV335" s="2870"/>
      <c r="BW335" s="2870"/>
      <c r="BX335" s="2877">
        <v>2.7100000049074962</v>
      </c>
      <c r="BY335" s="2875">
        <v>55221643</v>
      </c>
      <c r="BZ335" s="2869">
        <v>21.17643</v>
      </c>
      <c r="CA335" s="2870"/>
      <c r="CB335" s="2870">
        <v>57388125</v>
      </c>
      <c r="CC335" s="2870"/>
      <c r="CD335" s="2870"/>
      <c r="CE335" s="2877">
        <v>2.7099999858333064</v>
      </c>
      <c r="CF335" s="2875">
        <v>57388125</v>
      </c>
      <c r="CG335" s="2869">
        <v>11.373616999999999</v>
      </c>
      <c r="CH335" s="2870"/>
      <c r="CI335" s="2870">
        <v>30822503</v>
      </c>
      <c r="CJ335" s="2870"/>
      <c r="CK335" s="2870"/>
      <c r="CL335" s="2877">
        <v>2.7100000817681833</v>
      </c>
      <c r="CM335" s="2875">
        <v>30822503</v>
      </c>
      <c r="CN335" s="2872">
        <v>17.188134999999999</v>
      </c>
      <c r="CO335" s="2870"/>
      <c r="CP335" s="2870">
        <v>46579846</v>
      </c>
      <c r="CQ335" s="2870"/>
      <c r="CR335" s="2870"/>
      <c r="CS335" s="2877">
        <v>2.7100000087269502</v>
      </c>
      <c r="CT335" s="2875">
        <v>46579846</v>
      </c>
      <c r="CU335" s="2878">
        <v>224.740926</v>
      </c>
      <c r="CV335" s="2870">
        <v>0</v>
      </c>
      <c r="CW335" s="2870">
        <v>609047907</v>
      </c>
      <c r="CX335" s="2870">
        <v>47113</v>
      </c>
      <c r="CY335" s="2870">
        <v>0</v>
      </c>
      <c r="CZ335" s="2879">
        <v>2.7102096215444087</v>
      </c>
      <c r="DA335" s="2875">
        <v>609095020</v>
      </c>
      <c r="DJ335" s="1611" t="e">
        <v>#N/A</v>
      </c>
      <c r="DK335" s="2782" t="e">
        <v>#N/A</v>
      </c>
      <c r="DM335" s="1650">
        <v>2.7099999890540629</v>
      </c>
    </row>
    <row r="336" spans="1:117" ht="21" customHeight="1">
      <c r="A336" s="1652">
        <v>5</v>
      </c>
      <c r="B336" s="1668" t="s">
        <v>1992</v>
      </c>
      <c r="C336" s="1662">
        <v>150</v>
      </c>
      <c r="D336" s="1646">
        <v>26.666666666666668</v>
      </c>
      <c r="E336" s="1646"/>
      <c r="F336" s="1648"/>
      <c r="G336" s="1648"/>
      <c r="H336" s="1648">
        <v>40</v>
      </c>
      <c r="I336" s="1648" t="s">
        <v>1667</v>
      </c>
      <c r="J336" s="1649">
        <v>1</v>
      </c>
      <c r="K336" s="1648"/>
      <c r="L336" s="1648"/>
      <c r="M336" s="1648"/>
      <c r="N336" s="1642"/>
      <c r="O336" s="2876">
        <v>12.23061</v>
      </c>
      <c r="P336" s="2870"/>
      <c r="Q336" s="2870">
        <v>43174053</v>
      </c>
      <c r="R336" s="2870"/>
      <c r="S336" s="2870"/>
      <c r="T336" s="2870">
        <v>3.5299999754713789</v>
      </c>
      <c r="U336" s="2875">
        <v>43174053</v>
      </c>
      <c r="V336" s="2869">
        <v>19.030252000000001</v>
      </c>
      <c r="W336" s="2870"/>
      <c r="X336" s="2870">
        <v>67176791</v>
      </c>
      <c r="Y336" s="2870"/>
      <c r="Z336" s="2870"/>
      <c r="AA336" s="2877">
        <v>3.5300000756689927</v>
      </c>
      <c r="AB336" s="2875">
        <v>67176791</v>
      </c>
      <c r="AC336" s="2869">
        <v>11.609835</v>
      </c>
      <c r="AD336" s="2870"/>
      <c r="AE336" s="2870">
        <v>40982718</v>
      </c>
      <c r="AF336" s="2870"/>
      <c r="AG336" s="2870"/>
      <c r="AH336" s="2877">
        <v>3.5300000387602406</v>
      </c>
      <c r="AI336" s="2875">
        <v>40982718</v>
      </c>
      <c r="AJ336" s="2869">
        <v>12.559562999999999</v>
      </c>
      <c r="AK336" s="2870"/>
      <c r="AL336" s="2870">
        <v>44335255</v>
      </c>
      <c r="AM336" s="2870"/>
      <c r="AN336" s="2870"/>
      <c r="AO336" s="2877">
        <v>3.5299998097067555</v>
      </c>
      <c r="AP336" s="2875">
        <v>44335255</v>
      </c>
      <c r="AQ336" s="2869">
        <v>14.488707</v>
      </c>
      <c r="AR336" s="2870"/>
      <c r="AS336" s="2870">
        <v>51145137</v>
      </c>
      <c r="AT336" s="2870"/>
      <c r="AU336" s="2870"/>
      <c r="AV336" s="2877">
        <v>3.5300000890348602</v>
      </c>
      <c r="AW336" s="2875">
        <v>51145137</v>
      </c>
      <c r="AX336" s="2869">
        <v>7.2073749999999999</v>
      </c>
      <c r="AY336" s="2870"/>
      <c r="AZ336" s="2870">
        <v>25442034</v>
      </c>
      <c r="BA336" s="2870"/>
      <c r="BB336" s="2870"/>
      <c r="BC336" s="2877">
        <v>3.5300000346866924</v>
      </c>
      <c r="BD336" s="2875">
        <v>25442034</v>
      </c>
      <c r="BE336" s="2869">
        <v>4.6701379999999997</v>
      </c>
      <c r="BF336" s="2870"/>
      <c r="BG336" s="2870">
        <v>16485585</v>
      </c>
      <c r="BH336" s="2870">
        <v>31446</v>
      </c>
      <c r="BI336" s="2870"/>
      <c r="BJ336" s="2877">
        <v>3.5367329616383927</v>
      </c>
      <c r="BK336" s="2875">
        <v>16517031</v>
      </c>
      <c r="BL336" s="2869">
        <v>5.4646629999999998</v>
      </c>
      <c r="BM336" s="2870"/>
      <c r="BN336" s="2870">
        <v>19290259</v>
      </c>
      <c r="BO336" s="2870"/>
      <c r="BP336" s="2870"/>
      <c r="BQ336" s="2877">
        <v>3.5299997456384777</v>
      </c>
      <c r="BR336" s="2875">
        <v>19290259</v>
      </c>
      <c r="BS336" s="2869">
        <v>6.8197229999999998</v>
      </c>
      <c r="BT336" s="2870"/>
      <c r="BU336" s="2870">
        <v>24073620</v>
      </c>
      <c r="BV336" s="2870"/>
      <c r="BW336" s="2870"/>
      <c r="BX336" s="2877">
        <v>3.5299996788725876</v>
      </c>
      <c r="BY336" s="2875">
        <v>24073620</v>
      </c>
      <c r="BZ336" s="2869">
        <v>8.8457369999999997</v>
      </c>
      <c r="CA336" s="2870"/>
      <c r="CB336" s="2870">
        <v>31225453</v>
      </c>
      <c r="CC336" s="2870"/>
      <c r="CD336" s="2870"/>
      <c r="CE336" s="2877">
        <v>3.5300001571378394</v>
      </c>
      <c r="CF336" s="2875">
        <v>31225453</v>
      </c>
      <c r="CG336" s="2869">
        <v>4.7410230000000002</v>
      </c>
      <c r="CH336" s="2870"/>
      <c r="CI336" s="2870">
        <v>16735809</v>
      </c>
      <c r="CJ336" s="2870"/>
      <c r="CK336" s="2870"/>
      <c r="CL336" s="2877">
        <v>3.5299995380743776</v>
      </c>
      <c r="CM336" s="2875">
        <v>16735809</v>
      </c>
      <c r="CN336" s="2872">
        <v>7.5258500000000002</v>
      </c>
      <c r="CO336" s="2870"/>
      <c r="CP336" s="2870">
        <v>26534805</v>
      </c>
      <c r="CQ336" s="2870"/>
      <c r="CR336" s="2870"/>
      <c r="CS336" s="2877">
        <v>3.5258216679843475</v>
      </c>
      <c r="CT336" s="2875">
        <v>26534805</v>
      </c>
      <c r="CU336" s="2878">
        <v>115.193476</v>
      </c>
      <c r="CV336" s="2870">
        <v>0</v>
      </c>
      <c r="CW336" s="2870">
        <v>406601519</v>
      </c>
      <c r="CX336" s="2870">
        <v>31446</v>
      </c>
      <c r="CY336" s="2870">
        <v>0</v>
      </c>
      <c r="CZ336" s="2879">
        <v>3.529999954164071</v>
      </c>
      <c r="DA336" s="2875">
        <v>406632965</v>
      </c>
      <c r="DJ336" s="1611" t="e">
        <v>#N/A</v>
      </c>
      <c r="DK336" s="2782" t="e">
        <v>#N/A</v>
      </c>
      <c r="DM336" s="1650">
        <v>3.5297269699544445</v>
      </c>
    </row>
    <row r="337" spans="1:117" ht="21" customHeight="1">
      <c r="A337" s="1652">
        <v>6</v>
      </c>
      <c r="B337" s="1668" t="s">
        <v>1993</v>
      </c>
      <c r="C337" s="1662">
        <v>125</v>
      </c>
      <c r="D337" s="1646">
        <v>40</v>
      </c>
      <c r="E337" s="1646"/>
      <c r="F337" s="1648"/>
      <c r="G337" s="1648"/>
      <c r="H337" s="1648">
        <v>50</v>
      </c>
      <c r="I337" s="1648" t="s">
        <v>1667</v>
      </c>
      <c r="J337" s="1649">
        <v>1</v>
      </c>
      <c r="K337" s="1648"/>
      <c r="L337" s="1648"/>
      <c r="M337" s="1648"/>
      <c r="N337" s="1642"/>
      <c r="O337" s="2876">
        <v>5.5422089999999997</v>
      </c>
      <c r="P337" s="2870"/>
      <c r="Q337" s="2870">
        <v>19564000</v>
      </c>
      <c r="R337" s="2870"/>
      <c r="S337" s="2870"/>
      <c r="T337" s="2870">
        <v>3.5300004023666376</v>
      </c>
      <c r="U337" s="2875">
        <v>19564000</v>
      </c>
      <c r="V337" s="2869">
        <v>12.056792</v>
      </c>
      <c r="W337" s="2870"/>
      <c r="X337" s="2870">
        <v>42560478</v>
      </c>
      <c r="Y337" s="2870"/>
      <c r="Z337" s="2870"/>
      <c r="AA337" s="2877">
        <v>3.5300001857873968</v>
      </c>
      <c r="AB337" s="2875">
        <v>42560478</v>
      </c>
      <c r="AC337" s="2869">
        <v>8.1896550000000001</v>
      </c>
      <c r="AD337" s="2870"/>
      <c r="AE337" s="2870">
        <v>28909482</v>
      </c>
      <c r="AF337" s="2870"/>
      <c r="AG337" s="2870"/>
      <c r="AH337" s="2877">
        <v>3.52999998168421</v>
      </c>
      <c r="AI337" s="2875">
        <v>28909482</v>
      </c>
      <c r="AJ337" s="2869">
        <v>9.2513670000000001</v>
      </c>
      <c r="AK337" s="2870"/>
      <c r="AL337" s="2870">
        <v>32657327</v>
      </c>
      <c r="AM337" s="2870"/>
      <c r="AN337" s="2870"/>
      <c r="AO337" s="2877">
        <v>3.5300001610572793</v>
      </c>
      <c r="AP337" s="2875">
        <v>32657327</v>
      </c>
      <c r="AQ337" s="2869">
        <v>11.938264999999999</v>
      </c>
      <c r="AR337" s="2870"/>
      <c r="AS337" s="2870">
        <v>42142075</v>
      </c>
      <c r="AT337" s="2870"/>
      <c r="AU337" s="2870"/>
      <c r="AV337" s="2877">
        <v>3.5299999623060807</v>
      </c>
      <c r="AW337" s="2875">
        <v>42142075</v>
      </c>
      <c r="AX337" s="2869">
        <v>5.7550030000000003</v>
      </c>
      <c r="AY337" s="2870"/>
      <c r="AZ337" s="2870">
        <v>20315159</v>
      </c>
      <c r="BA337" s="2870"/>
      <c r="BB337" s="2870"/>
      <c r="BC337" s="2877">
        <v>3.5299997237186496</v>
      </c>
      <c r="BD337" s="2875">
        <v>20315159</v>
      </c>
      <c r="BE337" s="2869">
        <v>4.1533579999999999</v>
      </c>
      <c r="BF337" s="2870"/>
      <c r="BG337" s="2870">
        <v>14661352</v>
      </c>
      <c r="BH337" s="2870">
        <v>26232</v>
      </c>
      <c r="BI337" s="2870"/>
      <c r="BJ337" s="2877">
        <v>3.536315434402717</v>
      </c>
      <c r="BK337" s="2875">
        <v>14687584</v>
      </c>
      <c r="BL337" s="2869">
        <v>4.6929550000000004</v>
      </c>
      <c r="BM337" s="2870"/>
      <c r="BN337" s="2870">
        <v>16566131</v>
      </c>
      <c r="BO337" s="2870"/>
      <c r="BP337" s="2870"/>
      <c r="BQ337" s="2877">
        <v>3.5299999680371963</v>
      </c>
      <c r="BR337" s="2875">
        <v>16566131</v>
      </c>
      <c r="BS337" s="2869">
        <v>5.1203050000000001</v>
      </c>
      <c r="BT337" s="2870"/>
      <c r="BU337" s="2870">
        <v>18074679</v>
      </c>
      <c r="BV337" s="2870"/>
      <c r="BW337" s="2870"/>
      <c r="BX337" s="2877">
        <v>3.5300004589570348</v>
      </c>
      <c r="BY337" s="2875">
        <v>18074679</v>
      </c>
      <c r="BZ337" s="2869">
        <v>5.9398479999999996</v>
      </c>
      <c r="CA337" s="2870"/>
      <c r="CB337" s="2870">
        <v>20967662</v>
      </c>
      <c r="CC337" s="2870"/>
      <c r="CD337" s="2870"/>
      <c r="CE337" s="2877">
        <v>3.5299997575695539</v>
      </c>
      <c r="CF337" s="2875">
        <v>20967662</v>
      </c>
      <c r="CG337" s="2869">
        <v>3.8869549999999999</v>
      </c>
      <c r="CH337" s="2870"/>
      <c r="CI337" s="2870">
        <v>13720951</v>
      </c>
      <c r="CJ337" s="2870"/>
      <c r="CK337" s="2870"/>
      <c r="CL337" s="2877">
        <v>3.5299999614093807</v>
      </c>
      <c r="CM337" s="2875">
        <v>13720951</v>
      </c>
      <c r="CN337" s="2872">
        <v>6.51234</v>
      </c>
      <c r="CO337" s="2870"/>
      <c r="CP337" s="2870">
        <v>22962326</v>
      </c>
      <c r="CQ337" s="2870"/>
      <c r="CR337" s="2870"/>
      <c r="CS337" s="2877">
        <v>3.5259716169610309</v>
      </c>
      <c r="CT337" s="2875">
        <v>22962326</v>
      </c>
      <c r="CU337" s="2878">
        <v>83.039051999999998</v>
      </c>
      <c r="CV337" s="2870">
        <v>0</v>
      </c>
      <c r="CW337" s="2870">
        <v>293101622</v>
      </c>
      <c r="CX337" s="2870">
        <v>26232</v>
      </c>
      <c r="CY337" s="2870">
        <v>0</v>
      </c>
      <c r="CZ337" s="2879">
        <v>3.5300000052987119</v>
      </c>
      <c r="DA337" s="2875">
        <v>293127854</v>
      </c>
      <c r="DJ337" s="1611" t="e">
        <v>#N/A</v>
      </c>
      <c r="DK337" s="2782" t="e">
        <v>#N/A</v>
      </c>
      <c r="DM337" s="1650">
        <v>3.5296841057385868</v>
      </c>
    </row>
    <row r="338" spans="1:117" ht="21" customHeight="1">
      <c r="A338" s="1652">
        <v>7</v>
      </c>
      <c r="B338" s="1668" t="s">
        <v>1994</v>
      </c>
      <c r="C338" s="1662">
        <v>125</v>
      </c>
      <c r="D338" s="1646">
        <v>40</v>
      </c>
      <c r="E338" s="1646"/>
      <c r="F338" s="1648"/>
      <c r="G338" s="1648"/>
      <c r="H338" s="1648">
        <v>50</v>
      </c>
      <c r="I338" s="1648" t="s">
        <v>1667</v>
      </c>
      <c r="J338" s="1649">
        <v>1</v>
      </c>
      <c r="K338" s="1648"/>
      <c r="L338" s="1648"/>
      <c r="M338" s="1648"/>
      <c r="N338" s="1642"/>
      <c r="O338" s="2876">
        <v>5.4696530000000001</v>
      </c>
      <c r="P338" s="2870"/>
      <c r="Q338" s="2870">
        <v>19307876</v>
      </c>
      <c r="R338" s="2870"/>
      <c r="S338" s="2870"/>
      <c r="T338" s="2870">
        <v>3.5300001663725284</v>
      </c>
      <c r="U338" s="2875">
        <v>19307876</v>
      </c>
      <c r="V338" s="2869">
        <v>18.09478</v>
      </c>
      <c r="W338" s="2870"/>
      <c r="X338" s="2870">
        <v>63874573</v>
      </c>
      <c r="Y338" s="2870"/>
      <c r="Z338" s="2870"/>
      <c r="AA338" s="2877">
        <v>3.5299999778941773</v>
      </c>
      <c r="AB338" s="2875">
        <v>63874573</v>
      </c>
      <c r="AC338" s="2869">
        <v>11.265936</v>
      </c>
      <c r="AD338" s="2870"/>
      <c r="AE338" s="2870">
        <v>39768751</v>
      </c>
      <c r="AF338" s="2870"/>
      <c r="AG338" s="2870"/>
      <c r="AH338" s="2877">
        <v>3.5299997266094891</v>
      </c>
      <c r="AI338" s="2875">
        <v>39768751</v>
      </c>
      <c r="AJ338" s="2869">
        <v>11.763304</v>
      </c>
      <c r="AK338" s="2870"/>
      <c r="AL338" s="2870">
        <v>41524466</v>
      </c>
      <c r="AM338" s="2870"/>
      <c r="AN338" s="2870"/>
      <c r="AO338" s="2877">
        <v>3.5300002448291736</v>
      </c>
      <c r="AP338" s="2875">
        <v>41524466</v>
      </c>
      <c r="AQ338" s="2869">
        <v>12.855632</v>
      </c>
      <c r="AR338" s="2870"/>
      <c r="AS338" s="2870">
        <v>45380381</v>
      </c>
      <c r="AT338" s="2870"/>
      <c r="AU338" s="2870"/>
      <c r="AV338" s="2877">
        <v>3.5300000031114767</v>
      </c>
      <c r="AW338" s="2875">
        <v>45380381</v>
      </c>
      <c r="AX338" s="2869">
        <v>4.7048350000000001</v>
      </c>
      <c r="AY338" s="2870"/>
      <c r="AZ338" s="2870">
        <v>16608068</v>
      </c>
      <c r="BA338" s="2870"/>
      <c r="BB338" s="2870"/>
      <c r="BC338" s="2877">
        <v>3.5300000956462871</v>
      </c>
      <c r="BD338" s="2875">
        <v>16608068</v>
      </c>
      <c r="BE338" s="2869">
        <v>4.0003500000000001</v>
      </c>
      <c r="BF338" s="2870"/>
      <c r="BG338" s="2870">
        <v>14121236</v>
      </c>
      <c r="BH338" s="2870">
        <v>23047</v>
      </c>
      <c r="BI338" s="2870"/>
      <c r="BJ338" s="2877">
        <v>3.5357613708800479</v>
      </c>
      <c r="BK338" s="2875">
        <v>14144283</v>
      </c>
      <c r="BL338" s="2869">
        <v>4.8844880000000002</v>
      </c>
      <c r="BM338" s="2870"/>
      <c r="BN338" s="2870">
        <v>17242241</v>
      </c>
      <c r="BO338" s="2870"/>
      <c r="BP338" s="2870"/>
      <c r="BQ338" s="2877">
        <v>3.5299996642432125</v>
      </c>
      <c r="BR338" s="2875">
        <v>17242241</v>
      </c>
      <c r="BS338" s="2869">
        <v>5.1800899999999999</v>
      </c>
      <c r="BT338" s="2870"/>
      <c r="BU338" s="2870">
        <v>18285718</v>
      </c>
      <c r="BV338" s="2870"/>
      <c r="BW338" s="2870"/>
      <c r="BX338" s="2877">
        <v>3.5300000579140516</v>
      </c>
      <c r="BY338" s="2875">
        <v>18285718</v>
      </c>
      <c r="BZ338" s="2869">
        <v>5.1601850000000002</v>
      </c>
      <c r="CA338" s="2870"/>
      <c r="CB338" s="2870">
        <v>18215453</v>
      </c>
      <c r="CC338" s="2870"/>
      <c r="CD338" s="2870"/>
      <c r="CE338" s="2877">
        <v>3.5299999903104249</v>
      </c>
      <c r="CF338" s="2875">
        <v>18215453</v>
      </c>
      <c r="CG338" s="2869">
        <v>3.9567130000000001</v>
      </c>
      <c r="CH338" s="2870"/>
      <c r="CI338" s="2870">
        <v>13967195</v>
      </c>
      <c r="CJ338" s="2870"/>
      <c r="CK338" s="2870"/>
      <c r="CL338" s="2877">
        <v>3.5299995223307832</v>
      </c>
      <c r="CM338" s="2875">
        <v>13967195</v>
      </c>
      <c r="CN338" s="2872">
        <v>6.0475079999999997</v>
      </c>
      <c r="CO338" s="2870"/>
      <c r="CP338" s="2870">
        <v>21324654</v>
      </c>
      <c r="CQ338" s="2870"/>
      <c r="CR338" s="2870"/>
      <c r="CS338" s="2877">
        <v>3.5261886383614538</v>
      </c>
      <c r="CT338" s="2875">
        <v>21324654</v>
      </c>
      <c r="CU338" s="2878">
        <v>93.383473999999978</v>
      </c>
      <c r="CV338" s="2870">
        <v>0</v>
      </c>
      <c r="CW338" s="2870">
        <v>329620612</v>
      </c>
      <c r="CX338" s="2870">
        <v>23047</v>
      </c>
      <c r="CY338" s="2870">
        <v>0</v>
      </c>
      <c r="CZ338" s="2879">
        <v>3.5299999548099921</v>
      </c>
      <c r="DA338" s="2875">
        <v>329643659</v>
      </c>
      <c r="DJ338" s="1611" t="e">
        <v>#N/A</v>
      </c>
      <c r="DK338" s="2782" t="e">
        <v>#N/A</v>
      </c>
      <c r="DM338" s="1650">
        <v>3.5297531552531454</v>
      </c>
    </row>
    <row r="339" spans="1:117" ht="21" customHeight="1">
      <c r="A339" s="1652">
        <v>8</v>
      </c>
      <c r="B339" s="1644" t="s">
        <v>1995</v>
      </c>
      <c r="C339" s="1662"/>
      <c r="D339" s="1648"/>
      <c r="E339" s="1648"/>
      <c r="F339" s="1648"/>
      <c r="G339" s="1648"/>
      <c r="H339" s="1648"/>
      <c r="I339" s="1648" t="s">
        <v>1667</v>
      </c>
      <c r="J339" s="1649">
        <v>1</v>
      </c>
      <c r="K339" s="1648"/>
      <c r="L339" s="1648"/>
      <c r="M339" s="1648"/>
      <c r="N339" s="1642"/>
      <c r="O339" s="2876"/>
      <c r="P339" s="2870"/>
      <c r="Q339" s="2870"/>
      <c r="R339" s="2870"/>
      <c r="S339" s="2870"/>
      <c r="T339" s="2870"/>
      <c r="U339" s="2875">
        <v>0</v>
      </c>
      <c r="V339" s="2869"/>
      <c r="W339" s="2870"/>
      <c r="X339" s="2870"/>
      <c r="Y339" s="2870"/>
      <c r="Z339" s="2870"/>
      <c r="AA339" s="2877"/>
      <c r="AB339" s="2875">
        <v>0</v>
      </c>
      <c r="AC339" s="2869"/>
      <c r="AD339" s="2870"/>
      <c r="AE339" s="2870"/>
      <c r="AF339" s="2870"/>
      <c r="AG339" s="2870"/>
      <c r="AH339" s="2877"/>
      <c r="AI339" s="2875">
        <v>0</v>
      </c>
      <c r="AJ339" s="2869"/>
      <c r="AK339" s="2870"/>
      <c r="AL339" s="2870"/>
      <c r="AM339" s="2870"/>
      <c r="AN339" s="2870"/>
      <c r="AO339" s="2877"/>
      <c r="AP339" s="2875">
        <v>0</v>
      </c>
      <c r="AQ339" s="2869"/>
      <c r="AR339" s="2870"/>
      <c r="AS339" s="2870"/>
      <c r="AT339" s="2870"/>
      <c r="AU339" s="2870"/>
      <c r="AV339" s="2877"/>
      <c r="AW339" s="2875">
        <v>0</v>
      </c>
      <c r="AX339" s="2869">
        <v>7.2086099999999993</v>
      </c>
      <c r="AY339" s="2870"/>
      <c r="AZ339" s="2870">
        <v>14074811</v>
      </c>
      <c r="BA339" s="2870"/>
      <c r="BB339" s="2870"/>
      <c r="BC339" s="2877">
        <v>1.9524999965319252</v>
      </c>
      <c r="BD339" s="2875">
        <v>14074811</v>
      </c>
      <c r="BE339" s="2869">
        <v>8.0539249999999996</v>
      </c>
      <c r="BF339" s="2870"/>
      <c r="BG339" s="2870">
        <v>15725289</v>
      </c>
      <c r="BH339" s="2870">
        <v>22350</v>
      </c>
      <c r="BI339" s="2870"/>
      <c r="BJ339" s="2877">
        <v>1.9552750987872374</v>
      </c>
      <c r="BK339" s="2875">
        <v>15747639</v>
      </c>
      <c r="BL339" s="2869">
        <v>6.8453179999999998</v>
      </c>
      <c r="BM339" s="2870"/>
      <c r="BN339" s="2870">
        <v>13531291</v>
      </c>
      <c r="BO339" s="2870"/>
      <c r="BP339" s="2870"/>
      <c r="BQ339" s="2877">
        <v>1.9767220456376169</v>
      </c>
      <c r="BR339" s="2875">
        <v>13531291</v>
      </c>
      <c r="BS339" s="2869">
        <v>9.6718600000000006</v>
      </c>
      <c r="BT339" s="2870"/>
      <c r="BU339" s="2870">
        <v>18884307</v>
      </c>
      <c r="BV339" s="2870">
        <v>72539</v>
      </c>
      <c r="BW339" s="2870"/>
      <c r="BX339" s="2877">
        <v>1.9600000413570915</v>
      </c>
      <c r="BY339" s="2875">
        <v>18956846</v>
      </c>
      <c r="BZ339" s="2869">
        <v>9.5394550000000002</v>
      </c>
      <c r="CA339" s="2870"/>
      <c r="CB339" s="2870">
        <v>18697332</v>
      </c>
      <c r="CC339" s="2870"/>
      <c r="CD339" s="2870"/>
      <c r="CE339" s="2877">
        <v>1.9600000209655584</v>
      </c>
      <c r="CF339" s="2875">
        <v>18697332</v>
      </c>
      <c r="CG339" s="2869">
        <v>8.2334849999999999</v>
      </c>
      <c r="CH339" s="2870"/>
      <c r="CI339" s="2870">
        <v>16137631</v>
      </c>
      <c r="CJ339" s="2870"/>
      <c r="CK339" s="2870"/>
      <c r="CL339" s="2877">
        <v>1.960000048582101</v>
      </c>
      <c r="CM339" s="2875">
        <v>16137631</v>
      </c>
      <c r="CN339" s="2872">
        <v>6.2626549999999996</v>
      </c>
      <c r="CO339" s="2870"/>
      <c r="CP339" s="2870">
        <v>12274804</v>
      </c>
      <c r="CQ339" s="2870"/>
      <c r="CR339" s="2870"/>
      <c r="CS339" s="2877">
        <v>1.9600000319353372</v>
      </c>
      <c r="CT339" s="2875">
        <v>12274804</v>
      </c>
      <c r="CU339" s="2878">
        <v>55.815308000000009</v>
      </c>
      <c r="CV339" s="2870">
        <v>0</v>
      </c>
      <c r="CW339" s="2870">
        <v>109325465</v>
      </c>
      <c r="CX339" s="2870">
        <v>94889</v>
      </c>
      <c r="CY339" s="2870">
        <v>0</v>
      </c>
      <c r="CZ339" s="2879">
        <v>1.960400433515479</v>
      </c>
      <c r="DA339" s="2875">
        <v>109420354</v>
      </c>
      <c r="DJ339" s="1611" t="e">
        <v>#N/A</v>
      </c>
      <c r="DK339" s="2782" t="e">
        <v>#N/A</v>
      </c>
      <c r="DM339" s="1650">
        <v>1.9587003801896066</v>
      </c>
    </row>
    <row r="340" spans="1:117" ht="21" customHeight="1">
      <c r="A340" s="1652">
        <v>9</v>
      </c>
      <c r="B340" s="1644" t="s">
        <v>1996</v>
      </c>
      <c r="C340" s="1662"/>
      <c r="D340" s="1648"/>
      <c r="E340" s="1648"/>
      <c r="F340" s="1648"/>
      <c r="G340" s="1648"/>
      <c r="H340" s="1648"/>
      <c r="I340" s="1648" t="s">
        <v>1667</v>
      </c>
      <c r="J340" s="1649">
        <v>1</v>
      </c>
      <c r="K340" s="1648"/>
      <c r="L340" s="1648"/>
      <c r="M340" s="1648"/>
      <c r="N340" s="1642"/>
      <c r="O340" s="2876"/>
      <c r="P340" s="2870"/>
      <c r="Q340" s="2870"/>
      <c r="R340" s="2870"/>
      <c r="S340" s="2870"/>
      <c r="T340" s="2870"/>
      <c r="U340" s="2875">
        <v>0</v>
      </c>
      <c r="V340" s="2869"/>
      <c r="W340" s="2870"/>
      <c r="X340" s="2870"/>
      <c r="Y340" s="2870"/>
      <c r="Z340" s="2870"/>
      <c r="AA340" s="2877"/>
      <c r="AB340" s="2875">
        <v>0</v>
      </c>
      <c r="AC340" s="2869"/>
      <c r="AD340" s="2870"/>
      <c r="AE340" s="2870"/>
      <c r="AF340" s="2870"/>
      <c r="AG340" s="2870"/>
      <c r="AH340" s="2877"/>
      <c r="AI340" s="2875">
        <v>0</v>
      </c>
      <c r="AJ340" s="2869"/>
      <c r="AK340" s="2870"/>
      <c r="AL340" s="2870"/>
      <c r="AM340" s="2870"/>
      <c r="AN340" s="2870"/>
      <c r="AO340" s="2877"/>
      <c r="AP340" s="2875">
        <v>0</v>
      </c>
      <c r="AQ340" s="2869"/>
      <c r="AR340" s="2870"/>
      <c r="AS340" s="2870"/>
      <c r="AT340" s="2870"/>
      <c r="AU340" s="2870"/>
      <c r="AV340" s="2877"/>
      <c r="AW340" s="2875">
        <v>0</v>
      </c>
      <c r="AX340" s="2869"/>
      <c r="AY340" s="2870"/>
      <c r="AZ340" s="2870"/>
      <c r="BA340" s="2870"/>
      <c r="BB340" s="2870"/>
      <c r="BC340" s="2877"/>
      <c r="BD340" s="2875">
        <v>0</v>
      </c>
      <c r="BE340" s="2869"/>
      <c r="BF340" s="2870"/>
      <c r="BG340" s="2870"/>
      <c r="BH340" s="2870"/>
      <c r="BI340" s="2870"/>
      <c r="BJ340" s="2877"/>
      <c r="BK340" s="2875">
        <v>0</v>
      </c>
      <c r="BL340" s="2869"/>
      <c r="BM340" s="2870"/>
      <c r="BN340" s="2870"/>
      <c r="BO340" s="2870"/>
      <c r="BP340" s="2870"/>
      <c r="BQ340" s="2877"/>
      <c r="BR340" s="2875">
        <v>0</v>
      </c>
      <c r="BS340" s="2869"/>
      <c r="BT340" s="2870"/>
      <c r="BU340" s="2870"/>
      <c r="BV340" s="2870"/>
      <c r="BW340" s="2870"/>
      <c r="BX340" s="2877"/>
      <c r="BY340" s="2875">
        <v>0</v>
      </c>
      <c r="BZ340" s="2869"/>
      <c r="CA340" s="2870"/>
      <c r="CB340" s="2870"/>
      <c r="CC340" s="2870"/>
      <c r="CD340" s="2870"/>
      <c r="CE340" s="2877"/>
      <c r="CF340" s="2875">
        <v>0</v>
      </c>
      <c r="CG340" s="2869"/>
      <c r="CH340" s="2870"/>
      <c r="CI340" s="2870"/>
      <c r="CJ340" s="2870"/>
      <c r="CK340" s="2870"/>
      <c r="CL340" s="2877"/>
      <c r="CM340" s="2875">
        <v>0</v>
      </c>
      <c r="CN340" s="2872">
        <v>0.79183199999999998</v>
      </c>
      <c r="CO340" s="2870"/>
      <c r="CP340" s="2870">
        <v>1546053</v>
      </c>
      <c r="CQ340" s="2870"/>
      <c r="CR340" s="2870"/>
      <c r="CS340" s="2877">
        <v>1.9525012881520323</v>
      </c>
      <c r="CT340" s="2875">
        <v>1546053</v>
      </c>
      <c r="CU340" s="2878">
        <v>0.79183199999999998</v>
      </c>
      <c r="CV340" s="2870">
        <v>0</v>
      </c>
      <c r="CW340" s="2870">
        <v>1546053</v>
      </c>
      <c r="CX340" s="2870">
        <v>0</v>
      </c>
      <c r="CY340" s="2870">
        <v>0</v>
      </c>
      <c r="CZ340" s="2879">
        <v>1.9525012881520323</v>
      </c>
      <c r="DA340" s="2875">
        <v>1546053</v>
      </c>
      <c r="DJ340" s="1611" t="e">
        <v>#N/A</v>
      </c>
      <c r="DK340" s="2782" t="e">
        <v>#N/A</v>
      </c>
      <c r="DM340" s="1650">
        <v>1.9525012881520323</v>
      </c>
    </row>
    <row r="341" spans="1:117" ht="21" customHeight="1">
      <c r="A341" s="1652">
        <v>10</v>
      </c>
      <c r="B341" s="1644" t="s">
        <v>1997</v>
      </c>
      <c r="C341" s="1662"/>
      <c r="D341" s="1648"/>
      <c r="E341" s="1648"/>
      <c r="F341" s="1648"/>
      <c r="G341" s="1648"/>
      <c r="H341" s="1648"/>
      <c r="I341" s="1648" t="s">
        <v>1667</v>
      </c>
      <c r="J341" s="1649">
        <v>1</v>
      </c>
      <c r="K341" s="1648"/>
      <c r="L341" s="1648"/>
      <c r="M341" s="1648"/>
      <c r="N341" s="1642"/>
      <c r="O341" s="2876"/>
      <c r="P341" s="2870"/>
      <c r="Q341" s="2870"/>
      <c r="R341" s="2870"/>
      <c r="S341" s="2870"/>
      <c r="T341" s="2870"/>
      <c r="U341" s="2875">
        <v>0</v>
      </c>
      <c r="V341" s="2869"/>
      <c r="W341" s="2870"/>
      <c r="X341" s="2870"/>
      <c r="Y341" s="2870"/>
      <c r="Z341" s="2870"/>
      <c r="AA341" s="2877"/>
      <c r="AB341" s="2875">
        <v>0</v>
      </c>
      <c r="AC341" s="2869"/>
      <c r="AD341" s="2870"/>
      <c r="AE341" s="2870"/>
      <c r="AF341" s="2870"/>
      <c r="AG341" s="2870"/>
      <c r="AH341" s="2877"/>
      <c r="AI341" s="2875">
        <v>0</v>
      </c>
      <c r="AJ341" s="2869"/>
      <c r="AK341" s="2870"/>
      <c r="AL341" s="2870"/>
      <c r="AM341" s="2870"/>
      <c r="AN341" s="2870"/>
      <c r="AO341" s="2877"/>
      <c r="AP341" s="2875">
        <v>0</v>
      </c>
      <c r="AQ341" s="2869"/>
      <c r="AR341" s="2870"/>
      <c r="AS341" s="2870"/>
      <c r="AT341" s="2870"/>
      <c r="AU341" s="2870"/>
      <c r="AV341" s="2877"/>
      <c r="AW341" s="2875">
        <v>0</v>
      </c>
      <c r="AX341" s="2869"/>
      <c r="AY341" s="2870"/>
      <c r="AZ341" s="2870"/>
      <c r="BA341" s="2870"/>
      <c r="BB341" s="2870"/>
      <c r="BC341" s="2877"/>
      <c r="BD341" s="2875">
        <v>0</v>
      </c>
      <c r="BE341" s="2869"/>
      <c r="BF341" s="2870"/>
      <c r="BG341" s="2870"/>
      <c r="BH341" s="2870"/>
      <c r="BI341" s="2870"/>
      <c r="BJ341" s="2877"/>
      <c r="BK341" s="2875">
        <v>0</v>
      </c>
      <c r="BL341" s="2869"/>
      <c r="BM341" s="2870"/>
      <c r="BN341" s="2870"/>
      <c r="BO341" s="2870"/>
      <c r="BP341" s="2870"/>
      <c r="BQ341" s="2877"/>
      <c r="BR341" s="2875">
        <v>0</v>
      </c>
      <c r="BS341" s="2869"/>
      <c r="BT341" s="2870"/>
      <c r="BU341" s="2870"/>
      <c r="BV341" s="2870"/>
      <c r="BW341" s="2870"/>
      <c r="BX341" s="2877"/>
      <c r="BY341" s="2875">
        <v>0</v>
      </c>
      <c r="BZ341" s="2869"/>
      <c r="CA341" s="2870"/>
      <c r="CB341" s="2870"/>
      <c r="CC341" s="2870"/>
      <c r="CD341" s="2870"/>
      <c r="CE341" s="2877"/>
      <c r="CF341" s="2875">
        <v>0</v>
      </c>
      <c r="CG341" s="2869"/>
      <c r="CH341" s="2870"/>
      <c r="CI341" s="2870"/>
      <c r="CJ341" s="2870"/>
      <c r="CK341" s="2870"/>
      <c r="CL341" s="2877"/>
      <c r="CM341" s="2875">
        <v>0</v>
      </c>
      <c r="CN341" s="2872">
        <v>6.7604224999999998</v>
      </c>
      <c r="CO341" s="2870"/>
      <c r="CP341" s="2870">
        <v>18463114.690000001</v>
      </c>
      <c r="CQ341" s="2870"/>
      <c r="CR341" s="2870"/>
      <c r="CS341" s="2877">
        <v>2.7310592925220281</v>
      </c>
      <c r="CT341" s="2875">
        <v>18463114.690000001</v>
      </c>
      <c r="CU341" s="2878">
        <v>6.7604224999999998</v>
      </c>
      <c r="CV341" s="2870">
        <v>0</v>
      </c>
      <c r="CW341" s="2870">
        <v>18463114.690000001</v>
      </c>
      <c r="CX341" s="2870">
        <v>0</v>
      </c>
      <c r="CY341" s="2870">
        <v>0</v>
      </c>
      <c r="CZ341" s="2879">
        <v>2.7310592925220281</v>
      </c>
      <c r="DA341" s="2875">
        <v>18463114.690000001</v>
      </c>
      <c r="DJ341" s="1611" t="e">
        <v>#N/A</v>
      </c>
      <c r="DK341" s="2782" t="e">
        <v>#N/A</v>
      </c>
      <c r="DM341" s="1650">
        <v>2.7310592925220281</v>
      </c>
    </row>
    <row r="342" spans="1:117" ht="21" customHeight="1">
      <c r="A342" s="1652">
        <v>11</v>
      </c>
      <c r="B342" s="1644"/>
      <c r="C342" s="1662"/>
      <c r="D342" s="1648"/>
      <c r="E342" s="1648"/>
      <c r="F342" s="1648"/>
      <c r="G342" s="1648"/>
      <c r="H342" s="1648"/>
      <c r="I342" s="1648"/>
      <c r="J342" s="1649"/>
      <c r="K342" s="1648"/>
      <c r="L342" s="1648"/>
      <c r="M342" s="1648"/>
      <c r="N342" s="1642"/>
      <c r="O342" s="2876"/>
      <c r="P342" s="2870"/>
      <c r="Q342" s="2870"/>
      <c r="R342" s="2870"/>
      <c r="S342" s="2870"/>
      <c r="T342" s="2870"/>
      <c r="U342" s="2875">
        <v>0</v>
      </c>
      <c r="V342" s="2869"/>
      <c r="W342" s="2870"/>
      <c r="X342" s="2870"/>
      <c r="Y342" s="2870"/>
      <c r="Z342" s="2870"/>
      <c r="AA342" s="2877"/>
      <c r="AB342" s="2875">
        <v>0</v>
      </c>
      <c r="AC342" s="2869"/>
      <c r="AD342" s="2870"/>
      <c r="AE342" s="2870"/>
      <c r="AF342" s="2870"/>
      <c r="AG342" s="2870"/>
      <c r="AH342" s="2877"/>
      <c r="AI342" s="2875">
        <v>0</v>
      </c>
      <c r="AJ342" s="2869"/>
      <c r="AK342" s="2870"/>
      <c r="AL342" s="2870"/>
      <c r="AM342" s="2870"/>
      <c r="AN342" s="2870"/>
      <c r="AO342" s="2877"/>
      <c r="AP342" s="2875">
        <v>0</v>
      </c>
      <c r="AQ342" s="2869"/>
      <c r="AR342" s="2870"/>
      <c r="AS342" s="2870"/>
      <c r="AT342" s="2870"/>
      <c r="AU342" s="2870"/>
      <c r="AV342" s="2877"/>
      <c r="AW342" s="2875">
        <v>0</v>
      </c>
      <c r="AX342" s="2869"/>
      <c r="AY342" s="2870"/>
      <c r="AZ342" s="2870"/>
      <c r="BA342" s="2870"/>
      <c r="BB342" s="2870"/>
      <c r="BC342" s="2877"/>
      <c r="BD342" s="2875">
        <v>0</v>
      </c>
      <c r="BE342" s="2869"/>
      <c r="BF342" s="2870"/>
      <c r="BG342" s="2870"/>
      <c r="BH342" s="2870"/>
      <c r="BI342" s="2870"/>
      <c r="BJ342" s="2877"/>
      <c r="BK342" s="2875">
        <v>0</v>
      </c>
      <c r="BL342" s="2869"/>
      <c r="BM342" s="2870"/>
      <c r="BN342" s="2870"/>
      <c r="BO342" s="2870"/>
      <c r="BP342" s="2870"/>
      <c r="BQ342" s="2877"/>
      <c r="BR342" s="2875">
        <v>0</v>
      </c>
      <c r="BS342" s="2869"/>
      <c r="BT342" s="2870"/>
      <c r="BU342" s="2870"/>
      <c r="BV342" s="2870"/>
      <c r="BW342" s="2870"/>
      <c r="BX342" s="2877"/>
      <c r="BY342" s="2875">
        <v>0</v>
      </c>
      <c r="BZ342" s="2869"/>
      <c r="CA342" s="2870"/>
      <c r="CB342" s="2870"/>
      <c r="CC342" s="2870"/>
      <c r="CD342" s="2870"/>
      <c r="CE342" s="2877"/>
      <c r="CF342" s="2875">
        <v>0</v>
      </c>
      <c r="CG342" s="2869"/>
      <c r="CH342" s="2870"/>
      <c r="CI342" s="2870"/>
      <c r="CJ342" s="2870"/>
      <c r="CK342" s="2870"/>
      <c r="CL342" s="2877"/>
      <c r="CM342" s="2875">
        <v>0</v>
      </c>
      <c r="CN342" s="2872"/>
      <c r="CO342" s="2870"/>
      <c r="CP342" s="2870"/>
      <c r="CQ342" s="2870"/>
      <c r="CR342" s="2870"/>
      <c r="CS342" s="2877"/>
      <c r="CT342" s="2875">
        <v>0</v>
      </c>
      <c r="CU342" s="2878">
        <v>0</v>
      </c>
      <c r="CV342" s="2870">
        <v>0</v>
      </c>
      <c r="CW342" s="2870">
        <v>0</v>
      </c>
      <c r="CX342" s="2870">
        <v>0</v>
      </c>
      <c r="CY342" s="2870">
        <v>0</v>
      </c>
      <c r="CZ342" s="2879">
        <v>0</v>
      </c>
      <c r="DA342" s="2875">
        <v>0</v>
      </c>
      <c r="DJ342" s="1611" t="e">
        <v>#N/A</v>
      </c>
      <c r="DK342" s="2782" t="e">
        <v>#N/A</v>
      </c>
      <c r="DM342" s="1650">
        <v>0</v>
      </c>
    </row>
    <row r="343" spans="1:117" ht="21" customHeight="1">
      <c r="A343" s="1652">
        <v>12</v>
      </c>
      <c r="B343" s="1644"/>
      <c r="C343" s="1662"/>
      <c r="D343" s="1648"/>
      <c r="E343" s="1648"/>
      <c r="F343" s="1648"/>
      <c r="G343" s="1648"/>
      <c r="H343" s="1648"/>
      <c r="I343" s="1648"/>
      <c r="J343" s="1649"/>
      <c r="K343" s="1648"/>
      <c r="L343" s="1648"/>
      <c r="M343" s="1648"/>
      <c r="N343" s="1642"/>
      <c r="O343" s="2876"/>
      <c r="P343" s="2870"/>
      <c r="Q343" s="2870"/>
      <c r="R343" s="2870"/>
      <c r="S343" s="2870"/>
      <c r="T343" s="2870"/>
      <c r="U343" s="2875">
        <v>0</v>
      </c>
      <c r="V343" s="2869"/>
      <c r="W343" s="2870"/>
      <c r="X343" s="2870"/>
      <c r="Y343" s="2870"/>
      <c r="Z343" s="2870"/>
      <c r="AA343" s="2877"/>
      <c r="AB343" s="2875">
        <v>0</v>
      </c>
      <c r="AC343" s="2869"/>
      <c r="AD343" s="2870"/>
      <c r="AE343" s="2870"/>
      <c r="AF343" s="2870"/>
      <c r="AG343" s="2870"/>
      <c r="AH343" s="2877"/>
      <c r="AI343" s="2875">
        <v>0</v>
      </c>
      <c r="AJ343" s="2869"/>
      <c r="AK343" s="2870"/>
      <c r="AL343" s="2870"/>
      <c r="AM343" s="2870"/>
      <c r="AN343" s="2870"/>
      <c r="AO343" s="2877"/>
      <c r="AP343" s="2875">
        <v>0</v>
      </c>
      <c r="AQ343" s="2869"/>
      <c r="AR343" s="2870"/>
      <c r="AS343" s="2870"/>
      <c r="AT343" s="2870"/>
      <c r="AU343" s="2870"/>
      <c r="AV343" s="2877"/>
      <c r="AW343" s="2875">
        <v>0</v>
      </c>
      <c r="AX343" s="2869"/>
      <c r="AY343" s="2870"/>
      <c r="AZ343" s="2870"/>
      <c r="BA343" s="2870"/>
      <c r="BB343" s="2870"/>
      <c r="BC343" s="2877"/>
      <c r="BD343" s="2875">
        <v>0</v>
      </c>
      <c r="BE343" s="2869"/>
      <c r="BF343" s="2870"/>
      <c r="BG343" s="2870"/>
      <c r="BH343" s="2870"/>
      <c r="BI343" s="2870"/>
      <c r="BJ343" s="2877"/>
      <c r="BK343" s="2875">
        <v>0</v>
      </c>
      <c r="BL343" s="2869"/>
      <c r="BM343" s="2870"/>
      <c r="BN343" s="2870"/>
      <c r="BO343" s="2870"/>
      <c r="BP343" s="2870"/>
      <c r="BQ343" s="2877"/>
      <c r="BR343" s="2875">
        <v>0</v>
      </c>
      <c r="BS343" s="2869"/>
      <c r="BT343" s="2870"/>
      <c r="BU343" s="2870"/>
      <c r="BV343" s="2870"/>
      <c r="BW343" s="2870"/>
      <c r="BX343" s="2877"/>
      <c r="BY343" s="2875">
        <v>0</v>
      </c>
      <c r="BZ343" s="2869"/>
      <c r="CA343" s="2870"/>
      <c r="CB343" s="2870"/>
      <c r="CC343" s="2870"/>
      <c r="CD343" s="2870"/>
      <c r="CE343" s="2877"/>
      <c r="CF343" s="2875">
        <v>0</v>
      </c>
      <c r="CG343" s="2869"/>
      <c r="CH343" s="2870"/>
      <c r="CI343" s="2870"/>
      <c r="CJ343" s="2870"/>
      <c r="CK343" s="2870"/>
      <c r="CL343" s="2877"/>
      <c r="CM343" s="2875">
        <v>0</v>
      </c>
      <c r="CN343" s="2872"/>
      <c r="CO343" s="2870"/>
      <c r="CP343" s="2870"/>
      <c r="CQ343" s="2870"/>
      <c r="CR343" s="2870"/>
      <c r="CS343" s="2877"/>
      <c r="CT343" s="2875">
        <v>0</v>
      </c>
      <c r="CU343" s="2878">
        <v>0</v>
      </c>
      <c r="CV343" s="2870">
        <v>0</v>
      </c>
      <c r="CW343" s="2870">
        <v>0</v>
      </c>
      <c r="CX343" s="2870">
        <v>0</v>
      </c>
      <c r="CY343" s="2870">
        <v>0</v>
      </c>
      <c r="CZ343" s="2879">
        <v>0</v>
      </c>
      <c r="DA343" s="2875">
        <v>0</v>
      </c>
      <c r="DJ343" s="1611" t="e">
        <v>#N/A</v>
      </c>
      <c r="DK343" s="2782" t="e">
        <v>#N/A</v>
      </c>
      <c r="DM343" s="1650">
        <v>0</v>
      </c>
    </row>
    <row r="344" spans="1:117" s="1727" customFormat="1" ht="21" customHeight="1">
      <c r="A344" s="1637"/>
      <c r="B344" s="1638" t="s">
        <v>1998</v>
      </c>
      <c r="C344" s="1643">
        <v>1249.9000000000001</v>
      </c>
      <c r="D344" s="1641">
        <v>39.195135610848865</v>
      </c>
      <c r="E344" s="1641">
        <v>0</v>
      </c>
      <c r="F344" s="1641">
        <v>0</v>
      </c>
      <c r="G344" s="1641">
        <v>0</v>
      </c>
      <c r="H344" s="1641">
        <v>489.9</v>
      </c>
      <c r="I344" s="1641"/>
      <c r="J344" s="1649"/>
      <c r="K344" s="1641"/>
      <c r="L344" s="1641"/>
      <c r="M344" s="1641"/>
      <c r="N344" s="1671"/>
      <c r="O344" s="2876">
        <v>87.230263999999991</v>
      </c>
      <c r="P344" s="2874">
        <v>0</v>
      </c>
      <c r="Q344" s="2874">
        <v>292164339</v>
      </c>
      <c r="R344" s="2874">
        <v>0</v>
      </c>
      <c r="S344" s="2874"/>
      <c r="T344" s="2879">
        <v>3.3493460366003256</v>
      </c>
      <c r="U344" s="2875">
        <v>292164339</v>
      </c>
      <c r="V344" s="2876">
        <v>146.67699799999997</v>
      </c>
      <c r="W344" s="2874">
        <v>0</v>
      </c>
      <c r="X344" s="2874">
        <v>494270008</v>
      </c>
      <c r="Y344" s="2874">
        <v>0</v>
      </c>
      <c r="Z344" s="2874">
        <v>0</v>
      </c>
      <c r="AA344" s="2879">
        <v>3.3697854110703855</v>
      </c>
      <c r="AB344" s="2875">
        <v>494270008</v>
      </c>
      <c r="AC344" s="2876">
        <v>130.69200000000001</v>
      </c>
      <c r="AD344" s="2874">
        <v>0</v>
      </c>
      <c r="AE344" s="2874">
        <v>445805988</v>
      </c>
      <c r="AF344" s="2874">
        <v>0</v>
      </c>
      <c r="AG344" s="2874">
        <v>0</v>
      </c>
      <c r="AH344" s="2879">
        <v>3.4111191809751169</v>
      </c>
      <c r="AI344" s="2875">
        <v>445805988</v>
      </c>
      <c r="AJ344" s="2876">
        <v>134.88661400000001</v>
      </c>
      <c r="AK344" s="2874">
        <v>0</v>
      </c>
      <c r="AL344" s="2874">
        <v>457863584</v>
      </c>
      <c r="AM344" s="2874">
        <v>0</v>
      </c>
      <c r="AN344" s="2874">
        <v>0</v>
      </c>
      <c r="AO344" s="2879">
        <v>3.3944330754718179</v>
      </c>
      <c r="AP344" s="2875">
        <v>457863584</v>
      </c>
      <c r="AQ344" s="2876">
        <v>166.38772799999998</v>
      </c>
      <c r="AR344" s="2874">
        <v>0</v>
      </c>
      <c r="AS344" s="2874">
        <v>567395542</v>
      </c>
      <c r="AT344" s="2874">
        <v>0</v>
      </c>
      <c r="AU344" s="2874">
        <v>0</v>
      </c>
      <c r="AV344" s="2879">
        <v>3.4100804718001805</v>
      </c>
      <c r="AW344" s="2875">
        <v>567395542</v>
      </c>
      <c r="AX344" s="2876">
        <v>116.84830599999999</v>
      </c>
      <c r="AY344" s="2874">
        <v>0</v>
      </c>
      <c r="AZ344" s="2874">
        <v>391718173</v>
      </c>
      <c r="BA344" s="2874">
        <v>0</v>
      </c>
      <c r="BB344" s="2874">
        <v>0</v>
      </c>
      <c r="BC344" s="2879">
        <v>3.352365014174874</v>
      </c>
      <c r="BD344" s="2875">
        <v>391718173</v>
      </c>
      <c r="BE344" s="2876">
        <v>99.217360999999983</v>
      </c>
      <c r="BF344" s="2874">
        <v>0</v>
      </c>
      <c r="BG344" s="2874">
        <v>327909526</v>
      </c>
      <c r="BH344" s="2874">
        <v>539721</v>
      </c>
      <c r="BI344" s="2874">
        <v>0</v>
      </c>
      <c r="BJ344" s="2879">
        <v>3.3104009589612047</v>
      </c>
      <c r="BK344" s="2875">
        <v>328449247</v>
      </c>
      <c r="BL344" s="2876">
        <v>87.254039000000006</v>
      </c>
      <c r="BM344" s="2874">
        <v>0</v>
      </c>
      <c r="BN344" s="2874">
        <v>282622776</v>
      </c>
      <c r="BO344" s="2874">
        <v>0</v>
      </c>
      <c r="BP344" s="2874">
        <v>0</v>
      </c>
      <c r="BQ344" s="2879">
        <v>3.2390795800295273</v>
      </c>
      <c r="BR344" s="2875">
        <v>282622776</v>
      </c>
      <c r="BS344" s="2876">
        <v>104.63864299999999</v>
      </c>
      <c r="BT344" s="2874">
        <v>0</v>
      </c>
      <c r="BU344" s="2874">
        <v>337407920</v>
      </c>
      <c r="BV344" s="2874">
        <v>72539</v>
      </c>
      <c r="BW344" s="2874">
        <v>0</v>
      </c>
      <c r="BX344" s="2879">
        <v>3.2251991169266221</v>
      </c>
      <c r="BY344" s="2875">
        <v>337480459</v>
      </c>
      <c r="BZ344" s="2876">
        <v>112.910343</v>
      </c>
      <c r="CA344" s="2874">
        <v>0</v>
      </c>
      <c r="CB344" s="2874">
        <v>366231891</v>
      </c>
      <c r="CC344" s="2874">
        <v>0</v>
      </c>
      <c r="CD344" s="2874">
        <v>0</v>
      </c>
      <c r="CE344" s="2879">
        <v>3.2435637096594419</v>
      </c>
      <c r="CF344" s="2875">
        <v>366231891</v>
      </c>
      <c r="CG344" s="2876">
        <v>76.741613999999984</v>
      </c>
      <c r="CH344" s="2874">
        <v>0</v>
      </c>
      <c r="CI344" s="2874">
        <v>248644962</v>
      </c>
      <c r="CJ344" s="2874">
        <v>0</v>
      </c>
      <c r="CK344" s="2874">
        <v>0</v>
      </c>
      <c r="CL344" s="2879">
        <v>3.2400277898768204</v>
      </c>
      <c r="CM344" s="2875">
        <v>248644962</v>
      </c>
      <c r="CN344" s="2880">
        <v>95.978290499999986</v>
      </c>
      <c r="CO344" s="2874">
        <v>0</v>
      </c>
      <c r="CP344" s="2874">
        <v>492643185.69</v>
      </c>
      <c r="CQ344" s="2874">
        <v>0</v>
      </c>
      <c r="CR344" s="2874">
        <v>0</v>
      </c>
      <c r="CS344" s="2879">
        <v>5.1328605992414511</v>
      </c>
      <c r="CT344" s="2875">
        <v>492643185.69</v>
      </c>
      <c r="CU344" s="2881">
        <v>1359.4622005000001</v>
      </c>
      <c r="CV344" s="2874">
        <v>0</v>
      </c>
      <c r="CW344" s="2874">
        <v>4704677894.6899996</v>
      </c>
      <c r="CX344" s="2874">
        <v>612260</v>
      </c>
      <c r="CY344" s="2874">
        <v>0</v>
      </c>
      <c r="CZ344" s="2879">
        <v>3.4611408489029185</v>
      </c>
      <c r="DA344" s="2875">
        <v>4705290154.6899996</v>
      </c>
      <c r="DB344" s="1609"/>
      <c r="DD344" s="1625"/>
      <c r="DJ344" s="1611" t="e">
        <v>#N/A</v>
      </c>
      <c r="DK344" s="2782" t="e">
        <v>#N/A</v>
      </c>
      <c r="DM344" s="1650">
        <v>3.460690479632059</v>
      </c>
    </row>
    <row r="345" spans="1:117" ht="21" customHeight="1">
      <c r="A345" s="1652"/>
      <c r="B345" s="1644"/>
      <c r="C345" s="1662"/>
      <c r="D345" s="1648"/>
      <c r="E345" s="1648"/>
      <c r="F345" s="1648"/>
      <c r="G345" s="1648"/>
      <c r="H345" s="1648"/>
      <c r="I345" s="1648"/>
      <c r="J345" s="1649"/>
      <c r="K345" s="1648"/>
      <c r="L345" s="1648"/>
      <c r="M345" s="1648"/>
      <c r="N345" s="1642"/>
      <c r="O345" s="2876"/>
      <c r="P345" s="2870"/>
      <c r="Q345" s="2870"/>
      <c r="R345" s="2870"/>
      <c r="S345" s="2870"/>
      <c r="T345" s="2870"/>
      <c r="U345" s="2875">
        <v>0</v>
      </c>
      <c r="V345" s="2869"/>
      <c r="W345" s="2870"/>
      <c r="X345" s="2870"/>
      <c r="Y345" s="2870"/>
      <c r="Z345" s="2870"/>
      <c r="AA345" s="2877"/>
      <c r="AB345" s="2875">
        <v>0</v>
      </c>
      <c r="AC345" s="2869"/>
      <c r="AD345" s="2870"/>
      <c r="AE345" s="2870"/>
      <c r="AF345" s="2870"/>
      <c r="AG345" s="2870"/>
      <c r="AH345" s="2877"/>
      <c r="AI345" s="2875">
        <v>0</v>
      </c>
      <c r="AJ345" s="2869"/>
      <c r="AK345" s="2870"/>
      <c r="AL345" s="2870"/>
      <c r="AM345" s="2870"/>
      <c r="AN345" s="2870"/>
      <c r="AO345" s="2877"/>
      <c r="AP345" s="2875">
        <v>0</v>
      </c>
      <c r="AQ345" s="2869"/>
      <c r="AR345" s="2870"/>
      <c r="AS345" s="2870"/>
      <c r="AT345" s="2870"/>
      <c r="AU345" s="2870"/>
      <c r="AV345" s="2877"/>
      <c r="AW345" s="2875">
        <v>0</v>
      </c>
      <c r="AX345" s="2869"/>
      <c r="AY345" s="2870"/>
      <c r="AZ345" s="2870"/>
      <c r="BA345" s="2870"/>
      <c r="BB345" s="2870"/>
      <c r="BC345" s="2877"/>
      <c r="BD345" s="2875">
        <v>0</v>
      </c>
      <c r="BE345" s="2869"/>
      <c r="BF345" s="2870"/>
      <c r="BG345" s="2870"/>
      <c r="BH345" s="2870"/>
      <c r="BI345" s="2870"/>
      <c r="BJ345" s="2877"/>
      <c r="BK345" s="2875">
        <v>0</v>
      </c>
      <c r="BL345" s="2869"/>
      <c r="BM345" s="2870"/>
      <c r="BN345" s="2870"/>
      <c r="BO345" s="2870"/>
      <c r="BP345" s="2870"/>
      <c r="BQ345" s="2877"/>
      <c r="BR345" s="2875">
        <v>0</v>
      </c>
      <c r="BS345" s="2869"/>
      <c r="BT345" s="2870"/>
      <c r="BU345" s="2870"/>
      <c r="BV345" s="2870"/>
      <c r="BW345" s="2870"/>
      <c r="BX345" s="2877"/>
      <c r="BY345" s="2875">
        <v>0</v>
      </c>
      <c r="BZ345" s="2869"/>
      <c r="CA345" s="2870"/>
      <c r="CB345" s="2870"/>
      <c r="CC345" s="2870"/>
      <c r="CD345" s="2870"/>
      <c r="CE345" s="2877"/>
      <c r="CF345" s="2875">
        <v>0</v>
      </c>
      <c r="CG345" s="2869"/>
      <c r="CH345" s="2870"/>
      <c r="CI345" s="2870"/>
      <c r="CJ345" s="2870"/>
      <c r="CK345" s="2870"/>
      <c r="CL345" s="2877"/>
      <c r="CM345" s="2875">
        <v>0</v>
      </c>
      <c r="CN345" s="2872"/>
      <c r="CO345" s="2870"/>
      <c r="CP345" s="2870"/>
      <c r="CQ345" s="2870"/>
      <c r="CR345" s="2870"/>
      <c r="CS345" s="2877"/>
      <c r="CT345" s="2875">
        <v>0</v>
      </c>
      <c r="CU345" s="2878"/>
      <c r="CV345" s="2870"/>
      <c r="CW345" s="2870"/>
      <c r="CX345" s="2870"/>
      <c r="CY345" s="2870"/>
      <c r="CZ345" s="2879"/>
      <c r="DA345" s="2875"/>
      <c r="DJ345" s="1611" t="e">
        <v>#N/A</v>
      </c>
      <c r="DK345" s="2782" t="e">
        <v>#N/A</v>
      </c>
      <c r="DM345" s="1650">
        <v>0</v>
      </c>
    </row>
    <row r="346" spans="1:117" ht="21" customHeight="1">
      <c r="A346" s="1637" t="s">
        <v>152</v>
      </c>
      <c r="B346" s="1638" t="s">
        <v>1802</v>
      </c>
      <c r="C346" s="1662"/>
      <c r="D346" s="1648"/>
      <c r="E346" s="1648"/>
      <c r="F346" s="1648"/>
      <c r="G346" s="1648"/>
      <c r="H346" s="1648"/>
      <c r="I346" s="1648"/>
      <c r="J346" s="1649"/>
      <c r="K346" s="1648"/>
      <c r="L346" s="1648"/>
      <c r="M346" s="1648"/>
      <c r="N346" s="1642"/>
      <c r="O346" s="2876"/>
      <c r="P346" s="2870"/>
      <c r="Q346" s="2870"/>
      <c r="R346" s="2870"/>
      <c r="S346" s="2870"/>
      <c r="T346" s="2870"/>
      <c r="U346" s="2875">
        <v>0</v>
      </c>
      <c r="V346" s="2869"/>
      <c r="W346" s="2870"/>
      <c r="X346" s="2870"/>
      <c r="Y346" s="2870"/>
      <c r="Z346" s="2870"/>
      <c r="AA346" s="2877"/>
      <c r="AB346" s="2875">
        <v>0</v>
      </c>
      <c r="AC346" s="2869"/>
      <c r="AD346" s="2870"/>
      <c r="AE346" s="2870"/>
      <c r="AF346" s="2870"/>
      <c r="AG346" s="2870"/>
      <c r="AH346" s="2877"/>
      <c r="AI346" s="2875">
        <v>0</v>
      </c>
      <c r="AJ346" s="2869"/>
      <c r="AK346" s="2870"/>
      <c r="AL346" s="2870"/>
      <c r="AM346" s="2870"/>
      <c r="AN346" s="2870"/>
      <c r="AO346" s="2877"/>
      <c r="AP346" s="2875">
        <v>0</v>
      </c>
      <c r="AQ346" s="2869"/>
      <c r="AR346" s="2870"/>
      <c r="AS346" s="2870"/>
      <c r="AT346" s="2870"/>
      <c r="AU346" s="2870"/>
      <c r="AV346" s="2877"/>
      <c r="AW346" s="2875">
        <v>0</v>
      </c>
      <c r="AX346" s="2869"/>
      <c r="AY346" s="2870"/>
      <c r="AZ346" s="2870"/>
      <c r="BA346" s="2870"/>
      <c r="BB346" s="2870"/>
      <c r="BC346" s="2877"/>
      <c r="BD346" s="2875">
        <v>0</v>
      </c>
      <c r="BE346" s="2869"/>
      <c r="BF346" s="2870"/>
      <c r="BG346" s="2870"/>
      <c r="BH346" s="2870"/>
      <c r="BI346" s="2870"/>
      <c r="BJ346" s="2877"/>
      <c r="BK346" s="2875">
        <v>0</v>
      </c>
      <c r="BL346" s="2869"/>
      <c r="BM346" s="2870"/>
      <c r="BN346" s="2870"/>
      <c r="BO346" s="2870"/>
      <c r="BP346" s="2870"/>
      <c r="BQ346" s="2877"/>
      <c r="BR346" s="2875">
        <v>0</v>
      </c>
      <c r="BS346" s="2869"/>
      <c r="BT346" s="2870"/>
      <c r="BU346" s="2870"/>
      <c r="BV346" s="2870"/>
      <c r="BW346" s="2870"/>
      <c r="BX346" s="2877"/>
      <c r="BY346" s="2875">
        <v>0</v>
      </c>
      <c r="BZ346" s="2869"/>
      <c r="CA346" s="2870"/>
      <c r="CB346" s="2870"/>
      <c r="CC346" s="2870"/>
      <c r="CD346" s="2870"/>
      <c r="CE346" s="2877"/>
      <c r="CF346" s="2875">
        <v>0</v>
      </c>
      <c r="CG346" s="2869"/>
      <c r="CH346" s="2870"/>
      <c r="CI346" s="2870"/>
      <c r="CJ346" s="2870"/>
      <c r="CK346" s="2870"/>
      <c r="CL346" s="2877"/>
      <c r="CM346" s="2875">
        <v>0</v>
      </c>
      <c r="CN346" s="2872"/>
      <c r="CO346" s="2870"/>
      <c r="CP346" s="2870"/>
      <c r="CQ346" s="2870"/>
      <c r="CR346" s="2870"/>
      <c r="CS346" s="2877">
        <v>0</v>
      </c>
      <c r="CT346" s="2875">
        <v>0</v>
      </c>
      <c r="CU346" s="2878"/>
      <c r="CV346" s="2870"/>
      <c r="CW346" s="2870"/>
      <c r="CX346" s="2870"/>
      <c r="CY346" s="2870"/>
      <c r="CZ346" s="2879"/>
      <c r="DA346" s="2875"/>
      <c r="DJ346" s="1611" t="s">
        <v>1717</v>
      </c>
      <c r="DK346" s="2782" t="s">
        <v>1667</v>
      </c>
      <c r="DM346" s="1650">
        <v>0</v>
      </c>
    </row>
    <row r="347" spans="1:117" ht="21" customHeight="1">
      <c r="A347" s="1652">
        <v>1</v>
      </c>
      <c r="B347" s="1644"/>
      <c r="C347" s="1662"/>
      <c r="D347" s="1648"/>
      <c r="E347" s="1648"/>
      <c r="F347" s="1648"/>
      <c r="G347" s="1648"/>
      <c r="H347" s="1648"/>
      <c r="I347" s="1648"/>
      <c r="J347" s="1649"/>
      <c r="K347" s="1648"/>
      <c r="L347" s="1648"/>
      <c r="M347" s="1648"/>
      <c r="N347" s="1642"/>
      <c r="O347" s="2876"/>
      <c r="P347" s="2870"/>
      <c r="Q347" s="2870"/>
      <c r="R347" s="2870"/>
      <c r="S347" s="2870"/>
      <c r="T347" s="2870"/>
      <c r="U347" s="2875">
        <v>0</v>
      </c>
      <c r="V347" s="2869"/>
      <c r="W347" s="2870"/>
      <c r="X347" s="2870"/>
      <c r="Y347" s="2870"/>
      <c r="Z347" s="2870"/>
      <c r="AA347" s="2877"/>
      <c r="AB347" s="2875">
        <v>0</v>
      </c>
      <c r="AC347" s="2869"/>
      <c r="AD347" s="2870"/>
      <c r="AE347" s="2870"/>
      <c r="AF347" s="2870"/>
      <c r="AG347" s="2870"/>
      <c r="AH347" s="2877"/>
      <c r="AI347" s="2875">
        <v>0</v>
      </c>
      <c r="AJ347" s="2869"/>
      <c r="AK347" s="2870"/>
      <c r="AL347" s="2870"/>
      <c r="AM347" s="2870"/>
      <c r="AN347" s="2870"/>
      <c r="AO347" s="2877"/>
      <c r="AP347" s="2875">
        <v>0</v>
      </c>
      <c r="AQ347" s="2869"/>
      <c r="AR347" s="2870"/>
      <c r="AS347" s="2870"/>
      <c r="AT347" s="2870"/>
      <c r="AU347" s="2870"/>
      <c r="AV347" s="2877"/>
      <c r="AW347" s="2875">
        <v>0</v>
      </c>
      <c r="AX347" s="2869"/>
      <c r="AY347" s="2870"/>
      <c r="AZ347" s="2870"/>
      <c r="BA347" s="2870"/>
      <c r="BB347" s="2870"/>
      <c r="BC347" s="2877"/>
      <c r="BD347" s="2875">
        <v>0</v>
      </c>
      <c r="BE347" s="2869"/>
      <c r="BF347" s="2870"/>
      <c r="BG347" s="2870"/>
      <c r="BH347" s="2870"/>
      <c r="BI347" s="2870"/>
      <c r="BJ347" s="2877"/>
      <c r="BK347" s="2875">
        <v>0</v>
      </c>
      <c r="BL347" s="2869"/>
      <c r="BM347" s="2870"/>
      <c r="BN347" s="2870"/>
      <c r="BO347" s="2870"/>
      <c r="BP347" s="2870"/>
      <c r="BQ347" s="2877"/>
      <c r="BR347" s="2875">
        <v>0</v>
      </c>
      <c r="BS347" s="2869"/>
      <c r="BT347" s="2870"/>
      <c r="BU347" s="2870"/>
      <c r="BV347" s="2870"/>
      <c r="BW347" s="2870"/>
      <c r="BX347" s="2877"/>
      <c r="BY347" s="2875">
        <v>0</v>
      </c>
      <c r="BZ347" s="2869"/>
      <c r="CA347" s="2870"/>
      <c r="CB347" s="2870"/>
      <c r="CC347" s="2870"/>
      <c r="CD347" s="2870"/>
      <c r="CE347" s="2877"/>
      <c r="CF347" s="2875">
        <v>0</v>
      </c>
      <c r="CG347" s="2869"/>
      <c r="CH347" s="2870"/>
      <c r="CI347" s="2870"/>
      <c r="CJ347" s="2870"/>
      <c r="CK347" s="2870"/>
      <c r="CL347" s="2877"/>
      <c r="CM347" s="2875">
        <v>0</v>
      </c>
      <c r="CN347" s="2872"/>
      <c r="CO347" s="2870"/>
      <c r="CP347" s="2870"/>
      <c r="CQ347" s="2870"/>
      <c r="CR347" s="2870"/>
      <c r="CS347" s="2877">
        <v>0</v>
      </c>
      <c r="CT347" s="2875">
        <v>0</v>
      </c>
      <c r="CU347" s="2878">
        <v>0</v>
      </c>
      <c r="CV347" s="2870">
        <v>0</v>
      </c>
      <c r="CW347" s="2870">
        <v>0</v>
      </c>
      <c r="CX347" s="2870">
        <v>0</v>
      </c>
      <c r="CY347" s="2870">
        <v>0</v>
      </c>
      <c r="CZ347" s="2879">
        <v>0</v>
      </c>
      <c r="DA347" s="2875">
        <v>0</v>
      </c>
      <c r="DJ347" s="1611" t="e">
        <v>#N/A</v>
      </c>
      <c r="DK347" s="2782" t="e">
        <v>#N/A</v>
      </c>
      <c r="DM347" s="1650">
        <v>0</v>
      </c>
    </row>
    <row r="348" spans="1:117" ht="21" customHeight="1">
      <c r="A348" s="1652">
        <v>2</v>
      </c>
      <c r="B348" s="1644"/>
      <c r="C348" s="1662"/>
      <c r="D348" s="1648"/>
      <c r="E348" s="1648"/>
      <c r="F348" s="1648"/>
      <c r="G348" s="1648"/>
      <c r="H348" s="1648"/>
      <c r="I348" s="1648"/>
      <c r="J348" s="1649"/>
      <c r="K348" s="1648"/>
      <c r="L348" s="1648"/>
      <c r="M348" s="1648"/>
      <c r="N348" s="1642"/>
      <c r="O348" s="2876"/>
      <c r="P348" s="2870"/>
      <c r="Q348" s="2870"/>
      <c r="R348" s="2870"/>
      <c r="S348" s="2870"/>
      <c r="T348" s="2870"/>
      <c r="U348" s="2875">
        <v>0</v>
      </c>
      <c r="V348" s="2869"/>
      <c r="W348" s="2870"/>
      <c r="X348" s="2870"/>
      <c r="Y348" s="2870"/>
      <c r="Z348" s="2870"/>
      <c r="AA348" s="2877"/>
      <c r="AB348" s="2875">
        <v>0</v>
      </c>
      <c r="AC348" s="2869"/>
      <c r="AD348" s="2870"/>
      <c r="AE348" s="2870"/>
      <c r="AF348" s="2870"/>
      <c r="AG348" s="2870"/>
      <c r="AH348" s="2877"/>
      <c r="AI348" s="2875">
        <v>0</v>
      </c>
      <c r="AJ348" s="2869"/>
      <c r="AK348" s="2870"/>
      <c r="AL348" s="2870"/>
      <c r="AM348" s="2870"/>
      <c r="AN348" s="2870"/>
      <c r="AO348" s="2877"/>
      <c r="AP348" s="2875">
        <v>0</v>
      </c>
      <c r="AQ348" s="2869"/>
      <c r="AR348" s="2870"/>
      <c r="AS348" s="2870"/>
      <c r="AT348" s="2870"/>
      <c r="AU348" s="2870"/>
      <c r="AV348" s="2877"/>
      <c r="AW348" s="2875">
        <v>0</v>
      </c>
      <c r="AX348" s="2869"/>
      <c r="AY348" s="2870"/>
      <c r="AZ348" s="2870"/>
      <c r="BA348" s="2870"/>
      <c r="BB348" s="2870"/>
      <c r="BC348" s="2877"/>
      <c r="BD348" s="2875">
        <v>0</v>
      </c>
      <c r="BE348" s="2869"/>
      <c r="BF348" s="2870"/>
      <c r="BG348" s="2870"/>
      <c r="BH348" s="2870"/>
      <c r="BI348" s="2870"/>
      <c r="BJ348" s="2877"/>
      <c r="BK348" s="2875">
        <v>0</v>
      </c>
      <c r="BL348" s="2869"/>
      <c r="BM348" s="2870"/>
      <c r="BN348" s="2870"/>
      <c r="BO348" s="2870"/>
      <c r="BP348" s="2870"/>
      <c r="BQ348" s="2877"/>
      <c r="BR348" s="2875">
        <v>0</v>
      </c>
      <c r="BS348" s="2869"/>
      <c r="BT348" s="2870"/>
      <c r="BU348" s="2870"/>
      <c r="BV348" s="2870"/>
      <c r="BW348" s="2870"/>
      <c r="BX348" s="2877"/>
      <c r="BY348" s="2875">
        <v>0</v>
      </c>
      <c r="BZ348" s="2869"/>
      <c r="CA348" s="2870"/>
      <c r="CB348" s="2870"/>
      <c r="CC348" s="2870"/>
      <c r="CD348" s="2870"/>
      <c r="CE348" s="2877"/>
      <c r="CF348" s="2875">
        <v>0</v>
      </c>
      <c r="CG348" s="2869"/>
      <c r="CH348" s="2870"/>
      <c r="CI348" s="2870"/>
      <c r="CJ348" s="2870"/>
      <c r="CK348" s="2870"/>
      <c r="CL348" s="2877"/>
      <c r="CM348" s="2875">
        <v>0</v>
      </c>
      <c r="CN348" s="2872"/>
      <c r="CO348" s="2870"/>
      <c r="CP348" s="2870"/>
      <c r="CQ348" s="2870"/>
      <c r="CR348" s="2870"/>
      <c r="CS348" s="2877"/>
      <c r="CT348" s="2875">
        <v>0</v>
      </c>
      <c r="CU348" s="2878">
        <v>0</v>
      </c>
      <c r="CV348" s="2870">
        <v>0</v>
      </c>
      <c r="CW348" s="2870">
        <v>0</v>
      </c>
      <c r="CX348" s="2870">
        <v>0</v>
      </c>
      <c r="CY348" s="2870">
        <v>0</v>
      </c>
      <c r="CZ348" s="2879">
        <v>0</v>
      </c>
      <c r="DA348" s="2875">
        <v>0</v>
      </c>
      <c r="DJ348" s="1611" t="e">
        <v>#N/A</v>
      </c>
      <c r="DK348" s="2782" t="e">
        <v>#N/A</v>
      </c>
      <c r="DM348" s="1650">
        <v>0</v>
      </c>
    </row>
    <row r="349" spans="1:117" s="1727" customFormat="1" ht="21" customHeight="1">
      <c r="A349" s="1637"/>
      <c r="B349" s="1638" t="s">
        <v>1855</v>
      </c>
      <c r="C349" s="1643"/>
      <c r="D349" s="1641"/>
      <c r="E349" s="1641"/>
      <c r="F349" s="1641"/>
      <c r="G349" s="1641"/>
      <c r="H349" s="1641"/>
      <c r="I349" s="1641"/>
      <c r="J349" s="1649"/>
      <c r="K349" s="1641"/>
      <c r="L349" s="1641"/>
      <c r="M349" s="1641"/>
      <c r="N349" s="1671"/>
      <c r="O349" s="2876">
        <v>0</v>
      </c>
      <c r="P349" s="2874">
        <v>0</v>
      </c>
      <c r="Q349" s="2874">
        <v>0</v>
      </c>
      <c r="R349" s="2874">
        <v>0</v>
      </c>
      <c r="S349" s="2874"/>
      <c r="T349" s="2879">
        <v>0</v>
      </c>
      <c r="U349" s="2875">
        <v>0</v>
      </c>
      <c r="V349" s="2876">
        <v>0</v>
      </c>
      <c r="W349" s="2874">
        <v>0</v>
      </c>
      <c r="X349" s="2874">
        <v>0</v>
      </c>
      <c r="Y349" s="2874">
        <v>0</v>
      </c>
      <c r="Z349" s="2874">
        <v>0</v>
      </c>
      <c r="AA349" s="2879">
        <v>0</v>
      </c>
      <c r="AB349" s="2875">
        <v>0</v>
      </c>
      <c r="AC349" s="2876">
        <v>0</v>
      </c>
      <c r="AD349" s="2874">
        <v>0</v>
      </c>
      <c r="AE349" s="2874">
        <v>0</v>
      </c>
      <c r="AF349" s="2874">
        <v>0</v>
      </c>
      <c r="AG349" s="2874">
        <v>0</v>
      </c>
      <c r="AH349" s="2879">
        <v>0</v>
      </c>
      <c r="AI349" s="2875">
        <v>0</v>
      </c>
      <c r="AJ349" s="2876">
        <v>0</v>
      </c>
      <c r="AK349" s="2874">
        <v>0</v>
      </c>
      <c r="AL349" s="2874">
        <v>0</v>
      </c>
      <c r="AM349" s="2874">
        <v>0</v>
      </c>
      <c r="AN349" s="2874">
        <v>0</v>
      </c>
      <c r="AO349" s="2879">
        <v>0</v>
      </c>
      <c r="AP349" s="2875">
        <v>0</v>
      </c>
      <c r="AQ349" s="2876"/>
      <c r="AR349" s="2874"/>
      <c r="AS349" s="2874"/>
      <c r="AT349" s="2874"/>
      <c r="AU349" s="2874"/>
      <c r="AV349" s="2879">
        <v>0</v>
      </c>
      <c r="AW349" s="2875">
        <v>0</v>
      </c>
      <c r="AX349" s="2876"/>
      <c r="AY349" s="2874"/>
      <c r="AZ349" s="2874"/>
      <c r="BA349" s="2874"/>
      <c r="BB349" s="2874"/>
      <c r="BC349" s="2879">
        <v>0</v>
      </c>
      <c r="BD349" s="2875">
        <v>0</v>
      </c>
      <c r="BE349" s="2876"/>
      <c r="BF349" s="2874"/>
      <c r="BG349" s="2874"/>
      <c r="BH349" s="2874"/>
      <c r="BI349" s="2874"/>
      <c r="BJ349" s="2879">
        <v>0</v>
      </c>
      <c r="BK349" s="2875">
        <v>0</v>
      </c>
      <c r="BL349" s="2876"/>
      <c r="BM349" s="2874"/>
      <c r="BN349" s="2874"/>
      <c r="BO349" s="2874"/>
      <c r="BP349" s="2874"/>
      <c r="BQ349" s="2879">
        <v>0</v>
      </c>
      <c r="BR349" s="2875">
        <v>0</v>
      </c>
      <c r="BS349" s="2876"/>
      <c r="BT349" s="2874"/>
      <c r="BU349" s="2874"/>
      <c r="BV349" s="2874"/>
      <c r="BW349" s="2874"/>
      <c r="BX349" s="2879">
        <v>0</v>
      </c>
      <c r="BY349" s="2875">
        <v>0</v>
      </c>
      <c r="BZ349" s="2876"/>
      <c r="CA349" s="2874"/>
      <c r="CB349" s="2874"/>
      <c r="CC349" s="2874"/>
      <c r="CD349" s="2874"/>
      <c r="CE349" s="2879">
        <v>0</v>
      </c>
      <c r="CF349" s="2875">
        <v>0</v>
      </c>
      <c r="CG349" s="2876"/>
      <c r="CH349" s="2874"/>
      <c r="CI349" s="2874"/>
      <c r="CJ349" s="2874"/>
      <c r="CK349" s="2874"/>
      <c r="CL349" s="2879">
        <v>0</v>
      </c>
      <c r="CM349" s="2875">
        <v>0</v>
      </c>
      <c r="CN349" s="2880">
        <v>0</v>
      </c>
      <c r="CO349" s="2874">
        <v>0</v>
      </c>
      <c r="CP349" s="2874">
        <v>0</v>
      </c>
      <c r="CQ349" s="2874">
        <v>0</v>
      </c>
      <c r="CR349" s="2874">
        <v>0</v>
      </c>
      <c r="CS349" s="2879">
        <v>0</v>
      </c>
      <c r="CT349" s="2875">
        <v>0</v>
      </c>
      <c r="CU349" s="2881">
        <v>0</v>
      </c>
      <c r="CV349" s="2874">
        <v>0</v>
      </c>
      <c r="CW349" s="2874">
        <v>0</v>
      </c>
      <c r="CX349" s="2874">
        <v>0</v>
      </c>
      <c r="CY349" s="2874">
        <v>0</v>
      </c>
      <c r="CZ349" s="2879">
        <v>0</v>
      </c>
      <c r="DA349" s="2875">
        <v>0</v>
      </c>
      <c r="DB349" s="1609"/>
      <c r="DD349" s="1625"/>
      <c r="DJ349" s="1611" t="e">
        <v>#N/A</v>
      </c>
      <c r="DK349" s="2782" t="e">
        <v>#N/A</v>
      </c>
      <c r="DM349" s="1650">
        <v>0</v>
      </c>
    </row>
    <row r="350" spans="1:117" ht="21" customHeight="1">
      <c r="A350" s="1652"/>
      <c r="B350" s="1644"/>
      <c r="C350" s="1662"/>
      <c r="D350" s="1648"/>
      <c r="E350" s="1648"/>
      <c r="F350" s="1648"/>
      <c r="G350" s="1648"/>
      <c r="H350" s="1648"/>
      <c r="I350" s="1648"/>
      <c r="J350" s="1649"/>
      <c r="K350" s="1648"/>
      <c r="L350" s="1648"/>
      <c r="M350" s="1648"/>
      <c r="N350" s="1642"/>
      <c r="O350" s="2876"/>
      <c r="P350" s="2870"/>
      <c r="Q350" s="2870"/>
      <c r="R350" s="2870"/>
      <c r="S350" s="2870"/>
      <c r="T350" s="2870"/>
      <c r="U350" s="2875"/>
      <c r="V350" s="2869"/>
      <c r="W350" s="2870"/>
      <c r="X350" s="2870"/>
      <c r="Y350" s="2870"/>
      <c r="Z350" s="2870"/>
      <c r="AA350" s="2877"/>
      <c r="AB350" s="2875">
        <v>0</v>
      </c>
      <c r="AC350" s="2869"/>
      <c r="AD350" s="2870"/>
      <c r="AE350" s="2870"/>
      <c r="AF350" s="2870"/>
      <c r="AG350" s="2870"/>
      <c r="AH350" s="2877"/>
      <c r="AI350" s="2875"/>
      <c r="AJ350" s="2869"/>
      <c r="AK350" s="2870"/>
      <c r="AL350" s="2870"/>
      <c r="AM350" s="2870"/>
      <c r="AN350" s="2870"/>
      <c r="AO350" s="2877"/>
      <c r="AP350" s="2875"/>
      <c r="AQ350" s="2869"/>
      <c r="AR350" s="2870"/>
      <c r="AS350" s="2870"/>
      <c r="AT350" s="2870"/>
      <c r="AU350" s="2870"/>
      <c r="AV350" s="2877"/>
      <c r="AW350" s="2875"/>
      <c r="AX350" s="2869"/>
      <c r="AY350" s="2870"/>
      <c r="AZ350" s="2870"/>
      <c r="BA350" s="2870"/>
      <c r="BB350" s="2870"/>
      <c r="BC350" s="2877"/>
      <c r="BD350" s="2875"/>
      <c r="BE350" s="2869"/>
      <c r="BF350" s="2870"/>
      <c r="BG350" s="2870"/>
      <c r="BH350" s="2870"/>
      <c r="BI350" s="2870"/>
      <c r="BJ350" s="2877"/>
      <c r="BK350" s="2875"/>
      <c r="BL350" s="2869"/>
      <c r="BM350" s="2870"/>
      <c r="BN350" s="2870"/>
      <c r="BO350" s="2870"/>
      <c r="BP350" s="2870"/>
      <c r="BQ350" s="2877"/>
      <c r="BR350" s="2875"/>
      <c r="BS350" s="2869"/>
      <c r="BT350" s="2870"/>
      <c r="BU350" s="2870"/>
      <c r="BV350" s="2870"/>
      <c r="BW350" s="2870"/>
      <c r="BX350" s="2877"/>
      <c r="BY350" s="2875"/>
      <c r="BZ350" s="2869"/>
      <c r="CA350" s="2870"/>
      <c r="CB350" s="2870"/>
      <c r="CC350" s="2870"/>
      <c r="CD350" s="2870"/>
      <c r="CE350" s="2877"/>
      <c r="CF350" s="2875"/>
      <c r="CG350" s="2869"/>
      <c r="CH350" s="2870"/>
      <c r="CI350" s="2870"/>
      <c r="CJ350" s="2870"/>
      <c r="CK350" s="2870"/>
      <c r="CL350" s="2877"/>
      <c r="CM350" s="2875"/>
      <c r="CN350" s="2872"/>
      <c r="CO350" s="2870"/>
      <c r="CP350" s="2870"/>
      <c r="CQ350" s="2870"/>
      <c r="CR350" s="2870"/>
      <c r="CS350" s="2877"/>
      <c r="CT350" s="2875"/>
      <c r="CU350" s="2878"/>
      <c r="CV350" s="2870"/>
      <c r="CW350" s="2870"/>
      <c r="CX350" s="2870"/>
      <c r="CY350" s="2870"/>
      <c r="CZ350" s="2879"/>
      <c r="DA350" s="2875"/>
      <c r="DJ350" s="1611" t="e">
        <v>#N/A</v>
      </c>
      <c r="DK350" s="2782" t="e">
        <v>#N/A</v>
      </c>
      <c r="DM350" s="1650">
        <v>0</v>
      </c>
    </row>
    <row r="351" spans="1:117" ht="21" customHeight="1">
      <c r="A351" s="1637" t="s">
        <v>153</v>
      </c>
      <c r="B351" s="1638" t="s">
        <v>1999</v>
      </c>
      <c r="C351" s="1662"/>
      <c r="D351" s="1648"/>
      <c r="E351" s="1648"/>
      <c r="F351" s="1648"/>
      <c r="G351" s="1648"/>
      <c r="H351" s="1648"/>
      <c r="I351" s="1648"/>
      <c r="J351" s="1649"/>
      <c r="K351" s="1648"/>
      <c r="L351" s="1648"/>
      <c r="M351" s="1648"/>
      <c r="N351" s="1642"/>
      <c r="O351" s="2876"/>
      <c r="P351" s="2870"/>
      <c r="Q351" s="2870"/>
      <c r="R351" s="2870"/>
      <c r="S351" s="2870"/>
      <c r="T351" s="2870"/>
      <c r="U351" s="2875"/>
      <c r="V351" s="2869"/>
      <c r="W351" s="2870"/>
      <c r="X351" s="2870"/>
      <c r="Y351" s="2870"/>
      <c r="Z351" s="2870"/>
      <c r="AA351" s="2877">
        <v>0</v>
      </c>
      <c r="AB351" s="2875">
        <v>0</v>
      </c>
      <c r="AC351" s="2869"/>
      <c r="AD351" s="2870"/>
      <c r="AE351" s="2870"/>
      <c r="AF351" s="2870"/>
      <c r="AG351" s="2870"/>
      <c r="AH351" s="2877">
        <v>0</v>
      </c>
      <c r="AI351" s="2875"/>
      <c r="AJ351" s="2869"/>
      <c r="AK351" s="2870"/>
      <c r="AL351" s="2870"/>
      <c r="AM351" s="2870"/>
      <c r="AN351" s="2870"/>
      <c r="AO351" s="2877">
        <v>0</v>
      </c>
      <c r="AP351" s="2875"/>
      <c r="AQ351" s="2869"/>
      <c r="AR351" s="2870"/>
      <c r="AS351" s="2870"/>
      <c r="AT351" s="2870"/>
      <c r="AU351" s="2870"/>
      <c r="AV351" s="2877">
        <v>0</v>
      </c>
      <c r="AW351" s="2875"/>
      <c r="AX351" s="2869"/>
      <c r="AY351" s="2870"/>
      <c r="AZ351" s="2870"/>
      <c r="BA351" s="2870"/>
      <c r="BB351" s="2870"/>
      <c r="BC351" s="2877">
        <v>0</v>
      </c>
      <c r="BD351" s="2875"/>
      <c r="BE351" s="2869"/>
      <c r="BF351" s="2870"/>
      <c r="BG351" s="2870"/>
      <c r="BH351" s="2870"/>
      <c r="BI351" s="2870"/>
      <c r="BJ351" s="2877">
        <v>0</v>
      </c>
      <c r="BK351" s="2875"/>
      <c r="BL351" s="2869"/>
      <c r="BM351" s="2870"/>
      <c r="BN351" s="2870"/>
      <c r="BO351" s="2870"/>
      <c r="BP351" s="2870"/>
      <c r="BQ351" s="2877">
        <v>0</v>
      </c>
      <c r="BR351" s="2875"/>
      <c r="BS351" s="2869"/>
      <c r="BT351" s="2870"/>
      <c r="BU351" s="2870"/>
      <c r="BV351" s="2870"/>
      <c r="BW351" s="2870"/>
      <c r="BX351" s="2877">
        <v>0</v>
      </c>
      <c r="BY351" s="2875"/>
      <c r="BZ351" s="2869"/>
      <c r="CA351" s="2870"/>
      <c r="CB351" s="2870"/>
      <c r="CC351" s="2870"/>
      <c r="CD351" s="2870"/>
      <c r="CE351" s="2877">
        <v>0</v>
      </c>
      <c r="CF351" s="2875"/>
      <c r="CG351" s="2869"/>
      <c r="CH351" s="2870"/>
      <c r="CI351" s="2870"/>
      <c r="CJ351" s="2870"/>
      <c r="CK351" s="2870"/>
      <c r="CL351" s="2877">
        <v>0</v>
      </c>
      <c r="CM351" s="2875"/>
      <c r="CN351" s="2872"/>
      <c r="CO351" s="2870"/>
      <c r="CP351" s="2870"/>
      <c r="CQ351" s="2870"/>
      <c r="CR351" s="2870"/>
      <c r="CS351" s="2877">
        <v>0</v>
      </c>
      <c r="CT351" s="2875"/>
      <c r="CU351" s="2878"/>
      <c r="CV351" s="2870"/>
      <c r="CW351" s="2870"/>
      <c r="CX351" s="2870"/>
      <c r="CY351" s="2870"/>
      <c r="CZ351" s="2879"/>
      <c r="DA351" s="2875"/>
      <c r="DJ351" s="1611" t="e">
        <v>#N/A</v>
      </c>
      <c r="DK351" s="2782" t="e">
        <v>#N/A</v>
      </c>
      <c r="DM351" s="1650">
        <v>0</v>
      </c>
    </row>
    <row r="352" spans="1:117" ht="21" customHeight="1">
      <c r="A352" s="1652">
        <v>1</v>
      </c>
      <c r="B352" s="1644"/>
      <c r="C352" s="1662"/>
      <c r="D352" s="1648"/>
      <c r="E352" s="1648"/>
      <c r="F352" s="1648"/>
      <c r="G352" s="1648"/>
      <c r="H352" s="1648"/>
      <c r="I352" s="1648"/>
      <c r="J352" s="1649"/>
      <c r="K352" s="1648"/>
      <c r="L352" s="1648"/>
      <c r="M352" s="1648"/>
      <c r="N352" s="1642"/>
      <c r="O352" s="2876"/>
      <c r="P352" s="2870"/>
      <c r="Q352" s="2870"/>
      <c r="R352" s="2870"/>
      <c r="S352" s="2870"/>
      <c r="T352" s="2870"/>
      <c r="U352" s="2875"/>
      <c r="V352" s="2869"/>
      <c r="W352" s="2870"/>
      <c r="X352" s="2870"/>
      <c r="Y352" s="2870"/>
      <c r="Z352" s="2870"/>
      <c r="AA352" s="2877"/>
      <c r="AB352" s="2875">
        <v>0</v>
      </c>
      <c r="AC352" s="2869"/>
      <c r="AD352" s="2870"/>
      <c r="AE352" s="2870"/>
      <c r="AF352" s="2870"/>
      <c r="AG352" s="2870"/>
      <c r="AH352" s="2877"/>
      <c r="AI352" s="2875"/>
      <c r="AJ352" s="2869"/>
      <c r="AK352" s="2870"/>
      <c r="AL352" s="2870"/>
      <c r="AM352" s="2870"/>
      <c r="AN352" s="2870"/>
      <c r="AO352" s="2877"/>
      <c r="AP352" s="2875"/>
      <c r="AQ352" s="2869"/>
      <c r="AR352" s="2870"/>
      <c r="AS352" s="2870"/>
      <c r="AT352" s="2870"/>
      <c r="AU352" s="2870"/>
      <c r="AV352" s="2877"/>
      <c r="AW352" s="2875"/>
      <c r="AX352" s="2869"/>
      <c r="AY352" s="2870"/>
      <c r="AZ352" s="2870"/>
      <c r="BA352" s="2870"/>
      <c r="BB352" s="2870"/>
      <c r="BC352" s="2877"/>
      <c r="BD352" s="2875"/>
      <c r="BE352" s="2869"/>
      <c r="BF352" s="2870"/>
      <c r="BG352" s="2870"/>
      <c r="BH352" s="2870"/>
      <c r="BI352" s="2870"/>
      <c r="BJ352" s="2877"/>
      <c r="BK352" s="2875"/>
      <c r="BL352" s="2869"/>
      <c r="BM352" s="2870"/>
      <c r="BN352" s="2870"/>
      <c r="BO352" s="2870"/>
      <c r="BP352" s="2870"/>
      <c r="BQ352" s="2877"/>
      <c r="BR352" s="2875"/>
      <c r="BS352" s="2869"/>
      <c r="BT352" s="2870"/>
      <c r="BU352" s="2870"/>
      <c r="BV352" s="2870"/>
      <c r="BW352" s="2870"/>
      <c r="BX352" s="2877"/>
      <c r="BY352" s="2875"/>
      <c r="BZ352" s="2869"/>
      <c r="CA352" s="2870"/>
      <c r="CB352" s="2870"/>
      <c r="CC352" s="2870"/>
      <c r="CD352" s="2870"/>
      <c r="CE352" s="2877"/>
      <c r="CF352" s="2875"/>
      <c r="CG352" s="2869"/>
      <c r="CH352" s="2870"/>
      <c r="CI352" s="2870"/>
      <c r="CJ352" s="2870"/>
      <c r="CK352" s="2870"/>
      <c r="CL352" s="2877"/>
      <c r="CM352" s="2875"/>
      <c r="CN352" s="2872"/>
      <c r="CO352" s="2870"/>
      <c r="CP352" s="2870"/>
      <c r="CQ352" s="2870"/>
      <c r="CR352" s="2870"/>
      <c r="CS352" s="2877"/>
      <c r="CT352" s="2875"/>
      <c r="CU352" s="2878">
        <v>0</v>
      </c>
      <c r="CV352" s="2870">
        <v>0</v>
      </c>
      <c r="CW352" s="2870">
        <v>0</v>
      </c>
      <c r="CX352" s="2870">
        <v>0</v>
      </c>
      <c r="CY352" s="2870">
        <v>0</v>
      </c>
      <c r="CZ352" s="2879">
        <v>0</v>
      </c>
      <c r="DA352" s="2875">
        <v>0</v>
      </c>
      <c r="DJ352" s="1611" t="e">
        <v>#N/A</v>
      </c>
      <c r="DK352" s="2782" t="e">
        <v>#N/A</v>
      </c>
      <c r="DM352" s="1650">
        <v>0</v>
      </c>
    </row>
    <row r="353" spans="1:117" ht="21" customHeight="1">
      <c r="A353" s="1652">
        <v>2</v>
      </c>
      <c r="B353" s="1644"/>
      <c r="C353" s="1662"/>
      <c r="D353" s="1648"/>
      <c r="E353" s="1648"/>
      <c r="F353" s="1648"/>
      <c r="G353" s="1648"/>
      <c r="H353" s="1648"/>
      <c r="I353" s="1648"/>
      <c r="J353" s="1649"/>
      <c r="K353" s="1648"/>
      <c r="L353" s="1648"/>
      <c r="M353" s="1648"/>
      <c r="N353" s="1642"/>
      <c r="O353" s="2876"/>
      <c r="P353" s="2870"/>
      <c r="Q353" s="2870"/>
      <c r="R353" s="2870"/>
      <c r="S353" s="2870"/>
      <c r="T353" s="2870"/>
      <c r="U353" s="2875">
        <v>0</v>
      </c>
      <c r="V353" s="2869"/>
      <c r="W353" s="2870"/>
      <c r="X353" s="2870"/>
      <c r="Y353" s="2870"/>
      <c r="Z353" s="2870"/>
      <c r="AA353" s="2877"/>
      <c r="AB353" s="2875">
        <v>0</v>
      </c>
      <c r="AC353" s="2869"/>
      <c r="AD353" s="2870"/>
      <c r="AE353" s="2870"/>
      <c r="AF353" s="2870"/>
      <c r="AG353" s="2870"/>
      <c r="AH353" s="2877"/>
      <c r="AI353" s="2875">
        <v>0</v>
      </c>
      <c r="AJ353" s="2869"/>
      <c r="AK353" s="2870"/>
      <c r="AL353" s="2870"/>
      <c r="AM353" s="2870"/>
      <c r="AN353" s="2870"/>
      <c r="AO353" s="2877"/>
      <c r="AP353" s="2875">
        <v>0</v>
      </c>
      <c r="AQ353" s="2869"/>
      <c r="AR353" s="2870"/>
      <c r="AS353" s="2870"/>
      <c r="AT353" s="2870"/>
      <c r="AU353" s="2870"/>
      <c r="AV353" s="2877"/>
      <c r="AW353" s="2875">
        <v>0</v>
      </c>
      <c r="AX353" s="2869"/>
      <c r="AY353" s="2870"/>
      <c r="AZ353" s="2870"/>
      <c r="BA353" s="2870"/>
      <c r="BB353" s="2870"/>
      <c r="BC353" s="2877"/>
      <c r="BD353" s="2875">
        <v>0</v>
      </c>
      <c r="BE353" s="2869"/>
      <c r="BF353" s="2870"/>
      <c r="BG353" s="2870"/>
      <c r="BH353" s="2870"/>
      <c r="BI353" s="2870"/>
      <c r="BJ353" s="2877"/>
      <c r="BK353" s="2875">
        <v>0</v>
      </c>
      <c r="BL353" s="2869"/>
      <c r="BM353" s="2870"/>
      <c r="BN353" s="2870"/>
      <c r="BO353" s="2870"/>
      <c r="BP353" s="2870"/>
      <c r="BQ353" s="2877"/>
      <c r="BR353" s="2875">
        <v>0</v>
      </c>
      <c r="BS353" s="2869"/>
      <c r="BT353" s="2870"/>
      <c r="BU353" s="2870"/>
      <c r="BV353" s="2870"/>
      <c r="BW353" s="2870"/>
      <c r="BX353" s="2877"/>
      <c r="BY353" s="2875">
        <v>0</v>
      </c>
      <c r="BZ353" s="2869"/>
      <c r="CA353" s="2870"/>
      <c r="CB353" s="2870"/>
      <c r="CC353" s="2870"/>
      <c r="CD353" s="2870"/>
      <c r="CE353" s="2877"/>
      <c r="CF353" s="2875">
        <v>0</v>
      </c>
      <c r="CG353" s="2869"/>
      <c r="CH353" s="2870"/>
      <c r="CI353" s="2870"/>
      <c r="CJ353" s="2870"/>
      <c r="CK353" s="2870"/>
      <c r="CL353" s="2877"/>
      <c r="CM353" s="2875">
        <v>0</v>
      </c>
      <c r="CN353" s="2872"/>
      <c r="CO353" s="2870"/>
      <c r="CP353" s="2870"/>
      <c r="CQ353" s="2870"/>
      <c r="CR353" s="2870"/>
      <c r="CS353" s="2877"/>
      <c r="CT353" s="2875">
        <v>0</v>
      </c>
      <c r="CU353" s="2878">
        <v>0</v>
      </c>
      <c r="CV353" s="2870">
        <v>0</v>
      </c>
      <c r="CW353" s="2870">
        <v>0</v>
      </c>
      <c r="CX353" s="2870">
        <v>0</v>
      </c>
      <c r="CY353" s="2870">
        <v>0</v>
      </c>
      <c r="CZ353" s="2879">
        <v>0</v>
      </c>
      <c r="DA353" s="2875">
        <v>0</v>
      </c>
      <c r="DJ353" s="1611" t="e">
        <v>#N/A</v>
      </c>
      <c r="DK353" s="2782" t="e">
        <v>#N/A</v>
      </c>
      <c r="DM353" s="1650">
        <v>0</v>
      </c>
    </row>
    <row r="354" spans="1:117" ht="21" customHeight="1">
      <c r="A354" s="1652"/>
      <c r="B354" s="1644"/>
      <c r="C354" s="1662"/>
      <c r="D354" s="1648"/>
      <c r="E354" s="1648"/>
      <c r="F354" s="1648"/>
      <c r="G354" s="1648"/>
      <c r="H354" s="1648"/>
      <c r="I354" s="1641"/>
      <c r="J354" s="1649"/>
      <c r="K354" s="1648"/>
      <c r="L354" s="1648"/>
      <c r="M354" s="1648"/>
      <c r="N354" s="1671"/>
      <c r="O354" s="2876"/>
      <c r="P354" s="2874"/>
      <c r="Q354" s="2874"/>
      <c r="R354" s="2870"/>
      <c r="S354" s="2870"/>
      <c r="T354" s="2870"/>
      <c r="U354" s="2875"/>
      <c r="V354" s="2876"/>
      <c r="W354" s="2874"/>
      <c r="X354" s="2874"/>
      <c r="Y354" s="2870"/>
      <c r="Z354" s="2870"/>
      <c r="AA354" s="2877">
        <v>0</v>
      </c>
      <c r="AB354" s="2875">
        <v>0</v>
      </c>
      <c r="AC354" s="2876"/>
      <c r="AD354" s="2874"/>
      <c r="AE354" s="2874"/>
      <c r="AF354" s="2870"/>
      <c r="AG354" s="2870"/>
      <c r="AH354" s="2877">
        <v>0</v>
      </c>
      <c r="AI354" s="2875"/>
      <c r="AJ354" s="2876"/>
      <c r="AK354" s="2874"/>
      <c r="AL354" s="2874"/>
      <c r="AM354" s="2870"/>
      <c r="AN354" s="2870"/>
      <c r="AO354" s="2877">
        <v>0</v>
      </c>
      <c r="AP354" s="2875"/>
      <c r="AQ354" s="2876"/>
      <c r="AR354" s="2874"/>
      <c r="AS354" s="2874"/>
      <c r="AT354" s="2870"/>
      <c r="AU354" s="2870"/>
      <c r="AV354" s="2877">
        <v>0</v>
      </c>
      <c r="AW354" s="2875"/>
      <c r="AX354" s="2876"/>
      <c r="AY354" s="2874"/>
      <c r="AZ354" s="2874"/>
      <c r="BA354" s="2870"/>
      <c r="BB354" s="2870"/>
      <c r="BC354" s="2877">
        <v>0</v>
      </c>
      <c r="BD354" s="2875"/>
      <c r="BE354" s="2876"/>
      <c r="BF354" s="2874"/>
      <c r="BG354" s="2874"/>
      <c r="BH354" s="2870"/>
      <c r="BI354" s="2870"/>
      <c r="BJ354" s="2877">
        <v>0</v>
      </c>
      <c r="BK354" s="2875"/>
      <c r="BL354" s="2876"/>
      <c r="BM354" s="2874"/>
      <c r="BN354" s="2874"/>
      <c r="BO354" s="2870"/>
      <c r="BP354" s="2870"/>
      <c r="BQ354" s="2877">
        <v>0</v>
      </c>
      <c r="BR354" s="2875"/>
      <c r="BS354" s="2876"/>
      <c r="BT354" s="2874"/>
      <c r="BU354" s="2874"/>
      <c r="BV354" s="2870"/>
      <c r="BW354" s="2870"/>
      <c r="BX354" s="2877">
        <v>0</v>
      </c>
      <c r="BY354" s="2875"/>
      <c r="BZ354" s="2876"/>
      <c r="CA354" s="2874"/>
      <c r="CB354" s="2874"/>
      <c r="CC354" s="2870"/>
      <c r="CD354" s="2870"/>
      <c r="CE354" s="2877">
        <v>0</v>
      </c>
      <c r="CF354" s="2875"/>
      <c r="CG354" s="2876"/>
      <c r="CH354" s="2874"/>
      <c r="CI354" s="2874"/>
      <c r="CJ354" s="2870"/>
      <c r="CK354" s="2870"/>
      <c r="CL354" s="2877">
        <v>0</v>
      </c>
      <c r="CM354" s="2875"/>
      <c r="CN354" s="2880"/>
      <c r="CO354" s="2874"/>
      <c r="CP354" s="2874"/>
      <c r="CQ354" s="2870"/>
      <c r="CR354" s="2870"/>
      <c r="CS354" s="2877">
        <v>0</v>
      </c>
      <c r="CT354" s="2875"/>
      <c r="CU354" s="2878">
        <v>0</v>
      </c>
      <c r="CV354" s="2870">
        <v>0</v>
      </c>
      <c r="CW354" s="2870">
        <v>0</v>
      </c>
      <c r="CX354" s="2870">
        <v>0</v>
      </c>
      <c r="CY354" s="2870">
        <v>0</v>
      </c>
      <c r="CZ354" s="2879">
        <v>0</v>
      </c>
      <c r="DA354" s="2875">
        <v>0</v>
      </c>
      <c r="DJ354" s="1611" t="e">
        <v>#N/A</v>
      </c>
      <c r="DK354" s="2782" t="e">
        <v>#N/A</v>
      </c>
      <c r="DM354" s="1650">
        <v>0</v>
      </c>
    </row>
    <row r="355" spans="1:117" s="1727" customFormat="1" ht="21" customHeight="1">
      <c r="A355" s="1637"/>
      <c r="B355" s="1638" t="s">
        <v>211</v>
      </c>
      <c r="C355" s="1643"/>
      <c r="D355" s="1641"/>
      <c r="E355" s="1641"/>
      <c r="F355" s="1641"/>
      <c r="G355" s="1641"/>
      <c r="H355" s="1641"/>
      <c r="I355" s="1641"/>
      <c r="J355" s="1649"/>
      <c r="K355" s="1641"/>
      <c r="L355" s="1641"/>
      <c r="M355" s="1641"/>
      <c r="N355" s="1671"/>
      <c r="O355" s="2876">
        <v>0</v>
      </c>
      <c r="P355" s="2874">
        <v>0</v>
      </c>
      <c r="Q355" s="2874">
        <v>0</v>
      </c>
      <c r="R355" s="2874">
        <v>0</v>
      </c>
      <c r="S355" s="2874"/>
      <c r="T355" s="2879">
        <v>0</v>
      </c>
      <c r="U355" s="2875">
        <v>0</v>
      </c>
      <c r="V355" s="2876">
        <v>0</v>
      </c>
      <c r="W355" s="2874">
        <v>0</v>
      </c>
      <c r="X355" s="2874">
        <v>0</v>
      </c>
      <c r="Y355" s="2874">
        <v>0</v>
      </c>
      <c r="Z355" s="2874">
        <v>0</v>
      </c>
      <c r="AA355" s="2879">
        <v>0</v>
      </c>
      <c r="AB355" s="2875">
        <v>0</v>
      </c>
      <c r="AC355" s="2876">
        <v>0</v>
      </c>
      <c r="AD355" s="2874">
        <v>0</v>
      </c>
      <c r="AE355" s="2874">
        <v>0</v>
      </c>
      <c r="AF355" s="2874">
        <v>0</v>
      </c>
      <c r="AG355" s="2874">
        <v>0</v>
      </c>
      <c r="AH355" s="2879">
        <v>0</v>
      </c>
      <c r="AI355" s="2875">
        <v>0</v>
      </c>
      <c r="AJ355" s="2876">
        <v>0</v>
      </c>
      <c r="AK355" s="2874">
        <v>0</v>
      </c>
      <c r="AL355" s="2874">
        <v>0</v>
      </c>
      <c r="AM355" s="2874">
        <v>0</v>
      </c>
      <c r="AN355" s="2874">
        <v>0</v>
      </c>
      <c r="AO355" s="2879">
        <v>0</v>
      </c>
      <c r="AP355" s="2875">
        <v>0</v>
      </c>
      <c r="AQ355" s="2876"/>
      <c r="AR355" s="2874"/>
      <c r="AS355" s="2874"/>
      <c r="AT355" s="2874"/>
      <c r="AU355" s="2874"/>
      <c r="AV355" s="2879">
        <v>0</v>
      </c>
      <c r="AW355" s="2875"/>
      <c r="AX355" s="2876"/>
      <c r="AY355" s="2874"/>
      <c r="AZ355" s="2874"/>
      <c r="BA355" s="2874"/>
      <c r="BB355" s="2874"/>
      <c r="BC355" s="2879">
        <v>0</v>
      </c>
      <c r="BD355" s="2875"/>
      <c r="BE355" s="2876"/>
      <c r="BF355" s="2874"/>
      <c r="BG355" s="2874"/>
      <c r="BH355" s="2874"/>
      <c r="BI355" s="2874"/>
      <c r="BJ355" s="2879">
        <v>0</v>
      </c>
      <c r="BK355" s="2875"/>
      <c r="BL355" s="2876"/>
      <c r="BM355" s="2874"/>
      <c r="BN355" s="2874"/>
      <c r="BO355" s="2874"/>
      <c r="BP355" s="2874"/>
      <c r="BQ355" s="2879">
        <v>0</v>
      </c>
      <c r="BR355" s="2875"/>
      <c r="BS355" s="2876"/>
      <c r="BT355" s="2874"/>
      <c r="BU355" s="2874"/>
      <c r="BV355" s="2874"/>
      <c r="BW355" s="2874"/>
      <c r="BX355" s="2879">
        <v>0</v>
      </c>
      <c r="BY355" s="2875"/>
      <c r="BZ355" s="2876"/>
      <c r="CA355" s="2874"/>
      <c r="CB355" s="2874"/>
      <c r="CC355" s="2874"/>
      <c r="CD355" s="2874"/>
      <c r="CE355" s="2879">
        <v>0</v>
      </c>
      <c r="CF355" s="2875"/>
      <c r="CG355" s="2876"/>
      <c r="CH355" s="2874"/>
      <c r="CI355" s="2874"/>
      <c r="CJ355" s="2874"/>
      <c r="CK355" s="2874"/>
      <c r="CL355" s="2879">
        <v>0</v>
      </c>
      <c r="CM355" s="2875"/>
      <c r="CN355" s="2880">
        <v>0</v>
      </c>
      <c r="CO355" s="2874">
        <v>0</v>
      </c>
      <c r="CP355" s="2874">
        <v>0</v>
      </c>
      <c r="CQ355" s="2874">
        <v>0</v>
      </c>
      <c r="CR355" s="2874">
        <v>0</v>
      </c>
      <c r="CS355" s="2879">
        <v>0</v>
      </c>
      <c r="CT355" s="2875">
        <v>0</v>
      </c>
      <c r="CU355" s="2881">
        <v>0</v>
      </c>
      <c r="CV355" s="2874">
        <v>0</v>
      </c>
      <c r="CW355" s="2874">
        <v>0</v>
      </c>
      <c r="CX355" s="2874">
        <v>0</v>
      </c>
      <c r="CY355" s="2874">
        <v>0</v>
      </c>
      <c r="CZ355" s="2879">
        <v>0</v>
      </c>
      <c r="DA355" s="2875">
        <v>0</v>
      </c>
      <c r="DB355" s="1609"/>
      <c r="DD355" s="1625"/>
      <c r="DJ355" s="1611" t="e">
        <v>#N/A</v>
      </c>
      <c r="DK355" s="2782">
        <v>0</v>
      </c>
      <c r="DM355" s="1650">
        <v>0</v>
      </c>
    </row>
    <row r="356" spans="1:117" ht="21" customHeight="1">
      <c r="A356" s="1637"/>
      <c r="B356" s="1644"/>
      <c r="C356" s="1662"/>
      <c r="D356" s="1648"/>
      <c r="E356" s="1648"/>
      <c r="F356" s="1648"/>
      <c r="G356" s="1648"/>
      <c r="H356" s="1648"/>
      <c r="I356" s="1648"/>
      <c r="J356" s="1663"/>
      <c r="K356" s="1648"/>
      <c r="L356" s="1648"/>
      <c r="M356" s="1648"/>
      <c r="N356" s="1642"/>
      <c r="O356" s="2876"/>
      <c r="P356" s="2870"/>
      <c r="Q356" s="2870"/>
      <c r="R356" s="2870"/>
      <c r="S356" s="2870"/>
      <c r="T356" s="2870"/>
      <c r="U356" s="2875"/>
      <c r="V356" s="2869"/>
      <c r="W356" s="2870"/>
      <c r="X356" s="2870"/>
      <c r="Y356" s="2870"/>
      <c r="Z356" s="2870"/>
      <c r="AA356" s="2877"/>
      <c r="AB356" s="2875"/>
      <c r="AC356" s="2869"/>
      <c r="AD356" s="2870"/>
      <c r="AE356" s="2870"/>
      <c r="AF356" s="2870"/>
      <c r="AG356" s="2870"/>
      <c r="AH356" s="2877"/>
      <c r="AI356" s="2875"/>
      <c r="AJ356" s="2869"/>
      <c r="AK356" s="2870"/>
      <c r="AL356" s="2870"/>
      <c r="AM356" s="2870"/>
      <c r="AN356" s="2870"/>
      <c r="AO356" s="2877"/>
      <c r="AP356" s="2875"/>
      <c r="AQ356" s="2869"/>
      <c r="AR356" s="2870"/>
      <c r="AS356" s="2870"/>
      <c r="AT356" s="2870"/>
      <c r="AU356" s="2870"/>
      <c r="AV356" s="2877"/>
      <c r="AW356" s="2875"/>
      <c r="AX356" s="2869"/>
      <c r="AY356" s="2870"/>
      <c r="AZ356" s="2870"/>
      <c r="BA356" s="2870"/>
      <c r="BB356" s="2870"/>
      <c r="BC356" s="2877"/>
      <c r="BD356" s="2875"/>
      <c r="BE356" s="2869"/>
      <c r="BF356" s="2870"/>
      <c r="BG356" s="2870"/>
      <c r="BH356" s="2870"/>
      <c r="BI356" s="2870"/>
      <c r="BJ356" s="2877"/>
      <c r="BK356" s="2875"/>
      <c r="BL356" s="2869"/>
      <c r="BM356" s="2870"/>
      <c r="BN356" s="2870"/>
      <c r="BO356" s="2870"/>
      <c r="BP356" s="2870"/>
      <c r="BQ356" s="2877"/>
      <c r="BR356" s="2875"/>
      <c r="BS356" s="2869"/>
      <c r="BT356" s="2870"/>
      <c r="BU356" s="2870"/>
      <c r="BV356" s="2870"/>
      <c r="BW356" s="2870"/>
      <c r="BX356" s="2877"/>
      <c r="BY356" s="2875"/>
      <c r="BZ356" s="2869"/>
      <c r="CA356" s="2870"/>
      <c r="CB356" s="2870"/>
      <c r="CC356" s="2870"/>
      <c r="CD356" s="2870"/>
      <c r="CE356" s="2877"/>
      <c r="CF356" s="2875"/>
      <c r="CG356" s="2869"/>
      <c r="CH356" s="2870"/>
      <c r="CI356" s="2870"/>
      <c r="CJ356" s="2870"/>
      <c r="CK356" s="2870"/>
      <c r="CL356" s="2877"/>
      <c r="CM356" s="2875"/>
      <c r="CN356" s="2872"/>
      <c r="CO356" s="2870"/>
      <c r="CP356" s="2870"/>
      <c r="CQ356" s="2870"/>
      <c r="CR356" s="2870"/>
      <c r="CS356" s="2877"/>
      <c r="CT356" s="2875"/>
      <c r="CU356" s="2878"/>
      <c r="CV356" s="2870"/>
      <c r="CW356" s="2870"/>
      <c r="CX356" s="2870"/>
      <c r="CY356" s="2870"/>
      <c r="CZ356" s="2879"/>
      <c r="DA356" s="2875"/>
      <c r="DJ356" s="1611" t="e">
        <v>#N/A</v>
      </c>
      <c r="DK356" s="2782" t="e">
        <v>#N/A</v>
      </c>
      <c r="DM356" s="1650">
        <v>0</v>
      </c>
    </row>
    <row r="357" spans="1:117" ht="21" customHeight="1">
      <c r="A357" s="1652" t="s">
        <v>2000</v>
      </c>
      <c r="B357" s="1704" t="s">
        <v>1806</v>
      </c>
      <c r="C357" s="1662"/>
      <c r="D357" s="1646" t="e">
        <v>#DIV/0!</v>
      </c>
      <c r="E357" s="1646"/>
      <c r="F357" s="1648"/>
      <c r="G357" s="1648"/>
      <c r="H357" s="1648"/>
      <c r="I357" s="1648"/>
      <c r="J357" s="2914">
        <v>1</v>
      </c>
      <c r="K357" s="1648"/>
      <c r="L357" s="1648"/>
      <c r="M357" s="1648"/>
      <c r="N357" s="1642"/>
      <c r="O357" s="2876">
        <v>64.152709000000002</v>
      </c>
      <c r="P357" s="2870"/>
      <c r="Q357" s="2870">
        <v>181854731</v>
      </c>
      <c r="R357" s="2870"/>
      <c r="S357" s="2870"/>
      <c r="T357" s="2870">
        <v>2.8347163172797583</v>
      </c>
      <c r="U357" s="2875">
        <v>181854731</v>
      </c>
      <c r="V357" s="2869">
        <v>24.924913999999998</v>
      </c>
      <c r="W357" s="2870"/>
      <c r="X357" s="2870">
        <v>76846809</v>
      </c>
      <c r="Y357" s="2870"/>
      <c r="Z357" s="2870"/>
      <c r="AA357" s="2877">
        <v>3.0831323630645229</v>
      </c>
      <c r="AB357" s="2875">
        <v>76846809</v>
      </c>
      <c r="AC357" s="2869">
        <v>111.483527</v>
      </c>
      <c r="AD357" s="2870"/>
      <c r="AE357" s="2870">
        <v>342529182</v>
      </c>
      <c r="AF357" s="2870"/>
      <c r="AG357" s="2870"/>
      <c r="AH357" s="2877">
        <v>3.0724645265304531</v>
      </c>
      <c r="AI357" s="2875">
        <v>342529182</v>
      </c>
      <c r="AJ357" s="2869">
        <v>69.684639000000004</v>
      </c>
      <c r="AK357" s="2870"/>
      <c r="AL357" s="2870">
        <v>214472704</v>
      </c>
      <c r="AM357" s="2870"/>
      <c r="AN357" s="2870"/>
      <c r="AO357" s="2877">
        <v>3.0777615709539661</v>
      </c>
      <c r="AP357" s="2875">
        <v>214472704</v>
      </c>
      <c r="AQ357" s="2869">
        <v>25.991645999999999</v>
      </c>
      <c r="AR357" s="2870"/>
      <c r="AS357" s="2870">
        <v>77153100</v>
      </c>
      <c r="AT357" s="2870"/>
      <c r="AU357" s="2870"/>
      <c r="AV357" s="2877">
        <v>2.9683806866252334</v>
      </c>
      <c r="AW357" s="2875">
        <v>77153100</v>
      </c>
      <c r="AX357" s="2869">
        <v>54.735281000000008</v>
      </c>
      <c r="AY357" s="2915"/>
      <c r="AZ357" s="2870">
        <v>331717510</v>
      </c>
      <c r="BA357" s="2870"/>
      <c r="BB357" s="2870"/>
      <c r="BC357" s="2877">
        <v>6.0603965840606531</v>
      </c>
      <c r="BD357" s="2875">
        <v>331717510</v>
      </c>
      <c r="BE357" s="2869">
        <v>44.828315000000003</v>
      </c>
      <c r="BF357" s="2870"/>
      <c r="BG357" s="2870">
        <v>140444071</v>
      </c>
      <c r="BH357" s="2870"/>
      <c r="BI357" s="2870"/>
      <c r="BJ357" s="2877">
        <v>3.1329321880601579</v>
      </c>
      <c r="BK357" s="2875">
        <v>140444071</v>
      </c>
      <c r="BL357" s="2869">
        <v>103.90102400000001</v>
      </c>
      <c r="BM357" s="2870"/>
      <c r="BN357" s="2870">
        <v>328827213</v>
      </c>
      <c r="BO357" s="2870"/>
      <c r="BP357" s="2870"/>
      <c r="BQ357" s="2877">
        <v>3.1648120522854519</v>
      </c>
      <c r="BR357" s="2875">
        <v>328827213</v>
      </c>
      <c r="BS357" s="2869">
        <v>71.548196000000004</v>
      </c>
      <c r="BT357" s="2870"/>
      <c r="BU357" s="2870">
        <v>217137522</v>
      </c>
      <c r="BV357" s="2870"/>
      <c r="BW357" s="2870"/>
      <c r="BX357" s="2877">
        <v>3.0348427233581123</v>
      </c>
      <c r="BY357" s="2875">
        <v>217137522</v>
      </c>
      <c r="BZ357" s="2869">
        <v>67.835769999999997</v>
      </c>
      <c r="CA357" s="2870"/>
      <c r="CB357" s="2870">
        <v>209864165</v>
      </c>
      <c r="CC357" s="2870"/>
      <c r="CD357" s="2870"/>
      <c r="CE357" s="2877">
        <v>3.0937094839492496</v>
      </c>
      <c r="CF357" s="2875">
        <v>209864165</v>
      </c>
      <c r="CG357" s="2869">
        <v>71.920936999999995</v>
      </c>
      <c r="CH357" s="2870"/>
      <c r="CI357" s="2870">
        <v>221864176</v>
      </c>
      <c r="CJ357" s="2870"/>
      <c r="CK357" s="2870"/>
      <c r="CL357" s="2877">
        <v>3.0848343369052604</v>
      </c>
      <c r="CM357" s="2875">
        <v>221864176</v>
      </c>
      <c r="CN357" s="2872">
        <v>61.874448999999998</v>
      </c>
      <c r="CO357" s="2870"/>
      <c r="CP357" s="2870">
        <v>163678995</v>
      </c>
      <c r="CQ357" s="2870">
        <v>4064456</v>
      </c>
      <c r="CR357" s="2870">
        <v>104372452</v>
      </c>
      <c r="CS357" s="2877">
        <v>4.397871939029308</v>
      </c>
      <c r="CT357" s="2875">
        <v>272115903</v>
      </c>
      <c r="CU357" s="2878">
        <v>772.88140699999997</v>
      </c>
      <c r="CV357" s="2870">
        <v>0</v>
      </c>
      <c r="CW357" s="2870">
        <v>2506390178</v>
      </c>
      <c r="CX357" s="2870">
        <v>4064456</v>
      </c>
      <c r="CY357" s="2870">
        <v>104372452</v>
      </c>
      <c r="CZ357" s="2879">
        <v>3.3832190324640581</v>
      </c>
      <c r="DA357" s="2875">
        <v>2614827086</v>
      </c>
      <c r="DJ357" s="1611" t="e">
        <v>#N/A</v>
      </c>
      <c r="DK357" s="2782">
        <v>0</v>
      </c>
      <c r="DM357" s="1650">
        <v>3.2429169019976181</v>
      </c>
    </row>
    <row r="358" spans="1:117" ht="21" customHeight="1">
      <c r="A358" s="1652" t="s">
        <v>2001</v>
      </c>
      <c r="B358" s="1704" t="s">
        <v>2002</v>
      </c>
      <c r="C358" s="1662"/>
      <c r="D358" s="1646" t="e">
        <v>#DIV/0!</v>
      </c>
      <c r="E358" s="1646"/>
      <c r="F358" s="1648"/>
      <c r="G358" s="1648"/>
      <c r="H358" s="1648"/>
      <c r="I358" s="1648"/>
      <c r="J358" s="2914">
        <v>2</v>
      </c>
      <c r="K358" s="1648"/>
      <c r="L358" s="1648"/>
      <c r="M358" s="1648"/>
      <c r="N358" s="1642"/>
      <c r="O358" s="2876">
        <v>29.567630999999999</v>
      </c>
      <c r="P358" s="2870"/>
      <c r="Q358" s="2870">
        <v>218390157</v>
      </c>
      <c r="R358" s="2870">
        <v>18161822</v>
      </c>
      <c r="S358" s="2870"/>
      <c r="T358" s="2870">
        <v>8.0003696948193106</v>
      </c>
      <c r="U358" s="2875">
        <v>236551979</v>
      </c>
      <c r="V358" s="2869">
        <v>19.551701000000001</v>
      </c>
      <c r="W358" s="2870"/>
      <c r="X358" s="2870">
        <v>93457131</v>
      </c>
      <c r="Y358" s="2870">
        <v>1368619</v>
      </c>
      <c r="Z358" s="2870"/>
      <c r="AA358" s="2877">
        <v>4.8500000076719667</v>
      </c>
      <c r="AB358" s="2875">
        <v>94825750</v>
      </c>
      <c r="AC358" s="2869">
        <v>44.471749000000003</v>
      </c>
      <c r="AD358" s="2870"/>
      <c r="AE358" s="2870">
        <v>364425870</v>
      </c>
      <c r="AF358" s="2870">
        <v>9117564</v>
      </c>
      <c r="AG358" s="2870"/>
      <c r="AH358" s="2877">
        <v>8.3995669700330424</v>
      </c>
      <c r="AI358" s="2875">
        <v>373543434</v>
      </c>
      <c r="AJ358" s="2869">
        <v>20.508560000000003</v>
      </c>
      <c r="AK358" s="2870"/>
      <c r="AL358" s="2870">
        <v>157564598</v>
      </c>
      <c r="AM358" s="2870">
        <v>4545131</v>
      </c>
      <c r="AN358" s="2870"/>
      <c r="AO358" s="2877">
        <v>7.9044910515414033</v>
      </c>
      <c r="AP358" s="2875">
        <v>162109729</v>
      </c>
      <c r="AQ358" s="2869">
        <v>15.459621</v>
      </c>
      <c r="AR358" s="2870"/>
      <c r="AS358" s="2870">
        <v>73896988</v>
      </c>
      <c r="AT358" s="2870">
        <v>1082173</v>
      </c>
      <c r="AU358" s="2870"/>
      <c r="AV358" s="2877">
        <v>4.8499999450180571</v>
      </c>
      <c r="AW358" s="2875">
        <v>74979161</v>
      </c>
      <c r="AX358" s="2869">
        <v>30.183411000000003</v>
      </c>
      <c r="AY358" s="2870"/>
      <c r="AZ358" s="2870">
        <v>244175588</v>
      </c>
      <c r="BA358" s="2870">
        <v>7860310</v>
      </c>
      <c r="BB358" s="2870"/>
      <c r="BC358" s="2877">
        <v>8.3501463105014864</v>
      </c>
      <c r="BD358" s="2875">
        <v>252035898</v>
      </c>
      <c r="BE358" s="2869">
        <v>31.532544000000001</v>
      </c>
      <c r="BF358" s="2870"/>
      <c r="BG358" s="2870">
        <v>328409703</v>
      </c>
      <c r="BH358" s="2870">
        <v>15401886</v>
      </c>
      <c r="BI358" s="2870"/>
      <c r="BJ358" s="2877">
        <v>10.903388860727507</v>
      </c>
      <c r="BK358" s="2875">
        <v>343811589</v>
      </c>
      <c r="BL358" s="2869">
        <v>30.301403999999998</v>
      </c>
      <c r="BM358" s="2870"/>
      <c r="BN358" s="2870">
        <v>139627516</v>
      </c>
      <c r="BO358" s="2870">
        <v>23616130</v>
      </c>
      <c r="BP358" s="2870"/>
      <c r="BQ358" s="2877">
        <v>5.3873294451966656</v>
      </c>
      <c r="BR358" s="2875">
        <v>163243646</v>
      </c>
      <c r="BS358" s="2869">
        <v>20.089918000000001</v>
      </c>
      <c r="BT358" s="2870"/>
      <c r="BU358" s="2870">
        <v>147749948</v>
      </c>
      <c r="BV358" s="2870">
        <v>17649867</v>
      </c>
      <c r="BW358" s="2870"/>
      <c r="BX358" s="2877">
        <v>8.232976112694935</v>
      </c>
      <c r="BY358" s="2875">
        <v>165399815</v>
      </c>
      <c r="BZ358" s="2869">
        <v>18.342313999999998</v>
      </c>
      <c r="CA358" s="2870"/>
      <c r="CB358" s="2870">
        <v>144674932</v>
      </c>
      <c r="CC358" s="2870">
        <v>18052541</v>
      </c>
      <c r="CD358" s="2870"/>
      <c r="CE358" s="2877">
        <v>8.8716981401583244</v>
      </c>
      <c r="CF358" s="2875">
        <v>162727473</v>
      </c>
      <c r="CG358" s="2869">
        <v>31.035495999999998</v>
      </c>
      <c r="CH358" s="2870"/>
      <c r="CI358" s="2870">
        <v>221566544</v>
      </c>
      <c r="CJ358" s="2870">
        <v>31720133</v>
      </c>
      <c r="CK358" s="2870"/>
      <c r="CL358" s="2877">
        <v>8.161193138334248</v>
      </c>
      <c r="CM358" s="2875">
        <v>253286677</v>
      </c>
      <c r="CN358" s="2872">
        <v>51.660398999999998</v>
      </c>
      <c r="CO358" s="2870"/>
      <c r="CP358" s="2870">
        <v>3225654</v>
      </c>
      <c r="CQ358" s="2870">
        <v>17693111</v>
      </c>
      <c r="CR358" s="2870"/>
      <c r="CS358" s="2877">
        <v>0.40492844431960351</v>
      </c>
      <c r="CT358" s="2875">
        <v>20918765</v>
      </c>
      <c r="CU358" s="2878">
        <v>342.70474800000005</v>
      </c>
      <c r="CV358" s="2870">
        <v>0</v>
      </c>
      <c r="CW358" s="2870">
        <v>2137164629</v>
      </c>
      <c r="CX358" s="2870">
        <v>166269287</v>
      </c>
      <c r="CY358" s="2870">
        <v>0</v>
      </c>
      <c r="CZ358" s="2879">
        <v>6.7213364549008219</v>
      </c>
      <c r="DA358" s="2875">
        <v>2303433916</v>
      </c>
      <c r="DJ358" s="1611" t="e">
        <v>#N/A</v>
      </c>
      <c r="DK358" s="2782" t="e">
        <v>#N/A</v>
      </c>
      <c r="DM358" s="1650">
        <v>6.2361687180359686</v>
      </c>
    </row>
    <row r="359" spans="1:117" ht="31.15" customHeight="1">
      <c r="A359" s="1652" t="s">
        <v>140</v>
      </c>
      <c r="B359" s="1704" t="s">
        <v>2003</v>
      </c>
      <c r="C359" s="1662"/>
      <c r="D359" s="1646" t="e">
        <v>#DIV/0!</v>
      </c>
      <c r="E359" s="1646"/>
      <c r="F359" s="1648"/>
      <c r="G359" s="1648"/>
      <c r="H359" s="1648"/>
      <c r="I359" s="1648"/>
      <c r="J359" s="1663"/>
      <c r="K359" s="1648"/>
      <c r="L359" s="1648"/>
      <c r="M359" s="1648"/>
      <c r="N359" s="1642"/>
      <c r="O359" s="2876"/>
      <c r="P359" s="2870"/>
      <c r="Q359" s="2870"/>
      <c r="R359" s="2870">
        <v>12131585</v>
      </c>
      <c r="S359" s="2870"/>
      <c r="T359" s="2870"/>
      <c r="U359" s="2875">
        <v>12131585</v>
      </c>
      <c r="V359" s="2869"/>
      <c r="W359" s="2870"/>
      <c r="X359" s="2870"/>
      <c r="Y359" s="2870">
        <v>4065840</v>
      </c>
      <c r="Z359" s="2870"/>
      <c r="AA359" s="2877">
        <v>0</v>
      </c>
      <c r="AB359" s="2875">
        <v>4065840</v>
      </c>
      <c r="AC359" s="2869"/>
      <c r="AD359" s="2870"/>
      <c r="AE359" s="2870"/>
      <c r="AF359" s="2870">
        <v>1216095</v>
      </c>
      <c r="AG359" s="2870"/>
      <c r="AH359" s="2877">
        <v>0</v>
      </c>
      <c r="AI359" s="2875">
        <v>1216095</v>
      </c>
      <c r="AJ359" s="2869"/>
      <c r="AK359" s="2870"/>
      <c r="AL359" s="2870"/>
      <c r="AM359" s="2870">
        <v>-6461190</v>
      </c>
      <c r="AN359" s="2870"/>
      <c r="AO359" s="2877">
        <v>0</v>
      </c>
      <c r="AP359" s="2875">
        <v>-6461190</v>
      </c>
      <c r="AQ359" s="2869"/>
      <c r="AR359" s="2870"/>
      <c r="AS359" s="2870"/>
      <c r="AT359" s="2870">
        <v>-12306685</v>
      </c>
      <c r="AU359" s="2870"/>
      <c r="AV359" s="2877">
        <v>0</v>
      </c>
      <c r="AW359" s="2875">
        <v>-12306685</v>
      </c>
      <c r="AX359" s="2869"/>
      <c r="AY359" s="2870"/>
      <c r="AZ359" s="2870"/>
      <c r="BA359" s="2870">
        <v>-10738066</v>
      </c>
      <c r="BB359" s="2870"/>
      <c r="BC359" s="2877">
        <v>0</v>
      </c>
      <c r="BD359" s="2875">
        <v>-10738066</v>
      </c>
      <c r="BE359" s="2869"/>
      <c r="BF359" s="2870"/>
      <c r="BG359" s="2870"/>
      <c r="BH359" s="2870">
        <v>-6950005</v>
      </c>
      <c r="BI359" s="2870"/>
      <c r="BJ359" s="2877">
        <v>0</v>
      </c>
      <c r="BK359" s="2875">
        <v>-6950005</v>
      </c>
      <c r="BL359" s="2869"/>
      <c r="BM359" s="2870"/>
      <c r="BN359" s="2870"/>
      <c r="BO359" s="2870">
        <v>-38780668</v>
      </c>
      <c r="BP359" s="2870"/>
      <c r="BQ359" s="2877">
        <v>0</v>
      </c>
      <c r="BR359" s="2875">
        <v>-38780668</v>
      </c>
      <c r="BS359" s="2869"/>
      <c r="BT359" s="2870"/>
      <c r="BU359" s="2870"/>
      <c r="BV359" s="2870">
        <v>-9182120</v>
      </c>
      <c r="BW359" s="2870"/>
      <c r="BX359" s="2877">
        <v>0</v>
      </c>
      <c r="BY359" s="2875">
        <v>-9182120</v>
      </c>
      <c r="BZ359" s="2869"/>
      <c r="CA359" s="2870"/>
      <c r="CB359" s="2870"/>
      <c r="CC359" s="2870">
        <v>2980890</v>
      </c>
      <c r="CD359" s="2870"/>
      <c r="CE359" s="2877">
        <v>0</v>
      </c>
      <c r="CF359" s="2875">
        <v>2980890</v>
      </c>
      <c r="CG359" s="2869"/>
      <c r="CH359" s="2870"/>
      <c r="CI359" s="2870"/>
      <c r="CJ359" s="2870">
        <v>5028623</v>
      </c>
      <c r="CK359" s="2870"/>
      <c r="CL359" s="2877">
        <v>0</v>
      </c>
      <c r="CM359" s="2875">
        <v>5028623</v>
      </c>
      <c r="CN359" s="2872"/>
      <c r="CO359" s="2870"/>
      <c r="CP359" s="2870"/>
      <c r="CQ359" s="2870">
        <v>127746341.70999998</v>
      </c>
      <c r="CR359" s="2870"/>
      <c r="CS359" s="2877">
        <v>0</v>
      </c>
      <c r="CT359" s="2875">
        <v>127746341.70999998</v>
      </c>
      <c r="CU359" s="2878">
        <v>0</v>
      </c>
      <c r="CV359" s="2870">
        <v>0</v>
      </c>
      <c r="CW359" s="2870">
        <v>0</v>
      </c>
      <c r="CX359" s="2870">
        <v>68750640.709999979</v>
      </c>
      <c r="CY359" s="2870">
        <v>0</v>
      </c>
      <c r="CZ359" s="2879">
        <v>0</v>
      </c>
      <c r="DA359" s="2875">
        <v>68750640.709999979</v>
      </c>
      <c r="DJ359" s="1611" t="e">
        <v>#N/A</v>
      </c>
      <c r="DK359" s="2782" t="e">
        <v>#N/A</v>
      </c>
      <c r="DM359" s="1650">
        <v>0</v>
      </c>
    </row>
    <row r="360" spans="1:117" ht="21" customHeight="1">
      <c r="A360" s="1652" t="s">
        <v>220</v>
      </c>
      <c r="B360" s="1704" t="s">
        <v>2004</v>
      </c>
      <c r="C360" s="1662"/>
      <c r="D360" s="1646" t="e">
        <v>#DIV/0!</v>
      </c>
      <c r="E360" s="1646"/>
      <c r="F360" s="1648"/>
      <c r="G360" s="1648"/>
      <c r="H360" s="1648"/>
      <c r="I360" s="1648"/>
      <c r="J360" s="1663"/>
      <c r="K360" s="1648"/>
      <c r="L360" s="1648"/>
      <c r="M360" s="1648"/>
      <c r="N360" s="1642"/>
      <c r="O360" s="2876"/>
      <c r="P360" s="2870"/>
      <c r="Q360" s="2870"/>
      <c r="R360" s="2870"/>
      <c r="S360" s="2870"/>
      <c r="T360" s="2870"/>
      <c r="U360" s="2875">
        <v>0</v>
      </c>
      <c r="V360" s="2869"/>
      <c r="W360" s="2870"/>
      <c r="X360" s="2870"/>
      <c r="Y360" s="2870"/>
      <c r="Z360" s="2870"/>
      <c r="AA360" s="2877">
        <v>0</v>
      </c>
      <c r="AB360" s="2875">
        <v>0</v>
      </c>
      <c r="AC360" s="2869"/>
      <c r="AD360" s="2870"/>
      <c r="AE360" s="2870"/>
      <c r="AF360" s="2870"/>
      <c r="AG360" s="2870"/>
      <c r="AH360" s="2877">
        <v>0</v>
      </c>
      <c r="AI360" s="2875">
        <v>0</v>
      </c>
      <c r="AJ360" s="2869"/>
      <c r="AK360" s="2870"/>
      <c r="AL360" s="2870"/>
      <c r="AM360" s="2870"/>
      <c r="AN360" s="2870"/>
      <c r="AO360" s="2877">
        <v>0</v>
      </c>
      <c r="AP360" s="2875">
        <v>0</v>
      </c>
      <c r="AQ360" s="2869"/>
      <c r="AR360" s="2870"/>
      <c r="AS360" s="2870"/>
      <c r="AT360" s="2870"/>
      <c r="AU360" s="2870"/>
      <c r="AV360" s="2877">
        <v>0</v>
      </c>
      <c r="AW360" s="2875">
        <v>0</v>
      </c>
      <c r="AX360" s="2869"/>
      <c r="AY360" s="2870"/>
      <c r="AZ360" s="2870"/>
      <c r="BA360" s="2870"/>
      <c r="BB360" s="2870"/>
      <c r="BC360" s="2877">
        <v>0</v>
      </c>
      <c r="BD360" s="2875">
        <v>0</v>
      </c>
      <c r="BE360" s="2869"/>
      <c r="BF360" s="2870"/>
      <c r="BG360" s="2870"/>
      <c r="BH360" s="2870"/>
      <c r="BI360" s="2870"/>
      <c r="BJ360" s="2877">
        <v>0</v>
      </c>
      <c r="BK360" s="2875">
        <v>0</v>
      </c>
      <c r="BL360" s="2869"/>
      <c r="BM360" s="2870"/>
      <c r="BN360" s="2870"/>
      <c r="BO360" s="2870"/>
      <c r="BP360" s="2870"/>
      <c r="BQ360" s="2877">
        <v>0</v>
      </c>
      <c r="BR360" s="2875">
        <v>0</v>
      </c>
      <c r="BS360" s="2869"/>
      <c r="BT360" s="2870"/>
      <c r="BU360" s="2870"/>
      <c r="BV360" s="2870"/>
      <c r="BW360" s="2870"/>
      <c r="BX360" s="2877">
        <v>0</v>
      </c>
      <c r="BY360" s="2875">
        <v>0</v>
      </c>
      <c r="BZ360" s="2869"/>
      <c r="CA360" s="2870"/>
      <c r="CB360" s="2870"/>
      <c r="CC360" s="2870"/>
      <c r="CD360" s="2870"/>
      <c r="CE360" s="2877">
        <v>0</v>
      </c>
      <c r="CF360" s="2875">
        <v>0</v>
      </c>
      <c r="CG360" s="2869"/>
      <c r="CH360" s="2870"/>
      <c r="CI360" s="2870"/>
      <c r="CJ360" s="2870"/>
      <c r="CK360" s="2870"/>
      <c r="CL360" s="2877">
        <v>0</v>
      </c>
      <c r="CM360" s="2875">
        <v>0</v>
      </c>
      <c r="CN360" s="2872"/>
      <c r="CO360" s="2870"/>
      <c r="CP360" s="2870"/>
      <c r="CQ360" s="2870"/>
      <c r="CR360" s="2870"/>
      <c r="CS360" s="2877">
        <v>0</v>
      </c>
      <c r="CT360" s="2875">
        <v>0</v>
      </c>
      <c r="CU360" s="2878">
        <v>0</v>
      </c>
      <c r="CV360" s="2870">
        <v>0</v>
      </c>
      <c r="CW360" s="2870">
        <v>0</v>
      </c>
      <c r="CX360" s="2870">
        <v>0</v>
      </c>
      <c r="CY360" s="2870">
        <v>0</v>
      </c>
      <c r="CZ360" s="2879">
        <v>0</v>
      </c>
      <c r="DA360" s="2875">
        <v>0</v>
      </c>
      <c r="DJ360" s="1611" t="e">
        <v>#N/A</v>
      </c>
      <c r="DK360" s="2782" t="e">
        <v>#N/A</v>
      </c>
      <c r="DM360" s="1650">
        <v>0</v>
      </c>
    </row>
    <row r="361" spans="1:117" ht="21" customHeight="1">
      <c r="A361" s="1652" t="s">
        <v>479</v>
      </c>
      <c r="B361" s="1704" t="s">
        <v>1809</v>
      </c>
      <c r="C361" s="1662"/>
      <c r="D361" s="1646" t="e">
        <v>#DIV/0!</v>
      </c>
      <c r="E361" s="1646"/>
      <c r="F361" s="1648"/>
      <c r="G361" s="1648"/>
      <c r="H361" s="1648"/>
      <c r="I361" s="1648"/>
      <c r="J361" s="1663"/>
      <c r="K361" s="1648"/>
      <c r="L361" s="1648"/>
      <c r="M361" s="1648"/>
      <c r="N361" s="1642"/>
      <c r="O361" s="2876"/>
      <c r="P361" s="2870"/>
      <c r="Q361" s="2870"/>
      <c r="R361" s="2870"/>
      <c r="S361" s="2870"/>
      <c r="T361" s="2870"/>
      <c r="U361" s="2875">
        <v>0</v>
      </c>
      <c r="V361" s="2869"/>
      <c r="W361" s="2870"/>
      <c r="X361" s="2870"/>
      <c r="Y361" s="2870"/>
      <c r="Z361" s="2870"/>
      <c r="AA361" s="2877">
        <v>0</v>
      </c>
      <c r="AB361" s="2875">
        <v>0</v>
      </c>
      <c r="AC361" s="2869"/>
      <c r="AD361" s="2870"/>
      <c r="AE361" s="2870"/>
      <c r="AF361" s="2870"/>
      <c r="AG361" s="2870"/>
      <c r="AH361" s="2877">
        <v>0</v>
      </c>
      <c r="AI361" s="2875">
        <v>0</v>
      </c>
      <c r="AJ361" s="2869"/>
      <c r="AK361" s="2870"/>
      <c r="AL361" s="2870"/>
      <c r="AM361" s="2870"/>
      <c r="AN361" s="2870"/>
      <c r="AO361" s="2877">
        <v>0</v>
      </c>
      <c r="AP361" s="2875">
        <v>0</v>
      </c>
      <c r="AQ361" s="2869"/>
      <c r="AR361" s="2870"/>
      <c r="AS361" s="2870"/>
      <c r="AT361" s="2870"/>
      <c r="AU361" s="2870"/>
      <c r="AV361" s="2877">
        <v>0</v>
      </c>
      <c r="AW361" s="2875">
        <v>0</v>
      </c>
      <c r="AX361" s="2869"/>
      <c r="AY361" s="2870"/>
      <c r="AZ361" s="2870"/>
      <c r="BA361" s="2870"/>
      <c r="BB361" s="2870"/>
      <c r="BC361" s="2877">
        <v>0</v>
      </c>
      <c r="BD361" s="2875">
        <v>0</v>
      </c>
      <c r="BE361" s="2869"/>
      <c r="BF361" s="2870"/>
      <c r="BG361" s="2870"/>
      <c r="BH361" s="2870"/>
      <c r="BI361" s="2870"/>
      <c r="BJ361" s="2877">
        <v>0</v>
      </c>
      <c r="BK361" s="2875">
        <v>0</v>
      </c>
      <c r="BL361" s="2869"/>
      <c r="BM361" s="2870"/>
      <c r="BN361" s="2870"/>
      <c r="BO361" s="2870"/>
      <c r="BP361" s="2870"/>
      <c r="BQ361" s="2877">
        <v>0</v>
      </c>
      <c r="BR361" s="2875">
        <v>0</v>
      </c>
      <c r="BS361" s="2869"/>
      <c r="BT361" s="2870"/>
      <c r="BU361" s="2870"/>
      <c r="BV361" s="2870"/>
      <c r="BW361" s="2870"/>
      <c r="BX361" s="2877">
        <v>0</v>
      </c>
      <c r="BY361" s="2875">
        <v>0</v>
      </c>
      <c r="BZ361" s="2869"/>
      <c r="CA361" s="2870"/>
      <c r="CB361" s="2870"/>
      <c r="CC361" s="2870"/>
      <c r="CD361" s="2870"/>
      <c r="CE361" s="2877">
        <v>0</v>
      </c>
      <c r="CF361" s="2875">
        <v>0</v>
      </c>
      <c r="CG361" s="2869"/>
      <c r="CH361" s="2870"/>
      <c r="CI361" s="2870"/>
      <c r="CJ361" s="2870"/>
      <c r="CK361" s="2870"/>
      <c r="CL361" s="2877">
        <v>0</v>
      </c>
      <c r="CM361" s="2875">
        <v>0</v>
      </c>
      <c r="CN361" s="2872"/>
      <c r="CO361" s="2870"/>
      <c r="CP361" s="2870"/>
      <c r="CQ361" s="2870"/>
      <c r="CR361" s="2870"/>
      <c r="CS361" s="2877">
        <v>0</v>
      </c>
      <c r="CT361" s="2875">
        <v>0</v>
      </c>
      <c r="CU361" s="2878">
        <v>0</v>
      </c>
      <c r="CV361" s="2870">
        <v>0</v>
      </c>
      <c r="CW361" s="2870">
        <v>0</v>
      </c>
      <c r="CX361" s="2870">
        <v>0</v>
      </c>
      <c r="CY361" s="2870">
        <v>0</v>
      </c>
      <c r="CZ361" s="2879">
        <v>0</v>
      </c>
      <c r="DA361" s="2875">
        <v>0</v>
      </c>
      <c r="DJ361" s="1611" t="e">
        <v>#N/A</v>
      </c>
      <c r="DK361" s="2782">
        <v>0</v>
      </c>
      <c r="DM361" s="1650">
        <v>0</v>
      </c>
    </row>
    <row r="362" spans="1:117" ht="21" customHeight="1">
      <c r="A362" s="1652" t="s">
        <v>480</v>
      </c>
      <c r="B362" s="1706" t="s">
        <v>1810</v>
      </c>
      <c r="C362" s="1662"/>
      <c r="D362" s="1646" t="e">
        <v>#DIV/0!</v>
      </c>
      <c r="E362" s="1646"/>
      <c r="F362" s="1648"/>
      <c r="G362" s="1648"/>
      <c r="H362" s="1648"/>
      <c r="I362" s="1648"/>
      <c r="J362" s="1663">
        <v>2</v>
      </c>
      <c r="K362" s="1648"/>
      <c r="L362" s="1648"/>
      <c r="M362" s="1648"/>
      <c r="N362" s="1642"/>
      <c r="O362" s="2876"/>
      <c r="P362" s="2870"/>
      <c r="Q362" s="2870"/>
      <c r="R362" s="2874">
        <v>74510433</v>
      </c>
      <c r="S362" s="2870"/>
      <c r="T362" s="2870" t="s">
        <v>1594</v>
      </c>
      <c r="U362" s="2875">
        <v>74510433</v>
      </c>
      <c r="V362" s="2869"/>
      <c r="W362" s="2870"/>
      <c r="X362" s="2870"/>
      <c r="Y362" s="2874">
        <v>44713184</v>
      </c>
      <c r="Z362" s="2870"/>
      <c r="AA362" s="2877">
        <v>0</v>
      </c>
      <c r="AB362" s="2875">
        <v>44713184</v>
      </c>
      <c r="AC362" s="2869"/>
      <c r="AD362" s="2870"/>
      <c r="AE362" s="2874">
        <v>0</v>
      </c>
      <c r="AF362" s="2874">
        <v>39458678</v>
      </c>
      <c r="AG362" s="2874">
        <v>402365</v>
      </c>
      <c r="AH362" s="2877">
        <v>0</v>
      </c>
      <c r="AI362" s="2875">
        <v>39861043</v>
      </c>
      <c r="AJ362" s="2869"/>
      <c r="AK362" s="2870"/>
      <c r="AL362" s="2874">
        <v>0</v>
      </c>
      <c r="AM362" s="2874">
        <v>-11078812</v>
      </c>
      <c r="AN362" s="2874">
        <v>0</v>
      </c>
      <c r="AO362" s="2877">
        <v>0</v>
      </c>
      <c r="AP362" s="2875">
        <v>-11078812</v>
      </c>
      <c r="AQ362" s="2869"/>
      <c r="AR362" s="2870"/>
      <c r="AS362" s="2874">
        <v>0</v>
      </c>
      <c r="AT362" s="2874">
        <v>0</v>
      </c>
      <c r="AU362" s="2874">
        <v>0</v>
      </c>
      <c r="AV362" s="2877">
        <v>0</v>
      </c>
      <c r="AW362" s="2875">
        <v>0</v>
      </c>
      <c r="AX362" s="2869"/>
      <c r="AY362" s="2870"/>
      <c r="AZ362" s="2874">
        <v>0</v>
      </c>
      <c r="BA362" s="2874">
        <v>0</v>
      </c>
      <c r="BB362" s="2874">
        <v>0</v>
      </c>
      <c r="BC362" s="2877">
        <v>0</v>
      </c>
      <c r="BD362" s="2875">
        <v>0</v>
      </c>
      <c r="BE362" s="2869"/>
      <c r="BF362" s="2870"/>
      <c r="BG362" s="2874">
        <v>0</v>
      </c>
      <c r="BH362" s="2874">
        <v>138567108</v>
      </c>
      <c r="BI362" s="2874">
        <v>0</v>
      </c>
      <c r="BJ362" s="2877">
        <v>0</v>
      </c>
      <c r="BK362" s="2875">
        <v>138567108</v>
      </c>
      <c r="BL362" s="2869"/>
      <c r="BM362" s="2870"/>
      <c r="BN362" s="2874">
        <v>0</v>
      </c>
      <c r="BO362" s="2874">
        <v>46304324</v>
      </c>
      <c r="BP362" s="2874">
        <v>0</v>
      </c>
      <c r="BQ362" s="2877">
        <v>0</v>
      </c>
      <c r="BR362" s="2875">
        <v>46304324</v>
      </c>
      <c r="BS362" s="2869"/>
      <c r="BT362" s="2870"/>
      <c r="BU362" s="2874">
        <v>0</v>
      </c>
      <c r="BV362" s="2870">
        <v>184000</v>
      </c>
      <c r="BW362" s="2874">
        <v>0</v>
      </c>
      <c r="BX362" s="2877">
        <v>0</v>
      </c>
      <c r="BY362" s="2875">
        <v>184000</v>
      </c>
      <c r="BZ362" s="2869"/>
      <c r="CA362" s="2870"/>
      <c r="CB362" s="2874">
        <v>0</v>
      </c>
      <c r="CC362" s="2874">
        <v>0</v>
      </c>
      <c r="CD362" s="2874"/>
      <c r="CE362" s="2877">
        <v>0</v>
      </c>
      <c r="CF362" s="2875">
        <v>0</v>
      </c>
      <c r="CG362" s="2869"/>
      <c r="CH362" s="2870"/>
      <c r="CI362" s="2874">
        <v>0</v>
      </c>
      <c r="CJ362" s="2870">
        <v>90000</v>
      </c>
      <c r="CK362" s="2874"/>
      <c r="CL362" s="2877">
        <v>0</v>
      </c>
      <c r="CM362" s="2875">
        <v>90000</v>
      </c>
      <c r="CN362" s="2872">
        <v>251.25438</v>
      </c>
      <c r="CO362" s="2870">
        <v>0</v>
      </c>
      <c r="CP362" s="2870">
        <v>0</v>
      </c>
      <c r="CQ362" s="2870">
        <v>620630</v>
      </c>
      <c r="CR362" s="2870">
        <v>0</v>
      </c>
      <c r="CS362" s="2877">
        <v>2.470126092926221E-3</v>
      </c>
      <c r="CT362" s="2875">
        <v>620630</v>
      </c>
      <c r="CU362" s="2878">
        <v>251.25438</v>
      </c>
      <c r="CV362" s="2870">
        <v>0</v>
      </c>
      <c r="CW362" s="2870">
        <v>0</v>
      </c>
      <c r="CX362" s="2870">
        <v>333369545</v>
      </c>
      <c r="CY362" s="2870">
        <v>402365</v>
      </c>
      <c r="CZ362" s="2879">
        <v>1.3284222547682552</v>
      </c>
      <c r="DA362" s="2875">
        <v>333771910</v>
      </c>
      <c r="DJ362" s="1611" t="e">
        <v>#N/A</v>
      </c>
      <c r="DK362" s="2782">
        <v>0</v>
      </c>
      <c r="DM362" s="1650">
        <v>0</v>
      </c>
    </row>
    <row r="363" spans="1:117" ht="21" customHeight="1">
      <c r="A363" s="1652"/>
      <c r="B363" s="1704" t="s">
        <v>2005</v>
      </c>
      <c r="C363" s="1662"/>
      <c r="D363" s="1646" t="e">
        <v>#DIV/0!</v>
      </c>
      <c r="E363" s="1646"/>
      <c r="F363" s="1648"/>
      <c r="G363" s="1648"/>
      <c r="H363" s="1648"/>
      <c r="I363" s="1648"/>
      <c r="J363" s="1663"/>
      <c r="K363" s="1648"/>
      <c r="L363" s="1648"/>
      <c r="M363" s="1648"/>
      <c r="N363" s="1642"/>
      <c r="O363" s="2876"/>
      <c r="P363" s="2870"/>
      <c r="Q363" s="2870"/>
      <c r="R363" s="2870">
        <v>28503233</v>
      </c>
      <c r="S363" s="2870"/>
      <c r="T363" s="2870" t="s">
        <v>1594</v>
      </c>
      <c r="U363" s="2875">
        <v>28503233</v>
      </c>
      <c r="V363" s="2869"/>
      <c r="W363" s="2870"/>
      <c r="X363" s="2870"/>
      <c r="Y363" s="2870"/>
      <c r="Z363" s="2870"/>
      <c r="AA363" s="2877">
        <v>0</v>
      </c>
      <c r="AB363" s="2875">
        <v>0</v>
      </c>
      <c r="AC363" s="2869"/>
      <c r="AD363" s="2870"/>
      <c r="AE363" s="2870"/>
      <c r="AF363" s="2870"/>
      <c r="AG363" s="2870"/>
      <c r="AH363" s="2877">
        <v>0</v>
      </c>
      <c r="AI363" s="2875">
        <v>0</v>
      </c>
      <c r="AJ363" s="2869"/>
      <c r="AK363" s="2870"/>
      <c r="AL363" s="2870"/>
      <c r="AM363" s="2870">
        <v>-50001233</v>
      </c>
      <c r="AN363" s="2870"/>
      <c r="AO363" s="2877">
        <v>0</v>
      </c>
      <c r="AP363" s="2875">
        <v>-50001233</v>
      </c>
      <c r="AQ363" s="2869"/>
      <c r="AR363" s="2870"/>
      <c r="AS363" s="2870"/>
      <c r="AT363" s="2870"/>
      <c r="AU363" s="2870"/>
      <c r="AV363" s="2877">
        <v>0</v>
      </c>
      <c r="AW363" s="2875">
        <v>0</v>
      </c>
      <c r="AX363" s="2869"/>
      <c r="AY363" s="2870"/>
      <c r="AZ363" s="2870"/>
      <c r="BA363" s="2870"/>
      <c r="BB363" s="2870"/>
      <c r="BC363" s="2877">
        <v>0</v>
      </c>
      <c r="BD363" s="2875">
        <v>0</v>
      </c>
      <c r="BE363" s="2869"/>
      <c r="BF363" s="2870"/>
      <c r="BG363" s="2870"/>
      <c r="BH363" s="2870"/>
      <c r="BI363" s="2870"/>
      <c r="BJ363" s="2877">
        <v>0</v>
      </c>
      <c r="BK363" s="2875">
        <v>0</v>
      </c>
      <c r="BL363" s="2869"/>
      <c r="BM363" s="2870"/>
      <c r="BN363" s="2870"/>
      <c r="BO363" s="2870"/>
      <c r="BP363" s="2870"/>
      <c r="BQ363" s="2877">
        <v>0</v>
      </c>
      <c r="BR363" s="2875">
        <v>0</v>
      </c>
      <c r="BS363" s="2869"/>
      <c r="BT363" s="2870"/>
      <c r="BU363" s="2870"/>
      <c r="BV363" s="2870"/>
      <c r="BW363" s="2870"/>
      <c r="BX363" s="2877">
        <v>0</v>
      </c>
      <c r="BY363" s="2875">
        <v>0</v>
      </c>
      <c r="BZ363" s="2869"/>
      <c r="CA363" s="2870"/>
      <c r="CB363" s="2870"/>
      <c r="CC363" s="2870"/>
      <c r="CD363" s="2870"/>
      <c r="CE363" s="2877">
        <v>0</v>
      </c>
      <c r="CF363" s="2875">
        <v>0</v>
      </c>
      <c r="CG363" s="2869"/>
      <c r="CH363" s="2870"/>
      <c r="CI363" s="2870"/>
      <c r="CJ363" s="2870"/>
      <c r="CK363" s="2870"/>
      <c r="CL363" s="2877">
        <v>0</v>
      </c>
      <c r="CM363" s="2875">
        <v>0</v>
      </c>
      <c r="CN363" s="2913">
        <v>220.9</v>
      </c>
      <c r="CO363" s="2870"/>
      <c r="CP363" s="2870"/>
      <c r="CQ363" s="2870">
        <v>710630</v>
      </c>
      <c r="CR363" s="2870"/>
      <c r="CS363" s="2877">
        <v>3.2169760072430966E-3</v>
      </c>
      <c r="CT363" s="2875">
        <v>710630</v>
      </c>
      <c r="CU363" s="2878">
        <v>220.9</v>
      </c>
      <c r="CV363" s="2870">
        <v>0</v>
      </c>
      <c r="CW363" s="2870">
        <v>0</v>
      </c>
      <c r="CX363" s="2870">
        <v>-20787370</v>
      </c>
      <c r="CY363" s="2870">
        <v>0</v>
      </c>
      <c r="CZ363" s="2879">
        <v>-9.4103078315980082E-2</v>
      </c>
      <c r="DA363" s="2875">
        <v>-20787370</v>
      </c>
      <c r="DJ363" s="1611" t="e">
        <v>#N/A</v>
      </c>
      <c r="DK363" s="2782" t="e">
        <v>#N/A</v>
      </c>
      <c r="DM363" s="1650">
        <v>0</v>
      </c>
    </row>
    <row r="364" spans="1:117" ht="21" customHeight="1">
      <c r="A364" s="1652"/>
      <c r="B364" s="1704" t="s">
        <v>2006</v>
      </c>
      <c r="C364" s="1662"/>
      <c r="D364" s="1646" t="e">
        <v>#DIV/0!</v>
      </c>
      <c r="E364" s="1646"/>
      <c r="F364" s="1648"/>
      <c r="G364" s="1648"/>
      <c r="H364" s="1648"/>
      <c r="I364" s="1648"/>
      <c r="J364" s="1663"/>
      <c r="K364" s="1648"/>
      <c r="L364" s="1648"/>
      <c r="M364" s="1648"/>
      <c r="N364" s="1642"/>
      <c r="O364" s="2876"/>
      <c r="P364" s="2870"/>
      <c r="Q364" s="2870"/>
      <c r="R364" s="2870">
        <v>46007200</v>
      </c>
      <c r="S364" s="2870"/>
      <c r="T364" s="2870" t="s">
        <v>1594</v>
      </c>
      <c r="U364" s="2875">
        <v>46007200</v>
      </c>
      <c r="V364" s="2869"/>
      <c r="W364" s="2870"/>
      <c r="X364" s="2870"/>
      <c r="Y364" s="2870">
        <v>44713184</v>
      </c>
      <c r="Z364" s="2870"/>
      <c r="AA364" s="2877">
        <v>0</v>
      </c>
      <c r="AB364" s="2875">
        <v>44713184</v>
      </c>
      <c r="AC364" s="2869"/>
      <c r="AD364" s="2870"/>
      <c r="AE364" s="2870"/>
      <c r="AF364" s="2870">
        <v>39458678</v>
      </c>
      <c r="AG364" s="2870">
        <v>402365</v>
      </c>
      <c r="AH364" s="2877"/>
      <c r="AI364" s="2875">
        <v>39861043</v>
      </c>
      <c r="AJ364" s="2869"/>
      <c r="AK364" s="2870"/>
      <c r="AL364" s="2870"/>
      <c r="AM364" s="2870">
        <v>38922421</v>
      </c>
      <c r="AN364" s="2870"/>
      <c r="AO364" s="2877"/>
      <c r="AP364" s="2875">
        <v>38922421</v>
      </c>
      <c r="AQ364" s="2869"/>
      <c r="AR364" s="2870"/>
      <c r="AS364" s="2870"/>
      <c r="AT364" s="2870"/>
      <c r="AU364" s="2870"/>
      <c r="AV364" s="2877"/>
      <c r="AW364" s="2875">
        <v>0</v>
      </c>
      <c r="AX364" s="2869"/>
      <c r="AY364" s="2870"/>
      <c r="AZ364" s="2870"/>
      <c r="BA364" s="2870"/>
      <c r="BB364" s="2870"/>
      <c r="BC364" s="2877"/>
      <c r="BD364" s="2875">
        <v>0</v>
      </c>
      <c r="BE364" s="2869"/>
      <c r="BF364" s="2870"/>
      <c r="BG364" s="2870"/>
      <c r="BH364" s="2870">
        <v>138567108</v>
      </c>
      <c r="BI364" s="2870"/>
      <c r="BJ364" s="2877"/>
      <c r="BK364" s="2875">
        <v>138567108</v>
      </c>
      <c r="BL364" s="2869"/>
      <c r="BM364" s="2870"/>
      <c r="BN364" s="2870"/>
      <c r="BO364" s="2870">
        <v>46304324</v>
      </c>
      <c r="BP364" s="2870"/>
      <c r="BQ364" s="2877"/>
      <c r="BR364" s="2875">
        <v>46304324</v>
      </c>
      <c r="BS364" s="2869"/>
      <c r="BT364" s="2870"/>
      <c r="BU364" s="2870"/>
      <c r="BV364" s="2870">
        <v>184000</v>
      </c>
      <c r="BW364" s="2870"/>
      <c r="BX364" s="2877"/>
      <c r="BY364" s="2875">
        <v>184000</v>
      </c>
      <c r="BZ364" s="2869"/>
      <c r="CA364" s="2870"/>
      <c r="CB364" s="2870"/>
      <c r="CC364" s="2870"/>
      <c r="CD364" s="2870"/>
      <c r="CE364" s="2877"/>
      <c r="CF364" s="2875">
        <v>0</v>
      </c>
      <c r="CG364" s="2869"/>
      <c r="CH364" s="2870"/>
      <c r="CI364" s="2870"/>
      <c r="CJ364" s="2870">
        <v>90000</v>
      </c>
      <c r="CK364" s="2870"/>
      <c r="CL364" s="2877"/>
      <c r="CM364" s="2875">
        <v>90000</v>
      </c>
      <c r="CN364" s="2896">
        <v>30.354379999999999</v>
      </c>
      <c r="CO364" s="2870"/>
      <c r="CP364" s="2870"/>
      <c r="CQ364" s="2870">
        <v>-90000</v>
      </c>
      <c r="CR364" s="2870"/>
      <c r="CS364" s="2877"/>
      <c r="CT364" s="2875">
        <v>-90000</v>
      </c>
      <c r="CU364" s="2878">
        <v>30.354379999999999</v>
      </c>
      <c r="CV364" s="2870">
        <v>0</v>
      </c>
      <c r="CW364" s="2870">
        <v>0</v>
      </c>
      <c r="CX364" s="2870">
        <v>354156915</v>
      </c>
      <c r="CY364" s="2870">
        <v>402365</v>
      </c>
      <c r="CZ364" s="2879">
        <v>11.680662889507214</v>
      </c>
      <c r="DA364" s="2875">
        <v>354559280</v>
      </c>
      <c r="DJ364" s="1611" t="e">
        <v>#N/A</v>
      </c>
      <c r="DK364" s="2782" t="e">
        <v>#N/A</v>
      </c>
      <c r="DM364" s="1650">
        <v>0</v>
      </c>
    </row>
    <row r="365" spans="1:117" ht="21" customHeight="1">
      <c r="A365" s="1652"/>
      <c r="B365" s="1704"/>
      <c r="C365" s="1662"/>
      <c r="D365" s="1648"/>
      <c r="E365" s="1648"/>
      <c r="F365" s="1648"/>
      <c r="G365" s="1648"/>
      <c r="H365" s="1648"/>
      <c r="I365" s="1648"/>
      <c r="J365" s="1663"/>
      <c r="K365" s="1648"/>
      <c r="L365" s="1648"/>
      <c r="M365" s="1648"/>
      <c r="N365" s="1642"/>
      <c r="O365" s="2876"/>
      <c r="P365" s="2870"/>
      <c r="Q365" s="2870"/>
      <c r="R365" s="2870"/>
      <c r="S365" s="2870"/>
      <c r="T365" s="2870"/>
      <c r="U365" s="2875">
        <v>0</v>
      </c>
      <c r="V365" s="2869"/>
      <c r="W365" s="2870"/>
      <c r="X365" s="2870"/>
      <c r="Y365" s="2870"/>
      <c r="Z365" s="2870"/>
      <c r="AA365" s="2877">
        <v>0</v>
      </c>
      <c r="AB365" s="2875"/>
      <c r="AC365" s="2869"/>
      <c r="AD365" s="2870"/>
      <c r="AE365" s="2870"/>
      <c r="AF365" s="2870"/>
      <c r="AG365" s="2870"/>
      <c r="AH365" s="2877">
        <v>0</v>
      </c>
      <c r="AI365" s="2875">
        <v>0</v>
      </c>
      <c r="AJ365" s="2869"/>
      <c r="AK365" s="2870"/>
      <c r="AL365" s="2870"/>
      <c r="AM365" s="2870"/>
      <c r="AN365" s="2870"/>
      <c r="AO365" s="2877">
        <v>0</v>
      </c>
      <c r="AP365" s="2875">
        <v>0</v>
      </c>
      <c r="AQ365" s="2869"/>
      <c r="AR365" s="2870"/>
      <c r="AS365" s="2870"/>
      <c r="AT365" s="2870"/>
      <c r="AU365" s="2870"/>
      <c r="AV365" s="2877">
        <v>0</v>
      </c>
      <c r="AW365" s="2875">
        <v>0</v>
      </c>
      <c r="AX365" s="2869"/>
      <c r="AY365" s="2870"/>
      <c r="AZ365" s="2870"/>
      <c r="BA365" s="2870"/>
      <c r="BB365" s="2870"/>
      <c r="BC365" s="2877">
        <v>0</v>
      </c>
      <c r="BD365" s="2875">
        <v>0</v>
      </c>
      <c r="BE365" s="2869"/>
      <c r="BF365" s="2870"/>
      <c r="BG365" s="2870"/>
      <c r="BH365" s="2870"/>
      <c r="BI365" s="2870"/>
      <c r="BJ365" s="2877">
        <v>0</v>
      </c>
      <c r="BK365" s="2875">
        <v>0</v>
      </c>
      <c r="BL365" s="2869"/>
      <c r="BM365" s="2870"/>
      <c r="BN365" s="2870"/>
      <c r="BO365" s="2870"/>
      <c r="BP365" s="2870"/>
      <c r="BQ365" s="2877">
        <v>0</v>
      </c>
      <c r="BR365" s="2875">
        <v>0</v>
      </c>
      <c r="BS365" s="2869"/>
      <c r="BT365" s="2870"/>
      <c r="BU365" s="2870"/>
      <c r="BV365" s="2870"/>
      <c r="BW365" s="2870"/>
      <c r="BX365" s="2877">
        <v>0</v>
      </c>
      <c r="BY365" s="2875">
        <v>0</v>
      </c>
      <c r="BZ365" s="2869"/>
      <c r="CA365" s="2870"/>
      <c r="CB365" s="2870"/>
      <c r="CC365" s="2870"/>
      <c r="CD365" s="2870"/>
      <c r="CE365" s="2877">
        <v>0</v>
      </c>
      <c r="CF365" s="2875">
        <v>0</v>
      </c>
      <c r="CG365" s="2869"/>
      <c r="CH365" s="2870"/>
      <c r="CI365" s="2870"/>
      <c r="CJ365" s="2870"/>
      <c r="CK365" s="2870"/>
      <c r="CL365" s="2877">
        <v>0</v>
      </c>
      <c r="CM365" s="2875">
        <v>0</v>
      </c>
      <c r="CN365" s="2872"/>
      <c r="CO365" s="2870"/>
      <c r="CP365" s="2870"/>
      <c r="CQ365" s="2870"/>
      <c r="CR365" s="2870"/>
      <c r="CS365" s="2877">
        <v>0</v>
      </c>
      <c r="CT365" s="2875">
        <v>0</v>
      </c>
      <c r="CU365" s="2878">
        <v>0</v>
      </c>
      <c r="CV365" s="2870">
        <v>0</v>
      </c>
      <c r="CW365" s="2870">
        <v>0</v>
      </c>
      <c r="CX365" s="2870">
        <v>0</v>
      </c>
      <c r="CY365" s="2870">
        <v>0</v>
      </c>
      <c r="CZ365" s="2879">
        <v>0</v>
      </c>
      <c r="DA365" s="2875">
        <v>0</v>
      </c>
      <c r="DJ365" s="1611" t="e">
        <v>#N/A</v>
      </c>
      <c r="DK365" s="2782" t="e">
        <v>#N/A</v>
      </c>
      <c r="DM365" s="1650">
        <v>0</v>
      </c>
    </row>
    <row r="366" spans="1:117" s="1727" customFormat="1" ht="21" customHeight="1">
      <c r="A366" s="1637"/>
      <c r="B366" s="1638" t="s">
        <v>1855</v>
      </c>
      <c r="C366" s="1643"/>
      <c r="D366" s="1641"/>
      <c r="E366" s="1641"/>
      <c r="F366" s="1641"/>
      <c r="G366" s="1641"/>
      <c r="H366" s="1641"/>
      <c r="I366" s="1641"/>
      <c r="J366" s="1649"/>
      <c r="K366" s="1641"/>
      <c r="L366" s="1641"/>
      <c r="M366" s="1641"/>
      <c r="N366" s="1671"/>
      <c r="O366" s="2876">
        <v>93.720339999999993</v>
      </c>
      <c r="P366" s="2874">
        <v>0</v>
      </c>
      <c r="Q366" s="2874">
        <v>400244888</v>
      </c>
      <c r="R366" s="2874">
        <v>104803840</v>
      </c>
      <c r="S366" s="2874"/>
      <c r="T366" s="2879">
        <v>5.3888913335141551</v>
      </c>
      <c r="U366" s="2875">
        <v>505048728</v>
      </c>
      <c r="V366" s="2876">
        <v>44.476614999999995</v>
      </c>
      <c r="W366" s="2874">
        <v>0</v>
      </c>
      <c r="X366" s="2874">
        <v>170303940</v>
      </c>
      <c r="Y366" s="2874">
        <v>50147643</v>
      </c>
      <c r="Z366" s="2874">
        <v>0</v>
      </c>
      <c r="AA366" s="2879">
        <v>4.9565728641894182</v>
      </c>
      <c r="AB366" s="2875">
        <v>220451583</v>
      </c>
      <c r="AC366" s="2876">
        <v>155.955276</v>
      </c>
      <c r="AD366" s="2874">
        <v>0</v>
      </c>
      <c r="AE366" s="2874">
        <v>706955052</v>
      </c>
      <c r="AF366" s="2874">
        <v>49792337</v>
      </c>
      <c r="AG366" s="2874">
        <v>402365</v>
      </c>
      <c r="AH366" s="2879">
        <v>4.8549159311545189</v>
      </c>
      <c r="AI366" s="2875">
        <v>757149754</v>
      </c>
      <c r="AJ366" s="2876">
        <v>90.193199000000007</v>
      </c>
      <c r="AK366" s="2874">
        <v>0</v>
      </c>
      <c r="AL366" s="2874">
        <v>372037302</v>
      </c>
      <c r="AM366" s="2874">
        <v>-12994871</v>
      </c>
      <c r="AN366" s="2874">
        <v>0</v>
      </c>
      <c r="AO366" s="2879">
        <v>3.980814906010818</v>
      </c>
      <c r="AP366" s="2875">
        <v>359042431</v>
      </c>
      <c r="AQ366" s="2876">
        <v>41.451267000000001</v>
      </c>
      <c r="AR366" s="2874">
        <v>0</v>
      </c>
      <c r="AS366" s="2874">
        <v>151050088</v>
      </c>
      <c r="AT366" s="2874">
        <v>-11224512</v>
      </c>
      <c r="AU366" s="2874">
        <v>0</v>
      </c>
      <c r="AV366" s="2879">
        <v>3.3732521613874913</v>
      </c>
      <c r="AW366" s="2875">
        <v>139825576</v>
      </c>
      <c r="AX366" s="2876">
        <v>84.918692000000007</v>
      </c>
      <c r="AY366" s="2874">
        <v>0</v>
      </c>
      <c r="AZ366" s="2874">
        <v>575893098</v>
      </c>
      <c r="BA366" s="2874">
        <v>-2877756</v>
      </c>
      <c r="BB366" s="2874">
        <v>0</v>
      </c>
      <c r="BC366" s="2879">
        <v>6.7478116832039756</v>
      </c>
      <c r="BD366" s="2875">
        <v>573015342</v>
      </c>
      <c r="BE366" s="2876">
        <v>76.360859000000005</v>
      </c>
      <c r="BF366" s="2874">
        <v>0</v>
      </c>
      <c r="BG366" s="2874">
        <v>468853774</v>
      </c>
      <c r="BH366" s="2874">
        <v>147018989</v>
      </c>
      <c r="BI366" s="2874">
        <v>0</v>
      </c>
      <c r="BJ366" s="2879">
        <v>8.0652938045131215</v>
      </c>
      <c r="BK366" s="2875">
        <v>615872763</v>
      </c>
      <c r="BL366" s="2876">
        <v>134.202428</v>
      </c>
      <c r="BM366" s="2874">
        <v>0</v>
      </c>
      <c r="BN366" s="2874">
        <v>468454729</v>
      </c>
      <c r="BO366" s="2874">
        <v>31139786</v>
      </c>
      <c r="BP366" s="2874">
        <v>0</v>
      </c>
      <c r="BQ366" s="2879">
        <v>3.7226935640836545</v>
      </c>
      <c r="BR366" s="2875">
        <v>499594515</v>
      </c>
      <c r="BS366" s="2876">
        <v>91.638114000000002</v>
      </c>
      <c r="BT366" s="2874">
        <v>0</v>
      </c>
      <c r="BU366" s="2874">
        <v>364887470</v>
      </c>
      <c r="BV366" s="2874">
        <v>8651747</v>
      </c>
      <c r="BW366" s="2874">
        <v>0</v>
      </c>
      <c r="BX366" s="2879">
        <v>4.0762429593433147</v>
      </c>
      <c r="BY366" s="2875">
        <v>373539217</v>
      </c>
      <c r="BZ366" s="2876">
        <v>86.178083999999998</v>
      </c>
      <c r="CA366" s="2874">
        <v>0</v>
      </c>
      <c r="CB366" s="2874">
        <v>354539097</v>
      </c>
      <c r="CC366" s="2874">
        <v>21033431</v>
      </c>
      <c r="CD366" s="2874">
        <v>0</v>
      </c>
      <c r="CE366" s="2879">
        <v>4.3580979126897272</v>
      </c>
      <c r="CF366" s="2875">
        <v>375572528</v>
      </c>
      <c r="CG366" s="2876">
        <v>102.95643299999999</v>
      </c>
      <c r="CH366" s="2874">
        <v>0</v>
      </c>
      <c r="CI366" s="2874">
        <v>443430720</v>
      </c>
      <c r="CJ366" s="2874">
        <v>36838756</v>
      </c>
      <c r="CK366" s="2874">
        <v>0</v>
      </c>
      <c r="CL366" s="2879">
        <v>4.6647835594692761</v>
      </c>
      <c r="CM366" s="2875">
        <v>480269476</v>
      </c>
      <c r="CN366" s="2880">
        <v>364.78922799999998</v>
      </c>
      <c r="CO366" s="2874">
        <v>0</v>
      </c>
      <c r="CP366" s="2874">
        <v>166904649</v>
      </c>
      <c r="CQ366" s="2874">
        <v>150124538.70999998</v>
      </c>
      <c r="CR366" s="2874">
        <v>104372452</v>
      </c>
      <c r="CS366" s="2879">
        <v>1.1551921146915007</v>
      </c>
      <c r="CT366" s="2875">
        <v>421401639.70999998</v>
      </c>
      <c r="CU366" s="2881">
        <v>1366.840535</v>
      </c>
      <c r="CV366" s="2874">
        <v>0</v>
      </c>
      <c r="CW366" s="2874">
        <v>4643554807</v>
      </c>
      <c r="CX366" s="2874">
        <v>572453928.71000004</v>
      </c>
      <c r="CY366" s="2874">
        <v>104774817</v>
      </c>
      <c r="CZ366" s="2879">
        <v>3.8927610181753938</v>
      </c>
      <c r="DA366" s="2875">
        <v>5320783552.71</v>
      </c>
      <c r="DB366" s="1609"/>
      <c r="DD366" s="1625"/>
      <c r="DJ366" s="1611" t="e">
        <v>#N/A</v>
      </c>
      <c r="DK366" s="2782" t="e">
        <v>#N/A</v>
      </c>
      <c r="DM366" s="1650">
        <v>3.3972908236877828</v>
      </c>
    </row>
    <row r="367" spans="1:117" ht="21" customHeight="1">
      <c r="A367" s="1652"/>
      <c r="B367" s="1704"/>
      <c r="C367" s="1662"/>
      <c r="D367" s="1648"/>
      <c r="E367" s="1648"/>
      <c r="F367" s="1648"/>
      <c r="G367" s="1648"/>
      <c r="H367" s="1648"/>
      <c r="I367" s="1648"/>
      <c r="J367" s="1663"/>
      <c r="K367" s="1648"/>
      <c r="L367" s="1648"/>
      <c r="M367" s="1648"/>
      <c r="N367" s="1642"/>
      <c r="O367" s="2876"/>
      <c r="P367" s="2870"/>
      <c r="Q367" s="2870"/>
      <c r="R367" s="2870"/>
      <c r="S367" s="2870"/>
      <c r="T367" s="2870"/>
      <c r="U367" s="2875"/>
      <c r="V367" s="2869"/>
      <c r="W367" s="2870"/>
      <c r="X367" s="2870"/>
      <c r="Y367" s="2870"/>
      <c r="Z367" s="2870"/>
      <c r="AA367" s="2877"/>
      <c r="AB367" s="2875"/>
      <c r="AC367" s="2869"/>
      <c r="AD367" s="2870"/>
      <c r="AE367" s="2870"/>
      <c r="AF367" s="2870"/>
      <c r="AG367" s="2870"/>
      <c r="AH367" s="2877"/>
      <c r="AI367" s="2875"/>
      <c r="AJ367" s="2869"/>
      <c r="AK367" s="2870"/>
      <c r="AL367" s="2870"/>
      <c r="AM367" s="2870"/>
      <c r="AN367" s="2870"/>
      <c r="AO367" s="2877"/>
      <c r="AP367" s="2875"/>
      <c r="AQ367" s="2869"/>
      <c r="AR367" s="2870"/>
      <c r="AS367" s="2870"/>
      <c r="AT367" s="2870"/>
      <c r="AU367" s="2870"/>
      <c r="AV367" s="2877"/>
      <c r="AW367" s="2875"/>
      <c r="AX367" s="2869"/>
      <c r="AY367" s="2870"/>
      <c r="AZ367" s="2870"/>
      <c r="BA367" s="2870"/>
      <c r="BB367" s="2870"/>
      <c r="BC367" s="2877"/>
      <c r="BD367" s="2875"/>
      <c r="BE367" s="2869"/>
      <c r="BF367" s="2870"/>
      <c r="BG367" s="2870"/>
      <c r="BH367" s="2870"/>
      <c r="BI367" s="2870"/>
      <c r="BJ367" s="2877"/>
      <c r="BK367" s="2875"/>
      <c r="BL367" s="2869"/>
      <c r="BM367" s="2870"/>
      <c r="BN367" s="2870"/>
      <c r="BO367" s="2870"/>
      <c r="BP367" s="2870"/>
      <c r="BQ367" s="2877"/>
      <c r="BR367" s="2875"/>
      <c r="BS367" s="2869"/>
      <c r="BT367" s="2870"/>
      <c r="BU367" s="2870"/>
      <c r="BV367" s="2870"/>
      <c r="BW367" s="2870"/>
      <c r="BX367" s="2877"/>
      <c r="BY367" s="2875"/>
      <c r="BZ367" s="2869"/>
      <c r="CA367" s="2870"/>
      <c r="CB367" s="2870"/>
      <c r="CC367" s="2870"/>
      <c r="CD367" s="2870"/>
      <c r="CE367" s="2877"/>
      <c r="CF367" s="2875"/>
      <c r="CG367" s="2869"/>
      <c r="CH367" s="2870"/>
      <c r="CI367" s="2870"/>
      <c r="CJ367" s="2870"/>
      <c r="CK367" s="2870"/>
      <c r="CL367" s="2877"/>
      <c r="CM367" s="2875"/>
      <c r="CN367" s="2872"/>
      <c r="CO367" s="2870"/>
      <c r="CP367" s="2870"/>
      <c r="CQ367" s="2870"/>
      <c r="CR367" s="2870"/>
      <c r="CS367" s="2877"/>
      <c r="CT367" s="2875"/>
      <c r="CU367" s="2878"/>
      <c r="CV367" s="2870"/>
      <c r="CW367" s="2870"/>
      <c r="CX367" s="2870"/>
      <c r="CY367" s="2870"/>
      <c r="CZ367" s="2879"/>
      <c r="DA367" s="2875"/>
      <c r="DJ367" s="1611" t="e">
        <v>#N/A</v>
      </c>
      <c r="DK367" s="2782" t="e">
        <v>#N/A</v>
      </c>
      <c r="DM367" s="1650">
        <v>0</v>
      </c>
    </row>
    <row r="368" spans="1:117" ht="21" customHeight="1">
      <c r="A368" s="1652"/>
      <c r="B368" s="1706" t="s">
        <v>1520</v>
      </c>
      <c r="C368" s="1662"/>
      <c r="D368" s="1648"/>
      <c r="E368" s="1648"/>
      <c r="F368" s="1648"/>
      <c r="G368" s="1648"/>
      <c r="H368" s="1648"/>
      <c r="I368" s="1648"/>
      <c r="J368" s="1663">
        <v>2</v>
      </c>
      <c r="K368" s="1648"/>
      <c r="L368" s="1648"/>
      <c r="M368" s="1648"/>
      <c r="N368" s="1642"/>
      <c r="O368" s="2876"/>
      <c r="P368" s="2870"/>
      <c r="Q368" s="2870"/>
      <c r="R368" s="2870"/>
      <c r="S368" s="2870"/>
      <c r="T368" s="2870"/>
      <c r="U368" s="2875"/>
      <c r="V368" s="2869"/>
      <c r="W368" s="2870"/>
      <c r="X368" s="2870"/>
      <c r="Y368" s="2870"/>
      <c r="Z368" s="2870"/>
      <c r="AA368" s="2877">
        <v>0</v>
      </c>
      <c r="AB368" s="2875">
        <v>0</v>
      </c>
      <c r="AC368" s="2869"/>
      <c r="AD368" s="2870"/>
      <c r="AE368" s="2870"/>
      <c r="AF368" s="2870"/>
      <c r="AG368" s="2870"/>
      <c r="AH368" s="2877">
        <v>0</v>
      </c>
      <c r="AI368" s="2875">
        <v>0</v>
      </c>
      <c r="AJ368" s="2869"/>
      <c r="AK368" s="2870"/>
      <c r="AL368" s="2870"/>
      <c r="AM368" s="2870"/>
      <c r="AN368" s="2870"/>
      <c r="AO368" s="2877">
        <v>0</v>
      </c>
      <c r="AP368" s="2875">
        <v>0</v>
      </c>
      <c r="AQ368" s="2869"/>
      <c r="AR368" s="2870"/>
      <c r="AS368" s="2870"/>
      <c r="AT368" s="2870"/>
      <c r="AU368" s="2870"/>
      <c r="AV368" s="2877">
        <v>0</v>
      </c>
      <c r="AW368" s="2875">
        <v>0</v>
      </c>
      <c r="AX368" s="2869"/>
      <c r="AY368" s="2870"/>
      <c r="AZ368" s="2870"/>
      <c r="BA368" s="2870"/>
      <c r="BB368" s="2870"/>
      <c r="BC368" s="2877">
        <v>0</v>
      </c>
      <c r="BD368" s="2875">
        <v>0</v>
      </c>
      <c r="BE368" s="2869"/>
      <c r="BF368" s="2870"/>
      <c r="BG368" s="2870"/>
      <c r="BH368" s="2870"/>
      <c r="BI368" s="2870"/>
      <c r="BJ368" s="2877">
        <v>0</v>
      </c>
      <c r="BK368" s="2875">
        <v>0</v>
      </c>
      <c r="BL368" s="2869"/>
      <c r="BM368" s="2870"/>
      <c r="BN368" s="2870"/>
      <c r="BO368" s="2870"/>
      <c r="BP368" s="2870"/>
      <c r="BQ368" s="2877">
        <v>0</v>
      </c>
      <c r="BR368" s="2875">
        <v>0</v>
      </c>
      <c r="BS368" s="2869"/>
      <c r="BT368" s="2870"/>
      <c r="BU368" s="2870"/>
      <c r="BV368" s="2870"/>
      <c r="BW368" s="2870"/>
      <c r="BX368" s="2877">
        <v>0</v>
      </c>
      <c r="BY368" s="2875">
        <v>0</v>
      </c>
      <c r="BZ368" s="2869"/>
      <c r="CA368" s="2870"/>
      <c r="CB368" s="2870"/>
      <c r="CC368" s="2870"/>
      <c r="CD368" s="2870"/>
      <c r="CE368" s="2877">
        <v>0</v>
      </c>
      <c r="CF368" s="2875">
        <v>0</v>
      </c>
      <c r="CG368" s="2869"/>
      <c r="CH368" s="2870"/>
      <c r="CI368" s="2870"/>
      <c r="CJ368" s="2870"/>
      <c r="CK368" s="2870"/>
      <c r="CL368" s="2877">
        <v>0</v>
      </c>
      <c r="CM368" s="2875">
        <v>0</v>
      </c>
      <c r="CN368" s="2872"/>
      <c r="CO368" s="2870"/>
      <c r="CP368" s="2870"/>
      <c r="CQ368" s="2870"/>
      <c r="CR368" s="2870"/>
      <c r="CS368" s="2877"/>
      <c r="CT368" s="2875"/>
      <c r="CU368" s="2878"/>
      <c r="CV368" s="2870"/>
      <c r="CW368" s="2870"/>
      <c r="CX368" s="2870"/>
      <c r="CY368" s="2870"/>
      <c r="CZ368" s="2879"/>
      <c r="DA368" s="2875"/>
      <c r="DJ368" s="1611" t="e">
        <v>#N/A</v>
      </c>
      <c r="DK368" s="2782" t="e">
        <v>#N/A</v>
      </c>
      <c r="DM368" s="1650">
        <v>0</v>
      </c>
    </row>
    <row r="369" spans="1:117" s="1677" customFormat="1" ht="21" customHeight="1">
      <c r="A369" s="1652" t="s">
        <v>1032</v>
      </c>
      <c r="B369" s="1704" t="s">
        <v>2007</v>
      </c>
      <c r="C369" s="1662"/>
      <c r="D369" s="1646" t="e">
        <v>#DIV/0!</v>
      </c>
      <c r="E369" s="1646"/>
      <c r="F369" s="1648" t="s">
        <v>1594</v>
      </c>
      <c r="G369" s="1648"/>
      <c r="H369" s="1648"/>
      <c r="I369" s="1648"/>
      <c r="J369" s="1649"/>
      <c r="K369" s="1648"/>
      <c r="L369" s="1648"/>
      <c r="M369" s="1648"/>
      <c r="N369" s="1642"/>
      <c r="O369" s="2876"/>
      <c r="P369" s="2870"/>
      <c r="Q369" s="2870"/>
      <c r="R369" s="2870">
        <v>2783487957</v>
      </c>
      <c r="S369" s="2870"/>
      <c r="T369" s="2870" t="s">
        <v>1594</v>
      </c>
      <c r="U369" s="2875">
        <v>2783487957</v>
      </c>
      <c r="V369" s="2869"/>
      <c r="W369" s="2870"/>
      <c r="X369" s="2870"/>
      <c r="Y369" s="2870">
        <v>2758930166</v>
      </c>
      <c r="Z369" s="2870"/>
      <c r="AA369" s="2877">
        <v>0</v>
      </c>
      <c r="AB369" s="2875">
        <v>2758930166</v>
      </c>
      <c r="AC369" s="2869"/>
      <c r="AD369" s="2870"/>
      <c r="AE369" s="2870"/>
      <c r="AF369" s="2870">
        <v>1136190834</v>
      </c>
      <c r="AG369" s="2870"/>
      <c r="AH369" s="2877">
        <v>0</v>
      </c>
      <c r="AI369" s="2875">
        <v>1136190834</v>
      </c>
      <c r="AJ369" s="2869"/>
      <c r="AK369" s="2870"/>
      <c r="AL369" s="2870"/>
      <c r="AM369" s="2870">
        <v>2583935180</v>
      </c>
      <c r="AN369" s="2870"/>
      <c r="AO369" s="2877">
        <v>0</v>
      </c>
      <c r="AP369" s="2875">
        <v>2583935180</v>
      </c>
      <c r="AQ369" s="2869"/>
      <c r="AR369" s="2870"/>
      <c r="AS369" s="2870"/>
      <c r="AT369" s="2870">
        <v>3229365788</v>
      </c>
      <c r="AU369" s="2870"/>
      <c r="AV369" s="2877">
        <v>0</v>
      </c>
      <c r="AW369" s="2875">
        <v>3229365788</v>
      </c>
      <c r="AX369" s="2869"/>
      <c r="AY369" s="2870"/>
      <c r="AZ369" s="2870"/>
      <c r="BA369" s="2870">
        <v>3538423033</v>
      </c>
      <c r="BB369" s="2870"/>
      <c r="BC369" s="2877">
        <v>0</v>
      </c>
      <c r="BD369" s="2875">
        <v>3538423033</v>
      </c>
      <c r="BE369" s="2869"/>
      <c r="BF369" s="2870"/>
      <c r="BG369" s="2870"/>
      <c r="BH369" s="2870">
        <v>2786759403</v>
      </c>
      <c r="BI369" s="2870"/>
      <c r="BJ369" s="2877">
        <v>0</v>
      </c>
      <c r="BK369" s="2875">
        <v>2786759403</v>
      </c>
      <c r="BL369" s="2869"/>
      <c r="BM369" s="2870"/>
      <c r="BN369" s="2870"/>
      <c r="BO369" s="2870">
        <v>3074255286</v>
      </c>
      <c r="BP369" s="2870"/>
      <c r="BQ369" s="2877">
        <v>0</v>
      </c>
      <c r="BR369" s="2875">
        <v>3074255286</v>
      </c>
      <c r="BS369" s="2869"/>
      <c r="BT369" s="2870"/>
      <c r="BU369" s="2870"/>
      <c r="BV369" s="2870">
        <v>3566800073</v>
      </c>
      <c r="BW369" s="2870"/>
      <c r="BX369" s="2877">
        <v>0</v>
      </c>
      <c r="BY369" s="2875">
        <v>3566800073</v>
      </c>
      <c r="BZ369" s="2869"/>
      <c r="CA369" s="2870"/>
      <c r="CB369" s="2870"/>
      <c r="CC369" s="2870">
        <v>18836572</v>
      </c>
      <c r="CD369" s="2870"/>
      <c r="CE369" s="2877">
        <v>0</v>
      </c>
      <c r="CF369" s="2875">
        <v>18836572</v>
      </c>
      <c r="CG369" s="2869"/>
      <c r="CH369" s="2870"/>
      <c r="CI369" s="2870"/>
      <c r="CJ369" s="2870">
        <v>6613840446</v>
      </c>
      <c r="CK369" s="2870"/>
      <c r="CL369" s="2877">
        <v>0</v>
      </c>
      <c r="CM369" s="2875">
        <v>6613840446</v>
      </c>
      <c r="CN369" s="2872"/>
      <c r="CO369" s="2870"/>
      <c r="CP369" s="2870"/>
      <c r="CQ369" s="2870">
        <v>5289928312</v>
      </c>
      <c r="CR369" s="2870">
        <v>126944452</v>
      </c>
      <c r="CS369" s="2877">
        <v>0</v>
      </c>
      <c r="CT369" s="2875">
        <v>5416872764</v>
      </c>
      <c r="CU369" s="2878">
        <v>0</v>
      </c>
      <c r="CV369" s="2870">
        <v>0</v>
      </c>
      <c r="CW369" s="2870">
        <v>0</v>
      </c>
      <c r="CX369" s="2870">
        <v>37380753050</v>
      </c>
      <c r="CY369" s="2870">
        <v>126944452</v>
      </c>
      <c r="CZ369" s="2879">
        <v>0</v>
      </c>
      <c r="DA369" s="2875">
        <v>37507697502</v>
      </c>
      <c r="DB369" s="1676"/>
      <c r="DD369" s="1678"/>
      <c r="DJ369" s="1611" t="e">
        <v>#N/A</v>
      </c>
      <c r="DK369" s="2782" t="e">
        <v>#N/A</v>
      </c>
      <c r="DM369" s="1650">
        <v>0</v>
      </c>
    </row>
    <row r="370" spans="1:117" ht="21" customHeight="1">
      <c r="A370" s="1652" t="s">
        <v>2008</v>
      </c>
      <c r="B370" s="1704" t="s">
        <v>2009</v>
      </c>
      <c r="C370" s="1662"/>
      <c r="D370" s="1646" t="e">
        <v>#DIV/0!</v>
      </c>
      <c r="E370" s="1646"/>
      <c r="F370" s="1648"/>
      <c r="G370" s="1648"/>
      <c r="H370" s="1648"/>
      <c r="I370" s="1648"/>
      <c r="J370" s="1663"/>
      <c r="K370" s="1648"/>
      <c r="L370" s="1648"/>
      <c r="M370" s="1648"/>
      <c r="N370" s="1642"/>
      <c r="O370" s="2876"/>
      <c r="P370" s="2870"/>
      <c r="Q370" s="2870"/>
      <c r="R370" s="2870"/>
      <c r="S370" s="2870"/>
      <c r="T370" s="2870"/>
      <c r="U370" s="2875">
        <v>0</v>
      </c>
      <c r="V370" s="2869"/>
      <c r="W370" s="2870"/>
      <c r="X370" s="2870"/>
      <c r="Y370" s="2870"/>
      <c r="Z370" s="2870"/>
      <c r="AA370" s="2877">
        <v>0</v>
      </c>
      <c r="AB370" s="2875">
        <v>0</v>
      </c>
      <c r="AC370" s="2869"/>
      <c r="AD370" s="2870"/>
      <c r="AE370" s="2870"/>
      <c r="AF370" s="2870"/>
      <c r="AG370" s="2870"/>
      <c r="AH370" s="2877">
        <v>0</v>
      </c>
      <c r="AI370" s="2875">
        <v>0</v>
      </c>
      <c r="AJ370" s="2869"/>
      <c r="AK370" s="2870"/>
      <c r="AL370" s="2870"/>
      <c r="AM370" s="2870"/>
      <c r="AN370" s="2870"/>
      <c r="AO370" s="2877">
        <v>0</v>
      </c>
      <c r="AP370" s="2875">
        <v>0</v>
      </c>
      <c r="AQ370" s="2869"/>
      <c r="AR370" s="2870"/>
      <c r="AS370" s="2870"/>
      <c r="AT370" s="2870"/>
      <c r="AU370" s="2870"/>
      <c r="AV370" s="2877">
        <v>0</v>
      </c>
      <c r="AW370" s="2875">
        <v>0</v>
      </c>
      <c r="AX370" s="2869"/>
      <c r="AY370" s="2870"/>
      <c r="AZ370" s="2870"/>
      <c r="BA370" s="2870"/>
      <c r="BB370" s="2870"/>
      <c r="BC370" s="2877">
        <v>0</v>
      </c>
      <c r="BD370" s="2875">
        <v>0</v>
      </c>
      <c r="BE370" s="2869"/>
      <c r="BF370" s="2870"/>
      <c r="BG370" s="2870"/>
      <c r="BH370" s="2870"/>
      <c r="BI370" s="2870"/>
      <c r="BJ370" s="2877">
        <v>0</v>
      </c>
      <c r="BK370" s="2875">
        <v>0</v>
      </c>
      <c r="BL370" s="2869"/>
      <c r="BM370" s="2870"/>
      <c r="BN370" s="2870"/>
      <c r="BO370" s="2870"/>
      <c r="BP370" s="2870"/>
      <c r="BQ370" s="2877">
        <v>0</v>
      </c>
      <c r="BR370" s="2875">
        <v>0</v>
      </c>
      <c r="BS370" s="2869"/>
      <c r="BT370" s="2870"/>
      <c r="BU370" s="2870"/>
      <c r="BV370" s="2870"/>
      <c r="BW370" s="2870"/>
      <c r="BX370" s="2877">
        <v>0</v>
      </c>
      <c r="BY370" s="2875">
        <v>0</v>
      </c>
      <c r="BZ370" s="2869"/>
      <c r="CA370" s="2870"/>
      <c r="CB370" s="2870"/>
      <c r="CC370" s="2870"/>
      <c r="CD370" s="2870"/>
      <c r="CE370" s="2877">
        <v>0</v>
      </c>
      <c r="CF370" s="2875">
        <v>0</v>
      </c>
      <c r="CG370" s="2869"/>
      <c r="CH370" s="2870"/>
      <c r="CI370" s="2870"/>
      <c r="CJ370" s="2870"/>
      <c r="CK370" s="2870"/>
      <c r="CL370" s="2877">
        <v>0</v>
      </c>
      <c r="CM370" s="2875">
        <v>0</v>
      </c>
      <c r="CN370" s="2872"/>
      <c r="CO370" s="2870"/>
      <c r="CP370" s="2870"/>
      <c r="CQ370" s="2870"/>
      <c r="CR370" s="2870"/>
      <c r="CS370" s="2877">
        <v>0</v>
      </c>
      <c r="CT370" s="2875">
        <v>0</v>
      </c>
      <c r="CU370" s="2878">
        <v>0</v>
      </c>
      <c r="CV370" s="2870">
        <v>0</v>
      </c>
      <c r="CW370" s="2870">
        <v>0</v>
      </c>
      <c r="CX370" s="2870">
        <v>0</v>
      </c>
      <c r="CY370" s="2870">
        <v>0</v>
      </c>
      <c r="CZ370" s="2879">
        <v>0</v>
      </c>
      <c r="DA370" s="2875">
        <v>0</v>
      </c>
      <c r="DJ370" s="1611" t="e">
        <v>#N/A</v>
      </c>
      <c r="DK370" s="2782" t="e">
        <v>#N/A</v>
      </c>
      <c r="DM370" s="1650">
        <v>0</v>
      </c>
    </row>
    <row r="371" spans="1:117" ht="21" customHeight="1">
      <c r="A371" s="1652" t="s">
        <v>1033</v>
      </c>
      <c r="B371" s="1704" t="s">
        <v>2010</v>
      </c>
      <c r="C371" s="1662"/>
      <c r="D371" s="1646" t="e">
        <v>#DIV/0!</v>
      </c>
      <c r="E371" s="1646"/>
      <c r="F371" s="1648"/>
      <c r="G371" s="1648"/>
      <c r="H371" s="1648"/>
      <c r="I371" s="1648"/>
      <c r="J371" s="1663"/>
      <c r="K371" s="1648"/>
      <c r="L371" s="1648"/>
      <c r="M371" s="1648"/>
      <c r="N371" s="1642"/>
      <c r="O371" s="2876"/>
      <c r="P371" s="2870"/>
      <c r="Q371" s="2870"/>
      <c r="R371" s="2870"/>
      <c r="S371" s="2870"/>
      <c r="T371" s="2870"/>
      <c r="U371" s="2875">
        <v>0</v>
      </c>
      <c r="V371" s="2869"/>
      <c r="W371" s="2870"/>
      <c r="X371" s="2870"/>
      <c r="Y371" s="2870"/>
      <c r="Z371" s="2870"/>
      <c r="AA371" s="2877">
        <v>0</v>
      </c>
      <c r="AB371" s="2875">
        <v>0</v>
      </c>
      <c r="AC371" s="2869"/>
      <c r="AD371" s="2870"/>
      <c r="AE371" s="2870"/>
      <c r="AF371" s="2870"/>
      <c r="AG371" s="2870"/>
      <c r="AH371" s="2877">
        <v>0</v>
      </c>
      <c r="AI371" s="2875">
        <v>0</v>
      </c>
      <c r="AJ371" s="2869"/>
      <c r="AK371" s="2870"/>
      <c r="AL371" s="2870"/>
      <c r="AM371" s="2870"/>
      <c r="AN371" s="2870"/>
      <c r="AO371" s="2877">
        <v>0</v>
      </c>
      <c r="AP371" s="2875">
        <v>0</v>
      </c>
      <c r="AQ371" s="2869"/>
      <c r="AR371" s="2870"/>
      <c r="AS371" s="2870"/>
      <c r="AT371" s="2870"/>
      <c r="AU371" s="2870"/>
      <c r="AV371" s="2877">
        <v>0</v>
      </c>
      <c r="AW371" s="2875">
        <v>0</v>
      </c>
      <c r="AX371" s="2869"/>
      <c r="AY371" s="2870"/>
      <c r="AZ371" s="2870"/>
      <c r="BA371" s="2870"/>
      <c r="BB371" s="2870"/>
      <c r="BC371" s="2877">
        <v>0</v>
      </c>
      <c r="BD371" s="2875">
        <v>0</v>
      </c>
      <c r="BE371" s="2869"/>
      <c r="BF371" s="2870"/>
      <c r="BG371" s="2870"/>
      <c r="BH371" s="2870"/>
      <c r="BI371" s="2870"/>
      <c r="BJ371" s="2877">
        <v>0</v>
      </c>
      <c r="BK371" s="2875">
        <v>0</v>
      </c>
      <c r="BL371" s="2869"/>
      <c r="BM371" s="2870"/>
      <c r="BN371" s="2870"/>
      <c r="BO371" s="2870"/>
      <c r="BP371" s="2870"/>
      <c r="BQ371" s="2877">
        <v>0</v>
      </c>
      <c r="BR371" s="2875">
        <v>0</v>
      </c>
      <c r="BS371" s="2869"/>
      <c r="BT371" s="2870"/>
      <c r="BU371" s="2870"/>
      <c r="BV371" s="2870"/>
      <c r="BW371" s="2870"/>
      <c r="BX371" s="2877">
        <v>0</v>
      </c>
      <c r="BY371" s="2875">
        <v>0</v>
      </c>
      <c r="BZ371" s="2869"/>
      <c r="CA371" s="2870"/>
      <c r="CB371" s="2870"/>
      <c r="CC371" s="2870"/>
      <c r="CD371" s="2870"/>
      <c r="CE371" s="2877">
        <v>0</v>
      </c>
      <c r="CF371" s="2875">
        <v>0</v>
      </c>
      <c r="CG371" s="2869"/>
      <c r="CH371" s="2870"/>
      <c r="CI371" s="2870"/>
      <c r="CJ371" s="2870"/>
      <c r="CK371" s="2870"/>
      <c r="CL371" s="2877">
        <v>0</v>
      </c>
      <c r="CM371" s="2875">
        <v>0</v>
      </c>
      <c r="CN371" s="2872"/>
      <c r="CO371" s="2870"/>
      <c r="CP371" s="2870"/>
      <c r="CQ371" s="2870"/>
      <c r="CR371" s="2870"/>
      <c r="CS371" s="2877">
        <v>0</v>
      </c>
      <c r="CT371" s="2875">
        <v>0</v>
      </c>
      <c r="CU371" s="2878">
        <v>0</v>
      </c>
      <c r="CV371" s="2870">
        <v>0</v>
      </c>
      <c r="CW371" s="2870">
        <v>0</v>
      </c>
      <c r="CX371" s="2870">
        <v>0</v>
      </c>
      <c r="CY371" s="2870">
        <v>0</v>
      </c>
      <c r="CZ371" s="2879">
        <v>0</v>
      </c>
      <c r="DA371" s="2875">
        <v>0</v>
      </c>
      <c r="DJ371" s="1611" t="e">
        <v>#N/A</v>
      </c>
      <c r="DK371" s="2782" t="e">
        <v>#N/A</v>
      </c>
      <c r="DM371" s="1650">
        <v>0</v>
      </c>
    </row>
    <row r="372" spans="1:117" ht="21" customHeight="1">
      <c r="A372" s="1652" t="s">
        <v>129</v>
      </c>
      <c r="B372" s="1704" t="s">
        <v>2011</v>
      </c>
      <c r="C372" s="1662"/>
      <c r="D372" s="1646" t="e">
        <v>#DIV/0!</v>
      </c>
      <c r="E372" s="1646"/>
      <c r="F372" s="1648"/>
      <c r="G372" s="1648"/>
      <c r="H372" s="1648"/>
      <c r="I372" s="1648"/>
      <c r="J372" s="1663"/>
      <c r="K372" s="1648"/>
      <c r="L372" s="1648"/>
      <c r="M372" s="1648"/>
      <c r="N372" s="1642"/>
      <c r="O372" s="2876"/>
      <c r="P372" s="2870"/>
      <c r="Q372" s="2870"/>
      <c r="R372" s="2870">
        <v>697315068</v>
      </c>
      <c r="S372" s="2870"/>
      <c r="T372" s="2870" t="s">
        <v>1594</v>
      </c>
      <c r="U372" s="2875">
        <v>697315068</v>
      </c>
      <c r="V372" s="2869"/>
      <c r="W372" s="2870"/>
      <c r="X372" s="2870"/>
      <c r="Y372" s="2870"/>
      <c r="Z372" s="2870"/>
      <c r="AA372" s="2877">
        <v>0</v>
      </c>
      <c r="AB372" s="2875">
        <v>0</v>
      </c>
      <c r="AC372" s="2869"/>
      <c r="AD372" s="2870"/>
      <c r="AE372" s="2870"/>
      <c r="AF372" s="2870">
        <v>1417873972</v>
      </c>
      <c r="AG372" s="2870"/>
      <c r="AH372" s="2877">
        <v>0</v>
      </c>
      <c r="AI372" s="2875">
        <v>1417873972</v>
      </c>
      <c r="AJ372" s="2869"/>
      <c r="AK372" s="2870"/>
      <c r="AL372" s="2870"/>
      <c r="AM372" s="2870">
        <v>720558904</v>
      </c>
      <c r="AN372" s="2870"/>
      <c r="AO372" s="2877">
        <v>0</v>
      </c>
      <c r="AP372" s="2875">
        <v>720558904</v>
      </c>
      <c r="AQ372" s="2869"/>
      <c r="AR372" s="2870"/>
      <c r="AS372" s="2870"/>
      <c r="AT372" s="2870">
        <v>720558904</v>
      </c>
      <c r="AU372" s="2870"/>
      <c r="AV372" s="2877">
        <v>0</v>
      </c>
      <c r="AW372" s="2875">
        <v>720558904</v>
      </c>
      <c r="AX372" s="2869"/>
      <c r="AY372" s="2870"/>
      <c r="AZ372" s="2870"/>
      <c r="BA372" s="2870">
        <v>697315068</v>
      </c>
      <c r="BB372" s="2870"/>
      <c r="BC372" s="2877">
        <v>0</v>
      </c>
      <c r="BD372" s="2875">
        <v>697315068</v>
      </c>
      <c r="BE372" s="2869"/>
      <c r="BF372" s="2870"/>
      <c r="BG372" s="2870"/>
      <c r="BH372" s="2870">
        <v>720558904</v>
      </c>
      <c r="BI372" s="2870"/>
      <c r="BJ372" s="2877">
        <v>0</v>
      </c>
      <c r="BK372" s="2875">
        <v>720558904</v>
      </c>
      <c r="BL372" s="2869"/>
      <c r="BM372" s="2870"/>
      <c r="BN372" s="2870"/>
      <c r="BO372" s="2870">
        <v>697315068</v>
      </c>
      <c r="BP372" s="2870"/>
      <c r="BQ372" s="2877">
        <v>0</v>
      </c>
      <c r="BR372" s="2875">
        <v>697315068</v>
      </c>
      <c r="BS372" s="2869"/>
      <c r="BT372" s="2870"/>
      <c r="BU372" s="2870"/>
      <c r="BV372" s="2870">
        <v>720558904</v>
      </c>
      <c r="BW372" s="2870"/>
      <c r="BX372" s="2877">
        <v>0</v>
      </c>
      <c r="BY372" s="2875">
        <v>720558904</v>
      </c>
      <c r="BZ372" s="2869"/>
      <c r="CA372" s="2870"/>
      <c r="CB372" s="2870"/>
      <c r="CC372" s="2870">
        <v>720558904</v>
      </c>
      <c r="CD372" s="2870"/>
      <c r="CE372" s="2877">
        <v>0</v>
      </c>
      <c r="CF372" s="2875">
        <v>720558904</v>
      </c>
      <c r="CG372" s="2869"/>
      <c r="CH372" s="2870"/>
      <c r="CI372" s="2870"/>
      <c r="CJ372" s="2870">
        <v>650827397</v>
      </c>
      <c r="CK372" s="2870"/>
      <c r="CL372" s="2877">
        <v>0</v>
      </c>
      <c r="CM372" s="2875">
        <v>650827397</v>
      </c>
      <c r="CN372" s="2872"/>
      <c r="CO372" s="2870"/>
      <c r="CP372" s="2870"/>
      <c r="CQ372" s="2870">
        <v>994805890</v>
      </c>
      <c r="CR372" s="2870">
        <v>6296833314</v>
      </c>
      <c r="CS372" s="2877">
        <v>0</v>
      </c>
      <c r="CT372" s="2875">
        <v>7291639204</v>
      </c>
      <c r="CU372" s="2878">
        <v>0</v>
      </c>
      <c r="CV372" s="2870">
        <v>0</v>
      </c>
      <c r="CW372" s="2870">
        <v>0</v>
      </c>
      <c r="CX372" s="2870">
        <v>8758246983</v>
      </c>
      <c r="CY372" s="2870">
        <v>6296833314</v>
      </c>
      <c r="CZ372" s="2879">
        <v>0</v>
      </c>
      <c r="DA372" s="2875">
        <v>15055080297</v>
      </c>
      <c r="DJ372" s="1611" t="e">
        <v>#N/A</v>
      </c>
      <c r="DK372" s="2782" t="e">
        <v>#N/A</v>
      </c>
      <c r="DM372" s="1650">
        <v>0</v>
      </c>
    </row>
    <row r="373" spans="1:117" ht="21" customHeight="1">
      <c r="A373" s="1652" t="s">
        <v>130</v>
      </c>
      <c r="B373" s="1704" t="s">
        <v>2012</v>
      </c>
      <c r="C373" s="1662"/>
      <c r="D373" s="1646" t="e">
        <v>#DIV/0!</v>
      </c>
      <c r="E373" s="1646"/>
      <c r="F373" s="1648"/>
      <c r="G373" s="1648"/>
      <c r="H373" s="1648"/>
      <c r="I373" s="1648"/>
      <c r="J373" s="1663"/>
      <c r="K373" s="1648"/>
      <c r="L373" s="1648"/>
      <c r="M373" s="1648"/>
      <c r="N373" s="1642"/>
      <c r="O373" s="2876"/>
      <c r="P373" s="2870"/>
      <c r="Q373" s="2870"/>
      <c r="R373" s="2870">
        <v>238878524</v>
      </c>
      <c r="S373" s="2870"/>
      <c r="T373" s="2870" t="s">
        <v>1594</v>
      </c>
      <c r="U373" s="2875">
        <v>238878524</v>
      </c>
      <c r="V373" s="2869"/>
      <c r="W373" s="2870"/>
      <c r="X373" s="2870"/>
      <c r="Y373" s="2870"/>
      <c r="Z373" s="2870"/>
      <c r="AA373" s="2877">
        <v>0</v>
      </c>
      <c r="AB373" s="2875">
        <v>0</v>
      </c>
      <c r="AC373" s="2869"/>
      <c r="AD373" s="2870"/>
      <c r="AE373" s="2870"/>
      <c r="AF373" s="2870">
        <v>485770944</v>
      </c>
      <c r="AG373" s="2870"/>
      <c r="AH373" s="2877">
        <v>0</v>
      </c>
      <c r="AI373" s="2875">
        <v>485770944</v>
      </c>
      <c r="AJ373" s="2869"/>
      <c r="AK373" s="2870"/>
      <c r="AL373" s="2870"/>
      <c r="AM373" s="2870">
        <v>246893547</v>
      </c>
      <c r="AN373" s="2870"/>
      <c r="AO373" s="2877">
        <v>0</v>
      </c>
      <c r="AP373" s="2875">
        <v>246893547</v>
      </c>
      <c r="AQ373" s="2869"/>
      <c r="AR373" s="2870"/>
      <c r="AS373" s="2870"/>
      <c r="AT373" s="2870"/>
      <c r="AU373" s="2870"/>
      <c r="AV373" s="2877">
        <v>0</v>
      </c>
      <c r="AW373" s="2875">
        <v>0</v>
      </c>
      <c r="AX373" s="2869"/>
      <c r="AY373" s="2870"/>
      <c r="AZ373" s="2870"/>
      <c r="BA373" s="2870">
        <v>485873391</v>
      </c>
      <c r="BB373" s="2870"/>
      <c r="BC373" s="2877">
        <v>0</v>
      </c>
      <c r="BD373" s="2875">
        <v>485873391</v>
      </c>
      <c r="BE373" s="2869"/>
      <c r="BF373" s="2870"/>
      <c r="BG373" s="2870"/>
      <c r="BH373" s="2870">
        <v>245404610</v>
      </c>
      <c r="BI373" s="2870"/>
      <c r="BJ373" s="2877">
        <v>0</v>
      </c>
      <c r="BK373" s="2875">
        <v>245404610</v>
      </c>
      <c r="BL373" s="2869"/>
      <c r="BM373" s="2870"/>
      <c r="BN373" s="2870"/>
      <c r="BO373" s="2870">
        <v>237492642</v>
      </c>
      <c r="BP373" s="2870"/>
      <c r="BQ373" s="2877">
        <v>0</v>
      </c>
      <c r="BR373" s="2875">
        <v>237492642</v>
      </c>
      <c r="BS373" s="2869"/>
      <c r="BT373" s="2870"/>
      <c r="BU373" s="2870"/>
      <c r="BV373" s="2870">
        <v>245413858</v>
      </c>
      <c r="BW373" s="2870"/>
      <c r="BX373" s="2877">
        <v>0</v>
      </c>
      <c r="BY373" s="2875">
        <v>245413858</v>
      </c>
      <c r="BZ373" s="2869"/>
      <c r="CA373" s="2870"/>
      <c r="CB373" s="2870"/>
      <c r="CC373" s="2870">
        <v>245418311</v>
      </c>
      <c r="CD373" s="2870"/>
      <c r="CE373" s="2877">
        <v>0</v>
      </c>
      <c r="CF373" s="2875">
        <v>245418311</v>
      </c>
      <c r="CG373" s="2869"/>
      <c r="CH373" s="2870"/>
      <c r="CI373" s="2870"/>
      <c r="CJ373" s="2870">
        <v>221672173</v>
      </c>
      <c r="CK373" s="2870"/>
      <c r="CL373" s="2877">
        <v>0</v>
      </c>
      <c r="CM373" s="2875">
        <v>221672173</v>
      </c>
      <c r="CN373" s="2872"/>
      <c r="CO373" s="2870"/>
      <c r="CP373" s="2870"/>
      <c r="CQ373" s="2870">
        <v>332239055</v>
      </c>
      <c r="CR373" s="2870">
        <v>1091598910</v>
      </c>
      <c r="CS373" s="2877">
        <v>0</v>
      </c>
      <c r="CT373" s="2875">
        <v>1423837965</v>
      </c>
      <c r="CU373" s="2878">
        <v>0</v>
      </c>
      <c r="CV373" s="2870">
        <v>0</v>
      </c>
      <c r="CW373" s="2870">
        <v>0</v>
      </c>
      <c r="CX373" s="2870">
        <v>2985057055</v>
      </c>
      <c r="CY373" s="2870">
        <v>1091598910</v>
      </c>
      <c r="CZ373" s="2879">
        <v>0</v>
      </c>
      <c r="DA373" s="2875">
        <v>4076655965</v>
      </c>
      <c r="DJ373" s="1611" t="e">
        <v>#N/A</v>
      </c>
      <c r="DK373" s="2782" t="e">
        <v>#N/A</v>
      </c>
      <c r="DM373" s="1650">
        <v>0</v>
      </c>
    </row>
    <row r="374" spans="1:117" ht="21" customHeight="1">
      <c r="A374" s="1652"/>
      <c r="B374" s="1704"/>
      <c r="C374" s="1662"/>
      <c r="D374" s="1648"/>
      <c r="E374" s="1648"/>
      <c r="F374" s="1648"/>
      <c r="G374" s="1648"/>
      <c r="H374" s="1648"/>
      <c r="I374" s="1648"/>
      <c r="J374" s="1663"/>
      <c r="K374" s="1648"/>
      <c r="L374" s="1648"/>
      <c r="M374" s="1648"/>
      <c r="N374" s="1642"/>
      <c r="O374" s="2876"/>
      <c r="P374" s="2870"/>
      <c r="Q374" s="2870"/>
      <c r="R374" s="2870"/>
      <c r="S374" s="2870"/>
      <c r="T374" s="2870"/>
      <c r="U374" s="2875">
        <v>0</v>
      </c>
      <c r="V374" s="2869"/>
      <c r="W374" s="2870"/>
      <c r="X374" s="2870"/>
      <c r="Y374" s="2870"/>
      <c r="Z374" s="2870"/>
      <c r="AA374" s="2877"/>
      <c r="AB374" s="2875">
        <v>0</v>
      </c>
      <c r="AC374" s="2869"/>
      <c r="AD374" s="2870"/>
      <c r="AE374" s="2870"/>
      <c r="AF374" s="2870"/>
      <c r="AG374" s="2870"/>
      <c r="AH374" s="2877"/>
      <c r="AI374" s="2875">
        <v>0</v>
      </c>
      <c r="AJ374" s="2869"/>
      <c r="AK374" s="2870"/>
      <c r="AL374" s="2870"/>
      <c r="AM374" s="2870"/>
      <c r="AN374" s="2870"/>
      <c r="AO374" s="2877"/>
      <c r="AP374" s="2875">
        <v>0</v>
      </c>
      <c r="AQ374" s="2869"/>
      <c r="AR374" s="2870"/>
      <c r="AS374" s="2870"/>
      <c r="AT374" s="2870"/>
      <c r="AU374" s="2870"/>
      <c r="AV374" s="2877"/>
      <c r="AW374" s="2875">
        <v>0</v>
      </c>
      <c r="AX374" s="2869"/>
      <c r="AY374" s="2870"/>
      <c r="AZ374" s="2870"/>
      <c r="BA374" s="2870"/>
      <c r="BB374" s="2870"/>
      <c r="BC374" s="2877"/>
      <c r="BD374" s="2875">
        <v>0</v>
      </c>
      <c r="BE374" s="2869"/>
      <c r="BF374" s="2870"/>
      <c r="BG374" s="2870"/>
      <c r="BH374" s="2870"/>
      <c r="BI374" s="2870"/>
      <c r="BJ374" s="2877"/>
      <c r="BK374" s="2875">
        <v>0</v>
      </c>
      <c r="BL374" s="2869"/>
      <c r="BM374" s="2870"/>
      <c r="BN374" s="2870"/>
      <c r="BO374" s="2870"/>
      <c r="BP374" s="2870"/>
      <c r="BQ374" s="2877"/>
      <c r="BR374" s="2875">
        <v>0</v>
      </c>
      <c r="BS374" s="2869"/>
      <c r="BT374" s="2870"/>
      <c r="BU374" s="2870"/>
      <c r="BV374" s="2870"/>
      <c r="BW374" s="2870"/>
      <c r="BX374" s="2877"/>
      <c r="BY374" s="2875">
        <v>0</v>
      </c>
      <c r="BZ374" s="2869"/>
      <c r="CA374" s="2870"/>
      <c r="CB374" s="2870"/>
      <c r="CC374" s="2870"/>
      <c r="CD374" s="2870"/>
      <c r="CE374" s="2877"/>
      <c r="CF374" s="2875">
        <v>0</v>
      </c>
      <c r="CG374" s="2869"/>
      <c r="CH374" s="2870"/>
      <c r="CI374" s="2870"/>
      <c r="CJ374" s="2870"/>
      <c r="CK374" s="2870"/>
      <c r="CL374" s="2877"/>
      <c r="CM374" s="2875">
        <v>0</v>
      </c>
      <c r="CN374" s="2872"/>
      <c r="CO374" s="2870"/>
      <c r="CP374" s="2870"/>
      <c r="CQ374" s="2870">
        <v>33904420</v>
      </c>
      <c r="CR374" s="2870"/>
      <c r="CS374" s="2877"/>
      <c r="CT374" s="2875">
        <v>33904420</v>
      </c>
      <c r="CU374" s="2878">
        <v>0</v>
      </c>
      <c r="CV374" s="2870">
        <v>0</v>
      </c>
      <c r="CW374" s="2870">
        <v>0</v>
      </c>
      <c r="CX374" s="2870">
        <v>33904420</v>
      </c>
      <c r="CY374" s="2870">
        <v>0</v>
      </c>
      <c r="CZ374" s="2879">
        <v>0</v>
      </c>
      <c r="DA374" s="2875">
        <v>33904420</v>
      </c>
      <c r="DJ374" s="1611" t="e">
        <v>#N/A</v>
      </c>
      <c r="DK374" s="2782" t="e">
        <v>#N/A</v>
      </c>
      <c r="DM374" s="1650">
        <v>0</v>
      </c>
    </row>
    <row r="375" spans="1:117" ht="21" customHeight="1">
      <c r="A375" s="1652"/>
      <c r="B375" s="1704"/>
      <c r="C375" s="1662"/>
      <c r="D375" s="1648"/>
      <c r="E375" s="1648"/>
      <c r="F375" s="1648"/>
      <c r="G375" s="1648"/>
      <c r="H375" s="1648"/>
      <c r="I375" s="1648"/>
      <c r="J375" s="1663"/>
      <c r="K375" s="1648"/>
      <c r="L375" s="1648"/>
      <c r="M375" s="1648"/>
      <c r="N375" s="1642"/>
      <c r="O375" s="2876"/>
      <c r="P375" s="2870"/>
      <c r="Q375" s="2870"/>
      <c r="R375" s="2870"/>
      <c r="S375" s="2870"/>
      <c r="T375" s="2870"/>
      <c r="U375" s="2875">
        <v>0</v>
      </c>
      <c r="V375" s="2869"/>
      <c r="W375" s="2870"/>
      <c r="X375" s="2870"/>
      <c r="Y375" s="2870"/>
      <c r="Z375" s="2870"/>
      <c r="AA375" s="2877"/>
      <c r="AB375" s="2875">
        <v>0</v>
      </c>
      <c r="AC375" s="2869"/>
      <c r="AD375" s="2870"/>
      <c r="AE375" s="2870"/>
      <c r="AF375" s="2870"/>
      <c r="AG375" s="2870"/>
      <c r="AH375" s="2877"/>
      <c r="AI375" s="2875">
        <v>0</v>
      </c>
      <c r="AJ375" s="2869"/>
      <c r="AK375" s="2870"/>
      <c r="AL375" s="2870"/>
      <c r="AM375" s="2870"/>
      <c r="AN375" s="2870"/>
      <c r="AO375" s="2877"/>
      <c r="AP375" s="2875">
        <v>0</v>
      </c>
      <c r="AQ375" s="2869"/>
      <c r="AR375" s="2870"/>
      <c r="AS375" s="2870"/>
      <c r="AT375" s="2870"/>
      <c r="AU375" s="2870"/>
      <c r="AV375" s="2877"/>
      <c r="AW375" s="2875">
        <v>0</v>
      </c>
      <c r="AX375" s="2869"/>
      <c r="AY375" s="2870"/>
      <c r="AZ375" s="2870"/>
      <c r="BA375" s="2870"/>
      <c r="BB375" s="2870"/>
      <c r="BC375" s="2877"/>
      <c r="BD375" s="2875">
        <v>0</v>
      </c>
      <c r="BE375" s="2869"/>
      <c r="BF375" s="2870"/>
      <c r="BG375" s="2870"/>
      <c r="BH375" s="2870"/>
      <c r="BI375" s="2870"/>
      <c r="BJ375" s="2877"/>
      <c r="BK375" s="2875">
        <v>0</v>
      </c>
      <c r="BL375" s="2869"/>
      <c r="BM375" s="2870"/>
      <c r="BN375" s="2870"/>
      <c r="BO375" s="2870"/>
      <c r="BP375" s="2870"/>
      <c r="BQ375" s="2877"/>
      <c r="BR375" s="2875">
        <v>0</v>
      </c>
      <c r="BS375" s="2869"/>
      <c r="BT375" s="2870"/>
      <c r="BU375" s="2870"/>
      <c r="BV375" s="2870"/>
      <c r="BW375" s="2870"/>
      <c r="BX375" s="2877"/>
      <c r="BY375" s="2875">
        <v>0</v>
      </c>
      <c r="BZ375" s="2869"/>
      <c r="CA375" s="2870"/>
      <c r="CB375" s="2870"/>
      <c r="CC375" s="2870"/>
      <c r="CD375" s="2870"/>
      <c r="CE375" s="2877"/>
      <c r="CF375" s="2875">
        <v>0</v>
      </c>
      <c r="CG375" s="2869"/>
      <c r="CH375" s="2870"/>
      <c r="CI375" s="2870"/>
      <c r="CJ375" s="2870"/>
      <c r="CK375" s="2870"/>
      <c r="CL375" s="2877"/>
      <c r="CM375" s="2875">
        <v>0</v>
      </c>
      <c r="CN375" s="2872"/>
      <c r="CO375" s="2870"/>
      <c r="CP375" s="2870"/>
      <c r="CQ375" s="2870"/>
      <c r="CR375" s="2870"/>
      <c r="CS375" s="2877"/>
      <c r="CT375" s="2875">
        <v>0</v>
      </c>
      <c r="CU375" s="2878">
        <v>0</v>
      </c>
      <c r="CV375" s="2870">
        <v>0</v>
      </c>
      <c r="CW375" s="2870">
        <v>0</v>
      </c>
      <c r="CX375" s="2870">
        <v>0</v>
      </c>
      <c r="CY375" s="2870"/>
      <c r="CZ375" s="2879">
        <v>0</v>
      </c>
      <c r="DA375" s="2875">
        <v>0</v>
      </c>
      <c r="DJ375" s="1611" t="e">
        <v>#N/A</v>
      </c>
      <c r="DK375" s="2782" t="e">
        <v>#N/A</v>
      </c>
      <c r="DM375" s="1650">
        <v>0</v>
      </c>
    </row>
    <row r="376" spans="1:117" ht="21" customHeight="1">
      <c r="A376" s="1652"/>
      <c r="B376" s="1704"/>
      <c r="C376" s="1662"/>
      <c r="D376" s="1648"/>
      <c r="E376" s="1648"/>
      <c r="F376" s="1648"/>
      <c r="G376" s="1648"/>
      <c r="H376" s="1648"/>
      <c r="I376" s="1648"/>
      <c r="J376" s="1663"/>
      <c r="K376" s="1648"/>
      <c r="L376" s="1648"/>
      <c r="M376" s="1648"/>
      <c r="N376" s="1642"/>
      <c r="O376" s="2876"/>
      <c r="P376" s="2870"/>
      <c r="Q376" s="2870"/>
      <c r="R376" s="2870"/>
      <c r="S376" s="2870"/>
      <c r="T376" s="2870"/>
      <c r="U376" s="2875">
        <v>0</v>
      </c>
      <c r="V376" s="2869"/>
      <c r="W376" s="2870"/>
      <c r="X376" s="2870"/>
      <c r="Y376" s="2870"/>
      <c r="Z376" s="2870"/>
      <c r="AA376" s="2877"/>
      <c r="AB376" s="2875">
        <v>0</v>
      </c>
      <c r="AC376" s="2869"/>
      <c r="AD376" s="2870"/>
      <c r="AE376" s="2870"/>
      <c r="AF376" s="2870"/>
      <c r="AG376" s="2870"/>
      <c r="AH376" s="2877"/>
      <c r="AI376" s="2875">
        <v>0</v>
      </c>
      <c r="AJ376" s="2869"/>
      <c r="AK376" s="2870"/>
      <c r="AL376" s="2870"/>
      <c r="AM376" s="2870"/>
      <c r="AN376" s="2870"/>
      <c r="AO376" s="2877"/>
      <c r="AP376" s="2875">
        <v>0</v>
      </c>
      <c r="AQ376" s="2869"/>
      <c r="AR376" s="2870"/>
      <c r="AS376" s="2870"/>
      <c r="AT376" s="2870"/>
      <c r="AU376" s="2870"/>
      <c r="AV376" s="2877"/>
      <c r="AW376" s="2875">
        <v>0</v>
      </c>
      <c r="AX376" s="2869"/>
      <c r="AY376" s="2870"/>
      <c r="AZ376" s="2870"/>
      <c r="BA376" s="2870"/>
      <c r="BB376" s="2870"/>
      <c r="BC376" s="2877"/>
      <c r="BD376" s="2875">
        <v>0</v>
      </c>
      <c r="BE376" s="2869"/>
      <c r="BF376" s="2870"/>
      <c r="BG376" s="2870"/>
      <c r="BH376" s="2870"/>
      <c r="BI376" s="2870"/>
      <c r="BJ376" s="2877"/>
      <c r="BK376" s="2875">
        <v>0</v>
      </c>
      <c r="BL376" s="2869"/>
      <c r="BM376" s="2870"/>
      <c r="BN376" s="2870"/>
      <c r="BO376" s="2870"/>
      <c r="BP376" s="2870"/>
      <c r="BQ376" s="2877"/>
      <c r="BR376" s="2875">
        <v>0</v>
      </c>
      <c r="BS376" s="2869"/>
      <c r="BT376" s="2870"/>
      <c r="BU376" s="2870"/>
      <c r="BV376" s="2870"/>
      <c r="BW376" s="2870"/>
      <c r="BX376" s="2877"/>
      <c r="BY376" s="2875">
        <v>0</v>
      </c>
      <c r="BZ376" s="2869"/>
      <c r="CA376" s="2870"/>
      <c r="CB376" s="2870"/>
      <c r="CC376" s="2870"/>
      <c r="CD376" s="2870"/>
      <c r="CE376" s="2877"/>
      <c r="CF376" s="2875">
        <v>0</v>
      </c>
      <c r="CG376" s="2869"/>
      <c r="CH376" s="2870"/>
      <c r="CI376" s="2870"/>
      <c r="CJ376" s="2870"/>
      <c r="CK376" s="2870"/>
      <c r="CL376" s="2877"/>
      <c r="CM376" s="2875">
        <v>0</v>
      </c>
      <c r="CN376" s="2872"/>
      <c r="CO376" s="2870"/>
      <c r="CP376" s="2870"/>
      <c r="CQ376" s="2870"/>
      <c r="CR376" s="2870"/>
      <c r="CS376" s="2877"/>
      <c r="CT376" s="2875">
        <v>0</v>
      </c>
      <c r="CU376" s="2878">
        <v>0</v>
      </c>
      <c r="CV376" s="2870">
        <v>0</v>
      </c>
      <c r="CW376" s="2870">
        <v>0</v>
      </c>
      <c r="CX376" s="2870">
        <v>0</v>
      </c>
      <c r="CY376" s="2870"/>
      <c r="CZ376" s="2879">
        <v>0</v>
      </c>
      <c r="DA376" s="2875">
        <v>0</v>
      </c>
      <c r="DJ376" s="1611" t="e">
        <v>#N/A</v>
      </c>
      <c r="DK376" s="2782" t="e">
        <v>#N/A</v>
      </c>
      <c r="DM376" s="1650">
        <v>0</v>
      </c>
    </row>
    <row r="377" spans="1:117" s="1727" customFormat="1" ht="21" customHeight="1">
      <c r="A377" s="1637"/>
      <c r="B377" s="1638" t="s">
        <v>1855</v>
      </c>
      <c r="C377" s="1643"/>
      <c r="D377" s="1641"/>
      <c r="E377" s="1641"/>
      <c r="F377" s="1641"/>
      <c r="G377" s="1641"/>
      <c r="H377" s="1641"/>
      <c r="I377" s="1641"/>
      <c r="J377" s="1649"/>
      <c r="K377" s="1641"/>
      <c r="L377" s="1641"/>
      <c r="M377" s="1641"/>
      <c r="N377" s="1671"/>
      <c r="O377" s="2876">
        <v>0</v>
      </c>
      <c r="P377" s="2874">
        <v>0</v>
      </c>
      <c r="Q377" s="2874">
        <v>0</v>
      </c>
      <c r="R377" s="2874">
        <v>3719681549</v>
      </c>
      <c r="S377" s="2874"/>
      <c r="T377" s="2879">
        <v>0</v>
      </c>
      <c r="U377" s="2875">
        <v>3719681549</v>
      </c>
      <c r="V377" s="2876">
        <v>0</v>
      </c>
      <c r="W377" s="2874">
        <v>0</v>
      </c>
      <c r="X377" s="2874">
        <v>0</v>
      </c>
      <c r="Y377" s="2874">
        <v>2758930166</v>
      </c>
      <c r="Z377" s="2874">
        <v>0</v>
      </c>
      <c r="AA377" s="2879">
        <v>0</v>
      </c>
      <c r="AB377" s="2875">
        <v>2758930166</v>
      </c>
      <c r="AC377" s="2876">
        <v>0</v>
      </c>
      <c r="AD377" s="2874">
        <v>0</v>
      </c>
      <c r="AE377" s="2874">
        <v>0</v>
      </c>
      <c r="AF377" s="2874">
        <v>3039835750</v>
      </c>
      <c r="AG377" s="2874">
        <v>0</v>
      </c>
      <c r="AH377" s="2879">
        <v>0</v>
      </c>
      <c r="AI377" s="2875">
        <v>3039835750</v>
      </c>
      <c r="AJ377" s="2876">
        <v>0</v>
      </c>
      <c r="AK377" s="2874">
        <v>0</v>
      </c>
      <c r="AL377" s="2874">
        <v>0</v>
      </c>
      <c r="AM377" s="2874">
        <v>3551387631</v>
      </c>
      <c r="AN377" s="2874">
        <v>0</v>
      </c>
      <c r="AO377" s="2879">
        <v>0</v>
      </c>
      <c r="AP377" s="2875">
        <v>3551387631</v>
      </c>
      <c r="AQ377" s="2876">
        <v>0</v>
      </c>
      <c r="AR377" s="2874">
        <v>0</v>
      </c>
      <c r="AS377" s="2874">
        <v>0</v>
      </c>
      <c r="AT377" s="2874">
        <v>3949924692</v>
      </c>
      <c r="AU377" s="2874">
        <v>0</v>
      </c>
      <c r="AV377" s="2879">
        <v>0</v>
      </c>
      <c r="AW377" s="2875">
        <v>3949924692</v>
      </c>
      <c r="AX377" s="2876">
        <v>0</v>
      </c>
      <c r="AY377" s="2874">
        <v>0</v>
      </c>
      <c r="AZ377" s="2874">
        <v>0</v>
      </c>
      <c r="BA377" s="2874">
        <v>4721611492</v>
      </c>
      <c r="BB377" s="2874">
        <v>0</v>
      </c>
      <c r="BC377" s="2879">
        <v>0</v>
      </c>
      <c r="BD377" s="2875">
        <v>4721611492</v>
      </c>
      <c r="BE377" s="2876">
        <v>0</v>
      </c>
      <c r="BF377" s="2874">
        <v>0</v>
      </c>
      <c r="BG377" s="2874">
        <v>0</v>
      </c>
      <c r="BH377" s="2874">
        <v>3752722917</v>
      </c>
      <c r="BI377" s="2874">
        <v>0</v>
      </c>
      <c r="BJ377" s="2879">
        <v>0</v>
      </c>
      <c r="BK377" s="2875">
        <v>3752722917</v>
      </c>
      <c r="BL377" s="2876">
        <v>0</v>
      </c>
      <c r="BM377" s="2874">
        <v>0</v>
      </c>
      <c r="BN377" s="2874">
        <v>0</v>
      </c>
      <c r="BO377" s="2874">
        <v>4009062996</v>
      </c>
      <c r="BP377" s="2874">
        <v>0</v>
      </c>
      <c r="BQ377" s="2879">
        <v>0</v>
      </c>
      <c r="BR377" s="2875">
        <v>4009062996</v>
      </c>
      <c r="BS377" s="2876">
        <v>0</v>
      </c>
      <c r="BT377" s="2874">
        <v>0</v>
      </c>
      <c r="BU377" s="2874">
        <v>0</v>
      </c>
      <c r="BV377" s="2874">
        <v>4532772835</v>
      </c>
      <c r="BW377" s="2874">
        <v>0</v>
      </c>
      <c r="BX377" s="2879">
        <v>0</v>
      </c>
      <c r="BY377" s="2875">
        <v>4532772835</v>
      </c>
      <c r="BZ377" s="2876">
        <v>0</v>
      </c>
      <c r="CA377" s="2874">
        <v>0</v>
      </c>
      <c r="CB377" s="2874">
        <v>0</v>
      </c>
      <c r="CC377" s="2874">
        <v>984813787</v>
      </c>
      <c r="CD377" s="2874">
        <v>0</v>
      </c>
      <c r="CE377" s="2879">
        <v>0</v>
      </c>
      <c r="CF377" s="2875">
        <v>984813787</v>
      </c>
      <c r="CG377" s="2876">
        <v>0</v>
      </c>
      <c r="CH377" s="2874">
        <v>0</v>
      </c>
      <c r="CI377" s="2874">
        <v>0</v>
      </c>
      <c r="CJ377" s="2874">
        <v>7486340016</v>
      </c>
      <c r="CK377" s="2874">
        <v>0</v>
      </c>
      <c r="CL377" s="2879">
        <v>0</v>
      </c>
      <c r="CM377" s="2875">
        <v>7486340016</v>
      </c>
      <c r="CN377" s="2880">
        <v>0</v>
      </c>
      <c r="CO377" s="2874">
        <v>0</v>
      </c>
      <c r="CP377" s="2874">
        <v>0</v>
      </c>
      <c r="CQ377" s="2874">
        <v>6616973257</v>
      </c>
      <c r="CR377" s="2874">
        <v>7515376676</v>
      </c>
      <c r="CS377" s="2879">
        <v>0</v>
      </c>
      <c r="CT377" s="2875">
        <v>14166254353</v>
      </c>
      <c r="CU377" s="2881">
        <v>0</v>
      </c>
      <c r="CV377" s="2874">
        <v>0</v>
      </c>
      <c r="CW377" s="2874">
        <v>0</v>
      </c>
      <c r="CX377" s="2874">
        <v>49157961508</v>
      </c>
      <c r="CY377" s="2874">
        <v>7515376676</v>
      </c>
      <c r="CZ377" s="2879">
        <v>0</v>
      </c>
      <c r="DA377" s="2875">
        <v>56673338184</v>
      </c>
      <c r="DB377" s="1609"/>
      <c r="DD377" s="1625"/>
      <c r="DJ377" s="1611" t="e">
        <v>#N/A</v>
      </c>
      <c r="DK377" s="2782" t="e">
        <v>#N/A</v>
      </c>
      <c r="DM377" s="1650">
        <v>0</v>
      </c>
    </row>
    <row r="378" spans="1:117" ht="21" customHeight="1">
      <c r="A378" s="1652"/>
      <c r="B378" s="1704"/>
      <c r="C378" s="1662"/>
      <c r="D378" s="1648"/>
      <c r="E378" s="1648"/>
      <c r="F378" s="1648"/>
      <c r="G378" s="1648"/>
      <c r="H378" s="1648"/>
      <c r="I378" s="1648"/>
      <c r="J378" s="1663"/>
      <c r="K378" s="1648"/>
      <c r="L378" s="1648"/>
      <c r="M378" s="1648"/>
      <c r="N378" s="1642"/>
      <c r="O378" s="2876"/>
      <c r="P378" s="2870"/>
      <c r="Q378" s="2870"/>
      <c r="R378" s="2870"/>
      <c r="S378" s="2870"/>
      <c r="T378" s="2870"/>
      <c r="U378" s="2875"/>
      <c r="V378" s="2869"/>
      <c r="W378" s="2870"/>
      <c r="X378" s="2870"/>
      <c r="Y378" s="2870"/>
      <c r="Z378" s="2870"/>
      <c r="AA378" s="2877"/>
      <c r="AB378" s="2875">
        <v>0</v>
      </c>
      <c r="AC378" s="2869"/>
      <c r="AD378" s="2870"/>
      <c r="AE378" s="2870"/>
      <c r="AF378" s="2870"/>
      <c r="AG378" s="2870"/>
      <c r="AH378" s="2877"/>
      <c r="AI378" s="2875"/>
      <c r="AJ378" s="2869"/>
      <c r="AK378" s="2870"/>
      <c r="AL378" s="2870"/>
      <c r="AM378" s="2870"/>
      <c r="AN378" s="2870"/>
      <c r="AO378" s="2877"/>
      <c r="AP378" s="2875"/>
      <c r="AQ378" s="2869"/>
      <c r="AR378" s="2870"/>
      <c r="AS378" s="2870"/>
      <c r="AT378" s="2870"/>
      <c r="AU378" s="2870"/>
      <c r="AV378" s="2877"/>
      <c r="AW378" s="2875"/>
      <c r="AX378" s="2869"/>
      <c r="AY378" s="2870"/>
      <c r="AZ378" s="2870"/>
      <c r="BA378" s="2870"/>
      <c r="BB378" s="2870"/>
      <c r="BC378" s="2877"/>
      <c r="BD378" s="2875"/>
      <c r="BE378" s="2869"/>
      <c r="BF378" s="2870"/>
      <c r="BG378" s="2870"/>
      <c r="BH378" s="2870"/>
      <c r="BI378" s="2870"/>
      <c r="BJ378" s="2877"/>
      <c r="BK378" s="2875"/>
      <c r="BL378" s="2869"/>
      <c r="BM378" s="2870"/>
      <c r="BN378" s="2870"/>
      <c r="BO378" s="2870"/>
      <c r="BP378" s="2870"/>
      <c r="BQ378" s="2877"/>
      <c r="BR378" s="2875"/>
      <c r="BS378" s="2869"/>
      <c r="BT378" s="2870"/>
      <c r="BU378" s="2870"/>
      <c r="BV378" s="2870"/>
      <c r="BW378" s="2870"/>
      <c r="BX378" s="2877"/>
      <c r="BY378" s="2875"/>
      <c r="BZ378" s="2869"/>
      <c r="CA378" s="2870"/>
      <c r="CB378" s="2870"/>
      <c r="CC378" s="2870"/>
      <c r="CD378" s="2870"/>
      <c r="CE378" s="2877"/>
      <c r="CF378" s="2875"/>
      <c r="CG378" s="2869"/>
      <c r="CH378" s="2870"/>
      <c r="CI378" s="2870"/>
      <c r="CJ378" s="2870"/>
      <c r="CK378" s="2870"/>
      <c r="CL378" s="2877"/>
      <c r="CM378" s="2875"/>
      <c r="CN378" s="2872"/>
      <c r="CO378" s="2870"/>
      <c r="CP378" s="2870"/>
      <c r="CQ378" s="2870"/>
      <c r="CR378" s="2870"/>
      <c r="CS378" s="2877"/>
      <c r="CT378" s="2875"/>
      <c r="CU378" s="2878"/>
      <c r="CV378" s="2870"/>
      <c r="CW378" s="2870"/>
      <c r="CX378" s="2870"/>
      <c r="CY378" s="2870"/>
      <c r="CZ378" s="2879"/>
      <c r="DA378" s="2875"/>
      <c r="DJ378" s="1611" t="e">
        <v>#N/A</v>
      </c>
      <c r="DK378" s="2782" t="e">
        <v>#N/A</v>
      </c>
      <c r="DM378" s="1650">
        <v>0</v>
      </c>
    </row>
    <row r="379" spans="1:117" ht="21" customHeight="1">
      <c r="A379" s="1637" t="s">
        <v>133</v>
      </c>
      <c r="B379" s="1706" t="s">
        <v>2013</v>
      </c>
      <c r="C379" s="1662"/>
      <c r="D379" s="1648"/>
      <c r="E379" s="1648"/>
      <c r="F379" s="1648"/>
      <c r="G379" s="1648"/>
      <c r="H379" s="1648"/>
      <c r="I379" s="1648"/>
      <c r="J379" s="1663"/>
      <c r="K379" s="1648"/>
      <c r="L379" s="1648"/>
      <c r="M379" s="1648"/>
      <c r="N379" s="1642"/>
      <c r="O379" s="2876"/>
      <c r="P379" s="2870"/>
      <c r="Q379" s="2870"/>
      <c r="R379" s="2870"/>
      <c r="S379" s="2870"/>
      <c r="T379" s="2870"/>
      <c r="U379" s="2875"/>
      <c r="V379" s="2869"/>
      <c r="W379" s="2870"/>
      <c r="X379" s="2870"/>
      <c r="Y379" s="2870"/>
      <c r="Z379" s="2870"/>
      <c r="AA379" s="2877">
        <v>0</v>
      </c>
      <c r="AB379" s="2875">
        <v>0</v>
      </c>
      <c r="AC379" s="2869"/>
      <c r="AD379" s="2870"/>
      <c r="AE379" s="2870"/>
      <c r="AF379" s="2870"/>
      <c r="AG379" s="2870"/>
      <c r="AH379" s="2877">
        <v>0</v>
      </c>
      <c r="AI379" s="2875">
        <v>0</v>
      </c>
      <c r="AJ379" s="2869"/>
      <c r="AK379" s="2870"/>
      <c r="AL379" s="2870"/>
      <c r="AM379" s="2870"/>
      <c r="AN379" s="2870"/>
      <c r="AO379" s="2877">
        <v>0</v>
      </c>
      <c r="AP379" s="2875">
        <v>0</v>
      </c>
      <c r="AQ379" s="2869"/>
      <c r="AR379" s="2870"/>
      <c r="AS379" s="2870"/>
      <c r="AT379" s="2870"/>
      <c r="AU379" s="2870"/>
      <c r="AV379" s="2877">
        <v>0</v>
      </c>
      <c r="AW379" s="2875">
        <v>0</v>
      </c>
      <c r="AX379" s="2869"/>
      <c r="AY379" s="2870"/>
      <c r="AZ379" s="2870"/>
      <c r="BA379" s="2870"/>
      <c r="BB379" s="2870"/>
      <c r="BC379" s="2877">
        <v>0</v>
      </c>
      <c r="BD379" s="2875">
        <v>0</v>
      </c>
      <c r="BE379" s="2869"/>
      <c r="BF379" s="2870"/>
      <c r="BG379" s="2870"/>
      <c r="BH379" s="2870"/>
      <c r="BI379" s="2870"/>
      <c r="BJ379" s="2877">
        <v>0</v>
      </c>
      <c r="BK379" s="2875">
        <v>0</v>
      </c>
      <c r="BL379" s="2869"/>
      <c r="BM379" s="2870"/>
      <c r="BN379" s="2870"/>
      <c r="BO379" s="2870"/>
      <c r="BP379" s="2870"/>
      <c r="BQ379" s="2877">
        <v>0</v>
      </c>
      <c r="BR379" s="2875">
        <v>0</v>
      </c>
      <c r="BS379" s="2869"/>
      <c r="BT379" s="2870"/>
      <c r="BU379" s="2870"/>
      <c r="BV379" s="2870"/>
      <c r="BW379" s="2870"/>
      <c r="BX379" s="2877"/>
      <c r="BY379" s="2875">
        <v>0</v>
      </c>
      <c r="BZ379" s="2869"/>
      <c r="CA379" s="2870"/>
      <c r="CB379" s="2870"/>
      <c r="CC379" s="2870"/>
      <c r="CD379" s="2870"/>
      <c r="CE379" s="2877"/>
      <c r="CF379" s="2875">
        <v>0</v>
      </c>
      <c r="CG379" s="2869"/>
      <c r="CH379" s="2870"/>
      <c r="CI379" s="2870"/>
      <c r="CJ379" s="2870"/>
      <c r="CK379" s="2870"/>
      <c r="CL379" s="2877"/>
      <c r="CM379" s="2875">
        <v>0</v>
      </c>
      <c r="CN379" s="2872"/>
      <c r="CO379" s="2870"/>
      <c r="CP379" s="2870"/>
      <c r="CQ379" s="2870"/>
      <c r="CR379" s="2870"/>
      <c r="CS379" s="2877"/>
      <c r="CT379" s="2875"/>
      <c r="CU379" s="2878"/>
      <c r="CV379" s="2870"/>
      <c r="CW379" s="2870"/>
      <c r="CX379" s="2870"/>
      <c r="CY379" s="2870"/>
      <c r="CZ379" s="2879"/>
      <c r="DA379" s="2875"/>
      <c r="DJ379" s="1611" t="e">
        <v>#N/A</v>
      </c>
      <c r="DK379" s="2782" t="e">
        <v>#N/A</v>
      </c>
      <c r="DM379" s="1650">
        <v>0</v>
      </c>
    </row>
    <row r="380" spans="1:117" ht="21" customHeight="1">
      <c r="A380" s="1707" t="s">
        <v>2014</v>
      </c>
      <c r="B380" s="1668" t="s">
        <v>2015</v>
      </c>
      <c r="C380" s="1662" t="s">
        <v>1594</v>
      </c>
      <c r="D380" s="1646" t="e">
        <v>#VALUE!</v>
      </c>
      <c r="E380" s="1646"/>
      <c r="F380" s="1648" t="s">
        <v>1594</v>
      </c>
      <c r="G380" s="1648"/>
      <c r="H380" s="1648">
        <v>1000</v>
      </c>
      <c r="I380" s="1648"/>
      <c r="J380" s="1663"/>
      <c r="K380" s="1648"/>
      <c r="L380" s="1648"/>
      <c r="M380" s="1648"/>
      <c r="N380" s="1642"/>
      <c r="O380" s="2876"/>
      <c r="P380" s="2870"/>
      <c r="Q380" s="2870"/>
      <c r="R380" s="2870"/>
      <c r="S380" s="2870"/>
      <c r="T380" s="2870"/>
      <c r="U380" s="2875">
        <v>0</v>
      </c>
      <c r="V380" s="2869"/>
      <c r="W380" s="2870"/>
      <c r="X380" s="2870"/>
      <c r="Y380" s="2870"/>
      <c r="Z380" s="2870"/>
      <c r="AA380" s="2877">
        <v>0</v>
      </c>
      <c r="AB380" s="2875">
        <v>0</v>
      </c>
      <c r="AC380" s="2869"/>
      <c r="AD380" s="2870"/>
      <c r="AE380" s="2870"/>
      <c r="AF380" s="2870"/>
      <c r="AG380" s="2870"/>
      <c r="AH380" s="2877">
        <v>0</v>
      </c>
      <c r="AI380" s="2875">
        <v>0</v>
      </c>
      <c r="AJ380" s="2869"/>
      <c r="AK380" s="2870"/>
      <c r="AL380" s="2870"/>
      <c r="AM380" s="2870">
        <v>1108941456</v>
      </c>
      <c r="AN380" s="2870"/>
      <c r="AO380" s="2877">
        <v>0</v>
      </c>
      <c r="AP380" s="2875">
        <v>1108941456</v>
      </c>
      <c r="AQ380" s="2869"/>
      <c r="AR380" s="2870"/>
      <c r="AS380" s="2870"/>
      <c r="AT380" s="2870"/>
      <c r="AU380" s="2870"/>
      <c r="AV380" s="2877">
        <v>0</v>
      </c>
      <c r="AW380" s="2875">
        <v>0</v>
      </c>
      <c r="AX380" s="2869"/>
      <c r="AY380" s="2870"/>
      <c r="AZ380" s="2870"/>
      <c r="BA380" s="2870">
        <v>364374880</v>
      </c>
      <c r="BB380" s="2870"/>
      <c r="BC380" s="2877">
        <v>0</v>
      </c>
      <c r="BD380" s="2875">
        <v>364374880</v>
      </c>
      <c r="BE380" s="2869"/>
      <c r="BF380" s="2870"/>
      <c r="BG380" s="2870"/>
      <c r="BH380" s="2870"/>
      <c r="BI380" s="2870"/>
      <c r="BJ380" s="2877">
        <v>0</v>
      </c>
      <c r="BK380" s="2875">
        <v>0</v>
      </c>
      <c r="BL380" s="2869"/>
      <c r="BM380" s="2870"/>
      <c r="BN380" s="2870"/>
      <c r="BO380" s="2870">
        <v>360984928</v>
      </c>
      <c r="BP380" s="2870"/>
      <c r="BQ380" s="2877">
        <v>0</v>
      </c>
      <c r="BR380" s="2875">
        <v>360984928</v>
      </c>
      <c r="BS380" s="2869"/>
      <c r="BT380" s="2870"/>
      <c r="BU380" s="2870"/>
      <c r="BV380" s="2870">
        <v>362176319</v>
      </c>
      <c r="BW380" s="2870"/>
      <c r="BX380" s="2877">
        <v>0</v>
      </c>
      <c r="BY380" s="2875">
        <v>362176319</v>
      </c>
      <c r="BZ380" s="2869"/>
      <c r="CA380" s="2870"/>
      <c r="CB380" s="2870"/>
      <c r="CC380" s="2870"/>
      <c r="CD380" s="2870"/>
      <c r="CE380" s="2877">
        <v>0</v>
      </c>
      <c r="CF380" s="2875">
        <v>0</v>
      </c>
      <c r="CG380" s="2869"/>
      <c r="CH380" s="2870"/>
      <c r="CI380" s="2870"/>
      <c r="CJ380" s="2870">
        <v>68896282</v>
      </c>
      <c r="CK380" s="2870"/>
      <c r="CL380" s="2877">
        <v>0</v>
      </c>
      <c r="CM380" s="2875">
        <v>68896282</v>
      </c>
      <c r="CN380" s="2872"/>
      <c r="CO380" s="2870"/>
      <c r="CP380" s="2870"/>
      <c r="CQ380" s="2870">
        <v>2600885750</v>
      </c>
      <c r="CR380" s="2870"/>
      <c r="CS380" s="2877">
        <v>0</v>
      </c>
      <c r="CT380" s="2875">
        <v>2600885750</v>
      </c>
      <c r="CU380" s="2878">
        <v>0</v>
      </c>
      <c r="CV380" s="2870">
        <v>0</v>
      </c>
      <c r="CW380" s="2870">
        <v>0</v>
      </c>
      <c r="CX380" s="2870">
        <v>4866259615</v>
      </c>
      <c r="CY380" s="2870">
        <v>0</v>
      </c>
      <c r="CZ380" s="2874">
        <v>0</v>
      </c>
      <c r="DA380" s="2875">
        <v>4866259615</v>
      </c>
      <c r="DJ380" s="1611" t="s">
        <v>1649</v>
      </c>
      <c r="DK380" s="2782" t="s">
        <v>1649</v>
      </c>
      <c r="DM380" s="1650">
        <v>0</v>
      </c>
    </row>
    <row r="381" spans="1:117" ht="21" customHeight="1">
      <c r="A381" s="1707" t="s">
        <v>20</v>
      </c>
      <c r="B381" s="1668" t="s">
        <v>2016</v>
      </c>
      <c r="C381" s="1662" t="s">
        <v>1594</v>
      </c>
      <c r="D381" s="1646" t="e">
        <v>#VALUE!</v>
      </c>
      <c r="E381" s="1646"/>
      <c r="F381" s="1648" t="s">
        <v>1594</v>
      </c>
      <c r="G381" s="1648"/>
      <c r="H381" s="1648">
        <v>361</v>
      </c>
      <c r="I381" s="1648"/>
      <c r="J381" s="1663"/>
      <c r="K381" s="1648"/>
      <c r="L381" s="1648"/>
      <c r="M381" s="1648"/>
      <c r="N381" s="1642"/>
      <c r="O381" s="2876"/>
      <c r="P381" s="2870"/>
      <c r="Q381" s="2870"/>
      <c r="R381" s="2870"/>
      <c r="S381" s="2870"/>
      <c r="T381" s="2870"/>
      <c r="U381" s="2875">
        <v>0</v>
      </c>
      <c r="V381" s="2869"/>
      <c r="W381" s="2870"/>
      <c r="X381" s="2870"/>
      <c r="Y381" s="2870"/>
      <c r="Z381" s="2870"/>
      <c r="AA381" s="2877">
        <v>0</v>
      </c>
      <c r="AB381" s="2875">
        <v>0</v>
      </c>
      <c r="AC381" s="2869"/>
      <c r="AD381" s="2870"/>
      <c r="AE381" s="2870"/>
      <c r="AF381" s="2870"/>
      <c r="AG381" s="2870"/>
      <c r="AH381" s="2877">
        <v>0</v>
      </c>
      <c r="AI381" s="2875">
        <v>0</v>
      </c>
      <c r="AJ381" s="2869"/>
      <c r="AK381" s="2870"/>
      <c r="AL381" s="2870"/>
      <c r="AM381" s="2870"/>
      <c r="AN381" s="2870"/>
      <c r="AO381" s="2877">
        <v>0</v>
      </c>
      <c r="AP381" s="2875">
        <v>0</v>
      </c>
      <c r="AQ381" s="2869"/>
      <c r="AR381" s="2870"/>
      <c r="AS381" s="2870"/>
      <c r="AT381" s="2870"/>
      <c r="AU381" s="2870"/>
      <c r="AV381" s="2877">
        <v>0</v>
      </c>
      <c r="AW381" s="2875">
        <v>0</v>
      </c>
      <c r="AX381" s="2869"/>
      <c r="AY381" s="2870"/>
      <c r="AZ381" s="2870"/>
      <c r="BA381" s="2870">
        <v>710818756</v>
      </c>
      <c r="BB381" s="2870"/>
      <c r="BC381" s="2877">
        <v>0</v>
      </c>
      <c r="BD381" s="2875">
        <v>710818756</v>
      </c>
      <c r="BE381" s="2869"/>
      <c r="BF381" s="2870"/>
      <c r="BG381" s="2870"/>
      <c r="BH381" s="2870"/>
      <c r="BI381" s="2870"/>
      <c r="BJ381" s="2877">
        <v>0</v>
      </c>
      <c r="BK381" s="2875">
        <v>0</v>
      </c>
      <c r="BL381" s="2869"/>
      <c r="BM381" s="2870"/>
      <c r="BN381" s="2870"/>
      <c r="BO381" s="2870">
        <v>319390519</v>
      </c>
      <c r="BP381" s="2870"/>
      <c r="BQ381" s="2877">
        <v>0</v>
      </c>
      <c r="BR381" s="2875">
        <v>319390519</v>
      </c>
      <c r="BS381" s="2869"/>
      <c r="BT381" s="2870"/>
      <c r="BU381" s="2870"/>
      <c r="BV381" s="2870">
        <v>30059258</v>
      </c>
      <c r="BW381" s="2870"/>
      <c r="BX381" s="2877">
        <v>0</v>
      </c>
      <c r="BY381" s="2875">
        <v>30059258</v>
      </c>
      <c r="BZ381" s="2869"/>
      <c r="CA381" s="2870"/>
      <c r="CB381" s="2870"/>
      <c r="CC381" s="2870">
        <v>145303281</v>
      </c>
      <c r="CD381" s="2870"/>
      <c r="CE381" s="2877">
        <v>0</v>
      </c>
      <c r="CF381" s="2875">
        <v>145303281</v>
      </c>
      <c r="CG381" s="2869"/>
      <c r="CH381" s="2870"/>
      <c r="CI381" s="2870"/>
      <c r="CJ381" s="2870"/>
      <c r="CK381" s="2870"/>
      <c r="CL381" s="2877">
        <v>0</v>
      </c>
      <c r="CM381" s="2875">
        <v>0</v>
      </c>
      <c r="CN381" s="2872"/>
      <c r="CO381" s="2870"/>
      <c r="CP381" s="2870"/>
      <c r="CQ381" s="2870"/>
      <c r="CR381" s="2870"/>
      <c r="CS381" s="2877">
        <v>0</v>
      </c>
      <c r="CT381" s="2875">
        <v>0</v>
      </c>
      <c r="CU381" s="2878">
        <v>0</v>
      </c>
      <c r="CV381" s="2870">
        <v>0</v>
      </c>
      <c r="CW381" s="2870">
        <v>0</v>
      </c>
      <c r="CX381" s="2870">
        <v>1205571814</v>
      </c>
      <c r="CY381" s="2870">
        <v>0</v>
      </c>
      <c r="CZ381" s="2874">
        <v>0</v>
      </c>
      <c r="DA381" s="2875">
        <v>1205571814</v>
      </c>
      <c r="DJ381" s="1611" t="e">
        <v>#N/A</v>
      </c>
      <c r="DK381" s="2782" t="e">
        <v>#N/A</v>
      </c>
      <c r="DM381" s="1650">
        <v>0</v>
      </c>
    </row>
    <row r="382" spans="1:117" ht="21" customHeight="1">
      <c r="A382" s="1707" t="s">
        <v>21</v>
      </c>
      <c r="B382" s="1668" t="s">
        <v>2017</v>
      </c>
      <c r="C382" s="1662" t="s">
        <v>1594</v>
      </c>
      <c r="D382" s="1646" t="e">
        <v>#VALUE!</v>
      </c>
      <c r="E382" s="1646"/>
      <c r="F382" s="1648" t="s">
        <v>1594</v>
      </c>
      <c r="G382" s="1648"/>
      <c r="H382" s="1648">
        <v>390</v>
      </c>
      <c r="I382" s="1648"/>
      <c r="J382" s="1663"/>
      <c r="K382" s="1648"/>
      <c r="L382" s="1648"/>
      <c r="M382" s="1648"/>
      <c r="N382" s="1642"/>
      <c r="O382" s="2876"/>
      <c r="P382" s="2870"/>
      <c r="Q382" s="2870"/>
      <c r="R382" s="2870"/>
      <c r="S382" s="2870"/>
      <c r="T382" s="2870"/>
      <c r="U382" s="2875">
        <v>0</v>
      </c>
      <c r="V382" s="2869"/>
      <c r="W382" s="2870"/>
      <c r="X382" s="2870"/>
      <c r="Y382" s="2870"/>
      <c r="Z382" s="2870"/>
      <c r="AA382" s="2877">
        <v>0</v>
      </c>
      <c r="AB382" s="2875">
        <v>0</v>
      </c>
      <c r="AC382" s="2869"/>
      <c r="AD382" s="2870"/>
      <c r="AE382" s="2870"/>
      <c r="AF382" s="2870"/>
      <c r="AG382" s="2870"/>
      <c r="AH382" s="2877">
        <v>0</v>
      </c>
      <c r="AI382" s="2875">
        <v>0</v>
      </c>
      <c r="AJ382" s="2869"/>
      <c r="AK382" s="2870"/>
      <c r="AL382" s="2870"/>
      <c r="AM382" s="2870"/>
      <c r="AN382" s="2870"/>
      <c r="AO382" s="2877">
        <v>0</v>
      </c>
      <c r="AP382" s="2875">
        <v>0</v>
      </c>
      <c r="AQ382" s="2869"/>
      <c r="AR382" s="2870"/>
      <c r="AS382" s="2870"/>
      <c r="AT382" s="2870"/>
      <c r="AU382" s="2870"/>
      <c r="AV382" s="2877">
        <v>0</v>
      </c>
      <c r="AW382" s="2875">
        <v>0</v>
      </c>
      <c r="AX382" s="2869"/>
      <c r="AY382" s="2870"/>
      <c r="AZ382" s="2870"/>
      <c r="BA382" s="2870"/>
      <c r="BB382" s="2870"/>
      <c r="BC382" s="2877">
        <v>0</v>
      </c>
      <c r="BD382" s="2875">
        <v>0</v>
      </c>
      <c r="BE382" s="2869"/>
      <c r="BF382" s="2870"/>
      <c r="BG382" s="2870"/>
      <c r="BH382" s="2870"/>
      <c r="BI382" s="2870"/>
      <c r="BJ382" s="2877">
        <v>0</v>
      </c>
      <c r="BK382" s="2875">
        <v>0</v>
      </c>
      <c r="BL382" s="2869"/>
      <c r="BM382" s="2870"/>
      <c r="BN382" s="2870"/>
      <c r="BO382" s="2870">
        <v>298284852</v>
      </c>
      <c r="BP382" s="2870"/>
      <c r="BQ382" s="2877">
        <v>0</v>
      </c>
      <c r="BR382" s="2875">
        <v>298284852</v>
      </c>
      <c r="BS382" s="2869"/>
      <c r="BT382" s="2870"/>
      <c r="BU382" s="2870"/>
      <c r="BV382" s="2870">
        <v>147170613</v>
      </c>
      <c r="BW382" s="2870"/>
      <c r="BX382" s="2877">
        <v>0</v>
      </c>
      <c r="BY382" s="2875">
        <v>147170613</v>
      </c>
      <c r="BZ382" s="2869"/>
      <c r="CA382" s="2870"/>
      <c r="CB382" s="2870"/>
      <c r="CC382" s="2870"/>
      <c r="CD382" s="2870"/>
      <c r="CE382" s="2877">
        <v>0</v>
      </c>
      <c r="CF382" s="2875">
        <v>0</v>
      </c>
      <c r="CG382" s="2869"/>
      <c r="CH382" s="2870"/>
      <c r="CI382" s="2870"/>
      <c r="CJ382" s="2870">
        <v>627396355</v>
      </c>
      <c r="CK382" s="2870"/>
      <c r="CL382" s="2877">
        <v>0</v>
      </c>
      <c r="CM382" s="2875">
        <v>627396355</v>
      </c>
      <c r="CN382" s="2872"/>
      <c r="CO382" s="2870"/>
      <c r="CP382" s="2870"/>
      <c r="CQ382" s="2870">
        <v>32405383</v>
      </c>
      <c r="CR382" s="2870"/>
      <c r="CS382" s="2877">
        <v>0</v>
      </c>
      <c r="CT382" s="2875">
        <v>32405383</v>
      </c>
      <c r="CU382" s="2878">
        <v>0</v>
      </c>
      <c r="CV382" s="2870">
        <v>0</v>
      </c>
      <c r="CW382" s="2870">
        <v>0</v>
      </c>
      <c r="CX382" s="2870">
        <v>1105257203</v>
      </c>
      <c r="CY382" s="2870">
        <v>0</v>
      </c>
      <c r="CZ382" s="2874">
        <v>0</v>
      </c>
      <c r="DA382" s="2875">
        <v>1105257203</v>
      </c>
      <c r="DJ382" s="1611" t="e">
        <v>#N/A</v>
      </c>
      <c r="DK382" s="2782" t="e">
        <v>#N/A</v>
      </c>
      <c r="DM382" s="1650">
        <v>0</v>
      </c>
    </row>
    <row r="383" spans="1:117" ht="21" customHeight="1">
      <c r="A383" s="1707" t="s">
        <v>24</v>
      </c>
      <c r="B383" s="1668" t="s">
        <v>2018</v>
      </c>
      <c r="C383" s="1662" t="s">
        <v>1594</v>
      </c>
      <c r="D383" s="1646" t="e">
        <v>#VALUE!</v>
      </c>
      <c r="E383" s="1646"/>
      <c r="F383" s="1648" t="s">
        <v>1594</v>
      </c>
      <c r="G383" s="1648"/>
      <c r="H383" s="1648">
        <v>350</v>
      </c>
      <c r="I383" s="1648"/>
      <c r="J383" s="1663"/>
      <c r="K383" s="1648"/>
      <c r="L383" s="1648"/>
      <c r="M383" s="1648"/>
      <c r="N383" s="1642"/>
      <c r="O383" s="2876"/>
      <c r="P383" s="2870"/>
      <c r="Q383" s="2870"/>
      <c r="R383" s="2870"/>
      <c r="S383" s="2870"/>
      <c r="T383" s="2870"/>
      <c r="U383" s="2875">
        <v>0</v>
      </c>
      <c r="V383" s="2869"/>
      <c r="W383" s="2870"/>
      <c r="X383" s="2870"/>
      <c r="Y383" s="2870"/>
      <c r="Z383" s="2870"/>
      <c r="AA383" s="2877">
        <v>0</v>
      </c>
      <c r="AB383" s="2875">
        <v>0</v>
      </c>
      <c r="AC383" s="2869"/>
      <c r="AD383" s="2870"/>
      <c r="AE383" s="2870"/>
      <c r="AF383" s="2870"/>
      <c r="AG383" s="2870"/>
      <c r="AH383" s="2877">
        <v>0</v>
      </c>
      <c r="AI383" s="2875">
        <v>0</v>
      </c>
      <c r="AJ383" s="2869"/>
      <c r="AK383" s="2870"/>
      <c r="AL383" s="2870"/>
      <c r="AM383" s="2870">
        <v>142833996</v>
      </c>
      <c r="AN383" s="2870"/>
      <c r="AO383" s="2877">
        <v>0</v>
      </c>
      <c r="AP383" s="2875">
        <v>142833996</v>
      </c>
      <c r="AQ383" s="2869"/>
      <c r="AR383" s="2870"/>
      <c r="AS383" s="2870"/>
      <c r="AT383" s="2870"/>
      <c r="AU383" s="2870"/>
      <c r="AV383" s="2877">
        <v>0</v>
      </c>
      <c r="AW383" s="2875">
        <v>0</v>
      </c>
      <c r="AX383" s="2869"/>
      <c r="AY383" s="2870"/>
      <c r="AZ383" s="2870"/>
      <c r="BA383" s="2870">
        <v>295972153</v>
      </c>
      <c r="BB383" s="2870"/>
      <c r="BC383" s="2877">
        <v>0</v>
      </c>
      <c r="BD383" s="2875">
        <v>295972153</v>
      </c>
      <c r="BE383" s="2869"/>
      <c r="BF383" s="2870"/>
      <c r="BG383" s="2870"/>
      <c r="BH383" s="2870">
        <v>132351278</v>
      </c>
      <c r="BI383" s="2870"/>
      <c r="BJ383" s="2877">
        <v>0</v>
      </c>
      <c r="BK383" s="2875">
        <v>132351278</v>
      </c>
      <c r="BL383" s="2869"/>
      <c r="BM383" s="2870"/>
      <c r="BN383" s="2870"/>
      <c r="BO383" s="2870">
        <v>127792649</v>
      </c>
      <c r="BP383" s="2870"/>
      <c r="BQ383" s="2877">
        <v>0</v>
      </c>
      <c r="BR383" s="2875">
        <v>127792649</v>
      </c>
      <c r="BS383" s="2869"/>
      <c r="BT383" s="2870"/>
      <c r="BU383" s="2870"/>
      <c r="BV383" s="2870">
        <v>126628063</v>
      </c>
      <c r="BW383" s="2870"/>
      <c r="BX383" s="2877">
        <v>0</v>
      </c>
      <c r="BY383" s="2875">
        <v>126628063</v>
      </c>
      <c r="BZ383" s="2869"/>
      <c r="CA383" s="2870"/>
      <c r="CB383" s="2870"/>
      <c r="CC383" s="2870"/>
      <c r="CD383" s="2870"/>
      <c r="CE383" s="2877">
        <v>0</v>
      </c>
      <c r="CF383" s="2875">
        <v>0</v>
      </c>
      <c r="CG383" s="2869"/>
      <c r="CH383" s="2870"/>
      <c r="CI383" s="2870"/>
      <c r="CJ383" s="2870"/>
      <c r="CK383" s="2870"/>
      <c r="CL383" s="2877">
        <v>0</v>
      </c>
      <c r="CM383" s="2875">
        <v>0</v>
      </c>
      <c r="CN383" s="2872"/>
      <c r="CO383" s="2870"/>
      <c r="CP383" s="2870"/>
      <c r="CQ383" s="2870">
        <v>369354</v>
      </c>
      <c r="CR383" s="2870"/>
      <c r="CS383" s="2877">
        <v>0</v>
      </c>
      <c r="CT383" s="2875">
        <v>369354</v>
      </c>
      <c r="CU383" s="2878">
        <v>0</v>
      </c>
      <c r="CV383" s="2870">
        <v>0</v>
      </c>
      <c r="CW383" s="2870">
        <v>0</v>
      </c>
      <c r="CX383" s="2870">
        <v>825947493</v>
      </c>
      <c r="CY383" s="2870">
        <v>0</v>
      </c>
      <c r="CZ383" s="2874">
        <v>0</v>
      </c>
      <c r="DA383" s="2875">
        <v>825947493</v>
      </c>
      <c r="DJ383" s="1611" t="e">
        <v>#N/A</v>
      </c>
      <c r="DK383" s="2782" t="e">
        <v>#N/A</v>
      </c>
      <c r="DM383" s="1650">
        <v>0</v>
      </c>
    </row>
    <row r="384" spans="1:117" ht="21" customHeight="1">
      <c r="A384" s="1707"/>
      <c r="B384" s="1668"/>
      <c r="C384" s="1662"/>
      <c r="D384" s="1648"/>
      <c r="E384" s="1648"/>
      <c r="F384" s="1648"/>
      <c r="G384" s="1648"/>
      <c r="H384" s="1648"/>
      <c r="I384" s="1648"/>
      <c r="J384" s="1663"/>
      <c r="K384" s="1648"/>
      <c r="L384" s="1648"/>
      <c r="M384" s="1648"/>
      <c r="N384" s="1642"/>
      <c r="O384" s="2876"/>
      <c r="P384" s="2870"/>
      <c r="Q384" s="2870"/>
      <c r="R384" s="2870"/>
      <c r="S384" s="2870"/>
      <c r="T384" s="2870"/>
      <c r="U384" s="2875">
        <v>0</v>
      </c>
      <c r="V384" s="2869"/>
      <c r="W384" s="2870"/>
      <c r="X384" s="2870"/>
      <c r="Y384" s="2870"/>
      <c r="Z384" s="2870"/>
      <c r="AA384" s="2877"/>
      <c r="AB384" s="2875">
        <v>0</v>
      </c>
      <c r="AC384" s="2869"/>
      <c r="AD384" s="2870"/>
      <c r="AE384" s="2870"/>
      <c r="AF384" s="2870"/>
      <c r="AG384" s="2870"/>
      <c r="AH384" s="2877"/>
      <c r="AI384" s="2875">
        <v>0</v>
      </c>
      <c r="AJ384" s="2869"/>
      <c r="AK384" s="2870"/>
      <c r="AL384" s="2870"/>
      <c r="AM384" s="2870"/>
      <c r="AN384" s="2870"/>
      <c r="AO384" s="2877"/>
      <c r="AP384" s="2875">
        <v>0</v>
      </c>
      <c r="AQ384" s="2869"/>
      <c r="AR384" s="2870"/>
      <c r="AS384" s="2870"/>
      <c r="AT384" s="2870"/>
      <c r="AU384" s="2870"/>
      <c r="AV384" s="2877"/>
      <c r="AW384" s="2875">
        <v>0</v>
      </c>
      <c r="AX384" s="2869"/>
      <c r="AY384" s="2870"/>
      <c r="AZ384" s="2870"/>
      <c r="BA384" s="2870"/>
      <c r="BB384" s="2870"/>
      <c r="BC384" s="2877"/>
      <c r="BD384" s="2875">
        <v>0</v>
      </c>
      <c r="BE384" s="2869"/>
      <c r="BF384" s="2870"/>
      <c r="BG384" s="2870"/>
      <c r="BH384" s="2870"/>
      <c r="BI384" s="2870"/>
      <c r="BJ384" s="2877"/>
      <c r="BK384" s="2875">
        <v>0</v>
      </c>
      <c r="BL384" s="2869"/>
      <c r="BM384" s="2870"/>
      <c r="BN384" s="2870"/>
      <c r="BO384" s="2870"/>
      <c r="BP384" s="2870"/>
      <c r="BQ384" s="2877"/>
      <c r="BR384" s="2875">
        <v>0</v>
      </c>
      <c r="BS384" s="2869"/>
      <c r="BT384" s="2870"/>
      <c r="BU384" s="2870"/>
      <c r="BV384" s="2870"/>
      <c r="BW384" s="2870"/>
      <c r="BX384" s="2877"/>
      <c r="BY384" s="2875">
        <v>0</v>
      </c>
      <c r="BZ384" s="2869"/>
      <c r="CA384" s="2870"/>
      <c r="CB384" s="2870"/>
      <c r="CC384" s="2870"/>
      <c r="CD384" s="2870"/>
      <c r="CE384" s="2877"/>
      <c r="CF384" s="2875">
        <v>0</v>
      </c>
      <c r="CG384" s="2869"/>
      <c r="CH384" s="2870"/>
      <c r="CI384" s="2870"/>
      <c r="CJ384" s="2870"/>
      <c r="CK384" s="2870"/>
      <c r="CL384" s="2877"/>
      <c r="CM384" s="2875">
        <v>0</v>
      </c>
      <c r="CN384" s="2872"/>
      <c r="CO384" s="2870"/>
      <c r="CP384" s="2870"/>
      <c r="CQ384" s="2870"/>
      <c r="CR384" s="2870"/>
      <c r="CS384" s="2877"/>
      <c r="CT384" s="2875">
        <v>0</v>
      </c>
      <c r="CU384" s="2878">
        <v>0</v>
      </c>
      <c r="CV384" s="2870">
        <v>0</v>
      </c>
      <c r="CW384" s="2870">
        <v>0</v>
      </c>
      <c r="CX384" s="2870">
        <v>0</v>
      </c>
      <c r="CY384" s="2870">
        <v>0</v>
      </c>
      <c r="CZ384" s="2874">
        <v>0</v>
      </c>
      <c r="DA384" s="2875">
        <v>0</v>
      </c>
      <c r="DJ384" s="1611" t="e">
        <v>#N/A</v>
      </c>
      <c r="DK384" s="2782" t="e">
        <v>#N/A</v>
      </c>
      <c r="DM384" s="1650">
        <v>0</v>
      </c>
    </row>
    <row r="385" spans="1:117" ht="21" customHeight="1">
      <c r="A385" s="1707"/>
      <c r="B385" s="1668"/>
      <c r="C385" s="1662"/>
      <c r="D385" s="1648"/>
      <c r="E385" s="1648"/>
      <c r="F385" s="1648"/>
      <c r="G385" s="1648"/>
      <c r="H385" s="1648"/>
      <c r="I385" s="1648"/>
      <c r="J385" s="1663"/>
      <c r="K385" s="1648"/>
      <c r="L385" s="1648"/>
      <c r="M385" s="1648"/>
      <c r="N385" s="1642"/>
      <c r="O385" s="2876"/>
      <c r="P385" s="2870"/>
      <c r="Q385" s="2870"/>
      <c r="R385" s="2870"/>
      <c r="S385" s="2870"/>
      <c r="T385" s="2870"/>
      <c r="U385" s="2875">
        <v>0</v>
      </c>
      <c r="V385" s="2869"/>
      <c r="W385" s="2870"/>
      <c r="X385" s="2870"/>
      <c r="Y385" s="2870"/>
      <c r="Z385" s="2870"/>
      <c r="AA385" s="2877"/>
      <c r="AB385" s="2875">
        <v>0</v>
      </c>
      <c r="AC385" s="2869"/>
      <c r="AD385" s="2870"/>
      <c r="AE385" s="2870"/>
      <c r="AF385" s="2870"/>
      <c r="AG385" s="2870"/>
      <c r="AH385" s="2877"/>
      <c r="AI385" s="2875">
        <v>0</v>
      </c>
      <c r="AJ385" s="2869"/>
      <c r="AK385" s="2870"/>
      <c r="AL385" s="2870"/>
      <c r="AM385" s="2870"/>
      <c r="AN385" s="2870"/>
      <c r="AO385" s="2877"/>
      <c r="AP385" s="2875">
        <v>0</v>
      </c>
      <c r="AQ385" s="2869"/>
      <c r="AR385" s="2870"/>
      <c r="AS385" s="2870"/>
      <c r="AT385" s="2870"/>
      <c r="AU385" s="2870"/>
      <c r="AV385" s="2877"/>
      <c r="AW385" s="2875">
        <v>0</v>
      </c>
      <c r="AX385" s="2869"/>
      <c r="AY385" s="2870"/>
      <c r="AZ385" s="2870"/>
      <c r="BA385" s="2870"/>
      <c r="BB385" s="2870"/>
      <c r="BC385" s="2877"/>
      <c r="BD385" s="2875">
        <v>0</v>
      </c>
      <c r="BE385" s="2869"/>
      <c r="BF385" s="2870"/>
      <c r="BG385" s="2870"/>
      <c r="BH385" s="2870"/>
      <c r="BI385" s="2870"/>
      <c r="BJ385" s="2877"/>
      <c r="BK385" s="2875">
        <v>0</v>
      </c>
      <c r="BL385" s="2869"/>
      <c r="BM385" s="2870"/>
      <c r="BN385" s="2870"/>
      <c r="BO385" s="2870"/>
      <c r="BP385" s="2870"/>
      <c r="BQ385" s="2877"/>
      <c r="BR385" s="2875">
        <v>0</v>
      </c>
      <c r="BS385" s="2869"/>
      <c r="BT385" s="2870"/>
      <c r="BU385" s="2870"/>
      <c r="BV385" s="2870"/>
      <c r="BW385" s="2870"/>
      <c r="BX385" s="2877"/>
      <c r="BY385" s="2875">
        <v>0</v>
      </c>
      <c r="BZ385" s="2869"/>
      <c r="CA385" s="2870"/>
      <c r="CB385" s="2870"/>
      <c r="CC385" s="2870"/>
      <c r="CD385" s="2870"/>
      <c r="CE385" s="2877"/>
      <c r="CF385" s="2875">
        <v>0</v>
      </c>
      <c r="CG385" s="2869"/>
      <c r="CH385" s="2870"/>
      <c r="CI385" s="2870"/>
      <c r="CJ385" s="2870"/>
      <c r="CK385" s="2870"/>
      <c r="CL385" s="2877"/>
      <c r="CM385" s="2875">
        <v>0</v>
      </c>
      <c r="CN385" s="2872"/>
      <c r="CO385" s="2870"/>
      <c r="CP385" s="2870"/>
      <c r="CQ385" s="2870"/>
      <c r="CR385" s="2870"/>
      <c r="CS385" s="2877"/>
      <c r="CT385" s="2875">
        <v>0</v>
      </c>
      <c r="CU385" s="2878">
        <v>0</v>
      </c>
      <c r="CV385" s="2870">
        <v>0</v>
      </c>
      <c r="CW385" s="2870">
        <v>0</v>
      </c>
      <c r="CX385" s="2870">
        <v>0</v>
      </c>
      <c r="CY385" s="2870">
        <v>0</v>
      </c>
      <c r="CZ385" s="2874">
        <v>0</v>
      </c>
      <c r="DA385" s="2875">
        <v>0</v>
      </c>
      <c r="DJ385" s="1611" t="e">
        <v>#N/A</v>
      </c>
      <c r="DK385" s="2782" t="e">
        <v>#N/A</v>
      </c>
      <c r="DM385" s="1650">
        <v>0</v>
      </c>
    </row>
    <row r="386" spans="1:117" ht="21" customHeight="1">
      <c r="A386" s="1707"/>
      <c r="B386" s="1668"/>
      <c r="C386" s="1662"/>
      <c r="D386" s="1648"/>
      <c r="E386" s="1648"/>
      <c r="F386" s="1648"/>
      <c r="G386" s="1648"/>
      <c r="H386" s="1648"/>
      <c r="I386" s="1648"/>
      <c r="J386" s="1663"/>
      <c r="K386" s="1648"/>
      <c r="L386" s="1648"/>
      <c r="M386" s="1648"/>
      <c r="N386" s="1642"/>
      <c r="O386" s="2876"/>
      <c r="P386" s="2870"/>
      <c r="Q386" s="2870"/>
      <c r="R386" s="2870"/>
      <c r="S386" s="2870"/>
      <c r="T386" s="2870"/>
      <c r="U386" s="2875">
        <v>0</v>
      </c>
      <c r="V386" s="2869"/>
      <c r="W386" s="2870"/>
      <c r="X386" s="2870"/>
      <c r="Y386" s="2870"/>
      <c r="Z386" s="2870"/>
      <c r="AA386" s="2877"/>
      <c r="AB386" s="2875">
        <v>0</v>
      </c>
      <c r="AC386" s="2869"/>
      <c r="AD386" s="2870"/>
      <c r="AE386" s="2870"/>
      <c r="AF386" s="2870"/>
      <c r="AG386" s="2870"/>
      <c r="AH386" s="2877"/>
      <c r="AI386" s="2875">
        <v>0</v>
      </c>
      <c r="AJ386" s="2869"/>
      <c r="AK386" s="2870"/>
      <c r="AL386" s="2870"/>
      <c r="AM386" s="2870"/>
      <c r="AN386" s="2870"/>
      <c r="AO386" s="2877"/>
      <c r="AP386" s="2875">
        <v>0</v>
      </c>
      <c r="AQ386" s="2869"/>
      <c r="AR386" s="2870"/>
      <c r="AS386" s="2870"/>
      <c r="AT386" s="2870"/>
      <c r="AU386" s="2870"/>
      <c r="AV386" s="2877"/>
      <c r="AW386" s="2875">
        <v>0</v>
      </c>
      <c r="AX386" s="2869"/>
      <c r="AY386" s="2870"/>
      <c r="AZ386" s="2870"/>
      <c r="BA386" s="2870"/>
      <c r="BB386" s="2870"/>
      <c r="BC386" s="2877"/>
      <c r="BD386" s="2875">
        <v>0</v>
      </c>
      <c r="BE386" s="2869"/>
      <c r="BF386" s="2870"/>
      <c r="BG386" s="2870"/>
      <c r="BH386" s="2870"/>
      <c r="BI386" s="2870"/>
      <c r="BJ386" s="2877"/>
      <c r="BK386" s="2875">
        <v>0</v>
      </c>
      <c r="BL386" s="2869"/>
      <c r="BM386" s="2870"/>
      <c r="BN386" s="2870"/>
      <c r="BO386" s="2870"/>
      <c r="BP386" s="2870"/>
      <c r="BQ386" s="2877"/>
      <c r="BR386" s="2875">
        <v>0</v>
      </c>
      <c r="BS386" s="2869"/>
      <c r="BT386" s="2870"/>
      <c r="BU386" s="2870"/>
      <c r="BV386" s="2870"/>
      <c r="BW386" s="2870"/>
      <c r="BX386" s="2877"/>
      <c r="BY386" s="2875">
        <v>0</v>
      </c>
      <c r="BZ386" s="2869"/>
      <c r="CA386" s="2870"/>
      <c r="CB386" s="2870"/>
      <c r="CC386" s="2870"/>
      <c r="CD386" s="2870"/>
      <c r="CE386" s="2877"/>
      <c r="CF386" s="2875">
        <v>0</v>
      </c>
      <c r="CG386" s="2869"/>
      <c r="CH386" s="2870"/>
      <c r="CI386" s="2870"/>
      <c r="CJ386" s="2870"/>
      <c r="CK386" s="2870"/>
      <c r="CL386" s="2877"/>
      <c r="CM386" s="2875">
        <v>0</v>
      </c>
      <c r="CN386" s="2872"/>
      <c r="CO386" s="2870"/>
      <c r="CP386" s="2870"/>
      <c r="CQ386" s="2870"/>
      <c r="CR386" s="2870"/>
      <c r="CS386" s="2877"/>
      <c r="CT386" s="2875">
        <v>0</v>
      </c>
      <c r="CU386" s="2878">
        <v>0</v>
      </c>
      <c r="CV386" s="2870">
        <v>0</v>
      </c>
      <c r="CW386" s="2870">
        <v>0</v>
      </c>
      <c r="CX386" s="2870">
        <v>0</v>
      </c>
      <c r="CY386" s="2870">
        <v>0</v>
      </c>
      <c r="CZ386" s="2874">
        <v>0</v>
      </c>
      <c r="DA386" s="2875">
        <v>0</v>
      </c>
      <c r="DJ386" s="1611" t="e">
        <v>#N/A</v>
      </c>
      <c r="DK386" s="2782" t="e">
        <v>#N/A</v>
      </c>
      <c r="DM386" s="1650">
        <v>0</v>
      </c>
    </row>
    <row r="387" spans="1:117" s="1727" customFormat="1" ht="21" customHeight="1">
      <c r="A387" s="2021"/>
      <c r="B387" s="1638" t="s">
        <v>1855</v>
      </c>
      <c r="C387" s="1643"/>
      <c r="D387" s="1641"/>
      <c r="E387" s="1641"/>
      <c r="F387" s="1641"/>
      <c r="G387" s="1641"/>
      <c r="H387" s="1641"/>
      <c r="I387" s="1641"/>
      <c r="J387" s="1649"/>
      <c r="K387" s="1641"/>
      <c r="L387" s="1641"/>
      <c r="M387" s="1641"/>
      <c r="N387" s="1671"/>
      <c r="O387" s="2876">
        <v>0</v>
      </c>
      <c r="P387" s="2874">
        <v>0</v>
      </c>
      <c r="Q387" s="2874">
        <v>0</v>
      </c>
      <c r="R387" s="2874">
        <v>0</v>
      </c>
      <c r="S387" s="2874"/>
      <c r="T387" s="2879">
        <v>0</v>
      </c>
      <c r="U387" s="2875">
        <v>0</v>
      </c>
      <c r="V387" s="2876">
        <v>0</v>
      </c>
      <c r="W387" s="2874">
        <v>0</v>
      </c>
      <c r="X387" s="2874">
        <v>0</v>
      </c>
      <c r="Y387" s="2874">
        <v>0</v>
      </c>
      <c r="Z387" s="2874">
        <v>0</v>
      </c>
      <c r="AA387" s="2879">
        <v>0</v>
      </c>
      <c r="AB387" s="2875">
        <v>0</v>
      </c>
      <c r="AC387" s="2876">
        <v>0</v>
      </c>
      <c r="AD387" s="2874">
        <v>0</v>
      </c>
      <c r="AE387" s="2874">
        <v>0</v>
      </c>
      <c r="AF387" s="2874">
        <v>0</v>
      </c>
      <c r="AG387" s="2874">
        <v>0</v>
      </c>
      <c r="AH387" s="2879">
        <v>0</v>
      </c>
      <c r="AI387" s="2875">
        <v>0</v>
      </c>
      <c r="AJ387" s="2876">
        <v>0</v>
      </c>
      <c r="AK387" s="2874">
        <v>0</v>
      </c>
      <c r="AL387" s="2874">
        <v>0</v>
      </c>
      <c r="AM387" s="2874">
        <v>1251775452</v>
      </c>
      <c r="AN387" s="2874">
        <v>0</v>
      </c>
      <c r="AO387" s="2879">
        <v>0</v>
      </c>
      <c r="AP387" s="2875">
        <v>1251775452</v>
      </c>
      <c r="AQ387" s="2876">
        <v>0</v>
      </c>
      <c r="AR387" s="2874">
        <v>0</v>
      </c>
      <c r="AS387" s="2874">
        <v>0</v>
      </c>
      <c r="AT387" s="2874">
        <v>0</v>
      </c>
      <c r="AU387" s="2874">
        <v>0</v>
      </c>
      <c r="AV387" s="2879">
        <v>0</v>
      </c>
      <c r="AW387" s="2875">
        <v>0</v>
      </c>
      <c r="AX387" s="2876">
        <v>0</v>
      </c>
      <c r="AY387" s="2874">
        <v>0</v>
      </c>
      <c r="AZ387" s="2874">
        <v>0</v>
      </c>
      <c r="BA387" s="2874">
        <v>1371165789</v>
      </c>
      <c r="BB387" s="2874">
        <v>0</v>
      </c>
      <c r="BC387" s="2879">
        <v>0</v>
      </c>
      <c r="BD387" s="2875">
        <v>1371165789</v>
      </c>
      <c r="BE387" s="2876">
        <v>0</v>
      </c>
      <c r="BF387" s="2874">
        <v>0</v>
      </c>
      <c r="BG387" s="2874">
        <v>0</v>
      </c>
      <c r="BH387" s="2874">
        <v>132351278</v>
      </c>
      <c r="BI387" s="2874">
        <v>0</v>
      </c>
      <c r="BJ387" s="2879">
        <v>0</v>
      </c>
      <c r="BK387" s="2875">
        <v>132351278</v>
      </c>
      <c r="BL387" s="2876">
        <v>0</v>
      </c>
      <c r="BM387" s="2874">
        <v>0</v>
      </c>
      <c r="BN387" s="2874">
        <v>0</v>
      </c>
      <c r="BO387" s="2874">
        <v>1106452948</v>
      </c>
      <c r="BP387" s="2874">
        <v>0</v>
      </c>
      <c r="BQ387" s="2879">
        <v>0</v>
      </c>
      <c r="BR387" s="2875">
        <v>1106452948</v>
      </c>
      <c r="BS387" s="2876">
        <v>0</v>
      </c>
      <c r="BT387" s="2874">
        <v>0</v>
      </c>
      <c r="BU387" s="2874">
        <v>0</v>
      </c>
      <c r="BV387" s="2874">
        <v>666034253</v>
      </c>
      <c r="BW387" s="2874">
        <v>0</v>
      </c>
      <c r="BX387" s="2879">
        <v>0</v>
      </c>
      <c r="BY387" s="2875">
        <v>666034253</v>
      </c>
      <c r="BZ387" s="2876">
        <v>0</v>
      </c>
      <c r="CA387" s="2874">
        <v>0</v>
      </c>
      <c r="CB387" s="2874">
        <v>0</v>
      </c>
      <c r="CC387" s="2874">
        <v>145303281</v>
      </c>
      <c r="CD387" s="2874">
        <v>0</v>
      </c>
      <c r="CE387" s="2879">
        <v>0</v>
      </c>
      <c r="CF387" s="2875">
        <v>145303281</v>
      </c>
      <c r="CG387" s="2876">
        <v>0</v>
      </c>
      <c r="CH387" s="2874">
        <v>0</v>
      </c>
      <c r="CI387" s="2874">
        <v>0</v>
      </c>
      <c r="CJ387" s="2874">
        <v>696292637</v>
      </c>
      <c r="CK387" s="2874">
        <v>0</v>
      </c>
      <c r="CL387" s="2879">
        <v>0</v>
      </c>
      <c r="CM387" s="2875">
        <v>696292637</v>
      </c>
      <c r="CN387" s="2880">
        <v>0</v>
      </c>
      <c r="CO387" s="2874">
        <v>0</v>
      </c>
      <c r="CP387" s="2874">
        <v>0</v>
      </c>
      <c r="CQ387" s="2874">
        <v>2633660487</v>
      </c>
      <c r="CR387" s="2874">
        <v>0</v>
      </c>
      <c r="CS387" s="2879">
        <v>0</v>
      </c>
      <c r="CT387" s="2875">
        <v>2633660487</v>
      </c>
      <c r="CU387" s="2881">
        <v>0</v>
      </c>
      <c r="CV387" s="2874">
        <v>0</v>
      </c>
      <c r="CW387" s="2874">
        <v>0</v>
      </c>
      <c r="CX387" s="2874">
        <v>8003036125</v>
      </c>
      <c r="CY387" s="2874">
        <v>0</v>
      </c>
      <c r="CZ387" s="2879">
        <v>0</v>
      </c>
      <c r="DA387" s="2875">
        <v>8003036125</v>
      </c>
      <c r="DB387" s="1609"/>
      <c r="DD387" s="1625"/>
      <c r="DJ387" s="1611" t="e">
        <v>#N/A</v>
      </c>
      <c r="DK387" s="2782" t="e">
        <v>#N/A</v>
      </c>
      <c r="DM387" s="1650">
        <v>0</v>
      </c>
    </row>
    <row r="388" spans="1:117" ht="21" customHeight="1">
      <c r="A388" s="1707"/>
      <c r="B388" s="1668"/>
      <c r="C388" s="1662"/>
      <c r="D388" s="1648"/>
      <c r="E388" s="1648"/>
      <c r="F388" s="1648"/>
      <c r="G388" s="1648"/>
      <c r="H388" s="1648"/>
      <c r="I388" s="1648"/>
      <c r="J388" s="1663"/>
      <c r="K388" s="1648"/>
      <c r="L388" s="1648"/>
      <c r="M388" s="1648"/>
      <c r="N388" s="1642"/>
      <c r="O388" s="2876"/>
      <c r="P388" s="2870"/>
      <c r="Q388" s="2870"/>
      <c r="R388" s="2870"/>
      <c r="S388" s="2870"/>
      <c r="T388" s="2870"/>
      <c r="U388" s="2875"/>
      <c r="V388" s="2869"/>
      <c r="W388" s="2870"/>
      <c r="X388" s="2870"/>
      <c r="Y388" s="2870"/>
      <c r="Z388" s="2870"/>
      <c r="AA388" s="2877"/>
      <c r="AB388" s="2875">
        <v>0</v>
      </c>
      <c r="AC388" s="2869"/>
      <c r="AD388" s="2870"/>
      <c r="AE388" s="2870"/>
      <c r="AF388" s="2870"/>
      <c r="AG388" s="2870"/>
      <c r="AH388" s="2877"/>
      <c r="AI388" s="2875">
        <v>0</v>
      </c>
      <c r="AJ388" s="2869"/>
      <c r="AK388" s="2870"/>
      <c r="AL388" s="2870"/>
      <c r="AM388" s="2870"/>
      <c r="AN388" s="2870"/>
      <c r="AO388" s="2877"/>
      <c r="AP388" s="2875">
        <v>0</v>
      </c>
      <c r="AQ388" s="2869"/>
      <c r="AR388" s="2870"/>
      <c r="AS388" s="2870"/>
      <c r="AT388" s="2870"/>
      <c r="AU388" s="2870"/>
      <c r="AV388" s="2877"/>
      <c r="AW388" s="2875">
        <v>0</v>
      </c>
      <c r="AX388" s="2869"/>
      <c r="AY388" s="2870"/>
      <c r="AZ388" s="2870"/>
      <c r="BA388" s="2870"/>
      <c r="BB388" s="2870"/>
      <c r="BC388" s="2877"/>
      <c r="BD388" s="2875">
        <v>0</v>
      </c>
      <c r="BE388" s="2869"/>
      <c r="BF388" s="2870"/>
      <c r="BG388" s="2870"/>
      <c r="BH388" s="2870"/>
      <c r="BI388" s="2870"/>
      <c r="BJ388" s="2877"/>
      <c r="BK388" s="2875">
        <v>0</v>
      </c>
      <c r="BL388" s="2869"/>
      <c r="BM388" s="2870"/>
      <c r="BN388" s="2870"/>
      <c r="BO388" s="2870"/>
      <c r="BP388" s="2870"/>
      <c r="BQ388" s="2877"/>
      <c r="BR388" s="2875">
        <v>0</v>
      </c>
      <c r="BS388" s="2869"/>
      <c r="BT388" s="2870"/>
      <c r="BU388" s="2870"/>
      <c r="BV388" s="2870"/>
      <c r="BW388" s="2870"/>
      <c r="BX388" s="2877"/>
      <c r="BY388" s="2875">
        <v>0</v>
      </c>
      <c r="BZ388" s="2869"/>
      <c r="CA388" s="2870"/>
      <c r="CB388" s="2870"/>
      <c r="CC388" s="2870"/>
      <c r="CD388" s="2870"/>
      <c r="CE388" s="2877"/>
      <c r="CF388" s="2875">
        <v>0</v>
      </c>
      <c r="CG388" s="2869"/>
      <c r="CH388" s="2870"/>
      <c r="CI388" s="2870"/>
      <c r="CJ388" s="2870"/>
      <c r="CK388" s="2870"/>
      <c r="CL388" s="2877"/>
      <c r="CM388" s="2875">
        <v>0</v>
      </c>
      <c r="CN388" s="2872"/>
      <c r="CO388" s="2870"/>
      <c r="CP388" s="2870"/>
      <c r="CQ388" s="2870"/>
      <c r="CR388" s="2870"/>
      <c r="CS388" s="2877"/>
      <c r="CT388" s="2875"/>
      <c r="CU388" s="2878"/>
      <c r="CV388" s="2870"/>
      <c r="CW388" s="2870"/>
      <c r="CX388" s="2870"/>
      <c r="CY388" s="2870"/>
      <c r="CZ388" s="2879"/>
      <c r="DA388" s="2875"/>
      <c r="DJ388" s="1611" t="e">
        <v>#N/A</v>
      </c>
      <c r="DK388" s="2782" t="e">
        <v>#N/A</v>
      </c>
      <c r="DM388" s="1650">
        <v>0</v>
      </c>
    </row>
    <row r="389" spans="1:117" ht="21" customHeight="1">
      <c r="A389" s="1652"/>
      <c r="B389" s="1706"/>
      <c r="C389" s="1662"/>
      <c r="D389" s="1648"/>
      <c r="E389" s="1648"/>
      <c r="F389" s="1648"/>
      <c r="G389" s="1648"/>
      <c r="H389" s="1648"/>
      <c r="I389" s="1648"/>
      <c r="J389" s="1663"/>
      <c r="K389" s="1648"/>
      <c r="L389" s="1648"/>
      <c r="M389" s="1648"/>
      <c r="N389" s="1642"/>
      <c r="O389" s="2876"/>
      <c r="P389" s="2870"/>
      <c r="Q389" s="2870"/>
      <c r="R389" s="2870"/>
      <c r="S389" s="2870"/>
      <c r="T389" s="2870"/>
      <c r="U389" s="2875">
        <v>0</v>
      </c>
      <c r="V389" s="2869"/>
      <c r="W389" s="2870"/>
      <c r="X389" s="2870"/>
      <c r="Y389" s="2870"/>
      <c r="Z389" s="2870"/>
      <c r="AA389" s="2877"/>
      <c r="AB389" s="2875">
        <v>0</v>
      </c>
      <c r="AC389" s="2869"/>
      <c r="AD389" s="2870"/>
      <c r="AE389" s="2870"/>
      <c r="AF389" s="2870"/>
      <c r="AG389" s="2870"/>
      <c r="AH389" s="2877"/>
      <c r="AI389" s="2875">
        <v>0</v>
      </c>
      <c r="AJ389" s="2869"/>
      <c r="AK389" s="2870"/>
      <c r="AL389" s="2870"/>
      <c r="AM389" s="2870"/>
      <c r="AN389" s="2870"/>
      <c r="AO389" s="2877"/>
      <c r="AP389" s="2875">
        <v>0</v>
      </c>
      <c r="AQ389" s="2869"/>
      <c r="AR389" s="2870"/>
      <c r="AS389" s="2870"/>
      <c r="AT389" s="2870"/>
      <c r="AU389" s="2870"/>
      <c r="AV389" s="2877"/>
      <c r="AW389" s="2875">
        <v>0</v>
      </c>
      <c r="AX389" s="2869"/>
      <c r="AY389" s="2870"/>
      <c r="AZ389" s="2870"/>
      <c r="BA389" s="2870"/>
      <c r="BB389" s="2870"/>
      <c r="BC389" s="2877"/>
      <c r="BD389" s="2875">
        <v>0</v>
      </c>
      <c r="BE389" s="2869"/>
      <c r="BF389" s="2870"/>
      <c r="BG389" s="2870"/>
      <c r="BH389" s="2870"/>
      <c r="BI389" s="2870"/>
      <c r="BJ389" s="2877"/>
      <c r="BK389" s="2875">
        <v>0</v>
      </c>
      <c r="BL389" s="2869"/>
      <c r="BM389" s="2870"/>
      <c r="BN389" s="2870"/>
      <c r="BO389" s="2870"/>
      <c r="BP389" s="2870"/>
      <c r="BQ389" s="2877"/>
      <c r="BR389" s="2875">
        <v>0</v>
      </c>
      <c r="BS389" s="2869"/>
      <c r="BT389" s="2870"/>
      <c r="BU389" s="2870"/>
      <c r="BV389" s="2870"/>
      <c r="BW389" s="2870"/>
      <c r="BX389" s="2877"/>
      <c r="BY389" s="2875">
        <v>0</v>
      </c>
      <c r="BZ389" s="2869"/>
      <c r="CA389" s="2870"/>
      <c r="CB389" s="2870"/>
      <c r="CC389" s="2870"/>
      <c r="CD389" s="2870"/>
      <c r="CE389" s="2877"/>
      <c r="CF389" s="2875">
        <v>0</v>
      </c>
      <c r="CG389" s="2869"/>
      <c r="CH389" s="2870"/>
      <c r="CI389" s="2870"/>
      <c r="CJ389" s="2870"/>
      <c r="CK389" s="2870"/>
      <c r="CL389" s="2877"/>
      <c r="CM389" s="2875">
        <v>0</v>
      </c>
      <c r="CN389" s="2872"/>
      <c r="CO389" s="2870"/>
      <c r="CP389" s="2870"/>
      <c r="CQ389" s="2870"/>
      <c r="CR389" s="2870"/>
      <c r="CS389" s="2877"/>
      <c r="CT389" s="2875">
        <v>0</v>
      </c>
      <c r="CU389" s="2878"/>
      <c r="CV389" s="2870"/>
      <c r="CW389" s="2870"/>
      <c r="CX389" s="2870">
        <v>0</v>
      </c>
      <c r="CY389" s="2870">
        <v>0</v>
      </c>
      <c r="CZ389" s="2879"/>
      <c r="DA389" s="2871">
        <v>0</v>
      </c>
      <c r="DJ389" s="1611" t="e">
        <v>#N/A</v>
      </c>
      <c r="DK389" s="2782" t="e">
        <v>#N/A</v>
      </c>
      <c r="DM389" s="1650">
        <v>0</v>
      </c>
    </row>
    <row r="390" spans="1:117" ht="21" customHeight="1">
      <c r="A390" s="1652"/>
      <c r="B390" s="1708"/>
      <c r="C390" s="1662"/>
      <c r="D390" s="1709"/>
      <c r="E390" s="1709"/>
      <c r="F390" s="1648"/>
      <c r="G390" s="1648"/>
      <c r="H390" s="1648"/>
      <c r="I390" s="1648"/>
      <c r="J390" s="1663"/>
      <c r="K390" s="1648"/>
      <c r="L390" s="1648"/>
      <c r="M390" s="1648"/>
      <c r="N390" s="1642"/>
      <c r="O390" s="2869"/>
      <c r="P390" s="2870"/>
      <c r="Q390" s="2870"/>
      <c r="R390" s="2870"/>
      <c r="S390" s="2870"/>
      <c r="T390" s="2870"/>
      <c r="U390" s="2875"/>
      <c r="V390" s="2869"/>
      <c r="W390" s="2870"/>
      <c r="X390" s="2870"/>
      <c r="Y390" s="2870"/>
      <c r="Z390" s="2870"/>
      <c r="AA390" s="2877"/>
      <c r="AB390" s="2871"/>
      <c r="AC390" s="2869"/>
      <c r="AD390" s="2870"/>
      <c r="AE390" s="2870"/>
      <c r="AF390" s="2870"/>
      <c r="AG390" s="2870"/>
      <c r="AH390" s="2877"/>
      <c r="AI390" s="2871"/>
      <c r="AJ390" s="2869"/>
      <c r="AK390" s="2870"/>
      <c r="AL390" s="2870"/>
      <c r="AM390" s="2870"/>
      <c r="AN390" s="2870"/>
      <c r="AO390" s="2877"/>
      <c r="AP390" s="2871"/>
      <c r="AQ390" s="2869"/>
      <c r="AR390" s="2870"/>
      <c r="AS390" s="2870"/>
      <c r="AT390" s="2870"/>
      <c r="AU390" s="2870"/>
      <c r="AV390" s="2877"/>
      <c r="AW390" s="2871"/>
      <c r="AX390" s="2869"/>
      <c r="AY390" s="2870"/>
      <c r="AZ390" s="2870"/>
      <c r="BA390" s="2870"/>
      <c r="BB390" s="2870"/>
      <c r="BC390" s="2877"/>
      <c r="BD390" s="2871"/>
      <c r="BE390" s="2869"/>
      <c r="BF390" s="2870"/>
      <c r="BG390" s="2870"/>
      <c r="BH390" s="2870"/>
      <c r="BI390" s="2870"/>
      <c r="BJ390" s="2877"/>
      <c r="BK390" s="2871"/>
      <c r="BL390" s="2869"/>
      <c r="BM390" s="2870"/>
      <c r="BN390" s="2870"/>
      <c r="BO390" s="2870"/>
      <c r="BP390" s="2870"/>
      <c r="BQ390" s="2877"/>
      <c r="BR390" s="2871"/>
      <c r="BS390" s="2869"/>
      <c r="BT390" s="2870"/>
      <c r="BU390" s="2870"/>
      <c r="BV390" s="2870"/>
      <c r="BW390" s="2870"/>
      <c r="BX390" s="2877"/>
      <c r="BY390" s="2871"/>
      <c r="BZ390" s="2869"/>
      <c r="CA390" s="2870"/>
      <c r="CB390" s="2870"/>
      <c r="CC390" s="2870"/>
      <c r="CD390" s="2870"/>
      <c r="CE390" s="2877"/>
      <c r="CF390" s="2871"/>
      <c r="CG390" s="2869"/>
      <c r="CH390" s="2870"/>
      <c r="CI390" s="2870"/>
      <c r="CJ390" s="2870"/>
      <c r="CK390" s="2870"/>
      <c r="CL390" s="2877"/>
      <c r="CM390" s="2871"/>
      <c r="CN390" s="2872"/>
      <c r="CO390" s="2870"/>
      <c r="CP390" s="2870"/>
      <c r="CQ390" s="2870"/>
      <c r="CR390" s="2870"/>
      <c r="CS390" s="2877"/>
      <c r="CT390" s="2875"/>
      <c r="CU390" s="2878"/>
      <c r="CV390" s="2870"/>
      <c r="CW390" s="2870"/>
      <c r="CX390" s="2870"/>
      <c r="CY390" s="2870"/>
      <c r="CZ390" s="2877"/>
      <c r="DA390" s="2875"/>
      <c r="DJ390" s="1611"/>
      <c r="DM390" s="1650"/>
    </row>
    <row r="391" spans="1:117" ht="21" customHeight="1">
      <c r="A391" s="1652"/>
      <c r="B391" s="1644" t="s">
        <v>1822</v>
      </c>
      <c r="C391" s="1662"/>
      <c r="D391" s="1646" t="e">
        <v>#DIV/0!</v>
      </c>
      <c r="E391" s="1646"/>
      <c r="F391" s="1648"/>
      <c r="G391" s="1648"/>
      <c r="H391" s="1648"/>
      <c r="I391" s="1648"/>
      <c r="J391" s="1663"/>
      <c r="K391" s="1648"/>
      <c r="L391" s="1648"/>
      <c r="M391" s="1648"/>
      <c r="N391" s="1642"/>
      <c r="O391" s="2876"/>
      <c r="P391" s="2870"/>
      <c r="Q391" s="2870"/>
      <c r="R391" s="2870"/>
      <c r="S391" s="2870"/>
      <c r="T391" s="2870"/>
      <c r="U391" s="2875">
        <v>0</v>
      </c>
      <c r="V391" s="2869"/>
      <c r="W391" s="2870"/>
      <c r="X391" s="2870"/>
      <c r="Y391" s="2870"/>
      <c r="Z391" s="2870"/>
      <c r="AA391" s="2877">
        <v>0</v>
      </c>
      <c r="AB391" s="2875">
        <v>0</v>
      </c>
      <c r="AC391" s="2869"/>
      <c r="AD391" s="2870"/>
      <c r="AE391" s="2870"/>
      <c r="AF391" s="2870"/>
      <c r="AG391" s="2870"/>
      <c r="AH391" s="2877">
        <v>0</v>
      </c>
      <c r="AI391" s="2875">
        <v>0</v>
      </c>
      <c r="AJ391" s="2869"/>
      <c r="AK391" s="2870"/>
      <c r="AL391" s="2870"/>
      <c r="AM391" s="2870"/>
      <c r="AN391" s="2870"/>
      <c r="AO391" s="2877">
        <v>0</v>
      </c>
      <c r="AP391" s="2875">
        <v>0</v>
      </c>
      <c r="AQ391" s="2869"/>
      <c r="AR391" s="2870"/>
      <c r="AS391" s="2870"/>
      <c r="AT391" s="2870"/>
      <c r="AU391" s="2870"/>
      <c r="AV391" s="2877">
        <v>0</v>
      </c>
      <c r="AW391" s="2875">
        <v>0</v>
      </c>
      <c r="AX391" s="2869"/>
      <c r="AY391" s="2870"/>
      <c r="AZ391" s="2870"/>
      <c r="BA391" s="2870"/>
      <c r="BB391" s="2870"/>
      <c r="BC391" s="2877">
        <v>0</v>
      </c>
      <c r="BD391" s="2875">
        <v>0</v>
      </c>
      <c r="BE391" s="2869"/>
      <c r="BF391" s="2870"/>
      <c r="BG391" s="2870"/>
      <c r="BH391" s="2870"/>
      <c r="BI391" s="2870"/>
      <c r="BJ391" s="2877">
        <v>0</v>
      </c>
      <c r="BK391" s="2875">
        <v>0</v>
      </c>
      <c r="BL391" s="2869"/>
      <c r="BM391" s="2870"/>
      <c r="BN391" s="2870"/>
      <c r="BO391" s="2870"/>
      <c r="BP391" s="2870"/>
      <c r="BQ391" s="2877">
        <v>0</v>
      </c>
      <c r="BR391" s="2875">
        <v>0</v>
      </c>
      <c r="BS391" s="2869"/>
      <c r="BT391" s="2870"/>
      <c r="BU391" s="2870"/>
      <c r="BV391" s="2870"/>
      <c r="BW391" s="2870"/>
      <c r="BX391" s="2877">
        <v>0</v>
      </c>
      <c r="BY391" s="2875">
        <v>0</v>
      </c>
      <c r="BZ391" s="2869"/>
      <c r="CA391" s="2870"/>
      <c r="CB391" s="2870"/>
      <c r="CC391" s="2870"/>
      <c r="CD391" s="2870"/>
      <c r="CE391" s="2877">
        <v>0</v>
      </c>
      <c r="CF391" s="2875">
        <v>0</v>
      </c>
      <c r="CG391" s="2869"/>
      <c r="CH391" s="2870"/>
      <c r="CI391" s="2870"/>
      <c r="CJ391" s="2870"/>
      <c r="CK391" s="2870"/>
      <c r="CL391" s="2877">
        <v>0</v>
      </c>
      <c r="CM391" s="2875">
        <v>0</v>
      </c>
      <c r="CN391" s="2872"/>
      <c r="CO391" s="2870"/>
      <c r="CP391" s="2870"/>
      <c r="CQ391" s="2870"/>
      <c r="CR391" s="2870"/>
      <c r="CS391" s="2877">
        <v>0</v>
      </c>
      <c r="CT391" s="2875">
        <v>0</v>
      </c>
      <c r="CU391" s="2878">
        <v>0</v>
      </c>
      <c r="CV391" s="2870">
        <v>0</v>
      </c>
      <c r="CW391" s="2870">
        <v>0</v>
      </c>
      <c r="CX391" s="2870">
        <v>0</v>
      </c>
      <c r="CY391" s="2870">
        <v>0</v>
      </c>
      <c r="CZ391" s="2879">
        <v>0</v>
      </c>
      <c r="DA391" s="2875">
        <v>0</v>
      </c>
      <c r="DJ391" s="1611" t="e">
        <v>#N/A</v>
      </c>
      <c r="DK391" s="2782">
        <v>0</v>
      </c>
      <c r="DM391" s="1650">
        <v>0</v>
      </c>
    </row>
    <row r="392" spans="1:117" ht="21" customHeight="1" thickBot="1">
      <c r="A392" s="1710"/>
      <c r="B392" s="1711" t="s">
        <v>1823</v>
      </c>
      <c r="C392" s="1712"/>
      <c r="D392" s="1713" t="e">
        <v>#DIV/0!</v>
      </c>
      <c r="E392" s="1713"/>
      <c r="F392" s="1714"/>
      <c r="G392" s="1714"/>
      <c r="H392" s="1714"/>
      <c r="I392" s="1714"/>
      <c r="J392" s="1715"/>
      <c r="K392" s="1714"/>
      <c r="L392" s="1714"/>
      <c r="M392" s="1714"/>
      <c r="N392" s="1716"/>
      <c r="O392" s="2916"/>
      <c r="P392" s="2917"/>
      <c r="Q392" s="2917"/>
      <c r="R392" s="2918"/>
      <c r="S392" s="2918"/>
      <c r="T392" s="2918"/>
      <c r="U392" s="2875">
        <v>0</v>
      </c>
      <c r="V392" s="2916"/>
      <c r="W392" s="2917"/>
      <c r="X392" s="2917"/>
      <c r="Y392" s="2917"/>
      <c r="Z392" s="2918"/>
      <c r="AA392" s="2919">
        <v>0</v>
      </c>
      <c r="AB392" s="2920">
        <v>0</v>
      </c>
      <c r="AC392" s="2916"/>
      <c r="AD392" s="2917"/>
      <c r="AE392" s="2917"/>
      <c r="AF392" s="2917"/>
      <c r="AG392" s="2918"/>
      <c r="AH392" s="2919">
        <v>0</v>
      </c>
      <c r="AI392" s="2920">
        <v>0</v>
      </c>
      <c r="AJ392" s="2916"/>
      <c r="AK392" s="2917"/>
      <c r="AL392" s="2917"/>
      <c r="AM392" s="2917"/>
      <c r="AN392" s="2918"/>
      <c r="AO392" s="2919">
        <v>0</v>
      </c>
      <c r="AP392" s="2920">
        <v>0</v>
      </c>
      <c r="AQ392" s="2916"/>
      <c r="AR392" s="2917"/>
      <c r="AS392" s="2917"/>
      <c r="AT392" s="2917"/>
      <c r="AU392" s="2918"/>
      <c r="AV392" s="2919">
        <v>0</v>
      </c>
      <c r="AW392" s="2920">
        <v>0</v>
      </c>
      <c r="AX392" s="2916"/>
      <c r="AY392" s="2917"/>
      <c r="AZ392" s="2917"/>
      <c r="BA392" s="2917"/>
      <c r="BB392" s="2918"/>
      <c r="BC392" s="2919">
        <v>0</v>
      </c>
      <c r="BD392" s="2920">
        <v>0</v>
      </c>
      <c r="BE392" s="2916"/>
      <c r="BF392" s="2917"/>
      <c r="BG392" s="2917"/>
      <c r="BH392" s="2917"/>
      <c r="BI392" s="2918"/>
      <c r="BJ392" s="2919">
        <v>0</v>
      </c>
      <c r="BK392" s="2920">
        <v>0</v>
      </c>
      <c r="BL392" s="2916"/>
      <c r="BM392" s="2917"/>
      <c r="BN392" s="2917"/>
      <c r="BO392" s="2917"/>
      <c r="BP392" s="2918"/>
      <c r="BQ392" s="2919">
        <v>0</v>
      </c>
      <c r="BR392" s="2920">
        <v>0</v>
      </c>
      <c r="BS392" s="2916"/>
      <c r="BT392" s="2917"/>
      <c r="BU392" s="2917"/>
      <c r="BV392" s="2917"/>
      <c r="BW392" s="2918"/>
      <c r="BX392" s="2919">
        <v>0</v>
      </c>
      <c r="BY392" s="2920">
        <v>0</v>
      </c>
      <c r="BZ392" s="2916"/>
      <c r="CA392" s="2917"/>
      <c r="CB392" s="2917"/>
      <c r="CC392" s="2917"/>
      <c r="CD392" s="2918"/>
      <c r="CE392" s="2919">
        <v>0</v>
      </c>
      <c r="CF392" s="2920">
        <v>0</v>
      </c>
      <c r="CG392" s="2916"/>
      <c r="CH392" s="2917"/>
      <c r="CI392" s="2917"/>
      <c r="CJ392" s="2917"/>
      <c r="CK392" s="2918"/>
      <c r="CL392" s="2919">
        <v>0</v>
      </c>
      <c r="CM392" s="2920">
        <v>0</v>
      </c>
      <c r="CN392" s="2921"/>
      <c r="CO392" s="2917"/>
      <c r="CP392" s="2917"/>
      <c r="CQ392" s="2917"/>
      <c r="CR392" s="2918"/>
      <c r="CS392" s="2919">
        <v>0</v>
      </c>
      <c r="CT392" s="2875">
        <v>0</v>
      </c>
      <c r="CU392" s="2878">
        <v>0</v>
      </c>
      <c r="CV392" s="2870">
        <v>0</v>
      </c>
      <c r="CW392" s="2870">
        <v>0</v>
      </c>
      <c r="CX392" s="2870">
        <v>0</v>
      </c>
      <c r="CY392" s="2870">
        <v>0</v>
      </c>
      <c r="CZ392" s="2879">
        <v>0</v>
      </c>
      <c r="DA392" s="2875">
        <v>0</v>
      </c>
      <c r="DJ392" s="1611" t="e">
        <v>#N/A</v>
      </c>
      <c r="DK392" s="2782">
        <v>0</v>
      </c>
      <c r="DM392" s="1650">
        <v>0</v>
      </c>
    </row>
    <row r="393" spans="1:117" s="1609" customFormat="1" ht="21" customHeight="1" thickBot="1">
      <c r="A393" s="3214" t="s">
        <v>126</v>
      </c>
      <c r="B393" s="3215"/>
      <c r="C393" s="2922"/>
      <c r="D393" s="2923"/>
      <c r="E393" s="2923"/>
      <c r="F393" s="2923"/>
      <c r="G393" s="2923"/>
      <c r="H393" s="2923"/>
      <c r="I393" s="2923"/>
      <c r="J393" s="2923"/>
      <c r="K393" s="2923"/>
      <c r="L393" s="2923"/>
      <c r="M393" s="2923"/>
      <c r="N393" s="2924"/>
      <c r="O393" s="2925">
        <v>7345.2280549999987</v>
      </c>
      <c r="P393" s="2925">
        <v>15593716434</v>
      </c>
      <c r="Q393" s="2925">
        <v>17347986996</v>
      </c>
      <c r="R393" s="2925">
        <v>4110812014</v>
      </c>
      <c r="S393" s="2925">
        <v>0</v>
      </c>
      <c r="T393" s="2925">
        <v>5.0444336331773707</v>
      </c>
      <c r="U393" s="2925">
        <v>37052515444</v>
      </c>
      <c r="V393" s="2925">
        <v>9499.8544349999993</v>
      </c>
      <c r="W393" s="2925">
        <v>16024930728</v>
      </c>
      <c r="X393" s="2925">
        <v>22997978974</v>
      </c>
      <c r="Y393" s="2925">
        <v>2582636036.5</v>
      </c>
      <c r="Z393" s="2925">
        <v>0</v>
      </c>
      <c r="AA393" s="2925">
        <v>4.3795982373386755</v>
      </c>
      <c r="AB393" s="2925">
        <v>41605545738.5</v>
      </c>
      <c r="AC393" s="2925">
        <v>10834.978518199998</v>
      </c>
      <c r="AD393" s="2925">
        <v>15872130503</v>
      </c>
      <c r="AE393" s="2925">
        <v>25498860260</v>
      </c>
      <c r="AF393" s="2925">
        <v>2072048795.5</v>
      </c>
      <c r="AG393" s="2925">
        <v>402365</v>
      </c>
      <c r="AH393" s="2925">
        <v>4.0095549659398131</v>
      </c>
      <c r="AI393" s="2925">
        <v>43443441923.5</v>
      </c>
      <c r="AJ393" s="2925">
        <v>13440.714460000001</v>
      </c>
      <c r="AK393" s="2925">
        <v>17035760880</v>
      </c>
      <c r="AL393" s="2925">
        <v>31115222799.060001</v>
      </c>
      <c r="AM393" s="2925">
        <v>7757271270.5</v>
      </c>
      <c r="AN393" s="2925">
        <v>12111836</v>
      </c>
      <c r="AO393" s="2925">
        <v>4.1605204062612007</v>
      </c>
      <c r="AP393" s="2925">
        <v>55920366785.559998</v>
      </c>
      <c r="AQ393" s="2925">
        <v>12085.944759389011</v>
      </c>
      <c r="AR393" s="2925">
        <v>17221741789</v>
      </c>
      <c r="AS393" s="2925">
        <v>29742611994.18</v>
      </c>
      <c r="AT393" s="2925">
        <v>4381592707</v>
      </c>
      <c r="AU393" s="2925">
        <v>137401793</v>
      </c>
      <c r="AV393" s="2925">
        <v>4.2597702792895005</v>
      </c>
      <c r="AW393" s="2925">
        <v>51483348283.18</v>
      </c>
      <c r="AX393" s="2925">
        <v>13092.6568775</v>
      </c>
      <c r="AY393" s="2925">
        <v>16852125420</v>
      </c>
      <c r="AZ393" s="2925">
        <v>32744742624.869999</v>
      </c>
      <c r="BA393" s="2925">
        <v>6833732385.1499996</v>
      </c>
      <c r="BB393" s="2925">
        <v>0</v>
      </c>
      <c r="BC393" s="2925">
        <v>4.3100954189823115</v>
      </c>
      <c r="BD393" s="2925">
        <v>56430600430.020004</v>
      </c>
      <c r="BE393" s="2925">
        <v>10596.310771000002</v>
      </c>
      <c r="BF393" s="2925">
        <v>16280101059.67</v>
      </c>
      <c r="BG393" s="2925">
        <v>24759982779.150002</v>
      </c>
      <c r="BH393" s="2925">
        <v>4877244537</v>
      </c>
      <c r="BI393" s="2925">
        <v>0</v>
      </c>
      <c r="BJ393" s="2925">
        <v>4.3333316064574667</v>
      </c>
      <c r="BK393" s="2925">
        <v>45917328375.82</v>
      </c>
      <c r="BL393" s="2925">
        <v>7458.2145923910002</v>
      </c>
      <c r="BM393" s="2925">
        <v>15564288824.51</v>
      </c>
      <c r="BN393" s="2925">
        <v>17507707665.459999</v>
      </c>
      <c r="BO393" s="2925">
        <v>5953156991.2489996</v>
      </c>
      <c r="BP393" s="2925">
        <v>0</v>
      </c>
      <c r="BQ393" s="2925">
        <v>5.2325061176213863</v>
      </c>
      <c r="BR393" s="2925">
        <v>39025153481.219002</v>
      </c>
      <c r="BS393" s="2925">
        <v>8276.7763125999991</v>
      </c>
      <c r="BT393" s="2925">
        <v>15900163107.83</v>
      </c>
      <c r="BU393" s="2925">
        <v>19118899083.950001</v>
      </c>
      <c r="BV393" s="2925">
        <v>5429945959</v>
      </c>
      <c r="BW393" s="2925">
        <v>693671354</v>
      </c>
      <c r="BX393" s="2925">
        <v>4.9708579706506253</v>
      </c>
      <c r="BY393" s="2925">
        <v>41142679504.779999</v>
      </c>
      <c r="BZ393" s="2925">
        <v>8678.0970249999991</v>
      </c>
      <c r="CA393" s="2925">
        <v>15917540361.200001</v>
      </c>
      <c r="CB393" s="2925">
        <v>20663884992.440002</v>
      </c>
      <c r="CC393" s="2925">
        <v>1493998758</v>
      </c>
      <c r="CD393" s="2925">
        <v>173683266</v>
      </c>
      <c r="CE393" s="2925">
        <v>4.4034497677951459</v>
      </c>
      <c r="CF393" s="2925">
        <v>38213564329.639999</v>
      </c>
      <c r="CG393" s="2925">
        <v>8551.3279399999992</v>
      </c>
      <c r="CH393" s="2925">
        <v>18294272981.02</v>
      </c>
      <c r="CI393" s="2925">
        <v>19341865812.119999</v>
      </c>
      <c r="CJ393" s="2925">
        <v>12945878628</v>
      </c>
      <c r="CK393" s="2925">
        <v>0</v>
      </c>
      <c r="CL393" s="2925">
        <v>5.929828985033641</v>
      </c>
      <c r="CM393" s="2925">
        <v>50707912279.140007</v>
      </c>
      <c r="CN393" s="2925">
        <v>10726.906163349991</v>
      </c>
      <c r="CO393" s="2925">
        <v>13698051476.099998</v>
      </c>
      <c r="CP393" s="2925">
        <v>26318910345.559975</v>
      </c>
      <c r="CQ393" s="2925">
        <v>34305756227.391003</v>
      </c>
      <c r="CR393" s="2925">
        <v>32521385107</v>
      </c>
      <c r="CS393" s="2925">
        <v>9.9635445624773897</v>
      </c>
      <c r="CT393" s="2925">
        <v>106878007576.05099</v>
      </c>
      <c r="CU393" s="2926">
        <v>120589.94162442999</v>
      </c>
      <c r="CV393" s="2925">
        <v>194189194492.33002</v>
      </c>
      <c r="CW393" s="2925">
        <v>287314635208.78998</v>
      </c>
      <c r="CX393" s="2927">
        <v>92777978729.290009</v>
      </c>
      <c r="CY393" s="2925">
        <v>33538655721</v>
      </c>
      <c r="CZ393" s="2925">
        <v>5.0403910638287703</v>
      </c>
      <c r="DA393" s="2927">
        <v>607820464151.41003</v>
      </c>
      <c r="DB393" s="1609">
        <v>6.0986473400000349</v>
      </c>
      <c r="DC393" s="2928">
        <v>120596.04027176999</v>
      </c>
      <c r="DD393" s="1625"/>
      <c r="DJ393" s="1611" t="e">
        <v>#N/A</v>
      </c>
      <c r="DK393" s="2782" t="e">
        <v>#N/A</v>
      </c>
      <c r="DM393" s="1650">
        <v>2.3825754564473867</v>
      </c>
    </row>
    <row r="394" spans="1:117" ht="15.5">
      <c r="A394" s="1720"/>
      <c r="C394" s="1720"/>
      <c r="D394" s="1720"/>
      <c r="E394" s="1720"/>
      <c r="F394" s="1720"/>
      <c r="G394" s="1720"/>
      <c r="H394" s="1720"/>
      <c r="I394" s="1720"/>
      <c r="J394" s="1720"/>
      <c r="K394" s="1720"/>
      <c r="L394" s="1720"/>
      <c r="M394" s="1720"/>
      <c r="N394" s="1720"/>
      <c r="O394" s="2929"/>
      <c r="P394" s="2930"/>
      <c r="Q394" s="2930"/>
      <c r="R394" s="2912"/>
      <c r="S394" s="2912"/>
      <c r="T394" s="2912"/>
      <c r="U394" s="2930"/>
      <c r="V394" s="2929"/>
      <c r="W394" s="2930"/>
      <c r="X394" s="2930"/>
      <c r="Y394" s="2912"/>
      <c r="Z394" s="2912"/>
      <c r="AA394" s="2912"/>
      <c r="AB394" s="2930"/>
      <c r="AC394" s="2929"/>
      <c r="AD394" s="2931"/>
      <c r="AE394" s="2931"/>
      <c r="AF394" s="2932"/>
      <c r="AG394" s="2932"/>
      <c r="AH394" s="2932"/>
      <c r="AI394" s="2930"/>
      <c r="AJ394" s="2929"/>
      <c r="AK394" s="2931"/>
      <c r="AL394" s="2931"/>
      <c r="AM394" s="2932"/>
      <c r="AN394" s="2932"/>
      <c r="AO394" s="2932"/>
      <c r="AP394" s="2930"/>
      <c r="AQ394" s="2929"/>
      <c r="AR394" s="2931"/>
      <c r="AS394" s="2931"/>
      <c r="AT394" s="2932"/>
      <c r="AU394" s="2932"/>
      <c r="AV394" s="2932"/>
      <c r="AW394" s="2930"/>
      <c r="AX394" s="2929"/>
      <c r="AY394" s="2931"/>
      <c r="AZ394" s="2931"/>
      <c r="BA394" s="2932"/>
      <c r="BB394" s="2932"/>
      <c r="BC394" s="2932"/>
      <c r="BD394" s="2930"/>
      <c r="BE394" s="2931"/>
      <c r="BF394" s="2931"/>
      <c r="BG394" s="2931"/>
      <c r="BH394" s="2932"/>
      <c r="BI394" s="2932"/>
      <c r="BJ394" s="2932"/>
      <c r="BK394" s="2930"/>
      <c r="BL394" s="2929"/>
      <c r="BM394" s="2931"/>
      <c r="BN394" s="2931"/>
      <c r="BO394" s="2932"/>
      <c r="BP394" s="2932"/>
      <c r="BQ394" s="2932"/>
      <c r="BR394" s="2930"/>
      <c r="BS394" s="2929"/>
      <c r="BT394" s="2933"/>
      <c r="BU394" s="2933"/>
      <c r="BV394" s="2933"/>
      <c r="BW394" s="2932"/>
      <c r="BX394" s="2932"/>
      <c r="BY394" s="2930"/>
      <c r="BZ394" s="2929"/>
      <c r="CA394" s="2933"/>
      <c r="CB394" s="2933"/>
      <c r="CC394" s="2933"/>
      <c r="CD394" s="2932"/>
      <c r="CE394" s="2932"/>
      <c r="CF394" s="2930"/>
      <c r="CG394" s="2929"/>
      <c r="CH394" s="2933"/>
      <c r="CI394" s="2933"/>
      <c r="CJ394" s="2933"/>
      <c r="CK394" s="2932"/>
      <c r="CL394" s="2932"/>
      <c r="CM394" s="2930"/>
      <c r="CN394" s="2934"/>
      <c r="CO394" s="2933"/>
      <c r="CP394" s="2933"/>
      <c r="CQ394" s="2933"/>
      <c r="CR394" s="2935"/>
      <c r="CS394" s="2935"/>
      <c r="CT394" s="2936"/>
      <c r="CU394" s="2937"/>
      <c r="CV394" s="2912"/>
      <c r="CW394" s="2912"/>
      <c r="CX394" s="2912"/>
      <c r="CY394" s="2912">
        <v>-7420995439</v>
      </c>
      <c r="CZ394" s="2938"/>
      <c r="DA394" s="2939"/>
      <c r="DJ394" s="1611" t="e">
        <v>#N/A</v>
      </c>
      <c r="DK394" s="2782" t="e">
        <v>#N/A</v>
      </c>
      <c r="DM394" s="1650">
        <v>0</v>
      </c>
    </row>
    <row r="395" spans="1:117" s="1727" customFormat="1" ht="22.5" hidden="1" customHeight="1">
      <c r="A395" s="1722"/>
      <c r="B395" s="2940" t="s">
        <v>2020</v>
      </c>
      <c r="C395" s="2941"/>
      <c r="D395" s="2941"/>
      <c r="E395" s="2941"/>
      <c r="F395" s="2942"/>
      <c r="G395" s="2942"/>
      <c r="H395" s="2942"/>
      <c r="I395" s="2942"/>
      <c r="J395" s="2942"/>
      <c r="K395" s="2942"/>
      <c r="L395" s="2942"/>
      <c r="M395" s="2942"/>
      <c r="N395" s="2943"/>
      <c r="O395" s="2944"/>
      <c r="P395" s="2945"/>
      <c r="Q395" s="2945"/>
      <c r="R395" s="2945"/>
      <c r="S395" s="2945"/>
      <c r="T395" s="2945"/>
      <c r="U395" s="2945"/>
      <c r="V395" s="2945"/>
      <c r="W395" s="2945"/>
      <c r="X395" s="2945"/>
      <c r="Y395" s="2945"/>
      <c r="Z395" s="2945"/>
      <c r="AA395" s="2945"/>
      <c r="AB395" s="2945"/>
      <c r="AC395" s="2945"/>
      <c r="AD395" s="2945"/>
      <c r="AE395" s="2945"/>
      <c r="AF395" s="2945"/>
      <c r="AG395" s="2945"/>
      <c r="AH395" s="2945"/>
      <c r="AI395" s="2945"/>
      <c r="AJ395" s="2945"/>
      <c r="AK395" s="2945"/>
      <c r="AL395" s="2945"/>
      <c r="AM395" s="2945"/>
      <c r="AN395" s="2945"/>
      <c r="AO395" s="2945"/>
      <c r="AP395" s="2945"/>
      <c r="AQ395" s="2945"/>
      <c r="AR395" s="2945"/>
      <c r="AS395" s="2945"/>
      <c r="AT395" s="2945"/>
      <c r="AU395" s="2945"/>
      <c r="AV395" s="2945"/>
      <c r="AW395" s="2945"/>
      <c r="AX395" s="2945"/>
      <c r="AY395" s="2945"/>
      <c r="AZ395" s="2945"/>
      <c r="BA395" s="2945"/>
      <c r="BB395" s="2945"/>
      <c r="BC395" s="2945"/>
      <c r="BD395" s="2945"/>
      <c r="BE395" s="2945"/>
      <c r="BF395" s="2945"/>
      <c r="BG395" s="2945"/>
      <c r="BH395" s="2945"/>
      <c r="BI395" s="2945"/>
      <c r="BJ395" s="2945"/>
      <c r="BK395" s="2945"/>
      <c r="BL395" s="2945"/>
      <c r="BM395" s="2945"/>
      <c r="BN395" s="2945"/>
      <c r="BO395" s="2945"/>
      <c r="BP395" s="2945"/>
      <c r="BQ395" s="2945"/>
      <c r="BR395" s="2945"/>
      <c r="BS395" s="2945"/>
      <c r="BT395" s="2945"/>
      <c r="BU395" s="2945"/>
      <c r="BV395" s="2945"/>
      <c r="BW395" s="2945"/>
      <c r="BX395" s="2945"/>
      <c r="BY395" s="2945"/>
      <c r="BZ395" s="2945"/>
      <c r="CA395" s="2945"/>
      <c r="CB395" s="2945"/>
      <c r="CC395" s="2945"/>
      <c r="CD395" s="2945"/>
      <c r="CE395" s="2945"/>
      <c r="CF395" s="2945"/>
      <c r="CG395" s="2945"/>
      <c r="CH395" s="2945"/>
      <c r="CI395" s="2945"/>
      <c r="CJ395" s="2945"/>
      <c r="CK395" s="2945"/>
      <c r="CL395" s="2945"/>
      <c r="CM395" s="2945"/>
      <c r="CN395" s="2945"/>
      <c r="CO395" s="2945"/>
      <c r="CP395" s="2945"/>
      <c r="CQ395" s="2945"/>
      <c r="CR395" s="2945"/>
      <c r="CS395" s="2945"/>
      <c r="CT395" s="2945"/>
      <c r="CU395" s="2946"/>
      <c r="CV395" s="2945"/>
      <c r="CW395" s="2945"/>
      <c r="CX395" s="2945"/>
      <c r="CY395" s="2947" t="s">
        <v>3046</v>
      </c>
      <c r="CZ395" s="2948"/>
      <c r="DA395" s="2949">
        <v>1875441760</v>
      </c>
      <c r="DB395" s="1609"/>
      <c r="DD395" s="1625"/>
    </row>
    <row r="396" spans="1:117" ht="16" hidden="1" thickBot="1">
      <c r="B396" s="1728" t="s">
        <v>1824</v>
      </c>
      <c r="C396" s="1729"/>
      <c r="D396" s="1729"/>
      <c r="E396" s="1729"/>
      <c r="J396" s="1653"/>
      <c r="O396" s="2950"/>
      <c r="P396" s="2912"/>
      <c r="Q396" s="2912"/>
      <c r="R396" s="2912"/>
      <c r="S396" s="2912"/>
      <c r="T396" s="2912"/>
      <c r="U396" s="2950"/>
      <c r="V396" s="2950"/>
      <c r="W396" s="2912"/>
      <c r="X396" s="2912"/>
      <c r="Y396" s="2912"/>
      <c r="Z396" s="2912"/>
      <c r="AA396" s="2912"/>
      <c r="AB396" s="2950"/>
      <c r="AC396" s="2950"/>
      <c r="AD396" s="2912"/>
      <c r="AE396" s="2912"/>
      <c r="AF396" s="2912"/>
      <c r="AG396" s="2912"/>
      <c r="AH396" s="2912"/>
      <c r="AI396" s="2950"/>
      <c r="AJ396" s="2950"/>
      <c r="AK396" s="2912"/>
      <c r="AL396" s="2912"/>
      <c r="AM396" s="2912"/>
      <c r="AN396" s="2912"/>
      <c r="AO396" s="2912"/>
      <c r="AP396" s="2950"/>
      <c r="AQ396" s="2950"/>
      <c r="AR396" s="2912"/>
      <c r="AS396" s="2912"/>
      <c r="AT396" s="2912"/>
      <c r="AU396" s="2912"/>
      <c r="AV396" s="2912"/>
      <c r="AW396" s="2950"/>
      <c r="AX396" s="2950"/>
      <c r="AY396" s="2912"/>
      <c r="AZ396" s="2912"/>
      <c r="BA396" s="2912"/>
      <c r="BB396" s="2912"/>
      <c r="BC396" s="2912"/>
      <c r="BD396" s="2950"/>
      <c r="BE396" s="2950"/>
      <c r="BF396" s="2912"/>
      <c r="BG396" s="2912"/>
      <c r="BH396" s="2912"/>
      <c r="BI396" s="2912"/>
      <c r="BJ396" s="2912"/>
      <c r="BK396" s="2950"/>
      <c r="BL396" s="2950"/>
      <c r="BM396" s="2912"/>
      <c r="BN396" s="2912"/>
      <c r="BO396" s="2912"/>
      <c r="BP396" s="2912"/>
      <c r="BQ396" s="2912"/>
      <c r="BR396" s="2950"/>
      <c r="BS396" s="2950"/>
      <c r="BT396" s="2912"/>
      <c r="BU396" s="2912"/>
      <c r="BV396" s="2912"/>
      <c r="BW396" s="2912"/>
      <c r="BX396" s="2912"/>
      <c r="BY396" s="2950"/>
      <c r="BZ396" s="2950"/>
      <c r="CA396" s="2912"/>
      <c r="CB396" s="2912"/>
      <c r="CC396" s="2912"/>
      <c r="CD396" s="2912"/>
      <c r="CE396" s="2912"/>
      <c r="CF396" s="2950"/>
      <c r="CG396" s="2950"/>
      <c r="CH396" s="2912"/>
      <c r="CI396" s="2912"/>
      <c r="CJ396" s="2912"/>
      <c r="CK396" s="2912"/>
      <c r="CL396" s="2912"/>
      <c r="CM396" s="2950"/>
      <c r="CN396" s="2950"/>
      <c r="CO396" s="2912"/>
      <c r="CP396" s="2912"/>
      <c r="CQ396" s="2912"/>
      <c r="CR396" s="2912"/>
      <c r="CS396" s="2912"/>
      <c r="CT396" s="2950"/>
      <c r="CU396" s="2951"/>
      <c r="CV396" s="2912"/>
      <c r="CW396" s="2912"/>
      <c r="CX396" s="2912"/>
      <c r="CY396" s="2952" t="s">
        <v>3047</v>
      </c>
      <c r="CZ396" s="2953"/>
      <c r="DA396" s="2954">
        <v>95578457</v>
      </c>
    </row>
    <row r="397" spans="1:117" ht="19" hidden="1" thickBot="1">
      <c r="B397" s="1728" t="s">
        <v>1825</v>
      </c>
      <c r="C397" s="1617"/>
      <c r="D397" s="1617"/>
      <c r="E397" s="1617"/>
      <c r="J397" s="1653"/>
      <c r="O397" s="2950"/>
      <c r="P397" s="2912"/>
      <c r="Q397" s="2912"/>
      <c r="R397" s="2912"/>
      <c r="S397" s="2912"/>
      <c r="T397" s="2912"/>
      <c r="U397" s="2912"/>
      <c r="V397" s="2950"/>
      <c r="W397" s="2912"/>
      <c r="X397" s="2912"/>
      <c r="Y397" s="2912"/>
      <c r="Z397" s="2912"/>
      <c r="AA397" s="2912"/>
      <c r="AB397" s="2912"/>
      <c r="AC397" s="2950"/>
      <c r="AD397" s="2912"/>
      <c r="AE397" s="2912"/>
      <c r="AF397" s="2912"/>
      <c r="AG397" s="2912"/>
      <c r="AH397" s="2912"/>
      <c r="AI397" s="2912"/>
      <c r="AJ397" s="2950"/>
      <c r="AK397" s="2912"/>
      <c r="AL397" s="2912"/>
      <c r="AM397" s="2912"/>
      <c r="AN397" s="2912"/>
      <c r="AO397" s="2912"/>
      <c r="AP397" s="2912"/>
      <c r="AQ397" s="2950"/>
      <c r="AR397" s="2912"/>
      <c r="AS397" s="2912"/>
      <c r="AT397" s="2912"/>
      <c r="AU397" s="2912"/>
      <c r="AV397" s="2912"/>
      <c r="AW397" s="2912"/>
      <c r="AX397" s="2950"/>
      <c r="AY397" s="2912"/>
      <c r="AZ397" s="2912"/>
      <c r="BA397" s="2912"/>
      <c r="BB397" s="2912"/>
      <c r="BC397" s="2912"/>
      <c r="BD397" s="2912"/>
      <c r="BE397" s="2950"/>
      <c r="BF397" s="2912"/>
      <c r="BG397" s="2912"/>
      <c r="BH397" s="2912"/>
      <c r="BI397" s="2912"/>
      <c r="BJ397" s="2912"/>
      <c r="BK397" s="2955"/>
      <c r="BL397" s="2950"/>
      <c r="BM397" s="2912"/>
      <c r="BN397" s="2912"/>
      <c r="BO397" s="2912"/>
      <c r="BP397" s="2912"/>
      <c r="BQ397" s="2912"/>
      <c r="BR397" s="2912"/>
      <c r="BS397" s="2956"/>
      <c r="BT397" s="2896"/>
      <c r="BU397" s="2896"/>
      <c r="BV397" s="2896"/>
      <c r="BW397" s="2896"/>
      <c r="BX397" s="2896"/>
      <c r="BY397" s="2896"/>
      <c r="BZ397" s="2957"/>
      <c r="CA397" s="2938"/>
      <c r="CB397" s="2938"/>
      <c r="CC397" s="2938"/>
      <c r="CD397" s="2938"/>
      <c r="CE397" s="2938"/>
      <c r="CF397" s="2938"/>
      <c r="CG397" s="2950"/>
      <c r="CH397" s="2912"/>
      <c r="CI397" s="2912"/>
      <c r="CJ397" s="2912"/>
      <c r="CK397" s="2912"/>
      <c r="CL397" s="2912"/>
      <c r="CM397" s="2912"/>
      <c r="CN397" s="2950"/>
      <c r="CO397" s="2912"/>
      <c r="CP397" s="2912"/>
      <c r="CQ397" s="2912"/>
      <c r="CR397" s="2912"/>
      <c r="CS397" s="2912"/>
      <c r="CT397" s="2912"/>
      <c r="CU397" s="2958"/>
      <c r="CV397" s="2912"/>
      <c r="CW397" s="2912"/>
      <c r="CX397" s="2912"/>
      <c r="CY397" s="2959" t="s">
        <v>3048</v>
      </c>
      <c r="CZ397" s="2960">
        <v>5.0240462494068625</v>
      </c>
      <c r="DA397" s="2961">
        <v>605849443934.41003</v>
      </c>
    </row>
    <row r="398" spans="1:117" ht="15.5" hidden="1">
      <c r="B398" s="1728" t="s">
        <v>1826</v>
      </c>
      <c r="C398" s="1729"/>
      <c r="D398" s="1729"/>
      <c r="E398" s="1729"/>
      <c r="J398" s="1653"/>
      <c r="O398" s="2950"/>
      <c r="P398" s="2912"/>
      <c r="Q398" s="2912"/>
      <c r="R398" s="2912"/>
      <c r="S398" s="2912"/>
      <c r="T398" s="2912"/>
      <c r="U398" s="2912"/>
      <c r="V398" s="2950"/>
      <c r="W398" s="2912"/>
      <c r="X398" s="2912"/>
      <c r="Y398" s="2912"/>
      <c r="Z398" s="2912"/>
      <c r="AA398" s="2912"/>
      <c r="AB398" s="2912"/>
      <c r="AC398" s="2950"/>
      <c r="AD398" s="2912"/>
      <c r="AE398" s="2912"/>
      <c r="AF398" s="2912"/>
      <c r="AG398" s="2912"/>
      <c r="AH398" s="2912"/>
      <c r="AI398" s="2912"/>
      <c r="AJ398" s="2950"/>
      <c r="AK398" s="2912"/>
      <c r="AL398" s="2912"/>
      <c r="AM398" s="2912"/>
      <c r="AN398" s="2912"/>
      <c r="AO398" s="2912"/>
      <c r="AP398" s="2912"/>
      <c r="AQ398" s="2950"/>
      <c r="AR398" s="2912"/>
      <c r="AS398" s="2912"/>
      <c r="AT398" s="2912"/>
      <c r="AU398" s="2912"/>
      <c r="AV398" s="2912"/>
      <c r="AW398" s="2912"/>
      <c r="AX398" s="2950"/>
      <c r="AY398" s="2912"/>
      <c r="AZ398" s="2912"/>
      <c r="BA398" s="2912"/>
      <c r="BB398" s="2912"/>
      <c r="BC398" s="2912"/>
      <c r="BD398" s="2912"/>
      <c r="BE398" s="2950"/>
      <c r="BF398" s="2912"/>
      <c r="BG398" s="2912"/>
      <c r="BH398" s="2912"/>
      <c r="BI398" s="2912"/>
      <c r="BJ398" s="2912"/>
      <c r="BK398" s="2955"/>
      <c r="BL398" s="2950"/>
      <c r="BM398" s="2912"/>
      <c r="BN398" s="2912"/>
      <c r="BO398" s="2912"/>
      <c r="BP398" s="2912"/>
      <c r="BQ398" s="2912"/>
      <c r="BR398" s="2912"/>
      <c r="BS398" s="2950"/>
      <c r="BT398" s="2912"/>
      <c r="BU398" s="2912"/>
      <c r="BV398" s="2912"/>
      <c r="BW398" s="2912"/>
      <c r="BX398" s="2912"/>
      <c r="BY398" s="2912"/>
      <c r="BZ398" s="2950"/>
      <c r="CA398" s="2912"/>
      <c r="CB398" s="2912"/>
      <c r="CC398" s="2912"/>
      <c r="CD398" s="2912"/>
      <c r="CE398" s="2912"/>
      <c r="CF398" s="2912"/>
      <c r="CG398" s="2950"/>
      <c r="CH398" s="2912"/>
      <c r="CI398" s="2912"/>
      <c r="CJ398" s="2912"/>
      <c r="CK398" s="2912"/>
      <c r="CL398" s="2912"/>
      <c r="CM398" s="2912"/>
      <c r="CN398" s="2950"/>
      <c r="CO398" s="2912"/>
      <c r="CP398" s="2912"/>
      <c r="CQ398" s="2912"/>
      <c r="CR398" s="2912"/>
      <c r="CS398" s="2912"/>
      <c r="CT398" s="2912"/>
      <c r="CU398" s="2962"/>
      <c r="CV398" s="2912"/>
      <c r="CW398" s="2912"/>
      <c r="CX398" s="2912"/>
      <c r="CY398" s="2963" t="s">
        <v>3049</v>
      </c>
      <c r="CZ398" s="2938"/>
      <c r="DA398" s="2938">
        <v>-7990510260.4100342</v>
      </c>
    </row>
    <row r="399" spans="1:117" ht="15.5" hidden="1">
      <c r="B399" s="1728" t="s">
        <v>1827</v>
      </c>
      <c r="C399" s="1729"/>
      <c r="D399" s="1729"/>
      <c r="E399" s="1729"/>
      <c r="J399" s="1653"/>
      <c r="O399" s="2950"/>
      <c r="P399" s="2912"/>
      <c r="Q399" s="2912"/>
      <c r="R399" s="2912"/>
      <c r="S399" s="2912"/>
      <c r="T399" s="2912"/>
      <c r="U399" s="2912"/>
      <c r="V399" s="2950"/>
      <c r="W399" s="2912"/>
      <c r="X399" s="2912"/>
      <c r="Y399" s="2912"/>
      <c r="Z399" s="2912"/>
      <c r="AA399" s="2912"/>
      <c r="AB399" s="2912"/>
      <c r="AC399" s="2950"/>
      <c r="AD399" s="2912"/>
      <c r="AE399" s="2912"/>
      <c r="AF399" s="2912"/>
      <c r="AG399" s="2912"/>
      <c r="AH399" s="2912"/>
      <c r="AI399" s="2912"/>
      <c r="AJ399" s="2950"/>
      <c r="AK399" s="2912"/>
      <c r="AL399" s="2912"/>
      <c r="AM399" s="2912"/>
      <c r="AN399" s="2912"/>
      <c r="AO399" s="2912"/>
      <c r="AP399" s="2912"/>
      <c r="AQ399" s="2950"/>
      <c r="AR399" s="2912"/>
      <c r="AS399" s="2912"/>
      <c r="AT399" s="2912"/>
      <c r="AU399" s="2912"/>
      <c r="AV399" s="2912"/>
      <c r="AW399" s="2912"/>
      <c r="AX399" s="2950"/>
      <c r="AY399" s="2912"/>
      <c r="AZ399" s="2912"/>
      <c r="BA399" s="2912"/>
      <c r="BB399" s="2912"/>
      <c r="BC399" s="2912"/>
      <c r="BD399" s="2912"/>
      <c r="BE399" s="2950"/>
      <c r="BF399" s="2912"/>
      <c r="BG399" s="2912"/>
      <c r="BH399" s="2912"/>
      <c r="BI399" s="2912"/>
      <c r="BJ399" s="2912"/>
      <c r="BK399" s="2955"/>
      <c r="BL399" s="2950"/>
      <c r="BM399" s="2912"/>
      <c r="BN399" s="2912"/>
      <c r="BO399" s="2912"/>
      <c r="BP399" s="2912"/>
      <c r="BQ399" s="2912"/>
      <c r="BR399" s="2912"/>
      <c r="BS399" s="2950"/>
      <c r="BT399" s="2912"/>
      <c r="BU399" s="2912"/>
      <c r="BV399" s="2912"/>
      <c r="BW399" s="2912"/>
      <c r="BX399" s="2912"/>
      <c r="BY399" s="2912"/>
      <c r="BZ399" s="2950"/>
      <c r="CA399" s="2912"/>
      <c r="CB399" s="2912"/>
      <c r="CC399" s="2912"/>
      <c r="CD399" s="2912"/>
      <c r="CE399" s="2912"/>
      <c r="CF399" s="2912"/>
      <c r="CG399" s="2950"/>
      <c r="CH399" s="2912"/>
      <c r="CI399" s="2912"/>
      <c r="CJ399" s="2912"/>
      <c r="CK399" s="2912"/>
      <c r="CL399" s="2912"/>
      <c r="CM399" s="2912"/>
      <c r="CN399" s="2950"/>
      <c r="CO399" s="2912"/>
      <c r="CP399" s="2912"/>
      <c r="CQ399" s="2912"/>
      <c r="CR399" s="2912"/>
      <c r="CS399" s="2912"/>
      <c r="CT399" s="2912"/>
      <c r="CU399" s="2964"/>
      <c r="CV399" s="2950"/>
      <c r="CW399" s="2912"/>
      <c r="CX399" s="2912"/>
      <c r="CY399" s="2965"/>
      <c r="CZ399" s="2938"/>
      <c r="DA399" s="2938"/>
    </row>
    <row r="400" spans="1:117" ht="15.5" hidden="1">
      <c r="B400" s="1728" t="s">
        <v>1828</v>
      </c>
      <c r="J400" s="1653"/>
      <c r="O400" s="2950"/>
      <c r="P400" s="2912"/>
      <c r="Q400" s="2912"/>
      <c r="R400" s="2912"/>
      <c r="S400" s="2912"/>
      <c r="T400" s="2912"/>
      <c r="U400" s="2912"/>
      <c r="V400" s="2950"/>
      <c r="W400" s="2912"/>
      <c r="X400" s="2912"/>
      <c r="Y400" s="2912"/>
      <c r="Z400" s="2912"/>
      <c r="AA400" s="2912"/>
      <c r="AB400" s="2912"/>
      <c r="AC400" s="2950"/>
      <c r="AD400" s="2912"/>
      <c r="AE400" s="2912"/>
      <c r="AF400" s="2912"/>
      <c r="AG400" s="2912"/>
      <c r="AH400" s="2912"/>
      <c r="AI400" s="2912"/>
      <c r="AJ400" s="2950"/>
      <c r="AK400" s="2912"/>
      <c r="AL400" s="2912"/>
      <c r="AM400" s="2912"/>
      <c r="AN400" s="2912"/>
      <c r="AO400" s="2912"/>
      <c r="AP400" s="2912"/>
      <c r="AQ400" s="2950"/>
      <c r="AR400" s="2912"/>
      <c r="AS400" s="2912"/>
      <c r="AT400" s="2912"/>
      <c r="AU400" s="2912"/>
      <c r="AV400" s="2912"/>
      <c r="AW400" s="2912"/>
      <c r="AX400" s="2950"/>
      <c r="AY400" s="2912"/>
      <c r="AZ400" s="2912"/>
      <c r="BA400" s="2912"/>
      <c r="BB400" s="2912"/>
      <c r="BC400" s="2912"/>
      <c r="BD400" s="2912"/>
      <c r="BE400" s="2950"/>
      <c r="BF400" s="2912"/>
      <c r="BG400" s="2912"/>
      <c r="BH400" s="2912"/>
      <c r="BI400" s="2912"/>
      <c r="BJ400" s="2912"/>
      <c r="BK400" s="2955"/>
      <c r="BL400" s="2950"/>
      <c r="BM400" s="2912"/>
      <c r="BN400" s="2912"/>
      <c r="BO400" s="2912"/>
      <c r="BP400" s="2912"/>
      <c r="BQ400" s="2912"/>
      <c r="BR400" s="2912"/>
      <c r="BS400" s="2950"/>
      <c r="BT400" s="2912"/>
      <c r="BU400" s="2912"/>
      <c r="BV400" s="2912"/>
      <c r="BW400" s="2912"/>
      <c r="BX400" s="2912"/>
      <c r="BY400" s="2912"/>
      <c r="BZ400" s="2950"/>
      <c r="CA400" s="2912"/>
      <c r="CB400" s="2912"/>
      <c r="CC400" s="2912"/>
      <c r="CD400" s="2912"/>
      <c r="CE400" s="2912"/>
      <c r="CF400" s="2912"/>
      <c r="CG400" s="2950"/>
      <c r="CH400" s="2912"/>
      <c r="CI400" s="2912"/>
      <c r="CJ400" s="2912"/>
      <c r="CK400" s="2912"/>
      <c r="CL400" s="2912"/>
      <c r="CM400" s="2912"/>
      <c r="CN400" s="2950"/>
      <c r="CO400" s="2912"/>
      <c r="CP400" s="2912"/>
      <c r="CQ400" s="2912"/>
      <c r="CR400" s="2912"/>
      <c r="CS400" s="2912"/>
      <c r="CT400" s="2912"/>
      <c r="CU400" s="2966"/>
      <c r="CV400" s="2912"/>
      <c r="CW400" s="2912"/>
      <c r="CX400" s="2912"/>
      <c r="CY400" s="2912">
        <v>3353.8655721</v>
      </c>
      <c r="CZ400" s="2938"/>
      <c r="DA400" s="2938"/>
    </row>
    <row r="401" spans="2:105" ht="15.5" hidden="1">
      <c r="O401" s="2950"/>
      <c r="P401" s="2912"/>
      <c r="Q401" s="2912"/>
      <c r="R401" s="2912"/>
      <c r="S401" s="2912"/>
      <c r="T401" s="2912"/>
      <c r="U401" s="2912"/>
      <c r="V401" s="2950"/>
      <c r="W401" s="2912"/>
      <c r="X401" s="2912"/>
      <c r="Y401" s="2912"/>
      <c r="Z401" s="2912"/>
      <c r="AA401" s="2912"/>
      <c r="AB401" s="2912"/>
      <c r="AC401" s="2950"/>
      <c r="AD401" s="2912"/>
      <c r="AE401" s="2912"/>
      <c r="AF401" s="2912"/>
      <c r="AG401" s="2912"/>
      <c r="AH401" s="2912"/>
      <c r="AI401" s="2912"/>
      <c r="AJ401" s="2950"/>
      <c r="AK401" s="2912"/>
      <c r="AL401" s="2912"/>
      <c r="AM401" s="2912"/>
      <c r="AN401" s="2912"/>
      <c r="AO401" s="2912"/>
      <c r="AP401" s="2912"/>
      <c r="AQ401" s="2950"/>
      <c r="AR401" s="2912"/>
      <c r="AS401" s="2912"/>
      <c r="AT401" s="2912"/>
      <c r="AU401" s="2912"/>
      <c r="AV401" s="2912"/>
      <c r="AW401" s="2912"/>
      <c r="AX401" s="2950"/>
      <c r="AY401" s="2912"/>
      <c r="AZ401" s="2912"/>
      <c r="BA401" s="2912"/>
      <c r="BB401" s="2912"/>
      <c r="BC401" s="2912"/>
      <c r="BD401" s="2912"/>
      <c r="BE401" s="2950"/>
      <c r="BF401" s="2912"/>
      <c r="BG401" s="2912"/>
      <c r="BH401" s="2912"/>
      <c r="BI401" s="2912"/>
      <c r="BJ401" s="2912"/>
      <c r="BK401" s="2955"/>
      <c r="BL401" s="2950"/>
      <c r="BM401" s="2912"/>
      <c r="BN401" s="2912"/>
      <c r="BO401" s="2912"/>
      <c r="BP401" s="2912"/>
      <c r="BQ401" s="2912"/>
      <c r="BR401" s="2912"/>
      <c r="BS401" s="2950"/>
      <c r="BT401" s="2912"/>
      <c r="BU401" s="2912"/>
      <c r="BV401" s="2912"/>
      <c r="BW401" s="2912"/>
      <c r="BX401" s="2912"/>
      <c r="BY401" s="2912"/>
      <c r="BZ401" s="2950"/>
      <c r="CA401" s="2912"/>
      <c r="CB401" s="2912"/>
      <c r="CC401" s="2912"/>
      <c r="CD401" s="2912"/>
      <c r="CE401" s="2912"/>
      <c r="CF401" s="2912"/>
      <c r="CG401" s="2950"/>
      <c r="CH401" s="2912"/>
      <c r="CI401" s="2912"/>
      <c r="CJ401" s="2912"/>
      <c r="CK401" s="2912"/>
      <c r="CL401" s="2912"/>
      <c r="CM401" s="2912"/>
      <c r="CN401" s="2950"/>
      <c r="CO401" s="2912"/>
      <c r="CP401" s="2912"/>
      <c r="CQ401" s="2912"/>
      <c r="CR401" s="2912"/>
      <c r="CS401" s="2912"/>
      <c r="CT401" s="2912"/>
      <c r="CU401" s="2966"/>
      <c r="CV401" s="2912"/>
      <c r="CW401" s="2912"/>
      <c r="CX401" s="2912"/>
      <c r="CY401" s="2912"/>
      <c r="CZ401" s="2938"/>
      <c r="DA401" s="2938"/>
    </row>
    <row r="402" spans="2:105" ht="15.5" hidden="1">
      <c r="O402" s="2950"/>
      <c r="P402" s="2912"/>
      <c r="Q402" s="2912"/>
      <c r="R402" s="2912"/>
      <c r="S402" s="2912"/>
      <c r="T402" s="2912"/>
      <c r="U402" s="2912"/>
      <c r="V402" s="2950"/>
      <c r="W402" s="2912"/>
      <c r="X402" s="2912"/>
      <c r="Y402" s="2912"/>
      <c r="Z402" s="2912"/>
      <c r="AA402" s="2912"/>
      <c r="AB402" s="2912"/>
      <c r="AC402" s="2950"/>
      <c r="AD402" s="2912"/>
      <c r="AE402" s="2912"/>
      <c r="AF402" s="2912"/>
      <c r="AG402" s="2912"/>
      <c r="AH402" s="2912"/>
      <c r="AI402" s="2912"/>
      <c r="AJ402" s="2950"/>
      <c r="AK402" s="2912"/>
      <c r="AL402" s="2912"/>
      <c r="AM402" s="2912"/>
      <c r="AN402" s="2912"/>
      <c r="AO402" s="2912"/>
      <c r="AP402" s="2912"/>
      <c r="AQ402" s="2950"/>
      <c r="AR402" s="2912"/>
      <c r="AS402" s="2912"/>
      <c r="AT402" s="2912"/>
      <c r="AU402" s="2912"/>
      <c r="AV402" s="2912"/>
      <c r="AW402" s="2912"/>
      <c r="AX402" s="2950"/>
      <c r="AY402" s="2912"/>
      <c r="AZ402" s="2912"/>
      <c r="BA402" s="2912"/>
      <c r="BB402" s="2912"/>
      <c r="BC402" s="2912"/>
      <c r="BD402" s="2912"/>
      <c r="BE402" s="2950"/>
      <c r="BF402" s="2912"/>
      <c r="BG402" s="2912"/>
      <c r="BH402" s="2912"/>
      <c r="BI402" s="2912"/>
      <c r="BJ402" s="2912"/>
      <c r="BK402" s="2955"/>
      <c r="BL402" s="2950"/>
      <c r="BM402" s="2912"/>
      <c r="BN402" s="2912"/>
      <c r="BO402" s="2912"/>
      <c r="BP402" s="2912"/>
      <c r="BQ402" s="2912"/>
      <c r="BR402" s="2912"/>
      <c r="BS402" s="2950"/>
      <c r="BT402" s="2912"/>
      <c r="BU402" s="2912"/>
      <c r="BV402" s="2912"/>
      <c r="BW402" s="2912"/>
      <c r="BX402" s="2912"/>
      <c r="BY402" s="2912"/>
      <c r="BZ402" s="2950"/>
      <c r="CA402" s="2912"/>
      <c r="CB402" s="2912"/>
      <c r="CC402" s="2912"/>
      <c r="CD402" s="2912"/>
      <c r="CE402" s="2912"/>
      <c r="CF402" s="2912"/>
      <c r="CG402" s="2950"/>
      <c r="CH402" s="2912"/>
      <c r="CI402" s="2912"/>
      <c r="CJ402" s="2912"/>
      <c r="CK402" s="2912"/>
      <c r="CL402" s="2912"/>
      <c r="CM402" s="2912"/>
      <c r="CN402" s="2950"/>
      <c r="CO402" s="2912"/>
      <c r="CP402" s="2912"/>
      <c r="CQ402" s="2912"/>
      <c r="CR402" s="2912"/>
      <c r="CS402" s="2912"/>
      <c r="CT402" s="2912"/>
      <c r="CU402" s="2966"/>
      <c r="CV402" s="2912"/>
      <c r="CW402" s="2912"/>
      <c r="CX402" s="2912"/>
      <c r="CY402" s="2912"/>
      <c r="CZ402" s="2938"/>
      <c r="DA402" s="2938"/>
    </row>
    <row r="403" spans="2:105" ht="18" hidden="1" customHeight="1">
      <c r="B403" s="2967" t="s">
        <v>2021</v>
      </c>
      <c r="O403" s="3216" t="s">
        <v>2021</v>
      </c>
      <c r="P403" s="3216"/>
      <c r="Q403" s="3216"/>
      <c r="R403" s="3216"/>
      <c r="S403" s="3216"/>
      <c r="T403" s="3216"/>
      <c r="U403" s="3216"/>
      <c r="V403" s="3216" t="s">
        <v>2021</v>
      </c>
      <c r="W403" s="3216"/>
      <c r="X403" s="3216"/>
      <c r="Y403" s="3216"/>
      <c r="Z403" s="3216"/>
      <c r="AA403" s="3216"/>
      <c r="AB403" s="3216"/>
      <c r="AC403" s="3216" t="s">
        <v>2021</v>
      </c>
      <c r="AD403" s="3216"/>
      <c r="AE403" s="3216"/>
      <c r="AF403" s="3216"/>
      <c r="AG403" s="3216"/>
      <c r="AH403" s="3216"/>
      <c r="AI403" s="3216"/>
      <c r="AJ403" s="3216" t="s">
        <v>2021</v>
      </c>
      <c r="AK403" s="3216"/>
      <c r="AL403" s="3216"/>
      <c r="AM403" s="3216"/>
      <c r="AN403" s="3216"/>
      <c r="AO403" s="3216"/>
      <c r="AP403" s="3216"/>
      <c r="AQ403" s="3216" t="s">
        <v>2021</v>
      </c>
      <c r="AR403" s="3216"/>
      <c r="AS403" s="3216"/>
      <c r="AT403" s="3216"/>
      <c r="AU403" s="3216"/>
      <c r="AV403" s="3216"/>
      <c r="AW403" s="3216"/>
      <c r="AX403" s="3216" t="s">
        <v>2021</v>
      </c>
      <c r="AY403" s="3216"/>
      <c r="AZ403" s="3216"/>
      <c r="BA403" s="3216"/>
      <c r="BB403" s="3216"/>
      <c r="BC403" s="3216"/>
      <c r="BD403" s="3216"/>
      <c r="BE403" s="3216" t="s">
        <v>2021</v>
      </c>
      <c r="BF403" s="3216"/>
      <c r="BG403" s="3216"/>
      <c r="BH403" s="3216"/>
      <c r="BI403" s="3216"/>
      <c r="BJ403" s="3216"/>
      <c r="BK403" s="3216"/>
      <c r="BL403" s="3216" t="s">
        <v>2021</v>
      </c>
      <c r="BM403" s="3216"/>
      <c r="BN403" s="3216"/>
      <c r="BO403" s="3216"/>
      <c r="BP403" s="3216"/>
      <c r="BQ403" s="3216"/>
      <c r="BR403" s="3216"/>
      <c r="BS403" s="3216" t="s">
        <v>2021</v>
      </c>
      <c r="BT403" s="3216"/>
      <c r="BU403" s="3216"/>
      <c r="BV403" s="3216"/>
      <c r="BW403" s="3216"/>
      <c r="BX403" s="3216"/>
      <c r="BY403" s="3216"/>
      <c r="BZ403" s="3216" t="s">
        <v>2021</v>
      </c>
      <c r="CA403" s="3216"/>
      <c r="CB403" s="3216"/>
      <c r="CC403" s="3216"/>
      <c r="CD403" s="3216"/>
      <c r="CE403" s="3216"/>
      <c r="CF403" s="3216"/>
      <c r="CG403" s="3216" t="s">
        <v>2021</v>
      </c>
      <c r="CH403" s="3216"/>
      <c r="CI403" s="3216"/>
      <c r="CJ403" s="3216"/>
      <c r="CK403" s="3216"/>
      <c r="CL403" s="3216"/>
      <c r="CM403" s="3216"/>
      <c r="CN403" s="3216" t="s">
        <v>2021</v>
      </c>
      <c r="CO403" s="3216"/>
      <c r="CP403" s="3216"/>
      <c r="CQ403" s="3216"/>
      <c r="CR403" s="3216"/>
      <c r="CS403" s="3216"/>
      <c r="CT403" s="3216"/>
      <c r="CU403" s="3216" t="s">
        <v>2021</v>
      </c>
      <c r="CV403" s="3216"/>
      <c r="CW403" s="3216"/>
      <c r="CX403" s="3216"/>
      <c r="CY403" s="3216"/>
      <c r="CZ403" s="3216"/>
      <c r="DA403" s="3219"/>
    </row>
    <row r="404" spans="2:105" ht="18" hidden="1" customHeight="1">
      <c r="B404" s="2968" t="s">
        <v>1758</v>
      </c>
      <c r="O404" s="2969">
        <v>1.8141430000000001</v>
      </c>
      <c r="P404" s="2870">
        <v>0</v>
      </c>
      <c r="Q404" s="2870">
        <v>3918549</v>
      </c>
      <c r="R404" s="2870">
        <v>0</v>
      </c>
      <c r="S404" s="2870">
        <v>0</v>
      </c>
      <c r="T404" s="2870">
        <v>2.1600000661469356</v>
      </c>
      <c r="U404" s="2870">
        <v>3918549</v>
      </c>
      <c r="V404" s="2969">
        <v>12.181243</v>
      </c>
      <c r="W404" s="2870">
        <v>0</v>
      </c>
      <c r="X404" s="2870">
        <v>26311485</v>
      </c>
      <c r="Y404" s="2870">
        <v>0</v>
      </c>
      <c r="Z404" s="2870">
        <v>0</v>
      </c>
      <c r="AA404" s="2870">
        <v>2.1600000098512115</v>
      </c>
      <c r="AB404" s="2870">
        <v>26311485</v>
      </c>
      <c r="AC404" s="2969">
        <v>21.489115000000002</v>
      </c>
      <c r="AD404" s="2870">
        <v>0</v>
      </c>
      <c r="AE404" s="2870">
        <v>46416488</v>
      </c>
      <c r="AF404" s="2870">
        <v>0</v>
      </c>
      <c r="AG404" s="2870">
        <v>0</v>
      </c>
      <c r="AH404" s="2870">
        <v>2.159999981385925</v>
      </c>
      <c r="AI404" s="2870">
        <v>46416488</v>
      </c>
      <c r="AJ404" s="2969">
        <v>29.773446</v>
      </c>
      <c r="AK404" s="2870">
        <v>0</v>
      </c>
      <c r="AL404" s="2870">
        <v>64310643</v>
      </c>
      <c r="AM404" s="2870">
        <v>0</v>
      </c>
      <c r="AN404" s="2870">
        <v>0</v>
      </c>
      <c r="AO404" s="2870">
        <v>2.1599999879086886</v>
      </c>
      <c r="AP404" s="2870">
        <v>64310643</v>
      </c>
      <c r="AQ404" s="2969">
        <v>29.986751000000002</v>
      </c>
      <c r="AR404" s="2870">
        <v>0</v>
      </c>
      <c r="AS404" s="2870">
        <v>64771382</v>
      </c>
      <c r="AT404" s="2870">
        <v>0</v>
      </c>
      <c r="AU404" s="2870">
        <v>0</v>
      </c>
      <c r="AV404" s="2870">
        <v>2.15999999466431</v>
      </c>
      <c r="AW404" s="2870">
        <v>64771382</v>
      </c>
      <c r="AX404" s="2969">
        <v>29.076968999999998</v>
      </c>
      <c r="AY404" s="2870">
        <v>0</v>
      </c>
      <c r="AZ404" s="2870">
        <v>62806253</v>
      </c>
      <c r="BA404" s="2870">
        <v>0</v>
      </c>
      <c r="BB404" s="2870">
        <v>0</v>
      </c>
      <c r="BC404" s="2870">
        <v>2.159999998624341</v>
      </c>
      <c r="BD404" s="2870">
        <v>62806253</v>
      </c>
      <c r="BE404" s="2969">
        <v>16.779679000000002</v>
      </c>
      <c r="BF404" s="2870">
        <v>0</v>
      </c>
      <c r="BG404" s="2870">
        <v>36244107</v>
      </c>
      <c r="BH404" s="2870">
        <v>0</v>
      </c>
      <c r="BI404" s="2870">
        <v>0</v>
      </c>
      <c r="BJ404" s="2870">
        <v>2.1600000214545223</v>
      </c>
      <c r="BK404" s="2870">
        <v>36244107</v>
      </c>
      <c r="BL404" s="2969">
        <v>6.1015290000000002</v>
      </c>
      <c r="BM404" s="2870">
        <v>0</v>
      </c>
      <c r="BN404" s="2870">
        <v>13179303</v>
      </c>
      <c r="BO404" s="2870">
        <v>0</v>
      </c>
      <c r="BP404" s="2870">
        <v>0</v>
      </c>
      <c r="BQ404" s="2870">
        <v>2.1600000590016042</v>
      </c>
      <c r="BR404" s="2870">
        <v>13179303</v>
      </c>
      <c r="BS404" s="2969">
        <v>2.2371409999999998</v>
      </c>
      <c r="BT404" s="2870">
        <v>0</v>
      </c>
      <c r="BU404" s="2870">
        <v>4832225</v>
      </c>
      <c r="BV404" s="2870">
        <v>0</v>
      </c>
      <c r="BW404" s="2870">
        <v>0</v>
      </c>
      <c r="BX404" s="2870">
        <v>2.1600001966796012</v>
      </c>
      <c r="BY404" s="2870">
        <v>4832225</v>
      </c>
      <c r="BZ404" s="2969">
        <v>0.128305</v>
      </c>
      <c r="CA404" s="2870">
        <v>0</v>
      </c>
      <c r="CB404" s="2870">
        <v>277139</v>
      </c>
      <c r="CC404" s="2870">
        <v>0</v>
      </c>
      <c r="CD404" s="2870">
        <v>0</v>
      </c>
      <c r="CE404" s="2870">
        <v>2.160001558785706</v>
      </c>
      <c r="CF404" s="2870">
        <v>277139</v>
      </c>
      <c r="CG404" s="2969">
        <v>0</v>
      </c>
      <c r="CH404" s="2870">
        <v>0</v>
      </c>
      <c r="CI404" s="2870">
        <v>0</v>
      </c>
      <c r="CJ404" s="2870">
        <v>0</v>
      </c>
      <c r="CK404" s="2870">
        <v>0</v>
      </c>
      <c r="CL404" s="2870">
        <v>0</v>
      </c>
      <c r="CM404" s="2870">
        <v>0</v>
      </c>
      <c r="CN404" s="2969">
        <v>0</v>
      </c>
      <c r="CO404" s="2870">
        <v>0</v>
      </c>
      <c r="CP404" s="2870">
        <v>0</v>
      </c>
      <c r="CQ404" s="2870">
        <v>0</v>
      </c>
      <c r="CR404" s="2870">
        <v>0</v>
      </c>
      <c r="CS404" s="2870">
        <v>0</v>
      </c>
      <c r="CT404" s="2870">
        <v>0</v>
      </c>
      <c r="CU404" s="2970">
        <v>149.568321</v>
      </c>
      <c r="CV404" s="2870">
        <v>0</v>
      </c>
      <c r="CW404" s="2870">
        <v>323067574</v>
      </c>
      <c r="CX404" s="2870">
        <v>0</v>
      </c>
      <c r="CY404" s="2870">
        <v>0</v>
      </c>
      <c r="CZ404" s="2874">
        <v>2.1600000042789809</v>
      </c>
      <c r="DA404" s="2875">
        <v>323067574</v>
      </c>
    </row>
    <row r="405" spans="2:105" ht="18" hidden="1" customHeight="1">
      <c r="B405" s="2968" t="s">
        <v>2022</v>
      </c>
      <c r="O405" s="2969">
        <v>33.890847999999998</v>
      </c>
      <c r="P405" s="2870">
        <v>119562132</v>
      </c>
      <c r="Q405" s="2870">
        <v>57004406</v>
      </c>
      <c r="R405" s="2870">
        <v>76777049</v>
      </c>
      <c r="S405" s="2870">
        <v>0</v>
      </c>
      <c r="T405" s="2870">
        <v>7.475280258552397</v>
      </c>
      <c r="U405" s="2870">
        <v>253343587</v>
      </c>
      <c r="V405" s="2969">
        <v>77.864481999999995</v>
      </c>
      <c r="W405" s="2870">
        <v>129572665</v>
      </c>
      <c r="X405" s="2870">
        <v>130968059</v>
      </c>
      <c r="Y405" s="2870">
        <v>77624886</v>
      </c>
      <c r="Z405" s="2870">
        <v>0</v>
      </c>
      <c r="AA405" s="2870">
        <v>4.3430021148795417</v>
      </c>
      <c r="AB405" s="2870">
        <v>338165610</v>
      </c>
      <c r="AC405" s="2969">
        <v>139.906058</v>
      </c>
      <c r="AD405" s="2870">
        <v>235321990</v>
      </c>
      <c r="AE405" s="2870">
        <v>135257185</v>
      </c>
      <c r="AF405" s="2870">
        <v>69354087</v>
      </c>
      <c r="AG405" s="2870">
        <v>0</v>
      </c>
      <c r="AH405" s="2870">
        <v>3.1444904408642547</v>
      </c>
      <c r="AI405" s="2870">
        <v>439933262</v>
      </c>
      <c r="AJ405" s="2969">
        <v>161.07944499999999</v>
      </c>
      <c r="AK405" s="2870">
        <v>270935626</v>
      </c>
      <c r="AL405" s="2870">
        <v>142529932</v>
      </c>
      <c r="AM405" s="2870">
        <v>80972145</v>
      </c>
      <c r="AN405" s="2870">
        <v>0</v>
      </c>
      <c r="AO405" s="2870">
        <v>3.0695269840295265</v>
      </c>
      <c r="AP405" s="2870">
        <v>494437703</v>
      </c>
      <c r="AQ405" s="2969">
        <v>157.852508</v>
      </c>
      <c r="AR405" s="2870">
        <v>265507918</v>
      </c>
      <c r="AS405" s="2870">
        <v>142529932</v>
      </c>
      <c r="AT405" s="2870">
        <v>81240606</v>
      </c>
      <c r="AU405" s="2870">
        <v>0</v>
      </c>
      <c r="AV405" s="2870">
        <v>3.0995925386247269</v>
      </c>
      <c r="AW405" s="2870">
        <v>489278456</v>
      </c>
      <c r="AX405" s="2969">
        <v>121.075005</v>
      </c>
      <c r="AY405" s="2870">
        <v>203648158</v>
      </c>
      <c r="AZ405" s="2870">
        <v>137932192</v>
      </c>
      <c r="BA405" s="2870">
        <v>94112111</v>
      </c>
      <c r="BB405" s="2870">
        <v>0</v>
      </c>
      <c r="BC405" s="2870">
        <v>3.5985334958276485</v>
      </c>
      <c r="BD405" s="2870">
        <v>435692461</v>
      </c>
      <c r="BE405" s="2969">
        <v>51.572167999999998</v>
      </c>
      <c r="BF405" s="2870">
        <v>86744387</v>
      </c>
      <c r="BG405" s="2870">
        <v>142529931</v>
      </c>
      <c r="BH405" s="2870">
        <v>75485789</v>
      </c>
      <c r="BI405" s="2870">
        <v>0</v>
      </c>
      <c r="BJ405" s="2870">
        <v>5.9093910304488269</v>
      </c>
      <c r="BK405" s="2870">
        <v>304760107</v>
      </c>
      <c r="BL405" s="2969">
        <v>30.493289999999998</v>
      </c>
      <c r="BM405" s="2870">
        <v>51289714</v>
      </c>
      <c r="BN405" s="2870">
        <v>137932192</v>
      </c>
      <c r="BO405" s="2870">
        <v>74109444</v>
      </c>
      <c r="BP405" s="2870">
        <v>0</v>
      </c>
      <c r="BQ405" s="2870">
        <v>8.6357146113128493</v>
      </c>
      <c r="BR405" s="2870">
        <v>263331350</v>
      </c>
      <c r="BS405" s="2969">
        <v>24.112964999999999</v>
      </c>
      <c r="BT405" s="2870">
        <v>124143570</v>
      </c>
      <c r="BU405" s="2870">
        <v>40558007</v>
      </c>
      <c r="BV405" s="2870">
        <v>13785853</v>
      </c>
      <c r="BW405" s="2870">
        <v>0</v>
      </c>
      <c r="BX405" s="2870">
        <v>7.4021353242954566</v>
      </c>
      <c r="BY405" s="2870">
        <v>178487430</v>
      </c>
      <c r="BZ405" s="2969">
        <v>21.206081999999999</v>
      </c>
      <c r="CA405" s="2870">
        <v>117975912</v>
      </c>
      <c r="CB405" s="2870">
        <v>35396111</v>
      </c>
      <c r="CC405" s="2870">
        <v>86580</v>
      </c>
      <c r="CD405" s="2870">
        <v>0</v>
      </c>
      <c r="CE405" s="2870">
        <v>7.2365372820872809</v>
      </c>
      <c r="CF405" s="2870">
        <v>153458603</v>
      </c>
      <c r="CG405" s="2969">
        <v>18.07864</v>
      </c>
      <c r="CH405" s="2870">
        <v>107937797</v>
      </c>
      <c r="CI405" s="2870">
        <v>21694368</v>
      </c>
      <c r="CJ405" s="2870">
        <v>-37248062</v>
      </c>
      <c r="CK405" s="2870">
        <v>0</v>
      </c>
      <c r="CL405" s="2870">
        <v>5.1101246000805371</v>
      </c>
      <c r="CM405" s="2870">
        <v>92384103</v>
      </c>
      <c r="CN405" s="2969">
        <v>21.616738000000002</v>
      </c>
      <c r="CO405" s="2870">
        <v>126363035</v>
      </c>
      <c r="CP405" s="2870">
        <v>27020923</v>
      </c>
      <c r="CQ405" s="2870">
        <v>50307316.079999901</v>
      </c>
      <c r="CR405" s="2870">
        <v>146037632</v>
      </c>
      <c r="CS405" s="2870">
        <v>16.178616129778689</v>
      </c>
      <c r="CT405" s="2870">
        <v>349728906.07999992</v>
      </c>
      <c r="CU405" s="2970">
        <v>858.74822900000015</v>
      </c>
      <c r="CV405" s="2870">
        <v>1839002904</v>
      </c>
      <c r="CW405" s="2870">
        <v>1151353238</v>
      </c>
      <c r="CX405" s="2870">
        <v>656607804.07999992</v>
      </c>
      <c r="CY405" s="2870">
        <v>146037632</v>
      </c>
      <c r="CZ405" s="2874">
        <v>4.4168959538896466</v>
      </c>
      <c r="DA405" s="2875">
        <v>3793001578.0799999</v>
      </c>
    </row>
    <row r="406" spans="2:105" ht="18" hidden="1" customHeight="1">
      <c r="B406" s="2968" t="s">
        <v>2023</v>
      </c>
      <c r="O406" s="2969">
        <v>45.549250000000001</v>
      </c>
      <c r="P406" s="2870">
        <v>234072315</v>
      </c>
      <c r="Q406" s="2870">
        <v>132684965</v>
      </c>
      <c r="R406" s="2870">
        <v>287289891</v>
      </c>
      <c r="S406" s="2870">
        <v>0</v>
      </c>
      <c r="T406" s="2870">
        <v>14.359120534366648</v>
      </c>
      <c r="U406" s="2870">
        <v>654047171</v>
      </c>
      <c r="V406" s="2969">
        <v>82.5672</v>
      </c>
      <c r="W406" s="2870">
        <v>240518254</v>
      </c>
      <c r="X406" s="2870">
        <v>241755987</v>
      </c>
      <c r="Y406" s="2870">
        <v>-280884068</v>
      </c>
      <c r="Z406" s="2870">
        <v>0</v>
      </c>
      <c r="AA406" s="2870">
        <v>2.4391062431570889</v>
      </c>
      <c r="AB406" s="2870">
        <v>201390173</v>
      </c>
      <c r="AC406" s="2969">
        <v>137.11358000000001</v>
      </c>
      <c r="AD406" s="2870">
        <v>399411859</v>
      </c>
      <c r="AE406" s="2870">
        <v>234072315</v>
      </c>
      <c r="AF406" s="2870">
        <v>7897386</v>
      </c>
      <c r="AG406" s="2870">
        <v>0</v>
      </c>
      <c r="AH406" s="2870">
        <v>4.6777391415204823</v>
      </c>
      <c r="AI406" s="2870">
        <v>641381560</v>
      </c>
      <c r="AJ406" s="2969">
        <v>132.846825</v>
      </c>
      <c r="AK406" s="2870">
        <v>386982801</v>
      </c>
      <c r="AL406" s="2870">
        <v>234073166</v>
      </c>
      <c r="AM406" s="2870">
        <v>6642341</v>
      </c>
      <c r="AN406" s="2870">
        <v>0</v>
      </c>
      <c r="AO406" s="2870">
        <v>4.7249778683081063</v>
      </c>
      <c r="AP406" s="2870">
        <v>627698308</v>
      </c>
      <c r="AQ406" s="2969">
        <v>141.30080000000001</v>
      </c>
      <c r="AR406" s="2870">
        <v>411609230</v>
      </c>
      <c r="AS406" s="2870">
        <v>241874726</v>
      </c>
      <c r="AT406" s="2870">
        <v>7065040</v>
      </c>
      <c r="AU406" s="2870">
        <v>0</v>
      </c>
      <c r="AV406" s="2870">
        <v>4.674771805962882</v>
      </c>
      <c r="AW406" s="2870">
        <v>660548996</v>
      </c>
      <c r="AX406" s="2969">
        <v>122.703945</v>
      </c>
      <c r="AY406" s="2870">
        <v>357436592</v>
      </c>
      <c r="AZ406" s="2870">
        <v>228065168</v>
      </c>
      <c r="BA406" s="2870">
        <v>6135197</v>
      </c>
      <c r="BB406" s="2870">
        <v>0</v>
      </c>
      <c r="BC406" s="2870">
        <v>4.8216620663663257</v>
      </c>
      <c r="BD406" s="2870">
        <v>591636957</v>
      </c>
      <c r="BE406" s="2969">
        <v>88.879199999999997</v>
      </c>
      <c r="BF406" s="2870">
        <v>258905110</v>
      </c>
      <c r="BG406" s="2870">
        <v>241874726</v>
      </c>
      <c r="BH406" s="2870">
        <v>5266606</v>
      </c>
      <c r="BI406" s="2870">
        <v>0</v>
      </c>
      <c r="BJ406" s="2870">
        <v>5.6936430795956756</v>
      </c>
      <c r="BK406" s="2870">
        <v>506046442</v>
      </c>
      <c r="BL406" s="2969">
        <v>31.711500000000001</v>
      </c>
      <c r="BM406" s="2870">
        <v>45859045</v>
      </c>
      <c r="BN406" s="2870">
        <v>234072315</v>
      </c>
      <c r="BO406" s="2870">
        <v>1585575</v>
      </c>
      <c r="BP406" s="2870">
        <v>0</v>
      </c>
      <c r="BQ406" s="2870">
        <v>8.8774398877378875</v>
      </c>
      <c r="BR406" s="2870">
        <v>281516935</v>
      </c>
      <c r="BS406" s="2969">
        <v>30.45</v>
      </c>
      <c r="BT406" s="2870">
        <v>241874726</v>
      </c>
      <c r="BU406" s="2870">
        <v>36540000</v>
      </c>
      <c r="BV406" s="2870">
        <v>2078103</v>
      </c>
      <c r="BW406" s="2870">
        <v>0</v>
      </c>
      <c r="BX406" s="2870">
        <v>9.2115871592775047</v>
      </c>
      <c r="BY406" s="2870">
        <v>280492829</v>
      </c>
      <c r="BZ406" s="2969">
        <v>25.3825</v>
      </c>
      <c r="CA406" s="2870">
        <v>241874726</v>
      </c>
      <c r="CB406" s="2870">
        <v>30459000</v>
      </c>
      <c r="CC406" s="2870">
        <v>1361086</v>
      </c>
      <c r="CD406" s="2870">
        <v>0</v>
      </c>
      <c r="CE406" s="2870">
        <v>10.782815404313995</v>
      </c>
      <c r="CF406" s="2870">
        <v>273694812</v>
      </c>
      <c r="CG406" s="2969">
        <v>18.313500000000001</v>
      </c>
      <c r="CH406" s="2870">
        <v>218467494</v>
      </c>
      <c r="CI406" s="2870">
        <v>22891875</v>
      </c>
      <c r="CJ406" s="2870">
        <v>91961</v>
      </c>
      <c r="CK406" s="2870">
        <v>0</v>
      </c>
      <c r="CL406" s="2870">
        <v>13.184335599421193</v>
      </c>
      <c r="CM406" s="2870">
        <v>241451330</v>
      </c>
      <c r="CN406" s="2969">
        <v>23.272500000000001</v>
      </c>
      <c r="CO406" s="2870">
        <v>241874726</v>
      </c>
      <c r="CP406" s="2870">
        <v>29090625</v>
      </c>
      <c r="CQ406" s="2870">
        <v>1676746.5</v>
      </c>
      <c r="CR406" s="2870">
        <v>303843045</v>
      </c>
      <c r="CS406" s="2870">
        <v>24.771087871951874</v>
      </c>
      <c r="CT406" s="2870">
        <v>576485142.5</v>
      </c>
      <c r="CU406" s="2970">
        <v>880.09080000000006</v>
      </c>
      <c r="CV406" s="2870">
        <v>3278886878</v>
      </c>
      <c r="CW406" s="2870">
        <v>1907454868</v>
      </c>
      <c r="CX406" s="2870">
        <v>46205864.5</v>
      </c>
      <c r="CY406" s="2870">
        <v>303843045</v>
      </c>
      <c r="CZ406" s="2874">
        <v>6.2907039313443569</v>
      </c>
      <c r="DA406" s="2875">
        <v>5536390655.5</v>
      </c>
    </row>
    <row r="407" spans="2:105" ht="18" hidden="1" customHeight="1">
      <c r="B407" s="2968" t="s">
        <v>2024</v>
      </c>
      <c r="O407" s="2969">
        <v>29.838249999999999</v>
      </c>
      <c r="P407" s="2969">
        <v>532689145</v>
      </c>
      <c r="Q407" s="2969">
        <v>358009103</v>
      </c>
      <c r="R407" s="2969">
        <v>0</v>
      </c>
      <c r="S407" s="2969">
        <v>0</v>
      </c>
      <c r="T407" s="2969">
        <v>29.850887635836553</v>
      </c>
      <c r="U407" s="2969">
        <v>890698248</v>
      </c>
      <c r="V407" s="2969">
        <v>195.93625</v>
      </c>
      <c r="W407" s="2969">
        <v>550765065</v>
      </c>
      <c r="X407" s="2969">
        <v>382310811</v>
      </c>
      <c r="Y407" s="2969">
        <v>0</v>
      </c>
      <c r="Z407" s="2969">
        <v>0</v>
      </c>
      <c r="AA407" s="2969">
        <v>4.7621401144504913</v>
      </c>
      <c r="AB407" s="2969">
        <v>933075876</v>
      </c>
      <c r="AC407" s="2969">
        <v>182.94550000000001</v>
      </c>
      <c r="AD407" s="2969">
        <v>533307755</v>
      </c>
      <c r="AE407" s="2969">
        <v>356901797</v>
      </c>
      <c r="AF407" s="2969">
        <v>116146757</v>
      </c>
      <c r="AG407" s="2969">
        <v>0</v>
      </c>
      <c r="AH407" s="2969">
        <v>5.5008530354668466</v>
      </c>
      <c r="AI407" s="2969">
        <v>1006356309</v>
      </c>
      <c r="AJ407" s="2969">
        <v>192.52475000000001</v>
      </c>
      <c r="AK407" s="2969">
        <v>551404295</v>
      </c>
      <c r="AL407" s="2969">
        <v>375654292</v>
      </c>
      <c r="AM407" s="2969">
        <v>115959850</v>
      </c>
      <c r="AN407" s="2969">
        <v>0</v>
      </c>
      <c r="AO407" s="2969">
        <v>5.4175810486703657</v>
      </c>
      <c r="AP407" s="2969">
        <v>1043018437</v>
      </c>
      <c r="AQ407" s="2969">
        <v>199.62625</v>
      </c>
      <c r="AR407" s="2969">
        <v>551723910</v>
      </c>
      <c r="AS407" s="2969">
        <v>389510739</v>
      </c>
      <c r="AT407" s="2969">
        <v>0</v>
      </c>
      <c r="AU407" s="2969">
        <v>0</v>
      </c>
      <c r="AV407" s="2969">
        <v>4.7149843720452598</v>
      </c>
      <c r="AW407" s="2969">
        <v>941234649</v>
      </c>
      <c r="AX407" s="2969">
        <v>218.61874999999998</v>
      </c>
      <c r="AY407" s="2969">
        <v>534235669</v>
      </c>
      <c r="AZ407" s="2969">
        <v>426568905</v>
      </c>
      <c r="BA407" s="2969">
        <v>710818756</v>
      </c>
      <c r="BB407" s="2969">
        <v>0</v>
      </c>
      <c r="BC407" s="2969">
        <v>4.394886412990652</v>
      </c>
      <c r="BD407" s="2969">
        <v>1671623330</v>
      </c>
      <c r="BE407" s="2969">
        <v>216.11025000000001</v>
      </c>
      <c r="BF407" s="2969">
        <v>552363140</v>
      </c>
      <c r="BG407" s="2969">
        <v>421674320</v>
      </c>
      <c r="BH407" s="2969">
        <v>227835273</v>
      </c>
      <c r="BI407" s="2969">
        <v>0</v>
      </c>
      <c r="BJ407" s="2969">
        <v>5.5613869911306848</v>
      </c>
      <c r="BK407" s="2969">
        <v>1201872733</v>
      </c>
      <c r="BL407" s="2969">
        <v>179.39924999999999</v>
      </c>
      <c r="BM407" s="2969">
        <v>534611254</v>
      </c>
      <c r="BN407" s="2969">
        <v>350043817</v>
      </c>
      <c r="BO407" s="2969">
        <v>319390519</v>
      </c>
      <c r="BP407" s="2969">
        <v>0</v>
      </c>
      <c r="BQ407" s="2969">
        <v>4.9312083021528794</v>
      </c>
      <c r="BR407" s="2969">
        <v>1204045590</v>
      </c>
      <c r="BS407" s="2969">
        <v>190.59549999999999</v>
      </c>
      <c r="BT407" s="2969">
        <v>552477288</v>
      </c>
      <c r="BU407" s="2969">
        <v>371889940</v>
      </c>
      <c r="BV407" s="2969">
        <v>252809440</v>
      </c>
      <c r="BW407" s="2969">
        <v>693671354</v>
      </c>
      <c r="BX407" s="2969">
        <v>9.6580914239843025</v>
      </c>
      <c r="BY407" s="2969">
        <v>1870848022</v>
      </c>
      <c r="BZ407" s="2969">
        <v>192.42850000000001</v>
      </c>
      <c r="CA407" s="2969">
        <v>552545777</v>
      </c>
      <c r="CB407" s="2969">
        <v>375466489</v>
      </c>
      <c r="CC407" s="2969">
        <v>244849993</v>
      </c>
      <c r="CD407" s="2969">
        <v>0</v>
      </c>
      <c r="CE407" s="2969">
        <v>5.3399521276733957</v>
      </c>
      <c r="CF407" s="2969">
        <v>1172862259</v>
      </c>
      <c r="CG407" s="2969">
        <v>164.51625000000001</v>
      </c>
      <c r="CH407" s="2969">
        <v>499114846</v>
      </c>
      <c r="CI407" s="2969">
        <v>321004107</v>
      </c>
      <c r="CJ407" s="2969">
        <v>166001976</v>
      </c>
      <c r="CK407" s="2969">
        <v>0</v>
      </c>
      <c r="CL407" s="2969">
        <v>5.9940639845607953</v>
      </c>
      <c r="CM407" s="2969">
        <v>986120929</v>
      </c>
      <c r="CN407" s="2969">
        <v>108.54325</v>
      </c>
      <c r="CO407" s="2969">
        <v>552659925</v>
      </c>
      <c r="CP407" s="2969">
        <v>223146026</v>
      </c>
      <c r="CQ407" s="2969">
        <v>395417703</v>
      </c>
      <c r="CR407" s="2969">
        <v>0</v>
      </c>
      <c r="CS407" s="2969">
        <v>10.790386818157739</v>
      </c>
      <c r="CT407" s="2969">
        <v>1171223654</v>
      </c>
      <c r="CU407" s="2969">
        <v>2071.08275</v>
      </c>
      <c r="CV407" s="2969">
        <v>6497898069</v>
      </c>
      <c r="CW407" s="2969">
        <v>4352180346</v>
      </c>
      <c r="CX407" s="2969">
        <v>2549230267</v>
      </c>
      <c r="CY407" s="2969">
        <v>693671354</v>
      </c>
      <c r="CZ407" s="2874">
        <v>6.2225462608869684</v>
      </c>
      <c r="DA407" s="2875">
        <v>14092980036</v>
      </c>
    </row>
    <row r="408" spans="2:105" ht="18" hidden="1" customHeight="1">
      <c r="B408" s="2968" t="s">
        <v>1778</v>
      </c>
      <c r="O408" s="2969">
        <v>0</v>
      </c>
      <c r="P408" s="2969">
        <v>0</v>
      </c>
      <c r="Q408" s="2969">
        <v>0</v>
      </c>
      <c r="R408" s="2969">
        <v>-74827584</v>
      </c>
      <c r="S408" s="2969">
        <v>0</v>
      </c>
      <c r="T408" s="2969" t="e">
        <v>#VALUE!</v>
      </c>
      <c r="U408" s="2969">
        <v>-74827584</v>
      </c>
      <c r="V408" s="2969">
        <v>162.648</v>
      </c>
      <c r="W408" s="2969">
        <v>295560123</v>
      </c>
      <c r="X408" s="2969">
        <v>254213054</v>
      </c>
      <c r="Y408" s="2969">
        <v>0</v>
      </c>
      <c r="Z408" s="2969">
        <v>0</v>
      </c>
      <c r="AA408" s="2969">
        <v>3.3801410223304313</v>
      </c>
      <c r="AB408" s="2969">
        <v>549773177</v>
      </c>
      <c r="AC408" s="2969">
        <v>143.318375</v>
      </c>
      <c r="AD408" s="2969">
        <v>256902800</v>
      </c>
      <c r="AE408" s="2969">
        <v>216530572</v>
      </c>
      <c r="AF408" s="2969">
        <v>0</v>
      </c>
      <c r="AG408" s="2969">
        <v>0</v>
      </c>
      <c r="AH408" s="2969">
        <v>3.3033682666301512</v>
      </c>
      <c r="AI408" s="2969">
        <v>473433372</v>
      </c>
      <c r="AJ408" s="2969">
        <v>142.63300000000001</v>
      </c>
      <c r="AK408" s="2969">
        <v>250443388</v>
      </c>
      <c r="AL408" s="2969">
        <v>211514291</v>
      </c>
      <c r="AM408" s="2969">
        <v>0</v>
      </c>
      <c r="AN408" s="2969">
        <v>0</v>
      </c>
      <c r="AO408" s="2969">
        <v>3.2387854073040603</v>
      </c>
      <c r="AP408" s="2969">
        <v>461957679</v>
      </c>
      <c r="AQ408" s="2969">
        <v>173.70262500000001</v>
      </c>
      <c r="AR408" s="2969">
        <v>305538958</v>
      </c>
      <c r="AS408" s="2969">
        <v>274552944</v>
      </c>
      <c r="AT408" s="2969">
        <v>0</v>
      </c>
      <c r="AU408" s="2969">
        <v>0</v>
      </c>
      <c r="AV408" s="2969">
        <v>3.3395690019077144</v>
      </c>
      <c r="AW408" s="2969">
        <v>580091902</v>
      </c>
      <c r="AX408" s="2969">
        <v>160.8365</v>
      </c>
      <c r="AY408" s="2969">
        <v>277756927</v>
      </c>
      <c r="AZ408" s="2969">
        <v>249893376</v>
      </c>
      <c r="BA408" s="2969">
        <v>0</v>
      </c>
      <c r="BB408" s="2969">
        <v>0</v>
      </c>
      <c r="BC408" s="2969">
        <v>3.2806626791804101</v>
      </c>
      <c r="BD408" s="2969">
        <v>527650303</v>
      </c>
      <c r="BE408" s="2969">
        <v>120.235375</v>
      </c>
      <c r="BF408" s="2969">
        <v>205552883</v>
      </c>
      <c r="BG408" s="2969">
        <v>164913859</v>
      </c>
      <c r="BH408" s="2969">
        <v>0</v>
      </c>
      <c r="BI408" s="2969">
        <v>0</v>
      </c>
      <c r="BJ408" s="2969">
        <v>3.0811792452928266</v>
      </c>
      <c r="BK408" s="2969">
        <v>370466742</v>
      </c>
      <c r="BL408" s="2969">
        <v>200.2645</v>
      </c>
      <c r="BM408" s="2969">
        <v>399487825</v>
      </c>
      <c r="BN408" s="2969">
        <v>340167046</v>
      </c>
      <c r="BO408" s="2969">
        <v>298284852</v>
      </c>
      <c r="BP408" s="2969">
        <v>0</v>
      </c>
      <c r="BQ408" s="2969">
        <v>3.6933898469274387</v>
      </c>
      <c r="BR408" s="2969">
        <v>1037939723</v>
      </c>
      <c r="BS408" s="2969">
        <v>124.4645</v>
      </c>
      <c r="BT408" s="2969">
        <v>220440114</v>
      </c>
      <c r="BU408" s="2969">
        <v>174929375</v>
      </c>
      <c r="BV408" s="2969">
        <v>147170613</v>
      </c>
      <c r="BW408" s="2969">
        <v>0</v>
      </c>
      <c r="BX408" s="2969">
        <v>3.1765643135191159</v>
      </c>
      <c r="BY408" s="2969">
        <v>542540102</v>
      </c>
      <c r="BZ408" s="2969">
        <v>126.574</v>
      </c>
      <c r="CA408" s="2969">
        <v>211859561</v>
      </c>
      <c r="CB408" s="2969">
        <v>176722937</v>
      </c>
      <c r="CC408" s="2969">
        <v>0</v>
      </c>
      <c r="CD408" s="2969">
        <v>173683266</v>
      </c>
      <c r="CE408" s="2969">
        <v>4.4421900548295863</v>
      </c>
      <c r="CF408" s="2969">
        <v>562265764</v>
      </c>
      <c r="CG408" s="2969">
        <v>109.44</v>
      </c>
      <c r="CH408" s="2969">
        <v>183202560</v>
      </c>
      <c r="CI408" s="2969">
        <v>149870938</v>
      </c>
      <c r="CJ408" s="2969">
        <v>627396355</v>
      </c>
      <c r="CK408" s="2969">
        <v>0</v>
      </c>
      <c r="CL408" s="2969">
        <v>3.0434347404970761</v>
      </c>
      <c r="CM408" s="2969">
        <v>960469853</v>
      </c>
      <c r="CN408" s="2969">
        <v>157.52699999999999</v>
      </c>
      <c r="CO408" s="2969">
        <v>267401131</v>
      </c>
      <c r="CP408" s="2969">
        <v>239627435</v>
      </c>
      <c r="CQ408" s="2969">
        <v>986084116</v>
      </c>
      <c r="CR408" s="2969">
        <v>201465495</v>
      </c>
      <c r="CS408" s="2969">
        <v>10.551669199565788</v>
      </c>
      <c r="CT408" s="2969">
        <v>1694578177</v>
      </c>
      <c r="CU408" s="2969">
        <v>1621.6438750000002</v>
      </c>
      <c r="CV408" s="2969">
        <v>2874146270</v>
      </c>
      <c r="CW408" s="2969">
        <v>2452935827</v>
      </c>
      <c r="CX408" s="2969">
        <v>1984108352</v>
      </c>
      <c r="CY408" s="2969">
        <v>375148761</v>
      </c>
      <c r="CZ408" s="2874">
        <v>4.0582782129029402</v>
      </c>
      <c r="DA408" s="2875">
        <v>7686339210</v>
      </c>
    </row>
    <row r="409" spans="2:105" ht="18" hidden="1" customHeight="1">
      <c r="B409" s="2968" t="s">
        <v>2025</v>
      </c>
      <c r="O409" s="2970">
        <v>0</v>
      </c>
      <c r="P409" s="2970">
        <v>0</v>
      </c>
      <c r="Q409" s="2970">
        <v>0</v>
      </c>
      <c r="R409" s="2970">
        <v>0</v>
      </c>
      <c r="S409" s="2970">
        <v>0</v>
      </c>
      <c r="T409" s="2970">
        <v>0</v>
      </c>
      <c r="U409" s="2970">
        <v>0</v>
      </c>
      <c r="V409" s="2970">
        <v>158.7336</v>
      </c>
      <c r="W409" s="2970">
        <v>0</v>
      </c>
      <c r="X409" s="2970">
        <v>579376570</v>
      </c>
      <c r="Y409" s="2970">
        <v>0</v>
      </c>
      <c r="Z409" s="2970">
        <v>0</v>
      </c>
      <c r="AA409" s="2970">
        <v>3.6499932591461417</v>
      </c>
      <c r="AB409" s="2970">
        <v>579376570</v>
      </c>
      <c r="AC409" s="2970">
        <v>462.50265999999999</v>
      </c>
      <c r="AD409" s="2970">
        <v>0</v>
      </c>
      <c r="AE409" s="2970">
        <v>1672643122</v>
      </c>
      <c r="AF409" s="2970">
        <v>0</v>
      </c>
      <c r="AG409" s="2970">
        <v>0</v>
      </c>
      <c r="AH409" s="2970">
        <v>3.6165048693990216</v>
      </c>
      <c r="AI409" s="2970">
        <v>1672643122</v>
      </c>
      <c r="AJ409" s="2970">
        <v>101.57812</v>
      </c>
      <c r="AK409" s="2970">
        <v>0</v>
      </c>
      <c r="AL409" s="2970">
        <v>341113012</v>
      </c>
      <c r="AM409" s="2970">
        <v>0</v>
      </c>
      <c r="AN409" s="2970">
        <v>0</v>
      </c>
      <c r="AO409" s="2970">
        <v>3.3581347242890498</v>
      </c>
      <c r="AP409" s="2970">
        <v>341113012</v>
      </c>
      <c r="AQ409" s="2970">
        <v>56.977649999999997</v>
      </c>
      <c r="AR409" s="2970">
        <v>0</v>
      </c>
      <c r="AS409" s="2970">
        <v>173705068</v>
      </c>
      <c r="AT409" s="2970">
        <v>0</v>
      </c>
      <c r="AU409" s="2970">
        <v>0</v>
      </c>
      <c r="AV409" s="2970">
        <v>3.0486527261127829</v>
      </c>
      <c r="AW409" s="2970">
        <v>173705068</v>
      </c>
      <c r="AX409" s="2970">
        <v>14.728149999999999</v>
      </c>
      <c r="AY409" s="2970">
        <v>0</v>
      </c>
      <c r="AZ409" s="2970">
        <v>48464234</v>
      </c>
      <c r="BA409" s="2970">
        <v>0</v>
      </c>
      <c r="BB409" s="2970">
        <v>0</v>
      </c>
      <c r="BC409" s="2970">
        <v>3.2905853077270395</v>
      </c>
      <c r="BD409" s="2970">
        <v>48464234</v>
      </c>
      <c r="BE409" s="2970">
        <v>0</v>
      </c>
      <c r="BF409" s="2970">
        <v>0</v>
      </c>
      <c r="BG409" s="2970">
        <v>0</v>
      </c>
      <c r="BH409" s="2970">
        <v>0</v>
      </c>
      <c r="BI409" s="2970">
        <v>0</v>
      </c>
      <c r="BJ409" s="2970">
        <v>0</v>
      </c>
      <c r="BK409" s="2970">
        <v>0</v>
      </c>
      <c r="BL409" s="2970">
        <v>0</v>
      </c>
      <c r="BM409" s="2970">
        <v>0</v>
      </c>
      <c r="BN409" s="2970">
        <v>0</v>
      </c>
      <c r="BO409" s="2970">
        <v>0</v>
      </c>
      <c r="BP409" s="2970">
        <v>0</v>
      </c>
      <c r="BQ409" s="2970">
        <v>0</v>
      </c>
      <c r="BR409" s="2970">
        <v>0</v>
      </c>
      <c r="BS409" s="2970">
        <v>0</v>
      </c>
      <c r="BT409" s="2970">
        <v>0</v>
      </c>
      <c r="BU409" s="2970">
        <v>0</v>
      </c>
      <c r="BV409" s="2970">
        <v>0</v>
      </c>
      <c r="BW409" s="2970">
        <v>0</v>
      </c>
      <c r="BX409" s="2970">
        <v>0</v>
      </c>
      <c r="BY409" s="2970">
        <v>0</v>
      </c>
      <c r="BZ409" s="2970">
        <v>0</v>
      </c>
      <c r="CA409" s="2970">
        <v>0</v>
      </c>
      <c r="CB409" s="2970">
        <v>0</v>
      </c>
      <c r="CC409" s="2970">
        <v>0</v>
      </c>
      <c r="CD409" s="2970">
        <v>0</v>
      </c>
      <c r="CE409" s="2970">
        <v>0</v>
      </c>
      <c r="CF409" s="2970">
        <v>0</v>
      </c>
      <c r="CG409" s="2970">
        <v>0</v>
      </c>
      <c r="CH409" s="2970">
        <v>0</v>
      </c>
      <c r="CI409" s="2970">
        <v>0</v>
      </c>
      <c r="CJ409" s="2970">
        <v>0</v>
      </c>
      <c r="CK409" s="2970">
        <v>0</v>
      </c>
      <c r="CL409" s="2970">
        <v>0</v>
      </c>
      <c r="CM409" s="2970">
        <v>0</v>
      </c>
      <c r="CN409" s="2970">
        <v>-3.0176999999999999E-2</v>
      </c>
      <c r="CO409" s="2970">
        <v>0</v>
      </c>
      <c r="CP409" s="2970">
        <v>0</v>
      </c>
      <c r="CQ409" s="2970">
        <v>0</v>
      </c>
      <c r="CR409" s="2970">
        <v>0</v>
      </c>
      <c r="CS409" s="2970">
        <v>0</v>
      </c>
      <c r="CT409" s="2970">
        <v>0</v>
      </c>
      <c r="CU409" s="2970">
        <v>794.49000300000012</v>
      </c>
      <c r="CV409" s="2970">
        <v>0</v>
      </c>
      <c r="CW409" s="2970">
        <v>2815302006</v>
      </c>
      <c r="CX409" s="2970">
        <v>0</v>
      </c>
      <c r="CY409" s="2970">
        <v>0</v>
      </c>
      <c r="CZ409" s="2874">
        <v>5.290713882918662</v>
      </c>
      <c r="DA409" s="2875">
        <v>2815302006</v>
      </c>
    </row>
    <row r="410" spans="2:105" ht="18" hidden="1" customHeight="1">
      <c r="B410" s="2971" t="s">
        <v>2026</v>
      </c>
      <c r="O410" s="3217" t="s">
        <v>2026</v>
      </c>
      <c r="P410" s="3217"/>
      <c r="Q410" s="3217"/>
      <c r="R410" s="3217"/>
      <c r="S410" s="3217"/>
      <c r="T410" s="3217"/>
      <c r="U410" s="3217"/>
      <c r="V410" s="3217" t="s">
        <v>2026</v>
      </c>
      <c r="W410" s="3217"/>
      <c r="X410" s="3217"/>
      <c r="Y410" s="3217"/>
      <c r="Z410" s="3217"/>
      <c r="AA410" s="3217"/>
      <c r="AB410" s="3217"/>
      <c r="AC410" s="3217" t="s">
        <v>2026</v>
      </c>
      <c r="AD410" s="3217"/>
      <c r="AE410" s="3217"/>
      <c r="AF410" s="3217"/>
      <c r="AG410" s="3217"/>
      <c r="AH410" s="3217"/>
      <c r="AI410" s="3217"/>
      <c r="AJ410" s="3217" t="s">
        <v>2026</v>
      </c>
      <c r="AK410" s="3217"/>
      <c r="AL410" s="3217"/>
      <c r="AM410" s="3217"/>
      <c r="AN410" s="3217"/>
      <c r="AO410" s="3217"/>
      <c r="AP410" s="3217"/>
      <c r="AQ410" s="3217" t="s">
        <v>2026</v>
      </c>
      <c r="AR410" s="3217"/>
      <c r="AS410" s="3217"/>
      <c r="AT410" s="3217"/>
      <c r="AU410" s="3217"/>
      <c r="AV410" s="3217"/>
      <c r="AW410" s="3217"/>
      <c r="AX410" s="3217" t="s">
        <v>2026</v>
      </c>
      <c r="AY410" s="3217"/>
      <c r="AZ410" s="3217"/>
      <c r="BA410" s="3217"/>
      <c r="BB410" s="3217"/>
      <c r="BC410" s="3217"/>
      <c r="BD410" s="3217"/>
      <c r="BE410" s="3217" t="s">
        <v>2026</v>
      </c>
      <c r="BF410" s="3217"/>
      <c r="BG410" s="3217"/>
      <c r="BH410" s="3217"/>
      <c r="BI410" s="3217"/>
      <c r="BJ410" s="3217"/>
      <c r="BK410" s="3217"/>
      <c r="BL410" s="3217" t="s">
        <v>2026</v>
      </c>
      <c r="BM410" s="3217"/>
      <c r="BN410" s="3217"/>
      <c r="BO410" s="3217"/>
      <c r="BP410" s="3217"/>
      <c r="BQ410" s="3217"/>
      <c r="BR410" s="3217"/>
      <c r="BS410" s="3217" t="s">
        <v>2026</v>
      </c>
      <c r="BT410" s="3217"/>
      <c r="BU410" s="3217"/>
      <c r="BV410" s="3217"/>
      <c r="BW410" s="3217"/>
      <c r="BX410" s="3217"/>
      <c r="BY410" s="3217"/>
      <c r="BZ410" s="3217" t="s">
        <v>2026</v>
      </c>
      <c r="CA410" s="3217"/>
      <c r="CB410" s="3217"/>
      <c r="CC410" s="3217"/>
      <c r="CD410" s="3217"/>
      <c r="CE410" s="3217"/>
      <c r="CF410" s="3217"/>
      <c r="CG410" s="3217" t="s">
        <v>2026</v>
      </c>
      <c r="CH410" s="3217"/>
      <c r="CI410" s="3217"/>
      <c r="CJ410" s="3217"/>
      <c r="CK410" s="3217"/>
      <c r="CL410" s="3217"/>
      <c r="CM410" s="3217"/>
      <c r="CN410" s="3217" t="s">
        <v>2026</v>
      </c>
      <c r="CO410" s="3217"/>
      <c r="CP410" s="3217"/>
      <c r="CQ410" s="3217"/>
      <c r="CR410" s="3217"/>
      <c r="CS410" s="3217"/>
      <c r="CT410" s="3217"/>
      <c r="CU410" s="3217" t="s">
        <v>2026</v>
      </c>
      <c r="CV410" s="3217"/>
      <c r="CW410" s="3217"/>
      <c r="CX410" s="3217"/>
      <c r="CY410" s="3217"/>
      <c r="CZ410" s="3217"/>
      <c r="DA410" s="3218"/>
    </row>
    <row r="411" spans="2:105" ht="18" hidden="1" customHeight="1">
      <c r="B411" s="1701" t="s">
        <v>1988</v>
      </c>
      <c r="O411" s="2969">
        <v>25.644020999999999</v>
      </c>
      <c r="P411" s="2870">
        <v>0</v>
      </c>
      <c r="Q411" s="2870">
        <v>90523395</v>
      </c>
      <c r="R411" s="2870">
        <v>0</v>
      </c>
      <c r="S411" s="2870">
        <v>0</v>
      </c>
      <c r="T411" s="2870">
        <v>3.5300000339260369</v>
      </c>
      <c r="U411" s="2870">
        <v>90523395</v>
      </c>
      <c r="V411" s="2969">
        <v>36.814746999999997</v>
      </c>
      <c r="W411" s="2870">
        <v>0</v>
      </c>
      <c r="X411" s="2870">
        <v>129956059</v>
      </c>
      <c r="Y411" s="2870">
        <v>0</v>
      </c>
      <c r="Z411" s="2870">
        <v>0</v>
      </c>
      <c r="AA411" s="2870">
        <v>3.5300000567707284</v>
      </c>
      <c r="AB411" s="2870">
        <v>129956059</v>
      </c>
      <c r="AC411" s="2969">
        <v>20.737265000000001</v>
      </c>
      <c r="AD411" s="2870">
        <v>0</v>
      </c>
      <c r="AE411" s="2870">
        <v>73202545</v>
      </c>
      <c r="AF411" s="2870">
        <v>0</v>
      </c>
      <c r="AG411" s="2870">
        <v>0</v>
      </c>
      <c r="AH411" s="2870">
        <v>3.5299999782999349</v>
      </c>
      <c r="AI411" s="2870">
        <v>73202545</v>
      </c>
      <c r="AJ411" s="2969">
        <v>25.307234000000001</v>
      </c>
      <c r="AK411" s="2870">
        <v>0</v>
      </c>
      <c r="AL411" s="2870">
        <v>89334539</v>
      </c>
      <c r="AM411" s="2870">
        <v>0</v>
      </c>
      <c r="AN411" s="2870">
        <v>0</v>
      </c>
      <c r="AO411" s="2870">
        <v>3.5300001177528921</v>
      </c>
      <c r="AP411" s="2870">
        <v>89334539</v>
      </c>
      <c r="AQ411" s="2969">
        <v>29.658657999999999</v>
      </c>
      <c r="AR411" s="2870">
        <v>0</v>
      </c>
      <c r="AS411" s="2870">
        <v>104695061</v>
      </c>
      <c r="AT411" s="2870">
        <v>0</v>
      </c>
      <c r="AU411" s="2870">
        <v>0</v>
      </c>
      <c r="AV411" s="2870">
        <v>3.529999941332477</v>
      </c>
      <c r="AW411" s="2870">
        <v>104695061</v>
      </c>
      <c r="AX411" s="2969">
        <v>14.445957999999999</v>
      </c>
      <c r="AY411" s="2870">
        <v>0</v>
      </c>
      <c r="AZ411" s="2870">
        <v>50994230</v>
      </c>
      <c r="BA411" s="2870">
        <v>0</v>
      </c>
      <c r="BB411" s="2870">
        <v>0</v>
      </c>
      <c r="BC411" s="2870">
        <v>3.5299998795510827</v>
      </c>
      <c r="BD411" s="2870">
        <v>50994230</v>
      </c>
      <c r="BE411" s="2969">
        <v>14.605338</v>
      </c>
      <c r="BF411" s="2870">
        <v>0</v>
      </c>
      <c r="BG411" s="2870">
        <v>51556841</v>
      </c>
      <c r="BH411" s="2870">
        <v>76914</v>
      </c>
      <c r="BI411" s="2870">
        <v>0</v>
      </c>
      <c r="BJ411" s="2870">
        <v>3.5352660102765165</v>
      </c>
      <c r="BK411" s="2870">
        <v>51633755</v>
      </c>
      <c r="BL411" s="2969">
        <v>21.558845000000002</v>
      </c>
      <c r="BM411" s="2870">
        <v>0</v>
      </c>
      <c r="BN411" s="2870">
        <v>76102723</v>
      </c>
      <c r="BO411" s="2870">
        <v>0</v>
      </c>
      <c r="BP411" s="2870">
        <v>0</v>
      </c>
      <c r="BQ411" s="2870">
        <v>3.5300000069577013</v>
      </c>
      <c r="BR411" s="2870">
        <v>76102723</v>
      </c>
      <c r="BS411" s="2969">
        <v>23.231845</v>
      </c>
      <c r="BT411" s="2870">
        <v>0</v>
      </c>
      <c r="BU411" s="2870">
        <v>82008413</v>
      </c>
      <c r="BV411" s="2870">
        <v>0</v>
      </c>
      <c r="BW411" s="2870">
        <v>0</v>
      </c>
      <c r="BX411" s="2870">
        <v>3.5300000064566546</v>
      </c>
      <c r="BY411" s="2870">
        <v>82008413</v>
      </c>
      <c r="BZ411" s="2969">
        <v>28.094595000000002</v>
      </c>
      <c r="CA411" s="2870">
        <v>0</v>
      </c>
      <c r="CB411" s="2870">
        <v>99173920</v>
      </c>
      <c r="CC411" s="2870">
        <v>0</v>
      </c>
      <c r="CD411" s="2870">
        <v>0</v>
      </c>
      <c r="CE411" s="2870">
        <v>3.5299999875420878</v>
      </c>
      <c r="CF411" s="2870">
        <v>99173920</v>
      </c>
      <c r="CG411" s="2969">
        <v>14.946652</v>
      </c>
      <c r="CH411" s="2870">
        <v>0</v>
      </c>
      <c r="CI411" s="2870">
        <v>52761683</v>
      </c>
      <c r="CJ411" s="2870">
        <v>0</v>
      </c>
      <c r="CK411" s="2870">
        <v>0</v>
      </c>
      <c r="CL411" s="2870">
        <v>3.5300000963426457</v>
      </c>
      <c r="CM411" s="2870">
        <v>52761683</v>
      </c>
      <c r="CN411" s="2969">
        <v>21.286068</v>
      </c>
      <c r="CO411" s="2870">
        <v>0</v>
      </c>
      <c r="CP411" s="2870">
        <v>75062904</v>
      </c>
      <c r="CQ411" s="2870">
        <v>0</v>
      </c>
      <c r="CR411" s="2870">
        <v>0</v>
      </c>
      <c r="CS411" s="2870">
        <v>3.526386554811344</v>
      </c>
      <c r="CT411" s="2870">
        <v>75062904</v>
      </c>
      <c r="CU411" s="2970">
        <v>276.33122599999996</v>
      </c>
      <c r="CV411" s="2870">
        <v>0</v>
      </c>
      <c r="CW411" s="2870">
        <v>975372313</v>
      </c>
      <c r="CX411" s="2870">
        <v>76914</v>
      </c>
      <c r="CY411" s="2870">
        <v>0</v>
      </c>
      <c r="CZ411" s="2874">
        <v>3.5299999971773013</v>
      </c>
      <c r="DA411" s="2875">
        <v>975449227</v>
      </c>
    </row>
    <row r="412" spans="2:105" ht="18" hidden="1" customHeight="1">
      <c r="B412" s="1701" t="s">
        <v>1989</v>
      </c>
      <c r="O412" s="2969">
        <v>11.343075000000001</v>
      </c>
      <c r="P412" s="2870">
        <v>0</v>
      </c>
      <c r="Q412" s="2870">
        <v>40041055</v>
      </c>
      <c r="R412" s="2870">
        <v>0</v>
      </c>
      <c r="S412" s="2870">
        <v>0</v>
      </c>
      <c r="T412" s="2870">
        <v>3.5300000220398791</v>
      </c>
      <c r="U412" s="2870">
        <v>40041055</v>
      </c>
      <c r="V412" s="2969">
        <v>18.455697000000001</v>
      </c>
      <c r="W412" s="2870">
        <v>0</v>
      </c>
      <c r="X412" s="2870">
        <v>65148612</v>
      </c>
      <c r="Y412" s="2870">
        <v>0</v>
      </c>
      <c r="Z412" s="2870">
        <v>0</v>
      </c>
      <c r="AA412" s="2870">
        <v>3.5300000861522598</v>
      </c>
      <c r="AB412" s="2870">
        <v>65148612</v>
      </c>
      <c r="AC412" s="2969">
        <v>37.555233000000001</v>
      </c>
      <c r="AD412" s="2870">
        <v>0</v>
      </c>
      <c r="AE412" s="2870">
        <v>132569971</v>
      </c>
      <c r="AF412" s="2870">
        <v>0</v>
      </c>
      <c r="AG412" s="2870">
        <v>0</v>
      </c>
      <c r="AH412" s="2870">
        <v>3.5299999603251031</v>
      </c>
      <c r="AI412" s="2870">
        <v>132569971</v>
      </c>
      <c r="AJ412" s="2969">
        <v>31.408571999999999</v>
      </c>
      <c r="AK412" s="2870">
        <v>0</v>
      </c>
      <c r="AL412" s="2870">
        <v>110872261</v>
      </c>
      <c r="AM412" s="2870">
        <v>0</v>
      </c>
      <c r="AN412" s="2870">
        <v>0</v>
      </c>
      <c r="AO412" s="2870">
        <v>3.5300000585827336</v>
      </c>
      <c r="AP412" s="2870">
        <v>110872261</v>
      </c>
      <c r="AQ412" s="2969">
        <v>41.047162999999998</v>
      </c>
      <c r="AR412" s="2870">
        <v>0</v>
      </c>
      <c r="AS412" s="2870">
        <v>144896484</v>
      </c>
      <c r="AT412" s="2870">
        <v>0</v>
      </c>
      <c r="AU412" s="2870">
        <v>0</v>
      </c>
      <c r="AV412" s="2870">
        <v>3.5299999661365149</v>
      </c>
      <c r="AW412" s="2870">
        <v>144896484</v>
      </c>
      <c r="AX412" s="2969">
        <v>35.771541999999997</v>
      </c>
      <c r="AY412" s="2870">
        <v>0</v>
      </c>
      <c r="AZ412" s="2870">
        <v>126273545</v>
      </c>
      <c r="BA412" s="2870">
        <v>0</v>
      </c>
      <c r="BB412" s="2870">
        <v>0</v>
      </c>
      <c r="BC412" s="2870">
        <v>3.5300000486420182</v>
      </c>
      <c r="BD412" s="2870">
        <v>126273545</v>
      </c>
      <c r="BE412" s="2969">
        <v>28.982379999999999</v>
      </c>
      <c r="BF412" s="2870">
        <v>0</v>
      </c>
      <c r="BG412" s="2870">
        <v>102307801</v>
      </c>
      <c r="BH412" s="2870">
        <v>171436</v>
      </c>
      <c r="BI412" s="2870">
        <v>0</v>
      </c>
      <c r="BJ412" s="2870">
        <v>3.5359151663873014</v>
      </c>
      <c r="BK412" s="2870">
        <v>102479237</v>
      </c>
      <c r="BL412" s="2969">
        <v>15.303463000000001</v>
      </c>
      <c r="BM412" s="2870">
        <v>0</v>
      </c>
      <c r="BN412" s="2870">
        <v>54021223</v>
      </c>
      <c r="BO412" s="2870">
        <v>0</v>
      </c>
      <c r="BP412" s="2870">
        <v>0</v>
      </c>
      <c r="BQ412" s="2870">
        <v>3.5299999091708849</v>
      </c>
      <c r="BR412" s="2870">
        <v>54021223</v>
      </c>
      <c r="BS412" s="2969">
        <v>21.098800000000001</v>
      </c>
      <c r="BT412" s="2870">
        <v>0</v>
      </c>
      <c r="BU412" s="2870">
        <v>74478764</v>
      </c>
      <c r="BV412" s="2870">
        <v>0</v>
      </c>
      <c r="BW412" s="2870">
        <v>0</v>
      </c>
      <c r="BX412" s="2870">
        <v>3.53</v>
      </c>
      <c r="BY412" s="2870">
        <v>74478764</v>
      </c>
      <c r="BZ412" s="2969">
        <v>21.532202999999999</v>
      </c>
      <c r="CA412" s="2870">
        <v>0</v>
      </c>
      <c r="CB412" s="2870">
        <v>76008674</v>
      </c>
      <c r="CC412" s="2870">
        <v>0</v>
      </c>
      <c r="CD412" s="2870">
        <v>0</v>
      </c>
      <c r="CE412" s="2870">
        <v>3.529999879715048</v>
      </c>
      <c r="CF412" s="2870">
        <v>76008674</v>
      </c>
      <c r="CG412" s="2969">
        <v>18.506271999999999</v>
      </c>
      <c r="CH412" s="2870">
        <v>0</v>
      </c>
      <c r="CI412" s="2870">
        <v>65327142</v>
      </c>
      <c r="CJ412" s="2870">
        <v>0</v>
      </c>
      <c r="CK412" s="2870">
        <v>0</v>
      </c>
      <c r="CL412" s="2870">
        <v>3.5300000994257514</v>
      </c>
      <c r="CM412" s="2870">
        <v>65327142</v>
      </c>
      <c r="CN412" s="2969">
        <v>13.861700000000001</v>
      </c>
      <c r="CO412" s="2870">
        <v>0</v>
      </c>
      <c r="CP412" s="2870">
        <v>48655092</v>
      </c>
      <c r="CQ412" s="2870">
        <v>0</v>
      </c>
      <c r="CR412" s="2870">
        <v>0</v>
      </c>
      <c r="CS412" s="2870">
        <v>3.5100378741424212</v>
      </c>
      <c r="CT412" s="2870">
        <v>48655092</v>
      </c>
      <c r="CU412" s="2970">
        <v>294.86610000000002</v>
      </c>
      <c r="CV412" s="2870">
        <v>0</v>
      </c>
      <c r="CW412" s="2870">
        <v>1040600624</v>
      </c>
      <c r="CX412" s="2870">
        <v>171436</v>
      </c>
      <c r="CY412" s="2870">
        <v>0</v>
      </c>
      <c r="CZ412" s="2874">
        <v>3.5296429803222549</v>
      </c>
      <c r="DA412" s="2875">
        <v>1040772060</v>
      </c>
    </row>
    <row r="413" spans="2:105" ht="18" hidden="1" customHeight="1">
      <c r="B413" s="1701" t="s">
        <v>1990</v>
      </c>
      <c r="O413" s="2969">
        <v>7.7830170000000001</v>
      </c>
      <c r="P413" s="2870">
        <v>0</v>
      </c>
      <c r="Q413" s="2870">
        <v>27474052</v>
      </c>
      <c r="R413" s="2870">
        <v>0</v>
      </c>
      <c r="S413" s="2870">
        <v>0</v>
      </c>
      <c r="T413" s="2870">
        <v>3.5300002556849099</v>
      </c>
      <c r="U413" s="2870">
        <v>27474052</v>
      </c>
      <c r="V413" s="2969">
        <v>13.566435</v>
      </c>
      <c r="W413" s="2870">
        <v>0</v>
      </c>
      <c r="X413" s="2870">
        <v>47889516</v>
      </c>
      <c r="Y413" s="2870">
        <v>0</v>
      </c>
      <c r="Z413" s="2870">
        <v>0</v>
      </c>
      <c r="AA413" s="2870">
        <v>3.5300000331700998</v>
      </c>
      <c r="AB413" s="2870">
        <v>47889516</v>
      </c>
      <c r="AC413" s="2969">
        <v>22.386803</v>
      </c>
      <c r="AD413" s="2870">
        <v>0</v>
      </c>
      <c r="AE413" s="2870">
        <v>79025413</v>
      </c>
      <c r="AF413" s="2870">
        <v>0</v>
      </c>
      <c r="AG413" s="2870">
        <v>0</v>
      </c>
      <c r="AH413" s="2870">
        <v>3.5299999289760131</v>
      </c>
      <c r="AI413" s="2870">
        <v>79025413</v>
      </c>
      <c r="AJ413" s="2969">
        <v>22.296361999999998</v>
      </c>
      <c r="AK413" s="2870">
        <v>0</v>
      </c>
      <c r="AL413" s="2870">
        <v>78706160</v>
      </c>
      <c r="AM413" s="2870">
        <v>0</v>
      </c>
      <c r="AN413" s="2870">
        <v>0</v>
      </c>
      <c r="AO413" s="2870">
        <v>3.5300000959797835</v>
      </c>
      <c r="AP413" s="2870">
        <v>78706160</v>
      </c>
      <c r="AQ413" s="2969">
        <v>32.066212999999998</v>
      </c>
      <c r="AR413" s="2870">
        <v>0</v>
      </c>
      <c r="AS413" s="2870">
        <v>113193730</v>
      </c>
      <c r="AT413" s="2870">
        <v>0</v>
      </c>
      <c r="AU413" s="2870">
        <v>0</v>
      </c>
      <c r="AV413" s="2870">
        <v>3.5299999410594576</v>
      </c>
      <c r="AW413" s="2870">
        <v>113193730</v>
      </c>
      <c r="AX413" s="2969">
        <v>30.31015</v>
      </c>
      <c r="AY413" s="2870">
        <v>0</v>
      </c>
      <c r="AZ413" s="2870">
        <v>106994830</v>
      </c>
      <c r="BA413" s="2870">
        <v>0</v>
      </c>
      <c r="BB413" s="2870">
        <v>0</v>
      </c>
      <c r="BC413" s="2870">
        <v>3.5300000164961243</v>
      </c>
      <c r="BD413" s="2870">
        <v>106994830</v>
      </c>
      <c r="BE413" s="2969">
        <v>23.016887000000001</v>
      </c>
      <c r="BF413" s="2870">
        <v>0</v>
      </c>
      <c r="BG413" s="2870">
        <v>81249613</v>
      </c>
      <c r="BH413" s="2870">
        <v>141183</v>
      </c>
      <c r="BI413" s="2870">
        <v>0</v>
      </c>
      <c r="BJ413" s="2870">
        <v>3.536133969810948</v>
      </c>
      <c r="BK413" s="2870">
        <v>81390796</v>
      </c>
      <c r="BL413" s="2969">
        <v>10.51492</v>
      </c>
      <c r="BM413" s="2870">
        <v>0</v>
      </c>
      <c r="BN413" s="2870">
        <v>37117668</v>
      </c>
      <c r="BO413" s="2870">
        <v>0</v>
      </c>
      <c r="BP413" s="2870">
        <v>0</v>
      </c>
      <c r="BQ413" s="2870">
        <v>3.5300000380411833</v>
      </c>
      <c r="BR413" s="2870">
        <v>37117668</v>
      </c>
      <c r="BS413" s="2969">
        <v>13.13903</v>
      </c>
      <c r="BT413" s="2870">
        <v>0</v>
      </c>
      <c r="BU413" s="2870">
        <v>46380776</v>
      </c>
      <c r="BV413" s="2870">
        <v>0</v>
      </c>
      <c r="BW413" s="2870">
        <v>0</v>
      </c>
      <c r="BX413" s="2870">
        <v>3.5300000076109117</v>
      </c>
      <c r="BY413" s="2870">
        <v>46380776</v>
      </c>
      <c r="BZ413" s="2969">
        <v>12.62189</v>
      </c>
      <c r="CA413" s="2870">
        <v>0</v>
      </c>
      <c r="CB413" s="2870">
        <v>44555272</v>
      </c>
      <c r="CC413" s="2870">
        <v>0</v>
      </c>
      <c r="CD413" s="2870">
        <v>0</v>
      </c>
      <c r="CE413" s="2870">
        <v>3.5300000237682312</v>
      </c>
      <c r="CF413" s="2870">
        <v>44555272</v>
      </c>
      <c r="CG413" s="2969">
        <v>11.096897</v>
      </c>
      <c r="CH413" s="2870">
        <v>0</v>
      </c>
      <c r="CI413" s="2870">
        <v>39172048</v>
      </c>
      <c r="CJ413" s="2870">
        <v>0</v>
      </c>
      <c r="CK413" s="2870">
        <v>0</v>
      </c>
      <c r="CL413" s="2870">
        <v>3.5300001432832979</v>
      </c>
      <c r="CM413" s="2870">
        <v>39172048</v>
      </c>
      <c r="CN413" s="2969">
        <v>9.7417800000000003</v>
      </c>
      <c r="CO413" s="2870">
        <v>0</v>
      </c>
      <c r="CP413" s="2870">
        <v>219239587</v>
      </c>
      <c r="CQ413" s="2870">
        <v>0</v>
      </c>
      <c r="CR413" s="2870">
        <v>0</v>
      </c>
      <c r="CS413" s="2870">
        <v>22.505085004999085</v>
      </c>
      <c r="CT413" s="2870">
        <v>219239587</v>
      </c>
      <c r="CU413" s="2970">
        <v>208.54038399999999</v>
      </c>
      <c r="CV413" s="2870">
        <v>0</v>
      </c>
      <c r="CW413" s="2870">
        <v>920998665</v>
      </c>
      <c r="CX413" s="2870">
        <v>141183</v>
      </c>
      <c r="CY413" s="2870">
        <v>0</v>
      </c>
      <c r="CZ413" s="2874">
        <v>4.4170813841025627</v>
      </c>
      <c r="DA413" s="2875">
        <v>921139848</v>
      </c>
    </row>
    <row r="414" spans="2:105" ht="18" hidden="1" customHeight="1">
      <c r="B414" s="1701" t="s">
        <v>2027</v>
      </c>
      <c r="O414" s="2969">
        <v>12.23061</v>
      </c>
      <c r="P414" s="2870">
        <v>0</v>
      </c>
      <c r="Q414" s="2870">
        <v>43174053</v>
      </c>
      <c r="R414" s="2870">
        <v>0</v>
      </c>
      <c r="S414" s="2870">
        <v>0</v>
      </c>
      <c r="T414" s="2870">
        <v>3.5299999754713789</v>
      </c>
      <c r="U414" s="2870">
        <v>43174053</v>
      </c>
      <c r="V414" s="2969">
        <v>19.030252000000001</v>
      </c>
      <c r="W414" s="2870">
        <v>0</v>
      </c>
      <c r="X414" s="2870">
        <v>67176791</v>
      </c>
      <c r="Y414" s="2870">
        <v>0</v>
      </c>
      <c r="Z414" s="2870">
        <v>0</v>
      </c>
      <c r="AA414" s="2870">
        <v>3.5300000756689927</v>
      </c>
      <c r="AB414" s="2870">
        <v>67176791</v>
      </c>
      <c r="AC414" s="2969">
        <v>11.609835</v>
      </c>
      <c r="AD414" s="2870">
        <v>0</v>
      </c>
      <c r="AE414" s="2870">
        <v>40982718</v>
      </c>
      <c r="AF414" s="2870">
        <v>0</v>
      </c>
      <c r="AG414" s="2870">
        <v>0</v>
      </c>
      <c r="AH414" s="2870">
        <v>3.5300000387602406</v>
      </c>
      <c r="AI414" s="2870">
        <v>40982718</v>
      </c>
      <c r="AJ414" s="2969">
        <v>12.559562999999999</v>
      </c>
      <c r="AK414" s="2870">
        <v>0</v>
      </c>
      <c r="AL414" s="2870">
        <v>44335255</v>
      </c>
      <c r="AM414" s="2870">
        <v>0</v>
      </c>
      <c r="AN414" s="2870">
        <v>0</v>
      </c>
      <c r="AO414" s="2870">
        <v>3.5299998097067555</v>
      </c>
      <c r="AP414" s="2870">
        <v>44335255</v>
      </c>
      <c r="AQ414" s="2969">
        <v>14.488707</v>
      </c>
      <c r="AR414" s="2870">
        <v>0</v>
      </c>
      <c r="AS414" s="2870">
        <v>51145137</v>
      </c>
      <c r="AT414" s="2870">
        <v>0</v>
      </c>
      <c r="AU414" s="2870">
        <v>0</v>
      </c>
      <c r="AV414" s="2870">
        <v>3.5300000890348602</v>
      </c>
      <c r="AW414" s="2870">
        <v>51145137</v>
      </c>
      <c r="AX414" s="2969">
        <v>7.2073749999999999</v>
      </c>
      <c r="AY414" s="2870">
        <v>0</v>
      </c>
      <c r="AZ414" s="2870">
        <v>25442034</v>
      </c>
      <c r="BA414" s="2870">
        <v>0</v>
      </c>
      <c r="BB414" s="2870">
        <v>0</v>
      </c>
      <c r="BC414" s="2870">
        <v>3.5300000346866924</v>
      </c>
      <c r="BD414" s="2870">
        <v>25442034</v>
      </c>
      <c r="BE414" s="2969">
        <v>4.6701379999999997</v>
      </c>
      <c r="BF414" s="2870">
        <v>0</v>
      </c>
      <c r="BG414" s="2870">
        <v>16485585</v>
      </c>
      <c r="BH414" s="2870">
        <v>31446</v>
      </c>
      <c r="BI414" s="2870">
        <v>0</v>
      </c>
      <c r="BJ414" s="2870">
        <v>3.5367329616383927</v>
      </c>
      <c r="BK414" s="2870">
        <v>16517031</v>
      </c>
      <c r="BL414" s="2969">
        <v>5.4646629999999998</v>
      </c>
      <c r="BM414" s="2870">
        <v>0</v>
      </c>
      <c r="BN414" s="2870">
        <v>19290259</v>
      </c>
      <c r="BO414" s="2870">
        <v>0</v>
      </c>
      <c r="BP414" s="2870">
        <v>0</v>
      </c>
      <c r="BQ414" s="2870">
        <v>3.5299997456384777</v>
      </c>
      <c r="BR414" s="2870">
        <v>19290259</v>
      </c>
      <c r="BS414" s="2969">
        <v>6.8197229999999998</v>
      </c>
      <c r="BT414" s="2870">
        <v>0</v>
      </c>
      <c r="BU414" s="2870">
        <v>24073620</v>
      </c>
      <c r="BV414" s="2870">
        <v>0</v>
      </c>
      <c r="BW414" s="2870">
        <v>0</v>
      </c>
      <c r="BX414" s="2870">
        <v>3.5299996788725876</v>
      </c>
      <c r="BY414" s="2870">
        <v>24073620</v>
      </c>
      <c r="BZ414" s="2969">
        <v>8.8457369999999997</v>
      </c>
      <c r="CA414" s="2870">
        <v>0</v>
      </c>
      <c r="CB414" s="2870">
        <v>31225453</v>
      </c>
      <c r="CC414" s="2870">
        <v>0</v>
      </c>
      <c r="CD414" s="2870">
        <v>0</v>
      </c>
      <c r="CE414" s="2870">
        <v>3.5300001571378394</v>
      </c>
      <c r="CF414" s="2870">
        <v>31225453</v>
      </c>
      <c r="CG414" s="2969">
        <v>4.7410230000000002</v>
      </c>
      <c r="CH414" s="2870">
        <v>0</v>
      </c>
      <c r="CI414" s="2870">
        <v>16735809</v>
      </c>
      <c r="CJ414" s="2870">
        <v>0</v>
      </c>
      <c r="CK414" s="2870">
        <v>0</v>
      </c>
      <c r="CL414" s="2870">
        <v>3.5299995380743776</v>
      </c>
      <c r="CM414" s="2870">
        <v>16735809</v>
      </c>
      <c r="CN414" s="2969">
        <v>7.5258500000000002</v>
      </c>
      <c r="CO414" s="2870">
        <v>0</v>
      </c>
      <c r="CP414" s="2870">
        <v>26534805</v>
      </c>
      <c r="CQ414" s="2870">
        <v>0</v>
      </c>
      <c r="CR414" s="2870">
        <v>0</v>
      </c>
      <c r="CS414" s="2870">
        <v>3.5258216679843475</v>
      </c>
      <c r="CT414" s="2870">
        <v>26534805</v>
      </c>
      <c r="CU414" s="2970">
        <v>115.193476</v>
      </c>
      <c r="CV414" s="2870">
        <v>0</v>
      </c>
      <c r="CW414" s="2870">
        <v>406601519</v>
      </c>
      <c r="CX414" s="2870">
        <v>31446</v>
      </c>
      <c r="CY414" s="2870">
        <v>0</v>
      </c>
      <c r="CZ414" s="2874">
        <v>3.529999954164071</v>
      </c>
      <c r="DA414" s="2875">
        <v>406632965</v>
      </c>
    </row>
    <row r="415" spans="2:105" ht="18" hidden="1" customHeight="1">
      <c r="B415" s="1701" t="s">
        <v>1993</v>
      </c>
      <c r="O415" s="2969">
        <v>5.5422089999999997</v>
      </c>
      <c r="P415" s="2870">
        <v>0</v>
      </c>
      <c r="Q415" s="2870">
        <v>19564000</v>
      </c>
      <c r="R415" s="2870">
        <v>0</v>
      </c>
      <c r="S415" s="2870">
        <v>0</v>
      </c>
      <c r="T415" s="2870">
        <v>3.5300004023666376</v>
      </c>
      <c r="U415" s="2870">
        <v>19564000</v>
      </c>
      <c r="V415" s="2969">
        <v>12.056792</v>
      </c>
      <c r="W415" s="2870">
        <v>0</v>
      </c>
      <c r="X415" s="2870">
        <v>42560478</v>
      </c>
      <c r="Y415" s="2870">
        <v>0</v>
      </c>
      <c r="Z415" s="2870">
        <v>0</v>
      </c>
      <c r="AA415" s="2870">
        <v>3.5300001857873968</v>
      </c>
      <c r="AB415" s="2870">
        <v>42560478</v>
      </c>
      <c r="AC415" s="2969">
        <v>8.1896550000000001</v>
      </c>
      <c r="AD415" s="2870">
        <v>0</v>
      </c>
      <c r="AE415" s="2870">
        <v>28909482</v>
      </c>
      <c r="AF415" s="2870">
        <v>0</v>
      </c>
      <c r="AG415" s="2870">
        <v>0</v>
      </c>
      <c r="AH415" s="2870">
        <v>3.52999998168421</v>
      </c>
      <c r="AI415" s="2870">
        <v>28909482</v>
      </c>
      <c r="AJ415" s="2969">
        <v>9.2513670000000001</v>
      </c>
      <c r="AK415" s="2870">
        <v>0</v>
      </c>
      <c r="AL415" s="2870">
        <v>32657327</v>
      </c>
      <c r="AM415" s="2870">
        <v>0</v>
      </c>
      <c r="AN415" s="2870">
        <v>0</v>
      </c>
      <c r="AO415" s="2870">
        <v>3.5300001610572793</v>
      </c>
      <c r="AP415" s="2870">
        <v>32657327</v>
      </c>
      <c r="AQ415" s="2969">
        <v>11.938264999999999</v>
      </c>
      <c r="AR415" s="2870">
        <v>0</v>
      </c>
      <c r="AS415" s="2870">
        <v>42142075</v>
      </c>
      <c r="AT415" s="2870">
        <v>0</v>
      </c>
      <c r="AU415" s="2870">
        <v>0</v>
      </c>
      <c r="AV415" s="2870">
        <v>3.5299999623060807</v>
      </c>
      <c r="AW415" s="2870">
        <v>42142075</v>
      </c>
      <c r="AX415" s="2969">
        <v>5.7550030000000003</v>
      </c>
      <c r="AY415" s="2870">
        <v>0</v>
      </c>
      <c r="AZ415" s="2870">
        <v>20315159</v>
      </c>
      <c r="BA415" s="2870">
        <v>0</v>
      </c>
      <c r="BB415" s="2870">
        <v>0</v>
      </c>
      <c r="BC415" s="2870">
        <v>3.5299997237186496</v>
      </c>
      <c r="BD415" s="2870">
        <v>20315159</v>
      </c>
      <c r="BE415" s="2969">
        <v>4.1533579999999999</v>
      </c>
      <c r="BF415" s="2870">
        <v>0</v>
      </c>
      <c r="BG415" s="2870">
        <v>14661352</v>
      </c>
      <c r="BH415" s="2870">
        <v>26232</v>
      </c>
      <c r="BI415" s="2870">
        <v>0</v>
      </c>
      <c r="BJ415" s="2870">
        <v>3.536315434402717</v>
      </c>
      <c r="BK415" s="2870">
        <v>14687584</v>
      </c>
      <c r="BL415" s="2969">
        <v>4.6929550000000004</v>
      </c>
      <c r="BM415" s="2870">
        <v>0</v>
      </c>
      <c r="BN415" s="2870">
        <v>16566131</v>
      </c>
      <c r="BO415" s="2870">
        <v>0</v>
      </c>
      <c r="BP415" s="2870">
        <v>0</v>
      </c>
      <c r="BQ415" s="2870">
        <v>3.5299999680371963</v>
      </c>
      <c r="BR415" s="2870">
        <v>16566131</v>
      </c>
      <c r="BS415" s="2969">
        <v>5.1203050000000001</v>
      </c>
      <c r="BT415" s="2870">
        <v>0</v>
      </c>
      <c r="BU415" s="2870">
        <v>18074679</v>
      </c>
      <c r="BV415" s="2870">
        <v>0</v>
      </c>
      <c r="BW415" s="2870">
        <v>0</v>
      </c>
      <c r="BX415" s="2870">
        <v>3.5300004589570348</v>
      </c>
      <c r="BY415" s="2870">
        <v>18074679</v>
      </c>
      <c r="BZ415" s="2969">
        <v>5.9398479999999996</v>
      </c>
      <c r="CA415" s="2870">
        <v>0</v>
      </c>
      <c r="CB415" s="2870">
        <v>20967662</v>
      </c>
      <c r="CC415" s="2870">
        <v>0</v>
      </c>
      <c r="CD415" s="2870">
        <v>0</v>
      </c>
      <c r="CE415" s="2870">
        <v>3.5299997575695539</v>
      </c>
      <c r="CF415" s="2870">
        <v>20967662</v>
      </c>
      <c r="CG415" s="2969">
        <v>3.8869549999999999</v>
      </c>
      <c r="CH415" s="2870">
        <v>0</v>
      </c>
      <c r="CI415" s="2870">
        <v>13720951</v>
      </c>
      <c r="CJ415" s="2870">
        <v>0</v>
      </c>
      <c r="CK415" s="2870">
        <v>0</v>
      </c>
      <c r="CL415" s="2870">
        <v>3.5299999614093807</v>
      </c>
      <c r="CM415" s="2870">
        <v>13720951</v>
      </c>
      <c r="CN415" s="2969">
        <v>6.51234</v>
      </c>
      <c r="CO415" s="2870">
        <v>0</v>
      </c>
      <c r="CP415" s="2870">
        <v>22962326</v>
      </c>
      <c r="CQ415" s="2870">
        <v>0</v>
      </c>
      <c r="CR415" s="2870">
        <v>0</v>
      </c>
      <c r="CS415" s="2870">
        <v>3.5259716169610309</v>
      </c>
      <c r="CT415" s="2870">
        <v>22962326</v>
      </c>
      <c r="CU415" s="2970">
        <v>83.039051999999998</v>
      </c>
      <c r="CV415" s="2870">
        <v>0</v>
      </c>
      <c r="CW415" s="2870">
        <v>293101622</v>
      </c>
      <c r="CX415" s="2870">
        <v>26232</v>
      </c>
      <c r="CY415" s="2870">
        <v>0</v>
      </c>
      <c r="CZ415" s="2874">
        <v>3.5300000052987119</v>
      </c>
      <c r="DA415" s="2875">
        <v>293127854</v>
      </c>
    </row>
    <row r="416" spans="2:105" ht="18" hidden="1" customHeight="1" thickBot="1">
      <c r="B416" s="1701" t="s">
        <v>1994</v>
      </c>
      <c r="O416" s="2972">
        <v>5.4696530000000001</v>
      </c>
      <c r="P416" s="2918">
        <v>0</v>
      </c>
      <c r="Q416" s="2918">
        <v>19307876</v>
      </c>
      <c r="R416" s="2918">
        <v>0</v>
      </c>
      <c r="S416" s="2918">
        <v>0</v>
      </c>
      <c r="T416" s="2918">
        <v>3.5300001663725284</v>
      </c>
      <c r="U416" s="2918">
        <v>19307876</v>
      </c>
      <c r="V416" s="2972">
        <v>18.09478</v>
      </c>
      <c r="W416" s="2918">
        <v>0</v>
      </c>
      <c r="X416" s="2918">
        <v>63874573</v>
      </c>
      <c r="Y416" s="2918">
        <v>0</v>
      </c>
      <c r="Z416" s="2918">
        <v>0</v>
      </c>
      <c r="AA416" s="2918">
        <v>3.5299999778941773</v>
      </c>
      <c r="AB416" s="2918">
        <v>63874573</v>
      </c>
      <c r="AC416" s="2972">
        <v>11.265936</v>
      </c>
      <c r="AD416" s="2918">
        <v>0</v>
      </c>
      <c r="AE416" s="2918">
        <v>39768751</v>
      </c>
      <c r="AF416" s="2918">
        <v>0</v>
      </c>
      <c r="AG416" s="2918">
        <v>0</v>
      </c>
      <c r="AH416" s="2918">
        <v>3.5299997266094891</v>
      </c>
      <c r="AI416" s="2918">
        <v>39768751</v>
      </c>
      <c r="AJ416" s="2972">
        <v>11.763304</v>
      </c>
      <c r="AK416" s="2918">
        <v>0</v>
      </c>
      <c r="AL416" s="2918">
        <v>41524466</v>
      </c>
      <c r="AM416" s="2918">
        <v>0</v>
      </c>
      <c r="AN416" s="2918">
        <v>0</v>
      </c>
      <c r="AO416" s="2918">
        <v>3.5300002448291736</v>
      </c>
      <c r="AP416" s="2918">
        <v>41524466</v>
      </c>
      <c r="AQ416" s="2972">
        <v>12.855632</v>
      </c>
      <c r="AR416" s="2918">
        <v>0</v>
      </c>
      <c r="AS416" s="2918">
        <v>45380381</v>
      </c>
      <c r="AT416" s="2918">
        <v>0</v>
      </c>
      <c r="AU416" s="2918">
        <v>0</v>
      </c>
      <c r="AV416" s="2918">
        <v>3.5300000031114767</v>
      </c>
      <c r="AW416" s="2918">
        <v>45380381</v>
      </c>
      <c r="AX416" s="2972">
        <v>4.7048350000000001</v>
      </c>
      <c r="AY416" s="2918">
        <v>0</v>
      </c>
      <c r="AZ416" s="2918">
        <v>16608068</v>
      </c>
      <c r="BA416" s="2918">
        <v>0</v>
      </c>
      <c r="BB416" s="2918">
        <v>0</v>
      </c>
      <c r="BC416" s="2918">
        <v>3.5300000956462871</v>
      </c>
      <c r="BD416" s="2918">
        <v>16608068</v>
      </c>
      <c r="BE416" s="2972">
        <v>4.0003500000000001</v>
      </c>
      <c r="BF416" s="2918">
        <v>0</v>
      </c>
      <c r="BG416" s="2918">
        <v>14121236</v>
      </c>
      <c r="BH416" s="2918">
        <v>23047</v>
      </c>
      <c r="BI416" s="2918">
        <v>0</v>
      </c>
      <c r="BJ416" s="2918">
        <v>3.5357613708800479</v>
      </c>
      <c r="BK416" s="2918">
        <v>14144283</v>
      </c>
      <c r="BL416" s="2972">
        <v>4.8844880000000002</v>
      </c>
      <c r="BM416" s="2918">
        <v>0</v>
      </c>
      <c r="BN416" s="2918">
        <v>17242241</v>
      </c>
      <c r="BO416" s="2918">
        <v>0</v>
      </c>
      <c r="BP416" s="2918">
        <v>0</v>
      </c>
      <c r="BQ416" s="2918">
        <v>3.5299996642432125</v>
      </c>
      <c r="BR416" s="2918">
        <v>17242241</v>
      </c>
      <c r="BS416" s="2972">
        <v>5.1800899999999999</v>
      </c>
      <c r="BT416" s="2918">
        <v>0</v>
      </c>
      <c r="BU416" s="2918">
        <v>18285718</v>
      </c>
      <c r="BV416" s="2918">
        <v>0</v>
      </c>
      <c r="BW416" s="2918">
        <v>0</v>
      </c>
      <c r="BX416" s="2918">
        <v>3.5300000579140516</v>
      </c>
      <c r="BY416" s="2918">
        <v>18285718</v>
      </c>
      <c r="BZ416" s="2972">
        <v>5.1601850000000002</v>
      </c>
      <c r="CA416" s="2918">
        <v>0</v>
      </c>
      <c r="CB416" s="2918">
        <v>18215453</v>
      </c>
      <c r="CC416" s="2918">
        <v>0</v>
      </c>
      <c r="CD416" s="2918">
        <v>0</v>
      </c>
      <c r="CE416" s="2918">
        <v>3.5299999903104249</v>
      </c>
      <c r="CF416" s="2918">
        <v>18215453</v>
      </c>
      <c r="CG416" s="2972">
        <v>3.9567130000000001</v>
      </c>
      <c r="CH416" s="2918">
        <v>0</v>
      </c>
      <c r="CI416" s="2918">
        <v>13967195</v>
      </c>
      <c r="CJ416" s="2918">
        <v>0</v>
      </c>
      <c r="CK416" s="2918">
        <v>0</v>
      </c>
      <c r="CL416" s="2918">
        <v>3.5299995223307832</v>
      </c>
      <c r="CM416" s="2918">
        <v>13967195</v>
      </c>
      <c r="CN416" s="2972">
        <v>6.0475079999999997</v>
      </c>
      <c r="CO416" s="2918">
        <v>0</v>
      </c>
      <c r="CP416" s="2918">
        <v>21324654</v>
      </c>
      <c r="CQ416" s="2918">
        <v>0</v>
      </c>
      <c r="CR416" s="2918">
        <v>0</v>
      </c>
      <c r="CS416" s="2918">
        <v>3.5261886383614538</v>
      </c>
      <c r="CT416" s="2918">
        <v>21324654</v>
      </c>
      <c r="CU416" s="2973">
        <v>93.383473999999978</v>
      </c>
      <c r="CV416" s="2918">
        <v>0</v>
      </c>
      <c r="CW416" s="2918">
        <v>329620612</v>
      </c>
      <c r="CX416" s="2918">
        <v>23047</v>
      </c>
      <c r="CY416" s="2918">
        <v>0</v>
      </c>
      <c r="CZ416" s="2917">
        <v>3.5299999548099921</v>
      </c>
      <c r="DA416" s="2920">
        <v>329643659</v>
      </c>
    </row>
    <row r="417" spans="2:105" ht="18" hidden="1" customHeight="1" thickBot="1">
      <c r="B417" s="2974" t="s">
        <v>2028</v>
      </c>
      <c r="O417" s="2975">
        <v>179.105076</v>
      </c>
      <c r="P417" s="2976">
        <v>886323592</v>
      </c>
      <c r="Q417" s="2976">
        <v>791701454</v>
      </c>
      <c r="R417" s="2976">
        <v>289239356</v>
      </c>
      <c r="S417" s="2976">
        <v>0</v>
      </c>
      <c r="T417" s="2977"/>
      <c r="U417" s="2976">
        <v>1967264402</v>
      </c>
      <c r="V417" s="2975">
        <v>807.949478</v>
      </c>
      <c r="W417" s="2976">
        <v>1216416107</v>
      </c>
      <c r="X417" s="2976">
        <v>2031541995</v>
      </c>
      <c r="Y417" s="2976">
        <v>-203259182</v>
      </c>
      <c r="Z417" s="2976">
        <v>0</v>
      </c>
      <c r="AA417" s="2977"/>
      <c r="AB417" s="2976">
        <v>3044698920</v>
      </c>
      <c r="AC417" s="2975">
        <v>1199.0200149999998</v>
      </c>
      <c r="AD417" s="2976">
        <v>1424944404</v>
      </c>
      <c r="AE417" s="2976">
        <v>3056280359</v>
      </c>
      <c r="AF417" s="2976">
        <v>193398230</v>
      </c>
      <c r="AG417" s="2976">
        <v>0</v>
      </c>
      <c r="AH417" s="2977"/>
      <c r="AI417" s="2976">
        <v>4674622993</v>
      </c>
      <c r="AJ417" s="2975">
        <v>873.02198800000008</v>
      </c>
      <c r="AK417" s="2976">
        <v>1459766110</v>
      </c>
      <c r="AL417" s="2976">
        <v>1766625344</v>
      </c>
      <c r="AM417" s="2976">
        <v>203574336</v>
      </c>
      <c r="AN417" s="2976">
        <v>0</v>
      </c>
      <c r="AO417" s="2977"/>
      <c r="AP417" s="2976">
        <v>3429965790</v>
      </c>
      <c r="AQ417" s="2975">
        <v>901.5012220000001</v>
      </c>
      <c r="AR417" s="2976">
        <v>1534380016</v>
      </c>
      <c r="AS417" s="2976">
        <v>1788397659</v>
      </c>
      <c r="AT417" s="2976">
        <v>88305646</v>
      </c>
      <c r="AU417" s="2976">
        <v>0</v>
      </c>
      <c r="AV417" s="2977"/>
      <c r="AW417" s="2976">
        <v>3411083321</v>
      </c>
      <c r="AX417" s="2975">
        <v>765.23418199999992</v>
      </c>
      <c r="AY417" s="2976">
        <v>1373077346</v>
      </c>
      <c r="AZ417" s="2976">
        <v>1500357994</v>
      </c>
      <c r="BA417" s="2976">
        <v>811066064</v>
      </c>
      <c r="BB417" s="2976">
        <v>0</v>
      </c>
      <c r="BC417" s="2977"/>
      <c r="BD417" s="2976">
        <v>3684501404</v>
      </c>
      <c r="BE417" s="2975">
        <v>573.00512300000003</v>
      </c>
      <c r="BF417" s="2976">
        <v>1103565520</v>
      </c>
      <c r="BG417" s="2976">
        <v>1287619371</v>
      </c>
      <c r="BH417" s="2976">
        <v>309057926</v>
      </c>
      <c r="BI417" s="2976">
        <v>0</v>
      </c>
      <c r="BJ417" s="2977"/>
      <c r="BK417" s="2976">
        <v>2700242817</v>
      </c>
      <c r="BL417" s="2975">
        <v>510.38940299999996</v>
      </c>
      <c r="BM417" s="2976">
        <v>1031247838</v>
      </c>
      <c r="BN417" s="2976">
        <v>1295734918</v>
      </c>
      <c r="BO417" s="2976">
        <v>693370390</v>
      </c>
      <c r="BP417" s="2976">
        <v>0</v>
      </c>
      <c r="BQ417" s="2977"/>
      <c r="BR417" s="2976">
        <v>3020353146</v>
      </c>
      <c r="BS417" s="2975">
        <v>446.44989899999996</v>
      </c>
      <c r="BT417" s="2976">
        <v>1138935698</v>
      </c>
      <c r="BU417" s="2976">
        <v>892051517</v>
      </c>
      <c r="BV417" s="2976">
        <v>415844009</v>
      </c>
      <c r="BW417" s="2976">
        <v>693671354</v>
      </c>
      <c r="BX417" s="2977"/>
      <c r="BY417" s="2976">
        <v>3140502578</v>
      </c>
      <c r="BZ417" s="2975">
        <v>447.91384500000004</v>
      </c>
      <c r="CA417" s="2976">
        <v>1124255976</v>
      </c>
      <c r="CB417" s="2976">
        <v>908468110</v>
      </c>
      <c r="CC417" s="2976">
        <v>246297659</v>
      </c>
      <c r="CD417" s="2976">
        <v>173683266</v>
      </c>
      <c r="CE417" s="2977"/>
      <c r="CF417" s="2976">
        <v>2452705011</v>
      </c>
      <c r="CG417" s="2975">
        <v>367.48290199999997</v>
      </c>
      <c r="CH417" s="2976">
        <v>1008722697</v>
      </c>
      <c r="CI417" s="2976">
        <v>717146116</v>
      </c>
      <c r="CJ417" s="2976">
        <v>756242230</v>
      </c>
      <c r="CK417" s="2976">
        <v>0</v>
      </c>
      <c r="CL417" s="2977"/>
      <c r="CM417" s="2976">
        <v>2482111043</v>
      </c>
      <c r="CN417" s="2975">
        <v>375.90455699999995</v>
      </c>
      <c r="CO417" s="2976">
        <v>1188298817</v>
      </c>
      <c r="CP417" s="2976">
        <v>932664377</v>
      </c>
      <c r="CQ417" s="2976">
        <v>1433485881.5799999</v>
      </c>
      <c r="CR417" s="2976">
        <v>651346172</v>
      </c>
      <c r="CS417" s="2977"/>
      <c r="CT417" s="2976">
        <v>4205795247.5799999</v>
      </c>
      <c r="CU417" s="2978">
        <v>7446.9776900000006</v>
      </c>
      <c r="CV417" s="2978">
        <v>14489934121</v>
      </c>
      <c r="CW417" s="2978">
        <v>16968589214</v>
      </c>
      <c r="CX417" s="2978">
        <v>5236622545.5799999</v>
      </c>
      <c r="CY417" s="2978">
        <v>1518700792</v>
      </c>
      <c r="CZ417" s="2976">
        <v>1.960400433515479</v>
      </c>
      <c r="DA417" s="2979">
        <v>38213846672.580002</v>
      </c>
    </row>
    <row r="418" spans="2:105" hidden="1">
      <c r="CU418" s="1653">
        <v>7447.0118670000002</v>
      </c>
      <c r="DA418" s="1609">
        <v>36249293886.699997</v>
      </c>
    </row>
    <row r="419" spans="2:105" hidden="1">
      <c r="CN419" s="1620">
        <v>293.04859800000003</v>
      </c>
      <c r="CU419" s="1653">
        <v>3.4176999999544933E-2</v>
      </c>
      <c r="CZ419" s="1609" t="s">
        <v>2029</v>
      </c>
      <c r="DA419" s="1609">
        <v>-1964552785.8800049</v>
      </c>
    </row>
    <row r="420" spans="2:105" hidden="1">
      <c r="CG420" s="1620" t="e">
        <v>#REF!</v>
      </c>
      <c r="CI420" s="1611" t="e">
        <v>#REF!</v>
      </c>
      <c r="CN420" s="1620" t="e">
        <v>#REF!</v>
      </c>
    </row>
    <row r="421" spans="2:105" hidden="1"/>
    <row r="422" spans="2:105" hidden="1">
      <c r="CN422" s="1620" t="e">
        <v>#REF!</v>
      </c>
      <c r="CP422" s="1611" t="e">
        <v>#REF!</v>
      </c>
    </row>
  </sheetData>
  <mergeCells count="86">
    <mergeCell ref="BZ410:CF410"/>
    <mergeCell ref="CG410:CM410"/>
    <mergeCell ref="CN410:CT410"/>
    <mergeCell ref="CU410:DA410"/>
    <mergeCell ref="CU403:DA403"/>
    <mergeCell ref="BZ403:CF403"/>
    <mergeCell ref="CG403:CM403"/>
    <mergeCell ref="CN403:CT403"/>
    <mergeCell ref="O410:U410"/>
    <mergeCell ref="V410:AB410"/>
    <mergeCell ref="AC410:AI410"/>
    <mergeCell ref="AJ410:AP410"/>
    <mergeCell ref="AQ410:AW410"/>
    <mergeCell ref="AX410:BD410"/>
    <mergeCell ref="BE410:BK410"/>
    <mergeCell ref="BL410:BR410"/>
    <mergeCell ref="BS410:BY410"/>
    <mergeCell ref="BE403:BK403"/>
    <mergeCell ref="BL403:BR403"/>
    <mergeCell ref="BS403:BY403"/>
    <mergeCell ref="DB261:DB263"/>
    <mergeCell ref="DC261:DC263"/>
    <mergeCell ref="DD261:DD263"/>
    <mergeCell ref="A393:B393"/>
    <mergeCell ref="O403:U403"/>
    <mergeCell ref="V403:AB403"/>
    <mergeCell ref="AC403:AI403"/>
    <mergeCell ref="AJ403:AP403"/>
    <mergeCell ref="AQ403:AW403"/>
    <mergeCell ref="AX403:BD403"/>
    <mergeCell ref="DM6:DM7"/>
    <mergeCell ref="BQ6:BR6"/>
    <mergeCell ref="BS6:BS7"/>
    <mergeCell ref="BX6:BY6"/>
    <mergeCell ref="BZ6:BZ7"/>
    <mergeCell ref="CE6:CF6"/>
    <mergeCell ref="CG6:CG7"/>
    <mergeCell ref="CL6:CM6"/>
    <mergeCell ref="CN6:CN7"/>
    <mergeCell ref="CS6:CT6"/>
    <mergeCell ref="CU6:CU7"/>
    <mergeCell ref="CZ6:DA6"/>
    <mergeCell ref="AV6:AW6"/>
    <mergeCell ref="AX6:AX7"/>
    <mergeCell ref="BC6:BD6"/>
    <mergeCell ref="BE6:BE7"/>
    <mergeCell ref="BJ6:BK6"/>
    <mergeCell ref="BL6:BL7"/>
    <mergeCell ref="CU5:DA5"/>
    <mergeCell ref="O6:O7"/>
    <mergeCell ref="T6:U6"/>
    <mergeCell ref="V6:V7"/>
    <mergeCell ref="AA6:AB6"/>
    <mergeCell ref="AC6:AC7"/>
    <mergeCell ref="AH6:AI6"/>
    <mergeCell ref="AJ6:AJ7"/>
    <mergeCell ref="AO6:AP6"/>
    <mergeCell ref="AQ6:AQ7"/>
    <mergeCell ref="BE5:BK5"/>
    <mergeCell ref="BL5:BR5"/>
    <mergeCell ref="BS5:BY5"/>
    <mergeCell ref="BZ5:CF5"/>
    <mergeCell ref="CG5:CM5"/>
    <mergeCell ref="CN5:CT5"/>
    <mergeCell ref="O5:U5"/>
    <mergeCell ref="V5:AB5"/>
    <mergeCell ref="AC5:AI5"/>
    <mergeCell ref="AJ5:AP5"/>
    <mergeCell ref="AQ5:AW5"/>
    <mergeCell ref="AX5:BD5"/>
    <mergeCell ref="N5:N7"/>
    <mergeCell ref="J2:L2"/>
    <mergeCell ref="A4:Q4"/>
    <mergeCell ref="A5:A7"/>
    <mergeCell ref="B5:B7"/>
    <mergeCell ref="C5:C7"/>
    <mergeCell ref="D5:D7"/>
    <mergeCell ref="E5:E7"/>
    <mergeCell ref="F5:F7"/>
    <mergeCell ref="G5:G7"/>
    <mergeCell ref="H5:H7"/>
    <mergeCell ref="I5:I7"/>
    <mergeCell ref="J5:J7"/>
    <mergeCell ref="K5:K7"/>
    <mergeCell ref="L5:L7"/>
    <mergeCell ref="M5:M7"/>
  </mergeCells>
  <printOptions horizontalCentered="1"/>
  <pageMargins left="0.15748031496063" right="0.196850393700787" top="0.31496062992126" bottom="0.15748031496063" header="0.31496062992126" footer="0.15748031496063"/>
  <pageSetup paperSize="9" scale="56" orientation="landscape" r:id="rId1"/>
  <rowBreaks count="11" manualBreakCount="11">
    <brk id="40" max="104" man="1"/>
    <brk id="80" max="104" man="1"/>
    <brk id="119" max="104" man="1"/>
    <brk id="158" max="104" man="1"/>
    <brk id="199" max="104" man="1"/>
    <brk id="229" max="104" man="1"/>
    <brk id="272" max="104" man="1"/>
    <brk id="310" max="104" man="1"/>
    <brk id="328" max="104" man="1"/>
    <brk id="344" max="104" man="1"/>
    <brk id="377" max="104" man="1"/>
  </rowBreaks>
  <colBreaks count="12" manualBreakCount="12">
    <brk id="21" max="1048575" man="1"/>
    <brk id="28" max="1048575" man="1"/>
    <brk id="35" max="1048575" man="1"/>
    <brk id="42" max="1048575" man="1"/>
    <brk id="49" max="1048575" man="1"/>
    <brk id="56" max="1048575" man="1"/>
    <brk id="63" max="1048575" man="1"/>
    <brk id="70" max="1048575" man="1"/>
    <brk id="77" max="1048575" man="1"/>
    <brk id="84" max="1048575" man="1"/>
    <brk id="91" max="1048575" man="1"/>
    <brk id="98"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399"/>
  <sheetViews>
    <sheetView showGridLines="0" view="pageBreakPreview" zoomScale="73" zoomScaleNormal="61" zoomScaleSheetLayoutView="73" workbookViewId="0">
      <pane xSplit="6" ySplit="8" topLeftCell="ED203" activePane="bottomRight" state="frozen"/>
      <selection activeCell="C105" sqref="C105"/>
      <selection pane="topRight" activeCell="C105" sqref="C105"/>
      <selection pane="bottomLeft" activeCell="C105" sqref="C105"/>
      <selection pane="bottomRight" activeCell="C105" sqref="C105"/>
    </sheetView>
  </sheetViews>
  <sheetFormatPr defaultColWidth="9.26953125" defaultRowHeight="14.5"/>
  <cols>
    <col min="1" max="1" width="8" style="2184" customWidth="1"/>
    <col min="2" max="2" width="55.26953125" style="2084" customWidth="1"/>
    <col min="3" max="3" width="16.26953125" style="2177" hidden="1" customWidth="1"/>
    <col min="4" max="4" width="14.26953125" style="2193" hidden="1" customWidth="1"/>
    <col min="5" max="5" width="14.26953125" style="2084" hidden="1" customWidth="1"/>
    <col min="6" max="6" width="17.7265625" style="2193" hidden="1" customWidth="1"/>
    <col min="7" max="7" width="18.26953125" style="2093" customWidth="1"/>
    <col min="8" max="8" width="12.26953125" style="2138" customWidth="1"/>
    <col min="9" max="9" width="12.26953125" style="2093" customWidth="1"/>
    <col min="10" max="10" width="15.81640625" style="2093" hidden="1" customWidth="1"/>
    <col min="11" max="11" width="13.81640625" style="2093" hidden="1" customWidth="1"/>
    <col min="12" max="12" width="14.1796875" style="2093" hidden="1" customWidth="1"/>
    <col min="13" max="13" width="14" style="2093" hidden="1" customWidth="1"/>
    <col min="14" max="14" width="14.7265625" style="2093" customWidth="1"/>
    <col min="15" max="15" width="9.26953125" style="2093" customWidth="1"/>
    <col min="16" max="16" width="17.26953125" style="2093" customWidth="1"/>
    <col min="17" max="17" width="14.453125" style="2093" customWidth="1"/>
    <col min="18" max="18" width="17.26953125" style="2093" customWidth="1"/>
    <col min="19" max="19" width="7.26953125" style="2093" customWidth="1"/>
    <col min="20" max="20" width="12.81640625" style="2093" customWidth="1"/>
    <col min="21" max="21" width="11.453125" style="2093" customWidth="1"/>
    <col min="22" max="22" width="14.453125" style="2093" customWidth="1"/>
    <col min="23" max="23" width="13.26953125" style="2093" customWidth="1"/>
    <col min="24" max="24" width="16.81640625" style="2093" customWidth="1"/>
    <col min="25" max="25" width="7.7265625" style="2093" customWidth="1"/>
    <col min="26" max="26" width="14.54296875" style="2093" customWidth="1"/>
    <col min="27" max="27" width="9.54296875" style="2093" customWidth="1"/>
    <col min="28" max="28" width="15.453125" style="2093" customWidth="1"/>
    <col min="29" max="29" width="9.26953125" style="2093" customWidth="1"/>
    <col min="30" max="31" width="10.54296875" style="2093" customWidth="1"/>
    <col min="32" max="32" width="10.26953125" style="2093" customWidth="1"/>
    <col min="33" max="33" width="17.26953125" style="2093" customWidth="1"/>
    <col min="34" max="34" width="14.26953125" style="2093" customWidth="1"/>
    <col min="35" max="35" width="10.26953125" style="2093" customWidth="1"/>
    <col min="36" max="36" width="12.7265625" style="2093" customWidth="1"/>
    <col min="37" max="37" width="8.26953125" style="2093" customWidth="1"/>
    <col min="38" max="38" width="13.1796875" style="2093" customWidth="1"/>
    <col min="39" max="39" width="7.7265625" style="2093" customWidth="1"/>
    <col min="40" max="40" width="17" style="2093" customWidth="1"/>
    <col min="41" max="41" width="10" style="2094" customWidth="1"/>
    <col min="42" max="42" width="9.26953125" style="2093" customWidth="1"/>
    <col min="43" max="43" width="13.26953125" style="2093" customWidth="1"/>
    <col min="44" max="44" width="14.7265625" style="2093" customWidth="1"/>
    <col min="45" max="45" width="9.26953125" style="2093" customWidth="1"/>
    <col min="46" max="46" width="14" style="2093" customWidth="1"/>
    <col min="47" max="47" width="9.26953125" style="2093" customWidth="1"/>
    <col min="48" max="48" width="13.453125" style="2093" customWidth="1"/>
    <col min="49" max="49" width="9.26953125" style="2093" customWidth="1"/>
    <col min="50" max="50" width="12.54296875" style="2093" customWidth="1"/>
    <col min="51" max="51" width="10" style="2094" customWidth="1"/>
    <col min="52" max="52" width="9.26953125" style="2093" customWidth="1"/>
    <col min="53" max="53" width="13.7265625" style="2093" customWidth="1"/>
    <col min="54" max="54" width="19.54296875" style="2093" customWidth="1"/>
    <col min="55" max="60" width="15" style="2093" customWidth="1"/>
    <col min="61" max="61" width="15" style="2094" customWidth="1"/>
    <col min="62" max="63" width="15" style="2093" customWidth="1"/>
    <col min="64" max="64" width="17.453125" style="2093" customWidth="1"/>
    <col min="65" max="65" width="14.453125" style="2093" customWidth="1"/>
    <col min="66" max="66" width="12.81640625" style="2093" customWidth="1"/>
    <col min="67" max="67" width="10.81640625" style="2093" customWidth="1"/>
    <col min="68" max="68" width="14.7265625" style="2093" customWidth="1"/>
    <col min="69" max="69" width="8.453125" style="2093" customWidth="1"/>
    <col min="70" max="70" width="12.54296875" style="2093" customWidth="1"/>
    <col min="71" max="71" width="14.453125" style="2093" customWidth="1"/>
    <col min="72" max="72" width="10.54296875" style="2093" customWidth="1"/>
    <col min="73" max="73" width="17.7265625" style="2093" customWidth="1"/>
    <col min="74" max="74" width="15.453125" style="2093" customWidth="1"/>
    <col min="75" max="75" width="11" style="2093" customWidth="1"/>
    <col min="76" max="76" width="14.54296875" style="2093" customWidth="1"/>
    <col min="77" max="77" width="9.26953125" style="2093" customWidth="1"/>
    <col min="78" max="78" width="14.7265625" style="2093" customWidth="1"/>
    <col min="79" max="79" width="9.26953125" style="2093" customWidth="1"/>
    <col min="80" max="80" width="13" style="2093" customWidth="1"/>
    <col min="81" max="81" width="11.81640625" style="2093" customWidth="1"/>
    <col min="82" max="82" width="10.7265625" style="2093" customWidth="1"/>
    <col min="83" max="84" width="14.26953125" style="2093" customWidth="1"/>
    <col min="85" max="90" width="13.453125" style="2093" customWidth="1"/>
    <col min="91" max="91" width="13.453125" style="2094" customWidth="1"/>
    <col min="92" max="93" width="13.453125" style="2093" customWidth="1"/>
    <col min="94" max="94" width="14.7265625" style="2093" customWidth="1"/>
    <col min="95" max="100" width="13.453125" style="2093" customWidth="1"/>
    <col min="101" max="101" width="13.453125" style="2094" customWidth="1"/>
    <col min="102" max="103" width="13.453125" style="2093" customWidth="1"/>
    <col min="104" max="104" width="14.26953125" style="2093" customWidth="1"/>
    <col min="105" max="105" width="9.26953125" style="2093" customWidth="1"/>
    <col min="106" max="106" width="13.7265625" style="2093" customWidth="1"/>
    <col min="107" max="107" width="9.7265625" style="2093" customWidth="1"/>
    <col min="108" max="108" width="12.7265625" style="2093" customWidth="1"/>
    <col min="109" max="109" width="9.26953125" style="2093" customWidth="1"/>
    <col min="110" max="110" width="10.7265625" style="2093" customWidth="1"/>
    <col min="111" max="111" width="10" style="2094" customWidth="1"/>
    <col min="112" max="112" width="9.26953125" style="2093" customWidth="1"/>
    <col min="113" max="113" width="12.81640625" style="2093" customWidth="1"/>
    <col min="114" max="114" width="13.81640625" style="2093" customWidth="1"/>
    <col min="115" max="115" width="9.54296875" style="2093" customWidth="1"/>
    <col min="116" max="116" width="14.453125" style="2093" customWidth="1"/>
    <col min="117" max="117" width="9.1796875" style="2093" customWidth="1"/>
    <col min="118" max="118" width="13.54296875" style="2093" customWidth="1"/>
    <col min="119" max="120" width="9.26953125" style="2093" customWidth="1"/>
    <col min="121" max="121" width="10" style="2094" customWidth="1"/>
    <col min="122" max="122" width="9.26953125" style="2093" customWidth="1"/>
    <col min="123" max="123" width="12.81640625" style="2093" customWidth="1"/>
    <col min="124" max="124" width="14.453125" style="2093" customWidth="1"/>
    <col min="125" max="125" width="9.26953125" style="2093" customWidth="1"/>
    <col min="126" max="126" width="14.1796875" style="2093" customWidth="1"/>
    <col min="127" max="127" width="11.26953125" style="2093" customWidth="1"/>
    <col min="128" max="128" width="14" style="2093" customWidth="1"/>
    <col min="129" max="129" width="9.26953125" style="2093" customWidth="1"/>
    <col min="130" max="130" width="10.26953125" style="2093" customWidth="1"/>
    <col min="131" max="131" width="9.26953125" style="2093" customWidth="1"/>
    <col min="132" max="132" width="11.453125" style="2093" customWidth="1"/>
    <col min="133" max="133" width="14" style="2093" customWidth="1"/>
    <col min="134" max="134" width="15.453125" style="2093" customWidth="1"/>
    <col min="135" max="135" width="7.54296875" style="2093" customWidth="1"/>
    <col min="136" max="136" width="8.26953125" style="2093" customWidth="1"/>
    <col min="137" max="137" width="18.26953125" style="2093" customWidth="1"/>
    <col min="138" max="138" width="14.54296875" style="2093" customWidth="1"/>
    <col min="139" max="139" width="15.7265625" style="2093" customWidth="1"/>
    <col min="140" max="140" width="10.81640625" style="2093" customWidth="1"/>
    <col min="141" max="141" width="13.1796875" style="2093" bestFit="1" customWidth="1"/>
    <col min="142" max="142" width="10.81640625" style="2093" customWidth="1"/>
    <col min="143" max="143" width="11.26953125" style="2093" customWidth="1"/>
    <col min="144" max="144" width="14.54296875" style="2093" bestFit="1" customWidth="1"/>
    <col min="145" max="145" width="16" style="2093" customWidth="1"/>
    <col min="146" max="146" width="12.7265625" style="2093" customWidth="1"/>
    <col min="147" max="150" width="9.26953125" style="2084" hidden="1" customWidth="1"/>
    <col min="151" max="153" width="12.7265625" style="2084" hidden="1" customWidth="1"/>
    <col min="154" max="155" width="9.26953125" style="2084" hidden="1" customWidth="1"/>
    <col min="156" max="159" width="9.26953125" style="2084" customWidth="1"/>
    <col min="160" max="160" width="17.26953125" style="2084" customWidth="1"/>
    <col min="161" max="161" width="13.7265625" style="2084" customWidth="1"/>
    <col min="162" max="162" width="9.26953125" style="2084" customWidth="1"/>
    <col min="163" max="163" width="13.7265625" style="2084" customWidth="1"/>
    <col min="164" max="165" width="9.26953125" style="2084" customWidth="1"/>
    <col min="166" max="16384" width="9.26953125" style="2084"/>
  </cols>
  <sheetData>
    <row r="1" spans="1:168">
      <c r="A1" s="2077" t="s">
        <v>1615</v>
      </c>
      <c r="B1" s="2078"/>
      <c r="C1" s="2079"/>
      <c r="D1" s="2080"/>
      <c r="E1" s="2081"/>
      <c r="F1" s="2080"/>
      <c r="G1" s="2082"/>
      <c r="H1" s="2083"/>
      <c r="I1" s="2082"/>
      <c r="J1" s="2082"/>
      <c r="K1" s="2082"/>
      <c r="L1" s="2082"/>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082"/>
      <c r="AO1" s="2082"/>
      <c r="AP1" s="2082"/>
      <c r="AQ1" s="2082"/>
      <c r="AR1" s="2082"/>
      <c r="AS1" s="2082"/>
      <c r="AT1" s="2082"/>
      <c r="AU1" s="2082"/>
      <c r="AV1" s="2082"/>
      <c r="AW1" s="2082"/>
      <c r="AX1" s="2082"/>
      <c r="AY1" s="2082"/>
      <c r="AZ1" s="2082"/>
      <c r="BA1" s="2082"/>
      <c r="BB1" s="2082"/>
      <c r="BC1" s="2082"/>
      <c r="BD1" s="2082"/>
      <c r="BE1" s="2082"/>
      <c r="BF1" s="2082"/>
      <c r="BG1" s="2082"/>
      <c r="BH1" s="2082"/>
      <c r="BI1" s="2082"/>
      <c r="BJ1" s="2082"/>
      <c r="BK1" s="2082"/>
      <c r="BL1" s="2082"/>
      <c r="BM1" s="2082"/>
      <c r="BN1" s="2082"/>
      <c r="BO1" s="2082"/>
      <c r="BP1" s="2082"/>
      <c r="BQ1" s="2082"/>
      <c r="BR1" s="2082"/>
      <c r="BS1" s="2082"/>
      <c r="BT1" s="2082"/>
      <c r="BU1" s="2082"/>
      <c r="BV1" s="2082"/>
      <c r="BW1" s="2082"/>
      <c r="BX1" s="2082"/>
      <c r="BY1" s="2082"/>
      <c r="BZ1" s="2082"/>
      <c r="CA1" s="2082"/>
      <c r="CB1" s="2082"/>
      <c r="CC1" s="2082"/>
      <c r="CD1" s="2082"/>
      <c r="CE1" s="2082"/>
      <c r="CF1" s="2082"/>
      <c r="CG1" s="2082"/>
      <c r="CH1" s="2082"/>
      <c r="CI1" s="2082"/>
      <c r="CJ1" s="2082"/>
      <c r="CK1" s="2082"/>
      <c r="CL1" s="2082"/>
      <c r="CM1" s="2082"/>
      <c r="CN1" s="2082"/>
      <c r="CO1" s="2082"/>
      <c r="CP1" s="2082"/>
      <c r="CQ1" s="2082"/>
      <c r="CR1" s="2082"/>
      <c r="CS1" s="2082"/>
      <c r="CT1" s="2082"/>
      <c r="CU1" s="2082"/>
      <c r="CV1" s="2082"/>
      <c r="CW1" s="2082"/>
      <c r="CX1" s="2082"/>
      <c r="CY1" s="2082"/>
      <c r="CZ1" s="2082"/>
      <c r="DA1" s="2082"/>
      <c r="DB1" s="2082"/>
      <c r="DC1" s="2082"/>
      <c r="DD1" s="2082"/>
      <c r="DE1" s="2082"/>
      <c r="DF1" s="2082"/>
      <c r="DG1" s="2082"/>
      <c r="DH1" s="2082"/>
      <c r="DI1" s="2082"/>
      <c r="DJ1" s="2082"/>
      <c r="DK1" s="2082"/>
      <c r="DL1" s="2082"/>
      <c r="DM1" s="2082"/>
      <c r="DN1" s="2082"/>
      <c r="DO1" s="2082"/>
      <c r="DP1" s="2082"/>
      <c r="DQ1" s="2082"/>
      <c r="DR1" s="2082"/>
      <c r="DS1" s="2082"/>
      <c r="DT1" s="2082"/>
      <c r="DU1" s="2082"/>
      <c r="DV1" s="2082"/>
      <c r="DW1" s="2082"/>
      <c r="DX1" s="2082"/>
      <c r="DY1" s="2082"/>
      <c r="DZ1" s="2082"/>
      <c r="EA1" s="2082"/>
      <c r="EB1" s="2082"/>
      <c r="EC1" s="2082"/>
      <c r="ED1" s="2082"/>
      <c r="EE1" s="2082"/>
      <c r="EF1" s="2082"/>
      <c r="EG1" s="2082"/>
      <c r="EH1" s="2082"/>
      <c r="EI1" s="2082"/>
      <c r="EJ1" s="2082"/>
      <c r="EK1" s="2082"/>
      <c r="EL1" s="2082"/>
      <c r="EM1" s="2082"/>
      <c r="EN1" s="2082"/>
      <c r="EO1" s="2082"/>
      <c r="EP1" s="2082"/>
    </row>
    <row r="2" spans="1:168">
      <c r="A2" s="2085" t="s">
        <v>174</v>
      </c>
      <c r="B2" s="2086"/>
      <c r="C2" s="2087"/>
      <c r="D2" s="2088"/>
      <c r="E2" s="2089"/>
      <c r="F2" s="2090"/>
      <c r="G2" s="3220"/>
      <c r="H2" s="3220"/>
      <c r="I2" s="3220"/>
      <c r="J2" s="2091"/>
      <c r="K2" s="2091"/>
      <c r="L2" s="2091"/>
      <c r="M2" s="2091"/>
      <c r="N2" s="2091"/>
      <c r="O2" s="2091"/>
      <c r="P2" s="2092">
        <v>10000000</v>
      </c>
      <c r="Q2" s="2091"/>
      <c r="R2" s="2091"/>
      <c r="S2" s="2091"/>
      <c r="T2" s="2091"/>
      <c r="U2" s="2091"/>
      <c r="V2" s="2091"/>
      <c r="W2" s="2091"/>
      <c r="X2" s="2091"/>
    </row>
    <row r="3" spans="1:168" ht="19.5" customHeight="1">
      <c r="A3" s="2077" t="s">
        <v>1236</v>
      </c>
      <c r="B3" s="2078"/>
      <c r="C3" s="2095"/>
      <c r="D3" s="2080"/>
      <c r="E3" s="2081"/>
      <c r="F3" s="2080"/>
      <c r="G3" s="2082"/>
      <c r="H3" s="2082"/>
      <c r="I3" s="2082"/>
      <c r="J3" s="2082"/>
      <c r="K3" s="2082"/>
      <c r="L3" s="2082"/>
      <c r="M3" s="2082"/>
      <c r="N3" s="2082"/>
      <c r="O3" s="2082"/>
      <c r="P3" s="2082"/>
      <c r="Q3" s="2082"/>
      <c r="R3" s="2082"/>
      <c r="S3" s="2082"/>
      <c r="T3" s="2082"/>
      <c r="U3" s="2082"/>
      <c r="V3" s="2082"/>
      <c r="W3" s="2082"/>
      <c r="X3" s="2082"/>
      <c r="Y3" s="2082"/>
      <c r="Z3" s="2082"/>
      <c r="AA3" s="2082"/>
      <c r="AB3" s="2082"/>
      <c r="AC3" s="2082"/>
      <c r="AD3" s="2082"/>
      <c r="AE3" s="2082"/>
      <c r="AF3" s="2082"/>
      <c r="AG3" s="2082"/>
      <c r="AH3" s="2082"/>
      <c r="AI3" s="2082"/>
      <c r="AJ3" s="2082"/>
      <c r="AK3" s="2082"/>
      <c r="AL3" s="2082"/>
      <c r="AM3" s="2082"/>
      <c r="AN3" s="2082"/>
      <c r="AO3" s="2082"/>
      <c r="AP3" s="2082"/>
      <c r="AQ3" s="2082"/>
      <c r="AR3" s="2082"/>
      <c r="AS3" s="2082"/>
      <c r="AT3" s="2082"/>
      <c r="AU3" s="2082"/>
      <c r="AV3" s="2082"/>
      <c r="AW3" s="2082"/>
      <c r="AX3" s="2082"/>
      <c r="AY3" s="2082"/>
      <c r="AZ3" s="2082"/>
      <c r="BA3" s="2082"/>
      <c r="BB3" s="2082"/>
      <c r="BC3" s="2082"/>
      <c r="BD3" s="2082"/>
      <c r="BE3" s="2082"/>
      <c r="BF3" s="2082"/>
      <c r="BG3" s="2082"/>
      <c r="BH3" s="2082"/>
      <c r="BI3" s="2082"/>
      <c r="BJ3" s="2082"/>
      <c r="BK3" s="2082"/>
      <c r="BL3" s="2082"/>
      <c r="BM3" s="2082"/>
      <c r="BN3" s="2082"/>
      <c r="BO3" s="2082"/>
      <c r="BP3" s="2082"/>
      <c r="BQ3" s="2082"/>
      <c r="BR3" s="2082"/>
      <c r="BS3" s="2082"/>
      <c r="BT3" s="2082"/>
      <c r="BU3" s="2082"/>
      <c r="BV3" s="2082"/>
      <c r="BW3" s="2082"/>
      <c r="BX3" s="2082"/>
      <c r="BY3" s="2082"/>
      <c r="BZ3" s="2082"/>
      <c r="CA3" s="2082"/>
      <c r="CB3" s="2082"/>
      <c r="CC3" s="2082"/>
      <c r="CD3" s="2082"/>
      <c r="CE3" s="2082"/>
      <c r="CF3" s="2082"/>
      <c r="CG3" s="2082"/>
      <c r="CH3" s="2082"/>
      <c r="CI3" s="2082"/>
      <c r="CJ3" s="2082"/>
      <c r="CK3" s="2082"/>
      <c r="CL3" s="2082"/>
      <c r="CM3" s="2082"/>
      <c r="CN3" s="2082"/>
      <c r="CO3" s="2082"/>
      <c r="CP3" s="2082"/>
      <c r="CQ3" s="2082"/>
      <c r="CR3" s="2082"/>
      <c r="CS3" s="2082"/>
      <c r="CT3" s="2082"/>
      <c r="CU3" s="2082"/>
      <c r="CV3" s="2082"/>
      <c r="CW3" s="2082"/>
      <c r="CX3" s="2082"/>
      <c r="CY3" s="2082"/>
      <c r="CZ3" s="2082"/>
      <c r="DA3" s="2082"/>
      <c r="DB3" s="2082"/>
      <c r="DC3" s="2082"/>
      <c r="DD3" s="2082"/>
      <c r="DE3" s="2082"/>
      <c r="DF3" s="2082"/>
      <c r="DG3" s="2082"/>
      <c r="DH3" s="2082"/>
      <c r="DI3" s="2082"/>
      <c r="DJ3" s="2082"/>
      <c r="DK3" s="2082"/>
      <c r="DL3" s="2082"/>
      <c r="DM3" s="2082"/>
      <c r="DN3" s="2082"/>
      <c r="DO3" s="2082"/>
      <c r="DP3" s="2082"/>
      <c r="DQ3" s="2082"/>
      <c r="DR3" s="2082"/>
      <c r="DS3" s="2082"/>
      <c r="DT3" s="2082"/>
      <c r="DU3" s="2082"/>
      <c r="DV3" s="2082"/>
      <c r="DW3" s="2082"/>
      <c r="DX3" s="2082"/>
      <c r="DY3" s="2082"/>
      <c r="DZ3" s="2082"/>
      <c r="EA3" s="2082"/>
      <c r="EB3" s="2082"/>
      <c r="EC3" s="2082"/>
      <c r="ED3" s="2082"/>
      <c r="EE3" s="2082"/>
      <c r="EF3" s="2082"/>
      <c r="EG3" s="2082"/>
      <c r="EH3" s="2082"/>
      <c r="EI3" s="2082"/>
      <c r="EJ3" s="2082"/>
      <c r="EK3" s="2082"/>
      <c r="EL3" s="2082"/>
      <c r="EM3" s="2082"/>
      <c r="EN3" s="2082"/>
      <c r="EO3" s="2082"/>
      <c r="EP3" s="2082"/>
    </row>
    <row r="4" spans="1:168">
      <c r="A4" s="2077">
        <v>1</v>
      </c>
      <c r="B4" s="2077">
        <v>2</v>
      </c>
      <c r="C4" s="2077">
        <v>3</v>
      </c>
      <c r="D4" s="2077">
        <v>4</v>
      </c>
      <c r="E4" s="2077">
        <v>5</v>
      </c>
      <c r="F4" s="2077">
        <v>6</v>
      </c>
      <c r="G4" s="2077">
        <v>7</v>
      </c>
      <c r="H4" s="2077">
        <v>8</v>
      </c>
      <c r="I4" s="2077">
        <v>9</v>
      </c>
      <c r="J4" s="2077">
        <v>10</v>
      </c>
      <c r="K4" s="2077">
        <v>11</v>
      </c>
      <c r="L4" s="2077">
        <v>12</v>
      </c>
      <c r="M4" s="2077">
        <v>13</v>
      </c>
      <c r="N4" s="2077">
        <v>14</v>
      </c>
      <c r="O4" s="2077">
        <v>15</v>
      </c>
      <c r="P4" s="2077">
        <v>16</v>
      </c>
      <c r="Q4" s="2077">
        <v>17</v>
      </c>
      <c r="R4" s="2077">
        <v>18</v>
      </c>
      <c r="S4" s="2077">
        <v>19</v>
      </c>
      <c r="T4" s="2077">
        <v>20</v>
      </c>
      <c r="U4" s="2077">
        <v>21</v>
      </c>
      <c r="V4" s="2077">
        <v>22</v>
      </c>
      <c r="W4" s="2077">
        <v>23</v>
      </c>
      <c r="X4" s="2077">
        <v>24</v>
      </c>
      <c r="Y4" s="2077">
        <v>25</v>
      </c>
      <c r="Z4" s="2077">
        <v>26</v>
      </c>
      <c r="AA4" s="2077">
        <v>27</v>
      </c>
      <c r="AB4" s="2077">
        <v>28</v>
      </c>
      <c r="AC4" s="2077">
        <v>29</v>
      </c>
      <c r="AD4" s="2077">
        <v>30</v>
      </c>
      <c r="AE4" s="2077">
        <v>31</v>
      </c>
      <c r="AF4" s="2077">
        <v>32</v>
      </c>
      <c r="AG4" s="2077">
        <v>33</v>
      </c>
      <c r="AH4" s="2077">
        <v>34</v>
      </c>
      <c r="AI4" s="2077">
        <v>35</v>
      </c>
      <c r="AJ4" s="2077">
        <v>36</v>
      </c>
      <c r="AK4" s="2077">
        <v>37</v>
      </c>
      <c r="AL4" s="2077">
        <v>38</v>
      </c>
      <c r="AM4" s="2077">
        <v>39</v>
      </c>
      <c r="AN4" s="2077">
        <v>40</v>
      </c>
      <c r="AO4" s="2077">
        <v>41</v>
      </c>
      <c r="AP4" s="2077">
        <v>42</v>
      </c>
      <c r="AQ4" s="2077">
        <v>43</v>
      </c>
      <c r="AR4" s="2077">
        <v>44</v>
      </c>
      <c r="AS4" s="2077">
        <v>45</v>
      </c>
      <c r="AT4" s="2077">
        <v>46</v>
      </c>
      <c r="AU4" s="2077">
        <v>47</v>
      </c>
      <c r="AV4" s="2077">
        <v>48</v>
      </c>
      <c r="AW4" s="2077">
        <v>49</v>
      </c>
      <c r="AX4" s="2077">
        <v>50</v>
      </c>
      <c r="AY4" s="2077">
        <v>51</v>
      </c>
      <c r="AZ4" s="2077">
        <v>52</v>
      </c>
      <c r="BA4" s="2077">
        <v>53</v>
      </c>
      <c r="BB4" s="2077">
        <v>54</v>
      </c>
      <c r="BC4" s="2077">
        <v>55</v>
      </c>
      <c r="BD4" s="2077">
        <v>56</v>
      </c>
      <c r="BE4" s="2077">
        <v>57</v>
      </c>
      <c r="BF4" s="2077">
        <v>58</v>
      </c>
      <c r="BG4" s="2077">
        <v>59</v>
      </c>
      <c r="BH4" s="2077">
        <v>60</v>
      </c>
      <c r="BI4" s="2077">
        <v>61</v>
      </c>
      <c r="BJ4" s="2077">
        <v>62</v>
      </c>
      <c r="BK4" s="2077">
        <v>63</v>
      </c>
      <c r="BL4" s="2077">
        <v>64</v>
      </c>
      <c r="BM4" s="2077">
        <v>65</v>
      </c>
      <c r="BN4" s="2077">
        <v>66</v>
      </c>
      <c r="BO4" s="2077">
        <v>67</v>
      </c>
      <c r="BP4" s="2077">
        <v>68</v>
      </c>
      <c r="BQ4" s="2077">
        <v>69</v>
      </c>
      <c r="BR4" s="2077">
        <v>70</v>
      </c>
      <c r="BS4" s="2077">
        <v>71</v>
      </c>
      <c r="BT4" s="2077">
        <v>72</v>
      </c>
      <c r="BU4" s="2077">
        <v>73</v>
      </c>
      <c r="BV4" s="2077">
        <v>74</v>
      </c>
      <c r="BW4" s="2077">
        <v>75</v>
      </c>
      <c r="BX4" s="2077">
        <v>76</v>
      </c>
      <c r="BY4" s="2077">
        <v>77</v>
      </c>
      <c r="BZ4" s="2077">
        <v>78</v>
      </c>
      <c r="CA4" s="2077">
        <v>79</v>
      </c>
      <c r="CB4" s="2077">
        <v>80</v>
      </c>
      <c r="CC4" s="2077">
        <v>81</v>
      </c>
      <c r="CD4" s="2077">
        <v>82</v>
      </c>
      <c r="CE4" s="2077">
        <v>83</v>
      </c>
      <c r="CF4" s="2077">
        <v>84</v>
      </c>
      <c r="CG4" s="2077">
        <v>85</v>
      </c>
      <c r="CH4" s="2077">
        <v>86</v>
      </c>
      <c r="CI4" s="2077">
        <v>87</v>
      </c>
      <c r="CJ4" s="2077">
        <v>88</v>
      </c>
      <c r="CK4" s="2077">
        <v>89</v>
      </c>
      <c r="CL4" s="2077">
        <v>90</v>
      </c>
      <c r="CM4" s="2077">
        <v>91</v>
      </c>
      <c r="CN4" s="2077">
        <v>92</v>
      </c>
      <c r="CO4" s="2077">
        <v>93</v>
      </c>
      <c r="CP4" s="2077">
        <v>94</v>
      </c>
      <c r="CQ4" s="2077">
        <v>95</v>
      </c>
      <c r="CR4" s="2077">
        <v>96</v>
      </c>
      <c r="CS4" s="2077">
        <v>97</v>
      </c>
      <c r="CT4" s="2077">
        <v>98</v>
      </c>
      <c r="CU4" s="2077">
        <v>99</v>
      </c>
      <c r="CV4" s="2077">
        <v>100</v>
      </c>
      <c r="CW4" s="2077">
        <v>101</v>
      </c>
      <c r="CX4" s="2077">
        <v>102</v>
      </c>
      <c r="CY4" s="2077">
        <v>103</v>
      </c>
      <c r="CZ4" s="2077">
        <v>104</v>
      </c>
      <c r="DA4" s="2077">
        <v>105</v>
      </c>
      <c r="DB4" s="2077">
        <v>106</v>
      </c>
      <c r="DC4" s="2077">
        <v>107</v>
      </c>
      <c r="DD4" s="2077">
        <v>108</v>
      </c>
      <c r="DE4" s="2077">
        <v>109</v>
      </c>
      <c r="DF4" s="2077">
        <v>110</v>
      </c>
      <c r="DG4" s="2077">
        <v>111</v>
      </c>
      <c r="DH4" s="2077">
        <v>112</v>
      </c>
      <c r="DI4" s="2077">
        <v>113</v>
      </c>
      <c r="DJ4" s="2077">
        <v>114</v>
      </c>
      <c r="DK4" s="2077">
        <v>115</v>
      </c>
      <c r="DL4" s="2077">
        <v>116</v>
      </c>
      <c r="DM4" s="2077">
        <v>117</v>
      </c>
      <c r="DN4" s="2077">
        <v>118</v>
      </c>
      <c r="DO4" s="2077">
        <v>119</v>
      </c>
      <c r="DP4" s="2077">
        <v>120</v>
      </c>
      <c r="DQ4" s="2077">
        <v>121</v>
      </c>
      <c r="DR4" s="2077">
        <v>122</v>
      </c>
      <c r="DS4" s="2077">
        <v>123</v>
      </c>
      <c r="DT4" s="2077">
        <v>124</v>
      </c>
      <c r="DU4" s="2077">
        <v>125</v>
      </c>
      <c r="DV4" s="2077">
        <v>126</v>
      </c>
      <c r="DW4" s="2077">
        <v>127</v>
      </c>
      <c r="DX4" s="2077">
        <v>128</v>
      </c>
      <c r="DY4" s="2077">
        <v>129</v>
      </c>
      <c r="DZ4" s="2077">
        <v>130</v>
      </c>
      <c r="EA4" s="2077">
        <v>131</v>
      </c>
      <c r="EB4" s="2077">
        <v>132</v>
      </c>
      <c r="EC4" s="2077">
        <v>133</v>
      </c>
      <c r="ED4" s="2077">
        <v>134</v>
      </c>
      <c r="EE4" s="2077">
        <v>135</v>
      </c>
      <c r="EF4" s="2077">
        <v>136</v>
      </c>
      <c r="EG4" s="2077">
        <v>137</v>
      </c>
      <c r="EH4" s="2077">
        <v>138</v>
      </c>
      <c r="EI4" s="2077">
        <v>139</v>
      </c>
      <c r="EJ4" s="2077">
        <v>140</v>
      </c>
      <c r="EK4" s="2077">
        <v>141</v>
      </c>
      <c r="EL4" s="2077">
        <v>142</v>
      </c>
      <c r="EM4" s="2077">
        <v>143</v>
      </c>
      <c r="EN4" s="2077">
        <v>144</v>
      </c>
      <c r="EO4" s="2077">
        <v>145</v>
      </c>
      <c r="EP4" s="2077">
        <v>146</v>
      </c>
      <c r="EQ4" s="2077">
        <v>147</v>
      </c>
      <c r="ER4" s="2077">
        <v>148</v>
      </c>
      <c r="ES4" s="2077">
        <v>149</v>
      </c>
      <c r="ET4" s="2077">
        <v>150</v>
      </c>
      <c r="EU4" s="2077">
        <v>151</v>
      </c>
      <c r="EV4" s="2077">
        <v>152</v>
      </c>
      <c r="EW4" s="2077">
        <v>153</v>
      </c>
    </row>
    <row r="5" spans="1:168">
      <c r="A5" s="2085"/>
      <c r="B5" s="2086">
        <v>1</v>
      </c>
      <c r="C5" s="2087">
        <v>2</v>
      </c>
      <c r="D5" s="2088">
        <v>3</v>
      </c>
      <c r="E5" s="2089">
        <v>4</v>
      </c>
      <c r="F5" s="2088">
        <v>5</v>
      </c>
      <c r="G5" s="2086">
        <v>6</v>
      </c>
      <c r="H5" s="2086">
        <v>7</v>
      </c>
      <c r="I5" s="2086">
        <v>8</v>
      </c>
      <c r="J5" s="2086">
        <v>9</v>
      </c>
      <c r="K5" s="2086">
        <v>10</v>
      </c>
      <c r="L5" s="2086">
        <v>11</v>
      </c>
      <c r="M5" s="2086">
        <v>12</v>
      </c>
      <c r="N5" s="2086">
        <v>13</v>
      </c>
      <c r="O5" s="2086">
        <v>14</v>
      </c>
      <c r="P5" s="2086">
        <v>15</v>
      </c>
      <c r="Q5" s="2086">
        <v>16</v>
      </c>
      <c r="R5" s="2086">
        <v>17</v>
      </c>
      <c r="S5" s="2086">
        <v>18</v>
      </c>
      <c r="T5" s="2086">
        <v>19</v>
      </c>
      <c r="U5" s="2086">
        <v>20</v>
      </c>
      <c r="V5" s="2086">
        <v>21</v>
      </c>
      <c r="W5" s="2086">
        <v>22</v>
      </c>
      <c r="X5" s="2086">
        <v>23</v>
      </c>
      <c r="Y5" s="2086">
        <v>24</v>
      </c>
      <c r="Z5" s="2086">
        <v>25</v>
      </c>
      <c r="AA5" s="2086">
        <v>26</v>
      </c>
      <c r="AB5" s="2086">
        <v>27</v>
      </c>
      <c r="AC5" s="2086">
        <v>28</v>
      </c>
      <c r="AD5" s="2086">
        <v>29</v>
      </c>
      <c r="AE5" s="2086">
        <v>30</v>
      </c>
      <c r="AF5" s="2086">
        <v>31</v>
      </c>
      <c r="AG5" s="2086">
        <v>32</v>
      </c>
      <c r="AH5" s="2086">
        <v>33</v>
      </c>
      <c r="AI5" s="2086">
        <v>34</v>
      </c>
      <c r="AJ5" s="2086">
        <v>35</v>
      </c>
      <c r="AK5" s="2086">
        <v>36</v>
      </c>
      <c r="AL5" s="2086">
        <v>37</v>
      </c>
      <c r="AM5" s="2086">
        <v>38</v>
      </c>
      <c r="AN5" s="2086">
        <v>39</v>
      </c>
      <c r="AO5" s="2086">
        <v>40</v>
      </c>
      <c r="AP5" s="2086">
        <v>41</v>
      </c>
      <c r="AQ5" s="2086">
        <v>42</v>
      </c>
      <c r="AR5" s="2086">
        <v>43</v>
      </c>
      <c r="AS5" s="2086">
        <v>44</v>
      </c>
      <c r="AT5" s="2086">
        <v>45</v>
      </c>
      <c r="AU5" s="2086">
        <v>46</v>
      </c>
      <c r="AV5" s="2086">
        <v>47</v>
      </c>
      <c r="AW5" s="2086">
        <v>48</v>
      </c>
      <c r="AX5" s="2086">
        <v>49</v>
      </c>
      <c r="AY5" s="2086">
        <v>50</v>
      </c>
      <c r="AZ5" s="2086">
        <v>51</v>
      </c>
      <c r="BA5" s="2086">
        <v>52</v>
      </c>
      <c r="BB5" s="2086">
        <v>53</v>
      </c>
      <c r="BC5" s="2086">
        <v>54</v>
      </c>
      <c r="BD5" s="2086">
        <v>55</v>
      </c>
      <c r="BE5" s="2086">
        <v>56</v>
      </c>
      <c r="BF5" s="2086">
        <v>57</v>
      </c>
      <c r="BG5" s="2086">
        <v>58</v>
      </c>
      <c r="BH5" s="2086">
        <v>59</v>
      </c>
      <c r="BI5" s="2086">
        <v>60</v>
      </c>
      <c r="BJ5" s="2086">
        <v>61</v>
      </c>
      <c r="BK5" s="2086">
        <v>62</v>
      </c>
      <c r="BL5" s="2086">
        <v>63</v>
      </c>
      <c r="BM5" s="2086">
        <v>64</v>
      </c>
      <c r="BN5" s="2086">
        <v>65</v>
      </c>
      <c r="BO5" s="2086">
        <v>66</v>
      </c>
      <c r="BP5" s="2086">
        <v>67</v>
      </c>
      <c r="BQ5" s="2086">
        <v>68</v>
      </c>
      <c r="BR5" s="2086">
        <v>69</v>
      </c>
      <c r="BS5" s="2086">
        <v>70</v>
      </c>
      <c r="BT5" s="2086">
        <v>71</v>
      </c>
      <c r="BU5" s="2086">
        <v>72</v>
      </c>
      <c r="BV5" s="2086">
        <v>73</v>
      </c>
      <c r="BW5" s="2086">
        <v>74</v>
      </c>
      <c r="BX5" s="2086">
        <v>75</v>
      </c>
      <c r="BY5" s="2086">
        <v>76</v>
      </c>
      <c r="BZ5" s="2086">
        <v>77</v>
      </c>
      <c r="CA5" s="2086">
        <v>78</v>
      </c>
      <c r="CB5" s="2086">
        <v>79</v>
      </c>
      <c r="CC5" s="2086">
        <v>80</v>
      </c>
      <c r="CD5" s="2086">
        <v>81</v>
      </c>
      <c r="CE5" s="2086">
        <v>82</v>
      </c>
      <c r="CF5" s="2086">
        <v>83</v>
      </c>
      <c r="CG5" s="2086">
        <v>84</v>
      </c>
      <c r="CH5" s="2086">
        <v>85</v>
      </c>
      <c r="CI5" s="2086">
        <v>86</v>
      </c>
      <c r="CJ5" s="2086">
        <v>87</v>
      </c>
      <c r="CK5" s="2086">
        <v>88</v>
      </c>
      <c r="CL5" s="2086">
        <v>89</v>
      </c>
      <c r="CM5" s="2086">
        <v>90</v>
      </c>
      <c r="CN5" s="2086">
        <v>91</v>
      </c>
      <c r="CO5" s="2086">
        <v>92</v>
      </c>
      <c r="CP5" s="2086">
        <v>93</v>
      </c>
      <c r="CQ5" s="2086">
        <v>94</v>
      </c>
      <c r="CR5" s="2086">
        <v>95</v>
      </c>
      <c r="CS5" s="2086">
        <v>96</v>
      </c>
      <c r="CT5" s="2086">
        <v>97</v>
      </c>
      <c r="CU5" s="2086">
        <v>98</v>
      </c>
      <c r="CV5" s="2086">
        <v>99</v>
      </c>
      <c r="CW5" s="2086">
        <v>100</v>
      </c>
      <c r="CX5" s="2086">
        <v>101</v>
      </c>
      <c r="CY5" s="2086">
        <v>102</v>
      </c>
      <c r="CZ5" s="2086">
        <v>103</v>
      </c>
      <c r="DA5" s="2086">
        <v>104</v>
      </c>
      <c r="DB5" s="2086">
        <v>105</v>
      </c>
      <c r="DC5" s="2086">
        <v>106</v>
      </c>
      <c r="DD5" s="2086">
        <v>107</v>
      </c>
      <c r="DE5" s="2086">
        <v>108</v>
      </c>
      <c r="DF5" s="2086">
        <v>109</v>
      </c>
      <c r="DG5" s="2086">
        <v>110</v>
      </c>
      <c r="DH5" s="2086">
        <v>111</v>
      </c>
      <c r="DI5" s="2086">
        <v>112</v>
      </c>
      <c r="DJ5" s="2086">
        <v>113</v>
      </c>
      <c r="DK5" s="2086">
        <v>114</v>
      </c>
      <c r="DL5" s="2086">
        <v>115</v>
      </c>
      <c r="DM5" s="2086">
        <v>116</v>
      </c>
      <c r="DN5" s="2086">
        <v>117</v>
      </c>
      <c r="DO5" s="2086">
        <v>118</v>
      </c>
      <c r="DP5" s="2086">
        <v>119</v>
      </c>
      <c r="DQ5" s="2086">
        <v>120</v>
      </c>
      <c r="DR5" s="2086">
        <v>121</v>
      </c>
      <c r="DS5" s="2086">
        <v>122</v>
      </c>
      <c r="DT5" s="2086">
        <v>123</v>
      </c>
      <c r="DU5" s="2086">
        <v>124</v>
      </c>
      <c r="DV5" s="2086">
        <v>125</v>
      </c>
      <c r="DW5" s="2086">
        <v>126</v>
      </c>
      <c r="DX5" s="2086">
        <v>127</v>
      </c>
      <c r="DY5" s="2086">
        <v>128</v>
      </c>
      <c r="DZ5" s="2086">
        <v>129</v>
      </c>
      <c r="EA5" s="2086">
        <v>130</v>
      </c>
      <c r="EB5" s="2086">
        <v>131</v>
      </c>
      <c r="EC5" s="2086">
        <v>132</v>
      </c>
      <c r="ED5" s="2086">
        <v>133</v>
      </c>
      <c r="EE5" s="2086">
        <v>134</v>
      </c>
      <c r="EF5" s="2086">
        <v>135</v>
      </c>
      <c r="EG5" s="2086">
        <v>136</v>
      </c>
      <c r="EH5" s="2086">
        <v>137</v>
      </c>
      <c r="EI5" s="2086">
        <v>138</v>
      </c>
      <c r="EJ5" s="2086">
        <v>139</v>
      </c>
      <c r="EK5" s="2086">
        <v>140</v>
      </c>
      <c r="EL5" s="2086">
        <v>141</v>
      </c>
      <c r="EM5" s="2086">
        <v>142</v>
      </c>
      <c r="EN5" s="2086">
        <v>143</v>
      </c>
      <c r="EO5" s="2086">
        <v>144</v>
      </c>
      <c r="EP5" s="2086">
        <v>145</v>
      </c>
    </row>
    <row r="6" spans="1:168" s="2096" customFormat="1" ht="12.75" customHeight="1">
      <c r="A6" s="3221" t="s">
        <v>474</v>
      </c>
      <c r="B6" s="3224" t="s">
        <v>1616</v>
      </c>
      <c r="C6" s="3225" t="s">
        <v>1617</v>
      </c>
      <c r="D6" s="3226" t="s">
        <v>1618</v>
      </c>
      <c r="E6" s="3227" t="s">
        <v>1619</v>
      </c>
      <c r="F6" s="3226" t="s">
        <v>1620</v>
      </c>
      <c r="G6" s="3227" t="s">
        <v>1621</v>
      </c>
      <c r="H6" s="3227" t="s">
        <v>1622</v>
      </c>
      <c r="I6" s="3227" t="s">
        <v>1623</v>
      </c>
      <c r="J6" s="3229" t="s">
        <v>1624</v>
      </c>
      <c r="K6" s="3229" t="s">
        <v>1625</v>
      </c>
      <c r="L6" s="3229" t="s">
        <v>1626</v>
      </c>
      <c r="M6" s="3229" t="s">
        <v>1627</v>
      </c>
      <c r="N6" s="3227" t="s">
        <v>245</v>
      </c>
      <c r="O6" s="3227"/>
      <c r="P6" s="3227"/>
      <c r="Q6" s="3227"/>
      <c r="R6" s="3227"/>
      <c r="S6" s="3227"/>
      <c r="T6" s="3227"/>
      <c r="U6" s="3227"/>
      <c r="V6" s="3227"/>
      <c r="W6" s="3227"/>
      <c r="X6" s="3230" t="s">
        <v>246</v>
      </c>
      <c r="Y6" s="3230"/>
      <c r="Z6" s="3230"/>
      <c r="AA6" s="3230"/>
      <c r="AB6" s="3230"/>
      <c r="AC6" s="3230"/>
      <c r="AD6" s="3230"/>
      <c r="AE6" s="3230"/>
      <c r="AF6" s="3230"/>
      <c r="AG6" s="3230"/>
      <c r="AH6" s="3230" t="s">
        <v>247</v>
      </c>
      <c r="AI6" s="3230"/>
      <c r="AJ6" s="3230"/>
      <c r="AK6" s="3230"/>
      <c r="AL6" s="3230"/>
      <c r="AM6" s="3230"/>
      <c r="AN6" s="3230"/>
      <c r="AO6" s="3230"/>
      <c r="AP6" s="3230"/>
      <c r="AQ6" s="3230"/>
      <c r="AR6" s="3228" t="s">
        <v>248</v>
      </c>
      <c r="AS6" s="3228"/>
      <c r="AT6" s="3228"/>
      <c r="AU6" s="3228"/>
      <c r="AV6" s="3228"/>
      <c r="AW6" s="3228"/>
      <c r="AX6" s="3228"/>
      <c r="AY6" s="3228"/>
      <c r="AZ6" s="3228"/>
      <c r="BA6" s="3228"/>
      <c r="BB6" s="3228" t="s">
        <v>249</v>
      </c>
      <c r="BC6" s="3228"/>
      <c r="BD6" s="3228"/>
      <c r="BE6" s="3228"/>
      <c r="BF6" s="3228"/>
      <c r="BG6" s="3228"/>
      <c r="BH6" s="3228"/>
      <c r="BI6" s="3228"/>
      <c r="BJ6" s="3228"/>
      <c r="BK6" s="3228"/>
      <c r="BL6" s="3228" t="s">
        <v>250</v>
      </c>
      <c r="BM6" s="3228"/>
      <c r="BN6" s="3228"/>
      <c r="BO6" s="3228"/>
      <c r="BP6" s="3228"/>
      <c r="BQ6" s="3228"/>
      <c r="BR6" s="3228"/>
      <c r="BS6" s="3228"/>
      <c r="BT6" s="3228"/>
      <c r="BU6" s="3228"/>
      <c r="BV6" s="3228" t="s">
        <v>255</v>
      </c>
      <c r="BW6" s="3228"/>
      <c r="BX6" s="3228"/>
      <c r="BY6" s="3228"/>
      <c r="BZ6" s="3228"/>
      <c r="CA6" s="3228"/>
      <c r="CB6" s="3228"/>
      <c r="CC6" s="3228"/>
      <c r="CD6" s="3228"/>
      <c r="CE6" s="3228"/>
      <c r="CF6" s="3228" t="s">
        <v>251</v>
      </c>
      <c r="CG6" s="3228"/>
      <c r="CH6" s="3228"/>
      <c r="CI6" s="3228"/>
      <c r="CJ6" s="3228"/>
      <c r="CK6" s="3228"/>
      <c r="CL6" s="3228"/>
      <c r="CM6" s="3228"/>
      <c r="CN6" s="3228"/>
      <c r="CO6" s="3228"/>
      <c r="CP6" s="3228" t="s">
        <v>252</v>
      </c>
      <c r="CQ6" s="3228"/>
      <c r="CR6" s="3228"/>
      <c r="CS6" s="3228"/>
      <c r="CT6" s="3228"/>
      <c r="CU6" s="3228"/>
      <c r="CV6" s="3228"/>
      <c r="CW6" s="3228"/>
      <c r="CX6" s="3228"/>
      <c r="CY6" s="3228"/>
      <c r="CZ6" s="3228" t="s">
        <v>254</v>
      </c>
      <c r="DA6" s="3228"/>
      <c r="DB6" s="3228"/>
      <c r="DC6" s="3228"/>
      <c r="DD6" s="3228"/>
      <c r="DE6" s="3228"/>
      <c r="DF6" s="3228"/>
      <c r="DG6" s="3228"/>
      <c r="DH6" s="3228"/>
      <c r="DI6" s="3228"/>
      <c r="DJ6" s="3228" t="s">
        <v>253</v>
      </c>
      <c r="DK6" s="3228"/>
      <c r="DL6" s="3228"/>
      <c r="DM6" s="3228"/>
      <c r="DN6" s="3228"/>
      <c r="DO6" s="3228"/>
      <c r="DP6" s="3228"/>
      <c r="DQ6" s="3228"/>
      <c r="DR6" s="3228"/>
      <c r="DS6" s="3228"/>
      <c r="DT6" s="3230" t="s">
        <v>256</v>
      </c>
      <c r="DU6" s="3230"/>
      <c r="DV6" s="3230"/>
      <c r="DW6" s="3230"/>
      <c r="DX6" s="3230"/>
      <c r="DY6" s="3230"/>
      <c r="DZ6" s="3230"/>
      <c r="EA6" s="3230"/>
      <c r="EB6" s="3230"/>
      <c r="EC6" s="3230"/>
      <c r="ED6" s="3232" t="s">
        <v>22</v>
      </c>
      <c r="EE6" s="3232"/>
      <c r="EF6" s="3232"/>
      <c r="EG6" s="3232"/>
      <c r="EH6" s="3232"/>
      <c r="EI6" s="3232"/>
      <c r="EJ6" s="3232"/>
      <c r="EK6" s="3232"/>
      <c r="EL6" s="3232"/>
      <c r="EM6" s="3232"/>
      <c r="EN6" s="3232"/>
      <c r="EO6" s="3232"/>
      <c r="EP6" s="3232"/>
      <c r="EQ6" s="3233"/>
      <c r="ER6" s="3233"/>
      <c r="ES6" s="3233"/>
      <c r="ET6" s="3233"/>
      <c r="EU6" s="3233"/>
      <c r="EV6" s="3233"/>
      <c r="EW6" s="3233"/>
      <c r="EX6" s="3233"/>
      <c r="EY6" s="3233"/>
      <c r="EZ6" s="3233"/>
      <c r="FA6" s="3233"/>
      <c r="FF6" s="3231"/>
      <c r="FG6" s="3231"/>
      <c r="FH6" s="3231"/>
      <c r="FI6" s="3231"/>
      <c r="FJ6" s="3231"/>
      <c r="FK6" s="3231"/>
      <c r="FL6" s="3231"/>
    </row>
    <row r="7" spans="1:168" s="2096" customFormat="1" ht="102" customHeight="1">
      <c r="A7" s="3222"/>
      <c r="B7" s="3224"/>
      <c r="C7" s="3225"/>
      <c r="D7" s="3226"/>
      <c r="E7" s="3227"/>
      <c r="F7" s="3226"/>
      <c r="G7" s="3227"/>
      <c r="H7" s="3227"/>
      <c r="I7" s="3227"/>
      <c r="J7" s="3229"/>
      <c r="K7" s="3229"/>
      <c r="L7" s="3229"/>
      <c r="M7" s="3229"/>
      <c r="N7" s="3227" t="s">
        <v>1628</v>
      </c>
      <c r="O7" s="3227" t="s">
        <v>781</v>
      </c>
      <c r="P7" s="3227"/>
      <c r="Q7" s="3227" t="s">
        <v>1629</v>
      </c>
      <c r="R7" s="3227"/>
      <c r="S7" s="3227" t="s">
        <v>1630</v>
      </c>
      <c r="T7" s="3227"/>
      <c r="U7" s="2787" t="s">
        <v>1631</v>
      </c>
      <c r="V7" s="3227" t="s">
        <v>1632</v>
      </c>
      <c r="W7" s="3227"/>
      <c r="X7" s="3230" t="s">
        <v>1628</v>
      </c>
      <c r="Y7" s="3230" t="s">
        <v>781</v>
      </c>
      <c r="Z7" s="3230"/>
      <c r="AA7" s="3230" t="s">
        <v>1633</v>
      </c>
      <c r="AB7" s="3230"/>
      <c r="AC7" s="3230" t="s">
        <v>1630</v>
      </c>
      <c r="AD7" s="3230"/>
      <c r="AE7" s="2790" t="s">
        <v>1631</v>
      </c>
      <c r="AF7" s="3230" t="s">
        <v>1632</v>
      </c>
      <c r="AG7" s="3230"/>
      <c r="AH7" s="3230" t="s">
        <v>1628</v>
      </c>
      <c r="AI7" s="3230" t="s">
        <v>1634</v>
      </c>
      <c r="AJ7" s="3230"/>
      <c r="AK7" s="3230" t="s">
        <v>1629</v>
      </c>
      <c r="AL7" s="3230"/>
      <c r="AM7" s="3230" t="s">
        <v>1630</v>
      </c>
      <c r="AN7" s="3230"/>
      <c r="AO7" s="2790" t="s">
        <v>1631</v>
      </c>
      <c r="AP7" s="3230" t="s">
        <v>1632</v>
      </c>
      <c r="AQ7" s="3230"/>
      <c r="AR7" s="3230" t="s">
        <v>1628</v>
      </c>
      <c r="AS7" s="3230" t="s">
        <v>1634</v>
      </c>
      <c r="AT7" s="3230"/>
      <c r="AU7" s="3230" t="s">
        <v>1629</v>
      </c>
      <c r="AV7" s="3230"/>
      <c r="AW7" s="3230" t="s">
        <v>1630</v>
      </c>
      <c r="AX7" s="3230"/>
      <c r="AY7" s="2790" t="s">
        <v>1631</v>
      </c>
      <c r="AZ7" s="3230" t="s">
        <v>1632</v>
      </c>
      <c r="BA7" s="3230"/>
      <c r="BB7" s="3230" t="s">
        <v>1628</v>
      </c>
      <c r="BC7" s="3230" t="s">
        <v>1634</v>
      </c>
      <c r="BD7" s="3230"/>
      <c r="BE7" s="3230" t="s">
        <v>1629</v>
      </c>
      <c r="BF7" s="3230"/>
      <c r="BG7" s="3230" t="s">
        <v>1630</v>
      </c>
      <c r="BH7" s="3230"/>
      <c r="BI7" s="2790" t="s">
        <v>1631</v>
      </c>
      <c r="BJ7" s="3230" t="s">
        <v>1632</v>
      </c>
      <c r="BK7" s="3230"/>
      <c r="BL7" s="3230" t="s">
        <v>1628</v>
      </c>
      <c r="BM7" s="3230" t="s">
        <v>1634</v>
      </c>
      <c r="BN7" s="3230"/>
      <c r="BO7" s="3230" t="s">
        <v>1629</v>
      </c>
      <c r="BP7" s="3230"/>
      <c r="BQ7" s="3230" t="s">
        <v>1635</v>
      </c>
      <c r="BR7" s="3230"/>
      <c r="BS7" s="2790" t="s">
        <v>1631</v>
      </c>
      <c r="BT7" s="3230" t="s">
        <v>1636</v>
      </c>
      <c r="BU7" s="3230"/>
      <c r="BV7" s="3230" t="s">
        <v>1628</v>
      </c>
      <c r="BW7" s="3230" t="s">
        <v>1634</v>
      </c>
      <c r="BX7" s="3230"/>
      <c r="BY7" s="3230" t="s">
        <v>1629</v>
      </c>
      <c r="BZ7" s="3230"/>
      <c r="CA7" s="3230" t="s">
        <v>1635</v>
      </c>
      <c r="CB7" s="3230"/>
      <c r="CC7" s="2790" t="s">
        <v>1631</v>
      </c>
      <c r="CD7" s="3230" t="s">
        <v>1636</v>
      </c>
      <c r="CE7" s="3230"/>
      <c r="CF7" s="3230" t="s">
        <v>1628</v>
      </c>
      <c r="CG7" s="3230" t="s">
        <v>1634</v>
      </c>
      <c r="CH7" s="3230"/>
      <c r="CI7" s="3230" t="s">
        <v>1629</v>
      </c>
      <c r="CJ7" s="3230"/>
      <c r="CK7" s="3230" t="s">
        <v>1635</v>
      </c>
      <c r="CL7" s="3230"/>
      <c r="CM7" s="2790" t="s">
        <v>1631</v>
      </c>
      <c r="CN7" s="3230" t="s">
        <v>1636</v>
      </c>
      <c r="CO7" s="3230"/>
      <c r="CP7" s="3230" t="s">
        <v>1628</v>
      </c>
      <c r="CQ7" s="3230" t="s">
        <v>1634</v>
      </c>
      <c r="CR7" s="3230"/>
      <c r="CS7" s="3230" t="s">
        <v>1629</v>
      </c>
      <c r="CT7" s="3230"/>
      <c r="CU7" s="3230" t="s">
        <v>1635</v>
      </c>
      <c r="CV7" s="3230"/>
      <c r="CW7" s="2790" t="s">
        <v>1631</v>
      </c>
      <c r="CX7" s="3230" t="s">
        <v>1636</v>
      </c>
      <c r="CY7" s="3230"/>
      <c r="CZ7" s="3230" t="s">
        <v>1628</v>
      </c>
      <c r="DA7" s="3230" t="s">
        <v>1634</v>
      </c>
      <c r="DB7" s="3230"/>
      <c r="DC7" s="3230" t="s">
        <v>1629</v>
      </c>
      <c r="DD7" s="3230"/>
      <c r="DE7" s="3230" t="s">
        <v>1635</v>
      </c>
      <c r="DF7" s="3230"/>
      <c r="DG7" s="2790" t="s">
        <v>1631</v>
      </c>
      <c r="DH7" s="3230" t="s">
        <v>1636</v>
      </c>
      <c r="DI7" s="3230"/>
      <c r="DJ7" s="3230" t="s">
        <v>1628</v>
      </c>
      <c r="DK7" s="3230" t="s">
        <v>1634</v>
      </c>
      <c r="DL7" s="3230"/>
      <c r="DM7" s="3230" t="s">
        <v>1629</v>
      </c>
      <c r="DN7" s="3230"/>
      <c r="DO7" s="3230" t="s">
        <v>1635</v>
      </c>
      <c r="DP7" s="3230"/>
      <c r="DQ7" s="2790" t="s">
        <v>1631</v>
      </c>
      <c r="DR7" s="3230" t="s">
        <v>1636</v>
      </c>
      <c r="DS7" s="3230"/>
      <c r="DT7" s="3230" t="s">
        <v>1628</v>
      </c>
      <c r="DU7" s="3230" t="s">
        <v>1634</v>
      </c>
      <c r="DV7" s="3230"/>
      <c r="DW7" s="3230" t="s">
        <v>1629</v>
      </c>
      <c r="DX7" s="3230"/>
      <c r="DY7" s="3230" t="s">
        <v>1630</v>
      </c>
      <c r="DZ7" s="3230"/>
      <c r="EA7" s="2790" t="s">
        <v>1631</v>
      </c>
      <c r="EB7" s="3230" t="s">
        <v>1636</v>
      </c>
      <c r="EC7" s="3230"/>
      <c r="ED7" s="3230" t="s">
        <v>1628</v>
      </c>
      <c r="EE7" s="3230" t="s">
        <v>1637</v>
      </c>
      <c r="EF7" s="3230" t="s">
        <v>1638</v>
      </c>
      <c r="EG7" s="3230"/>
      <c r="EH7" s="3230" t="s">
        <v>1639</v>
      </c>
      <c r="EI7" s="3230"/>
      <c r="EJ7" s="3230" t="s">
        <v>1640</v>
      </c>
      <c r="EK7" s="3230"/>
      <c r="EL7" s="2790" t="s">
        <v>1631</v>
      </c>
      <c r="EM7" s="3230" t="s">
        <v>1636</v>
      </c>
      <c r="EN7" s="3230"/>
      <c r="EO7" s="2790" t="s">
        <v>1641</v>
      </c>
      <c r="EP7" s="2790" t="s">
        <v>1642</v>
      </c>
      <c r="EU7" s="3234" t="s">
        <v>2081</v>
      </c>
      <c r="EV7" s="3234"/>
      <c r="EW7" s="3234"/>
      <c r="FF7" s="3231"/>
      <c r="FG7" s="3231"/>
      <c r="FH7" s="3231"/>
      <c r="FI7" s="3231"/>
      <c r="FJ7" s="3231"/>
      <c r="FK7" s="3231"/>
      <c r="FL7" s="3231"/>
    </row>
    <row r="8" spans="1:168" s="2096" customFormat="1" ht="24" customHeight="1">
      <c r="A8" s="3223"/>
      <c r="B8" s="3224"/>
      <c r="C8" s="3225"/>
      <c r="D8" s="3226"/>
      <c r="E8" s="3227"/>
      <c r="F8" s="3226"/>
      <c r="G8" s="3227"/>
      <c r="H8" s="3227"/>
      <c r="I8" s="3227"/>
      <c r="J8" s="3229"/>
      <c r="K8" s="3229"/>
      <c r="L8" s="3229"/>
      <c r="M8" s="3229"/>
      <c r="N8" s="3227"/>
      <c r="O8" s="2787" t="s">
        <v>1162</v>
      </c>
      <c r="P8" s="2787" t="s">
        <v>1643</v>
      </c>
      <c r="Q8" s="2787" t="s">
        <v>1162</v>
      </c>
      <c r="R8" s="2787" t="s">
        <v>1643</v>
      </c>
      <c r="S8" s="2787" t="s">
        <v>1162</v>
      </c>
      <c r="T8" s="2787" t="s">
        <v>1643</v>
      </c>
      <c r="U8" s="2787" t="s">
        <v>1643</v>
      </c>
      <c r="V8" s="2787" t="s">
        <v>1162</v>
      </c>
      <c r="W8" s="2787" t="s">
        <v>1643</v>
      </c>
      <c r="X8" s="3230"/>
      <c r="Y8" s="2790" t="s">
        <v>1162</v>
      </c>
      <c r="Z8" s="2790" t="s">
        <v>1643</v>
      </c>
      <c r="AA8" s="2790" t="s">
        <v>1162</v>
      </c>
      <c r="AB8" s="2790" t="s">
        <v>1643</v>
      </c>
      <c r="AC8" s="2790" t="s">
        <v>1162</v>
      </c>
      <c r="AD8" s="2790" t="s">
        <v>1643</v>
      </c>
      <c r="AE8" s="2790" t="s">
        <v>1643</v>
      </c>
      <c r="AF8" s="2790" t="s">
        <v>1162</v>
      </c>
      <c r="AG8" s="2790" t="s">
        <v>1643</v>
      </c>
      <c r="AH8" s="3230"/>
      <c r="AI8" s="2790" t="s">
        <v>1162</v>
      </c>
      <c r="AJ8" s="2790" t="s">
        <v>1643</v>
      </c>
      <c r="AK8" s="2790" t="s">
        <v>1162</v>
      </c>
      <c r="AL8" s="2790" t="s">
        <v>1643</v>
      </c>
      <c r="AM8" s="2790" t="s">
        <v>1162</v>
      </c>
      <c r="AN8" s="2790" t="s">
        <v>1643</v>
      </c>
      <c r="AO8" s="2790" t="s">
        <v>1643</v>
      </c>
      <c r="AP8" s="2790" t="s">
        <v>1162</v>
      </c>
      <c r="AQ8" s="2790" t="s">
        <v>1643</v>
      </c>
      <c r="AR8" s="3230"/>
      <c r="AS8" s="2790" t="s">
        <v>1162</v>
      </c>
      <c r="AT8" s="2790" t="s">
        <v>1643</v>
      </c>
      <c r="AU8" s="2790" t="s">
        <v>1162</v>
      </c>
      <c r="AV8" s="2790" t="s">
        <v>1643</v>
      </c>
      <c r="AW8" s="2790" t="s">
        <v>1162</v>
      </c>
      <c r="AX8" s="2790" t="s">
        <v>1643</v>
      </c>
      <c r="AY8" s="2790" t="s">
        <v>1643</v>
      </c>
      <c r="AZ8" s="2790" t="s">
        <v>1162</v>
      </c>
      <c r="BA8" s="2790" t="s">
        <v>1643</v>
      </c>
      <c r="BB8" s="3230"/>
      <c r="BC8" s="2790" t="s">
        <v>1162</v>
      </c>
      <c r="BD8" s="2790" t="s">
        <v>1643</v>
      </c>
      <c r="BE8" s="2790" t="s">
        <v>1162</v>
      </c>
      <c r="BF8" s="2790" t="s">
        <v>1643</v>
      </c>
      <c r="BG8" s="2790" t="s">
        <v>1162</v>
      </c>
      <c r="BH8" s="2790" t="s">
        <v>1643</v>
      </c>
      <c r="BI8" s="2790" t="s">
        <v>1643</v>
      </c>
      <c r="BJ8" s="2790" t="s">
        <v>1162</v>
      </c>
      <c r="BK8" s="2790" t="s">
        <v>1643</v>
      </c>
      <c r="BL8" s="3230"/>
      <c r="BM8" s="2790" t="s">
        <v>1162</v>
      </c>
      <c r="BN8" s="2790" t="s">
        <v>1643</v>
      </c>
      <c r="BO8" s="2790" t="s">
        <v>1162</v>
      </c>
      <c r="BP8" s="2790" t="s">
        <v>1643</v>
      </c>
      <c r="BQ8" s="2790" t="s">
        <v>1162</v>
      </c>
      <c r="BR8" s="2790" t="s">
        <v>1643</v>
      </c>
      <c r="BS8" s="2790" t="s">
        <v>1643</v>
      </c>
      <c r="BT8" s="2790" t="s">
        <v>1162</v>
      </c>
      <c r="BU8" s="2790" t="s">
        <v>1643</v>
      </c>
      <c r="BV8" s="3230"/>
      <c r="BW8" s="2790" t="s">
        <v>1162</v>
      </c>
      <c r="BX8" s="2790" t="s">
        <v>1643</v>
      </c>
      <c r="BY8" s="2790" t="s">
        <v>1162</v>
      </c>
      <c r="BZ8" s="2790" t="s">
        <v>1643</v>
      </c>
      <c r="CA8" s="2790" t="s">
        <v>1162</v>
      </c>
      <c r="CB8" s="2790" t="s">
        <v>1643</v>
      </c>
      <c r="CC8" s="2790" t="s">
        <v>1643</v>
      </c>
      <c r="CD8" s="2790" t="s">
        <v>1162</v>
      </c>
      <c r="CE8" s="2790" t="s">
        <v>1643</v>
      </c>
      <c r="CF8" s="3230"/>
      <c r="CG8" s="2790" t="s">
        <v>1162</v>
      </c>
      <c r="CH8" s="2790" t="s">
        <v>1643</v>
      </c>
      <c r="CI8" s="2790" t="s">
        <v>1162</v>
      </c>
      <c r="CJ8" s="2790" t="s">
        <v>1643</v>
      </c>
      <c r="CK8" s="2790" t="s">
        <v>1162</v>
      </c>
      <c r="CL8" s="2790" t="s">
        <v>1643</v>
      </c>
      <c r="CM8" s="2790" t="s">
        <v>1643</v>
      </c>
      <c r="CN8" s="2790" t="s">
        <v>1162</v>
      </c>
      <c r="CO8" s="2790" t="s">
        <v>1643</v>
      </c>
      <c r="CP8" s="3230"/>
      <c r="CQ8" s="2790" t="s">
        <v>1162</v>
      </c>
      <c r="CR8" s="2790" t="s">
        <v>1643</v>
      </c>
      <c r="CS8" s="2790" t="s">
        <v>1162</v>
      </c>
      <c r="CT8" s="2790" t="s">
        <v>1643</v>
      </c>
      <c r="CU8" s="2790" t="s">
        <v>1162</v>
      </c>
      <c r="CV8" s="2790" t="s">
        <v>1643</v>
      </c>
      <c r="CW8" s="2790" t="s">
        <v>1643</v>
      </c>
      <c r="CX8" s="2790" t="s">
        <v>1162</v>
      </c>
      <c r="CY8" s="2790" t="s">
        <v>1643</v>
      </c>
      <c r="CZ8" s="3230"/>
      <c r="DA8" s="2790" t="s">
        <v>1162</v>
      </c>
      <c r="DB8" s="2790" t="s">
        <v>1643</v>
      </c>
      <c r="DC8" s="2790" t="s">
        <v>1162</v>
      </c>
      <c r="DD8" s="2790" t="s">
        <v>1643</v>
      </c>
      <c r="DE8" s="2790" t="s">
        <v>1162</v>
      </c>
      <c r="DF8" s="2790" t="s">
        <v>1643</v>
      </c>
      <c r="DG8" s="2790" t="s">
        <v>1643</v>
      </c>
      <c r="DH8" s="2790" t="s">
        <v>1162</v>
      </c>
      <c r="DI8" s="2790" t="s">
        <v>1643</v>
      </c>
      <c r="DJ8" s="3230"/>
      <c r="DK8" s="2790" t="s">
        <v>1162</v>
      </c>
      <c r="DL8" s="2790" t="s">
        <v>1643</v>
      </c>
      <c r="DM8" s="2790" t="s">
        <v>1162</v>
      </c>
      <c r="DN8" s="2790" t="s">
        <v>1643</v>
      </c>
      <c r="DO8" s="2790" t="s">
        <v>1162</v>
      </c>
      <c r="DP8" s="2790" t="s">
        <v>1643</v>
      </c>
      <c r="DQ8" s="2790" t="s">
        <v>1643</v>
      </c>
      <c r="DR8" s="2790" t="s">
        <v>1162</v>
      </c>
      <c r="DS8" s="2790" t="s">
        <v>1643</v>
      </c>
      <c r="DT8" s="3230"/>
      <c r="DU8" s="2790" t="s">
        <v>1162</v>
      </c>
      <c r="DV8" s="2790" t="s">
        <v>1643</v>
      </c>
      <c r="DW8" s="2790" t="s">
        <v>1162</v>
      </c>
      <c r="DX8" s="2790" t="s">
        <v>1643</v>
      </c>
      <c r="DY8" s="2790" t="s">
        <v>1162</v>
      </c>
      <c r="DZ8" s="2790" t="s">
        <v>1643</v>
      </c>
      <c r="EA8" s="2790" t="s">
        <v>1643</v>
      </c>
      <c r="EB8" s="2790" t="s">
        <v>1162</v>
      </c>
      <c r="EC8" s="2790" t="s">
        <v>1643</v>
      </c>
      <c r="ED8" s="3230"/>
      <c r="EE8" s="3230"/>
      <c r="EF8" s="2790" t="s">
        <v>1162</v>
      </c>
      <c r="EG8" s="2790" t="s">
        <v>1643</v>
      </c>
      <c r="EH8" s="2790" t="s">
        <v>1162</v>
      </c>
      <c r="EI8" s="2790" t="s">
        <v>1643</v>
      </c>
      <c r="EJ8" s="2790" t="s">
        <v>1162</v>
      </c>
      <c r="EK8" s="2790" t="s">
        <v>1643</v>
      </c>
      <c r="EL8" s="2790" t="s">
        <v>1643</v>
      </c>
      <c r="EM8" s="2790" t="s">
        <v>1162</v>
      </c>
      <c r="EN8" s="2790" t="s">
        <v>1643</v>
      </c>
      <c r="EO8" s="2790" t="s">
        <v>1644</v>
      </c>
      <c r="EP8" s="2790" t="s">
        <v>1162</v>
      </c>
      <c r="EQ8" s="2097"/>
      <c r="ER8" s="2097"/>
      <c r="ES8" s="2097"/>
      <c r="ET8" s="2097"/>
      <c r="EU8" s="2792" t="s">
        <v>2082</v>
      </c>
      <c r="EV8" s="2792" t="s">
        <v>1628</v>
      </c>
      <c r="EW8" s="2792" t="s">
        <v>2083</v>
      </c>
      <c r="EX8" s="2097"/>
      <c r="EY8" s="2097"/>
      <c r="EZ8" s="2097"/>
      <c r="FA8" s="2097"/>
      <c r="FF8" s="3231"/>
      <c r="FG8" s="3231"/>
      <c r="FH8" s="3231"/>
      <c r="FI8" s="3231"/>
      <c r="FJ8" s="3231"/>
      <c r="FK8" s="3231"/>
      <c r="FL8" s="3231"/>
    </row>
    <row r="9" spans="1:168" s="2096" customFormat="1" ht="14.25" customHeight="1">
      <c r="A9" s="2783"/>
      <c r="B9" s="2784"/>
      <c r="C9" s="2785"/>
      <c r="D9" s="2786"/>
      <c r="E9" s="2787"/>
      <c r="F9" s="2786"/>
      <c r="G9" s="2787"/>
      <c r="H9" s="2787"/>
      <c r="I9" s="1590"/>
      <c r="J9" s="2789"/>
      <c r="K9" s="2789"/>
      <c r="L9" s="2789"/>
      <c r="M9" s="1591"/>
      <c r="N9" s="2787"/>
      <c r="O9" s="2787"/>
      <c r="P9" s="2787"/>
      <c r="Q9" s="2787"/>
      <c r="R9" s="2787"/>
      <c r="S9" s="2787"/>
      <c r="T9" s="2787"/>
      <c r="U9" s="2787"/>
      <c r="V9" s="2787"/>
      <c r="W9" s="2787"/>
      <c r="X9" s="2790"/>
      <c r="Y9" s="2790"/>
      <c r="Z9" s="2790"/>
      <c r="AA9" s="2790"/>
      <c r="AB9" s="2790"/>
      <c r="AC9" s="2790"/>
      <c r="AD9" s="2790"/>
      <c r="AE9" s="2790"/>
      <c r="AF9" s="2790"/>
      <c r="AG9" s="2790"/>
      <c r="AH9" s="2790"/>
      <c r="AI9" s="2790"/>
      <c r="AJ9" s="2790"/>
      <c r="AK9" s="2790"/>
      <c r="AL9" s="2790"/>
      <c r="AM9" s="2790"/>
      <c r="AN9" s="2790"/>
      <c r="AO9" s="2790"/>
      <c r="AP9" s="2790"/>
      <c r="AQ9" s="2790"/>
      <c r="AR9" s="2790"/>
      <c r="AS9" s="2790"/>
      <c r="AT9" s="2790"/>
      <c r="AU9" s="2790"/>
      <c r="AV9" s="2790"/>
      <c r="AW9" s="2790"/>
      <c r="AX9" s="2790"/>
      <c r="AY9" s="2790"/>
      <c r="AZ9" s="2790"/>
      <c r="BA9" s="2790"/>
      <c r="BB9" s="2790"/>
      <c r="BC9" s="2790"/>
      <c r="BD9" s="2790"/>
      <c r="BE9" s="2790"/>
      <c r="BF9" s="2790"/>
      <c r="BG9" s="2790"/>
      <c r="BH9" s="2790"/>
      <c r="BI9" s="2790"/>
      <c r="BJ9" s="2790"/>
      <c r="BK9" s="2790"/>
      <c r="BL9" s="2790"/>
      <c r="BM9" s="2790"/>
      <c r="BN9" s="2790"/>
      <c r="BO9" s="2790"/>
      <c r="BP9" s="2790"/>
      <c r="BQ9" s="2790"/>
      <c r="BR9" s="2790"/>
      <c r="BS9" s="2790"/>
      <c r="BT9" s="2790"/>
      <c r="BU9" s="2790"/>
      <c r="BV9" s="2790"/>
      <c r="BW9" s="2790"/>
      <c r="BX9" s="2790"/>
      <c r="BY9" s="2790"/>
      <c r="BZ9" s="2790"/>
      <c r="CA9" s="2790"/>
      <c r="CB9" s="2790"/>
      <c r="CC9" s="2790"/>
      <c r="CD9" s="2790"/>
      <c r="CE9" s="2790"/>
      <c r="CF9" s="2790"/>
      <c r="CG9" s="2790"/>
      <c r="CH9" s="2790"/>
      <c r="CI9" s="2790"/>
      <c r="CJ9" s="2790"/>
      <c r="CK9" s="2790"/>
      <c r="CL9" s="2790"/>
      <c r="CM9" s="2790"/>
      <c r="CN9" s="2790"/>
      <c r="CO9" s="2790"/>
      <c r="CP9" s="2790"/>
      <c r="CQ9" s="2790"/>
      <c r="CR9" s="2790"/>
      <c r="CS9" s="2790"/>
      <c r="CT9" s="2790"/>
      <c r="CU9" s="2790"/>
      <c r="CV9" s="2790"/>
      <c r="CW9" s="2790"/>
      <c r="CX9" s="2790"/>
      <c r="CY9" s="2790"/>
      <c r="CZ9" s="2790"/>
      <c r="DA9" s="2790"/>
      <c r="DB9" s="2790"/>
      <c r="DC9" s="2790"/>
      <c r="DD9" s="2790"/>
      <c r="DE9" s="2790"/>
      <c r="DF9" s="2790"/>
      <c r="DG9" s="2790"/>
      <c r="DH9" s="2790"/>
      <c r="DI9" s="2790"/>
      <c r="DJ9" s="2790"/>
      <c r="DK9" s="2790"/>
      <c r="DL9" s="2790"/>
      <c r="DM9" s="2790"/>
      <c r="DN9" s="2790"/>
      <c r="DO9" s="2790"/>
      <c r="DP9" s="2790"/>
      <c r="DQ9" s="2790"/>
      <c r="DR9" s="2790"/>
      <c r="DS9" s="2790"/>
      <c r="DT9" s="2790"/>
      <c r="DU9" s="2790"/>
      <c r="DV9" s="2790"/>
      <c r="DW9" s="2790"/>
      <c r="DX9" s="2790"/>
      <c r="DY9" s="2790"/>
      <c r="DZ9" s="2790"/>
      <c r="EA9" s="2790"/>
      <c r="EB9" s="2790"/>
      <c r="EC9" s="2790"/>
      <c r="ED9" s="2790"/>
      <c r="EE9" s="2790"/>
      <c r="EF9" s="2790"/>
      <c r="EG9" s="2790"/>
      <c r="EH9" s="2790"/>
      <c r="EI9" s="2790"/>
      <c r="EJ9" s="2790"/>
      <c r="EK9" s="2790"/>
      <c r="EL9" s="2790"/>
      <c r="EM9" s="2790"/>
      <c r="EN9" s="2790"/>
      <c r="EO9" s="2790"/>
      <c r="EP9" s="2790"/>
      <c r="EQ9" s="2097"/>
      <c r="ER9" s="2097"/>
      <c r="ES9" s="2097"/>
      <c r="ET9" s="2097"/>
      <c r="EU9" s="2097"/>
      <c r="EV9" s="2097"/>
      <c r="EW9" s="2097"/>
      <c r="EX9" s="2097"/>
      <c r="EY9" s="2097"/>
      <c r="EZ9" s="2097"/>
      <c r="FA9" s="2097"/>
      <c r="FF9" s="2791"/>
      <c r="FG9" s="2791"/>
      <c r="FH9" s="2791"/>
      <c r="FI9" s="2791"/>
      <c r="FJ9" s="2791"/>
      <c r="FK9" s="2791"/>
      <c r="FL9" s="2791"/>
    </row>
    <row r="10" spans="1:168" ht="15" customHeight="1">
      <c r="A10" s="1760" t="s">
        <v>57</v>
      </c>
      <c r="B10" s="1761" t="s">
        <v>1645</v>
      </c>
      <c r="C10" s="2098"/>
      <c r="D10" s="2099"/>
      <c r="E10" s="2100"/>
      <c r="F10" s="2099"/>
      <c r="G10" s="2101"/>
      <c r="H10" s="2102"/>
      <c r="I10" s="2103"/>
      <c r="J10" s="2104"/>
      <c r="K10" s="2101"/>
      <c r="L10" s="2101"/>
      <c r="M10" s="2105"/>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c r="AT10" s="2106"/>
      <c r="AU10" s="2106"/>
      <c r="AV10" s="2106"/>
      <c r="AW10" s="2106"/>
      <c r="AX10" s="2106"/>
      <c r="AY10" s="2106"/>
      <c r="AZ10" s="2106"/>
      <c r="BA10" s="2106"/>
      <c r="BB10" s="2106"/>
      <c r="BC10" s="2106"/>
      <c r="BD10" s="2106"/>
      <c r="BE10" s="2106"/>
      <c r="BF10" s="2106"/>
      <c r="BG10" s="2106"/>
      <c r="BH10" s="2106"/>
      <c r="BI10" s="2106"/>
      <c r="BJ10" s="2106"/>
      <c r="BK10" s="2106"/>
      <c r="BL10" s="2106"/>
      <c r="BM10" s="2106"/>
      <c r="BN10" s="2106"/>
      <c r="BO10" s="2106"/>
      <c r="BP10" s="2106"/>
      <c r="BQ10" s="2106"/>
      <c r="BR10" s="2106"/>
      <c r="BS10" s="2106"/>
      <c r="BT10" s="2106"/>
      <c r="BU10" s="2106"/>
      <c r="BV10" s="2106"/>
      <c r="BW10" s="2106"/>
      <c r="BX10" s="2106"/>
      <c r="BY10" s="2106"/>
      <c r="BZ10" s="2106"/>
      <c r="CA10" s="2106"/>
      <c r="CB10" s="2106"/>
      <c r="CC10" s="2106"/>
      <c r="CD10" s="2106"/>
      <c r="CE10" s="2106"/>
      <c r="CF10" s="2106"/>
      <c r="CG10" s="2106"/>
      <c r="CH10" s="2106"/>
      <c r="CI10" s="2106"/>
      <c r="CJ10" s="2106"/>
      <c r="CK10" s="2106"/>
      <c r="CL10" s="2106"/>
      <c r="CM10" s="2106"/>
      <c r="CN10" s="2106"/>
      <c r="CO10" s="2106"/>
      <c r="CP10" s="2106"/>
      <c r="CQ10" s="2106"/>
      <c r="CR10" s="2106"/>
      <c r="CS10" s="2106"/>
      <c r="CT10" s="2106"/>
      <c r="CU10" s="2106"/>
      <c r="CV10" s="2106"/>
      <c r="CW10" s="2106"/>
      <c r="CX10" s="2106"/>
      <c r="CY10" s="2106"/>
      <c r="CZ10" s="2106"/>
      <c r="DA10" s="2106"/>
      <c r="DB10" s="2106"/>
      <c r="DC10" s="2106"/>
      <c r="DD10" s="2106"/>
      <c r="DE10" s="2106"/>
      <c r="DF10" s="2106"/>
      <c r="DG10" s="2106"/>
      <c r="DH10" s="2106"/>
      <c r="DI10" s="2106"/>
      <c r="DJ10" s="2106"/>
      <c r="DK10" s="2106"/>
      <c r="DL10" s="2106"/>
      <c r="DM10" s="2106"/>
      <c r="DN10" s="2106"/>
      <c r="DO10" s="2106"/>
      <c r="DP10" s="2106"/>
      <c r="DQ10" s="2106"/>
      <c r="DR10" s="2106"/>
      <c r="DS10" s="2106"/>
      <c r="DT10" s="2106"/>
      <c r="DU10" s="2106"/>
      <c r="DV10" s="2106"/>
      <c r="DW10" s="2106"/>
      <c r="DX10" s="2106"/>
      <c r="DY10" s="2106"/>
      <c r="DZ10" s="2106"/>
      <c r="EA10" s="2106"/>
      <c r="EB10" s="2106"/>
      <c r="EC10" s="2106"/>
      <c r="ED10" s="2106"/>
      <c r="EE10" s="2107"/>
      <c r="EF10" s="2106"/>
      <c r="EG10" s="2106"/>
      <c r="EH10" s="2106"/>
      <c r="EI10" s="2106"/>
      <c r="EJ10" s="2106"/>
      <c r="EK10" s="2106"/>
      <c r="EL10" s="2106"/>
      <c r="EM10" s="2106"/>
      <c r="EN10" s="2106"/>
      <c r="EO10" s="2106"/>
      <c r="EP10" s="2106"/>
      <c r="FE10" s="2108"/>
      <c r="FF10" s="2108"/>
      <c r="FG10" s="2108"/>
      <c r="FH10" s="2108"/>
      <c r="FI10" s="2108"/>
      <c r="FJ10" s="2108"/>
      <c r="FK10" s="2108"/>
    </row>
    <row r="11" spans="1:168" ht="15" customHeight="1">
      <c r="A11" s="1760" t="s">
        <v>19</v>
      </c>
      <c r="B11" s="1761" t="s">
        <v>1646</v>
      </c>
      <c r="C11" s="2098"/>
      <c r="D11" s="2099"/>
      <c r="E11" s="2100"/>
      <c r="F11" s="2099"/>
      <c r="G11" s="2101"/>
      <c r="H11" s="2102"/>
      <c r="I11" s="2103"/>
      <c r="J11" s="2104"/>
      <c r="K11" s="2101"/>
      <c r="L11" s="2101"/>
      <c r="M11" s="2105"/>
      <c r="N11" s="2106"/>
      <c r="O11" s="2106"/>
      <c r="P11" s="2106"/>
      <c r="Q11" s="2106"/>
      <c r="R11" s="2106"/>
      <c r="S11" s="2106"/>
      <c r="T11" s="2106"/>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c r="AT11" s="2106"/>
      <c r="AU11" s="2106"/>
      <c r="AV11" s="2106"/>
      <c r="AW11" s="2106"/>
      <c r="AX11" s="2106"/>
      <c r="AY11" s="2106"/>
      <c r="AZ11" s="2106"/>
      <c r="BA11" s="2106"/>
      <c r="BB11" s="2106"/>
      <c r="BC11" s="2106"/>
      <c r="BD11" s="2106"/>
      <c r="BE11" s="2106"/>
      <c r="BF11" s="2106"/>
      <c r="BG11" s="2106"/>
      <c r="BH11" s="2106"/>
      <c r="BI11" s="2106"/>
      <c r="BJ11" s="2106"/>
      <c r="BK11" s="2106"/>
      <c r="BL11" s="2106"/>
      <c r="BM11" s="2106"/>
      <c r="BN11" s="2106"/>
      <c r="BO11" s="2106"/>
      <c r="BP11" s="2106"/>
      <c r="BQ11" s="2106"/>
      <c r="BR11" s="2106"/>
      <c r="BS11" s="2106"/>
      <c r="BT11" s="2106"/>
      <c r="BU11" s="2106"/>
      <c r="BV11" s="2106"/>
      <c r="BW11" s="2106"/>
      <c r="BX11" s="2106"/>
      <c r="BY11" s="2106"/>
      <c r="BZ11" s="2106"/>
      <c r="CA11" s="2106"/>
      <c r="CB11" s="2106"/>
      <c r="CC11" s="2106"/>
      <c r="CD11" s="2106"/>
      <c r="CE11" s="2106"/>
      <c r="CF11" s="2106"/>
      <c r="CG11" s="2106"/>
      <c r="CH11" s="2106"/>
      <c r="CI11" s="2106"/>
      <c r="CJ11" s="2106"/>
      <c r="CK11" s="2106"/>
      <c r="CL11" s="2106"/>
      <c r="CM11" s="2106"/>
      <c r="CN11" s="2106"/>
      <c r="CO11" s="2106"/>
      <c r="CP11" s="2106"/>
      <c r="CQ11" s="2106"/>
      <c r="CR11" s="2106"/>
      <c r="CS11" s="2106"/>
      <c r="CT11" s="2106"/>
      <c r="CU11" s="2106"/>
      <c r="CV11" s="2106"/>
      <c r="CW11" s="2106"/>
      <c r="CX11" s="2106"/>
      <c r="CY11" s="2106"/>
      <c r="CZ11" s="2106"/>
      <c r="DA11" s="2106"/>
      <c r="DB11" s="2106"/>
      <c r="DC11" s="2106"/>
      <c r="DD11" s="2106"/>
      <c r="DE11" s="2106"/>
      <c r="DF11" s="2106"/>
      <c r="DG11" s="2106"/>
      <c r="DH11" s="2106"/>
      <c r="DI11" s="2106"/>
      <c r="DJ11" s="2106"/>
      <c r="DK11" s="2106"/>
      <c r="DL11" s="2106"/>
      <c r="DM11" s="2106"/>
      <c r="DN11" s="2106"/>
      <c r="DO11" s="2106"/>
      <c r="DP11" s="2106"/>
      <c r="DQ11" s="2106"/>
      <c r="DR11" s="2106"/>
      <c r="DS11" s="2106"/>
      <c r="DT11" s="2106"/>
      <c r="DU11" s="2106"/>
      <c r="DV11" s="2106"/>
      <c r="DW11" s="2106"/>
      <c r="DX11" s="2106"/>
      <c r="DY11" s="2106"/>
      <c r="DZ11" s="2106"/>
      <c r="EA11" s="2106"/>
      <c r="EB11" s="2106"/>
      <c r="EC11" s="2106"/>
      <c r="ED11" s="2106"/>
      <c r="EE11" s="2107"/>
      <c r="EF11" s="2106"/>
      <c r="EG11" s="2106"/>
      <c r="EH11" s="2106"/>
      <c r="EI11" s="2106"/>
      <c r="EJ11" s="2106"/>
      <c r="EK11" s="2106"/>
      <c r="EL11" s="2106"/>
      <c r="EM11" s="2106"/>
      <c r="EN11" s="2106"/>
      <c r="EO11" s="2106"/>
      <c r="EP11" s="2106"/>
      <c r="FE11" s="2108"/>
      <c r="FF11" s="2108"/>
      <c r="FG11" s="2108"/>
      <c r="FH11" s="2108"/>
      <c r="FI11" s="2108"/>
      <c r="FJ11" s="2108"/>
      <c r="FK11" s="2108"/>
    </row>
    <row r="12" spans="1:168" ht="15" customHeight="1">
      <c r="A12" s="1760"/>
      <c r="B12" s="1761"/>
      <c r="C12" s="2098"/>
      <c r="D12" s="2099"/>
      <c r="E12" s="2100"/>
      <c r="F12" s="2099"/>
      <c r="G12" s="2101"/>
      <c r="H12" s="2102"/>
      <c r="I12" s="2103"/>
      <c r="J12" s="2104"/>
      <c r="K12" s="2101"/>
      <c r="L12" s="2101"/>
      <c r="M12" s="2105"/>
      <c r="N12" s="2106"/>
      <c r="O12" s="2106"/>
      <c r="P12" s="2106"/>
      <c r="Q12" s="2106"/>
      <c r="R12" s="2106"/>
      <c r="S12" s="2106"/>
      <c r="T12" s="2106"/>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6"/>
      <c r="BC12" s="2106"/>
      <c r="BD12" s="2106"/>
      <c r="BE12" s="2106"/>
      <c r="BF12" s="2106"/>
      <c r="BG12" s="2106"/>
      <c r="BH12" s="2106"/>
      <c r="BI12" s="2106"/>
      <c r="BJ12" s="2106"/>
      <c r="BK12" s="2106"/>
      <c r="BL12" s="2106"/>
      <c r="BM12" s="2106"/>
      <c r="BN12" s="2106"/>
      <c r="BO12" s="2106"/>
      <c r="BP12" s="2106"/>
      <c r="BQ12" s="2106"/>
      <c r="BR12" s="2106"/>
      <c r="BS12" s="2106"/>
      <c r="BT12" s="2106"/>
      <c r="BU12" s="2106"/>
      <c r="BV12" s="2106"/>
      <c r="BW12" s="2106"/>
      <c r="BX12" s="2106"/>
      <c r="BY12" s="2106"/>
      <c r="BZ12" s="2106"/>
      <c r="CA12" s="2106"/>
      <c r="CB12" s="2106"/>
      <c r="CC12" s="2106"/>
      <c r="CD12" s="2106"/>
      <c r="CE12" s="2106"/>
      <c r="CF12" s="2106"/>
      <c r="CG12" s="2106"/>
      <c r="CH12" s="2106"/>
      <c r="CI12" s="2106"/>
      <c r="CJ12" s="2106"/>
      <c r="CK12" s="2106"/>
      <c r="CL12" s="2106"/>
      <c r="CM12" s="2106"/>
      <c r="CN12" s="2106"/>
      <c r="CO12" s="2106"/>
      <c r="CP12" s="2106"/>
      <c r="CQ12" s="2106"/>
      <c r="CR12" s="2106"/>
      <c r="CS12" s="2106"/>
      <c r="CT12" s="2106"/>
      <c r="CU12" s="2106"/>
      <c r="CV12" s="2106"/>
      <c r="CW12" s="2106"/>
      <c r="CX12" s="2106"/>
      <c r="CY12" s="2106"/>
      <c r="CZ12" s="2106"/>
      <c r="DA12" s="2106"/>
      <c r="DB12" s="2106"/>
      <c r="DC12" s="2106"/>
      <c r="DD12" s="2106"/>
      <c r="DE12" s="2106"/>
      <c r="DF12" s="2106"/>
      <c r="DG12" s="2106"/>
      <c r="DH12" s="2106"/>
      <c r="DI12" s="2106"/>
      <c r="DJ12" s="2106"/>
      <c r="DK12" s="2106"/>
      <c r="DL12" s="2106"/>
      <c r="DM12" s="2106"/>
      <c r="DN12" s="2106"/>
      <c r="DO12" s="2106"/>
      <c r="DP12" s="2106"/>
      <c r="DQ12" s="2106"/>
      <c r="DR12" s="2106"/>
      <c r="DS12" s="2106"/>
      <c r="DT12" s="2106"/>
      <c r="DU12" s="2106"/>
      <c r="DV12" s="2106"/>
      <c r="DW12" s="2106"/>
      <c r="DX12" s="2106"/>
      <c r="DY12" s="2106"/>
      <c r="DZ12" s="2106"/>
      <c r="EA12" s="2106"/>
      <c r="EB12" s="2106"/>
      <c r="EC12" s="2106"/>
      <c r="ED12" s="2106"/>
      <c r="EE12" s="2107"/>
      <c r="EF12" s="2106"/>
      <c r="EG12" s="2106"/>
      <c r="EH12" s="2106"/>
      <c r="EI12" s="2106"/>
      <c r="EJ12" s="2106"/>
      <c r="EK12" s="2106"/>
      <c r="EL12" s="2106"/>
      <c r="EM12" s="2106"/>
      <c r="EN12" s="2106"/>
      <c r="EO12" s="2106"/>
      <c r="EP12" s="2106"/>
      <c r="FE12" s="2108"/>
      <c r="FF12" s="2108"/>
      <c r="FG12" s="2108"/>
      <c r="FH12" s="2108"/>
      <c r="FI12" s="2108"/>
      <c r="FJ12" s="2108"/>
      <c r="FK12" s="2108"/>
    </row>
    <row r="13" spans="1:168" ht="15" customHeight="1">
      <c r="A13" s="1760" t="s">
        <v>20</v>
      </c>
      <c r="B13" s="1761" t="s">
        <v>1647</v>
      </c>
      <c r="C13" s="2098"/>
      <c r="D13" s="2099"/>
      <c r="E13" s="2100"/>
      <c r="F13" s="2099"/>
      <c r="G13" s="2101"/>
      <c r="H13" s="2102"/>
      <c r="I13" s="2103"/>
      <c r="J13" s="2104"/>
      <c r="K13" s="2101"/>
      <c r="L13" s="2101"/>
      <c r="M13" s="2105"/>
      <c r="N13" s="2106"/>
      <c r="O13" s="2106"/>
      <c r="P13" s="2106"/>
      <c r="Q13" s="2106"/>
      <c r="R13" s="2106"/>
      <c r="S13" s="2106"/>
      <c r="T13" s="2106"/>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c r="AT13" s="2106"/>
      <c r="AU13" s="2106"/>
      <c r="AV13" s="2106"/>
      <c r="AW13" s="2106"/>
      <c r="AX13" s="2106"/>
      <c r="AY13" s="2106"/>
      <c r="AZ13" s="2106"/>
      <c r="BA13" s="2106"/>
      <c r="BB13" s="2106"/>
      <c r="BC13" s="2106"/>
      <c r="BD13" s="2106"/>
      <c r="BE13" s="2106"/>
      <c r="BF13" s="2106"/>
      <c r="BG13" s="2106"/>
      <c r="BH13" s="2106"/>
      <c r="BI13" s="2106"/>
      <c r="BJ13" s="2106"/>
      <c r="BK13" s="2106"/>
      <c r="BL13" s="2106"/>
      <c r="BM13" s="2106"/>
      <c r="BN13" s="2106"/>
      <c r="BO13" s="2106"/>
      <c r="BP13" s="2106"/>
      <c r="BQ13" s="2106"/>
      <c r="BR13" s="2106"/>
      <c r="BS13" s="2106"/>
      <c r="BT13" s="2106"/>
      <c r="BU13" s="2106"/>
      <c r="BV13" s="2106"/>
      <c r="BW13" s="2106"/>
      <c r="BX13" s="2106"/>
      <c r="BY13" s="2106"/>
      <c r="BZ13" s="2106"/>
      <c r="CA13" s="2106"/>
      <c r="CB13" s="2106"/>
      <c r="CC13" s="2106"/>
      <c r="CD13" s="2106"/>
      <c r="CE13" s="2106"/>
      <c r="CF13" s="2106"/>
      <c r="CG13" s="2106"/>
      <c r="CH13" s="2106"/>
      <c r="CI13" s="2106"/>
      <c r="CJ13" s="2106"/>
      <c r="CK13" s="2106"/>
      <c r="CL13" s="2106"/>
      <c r="CM13" s="2106"/>
      <c r="CN13" s="2106"/>
      <c r="CO13" s="2106"/>
      <c r="CP13" s="2106"/>
      <c r="CQ13" s="2106"/>
      <c r="CR13" s="2106"/>
      <c r="CS13" s="2106"/>
      <c r="CT13" s="2106"/>
      <c r="CU13" s="2106"/>
      <c r="CV13" s="2106"/>
      <c r="CW13" s="2106"/>
      <c r="CX13" s="2106"/>
      <c r="CY13" s="2106"/>
      <c r="CZ13" s="2106"/>
      <c r="DA13" s="2106"/>
      <c r="DB13" s="2106"/>
      <c r="DC13" s="2106"/>
      <c r="DD13" s="2106"/>
      <c r="DE13" s="2106"/>
      <c r="DF13" s="2106"/>
      <c r="DG13" s="2106"/>
      <c r="DH13" s="2106"/>
      <c r="DI13" s="2106"/>
      <c r="DJ13" s="2106"/>
      <c r="DK13" s="2106"/>
      <c r="DL13" s="2106"/>
      <c r="DM13" s="2106"/>
      <c r="DN13" s="2106"/>
      <c r="DO13" s="2106"/>
      <c r="DP13" s="2106"/>
      <c r="DQ13" s="2106"/>
      <c r="DR13" s="2106"/>
      <c r="DS13" s="2106"/>
      <c r="DT13" s="2106"/>
      <c r="DU13" s="2106"/>
      <c r="DV13" s="2106"/>
      <c r="DW13" s="2106"/>
      <c r="DX13" s="2106"/>
      <c r="DY13" s="2106"/>
      <c r="DZ13" s="2106"/>
      <c r="EA13" s="2106"/>
      <c r="EB13" s="2106"/>
      <c r="EC13" s="2106"/>
      <c r="ED13" s="2106"/>
      <c r="EE13" s="2107"/>
      <c r="EF13" s="2106"/>
      <c r="EG13" s="2106"/>
      <c r="EH13" s="2106"/>
      <c r="EI13" s="2106"/>
      <c r="EJ13" s="2106"/>
      <c r="EK13" s="2106"/>
      <c r="EL13" s="2106"/>
      <c r="EM13" s="2106"/>
      <c r="EN13" s="2106"/>
      <c r="EO13" s="2106"/>
      <c r="EP13" s="2106"/>
      <c r="FE13" s="2108"/>
      <c r="FF13" s="2108"/>
      <c r="FG13" s="2108"/>
      <c r="FH13" s="2108"/>
      <c r="FI13" s="2108"/>
      <c r="FJ13" s="2108"/>
      <c r="FK13" s="2108"/>
    </row>
    <row r="14" spans="1:168" ht="15" customHeight="1">
      <c r="A14" s="1760">
        <v>1</v>
      </c>
      <c r="B14" s="1761" t="s">
        <v>1648</v>
      </c>
      <c r="C14" s="2098">
        <v>630</v>
      </c>
      <c r="D14" s="2099">
        <v>1</v>
      </c>
      <c r="E14" s="2100"/>
      <c r="F14" s="2099">
        <v>0.71730588752889934</v>
      </c>
      <c r="G14" s="2101">
        <v>630</v>
      </c>
      <c r="H14" s="2102" t="s">
        <v>1649</v>
      </c>
      <c r="I14" s="2103">
        <v>2</v>
      </c>
      <c r="J14" s="2104"/>
      <c r="K14" s="2101"/>
      <c r="L14" s="2101"/>
      <c r="M14" s="2105"/>
      <c r="N14" s="2106">
        <v>350.534175</v>
      </c>
      <c r="O14" s="2106">
        <f>IFERROR(P14/N14*10,0)</f>
        <v>0.72974339805812083</v>
      </c>
      <c r="P14" s="2106">
        <v>25.58</v>
      </c>
      <c r="Q14" s="2106">
        <f>IFERROR(R14/N14*10,0)</f>
        <v>1.8525999982740626</v>
      </c>
      <c r="R14" s="2106">
        <v>64.939961199999999</v>
      </c>
      <c r="S14" s="2106">
        <f>IFERROR(T14/N14*10,0)</f>
        <v>0</v>
      </c>
      <c r="T14" s="2106">
        <v>0</v>
      </c>
      <c r="U14" s="2106"/>
      <c r="V14" s="2106">
        <f>IFERROR(W14/N14*10,0)</f>
        <v>2.5823433963321833</v>
      </c>
      <c r="W14" s="2106">
        <f>SUM(P14,R14,T14,U14)</f>
        <v>90.519961199999997</v>
      </c>
      <c r="X14" s="2106">
        <v>288.13781999999998</v>
      </c>
      <c r="Y14" s="2106">
        <f>IFERROR(Z14/X14*10,0)</f>
        <v>0.77413509965474159</v>
      </c>
      <c r="Z14" s="2106">
        <v>22.305759999999999</v>
      </c>
      <c r="AA14" s="2106">
        <f>IFERROR(AB14/X14*10,0)</f>
        <v>1.9153999985145997</v>
      </c>
      <c r="AB14" s="2106">
        <v>55.189917999999999</v>
      </c>
      <c r="AC14" s="2106">
        <f>IFERROR(AD14/X14*10,0)</f>
        <v>0</v>
      </c>
      <c r="AD14" s="2106">
        <v>0</v>
      </c>
      <c r="AE14" s="2106"/>
      <c r="AF14" s="2106">
        <f>IFERROR(AG14/X14*10,0)</f>
        <v>2.6895350981693418</v>
      </c>
      <c r="AG14" s="2106">
        <f>SUM(Z14,AB14,AD14,AE14)</f>
        <v>77.495677999999998</v>
      </c>
      <c r="AH14" s="2106">
        <v>245.94447299999999</v>
      </c>
      <c r="AI14" s="2106">
        <f>IFERROR(AJ14/AH14*10,0)</f>
        <v>0.7688213428565237</v>
      </c>
      <c r="AJ14" s="2106">
        <v>18.908736000000001</v>
      </c>
      <c r="AK14" s="2106">
        <f>IFERROR(AL14/AH14*10,0)</f>
        <v>1.8658000011246443</v>
      </c>
      <c r="AL14" s="2106">
        <v>45.888319799999998</v>
      </c>
      <c r="AM14" s="2106">
        <f>IFERROR(AN14/AH14*10,0)</f>
        <v>0</v>
      </c>
      <c r="AN14" s="2106">
        <v>0</v>
      </c>
      <c r="AO14" s="2106">
        <v>0</v>
      </c>
      <c r="AP14" s="2106">
        <f>IFERROR(AQ14/AH14*10,0)</f>
        <v>2.6346213439811677</v>
      </c>
      <c r="AQ14" s="2106">
        <f>SUM(AJ14,AL14,AN14,AO14)</f>
        <v>64.797055799999995</v>
      </c>
      <c r="AR14" s="2106">
        <v>280.48185000000001</v>
      </c>
      <c r="AS14" s="2106">
        <f>IFERROR(AT14/AR14*10,0)</f>
        <v>0.7482064169214514</v>
      </c>
      <c r="AT14" s="2106">
        <v>20.985831999999998</v>
      </c>
      <c r="AU14" s="2106">
        <f>IFERROR(AV14/AR14*10,0)</f>
        <v>1.9116000019252581</v>
      </c>
      <c r="AV14" s="2106">
        <v>53.616910500000003</v>
      </c>
      <c r="AW14" s="2106">
        <f>IFERROR(AX14/AR14*10,0)</f>
        <v>0</v>
      </c>
      <c r="AX14" s="2106">
        <v>0</v>
      </c>
      <c r="AY14" s="2106"/>
      <c r="AZ14" s="2106">
        <f>IFERROR(BA14/AR14*10,0)</f>
        <v>2.6598064188467099</v>
      </c>
      <c r="BA14" s="2106">
        <f>SUM(AT14,AV14,AX14,AY14)</f>
        <v>74.602742500000005</v>
      </c>
      <c r="BB14" s="2106">
        <v>309.52956499999999</v>
      </c>
      <c r="BC14" s="2106">
        <f>IFERROR(BD14/BB14*10,0)</f>
        <v>0.71724592770322282</v>
      </c>
      <c r="BD14" s="2106">
        <v>22.200882</v>
      </c>
      <c r="BE14" s="2106">
        <f>IFERROR(BF14/BB14*10,0)</f>
        <v>2.0812000010402887</v>
      </c>
      <c r="BF14" s="2106">
        <v>64.419293100000004</v>
      </c>
      <c r="BG14" s="2106">
        <f>IFERROR(BH14/BB14*10,0)</f>
        <v>0</v>
      </c>
      <c r="BH14" s="2106">
        <v>0</v>
      </c>
      <c r="BI14" s="2106"/>
      <c r="BJ14" s="2106">
        <f>IFERROR(BK14/BB14*10,0)</f>
        <v>2.7984459287435115</v>
      </c>
      <c r="BK14" s="2106">
        <f>SUM(BD14,BF14,BH14,BI14)</f>
        <v>86.620175100000012</v>
      </c>
      <c r="BL14" s="2106">
        <v>311.312275</v>
      </c>
      <c r="BM14" s="2106">
        <f>IFERROR(BN14/BL14*10,0)</f>
        <v>0.75290812095347026</v>
      </c>
      <c r="BN14" s="2106">
        <v>23.438953999999999</v>
      </c>
      <c r="BO14" s="2106">
        <f>IFERROR(BP14/BL14*10,0)</f>
        <v>2.0087999999357558</v>
      </c>
      <c r="BP14" s="2106">
        <v>62.536409800000001</v>
      </c>
      <c r="BQ14" s="2106">
        <f>IFERROR(BR14/BL14*10,0)</f>
        <v>0</v>
      </c>
      <c r="BR14" s="2106">
        <v>0</v>
      </c>
      <c r="BS14" s="2106"/>
      <c r="BT14" s="2106">
        <f>IFERROR(BU14/BL14*10,0)</f>
        <v>2.7617081208892258</v>
      </c>
      <c r="BU14" s="2106">
        <f>SUM(BN14,BP14,BR14,BS14)</f>
        <v>85.975363799999997</v>
      </c>
      <c r="BV14" s="2106">
        <v>260.35158000000001</v>
      </c>
      <c r="BW14" s="2106">
        <f>IFERROR(BX14/BV14*10,0)</f>
        <v>0.80389587034578391</v>
      </c>
      <c r="BX14" s="2106">
        <v>20.929556000000002</v>
      </c>
      <c r="BY14" s="2106">
        <f>IFERROR(BZ14/BV14*10,0)</f>
        <v>1.882600001889752</v>
      </c>
      <c r="BZ14" s="2106">
        <v>49.013788499999997</v>
      </c>
      <c r="CA14" s="2106">
        <f>IFERROR(CB14/BV14*10,0)</f>
        <v>0</v>
      </c>
      <c r="CB14" s="2106">
        <v>0</v>
      </c>
      <c r="CC14" s="2106"/>
      <c r="CD14" s="2106">
        <f>IFERROR(CE14/BV14*10,0)</f>
        <v>2.6864958722355361</v>
      </c>
      <c r="CE14" s="2106">
        <f>SUM(BX14,BZ14,CB14,CC14)</f>
        <v>69.943344499999995</v>
      </c>
      <c r="CF14" s="2106">
        <v>221.44011</v>
      </c>
      <c r="CG14" s="2106">
        <f>IFERROR(CH14/CF14*10,0)</f>
        <v>0.87284313578059547</v>
      </c>
      <c r="CH14" s="2106">
        <v>19.328247999999999</v>
      </c>
      <c r="CI14" s="2106">
        <f>IFERROR(CJ14/CF14*10,0)</f>
        <v>1.841700001865064</v>
      </c>
      <c r="CJ14" s="2106">
        <v>40.782625099999997</v>
      </c>
      <c r="CK14" s="2106">
        <f>IFERROR(CL14/CF14*10,0)</f>
        <v>0</v>
      </c>
      <c r="CL14" s="2106">
        <v>0</v>
      </c>
      <c r="CM14" s="2106"/>
      <c r="CN14" s="2106">
        <f>IFERROR(CO14/CF14*10,0)</f>
        <v>2.7145431376456592</v>
      </c>
      <c r="CO14" s="2106">
        <f>SUM(CH14,CJ14,CL14,CM14)</f>
        <v>60.110873099999992</v>
      </c>
      <c r="CP14" s="2106">
        <v>207.28209000000001</v>
      </c>
      <c r="CQ14" s="2106">
        <f>IFERROR(CR14/CP14*10,0)</f>
        <v>0.75080640107401464</v>
      </c>
      <c r="CR14" s="2106">
        <v>15.562872</v>
      </c>
      <c r="CS14" s="2106">
        <f>IFERROR(CT14/CP14*10,0)</f>
        <v>1.7449000007670707</v>
      </c>
      <c r="CT14" s="2106">
        <v>36.1686519</v>
      </c>
      <c r="CU14" s="2106">
        <f>IFERROR(CV14/CP14*10,0)</f>
        <v>0</v>
      </c>
      <c r="CV14" s="2106">
        <v>0</v>
      </c>
      <c r="CW14" s="2106"/>
      <c r="CX14" s="2106">
        <f>IFERROR(CY14/CP14*10,0)</f>
        <v>2.4957064018410851</v>
      </c>
      <c r="CY14" s="2106">
        <f>SUM(CR14,CT14,CV14,CW14)</f>
        <v>51.731523899999999</v>
      </c>
      <c r="CZ14" s="2106">
        <v>317.45923909999999</v>
      </c>
      <c r="DA14" s="2106">
        <f>IFERROR(DB14/CZ14*10,0)</f>
        <v>0.68014873850304025</v>
      </c>
      <c r="DB14" s="2106">
        <v>21.591950100000002</v>
      </c>
      <c r="DC14" s="2106">
        <v>1.9804978311757802</v>
      </c>
      <c r="DD14" s="2109">
        <f>DC14*CZ14/10</f>
        <v>62.872733452426338</v>
      </c>
      <c r="DE14" s="2106"/>
      <c r="DF14" s="2106"/>
      <c r="DG14" s="2106"/>
      <c r="DH14" s="2106">
        <f>IFERROR(DI14/CZ14*10,0)</f>
        <v>2.66064656967882</v>
      </c>
      <c r="DI14" s="2106">
        <f>SUM(DB14,DD14,DF14,DG14)</f>
        <v>84.464683552426337</v>
      </c>
      <c r="DJ14" s="2106">
        <v>279.45356410000005</v>
      </c>
      <c r="DK14" s="2106">
        <f>IFERROR(DL14/DJ14*10,0)</f>
        <v>0.77264894328824907</v>
      </c>
      <c r="DL14" s="2106">
        <v>21.591950100000002</v>
      </c>
      <c r="DM14" s="2106">
        <v>1.9804978311757802</v>
      </c>
      <c r="DN14" s="2109">
        <f>DM14*DJ14/10</f>
        <v>55.345717761439197</v>
      </c>
      <c r="DO14" s="2106"/>
      <c r="DP14" s="2106"/>
      <c r="DQ14" s="2106"/>
      <c r="DR14" s="2106">
        <f>IFERROR(DS14/DJ14*10,0)</f>
        <v>2.753146774464029</v>
      </c>
      <c r="DS14" s="2106">
        <f>SUM(DL14,DN14,DP14,DQ14)</f>
        <v>76.937667861439195</v>
      </c>
      <c r="DT14" s="2106">
        <v>348.03881219999988</v>
      </c>
      <c r="DU14" s="2106">
        <f>IFERROR(DV14/DT14*10,0)</f>
        <v>0.62038914463345041</v>
      </c>
      <c r="DV14" s="2106">
        <v>21.591950100000002</v>
      </c>
      <c r="DW14" s="2106">
        <v>1.9804978311757802</v>
      </c>
      <c r="DX14" s="2109">
        <f>DW14*DT14/10</f>
        <v>68.929011272709445</v>
      </c>
      <c r="DY14" s="2106"/>
      <c r="DZ14" s="2106"/>
      <c r="EA14" s="2106"/>
      <c r="EB14" s="2106">
        <f>IFERROR(EC14/DT14*10,0)</f>
        <v>2.6008869758092308</v>
      </c>
      <c r="EC14" s="2106">
        <f>SUM(DV14,DX14,DZ14,EA14)</f>
        <v>90.520961372709451</v>
      </c>
      <c r="ED14" s="2106">
        <f>SUM(N14,X14,AH14,AR14,BB14,BL14,BV14,CF14,CP14,CZ14,DJ14,DT14)</f>
        <v>3419.9655534000003</v>
      </c>
      <c r="EE14" s="2107"/>
      <c r="EF14" s="2106">
        <f>IFERROR(EG14/ED14*10,0)</f>
        <v>0.74274634154565145</v>
      </c>
      <c r="EG14" s="2106">
        <f>SUM(P14,Z14,AJ14,AT14,BD14,BN14,BX14,CH14,CR14,DB14,DL14,DV14)</f>
        <v>254.01669029999996</v>
      </c>
      <c r="EH14" s="2106">
        <f>IFERROR(EI14/ED14*10,0)</f>
        <v>1.9289765644882675</v>
      </c>
      <c r="EI14" s="2106">
        <f>SUM(R14,AB14,AL14,AV14,BF14,BP14,BZ14,CJ14,CT14,DD14,DN14,DX14)</f>
        <v>659.70334038657495</v>
      </c>
      <c r="EJ14" s="2106"/>
      <c r="EK14" s="2106">
        <f>SUM(T14,AD14,AN14,AX14,BH14,BR14,CB14,CL14,CV14,DF14,DP14,DZ14)</f>
        <v>0</v>
      </c>
      <c r="EL14" s="2106"/>
      <c r="EM14" s="2106"/>
      <c r="EN14" s="2106">
        <f>EG14+EI14+EK14</f>
        <v>913.72003068657489</v>
      </c>
      <c r="EO14" s="2104">
        <f>IFERROR(EN14/ED14*10,0)</f>
        <v>2.6717229060339194</v>
      </c>
      <c r="EP14" s="2110"/>
      <c r="ES14" s="2084">
        <f t="shared" ref="ES14:ES78" si="0">EN14-SUM(EG14,EI14,EK14,EL14)</f>
        <v>0</v>
      </c>
      <c r="EU14" s="2084">
        <f>SUM(R14,AB14,AL14,AV14,BF14,BP14,BZ14,CJ14,CT14)</f>
        <v>472.55587789999998</v>
      </c>
      <c r="EV14" s="2084">
        <f>SUM(N14,X14,AH14,AR14,BB14,BL14,BV14,CF14,CP14)</f>
        <v>2475.0139380000001</v>
      </c>
      <c r="EW14" s="2084">
        <f>EU14*10/EV14</f>
        <v>1.9093059260985865</v>
      </c>
      <c r="FE14" s="2108"/>
      <c r="FF14" s="2108"/>
      <c r="FG14" s="2108"/>
      <c r="FH14" s="2108"/>
      <c r="FI14" s="2108"/>
      <c r="FJ14" s="2108"/>
      <c r="FK14" s="2108"/>
    </row>
    <row r="15" spans="1:168" ht="15" customHeight="1">
      <c r="A15" s="1760">
        <v>2</v>
      </c>
      <c r="B15" s="1761" t="s">
        <v>1650</v>
      </c>
      <c r="C15" s="2098">
        <v>1000</v>
      </c>
      <c r="D15" s="2099">
        <v>1</v>
      </c>
      <c r="E15" s="2100"/>
      <c r="F15" s="2099">
        <v>0.8307412170881735</v>
      </c>
      <c r="G15" s="2101">
        <v>1000</v>
      </c>
      <c r="H15" s="2102" t="s">
        <v>1649</v>
      </c>
      <c r="I15" s="2103">
        <v>2</v>
      </c>
      <c r="J15" s="2104"/>
      <c r="K15" s="2101"/>
      <c r="L15" s="2101"/>
      <c r="M15" s="2105"/>
      <c r="N15" s="2106">
        <v>486.48487799999998</v>
      </c>
      <c r="O15" s="2106">
        <f t="shared" ref="O15:O29" si="1">IFERROR(P15/N15*10,0)</f>
        <v>0.45777346238499111</v>
      </c>
      <c r="P15" s="2106">
        <v>22.2699867</v>
      </c>
      <c r="Q15" s="2106">
        <f t="shared" ref="Q15:Q29" si="2">IFERROR(R15/N15*10,0)</f>
        <v>1.7102999982663389</v>
      </c>
      <c r="R15" s="2106">
        <v>83.203508600000006</v>
      </c>
      <c r="S15" s="2106">
        <f t="shared" ref="S15:S29" si="3">IFERROR(T15/N15*10,0)</f>
        <v>0</v>
      </c>
      <c r="T15" s="2106">
        <v>0</v>
      </c>
      <c r="U15" s="2106"/>
      <c r="V15" s="2106">
        <f t="shared" ref="V15:V30" si="4">IFERROR(W15/N15*10,0)</f>
        <v>2.1680734606513301</v>
      </c>
      <c r="W15" s="2106">
        <f t="shared" ref="W15:W24" si="5">SUM(P15,R15,T15,U15)</f>
        <v>105.47349530000001</v>
      </c>
      <c r="X15" s="2106">
        <v>636.72246500000006</v>
      </c>
      <c r="Y15" s="2106">
        <f t="shared" ref="Y15:Y29" si="6">IFERROR(Z15/X15*10,0)</f>
        <v>0.45613824384223667</v>
      </c>
      <c r="Z15" s="2106">
        <v>29.043346700000001</v>
      </c>
      <c r="AA15" s="2106">
        <f t="shared" ref="AA15:AA29" si="7">IFERROR(AB15/X15*10,0)</f>
        <v>1.7411000002960473</v>
      </c>
      <c r="AB15" s="2106">
        <v>110.8597484</v>
      </c>
      <c r="AC15" s="2106">
        <f t="shared" ref="AC15:AC29" si="8">IFERROR(AD15/X15*10,0)</f>
        <v>0</v>
      </c>
      <c r="AD15" s="2106">
        <v>0</v>
      </c>
      <c r="AE15" s="2106"/>
      <c r="AF15" s="2106">
        <f t="shared" ref="AF15:AF29" si="9">IFERROR(AG15/X15*10,0)</f>
        <v>2.1972382441382838</v>
      </c>
      <c r="AG15" s="2106">
        <f t="shared" ref="AG15:AG29" si="10">SUM(Z15,AB15,AD15,AE15)</f>
        <v>139.9030951</v>
      </c>
      <c r="AH15" s="2106">
        <v>575.15925500000003</v>
      </c>
      <c r="AI15" s="2106">
        <f t="shared" ref="AI15:AI29" si="11">IFERROR(AJ15/AH15*10,0)</f>
        <v>0.44607935066610371</v>
      </c>
      <c r="AJ15" s="2106">
        <v>25.656666699999999</v>
      </c>
      <c r="AK15" s="2106">
        <f t="shared" ref="AK15:AK29" si="12">IFERROR(AL15/AH15*10,0)</f>
        <v>1.8629999998869877</v>
      </c>
      <c r="AL15" s="2106">
        <v>107.1521692</v>
      </c>
      <c r="AM15" s="2106">
        <f t="shared" ref="AM15:AM29" si="13">IFERROR(AN15/AH15*10,0)</f>
        <v>0</v>
      </c>
      <c r="AN15" s="2106">
        <v>0</v>
      </c>
      <c r="AO15" s="2106">
        <v>0</v>
      </c>
      <c r="AP15" s="2106">
        <f t="shared" ref="AP15:AP29" si="14">IFERROR(AQ15/AH15*10,0)</f>
        <v>2.3090793505530911</v>
      </c>
      <c r="AQ15" s="2106">
        <f t="shared" ref="AQ15:AQ29" si="15">SUM(AJ15,AL15,AN15,AO15)</f>
        <v>132.80883589999999</v>
      </c>
      <c r="AR15" s="2106">
        <v>547.93150500000002</v>
      </c>
      <c r="AS15" s="2106">
        <f t="shared" ref="AS15:AS29" si="16">IFERROR(AT15/AR15*10,0)</f>
        <v>0.46824587500220483</v>
      </c>
      <c r="AT15" s="2106">
        <v>25.656666699999999</v>
      </c>
      <c r="AU15" s="2106">
        <f t="shared" ref="AU15:AU29" si="17">IFERROR(AV15/AR15*10,0)</f>
        <v>1.8783000002892698</v>
      </c>
      <c r="AV15" s="2106">
        <v>102.91797459999999</v>
      </c>
      <c r="AW15" s="2106">
        <f t="shared" ref="AW15:AW29" si="18">IFERROR(AX15/AR15*10,0)</f>
        <v>0</v>
      </c>
      <c r="AX15" s="2106">
        <v>0</v>
      </c>
      <c r="AY15" s="2106"/>
      <c r="AZ15" s="2106">
        <f t="shared" ref="AZ15:AZ29" si="19">IFERROR(BA15/AR15*10,0)</f>
        <v>2.3465458752914743</v>
      </c>
      <c r="BA15" s="2106">
        <f t="shared" ref="BA15:BA29" si="20">SUM(AT15,AV15,AX15,AY15)</f>
        <v>128.5746413</v>
      </c>
      <c r="BB15" s="2106">
        <v>569.46597299999996</v>
      </c>
      <c r="BC15" s="2106">
        <f t="shared" ref="BC15:BC29" si="21">IFERROR(BD15/BB15*10,0)</f>
        <v>0.45053906495656415</v>
      </c>
      <c r="BD15" s="2106">
        <v>25.656666699999999</v>
      </c>
      <c r="BE15" s="2106">
        <f t="shared" ref="BE15:BE29" si="22">IFERROR(BF15/BB15*10,0)</f>
        <v>1.8617000001157225</v>
      </c>
      <c r="BF15" s="2106">
        <v>106.01748019999999</v>
      </c>
      <c r="BG15" s="2106">
        <f t="shared" ref="BG15:BG29" si="23">IFERROR(BH15/BB15*10,0)</f>
        <v>0</v>
      </c>
      <c r="BH15" s="2106">
        <v>0</v>
      </c>
      <c r="BI15" s="2106"/>
      <c r="BJ15" s="2106">
        <f t="shared" ref="BJ15:BJ29" si="24">IFERROR(BK15/BB15*10,0)</f>
        <v>2.3122390650722866</v>
      </c>
      <c r="BK15" s="2106">
        <f t="shared" ref="BK15:BK29" si="25">SUM(BD15,BF15,BH15,BI15)</f>
        <v>131.67414689999998</v>
      </c>
      <c r="BL15" s="2106">
        <v>559.08384000000001</v>
      </c>
      <c r="BM15" s="2106">
        <f t="shared" ref="BM15:BM29" si="26">IFERROR(BN15/BL15*10,0)</f>
        <v>0.45890553195027062</v>
      </c>
      <c r="BN15" s="2106">
        <v>25.656666699999999</v>
      </c>
      <c r="BO15" s="2106">
        <f t="shared" ref="BO15:BO29" si="27">IFERROR(BP15/BL15*10,0)</f>
        <v>1.8369999998569086</v>
      </c>
      <c r="BP15" s="2106">
        <v>102.7037014</v>
      </c>
      <c r="BQ15" s="2106">
        <f t="shared" ref="BQ15:BQ29" si="28">IFERROR(BR15/BL15*10,0)</f>
        <v>0</v>
      </c>
      <c r="BR15" s="2106">
        <v>0</v>
      </c>
      <c r="BS15" s="2106"/>
      <c r="BT15" s="2106">
        <f t="shared" ref="BT15:BT29" si="29">IFERROR(BU15/BL15*10,0)</f>
        <v>2.295905531807179</v>
      </c>
      <c r="BU15" s="2106">
        <f t="shared" ref="BU15:BU29" si="30">SUM(BN15,BP15,BR15,BS15)</f>
        <v>128.36036809999999</v>
      </c>
      <c r="BV15" s="2106">
        <v>560.46320500000002</v>
      </c>
      <c r="BW15" s="2106">
        <f t="shared" ref="BW15:BW29" si="31">IFERROR(BX15/BV15*10,0)</f>
        <v>0.45777611217136005</v>
      </c>
      <c r="BX15" s="2106">
        <v>25.656666699999999</v>
      </c>
      <c r="BY15" s="2106">
        <f t="shared" ref="BY15:BY29" si="32">IFERROR(BZ15/BV15*10,0)</f>
        <v>1.8337999994129857</v>
      </c>
      <c r="BZ15" s="2106">
        <v>102.7777425</v>
      </c>
      <c r="CA15" s="2106">
        <f t="shared" ref="CA15:CA29" si="33">IFERROR(CB15/BV15*10,0)</f>
        <v>0</v>
      </c>
      <c r="CB15" s="2106">
        <v>0</v>
      </c>
      <c r="CC15" s="2106"/>
      <c r="CD15" s="2106">
        <f t="shared" ref="CD15:CD29" si="34">IFERROR(CE15/BV15*10,0)</f>
        <v>2.2915761115843458</v>
      </c>
      <c r="CE15" s="2106">
        <f t="shared" ref="CE15:CE29" si="35">SUM(BX15,BZ15,CB15,CC15)</f>
        <v>128.4344092</v>
      </c>
      <c r="CF15" s="2106">
        <v>584.65992500000004</v>
      </c>
      <c r="CG15" s="2106">
        <f t="shared" ref="CG15:CG29" si="36">IFERROR(CH15/CF15*10,0)</f>
        <v>0.4388306022513857</v>
      </c>
      <c r="CH15" s="2106">
        <v>25.656666699999999</v>
      </c>
      <c r="CI15" s="2106">
        <f t="shared" ref="CI15:CI29" si="37">IFERROR(CJ15/CF15*10,0)</f>
        <v>1.7437000013298327</v>
      </c>
      <c r="CJ15" s="2106">
        <v>101.94715119999999</v>
      </c>
      <c r="CK15" s="2106">
        <f t="shared" ref="CK15:CK29" si="38">IFERROR(CL15/CF15*10,0)</f>
        <v>0</v>
      </c>
      <c r="CL15" s="2106">
        <v>0</v>
      </c>
      <c r="CM15" s="2106"/>
      <c r="CN15" s="2106">
        <f t="shared" ref="CN15:CN29" si="39">IFERROR(CO15/CF15*10,0)</f>
        <v>2.1825306035812182</v>
      </c>
      <c r="CO15" s="2106">
        <f t="shared" ref="CO15:CO29" si="40">SUM(CH15,CJ15,CL15,CM15)</f>
        <v>127.6038179</v>
      </c>
      <c r="CP15" s="2106">
        <v>560.626575</v>
      </c>
      <c r="CQ15" s="2106">
        <f t="shared" ref="CQ15:CQ78" si="41">IFERROR(CR15/CP15*10,0)</f>
        <v>0.45764271342292323</v>
      </c>
      <c r="CR15" s="2106">
        <v>25.656666699999999</v>
      </c>
      <c r="CS15" s="2106">
        <f t="shared" ref="CS15:CS29" si="42">IFERROR(CT15/CP15*10,0)</f>
        <v>1.7361000002541798</v>
      </c>
      <c r="CT15" s="2106">
        <v>97.330379699999995</v>
      </c>
      <c r="CU15" s="2106">
        <f t="shared" ref="CU15:CU29" si="43">IFERROR(CV15/CP15*10,0)</f>
        <v>0</v>
      </c>
      <c r="CV15" s="2106">
        <v>0</v>
      </c>
      <c r="CW15" s="2106"/>
      <c r="CX15" s="2106">
        <f t="shared" ref="CX15:CX29" si="44">IFERROR(CY15/CP15*10,0)</f>
        <v>2.1937427136771031</v>
      </c>
      <c r="CY15" s="2106">
        <f t="shared" ref="CY15:CY29" si="45">SUM(CR15,CT15,CV15,CW15)</f>
        <v>122.9870464</v>
      </c>
      <c r="CZ15" s="2106">
        <v>587.7901081</v>
      </c>
      <c r="DA15" s="2106">
        <f t="shared" ref="DA15:DA79" si="46">IFERROR(DB15/CZ15*10,0)</f>
        <v>0.4583183630731808</v>
      </c>
      <c r="DB15" s="2106">
        <v>26.939500017499999</v>
      </c>
      <c r="DC15" s="2106">
        <v>1.8079479500188465</v>
      </c>
      <c r="DD15" s="2109">
        <f t="shared" ref="DD15:DD79" si="47">DC15*CZ15/10</f>
        <v>106.2693920980751</v>
      </c>
      <c r="DE15" s="2106"/>
      <c r="DF15" s="2106"/>
      <c r="DG15" s="2106"/>
      <c r="DH15" s="2106">
        <f t="shared" ref="DH15:DH24" si="48">IFERROR(DI15/CZ15*10,0)</f>
        <v>2.2662663130920273</v>
      </c>
      <c r="DI15" s="2106">
        <f t="shared" ref="DI15:DI24" si="49">SUM(DB15,DD15,DF15,DG15)</f>
        <v>133.20889211557511</v>
      </c>
      <c r="DJ15" s="2106">
        <v>565.71483620000004</v>
      </c>
      <c r="DK15" s="2106">
        <f t="shared" ref="DK15:DK79" si="50">IFERROR(DL15/DJ15*10,0)</f>
        <v>0.47620281975380152</v>
      </c>
      <c r="DL15" s="2106">
        <v>26.939500017499999</v>
      </c>
      <c r="DM15" s="2106">
        <v>1.8079479500188465</v>
      </c>
      <c r="DN15" s="2109">
        <f t="shared" ref="DN15:DN79" si="51">DM15*DJ15/10</f>
        <v>102.27829784030375</v>
      </c>
      <c r="DO15" s="2106"/>
      <c r="DP15" s="2106"/>
      <c r="DQ15" s="2106"/>
      <c r="DR15" s="2106">
        <f t="shared" ref="DR15:DR24" si="52">IFERROR(DS15/DJ15*10,0)</f>
        <v>2.2841507697726482</v>
      </c>
      <c r="DS15" s="2106">
        <f t="shared" ref="DS15:DS24" si="53">SUM(DL15,DN15,DP15,DQ15)</f>
        <v>129.21779785780376</v>
      </c>
      <c r="DT15" s="2106">
        <v>601.04072169999995</v>
      </c>
      <c r="DU15" s="2106">
        <f t="shared" ref="DU15:DU79" si="54">IFERROR(DV15/DT15*10,0)</f>
        <v>0.44821422317781701</v>
      </c>
      <c r="DV15" s="2106">
        <v>26.939500017499999</v>
      </c>
      <c r="DW15" s="2106">
        <v>1.8079479500188465</v>
      </c>
      <c r="DX15" s="2109">
        <f t="shared" ref="DX15:DX79" si="55">DW15*DT15/10</f>
        <v>108.6650340675363</v>
      </c>
      <c r="DY15" s="2106"/>
      <c r="DZ15" s="2106"/>
      <c r="EA15" s="2106"/>
      <c r="EB15" s="2106">
        <f t="shared" ref="EB15:EB24" si="56">IFERROR(EC15/DT15*10,0)</f>
        <v>2.2561621731966639</v>
      </c>
      <c r="EC15" s="2106">
        <f t="shared" ref="EC15:EC24" si="57">SUM(DV15,DX15,DZ15,EA15)</f>
        <v>135.60453408503631</v>
      </c>
      <c r="ED15" s="2106">
        <f t="shared" ref="ED15:ED29" si="58">SUM(N15,X15,AH15,AR15,BB15,BL15,BV15,CF15,CP15,CZ15,DJ15,DT15)</f>
        <v>6835.1432869999999</v>
      </c>
      <c r="EE15" s="2107"/>
      <c r="EF15" s="2106">
        <f t="shared" ref="EF15:EF29" si="59">IFERROR(EG15/ED15*10,0)</f>
        <v>0.45606725018535804</v>
      </c>
      <c r="EG15" s="2106">
        <f t="shared" ref="EG15:EG29" si="60">SUM(P15,Z15,AJ15,AT15,BD15,BN15,BX15,CH15,CR15,DB15,DL15,DV15)</f>
        <v>311.72850035249996</v>
      </c>
      <c r="EH15" s="2106">
        <f>IFERROR(EI15/ED15*10,0)</f>
        <v>1.8026287497869029</v>
      </c>
      <c r="EI15" s="2106">
        <f t="shared" ref="EI15:EI29" si="61">SUM(R15,AB15,AL15,AV15,BF15,BP15,BZ15,CJ15,CT15,DD15,DN15,DX15)</f>
        <v>1232.1225798059152</v>
      </c>
      <c r="EJ15" s="2106"/>
      <c r="EK15" s="2106">
        <f t="shared" ref="EK15:EK29" si="62">SUM(T15,AD15,AN15,AX15,BH15,BR15,CB15,CL15,CV15,DF15,DP15,DZ15)</f>
        <v>0</v>
      </c>
      <c r="EL15" s="2106"/>
      <c r="EM15" s="2106"/>
      <c r="EN15" s="2106">
        <f t="shared" ref="EN15:EN29" si="63">EG15+EI15+EK15</f>
        <v>1543.8510801584152</v>
      </c>
      <c r="EO15" s="2104">
        <f>IFERROR(EN15/ED15*10,0)</f>
        <v>2.2586959999722609</v>
      </c>
      <c r="EP15" s="2110"/>
      <c r="ES15" s="2084">
        <f t="shared" si="0"/>
        <v>0</v>
      </c>
      <c r="EU15" s="2084">
        <f t="shared" ref="EU15:EU79" si="64">SUM(R15,AB15,AL15,AV15,BF15,BP15,BZ15,CJ15,CT15)</f>
        <v>914.90985580000006</v>
      </c>
      <c r="EV15" s="2084">
        <f t="shared" ref="EV15:EV79" si="65">SUM(N15,X15,AH15,AR15,BB15,BL15,BV15,CF15,CP15)</f>
        <v>5080.5976209999999</v>
      </c>
      <c r="EW15" s="2084">
        <f t="shared" ref="EW15:EW79" si="66">EU15*10/EV15</f>
        <v>1.8007918045277536</v>
      </c>
      <c r="FE15" s="2108"/>
      <c r="FF15" s="2108"/>
      <c r="FG15" s="2108"/>
      <c r="FH15" s="2108"/>
      <c r="FI15" s="2108"/>
      <c r="FJ15" s="2108"/>
      <c r="FK15" s="2108"/>
    </row>
    <row r="16" spans="1:168" ht="15" customHeight="1">
      <c r="A16" s="1760">
        <v>3</v>
      </c>
      <c r="B16" s="1761" t="s">
        <v>1651</v>
      </c>
      <c r="C16" s="2098">
        <v>660</v>
      </c>
      <c r="D16" s="2099">
        <v>1</v>
      </c>
      <c r="E16" s="2100"/>
      <c r="F16" s="2099">
        <v>8.3721908300447734E-2</v>
      </c>
      <c r="G16" s="2101">
        <v>660</v>
      </c>
      <c r="H16" s="2102" t="s">
        <v>1649</v>
      </c>
      <c r="I16" s="2103">
        <v>2</v>
      </c>
      <c r="J16" s="2104"/>
      <c r="K16" s="2101"/>
      <c r="L16" s="2101"/>
      <c r="M16" s="2105"/>
      <c r="N16" s="2106">
        <v>0</v>
      </c>
      <c r="O16" s="2106">
        <f t="shared" si="1"/>
        <v>0</v>
      </c>
      <c r="P16" s="2106">
        <v>0</v>
      </c>
      <c r="Q16" s="2106">
        <f t="shared" si="2"/>
        <v>0</v>
      </c>
      <c r="R16" s="2106">
        <v>0</v>
      </c>
      <c r="S16" s="2106">
        <f t="shared" si="3"/>
        <v>0</v>
      </c>
      <c r="T16" s="2106">
        <v>0</v>
      </c>
      <c r="U16" s="2106"/>
      <c r="V16" s="2106">
        <f t="shared" si="4"/>
        <v>0</v>
      </c>
      <c r="W16" s="2106">
        <f t="shared" si="5"/>
        <v>0</v>
      </c>
      <c r="X16" s="2106">
        <v>0</v>
      </c>
      <c r="Y16" s="2106">
        <f t="shared" si="6"/>
        <v>0</v>
      </c>
      <c r="Z16" s="2106">
        <v>0</v>
      </c>
      <c r="AA16" s="2106">
        <f t="shared" si="7"/>
        <v>0</v>
      </c>
      <c r="AB16" s="2106">
        <v>0</v>
      </c>
      <c r="AC16" s="2106">
        <f t="shared" si="8"/>
        <v>0</v>
      </c>
      <c r="AD16" s="2106">
        <v>0</v>
      </c>
      <c r="AE16" s="2106"/>
      <c r="AF16" s="2106">
        <f t="shared" si="9"/>
        <v>0</v>
      </c>
      <c r="AG16" s="2106">
        <f t="shared" si="10"/>
        <v>0</v>
      </c>
      <c r="AH16" s="2106">
        <v>0</v>
      </c>
      <c r="AI16" s="2106">
        <f t="shared" si="11"/>
        <v>0</v>
      </c>
      <c r="AJ16" s="2106">
        <v>0</v>
      </c>
      <c r="AK16" s="2106">
        <f t="shared" si="12"/>
        <v>0</v>
      </c>
      <c r="AL16" s="2106">
        <v>0</v>
      </c>
      <c r="AM16" s="2106">
        <f t="shared" si="13"/>
        <v>0</v>
      </c>
      <c r="AN16" s="2106">
        <v>0</v>
      </c>
      <c r="AO16" s="2106">
        <v>0</v>
      </c>
      <c r="AP16" s="2106">
        <f t="shared" si="14"/>
        <v>0</v>
      </c>
      <c r="AQ16" s="2106">
        <f t="shared" si="15"/>
        <v>0</v>
      </c>
      <c r="AR16" s="2106">
        <v>0</v>
      </c>
      <c r="AS16" s="2106">
        <f t="shared" si="16"/>
        <v>0</v>
      </c>
      <c r="AT16" s="2106">
        <v>0</v>
      </c>
      <c r="AU16" s="2106">
        <f t="shared" si="17"/>
        <v>0</v>
      </c>
      <c r="AV16" s="2106">
        <v>0</v>
      </c>
      <c r="AW16" s="2106">
        <f t="shared" si="18"/>
        <v>0</v>
      </c>
      <c r="AX16" s="2106">
        <v>0</v>
      </c>
      <c r="AY16" s="2106"/>
      <c r="AZ16" s="2106">
        <f t="shared" si="19"/>
        <v>0</v>
      </c>
      <c r="BA16" s="2106">
        <f t="shared" si="20"/>
        <v>0</v>
      </c>
      <c r="BB16" s="2106">
        <v>0</v>
      </c>
      <c r="BC16" s="2106">
        <f t="shared" si="21"/>
        <v>0</v>
      </c>
      <c r="BD16" s="2106">
        <v>0</v>
      </c>
      <c r="BE16" s="2106">
        <f t="shared" si="22"/>
        <v>0</v>
      </c>
      <c r="BF16" s="2106">
        <v>0</v>
      </c>
      <c r="BG16" s="2106">
        <f t="shared" si="23"/>
        <v>0</v>
      </c>
      <c r="BH16" s="2106">
        <v>0</v>
      </c>
      <c r="BI16" s="2106"/>
      <c r="BJ16" s="2106">
        <f t="shared" si="24"/>
        <v>0</v>
      </c>
      <c r="BK16" s="2106">
        <f t="shared" si="25"/>
        <v>0</v>
      </c>
      <c r="BL16" s="2106">
        <v>0</v>
      </c>
      <c r="BM16" s="2106">
        <f t="shared" si="26"/>
        <v>0</v>
      </c>
      <c r="BN16" s="2106">
        <v>0</v>
      </c>
      <c r="BO16" s="2106">
        <f t="shared" si="27"/>
        <v>0</v>
      </c>
      <c r="BP16" s="2106">
        <v>0</v>
      </c>
      <c r="BQ16" s="2106">
        <f t="shared" si="28"/>
        <v>0</v>
      </c>
      <c r="BR16" s="2106">
        <v>0</v>
      </c>
      <c r="BS16" s="2106"/>
      <c r="BT16" s="2106">
        <f t="shared" si="29"/>
        <v>0</v>
      </c>
      <c r="BU16" s="2106">
        <f t="shared" si="30"/>
        <v>0</v>
      </c>
      <c r="BV16" s="2106">
        <v>0</v>
      </c>
      <c r="BW16" s="2106">
        <f t="shared" si="31"/>
        <v>0</v>
      </c>
      <c r="BX16" s="2106">
        <v>0</v>
      </c>
      <c r="BY16" s="2106">
        <f t="shared" si="32"/>
        <v>0</v>
      </c>
      <c r="BZ16" s="2106">
        <v>0</v>
      </c>
      <c r="CA16" s="2106">
        <f t="shared" si="33"/>
        <v>0</v>
      </c>
      <c r="CB16" s="2106">
        <v>0</v>
      </c>
      <c r="CC16" s="2106"/>
      <c r="CD16" s="2106">
        <f t="shared" si="34"/>
        <v>0</v>
      </c>
      <c r="CE16" s="2106">
        <f t="shared" si="35"/>
        <v>0</v>
      </c>
      <c r="CF16" s="2106">
        <v>0</v>
      </c>
      <c r="CG16" s="2106">
        <f t="shared" si="36"/>
        <v>0</v>
      </c>
      <c r="CH16" s="2106">
        <v>0</v>
      </c>
      <c r="CI16" s="2106">
        <f t="shared" si="37"/>
        <v>0</v>
      </c>
      <c r="CJ16" s="2106">
        <v>0</v>
      </c>
      <c r="CK16" s="2106">
        <f t="shared" si="38"/>
        <v>0</v>
      </c>
      <c r="CL16" s="2106">
        <v>0</v>
      </c>
      <c r="CM16" s="2106"/>
      <c r="CN16" s="2106">
        <f t="shared" si="39"/>
        <v>0</v>
      </c>
      <c r="CO16" s="2106">
        <f t="shared" si="40"/>
        <v>0</v>
      </c>
      <c r="CP16" s="2106">
        <v>0</v>
      </c>
      <c r="CQ16" s="2106">
        <f t="shared" si="41"/>
        <v>0</v>
      </c>
      <c r="CR16" s="2106">
        <v>0</v>
      </c>
      <c r="CS16" s="2106">
        <f t="shared" si="42"/>
        <v>0</v>
      </c>
      <c r="CT16" s="2106">
        <v>0</v>
      </c>
      <c r="CU16" s="2106">
        <f t="shared" si="43"/>
        <v>0</v>
      </c>
      <c r="CV16" s="2106">
        <v>0</v>
      </c>
      <c r="CW16" s="2106"/>
      <c r="CX16" s="2106">
        <f t="shared" si="44"/>
        <v>0</v>
      </c>
      <c r="CY16" s="2106">
        <f t="shared" si="45"/>
        <v>0</v>
      </c>
      <c r="CZ16" s="2106">
        <v>0</v>
      </c>
      <c r="DA16" s="2106">
        <f t="shared" si="46"/>
        <v>0</v>
      </c>
      <c r="DB16" s="2106">
        <v>0</v>
      </c>
      <c r="DC16" s="2106">
        <v>0</v>
      </c>
      <c r="DD16" s="2109">
        <f t="shared" si="47"/>
        <v>0</v>
      </c>
      <c r="DE16" s="2106"/>
      <c r="DF16" s="2106"/>
      <c r="DG16" s="2106"/>
      <c r="DH16" s="2106">
        <f t="shared" si="48"/>
        <v>0</v>
      </c>
      <c r="DI16" s="2106">
        <f t="shared" si="49"/>
        <v>0</v>
      </c>
      <c r="DJ16" s="2106">
        <v>0</v>
      </c>
      <c r="DK16" s="2106">
        <f t="shared" si="50"/>
        <v>0</v>
      </c>
      <c r="DL16" s="2106">
        <v>0</v>
      </c>
      <c r="DM16" s="2106">
        <v>0</v>
      </c>
      <c r="DN16" s="2109">
        <f t="shared" si="51"/>
        <v>0</v>
      </c>
      <c r="DO16" s="2106"/>
      <c r="DP16" s="2106"/>
      <c r="DQ16" s="2106"/>
      <c r="DR16" s="2106">
        <f t="shared" si="52"/>
        <v>0</v>
      </c>
      <c r="DS16" s="2106">
        <f t="shared" si="53"/>
        <v>0</v>
      </c>
      <c r="DT16" s="2106">
        <v>0</v>
      </c>
      <c r="DU16" s="2106">
        <f t="shared" si="54"/>
        <v>0</v>
      </c>
      <c r="DV16" s="2106">
        <v>0</v>
      </c>
      <c r="DW16" s="2106">
        <v>0</v>
      </c>
      <c r="DX16" s="2109">
        <f t="shared" si="55"/>
        <v>0</v>
      </c>
      <c r="DY16" s="2106"/>
      <c r="DZ16" s="2106"/>
      <c r="EA16" s="2106"/>
      <c r="EB16" s="2106">
        <f t="shared" si="56"/>
        <v>0</v>
      </c>
      <c r="EC16" s="2106">
        <f t="shared" si="57"/>
        <v>0</v>
      </c>
      <c r="ED16" s="2106">
        <f t="shared" si="58"/>
        <v>0</v>
      </c>
      <c r="EE16" s="2107"/>
      <c r="EF16" s="2106">
        <f t="shared" si="59"/>
        <v>0</v>
      </c>
      <c r="EG16" s="2106">
        <f t="shared" si="60"/>
        <v>0</v>
      </c>
      <c r="EH16" s="2106">
        <f>IFERROR(EI16/ED16*10,0)</f>
        <v>0</v>
      </c>
      <c r="EI16" s="2106">
        <f t="shared" si="61"/>
        <v>0</v>
      </c>
      <c r="EJ16" s="2106"/>
      <c r="EK16" s="2106">
        <f t="shared" si="62"/>
        <v>0</v>
      </c>
      <c r="EL16" s="2106"/>
      <c r="EM16" s="2106"/>
      <c r="EN16" s="2106">
        <f t="shared" si="63"/>
        <v>0</v>
      </c>
      <c r="EO16" s="2104">
        <f>IFERROR(EN16/ED16*10,0)</f>
        <v>0</v>
      </c>
      <c r="EP16" s="2110"/>
      <c r="ES16" s="2084">
        <f t="shared" si="0"/>
        <v>0</v>
      </c>
      <c r="EU16" s="2084">
        <f t="shared" si="64"/>
        <v>0</v>
      </c>
      <c r="EV16" s="2084">
        <f t="shared" si="65"/>
        <v>0</v>
      </c>
      <c r="EW16" s="2084" t="e">
        <f t="shared" si="66"/>
        <v>#DIV/0!</v>
      </c>
      <c r="FE16" s="2108"/>
      <c r="FF16" s="2108"/>
      <c r="FG16" s="2108"/>
      <c r="FH16" s="2108"/>
      <c r="FI16" s="2108"/>
      <c r="FJ16" s="2108"/>
      <c r="FK16" s="2108"/>
    </row>
    <row r="17" spans="1:167" ht="14.25" customHeight="1">
      <c r="A17" s="1760">
        <v>4</v>
      </c>
      <c r="B17" s="1761" t="s">
        <v>1652</v>
      </c>
      <c r="C17" s="2098">
        <v>220</v>
      </c>
      <c r="D17" s="2099">
        <v>1</v>
      </c>
      <c r="E17" s="2100"/>
      <c r="F17" s="2099">
        <v>0.30584951113105019</v>
      </c>
      <c r="G17" s="2101">
        <v>0</v>
      </c>
      <c r="H17" s="2102" t="s">
        <v>1649</v>
      </c>
      <c r="I17" s="2103">
        <v>2</v>
      </c>
      <c r="J17" s="2104"/>
      <c r="K17" s="2101"/>
      <c r="L17" s="2101"/>
      <c r="M17" s="2105"/>
      <c r="N17" s="2106">
        <v>0</v>
      </c>
      <c r="O17" s="2106">
        <f t="shared" si="1"/>
        <v>0</v>
      </c>
      <c r="P17" s="2106">
        <v>0</v>
      </c>
      <c r="Q17" s="2106">
        <f t="shared" si="2"/>
        <v>0</v>
      </c>
      <c r="R17" s="2106">
        <v>0</v>
      </c>
      <c r="S17" s="2106">
        <f t="shared" si="3"/>
        <v>0</v>
      </c>
      <c r="T17" s="2106">
        <v>0</v>
      </c>
      <c r="U17" s="2106"/>
      <c r="V17" s="2106">
        <f t="shared" si="4"/>
        <v>0</v>
      </c>
      <c r="W17" s="2106">
        <f t="shared" si="5"/>
        <v>0</v>
      </c>
      <c r="X17" s="2106">
        <v>0</v>
      </c>
      <c r="Y17" s="2106">
        <f t="shared" si="6"/>
        <v>0</v>
      </c>
      <c r="Z17" s="2106">
        <v>0</v>
      </c>
      <c r="AA17" s="2106">
        <f t="shared" si="7"/>
        <v>0</v>
      </c>
      <c r="AB17" s="2106">
        <v>0</v>
      </c>
      <c r="AC17" s="2106">
        <f t="shared" si="8"/>
        <v>0</v>
      </c>
      <c r="AD17" s="2106">
        <v>0</v>
      </c>
      <c r="AE17" s="2106"/>
      <c r="AF17" s="2106">
        <f t="shared" si="9"/>
        <v>0</v>
      </c>
      <c r="AG17" s="2106">
        <f t="shared" si="10"/>
        <v>0</v>
      </c>
      <c r="AH17" s="2106">
        <v>0</v>
      </c>
      <c r="AI17" s="2106">
        <f t="shared" si="11"/>
        <v>0</v>
      </c>
      <c r="AJ17" s="2106">
        <v>0</v>
      </c>
      <c r="AK17" s="2106">
        <f t="shared" si="12"/>
        <v>0</v>
      </c>
      <c r="AL17" s="2106">
        <v>0</v>
      </c>
      <c r="AM17" s="2106">
        <f t="shared" si="13"/>
        <v>0</v>
      </c>
      <c r="AN17" s="2106">
        <v>0</v>
      </c>
      <c r="AO17" s="2106">
        <v>0</v>
      </c>
      <c r="AP17" s="2106">
        <f t="shared" si="14"/>
        <v>0</v>
      </c>
      <c r="AQ17" s="2106">
        <f t="shared" si="15"/>
        <v>0</v>
      </c>
      <c r="AR17" s="2106">
        <v>0</v>
      </c>
      <c r="AS17" s="2106">
        <f t="shared" si="16"/>
        <v>0</v>
      </c>
      <c r="AT17" s="2106">
        <v>0</v>
      </c>
      <c r="AU17" s="2106">
        <f t="shared" si="17"/>
        <v>0</v>
      </c>
      <c r="AV17" s="2106">
        <v>0</v>
      </c>
      <c r="AW17" s="2106">
        <f t="shared" si="18"/>
        <v>0</v>
      </c>
      <c r="AX17" s="2106">
        <v>0</v>
      </c>
      <c r="AY17" s="2106"/>
      <c r="AZ17" s="2106">
        <f t="shared" si="19"/>
        <v>0</v>
      </c>
      <c r="BA17" s="2106">
        <f t="shared" si="20"/>
        <v>0</v>
      </c>
      <c r="BB17" s="2106">
        <v>0</v>
      </c>
      <c r="BC17" s="2106">
        <f t="shared" si="21"/>
        <v>0</v>
      </c>
      <c r="BD17" s="2106">
        <v>0</v>
      </c>
      <c r="BE17" s="2106">
        <f t="shared" si="22"/>
        <v>0</v>
      </c>
      <c r="BF17" s="2106">
        <v>0</v>
      </c>
      <c r="BG17" s="2106">
        <f t="shared" si="23"/>
        <v>0</v>
      </c>
      <c r="BH17" s="2106">
        <v>0</v>
      </c>
      <c r="BI17" s="2106"/>
      <c r="BJ17" s="2106">
        <f t="shared" si="24"/>
        <v>0</v>
      </c>
      <c r="BK17" s="2106">
        <f t="shared" si="25"/>
        <v>0</v>
      </c>
      <c r="BL17" s="2106">
        <v>0</v>
      </c>
      <c r="BM17" s="2106">
        <f t="shared" si="26"/>
        <v>0</v>
      </c>
      <c r="BN17" s="2106">
        <v>0</v>
      </c>
      <c r="BO17" s="2106">
        <f t="shared" si="27"/>
        <v>0</v>
      </c>
      <c r="BP17" s="2106">
        <v>0</v>
      </c>
      <c r="BQ17" s="2106">
        <f t="shared" si="28"/>
        <v>0</v>
      </c>
      <c r="BR17" s="2106">
        <v>0</v>
      </c>
      <c r="BS17" s="2106"/>
      <c r="BT17" s="2106">
        <f t="shared" si="29"/>
        <v>0</v>
      </c>
      <c r="BU17" s="2106">
        <f t="shared" si="30"/>
        <v>0</v>
      </c>
      <c r="BV17" s="2106">
        <v>0</v>
      </c>
      <c r="BW17" s="2106">
        <f t="shared" si="31"/>
        <v>0</v>
      </c>
      <c r="BX17" s="2106">
        <v>0</v>
      </c>
      <c r="BY17" s="2106">
        <f t="shared" si="32"/>
        <v>0</v>
      </c>
      <c r="BZ17" s="2106">
        <v>0</v>
      </c>
      <c r="CA17" s="2106">
        <f t="shared" si="33"/>
        <v>0</v>
      </c>
      <c r="CB17" s="2106">
        <v>0</v>
      </c>
      <c r="CC17" s="2106"/>
      <c r="CD17" s="2106">
        <f t="shared" si="34"/>
        <v>0</v>
      </c>
      <c r="CE17" s="2106">
        <f t="shared" si="35"/>
        <v>0</v>
      </c>
      <c r="CF17" s="2106">
        <v>0</v>
      </c>
      <c r="CG17" s="2106">
        <f t="shared" si="36"/>
        <v>0</v>
      </c>
      <c r="CH17" s="2106">
        <v>0</v>
      </c>
      <c r="CI17" s="2106">
        <f t="shared" si="37"/>
        <v>0</v>
      </c>
      <c r="CJ17" s="2106">
        <v>0</v>
      </c>
      <c r="CK17" s="2106">
        <f t="shared" si="38"/>
        <v>0</v>
      </c>
      <c r="CL17" s="2106">
        <v>0</v>
      </c>
      <c r="CM17" s="2106"/>
      <c r="CN17" s="2106">
        <f t="shared" si="39"/>
        <v>0</v>
      </c>
      <c r="CO17" s="2106">
        <f t="shared" si="40"/>
        <v>0</v>
      </c>
      <c r="CP17" s="2106">
        <v>0</v>
      </c>
      <c r="CQ17" s="2106">
        <f t="shared" si="41"/>
        <v>0</v>
      </c>
      <c r="CR17" s="2106">
        <v>0</v>
      </c>
      <c r="CS17" s="2106">
        <f t="shared" si="42"/>
        <v>0</v>
      </c>
      <c r="CT17" s="2106">
        <v>0</v>
      </c>
      <c r="CU17" s="2106">
        <f t="shared" si="43"/>
        <v>0</v>
      </c>
      <c r="CV17" s="2106">
        <v>0</v>
      </c>
      <c r="CW17" s="2106"/>
      <c r="CX17" s="2106">
        <f t="shared" si="44"/>
        <v>0</v>
      </c>
      <c r="CY17" s="2106">
        <f t="shared" si="45"/>
        <v>0</v>
      </c>
      <c r="CZ17" s="2106">
        <v>0</v>
      </c>
      <c r="DA17" s="2106">
        <f t="shared" si="46"/>
        <v>0</v>
      </c>
      <c r="DB17" s="2106">
        <v>0</v>
      </c>
      <c r="DC17" s="2106">
        <v>0</v>
      </c>
      <c r="DD17" s="2109">
        <f t="shared" si="47"/>
        <v>0</v>
      </c>
      <c r="DE17" s="2106"/>
      <c r="DF17" s="2106"/>
      <c r="DG17" s="2106"/>
      <c r="DH17" s="2106">
        <f t="shared" si="48"/>
        <v>0</v>
      </c>
      <c r="DI17" s="2106">
        <f t="shared" si="49"/>
        <v>0</v>
      </c>
      <c r="DJ17" s="2106">
        <v>0</v>
      </c>
      <c r="DK17" s="2106">
        <f t="shared" si="50"/>
        <v>0</v>
      </c>
      <c r="DL17" s="2106">
        <v>0</v>
      </c>
      <c r="DM17" s="2106">
        <v>0</v>
      </c>
      <c r="DN17" s="2109">
        <f t="shared" si="51"/>
        <v>0</v>
      </c>
      <c r="DO17" s="2106"/>
      <c r="DP17" s="2106"/>
      <c r="DQ17" s="2106"/>
      <c r="DR17" s="2106">
        <f t="shared" si="52"/>
        <v>0</v>
      </c>
      <c r="DS17" s="2106">
        <f t="shared" si="53"/>
        <v>0</v>
      </c>
      <c r="DT17" s="2106">
        <v>0</v>
      </c>
      <c r="DU17" s="2106">
        <f t="shared" si="54"/>
        <v>0</v>
      </c>
      <c r="DV17" s="2106">
        <v>0</v>
      </c>
      <c r="DW17" s="2106">
        <v>0</v>
      </c>
      <c r="DX17" s="2109">
        <f t="shared" si="55"/>
        <v>0</v>
      </c>
      <c r="DY17" s="2106"/>
      <c r="DZ17" s="2106"/>
      <c r="EA17" s="2106"/>
      <c r="EB17" s="2106">
        <f t="shared" si="56"/>
        <v>0</v>
      </c>
      <c r="EC17" s="2106">
        <f t="shared" si="57"/>
        <v>0</v>
      </c>
      <c r="ED17" s="2106">
        <f t="shared" si="58"/>
        <v>0</v>
      </c>
      <c r="EE17" s="2107"/>
      <c r="EF17" s="2106">
        <f t="shared" si="59"/>
        <v>0</v>
      </c>
      <c r="EG17" s="2106">
        <f t="shared" si="60"/>
        <v>0</v>
      </c>
      <c r="EH17" s="2106">
        <f>IFERROR(EI17/ED17*10,0)</f>
        <v>0</v>
      </c>
      <c r="EI17" s="2106">
        <f t="shared" si="61"/>
        <v>0</v>
      </c>
      <c r="EJ17" s="2106"/>
      <c r="EK17" s="2106">
        <f t="shared" si="62"/>
        <v>0</v>
      </c>
      <c r="EL17" s="2106"/>
      <c r="EM17" s="2106"/>
      <c r="EN17" s="2106">
        <f t="shared" si="63"/>
        <v>0</v>
      </c>
      <c r="EO17" s="2104"/>
      <c r="EP17" s="2110"/>
      <c r="ES17" s="2084">
        <f t="shared" si="0"/>
        <v>0</v>
      </c>
      <c r="EU17" s="2084">
        <f t="shared" si="64"/>
        <v>0</v>
      </c>
      <c r="EV17" s="2084">
        <f t="shared" si="65"/>
        <v>0</v>
      </c>
      <c r="EW17" s="2084" t="e">
        <f t="shared" si="66"/>
        <v>#DIV/0!</v>
      </c>
      <c r="FE17" s="2108"/>
      <c r="FF17" s="2108"/>
      <c r="FG17" s="2108"/>
      <c r="FH17" s="2108"/>
      <c r="FI17" s="2108"/>
      <c r="FJ17" s="2108"/>
      <c r="FK17" s="2108"/>
    </row>
    <row r="18" spans="1:167" ht="15" customHeight="1">
      <c r="A18" s="1760">
        <v>3</v>
      </c>
      <c r="B18" s="1761" t="s">
        <v>1653</v>
      </c>
      <c r="C18" s="2098">
        <v>420</v>
      </c>
      <c r="D18" s="2099">
        <v>1</v>
      </c>
      <c r="E18" s="2100"/>
      <c r="F18" s="2099">
        <v>0.67715905002816401</v>
      </c>
      <c r="G18" s="2101">
        <v>420</v>
      </c>
      <c r="H18" s="2102" t="s">
        <v>1649</v>
      </c>
      <c r="I18" s="2103">
        <v>2</v>
      </c>
      <c r="J18" s="2104"/>
      <c r="K18" s="2101"/>
      <c r="L18" s="2101"/>
      <c r="M18" s="2105"/>
      <c r="N18" s="2106">
        <v>0</v>
      </c>
      <c r="O18" s="2106">
        <f t="shared" si="1"/>
        <v>0</v>
      </c>
      <c r="P18" s="2106">
        <v>0</v>
      </c>
      <c r="Q18" s="2106">
        <f t="shared" si="2"/>
        <v>0</v>
      </c>
      <c r="R18" s="2106">
        <v>0</v>
      </c>
      <c r="S18" s="2106">
        <f t="shared" si="3"/>
        <v>0</v>
      </c>
      <c r="T18" s="2106">
        <v>0</v>
      </c>
      <c r="U18" s="2106"/>
      <c r="V18" s="2106">
        <f t="shared" si="4"/>
        <v>0</v>
      </c>
      <c r="W18" s="2106">
        <f t="shared" si="5"/>
        <v>0</v>
      </c>
      <c r="X18" s="2106">
        <v>0</v>
      </c>
      <c r="Y18" s="2106">
        <f t="shared" si="6"/>
        <v>0</v>
      </c>
      <c r="Z18" s="2106">
        <v>0</v>
      </c>
      <c r="AA18" s="2106">
        <f t="shared" si="7"/>
        <v>0</v>
      </c>
      <c r="AB18" s="2106">
        <v>0</v>
      </c>
      <c r="AC18" s="2106">
        <f t="shared" si="8"/>
        <v>0</v>
      </c>
      <c r="AD18" s="2106">
        <v>0</v>
      </c>
      <c r="AE18" s="2106"/>
      <c r="AF18" s="2106">
        <f t="shared" si="9"/>
        <v>0</v>
      </c>
      <c r="AG18" s="2106">
        <f t="shared" si="10"/>
        <v>0</v>
      </c>
      <c r="AH18" s="2106">
        <v>0</v>
      </c>
      <c r="AI18" s="2106">
        <f t="shared" si="11"/>
        <v>0</v>
      </c>
      <c r="AJ18" s="2106">
        <v>0</v>
      </c>
      <c r="AK18" s="2106">
        <f t="shared" si="12"/>
        <v>0</v>
      </c>
      <c r="AL18" s="2106">
        <v>0</v>
      </c>
      <c r="AM18" s="2106">
        <f t="shared" si="13"/>
        <v>0</v>
      </c>
      <c r="AN18" s="2106">
        <v>0</v>
      </c>
      <c r="AO18" s="2106">
        <v>0</v>
      </c>
      <c r="AP18" s="2106">
        <f t="shared" si="14"/>
        <v>0</v>
      </c>
      <c r="AQ18" s="2106">
        <f t="shared" si="15"/>
        <v>0</v>
      </c>
      <c r="AR18" s="2106">
        <v>0</v>
      </c>
      <c r="AS18" s="2106">
        <f t="shared" si="16"/>
        <v>0</v>
      </c>
      <c r="AT18" s="2106">
        <v>0</v>
      </c>
      <c r="AU18" s="2106">
        <f t="shared" si="17"/>
        <v>0</v>
      </c>
      <c r="AV18" s="2106">
        <v>0</v>
      </c>
      <c r="AW18" s="2106">
        <f t="shared" si="18"/>
        <v>0</v>
      </c>
      <c r="AX18" s="2106">
        <v>0</v>
      </c>
      <c r="AY18" s="2106"/>
      <c r="AZ18" s="2106">
        <f t="shared" si="19"/>
        <v>0</v>
      </c>
      <c r="BA18" s="2106">
        <f t="shared" si="20"/>
        <v>0</v>
      </c>
      <c r="BB18" s="2106">
        <v>0</v>
      </c>
      <c r="BC18" s="2106">
        <f t="shared" si="21"/>
        <v>0</v>
      </c>
      <c r="BD18" s="2106">
        <v>0</v>
      </c>
      <c r="BE18" s="2106">
        <f t="shared" si="22"/>
        <v>0</v>
      </c>
      <c r="BF18" s="2106">
        <v>0</v>
      </c>
      <c r="BG18" s="2106">
        <f t="shared" si="23"/>
        <v>0</v>
      </c>
      <c r="BH18" s="2106">
        <v>0</v>
      </c>
      <c r="BI18" s="2106"/>
      <c r="BJ18" s="2106">
        <f t="shared" si="24"/>
        <v>0</v>
      </c>
      <c r="BK18" s="2106">
        <f t="shared" si="25"/>
        <v>0</v>
      </c>
      <c r="BL18" s="2106">
        <v>0</v>
      </c>
      <c r="BM18" s="2106">
        <f t="shared" si="26"/>
        <v>0</v>
      </c>
      <c r="BN18" s="2106">
        <v>0</v>
      </c>
      <c r="BO18" s="2106">
        <f t="shared" si="27"/>
        <v>0</v>
      </c>
      <c r="BP18" s="2106">
        <v>0</v>
      </c>
      <c r="BQ18" s="2106">
        <f t="shared" si="28"/>
        <v>0</v>
      </c>
      <c r="BR18" s="2106">
        <v>0</v>
      </c>
      <c r="BS18" s="2106"/>
      <c r="BT18" s="2106">
        <f t="shared" si="29"/>
        <v>0</v>
      </c>
      <c r="BU18" s="2106">
        <f t="shared" si="30"/>
        <v>0</v>
      </c>
      <c r="BV18" s="2106">
        <v>0</v>
      </c>
      <c r="BW18" s="2106">
        <f t="shared" si="31"/>
        <v>0</v>
      </c>
      <c r="BX18" s="2106">
        <v>0</v>
      </c>
      <c r="BY18" s="2106">
        <f t="shared" si="32"/>
        <v>0</v>
      </c>
      <c r="BZ18" s="2106">
        <v>0</v>
      </c>
      <c r="CA18" s="2106">
        <f t="shared" si="33"/>
        <v>0</v>
      </c>
      <c r="CB18" s="2106">
        <v>0</v>
      </c>
      <c r="CC18" s="2106"/>
      <c r="CD18" s="2106">
        <f t="shared" si="34"/>
        <v>0</v>
      </c>
      <c r="CE18" s="2106">
        <f t="shared" si="35"/>
        <v>0</v>
      </c>
      <c r="CF18" s="2106">
        <v>0</v>
      </c>
      <c r="CG18" s="2106">
        <f t="shared" si="36"/>
        <v>0</v>
      </c>
      <c r="CH18" s="2106">
        <v>0</v>
      </c>
      <c r="CI18" s="2106">
        <f t="shared" si="37"/>
        <v>0</v>
      </c>
      <c r="CJ18" s="2106">
        <v>0</v>
      </c>
      <c r="CK18" s="2106">
        <f t="shared" si="38"/>
        <v>0</v>
      </c>
      <c r="CL18" s="2106">
        <v>0</v>
      </c>
      <c r="CM18" s="2106"/>
      <c r="CN18" s="2106">
        <f t="shared" si="39"/>
        <v>0</v>
      </c>
      <c r="CO18" s="2106">
        <f t="shared" si="40"/>
        <v>0</v>
      </c>
      <c r="CP18" s="2106">
        <v>0</v>
      </c>
      <c r="CQ18" s="2106">
        <f t="shared" si="41"/>
        <v>0</v>
      </c>
      <c r="CR18" s="2106">
        <v>0</v>
      </c>
      <c r="CS18" s="2106">
        <f t="shared" si="42"/>
        <v>0</v>
      </c>
      <c r="CT18" s="2106">
        <v>0</v>
      </c>
      <c r="CU18" s="2106">
        <f t="shared" si="43"/>
        <v>0</v>
      </c>
      <c r="CV18" s="2106">
        <v>0</v>
      </c>
      <c r="CW18" s="2106"/>
      <c r="CX18" s="2106">
        <f t="shared" si="44"/>
        <v>0</v>
      </c>
      <c r="CY18" s="2106">
        <f t="shared" si="45"/>
        <v>0</v>
      </c>
      <c r="CZ18" s="2106">
        <v>0</v>
      </c>
      <c r="DA18" s="2106">
        <f t="shared" si="46"/>
        <v>0</v>
      </c>
      <c r="DB18" s="2106">
        <v>29.195250000000001</v>
      </c>
      <c r="DC18" s="2106">
        <v>3.8045455335805753</v>
      </c>
      <c r="DD18" s="2109">
        <f t="shared" si="47"/>
        <v>0</v>
      </c>
      <c r="DE18" s="2106"/>
      <c r="DF18" s="2106"/>
      <c r="DG18" s="2106"/>
      <c r="DH18" s="2106">
        <f t="shared" si="48"/>
        <v>0</v>
      </c>
      <c r="DI18" s="2106">
        <f t="shared" si="49"/>
        <v>29.195250000000001</v>
      </c>
      <c r="DJ18" s="2106">
        <v>218.31264000000002</v>
      </c>
      <c r="DK18" s="2106">
        <f t="shared" si="50"/>
        <v>1.3373137716625112</v>
      </c>
      <c r="DL18" s="2106">
        <v>29.195250000000001</v>
      </c>
      <c r="DM18" s="2106">
        <v>3.8045455335805753</v>
      </c>
      <c r="DN18" s="2109">
        <f t="shared" si="51"/>
        <v>83.058037943618416</v>
      </c>
      <c r="DO18" s="2106"/>
      <c r="DP18" s="2106"/>
      <c r="DQ18" s="2106"/>
      <c r="DR18" s="2106">
        <f t="shared" si="52"/>
        <v>5.141859305243087</v>
      </c>
      <c r="DS18" s="2106">
        <f t="shared" si="53"/>
        <v>112.25328794361842</v>
      </c>
      <c r="DT18" s="2106">
        <v>241.70328000000001</v>
      </c>
      <c r="DU18" s="2106">
        <f t="shared" si="54"/>
        <v>1.2078963098887199</v>
      </c>
      <c r="DV18" s="2106">
        <v>29.195250000000001</v>
      </c>
      <c r="DW18" s="2106">
        <v>3.8045455335805753</v>
      </c>
      <c r="DX18" s="2109">
        <f t="shared" si="55"/>
        <v>91.957113437577533</v>
      </c>
      <c r="DY18" s="2106"/>
      <c r="DZ18" s="2106"/>
      <c r="EA18" s="2106"/>
      <c r="EB18" s="2106">
        <f t="shared" si="56"/>
        <v>5.0124418434692952</v>
      </c>
      <c r="EC18" s="2106">
        <f t="shared" si="57"/>
        <v>121.15236343757753</v>
      </c>
      <c r="ED18" s="2106">
        <f t="shared" si="58"/>
        <v>460.01592000000005</v>
      </c>
      <c r="EE18" s="2107"/>
      <c r="EF18" s="2106">
        <f t="shared" si="59"/>
        <v>1.903972149485609</v>
      </c>
      <c r="EG18" s="2106">
        <f t="shared" si="60"/>
        <v>87.585750000000004</v>
      </c>
      <c r="EH18" s="2106">
        <f t="shared" ref="EH18:EH23" si="67">EI18/ED18*10</f>
        <v>3.8045455335805753</v>
      </c>
      <c r="EI18" s="2106">
        <f t="shared" si="61"/>
        <v>175.01515138119595</v>
      </c>
      <c r="EJ18" s="2106"/>
      <c r="EK18" s="2106">
        <f t="shared" si="62"/>
        <v>0</v>
      </c>
      <c r="EL18" s="2106"/>
      <c r="EM18" s="2106"/>
      <c r="EN18" s="2106">
        <f t="shared" si="63"/>
        <v>262.60090138119597</v>
      </c>
      <c r="EO18" s="2104">
        <f t="shared" ref="EO18:EO23" si="68">EN18/ED18*10</f>
        <v>5.7085176830661846</v>
      </c>
      <c r="EP18" s="2110"/>
      <c r="ES18" s="2084">
        <f t="shared" si="0"/>
        <v>0</v>
      </c>
      <c r="EU18" s="2084">
        <f t="shared" si="64"/>
        <v>0</v>
      </c>
      <c r="EV18" s="2084">
        <f t="shared" si="65"/>
        <v>0</v>
      </c>
      <c r="EW18" s="2084" t="e">
        <f t="shared" si="66"/>
        <v>#DIV/0!</v>
      </c>
      <c r="FE18" s="2108"/>
      <c r="FF18" s="2108"/>
      <c r="FG18" s="2108"/>
      <c r="FH18" s="2108"/>
      <c r="FI18" s="2108"/>
      <c r="FJ18" s="2108"/>
      <c r="FK18" s="2108"/>
    </row>
    <row r="19" spans="1:167" ht="15" customHeight="1">
      <c r="A19" s="1760">
        <v>4</v>
      </c>
      <c r="B19" s="1761" t="s">
        <v>1654</v>
      </c>
      <c r="C19" s="2098"/>
      <c r="D19" s="2099"/>
      <c r="E19" s="2100"/>
      <c r="F19" s="2099"/>
      <c r="G19" s="2101">
        <v>0</v>
      </c>
      <c r="H19" s="2102" t="s">
        <v>1649</v>
      </c>
      <c r="I19" s="2103">
        <v>2</v>
      </c>
      <c r="J19" s="2104"/>
      <c r="K19" s="2101"/>
      <c r="L19" s="2101"/>
      <c r="M19" s="2105"/>
      <c r="N19" s="2106">
        <v>0</v>
      </c>
      <c r="O19" s="2106">
        <f t="shared" si="1"/>
        <v>0</v>
      </c>
      <c r="P19" s="2106">
        <v>0</v>
      </c>
      <c r="Q19" s="2106">
        <f t="shared" si="2"/>
        <v>0</v>
      </c>
      <c r="R19" s="2106">
        <v>0</v>
      </c>
      <c r="S19" s="2106">
        <f t="shared" si="3"/>
        <v>0</v>
      </c>
      <c r="T19" s="2106">
        <v>0</v>
      </c>
      <c r="U19" s="2106"/>
      <c r="V19" s="2106">
        <f t="shared" si="4"/>
        <v>0</v>
      </c>
      <c r="W19" s="2106">
        <f t="shared" si="5"/>
        <v>0</v>
      </c>
      <c r="X19" s="2106">
        <v>0</v>
      </c>
      <c r="Y19" s="2106">
        <f t="shared" si="6"/>
        <v>0</v>
      </c>
      <c r="Z19" s="2106">
        <v>0</v>
      </c>
      <c r="AA19" s="2106">
        <f t="shared" si="7"/>
        <v>0</v>
      </c>
      <c r="AB19" s="2106">
        <v>0</v>
      </c>
      <c r="AC19" s="2106">
        <f t="shared" si="8"/>
        <v>0</v>
      </c>
      <c r="AD19" s="2106">
        <v>0</v>
      </c>
      <c r="AE19" s="2106"/>
      <c r="AF19" s="2106">
        <f t="shared" si="9"/>
        <v>0</v>
      </c>
      <c r="AG19" s="2106">
        <f t="shared" si="10"/>
        <v>0</v>
      </c>
      <c r="AH19" s="2106">
        <v>0</v>
      </c>
      <c r="AI19" s="2106">
        <f t="shared" si="11"/>
        <v>0</v>
      </c>
      <c r="AJ19" s="2106">
        <v>0</v>
      </c>
      <c r="AK19" s="2106">
        <f t="shared" si="12"/>
        <v>0</v>
      </c>
      <c r="AL19" s="2106">
        <v>0</v>
      </c>
      <c r="AM19" s="2106">
        <f t="shared" si="13"/>
        <v>0</v>
      </c>
      <c r="AN19" s="2106">
        <v>0</v>
      </c>
      <c r="AO19" s="2106">
        <v>0</v>
      </c>
      <c r="AP19" s="2106">
        <f t="shared" si="14"/>
        <v>0</v>
      </c>
      <c r="AQ19" s="2106">
        <f t="shared" si="15"/>
        <v>0</v>
      </c>
      <c r="AR19" s="2106">
        <v>0</v>
      </c>
      <c r="AS19" s="2106">
        <f t="shared" si="16"/>
        <v>0</v>
      </c>
      <c r="AT19" s="2106">
        <v>0</v>
      </c>
      <c r="AU19" s="2106">
        <f t="shared" si="17"/>
        <v>0</v>
      </c>
      <c r="AV19" s="2106">
        <v>0</v>
      </c>
      <c r="AW19" s="2106">
        <f t="shared" si="18"/>
        <v>0</v>
      </c>
      <c r="AX19" s="2106">
        <v>0</v>
      </c>
      <c r="AY19" s="2106"/>
      <c r="AZ19" s="2106">
        <f t="shared" si="19"/>
        <v>0</v>
      </c>
      <c r="BA19" s="2106">
        <f t="shared" si="20"/>
        <v>0</v>
      </c>
      <c r="BB19" s="2106">
        <v>0</v>
      </c>
      <c r="BC19" s="2106">
        <f t="shared" si="21"/>
        <v>0</v>
      </c>
      <c r="BD19" s="2106">
        <v>0</v>
      </c>
      <c r="BE19" s="2106">
        <f t="shared" si="22"/>
        <v>0</v>
      </c>
      <c r="BF19" s="2106">
        <v>0</v>
      </c>
      <c r="BG19" s="2106">
        <f t="shared" si="23"/>
        <v>0</v>
      </c>
      <c r="BH19" s="2106">
        <v>0</v>
      </c>
      <c r="BI19" s="2106"/>
      <c r="BJ19" s="2106">
        <f t="shared" si="24"/>
        <v>0</v>
      </c>
      <c r="BK19" s="2106">
        <f t="shared" si="25"/>
        <v>0</v>
      </c>
      <c r="BL19" s="2106">
        <v>0</v>
      </c>
      <c r="BM19" s="2106">
        <f t="shared" si="26"/>
        <v>0</v>
      </c>
      <c r="BN19" s="2106">
        <v>0</v>
      </c>
      <c r="BO19" s="2106">
        <f t="shared" si="27"/>
        <v>0</v>
      </c>
      <c r="BP19" s="2106">
        <v>0</v>
      </c>
      <c r="BQ19" s="2106">
        <f t="shared" si="28"/>
        <v>0</v>
      </c>
      <c r="BR19" s="2106">
        <v>0</v>
      </c>
      <c r="BS19" s="2106"/>
      <c r="BT19" s="2106">
        <f t="shared" si="29"/>
        <v>0</v>
      </c>
      <c r="BU19" s="2106">
        <f t="shared" si="30"/>
        <v>0</v>
      </c>
      <c r="BV19" s="2106">
        <v>0</v>
      </c>
      <c r="BW19" s="2106">
        <f t="shared" si="31"/>
        <v>0</v>
      </c>
      <c r="BX19" s="2106">
        <v>0</v>
      </c>
      <c r="BY19" s="2106">
        <f t="shared" si="32"/>
        <v>0</v>
      </c>
      <c r="BZ19" s="2106">
        <v>0</v>
      </c>
      <c r="CA19" s="2106">
        <f t="shared" si="33"/>
        <v>0</v>
      </c>
      <c r="CB19" s="2106">
        <v>0</v>
      </c>
      <c r="CC19" s="2106"/>
      <c r="CD19" s="2106">
        <f t="shared" si="34"/>
        <v>0</v>
      </c>
      <c r="CE19" s="2106">
        <f t="shared" si="35"/>
        <v>0</v>
      </c>
      <c r="CF19" s="2106">
        <v>0</v>
      </c>
      <c r="CG19" s="2106">
        <f t="shared" si="36"/>
        <v>0</v>
      </c>
      <c r="CH19" s="2106">
        <v>0</v>
      </c>
      <c r="CI19" s="2106">
        <f t="shared" si="37"/>
        <v>0</v>
      </c>
      <c r="CJ19" s="2106">
        <v>0</v>
      </c>
      <c r="CK19" s="2106">
        <f t="shared" si="38"/>
        <v>0</v>
      </c>
      <c r="CL19" s="2106">
        <v>0</v>
      </c>
      <c r="CM19" s="2106"/>
      <c r="CN19" s="2106">
        <f t="shared" si="39"/>
        <v>0</v>
      </c>
      <c r="CO19" s="2106">
        <f t="shared" si="40"/>
        <v>0</v>
      </c>
      <c r="CP19" s="2106">
        <v>0</v>
      </c>
      <c r="CQ19" s="2106">
        <f t="shared" si="41"/>
        <v>0</v>
      </c>
      <c r="CR19" s="2106">
        <v>0</v>
      </c>
      <c r="CS19" s="2106">
        <f t="shared" si="42"/>
        <v>0</v>
      </c>
      <c r="CT19" s="2106">
        <v>0</v>
      </c>
      <c r="CU19" s="2106">
        <f t="shared" si="43"/>
        <v>0</v>
      </c>
      <c r="CV19" s="2106">
        <v>0</v>
      </c>
      <c r="CW19" s="2106"/>
      <c r="CX19" s="2106">
        <f t="shared" si="44"/>
        <v>0</v>
      </c>
      <c r="CY19" s="2106">
        <f t="shared" si="45"/>
        <v>0</v>
      </c>
      <c r="CZ19" s="2106">
        <v>0</v>
      </c>
      <c r="DA19" s="2106">
        <f t="shared" si="46"/>
        <v>0</v>
      </c>
      <c r="DB19" s="2106">
        <v>0</v>
      </c>
      <c r="DC19" s="2106">
        <v>0</v>
      </c>
      <c r="DD19" s="2109">
        <f t="shared" si="47"/>
        <v>0</v>
      </c>
      <c r="DE19" s="2106"/>
      <c r="DF19" s="2106"/>
      <c r="DG19" s="2106"/>
      <c r="DH19" s="2106">
        <f t="shared" si="48"/>
        <v>0</v>
      </c>
      <c r="DI19" s="2106">
        <f t="shared" si="49"/>
        <v>0</v>
      </c>
      <c r="DJ19" s="2106">
        <v>0</v>
      </c>
      <c r="DK19" s="2106">
        <f t="shared" si="50"/>
        <v>0</v>
      </c>
      <c r="DL19" s="2106">
        <v>0</v>
      </c>
      <c r="DM19" s="2106">
        <v>0</v>
      </c>
      <c r="DN19" s="2109">
        <f t="shared" si="51"/>
        <v>0</v>
      </c>
      <c r="DO19" s="2106"/>
      <c r="DP19" s="2106"/>
      <c r="DQ19" s="2106"/>
      <c r="DR19" s="2106">
        <f t="shared" si="52"/>
        <v>0</v>
      </c>
      <c r="DS19" s="2106">
        <f t="shared" si="53"/>
        <v>0</v>
      </c>
      <c r="DT19" s="2106">
        <v>0</v>
      </c>
      <c r="DU19" s="2106">
        <f t="shared" si="54"/>
        <v>0</v>
      </c>
      <c r="DV19" s="2106">
        <v>0</v>
      </c>
      <c r="DW19" s="2106">
        <v>0</v>
      </c>
      <c r="DX19" s="2109">
        <f t="shared" si="55"/>
        <v>0</v>
      </c>
      <c r="DY19" s="2106"/>
      <c r="DZ19" s="2106"/>
      <c r="EA19" s="2106"/>
      <c r="EB19" s="2106">
        <f t="shared" si="56"/>
        <v>0</v>
      </c>
      <c r="EC19" s="2106">
        <f t="shared" si="57"/>
        <v>0</v>
      </c>
      <c r="ED19" s="2106">
        <f t="shared" si="58"/>
        <v>0</v>
      </c>
      <c r="EE19" s="2107"/>
      <c r="EF19" s="2106">
        <f t="shared" si="59"/>
        <v>0</v>
      </c>
      <c r="EG19" s="2106">
        <f t="shared" si="60"/>
        <v>0</v>
      </c>
      <c r="EH19" s="2106"/>
      <c r="EI19" s="2106">
        <f t="shared" si="61"/>
        <v>0</v>
      </c>
      <c r="EJ19" s="2106"/>
      <c r="EK19" s="2106">
        <f t="shared" si="62"/>
        <v>0</v>
      </c>
      <c r="EL19" s="2106"/>
      <c r="EM19" s="2106"/>
      <c r="EN19" s="2106">
        <f t="shared" si="63"/>
        <v>0</v>
      </c>
      <c r="EO19" s="2104"/>
      <c r="EP19" s="2110"/>
      <c r="ES19" s="2084">
        <f t="shared" si="0"/>
        <v>0</v>
      </c>
      <c r="EU19" s="2084">
        <f t="shared" si="64"/>
        <v>0</v>
      </c>
      <c r="EV19" s="2084">
        <f t="shared" si="65"/>
        <v>0</v>
      </c>
      <c r="EW19" s="2084" t="e">
        <f t="shared" si="66"/>
        <v>#DIV/0!</v>
      </c>
      <c r="FE19" s="2108"/>
      <c r="FF19" s="2108"/>
      <c r="FG19" s="2108"/>
      <c r="FH19" s="2108"/>
      <c r="FI19" s="2108"/>
      <c r="FJ19" s="2108"/>
      <c r="FK19" s="2108"/>
    </row>
    <row r="20" spans="1:167" ht="15" customHeight="1">
      <c r="A20" s="1760">
        <v>5</v>
      </c>
      <c r="B20" s="1761" t="s">
        <v>1655</v>
      </c>
      <c r="C20" s="2098">
        <v>1000</v>
      </c>
      <c r="D20" s="2099">
        <v>1</v>
      </c>
      <c r="E20" s="2100"/>
      <c r="F20" s="2099">
        <v>0.43170901112977239</v>
      </c>
      <c r="G20" s="2101">
        <v>1000</v>
      </c>
      <c r="H20" s="2102" t="s">
        <v>1649</v>
      </c>
      <c r="I20" s="2103">
        <v>2</v>
      </c>
      <c r="J20" s="2104"/>
      <c r="K20" s="2101"/>
      <c r="L20" s="2101"/>
      <c r="M20" s="2105"/>
      <c r="N20" s="2106">
        <v>421.84571799999998</v>
      </c>
      <c r="O20" s="2106">
        <f t="shared" si="1"/>
        <v>0.71665855572344572</v>
      </c>
      <c r="P20" s="2106">
        <v>30.231934299999999</v>
      </c>
      <c r="Q20" s="2106">
        <f t="shared" si="2"/>
        <v>2.3433000000251276</v>
      </c>
      <c r="R20" s="2106">
        <v>98.851107099999993</v>
      </c>
      <c r="S20" s="2106">
        <f t="shared" si="3"/>
        <v>0</v>
      </c>
      <c r="T20" s="2106">
        <v>0</v>
      </c>
      <c r="U20" s="2106"/>
      <c r="V20" s="2106">
        <f t="shared" si="4"/>
        <v>3.0599585557485733</v>
      </c>
      <c r="W20" s="2106">
        <f t="shared" si="5"/>
        <v>129.08304139999998</v>
      </c>
      <c r="X20" s="2106">
        <v>370.65297800000002</v>
      </c>
      <c r="Y20" s="2106">
        <f t="shared" si="6"/>
        <v>0.73615315185731489</v>
      </c>
      <c r="Z20" s="2106">
        <v>27.285735800000001</v>
      </c>
      <c r="AA20" s="2106">
        <f t="shared" si="7"/>
        <v>2.3763000010214403</v>
      </c>
      <c r="AB20" s="2106">
        <v>88.078267199999999</v>
      </c>
      <c r="AC20" s="2106">
        <f t="shared" si="8"/>
        <v>0</v>
      </c>
      <c r="AD20" s="2106">
        <v>0</v>
      </c>
      <c r="AE20" s="2106"/>
      <c r="AF20" s="2106">
        <f t="shared" si="9"/>
        <v>3.1124531528787553</v>
      </c>
      <c r="AG20" s="2106">
        <f t="shared" si="10"/>
        <v>115.364003</v>
      </c>
      <c r="AH20" s="2106">
        <v>305.20947000000001</v>
      </c>
      <c r="AI20" s="2106">
        <f t="shared" si="11"/>
        <v>0.77086071411873291</v>
      </c>
      <c r="AJ20" s="2106">
        <v>23.527398999999999</v>
      </c>
      <c r="AK20" s="2106">
        <f t="shared" si="12"/>
        <v>2.3058000002424563</v>
      </c>
      <c r="AL20" s="2106">
        <v>70.375199600000002</v>
      </c>
      <c r="AM20" s="2106">
        <f t="shared" si="13"/>
        <v>0</v>
      </c>
      <c r="AN20" s="2106">
        <v>0</v>
      </c>
      <c r="AO20" s="2106">
        <v>0</v>
      </c>
      <c r="AP20" s="2106">
        <f t="shared" si="14"/>
        <v>3.0766607143611897</v>
      </c>
      <c r="AQ20" s="2106">
        <f t="shared" si="15"/>
        <v>93.902598600000005</v>
      </c>
      <c r="AR20" s="2106">
        <v>348.54728999999998</v>
      </c>
      <c r="AS20" s="2106">
        <f t="shared" si="16"/>
        <v>0.75853236443181071</v>
      </c>
      <c r="AT20" s="2106">
        <v>26.43844</v>
      </c>
      <c r="AU20" s="2106">
        <f t="shared" si="17"/>
        <v>2.3722999998077734</v>
      </c>
      <c r="AV20" s="2106">
        <v>82.685873599999994</v>
      </c>
      <c r="AW20" s="2106">
        <f t="shared" si="18"/>
        <v>0</v>
      </c>
      <c r="AX20" s="2106">
        <v>0</v>
      </c>
      <c r="AY20" s="2106"/>
      <c r="AZ20" s="2106">
        <f t="shared" si="19"/>
        <v>3.1308323642395841</v>
      </c>
      <c r="BA20" s="2106">
        <f t="shared" si="20"/>
        <v>109.12431359999999</v>
      </c>
      <c r="BB20" s="2106">
        <v>313.23949299999998</v>
      </c>
      <c r="BC20" s="2106">
        <f t="shared" si="21"/>
        <v>0.67657308460782117</v>
      </c>
      <c r="BD20" s="2106">
        <v>21.192941000000001</v>
      </c>
      <c r="BE20" s="2106">
        <f t="shared" si="22"/>
        <v>2.4111999983348205</v>
      </c>
      <c r="BF20" s="2106">
        <v>75.528306499999999</v>
      </c>
      <c r="BG20" s="2106">
        <f t="shared" si="23"/>
        <v>0</v>
      </c>
      <c r="BH20" s="2106">
        <v>0</v>
      </c>
      <c r="BI20" s="2106"/>
      <c r="BJ20" s="2106">
        <f t="shared" si="24"/>
        <v>3.087773082942642</v>
      </c>
      <c r="BK20" s="2106">
        <f t="shared" si="25"/>
        <v>96.721247500000004</v>
      </c>
      <c r="BL20" s="2106">
        <v>336.15294</v>
      </c>
      <c r="BM20" s="2106">
        <f t="shared" si="26"/>
        <v>0.73420642996607444</v>
      </c>
      <c r="BN20" s="2106">
        <v>24.680565000000001</v>
      </c>
      <c r="BO20" s="2106">
        <f t="shared" si="27"/>
        <v>2.4452000003331822</v>
      </c>
      <c r="BP20" s="2106">
        <v>82.196116900000007</v>
      </c>
      <c r="BQ20" s="2106">
        <f t="shared" si="28"/>
        <v>-7.2332656082079783E-2</v>
      </c>
      <c r="BR20" s="2106">
        <v>-2.4314835000000001</v>
      </c>
      <c r="BS20" s="2106"/>
      <c r="BT20" s="2106">
        <f t="shared" si="29"/>
        <v>3.1070737742171768</v>
      </c>
      <c r="BU20" s="2106">
        <f t="shared" si="30"/>
        <v>104.44519840000001</v>
      </c>
      <c r="BV20" s="2106">
        <v>297.55301800000001</v>
      </c>
      <c r="BW20" s="2106">
        <f t="shared" si="31"/>
        <v>0.83335013594115193</v>
      </c>
      <c r="BX20" s="2106">
        <v>24.796584800000002</v>
      </c>
      <c r="BY20" s="2106">
        <f t="shared" si="32"/>
        <v>2.1188999971763014</v>
      </c>
      <c r="BZ20" s="2106">
        <v>63.048508900000002</v>
      </c>
      <c r="CA20" s="2106">
        <f t="shared" si="33"/>
        <v>0</v>
      </c>
      <c r="CB20" s="2106">
        <v>0</v>
      </c>
      <c r="CC20" s="2106"/>
      <c r="CD20" s="2106">
        <f t="shared" si="34"/>
        <v>2.9522501331174533</v>
      </c>
      <c r="CE20" s="2106">
        <f t="shared" si="35"/>
        <v>87.845093700000007</v>
      </c>
      <c r="CF20" s="2106">
        <v>322.101068</v>
      </c>
      <c r="CG20" s="2106">
        <f t="shared" si="36"/>
        <v>0.9831187613448088</v>
      </c>
      <c r="CH20" s="2106">
        <v>31.666360300000001</v>
      </c>
      <c r="CI20" s="2106">
        <f t="shared" si="37"/>
        <v>2.2177999981049425</v>
      </c>
      <c r="CJ20" s="2106">
        <v>71.435574799999998</v>
      </c>
      <c r="CK20" s="2106">
        <f t="shared" si="38"/>
        <v>0</v>
      </c>
      <c r="CL20" s="2106">
        <v>0</v>
      </c>
      <c r="CM20" s="2106"/>
      <c r="CN20" s="2106">
        <f t="shared" si="39"/>
        <v>3.2009187594497512</v>
      </c>
      <c r="CO20" s="2106">
        <f t="shared" si="40"/>
        <v>103.10193509999999</v>
      </c>
      <c r="CP20" s="2106">
        <v>379.86368499999998</v>
      </c>
      <c r="CQ20" s="2106">
        <f t="shared" si="41"/>
        <v>0.78873613570088974</v>
      </c>
      <c r="CR20" s="2106">
        <v>29.961221500000001</v>
      </c>
      <c r="CS20" s="2106">
        <f t="shared" si="42"/>
        <v>2.294999999802561</v>
      </c>
      <c r="CT20" s="2106">
        <v>87.178715699999998</v>
      </c>
      <c r="CU20" s="2106">
        <f t="shared" si="43"/>
        <v>0</v>
      </c>
      <c r="CV20" s="2106">
        <v>0</v>
      </c>
      <c r="CW20" s="2106"/>
      <c r="CX20" s="2106">
        <f t="shared" si="44"/>
        <v>3.0837361355034503</v>
      </c>
      <c r="CY20" s="2106">
        <f t="shared" si="45"/>
        <v>117.13993719999999</v>
      </c>
      <c r="CZ20" s="2106">
        <v>315.8759546</v>
      </c>
      <c r="DA20" s="2106">
        <f t="shared" si="46"/>
        <v>0.92371426192280359</v>
      </c>
      <c r="DB20" s="2106">
        <v>29.177912426250003</v>
      </c>
      <c r="DC20" s="2106">
        <v>2.4921364681716587</v>
      </c>
      <c r="DD20" s="2109">
        <f t="shared" si="47"/>
        <v>78.720598587719522</v>
      </c>
      <c r="DE20" s="2106"/>
      <c r="DF20" s="2106"/>
      <c r="DG20" s="2106"/>
      <c r="DH20" s="2106">
        <f t="shared" si="48"/>
        <v>3.4158507300944625</v>
      </c>
      <c r="DI20" s="2106">
        <f t="shared" si="49"/>
        <v>107.89851101396953</v>
      </c>
      <c r="DJ20" s="2106">
        <v>349.09537089999992</v>
      </c>
      <c r="DK20" s="2106">
        <f t="shared" si="50"/>
        <v>0.83581493363909876</v>
      </c>
      <c r="DL20" s="2106">
        <v>29.177912426250003</v>
      </c>
      <c r="DM20" s="2106">
        <v>2.4921364681716587</v>
      </c>
      <c r="DN20" s="2109">
        <f t="shared" si="51"/>
        <v>86.999330468980105</v>
      </c>
      <c r="DO20" s="2106"/>
      <c r="DP20" s="2106"/>
      <c r="DQ20" s="2106"/>
      <c r="DR20" s="2106">
        <f t="shared" si="52"/>
        <v>3.3279514018107577</v>
      </c>
      <c r="DS20" s="2106">
        <f t="shared" si="53"/>
        <v>116.17724289523011</v>
      </c>
      <c r="DT20" s="2106">
        <v>334.13205569999997</v>
      </c>
      <c r="DU20" s="2106">
        <f t="shared" si="54"/>
        <v>0.87324493201117337</v>
      </c>
      <c r="DV20" s="2106">
        <v>29.177912426250003</v>
      </c>
      <c r="DW20" s="2106">
        <v>2.4921364681716587</v>
      </c>
      <c r="DX20" s="2109">
        <f t="shared" si="55"/>
        <v>83.270268119513389</v>
      </c>
      <c r="DY20" s="2106"/>
      <c r="DZ20" s="2106"/>
      <c r="EA20" s="2106"/>
      <c r="EB20" s="2106">
        <f t="shared" si="56"/>
        <v>3.3653814001828319</v>
      </c>
      <c r="EC20" s="2106">
        <f t="shared" si="57"/>
        <v>112.44818054576339</v>
      </c>
      <c r="ED20" s="2106">
        <f t="shared" si="58"/>
        <v>4094.2690411999997</v>
      </c>
      <c r="EE20" s="2107"/>
      <c r="EF20" s="2106">
        <f t="shared" si="59"/>
        <v>0.79944653290985601</v>
      </c>
      <c r="EG20" s="2106">
        <f t="shared" si="60"/>
        <v>327.31491897875003</v>
      </c>
      <c r="EH20" s="2106">
        <f t="shared" si="67"/>
        <v>2.3651788823149533</v>
      </c>
      <c r="EI20" s="2106">
        <f t="shared" si="61"/>
        <v>968.36786747621306</v>
      </c>
      <c r="EJ20" s="2106"/>
      <c r="EK20" s="2106">
        <f t="shared" si="62"/>
        <v>-2.4314835000000001</v>
      </c>
      <c r="EL20" s="2106"/>
      <c r="EM20" s="2106"/>
      <c r="EN20" s="2106">
        <f t="shared" si="63"/>
        <v>1293.2513029549632</v>
      </c>
      <c r="EO20" s="2104">
        <f t="shared" si="68"/>
        <v>3.1586866665115902</v>
      </c>
      <c r="EP20" s="2110"/>
      <c r="ES20" s="2084">
        <f t="shared" si="0"/>
        <v>0</v>
      </c>
      <c r="EU20" s="2084">
        <f t="shared" si="64"/>
        <v>719.37767029999998</v>
      </c>
      <c r="EV20" s="2084">
        <f t="shared" si="65"/>
        <v>3095.1656599999997</v>
      </c>
      <c r="EW20" s="2084">
        <f t="shared" si="66"/>
        <v>2.3241976337382861</v>
      </c>
      <c r="FE20" s="2108"/>
      <c r="FF20" s="2108"/>
      <c r="FG20" s="2108"/>
      <c r="FH20" s="2108"/>
      <c r="FI20" s="2108"/>
      <c r="FJ20" s="2108"/>
      <c r="FK20" s="2108"/>
    </row>
    <row r="21" spans="1:167" ht="15" customHeight="1">
      <c r="A21" s="1760">
        <v>6</v>
      </c>
      <c r="B21" s="1761" t="s">
        <v>1656</v>
      </c>
      <c r="C21" s="2098">
        <v>110</v>
      </c>
      <c r="D21" s="2099">
        <v>1</v>
      </c>
      <c r="E21" s="2100"/>
      <c r="F21" s="2099">
        <v>0.4816016923040074</v>
      </c>
      <c r="G21" s="2101">
        <v>105</v>
      </c>
      <c r="H21" s="2102" t="s">
        <v>1649</v>
      </c>
      <c r="I21" s="2103">
        <v>2</v>
      </c>
      <c r="J21" s="2104"/>
      <c r="K21" s="2101"/>
      <c r="L21" s="2101"/>
      <c r="M21" s="2105"/>
      <c r="N21" s="2106">
        <v>26.927707999999999</v>
      </c>
      <c r="O21" s="2106">
        <f t="shared" si="1"/>
        <v>2.2753044930522868</v>
      </c>
      <c r="P21" s="2106">
        <v>6.1268735000000003</v>
      </c>
      <c r="Q21" s="2106">
        <f t="shared" si="2"/>
        <v>3.4700000089127525</v>
      </c>
      <c r="R21" s="2106">
        <v>9.3439146999999991</v>
      </c>
      <c r="S21" s="2106">
        <f t="shared" si="3"/>
        <v>0</v>
      </c>
      <c r="T21" s="2106">
        <v>0</v>
      </c>
      <c r="U21" s="2106"/>
      <c r="V21" s="2106">
        <f t="shared" si="4"/>
        <v>5.7453045019650393</v>
      </c>
      <c r="W21" s="2106">
        <f t="shared" si="5"/>
        <v>15.470788199999999</v>
      </c>
      <c r="X21" s="2106">
        <v>5.6742679999999996</v>
      </c>
      <c r="Y21" s="2106">
        <f t="shared" si="6"/>
        <v>8.7747543824154945</v>
      </c>
      <c r="Z21" s="2106">
        <v>4.9790308000000003</v>
      </c>
      <c r="AA21" s="2106">
        <f t="shared" si="7"/>
        <v>3.9798999624268721</v>
      </c>
      <c r="AB21" s="2106">
        <v>2.2583019000000002</v>
      </c>
      <c r="AC21" s="2106">
        <f t="shared" si="8"/>
        <v>0</v>
      </c>
      <c r="AD21" s="2106">
        <v>0</v>
      </c>
      <c r="AE21" s="2106"/>
      <c r="AF21" s="2106">
        <f t="shared" si="9"/>
        <v>12.754654344842367</v>
      </c>
      <c r="AG21" s="2106">
        <f t="shared" si="10"/>
        <v>7.2373327000000005</v>
      </c>
      <c r="AH21" s="2106">
        <v>25.120528</v>
      </c>
      <c r="AI21" s="2106">
        <f t="shared" si="11"/>
        <v>6.9090581615163495</v>
      </c>
      <c r="AJ21" s="2106">
        <v>17.355918899999999</v>
      </c>
      <c r="AK21" s="2106">
        <f t="shared" si="12"/>
        <v>0.89229999464979404</v>
      </c>
      <c r="AL21" s="2106">
        <v>2.2415047000000001</v>
      </c>
      <c r="AM21" s="2106">
        <f t="shared" si="13"/>
        <v>0</v>
      </c>
      <c r="AN21" s="2106">
        <v>0</v>
      </c>
      <c r="AO21" s="2106">
        <v>0</v>
      </c>
      <c r="AP21" s="2106">
        <f t="shared" si="14"/>
        <v>7.8013581561661436</v>
      </c>
      <c r="AQ21" s="2106">
        <f t="shared" si="15"/>
        <v>19.597423599999999</v>
      </c>
      <c r="AR21" s="2106">
        <v>26.931529999999999</v>
      </c>
      <c r="AS21" s="2106">
        <f t="shared" si="16"/>
        <v>5.9138517566584596</v>
      </c>
      <c r="AT21" s="2106">
        <v>15.9269076</v>
      </c>
      <c r="AU21" s="2106">
        <f t="shared" si="17"/>
        <v>0.5020999920910546</v>
      </c>
      <c r="AV21" s="2106">
        <v>1.3522320999999999</v>
      </c>
      <c r="AW21" s="2106">
        <f t="shared" si="18"/>
        <v>0</v>
      </c>
      <c r="AX21" s="2106">
        <v>0</v>
      </c>
      <c r="AY21" s="2106"/>
      <c r="AZ21" s="2106">
        <f t="shared" si="19"/>
        <v>6.4159517487495137</v>
      </c>
      <c r="BA21" s="2106">
        <f t="shared" si="20"/>
        <v>17.279139699999998</v>
      </c>
      <c r="BB21" s="2106">
        <v>6.6871200000000002</v>
      </c>
      <c r="BC21" s="2106">
        <f t="shared" si="21"/>
        <v>8.9122061515271138</v>
      </c>
      <c r="BD21" s="2106">
        <v>5.9596992000000002</v>
      </c>
      <c r="BE21" s="2106">
        <f t="shared" si="22"/>
        <v>4.1979998863486827</v>
      </c>
      <c r="BF21" s="2106">
        <v>2.8072528999999999</v>
      </c>
      <c r="BG21" s="2106">
        <f t="shared" si="23"/>
        <v>0</v>
      </c>
      <c r="BH21" s="2106">
        <v>0</v>
      </c>
      <c r="BI21" s="2106"/>
      <c r="BJ21" s="2106">
        <f t="shared" si="24"/>
        <v>13.110206037875798</v>
      </c>
      <c r="BK21" s="2106">
        <f t="shared" si="25"/>
        <v>8.766952100000001</v>
      </c>
      <c r="BL21" s="2106">
        <v>0</v>
      </c>
      <c r="BM21" s="2106">
        <f t="shared" si="26"/>
        <v>0</v>
      </c>
      <c r="BN21" s="2106">
        <v>0.1033322</v>
      </c>
      <c r="BO21" s="2106">
        <f t="shared" si="27"/>
        <v>0</v>
      </c>
      <c r="BP21" s="2106">
        <v>0</v>
      </c>
      <c r="BQ21" s="2106">
        <f t="shared" si="28"/>
        <v>0</v>
      </c>
      <c r="BR21" s="2106">
        <v>0</v>
      </c>
      <c r="BS21" s="2106"/>
      <c r="BT21" s="2106">
        <f t="shared" si="29"/>
        <v>0</v>
      </c>
      <c r="BU21" s="2106">
        <f t="shared" si="30"/>
        <v>0.1033322</v>
      </c>
      <c r="BV21" s="2106">
        <v>0</v>
      </c>
      <c r="BW21" s="2106">
        <f t="shared" si="31"/>
        <v>0</v>
      </c>
      <c r="BX21" s="2106">
        <v>1.9106578000000001</v>
      </c>
      <c r="BY21" s="2106">
        <f t="shared" si="32"/>
        <v>0</v>
      </c>
      <c r="BZ21" s="2106">
        <v>0</v>
      </c>
      <c r="CA21" s="2106">
        <f t="shared" si="33"/>
        <v>0</v>
      </c>
      <c r="CB21" s="2106">
        <v>0</v>
      </c>
      <c r="CC21" s="2106"/>
      <c r="CD21" s="2106">
        <f t="shared" si="34"/>
        <v>0</v>
      </c>
      <c r="CE21" s="2106">
        <f t="shared" si="35"/>
        <v>1.9106578000000001</v>
      </c>
      <c r="CF21" s="2106">
        <v>0</v>
      </c>
      <c r="CG21" s="2106">
        <f t="shared" si="36"/>
        <v>0</v>
      </c>
      <c r="CH21" s="2106">
        <v>10.0442815</v>
      </c>
      <c r="CI21" s="2106">
        <f t="shared" si="37"/>
        <v>0</v>
      </c>
      <c r="CJ21" s="2106">
        <v>0</v>
      </c>
      <c r="CK21" s="2106">
        <f t="shared" si="38"/>
        <v>0</v>
      </c>
      <c r="CL21" s="2106">
        <v>0</v>
      </c>
      <c r="CM21" s="2106"/>
      <c r="CN21" s="2106">
        <f t="shared" si="39"/>
        <v>0</v>
      </c>
      <c r="CO21" s="2106">
        <f t="shared" si="40"/>
        <v>10.0442815</v>
      </c>
      <c r="CP21" s="2106">
        <v>0</v>
      </c>
      <c r="CQ21" s="2106">
        <f t="shared" si="41"/>
        <v>0</v>
      </c>
      <c r="CR21" s="2106">
        <v>10.1871037</v>
      </c>
      <c r="CS21" s="2106">
        <f t="shared" si="42"/>
        <v>0</v>
      </c>
      <c r="CT21" s="2106">
        <v>0</v>
      </c>
      <c r="CU21" s="2106">
        <f t="shared" si="43"/>
        <v>0</v>
      </c>
      <c r="CV21" s="2106">
        <v>0</v>
      </c>
      <c r="CW21" s="2106"/>
      <c r="CX21" s="2106">
        <f t="shared" si="44"/>
        <v>0</v>
      </c>
      <c r="CY21" s="2106">
        <f t="shared" si="45"/>
        <v>10.1871037</v>
      </c>
      <c r="CZ21" s="2106">
        <v>26.105572666666671</v>
      </c>
      <c r="DA21" s="2106">
        <f t="shared" si="46"/>
        <v>0.55274197952855986</v>
      </c>
      <c r="DB21" s="2106">
        <v>1.44296459125</v>
      </c>
      <c r="DC21" s="2106">
        <v>3.0377384901874374</v>
      </c>
      <c r="DD21" s="2109">
        <f t="shared" si="47"/>
        <v>7.9301902897918435</v>
      </c>
      <c r="DE21" s="2106"/>
      <c r="DF21" s="2106"/>
      <c r="DG21" s="2106"/>
      <c r="DH21" s="2106">
        <f t="shared" si="48"/>
        <v>3.5904804697159971</v>
      </c>
      <c r="DI21" s="2106">
        <f t="shared" si="49"/>
        <v>9.3731548810418435</v>
      </c>
      <c r="DJ21" s="2106">
        <v>14.188015999999999</v>
      </c>
      <c r="DK21" s="2106">
        <f t="shared" si="50"/>
        <v>1.0170305638575541</v>
      </c>
      <c r="DL21" s="2106">
        <v>1.44296459125</v>
      </c>
      <c r="DM21" s="2106">
        <v>3.0377384901874374</v>
      </c>
      <c r="DN21" s="2109">
        <f t="shared" si="51"/>
        <v>4.3099482302595202</v>
      </c>
      <c r="DO21" s="2106"/>
      <c r="DP21" s="2106"/>
      <c r="DQ21" s="2106"/>
      <c r="DR21" s="2106">
        <f t="shared" si="52"/>
        <v>4.0547690540449919</v>
      </c>
      <c r="DS21" s="2106">
        <f t="shared" si="53"/>
        <v>5.7529128215095202</v>
      </c>
      <c r="DT21" s="2106">
        <v>14.313668249999997</v>
      </c>
      <c r="DU21" s="2106">
        <f t="shared" si="54"/>
        <v>1.0081025814259739</v>
      </c>
      <c r="DV21" s="2106">
        <v>1.44296459125</v>
      </c>
      <c r="DW21" s="2106">
        <v>3.0377384901874374</v>
      </c>
      <c r="DX21" s="2109">
        <f t="shared" si="55"/>
        <v>4.348118097879885</v>
      </c>
      <c r="DY21" s="2106"/>
      <c r="DZ21" s="2106"/>
      <c r="EA21" s="2106"/>
      <c r="EB21" s="2106">
        <f t="shared" si="56"/>
        <v>4.0458410716134114</v>
      </c>
      <c r="EC21" s="2106">
        <f t="shared" si="57"/>
        <v>5.791082689129885</v>
      </c>
      <c r="ED21" s="2106">
        <f t="shared" si="58"/>
        <v>145.94841091666666</v>
      </c>
      <c r="EE21" s="2107"/>
      <c r="EF21" s="2106">
        <f t="shared" si="59"/>
        <v>5.2705403567340774</v>
      </c>
      <c r="EG21" s="2106">
        <f t="shared" si="60"/>
        <v>76.922698973750002</v>
      </c>
      <c r="EH21" s="2106">
        <f t="shared" si="67"/>
        <v>2.370115762184092</v>
      </c>
      <c r="EI21" s="2106">
        <f t="shared" si="61"/>
        <v>34.591462917931246</v>
      </c>
      <c r="EJ21" s="2106"/>
      <c r="EK21" s="2106">
        <f t="shared" si="62"/>
        <v>0</v>
      </c>
      <c r="EL21" s="2106"/>
      <c r="EM21" s="2106"/>
      <c r="EN21" s="2106">
        <f t="shared" si="63"/>
        <v>111.51416189168125</v>
      </c>
      <c r="EO21" s="2104">
        <f t="shared" si="68"/>
        <v>7.6406561189181694</v>
      </c>
      <c r="EP21" s="2110"/>
      <c r="ES21" s="2084">
        <f t="shared" si="0"/>
        <v>0</v>
      </c>
      <c r="EU21" s="2084">
        <f t="shared" si="64"/>
        <v>18.003206299999999</v>
      </c>
      <c r="EV21" s="2084">
        <f t="shared" si="65"/>
        <v>91.341153999999989</v>
      </c>
      <c r="EW21" s="2084">
        <f t="shared" si="66"/>
        <v>1.970985203449477</v>
      </c>
      <c r="FE21" s="2108"/>
      <c r="FF21" s="2108"/>
      <c r="FG21" s="2108"/>
      <c r="FH21" s="2108"/>
      <c r="FI21" s="2108"/>
      <c r="FJ21" s="2108"/>
      <c r="FK21" s="2108"/>
    </row>
    <row r="22" spans="1:167" ht="15" customHeight="1">
      <c r="A22" s="1760">
        <v>7</v>
      </c>
      <c r="B22" s="1761" t="s">
        <v>1657</v>
      </c>
      <c r="C22" s="2098">
        <v>500</v>
      </c>
      <c r="D22" s="2099">
        <v>1</v>
      </c>
      <c r="E22" s="2100"/>
      <c r="F22" s="2099">
        <v>0.74775285352480869</v>
      </c>
      <c r="G22" s="2101">
        <v>500</v>
      </c>
      <c r="H22" s="2102" t="s">
        <v>1649</v>
      </c>
      <c r="I22" s="2103">
        <v>2</v>
      </c>
      <c r="J22" s="2104"/>
      <c r="K22" s="2101"/>
      <c r="L22" s="2101"/>
      <c r="M22" s="2105"/>
      <c r="N22" s="2106">
        <v>101.035138</v>
      </c>
      <c r="O22" s="2106">
        <f t="shared" si="1"/>
        <v>2.4124410064150155</v>
      </c>
      <c r="P22" s="2106">
        <v>24.374130999999998</v>
      </c>
      <c r="Q22" s="2106">
        <f t="shared" si="2"/>
        <v>2.6699999954471281</v>
      </c>
      <c r="R22" s="2106">
        <v>26.976381799999999</v>
      </c>
      <c r="S22" s="2106">
        <f t="shared" si="3"/>
        <v>0</v>
      </c>
      <c r="T22" s="2106">
        <v>0</v>
      </c>
      <c r="U22" s="2106"/>
      <c r="V22" s="2106">
        <f t="shared" si="4"/>
        <v>5.0824410018621435</v>
      </c>
      <c r="W22" s="2106">
        <f t="shared" si="5"/>
        <v>51.350512799999997</v>
      </c>
      <c r="X22" s="2106">
        <v>133.56241499999999</v>
      </c>
      <c r="Y22" s="2106">
        <f t="shared" si="6"/>
        <v>1.7830713827688727</v>
      </c>
      <c r="Z22" s="2106">
        <v>23.815131999999998</v>
      </c>
      <c r="AA22" s="2106">
        <f t="shared" si="7"/>
        <v>3.6058999981394466</v>
      </c>
      <c r="AB22" s="2106">
        <v>48.161271200000002</v>
      </c>
      <c r="AC22" s="2106">
        <f t="shared" si="8"/>
        <v>0</v>
      </c>
      <c r="AD22" s="2106">
        <v>0</v>
      </c>
      <c r="AE22" s="2106"/>
      <c r="AF22" s="2106">
        <f t="shared" si="9"/>
        <v>5.3889713809083197</v>
      </c>
      <c r="AG22" s="2106">
        <f t="shared" si="10"/>
        <v>71.976403199999993</v>
      </c>
      <c r="AH22" s="2106">
        <v>141.002385</v>
      </c>
      <c r="AI22" s="2106">
        <f t="shared" si="11"/>
        <v>1.7984826285030571</v>
      </c>
      <c r="AJ22" s="2106">
        <v>25.359034000000001</v>
      </c>
      <c r="AK22" s="2106">
        <f t="shared" si="12"/>
        <v>3.9606999980886846</v>
      </c>
      <c r="AL22" s="2106">
        <v>55.846814600000002</v>
      </c>
      <c r="AM22" s="2106">
        <f t="shared" si="13"/>
        <v>0</v>
      </c>
      <c r="AN22" s="2106">
        <v>0</v>
      </c>
      <c r="AO22" s="2106">
        <v>0</v>
      </c>
      <c r="AP22" s="2106">
        <f t="shared" si="14"/>
        <v>5.7591826265917412</v>
      </c>
      <c r="AQ22" s="2106">
        <f t="shared" si="15"/>
        <v>81.205848599999996</v>
      </c>
      <c r="AR22" s="2106">
        <v>118.818378</v>
      </c>
      <c r="AS22" s="2106">
        <f t="shared" si="16"/>
        <v>2.6219094658908744</v>
      </c>
      <c r="AT22" s="2106">
        <v>31.153103000000002</v>
      </c>
      <c r="AU22" s="2106">
        <f t="shared" si="17"/>
        <v>3.5985999994041329</v>
      </c>
      <c r="AV22" s="2106">
        <v>42.7579815</v>
      </c>
      <c r="AW22" s="2106">
        <f t="shared" si="18"/>
        <v>0</v>
      </c>
      <c r="AX22" s="2106">
        <v>0</v>
      </c>
      <c r="AY22" s="2106"/>
      <c r="AZ22" s="2106">
        <f t="shared" si="19"/>
        <v>6.2205094652950068</v>
      </c>
      <c r="BA22" s="2106">
        <f t="shared" si="20"/>
        <v>73.911084500000001</v>
      </c>
      <c r="BB22" s="2106">
        <v>184.28207</v>
      </c>
      <c r="BC22" s="2106">
        <f t="shared" si="21"/>
        <v>2.6698628358146834</v>
      </c>
      <c r="BD22" s="2106">
        <v>49.200785000000003</v>
      </c>
      <c r="BE22" s="2106">
        <f t="shared" si="22"/>
        <v>3.7776000019969387</v>
      </c>
      <c r="BF22" s="2106">
        <v>69.614394799999999</v>
      </c>
      <c r="BG22" s="2106">
        <f t="shared" si="23"/>
        <v>0</v>
      </c>
      <c r="BH22" s="2106">
        <v>0</v>
      </c>
      <c r="BI22" s="2106"/>
      <c r="BJ22" s="2106">
        <f t="shared" si="24"/>
        <v>6.4474628378116225</v>
      </c>
      <c r="BK22" s="2106">
        <f t="shared" si="25"/>
        <v>118.81517980000001</v>
      </c>
      <c r="BL22" s="2106">
        <v>222.11186499999999</v>
      </c>
      <c r="BM22" s="2106">
        <f t="shared" si="26"/>
        <v>1.9107290373704262</v>
      </c>
      <c r="BN22" s="2106">
        <v>42.439559000000003</v>
      </c>
      <c r="BO22" s="2106">
        <f t="shared" si="27"/>
        <v>3.7502000039484611</v>
      </c>
      <c r="BP22" s="2106">
        <v>83.296391700000001</v>
      </c>
      <c r="BQ22" s="2106">
        <f t="shared" si="28"/>
        <v>0</v>
      </c>
      <c r="BR22" s="2106">
        <v>0</v>
      </c>
      <c r="BS22" s="2106"/>
      <c r="BT22" s="2106">
        <f t="shared" si="29"/>
        <v>5.6609290413188873</v>
      </c>
      <c r="BU22" s="2106">
        <f t="shared" si="30"/>
        <v>125.7359507</v>
      </c>
      <c r="BV22" s="2106">
        <v>81.304955000000007</v>
      </c>
      <c r="BW22" s="2106">
        <f t="shared" si="31"/>
        <v>4.6703184941188391</v>
      </c>
      <c r="BX22" s="2106">
        <v>37.9720035</v>
      </c>
      <c r="BY22" s="2106">
        <f t="shared" si="32"/>
        <v>4.1158000025951669</v>
      </c>
      <c r="BZ22" s="2106">
        <v>33.463493399999997</v>
      </c>
      <c r="CA22" s="2106">
        <f t="shared" si="33"/>
        <v>0</v>
      </c>
      <c r="CB22" s="2106">
        <v>0</v>
      </c>
      <c r="CC22" s="2106"/>
      <c r="CD22" s="2106">
        <f t="shared" si="34"/>
        <v>8.7861184967140069</v>
      </c>
      <c r="CE22" s="2106">
        <f t="shared" si="35"/>
        <v>71.435496900000004</v>
      </c>
      <c r="CF22" s="2106">
        <v>0</v>
      </c>
      <c r="CG22" s="2106">
        <f t="shared" si="36"/>
        <v>0</v>
      </c>
      <c r="CH22" s="2106">
        <v>51.8937405</v>
      </c>
      <c r="CI22" s="2106">
        <f t="shared" si="37"/>
        <v>0</v>
      </c>
      <c r="CJ22" s="2106">
        <v>0</v>
      </c>
      <c r="CK22" s="2106">
        <f t="shared" si="38"/>
        <v>0</v>
      </c>
      <c r="CL22" s="2106">
        <v>0</v>
      </c>
      <c r="CM22" s="2106"/>
      <c r="CN22" s="2106">
        <f t="shared" si="39"/>
        <v>0</v>
      </c>
      <c r="CO22" s="2106">
        <f t="shared" si="40"/>
        <v>51.8937405</v>
      </c>
      <c r="CP22" s="2106">
        <v>0</v>
      </c>
      <c r="CQ22" s="2106">
        <f t="shared" si="41"/>
        <v>0</v>
      </c>
      <c r="CR22" s="2106">
        <v>52.386192000000001</v>
      </c>
      <c r="CS22" s="2106">
        <f t="shared" si="42"/>
        <v>0</v>
      </c>
      <c r="CT22" s="2106">
        <v>0</v>
      </c>
      <c r="CU22" s="2106">
        <f t="shared" si="43"/>
        <v>0</v>
      </c>
      <c r="CV22" s="2106">
        <v>0</v>
      </c>
      <c r="CW22" s="2106"/>
      <c r="CX22" s="2106">
        <f t="shared" si="44"/>
        <v>0</v>
      </c>
      <c r="CY22" s="2106">
        <f t="shared" si="45"/>
        <v>52.386192000000001</v>
      </c>
      <c r="CZ22" s="2106">
        <v>0</v>
      </c>
      <c r="DA22" s="2106">
        <f t="shared" si="46"/>
        <v>0</v>
      </c>
      <c r="DB22" s="2106">
        <v>46.58325</v>
      </c>
      <c r="DC22" s="2106">
        <v>3.7160547599746794</v>
      </c>
      <c r="DD22" s="2109">
        <f t="shared" si="47"/>
        <v>0</v>
      </c>
      <c r="DE22" s="2106"/>
      <c r="DF22" s="2106"/>
      <c r="DG22" s="2106"/>
      <c r="DH22" s="2106">
        <f t="shared" si="48"/>
        <v>0</v>
      </c>
      <c r="DI22" s="2106">
        <f t="shared" si="49"/>
        <v>46.58325</v>
      </c>
      <c r="DJ22" s="2106">
        <v>229.32</v>
      </c>
      <c r="DK22" s="2106">
        <f t="shared" si="50"/>
        <v>2.031364468864469</v>
      </c>
      <c r="DL22" s="2106">
        <v>46.58325</v>
      </c>
      <c r="DM22" s="2106">
        <v>3.7160547599746794</v>
      </c>
      <c r="DN22" s="2109">
        <f t="shared" si="51"/>
        <v>85.216567755739348</v>
      </c>
      <c r="DO22" s="2106"/>
      <c r="DP22" s="2106"/>
      <c r="DQ22" s="2106"/>
      <c r="DR22" s="2106">
        <f t="shared" si="52"/>
        <v>5.7474192288391492</v>
      </c>
      <c r="DS22" s="2106">
        <f t="shared" si="53"/>
        <v>131.79981775573935</v>
      </c>
      <c r="DT22" s="2106">
        <v>253.89</v>
      </c>
      <c r="DU22" s="2106">
        <f t="shared" si="54"/>
        <v>1.8347808105872623</v>
      </c>
      <c r="DV22" s="2106">
        <v>46.58325</v>
      </c>
      <c r="DW22" s="2106">
        <v>3.7160547599746794</v>
      </c>
      <c r="DX22" s="2109">
        <f t="shared" si="55"/>
        <v>94.346914300997128</v>
      </c>
      <c r="DY22" s="2106"/>
      <c r="DZ22" s="2106"/>
      <c r="EA22" s="2106"/>
      <c r="EB22" s="2106">
        <f t="shared" si="56"/>
        <v>5.5508355705619419</v>
      </c>
      <c r="EC22" s="2106">
        <f t="shared" si="57"/>
        <v>140.93016430099712</v>
      </c>
      <c r="ED22" s="2106">
        <f t="shared" si="58"/>
        <v>1465.3272059999999</v>
      </c>
      <c r="EE22" s="2107"/>
      <c r="EF22" s="2106">
        <f t="shared" si="59"/>
        <v>3.2644137639794839</v>
      </c>
      <c r="EG22" s="2106">
        <f t="shared" si="60"/>
        <v>478.34343000000007</v>
      </c>
      <c r="EH22" s="2106">
        <f t="shared" si="67"/>
        <v>3.6830013723005726</v>
      </c>
      <c r="EI22" s="2106">
        <f t="shared" si="61"/>
        <v>539.68021105673643</v>
      </c>
      <c r="EJ22" s="2106"/>
      <c r="EK22" s="2106">
        <f t="shared" si="62"/>
        <v>0</v>
      </c>
      <c r="EL22" s="2106"/>
      <c r="EM22" s="2106"/>
      <c r="EN22" s="2106">
        <f t="shared" si="63"/>
        <v>1018.0236410567366</v>
      </c>
      <c r="EO22" s="2104">
        <f t="shared" si="68"/>
        <v>6.9474151362800569</v>
      </c>
      <c r="EP22" s="2110"/>
      <c r="ES22" s="2084">
        <f t="shared" si="0"/>
        <v>0</v>
      </c>
      <c r="EU22" s="2084">
        <f t="shared" si="64"/>
        <v>360.11672900000002</v>
      </c>
      <c r="EV22" s="2084">
        <f t="shared" si="65"/>
        <v>982.1172059999999</v>
      </c>
      <c r="EW22" s="2084">
        <f t="shared" si="66"/>
        <v>3.666738825060357</v>
      </c>
      <c r="FE22" s="2108"/>
      <c r="FF22" s="2108"/>
      <c r="FG22" s="2108"/>
      <c r="FH22" s="2108"/>
      <c r="FI22" s="2108"/>
      <c r="FJ22" s="2108"/>
      <c r="FK22" s="2108"/>
    </row>
    <row r="23" spans="1:167" ht="15" customHeight="1">
      <c r="A23" s="1760">
        <v>8</v>
      </c>
      <c r="B23" s="1761" t="s">
        <v>1658</v>
      </c>
      <c r="C23" s="2098">
        <v>500</v>
      </c>
      <c r="D23" s="2099">
        <v>1</v>
      </c>
      <c r="E23" s="2100"/>
      <c r="F23" s="2099">
        <v>0.64167075726298506</v>
      </c>
      <c r="G23" s="2101">
        <v>500</v>
      </c>
      <c r="H23" s="2102" t="s">
        <v>1649</v>
      </c>
      <c r="I23" s="2103">
        <v>2</v>
      </c>
      <c r="J23" s="2104"/>
      <c r="K23" s="2101"/>
      <c r="L23" s="2101"/>
      <c r="M23" s="2105"/>
      <c r="N23" s="2106">
        <v>265.26095800000002</v>
      </c>
      <c r="O23" s="2106">
        <f t="shared" si="1"/>
        <v>1.5644717682124933</v>
      </c>
      <c r="P23" s="2106">
        <v>41.499327999999998</v>
      </c>
      <c r="Q23" s="2106">
        <f t="shared" si="2"/>
        <v>3.6776999991080483</v>
      </c>
      <c r="R23" s="2106">
        <v>97.555022500000007</v>
      </c>
      <c r="S23" s="2106">
        <f t="shared" si="3"/>
        <v>0</v>
      </c>
      <c r="T23" s="2106">
        <v>0</v>
      </c>
      <c r="U23" s="2106"/>
      <c r="V23" s="2106">
        <f t="shared" si="4"/>
        <v>5.2421717673205412</v>
      </c>
      <c r="W23" s="2106">
        <f t="shared" si="5"/>
        <v>139.0543505</v>
      </c>
      <c r="X23" s="2106">
        <v>102.758053</v>
      </c>
      <c r="Y23" s="2106">
        <f t="shared" si="6"/>
        <v>4.0514915848006581</v>
      </c>
      <c r="Z23" s="2106">
        <v>41.632338699999998</v>
      </c>
      <c r="AA23" s="2106">
        <f t="shared" si="7"/>
        <v>3.5001999989236854</v>
      </c>
      <c r="AB23" s="2106">
        <v>35.967373700000003</v>
      </c>
      <c r="AC23" s="2106">
        <f t="shared" si="8"/>
        <v>0</v>
      </c>
      <c r="AD23" s="2106">
        <v>0</v>
      </c>
      <c r="AE23" s="2106"/>
      <c r="AF23" s="2106">
        <f t="shared" si="9"/>
        <v>7.5516915837243426</v>
      </c>
      <c r="AG23" s="2106">
        <f t="shared" si="10"/>
        <v>77.599712400000001</v>
      </c>
      <c r="AH23" s="2106">
        <v>181.51369</v>
      </c>
      <c r="AI23" s="2106">
        <f t="shared" si="11"/>
        <v>2.2899558319815987</v>
      </c>
      <c r="AJ23" s="2106">
        <v>41.565833300000001</v>
      </c>
      <c r="AK23" s="2106">
        <f t="shared" si="12"/>
        <v>3.875600000198332</v>
      </c>
      <c r="AL23" s="2106">
        <v>70.347445699999994</v>
      </c>
      <c r="AM23" s="2106">
        <f t="shared" si="13"/>
        <v>0</v>
      </c>
      <c r="AN23" s="2106">
        <v>0</v>
      </c>
      <c r="AO23" s="2106">
        <v>0</v>
      </c>
      <c r="AP23" s="2106">
        <f t="shared" si="14"/>
        <v>6.1655558321799306</v>
      </c>
      <c r="AQ23" s="2106">
        <f t="shared" si="15"/>
        <v>111.91327899999999</v>
      </c>
      <c r="AR23" s="2106">
        <v>229.83793</v>
      </c>
      <c r="AS23" s="2106">
        <f t="shared" si="16"/>
        <v>1.8084844960098623</v>
      </c>
      <c r="AT23" s="2106">
        <v>41.565833300000001</v>
      </c>
      <c r="AU23" s="2106">
        <f t="shared" si="17"/>
        <v>3.8892999993517168</v>
      </c>
      <c r="AV23" s="2106">
        <v>89.390866099999997</v>
      </c>
      <c r="AW23" s="2106">
        <f t="shared" si="18"/>
        <v>0</v>
      </c>
      <c r="AX23" s="2106">
        <v>0</v>
      </c>
      <c r="AY23" s="2106"/>
      <c r="AZ23" s="2106">
        <f t="shared" si="19"/>
        <v>5.6977844953615788</v>
      </c>
      <c r="BA23" s="2106">
        <f t="shared" si="20"/>
        <v>130.95669939999999</v>
      </c>
      <c r="BB23" s="2106">
        <v>206.47427500000001</v>
      </c>
      <c r="BC23" s="2106">
        <f t="shared" si="21"/>
        <v>2.0131240707831521</v>
      </c>
      <c r="BD23" s="2106">
        <v>41.565833300000001</v>
      </c>
      <c r="BE23" s="2106">
        <f t="shared" si="22"/>
        <v>3.9125000003027011</v>
      </c>
      <c r="BF23" s="2106">
        <v>80.7830601</v>
      </c>
      <c r="BG23" s="2106">
        <f t="shared" si="23"/>
        <v>0</v>
      </c>
      <c r="BH23" s="2106">
        <v>0</v>
      </c>
      <c r="BI23" s="2106"/>
      <c r="BJ23" s="2106">
        <f t="shared" si="24"/>
        <v>5.9256240710858528</v>
      </c>
      <c r="BK23" s="2106">
        <f t="shared" si="25"/>
        <v>122.34889340000001</v>
      </c>
      <c r="BL23" s="2106">
        <v>180.459148</v>
      </c>
      <c r="BM23" s="2106">
        <f t="shared" si="26"/>
        <v>2.303337556486746</v>
      </c>
      <c r="BN23" s="2106">
        <v>41.565833300000001</v>
      </c>
      <c r="BO23" s="2106">
        <f t="shared" si="27"/>
        <v>3.5286999969655186</v>
      </c>
      <c r="BP23" s="2106">
        <v>63.678619500000003</v>
      </c>
      <c r="BQ23" s="2106">
        <f t="shared" si="28"/>
        <v>0</v>
      </c>
      <c r="BR23" s="2106">
        <v>0</v>
      </c>
      <c r="BS23" s="2106"/>
      <c r="BT23" s="2106">
        <f t="shared" si="29"/>
        <v>5.8320375534522642</v>
      </c>
      <c r="BU23" s="2106">
        <f t="shared" si="30"/>
        <v>105.2444528</v>
      </c>
      <c r="BV23" s="2106">
        <v>84.029404999999997</v>
      </c>
      <c r="BW23" s="2106">
        <f t="shared" si="31"/>
        <v>4.9465818899943423</v>
      </c>
      <c r="BX23" s="2106">
        <v>41.565833300000001</v>
      </c>
      <c r="BY23" s="2106">
        <f t="shared" si="32"/>
        <v>3.0894000022968156</v>
      </c>
      <c r="BZ23" s="2106">
        <v>25.960044400000001</v>
      </c>
      <c r="CA23" s="2106">
        <f t="shared" si="33"/>
        <v>0</v>
      </c>
      <c r="CB23" s="2106">
        <v>0</v>
      </c>
      <c r="CC23" s="2106"/>
      <c r="CD23" s="2106">
        <f t="shared" si="34"/>
        <v>8.0359818922911561</v>
      </c>
      <c r="CE23" s="2106">
        <f t="shared" si="35"/>
        <v>67.525877699999995</v>
      </c>
      <c r="CF23" s="2106">
        <v>0</v>
      </c>
      <c r="CG23" s="2106">
        <f t="shared" si="36"/>
        <v>0</v>
      </c>
      <c r="CH23" s="2106">
        <v>41.565833300000001</v>
      </c>
      <c r="CI23" s="2106">
        <f t="shared" si="37"/>
        <v>0</v>
      </c>
      <c r="CJ23" s="2106">
        <v>0</v>
      </c>
      <c r="CK23" s="2106">
        <f t="shared" si="38"/>
        <v>0</v>
      </c>
      <c r="CL23" s="2106">
        <v>0</v>
      </c>
      <c r="CM23" s="2106"/>
      <c r="CN23" s="2106">
        <f t="shared" si="39"/>
        <v>0</v>
      </c>
      <c r="CO23" s="2106">
        <f t="shared" si="40"/>
        <v>41.565833300000001</v>
      </c>
      <c r="CP23" s="2106">
        <v>116.021935</v>
      </c>
      <c r="CQ23" s="2106">
        <f t="shared" si="41"/>
        <v>3.5825840432673357</v>
      </c>
      <c r="CR23" s="2106">
        <v>41.565833300000001</v>
      </c>
      <c r="CS23" s="2106">
        <f t="shared" si="42"/>
        <v>3.3258999946863494</v>
      </c>
      <c r="CT23" s="2106">
        <v>38.587735299999999</v>
      </c>
      <c r="CU23" s="2106">
        <f t="shared" si="43"/>
        <v>0</v>
      </c>
      <c r="CV23" s="2106">
        <v>0</v>
      </c>
      <c r="CW23" s="2106"/>
      <c r="CX23" s="2106">
        <f t="shared" si="44"/>
        <v>6.9084840379536852</v>
      </c>
      <c r="CY23" s="2106">
        <f t="shared" si="45"/>
        <v>80.1535686</v>
      </c>
      <c r="CZ23" s="2106">
        <v>0</v>
      </c>
      <c r="DA23" s="2106">
        <f t="shared" si="46"/>
        <v>0</v>
      </c>
      <c r="DB23" s="2106">
        <v>43.64412498250001</v>
      </c>
      <c r="DC23" s="2106">
        <v>3.8119425357329106</v>
      </c>
      <c r="DD23" s="2109">
        <f t="shared" si="47"/>
        <v>0</v>
      </c>
      <c r="DE23" s="2106"/>
      <c r="DF23" s="2106"/>
      <c r="DG23" s="2106"/>
      <c r="DH23" s="2106">
        <f t="shared" si="48"/>
        <v>0</v>
      </c>
      <c r="DI23" s="2106">
        <f t="shared" si="49"/>
        <v>43.64412498250001</v>
      </c>
      <c r="DJ23" s="2106">
        <v>83.823896902527849</v>
      </c>
      <c r="DK23" s="2106">
        <f t="shared" si="50"/>
        <v>5.2066447153191042</v>
      </c>
      <c r="DL23" s="2106">
        <v>43.64412498250001</v>
      </c>
      <c r="DM23" s="2106">
        <v>3.8119425357329106</v>
      </c>
      <c r="DN23" s="2109">
        <f t="shared" si="51"/>
        <v>31.953187811363609</v>
      </c>
      <c r="DO23" s="2106"/>
      <c r="DP23" s="2106"/>
      <c r="DQ23" s="2106"/>
      <c r="DR23" s="2106">
        <f t="shared" si="52"/>
        <v>9.0185872510520166</v>
      </c>
      <c r="DS23" s="2106">
        <f t="shared" si="53"/>
        <v>75.597312793863622</v>
      </c>
      <c r="DT23" s="2106">
        <v>177.52668550000001</v>
      </c>
      <c r="DU23" s="2106">
        <f t="shared" si="54"/>
        <v>2.4584543365735292</v>
      </c>
      <c r="DV23" s="2106">
        <v>43.64412498250001</v>
      </c>
      <c r="DW23" s="2106">
        <v>3.8119425357329106</v>
      </c>
      <c r="DX23" s="2109">
        <f t="shared" si="55"/>
        <v>67.672152368512897</v>
      </c>
      <c r="DY23" s="2106"/>
      <c r="DZ23" s="2106"/>
      <c r="EA23" s="2106"/>
      <c r="EB23" s="2106">
        <f t="shared" si="56"/>
        <v>6.2703968723064394</v>
      </c>
      <c r="EC23" s="2106">
        <f t="shared" si="57"/>
        <v>111.3162773510129</v>
      </c>
      <c r="ED23" s="2106">
        <f t="shared" si="58"/>
        <v>1627.705976402528</v>
      </c>
      <c r="EE23" s="2107"/>
      <c r="EF23" s="2106">
        <f t="shared" si="59"/>
        <v>3.1026787519922978</v>
      </c>
      <c r="EG23" s="2106">
        <f t="shared" si="60"/>
        <v>505.02487474750001</v>
      </c>
      <c r="EH23" s="2106">
        <f t="shared" si="67"/>
        <v>3.6978146926151552</v>
      </c>
      <c r="EI23" s="2106">
        <f t="shared" si="61"/>
        <v>601.89550747987653</v>
      </c>
      <c r="EJ23" s="2106"/>
      <c r="EK23" s="2106">
        <f t="shared" si="62"/>
        <v>0</v>
      </c>
      <c r="EL23" s="2106"/>
      <c r="EM23" s="2106"/>
      <c r="EN23" s="2106">
        <f t="shared" si="63"/>
        <v>1106.9203822273766</v>
      </c>
      <c r="EO23" s="2104">
        <f t="shared" si="68"/>
        <v>6.8004934446074543</v>
      </c>
      <c r="EP23" s="2110"/>
      <c r="ES23" s="2084">
        <f t="shared" si="0"/>
        <v>0</v>
      </c>
      <c r="EU23" s="2084">
        <f t="shared" si="64"/>
        <v>502.27016730000003</v>
      </c>
      <c r="EV23" s="2084">
        <f t="shared" si="65"/>
        <v>1366.3553940000002</v>
      </c>
      <c r="EW23" s="2084">
        <f t="shared" si="66"/>
        <v>3.6759848097031775</v>
      </c>
      <c r="FE23" s="2108"/>
      <c r="FF23" s="2108"/>
      <c r="FG23" s="2108"/>
      <c r="FH23" s="2108"/>
      <c r="FI23" s="2108"/>
      <c r="FJ23" s="2108"/>
      <c r="FK23" s="2108"/>
    </row>
    <row r="24" spans="1:167" ht="15" customHeight="1">
      <c r="A24" s="1760">
        <v>9</v>
      </c>
      <c r="B24" s="1761" t="s">
        <v>1659</v>
      </c>
      <c r="C24" s="2098">
        <v>1000</v>
      </c>
      <c r="D24" s="2099">
        <v>1</v>
      </c>
      <c r="E24" s="2100"/>
      <c r="F24" s="2099">
        <v>0.55468678722444109</v>
      </c>
      <c r="G24" s="2101">
        <v>1000</v>
      </c>
      <c r="H24" s="2102" t="s">
        <v>1649</v>
      </c>
      <c r="I24" s="2103">
        <v>2</v>
      </c>
      <c r="J24" s="2104"/>
      <c r="K24" s="2101"/>
      <c r="L24" s="2101"/>
      <c r="M24" s="2105"/>
      <c r="N24" s="2106">
        <v>334.05342300000001</v>
      </c>
      <c r="O24" s="2106">
        <f t="shared" si="1"/>
        <v>1.5972841236235438</v>
      </c>
      <c r="P24" s="2106">
        <v>53.357822900000002</v>
      </c>
      <c r="Q24" s="2106">
        <f t="shared" si="2"/>
        <v>1.6719999992336554</v>
      </c>
      <c r="R24" s="2106">
        <v>55.853732299999997</v>
      </c>
      <c r="S24" s="2106">
        <f t="shared" si="3"/>
        <v>0</v>
      </c>
      <c r="T24" s="2106">
        <v>0</v>
      </c>
      <c r="U24" s="2106"/>
      <c r="V24" s="2106">
        <f t="shared" si="4"/>
        <v>3.2692841228571989</v>
      </c>
      <c r="W24" s="2106">
        <f t="shared" si="5"/>
        <v>109.21155519999999</v>
      </c>
      <c r="X24" s="2106">
        <v>338.15492</v>
      </c>
      <c r="Y24" s="2106">
        <f t="shared" si="6"/>
        <v>1.5714712327710625</v>
      </c>
      <c r="Z24" s="2106">
        <v>53.1400729</v>
      </c>
      <c r="AA24" s="2106">
        <f t="shared" si="7"/>
        <v>1.6873999999763423</v>
      </c>
      <c r="AB24" s="2106">
        <v>57.060261199999999</v>
      </c>
      <c r="AC24" s="2106">
        <f t="shared" si="8"/>
        <v>0</v>
      </c>
      <c r="AD24" s="2106">
        <v>0</v>
      </c>
      <c r="AE24" s="2106"/>
      <c r="AF24" s="2106">
        <f t="shared" si="9"/>
        <v>3.2588712327474045</v>
      </c>
      <c r="AG24" s="2106">
        <f t="shared" si="10"/>
        <v>110.20033409999999</v>
      </c>
      <c r="AH24" s="2106">
        <v>288.27218499999998</v>
      </c>
      <c r="AI24" s="2106">
        <f t="shared" si="11"/>
        <v>1.6366187636174474</v>
      </c>
      <c r="AJ24" s="2106">
        <v>47.179166700000003</v>
      </c>
      <c r="AK24" s="2106">
        <f t="shared" si="12"/>
        <v>1.7049999985256989</v>
      </c>
      <c r="AL24" s="2106">
        <v>49.1504075</v>
      </c>
      <c r="AM24" s="2106">
        <f t="shared" si="13"/>
        <v>0</v>
      </c>
      <c r="AN24" s="2106">
        <v>0</v>
      </c>
      <c r="AO24" s="2106">
        <v>0</v>
      </c>
      <c r="AP24" s="2106">
        <f t="shared" si="14"/>
        <v>3.3416187621431459</v>
      </c>
      <c r="AQ24" s="2106">
        <f t="shared" si="15"/>
        <v>96.329574199999996</v>
      </c>
      <c r="AR24" s="2106">
        <v>302.75164000000001</v>
      </c>
      <c r="AS24" s="2106">
        <f t="shared" si="16"/>
        <v>1.582919445126705</v>
      </c>
      <c r="AT24" s="2106">
        <v>47.9231458</v>
      </c>
      <c r="AU24" s="2106">
        <f t="shared" si="17"/>
        <v>1.7207000001717578</v>
      </c>
      <c r="AV24" s="2106">
        <v>52.094474699999999</v>
      </c>
      <c r="AW24" s="2106">
        <f t="shared" si="18"/>
        <v>0</v>
      </c>
      <c r="AX24" s="2106">
        <v>0</v>
      </c>
      <c r="AY24" s="2106"/>
      <c r="AZ24" s="2106">
        <f t="shared" si="19"/>
        <v>3.3036194452984629</v>
      </c>
      <c r="BA24" s="2106">
        <f t="shared" si="20"/>
        <v>100.01762049999999</v>
      </c>
      <c r="BB24" s="2106">
        <v>355.98926499999999</v>
      </c>
      <c r="BC24" s="2106">
        <f t="shared" si="21"/>
        <v>1.5419326141758796</v>
      </c>
      <c r="BD24" s="2106">
        <v>54.891145799999997</v>
      </c>
      <c r="BE24" s="2106">
        <f t="shared" si="22"/>
        <v>1.7461000010772796</v>
      </c>
      <c r="BF24" s="2106">
        <v>62.159285599999997</v>
      </c>
      <c r="BG24" s="2106">
        <f t="shared" si="23"/>
        <v>0</v>
      </c>
      <c r="BH24" s="2106">
        <v>0</v>
      </c>
      <c r="BI24" s="2106"/>
      <c r="BJ24" s="2106">
        <f t="shared" si="24"/>
        <v>3.2880326152531589</v>
      </c>
      <c r="BK24" s="2106">
        <f t="shared" si="25"/>
        <v>117.05043139999999</v>
      </c>
      <c r="BL24" s="2106">
        <v>423.57161000000002</v>
      </c>
      <c r="BM24" s="2106">
        <f t="shared" si="26"/>
        <v>1.5966490483155846</v>
      </c>
      <c r="BN24" s="2106">
        <v>67.629520799999995</v>
      </c>
      <c r="BO24" s="2106">
        <f t="shared" si="27"/>
        <v>1.8213999989281624</v>
      </c>
      <c r="BP24" s="2106">
        <v>77.149332999999999</v>
      </c>
      <c r="BQ24" s="2106">
        <f t="shared" si="28"/>
        <v>0</v>
      </c>
      <c r="BR24" s="2106">
        <v>0</v>
      </c>
      <c r="BS24" s="2106"/>
      <c r="BT24" s="2106">
        <f t="shared" si="29"/>
        <v>3.4180490472437466</v>
      </c>
      <c r="BU24" s="2106">
        <f t="shared" si="30"/>
        <v>144.77885379999998</v>
      </c>
      <c r="BV24" s="2106">
        <v>568.75605299999995</v>
      </c>
      <c r="BW24" s="2106">
        <f t="shared" si="31"/>
        <v>1.6789702262737944</v>
      </c>
      <c r="BX24" s="2106">
        <v>95.492447900000002</v>
      </c>
      <c r="BY24" s="2106">
        <f t="shared" si="32"/>
        <v>1.7533999994194349</v>
      </c>
      <c r="BZ24" s="2106">
        <v>99.725686300000007</v>
      </c>
      <c r="CA24" s="2106">
        <f t="shared" si="33"/>
        <v>0</v>
      </c>
      <c r="CB24" s="2106">
        <v>0</v>
      </c>
      <c r="CC24" s="2106"/>
      <c r="CD24" s="2106">
        <f t="shared" si="34"/>
        <v>3.4323702256932291</v>
      </c>
      <c r="CE24" s="2106">
        <f t="shared" si="35"/>
        <v>195.21813420000001</v>
      </c>
      <c r="CF24" s="2106">
        <v>608.06983000000002</v>
      </c>
      <c r="CG24" s="2106">
        <f t="shared" si="36"/>
        <v>1.6232389033345069</v>
      </c>
      <c r="CH24" s="2106">
        <v>98.704260399999995</v>
      </c>
      <c r="CI24" s="2106">
        <f t="shared" si="37"/>
        <v>1.7422000002861513</v>
      </c>
      <c r="CJ24" s="2106">
        <v>105.9379258</v>
      </c>
      <c r="CK24" s="2106">
        <f t="shared" si="38"/>
        <v>0</v>
      </c>
      <c r="CL24" s="2106">
        <v>0</v>
      </c>
      <c r="CM24" s="2106"/>
      <c r="CN24" s="2106">
        <f t="shared" si="39"/>
        <v>3.3654389036206576</v>
      </c>
      <c r="CO24" s="2106">
        <f t="shared" si="40"/>
        <v>204.6421862</v>
      </c>
      <c r="CP24" s="2106">
        <v>621.96485499999994</v>
      </c>
      <c r="CQ24" s="2106">
        <f t="shared" si="41"/>
        <v>1.6154205240423112</v>
      </c>
      <c r="CR24" s="2106">
        <v>100.4734792</v>
      </c>
      <c r="CS24" s="2106">
        <f t="shared" si="42"/>
        <v>1.7608999997274768</v>
      </c>
      <c r="CT24" s="2106">
        <v>109.5217913</v>
      </c>
      <c r="CU24" s="2106">
        <f t="shared" si="43"/>
        <v>0</v>
      </c>
      <c r="CV24" s="2106">
        <v>0</v>
      </c>
      <c r="CW24" s="2106"/>
      <c r="CX24" s="2106">
        <f t="shared" si="44"/>
        <v>3.3763205237697882</v>
      </c>
      <c r="CY24" s="2106">
        <f t="shared" si="45"/>
        <v>209.9952705</v>
      </c>
      <c r="CZ24" s="2106">
        <v>362.82581579999993</v>
      </c>
      <c r="DA24" s="2106">
        <f t="shared" si="46"/>
        <v>1.4876974229971542</v>
      </c>
      <c r="DB24" s="2106">
        <v>53.977503116250006</v>
      </c>
      <c r="DC24" s="2106">
        <v>1.8214550208325531</v>
      </c>
      <c r="DD24" s="2109">
        <f t="shared" si="47"/>
        <v>66.087090387657696</v>
      </c>
      <c r="DE24" s="2106"/>
      <c r="DF24" s="2106"/>
      <c r="DG24" s="2106"/>
      <c r="DH24" s="2106">
        <f t="shared" si="48"/>
        <v>3.3091524438297077</v>
      </c>
      <c r="DI24" s="2106">
        <f t="shared" si="49"/>
        <v>120.0645935039077</v>
      </c>
      <c r="DJ24" s="2106">
        <v>424.14797125000001</v>
      </c>
      <c r="DK24" s="2106">
        <f t="shared" si="50"/>
        <v>1.2726101920792816</v>
      </c>
      <c r="DL24" s="2106">
        <v>53.977503116250006</v>
      </c>
      <c r="DM24" s="2106">
        <v>1.8214550208325531</v>
      </c>
      <c r="DN24" s="2109">
        <f t="shared" si="51"/>
        <v>77.256645180925389</v>
      </c>
      <c r="DO24" s="2106"/>
      <c r="DP24" s="2106"/>
      <c r="DQ24" s="2106"/>
      <c r="DR24" s="2106">
        <f t="shared" si="52"/>
        <v>3.0940652129118353</v>
      </c>
      <c r="DS24" s="2106">
        <f t="shared" si="53"/>
        <v>131.23414829717541</v>
      </c>
      <c r="DT24" s="2106">
        <v>413.87743870000008</v>
      </c>
      <c r="DU24" s="2106">
        <f t="shared" si="54"/>
        <v>1.3041905179899336</v>
      </c>
      <c r="DV24" s="2106">
        <v>53.977503116250006</v>
      </c>
      <c r="DW24" s="2106">
        <v>1.8214550208325531</v>
      </c>
      <c r="DX24" s="2109">
        <f t="shared" si="55"/>
        <v>75.385913872943235</v>
      </c>
      <c r="DY24" s="2106"/>
      <c r="DZ24" s="2106"/>
      <c r="EA24" s="2106"/>
      <c r="EB24" s="2106">
        <f t="shared" si="56"/>
        <v>3.1256455388224862</v>
      </c>
      <c r="EC24" s="2106">
        <f t="shared" si="57"/>
        <v>129.36341698919324</v>
      </c>
      <c r="ED24" s="2106">
        <f t="shared" si="58"/>
        <v>5042.43500675</v>
      </c>
      <c r="EE24" s="2107"/>
      <c r="EF24" s="2106">
        <f t="shared" si="59"/>
        <v>1.548306662760438</v>
      </c>
      <c r="EG24" s="2106">
        <f t="shared" si="60"/>
        <v>780.72357174874992</v>
      </c>
      <c r="EH24" s="2106">
        <f>IFERROR(EI24/ED24*10,0)</f>
        <v>1.7598294196229429</v>
      </c>
      <c r="EI24" s="2106">
        <f t="shared" si="61"/>
        <v>887.38254714152629</v>
      </c>
      <c r="EJ24" s="2106"/>
      <c r="EK24" s="2106">
        <f t="shared" si="62"/>
        <v>0</v>
      </c>
      <c r="EL24" s="2106"/>
      <c r="EM24" s="2106"/>
      <c r="EN24" s="2106">
        <f t="shared" si="63"/>
        <v>1668.1061188902763</v>
      </c>
      <c r="EO24" s="2104">
        <f>IFERROR(EN24/ED24*10,0)</f>
        <v>3.3081360823833812</v>
      </c>
      <c r="EP24" s="2110"/>
      <c r="ES24" s="2084">
        <f t="shared" si="0"/>
        <v>0</v>
      </c>
      <c r="EU24" s="2084">
        <f t="shared" si="64"/>
        <v>668.65289770000004</v>
      </c>
      <c r="EV24" s="2084">
        <f t="shared" si="65"/>
        <v>3841.5837809999994</v>
      </c>
      <c r="EW24" s="2084">
        <f t="shared" si="66"/>
        <v>1.740565703674289</v>
      </c>
      <c r="FE24" s="2108"/>
      <c r="FF24" s="2108"/>
      <c r="FG24" s="2108"/>
      <c r="FH24" s="2108"/>
      <c r="FI24" s="2108"/>
      <c r="FJ24" s="2108"/>
      <c r="FK24" s="2108"/>
    </row>
    <row r="25" spans="1:167" ht="15" customHeight="1">
      <c r="A25" s="1760">
        <v>10</v>
      </c>
      <c r="B25" s="1761" t="s">
        <v>1660</v>
      </c>
      <c r="C25" s="2098" t="e">
        <v>#N/A</v>
      </c>
      <c r="D25" s="2099" t="e">
        <v>#N/A</v>
      </c>
      <c r="E25" s="2100"/>
      <c r="F25" s="2099">
        <v>0.84999999999999976</v>
      </c>
      <c r="G25" s="2101">
        <v>660</v>
      </c>
      <c r="H25" s="2102" t="s">
        <v>1649</v>
      </c>
      <c r="I25" s="2103">
        <v>2</v>
      </c>
      <c r="J25" s="2104"/>
      <c r="K25" s="2101"/>
      <c r="L25" s="2101"/>
      <c r="M25" s="2105"/>
      <c r="N25" s="2106">
        <v>190.80347</v>
      </c>
      <c r="O25" s="2106">
        <f t="shared" si="1"/>
        <v>1.4572586127495479</v>
      </c>
      <c r="P25" s="2106">
        <v>27.805</v>
      </c>
      <c r="Q25" s="2106">
        <f t="shared" si="2"/>
        <v>3.6777000019968185</v>
      </c>
      <c r="R25" s="2106">
        <v>70.171792199999999</v>
      </c>
      <c r="S25" s="2106">
        <f t="shared" si="3"/>
        <v>0</v>
      </c>
      <c r="T25" s="2106">
        <v>0</v>
      </c>
      <c r="U25" s="2106"/>
      <c r="V25" s="2106">
        <f t="shared" si="4"/>
        <v>5.1349586147463677</v>
      </c>
      <c r="W25" s="2106">
        <f>SUM(P25,R25,T25,U25)</f>
        <v>97.976792200000006</v>
      </c>
      <c r="X25" s="2106">
        <v>66.698797999999996</v>
      </c>
      <c r="Y25" s="2106">
        <f t="shared" si="6"/>
        <v>4.16874079200048</v>
      </c>
      <c r="Z25" s="2106">
        <v>27.805</v>
      </c>
      <c r="AA25" s="2106">
        <f t="shared" si="7"/>
        <v>3.5002000036042631</v>
      </c>
      <c r="AB25" s="2106">
        <v>23.345913299999999</v>
      </c>
      <c r="AC25" s="2106">
        <f t="shared" si="8"/>
        <v>0</v>
      </c>
      <c r="AD25" s="2106">
        <v>0</v>
      </c>
      <c r="AE25" s="2106"/>
      <c r="AF25" s="2106">
        <f t="shared" si="9"/>
        <v>7.6689407956047431</v>
      </c>
      <c r="AG25" s="2106">
        <f t="shared" si="10"/>
        <v>51.150913299999999</v>
      </c>
      <c r="AH25" s="2106">
        <v>104.039025</v>
      </c>
      <c r="AI25" s="2106">
        <f t="shared" si="11"/>
        <v>2.6725548418009493</v>
      </c>
      <c r="AJ25" s="2106">
        <v>27.805</v>
      </c>
      <c r="AK25" s="2106">
        <f t="shared" si="12"/>
        <v>3.8755999972125847</v>
      </c>
      <c r="AL25" s="2106">
        <v>40.321364500000001</v>
      </c>
      <c r="AM25" s="2106">
        <f t="shared" si="13"/>
        <v>0</v>
      </c>
      <c r="AN25" s="2106">
        <v>0</v>
      </c>
      <c r="AO25" s="2106">
        <v>0</v>
      </c>
      <c r="AP25" s="2106">
        <f t="shared" si="14"/>
        <v>6.5481548390135336</v>
      </c>
      <c r="AQ25" s="2106">
        <f t="shared" si="15"/>
        <v>68.126364499999994</v>
      </c>
      <c r="AR25" s="2106">
        <v>188.853475</v>
      </c>
      <c r="AS25" s="2106">
        <f t="shared" si="16"/>
        <v>1.4723054473845398</v>
      </c>
      <c r="AT25" s="2106">
        <v>27.805</v>
      </c>
      <c r="AU25" s="2106">
        <f t="shared" si="17"/>
        <v>3.8893000036139123</v>
      </c>
      <c r="AV25" s="2106">
        <v>73.450782099999998</v>
      </c>
      <c r="AW25" s="2106">
        <f t="shared" si="18"/>
        <v>5.5888831275145983E-4</v>
      </c>
      <c r="AX25" s="2106">
        <v>1.05548E-2</v>
      </c>
      <c r="AY25" s="2106"/>
      <c r="AZ25" s="2106">
        <f t="shared" si="19"/>
        <v>5.362164339311204</v>
      </c>
      <c r="BA25" s="2106">
        <f t="shared" si="20"/>
        <v>101.2663369</v>
      </c>
      <c r="BB25" s="2106">
        <v>167.19294300000001</v>
      </c>
      <c r="BC25" s="2106">
        <f t="shared" si="21"/>
        <v>1.6630486610909168</v>
      </c>
      <c r="BD25" s="2106">
        <v>27.805</v>
      </c>
      <c r="BE25" s="2106">
        <f t="shared" si="22"/>
        <v>3.9124999970842067</v>
      </c>
      <c r="BF25" s="2106">
        <v>65.414238900000001</v>
      </c>
      <c r="BG25" s="2106">
        <f t="shared" si="23"/>
        <v>0</v>
      </c>
      <c r="BH25" s="2106">
        <v>0</v>
      </c>
      <c r="BI25" s="2106"/>
      <c r="BJ25" s="2106">
        <f t="shared" si="24"/>
        <v>5.5755486581751237</v>
      </c>
      <c r="BK25" s="2106">
        <f t="shared" si="25"/>
        <v>93.219238899999993</v>
      </c>
      <c r="BL25" s="2106">
        <v>135.94360499999999</v>
      </c>
      <c r="BM25" s="2106">
        <f t="shared" si="26"/>
        <v>2.0453334307266609</v>
      </c>
      <c r="BN25" s="2106">
        <v>27.805</v>
      </c>
      <c r="BO25" s="2106">
        <f t="shared" si="27"/>
        <v>3.5287000002684943</v>
      </c>
      <c r="BP25" s="2106">
        <v>47.970419900000003</v>
      </c>
      <c r="BQ25" s="2106">
        <f t="shared" si="28"/>
        <v>0</v>
      </c>
      <c r="BR25" s="2106">
        <v>0</v>
      </c>
      <c r="BS25" s="2106"/>
      <c r="BT25" s="2106">
        <f t="shared" si="29"/>
        <v>5.5740334309951542</v>
      </c>
      <c r="BU25" s="2106">
        <f t="shared" si="30"/>
        <v>75.775419900000003</v>
      </c>
      <c r="BV25" s="2106">
        <v>53.805554999999998</v>
      </c>
      <c r="BW25" s="2106">
        <f t="shared" si="31"/>
        <v>5.1676820358046669</v>
      </c>
      <c r="BX25" s="2106">
        <v>27.805</v>
      </c>
      <c r="BY25" s="2106">
        <f t="shared" si="32"/>
        <v>3.0894000071182242</v>
      </c>
      <c r="BZ25" s="2106">
        <v>16.622688199999999</v>
      </c>
      <c r="CA25" s="2106">
        <f t="shared" si="33"/>
        <v>0</v>
      </c>
      <c r="CB25" s="2106">
        <v>0</v>
      </c>
      <c r="CC25" s="2106"/>
      <c r="CD25" s="2106">
        <f t="shared" si="34"/>
        <v>8.2570820429228924</v>
      </c>
      <c r="CE25" s="2106">
        <f t="shared" si="35"/>
        <v>44.427688199999999</v>
      </c>
      <c r="CF25" s="2106">
        <v>0</v>
      </c>
      <c r="CG25" s="2106">
        <f t="shared" si="36"/>
        <v>0</v>
      </c>
      <c r="CH25" s="2106">
        <v>27.805</v>
      </c>
      <c r="CI25" s="2106">
        <f t="shared" si="37"/>
        <v>0</v>
      </c>
      <c r="CJ25" s="2106">
        <v>0</v>
      </c>
      <c r="CK25" s="2106">
        <f t="shared" si="38"/>
        <v>0</v>
      </c>
      <c r="CL25" s="2106">
        <v>0</v>
      </c>
      <c r="CM25" s="2106"/>
      <c r="CN25" s="2106">
        <f t="shared" si="39"/>
        <v>0</v>
      </c>
      <c r="CO25" s="2106">
        <f t="shared" si="40"/>
        <v>27.805</v>
      </c>
      <c r="CP25" s="2106">
        <v>111.207928</v>
      </c>
      <c r="CQ25" s="2106">
        <f t="shared" si="41"/>
        <v>2.5002713835294186</v>
      </c>
      <c r="CR25" s="2106">
        <v>27.805</v>
      </c>
      <c r="CS25" s="2106">
        <f t="shared" si="42"/>
        <v>3.3259000023811254</v>
      </c>
      <c r="CT25" s="2106">
        <v>36.986644800000001</v>
      </c>
      <c r="CU25" s="2106">
        <f t="shared" si="43"/>
        <v>0</v>
      </c>
      <c r="CV25" s="2106">
        <v>0</v>
      </c>
      <c r="CW25" s="2106"/>
      <c r="CX25" s="2106">
        <f t="shared" si="44"/>
        <v>5.8261713859105448</v>
      </c>
      <c r="CY25" s="2106">
        <f t="shared" si="45"/>
        <v>64.7916448</v>
      </c>
      <c r="CZ25" s="2106">
        <v>0</v>
      </c>
      <c r="DA25" s="2106">
        <f t="shared" si="46"/>
        <v>0</v>
      </c>
      <c r="DB25" s="2106">
        <v>0</v>
      </c>
      <c r="DC25" s="2106">
        <v>2.1420000000000003</v>
      </c>
      <c r="DD25" s="2109">
        <f t="shared" si="47"/>
        <v>0</v>
      </c>
      <c r="DE25" s="2106"/>
      <c r="DF25" s="2106"/>
      <c r="DG25" s="2106"/>
      <c r="DH25" s="2106"/>
      <c r="DI25" s="2106"/>
      <c r="DJ25" s="2106">
        <v>0</v>
      </c>
      <c r="DK25" s="2106">
        <f t="shared" si="50"/>
        <v>0</v>
      </c>
      <c r="DL25" s="2106">
        <v>0</v>
      </c>
      <c r="DM25" s="2106">
        <v>2.1420000000000003</v>
      </c>
      <c r="DN25" s="2109">
        <f t="shared" si="51"/>
        <v>0</v>
      </c>
      <c r="DO25" s="2106"/>
      <c r="DP25" s="2106"/>
      <c r="DQ25" s="2106"/>
      <c r="DR25" s="2106"/>
      <c r="DS25" s="2106"/>
      <c r="DT25" s="2106">
        <v>0</v>
      </c>
      <c r="DU25" s="2106">
        <f t="shared" si="54"/>
        <v>0</v>
      </c>
      <c r="DV25" s="2106">
        <v>0</v>
      </c>
      <c r="DW25" s="2106">
        <v>2.1420000000000003</v>
      </c>
      <c r="DX25" s="2109">
        <f t="shared" si="55"/>
        <v>0</v>
      </c>
      <c r="DY25" s="2106"/>
      <c r="DZ25" s="2106"/>
      <c r="EA25" s="2106"/>
      <c r="EB25" s="2106"/>
      <c r="EC25" s="2106"/>
      <c r="ED25" s="2106">
        <f t="shared" si="58"/>
        <v>1018.5447990000001</v>
      </c>
      <c r="EE25" s="2107"/>
      <c r="EF25" s="2106">
        <f t="shared" si="59"/>
        <v>2.4568875148711058</v>
      </c>
      <c r="EG25" s="2106">
        <f t="shared" si="60"/>
        <v>250.24500000000003</v>
      </c>
      <c r="EH25" s="2106"/>
      <c r="EI25" s="2106">
        <f t="shared" si="61"/>
        <v>374.28384390000008</v>
      </c>
      <c r="EJ25" s="2106"/>
      <c r="EK25" s="2106">
        <f t="shared" si="62"/>
        <v>1.05548E-2</v>
      </c>
      <c r="EL25" s="2106"/>
      <c r="EM25" s="2106"/>
      <c r="EN25" s="2106">
        <f t="shared" si="63"/>
        <v>624.53939870000011</v>
      </c>
      <c r="EO25" s="2104"/>
      <c r="EP25" s="2110"/>
      <c r="ES25" s="2084">
        <f t="shared" si="0"/>
        <v>0</v>
      </c>
      <c r="EU25" s="2084">
        <f t="shared" si="64"/>
        <v>374.28384390000008</v>
      </c>
      <c r="EV25" s="2084">
        <f t="shared" si="65"/>
        <v>1018.5447990000001</v>
      </c>
      <c r="EW25" s="2084">
        <f t="shared" si="66"/>
        <v>3.6746920142095787</v>
      </c>
      <c r="FE25" s="2108"/>
      <c r="FF25" s="2108"/>
      <c r="FG25" s="2108"/>
      <c r="FH25" s="2108"/>
      <c r="FI25" s="2108"/>
      <c r="FJ25" s="2108"/>
      <c r="FK25" s="2108"/>
    </row>
    <row r="26" spans="1:167" ht="15" customHeight="1">
      <c r="A26" s="1760">
        <v>11</v>
      </c>
      <c r="B26" s="2111" t="s">
        <v>1661</v>
      </c>
      <c r="C26" s="2098" t="e">
        <v>#N/A</v>
      </c>
      <c r="D26" s="2099" t="e">
        <v>#N/A</v>
      </c>
      <c r="E26" s="2100"/>
      <c r="F26" s="2099">
        <v>0.84999999999999976</v>
      </c>
      <c r="G26" s="2101">
        <v>660</v>
      </c>
      <c r="H26" s="2102" t="s">
        <v>1649</v>
      </c>
      <c r="I26" s="2103">
        <v>2</v>
      </c>
      <c r="J26" s="2104"/>
      <c r="K26" s="2101"/>
      <c r="L26" s="2101"/>
      <c r="M26" s="2105"/>
      <c r="N26" s="2106">
        <v>0</v>
      </c>
      <c r="O26" s="2106">
        <f t="shared" si="1"/>
        <v>0</v>
      </c>
      <c r="P26" s="2106">
        <v>0</v>
      </c>
      <c r="Q26" s="2106">
        <f t="shared" si="2"/>
        <v>0</v>
      </c>
      <c r="R26" s="2106">
        <v>0</v>
      </c>
      <c r="S26" s="2106">
        <f t="shared" si="3"/>
        <v>0</v>
      </c>
      <c r="T26" s="2106">
        <v>0</v>
      </c>
      <c r="U26" s="2106"/>
      <c r="V26" s="2106">
        <f t="shared" si="4"/>
        <v>0</v>
      </c>
      <c r="W26" s="2106">
        <f>SUM(P26,R26,T26,U26)</f>
        <v>0</v>
      </c>
      <c r="X26" s="2106">
        <v>0</v>
      </c>
      <c r="Y26" s="2106">
        <f t="shared" si="6"/>
        <v>0</v>
      </c>
      <c r="Z26" s="2106">
        <v>0</v>
      </c>
      <c r="AA26" s="2106">
        <f t="shared" si="7"/>
        <v>0</v>
      </c>
      <c r="AB26" s="2106">
        <v>0</v>
      </c>
      <c r="AC26" s="2106">
        <f t="shared" si="8"/>
        <v>0</v>
      </c>
      <c r="AD26" s="2106">
        <v>0</v>
      </c>
      <c r="AE26" s="2106"/>
      <c r="AF26" s="2106">
        <f t="shared" si="9"/>
        <v>0</v>
      </c>
      <c r="AG26" s="2106">
        <f t="shared" si="10"/>
        <v>0</v>
      </c>
      <c r="AH26" s="2106">
        <v>0</v>
      </c>
      <c r="AI26" s="2106">
        <f t="shared" si="11"/>
        <v>0</v>
      </c>
      <c r="AJ26" s="2106">
        <v>0</v>
      </c>
      <c r="AK26" s="2106">
        <f t="shared" si="12"/>
        <v>0</v>
      </c>
      <c r="AL26" s="2106">
        <v>0</v>
      </c>
      <c r="AM26" s="2106">
        <f t="shared" si="13"/>
        <v>0</v>
      </c>
      <c r="AN26" s="2106">
        <v>0</v>
      </c>
      <c r="AO26" s="2106">
        <v>0</v>
      </c>
      <c r="AP26" s="2106">
        <f t="shared" si="14"/>
        <v>0</v>
      </c>
      <c r="AQ26" s="2106">
        <f t="shared" si="15"/>
        <v>0</v>
      </c>
      <c r="AR26" s="2106">
        <v>0</v>
      </c>
      <c r="AS26" s="2106">
        <f t="shared" si="16"/>
        <v>0</v>
      </c>
      <c r="AT26" s="2106">
        <v>0</v>
      </c>
      <c r="AU26" s="2106">
        <f t="shared" si="17"/>
        <v>0</v>
      </c>
      <c r="AV26" s="2106">
        <v>0</v>
      </c>
      <c r="AW26" s="2106">
        <f>AW12+AW13+AW14+AW15+AW16+AW17+AW18+AW19+AW20+AW21+AW22+AW23</f>
        <v>0</v>
      </c>
      <c r="AX26" s="2106">
        <v>0</v>
      </c>
      <c r="AY26" s="2106"/>
      <c r="AZ26" s="2106">
        <f t="shared" si="19"/>
        <v>0</v>
      </c>
      <c r="BA26" s="2106">
        <f t="shared" si="20"/>
        <v>0</v>
      </c>
      <c r="BB26" s="2106">
        <v>0</v>
      </c>
      <c r="BC26" s="2106">
        <f t="shared" si="21"/>
        <v>0</v>
      </c>
      <c r="BD26" s="2106">
        <v>0</v>
      </c>
      <c r="BE26" s="2106">
        <f t="shared" si="22"/>
        <v>0</v>
      </c>
      <c r="BF26" s="2106">
        <v>0</v>
      </c>
      <c r="BG26" s="2106">
        <f t="shared" si="23"/>
        <v>0</v>
      </c>
      <c r="BH26" s="2106">
        <v>0</v>
      </c>
      <c r="BI26" s="2106"/>
      <c r="BJ26" s="2106">
        <f t="shared" si="24"/>
        <v>0</v>
      </c>
      <c r="BK26" s="2106">
        <f t="shared" si="25"/>
        <v>0</v>
      </c>
      <c r="BL26" s="2106">
        <v>0</v>
      </c>
      <c r="BM26" s="2106">
        <f t="shared" si="26"/>
        <v>0</v>
      </c>
      <c r="BN26" s="2106">
        <v>0</v>
      </c>
      <c r="BO26" s="2106">
        <f t="shared" si="27"/>
        <v>0</v>
      </c>
      <c r="BP26" s="2106">
        <v>0</v>
      </c>
      <c r="BQ26" s="2106">
        <f t="shared" si="28"/>
        <v>0</v>
      </c>
      <c r="BR26" s="2106">
        <v>0</v>
      </c>
      <c r="BS26" s="2106"/>
      <c r="BT26" s="2106">
        <f t="shared" si="29"/>
        <v>0</v>
      </c>
      <c r="BU26" s="2106">
        <f t="shared" si="30"/>
        <v>0</v>
      </c>
      <c r="BV26" s="2106">
        <v>0</v>
      </c>
      <c r="BW26" s="2106">
        <f t="shared" si="31"/>
        <v>0</v>
      </c>
      <c r="BX26" s="2106">
        <v>0</v>
      </c>
      <c r="BY26" s="2106">
        <f t="shared" si="32"/>
        <v>0</v>
      </c>
      <c r="BZ26" s="2106">
        <v>0</v>
      </c>
      <c r="CA26" s="2106">
        <f t="shared" si="33"/>
        <v>0</v>
      </c>
      <c r="CB26" s="2106">
        <v>0</v>
      </c>
      <c r="CC26" s="2106"/>
      <c r="CD26" s="2106">
        <f t="shared" si="34"/>
        <v>0</v>
      </c>
      <c r="CE26" s="2106">
        <f t="shared" si="35"/>
        <v>0</v>
      </c>
      <c r="CF26" s="2106">
        <v>0</v>
      </c>
      <c r="CG26" s="2106">
        <f t="shared" si="36"/>
        <v>0</v>
      </c>
      <c r="CH26" s="2106">
        <v>0</v>
      </c>
      <c r="CI26" s="2106">
        <f t="shared" si="37"/>
        <v>0</v>
      </c>
      <c r="CJ26" s="2106">
        <v>0</v>
      </c>
      <c r="CK26" s="2106">
        <f t="shared" si="38"/>
        <v>0</v>
      </c>
      <c r="CL26" s="2106">
        <v>0</v>
      </c>
      <c r="CM26" s="2106"/>
      <c r="CN26" s="2106">
        <f t="shared" si="39"/>
        <v>0</v>
      </c>
      <c r="CO26" s="2106">
        <f t="shared" si="40"/>
        <v>0</v>
      </c>
      <c r="CP26" s="2106">
        <v>0</v>
      </c>
      <c r="CQ26" s="2106">
        <f t="shared" si="41"/>
        <v>0</v>
      </c>
      <c r="CR26" s="2106">
        <v>0</v>
      </c>
      <c r="CS26" s="2106">
        <f t="shared" si="42"/>
        <v>0</v>
      </c>
      <c r="CT26" s="2106">
        <v>0</v>
      </c>
      <c r="CU26" s="2106">
        <f t="shared" si="43"/>
        <v>0</v>
      </c>
      <c r="CV26" s="2106">
        <v>0</v>
      </c>
      <c r="CW26" s="2106"/>
      <c r="CX26" s="2106">
        <f t="shared" si="44"/>
        <v>0</v>
      </c>
      <c r="CY26" s="2106">
        <f t="shared" si="45"/>
        <v>0</v>
      </c>
      <c r="CZ26" s="2106">
        <v>393.38441999999998</v>
      </c>
      <c r="DA26" s="2106">
        <f t="shared" si="46"/>
        <v>1.9623655913978491</v>
      </c>
      <c r="DB26" s="2106">
        <v>77.196404999999984</v>
      </c>
      <c r="DC26" s="2106">
        <v>3.2640000000000002</v>
      </c>
      <c r="DD26" s="2109">
        <f t="shared" si="47"/>
        <v>128.40067468800001</v>
      </c>
      <c r="DE26" s="2106"/>
      <c r="DF26" s="2106"/>
      <c r="DG26" s="2106"/>
      <c r="DH26" s="2106"/>
      <c r="DI26" s="2106"/>
      <c r="DJ26" s="2106">
        <v>355.31495999999999</v>
      </c>
      <c r="DK26" s="2106">
        <f t="shared" si="50"/>
        <v>2.1726190476190474</v>
      </c>
      <c r="DL26" s="2106">
        <v>77.196404999999984</v>
      </c>
      <c r="DM26" s="2106">
        <v>3.2640000000000002</v>
      </c>
      <c r="DN26" s="2109">
        <f t="shared" si="51"/>
        <v>115.974802944</v>
      </c>
      <c r="DO26" s="2106"/>
      <c r="DP26" s="2106"/>
      <c r="DQ26" s="2106"/>
      <c r="DR26" s="2106"/>
      <c r="DS26" s="2106"/>
      <c r="DT26" s="2106">
        <v>393.38441999999998</v>
      </c>
      <c r="DU26" s="2106">
        <f t="shared" si="54"/>
        <v>1.9623655913978491</v>
      </c>
      <c r="DV26" s="2106">
        <v>77.196404999999984</v>
      </c>
      <c r="DW26" s="2106">
        <v>3.2640000000000002</v>
      </c>
      <c r="DX26" s="2109">
        <f t="shared" si="55"/>
        <v>128.40067468800001</v>
      </c>
      <c r="DY26" s="2106"/>
      <c r="DZ26" s="2106"/>
      <c r="EA26" s="2106"/>
      <c r="EB26" s="2106"/>
      <c r="EC26" s="2106"/>
      <c r="ED26" s="2106">
        <f t="shared" si="58"/>
        <v>1142.0837999999999</v>
      </c>
      <c r="EE26" s="2107"/>
      <c r="EF26" s="2106">
        <f t="shared" si="59"/>
        <v>2.0277777777777777</v>
      </c>
      <c r="EG26" s="2106">
        <f t="shared" si="60"/>
        <v>231.58921499999997</v>
      </c>
      <c r="EH26" s="2106"/>
      <c r="EI26" s="2106">
        <f t="shared" si="61"/>
        <v>372.77615232000005</v>
      </c>
      <c r="EJ26" s="2106"/>
      <c r="EK26" s="2106">
        <f t="shared" si="62"/>
        <v>0</v>
      </c>
      <c r="EL26" s="2106"/>
      <c r="EM26" s="2106"/>
      <c r="EN26" s="2106">
        <f t="shared" si="63"/>
        <v>604.36536732000002</v>
      </c>
      <c r="EO26" s="2104"/>
      <c r="EP26" s="2110"/>
      <c r="ES26" s="2084">
        <f t="shared" si="0"/>
        <v>0</v>
      </c>
      <c r="EU26" s="2084">
        <f t="shared" si="64"/>
        <v>0</v>
      </c>
      <c r="EV26" s="2084">
        <f t="shared" si="65"/>
        <v>0</v>
      </c>
      <c r="EW26" s="2084" t="e">
        <f t="shared" si="66"/>
        <v>#DIV/0!</v>
      </c>
      <c r="FE26" s="2108"/>
      <c r="FF26" s="2108"/>
      <c r="FG26" s="2108"/>
      <c r="FH26" s="2108"/>
      <c r="FI26" s="2108"/>
      <c r="FJ26" s="2108"/>
      <c r="FK26" s="2108"/>
    </row>
    <row r="27" spans="1:167" ht="15" customHeight="1">
      <c r="A27" s="1760">
        <v>12</v>
      </c>
      <c r="B27" s="2111" t="s">
        <v>1662</v>
      </c>
      <c r="C27" s="2098" t="e">
        <v>#N/A</v>
      </c>
      <c r="D27" s="2099" t="e">
        <v>#N/A</v>
      </c>
      <c r="E27" s="2100"/>
      <c r="F27" s="2099">
        <v>0.84999999999999976</v>
      </c>
      <c r="G27" s="2101">
        <v>1302</v>
      </c>
      <c r="H27" s="2102" t="s">
        <v>1649</v>
      </c>
      <c r="I27" s="2103">
        <v>2</v>
      </c>
      <c r="J27" s="2104"/>
      <c r="K27" s="2101"/>
      <c r="L27" s="2101"/>
      <c r="M27" s="2105"/>
      <c r="N27" s="2106">
        <v>0</v>
      </c>
      <c r="O27" s="2106">
        <f t="shared" si="1"/>
        <v>0</v>
      </c>
      <c r="P27" s="2106">
        <v>0</v>
      </c>
      <c r="Q27" s="2106">
        <f t="shared" si="2"/>
        <v>0</v>
      </c>
      <c r="R27" s="2106">
        <v>0</v>
      </c>
      <c r="S27" s="2106">
        <f t="shared" si="3"/>
        <v>0</v>
      </c>
      <c r="T27" s="2106">
        <v>0</v>
      </c>
      <c r="U27" s="2106"/>
      <c r="V27" s="2106">
        <f t="shared" si="4"/>
        <v>0</v>
      </c>
      <c r="W27" s="2106">
        <f>SUM(P27,R27,T27,U27)</f>
        <v>0</v>
      </c>
      <c r="X27" s="2106">
        <v>0</v>
      </c>
      <c r="Y27" s="2106">
        <f t="shared" si="6"/>
        <v>0</v>
      </c>
      <c r="Z27" s="2106">
        <v>0</v>
      </c>
      <c r="AA27" s="2106">
        <f t="shared" si="7"/>
        <v>0</v>
      </c>
      <c r="AB27" s="2106">
        <v>0</v>
      </c>
      <c r="AC27" s="2106">
        <f t="shared" si="8"/>
        <v>0</v>
      </c>
      <c r="AD27" s="2106">
        <v>0</v>
      </c>
      <c r="AE27" s="2106"/>
      <c r="AF27" s="2106">
        <f t="shared" si="9"/>
        <v>0</v>
      </c>
      <c r="AG27" s="2106">
        <f t="shared" si="10"/>
        <v>0</v>
      </c>
      <c r="AH27" s="2106">
        <v>0</v>
      </c>
      <c r="AI27" s="2106">
        <f t="shared" si="11"/>
        <v>0</v>
      </c>
      <c r="AJ27" s="2106">
        <v>0</v>
      </c>
      <c r="AK27" s="2106">
        <f t="shared" si="12"/>
        <v>0</v>
      </c>
      <c r="AL27" s="2106">
        <v>0</v>
      </c>
      <c r="AM27" s="2106">
        <f t="shared" si="13"/>
        <v>0</v>
      </c>
      <c r="AN27" s="2106">
        <v>0</v>
      </c>
      <c r="AO27" s="2106">
        <v>0</v>
      </c>
      <c r="AP27" s="2106">
        <f t="shared" si="14"/>
        <v>0</v>
      </c>
      <c r="AQ27" s="2106">
        <f t="shared" si="15"/>
        <v>0</v>
      </c>
      <c r="AR27" s="2106">
        <v>0</v>
      </c>
      <c r="AS27" s="2106">
        <f t="shared" si="16"/>
        <v>0</v>
      </c>
      <c r="AT27" s="2106">
        <v>0</v>
      </c>
      <c r="AU27" s="2106">
        <f t="shared" si="17"/>
        <v>0</v>
      </c>
      <c r="AV27" s="2106">
        <v>0</v>
      </c>
      <c r="AW27" s="2106">
        <f t="shared" si="18"/>
        <v>0</v>
      </c>
      <c r="AX27" s="2106">
        <v>0</v>
      </c>
      <c r="AY27" s="2106"/>
      <c r="AZ27" s="2106">
        <f t="shared" si="19"/>
        <v>0</v>
      </c>
      <c r="BA27" s="2106">
        <f t="shared" si="20"/>
        <v>0</v>
      </c>
      <c r="BB27" s="2106">
        <v>0</v>
      </c>
      <c r="BC27" s="2106">
        <f t="shared" si="21"/>
        <v>0</v>
      </c>
      <c r="BD27" s="2106">
        <v>0</v>
      </c>
      <c r="BE27" s="2106">
        <f t="shared" si="22"/>
        <v>0</v>
      </c>
      <c r="BF27" s="2106">
        <v>0</v>
      </c>
      <c r="BG27" s="2106">
        <f t="shared" si="23"/>
        <v>0</v>
      </c>
      <c r="BH27" s="2106">
        <v>0</v>
      </c>
      <c r="BI27" s="2106"/>
      <c r="BJ27" s="2106">
        <f t="shared" si="24"/>
        <v>0</v>
      </c>
      <c r="BK27" s="2106">
        <f t="shared" si="25"/>
        <v>0</v>
      </c>
      <c r="BL27" s="2106">
        <v>0</v>
      </c>
      <c r="BM27" s="2106">
        <f t="shared" si="26"/>
        <v>0</v>
      </c>
      <c r="BN27" s="2106">
        <v>0</v>
      </c>
      <c r="BO27" s="2106">
        <f t="shared" si="27"/>
        <v>0</v>
      </c>
      <c r="BP27" s="2106">
        <v>0</v>
      </c>
      <c r="BQ27" s="2106">
        <f t="shared" si="28"/>
        <v>0</v>
      </c>
      <c r="BR27" s="2106">
        <v>0</v>
      </c>
      <c r="BS27" s="2106"/>
      <c r="BT27" s="2106">
        <f t="shared" si="29"/>
        <v>0</v>
      </c>
      <c r="BU27" s="2106">
        <f t="shared" si="30"/>
        <v>0</v>
      </c>
      <c r="BV27" s="2106">
        <v>0</v>
      </c>
      <c r="BW27" s="2106">
        <f t="shared" si="31"/>
        <v>0</v>
      </c>
      <c r="BX27" s="2106">
        <v>0</v>
      </c>
      <c r="BY27" s="2106">
        <f t="shared" si="32"/>
        <v>0</v>
      </c>
      <c r="BZ27" s="2106">
        <v>0</v>
      </c>
      <c r="CA27" s="2106">
        <f t="shared" si="33"/>
        <v>0</v>
      </c>
      <c r="CB27" s="2106">
        <v>0</v>
      </c>
      <c r="CC27" s="2106"/>
      <c r="CD27" s="2106">
        <f t="shared" si="34"/>
        <v>0</v>
      </c>
      <c r="CE27" s="2106">
        <f t="shared" si="35"/>
        <v>0</v>
      </c>
      <c r="CF27" s="2106">
        <v>0</v>
      </c>
      <c r="CG27" s="2106">
        <f t="shared" si="36"/>
        <v>0</v>
      </c>
      <c r="CH27" s="2106">
        <v>0</v>
      </c>
      <c r="CI27" s="2106">
        <f t="shared" si="37"/>
        <v>0</v>
      </c>
      <c r="CJ27" s="2106">
        <v>0</v>
      </c>
      <c r="CK27" s="2106">
        <f t="shared" si="38"/>
        <v>0</v>
      </c>
      <c r="CL27" s="2106">
        <v>0</v>
      </c>
      <c r="CM27" s="2106"/>
      <c r="CN27" s="2106">
        <f t="shared" si="39"/>
        <v>0</v>
      </c>
      <c r="CO27" s="2106">
        <f t="shared" si="40"/>
        <v>0</v>
      </c>
      <c r="CP27" s="2106">
        <v>0</v>
      </c>
      <c r="CQ27" s="2106">
        <f t="shared" si="41"/>
        <v>0</v>
      </c>
      <c r="CR27" s="2106">
        <v>0</v>
      </c>
      <c r="CS27" s="2106">
        <f t="shared" si="42"/>
        <v>0</v>
      </c>
      <c r="CT27" s="2106">
        <v>0</v>
      </c>
      <c r="CU27" s="2106">
        <f t="shared" si="43"/>
        <v>0</v>
      </c>
      <c r="CV27" s="2106">
        <v>0</v>
      </c>
      <c r="CW27" s="2106"/>
      <c r="CX27" s="2106">
        <f t="shared" si="44"/>
        <v>0</v>
      </c>
      <c r="CY27" s="2106">
        <f t="shared" si="45"/>
        <v>0</v>
      </c>
      <c r="CZ27" s="2106">
        <v>0</v>
      </c>
      <c r="DA27" s="2106">
        <f t="shared" si="46"/>
        <v>0</v>
      </c>
      <c r="DB27" s="2106">
        <v>0</v>
      </c>
      <c r="DC27" s="2106">
        <v>1.9787999999999999</v>
      </c>
      <c r="DD27" s="2109">
        <f t="shared" si="47"/>
        <v>0</v>
      </c>
      <c r="DE27" s="2106"/>
      <c r="DF27" s="2106"/>
      <c r="DG27" s="2106"/>
      <c r="DH27" s="2106"/>
      <c r="DI27" s="2106"/>
      <c r="DJ27" s="2106">
        <v>0</v>
      </c>
      <c r="DK27" s="2106">
        <f t="shared" si="50"/>
        <v>0</v>
      </c>
      <c r="DL27" s="2106">
        <v>0</v>
      </c>
      <c r="DM27" s="2106">
        <v>1.9787999999999999</v>
      </c>
      <c r="DN27" s="2109">
        <f t="shared" si="51"/>
        <v>0</v>
      </c>
      <c r="DO27" s="2106"/>
      <c r="DP27" s="2106"/>
      <c r="DQ27" s="2106"/>
      <c r="DR27" s="2106"/>
      <c r="DS27" s="2106"/>
      <c r="DT27" s="2106">
        <v>0</v>
      </c>
      <c r="DU27" s="2106">
        <f t="shared" si="54"/>
        <v>0</v>
      </c>
      <c r="DV27" s="2106">
        <v>0</v>
      </c>
      <c r="DW27" s="2106">
        <v>1.9787999999999999</v>
      </c>
      <c r="DX27" s="2109">
        <f t="shared" si="55"/>
        <v>0</v>
      </c>
      <c r="DY27" s="2106"/>
      <c r="DZ27" s="2106"/>
      <c r="EA27" s="2106"/>
      <c r="EB27" s="2106"/>
      <c r="EC27" s="2106"/>
      <c r="ED27" s="2106">
        <f t="shared" si="58"/>
        <v>0</v>
      </c>
      <c r="EE27" s="2107"/>
      <c r="EF27" s="2106">
        <f t="shared" si="59"/>
        <v>0</v>
      </c>
      <c r="EG27" s="2106">
        <f t="shared" si="60"/>
        <v>0</v>
      </c>
      <c r="EH27" s="2106"/>
      <c r="EI27" s="2106">
        <f t="shared" si="61"/>
        <v>0</v>
      </c>
      <c r="EJ27" s="2106"/>
      <c r="EK27" s="2106">
        <f t="shared" si="62"/>
        <v>0</v>
      </c>
      <c r="EL27" s="2106"/>
      <c r="EM27" s="2106"/>
      <c r="EN27" s="2106">
        <f t="shared" si="63"/>
        <v>0</v>
      </c>
      <c r="EO27" s="2104"/>
      <c r="EP27" s="2110"/>
      <c r="ES27" s="2084">
        <f t="shared" si="0"/>
        <v>0</v>
      </c>
      <c r="EU27" s="2084">
        <f t="shared" si="64"/>
        <v>0</v>
      </c>
      <c r="EV27" s="2084">
        <f t="shared" si="65"/>
        <v>0</v>
      </c>
      <c r="EW27" s="2084" t="e">
        <f t="shared" si="66"/>
        <v>#DIV/0!</v>
      </c>
      <c r="FE27" s="2108"/>
      <c r="FF27" s="2108"/>
      <c r="FG27" s="2108"/>
      <c r="FH27" s="2108"/>
      <c r="FI27" s="2108"/>
      <c r="FJ27" s="2108"/>
      <c r="FK27" s="2108"/>
    </row>
    <row r="28" spans="1:167" ht="15" customHeight="1">
      <c r="A28" s="1760">
        <v>13</v>
      </c>
      <c r="B28" s="2111" t="s">
        <v>1663</v>
      </c>
      <c r="C28" s="2098" t="e">
        <v>#N/A</v>
      </c>
      <c r="D28" s="2099" t="e">
        <v>#N/A</v>
      </c>
      <c r="E28" s="2100"/>
      <c r="F28" s="2099">
        <v>0.84999999999999976</v>
      </c>
      <c r="G28" s="2101">
        <v>1320</v>
      </c>
      <c r="H28" s="2102" t="s">
        <v>1649</v>
      </c>
      <c r="I28" s="2103">
        <v>2</v>
      </c>
      <c r="J28" s="2104"/>
      <c r="K28" s="2101"/>
      <c r="L28" s="2101"/>
      <c r="M28" s="2105"/>
      <c r="N28" s="2106">
        <v>0</v>
      </c>
      <c r="O28" s="2106">
        <f t="shared" si="1"/>
        <v>0</v>
      </c>
      <c r="P28" s="2106">
        <v>0</v>
      </c>
      <c r="Q28" s="2106">
        <f t="shared" si="2"/>
        <v>0</v>
      </c>
      <c r="R28" s="2106">
        <v>0</v>
      </c>
      <c r="S28" s="2106">
        <f t="shared" si="3"/>
        <v>0</v>
      </c>
      <c r="T28" s="2106">
        <v>0</v>
      </c>
      <c r="U28" s="2106"/>
      <c r="V28" s="2106">
        <f t="shared" si="4"/>
        <v>0</v>
      </c>
      <c r="W28" s="2106">
        <f>SUM(P28,R28,T28,U28)</f>
        <v>0</v>
      </c>
      <c r="X28" s="2106">
        <v>0</v>
      </c>
      <c r="Y28" s="2106">
        <f t="shared" si="6"/>
        <v>0</v>
      </c>
      <c r="Z28" s="2106">
        <v>0</v>
      </c>
      <c r="AA28" s="2106">
        <f t="shared" si="7"/>
        <v>0</v>
      </c>
      <c r="AB28" s="2106">
        <v>0</v>
      </c>
      <c r="AC28" s="2106">
        <f t="shared" si="8"/>
        <v>0</v>
      </c>
      <c r="AD28" s="2106">
        <v>0</v>
      </c>
      <c r="AE28" s="2106"/>
      <c r="AF28" s="2106">
        <f t="shared" si="9"/>
        <v>0</v>
      </c>
      <c r="AG28" s="2106">
        <f t="shared" si="10"/>
        <v>0</v>
      </c>
      <c r="AH28" s="2106">
        <v>0</v>
      </c>
      <c r="AI28" s="2106">
        <f t="shared" si="11"/>
        <v>0</v>
      </c>
      <c r="AJ28" s="2106">
        <v>0</v>
      </c>
      <c r="AK28" s="2106">
        <f t="shared" si="12"/>
        <v>0</v>
      </c>
      <c r="AL28" s="2106">
        <v>0</v>
      </c>
      <c r="AM28" s="2106">
        <f t="shared" si="13"/>
        <v>0</v>
      </c>
      <c r="AN28" s="2106">
        <v>0</v>
      </c>
      <c r="AO28" s="2106">
        <v>0</v>
      </c>
      <c r="AP28" s="2106">
        <f t="shared" si="14"/>
        <v>0</v>
      </c>
      <c r="AQ28" s="2106">
        <f t="shared" si="15"/>
        <v>0</v>
      </c>
      <c r="AR28" s="2106">
        <v>0</v>
      </c>
      <c r="AS28" s="2106">
        <f t="shared" si="16"/>
        <v>0</v>
      </c>
      <c r="AT28" s="2106">
        <v>0</v>
      </c>
      <c r="AU28" s="2106">
        <f t="shared" si="17"/>
        <v>0</v>
      </c>
      <c r="AV28" s="2106">
        <v>0</v>
      </c>
      <c r="AW28" s="2106">
        <f t="shared" si="18"/>
        <v>0</v>
      </c>
      <c r="AX28" s="2106">
        <v>0</v>
      </c>
      <c r="AY28" s="2106"/>
      <c r="AZ28" s="2106">
        <f t="shared" si="19"/>
        <v>0</v>
      </c>
      <c r="BA28" s="2106">
        <f t="shared" si="20"/>
        <v>0</v>
      </c>
      <c r="BB28" s="2106">
        <v>0</v>
      </c>
      <c r="BC28" s="2106">
        <f t="shared" si="21"/>
        <v>0</v>
      </c>
      <c r="BD28" s="2106">
        <v>0</v>
      </c>
      <c r="BE28" s="2106">
        <f t="shared" si="22"/>
        <v>0</v>
      </c>
      <c r="BF28" s="2106">
        <v>0</v>
      </c>
      <c r="BG28" s="2106">
        <f t="shared" si="23"/>
        <v>0</v>
      </c>
      <c r="BH28" s="2106">
        <v>0</v>
      </c>
      <c r="BI28" s="2106"/>
      <c r="BJ28" s="2106">
        <f t="shared" si="24"/>
        <v>0</v>
      </c>
      <c r="BK28" s="2106">
        <f t="shared" si="25"/>
        <v>0</v>
      </c>
      <c r="BL28" s="2106">
        <v>0</v>
      </c>
      <c r="BM28" s="2106">
        <f t="shared" si="26"/>
        <v>0</v>
      </c>
      <c r="BN28" s="2106">
        <v>0</v>
      </c>
      <c r="BO28" s="2106">
        <f t="shared" si="27"/>
        <v>0</v>
      </c>
      <c r="BP28" s="2106">
        <v>0</v>
      </c>
      <c r="BQ28" s="2106">
        <f t="shared" si="28"/>
        <v>0</v>
      </c>
      <c r="BR28" s="2106">
        <v>0</v>
      </c>
      <c r="BS28" s="2106"/>
      <c r="BT28" s="2106">
        <f t="shared" si="29"/>
        <v>0</v>
      </c>
      <c r="BU28" s="2106">
        <f t="shared" si="30"/>
        <v>0</v>
      </c>
      <c r="BV28" s="2106">
        <v>0</v>
      </c>
      <c r="BW28" s="2106">
        <f t="shared" si="31"/>
        <v>0</v>
      </c>
      <c r="BX28" s="2106">
        <v>0</v>
      </c>
      <c r="BY28" s="2106">
        <f t="shared" si="32"/>
        <v>0</v>
      </c>
      <c r="BZ28" s="2106">
        <v>0</v>
      </c>
      <c r="CA28" s="2106">
        <f t="shared" si="33"/>
        <v>0</v>
      </c>
      <c r="CB28" s="2106">
        <v>0</v>
      </c>
      <c r="CC28" s="2106"/>
      <c r="CD28" s="2106">
        <f t="shared" si="34"/>
        <v>0</v>
      </c>
      <c r="CE28" s="2106">
        <f t="shared" si="35"/>
        <v>0</v>
      </c>
      <c r="CF28" s="2106">
        <v>0</v>
      </c>
      <c r="CG28" s="2106">
        <f t="shared" si="36"/>
        <v>0</v>
      </c>
      <c r="CH28" s="2106">
        <v>0</v>
      </c>
      <c r="CI28" s="2106">
        <f t="shared" si="37"/>
        <v>0</v>
      </c>
      <c r="CJ28" s="2106">
        <v>0</v>
      </c>
      <c r="CK28" s="2106">
        <f t="shared" si="38"/>
        <v>0</v>
      </c>
      <c r="CL28" s="2106">
        <v>0</v>
      </c>
      <c r="CM28" s="2106"/>
      <c r="CN28" s="2106">
        <f t="shared" si="39"/>
        <v>0</v>
      </c>
      <c r="CO28" s="2106">
        <f t="shared" si="40"/>
        <v>0</v>
      </c>
      <c r="CP28" s="2106">
        <v>0</v>
      </c>
      <c r="CQ28" s="2106">
        <f t="shared" si="41"/>
        <v>0</v>
      </c>
      <c r="CR28" s="2106">
        <v>0</v>
      </c>
      <c r="CS28" s="2106">
        <f t="shared" si="42"/>
        <v>0</v>
      </c>
      <c r="CT28" s="2106">
        <v>0</v>
      </c>
      <c r="CU28" s="2106">
        <f t="shared" si="43"/>
        <v>0</v>
      </c>
      <c r="CV28" s="2106">
        <v>0</v>
      </c>
      <c r="CW28" s="2106"/>
      <c r="CX28" s="2106">
        <f t="shared" si="44"/>
        <v>0</v>
      </c>
      <c r="CY28" s="2106">
        <f t="shared" si="45"/>
        <v>0</v>
      </c>
      <c r="CZ28" s="2106">
        <v>0</v>
      </c>
      <c r="DA28" s="2106">
        <f t="shared" si="46"/>
        <v>0</v>
      </c>
      <c r="DB28" s="2106">
        <v>0</v>
      </c>
      <c r="DC28" s="2106">
        <v>2.7336</v>
      </c>
      <c r="DD28" s="2109">
        <f t="shared" si="47"/>
        <v>0</v>
      </c>
      <c r="DE28" s="2106"/>
      <c r="DF28" s="2106"/>
      <c r="DG28" s="2106"/>
      <c r="DH28" s="2106"/>
      <c r="DI28" s="2106"/>
      <c r="DJ28" s="2106">
        <v>0</v>
      </c>
      <c r="DK28" s="2106">
        <f t="shared" si="50"/>
        <v>0</v>
      </c>
      <c r="DL28" s="2106">
        <v>0</v>
      </c>
      <c r="DM28" s="2106">
        <v>2.7336</v>
      </c>
      <c r="DN28" s="2109">
        <f t="shared" si="51"/>
        <v>0</v>
      </c>
      <c r="DO28" s="2106"/>
      <c r="DP28" s="2106"/>
      <c r="DQ28" s="2106"/>
      <c r="DR28" s="2106"/>
      <c r="DS28" s="2106"/>
      <c r="DT28" s="2106">
        <v>0</v>
      </c>
      <c r="DU28" s="2106">
        <f t="shared" si="54"/>
        <v>0</v>
      </c>
      <c r="DV28" s="2106">
        <v>0</v>
      </c>
      <c r="DW28" s="2106">
        <v>2.7336</v>
      </c>
      <c r="DX28" s="2109">
        <f t="shared" si="55"/>
        <v>0</v>
      </c>
      <c r="DY28" s="2106"/>
      <c r="DZ28" s="2106"/>
      <c r="EA28" s="2106"/>
      <c r="EB28" s="2106"/>
      <c r="EC28" s="2106"/>
      <c r="ED28" s="2106">
        <f t="shared" si="58"/>
        <v>0</v>
      </c>
      <c r="EE28" s="2107"/>
      <c r="EF28" s="2106">
        <f t="shared" si="59"/>
        <v>0</v>
      </c>
      <c r="EG28" s="2106">
        <f t="shared" si="60"/>
        <v>0</v>
      </c>
      <c r="EH28" s="2106"/>
      <c r="EI28" s="2106">
        <f t="shared" si="61"/>
        <v>0</v>
      </c>
      <c r="EJ28" s="2106"/>
      <c r="EK28" s="2106">
        <f t="shared" si="62"/>
        <v>0</v>
      </c>
      <c r="EL28" s="2106"/>
      <c r="EM28" s="2106"/>
      <c r="EN28" s="2106">
        <f t="shared" si="63"/>
        <v>0</v>
      </c>
      <c r="EO28" s="2104"/>
      <c r="EP28" s="2110"/>
      <c r="ES28" s="2084">
        <f t="shared" si="0"/>
        <v>0</v>
      </c>
      <c r="EU28" s="2084">
        <f t="shared" si="64"/>
        <v>0</v>
      </c>
      <c r="EV28" s="2084">
        <f t="shared" si="65"/>
        <v>0</v>
      </c>
      <c r="EW28" s="2084" t="e">
        <f t="shared" si="66"/>
        <v>#DIV/0!</v>
      </c>
      <c r="FE28" s="2108"/>
      <c r="FF28" s="2108"/>
      <c r="FG28" s="2108"/>
      <c r="FH28" s="2108"/>
      <c r="FI28" s="2108"/>
      <c r="FJ28" s="2108"/>
      <c r="FK28" s="2108"/>
    </row>
    <row r="29" spans="1:167" ht="15" customHeight="1">
      <c r="A29" s="1760"/>
      <c r="B29" s="1774" t="s">
        <v>1664</v>
      </c>
      <c r="C29" s="2098"/>
      <c r="D29" s="2099"/>
      <c r="E29" s="2100"/>
      <c r="F29" s="2099"/>
      <c r="G29" s="2101"/>
      <c r="H29" s="2102"/>
      <c r="I29" s="2103"/>
      <c r="J29" s="2104"/>
      <c r="K29" s="2101"/>
      <c r="L29" s="2101"/>
      <c r="M29" s="2105"/>
      <c r="N29" s="2106">
        <v>0</v>
      </c>
      <c r="O29" s="2106">
        <f t="shared" si="1"/>
        <v>0</v>
      </c>
      <c r="P29" s="2106">
        <v>0</v>
      </c>
      <c r="Q29" s="2106">
        <f t="shared" si="2"/>
        <v>0</v>
      </c>
      <c r="R29" s="2106">
        <v>0</v>
      </c>
      <c r="S29" s="2106">
        <f t="shared" si="3"/>
        <v>0</v>
      </c>
      <c r="T29" s="2106">
        <v>0</v>
      </c>
      <c r="U29" s="2106"/>
      <c r="V29" s="2106">
        <f t="shared" si="4"/>
        <v>0</v>
      </c>
      <c r="W29" s="2106">
        <f>SUM(P29,R29,T29,U29)</f>
        <v>0</v>
      </c>
      <c r="X29" s="2106">
        <v>0</v>
      </c>
      <c r="Y29" s="2106">
        <f t="shared" si="6"/>
        <v>0</v>
      </c>
      <c r="Z29" s="2106">
        <v>0</v>
      </c>
      <c r="AA29" s="2106">
        <f t="shared" si="7"/>
        <v>0</v>
      </c>
      <c r="AB29" s="2106">
        <v>0</v>
      </c>
      <c r="AC29" s="2106">
        <f t="shared" si="8"/>
        <v>0</v>
      </c>
      <c r="AD29" s="2106">
        <v>0</v>
      </c>
      <c r="AE29" s="2106"/>
      <c r="AF29" s="2106">
        <f t="shared" si="9"/>
        <v>0</v>
      </c>
      <c r="AG29" s="2106">
        <f t="shared" si="10"/>
        <v>0</v>
      </c>
      <c r="AH29" s="2106">
        <v>0</v>
      </c>
      <c r="AI29" s="2106">
        <f t="shared" si="11"/>
        <v>0</v>
      </c>
      <c r="AJ29" s="2106">
        <v>0</v>
      </c>
      <c r="AK29" s="2106">
        <f t="shared" si="12"/>
        <v>0</v>
      </c>
      <c r="AL29" s="2106">
        <v>0</v>
      </c>
      <c r="AM29" s="2106">
        <f t="shared" si="13"/>
        <v>0</v>
      </c>
      <c r="AN29" s="2106">
        <v>0</v>
      </c>
      <c r="AO29" s="2106">
        <v>0</v>
      </c>
      <c r="AP29" s="2106">
        <f t="shared" si="14"/>
        <v>0</v>
      </c>
      <c r="AQ29" s="2106">
        <f t="shared" si="15"/>
        <v>0</v>
      </c>
      <c r="AR29" s="2106">
        <v>0</v>
      </c>
      <c r="AS29" s="2106">
        <f t="shared" si="16"/>
        <v>0</v>
      </c>
      <c r="AT29" s="2106">
        <v>0</v>
      </c>
      <c r="AU29" s="2106">
        <f t="shared" si="17"/>
        <v>0</v>
      </c>
      <c r="AV29" s="2106">
        <v>0</v>
      </c>
      <c r="AW29" s="2106">
        <f t="shared" si="18"/>
        <v>0</v>
      </c>
      <c r="AX29" s="2106">
        <v>0</v>
      </c>
      <c r="AY29" s="2106"/>
      <c r="AZ29" s="2106">
        <f t="shared" si="19"/>
        <v>0</v>
      </c>
      <c r="BA29" s="2106">
        <f t="shared" si="20"/>
        <v>0</v>
      </c>
      <c r="BB29" s="2106">
        <v>0</v>
      </c>
      <c r="BC29" s="2106">
        <f t="shared" si="21"/>
        <v>0</v>
      </c>
      <c r="BD29" s="2106">
        <v>0</v>
      </c>
      <c r="BE29" s="2106">
        <f t="shared" si="22"/>
        <v>0</v>
      </c>
      <c r="BF29" s="2106">
        <v>0</v>
      </c>
      <c r="BG29" s="2106">
        <f t="shared" si="23"/>
        <v>0</v>
      </c>
      <c r="BH29" s="2106">
        <v>129.6200068</v>
      </c>
      <c r="BI29" s="2106"/>
      <c r="BJ29" s="2106">
        <f t="shared" si="24"/>
        <v>0</v>
      </c>
      <c r="BK29" s="2106">
        <f t="shared" si="25"/>
        <v>129.6200068</v>
      </c>
      <c r="BL29" s="2106">
        <v>0</v>
      </c>
      <c r="BM29" s="2106">
        <f t="shared" si="26"/>
        <v>0</v>
      </c>
      <c r="BN29" s="2106">
        <v>0</v>
      </c>
      <c r="BO29" s="2106">
        <f t="shared" si="27"/>
        <v>0</v>
      </c>
      <c r="BP29" s="2106">
        <v>0</v>
      </c>
      <c r="BQ29" s="2106">
        <f t="shared" si="28"/>
        <v>0</v>
      </c>
      <c r="BR29" s="2106">
        <v>-40.827144699999998</v>
      </c>
      <c r="BS29" s="2106"/>
      <c r="BT29" s="2106">
        <f t="shared" si="29"/>
        <v>0</v>
      </c>
      <c r="BU29" s="2106">
        <f t="shared" si="30"/>
        <v>-40.827144699999998</v>
      </c>
      <c r="BV29" s="2106">
        <v>0</v>
      </c>
      <c r="BW29" s="2106">
        <f t="shared" si="31"/>
        <v>0</v>
      </c>
      <c r="BX29" s="2106">
        <v>0</v>
      </c>
      <c r="BY29" s="2106">
        <f t="shared" si="32"/>
        <v>0</v>
      </c>
      <c r="BZ29" s="2106">
        <v>0</v>
      </c>
      <c r="CA29" s="2106">
        <f t="shared" si="33"/>
        <v>0</v>
      </c>
      <c r="CB29" s="2106">
        <v>0</v>
      </c>
      <c r="CC29" s="2106"/>
      <c r="CD29" s="2106">
        <f t="shared" si="34"/>
        <v>0</v>
      </c>
      <c r="CE29" s="2106">
        <f t="shared" si="35"/>
        <v>0</v>
      </c>
      <c r="CF29" s="2106">
        <v>0</v>
      </c>
      <c r="CG29" s="2106">
        <f t="shared" si="36"/>
        <v>0</v>
      </c>
      <c r="CH29" s="2106">
        <v>0</v>
      </c>
      <c r="CI29" s="2106">
        <f t="shared" si="37"/>
        <v>0</v>
      </c>
      <c r="CJ29" s="2106">
        <v>0</v>
      </c>
      <c r="CK29" s="2106">
        <f t="shared" si="38"/>
        <v>0</v>
      </c>
      <c r="CL29" s="2106">
        <v>0</v>
      </c>
      <c r="CM29" s="2106"/>
      <c r="CN29" s="2106">
        <f t="shared" si="39"/>
        <v>0</v>
      </c>
      <c r="CO29" s="2106">
        <f t="shared" si="40"/>
        <v>0</v>
      </c>
      <c r="CP29" s="2106">
        <v>0</v>
      </c>
      <c r="CQ29" s="2106">
        <f t="shared" si="41"/>
        <v>0</v>
      </c>
      <c r="CR29" s="2106">
        <v>0</v>
      </c>
      <c r="CS29" s="2106">
        <f t="shared" si="42"/>
        <v>0</v>
      </c>
      <c r="CT29" s="2106">
        <v>0</v>
      </c>
      <c r="CU29" s="2106">
        <f t="shared" si="43"/>
        <v>0</v>
      </c>
      <c r="CV29" s="2106">
        <v>0</v>
      </c>
      <c r="CW29" s="2106"/>
      <c r="CX29" s="2106">
        <f t="shared" si="44"/>
        <v>0</v>
      </c>
      <c r="CY29" s="2106">
        <f t="shared" si="45"/>
        <v>0</v>
      </c>
      <c r="CZ29" s="2106">
        <v>0</v>
      </c>
      <c r="DA29" s="2106">
        <f t="shared" si="46"/>
        <v>0</v>
      </c>
      <c r="DB29" s="2106">
        <v>0</v>
      </c>
      <c r="DC29" s="2106">
        <v>0</v>
      </c>
      <c r="DD29" s="2109">
        <f t="shared" si="47"/>
        <v>0</v>
      </c>
      <c r="DE29" s="2106"/>
      <c r="DF29" s="2106"/>
      <c r="DG29" s="2106"/>
      <c r="DH29" s="2106"/>
      <c r="DI29" s="2106"/>
      <c r="DJ29" s="2106">
        <v>0</v>
      </c>
      <c r="DK29" s="2106">
        <f t="shared" si="50"/>
        <v>0</v>
      </c>
      <c r="DL29" s="2106">
        <v>0</v>
      </c>
      <c r="DM29" s="2106">
        <v>0</v>
      </c>
      <c r="DN29" s="2109">
        <f t="shared" si="51"/>
        <v>0</v>
      </c>
      <c r="DO29" s="2106"/>
      <c r="DP29" s="2106"/>
      <c r="DQ29" s="2106"/>
      <c r="DR29" s="2106"/>
      <c r="DS29" s="2106"/>
      <c r="DT29" s="2106">
        <v>0</v>
      </c>
      <c r="DU29" s="2106">
        <f t="shared" si="54"/>
        <v>0</v>
      </c>
      <c r="DV29" s="2106">
        <v>0</v>
      </c>
      <c r="DW29" s="2106">
        <v>0</v>
      </c>
      <c r="DX29" s="2109">
        <f t="shared" si="55"/>
        <v>0</v>
      </c>
      <c r="DY29" s="2106"/>
      <c r="DZ29" s="2106"/>
      <c r="EA29" s="2106"/>
      <c r="EB29" s="2106"/>
      <c r="EC29" s="2106"/>
      <c r="ED29" s="2106">
        <f t="shared" si="58"/>
        <v>0</v>
      </c>
      <c r="EE29" s="2107"/>
      <c r="EF29" s="2106">
        <f t="shared" si="59"/>
        <v>0</v>
      </c>
      <c r="EG29" s="2106">
        <f t="shared" si="60"/>
        <v>0</v>
      </c>
      <c r="EH29" s="2106">
        <f>IFERROR(EI29/ED29*10,0)</f>
        <v>0</v>
      </c>
      <c r="EI29" s="2106">
        <f t="shared" si="61"/>
        <v>0</v>
      </c>
      <c r="EJ29" s="2106"/>
      <c r="EK29" s="2106">
        <f t="shared" si="62"/>
        <v>88.792862100000008</v>
      </c>
      <c r="EL29" s="2106"/>
      <c r="EM29" s="2106"/>
      <c r="EN29" s="2106">
        <f t="shared" si="63"/>
        <v>88.792862100000008</v>
      </c>
      <c r="EO29" s="2104">
        <f>IFERROR(EN29/ED29*10,0)</f>
        <v>0</v>
      </c>
      <c r="EP29" s="2110"/>
      <c r="ES29" s="2084">
        <f t="shared" si="0"/>
        <v>0</v>
      </c>
      <c r="EU29" s="2084">
        <f t="shared" si="64"/>
        <v>0</v>
      </c>
      <c r="EV29" s="2084">
        <f t="shared" si="65"/>
        <v>0</v>
      </c>
      <c r="EW29" s="2084" t="e">
        <f t="shared" si="66"/>
        <v>#DIV/0!</v>
      </c>
      <c r="FE29" s="2108"/>
      <c r="FF29" s="2108"/>
      <c r="FG29" s="2108"/>
      <c r="FH29" s="2108"/>
      <c r="FI29" s="2108"/>
      <c r="FJ29" s="2108"/>
      <c r="FK29" s="2108"/>
    </row>
    <row r="30" spans="1:167" ht="15" customHeight="1">
      <c r="A30" s="1783"/>
      <c r="B30" s="1784" t="s">
        <v>211</v>
      </c>
      <c r="C30" s="2112" t="e">
        <f>SUM(C14:C28)</f>
        <v>#N/A</v>
      </c>
      <c r="D30" s="2113"/>
      <c r="E30" s="2114"/>
      <c r="F30" s="2113"/>
      <c r="G30" s="2106">
        <f>SUM(G14:G28)</f>
        <v>9757</v>
      </c>
      <c r="H30" s="2115"/>
      <c r="I30" s="2103"/>
      <c r="J30" s="2101"/>
      <c r="K30" s="2101"/>
      <c r="L30" s="2101"/>
      <c r="M30" s="2105"/>
      <c r="N30" s="2107">
        <f>SUM(N14:N29)</f>
        <v>2176.9454679999999</v>
      </c>
      <c r="O30" s="2106">
        <f>IFERROR(P30/N30*10,0)</f>
        <v>1.0622456088091592</v>
      </c>
      <c r="P30" s="2107">
        <f>SUM(P14:P29)</f>
        <v>231.24507639999999</v>
      </c>
      <c r="Q30" s="2106"/>
      <c r="R30" s="2107">
        <f>SUM(R14:R29)</f>
        <v>506.89542040000003</v>
      </c>
      <c r="S30" s="2106">
        <f>IFERROR(T30/N30*10,0)</f>
        <v>0</v>
      </c>
      <c r="T30" s="2107">
        <f>SUM(T14:T29)</f>
        <v>0</v>
      </c>
      <c r="U30" s="2107"/>
      <c r="V30" s="2107">
        <f t="shared" si="4"/>
        <v>3.3907165229919305</v>
      </c>
      <c r="W30" s="2107">
        <f>SUM(W14:W29)</f>
        <v>738.14049680000005</v>
      </c>
      <c r="X30" s="2107">
        <f>SUM(X14:X29)</f>
        <v>1942.3617169999998</v>
      </c>
      <c r="Y30" s="2107">
        <f>IFERROR(Z30/X30*10,0)</f>
        <v>1.1841585163408574</v>
      </c>
      <c r="Z30" s="2107">
        <f>SUM(Z14:Z29)</f>
        <v>230.0064169</v>
      </c>
      <c r="AA30" s="2107">
        <f>IFERROR(AB30/X30*10,0)</f>
        <v>2.1670580264015782</v>
      </c>
      <c r="AB30" s="2107">
        <f>SUM(AB14:AB29)</f>
        <v>420.9210549</v>
      </c>
      <c r="AC30" s="2106">
        <f>IFERROR(AD30/X30*10,0)</f>
        <v>0</v>
      </c>
      <c r="AD30" s="2107">
        <f>SUM(AD14:AD29)</f>
        <v>0</v>
      </c>
      <c r="AE30" s="2107"/>
      <c r="AF30" s="2107">
        <f>IFERROR(AG30/X30*10,0)</f>
        <v>3.351216542742435</v>
      </c>
      <c r="AG30" s="2107">
        <f>SUM(AG14:AG29)</f>
        <v>650.92747179999992</v>
      </c>
      <c r="AH30" s="2107">
        <f>SUM(AH14:AH29)</f>
        <v>1866.2610110000001</v>
      </c>
      <c r="AI30" s="2106">
        <f>IFERROR(AJ30/AH30*10,0)</f>
        <v>1.2182527163131096</v>
      </c>
      <c r="AJ30" s="2107">
        <f>SUM(AJ14:AJ29)</f>
        <v>227.35775460000002</v>
      </c>
      <c r="AK30" s="2106">
        <f>IFERROR(AL30/AH30*10,0)</f>
        <v>2.3647454616411103</v>
      </c>
      <c r="AL30" s="2107">
        <f>SUM(AL14:AL29)</f>
        <v>441.32322560000006</v>
      </c>
      <c r="AM30" s="2106">
        <f>IFERROR(AN30/AH30*10,0)</f>
        <v>0</v>
      </c>
      <c r="AN30" s="2107">
        <f>SUM(AN14:AN29)</f>
        <v>0</v>
      </c>
      <c r="AO30" s="2107">
        <f>SUM(AO14:AO29)</f>
        <v>0</v>
      </c>
      <c r="AP30" s="2107">
        <f>IFERROR(AQ30/AH30*10,0)</f>
        <v>3.5829981779542197</v>
      </c>
      <c r="AQ30" s="2107">
        <f>SUM(AQ14:AQ29)</f>
        <v>668.68098020000002</v>
      </c>
      <c r="AR30" s="2107">
        <f>SUM(AR14:AR29)</f>
        <v>2044.1535979999999</v>
      </c>
      <c r="AS30" s="2106">
        <f>IFERROR(AT30/AR30*10,0)</f>
        <v>1.161629579266088</v>
      </c>
      <c r="AT30" s="2107">
        <f>SUM(AT14:AT29)</f>
        <v>237.45492839999997</v>
      </c>
      <c r="AU30" s="2106">
        <f>IFERROR(AV30/AR30*10,0)</f>
        <v>2.4375227756246134</v>
      </c>
      <c r="AV30" s="2107">
        <f>SUM(AV14:AV29)</f>
        <v>498.26709519999997</v>
      </c>
      <c r="AW30" s="2106">
        <f>IFERROR(AX30/AR30*10,0)</f>
        <v>5.1634084690733695E-5</v>
      </c>
      <c r="AX30" s="2107">
        <f>SUM(AX14:AX29)</f>
        <v>1.05548E-2</v>
      </c>
      <c r="AY30" s="2107"/>
      <c r="AZ30" s="2107">
        <f>IFERROR(BA30/AR30*10,0)</f>
        <v>3.599203988975392</v>
      </c>
      <c r="BA30" s="2107">
        <f>SUM(BA14:BA29)</f>
        <v>735.73257839999997</v>
      </c>
      <c r="BB30" s="2107">
        <f>SUM(BB14:BB29)</f>
        <v>2112.8607039999997</v>
      </c>
      <c r="BC30" s="2106">
        <f>IFERROR(BD30/BB30*10,0)</f>
        <v>1.1760025283711275</v>
      </c>
      <c r="BD30" s="2107">
        <f>SUM(BD14:BD29)</f>
        <v>248.47295300000002</v>
      </c>
      <c r="BE30" s="2106">
        <f>IFERROR(BF30/BB30*10,0)</f>
        <v>2.4930337863863272</v>
      </c>
      <c r="BF30" s="2107">
        <f>SUM(BF14:BF29)</f>
        <v>526.74331210000003</v>
      </c>
      <c r="BG30" s="2106">
        <f>IFERROR(BH30/BB30*10,0)</f>
        <v>0.61348108067232066</v>
      </c>
      <c r="BH30" s="2107">
        <f>SUM(BH14:BH29)</f>
        <v>129.6200068</v>
      </c>
      <c r="BI30" s="2107"/>
      <c r="BJ30" s="2107">
        <f>IFERROR(BK30/BB30*10,0)</f>
        <v>4.2825173954297746</v>
      </c>
      <c r="BK30" s="2107">
        <f>SUM(BK14:BK29)</f>
        <v>904.83627189999993</v>
      </c>
      <c r="BL30" s="2107">
        <f>SUM(BL14:BL29)</f>
        <v>2168.6352830000001</v>
      </c>
      <c r="BM30" s="2106">
        <f>IFERROR(BN30/BL30*10,0)</f>
        <v>1.1681052733291715</v>
      </c>
      <c r="BN30" s="2107">
        <f>SUM(BN14:BN29)</f>
        <v>253.31943100000001</v>
      </c>
      <c r="BO30" s="2106">
        <f>IFERROR(BP30/BL30*10,0)</f>
        <v>2.3956586719427637</v>
      </c>
      <c r="BP30" s="2107">
        <f>SUM(BP14:BP29)</f>
        <v>519.53099220000001</v>
      </c>
      <c r="BQ30" s="2106">
        <f>IFERROR(BR30/BL30*10,0)</f>
        <v>-0.19947396659597738</v>
      </c>
      <c r="BR30" s="2107">
        <f>SUM(BR14:BR29)</f>
        <v>-43.258628199999997</v>
      </c>
      <c r="BS30" s="2107"/>
      <c r="BT30" s="2107">
        <f>IFERROR(BU30/BL30*10,0)</f>
        <v>3.3642899786759579</v>
      </c>
      <c r="BU30" s="2107">
        <f>SUM(BU14:BU29)</f>
        <v>729.59179500000005</v>
      </c>
      <c r="BV30" s="2107">
        <f>SUM(BV14:BV29)</f>
        <v>1906.2637709999999</v>
      </c>
      <c r="BW30" s="2106">
        <f>IFERROR(BX30/BV30*10,0)</f>
        <v>1.4485337978969541</v>
      </c>
      <c r="BX30" s="2107">
        <f>SUM(BX14:BX29)</f>
        <v>276.12874999999997</v>
      </c>
      <c r="BY30" s="2106">
        <f>IFERROR(BZ30/BV30*10,0)</f>
        <v>2.0490970774474211</v>
      </c>
      <c r="BZ30" s="2107">
        <f>SUM(BZ14:BZ29)</f>
        <v>390.61195220000002</v>
      </c>
      <c r="CA30" s="2106">
        <f>IFERROR(CB30/BV30*10,0)</f>
        <v>0</v>
      </c>
      <c r="CB30" s="2107">
        <f>SUM(CB14:CB29)</f>
        <v>0</v>
      </c>
      <c r="CC30" s="2107"/>
      <c r="CD30" s="2107">
        <f>IFERROR(CE30/BV30*10,0)</f>
        <v>3.4976308753443766</v>
      </c>
      <c r="CE30" s="2107">
        <f>SUM(CE14:CE29)</f>
        <v>666.7407022000001</v>
      </c>
      <c r="CF30" s="2107">
        <f>SUM(CF14:CF29)</f>
        <v>1736.2709330000002</v>
      </c>
      <c r="CG30" s="2106">
        <f>IFERROR(CH30/CF30*10,0)</f>
        <v>1.7662242964013264</v>
      </c>
      <c r="CH30" s="2107">
        <f>SUM(CH14:CH29)</f>
        <v>306.66439070000001</v>
      </c>
      <c r="CI30" s="2106">
        <f>IFERROR(CJ30/CF30*10,0)</f>
        <v>1.8436251555908525</v>
      </c>
      <c r="CJ30" s="2107">
        <f>SUM(CJ14:CJ29)</f>
        <v>320.10327690000003</v>
      </c>
      <c r="CK30" s="2106">
        <f>IFERROR(CL30/CF30*10,0)</f>
        <v>0</v>
      </c>
      <c r="CL30" s="2107">
        <f>SUM(CL14:CL29)</f>
        <v>0</v>
      </c>
      <c r="CM30" s="2107"/>
      <c r="CN30" s="2107">
        <f>IFERROR(CO30/CF30*10,0)</f>
        <v>3.6098494519921784</v>
      </c>
      <c r="CO30" s="2107">
        <f>SUM(CO14:CO29)</f>
        <v>626.76766759999998</v>
      </c>
      <c r="CP30" s="2107">
        <f>SUM(CP14:CP29)</f>
        <v>1996.9670679999999</v>
      </c>
      <c r="CQ30" s="2106">
        <f t="shared" si="41"/>
        <v>1.5202973211974875</v>
      </c>
      <c r="CR30" s="2107">
        <f>SUM(CR14:CR29)</f>
        <v>303.59836840000003</v>
      </c>
      <c r="CS30" s="2106">
        <f>IFERROR(CT30/CP30*10,0)</f>
        <v>2.0319509780719129</v>
      </c>
      <c r="CT30" s="2107">
        <f>SUM(CT14:CT29)</f>
        <v>405.77391870000002</v>
      </c>
      <c r="CU30" s="2106">
        <f>IFERROR(CV30/CP30*10,0)</f>
        <v>0</v>
      </c>
      <c r="CV30" s="2107">
        <f>SUM(CV14:CV29)</f>
        <v>0</v>
      </c>
      <c r="CW30" s="2107"/>
      <c r="CX30" s="2107">
        <f>IFERROR(CY30/CP30*10,0)</f>
        <v>3.5522482992693991</v>
      </c>
      <c r="CY30" s="2107">
        <f>SUM(CY14:CY29)</f>
        <v>709.37228709999988</v>
      </c>
      <c r="CZ30" s="2107">
        <f>SUM(CZ14:CZ29)</f>
        <v>2003.4411102666663</v>
      </c>
      <c r="DA30" s="2106">
        <f t="shared" si="46"/>
        <v>1.6459124181087561</v>
      </c>
      <c r="DB30" s="2107">
        <f>SUM(DB14:DB29)</f>
        <v>329.74886023375001</v>
      </c>
      <c r="DC30" s="2106">
        <f>IFERROR(DD30/CZ30*10,0)</f>
        <v>2.2475363872499168</v>
      </c>
      <c r="DD30" s="2107">
        <f>SUM(DD14:DD29)</f>
        <v>450.28067950367051</v>
      </c>
      <c r="DE30" s="2106">
        <f>IFERROR(DF30/CZ30*10,0)</f>
        <v>0</v>
      </c>
      <c r="DF30" s="2107">
        <f>SUM(DF14:DF29)</f>
        <v>0</v>
      </c>
      <c r="DG30" s="2107"/>
      <c r="DH30" s="2107">
        <f>IFERROR(DI30/CZ30*10,0)</f>
        <v>2.8672290745444533</v>
      </c>
      <c r="DI30" s="2107">
        <f>SUM(DI14:DI29)</f>
        <v>574.43246004942057</v>
      </c>
      <c r="DJ30" s="2107">
        <f>SUM(DJ14:DJ29)</f>
        <v>2519.3712553525284</v>
      </c>
      <c r="DK30" s="2106">
        <f t="shared" si="50"/>
        <v>1.3088537845828887</v>
      </c>
      <c r="DL30" s="2107">
        <f>SUM(DL14:DL29)</f>
        <v>329.74886023375001</v>
      </c>
      <c r="DM30" s="2106">
        <f>IFERROR(DN30/DJ30*10,0)</f>
        <v>2.5498129129314897</v>
      </c>
      <c r="DN30" s="2107">
        <f>SUM(DN14:DN29)</f>
        <v>642.39253593662932</v>
      </c>
      <c r="DO30" s="2106">
        <f>IFERROR(DP30/DJ30*10,0)</f>
        <v>0</v>
      </c>
      <c r="DP30" s="2107">
        <f>SUM(DP14:DP29)</f>
        <v>0</v>
      </c>
      <c r="DQ30" s="2107"/>
      <c r="DR30" s="2107">
        <f>IFERROR(DS30/DJ30*10,0)</f>
        <v>3.0919229810668787</v>
      </c>
      <c r="DS30" s="2107">
        <f>SUM(DS14:DS29)</f>
        <v>778.97018822637938</v>
      </c>
      <c r="DT30" s="2107">
        <f>SUM(DT14:DT29)</f>
        <v>2777.9070820499996</v>
      </c>
      <c r="DU30" s="2106">
        <f t="shared" si="54"/>
        <v>1.1870406406480907</v>
      </c>
      <c r="DV30" s="2107">
        <f>SUM(DV14:DV29)</f>
        <v>329.74886023375001</v>
      </c>
      <c r="DW30" s="2106">
        <f>IFERROR(DX30/DT30*10,0)</f>
        <v>2.6025895714702556</v>
      </c>
      <c r="DX30" s="2107">
        <f>SUM(DX14:DX29)</f>
        <v>722.97520022566971</v>
      </c>
      <c r="DY30" s="2106">
        <f>IFERROR(DZ30/DT30*10,0)</f>
        <v>0</v>
      </c>
      <c r="DZ30" s="2107">
        <f>SUM(DZ14:DZ29)</f>
        <v>0</v>
      </c>
      <c r="EA30" s="2107"/>
      <c r="EB30" s="2107">
        <f>IFERROR(EC30/DT30*10,0)</f>
        <v>3.0495151772544866</v>
      </c>
      <c r="EC30" s="2107">
        <f>SUM(EC14:EC29)</f>
        <v>847.12698077141977</v>
      </c>
      <c r="ED30" s="2107">
        <f>SUM(ED14:ED29)</f>
        <v>25251.439000669194</v>
      </c>
      <c r="EE30" s="2107"/>
      <c r="EF30" s="2106"/>
      <c r="EG30" s="2107">
        <f>SUM(EG14:EG29)</f>
        <v>3303.49465010125</v>
      </c>
      <c r="EH30" s="2106"/>
      <c r="EI30" s="2107">
        <f>SUM(EI14:EI29)</f>
        <v>5845.8186638659699</v>
      </c>
      <c r="EJ30" s="2106"/>
      <c r="EK30" s="2107">
        <f>SUM(EK14:EK29)</f>
        <v>86.371933400000003</v>
      </c>
      <c r="EL30" s="2106"/>
      <c r="EM30" s="2106"/>
      <c r="EN30" s="2107">
        <f>SUM(EN14:EN29)</f>
        <v>9235.6852473672207</v>
      </c>
      <c r="EO30" s="2104">
        <f>IFERROR(EN30/ED30*10,0)</f>
        <v>3.6574886869308569</v>
      </c>
      <c r="EP30" s="2110"/>
      <c r="ES30" s="2084">
        <f t="shared" si="0"/>
        <v>0</v>
      </c>
      <c r="EU30" s="2084">
        <f t="shared" si="64"/>
        <v>4030.1702482000001</v>
      </c>
      <c r="EV30" s="2084">
        <f t="shared" si="65"/>
        <v>17950.719552999999</v>
      </c>
      <c r="EW30" s="2084">
        <f t="shared" si="66"/>
        <v>2.245130194531094</v>
      </c>
      <c r="FE30" s="2108"/>
      <c r="FF30" s="2108"/>
      <c r="FG30" s="2108"/>
      <c r="FH30" s="2108"/>
      <c r="FI30" s="2108"/>
      <c r="FJ30" s="2108"/>
      <c r="FK30" s="2108"/>
    </row>
    <row r="31" spans="1:167">
      <c r="A31" s="1760"/>
      <c r="B31" s="1761"/>
      <c r="C31" s="2116"/>
      <c r="D31" s="2117"/>
      <c r="E31" s="2118"/>
      <c r="F31" s="2117"/>
      <c r="G31" s="1774"/>
      <c r="H31" s="2102"/>
      <c r="I31" s="2119"/>
      <c r="J31" s="2104"/>
      <c r="K31" s="2101"/>
      <c r="L31" s="2101"/>
      <c r="M31" s="2105"/>
      <c r="N31" s="2120"/>
      <c r="O31" s="2106"/>
      <c r="P31" s="2120"/>
      <c r="Q31" s="2106"/>
      <c r="R31" s="2120"/>
      <c r="S31" s="2106"/>
      <c r="T31" s="2120"/>
      <c r="U31" s="2106"/>
      <c r="V31" s="2106"/>
      <c r="W31" s="2106"/>
      <c r="X31" s="2120"/>
      <c r="Y31" s="2106"/>
      <c r="Z31" s="2106"/>
      <c r="AA31" s="2106"/>
      <c r="AB31" s="2106"/>
      <c r="AC31" s="2106"/>
      <c r="AD31" s="2120"/>
      <c r="AE31" s="2106"/>
      <c r="AF31" s="2106"/>
      <c r="AG31" s="2106"/>
      <c r="AH31" s="2120"/>
      <c r="AI31" s="2106"/>
      <c r="AJ31" s="2106"/>
      <c r="AK31" s="2106"/>
      <c r="AL31" s="2106"/>
      <c r="AM31" s="2106"/>
      <c r="AN31" s="2120"/>
      <c r="AO31" s="2120"/>
      <c r="AP31" s="2106"/>
      <c r="AQ31" s="2106"/>
      <c r="AR31" s="2120"/>
      <c r="AS31" s="2106"/>
      <c r="AT31" s="2106"/>
      <c r="AU31" s="2106"/>
      <c r="AV31" s="2106"/>
      <c r="AW31" s="2106"/>
      <c r="AX31" s="2120"/>
      <c r="AY31" s="2120"/>
      <c r="AZ31" s="2106"/>
      <c r="BA31" s="2106"/>
      <c r="BB31" s="2120"/>
      <c r="BC31" s="2106"/>
      <c r="BD31" s="2106"/>
      <c r="BE31" s="2106"/>
      <c r="BF31" s="2106"/>
      <c r="BG31" s="2106"/>
      <c r="BH31" s="2120"/>
      <c r="BI31" s="2120"/>
      <c r="BJ31" s="2106"/>
      <c r="BK31" s="2106"/>
      <c r="BL31" s="2120"/>
      <c r="BM31" s="2106"/>
      <c r="BN31" s="2106"/>
      <c r="BO31" s="2106"/>
      <c r="BP31" s="2106"/>
      <c r="BQ31" s="2106"/>
      <c r="BR31" s="2120"/>
      <c r="BS31" s="2120"/>
      <c r="BT31" s="2106"/>
      <c r="BU31" s="2106"/>
      <c r="BV31" s="2120"/>
      <c r="BW31" s="2106"/>
      <c r="BX31" s="2106"/>
      <c r="BY31" s="2106"/>
      <c r="BZ31" s="2106"/>
      <c r="CA31" s="2106"/>
      <c r="CB31" s="2120"/>
      <c r="CC31" s="2120"/>
      <c r="CD31" s="2106"/>
      <c r="CE31" s="2106"/>
      <c r="CF31" s="2120"/>
      <c r="CG31" s="2106"/>
      <c r="CH31" s="2106"/>
      <c r="CI31" s="2106"/>
      <c r="CJ31" s="2106"/>
      <c r="CK31" s="2106"/>
      <c r="CL31" s="2120"/>
      <c r="CM31" s="2120"/>
      <c r="CN31" s="2106"/>
      <c r="CO31" s="2106"/>
      <c r="CP31" s="2106"/>
      <c r="CQ31" s="2106"/>
      <c r="CR31" s="2106"/>
      <c r="CS31" s="2106"/>
      <c r="CT31" s="2109"/>
      <c r="CU31" s="2106"/>
      <c r="CV31" s="2106"/>
      <c r="CW31" s="2120"/>
      <c r="CX31" s="2106"/>
      <c r="CY31" s="2106"/>
      <c r="CZ31" s="2106"/>
      <c r="DA31" s="2106"/>
      <c r="DB31" s="2106"/>
      <c r="DC31" s="2106"/>
      <c r="DD31" s="2109"/>
      <c r="DE31" s="2106"/>
      <c r="DF31" s="2106"/>
      <c r="DG31" s="2120"/>
      <c r="DH31" s="2106"/>
      <c r="DI31" s="2106"/>
      <c r="DJ31" s="2106">
        <v>0</v>
      </c>
      <c r="DK31" s="2106">
        <f t="shared" si="50"/>
        <v>0</v>
      </c>
      <c r="DL31" s="2106">
        <v>0</v>
      </c>
      <c r="DM31" s="2106">
        <v>0</v>
      </c>
      <c r="DN31" s="2109">
        <f t="shared" si="51"/>
        <v>0</v>
      </c>
      <c r="DO31" s="2106"/>
      <c r="DP31" s="2106"/>
      <c r="DQ31" s="2120"/>
      <c r="DR31" s="2106"/>
      <c r="DS31" s="2106"/>
      <c r="DT31" s="2106">
        <v>0</v>
      </c>
      <c r="DU31" s="2106">
        <f t="shared" si="54"/>
        <v>0</v>
      </c>
      <c r="DV31" s="2106">
        <v>0</v>
      </c>
      <c r="DW31" s="2106">
        <v>0</v>
      </c>
      <c r="DX31" s="2109">
        <f t="shared" si="55"/>
        <v>0</v>
      </c>
      <c r="DY31" s="2106"/>
      <c r="DZ31" s="2106"/>
      <c r="EA31" s="2106"/>
      <c r="EB31" s="2106"/>
      <c r="EC31" s="2106"/>
      <c r="ED31" s="2106"/>
      <c r="EE31" s="2107"/>
      <c r="EF31" s="2106"/>
      <c r="EG31" s="2106"/>
      <c r="EH31" s="2106"/>
      <c r="EI31" s="2106"/>
      <c r="EJ31" s="2106"/>
      <c r="EK31" s="2106"/>
      <c r="EL31" s="2106"/>
      <c r="EM31" s="2106"/>
      <c r="EN31" s="2106"/>
      <c r="EO31" s="2110"/>
      <c r="EP31" s="2110"/>
      <c r="ES31" s="2084">
        <f t="shared" si="0"/>
        <v>0</v>
      </c>
      <c r="EU31" s="2084">
        <f t="shared" si="64"/>
        <v>0</v>
      </c>
      <c r="EV31" s="2084">
        <f t="shared" si="65"/>
        <v>0</v>
      </c>
      <c r="EW31" s="2084" t="e">
        <f t="shared" si="66"/>
        <v>#DIV/0!</v>
      </c>
      <c r="FE31" s="2108"/>
      <c r="FF31" s="2108"/>
      <c r="FG31" s="2108"/>
      <c r="FH31" s="2108"/>
      <c r="FI31" s="2108"/>
      <c r="FJ31" s="2108"/>
      <c r="FK31" s="2108"/>
    </row>
    <row r="32" spans="1:167">
      <c r="A32" s="1760" t="s">
        <v>21</v>
      </c>
      <c r="B32" s="1761" t="s">
        <v>1665</v>
      </c>
      <c r="C32" s="2116"/>
      <c r="D32" s="2117"/>
      <c r="E32" s="2118"/>
      <c r="F32" s="2117"/>
      <c r="G32" s="1774"/>
      <c r="H32" s="2102"/>
      <c r="I32" s="2119"/>
      <c r="J32" s="2104"/>
      <c r="K32" s="2101"/>
      <c r="L32" s="2101"/>
      <c r="M32" s="2105"/>
      <c r="N32" s="2120"/>
      <c r="O32" s="2106"/>
      <c r="P32" s="2120"/>
      <c r="Q32" s="2106"/>
      <c r="R32" s="2120"/>
      <c r="S32" s="2106"/>
      <c r="T32" s="2120"/>
      <c r="U32" s="2106"/>
      <c r="V32" s="2106"/>
      <c r="W32" s="2106"/>
      <c r="X32" s="2120"/>
      <c r="Y32" s="2106"/>
      <c r="Z32" s="2106"/>
      <c r="AA32" s="2106"/>
      <c r="AB32" s="2106"/>
      <c r="AC32" s="2106"/>
      <c r="AD32" s="2120"/>
      <c r="AE32" s="2106"/>
      <c r="AF32" s="2106"/>
      <c r="AG32" s="2106"/>
      <c r="AH32" s="2120"/>
      <c r="AI32" s="2106"/>
      <c r="AJ32" s="2106"/>
      <c r="AK32" s="2106"/>
      <c r="AL32" s="2106"/>
      <c r="AM32" s="2106"/>
      <c r="AN32" s="2120"/>
      <c r="AO32" s="2120"/>
      <c r="AP32" s="2106"/>
      <c r="AQ32" s="2106"/>
      <c r="AR32" s="2120"/>
      <c r="AS32" s="2106"/>
      <c r="AT32" s="2106"/>
      <c r="AU32" s="2106"/>
      <c r="AV32" s="2106"/>
      <c r="AW32" s="2106"/>
      <c r="AX32" s="2120"/>
      <c r="AY32" s="2120"/>
      <c r="AZ32" s="2106"/>
      <c r="BA32" s="2106"/>
      <c r="BB32" s="2120"/>
      <c r="BC32" s="2106"/>
      <c r="BD32" s="2106"/>
      <c r="BE32" s="2106"/>
      <c r="BF32" s="2106"/>
      <c r="BG32" s="2106"/>
      <c r="BH32" s="2120"/>
      <c r="BI32" s="2120"/>
      <c r="BJ32" s="2106"/>
      <c r="BK32" s="2106"/>
      <c r="BL32" s="2120"/>
      <c r="BM32" s="2106"/>
      <c r="BN32" s="2106"/>
      <c r="BO32" s="2106"/>
      <c r="BP32" s="2106"/>
      <c r="BQ32" s="2106"/>
      <c r="BR32" s="2120"/>
      <c r="BS32" s="2120"/>
      <c r="BT32" s="2106"/>
      <c r="BU32" s="2106"/>
      <c r="BV32" s="2120"/>
      <c r="BW32" s="2106"/>
      <c r="BX32" s="2106"/>
      <c r="BY32" s="2106"/>
      <c r="BZ32" s="2106"/>
      <c r="CA32" s="2106"/>
      <c r="CB32" s="2120"/>
      <c r="CC32" s="2120"/>
      <c r="CD32" s="2106"/>
      <c r="CE32" s="2106"/>
      <c r="CF32" s="2120"/>
      <c r="CG32" s="2106"/>
      <c r="CH32" s="2106"/>
      <c r="CI32" s="2106"/>
      <c r="CJ32" s="2106"/>
      <c r="CK32" s="2106"/>
      <c r="CL32" s="2120"/>
      <c r="CM32" s="2120"/>
      <c r="CN32" s="2106"/>
      <c r="CO32" s="2106"/>
      <c r="CP32" s="2121"/>
      <c r="CQ32" s="2106"/>
      <c r="CR32" s="2106"/>
      <c r="CS32" s="2106"/>
      <c r="CT32" s="2106"/>
      <c r="CU32" s="2106"/>
      <c r="CV32" s="2106"/>
      <c r="CW32" s="2120"/>
      <c r="CX32" s="2106"/>
      <c r="CY32" s="2106"/>
      <c r="CZ32" s="2106"/>
      <c r="DA32" s="2106"/>
      <c r="DB32" s="2106"/>
      <c r="DC32" s="2106"/>
      <c r="DD32" s="2109"/>
      <c r="DE32" s="2106"/>
      <c r="DF32" s="2106"/>
      <c r="DG32" s="2120"/>
      <c r="DH32" s="2106"/>
      <c r="DI32" s="2106"/>
      <c r="DJ32" s="2106">
        <v>0</v>
      </c>
      <c r="DK32" s="2106">
        <f t="shared" si="50"/>
        <v>0</v>
      </c>
      <c r="DL32" s="2106">
        <v>0</v>
      </c>
      <c r="DM32" s="2106">
        <v>0</v>
      </c>
      <c r="DN32" s="2109">
        <f t="shared" si="51"/>
        <v>0</v>
      </c>
      <c r="DO32" s="2106"/>
      <c r="DP32" s="2106"/>
      <c r="DQ32" s="2120"/>
      <c r="DR32" s="2106"/>
      <c r="DS32" s="2106"/>
      <c r="DT32" s="2106">
        <v>0</v>
      </c>
      <c r="DU32" s="2106">
        <f t="shared" si="54"/>
        <v>0</v>
      </c>
      <c r="DV32" s="2106">
        <v>0</v>
      </c>
      <c r="DW32" s="2106">
        <v>0</v>
      </c>
      <c r="DX32" s="2109">
        <f t="shared" si="55"/>
        <v>0</v>
      </c>
      <c r="DY32" s="2106"/>
      <c r="DZ32" s="2106"/>
      <c r="EA32" s="2106"/>
      <c r="EB32" s="2106"/>
      <c r="EC32" s="2106"/>
      <c r="ED32" s="2106"/>
      <c r="EE32" s="2107"/>
      <c r="EF32" s="2106"/>
      <c r="EG32" s="2106"/>
      <c r="EH32" s="2106"/>
      <c r="EI32" s="2106"/>
      <c r="EJ32" s="2106"/>
      <c r="EK32" s="2106"/>
      <c r="EL32" s="2106"/>
      <c r="EM32" s="2106"/>
      <c r="EN32" s="2106"/>
      <c r="EO32" s="2110"/>
      <c r="EP32" s="2110"/>
      <c r="ES32" s="2084">
        <f t="shared" si="0"/>
        <v>0</v>
      </c>
      <c r="EU32" s="2084">
        <f t="shared" si="64"/>
        <v>0</v>
      </c>
      <c r="EV32" s="2084">
        <f t="shared" si="65"/>
        <v>0</v>
      </c>
      <c r="EW32" s="2084" t="e">
        <f t="shared" si="66"/>
        <v>#DIV/0!</v>
      </c>
      <c r="FE32" s="2108"/>
      <c r="FF32" s="2108"/>
      <c r="FG32" s="2108"/>
      <c r="FH32" s="2108"/>
      <c r="FI32" s="2108"/>
      <c r="FJ32" s="2108"/>
      <c r="FK32" s="2108"/>
    </row>
    <row r="33" spans="1:167">
      <c r="A33" s="1760">
        <v>1</v>
      </c>
      <c r="B33" s="1761" t="s">
        <v>1666</v>
      </c>
      <c r="C33" s="2098">
        <v>0</v>
      </c>
      <c r="D33" s="2099">
        <v>0.85</v>
      </c>
      <c r="E33" s="2100"/>
      <c r="F33" s="2099">
        <v>0.20929658593704337</v>
      </c>
      <c r="G33" s="2101">
        <v>255</v>
      </c>
      <c r="H33" s="2102" t="s">
        <v>1667</v>
      </c>
      <c r="I33" s="2103">
        <v>2</v>
      </c>
      <c r="J33" s="2104"/>
      <c r="K33" s="2101"/>
      <c r="L33" s="2101"/>
      <c r="M33" s="2105"/>
      <c r="N33" s="2106">
        <v>24.431439000000001</v>
      </c>
      <c r="O33" s="2106">
        <f t="shared" ref="O33:O41" si="69">IFERROR(P33/N33*10,0)</f>
        <v>0.60465435539838641</v>
      </c>
      <c r="P33" s="2106">
        <v>1.4772575999999999</v>
      </c>
      <c r="Q33" s="2106">
        <f t="shared" ref="Q33:Q41" si="70">IFERROR(R33/N33*10,0)</f>
        <v>0.72499998874401128</v>
      </c>
      <c r="R33" s="2106">
        <v>1.7712793</v>
      </c>
      <c r="S33" s="2106">
        <f t="shared" ref="S33:S41" si="71">IFERROR(T33/N33*10,0)</f>
        <v>0</v>
      </c>
      <c r="T33" s="2106">
        <v>0</v>
      </c>
      <c r="U33" s="2106"/>
      <c r="V33" s="2106">
        <f t="shared" ref="V33:V42" si="72">IFERROR(W33/N33*10,0)</f>
        <v>1.3296543441423978</v>
      </c>
      <c r="W33" s="2106">
        <f t="shared" ref="W33:W40" si="73">SUM(P33,R33,T33,U33)</f>
        <v>3.2485368999999999</v>
      </c>
      <c r="X33" s="2106">
        <v>26.808181000000001</v>
      </c>
      <c r="Y33" s="2106">
        <f t="shared" ref="Y33:Y41" si="74">IFERROR(Z33/X33*10,0)</f>
        <v>0.65482786765726475</v>
      </c>
      <c r="Z33" s="2106">
        <v>1.7554744</v>
      </c>
      <c r="AA33" s="2106">
        <f t="shared" ref="AA33:AA41" si="75">IFERROR(AB33/X33*10,0)</f>
        <v>0.72499999160703954</v>
      </c>
      <c r="AB33" s="2106">
        <v>1.9435931</v>
      </c>
      <c r="AC33" s="2106">
        <f t="shared" ref="AC33:AC41" si="76">IFERROR(AD33/X33*10,0)</f>
        <v>0</v>
      </c>
      <c r="AD33" s="2106">
        <v>0</v>
      </c>
      <c r="AE33" s="2106"/>
      <c r="AF33" s="2106">
        <f t="shared" ref="AF33:AF41" si="77">IFERROR(AG33/X33*10,0)</f>
        <v>1.3798278592643043</v>
      </c>
      <c r="AG33" s="2106">
        <f t="shared" ref="AG33:AG41" si="78">SUM(Z33,AB33,AD33,AE33)</f>
        <v>3.6990675</v>
      </c>
      <c r="AH33" s="2106">
        <v>47.902160000000002</v>
      </c>
      <c r="AI33" s="2106">
        <f t="shared" ref="AI33:AI41" si="79">IFERROR(AJ33/AH33*10,0)</f>
        <v>0.29714541056186189</v>
      </c>
      <c r="AJ33" s="2106">
        <v>1.4233906999999999</v>
      </c>
      <c r="AK33" s="2106">
        <f t="shared" ref="AK33:AK41" si="80">IFERROR(AL33/AH33*10,0)</f>
        <v>0.72499999999999998</v>
      </c>
      <c r="AL33" s="2106">
        <v>3.4729066</v>
      </c>
      <c r="AM33" s="2106">
        <f t="shared" ref="AM33:AM41" si="81">IFERROR(AN33/AH33*10,0)</f>
        <v>0</v>
      </c>
      <c r="AN33" s="2106">
        <v>0</v>
      </c>
      <c r="AO33" s="2106">
        <v>0</v>
      </c>
      <c r="AP33" s="2106">
        <f t="shared" ref="AP33:AP41" si="82">IFERROR(AQ33/AH33*10,0)</f>
        <v>1.0221454105618619</v>
      </c>
      <c r="AQ33" s="2106">
        <f t="shared" ref="AQ33:AQ41" si="83">SUM(AJ33,AL33,AN33,AO33)</f>
        <v>4.8962972999999996</v>
      </c>
      <c r="AR33" s="2106">
        <v>30.453652999999999</v>
      </c>
      <c r="AS33" s="2106">
        <f t="shared" ref="AS33:AS41" si="84">IFERROR(AT33/AR33*10,0)</f>
        <v>0.58121845021350971</v>
      </c>
      <c r="AT33" s="2106">
        <v>1.7700225000000001</v>
      </c>
      <c r="AU33" s="2106">
        <f t="shared" ref="AU33:AU41" si="85">IFERROR(AV33/AR33*10,0)</f>
        <v>0.724999986044367</v>
      </c>
      <c r="AV33" s="2106">
        <v>2.2078897999999998</v>
      </c>
      <c r="AW33" s="2106">
        <f t="shared" ref="AW33:AW41" si="86">IFERROR(AX33/AR33*10,0)</f>
        <v>0</v>
      </c>
      <c r="AX33" s="2106">
        <v>0</v>
      </c>
      <c r="AY33" s="2106"/>
      <c r="AZ33" s="2106">
        <f t="shared" ref="AZ33:AZ41" si="87">IFERROR(BA33/AR33*10,0)</f>
        <v>1.3062184362578768</v>
      </c>
      <c r="BA33" s="2106">
        <f t="shared" ref="BA33:BA41" si="88">SUM(AT33,AV33,AX33,AY33)</f>
        <v>3.9779122999999998</v>
      </c>
      <c r="BB33" s="2106">
        <v>56.215038</v>
      </c>
      <c r="BC33" s="2106">
        <f t="shared" ref="BC33:BC41" si="89">IFERROR(BD33/BB33*10,0)</f>
        <v>0.37348890522852624</v>
      </c>
      <c r="BD33" s="2106">
        <v>2.0995693000000002</v>
      </c>
      <c r="BE33" s="2106">
        <f t="shared" ref="BE33:BE41" si="90">IFERROR(BF33/BB33*10,0)</f>
        <v>0.72499999021614103</v>
      </c>
      <c r="BF33" s="2106">
        <v>4.0755901999999997</v>
      </c>
      <c r="BG33" s="2106">
        <f t="shared" ref="BG33:BG41" si="91">IFERROR(BH33/BB33*10,0)</f>
        <v>0</v>
      </c>
      <c r="BH33" s="2106">
        <v>0</v>
      </c>
      <c r="BI33" s="2106"/>
      <c r="BJ33" s="2106">
        <f t="shared" ref="BJ33:BJ41" si="92">IFERROR(BK33/BB33*10,0)</f>
        <v>1.0984888954446672</v>
      </c>
      <c r="BK33" s="2106">
        <f t="shared" ref="BK33:BK41" si="93">SUM(BD33,BF33,BH33,BI33)</f>
        <v>6.1751594999999995</v>
      </c>
      <c r="BL33" s="2106">
        <v>52.014356999999997</v>
      </c>
      <c r="BM33" s="2106">
        <f t="shared" ref="BM33:BM41" si="94">IFERROR(BN33/BL33*10,0)</f>
        <v>0.39118003515836985</v>
      </c>
      <c r="BN33" s="2106">
        <v>2.0346978</v>
      </c>
      <c r="BO33" s="2106">
        <f t="shared" ref="BO33:BO41" si="95">IFERROR(BP33/BL33*10,0)</f>
        <v>0.72500000336445569</v>
      </c>
      <c r="BP33" s="2106">
        <v>3.7710409</v>
      </c>
      <c r="BQ33" s="2106">
        <f t="shared" ref="BQ33:BQ41" si="96">IFERROR(BR33/BL33*10,0)</f>
        <v>0</v>
      </c>
      <c r="BR33" s="2106">
        <v>0</v>
      </c>
      <c r="BS33" s="2106"/>
      <c r="BT33" s="2106">
        <f t="shared" ref="BT33:BT41" si="97">IFERROR(BU33/BL33*10,0)</f>
        <v>1.1161800385228255</v>
      </c>
      <c r="BU33" s="2106">
        <f t="shared" ref="BU33:BU41" si="98">SUM(BN33,BP33,BR33,BS33)</f>
        <v>5.8057387</v>
      </c>
      <c r="BV33" s="2106">
        <v>61.332372999999997</v>
      </c>
      <c r="BW33" s="2106">
        <f t="shared" ref="BW33:BW41" si="99">IFERROR(BX33/BV33*10,0)</f>
        <v>0.33741052217236078</v>
      </c>
      <c r="BX33" s="2106">
        <v>2.0694187999999998</v>
      </c>
      <c r="BY33" s="2106">
        <f t="shared" ref="BY33:BY41" si="100">IFERROR(BZ33/BV33*10,0)</f>
        <v>0.72499999307054364</v>
      </c>
      <c r="BZ33" s="2106">
        <v>4.4465969999999997</v>
      </c>
      <c r="CA33" s="2106">
        <f t="shared" ref="CA33:CA41" si="101">IFERROR(CB33/BV33*10,0)</f>
        <v>0</v>
      </c>
      <c r="CB33" s="2106">
        <v>0</v>
      </c>
      <c r="CC33" s="2106"/>
      <c r="CD33" s="2106">
        <f t="shared" ref="CD33:CD41" si="102">IFERROR(CE33/BV33*10,0)</f>
        <v>1.0624105152429044</v>
      </c>
      <c r="CE33" s="2106">
        <f t="shared" ref="CE33:CE41" si="103">SUM(BX33,BZ33,CB33,CC33)</f>
        <v>6.5160157999999999</v>
      </c>
      <c r="CF33" s="2106">
        <v>30.197517999999999</v>
      </c>
      <c r="CG33" s="2106">
        <f t="shared" ref="CG33:CG41" si="104">IFERROR(CH33/CF33*10,0)</f>
        <v>0.62372788386118361</v>
      </c>
      <c r="CH33" s="2106">
        <v>1.8835033999999999</v>
      </c>
      <c r="CI33" s="2106">
        <f t="shared" ref="CI33:CI41" si="105">IFERROR(CJ33/CF33*10,0)</f>
        <v>0.72500001490188704</v>
      </c>
      <c r="CJ33" s="2106">
        <v>2.1893201000000002</v>
      </c>
      <c r="CK33" s="2106">
        <f t="shared" ref="CK33:CK41" si="106">IFERROR(CL33/CF33*10,0)</f>
        <v>0</v>
      </c>
      <c r="CL33" s="2106">
        <v>0</v>
      </c>
      <c r="CM33" s="2106"/>
      <c r="CN33" s="2106">
        <f t="shared" ref="CN33:CN41" si="107">IFERROR(CO33/CF33*10,0)</f>
        <v>1.3487278987630709</v>
      </c>
      <c r="CO33" s="2106">
        <f t="shared" ref="CO33:CO41" si="108">SUM(CH33,CJ33,CL33,CM33)</f>
        <v>4.0728235000000002</v>
      </c>
      <c r="CP33" s="2106">
        <v>53.951224000000003</v>
      </c>
      <c r="CQ33" s="2106">
        <f t="shared" ref="CQ33:CQ41" si="109">IFERROR(CR33/CP33*10,0)</f>
        <v>0.2929061071904504</v>
      </c>
      <c r="CR33" s="2106">
        <v>1.5802643000000001</v>
      </c>
      <c r="CS33" s="2106">
        <f t="shared" ref="CS33:CS41" si="110">IFERROR(CT33/CP33*10,0)</f>
        <v>0.72499999258589576</v>
      </c>
      <c r="CT33" s="2106">
        <v>3.9114637000000001</v>
      </c>
      <c r="CU33" s="2106">
        <f t="shared" ref="CU33:CU41" si="111">IFERROR(CV33/CP33*10,0)</f>
        <v>0</v>
      </c>
      <c r="CV33" s="2106">
        <v>0</v>
      </c>
      <c r="CW33" s="2106"/>
      <c r="CX33" s="2106">
        <f t="shared" ref="CX33:CX41" si="112">IFERROR(CY33/CP33*10,0)</f>
        <v>1.0179060997763463</v>
      </c>
      <c r="CY33" s="2106">
        <f t="shared" ref="CY33:CY41" si="113">SUM(CR33,CT33,CV33,CW33)</f>
        <v>5.4917280000000002</v>
      </c>
      <c r="CZ33" s="2106">
        <v>59.128862799999993</v>
      </c>
      <c r="DA33" s="2106">
        <f t="shared" si="46"/>
        <v>0.24295277092450693</v>
      </c>
      <c r="DB33" s="2106">
        <v>1.4365521058874997</v>
      </c>
      <c r="DC33" s="2106">
        <v>1.1987447795057016</v>
      </c>
      <c r="DD33" s="2109">
        <f t="shared" si="47"/>
        <v>7.088041559960887</v>
      </c>
      <c r="DE33" s="2106"/>
      <c r="DF33" s="2106"/>
      <c r="DG33" s="2106"/>
      <c r="DH33" s="2106">
        <f t="shared" ref="DH33:DH42" si="114">IFERROR(DI33/CZ33*10,0)</f>
        <v>1.4416975504302085</v>
      </c>
      <c r="DI33" s="2106">
        <f t="shared" ref="DI33:DI40" si="115">SUM(DB33,DD33,DF33,DG33)</f>
        <v>8.5245936658483874</v>
      </c>
      <c r="DJ33" s="2106">
        <v>48.235635800000004</v>
      </c>
      <c r="DK33" s="2106">
        <f t="shared" si="50"/>
        <v>0.29781966839701107</v>
      </c>
      <c r="DL33" s="2106">
        <v>1.4365521058874997</v>
      </c>
      <c r="DM33" s="2106">
        <v>1.1987447795057016</v>
      </c>
      <c r="DN33" s="2109">
        <f t="shared" si="51"/>
        <v>5.7822216601388323</v>
      </c>
      <c r="DO33" s="2106"/>
      <c r="DP33" s="2106"/>
      <c r="DQ33" s="2106"/>
      <c r="DR33" s="2106">
        <f t="shared" ref="DR33:DR42" si="116">IFERROR(DS33/DJ33*10,0)</f>
        <v>1.4965644479027125</v>
      </c>
      <c r="DS33" s="2106">
        <f t="shared" ref="DS33:DS40" si="117">SUM(DL33,DN33,DP33,DQ33)</f>
        <v>7.2187737660263318</v>
      </c>
      <c r="DT33" s="2106">
        <v>33.320956199999998</v>
      </c>
      <c r="DU33" s="2106">
        <f t="shared" si="54"/>
        <v>0.43112571477990774</v>
      </c>
      <c r="DV33" s="2106">
        <v>1.4365521058874997</v>
      </c>
      <c r="DW33" s="2106">
        <v>1.1987447795057016</v>
      </c>
      <c r="DX33" s="2109">
        <f t="shared" si="55"/>
        <v>3.9943322292888133</v>
      </c>
      <c r="DY33" s="2106"/>
      <c r="DZ33" s="2106"/>
      <c r="EA33" s="2106"/>
      <c r="EB33" s="2106">
        <f t="shared" ref="EB33:EB42" si="118">IFERROR(EC33/DT33*10,0)</f>
        <v>1.6298704942856093</v>
      </c>
      <c r="EC33" s="2106">
        <f t="shared" ref="EC33:EC40" si="119">SUM(DV33,DX33,DZ33,EA33)</f>
        <v>5.4308843351763132</v>
      </c>
      <c r="ED33" s="2106">
        <f t="shared" ref="ED33:ED40" si="120">SUM(N33,X33,AH33,AR33,BB33,BL33,BV33,CF33,CP33,CZ33,DJ33,DT33)</f>
        <v>523.99139779999996</v>
      </c>
      <c r="EE33" s="2107"/>
      <c r="EF33" s="2106">
        <f t="shared" ref="EF33:EF40" si="121">IFERROR(EG33/ED33*10,0)</f>
        <v>0.38938148991236177</v>
      </c>
      <c r="EG33" s="2106">
        <f t="shared" ref="EG33:EG40" si="122">SUM(P33,Z33,AJ33,AT33,BD33,BN33,BX33,CH33,CR33,DB33,DL33,DV33)</f>
        <v>20.403255117662503</v>
      </c>
      <c r="EH33" s="2106">
        <f t="shared" ref="EH33:EH40" si="123">IFERROR(EI33/ED33*10,0)</f>
        <v>0.85219483252723993</v>
      </c>
      <c r="EI33" s="2106">
        <f t="shared" ref="EI33:EI40" si="124">SUM(R33,AB33,AL33,AV33,BF33,BP33,BZ33,CJ33,CT33,DD33,DN33,DX33)</f>
        <v>44.654276149388529</v>
      </c>
      <c r="EJ33" s="2106"/>
      <c r="EK33" s="2106">
        <f t="shared" ref="EK33:EK40" si="125">SUM(T33,AD33,AN33,AX33,BH33,BR33,CB33,CL33,CV33,DF33,DP33,DZ33)</f>
        <v>0</v>
      </c>
      <c r="EL33" s="2106"/>
      <c r="EM33" s="2106"/>
      <c r="EN33" s="2106">
        <f t="shared" ref="EN33:EN40" si="126">EG33+EI33+EK33</f>
        <v>65.057531267051033</v>
      </c>
      <c r="EO33" s="2104">
        <f t="shared" ref="EO33:EO40" si="127">IFERROR(EN33/ED33*10,0)</f>
        <v>1.2415763224396017</v>
      </c>
      <c r="EP33" s="2110"/>
      <c r="ES33" s="2084">
        <f t="shared" si="0"/>
        <v>0</v>
      </c>
      <c r="EU33" s="2084">
        <f t="shared" si="64"/>
        <v>27.789680699999998</v>
      </c>
      <c r="EV33" s="2084">
        <f t="shared" si="65"/>
        <v>383.30594300000001</v>
      </c>
      <c r="EW33" s="2084">
        <f t="shared" si="66"/>
        <v>0.72499999563012241</v>
      </c>
      <c r="FE33" s="2108"/>
      <c r="FF33" s="2108"/>
      <c r="FG33" s="2108"/>
      <c r="FH33" s="2108"/>
      <c r="FI33" s="2108"/>
      <c r="FJ33" s="2108"/>
      <c r="FK33" s="2108"/>
    </row>
    <row r="34" spans="1:167">
      <c r="A34" s="1760">
        <v>2</v>
      </c>
      <c r="B34" s="1761" t="s">
        <v>1668</v>
      </c>
      <c r="C34" s="2098">
        <v>99</v>
      </c>
      <c r="D34" s="2099">
        <v>1</v>
      </c>
      <c r="E34" s="2100"/>
      <c r="F34" s="2099">
        <v>0.2530223795664962</v>
      </c>
      <c r="G34" s="2101">
        <v>99</v>
      </c>
      <c r="H34" s="2102" t="s">
        <v>1667</v>
      </c>
      <c r="I34" s="2103">
        <v>2</v>
      </c>
      <c r="J34" s="2104"/>
      <c r="K34" s="2101"/>
      <c r="L34" s="2101"/>
      <c r="M34" s="2105"/>
      <c r="N34" s="2106">
        <v>17.394027000000001</v>
      </c>
      <c r="O34" s="2106">
        <f t="shared" si="69"/>
        <v>0.4213933898113415</v>
      </c>
      <c r="P34" s="2106">
        <v>0.73297279999999998</v>
      </c>
      <c r="Q34" s="2106">
        <f t="shared" si="70"/>
        <v>0.41299999131885901</v>
      </c>
      <c r="R34" s="2106">
        <v>0.71837329999999999</v>
      </c>
      <c r="S34" s="2106">
        <f t="shared" si="71"/>
        <v>0</v>
      </c>
      <c r="T34" s="2106">
        <v>0</v>
      </c>
      <c r="U34" s="2106"/>
      <c r="V34" s="2106">
        <f t="shared" si="72"/>
        <v>0.83439338113020056</v>
      </c>
      <c r="W34" s="2106">
        <f t="shared" si="73"/>
        <v>1.4513460999999999</v>
      </c>
      <c r="X34" s="2106">
        <v>20.870297999999998</v>
      </c>
      <c r="Y34" s="2106">
        <f t="shared" si="74"/>
        <v>0.36682648230514009</v>
      </c>
      <c r="Z34" s="2106">
        <v>0.76557779999999998</v>
      </c>
      <c r="AA34" s="2106">
        <f t="shared" si="75"/>
        <v>0.4129999964542912</v>
      </c>
      <c r="AB34" s="2106">
        <v>0.86194329999999997</v>
      </c>
      <c r="AC34" s="2106">
        <f t="shared" si="76"/>
        <v>0</v>
      </c>
      <c r="AD34" s="2106">
        <v>0</v>
      </c>
      <c r="AE34" s="2106"/>
      <c r="AF34" s="2106">
        <f t="shared" si="77"/>
        <v>0.77982647875943123</v>
      </c>
      <c r="AG34" s="2106">
        <f t="shared" si="78"/>
        <v>1.6275211000000001</v>
      </c>
      <c r="AH34" s="2106">
        <v>30.904167999999999</v>
      </c>
      <c r="AI34" s="2106">
        <f t="shared" si="79"/>
        <v>0.23948290728939867</v>
      </c>
      <c r="AJ34" s="2106">
        <v>0.74010200000000004</v>
      </c>
      <c r="AK34" s="2106">
        <f t="shared" si="80"/>
        <v>0.41300001993258645</v>
      </c>
      <c r="AL34" s="2106">
        <v>1.2763422</v>
      </c>
      <c r="AM34" s="2106">
        <f t="shared" si="81"/>
        <v>0</v>
      </c>
      <c r="AN34" s="2106">
        <v>0</v>
      </c>
      <c r="AO34" s="2106">
        <v>0</v>
      </c>
      <c r="AP34" s="2106">
        <f t="shared" si="82"/>
        <v>0.65248292722198509</v>
      </c>
      <c r="AQ34" s="2106">
        <f t="shared" si="83"/>
        <v>2.0164442</v>
      </c>
      <c r="AR34" s="2106">
        <v>22.235989</v>
      </c>
      <c r="AS34" s="2106">
        <f t="shared" si="84"/>
        <v>0.34341670163625282</v>
      </c>
      <c r="AT34" s="2106">
        <v>0.76362099999999999</v>
      </c>
      <c r="AU34" s="2106">
        <f t="shared" si="85"/>
        <v>0.41300002441987177</v>
      </c>
      <c r="AV34" s="2106">
        <v>0.91834640000000001</v>
      </c>
      <c r="AW34" s="2106">
        <f t="shared" si="86"/>
        <v>0</v>
      </c>
      <c r="AX34" s="2106">
        <v>0</v>
      </c>
      <c r="AY34" s="2106"/>
      <c r="AZ34" s="2106">
        <f t="shared" si="87"/>
        <v>0.75641672605612453</v>
      </c>
      <c r="BA34" s="2106">
        <f t="shared" si="88"/>
        <v>1.6819674</v>
      </c>
      <c r="BB34" s="2106">
        <v>31.779786000000001</v>
      </c>
      <c r="BC34" s="2106">
        <f t="shared" si="89"/>
        <v>0.22123327073379284</v>
      </c>
      <c r="BD34" s="2106">
        <v>0.70307459999999999</v>
      </c>
      <c r="BE34" s="2106">
        <f t="shared" si="90"/>
        <v>0.41299998055367648</v>
      </c>
      <c r="BF34" s="2106">
        <v>1.3125051000000001</v>
      </c>
      <c r="BG34" s="2106">
        <f t="shared" si="91"/>
        <v>0</v>
      </c>
      <c r="BH34" s="2106">
        <v>0</v>
      </c>
      <c r="BI34" s="2106"/>
      <c r="BJ34" s="2106">
        <f t="shared" si="92"/>
        <v>0.63423325128746932</v>
      </c>
      <c r="BK34" s="2106">
        <f t="shared" si="93"/>
        <v>2.0155797</v>
      </c>
      <c r="BL34" s="2106">
        <v>28.671274</v>
      </c>
      <c r="BM34" s="2106">
        <f t="shared" si="94"/>
        <v>0.25727887083078343</v>
      </c>
      <c r="BN34" s="2106">
        <v>0.73765130000000001</v>
      </c>
      <c r="BO34" s="2106">
        <f t="shared" si="95"/>
        <v>0.41300002922786061</v>
      </c>
      <c r="BP34" s="2106">
        <v>1.1841237</v>
      </c>
      <c r="BQ34" s="2106">
        <f t="shared" si="96"/>
        <v>0</v>
      </c>
      <c r="BR34" s="2106">
        <v>0</v>
      </c>
      <c r="BS34" s="2106"/>
      <c r="BT34" s="2106">
        <f t="shared" si="97"/>
        <v>0.67027890005864399</v>
      </c>
      <c r="BU34" s="2106">
        <f t="shared" si="98"/>
        <v>1.921775</v>
      </c>
      <c r="BV34" s="2106">
        <v>32.603734000000003</v>
      </c>
      <c r="BW34" s="2106">
        <f t="shared" si="99"/>
        <v>0.23502476740854283</v>
      </c>
      <c r="BX34" s="2106">
        <v>0.76626850000000002</v>
      </c>
      <c r="BY34" s="2106">
        <f t="shared" si="100"/>
        <v>0.41300002631600413</v>
      </c>
      <c r="BZ34" s="2106">
        <v>1.3465343000000001</v>
      </c>
      <c r="CA34" s="2106">
        <f t="shared" si="101"/>
        <v>0</v>
      </c>
      <c r="CB34" s="2106">
        <v>0</v>
      </c>
      <c r="CC34" s="2106"/>
      <c r="CD34" s="2106">
        <f t="shared" si="102"/>
        <v>0.64802479372454691</v>
      </c>
      <c r="CE34" s="2106">
        <f t="shared" si="103"/>
        <v>2.1128027999999999</v>
      </c>
      <c r="CF34" s="2106">
        <v>18.424209000000001</v>
      </c>
      <c r="CG34" s="2106">
        <f t="shared" si="104"/>
        <v>0.40085438674734963</v>
      </c>
      <c r="CH34" s="2106">
        <v>0.73854249999999999</v>
      </c>
      <c r="CI34" s="2106">
        <f t="shared" si="105"/>
        <v>0.41299998279437666</v>
      </c>
      <c r="CJ34" s="2106">
        <v>0.76091980000000004</v>
      </c>
      <c r="CK34" s="2106">
        <f t="shared" si="106"/>
        <v>0</v>
      </c>
      <c r="CL34" s="2106">
        <v>0</v>
      </c>
      <c r="CM34" s="2106"/>
      <c r="CN34" s="2106">
        <f t="shared" si="107"/>
        <v>0.81385436954172641</v>
      </c>
      <c r="CO34" s="2106">
        <f t="shared" si="108"/>
        <v>1.4994623</v>
      </c>
      <c r="CP34" s="2106">
        <v>28.706856999999999</v>
      </c>
      <c r="CQ34" s="2106">
        <f t="shared" si="109"/>
        <v>0.26632724021302645</v>
      </c>
      <c r="CR34" s="2106">
        <v>0.76454180000000005</v>
      </c>
      <c r="CS34" s="2106">
        <f t="shared" si="110"/>
        <v>0.41300000205525811</v>
      </c>
      <c r="CT34" s="2106">
        <v>1.1855932</v>
      </c>
      <c r="CU34" s="2106">
        <f t="shared" si="111"/>
        <v>0</v>
      </c>
      <c r="CV34" s="2106">
        <v>0</v>
      </c>
      <c r="CW34" s="2106"/>
      <c r="CX34" s="2106">
        <f t="shared" si="112"/>
        <v>0.67932724226828456</v>
      </c>
      <c r="CY34" s="2106">
        <f t="shared" si="113"/>
        <v>1.950135</v>
      </c>
      <c r="CZ34" s="2106">
        <v>28.36938052</v>
      </c>
      <c r="DA34" s="2106">
        <f t="shared" si="46"/>
        <v>0.2702822389166854</v>
      </c>
      <c r="DB34" s="2106">
        <v>0.7667739683625</v>
      </c>
      <c r="DC34" s="2106">
        <v>0.7913972002065508</v>
      </c>
      <c r="DD34" s="2109">
        <f t="shared" si="47"/>
        <v>2.2451448315122264</v>
      </c>
      <c r="DE34" s="2106"/>
      <c r="DF34" s="2106"/>
      <c r="DG34" s="2106"/>
      <c r="DH34" s="2106">
        <f t="shared" si="114"/>
        <v>1.0616794391232363</v>
      </c>
      <c r="DI34" s="2106">
        <f t="shared" si="115"/>
        <v>3.0119187998747265</v>
      </c>
      <c r="DJ34" s="2106">
        <v>23.993749600000005</v>
      </c>
      <c r="DK34" s="2106">
        <f t="shared" si="50"/>
        <v>0.31957238078474398</v>
      </c>
      <c r="DL34" s="2106">
        <v>0.7667739683625</v>
      </c>
      <c r="DM34" s="2106">
        <v>0.7913972002065508</v>
      </c>
      <c r="DN34" s="2109">
        <f t="shared" si="51"/>
        <v>1.8988586255897051</v>
      </c>
      <c r="DO34" s="2106"/>
      <c r="DP34" s="2106"/>
      <c r="DQ34" s="2106"/>
      <c r="DR34" s="2106">
        <f t="shared" si="116"/>
        <v>1.1109695809912947</v>
      </c>
      <c r="DS34" s="2106">
        <f t="shared" si="117"/>
        <v>2.6656325939522052</v>
      </c>
      <c r="DT34" s="2106">
        <v>17.813475138000001</v>
      </c>
      <c r="DU34" s="2106">
        <f t="shared" si="54"/>
        <v>0.43044603168238915</v>
      </c>
      <c r="DV34" s="2106">
        <v>0.7667739683625</v>
      </c>
      <c r="DW34" s="2106">
        <v>0.7913972002065508</v>
      </c>
      <c r="DX34" s="2109">
        <f t="shared" si="55"/>
        <v>1.4097534350162202</v>
      </c>
      <c r="DY34" s="2106"/>
      <c r="DZ34" s="2106"/>
      <c r="EA34" s="2106"/>
      <c r="EB34" s="2106">
        <f t="shared" si="118"/>
        <v>1.2218432318889398</v>
      </c>
      <c r="EC34" s="2106">
        <f t="shared" si="119"/>
        <v>2.1765274033787203</v>
      </c>
      <c r="ED34" s="2106">
        <f t="shared" si="120"/>
        <v>301.76694725800002</v>
      </c>
      <c r="EE34" s="2107"/>
      <c r="EF34" s="2106">
        <f t="shared" si="121"/>
        <v>0.29866339859222496</v>
      </c>
      <c r="EG34" s="2106">
        <f t="shared" si="122"/>
        <v>9.0126742050874995</v>
      </c>
      <c r="EH34" s="2106">
        <f t="shared" si="123"/>
        <v>0.50099715457546201</v>
      </c>
      <c r="EI34" s="2106">
        <f t="shared" si="124"/>
        <v>15.118438192118152</v>
      </c>
      <c r="EJ34" s="2106"/>
      <c r="EK34" s="2106">
        <f t="shared" si="125"/>
        <v>0</v>
      </c>
      <c r="EL34" s="2106"/>
      <c r="EM34" s="2106"/>
      <c r="EN34" s="2106">
        <f t="shared" si="126"/>
        <v>24.131112397205651</v>
      </c>
      <c r="EO34" s="2104">
        <f t="shared" si="127"/>
        <v>0.79966055316768703</v>
      </c>
      <c r="EP34" s="2110"/>
      <c r="ES34" s="2084">
        <f t="shared" si="0"/>
        <v>0</v>
      </c>
      <c r="EU34" s="2084">
        <f t="shared" si="64"/>
        <v>9.5646813000000002</v>
      </c>
      <c r="EV34" s="2084">
        <f t="shared" si="65"/>
        <v>231.59034200000002</v>
      </c>
      <c r="EW34" s="2084">
        <f t="shared" si="66"/>
        <v>0.41300000757371824</v>
      </c>
      <c r="FE34" s="2108"/>
      <c r="FF34" s="2108"/>
      <c r="FG34" s="2108"/>
      <c r="FH34" s="2108"/>
      <c r="FI34" s="2108"/>
      <c r="FJ34" s="2108"/>
      <c r="FK34" s="2108"/>
    </row>
    <row r="35" spans="1:167">
      <c r="A35" s="1760">
        <v>3</v>
      </c>
      <c r="B35" s="1761" t="s">
        <v>1669</v>
      </c>
      <c r="C35" s="2098">
        <v>30</v>
      </c>
      <c r="D35" s="2099">
        <v>0.66666666666666663</v>
      </c>
      <c r="E35" s="2100"/>
      <c r="F35" s="2099">
        <v>0.34428460564237051</v>
      </c>
      <c r="G35" s="2101">
        <v>20</v>
      </c>
      <c r="H35" s="2102" t="s">
        <v>1667</v>
      </c>
      <c r="I35" s="2103">
        <v>2</v>
      </c>
      <c r="J35" s="2104"/>
      <c r="K35" s="2101"/>
      <c r="L35" s="2101"/>
      <c r="M35" s="2105"/>
      <c r="N35" s="2106">
        <v>-3.243E-2</v>
      </c>
      <c r="O35" s="2106">
        <f t="shared" si="69"/>
        <v>-52.151680542707368</v>
      </c>
      <c r="P35" s="2106">
        <v>0.1691279</v>
      </c>
      <c r="Q35" s="2106">
        <f t="shared" si="70"/>
        <v>0.56799259944495839</v>
      </c>
      <c r="R35" s="2106">
        <v>-1.8420000000000001E-3</v>
      </c>
      <c r="S35" s="2106">
        <f t="shared" si="71"/>
        <v>0</v>
      </c>
      <c r="T35" s="2106">
        <v>0</v>
      </c>
      <c r="U35" s="2106"/>
      <c r="V35" s="2106">
        <f t="shared" si="72"/>
        <v>-51.583687943262404</v>
      </c>
      <c r="W35" s="2106">
        <f t="shared" si="73"/>
        <v>0.16728589999999999</v>
      </c>
      <c r="X35" s="2106">
        <v>4.1599459999999997</v>
      </c>
      <c r="Y35" s="2106">
        <f t="shared" si="74"/>
        <v>0.41494769403256682</v>
      </c>
      <c r="Z35" s="2106">
        <v>0.17261599999999999</v>
      </c>
      <c r="AA35" s="2106">
        <f t="shared" si="75"/>
        <v>0.56799992115282272</v>
      </c>
      <c r="AB35" s="2106">
        <v>0.23628489999999999</v>
      </c>
      <c r="AC35" s="2106">
        <f t="shared" si="76"/>
        <v>0</v>
      </c>
      <c r="AD35" s="2106">
        <v>0</v>
      </c>
      <c r="AE35" s="2106"/>
      <c r="AF35" s="2106">
        <f t="shared" si="77"/>
        <v>0.98294761518538953</v>
      </c>
      <c r="AG35" s="2106">
        <f t="shared" si="78"/>
        <v>0.40890090000000001</v>
      </c>
      <c r="AH35" s="2106">
        <v>1.3486050000000001</v>
      </c>
      <c r="AI35" s="2106">
        <f t="shared" si="79"/>
        <v>1.2499560657123472</v>
      </c>
      <c r="AJ35" s="2106">
        <v>0.16856969999999999</v>
      </c>
      <c r="AK35" s="2106">
        <f t="shared" si="80"/>
        <v>0.56800026694250727</v>
      </c>
      <c r="AL35" s="2106">
        <v>7.6600799999999997E-2</v>
      </c>
      <c r="AM35" s="2106">
        <f t="shared" si="81"/>
        <v>0</v>
      </c>
      <c r="AN35" s="2106">
        <v>0</v>
      </c>
      <c r="AO35" s="2106">
        <v>0</v>
      </c>
      <c r="AP35" s="2106">
        <f t="shared" si="82"/>
        <v>1.8179563326548542</v>
      </c>
      <c r="AQ35" s="2106">
        <f t="shared" si="83"/>
        <v>0.24517049999999999</v>
      </c>
      <c r="AR35" s="2106">
        <v>-2.597E-2</v>
      </c>
      <c r="AS35" s="2106">
        <f t="shared" si="84"/>
        <v>-67.295109742010013</v>
      </c>
      <c r="AT35" s="2106">
        <v>0.17476539999999999</v>
      </c>
      <c r="AU35" s="2106">
        <f t="shared" si="85"/>
        <v>0.56800154023873706</v>
      </c>
      <c r="AV35" s="2106">
        <v>-1.4751E-3</v>
      </c>
      <c r="AW35" s="2106">
        <f t="shared" si="86"/>
        <v>0</v>
      </c>
      <c r="AX35" s="2106">
        <v>0</v>
      </c>
      <c r="AY35" s="2106"/>
      <c r="AZ35" s="2106">
        <f t="shared" si="87"/>
        <v>-66.727108201771273</v>
      </c>
      <c r="BA35" s="2106">
        <f t="shared" si="88"/>
        <v>0.17329029999999998</v>
      </c>
      <c r="BB35" s="2106">
        <v>6.181292</v>
      </c>
      <c r="BC35" s="2106">
        <f t="shared" si="89"/>
        <v>0.23315821352558658</v>
      </c>
      <c r="BD35" s="2106">
        <v>0.1441219</v>
      </c>
      <c r="BE35" s="2106">
        <f t="shared" si="90"/>
        <v>0.56800002329610055</v>
      </c>
      <c r="BF35" s="2106">
        <v>0.3510974</v>
      </c>
      <c r="BG35" s="2106">
        <f t="shared" si="91"/>
        <v>0</v>
      </c>
      <c r="BH35" s="2106">
        <v>0</v>
      </c>
      <c r="BI35" s="2106"/>
      <c r="BJ35" s="2106">
        <f t="shared" si="92"/>
        <v>0.80115823682168719</v>
      </c>
      <c r="BK35" s="2106">
        <f t="shared" si="93"/>
        <v>0.49521930000000003</v>
      </c>
      <c r="BL35" s="2106">
        <v>7.6974669999999996</v>
      </c>
      <c r="BM35" s="2106">
        <f t="shared" si="94"/>
        <v>0.21026046620271321</v>
      </c>
      <c r="BN35" s="2106">
        <v>0.1618473</v>
      </c>
      <c r="BO35" s="2106">
        <f t="shared" si="95"/>
        <v>0.56799996674230624</v>
      </c>
      <c r="BP35" s="2106">
        <v>0.4372161</v>
      </c>
      <c r="BQ35" s="2106">
        <f t="shared" si="96"/>
        <v>0</v>
      </c>
      <c r="BR35" s="2106">
        <v>0</v>
      </c>
      <c r="BS35" s="2106"/>
      <c r="BT35" s="2106">
        <f t="shared" si="97"/>
        <v>0.77826043294501945</v>
      </c>
      <c r="BU35" s="2106">
        <f t="shared" si="98"/>
        <v>0.59906340000000002</v>
      </c>
      <c r="BV35" s="2106">
        <v>5.3193419999999998</v>
      </c>
      <c r="BW35" s="2106">
        <f t="shared" si="99"/>
        <v>0.32524530289648607</v>
      </c>
      <c r="BX35" s="2106">
        <v>0.1730091</v>
      </c>
      <c r="BY35" s="2106">
        <f t="shared" si="100"/>
        <v>0.56799995187374674</v>
      </c>
      <c r="BZ35" s="2106">
        <v>0.30213859999999998</v>
      </c>
      <c r="CA35" s="2106">
        <f t="shared" si="101"/>
        <v>0</v>
      </c>
      <c r="CB35" s="2106">
        <v>0</v>
      </c>
      <c r="CC35" s="2106"/>
      <c r="CD35" s="2106">
        <f t="shared" si="102"/>
        <v>0.89324525477023287</v>
      </c>
      <c r="CE35" s="2106">
        <f t="shared" si="103"/>
        <v>0.47514769999999995</v>
      </c>
      <c r="CF35" s="2106">
        <v>4.9955930000000004</v>
      </c>
      <c r="CG35" s="2106">
        <f t="shared" si="104"/>
        <v>0.33367910476293805</v>
      </c>
      <c r="CH35" s="2106">
        <v>0.16669249999999999</v>
      </c>
      <c r="CI35" s="2106">
        <f t="shared" si="105"/>
        <v>0.56800003523105258</v>
      </c>
      <c r="CJ35" s="2106">
        <v>0.28374969999999999</v>
      </c>
      <c r="CK35" s="2106">
        <f t="shared" si="106"/>
        <v>0</v>
      </c>
      <c r="CL35" s="2106">
        <v>0</v>
      </c>
      <c r="CM35" s="2106"/>
      <c r="CN35" s="2106">
        <f t="shared" si="107"/>
        <v>0.90167913999399063</v>
      </c>
      <c r="CO35" s="2106">
        <f t="shared" si="108"/>
        <v>0.45044220000000001</v>
      </c>
      <c r="CP35" s="2106">
        <v>6.1807689999999997</v>
      </c>
      <c r="CQ35" s="2106">
        <f t="shared" si="109"/>
        <v>0.30794922120532253</v>
      </c>
      <c r="CR35" s="2106">
        <v>0.19033630000000001</v>
      </c>
      <c r="CS35" s="2106">
        <f t="shared" si="110"/>
        <v>0.56800003365277041</v>
      </c>
      <c r="CT35" s="2106">
        <v>0.35106769999999998</v>
      </c>
      <c r="CU35" s="2106">
        <f t="shared" si="111"/>
        <v>0</v>
      </c>
      <c r="CV35" s="2106">
        <v>0</v>
      </c>
      <c r="CW35" s="2106"/>
      <c r="CX35" s="2106">
        <f t="shared" si="112"/>
        <v>0.87594925485809294</v>
      </c>
      <c r="CY35" s="2106">
        <f t="shared" si="113"/>
        <v>0.541404</v>
      </c>
      <c r="CZ35" s="2106">
        <v>7.3847759999999978</v>
      </c>
      <c r="DA35" s="2106">
        <f t="shared" si="46"/>
        <v>0.32754890503787798</v>
      </c>
      <c r="DB35" s="2106">
        <v>0.24188752927499999</v>
      </c>
      <c r="DC35" s="2106">
        <v>0.8063784727346579</v>
      </c>
      <c r="DD35" s="2109">
        <f t="shared" si="47"/>
        <v>0.59549243923675543</v>
      </c>
      <c r="DE35" s="2106"/>
      <c r="DF35" s="2106"/>
      <c r="DG35" s="2106"/>
      <c r="DH35" s="2106">
        <f t="shared" si="114"/>
        <v>1.133927377772536</v>
      </c>
      <c r="DI35" s="2106">
        <f t="shared" si="115"/>
        <v>0.83737996851175545</v>
      </c>
      <c r="DJ35" s="2106">
        <v>7.8282970000000001</v>
      </c>
      <c r="DK35" s="2106">
        <f t="shared" si="50"/>
        <v>0.30899125221615886</v>
      </c>
      <c r="DL35" s="2106">
        <v>0.24188752927499999</v>
      </c>
      <c r="DM35" s="2106">
        <v>0.8063784727346579</v>
      </c>
      <c r="DN35" s="2109">
        <f t="shared" si="51"/>
        <v>0.63125701789733046</v>
      </c>
      <c r="DO35" s="2106"/>
      <c r="DP35" s="2106"/>
      <c r="DQ35" s="2106"/>
      <c r="DR35" s="2106">
        <f t="shared" si="116"/>
        <v>1.1153697249508168</v>
      </c>
      <c r="DS35" s="2106">
        <f t="shared" si="117"/>
        <v>0.87314454717233048</v>
      </c>
      <c r="DT35" s="2106">
        <v>4.0577582000000003</v>
      </c>
      <c r="DU35" s="2106">
        <f t="shared" si="54"/>
        <v>0.59611124505890956</v>
      </c>
      <c r="DV35" s="2106">
        <v>0.24188752927499999</v>
      </c>
      <c r="DW35" s="2106">
        <v>0.8063784727346579</v>
      </c>
      <c r="DX35" s="2109">
        <f t="shared" si="55"/>
        <v>0.32720888600425346</v>
      </c>
      <c r="DY35" s="2106"/>
      <c r="DZ35" s="2106"/>
      <c r="EA35" s="2106"/>
      <c r="EB35" s="2106">
        <f t="shared" si="118"/>
        <v>1.4024897177935673</v>
      </c>
      <c r="EC35" s="2106">
        <f t="shared" si="119"/>
        <v>0.56909641527925348</v>
      </c>
      <c r="ED35" s="2106">
        <f t="shared" si="120"/>
        <v>55.095445199999993</v>
      </c>
      <c r="EE35" s="2107"/>
      <c r="EF35" s="2106">
        <f t="shared" si="121"/>
        <v>0.40779209237154879</v>
      </c>
      <c r="EG35" s="2106">
        <f t="shared" si="122"/>
        <v>2.2467486878249998</v>
      </c>
      <c r="EH35" s="2106">
        <f t="shared" si="123"/>
        <v>0.65137806403247644</v>
      </c>
      <c r="EI35" s="2106">
        <f t="shared" si="124"/>
        <v>3.5887964431383397</v>
      </c>
      <c r="EJ35" s="2106"/>
      <c r="EK35" s="2106">
        <f t="shared" si="125"/>
        <v>0</v>
      </c>
      <c r="EL35" s="2106"/>
      <c r="EM35" s="2106"/>
      <c r="EN35" s="2106">
        <f t="shared" si="126"/>
        <v>5.8355451309633395</v>
      </c>
      <c r="EO35" s="2104">
        <f t="shared" si="127"/>
        <v>1.0591701564040252</v>
      </c>
      <c r="EP35" s="2110"/>
      <c r="ES35" s="2084">
        <f t="shared" si="0"/>
        <v>0</v>
      </c>
      <c r="EU35" s="2084">
        <f t="shared" si="64"/>
        <v>2.0348381</v>
      </c>
      <c r="EV35" s="2084">
        <f t="shared" si="65"/>
        <v>35.824613999999997</v>
      </c>
      <c r="EW35" s="2084">
        <f t="shared" si="66"/>
        <v>0.56800000692261476</v>
      </c>
      <c r="FE35" s="2108"/>
      <c r="FF35" s="2108"/>
      <c r="FG35" s="2108"/>
      <c r="FH35" s="2108"/>
      <c r="FI35" s="2108"/>
      <c r="FJ35" s="2108"/>
      <c r="FK35" s="2108"/>
    </row>
    <row r="36" spans="1:167">
      <c r="A36" s="1760">
        <v>4</v>
      </c>
      <c r="B36" s="1761" t="s">
        <v>1670</v>
      </c>
      <c r="C36" s="2098">
        <v>72</v>
      </c>
      <c r="D36" s="2099">
        <v>0.8</v>
      </c>
      <c r="E36" s="2100"/>
      <c r="F36" s="2099">
        <v>0.48608087888841683</v>
      </c>
      <c r="G36" s="2101">
        <v>57.6</v>
      </c>
      <c r="H36" s="2102" t="s">
        <v>1667</v>
      </c>
      <c r="I36" s="2103">
        <v>2</v>
      </c>
      <c r="J36" s="2104"/>
      <c r="K36" s="2101"/>
      <c r="L36" s="2101"/>
      <c r="M36" s="2105"/>
      <c r="N36" s="2106">
        <v>5.4733049999999999</v>
      </c>
      <c r="O36" s="2106">
        <f t="shared" si="69"/>
        <v>2.0516784648397994</v>
      </c>
      <c r="P36" s="2106">
        <v>1.1229461999999999</v>
      </c>
      <c r="Q36" s="2106">
        <f t="shared" si="70"/>
        <v>0.43699994792908486</v>
      </c>
      <c r="R36" s="2106">
        <v>0.23918339999999999</v>
      </c>
      <c r="S36" s="2106">
        <f t="shared" si="71"/>
        <v>0</v>
      </c>
      <c r="T36" s="2106">
        <v>0</v>
      </c>
      <c r="U36" s="2106"/>
      <c r="V36" s="2106">
        <f t="shared" si="72"/>
        <v>2.4886784127688841</v>
      </c>
      <c r="W36" s="2106">
        <f t="shared" si="73"/>
        <v>1.3621295999999998</v>
      </c>
      <c r="X36" s="2106">
        <v>20.551030999999998</v>
      </c>
      <c r="Y36" s="2106">
        <f t="shared" si="74"/>
        <v>0.57968770520564161</v>
      </c>
      <c r="Z36" s="2106">
        <v>1.1913180000000001</v>
      </c>
      <c r="AA36" s="2106">
        <f t="shared" si="75"/>
        <v>0.43699997338333052</v>
      </c>
      <c r="AB36" s="2106">
        <v>0.89807999999999999</v>
      </c>
      <c r="AC36" s="2106">
        <f t="shared" si="76"/>
        <v>0</v>
      </c>
      <c r="AD36" s="2106">
        <v>0</v>
      </c>
      <c r="AE36" s="2106"/>
      <c r="AF36" s="2106">
        <f t="shared" si="77"/>
        <v>1.016687678588972</v>
      </c>
      <c r="AG36" s="2106">
        <f t="shared" si="78"/>
        <v>2.0893980000000001</v>
      </c>
      <c r="AH36" s="2106">
        <v>30.233270999999998</v>
      </c>
      <c r="AI36" s="2106">
        <f t="shared" si="79"/>
        <v>0.36804932552617287</v>
      </c>
      <c r="AJ36" s="2106">
        <v>1.1127335</v>
      </c>
      <c r="AK36" s="2106">
        <f t="shared" si="80"/>
        <v>0.43699998587648681</v>
      </c>
      <c r="AL36" s="2106">
        <v>1.3211938999999999</v>
      </c>
      <c r="AM36" s="2106">
        <f t="shared" si="81"/>
        <v>0</v>
      </c>
      <c r="AN36" s="2106">
        <v>0</v>
      </c>
      <c r="AO36" s="2106">
        <v>0</v>
      </c>
      <c r="AP36" s="2106">
        <f t="shared" si="82"/>
        <v>0.80504931140265967</v>
      </c>
      <c r="AQ36" s="2106">
        <f t="shared" si="83"/>
        <v>2.4339274</v>
      </c>
      <c r="AR36" s="2106">
        <v>30.985384</v>
      </c>
      <c r="AS36" s="2106">
        <f t="shared" si="84"/>
        <v>0.38099411645180836</v>
      </c>
      <c r="AT36" s="2106">
        <v>1.1805249</v>
      </c>
      <c r="AU36" s="2106">
        <f t="shared" si="85"/>
        <v>0.43700000619646989</v>
      </c>
      <c r="AV36" s="2106">
        <v>1.3540612999999999</v>
      </c>
      <c r="AW36" s="2106">
        <f t="shared" si="86"/>
        <v>0</v>
      </c>
      <c r="AX36" s="2106">
        <v>0</v>
      </c>
      <c r="AY36" s="2106"/>
      <c r="AZ36" s="2106">
        <f t="shared" si="87"/>
        <v>0.81799412264827809</v>
      </c>
      <c r="BA36" s="2106">
        <f t="shared" si="88"/>
        <v>2.5345861999999997</v>
      </c>
      <c r="BB36" s="2106">
        <v>33.432423</v>
      </c>
      <c r="BC36" s="2106">
        <f t="shared" si="89"/>
        <v>0.35199578564796219</v>
      </c>
      <c r="BD36" s="2106">
        <v>1.1768072000000001</v>
      </c>
      <c r="BE36" s="2106">
        <f t="shared" si="90"/>
        <v>0.43700000445675147</v>
      </c>
      <c r="BF36" s="2106">
        <v>1.4609969</v>
      </c>
      <c r="BG36" s="2106">
        <f t="shared" si="91"/>
        <v>0</v>
      </c>
      <c r="BH36" s="2106">
        <v>0</v>
      </c>
      <c r="BI36" s="2106"/>
      <c r="BJ36" s="2106">
        <f t="shared" si="92"/>
        <v>0.78899579010471377</v>
      </c>
      <c r="BK36" s="2106">
        <f t="shared" si="93"/>
        <v>2.6378041000000003</v>
      </c>
      <c r="BL36" s="2106">
        <v>38.585045600000001</v>
      </c>
      <c r="BM36" s="2106">
        <f t="shared" si="94"/>
        <v>0.30002468106452101</v>
      </c>
      <c r="BN36" s="2106">
        <v>1.1576466000000001</v>
      </c>
      <c r="BO36" s="2106">
        <f t="shared" si="95"/>
        <v>0.43700000188674126</v>
      </c>
      <c r="BP36" s="2106">
        <v>1.6861664999999999</v>
      </c>
      <c r="BQ36" s="2106">
        <f t="shared" si="96"/>
        <v>0</v>
      </c>
      <c r="BR36" s="2106">
        <v>0</v>
      </c>
      <c r="BS36" s="2106"/>
      <c r="BT36" s="2106">
        <f t="shared" si="97"/>
        <v>0.73702468295126233</v>
      </c>
      <c r="BU36" s="2106">
        <f t="shared" si="98"/>
        <v>2.8438131000000002</v>
      </c>
      <c r="BV36" s="2106">
        <v>39.651673000000002</v>
      </c>
      <c r="BW36" s="2106">
        <f t="shared" si="99"/>
        <v>0.30102046387803105</v>
      </c>
      <c r="BX36" s="2106">
        <v>1.1935964999999999</v>
      </c>
      <c r="BY36" s="2106">
        <f t="shared" si="100"/>
        <v>0.4369999974528187</v>
      </c>
      <c r="BZ36" s="2106">
        <v>1.7327781</v>
      </c>
      <c r="CA36" s="2106">
        <f t="shared" si="101"/>
        <v>0</v>
      </c>
      <c r="CB36" s="2106">
        <v>0</v>
      </c>
      <c r="CC36" s="2106"/>
      <c r="CD36" s="2106">
        <f t="shared" si="102"/>
        <v>0.73802046133084964</v>
      </c>
      <c r="CE36" s="2106">
        <f t="shared" si="103"/>
        <v>2.9263745999999999</v>
      </c>
      <c r="CF36" s="2106">
        <v>17.627192000000001</v>
      </c>
      <c r="CG36" s="2106">
        <f t="shared" si="104"/>
        <v>0.65127446277319723</v>
      </c>
      <c r="CH36" s="2106">
        <v>1.1480140000000001</v>
      </c>
      <c r="CI36" s="2106">
        <f t="shared" si="105"/>
        <v>0.43700000544613116</v>
      </c>
      <c r="CJ36" s="2106">
        <v>0.77030829999999995</v>
      </c>
      <c r="CK36" s="2106">
        <f t="shared" si="106"/>
        <v>0</v>
      </c>
      <c r="CL36" s="2106">
        <v>0</v>
      </c>
      <c r="CM36" s="2106"/>
      <c r="CN36" s="2106">
        <f t="shared" si="107"/>
        <v>1.0882744682193284</v>
      </c>
      <c r="CO36" s="2106">
        <f t="shared" si="108"/>
        <v>1.9183223</v>
      </c>
      <c r="CP36" s="2106">
        <v>12.551676</v>
      </c>
      <c r="CQ36" s="2106">
        <f t="shared" si="109"/>
        <v>0.9491305384237132</v>
      </c>
      <c r="CR36" s="2106">
        <v>1.1913179</v>
      </c>
      <c r="CS36" s="2106">
        <f t="shared" si="110"/>
        <v>0.43699996717569828</v>
      </c>
      <c r="CT36" s="2106">
        <v>0.5485082</v>
      </c>
      <c r="CU36" s="2106">
        <f t="shared" si="111"/>
        <v>0</v>
      </c>
      <c r="CV36" s="2106">
        <v>0</v>
      </c>
      <c r="CW36" s="2106"/>
      <c r="CX36" s="2106">
        <f t="shared" si="112"/>
        <v>1.3861305055994118</v>
      </c>
      <c r="CY36" s="2106">
        <f t="shared" si="113"/>
        <v>1.7398261000000002</v>
      </c>
      <c r="CZ36" s="2106">
        <v>10.872318399999999</v>
      </c>
      <c r="DA36" s="2106">
        <f t="shared" si="46"/>
        <v>0.98958681665586623</v>
      </c>
      <c r="DB36" s="2106">
        <v>1.0759102955124999</v>
      </c>
      <c r="DC36" s="2106">
        <v>0.49423692515202605</v>
      </c>
      <c r="DD36" s="2109">
        <f t="shared" si="47"/>
        <v>0.53735012152897954</v>
      </c>
      <c r="DE36" s="2106"/>
      <c r="DF36" s="2106"/>
      <c r="DG36" s="2106"/>
      <c r="DH36" s="2106">
        <f t="shared" si="114"/>
        <v>1.4838237418078923</v>
      </c>
      <c r="DI36" s="2106">
        <f t="shared" si="115"/>
        <v>1.6132604170414795</v>
      </c>
      <c r="DJ36" s="2106">
        <v>9.3639764000000003</v>
      </c>
      <c r="DK36" s="2106">
        <f t="shared" si="50"/>
        <v>1.1489886876610453</v>
      </c>
      <c r="DL36" s="2106">
        <v>1.0759102955124999</v>
      </c>
      <c r="DM36" s="2106">
        <v>0.49423692515202605</v>
      </c>
      <c r="DN36" s="2109">
        <f t="shared" si="51"/>
        <v>0.46280229031321385</v>
      </c>
      <c r="DO36" s="2106"/>
      <c r="DP36" s="2106"/>
      <c r="DQ36" s="2106"/>
      <c r="DR36" s="2106">
        <f t="shared" si="116"/>
        <v>1.6432256128130711</v>
      </c>
      <c r="DS36" s="2106">
        <f t="shared" si="117"/>
        <v>1.5387125858257138</v>
      </c>
      <c r="DT36" s="2106">
        <v>13.485856500000002</v>
      </c>
      <c r="DU36" s="2106">
        <f t="shared" si="54"/>
        <v>0.79780642446588379</v>
      </c>
      <c r="DV36" s="2106">
        <v>1.0759102955124999</v>
      </c>
      <c r="DW36" s="2106">
        <v>0.49423692515202605</v>
      </c>
      <c r="DX36" s="2109">
        <f t="shared" si="55"/>
        <v>0.66652082496014653</v>
      </c>
      <c r="DY36" s="2106"/>
      <c r="DZ36" s="2106"/>
      <c r="EA36" s="2106"/>
      <c r="EB36" s="2106">
        <f t="shared" si="118"/>
        <v>1.2920433496179098</v>
      </c>
      <c r="EC36" s="2106">
        <f t="shared" si="119"/>
        <v>1.7424311204726464</v>
      </c>
      <c r="ED36" s="2106">
        <f t="shared" si="120"/>
        <v>262.81315190000004</v>
      </c>
      <c r="EE36" s="2107"/>
      <c r="EF36" s="2106">
        <f t="shared" si="121"/>
        <v>0.52138317993124372</v>
      </c>
      <c r="EG36" s="2106">
        <f t="shared" si="122"/>
        <v>13.7026356865375</v>
      </c>
      <c r="EH36" s="2106">
        <f t="shared" si="123"/>
        <v>0.44434419481585835</v>
      </c>
      <c r="EI36" s="2106">
        <f t="shared" si="124"/>
        <v>11.677949836802339</v>
      </c>
      <c r="EJ36" s="2106"/>
      <c r="EK36" s="2106">
        <f t="shared" si="125"/>
        <v>0</v>
      </c>
      <c r="EL36" s="2106"/>
      <c r="EM36" s="2106"/>
      <c r="EN36" s="2106">
        <f t="shared" si="126"/>
        <v>25.380585523339839</v>
      </c>
      <c r="EO36" s="2104">
        <f t="shared" si="127"/>
        <v>0.96572737474710202</v>
      </c>
      <c r="EP36" s="2110"/>
      <c r="ES36" s="2084">
        <f t="shared" si="0"/>
        <v>0</v>
      </c>
      <c r="EU36" s="2084">
        <f t="shared" si="64"/>
        <v>10.0112766</v>
      </c>
      <c r="EV36" s="2084">
        <f t="shared" si="65"/>
        <v>229.09100060000003</v>
      </c>
      <c r="EW36" s="2084">
        <f t="shared" si="66"/>
        <v>0.436999994490399</v>
      </c>
      <c r="FE36" s="2108"/>
      <c r="FF36" s="2108"/>
      <c r="FG36" s="2108"/>
      <c r="FH36" s="2108"/>
      <c r="FI36" s="2108"/>
      <c r="FJ36" s="2108"/>
      <c r="FK36" s="2108"/>
    </row>
    <row r="37" spans="1:167">
      <c r="A37" s="1760">
        <v>5</v>
      </c>
      <c r="B37" s="1761" t="s">
        <v>1671</v>
      </c>
      <c r="C37" s="2098">
        <v>0</v>
      </c>
      <c r="D37" s="2099" t="s">
        <v>1594</v>
      </c>
      <c r="E37" s="2100"/>
      <c r="F37" s="2099">
        <v>0.18495871183272258</v>
      </c>
      <c r="G37" s="2101">
        <v>13.7</v>
      </c>
      <c r="H37" s="2102" t="s">
        <v>1667</v>
      </c>
      <c r="I37" s="2103">
        <v>2</v>
      </c>
      <c r="J37" s="2104"/>
      <c r="K37" s="2101"/>
      <c r="L37" s="2101"/>
      <c r="M37" s="2105"/>
      <c r="N37" s="2106">
        <v>2.2774369999999999</v>
      </c>
      <c r="O37" s="2106">
        <f t="shared" si="69"/>
        <v>0</v>
      </c>
      <c r="P37" s="2106">
        <v>0</v>
      </c>
      <c r="Q37" s="2106">
        <f t="shared" si="70"/>
        <v>2.8300001273361239</v>
      </c>
      <c r="R37" s="2106">
        <v>0.6445147</v>
      </c>
      <c r="S37" s="2106">
        <f t="shared" si="71"/>
        <v>0</v>
      </c>
      <c r="T37" s="2106">
        <v>0</v>
      </c>
      <c r="U37" s="2106"/>
      <c r="V37" s="2106">
        <f t="shared" si="72"/>
        <v>2.8300001273361239</v>
      </c>
      <c r="W37" s="2106">
        <f t="shared" si="73"/>
        <v>0.6445147</v>
      </c>
      <c r="X37" s="2106">
        <v>1.689781</v>
      </c>
      <c r="Y37" s="2106">
        <f t="shared" si="74"/>
        <v>0</v>
      </c>
      <c r="Z37" s="2106">
        <v>0</v>
      </c>
      <c r="AA37" s="2106">
        <f t="shared" si="75"/>
        <v>2.8299998638876871</v>
      </c>
      <c r="AB37" s="2106">
        <v>0.47820800000000002</v>
      </c>
      <c r="AC37" s="2106">
        <f t="shared" si="76"/>
        <v>0</v>
      </c>
      <c r="AD37" s="2106">
        <v>0</v>
      </c>
      <c r="AE37" s="2106"/>
      <c r="AF37" s="2106">
        <f t="shared" si="77"/>
        <v>2.8299998638876871</v>
      </c>
      <c r="AG37" s="2106">
        <f t="shared" si="78"/>
        <v>0.47820800000000002</v>
      </c>
      <c r="AH37" s="2106">
        <v>1.92527</v>
      </c>
      <c r="AI37" s="2106">
        <f t="shared" si="79"/>
        <v>0</v>
      </c>
      <c r="AJ37" s="2106">
        <v>0</v>
      </c>
      <c r="AK37" s="2106">
        <f t="shared" si="80"/>
        <v>2.8299999480592328</v>
      </c>
      <c r="AL37" s="2106">
        <v>0.54485139999999999</v>
      </c>
      <c r="AM37" s="2106">
        <f t="shared" si="81"/>
        <v>0</v>
      </c>
      <c r="AN37" s="2106">
        <v>0</v>
      </c>
      <c r="AO37" s="2106">
        <v>0</v>
      </c>
      <c r="AP37" s="2106">
        <f t="shared" si="82"/>
        <v>2.8299999480592328</v>
      </c>
      <c r="AQ37" s="2106">
        <f t="shared" si="83"/>
        <v>0.54485139999999999</v>
      </c>
      <c r="AR37" s="2106">
        <v>2.5537269999999999</v>
      </c>
      <c r="AS37" s="2106">
        <f t="shared" si="84"/>
        <v>0</v>
      </c>
      <c r="AT37" s="2106">
        <v>0</v>
      </c>
      <c r="AU37" s="2106">
        <f t="shared" si="85"/>
        <v>2.8299998394503407</v>
      </c>
      <c r="AV37" s="2106">
        <v>0.72270469999999998</v>
      </c>
      <c r="AW37" s="2106">
        <f t="shared" si="86"/>
        <v>0</v>
      </c>
      <c r="AX37" s="2106">
        <v>0</v>
      </c>
      <c r="AY37" s="2106"/>
      <c r="AZ37" s="2106">
        <f t="shared" si="87"/>
        <v>2.8299998394503407</v>
      </c>
      <c r="BA37" s="2106">
        <f t="shared" si="88"/>
        <v>0.72270469999999998</v>
      </c>
      <c r="BB37" s="2106">
        <v>2.3022179999999999</v>
      </c>
      <c r="BC37" s="2106">
        <f t="shared" si="89"/>
        <v>0</v>
      </c>
      <c r="BD37" s="2106">
        <v>0</v>
      </c>
      <c r="BE37" s="2106">
        <f t="shared" si="90"/>
        <v>2.8300000260618239</v>
      </c>
      <c r="BF37" s="2106">
        <v>0.65152770000000004</v>
      </c>
      <c r="BG37" s="2106">
        <f t="shared" si="91"/>
        <v>0</v>
      </c>
      <c r="BH37" s="2106">
        <v>0</v>
      </c>
      <c r="BI37" s="2106"/>
      <c r="BJ37" s="2106">
        <f t="shared" si="92"/>
        <v>2.8300000260618239</v>
      </c>
      <c r="BK37" s="2106">
        <f t="shared" si="93"/>
        <v>0.65152770000000004</v>
      </c>
      <c r="BL37" s="2106">
        <v>1.8907860000000001</v>
      </c>
      <c r="BM37" s="2106">
        <f t="shared" si="94"/>
        <v>0</v>
      </c>
      <c r="BN37" s="2106">
        <v>0</v>
      </c>
      <c r="BO37" s="2106">
        <f t="shared" si="95"/>
        <v>2.8299997990253791</v>
      </c>
      <c r="BP37" s="2106">
        <v>0.53509240000000002</v>
      </c>
      <c r="BQ37" s="2106">
        <f t="shared" si="96"/>
        <v>0</v>
      </c>
      <c r="BR37" s="2106">
        <v>0</v>
      </c>
      <c r="BS37" s="2106"/>
      <c r="BT37" s="2106">
        <f t="shared" si="97"/>
        <v>2.8299997990253791</v>
      </c>
      <c r="BU37" s="2106">
        <f t="shared" si="98"/>
        <v>0.53509240000000002</v>
      </c>
      <c r="BV37" s="2106">
        <v>1.211846</v>
      </c>
      <c r="BW37" s="2106">
        <f t="shared" si="99"/>
        <v>0</v>
      </c>
      <c r="BX37" s="2106">
        <v>0</v>
      </c>
      <c r="BY37" s="2106">
        <f t="shared" si="100"/>
        <v>2.8299998514662756</v>
      </c>
      <c r="BZ37" s="2106">
        <v>0.34295239999999999</v>
      </c>
      <c r="CA37" s="2106">
        <f t="shared" si="101"/>
        <v>0</v>
      </c>
      <c r="CB37" s="2106">
        <v>0</v>
      </c>
      <c r="CC37" s="2106"/>
      <c r="CD37" s="2106">
        <f t="shared" si="102"/>
        <v>2.8299998514662756</v>
      </c>
      <c r="CE37" s="2106">
        <f t="shared" si="103"/>
        <v>0.34295239999999999</v>
      </c>
      <c r="CF37" s="2106">
        <v>0.72895299999999996</v>
      </c>
      <c r="CG37" s="2106">
        <f t="shared" si="104"/>
        <v>0</v>
      </c>
      <c r="CH37" s="2106">
        <v>0</v>
      </c>
      <c r="CI37" s="2106">
        <f t="shared" si="105"/>
        <v>2.8300000137183057</v>
      </c>
      <c r="CJ37" s="2106">
        <v>0.2062937</v>
      </c>
      <c r="CK37" s="2106">
        <f t="shared" si="106"/>
        <v>0</v>
      </c>
      <c r="CL37" s="2106">
        <v>0</v>
      </c>
      <c r="CM37" s="2106"/>
      <c r="CN37" s="2106">
        <f t="shared" si="107"/>
        <v>2.8300000137183057</v>
      </c>
      <c r="CO37" s="2106">
        <f t="shared" si="108"/>
        <v>0.2062937</v>
      </c>
      <c r="CP37" s="2106">
        <v>3.4106420000000002</v>
      </c>
      <c r="CQ37" s="2106">
        <f t="shared" si="109"/>
        <v>0</v>
      </c>
      <c r="CR37" s="2106">
        <v>0</v>
      </c>
      <c r="CS37" s="2106">
        <f t="shared" si="110"/>
        <v>2.8300000410479904</v>
      </c>
      <c r="CT37" s="2106">
        <v>0.96521170000000001</v>
      </c>
      <c r="CU37" s="2106">
        <f t="shared" si="111"/>
        <v>0</v>
      </c>
      <c r="CV37" s="2106">
        <v>0</v>
      </c>
      <c r="CW37" s="2106"/>
      <c r="CX37" s="2106">
        <f t="shared" si="112"/>
        <v>2.8300000410479904</v>
      </c>
      <c r="CY37" s="2106">
        <f t="shared" si="113"/>
        <v>0.96521170000000001</v>
      </c>
      <c r="CZ37" s="2106">
        <v>2.5584682000000005</v>
      </c>
      <c r="DA37" s="2106">
        <f t="shared" si="46"/>
        <v>0</v>
      </c>
      <c r="DB37" s="2106">
        <v>0</v>
      </c>
      <c r="DC37" s="2106">
        <v>2.8866002430977296</v>
      </c>
      <c r="DD37" s="2109">
        <f t="shared" si="47"/>
        <v>0.73852749280778118</v>
      </c>
      <c r="DE37" s="2106"/>
      <c r="DF37" s="2106"/>
      <c r="DG37" s="2106"/>
      <c r="DH37" s="2106">
        <f t="shared" si="114"/>
        <v>2.8866002430977296</v>
      </c>
      <c r="DI37" s="2106">
        <f t="shared" si="115"/>
        <v>0.73852749280778118</v>
      </c>
      <c r="DJ37" s="2106">
        <v>3.3073771999999995</v>
      </c>
      <c r="DK37" s="2106">
        <f t="shared" si="50"/>
        <v>0</v>
      </c>
      <c r="DL37" s="2106">
        <v>0</v>
      </c>
      <c r="DM37" s="2106">
        <v>2.8866002430977296</v>
      </c>
      <c r="DN37" s="2109">
        <f t="shared" si="51"/>
        <v>0.95470758295358871</v>
      </c>
      <c r="DO37" s="2106"/>
      <c r="DP37" s="2106"/>
      <c r="DQ37" s="2106"/>
      <c r="DR37" s="2106">
        <f t="shared" si="116"/>
        <v>2.8866002430977296</v>
      </c>
      <c r="DS37" s="2106">
        <f t="shared" si="117"/>
        <v>0.95470758295358871</v>
      </c>
      <c r="DT37" s="2106">
        <v>2.5481132200000007</v>
      </c>
      <c r="DU37" s="2106">
        <f t="shared" si="54"/>
        <v>0</v>
      </c>
      <c r="DV37" s="2106">
        <v>0</v>
      </c>
      <c r="DW37" s="2106">
        <v>2.8866002430977296</v>
      </c>
      <c r="DX37" s="2109">
        <f t="shared" si="55"/>
        <v>0.73553842402925407</v>
      </c>
      <c r="DY37" s="2106"/>
      <c r="DZ37" s="2106"/>
      <c r="EA37" s="2106"/>
      <c r="EB37" s="2106">
        <f t="shared" si="118"/>
        <v>2.8866002430977296</v>
      </c>
      <c r="EC37" s="2106">
        <f t="shared" si="119"/>
        <v>0.73553842402925407</v>
      </c>
      <c r="ED37" s="2106">
        <f t="shared" si="120"/>
        <v>26.404618620000004</v>
      </c>
      <c r="EE37" s="2107"/>
      <c r="EF37" s="2106">
        <f t="shared" si="121"/>
        <v>0</v>
      </c>
      <c r="EG37" s="2106">
        <f t="shared" si="122"/>
        <v>0</v>
      </c>
      <c r="EH37" s="2106">
        <f t="shared" si="123"/>
        <v>2.8480359091778555</v>
      </c>
      <c r="EI37" s="2106">
        <f t="shared" si="124"/>
        <v>7.5201301997906249</v>
      </c>
      <c r="EJ37" s="2106"/>
      <c r="EK37" s="2106">
        <f t="shared" si="125"/>
        <v>0</v>
      </c>
      <c r="EL37" s="2106"/>
      <c r="EM37" s="2106"/>
      <c r="EN37" s="2106">
        <f t="shared" si="126"/>
        <v>7.5201301997906249</v>
      </c>
      <c r="EO37" s="2104">
        <f t="shared" si="127"/>
        <v>2.8480359091778555</v>
      </c>
      <c r="EP37" s="2110"/>
      <c r="ES37" s="2084">
        <f t="shared" si="0"/>
        <v>0</v>
      </c>
      <c r="EU37" s="2084">
        <f t="shared" si="64"/>
        <v>5.0913567000000004</v>
      </c>
      <c r="EV37" s="2084">
        <f t="shared" si="65"/>
        <v>17.990660000000002</v>
      </c>
      <c r="EW37" s="2084">
        <f t="shared" si="66"/>
        <v>2.8299999555324815</v>
      </c>
      <c r="FE37" s="2108"/>
      <c r="FF37" s="2108"/>
      <c r="FG37" s="2108"/>
      <c r="FH37" s="2108"/>
      <c r="FI37" s="2108"/>
      <c r="FJ37" s="2108"/>
      <c r="FK37" s="2108"/>
    </row>
    <row r="38" spans="1:167">
      <c r="A38" s="1760">
        <v>6</v>
      </c>
      <c r="B38" s="1761" t="s">
        <v>1672</v>
      </c>
      <c r="C38" s="2098">
        <v>0</v>
      </c>
      <c r="D38" s="2099" t="s">
        <v>1594</v>
      </c>
      <c r="E38" s="2100"/>
      <c r="F38" s="2099">
        <v>7.2763813636785066E-2</v>
      </c>
      <c r="G38" s="2101">
        <v>3.6</v>
      </c>
      <c r="H38" s="2102" t="s">
        <v>1667</v>
      </c>
      <c r="I38" s="2103">
        <v>2</v>
      </c>
      <c r="J38" s="2104"/>
      <c r="K38" s="2101"/>
      <c r="L38" s="2101"/>
      <c r="M38" s="2105"/>
      <c r="N38" s="2106">
        <v>-2.8500000000000001E-3</v>
      </c>
      <c r="O38" s="2106">
        <f t="shared" si="69"/>
        <v>0</v>
      </c>
      <c r="P38" s="2106">
        <v>0</v>
      </c>
      <c r="Q38" s="2106">
        <f t="shared" si="70"/>
        <v>1.54</v>
      </c>
      <c r="R38" s="2106">
        <v>-4.3889999999999999E-4</v>
      </c>
      <c r="S38" s="2106">
        <f t="shared" si="71"/>
        <v>0</v>
      </c>
      <c r="T38" s="2106">
        <v>0</v>
      </c>
      <c r="U38" s="2106"/>
      <c r="V38" s="2106">
        <f t="shared" si="72"/>
        <v>1.54</v>
      </c>
      <c r="W38" s="2106">
        <f t="shared" si="73"/>
        <v>-4.3889999999999999E-4</v>
      </c>
      <c r="X38" s="2106">
        <v>8.7499999999999994E-2</v>
      </c>
      <c r="Y38" s="2106">
        <f t="shared" si="74"/>
        <v>0</v>
      </c>
      <c r="Z38" s="2106">
        <v>0</v>
      </c>
      <c r="AA38" s="2106">
        <f t="shared" si="75"/>
        <v>1.5400000000000003</v>
      </c>
      <c r="AB38" s="2106">
        <v>1.3475000000000001E-2</v>
      </c>
      <c r="AC38" s="2106">
        <f t="shared" si="76"/>
        <v>0</v>
      </c>
      <c r="AD38" s="2106">
        <v>0</v>
      </c>
      <c r="AE38" s="2106"/>
      <c r="AF38" s="2106">
        <f t="shared" si="77"/>
        <v>1.5400000000000003</v>
      </c>
      <c r="AG38" s="2106">
        <f t="shared" si="78"/>
        <v>1.3475000000000001E-2</v>
      </c>
      <c r="AH38" s="2106">
        <v>0.1026</v>
      </c>
      <c r="AI38" s="2106">
        <f t="shared" si="79"/>
        <v>0</v>
      </c>
      <c r="AJ38" s="2106">
        <v>0</v>
      </c>
      <c r="AK38" s="2106">
        <f t="shared" si="80"/>
        <v>1.54</v>
      </c>
      <c r="AL38" s="2106">
        <v>1.5800399999999999E-2</v>
      </c>
      <c r="AM38" s="2106">
        <f t="shared" si="81"/>
        <v>0</v>
      </c>
      <c r="AN38" s="2106">
        <v>0</v>
      </c>
      <c r="AO38" s="2106">
        <v>0</v>
      </c>
      <c r="AP38" s="2106">
        <f t="shared" si="82"/>
        <v>1.54</v>
      </c>
      <c r="AQ38" s="2106">
        <f t="shared" si="83"/>
        <v>1.5800399999999999E-2</v>
      </c>
      <c r="AR38" s="2106">
        <v>-4.0000000000000001E-3</v>
      </c>
      <c r="AS38" s="2106">
        <f t="shared" si="84"/>
        <v>0</v>
      </c>
      <c r="AT38" s="2106">
        <v>0</v>
      </c>
      <c r="AU38" s="2106">
        <f t="shared" si="85"/>
        <v>1.54</v>
      </c>
      <c r="AV38" s="2106">
        <v>-6.1600000000000001E-4</v>
      </c>
      <c r="AW38" s="2106">
        <f t="shared" si="86"/>
        <v>0</v>
      </c>
      <c r="AX38" s="2106">
        <v>0</v>
      </c>
      <c r="AY38" s="2106"/>
      <c r="AZ38" s="2106">
        <f t="shared" si="87"/>
        <v>1.54</v>
      </c>
      <c r="BA38" s="2106">
        <f t="shared" si="88"/>
        <v>-6.1600000000000001E-4</v>
      </c>
      <c r="BB38" s="2106">
        <v>5.1799999999999999E-2</v>
      </c>
      <c r="BC38" s="2106">
        <f t="shared" si="89"/>
        <v>0</v>
      </c>
      <c r="BD38" s="2106">
        <v>0</v>
      </c>
      <c r="BE38" s="2106">
        <f t="shared" si="90"/>
        <v>1.54</v>
      </c>
      <c r="BF38" s="2106">
        <v>7.9772000000000003E-3</v>
      </c>
      <c r="BG38" s="2106">
        <f t="shared" si="91"/>
        <v>0</v>
      </c>
      <c r="BH38" s="2106">
        <v>0</v>
      </c>
      <c r="BI38" s="2106"/>
      <c r="BJ38" s="2106">
        <f t="shared" si="92"/>
        <v>1.54</v>
      </c>
      <c r="BK38" s="2106">
        <f t="shared" si="93"/>
        <v>7.9772000000000003E-3</v>
      </c>
      <c r="BL38" s="2106">
        <v>4.1700000000000001E-2</v>
      </c>
      <c r="BM38" s="2106">
        <f t="shared" si="94"/>
        <v>0</v>
      </c>
      <c r="BN38" s="2106">
        <v>0</v>
      </c>
      <c r="BO38" s="2106">
        <f t="shared" si="95"/>
        <v>1.54</v>
      </c>
      <c r="BP38" s="2106">
        <v>6.4218000000000001E-3</v>
      </c>
      <c r="BQ38" s="2106">
        <f t="shared" si="96"/>
        <v>0</v>
      </c>
      <c r="BR38" s="2106">
        <v>0</v>
      </c>
      <c r="BS38" s="2106"/>
      <c r="BT38" s="2106">
        <f t="shared" si="97"/>
        <v>1.54</v>
      </c>
      <c r="BU38" s="2106">
        <f t="shared" si="98"/>
        <v>6.4218000000000001E-3</v>
      </c>
      <c r="BV38" s="2106">
        <v>4.6649999999999997E-2</v>
      </c>
      <c r="BW38" s="2106">
        <f t="shared" si="99"/>
        <v>0</v>
      </c>
      <c r="BX38" s="2106">
        <v>0</v>
      </c>
      <c r="BY38" s="2106">
        <f t="shared" si="100"/>
        <v>1.54</v>
      </c>
      <c r="BZ38" s="2106">
        <v>7.1840999999999997E-3</v>
      </c>
      <c r="CA38" s="2106">
        <f t="shared" si="101"/>
        <v>0</v>
      </c>
      <c r="CB38" s="2106">
        <v>0</v>
      </c>
      <c r="CC38" s="2106"/>
      <c r="CD38" s="2106">
        <f t="shared" si="102"/>
        <v>1.54</v>
      </c>
      <c r="CE38" s="2106">
        <f t="shared" si="103"/>
        <v>7.1840999999999997E-3</v>
      </c>
      <c r="CF38" s="2106">
        <v>0.12345</v>
      </c>
      <c r="CG38" s="2106">
        <f t="shared" si="104"/>
        <v>0</v>
      </c>
      <c r="CH38" s="2106">
        <v>0</v>
      </c>
      <c r="CI38" s="2106">
        <f t="shared" si="105"/>
        <v>1.5399999999999996</v>
      </c>
      <c r="CJ38" s="2106">
        <v>1.9011299999999998E-2</v>
      </c>
      <c r="CK38" s="2106">
        <f t="shared" si="106"/>
        <v>0</v>
      </c>
      <c r="CL38" s="2106">
        <v>0</v>
      </c>
      <c r="CM38" s="2106"/>
      <c r="CN38" s="2106">
        <f t="shared" si="107"/>
        <v>1.5399999999999996</v>
      </c>
      <c r="CO38" s="2106">
        <f t="shared" si="108"/>
        <v>1.9011299999999998E-2</v>
      </c>
      <c r="CP38" s="2106">
        <v>0.10745</v>
      </c>
      <c r="CQ38" s="2106">
        <f t="shared" si="109"/>
        <v>0</v>
      </c>
      <c r="CR38" s="2106">
        <v>0</v>
      </c>
      <c r="CS38" s="2106">
        <f t="shared" si="110"/>
        <v>1.54</v>
      </c>
      <c r="CT38" s="2106">
        <v>1.6547300000000001E-2</v>
      </c>
      <c r="CU38" s="2106">
        <f t="shared" si="111"/>
        <v>0</v>
      </c>
      <c r="CV38" s="2106">
        <v>0</v>
      </c>
      <c r="CW38" s="2106"/>
      <c r="CX38" s="2106">
        <f t="shared" si="112"/>
        <v>1.54</v>
      </c>
      <c r="CY38" s="2106">
        <f t="shared" si="113"/>
        <v>1.6547300000000001E-2</v>
      </c>
      <c r="CZ38" s="2106">
        <v>0.22782000000000002</v>
      </c>
      <c r="DA38" s="2106">
        <f t="shared" si="46"/>
        <v>0</v>
      </c>
      <c r="DB38" s="2106">
        <v>0</v>
      </c>
      <c r="DC38" s="2106">
        <v>1.9717344476958381</v>
      </c>
      <c r="DD38" s="2109">
        <f t="shared" si="47"/>
        <v>4.4920054187406591E-2</v>
      </c>
      <c r="DE38" s="2106"/>
      <c r="DF38" s="2106"/>
      <c r="DG38" s="2106"/>
      <c r="DH38" s="2106">
        <f t="shared" si="114"/>
        <v>1.9717344476958383</v>
      </c>
      <c r="DI38" s="2106">
        <f t="shared" si="115"/>
        <v>4.4920054187406591E-2</v>
      </c>
      <c r="DJ38" s="2106">
        <v>0.69722000000000017</v>
      </c>
      <c r="DK38" s="2106">
        <f t="shared" si="50"/>
        <v>0</v>
      </c>
      <c r="DL38" s="2106">
        <v>0</v>
      </c>
      <c r="DM38" s="2106">
        <v>1.9717344476958381</v>
      </c>
      <c r="DN38" s="2109">
        <f t="shared" si="51"/>
        <v>0.13747326916224925</v>
      </c>
      <c r="DO38" s="2106"/>
      <c r="DP38" s="2106"/>
      <c r="DQ38" s="2106"/>
      <c r="DR38" s="2106">
        <f t="shared" si="116"/>
        <v>1.9717344476958378</v>
      </c>
      <c r="DS38" s="2106">
        <f t="shared" si="117"/>
        <v>0.13747326916224925</v>
      </c>
      <c r="DT38" s="2106">
        <v>8.7312500000000001E-2</v>
      </c>
      <c r="DU38" s="2106">
        <f t="shared" si="54"/>
        <v>0</v>
      </c>
      <c r="DV38" s="2106">
        <v>0</v>
      </c>
      <c r="DW38" s="2106">
        <v>1.9717344476958381</v>
      </c>
      <c r="DX38" s="2109">
        <f t="shared" si="55"/>
        <v>1.7215706396444284E-2</v>
      </c>
      <c r="DY38" s="2106"/>
      <c r="DZ38" s="2106"/>
      <c r="EA38" s="2106"/>
      <c r="EB38" s="2106">
        <f t="shared" si="118"/>
        <v>1.9717344476958378</v>
      </c>
      <c r="EC38" s="2106">
        <f t="shared" si="119"/>
        <v>1.7215706396444284E-2</v>
      </c>
      <c r="ED38" s="2106">
        <f t="shared" si="120"/>
        <v>1.5666525</v>
      </c>
      <c r="EE38" s="2107"/>
      <c r="EF38" s="2106">
        <f t="shared" si="121"/>
        <v>0</v>
      </c>
      <c r="EG38" s="2106">
        <f t="shared" si="122"/>
        <v>0</v>
      </c>
      <c r="EH38" s="2106">
        <f t="shared" si="123"/>
        <v>1.8189817444908816</v>
      </c>
      <c r="EI38" s="2106">
        <f t="shared" si="124"/>
        <v>0.28497122974610006</v>
      </c>
      <c r="EJ38" s="2106"/>
      <c r="EK38" s="2106">
        <f t="shared" si="125"/>
        <v>0</v>
      </c>
      <c r="EL38" s="2106"/>
      <c r="EM38" s="2106"/>
      <c r="EN38" s="2106">
        <f t="shared" si="126"/>
        <v>0.28497122974610006</v>
      </c>
      <c r="EO38" s="2104">
        <f t="shared" si="127"/>
        <v>1.8189817444908816</v>
      </c>
      <c r="EP38" s="2110"/>
      <c r="ES38" s="2084">
        <f t="shared" si="0"/>
        <v>0</v>
      </c>
      <c r="EU38" s="2084">
        <f t="shared" si="64"/>
        <v>8.5362199999999999E-2</v>
      </c>
      <c r="EV38" s="2084">
        <f t="shared" si="65"/>
        <v>0.55430000000000001</v>
      </c>
      <c r="EW38" s="2084">
        <f t="shared" si="66"/>
        <v>1.54</v>
      </c>
      <c r="FE38" s="2108"/>
      <c r="FF38" s="2108"/>
      <c r="FG38" s="2108"/>
      <c r="FH38" s="2108"/>
      <c r="FI38" s="2108"/>
      <c r="FJ38" s="2108"/>
      <c r="FK38" s="2108"/>
    </row>
    <row r="39" spans="1:167">
      <c r="A39" s="1760">
        <v>7</v>
      </c>
      <c r="B39" s="1761" t="s">
        <v>1673</v>
      </c>
      <c r="C39" s="2098">
        <v>3</v>
      </c>
      <c r="D39" s="2099">
        <v>1</v>
      </c>
      <c r="E39" s="2100"/>
      <c r="F39" s="2099">
        <v>7.344525843862762E-2</v>
      </c>
      <c r="G39" s="2101">
        <v>3</v>
      </c>
      <c r="H39" s="2102" t="s">
        <v>1667</v>
      </c>
      <c r="I39" s="2103">
        <v>2</v>
      </c>
      <c r="J39" s="2104"/>
      <c r="K39" s="2101"/>
      <c r="L39" s="2101"/>
      <c r="M39" s="2105"/>
      <c r="N39" s="2106">
        <v>0.17722499999999999</v>
      </c>
      <c r="O39" s="2106">
        <f t="shared" si="69"/>
        <v>0</v>
      </c>
      <c r="P39" s="2106">
        <v>0</v>
      </c>
      <c r="Q39" s="2106">
        <f t="shared" si="70"/>
        <v>2.9892791649033712</v>
      </c>
      <c r="R39" s="2106">
        <v>5.2977499999999997E-2</v>
      </c>
      <c r="S39" s="2106">
        <f t="shared" si="71"/>
        <v>0</v>
      </c>
      <c r="T39" s="2106">
        <v>0</v>
      </c>
      <c r="U39" s="2106"/>
      <c r="V39" s="2106">
        <f t="shared" si="72"/>
        <v>2.9892791649033712</v>
      </c>
      <c r="W39" s="2106">
        <f t="shared" si="73"/>
        <v>5.2977499999999997E-2</v>
      </c>
      <c r="X39" s="2106">
        <v>0.48978899999999997</v>
      </c>
      <c r="Y39" s="2106">
        <f t="shared" si="74"/>
        <v>0</v>
      </c>
      <c r="Z39" s="2106">
        <v>0</v>
      </c>
      <c r="AA39" s="2106">
        <f t="shared" si="75"/>
        <v>2.1200006533425619</v>
      </c>
      <c r="AB39" s="2106">
        <v>0.10383530000000001</v>
      </c>
      <c r="AC39" s="2106">
        <f t="shared" si="76"/>
        <v>0</v>
      </c>
      <c r="AD39" s="2106">
        <v>0</v>
      </c>
      <c r="AE39" s="2106"/>
      <c r="AF39" s="2106">
        <f t="shared" si="77"/>
        <v>2.1200006533425619</v>
      </c>
      <c r="AG39" s="2106">
        <f t="shared" si="78"/>
        <v>0.10383530000000001</v>
      </c>
      <c r="AH39" s="2106">
        <v>0.53203299999999998</v>
      </c>
      <c r="AI39" s="2106">
        <f t="shared" si="79"/>
        <v>0</v>
      </c>
      <c r="AJ39" s="2106">
        <v>0</v>
      </c>
      <c r="AK39" s="2106">
        <f t="shared" si="80"/>
        <v>2.1200000751833064</v>
      </c>
      <c r="AL39" s="2106">
        <v>0.112791</v>
      </c>
      <c r="AM39" s="2106">
        <f t="shared" si="81"/>
        <v>0</v>
      </c>
      <c r="AN39" s="2106">
        <v>0</v>
      </c>
      <c r="AO39" s="2106">
        <v>0</v>
      </c>
      <c r="AP39" s="2106">
        <f t="shared" si="82"/>
        <v>2.1200000751833064</v>
      </c>
      <c r="AQ39" s="2106">
        <f t="shared" si="83"/>
        <v>0.112791</v>
      </c>
      <c r="AR39" s="2106">
        <v>0.26849099999999998</v>
      </c>
      <c r="AS39" s="2106">
        <f t="shared" si="84"/>
        <v>0</v>
      </c>
      <c r="AT39" s="2106">
        <v>0</v>
      </c>
      <c r="AU39" s="2106">
        <f t="shared" si="85"/>
        <v>2.1200002979615706</v>
      </c>
      <c r="AV39" s="2106">
        <v>5.6920100000000001E-2</v>
      </c>
      <c r="AW39" s="2106">
        <f t="shared" si="86"/>
        <v>0</v>
      </c>
      <c r="AX39" s="2106">
        <v>0</v>
      </c>
      <c r="AY39" s="2106"/>
      <c r="AZ39" s="2106">
        <f t="shared" si="87"/>
        <v>2.1200002979615706</v>
      </c>
      <c r="BA39" s="2106">
        <f t="shared" si="88"/>
        <v>5.6920100000000001E-2</v>
      </c>
      <c r="BB39" s="2106">
        <v>0.32104100000000002</v>
      </c>
      <c r="BC39" s="2106">
        <f t="shared" si="89"/>
        <v>0</v>
      </c>
      <c r="BD39" s="2106">
        <v>0</v>
      </c>
      <c r="BE39" s="2106">
        <f t="shared" si="90"/>
        <v>2.1200002491893559</v>
      </c>
      <c r="BF39" s="2106">
        <v>6.8060700000000002E-2</v>
      </c>
      <c r="BG39" s="2106">
        <f t="shared" si="91"/>
        <v>0</v>
      </c>
      <c r="BH39" s="2106">
        <v>0</v>
      </c>
      <c r="BI39" s="2106"/>
      <c r="BJ39" s="2106">
        <f t="shared" si="92"/>
        <v>2.1200002491893559</v>
      </c>
      <c r="BK39" s="2106">
        <f t="shared" si="93"/>
        <v>6.8060700000000002E-2</v>
      </c>
      <c r="BL39" s="2106">
        <v>0.51512000000000002</v>
      </c>
      <c r="BM39" s="2106">
        <f t="shared" si="94"/>
        <v>0</v>
      </c>
      <c r="BN39" s="2106">
        <v>0</v>
      </c>
      <c r="BO39" s="2106">
        <f t="shared" si="95"/>
        <v>2.1199992234819072</v>
      </c>
      <c r="BP39" s="2106">
        <v>0.10920539999999999</v>
      </c>
      <c r="BQ39" s="2106">
        <f t="shared" si="96"/>
        <v>0</v>
      </c>
      <c r="BR39" s="2106">
        <v>0</v>
      </c>
      <c r="BS39" s="2106"/>
      <c r="BT39" s="2106">
        <f t="shared" si="97"/>
        <v>2.1199992234819072</v>
      </c>
      <c r="BU39" s="2106">
        <f t="shared" si="98"/>
        <v>0.10920539999999999</v>
      </c>
      <c r="BV39" s="2106">
        <v>0.241817</v>
      </c>
      <c r="BW39" s="2106">
        <f t="shared" si="99"/>
        <v>0</v>
      </c>
      <c r="BX39" s="2106">
        <v>0</v>
      </c>
      <c r="BY39" s="2106">
        <f t="shared" si="100"/>
        <v>2.1199998345856579</v>
      </c>
      <c r="BZ39" s="2106">
        <v>5.1265199999999997E-2</v>
      </c>
      <c r="CA39" s="2106">
        <f t="shared" si="101"/>
        <v>0</v>
      </c>
      <c r="CB39" s="2106">
        <v>0</v>
      </c>
      <c r="CC39" s="2106"/>
      <c r="CD39" s="2106">
        <f t="shared" si="102"/>
        <v>2.1199998345856579</v>
      </c>
      <c r="CE39" s="2106">
        <f t="shared" si="103"/>
        <v>5.1265199999999997E-2</v>
      </c>
      <c r="CF39" s="2106">
        <v>5.6492000000000001E-2</v>
      </c>
      <c r="CG39" s="2106">
        <f t="shared" si="104"/>
        <v>0</v>
      </c>
      <c r="CH39" s="2106">
        <v>0</v>
      </c>
      <c r="CI39" s="2106">
        <f t="shared" si="105"/>
        <v>2.1199992919351414</v>
      </c>
      <c r="CJ39" s="2106">
        <v>1.19763E-2</v>
      </c>
      <c r="CK39" s="2106">
        <f t="shared" si="106"/>
        <v>0</v>
      </c>
      <c r="CL39" s="2106">
        <v>0</v>
      </c>
      <c r="CM39" s="2106"/>
      <c r="CN39" s="2106">
        <f t="shared" si="107"/>
        <v>2.1199992919351414</v>
      </c>
      <c r="CO39" s="2106">
        <f t="shared" si="108"/>
        <v>1.19763E-2</v>
      </c>
      <c r="CP39" s="2106">
        <v>0.220497</v>
      </c>
      <c r="CQ39" s="2106">
        <f t="shared" si="109"/>
        <v>0</v>
      </c>
      <c r="CR39" s="2106">
        <v>0</v>
      </c>
      <c r="CS39" s="2106">
        <f t="shared" si="110"/>
        <v>2.1200016326752742</v>
      </c>
      <c r="CT39" s="2106">
        <v>4.6745399999999999E-2</v>
      </c>
      <c r="CU39" s="2106">
        <f t="shared" si="111"/>
        <v>0</v>
      </c>
      <c r="CV39" s="2106">
        <v>0</v>
      </c>
      <c r="CW39" s="2106"/>
      <c r="CX39" s="2106">
        <f t="shared" si="112"/>
        <v>2.1200016326752742</v>
      </c>
      <c r="CY39" s="2106">
        <f t="shared" si="113"/>
        <v>4.6745399999999999E-2</v>
      </c>
      <c r="CZ39" s="2106">
        <v>0.15916899999999998</v>
      </c>
      <c r="DA39" s="2106">
        <f t="shared" si="46"/>
        <v>0</v>
      </c>
      <c r="DB39" s="2106">
        <v>0</v>
      </c>
      <c r="DC39" s="2106">
        <v>1.8107982573884966</v>
      </c>
      <c r="DD39" s="2109">
        <f t="shared" si="47"/>
        <v>2.8822294783026958E-2</v>
      </c>
      <c r="DE39" s="2106"/>
      <c r="DF39" s="2106"/>
      <c r="DG39" s="2106"/>
      <c r="DH39" s="2106">
        <f t="shared" si="114"/>
        <v>1.8107982573884964</v>
      </c>
      <c r="DI39" s="2106">
        <f t="shared" si="115"/>
        <v>2.8822294783026958E-2</v>
      </c>
      <c r="DJ39" s="2106">
        <v>0.1494616</v>
      </c>
      <c r="DK39" s="2106">
        <f t="shared" si="50"/>
        <v>0</v>
      </c>
      <c r="DL39" s="2106">
        <v>0</v>
      </c>
      <c r="DM39" s="2106">
        <v>1.8107982573884966</v>
      </c>
      <c r="DN39" s="2109">
        <f t="shared" si="51"/>
        <v>2.7064480482649655E-2</v>
      </c>
      <c r="DO39" s="2106"/>
      <c r="DP39" s="2106"/>
      <c r="DQ39" s="2106"/>
      <c r="DR39" s="2106">
        <f t="shared" si="116"/>
        <v>1.8107982573884969</v>
      </c>
      <c r="DS39" s="2106">
        <f t="shared" si="117"/>
        <v>2.7064480482649655E-2</v>
      </c>
      <c r="DT39" s="2106">
        <v>0.10091149999999997</v>
      </c>
      <c r="DU39" s="2106">
        <f t="shared" si="54"/>
        <v>0</v>
      </c>
      <c r="DV39" s="2106">
        <v>0</v>
      </c>
      <c r="DW39" s="2106">
        <v>1.8107982573884966</v>
      </c>
      <c r="DX39" s="2109">
        <f t="shared" si="55"/>
        <v>1.8273036835045921E-2</v>
      </c>
      <c r="DY39" s="2106"/>
      <c r="DZ39" s="2106"/>
      <c r="EA39" s="2106"/>
      <c r="EB39" s="2106">
        <f t="shared" si="118"/>
        <v>1.8107982573884964</v>
      </c>
      <c r="EC39" s="2106">
        <f t="shared" si="119"/>
        <v>1.8273036835045921E-2</v>
      </c>
      <c r="ED39" s="2106">
        <f t="shared" si="120"/>
        <v>3.2320471</v>
      </c>
      <c r="EE39" s="2107"/>
      <c r="EF39" s="2106">
        <f t="shared" si="121"/>
        <v>0</v>
      </c>
      <c r="EG39" s="2106">
        <f t="shared" si="122"/>
        <v>0</v>
      </c>
      <c r="EH39" s="2106">
        <f t="shared" si="123"/>
        <v>2.1284860362979323</v>
      </c>
      <c r="EI39" s="2106">
        <f t="shared" si="124"/>
        <v>0.6879367121007226</v>
      </c>
      <c r="EJ39" s="2106"/>
      <c r="EK39" s="2106">
        <f t="shared" si="125"/>
        <v>0</v>
      </c>
      <c r="EL39" s="2106"/>
      <c r="EM39" s="2106"/>
      <c r="EN39" s="2106">
        <f t="shared" si="126"/>
        <v>0.6879367121007226</v>
      </c>
      <c r="EO39" s="2104">
        <f t="shared" si="127"/>
        <v>2.1284860362979323</v>
      </c>
      <c r="EP39" s="2110"/>
      <c r="ES39" s="2084">
        <f t="shared" si="0"/>
        <v>0</v>
      </c>
      <c r="EU39" s="2084">
        <f t="shared" si="64"/>
        <v>0.61377690000000007</v>
      </c>
      <c r="EV39" s="2084">
        <f t="shared" si="65"/>
        <v>2.822505</v>
      </c>
      <c r="EW39" s="2084">
        <f t="shared" si="66"/>
        <v>2.174582153087417</v>
      </c>
      <c r="FE39" s="2108"/>
      <c r="FF39" s="2108"/>
      <c r="FG39" s="2108"/>
      <c r="FH39" s="2108"/>
      <c r="FI39" s="2108"/>
      <c r="FJ39" s="2108"/>
      <c r="FK39" s="2108"/>
    </row>
    <row r="40" spans="1:167">
      <c r="A40" s="1760">
        <v>8</v>
      </c>
      <c r="B40" s="1761" t="s">
        <v>1674</v>
      </c>
      <c r="C40" s="2098">
        <v>3</v>
      </c>
      <c r="D40" s="2099">
        <v>1</v>
      </c>
      <c r="E40" s="2100"/>
      <c r="F40" s="2099">
        <v>5.1013709321841044E-2</v>
      </c>
      <c r="G40" s="2101">
        <v>3</v>
      </c>
      <c r="H40" s="2102" t="s">
        <v>1667</v>
      </c>
      <c r="I40" s="2103">
        <v>2</v>
      </c>
      <c r="J40" s="2104"/>
      <c r="K40" s="2101"/>
      <c r="L40" s="2101"/>
      <c r="M40" s="2105"/>
      <c r="N40" s="2106">
        <v>0.18720000000000001</v>
      </c>
      <c r="O40" s="2106">
        <f t="shared" si="69"/>
        <v>0</v>
      </c>
      <c r="P40" s="2106">
        <v>0</v>
      </c>
      <c r="Q40" s="2106">
        <f t="shared" si="70"/>
        <v>2.0070352564102563</v>
      </c>
      <c r="R40" s="2106">
        <v>3.75717E-2</v>
      </c>
      <c r="S40" s="2106">
        <f t="shared" si="71"/>
        <v>0</v>
      </c>
      <c r="T40" s="2106">
        <v>0</v>
      </c>
      <c r="U40" s="2106"/>
      <c r="V40" s="2106">
        <f t="shared" si="72"/>
        <v>2.0070352564102563</v>
      </c>
      <c r="W40" s="2106">
        <f t="shared" si="73"/>
        <v>3.75717E-2</v>
      </c>
      <c r="X40" s="2106">
        <v>0.50624999999999998</v>
      </c>
      <c r="Y40" s="2106">
        <f t="shared" si="74"/>
        <v>0</v>
      </c>
      <c r="Z40" s="2106">
        <v>0</v>
      </c>
      <c r="AA40" s="2106">
        <f t="shared" si="75"/>
        <v>2.8299990123456791</v>
      </c>
      <c r="AB40" s="2106">
        <v>0.1432687</v>
      </c>
      <c r="AC40" s="2106">
        <f t="shared" si="76"/>
        <v>0</v>
      </c>
      <c r="AD40" s="2106">
        <v>0</v>
      </c>
      <c r="AE40" s="2106"/>
      <c r="AF40" s="2106">
        <f t="shared" si="77"/>
        <v>2.8299990123456791</v>
      </c>
      <c r="AG40" s="2106">
        <f t="shared" si="78"/>
        <v>0.1432687</v>
      </c>
      <c r="AH40" s="2106">
        <v>0.65707499999999996</v>
      </c>
      <c r="AI40" s="2106">
        <f t="shared" si="79"/>
        <v>0</v>
      </c>
      <c r="AJ40" s="2106">
        <v>0</v>
      </c>
      <c r="AK40" s="2106">
        <f t="shared" si="80"/>
        <v>2.8299980976296468</v>
      </c>
      <c r="AL40" s="2106">
        <v>0.18595210000000001</v>
      </c>
      <c r="AM40" s="2106">
        <f t="shared" si="81"/>
        <v>0</v>
      </c>
      <c r="AN40" s="2106">
        <v>0</v>
      </c>
      <c r="AO40" s="2106">
        <v>0</v>
      </c>
      <c r="AP40" s="2106">
        <f t="shared" si="82"/>
        <v>2.8299980976296468</v>
      </c>
      <c r="AQ40" s="2106">
        <f t="shared" si="83"/>
        <v>0.18595210000000001</v>
      </c>
      <c r="AR40" s="2106">
        <v>0.45502500000000001</v>
      </c>
      <c r="AS40" s="2106">
        <f t="shared" si="84"/>
        <v>0</v>
      </c>
      <c r="AT40" s="2106">
        <v>0</v>
      </c>
      <c r="AU40" s="2106">
        <f t="shared" si="85"/>
        <v>2.8299983517389156</v>
      </c>
      <c r="AV40" s="2106">
        <v>0.128772</v>
      </c>
      <c r="AW40" s="2106">
        <f t="shared" si="86"/>
        <v>0</v>
      </c>
      <c r="AX40" s="2106">
        <v>0</v>
      </c>
      <c r="AY40" s="2106"/>
      <c r="AZ40" s="2106">
        <f t="shared" si="87"/>
        <v>2.8299983517389156</v>
      </c>
      <c r="BA40" s="2106">
        <f t="shared" si="88"/>
        <v>0.128772</v>
      </c>
      <c r="BB40" s="2106">
        <v>0.62977499999999997</v>
      </c>
      <c r="BC40" s="2106">
        <f t="shared" si="89"/>
        <v>0</v>
      </c>
      <c r="BD40" s="2106">
        <v>0</v>
      </c>
      <c r="BE40" s="2106">
        <f t="shared" si="90"/>
        <v>2.8299996030328294</v>
      </c>
      <c r="BF40" s="2106">
        <v>0.1782263</v>
      </c>
      <c r="BG40" s="2106">
        <f t="shared" si="91"/>
        <v>0</v>
      </c>
      <c r="BH40" s="2106">
        <v>0</v>
      </c>
      <c r="BI40" s="2106"/>
      <c r="BJ40" s="2106">
        <f t="shared" si="92"/>
        <v>2.8299996030328294</v>
      </c>
      <c r="BK40" s="2106">
        <f t="shared" si="93"/>
        <v>0.1782263</v>
      </c>
      <c r="BL40" s="2106">
        <v>0.75783</v>
      </c>
      <c r="BM40" s="2106">
        <f t="shared" si="94"/>
        <v>0</v>
      </c>
      <c r="BN40" s="2106">
        <v>0</v>
      </c>
      <c r="BO40" s="2106">
        <f t="shared" si="95"/>
        <v>2.8300001319557158</v>
      </c>
      <c r="BP40" s="2106">
        <v>0.21446589999999999</v>
      </c>
      <c r="BQ40" s="2106">
        <f t="shared" si="96"/>
        <v>0</v>
      </c>
      <c r="BR40" s="2106">
        <v>0</v>
      </c>
      <c r="BS40" s="2106"/>
      <c r="BT40" s="2106">
        <f t="shared" si="97"/>
        <v>2.8300001319557158</v>
      </c>
      <c r="BU40" s="2106">
        <f t="shared" si="98"/>
        <v>0.21446589999999999</v>
      </c>
      <c r="BV40" s="2106">
        <v>0.48792000000000002</v>
      </c>
      <c r="BW40" s="2106">
        <f t="shared" si="99"/>
        <v>0</v>
      </c>
      <c r="BX40" s="2106">
        <v>0</v>
      </c>
      <c r="BY40" s="2106">
        <f t="shared" si="100"/>
        <v>2.830000819806525</v>
      </c>
      <c r="BZ40" s="2106">
        <v>0.13808139999999999</v>
      </c>
      <c r="CA40" s="2106">
        <f t="shared" si="101"/>
        <v>0</v>
      </c>
      <c r="CB40" s="2106">
        <v>0</v>
      </c>
      <c r="CC40" s="2106"/>
      <c r="CD40" s="2106">
        <f t="shared" si="102"/>
        <v>2.830000819806525</v>
      </c>
      <c r="CE40" s="2106">
        <f t="shared" si="103"/>
        <v>0.13808139999999999</v>
      </c>
      <c r="CF40" s="2106">
        <v>7.5675000000000006E-2</v>
      </c>
      <c r="CG40" s="2106">
        <f t="shared" si="104"/>
        <v>0</v>
      </c>
      <c r="CH40" s="2106">
        <v>0</v>
      </c>
      <c r="CI40" s="2106">
        <f t="shared" si="105"/>
        <v>2.8299966963990748</v>
      </c>
      <c r="CJ40" s="2106">
        <v>2.1416000000000001E-2</v>
      </c>
      <c r="CK40" s="2106">
        <f t="shared" si="106"/>
        <v>0</v>
      </c>
      <c r="CL40" s="2106">
        <v>0</v>
      </c>
      <c r="CM40" s="2106"/>
      <c r="CN40" s="2106">
        <f t="shared" si="107"/>
        <v>2.8299966963990748</v>
      </c>
      <c r="CO40" s="2106">
        <f t="shared" si="108"/>
        <v>2.1416000000000001E-2</v>
      </c>
      <c r="CP40" s="2106">
        <v>0.25424999999999998</v>
      </c>
      <c r="CQ40" s="2106">
        <f t="shared" si="109"/>
        <v>0</v>
      </c>
      <c r="CR40" s="2106">
        <v>0</v>
      </c>
      <c r="CS40" s="2106">
        <f t="shared" si="110"/>
        <v>2.8300019665683385</v>
      </c>
      <c r="CT40" s="2106">
        <v>7.1952799999999997E-2</v>
      </c>
      <c r="CU40" s="2106">
        <f t="shared" si="111"/>
        <v>0</v>
      </c>
      <c r="CV40" s="2106">
        <v>0</v>
      </c>
      <c r="CW40" s="2106"/>
      <c r="CX40" s="2106">
        <f t="shared" si="112"/>
        <v>2.8300019665683385</v>
      </c>
      <c r="CY40" s="2106">
        <f t="shared" si="113"/>
        <v>7.1952799999999997E-2</v>
      </c>
      <c r="CZ40" s="2106">
        <v>0.125775</v>
      </c>
      <c r="DA40" s="2106">
        <f t="shared" si="46"/>
        <v>0</v>
      </c>
      <c r="DB40" s="2106">
        <v>0</v>
      </c>
      <c r="DC40" s="2106">
        <v>3.207363326102675</v>
      </c>
      <c r="DD40" s="2109">
        <f t="shared" si="47"/>
        <v>4.0340612234056397E-2</v>
      </c>
      <c r="DE40" s="2106"/>
      <c r="DF40" s="2106"/>
      <c r="DG40" s="2106"/>
      <c r="DH40" s="2106">
        <f t="shared" si="114"/>
        <v>3.207363326102675</v>
      </c>
      <c r="DI40" s="2106">
        <f t="shared" si="115"/>
        <v>4.0340612234056397E-2</v>
      </c>
      <c r="DJ40" s="2106">
        <v>0.14962500000000001</v>
      </c>
      <c r="DK40" s="2106">
        <f t="shared" si="50"/>
        <v>0</v>
      </c>
      <c r="DL40" s="2106">
        <v>0</v>
      </c>
      <c r="DM40" s="2106">
        <v>3.207363326102675</v>
      </c>
      <c r="DN40" s="2109">
        <f t="shared" si="51"/>
        <v>4.7990173766811278E-2</v>
      </c>
      <c r="DO40" s="2106"/>
      <c r="DP40" s="2106"/>
      <c r="DQ40" s="2106"/>
      <c r="DR40" s="2106">
        <f t="shared" si="116"/>
        <v>3.207363326102675</v>
      </c>
      <c r="DS40" s="2106">
        <f t="shared" si="117"/>
        <v>4.7990173766811278E-2</v>
      </c>
      <c r="DT40" s="2106">
        <v>0.150225</v>
      </c>
      <c r="DU40" s="2106">
        <f t="shared" si="54"/>
        <v>0</v>
      </c>
      <c r="DV40" s="2106">
        <v>0</v>
      </c>
      <c r="DW40" s="2106">
        <v>3.207363326102675</v>
      </c>
      <c r="DX40" s="2109">
        <f t="shared" si="55"/>
        <v>4.8182615566377436E-2</v>
      </c>
      <c r="DY40" s="2106"/>
      <c r="DZ40" s="2106"/>
      <c r="EA40" s="2106"/>
      <c r="EB40" s="2106">
        <f t="shared" si="118"/>
        <v>3.207363326102675</v>
      </c>
      <c r="EC40" s="2106">
        <f t="shared" si="119"/>
        <v>4.8182615566377436E-2</v>
      </c>
      <c r="ED40" s="2106">
        <f t="shared" si="120"/>
        <v>4.4366250000000003</v>
      </c>
      <c r="EE40" s="2107"/>
      <c r="EF40" s="2106">
        <f t="shared" si="121"/>
        <v>0</v>
      </c>
      <c r="EG40" s="2106">
        <f t="shared" si="122"/>
        <v>0</v>
      </c>
      <c r="EH40" s="2106">
        <f t="shared" si="123"/>
        <v>2.8314773089166771</v>
      </c>
      <c r="EI40" s="2106">
        <f t="shared" si="124"/>
        <v>1.2562203015672453</v>
      </c>
      <c r="EJ40" s="2106"/>
      <c r="EK40" s="2106">
        <f t="shared" si="125"/>
        <v>0</v>
      </c>
      <c r="EL40" s="2106"/>
      <c r="EM40" s="2106"/>
      <c r="EN40" s="2106">
        <f t="shared" si="126"/>
        <v>1.2562203015672453</v>
      </c>
      <c r="EO40" s="2104">
        <f t="shared" si="127"/>
        <v>2.8314773089166771</v>
      </c>
      <c r="EP40" s="2110"/>
      <c r="ES40" s="2084">
        <f t="shared" si="0"/>
        <v>0</v>
      </c>
      <c r="EU40" s="2084">
        <f t="shared" si="64"/>
        <v>1.1197069000000002</v>
      </c>
      <c r="EV40" s="2084">
        <f t="shared" si="65"/>
        <v>4.0110000000000001</v>
      </c>
      <c r="EW40" s="2084">
        <f t="shared" si="66"/>
        <v>2.7915903764647227</v>
      </c>
      <c r="FE40" s="2108"/>
      <c r="FF40" s="2108"/>
      <c r="FG40" s="2108"/>
      <c r="FH40" s="2108"/>
      <c r="FI40" s="2108"/>
      <c r="FJ40" s="2108"/>
      <c r="FK40" s="2108"/>
    </row>
    <row r="41" spans="1:167">
      <c r="A41" s="1760"/>
      <c r="B41" s="2111" t="s">
        <v>1853</v>
      </c>
      <c r="C41" s="2098"/>
      <c r="D41" s="2099"/>
      <c r="E41" s="2100"/>
      <c r="F41" s="2099"/>
      <c r="G41" s="2101"/>
      <c r="H41" s="2102"/>
      <c r="I41" s="2103"/>
      <c r="J41" s="2104"/>
      <c r="K41" s="2101"/>
      <c r="L41" s="2101"/>
      <c r="M41" s="2105"/>
      <c r="N41" s="2106">
        <v>0</v>
      </c>
      <c r="O41" s="2106">
        <f t="shared" si="69"/>
        <v>0</v>
      </c>
      <c r="P41" s="2106">
        <v>0</v>
      </c>
      <c r="Q41" s="2106">
        <f t="shared" si="70"/>
        <v>0</v>
      </c>
      <c r="R41" s="2106">
        <v>0</v>
      </c>
      <c r="S41" s="2106">
        <f t="shared" si="71"/>
        <v>0</v>
      </c>
      <c r="T41" s="2106">
        <v>0</v>
      </c>
      <c r="U41" s="2106"/>
      <c r="V41" s="2106">
        <f>IFERROR(W41/N41*10,0)</f>
        <v>0</v>
      </c>
      <c r="W41" s="2106">
        <f>SUM(P41,R41,T41,U41)</f>
        <v>0</v>
      </c>
      <c r="X41" s="2106">
        <v>0</v>
      </c>
      <c r="Y41" s="2106">
        <f t="shared" si="74"/>
        <v>0</v>
      </c>
      <c r="Z41" s="2106">
        <v>0</v>
      </c>
      <c r="AA41" s="2106">
        <f t="shared" si="75"/>
        <v>0</v>
      </c>
      <c r="AB41" s="2106">
        <v>0</v>
      </c>
      <c r="AC41" s="2106">
        <f t="shared" si="76"/>
        <v>0</v>
      </c>
      <c r="AD41" s="2106">
        <v>0</v>
      </c>
      <c r="AE41" s="2106"/>
      <c r="AF41" s="2106">
        <f t="shared" si="77"/>
        <v>0</v>
      </c>
      <c r="AG41" s="2106">
        <f t="shared" si="78"/>
        <v>0</v>
      </c>
      <c r="AH41" s="2106">
        <v>0</v>
      </c>
      <c r="AI41" s="2106">
        <f t="shared" si="79"/>
        <v>0</v>
      </c>
      <c r="AJ41" s="2106">
        <v>0</v>
      </c>
      <c r="AK41" s="2106">
        <f t="shared" si="80"/>
        <v>0</v>
      </c>
      <c r="AL41" s="2106">
        <v>0</v>
      </c>
      <c r="AM41" s="2106">
        <f t="shared" si="81"/>
        <v>0</v>
      </c>
      <c r="AN41" s="2106">
        <v>0</v>
      </c>
      <c r="AO41" s="2106">
        <v>0</v>
      </c>
      <c r="AP41" s="2106">
        <f t="shared" si="82"/>
        <v>0</v>
      </c>
      <c r="AQ41" s="2106">
        <f t="shared" si="83"/>
        <v>0</v>
      </c>
      <c r="AR41" s="2106">
        <v>0</v>
      </c>
      <c r="AS41" s="2106">
        <f t="shared" si="84"/>
        <v>0</v>
      </c>
      <c r="AT41" s="2106">
        <v>0</v>
      </c>
      <c r="AU41" s="2106">
        <f t="shared" si="85"/>
        <v>0</v>
      </c>
      <c r="AV41" s="2106">
        <v>0</v>
      </c>
      <c r="AW41" s="2106">
        <f t="shared" si="86"/>
        <v>0</v>
      </c>
      <c r="AX41" s="2106">
        <v>0</v>
      </c>
      <c r="AY41" s="2106"/>
      <c r="AZ41" s="2106">
        <f t="shared" si="87"/>
        <v>0</v>
      </c>
      <c r="BA41" s="2106">
        <f t="shared" si="88"/>
        <v>0</v>
      </c>
      <c r="BB41" s="2106">
        <v>0</v>
      </c>
      <c r="BC41" s="2106">
        <f t="shared" si="89"/>
        <v>0</v>
      </c>
      <c r="BD41" s="2106">
        <v>0</v>
      </c>
      <c r="BE41" s="2106">
        <f t="shared" si="90"/>
        <v>0</v>
      </c>
      <c r="BF41" s="2106">
        <v>0</v>
      </c>
      <c r="BG41" s="2106">
        <f t="shared" si="91"/>
        <v>0</v>
      </c>
      <c r="BH41" s="2106">
        <v>0</v>
      </c>
      <c r="BI41" s="2106"/>
      <c r="BJ41" s="2106">
        <f t="shared" si="92"/>
        <v>0</v>
      </c>
      <c r="BK41" s="2106">
        <f t="shared" si="93"/>
        <v>0</v>
      </c>
      <c r="BL41" s="2106">
        <v>0</v>
      </c>
      <c r="BM41" s="2106">
        <f t="shared" si="94"/>
        <v>0</v>
      </c>
      <c r="BN41" s="2106">
        <v>0</v>
      </c>
      <c r="BO41" s="2106">
        <f t="shared" si="95"/>
        <v>0</v>
      </c>
      <c r="BP41" s="2106">
        <v>0</v>
      </c>
      <c r="BQ41" s="2106">
        <f t="shared" si="96"/>
        <v>0</v>
      </c>
      <c r="BR41" s="2106">
        <v>0</v>
      </c>
      <c r="BS41" s="2106"/>
      <c r="BT41" s="2106">
        <f t="shared" si="97"/>
        <v>0</v>
      </c>
      <c r="BU41" s="2106">
        <f t="shared" si="98"/>
        <v>0</v>
      </c>
      <c r="BV41" s="2106">
        <v>0</v>
      </c>
      <c r="BW41" s="2106">
        <f t="shared" si="99"/>
        <v>0</v>
      </c>
      <c r="BX41" s="2106">
        <v>0</v>
      </c>
      <c r="BY41" s="2106">
        <f t="shared" si="100"/>
        <v>0</v>
      </c>
      <c r="BZ41" s="2106">
        <v>0</v>
      </c>
      <c r="CA41" s="2106">
        <f t="shared" si="101"/>
        <v>0</v>
      </c>
      <c r="CB41" s="2106">
        <v>0</v>
      </c>
      <c r="CC41" s="2106"/>
      <c r="CD41" s="2106">
        <f t="shared" si="102"/>
        <v>0</v>
      </c>
      <c r="CE41" s="2106">
        <f t="shared" si="103"/>
        <v>0</v>
      </c>
      <c r="CF41" s="2106">
        <v>0</v>
      </c>
      <c r="CG41" s="2106">
        <f t="shared" si="104"/>
        <v>0</v>
      </c>
      <c r="CH41" s="2106">
        <v>0</v>
      </c>
      <c r="CI41" s="2106">
        <f t="shared" si="105"/>
        <v>0</v>
      </c>
      <c r="CJ41" s="2106">
        <v>0</v>
      </c>
      <c r="CK41" s="2106">
        <f t="shared" si="106"/>
        <v>0</v>
      </c>
      <c r="CL41" s="2106">
        <v>0</v>
      </c>
      <c r="CM41" s="2106"/>
      <c r="CN41" s="2106">
        <f t="shared" si="107"/>
        <v>0</v>
      </c>
      <c r="CO41" s="2106">
        <f t="shared" si="108"/>
        <v>0</v>
      </c>
      <c r="CP41" s="2106">
        <v>0</v>
      </c>
      <c r="CQ41" s="2106">
        <f t="shared" si="109"/>
        <v>0</v>
      </c>
      <c r="CR41" s="2106">
        <v>0</v>
      </c>
      <c r="CS41" s="2106">
        <f t="shared" si="110"/>
        <v>0</v>
      </c>
      <c r="CT41" s="2106">
        <v>0</v>
      </c>
      <c r="CU41" s="2106">
        <f t="shared" si="111"/>
        <v>0</v>
      </c>
      <c r="CV41" s="2106">
        <v>0</v>
      </c>
      <c r="CW41" s="2106"/>
      <c r="CX41" s="2106">
        <f t="shared" si="112"/>
        <v>0</v>
      </c>
      <c r="CY41" s="2106">
        <f t="shared" si="113"/>
        <v>0</v>
      </c>
      <c r="CZ41" s="2106">
        <v>0</v>
      </c>
      <c r="DA41" s="2106">
        <f>IFERROR(DB41/CZ41*10,0)</f>
        <v>0</v>
      </c>
      <c r="DB41" s="2106">
        <v>0</v>
      </c>
      <c r="DC41" s="2106">
        <v>0</v>
      </c>
      <c r="DD41" s="2109">
        <f>DC41*CZ41/10</f>
        <v>0</v>
      </c>
      <c r="DE41" s="2106"/>
      <c r="DF41" s="2106"/>
      <c r="DG41" s="2106"/>
      <c r="DH41" s="2106">
        <f>IFERROR(DI41/CZ41*10,0)</f>
        <v>0</v>
      </c>
      <c r="DI41" s="2106">
        <f>SUM(DB41,DD41,DF41,DG41)</f>
        <v>0</v>
      </c>
      <c r="DJ41" s="2106">
        <v>0</v>
      </c>
      <c r="DK41" s="2106">
        <f>IFERROR(DL41/DJ41*10,0)</f>
        <v>0</v>
      </c>
      <c r="DL41" s="2106">
        <v>0</v>
      </c>
      <c r="DM41" s="2106">
        <v>0</v>
      </c>
      <c r="DN41" s="2109">
        <f>DM41*DJ41/10</f>
        <v>0</v>
      </c>
      <c r="DO41" s="2106"/>
      <c r="DP41" s="2106"/>
      <c r="DQ41" s="2106"/>
      <c r="DR41" s="2106">
        <f>IFERROR(DS41/DJ41*10,0)</f>
        <v>0</v>
      </c>
      <c r="DS41" s="2106">
        <f>SUM(DL41,DN41,DP41,DQ41)</f>
        <v>0</v>
      </c>
      <c r="DT41" s="2106">
        <v>0</v>
      </c>
      <c r="DU41" s="2106">
        <f>IFERROR(DV41/DT41*10,0)</f>
        <v>0</v>
      </c>
      <c r="DV41" s="2106">
        <v>0</v>
      </c>
      <c r="DW41" s="2106">
        <v>0</v>
      </c>
      <c r="DX41" s="2109">
        <f>DW41*DT41/10</f>
        <v>0</v>
      </c>
      <c r="DY41" s="2106"/>
      <c r="DZ41" s="2106"/>
      <c r="EA41" s="2106"/>
      <c r="EB41" s="2106">
        <f>IFERROR(EC41/DT41*10,0)</f>
        <v>0</v>
      </c>
      <c r="EC41" s="2106">
        <f>SUM(DV41,DX41,DZ41,EA41)</f>
        <v>0</v>
      </c>
      <c r="ED41" s="2106">
        <f>SUM(N41,X41,AH41,AR41,BB41,BL41,BV41,CF41,CP41,CZ41,DJ41,DT41)</f>
        <v>0</v>
      </c>
      <c r="EE41" s="2107"/>
      <c r="EF41" s="2106">
        <f>IFERROR(EG41/ED41*10,0)</f>
        <v>0</v>
      </c>
      <c r="EG41" s="2106">
        <f>SUM(P41,Z41,AJ41,AT41,BD41,BN41,BX41,CH41,CR41,DB41,DL41,DV41)</f>
        <v>0</v>
      </c>
      <c r="EH41" s="2106">
        <f>IFERROR(EI41/ED41*10,0)</f>
        <v>0</v>
      </c>
      <c r="EI41" s="2106">
        <f>SUM(R41,AB41,AL41,AV41,BF41,BP41,BZ41,CJ41,CT41,DD41,DN41,DX41)</f>
        <v>0</v>
      </c>
      <c r="EJ41" s="2106"/>
      <c r="EK41" s="2106">
        <f>SUM(T41,AD41,AN41,AX41,BH41,BR41,CB41,CL41,CV41,DF41,DP41,DZ41)</f>
        <v>0</v>
      </c>
      <c r="EL41" s="2106"/>
      <c r="EM41" s="2106"/>
      <c r="EN41" s="2106">
        <f>EG41+EI41+EK41</f>
        <v>0</v>
      </c>
      <c r="EO41" s="2104">
        <f>IFERROR(EN41/ED41*10,0)</f>
        <v>0</v>
      </c>
      <c r="EP41" s="2110"/>
      <c r="FE41" s="2108"/>
      <c r="FF41" s="2108"/>
      <c r="FG41" s="2108"/>
      <c r="FH41" s="2108"/>
      <c r="FI41" s="2108"/>
      <c r="FJ41" s="2108"/>
      <c r="FK41" s="2108"/>
    </row>
    <row r="42" spans="1:167">
      <c r="A42" s="1760"/>
      <c r="B42" s="1784" t="s">
        <v>211</v>
      </c>
      <c r="C42" s="2112">
        <f>SUM(C33:C40)</f>
        <v>207</v>
      </c>
      <c r="D42" s="2113"/>
      <c r="E42" s="2114"/>
      <c r="F42" s="2113"/>
      <c r="G42" s="2106">
        <f>SUM(G33:G40)</f>
        <v>454.90000000000003</v>
      </c>
      <c r="H42" s="2102"/>
      <c r="I42" s="2119"/>
      <c r="J42" s="2101"/>
      <c r="K42" s="2101"/>
      <c r="L42" s="2101"/>
      <c r="M42" s="2105"/>
      <c r="N42" s="2107">
        <f>SUM(N33:N41)</f>
        <v>49.905353000000005</v>
      </c>
      <c r="O42" s="2106">
        <f>IFERROR(P42/N42*10,0)</f>
        <v>0.70178934512295688</v>
      </c>
      <c r="P42" s="2107">
        <f>SUM(P33:P41)</f>
        <v>3.5023044999999997</v>
      </c>
      <c r="Q42" s="2106">
        <f>IFERROR(R42/N42*10,0)</f>
        <v>0.69363681286855128</v>
      </c>
      <c r="R42" s="2107">
        <f>SUM(R33:R41)</f>
        <v>3.4616189999999998</v>
      </c>
      <c r="S42" s="2106">
        <f>IFERROR(T42/N42*10,0)</f>
        <v>0</v>
      </c>
      <c r="T42" s="2107">
        <f>SUM(T33:T41)</f>
        <v>0</v>
      </c>
      <c r="U42" s="2106"/>
      <c r="V42" s="2106">
        <f t="shared" si="72"/>
        <v>1.3954261579915082</v>
      </c>
      <c r="W42" s="2107">
        <f>SUM(W33:W41)</f>
        <v>6.963923499999999</v>
      </c>
      <c r="X42" s="2107">
        <f>SUM(X33:X41)</f>
        <v>75.162775999999994</v>
      </c>
      <c r="Y42" s="2106">
        <f>IFERROR(Z42/X42*10,0)</f>
        <v>0.51687635911691188</v>
      </c>
      <c r="Z42" s="2107">
        <f>SUM(Z33:Z41)</f>
        <v>3.8849862000000002</v>
      </c>
      <c r="AA42" s="2106">
        <f>IFERROR(AB42/X42*10,0)</f>
        <v>0.62247412203083086</v>
      </c>
      <c r="AB42" s="2107">
        <f>SUM(AB33:AB41)</f>
        <v>4.6786883000000001</v>
      </c>
      <c r="AC42" s="2106">
        <f>IFERROR(AD42/X42*10,0)</f>
        <v>0</v>
      </c>
      <c r="AD42" s="2107">
        <f>SUM(AD33:AD41)</f>
        <v>0</v>
      </c>
      <c r="AE42" s="2106"/>
      <c r="AF42" s="2106">
        <f>IFERROR(AG42/X42*10,0)</f>
        <v>1.1393504811477426</v>
      </c>
      <c r="AG42" s="2107">
        <f>SUM(AG33:AG41)</f>
        <v>8.5636744999999994</v>
      </c>
      <c r="AH42" s="2107">
        <f>SUM(AH33:AH41)</f>
        <v>113.60518200000001</v>
      </c>
      <c r="AI42" s="2106">
        <f>IFERROR(AJ42/AH42*10,0)</f>
        <v>0.30322524372171678</v>
      </c>
      <c r="AJ42" s="2107">
        <f>SUM(AJ33:AJ41)</f>
        <v>3.4447958999999999</v>
      </c>
      <c r="AK42" s="2106">
        <f>IFERROR(AL42/AH42*10,0)</f>
        <v>0.61673581051962911</v>
      </c>
      <c r="AL42" s="2107">
        <f>SUM(AL33:AL41)</f>
        <v>7.0064383999999986</v>
      </c>
      <c r="AM42" s="2106">
        <f>IFERROR(AN42/AH42*10,0)</f>
        <v>0</v>
      </c>
      <c r="AN42" s="2107">
        <f>SUM(AN33:AN41)</f>
        <v>0</v>
      </c>
      <c r="AO42" s="2107">
        <f>SUM(AO33:AO41)</f>
        <v>0</v>
      </c>
      <c r="AP42" s="2106">
        <f>IFERROR(AQ42/AH42*10,0)</f>
        <v>0.919961054241346</v>
      </c>
      <c r="AQ42" s="2107">
        <f>SUM(AQ33:AQ41)</f>
        <v>10.451234299999999</v>
      </c>
      <c r="AR42" s="2107">
        <f>SUM(AR33:AR41)</f>
        <v>86.922298999999995</v>
      </c>
      <c r="AS42" s="2106">
        <f>IFERROR(AT42/AR42*10,0)</f>
        <v>0.44740346777988471</v>
      </c>
      <c r="AT42" s="2107">
        <f>SUM(AT33:AT41)</f>
        <v>3.8889338000000002</v>
      </c>
      <c r="AU42" s="2106">
        <f>IFERROR(AV42/AR42*10,0)</f>
        <v>0.61970325934430237</v>
      </c>
      <c r="AV42" s="2107">
        <f>SUM(AV33:AV41)</f>
        <v>5.3866031999999997</v>
      </c>
      <c r="AW42" s="2106">
        <f>IFERROR(AX42/AR42*10,0)</f>
        <v>0</v>
      </c>
      <c r="AX42" s="2107">
        <f>SUM(AX33:AX41)</f>
        <v>0</v>
      </c>
      <c r="AY42" s="2106"/>
      <c r="AZ42" s="2106">
        <f>IFERROR(BA42/AR42*10,0)</f>
        <v>1.0671067271241867</v>
      </c>
      <c r="BA42" s="2107">
        <f>SUM(BA33:BA41)</f>
        <v>9.2755369999999964</v>
      </c>
      <c r="BB42" s="2107">
        <f>SUM(BB33:BB41)</f>
        <v>130.91337299999998</v>
      </c>
      <c r="BC42" s="2106">
        <f>IFERROR(BD42/BB42*10,0)</f>
        <v>0.31498485643632457</v>
      </c>
      <c r="BD42" s="2107">
        <f>SUM(BD33:BD41)</f>
        <v>4.1235730000000004</v>
      </c>
      <c r="BE42" s="2106">
        <f>IFERROR(BF42/BB42*10,0)</f>
        <v>0.61918666628504038</v>
      </c>
      <c r="BF42" s="2107">
        <f>SUM(BF33:BF41)</f>
        <v>8.1059815000000004</v>
      </c>
      <c r="BG42" s="2106">
        <f>IFERROR(BH42/BB42*10,0)</f>
        <v>0</v>
      </c>
      <c r="BH42" s="2107">
        <f>SUM(BH33:BH41)</f>
        <v>0</v>
      </c>
      <c r="BI42" s="2106"/>
      <c r="BJ42" s="2106">
        <f>IFERROR(BK42/BB42*10,0)</f>
        <v>0.93417152272136494</v>
      </c>
      <c r="BK42" s="2107">
        <f>SUM(BK33:BK41)</f>
        <v>12.229554500000001</v>
      </c>
      <c r="BL42" s="2107">
        <f>SUM(BL33:BL41)</f>
        <v>130.17357960000001</v>
      </c>
      <c r="BM42" s="2106">
        <f>IFERROR(BN42/BL42*10,0)</f>
        <v>0.3143374417891478</v>
      </c>
      <c r="BN42" s="2107">
        <f>SUM(BN33:BN41)</f>
        <v>4.0918429999999999</v>
      </c>
      <c r="BO42" s="2106">
        <f>IFERROR(BP42/BL42*10,0)</f>
        <v>0.61024155012174197</v>
      </c>
      <c r="BP42" s="2107">
        <f>SUM(BP33:BP41)</f>
        <v>7.9437326999999982</v>
      </c>
      <c r="BQ42" s="2106">
        <f>IFERROR(BR42/BL42*10,0)</f>
        <v>0</v>
      </c>
      <c r="BR42" s="2107">
        <f>SUM(BR33:BR41)</f>
        <v>0</v>
      </c>
      <c r="BS42" s="2106"/>
      <c r="BT42" s="2106">
        <f>IFERROR(BU42/BL42*10,0)</f>
        <v>0.92457899191088999</v>
      </c>
      <c r="BU42" s="2107">
        <f>SUM(BU33:BU41)</f>
        <v>12.035575700000001</v>
      </c>
      <c r="BV42" s="2107">
        <f>SUM(BV33:BV41)</f>
        <v>140.89535500000002</v>
      </c>
      <c r="BW42" s="2106">
        <f>IFERROR(BX42/BV42*10,0)</f>
        <v>0.29825631228226074</v>
      </c>
      <c r="BX42" s="2107">
        <f>SUM(BX33:BX41)</f>
        <v>4.2022928999999998</v>
      </c>
      <c r="BY42" s="2106">
        <f>IFERROR(BZ42/BV42*10,0)</f>
        <v>0.59388267980871334</v>
      </c>
      <c r="BZ42" s="2107">
        <f>SUM(BZ33:BZ41)</f>
        <v>8.3675311000000008</v>
      </c>
      <c r="CA42" s="2106">
        <f>IFERROR(CB42/BV42*10,0)</f>
        <v>0</v>
      </c>
      <c r="CB42" s="2107">
        <f>SUM(CB33:CB41)</f>
        <v>0</v>
      </c>
      <c r="CC42" s="2106"/>
      <c r="CD42" s="2106">
        <f>IFERROR(CE42/BV42*10,0)</f>
        <v>0.89213899209097391</v>
      </c>
      <c r="CE42" s="2107">
        <f>SUM(CE33:CE41)</f>
        <v>12.569823999999999</v>
      </c>
      <c r="CF42" s="2107">
        <f>SUM(CF33:CF41)</f>
        <v>72.22908200000002</v>
      </c>
      <c r="CG42" s="2106">
        <f>IFERROR(CH42/CF42*10,0)</f>
        <v>0.54503702539096355</v>
      </c>
      <c r="CH42" s="2107">
        <f>SUM(CH33:CH41)</f>
        <v>3.9367523999999996</v>
      </c>
      <c r="CI42" s="2106">
        <f>IFERROR(CJ42/CF42*10,0)</f>
        <v>0.59020481528479052</v>
      </c>
      <c r="CJ42" s="2107">
        <f>SUM(CJ33:CJ41)</f>
        <v>4.2629951999999998</v>
      </c>
      <c r="CK42" s="2106">
        <f>IFERROR(CL42/CF42*10,0)</f>
        <v>0</v>
      </c>
      <c r="CL42" s="2107">
        <f>SUM(CL33:CL41)</f>
        <v>0</v>
      </c>
      <c r="CM42" s="2106"/>
      <c r="CN42" s="2106">
        <f>IFERROR(CO42/CF42*10,0)</f>
        <v>1.1352418406757543</v>
      </c>
      <c r="CO42" s="2107">
        <f>SUM(CO33:CO41)</f>
        <v>8.199747600000002</v>
      </c>
      <c r="CP42" s="2107">
        <f>SUM(CP33:CP41)</f>
        <v>105.383365</v>
      </c>
      <c r="CQ42" s="2106">
        <f t="shared" si="41"/>
        <v>0.3536099174665755</v>
      </c>
      <c r="CR42" s="2107">
        <f>SUM(CR33:CR41)</f>
        <v>3.7264602999999998</v>
      </c>
      <c r="CS42" s="2106">
        <f>IFERROR(CT42/CP42*10,0)</f>
        <v>0.67345448686327292</v>
      </c>
      <c r="CT42" s="2107">
        <f>SUM(CT33:CT41)</f>
        <v>7.0970899999999997</v>
      </c>
      <c r="CU42" s="2106">
        <f>IFERROR(CV42/CP42*10,0)</f>
        <v>0</v>
      </c>
      <c r="CV42" s="2107">
        <f>SUM(CV33:CV41)</f>
        <v>0</v>
      </c>
      <c r="CW42" s="2106"/>
      <c r="CX42" s="2106">
        <f>IFERROR(CY42/CP42*10,0)</f>
        <v>1.0270644043298485</v>
      </c>
      <c r="CY42" s="2107">
        <f>SUM(CY33:CY41)</f>
        <v>10.823550299999999</v>
      </c>
      <c r="CZ42" s="2107">
        <f>SUM(CZ33:CZ41)</f>
        <v>108.82656992000001</v>
      </c>
      <c r="DA42" s="2106">
        <f t="shared" si="46"/>
        <v>0.32355369664098843</v>
      </c>
      <c r="DB42" s="2107">
        <f>SUM(DB33:DB41)</f>
        <v>3.5211238990374998</v>
      </c>
      <c r="DC42" s="2106">
        <f>IFERROR(DD42/CZ42*10,0)</f>
        <v>1.040062129549026</v>
      </c>
      <c r="DD42" s="2107">
        <f>SUM(DD33:DD41)</f>
        <v>11.318639406251117</v>
      </c>
      <c r="DE42" s="2106">
        <f>IFERROR(DF42/CZ42*10,0)</f>
        <v>0</v>
      </c>
      <c r="DF42" s="2107">
        <f>SUM(DF33:DF41)</f>
        <v>0</v>
      </c>
      <c r="DG42" s="2106"/>
      <c r="DH42" s="2106">
        <f t="shared" si="114"/>
        <v>1.3636158261900142</v>
      </c>
      <c r="DI42" s="2107">
        <f>SUM(DI33:DI41)</f>
        <v>14.839763305288617</v>
      </c>
      <c r="DJ42" s="2107">
        <f>SUM(DJ33:DJ41)</f>
        <v>93.725342600000019</v>
      </c>
      <c r="DK42" s="2106">
        <f t="shared" si="50"/>
        <v>0.37568535908851391</v>
      </c>
      <c r="DL42" s="2107">
        <f>SUM(DL33:DL41)</f>
        <v>3.5211238990374998</v>
      </c>
      <c r="DM42" s="2106">
        <f>IFERROR(DN42/DJ42*10,0)</f>
        <v>1.0607990138522447</v>
      </c>
      <c r="DN42" s="2107">
        <f>SUM(DN33:DN41)</f>
        <v>9.9423751003043801</v>
      </c>
      <c r="DO42" s="2106">
        <f>IFERROR(DP42/DJ42*10,0)</f>
        <v>0</v>
      </c>
      <c r="DP42" s="2107">
        <f>SUM(DP33:DP41)</f>
        <v>0</v>
      </c>
      <c r="DQ42" s="2106"/>
      <c r="DR42" s="2106">
        <f t="shared" si="116"/>
        <v>1.4364843729407588</v>
      </c>
      <c r="DS42" s="2107">
        <f>SUM(DS33:DS41)</f>
        <v>13.463498999341882</v>
      </c>
      <c r="DT42" s="2107">
        <f>SUM(DT33:DT41)</f>
        <v>71.564608258000007</v>
      </c>
      <c r="DU42" s="2106">
        <f t="shared" si="54"/>
        <v>0.49202028554999921</v>
      </c>
      <c r="DV42" s="2107">
        <f>SUM(DV33:DV41)</f>
        <v>3.5211238990374998</v>
      </c>
      <c r="DW42" s="2106">
        <f>IFERROR(DX42/DT42*10,0)</f>
        <v>1.0084628888176419</v>
      </c>
      <c r="DX42" s="2107">
        <f>SUM(DX33:DX41)</f>
        <v>7.2170251580965559</v>
      </c>
      <c r="DY42" s="2106">
        <f>IFERROR(DZ42/DT42*10,0)</f>
        <v>0</v>
      </c>
      <c r="DZ42" s="2107">
        <f>SUM(DZ33:DZ41)</f>
        <v>0</v>
      </c>
      <c r="EA42" s="2106"/>
      <c r="EB42" s="2106">
        <f t="shared" si="118"/>
        <v>1.5004831743676408</v>
      </c>
      <c r="EC42" s="2107">
        <f>SUM(EC33:EC41)</f>
        <v>10.738149057134054</v>
      </c>
      <c r="ED42" s="2107">
        <f>SUM(ED33:ED41)</f>
        <v>1179.3068853780001</v>
      </c>
      <c r="EE42" s="2107"/>
      <c r="EF42" s="2106"/>
      <c r="EG42" s="2107">
        <f>SUM(EG33:EG41)</f>
        <v>45.365313697112505</v>
      </c>
      <c r="EH42" s="2106"/>
      <c r="EI42" s="2107">
        <f>SUM(EI33:EI41)</f>
        <v>84.788719064652057</v>
      </c>
      <c r="EJ42" s="2106"/>
      <c r="EK42" s="2107">
        <f>SUM(EK33:EK40)</f>
        <v>0</v>
      </c>
      <c r="EL42" s="2106"/>
      <c r="EM42" s="2106"/>
      <c r="EN42" s="2107">
        <f>SUM(EN33:EN41)</f>
        <v>130.1540327617646</v>
      </c>
      <c r="EO42" s="2104">
        <f>IFERROR(EN42/ED42*10,0)</f>
        <v>1.1036485445435746</v>
      </c>
      <c r="EP42" s="2110"/>
      <c r="ES42" s="2084">
        <f t="shared" si="0"/>
        <v>0</v>
      </c>
      <c r="EU42" s="2084">
        <f t="shared" si="64"/>
        <v>56.310679399999998</v>
      </c>
      <c r="EV42" s="2084">
        <f t="shared" si="65"/>
        <v>905.19036460000007</v>
      </c>
      <c r="EW42" s="2084">
        <f t="shared" si="66"/>
        <v>0.62208659749580375</v>
      </c>
      <c r="FE42" s="2108"/>
      <c r="FF42" s="2108"/>
      <c r="FG42" s="2108"/>
      <c r="FH42" s="2108"/>
      <c r="FI42" s="2108"/>
      <c r="FJ42" s="2108"/>
      <c r="FK42" s="2108"/>
    </row>
    <row r="43" spans="1:167">
      <c r="A43" s="1760"/>
      <c r="B43" s="1761"/>
      <c r="C43" s="2116"/>
      <c r="D43" s="2117"/>
      <c r="E43" s="2118"/>
      <c r="F43" s="2117"/>
      <c r="G43" s="1774"/>
      <c r="H43" s="2102"/>
      <c r="I43" s="2119"/>
      <c r="J43" s="2104"/>
      <c r="K43" s="2101"/>
      <c r="L43" s="2101"/>
      <c r="M43" s="2105"/>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c r="AS43" s="2106"/>
      <c r="AT43" s="2106"/>
      <c r="AU43" s="2106"/>
      <c r="AV43" s="2106"/>
      <c r="AW43" s="2106"/>
      <c r="AX43" s="2106"/>
      <c r="AY43" s="2120"/>
      <c r="AZ43" s="2106"/>
      <c r="BA43" s="2106"/>
      <c r="BB43" s="2106"/>
      <c r="BC43" s="2106"/>
      <c r="BD43" s="2106"/>
      <c r="BE43" s="2106"/>
      <c r="BF43" s="2106"/>
      <c r="BG43" s="2106"/>
      <c r="BH43" s="2106"/>
      <c r="BI43" s="2120"/>
      <c r="BJ43" s="2106"/>
      <c r="BK43" s="2106"/>
      <c r="BL43" s="2106"/>
      <c r="BM43" s="2106"/>
      <c r="BN43" s="2106"/>
      <c r="BO43" s="2106"/>
      <c r="BP43" s="2106"/>
      <c r="BQ43" s="2106"/>
      <c r="BR43" s="2106"/>
      <c r="BS43" s="2120"/>
      <c r="BT43" s="2106"/>
      <c r="BU43" s="2106"/>
      <c r="BV43" s="2106"/>
      <c r="BW43" s="2106"/>
      <c r="BX43" s="2106"/>
      <c r="BY43" s="2106"/>
      <c r="BZ43" s="2106"/>
      <c r="CA43" s="2106"/>
      <c r="CB43" s="2106"/>
      <c r="CC43" s="2120"/>
      <c r="CD43" s="2106"/>
      <c r="CE43" s="2106"/>
      <c r="CF43" s="2106"/>
      <c r="CG43" s="2106"/>
      <c r="CH43" s="2106"/>
      <c r="CI43" s="2106"/>
      <c r="CJ43" s="2106"/>
      <c r="CK43" s="2106"/>
      <c r="CL43" s="2106"/>
      <c r="CM43" s="2120"/>
      <c r="CN43" s="2106"/>
      <c r="CO43" s="2106"/>
      <c r="CP43" s="2106"/>
      <c r="CQ43" s="2106"/>
      <c r="CR43" s="2106"/>
      <c r="CS43" s="2106"/>
      <c r="CT43" s="2109"/>
      <c r="CU43" s="2106"/>
      <c r="CV43" s="2106"/>
      <c r="CW43" s="2120"/>
      <c r="CX43" s="2106"/>
      <c r="CY43" s="2106"/>
      <c r="CZ43" s="2106"/>
      <c r="DA43" s="2106"/>
      <c r="DB43" s="2106"/>
      <c r="DC43" s="2106"/>
      <c r="DD43" s="2109"/>
      <c r="DE43" s="2106"/>
      <c r="DF43" s="2106"/>
      <c r="DG43" s="2120"/>
      <c r="DH43" s="2106"/>
      <c r="DI43" s="2106"/>
      <c r="DJ43" s="2106"/>
      <c r="DK43" s="2106"/>
      <c r="DL43" s="2106"/>
      <c r="DM43" s="2106"/>
      <c r="DN43" s="2109"/>
      <c r="DO43" s="2106"/>
      <c r="DP43" s="2106"/>
      <c r="DQ43" s="2120"/>
      <c r="DR43" s="2106"/>
      <c r="DS43" s="2106"/>
      <c r="DT43" s="2106"/>
      <c r="DU43" s="2106"/>
      <c r="DV43" s="2106"/>
      <c r="DW43" s="2106"/>
      <c r="DX43" s="2109"/>
      <c r="DY43" s="2106"/>
      <c r="DZ43" s="2106"/>
      <c r="EA43" s="2106"/>
      <c r="EB43" s="2106"/>
      <c r="EC43" s="2106"/>
      <c r="ED43" s="2106"/>
      <c r="EE43" s="2107"/>
      <c r="EF43" s="2106"/>
      <c r="EG43" s="2106"/>
      <c r="EH43" s="2106"/>
      <c r="EI43" s="2106"/>
      <c r="EJ43" s="2106"/>
      <c r="EK43" s="2106"/>
      <c r="EL43" s="2106"/>
      <c r="EM43" s="2106"/>
      <c r="EN43" s="2106"/>
      <c r="EO43" s="2110"/>
      <c r="EP43" s="2110"/>
      <c r="ES43" s="2084">
        <f t="shared" si="0"/>
        <v>0</v>
      </c>
      <c r="EU43" s="2084">
        <f t="shared" si="64"/>
        <v>0</v>
      </c>
      <c r="EV43" s="2084">
        <f t="shared" si="65"/>
        <v>0</v>
      </c>
      <c r="EW43" s="2084" t="e">
        <f t="shared" si="66"/>
        <v>#DIV/0!</v>
      </c>
      <c r="FE43" s="2108"/>
      <c r="FF43" s="2108"/>
      <c r="FG43" s="2108"/>
      <c r="FH43" s="2108"/>
      <c r="FI43" s="2108"/>
      <c r="FJ43" s="2108"/>
      <c r="FK43" s="2108"/>
    </row>
    <row r="44" spans="1:167">
      <c r="A44" s="1760"/>
      <c r="B44" s="1761"/>
      <c r="C44" s="2116"/>
      <c r="D44" s="2117"/>
      <c r="E44" s="2118"/>
      <c r="F44" s="2117"/>
      <c r="G44" s="1774"/>
      <c r="H44" s="2102"/>
      <c r="I44" s="2119"/>
      <c r="J44" s="2104"/>
      <c r="K44" s="2101"/>
      <c r="L44" s="2101"/>
      <c r="M44" s="2105"/>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c r="AS44" s="2106"/>
      <c r="AT44" s="2106"/>
      <c r="AU44" s="2106"/>
      <c r="AV44" s="2106"/>
      <c r="AW44" s="2106"/>
      <c r="AX44" s="2106"/>
      <c r="AY44" s="2120"/>
      <c r="AZ44" s="2106"/>
      <c r="BA44" s="2106"/>
      <c r="BB44" s="2106"/>
      <c r="BC44" s="2106"/>
      <c r="BD44" s="2106"/>
      <c r="BE44" s="2106"/>
      <c r="BF44" s="2106"/>
      <c r="BG44" s="2106"/>
      <c r="BH44" s="2106"/>
      <c r="BI44" s="2120"/>
      <c r="BJ44" s="2106"/>
      <c r="BK44" s="2106"/>
      <c r="BL44" s="2106"/>
      <c r="BM44" s="2106"/>
      <c r="BN44" s="2106"/>
      <c r="BO44" s="2106"/>
      <c r="BP44" s="2106"/>
      <c r="BQ44" s="2106"/>
      <c r="BR44" s="2106"/>
      <c r="BS44" s="2120"/>
      <c r="BT44" s="2106"/>
      <c r="BU44" s="2106"/>
      <c r="BV44" s="2106"/>
      <c r="BW44" s="2106"/>
      <c r="BX44" s="2106"/>
      <c r="BY44" s="2106"/>
      <c r="BZ44" s="2106"/>
      <c r="CA44" s="2106"/>
      <c r="CB44" s="2106"/>
      <c r="CC44" s="2120"/>
      <c r="CD44" s="2106"/>
      <c r="CE44" s="2106"/>
      <c r="CF44" s="2106"/>
      <c r="CG44" s="2106"/>
      <c r="CH44" s="2106"/>
      <c r="CI44" s="2106"/>
      <c r="CJ44" s="2106"/>
      <c r="CK44" s="2106"/>
      <c r="CL44" s="2106"/>
      <c r="CM44" s="2120"/>
      <c r="CN44" s="2106"/>
      <c r="CO44" s="2106"/>
      <c r="CP44" s="2106"/>
      <c r="CQ44" s="2106"/>
      <c r="CR44" s="2106"/>
      <c r="CS44" s="2106"/>
      <c r="CT44" s="2109"/>
      <c r="CU44" s="2106"/>
      <c r="CV44" s="2106"/>
      <c r="CW44" s="2120"/>
      <c r="CX44" s="2106"/>
      <c r="CY44" s="2106"/>
      <c r="CZ44" s="2106"/>
      <c r="DA44" s="2106"/>
      <c r="DB44" s="2106"/>
      <c r="DC44" s="2106"/>
      <c r="DD44" s="2109"/>
      <c r="DE44" s="2106"/>
      <c r="DF44" s="2106"/>
      <c r="DG44" s="2120"/>
      <c r="DH44" s="2106"/>
      <c r="DI44" s="2106"/>
      <c r="DJ44" s="2106"/>
      <c r="DK44" s="2106"/>
      <c r="DL44" s="2106"/>
      <c r="DM44" s="2106"/>
      <c r="DN44" s="2109"/>
      <c r="DO44" s="2106"/>
      <c r="DP44" s="2106"/>
      <c r="DQ44" s="2120"/>
      <c r="DR44" s="2106"/>
      <c r="DS44" s="2106"/>
      <c r="DT44" s="2106"/>
      <c r="DU44" s="2106"/>
      <c r="DV44" s="2106"/>
      <c r="DW44" s="2106"/>
      <c r="DX44" s="2109"/>
      <c r="DY44" s="2106"/>
      <c r="DZ44" s="2106"/>
      <c r="EA44" s="2106"/>
      <c r="EB44" s="2106"/>
      <c r="EC44" s="2106"/>
      <c r="ED44" s="2106"/>
      <c r="EE44" s="2107"/>
      <c r="EF44" s="2106"/>
      <c r="EG44" s="2106"/>
      <c r="EH44" s="2106"/>
      <c r="EI44" s="2106"/>
      <c r="EJ44" s="2106"/>
      <c r="EK44" s="2106"/>
      <c r="EL44" s="2106"/>
      <c r="EM44" s="2106"/>
      <c r="EN44" s="2106"/>
      <c r="EO44" s="2110"/>
      <c r="EP44" s="2110"/>
      <c r="ES44" s="2084">
        <f t="shared" si="0"/>
        <v>0</v>
      </c>
      <c r="EU44" s="2084">
        <f t="shared" si="64"/>
        <v>0</v>
      </c>
      <c r="EV44" s="2084">
        <f t="shared" si="65"/>
        <v>0</v>
      </c>
      <c r="EW44" s="2084" t="e">
        <f t="shared" si="66"/>
        <v>#DIV/0!</v>
      </c>
      <c r="FE44" s="2108"/>
      <c r="FF44" s="2108"/>
      <c r="FG44" s="2108"/>
      <c r="FH44" s="2108"/>
      <c r="FI44" s="2108"/>
      <c r="FJ44" s="2108"/>
      <c r="FK44" s="2108"/>
    </row>
    <row r="45" spans="1:167">
      <c r="A45" s="1760" t="s">
        <v>24</v>
      </c>
      <c r="B45" s="1784" t="s">
        <v>1675</v>
      </c>
      <c r="C45" s="2116"/>
      <c r="D45" s="2117"/>
      <c r="E45" s="2118"/>
      <c r="F45" s="2117"/>
      <c r="G45" s="1774"/>
      <c r="H45" s="2102"/>
      <c r="I45" s="2119"/>
      <c r="J45" s="2104"/>
      <c r="K45" s="2101"/>
      <c r="L45" s="2101"/>
      <c r="M45" s="2105"/>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c r="AS45" s="2106"/>
      <c r="AT45" s="2106"/>
      <c r="AU45" s="2106"/>
      <c r="AV45" s="2106"/>
      <c r="AW45" s="2106"/>
      <c r="AX45" s="2106"/>
      <c r="AY45" s="2120"/>
      <c r="AZ45" s="2106"/>
      <c r="BA45" s="2106"/>
      <c r="BB45" s="2106"/>
      <c r="BC45" s="2106"/>
      <c r="BD45" s="2106"/>
      <c r="BE45" s="2106"/>
      <c r="BF45" s="2106"/>
      <c r="BG45" s="2106"/>
      <c r="BH45" s="2106"/>
      <c r="BI45" s="2120"/>
      <c r="BJ45" s="2106"/>
      <c r="BK45" s="2106"/>
      <c r="BL45" s="2106"/>
      <c r="BM45" s="2106"/>
      <c r="BN45" s="2106"/>
      <c r="BO45" s="2106"/>
      <c r="BP45" s="2106"/>
      <c r="BQ45" s="2106"/>
      <c r="BR45" s="2106"/>
      <c r="BS45" s="2120"/>
      <c r="BT45" s="2106"/>
      <c r="BU45" s="2106"/>
      <c r="BV45" s="2106"/>
      <c r="BW45" s="2106"/>
      <c r="BX45" s="2106"/>
      <c r="BY45" s="2106"/>
      <c r="BZ45" s="2106"/>
      <c r="CA45" s="2106"/>
      <c r="CB45" s="2106"/>
      <c r="CC45" s="2120"/>
      <c r="CD45" s="2106"/>
      <c r="CE45" s="2106"/>
      <c r="CF45" s="2106"/>
      <c r="CG45" s="2106"/>
      <c r="CH45" s="2106"/>
      <c r="CI45" s="2106"/>
      <c r="CJ45" s="2106"/>
      <c r="CK45" s="2106"/>
      <c r="CL45" s="2106"/>
      <c r="CM45" s="2120"/>
      <c r="CN45" s="2106"/>
      <c r="CO45" s="2106"/>
      <c r="CP45" s="2106"/>
      <c r="CQ45" s="2106"/>
      <c r="CR45" s="2106"/>
      <c r="CS45" s="2106"/>
      <c r="CT45" s="2109"/>
      <c r="CU45" s="2106"/>
      <c r="CV45" s="2106"/>
      <c r="CW45" s="2120"/>
      <c r="CX45" s="2106"/>
      <c r="CY45" s="2106"/>
      <c r="CZ45" s="2106"/>
      <c r="DA45" s="2106"/>
      <c r="DB45" s="2106"/>
      <c r="DC45" s="2106"/>
      <c r="DD45" s="2109"/>
      <c r="DE45" s="2106"/>
      <c r="DF45" s="2106"/>
      <c r="DG45" s="2120"/>
      <c r="DH45" s="2106"/>
      <c r="DI45" s="2106"/>
      <c r="DJ45" s="2106"/>
      <c r="DK45" s="2106"/>
      <c r="DL45" s="2106"/>
      <c r="DM45" s="2106"/>
      <c r="DN45" s="2109"/>
      <c r="DO45" s="2106"/>
      <c r="DP45" s="2106"/>
      <c r="DQ45" s="2120"/>
      <c r="DR45" s="2106"/>
      <c r="DS45" s="2106"/>
      <c r="DT45" s="2106"/>
      <c r="DU45" s="2106"/>
      <c r="DV45" s="2106"/>
      <c r="DW45" s="2106"/>
      <c r="DX45" s="2109"/>
      <c r="DY45" s="2106"/>
      <c r="DZ45" s="2106"/>
      <c r="EA45" s="2106"/>
      <c r="EB45" s="2106"/>
      <c r="EC45" s="2106"/>
      <c r="ED45" s="2106"/>
      <c r="EE45" s="2107"/>
      <c r="EF45" s="2106"/>
      <c r="EG45" s="2106"/>
      <c r="EH45" s="2106"/>
      <c r="EI45" s="2106"/>
      <c r="EJ45" s="2106"/>
      <c r="EK45" s="2106"/>
      <c r="EL45" s="2106"/>
      <c r="EM45" s="2106"/>
      <c r="EN45" s="2106"/>
      <c r="EO45" s="2110"/>
      <c r="EP45" s="2110"/>
      <c r="ES45" s="2084">
        <f t="shared" si="0"/>
        <v>0</v>
      </c>
      <c r="EU45" s="2084">
        <f t="shared" si="64"/>
        <v>0</v>
      </c>
      <c r="EV45" s="2084">
        <f t="shared" si="65"/>
        <v>0</v>
      </c>
      <c r="EW45" s="2084" t="e">
        <f t="shared" si="66"/>
        <v>#DIV/0!</v>
      </c>
      <c r="FE45" s="2108"/>
      <c r="FF45" s="2108"/>
      <c r="FG45" s="2108"/>
      <c r="FH45" s="2108"/>
      <c r="FI45" s="2108"/>
      <c r="FJ45" s="2108"/>
      <c r="FK45" s="2108"/>
    </row>
    <row r="46" spans="1:167">
      <c r="A46" s="1760" t="s">
        <v>19</v>
      </c>
      <c r="B46" s="1784" t="s">
        <v>1676</v>
      </c>
      <c r="C46" s="2116"/>
      <c r="D46" s="2117"/>
      <c r="E46" s="2118"/>
      <c r="F46" s="2117"/>
      <c r="G46" s="1774"/>
      <c r="H46" s="2102"/>
      <c r="I46" s="2103"/>
      <c r="J46" s="2104"/>
      <c r="K46" s="2101"/>
      <c r="L46" s="2101"/>
      <c r="M46" s="2105"/>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c r="AS46" s="2106"/>
      <c r="AT46" s="2106"/>
      <c r="AU46" s="2106"/>
      <c r="AV46" s="2106"/>
      <c r="AW46" s="2106"/>
      <c r="AX46" s="2106"/>
      <c r="AY46" s="2120"/>
      <c r="AZ46" s="2106"/>
      <c r="BA46" s="2106"/>
      <c r="BB46" s="2106"/>
      <c r="BC46" s="2106"/>
      <c r="BD46" s="2106"/>
      <c r="BE46" s="2106"/>
      <c r="BF46" s="2106"/>
      <c r="BG46" s="2106"/>
      <c r="BH46" s="2106"/>
      <c r="BI46" s="2120"/>
      <c r="BJ46" s="2106"/>
      <c r="BK46" s="2106"/>
      <c r="BL46" s="2106"/>
      <c r="BM46" s="2106"/>
      <c r="BN46" s="2106"/>
      <c r="BO46" s="2106"/>
      <c r="BP46" s="2106"/>
      <c r="BQ46" s="2106"/>
      <c r="BR46" s="2106"/>
      <c r="BS46" s="2120"/>
      <c r="BT46" s="2106"/>
      <c r="BU46" s="2106"/>
      <c r="BV46" s="2106"/>
      <c r="BW46" s="2106"/>
      <c r="BX46" s="2106"/>
      <c r="BY46" s="2106"/>
      <c r="BZ46" s="2106"/>
      <c r="CA46" s="2106"/>
      <c r="CB46" s="2106"/>
      <c r="CC46" s="2120"/>
      <c r="CD46" s="2106"/>
      <c r="CE46" s="2106"/>
      <c r="CF46" s="2106"/>
      <c r="CG46" s="2106"/>
      <c r="CH46" s="2106"/>
      <c r="CI46" s="2106"/>
      <c r="CJ46" s="2106"/>
      <c r="CK46" s="2106"/>
      <c r="CL46" s="2106"/>
      <c r="CM46" s="2120"/>
      <c r="CN46" s="2106"/>
      <c r="CO46" s="2106"/>
      <c r="CP46" s="2106">
        <v>0</v>
      </c>
      <c r="CQ46" s="2106">
        <f t="shared" si="41"/>
        <v>0</v>
      </c>
      <c r="CR46" s="2106">
        <v>0</v>
      </c>
      <c r="CS46" s="2106">
        <v>0</v>
      </c>
      <c r="CT46" s="2109">
        <f>CS46*CP46/10</f>
        <v>0</v>
      </c>
      <c r="CU46" s="2106"/>
      <c r="CV46" s="2106"/>
      <c r="CW46" s="2120"/>
      <c r="CX46" s="2106"/>
      <c r="CY46" s="2106"/>
      <c r="CZ46" s="2106"/>
      <c r="DA46" s="2106"/>
      <c r="DB46" s="2106"/>
      <c r="DC46" s="2106"/>
      <c r="DD46" s="2109"/>
      <c r="DE46" s="2106"/>
      <c r="DF46" s="2106"/>
      <c r="DG46" s="2120"/>
      <c r="DH46" s="2106"/>
      <c r="DI46" s="2106"/>
      <c r="DJ46" s="2106"/>
      <c r="DK46" s="2106"/>
      <c r="DL46" s="2106"/>
      <c r="DM46" s="2106"/>
      <c r="DN46" s="2109"/>
      <c r="DO46" s="2106"/>
      <c r="DP46" s="2106"/>
      <c r="DQ46" s="2120"/>
      <c r="DR46" s="2106"/>
      <c r="DS46" s="2106"/>
      <c r="DT46" s="2106"/>
      <c r="DU46" s="2106"/>
      <c r="DV46" s="2106"/>
      <c r="DW46" s="2106"/>
      <c r="DX46" s="2109"/>
      <c r="DY46" s="2106"/>
      <c r="DZ46" s="2106"/>
      <c r="EA46" s="2106"/>
      <c r="EB46" s="2106"/>
      <c r="EC46" s="2106"/>
      <c r="ED46" s="2106"/>
      <c r="EE46" s="2107"/>
      <c r="EF46" s="2106"/>
      <c r="EG46" s="2106"/>
      <c r="EH46" s="2106"/>
      <c r="EI46" s="2106"/>
      <c r="EJ46" s="2106"/>
      <c r="EK46" s="2106"/>
      <c r="EL46" s="2106"/>
      <c r="EM46" s="2106"/>
      <c r="EN46" s="2106"/>
      <c r="EO46" s="2110"/>
      <c r="EP46" s="2110"/>
      <c r="ES46" s="2084">
        <f t="shared" si="0"/>
        <v>0</v>
      </c>
      <c r="EU46" s="2084">
        <f t="shared" si="64"/>
        <v>0</v>
      </c>
      <c r="EV46" s="2084">
        <f t="shared" si="65"/>
        <v>0</v>
      </c>
      <c r="EW46" s="2084" t="e">
        <f t="shared" si="66"/>
        <v>#DIV/0!</v>
      </c>
      <c r="FE46" s="2108"/>
      <c r="FF46" s="2108"/>
      <c r="FG46" s="2108"/>
      <c r="FH46" s="2108"/>
      <c r="FI46" s="2108"/>
      <c r="FJ46" s="2108"/>
      <c r="FK46" s="2108"/>
    </row>
    <row r="47" spans="1:167">
      <c r="A47" s="1760">
        <v>1</v>
      </c>
      <c r="B47" s="1761" t="s">
        <v>1677</v>
      </c>
      <c r="C47" s="2098">
        <v>419</v>
      </c>
      <c r="D47" s="2099">
        <v>0.21766109785202864</v>
      </c>
      <c r="E47" s="2100"/>
      <c r="F47" s="2099">
        <v>0.31942216900537662</v>
      </c>
      <c r="G47" s="2101">
        <v>91.2</v>
      </c>
      <c r="H47" s="2102" t="s">
        <v>1649</v>
      </c>
      <c r="I47" s="2103">
        <v>1</v>
      </c>
      <c r="J47" s="2104"/>
      <c r="K47" s="2101"/>
      <c r="L47" s="2101"/>
      <c r="M47" s="2105"/>
      <c r="N47" s="2106">
        <v>0</v>
      </c>
      <c r="O47" s="2106">
        <f t="shared" ref="O47:O84" si="128">IFERROR(P47/N47*10,0)</f>
        <v>0</v>
      </c>
      <c r="P47" s="2106">
        <v>0</v>
      </c>
      <c r="Q47" s="2106">
        <f t="shared" ref="Q47:Q84" si="129">IFERROR(R47/N47*10,0)</f>
        <v>0</v>
      </c>
      <c r="R47" s="2106">
        <v>0</v>
      </c>
      <c r="S47" s="2106">
        <f t="shared" ref="S47:S84" si="130">IFERROR(T47/N47*10,0)</f>
        <v>0</v>
      </c>
      <c r="T47" s="2106">
        <v>0</v>
      </c>
      <c r="U47" s="2106"/>
      <c r="V47" s="2106">
        <f t="shared" ref="V47:V77" si="131">IFERROR(W47/N47*10,0)</f>
        <v>0</v>
      </c>
      <c r="W47" s="2106">
        <f t="shared" ref="W47:W77" si="132">SUM(P47,R47,T47,U47)</f>
        <v>0</v>
      </c>
      <c r="X47" s="2106">
        <v>5.8321310000000004</v>
      </c>
      <c r="Y47" s="2106">
        <f t="shared" ref="Y47:Y84" si="133">IFERROR(Z47/X47*10,0)</f>
        <v>8.8430451922290505</v>
      </c>
      <c r="Z47" s="2106">
        <v>5.1573798000000002</v>
      </c>
      <c r="AA47" s="2106">
        <f t="shared" ref="AA47:AA84" si="134">IFERROR(AB47/X47*10,0)</f>
        <v>2.0650000831599975</v>
      </c>
      <c r="AB47" s="2106">
        <v>1.2043351</v>
      </c>
      <c r="AC47" s="2106">
        <f t="shared" ref="AC47:AC84" si="135">IFERROR(AD47/X47*10,0)</f>
        <v>3.7761668933705361E-2</v>
      </c>
      <c r="AD47" s="2106">
        <v>2.20231E-2</v>
      </c>
      <c r="AE47" s="2106"/>
      <c r="AF47" s="2106">
        <f t="shared" ref="AF47:AF84" si="136">IFERROR(AG47/X47*10,0)</f>
        <v>10.945806944322751</v>
      </c>
      <c r="AG47" s="2106">
        <f t="shared" ref="AG47:AG84" si="137">SUM(Z47,AB47,AD47,AE47)</f>
        <v>6.3837380000000001</v>
      </c>
      <c r="AH47" s="2106">
        <v>1.44194</v>
      </c>
      <c r="AI47" s="2106">
        <f t="shared" ref="AI47:AI84" si="138">IFERROR(AJ47/AH47*10,0)</f>
        <v>35.766951468160954</v>
      </c>
      <c r="AJ47" s="2106">
        <v>5.1573798000000002</v>
      </c>
      <c r="AK47" s="2106">
        <f t="shared" ref="AK47:AK84" si="139">IFERROR(AL47/AH47*10,0)</f>
        <v>8.7609999722595955</v>
      </c>
      <c r="AL47" s="2106">
        <v>1.2632836300000001</v>
      </c>
      <c r="AM47" s="2106">
        <f t="shared" ref="AM47:AM84" si="140">IFERROR(AN47/AH47*10,0)</f>
        <v>-8.3539537012635751E-2</v>
      </c>
      <c r="AN47" s="2106">
        <v>-1.20459E-2</v>
      </c>
      <c r="AO47" s="2106">
        <v>0</v>
      </c>
      <c r="AP47" s="2106">
        <f t="shared" ref="AP47:AP84" si="141">IFERROR(AQ47/AH47*10,0)</f>
        <v>44.444411903407904</v>
      </c>
      <c r="AQ47" s="2106">
        <f t="shared" ref="AQ47:AQ84" si="142">SUM(AJ47,AL47,AN47,AO47)</f>
        <v>6.4086175299999999</v>
      </c>
      <c r="AR47" s="2106">
        <v>9.1106130000000007</v>
      </c>
      <c r="AS47" s="2106">
        <f t="shared" ref="AS47:AS84" si="143">IFERROR(AT47/AR47*10,0)</f>
        <v>5.6549434159918768</v>
      </c>
      <c r="AT47" s="2106">
        <v>5.1520001000000004</v>
      </c>
      <c r="AU47" s="2106">
        <f t="shared" ref="AU47:AU84" si="144">IFERROR(AV47/AR47*10,0)</f>
        <v>9.0340000173424109</v>
      </c>
      <c r="AV47" s="2106">
        <v>8.2305278000000008</v>
      </c>
      <c r="AW47" s="2106">
        <f t="shared" ref="AW47:AW84" si="145">IFERROR(AX47/AR47*10,0)</f>
        <v>5.465592710391716E-2</v>
      </c>
      <c r="AX47" s="2106">
        <v>4.9794900000000003E-2</v>
      </c>
      <c r="AY47" s="2106"/>
      <c r="AZ47" s="2106">
        <f t="shared" ref="AZ47:AZ84" si="146">IFERROR(BA47/AR47*10,0)</f>
        <v>14.743599360438207</v>
      </c>
      <c r="BA47" s="2106">
        <f t="shared" ref="BA47:BA84" si="147">SUM(AT47,AV47,AX47,AY47)</f>
        <v>13.432322800000001</v>
      </c>
      <c r="BB47" s="2106">
        <v>0</v>
      </c>
      <c r="BC47" s="2106">
        <f t="shared" ref="BC47:BC84" si="148">IFERROR(BD47/BB47*10,0)</f>
        <v>0</v>
      </c>
      <c r="BD47" s="2106">
        <v>5.1520001000000004</v>
      </c>
      <c r="BE47" s="2106">
        <f t="shared" ref="BE47:BE84" si="149">IFERROR(BF47/BB47*10,0)</f>
        <v>0</v>
      </c>
      <c r="BF47" s="2106">
        <v>0</v>
      </c>
      <c r="BG47" s="2106">
        <f t="shared" ref="BG47:BG84" si="150">IFERROR(BH47/BB47*10,0)</f>
        <v>0</v>
      </c>
      <c r="BH47" s="2106">
        <v>0.19947010000000001</v>
      </c>
      <c r="BI47" s="2106"/>
      <c r="BJ47" s="2106">
        <f t="shared" ref="BJ47:BJ84" si="151">IFERROR(BK47/BB47*10,0)</f>
        <v>0</v>
      </c>
      <c r="BK47" s="2106">
        <f t="shared" ref="BK47:BK84" si="152">SUM(BD47,BF47,BH47,BI47)</f>
        <v>5.3514702000000005</v>
      </c>
      <c r="BL47" s="2106">
        <v>0</v>
      </c>
      <c r="BM47" s="2106">
        <f t="shared" ref="BM47:BM84" si="153">IFERROR(BN47/BL47*10,0)</f>
        <v>0</v>
      </c>
      <c r="BN47" s="2106">
        <v>4.6985391999999999</v>
      </c>
      <c r="BO47" s="2106">
        <f t="shared" ref="BO47:BO84" si="154">IFERROR(BP47/BL47*10,0)</f>
        <v>0</v>
      </c>
      <c r="BP47" s="2106">
        <v>0</v>
      </c>
      <c r="BQ47" s="2106">
        <f t="shared" ref="BQ47:BQ84" si="155">IFERROR(BR47/BL47*10,0)</f>
        <v>0</v>
      </c>
      <c r="BR47" s="2106">
        <v>-0.2770977</v>
      </c>
      <c r="BS47" s="2106"/>
      <c r="BT47" s="2106">
        <f t="shared" ref="BT47:BT84" si="156">IFERROR(BU47/BL47*10,0)</f>
        <v>0</v>
      </c>
      <c r="BU47" s="2106">
        <f t="shared" ref="BU47:BU84" si="157">SUM(BN47,BP47,BR47,BS47)</f>
        <v>4.4214415000000002</v>
      </c>
      <c r="BV47" s="2106">
        <v>0.30594300000000002</v>
      </c>
      <c r="BW47" s="2106">
        <f t="shared" ref="BW47:BW84" si="158">IFERROR(BX47/BV47*10,0)</f>
        <v>121.44379508601274</v>
      </c>
      <c r="BX47" s="2106">
        <v>3.7154878999999998</v>
      </c>
      <c r="BY47" s="2106">
        <f t="shared" ref="BY47:BY84" si="159">IFERROR(BZ47/BV47*10,0)</f>
        <v>9.642998859264635</v>
      </c>
      <c r="BZ47" s="2106">
        <v>0.29502080000000003</v>
      </c>
      <c r="CA47" s="2106">
        <f t="shared" ref="CA47:CA84" si="160">IFERROR(CB47/BV47*10,0)</f>
        <v>-19.997476654147995</v>
      </c>
      <c r="CB47" s="2106">
        <v>-0.61180880000000004</v>
      </c>
      <c r="CC47" s="2106"/>
      <c r="CD47" s="2106">
        <f t="shared" ref="CD47:CD84" si="161">IFERROR(CE47/BV47*10,0)</f>
        <v>111.08931729112939</v>
      </c>
      <c r="CE47" s="2106">
        <f t="shared" ref="CE47:CE84" si="162">SUM(BX47,BZ47,CB47,CC47)</f>
        <v>3.3986999</v>
      </c>
      <c r="CF47" s="2106">
        <v>0</v>
      </c>
      <c r="CG47" s="2106">
        <f t="shared" ref="CG47:CG84" si="163">IFERROR(CH47/CF47*10,0)</f>
        <v>0</v>
      </c>
      <c r="CH47" s="2106">
        <v>4.7786473000000003</v>
      </c>
      <c r="CI47" s="2106">
        <f t="shared" ref="CI47:CI84" si="164">IFERROR(CJ47/CF47*10,0)</f>
        <v>0</v>
      </c>
      <c r="CJ47" s="2106">
        <v>0</v>
      </c>
      <c r="CK47" s="2106">
        <f t="shared" ref="CK47:CK84" si="165">IFERROR(CL47/CF47*10,0)</f>
        <v>0</v>
      </c>
      <c r="CL47" s="2106">
        <v>0</v>
      </c>
      <c r="CM47" s="2106"/>
      <c r="CN47" s="2106">
        <f t="shared" ref="CN47:CN84" si="166">IFERROR(CO47/CF47*10,0)</f>
        <v>0</v>
      </c>
      <c r="CO47" s="2106">
        <f t="shared" ref="CO47:CO84" si="167">SUM(CH47,CJ47,CL47,CM47)</f>
        <v>4.7786473000000003</v>
      </c>
      <c r="CP47" s="2106">
        <v>0</v>
      </c>
      <c r="CQ47" s="2106">
        <f t="shared" si="41"/>
        <v>0</v>
      </c>
      <c r="CR47" s="2106">
        <v>4.6150599999999997</v>
      </c>
      <c r="CS47" s="2106">
        <f t="shared" ref="CS47:CS84" si="168">IFERROR(CT47/CP47*10,0)</f>
        <v>0</v>
      </c>
      <c r="CT47" s="2106">
        <v>0</v>
      </c>
      <c r="CU47" s="2106">
        <f t="shared" ref="CU47:CU84" si="169">IFERROR(CV47/CP47*10,0)</f>
        <v>0</v>
      </c>
      <c r="CV47" s="2106">
        <v>0</v>
      </c>
      <c r="CW47" s="2106"/>
      <c r="CX47" s="2106">
        <f t="shared" ref="CX47:CX84" si="170">IFERROR(CY47/CP47*10,0)</f>
        <v>0</v>
      </c>
      <c r="CY47" s="2106">
        <f t="shared" ref="CY47:CY84" si="171">SUM(CR47,CT47,CV47,CW47)</f>
        <v>4.6150599999999997</v>
      </c>
      <c r="CZ47" s="2106">
        <v>0</v>
      </c>
      <c r="DA47" s="2106">
        <f t="shared" si="46"/>
        <v>0</v>
      </c>
      <c r="DB47" s="2106">
        <v>4.3833873037499993</v>
      </c>
      <c r="DC47" s="2106">
        <v>4.5520985351874499</v>
      </c>
      <c r="DD47" s="2109">
        <f t="shared" si="47"/>
        <v>0</v>
      </c>
      <c r="DE47" s="2106"/>
      <c r="DF47" s="2106"/>
      <c r="DG47" s="2106"/>
      <c r="DH47" s="2106">
        <f t="shared" ref="DH47:DH77" si="172">IFERROR(DI47/CZ47*10,0)</f>
        <v>0</v>
      </c>
      <c r="DI47" s="2106">
        <f t="shared" ref="DI47:DI77" si="173">SUM(DB47,DD47,DF47,DG47)</f>
        <v>4.3833873037499993</v>
      </c>
      <c r="DJ47" s="2106">
        <v>0</v>
      </c>
      <c r="DK47" s="2106">
        <f t="shared" si="50"/>
        <v>0</v>
      </c>
      <c r="DL47" s="2106">
        <v>4.3833873037499993</v>
      </c>
      <c r="DM47" s="2106">
        <v>4.5520985351874499</v>
      </c>
      <c r="DN47" s="2109">
        <f t="shared" si="51"/>
        <v>0</v>
      </c>
      <c r="DO47" s="2106"/>
      <c r="DP47" s="2106"/>
      <c r="DQ47" s="2106"/>
      <c r="DR47" s="2106">
        <f t="shared" ref="DR47:DR77" si="174">IFERROR(DS47/DJ47*10,0)</f>
        <v>0</v>
      </c>
      <c r="DS47" s="2106">
        <f t="shared" ref="DS47:DS77" si="175">SUM(DL47,DN47,DP47,DQ47)</f>
        <v>4.3833873037499993</v>
      </c>
      <c r="DT47" s="2106">
        <v>6.7470632500000018</v>
      </c>
      <c r="DU47" s="2106">
        <f t="shared" si="54"/>
        <v>6.4967336770557154</v>
      </c>
      <c r="DV47" s="2106">
        <v>4.3833873037499993</v>
      </c>
      <c r="DW47" s="2106">
        <v>4.5520985351874499</v>
      </c>
      <c r="DX47" s="2109">
        <f t="shared" si="55"/>
        <v>3.0713296737142084</v>
      </c>
      <c r="DY47" s="2106"/>
      <c r="DZ47" s="2106"/>
      <c r="EA47" s="2106"/>
      <c r="EB47" s="2106">
        <f t="shared" ref="EB47:EB77" si="176">IFERROR(EC47/DT47*10,0)</f>
        <v>11.048832212243164</v>
      </c>
      <c r="EC47" s="2106">
        <f t="shared" ref="EC47:EC84" si="177">SUM(DV47,DX47,DZ47,EA47)</f>
        <v>7.4547169774642077</v>
      </c>
      <c r="ED47" s="2106">
        <f t="shared" ref="ED47:ED84" si="178">SUM(N47,X47,AH47,AR47,BB47,BL47,BV47,CF47,CP47,CZ47,DJ47,DT47)</f>
        <v>23.437690250000003</v>
      </c>
      <c r="EE47" s="2107"/>
      <c r="EF47" s="2106">
        <f t="shared" ref="EF47:EF84" si="179">IFERROR(EG47/ED47*10,0)</f>
        <v>22.005861311888442</v>
      </c>
      <c r="EG47" s="2106">
        <f t="shared" ref="EG47:EG84" si="180">SUM(P47,Z47,AJ47,AT47,BD47,BN47,BX47,CH47,CR47,DB47,DL47,DV47)</f>
        <v>51.576656111249996</v>
      </c>
      <c r="EH47" s="2106">
        <f t="shared" ref="EH47:EH84" si="181">IFERROR(EI47/ED47*10,0)</f>
        <v>6.0008033443970472</v>
      </c>
      <c r="EI47" s="2106">
        <f t="shared" ref="EI47:EI84" si="182">SUM(R47,AB47,AL47,AV47,BF47,BP47,BZ47,CJ47,CT47,DD47,DN47,DX47)</f>
        <v>14.064497003714209</v>
      </c>
      <c r="EJ47" s="2106"/>
      <c r="EK47" s="2106">
        <f t="shared" ref="EK47:EK84" si="183">SUM(T47,AD47,AN47,AX47,BH47,BR47,CB47,CL47,CV47,DF47,DP47,DZ47)</f>
        <v>-0.62966429999999995</v>
      </c>
      <c r="EL47" s="2106"/>
      <c r="EM47" s="2106"/>
      <c r="EN47" s="2106">
        <f t="shared" ref="EN47:EN84" si="184">EG47+EI47+EK47</f>
        <v>65.011488814964196</v>
      </c>
      <c r="EO47" s="2104">
        <f t="shared" ref="EO47:EO84" si="185">IFERROR(EN47/ED47*10,0)</f>
        <v>27.738010069044318</v>
      </c>
      <c r="EP47" s="2110"/>
      <c r="ES47" s="2084">
        <f t="shared" si="0"/>
        <v>0</v>
      </c>
      <c r="EU47" s="2084">
        <f t="shared" si="64"/>
        <v>10.99316733</v>
      </c>
      <c r="EV47" s="2084">
        <f t="shared" si="65"/>
        <v>16.690626999999999</v>
      </c>
      <c r="EW47" s="2084">
        <f t="shared" si="66"/>
        <v>6.5864316121856898</v>
      </c>
      <c r="FE47" s="2108"/>
      <c r="FF47" s="2108"/>
      <c r="FG47" s="2108"/>
      <c r="FH47" s="2108"/>
      <c r="FI47" s="2108"/>
      <c r="FJ47" s="2108"/>
      <c r="FK47" s="2108"/>
    </row>
    <row r="48" spans="1:167">
      <c r="A48" s="1760">
        <v>2</v>
      </c>
      <c r="B48" s="1761" t="s">
        <v>1678</v>
      </c>
      <c r="C48" s="2098">
        <v>663</v>
      </c>
      <c r="D48" s="2099">
        <v>0.32076923076923075</v>
      </c>
      <c r="E48" s="2100"/>
      <c r="F48" s="2099">
        <v>0.17501294182497887</v>
      </c>
      <c r="G48" s="2101">
        <v>212.67</v>
      </c>
      <c r="H48" s="2102" t="s">
        <v>1649</v>
      </c>
      <c r="I48" s="2103">
        <v>2</v>
      </c>
      <c r="J48" s="2104"/>
      <c r="K48" s="2101"/>
      <c r="L48" s="2101"/>
      <c r="M48" s="2105"/>
      <c r="N48" s="2106">
        <v>0</v>
      </c>
      <c r="O48" s="2106">
        <f t="shared" si="128"/>
        <v>0</v>
      </c>
      <c r="P48" s="2106">
        <v>0</v>
      </c>
      <c r="Q48" s="2106">
        <f t="shared" si="129"/>
        <v>0</v>
      </c>
      <c r="R48" s="2106">
        <v>0</v>
      </c>
      <c r="S48" s="2106">
        <f t="shared" si="130"/>
        <v>0</v>
      </c>
      <c r="T48" s="2106">
        <v>0</v>
      </c>
      <c r="U48" s="2106"/>
      <c r="V48" s="2106">
        <f t="shared" si="131"/>
        <v>0</v>
      </c>
      <c r="W48" s="2106">
        <f t="shared" si="132"/>
        <v>0</v>
      </c>
      <c r="X48" s="2106">
        <v>0</v>
      </c>
      <c r="Y48" s="2106">
        <f t="shared" si="133"/>
        <v>0</v>
      </c>
      <c r="Z48" s="2106">
        <v>9.9170729000000009</v>
      </c>
      <c r="AA48" s="2106">
        <f t="shared" si="134"/>
        <v>0</v>
      </c>
      <c r="AB48" s="2106">
        <v>0</v>
      </c>
      <c r="AC48" s="2106">
        <f t="shared" si="135"/>
        <v>0</v>
      </c>
      <c r="AD48" s="2106">
        <v>-2.9854E-3</v>
      </c>
      <c r="AE48" s="2106"/>
      <c r="AF48" s="2106">
        <f t="shared" si="136"/>
        <v>0</v>
      </c>
      <c r="AG48" s="2106">
        <f t="shared" si="137"/>
        <v>9.9140875000000008</v>
      </c>
      <c r="AH48" s="2106">
        <v>8.7318149999999992</v>
      </c>
      <c r="AI48" s="2106">
        <f t="shared" si="138"/>
        <v>11.357401525341526</v>
      </c>
      <c r="AJ48" s="2106">
        <v>9.9170729000000009</v>
      </c>
      <c r="AK48" s="2106">
        <f t="shared" si="139"/>
        <v>3.5393485615533544</v>
      </c>
      <c r="AL48" s="2106">
        <v>3.0904936859999999</v>
      </c>
      <c r="AM48" s="2106">
        <f t="shared" si="140"/>
        <v>0.19104722214110126</v>
      </c>
      <c r="AN48" s="2106">
        <v>0.16681889999999999</v>
      </c>
      <c r="AO48" s="2106">
        <v>0</v>
      </c>
      <c r="AP48" s="2106">
        <f t="shared" si="141"/>
        <v>15.087797309035984</v>
      </c>
      <c r="AQ48" s="2106">
        <f t="shared" si="142"/>
        <v>13.174385486000002</v>
      </c>
      <c r="AR48" s="2106">
        <v>38.869897000000002</v>
      </c>
      <c r="AS48" s="2106">
        <f t="shared" si="143"/>
        <v>2.5500427232930409</v>
      </c>
      <c r="AT48" s="2106">
        <v>9.9119898000000006</v>
      </c>
      <c r="AU48" s="2106">
        <f t="shared" si="144"/>
        <v>9.2229999992024663</v>
      </c>
      <c r="AV48" s="2106">
        <v>35.849705999999998</v>
      </c>
      <c r="AW48" s="2106">
        <f t="shared" si="145"/>
        <v>0.21943716496084359</v>
      </c>
      <c r="AX48" s="2106">
        <v>0.85294999999999999</v>
      </c>
      <c r="AY48" s="2106"/>
      <c r="AZ48" s="2106">
        <f t="shared" si="146"/>
        <v>11.992479887456351</v>
      </c>
      <c r="BA48" s="2106">
        <f t="shared" si="147"/>
        <v>46.614645799999998</v>
      </c>
      <c r="BB48" s="2106">
        <v>5.0400000000000002E-3</v>
      </c>
      <c r="BC48" s="2106"/>
      <c r="BD48" s="2106">
        <v>9.9119898000000006</v>
      </c>
      <c r="BE48" s="2106">
        <f t="shared" si="149"/>
        <v>9.8259920634920626</v>
      </c>
      <c r="BF48" s="2106">
        <v>4.9522999999999998E-3</v>
      </c>
      <c r="BG48" s="2106">
        <f t="shared" si="150"/>
        <v>-138.70873015873016</v>
      </c>
      <c r="BH48" s="2106">
        <v>-6.9909200000000005E-2</v>
      </c>
      <c r="BI48" s="2106"/>
      <c r="BJ48" s="2106">
        <f t="shared" si="151"/>
        <v>19537.763690476189</v>
      </c>
      <c r="BK48" s="2106">
        <f t="shared" si="152"/>
        <v>9.8470329000000003</v>
      </c>
      <c r="BL48" s="2106">
        <v>0</v>
      </c>
      <c r="BM48" s="2106">
        <f t="shared" si="153"/>
        <v>0</v>
      </c>
      <c r="BN48" s="2106">
        <v>9.9119898000000006</v>
      </c>
      <c r="BO48" s="2106">
        <f t="shared" si="154"/>
        <v>0</v>
      </c>
      <c r="BP48" s="2106">
        <v>0</v>
      </c>
      <c r="BQ48" s="2106">
        <f t="shared" si="155"/>
        <v>0</v>
      </c>
      <c r="BR48" s="2106">
        <v>3.87353E-2</v>
      </c>
      <c r="BS48" s="2106"/>
      <c r="BT48" s="2106">
        <f t="shared" si="156"/>
        <v>0</v>
      </c>
      <c r="BU48" s="2106">
        <f t="shared" si="157"/>
        <v>9.9507251000000014</v>
      </c>
      <c r="BV48" s="2106">
        <v>0</v>
      </c>
      <c r="BW48" s="2106">
        <f t="shared" si="158"/>
        <v>0</v>
      </c>
      <c r="BX48" s="2106">
        <v>8.6945940999999998</v>
      </c>
      <c r="BY48" s="2106">
        <f t="shared" si="159"/>
        <v>0</v>
      </c>
      <c r="BZ48" s="2106">
        <v>0</v>
      </c>
      <c r="CA48" s="2106">
        <f t="shared" si="160"/>
        <v>0</v>
      </c>
      <c r="CB48" s="2106">
        <v>-1.7344934000000001</v>
      </c>
      <c r="CC48" s="2106"/>
      <c r="CD48" s="2106">
        <f t="shared" si="161"/>
        <v>0</v>
      </c>
      <c r="CE48" s="2106">
        <f t="shared" si="162"/>
        <v>6.9601006999999999</v>
      </c>
      <c r="CF48" s="2106">
        <v>0</v>
      </c>
      <c r="CG48" s="2106">
        <f t="shared" si="163"/>
        <v>0</v>
      </c>
      <c r="CH48" s="2106">
        <v>8.6107233999999995</v>
      </c>
      <c r="CI48" s="2106">
        <f t="shared" si="164"/>
        <v>0</v>
      </c>
      <c r="CJ48" s="2106">
        <v>0</v>
      </c>
      <c r="CK48" s="2106">
        <f t="shared" si="165"/>
        <v>0</v>
      </c>
      <c r="CL48" s="2106">
        <v>-2.2106500000000001E-2</v>
      </c>
      <c r="CM48" s="2106"/>
      <c r="CN48" s="2106">
        <f t="shared" si="166"/>
        <v>0</v>
      </c>
      <c r="CO48" s="2106">
        <f t="shared" si="167"/>
        <v>8.5886168999999999</v>
      </c>
      <c r="CP48" s="2106">
        <v>0</v>
      </c>
      <c r="CQ48" s="2106">
        <f t="shared" si="41"/>
        <v>0</v>
      </c>
      <c r="CR48" s="2106">
        <v>8.6107233999999995</v>
      </c>
      <c r="CS48" s="2106">
        <f t="shared" si="168"/>
        <v>0</v>
      </c>
      <c r="CT48" s="2106">
        <v>0</v>
      </c>
      <c r="CU48" s="2106">
        <f t="shared" si="169"/>
        <v>0</v>
      </c>
      <c r="CV48" s="2106">
        <v>-1.7270500000000001E-2</v>
      </c>
      <c r="CW48" s="2106"/>
      <c r="CX48" s="2106">
        <f t="shared" si="170"/>
        <v>0</v>
      </c>
      <c r="CY48" s="2106">
        <f t="shared" si="171"/>
        <v>8.5934528999999991</v>
      </c>
      <c r="CZ48" s="2106">
        <v>0</v>
      </c>
      <c r="DA48" s="2106">
        <f t="shared" si="46"/>
        <v>0</v>
      </c>
      <c r="DB48" s="2106">
        <v>8.7268302887500031</v>
      </c>
      <c r="DC48" s="2106">
        <v>4.9894771996586007</v>
      </c>
      <c r="DD48" s="2109">
        <f t="shared" si="47"/>
        <v>0</v>
      </c>
      <c r="DE48" s="2106"/>
      <c r="DF48" s="2106"/>
      <c r="DG48" s="2106"/>
      <c r="DH48" s="2106">
        <f t="shared" si="172"/>
        <v>0</v>
      </c>
      <c r="DI48" s="2106">
        <f t="shared" si="173"/>
        <v>8.7268302887500031</v>
      </c>
      <c r="DJ48" s="2106">
        <v>0</v>
      </c>
      <c r="DK48" s="2106">
        <f t="shared" si="50"/>
        <v>0</v>
      </c>
      <c r="DL48" s="2106">
        <v>8.7268302887500031</v>
      </c>
      <c r="DM48" s="2106">
        <v>4.9894771996586007</v>
      </c>
      <c r="DN48" s="2109">
        <f t="shared" si="51"/>
        <v>0</v>
      </c>
      <c r="DO48" s="2106"/>
      <c r="DP48" s="2106"/>
      <c r="DQ48" s="2106"/>
      <c r="DR48" s="2106">
        <f t="shared" si="174"/>
        <v>0</v>
      </c>
      <c r="DS48" s="2106">
        <f t="shared" si="175"/>
        <v>8.7268302887500031</v>
      </c>
      <c r="DT48" s="2106">
        <v>15.344108999999998</v>
      </c>
      <c r="DU48" s="2106">
        <f t="shared" si="54"/>
        <v>5.6874141657557331</v>
      </c>
      <c r="DV48" s="2106">
        <v>8.7268302887500031</v>
      </c>
      <c r="DW48" s="2106">
        <v>4.9894771996586007</v>
      </c>
      <c r="DX48" s="2109">
        <f t="shared" si="55"/>
        <v>7.6559082004576329</v>
      </c>
      <c r="DY48" s="2106"/>
      <c r="DZ48" s="2106"/>
      <c r="EA48" s="2106"/>
      <c r="EB48" s="2106">
        <f t="shared" si="176"/>
        <v>10.676891365414335</v>
      </c>
      <c r="EC48" s="2106">
        <f t="shared" si="177"/>
        <v>16.382738489207636</v>
      </c>
      <c r="ED48" s="2106">
        <f t="shared" si="178"/>
        <v>62.950860999999996</v>
      </c>
      <c r="EE48" s="2107"/>
      <c r="EF48" s="2106">
        <f t="shared" si="179"/>
        <v>16.150159878869651</v>
      </c>
      <c r="EG48" s="2106">
        <f t="shared" si="180"/>
        <v>101.66664696625003</v>
      </c>
      <c r="EH48" s="2106">
        <f t="shared" si="181"/>
        <v>7.4027677217087842</v>
      </c>
      <c r="EI48" s="2106">
        <f t="shared" si="182"/>
        <v>46.60106018645763</v>
      </c>
      <c r="EJ48" s="2106"/>
      <c r="EK48" s="2106">
        <f t="shared" si="183"/>
        <v>-0.78826079999999998</v>
      </c>
      <c r="EL48" s="2106"/>
      <c r="EM48" s="2106"/>
      <c r="EN48" s="2106">
        <f t="shared" si="184"/>
        <v>147.47944635270767</v>
      </c>
      <c r="EO48" s="2104">
        <f t="shared" si="185"/>
        <v>23.427709170285638</v>
      </c>
      <c r="EP48" s="2110"/>
      <c r="ES48" s="2084">
        <f t="shared" si="0"/>
        <v>0</v>
      </c>
      <c r="EU48" s="2084">
        <f t="shared" si="64"/>
        <v>38.945151985999999</v>
      </c>
      <c r="EV48" s="2084">
        <f t="shared" si="65"/>
        <v>47.606752</v>
      </c>
      <c r="EW48" s="2084">
        <f t="shared" si="66"/>
        <v>8.1805942119302735</v>
      </c>
      <c r="FE48" s="2108"/>
      <c r="FF48" s="2108"/>
      <c r="FG48" s="2108"/>
      <c r="FH48" s="2108"/>
      <c r="FI48" s="2108"/>
      <c r="FJ48" s="2108"/>
      <c r="FK48" s="2108"/>
    </row>
    <row r="49" spans="1:167">
      <c r="A49" s="1760">
        <v>3</v>
      </c>
      <c r="B49" s="1761" t="s">
        <v>1679</v>
      </c>
      <c r="C49" s="2098">
        <v>830</v>
      </c>
      <c r="D49" s="2099">
        <v>0.29591566265060243</v>
      </c>
      <c r="E49" s="2100"/>
      <c r="F49" s="2099">
        <v>0.3412191187490532</v>
      </c>
      <c r="G49" s="2101">
        <v>245.61</v>
      </c>
      <c r="H49" s="2102" t="s">
        <v>1649</v>
      </c>
      <c r="I49" s="2103">
        <v>2</v>
      </c>
      <c r="J49" s="2104"/>
      <c r="K49" s="2101"/>
      <c r="L49" s="2101"/>
      <c r="M49" s="2105"/>
      <c r="N49" s="2106">
        <v>0</v>
      </c>
      <c r="O49" s="2106">
        <f t="shared" si="128"/>
        <v>0</v>
      </c>
      <c r="P49" s="2106">
        <v>0</v>
      </c>
      <c r="Q49" s="2106">
        <f t="shared" si="129"/>
        <v>0</v>
      </c>
      <c r="R49" s="2106">
        <v>0</v>
      </c>
      <c r="S49" s="2106">
        <f t="shared" si="130"/>
        <v>0</v>
      </c>
      <c r="T49" s="2106">
        <v>0</v>
      </c>
      <c r="U49" s="2106"/>
      <c r="V49" s="2106">
        <f t="shared" si="131"/>
        <v>0</v>
      </c>
      <c r="W49" s="2106">
        <f t="shared" si="132"/>
        <v>0</v>
      </c>
      <c r="X49" s="2106">
        <v>17.896052999999998</v>
      </c>
      <c r="Y49" s="2106">
        <f t="shared" si="133"/>
        <v>5.9485362498647056</v>
      </c>
      <c r="Z49" s="2106">
        <v>10.645531999999999</v>
      </c>
      <c r="AA49" s="2106">
        <f t="shared" si="134"/>
        <v>2.0259999788780241</v>
      </c>
      <c r="AB49" s="2106">
        <v>3.6257402999999999</v>
      </c>
      <c r="AC49" s="2106">
        <f t="shared" si="135"/>
        <v>0.27893580780074806</v>
      </c>
      <c r="AD49" s="2106">
        <v>0.49918499999999999</v>
      </c>
      <c r="AE49" s="2106"/>
      <c r="AF49" s="2106">
        <f t="shared" si="136"/>
        <v>8.2534720365434779</v>
      </c>
      <c r="AG49" s="2106">
        <f t="shared" si="137"/>
        <v>14.7704573</v>
      </c>
      <c r="AH49" s="2106">
        <v>43.059370000000001</v>
      </c>
      <c r="AI49" s="2106">
        <f t="shared" si="138"/>
        <v>2.4722918612139471</v>
      </c>
      <c r="AJ49" s="2106">
        <v>10.645533</v>
      </c>
      <c r="AK49" s="2106">
        <f t="shared" si="139"/>
        <v>3.630105398894595</v>
      </c>
      <c r="AL49" s="2106">
        <v>15.631005150999998</v>
      </c>
      <c r="AM49" s="2106">
        <f t="shared" si="140"/>
        <v>0.13401677730073616</v>
      </c>
      <c r="AN49" s="2106">
        <v>0.57706780000000002</v>
      </c>
      <c r="AO49" s="2106">
        <v>0</v>
      </c>
      <c r="AP49" s="2106">
        <f t="shared" si="141"/>
        <v>6.2364140374092791</v>
      </c>
      <c r="AQ49" s="2106">
        <f t="shared" si="142"/>
        <v>26.853605950999999</v>
      </c>
      <c r="AR49" s="2106">
        <v>119.681213</v>
      </c>
      <c r="AS49" s="2106">
        <f t="shared" si="143"/>
        <v>0.88900775094918205</v>
      </c>
      <c r="AT49" s="2106">
        <v>10.6397526</v>
      </c>
      <c r="AU49" s="2106">
        <f t="shared" si="144"/>
        <v>8.7809999886949672</v>
      </c>
      <c r="AV49" s="2106">
        <v>105.092073</v>
      </c>
      <c r="AW49" s="2106">
        <f t="shared" si="145"/>
        <v>0.19221703576817861</v>
      </c>
      <c r="AX49" s="2106">
        <v>2.3004768000000002</v>
      </c>
      <c r="AY49" s="2106"/>
      <c r="AZ49" s="2106">
        <f t="shared" si="146"/>
        <v>9.8622247754123276</v>
      </c>
      <c r="BA49" s="2106">
        <f t="shared" si="147"/>
        <v>118.03230239999999</v>
      </c>
      <c r="BB49" s="2106">
        <v>9.9940069999999999</v>
      </c>
      <c r="BC49" s="2106">
        <f t="shared" si="148"/>
        <v>10.646132827403463</v>
      </c>
      <c r="BD49" s="2106">
        <v>10.6397526</v>
      </c>
      <c r="BE49" s="2106">
        <f t="shared" si="149"/>
        <v>9.0710000503301629</v>
      </c>
      <c r="BF49" s="2106">
        <v>9.0655637999999996</v>
      </c>
      <c r="BG49" s="2106">
        <f t="shared" si="150"/>
        <v>1.680700043536091</v>
      </c>
      <c r="BH49" s="2106">
        <v>1.6796928</v>
      </c>
      <c r="BI49" s="2106"/>
      <c r="BJ49" s="2106">
        <f t="shared" si="151"/>
        <v>21.397832921269718</v>
      </c>
      <c r="BK49" s="2106">
        <f t="shared" si="152"/>
        <v>21.385009200000002</v>
      </c>
      <c r="BL49" s="2106">
        <v>85.206073000000004</v>
      </c>
      <c r="BM49" s="2106">
        <f t="shared" si="153"/>
        <v>1.2487082464180692</v>
      </c>
      <c r="BN49" s="2106">
        <v>10.6397526</v>
      </c>
      <c r="BO49" s="2106">
        <f t="shared" si="154"/>
        <v>9.5939999957514761</v>
      </c>
      <c r="BP49" s="2106">
        <v>81.746706399999994</v>
      </c>
      <c r="BQ49" s="2106">
        <f t="shared" si="155"/>
        <v>0.4500014453195138</v>
      </c>
      <c r="BR49" s="2106">
        <v>3.8342855999999998</v>
      </c>
      <c r="BS49" s="2106"/>
      <c r="BT49" s="2106">
        <f t="shared" si="156"/>
        <v>11.292709687489058</v>
      </c>
      <c r="BU49" s="2106">
        <f t="shared" si="157"/>
        <v>96.220744599999989</v>
      </c>
      <c r="BV49" s="2106">
        <v>48.348982999999997</v>
      </c>
      <c r="BW49" s="2106">
        <f t="shared" si="158"/>
        <v>1.902618075751459</v>
      </c>
      <c r="BX49" s="2106">
        <v>9.1989649</v>
      </c>
      <c r="BY49" s="2106">
        <f t="shared" si="159"/>
        <v>10.799047520813417</v>
      </c>
      <c r="BZ49" s="2106">
        <v>52.212296500000001</v>
      </c>
      <c r="CA49" s="2106">
        <f t="shared" si="160"/>
        <v>0.3229548592573292</v>
      </c>
      <c r="CB49" s="2106">
        <v>1.5614539000000001</v>
      </c>
      <c r="CC49" s="2106"/>
      <c r="CD49" s="2106">
        <f t="shared" si="161"/>
        <v>13.024620455822207</v>
      </c>
      <c r="CE49" s="2106">
        <f t="shared" si="162"/>
        <v>62.972715300000004</v>
      </c>
      <c r="CF49" s="2106">
        <v>0</v>
      </c>
      <c r="CG49" s="2106">
        <f t="shared" si="163"/>
        <v>0</v>
      </c>
      <c r="CH49" s="2106">
        <v>7.9061418999999997</v>
      </c>
      <c r="CI49" s="2106">
        <f t="shared" si="164"/>
        <v>0</v>
      </c>
      <c r="CJ49" s="2106">
        <v>0</v>
      </c>
      <c r="CK49" s="2106">
        <f t="shared" si="165"/>
        <v>0</v>
      </c>
      <c r="CL49" s="2106">
        <v>15.5472965</v>
      </c>
      <c r="CM49" s="2106"/>
      <c r="CN49" s="2106">
        <f t="shared" si="166"/>
        <v>0</v>
      </c>
      <c r="CO49" s="2106">
        <f t="shared" si="167"/>
        <v>23.4534384</v>
      </c>
      <c r="CP49" s="2106">
        <v>0</v>
      </c>
      <c r="CQ49" s="2106">
        <f t="shared" si="41"/>
        <v>0</v>
      </c>
      <c r="CR49" s="2106">
        <v>7.9061418999999997</v>
      </c>
      <c r="CS49" s="2106">
        <f t="shared" si="168"/>
        <v>0</v>
      </c>
      <c r="CT49" s="2106">
        <v>0</v>
      </c>
      <c r="CU49" s="2106">
        <f t="shared" si="169"/>
        <v>0</v>
      </c>
      <c r="CV49" s="2106">
        <v>4.3754000000000001E-2</v>
      </c>
      <c r="CW49" s="2106"/>
      <c r="CX49" s="2106">
        <f t="shared" si="170"/>
        <v>0</v>
      </c>
      <c r="CY49" s="2106">
        <f t="shared" si="171"/>
        <v>7.9498958999999996</v>
      </c>
      <c r="CZ49" s="2106">
        <v>0</v>
      </c>
      <c r="DA49" s="2106">
        <f t="shared" si="46"/>
        <v>0</v>
      </c>
      <c r="DB49" s="2106">
        <v>9.2729438812500025</v>
      </c>
      <c r="DC49" s="2106">
        <v>3.8750248564796266</v>
      </c>
      <c r="DD49" s="2109">
        <f t="shared" si="47"/>
        <v>0</v>
      </c>
      <c r="DE49" s="2106"/>
      <c r="DF49" s="2106"/>
      <c r="DG49" s="2106"/>
      <c r="DH49" s="2106">
        <f t="shared" si="172"/>
        <v>0</v>
      </c>
      <c r="DI49" s="2106">
        <f t="shared" si="173"/>
        <v>9.2729438812500025</v>
      </c>
      <c r="DJ49" s="2106">
        <v>0</v>
      </c>
      <c r="DK49" s="2106">
        <f t="shared" si="50"/>
        <v>0</v>
      </c>
      <c r="DL49" s="2106">
        <v>9.2729438812500025</v>
      </c>
      <c r="DM49" s="2106">
        <v>3.8750248564796266</v>
      </c>
      <c r="DN49" s="2109">
        <f t="shared" si="51"/>
        <v>0</v>
      </c>
      <c r="DO49" s="2106"/>
      <c r="DP49" s="2106"/>
      <c r="DQ49" s="2106"/>
      <c r="DR49" s="2106">
        <f t="shared" si="174"/>
        <v>0</v>
      </c>
      <c r="DS49" s="2106">
        <f t="shared" si="175"/>
        <v>9.2729438812500025</v>
      </c>
      <c r="DT49" s="2106">
        <v>29.799659800000004</v>
      </c>
      <c r="DU49" s="2106">
        <f t="shared" si="54"/>
        <v>3.111761658852898</v>
      </c>
      <c r="DV49" s="2106">
        <v>9.2729438812500025</v>
      </c>
      <c r="DW49" s="2106">
        <v>3.8750248564796266</v>
      </c>
      <c r="DX49" s="2109">
        <f t="shared" si="55"/>
        <v>11.547442243963671</v>
      </c>
      <c r="DY49" s="2106"/>
      <c r="DZ49" s="2106"/>
      <c r="EA49" s="2106"/>
      <c r="EB49" s="2106">
        <f t="shared" si="176"/>
        <v>6.9867865153325237</v>
      </c>
      <c r="EC49" s="2106">
        <f t="shared" si="177"/>
        <v>20.820386125213673</v>
      </c>
      <c r="ED49" s="2106">
        <f t="shared" si="178"/>
        <v>353.98535880000003</v>
      </c>
      <c r="EE49" s="2107"/>
      <c r="EF49" s="2106">
        <f t="shared" si="179"/>
        <v>2.9956155108568288</v>
      </c>
      <c r="EG49" s="2106">
        <f t="shared" si="180"/>
        <v>106.04040314375</v>
      </c>
      <c r="EH49" s="2106">
        <f t="shared" si="181"/>
        <v>7.8794453064527028</v>
      </c>
      <c r="EI49" s="2106">
        <f t="shared" si="182"/>
        <v>278.92082739496362</v>
      </c>
      <c r="EJ49" s="2106"/>
      <c r="EK49" s="2106">
        <f t="shared" si="183"/>
        <v>26.043212400000002</v>
      </c>
      <c r="EL49" s="2106"/>
      <c r="EM49" s="2106"/>
      <c r="EN49" s="2106">
        <f t="shared" si="184"/>
        <v>411.00444293871362</v>
      </c>
      <c r="EO49" s="2104">
        <f t="shared" si="185"/>
        <v>11.610775212059805</v>
      </c>
      <c r="EP49" s="2110"/>
      <c r="ES49" s="2084">
        <f t="shared" si="0"/>
        <v>0</v>
      </c>
      <c r="EU49" s="2084">
        <f t="shared" si="64"/>
        <v>267.37338515099998</v>
      </c>
      <c r="EV49" s="2084">
        <f t="shared" si="65"/>
        <v>324.185699</v>
      </c>
      <c r="EW49" s="2084">
        <f t="shared" si="66"/>
        <v>8.2475379381556255</v>
      </c>
      <c r="FE49" s="2108"/>
      <c r="FF49" s="2108"/>
      <c r="FG49" s="2108"/>
      <c r="FH49" s="2108"/>
      <c r="FI49" s="2108"/>
      <c r="FJ49" s="2108"/>
      <c r="FK49" s="2108"/>
    </row>
    <row r="50" spans="1:167">
      <c r="A50" s="1760">
        <v>4</v>
      </c>
      <c r="B50" s="1761" t="s">
        <v>1680</v>
      </c>
      <c r="C50" s="2098">
        <v>657.39</v>
      </c>
      <c r="D50" s="2099">
        <v>0</v>
      </c>
      <c r="E50" s="2100"/>
      <c r="F50" s="2099"/>
      <c r="G50" s="2101">
        <v>0.02</v>
      </c>
      <c r="H50" s="2102" t="s">
        <v>1649</v>
      </c>
      <c r="I50" s="2103">
        <v>1</v>
      </c>
      <c r="J50" s="2104"/>
      <c r="K50" s="2101"/>
      <c r="L50" s="2101"/>
      <c r="M50" s="2105"/>
      <c r="N50" s="2106">
        <v>0</v>
      </c>
      <c r="O50" s="2106">
        <f t="shared" si="128"/>
        <v>0</v>
      </c>
      <c r="P50" s="2106">
        <v>0</v>
      </c>
      <c r="Q50" s="2106">
        <f t="shared" si="129"/>
        <v>0</v>
      </c>
      <c r="R50" s="2106">
        <v>0</v>
      </c>
      <c r="S50" s="2106">
        <f t="shared" si="130"/>
        <v>0</v>
      </c>
      <c r="T50" s="2106">
        <v>0</v>
      </c>
      <c r="U50" s="2106"/>
      <c r="V50" s="2106">
        <f t="shared" si="131"/>
        <v>0</v>
      </c>
      <c r="W50" s="2106">
        <f t="shared" si="132"/>
        <v>0</v>
      </c>
      <c r="X50" s="2106">
        <v>2.0089999999999999E-3</v>
      </c>
      <c r="Y50" s="2106">
        <f t="shared" si="133"/>
        <v>5.0189148830263806</v>
      </c>
      <c r="Z50" s="2106">
        <v>1.0083E-3</v>
      </c>
      <c r="AA50" s="2106">
        <f t="shared" si="134"/>
        <v>1.0512692882030863</v>
      </c>
      <c r="AB50" s="2106">
        <v>2.1120000000000001E-4</v>
      </c>
      <c r="AC50" s="2106">
        <f t="shared" si="135"/>
        <v>0.5092085614733699</v>
      </c>
      <c r="AD50" s="2106">
        <v>1.0230000000000001E-4</v>
      </c>
      <c r="AE50" s="2106"/>
      <c r="AF50" s="2106">
        <f t="shared" si="136"/>
        <v>6.5793927327028365</v>
      </c>
      <c r="AG50" s="2106">
        <f t="shared" si="137"/>
        <v>1.3217999999999999E-3</v>
      </c>
      <c r="AH50" s="2106">
        <v>0</v>
      </c>
      <c r="AI50" s="2106">
        <f t="shared" si="138"/>
        <v>0</v>
      </c>
      <c r="AJ50" s="2106">
        <v>1.0083E-3</v>
      </c>
      <c r="AK50" s="2106">
        <f t="shared" si="139"/>
        <v>0</v>
      </c>
      <c r="AL50" s="2106">
        <v>0</v>
      </c>
      <c r="AM50" s="2106">
        <f t="shared" si="140"/>
        <v>0</v>
      </c>
      <c r="AN50" s="2106">
        <v>-2.2000000000000001E-6</v>
      </c>
      <c r="AO50" s="2106">
        <v>0</v>
      </c>
      <c r="AP50" s="2106">
        <f t="shared" si="141"/>
        <v>0</v>
      </c>
      <c r="AQ50" s="2106">
        <f t="shared" si="142"/>
        <v>1.0061E-3</v>
      </c>
      <c r="AR50" s="2106">
        <v>0</v>
      </c>
      <c r="AS50" s="2106">
        <f t="shared" si="143"/>
        <v>0</v>
      </c>
      <c r="AT50" s="2106">
        <v>1.0051999999999999E-3</v>
      </c>
      <c r="AU50" s="2106">
        <f t="shared" si="144"/>
        <v>0</v>
      </c>
      <c r="AV50" s="2106">
        <v>0</v>
      </c>
      <c r="AW50" s="2106">
        <f t="shared" si="145"/>
        <v>0</v>
      </c>
      <c r="AX50" s="2106">
        <v>2.697E-4</v>
      </c>
      <c r="AY50" s="2106"/>
      <c r="AZ50" s="2106">
        <f t="shared" si="146"/>
        <v>0</v>
      </c>
      <c r="BA50" s="2106">
        <f t="shared" si="147"/>
        <v>1.2748999999999998E-3</v>
      </c>
      <c r="BB50" s="2106">
        <v>0</v>
      </c>
      <c r="BC50" s="2106">
        <f t="shared" si="148"/>
        <v>0</v>
      </c>
      <c r="BD50" s="2106">
        <v>4.6420000000000001E-4</v>
      </c>
      <c r="BE50" s="2106">
        <f t="shared" si="149"/>
        <v>0</v>
      </c>
      <c r="BF50" s="2106">
        <v>0</v>
      </c>
      <c r="BG50" s="2106">
        <f t="shared" si="150"/>
        <v>0</v>
      </c>
      <c r="BH50" s="2106">
        <v>0</v>
      </c>
      <c r="BI50" s="2106"/>
      <c r="BJ50" s="2106">
        <f t="shared" si="151"/>
        <v>0</v>
      </c>
      <c r="BK50" s="2106">
        <f t="shared" si="152"/>
        <v>4.6420000000000001E-4</v>
      </c>
      <c r="BL50" s="2106">
        <v>5.7399999999999997E-4</v>
      </c>
      <c r="BM50" s="2106">
        <f t="shared" si="153"/>
        <v>19.113240418118465</v>
      </c>
      <c r="BN50" s="2106">
        <v>1.0970999999999999E-3</v>
      </c>
      <c r="BO50" s="2106">
        <f t="shared" si="154"/>
        <v>13.55574912891986</v>
      </c>
      <c r="BP50" s="2106">
        <v>7.7809999999999999E-4</v>
      </c>
      <c r="BQ50" s="2106">
        <f t="shared" si="155"/>
        <v>8.0139372822299659E-2</v>
      </c>
      <c r="BR50" s="2106">
        <v>4.6E-6</v>
      </c>
      <c r="BS50" s="2106"/>
      <c r="BT50" s="2106">
        <f t="shared" si="156"/>
        <v>32.749128919860631</v>
      </c>
      <c r="BU50" s="2106">
        <f t="shared" si="157"/>
        <v>1.8798E-3</v>
      </c>
      <c r="BV50" s="2106">
        <v>1.155E-3</v>
      </c>
      <c r="BW50" s="2106">
        <f t="shared" si="158"/>
        <v>8.0025974025974023</v>
      </c>
      <c r="BX50" s="2106">
        <v>9.2429999999999997E-4</v>
      </c>
      <c r="BY50" s="2106">
        <f t="shared" si="159"/>
        <v>17.535930735930737</v>
      </c>
      <c r="BZ50" s="2106">
        <v>2.0254000000000001E-3</v>
      </c>
      <c r="CA50" s="2106">
        <f t="shared" si="160"/>
        <v>0</v>
      </c>
      <c r="CB50" s="2106">
        <v>0</v>
      </c>
      <c r="CC50" s="2106"/>
      <c r="CD50" s="2106">
        <f t="shared" si="161"/>
        <v>25.53852813852814</v>
      </c>
      <c r="CE50" s="2106">
        <f t="shared" si="162"/>
        <v>2.9497E-3</v>
      </c>
      <c r="CF50" s="2106">
        <v>0</v>
      </c>
      <c r="CG50" s="2106">
        <f t="shared" si="163"/>
        <v>0</v>
      </c>
      <c r="CH50" s="2106">
        <v>1.1666000000000001E-3</v>
      </c>
      <c r="CI50" s="2106">
        <f t="shared" si="164"/>
        <v>0</v>
      </c>
      <c r="CJ50" s="2106">
        <v>0</v>
      </c>
      <c r="CK50" s="2106">
        <f t="shared" si="165"/>
        <v>0</v>
      </c>
      <c r="CL50" s="2106">
        <v>0</v>
      </c>
      <c r="CM50" s="2106"/>
      <c r="CN50" s="2106">
        <f t="shared" si="166"/>
        <v>0</v>
      </c>
      <c r="CO50" s="2106">
        <f t="shared" si="167"/>
        <v>1.1666000000000001E-3</v>
      </c>
      <c r="CP50" s="2106">
        <v>0</v>
      </c>
      <c r="CQ50" s="2106">
        <f t="shared" si="41"/>
        <v>0</v>
      </c>
      <c r="CR50" s="2106">
        <v>1.1065999999999999E-3</v>
      </c>
      <c r="CS50" s="2106">
        <f t="shared" si="168"/>
        <v>0</v>
      </c>
      <c r="CT50" s="2106">
        <v>0</v>
      </c>
      <c r="CU50" s="2106">
        <f t="shared" si="169"/>
        <v>0</v>
      </c>
      <c r="CV50" s="2106">
        <v>0</v>
      </c>
      <c r="CW50" s="2106"/>
      <c r="CX50" s="2106">
        <f t="shared" si="170"/>
        <v>0</v>
      </c>
      <c r="CY50" s="2106">
        <f t="shared" si="171"/>
        <v>1.1065999999999999E-3</v>
      </c>
      <c r="CZ50" s="2106">
        <v>1.3023720000000001E-2</v>
      </c>
      <c r="DA50" s="2106">
        <f t="shared" si="46"/>
        <v>11.510138808266763</v>
      </c>
      <c r="DB50" s="2106">
        <v>1.4990482500000001E-2</v>
      </c>
      <c r="DC50" s="2106">
        <v>2.056307242857685</v>
      </c>
      <c r="DD50" s="2109">
        <f t="shared" si="47"/>
        <v>2.678076976495049E-3</v>
      </c>
      <c r="DE50" s="2106"/>
      <c r="DF50" s="2106"/>
      <c r="DG50" s="2106"/>
      <c r="DH50" s="2106">
        <f t="shared" si="172"/>
        <v>13.566446051124446</v>
      </c>
      <c r="DI50" s="2106">
        <f t="shared" si="173"/>
        <v>1.7668559476495049E-2</v>
      </c>
      <c r="DJ50" s="2106">
        <v>1.1763360000000002E-2</v>
      </c>
      <c r="DK50" s="2106">
        <f t="shared" si="50"/>
        <v>12.743367966295342</v>
      </c>
      <c r="DL50" s="2106">
        <v>1.4990482500000001E-2</v>
      </c>
      <c r="DM50" s="2106">
        <v>2.056307242857685</v>
      </c>
      <c r="DN50" s="2109">
        <f t="shared" si="51"/>
        <v>2.418908236834238E-3</v>
      </c>
      <c r="DO50" s="2106"/>
      <c r="DP50" s="2106"/>
      <c r="DQ50" s="2106"/>
      <c r="DR50" s="2106">
        <f t="shared" si="174"/>
        <v>14.799675209153026</v>
      </c>
      <c r="DS50" s="2106">
        <f t="shared" si="175"/>
        <v>1.740939073683424E-2</v>
      </c>
      <c r="DT50" s="2106">
        <v>1.3023720000000001E-2</v>
      </c>
      <c r="DU50" s="2106">
        <f t="shared" si="54"/>
        <v>11.510138808266763</v>
      </c>
      <c r="DV50" s="2106">
        <v>1.4990482500000001E-2</v>
      </c>
      <c r="DW50" s="2106">
        <v>2.056307242857685</v>
      </c>
      <c r="DX50" s="2109">
        <f t="shared" si="55"/>
        <v>2.678076976495049E-3</v>
      </c>
      <c r="DY50" s="2106"/>
      <c r="DZ50" s="2106"/>
      <c r="EA50" s="2106"/>
      <c r="EB50" s="2106">
        <f t="shared" si="176"/>
        <v>13.566446051124446</v>
      </c>
      <c r="EC50" s="2106">
        <f t="shared" si="177"/>
        <v>1.7668559476495049E-2</v>
      </c>
      <c r="ED50" s="2106">
        <f t="shared" si="178"/>
        <v>4.1548800000000004E-2</v>
      </c>
      <c r="EE50" s="2107"/>
      <c r="EF50" s="2106">
        <f t="shared" si="179"/>
        <v>12.696406996110596</v>
      </c>
      <c r="EG50" s="2106">
        <f t="shared" si="180"/>
        <v>5.2752047500000003E-2</v>
      </c>
      <c r="EH50" s="2106">
        <f t="shared" si="181"/>
        <v>2.5968890051756821</v>
      </c>
      <c r="EI50" s="2106">
        <f t="shared" si="182"/>
        <v>1.0789762189824338E-2</v>
      </c>
      <c r="EJ50" s="2106"/>
      <c r="EK50" s="2106">
        <f t="shared" si="183"/>
        <v>3.7439999999999999E-4</v>
      </c>
      <c r="EL50" s="2106"/>
      <c r="EM50" s="2106"/>
      <c r="EN50" s="2106">
        <f t="shared" si="184"/>
        <v>6.3916209689824338E-2</v>
      </c>
      <c r="EO50" s="2104">
        <f t="shared" si="185"/>
        <v>15.383406907016408</v>
      </c>
      <c r="EP50" s="2110"/>
      <c r="ES50" s="2084">
        <f t="shared" si="0"/>
        <v>0</v>
      </c>
      <c r="EU50" s="2084">
        <f t="shared" si="64"/>
        <v>3.0147000000000004E-3</v>
      </c>
      <c r="EV50" s="2084">
        <f t="shared" si="65"/>
        <v>3.738E-3</v>
      </c>
      <c r="EW50" s="2084">
        <f t="shared" si="66"/>
        <v>8.0650080256821841</v>
      </c>
      <c r="FE50" s="2108"/>
      <c r="FF50" s="2108"/>
      <c r="FG50" s="2108"/>
      <c r="FH50" s="2108"/>
      <c r="FI50" s="2108"/>
      <c r="FJ50" s="2108"/>
      <c r="FK50" s="2108"/>
    </row>
    <row r="51" spans="1:167">
      <c r="A51" s="1760">
        <v>5</v>
      </c>
      <c r="B51" s="1761" t="s">
        <v>1681</v>
      </c>
      <c r="C51" s="2098">
        <v>656.2</v>
      </c>
      <c r="D51" s="2099">
        <v>0</v>
      </c>
      <c r="E51" s="2100"/>
      <c r="F51" s="2099"/>
      <c r="G51" s="2101">
        <v>0.02</v>
      </c>
      <c r="H51" s="2102" t="s">
        <v>1649</v>
      </c>
      <c r="I51" s="2103">
        <v>1</v>
      </c>
      <c r="J51" s="2104"/>
      <c r="K51" s="2101"/>
      <c r="L51" s="2101"/>
      <c r="M51" s="2105"/>
      <c r="N51" s="2106">
        <v>0</v>
      </c>
      <c r="O51" s="2106">
        <f t="shared" si="128"/>
        <v>0</v>
      </c>
      <c r="P51" s="2106">
        <v>0</v>
      </c>
      <c r="Q51" s="2106">
        <f t="shared" si="129"/>
        <v>0</v>
      </c>
      <c r="R51" s="2106">
        <v>0</v>
      </c>
      <c r="S51" s="2106">
        <f t="shared" si="130"/>
        <v>0</v>
      </c>
      <c r="T51" s="2106">
        <v>0</v>
      </c>
      <c r="U51" s="2106"/>
      <c r="V51" s="2106">
        <f t="shared" si="131"/>
        <v>0</v>
      </c>
      <c r="W51" s="2106">
        <f t="shared" si="132"/>
        <v>0</v>
      </c>
      <c r="X51" s="2106">
        <v>1.036E-3</v>
      </c>
      <c r="Y51" s="2106">
        <f t="shared" si="133"/>
        <v>6.7374517374517371</v>
      </c>
      <c r="Z51" s="2106">
        <v>6.9800000000000005E-4</v>
      </c>
      <c r="AA51" s="2106">
        <f t="shared" si="134"/>
        <v>1.5328185328185329</v>
      </c>
      <c r="AB51" s="2106">
        <v>1.5880000000000001E-4</v>
      </c>
      <c r="AC51" s="2106">
        <f t="shared" si="135"/>
        <v>-1.9305019305019305E-3</v>
      </c>
      <c r="AD51" s="2106">
        <v>-1.9999999999999999E-7</v>
      </c>
      <c r="AE51" s="2106"/>
      <c r="AF51" s="2106">
        <f t="shared" si="136"/>
        <v>8.2683397683397679</v>
      </c>
      <c r="AG51" s="2106">
        <f t="shared" si="137"/>
        <v>8.566E-4</v>
      </c>
      <c r="AH51" s="2106">
        <v>0</v>
      </c>
      <c r="AI51" s="2106">
        <f t="shared" si="138"/>
        <v>0</v>
      </c>
      <c r="AJ51" s="2106">
        <v>6.9800000000000005E-4</v>
      </c>
      <c r="AK51" s="2106">
        <f t="shared" si="139"/>
        <v>0</v>
      </c>
      <c r="AL51" s="2106">
        <v>0</v>
      </c>
      <c r="AM51" s="2106">
        <f t="shared" si="140"/>
        <v>0</v>
      </c>
      <c r="AN51" s="2106">
        <v>-1.5E-6</v>
      </c>
      <c r="AO51" s="2106">
        <v>0</v>
      </c>
      <c r="AP51" s="2106">
        <f t="shared" si="141"/>
        <v>0</v>
      </c>
      <c r="AQ51" s="2106">
        <f t="shared" si="142"/>
        <v>6.9650000000000007E-4</v>
      </c>
      <c r="AR51" s="2106">
        <v>0</v>
      </c>
      <c r="AS51" s="2106">
        <f t="shared" si="143"/>
        <v>0</v>
      </c>
      <c r="AT51" s="2106">
        <v>6.9800000000000005E-4</v>
      </c>
      <c r="AU51" s="2106">
        <f t="shared" si="144"/>
        <v>0</v>
      </c>
      <c r="AV51" s="2106">
        <v>0</v>
      </c>
      <c r="AW51" s="2106">
        <f t="shared" si="145"/>
        <v>0</v>
      </c>
      <c r="AX51" s="2106">
        <v>3.9999999999999998E-7</v>
      </c>
      <c r="AY51" s="2106"/>
      <c r="AZ51" s="2106">
        <f t="shared" si="146"/>
        <v>0</v>
      </c>
      <c r="BA51" s="2106">
        <f t="shared" si="147"/>
        <v>6.9840000000000006E-4</v>
      </c>
      <c r="BB51" s="2106">
        <v>0</v>
      </c>
      <c r="BC51" s="2106">
        <f t="shared" si="148"/>
        <v>0</v>
      </c>
      <c r="BD51" s="2106">
        <v>6.9800000000000005E-4</v>
      </c>
      <c r="BE51" s="2106">
        <f t="shared" si="149"/>
        <v>0</v>
      </c>
      <c r="BF51" s="2106">
        <v>0</v>
      </c>
      <c r="BG51" s="2106">
        <f t="shared" si="150"/>
        <v>0</v>
      </c>
      <c r="BH51" s="2106">
        <v>-5.4999999999999999E-6</v>
      </c>
      <c r="BI51" s="2106"/>
      <c r="BJ51" s="2106">
        <f t="shared" si="151"/>
        <v>0</v>
      </c>
      <c r="BK51" s="2106">
        <f t="shared" si="152"/>
        <v>6.9250000000000008E-4</v>
      </c>
      <c r="BL51" s="2106">
        <v>2.8699999999999998E-4</v>
      </c>
      <c r="BM51" s="2106">
        <f t="shared" si="153"/>
        <v>24.320557491289204</v>
      </c>
      <c r="BN51" s="2106">
        <v>6.9800000000000005E-4</v>
      </c>
      <c r="BO51" s="2106">
        <f t="shared" si="154"/>
        <v>13.728222996515679</v>
      </c>
      <c r="BP51" s="2106">
        <v>3.9399999999999998E-4</v>
      </c>
      <c r="BQ51" s="2106">
        <f t="shared" si="155"/>
        <v>-0.29965156794425091</v>
      </c>
      <c r="BR51" s="2106">
        <v>-8.6000000000000007E-6</v>
      </c>
      <c r="BS51" s="2106"/>
      <c r="BT51" s="2106">
        <f t="shared" si="156"/>
        <v>37.749128919860631</v>
      </c>
      <c r="BU51" s="2106">
        <f t="shared" si="157"/>
        <v>1.0834E-3</v>
      </c>
      <c r="BV51" s="2106">
        <v>9.0499999999999999E-4</v>
      </c>
      <c r="BW51" s="2106">
        <f t="shared" si="158"/>
        <v>6.9779005524861883</v>
      </c>
      <c r="BX51" s="2106">
        <v>6.3150000000000001E-4</v>
      </c>
      <c r="BY51" s="2106">
        <f t="shared" si="159"/>
        <v>17.746961325966851</v>
      </c>
      <c r="BZ51" s="2106">
        <v>1.6061000000000001E-3</v>
      </c>
      <c r="CA51" s="2106">
        <f t="shared" si="160"/>
        <v>-0.32707182320441996</v>
      </c>
      <c r="CB51" s="2106">
        <v>-2.9600000000000001E-5</v>
      </c>
      <c r="CC51" s="2106"/>
      <c r="CD51" s="2106">
        <f t="shared" si="161"/>
        <v>24.397790055248624</v>
      </c>
      <c r="CE51" s="2106">
        <f t="shared" si="162"/>
        <v>2.2080000000000003E-3</v>
      </c>
      <c r="CF51" s="2106">
        <v>0</v>
      </c>
      <c r="CG51" s="2106">
        <f t="shared" si="163"/>
        <v>0</v>
      </c>
      <c r="CH51" s="2106">
        <v>6.648E-4</v>
      </c>
      <c r="CI51" s="2106">
        <f t="shared" si="164"/>
        <v>0</v>
      </c>
      <c r="CJ51" s="2106">
        <v>0</v>
      </c>
      <c r="CK51" s="2106">
        <f t="shared" si="165"/>
        <v>0</v>
      </c>
      <c r="CL51" s="2106">
        <v>1.7900000000000001E-5</v>
      </c>
      <c r="CM51" s="2106"/>
      <c r="CN51" s="2106">
        <f t="shared" si="166"/>
        <v>0</v>
      </c>
      <c r="CO51" s="2106">
        <f t="shared" si="167"/>
        <v>6.8270000000000006E-4</v>
      </c>
      <c r="CP51" s="2106">
        <v>0</v>
      </c>
      <c r="CQ51" s="2106">
        <f t="shared" si="41"/>
        <v>0</v>
      </c>
      <c r="CR51" s="2106">
        <v>6.9800000000000005E-4</v>
      </c>
      <c r="CS51" s="2106">
        <f t="shared" si="168"/>
        <v>0</v>
      </c>
      <c r="CT51" s="2106">
        <v>0</v>
      </c>
      <c r="CU51" s="2106">
        <f t="shared" si="169"/>
        <v>0</v>
      </c>
      <c r="CV51" s="2106">
        <v>0</v>
      </c>
      <c r="CW51" s="2106"/>
      <c r="CX51" s="2106">
        <f t="shared" si="170"/>
        <v>0</v>
      </c>
      <c r="CY51" s="2106">
        <f t="shared" si="171"/>
        <v>6.9800000000000005E-4</v>
      </c>
      <c r="CZ51" s="2106">
        <v>1.3023720000000001E-2</v>
      </c>
      <c r="DA51" s="2106">
        <f t="shared" si="46"/>
        <v>10.090571280709348</v>
      </c>
      <c r="DB51" s="2106">
        <v>1.3141677499999997E-2</v>
      </c>
      <c r="DC51" s="2106">
        <v>2.0673975769600768</v>
      </c>
      <c r="DD51" s="2109">
        <f t="shared" si="47"/>
        <v>2.6925207171006492E-3</v>
      </c>
      <c r="DE51" s="2106"/>
      <c r="DF51" s="2106"/>
      <c r="DG51" s="2106"/>
      <c r="DH51" s="2106">
        <f t="shared" si="172"/>
        <v>12.157968857669426</v>
      </c>
      <c r="DI51" s="2106">
        <f t="shared" si="173"/>
        <v>1.5834198217100647E-2</v>
      </c>
      <c r="DJ51" s="2106">
        <v>1.1763360000000002E-2</v>
      </c>
      <c r="DK51" s="2106">
        <f t="shared" si="50"/>
        <v>11.171703917928205</v>
      </c>
      <c r="DL51" s="2106">
        <v>1.3141677499999997E-2</v>
      </c>
      <c r="DM51" s="2106">
        <v>2.0673975769600768</v>
      </c>
      <c r="DN51" s="2109">
        <f t="shared" si="51"/>
        <v>2.4319541960909092E-3</v>
      </c>
      <c r="DO51" s="2106"/>
      <c r="DP51" s="2106"/>
      <c r="DQ51" s="2106"/>
      <c r="DR51" s="2106">
        <f t="shared" si="174"/>
        <v>13.239101494888283</v>
      </c>
      <c r="DS51" s="2106">
        <f t="shared" si="175"/>
        <v>1.5573631696090906E-2</v>
      </c>
      <c r="DT51" s="2106">
        <v>1.3023720000000001E-2</v>
      </c>
      <c r="DU51" s="2106">
        <f t="shared" si="54"/>
        <v>10.090571280709348</v>
      </c>
      <c r="DV51" s="2106">
        <v>1.3141677499999997E-2</v>
      </c>
      <c r="DW51" s="2106">
        <v>2.0673975769600768</v>
      </c>
      <c r="DX51" s="2109">
        <f t="shared" si="55"/>
        <v>2.6925207171006492E-3</v>
      </c>
      <c r="DY51" s="2106"/>
      <c r="DZ51" s="2106"/>
      <c r="EA51" s="2106"/>
      <c r="EB51" s="2106">
        <f t="shared" si="176"/>
        <v>12.157968857669426</v>
      </c>
      <c r="EC51" s="2106">
        <f t="shared" si="177"/>
        <v>1.5834198217100647E-2</v>
      </c>
      <c r="ED51" s="2106">
        <f t="shared" si="178"/>
        <v>4.0038800000000006E-2</v>
      </c>
      <c r="EE51" s="2107"/>
      <c r="EF51" s="2106">
        <f t="shared" si="179"/>
        <v>11.216453165429529</v>
      </c>
      <c r="EG51" s="2106">
        <f t="shared" si="180"/>
        <v>4.4909332499999989E-2</v>
      </c>
      <c r="EH51" s="2106">
        <f t="shared" si="181"/>
        <v>2.4915570971887786</v>
      </c>
      <c r="EI51" s="2106">
        <f t="shared" si="182"/>
        <v>9.9758956302922076E-3</v>
      </c>
      <c r="EJ51" s="2106"/>
      <c r="EK51" s="2106">
        <f t="shared" si="183"/>
        <v>-2.7100000000000001E-5</v>
      </c>
      <c r="EL51" s="2106"/>
      <c r="EM51" s="2106"/>
      <c r="EN51" s="2106">
        <f t="shared" si="184"/>
        <v>5.4858128130292193E-2</v>
      </c>
      <c r="EO51" s="2104">
        <f t="shared" si="185"/>
        <v>13.701241827999887</v>
      </c>
      <c r="EP51" s="2110"/>
      <c r="ES51" s="2084">
        <f t="shared" si="0"/>
        <v>0</v>
      </c>
      <c r="EU51" s="2084">
        <f t="shared" si="64"/>
        <v>2.1589000000000001E-3</v>
      </c>
      <c r="EV51" s="2084">
        <f t="shared" si="65"/>
        <v>2.2279999999999999E-3</v>
      </c>
      <c r="EW51" s="2084">
        <f t="shared" si="66"/>
        <v>9.6898563734290857</v>
      </c>
      <c r="FE51" s="2108"/>
      <c r="FF51" s="2108"/>
      <c r="FG51" s="2108"/>
      <c r="FH51" s="2108"/>
      <c r="FI51" s="2108"/>
      <c r="FJ51" s="2108"/>
      <c r="FK51" s="2108"/>
    </row>
    <row r="52" spans="1:167">
      <c r="A52" s="1760">
        <v>6</v>
      </c>
      <c r="B52" s="1761" t="s">
        <v>1682</v>
      </c>
      <c r="C52" s="2098">
        <v>440</v>
      </c>
      <c r="D52" s="2099">
        <v>1</v>
      </c>
      <c r="E52" s="2100"/>
      <c r="F52" s="2099">
        <v>0.74576985486427416</v>
      </c>
      <c r="G52" s="2101">
        <v>440</v>
      </c>
      <c r="H52" s="2102" t="s">
        <v>1649</v>
      </c>
      <c r="I52" s="2103">
        <v>2</v>
      </c>
      <c r="J52" s="2104"/>
      <c r="K52" s="2101"/>
      <c r="L52" s="2101"/>
      <c r="M52" s="2105"/>
      <c r="N52" s="2106">
        <v>0</v>
      </c>
      <c r="O52" s="2106">
        <f t="shared" si="128"/>
        <v>0</v>
      </c>
      <c r="P52" s="2106">
        <v>0</v>
      </c>
      <c r="Q52" s="2106">
        <f t="shared" si="129"/>
        <v>0</v>
      </c>
      <c r="R52" s="2106">
        <v>0</v>
      </c>
      <c r="S52" s="2106">
        <f t="shared" si="130"/>
        <v>0</v>
      </c>
      <c r="T52" s="2106">
        <v>0</v>
      </c>
      <c r="U52" s="2106"/>
      <c r="V52" s="2106">
        <f t="shared" si="131"/>
        <v>0</v>
      </c>
      <c r="W52" s="2106">
        <f t="shared" si="132"/>
        <v>0</v>
      </c>
      <c r="X52" s="2106">
        <v>42.898927999999998</v>
      </c>
      <c r="Y52" s="2106">
        <f t="shared" si="133"/>
        <v>7.1195582323176012</v>
      </c>
      <c r="Z52" s="2106">
        <v>30.542141600000001</v>
      </c>
      <c r="AA52" s="2106">
        <f t="shared" si="134"/>
        <v>3.5229999919811519</v>
      </c>
      <c r="AB52" s="2106">
        <v>15.113292299999999</v>
      </c>
      <c r="AC52" s="2106">
        <f t="shared" si="135"/>
        <v>0.25316592992720005</v>
      </c>
      <c r="AD52" s="2106">
        <v>1.0860547</v>
      </c>
      <c r="AE52" s="2106"/>
      <c r="AF52" s="2106">
        <f t="shared" si="136"/>
        <v>10.895724154225952</v>
      </c>
      <c r="AG52" s="2106">
        <f t="shared" si="137"/>
        <v>46.741488599999997</v>
      </c>
      <c r="AH52" s="2106">
        <v>113.270353</v>
      </c>
      <c r="AI52" s="2106">
        <f t="shared" si="138"/>
        <v>2.6963932565832121</v>
      </c>
      <c r="AJ52" s="2106">
        <v>30.542141600000001</v>
      </c>
      <c r="AK52" s="2106">
        <f t="shared" si="139"/>
        <v>3.4959999992230979</v>
      </c>
      <c r="AL52" s="2106">
        <v>39.599315400000002</v>
      </c>
      <c r="AM52" s="2106">
        <f t="shared" si="140"/>
        <v>0.24604350796011029</v>
      </c>
      <c r="AN52" s="2106">
        <v>2.7869435</v>
      </c>
      <c r="AO52" s="2106">
        <v>0</v>
      </c>
      <c r="AP52" s="2106">
        <f t="shared" si="141"/>
        <v>6.438436763766421</v>
      </c>
      <c r="AQ52" s="2106">
        <f t="shared" si="142"/>
        <v>72.928400500000009</v>
      </c>
      <c r="AR52" s="2106">
        <v>156.92320000000001</v>
      </c>
      <c r="AS52" s="2106">
        <f t="shared" si="143"/>
        <v>1.9463114185792796</v>
      </c>
      <c r="AT52" s="2106">
        <v>30.542141600000001</v>
      </c>
      <c r="AU52" s="2106">
        <f t="shared" si="144"/>
        <v>3.5509999987254908</v>
      </c>
      <c r="AV52" s="2106">
        <v>55.723428300000002</v>
      </c>
      <c r="AW52" s="2106">
        <f t="shared" si="145"/>
        <v>0.15237336480520408</v>
      </c>
      <c r="AX52" s="2106">
        <v>2.3910916000000002</v>
      </c>
      <c r="AY52" s="2106"/>
      <c r="AZ52" s="2106">
        <f t="shared" si="146"/>
        <v>5.6496847821099747</v>
      </c>
      <c r="BA52" s="2106">
        <f t="shared" si="147"/>
        <v>88.656661499999998</v>
      </c>
      <c r="BB52" s="2106">
        <v>117.53056599999999</v>
      </c>
      <c r="BC52" s="2106">
        <f t="shared" si="148"/>
        <v>2.5986551957896644</v>
      </c>
      <c r="BD52" s="2106">
        <v>30.542141600000001</v>
      </c>
      <c r="BE52" s="2106">
        <f t="shared" si="149"/>
        <v>3.5540000037096737</v>
      </c>
      <c r="BF52" s="2106">
        <v>41.770363199999998</v>
      </c>
      <c r="BG52" s="2106">
        <f t="shared" si="150"/>
        <v>0.17218450220004897</v>
      </c>
      <c r="BH52" s="2106">
        <v>2.0236942</v>
      </c>
      <c r="BI52" s="2106"/>
      <c r="BJ52" s="2106">
        <f t="shared" si="151"/>
        <v>6.3248397016993865</v>
      </c>
      <c r="BK52" s="2106">
        <f t="shared" si="152"/>
        <v>74.336198999999993</v>
      </c>
      <c r="BL52" s="2106">
        <v>108.2368</v>
      </c>
      <c r="BM52" s="2106">
        <f t="shared" si="153"/>
        <v>2.8217890403263954</v>
      </c>
      <c r="BN52" s="2106">
        <v>30.542141600000001</v>
      </c>
      <c r="BO52" s="2106">
        <f t="shared" si="154"/>
        <v>3.6520000036956008</v>
      </c>
      <c r="BP52" s="2106">
        <v>39.528079400000003</v>
      </c>
      <c r="BQ52" s="2106">
        <f t="shared" si="155"/>
        <v>0.17462966384815515</v>
      </c>
      <c r="BR52" s="2106">
        <v>1.8901356</v>
      </c>
      <c r="BS52" s="2106"/>
      <c r="BT52" s="2106">
        <f t="shared" si="156"/>
        <v>6.6484187078701504</v>
      </c>
      <c r="BU52" s="2106">
        <f t="shared" si="157"/>
        <v>71.960356599999997</v>
      </c>
      <c r="BV52" s="2106">
        <v>99.608999999999995</v>
      </c>
      <c r="BW52" s="2106">
        <f t="shared" si="158"/>
        <v>3.0662030137838951</v>
      </c>
      <c r="BX52" s="2106">
        <v>30.542141600000001</v>
      </c>
      <c r="BY52" s="2106">
        <f t="shared" si="159"/>
        <v>3.2149999999999999</v>
      </c>
      <c r="BZ52" s="2106">
        <v>32.024293499999999</v>
      </c>
      <c r="CA52" s="2106">
        <f t="shared" si="160"/>
        <v>0.1524551295565662</v>
      </c>
      <c r="CB52" s="2106">
        <v>1.5185903000000001</v>
      </c>
      <c r="CC52" s="2106"/>
      <c r="CD52" s="2106">
        <f t="shared" si="161"/>
        <v>6.4336581433404625</v>
      </c>
      <c r="CE52" s="2106">
        <f t="shared" si="162"/>
        <v>64.085025400000006</v>
      </c>
      <c r="CF52" s="2106">
        <v>0</v>
      </c>
      <c r="CG52" s="2106">
        <f t="shared" si="163"/>
        <v>0</v>
      </c>
      <c r="CH52" s="2106">
        <v>30.542141600000001</v>
      </c>
      <c r="CI52" s="2106">
        <f t="shared" si="164"/>
        <v>0</v>
      </c>
      <c r="CJ52" s="2106">
        <v>0</v>
      </c>
      <c r="CK52" s="2106">
        <f t="shared" si="165"/>
        <v>0</v>
      </c>
      <c r="CL52" s="2106">
        <v>0</v>
      </c>
      <c r="CM52" s="2106"/>
      <c r="CN52" s="2106">
        <f t="shared" si="166"/>
        <v>0</v>
      </c>
      <c r="CO52" s="2106">
        <f t="shared" si="167"/>
        <v>30.542141600000001</v>
      </c>
      <c r="CP52" s="2106">
        <v>0</v>
      </c>
      <c r="CQ52" s="2106">
        <f t="shared" si="41"/>
        <v>0</v>
      </c>
      <c r="CR52" s="2106">
        <v>30.542141600000001</v>
      </c>
      <c r="CS52" s="2106">
        <f t="shared" si="168"/>
        <v>0</v>
      </c>
      <c r="CT52" s="2106">
        <v>0</v>
      </c>
      <c r="CU52" s="2106">
        <f t="shared" si="169"/>
        <v>0</v>
      </c>
      <c r="CV52" s="2106">
        <v>0</v>
      </c>
      <c r="CW52" s="2106"/>
      <c r="CX52" s="2106">
        <f t="shared" si="170"/>
        <v>0</v>
      </c>
      <c r="CY52" s="2106">
        <f t="shared" si="171"/>
        <v>30.542141600000001</v>
      </c>
      <c r="CZ52" s="2106">
        <v>0</v>
      </c>
      <c r="DA52" s="2106">
        <f t="shared" si="46"/>
        <v>0</v>
      </c>
      <c r="DB52" s="2106">
        <v>29.396811290000002</v>
      </c>
      <c r="DC52" s="2106">
        <v>3.5414506879159471</v>
      </c>
      <c r="DD52" s="2109">
        <f t="shared" si="47"/>
        <v>0</v>
      </c>
      <c r="DE52" s="2106"/>
      <c r="DF52" s="2106"/>
      <c r="DG52" s="2106"/>
      <c r="DH52" s="2106">
        <f t="shared" si="172"/>
        <v>0</v>
      </c>
      <c r="DI52" s="2106">
        <f t="shared" si="173"/>
        <v>29.396811290000002</v>
      </c>
      <c r="DJ52" s="2106">
        <v>151.5397006</v>
      </c>
      <c r="DK52" s="2106">
        <f t="shared" si="50"/>
        <v>1.9398752388718921</v>
      </c>
      <c r="DL52" s="2106">
        <v>29.396811290000002</v>
      </c>
      <c r="DM52" s="2106">
        <v>3.5414506879159471</v>
      </c>
      <c r="DN52" s="2109">
        <f t="shared" si="51"/>
        <v>53.667037693644673</v>
      </c>
      <c r="DO52" s="2106"/>
      <c r="DP52" s="2106"/>
      <c r="DQ52" s="2106"/>
      <c r="DR52" s="2106">
        <f t="shared" si="174"/>
        <v>5.4813259267878403</v>
      </c>
      <c r="DS52" s="2106">
        <f t="shared" si="175"/>
        <v>83.063848983644675</v>
      </c>
      <c r="DT52" s="2106">
        <v>142.97232200000002</v>
      </c>
      <c r="DU52" s="2106">
        <f t="shared" si="54"/>
        <v>2.056119036102666</v>
      </c>
      <c r="DV52" s="2106">
        <v>29.396811290000002</v>
      </c>
      <c r="DW52" s="2106">
        <v>3.5414506879159471</v>
      </c>
      <c r="DX52" s="2109">
        <f t="shared" si="55"/>
        <v>50.632942809984037</v>
      </c>
      <c r="DY52" s="2106"/>
      <c r="DZ52" s="2106"/>
      <c r="EA52" s="2106"/>
      <c r="EB52" s="2106">
        <f t="shared" si="176"/>
        <v>5.597569724018614</v>
      </c>
      <c r="EC52" s="2106">
        <f t="shared" si="177"/>
        <v>80.029754099984046</v>
      </c>
      <c r="ED52" s="2106">
        <f t="shared" si="178"/>
        <v>932.98086960000023</v>
      </c>
      <c r="EE52" s="2107"/>
      <c r="EF52" s="2106">
        <f t="shared" si="179"/>
        <v>3.5641413184877586</v>
      </c>
      <c r="EG52" s="2106">
        <f t="shared" si="180"/>
        <v>332.52756667000006</v>
      </c>
      <c r="EH52" s="2106">
        <f t="shared" si="181"/>
        <v>3.5162430794993509</v>
      </c>
      <c r="EI52" s="2106">
        <f t="shared" si="182"/>
        <v>328.0587526036287</v>
      </c>
      <c r="EJ52" s="2106"/>
      <c r="EK52" s="2106">
        <f t="shared" si="183"/>
        <v>11.696509900000001</v>
      </c>
      <c r="EL52" s="2106"/>
      <c r="EM52" s="2106"/>
      <c r="EN52" s="2106">
        <f t="shared" si="184"/>
        <v>672.28282917362878</v>
      </c>
      <c r="EO52" s="2104">
        <f t="shared" si="185"/>
        <v>7.2057514905086819</v>
      </c>
      <c r="EP52" s="2110"/>
      <c r="ES52" s="2084">
        <f t="shared" si="0"/>
        <v>0</v>
      </c>
      <c r="EU52" s="2084">
        <f t="shared" si="64"/>
        <v>223.75877209999999</v>
      </c>
      <c r="EV52" s="2084">
        <f t="shared" si="65"/>
        <v>638.4688470000001</v>
      </c>
      <c r="EW52" s="2084">
        <f t="shared" si="66"/>
        <v>3.5046153489145877</v>
      </c>
      <c r="FE52" s="2108"/>
      <c r="FF52" s="2108"/>
      <c r="FG52" s="2108"/>
      <c r="FH52" s="2108"/>
      <c r="FI52" s="2108"/>
      <c r="FJ52" s="2108"/>
      <c r="FK52" s="2108"/>
    </row>
    <row r="53" spans="1:167">
      <c r="A53" s="1760">
        <v>7</v>
      </c>
      <c r="B53" s="1761" t="s">
        <v>1683</v>
      </c>
      <c r="C53" s="2098">
        <v>420</v>
      </c>
      <c r="D53" s="2099">
        <v>0.68095238095238098</v>
      </c>
      <c r="E53" s="2100"/>
      <c r="F53" s="2099">
        <v>0.6247341816518539</v>
      </c>
      <c r="G53" s="2101">
        <v>249.98</v>
      </c>
      <c r="H53" s="2102" t="s">
        <v>1649</v>
      </c>
      <c r="I53" s="2103">
        <v>2</v>
      </c>
      <c r="J53" s="2104"/>
      <c r="K53" s="2101"/>
      <c r="L53" s="2101"/>
      <c r="M53" s="2105"/>
      <c r="N53" s="2106">
        <v>0</v>
      </c>
      <c r="O53" s="2106">
        <f t="shared" si="128"/>
        <v>0</v>
      </c>
      <c r="P53" s="2106">
        <v>0</v>
      </c>
      <c r="Q53" s="2106">
        <f t="shared" si="129"/>
        <v>0</v>
      </c>
      <c r="R53" s="2106">
        <v>0</v>
      </c>
      <c r="S53" s="2106">
        <f t="shared" si="130"/>
        <v>0</v>
      </c>
      <c r="T53" s="2106">
        <v>0</v>
      </c>
      <c r="U53" s="2106"/>
      <c r="V53" s="2106">
        <f t="shared" si="131"/>
        <v>0</v>
      </c>
      <c r="W53" s="2106">
        <f t="shared" si="132"/>
        <v>0</v>
      </c>
      <c r="X53" s="2106">
        <v>64.525052000000002</v>
      </c>
      <c r="Y53" s="2106">
        <f t="shared" si="133"/>
        <v>2.3935579160788589</v>
      </c>
      <c r="Z53" s="2106">
        <v>15.444444900000001</v>
      </c>
      <c r="AA53" s="2106">
        <f t="shared" si="134"/>
        <v>3.2349999965904717</v>
      </c>
      <c r="AB53" s="2106">
        <v>20.873854300000001</v>
      </c>
      <c r="AC53" s="2106">
        <f t="shared" si="135"/>
        <v>0.3495838639541119</v>
      </c>
      <c r="AD53" s="2106">
        <v>2.2556916999999999</v>
      </c>
      <c r="AE53" s="2106"/>
      <c r="AF53" s="2106">
        <f t="shared" si="136"/>
        <v>5.9781417766234419</v>
      </c>
      <c r="AG53" s="2106">
        <f t="shared" si="137"/>
        <v>38.573990899999998</v>
      </c>
      <c r="AH53" s="2106">
        <v>85.827074999999994</v>
      </c>
      <c r="AI53" s="2106">
        <f t="shared" si="138"/>
        <v>1.799484008979684</v>
      </c>
      <c r="AJ53" s="2106">
        <v>15.444444900000001</v>
      </c>
      <c r="AK53" s="2106">
        <f t="shared" si="139"/>
        <v>3.1680000046605339</v>
      </c>
      <c r="AL53" s="2106">
        <v>27.190017399999999</v>
      </c>
      <c r="AM53" s="2106">
        <f t="shared" si="140"/>
        <v>0.17392151602510048</v>
      </c>
      <c r="AN53" s="2106">
        <v>1.4927174999999999</v>
      </c>
      <c r="AO53" s="2106">
        <v>0</v>
      </c>
      <c r="AP53" s="2106">
        <f t="shared" si="141"/>
        <v>5.1414055296653185</v>
      </c>
      <c r="AQ53" s="2106">
        <f t="shared" si="142"/>
        <v>44.127179799999993</v>
      </c>
      <c r="AR53" s="2106">
        <v>105.068736</v>
      </c>
      <c r="AS53" s="2106">
        <f t="shared" si="143"/>
        <v>1.4716450571937976</v>
      </c>
      <c r="AT53" s="2106">
        <v>15.462388600000001</v>
      </c>
      <c r="AU53" s="2106">
        <f t="shared" si="144"/>
        <v>3.0240000031979064</v>
      </c>
      <c r="AV53" s="2106">
        <v>31.772785800000001</v>
      </c>
      <c r="AW53" s="2106">
        <f t="shared" si="145"/>
        <v>-1.0410051949230646E-2</v>
      </c>
      <c r="AX53" s="2106">
        <v>-0.1093771</v>
      </c>
      <c r="AY53" s="2106"/>
      <c r="AZ53" s="2106">
        <f t="shared" si="146"/>
        <v>4.4852350084424737</v>
      </c>
      <c r="BA53" s="2106">
        <f t="shared" si="147"/>
        <v>47.125797300000002</v>
      </c>
      <c r="BB53" s="2106">
        <v>97.094863000000004</v>
      </c>
      <c r="BC53" s="2106">
        <f t="shared" si="148"/>
        <v>1.5925032614753265</v>
      </c>
      <c r="BD53" s="2106">
        <v>15.462388600000001</v>
      </c>
      <c r="BE53" s="2106">
        <f t="shared" si="149"/>
        <v>3.3450000027292899</v>
      </c>
      <c r="BF53" s="2106">
        <v>32.478231700000002</v>
      </c>
      <c r="BG53" s="2106">
        <f t="shared" si="150"/>
        <v>0.20454585738485462</v>
      </c>
      <c r="BH53" s="2106">
        <v>1.9860351999999999</v>
      </c>
      <c r="BI53" s="2106"/>
      <c r="BJ53" s="2106">
        <f t="shared" si="151"/>
        <v>5.142049121589471</v>
      </c>
      <c r="BK53" s="2106">
        <f t="shared" si="152"/>
        <v>49.92665550000001</v>
      </c>
      <c r="BL53" s="2106">
        <v>84.661179000000004</v>
      </c>
      <c r="BM53" s="2106">
        <f t="shared" si="153"/>
        <v>1.8263847471342207</v>
      </c>
      <c r="BN53" s="2106">
        <v>15.462388600000001</v>
      </c>
      <c r="BO53" s="2106">
        <f t="shared" si="154"/>
        <v>3.355000005374364</v>
      </c>
      <c r="BP53" s="2106">
        <v>28.403825600000001</v>
      </c>
      <c r="BQ53" s="2106">
        <f t="shared" si="155"/>
        <v>0.27504924069153347</v>
      </c>
      <c r="BR53" s="2106">
        <v>2.3285993</v>
      </c>
      <c r="BS53" s="2106"/>
      <c r="BT53" s="2106">
        <f t="shared" si="156"/>
        <v>5.4564339932001182</v>
      </c>
      <c r="BU53" s="2106">
        <f t="shared" si="157"/>
        <v>46.194813500000002</v>
      </c>
      <c r="BV53" s="2106">
        <v>45.214858</v>
      </c>
      <c r="BW53" s="2106">
        <f t="shared" si="158"/>
        <v>3.0129667331919965</v>
      </c>
      <c r="BX53" s="2106">
        <v>13.623086300000001</v>
      </c>
      <c r="BY53" s="2106">
        <f t="shared" si="159"/>
        <v>3.6029999917283826</v>
      </c>
      <c r="BZ53" s="2106">
        <v>16.2909133</v>
      </c>
      <c r="CA53" s="2106">
        <f t="shared" si="160"/>
        <v>0.22328259883067642</v>
      </c>
      <c r="CB53" s="2106">
        <v>1.0095691</v>
      </c>
      <c r="CC53" s="2106"/>
      <c r="CD53" s="2106">
        <f t="shared" si="161"/>
        <v>6.839249323751055</v>
      </c>
      <c r="CE53" s="2106">
        <f t="shared" si="162"/>
        <v>30.923568700000001</v>
      </c>
      <c r="CF53" s="2106">
        <v>0</v>
      </c>
      <c r="CG53" s="2106">
        <f t="shared" si="163"/>
        <v>0</v>
      </c>
      <c r="CH53" s="2106">
        <v>9.1394518999999992</v>
      </c>
      <c r="CI53" s="2106">
        <f t="shared" si="164"/>
        <v>0</v>
      </c>
      <c r="CJ53" s="2106">
        <v>0</v>
      </c>
      <c r="CK53" s="2106">
        <f t="shared" si="165"/>
        <v>0</v>
      </c>
      <c r="CL53" s="2106">
        <v>0</v>
      </c>
      <c r="CM53" s="2106"/>
      <c r="CN53" s="2106">
        <f t="shared" si="166"/>
        <v>0</v>
      </c>
      <c r="CO53" s="2106">
        <f t="shared" si="167"/>
        <v>9.1394518999999992</v>
      </c>
      <c r="CP53" s="2106">
        <v>44.011564999999997</v>
      </c>
      <c r="CQ53" s="2106">
        <f t="shared" si="41"/>
        <v>3.6151002128645047</v>
      </c>
      <c r="CR53" s="2106">
        <v>15.910621799999999</v>
      </c>
      <c r="CS53" s="2106">
        <f t="shared" si="168"/>
        <v>3.1789999969326246</v>
      </c>
      <c r="CT53" s="2106">
        <v>13.9912765</v>
      </c>
      <c r="CU53" s="2106">
        <f t="shared" si="169"/>
        <v>0.42375141624707058</v>
      </c>
      <c r="CV53" s="2106">
        <v>1.8649963000000001</v>
      </c>
      <c r="CW53" s="2106"/>
      <c r="CX53" s="2106">
        <f t="shared" si="170"/>
        <v>7.2178516260442009</v>
      </c>
      <c r="CY53" s="2106">
        <f t="shared" si="171"/>
        <v>31.766894600000001</v>
      </c>
      <c r="CZ53" s="2106">
        <v>101.16633518</v>
      </c>
      <c r="DA53" s="2106">
        <f t="shared" si="46"/>
        <v>1.4674298813025364</v>
      </c>
      <c r="DB53" s="2106">
        <v>14.845450322500001</v>
      </c>
      <c r="DC53" s="2106">
        <v>3.2267879228645548</v>
      </c>
      <c r="DD53" s="2109">
        <f t="shared" si="47"/>
        <v>32.644230855929159</v>
      </c>
      <c r="DE53" s="2106"/>
      <c r="DF53" s="2106"/>
      <c r="DG53" s="2106"/>
      <c r="DH53" s="2106">
        <f t="shared" si="172"/>
        <v>4.6942178041670912</v>
      </c>
      <c r="DI53" s="2106">
        <f t="shared" si="173"/>
        <v>47.489681178429159</v>
      </c>
      <c r="DJ53" s="2106">
        <v>88.305388019999981</v>
      </c>
      <c r="DK53" s="2106">
        <f t="shared" si="50"/>
        <v>1.6811488693235466</v>
      </c>
      <c r="DL53" s="2106">
        <v>14.845450322500001</v>
      </c>
      <c r="DM53" s="2106">
        <v>3.2267879228645548</v>
      </c>
      <c r="DN53" s="2109">
        <f t="shared" si="51"/>
        <v>28.494275958680429</v>
      </c>
      <c r="DO53" s="2106"/>
      <c r="DP53" s="2106"/>
      <c r="DQ53" s="2106"/>
      <c r="DR53" s="2106">
        <f t="shared" si="174"/>
        <v>4.9079367921881021</v>
      </c>
      <c r="DS53" s="2106">
        <f t="shared" si="175"/>
        <v>43.339726281180432</v>
      </c>
      <c r="DT53" s="2106">
        <v>100.16707960000001</v>
      </c>
      <c r="DU53" s="2106">
        <f t="shared" si="54"/>
        <v>1.482068797631193</v>
      </c>
      <c r="DV53" s="2106">
        <v>14.845450322500001</v>
      </c>
      <c r="DW53" s="2106">
        <v>3.2267879228645548</v>
      </c>
      <c r="DX53" s="2109">
        <f t="shared" si="55"/>
        <v>32.321792272189256</v>
      </c>
      <c r="DY53" s="2106"/>
      <c r="DZ53" s="2106"/>
      <c r="EA53" s="2106"/>
      <c r="EB53" s="2106">
        <f t="shared" si="176"/>
        <v>4.7088567204957474</v>
      </c>
      <c r="EC53" s="2106">
        <f t="shared" si="177"/>
        <v>47.167242594689256</v>
      </c>
      <c r="ED53" s="2106">
        <f t="shared" si="178"/>
        <v>816.0421308</v>
      </c>
      <c r="EE53" s="2107"/>
      <c r="EF53" s="2106">
        <f t="shared" si="179"/>
        <v>1.9666333453907501</v>
      </c>
      <c r="EG53" s="2106">
        <f t="shared" si="180"/>
        <v>160.4855665675</v>
      </c>
      <c r="EH53" s="2106">
        <f t="shared" si="181"/>
        <v>3.2407787993438104</v>
      </c>
      <c r="EI53" s="2106">
        <f t="shared" si="182"/>
        <v>264.46120368679885</v>
      </c>
      <c r="EJ53" s="2106"/>
      <c r="EK53" s="2106">
        <f t="shared" si="183"/>
        <v>10.828232</v>
      </c>
      <c r="EL53" s="2106"/>
      <c r="EM53" s="2106"/>
      <c r="EN53" s="2106">
        <f t="shared" si="184"/>
        <v>435.77500225429884</v>
      </c>
      <c r="EO53" s="2104">
        <f t="shared" si="185"/>
        <v>5.3401042152945033</v>
      </c>
      <c r="EP53" s="2110"/>
      <c r="ES53" s="2084">
        <f t="shared" si="0"/>
        <v>0</v>
      </c>
      <c r="EU53" s="2084">
        <f t="shared" si="64"/>
        <v>171.00090460000001</v>
      </c>
      <c r="EV53" s="2084">
        <f t="shared" si="65"/>
        <v>526.40332799999999</v>
      </c>
      <c r="EW53" s="2084">
        <f t="shared" si="66"/>
        <v>3.2484768903284746</v>
      </c>
      <c r="FE53" s="2108"/>
      <c r="FF53" s="2108"/>
      <c r="FG53" s="2108"/>
      <c r="FH53" s="2108"/>
      <c r="FI53" s="2108"/>
      <c r="FJ53" s="2108"/>
      <c r="FK53" s="2108"/>
    </row>
    <row r="54" spans="1:167">
      <c r="A54" s="1760">
        <v>8</v>
      </c>
      <c r="B54" s="1761" t="s">
        <v>1684</v>
      </c>
      <c r="C54" s="2098">
        <v>420</v>
      </c>
      <c r="D54" s="2099">
        <v>0</v>
      </c>
      <c r="E54" s="2100"/>
      <c r="F54" s="2099">
        <v>0.87314336497411726</v>
      </c>
      <c r="G54" s="2101">
        <v>128.9</v>
      </c>
      <c r="H54" s="2102" t="s">
        <v>1649</v>
      </c>
      <c r="I54" s="2103">
        <v>2</v>
      </c>
      <c r="J54" s="2104"/>
      <c r="K54" s="2101"/>
      <c r="L54" s="2101"/>
      <c r="M54" s="2105"/>
      <c r="N54" s="2106">
        <v>0</v>
      </c>
      <c r="O54" s="2106">
        <f t="shared" si="128"/>
        <v>0</v>
      </c>
      <c r="P54" s="2106">
        <v>0</v>
      </c>
      <c r="Q54" s="2106">
        <f t="shared" si="129"/>
        <v>0</v>
      </c>
      <c r="R54" s="2106">
        <v>0</v>
      </c>
      <c r="S54" s="2106">
        <f t="shared" si="130"/>
        <v>0</v>
      </c>
      <c r="T54" s="2106">
        <v>0</v>
      </c>
      <c r="U54" s="2106"/>
      <c r="V54" s="2106">
        <f t="shared" si="131"/>
        <v>0</v>
      </c>
      <c r="W54" s="2106">
        <f t="shared" si="132"/>
        <v>0</v>
      </c>
      <c r="X54" s="2106">
        <v>37.466608999999998</v>
      </c>
      <c r="Y54" s="2106">
        <f t="shared" si="133"/>
        <v>2.0887867914600973</v>
      </c>
      <c r="Z54" s="2106">
        <v>7.8259758000000001</v>
      </c>
      <c r="AA54" s="2106">
        <f t="shared" si="134"/>
        <v>3.2640000059786574</v>
      </c>
      <c r="AB54" s="2106">
        <v>12.229101200000001</v>
      </c>
      <c r="AC54" s="2106">
        <f t="shared" si="135"/>
        <v>0.31248016066786294</v>
      </c>
      <c r="AD54" s="2106">
        <v>1.1707571999999999</v>
      </c>
      <c r="AE54" s="2106"/>
      <c r="AF54" s="2106">
        <f t="shared" si="136"/>
        <v>5.6652669581066171</v>
      </c>
      <c r="AG54" s="2106">
        <f t="shared" si="137"/>
        <v>21.225834200000001</v>
      </c>
      <c r="AH54" s="2106">
        <v>45.920625000000001</v>
      </c>
      <c r="AI54" s="2106">
        <f t="shared" si="138"/>
        <v>1.7042398268751784</v>
      </c>
      <c r="AJ54" s="2106">
        <v>7.8259758000000001</v>
      </c>
      <c r="AK54" s="2106">
        <f t="shared" si="139"/>
        <v>3.1960000108883535</v>
      </c>
      <c r="AL54" s="2106">
        <v>14.6762318</v>
      </c>
      <c r="AM54" s="2106">
        <f t="shared" si="140"/>
        <v>0.26044229580934491</v>
      </c>
      <c r="AN54" s="2106">
        <v>1.1959673</v>
      </c>
      <c r="AO54" s="2106">
        <v>0</v>
      </c>
      <c r="AP54" s="2106">
        <f t="shared" si="141"/>
        <v>5.1606821335728768</v>
      </c>
      <c r="AQ54" s="2106">
        <f t="shared" si="142"/>
        <v>23.698174899999998</v>
      </c>
      <c r="AR54" s="2106">
        <v>54.612893</v>
      </c>
      <c r="AS54" s="2106">
        <f t="shared" si="143"/>
        <v>1.4434154220689244</v>
      </c>
      <c r="AT54" s="2106">
        <v>7.8829092000000003</v>
      </c>
      <c r="AU54" s="2106">
        <f t="shared" si="144"/>
        <v>3.0510000083679873</v>
      </c>
      <c r="AV54" s="2106">
        <v>16.662393699999999</v>
      </c>
      <c r="AW54" s="2106">
        <f t="shared" si="145"/>
        <v>0.20887212475632816</v>
      </c>
      <c r="AX54" s="2106">
        <v>1.1407111000000001</v>
      </c>
      <c r="AY54" s="2106"/>
      <c r="AZ54" s="2106">
        <f t="shared" si="146"/>
        <v>4.7032875551932394</v>
      </c>
      <c r="BA54" s="2106">
        <f t="shared" si="147"/>
        <v>25.686014</v>
      </c>
      <c r="BB54" s="2106">
        <v>52.619950000000003</v>
      </c>
      <c r="BC54" s="2106">
        <f t="shared" si="148"/>
        <v>1.4980837496044752</v>
      </c>
      <c r="BD54" s="2106">
        <v>7.8829092000000003</v>
      </c>
      <c r="BE54" s="2106">
        <f t="shared" si="149"/>
        <v>3.3749999952489502</v>
      </c>
      <c r="BF54" s="2106">
        <v>17.759233099999999</v>
      </c>
      <c r="BG54" s="2106">
        <f t="shared" si="150"/>
        <v>0.25169499400892625</v>
      </c>
      <c r="BH54" s="2106">
        <v>1.3244178</v>
      </c>
      <c r="BI54" s="2106"/>
      <c r="BJ54" s="2106">
        <f t="shared" si="151"/>
        <v>5.1247787388623509</v>
      </c>
      <c r="BK54" s="2106">
        <f t="shared" si="152"/>
        <v>26.966560099999999</v>
      </c>
      <c r="BL54" s="2106">
        <v>36.356842999999998</v>
      </c>
      <c r="BM54" s="2106">
        <f t="shared" si="153"/>
        <v>2.1862138580074184</v>
      </c>
      <c r="BN54" s="2106">
        <v>7.9483834</v>
      </c>
      <c r="BO54" s="2106">
        <f t="shared" si="154"/>
        <v>3.3840000079214798</v>
      </c>
      <c r="BP54" s="2106">
        <v>12.3031557</v>
      </c>
      <c r="BQ54" s="2106">
        <f t="shared" si="155"/>
        <v>1.3883837218759618</v>
      </c>
      <c r="BR54" s="2106">
        <v>5.0477249000000004</v>
      </c>
      <c r="BS54" s="2106"/>
      <c r="BT54" s="2106">
        <f t="shared" si="156"/>
        <v>6.95859758780486</v>
      </c>
      <c r="BU54" s="2106">
        <f t="shared" si="157"/>
        <v>25.299264000000001</v>
      </c>
      <c r="BV54" s="2106">
        <v>43.460298999999999</v>
      </c>
      <c r="BW54" s="2106">
        <f t="shared" si="158"/>
        <v>1.7923390724946464</v>
      </c>
      <c r="BX54" s="2106">
        <v>7.7895592000000002</v>
      </c>
      <c r="BY54" s="2106">
        <f t="shared" si="159"/>
        <v>3.6350000031062835</v>
      </c>
      <c r="BZ54" s="2106">
        <v>15.797818700000001</v>
      </c>
      <c r="CA54" s="2106">
        <f t="shared" si="160"/>
        <v>1.1892337418111183</v>
      </c>
      <c r="CB54" s="2106">
        <v>5.1684454000000004</v>
      </c>
      <c r="CC54" s="2106"/>
      <c r="CD54" s="2106">
        <f t="shared" si="161"/>
        <v>6.6165728174120471</v>
      </c>
      <c r="CE54" s="2106">
        <f t="shared" si="162"/>
        <v>28.755823299999999</v>
      </c>
      <c r="CF54" s="2106">
        <v>12.725021999999999</v>
      </c>
      <c r="CG54" s="2106">
        <f t="shared" si="163"/>
        <v>6.112803891419599</v>
      </c>
      <c r="CH54" s="2106">
        <v>7.7785564000000003</v>
      </c>
      <c r="CI54" s="2106">
        <f t="shared" si="164"/>
        <v>3.184999994499027</v>
      </c>
      <c r="CJ54" s="2106">
        <v>4.0529194999999998</v>
      </c>
      <c r="CK54" s="2106">
        <f t="shared" si="165"/>
        <v>14.705789349519398</v>
      </c>
      <c r="CL54" s="2106">
        <v>18.713149300000001</v>
      </c>
      <c r="CM54" s="2106"/>
      <c r="CN54" s="2106">
        <f t="shared" si="166"/>
        <v>24.003593235438025</v>
      </c>
      <c r="CO54" s="2106">
        <f t="shared" si="167"/>
        <v>30.544625200000002</v>
      </c>
      <c r="CP54" s="2106">
        <v>25.585629000000001</v>
      </c>
      <c r="CQ54" s="2106">
        <f t="shared" si="41"/>
        <v>3.2025131764397896</v>
      </c>
      <c r="CR54" s="2106">
        <v>8.1938314000000005</v>
      </c>
      <c r="CS54" s="2106">
        <f t="shared" si="168"/>
        <v>3.2069999920658585</v>
      </c>
      <c r="CT54" s="2106">
        <v>8.2053112000000006</v>
      </c>
      <c r="CU54" s="2106">
        <f t="shared" si="169"/>
        <v>1.2862124671627186</v>
      </c>
      <c r="CV54" s="2106">
        <v>3.2908555000000002</v>
      </c>
      <c r="CW54" s="2106"/>
      <c r="CX54" s="2106">
        <f t="shared" si="170"/>
        <v>7.6957256356683672</v>
      </c>
      <c r="CY54" s="2106">
        <f t="shared" si="171"/>
        <v>19.6899981</v>
      </c>
      <c r="CZ54" s="2106">
        <v>73.527756719999999</v>
      </c>
      <c r="DA54" s="2106">
        <f t="shared" si="46"/>
        <v>1.0166207141971406</v>
      </c>
      <c r="DB54" s="2106">
        <v>7.4749840550000002</v>
      </c>
      <c r="DC54" s="2106">
        <v>3.2887287505612806</v>
      </c>
      <c r="DD54" s="2109">
        <f t="shared" si="47"/>
        <v>24.18128474893394</v>
      </c>
      <c r="DE54" s="2106"/>
      <c r="DF54" s="2106"/>
      <c r="DG54" s="2106"/>
      <c r="DH54" s="2106">
        <f t="shared" si="172"/>
        <v>4.3053494647584216</v>
      </c>
      <c r="DI54" s="2106">
        <f t="shared" si="173"/>
        <v>31.656268803933941</v>
      </c>
      <c r="DJ54" s="2106">
        <v>66.412167359999998</v>
      </c>
      <c r="DK54" s="2106">
        <f t="shared" si="50"/>
        <v>1.1255443621468342</v>
      </c>
      <c r="DL54" s="2106">
        <v>7.4749840550000002</v>
      </c>
      <c r="DM54" s="2106">
        <v>3.2887287505612806</v>
      </c>
      <c r="DN54" s="2109">
        <f t="shared" si="51"/>
        <v>21.841160418391944</v>
      </c>
      <c r="DO54" s="2106"/>
      <c r="DP54" s="2106"/>
      <c r="DQ54" s="2106"/>
      <c r="DR54" s="2106">
        <f t="shared" si="174"/>
        <v>4.4142731127081145</v>
      </c>
      <c r="DS54" s="2106">
        <f t="shared" si="175"/>
        <v>29.316144473391944</v>
      </c>
      <c r="DT54" s="2106">
        <v>73.527756719999999</v>
      </c>
      <c r="DU54" s="2106">
        <f t="shared" si="54"/>
        <v>1.0166207141971406</v>
      </c>
      <c r="DV54" s="2106">
        <v>7.4749840550000002</v>
      </c>
      <c r="DW54" s="2106">
        <v>3.2887287505612806</v>
      </c>
      <c r="DX54" s="2109">
        <f t="shared" si="55"/>
        <v>24.18128474893394</v>
      </c>
      <c r="DY54" s="2106"/>
      <c r="DZ54" s="2106"/>
      <c r="EA54" s="2106"/>
      <c r="EB54" s="2106">
        <f t="shared" si="176"/>
        <v>4.3053494647584216</v>
      </c>
      <c r="EC54" s="2106">
        <f t="shared" si="177"/>
        <v>31.656268803933941</v>
      </c>
      <c r="ED54" s="2106">
        <f t="shared" si="178"/>
        <v>522.21555080000007</v>
      </c>
      <c r="EE54" s="2107"/>
      <c r="EF54" s="2106">
        <f t="shared" si="179"/>
        <v>1.6382708717489993</v>
      </c>
      <c r="EG54" s="2106">
        <f t="shared" si="180"/>
        <v>85.553052565000002</v>
      </c>
      <c r="EH54" s="2106">
        <f t="shared" si="181"/>
        <v>3.2915506739111033</v>
      </c>
      <c r="EI54" s="2106">
        <f t="shared" si="182"/>
        <v>171.88989481625984</v>
      </c>
      <c r="EJ54" s="2106"/>
      <c r="EK54" s="2106">
        <f t="shared" si="183"/>
        <v>37.052028499999999</v>
      </c>
      <c r="EL54" s="2106"/>
      <c r="EM54" s="2106"/>
      <c r="EN54" s="2106">
        <f t="shared" si="184"/>
        <v>294.49497588125985</v>
      </c>
      <c r="EO54" s="2104">
        <f t="shared" si="185"/>
        <v>5.639337538495603</v>
      </c>
      <c r="EP54" s="2110"/>
      <c r="ES54" s="2084">
        <f t="shared" si="0"/>
        <v>0</v>
      </c>
      <c r="EU54" s="2084">
        <f t="shared" si="64"/>
        <v>101.68616490000001</v>
      </c>
      <c r="EV54" s="2084">
        <f t="shared" si="65"/>
        <v>308.74787000000003</v>
      </c>
      <c r="EW54" s="2084">
        <f t="shared" si="66"/>
        <v>3.2935017462630589</v>
      </c>
      <c r="FE54" s="2108"/>
      <c r="FF54" s="2108"/>
      <c r="FG54" s="2108"/>
      <c r="FH54" s="2108"/>
      <c r="FI54" s="2108"/>
      <c r="FJ54" s="2108"/>
      <c r="FK54" s="2108"/>
    </row>
    <row r="55" spans="1:167">
      <c r="A55" s="1760">
        <v>9</v>
      </c>
      <c r="B55" s="1761" t="s">
        <v>1685</v>
      </c>
      <c r="C55" s="2098">
        <v>210</v>
      </c>
      <c r="D55" s="2099">
        <v>0</v>
      </c>
      <c r="E55" s="2100"/>
      <c r="F55" s="2099">
        <v>0.87790147924029593</v>
      </c>
      <c r="G55" s="2101">
        <v>63</v>
      </c>
      <c r="H55" s="2102" t="s">
        <v>1649</v>
      </c>
      <c r="I55" s="2103">
        <v>2</v>
      </c>
      <c r="J55" s="2104"/>
      <c r="K55" s="2101"/>
      <c r="L55" s="2101"/>
      <c r="M55" s="2105"/>
      <c r="N55" s="2106">
        <v>0</v>
      </c>
      <c r="O55" s="2106">
        <f t="shared" si="128"/>
        <v>0</v>
      </c>
      <c r="P55" s="2106">
        <v>0</v>
      </c>
      <c r="Q55" s="2106">
        <f t="shared" si="129"/>
        <v>0</v>
      </c>
      <c r="R55" s="2106">
        <v>0</v>
      </c>
      <c r="S55" s="2106">
        <f t="shared" si="130"/>
        <v>0</v>
      </c>
      <c r="T55" s="2106">
        <v>0</v>
      </c>
      <c r="U55" s="2106"/>
      <c r="V55" s="2106">
        <f t="shared" si="131"/>
        <v>0</v>
      </c>
      <c r="W55" s="2106">
        <f t="shared" si="132"/>
        <v>0</v>
      </c>
      <c r="X55" s="2106">
        <v>22.369019000000002</v>
      </c>
      <c r="Y55" s="2106">
        <f t="shared" si="133"/>
        <v>2.8271748081576575</v>
      </c>
      <c r="Z55" s="2106">
        <v>6.3241126999999997</v>
      </c>
      <c r="AA55" s="2106">
        <f t="shared" si="134"/>
        <v>3.2349999792123203</v>
      </c>
      <c r="AB55" s="2106">
        <v>7.2363776</v>
      </c>
      <c r="AC55" s="2106">
        <f t="shared" si="135"/>
        <v>0.22570775231582574</v>
      </c>
      <c r="AD55" s="2106">
        <v>0.5048861</v>
      </c>
      <c r="AE55" s="2106"/>
      <c r="AF55" s="2106">
        <f t="shared" si="136"/>
        <v>6.2878825396858034</v>
      </c>
      <c r="AG55" s="2106">
        <f t="shared" si="137"/>
        <v>14.0653764</v>
      </c>
      <c r="AH55" s="2106">
        <v>25.461272999999998</v>
      </c>
      <c r="AI55" s="2106">
        <f t="shared" si="138"/>
        <v>2.023927672430204</v>
      </c>
      <c r="AJ55" s="2106">
        <v>5.1531775</v>
      </c>
      <c r="AK55" s="2106">
        <f t="shared" si="139"/>
        <v>3.1680000053414457</v>
      </c>
      <c r="AL55" s="2106">
        <v>8.0661313000000003</v>
      </c>
      <c r="AM55" s="2106">
        <f t="shared" si="140"/>
        <v>0.43595007995083362</v>
      </c>
      <c r="AN55" s="2106">
        <v>1.1099844000000001</v>
      </c>
      <c r="AO55" s="2106">
        <v>0</v>
      </c>
      <c r="AP55" s="2106">
        <f t="shared" si="141"/>
        <v>5.6278777577224837</v>
      </c>
      <c r="AQ55" s="2106">
        <f t="shared" si="142"/>
        <v>14.3292932</v>
      </c>
      <c r="AR55" s="2106">
        <v>33.124104000000003</v>
      </c>
      <c r="AS55" s="2106">
        <f t="shared" si="143"/>
        <v>1.5672921447173334</v>
      </c>
      <c r="AT55" s="2106">
        <v>5.1915148000000002</v>
      </c>
      <c r="AU55" s="2106">
        <f t="shared" si="144"/>
        <v>3.0240000152155053</v>
      </c>
      <c r="AV55" s="2106">
        <v>10.016729099999999</v>
      </c>
      <c r="AW55" s="2106">
        <f t="shared" si="145"/>
        <v>-7.7390651834688115E-2</v>
      </c>
      <c r="AX55" s="2106">
        <v>-0.25634960000000001</v>
      </c>
      <c r="AY55" s="2106"/>
      <c r="AZ55" s="2106">
        <f t="shared" si="146"/>
        <v>4.5139015080981508</v>
      </c>
      <c r="BA55" s="2106">
        <f t="shared" si="147"/>
        <v>14.951894299999999</v>
      </c>
      <c r="BB55" s="2106">
        <v>30.116142</v>
      </c>
      <c r="BC55" s="2106">
        <f t="shared" si="148"/>
        <v>1.7238312928661315</v>
      </c>
      <c r="BD55" s="2106">
        <v>5.1915148000000002</v>
      </c>
      <c r="BE55" s="2106">
        <f t="shared" si="149"/>
        <v>3.3450000003320479</v>
      </c>
      <c r="BF55" s="2106">
        <v>10.0738495</v>
      </c>
      <c r="BG55" s="2106">
        <f t="shared" si="150"/>
        <v>2.9476484736989217E-2</v>
      </c>
      <c r="BH55" s="2106">
        <v>8.8771799999999998E-2</v>
      </c>
      <c r="BI55" s="2106"/>
      <c r="BJ55" s="2106">
        <f t="shared" si="151"/>
        <v>5.098307777935168</v>
      </c>
      <c r="BK55" s="2106">
        <f t="shared" si="152"/>
        <v>15.3541361</v>
      </c>
      <c r="BL55" s="2106">
        <v>17.488071999999999</v>
      </c>
      <c r="BM55" s="2106">
        <f t="shared" si="153"/>
        <v>2.9686032857138285</v>
      </c>
      <c r="BN55" s="2106">
        <v>5.1915148000000002</v>
      </c>
      <c r="BO55" s="2106">
        <f t="shared" si="154"/>
        <v>3.3550000251600065</v>
      </c>
      <c r="BP55" s="2106">
        <v>5.8672481999999997</v>
      </c>
      <c r="BQ55" s="2106">
        <f t="shared" si="155"/>
        <v>0.54803411147895553</v>
      </c>
      <c r="BR55" s="2106">
        <v>0.95840599999999998</v>
      </c>
      <c r="BS55" s="2106"/>
      <c r="BT55" s="2106">
        <f t="shared" si="156"/>
        <v>6.8716374223527898</v>
      </c>
      <c r="BU55" s="2106">
        <f t="shared" si="157"/>
        <v>12.017168999999999</v>
      </c>
      <c r="BV55" s="2106">
        <v>22.180291</v>
      </c>
      <c r="BW55" s="2106">
        <f t="shared" si="158"/>
        <v>2.293498088009756</v>
      </c>
      <c r="BX55" s="2106">
        <v>5.0870455000000003</v>
      </c>
      <c r="BY55" s="2106">
        <f t="shared" si="159"/>
        <v>3.6029999786747613</v>
      </c>
      <c r="BZ55" s="2106">
        <v>7.9915588</v>
      </c>
      <c r="CA55" s="2106">
        <f t="shared" si="160"/>
        <v>0.41423054368403012</v>
      </c>
      <c r="CB55" s="2106">
        <v>0.91877540000000002</v>
      </c>
      <c r="CC55" s="2106"/>
      <c r="CD55" s="2106">
        <f t="shared" si="161"/>
        <v>6.3107286103685469</v>
      </c>
      <c r="CE55" s="2106">
        <f t="shared" si="162"/>
        <v>13.9973797</v>
      </c>
      <c r="CF55" s="2106">
        <v>13.268763</v>
      </c>
      <c r="CG55" s="2106">
        <f t="shared" si="163"/>
        <v>3.8283127824349568</v>
      </c>
      <c r="CH55" s="2106">
        <v>5.0796975</v>
      </c>
      <c r="CI55" s="2106">
        <f t="shared" si="164"/>
        <v>3.1570000157512803</v>
      </c>
      <c r="CJ55" s="2106">
        <v>4.1889485000000004</v>
      </c>
      <c r="CK55" s="2106">
        <f t="shared" si="165"/>
        <v>0.68151379295869563</v>
      </c>
      <c r="CL55" s="2106">
        <v>0.90428450000000005</v>
      </c>
      <c r="CM55" s="2106"/>
      <c r="CN55" s="2106">
        <f t="shared" si="166"/>
        <v>7.6668265911449316</v>
      </c>
      <c r="CO55" s="2106">
        <f t="shared" si="167"/>
        <v>10.1729305</v>
      </c>
      <c r="CP55" s="2106">
        <v>14.698252</v>
      </c>
      <c r="CQ55" s="2106">
        <f t="shared" si="41"/>
        <v>3.4559874874917096</v>
      </c>
      <c r="CR55" s="2106">
        <v>5.0796975</v>
      </c>
      <c r="CS55" s="2106">
        <f t="shared" si="168"/>
        <v>3.1789999926521872</v>
      </c>
      <c r="CT55" s="2106">
        <v>4.6725743</v>
      </c>
      <c r="CU55" s="2106">
        <f t="shared" si="169"/>
        <v>0.74629949193958578</v>
      </c>
      <c r="CV55" s="2106">
        <v>1.0969298000000001</v>
      </c>
      <c r="CW55" s="2106"/>
      <c r="CX55" s="2106">
        <f t="shared" si="170"/>
        <v>7.3812869720834833</v>
      </c>
      <c r="CY55" s="2106">
        <f t="shared" si="171"/>
        <v>10.849201599999999</v>
      </c>
      <c r="CZ55" s="2106">
        <v>36.255492000000004</v>
      </c>
      <c r="DA55" s="2106">
        <f t="shared" si="46"/>
        <v>1.3577607042265483</v>
      </c>
      <c r="DB55" s="2106">
        <v>4.9226282349999995</v>
      </c>
      <c r="DC55" s="2106">
        <v>3.3666941162752257</v>
      </c>
      <c r="DD55" s="2109">
        <f t="shared" si="47"/>
        <v>12.206115159906354</v>
      </c>
      <c r="DE55" s="2106"/>
      <c r="DF55" s="2106"/>
      <c r="DG55" s="2106"/>
      <c r="DH55" s="2106">
        <f t="shared" si="172"/>
        <v>4.7244548205017738</v>
      </c>
      <c r="DI55" s="2106">
        <f t="shared" si="173"/>
        <v>17.128743394906351</v>
      </c>
      <c r="DJ55" s="2106">
        <v>32.746896000000007</v>
      </c>
      <c r="DK55" s="2106">
        <f t="shared" si="50"/>
        <v>1.5032350653936781</v>
      </c>
      <c r="DL55" s="2106">
        <v>4.9226282349999995</v>
      </c>
      <c r="DM55" s="2106">
        <v>3.3666941162752257</v>
      </c>
      <c r="DN55" s="2109">
        <f t="shared" si="51"/>
        <v>11.024878208947674</v>
      </c>
      <c r="DO55" s="2106"/>
      <c r="DP55" s="2106"/>
      <c r="DQ55" s="2106"/>
      <c r="DR55" s="2106">
        <f t="shared" si="174"/>
        <v>4.8699291816689039</v>
      </c>
      <c r="DS55" s="2106">
        <f t="shared" si="175"/>
        <v>15.947506443947674</v>
      </c>
      <c r="DT55" s="2106">
        <v>36.255492000000004</v>
      </c>
      <c r="DU55" s="2106">
        <f t="shared" si="54"/>
        <v>1.3577607042265483</v>
      </c>
      <c r="DV55" s="2106">
        <v>4.9226282349999995</v>
      </c>
      <c r="DW55" s="2106">
        <v>3.3666941162752257</v>
      </c>
      <c r="DX55" s="2109">
        <f t="shared" si="55"/>
        <v>12.206115159906354</v>
      </c>
      <c r="DY55" s="2106"/>
      <c r="DZ55" s="2106"/>
      <c r="EA55" s="2106"/>
      <c r="EB55" s="2106">
        <f t="shared" si="176"/>
        <v>4.7244548205017738</v>
      </c>
      <c r="EC55" s="2106">
        <f t="shared" si="177"/>
        <v>17.128743394906351</v>
      </c>
      <c r="ED55" s="2106">
        <f t="shared" si="178"/>
        <v>283.963796</v>
      </c>
      <c r="EE55" s="2107"/>
      <c r="EF55" s="2106">
        <f t="shared" si="179"/>
        <v>2.0096280092339658</v>
      </c>
      <c r="EG55" s="2106">
        <f t="shared" si="180"/>
        <v>57.066159804999998</v>
      </c>
      <c r="EH55" s="2106">
        <f t="shared" si="181"/>
        <v>3.294452572706148</v>
      </c>
      <c r="EI55" s="2106">
        <f t="shared" si="182"/>
        <v>93.550525828760385</v>
      </c>
      <c r="EJ55" s="2106"/>
      <c r="EK55" s="2106">
        <f t="shared" si="183"/>
        <v>5.3256883999999998</v>
      </c>
      <c r="EL55" s="2106"/>
      <c r="EM55" s="2106"/>
      <c r="EN55" s="2106">
        <f t="shared" si="184"/>
        <v>155.94237403376036</v>
      </c>
      <c r="EO55" s="2104">
        <f t="shared" si="185"/>
        <v>5.4916287298033009</v>
      </c>
      <c r="EP55" s="2110"/>
      <c r="ES55" s="2084">
        <f t="shared" si="0"/>
        <v>0</v>
      </c>
      <c r="EU55" s="2084">
        <f t="shared" si="64"/>
        <v>58.113417300000002</v>
      </c>
      <c r="EV55" s="2084">
        <f t="shared" si="65"/>
        <v>178.705916</v>
      </c>
      <c r="EW55" s="2084">
        <f t="shared" si="66"/>
        <v>3.2519022649479608</v>
      </c>
      <c r="FE55" s="2108"/>
      <c r="FF55" s="2108"/>
      <c r="FG55" s="2108"/>
      <c r="FH55" s="2108"/>
      <c r="FI55" s="2108"/>
      <c r="FJ55" s="2108"/>
      <c r="FK55" s="2108"/>
    </row>
    <row r="56" spans="1:167">
      <c r="A56" s="1760">
        <v>10</v>
      </c>
      <c r="B56" s="1761" t="s">
        <v>1686</v>
      </c>
      <c r="C56" s="2098">
        <v>500</v>
      </c>
      <c r="D56" s="2099">
        <v>9.6876000000000004E-2</v>
      </c>
      <c r="E56" s="2100"/>
      <c r="F56" s="2099">
        <v>0.43472496246062492</v>
      </c>
      <c r="G56" s="2101">
        <v>222.94</v>
      </c>
      <c r="H56" s="2102" t="s">
        <v>1649</v>
      </c>
      <c r="I56" s="2103">
        <v>2</v>
      </c>
      <c r="J56" s="2104"/>
      <c r="K56" s="2101"/>
      <c r="L56" s="2101"/>
      <c r="M56" s="2105"/>
      <c r="N56" s="2106">
        <v>0</v>
      </c>
      <c r="O56" s="2106">
        <f t="shared" si="128"/>
        <v>0</v>
      </c>
      <c r="P56" s="2106">
        <v>0</v>
      </c>
      <c r="Q56" s="2106">
        <f t="shared" si="129"/>
        <v>0</v>
      </c>
      <c r="R56" s="2106">
        <v>0</v>
      </c>
      <c r="S56" s="2106">
        <f t="shared" si="130"/>
        <v>0</v>
      </c>
      <c r="T56" s="2106">
        <v>0</v>
      </c>
      <c r="U56" s="2106"/>
      <c r="V56" s="2106">
        <f t="shared" si="131"/>
        <v>0</v>
      </c>
      <c r="W56" s="2106">
        <f t="shared" si="132"/>
        <v>0</v>
      </c>
      <c r="X56" s="2106">
        <v>97.484347999999997</v>
      </c>
      <c r="Y56" s="2106">
        <f t="shared" si="133"/>
        <v>2.1802311279755395</v>
      </c>
      <c r="Z56" s="2106">
        <v>21.253841000000001</v>
      </c>
      <c r="AA56" s="2106">
        <f t="shared" si="134"/>
        <v>3.0489999994665813</v>
      </c>
      <c r="AB56" s="2106">
        <v>29.722977700000001</v>
      </c>
      <c r="AC56" s="2106">
        <f t="shared" si="135"/>
        <v>0.20628965995648865</v>
      </c>
      <c r="AD56" s="2106">
        <v>2.0110013000000002</v>
      </c>
      <c r="AE56" s="2106"/>
      <c r="AF56" s="2106">
        <f t="shared" si="136"/>
        <v>5.4355207873986089</v>
      </c>
      <c r="AG56" s="2106">
        <f t="shared" si="137"/>
        <v>52.987819999999999</v>
      </c>
      <c r="AH56" s="2106">
        <v>100.66463400000001</v>
      </c>
      <c r="AI56" s="2106">
        <f t="shared" si="138"/>
        <v>2.1113513411274112</v>
      </c>
      <c r="AJ56" s="2106">
        <v>21.253841000000001</v>
      </c>
      <c r="AK56" s="2106">
        <f t="shared" si="139"/>
        <v>2.9859999987681869</v>
      </c>
      <c r="AL56" s="2106">
        <v>30.0584597</v>
      </c>
      <c r="AM56" s="2106">
        <f t="shared" si="140"/>
        <v>0.21251500303473014</v>
      </c>
      <c r="AN56" s="2106">
        <v>2.1392745</v>
      </c>
      <c r="AO56" s="2106">
        <v>0</v>
      </c>
      <c r="AP56" s="2106">
        <f t="shared" si="141"/>
        <v>5.3098663429303281</v>
      </c>
      <c r="AQ56" s="2106">
        <f t="shared" si="142"/>
        <v>53.451575200000001</v>
      </c>
      <c r="AR56" s="2106">
        <v>108.584535</v>
      </c>
      <c r="AS56" s="2106">
        <f t="shared" si="143"/>
        <v>1.9674584322712254</v>
      </c>
      <c r="AT56" s="2106">
        <v>21.363555900000001</v>
      </c>
      <c r="AU56" s="2106">
        <f t="shared" si="144"/>
        <v>2.8500000023023535</v>
      </c>
      <c r="AV56" s="2106">
        <v>30.946592500000001</v>
      </c>
      <c r="AW56" s="2106">
        <f t="shared" si="145"/>
        <v>-0.1127438727807786</v>
      </c>
      <c r="AX56" s="2106">
        <v>-1.2242241</v>
      </c>
      <c r="AY56" s="2106"/>
      <c r="AZ56" s="2106">
        <f t="shared" si="146"/>
        <v>4.7047145617928008</v>
      </c>
      <c r="BA56" s="2106">
        <f t="shared" si="147"/>
        <v>51.085924300000002</v>
      </c>
      <c r="BB56" s="2106">
        <v>115.012404</v>
      </c>
      <c r="BC56" s="2106">
        <f t="shared" si="148"/>
        <v>1.8575001614608455</v>
      </c>
      <c r="BD56" s="2106">
        <v>21.363555900000001</v>
      </c>
      <c r="BE56" s="2106">
        <f t="shared" si="149"/>
        <v>3.1519999964525565</v>
      </c>
      <c r="BF56" s="2106">
        <v>36.251909699999999</v>
      </c>
      <c r="BG56" s="2106">
        <f t="shared" si="150"/>
        <v>5.3979908114954275E-2</v>
      </c>
      <c r="BH56" s="2106">
        <v>0.6208359</v>
      </c>
      <c r="BI56" s="2106"/>
      <c r="BJ56" s="2106">
        <f t="shared" si="151"/>
        <v>5.0634800660283563</v>
      </c>
      <c r="BK56" s="2106">
        <f t="shared" si="152"/>
        <v>58.236301500000003</v>
      </c>
      <c r="BL56" s="2106">
        <v>55.078409999999998</v>
      </c>
      <c r="BM56" s="2106">
        <f t="shared" si="153"/>
        <v>3.5387279879720568</v>
      </c>
      <c r="BN56" s="2106">
        <v>19.490751100000001</v>
      </c>
      <c r="BO56" s="2106">
        <f t="shared" si="154"/>
        <v>3.1619999923745072</v>
      </c>
      <c r="BP56" s="2106">
        <v>17.4157932</v>
      </c>
      <c r="BQ56" s="2106">
        <f t="shared" si="155"/>
        <v>0.28658556047641898</v>
      </c>
      <c r="BR56" s="2106">
        <v>1.5784677</v>
      </c>
      <c r="BS56" s="2106"/>
      <c r="BT56" s="2106">
        <f t="shared" si="156"/>
        <v>6.9873135408229823</v>
      </c>
      <c r="BU56" s="2106">
        <f t="shared" si="157"/>
        <v>38.485011999999998</v>
      </c>
      <c r="BV56" s="2106">
        <v>54.844503000000003</v>
      </c>
      <c r="BW56" s="2106">
        <f t="shared" si="158"/>
        <v>3.0667367156194301</v>
      </c>
      <c r="BX56" s="2106">
        <v>16.819365099999999</v>
      </c>
      <c r="BY56" s="2106">
        <f t="shared" si="159"/>
        <v>3.3959999965721268</v>
      </c>
      <c r="BZ56" s="2106">
        <v>18.625193199999998</v>
      </c>
      <c r="CA56" s="2106">
        <f t="shared" si="160"/>
        <v>0.33455423964731712</v>
      </c>
      <c r="CB56" s="2106">
        <v>1.8348461</v>
      </c>
      <c r="CC56" s="2106"/>
      <c r="CD56" s="2106">
        <f t="shared" si="161"/>
        <v>6.7972909518388738</v>
      </c>
      <c r="CE56" s="2106">
        <f t="shared" si="162"/>
        <v>37.279404399999997</v>
      </c>
      <c r="CF56" s="2106">
        <v>54.950251999999999</v>
      </c>
      <c r="CG56" s="2106">
        <f t="shared" si="163"/>
        <v>4.6946640390293384</v>
      </c>
      <c r="CH56" s="2106">
        <v>25.797297199999999</v>
      </c>
      <c r="CI56" s="2106">
        <f t="shared" si="164"/>
        <v>2.9760000008735172</v>
      </c>
      <c r="CJ56" s="2106">
        <v>16.353194999999999</v>
      </c>
      <c r="CK56" s="2106">
        <f t="shared" si="165"/>
        <v>0.46757383387431961</v>
      </c>
      <c r="CL56" s="2106">
        <v>2.5693299999999999</v>
      </c>
      <c r="CM56" s="2106"/>
      <c r="CN56" s="2106">
        <f t="shared" si="166"/>
        <v>8.138237873777177</v>
      </c>
      <c r="CO56" s="2106">
        <f t="shared" si="167"/>
        <v>44.719822200000003</v>
      </c>
      <c r="CP56" s="2106">
        <v>63.200918999999999</v>
      </c>
      <c r="CQ56" s="2106">
        <f t="shared" si="41"/>
        <v>3.5407094792403253</v>
      </c>
      <c r="CR56" s="2106">
        <v>22.3776093</v>
      </c>
      <c r="CS56" s="2106">
        <f t="shared" si="168"/>
        <v>2.9959999948734923</v>
      </c>
      <c r="CT56" s="2106">
        <v>18.934995300000001</v>
      </c>
      <c r="CU56" s="2106">
        <f t="shared" si="169"/>
        <v>0.2421211311816526</v>
      </c>
      <c r="CV56" s="2106">
        <v>1.5302278</v>
      </c>
      <c r="CW56" s="2106"/>
      <c r="CX56" s="2106">
        <f t="shared" si="170"/>
        <v>6.7788306052954708</v>
      </c>
      <c r="CY56" s="2106">
        <f t="shared" si="171"/>
        <v>42.842832399999999</v>
      </c>
      <c r="CZ56" s="2106">
        <v>124.40052</v>
      </c>
      <c r="DA56" s="2106">
        <f t="shared" si="46"/>
        <v>1.6219272924863981</v>
      </c>
      <c r="DB56" s="2106">
        <v>20.176859858750003</v>
      </c>
      <c r="DC56" s="2106">
        <v>3.2526530098633106</v>
      </c>
      <c r="DD56" s="2109">
        <f t="shared" si="47"/>
        <v>40.463172580656092</v>
      </c>
      <c r="DE56" s="2106"/>
      <c r="DF56" s="2106"/>
      <c r="DG56" s="2106"/>
      <c r="DH56" s="2106">
        <f t="shared" si="172"/>
        <v>4.8745803023497087</v>
      </c>
      <c r="DI56" s="2106">
        <f t="shared" si="173"/>
        <v>60.640032439406099</v>
      </c>
      <c r="DJ56" s="2106">
        <v>112.36176</v>
      </c>
      <c r="DK56" s="2106">
        <f t="shared" si="50"/>
        <v>1.7957052166813694</v>
      </c>
      <c r="DL56" s="2106">
        <v>20.176859858750003</v>
      </c>
      <c r="DM56" s="2106">
        <v>3.2526530098633106</v>
      </c>
      <c r="DN56" s="2109">
        <f t="shared" si="51"/>
        <v>36.547381685753898</v>
      </c>
      <c r="DO56" s="2106"/>
      <c r="DP56" s="2106"/>
      <c r="DQ56" s="2106"/>
      <c r="DR56" s="2106">
        <f t="shared" si="174"/>
        <v>5.0483582265446802</v>
      </c>
      <c r="DS56" s="2106">
        <f t="shared" si="175"/>
        <v>56.724241544503897</v>
      </c>
      <c r="DT56" s="2106">
        <v>124.40052</v>
      </c>
      <c r="DU56" s="2106">
        <f t="shared" si="54"/>
        <v>1.6219272924863981</v>
      </c>
      <c r="DV56" s="2106">
        <v>20.176859858750003</v>
      </c>
      <c r="DW56" s="2106">
        <v>3.2526530098633106</v>
      </c>
      <c r="DX56" s="2109">
        <f t="shared" si="55"/>
        <v>40.463172580656092</v>
      </c>
      <c r="DY56" s="2106"/>
      <c r="DZ56" s="2106"/>
      <c r="EA56" s="2106"/>
      <c r="EB56" s="2106">
        <f t="shared" si="176"/>
        <v>4.8745803023497087</v>
      </c>
      <c r="EC56" s="2106">
        <f t="shared" si="177"/>
        <v>60.640032439406099</v>
      </c>
      <c r="ED56" s="2106">
        <f t="shared" si="178"/>
        <v>1010.9828050000001</v>
      </c>
      <c r="EE56" s="2107"/>
      <c r="EF56" s="2106">
        <f t="shared" si="179"/>
        <v>2.2774907242487661</v>
      </c>
      <c r="EG56" s="2106">
        <f t="shared" si="180"/>
        <v>230.25039607624996</v>
      </c>
      <c r="EH56" s="2106">
        <f t="shared" si="181"/>
        <v>3.1235233832395992</v>
      </c>
      <c r="EI56" s="2106">
        <f t="shared" si="182"/>
        <v>315.78284314706605</v>
      </c>
      <c r="EJ56" s="2106"/>
      <c r="EK56" s="2106">
        <f t="shared" si="183"/>
        <v>11.0597592</v>
      </c>
      <c r="EL56" s="2106"/>
      <c r="EM56" s="2106"/>
      <c r="EN56" s="2106">
        <f t="shared" si="184"/>
        <v>557.09299842331609</v>
      </c>
      <c r="EO56" s="2104">
        <f t="shared" si="185"/>
        <v>5.5104102232808607</v>
      </c>
      <c r="EP56" s="2110"/>
      <c r="ES56" s="2084">
        <f t="shared" si="0"/>
        <v>0</v>
      </c>
      <c r="EU56" s="2084">
        <f t="shared" si="64"/>
        <v>198.30911629999997</v>
      </c>
      <c r="EV56" s="2084">
        <f t="shared" si="65"/>
        <v>649.82000500000004</v>
      </c>
      <c r="EW56" s="2084">
        <f t="shared" si="66"/>
        <v>3.0517545593260085</v>
      </c>
      <c r="FE56" s="2108"/>
      <c r="FF56" s="2108"/>
      <c r="FG56" s="2108"/>
      <c r="FH56" s="2108"/>
      <c r="FI56" s="2108"/>
      <c r="FJ56" s="2108"/>
      <c r="FK56" s="2108"/>
    </row>
    <row r="57" spans="1:167">
      <c r="A57" s="1760">
        <v>11</v>
      </c>
      <c r="B57" s="1761" t="s">
        <v>1687</v>
      </c>
      <c r="C57" s="2098">
        <v>1600</v>
      </c>
      <c r="D57" s="2099">
        <v>0</v>
      </c>
      <c r="E57" s="2100"/>
      <c r="F57" s="2099"/>
      <c r="G57" s="2101">
        <v>0</v>
      </c>
      <c r="H57" s="2102" t="s">
        <v>1649</v>
      </c>
      <c r="I57" s="2103">
        <v>1</v>
      </c>
      <c r="J57" s="2104"/>
      <c r="K57" s="2101"/>
      <c r="L57" s="2101"/>
      <c r="M57" s="2105"/>
      <c r="N57" s="2106">
        <v>0</v>
      </c>
      <c r="O57" s="2106">
        <f t="shared" si="128"/>
        <v>0</v>
      </c>
      <c r="P57" s="2106">
        <v>0</v>
      </c>
      <c r="Q57" s="2106">
        <f t="shared" si="129"/>
        <v>0</v>
      </c>
      <c r="R57" s="2106">
        <v>0</v>
      </c>
      <c r="S57" s="2106">
        <f t="shared" si="130"/>
        <v>0</v>
      </c>
      <c r="T57" s="2106">
        <v>0</v>
      </c>
      <c r="U57" s="2106"/>
      <c r="V57" s="2106">
        <f t="shared" si="131"/>
        <v>0</v>
      </c>
      <c r="W57" s="2106">
        <f t="shared" si="132"/>
        <v>0</v>
      </c>
      <c r="X57" s="2106">
        <v>14.788449999999999</v>
      </c>
      <c r="Y57" s="2106">
        <f t="shared" si="133"/>
        <v>1.2797203898988738</v>
      </c>
      <c r="Z57" s="2106">
        <v>1.8925080999999999</v>
      </c>
      <c r="AA57" s="2106">
        <f t="shared" si="134"/>
        <v>2.8660000202861018</v>
      </c>
      <c r="AB57" s="2106">
        <v>4.2383698000000001</v>
      </c>
      <c r="AC57" s="2106">
        <f t="shared" si="135"/>
        <v>0.37468862524470115</v>
      </c>
      <c r="AD57" s="2106">
        <v>0.5541064</v>
      </c>
      <c r="AE57" s="2106"/>
      <c r="AF57" s="2106">
        <f t="shared" si="136"/>
        <v>4.5204090354296769</v>
      </c>
      <c r="AG57" s="2106">
        <f t="shared" si="137"/>
        <v>6.6849843</v>
      </c>
      <c r="AH57" s="2106">
        <v>15.090854999999999</v>
      </c>
      <c r="AI57" s="2106">
        <f t="shared" si="138"/>
        <v>1.1218693705558764</v>
      </c>
      <c r="AJ57" s="2106">
        <v>1.6929968</v>
      </c>
      <c r="AK57" s="2106">
        <f t="shared" si="139"/>
        <v>3.0199999933734705</v>
      </c>
      <c r="AL57" s="2106">
        <v>4.5574382</v>
      </c>
      <c r="AM57" s="2106">
        <f t="shared" si="140"/>
        <v>0.11651308027278773</v>
      </c>
      <c r="AN57" s="2106">
        <v>0.17582819999999999</v>
      </c>
      <c r="AO57" s="2106">
        <v>0</v>
      </c>
      <c r="AP57" s="2106">
        <f t="shared" si="141"/>
        <v>4.2583824442021339</v>
      </c>
      <c r="AQ57" s="2106">
        <f t="shared" si="142"/>
        <v>6.4262631999999993</v>
      </c>
      <c r="AR57" s="2106">
        <v>22.986129999999999</v>
      </c>
      <c r="AS57" s="2106">
        <f t="shared" si="143"/>
        <v>0.68538762288388688</v>
      </c>
      <c r="AT57" s="2106">
        <v>1.5754409</v>
      </c>
      <c r="AU57" s="2106">
        <f t="shared" si="144"/>
        <v>3.1</v>
      </c>
      <c r="AV57" s="2106">
        <v>7.1257003000000001</v>
      </c>
      <c r="AW57" s="2106">
        <f t="shared" si="145"/>
        <v>0.63102270804176253</v>
      </c>
      <c r="AX57" s="2106">
        <v>1.450477</v>
      </c>
      <c r="AY57" s="2106"/>
      <c r="AZ57" s="2106">
        <f t="shared" si="146"/>
        <v>4.4164103309256495</v>
      </c>
      <c r="BA57" s="2106">
        <f t="shared" si="147"/>
        <v>10.1516182</v>
      </c>
      <c r="BB57" s="2106">
        <v>20.882591999999999</v>
      </c>
      <c r="BC57" s="2106">
        <f t="shared" si="148"/>
        <v>0.48155995194466283</v>
      </c>
      <c r="BD57" s="2106">
        <v>1.005622</v>
      </c>
      <c r="BE57" s="2106">
        <f t="shared" si="149"/>
        <v>3.1310000214532758</v>
      </c>
      <c r="BF57" s="2106">
        <v>6.5383395999999996</v>
      </c>
      <c r="BG57" s="2106">
        <f t="shared" si="150"/>
        <v>-1.5655432045983565E-2</v>
      </c>
      <c r="BH57" s="2106">
        <v>-3.2692600000000002E-2</v>
      </c>
      <c r="BI57" s="2106"/>
      <c r="BJ57" s="2106">
        <f t="shared" si="151"/>
        <v>3.5969045413519547</v>
      </c>
      <c r="BK57" s="2106">
        <f t="shared" si="152"/>
        <v>7.5112689999999995</v>
      </c>
      <c r="BL57" s="2106">
        <v>7.5948520000000004</v>
      </c>
      <c r="BM57" s="2106">
        <f t="shared" si="153"/>
        <v>1.5406738669825295</v>
      </c>
      <c r="BN57" s="2106">
        <v>1.1701189999999999</v>
      </c>
      <c r="BO57" s="2106">
        <f t="shared" si="154"/>
        <v>2.9810000247536097</v>
      </c>
      <c r="BP57" s="2106">
        <v>2.2640254</v>
      </c>
      <c r="BQ57" s="2106">
        <f t="shared" si="155"/>
        <v>-2.2030975718815848E-2</v>
      </c>
      <c r="BR57" s="2106">
        <v>-1.6732199999999999E-2</v>
      </c>
      <c r="BS57" s="2106"/>
      <c r="BT57" s="2106">
        <f t="shared" si="156"/>
        <v>4.4996429160173239</v>
      </c>
      <c r="BU57" s="2106">
        <f t="shared" si="157"/>
        <v>3.4174122000000002</v>
      </c>
      <c r="BV57" s="2106">
        <v>10.004339999999999</v>
      </c>
      <c r="BW57" s="2106">
        <f t="shared" si="158"/>
        <v>1.2426702810980035</v>
      </c>
      <c r="BX57" s="2106">
        <v>1.2432095999999999</v>
      </c>
      <c r="BY57" s="2106">
        <f t="shared" si="159"/>
        <v>3.0140000239895888</v>
      </c>
      <c r="BZ57" s="2106">
        <v>3.0153080999999999</v>
      </c>
      <c r="CA57" s="2106">
        <f t="shared" si="160"/>
        <v>-9.0218845021260777E-3</v>
      </c>
      <c r="CB57" s="2106">
        <v>-9.0258000000000005E-3</v>
      </c>
      <c r="CC57" s="2106"/>
      <c r="CD57" s="2106">
        <f t="shared" si="161"/>
        <v>4.2476484205854659</v>
      </c>
      <c r="CE57" s="2106">
        <f t="shared" si="162"/>
        <v>4.2494918999999998</v>
      </c>
      <c r="CF57" s="2106">
        <v>6.3106049999999998</v>
      </c>
      <c r="CG57" s="2106">
        <f t="shared" si="163"/>
        <v>2.9854597142429289</v>
      </c>
      <c r="CH57" s="2106">
        <v>1.8840056999999999</v>
      </c>
      <c r="CI57" s="2106">
        <f t="shared" si="164"/>
        <v>2.8949999247298792</v>
      </c>
      <c r="CJ57" s="2106">
        <v>1.8269200999999999</v>
      </c>
      <c r="CK57" s="2106">
        <f t="shared" si="165"/>
        <v>1.4008377960591734</v>
      </c>
      <c r="CL57" s="2106">
        <v>0.88401339999999995</v>
      </c>
      <c r="CM57" s="2106"/>
      <c r="CN57" s="2106">
        <f t="shared" si="166"/>
        <v>7.2812974350319815</v>
      </c>
      <c r="CO57" s="2106">
        <f t="shared" si="167"/>
        <v>4.5949391999999998</v>
      </c>
      <c r="CP57" s="2106">
        <v>8.3331049999999998</v>
      </c>
      <c r="CQ57" s="2106">
        <f t="shared" si="41"/>
        <v>2.2722236189271587</v>
      </c>
      <c r="CR57" s="2106">
        <v>1.8934678</v>
      </c>
      <c r="CS57" s="2106">
        <f t="shared" si="168"/>
        <v>2.7089999465985364</v>
      </c>
      <c r="CT57" s="2106">
        <v>2.2574380999999999</v>
      </c>
      <c r="CU57" s="2106">
        <f t="shared" si="169"/>
        <v>1.3562507612708588</v>
      </c>
      <c r="CV57" s="2106">
        <v>1.1301779999999999</v>
      </c>
      <c r="CW57" s="2106"/>
      <c r="CX57" s="2106">
        <f t="shared" si="170"/>
        <v>6.3374743267965536</v>
      </c>
      <c r="CY57" s="2106">
        <f t="shared" si="171"/>
        <v>5.2810838999999996</v>
      </c>
      <c r="CZ57" s="2106">
        <v>0</v>
      </c>
      <c r="DA57" s="2106">
        <f t="shared" si="46"/>
        <v>0</v>
      </c>
      <c r="DB57" s="2106">
        <v>0</v>
      </c>
      <c r="DC57" s="2106">
        <v>2.8199027473712794</v>
      </c>
      <c r="DD57" s="2109">
        <f t="shared" si="47"/>
        <v>0</v>
      </c>
      <c r="DE57" s="2106"/>
      <c r="DF57" s="2106"/>
      <c r="DG57" s="2106"/>
      <c r="DH57" s="2106">
        <f t="shared" si="172"/>
        <v>0</v>
      </c>
      <c r="DI57" s="2106">
        <f t="shared" si="173"/>
        <v>0</v>
      </c>
      <c r="DJ57" s="2106">
        <v>0</v>
      </c>
      <c r="DK57" s="2106">
        <f t="shared" si="50"/>
        <v>0</v>
      </c>
      <c r="DL57" s="2106">
        <v>0</v>
      </c>
      <c r="DM57" s="2106">
        <v>2.8199027473712794</v>
      </c>
      <c r="DN57" s="2109">
        <f t="shared" si="51"/>
        <v>0</v>
      </c>
      <c r="DO57" s="2106"/>
      <c r="DP57" s="2106"/>
      <c r="DQ57" s="2106"/>
      <c r="DR57" s="2106">
        <f t="shared" si="174"/>
        <v>0</v>
      </c>
      <c r="DS57" s="2106">
        <f t="shared" si="175"/>
        <v>0</v>
      </c>
      <c r="DT57" s="2106">
        <v>0</v>
      </c>
      <c r="DU57" s="2106">
        <f t="shared" si="54"/>
        <v>0</v>
      </c>
      <c r="DV57" s="2106">
        <v>0</v>
      </c>
      <c r="DW57" s="2106">
        <v>2.8199027473712794</v>
      </c>
      <c r="DX57" s="2109">
        <f t="shared" si="55"/>
        <v>0</v>
      </c>
      <c r="DY57" s="2106"/>
      <c r="DZ57" s="2106"/>
      <c r="EA57" s="2106"/>
      <c r="EB57" s="2106">
        <f t="shared" si="176"/>
        <v>0</v>
      </c>
      <c r="EC57" s="2106">
        <f t="shared" si="177"/>
        <v>0</v>
      </c>
      <c r="ED57" s="2106">
        <f t="shared" si="178"/>
        <v>105.99092899999999</v>
      </c>
      <c r="EE57" s="2107"/>
      <c r="EF57" s="2106">
        <f t="shared" si="179"/>
        <v>1.1658893847415943</v>
      </c>
      <c r="EG57" s="2106">
        <f t="shared" si="180"/>
        <v>12.357369899999998</v>
      </c>
      <c r="EH57" s="2106">
        <f t="shared" si="181"/>
        <v>3.0024776554227577</v>
      </c>
      <c r="EI57" s="2106">
        <f t="shared" si="182"/>
        <v>31.823539599999997</v>
      </c>
      <c r="EJ57" s="2106"/>
      <c r="EK57" s="2106">
        <f t="shared" si="183"/>
        <v>4.1361524000000003</v>
      </c>
      <c r="EL57" s="2106"/>
      <c r="EM57" s="2106"/>
      <c r="EN57" s="2106">
        <f t="shared" si="184"/>
        <v>48.317061899999999</v>
      </c>
      <c r="EO57" s="2104">
        <f t="shared" si="185"/>
        <v>4.5586034914365179</v>
      </c>
      <c r="EP57" s="2110"/>
      <c r="ES57" s="2084">
        <f t="shared" si="0"/>
        <v>0</v>
      </c>
      <c r="EU57" s="2084">
        <f t="shared" si="64"/>
        <v>31.823539599999997</v>
      </c>
      <c r="EV57" s="2084">
        <f t="shared" si="65"/>
        <v>105.99092899999999</v>
      </c>
      <c r="EW57" s="2084">
        <f t="shared" si="66"/>
        <v>3.0024776554227577</v>
      </c>
      <c r="FE57" s="2108"/>
      <c r="FF57" s="2108"/>
      <c r="FG57" s="2108"/>
      <c r="FH57" s="2108"/>
      <c r="FI57" s="2108"/>
      <c r="FJ57" s="2108"/>
      <c r="FK57" s="2108"/>
    </row>
    <row r="58" spans="1:167">
      <c r="A58" s="1760">
        <v>12</v>
      </c>
      <c r="B58" s="1761" t="s">
        <v>1688</v>
      </c>
      <c r="C58" s="2098">
        <v>840</v>
      </c>
      <c r="D58" s="2099">
        <v>0</v>
      </c>
      <c r="E58" s="2100"/>
      <c r="F58" s="2099"/>
      <c r="G58" s="2101">
        <v>77</v>
      </c>
      <c r="H58" s="2102" t="s">
        <v>1649</v>
      </c>
      <c r="I58" s="2103">
        <v>1</v>
      </c>
      <c r="J58" s="2104"/>
      <c r="K58" s="2101"/>
      <c r="L58" s="2101"/>
      <c r="M58" s="2105"/>
      <c r="N58" s="2106">
        <v>0</v>
      </c>
      <c r="O58" s="2106">
        <f t="shared" si="128"/>
        <v>0</v>
      </c>
      <c r="P58" s="2106">
        <v>0</v>
      </c>
      <c r="Q58" s="2106">
        <f t="shared" si="129"/>
        <v>0</v>
      </c>
      <c r="R58" s="2106">
        <v>0</v>
      </c>
      <c r="S58" s="2106">
        <f t="shared" si="130"/>
        <v>0</v>
      </c>
      <c r="T58" s="2106">
        <v>0</v>
      </c>
      <c r="U58" s="2106"/>
      <c r="V58" s="2106">
        <f t="shared" si="131"/>
        <v>0</v>
      </c>
      <c r="W58" s="2106">
        <f t="shared" si="132"/>
        <v>0</v>
      </c>
      <c r="X58" s="2106">
        <v>38.300834000000002</v>
      </c>
      <c r="Y58" s="2106">
        <f t="shared" si="133"/>
        <v>1.1835972292404913</v>
      </c>
      <c r="Z58" s="2106">
        <v>4.5332761000000001</v>
      </c>
      <c r="AA58" s="2106">
        <f t="shared" si="134"/>
        <v>2.3400000114880006</v>
      </c>
      <c r="AB58" s="2106">
        <v>8.9623951999999996</v>
      </c>
      <c r="AC58" s="2106">
        <f t="shared" si="135"/>
        <v>2.6562998602066991E-2</v>
      </c>
      <c r="AD58" s="2106">
        <v>0.1017385</v>
      </c>
      <c r="AE58" s="2106"/>
      <c r="AF58" s="2106">
        <f t="shared" si="136"/>
        <v>3.550160239330558</v>
      </c>
      <c r="AG58" s="2106">
        <f t="shared" si="137"/>
        <v>13.597409799999999</v>
      </c>
      <c r="AH58" s="2106">
        <v>28.523391</v>
      </c>
      <c r="AI58" s="2106">
        <f t="shared" si="138"/>
        <v>1.5893187805054456</v>
      </c>
      <c r="AJ58" s="2106">
        <v>4.5332761000000001</v>
      </c>
      <c r="AK58" s="2106">
        <f t="shared" si="139"/>
        <v>2.4900000143741674</v>
      </c>
      <c r="AL58" s="2106">
        <v>7.1023243999999996</v>
      </c>
      <c r="AM58" s="2106">
        <f t="shared" si="140"/>
        <v>-2.2822041039931053E-2</v>
      </c>
      <c r="AN58" s="2106">
        <v>-6.5096200000000007E-2</v>
      </c>
      <c r="AO58" s="2106">
        <v>0</v>
      </c>
      <c r="AP58" s="2106">
        <f t="shared" si="141"/>
        <v>4.0564967538396814</v>
      </c>
      <c r="AQ58" s="2106">
        <f t="shared" si="142"/>
        <v>11.5705043</v>
      </c>
      <c r="AR58" s="2106">
        <v>27.903523</v>
      </c>
      <c r="AS58" s="2106">
        <f t="shared" si="143"/>
        <v>1.2780332433291666</v>
      </c>
      <c r="AT58" s="2106">
        <v>3.566163</v>
      </c>
      <c r="AU58" s="2106">
        <f t="shared" si="144"/>
        <v>2.6069999834787887</v>
      </c>
      <c r="AV58" s="2106">
        <v>7.2744483999999998</v>
      </c>
      <c r="AW58" s="2106">
        <f t="shared" si="145"/>
        <v>-0.10897412488021674</v>
      </c>
      <c r="AX58" s="2106">
        <v>-0.30407620000000002</v>
      </c>
      <c r="AY58" s="2106"/>
      <c r="AZ58" s="2106">
        <f t="shared" si="146"/>
        <v>3.7760591019277383</v>
      </c>
      <c r="BA58" s="2106">
        <f t="shared" si="147"/>
        <v>10.536535199999999</v>
      </c>
      <c r="BB58" s="2106">
        <v>36.033301999999999</v>
      </c>
      <c r="BC58" s="2106">
        <f t="shared" si="148"/>
        <v>1.2407388032326319</v>
      </c>
      <c r="BD58" s="2106">
        <v>4.4707916000000001</v>
      </c>
      <c r="BE58" s="2106">
        <f t="shared" si="149"/>
        <v>2.6889999978353356</v>
      </c>
      <c r="BF58" s="2106">
        <v>9.6893548999999997</v>
      </c>
      <c r="BG58" s="2106">
        <f t="shared" si="150"/>
        <v>0</v>
      </c>
      <c r="BH58" s="2106">
        <v>0</v>
      </c>
      <c r="BI58" s="2106"/>
      <c r="BJ58" s="2106">
        <f t="shared" si="151"/>
        <v>3.9297388010679679</v>
      </c>
      <c r="BK58" s="2106">
        <f t="shared" si="152"/>
        <v>14.1601465</v>
      </c>
      <c r="BL58" s="2106">
        <v>28.854213000000001</v>
      </c>
      <c r="BM58" s="2106">
        <f t="shared" si="153"/>
        <v>1.7822891582591422</v>
      </c>
      <c r="BN58" s="2106">
        <v>5.1426550999999998</v>
      </c>
      <c r="BO58" s="2106">
        <f t="shared" si="154"/>
        <v>2.4009999856866653</v>
      </c>
      <c r="BP58" s="2106">
        <v>6.9278965000000001</v>
      </c>
      <c r="BQ58" s="2106">
        <f t="shared" si="155"/>
        <v>0</v>
      </c>
      <c r="BR58" s="2106">
        <v>0</v>
      </c>
      <c r="BS58" s="2106"/>
      <c r="BT58" s="2106">
        <f t="shared" si="156"/>
        <v>4.1832891439458075</v>
      </c>
      <c r="BU58" s="2106">
        <f t="shared" si="157"/>
        <v>12.0705516</v>
      </c>
      <c r="BV58" s="2106">
        <v>24.984665</v>
      </c>
      <c r="BW58" s="2106">
        <f t="shared" si="158"/>
        <v>1.9398534260915645</v>
      </c>
      <c r="BX58" s="2106">
        <v>4.8466588000000002</v>
      </c>
      <c r="BY58" s="2106">
        <f t="shared" si="159"/>
        <v>2.7920000128078564</v>
      </c>
      <c r="BZ58" s="2106">
        <v>6.9757185000000002</v>
      </c>
      <c r="CA58" s="2106">
        <f t="shared" si="160"/>
        <v>-6.0043830885865387E-2</v>
      </c>
      <c r="CB58" s="2106">
        <v>-0.1500175</v>
      </c>
      <c r="CC58" s="2106"/>
      <c r="CD58" s="2106">
        <f t="shared" si="161"/>
        <v>4.6718096080135556</v>
      </c>
      <c r="CE58" s="2106">
        <f t="shared" si="162"/>
        <v>11.672359799999999</v>
      </c>
      <c r="CF58" s="2106">
        <v>10.744026</v>
      </c>
      <c r="CG58" s="2106">
        <f t="shared" si="163"/>
        <v>4.318783387158593</v>
      </c>
      <c r="CH58" s="2106">
        <v>4.6401120999999996</v>
      </c>
      <c r="CI58" s="2106">
        <f t="shared" si="164"/>
        <v>2.6390000359269421</v>
      </c>
      <c r="CJ58" s="2106">
        <v>2.8353484999999998</v>
      </c>
      <c r="CK58" s="2106">
        <f t="shared" si="165"/>
        <v>0</v>
      </c>
      <c r="CL58" s="2106">
        <v>0</v>
      </c>
      <c r="CM58" s="2106"/>
      <c r="CN58" s="2106">
        <f t="shared" si="166"/>
        <v>6.9577834230855364</v>
      </c>
      <c r="CO58" s="2106">
        <f t="shared" si="167"/>
        <v>7.4754605999999999</v>
      </c>
      <c r="CP58" s="2106">
        <v>20.082426999999999</v>
      </c>
      <c r="CQ58" s="2106">
        <f t="shared" si="41"/>
        <v>2.2573347832908843</v>
      </c>
      <c r="CR58" s="2106">
        <v>4.5332761000000001</v>
      </c>
      <c r="CS58" s="2106">
        <f t="shared" si="168"/>
        <v>2.7320000217105234</v>
      </c>
      <c r="CT58" s="2106">
        <v>5.4865190999999998</v>
      </c>
      <c r="CU58" s="2106">
        <f t="shared" si="169"/>
        <v>0.42646877292271501</v>
      </c>
      <c r="CV58" s="2106">
        <v>0.85645280000000001</v>
      </c>
      <c r="CW58" s="2106"/>
      <c r="CX58" s="2106">
        <f t="shared" si="170"/>
        <v>5.4158035779241231</v>
      </c>
      <c r="CY58" s="2106">
        <f t="shared" si="171"/>
        <v>10.876248</v>
      </c>
      <c r="CZ58" s="2106">
        <v>31.115534999999998</v>
      </c>
      <c r="DA58" s="2106">
        <f t="shared" si="46"/>
        <v>1.3178039751686739</v>
      </c>
      <c r="DB58" s="2106">
        <v>4.1004175712499995</v>
      </c>
      <c r="DC58" s="2106">
        <v>2.3989870575128327</v>
      </c>
      <c r="DD58" s="2109">
        <f t="shared" si="47"/>
        <v>7.4645765752587554</v>
      </c>
      <c r="DE58" s="2106"/>
      <c r="DF58" s="2106"/>
      <c r="DG58" s="2106"/>
      <c r="DH58" s="2106">
        <f t="shared" si="172"/>
        <v>3.716791032681507</v>
      </c>
      <c r="DI58" s="2106">
        <f t="shared" si="173"/>
        <v>11.564994146508756</v>
      </c>
      <c r="DJ58" s="2106">
        <v>28.161568399999997</v>
      </c>
      <c r="DK58" s="2106">
        <f t="shared" si="50"/>
        <v>1.4560330990833592</v>
      </c>
      <c r="DL58" s="2106">
        <v>4.1004175712499995</v>
      </c>
      <c r="DM58" s="2106">
        <v>2.3989870575128327</v>
      </c>
      <c r="DN58" s="2109">
        <f t="shared" si="51"/>
        <v>6.7559238110862365</v>
      </c>
      <c r="DO58" s="2106"/>
      <c r="DP58" s="2106"/>
      <c r="DQ58" s="2106"/>
      <c r="DR58" s="2106">
        <f t="shared" si="174"/>
        <v>3.8550201565961921</v>
      </c>
      <c r="DS58" s="2106">
        <f t="shared" si="175"/>
        <v>10.856341382336236</v>
      </c>
      <c r="DT58" s="2106">
        <v>31.249958199999995</v>
      </c>
      <c r="DU58" s="2106">
        <f t="shared" si="54"/>
        <v>1.3121353779122815</v>
      </c>
      <c r="DV58" s="2106">
        <v>4.1004175712499995</v>
      </c>
      <c r="DW58" s="2106">
        <v>2.3989870575128327</v>
      </c>
      <c r="DX58" s="2109">
        <f t="shared" si="55"/>
        <v>7.4968245269617002</v>
      </c>
      <c r="DY58" s="2106"/>
      <c r="DZ58" s="2106"/>
      <c r="EA58" s="2106"/>
      <c r="EB58" s="2106">
        <f t="shared" si="176"/>
        <v>3.7111224354251142</v>
      </c>
      <c r="EC58" s="2106">
        <f t="shared" si="177"/>
        <v>11.5972420982117</v>
      </c>
      <c r="ED58" s="2106">
        <f t="shared" si="178"/>
        <v>305.95344259999996</v>
      </c>
      <c r="EE58" s="2107"/>
      <c r="EF58" s="2106">
        <f t="shared" si="179"/>
        <v>1.5874134705274925</v>
      </c>
      <c r="EG58" s="2106">
        <f t="shared" si="180"/>
        <v>48.567461613749991</v>
      </c>
      <c r="EH58" s="2106">
        <f t="shared" si="181"/>
        <v>2.5157857273708846</v>
      </c>
      <c r="EI58" s="2106">
        <f t="shared" si="182"/>
        <v>76.971330413306703</v>
      </c>
      <c r="EJ58" s="2106"/>
      <c r="EK58" s="2106">
        <f t="shared" si="183"/>
        <v>0.43900139999999999</v>
      </c>
      <c r="EL58" s="2106"/>
      <c r="EM58" s="2106"/>
      <c r="EN58" s="2106">
        <f t="shared" si="184"/>
        <v>125.9777934270567</v>
      </c>
      <c r="EO58" s="2104">
        <f t="shared" si="185"/>
        <v>4.1175478320000023</v>
      </c>
      <c r="EP58" s="2110"/>
      <c r="ES58" s="2084">
        <f t="shared" si="0"/>
        <v>0</v>
      </c>
      <c r="EU58" s="2084">
        <f t="shared" si="64"/>
        <v>55.254005500000005</v>
      </c>
      <c r="EV58" s="2084">
        <f t="shared" si="65"/>
        <v>215.42638099999996</v>
      </c>
      <c r="EW58" s="2084">
        <f t="shared" si="66"/>
        <v>2.5648671830958349</v>
      </c>
      <c r="FE58" s="2108"/>
      <c r="FF58" s="2108"/>
      <c r="FG58" s="2108"/>
      <c r="FH58" s="2108"/>
      <c r="FI58" s="2108"/>
      <c r="FJ58" s="2108"/>
      <c r="FK58" s="2108"/>
    </row>
    <row r="59" spans="1:167">
      <c r="A59" s="1760">
        <v>13</v>
      </c>
      <c r="B59" s="1761" t="s">
        <v>1689</v>
      </c>
      <c r="C59" s="2098">
        <v>1500</v>
      </c>
      <c r="D59" s="2099">
        <v>0.1</v>
      </c>
      <c r="E59" s="2100"/>
      <c r="F59" s="2099"/>
      <c r="G59" s="2101">
        <v>150</v>
      </c>
      <c r="H59" s="2102" t="s">
        <v>1649</v>
      </c>
      <c r="I59" s="2103">
        <v>1</v>
      </c>
      <c r="J59" s="2104"/>
      <c r="K59" s="2101"/>
      <c r="L59" s="2101"/>
      <c r="M59" s="2105"/>
      <c r="N59" s="2106">
        <v>0</v>
      </c>
      <c r="O59" s="2106">
        <f t="shared" si="128"/>
        <v>0</v>
      </c>
      <c r="P59" s="2106">
        <v>0</v>
      </c>
      <c r="Q59" s="2106">
        <f t="shared" si="129"/>
        <v>0</v>
      </c>
      <c r="R59" s="2106">
        <v>0</v>
      </c>
      <c r="S59" s="2106">
        <f t="shared" si="130"/>
        <v>0</v>
      </c>
      <c r="T59" s="2106">
        <v>0</v>
      </c>
      <c r="U59" s="2106"/>
      <c r="V59" s="2106">
        <f t="shared" si="131"/>
        <v>0</v>
      </c>
      <c r="W59" s="2106">
        <f t="shared" si="132"/>
        <v>0</v>
      </c>
      <c r="X59" s="2106">
        <v>133.12176099999999</v>
      </c>
      <c r="Y59" s="2106">
        <f t="shared" si="133"/>
        <v>1.1942862068959561</v>
      </c>
      <c r="Z59" s="2106">
        <v>15.8985483</v>
      </c>
      <c r="AA59" s="2106">
        <f t="shared" si="134"/>
        <v>2.2190000025615646</v>
      </c>
      <c r="AB59" s="2106">
        <v>29.539718799999999</v>
      </c>
      <c r="AC59" s="2106">
        <f t="shared" si="135"/>
        <v>2.7905798211308216E-2</v>
      </c>
      <c r="AD59" s="2106">
        <v>0.37148690000000001</v>
      </c>
      <c r="AE59" s="2106"/>
      <c r="AF59" s="2106">
        <f t="shared" si="136"/>
        <v>3.4411920076688292</v>
      </c>
      <c r="AG59" s="2106">
        <f t="shared" si="137"/>
        <v>45.809753999999998</v>
      </c>
      <c r="AH59" s="2106">
        <v>122.962609</v>
      </c>
      <c r="AI59" s="2106">
        <f t="shared" si="138"/>
        <v>1.292957951144319</v>
      </c>
      <c r="AJ59" s="2106">
        <v>15.8985483</v>
      </c>
      <c r="AK59" s="2106">
        <f t="shared" si="139"/>
        <v>2.3610000012280157</v>
      </c>
      <c r="AL59" s="2106">
        <v>29.031472000000001</v>
      </c>
      <c r="AM59" s="2106">
        <f t="shared" si="140"/>
        <v>1.568822437721698E-2</v>
      </c>
      <c r="AN59" s="2106">
        <v>0.19290650000000001</v>
      </c>
      <c r="AO59" s="2106">
        <v>0</v>
      </c>
      <c r="AP59" s="2106">
        <f t="shared" si="141"/>
        <v>3.6696461767495521</v>
      </c>
      <c r="AQ59" s="2106">
        <f t="shared" si="142"/>
        <v>45.122926800000002</v>
      </c>
      <c r="AR59" s="2106">
        <v>133.80996099999999</v>
      </c>
      <c r="AS59" s="2106">
        <f t="shared" si="143"/>
        <v>1.1881438557477795</v>
      </c>
      <c r="AT59" s="2106">
        <v>15.8985483</v>
      </c>
      <c r="AU59" s="2106">
        <f t="shared" si="144"/>
        <v>2.4720000030491009</v>
      </c>
      <c r="AV59" s="2106">
        <v>33.077822400000002</v>
      </c>
      <c r="AW59" s="2106">
        <f t="shared" si="145"/>
        <v>-0.11285548465259626</v>
      </c>
      <c r="AX59" s="2106">
        <v>-1.5101188000000001</v>
      </c>
      <c r="AY59" s="2106"/>
      <c r="AZ59" s="2106">
        <f t="shared" si="146"/>
        <v>3.547288374144284</v>
      </c>
      <c r="BA59" s="2106">
        <f t="shared" si="147"/>
        <v>47.466251900000003</v>
      </c>
      <c r="BB59" s="2106">
        <v>108.09453999999999</v>
      </c>
      <c r="BC59" s="2106">
        <f t="shared" si="148"/>
        <v>1.4708003105429748</v>
      </c>
      <c r="BD59" s="2106">
        <v>15.8985483</v>
      </c>
      <c r="BE59" s="2106">
        <f t="shared" si="149"/>
        <v>2.5499999999999998</v>
      </c>
      <c r="BF59" s="2106">
        <v>27.564107700000001</v>
      </c>
      <c r="BG59" s="2106">
        <f t="shared" si="150"/>
        <v>-3.2953699604068812E-2</v>
      </c>
      <c r="BH59" s="2106">
        <v>-0.35621150000000001</v>
      </c>
      <c r="BI59" s="2106"/>
      <c r="BJ59" s="2106">
        <f t="shared" si="151"/>
        <v>3.9878466109389059</v>
      </c>
      <c r="BK59" s="2106">
        <f t="shared" si="152"/>
        <v>43.106444500000002</v>
      </c>
      <c r="BL59" s="2106">
        <v>67.292615999999995</v>
      </c>
      <c r="BM59" s="2106">
        <f t="shared" si="153"/>
        <v>2.3625992337703146</v>
      </c>
      <c r="BN59" s="2106">
        <v>15.8985483</v>
      </c>
      <c r="BO59" s="2106">
        <f t="shared" si="154"/>
        <v>2.2770000054686532</v>
      </c>
      <c r="BP59" s="2106">
        <v>15.322528699999999</v>
      </c>
      <c r="BQ59" s="2106">
        <f t="shared" si="155"/>
        <v>-5.5204704777712908E-2</v>
      </c>
      <c r="BR59" s="2106">
        <v>-0.37148690000000001</v>
      </c>
      <c r="BS59" s="2106"/>
      <c r="BT59" s="2106">
        <f t="shared" si="156"/>
        <v>4.5843945344612553</v>
      </c>
      <c r="BU59" s="2106">
        <f t="shared" si="157"/>
        <v>30.8495901</v>
      </c>
      <c r="BV59" s="2106">
        <v>74.301505000000006</v>
      </c>
      <c r="BW59" s="2106">
        <f t="shared" si="158"/>
        <v>2.1221532861279186</v>
      </c>
      <c r="BX59" s="2106">
        <v>15.7679183</v>
      </c>
      <c r="BY59" s="2106">
        <f t="shared" si="159"/>
        <v>2.6470000035665491</v>
      </c>
      <c r="BZ59" s="2106">
        <v>19.667608399999999</v>
      </c>
      <c r="CA59" s="2106">
        <f t="shared" si="160"/>
        <v>0</v>
      </c>
      <c r="CB59" s="2106">
        <v>0</v>
      </c>
      <c r="CC59" s="2106"/>
      <c r="CD59" s="2106">
        <f t="shared" si="161"/>
        <v>4.7691532896944677</v>
      </c>
      <c r="CE59" s="2106">
        <f t="shared" si="162"/>
        <v>35.435526699999997</v>
      </c>
      <c r="CF59" s="2106">
        <v>62.141928999999998</v>
      </c>
      <c r="CG59" s="2106">
        <f t="shared" si="163"/>
        <v>2.5794465279634302</v>
      </c>
      <c r="CH59" s="2106">
        <v>16.029178300000002</v>
      </c>
      <c r="CI59" s="2106">
        <f t="shared" si="164"/>
        <v>2.5029999953815403</v>
      </c>
      <c r="CJ59" s="2106">
        <v>15.5541248</v>
      </c>
      <c r="CK59" s="2106">
        <f t="shared" si="165"/>
        <v>0</v>
      </c>
      <c r="CL59" s="2106">
        <v>0</v>
      </c>
      <c r="CM59" s="2106"/>
      <c r="CN59" s="2106">
        <f t="shared" si="166"/>
        <v>5.0824465233449709</v>
      </c>
      <c r="CO59" s="2106">
        <f t="shared" si="167"/>
        <v>31.583303100000002</v>
      </c>
      <c r="CP59" s="2106">
        <v>105.80147700000001</v>
      </c>
      <c r="CQ59" s="2106">
        <f t="shared" si="41"/>
        <v>1.5026773492018453</v>
      </c>
      <c r="CR59" s="2106">
        <v>15.8985483</v>
      </c>
      <c r="CS59" s="2106">
        <f t="shared" si="168"/>
        <v>2.5910000008790046</v>
      </c>
      <c r="CT59" s="2106">
        <v>27.413162700000001</v>
      </c>
      <c r="CU59" s="2106">
        <f t="shared" si="169"/>
        <v>0</v>
      </c>
      <c r="CV59" s="2106">
        <v>0</v>
      </c>
      <c r="CW59" s="2106"/>
      <c r="CX59" s="2106">
        <f t="shared" si="170"/>
        <v>4.0936773500808501</v>
      </c>
      <c r="CY59" s="2106">
        <f t="shared" si="171"/>
        <v>43.311711000000003</v>
      </c>
      <c r="CZ59" s="2106">
        <v>94.162499999999994</v>
      </c>
      <c r="DA59" s="2106">
        <f t="shared" si="46"/>
        <v>1.2895344654188243</v>
      </c>
      <c r="DB59" s="2106">
        <v>12.142578910000003</v>
      </c>
      <c r="DC59" s="2106">
        <v>2.3427204854140555</v>
      </c>
      <c r="DD59" s="2109">
        <f t="shared" si="47"/>
        <v>22.059641770780097</v>
      </c>
      <c r="DE59" s="2106"/>
      <c r="DF59" s="2106"/>
      <c r="DG59" s="2106"/>
      <c r="DH59" s="2106">
        <f t="shared" si="172"/>
        <v>3.6322549508328796</v>
      </c>
      <c r="DI59" s="2106">
        <f t="shared" si="173"/>
        <v>34.202220680780101</v>
      </c>
      <c r="DJ59" s="2106">
        <v>85.05</v>
      </c>
      <c r="DK59" s="2106">
        <f t="shared" si="50"/>
        <v>1.427698872427984</v>
      </c>
      <c r="DL59" s="2106">
        <v>12.142578910000003</v>
      </c>
      <c r="DM59" s="2106">
        <v>2.3427204854140555</v>
      </c>
      <c r="DN59" s="2109">
        <f t="shared" si="51"/>
        <v>19.924837728446541</v>
      </c>
      <c r="DO59" s="2106"/>
      <c r="DP59" s="2106"/>
      <c r="DQ59" s="2106"/>
      <c r="DR59" s="2106">
        <f t="shared" si="174"/>
        <v>3.77041935784204</v>
      </c>
      <c r="DS59" s="2106">
        <f t="shared" si="175"/>
        <v>32.067416638446545</v>
      </c>
      <c r="DT59" s="2106">
        <v>94.162499999999994</v>
      </c>
      <c r="DU59" s="2106">
        <f t="shared" si="54"/>
        <v>1.2895344654188243</v>
      </c>
      <c r="DV59" s="2106">
        <v>12.142578910000003</v>
      </c>
      <c r="DW59" s="2106">
        <v>2.3427204854140555</v>
      </c>
      <c r="DX59" s="2109">
        <f t="shared" si="55"/>
        <v>22.059641770780097</v>
      </c>
      <c r="DY59" s="2106"/>
      <c r="DZ59" s="2106"/>
      <c r="EA59" s="2106"/>
      <c r="EB59" s="2106">
        <f t="shared" si="176"/>
        <v>3.6322549508328796</v>
      </c>
      <c r="EC59" s="2106">
        <f t="shared" si="177"/>
        <v>34.202220680780101</v>
      </c>
      <c r="ED59" s="2106">
        <f t="shared" si="178"/>
        <v>1080.901398</v>
      </c>
      <c r="EE59" s="2107"/>
      <c r="EF59" s="2106">
        <f t="shared" si="179"/>
        <v>1.5137007263820748</v>
      </c>
      <c r="EG59" s="2106">
        <f t="shared" si="180"/>
        <v>163.61612313000001</v>
      </c>
      <c r="EH59" s="2106">
        <f t="shared" si="181"/>
        <v>2.4166373293006576</v>
      </c>
      <c r="EI59" s="2106">
        <f t="shared" si="182"/>
        <v>261.21466677000672</v>
      </c>
      <c r="EJ59" s="2106"/>
      <c r="EK59" s="2106">
        <f t="shared" si="183"/>
        <v>-1.6734238000000001</v>
      </c>
      <c r="EL59" s="2106"/>
      <c r="EM59" s="2106"/>
      <c r="EN59" s="2106">
        <f t="shared" si="184"/>
        <v>423.1573661000067</v>
      </c>
      <c r="EO59" s="2104">
        <f t="shared" si="185"/>
        <v>3.9148563123609419</v>
      </c>
      <c r="EP59" s="2110"/>
      <c r="ES59" s="2084">
        <f t="shared" si="0"/>
        <v>0</v>
      </c>
      <c r="EU59" s="2084">
        <f t="shared" si="64"/>
        <v>197.1705455</v>
      </c>
      <c r="EV59" s="2084">
        <f t="shared" si="65"/>
        <v>807.52639799999997</v>
      </c>
      <c r="EW59" s="2084">
        <f t="shared" si="66"/>
        <v>2.4416606811657444</v>
      </c>
      <c r="FE59" s="2108"/>
      <c r="FF59" s="2108"/>
      <c r="FG59" s="2108"/>
      <c r="FH59" s="2108"/>
      <c r="FI59" s="2108"/>
      <c r="FJ59" s="2108"/>
      <c r="FK59" s="2108"/>
    </row>
    <row r="60" spans="1:167">
      <c r="A60" s="1760">
        <v>14</v>
      </c>
      <c r="B60" s="1761" t="s">
        <v>1690</v>
      </c>
      <c r="C60" s="2098">
        <v>840</v>
      </c>
      <c r="D60" s="2099">
        <v>0.1</v>
      </c>
      <c r="E60" s="2100"/>
      <c r="F60" s="2099">
        <v>0.71609079007771737</v>
      </c>
      <c r="G60" s="2101">
        <v>84</v>
      </c>
      <c r="H60" s="2102" t="s">
        <v>1649</v>
      </c>
      <c r="I60" s="2103">
        <v>1</v>
      </c>
      <c r="J60" s="2104"/>
      <c r="K60" s="2101"/>
      <c r="L60" s="2101"/>
      <c r="M60" s="2105"/>
      <c r="N60" s="2106">
        <v>0</v>
      </c>
      <c r="O60" s="2106">
        <f t="shared" si="128"/>
        <v>0</v>
      </c>
      <c r="P60" s="2106">
        <v>0</v>
      </c>
      <c r="Q60" s="2106">
        <f t="shared" si="129"/>
        <v>0</v>
      </c>
      <c r="R60" s="2106">
        <v>0</v>
      </c>
      <c r="S60" s="2106">
        <f t="shared" si="130"/>
        <v>0</v>
      </c>
      <c r="T60" s="2106">
        <v>0</v>
      </c>
      <c r="U60" s="2106"/>
      <c r="V60" s="2106">
        <f t="shared" si="131"/>
        <v>0</v>
      </c>
      <c r="W60" s="2106">
        <f t="shared" si="132"/>
        <v>0</v>
      </c>
      <c r="X60" s="2106">
        <v>12.383022</v>
      </c>
      <c r="Y60" s="2106">
        <f t="shared" si="133"/>
        <v>3.7481210967726621</v>
      </c>
      <c r="Z60" s="2106">
        <v>4.6413066000000001</v>
      </c>
      <c r="AA60" s="2106">
        <f t="shared" si="134"/>
        <v>2.9619999867560596</v>
      </c>
      <c r="AB60" s="2106">
        <v>3.6678511</v>
      </c>
      <c r="AC60" s="2106">
        <f t="shared" si="135"/>
        <v>0</v>
      </c>
      <c r="AD60" s="2106">
        <v>0</v>
      </c>
      <c r="AE60" s="2106"/>
      <c r="AF60" s="2106">
        <f t="shared" si="136"/>
        <v>6.7101210835287217</v>
      </c>
      <c r="AG60" s="2106">
        <f t="shared" si="137"/>
        <v>8.3091577000000001</v>
      </c>
      <c r="AH60" s="2106">
        <v>162.71336099999999</v>
      </c>
      <c r="AI60" s="2106">
        <f t="shared" si="138"/>
        <v>0.28524434450100261</v>
      </c>
      <c r="AJ60" s="2106">
        <v>4.6413066000000001</v>
      </c>
      <c r="AK60" s="2106">
        <f t="shared" si="139"/>
        <v>3.0089999984697013</v>
      </c>
      <c r="AL60" s="2106">
        <v>48.960450299999998</v>
      </c>
      <c r="AM60" s="2106">
        <f t="shared" si="140"/>
        <v>0</v>
      </c>
      <c r="AN60" s="2106">
        <v>0</v>
      </c>
      <c r="AO60" s="2106">
        <v>0</v>
      </c>
      <c r="AP60" s="2106">
        <f t="shared" si="141"/>
        <v>3.2942443429707042</v>
      </c>
      <c r="AQ60" s="2106">
        <f t="shared" si="142"/>
        <v>53.601756899999998</v>
      </c>
      <c r="AR60" s="2106">
        <v>269.19251300000002</v>
      </c>
      <c r="AS60" s="2106">
        <f t="shared" si="143"/>
        <v>0.17241588736162214</v>
      </c>
      <c r="AT60" s="2106">
        <v>4.6413066000000001</v>
      </c>
      <c r="AU60" s="2106">
        <f t="shared" si="144"/>
        <v>3.1039999986923856</v>
      </c>
      <c r="AV60" s="2106">
        <v>83.557355999999999</v>
      </c>
      <c r="AW60" s="2106">
        <f t="shared" si="145"/>
        <v>7.1170500941829681E-2</v>
      </c>
      <c r="AX60" s="2106">
        <v>1.9158565999999999</v>
      </c>
      <c r="AY60" s="2106"/>
      <c r="AZ60" s="2106">
        <f t="shared" si="146"/>
        <v>3.3475863869958373</v>
      </c>
      <c r="BA60" s="2106">
        <f t="shared" si="147"/>
        <v>90.114519200000004</v>
      </c>
      <c r="BB60" s="2106">
        <v>126.258627</v>
      </c>
      <c r="BC60" s="2106">
        <f t="shared" si="148"/>
        <v>0.36760312624023705</v>
      </c>
      <c r="BD60" s="2106">
        <v>4.6413066000000001</v>
      </c>
      <c r="BE60" s="2106">
        <f t="shared" si="149"/>
        <v>3.1450000006732215</v>
      </c>
      <c r="BF60" s="2106">
        <v>39.7083382</v>
      </c>
      <c r="BG60" s="2106">
        <f t="shared" si="150"/>
        <v>0</v>
      </c>
      <c r="BH60" s="2106">
        <v>0</v>
      </c>
      <c r="BI60" s="2106"/>
      <c r="BJ60" s="2106">
        <f t="shared" si="151"/>
        <v>3.5126031269134583</v>
      </c>
      <c r="BK60" s="2106">
        <f t="shared" si="152"/>
        <v>44.3496448</v>
      </c>
      <c r="BL60" s="2106">
        <v>122.42505</v>
      </c>
      <c r="BM60" s="2106">
        <f t="shared" si="153"/>
        <v>0.37911412737834294</v>
      </c>
      <c r="BN60" s="2106">
        <v>4.6413066000000001</v>
      </c>
      <c r="BO60" s="2106">
        <f t="shared" si="154"/>
        <v>3.1879999967326942</v>
      </c>
      <c r="BP60" s="2106">
        <v>39.029105899999998</v>
      </c>
      <c r="BQ60" s="2106">
        <f t="shared" si="155"/>
        <v>0</v>
      </c>
      <c r="BR60" s="2106">
        <v>0</v>
      </c>
      <c r="BS60" s="2106"/>
      <c r="BT60" s="2106">
        <f t="shared" si="156"/>
        <v>3.5671141241110376</v>
      </c>
      <c r="BU60" s="2106">
        <f t="shared" si="157"/>
        <v>43.670412499999998</v>
      </c>
      <c r="BV60" s="2106">
        <v>0</v>
      </c>
      <c r="BW60" s="2106">
        <f t="shared" si="158"/>
        <v>0</v>
      </c>
      <c r="BX60" s="2106">
        <v>3.8618291999999999</v>
      </c>
      <c r="BY60" s="2106">
        <f t="shared" si="159"/>
        <v>0</v>
      </c>
      <c r="BZ60" s="2106">
        <v>0</v>
      </c>
      <c r="CA60" s="2106">
        <f t="shared" si="160"/>
        <v>0</v>
      </c>
      <c r="CB60" s="2106">
        <v>0</v>
      </c>
      <c r="CC60" s="2106"/>
      <c r="CD60" s="2106">
        <f t="shared" si="161"/>
        <v>0</v>
      </c>
      <c r="CE60" s="2106">
        <f t="shared" si="162"/>
        <v>3.8618291999999999</v>
      </c>
      <c r="CF60" s="2106">
        <v>0</v>
      </c>
      <c r="CG60" s="2106">
        <f t="shared" si="163"/>
        <v>0</v>
      </c>
      <c r="CH60" s="2106">
        <v>5.4207840999999997</v>
      </c>
      <c r="CI60" s="2106">
        <f t="shared" si="164"/>
        <v>0</v>
      </c>
      <c r="CJ60" s="2106">
        <v>0</v>
      </c>
      <c r="CK60" s="2106">
        <f t="shared" si="165"/>
        <v>0</v>
      </c>
      <c r="CL60" s="2106">
        <v>0</v>
      </c>
      <c r="CM60" s="2106"/>
      <c r="CN60" s="2106">
        <f t="shared" si="166"/>
        <v>0</v>
      </c>
      <c r="CO60" s="2106">
        <f t="shared" si="167"/>
        <v>5.4207840999999997</v>
      </c>
      <c r="CP60" s="2106">
        <v>1.326282</v>
      </c>
      <c r="CQ60" s="2106">
        <f t="shared" si="41"/>
        <v>34.994869869303812</v>
      </c>
      <c r="CR60" s="2106">
        <v>4.6413066000000001</v>
      </c>
      <c r="CS60" s="2106">
        <f t="shared" si="168"/>
        <v>3.3369999743644261</v>
      </c>
      <c r="CT60" s="2106">
        <v>0.44258029999999998</v>
      </c>
      <c r="CU60" s="2106">
        <f t="shared" si="169"/>
        <v>0</v>
      </c>
      <c r="CV60" s="2106">
        <v>0</v>
      </c>
      <c r="CW60" s="2106"/>
      <c r="CX60" s="2106">
        <f t="shared" si="170"/>
        <v>38.331869843668244</v>
      </c>
      <c r="CY60" s="2106">
        <f t="shared" si="171"/>
        <v>5.0838869000000004</v>
      </c>
      <c r="CZ60" s="2106">
        <v>15.314882000000003</v>
      </c>
      <c r="DA60" s="2106">
        <f t="shared" si="46"/>
        <v>2.9169389633560345</v>
      </c>
      <c r="DB60" s="2106">
        <v>4.4672576025000001</v>
      </c>
      <c r="DC60" s="2106">
        <v>3.2789943215285215</v>
      </c>
      <c r="DD60" s="2109">
        <f t="shared" si="47"/>
        <v>5.0217411112879375</v>
      </c>
      <c r="DE60" s="2106"/>
      <c r="DF60" s="2106"/>
      <c r="DG60" s="2106"/>
      <c r="DH60" s="2106">
        <f t="shared" si="172"/>
        <v>6.1959332848845561</v>
      </c>
      <c r="DI60" s="2106">
        <f t="shared" si="173"/>
        <v>9.4889987137879377</v>
      </c>
      <c r="DJ60" s="2106">
        <v>16.413826199999999</v>
      </c>
      <c r="DK60" s="2106">
        <f t="shared" si="50"/>
        <v>2.7216430514537802</v>
      </c>
      <c r="DL60" s="2106">
        <v>4.4672576025000001</v>
      </c>
      <c r="DM60" s="2106">
        <v>3.2789943215285215</v>
      </c>
      <c r="DN60" s="2109">
        <f t="shared" si="51"/>
        <v>5.382084290435607</v>
      </c>
      <c r="DO60" s="2106"/>
      <c r="DP60" s="2106"/>
      <c r="DQ60" s="2106"/>
      <c r="DR60" s="2106">
        <f t="shared" si="174"/>
        <v>6.0006373729823013</v>
      </c>
      <c r="DS60" s="2106">
        <f t="shared" si="175"/>
        <v>9.8493418929356071</v>
      </c>
      <c r="DT60" s="2106">
        <v>51.465456000000003</v>
      </c>
      <c r="DU60" s="2106">
        <f t="shared" si="54"/>
        <v>0.86801088530139514</v>
      </c>
      <c r="DV60" s="2106">
        <v>4.4672576025000001</v>
      </c>
      <c r="DW60" s="2106">
        <v>3.2789943215285215</v>
      </c>
      <c r="DX60" s="2109">
        <f t="shared" si="55"/>
        <v>16.8754937978876</v>
      </c>
      <c r="DY60" s="2106"/>
      <c r="DZ60" s="2106"/>
      <c r="EA60" s="2106"/>
      <c r="EB60" s="2106">
        <f t="shared" si="176"/>
        <v>4.1470052068299168</v>
      </c>
      <c r="EC60" s="2106">
        <f t="shared" si="177"/>
        <v>21.342751400387598</v>
      </c>
      <c r="ED60" s="2106">
        <f t="shared" si="178"/>
        <v>777.49301920000005</v>
      </c>
      <c r="EE60" s="2107"/>
      <c r="EF60" s="2106">
        <f t="shared" si="179"/>
        <v>0.64993799892242166</v>
      </c>
      <c r="EG60" s="2106">
        <f t="shared" si="180"/>
        <v>50.532225707499997</v>
      </c>
      <c r="EH60" s="2106">
        <f t="shared" si="181"/>
        <v>3.1208640464615387</v>
      </c>
      <c r="EI60" s="2106">
        <f t="shared" si="182"/>
        <v>242.64500099961111</v>
      </c>
      <c r="EJ60" s="2106"/>
      <c r="EK60" s="2106">
        <f t="shared" si="183"/>
        <v>1.9158565999999999</v>
      </c>
      <c r="EL60" s="2106"/>
      <c r="EM60" s="2106"/>
      <c r="EN60" s="2106">
        <f t="shared" si="184"/>
        <v>295.0930833071111</v>
      </c>
      <c r="EO60" s="2104">
        <f t="shared" si="185"/>
        <v>3.7954435090715872</v>
      </c>
      <c r="EP60" s="2110"/>
      <c r="ES60" s="2084">
        <f t="shared" si="0"/>
        <v>0</v>
      </c>
      <c r="EU60" s="2084">
        <f t="shared" si="64"/>
        <v>215.36568179999998</v>
      </c>
      <c r="EV60" s="2084">
        <f t="shared" si="65"/>
        <v>694.298855</v>
      </c>
      <c r="EW60" s="2084">
        <f t="shared" si="66"/>
        <v>3.1019161309145469</v>
      </c>
      <c r="FE60" s="2108"/>
      <c r="FF60" s="2108"/>
      <c r="FG60" s="2108"/>
      <c r="FH60" s="2108"/>
      <c r="FI60" s="2108"/>
      <c r="FJ60" s="2108"/>
      <c r="FK60" s="2108"/>
    </row>
    <row r="61" spans="1:167">
      <c r="A61" s="1760">
        <v>15</v>
      </c>
      <c r="B61" s="1761" t="s">
        <v>1691</v>
      </c>
      <c r="C61" s="2098">
        <v>980</v>
      </c>
      <c r="D61" s="2099">
        <v>0.1</v>
      </c>
      <c r="E61" s="2100"/>
      <c r="F61" s="2099">
        <v>0.81952475372992184</v>
      </c>
      <c r="G61" s="2101">
        <v>98</v>
      </c>
      <c r="H61" s="2102" t="s">
        <v>1649</v>
      </c>
      <c r="I61" s="2103">
        <v>1</v>
      </c>
      <c r="J61" s="2104"/>
      <c r="K61" s="2101"/>
      <c r="L61" s="2101"/>
      <c r="M61" s="2105"/>
      <c r="N61" s="2106">
        <v>0</v>
      </c>
      <c r="O61" s="2106">
        <f t="shared" si="128"/>
        <v>0</v>
      </c>
      <c r="P61" s="2106">
        <v>0</v>
      </c>
      <c r="Q61" s="2106">
        <f t="shared" si="129"/>
        <v>0</v>
      </c>
      <c r="R61" s="2106">
        <v>0</v>
      </c>
      <c r="S61" s="2106">
        <f t="shared" si="130"/>
        <v>0</v>
      </c>
      <c r="T61" s="2106">
        <v>0</v>
      </c>
      <c r="U61" s="2106"/>
      <c r="V61" s="2106">
        <f t="shared" si="131"/>
        <v>0</v>
      </c>
      <c r="W61" s="2106">
        <f t="shared" si="132"/>
        <v>0</v>
      </c>
      <c r="X61" s="2106">
        <v>20.707034</v>
      </c>
      <c r="Y61" s="2106">
        <f t="shared" si="133"/>
        <v>4.8098076721176</v>
      </c>
      <c r="Z61" s="2106">
        <v>9.9596850999999997</v>
      </c>
      <c r="AA61" s="2106">
        <f t="shared" si="134"/>
        <v>3.0649999898585185</v>
      </c>
      <c r="AB61" s="2106">
        <v>6.3467058999999999</v>
      </c>
      <c r="AC61" s="2106">
        <f t="shared" si="135"/>
        <v>0.16427635169768884</v>
      </c>
      <c r="AD61" s="2106">
        <v>0.34016760000000001</v>
      </c>
      <c r="AE61" s="2106"/>
      <c r="AF61" s="2106">
        <f t="shared" si="136"/>
        <v>8.0390840136738078</v>
      </c>
      <c r="AG61" s="2106">
        <f t="shared" si="137"/>
        <v>16.646558599999999</v>
      </c>
      <c r="AH61" s="2106">
        <v>15.121392999999999</v>
      </c>
      <c r="AI61" s="2106">
        <f t="shared" si="138"/>
        <v>6.5864865095431355</v>
      </c>
      <c r="AJ61" s="2106">
        <v>9.9596850999999997</v>
      </c>
      <c r="AK61" s="2106">
        <f t="shared" si="139"/>
        <v>3.1429999868398366</v>
      </c>
      <c r="AL61" s="2106">
        <v>4.7526538</v>
      </c>
      <c r="AM61" s="2106">
        <f t="shared" si="140"/>
        <v>8.3876597876928402E-2</v>
      </c>
      <c r="AN61" s="2106">
        <v>0.1268331</v>
      </c>
      <c r="AO61" s="2106">
        <v>0</v>
      </c>
      <c r="AP61" s="2106">
        <f t="shared" si="141"/>
        <v>9.8133630942599002</v>
      </c>
      <c r="AQ61" s="2106">
        <f t="shared" si="142"/>
        <v>14.839172</v>
      </c>
      <c r="AR61" s="2106">
        <v>116.12799200000001</v>
      </c>
      <c r="AS61" s="2106">
        <f t="shared" si="143"/>
        <v>0.87438319780815632</v>
      </c>
      <c r="AT61" s="2106">
        <v>10.1540365</v>
      </c>
      <c r="AU61" s="2106">
        <f t="shared" si="144"/>
        <v>3.0809999969688615</v>
      </c>
      <c r="AV61" s="2106">
        <v>35.779034299999999</v>
      </c>
      <c r="AW61" s="2106">
        <f t="shared" si="145"/>
        <v>0.14643453922806138</v>
      </c>
      <c r="AX61" s="2106">
        <v>1.7005148999999999</v>
      </c>
      <c r="AY61" s="2106"/>
      <c r="AZ61" s="2106">
        <f t="shared" si="146"/>
        <v>4.1018177340050794</v>
      </c>
      <c r="BA61" s="2106">
        <f t="shared" si="147"/>
        <v>47.633585699999998</v>
      </c>
      <c r="BB61" s="2106">
        <v>44.527166000000001</v>
      </c>
      <c r="BC61" s="2106">
        <f t="shared" si="148"/>
        <v>2.2804138264716869</v>
      </c>
      <c r="BD61" s="2106">
        <v>10.1540365</v>
      </c>
      <c r="BE61" s="2106">
        <f t="shared" si="149"/>
        <v>3.0120000001796656</v>
      </c>
      <c r="BF61" s="2106">
        <v>13.4115824</v>
      </c>
      <c r="BG61" s="2106">
        <f t="shared" si="150"/>
        <v>2.3156694948876826E-2</v>
      </c>
      <c r="BH61" s="2106">
        <v>0.1031102</v>
      </c>
      <c r="BI61" s="2106"/>
      <c r="BJ61" s="2106">
        <f t="shared" si="151"/>
        <v>5.3155705216002289</v>
      </c>
      <c r="BK61" s="2106">
        <f t="shared" si="152"/>
        <v>23.6687291</v>
      </c>
      <c r="BL61" s="2106">
        <v>30.44032</v>
      </c>
      <c r="BM61" s="2106">
        <f t="shared" si="153"/>
        <v>3.3357193682589408</v>
      </c>
      <c r="BN61" s="2106">
        <v>10.1540365</v>
      </c>
      <c r="BO61" s="2106">
        <f t="shared" si="154"/>
        <v>3.1490000105123732</v>
      </c>
      <c r="BP61" s="2106">
        <v>9.5856568000000006</v>
      </c>
      <c r="BQ61" s="2106">
        <f t="shared" si="155"/>
        <v>0.1285971698063621</v>
      </c>
      <c r="BR61" s="2106">
        <v>0.39145390000000002</v>
      </c>
      <c r="BS61" s="2106"/>
      <c r="BT61" s="2106">
        <f t="shared" si="156"/>
        <v>6.613316548577675</v>
      </c>
      <c r="BU61" s="2106">
        <f t="shared" si="157"/>
        <v>20.131147199999997</v>
      </c>
      <c r="BV61" s="2106">
        <v>30.554029</v>
      </c>
      <c r="BW61" s="2106">
        <f t="shared" si="158"/>
        <v>3.1567356959699162</v>
      </c>
      <c r="BX61" s="2106">
        <v>9.6450993999999994</v>
      </c>
      <c r="BY61" s="2106">
        <f t="shared" si="159"/>
        <v>3.3929999870066236</v>
      </c>
      <c r="BZ61" s="2106">
        <v>10.366982</v>
      </c>
      <c r="CA61" s="2106">
        <f t="shared" si="160"/>
        <v>-0.10827887870368913</v>
      </c>
      <c r="CB61" s="2106">
        <v>-0.33083560000000001</v>
      </c>
      <c r="CC61" s="2106"/>
      <c r="CD61" s="2106">
        <f t="shared" si="161"/>
        <v>6.4414568042728506</v>
      </c>
      <c r="CE61" s="2106">
        <f t="shared" si="162"/>
        <v>19.681245799999999</v>
      </c>
      <c r="CF61" s="2106">
        <v>1.1204160000000001</v>
      </c>
      <c r="CG61" s="2106">
        <f t="shared" si="163"/>
        <v>85.776278632222315</v>
      </c>
      <c r="CH61" s="2106">
        <v>9.6105114999999994</v>
      </c>
      <c r="CI61" s="2106">
        <f t="shared" si="164"/>
        <v>3.3720002213463567</v>
      </c>
      <c r="CJ61" s="2106">
        <v>0.37780429999999998</v>
      </c>
      <c r="CK61" s="2106">
        <f t="shared" si="165"/>
        <v>2.1838227943906547</v>
      </c>
      <c r="CL61" s="2106">
        <v>0.24467900000000001</v>
      </c>
      <c r="CM61" s="2106"/>
      <c r="CN61" s="2106">
        <f t="shared" si="166"/>
        <v>91.33210164795932</v>
      </c>
      <c r="CO61" s="2106">
        <f t="shared" si="167"/>
        <v>10.232994799999998</v>
      </c>
      <c r="CP61" s="2106">
        <v>11.044446000000001</v>
      </c>
      <c r="CQ61" s="2106">
        <f t="shared" si="41"/>
        <v>8.7016691466461964</v>
      </c>
      <c r="CR61" s="2106">
        <v>9.6105114999999994</v>
      </c>
      <c r="CS61" s="2106">
        <f t="shared" si="168"/>
        <v>3.3319999934808857</v>
      </c>
      <c r="CT61" s="2106">
        <v>3.6800093999999999</v>
      </c>
      <c r="CU61" s="2106">
        <f t="shared" si="169"/>
        <v>0.23876715952977634</v>
      </c>
      <c r="CV61" s="2106">
        <v>0.26370510000000003</v>
      </c>
      <c r="CW61" s="2106"/>
      <c r="CX61" s="2106">
        <f t="shared" si="170"/>
        <v>12.272436299656857</v>
      </c>
      <c r="CY61" s="2106">
        <f t="shared" si="171"/>
        <v>13.554225999999998</v>
      </c>
      <c r="CZ61" s="2106">
        <v>0</v>
      </c>
      <c r="DA61" s="2106">
        <f t="shared" si="46"/>
        <v>0</v>
      </c>
      <c r="DB61" s="2106">
        <v>9.4087895475000014</v>
      </c>
      <c r="DC61" s="2106">
        <v>3.7995732641917357</v>
      </c>
      <c r="DD61" s="2109">
        <f t="shared" si="47"/>
        <v>0</v>
      </c>
      <c r="DE61" s="2106"/>
      <c r="DF61" s="2106"/>
      <c r="DG61" s="2106"/>
      <c r="DH61" s="2106">
        <f t="shared" si="172"/>
        <v>0</v>
      </c>
      <c r="DI61" s="2106">
        <f t="shared" si="173"/>
        <v>9.4087895475000014</v>
      </c>
      <c r="DJ61" s="2106">
        <v>0</v>
      </c>
      <c r="DK61" s="2106">
        <f t="shared" si="50"/>
        <v>0</v>
      </c>
      <c r="DL61" s="2106">
        <v>9.4087895475000014</v>
      </c>
      <c r="DM61" s="2106">
        <v>3.7995732641917357</v>
      </c>
      <c r="DN61" s="2109">
        <f t="shared" si="51"/>
        <v>0</v>
      </c>
      <c r="DO61" s="2106"/>
      <c r="DP61" s="2106"/>
      <c r="DQ61" s="2106"/>
      <c r="DR61" s="2106">
        <f t="shared" si="174"/>
        <v>0</v>
      </c>
      <c r="DS61" s="2106">
        <f t="shared" si="175"/>
        <v>9.4087895475000014</v>
      </c>
      <c r="DT61" s="2106">
        <v>26.259111800000003</v>
      </c>
      <c r="DU61" s="2106">
        <f t="shared" si="54"/>
        <v>3.5830570428890134</v>
      </c>
      <c r="DV61" s="2106">
        <v>9.4087895475000014</v>
      </c>
      <c r="DW61" s="2106">
        <v>3.7995732641917357</v>
      </c>
      <c r="DX61" s="2109">
        <f t="shared" si="55"/>
        <v>9.9773419136701733</v>
      </c>
      <c r="DY61" s="2106"/>
      <c r="DZ61" s="2106"/>
      <c r="EA61" s="2106"/>
      <c r="EB61" s="2106">
        <f t="shared" si="176"/>
        <v>7.3826303070807491</v>
      </c>
      <c r="EC61" s="2106">
        <f t="shared" si="177"/>
        <v>19.386131461170173</v>
      </c>
      <c r="ED61" s="2106">
        <f t="shared" si="178"/>
        <v>295.9019078</v>
      </c>
      <c r="EE61" s="2107"/>
      <c r="EF61" s="2106">
        <f t="shared" si="179"/>
        <v>3.6320810346089969</v>
      </c>
      <c r="EG61" s="2106">
        <f t="shared" si="180"/>
        <v>107.47397074250001</v>
      </c>
      <c r="EH61" s="2106">
        <f t="shared" si="181"/>
        <v>3.1861156798418637</v>
      </c>
      <c r="EI61" s="2106">
        <f t="shared" si="182"/>
        <v>94.277770813670159</v>
      </c>
      <c r="EJ61" s="2106"/>
      <c r="EK61" s="2106">
        <f t="shared" si="183"/>
        <v>2.8396282000000004</v>
      </c>
      <c r="EL61" s="2106"/>
      <c r="EM61" s="2106"/>
      <c r="EN61" s="2106">
        <f t="shared" si="184"/>
        <v>204.59136975617017</v>
      </c>
      <c r="EO61" s="2104">
        <f t="shared" si="185"/>
        <v>6.9141619017358078</v>
      </c>
      <c r="EP61" s="2110"/>
      <c r="ES61" s="2084">
        <f t="shared" si="0"/>
        <v>0</v>
      </c>
      <c r="EU61" s="2084">
        <f t="shared" si="64"/>
        <v>84.300428899999986</v>
      </c>
      <c r="EV61" s="2084">
        <f t="shared" si="65"/>
        <v>269.64279599999998</v>
      </c>
      <c r="EW61" s="2084">
        <f t="shared" si="66"/>
        <v>3.1263742310400904</v>
      </c>
      <c r="FE61" s="2108"/>
      <c r="FF61" s="2108"/>
      <c r="FG61" s="2108"/>
      <c r="FH61" s="2108"/>
      <c r="FI61" s="2108"/>
      <c r="FJ61" s="2108"/>
      <c r="FK61" s="2108"/>
    </row>
    <row r="62" spans="1:167">
      <c r="A62" s="1760">
        <v>16</v>
      </c>
      <c r="B62" s="1761" t="s">
        <v>1692</v>
      </c>
      <c r="C62" s="2098">
        <v>1000</v>
      </c>
      <c r="D62" s="2099">
        <v>0.32600000000000001</v>
      </c>
      <c r="E62" s="2100"/>
      <c r="F62" s="2099">
        <v>0.91293362710670045</v>
      </c>
      <c r="G62" s="2101">
        <v>325.7</v>
      </c>
      <c r="H62" s="2102" t="s">
        <v>1649</v>
      </c>
      <c r="I62" s="2103">
        <v>2</v>
      </c>
      <c r="J62" s="2104"/>
      <c r="K62" s="2101"/>
      <c r="L62" s="2101"/>
      <c r="M62" s="2105"/>
      <c r="N62" s="2106">
        <v>0</v>
      </c>
      <c r="O62" s="2106">
        <f t="shared" si="128"/>
        <v>0</v>
      </c>
      <c r="P62" s="2106">
        <v>0</v>
      </c>
      <c r="Q62" s="2106">
        <f t="shared" si="129"/>
        <v>0</v>
      </c>
      <c r="R62" s="2106">
        <v>0</v>
      </c>
      <c r="S62" s="2106">
        <f t="shared" si="130"/>
        <v>0</v>
      </c>
      <c r="T62" s="2106">
        <v>0</v>
      </c>
      <c r="U62" s="2106"/>
      <c r="V62" s="2106">
        <f t="shared" si="131"/>
        <v>0</v>
      </c>
      <c r="W62" s="2106">
        <f t="shared" si="132"/>
        <v>0</v>
      </c>
      <c r="X62" s="2106">
        <v>206.99230600000001</v>
      </c>
      <c r="Y62" s="2106">
        <f t="shared" si="133"/>
        <v>0.80199475143776611</v>
      </c>
      <c r="Z62" s="2106">
        <v>16.600674300000001</v>
      </c>
      <c r="AA62" s="2106">
        <f t="shared" si="134"/>
        <v>1.329000006406035</v>
      </c>
      <c r="AB62" s="2106">
        <v>27.509277600000001</v>
      </c>
      <c r="AC62" s="2106">
        <f t="shared" si="135"/>
        <v>1.4386486423316622E-2</v>
      </c>
      <c r="AD62" s="2106">
        <v>0.29778919999999998</v>
      </c>
      <c r="AE62" s="2106"/>
      <c r="AF62" s="2106">
        <f t="shared" si="136"/>
        <v>2.1453812442671176</v>
      </c>
      <c r="AG62" s="2106">
        <f t="shared" si="137"/>
        <v>44.407741099999996</v>
      </c>
      <c r="AH62" s="2106">
        <v>193.21181100000001</v>
      </c>
      <c r="AI62" s="2106">
        <f t="shared" si="138"/>
        <v>0.85919562650339221</v>
      </c>
      <c r="AJ62" s="2106">
        <v>16.600674300000001</v>
      </c>
      <c r="AK62" s="2106">
        <f t="shared" si="139"/>
        <v>1.353999999513487</v>
      </c>
      <c r="AL62" s="2106">
        <v>26.1608792</v>
      </c>
      <c r="AM62" s="2106">
        <f t="shared" si="140"/>
        <v>5.7505283670261746E-3</v>
      </c>
      <c r="AN62" s="2106">
        <v>0.111107</v>
      </c>
      <c r="AO62" s="2106">
        <v>0</v>
      </c>
      <c r="AP62" s="2106">
        <f t="shared" si="141"/>
        <v>2.2189461543839055</v>
      </c>
      <c r="AQ62" s="2106">
        <f t="shared" si="142"/>
        <v>42.872660500000002</v>
      </c>
      <c r="AR62" s="2106">
        <v>179.120811</v>
      </c>
      <c r="AS62" s="2106">
        <f t="shared" si="143"/>
        <v>0.93270326360905098</v>
      </c>
      <c r="AT62" s="2106">
        <v>16.706656500000001</v>
      </c>
      <c r="AU62" s="2106">
        <f t="shared" si="144"/>
        <v>1.4269999983419013</v>
      </c>
      <c r="AV62" s="2106">
        <v>25.5605397</v>
      </c>
      <c r="AW62" s="2106">
        <f t="shared" si="145"/>
        <v>5.1075583841567131E-4</v>
      </c>
      <c r="AX62" s="2106">
        <v>9.1486999999999992E-3</v>
      </c>
      <c r="AY62" s="2106"/>
      <c r="AZ62" s="2106">
        <f t="shared" si="146"/>
        <v>2.3602140177893678</v>
      </c>
      <c r="BA62" s="2106">
        <f t="shared" si="147"/>
        <v>42.276344899999998</v>
      </c>
      <c r="BB62" s="2106">
        <v>157.682658</v>
      </c>
      <c r="BC62" s="2106">
        <f t="shared" si="148"/>
        <v>0.94994540870816613</v>
      </c>
      <c r="BD62" s="2106">
        <v>14.9789917</v>
      </c>
      <c r="BE62" s="2106">
        <f t="shared" si="149"/>
        <v>1.4469999992009266</v>
      </c>
      <c r="BF62" s="2106">
        <v>22.816680600000002</v>
      </c>
      <c r="BG62" s="2106">
        <f t="shared" si="150"/>
        <v>-1.8932773190568617E-3</v>
      </c>
      <c r="BH62" s="2106">
        <v>-2.98537E-2</v>
      </c>
      <c r="BI62" s="2106"/>
      <c r="BJ62" s="2106">
        <f t="shared" si="151"/>
        <v>2.3950521305900363</v>
      </c>
      <c r="BK62" s="2106">
        <f t="shared" si="152"/>
        <v>37.765818600000003</v>
      </c>
      <c r="BL62" s="2106">
        <v>215.268202</v>
      </c>
      <c r="BM62" s="2106">
        <f t="shared" si="153"/>
        <v>0.77608566173651616</v>
      </c>
      <c r="BN62" s="2106">
        <v>16.706656500000001</v>
      </c>
      <c r="BO62" s="2106">
        <f t="shared" si="154"/>
        <v>1.4300000006503515</v>
      </c>
      <c r="BP62" s="2106">
        <v>30.783352900000001</v>
      </c>
      <c r="BQ62" s="2106">
        <f t="shared" si="155"/>
        <v>4.7566481741692632E-2</v>
      </c>
      <c r="BR62" s="2106">
        <v>1.0239551</v>
      </c>
      <c r="BS62" s="2106"/>
      <c r="BT62" s="2106">
        <f t="shared" si="156"/>
        <v>2.2536521441285604</v>
      </c>
      <c r="BU62" s="2106">
        <f t="shared" si="157"/>
        <v>48.513964500000007</v>
      </c>
      <c r="BV62" s="2106">
        <v>174.61140399999999</v>
      </c>
      <c r="BW62" s="2106">
        <f t="shared" si="158"/>
        <v>0.94134077863551224</v>
      </c>
      <c r="BX62" s="2106">
        <v>16.4368835</v>
      </c>
      <c r="BY62" s="2106">
        <f t="shared" si="159"/>
        <v>1.4800000004581604</v>
      </c>
      <c r="BZ62" s="2106">
        <v>25.842487800000001</v>
      </c>
      <c r="CA62" s="2106">
        <f t="shared" si="160"/>
        <v>-6.558893484414112E-2</v>
      </c>
      <c r="CB62" s="2106">
        <v>-1.1452576000000001</v>
      </c>
      <c r="CC62" s="2106"/>
      <c r="CD62" s="2106">
        <f t="shared" si="161"/>
        <v>2.3557518442495313</v>
      </c>
      <c r="CE62" s="2106">
        <f t="shared" si="162"/>
        <v>41.1341137</v>
      </c>
      <c r="CF62" s="2106">
        <v>213.71569299999999</v>
      </c>
      <c r="CG62" s="2106">
        <f t="shared" si="163"/>
        <v>0.7681988051293922</v>
      </c>
      <c r="CH62" s="2106">
        <v>16.417614</v>
      </c>
      <c r="CI62" s="2106">
        <f t="shared" si="164"/>
        <v>1.460000001029405</v>
      </c>
      <c r="CJ62" s="2106">
        <v>31.202491200000001</v>
      </c>
      <c r="CK62" s="2106">
        <f t="shared" si="165"/>
        <v>4.8171418090481553E-2</v>
      </c>
      <c r="CL62" s="2106">
        <v>1.0294988</v>
      </c>
      <c r="CM62" s="2106"/>
      <c r="CN62" s="2106">
        <f t="shared" si="166"/>
        <v>2.2763702242492787</v>
      </c>
      <c r="CO62" s="2106">
        <f t="shared" si="167"/>
        <v>48.649603999999997</v>
      </c>
      <c r="CP62" s="2106">
        <v>209.64156500000001</v>
      </c>
      <c r="CQ62" s="2106">
        <f t="shared" si="41"/>
        <v>0.78312781151008859</v>
      </c>
      <c r="CR62" s="2106">
        <v>16.417614</v>
      </c>
      <c r="CS62" s="2106">
        <f t="shared" si="168"/>
        <v>1.506000000524705</v>
      </c>
      <c r="CT62" s="2106">
        <v>31.572019699999998</v>
      </c>
      <c r="CU62" s="2106">
        <f t="shared" si="169"/>
        <v>2.800923566850877E-2</v>
      </c>
      <c r="CV62" s="2106">
        <v>0.58718999999999999</v>
      </c>
      <c r="CW62" s="2106"/>
      <c r="CX62" s="2106">
        <f t="shared" si="170"/>
        <v>2.3171370477033024</v>
      </c>
      <c r="CY62" s="2106">
        <f t="shared" si="171"/>
        <v>48.576823699999998</v>
      </c>
      <c r="CZ62" s="2106">
        <v>191.49049580000002</v>
      </c>
      <c r="DA62" s="2106">
        <f t="shared" si="46"/>
        <v>0.78787812559415804</v>
      </c>
      <c r="DB62" s="2106">
        <v>15.087117290000002</v>
      </c>
      <c r="DC62" s="2106">
        <v>1.5400612691324875</v>
      </c>
      <c r="DD62" s="2109">
        <f t="shared" si="47"/>
        <v>29.490709598855734</v>
      </c>
      <c r="DE62" s="2106"/>
      <c r="DF62" s="2106"/>
      <c r="DG62" s="2106"/>
      <c r="DH62" s="2106">
        <f t="shared" si="172"/>
        <v>2.3279393947266462</v>
      </c>
      <c r="DI62" s="2106">
        <f t="shared" si="173"/>
        <v>44.577826888855739</v>
      </c>
      <c r="DJ62" s="2106">
        <v>174.59051620000002</v>
      </c>
      <c r="DK62" s="2106">
        <f t="shared" si="50"/>
        <v>0.8641430026312048</v>
      </c>
      <c r="DL62" s="2106">
        <v>15.087117290000002</v>
      </c>
      <c r="DM62" s="2106">
        <v>1.5400612691324875</v>
      </c>
      <c r="DN62" s="2109">
        <f t="shared" si="51"/>
        <v>26.888009195746815</v>
      </c>
      <c r="DO62" s="2106"/>
      <c r="DP62" s="2106"/>
      <c r="DQ62" s="2106"/>
      <c r="DR62" s="2106">
        <f t="shared" si="174"/>
        <v>2.404204271763692</v>
      </c>
      <c r="DS62" s="2106">
        <f t="shared" si="175"/>
        <v>41.975126485746813</v>
      </c>
      <c r="DT62" s="2106">
        <v>209.13102119999999</v>
      </c>
      <c r="DU62" s="2106">
        <f t="shared" si="54"/>
        <v>0.72141938596338673</v>
      </c>
      <c r="DV62" s="2106">
        <v>15.087117290000002</v>
      </c>
      <c r="DW62" s="2106">
        <v>1.5400612691324875</v>
      </c>
      <c r="DX62" s="2109">
        <f t="shared" si="55"/>
        <v>32.207458592424516</v>
      </c>
      <c r="DY62" s="2106"/>
      <c r="DZ62" s="2106"/>
      <c r="EA62" s="2106"/>
      <c r="EB62" s="2106">
        <f t="shared" si="176"/>
        <v>2.2614806550958741</v>
      </c>
      <c r="EC62" s="2106">
        <f t="shared" si="177"/>
        <v>47.294575882424517</v>
      </c>
      <c r="ED62" s="2106">
        <f t="shared" si="178"/>
        <v>2125.4564831999996</v>
      </c>
      <c r="EE62" s="2107"/>
      <c r="EF62" s="2106">
        <f t="shared" si="179"/>
        <v>0.82865548206769346</v>
      </c>
      <c r="EG62" s="2106">
        <f t="shared" si="180"/>
        <v>176.12711667000002</v>
      </c>
      <c r="EH62" s="2106">
        <f t="shared" si="181"/>
        <v>1.4586697424181219</v>
      </c>
      <c r="EI62" s="2106">
        <f t="shared" si="182"/>
        <v>310.03390608702705</v>
      </c>
      <c r="EJ62" s="2106"/>
      <c r="EK62" s="2106">
        <f t="shared" si="183"/>
        <v>1.8835774999999999</v>
      </c>
      <c r="EL62" s="2106"/>
      <c r="EM62" s="2106"/>
      <c r="EN62" s="2106">
        <f t="shared" si="184"/>
        <v>488.04460025702707</v>
      </c>
      <c r="EO62" s="2104">
        <f t="shared" si="185"/>
        <v>2.2961872149094638</v>
      </c>
      <c r="EP62" s="2110"/>
      <c r="ES62" s="2084">
        <f t="shared" si="0"/>
        <v>0</v>
      </c>
      <c r="EU62" s="2084">
        <f t="shared" si="64"/>
        <v>221.44772869999997</v>
      </c>
      <c r="EV62" s="2084">
        <f t="shared" si="65"/>
        <v>1550.2444499999997</v>
      </c>
      <c r="EW62" s="2084">
        <f t="shared" si="66"/>
        <v>1.428469740369011</v>
      </c>
      <c r="FE62" s="2108"/>
      <c r="FF62" s="2108"/>
      <c r="FG62" s="2108"/>
      <c r="FH62" s="2108"/>
      <c r="FI62" s="2108"/>
      <c r="FJ62" s="2108"/>
      <c r="FK62" s="2108"/>
    </row>
    <row r="63" spans="1:167">
      <c r="A63" s="1760">
        <v>17</v>
      </c>
      <c r="B63" s="1761" t="s">
        <v>1693</v>
      </c>
      <c r="C63" s="2098">
        <v>1000</v>
      </c>
      <c r="D63" s="2099">
        <v>0.29599999999999999</v>
      </c>
      <c r="E63" s="2100"/>
      <c r="F63" s="2099">
        <v>0.99732956445975562</v>
      </c>
      <c r="G63" s="2101">
        <v>296</v>
      </c>
      <c r="H63" s="2102" t="s">
        <v>1649</v>
      </c>
      <c r="I63" s="2103">
        <v>2</v>
      </c>
      <c r="J63" s="2104"/>
      <c r="K63" s="2101"/>
      <c r="L63" s="2101"/>
      <c r="M63" s="2105"/>
      <c r="N63" s="2106">
        <v>0</v>
      </c>
      <c r="O63" s="2106">
        <f t="shared" si="128"/>
        <v>0</v>
      </c>
      <c r="P63" s="2106">
        <v>0</v>
      </c>
      <c r="Q63" s="2106">
        <f t="shared" si="129"/>
        <v>0</v>
      </c>
      <c r="R63" s="2106">
        <v>0</v>
      </c>
      <c r="S63" s="2106">
        <f t="shared" si="130"/>
        <v>0</v>
      </c>
      <c r="T63" s="2106">
        <v>0</v>
      </c>
      <c r="U63" s="2106"/>
      <c r="V63" s="2106">
        <f t="shared" si="131"/>
        <v>0</v>
      </c>
      <c r="W63" s="2106">
        <f t="shared" si="132"/>
        <v>0</v>
      </c>
      <c r="X63" s="2106">
        <v>93.535021</v>
      </c>
      <c r="Y63" s="2106">
        <f t="shared" si="133"/>
        <v>0.76559924009639124</v>
      </c>
      <c r="Z63" s="2106">
        <v>7.1610341000000002</v>
      </c>
      <c r="AA63" s="2106">
        <f t="shared" si="134"/>
        <v>1.3260000016464422</v>
      </c>
      <c r="AB63" s="2106">
        <v>12.4027438</v>
      </c>
      <c r="AC63" s="2106">
        <f t="shared" si="135"/>
        <v>0</v>
      </c>
      <c r="AD63" s="2106">
        <v>0</v>
      </c>
      <c r="AE63" s="2106"/>
      <c r="AF63" s="2106">
        <f t="shared" si="136"/>
        <v>2.0915992417428333</v>
      </c>
      <c r="AG63" s="2106">
        <f t="shared" si="137"/>
        <v>19.563777899999998</v>
      </c>
      <c r="AH63" s="2106">
        <v>112.33008100000001</v>
      </c>
      <c r="AI63" s="2106">
        <f t="shared" si="138"/>
        <v>0.76234503026842826</v>
      </c>
      <c r="AJ63" s="2106">
        <v>8.5634279000000006</v>
      </c>
      <c r="AK63" s="2106">
        <f t="shared" si="139"/>
        <v>1.3509999872607588</v>
      </c>
      <c r="AL63" s="2106">
        <v>15.175793799999999</v>
      </c>
      <c r="AM63" s="2106">
        <f t="shared" si="140"/>
        <v>0</v>
      </c>
      <c r="AN63" s="2106">
        <v>0</v>
      </c>
      <c r="AO63" s="2106">
        <v>0</v>
      </c>
      <c r="AP63" s="2106">
        <f t="shared" si="141"/>
        <v>2.1133450175291872</v>
      </c>
      <c r="AQ63" s="2106">
        <f t="shared" si="142"/>
        <v>23.739221700000002</v>
      </c>
      <c r="AR63" s="2106">
        <v>181.426987</v>
      </c>
      <c r="AS63" s="2106">
        <f t="shared" si="143"/>
        <v>0.79764271232702555</v>
      </c>
      <c r="AT63" s="2106">
        <v>14.4713914</v>
      </c>
      <c r="AU63" s="2106">
        <f t="shared" si="144"/>
        <v>1.4239999973102127</v>
      </c>
      <c r="AV63" s="2106">
        <v>25.835202899999999</v>
      </c>
      <c r="AW63" s="2106">
        <f t="shared" si="145"/>
        <v>7.8742882942767489E-2</v>
      </c>
      <c r="AX63" s="2106">
        <v>1.4286083999999999</v>
      </c>
      <c r="AY63" s="2106"/>
      <c r="AZ63" s="2106">
        <f t="shared" si="146"/>
        <v>2.3003855925800059</v>
      </c>
      <c r="BA63" s="2106">
        <f t="shared" si="147"/>
        <v>41.735202700000002</v>
      </c>
      <c r="BB63" s="2106">
        <v>182.91885099999999</v>
      </c>
      <c r="BC63" s="2106">
        <f t="shared" si="148"/>
        <v>0.72658307918192655</v>
      </c>
      <c r="BD63" s="2106">
        <v>13.2905742</v>
      </c>
      <c r="BE63" s="2106">
        <f t="shared" si="149"/>
        <v>1.4440000008528373</v>
      </c>
      <c r="BF63" s="2106">
        <v>26.4134821</v>
      </c>
      <c r="BG63" s="2106">
        <f t="shared" si="150"/>
        <v>0</v>
      </c>
      <c r="BH63" s="2106">
        <v>0</v>
      </c>
      <c r="BI63" s="2106"/>
      <c r="BJ63" s="2106">
        <f t="shared" si="151"/>
        <v>2.1705830800347634</v>
      </c>
      <c r="BK63" s="2106">
        <f t="shared" si="152"/>
        <v>39.704056299999998</v>
      </c>
      <c r="BL63" s="2106">
        <v>101.37364100000001</v>
      </c>
      <c r="BM63" s="2106">
        <f t="shared" si="153"/>
        <v>0.77539202720360012</v>
      </c>
      <c r="BN63" s="2106">
        <v>7.8604313000000001</v>
      </c>
      <c r="BO63" s="2106">
        <f t="shared" si="154"/>
        <v>1.4259999993489432</v>
      </c>
      <c r="BP63" s="2106">
        <v>14.4558812</v>
      </c>
      <c r="BQ63" s="2106">
        <f t="shared" si="155"/>
        <v>0</v>
      </c>
      <c r="BR63" s="2106">
        <v>0</v>
      </c>
      <c r="BS63" s="2106"/>
      <c r="BT63" s="2106">
        <f t="shared" si="156"/>
        <v>2.2013920265525435</v>
      </c>
      <c r="BU63" s="2106">
        <f t="shared" si="157"/>
        <v>22.316312500000002</v>
      </c>
      <c r="BV63" s="2106">
        <v>114.65455799999999</v>
      </c>
      <c r="BW63" s="2106">
        <f t="shared" si="158"/>
        <v>1.0032519073511235</v>
      </c>
      <c r="BX63" s="2106">
        <v>11.5027404</v>
      </c>
      <c r="BY63" s="2106">
        <f t="shared" si="159"/>
        <v>1.4769999985521729</v>
      </c>
      <c r="BZ63" s="2106">
        <v>16.934478200000001</v>
      </c>
      <c r="CA63" s="2106">
        <f t="shared" si="160"/>
        <v>0</v>
      </c>
      <c r="CB63" s="2106">
        <v>0</v>
      </c>
      <c r="CC63" s="2106"/>
      <c r="CD63" s="2106">
        <f t="shared" si="161"/>
        <v>2.4802519059032964</v>
      </c>
      <c r="CE63" s="2106">
        <f t="shared" si="162"/>
        <v>28.437218600000001</v>
      </c>
      <c r="CF63" s="2106">
        <v>183.45440199999999</v>
      </c>
      <c r="CG63" s="2106">
        <f t="shared" si="163"/>
        <v>0.78425097153024437</v>
      </c>
      <c r="CH63" s="2106">
        <v>14.387429300000001</v>
      </c>
      <c r="CI63" s="2106">
        <f t="shared" si="164"/>
        <v>1.4570000015589704</v>
      </c>
      <c r="CJ63" s="2106">
        <v>26.729306399999999</v>
      </c>
      <c r="CK63" s="2106">
        <f t="shared" si="165"/>
        <v>0</v>
      </c>
      <c r="CL63" s="2106">
        <v>0</v>
      </c>
      <c r="CM63" s="2106"/>
      <c r="CN63" s="2106">
        <f t="shared" si="166"/>
        <v>2.2412509730892149</v>
      </c>
      <c r="CO63" s="2106">
        <f t="shared" si="167"/>
        <v>41.1167357</v>
      </c>
      <c r="CP63" s="2106">
        <v>198.39675</v>
      </c>
      <c r="CQ63" s="2106">
        <f t="shared" si="41"/>
        <v>0.76017884869585828</v>
      </c>
      <c r="CR63" s="2106">
        <v>15.081701300000001</v>
      </c>
      <c r="CS63" s="2106">
        <f t="shared" si="168"/>
        <v>1.5020000025202027</v>
      </c>
      <c r="CT63" s="2106">
        <v>29.7991919</v>
      </c>
      <c r="CU63" s="2106">
        <f t="shared" si="169"/>
        <v>0</v>
      </c>
      <c r="CV63" s="2106">
        <v>0</v>
      </c>
      <c r="CW63" s="2106"/>
      <c r="CX63" s="2106">
        <f t="shared" si="170"/>
        <v>2.2621788512160608</v>
      </c>
      <c r="CY63" s="2106">
        <f t="shared" si="171"/>
        <v>44.880893200000003</v>
      </c>
      <c r="CZ63" s="2106">
        <v>185.81399999999999</v>
      </c>
      <c r="DA63" s="2106">
        <f t="shared" si="46"/>
        <v>0.66666997555351037</v>
      </c>
      <c r="DB63" s="2106">
        <v>12.387661483749996</v>
      </c>
      <c r="DC63" s="2106">
        <v>1.500415326621708</v>
      </c>
      <c r="DD63" s="2109">
        <f t="shared" si="47"/>
        <v>27.879817350088604</v>
      </c>
      <c r="DE63" s="2106"/>
      <c r="DF63" s="2106"/>
      <c r="DG63" s="2106"/>
      <c r="DH63" s="2106">
        <f t="shared" si="172"/>
        <v>2.1670853021752183</v>
      </c>
      <c r="DI63" s="2106">
        <f t="shared" si="173"/>
        <v>40.267478833838602</v>
      </c>
      <c r="DJ63" s="2106">
        <v>167.83199999999999</v>
      </c>
      <c r="DK63" s="2106">
        <f t="shared" si="50"/>
        <v>0.73809890150567214</v>
      </c>
      <c r="DL63" s="2106">
        <v>12.387661483749996</v>
      </c>
      <c r="DM63" s="2106">
        <v>1.500415326621708</v>
      </c>
      <c r="DN63" s="2109">
        <f t="shared" si="51"/>
        <v>25.181770509757449</v>
      </c>
      <c r="DO63" s="2106"/>
      <c r="DP63" s="2106"/>
      <c r="DQ63" s="2106"/>
      <c r="DR63" s="2106">
        <f t="shared" si="174"/>
        <v>2.23851422812738</v>
      </c>
      <c r="DS63" s="2106">
        <f t="shared" si="175"/>
        <v>37.569431993507443</v>
      </c>
      <c r="DT63" s="2106">
        <v>185.81399999999999</v>
      </c>
      <c r="DU63" s="2106">
        <f t="shared" si="54"/>
        <v>0.66666997555351037</v>
      </c>
      <c r="DV63" s="2106">
        <v>12.387661483749996</v>
      </c>
      <c r="DW63" s="2106">
        <v>1.500415326621708</v>
      </c>
      <c r="DX63" s="2109">
        <f t="shared" si="55"/>
        <v>27.879817350088604</v>
      </c>
      <c r="DY63" s="2106"/>
      <c r="DZ63" s="2106"/>
      <c r="EA63" s="2106"/>
      <c r="EB63" s="2106">
        <f t="shared" si="176"/>
        <v>2.1670853021752183</v>
      </c>
      <c r="EC63" s="2106">
        <f t="shared" si="177"/>
        <v>40.267478833838602</v>
      </c>
      <c r="ED63" s="2106">
        <f t="shared" si="178"/>
        <v>1707.5502910000002</v>
      </c>
      <c r="EE63" s="2107"/>
      <c r="EF63" s="2106">
        <f t="shared" si="179"/>
        <v>0.75828931676982136</v>
      </c>
      <c r="EG63" s="2106">
        <f t="shared" si="180"/>
        <v>129.48171435124999</v>
      </c>
      <c r="EH63" s="2106">
        <f t="shared" si="181"/>
        <v>1.456399186722019</v>
      </c>
      <c r="EI63" s="2106">
        <f t="shared" si="182"/>
        <v>248.68748550993467</v>
      </c>
      <c r="EJ63" s="2106"/>
      <c r="EK63" s="2106">
        <f t="shared" si="183"/>
        <v>1.4286083999999999</v>
      </c>
      <c r="EL63" s="2106"/>
      <c r="EM63" s="2106"/>
      <c r="EN63" s="2106">
        <f t="shared" si="184"/>
        <v>379.59780826118464</v>
      </c>
      <c r="EO63" s="2104">
        <f t="shared" si="185"/>
        <v>2.2230549241327417</v>
      </c>
      <c r="EP63" s="2110"/>
      <c r="ES63" s="2084">
        <f t="shared" si="0"/>
        <v>0</v>
      </c>
      <c r="EU63" s="2084">
        <f t="shared" si="64"/>
        <v>167.74608029999999</v>
      </c>
      <c r="EV63" s="2084">
        <f t="shared" si="65"/>
        <v>1168.090291</v>
      </c>
      <c r="EW63" s="2084">
        <f t="shared" si="66"/>
        <v>1.4360711803913111</v>
      </c>
      <c r="FE63" s="2108"/>
      <c r="FF63" s="2108"/>
      <c r="FG63" s="2108"/>
      <c r="FH63" s="2108"/>
      <c r="FI63" s="2108"/>
      <c r="FJ63" s="2108"/>
      <c r="FK63" s="2108"/>
    </row>
    <row r="64" spans="1:167">
      <c r="A64" s="1760">
        <v>18</v>
      </c>
      <c r="B64" s="1761" t="s">
        <v>1694</v>
      </c>
      <c r="C64" s="2098">
        <v>500</v>
      </c>
      <c r="D64" s="2099">
        <v>0.32400000000000001</v>
      </c>
      <c r="E64" s="2100"/>
      <c r="F64" s="2099">
        <v>0.99187367714685726</v>
      </c>
      <c r="G64" s="2101">
        <v>320</v>
      </c>
      <c r="H64" s="2102" t="s">
        <v>1649</v>
      </c>
      <c r="I64" s="2103">
        <v>2</v>
      </c>
      <c r="J64" s="2104"/>
      <c r="K64" s="2101"/>
      <c r="L64" s="2101"/>
      <c r="M64" s="2105"/>
      <c r="N64" s="2106">
        <v>0</v>
      </c>
      <c r="O64" s="2106">
        <f t="shared" si="128"/>
        <v>0</v>
      </c>
      <c r="P64" s="2106">
        <v>0</v>
      </c>
      <c r="Q64" s="2106">
        <f t="shared" si="129"/>
        <v>0</v>
      </c>
      <c r="R64" s="2106">
        <v>0</v>
      </c>
      <c r="S64" s="2106">
        <f t="shared" si="130"/>
        <v>0</v>
      </c>
      <c r="T64" s="2106">
        <v>0</v>
      </c>
      <c r="U64" s="2106"/>
      <c r="V64" s="2106">
        <f t="shared" si="131"/>
        <v>0</v>
      </c>
      <c r="W64" s="2106">
        <f t="shared" si="132"/>
        <v>0</v>
      </c>
      <c r="X64" s="2106">
        <v>226.88091499999999</v>
      </c>
      <c r="Y64" s="2106">
        <f t="shared" si="133"/>
        <v>1.2695375633512409</v>
      </c>
      <c r="Z64" s="2106">
        <v>28.803384399999999</v>
      </c>
      <c r="AA64" s="2106">
        <f t="shared" si="134"/>
        <v>1.3090000055756124</v>
      </c>
      <c r="AB64" s="2106">
        <v>29.698711899999999</v>
      </c>
      <c r="AC64" s="2106">
        <f t="shared" si="135"/>
        <v>5.8527479052171497E-2</v>
      </c>
      <c r="AD64" s="2106">
        <v>1.3278768000000001</v>
      </c>
      <c r="AE64" s="2106"/>
      <c r="AF64" s="2106">
        <f t="shared" si="136"/>
        <v>2.637065047979025</v>
      </c>
      <c r="AG64" s="2106">
        <f t="shared" si="137"/>
        <v>59.829973099999997</v>
      </c>
      <c r="AH64" s="2106">
        <v>211.63525300000001</v>
      </c>
      <c r="AI64" s="2106">
        <f t="shared" si="138"/>
        <v>1.360991800359461</v>
      </c>
      <c r="AJ64" s="2106">
        <v>28.803384399999999</v>
      </c>
      <c r="AK64" s="2106">
        <f t="shared" si="139"/>
        <v>1.3340000023531051</v>
      </c>
      <c r="AL64" s="2106">
        <v>28.232142799999998</v>
      </c>
      <c r="AM64" s="2106">
        <f t="shared" si="140"/>
        <v>3.8851306119590576E-2</v>
      </c>
      <c r="AN64" s="2106">
        <v>0.82223060000000003</v>
      </c>
      <c r="AO64" s="2106">
        <v>0</v>
      </c>
      <c r="AP64" s="2106">
        <f t="shared" si="141"/>
        <v>2.7338431088321564</v>
      </c>
      <c r="AQ64" s="2106">
        <f t="shared" si="142"/>
        <v>57.857757799999995</v>
      </c>
      <c r="AR64" s="2106">
        <v>212.947856</v>
      </c>
      <c r="AS64" s="2106">
        <f t="shared" si="143"/>
        <v>1.3623013138014406</v>
      </c>
      <c r="AT64" s="2106">
        <v>29.0099144</v>
      </c>
      <c r="AU64" s="2106">
        <f t="shared" si="144"/>
        <v>1.4060000021789372</v>
      </c>
      <c r="AV64" s="2106">
        <v>29.940468599999999</v>
      </c>
      <c r="AW64" s="2106">
        <f t="shared" si="145"/>
        <v>2.4994301891445199E-2</v>
      </c>
      <c r="AX64" s="2106">
        <v>0.53224830000000001</v>
      </c>
      <c r="AY64" s="2106"/>
      <c r="AZ64" s="2106">
        <f t="shared" si="146"/>
        <v>2.7932956178718231</v>
      </c>
      <c r="BA64" s="2106">
        <f t="shared" si="147"/>
        <v>59.482631300000001</v>
      </c>
      <c r="BB64" s="2106">
        <v>194.53362100000001</v>
      </c>
      <c r="BC64" s="2106">
        <f t="shared" si="148"/>
        <v>1.49125453229496</v>
      </c>
      <c r="BD64" s="2106">
        <v>29.0099144</v>
      </c>
      <c r="BE64" s="2106">
        <f t="shared" si="149"/>
        <v>1.4250000003855372</v>
      </c>
      <c r="BF64" s="2106">
        <v>27.721041</v>
      </c>
      <c r="BG64" s="2106">
        <f t="shared" si="150"/>
        <v>-2.0001462883374798E-2</v>
      </c>
      <c r="BH64" s="2106">
        <v>-0.38909569999999999</v>
      </c>
      <c r="BI64" s="2106"/>
      <c r="BJ64" s="2106">
        <f t="shared" si="151"/>
        <v>2.8962530697971225</v>
      </c>
      <c r="BK64" s="2106">
        <f t="shared" si="152"/>
        <v>56.341859700000001</v>
      </c>
      <c r="BL64" s="2106">
        <v>225.55968200000001</v>
      </c>
      <c r="BM64" s="2106">
        <f t="shared" si="153"/>
        <v>1.2861303111785729</v>
      </c>
      <c r="BN64" s="2106">
        <v>29.0099144</v>
      </c>
      <c r="BO64" s="2106">
        <f t="shared" si="154"/>
        <v>1.4079999988650451</v>
      </c>
      <c r="BP64" s="2106">
        <v>31.758803199999999</v>
      </c>
      <c r="BQ64" s="2106">
        <f t="shared" si="155"/>
        <v>6.6332173672775441E-2</v>
      </c>
      <c r="BR64" s="2106">
        <v>1.4961864</v>
      </c>
      <c r="BS64" s="2106"/>
      <c r="BT64" s="2106">
        <f t="shared" si="156"/>
        <v>2.7604624837163936</v>
      </c>
      <c r="BU64" s="2106">
        <f t="shared" si="157"/>
        <v>62.264904000000001</v>
      </c>
      <c r="BV64" s="2106">
        <v>192.364666</v>
      </c>
      <c r="BW64" s="2106">
        <f t="shared" si="158"/>
        <v>1.4790019753419785</v>
      </c>
      <c r="BX64" s="2106">
        <v>28.450772099999998</v>
      </c>
      <c r="BY64" s="2106">
        <f t="shared" si="159"/>
        <v>1.4580000050529029</v>
      </c>
      <c r="BZ64" s="2106">
        <v>28.046768400000001</v>
      </c>
      <c r="CA64" s="2106">
        <f t="shared" si="160"/>
        <v>-1.9924532294303986E-2</v>
      </c>
      <c r="CB64" s="2106">
        <v>-0.3832776</v>
      </c>
      <c r="CC64" s="2106"/>
      <c r="CD64" s="2106">
        <f t="shared" si="161"/>
        <v>2.9170774481005779</v>
      </c>
      <c r="CE64" s="2106">
        <f t="shared" si="162"/>
        <v>56.1142629</v>
      </c>
      <c r="CF64" s="2106">
        <v>225.91009700000001</v>
      </c>
      <c r="CG64" s="2106">
        <f t="shared" si="163"/>
        <v>1.2576751981121057</v>
      </c>
      <c r="CH64" s="2106">
        <v>28.412152599999999</v>
      </c>
      <c r="CI64" s="2106">
        <f t="shared" si="164"/>
        <v>1.4379999978487015</v>
      </c>
      <c r="CJ64" s="2106">
        <v>32.485871899999999</v>
      </c>
      <c r="CK64" s="2106">
        <f t="shared" si="165"/>
        <v>7.4290911397377687E-2</v>
      </c>
      <c r="CL64" s="2106">
        <v>1.6783067</v>
      </c>
      <c r="CM64" s="2106"/>
      <c r="CN64" s="2106">
        <f t="shared" si="166"/>
        <v>2.7699661073581847</v>
      </c>
      <c r="CO64" s="2106">
        <f t="shared" si="167"/>
        <v>62.576331199999998</v>
      </c>
      <c r="CP64" s="2106">
        <v>218.58820399999999</v>
      </c>
      <c r="CQ64" s="2106">
        <f t="shared" si="41"/>
        <v>1.2998026462580752</v>
      </c>
      <c r="CR64" s="2106">
        <v>28.412152599999999</v>
      </c>
      <c r="CS64" s="2106">
        <f t="shared" si="168"/>
        <v>1.4830000021410124</v>
      </c>
      <c r="CT64" s="2106">
        <v>32.416630699999999</v>
      </c>
      <c r="CU64" s="2106">
        <f t="shared" si="169"/>
        <v>4.2733582275098429E-2</v>
      </c>
      <c r="CV64" s="2106">
        <v>0.93410570000000004</v>
      </c>
      <c r="CW64" s="2106"/>
      <c r="CX64" s="2106">
        <f t="shared" si="170"/>
        <v>2.825536230674186</v>
      </c>
      <c r="CY64" s="2106">
        <f t="shared" si="171"/>
        <v>61.762889000000001</v>
      </c>
      <c r="CZ64" s="2106">
        <v>200.88</v>
      </c>
      <c r="DA64" s="2106">
        <f t="shared" si="46"/>
        <v>1.3701179568025688</v>
      </c>
      <c r="DB64" s="2106">
        <v>27.522929516250002</v>
      </c>
      <c r="DC64" s="2106">
        <v>1.5453363433072578</v>
      </c>
      <c r="DD64" s="2109">
        <f t="shared" si="47"/>
        <v>31.042716464356193</v>
      </c>
      <c r="DE64" s="2106"/>
      <c r="DF64" s="2106"/>
      <c r="DG64" s="2106"/>
      <c r="DH64" s="2106">
        <f t="shared" si="172"/>
        <v>2.9154543001098263</v>
      </c>
      <c r="DI64" s="2106">
        <f t="shared" si="173"/>
        <v>58.565645980606192</v>
      </c>
      <c r="DJ64" s="2106">
        <v>192.04014360000005</v>
      </c>
      <c r="DK64" s="2106">
        <f t="shared" si="50"/>
        <v>1.4331862599299783</v>
      </c>
      <c r="DL64" s="2106">
        <v>27.522929516250002</v>
      </c>
      <c r="DM64" s="2106">
        <v>1.5453363433072578</v>
      </c>
      <c r="DN64" s="2109">
        <f t="shared" si="51"/>
        <v>29.676661327902472</v>
      </c>
      <c r="DO64" s="2106"/>
      <c r="DP64" s="2106"/>
      <c r="DQ64" s="2106"/>
      <c r="DR64" s="2106">
        <f t="shared" si="174"/>
        <v>2.9785226032372361</v>
      </c>
      <c r="DS64" s="2106">
        <f t="shared" si="175"/>
        <v>57.199590844152475</v>
      </c>
      <c r="DT64" s="2106">
        <v>200.88</v>
      </c>
      <c r="DU64" s="2106">
        <f t="shared" si="54"/>
        <v>1.3701179568025688</v>
      </c>
      <c r="DV64" s="2106">
        <v>27.522929516250002</v>
      </c>
      <c r="DW64" s="2106">
        <v>1.5453363433072578</v>
      </c>
      <c r="DX64" s="2109">
        <f t="shared" si="55"/>
        <v>31.042716464356193</v>
      </c>
      <c r="DY64" s="2106"/>
      <c r="DZ64" s="2106"/>
      <c r="EA64" s="2106"/>
      <c r="EB64" s="2106">
        <f t="shared" si="176"/>
        <v>2.9154543001098263</v>
      </c>
      <c r="EC64" s="2106">
        <f t="shared" si="177"/>
        <v>58.565645980606192</v>
      </c>
      <c r="ED64" s="2106">
        <f t="shared" si="178"/>
        <v>2302.2204376</v>
      </c>
      <c r="EE64" s="2107"/>
      <c r="EF64" s="2106">
        <f t="shared" si="179"/>
        <v>1.3572999906755323</v>
      </c>
      <c r="EG64" s="2106">
        <f t="shared" si="180"/>
        <v>312.48037784874998</v>
      </c>
      <c r="EH64" s="2106">
        <f t="shared" si="181"/>
        <v>1.4423576792793167</v>
      </c>
      <c r="EI64" s="2106">
        <f t="shared" si="182"/>
        <v>332.06253275661487</v>
      </c>
      <c r="EJ64" s="2106"/>
      <c r="EK64" s="2106">
        <f t="shared" si="183"/>
        <v>6.0185811999999999</v>
      </c>
      <c r="EL64" s="2106"/>
      <c r="EM64" s="2106"/>
      <c r="EN64" s="2106">
        <f t="shared" si="184"/>
        <v>650.56149180536477</v>
      </c>
      <c r="EO64" s="2104">
        <f t="shared" si="185"/>
        <v>2.8258001761271689</v>
      </c>
      <c r="EP64" s="2110"/>
      <c r="ES64" s="2084">
        <f t="shared" si="0"/>
        <v>0</v>
      </c>
      <c r="EU64" s="2084">
        <f t="shared" si="64"/>
        <v>240.30043849999998</v>
      </c>
      <c r="EV64" s="2084">
        <f t="shared" si="65"/>
        <v>1708.4202939999998</v>
      </c>
      <c r="EW64" s="2084">
        <f t="shared" si="66"/>
        <v>1.406565113654638</v>
      </c>
      <c r="FE64" s="2108"/>
      <c r="FF64" s="2108"/>
      <c r="FG64" s="2108"/>
      <c r="FH64" s="2108"/>
      <c r="FI64" s="2108"/>
      <c r="FJ64" s="2108"/>
      <c r="FK64" s="2108"/>
    </row>
    <row r="65" spans="1:167">
      <c r="A65" s="1760">
        <v>19</v>
      </c>
      <c r="B65" s="1761" t="s">
        <v>1695</v>
      </c>
      <c r="C65" s="2098">
        <v>2000</v>
      </c>
      <c r="D65" s="2099">
        <v>0.377</v>
      </c>
      <c r="E65" s="2100"/>
      <c r="F65" s="2099">
        <v>0.91826153393129928</v>
      </c>
      <c r="G65" s="2101">
        <v>753.6</v>
      </c>
      <c r="H65" s="2102" t="s">
        <v>1649</v>
      </c>
      <c r="I65" s="2103">
        <v>1</v>
      </c>
      <c r="J65" s="2104"/>
      <c r="K65" s="2101"/>
      <c r="L65" s="2101"/>
      <c r="M65" s="2105"/>
      <c r="N65" s="2106">
        <v>0</v>
      </c>
      <c r="O65" s="2106">
        <f t="shared" si="128"/>
        <v>0</v>
      </c>
      <c r="P65" s="2106">
        <v>0</v>
      </c>
      <c r="Q65" s="2106">
        <f t="shared" si="129"/>
        <v>0</v>
      </c>
      <c r="R65" s="2106">
        <v>0</v>
      </c>
      <c r="S65" s="2106">
        <f t="shared" si="130"/>
        <v>0</v>
      </c>
      <c r="T65" s="2106">
        <v>0</v>
      </c>
      <c r="U65" s="2106"/>
      <c r="V65" s="2106">
        <f t="shared" si="131"/>
        <v>0</v>
      </c>
      <c r="W65" s="2106">
        <f t="shared" si="132"/>
        <v>0</v>
      </c>
      <c r="X65" s="2106">
        <v>389.32327900000001</v>
      </c>
      <c r="Y65" s="2106">
        <f t="shared" si="133"/>
        <v>0.690463967863581</v>
      </c>
      <c r="Z65" s="2106">
        <v>26.881369599999999</v>
      </c>
      <c r="AA65" s="2106">
        <f t="shared" si="134"/>
        <v>1.4159999998356121</v>
      </c>
      <c r="AB65" s="2106">
        <v>55.1281763</v>
      </c>
      <c r="AC65" s="2106">
        <f t="shared" si="135"/>
        <v>0</v>
      </c>
      <c r="AD65" s="2106">
        <v>0</v>
      </c>
      <c r="AE65" s="2106"/>
      <c r="AF65" s="2106">
        <f t="shared" si="136"/>
        <v>2.1064639676991934</v>
      </c>
      <c r="AG65" s="2106">
        <f t="shared" si="137"/>
        <v>82.009545900000006</v>
      </c>
      <c r="AH65" s="2106">
        <v>380.73676999999998</v>
      </c>
      <c r="AI65" s="2106">
        <f t="shared" si="138"/>
        <v>0.73544885354781997</v>
      </c>
      <c r="AJ65" s="2106">
        <v>28.001242099999999</v>
      </c>
      <c r="AK65" s="2106">
        <f t="shared" si="139"/>
        <v>1.6010000006040919</v>
      </c>
      <c r="AL65" s="2106">
        <v>60.955956899999997</v>
      </c>
      <c r="AM65" s="2106">
        <f t="shared" si="140"/>
        <v>0</v>
      </c>
      <c r="AN65" s="2106">
        <v>0</v>
      </c>
      <c r="AO65" s="2106">
        <v>0</v>
      </c>
      <c r="AP65" s="2106">
        <f t="shared" si="141"/>
        <v>2.3364488541519122</v>
      </c>
      <c r="AQ65" s="2106">
        <f t="shared" si="142"/>
        <v>88.957199000000003</v>
      </c>
      <c r="AR65" s="2106">
        <v>267.29511300000001</v>
      </c>
      <c r="AS65" s="2106">
        <f t="shared" si="143"/>
        <v>0.72163724519722139</v>
      </c>
      <c r="AT65" s="2106">
        <v>19.289010900000001</v>
      </c>
      <c r="AU65" s="2106">
        <f t="shared" si="144"/>
        <v>1.5929999999663293</v>
      </c>
      <c r="AV65" s="2106">
        <v>42.580111500000001</v>
      </c>
      <c r="AW65" s="2106">
        <f t="shared" si="145"/>
        <v>-3.254129827656071E-3</v>
      </c>
      <c r="AX65" s="2106">
        <v>-8.6981299999999998E-2</v>
      </c>
      <c r="AY65" s="2106"/>
      <c r="AZ65" s="2106">
        <f t="shared" si="146"/>
        <v>2.3113831153358948</v>
      </c>
      <c r="BA65" s="2106">
        <f t="shared" si="147"/>
        <v>61.782141100000004</v>
      </c>
      <c r="BB65" s="2106">
        <v>433.054665</v>
      </c>
      <c r="BC65" s="2106">
        <f t="shared" si="148"/>
        <v>0.67273806876090347</v>
      </c>
      <c r="BD65" s="2106">
        <v>29.133235899999999</v>
      </c>
      <c r="BE65" s="2106">
        <f t="shared" si="149"/>
        <v>1.5800000030019303</v>
      </c>
      <c r="BF65" s="2106">
        <v>68.422637199999997</v>
      </c>
      <c r="BG65" s="2106">
        <f t="shared" si="150"/>
        <v>0</v>
      </c>
      <c r="BH65" s="2106">
        <v>0</v>
      </c>
      <c r="BI65" s="2106"/>
      <c r="BJ65" s="2106">
        <f t="shared" si="151"/>
        <v>2.2527380717628338</v>
      </c>
      <c r="BK65" s="2106">
        <f t="shared" si="152"/>
        <v>97.555873099999999</v>
      </c>
      <c r="BL65" s="2106">
        <v>468.478925</v>
      </c>
      <c r="BM65" s="2106">
        <f t="shared" si="153"/>
        <v>0.70665451386100242</v>
      </c>
      <c r="BN65" s="2106">
        <v>33.105274700000002</v>
      </c>
      <c r="BO65" s="2106">
        <f t="shared" si="154"/>
        <v>1.5370000005870059</v>
      </c>
      <c r="BP65" s="2106">
        <v>72.0052108</v>
      </c>
      <c r="BQ65" s="2106">
        <f t="shared" si="155"/>
        <v>-1.6487401220876692E-5</v>
      </c>
      <c r="BR65" s="2106">
        <v>-7.7240000000000002E-4</v>
      </c>
      <c r="BS65" s="2106"/>
      <c r="BT65" s="2106">
        <f t="shared" si="156"/>
        <v>2.2436380270467877</v>
      </c>
      <c r="BU65" s="2106">
        <f t="shared" si="157"/>
        <v>105.10971310000001</v>
      </c>
      <c r="BV65" s="2106">
        <v>295.777897</v>
      </c>
      <c r="BW65" s="2106">
        <f t="shared" si="158"/>
        <v>0.87753111923708071</v>
      </c>
      <c r="BX65" s="2106">
        <v>25.9554309</v>
      </c>
      <c r="BY65" s="2106">
        <f t="shared" si="159"/>
        <v>1.5380000013996988</v>
      </c>
      <c r="BZ65" s="2106">
        <v>45.490640599999999</v>
      </c>
      <c r="CA65" s="2106">
        <f t="shared" si="160"/>
        <v>-9.4850427582829147E-3</v>
      </c>
      <c r="CB65" s="2106">
        <v>-0.28054659999999998</v>
      </c>
      <c r="CC65" s="2106"/>
      <c r="CD65" s="2106">
        <f t="shared" si="161"/>
        <v>2.4060460778784969</v>
      </c>
      <c r="CE65" s="2106">
        <f t="shared" si="162"/>
        <v>71.165524900000008</v>
      </c>
      <c r="CF65" s="2106">
        <v>448.85365899999999</v>
      </c>
      <c r="CG65" s="2106">
        <f t="shared" si="163"/>
        <v>0.74028586675729868</v>
      </c>
      <c r="CH65" s="2106">
        <v>33.228001999999996</v>
      </c>
      <c r="CI65" s="2106">
        <f t="shared" si="164"/>
        <v>1.5370000002606641</v>
      </c>
      <c r="CJ65" s="2106">
        <v>68.988807399999999</v>
      </c>
      <c r="CK65" s="2106">
        <f t="shared" si="165"/>
        <v>0</v>
      </c>
      <c r="CL65" s="2106">
        <v>0</v>
      </c>
      <c r="CM65" s="2106"/>
      <c r="CN65" s="2106">
        <f t="shared" si="166"/>
        <v>2.2772858670179623</v>
      </c>
      <c r="CO65" s="2106">
        <f t="shared" si="167"/>
        <v>102.21680939999999</v>
      </c>
      <c r="CP65" s="2106">
        <v>391.64300700000001</v>
      </c>
      <c r="CQ65" s="2106">
        <f t="shared" si="41"/>
        <v>0.75631387183175203</v>
      </c>
      <c r="CR65" s="2106">
        <v>29.620503899999999</v>
      </c>
      <c r="CS65" s="2106">
        <f t="shared" si="168"/>
        <v>1.5210000009013311</v>
      </c>
      <c r="CT65" s="2106">
        <v>59.568901400000001</v>
      </c>
      <c r="CU65" s="2106">
        <f t="shared" si="169"/>
        <v>0</v>
      </c>
      <c r="CV65" s="2106">
        <v>0</v>
      </c>
      <c r="CW65" s="2106"/>
      <c r="CX65" s="2106">
        <f t="shared" si="170"/>
        <v>2.2773138727330835</v>
      </c>
      <c r="CY65" s="2106">
        <f t="shared" si="171"/>
        <v>89.189405300000004</v>
      </c>
      <c r="CZ65" s="2106">
        <v>477.83944359999992</v>
      </c>
      <c r="DA65" s="2106">
        <f t="shared" si="46"/>
        <v>0.59171205082472189</v>
      </c>
      <c r="DB65" s="2106">
        <v>28.274335713750002</v>
      </c>
      <c r="DC65" s="2106">
        <v>1.505942026411712</v>
      </c>
      <c r="DD65" s="2109">
        <f t="shared" si="47"/>
        <v>71.959849999442881</v>
      </c>
      <c r="DE65" s="2106"/>
      <c r="DF65" s="2106"/>
      <c r="DG65" s="2106"/>
      <c r="DH65" s="2106">
        <f t="shared" si="172"/>
        <v>2.0976540772364336</v>
      </c>
      <c r="DI65" s="2106">
        <f t="shared" si="173"/>
        <v>100.23418571319289</v>
      </c>
      <c r="DJ65" s="2106">
        <v>420.82297940000007</v>
      </c>
      <c r="DK65" s="2106">
        <f t="shared" si="50"/>
        <v>0.67188193368296845</v>
      </c>
      <c r="DL65" s="2106">
        <v>28.274335713750002</v>
      </c>
      <c r="DM65" s="2106">
        <v>1.505942026411712</v>
      </c>
      <c r="DN65" s="2109">
        <f t="shared" si="51"/>
        <v>63.373501035825029</v>
      </c>
      <c r="DO65" s="2106"/>
      <c r="DP65" s="2106"/>
      <c r="DQ65" s="2106"/>
      <c r="DR65" s="2106">
        <f t="shared" si="174"/>
        <v>2.1778239600946807</v>
      </c>
      <c r="DS65" s="2106">
        <f t="shared" si="175"/>
        <v>91.647836749575035</v>
      </c>
      <c r="DT65" s="2106">
        <v>451.7924607999999</v>
      </c>
      <c r="DU65" s="2106">
        <f t="shared" si="54"/>
        <v>0.62582575334887069</v>
      </c>
      <c r="DV65" s="2106">
        <v>28.274335713750002</v>
      </c>
      <c r="DW65" s="2106">
        <v>1.505942026411712</v>
      </c>
      <c r="DX65" s="2109">
        <f t="shared" si="55"/>
        <v>68.037325393468592</v>
      </c>
      <c r="DY65" s="2106"/>
      <c r="DZ65" s="2106"/>
      <c r="EA65" s="2106"/>
      <c r="EB65" s="2106">
        <f t="shared" si="176"/>
        <v>2.1317677797605832</v>
      </c>
      <c r="EC65" s="2106">
        <f t="shared" si="177"/>
        <v>96.311661107218598</v>
      </c>
      <c r="ED65" s="2106">
        <f t="shared" si="178"/>
        <v>4425.6181987999998</v>
      </c>
      <c r="EE65" s="2107"/>
      <c r="EF65" s="2106">
        <f t="shared" si="179"/>
        <v>0.70055089077796218</v>
      </c>
      <c r="EG65" s="2106">
        <f t="shared" si="180"/>
        <v>310.03707714125005</v>
      </c>
      <c r="EH65" s="2106">
        <f t="shared" si="181"/>
        <v>1.5286251279248886</v>
      </c>
      <c r="EI65" s="2106">
        <f t="shared" si="182"/>
        <v>676.51111852873646</v>
      </c>
      <c r="EJ65" s="2106"/>
      <c r="EK65" s="2106">
        <f t="shared" si="183"/>
        <v>-0.36830029999999997</v>
      </c>
      <c r="EL65" s="2106"/>
      <c r="EM65" s="2106"/>
      <c r="EN65" s="2106">
        <f t="shared" si="184"/>
        <v>986.17989536998653</v>
      </c>
      <c r="EO65" s="2104">
        <f t="shared" si="185"/>
        <v>2.228343817904102</v>
      </c>
      <c r="EP65" s="2110"/>
      <c r="ES65" s="2084">
        <f t="shared" si="0"/>
        <v>0</v>
      </c>
      <c r="EU65" s="2084">
        <f t="shared" si="64"/>
        <v>473.14044209999997</v>
      </c>
      <c r="EV65" s="2084">
        <f t="shared" si="65"/>
        <v>3075.1633149999998</v>
      </c>
      <c r="EW65" s="2084">
        <f t="shared" si="66"/>
        <v>1.5385863891914955</v>
      </c>
      <c r="FE65" s="2108"/>
      <c r="FF65" s="2108"/>
      <c r="FG65" s="2108"/>
      <c r="FH65" s="2108"/>
      <c r="FI65" s="2108"/>
      <c r="FJ65" s="2108"/>
      <c r="FK65" s="2108"/>
    </row>
    <row r="66" spans="1:167">
      <c r="A66" s="1760">
        <v>20</v>
      </c>
      <c r="B66" s="1761" t="s">
        <v>1696</v>
      </c>
      <c r="C66" s="2098">
        <v>2100</v>
      </c>
      <c r="D66" s="2099">
        <v>0</v>
      </c>
      <c r="E66" s="2100"/>
      <c r="F66" s="2099"/>
      <c r="G66" s="2101">
        <v>3.79</v>
      </c>
      <c r="H66" s="2102" t="s">
        <v>1649</v>
      </c>
      <c r="I66" s="2103">
        <v>1</v>
      </c>
      <c r="J66" s="2104"/>
      <c r="K66" s="2101"/>
      <c r="L66" s="2101"/>
      <c r="M66" s="2105"/>
      <c r="N66" s="2106">
        <v>0</v>
      </c>
      <c r="O66" s="2106">
        <f t="shared" si="128"/>
        <v>0</v>
      </c>
      <c r="P66" s="2106">
        <v>0</v>
      </c>
      <c r="Q66" s="2106">
        <f t="shared" si="129"/>
        <v>0</v>
      </c>
      <c r="R66" s="2106">
        <v>0</v>
      </c>
      <c r="S66" s="2106">
        <f t="shared" si="130"/>
        <v>0</v>
      </c>
      <c r="T66" s="2106">
        <v>0</v>
      </c>
      <c r="U66" s="2106"/>
      <c r="V66" s="2106">
        <f t="shared" si="131"/>
        <v>0</v>
      </c>
      <c r="W66" s="2106">
        <f t="shared" si="132"/>
        <v>0</v>
      </c>
      <c r="X66" s="2106">
        <v>1.604017</v>
      </c>
      <c r="Y66" s="2106">
        <f t="shared" si="133"/>
        <v>0.60249860194748561</v>
      </c>
      <c r="Z66" s="2106">
        <v>9.66418E-2</v>
      </c>
      <c r="AA66" s="2106">
        <f t="shared" si="134"/>
        <v>1.435999743144867</v>
      </c>
      <c r="AB66" s="2106">
        <v>0.23033680000000001</v>
      </c>
      <c r="AC66" s="2106">
        <f t="shared" si="135"/>
        <v>5.410042412268698E-2</v>
      </c>
      <c r="AD66" s="2106">
        <v>8.6777999999999994E-3</v>
      </c>
      <c r="AE66" s="2106"/>
      <c r="AF66" s="2106">
        <f t="shared" si="136"/>
        <v>2.0925987692150398</v>
      </c>
      <c r="AG66" s="2106">
        <f t="shared" si="137"/>
        <v>0.33565640000000002</v>
      </c>
      <c r="AH66" s="2106">
        <v>1.4592810000000001</v>
      </c>
      <c r="AI66" s="2106">
        <f t="shared" si="138"/>
        <v>0.67102429210001369</v>
      </c>
      <c r="AJ66" s="2106">
        <v>9.7921300000000003E-2</v>
      </c>
      <c r="AK66" s="2106">
        <f t="shared" si="139"/>
        <v>1.4699999520311713</v>
      </c>
      <c r="AL66" s="2106">
        <v>0.21451429999999999</v>
      </c>
      <c r="AM66" s="2106">
        <f t="shared" si="140"/>
        <v>2.4200959239515898E-2</v>
      </c>
      <c r="AN66" s="2106">
        <v>3.5316000000000002E-3</v>
      </c>
      <c r="AO66" s="2106">
        <v>0</v>
      </c>
      <c r="AP66" s="2106">
        <f t="shared" si="141"/>
        <v>2.1652252033707011</v>
      </c>
      <c r="AQ66" s="2106">
        <f t="shared" si="142"/>
        <v>0.3159672</v>
      </c>
      <c r="AR66" s="2106">
        <v>1.514378</v>
      </c>
      <c r="AS66" s="2106">
        <f t="shared" si="143"/>
        <v>0.66394717831347261</v>
      </c>
      <c r="AT66" s="2106">
        <v>0.1005467</v>
      </c>
      <c r="AU66" s="2106">
        <f t="shared" si="144"/>
        <v>1.4269997319031313</v>
      </c>
      <c r="AV66" s="2106">
        <v>0.21610170000000001</v>
      </c>
      <c r="AW66" s="2106">
        <f t="shared" si="145"/>
        <v>0.10766664597610373</v>
      </c>
      <c r="AX66" s="2106">
        <v>1.6304800000000001E-2</v>
      </c>
      <c r="AY66" s="2106"/>
      <c r="AZ66" s="2106">
        <f t="shared" si="146"/>
        <v>2.1986135561927074</v>
      </c>
      <c r="BA66" s="2106">
        <f t="shared" si="147"/>
        <v>0.3329532</v>
      </c>
      <c r="BB66" s="2106">
        <v>1.3081769999999999</v>
      </c>
      <c r="BC66" s="2106">
        <f t="shared" si="148"/>
        <v>0.750691993514639</v>
      </c>
      <c r="BD66" s="2106">
        <v>9.8203799999999994E-2</v>
      </c>
      <c r="BE66" s="2106">
        <f t="shared" si="149"/>
        <v>1.3799998012501369</v>
      </c>
      <c r="BF66" s="2106">
        <v>0.18052840000000001</v>
      </c>
      <c r="BG66" s="2106">
        <f t="shared" si="150"/>
        <v>-3.3249323294936392E-2</v>
      </c>
      <c r="BH66" s="2106">
        <v>-4.3496000000000003E-3</v>
      </c>
      <c r="BI66" s="2106"/>
      <c r="BJ66" s="2106">
        <f t="shared" si="151"/>
        <v>2.0974424714698392</v>
      </c>
      <c r="BK66" s="2106">
        <f t="shared" si="152"/>
        <v>0.27438259999999998</v>
      </c>
      <c r="BL66" s="2106">
        <v>1.514899</v>
      </c>
      <c r="BM66" s="2106">
        <f t="shared" si="153"/>
        <v>0.63870990739316613</v>
      </c>
      <c r="BN66" s="2106">
        <v>9.67581E-2</v>
      </c>
      <c r="BO66" s="2106">
        <f t="shared" si="154"/>
        <v>1.3610003043107164</v>
      </c>
      <c r="BP66" s="2106">
        <v>0.20617779999999999</v>
      </c>
      <c r="BQ66" s="2106">
        <f t="shared" si="155"/>
        <v>1.8782110226490345E-2</v>
      </c>
      <c r="BR66" s="2106">
        <v>2.8452999999999998E-3</v>
      </c>
      <c r="BS66" s="2106"/>
      <c r="BT66" s="2106">
        <f t="shared" si="156"/>
        <v>2.0184923219303728</v>
      </c>
      <c r="BU66" s="2106">
        <f t="shared" si="157"/>
        <v>0.30578119999999998</v>
      </c>
      <c r="BV66" s="2106">
        <v>1.402255</v>
      </c>
      <c r="BW66" s="2106">
        <f t="shared" si="158"/>
        <v>0.65719430488748487</v>
      </c>
      <c r="BX66" s="2106">
        <v>9.2155399999999998E-2</v>
      </c>
      <c r="BY66" s="2106">
        <f t="shared" si="159"/>
        <v>1.3699997504020309</v>
      </c>
      <c r="BZ66" s="2106">
        <v>0.1921089</v>
      </c>
      <c r="CA66" s="2106">
        <f t="shared" si="160"/>
        <v>8.8215053610078056E-3</v>
      </c>
      <c r="CB66" s="2106">
        <v>1.237E-3</v>
      </c>
      <c r="CC66" s="2106"/>
      <c r="CD66" s="2106">
        <f t="shared" si="161"/>
        <v>2.0360155606505237</v>
      </c>
      <c r="CE66" s="2106">
        <f t="shared" si="162"/>
        <v>0.28550130000000001</v>
      </c>
      <c r="CF66" s="2106">
        <v>1.6343859999999999</v>
      </c>
      <c r="CG66" s="2106">
        <f t="shared" si="163"/>
        <v>0.59801356595076083</v>
      </c>
      <c r="CH66" s="2106">
        <v>9.7738500000000006E-2</v>
      </c>
      <c r="CI66" s="2106">
        <f t="shared" si="164"/>
        <v>1.2939997038643258</v>
      </c>
      <c r="CJ66" s="2106">
        <v>0.2114895</v>
      </c>
      <c r="CK66" s="2106">
        <f t="shared" si="165"/>
        <v>6.7466314567060662E-2</v>
      </c>
      <c r="CL66" s="2106">
        <v>1.1026599999999999E-2</v>
      </c>
      <c r="CM66" s="2106"/>
      <c r="CN66" s="2106">
        <f t="shared" si="166"/>
        <v>1.9594795843821471</v>
      </c>
      <c r="CO66" s="2106">
        <f t="shared" si="167"/>
        <v>0.3202546</v>
      </c>
      <c r="CP66" s="2106">
        <v>1.5549470000000001</v>
      </c>
      <c r="CQ66" s="2106">
        <f t="shared" si="41"/>
        <v>0.63080928160252403</v>
      </c>
      <c r="CR66" s="2106">
        <v>9.8087499999999994E-2</v>
      </c>
      <c r="CS66" s="2106">
        <f t="shared" si="168"/>
        <v>1.374999919611408</v>
      </c>
      <c r="CT66" s="2106">
        <v>0.2138052</v>
      </c>
      <c r="CU66" s="2106">
        <f t="shared" si="169"/>
        <v>3.3421717910642613E-2</v>
      </c>
      <c r="CV66" s="2106">
        <v>5.1969E-3</v>
      </c>
      <c r="CW66" s="2106"/>
      <c r="CX66" s="2106">
        <f t="shared" si="170"/>
        <v>2.0392309191245745</v>
      </c>
      <c r="CY66" s="2106">
        <f t="shared" si="171"/>
        <v>0.31708960000000003</v>
      </c>
      <c r="CZ66" s="2106">
        <v>1.518686</v>
      </c>
      <c r="DA66" s="2106">
        <f t="shared" si="46"/>
        <v>0.64011826671214467</v>
      </c>
      <c r="DB66" s="2106">
        <v>9.721386500000001E-2</v>
      </c>
      <c r="DC66" s="2106">
        <v>1.474551639585997</v>
      </c>
      <c r="DD66" s="2109">
        <f t="shared" si="47"/>
        <v>0.22393809313162993</v>
      </c>
      <c r="DE66" s="2106"/>
      <c r="DF66" s="2106"/>
      <c r="DG66" s="2106"/>
      <c r="DH66" s="2106">
        <f t="shared" si="172"/>
        <v>2.1146699062981416</v>
      </c>
      <c r="DI66" s="2106">
        <f t="shared" si="173"/>
        <v>0.32115195813162994</v>
      </c>
      <c r="DJ66" s="2106">
        <v>1.5518446666666668</v>
      </c>
      <c r="DK66" s="2106">
        <f t="shared" si="50"/>
        <v>0.62644069402135183</v>
      </c>
      <c r="DL66" s="2106">
        <v>9.721386500000001E-2</v>
      </c>
      <c r="DM66" s="2106">
        <v>1.474551639585997</v>
      </c>
      <c r="DN66" s="2109">
        <f t="shared" si="51"/>
        <v>0.22882750976161184</v>
      </c>
      <c r="DO66" s="2106"/>
      <c r="DP66" s="2106"/>
      <c r="DQ66" s="2106"/>
      <c r="DR66" s="2106">
        <f t="shared" si="174"/>
        <v>2.100992333607349</v>
      </c>
      <c r="DS66" s="2106">
        <f t="shared" si="175"/>
        <v>0.32604137476161188</v>
      </c>
      <c r="DT66" s="2106">
        <v>1.7128496666666668</v>
      </c>
      <c r="DU66" s="2106">
        <f t="shared" si="54"/>
        <v>0.56755631794111527</v>
      </c>
      <c r="DV66" s="2106">
        <v>9.721386500000001E-2</v>
      </c>
      <c r="DW66" s="2106">
        <v>1.474551639585997</v>
      </c>
      <c r="DX66" s="2109">
        <f t="shared" si="55"/>
        <v>0.25256852843476618</v>
      </c>
      <c r="DY66" s="2106"/>
      <c r="DZ66" s="2106"/>
      <c r="EA66" s="2106"/>
      <c r="EB66" s="2106">
        <f t="shared" si="176"/>
        <v>2.0421079575271124</v>
      </c>
      <c r="EC66" s="2106">
        <f t="shared" si="177"/>
        <v>0.34978239343476619</v>
      </c>
      <c r="ED66" s="2106">
        <f t="shared" si="178"/>
        <v>16.775720333333332</v>
      </c>
      <c r="EE66" s="2107"/>
      <c r="EF66" s="2106">
        <f t="shared" si="179"/>
        <v>0.63764456830775751</v>
      </c>
      <c r="EG66" s="2106">
        <f t="shared" si="180"/>
        <v>1.0696946950000001</v>
      </c>
      <c r="EH66" s="2106">
        <f t="shared" si="181"/>
        <v>1.4129925178938716</v>
      </c>
      <c r="EI66" s="2106">
        <f t="shared" si="182"/>
        <v>2.3703967313280083</v>
      </c>
      <c r="EJ66" s="2106"/>
      <c r="EK66" s="2106">
        <f t="shared" si="183"/>
        <v>4.4470399999999993E-2</v>
      </c>
      <c r="EL66" s="2106"/>
      <c r="EM66" s="2106"/>
      <c r="EN66" s="2106">
        <f t="shared" si="184"/>
        <v>3.484561826328008</v>
      </c>
      <c r="EO66" s="2104">
        <f t="shared" si="185"/>
        <v>2.0771458733752186</v>
      </c>
      <c r="EP66" s="2110"/>
      <c r="ES66" s="2084">
        <f t="shared" si="0"/>
        <v>0</v>
      </c>
      <c r="EU66" s="2084">
        <f t="shared" si="64"/>
        <v>1.6650626000000002</v>
      </c>
      <c r="EV66" s="2084">
        <f t="shared" si="65"/>
        <v>11.992339999999999</v>
      </c>
      <c r="EW66" s="2084">
        <f t="shared" si="66"/>
        <v>1.3884384532126344</v>
      </c>
      <c r="FE66" s="2108"/>
      <c r="FF66" s="2108"/>
      <c r="FG66" s="2108"/>
      <c r="FH66" s="2108"/>
      <c r="FI66" s="2108"/>
      <c r="FJ66" s="2108"/>
      <c r="FK66" s="2108"/>
    </row>
    <row r="67" spans="1:167">
      <c r="A67" s="1760">
        <v>21</v>
      </c>
      <c r="B67" s="1761" t="s">
        <v>1697</v>
      </c>
      <c r="C67" s="2098">
        <v>500</v>
      </c>
      <c r="D67" s="2099">
        <v>0</v>
      </c>
      <c r="E67" s="2100"/>
      <c r="F67" s="2099"/>
      <c r="G67" s="2101">
        <v>1.41</v>
      </c>
      <c r="H67" s="2102" t="s">
        <v>1649</v>
      </c>
      <c r="I67" s="2103">
        <v>1</v>
      </c>
      <c r="J67" s="2104"/>
      <c r="K67" s="2101"/>
      <c r="L67" s="2101"/>
      <c r="M67" s="2105"/>
      <c r="N67" s="2106">
        <v>0</v>
      </c>
      <c r="O67" s="2106">
        <f t="shared" si="128"/>
        <v>0</v>
      </c>
      <c r="P67" s="2106">
        <v>0</v>
      </c>
      <c r="Q67" s="2106">
        <f t="shared" si="129"/>
        <v>0</v>
      </c>
      <c r="R67" s="2106">
        <v>0</v>
      </c>
      <c r="S67" s="2106">
        <f t="shared" si="130"/>
        <v>0</v>
      </c>
      <c r="T67" s="2106">
        <v>0</v>
      </c>
      <c r="U67" s="2106"/>
      <c r="V67" s="2106">
        <f t="shared" si="131"/>
        <v>0</v>
      </c>
      <c r="W67" s="2106">
        <f t="shared" si="132"/>
        <v>0</v>
      </c>
      <c r="X67" s="2106">
        <v>0.76185700000000001</v>
      </c>
      <c r="Y67" s="2106">
        <f t="shared" si="133"/>
        <v>1.2121080465231664</v>
      </c>
      <c r="Z67" s="2106">
        <v>9.2345300000000005E-2</v>
      </c>
      <c r="AA67" s="2106">
        <f t="shared" si="134"/>
        <v>1.4070002638290389</v>
      </c>
      <c r="AB67" s="2106">
        <v>0.10719330000000001</v>
      </c>
      <c r="AC67" s="2106">
        <f t="shared" si="135"/>
        <v>5.5524855714392599E-2</v>
      </c>
      <c r="AD67" s="2106">
        <v>4.2301999999999999E-3</v>
      </c>
      <c r="AE67" s="2106"/>
      <c r="AF67" s="2106">
        <f t="shared" si="136"/>
        <v>2.6746331660665978</v>
      </c>
      <c r="AG67" s="2106">
        <f t="shared" si="137"/>
        <v>0.2037688</v>
      </c>
      <c r="AH67" s="2106">
        <v>0.71867000000000003</v>
      </c>
      <c r="AI67" s="2106">
        <f t="shared" si="138"/>
        <v>1.2849471941224764</v>
      </c>
      <c r="AJ67" s="2106">
        <v>9.2345300000000005E-2</v>
      </c>
      <c r="AK67" s="2106">
        <f t="shared" si="139"/>
        <v>1.4400002782918444</v>
      </c>
      <c r="AL67" s="2106">
        <v>0.1034885</v>
      </c>
      <c r="AM67" s="2106">
        <f t="shared" si="140"/>
        <v>4.2471509872403189E-2</v>
      </c>
      <c r="AN67" s="2106">
        <v>3.0523E-3</v>
      </c>
      <c r="AO67" s="2106">
        <v>0</v>
      </c>
      <c r="AP67" s="2106">
        <f t="shared" si="141"/>
        <v>2.7674189822867241</v>
      </c>
      <c r="AQ67" s="2106">
        <f t="shared" si="142"/>
        <v>0.19888610000000001</v>
      </c>
      <c r="AR67" s="2106">
        <v>0.53272699999999995</v>
      </c>
      <c r="AS67" s="2106">
        <f t="shared" si="143"/>
        <v>1.8021125266787683</v>
      </c>
      <c r="AT67" s="2106">
        <v>9.6003400000000003E-2</v>
      </c>
      <c r="AU67" s="2106">
        <f t="shared" si="144"/>
        <v>1.4010008878844136</v>
      </c>
      <c r="AV67" s="2106">
        <v>7.4635099999999996E-2</v>
      </c>
      <c r="AW67" s="2106">
        <f t="shared" si="145"/>
        <v>6.3462148530110174E-2</v>
      </c>
      <c r="AX67" s="2106">
        <v>3.3808000000000002E-3</v>
      </c>
      <c r="AY67" s="2106"/>
      <c r="AZ67" s="2106">
        <f t="shared" si="146"/>
        <v>3.266575563093292</v>
      </c>
      <c r="BA67" s="2106">
        <f t="shared" si="147"/>
        <v>0.17401929999999999</v>
      </c>
      <c r="BB67" s="2106">
        <v>0.78565300000000005</v>
      </c>
      <c r="BC67" s="2106">
        <f t="shared" si="148"/>
        <v>1.2076425597560245</v>
      </c>
      <c r="BD67" s="2106">
        <v>9.4878799999999999E-2</v>
      </c>
      <c r="BE67" s="2106">
        <f t="shared" si="149"/>
        <v>1.3539997938020985</v>
      </c>
      <c r="BF67" s="2106">
        <v>0.1063774</v>
      </c>
      <c r="BG67" s="2106">
        <f t="shared" si="150"/>
        <v>0</v>
      </c>
      <c r="BH67" s="2106">
        <v>0</v>
      </c>
      <c r="BI67" s="2106"/>
      <c r="BJ67" s="2106">
        <f t="shared" si="151"/>
        <v>2.5616423535581228</v>
      </c>
      <c r="BK67" s="2106">
        <f t="shared" si="152"/>
        <v>0.2012562</v>
      </c>
      <c r="BL67" s="2106">
        <v>0.74548899999999996</v>
      </c>
      <c r="BM67" s="2106">
        <f t="shared" si="153"/>
        <v>1.2360209204964796</v>
      </c>
      <c r="BN67" s="2106">
        <v>9.2144000000000004E-2</v>
      </c>
      <c r="BO67" s="2106">
        <f t="shared" si="154"/>
        <v>1.3350002481592618</v>
      </c>
      <c r="BP67" s="2106">
        <v>9.9522799999999995E-2</v>
      </c>
      <c r="BQ67" s="2106">
        <f t="shared" si="155"/>
        <v>4.0169606795003018E-2</v>
      </c>
      <c r="BR67" s="2106">
        <v>2.9946E-3</v>
      </c>
      <c r="BS67" s="2106"/>
      <c r="BT67" s="2106">
        <f t="shared" si="156"/>
        <v>2.6111907754507446</v>
      </c>
      <c r="BU67" s="2106">
        <f t="shared" si="157"/>
        <v>0.19466139999999998</v>
      </c>
      <c r="BV67" s="2106">
        <v>0.66846399999999995</v>
      </c>
      <c r="BW67" s="2106">
        <f t="shared" si="158"/>
        <v>1.3185840972737499</v>
      </c>
      <c r="BX67" s="2106">
        <v>8.8142600000000002E-2</v>
      </c>
      <c r="BY67" s="2106">
        <f t="shared" si="159"/>
        <v>1.3440005744512793</v>
      </c>
      <c r="BZ67" s="2106">
        <v>8.9841599999999994E-2</v>
      </c>
      <c r="CA67" s="2106">
        <f t="shared" si="160"/>
        <v>1.1414227243351924E-2</v>
      </c>
      <c r="CB67" s="2106">
        <v>7.6300000000000001E-4</v>
      </c>
      <c r="CC67" s="2106"/>
      <c r="CD67" s="2106">
        <f t="shared" si="161"/>
        <v>2.6739988989683816</v>
      </c>
      <c r="CE67" s="2106">
        <f t="shared" si="162"/>
        <v>0.17874719999999999</v>
      </c>
      <c r="CF67" s="2106">
        <v>0.76636300000000002</v>
      </c>
      <c r="CG67" s="2106">
        <f t="shared" si="163"/>
        <v>1.2013040817471616</v>
      </c>
      <c r="CH67" s="2106">
        <v>9.2063500000000006E-2</v>
      </c>
      <c r="CI67" s="2106">
        <f t="shared" si="164"/>
        <v>1.2690004606172269</v>
      </c>
      <c r="CJ67" s="2106">
        <v>9.7251500000000005E-2</v>
      </c>
      <c r="CK67" s="2106">
        <f t="shared" si="165"/>
        <v>7.5436836068547161E-2</v>
      </c>
      <c r="CL67" s="2106">
        <v>5.7812000000000002E-3</v>
      </c>
      <c r="CM67" s="2106"/>
      <c r="CN67" s="2106">
        <f t="shared" si="166"/>
        <v>2.5457413784329357</v>
      </c>
      <c r="CO67" s="2106">
        <f t="shared" si="167"/>
        <v>0.1950962</v>
      </c>
      <c r="CP67" s="2106">
        <v>0.79454000000000002</v>
      </c>
      <c r="CQ67" s="2106">
        <f t="shared" si="41"/>
        <v>1.1627545498024012</v>
      </c>
      <c r="CR67" s="2106">
        <v>9.2385499999999995E-2</v>
      </c>
      <c r="CS67" s="2106">
        <f t="shared" si="168"/>
        <v>1.3499999999999999</v>
      </c>
      <c r="CT67" s="2106">
        <v>0.10726289999999999</v>
      </c>
      <c r="CU67" s="2106">
        <f t="shared" si="169"/>
        <v>7.5570770508722032E-2</v>
      </c>
      <c r="CV67" s="2106">
        <v>6.0044E-3</v>
      </c>
      <c r="CW67" s="2106"/>
      <c r="CX67" s="2106">
        <f t="shared" si="170"/>
        <v>2.5883253203111236</v>
      </c>
      <c r="CY67" s="2106">
        <f t="shared" si="171"/>
        <v>0.2056528</v>
      </c>
      <c r="CZ67" s="2106">
        <v>0.83528999999999998</v>
      </c>
      <c r="DA67" s="2106">
        <f t="shared" si="46"/>
        <v>1.1515929796837026</v>
      </c>
      <c r="DB67" s="2106">
        <v>9.6191409999999991E-2</v>
      </c>
      <c r="DC67" s="2106">
        <v>1.5024506128404356</v>
      </c>
      <c r="DD67" s="2109">
        <f t="shared" si="47"/>
        <v>0.12549819723994876</v>
      </c>
      <c r="DE67" s="2106"/>
      <c r="DF67" s="2106"/>
      <c r="DG67" s="2106"/>
      <c r="DH67" s="2106">
        <f t="shared" si="172"/>
        <v>2.6540435925241384</v>
      </c>
      <c r="DI67" s="2106">
        <f t="shared" si="173"/>
        <v>0.22168960723994874</v>
      </c>
      <c r="DJ67" s="2106">
        <v>0.85319333333333314</v>
      </c>
      <c r="DK67" s="2106">
        <f t="shared" si="50"/>
        <v>1.1274280546027085</v>
      </c>
      <c r="DL67" s="2106">
        <v>9.6191409999999991E-2</v>
      </c>
      <c r="DM67" s="2106">
        <v>1.5024506128404356</v>
      </c>
      <c r="DN67" s="2109">
        <f t="shared" si="51"/>
        <v>0.12818808465380405</v>
      </c>
      <c r="DO67" s="2106"/>
      <c r="DP67" s="2106"/>
      <c r="DQ67" s="2106"/>
      <c r="DR67" s="2106">
        <f t="shared" si="174"/>
        <v>2.629878667443144</v>
      </c>
      <c r="DS67" s="2106">
        <f t="shared" si="175"/>
        <v>0.22437949465380402</v>
      </c>
      <c r="DT67" s="2106">
        <v>0.88237399999999999</v>
      </c>
      <c r="DU67" s="2106">
        <f t="shared" si="54"/>
        <v>1.0901432952466865</v>
      </c>
      <c r="DV67" s="2106">
        <v>9.6191409999999991E-2</v>
      </c>
      <c r="DW67" s="2106">
        <v>1.5024506128404356</v>
      </c>
      <c r="DX67" s="2109">
        <f t="shared" si="55"/>
        <v>0.13257233570544663</v>
      </c>
      <c r="DY67" s="2106"/>
      <c r="DZ67" s="2106"/>
      <c r="EA67" s="2106"/>
      <c r="EB67" s="2106">
        <f t="shared" si="176"/>
        <v>2.5925939080871219</v>
      </c>
      <c r="EC67" s="2106">
        <f t="shared" si="177"/>
        <v>0.22876374570544661</v>
      </c>
      <c r="ED67" s="2106">
        <f t="shared" si="178"/>
        <v>8.3446203333333333</v>
      </c>
      <c r="EE67" s="2107"/>
      <c r="EF67" s="2106">
        <f t="shared" si="179"/>
        <v>1.2329891461808469</v>
      </c>
      <c r="EG67" s="2106">
        <f t="shared" si="180"/>
        <v>1.02888263</v>
      </c>
      <c r="EH67" s="2106">
        <f t="shared" si="181"/>
        <v>1.4042960264090296</v>
      </c>
      <c r="EI67" s="2106">
        <f t="shared" si="182"/>
        <v>1.1718317175991992</v>
      </c>
      <c r="EJ67" s="2106"/>
      <c r="EK67" s="2106">
        <f t="shared" si="183"/>
        <v>2.6206500000000001E-2</v>
      </c>
      <c r="EL67" s="2106"/>
      <c r="EM67" s="2106"/>
      <c r="EN67" s="2106">
        <f t="shared" si="184"/>
        <v>2.2269208475991991</v>
      </c>
      <c r="EO67" s="2104">
        <f t="shared" si="185"/>
        <v>2.6686904360448422</v>
      </c>
      <c r="EP67" s="2110"/>
      <c r="ES67" s="2084">
        <f t="shared" si="0"/>
        <v>0</v>
      </c>
      <c r="EU67" s="2084">
        <f t="shared" si="64"/>
        <v>0.78557309999999991</v>
      </c>
      <c r="EV67" s="2084">
        <f t="shared" si="65"/>
        <v>5.7737630000000006</v>
      </c>
      <c r="EW67" s="2084">
        <f t="shared" si="66"/>
        <v>1.3605911777120048</v>
      </c>
      <c r="FE67" s="2108"/>
      <c r="FF67" s="2108"/>
      <c r="FG67" s="2108"/>
      <c r="FH67" s="2108"/>
      <c r="FI67" s="2108"/>
      <c r="FJ67" s="2108"/>
      <c r="FK67" s="2108"/>
    </row>
    <row r="68" spans="1:167">
      <c r="A68" s="1760">
        <v>22</v>
      </c>
      <c r="B68" s="1761" t="s">
        <v>1698</v>
      </c>
      <c r="C68" s="2098">
        <v>1000</v>
      </c>
      <c r="D68" s="2099">
        <v>0</v>
      </c>
      <c r="E68" s="2100"/>
      <c r="F68" s="2099"/>
      <c r="G68" s="2101">
        <v>2.82</v>
      </c>
      <c r="H68" s="2102" t="s">
        <v>1649</v>
      </c>
      <c r="I68" s="2103">
        <v>1</v>
      </c>
      <c r="J68" s="2104"/>
      <c r="K68" s="2101"/>
      <c r="L68" s="2101"/>
      <c r="M68" s="2105"/>
      <c r="N68" s="2106">
        <v>0</v>
      </c>
      <c r="O68" s="2106">
        <f t="shared" si="128"/>
        <v>0</v>
      </c>
      <c r="P68" s="2106">
        <v>0</v>
      </c>
      <c r="Q68" s="2106">
        <f t="shared" si="129"/>
        <v>0</v>
      </c>
      <c r="R68" s="2106">
        <v>0</v>
      </c>
      <c r="S68" s="2106">
        <f t="shared" si="130"/>
        <v>0</v>
      </c>
      <c r="T68" s="2106">
        <v>0</v>
      </c>
      <c r="U68" s="2106"/>
      <c r="V68" s="2106">
        <f t="shared" si="131"/>
        <v>0</v>
      </c>
      <c r="W68" s="2106">
        <f t="shared" si="132"/>
        <v>0</v>
      </c>
      <c r="X68" s="2106">
        <v>0.99115399999999998</v>
      </c>
      <c r="Y68" s="2106">
        <f t="shared" si="133"/>
        <v>2.761913890273358</v>
      </c>
      <c r="Z68" s="2106">
        <v>0.2737482</v>
      </c>
      <c r="AA68" s="2106">
        <f t="shared" si="134"/>
        <v>2.7359996529298174</v>
      </c>
      <c r="AB68" s="2106">
        <v>0.27117970000000002</v>
      </c>
      <c r="AC68" s="2106">
        <f t="shared" si="135"/>
        <v>-3.7310044655018294E-3</v>
      </c>
      <c r="AD68" s="2106">
        <v>-3.6979999999999999E-4</v>
      </c>
      <c r="AE68" s="2106"/>
      <c r="AF68" s="2106">
        <f t="shared" si="136"/>
        <v>5.4941825387376744</v>
      </c>
      <c r="AG68" s="2106">
        <f t="shared" si="137"/>
        <v>0.54455810000000004</v>
      </c>
      <c r="AH68" s="2106">
        <v>2.3962850000000002</v>
      </c>
      <c r="AI68" s="2106">
        <f t="shared" si="138"/>
        <v>2.111804313760675</v>
      </c>
      <c r="AJ68" s="2106">
        <v>0.50604850000000001</v>
      </c>
      <c r="AK68" s="2106">
        <f t="shared" si="139"/>
        <v>2.8160001836175574</v>
      </c>
      <c r="AL68" s="2106">
        <v>0.67479389999999995</v>
      </c>
      <c r="AM68" s="2106">
        <f t="shared" si="140"/>
        <v>0.21490306870843826</v>
      </c>
      <c r="AN68" s="2106">
        <v>5.1496899999999998E-2</v>
      </c>
      <c r="AO68" s="2106">
        <v>0</v>
      </c>
      <c r="AP68" s="2106">
        <f t="shared" si="141"/>
        <v>5.1427075660866715</v>
      </c>
      <c r="AQ68" s="2106">
        <f t="shared" si="142"/>
        <v>1.2323393</v>
      </c>
      <c r="AR68" s="2106">
        <v>4.3166460000000004</v>
      </c>
      <c r="AS68" s="2106">
        <f t="shared" si="143"/>
        <v>1.8140294571294471</v>
      </c>
      <c r="AT68" s="2106">
        <v>0.78305230000000003</v>
      </c>
      <c r="AU68" s="2106">
        <f t="shared" si="144"/>
        <v>2.9819999138219808</v>
      </c>
      <c r="AV68" s="2106">
        <v>1.2872238</v>
      </c>
      <c r="AW68" s="2106">
        <f t="shared" si="145"/>
        <v>-7.3279115313138951E-3</v>
      </c>
      <c r="AX68" s="2106">
        <v>-3.1632000000000001E-3</v>
      </c>
      <c r="AY68" s="2106"/>
      <c r="AZ68" s="2106">
        <f t="shared" si="146"/>
        <v>4.788701459420114</v>
      </c>
      <c r="BA68" s="2106">
        <f t="shared" si="147"/>
        <v>2.0671129000000001</v>
      </c>
      <c r="BB68" s="2106">
        <v>4.1291630000000001</v>
      </c>
      <c r="BC68" s="2106">
        <f t="shared" si="148"/>
        <v>1.8503062242880699</v>
      </c>
      <c r="BD68" s="2106">
        <v>0.76402159999999997</v>
      </c>
      <c r="BE68" s="2106">
        <f t="shared" si="149"/>
        <v>3.4830000656307343</v>
      </c>
      <c r="BF68" s="2106">
        <v>1.4381875</v>
      </c>
      <c r="BG68" s="2106">
        <f t="shared" si="150"/>
        <v>3.2929191703015843E-2</v>
      </c>
      <c r="BH68" s="2106">
        <v>1.3597E-2</v>
      </c>
      <c r="BI68" s="2106"/>
      <c r="BJ68" s="2106">
        <f t="shared" si="151"/>
        <v>5.3662354816218203</v>
      </c>
      <c r="BK68" s="2106">
        <f t="shared" si="152"/>
        <v>2.2158061</v>
      </c>
      <c r="BL68" s="2106">
        <v>1.6268400000000001</v>
      </c>
      <c r="BM68" s="2106">
        <f t="shared" si="153"/>
        <v>2.8228086351454351</v>
      </c>
      <c r="BN68" s="2106">
        <v>0.45922580000000002</v>
      </c>
      <c r="BO68" s="2106">
        <f t="shared" si="154"/>
        <v>3.7630000491750875</v>
      </c>
      <c r="BP68" s="2106">
        <v>0.6121799</v>
      </c>
      <c r="BQ68" s="2106">
        <f t="shared" si="155"/>
        <v>0.31126478326080004</v>
      </c>
      <c r="BR68" s="2106">
        <v>5.0637799999999997E-2</v>
      </c>
      <c r="BS68" s="2106"/>
      <c r="BT68" s="2106">
        <f t="shared" si="156"/>
        <v>6.8970734675813237</v>
      </c>
      <c r="BU68" s="2106">
        <f t="shared" si="157"/>
        <v>1.1220435000000002</v>
      </c>
      <c r="BV68" s="2106">
        <v>0.83638400000000002</v>
      </c>
      <c r="BW68" s="2106">
        <f t="shared" si="158"/>
        <v>3.6217443183992035</v>
      </c>
      <c r="BX68" s="2106">
        <v>0.30291689999999999</v>
      </c>
      <c r="BY68" s="2106">
        <f t="shared" si="159"/>
        <v>3.312999770440372</v>
      </c>
      <c r="BZ68" s="2106">
        <v>0.27709400000000001</v>
      </c>
      <c r="CA68" s="2106">
        <f t="shared" si="160"/>
        <v>0.36323746030531429</v>
      </c>
      <c r="CB68" s="2106">
        <v>3.0380600000000001E-2</v>
      </c>
      <c r="CC68" s="2106"/>
      <c r="CD68" s="2106">
        <f t="shared" si="161"/>
        <v>7.2979815491448896</v>
      </c>
      <c r="CE68" s="2106">
        <f t="shared" si="162"/>
        <v>0.61039149999999998</v>
      </c>
      <c r="CF68" s="2106">
        <v>0.88114099999999995</v>
      </c>
      <c r="CG68" s="2106">
        <f t="shared" si="163"/>
        <v>4.4611293765696978</v>
      </c>
      <c r="CH68" s="2106">
        <v>0.3930884</v>
      </c>
      <c r="CI68" s="2106">
        <f t="shared" si="164"/>
        <v>3.6479995823596907</v>
      </c>
      <c r="CJ68" s="2106">
        <v>0.32144020000000001</v>
      </c>
      <c r="CK68" s="2106">
        <f t="shared" si="165"/>
        <v>8.8354758205553954E-2</v>
      </c>
      <c r="CL68" s="2106">
        <v>7.7853000000000002E-3</v>
      </c>
      <c r="CM68" s="2106"/>
      <c r="CN68" s="2106">
        <f t="shared" si="166"/>
        <v>8.1974837171349417</v>
      </c>
      <c r="CO68" s="2106">
        <f t="shared" si="167"/>
        <v>0.72231389999999995</v>
      </c>
      <c r="CP68" s="2106">
        <v>1.57812</v>
      </c>
      <c r="CQ68" s="2106">
        <f t="shared" si="41"/>
        <v>4.031683902364839</v>
      </c>
      <c r="CR68" s="2106">
        <v>0.63624809999999998</v>
      </c>
      <c r="CS68" s="2106">
        <f t="shared" si="168"/>
        <v>3.6500000000000004</v>
      </c>
      <c r="CT68" s="2106">
        <v>0.57601380000000002</v>
      </c>
      <c r="CU68" s="2106">
        <f t="shared" si="169"/>
        <v>6.1139203609357977E-2</v>
      </c>
      <c r="CV68" s="2106">
        <v>9.6485000000000008E-3</v>
      </c>
      <c r="CW68" s="2106"/>
      <c r="CX68" s="2106">
        <f t="shared" si="170"/>
        <v>7.7428231059741979</v>
      </c>
      <c r="CY68" s="2106">
        <f t="shared" si="171"/>
        <v>1.2219104000000001</v>
      </c>
      <c r="CZ68" s="2106">
        <v>1.7702550000000001</v>
      </c>
      <c r="DA68" s="2106">
        <f t="shared" si="46"/>
        <v>1.5119526282936642</v>
      </c>
      <c r="DB68" s="2106">
        <v>0.26765417000000002</v>
      </c>
      <c r="DC68" s="2106">
        <v>3.2507159951538411</v>
      </c>
      <c r="DD68" s="2109">
        <f t="shared" si="47"/>
        <v>0.57545962440010634</v>
      </c>
      <c r="DE68" s="2106"/>
      <c r="DF68" s="2106"/>
      <c r="DG68" s="2106"/>
      <c r="DH68" s="2106">
        <f t="shared" si="172"/>
        <v>4.7626686234475049</v>
      </c>
      <c r="DI68" s="2106">
        <f t="shared" si="173"/>
        <v>0.84311379440010636</v>
      </c>
      <c r="DJ68" s="2106">
        <v>0.565604</v>
      </c>
      <c r="DK68" s="2106">
        <f t="shared" si="50"/>
        <v>4.7321831175168496</v>
      </c>
      <c r="DL68" s="2106">
        <v>0.26765417000000002</v>
      </c>
      <c r="DM68" s="2106">
        <v>3.2507159951538411</v>
      </c>
      <c r="DN68" s="2109">
        <f t="shared" si="51"/>
        <v>0.18386179697229932</v>
      </c>
      <c r="DO68" s="2106"/>
      <c r="DP68" s="2106"/>
      <c r="DQ68" s="2106"/>
      <c r="DR68" s="2106">
        <f t="shared" si="174"/>
        <v>7.9828991126706903</v>
      </c>
      <c r="DS68" s="2106">
        <f t="shared" si="175"/>
        <v>0.45151596697229934</v>
      </c>
      <c r="DT68" s="2106">
        <v>1.3092896666666665</v>
      </c>
      <c r="DU68" s="2106">
        <f t="shared" si="54"/>
        <v>2.0442700864005396</v>
      </c>
      <c r="DV68" s="2106">
        <v>0.26765417000000002</v>
      </c>
      <c r="DW68" s="2106">
        <v>3.2507159951538411</v>
      </c>
      <c r="DX68" s="2109">
        <f t="shared" si="55"/>
        <v>0.42561288617229731</v>
      </c>
      <c r="DY68" s="2106"/>
      <c r="DZ68" s="2106"/>
      <c r="EA68" s="2106"/>
      <c r="EB68" s="2106">
        <f t="shared" si="176"/>
        <v>5.2949860815543808</v>
      </c>
      <c r="EC68" s="2106">
        <f t="shared" si="177"/>
        <v>0.69326705617229734</v>
      </c>
      <c r="ED68" s="2106">
        <f t="shared" si="178"/>
        <v>20.400881666666663</v>
      </c>
      <c r="EE68" s="2107"/>
      <c r="EF68" s="2106">
        <f t="shared" si="179"/>
        <v>2.4123037378531604</v>
      </c>
      <c r="EG68" s="2106">
        <f t="shared" si="180"/>
        <v>4.9213123100000002</v>
      </c>
      <c r="EH68" s="2106">
        <f t="shared" si="181"/>
        <v>3.2562549090213522</v>
      </c>
      <c r="EI68" s="2106">
        <f t="shared" si="182"/>
        <v>6.6430471075447022</v>
      </c>
      <c r="EJ68" s="2106"/>
      <c r="EK68" s="2106">
        <f t="shared" si="183"/>
        <v>0.16001309999999999</v>
      </c>
      <c r="EL68" s="2106"/>
      <c r="EM68" s="2106"/>
      <c r="EN68" s="2106">
        <f t="shared" si="184"/>
        <v>11.724372517544703</v>
      </c>
      <c r="EO68" s="2104">
        <f t="shared" si="185"/>
        <v>5.7469930511392295</v>
      </c>
      <c r="EP68" s="2110"/>
      <c r="ES68" s="2084">
        <f t="shared" si="0"/>
        <v>0</v>
      </c>
      <c r="EU68" s="2084">
        <f t="shared" si="64"/>
        <v>5.4581127999999994</v>
      </c>
      <c r="EV68" s="2084">
        <f t="shared" si="65"/>
        <v>16.755732999999999</v>
      </c>
      <c r="EW68" s="2084">
        <f t="shared" si="66"/>
        <v>3.2574598795528669</v>
      </c>
      <c r="FE68" s="2108"/>
      <c r="FF68" s="2108"/>
      <c r="FG68" s="2108"/>
      <c r="FH68" s="2108"/>
      <c r="FI68" s="2108"/>
      <c r="FJ68" s="2108"/>
      <c r="FK68" s="2108"/>
    </row>
    <row r="69" spans="1:167">
      <c r="A69" s="1760">
        <v>23</v>
      </c>
      <c r="B69" s="1761" t="s">
        <v>1699</v>
      </c>
      <c r="C69" s="2098">
        <v>1320</v>
      </c>
      <c r="D69" s="2099">
        <v>0</v>
      </c>
      <c r="E69" s="2100"/>
      <c r="F69" s="2099"/>
      <c r="G69" s="2101">
        <v>3.72</v>
      </c>
      <c r="H69" s="2102" t="s">
        <v>1649</v>
      </c>
      <c r="I69" s="2103">
        <v>1</v>
      </c>
      <c r="J69" s="2104"/>
      <c r="K69" s="2101"/>
      <c r="L69" s="2101"/>
      <c r="M69" s="2105"/>
      <c r="N69" s="2106">
        <v>0</v>
      </c>
      <c r="O69" s="2106">
        <f t="shared" si="128"/>
        <v>0</v>
      </c>
      <c r="P69" s="2106">
        <v>0</v>
      </c>
      <c r="Q69" s="2106">
        <f t="shared" si="129"/>
        <v>0</v>
      </c>
      <c r="R69" s="2106">
        <v>0</v>
      </c>
      <c r="S69" s="2106">
        <f t="shared" si="130"/>
        <v>0</v>
      </c>
      <c r="T69" s="2106">
        <v>0</v>
      </c>
      <c r="U69" s="2106"/>
      <c r="V69" s="2106">
        <f t="shared" si="131"/>
        <v>0</v>
      </c>
      <c r="W69" s="2106">
        <f t="shared" si="132"/>
        <v>0</v>
      </c>
      <c r="X69" s="2106">
        <v>1.2584709999999999</v>
      </c>
      <c r="Y69" s="2106">
        <f t="shared" si="133"/>
        <v>2.5149598202898598</v>
      </c>
      <c r="Z69" s="2106">
        <v>0.31650040000000002</v>
      </c>
      <c r="AA69" s="2106">
        <f t="shared" si="134"/>
        <v>3.0009996257363101</v>
      </c>
      <c r="AB69" s="2106">
        <v>0.37766709999999998</v>
      </c>
      <c r="AC69" s="2106">
        <f t="shared" si="135"/>
        <v>-6.4912103655944391E-3</v>
      </c>
      <c r="AD69" s="2106">
        <v>-8.1689999999999996E-4</v>
      </c>
      <c r="AE69" s="2106"/>
      <c r="AF69" s="2106">
        <f t="shared" si="136"/>
        <v>5.5094682356605764</v>
      </c>
      <c r="AG69" s="2106">
        <f t="shared" si="137"/>
        <v>0.69335060000000004</v>
      </c>
      <c r="AH69" s="2106">
        <v>4.8476809999999997</v>
      </c>
      <c r="AI69" s="2106">
        <f t="shared" si="138"/>
        <v>1.605012376020617</v>
      </c>
      <c r="AJ69" s="2106">
        <v>0.77805880000000005</v>
      </c>
      <c r="AK69" s="2106">
        <f t="shared" si="139"/>
        <v>3.1200000577595768</v>
      </c>
      <c r="AL69" s="2106">
        <v>1.5124765</v>
      </c>
      <c r="AM69" s="2106">
        <f t="shared" si="140"/>
        <v>-2.0966313583752727E-2</v>
      </c>
      <c r="AN69" s="2106">
        <v>-1.0163800000000001E-2</v>
      </c>
      <c r="AO69" s="2106">
        <v>0</v>
      </c>
      <c r="AP69" s="2106">
        <f t="shared" si="141"/>
        <v>4.7040461201964412</v>
      </c>
      <c r="AQ69" s="2106">
        <f t="shared" si="142"/>
        <v>2.2803715000000002</v>
      </c>
      <c r="AR69" s="2106">
        <v>8.3554809999999993</v>
      </c>
      <c r="AS69" s="2106">
        <f t="shared" si="143"/>
        <v>1.4512013132457606</v>
      </c>
      <c r="AT69" s="2106">
        <v>1.2125485</v>
      </c>
      <c r="AU69" s="2106">
        <f t="shared" si="144"/>
        <v>3.2899999413558598</v>
      </c>
      <c r="AV69" s="2106">
        <v>2.7489531999999999</v>
      </c>
      <c r="AW69" s="2106">
        <f t="shared" si="145"/>
        <v>-1.1008821634565385E-2</v>
      </c>
      <c r="AX69" s="2106">
        <v>-9.1984000000000007E-3</v>
      </c>
      <c r="AY69" s="2106"/>
      <c r="AZ69" s="2106">
        <f t="shared" si="146"/>
        <v>4.7301924329670548</v>
      </c>
      <c r="BA69" s="2106">
        <f t="shared" si="147"/>
        <v>3.9523033000000001</v>
      </c>
      <c r="BB69" s="2106">
        <v>12.896311000000001</v>
      </c>
      <c r="BC69" s="2106">
        <f t="shared" si="148"/>
        <v>1.2884737348533235</v>
      </c>
      <c r="BD69" s="2106">
        <v>1.6616557999999999</v>
      </c>
      <c r="BE69" s="2106">
        <f t="shared" si="149"/>
        <v>3.4959999801493611</v>
      </c>
      <c r="BF69" s="2106">
        <v>4.5085502999999996</v>
      </c>
      <c r="BG69" s="2106">
        <f t="shared" si="150"/>
        <v>-1.3426862922272888E-2</v>
      </c>
      <c r="BH69" s="2106">
        <v>-1.73157E-2</v>
      </c>
      <c r="BI69" s="2106"/>
      <c r="BJ69" s="2106">
        <f t="shared" si="151"/>
        <v>4.7710468520804126</v>
      </c>
      <c r="BK69" s="2106">
        <f t="shared" si="152"/>
        <v>6.1528903999999995</v>
      </c>
      <c r="BL69" s="2106">
        <v>5.4208460000000001</v>
      </c>
      <c r="BM69" s="2106">
        <f t="shared" si="153"/>
        <v>2.0548403330402674</v>
      </c>
      <c r="BN69" s="2106">
        <v>1.1138973000000001</v>
      </c>
      <c r="BO69" s="2106">
        <f t="shared" si="154"/>
        <v>3.6609999619985518</v>
      </c>
      <c r="BP69" s="2106">
        <v>1.9845717</v>
      </c>
      <c r="BQ69" s="2106">
        <f t="shared" si="155"/>
        <v>7.6903125453111933E-3</v>
      </c>
      <c r="BR69" s="2106">
        <v>4.1688000000000003E-3</v>
      </c>
      <c r="BS69" s="2106"/>
      <c r="BT69" s="2106">
        <f t="shared" si="156"/>
        <v>5.7235306075841299</v>
      </c>
      <c r="BU69" s="2106">
        <f t="shared" si="157"/>
        <v>3.1026378000000001</v>
      </c>
      <c r="BV69" s="2106">
        <v>1.0860240000000001</v>
      </c>
      <c r="BW69" s="2106">
        <f t="shared" si="158"/>
        <v>2.9126243987241529</v>
      </c>
      <c r="BX69" s="2106">
        <v>0.31631799999999999</v>
      </c>
      <c r="BY69" s="2106">
        <f t="shared" si="159"/>
        <v>3.3300000736631969</v>
      </c>
      <c r="BZ69" s="2106">
        <v>0.36164600000000002</v>
      </c>
      <c r="CA69" s="2106">
        <f t="shared" si="160"/>
        <v>3.0412771725118408E-2</v>
      </c>
      <c r="CB69" s="2106">
        <v>3.3029000000000001E-3</v>
      </c>
      <c r="CC69" s="2106"/>
      <c r="CD69" s="2106">
        <f t="shared" si="161"/>
        <v>6.2730372441124684</v>
      </c>
      <c r="CE69" s="2106">
        <f t="shared" si="162"/>
        <v>0.68126690000000001</v>
      </c>
      <c r="CF69" s="2106">
        <v>2.4478409999999999</v>
      </c>
      <c r="CG69" s="2106">
        <f t="shared" si="163"/>
        <v>2.1231329976089133</v>
      </c>
      <c r="CH69" s="2106">
        <v>0.51970919999999998</v>
      </c>
      <c r="CI69" s="2106">
        <f t="shared" si="164"/>
        <v>3.6769998541571942</v>
      </c>
      <c r="CJ69" s="2106">
        <v>0.90007110000000001</v>
      </c>
      <c r="CK69" s="2106">
        <f t="shared" si="165"/>
        <v>0.10549704821514143</v>
      </c>
      <c r="CL69" s="2106">
        <v>2.5824E-2</v>
      </c>
      <c r="CM69" s="2106"/>
      <c r="CN69" s="2106">
        <f t="shared" si="166"/>
        <v>5.9056298999812498</v>
      </c>
      <c r="CO69" s="2106">
        <f t="shared" si="167"/>
        <v>1.4456043000000001</v>
      </c>
      <c r="CP69" s="2106">
        <v>7.704752</v>
      </c>
      <c r="CQ69" s="2106">
        <f t="shared" si="41"/>
        <v>1.4824583581664923</v>
      </c>
      <c r="CR69" s="2106">
        <v>1.1421973999999999</v>
      </c>
      <c r="CS69" s="2106">
        <f t="shared" si="168"/>
        <v>3.6879999511989481</v>
      </c>
      <c r="CT69" s="2106">
        <v>2.8415124999999999</v>
      </c>
      <c r="CU69" s="2106">
        <f t="shared" si="169"/>
        <v>7.7068022436023896E-3</v>
      </c>
      <c r="CV69" s="2106">
        <v>5.9379000000000003E-3</v>
      </c>
      <c r="CW69" s="2106"/>
      <c r="CX69" s="2106">
        <f t="shared" si="170"/>
        <v>5.1781651116090437</v>
      </c>
      <c r="CY69" s="2106">
        <f t="shared" si="171"/>
        <v>3.9896478000000002</v>
      </c>
      <c r="CZ69" s="2106">
        <v>2.3352300000000006</v>
      </c>
      <c r="DA69" s="2106">
        <f t="shared" si="46"/>
        <v>1.4149949362589549</v>
      </c>
      <c r="DB69" s="2106">
        <v>0.33043386250000001</v>
      </c>
      <c r="DC69" s="2106">
        <v>3.235200450006452</v>
      </c>
      <c r="DD69" s="2109">
        <f t="shared" si="47"/>
        <v>0.75549371468685689</v>
      </c>
      <c r="DE69" s="2106"/>
      <c r="DF69" s="2106"/>
      <c r="DG69" s="2106"/>
      <c r="DH69" s="2106">
        <f t="shared" si="172"/>
        <v>4.6501953862654064</v>
      </c>
      <c r="DI69" s="2106">
        <f t="shared" si="173"/>
        <v>1.0859275771868568</v>
      </c>
      <c r="DJ69" s="2106">
        <v>1.1467473333333336</v>
      </c>
      <c r="DK69" s="2106">
        <f t="shared" si="50"/>
        <v>2.8814879520103522</v>
      </c>
      <c r="DL69" s="2106">
        <v>0.33043386250000001</v>
      </c>
      <c r="DM69" s="2106">
        <v>3.235200450006452</v>
      </c>
      <c r="DN69" s="2109">
        <f t="shared" si="51"/>
        <v>0.37099574888436992</v>
      </c>
      <c r="DO69" s="2106"/>
      <c r="DP69" s="2106"/>
      <c r="DQ69" s="2106"/>
      <c r="DR69" s="2106">
        <f t="shared" si="174"/>
        <v>6.1166884020168037</v>
      </c>
      <c r="DS69" s="2106">
        <f t="shared" si="175"/>
        <v>0.70142961138436988</v>
      </c>
      <c r="DT69" s="2106">
        <v>1.5930080000000002</v>
      </c>
      <c r="DU69" s="2106">
        <f t="shared" si="54"/>
        <v>2.0742762277402247</v>
      </c>
      <c r="DV69" s="2106">
        <v>0.33043386250000001</v>
      </c>
      <c r="DW69" s="2106">
        <v>3.235200450006452</v>
      </c>
      <c r="DX69" s="2109">
        <f t="shared" si="55"/>
        <v>0.51537001984638786</v>
      </c>
      <c r="DY69" s="2106"/>
      <c r="DZ69" s="2106"/>
      <c r="EA69" s="2106"/>
      <c r="EB69" s="2106">
        <f t="shared" si="176"/>
        <v>5.3094766777466766</v>
      </c>
      <c r="EC69" s="2106">
        <f t="shared" si="177"/>
        <v>0.84580388234638781</v>
      </c>
      <c r="ED69" s="2106">
        <f t="shared" si="178"/>
        <v>49.092392333333329</v>
      </c>
      <c r="EE69" s="2107"/>
      <c r="EF69" s="2106">
        <f t="shared" si="179"/>
        <v>1.6402107546167863</v>
      </c>
      <c r="EG69" s="2106">
        <f t="shared" si="180"/>
        <v>8.0521869874999989</v>
      </c>
      <c r="EH69" s="2106">
        <f t="shared" si="181"/>
        <v>3.4378662520298615</v>
      </c>
      <c r="EI69" s="2106">
        <f t="shared" si="182"/>
        <v>16.877307883417615</v>
      </c>
      <c r="EJ69" s="2106"/>
      <c r="EK69" s="2106">
        <f t="shared" si="183"/>
        <v>1.7387999999999995E-3</v>
      </c>
      <c r="EL69" s="2106"/>
      <c r="EM69" s="2106"/>
      <c r="EN69" s="2106">
        <f t="shared" si="184"/>
        <v>24.931233670917614</v>
      </c>
      <c r="EO69" s="2104">
        <f t="shared" si="185"/>
        <v>5.0784311959451021</v>
      </c>
      <c r="EP69" s="2110"/>
      <c r="ES69" s="2084">
        <f t="shared" si="0"/>
        <v>0</v>
      </c>
      <c r="EU69" s="2084">
        <f t="shared" si="64"/>
        <v>15.235448400000001</v>
      </c>
      <c r="EV69" s="2084">
        <f t="shared" si="65"/>
        <v>44.017406999999999</v>
      </c>
      <c r="EW69" s="2084">
        <f t="shared" si="66"/>
        <v>3.4612325982764052</v>
      </c>
      <c r="FE69" s="2108"/>
      <c r="FF69" s="2108"/>
      <c r="FG69" s="2108"/>
      <c r="FH69" s="2108"/>
      <c r="FI69" s="2108"/>
      <c r="FJ69" s="2108"/>
      <c r="FK69" s="2108"/>
    </row>
    <row r="70" spans="1:167">
      <c r="A70" s="1760">
        <v>24</v>
      </c>
      <c r="B70" s="1761" t="s">
        <v>1700</v>
      </c>
      <c r="C70" s="2098">
        <v>660</v>
      </c>
      <c r="D70" s="2099">
        <v>0</v>
      </c>
      <c r="E70" s="2100"/>
      <c r="F70" s="2099"/>
      <c r="G70" s="2101">
        <v>3.72</v>
      </c>
      <c r="H70" s="2102" t="s">
        <v>1649</v>
      </c>
      <c r="I70" s="2103">
        <v>1</v>
      </c>
      <c r="J70" s="2104"/>
      <c r="K70" s="2101"/>
      <c r="L70" s="2101"/>
      <c r="M70" s="2105"/>
      <c r="N70" s="2106">
        <v>0</v>
      </c>
      <c r="O70" s="2106">
        <f t="shared" si="128"/>
        <v>0</v>
      </c>
      <c r="P70" s="2106">
        <v>0</v>
      </c>
      <c r="Q70" s="2106">
        <f t="shared" si="129"/>
        <v>0</v>
      </c>
      <c r="R70" s="2106">
        <v>0</v>
      </c>
      <c r="S70" s="2106">
        <f t="shared" si="130"/>
        <v>0</v>
      </c>
      <c r="T70" s="2106">
        <v>0</v>
      </c>
      <c r="U70" s="2106"/>
      <c r="V70" s="2106">
        <f t="shared" si="131"/>
        <v>0</v>
      </c>
      <c r="W70" s="2106">
        <f t="shared" si="132"/>
        <v>0</v>
      </c>
      <c r="X70" s="2106">
        <v>0</v>
      </c>
      <c r="Y70" s="2106">
        <f t="shared" si="133"/>
        <v>0</v>
      </c>
      <c r="Z70" s="2106">
        <v>0.303064</v>
      </c>
      <c r="AA70" s="2106">
        <f t="shared" si="134"/>
        <v>0</v>
      </c>
      <c r="AB70" s="2106">
        <v>0</v>
      </c>
      <c r="AC70" s="2106">
        <f t="shared" si="135"/>
        <v>0</v>
      </c>
      <c r="AD70" s="2106">
        <v>0</v>
      </c>
      <c r="AE70" s="2106"/>
      <c r="AF70" s="2106">
        <f t="shared" si="136"/>
        <v>0</v>
      </c>
      <c r="AG70" s="2106">
        <f t="shared" si="137"/>
        <v>0.303064</v>
      </c>
      <c r="AH70" s="2106">
        <v>0</v>
      </c>
      <c r="AI70" s="2106">
        <f t="shared" si="138"/>
        <v>0</v>
      </c>
      <c r="AJ70" s="2106">
        <v>0.303064</v>
      </c>
      <c r="AK70" s="2106">
        <f t="shared" si="139"/>
        <v>0</v>
      </c>
      <c r="AL70" s="2106">
        <v>0</v>
      </c>
      <c r="AM70" s="2106">
        <f t="shared" si="140"/>
        <v>0</v>
      </c>
      <c r="AN70" s="2106">
        <v>0</v>
      </c>
      <c r="AO70" s="2106">
        <v>0</v>
      </c>
      <c r="AP70" s="2106">
        <f t="shared" si="141"/>
        <v>0</v>
      </c>
      <c r="AQ70" s="2106">
        <f t="shared" si="142"/>
        <v>0.303064</v>
      </c>
      <c r="AR70" s="2106">
        <v>2.984877</v>
      </c>
      <c r="AS70" s="2106">
        <f t="shared" si="143"/>
        <v>2.185397254225216</v>
      </c>
      <c r="AT70" s="2106">
        <v>0.65231419999999996</v>
      </c>
      <c r="AU70" s="2106">
        <f t="shared" si="144"/>
        <v>3.2249998911177915</v>
      </c>
      <c r="AV70" s="2106">
        <v>0.9626228</v>
      </c>
      <c r="AW70" s="2106">
        <f t="shared" si="145"/>
        <v>-4.9610084435640061E-3</v>
      </c>
      <c r="AX70" s="2106">
        <v>-1.4808E-3</v>
      </c>
      <c r="AY70" s="2106"/>
      <c r="AZ70" s="2106">
        <f t="shared" si="146"/>
        <v>5.4054361368994428</v>
      </c>
      <c r="BA70" s="2106">
        <f t="shared" si="147"/>
        <v>1.6134561999999999</v>
      </c>
      <c r="BB70" s="2106">
        <v>3.4893260000000001</v>
      </c>
      <c r="BC70" s="2106">
        <f t="shared" si="148"/>
        <v>2.4201155180112148</v>
      </c>
      <c r="BD70" s="2106">
        <v>0.84445720000000002</v>
      </c>
      <c r="BE70" s="2106">
        <f t="shared" si="149"/>
        <v>3.8000000573176598</v>
      </c>
      <c r="BF70" s="2106">
        <v>1.3259439</v>
      </c>
      <c r="BG70" s="2106">
        <f t="shared" si="150"/>
        <v>1.2476334971280987E-2</v>
      </c>
      <c r="BH70" s="2106">
        <v>4.3534000000000003E-3</v>
      </c>
      <c r="BI70" s="2106"/>
      <c r="BJ70" s="2106">
        <f t="shared" si="151"/>
        <v>6.2325919103001546</v>
      </c>
      <c r="BK70" s="2106">
        <f t="shared" si="152"/>
        <v>2.1747544999999997</v>
      </c>
      <c r="BL70" s="2106">
        <v>4.4740549999999999</v>
      </c>
      <c r="BM70" s="2106">
        <f t="shared" si="153"/>
        <v>1.9023362475427774</v>
      </c>
      <c r="BN70" s="2106">
        <v>0.85111570000000003</v>
      </c>
      <c r="BO70" s="2106">
        <f t="shared" si="154"/>
        <v>3.4739999843542382</v>
      </c>
      <c r="BP70" s="2106">
        <v>1.5542867</v>
      </c>
      <c r="BQ70" s="2106">
        <f t="shared" si="155"/>
        <v>4.9000291681707085E-3</v>
      </c>
      <c r="BR70" s="2106">
        <v>2.1922999999999999E-3</v>
      </c>
      <c r="BS70" s="2106"/>
      <c r="BT70" s="2106">
        <f t="shared" si="156"/>
        <v>5.3812362610651849</v>
      </c>
      <c r="BU70" s="2106">
        <f t="shared" si="157"/>
        <v>2.4075946999999998</v>
      </c>
      <c r="BV70" s="2106">
        <v>1.3623609999999999</v>
      </c>
      <c r="BW70" s="2106">
        <f t="shared" si="158"/>
        <v>3.199705511241147</v>
      </c>
      <c r="BX70" s="2106">
        <v>0.43591540000000001</v>
      </c>
      <c r="BY70" s="2106">
        <f t="shared" si="159"/>
        <v>3.1369996645529339</v>
      </c>
      <c r="BZ70" s="2106">
        <v>0.42737259999999999</v>
      </c>
      <c r="CA70" s="2106">
        <f t="shared" si="160"/>
        <v>-0.21987344029959754</v>
      </c>
      <c r="CB70" s="2106">
        <v>-2.9954700000000001E-2</v>
      </c>
      <c r="CC70" s="2106"/>
      <c r="CD70" s="2106">
        <f t="shared" si="161"/>
        <v>6.1168317354944843</v>
      </c>
      <c r="CE70" s="2106">
        <f t="shared" si="162"/>
        <v>0.83333330000000005</v>
      </c>
      <c r="CF70" s="2106">
        <v>0.16910800000000001</v>
      </c>
      <c r="CG70" s="2106">
        <f t="shared" si="163"/>
        <v>17.732265770986587</v>
      </c>
      <c r="CH70" s="2106">
        <v>0.29986679999999999</v>
      </c>
      <c r="CI70" s="2106">
        <f t="shared" si="164"/>
        <v>3.6699978711829129</v>
      </c>
      <c r="CJ70" s="2106">
        <v>6.2062600000000002E-2</v>
      </c>
      <c r="CK70" s="2106">
        <f t="shared" si="165"/>
        <v>0.40093313148993537</v>
      </c>
      <c r="CL70" s="2106">
        <v>6.7800999999999998E-3</v>
      </c>
      <c r="CM70" s="2106"/>
      <c r="CN70" s="2106">
        <f t="shared" si="166"/>
        <v>21.803196773659437</v>
      </c>
      <c r="CO70" s="2106">
        <f t="shared" si="167"/>
        <v>0.36870950000000002</v>
      </c>
      <c r="CP70" s="2106">
        <v>1.8899109999999999</v>
      </c>
      <c r="CQ70" s="2106">
        <f t="shared" si="41"/>
        <v>2.6957623930439052</v>
      </c>
      <c r="CR70" s="2106">
        <v>0.50947509999999996</v>
      </c>
      <c r="CS70" s="2106">
        <f t="shared" si="168"/>
        <v>3.9949997645391773</v>
      </c>
      <c r="CT70" s="2106">
        <v>0.75501940000000001</v>
      </c>
      <c r="CU70" s="2106">
        <f t="shared" si="169"/>
        <v>-1.2164593994108719E-2</v>
      </c>
      <c r="CV70" s="2106">
        <v>-2.2989999999999998E-3</v>
      </c>
      <c r="CW70" s="2106"/>
      <c r="CX70" s="2106">
        <f t="shared" si="170"/>
        <v>6.6785975635889736</v>
      </c>
      <c r="CY70" s="2106">
        <f t="shared" si="171"/>
        <v>1.2621955</v>
      </c>
      <c r="CZ70" s="2106">
        <v>0</v>
      </c>
      <c r="DA70" s="2106">
        <f t="shared" si="46"/>
        <v>0</v>
      </c>
      <c r="DB70" s="2106">
        <v>0.32711819875000003</v>
      </c>
      <c r="DC70" s="2106">
        <v>3.7219003914110806</v>
      </c>
      <c r="DD70" s="2109">
        <f t="shared" si="47"/>
        <v>0</v>
      </c>
      <c r="DE70" s="2106"/>
      <c r="DF70" s="2106"/>
      <c r="DG70" s="2106"/>
      <c r="DH70" s="2106">
        <f t="shared" si="172"/>
        <v>0</v>
      </c>
      <c r="DI70" s="2106">
        <f t="shared" si="173"/>
        <v>0.32711819875000003</v>
      </c>
      <c r="DJ70" s="2106">
        <v>0</v>
      </c>
      <c r="DK70" s="2106">
        <f t="shared" si="50"/>
        <v>0</v>
      </c>
      <c r="DL70" s="2106">
        <v>0.32711819875000003</v>
      </c>
      <c r="DM70" s="2106">
        <v>3.7219003914110806</v>
      </c>
      <c r="DN70" s="2109">
        <f t="shared" si="51"/>
        <v>0</v>
      </c>
      <c r="DO70" s="2106"/>
      <c r="DP70" s="2106"/>
      <c r="DQ70" s="2106"/>
      <c r="DR70" s="2106">
        <f t="shared" si="174"/>
        <v>0</v>
      </c>
      <c r="DS70" s="2106">
        <f t="shared" si="175"/>
        <v>0.32711819875000003</v>
      </c>
      <c r="DT70" s="2106">
        <v>0.58976299999999993</v>
      </c>
      <c r="DU70" s="2106">
        <f t="shared" si="54"/>
        <v>5.5466042927413231</v>
      </c>
      <c r="DV70" s="2106">
        <v>0.32711819875000003</v>
      </c>
      <c r="DW70" s="2106">
        <v>3.7219003914110806</v>
      </c>
      <c r="DX70" s="2109">
        <f t="shared" si="55"/>
        <v>0.21950391405397726</v>
      </c>
      <c r="DY70" s="2106"/>
      <c r="DZ70" s="2106"/>
      <c r="EA70" s="2106"/>
      <c r="EB70" s="2106">
        <f t="shared" si="176"/>
        <v>9.2685046841524041</v>
      </c>
      <c r="EC70" s="2106">
        <f t="shared" si="177"/>
        <v>0.54662211280397732</v>
      </c>
      <c r="ED70" s="2106">
        <f t="shared" si="178"/>
        <v>14.959400999999998</v>
      </c>
      <c r="EE70" s="2107"/>
      <c r="EF70" s="2106">
        <f t="shared" si="179"/>
        <v>3.4631246239404909</v>
      </c>
      <c r="EG70" s="2106">
        <f t="shared" si="180"/>
        <v>5.18062699625</v>
      </c>
      <c r="EH70" s="2106">
        <f t="shared" si="181"/>
        <v>3.5474762084751776</v>
      </c>
      <c r="EI70" s="2106">
        <f t="shared" si="182"/>
        <v>5.3068119140539771</v>
      </c>
      <c r="EJ70" s="2106"/>
      <c r="EK70" s="2106">
        <f t="shared" si="183"/>
        <v>-2.0408699999999998E-2</v>
      </c>
      <c r="EL70" s="2106"/>
      <c r="EM70" s="2106"/>
      <c r="EN70" s="2106">
        <f t="shared" si="184"/>
        <v>10.467030210303976</v>
      </c>
      <c r="EO70" s="2104">
        <f t="shared" si="185"/>
        <v>6.9969581070150983</v>
      </c>
      <c r="EP70" s="2110"/>
      <c r="ES70" s="2084">
        <f t="shared" si="0"/>
        <v>0</v>
      </c>
      <c r="EU70" s="2084">
        <f t="shared" si="64"/>
        <v>5.0873080000000002</v>
      </c>
      <c r="EV70" s="2084">
        <f t="shared" si="65"/>
        <v>14.369637999999998</v>
      </c>
      <c r="EW70" s="2084">
        <f t="shared" si="66"/>
        <v>3.5403174387552427</v>
      </c>
      <c r="FE70" s="2108"/>
      <c r="FF70" s="2108"/>
      <c r="FG70" s="2108"/>
      <c r="FH70" s="2108"/>
      <c r="FI70" s="2108"/>
      <c r="FJ70" s="2108"/>
      <c r="FK70" s="2108"/>
    </row>
    <row r="71" spans="1:167">
      <c r="A71" s="1760">
        <v>25</v>
      </c>
      <c r="B71" s="1761" t="s">
        <v>1701</v>
      </c>
      <c r="C71" s="2098">
        <v>1980</v>
      </c>
      <c r="D71" s="2099">
        <v>0</v>
      </c>
      <c r="E71" s="2100"/>
      <c r="F71" s="2099"/>
      <c r="G71" s="2101">
        <v>5.58</v>
      </c>
      <c r="H71" s="2102" t="s">
        <v>1649</v>
      </c>
      <c r="I71" s="2103">
        <v>1</v>
      </c>
      <c r="J71" s="2104"/>
      <c r="K71" s="2101"/>
      <c r="L71" s="2101"/>
      <c r="M71" s="2105"/>
      <c r="N71" s="2106">
        <v>0</v>
      </c>
      <c r="O71" s="2106">
        <f t="shared" si="128"/>
        <v>0</v>
      </c>
      <c r="P71" s="2106">
        <v>0</v>
      </c>
      <c r="Q71" s="2106">
        <f t="shared" si="129"/>
        <v>0</v>
      </c>
      <c r="R71" s="2106">
        <v>0</v>
      </c>
      <c r="S71" s="2106">
        <f t="shared" si="130"/>
        <v>0</v>
      </c>
      <c r="T71" s="2106">
        <v>0</v>
      </c>
      <c r="U71" s="2106"/>
      <c r="V71" s="2106">
        <f t="shared" si="131"/>
        <v>0</v>
      </c>
      <c r="W71" s="2106">
        <f t="shared" si="132"/>
        <v>0</v>
      </c>
      <c r="X71" s="2106">
        <v>2.5509789999999999</v>
      </c>
      <c r="Y71" s="2106">
        <f t="shared" si="133"/>
        <v>1.3455590971152642</v>
      </c>
      <c r="Z71" s="2106">
        <v>0.34324929999999998</v>
      </c>
      <c r="AA71" s="2106">
        <f t="shared" si="134"/>
        <v>1.4520001928671309</v>
      </c>
      <c r="AB71" s="2106">
        <v>0.37040220000000001</v>
      </c>
      <c r="AC71" s="2106">
        <f t="shared" si="135"/>
        <v>0</v>
      </c>
      <c r="AD71" s="2106">
        <v>0</v>
      </c>
      <c r="AE71" s="2106"/>
      <c r="AF71" s="2106">
        <f t="shared" si="136"/>
        <v>2.7975592899823951</v>
      </c>
      <c r="AG71" s="2106">
        <f t="shared" si="137"/>
        <v>0.71365149999999999</v>
      </c>
      <c r="AH71" s="2106">
        <v>2.5920999999999998</v>
      </c>
      <c r="AI71" s="2106">
        <f t="shared" si="138"/>
        <v>1.3225458122757612</v>
      </c>
      <c r="AJ71" s="2106">
        <v>0.34281709999999999</v>
      </c>
      <c r="AK71" s="2106">
        <f t="shared" si="139"/>
        <v>1.4350001928937928</v>
      </c>
      <c r="AL71" s="2106">
        <v>0.37196639999999997</v>
      </c>
      <c r="AM71" s="2106">
        <f t="shared" si="140"/>
        <v>1.2652482543111764E-2</v>
      </c>
      <c r="AN71" s="2106">
        <v>3.2796499999999998E-3</v>
      </c>
      <c r="AO71" s="2106">
        <v>0</v>
      </c>
      <c r="AP71" s="2106">
        <f t="shared" si="141"/>
        <v>2.7701984877126655</v>
      </c>
      <c r="AQ71" s="2106">
        <f t="shared" si="142"/>
        <v>0.71806314999999998</v>
      </c>
      <c r="AR71" s="2106">
        <v>2.9648720000000002</v>
      </c>
      <c r="AS71" s="2106">
        <f t="shared" si="143"/>
        <v>1.2409584629623134</v>
      </c>
      <c r="AT71" s="2106">
        <v>0.36792829999999999</v>
      </c>
      <c r="AU71" s="2106">
        <f t="shared" si="144"/>
        <v>1.6960000296808764</v>
      </c>
      <c r="AV71" s="2106">
        <v>0.50284229999999996</v>
      </c>
      <c r="AW71" s="2106">
        <f t="shared" si="145"/>
        <v>9.2061309898032684E-2</v>
      </c>
      <c r="AX71" s="2106">
        <v>2.7295E-2</v>
      </c>
      <c r="AY71" s="2106"/>
      <c r="AZ71" s="2106">
        <f t="shared" si="146"/>
        <v>3.0290198025412223</v>
      </c>
      <c r="BA71" s="2106">
        <f t="shared" si="147"/>
        <v>0.89806559999999991</v>
      </c>
      <c r="BB71" s="2106">
        <v>2.9447130000000001</v>
      </c>
      <c r="BC71" s="2106">
        <f t="shared" si="148"/>
        <v>1.1614242202890399</v>
      </c>
      <c r="BD71" s="2106">
        <v>0.34200609999999998</v>
      </c>
      <c r="BE71" s="2106">
        <f t="shared" si="149"/>
        <v>1.7470001321011592</v>
      </c>
      <c r="BF71" s="2106">
        <v>0.51444140000000005</v>
      </c>
      <c r="BG71" s="2106">
        <f t="shared" si="150"/>
        <v>3.9492473460062155E-2</v>
      </c>
      <c r="BH71" s="2106">
        <v>1.16294E-2</v>
      </c>
      <c r="BI71" s="2106"/>
      <c r="BJ71" s="2106">
        <f t="shared" si="151"/>
        <v>2.9479168258502613</v>
      </c>
      <c r="BK71" s="2106">
        <f t="shared" si="152"/>
        <v>0.86807690000000004</v>
      </c>
      <c r="BL71" s="2106">
        <v>1.894212</v>
      </c>
      <c r="BM71" s="2106">
        <f t="shared" si="153"/>
        <v>2.170730097792644</v>
      </c>
      <c r="BN71" s="2106">
        <v>0.4111823</v>
      </c>
      <c r="BO71" s="2106">
        <f t="shared" si="154"/>
        <v>1.4090001541538117</v>
      </c>
      <c r="BP71" s="2106">
        <v>0.26689449999999998</v>
      </c>
      <c r="BQ71" s="2106">
        <f t="shared" si="155"/>
        <v>-9.604891110393135E-2</v>
      </c>
      <c r="BR71" s="2106">
        <v>-1.81937E-2</v>
      </c>
      <c r="BS71" s="2106"/>
      <c r="BT71" s="2106">
        <f t="shared" si="156"/>
        <v>3.4836813408425242</v>
      </c>
      <c r="BU71" s="2106">
        <f t="shared" si="157"/>
        <v>0.65988309999999994</v>
      </c>
      <c r="BV71" s="2106">
        <v>1.7089380000000001</v>
      </c>
      <c r="BW71" s="2106">
        <f t="shared" si="158"/>
        <v>1.7204883968874238</v>
      </c>
      <c r="BX71" s="2106">
        <v>0.29402080000000003</v>
      </c>
      <c r="BY71" s="2106">
        <f t="shared" si="159"/>
        <v>1.3410000830925406</v>
      </c>
      <c r="BZ71" s="2106">
        <v>0.2291686</v>
      </c>
      <c r="CA71" s="2106">
        <f t="shared" si="160"/>
        <v>-3.3648382796801289E-2</v>
      </c>
      <c r="CB71" s="2106">
        <v>-5.7502999999999999E-3</v>
      </c>
      <c r="CC71" s="2106"/>
      <c r="CD71" s="2106">
        <f t="shared" si="161"/>
        <v>3.0278400971831632</v>
      </c>
      <c r="CE71" s="2106">
        <f t="shared" si="162"/>
        <v>0.51743910000000004</v>
      </c>
      <c r="CF71" s="2106">
        <v>2.007444</v>
      </c>
      <c r="CG71" s="2106">
        <f t="shared" si="163"/>
        <v>1.7104228063148961</v>
      </c>
      <c r="CH71" s="2106">
        <v>0.34335779999999999</v>
      </c>
      <c r="CI71" s="2106">
        <f t="shared" si="164"/>
        <v>1.3690000816959278</v>
      </c>
      <c r="CJ71" s="2106">
        <v>0.27481909999999998</v>
      </c>
      <c r="CK71" s="2106">
        <f t="shared" si="165"/>
        <v>0</v>
      </c>
      <c r="CL71" s="2106">
        <v>0</v>
      </c>
      <c r="CM71" s="2106"/>
      <c r="CN71" s="2106">
        <f t="shared" si="166"/>
        <v>3.0794228880108232</v>
      </c>
      <c r="CO71" s="2106">
        <f t="shared" si="167"/>
        <v>0.61817689999999992</v>
      </c>
      <c r="CP71" s="2106">
        <v>2.0624340000000001</v>
      </c>
      <c r="CQ71" s="2106">
        <f t="shared" si="41"/>
        <v>1.3786991486757878</v>
      </c>
      <c r="CR71" s="2106">
        <v>0.28434759999999998</v>
      </c>
      <c r="CS71" s="2106">
        <f t="shared" si="168"/>
        <v>1.3890000843663362</v>
      </c>
      <c r="CT71" s="2106">
        <v>0.28647210000000001</v>
      </c>
      <c r="CU71" s="2106">
        <f t="shared" si="169"/>
        <v>0</v>
      </c>
      <c r="CV71" s="2106">
        <v>0</v>
      </c>
      <c r="CW71" s="2106"/>
      <c r="CX71" s="2106">
        <f t="shared" si="170"/>
        <v>2.7676992330421237</v>
      </c>
      <c r="CY71" s="2106">
        <f t="shared" si="171"/>
        <v>0.57081969999999993</v>
      </c>
      <c r="CZ71" s="2106">
        <v>3.5790480000000002</v>
      </c>
      <c r="DA71" s="2106">
        <f t="shared" si="46"/>
        <v>0.99993788501858594</v>
      </c>
      <c r="DB71" s="2106">
        <v>0.35788256875000002</v>
      </c>
      <c r="DC71" s="2106">
        <v>1.5644591382049282</v>
      </c>
      <c r="DD71" s="2109">
        <f t="shared" si="47"/>
        <v>0.55992743496740727</v>
      </c>
      <c r="DE71" s="2106"/>
      <c r="DF71" s="2106"/>
      <c r="DG71" s="2106"/>
      <c r="DH71" s="2106">
        <f t="shared" si="172"/>
        <v>2.5643970232235143</v>
      </c>
      <c r="DI71" s="2106">
        <f t="shared" si="173"/>
        <v>0.91781000371740729</v>
      </c>
      <c r="DJ71" s="2106">
        <v>3.3278239999999992</v>
      </c>
      <c r="DK71" s="2106">
        <f t="shared" si="50"/>
        <v>1.0754251689692726</v>
      </c>
      <c r="DL71" s="2106">
        <v>0.35788256875000002</v>
      </c>
      <c r="DM71" s="2106">
        <v>1.5644591382049282</v>
      </c>
      <c r="DN71" s="2109">
        <f t="shared" si="51"/>
        <v>0.52062446671376761</v>
      </c>
      <c r="DO71" s="2106"/>
      <c r="DP71" s="2106"/>
      <c r="DQ71" s="2106"/>
      <c r="DR71" s="2106">
        <f t="shared" si="174"/>
        <v>2.6398843071742011</v>
      </c>
      <c r="DS71" s="2106">
        <f t="shared" si="175"/>
        <v>0.87850703546376763</v>
      </c>
      <c r="DT71" s="2106">
        <v>3.1852680000000007</v>
      </c>
      <c r="DU71" s="2106">
        <f t="shared" si="54"/>
        <v>1.123555596420772</v>
      </c>
      <c r="DV71" s="2106">
        <v>0.35788256875000002</v>
      </c>
      <c r="DW71" s="2106">
        <v>1.5644591382049282</v>
      </c>
      <c r="DX71" s="2109">
        <f t="shared" si="55"/>
        <v>0.49832216302317367</v>
      </c>
      <c r="DY71" s="2106"/>
      <c r="DZ71" s="2106"/>
      <c r="EA71" s="2106"/>
      <c r="EB71" s="2106">
        <f t="shared" si="176"/>
        <v>2.6880147346257006</v>
      </c>
      <c r="EC71" s="2106">
        <f t="shared" si="177"/>
        <v>0.85620473177317369</v>
      </c>
      <c r="ED71" s="2106">
        <f t="shared" si="178"/>
        <v>28.817831999999999</v>
      </c>
      <c r="EE71" s="2107"/>
      <c r="EF71" s="2106">
        <f t="shared" si="179"/>
        <v>1.3195152939506347</v>
      </c>
      <c r="EG71" s="2106">
        <f t="shared" si="180"/>
        <v>3.8025570062500003</v>
      </c>
      <c r="EH71" s="2106">
        <f t="shared" si="181"/>
        <v>1.5254029743473931</v>
      </c>
      <c r="EI71" s="2106">
        <f t="shared" si="182"/>
        <v>4.3958806647043485</v>
      </c>
      <c r="EJ71" s="2106"/>
      <c r="EK71" s="2106">
        <f t="shared" si="183"/>
        <v>1.826005E-2</v>
      </c>
      <c r="EL71" s="2106"/>
      <c r="EM71" s="2106"/>
      <c r="EN71" s="2106">
        <f t="shared" si="184"/>
        <v>8.2166977209543486</v>
      </c>
      <c r="EO71" s="2104">
        <f t="shared" si="185"/>
        <v>2.8512546401666676</v>
      </c>
      <c r="EP71" s="2110"/>
      <c r="ES71" s="2084">
        <f t="shared" si="0"/>
        <v>0</v>
      </c>
      <c r="EU71" s="2084">
        <f t="shared" si="64"/>
        <v>2.8170066</v>
      </c>
      <c r="EV71" s="2084">
        <f t="shared" si="65"/>
        <v>18.725691999999999</v>
      </c>
      <c r="EW71" s="2084">
        <f t="shared" si="66"/>
        <v>1.5043538043881102</v>
      </c>
      <c r="FE71" s="2108"/>
      <c r="FF71" s="2108"/>
      <c r="FG71" s="2108"/>
      <c r="FH71" s="2108"/>
      <c r="FI71" s="2108"/>
      <c r="FJ71" s="2108"/>
      <c r="FK71" s="2108"/>
    </row>
    <row r="72" spans="1:167">
      <c r="A72" s="1760">
        <v>26</v>
      </c>
      <c r="B72" s="1761" t="s">
        <v>1702</v>
      </c>
      <c r="C72" s="2098">
        <v>1000</v>
      </c>
      <c r="D72" s="2099">
        <v>0</v>
      </c>
      <c r="E72" s="2100"/>
      <c r="F72" s="2099"/>
      <c r="G72" s="2101">
        <v>2.37</v>
      </c>
      <c r="H72" s="2102" t="s">
        <v>1649</v>
      </c>
      <c r="I72" s="2103">
        <v>1</v>
      </c>
      <c r="J72" s="2104"/>
      <c r="K72" s="2101"/>
      <c r="L72" s="2101"/>
      <c r="M72" s="2105"/>
      <c r="N72" s="2106">
        <v>0</v>
      </c>
      <c r="O72" s="2106">
        <f t="shared" si="128"/>
        <v>0</v>
      </c>
      <c r="P72" s="2106">
        <v>0</v>
      </c>
      <c r="Q72" s="2106">
        <f t="shared" si="129"/>
        <v>0</v>
      </c>
      <c r="R72" s="2106">
        <v>0</v>
      </c>
      <c r="S72" s="2106">
        <f t="shared" si="130"/>
        <v>0</v>
      </c>
      <c r="T72" s="2106">
        <v>0</v>
      </c>
      <c r="U72" s="2106"/>
      <c r="V72" s="2106">
        <f t="shared" si="131"/>
        <v>0</v>
      </c>
      <c r="W72" s="2106">
        <f t="shared" si="132"/>
        <v>0</v>
      </c>
      <c r="X72" s="2106">
        <v>0.98756100000000002</v>
      </c>
      <c r="Y72" s="2106">
        <f t="shared" si="133"/>
        <v>1.1415558127548577</v>
      </c>
      <c r="Z72" s="2106">
        <v>0.11273560000000001</v>
      </c>
      <c r="AA72" s="2106">
        <f t="shared" si="134"/>
        <v>1.5060001356878205</v>
      </c>
      <c r="AB72" s="2106">
        <v>0.14872669999999999</v>
      </c>
      <c r="AC72" s="2106">
        <f t="shared" si="135"/>
        <v>3.1328697670321128E-2</v>
      </c>
      <c r="AD72" s="2106">
        <v>3.0939000000000001E-3</v>
      </c>
      <c r="AE72" s="2106"/>
      <c r="AF72" s="2106">
        <f t="shared" si="136"/>
        <v>2.6788846461129987</v>
      </c>
      <c r="AG72" s="2106">
        <f t="shared" si="137"/>
        <v>0.26455619999999996</v>
      </c>
      <c r="AH72" s="2106">
        <v>0.897783</v>
      </c>
      <c r="AI72" s="2106">
        <f t="shared" si="138"/>
        <v>1.2577961489580445</v>
      </c>
      <c r="AJ72" s="2106">
        <v>0.1129228</v>
      </c>
      <c r="AK72" s="2106">
        <f t="shared" si="139"/>
        <v>1.4789999365102702</v>
      </c>
      <c r="AL72" s="2106">
        <v>0.13278209999999999</v>
      </c>
      <c r="AM72" s="2106">
        <f t="shared" si="140"/>
        <v>1.2484085798015777E-2</v>
      </c>
      <c r="AN72" s="2106">
        <v>1.1207999999999999E-3</v>
      </c>
      <c r="AO72" s="2106">
        <v>0</v>
      </c>
      <c r="AP72" s="2106">
        <f t="shared" si="141"/>
        <v>2.7492801712663306</v>
      </c>
      <c r="AQ72" s="2106">
        <f t="shared" si="142"/>
        <v>0.24682570000000001</v>
      </c>
      <c r="AR72" s="2106">
        <v>0.86319000000000001</v>
      </c>
      <c r="AS72" s="2106">
        <f t="shared" si="143"/>
        <v>1.3123761860077154</v>
      </c>
      <c r="AT72" s="2106">
        <v>0.11328299999999999</v>
      </c>
      <c r="AU72" s="2106">
        <f t="shared" si="144"/>
        <v>1.7479998609807805</v>
      </c>
      <c r="AV72" s="2106">
        <v>0.15088560000000001</v>
      </c>
      <c r="AW72" s="2106">
        <f t="shared" si="145"/>
        <v>8.3870295068293188E-2</v>
      </c>
      <c r="AX72" s="2106">
        <v>7.2395999999999997E-3</v>
      </c>
      <c r="AY72" s="2106"/>
      <c r="AZ72" s="2106">
        <f t="shared" si="146"/>
        <v>3.144246342056789</v>
      </c>
      <c r="BA72" s="2106">
        <f t="shared" si="147"/>
        <v>0.27140819999999999</v>
      </c>
      <c r="BB72" s="2106">
        <v>1.051825</v>
      </c>
      <c r="BC72" s="2106">
        <f t="shared" si="148"/>
        <v>1.067837330354384</v>
      </c>
      <c r="BD72" s="2106">
        <v>0.1123178</v>
      </c>
      <c r="BE72" s="2106">
        <f t="shared" si="149"/>
        <v>1.7979996672450267</v>
      </c>
      <c r="BF72" s="2106">
        <v>0.18911810000000001</v>
      </c>
      <c r="BG72" s="2106">
        <f t="shared" si="150"/>
        <v>3.2573859720010458E-2</v>
      </c>
      <c r="BH72" s="2106">
        <v>3.4261999999999999E-3</v>
      </c>
      <c r="BI72" s="2106"/>
      <c r="BJ72" s="2106">
        <f t="shared" si="151"/>
        <v>2.8984108573194205</v>
      </c>
      <c r="BK72" s="2106">
        <f t="shared" si="152"/>
        <v>0.30486209999999997</v>
      </c>
      <c r="BL72" s="2106">
        <v>1.2061660000000001</v>
      </c>
      <c r="BM72" s="2106">
        <f t="shared" si="153"/>
        <v>1.1578746209062434</v>
      </c>
      <c r="BN72" s="2106">
        <v>0.1396589</v>
      </c>
      <c r="BO72" s="2106">
        <f t="shared" si="154"/>
        <v>1.4539996982173264</v>
      </c>
      <c r="BP72" s="2106">
        <v>0.17537649999999999</v>
      </c>
      <c r="BQ72" s="2106">
        <f t="shared" si="155"/>
        <v>3.271771878829282E-2</v>
      </c>
      <c r="BR72" s="2106">
        <v>3.9462999999999998E-3</v>
      </c>
      <c r="BS72" s="2106"/>
      <c r="BT72" s="2106">
        <f t="shared" si="156"/>
        <v>2.6445920379118624</v>
      </c>
      <c r="BU72" s="2106">
        <f t="shared" si="157"/>
        <v>0.31898169999999998</v>
      </c>
      <c r="BV72" s="2106">
        <v>0.78687600000000002</v>
      </c>
      <c r="BW72" s="2106">
        <f t="shared" si="158"/>
        <v>1.2767233973332521</v>
      </c>
      <c r="BX72" s="2106">
        <v>0.1004623</v>
      </c>
      <c r="BY72" s="2106">
        <f t="shared" si="159"/>
        <v>1.3820004676721618</v>
      </c>
      <c r="BZ72" s="2106">
        <v>0.1087463</v>
      </c>
      <c r="CA72" s="2106">
        <f t="shared" si="160"/>
        <v>-4.7269201246447977E-2</v>
      </c>
      <c r="CB72" s="2106">
        <v>-3.7195000000000001E-3</v>
      </c>
      <c r="CC72" s="2106"/>
      <c r="CD72" s="2106">
        <f t="shared" si="161"/>
        <v>2.6114546637589662</v>
      </c>
      <c r="CE72" s="2106">
        <f t="shared" si="162"/>
        <v>0.20548910000000004</v>
      </c>
      <c r="CF72" s="2106">
        <v>0.96484199999999998</v>
      </c>
      <c r="CG72" s="2106">
        <f t="shared" si="163"/>
        <v>1.1694805988959851</v>
      </c>
      <c r="CH72" s="2106">
        <v>0.1128364</v>
      </c>
      <c r="CI72" s="2106">
        <f t="shared" si="164"/>
        <v>1.4109999357407741</v>
      </c>
      <c r="CJ72" s="2106">
        <v>0.13613919999999999</v>
      </c>
      <c r="CK72" s="2106">
        <f t="shared" si="165"/>
        <v>3.5934380966002724E-2</v>
      </c>
      <c r="CL72" s="2106">
        <v>3.4670999999999999E-3</v>
      </c>
      <c r="CM72" s="2106"/>
      <c r="CN72" s="2106">
        <f t="shared" si="166"/>
        <v>2.6164149156027614</v>
      </c>
      <c r="CO72" s="2106">
        <f t="shared" si="167"/>
        <v>0.25244269999999996</v>
      </c>
      <c r="CP72" s="2106">
        <v>0.97380900000000004</v>
      </c>
      <c r="CQ72" s="2106">
        <f t="shared" si="41"/>
        <v>1.1649245385902163</v>
      </c>
      <c r="CR72" s="2106">
        <v>0.1134414</v>
      </c>
      <c r="CS72" s="2106">
        <f t="shared" si="168"/>
        <v>1.431999498875036</v>
      </c>
      <c r="CT72" s="2106">
        <v>0.1394494</v>
      </c>
      <c r="CU72" s="2106">
        <f t="shared" si="169"/>
        <v>2.2432530403806085E-2</v>
      </c>
      <c r="CV72" s="2106">
        <v>2.1844999999999998E-3</v>
      </c>
      <c r="CW72" s="2106"/>
      <c r="CX72" s="2106">
        <f t="shared" si="170"/>
        <v>2.6193565678690578</v>
      </c>
      <c r="CY72" s="2106">
        <f t="shared" si="171"/>
        <v>0.25507529999999995</v>
      </c>
      <c r="CZ72" s="2106">
        <v>0.76832866666666666</v>
      </c>
      <c r="DA72" s="2106">
        <f t="shared" si="46"/>
        <v>1.5500308027901253</v>
      </c>
      <c r="DB72" s="2106">
        <v>0.11909330999999999</v>
      </c>
      <c r="DC72" s="2106">
        <v>1.5957975793461732</v>
      </c>
      <c r="DD72" s="2109">
        <f t="shared" si="47"/>
        <v>0.12260970264089395</v>
      </c>
      <c r="DE72" s="2106"/>
      <c r="DF72" s="2106"/>
      <c r="DG72" s="2106"/>
      <c r="DH72" s="2106">
        <f t="shared" si="172"/>
        <v>3.1458283821362985</v>
      </c>
      <c r="DI72" s="2106">
        <f t="shared" si="173"/>
        <v>0.24170301264089394</v>
      </c>
      <c r="DJ72" s="2106">
        <v>0.83396733333333339</v>
      </c>
      <c r="DK72" s="2106">
        <f t="shared" si="50"/>
        <v>1.4280332722864442</v>
      </c>
      <c r="DL72" s="2106">
        <v>0.11909330999999999</v>
      </c>
      <c r="DM72" s="2106">
        <v>1.5957975793461732</v>
      </c>
      <c r="DN72" s="2109">
        <f t="shared" si="51"/>
        <v>0.13308430517871167</v>
      </c>
      <c r="DO72" s="2106"/>
      <c r="DP72" s="2106"/>
      <c r="DQ72" s="2106"/>
      <c r="DR72" s="2106">
        <f t="shared" si="174"/>
        <v>3.023830851632618</v>
      </c>
      <c r="DS72" s="2106">
        <f t="shared" si="175"/>
        <v>0.25217761517871168</v>
      </c>
      <c r="DT72" s="2106">
        <v>1.0078783333333334</v>
      </c>
      <c r="DU72" s="2106">
        <f t="shared" si="54"/>
        <v>1.1816238732518971</v>
      </c>
      <c r="DV72" s="2106">
        <v>0.11909330999999999</v>
      </c>
      <c r="DW72" s="2106">
        <v>1.5957975793461732</v>
      </c>
      <c r="DX72" s="2109">
        <f t="shared" si="55"/>
        <v>0.16083698046087888</v>
      </c>
      <c r="DY72" s="2106"/>
      <c r="DZ72" s="2106"/>
      <c r="EA72" s="2106"/>
      <c r="EB72" s="2106">
        <f t="shared" si="176"/>
        <v>2.7774214525980701</v>
      </c>
      <c r="EC72" s="2106">
        <f t="shared" si="177"/>
        <v>0.27993029046087886</v>
      </c>
      <c r="ED72" s="2106">
        <f t="shared" si="178"/>
        <v>10.342226333333334</v>
      </c>
      <c r="EE72" s="2107"/>
      <c r="EF72" s="2106">
        <f t="shared" si="179"/>
        <v>1.2327501728431842</v>
      </c>
      <c r="EG72" s="2106">
        <f t="shared" si="180"/>
        <v>1.27493813</v>
      </c>
      <c r="EH72" s="2106">
        <f t="shared" si="181"/>
        <v>1.5448848601687124</v>
      </c>
      <c r="EI72" s="2106">
        <f t="shared" si="182"/>
        <v>1.5977548882804842</v>
      </c>
      <c r="EJ72" s="2106"/>
      <c r="EK72" s="2106">
        <f t="shared" si="183"/>
        <v>2.07589E-2</v>
      </c>
      <c r="EL72" s="2106"/>
      <c r="EM72" s="2106"/>
      <c r="EN72" s="2106">
        <f t="shared" si="184"/>
        <v>2.8934519182804843</v>
      </c>
      <c r="EO72" s="2104">
        <f t="shared" si="185"/>
        <v>2.7977070168681131</v>
      </c>
      <c r="EP72" s="2110"/>
      <c r="ES72" s="2084">
        <f t="shared" si="0"/>
        <v>0</v>
      </c>
      <c r="EU72" s="2084">
        <f t="shared" si="64"/>
        <v>1.1812238999999998</v>
      </c>
      <c r="EV72" s="2084">
        <f t="shared" si="65"/>
        <v>7.7320520000000004</v>
      </c>
      <c r="EW72" s="2084">
        <f t="shared" si="66"/>
        <v>1.5276978220011967</v>
      </c>
      <c r="FE72" s="2108"/>
      <c r="FF72" s="2108"/>
      <c r="FG72" s="2108"/>
      <c r="FH72" s="2108"/>
      <c r="FI72" s="2108"/>
      <c r="FJ72" s="2108"/>
      <c r="FK72" s="2108"/>
    </row>
    <row r="73" spans="1:167">
      <c r="A73" s="1760">
        <v>27</v>
      </c>
      <c r="B73" s="1761" t="s">
        <v>1703</v>
      </c>
      <c r="C73" s="2098">
        <v>1260</v>
      </c>
      <c r="D73" s="2099">
        <v>0</v>
      </c>
      <c r="E73" s="2100"/>
      <c r="F73" s="2099"/>
      <c r="G73" s="2101">
        <v>3.27</v>
      </c>
      <c r="H73" s="2102" t="s">
        <v>1649</v>
      </c>
      <c r="I73" s="2103">
        <v>1</v>
      </c>
      <c r="J73" s="2104"/>
      <c r="K73" s="2101"/>
      <c r="L73" s="2101"/>
      <c r="M73" s="2105"/>
      <c r="N73" s="2106">
        <v>0</v>
      </c>
      <c r="O73" s="2106">
        <f t="shared" si="128"/>
        <v>0</v>
      </c>
      <c r="P73" s="2106">
        <v>0</v>
      </c>
      <c r="Q73" s="2106">
        <f t="shared" si="129"/>
        <v>0</v>
      </c>
      <c r="R73" s="2106">
        <v>0</v>
      </c>
      <c r="S73" s="2106">
        <f t="shared" si="130"/>
        <v>0</v>
      </c>
      <c r="T73" s="2106">
        <v>0</v>
      </c>
      <c r="U73" s="2106"/>
      <c r="V73" s="2106">
        <f t="shared" si="131"/>
        <v>0</v>
      </c>
      <c r="W73" s="2106">
        <f t="shared" si="132"/>
        <v>0</v>
      </c>
      <c r="X73" s="2106">
        <v>1.3272349999999999</v>
      </c>
      <c r="Y73" s="2106">
        <f t="shared" si="133"/>
        <v>0.79261472158283952</v>
      </c>
      <c r="Z73" s="2106">
        <v>0.1051986</v>
      </c>
      <c r="AA73" s="2106">
        <f t="shared" si="134"/>
        <v>1.5319999849310786</v>
      </c>
      <c r="AB73" s="2106">
        <v>0.2033324</v>
      </c>
      <c r="AC73" s="2106">
        <f t="shared" si="135"/>
        <v>3.0598198510437113E-2</v>
      </c>
      <c r="AD73" s="2106">
        <v>4.0610999999999998E-3</v>
      </c>
      <c r="AE73" s="2106"/>
      <c r="AF73" s="2106">
        <f t="shared" si="136"/>
        <v>2.3552129050243549</v>
      </c>
      <c r="AG73" s="2106">
        <f t="shared" si="137"/>
        <v>0.31259209999999998</v>
      </c>
      <c r="AH73" s="2106">
        <v>1.573145</v>
      </c>
      <c r="AI73" s="2106">
        <f t="shared" si="138"/>
        <v>0.87936712763286284</v>
      </c>
      <c r="AJ73" s="2106">
        <v>0.13833719999999999</v>
      </c>
      <c r="AK73" s="2106">
        <f t="shared" si="139"/>
        <v>1.6730002638027646</v>
      </c>
      <c r="AL73" s="2106">
        <v>0.26318720000000001</v>
      </c>
      <c r="AM73" s="2106">
        <f t="shared" si="140"/>
        <v>2.266161097673768E-3</v>
      </c>
      <c r="AN73" s="2106">
        <v>3.5649999999999999E-4</v>
      </c>
      <c r="AO73" s="2106">
        <v>0</v>
      </c>
      <c r="AP73" s="2106">
        <f t="shared" si="141"/>
        <v>2.5546335525333008</v>
      </c>
      <c r="AQ73" s="2106">
        <f t="shared" si="142"/>
        <v>0.40188089999999999</v>
      </c>
      <c r="AR73" s="2106">
        <v>2.2907039999999999</v>
      </c>
      <c r="AS73" s="2106">
        <f t="shared" si="143"/>
        <v>0.79645777018768027</v>
      </c>
      <c r="AT73" s="2106">
        <v>0.18244489999999999</v>
      </c>
      <c r="AU73" s="2106">
        <f t="shared" si="144"/>
        <v>1.6630001082636605</v>
      </c>
      <c r="AV73" s="2106">
        <v>0.38094410000000001</v>
      </c>
      <c r="AW73" s="2106">
        <f t="shared" si="145"/>
        <v>8.0941492222478331E-2</v>
      </c>
      <c r="AX73" s="2106">
        <v>1.85413E-2</v>
      </c>
      <c r="AY73" s="2106"/>
      <c r="AZ73" s="2106">
        <f t="shared" si="146"/>
        <v>2.5403993706738195</v>
      </c>
      <c r="BA73" s="2106">
        <f t="shared" si="147"/>
        <v>0.58193030000000001</v>
      </c>
      <c r="BB73" s="2106">
        <v>1.764276</v>
      </c>
      <c r="BC73" s="2106">
        <f t="shared" si="148"/>
        <v>0.91334802491220191</v>
      </c>
      <c r="BD73" s="2106">
        <v>0.1611398</v>
      </c>
      <c r="BE73" s="2106">
        <f t="shared" si="149"/>
        <v>1.663000006801657</v>
      </c>
      <c r="BF73" s="2106">
        <v>0.29339910000000002</v>
      </c>
      <c r="BG73" s="2106">
        <f t="shared" si="150"/>
        <v>-2.6198281901471197E-2</v>
      </c>
      <c r="BH73" s="2106">
        <v>-4.6220999999999996E-3</v>
      </c>
      <c r="BI73" s="2106"/>
      <c r="BJ73" s="2106">
        <f t="shared" si="151"/>
        <v>2.5501497498123875</v>
      </c>
      <c r="BK73" s="2106">
        <f t="shared" si="152"/>
        <v>0.44991680000000001</v>
      </c>
      <c r="BL73" s="2106">
        <v>1.466683</v>
      </c>
      <c r="BM73" s="2106">
        <f t="shared" si="153"/>
        <v>0.91713410464292577</v>
      </c>
      <c r="BN73" s="2106">
        <v>0.13451450000000001</v>
      </c>
      <c r="BO73" s="2106">
        <f t="shared" si="154"/>
        <v>1.6839998827285787</v>
      </c>
      <c r="BP73" s="2106">
        <v>0.2469894</v>
      </c>
      <c r="BQ73" s="2106">
        <f t="shared" si="155"/>
        <v>0</v>
      </c>
      <c r="BR73" s="2106">
        <v>0</v>
      </c>
      <c r="BS73" s="2106"/>
      <c r="BT73" s="2106">
        <f t="shared" si="156"/>
        <v>2.6011339873715045</v>
      </c>
      <c r="BU73" s="2106">
        <f t="shared" si="157"/>
        <v>0.38150390000000001</v>
      </c>
      <c r="BV73" s="2106">
        <v>0.873475</v>
      </c>
      <c r="BW73" s="2106">
        <f t="shared" si="158"/>
        <v>1.0592758808208593</v>
      </c>
      <c r="BX73" s="2106">
        <v>9.2525099999999999E-2</v>
      </c>
      <c r="BY73" s="2106">
        <f t="shared" si="159"/>
        <v>1.6840001144852457</v>
      </c>
      <c r="BZ73" s="2106">
        <v>0.14709320000000001</v>
      </c>
      <c r="CA73" s="2106">
        <f t="shared" si="160"/>
        <v>-0.12240876956982169</v>
      </c>
      <c r="CB73" s="2106">
        <v>-1.06921E-2</v>
      </c>
      <c r="CC73" s="2106"/>
      <c r="CD73" s="2106">
        <f t="shared" si="161"/>
        <v>2.6208672257362831</v>
      </c>
      <c r="CE73" s="2106">
        <f t="shared" si="162"/>
        <v>0.2289262</v>
      </c>
      <c r="CF73" s="2106">
        <v>1.147051</v>
      </c>
      <c r="CG73" s="2106">
        <f t="shared" si="163"/>
        <v>0.89218090564412567</v>
      </c>
      <c r="CH73" s="2106">
        <v>0.1023377</v>
      </c>
      <c r="CI73" s="2106">
        <f t="shared" si="164"/>
        <v>1.6440001360009275</v>
      </c>
      <c r="CJ73" s="2106">
        <v>0.1885752</v>
      </c>
      <c r="CK73" s="2106">
        <f t="shared" si="165"/>
        <v>0</v>
      </c>
      <c r="CL73" s="2106">
        <v>0</v>
      </c>
      <c r="CM73" s="2106"/>
      <c r="CN73" s="2106">
        <f t="shared" si="166"/>
        <v>2.5361810416450536</v>
      </c>
      <c r="CO73" s="2106">
        <f t="shared" si="167"/>
        <v>0.29091290000000003</v>
      </c>
      <c r="CP73" s="2106">
        <v>1.1749289999999999</v>
      </c>
      <c r="CQ73" s="2106">
        <f t="shared" si="41"/>
        <v>0.90199237570951096</v>
      </c>
      <c r="CR73" s="2106">
        <v>0.10597769999999999</v>
      </c>
      <c r="CS73" s="2106">
        <f t="shared" si="168"/>
        <v>1.6250003191682225</v>
      </c>
      <c r="CT73" s="2106">
        <v>0.19092600000000001</v>
      </c>
      <c r="CU73" s="2106">
        <f t="shared" si="169"/>
        <v>0</v>
      </c>
      <c r="CV73" s="2106">
        <v>0</v>
      </c>
      <c r="CW73" s="2106"/>
      <c r="CX73" s="2106">
        <f t="shared" si="170"/>
        <v>2.526992694877733</v>
      </c>
      <c r="CY73" s="2106">
        <f t="shared" si="171"/>
        <v>0.29690369999999999</v>
      </c>
      <c r="CZ73" s="2106">
        <v>1.3453523333333333</v>
      </c>
      <c r="DA73" s="2106">
        <f t="shared" si="46"/>
        <v>0.93047326264222752</v>
      </c>
      <c r="DB73" s="2106">
        <v>0.12518143750000002</v>
      </c>
      <c r="DC73" s="2106">
        <v>1.7565122802050905</v>
      </c>
      <c r="DD73" s="2109">
        <f t="shared" si="47"/>
        <v>0.23631278947025725</v>
      </c>
      <c r="DE73" s="2106"/>
      <c r="DF73" s="2106"/>
      <c r="DG73" s="2106"/>
      <c r="DH73" s="2106">
        <f t="shared" si="172"/>
        <v>2.6869855428473177</v>
      </c>
      <c r="DI73" s="2106">
        <f t="shared" si="173"/>
        <v>0.36149422697025724</v>
      </c>
      <c r="DJ73" s="2106">
        <v>1.1655813333333334</v>
      </c>
      <c r="DK73" s="2106">
        <f t="shared" si="50"/>
        <v>1.0739828609128952</v>
      </c>
      <c r="DL73" s="2106">
        <v>0.12518143750000002</v>
      </c>
      <c r="DM73" s="2106">
        <v>1.7565122802050905</v>
      </c>
      <c r="DN73" s="2109">
        <f t="shared" si="51"/>
        <v>0.20473579255778232</v>
      </c>
      <c r="DO73" s="2106"/>
      <c r="DP73" s="2106"/>
      <c r="DQ73" s="2106"/>
      <c r="DR73" s="2106">
        <f t="shared" si="174"/>
        <v>2.8304951411179857</v>
      </c>
      <c r="DS73" s="2106">
        <f t="shared" si="175"/>
        <v>0.32991723005778234</v>
      </c>
      <c r="DT73" s="2106">
        <v>1.2317346666666662</v>
      </c>
      <c r="DU73" s="2106">
        <f t="shared" si="54"/>
        <v>1.0163019754795681</v>
      </c>
      <c r="DV73" s="2106">
        <v>0.12518143750000002</v>
      </c>
      <c r="DW73" s="2106">
        <v>1.7565122802050905</v>
      </c>
      <c r="DX73" s="2109">
        <f t="shared" si="55"/>
        <v>0.21635570679543231</v>
      </c>
      <c r="DY73" s="2106"/>
      <c r="DZ73" s="2106"/>
      <c r="EA73" s="2106"/>
      <c r="EB73" s="2106">
        <f t="shared" si="176"/>
        <v>2.7728142556846591</v>
      </c>
      <c r="EC73" s="2106">
        <f t="shared" si="177"/>
        <v>0.34153714429543236</v>
      </c>
      <c r="ED73" s="2106">
        <f t="shared" si="178"/>
        <v>15.360166333333334</v>
      </c>
      <c r="EE73" s="2107"/>
      <c r="EF73" s="2106">
        <f t="shared" si="179"/>
        <v>0.91015929265436113</v>
      </c>
      <c r="EG73" s="2106">
        <f t="shared" si="180"/>
        <v>1.3980198124999998</v>
      </c>
      <c r="EH73" s="2106">
        <f t="shared" si="181"/>
        <v>1.6743639574021141</v>
      </c>
      <c r="EI73" s="2106">
        <f t="shared" si="182"/>
        <v>2.5718508888234721</v>
      </c>
      <c r="EJ73" s="2106"/>
      <c r="EK73" s="2106">
        <f t="shared" si="183"/>
        <v>7.6447000000000008E-3</v>
      </c>
      <c r="EL73" s="2106"/>
      <c r="EM73" s="2106"/>
      <c r="EN73" s="2106">
        <f t="shared" si="184"/>
        <v>3.9775154013234721</v>
      </c>
      <c r="EO73" s="2104">
        <f t="shared" si="185"/>
        <v>2.5895002143901298</v>
      </c>
      <c r="EP73" s="2110"/>
      <c r="ES73" s="2084">
        <f t="shared" si="0"/>
        <v>0</v>
      </c>
      <c r="EU73" s="2084">
        <f t="shared" si="64"/>
        <v>1.9144466</v>
      </c>
      <c r="EV73" s="2084">
        <f t="shared" si="65"/>
        <v>11.617498000000001</v>
      </c>
      <c r="EW73" s="2084">
        <f t="shared" si="66"/>
        <v>1.647899229248845</v>
      </c>
      <c r="FE73" s="2108"/>
      <c r="FF73" s="2108"/>
      <c r="FG73" s="2108"/>
      <c r="FH73" s="2108"/>
      <c r="FI73" s="2108"/>
      <c r="FJ73" s="2108"/>
      <c r="FK73" s="2108"/>
    </row>
    <row r="74" spans="1:167">
      <c r="A74" s="1760">
        <v>28</v>
      </c>
      <c r="B74" s="1761" t="s">
        <v>1704</v>
      </c>
      <c r="C74" s="2098">
        <v>1000</v>
      </c>
      <c r="D74" s="2099">
        <v>0</v>
      </c>
      <c r="E74" s="2100"/>
      <c r="F74" s="2099"/>
      <c r="G74" s="2101">
        <v>2.48</v>
      </c>
      <c r="H74" s="2102" t="s">
        <v>1649</v>
      </c>
      <c r="I74" s="2103">
        <v>1</v>
      </c>
      <c r="J74" s="2104"/>
      <c r="K74" s="2101"/>
      <c r="L74" s="2101"/>
      <c r="M74" s="2105"/>
      <c r="N74" s="2106">
        <v>0</v>
      </c>
      <c r="O74" s="2106">
        <f t="shared" si="128"/>
        <v>0</v>
      </c>
      <c r="P74" s="2106">
        <v>0</v>
      </c>
      <c r="Q74" s="2106">
        <f t="shared" si="129"/>
        <v>0</v>
      </c>
      <c r="R74" s="2106">
        <v>0</v>
      </c>
      <c r="S74" s="2106">
        <f t="shared" si="130"/>
        <v>0</v>
      </c>
      <c r="T74" s="2106">
        <v>0</v>
      </c>
      <c r="U74" s="2106"/>
      <c r="V74" s="2106">
        <f t="shared" si="131"/>
        <v>0</v>
      </c>
      <c r="W74" s="2106">
        <f t="shared" si="132"/>
        <v>0</v>
      </c>
      <c r="X74" s="2106">
        <v>1.021001</v>
      </c>
      <c r="Y74" s="2106">
        <f t="shared" si="133"/>
        <v>0.64392689135466075</v>
      </c>
      <c r="Z74" s="2106">
        <v>6.5744999999999998E-2</v>
      </c>
      <c r="AA74" s="2106">
        <f t="shared" si="134"/>
        <v>1.4749995347702891</v>
      </c>
      <c r="AB74" s="2106">
        <v>0.1505976</v>
      </c>
      <c r="AC74" s="2106">
        <f t="shared" si="135"/>
        <v>3.4371171037050889E-2</v>
      </c>
      <c r="AD74" s="2106">
        <v>3.5092999999999999E-3</v>
      </c>
      <c r="AE74" s="2106"/>
      <c r="AF74" s="2106">
        <f t="shared" si="136"/>
        <v>2.1532975971620005</v>
      </c>
      <c r="AG74" s="2106">
        <f t="shared" si="137"/>
        <v>0.21985189999999999</v>
      </c>
      <c r="AH74" s="2106">
        <v>0.76629599999999998</v>
      </c>
      <c r="AI74" s="2106">
        <f t="shared" si="138"/>
        <v>0.82768930021819243</v>
      </c>
      <c r="AJ74" s="2106">
        <v>6.3425499999999996E-2</v>
      </c>
      <c r="AK74" s="2106">
        <f t="shared" si="139"/>
        <v>1.6110001879169409</v>
      </c>
      <c r="AL74" s="2106">
        <v>0.1234503</v>
      </c>
      <c r="AM74" s="2106">
        <f t="shared" si="140"/>
        <v>0</v>
      </c>
      <c r="AN74" s="2106">
        <v>0</v>
      </c>
      <c r="AO74" s="2106">
        <v>0</v>
      </c>
      <c r="AP74" s="2106">
        <f t="shared" si="141"/>
        <v>2.4386894881351329</v>
      </c>
      <c r="AQ74" s="2106">
        <f t="shared" si="142"/>
        <v>0.18687579999999998</v>
      </c>
      <c r="AR74" s="2106">
        <v>0.63178100000000004</v>
      </c>
      <c r="AS74" s="2106">
        <f t="shared" si="143"/>
        <v>0.75059237299000758</v>
      </c>
      <c r="AT74" s="2106">
        <v>4.7420999999999998E-2</v>
      </c>
      <c r="AU74" s="2106">
        <f t="shared" si="144"/>
        <v>1.6019997435820323</v>
      </c>
      <c r="AV74" s="2106">
        <v>0.1012113</v>
      </c>
      <c r="AW74" s="2106">
        <f t="shared" si="145"/>
        <v>0.41857225842499213</v>
      </c>
      <c r="AX74" s="2106">
        <v>2.6444599999999999E-2</v>
      </c>
      <c r="AY74" s="2106"/>
      <c r="AZ74" s="2106">
        <f t="shared" si="146"/>
        <v>2.7711643749970314</v>
      </c>
      <c r="BA74" s="2106">
        <f t="shared" si="147"/>
        <v>0.17507689999999998</v>
      </c>
      <c r="BB74" s="2106">
        <v>0.65856599999999998</v>
      </c>
      <c r="BC74" s="2106">
        <f t="shared" si="148"/>
        <v>0.71477422156625159</v>
      </c>
      <c r="BD74" s="2106">
        <v>4.7072599999999999E-2</v>
      </c>
      <c r="BE74" s="2106">
        <f t="shared" si="149"/>
        <v>1.602000406944786</v>
      </c>
      <c r="BF74" s="2106">
        <v>0.10550229999999999</v>
      </c>
      <c r="BG74" s="2106">
        <f t="shared" si="150"/>
        <v>0</v>
      </c>
      <c r="BH74" s="2106">
        <v>0</v>
      </c>
      <c r="BI74" s="2106"/>
      <c r="BJ74" s="2106">
        <f t="shared" si="151"/>
        <v>2.3167746285110375</v>
      </c>
      <c r="BK74" s="2106">
        <f t="shared" si="152"/>
        <v>0.15257489999999999</v>
      </c>
      <c r="BL74" s="2106">
        <v>0.97209900000000005</v>
      </c>
      <c r="BM74" s="2106">
        <f t="shared" si="153"/>
        <v>0.80496122308530305</v>
      </c>
      <c r="BN74" s="2106">
        <v>7.8250200000000006E-2</v>
      </c>
      <c r="BO74" s="2106">
        <f t="shared" si="154"/>
        <v>1.6220004341121632</v>
      </c>
      <c r="BP74" s="2106">
        <v>0.1576745</v>
      </c>
      <c r="BQ74" s="2106">
        <f t="shared" si="155"/>
        <v>0</v>
      </c>
      <c r="BR74" s="2106">
        <v>0</v>
      </c>
      <c r="BS74" s="2106"/>
      <c r="BT74" s="2106">
        <f t="shared" si="156"/>
        <v>2.4269616571974661</v>
      </c>
      <c r="BU74" s="2106">
        <f t="shared" si="157"/>
        <v>0.23592469999999999</v>
      </c>
      <c r="BV74" s="2106">
        <v>0.53691699999999998</v>
      </c>
      <c r="BW74" s="2106">
        <f t="shared" si="158"/>
        <v>1.1150606145828872</v>
      </c>
      <c r="BX74" s="2106">
        <v>5.9869499999999999E-2</v>
      </c>
      <c r="BY74" s="2106">
        <f t="shared" si="159"/>
        <v>1.6249997671893421</v>
      </c>
      <c r="BZ74" s="2106">
        <v>8.7248999999999993E-2</v>
      </c>
      <c r="CA74" s="2106">
        <f t="shared" si="160"/>
        <v>-0.1788451473877713</v>
      </c>
      <c r="CB74" s="2106">
        <v>-9.6024999999999999E-3</v>
      </c>
      <c r="CC74" s="2106"/>
      <c r="CD74" s="2106">
        <f t="shared" si="161"/>
        <v>2.5612152343844574</v>
      </c>
      <c r="CE74" s="2106">
        <f t="shared" si="162"/>
        <v>0.13751599999999997</v>
      </c>
      <c r="CF74" s="2106">
        <v>0.83591000000000004</v>
      </c>
      <c r="CG74" s="2106">
        <f t="shared" si="163"/>
        <v>0.87490399684176512</v>
      </c>
      <c r="CH74" s="2106">
        <v>7.3134099999999994E-2</v>
      </c>
      <c r="CI74" s="2106">
        <f t="shared" si="164"/>
        <v>1.5820004545943942</v>
      </c>
      <c r="CJ74" s="2106">
        <v>0.132241</v>
      </c>
      <c r="CK74" s="2106">
        <f t="shared" si="165"/>
        <v>0</v>
      </c>
      <c r="CL74" s="2106">
        <v>0</v>
      </c>
      <c r="CM74" s="2106"/>
      <c r="CN74" s="2106">
        <f t="shared" si="166"/>
        <v>2.4569044514361589</v>
      </c>
      <c r="CO74" s="2106">
        <f t="shared" si="167"/>
        <v>0.20537509999999998</v>
      </c>
      <c r="CP74" s="2106">
        <v>0.766486</v>
      </c>
      <c r="CQ74" s="2106">
        <f t="shared" si="41"/>
        <v>0.8821765824816109</v>
      </c>
      <c r="CR74" s="2106">
        <v>6.76176E-2</v>
      </c>
      <c r="CS74" s="2106">
        <f t="shared" si="168"/>
        <v>1.5650005349086609</v>
      </c>
      <c r="CT74" s="2106">
        <v>0.1199551</v>
      </c>
      <c r="CU74" s="2106">
        <f t="shared" si="169"/>
        <v>0</v>
      </c>
      <c r="CV74" s="2106">
        <v>0</v>
      </c>
      <c r="CW74" s="2106"/>
      <c r="CX74" s="2106">
        <f t="shared" si="170"/>
        <v>2.4471771173902717</v>
      </c>
      <c r="CY74" s="2106">
        <f t="shared" si="171"/>
        <v>0.18757269999999998</v>
      </c>
      <c r="CZ74" s="2106">
        <v>0.94843366666666684</v>
      </c>
      <c r="DA74" s="2106">
        <f t="shared" si="46"/>
        <v>0.78035300571011623</v>
      </c>
      <c r="DB74" s="2106">
        <v>7.4011306250000006E-2</v>
      </c>
      <c r="DC74" s="2106">
        <v>1.6876660452286645</v>
      </c>
      <c r="DD74" s="2109">
        <f t="shared" si="47"/>
        <v>0.16006392953850551</v>
      </c>
      <c r="DE74" s="2106"/>
      <c r="DF74" s="2106"/>
      <c r="DG74" s="2106"/>
      <c r="DH74" s="2106">
        <f t="shared" si="172"/>
        <v>2.4680190509387812</v>
      </c>
      <c r="DI74" s="2106">
        <f t="shared" si="173"/>
        <v>0.23407523578850553</v>
      </c>
      <c r="DJ74" s="2106">
        <v>0.98815700000000006</v>
      </c>
      <c r="DK74" s="2106">
        <f t="shared" si="50"/>
        <v>0.7489832713829887</v>
      </c>
      <c r="DL74" s="2106">
        <v>7.4011306250000006E-2</v>
      </c>
      <c r="DM74" s="2106">
        <v>1.6876660452286645</v>
      </c>
      <c r="DN74" s="2109">
        <f t="shared" si="51"/>
        <v>0.16676790162550215</v>
      </c>
      <c r="DO74" s="2106"/>
      <c r="DP74" s="2106"/>
      <c r="DQ74" s="2106"/>
      <c r="DR74" s="2106">
        <f t="shared" si="174"/>
        <v>2.4366493166116534</v>
      </c>
      <c r="DS74" s="2106">
        <f t="shared" si="175"/>
        <v>0.24077920787550217</v>
      </c>
      <c r="DT74" s="2106">
        <v>1.003082</v>
      </c>
      <c r="DU74" s="2106">
        <f t="shared" si="54"/>
        <v>0.73783904257079691</v>
      </c>
      <c r="DV74" s="2106">
        <v>7.4011306250000006E-2</v>
      </c>
      <c r="DW74" s="2106">
        <v>1.6876660452286645</v>
      </c>
      <c r="DX74" s="2109">
        <f t="shared" si="55"/>
        <v>0.16928674319800591</v>
      </c>
      <c r="DY74" s="2106"/>
      <c r="DZ74" s="2106"/>
      <c r="EA74" s="2106"/>
      <c r="EB74" s="2106">
        <f t="shared" si="176"/>
        <v>2.4255050877994613</v>
      </c>
      <c r="EC74" s="2106">
        <f t="shared" si="177"/>
        <v>0.24329804944800593</v>
      </c>
      <c r="ED74" s="2106">
        <f t="shared" si="178"/>
        <v>9.1287286666666674</v>
      </c>
      <c r="EE74" s="2107"/>
      <c r="EF74" s="2106">
        <f t="shared" si="179"/>
        <v>0.79372434564272654</v>
      </c>
      <c r="EG74" s="2106">
        <f t="shared" si="180"/>
        <v>0.72456941874999992</v>
      </c>
      <c r="EH74" s="2106">
        <f t="shared" si="181"/>
        <v>1.6146823157799484</v>
      </c>
      <c r="EI74" s="2106">
        <f t="shared" si="182"/>
        <v>1.4739996743620134</v>
      </c>
      <c r="EJ74" s="2106"/>
      <c r="EK74" s="2106">
        <f t="shared" si="183"/>
        <v>2.0351399999999999E-2</v>
      </c>
      <c r="EL74" s="2106"/>
      <c r="EM74" s="2106"/>
      <c r="EN74" s="2106">
        <f t="shared" si="184"/>
        <v>2.2189204931120132</v>
      </c>
      <c r="EO74" s="2104">
        <f t="shared" si="185"/>
        <v>2.4307004558196015</v>
      </c>
      <c r="EP74" s="2110"/>
      <c r="ES74" s="2084">
        <f t="shared" si="0"/>
        <v>0</v>
      </c>
      <c r="EU74" s="2084">
        <f t="shared" si="64"/>
        <v>0.97788109999999995</v>
      </c>
      <c r="EV74" s="2084">
        <f t="shared" si="65"/>
        <v>6.1890560000000008</v>
      </c>
      <c r="EW74" s="2084">
        <f t="shared" si="66"/>
        <v>1.5800165647232789</v>
      </c>
      <c r="FE74" s="2108"/>
      <c r="FF74" s="2108"/>
      <c r="FG74" s="2108"/>
      <c r="FH74" s="2108"/>
      <c r="FI74" s="2108"/>
      <c r="FJ74" s="2108"/>
      <c r="FK74" s="2108"/>
    </row>
    <row r="75" spans="1:167">
      <c r="A75" s="1760">
        <v>29</v>
      </c>
      <c r="B75" s="1761" t="s">
        <v>1705</v>
      </c>
      <c r="C75" s="2098">
        <v>1000</v>
      </c>
      <c r="D75" s="2099">
        <v>0</v>
      </c>
      <c r="E75" s="2100"/>
      <c r="F75" s="2099"/>
      <c r="G75" s="2101">
        <v>2.48</v>
      </c>
      <c r="H75" s="2102" t="s">
        <v>1649</v>
      </c>
      <c r="I75" s="2103">
        <v>1</v>
      </c>
      <c r="J75" s="2104"/>
      <c r="K75" s="2101"/>
      <c r="L75" s="2101"/>
      <c r="M75" s="2105"/>
      <c r="N75" s="2106">
        <v>0</v>
      </c>
      <c r="O75" s="2106">
        <f t="shared" si="128"/>
        <v>0</v>
      </c>
      <c r="P75" s="2106">
        <v>0</v>
      </c>
      <c r="Q75" s="2106">
        <f t="shared" si="129"/>
        <v>0</v>
      </c>
      <c r="R75" s="2106">
        <v>0</v>
      </c>
      <c r="S75" s="2106">
        <f t="shared" si="130"/>
        <v>0</v>
      </c>
      <c r="T75" s="2106">
        <v>0</v>
      </c>
      <c r="U75" s="2106"/>
      <c r="V75" s="2106">
        <f t="shared" si="131"/>
        <v>0</v>
      </c>
      <c r="W75" s="2106">
        <f t="shared" si="132"/>
        <v>0</v>
      </c>
      <c r="X75" s="2106">
        <v>1.027647</v>
      </c>
      <c r="Y75" s="2106">
        <f t="shared" si="133"/>
        <v>0.96133983751229746</v>
      </c>
      <c r="Z75" s="2106">
        <v>9.8791799999999999E-2</v>
      </c>
      <c r="AA75" s="2106">
        <f t="shared" si="134"/>
        <v>1.4630004271894923</v>
      </c>
      <c r="AB75" s="2106">
        <v>0.1503448</v>
      </c>
      <c r="AC75" s="2106">
        <f t="shared" si="135"/>
        <v>3.4788210348495156E-2</v>
      </c>
      <c r="AD75" s="2106">
        <v>3.5750000000000001E-3</v>
      </c>
      <c r="AE75" s="2106"/>
      <c r="AF75" s="2106">
        <f t="shared" si="136"/>
        <v>2.4591284750502846</v>
      </c>
      <c r="AG75" s="2106">
        <f t="shared" si="137"/>
        <v>0.25271159999999998</v>
      </c>
      <c r="AH75" s="2106">
        <v>0.76014999999999999</v>
      </c>
      <c r="AI75" s="2106">
        <f t="shared" si="138"/>
        <v>1.2375741629941459</v>
      </c>
      <c r="AJ75" s="2106">
        <v>9.4074199999999997E-2</v>
      </c>
      <c r="AK75" s="2106">
        <f t="shared" si="139"/>
        <v>1.5990001973294745</v>
      </c>
      <c r="AL75" s="2106">
        <v>0.121548</v>
      </c>
      <c r="AM75" s="2106">
        <f t="shared" si="140"/>
        <v>0</v>
      </c>
      <c r="AN75" s="2106">
        <v>0</v>
      </c>
      <c r="AO75" s="2106">
        <v>0</v>
      </c>
      <c r="AP75" s="2106">
        <f t="shared" si="141"/>
        <v>2.8365743603236204</v>
      </c>
      <c r="AQ75" s="2106">
        <f t="shared" si="142"/>
        <v>0.21562219999999999</v>
      </c>
      <c r="AR75" s="2106">
        <v>1.187333</v>
      </c>
      <c r="AS75" s="2106">
        <f t="shared" si="143"/>
        <v>1.1114489363977924</v>
      </c>
      <c r="AT75" s="2106">
        <v>0.131966</v>
      </c>
      <c r="AU75" s="2106">
        <f t="shared" si="144"/>
        <v>1.5899996041548581</v>
      </c>
      <c r="AV75" s="2106">
        <v>0.18878590000000001</v>
      </c>
      <c r="AW75" s="2106">
        <f t="shared" si="145"/>
        <v>3.963336317612666E-2</v>
      </c>
      <c r="AX75" s="2106">
        <v>4.7057999999999996E-3</v>
      </c>
      <c r="AY75" s="2106"/>
      <c r="AZ75" s="2106">
        <f t="shared" si="146"/>
        <v>2.741081903728777</v>
      </c>
      <c r="BA75" s="2106">
        <f t="shared" si="147"/>
        <v>0.32545769999999996</v>
      </c>
      <c r="BB75" s="2106">
        <v>0.81589999999999996</v>
      </c>
      <c r="BC75" s="2106">
        <f t="shared" si="148"/>
        <v>1.0835764186787598</v>
      </c>
      <c r="BD75" s="2106">
        <v>8.8409000000000001E-2</v>
      </c>
      <c r="BE75" s="2106">
        <f t="shared" si="149"/>
        <v>1.5879997548719207</v>
      </c>
      <c r="BF75" s="2106">
        <v>0.12956490000000001</v>
      </c>
      <c r="BG75" s="2106">
        <f t="shared" si="150"/>
        <v>0</v>
      </c>
      <c r="BH75" s="2106">
        <v>0</v>
      </c>
      <c r="BI75" s="2106"/>
      <c r="BJ75" s="2106">
        <f t="shared" si="151"/>
        <v>2.6715761735506804</v>
      </c>
      <c r="BK75" s="2106">
        <f t="shared" si="152"/>
        <v>0.2179739</v>
      </c>
      <c r="BL75" s="2106">
        <v>0.58867400000000003</v>
      </c>
      <c r="BM75" s="2106">
        <f t="shared" si="153"/>
        <v>1.1431862117232969</v>
      </c>
      <c r="BN75" s="2106">
        <v>6.7296400000000006E-2</v>
      </c>
      <c r="BO75" s="2106">
        <f t="shared" si="154"/>
        <v>1.6089992083903824</v>
      </c>
      <c r="BP75" s="2106">
        <v>9.4717599999999999E-2</v>
      </c>
      <c r="BQ75" s="2106">
        <f t="shared" si="155"/>
        <v>0</v>
      </c>
      <c r="BR75" s="2106">
        <v>0</v>
      </c>
      <c r="BS75" s="2106"/>
      <c r="BT75" s="2106">
        <f t="shared" si="156"/>
        <v>2.7521854201136793</v>
      </c>
      <c r="BU75" s="2106">
        <f t="shared" si="157"/>
        <v>0.16201399999999999</v>
      </c>
      <c r="BV75" s="2106">
        <v>0.81838200000000005</v>
      </c>
      <c r="BW75" s="2106">
        <f t="shared" si="158"/>
        <v>1.095526294566596</v>
      </c>
      <c r="BX75" s="2106">
        <v>8.9655899999999997E-2</v>
      </c>
      <c r="BY75" s="2106">
        <f t="shared" si="159"/>
        <v>1.6120002639354236</v>
      </c>
      <c r="BZ75" s="2106">
        <v>0.13192319999999999</v>
      </c>
      <c r="CA75" s="2106">
        <f t="shared" si="160"/>
        <v>-6.2227663853799325E-2</v>
      </c>
      <c r="CB75" s="2106">
        <v>-5.0926000000000001E-3</v>
      </c>
      <c r="CC75" s="2106"/>
      <c r="CD75" s="2106">
        <f t="shared" si="161"/>
        <v>2.6452988946482199</v>
      </c>
      <c r="CE75" s="2106">
        <f t="shared" si="162"/>
        <v>0.21648649999999997</v>
      </c>
      <c r="CF75" s="2106">
        <v>0.919767</v>
      </c>
      <c r="CG75" s="2106">
        <f t="shared" si="163"/>
        <v>1.2881490638389939</v>
      </c>
      <c r="CH75" s="2106">
        <v>0.11847969999999999</v>
      </c>
      <c r="CI75" s="2106">
        <f t="shared" si="164"/>
        <v>1.5630001946145056</v>
      </c>
      <c r="CJ75" s="2106">
        <v>0.14375959999999999</v>
      </c>
      <c r="CK75" s="2106">
        <f t="shared" si="165"/>
        <v>0</v>
      </c>
      <c r="CL75" s="2106">
        <v>0</v>
      </c>
      <c r="CM75" s="2106"/>
      <c r="CN75" s="2106">
        <f t="shared" si="166"/>
        <v>2.851149258453499</v>
      </c>
      <c r="CO75" s="2106">
        <f t="shared" si="167"/>
        <v>0.26223929999999995</v>
      </c>
      <c r="CP75" s="2106">
        <v>0.91890799999999995</v>
      </c>
      <c r="CQ75" s="2106">
        <f t="shared" si="41"/>
        <v>1.3085129305654104</v>
      </c>
      <c r="CR75" s="2106">
        <v>0.12024029999999999</v>
      </c>
      <c r="CS75" s="2106">
        <f t="shared" si="168"/>
        <v>1.5509996648195468</v>
      </c>
      <c r="CT75" s="2106">
        <v>0.1425226</v>
      </c>
      <c r="CU75" s="2106">
        <f t="shared" si="169"/>
        <v>0</v>
      </c>
      <c r="CV75" s="2106">
        <v>0</v>
      </c>
      <c r="CW75" s="2106"/>
      <c r="CX75" s="2106">
        <f t="shared" si="170"/>
        <v>2.8595125953849569</v>
      </c>
      <c r="CY75" s="2106">
        <f t="shared" si="171"/>
        <v>0.26276290000000002</v>
      </c>
      <c r="CZ75" s="2106">
        <v>1.0930016666666666</v>
      </c>
      <c r="DA75" s="2106">
        <f t="shared" si="46"/>
        <v>1.1011011229016121</v>
      </c>
      <c r="DB75" s="2106">
        <v>0.12035053625000001</v>
      </c>
      <c r="DC75" s="2106">
        <v>1.693757956887959</v>
      </c>
      <c r="DD75" s="2109">
        <f t="shared" si="47"/>
        <v>0.18512802698084674</v>
      </c>
      <c r="DE75" s="2106"/>
      <c r="DF75" s="2106"/>
      <c r="DG75" s="2106"/>
      <c r="DH75" s="2106">
        <f t="shared" si="172"/>
        <v>2.7948590797895712</v>
      </c>
      <c r="DI75" s="2106">
        <f t="shared" si="173"/>
        <v>0.30547856323084677</v>
      </c>
      <c r="DJ75" s="2106">
        <v>0.93427766666666667</v>
      </c>
      <c r="DK75" s="2106">
        <f t="shared" si="50"/>
        <v>1.2881666826029237</v>
      </c>
      <c r="DL75" s="2106">
        <v>0.12035053625000001</v>
      </c>
      <c r="DM75" s="2106">
        <v>1.693757956887959</v>
      </c>
      <c r="DN75" s="2109">
        <f t="shared" si="51"/>
        <v>0.1582440231859383</v>
      </c>
      <c r="DO75" s="2106"/>
      <c r="DP75" s="2106"/>
      <c r="DQ75" s="2106"/>
      <c r="DR75" s="2106">
        <f t="shared" si="174"/>
        <v>2.9819246394908827</v>
      </c>
      <c r="DS75" s="2106">
        <f t="shared" si="175"/>
        <v>0.2785945594359383</v>
      </c>
      <c r="DT75" s="2106">
        <v>0.94835533333333333</v>
      </c>
      <c r="DU75" s="2106">
        <f t="shared" si="54"/>
        <v>1.2690447559037297</v>
      </c>
      <c r="DV75" s="2106">
        <v>0.12035053625000001</v>
      </c>
      <c r="DW75" s="2106">
        <v>1.693757956887959</v>
      </c>
      <c r="DX75" s="2109">
        <f t="shared" si="55"/>
        <v>0.16062843917904662</v>
      </c>
      <c r="DY75" s="2106"/>
      <c r="DZ75" s="2106"/>
      <c r="EA75" s="2106"/>
      <c r="EB75" s="2106">
        <f t="shared" si="176"/>
        <v>2.9628027127916887</v>
      </c>
      <c r="EC75" s="2106">
        <f t="shared" si="177"/>
        <v>0.28097897542904665</v>
      </c>
      <c r="ED75" s="2106">
        <f t="shared" si="178"/>
        <v>10.012395666666666</v>
      </c>
      <c r="EE75" s="2107"/>
      <c r="EF75" s="2106">
        <f t="shared" si="179"/>
        <v>1.1685164547032982</v>
      </c>
      <c r="EG75" s="2106">
        <f t="shared" si="180"/>
        <v>1.1699649087499999</v>
      </c>
      <c r="EH75" s="2106">
        <f t="shared" si="181"/>
        <v>1.6051773649901024</v>
      </c>
      <c r="EI75" s="2106">
        <f t="shared" si="182"/>
        <v>1.6071670893458319</v>
      </c>
      <c r="EJ75" s="2106"/>
      <c r="EK75" s="2106">
        <f t="shared" si="183"/>
        <v>3.1881999999999995E-3</v>
      </c>
      <c r="EL75" s="2106"/>
      <c r="EM75" s="2106"/>
      <c r="EN75" s="2106">
        <f t="shared" si="184"/>
        <v>2.7803201980958314</v>
      </c>
      <c r="EO75" s="2104">
        <f t="shared" si="185"/>
        <v>2.7768780725996396</v>
      </c>
      <c r="EP75" s="2110"/>
      <c r="ES75" s="2084">
        <f t="shared" si="0"/>
        <v>0</v>
      </c>
      <c r="EU75" s="2084">
        <f t="shared" si="64"/>
        <v>1.1031666</v>
      </c>
      <c r="EV75" s="2084">
        <f t="shared" si="65"/>
        <v>7.0367610000000003</v>
      </c>
      <c r="EW75" s="2084">
        <f t="shared" si="66"/>
        <v>1.5677192958521682</v>
      </c>
      <c r="FE75" s="2108"/>
      <c r="FF75" s="2108"/>
      <c r="FG75" s="2108"/>
      <c r="FH75" s="2108"/>
      <c r="FI75" s="2108"/>
      <c r="FJ75" s="2108"/>
      <c r="FK75" s="2108"/>
    </row>
    <row r="76" spans="1:167">
      <c r="A76" s="1760">
        <v>30</v>
      </c>
      <c r="B76" s="1761" t="s">
        <v>1706</v>
      </c>
      <c r="C76" s="2098">
        <v>1000</v>
      </c>
      <c r="D76" s="2099">
        <v>0</v>
      </c>
      <c r="E76" s="2100"/>
      <c r="F76" s="2099"/>
      <c r="G76" s="2101">
        <v>2.82</v>
      </c>
      <c r="H76" s="2102" t="s">
        <v>1649</v>
      </c>
      <c r="I76" s="2103">
        <v>1</v>
      </c>
      <c r="J76" s="2104"/>
      <c r="K76" s="2101"/>
      <c r="L76" s="2101"/>
      <c r="M76" s="2105"/>
      <c r="N76" s="2106">
        <v>0</v>
      </c>
      <c r="O76" s="2106">
        <f t="shared" si="128"/>
        <v>0</v>
      </c>
      <c r="P76" s="2106">
        <v>0</v>
      </c>
      <c r="Q76" s="2106">
        <f t="shared" si="129"/>
        <v>0</v>
      </c>
      <c r="R76" s="2106">
        <v>0</v>
      </c>
      <c r="S76" s="2106">
        <f t="shared" si="130"/>
        <v>0</v>
      </c>
      <c r="T76" s="2106">
        <v>0</v>
      </c>
      <c r="U76" s="2106"/>
      <c r="V76" s="2106">
        <f t="shared" si="131"/>
        <v>0</v>
      </c>
      <c r="W76" s="2106">
        <f t="shared" si="132"/>
        <v>0</v>
      </c>
      <c r="X76" s="2106">
        <v>1.429273</v>
      </c>
      <c r="Y76" s="2106">
        <f t="shared" si="133"/>
        <v>1.4566636324900841</v>
      </c>
      <c r="Z76" s="2106">
        <v>0.20819699999999999</v>
      </c>
      <c r="AA76" s="2106">
        <f t="shared" si="134"/>
        <v>1.4439998516728434</v>
      </c>
      <c r="AB76" s="2106">
        <v>0.20638699999999999</v>
      </c>
      <c r="AC76" s="2106">
        <f t="shared" si="135"/>
        <v>2.5433209750691434E-2</v>
      </c>
      <c r="AD76" s="2106">
        <v>3.6351E-3</v>
      </c>
      <c r="AE76" s="2106"/>
      <c r="AF76" s="2106">
        <f t="shared" si="136"/>
        <v>2.9260966939136184</v>
      </c>
      <c r="AG76" s="2106">
        <f t="shared" si="137"/>
        <v>0.41821909999999995</v>
      </c>
      <c r="AH76" s="2106">
        <v>1.3855310000000001</v>
      </c>
      <c r="AI76" s="2106">
        <f t="shared" si="138"/>
        <v>1.5762462189586519</v>
      </c>
      <c r="AJ76" s="2106">
        <v>0.2183938</v>
      </c>
      <c r="AK76" s="2106">
        <f t="shared" si="139"/>
        <v>1.5800000144348989</v>
      </c>
      <c r="AL76" s="2106">
        <v>0.21891389999999999</v>
      </c>
      <c r="AM76" s="2106">
        <f t="shared" si="140"/>
        <v>1.5428741760379235E-2</v>
      </c>
      <c r="AN76" s="2106">
        <v>2.1377000000000002E-3</v>
      </c>
      <c r="AO76" s="2106">
        <v>0</v>
      </c>
      <c r="AP76" s="2106">
        <f t="shared" si="141"/>
        <v>3.1716749751539295</v>
      </c>
      <c r="AQ76" s="2106">
        <f t="shared" si="142"/>
        <v>0.43944539999999999</v>
      </c>
      <c r="AR76" s="2106">
        <v>1.4000280000000001</v>
      </c>
      <c r="AS76" s="2106">
        <f t="shared" si="143"/>
        <v>1.5677279311556624</v>
      </c>
      <c r="AT76" s="2106">
        <v>0.2194863</v>
      </c>
      <c r="AU76" s="2106">
        <f t="shared" si="144"/>
        <v>1.5700000285708571</v>
      </c>
      <c r="AV76" s="2106">
        <v>0.21980440000000001</v>
      </c>
      <c r="AW76" s="2106">
        <f t="shared" si="145"/>
        <v>5.2122528977991862E-2</v>
      </c>
      <c r="AX76" s="2106">
        <v>7.2972999999999996E-3</v>
      </c>
      <c r="AY76" s="2106"/>
      <c r="AZ76" s="2106">
        <f t="shared" si="146"/>
        <v>3.1898504887045123</v>
      </c>
      <c r="BA76" s="2106">
        <f t="shared" si="147"/>
        <v>0.44658800000000004</v>
      </c>
      <c r="BB76" s="2106">
        <v>1.3183560000000001</v>
      </c>
      <c r="BC76" s="2106">
        <f t="shared" si="148"/>
        <v>1.5841889444125865</v>
      </c>
      <c r="BD76" s="2106">
        <v>0.2088525</v>
      </c>
      <c r="BE76" s="2106">
        <f t="shared" si="149"/>
        <v>1.5690003307149205</v>
      </c>
      <c r="BF76" s="2106">
        <v>0.20685010000000001</v>
      </c>
      <c r="BG76" s="2106">
        <f t="shared" si="150"/>
        <v>-5.6191195701312847E-3</v>
      </c>
      <c r="BH76" s="2106">
        <v>-7.4080000000000001E-4</v>
      </c>
      <c r="BI76" s="2106"/>
      <c r="BJ76" s="2106">
        <f t="shared" si="151"/>
        <v>3.1475701555573758</v>
      </c>
      <c r="BK76" s="2106">
        <f t="shared" si="152"/>
        <v>0.41496180000000005</v>
      </c>
      <c r="BL76" s="2106">
        <v>1.4163289999999999</v>
      </c>
      <c r="BM76" s="2106">
        <f t="shared" si="153"/>
        <v>1.4746044174764481</v>
      </c>
      <c r="BN76" s="2106">
        <v>0.2088525</v>
      </c>
      <c r="BO76" s="2106">
        <f t="shared" si="154"/>
        <v>1.5879996808651098</v>
      </c>
      <c r="BP76" s="2106">
        <v>0.224913</v>
      </c>
      <c r="BQ76" s="2106">
        <f t="shared" si="155"/>
        <v>2.0932989439600546E-2</v>
      </c>
      <c r="BR76" s="2106">
        <v>2.9648000000000001E-3</v>
      </c>
      <c r="BS76" s="2106"/>
      <c r="BT76" s="2106">
        <f t="shared" si="156"/>
        <v>3.0835370877811585</v>
      </c>
      <c r="BU76" s="2106">
        <f t="shared" si="157"/>
        <v>0.43673030000000002</v>
      </c>
      <c r="BV76" s="2106">
        <v>1.129311</v>
      </c>
      <c r="BW76" s="2106">
        <f t="shared" si="158"/>
        <v>1.7344185968258525</v>
      </c>
      <c r="BX76" s="2106">
        <v>0.19586980000000001</v>
      </c>
      <c r="BY76" s="2106">
        <f t="shared" si="159"/>
        <v>1.5910001762136383</v>
      </c>
      <c r="BZ76" s="2106">
        <v>0.17967340000000001</v>
      </c>
      <c r="CA76" s="2106">
        <f t="shared" si="160"/>
        <v>-5.187587830101717E-2</v>
      </c>
      <c r="CB76" s="2106">
        <v>-5.8583999999999997E-3</v>
      </c>
      <c r="CC76" s="2106"/>
      <c r="CD76" s="2106">
        <f t="shared" si="161"/>
        <v>3.2735428947384735</v>
      </c>
      <c r="CE76" s="2106">
        <f t="shared" si="162"/>
        <v>0.36968480000000004</v>
      </c>
      <c r="CF76" s="2106">
        <v>1.3031740000000001</v>
      </c>
      <c r="CG76" s="2106">
        <f t="shared" si="163"/>
        <v>1.5726035049809157</v>
      </c>
      <c r="CH76" s="2106">
        <v>0.2049376</v>
      </c>
      <c r="CI76" s="2106">
        <f t="shared" si="164"/>
        <v>1.5419997636539708</v>
      </c>
      <c r="CJ76" s="2106">
        <v>0.2009494</v>
      </c>
      <c r="CK76" s="2106">
        <f t="shared" si="165"/>
        <v>1.3183197332052358E-3</v>
      </c>
      <c r="CL76" s="2106">
        <v>1.718E-4</v>
      </c>
      <c r="CM76" s="2106"/>
      <c r="CN76" s="2106">
        <f t="shared" si="166"/>
        <v>3.1159215883680917</v>
      </c>
      <c r="CO76" s="2106">
        <f t="shared" si="167"/>
        <v>0.4060588</v>
      </c>
      <c r="CP76" s="2106">
        <v>0.67480300000000004</v>
      </c>
      <c r="CQ76" s="2106">
        <f t="shared" si="41"/>
        <v>3.0942052717607953</v>
      </c>
      <c r="CR76" s="2106">
        <v>0.20879790000000001</v>
      </c>
      <c r="CS76" s="2106">
        <f t="shared" si="168"/>
        <v>1.5300006075847319</v>
      </c>
      <c r="CT76" s="2106">
        <v>0.1032449</v>
      </c>
      <c r="CU76" s="2106">
        <f t="shared" si="169"/>
        <v>-4.6481713922433651E-2</v>
      </c>
      <c r="CV76" s="2106">
        <v>-3.1365999999999998E-3</v>
      </c>
      <c r="CW76" s="2106"/>
      <c r="CX76" s="2106">
        <f t="shared" si="170"/>
        <v>4.5777241654230938</v>
      </c>
      <c r="CY76" s="2106">
        <f t="shared" si="171"/>
        <v>0.30890620000000002</v>
      </c>
      <c r="CZ76" s="2106">
        <v>1.5416896666666668</v>
      </c>
      <c r="DA76" s="2106">
        <f t="shared" si="46"/>
        <v>1.5042922954230522</v>
      </c>
      <c r="DB76" s="2106">
        <v>0.23191518875000006</v>
      </c>
      <c r="DC76" s="2106">
        <v>1.7269379988404274</v>
      </c>
      <c r="DD76" s="2109">
        <f t="shared" si="47"/>
        <v>0.2662402467786299</v>
      </c>
      <c r="DE76" s="2106"/>
      <c r="DF76" s="2106"/>
      <c r="DG76" s="2106"/>
      <c r="DH76" s="2106">
        <f t="shared" si="172"/>
        <v>3.2312302942634794</v>
      </c>
      <c r="DI76" s="2106">
        <f t="shared" si="173"/>
        <v>0.49815543552862995</v>
      </c>
      <c r="DJ76" s="2106">
        <v>1.1934193333333329</v>
      </c>
      <c r="DK76" s="2106">
        <f t="shared" si="50"/>
        <v>1.9432833227381949</v>
      </c>
      <c r="DL76" s="2106">
        <v>0.23191518875000006</v>
      </c>
      <c r="DM76" s="2106">
        <v>1.7269379988404274</v>
      </c>
      <c r="DN76" s="2109">
        <f t="shared" si="51"/>
        <v>0.20609611952841428</v>
      </c>
      <c r="DO76" s="2106"/>
      <c r="DP76" s="2106"/>
      <c r="DQ76" s="2106"/>
      <c r="DR76" s="2106">
        <f t="shared" si="174"/>
        <v>3.6702213215786221</v>
      </c>
      <c r="DS76" s="2106">
        <f t="shared" si="175"/>
        <v>0.43801130827841434</v>
      </c>
      <c r="DT76" s="2106">
        <v>1.3153343333333334</v>
      </c>
      <c r="DU76" s="2106">
        <f t="shared" si="54"/>
        <v>1.763165325140402</v>
      </c>
      <c r="DV76" s="2106">
        <v>0.23191518875000006</v>
      </c>
      <c r="DW76" s="2106">
        <v>1.7269379988404274</v>
      </c>
      <c r="DX76" s="2109">
        <f t="shared" si="55"/>
        <v>0.22715008414127746</v>
      </c>
      <c r="DY76" s="2106"/>
      <c r="DZ76" s="2106"/>
      <c r="EA76" s="2106"/>
      <c r="EB76" s="2106">
        <f t="shared" si="176"/>
        <v>3.4901033239808292</v>
      </c>
      <c r="EC76" s="2106">
        <f t="shared" si="177"/>
        <v>0.45906527289127752</v>
      </c>
      <c r="ED76" s="2106">
        <f t="shared" si="178"/>
        <v>14.107248333333335</v>
      </c>
      <c r="EE76" s="2107"/>
      <c r="EF76" s="2106">
        <f t="shared" si="179"/>
        <v>1.6793728374739745</v>
      </c>
      <c r="EG76" s="2106">
        <f t="shared" si="180"/>
        <v>2.36913296625</v>
      </c>
      <c r="EH76" s="2106">
        <f t="shared" si="181"/>
        <v>1.6021710946334953</v>
      </c>
      <c r="EI76" s="2106">
        <f t="shared" si="182"/>
        <v>2.2602225504483218</v>
      </c>
      <c r="EJ76" s="2106"/>
      <c r="EK76" s="2106">
        <f t="shared" si="183"/>
        <v>6.4708999999999999E-3</v>
      </c>
      <c r="EL76" s="2106"/>
      <c r="EM76" s="2106"/>
      <c r="EN76" s="2106">
        <f t="shared" si="184"/>
        <v>4.6358264166983219</v>
      </c>
      <c r="EO76" s="2104">
        <f t="shared" si="185"/>
        <v>3.286130864900529</v>
      </c>
      <c r="EP76" s="2110"/>
      <c r="ES76" s="2084">
        <f t="shared" si="0"/>
        <v>0</v>
      </c>
      <c r="EU76" s="2084">
        <f t="shared" si="64"/>
        <v>1.5607361</v>
      </c>
      <c r="EV76" s="2084">
        <f t="shared" si="65"/>
        <v>10.056805000000002</v>
      </c>
      <c r="EW76" s="2084">
        <f t="shared" si="66"/>
        <v>1.551920416076477</v>
      </c>
      <c r="FE76" s="2108"/>
      <c r="FF76" s="2108"/>
      <c r="FG76" s="2108"/>
      <c r="FH76" s="2108"/>
      <c r="FI76" s="2108"/>
      <c r="FJ76" s="2108"/>
      <c r="FK76" s="2108"/>
    </row>
    <row r="77" spans="1:167">
      <c r="A77" s="1760">
        <v>31</v>
      </c>
      <c r="B77" s="1761" t="s">
        <v>1707</v>
      </c>
      <c r="C77" s="2098">
        <v>500</v>
      </c>
      <c r="D77" s="2099">
        <v>0</v>
      </c>
      <c r="E77" s="2100"/>
      <c r="F77" s="2099"/>
      <c r="G77" s="2101">
        <v>1.41</v>
      </c>
      <c r="H77" s="2102" t="s">
        <v>1649</v>
      </c>
      <c r="I77" s="2103">
        <v>1</v>
      </c>
      <c r="J77" s="2104"/>
      <c r="K77" s="2101"/>
      <c r="L77" s="2101"/>
      <c r="M77" s="2105"/>
      <c r="N77" s="2106">
        <v>0</v>
      </c>
      <c r="O77" s="2106">
        <f t="shared" si="128"/>
        <v>0</v>
      </c>
      <c r="P77" s="2106">
        <v>0</v>
      </c>
      <c r="Q77" s="2106">
        <f t="shared" si="129"/>
        <v>0</v>
      </c>
      <c r="R77" s="2106">
        <v>0</v>
      </c>
      <c r="S77" s="2106">
        <f t="shared" si="130"/>
        <v>0</v>
      </c>
      <c r="T77" s="2106">
        <v>0</v>
      </c>
      <c r="U77" s="2106"/>
      <c r="V77" s="2106">
        <f t="shared" si="131"/>
        <v>0</v>
      </c>
      <c r="W77" s="2106">
        <f t="shared" si="132"/>
        <v>0</v>
      </c>
      <c r="X77" s="2106">
        <v>0.71438500000000005</v>
      </c>
      <c r="Y77" s="2106">
        <f t="shared" si="133"/>
        <v>1.5403696886132829</v>
      </c>
      <c r="Z77" s="2106">
        <v>0.11004170000000001</v>
      </c>
      <c r="AA77" s="2106">
        <f t="shared" si="134"/>
        <v>1.4930002729620582</v>
      </c>
      <c r="AB77" s="2106">
        <v>0.10665769999999999</v>
      </c>
      <c r="AC77" s="2106">
        <f t="shared" si="135"/>
        <v>3.2591669757903653E-2</v>
      </c>
      <c r="AD77" s="2106">
        <v>2.3283000000000002E-3</v>
      </c>
      <c r="AE77" s="2106"/>
      <c r="AF77" s="2106">
        <f t="shared" si="136"/>
        <v>3.0659616313332445</v>
      </c>
      <c r="AG77" s="2106">
        <f t="shared" si="137"/>
        <v>0.21902769999999999</v>
      </c>
      <c r="AH77" s="2106">
        <v>0.70985399999999998</v>
      </c>
      <c r="AI77" s="2106">
        <f t="shared" si="138"/>
        <v>1.7388603853750206</v>
      </c>
      <c r="AJ77" s="2106">
        <v>0.12343369999999999</v>
      </c>
      <c r="AK77" s="2106">
        <f t="shared" si="139"/>
        <v>1.6269993547969019</v>
      </c>
      <c r="AL77" s="2106">
        <v>0.1154932</v>
      </c>
      <c r="AM77" s="2106">
        <f t="shared" si="140"/>
        <v>0</v>
      </c>
      <c r="AN77" s="2106">
        <v>0</v>
      </c>
      <c r="AO77" s="2106">
        <v>0</v>
      </c>
      <c r="AP77" s="2106">
        <f t="shared" si="141"/>
        <v>3.3658597401719224</v>
      </c>
      <c r="AQ77" s="2106">
        <f t="shared" si="142"/>
        <v>0.2389269</v>
      </c>
      <c r="AR77" s="2106">
        <v>1.100797</v>
      </c>
      <c r="AS77" s="2106">
        <f t="shared" si="143"/>
        <v>1.4904800794333561</v>
      </c>
      <c r="AT77" s="2106">
        <v>0.16407160000000001</v>
      </c>
      <c r="AU77" s="2106">
        <f t="shared" si="144"/>
        <v>1.6180004124284495</v>
      </c>
      <c r="AV77" s="2106">
        <v>0.17810899999999999</v>
      </c>
      <c r="AW77" s="2106">
        <f t="shared" si="145"/>
        <v>8.6947911376938705E-2</v>
      </c>
      <c r="AX77" s="2106">
        <v>9.5712000000000002E-3</v>
      </c>
      <c r="AY77" s="2106"/>
      <c r="AZ77" s="2106">
        <f t="shared" si="146"/>
        <v>3.1954284032387443</v>
      </c>
      <c r="BA77" s="2106">
        <f t="shared" si="147"/>
        <v>0.3517518</v>
      </c>
      <c r="BB77" s="2106">
        <v>1.0706530000000001</v>
      </c>
      <c r="BC77" s="2106">
        <f t="shared" si="148"/>
        <v>1.4976691794633743</v>
      </c>
      <c r="BD77" s="2106">
        <v>0.1603484</v>
      </c>
      <c r="BE77" s="2106">
        <f t="shared" si="149"/>
        <v>1.6180004165682063</v>
      </c>
      <c r="BF77" s="2106">
        <v>0.17323169999999999</v>
      </c>
      <c r="BG77" s="2106">
        <f t="shared" si="150"/>
        <v>3.6338570946889422E-2</v>
      </c>
      <c r="BH77" s="2106">
        <v>3.8906000000000001E-3</v>
      </c>
      <c r="BI77" s="2106"/>
      <c r="BJ77" s="2106">
        <f t="shared" si="151"/>
        <v>3.1520081669784701</v>
      </c>
      <c r="BK77" s="2106">
        <f t="shared" si="152"/>
        <v>0.33747070000000001</v>
      </c>
      <c r="BL77" s="2106">
        <v>0.62546500000000005</v>
      </c>
      <c r="BM77" s="2106">
        <f t="shared" si="153"/>
        <v>1.7618188068077352</v>
      </c>
      <c r="BN77" s="2106">
        <v>0.1101956</v>
      </c>
      <c r="BO77" s="2106">
        <f t="shared" si="154"/>
        <v>1.6380005276074598</v>
      </c>
      <c r="BP77" s="2106">
        <v>0.10245120000000001</v>
      </c>
      <c r="BQ77" s="2106">
        <f t="shared" si="155"/>
        <v>-1.9690949933249657E-2</v>
      </c>
      <c r="BR77" s="2106">
        <v>-1.2316E-3</v>
      </c>
      <c r="BS77" s="2106"/>
      <c r="BT77" s="2106">
        <f t="shared" si="156"/>
        <v>3.3801283844819459</v>
      </c>
      <c r="BU77" s="2106">
        <f t="shared" si="157"/>
        <v>0.21141520000000003</v>
      </c>
      <c r="BV77" s="2106">
        <v>0.55471700000000002</v>
      </c>
      <c r="BW77" s="2106">
        <f t="shared" si="158"/>
        <v>1.8942523845492387</v>
      </c>
      <c r="BX77" s="2106">
        <v>0.1050774</v>
      </c>
      <c r="BY77" s="2106">
        <f t="shared" si="159"/>
        <v>1.641000726496574</v>
      </c>
      <c r="BZ77" s="2106">
        <v>9.1029100000000002E-2</v>
      </c>
      <c r="CA77" s="2106">
        <f t="shared" si="160"/>
        <v>-7.7491766071708629E-2</v>
      </c>
      <c r="CB77" s="2106">
        <v>-4.2985999999999996E-3</v>
      </c>
      <c r="CC77" s="2106"/>
      <c r="CD77" s="2106">
        <f t="shared" si="161"/>
        <v>3.4577613449741045</v>
      </c>
      <c r="CE77" s="2106">
        <f t="shared" si="162"/>
        <v>0.19180790000000003</v>
      </c>
      <c r="CF77" s="2106">
        <v>0.58487100000000003</v>
      </c>
      <c r="CG77" s="2106">
        <f t="shared" si="163"/>
        <v>1.8536702965269263</v>
      </c>
      <c r="CH77" s="2106">
        <v>0.10841580000000001</v>
      </c>
      <c r="CI77" s="2106">
        <f t="shared" si="164"/>
        <v>1.5920006291985753</v>
      </c>
      <c r="CJ77" s="2106">
        <v>9.31115E-2</v>
      </c>
      <c r="CK77" s="2106">
        <f t="shared" si="165"/>
        <v>-4.2865862728704282E-2</v>
      </c>
      <c r="CL77" s="2106">
        <v>-2.5071E-3</v>
      </c>
      <c r="CM77" s="2106"/>
      <c r="CN77" s="2106">
        <f t="shared" si="166"/>
        <v>3.4028050629967979</v>
      </c>
      <c r="CO77" s="2106">
        <f t="shared" si="167"/>
        <v>0.19902020000000001</v>
      </c>
      <c r="CP77" s="2106">
        <v>0.60353299999999999</v>
      </c>
      <c r="CQ77" s="2106">
        <f t="shared" si="41"/>
        <v>1.8291891247040346</v>
      </c>
      <c r="CR77" s="2106">
        <v>0.1103976</v>
      </c>
      <c r="CS77" s="2106">
        <f t="shared" si="168"/>
        <v>1.5729993223237171</v>
      </c>
      <c r="CT77" s="2106">
        <v>9.4935699999999998E-2</v>
      </c>
      <c r="CU77" s="2106">
        <f t="shared" si="169"/>
        <v>-6.0458997271068855E-2</v>
      </c>
      <c r="CV77" s="2106">
        <v>-3.6489000000000001E-3</v>
      </c>
      <c r="CW77" s="2106"/>
      <c r="CX77" s="2106">
        <f t="shared" si="170"/>
        <v>3.3417294497566825</v>
      </c>
      <c r="CY77" s="2106">
        <f t="shared" si="171"/>
        <v>0.20168439999999999</v>
      </c>
      <c r="CZ77" s="2106">
        <v>0.66313883333333346</v>
      </c>
      <c r="DA77" s="2106">
        <f t="shared" si="46"/>
        <v>2.0162907189118013</v>
      </c>
      <c r="DB77" s="2106">
        <v>0.1337080675</v>
      </c>
      <c r="DC77" s="2106">
        <v>1.7700988438098599</v>
      </c>
      <c r="DD77" s="2109">
        <f t="shared" si="47"/>
        <v>0.1173821282168753</v>
      </c>
      <c r="DE77" s="2106"/>
      <c r="DF77" s="2106"/>
      <c r="DG77" s="2106"/>
      <c r="DH77" s="2106">
        <f t="shared" si="172"/>
        <v>3.7863895627216611</v>
      </c>
      <c r="DI77" s="2106">
        <f t="shared" si="173"/>
        <v>0.2510901957168753</v>
      </c>
      <c r="DJ77" s="2106">
        <v>0.5062726666666667</v>
      </c>
      <c r="DK77" s="2106">
        <f t="shared" si="50"/>
        <v>2.6410287638150192</v>
      </c>
      <c r="DL77" s="2106">
        <v>0.1337080675</v>
      </c>
      <c r="DM77" s="2106">
        <v>1.7700988438098599</v>
      </c>
      <c r="DN77" s="2109">
        <f t="shared" si="51"/>
        <v>8.9615266191920145E-2</v>
      </c>
      <c r="DO77" s="2106"/>
      <c r="DP77" s="2106"/>
      <c r="DQ77" s="2106"/>
      <c r="DR77" s="2106">
        <f t="shared" si="174"/>
        <v>4.4111276076248789</v>
      </c>
      <c r="DS77" s="2106">
        <f t="shared" si="175"/>
        <v>0.22332333369192015</v>
      </c>
      <c r="DT77" s="2106">
        <v>0.75953766666666678</v>
      </c>
      <c r="DU77" s="2106">
        <f t="shared" si="54"/>
        <v>1.7603875800761251</v>
      </c>
      <c r="DV77" s="2106">
        <v>0.1337080675</v>
      </c>
      <c r="DW77" s="2106">
        <v>1.7700988438098599</v>
      </c>
      <c r="DX77" s="2109">
        <f t="shared" si="55"/>
        <v>0.13444567455967055</v>
      </c>
      <c r="DY77" s="2106"/>
      <c r="DZ77" s="2106"/>
      <c r="EA77" s="2106"/>
      <c r="EB77" s="2106">
        <f t="shared" si="176"/>
        <v>3.5304864238859852</v>
      </c>
      <c r="EC77" s="2106">
        <f t="shared" si="177"/>
        <v>0.26815374205967057</v>
      </c>
      <c r="ED77" s="2106">
        <f t="shared" si="178"/>
        <v>7.8932241666666672</v>
      </c>
      <c r="EE77" s="2107"/>
      <c r="EF77" s="2106">
        <f t="shared" si="179"/>
        <v>1.7649391086384323</v>
      </c>
      <c r="EG77" s="2106">
        <f t="shared" si="180"/>
        <v>1.3931060024999999</v>
      </c>
      <c r="EH77" s="2106">
        <f t="shared" si="181"/>
        <v>1.6425001261758989</v>
      </c>
      <c r="EI77" s="2106">
        <f t="shared" si="182"/>
        <v>1.2964621689684657</v>
      </c>
      <c r="EJ77" s="2106"/>
      <c r="EK77" s="2106">
        <f t="shared" si="183"/>
        <v>4.1039000000000023E-3</v>
      </c>
      <c r="EL77" s="2106"/>
      <c r="EM77" s="2106"/>
      <c r="EN77" s="2106">
        <f t="shared" si="184"/>
        <v>2.6936720714684657</v>
      </c>
      <c r="EO77" s="2104">
        <f t="shared" si="185"/>
        <v>3.4126385043565937</v>
      </c>
      <c r="EP77" s="2110"/>
      <c r="ES77" s="2084">
        <f t="shared" si="0"/>
        <v>0</v>
      </c>
      <c r="EU77" s="2084">
        <f t="shared" si="64"/>
        <v>0.9550190999999999</v>
      </c>
      <c r="EV77" s="2084">
        <f t="shared" si="65"/>
        <v>5.9642749999999998</v>
      </c>
      <c r="EW77" s="2084">
        <f t="shared" si="66"/>
        <v>1.6012325052080929</v>
      </c>
      <c r="FE77" s="2108"/>
      <c r="FF77" s="2108"/>
      <c r="FG77" s="2108"/>
      <c r="FH77" s="2108"/>
      <c r="FI77" s="2108"/>
      <c r="FJ77" s="2108"/>
      <c r="FK77" s="2108"/>
    </row>
    <row r="78" spans="1:167">
      <c r="A78" s="1760">
        <v>32</v>
      </c>
      <c r="B78" s="1761" t="s">
        <v>1854</v>
      </c>
      <c r="C78" s="2098" t="e">
        <v>#N/A</v>
      </c>
      <c r="D78" s="2099" t="e">
        <v>#N/A</v>
      </c>
      <c r="E78" s="2100"/>
      <c r="F78" s="2099" t="e">
        <v>#N/A</v>
      </c>
      <c r="G78" s="2101">
        <v>943.45680000000004</v>
      </c>
      <c r="H78" s="2102" t="s">
        <v>1649</v>
      </c>
      <c r="I78" s="2103">
        <v>2</v>
      </c>
      <c r="J78" s="2104"/>
      <c r="K78" s="2101"/>
      <c r="L78" s="2101"/>
      <c r="M78" s="2105"/>
      <c r="N78" s="2106">
        <v>0</v>
      </c>
      <c r="O78" s="2106">
        <f t="shared" si="128"/>
        <v>0</v>
      </c>
      <c r="P78" s="2106">
        <v>0</v>
      </c>
      <c r="Q78" s="2106">
        <f t="shared" si="129"/>
        <v>0</v>
      </c>
      <c r="R78" s="2106">
        <v>0</v>
      </c>
      <c r="S78" s="2106">
        <f t="shared" si="130"/>
        <v>0</v>
      </c>
      <c r="T78" s="2106">
        <v>0</v>
      </c>
      <c r="U78" s="2106"/>
      <c r="V78" s="2106">
        <f>IFERROR(W78/N78*10,0)</f>
        <v>0</v>
      </c>
      <c r="W78" s="2106">
        <f>SUM(P78,R78,T78,U78)</f>
        <v>0</v>
      </c>
      <c r="X78" s="2106">
        <v>243.78476800000001</v>
      </c>
      <c r="Y78" s="2106">
        <f t="shared" si="133"/>
        <v>1.8530489731007309</v>
      </c>
      <c r="Z78" s="2106">
        <v>45.1745114</v>
      </c>
      <c r="AA78" s="2106">
        <f t="shared" si="134"/>
        <v>2.6640000001968951</v>
      </c>
      <c r="AB78" s="2106">
        <v>64.944262199999997</v>
      </c>
      <c r="AC78" s="2106">
        <f t="shared" si="135"/>
        <v>1.4208147737925941E-3</v>
      </c>
      <c r="AD78" s="2106">
        <v>3.4637300000000003E-2</v>
      </c>
      <c r="AE78" s="2106"/>
      <c r="AF78" s="2106">
        <f t="shared" si="136"/>
        <v>4.5184697880714184</v>
      </c>
      <c r="AG78" s="2106">
        <f t="shared" si="137"/>
        <v>110.1534109</v>
      </c>
      <c r="AH78" s="2106">
        <v>242.10478900000001</v>
      </c>
      <c r="AI78" s="2106">
        <f t="shared" si="138"/>
        <v>1.8659073860781827</v>
      </c>
      <c r="AJ78" s="2106">
        <v>45.1745114</v>
      </c>
      <c r="AK78" s="2106">
        <f t="shared" si="139"/>
        <v>2.6460000012639151</v>
      </c>
      <c r="AL78" s="2106">
        <v>64.060927199999995</v>
      </c>
      <c r="AM78" s="2106">
        <f t="shared" si="140"/>
        <v>0.15490358185355846</v>
      </c>
      <c r="AN78" s="2106">
        <v>3.7502898999999998</v>
      </c>
      <c r="AO78" s="2106">
        <v>0</v>
      </c>
      <c r="AP78" s="2106">
        <f t="shared" si="141"/>
        <v>4.666810969195657</v>
      </c>
      <c r="AQ78" s="2106">
        <f t="shared" si="142"/>
        <v>112.98572849999999</v>
      </c>
      <c r="AR78" s="2106">
        <v>550.60116500000004</v>
      </c>
      <c r="AS78" s="2106">
        <f t="shared" si="143"/>
        <v>1.5073388992920127</v>
      </c>
      <c r="AT78" s="2106">
        <v>82.9942554</v>
      </c>
      <c r="AU78" s="2106">
        <f t="shared" si="144"/>
        <v>2.5080000003269154</v>
      </c>
      <c r="AV78" s="2106">
        <v>138.0907722</v>
      </c>
      <c r="AW78" s="2106">
        <f t="shared" si="145"/>
        <v>8.8278245833351976E-2</v>
      </c>
      <c r="AX78" s="2106">
        <v>4.8606104999999999</v>
      </c>
      <c r="AY78" s="2106"/>
      <c r="AZ78" s="2106">
        <f t="shared" si="146"/>
        <v>4.1036171454522803</v>
      </c>
      <c r="BA78" s="2106">
        <f t="shared" si="147"/>
        <v>225.9456381</v>
      </c>
      <c r="BB78" s="2106">
        <v>562.62092500000006</v>
      </c>
      <c r="BC78" s="2106">
        <f t="shared" si="148"/>
        <v>1.4751363078079613</v>
      </c>
      <c r="BD78" s="2106">
        <v>82.9942554</v>
      </c>
      <c r="BE78" s="2106">
        <f t="shared" si="149"/>
        <v>2.6050000006665233</v>
      </c>
      <c r="BF78" s="2106">
        <v>146.56275099999999</v>
      </c>
      <c r="BG78" s="2106">
        <f t="shared" si="150"/>
        <v>-9.2651678392516229E-2</v>
      </c>
      <c r="BH78" s="2106">
        <v>-5.2127772999999999</v>
      </c>
      <c r="BI78" s="2106"/>
      <c r="BJ78" s="2106">
        <f t="shared" si="151"/>
        <v>3.9874846300819677</v>
      </c>
      <c r="BK78" s="2106">
        <f t="shared" si="152"/>
        <v>224.34422909999998</v>
      </c>
      <c r="BL78" s="2106">
        <v>283.38996100000003</v>
      </c>
      <c r="BM78" s="2106">
        <f t="shared" si="153"/>
        <v>2.4434723112862842</v>
      </c>
      <c r="BN78" s="2106">
        <v>69.2455523</v>
      </c>
      <c r="BO78" s="2106">
        <f t="shared" si="154"/>
        <v>2.7710000002434803</v>
      </c>
      <c r="BP78" s="2106">
        <v>78.527358199999995</v>
      </c>
      <c r="BQ78" s="2106">
        <f t="shared" si="155"/>
        <v>0.26021971893351575</v>
      </c>
      <c r="BR78" s="2106">
        <v>7.3743656</v>
      </c>
      <c r="BS78" s="2106"/>
      <c r="BT78" s="2106">
        <f t="shared" si="156"/>
        <v>5.4746920304632809</v>
      </c>
      <c r="BU78" s="2106">
        <f t="shared" si="157"/>
        <v>155.1472761</v>
      </c>
      <c r="BV78" s="2106">
        <v>349.94853799999999</v>
      </c>
      <c r="BW78" s="2106">
        <f t="shared" si="158"/>
        <v>2.2350461684169116</v>
      </c>
      <c r="BX78" s="2106">
        <v>78.215113900000006</v>
      </c>
      <c r="BY78" s="2106">
        <f t="shared" si="159"/>
        <v>2.6699999986855212</v>
      </c>
      <c r="BZ78" s="2106">
        <v>93.4362596</v>
      </c>
      <c r="CA78" s="2106">
        <f t="shared" si="160"/>
        <v>8.4269176172411961E-2</v>
      </c>
      <c r="CB78" s="2106">
        <v>2.9489874999999999</v>
      </c>
      <c r="CC78" s="2106"/>
      <c r="CD78" s="2106">
        <f t="shared" si="161"/>
        <v>4.9893153432748445</v>
      </c>
      <c r="CE78" s="2106">
        <f t="shared" si="162"/>
        <v>174.60036099999999</v>
      </c>
      <c r="CF78" s="2106">
        <v>264.566033</v>
      </c>
      <c r="CG78" s="2106">
        <f t="shared" si="163"/>
        <v>3.5628499974522425</v>
      </c>
      <c r="CH78" s="2106">
        <v>94.260908999999998</v>
      </c>
      <c r="CI78" s="2106">
        <f t="shared" si="164"/>
        <v>2.9409999997996716</v>
      </c>
      <c r="CJ78" s="2106">
        <v>77.808870299999995</v>
      </c>
      <c r="CK78" s="2106">
        <f t="shared" si="165"/>
        <v>0.20147102557190325</v>
      </c>
      <c r="CL78" s="2106">
        <v>5.3302389999999997</v>
      </c>
      <c r="CM78" s="2106"/>
      <c r="CN78" s="2106">
        <f t="shared" si="166"/>
        <v>6.705321022823818</v>
      </c>
      <c r="CO78" s="2106">
        <f t="shared" si="167"/>
        <v>177.4000183</v>
      </c>
      <c r="CP78" s="2106">
        <v>199.34021000000001</v>
      </c>
      <c r="CQ78" s="2106">
        <f t="shared" si="41"/>
        <v>4.4436400362977446</v>
      </c>
      <c r="CR78" s="2106">
        <v>88.579613800000004</v>
      </c>
      <c r="CS78" s="2106">
        <f t="shared" si="168"/>
        <v>2.8619999998996688</v>
      </c>
      <c r="CT78" s="2106">
        <v>57.051168099999998</v>
      </c>
      <c r="CU78" s="2106">
        <f t="shared" si="169"/>
        <v>5.2720055828174357E-2</v>
      </c>
      <c r="CV78" s="2106">
        <v>1.0509227000000001</v>
      </c>
      <c r="CW78" s="2106"/>
      <c r="CX78" s="2106">
        <f t="shared" si="170"/>
        <v>7.3583600920255865</v>
      </c>
      <c r="CY78" s="2106">
        <f t="shared" si="171"/>
        <v>146.68170459999999</v>
      </c>
      <c r="CZ78" s="2106">
        <v>562.33516070159999</v>
      </c>
      <c r="DA78" s="2106">
        <f>IFERROR(DB78/CZ78*10,0)</f>
        <v>0.73969766047712204</v>
      </c>
      <c r="DB78" s="2106">
        <v>41.595800277499997</v>
      </c>
      <c r="DC78" s="2106">
        <v>2.7847324062252401</v>
      </c>
      <c r="DD78" s="2109">
        <f>DC78*CZ78/10</f>
        <v>156.59529451656235</v>
      </c>
      <c r="DE78" s="2106"/>
      <c r="DF78" s="2106"/>
      <c r="DG78" s="2106"/>
      <c r="DH78" s="2106">
        <f>IFERROR(DI78/CZ78*10,0)</f>
        <v>3.524430066702362</v>
      </c>
      <c r="DI78" s="2106">
        <f>SUM(DB78,DD78,DF78,DG78)</f>
        <v>198.19109479406234</v>
      </c>
      <c r="DJ78" s="2106">
        <v>507.91562902080005</v>
      </c>
      <c r="DK78" s="2106">
        <f>IFERROR(DL78/DJ78*10,0)</f>
        <v>0.81895098124252785</v>
      </c>
      <c r="DL78" s="2106">
        <v>41.595800277499997</v>
      </c>
      <c r="DM78" s="2106">
        <v>2.7847324062252401</v>
      </c>
      <c r="DN78" s="2109">
        <f>DM78*DJ78/10</f>
        <v>141.4409111762499</v>
      </c>
      <c r="DO78" s="2106"/>
      <c r="DP78" s="2106"/>
      <c r="DQ78" s="2106"/>
      <c r="DR78" s="2106">
        <f>IFERROR(DS78/DJ78*10,0)</f>
        <v>3.6036833874677683</v>
      </c>
      <c r="DS78" s="2106">
        <f>SUM(DL78,DN78,DP78,DQ78)</f>
        <v>183.03671145374989</v>
      </c>
      <c r="DT78" s="2106">
        <v>562.33516070159999</v>
      </c>
      <c r="DU78" s="2106">
        <f>IFERROR(DV78/DT78*10,0)</f>
        <v>0.73969766047712204</v>
      </c>
      <c r="DV78" s="2106">
        <v>41.595800277499997</v>
      </c>
      <c r="DW78" s="2106">
        <v>2.7847324062252401</v>
      </c>
      <c r="DX78" s="2109">
        <f>DW78*DT78/10</f>
        <v>156.59529451656235</v>
      </c>
      <c r="DY78" s="2106"/>
      <c r="DZ78" s="2106"/>
      <c r="EA78" s="2106"/>
      <c r="EB78" s="2106">
        <f>IFERROR(EC78/DT78*10,0)</f>
        <v>3.524430066702362</v>
      </c>
      <c r="EC78" s="2106">
        <f t="shared" si="177"/>
        <v>198.19109479406234</v>
      </c>
      <c r="ED78" s="2106">
        <f>SUM(N78,X78,AH78,AR78,BB78,BL78,BV78,CF78,CP78,CZ78,DJ78,DT78)</f>
        <v>4328.9423394240002</v>
      </c>
      <c r="EE78" s="2107"/>
      <c r="EF78" s="2106">
        <f>IFERROR(EG78/ED78*10,0)</f>
        <v>1.6434178782043114</v>
      </c>
      <c r="EG78" s="2106">
        <f>SUM(P78,Z78,AJ78,AT78,BD78,BN78,BX78,CH78,CR78,DB78,DL78,DV78)</f>
        <v>711.42612343249982</v>
      </c>
      <c r="EH78" s="2106">
        <f>IFERROR(EI78/ED78*10,0)</f>
        <v>2.7145519086903169</v>
      </c>
      <c r="EI78" s="2106">
        <f>SUM(R78,AB78,AL78,AV78,BF78,BP78,BZ78,CJ78,CT78,DD78,DN78,DX78)</f>
        <v>1175.1138690093746</v>
      </c>
      <c r="EJ78" s="2106"/>
      <c r="EK78" s="2106">
        <f>SUM(T78,AD78,AN78,AX78,BH78,BR78,CB78,CL78,CV78,DF78,DP78,DZ78)</f>
        <v>20.137275200000001</v>
      </c>
      <c r="EL78" s="2106"/>
      <c r="EM78" s="2106"/>
      <c r="EN78" s="2106">
        <f>EG78+EI78+EK78</f>
        <v>1906.6772676418743</v>
      </c>
      <c r="EO78" s="2104">
        <f>IFERROR(EN78/ED78*10,0)</f>
        <v>4.4044875587221908</v>
      </c>
      <c r="EP78" s="2110"/>
      <c r="ES78" s="2084">
        <f t="shared" si="0"/>
        <v>0</v>
      </c>
      <c r="EU78" s="2084">
        <f t="shared" si="64"/>
        <v>720.48236880000002</v>
      </c>
      <c r="EV78" s="2084">
        <f t="shared" si="65"/>
        <v>2696.356389</v>
      </c>
      <c r="EW78" s="2084">
        <f t="shared" si="66"/>
        <v>2.6720591229678132</v>
      </c>
      <c r="FE78" s="2108"/>
      <c r="FF78" s="2108"/>
      <c r="FG78" s="2108"/>
      <c r="FH78" s="2108"/>
      <c r="FI78" s="2108"/>
      <c r="FJ78" s="2108"/>
      <c r="FK78" s="2108"/>
    </row>
    <row r="79" spans="1:167">
      <c r="A79" s="1760">
        <v>34</v>
      </c>
      <c r="B79" s="1761" t="s">
        <v>1709</v>
      </c>
      <c r="C79" s="2098" t="e">
        <v>#N/A</v>
      </c>
      <c r="D79" s="2099">
        <v>0</v>
      </c>
      <c r="E79" s="2100"/>
      <c r="F79" s="2099"/>
      <c r="G79" s="2101">
        <v>0</v>
      </c>
      <c r="H79" s="2102" t="s">
        <v>1649</v>
      </c>
      <c r="I79" s="2103">
        <v>1</v>
      </c>
      <c r="J79" s="2104"/>
      <c r="K79" s="2101"/>
      <c r="L79" s="2101"/>
      <c r="M79" s="2105"/>
      <c r="N79" s="2106">
        <v>0</v>
      </c>
      <c r="O79" s="2106">
        <f t="shared" si="128"/>
        <v>0</v>
      </c>
      <c r="P79" s="2106">
        <v>0</v>
      </c>
      <c r="Q79" s="2106">
        <f t="shared" si="129"/>
        <v>0</v>
      </c>
      <c r="R79" s="2106">
        <v>0</v>
      </c>
      <c r="S79" s="2106">
        <f t="shared" si="130"/>
        <v>0</v>
      </c>
      <c r="T79" s="2106">
        <v>0</v>
      </c>
      <c r="U79" s="2106"/>
      <c r="V79" s="2106"/>
      <c r="W79" s="2106"/>
      <c r="X79" s="2106">
        <v>0</v>
      </c>
      <c r="Y79" s="2106">
        <f t="shared" si="133"/>
        <v>0</v>
      </c>
      <c r="Z79" s="2106">
        <v>0</v>
      </c>
      <c r="AA79" s="2106">
        <f t="shared" si="134"/>
        <v>0</v>
      </c>
      <c r="AB79" s="2106">
        <v>0</v>
      </c>
      <c r="AC79" s="2106">
        <f t="shared" si="135"/>
        <v>0</v>
      </c>
      <c r="AD79" s="2106">
        <v>0</v>
      </c>
      <c r="AE79" s="2106"/>
      <c r="AF79" s="2106">
        <f t="shared" si="136"/>
        <v>0</v>
      </c>
      <c r="AG79" s="2106">
        <f t="shared" si="137"/>
        <v>0</v>
      </c>
      <c r="AH79" s="2106">
        <v>0</v>
      </c>
      <c r="AI79" s="2106">
        <f t="shared" si="138"/>
        <v>0</v>
      </c>
      <c r="AJ79" s="2106">
        <v>0</v>
      </c>
      <c r="AK79" s="2106">
        <f t="shared" si="139"/>
        <v>0</v>
      </c>
      <c r="AL79" s="2106">
        <v>0</v>
      </c>
      <c r="AM79" s="2106">
        <f t="shared" si="140"/>
        <v>0</v>
      </c>
      <c r="AN79" s="2106">
        <v>0</v>
      </c>
      <c r="AO79" s="2106">
        <v>0</v>
      </c>
      <c r="AP79" s="2106">
        <f t="shared" si="141"/>
        <v>0</v>
      </c>
      <c r="AQ79" s="2106">
        <f t="shared" si="142"/>
        <v>0</v>
      </c>
      <c r="AR79" s="2106">
        <v>0</v>
      </c>
      <c r="AS79" s="2106">
        <f t="shared" si="143"/>
        <v>0</v>
      </c>
      <c r="AT79" s="2106">
        <v>0</v>
      </c>
      <c r="AU79" s="2106">
        <f t="shared" si="144"/>
        <v>0</v>
      </c>
      <c r="AV79" s="2106">
        <v>0</v>
      </c>
      <c r="AW79" s="2106">
        <f t="shared" si="145"/>
        <v>0</v>
      </c>
      <c r="AX79" s="2106">
        <v>0</v>
      </c>
      <c r="AY79" s="2106"/>
      <c r="AZ79" s="2106">
        <f t="shared" si="146"/>
        <v>0</v>
      </c>
      <c r="BA79" s="2106">
        <f t="shared" si="147"/>
        <v>0</v>
      </c>
      <c r="BB79" s="2106">
        <v>0</v>
      </c>
      <c r="BC79" s="2106">
        <f t="shared" si="148"/>
        <v>0</v>
      </c>
      <c r="BD79" s="2106">
        <v>0</v>
      </c>
      <c r="BE79" s="2106">
        <f t="shared" si="149"/>
        <v>0</v>
      </c>
      <c r="BF79" s="2106">
        <v>0</v>
      </c>
      <c r="BG79" s="2106">
        <f t="shared" si="150"/>
        <v>0</v>
      </c>
      <c r="BH79" s="2106">
        <v>0</v>
      </c>
      <c r="BI79" s="2106"/>
      <c r="BJ79" s="2106">
        <f t="shared" si="151"/>
        <v>0</v>
      </c>
      <c r="BK79" s="2106">
        <f t="shared" si="152"/>
        <v>0</v>
      </c>
      <c r="BL79" s="2106">
        <v>0</v>
      </c>
      <c r="BM79" s="2106">
        <f t="shared" si="153"/>
        <v>0</v>
      </c>
      <c r="BN79" s="2106">
        <v>0</v>
      </c>
      <c r="BO79" s="2106">
        <f t="shared" si="154"/>
        <v>0</v>
      </c>
      <c r="BP79" s="2106">
        <v>0</v>
      </c>
      <c r="BQ79" s="2106">
        <f t="shared" si="155"/>
        <v>0</v>
      </c>
      <c r="BR79" s="2106">
        <v>0</v>
      </c>
      <c r="BS79" s="2106"/>
      <c r="BT79" s="2106">
        <f t="shared" si="156"/>
        <v>0</v>
      </c>
      <c r="BU79" s="2106">
        <f t="shared" si="157"/>
        <v>0</v>
      </c>
      <c r="BV79" s="2106">
        <v>0</v>
      </c>
      <c r="BW79" s="2106">
        <f t="shared" si="158"/>
        <v>0</v>
      </c>
      <c r="BX79" s="2106">
        <v>0</v>
      </c>
      <c r="BY79" s="2106">
        <f t="shared" si="159"/>
        <v>0</v>
      </c>
      <c r="BZ79" s="2106">
        <v>0</v>
      </c>
      <c r="CA79" s="2106">
        <f t="shared" si="160"/>
        <v>0</v>
      </c>
      <c r="CB79" s="2106">
        <v>0</v>
      </c>
      <c r="CC79" s="2106"/>
      <c r="CD79" s="2106">
        <f t="shared" si="161"/>
        <v>0</v>
      </c>
      <c r="CE79" s="2106">
        <f t="shared" si="162"/>
        <v>0</v>
      </c>
      <c r="CF79" s="2106">
        <v>0</v>
      </c>
      <c r="CG79" s="2106">
        <f t="shared" si="163"/>
        <v>0</v>
      </c>
      <c r="CH79" s="2106">
        <v>0</v>
      </c>
      <c r="CI79" s="2106">
        <f t="shared" si="164"/>
        <v>0</v>
      </c>
      <c r="CJ79" s="2106">
        <v>0</v>
      </c>
      <c r="CK79" s="2106">
        <f t="shared" si="165"/>
        <v>0</v>
      </c>
      <c r="CL79" s="2106">
        <v>0</v>
      </c>
      <c r="CM79" s="2106"/>
      <c r="CN79" s="2106">
        <f t="shared" si="166"/>
        <v>0</v>
      </c>
      <c r="CO79" s="2106">
        <f t="shared" si="167"/>
        <v>0</v>
      </c>
      <c r="CP79" s="2106">
        <v>0</v>
      </c>
      <c r="CQ79" s="2106">
        <f t="shared" ref="CQ79:CQ84" si="186">IFERROR(CR79/CP79*10,0)</f>
        <v>0</v>
      </c>
      <c r="CR79" s="2106">
        <v>0</v>
      </c>
      <c r="CS79" s="2106">
        <f t="shared" si="168"/>
        <v>0</v>
      </c>
      <c r="CT79" s="2106">
        <v>0</v>
      </c>
      <c r="CU79" s="2106">
        <f t="shared" si="169"/>
        <v>0</v>
      </c>
      <c r="CV79" s="2106">
        <v>0</v>
      </c>
      <c r="CW79" s="2106"/>
      <c r="CX79" s="2106">
        <f t="shared" si="170"/>
        <v>0</v>
      </c>
      <c r="CY79" s="2106">
        <f t="shared" si="171"/>
        <v>0</v>
      </c>
      <c r="CZ79" s="2106">
        <v>0</v>
      </c>
      <c r="DA79" s="2106">
        <f t="shared" si="46"/>
        <v>0</v>
      </c>
      <c r="DB79" s="2106">
        <v>0</v>
      </c>
      <c r="DC79" s="2106">
        <v>0</v>
      </c>
      <c r="DD79" s="2109">
        <f t="shared" si="47"/>
        <v>0</v>
      </c>
      <c r="DE79" s="2106"/>
      <c r="DF79" s="2106"/>
      <c r="DG79" s="2106"/>
      <c r="DH79" s="2106"/>
      <c r="DI79" s="2106"/>
      <c r="DJ79" s="2106">
        <v>0</v>
      </c>
      <c r="DK79" s="2106">
        <f t="shared" si="50"/>
        <v>0</v>
      </c>
      <c r="DL79" s="2106">
        <v>0</v>
      </c>
      <c r="DM79" s="2106">
        <v>0</v>
      </c>
      <c r="DN79" s="2109">
        <f t="shared" si="51"/>
        <v>0</v>
      </c>
      <c r="DO79" s="2106"/>
      <c r="DP79" s="2106"/>
      <c r="DQ79" s="2106"/>
      <c r="DR79" s="2106"/>
      <c r="DS79" s="2106"/>
      <c r="DT79" s="2106">
        <v>0</v>
      </c>
      <c r="DU79" s="2106">
        <f t="shared" si="54"/>
        <v>0</v>
      </c>
      <c r="DV79" s="2106">
        <v>0</v>
      </c>
      <c r="DW79" s="2106">
        <v>0</v>
      </c>
      <c r="DX79" s="2109">
        <f t="shared" si="55"/>
        <v>0</v>
      </c>
      <c r="DY79" s="2106"/>
      <c r="DZ79" s="2106"/>
      <c r="EA79" s="2106"/>
      <c r="EB79" s="2106">
        <f>IFERROR(EC79/DT79*10,0)</f>
        <v>0</v>
      </c>
      <c r="EC79" s="2106">
        <f t="shared" si="177"/>
        <v>0</v>
      </c>
      <c r="ED79" s="2106">
        <f t="shared" si="178"/>
        <v>0</v>
      </c>
      <c r="EE79" s="2107"/>
      <c r="EF79" s="2106">
        <f t="shared" si="179"/>
        <v>0</v>
      </c>
      <c r="EG79" s="2106">
        <f t="shared" si="180"/>
        <v>0</v>
      </c>
      <c r="EH79" s="2106">
        <f t="shared" si="181"/>
        <v>0</v>
      </c>
      <c r="EI79" s="2106">
        <f t="shared" si="182"/>
        <v>0</v>
      </c>
      <c r="EJ79" s="2106"/>
      <c r="EK79" s="2106">
        <f t="shared" si="183"/>
        <v>0</v>
      </c>
      <c r="EL79" s="2106"/>
      <c r="EM79" s="2106"/>
      <c r="EN79" s="2106">
        <f t="shared" si="184"/>
        <v>0</v>
      </c>
      <c r="EO79" s="2104">
        <f t="shared" si="185"/>
        <v>0</v>
      </c>
      <c r="EP79" s="2110"/>
      <c r="ES79" s="2084">
        <f t="shared" ref="ES79:ES143" si="187">EN79-SUM(EG79,EI79,EK79,EL79)</f>
        <v>0</v>
      </c>
      <c r="EU79" s="2084">
        <f t="shared" si="64"/>
        <v>0</v>
      </c>
      <c r="EV79" s="2084">
        <f t="shared" si="65"/>
        <v>0</v>
      </c>
      <c r="EW79" s="2084" t="e">
        <f t="shared" si="66"/>
        <v>#DIV/0!</v>
      </c>
      <c r="FE79" s="2108"/>
      <c r="FF79" s="2108"/>
      <c r="FG79" s="2108"/>
      <c r="FH79" s="2108"/>
      <c r="FI79" s="2108"/>
      <c r="FJ79" s="2108"/>
      <c r="FK79" s="2108"/>
    </row>
    <row r="80" spans="1:167">
      <c r="A80" s="1760">
        <v>35</v>
      </c>
      <c r="B80" s="1761" t="s">
        <v>1710</v>
      </c>
      <c r="C80" s="2098" t="e">
        <v>#N/A</v>
      </c>
      <c r="D80" s="2099" t="e">
        <v>#N/A</v>
      </c>
      <c r="E80" s="2100"/>
      <c r="F80" s="2099"/>
      <c r="G80" s="2101">
        <v>0</v>
      </c>
      <c r="H80" s="2102" t="s">
        <v>1649</v>
      </c>
      <c r="I80" s="2103">
        <v>1</v>
      </c>
      <c r="J80" s="2104"/>
      <c r="K80" s="2101"/>
      <c r="L80" s="2101"/>
      <c r="M80" s="2105"/>
      <c r="N80" s="2106">
        <v>0</v>
      </c>
      <c r="O80" s="2106">
        <f t="shared" si="128"/>
        <v>0</v>
      </c>
      <c r="P80" s="2106">
        <v>0</v>
      </c>
      <c r="Q80" s="2106">
        <f t="shared" si="129"/>
        <v>0</v>
      </c>
      <c r="R80" s="2106">
        <v>0</v>
      </c>
      <c r="S80" s="2106">
        <f t="shared" si="130"/>
        <v>0</v>
      </c>
      <c r="T80" s="2106">
        <v>0</v>
      </c>
      <c r="U80" s="2106"/>
      <c r="V80" s="2106">
        <f t="shared" ref="V80:V85" si="188">IFERROR(W80/N80*10,0)</f>
        <v>0</v>
      </c>
      <c r="W80" s="2106">
        <f>SUM(P80,R80,T80,U80)</f>
        <v>0</v>
      </c>
      <c r="X80" s="2106">
        <v>0</v>
      </c>
      <c r="Y80" s="2106">
        <f t="shared" si="133"/>
        <v>0</v>
      </c>
      <c r="Z80" s="2106">
        <v>0</v>
      </c>
      <c r="AA80" s="2106">
        <f t="shared" si="134"/>
        <v>0</v>
      </c>
      <c r="AB80" s="2106">
        <v>0</v>
      </c>
      <c r="AC80" s="2106">
        <f t="shared" si="135"/>
        <v>0</v>
      </c>
      <c r="AD80" s="2106">
        <v>0</v>
      </c>
      <c r="AE80" s="2106"/>
      <c r="AF80" s="2106">
        <f t="shared" si="136"/>
        <v>0</v>
      </c>
      <c r="AG80" s="2106">
        <f t="shared" si="137"/>
        <v>0</v>
      </c>
      <c r="AH80" s="2106">
        <v>0</v>
      </c>
      <c r="AI80" s="2106">
        <f t="shared" si="138"/>
        <v>0</v>
      </c>
      <c r="AJ80" s="2106">
        <v>0</v>
      </c>
      <c r="AK80" s="2106">
        <f t="shared" si="139"/>
        <v>0</v>
      </c>
      <c r="AL80" s="2106">
        <v>0</v>
      </c>
      <c r="AM80" s="2106">
        <f t="shared" si="140"/>
        <v>0</v>
      </c>
      <c r="AN80" s="2106">
        <v>0</v>
      </c>
      <c r="AO80" s="2106">
        <v>0</v>
      </c>
      <c r="AP80" s="2106">
        <f t="shared" si="141"/>
        <v>0</v>
      </c>
      <c r="AQ80" s="2106">
        <f t="shared" si="142"/>
        <v>0</v>
      </c>
      <c r="AR80" s="2106">
        <v>0</v>
      </c>
      <c r="AS80" s="2106">
        <f t="shared" si="143"/>
        <v>0</v>
      </c>
      <c r="AT80" s="2106">
        <v>0</v>
      </c>
      <c r="AU80" s="2106">
        <f t="shared" si="144"/>
        <v>0</v>
      </c>
      <c r="AV80" s="2106">
        <v>0</v>
      </c>
      <c r="AW80" s="2106">
        <f t="shared" si="145"/>
        <v>0</v>
      </c>
      <c r="AX80" s="2106">
        <v>0</v>
      </c>
      <c r="AY80" s="2106"/>
      <c r="AZ80" s="2106">
        <f t="shared" si="146"/>
        <v>0</v>
      </c>
      <c r="BA80" s="2106">
        <f t="shared" si="147"/>
        <v>0</v>
      </c>
      <c r="BB80" s="2106">
        <v>0</v>
      </c>
      <c r="BC80" s="2106">
        <f t="shared" si="148"/>
        <v>0</v>
      </c>
      <c r="BD80" s="2106">
        <v>0</v>
      </c>
      <c r="BE80" s="2106">
        <f t="shared" si="149"/>
        <v>0</v>
      </c>
      <c r="BF80" s="2106">
        <v>0</v>
      </c>
      <c r="BG80" s="2106">
        <f t="shared" si="150"/>
        <v>0</v>
      </c>
      <c r="BH80" s="2106">
        <v>0</v>
      </c>
      <c r="BI80" s="2106"/>
      <c r="BJ80" s="2106">
        <f t="shared" si="151"/>
        <v>0</v>
      </c>
      <c r="BK80" s="2106">
        <f t="shared" si="152"/>
        <v>0</v>
      </c>
      <c r="BL80" s="2106">
        <v>0</v>
      </c>
      <c r="BM80" s="2106">
        <f t="shared" si="153"/>
        <v>0</v>
      </c>
      <c r="BN80" s="2106">
        <v>0</v>
      </c>
      <c r="BO80" s="2106">
        <f t="shared" si="154"/>
        <v>0</v>
      </c>
      <c r="BP80" s="2106">
        <v>0</v>
      </c>
      <c r="BQ80" s="2106">
        <f t="shared" si="155"/>
        <v>0</v>
      </c>
      <c r="BR80" s="2106">
        <v>0</v>
      </c>
      <c r="BS80" s="2106"/>
      <c r="BT80" s="2106">
        <f t="shared" si="156"/>
        <v>0</v>
      </c>
      <c r="BU80" s="2106">
        <f t="shared" si="157"/>
        <v>0</v>
      </c>
      <c r="BV80" s="2106">
        <v>0</v>
      </c>
      <c r="BW80" s="2106">
        <f t="shared" si="158"/>
        <v>0</v>
      </c>
      <c r="BX80" s="2106">
        <v>0</v>
      </c>
      <c r="BY80" s="2106">
        <f t="shared" si="159"/>
        <v>0</v>
      </c>
      <c r="BZ80" s="2106">
        <v>0</v>
      </c>
      <c r="CA80" s="2106">
        <f t="shared" si="160"/>
        <v>0</v>
      </c>
      <c r="CB80" s="2106">
        <v>0</v>
      </c>
      <c r="CC80" s="2106"/>
      <c r="CD80" s="2106">
        <f t="shared" si="161"/>
        <v>0</v>
      </c>
      <c r="CE80" s="2106">
        <f t="shared" si="162"/>
        <v>0</v>
      </c>
      <c r="CF80" s="2106">
        <v>0</v>
      </c>
      <c r="CG80" s="2106">
        <f t="shared" si="163"/>
        <v>0</v>
      </c>
      <c r="CH80" s="2106">
        <v>0</v>
      </c>
      <c r="CI80" s="2106">
        <f t="shared" si="164"/>
        <v>0</v>
      </c>
      <c r="CJ80" s="2106">
        <v>0</v>
      </c>
      <c r="CK80" s="2106">
        <f t="shared" si="165"/>
        <v>0</v>
      </c>
      <c r="CL80" s="2106">
        <v>0</v>
      </c>
      <c r="CM80" s="2106"/>
      <c r="CN80" s="2106">
        <f t="shared" si="166"/>
        <v>0</v>
      </c>
      <c r="CO80" s="2106">
        <f t="shared" si="167"/>
        <v>0</v>
      </c>
      <c r="CP80" s="2106">
        <v>0</v>
      </c>
      <c r="CQ80" s="2106">
        <f t="shared" si="186"/>
        <v>0</v>
      </c>
      <c r="CR80" s="2106">
        <v>0</v>
      </c>
      <c r="CS80" s="2106">
        <f t="shared" si="168"/>
        <v>0</v>
      </c>
      <c r="CT80" s="2106">
        <v>0</v>
      </c>
      <c r="CU80" s="2106">
        <f t="shared" si="169"/>
        <v>0</v>
      </c>
      <c r="CV80" s="2106">
        <v>0</v>
      </c>
      <c r="CW80" s="2106"/>
      <c r="CX80" s="2106">
        <f t="shared" si="170"/>
        <v>0</v>
      </c>
      <c r="CY80" s="2106">
        <f t="shared" si="171"/>
        <v>0</v>
      </c>
      <c r="CZ80" s="2106">
        <v>0</v>
      </c>
      <c r="DA80" s="2106">
        <f t="shared" ref="DA80:DA144" si="189">IFERROR(DB80/CZ80*10,0)</f>
        <v>0</v>
      </c>
      <c r="DB80" s="2106">
        <v>0</v>
      </c>
      <c r="DC80" s="2106">
        <v>0</v>
      </c>
      <c r="DD80" s="2109">
        <f t="shared" ref="DD80:DD129" si="190">DC80*CZ80/10</f>
        <v>0</v>
      </c>
      <c r="DE80" s="2106"/>
      <c r="DF80" s="2106"/>
      <c r="DG80" s="2106"/>
      <c r="DH80" s="2106">
        <f t="shared" ref="DH80:DH85" si="191">IFERROR(DI80/CZ80*10,0)</f>
        <v>0</v>
      </c>
      <c r="DI80" s="2106">
        <f>SUM(DB80,DD80,DF80,DG80)</f>
        <v>0</v>
      </c>
      <c r="DJ80" s="2106">
        <v>0</v>
      </c>
      <c r="DK80" s="2106">
        <f t="shared" ref="DK80:DK144" si="192">IFERROR(DL80/DJ80*10,0)</f>
        <v>0</v>
      </c>
      <c r="DL80" s="2106">
        <v>0</v>
      </c>
      <c r="DM80" s="2106">
        <v>0</v>
      </c>
      <c r="DN80" s="2109">
        <f t="shared" ref="DN80:DN129" si="193">DM80*DJ80/10</f>
        <v>0</v>
      </c>
      <c r="DO80" s="2106"/>
      <c r="DP80" s="2106"/>
      <c r="DQ80" s="2106"/>
      <c r="DR80" s="2106">
        <f t="shared" ref="DR80:DR85" si="194">IFERROR(DS80/DJ80*10,0)</f>
        <v>0</v>
      </c>
      <c r="DS80" s="2106">
        <f>SUM(DL80,DN80,DP80,DQ80)</f>
        <v>0</v>
      </c>
      <c r="DT80" s="2106">
        <v>0</v>
      </c>
      <c r="DU80" s="2106">
        <f t="shared" ref="DU80:DU144" si="195">IFERROR(DV80/DT80*10,0)</f>
        <v>0</v>
      </c>
      <c r="DV80" s="2106">
        <v>0</v>
      </c>
      <c r="DW80" s="2106">
        <v>0</v>
      </c>
      <c r="DX80" s="2109">
        <f t="shared" ref="DX80:DX129" si="196">DW80*DT80/10</f>
        <v>0</v>
      </c>
      <c r="DY80" s="2106"/>
      <c r="DZ80" s="2106"/>
      <c r="EA80" s="2106"/>
      <c r="EB80" s="2106">
        <f t="shared" ref="EB80:EB85" si="197">IFERROR(EC80/DT80*10,0)</f>
        <v>0</v>
      </c>
      <c r="EC80" s="2106">
        <f t="shared" si="177"/>
        <v>0</v>
      </c>
      <c r="ED80" s="2106">
        <f t="shared" si="178"/>
        <v>0</v>
      </c>
      <c r="EE80" s="2107"/>
      <c r="EF80" s="2106">
        <f t="shared" si="179"/>
        <v>0</v>
      </c>
      <c r="EG80" s="2106">
        <f t="shared" si="180"/>
        <v>0</v>
      </c>
      <c r="EH80" s="2106">
        <f t="shared" si="181"/>
        <v>0</v>
      </c>
      <c r="EI80" s="2106">
        <f t="shared" si="182"/>
        <v>0</v>
      </c>
      <c r="EJ80" s="2106"/>
      <c r="EK80" s="2106">
        <f t="shared" si="183"/>
        <v>0</v>
      </c>
      <c r="EL80" s="2106"/>
      <c r="EM80" s="2106"/>
      <c r="EN80" s="2106">
        <f t="shared" si="184"/>
        <v>0</v>
      </c>
      <c r="EO80" s="2104">
        <f t="shared" si="185"/>
        <v>0</v>
      </c>
      <c r="EP80" s="2110"/>
      <c r="ES80" s="2084">
        <f t="shared" si="187"/>
        <v>0</v>
      </c>
      <c r="EU80" s="2084">
        <f t="shared" ref="EU80:EU144" si="198">SUM(R80,AB80,AL80,AV80,BF80,BP80,BZ80,CJ80,CT80)</f>
        <v>0</v>
      </c>
      <c r="EV80" s="2084">
        <f t="shared" ref="EV80:EV144" si="199">SUM(N80,X80,AH80,AR80,BB80,BL80,BV80,CF80,CP80)</f>
        <v>0</v>
      </c>
      <c r="EW80" s="2084" t="e">
        <f t="shared" ref="EW80:EW144" si="200">EU80*10/EV80</f>
        <v>#DIV/0!</v>
      </c>
      <c r="FE80" s="2108"/>
      <c r="FF80" s="2108"/>
      <c r="FG80" s="2108"/>
      <c r="FH80" s="2108"/>
      <c r="FI80" s="2108"/>
      <c r="FJ80" s="2108"/>
      <c r="FK80" s="2108"/>
    </row>
    <row r="81" spans="1:167">
      <c r="A81" s="1760">
        <v>36</v>
      </c>
      <c r="B81" s="1866" t="s">
        <v>1711</v>
      </c>
      <c r="C81" s="2098"/>
      <c r="D81" s="2099"/>
      <c r="E81" s="2100"/>
      <c r="F81" s="2099"/>
      <c r="G81" s="2101">
        <v>1.93</v>
      </c>
      <c r="H81" s="2102" t="s">
        <v>1649</v>
      </c>
      <c r="I81" s="2103">
        <v>1</v>
      </c>
      <c r="J81" s="2104"/>
      <c r="K81" s="2101"/>
      <c r="L81" s="2101"/>
      <c r="M81" s="2105"/>
      <c r="N81" s="2106">
        <v>0</v>
      </c>
      <c r="O81" s="2106">
        <f t="shared" si="128"/>
        <v>0</v>
      </c>
      <c r="P81" s="2106">
        <v>0</v>
      </c>
      <c r="Q81" s="2106">
        <f t="shared" si="129"/>
        <v>0</v>
      </c>
      <c r="R81" s="2106">
        <v>0</v>
      </c>
      <c r="S81" s="2106">
        <f t="shared" si="130"/>
        <v>0</v>
      </c>
      <c r="T81" s="2106">
        <v>0</v>
      </c>
      <c r="U81" s="2106"/>
      <c r="V81" s="2106">
        <f t="shared" si="188"/>
        <v>0</v>
      </c>
      <c r="W81" s="2106">
        <f>SUM(P81,R81,T81,U81)</f>
        <v>0</v>
      </c>
      <c r="X81" s="2106">
        <v>0.54386999999999996</v>
      </c>
      <c r="Y81" s="2106">
        <f t="shared" si="133"/>
        <v>8.1513247651093099</v>
      </c>
      <c r="Z81" s="2106">
        <v>0.4433261</v>
      </c>
      <c r="AA81" s="2106">
        <f t="shared" si="134"/>
        <v>2.8310000551602412</v>
      </c>
      <c r="AB81" s="2106">
        <v>0.15396960000000001</v>
      </c>
      <c r="AC81" s="2106">
        <f t="shared" si="135"/>
        <v>0</v>
      </c>
      <c r="AD81" s="2106">
        <v>0</v>
      </c>
      <c r="AE81" s="2106"/>
      <c r="AF81" s="2106">
        <f t="shared" si="136"/>
        <v>10.98232482026955</v>
      </c>
      <c r="AG81" s="2106">
        <f t="shared" si="137"/>
        <v>0.59729569999999998</v>
      </c>
      <c r="AH81" s="2106">
        <v>0</v>
      </c>
      <c r="AI81" s="2106">
        <f t="shared" si="138"/>
        <v>0</v>
      </c>
      <c r="AJ81" s="2106">
        <v>0.44350978299999999</v>
      </c>
      <c r="AK81" s="2106">
        <f t="shared" si="139"/>
        <v>0</v>
      </c>
      <c r="AL81" s="2106">
        <v>0</v>
      </c>
      <c r="AM81" s="2106">
        <f t="shared" si="140"/>
        <v>0</v>
      </c>
      <c r="AN81" s="2106">
        <v>0</v>
      </c>
      <c r="AO81" s="2106">
        <v>0</v>
      </c>
      <c r="AP81" s="2106">
        <f t="shared" si="141"/>
        <v>0</v>
      </c>
      <c r="AQ81" s="2106">
        <f t="shared" si="142"/>
        <v>0.44350978299999999</v>
      </c>
      <c r="AR81" s="2106">
        <v>2.01919</v>
      </c>
      <c r="AS81" s="2106">
        <f t="shared" si="143"/>
        <v>3.3037108939723354</v>
      </c>
      <c r="AT81" s="2106">
        <v>0.66708199999999995</v>
      </c>
      <c r="AU81" s="2106">
        <f t="shared" si="144"/>
        <v>2.763999920760305</v>
      </c>
      <c r="AV81" s="2106">
        <v>0.55810409999999999</v>
      </c>
      <c r="AW81" s="2106">
        <f t="shared" si="145"/>
        <v>0.10045909498363205</v>
      </c>
      <c r="AX81" s="2106">
        <v>2.02846E-2</v>
      </c>
      <c r="AY81" s="2106"/>
      <c r="AZ81" s="2106">
        <f t="shared" si="146"/>
        <v>6.1681699097162728</v>
      </c>
      <c r="BA81" s="2106">
        <f t="shared" si="147"/>
        <v>1.2454707</v>
      </c>
      <c r="BB81" s="2106">
        <v>3.2117290000000001</v>
      </c>
      <c r="BC81" s="2106">
        <f t="shared" si="148"/>
        <v>2.3224995010475666</v>
      </c>
      <c r="BD81" s="2106">
        <v>0.74592389999999997</v>
      </c>
      <c r="BE81" s="2106">
        <f t="shared" si="149"/>
        <v>2.8809999224716658</v>
      </c>
      <c r="BF81" s="2106">
        <v>0.92529910000000004</v>
      </c>
      <c r="BG81" s="2106">
        <f t="shared" si="150"/>
        <v>-7.9804367055875507E-3</v>
      </c>
      <c r="BH81" s="2106">
        <v>-2.5631E-3</v>
      </c>
      <c r="BI81" s="2106"/>
      <c r="BJ81" s="2106">
        <f t="shared" si="151"/>
        <v>5.195518986813644</v>
      </c>
      <c r="BK81" s="2106">
        <f t="shared" si="152"/>
        <v>1.6686599</v>
      </c>
      <c r="BL81" s="2106">
        <v>1.6896009999999999</v>
      </c>
      <c r="BM81" s="2106">
        <f t="shared" si="153"/>
        <v>3.1631994772730372</v>
      </c>
      <c r="BN81" s="2106">
        <v>0.53445450000000005</v>
      </c>
      <c r="BO81" s="2106">
        <f t="shared" si="154"/>
        <v>3.0899999467329864</v>
      </c>
      <c r="BP81" s="2106">
        <v>0.52208670000000001</v>
      </c>
      <c r="BQ81" s="2106">
        <f t="shared" si="155"/>
        <v>-0.16691692298951055</v>
      </c>
      <c r="BR81" s="2106">
        <v>-2.82023E-2</v>
      </c>
      <c r="BS81" s="2106"/>
      <c r="BT81" s="2106">
        <f t="shared" si="156"/>
        <v>6.0862825010165134</v>
      </c>
      <c r="BU81" s="2106">
        <f t="shared" si="157"/>
        <v>1.0283389000000001</v>
      </c>
      <c r="BV81" s="2106">
        <v>1.2513939999999999</v>
      </c>
      <c r="BW81" s="2106">
        <f t="shared" si="158"/>
        <v>3.5839024320078252</v>
      </c>
      <c r="BX81" s="2106">
        <v>0.44848739999999998</v>
      </c>
      <c r="BY81" s="2106">
        <f t="shared" si="159"/>
        <v>2.7259999648392115</v>
      </c>
      <c r="BZ81" s="2106">
        <v>0.34112999999999999</v>
      </c>
      <c r="CA81" s="2106">
        <f t="shared" si="160"/>
        <v>-0.20786898450847618</v>
      </c>
      <c r="CB81" s="2106">
        <v>-2.60126E-2</v>
      </c>
      <c r="CC81" s="2106"/>
      <c r="CD81" s="2106">
        <f t="shared" si="161"/>
        <v>6.1020334123385602</v>
      </c>
      <c r="CE81" s="2106">
        <f t="shared" si="162"/>
        <v>0.76360479999999997</v>
      </c>
      <c r="CF81" s="2106">
        <v>0.45134299999999999</v>
      </c>
      <c r="CG81" s="2106">
        <f t="shared" si="163"/>
        <v>10.869059673020296</v>
      </c>
      <c r="CH81" s="2106">
        <v>0.49056739999999999</v>
      </c>
      <c r="CI81" s="2106">
        <f t="shared" si="164"/>
        <v>2.9840010812176105</v>
      </c>
      <c r="CJ81" s="2106">
        <v>0.13468079999999999</v>
      </c>
      <c r="CK81" s="2106">
        <f t="shared" si="165"/>
        <v>-0.28378860423225793</v>
      </c>
      <c r="CL81" s="2106">
        <v>-1.28086E-2</v>
      </c>
      <c r="CM81" s="2106"/>
      <c r="CN81" s="2106">
        <f t="shared" si="166"/>
        <v>13.569272150005649</v>
      </c>
      <c r="CO81" s="2106">
        <f t="shared" si="167"/>
        <v>0.61243959999999997</v>
      </c>
      <c r="CP81" s="2106">
        <v>0.430178</v>
      </c>
      <c r="CQ81" s="2106">
        <f t="shared" si="186"/>
        <v>6.6380870244410453</v>
      </c>
      <c r="CR81" s="2106">
        <v>0.28555589999999997</v>
      </c>
      <c r="CS81" s="2106">
        <f t="shared" si="168"/>
        <v>3.1979994327929369</v>
      </c>
      <c r="CT81" s="2106">
        <v>0.1375709</v>
      </c>
      <c r="CU81" s="2106">
        <f t="shared" si="169"/>
        <v>-0.11063792197648414</v>
      </c>
      <c r="CV81" s="2106">
        <v>-4.7593999999999996E-3</v>
      </c>
      <c r="CW81" s="2106"/>
      <c r="CX81" s="2106">
        <f t="shared" si="170"/>
        <v>9.7254485352574971</v>
      </c>
      <c r="CY81" s="2106">
        <f t="shared" si="171"/>
        <v>0.41836739999999994</v>
      </c>
      <c r="CZ81" s="2106">
        <v>1.1503514100000001</v>
      </c>
      <c r="DA81" s="2106">
        <f t="shared" si="189"/>
        <v>2.3289912666773711</v>
      </c>
      <c r="DB81" s="2106">
        <v>0.26791583875000002</v>
      </c>
      <c r="DC81" s="2106">
        <v>3.0329974691064883</v>
      </c>
      <c r="DD81" s="2109">
        <f t="shared" si="190"/>
        <v>0.34890129151130805</v>
      </c>
      <c r="DE81" s="2106"/>
      <c r="DF81" s="2106"/>
      <c r="DG81" s="2106"/>
      <c r="DH81" s="2106">
        <f t="shared" si="191"/>
        <v>5.3619887357838607</v>
      </c>
      <c r="DI81" s="2106">
        <f>SUM(DB81,DD81,DF81,DG81)</f>
        <v>0.61681713026130813</v>
      </c>
      <c r="DJ81" s="2106">
        <v>1.0390270799999999</v>
      </c>
      <c r="DK81" s="2106">
        <f t="shared" si="192"/>
        <v>2.578526045249947</v>
      </c>
      <c r="DL81" s="2106">
        <v>0.26791583875000002</v>
      </c>
      <c r="DM81" s="2106">
        <v>3.0329974691064883</v>
      </c>
      <c r="DN81" s="2109">
        <f t="shared" si="193"/>
        <v>0.31513665039731042</v>
      </c>
      <c r="DO81" s="2106"/>
      <c r="DP81" s="2106"/>
      <c r="DQ81" s="2106"/>
      <c r="DR81" s="2106">
        <f t="shared" si="194"/>
        <v>5.6115235143564357</v>
      </c>
      <c r="DS81" s="2106">
        <f>SUM(DL81,DN81,DP81,DQ81)</f>
        <v>0.58305248914731045</v>
      </c>
      <c r="DT81" s="2106">
        <v>1.1503514100000001</v>
      </c>
      <c r="DU81" s="2106">
        <f t="shared" si="195"/>
        <v>2.3289912666773711</v>
      </c>
      <c r="DV81" s="2106">
        <v>0.26791583875000002</v>
      </c>
      <c r="DW81" s="2106">
        <v>3.0329974691064883</v>
      </c>
      <c r="DX81" s="2109">
        <f t="shared" si="196"/>
        <v>0.34890129151130805</v>
      </c>
      <c r="DY81" s="2106"/>
      <c r="DZ81" s="2106"/>
      <c r="EA81" s="2106"/>
      <c r="EB81" s="2106">
        <f t="shared" si="197"/>
        <v>5.3619887357838607</v>
      </c>
      <c r="EC81" s="2106">
        <f t="shared" si="177"/>
        <v>0.61681713026130813</v>
      </c>
      <c r="ED81" s="2106">
        <f t="shared" si="178"/>
        <v>12.9370349</v>
      </c>
      <c r="EE81" s="2107"/>
      <c r="EF81" s="2106">
        <f t="shared" si="179"/>
        <v>3.758708650658428</v>
      </c>
      <c r="EG81" s="2106">
        <f t="shared" si="180"/>
        <v>4.8626544992499987</v>
      </c>
      <c r="EH81" s="2106">
        <f t="shared" si="181"/>
        <v>2.9263122985158887</v>
      </c>
      <c r="EI81" s="2106">
        <f t="shared" si="182"/>
        <v>3.785780433419927</v>
      </c>
      <c r="EJ81" s="2106"/>
      <c r="EK81" s="2106">
        <f t="shared" si="183"/>
        <v>-5.4061399999999996E-2</v>
      </c>
      <c r="EL81" s="2106"/>
      <c r="EM81" s="2106"/>
      <c r="EN81" s="2106">
        <f t="shared" si="184"/>
        <v>8.5943735326699251</v>
      </c>
      <c r="EO81" s="2104">
        <f t="shared" si="185"/>
        <v>6.6432328575305348</v>
      </c>
      <c r="EP81" s="2110"/>
      <c r="ES81" s="2084">
        <f t="shared" si="187"/>
        <v>0</v>
      </c>
      <c r="EU81" s="2084">
        <f t="shared" si="198"/>
        <v>2.7728412000000002</v>
      </c>
      <c r="EV81" s="2084">
        <f t="shared" si="199"/>
        <v>9.5973049999999986</v>
      </c>
      <c r="EW81" s="2084">
        <f t="shared" si="200"/>
        <v>2.8891873291512571</v>
      </c>
      <c r="FE81" s="2108"/>
      <c r="FF81" s="2108"/>
      <c r="FG81" s="2108"/>
      <c r="FH81" s="2108"/>
      <c r="FI81" s="2108"/>
      <c r="FJ81" s="2108"/>
      <c r="FK81" s="2108"/>
    </row>
    <row r="82" spans="1:167">
      <c r="A82" s="1760">
        <v>37</v>
      </c>
      <c r="B82" s="1866" t="s">
        <v>1712</v>
      </c>
      <c r="C82" s="2098"/>
      <c r="D82" s="2099"/>
      <c r="E82" s="2100"/>
      <c r="F82" s="2099"/>
      <c r="G82" s="2101">
        <v>3.86</v>
      </c>
      <c r="H82" s="2102" t="s">
        <v>1649</v>
      </c>
      <c r="I82" s="2103">
        <v>1</v>
      </c>
      <c r="J82" s="2104"/>
      <c r="K82" s="2101"/>
      <c r="L82" s="2101"/>
      <c r="M82" s="2105"/>
      <c r="N82" s="2106">
        <v>0</v>
      </c>
      <c r="O82" s="2106">
        <f t="shared" si="128"/>
        <v>0</v>
      </c>
      <c r="P82" s="2106">
        <v>0</v>
      </c>
      <c r="Q82" s="2106">
        <f t="shared" si="129"/>
        <v>0</v>
      </c>
      <c r="R82" s="2106">
        <v>0</v>
      </c>
      <c r="S82" s="2106">
        <f t="shared" si="130"/>
        <v>0</v>
      </c>
      <c r="T82" s="2106">
        <v>0</v>
      </c>
      <c r="U82" s="2106"/>
      <c r="V82" s="2106">
        <f t="shared" si="188"/>
        <v>0</v>
      </c>
      <c r="W82" s="2106">
        <f>SUM(P82,R82,T82,U82)</f>
        <v>0</v>
      </c>
      <c r="X82" s="2106">
        <v>1.4714160000000001</v>
      </c>
      <c r="Y82" s="2106">
        <f t="shared" si="133"/>
        <v>2.4243334311982472</v>
      </c>
      <c r="Z82" s="2106">
        <v>0.35672029999999999</v>
      </c>
      <c r="AA82" s="2106">
        <f t="shared" si="134"/>
        <v>2.052000250099224</v>
      </c>
      <c r="AB82" s="2106">
        <v>0.3019346</v>
      </c>
      <c r="AC82" s="2106">
        <f t="shared" si="135"/>
        <v>-6.3230928574923739E-2</v>
      </c>
      <c r="AD82" s="2106">
        <v>-9.3039000000000004E-3</v>
      </c>
      <c r="AE82" s="2106"/>
      <c r="AF82" s="2106">
        <f t="shared" si="136"/>
        <v>4.4131027527225468</v>
      </c>
      <c r="AG82" s="2106">
        <f t="shared" si="137"/>
        <v>0.6493509999999999</v>
      </c>
      <c r="AH82" s="2106">
        <v>2.7554219999999998</v>
      </c>
      <c r="AI82" s="2106">
        <f t="shared" si="138"/>
        <v>1.6887623746925153</v>
      </c>
      <c r="AJ82" s="2106">
        <v>0.4653253</v>
      </c>
      <c r="AK82" s="2106">
        <f t="shared" si="139"/>
        <v>2.2329998816878143</v>
      </c>
      <c r="AL82" s="2106">
        <v>0.61528570000000005</v>
      </c>
      <c r="AM82" s="2106">
        <f t="shared" si="140"/>
        <v>1.4990807215736828E-2</v>
      </c>
      <c r="AN82" s="2106">
        <v>4.1305999999999999E-3</v>
      </c>
      <c r="AO82" s="2106">
        <v>0</v>
      </c>
      <c r="AP82" s="2106">
        <f t="shared" si="141"/>
        <v>3.9367530635960666</v>
      </c>
      <c r="AQ82" s="2106">
        <f t="shared" si="142"/>
        <v>1.0847416000000001</v>
      </c>
      <c r="AR82" s="2106">
        <v>2.9859200000000001</v>
      </c>
      <c r="AS82" s="2106">
        <f t="shared" si="143"/>
        <v>1.8735006296216912</v>
      </c>
      <c r="AT82" s="2106">
        <v>0.55941229999999997</v>
      </c>
      <c r="AU82" s="2106">
        <f t="shared" si="144"/>
        <v>2.3229999464151749</v>
      </c>
      <c r="AV82" s="2106">
        <v>0.69362919999999995</v>
      </c>
      <c r="AW82" s="2106">
        <f t="shared" si="145"/>
        <v>4.8639950166112951E-2</v>
      </c>
      <c r="AX82" s="2106">
        <v>1.45235E-2</v>
      </c>
      <c r="AY82" s="2106"/>
      <c r="AZ82" s="2106">
        <f t="shared" si="146"/>
        <v>4.2451405262029782</v>
      </c>
      <c r="BA82" s="2106">
        <f t="shared" si="147"/>
        <v>1.2675649999999998</v>
      </c>
      <c r="BB82" s="2106">
        <v>3.1480269999999999</v>
      </c>
      <c r="BC82" s="2106">
        <f t="shared" si="148"/>
        <v>1.6645012892202005</v>
      </c>
      <c r="BD82" s="2106">
        <v>0.5239895</v>
      </c>
      <c r="BE82" s="2106">
        <f t="shared" si="149"/>
        <v>2.6359999453626037</v>
      </c>
      <c r="BF82" s="2106">
        <v>0.82981990000000005</v>
      </c>
      <c r="BG82" s="2106">
        <f t="shared" si="150"/>
        <v>0</v>
      </c>
      <c r="BH82" s="2106">
        <v>0</v>
      </c>
      <c r="BI82" s="2106"/>
      <c r="BJ82" s="2106">
        <f t="shared" si="151"/>
        <v>4.3005012345828044</v>
      </c>
      <c r="BK82" s="2106">
        <f t="shared" si="152"/>
        <v>1.3538094000000001</v>
      </c>
      <c r="BL82" s="2106">
        <v>1.039922</v>
      </c>
      <c r="BM82" s="2106">
        <f t="shared" si="153"/>
        <v>3.3931121757208711</v>
      </c>
      <c r="BN82" s="2106">
        <v>0.35285719999999998</v>
      </c>
      <c r="BO82" s="2106">
        <f t="shared" si="154"/>
        <v>2.1570002365562031</v>
      </c>
      <c r="BP82" s="2106">
        <v>0.22431119999999999</v>
      </c>
      <c r="BQ82" s="2106">
        <f t="shared" si="155"/>
        <v>0</v>
      </c>
      <c r="BR82" s="2106">
        <v>0</v>
      </c>
      <c r="BS82" s="2106"/>
      <c r="BT82" s="2106">
        <f t="shared" si="156"/>
        <v>5.5501124122770742</v>
      </c>
      <c r="BU82" s="2106">
        <f t="shared" si="157"/>
        <v>0.57716839999999991</v>
      </c>
      <c r="BV82" s="2106">
        <v>0.95944600000000002</v>
      </c>
      <c r="BW82" s="2106">
        <f t="shared" si="158"/>
        <v>3.6319323859810764</v>
      </c>
      <c r="BX82" s="2106">
        <v>0.3484643</v>
      </c>
      <c r="BY82" s="2106">
        <f t="shared" si="159"/>
        <v>2.0269999562247381</v>
      </c>
      <c r="BZ82" s="2106">
        <v>0.19447970000000001</v>
      </c>
      <c r="CA82" s="2106">
        <f t="shared" si="160"/>
        <v>-0.19634768397596114</v>
      </c>
      <c r="CB82" s="2106">
        <v>-1.8838500000000001E-2</v>
      </c>
      <c r="CC82" s="2106"/>
      <c r="CD82" s="2106">
        <f t="shared" si="161"/>
        <v>5.4625846582298534</v>
      </c>
      <c r="CE82" s="2106">
        <f t="shared" si="162"/>
        <v>0.5241055</v>
      </c>
      <c r="CF82" s="2106">
        <v>1.1896370000000001</v>
      </c>
      <c r="CG82" s="2106">
        <f t="shared" si="163"/>
        <v>2.9354508980470513</v>
      </c>
      <c r="CH82" s="2106">
        <v>0.34921210000000003</v>
      </c>
      <c r="CI82" s="2106">
        <f t="shared" si="164"/>
        <v>1.855000306816281</v>
      </c>
      <c r="CJ82" s="2106">
        <v>0.2206777</v>
      </c>
      <c r="CK82" s="2106">
        <f t="shared" si="165"/>
        <v>0</v>
      </c>
      <c r="CL82" s="2106">
        <v>0</v>
      </c>
      <c r="CM82" s="2106"/>
      <c r="CN82" s="2106">
        <f t="shared" si="166"/>
        <v>4.7904512048633316</v>
      </c>
      <c r="CO82" s="2106">
        <f t="shared" si="167"/>
        <v>0.5698898</v>
      </c>
      <c r="CP82" s="2106">
        <v>1.866724</v>
      </c>
      <c r="CQ82" s="2106">
        <f t="shared" si="186"/>
        <v>1.913112490116375</v>
      </c>
      <c r="CR82" s="2106">
        <v>0.35712529999999998</v>
      </c>
      <c r="CS82" s="2106">
        <f t="shared" si="168"/>
        <v>1.8300000428558263</v>
      </c>
      <c r="CT82" s="2106">
        <v>0.34161049999999998</v>
      </c>
      <c r="CU82" s="2106">
        <f t="shared" si="169"/>
        <v>0</v>
      </c>
      <c r="CV82" s="2106">
        <v>0</v>
      </c>
      <c r="CW82" s="2106"/>
      <c r="CX82" s="2106">
        <f t="shared" si="170"/>
        <v>3.743112532972201</v>
      </c>
      <c r="CY82" s="2106">
        <f t="shared" si="171"/>
        <v>0.69873579999999991</v>
      </c>
      <c r="CZ82" s="2106">
        <v>2.3007028200000001</v>
      </c>
      <c r="DA82" s="2106">
        <f t="shared" si="189"/>
        <v>1.4969300772187519</v>
      </c>
      <c r="DB82" s="2106">
        <v>0.34439912500000003</v>
      </c>
      <c r="DC82" s="2106">
        <v>2.3500058974470628</v>
      </c>
      <c r="DD82" s="2109">
        <f t="shared" si="190"/>
        <v>0.54066651952730882</v>
      </c>
      <c r="DE82" s="2106"/>
      <c r="DF82" s="2106"/>
      <c r="DG82" s="2106"/>
      <c r="DH82" s="2106">
        <f t="shared" si="191"/>
        <v>3.8469359746658145</v>
      </c>
      <c r="DI82" s="2106">
        <f>SUM(DB82,DD82,DF82,DG82)</f>
        <v>0.88506564452730885</v>
      </c>
      <c r="DJ82" s="2106">
        <v>2.0780541599999998</v>
      </c>
      <c r="DK82" s="2106">
        <f t="shared" si="192"/>
        <v>1.6573154426350469</v>
      </c>
      <c r="DL82" s="2106">
        <v>0.34439912500000003</v>
      </c>
      <c r="DM82" s="2106">
        <v>2.3500058974470628</v>
      </c>
      <c r="DN82" s="2109">
        <f t="shared" si="193"/>
        <v>0.48834395312144013</v>
      </c>
      <c r="DO82" s="2106"/>
      <c r="DP82" s="2106"/>
      <c r="DQ82" s="2106"/>
      <c r="DR82" s="2106">
        <f t="shared" si="194"/>
        <v>4.0073213400821102</v>
      </c>
      <c r="DS82" s="2106">
        <f>SUM(DL82,DN82,DP82,DQ82)</f>
        <v>0.83274307812144022</v>
      </c>
      <c r="DT82" s="2106">
        <v>2.3007028200000001</v>
      </c>
      <c r="DU82" s="2106">
        <f t="shared" si="195"/>
        <v>1.4969300772187519</v>
      </c>
      <c r="DV82" s="2106">
        <v>0.34439912500000003</v>
      </c>
      <c r="DW82" s="2106">
        <v>2.3500058974470628</v>
      </c>
      <c r="DX82" s="2109">
        <f t="shared" si="196"/>
        <v>0.54066651952730882</v>
      </c>
      <c r="DY82" s="2106"/>
      <c r="DZ82" s="2106"/>
      <c r="EA82" s="2106"/>
      <c r="EB82" s="2106">
        <f t="shared" si="197"/>
        <v>3.8469359746658145</v>
      </c>
      <c r="EC82" s="2106">
        <f t="shared" si="177"/>
        <v>0.88506564452730885</v>
      </c>
      <c r="ED82" s="2106">
        <f t="shared" si="178"/>
        <v>22.095973800000003</v>
      </c>
      <c r="EE82" s="2107"/>
      <c r="EF82" s="2106">
        <f t="shared" si="179"/>
        <v>1.967011598737503</v>
      </c>
      <c r="EG82" s="2106">
        <f t="shared" si="180"/>
        <v>4.3463036749999988</v>
      </c>
      <c r="EH82" s="2106">
        <f t="shared" si="181"/>
        <v>2.2589751134553109</v>
      </c>
      <c r="EI82" s="2106">
        <f t="shared" si="182"/>
        <v>4.9914254921760577</v>
      </c>
      <c r="EJ82" s="2106"/>
      <c r="EK82" s="2106">
        <f t="shared" si="183"/>
        <v>-9.4883000000000016E-3</v>
      </c>
      <c r="EL82" s="2106"/>
      <c r="EM82" s="2106"/>
      <c r="EN82" s="2106">
        <f t="shared" si="184"/>
        <v>9.3282408671760582</v>
      </c>
      <c r="EO82" s="2104">
        <f t="shared" si="185"/>
        <v>4.2216925814675141</v>
      </c>
      <c r="EP82" s="2110"/>
      <c r="ES82" s="2084">
        <f t="shared" si="187"/>
        <v>0</v>
      </c>
      <c r="EU82" s="2084">
        <f t="shared" si="198"/>
        <v>3.4217484999999996</v>
      </c>
      <c r="EV82" s="2084">
        <f t="shared" si="199"/>
        <v>15.416513999999999</v>
      </c>
      <c r="EW82" s="2084">
        <f t="shared" si="200"/>
        <v>2.2195345199310297</v>
      </c>
      <c r="FE82" s="2108"/>
      <c r="FF82" s="2108"/>
      <c r="FG82" s="2108"/>
      <c r="FH82" s="2108"/>
      <c r="FI82" s="2108"/>
      <c r="FJ82" s="2108"/>
      <c r="FK82" s="2108"/>
    </row>
    <row r="83" spans="1:167">
      <c r="A83" s="1760">
        <v>38</v>
      </c>
      <c r="B83" s="1866" t="s">
        <v>1713</v>
      </c>
      <c r="C83" s="2098"/>
      <c r="D83" s="2099"/>
      <c r="E83" s="2100"/>
      <c r="F83" s="2099"/>
      <c r="G83" s="2101">
        <v>3.18</v>
      </c>
      <c r="H83" s="2102" t="s">
        <v>1649</v>
      </c>
      <c r="I83" s="2103">
        <v>1</v>
      </c>
      <c r="J83" s="2104"/>
      <c r="K83" s="2101"/>
      <c r="L83" s="2101"/>
      <c r="M83" s="2105"/>
      <c r="N83" s="2106">
        <v>0</v>
      </c>
      <c r="O83" s="2106">
        <f t="shared" si="128"/>
        <v>0</v>
      </c>
      <c r="P83" s="2106">
        <v>0</v>
      </c>
      <c r="Q83" s="2106">
        <f t="shared" si="129"/>
        <v>0</v>
      </c>
      <c r="R83" s="2106">
        <v>0</v>
      </c>
      <c r="S83" s="2106">
        <f t="shared" si="130"/>
        <v>0</v>
      </c>
      <c r="T83" s="2106">
        <v>0</v>
      </c>
      <c r="U83" s="2106"/>
      <c r="V83" s="2106">
        <f t="shared" si="188"/>
        <v>0</v>
      </c>
      <c r="W83" s="2106">
        <f>SUM(P83,R83,T83,U83)</f>
        <v>0</v>
      </c>
      <c r="X83" s="2106">
        <v>3.1012339999999998</v>
      </c>
      <c r="Y83" s="2106">
        <f t="shared" si="133"/>
        <v>2.2245799575265846</v>
      </c>
      <c r="Z83" s="2106">
        <v>0.68989429999999996</v>
      </c>
      <c r="AA83" s="2106">
        <f t="shared" si="134"/>
        <v>2.8740001560669075</v>
      </c>
      <c r="AB83" s="2106">
        <v>0.8912947</v>
      </c>
      <c r="AC83" s="2106">
        <f t="shared" si="135"/>
        <v>0</v>
      </c>
      <c r="AD83" s="2106">
        <v>0</v>
      </c>
      <c r="AE83" s="2106"/>
      <c r="AF83" s="2106">
        <f t="shared" si="136"/>
        <v>5.0985801135934929</v>
      </c>
      <c r="AG83" s="2106">
        <f t="shared" si="137"/>
        <v>1.581189</v>
      </c>
      <c r="AH83" s="2106">
        <v>0</v>
      </c>
      <c r="AI83" s="2106">
        <f t="shared" si="138"/>
        <v>0</v>
      </c>
      <c r="AJ83" s="2106">
        <v>0.31930789999999998</v>
      </c>
      <c r="AK83" s="2106">
        <f t="shared" si="139"/>
        <v>0</v>
      </c>
      <c r="AL83" s="2106">
        <v>0</v>
      </c>
      <c r="AM83" s="2106">
        <f t="shared" si="140"/>
        <v>0</v>
      </c>
      <c r="AN83" s="2106">
        <v>0</v>
      </c>
      <c r="AO83" s="2106">
        <v>0</v>
      </c>
      <c r="AP83" s="2106">
        <f t="shared" si="141"/>
        <v>0</v>
      </c>
      <c r="AQ83" s="2106">
        <f t="shared" si="142"/>
        <v>0.31930789999999998</v>
      </c>
      <c r="AR83" s="2106">
        <v>2.173632</v>
      </c>
      <c r="AS83" s="2106">
        <f t="shared" si="143"/>
        <v>3.134007964549657</v>
      </c>
      <c r="AT83" s="2106">
        <v>0.68121799999999999</v>
      </c>
      <c r="AU83" s="2106">
        <f t="shared" si="144"/>
        <v>2.9089997754909751</v>
      </c>
      <c r="AV83" s="2106">
        <v>0.63230949999999997</v>
      </c>
      <c r="AW83" s="2106">
        <f t="shared" si="145"/>
        <v>5.0557316049818925E-2</v>
      </c>
      <c r="AX83" s="2106">
        <v>1.09893E-2</v>
      </c>
      <c r="AY83" s="2106"/>
      <c r="AZ83" s="2106">
        <f t="shared" si="146"/>
        <v>6.0935650560904522</v>
      </c>
      <c r="BA83" s="2106">
        <f t="shared" si="147"/>
        <v>1.3245168</v>
      </c>
      <c r="BB83" s="2106">
        <v>1.9556290000000001</v>
      </c>
      <c r="BC83" s="2106">
        <f t="shared" si="148"/>
        <v>2.0443028815792768</v>
      </c>
      <c r="BD83" s="2106">
        <v>0.39978979999999997</v>
      </c>
      <c r="BE83" s="2106">
        <f t="shared" si="149"/>
        <v>2.8569999728987447</v>
      </c>
      <c r="BF83" s="2106">
        <v>0.55872319999999998</v>
      </c>
      <c r="BG83" s="2106">
        <f t="shared" si="150"/>
        <v>-2.2072693747126886E-2</v>
      </c>
      <c r="BH83" s="2106">
        <v>-4.3166000000000003E-3</v>
      </c>
      <c r="BI83" s="2106"/>
      <c r="BJ83" s="2106">
        <f t="shared" si="151"/>
        <v>4.879230160730895</v>
      </c>
      <c r="BK83" s="2106">
        <f t="shared" si="152"/>
        <v>0.95419639999999994</v>
      </c>
      <c r="BL83" s="2106">
        <v>0.93289900000000003</v>
      </c>
      <c r="BM83" s="2106">
        <f t="shared" si="153"/>
        <v>3.1718685516867313</v>
      </c>
      <c r="BN83" s="2106">
        <v>0.29590329999999998</v>
      </c>
      <c r="BO83" s="2106">
        <f t="shared" si="154"/>
        <v>3.067999858505583</v>
      </c>
      <c r="BP83" s="2106">
        <v>0.28621340000000001</v>
      </c>
      <c r="BQ83" s="2106">
        <f t="shared" si="155"/>
        <v>-2.8120943424743729E-2</v>
      </c>
      <c r="BR83" s="2106">
        <v>-2.6234000000000001E-3</v>
      </c>
      <c r="BS83" s="2106"/>
      <c r="BT83" s="2106">
        <f t="shared" si="156"/>
        <v>6.2117474667675712</v>
      </c>
      <c r="BU83" s="2106">
        <f t="shared" si="157"/>
        <v>0.57949329999999999</v>
      </c>
      <c r="BV83" s="2106">
        <v>0.71238999999999997</v>
      </c>
      <c r="BW83" s="2106">
        <f t="shared" si="158"/>
        <v>4.4892404441387441</v>
      </c>
      <c r="BX83" s="2106">
        <v>0.31980900000000001</v>
      </c>
      <c r="BY83" s="2106">
        <f t="shared" si="159"/>
        <v>3.0200002807450979</v>
      </c>
      <c r="BZ83" s="2106">
        <v>0.21514179999999999</v>
      </c>
      <c r="CA83" s="2106">
        <f t="shared" si="160"/>
        <v>-0.14360392481646289</v>
      </c>
      <c r="CB83" s="2106">
        <v>-1.02302E-2</v>
      </c>
      <c r="CC83" s="2106"/>
      <c r="CD83" s="2106">
        <f t="shared" si="161"/>
        <v>7.3656368000673798</v>
      </c>
      <c r="CE83" s="2106">
        <f t="shared" si="162"/>
        <v>0.52472060000000009</v>
      </c>
      <c r="CF83" s="2106">
        <v>0.68491199999999997</v>
      </c>
      <c r="CG83" s="2106">
        <f t="shared" si="163"/>
        <v>6.6368934987268435</v>
      </c>
      <c r="CH83" s="2106">
        <v>0.4545688</v>
      </c>
      <c r="CI83" s="2106">
        <f t="shared" si="164"/>
        <v>3.0329998598360079</v>
      </c>
      <c r="CJ83" s="2106">
        <v>0.2077338</v>
      </c>
      <c r="CK83" s="2106">
        <f t="shared" si="165"/>
        <v>-0.21245357067769294</v>
      </c>
      <c r="CL83" s="2106">
        <v>-1.45512E-2</v>
      </c>
      <c r="CM83" s="2106"/>
      <c r="CN83" s="2106">
        <f t="shared" si="166"/>
        <v>9.4574397878851588</v>
      </c>
      <c r="CO83" s="2106">
        <f t="shared" si="167"/>
        <v>0.64775139999999998</v>
      </c>
      <c r="CP83" s="2106">
        <v>0.586696</v>
      </c>
      <c r="CQ83" s="2106">
        <f t="shared" si="186"/>
        <v>6.6405361550104312</v>
      </c>
      <c r="CR83" s="2106">
        <v>0.38959759999999999</v>
      </c>
      <c r="CS83" s="2106">
        <f t="shared" si="168"/>
        <v>3.0649995909295442</v>
      </c>
      <c r="CT83" s="2106">
        <v>0.17982229999999999</v>
      </c>
      <c r="CU83" s="2106">
        <f t="shared" si="169"/>
        <v>-0.25636786342501056</v>
      </c>
      <c r="CV83" s="2106">
        <v>-1.5041000000000001E-2</v>
      </c>
      <c r="CW83" s="2106"/>
      <c r="CX83" s="2106">
        <f t="shared" si="170"/>
        <v>9.4491678825149652</v>
      </c>
      <c r="CY83" s="2106">
        <f t="shared" si="171"/>
        <v>0.55437890000000001</v>
      </c>
      <c r="CZ83" s="2106">
        <v>1.89539766</v>
      </c>
      <c r="DA83" s="2106">
        <f t="shared" si="189"/>
        <v>2.1755082057556194</v>
      </c>
      <c r="DB83" s="2106">
        <v>0.41234531624999998</v>
      </c>
      <c r="DC83" s="2106">
        <v>3.0848975547962914</v>
      </c>
      <c r="DD83" s="2109">
        <f t="shared" si="190"/>
        <v>0.58471076067006122</v>
      </c>
      <c r="DE83" s="2106"/>
      <c r="DF83" s="2106"/>
      <c r="DG83" s="2106"/>
      <c r="DH83" s="2106">
        <f t="shared" si="191"/>
        <v>5.2604057605519108</v>
      </c>
      <c r="DI83" s="2106">
        <f>SUM(DB83,DD83,DF83,DG83)</f>
        <v>0.99705607692006115</v>
      </c>
      <c r="DJ83" s="2106">
        <v>1.71197208</v>
      </c>
      <c r="DK83" s="2106">
        <f t="shared" si="192"/>
        <v>2.4085983706580074</v>
      </c>
      <c r="DL83" s="2106">
        <v>0.41234531624999998</v>
      </c>
      <c r="DM83" s="2106">
        <v>3.0848975547962914</v>
      </c>
      <c r="DN83" s="2109">
        <f t="shared" si="193"/>
        <v>0.52812584834715204</v>
      </c>
      <c r="DO83" s="2106"/>
      <c r="DP83" s="2106"/>
      <c r="DQ83" s="2106"/>
      <c r="DR83" s="2106">
        <f t="shared" si="194"/>
        <v>5.4934959254542983</v>
      </c>
      <c r="DS83" s="2106">
        <f>SUM(DL83,DN83,DP83,DQ83)</f>
        <v>0.94047116459715197</v>
      </c>
      <c r="DT83" s="2106">
        <v>1.89539766</v>
      </c>
      <c r="DU83" s="2106">
        <f t="shared" si="195"/>
        <v>2.1755082057556194</v>
      </c>
      <c r="DV83" s="2106">
        <v>0.41234531624999998</v>
      </c>
      <c r="DW83" s="2106">
        <v>3.0848975547962914</v>
      </c>
      <c r="DX83" s="2109">
        <f t="shared" si="196"/>
        <v>0.58471076067006122</v>
      </c>
      <c r="DY83" s="2106"/>
      <c r="DZ83" s="2106"/>
      <c r="EA83" s="2106"/>
      <c r="EB83" s="2106">
        <f t="shared" si="197"/>
        <v>5.2604057605519108</v>
      </c>
      <c r="EC83" s="2106">
        <f t="shared" si="177"/>
        <v>0.99705607692006115</v>
      </c>
      <c r="ED83" s="2106">
        <f t="shared" si="178"/>
        <v>15.650159400000001</v>
      </c>
      <c r="EE83" s="2107"/>
      <c r="EF83" s="2106">
        <f t="shared" si="179"/>
        <v>3.0588344350984693</v>
      </c>
      <c r="EG83" s="2106">
        <f t="shared" si="180"/>
        <v>4.7871246487499999</v>
      </c>
      <c r="EH83" s="2106">
        <f t="shared" si="181"/>
        <v>2.9832194997881452</v>
      </c>
      <c r="EI83" s="2106">
        <f t="shared" si="182"/>
        <v>4.6687860696872745</v>
      </c>
      <c r="EJ83" s="2106"/>
      <c r="EK83" s="2106">
        <f t="shared" si="183"/>
        <v>-3.5773100000000002E-2</v>
      </c>
      <c r="EL83" s="2106"/>
      <c r="EM83" s="2106"/>
      <c r="EN83" s="2106">
        <f t="shared" si="184"/>
        <v>9.4201376184372734</v>
      </c>
      <c r="EO83" s="2104">
        <f t="shared" si="185"/>
        <v>6.0191959568394378</v>
      </c>
      <c r="EP83" s="2110"/>
      <c r="ES83" s="2084">
        <f t="shared" si="187"/>
        <v>0</v>
      </c>
      <c r="EU83" s="2084">
        <f t="shared" si="198"/>
        <v>2.9712386999999998</v>
      </c>
      <c r="EV83" s="2084">
        <f t="shared" si="199"/>
        <v>10.147392</v>
      </c>
      <c r="EW83" s="2084">
        <f t="shared" si="200"/>
        <v>2.9280811266579629</v>
      </c>
      <c r="FE83" s="2108"/>
      <c r="FF83" s="2108"/>
      <c r="FG83" s="2108"/>
      <c r="FH83" s="2108"/>
      <c r="FI83" s="2108"/>
      <c r="FJ83" s="2108"/>
      <c r="FK83" s="2108"/>
    </row>
    <row r="84" spans="1:167">
      <c r="A84" s="1760"/>
      <c r="B84" s="1866" t="s">
        <v>1714</v>
      </c>
      <c r="C84" s="2098"/>
      <c r="D84" s="2099"/>
      <c r="E84" s="2100"/>
      <c r="F84" s="2099"/>
      <c r="G84" s="2101"/>
      <c r="H84" s="2102" t="s">
        <v>1649</v>
      </c>
      <c r="I84" s="2103">
        <v>1</v>
      </c>
      <c r="J84" s="2104"/>
      <c r="K84" s="2101"/>
      <c r="L84" s="2101"/>
      <c r="M84" s="2105"/>
      <c r="N84" s="2106">
        <v>2292.8802719999999</v>
      </c>
      <c r="O84" s="2106">
        <f t="shared" si="128"/>
        <v>0</v>
      </c>
      <c r="P84" s="2106">
        <v>0</v>
      </c>
      <c r="Q84" s="2106">
        <f t="shared" si="129"/>
        <v>0</v>
      </c>
      <c r="R84" s="2106">
        <v>0</v>
      </c>
      <c r="S84" s="2106">
        <f t="shared" si="130"/>
        <v>3.4197061864728715</v>
      </c>
      <c r="T84" s="2106">
        <v>784.09768510000004</v>
      </c>
      <c r="U84" s="2106"/>
      <c r="V84" s="2106">
        <f t="shared" si="188"/>
        <v>3.4197061864728715</v>
      </c>
      <c r="W84" s="2106">
        <f>SUM(P84,R84,T84,U84)</f>
        <v>784.09768510000004</v>
      </c>
      <c r="X84" s="2106">
        <v>0</v>
      </c>
      <c r="Y84" s="2106">
        <f t="shared" si="133"/>
        <v>0</v>
      </c>
      <c r="Z84" s="2106">
        <v>0</v>
      </c>
      <c r="AA84" s="2106">
        <f t="shared" si="134"/>
        <v>0</v>
      </c>
      <c r="AB84" s="2106">
        <v>0</v>
      </c>
      <c r="AC84" s="2106">
        <f t="shared" si="135"/>
        <v>0</v>
      </c>
      <c r="AD84" s="2106">
        <v>105.5818709</v>
      </c>
      <c r="AE84" s="2106"/>
      <c r="AF84" s="2106">
        <f t="shared" si="136"/>
        <v>0</v>
      </c>
      <c r="AG84" s="2106">
        <f t="shared" si="137"/>
        <v>105.5818709</v>
      </c>
      <c r="AH84" s="2106">
        <v>0</v>
      </c>
      <c r="AI84" s="2106">
        <f t="shared" si="138"/>
        <v>0</v>
      </c>
      <c r="AJ84" s="2106">
        <v>0</v>
      </c>
      <c r="AK84" s="2106">
        <f t="shared" si="139"/>
        <v>0</v>
      </c>
      <c r="AL84" s="2106">
        <v>0</v>
      </c>
      <c r="AM84" s="2106">
        <f t="shared" si="140"/>
        <v>0</v>
      </c>
      <c r="AN84" s="2106">
        <v>9.8592200999999999</v>
      </c>
      <c r="AO84" s="2106">
        <v>0</v>
      </c>
      <c r="AP84" s="2106">
        <f t="shared" si="141"/>
        <v>0</v>
      </c>
      <c r="AQ84" s="2106">
        <f t="shared" si="142"/>
        <v>9.8592200999999999</v>
      </c>
      <c r="AR84" s="2106">
        <v>0</v>
      </c>
      <c r="AS84" s="2106">
        <f t="shared" si="143"/>
        <v>0</v>
      </c>
      <c r="AT84" s="2106">
        <v>0</v>
      </c>
      <c r="AU84" s="2106">
        <f t="shared" si="144"/>
        <v>0</v>
      </c>
      <c r="AV84" s="2106">
        <v>0</v>
      </c>
      <c r="AW84" s="2106">
        <f t="shared" si="145"/>
        <v>0</v>
      </c>
      <c r="AX84" s="2106">
        <v>0</v>
      </c>
      <c r="AY84" s="2106"/>
      <c r="AZ84" s="2106">
        <f t="shared" si="146"/>
        <v>0</v>
      </c>
      <c r="BA84" s="2106">
        <f t="shared" si="147"/>
        <v>0</v>
      </c>
      <c r="BB84" s="2106">
        <v>0</v>
      </c>
      <c r="BC84" s="2106">
        <f t="shared" si="148"/>
        <v>0</v>
      </c>
      <c r="BD84" s="2106">
        <v>0</v>
      </c>
      <c r="BE84" s="2106">
        <f t="shared" si="149"/>
        <v>0</v>
      </c>
      <c r="BF84" s="2106">
        <v>0</v>
      </c>
      <c r="BG84" s="2106">
        <f t="shared" si="150"/>
        <v>0</v>
      </c>
      <c r="BH84" s="2106">
        <v>7.9485944000000002</v>
      </c>
      <c r="BI84" s="2106"/>
      <c r="BJ84" s="2106">
        <f t="shared" si="151"/>
        <v>0</v>
      </c>
      <c r="BK84" s="2106">
        <f t="shared" si="152"/>
        <v>7.9485944000000002</v>
      </c>
      <c r="BL84" s="2106">
        <v>0</v>
      </c>
      <c r="BM84" s="2106">
        <f t="shared" si="153"/>
        <v>0</v>
      </c>
      <c r="BN84" s="2106">
        <v>0</v>
      </c>
      <c r="BO84" s="2106">
        <f t="shared" si="154"/>
        <v>0</v>
      </c>
      <c r="BP84" s="2106">
        <v>0</v>
      </c>
      <c r="BQ84" s="2106">
        <f t="shared" si="155"/>
        <v>0</v>
      </c>
      <c r="BR84" s="2106">
        <v>25.5413985</v>
      </c>
      <c r="BS84" s="2106"/>
      <c r="BT84" s="2106">
        <f t="shared" si="156"/>
        <v>0</v>
      </c>
      <c r="BU84" s="2106">
        <f t="shared" si="157"/>
        <v>25.5413985</v>
      </c>
      <c r="BV84" s="2106">
        <v>0</v>
      </c>
      <c r="BW84" s="2106">
        <f t="shared" si="158"/>
        <v>0</v>
      </c>
      <c r="BX84" s="2106">
        <v>0</v>
      </c>
      <c r="BY84" s="2106">
        <f t="shared" si="159"/>
        <v>0</v>
      </c>
      <c r="BZ84" s="2106">
        <v>0</v>
      </c>
      <c r="CA84" s="2106">
        <f t="shared" si="160"/>
        <v>0</v>
      </c>
      <c r="CB84" s="2106">
        <v>22.489182400000001</v>
      </c>
      <c r="CC84" s="2106"/>
      <c r="CD84" s="2106">
        <f t="shared" si="161"/>
        <v>0</v>
      </c>
      <c r="CE84" s="2106">
        <f t="shared" si="162"/>
        <v>22.489182400000001</v>
      </c>
      <c r="CF84" s="2106">
        <v>0</v>
      </c>
      <c r="CG84" s="2106">
        <f t="shared" si="163"/>
        <v>0</v>
      </c>
      <c r="CH84" s="2106">
        <v>0</v>
      </c>
      <c r="CI84" s="2106">
        <f t="shared" si="164"/>
        <v>0</v>
      </c>
      <c r="CJ84" s="2106">
        <v>0</v>
      </c>
      <c r="CK84" s="2106">
        <f t="shared" si="165"/>
        <v>0</v>
      </c>
      <c r="CL84" s="2106">
        <v>24.0694099</v>
      </c>
      <c r="CM84" s="2106"/>
      <c r="CN84" s="2106">
        <f t="shared" si="166"/>
        <v>0</v>
      </c>
      <c r="CO84" s="2106">
        <f t="shared" si="167"/>
        <v>24.0694099</v>
      </c>
      <c r="CP84" s="2106">
        <v>0</v>
      </c>
      <c r="CQ84" s="2106">
        <f t="shared" si="186"/>
        <v>0</v>
      </c>
      <c r="CR84" s="2106">
        <v>0</v>
      </c>
      <c r="CS84" s="2106">
        <f t="shared" si="168"/>
        <v>0</v>
      </c>
      <c r="CT84" s="2106">
        <v>0</v>
      </c>
      <c r="CU84" s="2106">
        <f t="shared" si="169"/>
        <v>0</v>
      </c>
      <c r="CV84" s="2106">
        <v>32.353100300000001</v>
      </c>
      <c r="CW84" s="2106"/>
      <c r="CX84" s="2106">
        <f t="shared" si="170"/>
        <v>0</v>
      </c>
      <c r="CY84" s="2106">
        <f t="shared" si="171"/>
        <v>32.353100300000001</v>
      </c>
      <c r="CZ84" s="2106">
        <v>0</v>
      </c>
      <c r="DA84" s="2106">
        <f t="shared" si="189"/>
        <v>0</v>
      </c>
      <c r="DB84" s="2106">
        <v>0</v>
      </c>
      <c r="DC84" s="2106">
        <v>0</v>
      </c>
      <c r="DD84" s="2109">
        <f t="shared" si="190"/>
        <v>0</v>
      </c>
      <c r="DE84" s="2106"/>
      <c r="DF84" s="2106"/>
      <c r="DG84" s="2106"/>
      <c r="DH84" s="2106">
        <f t="shared" si="191"/>
        <v>0</v>
      </c>
      <c r="DI84" s="2106">
        <f>SUM(DB84,DD84,DF84,DG84)</f>
        <v>0</v>
      </c>
      <c r="DJ84" s="2106">
        <v>0</v>
      </c>
      <c r="DK84" s="2106">
        <f t="shared" si="192"/>
        <v>0</v>
      </c>
      <c r="DL84" s="2106">
        <v>0</v>
      </c>
      <c r="DM84" s="2106">
        <v>0</v>
      </c>
      <c r="DN84" s="2109">
        <f t="shared" si="193"/>
        <v>0</v>
      </c>
      <c r="DO84" s="2106"/>
      <c r="DP84" s="2106"/>
      <c r="DQ84" s="2106"/>
      <c r="DR84" s="2106">
        <f t="shared" si="194"/>
        <v>0</v>
      </c>
      <c r="DS84" s="2106">
        <f>SUM(DL84,DN84,DP84,DQ84)</f>
        <v>0</v>
      </c>
      <c r="DT84" s="2106">
        <v>0</v>
      </c>
      <c r="DU84" s="2106">
        <f t="shared" si="195"/>
        <v>0</v>
      </c>
      <c r="DV84" s="2106">
        <v>0</v>
      </c>
      <c r="DW84" s="2106">
        <v>0</v>
      </c>
      <c r="DX84" s="2109">
        <f t="shared" si="196"/>
        <v>0</v>
      </c>
      <c r="DY84" s="2106"/>
      <c r="DZ84" s="2106"/>
      <c r="EA84" s="2106"/>
      <c r="EB84" s="2106">
        <f t="shared" si="197"/>
        <v>0</v>
      </c>
      <c r="EC84" s="2106">
        <f t="shared" si="177"/>
        <v>0</v>
      </c>
      <c r="ED84" s="2106">
        <f t="shared" si="178"/>
        <v>2292.8802719999999</v>
      </c>
      <c r="EE84" s="2107"/>
      <c r="EF84" s="2106">
        <f t="shared" si="179"/>
        <v>0</v>
      </c>
      <c r="EG84" s="2106">
        <f t="shared" si="180"/>
        <v>0</v>
      </c>
      <c r="EH84" s="2106">
        <f t="shared" si="181"/>
        <v>0</v>
      </c>
      <c r="EI84" s="2106">
        <f t="shared" si="182"/>
        <v>0</v>
      </c>
      <c r="EJ84" s="2106"/>
      <c r="EK84" s="2106">
        <f t="shared" si="183"/>
        <v>1011.9404616000002</v>
      </c>
      <c r="EL84" s="2106"/>
      <c r="EM84" s="2106"/>
      <c r="EN84" s="2106">
        <f t="shared" si="184"/>
        <v>1011.9404616000002</v>
      </c>
      <c r="EO84" s="2104">
        <f t="shared" si="185"/>
        <v>4.4134029759753641</v>
      </c>
      <c r="EP84" s="2110"/>
      <c r="ES84" s="2084">
        <f t="shared" si="187"/>
        <v>0</v>
      </c>
      <c r="EU84" s="2084">
        <f t="shared" si="198"/>
        <v>0</v>
      </c>
      <c r="EV84" s="2084">
        <f t="shared" si="199"/>
        <v>2292.8802719999999</v>
      </c>
      <c r="EW84" s="2084">
        <f t="shared" si="200"/>
        <v>0</v>
      </c>
      <c r="FE84" s="2108"/>
      <c r="FF84" s="2108"/>
      <c r="FG84" s="2108"/>
      <c r="FH84" s="2108"/>
      <c r="FI84" s="2108"/>
      <c r="FJ84" s="2108"/>
      <c r="FK84" s="2108"/>
    </row>
    <row r="85" spans="1:167">
      <c r="A85" s="1760"/>
      <c r="B85" s="1761" t="s">
        <v>211</v>
      </c>
      <c r="C85" s="2112" t="e">
        <f>SUM(C47:C84)</f>
        <v>#N/A</v>
      </c>
      <c r="D85" s="2117"/>
      <c r="E85" s="2118"/>
      <c r="F85" s="2117"/>
      <c r="G85" s="2107">
        <f>SUM(G47:G84)</f>
        <v>4746.9367999999995</v>
      </c>
      <c r="H85" s="2102"/>
      <c r="I85" s="2119"/>
      <c r="J85" s="2101"/>
      <c r="K85" s="2101"/>
      <c r="L85" s="2101"/>
      <c r="M85" s="2105"/>
      <c r="N85" s="2107">
        <f>SUM(N47:N84)</f>
        <v>2292.8802719999999</v>
      </c>
      <c r="O85" s="2106">
        <f>IFERROR(P85/N85*10,0)</f>
        <v>0</v>
      </c>
      <c r="P85" s="2107">
        <f>SUM(P47:P84)</f>
        <v>0</v>
      </c>
      <c r="Q85" s="2106">
        <f>IFERROR(R85/N85*10,0)</f>
        <v>0</v>
      </c>
      <c r="R85" s="2107">
        <f>SUM(R47:R84)</f>
        <v>0</v>
      </c>
      <c r="S85" s="2106">
        <f>IFERROR(T85/N85*10,0)</f>
        <v>3.4197061864728715</v>
      </c>
      <c r="T85" s="2107">
        <f>SUM(T47:T84)</f>
        <v>784.09768510000004</v>
      </c>
      <c r="U85" s="2106"/>
      <c r="V85" s="2107">
        <f t="shared" si="188"/>
        <v>3.4197061864728715</v>
      </c>
      <c r="W85" s="2107">
        <f>SUM(W47:W84)</f>
        <v>784.09768510000004</v>
      </c>
      <c r="X85" s="2107">
        <f>SUM(X47:X84)</f>
        <v>1687.0826750000001</v>
      </c>
      <c r="Y85" s="2106">
        <f>IFERROR(Z85/X85*10,0)</f>
        <v>1.6138788479942154</v>
      </c>
      <c r="Z85" s="2107">
        <f>SUM(Z47:Z84)</f>
        <v>272.27470439999996</v>
      </c>
      <c r="AA85" s="2106">
        <f>IFERROR(AB85/X85*10,0)</f>
        <v>1.9922810558172555</v>
      </c>
      <c r="AB85" s="2107">
        <f>SUM(AB47:AB84)</f>
        <v>336.11428530000001</v>
      </c>
      <c r="AC85" s="2106">
        <f>IFERROR(AD85/X85*10,0)</f>
        <v>0.68863850729781206</v>
      </c>
      <c r="AD85" s="2107">
        <f>SUM(AD47:AD84)</f>
        <v>116.17900949999999</v>
      </c>
      <c r="AE85" s="2106"/>
      <c r="AF85" s="2107">
        <f>IFERROR(AG85/X85*10,0)</f>
        <v>4.2947984111092836</v>
      </c>
      <c r="AG85" s="2107">
        <f>SUM(AG47:AG84)</f>
        <v>724.56799920000003</v>
      </c>
      <c r="AH85" s="2107">
        <f>SUM(AH47:AH84)</f>
        <v>1929.6695959999997</v>
      </c>
      <c r="AI85" s="2106">
        <f>IFERROR(AJ85/AH85*10,0)</f>
        <v>1.4194622309994673</v>
      </c>
      <c r="AJ85" s="2107">
        <f>SUM(AJ47:AJ84)</f>
        <v>273.90931098300001</v>
      </c>
      <c r="AK85" s="2106">
        <f>IFERROR(AL85/AH85*10,0)</f>
        <v>2.2440778336593543</v>
      </c>
      <c r="AL85" s="2107">
        <f>SUM(AL47:AL84)</f>
        <v>433.0328766670001</v>
      </c>
      <c r="AM85" s="2106">
        <f>IFERROR(AN85/AH85*10,0)</f>
        <v>0.12690766233122538</v>
      </c>
      <c r="AN85" s="2107">
        <f>SUM(AN47:AN84)</f>
        <v>24.488985750000005</v>
      </c>
      <c r="AO85" s="2107">
        <f>SUM(AO47:AO84)</f>
        <v>0</v>
      </c>
      <c r="AP85" s="2107">
        <f>IFERROR(AQ85/AH85*10,0)</f>
        <v>3.7904477269900472</v>
      </c>
      <c r="AQ85" s="2107">
        <f>SUM(AQ47:AQ84)</f>
        <v>731.43117340000015</v>
      </c>
      <c r="AR85" s="2107">
        <f>SUM(AR47:AR84)</f>
        <v>2622.7087979999997</v>
      </c>
      <c r="AS85" s="2106">
        <f>IFERROR(AT85/AR85*10,0)</f>
        <v>1.1836367744552021</v>
      </c>
      <c r="AT85" s="2107">
        <f>SUM(AT47:AT84)</f>
        <v>310.43345820000002</v>
      </c>
      <c r="AU85" s="2106">
        <f>IFERROR(AV85/AR85*10,0)</f>
        <v>2.791052727844626</v>
      </c>
      <c r="AV85" s="2107">
        <f>SUM(AV47:AV84)</f>
        <v>732.01185450000003</v>
      </c>
      <c r="AW85" s="2106">
        <f>IFERROR(AX85/AR85*10,0)</f>
        <v>5.8315155733884884E-2</v>
      </c>
      <c r="AX85" s="2107">
        <f>SUM(AX47:AX84)</f>
        <v>15.294367200000002</v>
      </c>
      <c r="AY85" s="2106"/>
      <c r="AZ85" s="2107">
        <f>IFERROR(BA85/AR85*10,0)</f>
        <v>4.0330046580337147</v>
      </c>
      <c r="BA85" s="2107">
        <f>SUM(BA47:BA84)</f>
        <v>1057.7396799000003</v>
      </c>
      <c r="BB85" s="2107">
        <f>SUM(BB47:BB84)</f>
        <v>2329.5282230000007</v>
      </c>
      <c r="BC85" s="2106">
        <f>IFERROR(BD85/BB85*10,0)</f>
        <v>1.3649877896328022</v>
      </c>
      <c r="BD85" s="2107">
        <f>SUM(BD47:BD84)</f>
        <v>317.97775800000005</v>
      </c>
      <c r="BE85" s="2106">
        <f>IFERROR(BF85/BB85*10,0)</f>
        <v>2.3512827614280414</v>
      </c>
      <c r="BF85" s="2107">
        <f>SUM(BF47:BF84)</f>
        <v>547.73795529999995</v>
      </c>
      <c r="BG85" s="2106">
        <f>IFERROR(BH85/BB85*10,0)</f>
        <v>4.2442351641772735E-2</v>
      </c>
      <c r="BH85" s="2107">
        <f>SUM(BH47:BH84)</f>
        <v>9.8870655999999997</v>
      </c>
      <c r="BI85" s="2106"/>
      <c r="BJ85" s="2107">
        <f>IFERROR(BK85/BB85*10,0)</f>
        <v>3.7587129027026167</v>
      </c>
      <c r="BK85" s="2107">
        <f>SUM(BK47:BK84)</f>
        <v>875.60277890000009</v>
      </c>
      <c r="BL85" s="2107">
        <f>SUM(BL47:BL84)</f>
        <v>1963.3198789999999</v>
      </c>
      <c r="BM85" s="2106">
        <f>IFERROR(BN85/BL85*10,0)</f>
        <v>1.5370295000206637</v>
      </c>
      <c r="BN85" s="2107">
        <f>SUM(BN47:BN84)</f>
        <v>301.76805719999999</v>
      </c>
      <c r="BO85" s="2106">
        <f>IFERROR(BP85/BL85*10,0)</f>
        <v>2.5094441938363321</v>
      </c>
      <c r="BP85" s="2107">
        <f>SUM(BP47:BP84)</f>
        <v>492.68416709999997</v>
      </c>
      <c r="BQ85" s="2106">
        <f>IFERROR(BR85/BL85*10,0)</f>
        <v>0.25903634015005056</v>
      </c>
      <c r="BR85" s="2107">
        <f>SUM(BR47:BR84)</f>
        <v>50.857119600000004</v>
      </c>
      <c r="BS85" s="2107">
        <f>SUM(BS47:BS84)</f>
        <v>0</v>
      </c>
      <c r="BT85" s="2107">
        <f>IFERROR(BU85/BL85*10,0)</f>
        <v>4.3055100340070469</v>
      </c>
      <c r="BU85" s="2107">
        <f>SUM(BU47:BU84)</f>
        <v>845.30934390000004</v>
      </c>
      <c r="BV85" s="2107">
        <f>SUM(BV47:BV84)</f>
        <v>1595.8548729999993</v>
      </c>
      <c r="BW85" s="2106">
        <f>IFERROR(BX85/BV85*10,0)</f>
        <v>1.846578603642238</v>
      </c>
      <c r="BX85" s="2107">
        <f>SUM(BX47:BX84)</f>
        <v>294.68714629999999</v>
      </c>
      <c r="BY85" s="2106">
        <f>IFERROR(BZ85/BV85*10,0)</f>
        <v>2.4819968406989359</v>
      </c>
      <c r="BZ85" s="2107">
        <f>SUM(BZ47:BZ84)</f>
        <v>396.09067529999999</v>
      </c>
      <c r="CA85" s="2106">
        <f>IFERROR(CB85/BV85*10,0)</f>
        <v>0.20496971030021738</v>
      </c>
      <c r="CB85" s="2107">
        <f>SUM(CB47:CB84)</f>
        <v>32.710191100000003</v>
      </c>
      <c r="CC85" s="2107">
        <f>CC84</f>
        <v>0</v>
      </c>
      <c r="CD85" s="2107">
        <f>IFERROR(CE85/BV85*10,0)</f>
        <v>4.5335451546413923</v>
      </c>
      <c r="CE85" s="2107">
        <f>SUM(CE47:CE84)</f>
        <v>723.48801270000013</v>
      </c>
      <c r="CF85" s="2107">
        <f>SUM(CF47:CF84)</f>
        <v>1513.748687</v>
      </c>
      <c r="CG85" s="2106">
        <f>IFERROR(CH85/CF85*10,0)</f>
        <v>2.1647285564251653</v>
      </c>
      <c r="CH85" s="2107">
        <f>SUM(CH47:CH84)</f>
        <v>327.68550099999993</v>
      </c>
      <c r="CI85" s="2106">
        <f>IFERROR(CJ85/CF85*10,0)</f>
        <v>1.8875630582132428</v>
      </c>
      <c r="CJ85" s="2107">
        <f>SUM(CJ47:CJ84)</f>
        <v>285.72961010000006</v>
      </c>
      <c r="CK85" s="2106">
        <f>IFERROR(CL85/CF85*10,0)</f>
        <v>0.46889611406150145</v>
      </c>
      <c r="CL85" s="2107">
        <f>SUM(CL47:CL84)</f>
        <v>70.979087700000008</v>
      </c>
      <c r="CM85" s="2106"/>
      <c r="CN85" s="2107">
        <f>IFERROR(CO85/CF85*10,0)</f>
        <v>4.5211877286999096</v>
      </c>
      <c r="CO85" s="2107">
        <f>SUM(CO47:CO84)</f>
        <v>684.39419880000003</v>
      </c>
      <c r="CP85" s="2107">
        <f>SUM(CP47:CP84)</f>
        <v>1535.2746080000006</v>
      </c>
      <c r="CQ85" s="2106">
        <f>IFERROR(CR85/CP85*10,0)</f>
        <v>2.1002615311931208</v>
      </c>
      <c r="CR85" s="2107">
        <f>SUM(CR47:CR84)</f>
        <v>322.44781989999996</v>
      </c>
      <c r="CS85" s="2106">
        <f>IFERROR(CT85/CP85*10,0)</f>
        <v>1.9652634155986761</v>
      </c>
      <c r="CT85" s="2107">
        <f>SUM(CT47:CT84)</f>
        <v>301.721902</v>
      </c>
      <c r="CU85" s="2106">
        <f>IFERROR(CV85/CP85*10,0)</f>
        <v>0.29301099989273044</v>
      </c>
      <c r="CV85" s="2107">
        <f>SUM(CV47:CV84)</f>
        <v>44.985234800000001</v>
      </c>
      <c r="CW85" s="2106"/>
      <c r="CX85" s="2107">
        <f>IFERROR(CY85/CP85*10,0)</f>
        <v>4.358535946684527</v>
      </c>
      <c r="CY85" s="2107">
        <f>SUM(CY47:CY84)</f>
        <v>669.15495669999984</v>
      </c>
      <c r="CZ85" s="2107">
        <f>SUM(CZ47:CZ84)</f>
        <v>2116.0730741649331</v>
      </c>
      <c r="DA85" s="2106">
        <f t="shared" si="189"/>
        <v>1.2169727626744433</v>
      </c>
      <c r="DB85" s="2107">
        <f>SUM(DB47:DB84)</f>
        <v>257.52032950875008</v>
      </c>
      <c r="DC85" s="2106">
        <f>IFERROR(DD85/CZ85*10,0)</f>
        <v>2.2013268798542693</v>
      </c>
      <c r="DD85" s="2107">
        <f>SUM(DD47:DD84)</f>
        <v>465.81685378951244</v>
      </c>
      <c r="DE85" s="2106">
        <f>IFERROR(DF85/CZ85*10,0)</f>
        <v>0</v>
      </c>
      <c r="DF85" s="2107">
        <f>SUM(DF47:DF84)</f>
        <v>0</v>
      </c>
      <c r="DG85" s="2106"/>
      <c r="DH85" s="2107">
        <f t="shared" si="191"/>
        <v>3.4182996425287113</v>
      </c>
      <c r="DI85" s="2107">
        <f>SUM(DI47:DI84)</f>
        <v>723.33718329826229</v>
      </c>
      <c r="DJ85" s="2107">
        <f>SUM(DJ47:DJ84)</f>
        <v>2062.1120435074672</v>
      </c>
      <c r="DK85" s="2106">
        <f t="shared" si="192"/>
        <v>1.2488183186725934</v>
      </c>
      <c r="DL85" s="2107">
        <f>SUM(DL47:DL84)</f>
        <v>257.52032950875008</v>
      </c>
      <c r="DM85" s="2106">
        <f>IFERROR(DN85/DJ85*10,0)</f>
        <v>2.2982549995892376</v>
      </c>
      <c r="DN85" s="2107">
        <f>SUM(DN47:DN84)</f>
        <v>473.92593137042161</v>
      </c>
      <c r="DO85" s="2106">
        <f>IFERROR(DP85/DJ85*10,0)</f>
        <v>0</v>
      </c>
      <c r="DP85" s="2107">
        <f>SUM(DP47:DP84)</f>
        <v>0</v>
      </c>
      <c r="DQ85" s="2106"/>
      <c r="DR85" s="2107">
        <f t="shared" si="194"/>
        <v>3.5470733182618313</v>
      </c>
      <c r="DS85" s="2107">
        <f>SUM(DS47:DS84)</f>
        <v>731.44626087917175</v>
      </c>
      <c r="DT85" s="2107">
        <f>SUM(DT47:DT84)</f>
        <v>2363.2146450682667</v>
      </c>
      <c r="DU85" s="2106">
        <f t="shared" si="195"/>
        <v>1.0897035106233908</v>
      </c>
      <c r="DV85" s="2107">
        <f>SUM(DV47:DV84)</f>
        <v>257.52032950875008</v>
      </c>
      <c r="DW85" s="2106">
        <f>IFERROR(DX85/DT85*10,0)</f>
        <v>2.3647627854169562</v>
      </c>
      <c r="DX85" s="2107">
        <f>SUM(DX47:DX84)</f>
        <v>558.84420466097777</v>
      </c>
      <c r="DY85" s="2106">
        <f>IFERROR(DZ85/DT85*10,0)</f>
        <v>0</v>
      </c>
      <c r="DZ85" s="2107">
        <f>SUM(DZ47:DZ84)</f>
        <v>0</v>
      </c>
      <c r="EA85" s="2106"/>
      <c r="EB85" s="2107">
        <f t="shared" si="197"/>
        <v>3.4544662960403465</v>
      </c>
      <c r="EC85" s="2107">
        <f>SUM(EC47:EC84)</f>
        <v>816.36453416972779</v>
      </c>
      <c r="ED85" s="2107">
        <f>SUM(ED47:ED84)</f>
        <v>24011.467373740667</v>
      </c>
      <c r="EE85" s="2107"/>
      <c r="EF85" s="2106"/>
      <c r="EG85" s="2107">
        <f>SUM(EG47:EG84)</f>
        <v>3193.7447445092507</v>
      </c>
      <c r="EH85" s="2106"/>
      <c r="EI85" s="2107">
        <f>SUM(EI47:EI84)</f>
        <v>5023.7103160879105</v>
      </c>
      <c r="EJ85" s="2106"/>
      <c r="EK85" s="2107">
        <f>SUM(EK47:EK84)</f>
        <v>1149.4787463500002</v>
      </c>
      <c r="EL85" s="2106"/>
      <c r="EM85" s="2107"/>
      <c r="EN85" s="2107">
        <f>SUM(EN47:EN84)</f>
        <v>9366.9338069471632</v>
      </c>
      <c r="EO85" s="2110"/>
      <c r="EP85" s="2110"/>
      <c r="ES85" s="2084">
        <f t="shared" si="187"/>
        <v>0</v>
      </c>
      <c r="EU85" s="2084">
        <f t="shared" si="198"/>
        <v>3525.1233262670003</v>
      </c>
      <c r="EV85" s="2084">
        <f t="shared" si="199"/>
        <v>17470.067610999999</v>
      </c>
      <c r="EW85" s="2084">
        <f t="shared" si="200"/>
        <v>2.0178074892208273</v>
      </c>
      <c r="FE85" s="2108"/>
      <c r="FF85" s="2108"/>
      <c r="FG85" s="2108"/>
      <c r="FH85" s="2108"/>
      <c r="FI85" s="2108"/>
      <c r="FJ85" s="2108"/>
      <c r="FK85" s="2108"/>
    </row>
    <row r="86" spans="1:167">
      <c r="A86" s="1760"/>
      <c r="B86" s="1761"/>
      <c r="C86" s="2098"/>
      <c r="D86" s="2099"/>
      <c r="E86" s="2100"/>
      <c r="F86" s="2099"/>
      <c r="G86" s="2101"/>
      <c r="H86" s="2102"/>
      <c r="I86" s="2119"/>
      <c r="J86" s="2104"/>
      <c r="K86" s="2101"/>
      <c r="L86" s="2101"/>
      <c r="M86" s="2105"/>
      <c r="N86" s="2106"/>
      <c r="O86" s="2106"/>
      <c r="P86" s="2106"/>
      <c r="Q86" s="2106"/>
      <c r="R86" s="2106"/>
      <c r="S86" s="2106"/>
      <c r="T86" s="2106"/>
      <c r="U86" s="2106"/>
      <c r="V86" s="2106"/>
      <c r="W86" s="2106"/>
      <c r="X86" s="2106"/>
      <c r="Y86" s="2106"/>
      <c r="Z86" s="2106"/>
      <c r="AA86" s="2106"/>
      <c r="AB86" s="2106"/>
      <c r="AC86" s="2106"/>
      <c r="AD86" s="2106"/>
      <c r="AE86" s="2106"/>
      <c r="AF86" s="2106"/>
      <c r="AG86" s="2106"/>
      <c r="AH86" s="2106"/>
      <c r="AI86" s="2106"/>
      <c r="AJ86" s="2106"/>
      <c r="AK86" s="2106"/>
      <c r="AL86" s="2106"/>
      <c r="AM86" s="2106"/>
      <c r="AN86" s="2106"/>
      <c r="AO86" s="2106"/>
      <c r="AP86" s="2106"/>
      <c r="AQ86" s="2106"/>
      <c r="AR86" s="2106"/>
      <c r="AS86" s="2106"/>
      <c r="AT86" s="2106"/>
      <c r="AU86" s="2106"/>
      <c r="AV86" s="2106"/>
      <c r="AW86" s="2106"/>
      <c r="AX86" s="2106"/>
      <c r="AY86" s="2120"/>
      <c r="AZ86" s="2106"/>
      <c r="BA86" s="2106"/>
      <c r="BB86" s="2106"/>
      <c r="BC86" s="2106"/>
      <c r="BD86" s="2106"/>
      <c r="BE86" s="2106"/>
      <c r="BF86" s="2106"/>
      <c r="BG86" s="2106"/>
      <c r="BH86" s="2106"/>
      <c r="BI86" s="2120"/>
      <c r="BJ86" s="2106"/>
      <c r="BK86" s="2106"/>
      <c r="BL86" s="2106"/>
      <c r="BM86" s="2106"/>
      <c r="BN86" s="2106"/>
      <c r="BO86" s="2106"/>
      <c r="BP86" s="2106"/>
      <c r="BQ86" s="2106"/>
      <c r="BR86" s="2106"/>
      <c r="BS86" s="2120"/>
      <c r="BT86" s="2106"/>
      <c r="BU86" s="2106"/>
      <c r="BV86" s="2106"/>
      <c r="BW86" s="2106"/>
      <c r="BX86" s="2106"/>
      <c r="BY86" s="2106"/>
      <c r="BZ86" s="2106"/>
      <c r="CA86" s="2106"/>
      <c r="CB86" s="2106"/>
      <c r="CC86" s="2120"/>
      <c r="CD86" s="2106"/>
      <c r="CE86" s="2106"/>
      <c r="CF86" s="2106"/>
      <c r="CG86" s="2106"/>
      <c r="CH86" s="2106"/>
      <c r="CI86" s="2106"/>
      <c r="CJ86" s="2106"/>
      <c r="CK86" s="2106"/>
      <c r="CL86" s="2106"/>
      <c r="CM86" s="2120"/>
      <c r="CN86" s="2106"/>
      <c r="CO86" s="2106"/>
      <c r="CP86" s="2106"/>
      <c r="CQ86" s="2106"/>
      <c r="CR86" s="2106"/>
      <c r="CS86" s="2106"/>
      <c r="CT86" s="2109"/>
      <c r="CU86" s="2106"/>
      <c r="CV86" s="2106"/>
      <c r="CW86" s="2120"/>
      <c r="CX86" s="2106"/>
      <c r="CY86" s="2106"/>
      <c r="CZ86" s="2106">
        <v>0</v>
      </c>
      <c r="DA86" s="2106">
        <f t="shared" si="189"/>
        <v>0</v>
      </c>
      <c r="DB86" s="2106">
        <v>0</v>
      </c>
      <c r="DC86" s="2106">
        <v>0</v>
      </c>
      <c r="DD86" s="2109">
        <f t="shared" si="190"/>
        <v>0</v>
      </c>
      <c r="DE86" s="2106"/>
      <c r="DF86" s="2106"/>
      <c r="DG86" s="2120"/>
      <c r="DH86" s="2106"/>
      <c r="DI86" s="2106"/>
      <c r="DJ86" s="2106">
        <v>0</v>
      </c>
      <c r="DK86" s="2106">
        <f t="shared" si="192"/>
        <v>0</v>
      </c>
      <c r="DL86" s="2106">
        <v>0</v>
      </c>
      <c r="DM86" s="2106">
        <v>0</v>
      </c>
      <c r="DN86" s="2109">
        <f t="shared" si="193"/>
        <v>0</v>
      </c>
      <c r="DO86" s="2106"/>
      <c r="DP86" s="2106"/>
      <c r="DQ86" s="2120"/>
      <c r="DR86" s="2106"/>
      <c r="DS86" s="2106"/>
      <c r="DT86" s="2106">
        <v>0</v>
      </c>
      <c r="DU86" s="2106">
        <f t="shared" si="195"/>
        <v>0</v>
      </c>
      <c r="DV86" s="2106">
        <v>0</v>
      </c>
      <c r="DW86" s="2106">
        <v>0</v>
      </c>
      <c r="DX86" s="2109">
        <f t="shared" si="196"/>
        <v>0</v>
      </c>
      <c r="DY86" s="2106"/>
      <c r="DZ86" s="2106"/>
      <c r="EA86" s="2106"/>
      <c r="EB86" s="2106"/>
      <c r="EC86" s="2106"/>
      <c r="ED86" s="2106"/>
      <c r="EE86" s="2107"/>
      <c r="EF86" s="2106"/>
      <c r="EG86" s="2106"/>
      <c r="EH86" s="2106"/>
      <c r="EI86" s="2106"/>
      <c r="EJ86" s="2106"/>
      <c r="EK86" s="2106"/>
      <c r="EL86" s="2106"/>
      <c r="EM86" s="2106"/>
      <c r="EN86" s="2106"/>
      <c r="EO86" s="2110"/>
      <c r="EP86" s="2110"/>
      <c r="ES86" s="2084">
        <f t="shared" si="187"/>
        <v>0</v>
      </c>
      <c r="EU86" s="2084">
        <f t="shared" si="198"/>
        <v>0</v>
      </c>
      <c r="EV86" s="2084">
        <f t="shared" si="199"/>
        <v>0</v>
      </c>
      <c r="EW86" s="2084" t="e">
        <f t="shared" si="200"/>
        <v>#DIV/0!</v>
      </c>
      <c r="FE86" s="2108"/>
      <c r="FF86" s="2108"/>
      <c r="FG86" s="2108"/>
      <c r="FH86" s="2108"/>
      <c r="FI86" s="2108"/>
      <c r="FJ86" s="2108"/>
      <c r="FK86" s="2108"/>
    </row>
    <row r="87" spans="1:167">
      <c r="A87" s="1760" t="s">
        <v>26</v>
      </c>
      <c r="B87" s="1784" t="s">
        <v>1715</v>
      </c>
      <c r="C87" s="2098"/>
      <c r="D87" s="2099"/>
      <c r="E87" s="2100"/>
      <c r="F87" s="2099"/>
      <c r="G87" s="2101"/>
      <c r="H87" s="2102"/>
      <c r="I87" s="2119"/>
      <c r="J87" s="2104"/>
      <c r="K87" s="2101"/>
      <c r="L87" s="2101"/>
      <c r="M87" s="2105"/>
      <c r="N87" s="2106"/>
      <c r="O87" s="2106"/>
      <c r="P87" s="2106"/>
      <c r="Q87" s="2106"/>
      <c r="R87" s="2106"/>
      <c r="S87" s="2106"/>
      <c r="T87" s="2106"/>
      <c r="U87" s="2106"/>
      <c r="V87" s="2106"/>
      <c r="W87" s="2106"/>
      <c r="X87" s="2106"/>
      <c r="Y87" s="2106"/>
      <c r="Z87" s="2106"/>
      <c r="AA87" s="2106"/>
      <c r="AB87" s="2106"/>
      <c r="AC87" s="2106"/>
      <c r="AD87" s="2106"/>
      <c r="AE87" s="2106"/>
      <c r="AF87" s="2106"/>
      <c r="AG87" s="2106"/>
      <c r="AH87" s="2106"/>
      <c r="AI87" s="2106"/>
      <c r="AJ87" s="2106"/>
      <c r="AK87" s="2106"/>
      <c r="AL87" s="2106"/>
      <c r="AM87" s="2106"/>
      <c r="AN87" s="2106"/>
      <c r="AO87" s="2106"/>
      <c r="AP87" s="2106"/>
      <c r="AQ87" s="2106"/>
      <c r="AR87" s="2106"/>
      <c r="AS87" s="2106"/>
      <c r="AT87" s="2106"/>
      <c r="AU87" s="2106"/>
      <c r="AV87" s="2106"/>
      <c r="AW87" s="2106"/>
      <c r="AX87" s="2106"/>
      <c r="AY87" s="2120"/>
      <c r="AZ87" s="2106"/>
      <c r="BA87" s="2106"/>
      <c r="BB87" s="2106"/>
      <c r="BC87" s="2106"/>
      <c r="BD87" s="2106"/>
      <c r="BE87" s="2106"/>
      <c r="BF87" s="2106"/>
      <c r="BG87" s="2106"/>
      <c r="BH87" s="2106"/>
      <c r="BI87" s="2120"/>
      <c r="BJ87" s="2106"/>
      <c r="BK87" s="2106"/>
      <c r="BL87" s="2106"/>
      <c r="BM87" s="2106"/>
      <c r="BN87" s="2106"/>
      <c r="BO87" s="2106"/>
      <c r="BP87" s="2106"/>
      <c r="BQ87" s="2106"/>
      <c r="BR87" s="2106"/>
      <c r="BS87" s="2120"/>
      <c r="BT87" s="2106"/>
      <c r="BU87" s="2106"/>
      <c r="BV87" s="2106"/>
      <c r="BW87" s="2106"/>
      <c r="BX87" s="2106"/>
      <c r="BY87" s="2106"/>
      <c r="BZ87" s="2106"/>
      <c r="CA87" s="2106"/>
      <c r="CB87" s="2106"/>
      <c r="CC87" s="2120"/>
      <c r="CD87" s="2106"/>
      <c r="CE87" s="2106"/>
      <c r="CF87" s="2106"/>
      <c r="CG87" s="2106"/>
      <c r="CH87" s="2106"/>
      <c r="CI87" s="2106"/>
      <c r="CJ87" s="2106"/>
      <c r="CK87" s="2106"/>
      <c r="CL87" s="2106"/>
      <c r="CM87" s="2120"/>
      <c r="CN87" s="2106"/>
      <c r="CO87" s="2106"/>
      <c r="CP87" s="2106"/>
      <c r="CQ87" s="2106"/>
      <c r="CR87" s="2106"/>
      <c r="CS87" s="2106"/>
      <c r="CT87" s="2109"/>
      <c r="CU87" s="2106"/>
      <c r="CV87" s="2106"/>
      <c r="CW87" s="2120"/>
      <c r="CX87" s="2106"/>
      <c r="CY87" s="2106"/>
      <c r="CZ87" s="2106">
        <v>0</v>
      </c>
      <c r="DA87" s="2106">
        <f t="shared" si="189"/>
        <v>0</v>
      </c>
      <c r="DB87" s="2106">
        <v>0</v>
      </c>
      <c r="DC87" s="2106">
        <v>0</v>
      </c>
      <c r="DD87" s="2109">
        <f t="shared" si="190"/>
        <v>0</v>
      </c>
      <c r="DE87" s="2106"/>
      <c r="DF87" s="2106"/>
      <c r="DG87" s="2120"/>
      <c r="DH87" s="2106"/>
      <c r="DI87" s="2106"/>
      <c r="DJ87" s="2106">
        <v>0</v>
      </c>
      <c r="DK87" s="2106">
        <f t="shared" si="192"/>
        <v>0</v>
      </c>
      <c r="DL87" s="2106">
        <v>0</v>
      </c>
      <c r="DM87" s="2106">
        <v>0</v>
      </c>
      <c r="DN87" s="2109">
        <f t="shared" si="193"/>
        <v>0</v>
      </c>
      <c r="DO87" s="2106"/>
      <c r="DP87" s="2106"/>
      <c r="DQ87" s="2120"/>
      <c r="DR87" s="2106"/>
      <c r="DS87" s="2106"/>
      <c r="DT87" s="2106">
        <v>0</v>
      </c>
      <c r="DU87" s="2106">
        <f t="shared" si="195"/>
        <v>0</v>
      </c>
      <c r="DV87" s="2106">
        <v>0</v>
      </c>
      <c r="DW87" s="2106">
        <v>0</v>
      </c>
      <c r="DX87" s="2109">
        <f t="shared" si="196"/>
        <v>0</v>
      </c>
      <c r="DY87" s="2106"/>
      <c r="DZ87" s="2106"/>
      <c r="EA87" s="2106"/>
      <c r="EB87" s="2106"/>
      <c r="EC87" s="2106"/>
      <c r="ED87" s="2106"/>
      <c r="EE87" s="2107"/>
      <c r="EF87" s="2106"/>
      <c r="EG87" s="2106"/>
      <c r="EH87" s="2106"/>
      <c r="EI87" s="2106"/>
      <c r="EJ87" s="2106"/>
      <c r="EK87" s="2106"/>
      <c r="EL87" s="2106"/>
      <c r="EM87" s="2106"/>
      <c r="EN87" s="2106"/>
      <c r="EO87" s="2110"/>
      <c r="EP87" s="2110"/>
      <c r="ES87" s="2084">
        <f t="shared" si="187"/>
        <v>0</v>
      </c>
      <c r="EU87" s="2084">
        <f t="shared" si="198"/>
        <v>0</v>
      </c>
      <c r="EV87" s="2084">
        <f t="shared" si="199"/>
        <v>0</v>
      </c>
      <c r="EW87" s="2084" t="e">
        <f t="shared" si="200"/>
        <v>#DIV/0!</v>
      </c>
      <c r="FE87" s="2108"/>
      <c r="FF87" s="2108"/>
      <c r="FG87" s="2108"/>
      <c r="FH87" s="2108"/>
      <c r="FI87" s="2108"/>
      <c r="FJ87" s="2108"/>
      <c r="FK87" s="2108"/>
    </row>
    <row r="88" spans="1:167">
      <c r="A88" s="1760">
        <v>1</v>
      </c>
      <c r="B88" s="1761" t="s">
        <v>1716</v>
      </c>
      <c r="C88" s="2098">
        <v>440</v>
      </c>
      <c r="D88" s="2099">
        <v>0</v>
      </c>
      <c r="E88" s="2100"/>
      <c r="F88" s="2099"/>
      <c r="G88" s="2101">
        <v>1.65</v>
      </c>
      <c r="H88" s="2102" t="s">
        <v>1717</v>
      </c>
      <c r="I88" s="2103">
        <v>1</v>
      </c>
      <c r="J88" s="2104"/>
      <c r="K88" s="2101"/>
      <c r="L88" s="2101"/>
      <c r="M88" s="2105"/>
      <c r="N88" s="2106">
        <v>0.18690599999999999</v>
      </c>
      <c r="O88" s="2106">
        <f t="shared" ref="O88:O93" si="201">IFERROR(P88/N88*10,0)</f>
        <v>0</v>
      </c>
      <c r="P88" s="2106">
        <v>0</v>
      </c>
      <c r="Q88" s="2106">
        <f t="shared" ref="Q88:Q93" si="202">IFERROR(R88/N88*10,0)</f>
        <v>2.289798080318449</v>
      </c>
      <c r="R88" s="2106">
        <v>4.2797700000000001E-2</v>
      </c>
      <c r="S88" s="2106">
        <f t="shared" ref="S88:S93" si="203">IFERROR(T88/N88*10,0)</f>
        <v>0</v>
      </c>
      <c r="T88" s="2106">
        <v>0</v>
      </c>
      <c r="U88" s="2106"/>
      <c r="V88" s="2106">
        <f t="shared" ref="V88:V93" si="204">IFERROR(W88/N88*10,0)</f>
        <v>2.289798080318449</v>
      </c>
      <c r="W88" s="2106">
        <f>SUM(P88,R88,T88,U88)</f>
        <v>4.2797700000000001E-2</v>
      </c>
      <c r="X88" s="2106">
        <v>0.25644299999999998</v>
      </c>
      <c r="Y88" s="2106">
        <f t="shared" ref="Y88:Y93" si="205">IFERROR(Z88/X88*10,0)</f>
        <v>0</v>
      </c>
      <c r="Z88" s="2106">
        <v>0</v>
      </c>
      <c r="AA88" s="2106">
        <f t="shared" ref="AA88:AA93" si="206">IFERROR(AB88/X88*10,0)</f>
        <v>2.2899006796832047</v>
      </c>
      <c r="AB88" s="2106">
        <v>5.8722900000000001E-2</v>
      </c>
      <c r="AC88" s="2106">
        <f t="shared" ref="AC88:AC93" si="207">IFERROR(AD88/X88*10,0)</f>
        <v>0</v>
      </c>
      <c r="AD88" s="2106">
        <v>0</v>
      </c>
      <c r="AE88" s="2106"/>
      <c r="AF88" s="2106">
        <f t="shared" ref="AF88:AF93" si="208">IFERROR(AG88/X88*10,0)</f>
        <v>2.2899006796832047</v>
      </c>
      <c r="AG88" s="2106">
        <f>SUM(Z88,AB88,AD88,AE88)</f>
        <v>5.8722900000000001E-2</v>
      </c>
      <c r="AH88" s="2106">
        <v>0.35259699999999999</v>
      </c>
      <c r="AI88" s="2106">
        <f t="shared" ref="AI88:AI93" si="209">IFERROR(AJ88/AH88*10,0)</f>
        <v>0</v>
      </c>
      <c r="AJ88" s="2106">
        <v>0</v>
      </c>
      <c r="AK88" s="2106">
        <f t="shared" ref="AK88:AK93" si="210">IFERROR(AL88/AH88*10,0)</f>
        <v>2.2899003678420407</v>
      </c>
      <c r="AL88" s="2106">
        <v>8.0741199999999999E-2</v>
      </c>
      <c r="AM88" s="2106">
        <f t="shared" ref="AM88:AM93" si="211">IFERROR(AN88/AH88*10,0)</f>
        <v>0</v>
      </c>
      <c r="AN88" s="2106">
        <v>0</v>
      </c>
      <c r="AO88" s="2106">
        <v>0</v>
      </c>
      <c r="AP88" s="2106">
        <f t="shared" ref="AP88:AP93" si="212">IFERROR(AQ88/AH88*10,0)</f>
        <v>2.2899003678420407</v>
      </c>
      <c r="AQ88" s="2106">
        <f>SUM(AJ88,AL88,AN88,AO88)</f>
        <v>8.0741199999999999E-2</v>
      </c>
      <c r="AR88" s="2106">
        <v>0.38259599999999999</v>
      </c>
      <c r="AS88" s="2106">
        <f t="shared" ref="AS88:AS93" si="213">IFERROR(AT88/AR88*10,0)</f>
        <v>0</v>
      </c>
      <c r="AT88" s="2106">
        <v>0</v>
      </c>
      <c r="AU88" s="2106">
        <f t="shared" ref="AU88:AU93" si="214">IFERROR(AV88/AR88*10,0)</f>
        <v>2.2899010967182094</v>
      </c>
      <c r="AV88" s="2106">
        <v>8.76107E-2</v>
      </c>
      <c r="AW88" s="2106">
        <f t="shared" ref="AW88:AW93" si="215">IFERROR(AX88/AR88*10,0)</f>
        <v>1.0716264676055162E-3</v>
      </c>
      <c r="AX88" s="2106">
        <v>4.1E-5</v>
      </c>
      <c r="AY88" s="2106"/>
      <c r="AZ88" s="2106">
        <f t="shared" ref="AZ88:AZ93" si="216">IFERROR(BA88/AR88*10,0)</f>
        <v>2.2909727231858148</v>
      </c>
      <c r="BA88" s="2106">
        <f>SUM(AT88,AV88,AX88,AY88)</f>
        <v>8.7651699999999999E-2</v>
      </c>
      <c r="BB88" s="2106">
        <v>0.345082</v>
      </c>
      <c r="BC88" s="2106">
        <f t="shared" ref="BC88:BC93" si="217">IFERROR(BD88/BB88*10,0)</f>
        <v>0</v>
      </c>
      <c r="BD88" s="2106">
        <v>0</v>
      </c>
      <c r="BE88" s="2106">
        <f t="shared" ref="BE88:BE93" si="218">IFERROR(BF88/BB88*10,0)</f>
        <v>2.2898992123611199</v>
      </c>
      <c r="BF88" s="2106">
        <v>7.9020300000000002E-2</v>
      </c>
      <c r="BG88" s="2106">
        <f t="shared" ref="BG88:BG93" si="219">IFERROR(BH88/BB88*10,0)</f>
        <v>0.26190876371413169</v>
      </c>
      <c r="BH88" s="2106">
        <v>9.0379999999999992E-3</v>
      </c>
      <c r="BI88" s="2106"/>
      <c r="BJ88" s="2106">
        <f t="shared" ref="BJ88:BJ93" si="220">IFERROR(BK88/BB88*10,0)</f>
        <v>2.5518079760752519</v>
      </c>
      <c r="BK88" s="2106">
        <f>SUM(BD88,BF88,BH88,BI88)</f>
        <v>8.8058300000000006E-2</v>
      </c>
      <c r="BL88" s="2106">
        <v>0.26835599999999998</v>
      </c>
      <c r="BM88" s="2106">
        <f t="shared" ref="BM88:BM93" si="221">IFERROR(BN88/BL88*10,0)</f>
        <v>0</v>
      </c>
      <c r="BN88" s="2106">
        <v>0</v>
      </c>
      <c r="BO88" s="2106">
        <f t="shared" ref="BO88:BO93" si="222">IFERROR(BP88/BL88*10,0)</f>
        <v>2.2898984930465502</v>
      </c>
      <c r="BP88" s="2106">
        <v>6.14508E-2</v>
      </c>
      <c r="BQ88" s="2106">
        <f t="shared" ref="BQ88:BQ93" si="223">IFERROR(BR88/BL88*10,0)</f>
        <v>1.8184799296456946E-3</v>
      </c>
      <c r="BR88" s="2106">
        <v>4.88E-5</v>
      </c>
      <c r="BS88" s="2106"/>
      <c r="BT88" s="2106">
        <f t="shared" ref="BT88:BT93" si="224">IFERROR(BU88/BL88*10,0)</f>
        <v>2.2917169729761961</v>
      </c>
      <c r="BU88" s="2106">
        <f>SUM(BN88,BP88,BR88,BS88)</f>
        <v>6.1499600000000001E-2</v>
      </c>
      <c r="BV88" s="2106">
        <v>0.39583499999999999</v>
      </c>
      <c r="BW88" s="2106">
        <f t="shared" ref="BW88:BW93" si="225">IFERROR(BX88/BV88*10,0)</f>
        <v>0</v>
      </c>
      <c r="BX88" s="2106">
        <v>0</v>
      </c>
      <c r="BY88" s="2106">
        <f t="shared" ref="BY88:BY93" si="226">IFERROR(BZ88/BV88*10,0)</f>
        <v>2.2795002968408555</v>
      </c>
      <c r="BZ88" s="2106">
        <v>9.0230599999999994E-2</v>
      </c>
      <c r="CA88" s="2106">
        <f t="shared" ref="CA88:CA93" si="227">IFERROR(CB88/BV88*10,0)</f>
        <v>-0.67130496292647179</v>
      </c>
      <c r="CB88" s="2106">
        <v>-2.6572599999999998E-2</v>
      </c>
      <c r="CC88" s="2106"/>
      <c r="CD88" s="2106">
        <f t="shared" ref="CD88:CD93" si="228">IFERROR(CE88/BV88*10,0)</f>
        <v>1.6081953339143835</v>
      </c>
      <c r="CE88" s="2106">
        <f>SUM(BX88,BZ88,CB88,CC88)</f>
        <v>6.3657999999999992E-2</v>
      </c>
      <c r="CF88" s="2106">
        <v>0.46742899999999998</v>
      </c>
      <c r="CG88" s="2106">
        <f t="shared" ref="CG88:CG93" si="229">IFERROR(CH88/CF88*10,0)</f>
        <v>0</v>
      </c>
      <c r="CH88" s="2106">
        <v>0</v>
      </c>
      <c r="CI88" s="2106">
        <f t="shared" ref="CI88:CI93" si="230">IFERROR(CJ88/CF88*10,0)</f>
        <v>2.2791996217607382</v>
      </c>
      <c r="CJ88" s="2106">
        <v>0.1065364</v>
      </c>
      <c r="CK88" s="2106">
        <f t="shared" ref="CK88:CK93" si="231">IFERROR(CL88/CF88*10,0)</f>
        <v>0</v>
      </c>
      <c r="CL88" s="2106">
        <v>0</v>
      </c>
      <c r="CM88" s="2106"/>
      <c r="CN88" s="2106">
        <f t="shared" ref="CN88:CN93" si="232">IFERROR(CO88/CF88*10,0)</f>
        <v>2.2791996217607382</v>
      </c>
      <c r="CO88" s="2106">
        <f>SUM(CH88,CJ88,CL88,CM88)</f>
        <v>0.1065364</v>
      </c>
      <c r="CP88" s="2106">
        <v>0.40581699999999998</v>
      </c>
      <c r="CQ88" s="2106">
        <f t="shared" ref="CQ88:CQ93" si="233">IFERROR(CR88/CP88*10,0)</f>
        <v>0</v>
      </c>
      <c r="CR88" s="2106">
        <v>0</v>
      </c>
      <c r="CS88" s="2106">
        <f t="shared" ref="CS88:CS93" si="234">IFERROR(CT88/CP88*10,0)</f>
        <v>2.2791997378128568</v>
      </c>
      <c r="CT88" s="2106">
        <v>9.2493800000000001E-2</v>
      </c>
      <c r="CU88" s="2106">
        <f t="shared" ref="CU88:CU93" si="235">IFERROR(CV88/CP88*10,0)</f>
        <v>0</v>
      </c>
      <c r="CV88" s="2106">
        <v>0</v>
      </c>
      <c r="CW88" s="2106"/>
      <c r="CX88" s="2106">
        <f t="shared" ref="CX88:CX93" si="236">IFERROR(CY88/CP88*10,0)</f>
        <v>2.2791997378128568</v>
      </c>
      <c r="CY88" s="2106">
        <f>SUM(CR88,CT88,CV88,CW88)</f>
        <v>9.2493800000000001E-2</v>
      </c>
      <c r="CZ88" s="2106">
        <v>0</v>
      </c>
      <c r="DA88" s="2106">
        <f t="shared" si="189"/>
        <v>0</v>
      </c>
      <c r="DB88" s="2106">
        <v>0</v>
      </c>
      <c r="DC88" s="2106">
        <v>2.3504776523361897</v>
      </c>
      <c r="DD88" s="2109">
        <f t="shared" si="190"/>
        <v>0</v>
      </c>
      <c r="DE88" s="2106"/>
      <c r="DF88" s="2106"/>
      <c r="DG88" s="2106"/>
      <c r="DH88" s="2106">
        <f t="shared" ref="DH88:DH93" si="237">IFERROR(DI88/CZ88*10,0)</f>
        <v>0</v>
      </c>
      <c r="DI88" s="2106">
        <f>SUM(DB88,DD88,DF88,DG88)</f>
        <v>0</v>
      </c>
      <c r="DJ88" s="2106">
        <v>0</v>
      </c>
      <c r="DK88" s="2106">
        <f t="shared" si="192"/>
        <v>0</v>
      </c>
      <c r="DL88" s="2106">
        <v>0</v>
      </c>
      <c r="DM88" s="2106">
        <v>2.3504776523361897</v>
      </c>
      <c r="DN88" s="2109">
        <f t="shared" si="193"/>
        <v>0</v>
      </c>
      <c r="DO88" s="2106"/>
      <c r="DP88" s="2106"/>
      <c r="DQ88" s="2106"/>
      <c r="DR88" s="2106">
        <f t="shared" ref="DR88:DR93" si="238">IFERROR(DS88/DJ88*10,0)</f>
        <v>0</v>
      </c>
      <c r="DS88" s="2106">
        <f>SUM(DL88,DN88,DP88,DQ88)</f>
        <v>0</v>
      </c>
      <c r="DT88" s="2106">
        <v>0</v>
      </c>
      <c r="DU88" s="2106">
        <f t="shared" si="195"/>
        <v>0</v>
      </c>
      <c r="DV88" s="2106">
        <v>0</v>
      </c>
      <c r="DW88" s="2106">
        <v>2.3504776523361897</v>
      </c>
      <c r="DX88" s="2109">
        <f t="shared" si="196"/>
        <v>0</v>
      </c>
      <c r="DY88" s="2106"/>
      <c r="DZ88" s="2106"/>
      <c r="EA88" s="2106"/>
      <c r="EB88" s="2106">
        <f t="shared" ref="EB88:EB93" si="239">IFERROR(EC88/DT88*10,0)</f>
        <v>0</v>
      </c>
      <c r="EC88" s="2106">
        <f>SUM(DV88,DX88,DZ88,EA88)</f>
        <v>0</v>
      </c>
      <c r="ED88" s="2106">
        <f>SUM(N88,X88,AH88,AR88,BB88,BL88,BV88,CF88,CP88,CZ88,DJ88,DT88)</f>
        <v>3.061061</v>
      </c>
      <c r="EE88" s="2107"/>
      <c r="EF88" s="2106">
        <f>IFERROR(EG88/ED88*10,0)</f>
        <v>0</v>
      </c>
      <c r="EG88" s="2106">
        <f>SUM(P88,Z88,AJ88,AT88,BD88,BN88,BX88,CH88,CR88,DB88,DL88,DV88)</f>
        <v>0</v>
      </c>
      <c r="EH88" s="2106">
        <f>IFERROR(EI88/ED88*10,0)</f>
        <v>2.2854964340795556</v>
      </c>
      <c r="EI88" s="2106">
        <f>SUM(R88,AB88,AL88,AV88,BF88,BP88,BZ88,CJ88,CT88,DD88,DN88,DX88)</f>
        <v>0.6996043999999999</v>
      </c>
      <c r="EJ88" s="2106"/>
      <c r="EK88" s="2106">
        <f>SUM(T88,AD88,AN88,AX88,BH88,BR88,CB88,CL88,CV88,DF88,DP88,DZ88)</f>
        <v>-1.74448E-2</v>
      </c>
      <c r="EL88" s="2106"/>
      <c r="EM88" s="2106"/>
      <c r="EN88" s="2106">
        <f>EG88+EI88+EK88</f>
        <v>0.68215959999999987</v>
      </c>
      <c r="EO88" s="2104">
        <f t="shared" ref="EO88:EO93" si="240">IFERROR(EN88/ED88*10,0)</f>
        <v>2.2285070437995187</v>
      </c>
      <c r="EP88" s="2110"/>
      <c r="ES88" s="2084">
        <f t="shared" si="187"/>
        <v>0</v>
      </c>
      <c r="EU88" s="2084">
        <f t="shared" si="198"/>
        <v>0.6996043999999999</v>
      </c>
      <c r="EV88" s="2084">
        <f t="shared" si="199"/>
        <v>3.061061</v>
      </c>
      <c r="EW88" s="2084">
        <f t="shared" si="200"/>
        <v>2.285496434079556</v>
      </c>
      <c r="FE88" s="2108"/>
      <c r="FF88" s="2108"/>
      <c r="FG88" s="2108"/>
      <c r="FH88" s="2108"/>
      <c r="FI88" s="2108"/>
      <c r="FJ88" s="2108"/>
      <c r="FK88" s="2108"/>
    </row>
    <row r="89" spans="1:167">
      <c r="A89" s="1760">
        <v>2</v>
      </c>
      <c r="B89" s="1761" t="s">
        <v>1718</v>
      </c>
      <c r="C89" s="2098">
        <v>440</v>
      </c>
      <c r="D89" s="2099">
        <v>0.31363636363636366</v>
      </c>
      <c r="E89" s="2100"/>
      <c r="F89" s="2099">
        <v>0.93483801977703374</v>
      </c>
      <c r="G89" s="2101">
        <v>138</v>
      </c>
      <c r="H89" s="2102" t="s">
        <v>1717</v>
      </c>
      <c r="I89" s="2103">
        <v>2</v>
      </c>
      <c r="J89" s="2104"/>
      <c r="K89" s="2101"/>
      <c r="L89" s="2101"/>
      <c r="M89" s="2105"/>
      <c r="N89" s="2106">
        <v>101.529878</v>
      </c>
      <c r="O89" s="2106">
        <f t="shared" si="201"/>
        <v>0</v>
      </c>
      <c r="P89" s="2106">
        <v>0</v>
      </c>
      <c r="Q89" s="2106">
        <f t="shared" si="202"/>
        <v>3.011099993639311</v>
      </c>
      <c r="R89" s="2106">
        <v>30.571661500000001</v>
      </c>
      <c r="S89" s="2106">
        <f t="shared" si="203"/>
        <v>2.9843443621590882</v>
      </c>
      <c r="T89" s="2106">
        <v>30.300011900000001</v>
      </c>
      <c r="U89" s="2106"/>
      <c r="V89" s="2106">
        <f t="shared" si="204"/>
        <v>5.9954443557983996</v>
      </c>
      <c r="W89" s="2106">
        <f>SUM(P89,R89,T89,U89)</f>
        <v>60.871673400000006</v>
      </c>
      <c r="X89" s="2106">
        <v>103.404661</v>
      </c>
      <c r="Y89" s="2106">
        <f t="shared" si="205"/>
        <v>0</v>
      </c>
      <c r="Z89" s="2106">
        <v>0</v>
      </c>
      <c r="AA89" s="2106">
        <f t="shared" si="206"/>
        <v>3.0110999832009506</v>
      </c>
      <c r="AB89" s="2106">
        <v>31.1361773</v>
      </c>
      <c r="AC89" s="2106">
        <f t="shared" si="207"/>
        <v>5.7016482071344929E-3</v>
      </c>
      <c r="AD89" s="2106">
        <v>5.8957700000000002E-2</v>
      </c>
      <c r="AE89" s="2106"/>
      <c r="AF89" s="2106">
        <f t="shared" si="208"/>
        <v>3.0168016314080854</v>
      </c>
      <c r="AG89" s="2106">
        <f>SUM(Z89,AB89,AD89,AE89)</f>
        <v>31.195135000000001</v>
      </c>
      <c r="AH89" s="2106">
        <v>101.64458399999999</v>
      </c>
      <c r="AI89" s="2106">
        <f t="shared" si="209"/>
        <v>0</v>
      </c>
      <c r="AJ89" s="2106">
        <v>0</v>
      </c>
      <c r="AK89" s="2106">
        <f t="shared" si="210"/>
        <v>3.0102999978828189</v>
      </c>
      <c r="AL89" s="2106">
        <v>30.5980691</v>
      </c>
      <c r="AM89" s="2106">
        <f t="shared" si="211"/>
        <v>-1.3082369445282004E-2</v>
      </c>
      <c r="AN89" s="2106">
        <v>-0.13297519999999999</v>
      </c>
      <c r="AO89" s="2106">
        <v>0</v>
      </c>
      <c r="AP89" s="2106">
        <f t="shared" si="212"/>
        <v>2.9972176284375367</v>
      </c>
      <c r="AQ89" s="2106">
        <f>SUM(AJ89,AL89,AN89,AO89)</f>
        <v>30.465093899999999</v>
      </c>
      <c r="AR89" s="2106">
        <v>101.490988</v>
      </c>
      <c r="AS89" s="2106">
        <f t="shared" si="213"/>
        <v>0</v>
      </c>
      <c r="AT89" s="2106">
        <v>0</v>
      </c>
      <c r="AU89" s="2106">
        <f t="shared" si="214"/>
        <v>3.0102999884088231</v>
      </c>
      <c r="AV89" s="2106">
        <v>30.551832000000001</v>
      </c>
      <c r="AW89" s="2106">
        <f t="shared" si="215"/>
        <v>0</v>
      </c>
      <c r="AX89" s="2106">
        <v>0</v>
      </c>
      <c r="AY89" s="2106"/>
      <c r="AZ89" s="2106">
        <f t="shared" si="216"/>
        <v>3.0102999884088231</v>
      </c>
      <c r="BA89" s="2106">
        <f>SUM(AT89,AV89,AX89,AY89)</f>
        <v>30.551832000000001</v>
      </c>
      <c r="BB89" s="2106">
        <v>70.985118999999997</v>
      </c>
      <c r="BC89" s="2106">
        <f t="shared" si="217"/>
        <v>0</v>
      </c>
      <c r="BD89" s="2106">
        <v>0</v>
      </c>
      <c r="BE89" s="2106">
        <f t="shared" si="218"/>
        <v>3.0103000038641903</v>
      </c>
      <c r="BF89" s="2106">
        <v>21.3686504</v>
      </c>
      <c r="BG89" s="2106">
        <f t="shared" si="219"/>
        <v>0</v>
      </c>
      <c r="BH89" s="2106">
        <v>0</v>
      </c>
      <c r="BI89" s="2106"/>
      <c r="BJ89" s="2106">
        <f t="shared" si="220"/>
        <v>3.0103000038641903</v>
      </c>
      <c r="BK89" s="2106">
        <f>SUM(BD89,BF89,BH89,BI89)</f>
        <v>21.3686504</v>
      </c>
      <c r="BL89" s="2106">
        <v>98.175640999999999</v>
      </c>
      <c r="BM89" s="2106">
        <f t="shared" si="221"/>
        <v>0</v>
      </c>
      <c r="BN89" s="2106">
        <v>0</v>
      </c>
      <c r="BO89" s="2106">
        <f t="shared" si="222"/>
        <v>3.0102999887721635</v>
      </c>
      <c r="BP89" s="2106">
        <v>29.553813099999999</v>
      </c>
      <c r="BQ89" s="2106">
        <f t="shared" si="223"/>
        <v>0</v>
      </c>
      <c r="BR89" s="2106">
        <v>0</v>
      </c>
      <c r="BS89" s="2106">
        <v>248.79476159999999</v>
      </c>
      <c r="BT89" s="2106">
        <f t="shared" si="224"/>
        <v>28.352101586991417</v>
      </c>
      <c r="BU89" s="2106">
        <f>SUM(BN89,BP89,BR89,BS89)</f>
        <v>278.34857469999997</v>
      </c>
      <c r="BV89" s="2106">
        <v>89.830205000000007</v>
      </c>
      <c r="BW89" s="2106">
        <f t="shared" si="225"/>
        <v>0</v>
      </c>
      <c r="BX89" s="2106">
        <v>0</v>
      </c>
      <c r="BY89" s="2106">
        <f t="shared" si="226"/>
        <v>3.0102999987587693</v>
      </c>
      <c r="BZ89" s="2106">
        <v>27.041586599999999</v>
      </c>
      <c r="CA89" s="2106">
        <f t="shared" si="227"/>
        <v>0</v>
      </c>
      <c r="CB89" s="2106">
        <v>0</v>
      </c>
      <c r="CC89" s="2106"/>
      <c r="CD89" s="2106">
        <f t="shared" si="228"/>
        <v>3.0102999987587693</v>
      </c>
      <c r="CE89" s="2106">
        <f>SUM(BX89,BZ89,CB89,CC89)</f>
        <v>27.041586599999999</v>
      </c>
      <c r="CF89" s="2106">
        <v>91.713875000000002</v>
      </c>
      <c r="CG89" s="2106">
        <f t="shared" si="229"/>
        <v>0</v>
      </c>
      <c r="CH89" s="2106">
        <v>0</v>
      </c>
      <c r="CI89" s="2106">
        <f t="shared" si="230"/>
        <v>3.0103000227610055</v>
      </c>
      <c r="CJ89" s="2106">
        <v>27.608628</v>
      </c>
      <c r="CK89" s="2106">
        <f t="shared" si="231"/>
        <v>0</v>
      </c>
      <c r="CL89" s="2106">
        <v>0</v>
      </c>
      <c r="CM89" s="2106"/>
      <c r="CN89" s="2106">
        <f t="shared" si="232"/>
        <v>3.0103000227610055</v>
      </c>
      <c r="CO89" s="2106">
        <f>SUM(CH89,CJ89,CL89,CM89)</f>
        <v>27.608628</v>
      </c>
      <c r="CP89" s="2106">
        <v>98.909004999999993</v>
      </c>
      <c r="CQ89" s="2106">
        <f t="shared" si="233"/>
        <v>0</v>
      </c>
      <c r="CR89" s="2106">
        <v>0</v>
      </c>
      <c r="CS89" s="2106">
        <f t="shared" si="234"/>
        <v>3.0103000025124107</v>
      </c>
      <c r="CT89" s="2106">
        <v>29.774577799999999</v>
      </c>
      <c r="CU89" s="2106">
        <f t="shared" si="235"/>
        <v>0</v>
      </c>
      <c r="CV89" s="2106">
        <v>0</v>
      </c>
      <c r="CW89" s="2106"/>
      <c r="CX89" s="2106">
        <f t="shared" si="236"/>
        <v>3.0103000025124107</v>
      </c>
      <c r="CY89" s="2106">
        <f>SUM(CR89,CT89,CV89,CW89)</f>
        <v>29.774577799999999</v>
      </c>
      <c r="CZ89" s="2106">
        <v>94.492290666666676</v>
      </c>
      <c r="DA89" s="2106">
        <f t="shared" si="189"/>
        <v>0</v>
      </c>
      <c r="DB89" s="2106">
        <v>0</v>
      </c>
      <c r="DC89" s="2106">
        <v>3.0872479992257742</v>
      </c>
      <c r="DD89" s="2109">
        <f t="shared" si="190"/>
        <v>29.172113530292698</v>
      </c>
      <c r="DE89" s="2106"/>
      <c r="DF89" s="2106"/>
      <c r="DG89" s="2106"/>
      <c r="DH89" s="2106">
        <f t="shared" si="237"/>
        <v>3.0872479992257738</v>
      </c>
      <c r="DI89" s="2106">
        <f>SUM(DB89,DD89,DF89,DG89)</f>
        <v>29.172113530292698</v>
      </c>
      <c r="DJ89" s="2106">
        <v>94.492290666666676</v>
      </c>
      <c r="DK89" s="2106">
        <f t="shared" si="192"/>
        <v>0</v>
      </c>
      <c r="DL89" s="2106">
        <v>0</v>
      </c>
      <c r="DM89" s="2106">
        <v>3.0872479992257742</v>
      </c>
      <c r="DN89" s="2109">
        <f t="shared" si="193"/>
        <v>29.172113530292698</v>
      </c>
      <c r="DO89" s="2106"/>
      <c r="DP89" s="2106"/>
      <c r="DQ89" s="2106"/>
      <c r="DR89" s="2106">
        <f t="shared" si="238"/>
        <v>3.0872479992257738</v>
      </c>
      <c r="DS89" s="2106">
        <f>SUM(DL89,DN89,DP89,DQ89)</f>
        <v>29.172113530292698</v>
      </c>
      <c r="DT89" s="2106">
        <v>94.492290666666676</v>
      </c>
      <c r="DU89" s="2106">
        <f t="shared" si="195"/>
        <v>0</v>
      </c>
      <c r="DV89" s="2106">
        <v>0</v>
      </c>
      <c r="DW89" s="2106">
        <v>3.0872479992257742</v>
      </c>
      <c r="DX89" s="2109">
        <f t="shared" si="196"/>
        <v>29.172113530292698</v>
      </c>
      <c r="DY89" s="2106"/>
      <c r="DZ89" s="2106"/>
      <c r="EA89" s="2106"/>
      <c r="EB89" s="2106">
        <f t="shared" si="239"/>
        <v>3.0872479992257738</v>
      </c>
      <c r="EC89" s="2106">
        <f>SUM(DV89,DX89,DZ89,EA89)</f>
        <v>29.172113530292698</v>
      </c>
      <c r="ED89" s="2106">
        <f>SUM(N89,X89,AH89,AR89,BB89,BL89,BV89,CF89,CP89,CZ89,DJ89,DT89)</f>
        <v>1141.1608279999998</v>
      </c>
      <c r="EE89" s="2107"/>
      <c r="EF89" s="2106">
        <f>IFERROR(EG89/ED89*10,0)</f>
        <v>0</v>
      </c>
      <c r="EG89" s="2106">
        <f>SUM(P89,Z89,AJ89,AT89,BD89,BN89,BX89,CH89,CR89,DB89,DL89,DV89)</f>
        <v>0</v>
      </c>
      <c r="EH89" s="2106">
        <f>IFERROR(EI89/ED89*10,0)</f>
        <v>3.0295583927183145</v>
      </c>
      <c r="EI89" s="2106">
        <f>SUM(R89,AB89,AL89,AV89,BF89,BP89,BZ89,CJ89,CT89,DD89,DN89,DX89)</f>
        <v>345.72133639087804</v>
      </c>
      <c r="EJ89" s="2106"/>
      <c r="EK89" s="2106">
        <f>SUM(T89,AD89,AN89,AX89,BH89,BR89,CB89,CL89,CV89,DF89,DP89,DZ89)</f>
        <v>30.225994400000001</v>
      </c>
      <c r="EL89" s="2106"/>
      <c r="EM89" s="2106"/>
      <c r="EN89" s="2106">
        <f>EG89+EI89+EK89</f>
        <v>375.94733079087803</v>
      </c>
      <c r="EO89" s="2104">
        <f t="shared" si="240"/>
        <v>3.294428984648587</v>
      </c>
      <c r="EP89" s="2110"/>
      <c r="ES89" s="2084">
        <f t="shared" si="187"/>
        <v>0</v>
      </c>
      <c r="EU89" s="2084">
        <f t="shared" si="198"/>
        <v>258.20499580000001</v>
      </c>
      <c r="EV89" s="2084">
        <f t="shared" si="199"/>
        <v>857.68395599999997</v>
      </c>
      <c r="EW89" s="2084">
        <f t="shared" si="200"/>
        <v>3.0104911487932742</v>
      </c>
      <c r="FE89" s="2108"/>
      <c r="FF89" s="2108"/>
      <c r="FG89" s="2108"/>
      <c r="FH89" s="2108"/>
      <c r="FI89" s="2108"/>
      <c r="FJ89" s="2108"/>
      <c r="FK89" s="2108"/>
    </row>
    <row r="90" spans="1:167">
      <c r="A90" s="1760">
        <v>3</v>
      </c>
      <c r="B90" s="1761" t="s">
        <v>1719</v>
      </c>
      <c r="C90" s="2098">
        <v>440</v>
      </c>
      <c r="D90" s="2099">
        <v>0</v>
      </c>
      <c r="E90" s="2100"/>
      <c r="F90" s="2099"/>
      <c r="G90" s="2101">
        <v>4.05</v>
      </c>
      <c r="H90" s="2102" t="s">
        <v>1717</v>
      </c>
      <c r="I90" s="2103">
        <v>1</v>
      </c>
      <c r="J90" s="2104"/>
      <c r="K90" s="2101"/>
      <c r="L90" s="2101"/>
      <c r="M90" s="2105"/>
      <c r="N90" s="2106">
        <v>1.173076</v>
      </c>
      <c r="O90" s="2106">
        <f t="shared" si="201"/>
        <v>0</v>
      </c>
      <c r="P90" s="2106">
        <v>0</v>
      </c>
      <c r="Q90" s="2106">
        <f t="shared" si="202"/>
        <v>3.3884266663029505</v>
      </c>
      <c r="R90" s="2106">
        <v>0.39748820000000001</v>
      </c>
      <c r="S90" s="2106">
        <f t="shared" si="203"/>
        <v>3.5462322986745958E-4</v>
      </c>
      <c r="T90" s="2106">
        <v>4.1600000000000002E-5</v>
      </c>
      <c r="U90" s="2106"/>
      <c r="V90" s="2106">
        <f t="shared" si="204"/>
        <v>3.388781289532818</v>
      </c>
      <c r="W90" s="2106">
        <f>SUM(P90,R90,T90,U90)</f>
        <v>0.39752979999999999</v>
      </c>
      <c r="X90" s="2106">
        <v>1.1398250000000001</v>
      </c>
      <c r="Y90" s="2106">
        <f t="shared" si="205"/>
        <v>0</v>
      </c>
      <c r="Z90" s="2106">
        <v>0</v>
      </c>
      <c r="AA90" s="2106">
        <f t="shared" si="206"/>
        <v>3.3498440550084441</v>
      </c>
      <c r="AB90" s="2106">
        <v>0.38182359999999999</v>
      </c>
      <c r="AC90" s="2106">
        <f t="shared" si="207"/>
        <v>3.6496830653828441E-4</v>
      </c>
      <c r="AD90" s="2106">
        <v>4.1600000000000002E-5</v>
      </c>
      <c r="AE90" s="2106"/>
      <c r="AF90" s="2106">
        <f t="shared" si="208"/>
        <v>3.3502090233149815</v>
      </c>
      <c r="AG90" s="2106">
        <f>SUM(Z90,AB90,AD90,AE90)</f>
        <v>0.38186519999999996</v>
      </c>
      <c r="AH90" s="2106">
        <v>1.3021769999999999</v>
      </c>
      <c r="AI90" s="2106">
        <f t="shared" si="209"/>
        <v>0</v>
      </c>
      <c r="AJ90" s="2106">
        <v>0</v>
      </c>
      <c r="AK90" s="2106">
        <f t="shared" si="210"/>
        <v>3.3499332272033682</v>
      </c>
      <c r="AL90" s="2106">
        <v>0.43622060000000001</v>
      </c>
      <c r="AM90" s="2106">
        <f t="shared" si="211"/>
        <v>0</v>
      </c>
      <c r="AN90" s="2106">
        <v>0</v>
      </c>
      <c r="AO90" s="2106">
        <v>0</v>
      </c>
      <c r="AP90" s="2106">
        <f t="shared" si="212"/>
        <v>3.3499332272033682</v>
      </c>
      <c r="AQ90" s="2106">
        <f>SUM(AJ90,AL90,AN90,AO90)</f>
        <v>0.43622060000000001</v>
      </c>
      <c r="AR90" s="2106">
        <v>1.3515079999999999</v>
      </c>
      <c r="AS90" s="2106">
        <f t="shared" si="213"/>
        <v>0</v>
      </c>
      <c r="AT90" s="2106">
        <v>0</v>
      </c>
      <c r="AU90" s="2106">
        <f t="shared" si="214"/>
        <v>3.3511677326364331</v>
      </c>
      <c r="AV90" s="2106">
        <v>0.45291300000000001</v>
      </c>
      <c r="AW90" s="2106">
        <f t="shared" si="215"/>
        <v>1.8592564749894191E-2</v>
      </c>
      <c r="AX90" s="2106">
        <v>2.5127999999999999E-3</v>
      </c>
      <c r="AY90" s="2106"/>
      <c r="AZ90" s="2106">
        <f t="shared" si="216"/>
        <v>3.3697602973863274</v>
      </c>
      <c r="BA90" s="2106">
        <f>SUM(AT90,AV90,AX90,AY90)</f>
        <v>0.45542579999999999</v>
      </c>
      <c r="BB90" s="2106">
        <v>1.288783</v>
      </c>
      <c r="BC90" s="2106">
        <f t="shared" si="217"/>
        <v>0</v>
      </c>
      <c r="BD90" s="2106">
        <v>0</v>
      </c>
      <c r="BE90" s="2106">
        <f t="shared" si="218"/>
        <v>3.3790118274372025</v>
      </c>
      <c r="BF90" s="2106">
        <v>0.43548130000000002</v>
      </c>
      <c r="BG90" s="2106">
        <f t="shared" si="219"/>
        <v>4.283110500371281E-4</v>
      </c>
      <c r="BH90" s="2106">
        <v>5.52E-5</v>
      </c>
      <c r="BI90" s="2106"/>
      <c r="BJ90" s="2106">
        <f t="shared" si="220"/>
        <v>3.3794401384872397</v>
      </c>
      <c r="BK90" s="2106">
        <f>SUM(BD90,BF90,BH90,BI90)</f>
        <v>0.43553649999999999</v>
      </c>
      <c r="BL90" s="2106">
        <v>1.244802</v>
      </c>
      <c r="BM90" s="2106">
        <f t="shared" si="221"/>
        <v>0</v>
      </c>
      <c r="BN90" s="2106">
        <v>0</v>
      </c>
      <c r="BO90" s="2106">
        <f t="shared" si="222"/>
        <v>3.3943253625877849</v>
      </c>
      <c r="BP90" s="2106">
        <v>0.42252630000000002</v>
      </c>
      <c r="BQ90" s="2106">
        <f t="shared" si="223"/>
        <v>2.1907098478312218E-3</v>
      </c>
      <c r="BR90" s="2106">
        <v>2.7270000000000001E-4</v>
      </c>
      <c r="BS90" s="2106"/>
      <c r="BT90" s="2106">
        <f t="shared" si="224"/>
        <v>3.3965160724356167</v>
      </c>
      <c r="BU90" s="2106">
        <f>SUM(BN90,BP90,BR90,BS90)</f>
        <v>0.42279900000000004</v>
      </c>
      <c r="BV90" s="2106">
        <v>1.3470420000000001</v>
      </c>
      <c r="BW90" s="2106">
        <f t="shared" si="225"/>
        <v>0</v>
      </c>
      <c r="BX90" s="2106">
        <v>0</v>
      </c>
      <c r="BY90" s="2106">
        <f t="shared" si="226"/>
        <v>3.3943247500820317</v>
      </c>
      <c r="BZ90" s="2106">
        <v>0.45722980000000002</v>
      </c>
      <c r="CA90" s="2106">
        <f t="shared" si="227"/>
        <v>4.0755967519943699E-4</v>
      </c>
      <c r="CB90" s="2106">
        <v>5.49E-5</v>
      </c>
      <c r="CC90" s="2106"/>
      <c r="CD90" s="2106">
        <f t="shared" si="228"/>
        <v>3.3947323097572313</v>
      </c>
      <c r="CE90" s="2106">
        <f>SUM(BX90,BZ90,CB90,CC90)</f>
        <v>0.45728470000000004</v>
      </c>
      <c r="CF90" s="2106">
        <v>1.2896129999999999</v>
      </c>
      <c r="CG90" s="2106">
        <f t="shared" si="229"/>
        <v>0</v>
      </c>
      <c r="CH90" s="2106">
        <v>0</v>
      </c>
      <c r="CI90" s="2106">
        <f t="shared" si="230"/>
        <v>3.394325274326484</v>
      </c>
      <c r="CJ90" s="2106">
        <v>0.43773659999999998</v>
      </c>
      <c r="CK90" s="2106">
        <f t="shared" si="231"/>
        <v>4.2260740237575151E-4</v>
      </c>
      <c r="CL90" s="2106">
        <v>5.4500000000000003E-5</v>
      </c>
      <c r="CM90" s="2106"/>
      <c r="CN90" s="2106">
        <f t="shared" si="232"/>
        <v>3.3947478817288603</v>
      </c>
      <c r="CO90" s="2106">
        <f>SUM(CH90,CJ90,CL90,CM90)</f>
        <v>0.43779109999999999</v>
      </c>
      <c r="CP90" s="2106">
        <v>1.350651</v>
      </c>
      <c r="CQ90" s="2106">
        <f t="shared" si="233"/>
        <v>0</v>
      </c>
      <c r="CR90" s="2106">
        <v>0</v>
      </c>
      <c r="CS90" s="2106">
        <f t="shared" si="234"/>
        <v>3.3943246626996904</v>
      </c>
      <c r="CT90" s="2106">
        <v>0.4584548</v>
      </c>
      <c r="CU90" s="2106">
        <f t="shared" si="235"/>
        <v>4.0424950634916049E-4</v>
      </c>
      <c r="CV90" s="2106">
        <v>5.4599999999999999E-5</v>
      </c>
      <c r="CW90" s="2106"/>
      <c r="CX90" s="2106">
        <f t="shared" si="236"/>
        <v>3.3947289122060398</v>
      </c>
      <c r="CY90" s="2106">
        <f>SUM(CR90,CT90,CV90,CW90)</f>
        <v>0.45850940000000001</v>
      </c>
      <c r="CZ90" s="2106">
        <v>0</v>
      </c>
      <c r="DA90" s="2106">
        <f t="shared" si="189"/>
        <v>0</v>
      </c>
      <c r="DB90" s="2106">
        <v>0</v>
      </c>
      <c r="DC90" s="2106">
        <v>2.8946107563647905</v>
      </c>
      <c r="DD90" s="2109">
        <f t="shared" si="190"/>
        <v>0</v>
      </c>
      <c r="DE90" s="2106"/>
      <c r="DF90" s="2106"/>
      <c r="DG90" s="2106"/>
      <c r="DH90" s="2106">
        <f t="shared" si="237"/>
        <v>0</v>
      </c>
      <c r="DI90" s="2106">
        <f>SUM(DB90,DD90,DF90,DG90)</f>
        <v>0</v>
      </c>
      <c r="DJ90" s="2106">
        <v>0</v>
      </c>
      <c r="DK90" s="2106">
        <f t="shared" si="192"/>
        <v>0</v>
      </c>
      <c r="DL90" s="2106">
        <v>0</v>
      </c>
      <c r="DM90" s="2106">
        <v>2.8946107563647905</v>
      </c>
      <c r="DN90" s="2109">
        <f t="shared" si="193"/>
        <v>0</v>
      </c>
      <c r="DO90" s="2106"/>
      <c r="DP90" s="2106"/>
      <c r="DQ90" s="2106"/>
      <c r="DR90" s="2106">
        <f t="shared" si="238"/>
        <v>0</v>
      </c>
      <c r="DS90" s="2106">
        <f>SUM(DL90,DN90,DP90,DQ90)</f>
        <v>0</v>
      </c>
      <c r="DT90" s="2106">
        <v>0</v>
      </c>
      <c r="DU90" s="2106">
        <f t="shared" si="195"/>
        <v>0</v>
      </c>
      <c r="DV90" s="2106">
        <v>0</v>
      </c>
      <c r="DW90" s="2106">
        <v>2.8946107563647905</v>
      </c>
      <c r="DX90" s="2109">
        <f t="shared" si="196"/>
        <v>0</v>
      </c>
      <c r="DY90" s="2106"/>
      <c r="DZ90" s="2106"/>
      <c r="EA90" s="2106"/>
      <c r="EB90" s="2106">
        <f t="shared" si="239"/>
        <v>0</v>
      </c>
      <c r="EC90" s="2106">
        <f>SUM(DV90,DX90,DZ90,EA90)</f>
        <v>0</v>
      </c>
      <c r="ED90" s="2106">
        <f>SUM(N90,X90,AH90,AR90,BB90,BL90,BV90,CF90,CP90,CZ90,DJ90,DT90)</f>
        <v>11.487476999999998</v>
      </c>
      <c r="EE90" s="2107"/>
      <c r="EF90" s="2106">
        <f>IFERROR(EG90/ED90*10,0)</f>
        <v>0</v>
      </c>
      <c r="EG90" s="2106">
        <f>SUM(P90,Z90,AJ90,AT90,BD90,BN90,BX90,CH90,CR90,DB90,DL90,DV90)</f>
        <v>0</v>
      </c>
      <c r="EH90" s="2106">
        <f>IFERROR(EI90/ED90*10,0)</f>
        <v>3.3774815827705256</v>
      </c>
      <c r="EI90" s="2106">
        <f>SUM(R90,AB90,AL90,AV90,BF90,BP90,BZ90,CJ90,CT90,DD90,DN90,DX90)</f>
        <v>3.8798742000000002</v>
      </c>
      <c r="EJ90" s="2106"/>
      <c r="EK90" s="2106">
        <f>SUM(T90,AD90,AN90,AX90,BH90,BR90,CB90,CL90,CV90,DF90,DP90,DZ90)</f>
        <v>3.0878999999999998E-3</v>
      </c>
      <c r="EL90" s="2106"/>
      <c r="EM90" s="2106"/>
      <c r="EN90" s="2106">
        <f>EG90+EI90+EK90</f>
        <v>3.8829621000000003</v>
      </c>
      <c r="EO90" s="2104">
        <f t="shared" si="240"/>
        <v>3.3801696403831762</v>
      </c>
      <c r="EP90" s="2110"/>
      <c r="ES90" s="2084">
        <f t="shared" si="187"/>
        <v>0</v>
      </c>
      <c r="EU90" s="2084">
        <f t="shared" si="198"/>
        <v>3.8798742000000002</v>
      </c>
      <c r="EV90" s="2084">
        <f t="shared" si="199"/>
        <v>11.487476999999998</v>
      </c>
      <c r="EW90" s="2084">
        <f t="shared" si="200"/>
        <v>3.3774815827705256</v>
      </c>
      <c r="FE90" s="2108"/>
      <c r="FF90" s="2108"/>
      <c r="FG90" s="2108"/>
      <c r="FH90" s="2108"/>
      <c r="FI90" s="2108"/>
      <c r="FJ90" s="2108"/>
      <c r="FK90" s="2108"/>
    </row>
    <row r="91" spans="1:167">
      <c r="A91" s="1760">
        <v>4</v>
      </c>
      <c r="B91" s="1761" t="s">
        <v>1720</v>
      </c>
      <c r="C91" s="2098">
        <v>440</v>
      </c>
      <c r="D91" s="2099">
        <v>0.15</v>
      </c>
      <c r="E91" s="2100"/>
      <c r="F91" s="2099">
        <v>0.91352409549201052</v>
      </c>
      <c r="G91" s="2104">
        <v>66</v>
      </c>
      <c r="H91" s="2102" t="s">
        <v>1717</v>
      </c>
      <c r="I91" s="2103">
        <v>1</v>
      </c>
      <c r="J91" s="2104"/>
      <c r="K91" s="2101"/>
      <c r="L91" s="2101"/>
      <c r="M91" s="2105"/>
      <c r="N91" s="2106">
        <v>44.590204999999997</v>
      </c>
      <c r="O91" s="2106">
        <f t="shared" si="201"/>
        <v>0</v>
      </c>
      <c r="P91" s="2106">
        <v>0</v>
      </c>
      <c r="Q91" s="2106">
        <f t="shared" si="202"/>
        <v>3.3115999803095768</v>
      </c>
      <c r="R91" s="2106">
        <v>14.7664922</v>
      </c>
      <c r="S91" s="2106">
        <f t="shared" si="203"/>
        <v>0</v>
      </c>
      <c r="T91" s="2106">
        <v>0</v>
      </c>
      <c r="U91" s="2106"/>
      <c r="V91" s="2106">
        <f t="shared" si="204"/>
        <v>3.3115999803095768</v>
      </c>
      <c r="W91" s="2106">
        <f>SUM(P91,R91,T91,U91)</f>
        <v>14.7664922</v>
      </c>
      <c r="X91" s="2106">
        <v>44.947780000000002</v>
      </c>
      <c r="Y91" s="2106">
        <f t="shared" si="205"/>
        <v>0</v>
      </c>
      <c r="Z91" s="2106">
        <v>0</v>
      </c>
      <c r="AA91" s="2106">
        <f t="shared" si="206"/>
        <v>3.3115999944824859</v>
      </c>
      <c r="AB91" s="2106">
        <v>14.8849068</v>
      </c>
      <c r="AC91" s="2106">
        <f t="shared" si="207"/>
        <v>0</v>
      </c>
      <c r="AD91" s="2106">
        <v>0</v>
      </c>
      <c r="AE91" s="2106"/>
      <c r="AF91" s="2106">
        <f t="shared" si="208"/>
        <v>3.3115999944824859</v>
      </c>
      <c r="AG91" s="2106">
        <f>SUM(Z91,AB91,AD91,AE91)</f>
        <v>14.8849068</v>
      </c>
      <c r="AH91" s="2106">
        <v>41.426606999999997</v>
      </c>
      <c r="AI91" s="2106">
        <f t="shared" si="209"/>
        <v>0</v>
      </c>
      <c r="AJ91" s="2106">
        <v>0</v>
      </c>
      <c r="AK91" s="2106">
        <f t="shared" si="210"/>
        <v>3.31188245757129</v>
      </c>
      <c r="AL91" s="2106">
        <v>13.7200053</v>
      </c>
      <c r="AM91" s="2106">
        <f t="shared" si="211"/>
        <v>0</v>
      </c>
      <c r="AN91" s="2106">
        <v>0</v>
      </c>
      <c r="AO91" s="2106">
        <v>0</v>
      </c>
      <c r="AP91" s="2106">
        <f t="shared" si="212"/>
        <v>3.31188245757129</v>
      </c>
      <c r="AQ91" s="2106">
        <f>SUM(AJ91,AL91,AN91,AO91)</f>
        <v>13.7200053</v>
      </c>
      <c r="AR91" s="2106">
        <v>39.699894</v>
      </c>
      <c r="AS91" s="2106">
        <f t="shared" si="213"/>
        <v>0</v>
      </c>
      <c r="AT91" s="2106">
        <v>0</v>
      </c>
      <c r="AU91" s="2106">
        <f t="shared" si="214"/>
        <v>3.3116000007455941</v>
      </c>
      <c r="AV91" s="2106">
        <v>13.147016900000001</v>
      </c>
      <c r="AW91" s="2106">
        <f t="shared" si="215"/>
        <v>0</v>
      </c>
      <c r="AX91" s="2106">
        <v>0</v>
      </c>
      <c r="AY91" s="2106"/>
      <c r="AZ91" s="2106">
        <f t="shared" si="216"/>
        <v>3.3116000007455941</v>
      </c>
      <c r="BA91" s="2106">
        <f>SUM(AT91,AV91,AX91,AY91)</f>
        <v>13.147016900000001</v>
      </c>
      <c r="BB91" s="2106">
        <v>21.029108000000001</v>
      </c>
      <c r="BC91" s="2106">
        <f t="shared" si="217"/>
        <v>0</v>
      </c>
      <c r="BD91" s="2106">
        <v>0</v>
      </c>
      <c r="BE91" s="2106">
        <f t="shared" si="218"/>
        <v>3.3115999499360598</v>
      </c>
      <c r="BF91" s="2106">
        <v>6.9639993000000002</v>
      </c>
      <c r="BG91" s="2106">
        <f t="shared" si="219"/>
        <v>0</v>
      </c>
      <c r="BH91" s="2106">
        <v>0</v>
      </c>
      <c r="BI91" s="2106"/>
      <c r="BJ91" s="2106">
        <f t="shared" si="220"/>
        <v>3.3115999499360598</v>
      </c>
      <c r="BK91" s="2106">
        <f>SUM(BD91,BF91,BH91,BI91)</f>
        <v>6.9639993000000002</v>
      </c>
      <c r="BL91" s="2106">
        <v>31.771843000000001</v>
      </c>
      <c r="BM91" s="2106">
        <f t="shared" si="221"/>
        <v>0</v>
      </c>
      <c r="BN91" s="2106">
        <v>0</v>
      </c>
      <c r="BO91" s="2106">
        <f t="shared" si="222"/>
        <v>3.3115999282761157</v>
      </c>
      <c r="BP91" s="2106">
        <v>10.5215633</v>
      </c>
      <c r="BQ91" s="2106">
        <f t="shared" si="223"/>
        <v>2.466429158673609E-3</v>
      </c>
      <c r="BR91" s="2106">
        <v>7.8362999999999992E-3</v>
      </c>
      <c r="BS91" s="2106"/>
      <c r="BT91" s="2106">
        <f t="shared" si="224"/>
        <v>3.3140663574347888</v>
      </c>
      <c r="BU91" s="2106">
        <f>SUM(BN91,BP91,BR91,BS91)</f>
        <v>10.5293996</v>
      </c>
      <c r="BV91" s="2106">
        <v>45.976303000000001</v>
      </c>
      <c r="BW91" s="2106">
        <f t="shared" si="225"/>
        <v>0</v>
      </c>
      <c r="BX91" s="2106">
        <v>0</v>
      </c>
      <c r="BY91" s="2106">
        <f t="shared" si="226"/>
        <v>3.3250000331692608</v>
      </c>
      <c r="BZ91" s="2106">
        <v>15.2871209</v>
      </c>
      <c r="CA91" s="2106">
        <f t="shared" si="227"/>
        <v>-0.64446904310683695</v>
      </c>
      <c r="CB91" s="2106">
        <v>-2.9630304000000001</v>
      </c>
      <c r="CC91" s="2106"/>
      <c r="CD91" s="2106">
        <f t="shared" si="228"/>
        <v>2.6805309900624241</v>
      </c>
      <c r="CE91" s="2106">
        <f>SUM(BX91,BZ91,CB91,CC91)</f>
        <v>12.324090500000001</v>
      </c>
      <c r="CF91" s="2106">
        <v>46.012374999999999</v>
      </c>
      <c r="CG91" s="2106">
        <f t="shared" si="229"/>
        <v>0</v>
      </c>
      <c r="CH91" s="2106">
        <v>0</v>
      </c>
      <c r="CI91" s="2106">
        <f t="shared" si="230"/>
        <v>3.3250000027166604</v>
      </c>
      <c r="CJ91" s="2106">
        <v>15.299114700000001</v>
      </c>
      <c r="CK91" s="2106">
        <f t="shared" si="231"/>
        <v>0</v>
      </c>
      <c r="CL91" s="2106">
        <v>0</v>
      </c>
      <c r="CM91" s="2106"/>
      <c r="CN91" s="2106">
        <f t="shared" si="232"/>
        <v>3.3250000027166604</v>
      </c>
      <c r="CO91" s="2106">
        <f>SUM(CH91,CJ91,CL91,CM91)</f>
        <v>15.299114700000001</v>
      </c>
      <c r="CP91" s="2106">
        <v>48.161479</v>
      </c>
      <c r="CQ91" s="2106">
        <f t="shared" si="233"/>
        <v>0</v>
      </c>
      <c r="CR91" s="2106">
        <v>0</v>
      </c>
      <c r="CS91" s="2106">
        <f t="shared" si="234"/>
        <v>3.3250000898020597</v>
      </c>
      <c r="CT91" s="2106">
        <v>16.013692200000001</v>
      </c>
      <c r="CU91" s="2106">
        <f t="shared" si="235"/>
        <v>0</v>
      </c>
      <c r="CV91" s="2106">
        <v>0</v>
      </c>
      <c r="CW91" s="2106"/>
      <c r="CX91" s="2106">
        <f t="shared" si="236"/>
        <v>3.3250000898020597</v>
      </c>
      <c r="CY91" s="2106">
        <f>SUM(CR91,CT91,CV91,CW91)</f>
        <v>16.013692200000001</v>
      </c>
      <c r="CZ91" s="2106">
        <v>43.219581000000005</v>
      </c>
      <c r="DA91" s="2106">
        <f t="shared" si="189"/>
        <v>0</v>
      </c>
      <c r="DB91" s="2106">
        <v>0</v>
      </c>
      <c r="DC91" s="2106">
        <v>3.3503440669884297</v>
      </c>
      <c r="DD91" s="2109">
        <f t="shared" si="190"/>
        <v>14.480046678107588</v>
      </c>
      <c r="DE91" s="2106"/>
      <c r="DF91" s="2106"/>
      <c r="DG91" s="2106"/>
      <c r="DH91" s="2106">
        <f t="shared" si="237"/>
        <v>3.3503440669884292</v>
      </c>
      <c r="DI91" s="2106">
        <f>SUM(DB91,DD91,DF91,DG91)</f>
        <v>14.480046678107588</v>
      </c>
      <c r="DJ91" s="2106">
        <v>43.219581000000005</v>
      </c>
      <c r="DK91" s="2106">
        <f t="shared" si="192"/>
        <v>0</v>
      </c>
      <c r="DL91" s="2106">
        <v>0</v>
      </c>
      <c r="DM91" s="2106">
        <v>3.3503440669884297</v>
      </c>
      <c r="DN91" s="2109">
        <f t="shared" si="193"/>
        <v>14.480046678107588</v>
      </c>
      <c r="DO91" s="2106"/>
      <c r="DP91" s="2106"/>
      <c r="DQ91" s="2106"/>
      <c r="DR91" s="2106">
        <f t="shared" si="238"/>
        <v>3.3503440669884292</v>
      </c>
      <c r="DS91" s="2106">
        <f>SUM(DL91,DN91,DP91,DQ91)</f>
        <v>14.480046678107588</v>
      </c>
      <c r="DT91" s="2106">
        <v>43.219581000000005</v>
      </c>
      <c r="DU91" s="2106">
        <f t="shared" si="195"/>
        <v>0</v>
      </c>
      <c r="DV91" s="2106">
        <v>0</v>
      </c>
      <c r="DW91" s="2106">
        <v>3.3503440669884297</v>
      </c>
      <c r="DX91" s="2109">
        <f t="shared" si="196"/>
        <v>14.480046678107588</v>
      </c>
      <c r="DY91" s="2106"/>
      <c r="DZ91" s="2106"/>
      <c r="EA91" s="2106"/>
      <c r="EB91" s="2106">
        <f t="shared" si="239"/>
        <v>3.3503440669884292</v>
      </c>
      <c r="EC91" s="2106">
        <f>SUM(DV91,DX91,DZ91,EA91)</f>
        <v>14.480046678107588</v>
      </c>
      <c r="ED91" s="2106">
        <f>SUM(N91,X91,AH91,AR91,BB91,BL91,BV91,CF91,CP91,CZ91,DJ91,DT91)</f>
        <v>493.274337</v>
      </c>
      <c r="EE91" s="2107"/>
      <c r="EF91" s="2106">
        <f>IFERROR(EG91/ED91*10,0)</f>
        <v>0</v>
      </c>
      <c r="EG91" s="2106">
        <f>SUM(P91,Z91,AJ91,AT91,BD91,BN91,BX91,CH91,CR91,DB91,DL91,DV91)</f>
        <v>0</v>
      </c>
      <c r="EH91" s="2106">
        <f>IFERROR(EI91/ED91*10,0)</f>
        <v>3.3256149637138481</v>
      </c>
      <c r="EI91" s="2106">
        <f>SUM(R91,AB91,AL91,AV91,BF91,BP91,BZ91,CJ91,CT91,DD91,DN91,DX91)</f>
        <v>164.04405163432276</v>
      </c>
      <c r="EJ91" s="2106"/>
      <c r="EK91" s="2106">
        <f>SUM(T91,AD91,AN91,AX91,BH91,BR91,CB91,CL91,CV91,DF91,DP91,DZ91)</f>
        <v>-2.9551940999999999</v>
      </c>
      <c r="EL91" s="2106"/>
      <c r="EM91" s="2106"/>
      <c r="EN91" s="2106">
        <f>EG91+EI91+EK91</f>
        <v>161.08885753432276</v>
      </c>
      <c r="EO91" s="2104">
        <f t="shared" si="240"/>
        <v>3.2657052161690454</v>
      </c>
      <c r="EP91" s="2110"/>
      <c r="ES91" s="2084">
        <f t="shared" si="187"/>
        <v>0</v>
      </c>
      <c r="EU91" s="2084">
        <f t="shared" si="198"/>
        <v>120.6039116</v>
      </c>
      <c r="EV91" s="2084">
        <f t="shared" si="199"/>
        <v>363.61559399999999</v>
      </c>
      <c r="EW91" s="2084">
        <f t="shared" si="200"/>
        <v>3.3167970128365836</v>
      </c>
      <c r="FE91" s="2108"/>
      <c r="FF91" s="2108"/>
      <c r="FG91" s="2108"/>
      <c r="FH91" s="2108"/>
      <c r="FI91" s="2108"/>
      <c r="FJ91" s="2108"/>
      <c r="FK91" s="2108"/>
    </row>
    <row r="92" spans="1:167">
      <c r="A92" s="1760">
        <v>5</v>
      </c>
      <c r="B92" s="1761" t="s">
        <v>1721</v>
      </c>
      <c r="C92" s="2098">
        <v>440</v>
      </c>
      <c r="D92" s="2099">
        <v>0.19545454545454546</v>
      </c>
      <c r="E92" s="2100"/>
      <c r="F92" s="2099"/>
      <c r="G92" s="2104">
        <v>86</v>
      </c>
      <c r="H92" s="2102" t="s">
        <v>1717</v>
      </c>
      <c r="I92" s="2103">
        <v>1</v>
      </c>
      <c r="J92" s="2104"/>
      <c r="K92" s="2101"/>
      <c r="L92" s="2101"/>
      <c r="M92" s="2105"/>
      <c r="N92" s="2106">
        <v>73.540289000000001</v>
      </c>
      <c r="O92" s="2106">
        <f t="shared" si="201"/>
        <v>0</v>
      </c>
      <c r="P92" s="2106">
        <v>0</v>
      </c>
      <c r="Q92" s="2106">
        <f t="shared" si="202"/>
        <v>3.8900999967514407</v>
      </c>
      <c r="R92" s="2106">
        <v>28.6079078</v>
      </c>
      <c r="S92" s="2106">
        <f t="shared" si="203"/>
        <v>0</v>
      </c>
      <c r="T92" s="2106">
        <v>0</v>
      </c>
      <c r="U92" s="2106"/>
      <c r="V92" s="2106">
        <f t="shared" si="204"/>
        <v>3.8900999967514407</v>
      </c>
      <c r="W92" s="2106">
        <f>SUM(P92,R92,T92,U92)</f>
        <v>28.6079078</v>
      </c>
      <c r="X92" s="2106">
        <v>89.358217999999994</v>
      </c>
      <c r="Y92" s="2106">
        <f t="shared" si="205"/>
        <v>0</v>
      </c>
      <c r="Z92" s="2106">
        <v>0</v>
      </c>
      <c r="AA92" s="2106">
        <f t="shared" si="206"/>
        <v>3.8900999905794897</v>
      </c>
      <c r="AB92" s="2106">
        <v>34.761240299999997</v>
      </c>
      <c r="AC92" s="2106">
        <f t="shared" si="207"/>
        <v>0</v>
      </c>
      <c r="AD92" s="2106">
        <v>0</v>
      </c>
      <c r="AE92" s="2106"/>
      <c r="AF92" s="2106">
        <f t="shared" si="208"/>
        <v>3.8900999905794897</v>
      </c>
      <c r="AG92" s="2106">
        <f>SUM(Z92,AB92,AD92,AE92)</f>
        <v>34.761240299999997</v>
      </c>
      <c r="AH92" s="2106">
        <v>90.320290999999997</v>
      </c>
      <c r="AI92" s="2106">
        <f t="shared" si="209"/>
        <v>0</v>
      </c>
      <c r="AJ92" s="2106">
        <v>0</v>
      </c>
      <c r="AK92" s="2106">
        <f t="shared" si="210"/>
        <v>3.8901365475007159</v>
      </c>
      <c r="AL92" s="2106">
        <v>35.1358265</v>
      </c>
      <c r="AM92" s="2106">
        <f t="shared" si="211"/>
        <v>0</v>
      </c>
      <c r="AN92" s="2106">
        <v>0</v>
      </c>
      <c r="AO92" s="2106">
        <v>0</v>
      </c>
      <c r="AP92" s="2106">
        <f t="shared" si="212"/>
        <v>3.8901365475007159</v>
      </c>
      <c r="AQ92" s="2106">
        <f>SUM(AJ92,AL92,AN92,AO92)</f>
        <v>35.1358265</v>
      </c>
      <c r="AR92" s="2106">
        <v>87.505289000000005</v>
      </c>
      <c r="AS92" s="2106">
        <f t="shared" si="213"/>
        <v>0</v>
      </c>
      <c r="AT92" s="2106">
        <v>0</v>
      </c>
      <c r="AU92" s="2106">
        <f t="shared" si="214"/>
        <v>3.8900999915559389</v>
      </c>
      <c r="AV92" s="2106">
        <v>34.0404324</v>
      </c>
      <c r="AW92" s="2106">
        <f t="shared" si="215"/>
        <v>0.55887449271780587</v>
      </c>
      <c r="AX92" s="2106">
        <v>4.8904474000000002</v>
      </c>
      <c r="AY92" s="2106"/>
      <c r="AZ92" s="2106">
        <f t="shared" si="216"/>
        <v>4.4489744842737444</v>
      </c>
      <c r="BA92" s="2106">
        <f>SUM(AT92,AV92,AX92,AY92)</f>
        <v>38.9308798</v>
      </c>
      <c r="BB92" s="2106">
        <v>85.146015000000006</v>
      </c>
      <c r="BC92" s="2106">
        <f t="shared" si="217"/>
        <v>0</v>
      </c>
      <c r="BD92" s="2106">
        <v>0</v>
      </c>
      <c r="BE92" s="2106">
        <f t="shared" si="218"/>
        <v>3.8901000005696096</v>
      </c>
      <c r="BF92" s="2106">
        <v>33.122651300000001</v>
      </c>
      <c r="BG92" s="2106">
        <f t="shared" si="219"/>
        <v>0</v>
      </c>
      <c r="BH92" s="2106">
        <v>0</v>
      </c>
      <c r="BI92" s="2106"/>
      <c r="BJ92" s="2106">
        <f t="shared" si="220"/>
        <v>3.8901000005696096</v>
      </c>
      <c r="BK92" s="2106">
        <f>SUM(BD92,BF92,BH92,BI92)</f>
        <v>33.122651300000001</v>
      </c>
      <c r="BL92" s="2106">
        <v>87.239233999999996</v>
      </c>
      <c r="BM92" s="2106">
        <f t="shared" si="221"/>
        <v>0</v>
      </c>
      <c r="BN92" s="2106">
        <v>0</v>
      </c>
      <c r="BO92" s="2106">
        <f t="shared" si="222"/>
        <v>3.8900999978977344</v>
      </c>
      <c r="BP92" s="2106">
        <v>33.936934399999998</v>
      </c>
      <c r="BQ92" s="2106">
        <f t="shared" si="223"/>
        <v>1.5210358220247558E-3</v>
      </c>
      <c r="BR92" s="2106">
        <v>1.3269400000000001E-2</v>
      </c>
      <c r="BS92" s="2106"/>
      <c r="BT92" s="2106">
        <f t="shared" si="224"/>
        <v>3.8916210337197592</v>
      </c>
      <c r="BU92" s="2106">
        <f>SUM(BN92,BP92,BR92,BS92)</f>
        <v>33.950203799999997</v>
      </c>
      <c r="BV92" s="2106">
        <v>66.460431999999997</v>
      </c>
      <c r="BW92" s="2106">
        <f t="shared" si="225"/>
        <v>0</v>
      </c>
      <c r="BX92" s="2106">
        <v>0</v>
      </c>
      <c r="BY92" s="2106">
        <f t="shared" si="226"/>
        <v>3.8990999938128601</v>
      </c>
      <c r="BZ92" s="2106">
        <v>25.913587</v>
      </c>
      <c r="CA92" s="2106">
        <f t="shared" si="227"/>
        <v>-1.5931248535970997</v>
      </c>
      <c r="CB92" s="2106">
        <v>-10.587976599999999</v>
      </c>
      <c r="CC92" s="2106"/>
      <c r="CD92" s="2106">
        <f t="shared" si="228"/>
        <v>2.3059751402157604</v>
      </c>
      <c r="CE92" s="2106">
        <f>SUM(BX92,BZ92,CB92,CC92)</f>
        <v>15.3256104</v>
      </c>
      <c r="CF92" s="2106">
        <v>36.591619999999999</v>
      </c>
      <c r="CG92" s="2106">
        <f t="shared" si="229"/>
        <v>0</v>
      </c>
      <c r="CH92" s="2106">
        <v>0</v>
      </c>
      <c r="CI92" s="2106">
        <f t="shared" si="230"/>
        <v>3.8990999851878656</v>
      </c>
      <c r="CJ92" s="2106">
        <v>14.267438500000001</v>
      </c>
      <c r="CK92" s="2106">
        <f t="shared" si="231"/>
        <v>0</v>
      </c>
      <c r="CL92" s="2106">
        <v>0</v>
      </c>
      <c r="CM92" s="2106"/>
      <c r="CN92" s="2106">
        <f t="shared" si="232"/>
        <v>3.8990999851878656</v>
      </c>
      <c r="CO92" s="2106">
        <f>SUM(CH92,CJ92,CL92,CM92)</f>
        <v>14.267438500000001</v>
      </c>
      <c r="CP92" s="2106">
        <v>43.011704000000002</v>
      </c>
      <c r="CQ92" s="2106">
        <f t="shared" si="233"/>
        <v>0</v>
      </c>
      <c r="CR92" s="2106">
        <v>0</v>
      </c>
      <c r="CS92" s="2106">
        <f t="shared" si="234"/>
        <v>3.8990999984562342</v>
      </c>
      <c r="CT92" s="2106">
        <v>16.7706935</v>
      </c>
      <c r="CU92" s="2106">
        <f t="shared" si="235"/>
        <v>0</v>
      </c>
      <c r="CV92" s="2106">
        <v>0</v>
      </c>
      <c r="CW92" s="2106"/>
      <c r="CX92" s="2106">
        <f t="shared" si="236"/>
        <v>3.8990999984562342</v>
      </c>
      <c r="CY92" s="2106">
        <f>SUM(CR92,CT92,CV92,CW92)</f>
        <v>16.7706935</v>
      </c>
      <c r="CZ92" s="2106">
        <v>65.597996500000008</v>
      </c>
      <c r="DA92" s="2106">
        <f t="shared" si="189"/>
        <v>0</v>
      </c>
      <c r="DB92" s="2106">
        <v>0</v>
      </c>
      <c r="DC92" s="2106">
        <v>3.929267603814643</v>
      </c>
      <c r="DD92" s="2109">
        <f t="shared" si="190"/>
        <v>25.775208252259638</v>
      </c>
      <c r="DE92" s="2106"/>
      <c r="DF92" s="2106"/>
      <c r="DG92" s="2106"/>
      <c r="DH92" s="2106">
        <f t="shared" si="237"/>
        <v>3.9292676038146435</v>
      </c>
      <c r="DI92" s="2106">
        <f>SUM(DB92,DD92,DF92,DG92)</f>
        <v>25.775208252259638</v>
      </c>
      <c r="DJ92" s="2106">
        <v>65.597996500000008</v>
      </c>
      <c r="DK92" s="2106">
        <f t="shared" si="192"/>
        <v>0</v>
      </c>
      <c r="DL92" s="2106">
        <v>0</v>
      </c>
      <c r="DM92" s="2106">
        <v>3.929267603814643</v>
      </c>
      <c r="DN92" s="2109">
        <f t="shared" si="193"/>
        <v>25.775208252259638</v>
      </c>
      <c r="DO92" s="2106"/>
      <c r="DP92" s="2106"/>
      <c r="DQ92" s="2106"/>
      <c r="DR92" s="2106">
        <f t="shared" si="238"/>
        <v>3.9292676038146435</v>
      </c>
      <c r="DS92" s="2106">
        <f>SUM(DL92,DN92,DP92,DQ92)</f>
        <v>25.775208252259638</v>
      </c>
      <c r="DT92" s="2106">
        <v>65.597996500000008</v>
      </c>
      <c r="DU92" s="2106">
        <f t="shared" si="195"/>
        <v>0</v>
      </c>
      <c r="DV92" s="2106">
        <v>0</v>
      </c>
      <c r="DW92" s="2106">
        <v>3.929267603814643</v>
      </c>
      <c r="DX92" s="2109">
        <f t="shared" si="196"/>
        <v>25.775208252259638</v>
      </c>
      <c r="DY92" s="2106"/>
      <c r="DZ92" s="2106"/>
      <c r="EA92" s="2106"/>
      <c r="EB92" s="2106">
        <f t="shared" si="239"/>
        <v>3.9292676038146435</v>
      </c>
      <c r="EC92" s="2106">
        <f>SUM(DV92,DX92,DZ92,EA92)</f>
        <v>25.775208252259638</v>
      </c>
      <c r="ED92" s="2106">
        <f>SUM(N92,X92,AH92,AR92,BB92,BL92,BV92,CF92,CP92,CZ92,DJ92,DT92)</f>
        <v>855.96708150000006</v>
      </c>
      <c r="EE92" s="2107"/>
      <c r="EF92" s="2106">
        <f>IFERROR(EG92/ED92*10,0)</f>
        <v>0</v>
      </c>
      <c r="EG92" s="2106">
        <f>SUM(P92,Z92,AJ92,AT92,BD92,BN92,BX92,CH92,CR92,DB92,DL92,DV92)</f>
        <v>0</v>
      </c>
      <c r="EH92" s="2106">
        <f>IFERROR(EI92/ED92*10,0)</f>
        <v>3.9006445887110779</v>
      </c>
      <c r="EI92" s="2106">
        <f>SUM(R92,AB92,AL92,AV92,BF92,BP92,BZ92,CJ92,CT92,DD92,DN92,DX92)</f>
        <v>333.88233645677894</v>
      </c>
      <c r="EJ92" s="2106"/>
      <c r="EK92" s="2106">
        <f>SUM(T92,AD92,AN92,AX92,BH92,BR92,CB92,CL92,CV92,DF92,DP92,DZ92)</f>
        <v>-5.6842597999999986</v>
      </c>
      <c r="EL92" s="2106"/>
      <c r="EM92" s="2106"/>
      <c r="EN92" s="2106">
        <f>EG92+EI92+EK92</f>
        <v>328.19807665677894</v>
      </c>
      <c r="EO92" s="2104">
        <f t="shared" si="240"/>
        <v>3.8342371307275429</v>
      </c>
      <c r="EP92" s="2110"/>
      <c r="ES92" s="2084">
        <f t="shared" si="187"/>
        <v>0</v>
      </c>
      <c r="EU92" s="2084">
        <f t="shared" si="198"/>
        <v>256.55671170000005</v>
      </c>
      <c r="EV92" s="2084">
        <f t="shared" si="199"/>
        <v>659.173092</v>
      </c>
      <c r="EW92" s="2084">
        <f t="shared" si="200"/>
        <v>3.8920992803510863</v>
      </c>
      <c r="FE92" s="2108"/>
      <c r="FF92" s="2108"/>
      <c r="FG92" s="2108"/>
      <c r="FH92" s="2108"/>
      <c r="FI92" s="2108"/>
      <c r="FJ92" s="2108"/>
      <c r="FK92" s="2108"/>
    </row>
    <row r="93" spans="1:167">
      <c r="A93" s="1760"/>
      <c r="B93" s="1784" t="s">
        <v>211</v>
      </c>
      <c r="C93" s="2116">
        <f>SUM(C88:C92)</f>
        <v>2200</v>
      </c>
      <c r="D93" s="2117"/>
      <c r="E93" s="2118"/>
      <c r="F93" s="2117"/>
      <c r="G93" s="1774">
        <f>SUM(G88:G92)</f>
        <v>295.70000000000005</v>
      </c>
      <c r="H93" s="2102"/>
      <c r="I93" s="2119"/>
      <c r="J93" s="2101"/>
      <c r="K93" s="2101"/>
      <c r="L93" s="2101"/>
      <c r="M93" s="2105"/>
      <c r="N93" s="2107">
        <f>SUM(N88:N92)</f>
        <v>221.02035399999997</v>
      </c>
      <c r="O93" s="2106">
        <f t="shared" si="201"/>
        <v>0</v>
      </c>
      <c r="P93" s="2107">
        <f>SUM(P88:P92)</f>
        <v>0</v>
      </c>
      <c r="Q93" s="2106">
        <f t="shared" si="202"/>
        <v>3.3655881032567714</v>
      </c>
      <c r="R93" s="2107">
        <f>SUM(R88:R92)</f>
        <v>74.386347400000005</v>
      </c>
      <c r="S93" s="2106">
        <f t="shared" si="203"/>
        <v>1.370916883971691</v>
      </c>
      <c r="T93" s="2107">
        <f>SUM(T88:T92)</f>
        <v>30.300053500000001</v>
      </c>
      <c r="U93" s="2107"/>
      <c r="V93" s="2107">
        <f t="shared" si="204"/>
        <v>4.7365049872284617</v>
      </c>
      <c r="W93" s="2107">
        <f>SUM(W88:W92)</f>
        <v>104.6864009</v>
      </c>
      <c r="X93" s="2107">
        <f>SUM(X88:X92)</f>
        <v>239.10692700000001</v>
      </c>
      <c r="Y93" s="2106">
        <f t="shared" si="205"/>
        <v>0</v>
      </c>
      <c r="Z93" s="2107">
        <f>SUM(Z88:Z92)</f>
        <v>0</v>
      </c>
      <c r="AA93" s="2106">
        <f t="shared" si="206"/>
        <v>3.3969267188984449</v>
      </c>
      <c r="AB93" s="2107">
        <f>SUM(AB88:AB92)</f>
        <v>81.222870900000004</v>
      </c>
      <c r="AC93" s="2106">
        <f t="shared" si="207"/>
        <v>2.4674860214317423E-3</v>
      </c>
      <c r="AD93" s="2107">
        <f>SUM(AD88:AD92)</f>
        <v>5.8999300000000005E-2</v>
      </c>
      <c r="AE93" s="2107"/>
      <c r="AF93" s="2107">
        <f t="shared" si="208"/>
        <v>3.3993942049198766</v>
      </c>
      <c r="AG93" s="2107">
        <f>SUM(AG88:AG92)</f>
        <v>81.2818702</v>
      </c>
      <c r="AH93" s="2107">
        <f>SUM(AH88:AH92)</f>
        <v>235.046256</v>
      </c>
      <c r="AI93" s="2106">
        <f t="shared" si="209"/>
        <v>0</v>
      </c>
      <c r="AJ93" s="2107">
        <f>SUM(AJ88:AJ92)</f>
        <v>0</v>
      </c>
      <c r="AK93" s="2106">
        <f t="shared" si="210"/>
        <v>3.4023457365770593</v>
      </c>
      <c r="AL93" s="2107">
        <f>SUM(AL88:AL92)</f>
        <v>79.970862699999998</v>
      </c>
      <c r="AM93" s="2106">
        <f t="shared" si="211"/>
        <v>-5.6574055789257068E-3</v>
      </c>
      <c r="AN93" s="2107">
        <f>SUM(AN88:AN92)</f>
        <v>-0.13297519999999999</v>
      </c>
      <c r="AO93" s="2107">
        <f>SUM(AO88:AO92)</f>
        <v>0</v>
      </c>
      <c r="AP93" s="2107">
        <f t="shared" si="212"/>
        <v>3.3966883309981331</v>
      </c>
      <c r="AQ93" s="2107">
        <f>SUM(AQ88:AQ92)</f>
        <v>79.837887499999994</v>
      </c>
      <c r="AR93" s="2107">
        <f>SUM(AR88:AR92)</f>
        <v>230.43027499999999</v>
      </c>
      <c r="AS93" s="2106">
        <f t="shared" si="213"/>
        <v>0</v>
      </c>
      <c r="AT93" s="2107">
        <f>SUM(AT88:AT92)</f>
        <v>0</v>
      </c>
      <c r="AU93" s="2106">
        <f t="shared" si="214"/>
        <v>3.3971145935576392</v>
      </c>
      <c r="AV93" s="2107">
        <f>SUM(AV88:AV92)</f>
        <v>78.279804999999996</v>
      </c>
      <c r="AW93" s="2106">
        <f t="shared" si="215"/>
        <v>0.2123419416133579</v>
      </c>
      <c r="AX93" s="2107">
        <f>SUM(AX88:AX92)</f>
        <v>4.8930012000000005</v>
      </c>
      <c r="AY93" s="2107"/>
      <c r="AZ93" s="2107">
        <f t="shared" si="216"/>
        <v>3.6094565351709966</v>
      </c>
      <c r="BA93" s="2107">
        <f>SUM(BA88:BA92)</f>
        <v>83.172806199999997</v>
      </c>
      <c r="BB93" s="2107">
        <f>SUM(BB88:BB92)</f>
        <v>178.794107</v>
      </c>
      <c r="BC93" s="2106">
        <f t="shared" si="217"/>
        <v>0</v>
      </c>
      <c r="BD93" s="2107">
        <f>SUM(BD88:BD92)</f>
        <v>0</v>
      </c>
      <c r="BE93" s="2106">
        <f t="shared" si="218"/>
        <v>3.4659868627549342</v>
      </c>
      <c r="BF93" s="2107">
        <f>SUM(BF88:BF92)</f>
        <v>61.969802600000001</v>
      </c>
      <c r="BG93" s="2106">
        <f t="shared" si="219"/>
        <v>5.0858499491820497E-4</v>
      </c>
      <c r="BH93" s="2107">
        <f>SUM(BH88:BH92)</f>
        <v>9.0931999999999992E-3</v>
      </c>
      <c r="BI93" s="2107"/>
      <c r="BJ93" s="2107">
        <f t="shared" si="220"/>
        <v>3.4664954477498529</v>
      </c>
      <c r="BK93" s="2107">
        <f>SUM(BK88:BK92)</f>
        <v>61.978895800000004</v>
      </c>
      <c r="BL93" s="2107">
        <f>SUM(BL88:BL92)</f>
        <v>218.69987599999996</v>
      </c>
      <c r="BM93" s="2106">
        <f t="shared" si="221"/>
        <v>0</v>
      </c>
      <c r="BN93" s="2107">
        <f>SUM(BN88:BN92)</f>
        <v>0</v>
      </c>
      <c r="BO93" s="2106">
        <f t="shared" si="222"/>
        <v>3.4063251092103961</v>
      </c>
      <c r="BP93" s="2107">
        <f>SUM(BP88:BP92)</f>
        <v>74.496287899999999</v>
      </c>
      <c r="BQ93" s="2106">
        <f t="shared" si="223"/>
        <v>9.7975364192707647E-4</v>
      </c>
      <c r="BR93" s="2107">
        <f>SUM(BR88:BR92)</f>
        <v>2.14272E-2</v>
      </c>
      <c r="BS93" s="2107">
        <f>SUM(BS88:BS92)</f>
        <v>248.79476159999999</v>
      </c>
      <c r="BT93" s="2107">
        <f t="shared" si="224"/>
        <v>14.783386374668087</v>
      </c>
      <c r="BU93" s="2107">
        <f>SUM(BU88:BU92)</f>
        <v>323.31247669999993</v>
      </c>
      <c r="BV93" s="2107">
        <f>SUM(BV88:BV92)</f>
        <v>204.00981700000003</v>
      </c>
      <c r="BW93" s="2106">
        <f t="shared" si="225"/>
        <v>0</v>
      </c>
      <c r="BX93" s="2107">
        <f>SUM(BX88:BX92)</f>
        <v>0</v>
      </c>
      <c r="BY93" s="2106">
        <f t="shared" si="226"/>
        <v>3.3718845451442165</v>
      </c>
      <c r="BZ93" s="2107">
        <f>SUM(BZ88:BZ92)</f>
        <v>68.789754899999991</v>
      </c>
      <c r="CA93" s="2106">
        <f t="shared" si="227"/>
        <v>-0.66553290913446572</v>
      </c>
      <c r="CB93" s="2107">
        <f>SUM(CB88:CB92)</f>
        <v>-13.5775247</v>
      </c>
      <c r="CC93" s="2107"/>
      <c r="CD93" s="2107">
        <f t="shared" si="228"/>
        <v>2.7063516360097513</v>
      </c>
      <c r="CE93" s="2107">
        <f>SUM(CE88:CE92)</f>
        <v>55.2122302</v>
      </c>
      <c r="CF93" s="2107">
        <f>SUM(CF88:CF92)</f>
        <v>176.07491200000001</v>
      </c>
      <c r="CG93" s="2106">
        <f t="shared" si="229"/>
        <v>0</v>
      </c>
      <c r="CH93" s="2107">
        <f>SUM(CH88:CH92)</f>
        <v>0</v>
      </c>
      <c r="CI93" s="2106">
        <f t="shared" si="230"/>
        <v>3.278119156464494</v>
      </c>
      <c r="CJ93" s="2107">
        <f>SUM(CJ88:CJ92)</f>
        <v>57.719454200000001</v>
      </c>
      <c r="CK93" s="2106">
        <f t="shared" si="231"/>
        <v>3.0952734481559761E-6</v>
      </c>
      <c r="CL93" s="2107">
        <f>SUM(CL88:CL92)</f>
        <v>5.4500000000000003E-5</v>
      </c>
      <c r="CM93" s="2107"/>
      <c r="CN93" s="2107">
        <f t="shared" si="232"/>
        <v>3.2781222517379414</v>
      </c>
      <c r="CO93" s="2107">
        <f>SUM(CO88:CO92)</f>
        <v>57.719508699999992</v>
      </c>
      <c r="CP93" s="2107">
        <f>SUM(CP88:CP92)</f>
        <v>191.83865600000001</v>
      </c>
      <c r="CQ93" s="2106">
        <f t="shared" si="233"/>
        <v>0</v>
      </c>
      <c r="CR93" s="2107">
        <f>SUM(CR88:CR92)</f>
        <v>0</v>
      </c>
      <c r="CS93" s="2106">
        <f t="shared" si="234"/>
        <v>3.2897390659367414</v>
      </c>
      <c r="CT93" s="2107">
        <f>SUM(CT88:CT92)</f>
        <v>63.109912099999995</v>
      </c>
      <c r="CU93" s="2106">
        <f t="shared" si="235"/>
        <v>2.8461417077484111E-6</v>
      </c>
      <c r="CV93" s="2107">
        <f>SUM(CV88:CV92)</f>
        <v>5.4599999999999999E-5</v>
      </c>
      <c r="CW93" s="2107">
        <f>SUM(CW88:CW92)</f>
        <v>0</v>
      </c>
      <c r="CX93" s="2107">
        <f t="shared" si="236"/>
        <v>3.2897419120784499</v>
      </c>
      <c r="CY93" s="2107">
        <f>SUM(CY88:CY92)</f>
        <v>63.109966700000001</v>
      </c>
      <c r="CZ93" s="2107">
        <f>SUM(CZ88:CZ92)</f>
        <v>203.30986816666672</v>
      </c>
      <c r="DA93" s="2106">
        <f t="shared" si="189"/>
        <v>0</v>
      </c>
      <c r="DB93" s="2107">
        <f>SUM(DB88:DB92)</f>
        <v>0</v>
      </c>
      <c r="DC93" s="2106">
        <f>IFERROR(DD93/CZ93*10,0)</f>
        <v>3.4148548266110557</v>
      </c>
      <c r="DD93" s="2107">
        <f>SUM(DD88:DD92)</f>
        <v>69.42736846065992</v>
      </c>
      <c r="DE93" s="2106">
        <f>IFERROR(DF93/CZ93*10,0)</f>
        <v>0</v>
      </c>
      <c r="DF93" s="2107">
        <f>SUM(DF88:DF92)</f>
        <v>0</v>
      </c>
      <c r="DG93" s="2107">
        <f>SUM(DG88:DG92)</f>
        <v>0</v>
      </c>
      <c r="DH93" s="2107">
        <f t="shared" si="237"/>
        <v>3.4148548266110557</v>
      </c>
      <c r="DI93" s="2107">
        <f>SUM(DI88:DI92)</f>
        <v>69.42736846065992</v>
      </c>
      <c r="DJ93" s="2107">
        <f>SUM(DJ88:DJ92)</f>
        <v>203.30986816666672</v>
      </c>
      <c r="DK93" s="2106">
        <f t="shared" si="192"/>
        <v>0</v>
      </c>
      <c r="DL93" s="2107">
        <f>SUM(DL88:DL92)</f>
        <v>0</v>
      </c>
      <c r="DM93" s="2106">
        <f>IFERROR(DN93/DJ93*10,0)</f>
        <v>3.4148548266110557</v>
      </c>
      <c r="DN93" s="2107">
        <f>SUM(DN88:DN92)</f>
        <v>69.42736846065992</v>
      </c>
      <c r="DO93" s="2106">
        <f>IFERROR(DP93/DJ93*10,0)</f>
        <v>0</v>
      </c>
      <c r="DP93" s="2107">
        <f>SUM(DP88:DP92)</f>
        <v>0</v>
      </c>
      <c r="DQ93" s="2107">
        <f>SUM(DQ88:DQ92)</f>
        <v>0</v>
      </c>
      <c r="DR93" s="2107">
        <f t="shared" si="238"/>
        <v>3.4148548266110557</v>
      </c>
      <c r="DS93" s="2107">
        <f>SUM(DS88:DS92)</f>
        <v>69.42736846065992</v>
      </c>
      <c r="DT93" s="2107">
        <f>SUM(DT88:DT92)</f>
        <v>203.30986816666672</v>
      </c>
      <c r="DU93" s="2106">
        <f t="shared" si="195"/>
        <v>0</v>
      </c>
      <c r="DV93" s="2107">
        <f>SUM(DV88:DV92)</f>
        <v>0</v>
      </c>
      <c r="DW93" s="2106">
        <f>IFERROR(DX93/DT93*10,0)</f>
        <v>3.4148548266110557</v>
      </c>
      <c r="DX93" s="2107">
        <f>SUM(DX88:DX92)</f>
        <v>69.42736846065992</v>
      </c>
      <c r="DY93" s="2106">
        <f>IFERROR(DZ93/DT93*10,0)</f>
        <v>0</v>
      </c>
      <c r="DZ93" s="2107">
        <f>SUM(DZ88:DZ92)</f>
        <v>0</v>
      </c>
      <c r="EA93" s="2107"/>
      <c r="EB93" s="2107">
        <f t="shared" si="239"/>
        <v>3.4148548266110557</v>
      </c>
      <c r="EC93" s="2107">
        <f>SUM(EC88:EC92)</f>
        <v>69.42736846065992</v>
      </c>
      <c r="ED93" s="2107">
        <f>SUM(ED88:ED92)</f>
        <v>2504.9507844999998</v>
      </c>
      <c r="EE93" s="2107"/>
      <c r="EF93" s="2106"/>
      <c r="EG93" s="2107">
        <f>SUM(EG88:EG92)</f>
        <v>0</v>
      </c>
      <c r="EH93" s="2106"/>
      <c r="EI93" s="2107">
        <f>SUM(EI88:EI92)</f>
        <v>848.22720308197972</v>
      </c>
      <c r="EJ93" s="2106"/>
      <c r="EK93" s="2107">
        <f>SUM(EK88:EK92)</f>
        <v>21.572183600000002</v>
      </c>
      <c r="EL93" s="2106"/>
      <c r="EM93" s="2106"/>
      <c r="EN93" s="2107">
        <f>SUM(EN88:EN92)</f>
        <v>869.79938668197974</v>
      </c>
      <c r="EO93" s="2104">
        <f t="shared" si="240"/>
        <v>3.4723212610166945</v>
      </c>
      <c r="EP93" s="2110"/>
      <c r="ES93" s="2084">
        <f t="shared" si="187"/>
        <v>0</v>
      </c>
      <c r="EU93" s="2084">
        <f t="shared" si="198"/>
        <v>639.94509769999991</v>
      </c>
      <c r="EV93" s="2084">
        <f t="shared" si="199"/>
        <v>1895.0211800000002</v>
      </c>
      <c r="EW93" s="2084">
        <f t="shared" si="200"/>
        <v>3.3769812414444877</v>
      </c>
      <c r="FE93" s="2108"/>
      <c r="FF93" s="2108"/>
      <c r="FG93" s="2108"/>
      <c r="FH93" s="2108"/>
      <c r="FI93" s="2108"/>
      <c r="FJ93" s="2108"/>
      <c r="FK93" s="2108"/>
    </row>
    <row r="94" spans="1:167">
      <c r="A94" s="1760"/>
      <c r="B94" s="1761"/>
      <c r="C94" s="2098"/>
      <c r="D94" s="2099"/>
      <c r="E94" s="2100"/>
      <c r="F94" s="2099"/>
      <c r="G94" s="2101"/>
      <c r="H94" s="2102"/>
      <c r="I94" s="2119"/>
      <c r="J94" s="2104"/>
      <c r="K94" s="2101"/>
      <c r="L94" s="2101"/>
      <c r="M94" s="2105"/>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6"/>
      <c r="AK94" s="2106"/>
      <c r="AL94" s="2106"/>
      <c r="AM94" s="2106"/>
      <c r="AN94" s="2106"/>
      <c r="AO94" s="2106"/>
      <c r="AP94" s="2106"/>
      <c r="AQ94" s="2106"/>
      <c r="AR94" s="2106"/>
      <c r="AS94" s="2106"/>
      <c r="AT94" s="2106"/>
      <c r="AU94" s="2106"/>
      <c r="AV94" s="2106"/>
      <c r="AW94" s="2106"/>
      <c r="AX94" s="2106"/>
      <c r="AY94" s="2120"/>
      <c r="AZ94" s="2106"/>
      <c r="BA94" s="2106"/>
      <c r="BB94" s="2106"/>
      <c r="BC94" s="2106"/>
      <c r="BD94" s="2106"/>
      <c r="BE94" s="2106"/>
      <c r="BF94" s="2106"/>
      <c r="BG94" s="2106"/>
      <c r="BH94" s="2106"/>
      <c r="BI94" s="2120"/>
      <c r="BJ94" s="2106"/>
      <c r="BK94" s="2106"/>
      <c r="BL94" s="2106"/>
      <c r="BM94" s="2106"/>
      <c r="BN94" s="2106"/>
      <c r="BO94" s="2106"/>
      <c r="BP94" s="2106"/>
      <c r="BQ94" s="2106"/>
      <c r="BR94" s="2106"/>
      <c r="BS94" s="2120"/>
      <c r="BT94" s="2106"/>
      <c r="BU94" s="2106"/>
      <c r="BV94" s="2106"/>
      <c r="BW94" s="2106"/>
      <c r="BX94" s="2106"/>
      <c r="BY94" s="2106"/>
      <c r="BZ94" s="2106"/>
      <c r="CA94" s="2106"/>
      <c r="CB94" s="2106"/>
      <c r="CC94" s="2120"/>
      <c r="CD94" s="2106"/>
      <c r="CE94" s="2106"/>
      <c r="CF94" s="2106"/>
      <c r="CG94" s="2106"/>
      <c r="CH94" s="2106"/>
      <c r="CI94" s="2106"/>
      <c r="CJ94" s="2106"/>
      <c r="CK94" s="2106"/>
      <c r="CL94" s="2106"/>
      <c r="CM94" s="2120"/>
      <c r="CN94" s="2106"/>
      <c r="CO94" s="2106"/>
      <c r="CP94" s="2106"/>
      <c r="CQ94" s="2106"/>
      <c r="CR94" s="2106"/>
      <c r="CS94" s="2106"/>
      <c r="CT94" s="2109"/>
      <c r="CU94" s="2106"/>
      <c r="CV94" s="2106"/>
      <c r="CW94" s="2120"/>
      <c r="CX94" s="2106"/>
      <c r="CY94" s="2106"/>
      <c r="CZ94" s="2106">
        <v>0</v>
      </c>
      <c r="DA94" s="2106">
        <f t="shared" si="189"/>
        <v>0</v>
      </c>
      <c r="DB94" s="2106">
        <v>0</v>
      </c>
      <c r="DC94" s="2106">
        <v>0</v>
      </c>
      <c r="DD94" s="2109">
        <f t="shared" si="190"/>
        <v>0</v>
      </c>
      <c r="DE94" s="2106"/>
      <c r="DF94" s="2106"/>
      <c r="DG94" s="2120"/>
      <c r="DH94" s="2106"/>
      <c r="DI94" s="2106"/>
      <c r="DJ94" s="2106">
        <v>0</v>
      </c>
      <c r="DK94" s="2106">
        <f t="shared" si="192"/>
        <v>0</v>
      </c>
      <c r="DL94" s="2106">
        <v>0</v>
      </c>
      <c r="DM94" s="2106">
        <v>0</v>
      </c>
      <c r="DN94" s="2109">
        <f t="shared" si="193"/>
        <v>0</v>
      </c>
      <c r="DO94" s="2106"/>
      <c r="DP94" s="2106"/>
      <c r="DQ94" s="2120"/>
      <c r="DR94" s="2106"/>
      <c r="DS94" s="2106"/>
      <c r="DT94" s="2106">
        <v>0</v>
      </c>
      <c r="DU94" s="2106">
        <f t="shared" si="195"/>
        <v>0</v>
      </c>
      <c r="DV94" s="2106">
        <v>0</v>
      </c>
      <c r="DW94" s="2106">
        <v>0</v>
      </c>
      <c r="DX94" s="2109">
        <f t="shared" si="196"/>
        <v>0</v>
      </c>
      <c r="DY94" s="2106"/>
      <c r="DZ94" s="2106"/>
      <c r="EA94" s="2106"/>
      <c r="EB94" s="2106"/>
      <c r="EC94" s="2106"/>
      <c r="ED94" s="2106"/>
      <c r="EE94" s="2107"/>
      <c r="EF94" s="2106"/>
      <c r="EG94" s="2106"/>
      <c r="EH94" s="2106"/>
      <c r="EI94" s="2106"/>
      <c r="EJ94" s="2106"/>
      <c r="EK94" s="2106"/>
      <c r="EL94" s="2106"/>
      <c r="EM94" s="2106"/>
      <c r="EN94" s="2106"/>
      <c r="EO94" s="2110"/>
      <c r="EP94" s="2110"/>
      <c r="ES94" s="2084">
        <f t="shared" si="187"/>
        <v>0</v>
      </c>
      <c r="EU94" s="2084">
        <f t="shared" si="198"/>
        <v>0</v>
      </c>
      <c r="EV94" s="2084">
        <f t="shared" si="199"/>
        <v>0</v>
      </c>
      <c r="EW94" s="2084" t="e">
        <f t="shared" si="200"/>
        <v>#DIV/0!</v>
      </c>
      <c r="FE94" s="2108"/>
      <c r="FF94" s="2108"/>
      <c r="FG94" s="2108"/>
      <c r="FH94" s="2108"/>
      <c r="FI94" s="2108"/>
      <c r="FJ94" s="2108"/>
      <c r="FK94" s="2108"/>
    </row>
    <row r="95" spans="1:167">
      <c r="A95" s="1783" t="s">
        <v>27</v>
      </c>
      <c r="B95" s="1784" t="s">
        <v>1722</v>
      </c>
      <c r="C95" s="2098"/>
      <c r="D95" s="2099"/>
      <c r="E95" s="2100"/>
      <c r="F95" s="2099"/>
      <c r="G95" s="2101"/>
      <c r="H95" s="2102"/>
      <c r="I95" s="2119"/>
      <c r="J95" s="2104"/>
      <c r="K95" s="2101"/>
      <c r="L95" s="2101"/>
      <c r="M95" s="2105"/>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6"/>
      <c r="AK95" s="2106"/>
      <c r="AL95" s="2106"/>
      <c r="AM95" s="2106"/>
      <c r="AN95" s="2106"/>
      <c r="AO95" s="2106"/>
      <c r="AP95" s="2106"/>
      <c r="AQ95" s="2106"/>
      <c r="AR95" s="2106"/>
      <c r="AS95" s="2106"/>
      <c r="AT95" s="2106"/>
      <c r="AU95" s="2106"/>
      <c r="AV95" s="2106"/>
      <c r="AW95" s="2106"/>
      <c r="AX95" s="2106"/>
      <c r="AY95" s="2120"/>
      <c r="AZ95" s="2106"/>
      <c r="BA95" s="2106"/>
      <c r="BB95" s="2106"/>
      <c r="BC95" s="2106"/>
      <c r="BD95" s="2106"/>
      <c r="BE95" s="2106"/>
      <c r="BF95" s="2106"/>
      <c r="BG95" s="2106"/>
      <c r="BH95" s="2106"/>
      <c r="BI95" s="2120"/>
      <c r="BJ95" s="2106"/>
      <c r="BK95" s="2106"/>
      <c r="BL95" s="2106"/>
      <c r="BM95" s="2106"/>
      <c r="BN95" s="2106"/>
      <c r="BO95" s="2106"/>
      <c r="BP95" s="2106"/>
      <c r="BQ95" s="2106"/>
      <c r="BR95" s="2106"/>
      <c r="BS95" s="2120"/>
      <c r="BT95" s="2106"/>
      <c r="BU95" s="2106"/>
      <c r="BV95" s="2106"/>
      <c r="BW95" s="2106"/>
      <c r="BX95" s="2106"/>
      <c r="BY95" s="2106"/>
      <c r="BZ95" s="2106"/>
      <c r="CA95" s="2106"/>
      <c r="CB95" s="2106"/>
      <c r="CC95" s="2120"/>
      <c r="CD95" s="2106"/>
      <c r="CE95" s="2106"/>
      <c r="CF95" s="2106"/>
      <c r="CG95" s="2106"/>
      <c r="CH95" s="2106"/>
      <c r="CI95" s="2106"/>
      <c r="CJ95" s="2106"/>
      <c r="CK95" s="2106"/>
      <c r="CL95" s="2106"/>
      <c r="CM95" s="2120"/>
      <c r="CN95" s="2106"/>
      <c r="CO95" s="2106"/>
      <c r="CP95" s="2106"/>
      <c r="CQ95" s="2106"/>
      <c r="CR95" s="2106"/>
      <c r="CS95" s="2106"/>
      <c r="CT95" s="2109"/>
      <c r="CU95" s="2106"/>
      <c r="CV95" s="2106"/>
      <c r="CW95" s="2120"/>
      <c r="CX95" s="2106"/>
      <c r="CY95" s="2106"/>
      <c r="CZ95" s="2106">
        <v>0</v>
      </c>
      <c r="DA95" s="2106">
        <f t="shared" si="189"/>
        <v>0</v>
      </c>
      <c r="DB95" s="2106">
        <v>0</v>
      </c>
      <c r="DC95" s="2106">
        <v>0</v>
      </c>
      <c r="DD95" s="2109">
        <f t="shared" si="190"/>
        <v>0</v>
      </c>
      <c r="DE95" s="2106"/>
      <c r="DF95" s="2106"/>
      <c r="DG95" s="2120"/>
      <c r="DH95" s="2106"/>
      <c r="DI95" s="2106"/>
      <c r="DJ95" s="2106">
        <v>0</v>
      </c>
      <c r="DK95" s="2106">
        <f t="shared" si="192"/>
        <v>0</v>
      </c>
      <c r="DL95" s="2106">
        <v>0</v>
      </c>
      <c r="DM95" s="2106">
        <v>0</v>
      </c>
      <c r="DN95" s="2109">
        <f t="shared" si="193"/>
        <v>0</v>
      </c>
      <c r="DO95" s="2106"/>
      <c r="DP95" s="2106"/>
      <c r="DQ95" s="2120"/>
      <c r="DR95" s="2106"/>
      <c r="DS95" s="2106"/>
      <c r="DT95" s="2106">
        <v>0</v>
      </c>
      <c r="DU95" s="2106">
        <f t="shared" si="195"/>
        <v>0</v>
      </c>
      <c r="DV95" s="2106">
        <v>0</v>
      </c>
      <c r="DW95" s="2106">
        <v>0</v>
      </c>
      <c r="DX95" s="2109">
        <f t="shared" si="196"/>
        <v>0</v>
      </c>
      <c r="DY95" s="2106"/>
      <c r="DZ95" s="2106"/>
      <c r="EA95" s="2106"/>
      <c r="EB95" s="2106"/>
      <c r="EC95" s="2106"/>
      <c r="ED95" s="2106"/>
      <c r="EE95" s="2107"/>
      <c r="EF95" s="2106"/>
      <c r="EG95" s="2106"/>
      <c r="EH95" s="2106"/>
      <c r="EI95" s="2106"/>
      <c r="EJ95" s="2106"/>
      <c r="EK95" s="2106"/>
      <c r="EL95" s="2106"/>
      <c r="EM95" s="2106"/>
      <c r="EN95" s="2106"/>
      <c r="EO95" s="2110"/>
      <c r="EP95" s="2110"/>
      <c r="ES95" s="2084">
        <f t="shared" si="187"/>
        <v>0</v>
      </c>
      <c r="EU95" s="2084">
        <f t="shared" si="198"/>
        <v>0</v>
      </c>
      <c r="EV95" s="2084">
        <f t="shared" si="199"/>
        <v>0</v>
      </c>
      <c r="EW95" s="2084" t="e">
        <f t="shared" si="200"/>
        <v>#DIV/0!</v>
      </c>
      <c r="FE95" s="2108"/>
      <c r="FF95" s="2108"/>
      <c r="FG95" s="2108"/>
      <c r="FH95" s="2108"/>
      <c r="FI95" s="2108"/>
      <c r="FJ95" s="2108"/>
      <c r="FK95" s="2108"/>
    </row>
    <row r="96" spans="1:167">
      <c r="A96" s="1760">
        <v>1</v>
      </c>
      <c r="B96" s="1761" t="s">
        <v>1723</v>
      </c>
      <c r="C96" s="2098">
        <v>690</v>
      </c>
      <c r="D96" s="2099">
        <v>6.9565217391304349E-2</v>
      </c>
      <c r="E96" s="2100"/>
      <c r="F96" s="2099">
        <v>0.55688308656580066</v>
      </c>
      <c r="G96" s="2104">
        <v>48</v>
      </c>
      <c r="H96" s="2102" t="s">
        <v>1717</v>
      </c>
      <c r="I96" s="2103">
        <v>1</v>
      </c>
      <c r="J96" s="2104"/>
      <c r="K96" s="2101"/>
      <c r="L96" s="2101"/>
      <c r="M96" s="2105"/>
      <c r="N96" s="2106">
        <v>12.598715</v>
      </c>
      <c r="O96" s="2106">
        <f t="shared" ref="O96:O111" si="241">IFERROR(P96/N96*10,0)</f>
        <v>1.3071015575794831</v>
      </c>
      <c r="P96" s="2106">
        <v>1.6467799999999999</v>
      </c>
      <c r="Q96" s="2106">
        <f t="shared" ref="Q96:Q111" si="242">IFERROR(R96/N96*10,0)</f>
        <v>0.61599996507580335</v>
      </c>
      <c r="R96" s="2106">
        <v>0.77608080000000002</v>
      </c>
      <c r="S96" s="2106">
        <f t="shared" ref="S96:S111" si="243">IFERROR(T96/N96*10,0)</f>
        <v>1.5997663253752466E-3</v>
      </c>
      <c r="T96" s="2106">
        <v>2.0154999999999999E-3</v>
      </c>
      <c r="U96" s="2106"/>
      <c r="V96" s="2106">
        <f t="shared" ref="V96:V112" si="244">IFERROR(W96/N96*10,0)</f>
        <v>1.9247012889806618</v>
      </c>
      <c r="W96" s="2106">
        <f t="shared" ref="W96:W111" si="245">SUM(P96,R96,T96,U96)</f>
        <v>2.4248763000000002</v>
      </c>
      <c r="X96" s="2106">
        <v>24.796607000000002</v>
      </c>
      <c r="Y96" s="2106">
        <f t="shared" ref="Y96:Y111" si="246">IFERROR(Z96/X96*10,0)</f>
        <v>0.70709496666217275</v>
      </c>
      <c r="Z96" s="2106">
        <v>1.7533555999999999</v>
      </c>
      <c r="AA96" s="2106">
        <f t="shared" ref="AA96:AA111" si="247">IFERROR(AB96/X96*10,0)</f>
        <v>0.61600000354887263</v>
      </c>
      <c r="AB96" s="2106">
        <v>1.527471</v>
      </c>
      <c r="AC96" s="2106">
        <f t="shared" ref="AC96:AC111" si="248">IFERROR(AD96/X96*10,0)</f>
        <v>0.46749754916065728</v>
      </c>
      <c r="AD96" s="2106">
        <v>1.1592353</v>
      </c>
      <c r="AE96" s="2106"/>
      <c r="AF96" s="2106">
        <f t="shared" ref="AF96:AF111" si="249">IFERROR(AG96/X96*10,0)</f>
        <v>1.7905925193717027</v>
      </c>
      <c r="AG96" s="2106">
        <f t="shared" ref="AG96:AG111" si="250">SUM(Z96,AB96,AD96,AE96)</f>
        <v>4.4400618999999999</v>
      </c>
      <c r="AH96" s="2106">
        <v>34.175517999999997</v>
      </c>
      <c r="AI96" s="2106">
        <f t="shared" ref="AI96:AI111" si="251">IFERROR(AJ96/AH96*10,0)</f>
        <v>0.5164379109045254</v>
      </c>
      <c r="AJ96" s="2106">
        <v>1.7649533120000001</v>
      </c>
      <c r="AK96" s="2106">
        <f t="shared" ref="AK96:AK111" si="252">IFERROR(AL96/AH96*10,0)</f>
        <v>0.61600000005852151</v>
      </c>
      <c r="AL96" s="2106">
        <v>2.1052119089999999</v>
      </c>
      <c r="AM96" s="2106">
        <f t="shared" ref="AM96:AM111" si="253">IFERROR(AN96/AH96*10,0)</f>
        <v>1.1019383817386472</v>
      </c>
      <c r="AN96" s="2106">
        <v>3.7659315000000002</v>
      </c>
      <c r="AO96" s="2106">
        <v>0</v>
      </c>
      <c r="AP96" s="2106">
        <f t="shared" ref="AP96:AP111" si="254">IFERROR(AQ96/AH96*10,0)</f>
        <v>2.2343762927016937</v>
      </c>
      <c r="AQ96" s="2106">
        <f t="shared" ref="AQ96:AQ111" si="255">SUM(AJ96,AL96,AN96,AO96)</f>
        <v>7.6360967209999995</v>
      </c>
      <c r="AR96" s="2106">
        <v>34.322387999999997</v>
      </c>
      <c r="AS96" s="2106">
        <f t="shared" ref="AS96:AS111" si="256">IFERROR(AT96/AR96*10,0)</f>
        <v>0.53200498170465294</v>
      </c>
      <c r="AT96" s="2106">
        <v>1.8259681399999999</v>
      </c>
      <c r="AU96" s="2106">
        <f t="shared" ref="AU96:AU111" si="257">IFERROR(AV96/AR96*10,0)</f>
        <v>0.61599999976691611</v>
      </c>
      <c r="AV96" s="2106">
        <v>2.1142590999999999</v>
      </c>
      <c r="AW96" s="2106">
        <f t="shared" ref="AW96:AW111" si="258">IFERROR(AX96/AR96*10,0)</f>
        <v>7.7246956126712405E-4</v>
      </c>
      <c r="AX96" s="2106">
        <v>2.6513000000000001E-3</v>
      </c>
      <c r="AY96" s="2106"/>
      <c r="AZ96" s="2106">
        <f t="shared" ref="AZ96:AZ111" si="259">IFERROR(BA96/AR96*10,0)</f>
        <v>1.1487774510328361</v>
      </c>
      <c r="BA96" s="2106">
        <f t="shared" ref="BA96:BA111" si="260">SUM(AT96,AV96,AX96,AY96)</f>
        <v>3.9428785399999997</v>
      </c>
      <c r="BB96" s="2106">
        <v>35.909945999999998</v>
      </c>
      <c r="BC96" s="2106">
        <f t="shared" ref="BC96:BC111" si="261">IFERROR(BD96/BB96*10,0)</f>
        <v>0.50842745071240159</v>
      </c>
      <c r="BD96" s="2106">
        <v>1.82576023</v>
      </c>
      <c r="BE96" s="2106">
        <f t="shared" ref="BE96:BE111" si="262">IFERROR(BF96/BB96*10,0)</f>
        <v>0.61599997950428553</v>
      </c>
      <c r="BF96" s="2106">
        <v>2.2120525999999998</v>
      </c>
      <c r="BG96" s="2106">
        <f t="shared" ref="BG96:BG111" si="263">IFERROR(BH96/BB96*10,0)</f>
        <v>7.3614702734445779E-4</v>
      </c>
      <c r="BH96" s="2106">
        <v>2.6435E-3</v>
      </c>
      <c r="BI96" s="2106"/>
      <c r="BJ96" s="2106">
        <f t="shared" ref="BJ96:BJ111" si="264">IFERROR(BK96/BB96*10,0)</f>
        <v>1.1251635772440314</v>
      </c>
      <c r="BK96" s="2106">
        <f t="shared" ref="BK96:BK111" si="265">SUM(BD96,BF96,BH96,BI96)</f>
        <v>4.0404563299999996</v>
      </c>
      <c r="BL96" s="2106">
        <v>29.895797000000002</v>
      </c>
      <c r="BM96" s="2106">
        <f t="shared" ref="BM96:BM110" si="266">IFERROR(BN96/BL96*10,0)</f>
        <v>0.57408142355261504</v>
      </c>
      <c r="BN96" s="2106">
        <v>1.71626217</v>
      </c>
      <c r="BO96" s="2106">
        <f t="shared" ref="BO96:BO111" si="267">IFERROR(BP96/BL96*10,0)</f>
        <v>0.61599999993310095</v>
      </c>
      <c r="BP96" s="2106">
        <v>1.841581095</v>
      </c>
      <c r="BQ96" s="2106">
        <f t="shared" ref="BQ96:BQ111" si="268">IFERROR(BR96/BL96*10,0)</f>
        <v>2.4567893607251881</v>
      </c>
      <c r="BR96" s="2106">
        <v>7.3447676</v>
      </c>
      <c r="BS96" s="2106"/>
      <c r="BT96" s="2106">
        <f t="shared" ref="BT96:BT111" si="269">IFERROR(BU96/BL96*10,0)</f>
        <v>3.646870784210904</v>
      </c>
      <c r="BU96" s="2106">
        <f t="shared" ref="BU96:BU111" si="270">SUM(BN96,BP96,BR96,BS96)</f>
        <v>10.902610865</v>
      </c>
      <c r="BV96" s="2106">
        <v>15.643228000000001</v>
      </c>
      <c r="BW96" s="2106">
        <f t="shared" ref="BW96:BW111" si="271">IFERROR(BX96/BV96*10,0)</f>
        <v>0.98132065900976451</v>
      </c>
      <c r="BX96" s="2106">
        <v>1.5351022810000001</v>
      </c>
      <c r="BY96" s="2106">
        <f t="shared" ref="BY96:BY111" si="272">IFERROR(BZ96/BV96*10,0)</f>
        <v>1.7584183679992389</v>
      </c>
      <c r="BZ96" s="2106">
        <v>2.7507339449999999</v>
      </c>
      <c r="CA96" s="2106">
        <f t="shared" ref="CA96:CA111" si="273">IFERROR(CB96/BV96*10,0)</f>
        <v>1.6204456011252922E-3</v>
      </c>
      <c r="CB96" s="2106">
        <v>2.5349000000000001E-3</v>
      </c>
      <c r="CC96" s="2106"/>
      <c r="CD96" s="2106">
        <f t="shared" ref="CD96:CD111" si="274">IFERROR(CE96/BV96*10,0)</f>
        <v>2.741359472610128</v>
      </c>
      <c r="CE96" s="2106">
        <f t="shared" ref="CE96:CE111" si="275">SUM(BX96,BZ96,CB96,CC96)</f>
        <v>4.2883711259999995</v>
      </c>
      <c r="CF96" s="2106">
        <v>8.8137799999999995</v>
      </c>
      <c r="CG96" s="2106">
        <f t="shared" ref="CG96:CG111" si="276">IFERROR(CH96/CF96*10,0)</f>
        <v>1.4168155717524149</v>
      </c>
      <c r="CH96" s="2106">
        <v>1.248750075</v>
      </c>
      <c r="CI96" s="2106">
        <f t="shared" ref="CI96:CI111" si="277">IFERROR(CJ96/CF96*10,0)</f>
        <v>1.3557796995159854</v>
      </c>
      <c r="CJ96" s="2106">
        <v>1.1949544000000001</v>
      </c>
      <c r="CK96" s="2106">
        <f t="shared" ref="CK96:CK111" si="278">IFERROR(CL96/CF96*10,0)</f>
        <v>2.8373751103385834E-3</v>
      </c>
      <c r="CL96" s="2106">
        <v>2.5008000000000001E-3</v>
      </c>
      <c r="CM96" s="2106"/>
      <c r="CN96" s="2106">
        <f t="shared" ref="CN96:CN111" si="279">IFERROR(CO96/CF96*10,0)</f>
        <v>2.7754326463787389</v>
      </c>
      <c r="CO96" s="2106">
        <f t="shared" ref="CO96:CO111" si="280">SUM(CH96,CJ96,CL96,CM96)</f>
        <v>2.4462052750000001</v>
      </c>
      <c r="CP96" s="2106">
        <v>4.4933480000000001</v>
      </c>
      <c r="CQ96" s="2106">
        <f t="shared" ref="CQ96:CQ119" si="281">IFERROR(CR96/CP96*10,0)</f>
        <v>2.5473884506608435</v>
      </c>
      <c r="CR96" s="2106">
        <v>1.1446302800000001</v>
      </c>
      <c r="CS96" s="2106">
        <f t="shared" ref="CS96:CS111" si="282">IFERROR(CT96/CP96*10,0)</f>
        <v>1.775938654206173</v>
      </c>
      <c r="CT96" s="2106">
        <v>0.79799103999999998</v>
      </c>
      <c r="CU96" s="2106">
        <f t="shared" ref="CU96:CU111" si="283">IFERROR(CV96/CP96*10,0)</f>
        <v>5.4484985360581904E-3</v>
      </c>
      <c r="CV96" s="2106">
        <v>2.4482000000000002E-3</v>
      </c>
      <c r="CW96" s="2106"/>
      <c r="CX96" s="2106">
        <f t="shared" ref="CX96:CX111" si="284">IFERROR(CY96/CP96*10,0)</f>
        <v>4.3287756034030753</v>
      </c>
      <c r="CY96" s="2106">
        <f t="shared" ref="CY96:CY111" si="285">SUM(CR96,CT96,CV96,CW96)</f>
        <v>1.9450695200000001</v>
      </c>
      <c r="CZ96" s="2106">
        <v>6.6855538000000019</v>
      </c>
      <c r="DA96" s="2106">
        <f t="shared" si="189"/>
        <v>2.3613657143855455</v>
      </c>
      <c r="DB96" s="2106">
        <v>1.5787037525000003</v>
      </c>
      <c r="DC96" s="2106">
        <v>0.6772120803617474</v>
      </c>
      <c r="DD96" s="2109">
        <f t="shared" si="190"/>
        <v>0.45275377972683872</v>
      </c>
      <c r="DE96" s="2106"/>
      <c r="DF96" s="2106"/>
      <c r="DG96" s="2106"/>
      <c r="DH96" s="2106">
        <f t="shared" ref="DH96:DH107" si="286">IFERROR(DI96/CZ96*10,0)</f>
        <v>3.0385777947472929</v>
      </c>
      <c r="DI96" s="2106">
        <f t="shared" ref="DI96:DI107" si="287">SUM(DB96,DD96,DF96,DG96)</f>
        <v>2.0314575322268391</v>
      </c>
      <c r="DJ96" s="2106">
        <v>7.9222672000000003</v>
      </c>
      <c r="DK96" s="2106">
        <f t="shared" si="192"/>
        <v>1.9927423711485017</v>
      </c>
      <c r="DL96" s="2106">
        <v>1.5787037525000003</v>
      </c>
      <c r="DM96" s="2106">
        <v>0.6772120803617474</v>
      </c>
      <c r="DN96" s="2109">
        <f t="shared" si="193"/>
        <v>0.53650550516936357</v>
      </c>
      <c r="DO96" s="2106"/>
      <c r="DP96" s="2106"/>
      <c r="DQ96" s="2106"/>
      <c r="DR96" s="2106">
        <f t="shared" ref="DR96:DR107" si="288">IFERROR(DS96/DJ96*10,0)</f>
        <v>2.6699544515102493</v>
      </c>
      <c r="DS96" s="2106">
        <f t="shared" ref="DS96:DS107" si="289">SUM(DL96,DN96,DP96,DQ96)</f>
        <v>2.1152092576693637</v>
      </c>
      <c r="DT96" s="2106">
        <v>11.698462000000001</v>
      </c>
      <c r="DU96" s="2106">
        <f t="shared" si="195"/>
        <v>1.3494968419780311</v>
      </c>
      <c r="DV96" s="2106">
        <v>1.5787037525000003</v>
      </c>
      <c r="DW96" s="2106">
        <v>0.6772120803617474</v>
      </c>
      <c r="DX96" s="2109">
        <f t="shared" si="196"/>
        <v>0.7922339788052849</v>
      </c>
      <c r="DY96" s="2106"/>
      <c r="DZ96" s="2106"/>
      <c r="EA96" s="2106"/>
      <c r="EB96" s="2106">
        <f t="shared" ref="EB96:EB107" si="290">IFERROR(EC96/DT96*10,0)</f>
        <v>2.0267089223397785</v>
      </c>
      <c r="EC96" s="2106">
        <f t="shared" ref="EC96:EC107" si="291">SUM(DV96,DX96,DZ96,EA96)</f>
        <v>2.3709377313052853</v>
      </c>
      <c r="ED96" s="2106">
        <f t="shared" ref="ED96:ED111" si="292">SUM(N96,X96,AH96,AR96,BB96,BL96,BV96,CF96,CP96,CZ96,DJ96,DT96)</f>
        <v>226.95560999999998</v>
      </c>
      <c r="EE96" s="2107"/>
      <c r="EF96" s="2106">
        <f t="shared" ref="EF96:EF111" si="293">IFERROR(EG96/ED96*10,0)</f>
        <v>0.84587789416177039</v>
      </c>
      <c r="EG96" s="2106">
        <f t="shared" ref="EG96:EG111" si="294">SUM(P96,Z96,AJ96,AT96,BD96,BN96,BX96,CH96,CR96,DB96,DL96,DV96)</f>
        <v>19.1976733455</v>
      </c>
      <c r="EH96" s="2106">
        <f t="shared" ref="EH96:EH111" si="295">IFERROR(EI96/ED96*10,0)</f>
        <v>0.75353189783242147</v>
      </c>
      <c r="EI96" s="2106">
        <f t="shared" ref="EI96:EI111" si="296">SUM(R96,AB96,AL96,AV96,BF96,BP96,BZ96,CJ96,CT96,DD96,DN96,DX96)</f>
        <v>17.101829152701487</v>
      </c>
      <c r="EJ96" s="2106"/>
      <c r="EK96" s="2106">
        <f t="shared" ref="EK96:EK111" si="297">SUM(T96,AD96,AN96,AX96,BH96,BR96,CB96,CL96,CV96,DF96,DP96,DZ96)</f>
        <v>12.284728600000001</v>
      </c>
      <c r="EL96" s="2106"/>
      <c r="EM96" s="2106"/>
      <c r="EN96" s="2106">
        <f t="shared" ref="EN96:EN111" si="298">EG96+EI96+EK96</f>
        <v>48.584231098201492</v>
      </c>
      <c r="EO96" s="2104">
        <f t="shared" ref="EO96:EO112" si="299">IFERROR(EN96/ED96*10,0)</f>
        <v>2.1406931116706698</v>
      </c>
      <c r="EP96" s="2110"/>
      <c r="ES96" s="2084">
        <f t="shared" si="187"/>
        <v>0</v>
      </c>
      <c r="EU96" s="2084">
        <f t="shared" si="198"/>
        <v>15.320335889000001</v>
      </c>
      <c r="EV96" s="2084">
        <f t="shared" si="199"/>
        <v>200.64932699999997</v>
      </c>
      <c r="EW96" s="2084">
        <f t="shared" si="200"/>
        <v>0.76353786569142101</v>
      </c>
      <c r="FE96" s="2108"/>
      <c r="FF96" s="2108"/>
      <c r="FG96" s="2108"/>
      <c r="FH96" s="2108"/>
      <c r="FI96" s="2108"/>
      <c r="FJ96" s="2108"/>
      <c r="FK96" s="2108"/>
    </row>
    <row r="97" spans="1:167">
      <c r="A97" s="1760">
        <v>2</v>
      </c>
      <c r="B97" s="1761" t="s">
        <v>1724</v>
      </c>
      <c r="C97" s="2098">
        <v>94.2</v>
      </c>
      <c r="D97" s="2099">
        <v>0.22292993630573249</v>
      </c>
      <c r="E97" s="2100"/>
      <c r="F97" s="2099">
        <v>0.41664179855239031</v>
      </c>
      <c r="G97" s="2104">
        <v>21</v>
      </c>
      <c r="H97" s="2102" t="s">
        <v>1717</v>
      </c>
      <c r="I97" s="2103">
        <v>1</v>
      </c>
      <c r="J97" s="2104"/>
      <c r="K97" s="2101"/>
      <c r="L97" s="2101"/>
      <c r="M97" s="2105"/>
      <c r="N97" s="2106">
        <v>0.86319400000000002</v>
      </c>
      <c r="O97" s="2106">
        <f t="shared" si="241"/>
        <v>7.516816613646526</v>
      </c>
      <c r="P97" s="2106">
        <v>0.64884710000000001</v>
      </c>
      <c r="Q97" s="2106">
        <f t="shared" si="242"/>
        <v>1.6480003336445805</v>
      </c>
      <c r="R97" s="2106">
        <v>0.1422544</v>
      </c>
      <c r="S97" s="2106">
        <f t="shared" si="243"/>
        <v>8.840422894505753E-3</v>
      </c>
      <c r="T97" s="2106">
        <v>7.6309999999999995E-4</v>
      </c>
      <c r="U97" s="2106"/>
      <c r="V97" s="2106">
        <f t="shared" si="244"/>
        <v>9.1736573701856123</v>
      </c>
      <c r="W97" s="2106">
        <f t="shared" si="245"/>
        <v>0.79186460000000003</v>
      </c>
      <c r="X97" s="2106">
        <v>4.6628210000000001</v>
      </c>
      <c r="Y97" s="2106">
        <f t="shared" si="246"/>
        <v>3.3242015938420111</v>
      </c>
      <c r="Z97" s="2106">
        <v>1.5500157000000001</v>
      </c>
      <c r="AA97" s="2106">
        <f t="shared" si="247"/>
        <v>1.6479999982843001</v>
      </c>
      <c r="AB97" s="2106">
        <v>0.76843289999999997</v>
      </c>
      <c r="AC97" s="2106">
        <f t="shared" si="248"/>
        <v>2.1928785171037015E-3</v>
      </c>
      <c r="AD97" s="2106">
        <v>1.0225E-3</v>
      </c>
      <c r="AE97" s="2106"/>
      <c r="AF97" s="2106">
        <f t="shared" si="249"/>
        <v>4.9743944706434151</v>
      </c>
      <c r="AG97" s="2106">
        <f t="shared" si="250"/>
        <v>2.3194710999999999</v>
      </c>
      <c r="AH97" s="2106">
        <v>9.3616229999999998</v>
      </c>
      <c r="AI97" s="2106">
        <f t="shared" si="251"/>
        <v>1.9361005030858434</v>
      </c>
      <c r="AJ97" s="2106">
        <v>1.8125043000000001</v>
      </c>
      <c r="AK97" s="2106">
        <f t="shared" si="252"/>
        <v>1.6479999995727237</v>
      </c>
      <c r="AL97" s="2106">
        <v>1.5427954699999999</v>
      </c>
      <c r="AM97" s="2106">
        <f t="shared" si="253"/>
        <v>1.0888069301658483E-3</v>
      </c>
      <c r="AN97" s="2106">
        <v>1.0192999999999999E-3</v>
      </c>
      <c r="AO97" s="2106">
        <v>0</v>
      </c>
      <c r="AP97" s="2106">
        <f t="shared" si="254"/>
        <v>3.5851893095887326</v>
      </c>
      <c r="AQ97" s="2106">
        <f t="shared" si="255"/>
        <v>3.3563190700000001</v>
      </c>
      <c r="AR97" s="2106">
        <v>11.892592</v>
      </c>
      <c r="AS97" s="2106">
        <f t="shared" si="256"/>
        <v>1.7884251893952132</v>
      </c>
      <c r="AT97" s="2106">
        <v>2.1269011099999999</v>
      </c>
      <c r="AU97" s="2106">
        <f t="shared" si="257"/>
        <v>1.6479999986546248</v>
      </c>
      <c r="AV97" s="2106">
        <v>1.9598991600000002</v>
      </c>
      <c r="AW97" s="2106">
        <f t="shared" si="258"/>
        <v>8.4413893960206491E-4</v>
      </c>
      <c r="AX97" s="2106">
        <v>1.0039000000000001E-3</v>
      </c>
      <c r="AY97" s="2106"/>
      <c r="AZ97" s="2106">
        <f t="shared" si="259"/>
        <v>3.4372693269894401</v>
      </c>
      <c r="BA97" s="2106">
        <f t="shared" si="260"/>
        <v>4.0878041700000001</v>
      </c>
      <c r="BB97" s="2106">
        <v>11.847225</v>
      </c>
      <c r="BC97" s="2106">
        <f t="shared" si="261"/>
        <v>1.834737814129469</v>
      </c>
      <c r="BD97" s="2106">
        <v>2.17365517</v>
      </c>
      <c r="BE97" s="2106">
        <f t="shared" si="262"/>
        <v>1.6480000000000001</v>
      </c>
      <c r="BF97" s="2106">
        <v>1.95242268</v>
      </c>
      <c r="BG97" s="2106">
        <f t="shared" si="263"/>
        <v>8.4483919230030676E-4</v>
      </c>
      <c r="BH97" s="2106">
        <v>1.0009000000000001E-3</v>
      </c>
      <c r="BI97" s="2106"/>
      <c r="BJ97" s="2106">
        <f t="shared" si="264"/>
        <v>3.4835826533217693</v>
      </c>
      <c r="BK97" s="2106">
        <f t="shared" si="265"/>
        <v>4.1270787499999999</v>
      </c>
      <c r="BL97" s="2106">
        <v>14.294604</v>
      </c>
      <c r="BM97" s="2106">
        <f t="shared" si="266"/>
        <v>1.4552084576809543</v>
      </c>
      <c r="BN97" s="2106">
        <v>2.0801628640000001</v>
      </c>
      <c r="BO97" s="2106">
        <f t="shared" si="267"/>
        <v>1.6479999299036197</v>
      </c>
      <c r="BP97" s="2106">
        <v>2.355750639</v>
      </c>
      <c r="BQ97" s="2106">
        <f t="shared" si="268"/>
        <v>6.8032664633451887E-4</v>
      </c>
      <c r="BR97" s="2106">
        <v>9.7249999999999995E-4</v>
      </c>
      <c r="BS97" s="2106"/>
      <c r="BT97" s="2106">
        <f t="shared" si="269"/>
        <v>3.1038887142309086</v>
      </c>
      <c r="BU97" s="2106">
        <f t="shared" si="270"/>
        <v>4.4368860029999997</v>
      </c>
      <c r="BV97" s="2106">
        <v>13.523167000000001</v>
      </c>
      <c r="BW97" s="2106">
        <f t="shared" si="271"/>
        <v>1.4998136619920466</v>
      </c>
      <c r="BX97" s="2106">
        <v>2.0282230619999999</v>
      </c>
      <c r="BY97" s="2106">
        <f t="shared" si="272"/>
        <v>1.6480000002957884</v>
      </c>
      <c r="BZ97" s="2106">
        <v>2.2286179219999998</v>
      </c>
      <c r="CA97" s="2106">
        <f t="shared" si="273"/>
        <v>7.097449879898695E-4</v>
      </c>
      <c r="CB97" s="2106">
        <v>9.5980000000000002E-4</v>
      </c>
      <c r="CC97" s="2106"/>
      <c r="CD97" s="2106">
        <f t="shared" si="274"/>
        <v>3.1485234072758255</v>
      </c>
      <c r="CE97" s="2106">
        <f t="shared" si="275"/>
        <v>4.2578007840000005</v>
      </c>
      <c r="CF97" s="2106">
        <v>12.529204999999999</v>
      </c>
      <c r="CG97" s="2106">
        <f t="shared" si="276"/>
        <v>1.6269957479345258</v>
      </c>
      <c r="CH97" s="2106">
        <v>2.0384963260000002</v>
      </c>
      <c r="CI97" s="2106">
        <f t="shared" si="277"/>
        <v>1.6480000000000001</v>
      </c>
      <c r="CJ97" s="2106">
        <v>2.064812984</v>
      </c>
      <c r="CK97" s="2106">
        <f t="shared" si="278"/>
        <v>7.557542557568497E-4</v>
      </c>
      <c r="CL97" s="2106">
        <v>9.4689999999999998E-4</v>
      </c>
      <c r="CM97" s="2106"/>
      <c r="CN97" s="2106">
        <f t="shared" si="279"/>
        <v>3.2757515021902828</v>
      </c>
      <c r="CO97" s="2106">
        <f t="shared" si="280"/>
        <v>4.10425621</v>
      </c>
      <c r="CP97" s="2106">
        <v>7.7801280000000004</v>
      </c>
      <c r="CQ97" s="2106">
        <f t="shared" si="281"/>
        <v>2.1801221907917192</v>
      </c>
      <c r="CR97" s="2106">
        <v>1.6961629699999998</v>
      </c>
      <c r="CS97" s="2106">
        <f t="shared" si="282"/>
        <v>1.6479999943445662</v>
      </c>
      <c r="CT97" s="2106">
        <v>1.2821650900000001</v>
      </c>
      <c r="CU97" s="2106">
        <f t="shared" si="283"/>
        <v>1.1914971064743408E-3</v>
      </c>
      <c r="CV97" s="2106">
        <v>9.2699999999999998E-4</v>
      </c>
      <c r="CW97" s="2106"/>
      <c r="CX97" s="2106">
        <f t="shared" si="284"/>
        <v>3.82931368224276</v>
      </c>
      <c r="CY97" s="2106">
        <f t="shared" si="285"/>
        <v>2.9792550599999998</v>
      </c>
      <c r="CZ97" s="2106">
        <v>2.8854376000000013</v>
      </c>
      <c r="DA97" s="2106">
        <f t="shared" si="189"/>
        <v>5.3128203543545691</v>
      </c>
      <c r="DB97" s="2106">
        <v>1.5329811612500004</v>
      </c>
      <c r="DC97" s="2106">
        <v>1.7146369042736642</v>
      </c>
      <c r="DD97" s="2109">
        <f t="shared" si="190"/>
        <v>0.49474777939388337</v>
      </c>
      <c r="DE97" s="2106"/>
      <c r="DF97" s="2106"/>
      <c r="DG97" s="2106"/>
      <c r="DH97" s="2106">
        <f t="shared" si="286"/>
        <v>7.0274572586282336</v>
      </c>
      <c r="DI97" s="2106">
        <f t="shared" si="287"/>
        <v>2.0277289406438839</v>
      </c>
      <c r="DJ97" s="2106">
        <v>1.8095508</v>
      </c>
      <c r="DK97" s="2106">
        <f t="shared" si="192"/>
        <v>8.471611635605921</v>
      </c>
      <c r="DL97" s="2106">
        <v>1.5329811612500004</v>
      </c>
      <c r="DM97" s="2106">
        <v>1.7146369042736642</v>
      </c>
      <c r="DN97" s="2109">
        <f t="shared" si="193"/>
        <v>0.31027225818379323</v>
      </c>
      <c r="DO97" s="2106"/>
      <c r="DP97" s="2106"/>
      <c r="DQ97" s="2106"/>
      <c r="DR97" s="2106">
        <f t="shared" si="288"/>
        <v>10.186248539879585</v>
      </c>
      <c r="DS97" s="2106">
        <f t="shared" si="289"/>
        <v>1.8432534194337937</v>
      </c>
      <c r="DT97" s="2106">
        <v>0</v>
      </c>
      <c r="DU97" s="2106">
        <f t="shared" si="195"/>
        <v>0</v>
      </c>
      <c r="DV97" s="2106">
        <v>1.5329811612500004</v>
      </c>
      <c r="DW97" s="2106">
        <v>1.7146369042736642</v>
      </c>
      <c r="DX97" s="2109">
        <f t="shared" si="196"/>
        <v>0</v>
      </c>
      <c r="DY97" s="2106"/>
      <c r="DZ97" s="2106"/>
      <c r="EA97" s="2106"/>
      <c r="EB97" s="2106">
        <f t="shared" si="290"/>
        <v>0</v>
      </c>
      <c r="EC97" s="2106">
        <f t="shared" si="291"/>
        <v>1.5329811612500004</v>
      </c>
      <c r="ED97" s="2106">
        <f t="shared" si="292"/>
        <v>91.4495474</v>
      </c>
      <c r="EE97" s="2107"/>
      <c r="EF97" s="2106">
        <f t="shared" si="293"/>
        <v>2.2694384691673171</v>
      </c>
      <c r="EG97" s="2106">
        <f t="shared" si="294"/>
        <v>20.753912085749999</v>
      </c>
      <c r="EH97" s="2106">
        <f t="shared" si="295"/>
        <v>1.651421107260469</v>
      </c>
      <c r="EI97" s="2106">
        <f t="shared" si="296"/>
        <v>15.102171282577675</v>
      </c>
      <c r="EJ97" s="2106"/>
      <c r="EK97" s="2106">
        <f t="shared" si="297"/>
        <v>8.615900000000001E-3</v>
      </c>
      <c r="EL97" s="2106"/>
      <c r="EM97" s="2106"/>
      <c r="EN97" s="2106">
        <f t="shared" si="298"/>
        <v>35.864699268327676</v>
      </c>
      <c r="EO97" s="2104">
        <f t="shared" si="299"/>
        <v>3.9218017243382963</v>
      </c>
      <c r="EP97" s="2110"/>
      <c r="ES97" s="2084">
        <f t="shared" si="187"/>
        <v>0</v>
      </c>
      <c r="EU97" s="2084">
        <f t="shared" si="198"/>
        <v>14.297151244999998</v>
      </c>
      <c r="EV97" s="2084">
        <f t="shared" si="199"/>
        <v>86.754559</v>
      </c>
      <c r="EW97" s="2084">
        <f t="shared" si="200"/>
        <v>1.6479999909860643</v>
      </c>
      <c r="FE97" s="2108"/>
      <c r="FF97" s="2108"/>
      <c r="FG97" s="2108"/>
      <c r="FH97" s="2108"/>
      <c r="FI97" s="2108"/>
      <c r="FJ97" s="2108"/>
      <c r="FK97" s="2108"/>
    </row>
    <row r="98" spans="1:167">
      <c r="A98" s="1760">
        <v>3</v>
      </c>
      <c r="B98" s="1761" t="s">
        <v>1725</v>
      </c>
      <c r="C98" s="2098">
        <v>540</v>
      </c>
      <c r="D98" s="2099">
        <v>0.20185185185185187</v>
      </c>
      <c r="E98" s="2100"/>
      <c r="F98" s="2099">
        <v>0.51356250201961684</v>
      </c>
      <c r="G98" s="2104">
        <v>109</v>
      </c>
      <c r="H98" s="2102" t="s">
        <v>1717</v>
      </c>
      <c r="I98" s="2103">
        <v>1</v>
      </c>
      <c r="J98" s="2104"/>
      <c r="K98" s="2101"/>
      <c r="L98" s="2101"/>
      <c r="M98" s="2105"/>
      <c r="N98" s="2106">
        <v>22.036014000000002</v>
      </c>
      <c r="O98" s="2106">
        <f t="shared" si="241"/>
        <v>1.6252275025782792</v>
      </c>
      <c r="P98" s="2106">
        <v>3.5813535999999999</v>
      </c>
      <c r="Q98" s="2106">
        <f t="shared" si="242"/>
        <v>1.1410000011798866</v>
      </c>
      <c r="R98" s="2106">
        <v>2.5143092</v>
      </c>
      <c r="S98" s="2106">
        <f t="shared" si="243"/>
        <v>2.0877187680131259E-3</v>
      </c>
      <c r="T98" s="2106">
        <v>4.6005000000000004E-3</v>
      </c>
      <c r="U98" s="2106"/>
      <c r="V98" s="2106">
        <f t="shared" si="244"/>
        <v>2.7683152225261787</v>
      </c>
      <c r="W98" s="2106">
        <f t="shared" si="245"/>
        <v>6.1002632999999991</v>
      </c>
      <c r="X98" s="2106">
        <v>38.283078000000003</v>
      </c>
      <c r="Y98" s="2106">
        <f t="shared" si="246"/>
        <v>0.96667569415395493</v>
      </c>
      <c r="Z98" s="2106">
        <v>3.7007321000000002</v>
      </c>
      <c r="AA98" s="2106">
        <f t="shared" si="247"/>
        <v>1.1410000000522422</v>
      </c>
      <c r="AB98" s="2106">
        <v>4.3680991999999996</v>
      </c>
      <c r="AC98" s="2106">
        <f t="shared" si="248"/>
        <v>1.6101108693506827E-3</v>
      </c>
      <c r="AD98" s="2106">
        <v>6.1640000000000002E-3</v>
      </c>
      <c r="AE98" s="2106"/>
      <c r="AF98" s="2106">
        <f t="shared" si="249"/>
        <v>2.1092858050755479</v>
      </c>
      <c r="AG98" s="2106">
        <f t="shared" si="250"/>
        <v>8.0749952999999994</v>
      </c>
      <c r="AH98" s="2106">
        <v>58.330908000000001</v>
      </c>
      <c r="AI98" s="2106">
        <f t="shared" si="251"/>
        <v>0.61397185862424775</v>
      </c>
      <c r="AJ98" s="2106">
        <v>3.5813535999999999</v>
      </c>
      <c r="AK98" s="2106">
        <f t="shared" si="252"/>
        <v>1.14099999951998</v>
      </c>
      <c r="AL98" s="2106">
        <v>6.6555565999999997</v>
      </c>
      <c r="AM98" s="2106">
        <f t="shared" si="253"/>
        <v>1.0534037975201756E-3</v>
      </c>
      <c r="AN98" s="2106">
        <v>6.1446000000000001E-3</v>
      </c>
      <c r="AO98" s="2106">
        <v>0</v>
      </c>
      <c r="AP98" s="2106">
        <f t="shared" si="254"/>
        <v>1.7560252619417482</v>
      </c>
      <c r="AQ98" s="2106">
        <f t="shared" si="255"/>
        <v>10.243054800000001</v>
      </c>
      <c r="AR98" s="2106">
        <v>76.823808</v>
      </c>
      <c r="AS98" s="2106">
        <f t="shared" si="256"/>
        <v>0.48171682273286953</v>
      </c>
      <c r="AT98" s="2106">
        <v>3.7007320700000004</v>
      </c>
      <c r="AU98" s="2106">
        <f t="shared" si="257"/>
        <v>1.1409999996355298</v>
      </c>
      <c r="AV98" s="2106">
        <v>8.7655964900000001</v>
      </c>
      <c r="AW98" s="2106">
        <f t="shared" si="258"/>
        <v>7.8773757218595568E-4</v>
      </c>
      <c r="AX98" s="2106">
        <v>6.0517000000000001E-3</v>
      </c>
      <c r="AY98" s="2106"/>
      <c r="AZ98" s="2106">
        <f t="shared" si="259"/>
        <v>1.6235045599405853</v>
      </c>
      <c r="BA98" s="2106">
        <f t="shared" si="260"/>
        <v>12.472380260000001</v>
      </c>
      <c r="BB98" s="2106">
        <v>62.297142999999998</v>
      </c>
      <c r="BC98" s="2106">
        <f t="shared" si="261"/>
        <v>0.59234530867651503</v>
      </c>
      <c r="BD98" s="2106">
        <v>3.69014204</v>
      </c>
      <c r="BE98" s="2106">
        <f t="shared" si="262"/>
        <v>1.1410000005939278</v>
      </c>
      <c r="BF98" s="2106">
        <v>7.1081040199999999</v>
      </c>
      <c r="BG98" s="2106">
        <f t="shared" si="263"/>
        <v>9.6856769178002284E-4</v>
      </c>
      <c r="BH98" s="2106">
        <v>6.0339E-3</v>
      </c>
      <c r="BI98" s="2106"/>
      <c r="BJ98" s="2106">
        <f t="shared" si="264"/>
        <v>1.7343138769622231</v>
      </c>
      <c r="BK98" s="2106">
        <f t="shared" si="265"/>
        <v>10.804279960000001</v>
      </c>
      <c r="BL98" s="2106">
        <v>43.495823999999999</v>
      </c>
      <c r="BM98" s="2106">
        <f t="shared" si="266"/>
        <v>0.82337872665660961</v>
      </c>
      <c r="BN98" s="2106">
        <v>3.5813536180000001</v>
      </c>
      <c r="BO98" s="2106">
        <f t="shared" si="267"/>
        <v>1.1409999999080371</v>
      </c>
      <c r="BP98" s="2106">
        <v>4.9628735180000003</v>
      </c>
      <c r="BQ98" s="2106">
        <f t="shared" si="268"/>
        <v>1.3478765225829496E-3</v>
      </c>
      <c r="BR98" s="2106">
        <v>5.8627000000000002E-3</v>
      </c>
      <c r="BS98" s="2106"/>
      <c r="BT98" s="2106">
        <f t="shared" si="269"/>
        <v>1.9657266030872298</v>
      </c>
      <c r="BU98" s="2106">
        <f t="shared" si="270"/>
        <v>8.5500898359999997</v>
      </c>
      <c r="BV98" s="2106">
        <v>18.787137999999999</v>
      </c>
      <c r="BW98" s="2106">
        <f t="shared" si="271"/>
        <v>1.9698221581168989</v>
      </c>
      <c r="BX98" s="2106">
        <v>3.7007320720000001</v>
      </c>
      <c r="BY98" s="2106">
        <f t="shared" si="272"/>
        <v>1.141000000106456</v>
      </c>
      <c r="BZ98" s="2106">
        <v>2.1436124460000001</v>
      </c>
      <c r="CA98" s="2106">
        <f t="shared" si="273"/>
        <v>3.0797665935066859E-3</v>
      </c>
      <c r="CB98" s="2106">
        <v>5.7860000000000003E-3</v>
      </c>
      <c r="CC98" s="2106"/>
      <c r="CD98" s="2106">
        <f t="shared" si="274"/>
        <v>3.1139019248168616</v>
      </c>
      <c r="CE98" s="2106">
        <f t="shared" si="275"/>
        <v>5.8501305179999994</v>
      </c>
      <c r="CF98" s="2106">
        <v>11.068676999999999</v>
      </c>
      <c r="CG98" s="2106">
        <f t="shared" si="276"/>
        <v>3.2355751441658298</v>
      </c>
      <c r="CH98" s="2106">
        <v>3.5813536180000001</v>
      </c>
      <c r="CI98" s="2106">
        <f t="shared" si="277"/>
        <v>1.1410000002710352</v>
      </c>
      <c r="CJ98" s="2106">
        <v>1.2629360460000001</v>
      </c>
      <c r="CK98" s="2106">
        <f t="shared" si="278"/>
        <v>7.0519990781192726E-2</v>
      </c>
      <c r="CL98" s="2106">
        <v>7.8056299999999995E-2</v>
      </c>
      <c r="CM98" s="2106"/>
      <c r="CN98" s="2106">
        <f t="shared" si="279"/>
        <v>4.4470951352180572</v>
      </c>
      <c r="CO98" s="2106">
        <f t="shared" si="280"/>
        <v>4.9223459639999998</v>
      </c>
      <c r="CP98" s="2106">
        <v>0</v>
      </c>
      <c r="CQ98" s="2106">
        <f t="shared" si="281"/>
        <v>0</v>
      </c>
      <c r="CR98" s="2106">
        <v>0</v>
      </c>
      <c r="CS98" s="2106">
        <f t="shared" si="282"/>
        <v>0</v>
      </c>
      <c r="CT98" s="2106">
        <v>0</v>
      </c>
      <c r="CU98" s="2106">
        <f t="shared" si="283"/>
        <v>0</v>
      </c>
      <c r="CV98" s="2106">
        <v>7.7936199999999997E-2</v>
      </c>
      <c r="CW98" s="2106"/>
      <c r="CX98" s="2106">
        <f t="shared" si="284"/>
        <v>0</v>
      </c>
      <c r="CY98" s="2106">
        <f t="shared" si="285"/>
        <v>7.7936199999999997E-2</v>
      </c>
      <c r="CZ98" s="2106">
        <v>12.726644799999999</v>
      </c>
      <c r="DA98" s="2106">
        <f t="shared" si="189"/>
        <v>2.6865797044166739</v>
      </c>
      <c r="DB98" s="2106">
        <v>3.4191145624999995</v>
      </c>
      <c r="DC98" s="2106">
        <v>1.2106161923266128</v>
      </c>
      <c r="DD98" s="2109">
        <f t="shared" si="190"/>
        <v>1.5407082268869285</v>
      </c>
      <c r="DE98" s="2106"/>
      <c r="DF98" s="2106"/>
      <c r="DG98" s="2106"/>
      <c r="DH98" s="2106">
        <f t="shared" si="286"/>
        <v>3.8971958967432867</v>
      </c>
      <c r="DI98" s="2106">
        <f t="shared" si="287"/>
        <v>4.9598227893869282</v>
      </c>
      <c r="DJ98" s="2106">
        <v>18.492080560000005</v>
      </c>
      <c r="DK98" s="2106">
        <f t="shared" si="192"/>
        <v>1.8489615332391773</v>
      </c>
      <c r="DL98" s="2106">
        <v>3.4191145624999995</v>
      </c>
      <c r="DM98" s="2106">
        <v>1.2106161923266128</v>
      </c>
      <c r="DN98" s="2109">
        <f t="shared" si="193"/>
        <v>2.2386812155744185</v>
      </c>
      <c r="DO98" s="2106"/>
      <c r="DP98" s="2106"/>
      <c r="DQ98" s="2106"/>
      <c r="DR98" s="2106">
        <f t="shared" si="288"/>
        <v>3.0595777255657897</v>
      </c>
      <c r="DS98" s="2106">
        <f t="shared" si="289"/>
        <v>5.6577957780744175</v>
      </c>
      <c r="DT98" s="2106">
        <v>25.702773799999996</v>
      </c>
      <c r="DU98" s="2106">
        <f t="shared" si="195"/>
        <v>1.3302511974407991</v>
      </c>
      <c r="DV98" s="2106">
        <v>3.4191145624999995</v>
      </c>
      <c r="DW98" s="2106">
        <v>1.2106161923266128</v>
      </c>
      <c r="DX98" s="2109">
        <f t="shared" si="196"/>
        <v>3.1116194149988217</v>
      </c>
      <c r="DY98" s="2106"/>
      <c r="DZ98" s="2106"/>
      <c r="EA98" s="2106"/>
      <c r="EB98" s="2106">
        <f t="shared" si="290"/>
        <v>2.5408673897674117</v>
      </c>
      <c r="EC98" s="2106">
        <f t="shared" si="291"/>
        <v>6.5307339774988211</v>
      </c>
      <c r="ED98" s="2106">
        <f t="shared" si="292"/>
        <v>388.04408916000006</v>
      </c>
      <c r="EE98" s="2107"/>
      <c r="EF98" s="2106">
        <f t="shared" si="293"/>
        <v>1.014706769293545</v>
      </c>
      <c r="EG98" s="2106">
        <f t="shared" si="294"/>
        <v>39.375096405500003</v>
      </c>
      <c r="EH98" s="2106">
        <f t="shared" si="295"/>
        <v>1.1512118757990093</v>
      </c>
      <c r="EI98" s="2106">
        <f t="shared" si="296"/>
        <v>44.672096377460164</v>
      </c>
      <c r="EJ98" s="2106"/>
      <c r="EK98" s="2106">
        <f t="shared" si="297"/>
        <v>0.19663589999999997</v>
      </c>
      <c r="EL98" s="2106"/>
      <c r="EM98" s="2106"/>
      <c r="EN98" s="2106">
        <f t="shared" si="298"/>
        <v>84.243828682960171</v>
      </c>
      <c r="EO98" s="2104">
        <f t="shared" si="299"/>
        <v>2.170986004846073</v>
      </c>
      <c r="EP98" s="2110"/>
      <c r="ES98" s="2084">
        <f t="shared" si="187"/>
        <v>0</v>
      </c>
      <c r="EU98" s="2084">
        <f t="shared" si="198"/>
        <v>37.78108752</v>
      </c>
      <c r="EV98" s="2084">
        <f t="shared" si="199"/>
        <v>331.12259000000006</v>
      </c>
      <c r="EW98" s="2084">
        <f t="shared" si="200"/>
        <v>1.1410000000302001</v>
      </c>
      <c r="FE98" s="2108"/>
      <c r="FF98" s="2108"/>
      <c r="FG98" s="2108"/>
      <c r="FH98" s="2108"/>
      <c r="FI98" s="2108"/>
      <c r="FJ98" s="2108"/>
      <c r="FK98" s="2108"/>
    </row>
    <row r="99" spans="1:167">
      <c r="A99" s="1760">
        <v>4</v>
      </c>
      <c r="B99" s="1761" t="s">
        <v>1726</v>
      </c>
      <c r="C99" s="2098">
        <v>480</v>
      </c>
      <c r="D99" s="2099">
        <v>0.2</v>
      </c>
      <c r="E99" s="2100"/>
      <c r="F99" s="2099">
        <v>0.69419491874470518</v>
      </c>
      <c r="G99" s="2104">
        <v>96</v>
      </c>
      <c r="H99" s="2102" t="s">
        <v>1717</v>
      </c>
      <c r="I99" s="2103">
        <v>1</v>
      </c>
      <c r="J99" s="2104"/>
      <c r="K99" s="2101"/>
      <c r="L99" s="2101"/>
      <c r="M99" s="2105"/>
      <c r="N99" s="2106">
        <v>68.450828999999999</v>
      </c>
      <c r="O99" s="2106">
        <f t="shared" si="241"/>
        <v>0.69977162730929088</v>
      </c>
      <c r="P99" s="2106">
        <v>4.7899947999999997</v>
      </c>
      <c r="Q99" s="2106">
        <f t="shared" si="242"/>
        <v>0.82199999360124631</v>
      </c>
      <c r="R99" s="2106">
        <v>5.6266581000000002</v>
      </c>
      <c r="S99" s="2106">
        <f t="shared" si="243"/>
        <v>5.9121270832234916E-4</v>
      </c>
      <c r="T99" s="2106">
        <v>4.0469E-3</v>
      </c>
      <c r="U99" s="2106"/>
      <c r="V99" s="2106">
        <f t="shared" si="244"/>
        <v>1.5223628336188595</v>
      </c>
      <c r="W99" s="2106">
        <f t="shared" si="245"/>
        <v>10.4206998</v>
      </c>
      <c r="X99" s="2106">
        <v>70.567306000000002</v>
      </c>
      <c r="Y99" s="2106">
        <f t="shared" si="246"/>
        <v>0.69924990476467952</v>
      </c>
      <c r="Z99" s="2106">
        <v>4.9344181999999996</v>
      </c>
      <c r="AA99" s="2106">
        <f t="shared" si="247"/>
        <v>0.82200000663196637</v>
      </c>
      <c r="AB99" s="2106">
        <v>5.8006326000000001</v>
      </c>
      <c r="AC99" s="2106">
        <f t="shared" si="248"/>
        <v>0.44778445984603688</v>
      </c>
      <c r="AD99" s="2106">
        <v>3.1598942999999999</v>
      </c>
      <c r="AE99" s="2106"/>
      <c r="AF99" s="2106">
        <f t="shared" si="249"/>
        <v>1.9690343712426828</v>
      </c>
      <c r="AG99" s="2106">
        <f t="shared" si="250"/>
        <v>13.894945099999999</v>
      </c>
      <c r="AH99" s="2106">
        <v>66.699646999999999</v>
      </c>
      <c r="AI99" s="2106">
        <f t="shared" si="251"/>
        <v>0.71138272440932115</v>
      </c>
      <c r="AJ99" s="2106">
        <v>4.7448976600000004</v>
      </c>
      <c r="AK99" s="2106">
        <f t="shared" si="252"/>
        <v>0.82199999994002959</v>
      </c>
      <c r="AL99" s="2106">
        <v>5.4827109829999996</v>
      </c>
      <c r="AM99" s="2106">
        <f t="shared" si="253"/>
        <v>0.44980184078035673</v>
      </c>
      <c r="AN99" s="2106">
        <v>3.0001623999999998</v>
      </c>
      <c r="AO99" s="2106">
        <v>0</v>
      </c>
      <c r="AP99" s="2106">
        <f t="shared" si="254"/>
        <v>1.9831845651297075</v>
      </c>
      <c r="AQ99" s="2106">
        <f t="shared" si="255"/>
        <v>13.227771043000001</v>
      </c>
      <c r="AR99" s="2106">
        <v>68.012918999999997</v>
      </c>
      <c r="AS99" s="2106">
        <f t="shared" si="256"/>
        <v>0.71481100818507737</v>
      </c>
      <c r="AT99" s="2106">
        <v>4.86163832</v>
      </c>
      <c r="AU99" s="2106">
        <f t="shared" si="257"/>
        <v>0.82199999973534443</v>
      </c>
      <c r="AV99" s="2106">
        <v>5.5906619399999995</v>
      </c>
      <c r="AW99" s="2106">
        <f t="shared" si="258"/>
        <v>7.8271894197042187E-4</v>
      </c>
      <c r="AX99" s="2106">
        <v>5.3235000000000001E-3</v>
      </c>
      <c r="AY99" s="2106"/>
      <c r="AZ99" s="2106">
        <f t="shared" si="259"/>
        <v>1.537593726862392</v>
      </c>
      <c r="BA99" s="2106">
        <f t="shared" si="260"/>
        <v>10.457623759999999</v>
      </c>
      <c r="BB99" s="2106">
        <v>60.276009999999999</v>
      </c>
      <c r="BC99" s="2106">
        <f t="shared" si="261"/>
        <v>0.79769155257622404</v>
      </c>
      <c r="BD99" s="2106">
        <v>4.8081664000000002</v>
      </c>
      <c r="BE99" s="2106">
        <f t="shared" si="262"/>
        <v>0.82199999966819304</v>
      </c>
      <c r="BF99" s="2106">
        <v>4.9546880199999999</v>
      </c>
      <c r="BG99" s="2106">
        <f t="shared" si="263"/>
        <v>8.8058250703721092E-4</v>
      </c>
      <c r="BH99" s="2106">
        <v>5.3077999999999997E-3</v>
      </c>
      <c r="BI99" s="2106"/>
      <c r="BJ99" s="2106">
        <f t="shared" si="264"/>
        <v>1.6205721347514543</v>
      </c>
      <c r="BK99" s="2106">
        <f t="shared" si="265"/>
        <v>9.7681622200000007</v>
      </c>
      <c r="BL99" s="2106">
        <v>44.762594</v>
      </c>
      <c r="BM99" s="2106">
        <f t="shared" si="266"/>
        <v>1.0247262381621585</v>
      </c>
      <c r="BN99" s="2106">
        <v>4.5869404560000007</v>
      </c>
      <c r="BO99" s="2106">
        <f t="shared" si="267"/>
        <v>0.82200000004468021</v>
      </c>
      <c r="BP99" s="2106">
        <v>3.6794852270000002</v>
      </c>
      <c r="BQ99" s="2106">
        <f t="shared" si="268"/>
        <v>1.0932287570286923</v>
      </c>
      <c r="BR99" s="2106">
        <v>4.8935754999999999</v>
      </c>
      <c r="BS99" s="2106"/>
      <c r="BT99" s="2106">
        <f t="shared" si="269"/>
        <v>2.9399549952355315</v>
      </c>
      <c r="BU99" s="2106">
        <f t="shared" si="270"/>
        <v>13.160001183000002</v>
      </c>
      <c r="BV99" s="2106">
        <v>41.922643000000001</v>
      </c>
      <c r="BW99" s="2106">
        <f t="shared" si="271"/>
        <v>1.1295765135800242</v>
      </c>
      <c r="BX99" s="2106">
        <v>4.7354832920000005</v>
      </c>
      <c r="BY99" s="2106">
        <f t="shared" si="272"/>
        <v>1.3094252323261202</v>
      </c>
      <c r="BZ99" s="2106">
        <v>5.4894566549999997</v>
      </c>
      <c r="CA99" s="2106">
        <f t="shared" si="273"/>
        <v>1.2140933003675365E-3</v>
      </c>
      <c r="CB99" s="2106">
        <v>5.0898000000000002E-3</v>
      </c>
      <c r="CC99" s="2106"/>
      <c r="CD99" s="2106">
        <f t="shared" si="274"/>
        <v>2.4402158392065116</v>
      </c>
      <c r="CE99" s="2106">
        <f t="shared" si="275"/>
        <v>10.230029747</v>
      </c>
      <c r="CF99" s="2106">
        <v>31.315169999999998</v>
      </c>
      <c r="CG99" s="2106">
        <f t="shared" si="276"/>
        <v>1.4006568500186973</v>
      </c>
      <c r="CH99" s="2106">
        <v>4.3861807370000001</v>
      </c>
      <c r="CI99" s="2106">
        <f t="shared" si="277"/>
        <v>1.3306740471151843</v>
      </c>
      <c r="CJ99" s="2106">
        <v>4.1670284000000004</v>
      </c>
      <c r="CK99" s="2106">
        <f t="shared" si="278"/>
        <v>1.6034720552371264E-3</v>
      </c>
      <c r="CL99" s="2106">
        <v>5.0213000000000002E-3</v>
      </c>
      <c r="CM99" s="2106"/>
      <c r="CN99" s="2106">
        <f t="shared" si="279"/>
        <v>2.7329343691891177</v>
      </c>
      <c r="CO99" s="2106">
        <f t="shared" si="280"/>
        <v>8.5582304369999989</v>
      </c>
      <c r="CP99" s="2106">
        <v>14.483571</v>
      </c>
      <c r="CQ99" s="2106">
        <f t="shared" si="281"/>
        <v>2.3612469466266295</v>
      </c>
      <c r="CR99" s="2106">
        <v>3.4199287799999998</v>
      </c>
      <c r="CS99" s="2106">
        <f t="shared" si="282"/>
        <v>1.3910694399882462</v>
      </c>
      <c r="CT99" s="2106">
        <v>2.0147653000000001</v>
      </c>
      <c r="CU99" s="2106">
        <f t="shared" si="283"/>
        <v>3.3940524750422389E-3</v>
      </c>
      <c r="CV99" s="2106">
        <v>4.9157999999999997E-3</v>
      </c>
      <c r="CW99" s="2106"/>
      <c r="CX99" s="2106">
        <f t="shared" si="284"/>
        <v>3.7557104390899179</v>
      </c>
      <c r="CY99" s="2106">
        <f t="shared" si="285"/>
        <v>5.4396098799999999</v>
      </c>
      <c r="CZ99" s="2106">
        <v>26.3030142</v>
      </c>
      <c r="DA99" s="2106">
        <f t="shared" si="189"/>
        <v>1.6759013155229943</v>
      </c>
      <c r="DB99" s="2106">
        <v>4.4081256099999999</v>
      </c>
      <c r="DC99" s="2106">
        <v>0.86734387483956432</v>
      </c>
      <c r="DD99" s="2109">
        <f t="shared" si="190"/>
        <v>2.2813758256188086</v>
      </c>
      <c r="DE99" s="2106"/>
      <c r="DF99" s="2106"/>
      <c r="DG99" s="2106"/>
      <c r="DH99" s="2106">
        <f t="shared" si="286"/>
        <v>2.5432451903625584</v>
      </c>
      <c r="DI99" s="2106">
        <f t="shared" si="287"/>
        <v>6.6895014356188085</v>
      </c>
      <c r="DJ99" s="2106">
        <v>39.260048400000009</v>
      </c>
      <c r="DK99" s="2106">
        <f t="shared" si="192"/>
        <v>1.1228018786650296</v>
      </c>
      <c r="DL99" s="2106">
        <v>4.4081256099999999</v>
      </c>
      <c r="DM99" s="2106">
        <v>0.86734387483956432</v>
      </c>
      <c r="DN99" s="2109">
        <f t="shared" si="193"/>
        <v>3.4051962505644844</v>
      </c>
      <c r="DO99" s="2106"/>
      <c r="DP99" s="2106"/>
      <c r="DQ99" s="2106"/>
      <c r="DR99" s="2106">
        <f t="shared" si="288"/>
        <v>1.9901457535045939</v>
      </c>
      <c r="DS99" s="2106">
        <f t="shared" si="289"/>
        <v>7.8133218605644839</v>
      </c>
      <c r="DT99" s="2106">
        <v>61.818345199999996</v>
      </c>
      <c r="DU99" s="2106">
        <f t="shared" si="195"/>
        <v>0.71307725817287004</v>
      </c>
      <c r="DV99" s="2106">
        <v>4.4081256099999999</v>
      </c>
      <c r="DW99" s="2106">
        <v>0.86734387483956432</v>
      </c>
      <c r="DX99" s="2109">
        <f t="shared" si="196"/>
        <v>5.3617763061937778</v>
      </c>
      <c r="DY99" s="2106"/>
      <c r="DZ99" s="2106"/>
      <c r="EA99" s="2106"/>
      <c r="EB99" s="2106">
        <f t="shared" si="290"/>
        <v>1.5804211330124343</v>
      </c>
      <c r="EC99" s="2106">
        <f t="shared" si="291"/>
        <v>9.7699019161937777</v>
      </c>
      <c r="ED99" s="2106">
        <f t="shared" si="292"/>
        <v>593.87209679999989</v>
      </c>
      <c r="EE99" s="2107"/>
      <c r="EF99" s="2106">
        <f t="shared" si="293"/>
        <v>0.91757174261297947</v>
      </c>
      <c r="EG99" s="2106">
        <f t="shared" si="294"/>
        <v>54.492025474999998</v>
      </c>
      <c r="EH99" s="2106">
        <f t="shared" si="295"/>
        <v>0.9068355946939497</v>
      </c>
      <c r="EI99" s="2106">
        <f t="shared" si="296"/>
        <v>53.85443560737707</v>
      </c>
      <c r="EJ99" s="2106"/>
      <c r="EK99" s="2106">
        <f t="shared" si="297"/>
        <v>11.083337299999998</v>
      </c>
      <c r="EL99" s="2106"/>
      <c r="EM99" s="2106"/>
      <c r="EN99" s="2106">
        <f t="shared" si="298"/>
        <v>119.42979838237706</v>
      </c>
      <c r="EO99" s="2104">
        <f t="shared" si="299"/>
        <v>2.0110356931384468</v>
      </c>
      <c r="EP99" s="2110"/>
      <c r="ES99" s="2084">
        <f t="shared" si="187"/>
        <v>0</v>
      </c>
      <c r="EU99" s="2084">
        <f t="shared" si="198"/>
        <v>42.806087224999999</v>
      </c>
      <c r="EV99" s="2084">
        <f t="shared" si="199"/>
        <v>466.49068899999997</v>
      </c>
      <c r="EW99" s="2084">
        <f t="shared" si="200"/>
        <v>0.91761932733881424</v>
      </c>
      <c r="FE99" s="2108"/>
      <c r="FF99" s="2108"/>
      <c r="FG99" s="2108"/>
      <c r="FH99" s="2108"/>
      <c r="FI99" s="2108"/>
      <c r="FJ99" s="2108"/>
      <c r="FK99" s="2108"/>
    </row>
    <row r="100" spans="1:167">
      <c r="A100" s="1760">
        <v>5</v>
      </c>
      <c r="B100" s="1761" t="s">
        <v>1727</v>
      </c>
      <c r="C100" s="2098">
        <v>300</v>
      </c>
      <c r="D100" s="2099">
        <v>0.20666666666666667</v>
      </c>
      <c r="E100" s="2100"/>
      <c r="F100" s="2099">
        <v>0.70663689912313021</v>
      </c>
      <c r="G100" s="2104">
        <v>62</v>
      </c>
      <c r="H100" s="2102" t="s">
        <v>1717</v>
      </c>
      <c r="I100" s="2103">
        <v>1</v>
      </c>
      <c r="J100" s="2104"/>
      <c r="K100" s="2101"/>
      <c r="L100" s="2101"/>
      <c r="M100" s="2105"/>
      <c r="N100" s="2106">
        <v>23.876715000000001</v>
      </c>
      <c r="O100" s="2106">
        <f t="shared" si="241"/>
        <v>1.6507997435995696</v>
      </c>
      <c r="P100" s="2106">
        <v>3.9415675000000001</v>
      </c>
      <c r="Q100" s="2106">
        <f t="shared" si="242"/>
        <v>1.0050000177997684</v>
      </c>
      <c r="R100" s="2106">
        <v>2.3996099000000002</v>
      </c>
      <c r="S100" s="2106">
        <f t="shared" si="243"/>
        <v>1.5124358606282313E-3</v>
      </c>
      <c r="T100" s="2106">
        <v>3.6112000000000002E-3</v>
      </c>
      <c r="U100" s="2106"/>
      <c r="V100" s="2106">
        <f t="shared" si="244"/>
        <v>2.6573121972599667</v>
      </c>
      <c r="W100" s="2106">
        <f t="shared" si="245"/>
        <v>6.3447886000000002</v>
      </c>
      <c r="X100" s="2106">
        <v>45.844023</v>
      </c>
      <c r="Y100" s="2106">
        <f t="shared" si="246"/>
        <v>0.90103992400492428</v>
      </c>
      <c r="Z100" s="2106">
        <v>4.1307295000000002</v>
      </c>
      <c r="AA100" s="2106">
        <f t="shared" si="247"/>
        <v>1.004999997491494</v>
      </c>
      <c r="AB100" s="2106">
        <v>4.6073243000000002</v>
      </c>
      <c r="AC100" s="2106">
        <f t="shared" si="248"/>
        <v>1.0705212323970782E-3</v>
      </c>
      <c r="AD100" s="2106">
        <v>4.9077000000000001E-3</v>
      </c>
      <c r="AE100" s="2106"/>
      <c r="AF100" s="2106">
        <f t="shared" si="249"/>
        <v>1.9071104427288155</v>
      </c>
      <c r="AG100" s="2106">
        <f t="shared" si="250"/>
        <v>8.7429614999999998</v>
      </c>
      <c r="AH100" s="2106">
        <v>60.407727000000001</v>
      </c>
      <c r="AI100" s="2106">
        <f t="shared" si="251"/>
        <v>0.66183481924423337</v>
      </c>
      <c r="AJ100" s="2106">
        <v>3.9979937079999996</v>
      </c>
      <c r="AK100" s="2106">
        <f t="shared" si="252"/>
        <v>1.005000000082771</v>
      </c>
      <c r="AL100" s="2106">
        <v>6.0709765640000004</v>
      </c>
      <c r="AM100" s="2106">
        <f t="shared" si="253"/>
        <v>8.0983017288500188E-4</v>
      </c>
      <c r="AN100" s="2106">
        <v>4.8919999999999996E-3</v>
      </c>
      <c r="AO100" s="2106">
        <v>0</v>
      </c>
      <c r="AP100" s="2106">
        <f t="shared" si="254"/>
        <v>1.6676446494998891</v>
      </c>
      <c r="AQ100" s="2106">
        <f t="shared" si="255"/>
        <v>10.073862272</v>
      </c>
      <c r="AR100" s="2106">
        <v>61.909627999999998</v>
      </c>
      <c r="AS100" s="2106">
        <f t="shared" si="256"/>
        <v>0.64941282477097095</v>
      </c>
      <c r="AT100" s="2106">
        <v>4.0204906400000002</v>
      </c>
      <c r="AU100" s="2106">
        <f t="shared" si="257"/>
        <v>1.0049999993538969</v>
      </c>
      <c r="AV100" s="2106">
        <v>6.2219176100000002</v>
      </c>
      <c r="AW100" s="2106">
        <f t="shared" si="258"/>
        <v>7.774396576894308E-4</v>
      </c>
      <c r="AX100" s="2106">
        <v>4.8130999999999998E-3</v>
      </c>
      <c r="AY100" s="2106"/>
      <c r="AZ100" s="2106">
        <f t="shared" si="259"/>
        <v>1.6551902637825575</v>
      </c>
      <c r="BA100" s="2106">
        <f t="shared" si="260"/>
        <v>10.24722135</v>
      </c>
      <c r="BB100" s="2106">
        <v>61.648228000000003</v>
      </c>
      <c r="BC100" s="2106">
        <f t="shared" si="261"/>
        <v>0.68059369849203122</v>
      </c>
      <c r="BD100" s="2106">
        <v>4.1957395499999999</v>
      </c>
      <c r="BE100" s="2106">
        <f t="shared" si="262"/>
        <v>1.0049999977290507</v>
      </c>
      <c r="BF100" s="2106">
        <v>6.1956468999999998</v>
      </c>
      <c r="BG100" s="2106">
        <f t="shared" si="263"/>
        <v>7.7843275560166947E-4</v>
      </c>
      <c r="BH100" s="2106">
        <v>4.7989E-3</v>
      </c>
      <c r="BI100" s="2106"/>
      <c r="BJ100" s="2106">
        <f t="shared" si="264"/>
        <v>1.6863721289766833</v>
      </c>
      <c r="BK100" s="2106">
        <f t="shared" si="265"/>
        <v>10.39618535</v>
      </c>
      <c r="BL100" s="2106">
        <v>48.587533000000001</v>
      </c>
      <c r="BM100" s="2106">
        <f t="shared" si="266"/>
        <v>0.83568620678888972</v>
      </c>
      <c r="BN100" s="2106">
        <v>4.0603931150000001</v>
      </c>
      <c r="BO100" s="2106">
        <f t="shared" si="267"/>
        <v>1.0050000001029071</v>
      </c>
      <c r="BP100" s="2106">
        <v>4.8830470670000006</v>
      </c>
      <c r="BQ100" s="2106">
        <f t="shared" si="268"/>
        <v>9.5967004540032925E-4</v>
      </c>
      <c r="BR100" s="2106">
        <v>4.6627999999999999E-3</v>
      </c>
      <c r="BS100" s="2106"/>
      <c r="BT100" s="2106">
        <f t="shared" si="269"/>
        <v>1.8416458769371971</v>
      </c>
      <c r="BU100" s="2106">
        <f t="shared" si="270"/>
        <v>8.948102982</v>
      </c>
      <c r="BV100" s="2106">
        <v>19.379564999999999</v>
      </c>
      <c r="BW100" s="2106">
        <f t="shared" si="271"/>
        <v>1.7344882679255185</v>
      </c>
      <c r="BX100" s="2106">
        <v>3.3613628130000004</v>
      </c>
      <c r="BY100" s="2106">
        <f t="shared" si="272"/>
        <v>1.0050000002580037</v>
      </c>
      <c r="BZ100" s="2106">
        <v>1.9476462829999999</v>
      </c>
      <c r="CA100" s="2106">
        <f t="shared" si="273"/>
        <v>1.9023130808147656E-3</v>
      </c>
      <c r="CB100" s="2106">
        <v>3.6865999999999999E-3</v>
      </c>
      <c r="CC100" s="2106"/>
      <c r="CD100" s="2106">
        <f t="shared" si="274"/>
        <v>2.7413905812643375</v>
      </c>
      <c r="CE100" s="2106">
        <f t="shared" si="275"/>
        <v>5.3126956960000005</v>
      </c>
      <c r="CF100" s="2106">
        <v>9.3337000000000003</v>
      </c>
      <c r="CG100" s="2106">
        <f t="shared" si="276"/>
        <v>3.0912265318148213</v>
      </c>
      <c r="CH100" s="2106">
        <v>2.8852581079999999</v>
      </c>
      <c r="CI100" s="2106">
        <f t="shared" si="277"/>
        <v>1.0050000000000001</v>
      </c>
      <c r="CJ100" s="2106">
        <v>0.93803685000000003</v>
      </c>
      <c r="CK100" s="2106">
        <f t="shared" si="278"/>
        <v>3.829992393155983E-3</v>
      </c>
      <c r="CL100" s="2106">
        <v>3.5747999999999999E-3</v>
      </c>
      <c r="CM100" s="2106"/>
      <c r="CN100" s="2106">
        <f t="shared" si="279"/>
        <v>4.1000565242079769</v>
      </c>
      <c r="CO100" s="2106">
        <f t="shared" si="280"/>
        <v>3.826869758</v>
      </c>
      <c r="CP100" s="2106">
        <v>7.0841570000000003</v>
      </c>
      <c r="CQ100" s="2106">
        <f t="shared" si="281"/>
        <v>4.3021787490028807</v>
      </c>
      <c r="CR100" s="2106">
        <v>3.0477309699999999</v>
      </c>
      <c r="CS100" s="2106">
        <f t="shared" si="282"/>
        <v>1.0050000021174008</v>
      </c>
      <c r="CT100" s="2106">
        <v>0.71195777999999998</v>
      </c>
      <c r="CU100" s="2106">
        <f t="shared" si="283"/>
        <v>4.9401784855982161E-3</v>
      </c>
      <c r="CV100" s="2106">
        <v>3.4997000000000001E-3</v>
      </c>
      <c r="CW100" s="2106"/>
      <c r="CX100" s="2106">
        <f t="shared" si="284"/>
        <v>5.3121189296058793</v>
      </c>
      <c r="CY100" s="2106">
        <f t="shared" si="285"/>
        <v>3.7631884499999999</v>
      </c>
      <c r="CZ100" s="2106">
        <v>9.0043684000000024</v>
      </c>
      <c r="DA100" s="2106">
        <f t="shared" si="189"/>
        <v>2.1264990585014263</v>
      </c>
      <c r="DB100" s="2106">
        <v>1.9147780925</v>
      </c>
      <c r="DC100" s="2106">
        <v>1.1994618814291944</v>
      </c>
      <c r="DD100" s="2109">
        <f t="shared" si="190"/>
        <v>1.0800396662145588</v>
      </c>
      <c r="DE100" s="2106"/>
      <c r="DF100" s="2106"/>
      <c r="DG100" s="2106"/>
      <c r="DH100" s="2106">
        <f t="shared" si="286"/>
        <v>3.3259609399306211</v>
      </c>
      <c r="DI100" s="2106">
        <f t="shared" si="287"/>
        <v>2.994817758714559</v>
      </c>
      <c r="DJ100" s="2106">
        <v>10.0864516</v>
      </c>
      <c r="DK100" s="2106">
        <f t="shared" si="192"/>
        <v>1.8983664111370939</v>
      </c>
      <c r="DL100" s="2106">
        <v>1.9147780925</v>
      </c>
      <c r="DM100" s="2106">
        <v>1.1994618814291944</v>
      </c>
      <c r="DN100" s="2109">
        <f t="shared" si="193"/>
        <v>1.2098314213080508</v>
      </c>
      <c r="DO100" s="2106"/>
      <c r="DP100" s="2106"/>
      <c r="DQ100" s="2106"/>
      <c r="DR100" s="2106">
        <f t="shared" si="288"/>
        <v>3.0978282925662883</v>
      </c>
      <c r="DS100" s="2106">
        <f t="shared" si="289"/>
        <v>3.1246095138080507</v>
      </c>
      <c r="DT100" s="2106">
        <v>13.723141599999998</v>
      </c>
      <c r="DU100" s="2106">
        <f t="shared" si="195"/>
        <v>1.3952913613454228</v>
      </c>
      <c r="DV100" s="2106">
        <v>1.9147780925</v>
      </c>
      <c r="DW100" s="2106">
        <v>1.1994618814291944</v>
      </c>
      <c r="DX100" s="2109">
        <f t="shared" si="196"/>
        <v>1.6460385242655242</v>
      </c>
      <c r="DY100" s="2106"/>
      <c r="DZ100" s="2106"/>
      <c r="EA100" s="2106"/>
      <c r="EB100" s="2106">
        <f t="shared" si="290"/>
        <v>2.5947532427746167</v>
      </c>
      <c r="EC100" s="2106">
        <f t="shared" si="291"/>
        <v>3.560816616765524</v>
      </c>
      <c r="ED100" s="2106">
        <f t="shared" si="292"/>
        <v>370.88523760000004</v>
      </c>
      <c r="EE100" s="2107"/>
      <c r="EF100" s="2106">
        <f t="shared" si="293"/>
        <v>1.0619349650140939</v>
      </c>
      <c r="EG100" s="2106">
        <f t="shared" si="294"/>
        <v>39.385600181499996</v>
      </c>
      <c r="EH100" s="2106">
        <f t="shared" si="295"/>
        <v>1.0222049578224608</v>
      </c>
      <c r="EI100" s="2106">
        <f t="shared" si="296"/>
        <v>37.912072865788133</v>
      </c>
      <c r="EJ100" s="2106"/>
      <c r="EK100" s="2106">
        <f t="shared" si="297"/>
        <v>3.8446800000000003E-2</v>
      </c>
      <c r="EL100" s="2106"/>
      <c r="EM100" s="2106"/>
      <c r="EN100" s="2106">
        <f t="shared" si="298"/>
        <v>77.336119847288131</v>
      </c>
      <c r="EO100" s="2104">
        <f t="shared" si="299"/>
        <v>2.0851765453845101</v>
      </c>
      <c r="EP100" s="2110"/>
      <c r="ES100" s="2084">
        <f t="shared" si="187"/>
        <v>0</v>
      </c>
      <c r="EU100" s="2084">
        <f t="shared" si="198"/>
        <v>33.976163253999999</v>
      </c>
      <c r="EV100" s="2084">
        <f t="shared" si="199"/>
        <v>338.07127600000007</v>
      </c>
      <c r="EW100" s="2084">
        <f t="shared" si="200"/>
        <v>1.0050000004732726</v>
      </c>
      <c r="FE100" s="2108"/>
      <c r="FF100" s="2108"/>
      <c r="FG100" s="2108"/>
      <c r="FH100" s="2108"/>
      <c r="FI100" s="2108"/>
      <c r="FJ100" s="2108"/>
      <c r="FK100" s="2108"/>
    </row>
    <row r="101" spans="1:167">
      <c r="A101" s="1760">
        <v>6</v>
      </c>
      <c r="B101" s="1761" t="s">
        <v>1728</v>
      </c>
      <c r="C101" s="2098">
        <v>280</v>
      </c>
      <c r="D101" s="2099">
        <v>0.2</v>
      </c>
      <c r="E101" s="2100"/>
      <c r="F101" s="2099">
        <v>0.5645193952177735</v>
      </c>
      <c r="G101" s="2104">
        <v>56</v>
      </c>
      <c r="H101" s="2102" t="s">
        <v>1717</v>
      </c>
      <c r="I101" s="2103">
        <v>1</v>
      </c>
      <c r="J101" s="2104"/>
      <c r="K101" s="2101"/>
      <c r="L101" s="2101"/>
      <c r="M101" s="2105"/>
      <c r="N101" s="2106">
        <v>8.5356799999999993</v>
      </c>
      <c r="O101" s="2106">
        <f t="shared" si="241"/>
        <v>4.6864241630426635</v>
      </c>
      <c r="P101" s="2106">
        <v>4.0001816999999997</v>
      </c>
      <c r="Q101" s="2106">
        <f t="shared" si="242"/>
        <v>1.2149999765689437</v>
      </c>
      <c r="R101" s="2106">
        <v>1.0370851000000001</v>
      </c>
      <c r="S101" s="2106">
        <f t="shared" si="243"/>
        <v>3.6753955162330361E-3</v>
      </c>
      <c r="T101" s="2106">
        <v>3.1372000000000001E-3</v>
      </c>
      <c r="U101" s="2106"/>
      <c r="V101" s="2106">
        <f t="shared" si="244"/>
        <v>5.9050995351278406</v>
      </c>
      <c r="W101" s="2106">
        <f t="shared" si="245"/>
        <v>5.0404039999999997</v>
      </c>
      <c r="X101" s="2106">
        <v>22.761935000000001</v>
      </c>
      <c r="Y101" s="2106">
        <f t="shared" si="246"/>
        <v>1.857188898922697</v>
      </c>
      <c r="Z101" s="2106">
        <v>4.2273212999999998</v>
      </c>
      <c r="AA101" s="2106">
        <f t="shared" si="247"/>
        <v>1.2149999989016751</v>
      </c>
      <c r="AB101" s="2106">
        <v>2.7655751</v>
      </c>
      <c r="AC101" s="2106">
        <f t="shared" si="248"/>
        <v>1.8703594400036731E-3</v>
      </c>
      <c r="AD101" s="2106">
        <v>4.2573000000000003E-3</v>
      </c>
      <c r="AE101" s="2106"/>
      <c r="AF101" s="2106">
        <f t="shared" si="249"/>
        <v>3.0740592572643752</v>
      </c>
      <c r="AG101" s="2106">
        <f t="shared" si="250"/>
        <v>6.9971536999999993</v>
      </c>
      <c r="AH101" s="2106">
        <v>39.062325999999999</v>
      </c>
      <c r="AI101" s="2106">
        <f t="shared" si="251"/>
        <v>0.94860498297003615</v>
      </c>
      <c r="AJ101" s="2106">
        <v>3.7054717090000002</v>
      </c>
      <c r="AK101" s="2106">
        <f t="shared" si="252"/>
        <v>1.2150000000000001</v>
      </c>
      <c r="AL101" s="2106">
        <v>4.7460726090000005</v>
      </c>
      <c r="AM101" s="2106">
        <f t="shared" si="253"/>
        <v>1.0864176393387327E-3</v>
      </c>
      <c r="AN101" s="2106">
        <v>4.2437999999999998E-3</v>
      </c>
      <c r="AO101" s="2106">
        <v>0</v>
      </c>
      <c r="AP101" s="2106">
        <f t="shared" si="254"/>
        <v>2.1646914006093749</v>
      </c>
      <c r="AQ101" s="2106">
        <f t="shared" si="255"/>
        <v>8.4557881179999992</v>
      </c>
      <c r="AR101" s="2106">
        <v>54.959862000000001</v>
      </c>
      <c r="AS101" s="2106">
        <f t="shared" si="256"/>
        <v>0.76332447122956737</v>
      </c>
      <c r="AT101" s="2106">
        <v>4.1952207599999998</v>
      </c>
      <c r="AU101" s="2106">
        <f t="shared" si="257"/>
        <v>1.2149999994541469</v>
      </c>
      <c r="AV101" s="2106">
        <v>6.67762323</v>
      </c>
      <c r="AW101" s="2106">
        <f t="shared" si="258"/>
        <v>7.5966347950437007E-4</v>
      </c>
      <c r="AX101" s="2106">
        <v>4.1751000000000002E-3</v>
      </c>
      <c r="AY101" s="2106"/>
      <c r="AZ101" s="2106">
        <f t="shared" si="259"/>
        <v>1.9790841341632186</v>
      </c>
      <c r="BA101" s="2106">
        <f t="shared" si="260"/>
        <v>10.877019089999999</v>
      </c>
      <c r="BB101" s="2106">
        <v>54.684956999999997</v>
      </c>
      <c r="BC101" s="2106">
        <f t="shared" si="261"/>
        <v>0.76283093721734119</v>
      </c>
      <c r="BD101" s="2106">
        <v>4.1715377</v>
      </c>
      <c r="BE101" s="2106">
        <f t="shared" si="262"/>
        <v>1.2150000008228954</v>
      </c>
      <c r="BF101" s="2106">
        <v>6.6442222799999993</v>
      </c>
      <c r="BG101" s="2106">
        <f t="shared" si="263"/>
        <v>7.6121482549579408E-4</v>
      </c>
      <c r="BH101" s="2106">
        <v>4.1627000000000001E-3</v>
      </c>
      <c r="BI101" s="2106"/>
      <c r="BJ101" s="2106">
        <f t="shared" si="264"/>
        <v>1.9785921528657324</v>
      </c>
      <c r="BK101" s="2106">
        <f t="shared" si="265"/>
        <v>10.819922679999999</v>
      </c>
      <c r="BL101" s="2106">
        <v>49.624884999999999</v>
      </c>
      <c r="BM101" s="2106">
        <f t="shared" si="266"/>
        <v>0.8234599642900936</v>
      </c>
      <c r="BN101" s="2106">
        <v>4.086410603</v>
      </c>
      <c r="BO101" s="2106">
        <f t="shared" si="267"/>
        <v>1.2150000001007559</v>
      </c>
      <c r="BP101" s="2106">
        <v>6.0294235279999997</v>
      </c>
      <c r="BQ101" s="2106">
        <f t="shared" si="268"/>
        <v>8.1505478551738709E-4</v>
      </c>
      <c r="BR101" s="2106">
        <v>4.0447E-3</v>
      </c>
      <c r="BS101" s="2106"/>
      <c r="BT101" s="2106">
        <f t="shared" si="269"/>
        <v>2.0392750191763667</v>
      </c>
      <c r="BU101" s="2106">
        <f t="shared" si="270"/>
        <v>10.119878830999999</v>
      </c>
      <c r="BV101" s="2106">
        <v>27.011559999999999</v>
      </c>
      <c r="BW101" s="2106">
        <f t="shared" si="271"/>
        <v>1.2396396006006318</v>
      </c>
      <c r="BX101" s="2106">
        <v>3.3484599450000001</v>
      </c>
      <c r="BY101" s="2106">
        <f t="shared" si="272"/>
        <v>1.2149999999999999</v>
      </c>
      <c r="BZ101" s="2106">
        <v>3.2819045399999998</v>
      </c>
      <c r="CA101" s="2106">
        <f t="shared" si="273"/>
        <v>1.2142949166949262E-3</v>
      </c>
      <c r="CB101" s="2106">
        <v>3.2799999999999999E-3</v>
      </c>
      <c r="CC101" s="2106"/>
      <c r="CD101" s="2106">
        <f t="shared" si="274"/>
        <v>2.4558538955173264</v>
      </c>
      <c r="CE101" s="2106">
        <f t="shared" si="275"/>
        <v>6.6336444849999996</v>
      </c>
      <c r="CF101" s="2106">
        <v>15.103584</v>
      </c>
      <c r="CG101" s="2106">
        <f t="shared" si="276"/>
        <v>2.1519432679025057</v>
      </c>
      <c r="CH101" s="2106">
        <v>3.2502055909999998</v>
      </c>
      <c r="CI101" s="2106">
        <f t="shared" si="277"/>
        <v>1.2149988744393383</v>
      </c>
      <c r="CJ101" s="2106">
        <v>1.835083756</v>
      </c>
      <c r="CK101" s="2106">
        <f t="shared" si="278"/>
        <v>2.0679197732140927E-3</v>
      </c>
      <c r="CL101" s="2106">
        <v>3.1232999999999999E-3</v>
      </c>
      <c r="CM101" s="2106"/>
      <c r="CN101" s="2106">
        <f t="shared" si="279"/>
        <v>3.3690100621150587</v>
      </c>
      <c r="CO101" s="2106">
        <f t="shared" si="280"/>
        <v>5.0884126470000002</v>
      </c>
      <c r="CP101" s="2106">
        <v>9.3271280000000001</v>
      </c>
      <c r="CQ101" s="2106">
        <f t="shared" si="281"/>
        <v>3.6570773125446547</v>
      </c>
      <c r="CR101" s="2106">
        <v>3.4110028200000002</v>
      </c>
      <c r="CS101" s="2106">
        <f t="shared" si="282"/>
        <v>1.2149999978557171</v>
      </c>
      <c r="CT101" s="2106">
        <v>1.1332460499999999</v>
      </c>
      <c r="CU101" s="2106">
        <f t="shared" si="283"/>
        <v>0.16148497157967598</v>
      </c>
      <c r="CV101" s="2106">
        <v>0.15061910000000001</v>
      </c>
      <c r="CW101" s="2106"/>
      <c r="CX101" s="2106">
        <f t="shared" si="284"/>
        <v>5.0335622819800481</v>
      </c>
      <c r="CY101" s="2106">
        <f t="shared" si="285"/>
        <v>4.6948679700000007</v>
      </c>
      <c r="CZ101" s="2106">
        <v>6.5675246000000005</v>
      </c>
      <c r="DA101" s="2106">
        <f t="shared" si="189"/>
        <v>4.897550347584537</v>
      </c>
      <c r="DB101" s="2106">
        <v>3.2164782387500002</v>
      </c>
      <c r="DC101" s="2106">
        <v>1.3357584266939795</v>
      </c>
      <c r="DD101" s="2109">
        <f t="shared" si="190"/>
        <v>0.87726263269700078</v>
      </c>
      <c r="DE101" s="2106"/>
      <c r="DF101" s="2106"/>
      <c r="DG101" s="2106"/>
      <c r="DH101" s="2106">
        <f t="shared" si="286"/>
        <v>6.2333087742785178</v>
      </c>
      <c r="DI101" s="2106">
        <f t="shared" si="287"/>
        <v>4.0937408714470012</v>
      </c>
      <c r="DJ101" s="2106">
        <v>5.0395823999999996</v>
      </c>
      <c r="DK101" s="2106">
        <f t="shared" si="192"/>
        <v>6.382430097283458</v>
      </c>
      <c r="DL101" s="2106">
        <v>3.2164782387500002</v>
      </c>
      <c r="DM101" s="2106">
        <v>1.3357584266939795</v>
      </c>
      <c r="DN101" s="2109">
        <f t="shared" si="193"/>
        <v>0.67316646578186679</v>
      </c>
      <c r="DO101" s="2106"/>
      <c r="DP101" s="2106"/>
      <c r="DQ101" s="2106"/>
      <c r="DR101" s="2106">
        <f t="shared" si="288"/>
        <v>7.7181885239774388</v>
      </c>
      <c r="DS101" s="2106">
        <f t="shared" si="289"/>
        <v>3.8896447045318672</v>
      </c>
      <c r="DT101" s="2106">
        <v>7.0190066000000009</v>
      </c>
      <c r="DU101" s="2106">
        <f t="shared" si="195"/>
        <v>4.5825263061442341</v>
      </c>
      <c r="DV101" s="2106">
        <v>3.2164782387500002</v>
      </c>
      <c r="DW101" s="2106">
        <v>1.3357584266939795</v>
      </c>
      <c r="DX101" s="2109">
        <f t="shared" si="196"/>
        <v>0.93756972129706584</v>
      </c>
      <c r="DY101" s="2106"/>
      <c r="DZ101" s="2106"/>
      <c r="EA101" s="2106"/>
      <c r="EB101" s="2106">
        <f t="shared" si="290"/>
        <v>5.918284732838214</v>
      </c>
      <c r="EC101" s="2106">
        <f t="shared" si="291"/>
        <v>4.1540479600470661</v>
      </c>
      <c r="ED101" s="2106">
        <f t="shared" si="292"/>
        <v>299.69803059999998</v>
      </c>
      <c r="EE101" s="2107"/>
      <c r="EF101" s="2106">
        <f t="shared" si="293"/>
        <v>1.4696541967950458</v>
      </c>
      <c r="EG101" s="2106">
        <f t="shared" si="294"/>
        <v>44.045246844250002</v>
      </c>
      <c r="EH101" s="2106">
        <f t="shared" si="295"/>
        <v>1.2225050307946848</v>
      </c>
      <c r="EI101" s="2106">
        <f t="shared" si="296"/>
        <v>36.638235012775937</v>
      </c>
      <c r="EJ101" s="2106"/>
      <c r="EK101" s="2106">
        <f t="shared" si="297"/>
        <v>0.18104320000000002</v>
      </c>
      <c r="EL101" s="2106"/>
      <c r="EM101" s="2106"/>
      <c r="EN101" s="2106">
        <f t="shared" si="298"/>
        <v>80.864525057025944</v>
      </c>
      <c r="EO101" s="2104">
        <f t="shared" si="299"/>
        <v>2.6982000814330993</v>
      </c>
      <c r="EP101" s="2110"/>
      <c r="ES101" s="2084">
        <f t="shared" si="187"/>
        <v>0</v>
      </c>
      <c r="EU101" s="2084">
        <f t="shared" si="198"/>
        <v>34.150236192999998</v>
      </c>
      <c r="EV101" s="2084">
        <f t="shared" si="199"/>
        <v>281.07191699999998</v>
      </c>
      <c r="EW101" s="2084">
        <f t="shared" si="200"/>
        <v>1.214999938716752</v>
      </c>
      <c r="FE101" s="2108"/>
      <c r="FF101" s="2108"/>
      <c r="FG101" s="2108"/>
      <c r="FH101" s="2108"/>
      <c r="FI101" s="2108"/>
      <c r="FJ101" s="2108"/>
      <c r="FK101" s="2108"/>
    </row>
    <row r="102" spans="1:167">
      <c r="A102" s="1760">
        <v>7</v>
      </c>
      <c r="B102" s="1761" t="s">
        <v>1729</v>
      </c>
      <c r="C102" s="2098">
        <v>390</v>
      </c>
      <c r="D102" s="2099">
        <v>0.21794871794871795</v>
      </c>
      <c r="E102" s="2100"/>
      <c r="F102" s="2099">
        <v>0.80713133995834907</v>
      </c>
      <c r="G102" s="2104">
        <v>85</v>
      </c>
      <c r="H102" s="2102" t="s">
        <v>1717</v>
      </c>
      <c r="I102" s="2103">
        <v>1</v>
      </c>
      <c r="J102" s="2104"/>
      <c r="K102" s="2101"/>
      <c r="L102" s="2101"/>
      <c r="M102" s="2105"/>
      <c r="N102" s="2106">
        <v>32.278872999999997</v>
      </c>
      <c r="O102" s="2106">
        <f t="shared" si="241"/>
        <v>4.4335943513269509</v>
      </c>
      <c r="P102" s="2106">
        <v>14.3111429</v>
      </c>
      <c r="Q102" s="2106">
        <f t="shared" si="242"/>
        <v>2.7490000038105422</v>
      </c>
      <c r="R102" s="2106">
        <v>8.8734622000000005</v>
      </c>
      <c r="S102" s="2106">
        <f t="shared" si="243"/>
        <v>1.4456514637298523E-3</v>
      </c>
      <c r="T102" s="2106">
        <v>4.6664000000000002E-3</v>
      </c>
      <c r="U102" s="2106"/>
      <c r="V102" s="2106">
        <f t="shared" si="244"/>
        <v>7.1840400066012222</v>
      </c>
      <c r="W102" s="2106">
        <f t="shared" si="245"/>
        <v>23.1892715</v>
      </c>
      <c r="X102" s="2106">
        <v>76.75506</v>
      </c>
      <c r="Y102" s="2106">
        <f t="shared" si="246"/>
        <v>1.9571199214748838</v>
      </c>
      <c r="Z102" s="2106">
        <v>15.0218857</v>
      </c>
      <c r="AA102" s="2106">
        <f t="shared" si="247"/>
        <v>2.7490000007817073</v>
      </c>
      <c r="AB102" s="2106">
        <v>21.099965999999998</v>
      </c>
      <c r="AC102" s="2106">
        <f t="shared" si="248"/>
        <v>0.14518000507067547</v>
      </c>
      <c r="AD102" s="2106">
        <v>1.11433</v>
      </c>
      <c r="AE102" s="2106"/>
      <c r="AF102" s="2106">
        <f t="shared" si="249"/>
        <v>4.8512999273272674</v>
      </c>
      <c r="AG102" s="2106">
        <f t="shared" si="250"/>
        <v>37.236181700000003</v>
      </c>
      <c r="AH102" s="2106">
        <v>81.297349999999994</v>
      </c>
      <c r="AI102" s="2106">
        <f t="shared" si="251"/>
        <v>1.7868576282006732</v>
      </c>
      <c r="AJ102" s="2106">
        <v>14.526679</v>
      </c>
      <c r="AK102" s="2106">
        <f t="shared" si="252"/>
        <v>2.7490000006150259</v>
      </c>
      <c r="AL102" s="2106">
        <v>22.348641519999997</v>
      </c>
      <c r="AM102" s="2106">
        <f t="shared" si="253"/>
        <v>0.50091395352985058</v>
      </c>
      <c r="AN102" s="2106">
        <v>4.0722977</v>
      </c>
      <c r="AO102" s="2106">
        <v>0</v>
      </c>
      <c r="AP102" s="2106">
        <f t="shared" si="254"/>
        <v>5.0367715823455494</v>
      </c>
      <c r="AQ102" s="2106">
        <f t="shared" si="255"/>
        <v>40.947618219999995</v>
      </c>
      <c r="AR102" s="2106">
        <v>79.555451000000005</v>
      </c>
      <c r="AS102" s="2106">
        <f t="shared" si="256"/>
        <v>1.8316403988458312</v>
      </c>
      <c r="AT102" s="2106">
        <v>14.571697800000001</v>
      </c>
      <c r="AU102" s="2106">
        <f t="shared" si="257"/>
        <v>2.7490000000125696</v>
      </c>
      <c r="AV102" s="2106">
        <v>21.869793480000002</v>
      </c>
      <c r="AW102" s="2106">
        <f t="shared" si="258"/>
        <v>7.8003454471020476E-4</v>
      </c>
      <c r="AX102" s="2106">
        <v>6.2056000000000004E-3</v>
      </c>
      <c r="AY102" s="2106"/>
      <c r="AZ102" s="2106">
        <f t="shared" si="259"/>
        <v>4.5814204334031121</v>
      </c>
      <c r="BA102" s="2106">
        <f t="shared" si="260"/>
        <v>36.447696880000002</v>
      </c>
      <c r="BB102" s="2106">
        <v>76.462928000000005</v>
      </c>
      <c r="BC102" s="2106">
        <f t="shared" si="261"/>
        <v>1.8260948194398203</v>
      </c>
      <c r="BD102" s="2106">
        <v>13.962855669999998</v>
      </c>
      <c r="BE102" s="2106">
        <f t="shared" si="262"/>
        <v>2.7489999990583671</v>
      </c>
      <c r="BF102" s="2106">
        <v>21.0196589</v>
      </c>
      <c r="BG102" s="2106">
        <f t="shared" si="263"/>
        <v>8.0917644168687858E-4</v>
      </c>
      <c r="BH102" s="2106">
        <v>6.1872000000000003E-3</v>
      </c>
      <c r="BI102" s="2106"/>
      <c r="BJ102" s="2106">
        <f t="shared" si="264"/>
        <v>4.5759039949398748</v>
      </c>
      <c r="BK102" s="2106">
        <f t="shared" si="265"/>
        <v>34.988701769999999</v>
      </c>
      <c r="BL102" s="2106">
        <v>79.840851999999998</v>
      </c>
      <c r="BM102" s="2106">
        <f t="shared" si="266"/>
        <v>1.7827585594903224</v>
      </c>
      <c r="BN102" s="2106">
        <v>14.233696230000001</v>
      </c>
      <c r="BO102" s="2106">
        <f t="shared" si="267"/>
        <v>2.7489999993988041</v>
      </c>
      <c r="BP102" s="2106">
        <v>21.948250209999998</v>
      </c>
      <c r="BQ102" s="2106">
        <f t="shared" si="268"/>
        <v>0.97371382008799201</v>
      </c>
      <c r="BR102" s="2106">
        <v>7.7742141</v>
      </c>
      <c r="BS102" s="2106"/>
      <c r="BT102" s="2106">
        <f t="shared" si="269"/>
        <v>5.5054723789771174</v>
      </c>
      <c r="BU102" s="2106">
        <f t="shared" si="270"/>
        <v>43.956160539999999</v>
      </c>
      <c r="BV102" s="2106">
        <v>55.070374000000001</v>
      </c>
      <c r="BW102" s="2106">
        <f t="shared" si="271"/>
        <v>2.241906770053895</v>
      </c>
      <c r="BX102" s="2106">
        <v>12.34626443</v>
      </c>
      <c r="BY102" s="2106">
        <f t="shared" si="272"/>
        <v>3.2487604151735017</v>
      </c>
      <c r="BZ102" s="2106">
        <v>17.89104511</v>
      </c>
      <c r="CA102" s="2106">
        <f t="shared" si="273"/>
        <v>8.9737905175657604E-4</v>
      </c>
      <c r="CB102" s="2106">
        <v>4.9418999999999999E-3</v>
      </c>
      <c r="CC102" s="2106"/>
      <c r="CD102" s="2106">
        <f t="shared" si="274"/>
        <v>5.4915645642791517</v>
      </c>
      <c r="CE102" s="2106">
        <f t="shared" si="275"/>
        <v>30.242251439999997</v>
      </c>
      <c r="CF102" s="2106">
        <v>25.048092</v>
      </c>
      <c r="CG102" s="2106">
        <f t="shared" si="276"/>
        <v>4.7026214379921631</v>
      </c>
      <c r="CH102" s="2106">
        <v>11.779169442000001</v>
      </c>
      <c r="CI102" s="2106">
        <f t="shared" si="277"/>
        <v>3.272787324479645</v>
      </c>
      <c r="CJ102" s="2106">
        <v>8.1977077999999999</v>
      </c>
      <c r="CK102" s="2106">
        <f t="shared" si="278"/>
        <v>0.80594474022212936</v>
      </c>
      <c r="CL102" s="2106">
        <v>2.0187377999999998</v>
      </c>
      <c r="CM102" s="2106"/>
      <c r="CN102" s="2106">
        <f t="shared" si="279"/>
        <v>8.7813535026939391</v>
      </c>
      <c r="CO102" s="2106">
        <f t="shared" si="280"/>
        <v>21.995615042000001</v>
      </c>
      <c r="CP102" s="2106">
        <v>16.119364999999998</v>
      </c>
      <c r="CQ102" s="2106">
        <f t="shared" si="281"/>
        <v>7.3461723337116585</v>
      </c>
      <c r="CR102" s="2106">
        <v>11.841563320000001</v>
      </c>
      <c r="CS102" s="2106">
        <f t="shared" si="282"/>
        <v>3.2712296048882821</v>
      </c>
      <c r="CT102" s="2106">
        <v>5.2730144000000001</v>
      </c>
      <c r="CU102" s="2106">
        <f t="shared" si="283"/>
        <v>1.2523052862194013</v>
      </c>
      <c r="CV102" s="2106">
        <v>2.0186365999999998</v>
      </c>
      <c r="CW102" s="2106"/>
      <c r="CX102" s="2106">
        <f t="shared" si="284"/>
        <v>11.869707224819342</v>
      </c>
      <c r="CY102" s="2106">
        <f t="shared" si="285"/>
        <v>19.13321432</v>
      </c>
      <c r="CZ102" s="2106">
        <v>20.868881800000004</v>
      </c>
      <c r="DA102" s="2106">
        <f t="shared" si="189"/>
        <v>5.9349762693083044</v>
      </c>
      <c r="DB102" s="2106">
        <v>12.385631824999999</v>
      </c>
      <c r="DC102" s="2106">
        <v>2.6804661612640794</v>
      </c>
      <c r="DD102" s="2109">
        <f t="shared" si="190"/>
        <v>5.5938331488319823</v>
      </c>
      <c r="DE102" s="2106"/>
      <c r="DF102" s="2106"/>
      <c r="DG102" s="2106"/>
      <c r="DH102" s="2106">
        <f t="shared" si="286"/>
        <v>8.6154424305723829</v>
      </c>
      <c r="DI102" s="2106">
        <f t="shared" si="287"/>
        <v>17.979464973831981</v>
      </c>
      <c r="DJ102" s="2106">
        <v>18.797905199999999</v>
      </c>
      <c r="DK102" s="2106">
        <f t="shared" si="192"/>
        <v>6.5888361991526594</v>
      </c>
      <c r="DL102" s="2106">
        <v>12.385631824999999</v>
      </c>
      <c r="DM102" s="2106">
        <v>2.6804661612640794</v>
      </c>
      <c r="DN102" s="2109">
        <f t="shared" si="193"/>
        <v>5.038714879125008</v>
      </c>
      <c r="DO102" s="2106"/>
      <c r="DP102" s="2106"/>
      <c r="DQ102" s="2106"/>
      <c r="DR102" s="2106">
        <f t="shared" si="288"/>
        <v>9.2693023604167379</v>
      </c>
      <c r="DS102" s="2106">
        <f t="shared" si="289"/>
        <v>17.424346704125007</v>
      </c>
      <c r="DT102" s="2106">
        <v>22.841159000000001</v>
      </c>
      <c r="DU102" s="2106">
        <f t="shared" si="195"/>
        <v>5.4225058478862644</v>
      </c>
      <c r="DV102" s="2106">
        <v>12.385631824999999</v>
      </c>
      <c r="DW102" s="2106">
        <v>2.6804661612640794</v>
      </c>
      <c r="DX102" s="2109">
        <f t="shared" si="196"/>
        <v>6.1224953783552483</v>
      </c>
      <c r="DY102" s="2106"/>
      <c r="DZ102" s="2106"/>
      <c r="EA102" s="2106"/>
      <c r="EB102" s="2106">
        <f t="shared" si="290"/>
        <v>8.1029720091503439</v>
      </c>
      <c r="EC102" s="2106">
        <f t="shared" si="291"/>
        <v>18.508127203355247</v>
      </c>
      <c r="ED102" s="2106">
        <f t="shared" si="292"/>
        <v>584.93629099999987</v>
      </c>
      <c r="EE102" s="2107"/>
      <c r="EF102" s="2106">
        <f t="shared" si="293"/>
        <v>2.7310982824110672</v>
      </c>
      <c r="EG102" s="2106">
        <f t="shared" si="294"/>
        <v>159.751849967</v>
      </c>
      <c r="EH102" s="2106">
        <f t="shared" si="295"/>
        <v>2.8255484497936925</v>
      </c>
      <c r="EI102" s="2106">
        <f t="shared" si="296"/>
        <v>165.27658302631218</v>
      </c>
      <c r="EJ102" s="2106"/>
      <c r="EK102" s="2106">
        <f t="shared" si="297"/>
        <v>17.020217300000002</v>
      </c>
      <c r="EL102" s="2106"/>
      <c r="EM102" s="2106"/>
      <c r="EN102" s="2106">
        <f t="shared" si="298"/>
        <v>342.04865029331222</v>
      </c>
      <c r="EO102" s="2104">
        <f t="shared" si="299"/>
        <v>5.8476223061583354</v>
      </c>
      <c r="EP102" s="2110"/>
      <c r="ES102" s="2084">
        <f t="shared" si="187"/>
        <v>0</v>
      </c>
      <c r="EU102" s="2084">
        <f t="shared" si="198"/>
        <v>148.52153961999997</v>
      </c>
      <c r="EV102" s="2084">
        <f t="shared" si="199"/>
        <v>522.42834499999992</v>
      </c>
      <c r="EW102" s="2084">
        <f t="shared" si="200"/>
        <v>2.8429073774701101</v>
      </c>
      <c r="FE102" s="2108"/>
      <c r="FF102" s="2108"/>
      <c r="FG102" s="2108"/>
      <c r="FH102" s="2108"/>
      <c r="FI102" s="2108"/>
      <c r="FJ102" s="2108"/>
      <c r="FK102" s="2108"/>
    </row>
    <row r="103" spans="1:167">
      <c r="A103" s="1760">
        <v>8</v>
      </c>
      <c r="B103" s="1761" t="s">
        <v>1730</v>
      </c>
      <c r="C103" s="2098">
        <v>120</v>
      </c>
      <c r="D103" s="2099">
        <v>0.22500000000000001</v>
      </c>
      <c r="E103" s="2100"/>
      <c r="F103" s="2099">
        <v>0.62189770981950032</v>
      </c>
      <c r="G103" s="2104">
        <v>27</v>
      </c>
      <c r="H103" s="2102" t="s">
        <v>1717</v>
      </c>
      <c r="I103" s="2103">
        <v>1</v>
      </c>
      <c r="J103" s="2104"/>
      <c r="K103" s="2101"/>
      <c r="L103" s="2101"/>
      <c r="M103" s="2105"/>
      <c r="N103" s="2106">
        <v>0</v>
      </c>
      <c r="O103" s="2106">
        <f t="shared" si="241"/>
        <v>0</v>
      </c>
      <c r="P103" s="2106">
        <v>0</v>
      </c>
      <c r="Q103" s="2106">
        <f t="shared" si="242"/>
        <v>0</v>
      </c>
      <c r="R103" s="2106">
        <v>0</v>
      </c>
      <c r="S103" s="2106">
        <f t="shared" si="243"/>
        <v>0</v>
      </c>
      <c r="T103" s="2106">
        <v>1.4706000000000001E-3</v>
      </c>
      <c r="U103" s="2106"/>
      <c r="V103" s="2106">
        <f t="shared" si="244"/>
        <v>0</v>
      </c>
      <c r="W103" s="2106">
        <f t="shared" si="245"/>
        <v>1.4706000000000001E-3</v>
      </c>
      <c r="X103" s="2106">
        <v>0</v>
      </c>
      <c r="Y103" s="2106">
        <f t="shared" si="246"/>
        <v>0</v>
      </c>
      <c r="Z103" s="2106">
        <v>0</v>
      </c>
      <c r="AA103" s="2106">
        <f t="shared" si="247"/>
        <v>0</v>
      </c>
      <c r="AB103" s="2106">
        <v>0</v>
      </c>
      <c r="AC103" s="2106">
        <f t="shared" si="248"/>
        <v>0</v>
      </c>
      <c r="AD103" s="2106">
        <v>1.9935E-3</v>
      </c>
      <c r="AE103" s="2106"/>
      <c r="AF103" s="2106">
        <f t="shared" si="249"/>
        <v>0</v>
      </c>
      <c r="AG103" s="2106">
        <f t="shared" si="250"/>
        <v>1.9935E-3</v>
      </c>
      <c r="AH103" s="2106">
        <v>0</v>
      </c>
      <c r="AI103" s="2106">
        <f t="shared" si="251"/>
        <v>0</v>
      </c>
      <c r="AJ103" s="2106">
        <v>0</v>
      </c>
      <c r="AK103" s="2106">
        <f t="shared" si="252"/>
        <v>0</v>
      </c>
      <c r="AL103" s="2106">
        <v>0</v>
      </c>
      <c r="AM103" s="2106">
        <f t="shared" si="253"/>
        <v>0</v>
      </c>
      <c r="AN103" s="2106">
        <v>1.9872000000000002E-3</v>
      </c>
      <c r="AO103" s="2106">
        <v>0</v>
      </c>
      <c r="AP103" s="2106">
        <f t="shared" si="254"/>
        <v>0</v>
      </c>
      <c r="AQ103" s="2106">
        <f t="shared" si="255"/>
        <v>1.9872000000000002E-3</v>
      </c>
      <c r="AR103" s="2106">
        <v>0</v>
      </c>
      <c r="AS103" s="2106">
        <f t="shared" si="256"/>
        <v>0</v>
      </c>
      <c r="AT103" s="2106">
        <v>0</v>
      </c>
      <c r="AU103" s="2106">
        <f t="shared" si="257"/>
        <v>0</v>
      </c>
      <c r="AV103" s="2106">
        <v>0</v>
      </c>
      <c r="AW103" s="2106">
        <f t="shared" si="258"/>
        <v>0</v>
      </c>
      <c r="AX103" s="2106">
        <v>1.9551999999999998E-3</v>
      </c>
      <c r="AY103" s="2106"/>
      <c r="AZ103" s="2106">
        <f t="shared" si="259"/>
        <v>0</v>
      </c>
      <c r="BA103" s="2106">
        <f t="shared" si="260"/>
        <v>1.9551999999999998E-3</v>
      </c>
      <c r="BB103" s="2106">
        <v>0</v>
      </c>
      <c r="BC103" s="2106">
        <f t="shared" si="261"/>
        <v>0</v>
      </c>
      <c r="BD103" s="2106">
        <v>0</v>
      </c>
      <c r="BE103" s="2106">
        <f t="shared" si="262"/>
        <v>0</v>
      </c>
      <c r="BF103" s="2106">
        <v>0</v>
      </c>
      <c r="BG103" s="2106">
        <f t="shared" si="263"/>
        <v>0</v>
      </c>
      <c r="BH103" s="2106">
        <v>1.9494E-3</v>
      </c>
      <c r="BI103" s="2106"/>
      <c r="BJ103" s="2106">
        <f t="shared" si="264"/>
        <v>0</v>
      </c>
      <c r="BK103" s="2106">
        <f t="shared" si="265"/>
        <v>1.9494E-3</v>
      </c>
      <c r="BL103" s="2106">
        <v>0</v>
      </c>
      <c r="BM103" s="2106">
        <f t="shared" si="266"/>
        <v>0</v>
      </c>
      <c r="BN103" s="2106">
        <v>0</v>
      </c>
      <c r="BO103" s="2106">
        <f t="shared" si="267"/>
        <v>0</v>
      </c>
      <c r="BP103" s="2106">
        <v>0</v>
      </c>
      <c r="BQ103" s="2106">
        <f t="shared" si="268"/>
        <v>0</v>
      </c>
      <c r="BR103" s="2106">
        <v>1.8940999999999999E-3</v>
      </c>
      <c r="BS103" s="2106"/>
      <c r="BT103" s="2106">
        <f t="shared" si="269"/>
        <v>0</v>
      </c>
      <c r="BU103" s="2106">
        <f t="shared" si="270"/>
        <v>1.8940999999999999E-3</v>
      </c>
      <c r="BV103" s="2106">
        <v>0</v>
      </c>
      <c r="BW103" s="2106">
        <f t="shared" si="271"/>
        <v>0</v>
      </c>
      <c r="BX103" s="2106">
        <v>0</v>
      </c>
      <c r="BY103" s="2106">
        <f t="shared" si="272"/>
        <v>0</v>
      </c>
      <c r="BZ103" s="2106">
        <v>0</v>
      </c>
      <c r="CA103" s="2106">
        <f t="shared" si="273"/>
        <v>0</v>
      </c>
      <c r="CB103" s="2106">
        <v>1.5632E-3</v>
      </c>
      <c r="CC103" s="2106"/>
      <c r="CD103" s="2106">
        <f t="shared" si="274"/>
        <v>0</v>
      </c>
      <c r="CE103" s="2106">
        <f t="shared" si="275"/>
        <v>1.5632E-3</v>
      </c>
      <c r="CF103" s="2106">
        <v>0</v>
      </c>
      <c r="CG103" s="2106">
        <f t="shared" si="276"/>
        <v>0</v>
      </c>
      <c r="CH103" s="2106">
        <v>0</v>
      </c>
      <c r="CI103" s="2106">
        <f t="shared" si="277"/>
        <v>0</v>
      </c>
      <c r="CJ103" s="2106">
        <v>0</v>
      </c>
      <c r="CK103" s="2106">
        <f t="shared" si="278"/>
        <v>0</v>
      </c>
      <c r="CL103" s="2106">
        <v>1.5213E-3</v>
      </c>
      <c r="CM103" s="2106"/>
      <c r="CN103" s="2106">
        <f t="shared" si="279"/>
        <v>0</v>
      </c>
      <c r="CO103" s="2106">
        <f t="shared" si="280"/>
        <v>1.5213E-3</v>
      </c>
      <c r="CP103" s="2106">
        <v>0</v>
      </c>
      <c r="CQ103" s="2106">
        <f t="shared" si="281"/>
        <v>0</v>
      </c>
      <c r="CR103" s="2106">
        <v>0</v>
      </c>
      <c r="CS103" s="2106">
        <f t="shared" si="282"/>
        <v>0</v>
      </c>
      <c r="CT103" s="2106">
        <v>0</v>
      </c>
      <c r="CU103" s="2106">
        <f t="shared" si="283"/>
        <v>0</v>
      </c>
      <c r="CV103" s="2106">
        <v>3.77271E-2</v>
      </c>
      <c r="CW103" s="2106"/>
      <c r="CX103" s="2106">
        <f t="shared" si="284"/>
        <v>0</v>
      </c>
      <c r="CY103" s="2106">
        <f t="shared" si="285"/>
        <v>3.77271E-2</v>
      </c>
      <c r="CZ103" s="2106">
        <v>5.7210029999999996</v>
      </c>
      <c r="DA103" s="2106">
        <f t="shared" si="189"/>
        <v>3.3302397958015408</v>
      </c>
      <c r="DB103" s="2106">
        <v>1.90523118625</v>
      </c>
      <c r="DC103" s="2106">
        <v>2.7009600067144564</v>
      </c>
      <c r="DD103" s="2109">
        <f t="shared" si="190"/>
        <v>1.5452200301293424</v>
      </c>
      <c r="DE103" s="2106"/>
      <c r="DF103" s="2106"/>
      <c r="DG103" s="2106"/>
      <c r="DH103" s="2106">
        <f t="shared" si="286"/>
        <v>6.0311998025159959</v>
      </c>
      <c r="DI103" s="2106">
        <f t="shared" si="287"/>
        <v>3.4504512163793422</v>
      </c>
      <c r="DJ103" s="2106">
        <v>11.929013400000004</v>
      </c>
      <c r="DK103" s="2106">
        <f t="shared" si="192"/>
        <v>1.5971406204053717</v>
      </c>
      <c r="DL103" s="2106">
        <v>1.90523118625</v>
      </c>
      <c r="DM103" s="2106">
        <v>2.7009600067144564</v>
      </c>
      <c r="DN103" s="2109">
        <f t="shared" si="193"/>
        <v>3.221978811296085</v>
      </c>
      <c r="DO103" s="2106"/>
      <c r="DP103" s="2106"/>
      <c r="DQ103" s="2106"/>
      <c r="DR103" s="2106">
        <f t="shared" si="288"/>
        <v>4.2981006271198288</v>
      </c>
      <c r="DS103" s="2106">
        <f t="shared" si="289"/>
        <v>5.1272099975460854</v>
      </c>
      <c r="DT103" s="2106">
        <v>14.601848200000001</v>
      </c>
      <c r="DU103" s="2106">
        <f t="shared" si="195"/>
        <v>1.3047876954713169</v>
      </c>
      <c r="DV103" s="2106">
        <v>1.90523118625</v>
      </c>
      <c r="DW103" s="2106">
        <v>2.7009600067144564</v>
      </c>
      <c r="DX103" s="2109">
        <f t="shared" si="196"/>
        <v>3.9439008012315475</v>
      </c>
      <c r="DY103" s="2106"/>
      <c r="DZ103" s="2106"/>
      <c r="EA103" s="2106"/>
      <c r="EB103" s="2106">
        <f t="shared" si="290"/>
        <v>4.005747702185773</v>
      </c>
      <c r="EC103" s="2106">
        <f t="shared" si="291"/>
        <v>5.8491319874815471</v>
      </c>
      <c r="ED103" s="2106">
        <f t="shared" si="292"/>
        <v>32.251864600000005</v>
      </c>
      <c r="EE103" s="2107"/>
      <c r="EF103" s="2106">
        <f t="shared" si="293"/>
        <v>1.772205616524261</v>
      </c>
      <c r="EG103" s="2106">
        <f t="shared" si="294"/>
        <v>5.71569355875</v>
      </c>
      <c r="EH103" s="2106">
        <f t="shared" si="295"/>
        <v>2.7009600067144568</v>
      </c>
      <c r="EI103" s="2106">
        <f t="shared" si="296"/>
        <v>8.7110996426569756</v>
      </c>
      <c r="EJ103" s="2106"/>
      <c r="EK103" s="2106">
        <f t="shared" si="297"/>
        <v>5.20616E-2</v>
      </c>
      <c r="EL103" s="2106"/>
      <c r="EM103" s="2106"/>
      <c r="EN103" s="2106">
        <f t="shared" si="298"/>
        <v>14.478854801406976</v>
      </c>
      <c r="EO103" s="2104">
        <f t="shared" si="299"/>
        <v>4.4893078217272979</v>
      </c>
      <c r="EP103" s="2110"/>
      <c r="ES103" s="2084">
        <f t="shared" si="187"/>
        <v>0</v>
      </c>
      <c r="EU103" s="2084">
        <f t="shared" si="198"/>
        <v>0</v>
      </c>
      <c r="EV103" s="2084">
        <f t="shared" si="199"/>
        <v>0</v>
      </c>
      <c r="EW103" s="2084" t="e">
        <f t="shared" si="200"/>
        <v>#DIV/0!</v>
      </c>
      <c r="FE103" s="2108"/>
      <c r="FF103" s="2108"/>
      <c r="FG103" s="2108"/>
      <c r="FH103" s="2108"/>
      <c r="FI103" s="2108"/>
      <c r="FJ103" s="2108"/>
      <c r="FK103" s="2108"/>
    </row>
    <row r="104" spans="1:167">
      <c r="A104" s="1760">
        <v>9</v>
      </c>
      <c r="B104" s="1761" t="s">
        <v>1731</v>
      </c>
      <c r="C104" s="2098">
        <v>231</v>
      </c>
      <c r="D104" s="2099">
        <v>0.20346320346320346</v>
      </c>
      <c r="E104" s="2100"/>
      <c r="F104" s="2099">
        <v>0.61160437180202798</v>
      </c>
      <c r="G104" s="2104">
        <v>47</v>
      </c>
      <c r="H104" s="2102" t="s">
        <v>1717</v>
      </c>
      <c r="I104" s="2103">
        <v>1</v>
      </c>
      <c r="J104" s="2104"/>
      <c r="K104" s="2101"/>
      <c r="L104" s="2101"/>
      <c r="M104" s="2105"/>
      <c r="N104" s="2106">
        <v>14.210673</v>
      </c>
      <c r="O104" s="2106">
        <f t="shared" si="241"/>
        <v>4.0410810241006887</v>
      </c>
      <c r="P104" s="2106">
        <v>5.7426481000000003</v>
      </c>
      <c r="Q104" s="2106">
        <f t="shared" si="242"/>
        <v>1.9700000133702322</v>
      </c>
      <c r="R104" s="2106">
        <v>2.7995025999999998</v>
      </c>
      <c r="S104" s="2106">
        <f t="shared" si="243"/>
        <v>1.8309477672169361E-3</v>
      </c>
      <c r="T104" s="2106">
        <v>2.6018999999999999E-3</v>
      </c>
      <c r="U104" s="2106"/>
      <c r="V104" s="2106">
        <f t="shared" si="244"/>
        <v>6.012911985238139</v>
      </c>
      <c r="W104" s="2106">
        <f t="shared" si="245"/>
        <v>8.5447526000000007</v>
      </c>
      <c r="X104" s="2106">
        <v>29.451027</v>
      </c>
      <c r="Y104" s="2106">
        <f t="shared" si="246"/>
        <v>2.0405322028328587</v>
      </c>
      <c r="Z104" s="2106">
        <v>6.0095768999999999</v>
      </c>
      <c r="AA104" s="2106">
        <f t="shared" si="247"/>
        <v>1.9699999935486121</v>
      </c>
      <c r="AB104" s="2106">
        <v>5.8018523000000002</v>
      </c>
      <c r="AC104" s="2106">
        <f t="shared" si="248"/>
        <v>1.1987697406952904E-3</v>
      </c>
      <c r="AD104" s="2106">
        <v>3.5304999999999998E-3</v>
      </c>
      <c r="AE104" s="2106"/>
      <c r="AF104" s="2106">
        <f t="shared" si="249"/>
        <v>4.0117309661221663</v>
      </c>
      <c r="AG104" s="2106">
        <f t="shared" si="250"/>
        <v>11.814959699999999</v>
      </c>
      <c r="AH104" s="2106">
        <v>42.664275000000004</v>
      </c>
      <c r="AI104" s="2106">
        <f t="shared" si="251"/>
        <v>1.3631356815508995</v>
      </c>
      <c r="AJ104" s="2106">
        <v>5.8157195579999996</v>
      </c>
      <c r="AK104" s="2106">
        <f t="shared" si="252"/>
        <v>1.9699999999999998</v>
      </c>
      <c r="AL104" s="2106">
        <v>8.4048621749999999</v>
      </c>
      <c r="AM104" s="2106">
        <f t="shared" si="253"/>
        <v>8.2485873719874534E-4</v>
      </c>
      <c r="AN104" s="2106">
        <v>3.5192000000000001E-3</v>
      </c>
      <c r="AO104" s="2106">
        <v>0</v>
      </c>
      <c r="AP104" s="2106">
        <f t="shared" si="254"/>
        <v>3.3339605402880981</v>
      </c>
      <c r="AQ104" s="2106">
        <f t="shared" si="255"/>
        <v>14.224100932999999</v>
      </c>
      <c r="AR104" s="2106">
        <v>44.988109000000001</v>
      </c>
      <c r="AS104" s="2106">
        <f t="shared" si="256"/>
        <v>1.2912972470125383</v>
      </c>
      <c r="AT104" s="2106">
        <v>5.8093021299999998</v>
      </c>
      <c r="AU104" s="2106">
        <f t="shared" si="257"/>
        <v>1.9699999993331572</v>
      </c>
      <c r="AV104" s="2106">
        <v>8.8626574700000003</v>
      </c>
      <c r="AW104" s="2106">
        <f t="shared" si="258"/>
        <v>7.6958113531733457E-4</v>
      </c>
      <c r="AX104" s="2106">
        <v>3.4621999999999999E-3</v>
      </c>
      <c r="AY104" s="2106"/>
      <c r="AZ104" s="2106">
        <f t="shared" si="259"/>
        <v>3.2620668274810125</v>
      </c>
      <c r="BA104" s="2106">
        <f t="shared" si="260"/>
        <v>14.675421800000001</v>
      </c>
      <c r="BB104" s="2106">
        <v>41.647154999999998</v>
      </c>
      <c r="BC104" s="2106">
        <f t="shared" si="261"/>
        <v>1.3328898720692928</v>
      </c>
      <c r="BD104" s="2106">
        <v>5.5511071100000002</v>
      </c>
      <c r="BE104" s="2106">
        <f t="shared" si="262"/>
        <v>1.9700000012005625</v>
      </c>
      <c r="BF104" s="2106">
        <v>8.2044895400000009</v>
      </c>
      <c r="BG104" s="2106">
        <f t="shared" si="263"/>
        <v>8.2886814237371088E-4</v>
      </c>
      <c r="BH104" s="2106">
        <v>3.4520000000000002E-3</v>
      </c>
      <c r="BI104" s="2106"/>
      <c r="BJ104" s="2106">
        <f t="shared" si="264"/>
        <v>3.3037187414122289</v>
      </c>
      <c r="BK104" s="2106">
        <f t="shared" si="265"/>
        <v>13.75904865</v>
      </c>
      <c r="BL104" s="2106">
        <v>33.705762999999997</v>
      </c>
      <c r="BM104" s="2106">
        <f t="shared" si="266"/>
        <v>1.6660838302340166</v>
      </c>
      <c r="BN104" s="2106">
        <v>5.615662672</v>
      </c>
      <c r="BO104" s="2106">
        <f t="shared" si="267"/>
        <v>1.9700000000000002</v>
      </c>
      <c r="BP104" s="2106">
        <v>6.6400353110000001</v>
      </c>
      <c r="BQ104" s="2106">
        <f t="shared" si="268"/>
        <v>9.9511172614606008E-4</v>
      </c>
      <c r="BR104" s="2106">
        <v>3.3541000000000001E-3</v>
      </c>
      <c r="BS104" s="2106"/>
      <c r="BT104" s="2106">
        <f t="shared" si="269"/>
        <v>3.637078941960163</v>
      </c>
      <c r="BU104" s="2106">
        <f t="shared" si="270"/>
        <v>12.259052083</v>
      </c>
      <c r="BV104" s="2106">
        <v>14.549346999999999</v>
      </c>
      <c r="BW104" s="2106">
        <f t="shared" si="271"/>
        <v>3.3946325790428942</v>
      </c>
      <c r="BX104" s="2106">
        <v>4.9389687329999994</v>
      </c>
      <c r="BY104" s="2106">
        <f t="shared" si="272"/>
        <v>1.9700000000000002</v>
      </c>
      <c r="BZ104" s="2106">
        <v>2.8662213589999999</v>
      </c>
      <c r="CA104" s="2106">
        <f t="shared" si="273"/>
        <v>1.8719053164379131E-3</v>
      </c>
      <c r="CB104" s="2106">
        <v>2.7234999999999998E-3</v>
      </c>
      <c r="CC104" s="2106"/>
      <c r="CD104" s="2106">
        <f t="shared" si="274"/>
        <v>5.3665044843593321</v>
      </c>
      <c r="CE104" s="2106">
        <f t="shared" si="275"/>
        <v>7.8079135919999993</v>
      </c>
      <c r="CF104" s="2106">
        <v>7.2319490000000002</v>
      </c>
      <c r="CG104" s="2106">
        <f t="shared" si="276"/>
        <v>6.3662967714512364</v>
      </c>
      <c r="CH104" s="2106">
        <v>4.6040733569999999</v>
      </c>
      <c r="CI104" s="2106">
        <f t="shared" si="277"/>
        <v>1.9700000000000002</v>
      </c>
      <c r="CJ104" s="2106">
        <v>1.424693953</v>
      </c>
      <c r="CK104" s="2106">
        <f t="shared" si="278"/>
        <v>3.660147492743657E-3</v>
      </c>
      <c r="CL104" s="2106">
        <v>2.647E-3</v>
      </c>
      <c r="CM104" s="2106"/>
      <c r="CN104" s="2106">
        <f t="shared" si="279"/>
        <v>8.3399569189439795</v>
      </c>
      <c r="CO104" s="2106">
        <f t="shared" si="280"/>
        <v>6.0314143099999997</v>
      </c>
      <c r="CP104" s="2106">
        <v>5.3030080000000002</v>
      </c>
      <c r="CQ104" s="2106">
        <f t="shared" si="281"/>
        <v>9.0343126957379667</v>
      </c>
      <c r="CR104" s="2106">
        <v>4.7909032500000004</v>
      </c>
      <c r="CS104" s="2106">
        <f t="shared" si="282"/>
        <v>1.970000007542889</v>
      </c>
      <c r="CT104" s="2106">
        <v>1.04469258</v>
      </c>
      <c r="CU104" s="2106">
        <f t="shared" si="283"/>
        <v>0.20720315715156379</v>
      </c>
      <c r="CV104" s="2106">
        <v>0.10988000000000001</v>
      </c>
      <c r="CW104" s="2106"/>
      <c r="CX104" s="2106">
        <f t="shared" si="284"/>
        <v>11.211515860432421</v>
      </c>
      <c r="CY104" s="2106">
        <f t="shared" si="285"/>
        <v>5.9454758300000012</v>
      </c>
      <c r="CZ104" s="2106">
        <v>4.5391516000000012</v>
      </c>
      <c r="DA104" s="2106">
        <f t="shared" si="189"/>
        <v>10.50386997704593</v>
      </c>
      <c r="DB104" s="2106">
        <v>4.7678658212500009</v>
      </c>
      <c r="DC104" s="2106">
        <v>2.1201545498069758</v>
      </c>
      <c r="DD104" s="2109">
        <f t="shared" si="190"/>
        <v>0.96237029170036159</v>
      </c>
      <c r="DE104" s="2106"/>
      <c r="DF104" s="2106"/>
      <c r="DG104" s="2106"/>
      <c r="DH104" s="2106">
        <f t="shared" si="286"/>
        <v>12.624024526852907</v>
      </c>
      <c r="DI104" s="2106">
        <f t="shared" si="287"/>
        <v>5.7302361129503625</v>
      </c>
      <c r="DJ104" s="2106">
        <v>4.6934530000000008</v>
      </c>
      <c r="DK104" s="2106">
        <f t="shared" si="192"/>
        <v>10.158546002804332</v>
      </c>
      <c r="DL104" s="2106">
        <v>4.7678658212500009</v>
      </c>
      <c r="DM104" s="2106">
        <v>2.1201545498069758</v>
      </c>
      <c r="DN104" s="2109">
        <f t="shared" si="193"/>
        <v>0.99508457322552013</v>
      </c>
      <c r="DO104" s="2106"/>
      <c r="DP104" s="2106"/>
      <c r="DQ104" s="2106"/>
      <c r="DR104" s="2106">
        <f t="shared" si="288"/>
        <v>12.278700552611308</v>
      </c>
      <c r="DS104" s="2106">
        <f t="shared" si="289"/>
        <v>5.7629503944755207</v>
      </c>
      <c r="DT104" s="2106">
        <v>6.4771375999999998</v>
      </c>
      <c r="DU104" s="2106">
        <f t="shared" si="195"/>
        <v>7.3610692186777094</v>
      </c>
      <c r="DV104" s="2106">
        <v>4.7678658212500009</v>
      </c>
      <c r="DW104" s="2106">
        <v>2.1201545498069758</v>
      </c>
      <c r="DX104" s="2109">
        <f t="shared" si="196"/>
        <v>1.3732532752365836</v>
      </c>
      <c r="DY104" s="2106"/>
      <c r="DZ104" s="2106"/>
      <c r="EA104" s="2106"/>
      <c r="EB104" s="2106">
        <f t="shared" si="290"/>
        <v>9.4812237684846856</v>
      </c>
      <c r="EC104" s="2106">
        <f t="shared" si="291"/>
        <v>6.1411190964865847</v>
      </c>
      <c r="ED104" s="2106">
        <f t="shared" si="292"/>
        <v>249.46104820000002</v>
      </c>
      <c r="EE104" s="2107"/>
      <c r="EF104" s="2106">
        <f t="shared" si="293"/>
        <v>2.5327224322049484</v>
      </c>
      <c r="EG104" s="2106">
        <f t="shared" si="294"/>
        <v>63.18155927374999</v>
      </c>
      <c r="EH104" s="2106">
        <f t="shared" si="295"/>
        <v>1.979455942499422</v>
      </c>
      <c r="EI104" s="2106">
        <f t="shared" si="296"/>
        <v>49.379715428162477</v>
      </c>
      <c r="EJ104" s="2106"/>
      <c r="EK104" s="2106">
        <f t="shared" si="297"/>
        <v>0.1351704</v>
      </c>
      <c r="EL104" s="2106"/>
      <c r="EM104" s="2106"/>
      <c r="EN104" s="2106">
        <f t="shared" si="298"/>
        <v>112.69644510191247</v>
      </c>
      <c r="EO104" s="2104">
        <f t="shared" si="299"/>
        <v>4.5175968719397233</v>
      </c>
      <c r="EP104" s="2110"/>
      <c r="ES104" s="2084">
        <f t="shared" si="187"/>
        <v>0</v>
      </c>
      <c r="EU104" s="2084">
        <f t="shared" si="198"/>
        <v>46.049007288000013</v>
      </c>
      <c r="EV104" s="2084">
        <f t="shared" si="199"/>
        <v>233.75130600000003</v>
      </c>
      <c r="EW104" s="2084">
        <f t="shared" si="200"/>
        <v>1.9700000002566833</v>
      </c>
      <c r="FE104" s="2108"/>
      <c r="FF104" s="2108"/>
      <c r="FG104" s="2108"/>
      <c r="FH104" s="2108"/>
      <c r="FI104" s="2108"/>
      <c r="FJ104" s="2108"/>
      <c r="FK104" s="2108"/>
    </row>
    <row r="105" spans="1:167">
      <c r="A105" s="1760">
        <v>10</v>
      </c>
      <c r="B105" s="1761" t="s">
        <v>1732</v>
      </c>
      <c r="C105" s="2098">
        <v>240</v>
      </c>
      <c r="D105" s="2099">
        <v>0.21249999999999999</v>
      </c>
      <c r="E105" s="2100"/>
      <c r="F105" s="2099">
        <v>0.64842909563674533</v>
      </c>
      <c r="G105" s="2104">
        <v>51</v>
      </c>
      <c r="H105" s="2102" t="s">
        <v>1717</v>
      </c>
      <c r="I105" s="2103">
        <v>1</v>
      </c>
      <c r="J105" s="2104"/>
      <c r="K105" s="2101"/>
      <c r="L105" s="2101"/>
      <c r="M105" s="2105"/>
      <c r="N105" s="2106">
        <v>44.792397000000001</v>
      </c>
      <c r="O105" s="2106">
        <f t="shared" si="241"/>
        <v>1.7859210570936848</v>
      </c>
      <c r="P105" s="2106">
        <v>7.9995684999999996</v>
      </c>
      <c r="Q105" s="2106">
        <f t="shared" si="242"/>
        <v>2.1319999909806122</v>
      </c>
      <c r="R105" s="2106">
        <v>9.5497390000000006</v>
      </c>
      <c r="S105" s="2106">
        <f t="shared" si="243"/>
        <v>6.2278426403480924E-4</v>
      </c>
      <c r="T105" s="2106">
        <v>2.7896000000000002E-3</v>
      </c>
      <c r="U105" s="2106"/>
      <c r="V105" s="2106">
        <f t="shared" si="244"/>
        <v>3.9185438323383321</v>
      </c>
      <c r="W105" s="2106">
        <f t="shared" si="245"/>
        <v>17.552097100000001</v>
      </c>
      <c r="X105" s="2106">
        <v>49.707428</v>
      </c>
      <c r="Y105" s="2106">
        <f t="shared" si="246"/>
        <v>1.6921339804586146</v>
      </c>
      <c r="Z105" s="2106">
        <v>8.4111627999999996</v>
      </c>
      <c r="AA105" s="2106">
        <f t="shared" si="247"/>
        <v>2.1319999900216122</v>
      </c>
      <c r="AB105" s="2106">
        <v>10.5976236</v>
      </c>
      <c r="AC105" s="2106">
        <f t="shared" si="248"/>
        <v>0.71920456234428387</v>
      </c>
      <c r="AD105" s="2106">
        <v>3.5749808999999999</v>
      </c>
      <c r="AE105" s="2106"/>
      <c r="AF105" s="2106">
        <f t="shared" si="249"/>
        <v>4.5433385328245102</v>
      </c>
      <c r="AG105" s="2106">
        <f t="shared" si="250"/>
        <v>22.583767299999998</v>
      </c>
      <c r="AH105" s="2106">
        <v>45.261699999999998</v>
      </c>
      <c r="AI105" s="2106">
        <f t="shared" si="251"/>
        <v>1.7359305152038038</v>
      </c>
      <c r="AJ105" s="2106">
        <v>7.8571166200000002</v>
      </c>
      <c r="AK105" s="2106">
        <f t="shared" si="252"/>
        <v>2.1320000000000001</v>
      </c>
      <c r="AL105" s="2106">
        <v>9.6497944400000009</v>
      </c>
      <c r="AM105" s="2106">
        <f t="shared" si="253"/>
        <v>0.86800970798710619</v>
      </c>
      <c r="AN105" s="2106">
        <v>3.9287595</v>
      </c>
      <c r="AO105" s="2106">
        <v>0</v>
      </c>
      <c r="AP105" s="2106">
        <f t="shared" si="254"/>
        <v>4.7359402231909096</v>
      </c>
      <c r="AQ105" s="2106">
        <f t="shared" si="255"/>
        <v>21.435670559999998</v>
      </c>
      <c r="AR105" s="2106">
        <v>48.507154999999997</v>
      </c>
      <c r="AS105" s="2106">
        <f t="shared" si="256"/>
        <v>1.727099589740936</v>
      </c>
      <c r="AT105" s="2106">
        <v>8.3776687499999998</v>
      </c>
      <c r="AU105" s="2106">
        <f t="shared" si="257"/>
        <v>2.1320000008246205</v>
      </c>
      <c r="AV105" s="2106">
        <v>10.34172545</v>
      </c>
      <c r="AW105" s="2106">
        <f t="shared" si="258"/>
        <v>7.6844333583365185E-4</v>
      </c>
      <c r="AX105" s="2106">
        <v>3.7274999999999999E-3</v>
      </c>
      <c r="AY105" s="2106"/>
      <c r="AZ105" s="2106">
        <f t="shared" si="259"/>
        <v>3.8598680339013907</v>
      </c>
      <c r="BA105" s="2106">
        <f t="shared" si="260"/>
        <v>18.7231217</v>
      </c>
      <c r="BB105" s="2106">
        <v>45.710996999999999</v>
      </c>
      <c r="BC105" s="2106">
        <f t="shared" si="261"/>
        <v>1.832429264231537</v>
      </c>
      <c r="BD105" s="2106">
        <v>8.3762168599999995</v>
      </c>
      <c r="BE105" s="2106">
        <f t="shared" si="262"/>
        <v>2.1319999999124937</v>
      </c>
      <c r="BF105" s="2106">
        <v>9.7455845599999993</v>
      </c>
      <c r="BG105" s="2106">
        <f t="shared" si="263"/>
        <v>8.130428658119184E-4</v>
      </c>
      <c r="BH105" s="2106">
        <v>3.7165000000000002E-3</v>
      </c>
      <c r="BI105" s="2106"/>
      <c r="BJ105" s="2106">
        <f t="shared" si="264"/>
        <v>3.9652423070098419</v>
      </c>
      <c r="BK105" s="2106">
        <f t="shared" si="265"/>
        <v>18.125517919999997</v>
      </c>
      <c r="BL105" s="2106">
        <v>37.614727000000002</v>
      </c>
      <c r="BM105" s="2106">
        <f t="shared" si="266"/>
        <v>2.1258130040396144</v>
      </c>
      <c r="BN105" s="2106">
        <v>7.99618758</v>
      </c>
      <c r="BO105" s="2106">
        <f t="shared" si="267"/>
        <v>2.1319999998936585</v>
      </c>
      <c r="BP105" s="2106">
        <v>8.0194597959999996</v>
      </c>
      <c r="BQ105" s="2106">
        <f t="shared" si="268"/>
        <v>1.953833906597275</v>
      </c>
      <c r="BR105" s="2106">
        <v>7.3492929</v>
      </c>
      <c r="BS105" s="2106"/>
      <c r="BT105" s="2106">
        <f t="shared" si="269"/>
        <v>6.211646910530547</v>
      </c>
      <c r="BU105" s="2106">
        <f t="shared" si="270"/>
        <v>23.364940275999999</v>
      </c>
      <c r="BV105" s="2106">
        <v>27.350051000000001</v>
      </c>
      <c r="BW105" s="2106">
        <f t="shared" si="271"/>
        <v>2.2699348238875312</v>
      </c>
      <c r="BX105" s="2106">
        <v>6.2082833200000005</v>
      </c>
      <c r="BY105" s="2106">
        <f t="shared" si="272"/>
        <v>3.0280012176211302</v>
      </c>
      <c r="BZ105" s="2106">
        <v>8.2815987730000007</v>
      </c>
      <c r="CA105" s="2106">
        <f t="shared" si="273"/>
        <v>1.0007659583523263E-3</v>
      </c>
      <c r="CB105" s="2106">
        <v>2.7371000000000001E-3</v>
      </c>
      <c r="CC105" s="2106"/>
      <c r="CD105" s="2106">
        <f t="shared" si="274"/>
        <v>5.2989368074670136</v>
      </c>
      <c r="CE105" s="2106">
        <f t="shared" si="275"/>
        <v>14.492619193000001</v>
      </c>
      <c r="CF105" s="2106">
        <v>19.662873000000001</v>
      </c>
      <c r="CG105" s="2106">
        <f t="shared" si="276"/>
        <v>2.8233051192468155</v>
      </c>
      <c r="CH105" s="2106">
        <v>5.5514289999999997</v>
      </c>
      <c r="CI105" s="2106">
        <f t="shared" si="277"/>
        <v>2.2997597044948619</v>
      </c>
      <c r="CJ105" s="2106">
        <v>4.5219883000000003</v>
      </c>
      <c r="CK105" s="2106">
        <f t="shared" si="278"/>
        <v>-4.7608454776674802E-2</v>
      </c>
      <c r="CL105" s="2106">
        <v>-9.3611899999999998E-2</v>
      </c>
      <c r="CM105" s="2106"/>
      <c r="CN105" s="2106">
        <f t="shared" si="279"/>
        <v>5.0754563689650025</v>
      </c>
      <c r="CO105" s="2106">
        <f t="shared" si="280"/>
        <v>9.9798053999999983</v>
      </c>
      <c r="CP105" s="2106">
        <v>11.195159</v>
      </c>
      <c r="CQ105" s="2106">
        <f t="shared" si="281"/>
        <v>4.0503822411097516</v>
      </c>
      <c r="CR105" s="2106">
        <v>4.5344673200000001</v>
      </c>
      <c r="CS105" s="2106">
        <f t="shared" si="282"/>
        <v>2.1699079039431237</v>
      </c>
      <c r="CT105" s="2106">
        <v>2.4292463999999998</v>
      </c>
      <c r="CU105" s="2106">
        <f t="shared" si="283"/>
        <v>-7.0896715267733141E-4</v>
      </c>
      <c r="CV105" s="2106">
        <v>-7.9370000000000005E-4</v>
      </c>
      <c r="CW105" s="2106"/>
      <c r="CX105" s="2106">
        <f t="shared" si="284"/>
        <v>6.2195811779001975</v>
      </c>
      <c r="CY105" s="2106">
        <f t="shared" si="285"/>
        <v>6.9629200199999994</v>
      </c>
      <c r="CZ105" s="2106">
        <v>15.976077399999998</v>
      </c>
      <c r="DA105" s="2106">
        <f t="shared" si="189"/>
        <v>4.143415360518973</v>
      </c>
      <c r="DB105" s="2106">
        <v>6.6195524500000005</v>
      </c>
      <c r="DC105" s="2106">
        <v>2.0198691476065802</v>
      </c>
      <c r="DD105" s="2109">
        <f t="shared" si="190"/>
        <v>3.2269585840034742</v>
      </c>
      <c r="DE105" s="2106"/>
      <c r="DF105" s="2106"/>
      <c r="DG105" s="2106"/>
      <c r="DH105" s="2106">
        <f t="shared" si="286"/>
        <v>6.1632845081255532</v>
      </c>
      <c r="DI105" s="2106">
        <f t="shared" si="287"/>
        <v>9.8465110340034752</v>
      </c>
      <c r="DJ105" s="2106">
        <v>22.483835399999997</v>
      </c>
      <c r="DK105" s="2106">
        <f t="shared" si="192"/>
        <v>2.9441384586901935</v>
      </c>
      <c r="DL105" s="2106">
        <v>6.6195524500000005</v>
      </c>
      <c r="DM105" s="2106">
        <v>2.0198691476065802</v>
      </c>
      <c r="DN105" s="2109">
        <f t="shared" si="193"/>
        <v>4.5414405444324641</v>
      </c>
      <c r="DO105" s="2106"/>
      <c r="DP105" s="2106"/>
      <c r="DQ105" s="2106"/>
      <c r="DR105" s="2106">
        <f t="shared" si="288"/>
        <v>4.9640076062967742</v>
      </c>
      <c r="DS105" s="2106">
        <f t="shared" si="289"/>
        <v>11.160992994432466</v>
      </c>
      <c r="DT105" s="2106">
        <v>33.620628799999999</v>
      </c>
      <c r="DU105" s="2106">
        <f t="shared" si="195"/>
        <v>1.9688960873926309</v>
      </c>
      <c r="DV105" s="2106">
        <v>6.6195524500000005</v>
      </c>
      <c r="DW105" s="2106">
        <v>2.0198691476065802</v>
      </c>
      <c r="DX105" s="2109">
        <f t="shared" si="196"/>
        <v>6.7909270836253244</v>
      </c>
      <c r="DY105" s="2106"/>
      <c r="DZ105" s="2106"/>
      <c r="EA105" s="2106"/>
      <c r="EB105" s="2106">
        <f t="shared" si="290"/>
        <v>3.9887652349992111</v>
      </c>
      <c r="EC105" s="2106">
        <f t="shared" si="291"/>
        <v>13.410479533625324</v>
      </c>
      <c r="ED105" s="2106">
        <f t="shared" si="292"/>
        <v>401.88302859999999</v>
      </c>
      <c r="EE105" s="2107"/>
      <c r="EF105" s="2106">
        <f t="shared" si="293"/>
        <v>2.1192922327847712</v>
      </c>
      <c r="EG105" s="2106">
        <f t="shared" si="294"/>
        <v>85.1707581</v>
      </c>
      <c r="EH105" s="2106">
        <f t="shared" si="295"/>
        <v>2.1821296320115682</v>
      </c>
      <c r="EI105" s="2106">
        <f t="shared" si="296"/>
        <v>87.696086531061255</v>
      </c>
      <c r="EJ105" s="2106"/>
      <c r="EK105" s="2106">
        <f t="shared" si="297"/>
        <v>14.771598399999998</v>
      </c>
      <c r="EL105" s="2106"/>
      <c r="EM105" s="2106"/>
      <c r="EN105" s="2106">
        <f t="shared" si="298"/>
        <v>187.63844303106126</v>
      </c>
      <c r="EO105" s="2104">
        <f t="shared" si="299"/>
        <v>4.6689815114790658</v>
      </c>
      <c r="EP105" s="2110"/>
      <c r="ES105" s="2084">
        <f t="shared" si="187"/>
        <v>0</v>
      </c>
      <c r="EU105" s="2084">
        <f t="shared" si="198"/>
        <v>73.136760319000004</v>
      </c>
      <c r="EV105" s="2084">
        <f t="shared" si="199"/>
        <v>329.80248699999999</v>
      </c>
      <c r="EW105" s="2084">
        <f t="shared" si="200"/>
        <v>2.2175927472311634</v>
      </c>
      <c r="FE105" s="2108"/>
      <c r="FF105" s="2108"/>
      <c r="FG105" s="2108"/>
      <c r="FH105" s="2108"/>
      <c r="FI105" s="2108"/>
      <c r="FJ105" s="2108"/>
      <c r="FK105" s="2108"/>
    </row>
    <row r="106" spans="1:167">
      <c r="A106" s="1760">
        <v>11</v>
      </c>
      <c r="B106" s="1761" t="s">
        <v>1733</v>
      </c>
      <c r="C106" s="2098" t="e">
        <v>#N/A</v>
      </c>
      <c r="D106" s="2099" t="e">
        <v>#N/A</v>
      </c>
      <c r="E106" s="2100"/>
      <c r="F106" s="2099">
        <v>0.13538579369214582</v>
      </c>
      <c r="G106" s="2104">
        <v>138</v>
      </c>
      <c r="H106" s="2102" t="s">
        <v>1717</v>
      </c>
      <c r="I106" s="2103">
        <v>1</v>
      </c>
      <c r="J106" s="2104"/>
      <c r="K106" s="2101"/>
      <c r="L106" s="2101"/>
      <c r="M106" s="2105"/>
      <c r="N106" s="2106">
        <v>4.6302729999999999</v>
      </c>
      <c r="O106" s="2106">
        <f t="shared" si="241"/>
        <v>11.637135650532917</v>
      </c>
      <c r="P106" s="2106">
        <v>5.3883115000000004</v>
      </c>
      <c r="Q106" s="2106">
        <f t="shared" si="242"/>
        <v>1.538999968252412</v>
      </c>
      <c r="R106" s="2106">
        <v>0.71259899999999998</v>
      </c>
      <c r="S106" s="2106">
        <f t="shared" si="243"/>
        <v>1.2653249603209141E-2</v>
      </c>
      <c r="T106" s="2106">
        <v>5.8587999999999999E-3</v>
      </c>
      <c r="U106" s="2106"/>
      <c r="V106" s="2106">
        <f t="shared" si="244"/>
        <v>13.188788868388539</v>
      </c>
      <c r="W106" s="2106">
        <f t="shared" si="245"/>
        <v>6.1067693000000007</v>
      </c>
      <c r="X106" s="2106">
        <v>10.493126</v>
      </c>
      <c r="Y106" s="2106">
        <f t="shared" si="246"/>
        <v>6.5612860266807047</v>
      </c>
      <c r="Z106" s="2106">
        <v>6.8848400999999999</v>
      </c>
      <c r="AA106" s="2106">
        <f t="shared" si="247"/>
        <v>1.5390000081958419</v>
      </c>
      <c r="AB106" s="2106">
        <v>1.6148921000000001</v>
      </c>
      <c r="AC106" s="2106">
        <f t="shared" si="248"/>
        <v>7.5766744819417975E-3</v>
      </c>
      <c r="AD106" s="2106">
        <v>7.9503000000000004E-3</v>
      </c>
      <c r="AE106" s="2106"/>
      <c r="AF106" s="2106">
        <f t="shared" si="249"/>
        <v>8.1078627093584874</v>
      </c>
      <c r="AG106" s="2106">
        <f t="shared" si="250"/>
        <v>8.5076824999999996</v>
      </c>
      <c r="AH106" s="2106">
        <v>21.418165999999999</v>
      </c>
      <c r="AI106" s="2106">
        <f t="shared" si="251"/>
        <v>3.11079319629888</v>
      </c>
      <c r="AJ106" s="2106">
        <v>6.6627485069999999</v>
      </c>
      <c r="AK106" s="2106">
        <f t="shared" si="252"/>
        <v>1.5389999998132429</v>
      </c>
      <c r="AL106" s="2106">
        <v>3.296255747</v>
      </c>
      <c r="AM106" s="2106">
        <f t="shared" si="253"/>
        <v>3.7002234458356521E-3</v>
      </c>
      <c r="AN106" s="2106">
        <v>7.9252000000000003E-3</v>
      </c>
      <c r="AO106" s="2106">
        <v>0</v>
      </c>
      <c r="AP106" s="2106">
        <f t="shared" si="254"/>
        <v>4.6534934195579583</v>
      </c>
      <c r="AQ106" s="2106">
        <f t="shared" si="255"/>
        <v>9.9669294540000006</v>
      </c>
      <c r="AR106" s="2106">
        <v>39.168467</v>
      </c>
      <c r="AS106" s="2106">
        <f t="shared" si="256"/>
        <v>1.7558084593915815</v>
      </c>
      <c r="AT106" s="2106">
        <v>6.8772325700000003</v>
      </c>
      <c r="AU106" s="2106">
        <f t="shared" si="257"/>
        <v>1.5389999996681003</v>
      </c>
      <c r="AV106" s="2106">
        <v>6.0280270700000003</v>
      </c>
      <c r="AW106" s="2106">
        <f t="shared" si="258"/>
        <v>1.9906063722126273E-3</v>
      </c>
      <c r="AX106" s="2106">
        <v>7.7968999999999998E-3</v>
      </c>
      <c r="AY106" s="2106"/>
      <c r="AZ106" s="2106">
        <f t="shared" si="259"/>
        <v>3.2967990654318946</v>
      </c>
      <c r="BA106" s="2106">
        <f t="shared" si="260"/>
        <v>12.913056540000001</v>
      </c>
      <c r="BB106" s="2106">
        <v>30.677465999999999</v>
      </c>
      <c r="BC106" s="2106">
        <f t="shared" si="261"/>
        <v>2.2417863880934625</v>
      </c>
      <c r="BD106" s="2106">
        <v>6.8772325700000003</v>
      </c>
      <c r="BE106" s="2106">
        <f t="shared" si="262"/>
        <v>1.5390000008475277</v>
      </c>
      <c r="BF106" s="2106">
        <v>4.7212620200000002</v>
      </c>
      <c r="BG106" s="2106">
        <f t="shared" si="263"/>
        <v>2.5340750112802669E-3</v>
      </c>
      <c r="BH106" s="2106">
        <v>7.7739000000000003E-3</v>
      </c>
      <c r="BI106" s="2106"/>
      <c r="BJ106" s="2106">
        <f t="shared" si="264"/>
        <v>3.7833204639522711</v>
      </c>
      <c r="BK106" s="2106">
        <f t="shared" si="265"/>
        <v>11.606268490000001</v>
      </c>
      <c r="BL106" s="2106">
        <v>24.014420999999999</v>
      </c>
      <c r="BM106" s="2106">
        <f t="shared" si="266"/>
        <v>2.7714123750891186</v>
      </c>
      <c r="BN106" s="2106">
        <v>6.655386354</v>
      </c>
      <c r="BO106" s="2106">
        <f t="shared" si="267"/>
        <v>1.5390000000416417</v>
      </c>
      <c r="BP106" s="2106">
        <v>3.6958193920000002</v>
      </c>
      <c r="BQ106" s="2106">
        <f t="shared" si="268"/>
        <v>3.1453600317908979E-3</v>
      </c>
      <c r="BR106" s="2106">
        <v>7.5534E-3</v>
      </c>
      <c r="BS106" s="2106"/>
      <c r="BT106" s="2106">
        <f t="shared" si="269"/>
        <v>4.3135577351625516</v>
      </c>
      <c r="BU106" s="2106">
        <f t="shared" si="270"/>
        <v>10.358759146000001</v>
      </c>
      <c r="BV106" s="2106">
        <v>8.7579239999999992</v>
      </c>
      <c r="BW106" s="2106">
        <f t="shared" si="271"/>
        <v>6.4601394063250615</v>
      </c>
      <c r="BX106" s="2106">
        <v>5.6577409950000002</v>
      </c>
      <c r="BY106" s="2106">
        <f t="shared" si="272"/>
        <v>1.5390000004567295</v>
      </c>
      <c r="BZ106" s="2106">
        <v>1.347844504</v>
      </c>
      <c r="CA106" s="2106">
        <f t="shared" si="273"/>
        <v>7.0025727558266099E-3</v>
      </c>
      <c r="CB106" s="2106">
        <v>6.1327999999999999E-3</v>
      </c>
      <c r="CC106" s="2106"/>
      <c r="CD106" s="2106">
        <f t="shared" si="274"/>
        <v>8.0061419795376167</v>
      </c>
      <c r="CE106" s="2106">
        <f t="shared" si="275"/>
        <v>7.011718299</v>
      </c>
      <c r="CF106" s="2106">
        <v>4.4863949999999999</v>
      </c>
      <c r="CG106" s="2106">
        <f t="shared" si="276"/>
        <v>11.39866695420265</v>
      </c>
      <c r="CH106" s="2106">
        <v>5.1138922429999996</v>
      </c>
      <c r="CI106" s="2106">
        <f t="shared" si="277"/>
        <v>1.5390000011144807</v>
      </c>
      <c r="CJ106" s="2106">
        <v>0.690456191</v>
      </c>
      <c r="CK106" s="2106">
        <f t="shared" si="278"/>
        <v>1.3285499827812755E-2</v>
      </c>
      <c r="CL106" s="2106">
        <v>5.9604000000000002E-3</v>
      </c>
      <c r="CM106" s="2106"/>
      <c r="CN106" s="2106">
        <f t="shared" si="279"/>
        <v>12.950952455144943</v>
      </c>
      <c r="CO106" s="2106">
        <f t="shared" si="280"/>
        <v>5.8103088339999998</v>
      </c>
      <c r="CP106" s="2106">
        <v>3.1009000000000002</v>
      </c>
      <c r="CQ106" s="2106">
        <f t="shared" si="281"/>
        <v>11.600849269566901</v>
      </c>
      <c r="CR106" s="2106">
        <v>3.5973073499999999</v>
      </c>
      <c r="CS106" s="2106">
        <f t="shared" si="282"/>
        <v>1.5389999999999997</v>
      </c>
      <c r="CT106" s="2106">
        <v>0.47722850999999994</v>
      </c>
      <c r="CU106" s="2106">
        <f t="shared" si="283"/>
        <v>1.8817440098036053E-2</v>
      </c>
      <c r="CV106" s="2106">
        <v>5.8351000000000002E-3</v>
      </c>
      <c r="CW106" s="2106"/>
      <c r="CX106" s="2106">
        <f t="shared" si="284"/>
        <v>13.158666709664935</v>
      </c>
      <c r="CY106" s="2106">
        <f t="shared" si="285"/>
        <v>4.0803709599999998</v>
      </c>
      <c r="CZ106" s="2106">
        <v>2.9422677499999992</v>
      </c>
      <c r="DA106" s="2106">
        <f t="shared" si="189"/>
        <v>20.095626451739484</v>
      </c>
      <c r="DB106" s="2106">
        <v>5.9126713625000002</v>
      </c>
      <c r="DC106" s="2106">
        <v>1.7724902090200949</v>
      </c>
      <c r="DD106" s="2109">
        <f t="shared" si="190"/>
        <v>0.52151407791905835</v>
      </c>
      <c r="DE106" s="2106"/>
      <c r="DF106" s="2106"/>
      <c r="DG106" s="2106"/>
      <c r="DH106" s="2106">
        <f t="shared" si="286"/>
        <v>21.868116660759579</v>
      </c>
      <c r="DI106" s="2106">
        <f t="shared" si="287"/>
        <v>6.4341854404190588</v>
      </c>
      <c r="DJ106" s="2106">
        <v>1.9362680000000001</v>
      </c>
      <c r="DK106" s="2106">
        <f t="shared" si="192"/>
        <v>30.53643071362022</v>
      </c>
      <c r="DL106" s="2106">
        <v>5.9126713625000002</v>
      </c>
      <c r="DM106" s="2106">
        <v>1.7724902090200949</v>
      </c>
      <c r="DN106" s="2109">
        <f t="shared" si="193"/>
        <v>0.34320160720389215</v>
      </c>
      <c r="DO106" s="2106"/>
      <c r="DP106" s="2106"/>
      <c r="DQ106" s="2106"/>
      <c r="DR106" s="2106">
        <f t="shared" si="288"/>
        <v>32.308920922640318</v>
      </c>
      <c r="DS106" s="2106">
        <f t="shared" si="289"/>
        <v>6.2558729697038924</v>
      </c>
      <c r="DT106" s="2106">
        <v>3.1544042500000007</v>
      </c>
      <c r="DU106" s="2106">
        <f t="shared" si="195"/>
        <v>18.744177644637649</v>
      </c>
      <c r="DV106" s="2106">
        <v>5.9126713625000002</v>
      </c>
      <c r="DW106" s="2106">
        <v>1.7724902090200949</v>
      </c>
      <c r="DX106" s="2109">
        <f t="shared" si="196"/>
        <v>0.55911506484163775</v>
      </c>
      <c r="DY106" s="2106"/>
      <c r="DZ106" s="2106"/>
      <c r="EA106" s="2106"/>
      <c r="EB106" s="2106">
        <f t="shared" si="290"/>
        <v>20.516667853657747</v>
      </c>
      <c r="EC106" s="2106">
        <f t="shared" si="291"/>
        <v>6.4717864273416383</v>
      </c>
      <c r="ED106" s="2106">
        <f t="shared" si="292"/>
        <v>154.780078</v>
      </c>
      <c r="EE106" s="2107"/>
      <c r="EF106" s="2106">
        <f t="shared" si="293"/>
        <v>4.6164020072725389</v>
      </c>
      <c r="EG106" s="2106">
        <f t="shared" si="294"/>
        <v>71.45270627650001</v>
      </c>
      <c r="EH106" s="2106">
        <f t="shared" si="295"/>
        <v>1.5511179212588708</v>
      </c>
      <c r="EI106" s="2106">
        <f t="shared" si="296"/>
        <v>24.008215283964589</v>
      </c>
      <c r="EJ106" s="2106"/>
      <c r="EK106" s="2106">
        <f t="shared" si="297"/>
        <v>6.2786800000000004E-2</v>
      </c>
      <c r="EL106" s="2106"/>
      <c r="EM106" s="2106"/>
      <c r="EN106" s="2106">
        <f t="shared" si="298"/>
        <v>95.523708360464596</v>
      </c>
      <c r="EO106" s="2104">
        <f t="shared" si="299"/>
        <v>6.1715764454172586</v>
      </c>
      <c r="EP106" s="2110"/>
      <c r="ES106" s="2084">
        <f t="shared" si="187"/>
        <v>0</v>
      </c>
      <c r="EU106" s="2084">
        <f t="shared" si="198"/>
        <v>22.584384534000002</v>
      </c>
      <c r="EV106" s="2084">
        <f t="shared" si="199"/>
        <v>146.74713799999998</v>
      </c>
      <c r="EW106" s="2084">
        <f t="shared" si="200"/>
        <v>1.5389999997137938</v>
      </c>
      <c r="FE106" s="2108"/>
      <c r="FF106" s="2108"/>
      <c r="FG106" s="2108"/>
      <c r="FH106" s="2108"/>
      <c r="FI106" s="2108"/>
      <c r="FJ106" s="2108"/>
      <c r="FK106" s="2108"/>
    </row>
    <row r="107" spans="1:167">
      <c r="A107" s="1760">
        <v>12</v>
      </c>
      <c r="B107" s="1761" t="s">
        <v>1734</v>
      </c>
      <c r="C107" s="2098">
        <v>330</v>
      </c>
      <c r="D107" s="2099">
        <v>0.41696969696969693</v>
      </c>
      <c r="E107" s="2100"/>
      <c r="F107" s="2099">
        <v>0.3207953972413774</v>
      </c>
      <c r="G107" s="2104">
        <v>137.6</v>
      </c>
      <c r="H107" s="2102" t="s">
        <v>1717</v>
      </c>
      <c r="I107" s="2103">
        <v>1</v>
      </c>
      <c r="J107" s="2104"/>
      <c r="K107" s="2101"/>
      <c r="L107" s="2101"/>
      <c r="M107" s="2105"/>
      <c r="N107" s="2106">
        <v>75.815503000000007</v>
      </c>
      <c r="O107" s="2106">
        <f t="shared" si="241"/>
        <v>1.3276417489441439</v>
      </c>
      <c r="P107" s="2106">
        <v>10.0655827</v>
      </c>
      <c r="Q107" s="2106">
        <f t="shared" si="242"/>
        <v>1.9689999946317047</v>
      </c>
      <c r="R107" s="2106">
        <v>14.928072500000001</v>
      </c>
      <c r="S107" s="2106">
        <f t="shared" si="243"/>
        <v>8.8467394326988765E-4</v>
      </c>
      <c r="T107" s="2106">
        <v>6.7072E-3</v>
      </c>
      <c r="U107" s="2106"/>
      <c r="V107" s="2106">
        <f t="shared" si="244"/>
        <v>3.2975264175191183</v>
      </c>
      <c r="W107" s="2106">
        <f t="shared" si="245"/>
        <v>25.0003624</v>
      </c>
      <c r="X107" s="2106">
        <v>76.743277000000006</v>
      </c>
      <c r="Y107" s="2106">
        <f t="shared" si="246"/>
        <v>1.3198766844423386</v>
      </c>
      <c r="Z107" s="2106">
        <v>10.1291662</v>
      </c>
      <c r="AA107" s="2106">
        <f t="shared" si="247"/>
        <v>1.9689999946184209</v>
      </c>
      <c r="AB107" s="2106">
        <v>15.110751199999999</v>
      </c>
      <c r="AC107" s="2106">
        <f t="shared" si="248"/>
        <v>0.10886751682495914</v>
      </c>
      <c r="AD107" s="2106">
        <v>0.83548500000000003</v>
      </c>
      <c r="AE107" s="2106"/>
      <c r="AF107" s="2106">
        <f t="shared" si="249"/>
        <v>3.3977441958857186</v>
      </c>
      <c r="AG107" s="2106">
        <f t="shared" si="250"/>
        <v>26.075402399999998</v>
      </c>
      <c r="AH107" s="2106">
        <v>68.171386999999996</v>
      </c>
      <c r="AI107" s="2106">
        <f t="shared" si="251"/>
        <v>1.3306209832579761</v>
      </c>
      <c r="AJ107" s="2106">
        <v>9.0710277999999995</v>
      </c>
      <c r="AK107" s="2106">
        <f t="shared" si="252"/>
        <v>1.9689999999559935</v>
      </c>
      <c r="AL107" s="2106">
        <v>13.422946100000001</v>
      </c>
      <c r="AM107" s="2106">
        <f t="shared" si="253"/>
        <v>0.16161330266024954</v>
      </c>
      <c r="AN107" s="2106">
        <v>1.1017402999999999</v>
      </c>
      <c r="AO107" s="2106">
        <v>0</v>
      </c>
      <c r="AP107" s="2106">
        <f t="shared" si="254"/>
        <v>3.4612342858742191</v>
      </c>
      <c r="AQ107" s="2106">
        <f t="shared" si="255"/>
        <v>23.5957142</v>
      </c>
      <c r="AR107" s="2106">
        <v>107.351502</v>
      </c>
      <c r="AS107" s="2106">
        <f t="shared" si="256"/>
        <v>1.3222625716033298</v>
      </c>
      <c r="AT107" s="2106">
        <v>14.194687309999999</v>
      </c>
      <c r="AU107" s="2106">
        <f t="shared" si="257"/>
        <v>1.9689999996460228</v>
      </c>
      <c r="AV107" s="2106">
        <v>21.13751074</v>
      </c>
      <c r="AW107" s="2106">
        <f t="shared" si="258"/>
        <v>8.2715191073898524E-4</v>
      </c>
      <c r="AX107" s="2106">
        <v>8.8795999999999996E-3</v>
      </c>
      <c r="AY107" s="2106"/>
      <c r="AZ107" s="2106">
        <f t="shared" si="259"/>
        <v>3.2920897231600916</v>
      </c>
      <c r="BA107" s="2106">
        <f t="shared" si="260"/>
        <v>35.341077650000003</v>
      </c>
      <c r="BB107" s="2106">
        <v>100.70885699999999</v>
      </c>
      <c r="BC107" s="2106">
        <f t="shared" si="261"/>
        <v>1.4734127724237798</v>
      </c>
      <c r="BD107" s="2106">
        <v>14.838571619999998</v>
      </c>
      <c r="BE107" s="2106">
        <f t="shared" si="262"/>
        <v>1.9689999996723229</v>
      </c>
      <c r="BF107" s="2106">
        <v>19.82957394</v>
      </c>
      <c r="BG107" s="2106">
        <f t="shared" si="263"/>
        <v>8.7910837871985786E-4</v>
      </c>
      <c r="BH107" s="2106">
        <v>8.8534000000000009E-3</v>
      </c>
      <c r="BI107" s="2106"/>
      <c r="BJ107" s="2106">
        <f t="shared" si="264"/>
        <v>3.4432918804748223</v>
      </c>
      <c r="BK107" s="2106">
        <f t="shared" si="265"/>
        <v>34.676998959999999</v>
      </c>
      <c r="BL107" s="2106">
        <v>67.786930999999996</v>
      </c>
      <c r="BM107" s="2106">
        <f t="shared" si="266"/>
        <v>2.2517386441348113</v>
      </c>
      <c r="BN107" s="2106">
        <v>15.263845209999999</v>
      </c>
      <c r="BO107" s="2106">
        <f t="shared" si="267"/>
        <v>1.9689999994246679</v>
      </c>
      <c r="BP107" s="2106">
        <v>13.34724671</v>
      </c>
      <c r="BQ107" s="2106">
        <f t="shared" si="268"/>
        <v>0.40442676184882898</v>
      </c>
      <c r="BR107" s="2106">
        <v>2.7414849000000001</v>
      </c>
      <c r="BS107" s="2106"/>
      <c r="BT107" s="2106">
        <f t="shared" si="269"/>
        <v>4.6251654054083078</v>
      </c>
      <c r="BU107" s="2106">
        <f t="shared" si="270"/>
        <v>31.352576819999999</v>
      </c>
      <c r="BV107" s="2106">
        <v>46.393698000000001</v>
      </c>
      <c r="BW107" s="2106">
        <f t="shared" si="271"/>
        <v>3.014552849397778</v>
      </c>
      <c r="BX107" s="2106">
        <v>13.985625450000001</v>
      </c>
      <c r="BY107" s="2106">
        <f t="shared" si="272"/>
        <v>2.1345176743617205</v>
      </c>
      <c r="BZ107" s="2106">
        <v>9.9028168359999995</v>
      </c>
      <c r="CA107" s="2106">
        <f t="shared" si="273"/>
        <v>1.6491248444993542E-3</v>
      </c>
      <c r="CB107" s="2106">
        <v>7.6509000000000004E-3</v>
      </c>
      <c r="CC107" s="2106"/>
      <c r="CD107" s="2106">
        <f t="shared" si="274"/>
        <v>5.1507196486039986</v>
      </c>
      <c r="CE107" s="2106">
        <f t="shared" si="275"/>
        <v>23.896093186000002</v>
      </c>
      <c r="CF107" s="2106">
        <v>27.653320000000001</v>
      </c>
      <c r="CG107" s="2106">
        <f t="shared" si="276"/>
        <v>4.785213118714136</v>
      </c>
      <c r="CH107" s="2106">
        <v>13.232702964</v>
      </c>
      <c r="CI107" s="2106">
        <f t="shared" si="277"/>
        <v>2.1353212561818977</v>
      </c>
      <c r="CJ107" s="2106">
        <v>5.9048721999999998</v>
      </c>
      <c r="CK107" s="2106">
        <f t="shared" si="278"/>
        <v>2.7089694835918431E-3</v>
      </c>
      <c r="CL107" s="2106">
        <v>7.4911999999999999E-3</v>
      </c>
      <c r="CM107" s="2106"/>
      <c r="CN107" s="2106">
        <f t="shared" si="279"/>
        <v>6.9232433443796246</v>
      </c>
      <c r="CO107" s="2106">
        <f t="shared" si="280"/>
        <v>19.145066363999998</v>
      </c>
      <c r="CP107" s="2106">
        <v>20.316192000000001</v>
      </c>
      <c r="CQ107" s="2106">
        <f t="shared" si="281"/>
        <v>5.8417024804648428</v>
      </c>
      <c r="CR107" s="2106">
        <v>11.86811492</v>
      </c>
      <c r="CS107" s="2106">
        <f t="shared" si="282"/>
        <v>2.1394988834521742</v>
      </c>
      <c r="CT107" s="2106">
        <v>4.3466470099999999</v>
      </c>
      <c r="CU107" s="2106">
        <f t="shared" si="283"/>
        <v>3.6097857314992886E-3</v>
      </c>
      <c r="CV107" s="2106">
        <v>7.3337100000000002E-3</v>
      </c>
      <c r="CW107" s="2106"/>
      <c r="CX107" s="2106">
        <f t="shared" si="284"/>
        <v>7.9848111496485172</v>
      </c>
      <c r="CY107" s="2106">
        <f t="shared" si="285"/>
        <v>16.222095640000003</v>
      </c>
      <c r="CZ107" s="2106">
        <v>12.504364666666666</v>
      </c>
      <c r="DA107" s="2106">
        <f t="shared" si="189"/>
        <v>6.7308892099782547</v>
      </c>
      <c r="DB107" s="2106">
        <v>8.4165493212499989</v>
      </c>
      <c r="DC107" s="2106">
        <v>2.1534343303070074</v>
      </c>
      <c r="DD107" s="2109">
        <f t="shared" si="190"/>
        <v>2.6927328151877936</v>
      </c>
      <c r="DE107" s="2106"/>
      <c r="DF107" s="2106"/>
      <c r="DG107" s="2106"/>
      <c r="DH107" s="2106">
        <f t="shared" si="286"/>
        <v>8.8843235402852621</v>
      </c>
      <c r="DI107" s="2106">
        <f t="shared" si="287"/>
        <v>11.109282136437793</v>
      </c>
      <c r="DJ107" s="2106">
        <v>11.663926333333331</v>
      </c>
      <c r="DK107" s="2106">
        <f t="shared" si="192"/>
        <v>7.2158800396373115</v>
      </c>
      <c r="DL107" s="2106">
        <v>8.4165493212499989</v>
      </c>
      <c r="DM107" s="2106">
        <v>2.1534343303070074</v>
      </c>
      <c r="DN107" s="2109">
        <f t="shared" si="193"/>
        <v>2.5117499392371929</v>
      </c>
      <c r="DO107" s="2106"/>
      <c r="DP107" s="2106"/>
      <c r="DQ107" s="2106"/>
      <c r="DR107" s="2106">
        <f t="shared" si="288"/>
        <v>9.369314369944318</v>
      </c>
      <c r="DS107" s="2106">
        <f t="shared" si="289"/>
        <v>10.928299260487192</v>
      </c>
      <c r="DT107" s="2106">
        <v>26.317966666666671</v>
      </c>
      <c r="DU107" s="2106">
        <f t="shared" si="195"/>
        <v>3.1980241588762546</v>
      </c>
      <c r="DV107" s="2106">
        <v>8.4165493212499989</v>
      </c>
      <c r="DW107" s="2106">
        <v>2.1534343303070074</v>
      </c>
      <c r="DX107" s="2109">
        <f t="shared" si="196"/>
        <v>5.6674012923875488</v>
      </c>
      <c r="DY107" s="2106"/>
      <c r="DZ107" s="2106"/>
      <c r="EA107" s="2106"/>
      <c r="EB107" s="2106">
        <f t="shared" si="290"/>
        <v>5.3514584891832619</v>
      </c>
      <c r="EC107" s="2106">
        <f t="shared" si="291"/>
        <v>14.083950613637548</v>
      </c>
      <c r="ED107" s="2106">
        <f t="shared" si="292"/>
        <v>641.42692466666654</v>
      </c>
      <c r="EE107" s="2107"/>
      <c r="EF107" s="2106">
        <f t="shared" si="293"/>
        <v>2.1498781363038759</v>
      </c>
      <c r="EG107" s="2106">
        <f t="shared" si="294"/>
        <v>137.89897213774998</v>
      </c>
      <c r="EH107" s="2106">
        <f t="shared" si="295"/>
        <v>2.0080591619964796</v>
      </c>
      <c r="EI107" s="2106">
        <f t="shared" si="296"/>
        <v>128.80232128281253</v>
      </c>
      <c r="EJ107" s="2106"/>
      <c r="EK107" s="2106">
        <f t="shared" si="297"/>
        <v>4.7256262099999997</v>
      </c>
      <c r="EL107" s="2106"/>
      <c r="EM107" s="2106"/>
      <c r="EN107" s="2106">
        <f t="shared" si="298"/>
        <v>271.42691963056245</v>
      </c>
      <c r="EO107" s="2104">
        <f t="shared" si="299"/>
        <v>4.2316109472893775</v>
      </c>
      <c r="EP107" s="2110"/>
      <c r="ES107" s="2084">
        <f t="shared" si="187"/>
        <v>0</v>
      </c>
      <c r="EU107" s="2084">
        <f t="shared" si="198"/>
        <v>117.93043723599999</v>
      </c>
      <c r="EV107" s="2084">
        <f t="shared" si="199"/>
        <v>590.94066699999996</v>
      </c>
      <c r="EW107" s="2084">
        <f t="shared" si="200"/>
        <v>1.9956392210184444</v>
      </c>
      <c r="FE107" s="2108"/>
      <c r="FF107" s="2108"/>
      <c r="FG107" s="2108"/>
      <c r="FH107" s="2108"/>
      <c r="FI107" s="2108"/>
      <c r="FJ107" s="2108"/>
      <c r="FK107" s="2108"/>
    </row>
    <row r="108" spans="1:167">
      <c r="A108" s="1760">
        <v>13</v>
      </c>
      <c r="B108" s="1761" t="s">
        <v>1735</v>
      </c>
      <c r="C108" s="2098" t="e">
        <v>#N/A</v>
      </c>
      <c r="D108" s="2099" t="e">
        <v>#N/A</v>
      </c>
      <c r="E108" s="2100"/>
      <c r="F108" s="2099"/>
      <c r="G108" s="2104">
        <v>156</v>
      </c>
      <c r="H108" s="2102" t="s">
        <v>1717</v>
      </c>
      <c r="I108" s="2103">
        <v>1</v>
      </c>
      <c r="J108" s="2104"/>
      <c r="K108" s="2101"/>
      <c r="L108" s="2101"/>
      <c r="M108" s="2105"/>
      <c r="N108" s="2106">
        <v>0</v>
      </c>
      <c r="O108" s="2106">
        <f t="shared" si="241"/>
        <v>0</v>
      </c>
      <c r="P108" s="2106">
        <v>0</v>
      </c>
      <c r="Q108" s="2106">
        <f t="shared" si="242"/>
        <v>0</v>
      </c>
      <c r="R108" s="2106">
        <v>0</v>
      </c>
      <c r="S108" s="2106">
        <f t="shared" si="243"/>
        <v>0</v>
      </c>
      <c r="T108" s="2106">
        <v>0</v>
      </c>
      <c r="U108" s="2106"/>
      <c r="V108" s="2106"/>
      <c r="W108" s="2106"/>
      <c r="X108" s="2106">
        <v>0</v>
      </c>
      <c r="Y108" s="2106">
        <f t="shared" si="246"/>
        <v>0</v>
      </c>
      <c r="Z108" s="2106">
        <v>0</v>
      </c>
      <c r="AA108" s="2106">
        <f t="shared" si="247"/>
        <v>0</v>
      </c>
      <c r="AB108" s="2106">
        <v>0</v>
      </c>
      <c r="AC108" s="2106">
        <f t="shared" si="248"/>
        <v>0</v>
      </c>
      <c r="AD108" s="2106">
        <v>0</v>
      </c>
      <c r="AE108" s="2106"/>
      <c r="AF108" s="2106">
        <f t="shared" si="249"/>
        <v>0</v>
      </c>
      <c r="AG108" s="2106">
        <f t="shared" si="250"/>
        <v>0</v>
      </c>
      <c r="AH108" s="2106">
        <v>0</v>
      </c>
      <c r="AI108" s="2106">
        <f t="shared" si="251"/>
        <v>0</v>
      </c>
      <c r="AJ108" s="2106">
        <v>0</v>
      </c>
      <c r="AK108" s="2106">
        <f t="shared" si="252"/>
        <v>0</v>
      </c>
      <c r="AL108" s="2106">
        <v>0</v>
      </c>
      <c r="AM108" s="2106">
        <f t="shared" si="253"/>
        <v>0</v>
      </c>
      <c r="AN108" s="2106">
        <v>0</v>
      </c>
      <c r="AO108" s="2106">
        <v>0</v>
      </c>
      <c r="AP108" s="2106">
        <f t="shared" si="254"/>
        <v>0</v>
      </c>
      <c r="AQ108" s="2106">
        <f t="shared" si="255"/>
        <v>0</v>
      </c>
      <c r="AR108" s="2106">
        <v>0</v>
      </c>
      <c r="AS108" s="2106">
        <f t="shared" si="256"/>
        <v>0</v>
      </c>
      <c r="AT108" s="2106">
        <v>0</v>
      </c>
      <c r="AU108" s="2106">
        <f t="shared" si="257"/>
        <v>0</v>
      </c>
      <c r="AV108" s="2106">
        <v>0</v>
      </c>
      <c r="AW108" s="2106">
        <f t="shared" si="258"/>
        <v>0</v>
      </c>
      <c r="AX108" s="2106">
        <v>0</v>
      </c>
      <c r="AY108" s="2106"/>
      <c r="AZ108" s="2106">
        <f t="shared" si="259"/>
        <v>0</v>
      </c>
      <c r="BA108" s="2106">
        <f t="shared" si="260"/>
        <v>0</v>
      </c>
      <c r="BB108" s="2106">
        <v>0</v>
      </c>
      <c r="BC108" s="2106">
        <f t="shared" si="261"/>
        <v>0</v>
      </c>
      <c r="BD108" s="2106">
        <v>0</v>
      </c>
      <c r="BE108" s="2106">
        <f t="shared" si="262"/>
        <v>0</v>
      </c>
      <c r="BF108" s="2106">
        <v>0</v>
      </c>
      <c r="BG108" s="2106">
        <f t="shared" si="263"/>
        <v>0</v>
      </c>
      <c r="BH108" s="2106">
        <v>0</v>
      </c>
      <c r="BI108" s="2106"/>
      <c r="BJ108" s="2106">
        <f t="shared" si="264"/>
        <v>0</v>
      </c>
      <c r="BK108" s="2106">
        <f t="shared" si="265"/>
        <v>0</v>
      </c>
      <c r="BL108" s="2106">
        <v>0</v>
      </c>
      <c r="BM108" s="2106">
        <f t="shared" si="266"/>
        <v>0</v>
      </c>
      <c r="BN108" s="2106">
        <v>0</v>
      </c>
      <c r="BO108" s="2106">
        <f t="shared" si="267"/>
        <v>0</v>
      </c>
      <c r="BP108" s="2106">
        <v>0</v>
      </c>
      <c r="BQ108" s="2106">
        <f t="shared" si="268"/>
        <v>0</v>
      </c>
      <c r="BR108" s="2106">
        <v>0</v>
      </c>
      <c r="BS108" s="2106"/>
      <c r="BT108" s="2106">
        <f t="shared" si="269"/>
        <v>0</v>
      </c>
      <c r="BU108" s="2106">
        <f t="shared" si="270"/>
        <v>0</v>
      </c>
      <c r="BV108" s="2106">
        <v>0</v>
      </c>
      <c r="BW108" s="2106">
        <f t="shared" si="271"/>
        <v>0</v>
      </c>
      <c r="BX108" s="2106">
        <v>0</v>
      </c>
      <c r="BY108" s="2106">
        <f t="shared" si="272"/>
        <v>0</v>
      </c>
      <c r="BZ108" s="2106">
        <v>0</v>
      </c>
      <c r="CA108" s="2106">
        <f t="shared" si="273"/>
        <v>0</v>
      </c>
      <c r="CB108" s="2106">
        <v>0</v>
      </c>
      <c r="CC108" s="2106"/>
      <c r="CD108" s="2106">
        <f t="shared" si="274"/>
        <v>0</v>
      </c>
      <c r="CE108" s="2106">
        <f t="shared" si="275"/>
        <v>0</v>
      </c>
      <c r="CF108" s="2106">
        <v>0</v>
      </c>
      <c r="CG108" s="2106">
        <f t="shared" si="276"/>
        <v>0</v>
      </c>
      <c r="CH108" s="2106">
        <v>0</v>
      </c>
      <c r="CI108" s="2106">
        <f t="shared" si="277"/>
        <v>0</v>
      </c>
      <c r="CJ108" s="2106">
        <v>0</v>
      </c>
      <c r="CK108" s="2106">
        <f t="shared" si="278"/>
        <v>0</v>
      </c>
      <c r="CL108" s="2106">
        <v>0</v>
      </c>
      <c r="CM108" s="2106"/>
      <c r="CN108" s="2106">
        <f t="shared" si="279"/>
        <v>0</v>
      </c>
      <c r="CO108" s="2106">
        <f t="shared" si="280"/>
        <v>0</v>
      </c>
      <c r="CP108" s="2106">
        <v>0</v>
      </c>
      <c r="CQ108" s="2106">
        <f t="shared" si="281"/>
        <v>0</v>
      </c>
      <c r="CR108" s="2106">
        <v>0</v>
      </c>
      <c r="CS108" s="2106">
        <f t="shared" si="282"/>
        <v>0</v>
      </c>
      <c r="CT108" s="2106">
        <v>0</v>
      </c>
      <c r="CU108" s="2106">
        <f t="shared" si="283"/>
        <v>0</v>
      </c>
      <c r="CV108" s="2106">
        <v>0</v>
      </c>
      <c r="CW108" s="2106"/>
      <c r="CX108" s="2106">
        <f t="shared" si="284"/>
        <v>0</v>
      </c>
      <c r="CY108" s="2106">
        <f t="shared" si="285"/>
        <v>0</v>
      </c>
      <c r="CZ108" s="2106">
        <v>0</v>
      </c>
      <c r="DA108" s="2106">
        <f t="shared" si="189"/>
        <v>0</v>
      </c>
      <c r="DB108" s="2106"/>
      <c r="DC108" s="2106">
        <v>2.2949999999999999</v>
      </c>
      <c r="DD108" s="2109">
        <f t="shared" si="190"/>
        <v>0</v>
      </c>
      <c r="DE108" s="2106"/>
      <c r="DF108" s="2106"/>
      <c r="DG108" s="2106"/>
      <c r="DH108" s="2106"/>
      <c r="DI108" s="2106"/>
      <c r="DJ108" s="2106">
        <v>0</v>
      </c>
      <c r="DK108" s="2106">
        <f t="shared" si="192"/>
        <v>0</v>
      </c>
      <c r="DL108" s="2106"/>
      <c r="DM108" s="2106">
        <v>2.2949999999999999</v>
      </c>
      <c r="DN108" s="2109">
        <f t="shared" si="193"/>
        <v>0</v>
      </c>
      <c r="DO108" s="2106"/>
      <c r="DP108" s="2106"/>
      <c r="DQ108" s="2106"/>
      <c r="DR108" s="2106"/>
      <c r="DS108" s="2106"/>
      <c r="DT108" s="2106">
        <v>57.335615999999995</v>
      </c>
      <c r="DU108" s="2106">
        <f t="shared" si="195"/>
        <v>0.85243699134583306</v>
      </c>
      <c r="DV108" s="2106">
        <v>4.8875000000000002</v>
      </c>
      <c r="DW108" s="2106">
        <v>2.2949999999999999</v>
      </c>
      <c r="DX108" s="2109">
        <f t="shared" si="196"/>
        <v>13.158523871999998</v>
      </c>
      <c r="DY108" s="2106"/>
      <c r="DZ108" s="2106"/>
      <c r="EA108" s="2106"/>
      <c r="EB108" s="2106">
        <f>IFERROR(EC108/DT108*10,0)</f>
        <v>3.1474369913458333</v>
      </c>
      <c r="EC108" s="2106">
        <f>SUM(DV108,DX108,DZ108,EA108)</f>
        <v>18.046023871999999</v>
      </c>
      <c r="ED108" s="2106">
        <f t="shared" si="292"/>
        <v>57.335615999999995</v>
      </c>
      <c r="EE108" s="2107"/>
      <c r="EF108" s="2106">
        <f t="shared" si="293"/>
        <v>0.85243699134583306</v>
      </c>
      <c r="EG108" s="2106">
        <f t="shared" si="294"/>
        <v>4.8875000000000002</v>
      </c>
      <c r="EH108" s="2106">
        <f t="shared" si="295"/>
        <v>2.2949999999999999</v>
      </c>
      <c r="EI108" s="2106">
        <f t="shared" si="296"/>
        <v>13.158523871999998</v>
      </c>
      <c r="EJ108" s="2106"/>
      <c r="EK108" s="2106">
        <f t="shared" si="297"/>
        <v>0</v>
      </c>
      <c r="EL108" s="2106"/>
      <c r="EM108" s="2106"/>
      <c r="EN108" s="2106">
        <f t="shared" si="298"/>
        <v>18.046023871999999</v>
      </c>
      <c r="EO108" s="2104">
        <f t="shared" si="299"/>
        <v>3.1474369913458333</v>
      </c>
      <c r="EP108" s="2110"/>
      <c r="ES108" s="2084">
        <f t="shared" si="187"/>
        <v>0</v>
      </c>
      <c r="EU108" s="2084">
        <f t="shared" si="198"/>
        <v>0</v>
      </c>
      <c r="EV108" s="2084">
        <f t="shared" si="199"/>
        <v>0</v>
      </c>
      <c r="EW108" s="2084" t="e">
        <f t="shared" si="200"/>
        <v>#DIV/0!</v>
      </c>
      <c r="FE108" s="2108"/>
      <c r="FF108" s="2108"/>
      <c r="FG108" s="2108"/>
      <c r="FH108" s="2108"/>
      <c r="FI108" s="2108"/>
      <c r="FJ108" s="2108"/>
      <c r="FK108" s="2108"/>
    </row>
    <row r="109" spans="1:167">
      <c r="A109" s="1760">
        <v>14</v>
      </c>
      <c r="B109" s="1761" t="s">
        <v>1736</v>
      </c>
      <c r="C109" s="2098" t="e">
        <v>#N/A</v>
      </c>
      <c r="D109" s="2099" t="e">
        <v>#N/A</v>
      </c>
      <c r="E109" s="2100"/>
      <c r="F109" s="2099"/>
      <c r="G109" s="2104">
        <v>182</v>
      </c>
      <c r="H109" s="2102" t="s">
        <v>1717</v>
      </c>
      <c r="I109" s="2103">
        <v>1</v>
      </c>
      <c r="J109" s="2104"/>
      <c r="K109" s="2101"/>
      <c r="L109" s="2101"/>
      <c r="M109" s="2105"/>
      <c r="N109" s="2106">
        <v>0</v>
      </c>
      <c r="O109" s="2106">
        <f t="shared" si="241"/>
        <v>0</v>
      </c>
      <c r="P109" s="2106">
        <v>0</v>
      </c>
      <c r="Q109" s="2106">
        <f t="shared" si="242"/>
        <v>0</v>
      </c>
      <c r="R109" s="2106">
        <v>0</v>
      </c>
      <c r="S109" s="2106">
        <f t="shared" si="243"/>
        <v>0</v>
      </c>
      <c r="T109" s="2106">
        <v>0</v>
      </c>
      <c r="U109" s="2106"/>
      <c r="V109" s="2106"/>
      <c r="W109" s="2106"/>
      <c r="X109" s="2106">
        <v>0</v>
      </c>
      <c r="Y109" s="2106">
        <f t="shared" si="246"/>
        <v>0</v>
      </c>
      <c r="Z109" s="2106">
        <v>0</v>
      </c>
      <c r="AA109" s="2106">
        <f t="shared" si="247"/>
        <v>0</v>
      </c>
      <c r="AB109" s="2106">
        <v>0</v>
      </c>
      <c r="AC109" s="2106">
        <f t="shared" si="248"/>
        <v>0</v>
      </c>
      <c r="AD109" s="2106">
        <v>0</v>
      </c>
      <c r="AE109" s="2106"/>
      <c r="AF109" s="2106">
        <f t="shared" si="249"/>
        <v>0</v>
      </c>
      <c r="AG109" s="2106">
        <f t="shared" si="250"/>
        <v>0</v>
      </c>
      <c r="AH109" s="2106">
        <v>0</v>
      </c>
      <c r="AI109" s="2106">
        <f t="shared" si="251"/>
        <v>0</v>
      </c>
      <c r="AJ109" s="2106">
        <v>0</v>
      </c>
      <c r="AK109" s="2106">
        <f t="shared" si="252"/>
        <v>0</v>
      </c>
      <c r="AL109" s="2106">
        <v>0</v>
      </c>
      <c r="AM109" s="2106">
        <f t="shared" si="253"/>
        <v>0</v>
      </c>
      <c r="AN109" s="2106">
        <v>0</v>
      </c>
      <c r="AO109" s="2106">
        <v>0</v>
      </c>
      <c r="AP109" s="2106">
        <f t="shared" si="254"/>
        <v>0</v>
      </c>
      <c r="AQ109" s="2106">
        <f t="shared" si="255"/>
        <v>0</v>
      </c>
      <c r="AR109" s="2106">
        <v>0</v>
      </c>
      <c r="AS109" s="2106">
        <f t="shared" si="256"/>
        <v>0</v>
      </c>
      <c r="AT109" s="2106">
        <v>0</v>
      </c>
      <c r="AU109" s="2106">
        <f t="shared" si="257"/>
        <v>0</v>
      </c>
      <c r="AV109" s="2106">
        <v>0</v>
      </c>
      <c r="AW109" s="2106">
        <f t="shared" si="258"/>
        <v>0</v>
      </c>
      <c r="AX109" s="2106">
        <v>0</v>
      </c>
      <c r="AY109" s="2106"/>
      <c r="AZ109" s="2106">
        <f t="shared" si="259"/>
        <v>0</v>
      </c>
      <c r="BA109" s="2106">
        <f t="shared" si="260"/>
        <v>0</v>
      </c>
      <c r="BB109" s="2106">
        <v>0</v>
      </c>
      <c r="BC109" s="2106">
        <f t="shared" si="261"/>
        <v>0</v>
      </c>
      <c r="BD109" s="2106">
        <v>0</v>
      </c>
      <c r="BE109" s="2106">
        <f t="shared" si="262"/>
        <v>0</v>
      </c>
      <c r="BF109" s="2106">
        <v>0</v>
      </c>
      <c r="BG109" s="2106">
        <f t="shared" si="263"/>
        <v>0</v>
      </c>
      <c r="BH109" s="2106">
        <v>0</v>
      </c>
      <c r="BI109" s="2106"/>
      <c r="BJ109" s="2106">
        <f t="shared" si="264"/>
        <v>0</v>
      </c>
      <c r="BK109" s="2106">
        <f t="shared" si="265"/>
        <v>0</v>
      </c>
      <c r="BL109" s="2106">
        <v>0</v>
      </c>
      <c r="BM109" s="2106">
        <f t="shared" si="266"/>
        <v>0</v>
      </c>
      <c r="BN109" s="2106">
        <v>0</v>
      </c>
      <c r="BO109" s="2106">
        <f t="shared" si="267"/>
        <v>0</v>
      </c>
      <c r="BP109" s="2106">
        <v>0</v>
      </c>
      <c r="BQ109" s="2106">
        <f t="shared" si="268"/>
        <v>0</v>
      </c>
      <c r="BR109" s="2106">
        <v>0</v>
      </c>
      <c r="BS109" s="2106"/>
      <c r="BT109" s="2106">
        <f t="shared" si="269"/>
        <v>0</v>
      </c>
      <c r="BU109" s="2106">
        <f t="shared" si="270"/>
        <v>0</v>
      </c>
      <c r="BV109" s="2106">
        <v>0</v>
      </c>
      <c r="BW109" s="2106">
        <f t="shared" si="271"/>
        <v>0</v>
      </c>
      <c r="BX109" s="2106">
        <v>0</v>
      </c>
      <c r="BY109" s="2106">
        <f t="shared" si="272"/>
        <v>0</v>
      </c>
      <c r="BZ109" s="2106">
        <v>0</v>
      </c>
      <c r="CA109" s="2106">
        <f t="shared" si="273"/>
        <v>0</v>
      </c>
      <c r="CB109" s="2106">
        <v>0</v>
      </c>
      <c r="CC109" s="2106"/>
      <c r="CD109" s="2106">
        <f t="shared" si="274"/>
        <v>0</v>
      </c>
      <c r="CE109" s="2106">
        <f t="shared" si="275"/>
        <v>0</v>
      </c>
      <c r="CF109" s="2106">
        <v>0</v>
      </c>
      <c r="CG109" s="2106">
        <f t="shared" si="276"/>
        <v>0</v>
      </c>
      <c r="CH109" s="2106">
        <v>0</v>
      </c>
      <c r="CI109" s="2106">
        <f t="shared" si="277"/>
        <v>0</v>
      </c>
      <c r="CJ109" s="2106">
        <v>0</v>
      </c>
      <c r="CK109" s="2106">
        <f t="shared" si="278"/>
        <v>0</v>
      </c>
      <c r="CL109" s="2106">
        <v>0</v>
      </c>
      <c r="CM109" s="2106"/>
      <c r="CN109" s="2106">
        <f t="shared" si="279"/>
        <v>0</v>
      </c>
      <c r="CO109" s="2106">
        <f t="shared" si="280"/>
        <v>0</v>
      </c>
      <c r="CP109" s="2106">
        <v>0</v>
      </c>
      <c r="CQ109" s="2106">
        <f t="shared" si="281"/>
        <v>0</v>
      </c>
      <c r="CR109" s="2106">
        <v>0</v>
      </c>
      <c r="CS109" s="2106">
        <f t="shared" si="282"/>
        <v>0</v>
      </c>
      <c r="CT109" s="2106">
        <v>0</v>
      </c>
      <c r="CU109" s="2106">
        <f t="shared" si="283"/>
        <v>0</v>
      </c>
      <c r="CV109" s="2106">
        <v>0</v>
      </c>
      <c r="CW109" s="2106"/>
      <c r="CX109" s="2106">
        <f t="shared" si="284"/>
        <v>0</v>
      </c>
      <c r="CY109" s="2106">
        <f t="shared" si="285"/>
        <v>0</v>
      </c>
      <c r="CZ109" s="2106">
        <v>0</v>
      </c>
      <c r="DA109" s="2106">
        <f t="shared" si="189"/>
        <v>0</v>
      </c>
      <c r="DB109" s="2106">
        <v>0</v>
      </c>
      <c r="DC109" s="2106">
        <v>2.2949999999999999</v>
      </c>
      <c r="DD109" s="2109">
        <f t="shared" si="190"/>
        <v>0</v>
      </c>
      <c r="DE109" s="2106"/>
      <c r="DF109" s="2106"/>
      <c r="DG109" s="2106"/>
      <c r="DH109" s="2106"/>
      <c r="DI109" s="2106"/>
      <c r="DJ109" s="2106">
        <v>0</v>
      </c>
      <c r="DK109" s="2106">
        <f t="shared" si="192"/>
        <v>0</v>
      </c>
      <c r="DL109" s="2106">
        <v>0</v>
      </c>
      <c r="DM109" s="2106">
        <v>2.2949999999999999</v>
      </c>
      <c r="DN109" s="2109">
        <f t="shared" si="193"/>
        <v>0</v>
      </c>
      <c r="DO109" s="2106"/>
      <c r="DP109" s="2106"/>
      <c r="DQ109" s="2106"/>
      <c r="DR109" s="2106"/>
      <c r="DS109" s="2106"/>
      <c r="DT109" s="2106">
        <v>0</v>
      </c>
      <c r="DU109" s="2106">
        <f t="shared" si="195"/>
        <v>0</v>
      </c>
      <c r="DV109" s="2106">
        <v>0</v>
      </c>
      <c r="DW109" s="2106">
        <v>2.2949999999999999</v>
      </c>
      <c r="DX109" s="2109">
        <f t="shared" si="196"/>
        <v>0</v>
      </c>
      <c r="DY109" s="2106"/>
      <c r="DZ109" s="2106"/>
      <c r="EA109" s="2106"/>
      <c r="EB109" s="2106"/>
      <c r="EC109" s="2106"/>
      <c r="ED109" s="2106">
        <f t="shared" si="292"/>
        <v>0</v>
      </c>
      <c r="EE109" s="2107"/>
      <c r="EF109" s="2106">
        <f t="shared" si="293"/>
        <v>0</v>
      </c>
      <c r="EG109" s="2106">
        <f t="shared" si="294"/>
        <v>0</v>
      </c>
      <c r="EH109" s="2106">
        <f t="shared" si="295"/>
        <v>0</v>
      </c>
      <c r="EI109" s="2106">
        <f t="shared" si="296"/>
        <v>0</v>
      </c>
      <c r="EJ109" s="2106"/>
      <c r="EK109" s="2106">
        <f t="shared" si="297"/>
        <v>0</v>
      </c>
      <c r="EL109" s="2106"/>
      <c r="EM109" s="2106"/>
      <c r="EN109" s="2106">
        <f t="shared" si="298"/>
        <v>0</v>
      </c>
      <c r="EO109" s="2104">
        <f t="shared" si="299"/>
        <v>0</v>
      </c>
      <c r="EP109" s="2110"/>
      <c r="ES109" s="2084">
        <f t="shared" si="187"/>
        <v>0</v>
      </c>
      <c r="EU109" s="2084">
        <f t="shared" si="198"/>
        <v>0</v>
      </c>
      <c r="EV109" s="2084">
        <f t="shared" si="199"/>
        <v>0</v>
      </c>
      <c r="EW109" s="2084" t="e">
        <f t="shared" si="200"/>
        <v>#DIV/0!</v>
      </c>
      <c r="FE109" s="2108"/>
      <c r="FF109" s="2108"/>
      <c r="FG109" s="2108"/>
      <c r="FH109" s="2108"/>
      <c r="FI109" s="2108"/>
      <c r="FJ109" s="2108"/>
      <c r="FK109" s="2108"/>
    </row>
    <row r="110" spans="1:167">
      <c r="A110" s="1760">
        <v>15</v>
      </c>
      <c r="B110" s="1761" t="s">
        <v>1737</v>
      </c>
      <c r="C110" s="2098" t="e">
        <v>#N/A</v>
      </c>
      <c r="D110" s="2099" t="e">
        <v>#N/A</v>
      </c>
      <c r="E110" s="2100"/>
      <c r="F110" s="2099"/>
      <c r="G110" s="2104">
        <v>200</v>
      </c>
      <c r="H110" s="2102" t="s">
        <v>1717</v>
      </c>
      <c r="I110" s="2103">
        <v>1</v>
      </c>
      <c r="J110" s="2104"/>
      <c r="K110" s="2101"/>
      <c r="L110" s="2101"/>
      <c r="M110" s="2105"/>
      <c r="N110" s="2106">
        <v>0</v>
      </c>
      <c r="O110" s="2106">
        <f t="shared" si="241"/>
        <v>0</v>
      </c>
      <c r="P110" s="2106">
        <v>0</v>
      </c>
      <c r="Q110" s="2106">
        <f t="shared" si="242"/>
        <v>0</v>
      </c>
      <c r="R110" s="2106">
        <v>0</v>
      </c>
      <c r="S110" s="2106">
        <f t="shared" si="243"/>
        <v>0</v>
      </c>
      <c r="T110" s="2106">
        <v>0</v>
      </c>
      <c r="U110" s="2106"/>
      <c r="V110" s="2106"/>
      <c r="W110" s="2106"/>
      <c r="X110" s="2106">
        <v>0</v>
      </c>
      <c r="Y110" s="2106">
        <f t="shared" si="246"/>
        <v>0</v>
      </c>
      <c r="Z110" s="2106">
        <v>0</v>
      </c>
      <c r="AA110" s="2106">
        <f t="shared" si="247"/>
        <v>0</v>
      </c>
      <c r="AB110" s="2106">
        <v>0</v>
      </c>
      <c r="AC110" s="2106">
        <f t="shared" si="248"/>
        <v>0</v>
      </c>
      <c r="AD110" s="2106">
        <v>0</v>
      </c>
      <c r="AE110" s="2106"/>
      <c r="AF110" s="2106">
        <f t="shared" si="249"/>
        <v>0</v>
      </c>
      <c r="AG110" s="2106">
        <f t="shared" si="250"/>
        <v>0</v>
      </c>
      <c r="AH110" s="2106">
        <v>0</v>
      </c>
      <c r="AI110" s="2106">
        <f t="shared" si="251"/>
        <v>0</v>
      </c>
      <c r="AJ110" s="2106">
        <v>0</v>
      </c>
      <c r="AK110" s="2106">
        <f t="shared" si="252"/>
        <v>0</v>
      </c>
      <c r="AL110" s="2106">
        <v>0</v>
      </c>
      <c r="AM110" s="2106">
        <f t="shared" si="253"/>
        <v>0</v>
      </c>
      <c r="AN110" s="2106">
        <v>0</v>
      </c>
      <c r="AO110" s="2106">
        <v>0</v>
      </c>
      <c r="AP110" s="2106">
        <f t="shared" si="254"/>
        <v>0</v>
      </c>
      <c r="AQ110" s="2106">
        <f t="shared" si="255"/>
        <v>0</v>
      </c>
      <c r="AR110" s="2106">
        <v>0</v>
      </c>
      <c r="AS110" s="2106">
        <f t="shared" si="256"/>
        <v>0</v>
      </c>
      <c r="AT110" s="2106">
        <v>0</v>
      </c>
      <c r="AU110" s="2106">
        <f t="shared" si="257"/>
        <v>0</v>
      </c>
      <c r="AV110" s="2106">
        <v>0</v>
      </c>
      <c r="AW110" s="2106">
        <f t="shared" si="258"/>
        <v>0</v>
      </c>
      <c r="AX110" s="2106">
        <v>0</v>
      </c>
      <c r="AY110" s="2106"/>
      <c r="AZ110" s="2106">
        <f t="shared" si="259"/>
        <v>0</v>
      </c>
      <c r="BA110" s="2106">
        <f t="shared" si="260"/>
        <v>0</v>
      </c>
      <c r="BB110" s="2106">
        <v>0</v>
      </c>
      <c r="BC110" s="2106">
        <f t="shared" si="261"/>
        <v>0</v>
      </c>
      <c r="BD110" s="2106">
        <v>0</v>
      </c>
      <c r="BE110" s="2106">
        <f t="shared" si="262"/>
        <v>0</v>
      </c>
      <c r="BF110" s="2106">
        <v>0</v>
      </c>
      <c r="BG110" s="2106">
        <f t="shared" si="263"/>
        <v>0</v>
      </c>
      <c r="BH110" s="2106">
        <v>0</v>
      </c>
      <c r="BI110" s="2106"/>
      <c r="BJ110" s="2106">
        <f t="shared" si="264"/>
        <v>0</v>
      </c>
      <c r="BK110" s="2106">
        <f t="shared" si="265"/>
        <v>0</v>
      </c>
      <c r="BL110" s="2106">
        <v>0</v>
      </c>
      <c r="BM110" s="2106">
        <f t="shared" si="266"/>
        <v>0</v>
      </c>
      <c r="BN110" s="2106">
        <v>0</v>
      </c>
      <c r="BO110" s="2106">
        <f t="shared" si="267"/>
        <v>0</v>
      </c>
      <c r="BP110" s="2106">
        <v>0</v>
      </c>
      <c r="BQ110" s="2106">
        <f t="shared" si="268"/>
        <v>0</v>
      </c>
      <c r="BR110" s="2106">
        <v>0</v>
      </c>
      <c r="BS110" s="2106"/>
      <c r="BT110" s="2106">
        <f t="shared" si="269"/>
        <v>0</v>
      </c>
      <c r="BU110" s="2106">
        <f t="shared" si="270"/>
        <v>0</v>
      </c>
      <c r="BV110" s="2106">
        <v>0</v>
      </c>
      <c r="BW110" s="2106">
        <f t="shared" si="271"/>
        <v>0</v>
      </c>
      <c r="BX110" s="2106">
        <v>0</v>
      </c>
      <c r="BY110" s="2106">
        <f t="shared" si="272"/>
        <v>0</v>
      </c>
      <c r="BZ110" s="2106">
        <v>0</v>
      </c>
      <c r="CA110" s="2106">
        <f t="shared" si="273"/>
        <v>0</v>
      </c>
      <c r="CB110" s="2106">
        <v>0</v>
      </c>
      <c r="CC110" s="2106"/>
      <c r="CD110" s="2106">
        <f t="shared" si="274"/>
        <v>0</v>
      </c>
      <c r="CE110" s="2106">
        <f t="shared" si="275"/>
        <v>0</v>
      </c>
      <c r="CF110" s="2106">
        <v>0</v>
      </c>
      <c r="CG110" s="2106">
        <f t="shared" si="276"/>
        <v>0</v>
      </c>
      <c r="CH110" s="2106">
        <v>0</v>
      </c>
      <c r="CI110" s="2106">
        <f t="shared" si="277"/>
        <v>0</v>
      </c>
      <c r="CJ110" s="2106">
        <v>0</v>
      </c>
      <c r="CK110" s="2106">
        <f t="shared" si="278"/>
        <v>0</v>
      </c>
      <c r="CL110" s="2106">
        <v>0</v>
      </c>
      <c r="CM110" s="2106"/>
      <c r="CN110" s="2106">
        <f t="shared" si="279"/>
        <v>0</v>
      </c>
      <c r="CO110" s="2106">
        <f t="shared" si="280"/>
        <v>0</v>
      </c>
      <c r="CP110" s="2106">
        <v>0</v>
      </c>
      <c r="CQ110" s="2106">
        <f t="shared" si="281"/>
        <v>0</v>
      </c>
      <c r="CR110" s="2106">
        <v>0</v>
      </c>
      <c r="CS110" s="2106">
        <f t="shared" si="282"/>
        <v>0</v>
      </c>
      <c r="CT110" s="2106">
        <v>0</v>
      </c>
      <c r="CU110" s="2106">
        <f t="shared" si="283"/>
        <v>0</v>
      </c>
      <c r="CV110" s="2106">
        <v>0</v>
      </c>
      <c r="CW110" s="2106"/>
      <c r="CX110" s="2106">
        <f t="shared" si="284"/>
        <v>0</v>
      </c>
      <c r="CY110" s="2106">
        <f t="shared" si="285"/>
        <v>0</v>
      </c>
      <c r="CZ110" s="2106">
        <v>0</v>
      </c>
      <c r="DA110" s="2106">
        <f t="shared" si="189"/>
        <v>0</v>
      </c>
      <c r="DB110" s="2106">
        <v>0</v>
      </c>
      <c r="DC110" s="2106">
        <v>0</v>
      </c>
      <c r="DD110" s="2109">
        <f t="shared" si="190"/>
        <v>0</v>
      </c>
      <c r="DE110" s="2106"/>
      <c r="DF110" s="2106"/>
      <c r="DG110" s="2106"/>
      <c r="DH110" s="2106"/>
      <c r="DI110" s="2106"/>
      <c r="DJ110" s="2106">
        <v>0</v>
      </c>
      <c r="DK110" s="2106">
        <f t="shared" si="192"/>
        <v>0</v>
      </c>
      <c r="DL110" s="2106">
        <v>0</v>
      </c>
      <c r="DM110" s="2106">
        <v>0</v>
      </c>
      <c r="DN110" s="2109">
        <f t="shared" si="193"/>
        <v>0</v>
      </c>
      <c r="DO110" s="2106"/>
      <c r="DP110" s="2106"/>
      <c r="DQ110" s="2106"/>
      <c r="DR110" s="2106"/>
      <c r="DS110" s="2106"/>
      <c r="DT110" s="2106">
        <v>0</v>
      </c>
      <c r="DU110" s="2106">
        <f t="shared" si="195"/>
        <v>0</v>
      </c>
      <c r="DV110" s="2106">
        <v>0</v>
      </c>
      <c r="DW110" s="2106">
        <v>0</v>
      </c>
      <c r="DX110" s="2109">
        <f t="shared" si="196"/>
        <v>0</v>
      </c>
      <c r="DY110" s="2106"/>
      <c r="DZ110" s="2106"/>
      <c r="EA110" s="2106"/>
      <c r="EB110" s="2106"/>
      <c r="EC110" s="2106"/>
      <c r="ED110" s="2106">
        <f t="shared" si="292"/>
        <v>0</v>
      </c>
      <c r="EE110" s="2107"/>
      <c r="EF110" s="2106">
        <f t="shared" si="293"/>
        <v>0</v>
      </c>
      <c r="EG110" s="2106">
        <f t="shared" si="294"/>
        <v>0</v>
      </c>
      <c r="EH110" s="2106">
        <f t="shared" si="295"/>
        <v>0</v>
      </c>
      <c r="EI110" s="2106">
        <f t="shared" si="296"/>
        <v>0</v>
      </c>
      <c r="EJ110" s="2106"/>
      <c r="EK110" s="2106">
        <f t="shared" si="297"/>
        <v>0</v>
      </c>
      <c r="EL110" s="2106"/>
      <c r="EM110" s="2106"/>
      <c r="EN110" s="2106">
        <f t="shared" si="298"/>
        <v>0</v>
      </c>
      <c r="EO110" s="2104">
        <f t="shared" si="299"/>
        <v>0</v>
      </c>
      <c r="EP110" s="2110"/>
      <c r="ES110" s="2084">
        <f t="shared" si="187"/>
        <v>0</v>
      </c>
      <c r="EU110" s="2084">
        <f t="shared" si="198"/>
        <v>0</v>
      </c>
      <c r="EV110" s="2084">
        <f t="shared" si="199"/>
        <v>0</v>
      </c>
      <c r="EW110" s="2084" t="e">
        <f t="shared" si="200"/>
        <v>#DIV/0!</v>
      </c>
      <c r="FE110" s="2108"/>
      <c r="FF110" s="2108"/>
      <c r="FG110" s="2108"/>
      <c r="FH110" s="2108"/>
      <c r="FI110" s="2108"/>
      <c r="FJ110" s="2108"/>
      <c r="FK110" s="2108"/>
    </row>
    <row r="111" spans="1:167">
      <c r="A111" s="1760"/>
      <c r="B111" s="1774" t="s">
        <v>2058</v>
      </c>
      <c r="C111" s="2098"/>
      <c r="D111" s="2099"/>
      <c r="E111" s="2100"/>
      <c r="F111" s="2099"/>
      <c r="G111" s="2104"/>
      <c r="H111" s="2102"/>
      <c r="I111" s="2103">
        <v>1</v>
      </c>
      <c r="J111" s="2104"/>
      <c r="K111" s="2101"/>
      <c r="L111" s="2101"/>
      <c r="M111" s="2105"/>
      <c r="N111" s="2106">
        <v>0</v>
      </c>
      <c r="O111" s="2106">
        <f t="shared" si="241"/>
        <v>0</v>
      </c>
      <c r="P111" s="2106">
        <v>0</v>
      </c>
      <c r="Q111" s="2106">
        <f t="shared" si="242"/>
        <v>0</v>
      </c>
      <c r="R111" s="2106">
        <v>0</v>
      </c>
      <c r="S111" s="2106">
        <f t="shared" si="243"/>
        <v>0</v>
      </c>
      <c r="T111" s="2106">
        <v>0</v>
      </c>
      <c r="U111" s="2106"/>
      <c r="V111" s="2106">
        <f t="shared" si="244"/>
        <v>0</v>
      </c>
      <c r="W111" s="2106">
        <f t="shared" si="245"/>
        <v>0</v>
      </c>
      <c r="X111" s="2106">
        <v>0</v>
      </c>
      <c r="Y111" s="2106">
        <f t="shared" si="246"/>
        <v>0</v>
      </c>
      <c r="Z111" s="2106">
        <v>0</v>
      </c>
      <c r="AA111" s="2106">
        <f t="shared" si="247"/>
        <v>0</v>
      </c>
      <c r="AB111" s="2106">
        <v>0</v>
      </c>
      <c r="AC111" s="2106">
        <f t="shared" si="248"/>
        <v>0</v>
      </c>
      <c r="AD111" s="2106">
        <v>0</v>
      </c>
      <c r="AE111" s="2106"/>
      <c r="AF111" s="2106">
        <f t="shared" si="249"/>
        <v>0</v>
      </c>
      <c r="AG111" s="2106">
        <f t="shared" si="250"/>
        <v>0</v>
      </c>
      <c r="AH111" s="2106">
        <v>0</v>
      </c>
      <c r="AI111" s="2106">
        <f t="shared" si="251"/>
        <v>0</v>
      </c>
      <c r="AJ111" s="2106">
        <v>0</v>
      </c>
      <c r="AK111" s="2106">
        <f t="shared" si="252"/>
        <v>0</v>
      </c>
      <c r="AL111" s="2106">
        <v>0</v>
      </c>
      <c r="AM111" s="2106">
        <f t="shared" si="253"/>
        <v>0</v>
      </c>
      <c r="AN111" s="2106">
        <v>0</v>
      </c>
      <c r="AO111" s="2106">
        <v>0</v>
      </c>
      <c r="AP111" s="2106">
        <f t="shared" si="254"/>
        <v>0</v>
      </c>
      <c r="AQ111" s="2106">
        <f t="shared" si="255"/>
        <v>0</v>
      </c>
      <c r="AR111" s="2106">
        <v>0</v>
      </c>
      <c r="AS111" s="2106">
        <f t="shared" si="256"/>
        <v>0</v>
      </c>
      <c r="AT111" s="2106">
        <v>0</v>
      </c>
      <c r="AU111" s="2106">
        <f t="shared" si="257"/>
        <v>0</v>
      </c>
      <c r="AV111" s="2106">
        <v>0</v>
      </c>
      <c r="AW111" s="2106">
        <f t="shared" si="258"/>
        <v>0</v>
      </c>
      <c r="AX111" s="2106">
        <v>0</v>
      </c>
      <c r="AY111" s="2106"/>
      <c r="AZ111" s="2106">
        <f t="shared" si="259"/>
        <v>0</v>
      </c>
      <c r="BA111" s="2106">
        <f t="shared" si="260"/>
        <v>0</v>
      </c>
      <c r="BB111" s="2106">
        <v>0</v>
      </c>
      <c r="BC111" s="2106">
        <f t="shared" si="261"/>
        <v>0</v>
      </c>
      <c r="BD111" s="2106">
        <v>0</v>
      </c>
      <c r="BE111" s="2106">
        <f t="shared" si="262"/>
        <v>0</v>
      </c>
      <c r="BF111" s="2106">
        <v>0</v>
      </c>
      <c r="BG111" s="2106">
        <f t="shared" si="263"/>
        <v>0</v>
      </c>
      <c r="BH111" s="2106">
        <v>0</v>
      </c>
      <c r="BI111" s="2106"/>
      <c r="BJ111" s="2106">
        <f t="shared" si="264"/>
        <v>0</v>
      </c>
      <c r="BK111" s="2106">
        <f t="shared" si="265"/>
        <v>0</v>
      </c>
      <c r="BL111" s="2106">
        <v>0</v>
      </c>
      <c r="BM111" s="2106">
        <f>SUM(BM96:BM110)</f>
        <v>16.134347430119206</v>
      </c>
      <c r="BN111" s="2106">
        <v>0</v>
      </c>
      <c r="BO111" s="2106">
        <f t="shared" si="267"/>
        <v>0</v>
      </c>
      <c r="BP111" s="2106">
        <v>0</v>
      </c>
      <c r="BQ111" s="2106">
        <f t="shared" si="268"/>
        <v>0</v>
      </c>
      <c r="BR111" s="2106">
        <v>0</v>
      </c>
      <c r="BS111" s="2106"/>
      <c r="BT111" s="2106">
        <f t="shared" si="269"/>
        <v>0</v>
      </c>
      <c r="BU111" s="2106">
        <f t="shared" si="270"/>
        <v>0</v>
      </c>
      <c r="BV111" s="2106">
        <v>0</v>
      </c>
      <c r="BW111" s="2106">
        <f t="shared" si="271"/>
        <v>0</v>
      </c>
      <c r="BX111" s="2106">
        <v>0</v>
      </c>
      <c r="BY111" s="2106">
        <f t="shared" si="272"/>
        <v>0</v>
      </c>
      <c r="BZ111" s="2106">
        <v>0</v>
      </c>
      <c r="CA111" s="2106">
        <f t="shared" si="273"/>
        <v>0</v>
      </c>
      <c r="CB111" s="2106">
        <v>0</v>
      </c>
      <c r="CC111" s="2106">
        <v>104.6510572</v>
      </c>
      <c r="CD111" s="2106">
        <f t="shared" si="274"/>
        <v>0</v>
      </c>
      <c r="CE111" s="2106">
        <f t="shared" si="275"/>
        <v>104.6510572</v>
      </c>
      <c r="CF111" s="2106">
        <v>0</v>
      </c>
      <c r="CG111" s="2106">
        <f t="shared" si="276"/>
        <v>0</v>
      </c>
      <c r="CH111" s="2106">
        <v>0</v>
      </c>
      <c r="CI111" s="2106">
        <f t="shared" si="277"/>
        <v>0</v>
      </c>
      <c r="CJ111" s="2106">
        <v>0</v>
      </c>
      <c r="CK111" s="2106">
        <f t="shared" si="278"/>
        <v>0</v>
      </c>
      <c r="CL111" s="2106">
        <v>0</v>
      </c>
      <c r="CM111" s="2106"/>
      <c r="CN111" s="2106">
        <f t="shared" si="279"/>
        <v>0</v>
      </c>
      <c r="CO111" s="2106">
        <f t="shared" si="280"/>
        <v>0</v>
      </c>
      <c r="CP111" s="2106">
        <v>0</v>
      </c>
      <c r="CQ111" s="2106">
        <f t="shared" si="281"/>
        <v>0</v>
      </c>
      <c r="CR111" s="2106">
        <v>0</v>
      </c>
      <c r="CS111" s="2106">
        <f t="shared" si="282"/>
        <v>0</v>
      </c>
      <c r="CT111" s="2106">
        <v>0</v>
      </c>
      <c r="CU111" s="2106">
        <f t="shared" si="283"/>
        <v>0</v>
      </c>
      <c r="CV111" s="2106">
        <v>0</v>
      </c>
      <c r="CW111" s="2106">
        <v>1.046510572E-5</v>
      </c>
      <c r="CX111" s="2106">
        <f t="shared" si="284"/>
        <v>0</v>
      </c>
      <c r="CY111" s="2106">
        <f t="shared" si="285"/>
        <v>1.046510572E-5</v>
      </c>
      <c r="CZ111" s="2106">
        <v>0</v>
      </c>
      <c r="DA111" s="2106">
        <f t="shared" si="189"/>
        <v>0</v>
      </c>
      <c r="DB111" s="2106">
        <v>0</v>
      </c>
      <c r="DC111" s="2106">
        <v>0</v>
      </c>
      <c r="DD111" s="2109">
        <f t="shared" si="190"/>
        <v>0</v>
      </c>
      <c r="DE111" s="2106"/>
      <c r="DF111" s="2106"/>
      <c r="DG111" s="2106"/>
      <c r="DH111" s="2106">
        <f>IFERROR(DI111/CZ111*10,0)</f>
        <v>0</v>
      </c>
      <c r="DI111" s="2106">
        <f>SUM(DB111,DD111,DF111,DG111)</f>
        <v>0</v>
      </c>
      <c r="DJ111" s="2106">
        <v>0</v>
      </c>
      <c r="DK111" s="2106">
        <f t="shared" si="192"/>
        <v>0</v>
      </c>
      <c r="DL111" s="2106">
        <v>0</v>
      </c>
      <c r="DM111" s="2106">
        <v>0</v>
      </c>
      <c r="DN111" s="2109">
        <f t="shared" si="193"/>
        <v>0</v>
      </c>
      <c r="DO111" s="2106"/>
      <c r="DP111" s="2106"/>
      <c r="DQ111" s="2106"/>
      <c r="DR111" s="2106">
        <f>IFERROR(DS111/DJ111*10,0)</f>
        <v>0</v>
      </c>
      <c r="DS111" s="2106">
        <f>SUM(DL111,DN111,DP111,DQ111)</f>
        <v>0</v>
      </c>
      <c r="DT111" s="2106">
        <v>0</v>
      </c>
      <c r="DU111" s="2106">
        <f t="shared" si="195"/>
        <v>0</v>
      </c>
      <c r="DV111" s="2106">
        <v>0</v>
      </c>
      <c r="DW111" s="2106">
        <v>0</v>
      </c>
      <c r="DX111" s="2109">
        <f t="shared" si="196"/>
        <v>0</v>
      </c>
      <c r="DY111" s="2106"/>
      <c r="DZ111" s="2106"/>
      <c r="EA111" s="2106"/>
      <c r="EB111" s="2106">
        <f>IFERROR(EC111/DT111*10,0)</f>
        <v>0</v>
      </c>
      <c r="EC111" s="2106">
        <f>SUM(DV111,DX111,DZ111,EA111)</f>
        <v>0</v>
      </c>
      <c r="ED111" s="2106">
        <f t="shared" si="292"/>
        <v>0</v>
      </c>
      <c r="EE111" s="2107"/>
      <c r="EF111" s="2106">
        <f t="shared" si="293"/>
        <v>0</v>
      </c>
      <c r="EG111" s="2106">
        <f t="shared" si="294"/>
        <v>0</v>
      </c>
      <c r="EH111" s="2106">
        <f t="shared" si="295"/>
        <v>0</v>
      </c>
      <c r="EI111" s="2106">
        <f t="shared" si="296"/>
        <v>0</v>
      </c>
      <c r="EJ111" s="2106"/>
      <c r="EK111" s="2106">
        <f t="shared" si="297"/>
        <v>0</v>
      </c>
      <c r="EL111" s="2106"/>
      <c r="EM111" s="2106"/>
      <c r="EN111" s="2106">
        <f t="shared" si="298"/>
        <v>0</v>
      </c>
      <c r="EO111" s="2104">
        <f t="shared" si="299"/>
        <v>0</v>
      </c>
      <c r="EP111" s="2110"/>
      <c r="ES111" s="2084">
        <f t="shared" si="187"/>
        <v>0</v>
      </c>
      <c r="EU111" s="2084">
        <f t="shared" si="198"/>
        <v>0</v>
      </c>
      <c r="EV111" s="2084">
        <f t="shared" si="199"/>
        <v>0</v>
      </c>
      <c r="EW111" s="2084" t="e">
        <f t="shared" si="200"/>
        <v>#DIV/0!</v>
      </c>
      <c r="FE111" s="2108"/>
      <c r="FF111" s="2108"/>
      <c r="FG111" s="2108"/>
      <c r="FH111" s="2108"/>
      <c r="FI111" s="2108"/>
      <c r="FJ111" s="2108"/>
      <c r="FK111" s="2108"/>
    </row>
    <row r="112" spans="1:167">
      <c r="A112" s="1760"/>
      <c r="B112" s="1761" t="s">
        <v>211</v>
      </c>
      <c r="C112" s="2116" t="e">
        <f>SUM(C96:C110)</f>
        <v>#N/A</v>
      </c>
      <c r="D112" s="2117"/>
      <c r="E112" s="2118"/>
      <c r="F112" s="2117"/>
      <c r="G112" s="1879">
        <f>SUM(G96:G110)</f>
        <v>1415.6</v>
      </c>
      <c r="H112" s="2115"/>
      <c r="I112" s="2103"/>
      <c r="J112" s="2101"/>
      <c r="K112" s="2101"/>
      <c r="L112" s="2101"/>
      <c r="M112" s="2105"/>
      <c r="N112" s="2107">
        <f>SUM(N96:N111)</f>
        <v>308.08886600000005</v>
      </c>
      <c r="O112" s="2107">
        <f>IFERROR(P112/N112*10,0)</f>
        <v>2.0161708278026507</v>
      </c>
      <c r="P112" s="2107">
        <f>SUM(P96:P111)</f>
        <v>62.115978400000003</v>
      </c>
      <c r="Q112" s="2107">
        <f>IFERROR(R112/N112*10,0)</f>
        <v>1.6021147872315511</v>
      </c>
      <c r="R112" s="2107">
        <f>SUM(R96:R111)</f>
        <v>49.359372799999996</v>
      </c>
      <c r="S112" s="2106">
        <f>IFERROR(T112/N112*10,0)</f>
        <v>1.3719710338380093E-3</v>
      </c>
      <c r="T112" s="2107">
        <f>SUM(T96:T111)</f>
        <v>4.2268899999999998E-2</v>
      </c>
      <c r="U112" s="2107"/>
      <c r="V112" s="2107">
        <f t="shared" si="244"/>
        <v>3.6196575860680404</v>
      </c>
      <c r="W112" s="2107">
        <f>SUM(W96:W111)</f>
        <v>111.5176201</v>
      </c>
      <c r="X112" s="2107">
        <f>SUM(X96:X111)</f>
        <v>450.06568800000002</v>
      </c>
      <c r="Y112" s="2107">
        <f>IFERROR(Z112/X112*10,0)</f>
        <v>1.4831880296549069</v>
      </c>
      <c r="Z112" s="2107">
        <f>SUM(Z96:Z111)</f>
        <v>66.753204100000005</v>
      </c>
      <c r="AA112" s="2107">
        <f>IFERROR(AB112/X112*10,0)</f>
        <v>1.6455957935633605</v>
      </c>
      <c r="AB112" s="2107">
        <f>SUM(AB96:AB111)</f>
        <v>74.062620299999992</v>
      </c>
      <c r="AC112" s="2106">
        <f>IFERROR(AD112/X112*10,0)</f>
        <v>0.21938467124381184</v>
      </c>
      <c r="AD112" s="2107">
        <f>SUM(AD96:AD111)</f>
        <v>9.8737512999999986</v>
      </c>
      <c r="AE112" s="2107">
        <f>AE111</f>
        <v>0</v>
      </c>
      <c r="AF112" s="2107">
        <f>IFERROR(AG112/X112*10,0)</f>
        <v>3.3481684944620786</v>
      </c>
      <c r="AG112" s="2107">
        <f>SUM(AG96:AG111)</f>
        <v>150.68957569999998</v>
      </c>
      <c r="AH112" s="2107">
        <f>SUM(AH96:AH111)</f>
        <v>526.85062700000003</v>
      </c>
      <c r="AI112" s="2107">
        <f>IFERROR(AJ112/AH112*10,0)</f>
        <v>1.2060432790184379</v>
      </c>
      <c r="AJ112" s="2107">
        <f>SUM(AJ96:AJ111)</f>
        <v>63.540465773999998</v>
      </c>
      <c r="AK112" s="2107">
        <f>IFERROR(AL112/AH112*10,0)</f>
        <v>1.5891757516500022</v>
      </c>
      <c r="AL112" s="2107">
        <f>SUM(AL96:AL111)</f>
        <v>83.725824117000002</v>
      </c>
      <c r="AM112" s="2106">
        <f>IFERROR(AN112/AH112*10,0)</f>
        <v>0.30176717811896991</v>
      </c>
      <c r="AN112" s="2107">
        <f>SUM(AN96:AN111)</f>
        <v>15.898622699999999</v>
      </c>
      <c r="AO112" s="2107">
        <f>SUM(AO96:AO111)</f>
        <v>0</v>
      </c>
      <c r="AP112" s="2107">
        <f>IFERROR(AQ112/AH112*10,0)</f>
        <v>3.0969862087874098</v>
      </c>
      <c r="AQ112" s="2107">
        <f>SUM(AQ96:AQ111)</f>
        <v>163.16491259099999</v>
      </c>
      <c r="AR112" s="2107">
        <f>SUM(AR96:AR111)</f>
        <v>627.49188100000003</v>
      </c>
      <c r="AS112" s="2107">
        <f>IFERROR(AT112/AR112*10,0)</f>
        <v>1.1245012363753595</v>
      </c>
      <c r="AT112" s="2107">
        <f>SUM(AT96:AT111)</f>
        <v>70.561539600000003</v>
      </c>
      <c r="AU112" s="2107">
        <f>IFERROR(AV112/AR112*10,0)</f>
        <v>1.5867882080214515</v>
      </c>
      <c r="AV112" s="2107">
        <f>SUM(AV96:AV111)</f>
        <v>99.569671740000004</v>
      </c>
      <c r="AW112" s="2106">
        <f>IFERROR(AX112/AR112*10,0)</f>
        <v>8.9316852850244283E-4</v>
      </c>
      <c r="AX112" s="2107">
        <f>SUM(AX96:AX111)</f>
        <v>5.6045600000000001E-2</v>
      </c>
      <c r="AY112" s="2107">
        <f>SUM(AY96:AY111)</f>
        <v>0</v>
      </c>
      <c r="AZ112" s="2107">
        <f>IFERROR(BA112/AR112*10,0)</f>
        <v>2.7121826129253135</v>
      </c>
      <c r="BA112" s="2107">
        <f>SUM(BA96:BA111)</f>
        <v>170.18725694</v>
      </c>
      <c r="BB112" s="2107">
        <f>SUM(BB96:BB111)</f>
        <v>581.87091199999998</v>
      </c>
      <c r="BC112" s="2107">
        <f>IFERROR(BD112/BB112*10,0)</f>
        <v>1.2111102903868822</v>
      </c>
      <c r="BD112" s="2107">
        <f>SUM(BD96:BD111)</f>
        <v>70.470984919999992</v>
      </c>
      <c r="BE112" s="2107">
        <f>IFERROR(BF112/BB112*10,0)</f>
        <v>1.5912069765054693</v>
      </c>
      <c r="BF112" s="2107">
        <f>SUM(BF96:BF111)</f>
        <v>92.587705459999995</v>
      </c>
      <c r="BG112" s="2106">
        <f>IFERROR(BH112/BB112*10,0)</f>
        <v>9.6035218203174247E-4</v>
      </c>
      <c r="BH112" s="2107">
        <f>SUM(BH96:BH111)</f>
        <v>5.5880100000000002E-2</v>
      </c>
      <c r="BI112" s="2107">
        <f>SUM(BI96:BI111)</f>
        <v>0</v>
      </c>
      <c r="BJ112" s="2107">
        <f>IFERROR(BK112/BB112*10,0)</f>
        <v>2.8032776190743829</v>
      </c>
      <c r="BK112" s="2107">
        <f>SUM(BK96:BK111)</f>
        <v>163.11457047999997</v>
      </c>
      <c r="BL112" s="2107">
        <f>SUM(BL96:BL111)</f>
        <v>473.62393099999997</v>
      </c>
      <c r="BM112" s="2107">
        <f>IFERROR(BN112/BL112*10,0)</f>
        <v>1.4753541005511397</v>
      </c>
      <c r="BN112" s="2107">
        <f>SUM(BN96:BN111)</f>
        <v>69.876300872000002</v>
      </c>
      <c r="BO112" s="2107">
        <f>IFERROR(BP112/BL112*10,0)</f>
        <v>1.6342707246564365</v>
      </c>
      <c r="BP112" s="2107">
        <f>SUM(BP96:BP111)</f>
        <v>77.402972492999993</v>
      </c>
      <c r="BQ112" s="2106">
        <f>IFERROR(BR112/BL112*10,0)</f>
        <v>0.63619418968928754</v>
      </c>
      <c r="BR112" s="2107">
        <f>SUM(BR96:BR111)</f>
        <v>30.131679299999998</v>
      </c>
      <c r="BS112" s="2107">
        <f>SUM(BS96:BS111)</f>
        <v>0</v>
      </c>
      <c r="BT112" s="2107">
        <f>IFERROR(BU112/BL112*10,0)</f>
        <v>3.7458190148968633</v>
      </c>
      <c r="BU112" s="2107">
        <f>SUM(BU96:BU111)</f>
        <v>177.410952665</v>
      </c>
      <c r="BV112" s="2107">
        <f>SUM(BV96:BV111)</f>
        <v>288.38869499999998</v>
      </c>
      <c r="BW112" s="2107">
        <f>IFERROR(BX112/BV112*10,0)</f>
        <v>2.1445447573109617</v>
      </c>
      <c r="BX112" s="2107">
        <f>SUM(BX96:BX111)</f>
        <v>61.846246392999994</v>
      </c>
      <c r="BY112" s="2107">
        <f>IFERROR(BZ112/BV112*10,0)</f>
        <v>2.0157342982185904</v>
      </c>
      <c r="BZ112" s="2107">
        <f>SUM(BZ96:BZ111)</f>
        <v>58.131498372999999</v>
      </c>
      <c r="CA112" s="2106">
        <f>IFERROR(CB112/BV112*10,0)</f>
        <v>1.6327443071234124E-3</v>
      </c>
      <c r="CB112" s="2107">
        <f>SUM(CB96:CB111)</f>
        <v>4.7086500000000003E-2</v>
      </c>
      <c r="CC112" s="2107">
        <f>SUM(CC96:CC111)</f>
        <v>104.6510572</v>
      </c>
      <c r="CD112" s="2107">
        <f>IFERROR(CE112/BV112*10,0)</f>
        <v>7.7907314801642977</v>
      </c>
      <c r="CE112" s="2107">
        <f>SUM(CE96:CE111)</f>
        <v>224.675888466</v>
      </c>
      <c r="CF112" s="2107">
        <f>SUM(CF96:CF111)</f>
        <v>172.24674499999998</v>
      </c>
      <c r="CG112" s="2107">
        <f>IFERROR(CH112/CF112*10,0)</f>
        <v>3.3481916573227561</v>
      </c>
      <c r="CH112" s="2107">
        <f>SUM(CH96:CH111)</f>
        <v>57.671511461000001</v>
      </c>
      <c r="CI112" s="2107">
        <f>IFERROR(CJ112/CF112*10,0)</f>
        <v>1.8695604889369608</v>
      </c>
      <c r="CJ112" s="2107">
        <f>SUM(CJ96:CJ111)</f>
        <v>32.202570879999996</v>
      </c>
      <c r="CK112" s="2106">
        <f>IFERROR(CL112/CF112*10,0)</f>
        <v>0.11820073581071155</v>
      </c>
      <c r="CL112" s="2107">
        <f>SUM(CL96:CL111)</f>
        <v>2.0359691999999998</v>
      </c>
      <c r="CM112" s="2107">
        <f>SUM(CM96:CM111)</f>
        <v>0</v>
      </c>
      <c r="CN112" s="2107">
        <f>IFERROR(CO112/CF112*10,0)</f>
        <v>5.3359528820704281</v>
      </c>
      <c r="CO112" s="2107">
        <f>SUM(CO96:CO111)</f>
        <v>91.910051541000001</v>
      </c>
      <c r="CP112" s="2107">
        <f>SUM(CP96:CP111)</f>
        <v>99.202956</v>
      </c>
      <c r="CQ112" s="2107">
        <f t="shared" si="281"/>
        <v>4.9748328043773204</v>
      </c>
      <c r="CR112" s="2107">
        <f>SUM(CR96:CR111)</f>
        <v>49.351811979999994</v>
      </c>
      <c r="CS112" s="2107">
        <f>IFERROR(CT112/CP112*10,0)</f>
        <v>1.9667714498346194</v>
      </c>
      <c r="CT112" s="2107">
        <f>SUM(CT96:CT111)</f>
        <v>19.510954159999997</v>
      </c>
      <c r="CU112" s="2106">
        <f>IFERROR(CV112/CP112*10,0)</f>
        <v>0.24383999303407858</v>
      </c>
      <c r="CV112" s="2107">
        <f>SUM(CV96:CV111)</f>
        <v>2.4189648100000003</v>
      </c>
      <c r="CW112" s="2107">
        <f>SUM(CW96:CW111)</f>
        <v>1.046510572E-5</v>
      </c>
      <c r="CX112" s="2107">
        <f>IFERROR(CY112/CP112*10,0)</f>
        <v>7.1854453021647569</v>
      </c>
      <c r="CY112" s="2107">
        <f>SUM(CY96:CY111)</f>
        <v>71.281741415105714</v>
      </c>
      <c r="CZ112" s="2107">
        <f>SUM(CZ96:CZ111)</f>
        <v>126.72428961666667</v>
      </c>
      <c r="DA112" s="2107">
        <f t="shared" si="189"/>
        <v>4.4251724395837302</v>
      </c>
      <c r="DB112" s="2107">
        <f>SUM(DB96:DB111)</f>
        <v>56.077683383749999</v>
      </c>
      <c r="DC112" s="2107">
        <f>IFERROR(DD112/CZ112*10,0)</f>
        <v>1.6784088451116228</v>
      </c>
      <c r="DD112" s="2107">
        <f>SUM(DD96:DD111)</f>
        <v>21.26951685831003</v>
      </c>
      <c r="DE112" s="2106">
        <f>IFERROR(DF112/CZ112*10,0)</f>
        <v>0</v>
      </c>
      <c r="DF112" s="2107">
        <f>SUM(DF96:DF111)</f>
        <v>0</v>
      </c>
      <c r="DG112" s="2107">
        <f>SUM(DG96:DG111)</f>
        <v>0</v>
      </c>
      <c r="DH112" s="2107">
        <f>IFERROR(DI112/CZ112*10,0)</f>
        <v>6.1035812846953537</v>
      </c>
      <c r="DI112" s="2107">
        <f>SUM(DI96:DI111)</f>
        <v>77.34720024206004</v>
      </c>
      <c r="DJ112" s="2107">
        <f>SUM(DJ96:DJ111)</f>
        <v>154.11438229333336</v>
      </c>
      <c r="DK112" s="2107">
        <f t="shared" si="192"/>
        <v>3.6387053920129682</v>
      </c>
      <c r="DL112" s="2107">
        <f>SUM(DL96:DL111)</f>
        <v>56.077683383749999</v>
      </c>
      <c r="DM112" s="2107">
        <f>IFERROR(DN112/DJ112*10,0)</f>
        <v>1.6238473722374123</v>
      </c>
      <c r="DN112" s="2107">
        <f>SUM(DN96:DN111)</f>
        <v>25.025823471102136</v>
      </c>
      <c r="DO112" s="2106">
        <f>IFERROR(DP112/DJ112*10,0)</f>
        <v>0</v>
      </c>
      <c r="DP112" s="2107">
        <f>SUM(DP96:DP111)</f>
        <v>0</v>
      </c>
      <c r="DQ112" s="2107">
        <f>SUM(DQ96:DQ111)</f>
        <v>0</v>
      </c>
      <c r="DR112" s="2107">
        <f>IFERROR(DS112/DJ112*10,0)</f>
        <v>5.2625527642503815</v>
      </c>
      <c r="DS112" s="2107">
        <f>SUM(DS96:DS111)</f>
        <v>81.103506854852142</v>
      </c>
      <c r="DT112" s="2107">
        <f>SUM(DT96:DT111)</f>
        <v>284.31048971666667</v>
      </c>
      <c r="DU112" s="2107">
        <f t="shared" si="195"/>
        <v>2.1443170614107716</v>
      </c>
      <c r="DV112" s="2107">
        <f>SUM(DV96:DV111)</f>
        <v>60.965183383750002</v>
      </c>
      <c r="DW112" s="2107">
        <f>IFERROR(DX112/DT112*10,0)</f>
        <v>1.7398181390540044</v>
      </c>
      <c r="DX112" s="2107">
        <f>SUM(DX96:DX111)</f>
        <v>49.46485471323836</v>
      </c>
      <c r="DY112" s="2106">
        <f>IFERROR(DZ112/DT112*10,0)</f>
        <v>0</v>
      </c>
      <c r="DZ112" s="2107">
        <f>SUM(DZ96:DZ111)</f>
        <v>0</v>
      </c>
      <c r="EA112" s="2107">
        <f>SUM(EA96:EA111)</f>
        <v>0</v>
      </c>
      <c r="EB112" s="2107">
        <f>IFERROR(EC112/DT112*10,0)</f>
        <v>3.884135200464776</v>
      </c>
      <c r="EC112" s="2107">
        <f>SUM(EC96:EC111)</f>
        <v>110.43003809698837</v>
      </c>
      <c r="ED112" s="2107">
        <f>SUM(ED96:ED111)</f>
        <v>4092.9794626266653</v>
      </c>
      <c r="EE112" s="2107"/>
      <c r="EF112" s="2106"/>
      <c r="EG112" s="2107">
        <f>SUM(EG96:EG111)</f>
        <v>745.30859365125002</v>
      </c>
      <c r="EH112" s="2106"/>
      <c r="EI112" s="2107">
        <f>SUM(EI96:EI111)</f>
        <v>682.31338536565045</v>
      </c>
      <c r="EJ112" s="2106"/>
      <c r="EK112" s="2107">
        <f>SUM(EK96:EK111)</f>
        <v>60.560268410000006</v>
      </c>
      <c r="EL112" s="2106"/>
      <c r="EM112" s="2106"/>
      <c r="EN112" s="2107">
        <f>SUM(EN96:EN111)</f>
        <v>1488.1822474269004</v>
      </c>
      <c r="EO112" s="2104">
        <f t="shared" si="299"/>
        <v>3.6359387116784134</v>
      </c>
      <c r="EP112" s="2110"/>
      <c r="ES112" s="2084">
        <f t="shared" si="187"/>
        <v>0</v>
      </c>
      <c r="EU112" s="2084">
        <f t="shared" si="198"/>
        <v>586.55319032299985</v>
      </c>
      <c r="EV112" s="2084">
        <f t="shared" si="199"/>
        <v>3527.830301</v>
      </c>
      <c r="EW112" s="2084">
        <f t="shared" si="200"/>
        <v>1.6626457065033295</v>
      </c>
      <c r="FE112" s="2108"/>
      <c r="FF112" s="2108"/>
      <c r="FG112" s="2108"/>
      <c r="FH112" s="2108"/>
      <c r="FI112" s="2108"/>
      <c r="FJ112" s="2108"/>
      <c r="FK112" s="2108"/>
    </row>
    <row r="113" spans="1:167">
      <c r="A113" s="1760"/>
      <c r="B113" s="1761"/>
      <c r="C113" s="2098"/>
      <c r="D113" s="2099"/>
      <c r="E113" s="2100"/>
      <c r="F113" s="2099"/>
      <c r="G113" s="2101"/>
      <c r="H113" s="2102"/>
      <c r="I113" s="2119"/>
      <c r="J113" s="2104"/>
      <c r="K113" s="2101"/>
      <c r="L113" s="2101"/>
      <c r="M113" s="2105"/>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6"/>
      <c r="AK113" s="2106"/>
      <c r="AL113" s="2106"/>
      <c r="AM113" s="2106"/>
      <c r="AN113" s="2106"/>
      <c r="AO113" s="2106"/>
      <c r="AP113" s="2106"/>
      <c r="AQ113" s="2106"/>
      <c r="AR113" s="2106"/>
      <c r="AS113" s="2106"/>
      <c r="AT113" s="2106"/>
      <c r="AU113" s="2106"/>
      <c r="AV113" s="2106"/>
      <c r="AW113" s="2106"/>
      <c r="AX113" s="2106"/>
      <c r="AY113" s="2120"/>
      <c r="AZ113" s="2106"/>
      <c r="BA113" s="2106"/>
      <c r="BB113" s="2106"/>
      <c r="BC113" s="2106"/>
      <c r="BD113" s="2106"/>
      <c r="BE113" s="2106"/>
      <c r="BF113" s="2106"/>
      <c r="BG113" s="2106"/>
      <c r="BH113" s="2106"/>
      <c r="BI113" s="2120"/>
      <c r="BJ113" s="2106"/>
      <c r="BK113" s="2106"/>
      <c r="BL113" s="2106"/>
      <c r="BM113" s="2106"/>
      <c r="BN113" s="2106"/>
      <c r="BO113" s="2106"/>
      <c r="BP113" s="2106"/>
      <c r="BQ113" s="2106"/>
      <c r="BR113" s="2106"/>
      <c r="BS113" s="2120"/>
      <c r="BT113" s="2106"/>
      <c r="BU113" s="2106"/>
      <c r="BV113" s="2106"/>
      <c r="BW113" s="2106"/>
      <c r="BX113" s="2106"/>
      <c r="BY113" s="2106"/>
      <c r="BZ113" s="2106"/>
      <c r="CA113" s="2106"/>
      <c r="CB113" s="2106"/>
      <c r="CC113" s="2120"/>
      <c r="CD113" s="2106"/>
      <c r="CE113" s="2106"/>
      <c r="CF113" s="2106"/>
      <c r="CG113" s="2106"/>
      <c r="CH113" s="2106"/>
      <c r="CI113" s="2106"/>
      <c r="CJ113" s="2106"/>
      <c r="CK113" s="2106"/>
      <c r="CL113" s="2106"/>
      <c r="CM113" s="2120"/>
      <c r="CN113" s="2106"/>
      <c r="CO113" s="2106"/>
      <c r="CP113" s="2106">
        <v>0</v>
      </c>
      <c r="CQ113" s="2106">
        <f t="shared" si="281"/>
        <v>0</v>
      </c>
      <c r="CR113" s="2106">
        <v>0</v>
      </c>
      <c r="CS113" s="2106">
        <v>0</v>
      </c>
      <c r="CT113" s="2109">
        <f>CS113*CP113/10</f>
        <v>0</v>
      </c>
      <c r="CU113" s="2106"/>
      <c r="CV113" s="2106"/>
      <c r="CW113" s="2120"/>
      <c r="CX113" s="2106"/>
      <c r="CY113" s="2106"/>
      <c r="CZ113" s="2106"/>
      <c r="DA113" s="2106"/>
      <c r="DB113" s="2106"/>
      <c r="DC113" s="2106"/>
      <c r="DD113" s="2109"/>
      <c r="DE113" s="2106"/>
      <c r="DF113" s="2106"/>
      <c r="DG113" s="2120"/>
      <c r="DH113" s="2106"/>
      <c r="DI113" s="2106"/>
      <c r="DJ113" s="2106"/>
      <c r="DK113" s="2106"/>
      <c r="DL113" s="2106"/>
      <c r="DM113" s="2106"/>
      <c r="DN113" s="2109"/>
      <c r="DO113" s="2106"/>
      <c r="DP113" s="2106"/>
      <c r="DQ113" s="2120"/>
      <c r="DR113" s="2106"/>
      <c r="DS113" s="2106"/>
      <c r="DT113" s="2106"/>
      <c r="DU113" s="2106"/>
      <c r="DV113" s="2106"/>
      <c r="DW113" s="2106"/>
      <c r="DX113" s="2109"/>
      <c r="DY113" s="2106"/>
      <c r="DZ113" s="2106"/>
      <c r="EA113" s="2106"/>
      <c r="EB113" s="2106"/>
      <c r="EC113" s="2106"/>
      <c r="ED113" s="2106"/>
      <c r="EE113" s="2107"/>
      <c r="EF113" s="2106"/>
      <c r="EG113" s="2106"/>
      <c r="EH113" s="2106"/>
      <c r="EI113" s="2106"/>
      <c r="EJ113" s="2106"/>
      <c r="EK113" s="2106"/>
      <c r="EL113" s="2106"/>
      <c r="EM113" s="2106"/>
      <c r="EN113" s="2106"/>
      <c r="EO113" s="2110"/>
      <c r="EP113" s="2110"/>
      <c r="ES113" s="2084">
        <f t="shared" si="187"/>
        <v>0</v>
      </c>
      <c r="EU113" s="2084">
        <f t="shared" si="198"/>
        <v>0</v>
      </c>
      <c r="EV113" s="2084">
        <f t="shared" si="199"/>
        <v>0</v>
      </c>
      <c r="EW113" s="2084" t="e">
        <f t="shared" si="200"/>
        <v>#DIV/0!</v>
      </c>
      <c r="FE113" s="2108"/>
      <c r="FF113" s="2108"/>
      <c r="FG113" s="2108"/>
      <c r="FH113" s="2108"/>
      <c r="FI113" s="2108"/>
      <c r="FJ113" s="2108"/>
      <c r="FK113" s="2108"/>
    </row>
    <row r="114" spans="1:167">
      <c r="A114" s="1760" t="s">
        <v>28</v>
      </c>
      <c r="B114" s="1784" t="s">
        <v>1739</v>
      </c>
      <c r="C114" s="2098"/>
      <c r="D114" s="2099"/>
      <c r="E114" s="2100"/>
      <c r="F114" s="2099"/>
      <c r="G114" s="2101"/>
      <c r="H114" s="2102"/>
      <c r="I114" s="2119"/>
      <c r="J114" s="2104"/>
      <c r="K114" s="2101"/>
      <c r="L114" s="2101"/>
      <c r="M114" s="2105"/>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6"/>
      <c r="AK114" s="2106"/>
      <c r="AL114" s="2106"/>
      <c r="AM114" s="2106"/>
      <c r="AN114" s="2106"/>
      <c r="AO114" s="2106"/>
      <c r="AP114" s="2106"/>
      <c r="AQ114" s="2106"/>
      <c r="AR114" s="2106"/>
      <c r="AS114" s="2106"/>
      <c r="AT114" s="2106"/>
      <c r="AU114" s="2106"/>
      <c r="AV114" s="2106"/>
      <c r="AW114" s="2106"/>
      <c r="AX114" s="2106"/>
      <c r="AY114" s="2120"/>
      <c r="AZ114" s="2106"/>
      <c r="BA114" s="2106"/>
      <c r="BB114" s="2106"/>
      <c r="BC114" s="2106"/>
      <c r="BD114" s="2106"/>
      <c r="BE114" s="2106"/>
      <c r="BF114" s="2106"/>
      <c r="BG114" s="2106"/>
      <c r="BH114" s="2106"/>
      <c r="BI114" s="2120"/>
      <c r="BJ114" s="2106"/>
      <c r="BK114" s="2106"/>
      <c r="BL114" s="2106"/>
      <c r="BM114" s="2106"/>
      <c r="BN114" s="2106"/>
      <c r="BO114" s="2106"/>
      <c r="BP114" s="2106"/>
      <c r="BQ114" s="2106"/>
      <c r="BR114" s="2106"/>
      <c r="BS114" s="2120"/>
      <c r="BT114" s="2106"/>
      <c r="BU114" s="2106"/>
      <c r="BV114" s="2106"/>
      <c r="BW114" s="2106"/>
      <c r="BX114" s="2106"/>
      <c r="BY114" s="2106"/>
      <c r="BZ114" s="2106"/>
      <c r="CA114" s="2106"/>
      <c r="CB114" s="2106"/>
      <c r="CC114" s="2120"/>
      <c r="CD114" s="2106"/>
      <c r="CE114" s="2106"/>
      <c r="CF114" s="2106"/>
      <c r="CG114" s="2106"/>
      <c r="CH114" s="2106"/>
      <c r="CI114" s="2106"/>
      <c r="CJ114" s="2106"/>
      <c r="CK114" s="2106"/>
      <c r="CL114" s="2106"/>
      <c r="CM114" s="2120"/>
      <c r="CN114" s="2106"/>
      <c r="CO114" s="2106"/>
      <c r="CP114" s="2106">
        <v>0</v>
      </c>
      <c r="CQ114" s="2106">
        <f t="shared" si="281"/>
        <v>0</v>
      </c>
      <c r="CR114" s="2106">
        <v>0</v>
      </c>
      <c r="CS114" s="2106">
        <v>0</v>
      </c>
      <c r="CT114" s="2109">
        <f>CS114*CP114/10</f>
        <v>0</v>
      </c>
      <c r="CU114" s="2106"/>
      <c r="CV114" s="2106"/>
      <c r="CW114" s="2120"/>
      <c r="CX114" s="2106"/>
      <c r="CY114" s="2106"/>
      <c r="CZ114" s="2106"/>
      <c r="DA114" s="2106"/>
      <c r="DB114" s="2106"/>
      <c r="DC114" s="2106"/>
      <c r="DD114" s="2109"/>
      <c r="DE114" s="2106"/>
      <c r="DF114" s="2106"/>
      <c r="DG114" s="2120"/>
      <c r="DH114" s="2106"/>
      <c r="DI114" s="2106"/>
      <c r="DJ114" s="2106"/>
      <c r="DK114" s="2106"/>
      <c r="DL114" s="2106"/>
      <c r="DM114" s="2106"/>
      <c r="DN114" s="2109"/>
      <c r="DO114" s="2106"/>
      <c r="DP114" s="2106"/>
      <c r="DQ114" s="2120"/>
      <c r="DR114" s="2106"/>
      <c r="DS114" s="2106"/>
      <c r="DT114" s="2106"/>
      <c r="DU114" s="2106"/>
      <c r="DV114" s="2106"/>
      <c r="DW114" s="2106"/>
      <c r="DX114" s="2109"/>
      <c r="DY114" s="2106"/>
      <c r="DZ114" s="2106"/>
      <c r="EA114" s="2106"/>
      <c r="EB114" s="2106"/>
      <c r="EC114" s="2106"/>
      <c r="ED114" s="2106"/>
      <c r="EE114" s="2107"/>
      <c r="EF114" s="2106"/>
      <c r="EG114" s="2106"/>
      <c r="EH114" s="2106"/>
      <c r="EI114" s="2106"/>
      <c r="EJ114" s="2106"/>
      <c r="EK114" s="2106"/>
      <c r="EL114" s="2106"/>
      <c r="EM114" s="2106"/>
      <c r="EN114" s="2106"/>
      <c r="EO114" s="2110"/>
      <c r="EP114" s="2110"/>
      <c r="ES114" s="2084">
        <f t="shared" si="187"/>
        <v>0</v>
      </c>
      <c r="EU114" s="2084">
        <f t="shared" si="198"/>
        <v>0</v>
      </c>
      <c r="EV114" s="2084">
        <f t="shared" si="199"/>
        <v>0</v>
      </c>
      <c r="EW114" s="2084" t="e">
        <f t="shared" si="200"/>
        <v>#DIV/0!</v>
      </c>
      <c r="FE114" s="2108"/>
      <c r="FF114" s="2108"/>
      <c r="FG114" s="2108"/>
      <c r="FH114" s="2108"/>
      <c r="FI114" s="2108"/>
      <c r="FJ114" s="2108"/>
      <c r="FK114" s="2108"/>
    </row>
    <row r="115" spans="1:167">
      <c r="A115" s="1760">
        <v>1</v>
      </c>
      <c r="B115" s="1761" t="s">
        <v>1740</v>
      </c>
      <c r="C115" s="2098">
        <v>800</v>
      </c>
      <c r="D115" s="2099">
        <v>0.18899999999999997</v>
      </c>
      <c r="E115" s="2100"/>
      <c r="F115" s="2099">
        <v>0.47923933381742773</v>
      </c>
      <c r="G115" s="2104">
        <v>159.12</v>
      </c>
      <c r="H115" s="2102" t="s">
        <v>1717</v>
      </c>
      <c r="I115" s="2103">
        <v>1</v>
      </c>
      <c r="J115" s="2104"/>
      <c r="K115" s="2101"/>
      <c r="L115" s="2101"/>
      <c r="M115" s="2105"/>
      <c r="N115" s="2106">
        <v>0</v>
      </c>
      <c r="O115" s="2106">
        <f>IFERROR(P115/N115*10,0)</f>
        <v>0</v>
      </c>
      <c r="P115" s="2106">
        <v>0</v>
      </c>
      <c r="Q115" s="2106">
        <f>IFERROR(R115/N115*10,0)</f>
        <v>0</v>
      </c>
      <c r="R115" s="2106">
        <v>0</v>
      </c>
      <c r="S115" s="2106">
        <f>IFERROR(T115/N115*10,0)</f>
        <v>0</v>
      </c>
      <c r="T115" s="2106">
        <v>0</v>
      </c>
      <c r="U115" s="2106"/>
      <c r="V115" s="2106">
        <f>IFERROR(W115/N115*10,0)</f>
        <v>0</v>
      </c>
      <c r="W115" s="2106">
        <f>SUM(P115,R115,T115,U115)</f>
        <v>0</v>
      </c>
      <c r="X115" s="2106">
        <v>41.952035000000002</v>
      </c>
      <c r="Y115" s="2106">
        <f>IFERROR(Z115/X115*10,0)</f>
        <v>4.0757211658504762</v>
      </c>
      <c r="Z115" s="2106">
        <v>17.098479699999999</v>
      </c>
      <c r="AA115" s="2106">
        <f>IFERROR(AB115/X115*10,0)</f>
        <v>2.452000004290614</v>
      </c>
      <c r="AB115" s="2106">
        <v>10.286638999999999</v>
      </c>
      <c r="AC115" s="2106">
        <f>IFERROR(AD115/X115*10,0)</f>
        <v>0</v>
      </c>
      <c r="AD115" s="2106">
        <v>0</v>
      </c>
      <c r="AE115" s="2106"/>
      <c r="AF115" s="2106">
        <f>IFERROR(AG115/X115*10,0)</f>
        <v>6.5277211701410911</v>
      </c>
      <c r="AG115" s="2106">
        <f>SUM(Z115,AB115,AD115,AE115)</f>
        <v>27.3851187</v>
      </c>
      <c r="AH115" s="2106">
        <v>93.941402999999994</v>
      </c>
      <c r="AI115" s="2106">
        <f>IFERROR(AJ115/AH115*10,0)</f>
        <v>1.7321189678208238</v>
      </c>
      <c r="AJ115" s="2106">
        <v>16.271768600000001</v>
      </c>
      <c r="AK115" s="2106">
        <f>IFERROR(AL115/AH115*10,0)</f>
        <v>2.4519999983393905</v>
      </c>
      <c r="AL115" s="2106">
        <v>23.034431999999999</v>
      </c>
      <c r="AM115" s="2106">
        <f>IFERROR(AN115/AH115*10,0)</f>
        <v>0</v>
      </c>
      <c r="AN115" s="2106">
        <v>0</v>
      </c>
      <c r="AO115" s="2106">
        <v>0</v>
      </c>
      <c r="AP115" s="2106">
        <f>IFERROR(AQ115/AH115*10,0)</f>
        <v>4.1841189661602138</v>
      </c>
      <c r="AQ115" s="2106">
        <f>SUM(AJ115,AL115,AN115,AO115)</f>
        <v>39.306200599999997</v>
      </c>
      <c r="AR115" s="2106">
        <v>143.679441</v>
      </c>
      <c r="AS115" s="2106">
        <f>IFERROR(AT115/AR115*10,0)</f>
        <v>1.1895060755421509</v>
      </c>
      <c r="AT115" s="2106">
        <v>17.090756800000001</v>
      </c>
      <c r="AU115" s="2106">
        <f>IFERROR(AV115/AR115*10,0)</f>
        <v>2.4519999976893008</v>
      </c>
      <c r="AV115" s="2106">
        <v>35.230198899999998</v>
      </c>
      <c r="AW115" s="2106">
        <f>IFERROR(AX115/AR115*10,0)</f>
        <v>6.9200575467160959E-4</v>
      </c>
      <c r="AX115" s="2106">
        <v>9.9427000000000005E-3</v>
      </c>
      <c r="AY115" s="2106"/>
      <c r="AZ115" s="2106">
        <f>IFERROR(BA115/AR115*10,0)</f>
        <v>3.642198078986123</v>
      </c>
      <c r="BA115" s="2106">
        <f>SUM(AT115,AV115,AX115,AY115)</f>
        <v>52.330898400000002</v>
      </c>
      <c r="BB115" s="2106">
        <v>135.12800100000001</v>
      </c>
      <c r="BC115" s="2106">
        <f>IFERROR(BD115/BB115*10,0)</f>
        <v>1.2647827743710942</v>
      </c>
      <c r="BD115" s="2106">
        <v>17.090756800000001</v>
      </c>
      <c r="BE115" s="2106">
        <f>IFERROR(BF115/BB115*10,0)</f>
        <v>2.4519999966550232</v>
      </c>
      <c r="BF115" s="2106">
        <v>33.133385799999999</v>
      </c>
      <c r="BG115" s="2106">
        <f>IFERROR(BH115/BB115*10,0)</f>
        <v>0</v>
      </c>
      <c r="BH115" s="2106">
        <v>0</v>
      </c>
      <c r="BI115" s="2106"/>
      <c r="BJ115" s="2106">
        <f>IFERROR(BK115/BB115*10,0)</f>
        <v>3.7167827710261174</v>
      </c>
      <c r="BK115" s="2106">
        <f>SUM(BD115,BF115,BH115,BI115)</f>
        <v>50.2241426</v>
      </c>
      <c r="BL115" s="2106">
        <v>91.284006000000005</v>
      </c>
      <c r="BM115" s="2106">
        <f>IFERROR(BN115/BL115*10,0)</f>
        <v>1.8118663744884287</v>
      </c>
      <c r="BN115" s="2106">
        <v>16.539442099999999</v>
      </c>
      <c r="BO115" s="2106">
        <f>IFERROR(BP115/BL115*10,0)</f>
        <v>2.4520000031549887</v>
      </c>
      <c r="BP115" s="2106">
        <v>22.3828383</v>
      </c>
      <c r="BQ115" s="2106">
        <f>IFERROR(BR115/BL115*10,0)</f>
        <v>0</v>
      </c>
      <c r="BR115" s="2106">
        <v>0</v>
      </c>
      <c r="BS115" s="2106"/>
      <c r="BT115" s="2106">
        <f>IFERROR(BU115/BL115*10,0)</f>
        <v>4.2638663776434171</v>
      </c>
      <c r="BU115" s="2106">
        <f>SUM(BN115,BP115,BR115,BS115)</f>
        <v>38.922280399999998</v>
      </c>
      <c r="BV115" s="2106">
        <v>40.634470999999998</v>
      </c>
      <c r="BW115" s="2106">
        <f>IFERROR(BX115/BV115*10,0)</f>
        <v>3.7811962163848523</v>
      </c>
      <c r="BX115" s="2106">
        <v>15.3646908</v>
      </c>
      <c r="BY115" s="2106">
        <f>IFERROR(BZ115/BV115*10,0)</f>
        <v>2.4520000026578419</v>
      </c>
      <c r="BZ115" s="2106">
        <v>9.9635722999999992</v>
      </c>
      <c r="CA115" s="2106">
        <f>IFERROR(CB115/BV115*10,0)</f>
        <v>0</v>
      </c>
      <c r="CB115" s="2106">
        <v>0</v>
      </c>
      <c r="CC115" s="2106"/>
      <c r="CD115" s="2106">
        <f>IFERROR(CE115/BV115*10,0)</f>
        <v>6.2331962190426946</v>
      </c>
      <c r="CE115" s="2106">
        <f>SUM(BX115,BZ115,CB115,CC115)</f>
        <v>25.328263100000001</v>
      </c>
      <c r="CF115" s="2106">
        <v>22.782081000000002</v>
      </c>
      <c r="CG115" s="2106">
        <f>IFERROR(CH115/CF115*10,0)</f>
        <v>6.475796570120175</v>
      </c>
      <c r="CH115" s="2106">
        <v>14.7532122</v>
      </c>
      <c r="CI115" s="2106">
        <f>IFERROR(CJ115/CF115*10,0)</f>
        <v>2.4520000170309291</v>
      </c>
      <c r="CJ115" s="2106">
        <v>5.5861663000000004</v>
      </c>
      <c r="CK115" s="2106">
        <f>IFERROR(CL115/CF115*10,0)</f>
        <v>0</v>
      </c>
      <c r="CL115" s="2106">
        <v>0</v>
      </c>
      <c r="CM115" s="2106"/>
      <c r="CN115" s="2106">
        <f>IFERROR(CO115/CF115*10,0)</f>
        <v>8.9277965871511036</v>
      </c>
      <c r="CO115" s="2106">
        <f>SUM(CH115,CJ115,CL115,CM115)</f>
        <v>20.339378500000002</v>
      </c>
      <c r="CP115" s="2106">
        <v>17.435796</v>
      </c>
      <c r="CQ115" s="2106">
        <f t="shared" si="281"/>
        <v>8.7434987195307876</v>
      </c>
      <c r="CR115" s="2106">
        <v>15.244986000000001</v>
      </c>
      <c r="CS115" s="2106">
        <f>IFERROR(CT115/CP115*10,0)</f>
        <v>2.4520000119294814</v>
      </c>
      <c r="CT115" s="2106">
        <v>4.2752572000000004</v>
      </c>
      <c r="CU115" s="2106">
        <f>IFERROR(CV115/CP115*10,0)</f>
        <v>0</v>
      </c>
      <c r="CV115" s="2106">
        <v>0</v>
      </c>
      <c r="CW115" s="2106"/>
      <c r="CX115" s="2106">
        <f>IFERROR(CY115/CP115*10,0)</f>
        <v>11.195498731460269</v>
      </c>
      <c r="CY115" s="2106">
        <f>SUM(CR115,CT115,CV115,CW115)</f>
        <v>19.520243200000003</v>
      </c>
      <c r="CZ115" s="2106">
        <v>28.907279486666667</v>
      </c>
      <c r="DA115" s="2106">
        <f t="shared" si="189"/>
        <v>5.1076173301988366</v>
      </c>
      <c r="DB115" s="2106">
        <v>14.764732167500002</v>
      </c>
      <c r="DC115" s="2106">
        <v>2.6765435762981644</v>
      </c>
      <c r="DD115" s="2109">
        <f t="shared" si="190"/>
        <v>7.7371593218293366</v>
      </c>
      <c r="DE115" s="2106"/>
      <c r="DF115" s="2106"/>
      <c r="DG115" s="2106"/>
      <c r="DH115" s="2106">
        <f>IFERROR(DI115/CZ115*10,0)</f>
        <v>7.7841609064970019</v>
      </c>
      <c r="DI115" s="2106">
        <f>SUM(DB115,DD115,DF115,DG115)</f>
        <v>22.501891489329338</v>
      </c>
      <c r="DJ115" s="2106">
        <v>26.109800826666664</v>
      </c>
      <c r="DK115" s="2106">
        <f t="shared" si="192"/>
        <v>5.6548620441487127</v>
      </c>
      <c r="DL115" s="2106">
        <v>14.764732167500002</v>
      </c>
      <c r="DM115" s="2106">
        <v>2.6765435762981644</v>
      </c>
      <c r="DN115" s="2109">
        <f t="shared" si="193"/>
        <v>6.9884019681039167</v>
      </c>
      <c r="DO115" s="2106"/>
      <c r="DP115" s="2106"/>
      <c r="DQ115" s="2106"/>
      <c r="DR115" s="2106">
        <f>IFERROR(DS115/DJ115*10,0)</f>
        <v>8.331405620446878</v>
      </c>
      <c r="DS115" s="2106">
        <f>SUM(DL115,DN115,DP115,DQ115)</f>
        <v>21.753134135603919</v>
      </c>
      <c r="DT115" s="2106">
        <v>28.907279486666667</v>
      </c>
      <c r="DU115" s="2106">
        <f t="shared" si="195"/>
        <v>5.1076173301988366</v>
      </c>
      <c r="DV115" s="2106">
        <v>14.764732167500002</v>
      </c>
      <c r="DW115" s="2106">
        <v>2.6765435762981644</v>
      </c>
      <c r="DX115" s="2109">
        <f t="shared" si="196"/>
        <v>7.7371593218293366</v>
      </c>
      <c r="DY115" s="2106"/>
      <c r="DZ115" s="2106"/>
      <c r="EA115" s="2106"/>
      <c r="EB115" s="2106">
        <f>IFERROR(EC115/DT115*10,0)</f>
        <v>7.7841609064970019</v>
      </c>
      <c r="EC115" s="2106">
        <f>SUM(DV115,DX115,DZ115,EA115)</f>
        <v>22.501891489329338</v>
      </c>
      <c r="ED115" s="2106">
        <f>SUM(N115,X115,AH115,AR115,BB115,BL115,BV115,CF115,CP115,CZ115,DJ115,DT115)</f>
        <v>670.76159379999979</v>
      </c>
      <c r="EE115" s="2107"/>
      <c r="EF115" s="2106">
        <f>IFERROR(EG115/ED115*10,0)</f>
        <v>2.5903136242219964</v>
      </c>
      <c r="EG115" s="2106">
        <f>SUM(P115,Z115,AJ115,AT115,BD115,BN115,BX115,CH115,CR115,DB115,DL115,DV115)</f>
        <v>173.74828950250003</v>
      </c>
      <c r="EH115" s="2106">
        <f>IFERROR(EI115/ED115*10,0)</f>
        <v>2.4800944471093929</v>
      </c>
      <c r="EI115" s="2106">
        <f>SUM(R115,AB115,AL115,AV115,BF115,BP115,BZ115,CJ115,CT115,DD115,DN115,DX115)</f>
        <v>166.35521041176256</v>
      </c>
      <c r="EJ115" s="2106"/>
      <c r="EK115" s="2106">
        <f>SUM(T115,AD115,AN115,AX115,BH115,BR115,CB115,CL115,CV115,DF115,DP115,DZ115)</f>
        <v>9.9427000000000005E-3</v>
      </c>
      <c r="EL115" s="2106"/>
      <c r="EM115" s="2106"/>
      <c r="EN115" s="2106">
        <f>EG115+EI115+EK115</f>
        <v>340.11344261426257</v>
      </c>
      <c r="EO115" s="2104">
        <f>IFERROR(EN115/ED115*10,0)</f>
        <v>5.0705563013447339</v>
      </c>
      <c r="EP115" s="2110"/>
      <c r="ES115" s="2084">
        <f t="shared" si="187"/>
        <v>0</v>
      </c>
      <c r="EU115" s="2084">
        <f t="shared" si="198"/>
        <v>143.89248979999999</v>
      </c>
      <c r="EV115" s="2084">
        <f t="shared" si="199"/>
        <v>586.83723399999985</v>
      </c>
      <c r="EW115" s="2084">
        <f t="shared" si="200"/>
        <v>2.4520000003953402</v>
      </c>
      <c r="FE115" s="2108"/>
      <c r="FF115" s="2108"/>
      <c r="FG115" s="2108"/>
      <c r="FH115" s="2108"/>
      <c r="FI115" s="2108"/>
      <c r="FJ115" s="2108"/>
      <c r="FK115" s="2108"/>
    </row>
    <row r="116" spans="1:167">
      <c r="A116" s="1760">
        <v>2</v>
      </c>
      <c r="B116" s="1761" t="s">
        <v>1741</v>
      </c>
      <c r="C116" s="2098" t="e">
        <v>#N/A</v>
      </c>
      <c r="D116" s="2099" t="e">
        <v>#N/A</v>
      </c>
      <c r="E116" s="2100"/>
      <c r="F116" s="2099">
        <v>0.79999999999999993</v>
      </c>
      <c r="G116" s="2104">
        <v>100</v>
      </c>
      <c r="H116" s="2102" t="s">
        <v>1717</v>
      </c>
      <c r="I116" s="2103">
        <v>1</v>
      </c>
      <c r="J116" s="2104"/>
      <c r="K116" s="2101"/>
      <c r="L116" s="2101"/>
      <c r="M116" s="2105"/>
      <c r="N116" s="2106">
        <v>0</v>
      </c>
      <c r="O116" s="2106">
        <f>IFERROR(P116/N116*10,0)</f>
        <v>0</v>
      </c>
      <c r="P116" s="2106">
        <v>0</v>
      </c>
      <c r="Q116" s="2106">
        <f>IFERROR(R116/N116*10,0)</f>
        <v>0</v>
      </c>
      <c r="R116" s="2106">
        <v>0</v>
      </c>
      <c r="S116" s="2106">
        <f>IFERROR(T116/N116*10,0)</f>
        <v>0</v>
      </c>
      <c r="T116" s="2106">
        <v>0</v>
      </c>
      <c r="U116" s="2106"/>
      <c r="V116" s="2106"/>
      <c r="W116" s="2106"/>
      <c r="X116" s="2106">
        <v>0</v>
      </c>
      <c r="Y116" s="2106">
        <f>IFERROR(Z116/X116*10,0)</f>
        <v>0</v>
      </c>
      <c r="Z116" s="2106">
        <v>0</v>
      </c>
      <c r="AA116" s="2106">
        <f>IFERROR(AB116/X116*10,0)</f>
        <v>0</v>
      </c>
      <c r="AB116" s="2106">
        <v>0</v>
      </c>
      <c r="AC116" s="2106">
        <f>IFERROR(AD116/X116*10,0)</f>
        <v>0</v>
      </c>
      <c r="AD116" s="2106">
        <v>0</v>
      </c>
      <c r="AE116" s="2106"/>
      <c r="AF116" s="2106">
        <f>IFERROR(AG116/X116*10,0)</f>
        <v>0</v>
      </c>
      <c r="AG116" s="2106">
        <f>SUM(Z116,AB116,AD116,AE116)</f>
        <v>0</v>
      </c>
      <c r="AH116" s="2106">
        <v>0</v>
      </c>
      <c r="AI116" s="2106">
        <f>IFERROR(AJ116/AH116*10,0)</f>
        <v>0</v>
      </c>
      <c r="AJ116" s="2106">
        <v>0</v>
      </c>
      <c r="AK116" s="2106">
        <f>IFERROR(AL116/AH116*10,0)</f>
        <v>0</v>
      </c>
      <c r="AL116" s="2106">
        <v>0</v>
      </c>
      <c r="AM116" s="2106">
        <f>IFERROR(AN116/AH116*10,0)</f>
        <v>0</v>
      </c>
      <c r="AN116" s="2106">
        <v>0</v>
      </c>
      <c r="AO116" s="2106">
        <v>0</v>
      </c>
      <c r="AP116" s="2106">
        <f>IFERROR(AQ116/AH116*10,0)</f>
        <v>0</v>
      </c>
      <c r="AQ116" s="2106">
        <f>SUM(AJ116,AL116,AN116,AO116)</f>
        <v>0</v>
      </c>
      <c r="AR116" s="2106">
        <v>0</v>
      </c>
      <c r="AS116" s="2106">
        <f>IFERROR(AT116/AR116*10,0)</f>
        <v>0</v>
      </c>
      <c r="AT116" s="2106">
        <v>0</v>
      </c>
      <c r="AU116" s="2106">
        <f>IFERROR(AV116/AR116*10,0)</f>
        <v>0</v>
      </c>
      <c r="AV116" s="2106">
        <v>0</v>
      </c>
      <c r="AW116" s="2106">
        <f>IFERROR(AX116/AR116*10,0)</f>
        <v>0</v>
      </c>
      <c r="AX116" s="2106">
        <v>0</v>
      </c>
      <c r="AY116" s="2106"/>
      <c r="AZ116" s="2106">
        <f>IFERROR(BA116/AR116*10,0)</f>
        <v>0</v>
      </c>
      <c r="BA116" s="2106">
        <f>SUM(AT116,AV116,AX116,AY116)</f>
        <v>0</v>
      </c>
      <c r="BB116" s="2106">
        <v>0</v>
      </c>
      <c r="BC116" s="2106">
        <f>IFERROR(BD116/BB116*10,0)</f>
        <v>0</v>
      </c>
      <c r="BD116" s="2106">
        <v>0</v>
      </c>
      <c r="BE116" s="2106">
        <f>IFERROR(BF116/BB116*10,0)</f>
        <v>0</v>
      </c>
      <c r="BF116" s="2106">
        <v>0</v>
      </c>
      <c r="BG116" s="2106">
        <f>IFERROR(BH116/BB116*10,0)</f>
        <v>0</v>
      </c>
      <c r="BH116" s="2106">
        <v>0</v>
      </c>
      <c r="BI116" s="2106"/>
      <c r="BJ116" s="2106">
        <f>IFERROR(BK116/BB116*10,0)</f>
        <v>0</v>
      </c>
      <c r="BK116" s="2106">
        <f>SUM(BD116,BF116,BH116,BI116)</f>
        <v>0</v>
      </c>
      <c r="BL116" s="2106">
        <v>0</v>
      </c>
      <c r="BM116" s="2106">
        <f>IFERROR(BN116/BL116*10,0)</f>
        <v>0</v>
      </c>
      <c r="BN116" s="2106">
        <v>0</v>
      </c>
      <c r="BO116" s="2106">
        <f>IFERROR(BP116/BL116*10,0)</f>
        <v>0</v>
      </c>
      <c r="BP116" s="2106">
        <v>0</v>
      </c>
      <c r="BQ116" s="2106">
        <f>IFERROR(BR116/BL116*10,0)</f>
        <v>0</v>
      </c>
      <c r="BR116" s="2106">
        <v>0</v>
      </c>
      <c r="BS116" s="2106"/>
      <c r="BT116" s="2106">
        <f>IFERROR(BU116/BL116*10,0)</f>
        <v>0</v>
      </c>
      <c r="BU116" s="2106">
        <f>SUM(BN116,BP116,BR116,BS116)</f>
        <v>0</v>
      </c>
      <c r="BV116" s="2106">
        <v>0</v>
      </c>
      <c r="BW116" s="2106">
        <f>IFERROR(BX116/BV116*10,0)</f>
        <v>0</v>
      </c>
      <c r="BX116" s="2106">
        <v>0</v>
      </c>
      <c r="BY116" s="2106">
        <f>IFERROR(BZ116/BV116*10,0)</f>
        <v>0</v>
      </c>
      <c r="BZ116" s="2106">
        <v>0</v>
      </c>
      <c r="CA116" s="2106">
        <f>IFERROR(CB116/BV116*10,0)</f>
        <v>0</v>
      </c>
      <c r="CB116" s="2106">
        <v>0</v>
      </c>
      <c r="CC116" s="2106"/>
      <c r="CD116" s="2106">
        <f>IFERROR(CE116/BV116*10,0)</f>
        <v>0</v>
      </c>
      <c r="CE116" s="2106">
        <f>SUM(BX116,BZ116,CB116,CC116)</f>
        <v>0</v>
      </c>
      <c r="CF116" s="2106">
        <v>0</v>
      </c>
      <c r="CG116" s="2106">
        <f>IFERROR(CH116/CF116*10,0)</f>
        <v>0</v>
      </c>
      <c r="CH116" s="2106">
        <v>0</v>
      </c>
      <c r="CI116" s="2106">
        <f>IFERROR(CJ116/CF116*10,0)</f>
        <v>0</v>
      </c>
      <c r="CJ116" s="2106">
        <v>0</v>
      </c>
      <c r="CK116" s="2106">
        <f>IFERROR(CL116/CF116*10,0)</f>
        <v>0</v>
      </c>
      <c r="CL116" s="2106">
        <v>0</v>
      </c>
      <c r="CM116" s="2106"/>
      <c r="CN116" s="2106">
        <f>IFERROR(CO116/CF116*10,0)</f>
        <v>0</v>
      </c>
      <c r="CO116" s="2106">
        <f>SUM(CH116,CJ116,CL116,CM116)</f>
        <v>0</v>
      </c>
      <c r="CP116" s="2106">
        <v>0</v>
      </c>
      <c r="CQ116" s="2106">
        <f t="shared" si="281"/>
        <v>0</v>
      </c>
      <c r="CR116" s="2106">
        <v>0</v>
      </c>
      <c r="CS116" s="2106">
        <f>IFERROR(CT116/CP116*10,0)</f>
        <v>0</v>
      </c>
      <c r="CT116" s="2106">
        <v>0</v>
      </c>
      <c r="CU116" s="2106">
        <f>IFERROR(CV116/CP116*10,0)</f>
        <v>0</v>
      </c>
      <c r="CV116" s="2106">
        <v>0</v>
      </c>
      <c r="CW116" s="2106"/>
      <c r="CX116" s="2106">
        <f>IFERROR(CY116/CP116*10,0)</f>
        <v>0</v>
      </c>
      <c r="CY116" s="2106">
        <f>SUM(CR116,CT116,CV116,CW116)</f>
        <v>0</v>
      </c>
      <c r="CZ116" s="2106">
        <v>0</v>
      </c>
      <c r="DA116" s="2106">
        <f t="shared" si="189"/>
        <v>0</v>
      </c>
      <c r="DB116" s="2106">
        <v>0</v>
      </c>
      <c r="DC116" s="2106">
        <v>0</v>
      </c>
      <c r="DD116" s="2109">
        <f t="shared" si="190"/>
        <v>0</v>
      </c>
      <c r="DE116" s="2106"/>
      <c r="DF116" s="2106"/>
      <c r="DG116" s="2106"/>
      <c r="DH116" s="2106"/>
      <c r="DI116" s="2106"/>
      <c r="DJ116" s="2106">
        <v>0</v>
      </c>
      <c r="DK116" s="2106">
        <f t="shared" si="192"/>
        <v>0</v>
      </c>
      <c r="DL116" s="2106">
        <v>0</v>
      </c>
      <c r="DM116" s="2106">
        <v>0</v>
      </c>
      <c r="DN116" s="2109">
        <f t="shared" si="193"/>
        <v>0</v>
      </c>
      <c r="DO116" s="2106"/>
      <c r="DP116" s="2106"/>
      <c r="DQ116" s="2106"/>
      <c r="DR116" s="2106"/>
      <c r="DS116" s="2106"/>
      <c r="DT116" s="2106">
        <v>0</v>
      </c>
      <c r="DU116" s="2106">
        <f t="shared" si="195"/>
        <v>0</v>
      </c>
      <c r="DV116" s="2106">
        <v>0</v>
      </c>
      <c r="DW116" s="2106">
        <v>0</v>
      </c>
      <c r="DX116" s="2109">
        <f t="shared" si="196"/>
        <v>0</v>
      </c>
      <c r="DY116" s="2106"/>
      <c r="DZ116" s="2106"/>
      <c r="EA116" s="2106"/>
      <c r="EB116" s="2106"/>
      <c r="EC116" s="2106"/>
      <c r="ED116" s="2106">
        <f>SUM(N116,X116,AH116,AR116,BB116,BL116,BV116,CF116,CP116,CZ116,DJ116,DT116)</f>
        <v>0</v>
      </c>
      <c r="EE116" s="2107"/>
      <c r="EF116" s="2106">
        <f>IFERROR(EG116/ED116*10,0)</f>
        <v>0</v>
      </c>
      <c r="EG116" s="2106">
        <f>SUM(P116,Z116,AJ116,AT116,BD116,BN116,BX116,CH116,CR116,DB116,DL116,DV116)</f>
        <v>0</v>
      </c>
      <c r="EH116" s="2106">
        <f>IFERROR(EI116/ED116*10,0)</f>
        <v>0</v>
      </c>
      <c r="EI116" s="2106">
        <f>SUM(R116,AB116,AL116,AV116,BF116,BP116,BZ116,CJ116,CT116,DD116,DN116,DX116)</f>
        <v>0</v>
      </c>
      <c r="EJ116" s="2106"/>
      <c r="EK116" s="2106">
        <f>SUM(T116,AD116,AN116,AX116,BH116,BR116,CB116,CL116,CV116,DF116,DP116,DZ116)</f>
        <v>0</v>
      </c>
      <c r="EL116" s="2106"/>
      <c r="EM116" s="2106"/>
      <c r="EN116" s="2106">
        <f>EG116+EI116+EK116</f>
        <v>0</v>
      </c>
      <c r="EO116" s="2104">
        <f>IFERROR(EN116/ED116*10,0)</f>
        <v>0</v>
      </c>
      <c r="EP116" s="2110"/>
      <c r="ES116" s="2084">
        <f t="shared" si="187"/>
        <v>0</v>
      </c>
      <c r="EU116" s="2084">
        <f t="shared" si="198"/>
        <v>0</v>
      </c>
      <c r="EV116" s="2084">
        <f t="shared" si="199"/>
        <v>0</v>
      </c>
      <c r="EW116" s="2084" t="e">
        <f t="shared" si="200"/>
        <v>#DIV/0!</v>
      </c>
      <c r="FE116" s="2108"/>
      <c r="FF116" s="2108"/>
      <c r="FG116" s="2108"/>
      <c r="FH116" s="2108"/>
      <c r="FI116" s="2108"/>
      <c r="FJ116" s="2108"/>
      <c r="FK116" s="2108"/>
    </row>
    <row r="117" spans="1:167">
      <c r="A117" s="1760">
        <v>3</v>
      </c>
      <c r="B117" s="1761" t="s">
        <v>1742</v>
      </c>
      <c r="C117" s="2098" t="e">
        <v>#N/A</v>
      </c>
      <c r="D117" s="2099" t="e">
        <v>#N/A</v>
      </c>
      <c r="E117" s="2100"/>
      <c r="F117" s="2099"/>
      <c r="G117" s="2104">
        <v>34</v>
      </c>
      <c r="H117" s="2102" t="s">
        <v>1717</v>
      </c>
      <c r="I117" s="2103">
        <v>1</v>
      </c>
      <c r="J117" s="2104"/>
      <c r="K117" s="2101"/>
      <c r="L117" s="2101"/>
      <c r="M117" s="2105"/>
      <c r="N117" s="2106">
        <v>0</v>
      </c>
      <c r="O117" s="2106">
        <f>IFERROR(P117/N117*10,0)</f>
        <v>0</v>
      </c>
      <c r="P117" s="2106">
        <v>0</v>
      </c>
      <c r="Q117" s="2106">
        <f>IFERROR(R117/N117*10,0)</f>
        <v>0</v>
      </c>
      <c r="R117" s="2106">
        <v>0</v>
      </c>
      <c r="S117" s="2106">
        <f>IFERROR(T117/N117*10,0)</f>
        <v>0</v>
      </c>
      <c r="T117" s="2106">
        <v>0</v>
      </c>
      <c r="U117" s="2106"/>
      <c r="V117" s="2106"/>
      <c r="W117" s="2106"/>
      <c r="X117" s="2106">
        <v>0</v>
      </c>
      <c r="Y117" s="2106">
        <f>IFERROR(Z117/X117*10,0)</f>
        <v>0</v>
      </c>
      <c r="Z117" s="2106">
        <v>0</v>
      </c>
      <c r="AA117" s="2106">
        <f>IFERROR(AB117/X117*10,0)</f>
        <v>0</v>
      </c>
      <c r="AB117" s="2106">
        <v>0</v>
      </c>
      <c r="AC117" s="2106">
        <f>IFERROR(AD117/X117*10,0)</f>
        <v>0</v>
      </c>
      <c r="AD117" s="2106">
        <v>0</v>
      </c>
      <c r="AE117" s="2106"/>
      <c r="AF117" s="2106">
        <f>IFERROR(AG117/X117*10,0)</f>
        <v>0</v>
      </c>
      <c r="AG117" s="2106">
        <f>SUM(Z117,AB117,AD117,AE117)</f>
        <v>0</v>
      </c>
      <c r="AH117" s="2106">
        <v>0</v>
      </c>
      <c r="AI117" s="2106">
        <f>IFERROR(AJ117/AH117*10,0)</f>
        <v>0</v>
      </c>
      <c r="AJ117" s="2106">
        <v>0</v>
      </c>
      <c r="AK117" s="2106">
        <f>IFERROR(AL117/AH117*10,0)</f>
        <v>0</v>
      </c>
      <c r="AL117" s="2106">
        <v>0</v>
      </c>
      <c r="AM117" s="2106">
        <f>IFERROR(AN117/AH117*10,0)</f>
        <v>0</v>
      </c>
      <c r="AN117" s="2106">
        <v>0</v>
      </c>
      <c r="AO117" s="2106">
        <v>0</v>
      </c>
      <c r="AP117" s="2106">
        <f>IFERROR(AQ117/AH117*10,0)</f>
        <v>0</v>
      </c>
      <c r="AQ117" s="2106">
        <f>SUM(AJ117,AL117,AN117,AO117)</f>
        <v>0</v>
      </c>
      <c r="AR117" s="2106">
        <v>0</v>
      </c>
      <c r="AS117" s="2106">
        <f>IFERROR(AT117/AR117*10,0)</f>
        <v>0</v>
      </c>
      <c r="AT117" s="2106">
        <v>0</v>
      </c>
      <c r="AU117" s="2106">
        <f>IFERROR(AV117/AR117*10,0)</f>
        <v>0</v>
      </c>
      <c r="AV117" s="2106">
        <v>0</v>
      </c>
      <c r="AW117" s="2106">
        <f>IFERROR(AX117/AR117*10,0)</f>
        <v>0</v>
      </c>
      <c r="AX117" s="2106">
        <v>0</v>
      </c>
      <c r="AY117" s="2106"/>
      <c r="AZ117" s="2106">
        <f>IFERROR(BA117/AR117*10,0)</f>
        <v>0</v>
      </c>
      <c r="BA117" s="2106">
        <f>SUM(AT117,AV117,AX117,AY117)</f>
        <v>0</v>
      </c>
      <c r="BB117" s="2106">
        <v>0</v>
      </c>
      <c r="BC117" s="2106">
        <f>IFERROR(BD117/BB117*10,0)</f>
        <v>0</v>
      </c>
      <c r="BD117" s="2106">
        <v>0</v>
      </c>
      <c r="BE117" s="2106">
        <f>IFERROR(BF117/BB117*10,0)</f>
        <v>0</v>
      </c>
      <c r="BF117" s="2106">
        <v>0</v>
      </c>
      <c r="BG117" s="2106">
        <f>IFERROR(BH117/BB117*10,0)</f>
        <v>0</v>
      </c>
      <c r="BH117" s="2106">
        <v>0</v>
      </c>
      <c r="BI117" s="2106"/>
      <c r="BJ117" s="2106">
        <f>IFERROR(BK117/BB117*10,0)</f>
        <v>0</v>
      </c>
      <c r="BK117" s="2106">
        <f>SUM(BD117,BF117,BH117,BI117)</f>
        <v>0</v>
      </c>
      <c r="BL117" s="2106">
        <v>0</v>
      </c>
      <c r="BM117" s="2106">
        <f>IFERROR(BN117/BL117*10,0)</f>
        <v>0</v>
      </c>
      <c r="BN117" s="2106">
        <v>0</v>
      </c>
      <c r="BO117" s="2106">
        <f>IFERROR(BP117/BL117*10,0)</f>
        <v>0</v>
      </c>
      <c r="BP117" s="2106">
        <v>0</v>
      </c>
      <c r="BQ117" s="2106">
        <f>IFERROR(BR117/BL117*10,0)</f>
        <v>0</v>
      </c>
      <c r="BR117" s="2106">
        <v>0</v>
      </c>
      <c r="BS117" s="2106"/>
      <c r="BT117" s="2106">
        <f>IFERROR(BU117/BL117*10,0)</f>
        <v>0</v>
      </c>
      <c r="BU117" s="2106">
        <f>SUM(BN117,BP117,BR117,BS117)</f>
        <v>0</v>
      </c>
      <c r="BV117" s="2106">
        <v>0</v>
      </c>
      <c r="BW117" s="2106">
        <f>IFERROR(BX117/BV117*10,0)</f>
        <v>0</v>
      </c>
      <c r="BX117" s="2106">
        <v>0</v>
      </c>
      <c r="BY117" s="2106">
        <f>IFERROR(BZ117/BV117*10,0)</f>
        <v>0</v>
      </c>
      <c r="BZ117" s="2106">
        <v>0</v>
      </c>
      <c r="CA117" s="2106">
        <f>IFERROR(CB117/BV117*10,0)</f>
        <v>0</v>
      </c>
      <c r="CB117" s="2106">
        <v>0</v>
      </c>
      <c r="CC117" s="2106"/>
      <c r="CD117" s="2106">
        <f>IFERROR(CE117/BV117*10,0)</f>
        <v>0</v>
      </c>
      <c r="CE117" s="2106">
        <f>SUM(BX117,BZ117,CB117,CC117)</f>
        <v>0</v>
      </c>
      <c r="CF117" s="2106">
        <v>0</v>
      </c>
      <c r="CG117" s="2106">
        <f>IFERROR(CH117/CF117*10,0)</f>
        <v>0</v>
      </c>
      <c r="CH117" s="2106">
        <v>0</v>
      </c>
      <c r="CI117" s="2106">
        <f>IFERROR(CJ117/CF117*10,0)</f>
        <v>0</v>
      </c>
      <c r="CJ117" s="2106">
        <v>0</v>
      </c>
      <c r="CK117" s="2106">
        <f>IFERROR(CL117/CF117*10,0)</f>
        <v>0</v>
      </c>
      <c r="CL117" s="2106">
        <v>0</v>
      </c>
      <c r="CM117" s="2106"/>
      <c r="CN117" s="2106">
        <f>IFERROR(CO117/CF117*10,0)</f>
        <v>0</v>
      </c>
      <c r="CO117" s="2106">
        <f>SUM(CH117,CJ117,CL117,CM117)</f>
        <v>0</v>
      </c>
      <c r="CP117" s="2106">
        <v>0</v>
      </c>
      <c r="CQ117" s="2106">
        <f t="shared" si="281"/>
        <v>0</v>
      </c>
      <c r="CR117" s="2106">
        <v>0</v>
      </c>
      <c r="CS117" s="2106">
        <f>IFERROR(CT117/CP117*10,0)</f>
        <v>0</v>
      </c>
      <c r="CT117" s="2106">
        <v>0</v>
      </c>
      <c r="CU117" s="2106">
        <f>IFERROR(CV117/CP117*10,0)</f>
        <v>0</v>
      </c>
      <c r="CV117" s="2106">
        <v>0</v>
      </c>
      <c r="CW117" s="2106"/>
      <c r="CX117" s="2106">
        <f>IFERROR(CY117/CP117*10,0)</f>
        <v>0</v>
      </c>
      <c r="CY117" s="2106">
        <f>SUM(CR117,CT117,CV117,CW117)</f>
        <v>0</v>
      </c>
      <c r="CZ117" s="2106">
        <v>0</v>
      </c>
      <c r="DA117" s="2106">
        <f t="shared" si="189"/>
        <v>0</v>
      </c>
      <c r="DB117" s="2106">
        <v>0</v>
      </c>
      <c r="DC117" s="2106">
        <v>0</v>
      </c>
      <c r="DD117" s="2109">
        <f t="shared" si="190"/>
        <v>0</v>
      </c>
      <c r="DE117" s="2106"/>
      <c r="DF117" s="2106"/>
      <c r="DG117" s="2106"/>
      <c r="DH117" s="2106"/>
      <c r="DI117" s="2106"/>
      <c r="DJ117" s="2106">
        <v>0</v>
      </c>
      <c r="DK117" s="2106">
        <f t="shared" si="192"/>
        <v>0</v>
      </c>
      <c r="DL117" s="2106">
        <v>0</v>
      </c>
      <c r="DM117" s="2106">
        <v>0</v>
      </c>
      <c r="DN117" s="2109">
        <f t="shared" si="193"/>
        <v>0</v>
      </c>
      <c r="DO117" s="2106"/>
      <c r="DP117" s="2106"/>
      <c r="DQ117" s="2106"/>
      <c r="DR117" s="2106"/>
      <c r="DS117" s="2106"/>
      <c r="DT117" s="2106">
        <v>0</v>
      </c>
      <c r="DU117" s="2106">
        <f t="shared" si="195"/>
        <v>0</v>
      </c>
      <c r="DV117" s="2106">
        <v>0</v>
      </c>
      <c r="DW117" s="2106">
        <v>0</v>
      </c>
      <c r="DX117" s="2109">
        <f t="shared" si="196"/>
        <v>0</v>
      </c>
      <c r="DY117" s="2106"/>
      <c r="DZ117" s="2106"/>
      <c r="EA117" s="2106"/>
      <c r="EB117" s="2106"/>
      <c r="EC117" s="2106"/>
      <c r="ED117" s="2106">
        <f>SUM(N117,X117,AH117,AR117,BB117,BL117,BV117,CF117,CP117,CZ117,DJ117,DT117)</f>
        <v>0</v>
      </c>
      <c r="EE117" s="2107"/>
      <c r="EF117" s="2106">
        <f>IFERROR(EG117/ED117*10,0)</f>
        <v>0</v>
      </c>
      <c r="EG117" s="2106">
        <f>SUM(P117,Z117,AJ117,AT117,BD117,BN117,BX117,CH117,CR117,DB117,DL117,DV117)</f>
        <v>0</v>
      </c>
      <c r="EH117" s="2106">
        <f>IFERROR(EI117/ED117*10,0)</f>
        <v>0</v>
      </c>
      <c r="EI117" s="2106">
        <f>SUM(R117,AB117,AL117,AV117,BF117,BP117,BZ117,CJ117,CT117,DD117,DN117,DX117)</f>
        <v>0</v>
      </c>
      <c r="EJ117" s="2106"/>
      <c r="EK117" s="2106">
        <f>SUM(T117,AD117,AN117,AX117,BH117,BR117,CB117,CL117,CV117,DF117,DP117,DZ117)</f>
        <v>0</v>
      </c>
      <c r="EL117" s="2106"/>
      <c r="EM117" s="2106"/>
      <c r="EN117" s="2106">
        <f>EG117+EI117+EK117</f>
        <v>0</v>
      </c>
      <c r="EO117" s="2104">
        <f>IFERROR(EN117/ED117*10,0)</f>
        <v>0</v>
      </c>
      <c r="EP117" s="2110"/>
      <c r="ES117" s="2084">
        <f t="shared" si="187"/>
        <v>0</v>
      </c>
      <c r="EU117" s="2084">
        <f t="shared" si="198"/>
        <v>0</v>
      </c>
      <c r="EV117" s="2084">
        <f t="shared" si="199"/>
        <v>0</v>
      </c>
      <c r="EW117" s="2084" t="e">
        <f t="shared" si="200"/>
        <v>#DIV/0!</v>
      </c>
      <c r="FE117" s="2108"/>
      <c r="FF117" s="2108"/>
      <c r="FG117" s="2108"/>
      <c r="FH117" s="2108"/>
      <c r="FI117" s="2108"/>
      <c r="FJ117" s="2108"/>
      <c r="FK117" s="2108"/>
    </row>
    <row r="118" spans="1:167">
      <c r="A118" s="1760">
        <v>4</v>
      </c>
      <c r="B118" s="1761" t="s">
        <v>1743</v>
      </c>
      <c r="C118" s="2098">
        <v>8</v>
      </c>
      <c r="D118" s="2099">
        <v>0.42499999999999999</v>
      </c>
      <c r="E118" s="2100"/>
      <c r="F118" s="2099">
        <v>0.20477363461065431</v>
      </c>
      <c r="G118" s="2104">
        <v>3.4</v>
      </c>
      <c r="H118" s="2102" t="s">
        <v>1717</v>
      </c>
      <c r="I118" s="2103">
        <v>1</v>
      </c>
      <c r="J118" s="2104"/>
      <c r="K118" s="2101"/>
      <c r="L118" s="2101"/>
      <c r="M118" s="2105"/>
      <c r="N118" s="2106">
        <v>0</v>
      </c>
      <c r="O118" s="2106">
        <f>IFERROR(P118/N118*10,0)</f>
        <v>0</v>
      </c>
      <c r="P118" s="2106">
        <v>0</v>
      </c>
      <c r="Q118" s="2106">
        <f>IFERROR(R118/N118*10,0)</f>
        <v>0</v>
      </c>
      <c r="R118" s="2106">
        <v>0</v>
      </c>
      <c r="S118" s="2106">
        <f>IFERROR(T118/N118*10,0)</f>
        <v>0</v>
      </c>
      <c r="T118" s="2106">
        <v>0</v>
      </c>
      <c r="U118" s="2106"/>
      <c r="V118" s="2106">
        <f>IFERROR(W118/N118*10,0)</f>
        <v>0</v>
      </c>
      <c r="W118" s="2106">
        <f>SUM(P118,R118,T118,U118)</f>
        <v>0</v>
      </c>
      <c r="X118" s="2106">
        <v>1.7167239999999999</v>
      </c>
      <c r="Y118" s="2106">
        <f>IFERROR(Z118/X118*10,0)</f>
        <v>0</v>
      </c>
      <c r="Z118" s="2106">
        <v>0</v>
      </c>
      <c r="AA118" s="2106">
        <f>IFERROR(AB118/X118*10,0)</f>
        <v>5.0400000233001929</v>
      </c>
      <c r="AB118" s="2106">
        <v>0.86522889999999997</v>
      </c>
      <c r="AC118" s="2106">
        <f>IFERROR(AD118/X118*10,0)</f>
        <v>0</v>
      </c>
      <c r="AD118" s="2106">
        <v>0</v>
      </c>
      <c r="AE118" s="2106"/>
      <c r="AF118" s="2106">
        <f>IFERROR(AG118/X118*10,0)</f>
        <v>5.0400000233001929</v>
      </c>
      <c r="AG118" s="2106">
        <f>SUM(Z118,AB118,AD118,AE118)</f>
        <v>0.86522889999999997</v>
      </c>
      <c r="AH118" s="2106">
        <v>1.680944</v>
      </c>
      <c r="AI118" s="2106">
        <f>IFERROR(AJ118/AH118*10,0)</f>
        <v>0</v>
      </c>
      <c r="AJ118" s="2106">
        <v>0</v>
      </c>
      <c r="AK118" s="2106">
        <f>IFERROR(AL118/AH118*10,0)</f>
        <v>5.0400001427769157</v>
      </c>
      <c r="AL118" s="2106">
        <v>0.84719580000000005</v>
      </c>
      <c r="AM118" s="2106">
        <f>IFERROR(AN118/AH118*10,0)</f>
        <v>0</v>
      </c>
      <c r="AN118" s="2106">
        <v>0</v>
      </c>
      <c r="AO118" s="2106">
        <v>0</v>
      </c>
      <c r="AP118" s="2106">
        <f>IFERROR(AQ118/AH118*10,0)</f>
        <v>5.0400001427769157</v>
      </c>
      <c r="AQ118" s="2106">
        <f>SUM(AJ118,AL118,AN118,AO118)</f>
        <v>0.84719580000000005</v>
      </c>
      <c r="AR118" s="2106">
        <v>1.286899</v>
      </c>
      <c r="AS118" s="2106">
        <f>IFERROR(AT118/AR118*10,0)</f>
        <v>0</v>
      </c>
      <c r="AT118" s="2106">
        <v>0</v>
      </c>
      <c r="AU118" s="2106">
        <f>IFERROR(AV118/AR118*10,0)</f>
        <v>5.0400000310824709</v>
      </c>
      <c r="AV118" s="2106">
        <v>0.64859710000000004</v>
      </c>
      <c r="AW118" s="2106">
        <f>IFERROR(AX118/AR118*10,0)</f>
        <v>1.727408289228603E-3</v>
      </c>
      <c r="AX118" s="2106">
        <v>2.2230000000000001E-4</v>
      </c>
      <c r="AY118" s="2106"/>
      <c r="AZ118" s="2106">
        <f>IFERROR(BA118/AR118*10,0)</f>
        <v>5.0417274393716998</v>
      </c>
      <c r="BA118" s="2106">
        <f>SUM(AT118,AV118,AX118,AY118)</f>
        <v>0.64881940000000005</v>
      </c>
      <c r="BB118" s="2106">
        <v>0.53929899999999997</v>
      </c>
      <c r="BC118" s="2106">
        <f>IFERROR(BD118/BB118*10,0)</f>
        <v>0</v>
      </c>
      <c r="BD118" s="2106">
        <v>0</v>
      </c>
      <c r="BE118" s="2106">
        <f>IFERROR(BF118/BB118*10,0)</f>
        <v>5.0400000741703588</v>
      </c>
      <c r="BF118" s="2106">
        <v>0.27180670000000001</v>
      </c>
      <c r="BG118" s="2106">
        <f>IFERROR(BH118/BB118*10,0)</f>
        <v>0</v>
      </c>
      <c r="BH118" s="2106">
        <v>0</v>
      </c>
      <c r="BI118" s="2106"/>
      <c r="BJ118" s="2106">
        <f>IFERROR(BK118/BB118*10,0)</f>
        <v>5.0400000741703588</v>
      </c>
      <c r="BK118" s="2106">
        <f>SUM(BD118,BF118,BH118,BI118)</f>
        <v>0.27180670000000001</v>
      </c>
      <c r="BL118" s="2106">
        <v>0</v>
      </c>
      <c r="BM118" s="2106">
        <f>IFERROR(BN118/BL118*10,0)</f>
        <v>0</v>
      </c>
      <c r="BN118" s="2106">
        <v>0</v>
      </c>
      <c r="BO118" s="2106">
        <f>IFERROR(BP118/BL118*10,0)</f>
        <v>0</v>
      </c>
      <c r="BP118" s="2106">
        <v>0</v>
      </c>
      <c r="BQ118" s="2106">
        <f>IFERROR(BR118/BL118*10,0)</f>
        <v>0</v>
      </c>
      <c r="BR118" s="2106">
        <v>0</v>
      </c>
      <c r="BS118" s="2106"/>
      <c r="BT118" s="2106">
        <f>IFERROR(BU118/BL118*10,0)</f>
        <v>0</v>
      </c>
      <c r="BU118" s="2106">
        <f>SUM(BN118,BP118,BR118,BS118)</f>
        <v>0</v>
      </c>
      <c r="BV118" s="2106">
        <v>0</v>
      </c>
      <c r="BW118" s="2106">
        <f>IFERROR(BX118/BV118*10,0)</f>
        <v>0</v>
      </c>
      <c r="BX118" s="2106">
        <v>0</v>
      </c>
      <c r="BY118" s="2106">
        <f>IFERROR(BZ118/BV118*10,0)</f>
        <v>0</v>
      </c>
      <c r="BZ118" s="2106">
        <v>0</v>
      </c>
      <c r="CA118" s="2106">
        <f>IFERROR(CB118/BV118*10,0)</f>
        <v>0</v>
      </c>
      <c r="CB118" s="2106">
        <v>0</v>
      </c>
      <c r="CC118" s="2106"/>
      <c r="CD118" s="2106">
        <f>IFERROR(CE118/BV118*10,0)</f>
        <v>0</v>
      </c>
      <c r="CE118" s="2106">
        <f>SUM(BX118,BZ118,CB118,CC118)</f>
        <v>0</v>
      </c>
      <c r="CF118" s="2106">
        <v>0</v>
      </c>
      <c r="CG118" s="2106">
        <f>IFERROR(CH118/CF118*10,0)</f>
        <v>0</v>
      </c>
      <c r="CH118" s="2106">
        <v>0</v>
      </c>
      <c r="CI118" s="2106">
        <f>IFERROR(CJ118/CF118*10,0)</f>
        <v>0</v>
      </c>
      <c r="CJ118" s="2106">
        <v>0</v>
      </c>
      <c r="CK118" s="2106">
        <f>IFERROR(CL118/CF118*10,0)</f>
        <v>0</v>
      </c>
      <c r="CL118" s="2106">
        <v>0</v>
      </c>
      <c r="CM118" s="2106"/>
      <c r="CN118" s="2106">
        <f>IFERROR(CO118/CF118*10,0)</f>
        <v>0</v>
      </c>
      <c r="CO118" s="2106">
        <f>SUM(CH118,CJ118,CL118,CM118)</f>
        <v>0</v>
      </c>
      <c r="CP118" s="2106">
        <v>0.29704000000000003</v>
      </c>
      <c r="CQ118" s="2106">
        <f t="shared" si="281"/>
        <v>0</v>
      </c>
      <c r="CR118" s="2106">
        <v>0</v>
      </c>
      <c r="CS118" s="2106">
        <f>IFERROR(CT118/CP118*10,0)</f>
        <v>5.0400013466199836</v>
      </c>
      <c r="CT118" s="2106">
        <v>0.14970820000000001</v>
      </c>
      <c r="CU118" s="2106">
        <f>IFERROR(CV118/CP118*10,0)</f>
        <v>0</v>
      </c>
      <c r="CV118" s="2106">
        <v>0</v>
      </c>
      <c r="CW118" s="2106"/>
      <c r="CX118" s="2106">
        <f>IFERROR(CY118/CP118*10,0)</f>
        <v>5.0400013466199836</v>
      </c>
      <c r="CY118" s="2106">
        <f>SUM(CR118,CT118,CV118,CW118)</f>
        <v>0.14970820000000001</v>
      </c>
      <c r="CZ118" s="2106">
        <v>1.8971999999999998</v>
      </c>
      <c r="DA118" s="2106">
        <f t="shared" si="189"/>
        <v>9.3930914242040924</v>
      </c>
      <c r="DB118" s="2106">
        <v>1.7820573050000001</v>
      </c>
      <c r="DC118" s="2106">
        <v>3.458275281721519</v>
      </c>
      <c r="DD118" s="2109">
        <f t="shared" si="190"/>
        <v>0.65610398644820644</v>
      </c>
      <c r="DE118" s="2106"/>
      <c r="DF118" s="2106"/>
      <c r="DG118" s="2106"/>
      <c r="DH118" s="2106">
        <f>IFERROR(DI118/CZ118*10,0)</f>
        <v>12.85136670592561</v>
      </c>
      <c r="DI118" s="2106">
        <f>SUM(DB118,DD118,DF118,DG118)</f>
        <v>2.4381612914482065</v>
      </c>
      <c r="DJ118" s="2106">
        <v>1.7136</v>
      </c>
      <c r="DK118" s="2106">
        <f t="shared" si="192"/>
        <v>10.399494076797387</v>
      </c>
      <c r="DL118" s="2106">
        <v>1.7820573050000001</v>
      </c>
      <c r="DM118" s="2106">
        <v>3.458275281721519</v>
      </c>
      <c r="DN118" s="2109">
        <f t="shared" si="193"/>
        <v>0.59261005227579955</v>
      </c>
      <c r="DO118" s="2106"/>
      <c r="DP118" s="2106"/>
      <c r="DQ118" s="2106"/>
      <c r="DR118" s="2106">
        <f>IFERROR(DS118/DJ118*10,0)</f>
        <v>13.857769358518905</v>
      </c>
      <c r="DS118" s="2106">
        <f>SUM(DL118,DN118,DP118,DQ118)</f>
        <v>2.3746673572757997</v>
      </c>
      <c r="DT118" s="2106">
        <v>1.8971999999999998</v>
      </c>
      <c r="DU118" s="2106">
        <f t="shared" si="195"/>
        <v>9.3930914242040924</v>
      </c>
      <c r="DV118" s="2106">
        <v>1.7820573050000001</v>
      </c>
      <c r="DW118" s="2106">
        <v>3.458275281721519</v>
      </c>
      <c r="DX118" s="2109">
        <f t="shared" si="196"/>
        <v>0.65610398644820644</v>
      </c>
      <c r="DY118" s="2106"/>
      <c r="DZ118" s="2106"/>
      <c r="EA118" s="2106"/>
      <c r="EB118" s="2106">
        <f>IFERROR(EC118/DT118*10,0)</f>
        <v>12.85136670592561</v>
      </c>
      <c r="EC118" s="2106">
        <f>SUM(DV118,DX118,DZ118,EA118)</f>
        <v>2.4381612914482065</v>
      </c>
      <c r="ED118" s="2106">
        <f>SUM(N118,X118,AH118,AR118,BB118,BL118,BV118,CF118,CP118,CZ118,DJ118,DT118)</f>
        <v>11.028905999999999</v>
      </c>
      <c r="EE118" s="2107"/>
      <c r="EF118" s="2106">
        <f>IFERROR(EG118/ED118*10,0)</f>
        <v>4.8474181528068154</v>
      </c>
      <c r="EG118" s="2106">
        <f>SUM(P118,Z118,AJ118,AT118,BD118,BN118,BX118,CH118,CR118,DB118,DL118,DV118)</f>
        <v>5.3461719150000002</v>
      </c>
      <c r="EH118" s="2106">
        <f>IFERROR(EI118/ED118*10,0)</f>
        <v>4.2500631750530955</v>
      </c>
      <c r="EI118" s="2106">
        <f>SUM(R118,AB118,AL118,AV118,BF118,BP118,BZ118,CJ118,CT118,DD118,DN118,DX118)</f>
        <v>4.687354725172213</v>
      </c>
      <c r="EJ118" s="2106"/>
      <c r="EK118" s="2106">
        <f>SUM(T118,AD118,AN118,AX118,BH118,BR118,CB118,CL118,CV118,DF118,DP118,DZ118)</f>
        <v>2.2230000000000001E-4</v>
      </c>
      <c r="EL118" s="2106"/>
      <c r="EM118" s="2106"/>
      <c r="EN118" s="2106">
        <f>EG118+EI118+EK118</f>
        <v>10.033748940172213</v>
      </c>
      <c r="EO118" s="2104">
        <f>IFERROR(EN118/ED118*10,0)</f>
        <v>9.0976828891027033</v>
      </c>
      <c r="EP118" s="2110"/>
      <c r="ES118" s="2084">
        <f t="shared" si="187"/>
        <v>0</v>
      </c>
      <c r="EU118" s="2084">
        <f t="shared" si="198"/>
        <v>2.7825367000000001</v>
      </c>
      <c r="EV118" s="2084">
        <f t="shared" si="199"/>
        <v>5.5209059999999992</v>
      </c>
      <c r="EW118" s="2084">
        <f t="shared" si="200"/>
        <v>5.0400001376585664</v>
      </c>
      <c r="FE118" s="2108"/>
      <c r="FF118" s="2108"/>
      <c r="FG118" s="2108"/>
      <c r="FH118" s="2108"/>
      <c r="FI118" s="2108"/>
      <c r="FJ118" s="2108"/>
      <c r="FK118" s="2108"/>
    </row>
    <row r="119" spans="1:167" s="2096" customFormat="1">
      <c r="A119" s="1783"/>
      <c r="B119" s="1784" t="s">
        <v>211</v>
      </c>
      <c r="C119" s="2122" t="e">
        <f>SUM(C115:C118)</f>
        <v>#N/A</v>
      </c>
      <c r="D119" s="2123"/>
      <c r="E119" s="2124"/>
      <c r="F119" s="2123"/>
      <c r="G119" s="1879">
        <f>SUM(G115:G118)</f>
        <v>296.52</v>
      </c>
      <c r="H119" s="2115"/>
      <c r="I119" s="2103"/>
      <c r="J119" s="2101"/>
      <c r="K119" s="2101"/>
      <c r="L119" s="2101"/>
      <c r="M119" s="2125"/>
      <c r="N119" s="2107">
        <f>SUM(N115:N118)</f>
        <v>0</v>
      </c>
      <c r="O119" s="2107">
        <f>IFERROR(P119/N119*10,0)</f>
        <v>0</v>
      </c>
      <c r="P119" s="2107">
        <f>SUM(P115:P118)</f>
        <v>0</v>
      </c>
      <c r="Q119" s="2107">
        <f>IFERROR(R119/N119*10,0)</f>
        <v>0</v>
      </c>
      <c r="R119" s="2107">
        <f>SUM(R115:R118)</f>
        <v>0</v>
      </c>
      <c r="S119" s="2107">
        <f>IFERROR(T119/N119*10,0)</f>
        <v>0</v>
      </c>
      <c r="T119" s="2107">
        <f>SUM(T115:T118)</f>
        <v>0</v>
      </c>
      <c r="U119" s="2107"/>
      <c r="V119" s="2107">
        <f>IFERROR(W119/N119*10,0)</f>
        <v>0</v>
      </c>
      <c r="W119" s="2107">
        <f>SUM(W115:W118)</f>
        <v>0</v>
      </c>
      <c r="X119" s="2107">
        <f>SUM(X115:X118)</f>
        <v>43.668759000000001</v>
      </c>
      <c r="Y119" s="2107">
        <f>IFERROR(Z119/X119*10,0)</f>
        <v>3.9154947590793681</v>
      </c>
      <c r="Z119" s="2107">
        <f>SUM(Z115:Z118)</f>
        <v>17.098479699999999</v>
      </c>
      <c r="AA119" s="2107">
        <f>IFERROR(AB119/X119*10,0)</f>
        <v>2.5537405127542092</v>
      </c>
      <c r="AB119" s="2107">
        <f>SUM(AB115:AB118)</f>
        <v>11.151867899999999</v>
      </c>
      <c r="AC119" s="2107">
        <f>IFERROR(AD119/X119*10,0)</f>
        <v>0</v>
      </c>
      <c r="AD119" s="2107">
        <f>SUM(AD115:AD118)</f>
        <v>0</v>
      </c>
      <c r="AE119" s="2107"/>
      <c r="AF119" s="2107">
        <f>IFERROR(AG119/X119*10,0)</f>
        <v>6.4692352718335764</v>
      </c>
      <c r="AG119" s="2107">
        <f>SUM(AG115:AG118)</f>
        <v>28.250347599999998</v>
      </c>
      <c r="AH119" s="2107">
        <f>SUM(AH115:AH118)</f>
        <v>95.622346999999991</v>
      </c>
      <c r="AI119" s="2107">
        <f>IFERROR(AJ119/AH119*10,0)</f>
        <v>1.7016700709092616</v>
      </c>
      <c r="AJ119" s="2107">
        <f>SUM(AJ115:AJ118)</f>
        <v>16.271768600000001</v>
      </c>
      <c r="AK119" s="2107">
        <f>IFERROR(AL119/AH119*10,0)</f>
        <v>2.4974944193745845</v>
      </c>
      <c r="AL119" s="2107">
        <f>SUM(AL115:AL118)</f>
        <v>23.8816278</v>
      </c>
      <c r="AM119" s="2107">
        <f>IFERROR(AN119/AH119*10,0)</f>
        <v>0</v>
      </c>
      <c r="AN119" s="2107">
        <f>SUM(AN115:AN118)</f>
        <v>0</v>
      </c>
      <c r="AO119" s="2107">
        <f>SUM(AO115:AO118)</f>
        <v>0</v>
      </c>
      <c r="AP119" s="2107">
        <f>IFERROR(AQ119/AH119*10,0)</f>
        <v>4.1991644902838461</v>
      </c>
      <c r="AQ119" s="2107">
        <f>SUM(AQ115:AQ118)</f>
        <v>40.153396399999998</v>
      </c>
      <c r="AR119" s="2107">
        <f>SUM(AR115:AR118)</f>
        <v>144.96634</v>
      </c>
      <c r="AS119" s="2107">
        <f>IFERROR(AT119/AR119*10,0)</f>
        <v>1.1789465609740855</v>
      </c>
      <c r="AT119" s="2107">
        <f>SUM(AT115:AT118)</f>
        <v>17.090756800000001</v>
      </c>
      <c r="AU119" s="2107">
        <f>IFERROR(AV119/AR119*10,0)</f>
        <v>2.4749742595419049</v>
      </c>
      <c r="AV119" s="2107">
        <f>SUM(AV115:AV118)</f>
        <v>35.878796000000001</v>
      </c>
      <c r="AW119" s="2107">
        <f>IFERROR(AX119/AR119*10,0)</f>
        <v>7.0119725723916332E-4</v>
      </c>
      <c r="AX119" s="2107">
        <f>SUM(AX115:AX118)</f>
        <v>1.0165E-2</v>
      </c>
      <c r="AY119" s="2107"/>
      <c r="AZ119" s="2107">
        <f>IFERROR(BA119/AR119*10,0)</f>
        <v>3.6546220177732298</v>
      </c>
      <c r="BA119" s="2107">
        <f>SUM(BA115:BA118)</f>
        <v>52.979717800000003</v>
      </c>
      <c r="BB119" s="2107">
        <f>SUM(BB115:BB118)</f>
        <v>135.66730000000001</v>
      </c>
      <c r="BC119" s="2107">
        <f>IFERROR(BD119/BB119*10,0)</f>
        <v>1.2597550625685039</v>
      </c>
      <c r="BD119" s="2107">
        <f>SUM(BD115:BD118)</f>
        <v>17.090756800000001</v>
      </c>
      <c r="BE119" s="2107">
        <f>IFERROR(BF119/BB119*10,0)</f>
        <v>2.4622877067650046</v>
      </c>
      <c r="BF119" s="2107">
        <f>SUM(BF115:BF118)</f>
        <v>33.405192499999998</v>
      </c>
      <c r="BG119" s="2107">
        <f>IFERROR(BH119/BB119*10,0)</f>
        <v>0</v>
      </c>
      <c r="BH119" s="2107">
        <f>SUM(BH115:BH118)</f>
        <v>0</v>
      </c>
      <c r="BI119" s="2107"/>
      <c r="BJ119" s="2107">
        <f>IFERROR(BK119/BB119*10,0)</f>
        <v>3.722042769333509</v>
      </c>
      <c r="BK119" s="2107">
        <f>SUM(BK115:BK118)</f>
        <v>50.495949299999999</v>
      </c>
      <c r="BL119" s="2107">
        <f>SUM(BL115:BL118)</f>
        <v>91.284006000000005</v>
      </c>
      <c r="BM119" s="2107">
        <f>IFERROR(BN119/BL119*10,0)</f>
        <v>1.8118663744884287</v>
      </c>
      <c r="BN119" s="2107">
        <f>SUM(BN115:BN118)</f>
        <v>16.539442099999999</v>
      </c>
      <c r="BO119" s="2107">
        <f>IFERROR(BP119/BL119*10,0)</f>
        <v>2.4520000031549887</v>
      </c>
      <c r="BP119" s="2107">
        <f>SUM(BP115:BP118)</f>
        <v>22.3828383</v>
      </c>
      <c r="BQ119" s="2107">
        <f>IFERROR(BR119/BL119*10,0)</f>
        <v>0</v>
      </c>
      <c r="BR119" s="2107">
        <f>SUM(BR115:BR118)</f>
        <v>0</v>
      </c>
      <c r="BS119" s="2107"/>
      <c r="BT119" s="2107">
        <f>IFERROR(BU119/BL119*10,0)</f>
        <v>4.2638663776434171</v>
      </c>
      <c r="BU119" s="2107">
        <f>SUM(BU115:BU118)</f>
        <v>38.922280399999998</v>
      </c>
      <c r="BV119" s="2107">
        <f>SUM(BV115:BV118)</f>
        <v>40.634470999999998</v>
      </c>
      <c r="BW119" s="2107">
        <f>IFERROR(BX119/BV119*10,0)</f>
        <v>3.7811962163848523</v>
      </c>
      <c r="BX119" s="2107">
        <f>SUM(BX115:BX118)</f>
        <v>15.3646908</v>
      </c>
      <c r="BY119" s="2107">
        <f>IFERROR(BZ119/BV119*10,0)</f>
        <v>2.4520000026578419</v>
      </c>
      <c r="BZ119" s="2107">
        <f>SUM(BZ115:BZ118)</f>
        <v>9.9635722999999992</v>
      </c>
      <c r="CA119" s="2107">
        <f>IFERROR(CB119/BV119*10,0)</f>
        <v>0</v>
      </c>
      <c r="CB119" s="2107">
        <f>SUM(CB115:CB118)</f>
        <v>0</v>
      </c>
      <c r="CC119" s="2107"/>
      <c r="CD119" s="2107">
        <f>IFERROR(CE119/BV119*10,0)</f>
        <v>6.2331962190426946</v>
      </c>
      <c r="CE119" s="2107">
        <f>SUM(CE115:CE118)</f>
        <v>25.328263100000001</v>
      </c>
      <c r="CF119" s="2107">
        <f>SUM(CF115:CF118)</f>
        <v>22.782081000000002</v>
      </c>
      <c r="CG119" s="2107">
        <f>IFERROR(CH119/CF119*10,0)</f>
        <v>6.475796570120175</v>
      </c>
      <c r="CH119" s="2107">
        <f>SUM(CH115:CH118)</f>
        <v>14.7532122</v>
      </c>
      <c r="CI119" s="2107">
        <f>IFERROR(CJ119/CF119*10,0)</f>
        <v>2.4520000170309291</v>
      </c>
      <c r="CJ119" s="2107">
        <f>SUM(CJ115:CJ118)</f>
        <v>5.5861663000000004</v>
      </c>
      <c r="CK119" s="2107">
        <f>IFERROR(CL119/CF119*10,0)</f>
        <v>0</v>
      </c>
      <c r="CL119" s="2107">
        <f>SUM(CL115:CL118)</f>
        <v>0</v>
      </c>
      <c r="CM119" s="2107"/>
      <c r="CN119" s="2107">
        <f>IFERROR(CO119/CF119*10,0)</f>
        <v>8.9277965871511036</v>
      </c>
      <c r="CO119" s="2107">
        <f>SUM(CO115:CO118)</f>
        <v>20.339378500000002</v>
      </c>
      <c r="CP119" s="2107">
        <f>SUM(CP115:CP118)</f>
        <v>17.732835999999999</v>
      </c>
      <c r="CQ119" s="2107">
        <f t="shared" si="281"/>
        <v>8.5970377214338427</v>
      </c>
      <c r="CR119" s="2107">
        <f>SUM(CR115:CR118)</f>
        <v>15.244986000000001</v>
      </c>
      <c r="CS119" s="2107">
        <f>IFERROR(CT119/CP119*10,0)</f>
        <v>2.495351223007984</v>
      </c>
      <c r="CT119" s="2107">
        <f>SUM(CT115:CT118)</f>
        <v>4.4249654000000005</v>
      </c>
      <c r="CU119" s="2107">
        <f>IFERROR(CV119/CP119*10,0)</f>
        <v>0</v>
      </c>
      <c r="CV119" s="2107">
        <f>SUM(CV115:CV118)</f>
        <v>0</v>
      </c>
      <c r="CW119" s="2107"/>
      <c r="CX119" s="2107">
        <f>IFERROR(CY119/CP119*10,0)</f>
        <v>11.092388944441826</v>
      </c>
      <c r="CY119" s="2107">
        <f>SUM(CY115:CY118)</f>
        <v>19.669951400000002</v>
      </c>
      <c r="CZ119" s="2107">
        <f>SUM(CZ115:CZ118)</f>
        <v>30.804479486666665</v>
      </c>
      <c r="DA119" s="2107">
        <f t="shared" si="189"/>
        <v>5.3715530170415882</v>
      </c>
      <c r="DB119" s="2107">
        <f>SUM(DB115:DB118)</f>
        <v>16.546789472500002</v>
      </c>
      <c r="DC119" s="2107">
        <f>IFERROR(DD119/CZ119*10,0)</f>
        <v>2.724689216680471</v>
      </c>
      <c r="DD119" s="2107">
        <f>SUM(DD115:DD118)</f>
        <v>8.3932633082775432</v>
      </c>
      <c r="DE119" s="2107">
        <f>IFERROR(DF119/CZ119*10,0)</f>
        <v>0</v>
      </c>
      <c r="DF119" s="2107">
        <f>SUM(DF115:DF118)</f>
        <v>0</v>
      </c>
      <c r="DG119" s="2107"/>
      <c r="DH119" s="2107">
        <f>IFERROR(DI119/CZ119*10,0)</f>
        <v>8.0962422337220588</v>
      </c>
      <c r="DI119" s="2107">
        <f>SUM(DI115:DI118)</f>
        <v>24.940052780777545</v>
      </c>
      <c r="DJ119" s="2107">
        <f>SUM(DJ115:DJ118)</f>
        <v>27.823400826666663</v>
      </c>
      <c r="DK119" s="2107">
        <f t="shared" si="192"/>
        <v>5.9470765545817583</v>
      </c>
      <c r="DL119" s="2107">
        <f>SUM(DL115:DL118)</f>
        <v>16.546789472500002</v>
      </c>
      <c r="DM119" s="2107">
        <f>IFERROR(DN119/DJ119*10,0)</f>
        <v>2.724689216680471</v>
      </c>
      <c r="DN119" s="2107">
        <f>SUM(DN115:DN118)</f>
        <v>7.581012020379716</v>
      </c>
      <c r="DO119" s="2107">
        <f>IFERROR(DP119/DJ119*10,0)</f>
        <v>0</v>
      </c>
      <c r="DP119" s="2107">
        <f>SUM(DP115:DP118)</f>
        <v>0</v>
      </c>
      <c r="DQ119" s="2107"/>
      <c r="DR119" s="2107">
        <f>IFERROR(DS119/DJ119*10,0)</f>
        <v>8.6717657712622298</v>
      </c>
      <c r="DS119" s="2107">
        <f>SUM(DS115:DS118)</f>
        <v>24.127801492879719</v>
      </c>
      <c r="DT119" s="2107">
        <f>SUM(DT115:DT118)</f>
        <v>30.804479486666665</v>
      </c>
      <c r="DU119" s="2107">
        <f t="shared" si="195"/>
        <v>5.3715530170415882</v>
      </c>
      <c r="DV119" s="2107">
        <f>SUM(DV115:DV118)</f>
        <v>16.546789472500002</v>
      </c>
      <c r="DW119" s="2107">
        <f>IFERROR(DX119/DT119*10,0)</f>
        <v>2.724689216680471</v>
      </c>
      <c r="DX119" s="2107">
        <f>SUM(DX115:DX118)</f>
        <v>8.3932633082775432</v>
      </c>
      <c r="DY119" s="2107">
        <f>IFERROR(DZ119/DT119*10,0)</f>
        <v>0</v>
      </c>
      <c r="DZ119" s="2107">
        <f>SUM(DZ115:DZ118)</f>
        <v>0</v>
      </c>
      <c r="EA119" s="2107"/>
      <c r="EB119" s="2107">
        <f>IFERROR(EC119/DT119*10,0)</f>
        <v>8.0962422337220588</v>
      </c>
      <c r="EC119" s="2107">
        <f>SUM(EC115:EC118)</f>
        <v>24.940052780777545</v>
      </c>
      <c r="ED119" s="2107">
        <f>SUM(ED115:ED118)</f>
        <v>681.79049979999979</v>
      </c>
      <c r="EE119" s="2107"/>
      <c r="EF119" s="2107"/>
      <c r="EG119" s="2107">
        <f>SUM(EG115:EG118)</f>
        <v>179.09446141750004</v>
      </c>
      <c r="EH119" s="2107"/>
      <c r="EI119" s="2107">
        <f>SUM(EI115:EI118)</f>
        <v>171.04256513693477</v>
      </c>
      <c r="EJ119" s="2107"/>
      <c r="EK119" s="2107">
        <f>SUM(EK115:EK118)</f>
        <v>1.0165E-2</v>
      </c>
      <c r="EL119" s="2107"/>
      <c r="EM119" s="2107"/>
      <c r="EN119" s="2107">
        <f>SUM(EN115:EN118)</f>
        <v>350.14719155443476</v>
      </c>
      <c r="EO119" s="2101">
        <f>IFERROR(EN119/ED119*10,0)</f>
        <v>5.1357006537513925</v>
      </c>
      <c r="EP119" s="2126"/>
      <c r="ES119" s="2096">
        <f t="shared" si="187"/>
        <v>0</v>
      </c>
      <c r="EU119" s="2096">
        <f t="shared" si="198"/>
        <v>146.6750265</v>
      </c>
      <c r="EV119" s="2096">
        <f t="shared" si="199"/>
        <v>592.35813999999993</v>
      </c>
      <c r="EW119" s="2096">
        <f t="shared" si="200"/>
        <v>2.4761207214946017</v>
      </c>
      <c r="FE119" s="2127"/>
      <c r="FF119" s="2127"/>
      <c r="FG119" s="2127"/>
      <c r="FH119" s="2127"/>
      <c r="FI119" s="2127"/>
      <c r="FJ119" s="2127"/>
      <c r="FK119" s="2127"/>
    </row>
    <row r="120" spans="1:167">
      <c r="A120" s="1760"/>
      <c r="B120" s="1761"/>
      <c r="C120" s="2116"/>
      <c r="D120" s="2117"/>
      <c r="E120" s="2118"/>
      <c r="F120" s="2117"/>
      <c r="G120" s="1774"/>
      <c r="H120" s="2102"/>
      <c r="I120" s="2119"/>
      <c r="J120" s="2104"/>
      <c r="K120" s="2101"/>
      <c r="L120" s="2101"/>
      <c r="M120" s="2105"/>
      <c r="N120" s="2106"/>
      <c r="O120" s="2106"/>
      <c r="P120" s="2106"/>
      <c r="Q120" s="2106"/>
      <c r="R120" s="2106"/>
      <c r="S120" s="2106"/>
      <c r="T120" s="2106"/>
      <c r="U120" s="2106"/>
      <c r="V120" s="2106"/>
      <c r="W120" s="2106"/>
      <c r="X120" s="2106"/>
      <c r="Y120" s="2106"/>
      <c r="Z120" s="2106"/>
      <c r="AA120" s="2106"/>
      <c r="AB120" s="2106"/>
      <c r="AC120" s="2106"/>
      <c r="AD120" s="2106"/>
      <c r="AE120" s="2106"/>
      <c r="AF120" s="2106"/>
      <c r="AG120" s="2106"/>
      <c r="AH120" s="2106"/>
      <c r="AI120" s="2106"/>
      <c r="AJ120" s="2106"/>
      <c r="AK120" s="2106"/>
      <c r="AL120" s="2106"/>
      <c r="AM120" s="2106"/>
      <c r="AN120" s="2106"/>
      <c r="AO120" s="2106"/>
      <c r="AP120" s="2106"/>
      <c r="AQ120" s="2106"/>
      <c r="AR120" s="2106"/>
      <c r="AS120" s="2106"/>
      <c r="AT120" s="2106"/>
      <c r="AU120" s="2106"/>
      <c r="AV120" s="2106"/>
      <c r="AW120" s="2106"/>
      <c r="AX120" s="2106"/>
      <c r="AY120" s="2120"/>
      <c r="AZ120" s="2106"/>
      <c r="BA120" s="2106"/>
      <c r="BB120" s="2106"/>
      <c r="BC120" s="2106"/>
      <c r="BD120" s="2106"/>
      <c r="BE120" s="2106"/>
      <c r="BF120" s="2106"/>
      <c r="BG120" s="2106"/>
      <c r="BH120" s="2106"/>
      <c r="BI120" s="2120"/>
      <c r="BJ120" s="2106"/>
      <c r="BK120" s="2106"/>
      <c r="BL120" s="2106"/>
      <c r="BM120" s="2106"/>
      <c r="BN120" s="2106"/>
      <c r="BO120" s="2106"/>
      <c r="BP120" s="2106"/>
      <c r="BQ120" s="2106"/>
      <c r="BR120" s="2106"/>
      <c r="BS120" s="2120"/>
      <c r="BT120" s="2106"/>
      <c r="BU120" s="2106"/>
      <c r="BV120" s="2106"/>
      <c r="BW120" s="2106"/>
      <c r="BX120" s="2106"/>
      <c r="BY120" s="2106"/>
      <c r="BZ120" s="2106"/>
      <c r="CA120" s="2106"/>
      <c r="CB120" s="2106"/>
      <c r="CC120" s="2120"/>
      <c r="CD120" s="2106"/>
      <c r="CE120" s="2106"/>
      <c r="CF120" s="2106"/>
      <c r="CG120" s="2106"/>
      <c r="CH120" s="2106"/>
      <c r="CI120" s="2106"/>
      <c r="CJ120" s="2106"/>
      <c r="CK120" s="2106"/>
      <c r="CL120" s="2106"/>
      <c r="CM120" s="2120"/>
      <c r="CN120" s="2106"/>
      <c r="CO120" s="2106"/>
      <c r="CP120" s="2106"/>
      <c r="CQ120" s="2106"/>
      <c r="CR120" s="2106"/>
      <c r="CS120" s="2106"/>
      <c r="CT120" s="2109"/>
      <c r="CU120" s="2106"/>
      <c r="CV120" s="2106"/>
      <c r="CW120" s="2120"/>
      <c r="CX120" s="2106"/>
      <c r="CY120" s="2106"/>
      <c r="CZ120" s="2106"/>
      <c r="DA120" s="2106"/>
      <c r="DB120" s="2106"/>
      <c r="DC120" s="2106"/>
      <c r="DD120" s="2109"/>
      <c r="DE120" s="2106"/>
      <c r="DF120" s="2106"/>
      <c r="DG120" s="2120"/>
      <c r="DH120" s="2106"/>
      <c r="DI120" s="2106"/>
      <c r="DJ120" s="2106"/>
      <c r="DK120" s="2106"/>
      <c r="DL120" s="2106"/>
      <c r="DM120" s="2106"/>
      <c r="DN120" s="2109"/>
      <c r="DO120" s="2106"/>
      <c r="DP120" s="2106"/>
      <c r="DQ120" s="2120"/>
      <c r="DR120" s="2106"/>
      <c r="DS120" s="2106"/>
      <c r="DT120" s="2106"/>
      <c r="DU120" s="2106"/>
      <c r="DV120" s="2106"/>
      <c r="DW120" s="2106"/>
      <c r="DX120" s="2109"/>
      <c r="DY120" s="2106"/>
      <c r="DZ120" s="2106"/>
      <c r="EA120" s="2106"/>
      <c r="EB120" s="2106"/>
      <c r="EC120" s="2106"/>
      <c r="ED120" s="2106"/>
      <c r="EE120" s="2107"/>
      <c r="EF120" s="2106"/>
      <c r="EG120" s="2106"/>
      <c r="EH120" s="2106"/>
      <c r="EI120" s="2106"/>
      <c r="EJ120" s="2106"/>
      <c r="EK120" s="2106"/>
      <c r="EL120" s="2106"/>
      <c r="EM120" s="2106"/>
      <c r="EN120" s="2106"/>
      <c r="EO120" s="2110"/>
      <c r="EP120" s="2110"/>
      <c r="ES120" s="2084">
        <f t="shared" si="187"/>
        <v>0</v>
      </c>
      <c r="EU120" s="2084">
        <f t="shared" si="198"/>
        <v>0</v>
      </c>
      <c r="EV120" s="2084">
        <f t="shared" si="199"/>
        <v>0</v>
      </c>
      <c r="EW120" s="2084" t="e">
        <f t="shared" si="200"/>
        <v>#DIV/0!</v>
      </c>
      <c r="FE120" s="2108"/>
      <c r="FF120" s="2108"/>
      <c r="FG120" s="2108"/>
      <c r="FH120" s="2108"/>
      <c r="FI120" s="2108"/>
      <c r="FJ120" s="2108"/>
      <c r="FK120" s="2108"/>
    </row>
    <row r="121" spans="1:167">
      <c r="A121" s="1760" t="s">
        <v>30</v>
      </c>
      <c r="B121" s="1784" t="s">
        <v>1744</v>
      </c>
      <c r="C121" s="2116"/>
      <c r="D121" s="2117"/>
      <c r="E121" s="2118"/>
      <c r="F121" s="2117"/>
      <c r="G121" s="1774"/>
      <c r="H121" s="2128"/>
      <c r="I121" s="2129"/>
      <c r="J121" s="2104"/>
      <c r="K121" s="2101"/>
      <c r="L121" s="2101"/>
      <c r="M121" s="2105"/>
      <c r="N121" s="2106"/>
      <c r="O121" s="2106"/>
      <c r="P121" s="2106"/>
      <c r="Q121" s="2106"/>
      <c r="R121" s="2106"/>
      <c r="S121" s="2106"/>
      <c r="T121" s="2106"/>
      <c r="U121" s="2106"/>
      <c r="V121" s="2106"/>
      <c r="W121" s="2106"/>
      <c r="X121" s="2106"/>
      <c r="Y121" s="2106"/>
      <c r="Z121" s="2106"/>
      <c r="AA121" s="2106"/>
      <c r="AB121" s="2106"/>
      <c r="AC121" s="2106"/>
      <c r="AD121" s="2106"/>
      <c r="AE121" s="2106"/>
      <c r="AF121" s="2106"/>
      <c r="AG121" s="2106"/>
      <c r="AH121" s="2106"/>
      <c r="AI121" s="2106"/>
      <c r="AJ121" s="2106"/>
      <c r="AK121" s="2106"/>
      <c r="AL121" s="2106"/>
      <c r="AM121" s="2106"/>
      <c r="AN121" s="2106"/>
      <c r="AO121" s="2106"/>
      <c r="AP121" s="2106"/>
      <c r="AQ121" s="2106"/>
      <c r="AR121" s="2106"/>
      <c r="AS121" s="2106"/>
      <c r="AT121" s="2106"/>
      <c r="AU121" s="2106"/>
      <c r="AV121" s="2106"/>
      <c r="AW121" s="2106"/>
      <c r="AX121" s="2106"/>
      <c r="AY121" s="2120"/>
      <c r="AZ121" s="2106"/>
      <c r="BA121" s="2106"/>
      <c r="BB121" s="2106"/>
      <c r="BC121" s="2106"/>
      <c r="BD121" s="2106"/>
      <c r="BE121" s="2106"/>
      <c r="BF121" s="2106"/>
      <c r="BG121" s="2106"/>
      <c r="BH121" s="2106"/>
      <c r="BI121" s="2120"/>
      <c r="BJ121" s="2106"/>
      <c r="BK121" s="2106"/>
      <c r="BL121" s="2106"/>
      <c r="BM121" s="2106"/>
      <c r="BN121" s="2106"/>
      <c r="BO121" s="2106"/>
      <c r="BP121" s="2106"/>
      <c r="BQ121" s="2106"/>
      <c r="BR121" s="2106"/>
      <c r="BS121" s="2120"/>
      <c r="BT121" s="2106"/>
      <c r="BU121" s="2106"/>
      <c r="BV121" s="2106"/>
      <c r="BW121" s="2106"/>
      <c r="BX121" s="2106"/>
      <c r="BY121" s="2106"/>
      <c r="BZ121" s="2106"/>
      <c r="CA121" s="2106"/>
      <c r="CB121" s="2106"/>
      <c r="CC121" s="2120"/>
      <c r="CD121" s="2106"/>
      <c r="CE121" s="2106"/>
      <c r="CF121" s="2106"/>
      <c r="CG121" s="2106"/>
      <c r="CH121" s="2106"/>
      <c r="CI121" s="2106"/>
      <c r="CJ121" s="2106"/>
      <c r="CK121" s="2106"/>
      <c r="CL121" s="2106"/>
      <c r="CM121" s="2120"/>
      <c r="CN121" s="2106"/>
      <c r="CO121" s="2106"/>
      <c r="CP121" s="2106"/>
      <c r="CQ121" s="2106"/>
      <c r="CR121" s="2106"/>
      <c r="CS121" s="2106"/>
      <c r="CT121" s="2109"/>
      <c r="CU121" s="2106"/>
      <c r="CV121" s="2106"/>
      <c r="CW121" s="2120"/>
      <c r="CX121" s="2106"/>
      <c r="CY121" s="2106"/>
      <c r="CZ121" s="2106"/>
      <c r="DA121" s="2106"/>
      <c r="DB121" s="2106"/>
      <c r="DC121" s="2106"/>
      <c r="DD121" s="2109"/>
      <c r="DE121" s="2106"/>
      <c r="DF121" s="2106"/>
      <c r="DG121" s="2120"/>
      <c r="DH121" s="2106"/>
      <c r="DI121" s="2106"/>
      <c r="DJ121" s="2106"/>
      <c r="DK121" s="2106"/>
      <c r="DL121" s="2106"/>
      <c r="DM121" s="2106"/>
      <c r="DN121" s="2109"/>
      <c r="DO121" s="2106"/>
      <c r="DP121" s="2106"/>
      <c r="DQ121" s="2120"/>
      <c r="DR121" s="2106"/>
      <c r="DS121" s="2106"/>
      <c r="DT121" s="2106"/>
      <c r="DU121" s="2106"/>
      <c r="DV121" s="2106"/>
      <c r="DW121" s="2106"/>
      <c r="DX121" s="2109"/>
      <c r="DY121" s="2106"/>
      <c r="DZ121" s="2106"/>
      <c r="EA121" s="2106"/>
      <c r="EB121" s="2106"/>
      <c r="EC121" s="2106"/>
      <c r="ED121" s="2106"/>
      <c r="EE121" s="2107"/>
      <c r="EF121" s="2106"/>
      <c r="EG121" s="2106"/>
      <c r="EH121" s="2106"/>
      <c r="EI121" s="2106"/>
      <c r="EJ121" s="2106"/>
      <c r="EK121" s="2106"/>
      <c r="EL121" s="2106"/>
      <c r="EM121" s="2106"/>
      <c r="EN121" s="2106"/>
      <c r="EO121" s="2110"/>
      <c r="EP121" s="2110"/>
      <c r="ES121" s="2084">
        <f t="shared" si="187"/>
        <v>0</v>
      </c>
      <c r="EU121" s="2084">
        <f t="shared" si="198"/>
        <v>0</v>
      </c>
      <c r="EV121" s="2084">
        <f t="shared" si="199"/>
        <v>0</v>
      </c>
      <c r="EW121" s="2084" t="e">
        <f t="shared" si="200"/>
        <v>#DIV/0!</v>
      </c>
      <c r="FE121" s="2108"/>
      <c r="FF121" s="2108"/>
      <c r="FG121" s="2108"/>
      <c r="FH121" s="2108"/>
      <c r="FI121" s="2108"/>
      <c r="FJ121" s="2108"/>
      <c r="FK121" s="2108"/>
    </row>
    <row r="122" spans="1:167">
      <c r="A122" s="1760"/>
      <c r="B122" s="1784" t="s">
        <v>1745</v>
      </c>
      <c r="C122" s="2116"/>
      <c r="D122" s="2117"/>
      <c r="E122" s="2118"/>
      <c r="F122" s="2117"/>
      <c r="G122" s="1774"/>
      <c r="H122" s="2130"/>
      <c r="I122" s="2131"/>
      <c r="J122" s="2106"/>
      <c r="K122" s="2101"/>
      <c r="L122" s="2101"/>
      <c r="M122" s="2105"/>
      <c r="N122" s="2106"/>
      <c r="O122" s="2106"/>
      <c r="P122" s="2106"/>
      <c r="Q122" s="2106"/>
      <c r="R122" s="2106"/>
      <c r="S122" s="2106"/>
      <c r="T122" s="2106"/>
      <c r="U122" s="2106"/>
      <c r="V122" s="2106"/>
      <c r="W122" s="2106"/>
      <c r="X122" s="2106"/>
      <c r="Y122" s="2106"/>
      <c r="Z122" s="2106"/>
      <c r="AA122" s="2106"/>
      <c r="AB122" s="2106"/>
      <c r="AC122" s="2106"/>
      <c r="AD122" s="2106"/>
      <c r="AE122" s="2106"/>
      <c r="AF122" s="2106"/>
      <c r="AG122" s="2106"/>
      <c r="AH122" s="2106"/>
      <c r="AI122" s="2106"/>
      <c r="AJ122" s="2106"/>
      <c r="AK122" s="2106"/>
      <c r="AL122" s="2106"/>
      <c r="AM122" s="2106"/>
      <c r="AN122" s="2106"/>
      <c r="AO122" s="2106"/>
      <c r="AP122" s="2106"/>
      <c r="AQ122" s="2106"/>
      <c r="AR122" s="2106"/>
      <c r="AS122" s="2106"/>
      <c r="AT122" s="2106"/>
      <c r="AU122" s="2106"/>
      <c r="AV122" s="2106"/>
      <c r="AW122" s="2106"/>
      <c r="AX122" s="2106"/>
      <c r="AY122" s="2106"/>
      <c r="AZ122" s="2106"/>
      <c r="BA122" s="2106"/>
      <c r="BB122" s="2106"/>
      <c r="BC122" s="2106"/>
      <c r="BD122" s="2106"/>
      <c r="BE122" s="2106"/>
      <c r="BF122" s="2106"/>
      <c r="BG122" s="2106"/>
      <c r="BH122" s="2106"/>
      <c r="BI122" s="2106"/>
      <c r="BJ122" s="2106"/>
      <c r="BK122" s="2106"/>
      <c r="BL122" s="2106"/>
      <c r="BM122" s="2106"/>
      <c r="BN122" s="2106"/>
      <c r="BO122" s="2106"/>
      <c r="BP122" s="2106"/>
      <c r="BQ122" s="2106"/>
      <c r="BR122" s="2106"/>
      <c r="BS122" s="2106"/>
      <c r="BT122" s="2106"/>
      <c r="BU122" s="2106"/>
      <c r="BV122" s="2106"/>
      <c r="BW122" s="2106"/>
      <c r="BX122" s="2106"/>
      <c r="BY122" s="2106"/>
      <c r="BZ122" s="2106"/>
      <c r="CA122" s="2106"/>
      <c r="CB122" s="2106"/>
      <c r="CC122" s="2106"/>
      <c r="CD122" s="2106"/>
      <c r="CE122" s="2106"/>
      <c r="CF122" s="2106"/>
      <c r="CG122" s="2106"/>
      <c r="CH122" s="2106"/>
      <c r="CI122" s="2106"/>
      <c r="CJ122" s="2106"/>
      <c r="CK122" s="2106"/>
      <c r="CL122" s="2106"/>
      <c r="CM122" s="2106"/>
      <c r="CN122" s="2106"/>
      <c r="CO122" s="2106"/>
      <c r="CP122" s="2106">
        <v>0</v>
      </c>
      <c r="CQ122" s="2106">
        <f t="shared" ref="CQ122:CQ127" si="300">IFERROR(CR122/CP122*10,0)</f>
        <v>0</v>
      </c>
      <c r="CR122" s="2106">
        <v>0</v>
      </c>
      <c r="CS122" s="2106">
        <v>0</v>
      </c>
      <c r="CT122" s="2109">
        <f>CS122*CP122/10</f>
        <v>0</v>
      </c>
      <c r="CU122" s="2106"/>
      <c r="CV122" s="2106"/>
      <c r="CW122" s="2106"/>
      <c r="CX122" s="2106"/>
      <c r="CY122" s="2106"/>
      <c r="CZ122" s="2106"/>
      <c r="DA122" s="2106"/>
      <c r="DB122" s="2106"/>
      <c r="DC122" s="2106"/>
      <c r="DD122" s="2109"/>
      <c r="DE122" s="2106"/>
      <c r="DF122" s="2106"/>
      <c r="DG122" s="2106"/>
      <c r="DH122" s="2106"/>
      <c r="DI122" s="2106"/>
      <c r="DJ122" s="2106"/>
      <c r="DK122" s="2106"/>
      <c r="DL122" s="2106"/>
      <c r="DM122" s="2106"/>
      <c r="DN122" s="2109"/>
      <c r="DO122" s="2106"/>
      <c r="DP122" s="2106"/>
      <c r="DQ122" s="2106"/>
      <c r="DR122" s="2106"/>
      <c r="DS122" s="2106"/>
      <c r="DT122" s="2106"/>
      <c r="DU122" s="2106"/>
      <c r="DV122" s="2106"/>
      <c r="DW122" s="2106"/>
      <c r="DX122" s="2109"/>
      <c r="DY122" s="2106"/>
      <c r="DZ122" s="2106"/>
      <c r="EA122" s="2106"/>
      <c r="EB122" s="2106"/>
      <c r="EC122" s="2106"/>
      <c r="ED122" s="2106"/>
      <c r="EE122" s="2107"/>
      <c r="EF122" s="2106"/>
      <c r="EG122" s="2106"/>
      <c r="EH122" s="2106"/>
      <c r="EI122" s="2106"/>
      <c r="EJ122" s="2106"/>
      <c r="EK122" s="2106"/>
      <c r="EL122" s="2106"/>
      <c r="EM122" s="2106"/>
      <c r="EN122" s="2106"/>
      <c r="EO122" s="2110"/>
      <c r="EP122" s="2110"/>
      <c r="ES122" s="2084">
        <f t="shared" si="187"/>
        <v>0</v>
      </c>
      <c r="EU122" s="2084">
        <f t="shared" si="198"/>
        <v>0</v>
      </c>
      <c r="EV122" s="2084">
        <f t="shared" si="199"/>
        <v>0</v>
      </c>
      <c r="EW122" s="2084" t="e">
        <f t="shared" si="200"/>
        <v>#DIV/0!</v>
      </c>
    </row>
    <row r="123" spans="1:167">
      <c r="A123" s="1760">
        <v>1</v>
      </c>
      <c r="B123" s="1761" t="s">
        <v>1746</v>
      </c>
      <c r="C123" s="2098">
        <v>1000</v>
      </c>
      <c r="D123" s="2099">
        <v>0.374</v>
      </c>
      <c r="E123" s="2100"/>
      <c r="F123" s="2099">
        <v>0.38431767461229555</v>
      </c>
      <c r="G123" s="2104">
        <v>374</v>
      </c>
      <c r="H123" s="2102" t="s">
        <v>1717</v>
      </c>
      <c r="I123" s="2103">
        <v>1</v>
      </c>
      <c r="J123" s="2104"/>
      <c r="K123" s="2101"/>
      <c r="L123" s="2101"/>
      <c r="M123" s="2105"/>
      <c r="N123" s="2106">
        <v>54.292724</v>
      </c>
      <c r="O123" s="2106">
        <f>IFERROR(P123/N123*10,0)</f>
        <v>1.9174205184473705</v>
      </c>
      <c r="P123" s="2106">
        <v>10.410198299999999</v>
      </c>
      <c r="Q123" s="2106">
        <f>IFERROR(R123/N123*10,0)</f>
        <v>2.0829999983054819</v>
      </c>
      <c r="R123" s="2106">
        <v>11.3091744</v>
      </c>
      <c r="S123" s="2106">
        <f>IFERROR(T123/N123*10,0)</f>
        <v>3.2354059081655213E-3</v>
      </c>
      <c r="T123" s="2106">
        <v>1.7565899999999999E-2</v>
      </c>
      <c r="U123" s="2106"/>
      <c r="V123" s="2106">
        <f>IFERROR(W123/N123*10,0)</f>
        <v>4.0036559226610189</v>
      </c>
      <c r="W123" s="2106">
        <f>SUM(P123,R123,T123,U123)</f>
        <v>21.736938600000002</v>
      </c>
      <c r="X123" s="2106">
        <v>40.701104000000001</v>
      </c>
      <c r="Y123" s="2106">
        <f>IFERROR(Z123/X123*10,0)</f>
        <v>3.1472893216852298</v>
      </c>
      <c r="Z123" s="2106">
        <v>12.809815</v>
      </c>
      <c r="AA123" s="2106">
        <f>IFERROR(AB123/X123*10,0)</f>
        <v>2.0829999844721661</v>
      </c>
      <c r="AB123" s="2106">
        <v>8.4780399000000006</v>
      </c>
      <c r="AC123" s="2106">
        <f>IFERROR(AD123/X123*10,0)</f>
        <v>5.8138226422556E-3</v>
      </c>
      <c r="AD123" s="2106">
        <v>2.3662900000000001E-2</v>
      </c>
      <c r="AE123" s="2106"/>
      <c r="AF123" s="2106">
        <f>IFERROR(AG123/X123*10,0)</f>
        <v>5.2361031287996518</v>
      </c>
      <c r="AG123" s="2106">
        <f>SUM(Z123,AB123,AD123,AE123)</f>
        <v>21.311517800000001</v>
      </c>
      <c r="AH123" s="2106">
        <v>69.538368000000006</v>
      </c>
      <c r="AI123" s="2106">
        <f>IFERROR(AJ123/AH123*10,0)</f>
        <v>1.794990126889374</v>
      </c>
      <c r="AJ123" s="2106">
        <v>12.482068399999999</v>
      </c>
      <c r="AK123" s="2106">
        <f>IFERROR(AL123/AH123*10,0)</f>
        <v>2.0830000209380812</v>
      </c>
      <c r="AL123" s="2106">
        <v>14.484842199999999</v>
      </c>
      <c r="AM123" s="2106">
        <f>IFERROR(AN123/AH123*10,0)</f>
        <v>0</v>
      </c>
      <c r="AN123" s="2106">
        <v>0</v>
      </c>
      <c r="AO123" s="2106">
        <v>0</v>
      </c>
      <c r="AP123" s="2106">
        <f>IFERROR(AQ123/AH123*10,0)</f>
        <v>3.8779901478274548</v>
      </c>
      <c r="AQ123" s="2106">
        <f>SUM(AJ123,AL123,AN123,AO123)</f>
        <v>26.966910599999999</v>
      </c>
      <c r="AR123" s="2106">
        <v>112.54613999999999</v>
      </c>
      <c r="AS123" s="2106">
        <f>IFERROR(AT123/AR123*10,0)</f>
        <v>1.3138562104395586</v>
      </c>
      <c r="AT123" s="2106">
        <v>14.786944500000001</v>
      </c>
      <c r="AU123" s="2106">
        <f>IFERROR(AV123/AR123*10,0)</f>
        <v>2.0830000033763931</v>
      </c>
      <c r="AV123" s="2106">
        <v>23.443360999999999</v>
      </c>
      <c r="AW123" s="2106">
        <f>IFERROR(AX123/AR123*10,0)</f>
        <v>-4.2732909364994666E-2</v>
      </c>
      <c r="AX123" s="2106">
        <v>-0.48094239999999999</v>
      </c>
      <c r="AY123" s="2106"/>
      <c r="AZ123" s="2106">
        <f>IFERROR(BA123/AR123*10,0)</f>
        <v>3.3541233044509564</v>
      </c>
      <c r="BA123" s="2106">
        <f>SUM(AT123,AV123,AX123,AY123)</f>
        <v>37.749363099999997</v>
      </c>
      <c r="BB123" s="2106">
        <v>150.05549999999999</v>
      </c>
      <c r="BC123" s="2106">
        <f>IFERROR(BD123/BB123*10,0)</f>
        <v>1.7736573267890883</v>
      </c>
      <c r="BD123" s="2106">
        <v>26.6147037</v>
      </c>
      <c r="BE123" s="2106">
        <f>IFERROR(BF123/BB123*10,0)</f>
        <v>2.0830000033321006</v>
      </c>
      <c r="BF123" s="2106">
        <v>31.256560700000001</v>
      </c>
      <c r="BG123" s="2106">
        <f>IFERROR(BH123/BB123*10,0)</f>
        <v>8.6476270446601434E-3</v>
      </c>
      <c r="BH123" s="2106">
        <v>0.1297624</v>
      </c>
      <c r="BI123" s="2106"/>
      <c r="BJ123" s="2106">
        <f>IFERROR(BK123/BB123*10,0)</f>
        <v>3.8653049571658489</v>
      </c>
      <c r="BK123" s="2106">
        <f>SUM(BD123,BF123,BH123,BI123)</f>
        <v>58.001026799999998</v>
      </c>
      <c r="BL123" s="2106">
        <v>173.17062000000001</v>
      </c>
      <c r="BM123" s="2106">
        <f>IFERROR(BN123/BL123*10,0)</f>
        <v>1.5487098388860647</v>
      </c>
      <c r="BN123" s="2106">
        <v>26.819104299999999</v>
      </c>
      <c r="BO123" s="2106">
        <f>IFERROR(BP123/BL123*10,0)</f>
        <v>2.0829999973436601</v>
      </c>
      <c r="BP123" s="2106">
        <v>36.071440099999997</v>
      </c>
      <c r="BQ123" s="2106">
        <f>IFERROR(BR123/BL123*10,0)</f>
        <v>1.2990309788115328E-3</v>
      </c>
      <c r="BR123" s="2106">
        <v>2.2495399999999999E-2</v>
      </c>
      <c r="BS123" s="2106"/>
      <c r="BT123" s="2106">
        <f>IFERROR(BU123/BL123*10,0)</f>
        <v>3.6330088672085363</v>
      </c>
      <c r="BU123" s="2106">
        <f>SUM(BN123,BP123,BR123,BS123)</f>
        <v>62.913039799999993</v>
      </c>
      <c r="BV123" s="2106">
        <v>179.65212600000001</v>
      </c>
      <c r="BW123" s="2106">
        <f>IFERROR(BX123/BV123*10,0)</f>
        <v>1.4322041365655755</v>
      </c>
      <c r="BX123" s="2106">
        <v>25.729851799999999</v>
      </c>
      <c r="BY123" s="2106">
        <f>IFERROR(BZ123/BV123*10,0)</f>
        <v>2.0830000030169415</v>
      </c>
      <c r="BZ123" s="2106">
        <v>37.421537899999997</v>
      </c>
      <c r="CA123" s="2106">
        <f>IFERROR(CB123/BV123*10,0)</f>
        <v>0.19227396730055951</v>
      </c>
      <c r="CB123" s="2106">
        <v>3.4542427</v>
      </c>
      <c r="CC123" s="2106"/>
      <c r="CD123" s="2106">
        <f>IFERROR(CE123/BV123*10,0)</f>
        <v>3.7074781068830767</v>
      </c>
      <c r="CE123" s="2106">
        <f>SUM(BX123,BZ123,CB123,CC123)</f>
        <v>66.60563239999999</v>
      </c>
      <c r="CF123" s="2106">
        <v>77.739264000000006</v>
      </c>
      <c r="CG123" s="2106">
        <f>IFERROR(CH123/CF123*10,0)</f>
        <v>3.1848395426023068</v>
      </c>
      <c r="CH123" s="2106">
        <v>24.758708200000001</v>
      </c>
      <c r="CI123" s="2106">
        <f>IFERROR(CJ123/CF123*10,0)</f>
        <v>2.0830000011319889</v>
      </c>
      <c r="CJ123" s="2106">
        <v>16.193088700000001</v>
      </c>
      <c r="CK123" s="2106">
        <f>IFERROR(CL123/CF123*10,0)</f>
        <v>0.43680673385330737</v>
      </c>
      <c r="CL123" s="2106">
        <v>3.3957033999999999</v>
      </c>
      <c r="CM123" s="2106"/>
      <c r="CN123" s="2106">
        <f>IFERROR(CO123/CF123*10,0)</f>
        <v>5.7046462775876039</v>
      </c>
      <c r="CO123" s="2106">
        <f>SUM(CH123,CJ123,CL123,CM123)</f>
        <v>44.347500300000007</v>
      </c>
      <c r="CP123" s="2106">
        <v>99.443149000000005</v>
      </c>
      <c r="CQ123" s="2106">
        <f t="shared" si="300"/>
        <v>0</v>
      </c>
      <c r="CR123" s="2106">
        <v>0</v>
      </c>
      <c r="CS123" s="2106">
        <f>IFERROR(CT123/CP123*10,0)</f>
        <v>4.6325127133695245</v>
      </c>
      <c r="CT123" s="2106">
        <v>46.067165199999998</v>
      </c>
      <c r="CU123" s="2106">
        <f>IFERROR(CV123/CP123*10,0)</f>
        <v>1.9811520650859513E-3</v>
      </c>
      <c r="CV123" s="2106">
        <v>1.9701199999999999E-2</v>
      </c>
      <c r="CW123" s="2106"/>
      <c r="CX123" s="2106">
        <f>IFERROR(CY123/CP123*10,0)</f>
        <v>4.6344938654346111</v>
      </c>
      <c r="CY123" s="2106">
        <f>SUM(CR123,CT123,CV123,CW123)</f>
        <v>46.086866399999998</v>
      </c>
      <c r="CZ123" s="2106">
        <v>110.99176119999998</v>
      </c>
      <c r="DA123" s="2106">
        <f t="shared" si="189"/>
        <v>1.9032870548548431</v>
      </c>
      <c r="DB123" s="2106">
        <v>21.124918228750001</v>
      </c>
      <c r="DC123" s="2106">
        <v>2.0257346961415625</v>
      </c>
      <c r="DD123" s="2109">
        <f t="shared" si="190"/>
        <v>22.483986164869883</v>
      </c>
      <c r="DE123" s="2106"/>
      <c r="DF123" s="2106"/>
      <c r="DG123" s="2106"/>
      <c r="DH123" s="2106">
        <f>IFERROR(DI123/CZ123*10,0)</f>
        <v>3.9290217509964052</v>
      </c>
      <c r="DI123" s="2106">
        <f>SUM(DB123,DD123,DF123,DG123)</f>
        <v>43.608904393619881</v>
      </c>
      <c r="DJ123" s="2106">
        <v>90.720807599999986</v>
      </c>
      <c r="DK123" s="2106">
        <f t="shared" si="192"/>
        <v>2.3285637316956604</v>
      </c>
      <c r="DL123" s="2106">
        <v>21.124918228750001</v>
      </c>
      <c r="DM123" s="2106">
        <v>2.0257346961415625</v>
      </c>
      <c r="DN123" s="2109">
        <f t="shared" si="193"/>
        <v>18.377628761730314</v>
      </c>
      <c r="DO123" s="2106"/>
      <c r="DP123" s="2106"/>
      <c r="DQ123" s="2106"/>
      <c r="DR123" s="2106">
        <f>IFERROR(DS123/DJ123*10,0)</f>
        <v>4.3542984278372225</v>
      </c>
      <c r="DS123" s="2106">
        <f>SUM(DL123,DN123,DP123,DQ123)</f>
        <v>39.502546990480312</v>
      </c>
      <c r="DT123" s="2106">
        <v>89.706403399999985</v>
      </c>
      <c r="DU123" s="2106">
        <f t="shared" si="195"/>
        <v>2.3548952391452143</v>
      </c>
      <c r="DV123" s="2106">
        <v>21.124918228750001</v>
      </c>
      <c r="DW123" s="2106">
        <v>2.0257346961415625</v>
      </c>
      <c r="DX123" s="2109">
        <f t="shared" si="196"/>
        <v>18.172137383345138</v>
      </c>
      <c r="DY123" s="2106"/>
      <c r="DZ123" s="2106"/>
      <c r="EA123" s="2106"/>
      <c r="EB123" s="2106">
        <f>IFERROR(EC123/DT123*10,0)</f>
        <v>4.3806299352867759</v>
      </c>
      <c r="EC123" s="2106">
        <f>SUM(DV123,DX123,DZ123,EA123)</f>
        <v>39.297055612095136</v>
      </c>
      <c r="ED123" s="2106">
        <f>SUM(N123,X123,AH123,AR123,BB123,BL123,BV123,CF123,CP123,CZ123,DJ123,DT123)</f>
        <v>1248.5579671999999</v>
      </c>
      <c r="EE123" s="2107"/>
      <c r="EF123" s="2106">
        <f>IFERROR(EG123/ED123*10,0)</f>
        <v>1.7443014630282199</v>
      </c>
      <c r="EG123" s="2106">
        <f>SUM(P123,Z123,AJ123,AT123,BD123,BN123,BX123,CH123,CR123,DB123,DL123,DV123)</f>
        <v>217.78614888625</v>
      </c>
      <c r="EH123" s="2106">
        <f>IFERROR(EI123/ED123*10,0)</f>
        <v>2.272693538180687</v>
      </c>
      <c r="EI123" s="2106">
        <f>SUM(R123,AB123,AL123,AV123,BF123,BP123,BZ123,CJ123,CT123,DD123,DN123,DX123)</f>
        <v>283.75896240994535</v>
      </c>
      <c r="EJ123" s="2106"/>
      <c r="EK123" s="2106">
        <f>SUM(T123,AD123,AN123,AX123,BH123,BR123,CB123,CL123,CV123,DF123,DP123,DZ123)</f>
        <v>6.5821915000000004</v>
      </c>
      <c r="EL123" s="2106"/>
      <c r="EM123" s="2106"/>
      <c r="EN123" s="2106">
        <f>EG123+EI123+EK123</f>
        <v>508.12730279619541</v>
      </c>
      <c r="EO123" s="2104">
        <f>IFERROR(EN123/ED123*10,0)</f>
        <v>4.0697133504799554</v>
      </c>
      <c r="EP123" s="2110"/>
      <c r="ES123" s="2084">
        <f t="shared" si="187"/>
        <v>0</v>
      </c>
      <c r="EU123" s="2084">
        <f t="shared" si="198"/>
        <v>224.7252101</v>
      </c>
      <c r="EV123" s="2084">
        <f t="shared" si="199"/>
        <v>957.13899500000002</v>
      </c>
      <c r="EW123" s="2084">
        <f t="shared" si="200"/>
        <v>2.3478848032933817</v>
      </c>
    </row>
    <row r="124" spans="1:167">
      <c r="A124" s="1760">
        <v>2</v>
      </c>
      <c r="B124" s="1761" t="s">
        <v>1747</v>
      </c>
      <c r="C124" s="2098">
        <v>400</v>
      </c>
      <c r="D124" s="2099">
        <v>0.38750000000000001</v>
      </c>
      <c r="E124" s="2100"/>
      <c r="F124" s="2099">
        <v>0.37981409397432891</v>
      </c>
      <c r="G124" s="2104">
        <v>155</v>
      </c>
      <c r="H124" s="2102" t="s">
        <v>1717</v>
      </c>
      <c r="I124" s="2103">
        <v>1</v>
      </c>
      <c r="J124" s="2104"/>
      <c r="K124" s="2101"/>
      <c r="L124" s="2101"/>
      <c r="M124" s="2105"/>
      <c r="N124" s="2106">
        <v>28.327261</v>
      </c>
      <c r="O124" s="2106">
        <f>IFERROR(P124/N124*10,0)</f>
        <v>1.361077267583336</v>
      </c>
      <c r="P124" s="2106">
        <v>3.8555590999999998</v>
      </c>
      <c r="Q124" s="2106">
        <f>IFERROR(R124/N124*10,0)</f>
        <v>2.3139999663221937</v>
      </c>
      <c r="R124" s="2106">
        <v>6.5549280999999997</v>
      </c>
      <c r="S124" s="2106">
        <f>IFERROR(T124/N124*10,0)</f>
        <v>2.5611371321780808E-3</v>
      </c>
      <c r="T124" s="2106">
        <v>7.2550000000000002E-3</v>
      </c>
      <c r="U124" s="2106"/>
      <c r="V124" s="2106">
        <f>IFERROR(W124/N124*10,0)</f>
        <v>3.6776383710377081</v>
      </c>
      <c r="W124" s="2106">
        <f>SUM(P124,R124,T124,U124)</f>
        <v>10.417742199999999</v>
      </c>
      <c r="X124" s="2106">
        <v>21.058695</v>
      </c>
      <c r="Y124" s="2106">
        <f>IFERROR(Z124/X124*10,0)</f>
        <v>1.6325835955171961</v>
      </c>
      <c r="Z124" s="2106">
        <v>3.438008</v>
      </c>
      <c r="AA124" s="2106">
        <f>IFERROR(AB124/X124*10,0)</f>
        <v>2.3140000365644688</v>
      </c>
      <c r="AB124" s="2106">
        <v>4.8729820999999998</v>
      </c>
      <c r="AC124" s="2106">
        <f>IFERROR(AD124/X124*10,0)</f>
        <v>4.6401260856857472E-3</v>
      </c>
      <c r="AD124" s="2106">
        <v>9.7715000000000007E-3</v>
      </c>
      <c r="AE124" s="2106"/>
      <c r="AF124" s="2106">
        <f>IFERROR(AG124/X124*10,0)</f>
        <v>3.9512237581673504</v>
      </c>
      <c r="AG124" s="2106">
        <f>SUM(Z124,AB124,AD124,AE124)</f>
        <v>8.3207615999999991</v>
      </c>
      <c r="AH124" s="2106">
        <v>36.982612000000003</v>
      </c>
      <c r="AI124" s="2106">
        <f>IFERROR(AJ124/AH124*10,0)</f>
        <v>2.7178584627824556</v>
      </c>
      <c r="AJ124" s="2106">
        <v>10.0513505</v>
      </c>
      <c r="AK124" s="2106">
        <f>IFERROR(AL124/AH124*10,0)</f>
        <v>2.3140000224970585</v>
      </c>
      <c r="AL124" s="2106">
        <v>8.5577764999999992</v>
      </c>
      <c r="AM124" s="2106">
        <f>IFERROR(AN124/AH124*10,0)</f>
        <v>0</v>
      </c>
      <c r="AN124" s="2106">
        <v>0</v>
      </c>
      <c r="AO124" s="2106">
        <v>0</v>
      </c>
      <c r="AP124" s="2106">
        <f>IFERROR(AQ124/AH124*10,0)</f>
        <v>5.0318584852795141</v>
      </c>
      <c r="AQ124" s="2106">
        <f>SUM(AJ124,AL124,AN124,AO124)</f>
        <v>18.609127000000001</v>
      </c>
      <c r="AR124" s="2106">
        <v>48.271048</v>
      </c>
      <c r="AS124" s="2106">
        <f>IFERROR(AT124/AR124*10,0)</f>
        <v>2.4085438335625113</v>
      </c>
      <c r="AT124" s="2106">
        <v>11.626293499999999</v>
      </c>
      <c r="AU124" s="2106">
        <f>IFERROR(AV124/AR124*10,0)</f>
        <v>2.3139999985084225</v>
      </c>
      <c r="AV124" s="2106">
        <v>11.1699205</v>
      </c>
      <c r="AW124" s="2106">
        <f>IFERROR(AX124/AR124*10,0)</f>
        <v>-3.5880720882629268E-3</v>
      </c>
      <c r="AX124" s="2106">
        <v>-1.7319999999999999E-2</v>
      </c>
      <c r="AY124" s="2106"/>
      <c r="AZ124" s="2106">
        <f>IFERROR(BA124/AR124*10,0)</f>
        <v>4.7189557599826699</v>
      </c>
      <c r="BA124" s="2106">
        <f>SUM(AT124,AV124,AX124,AY124)</f>
        <v>22.778893999999998</v>
      </c>
      <c r="BB124" s="2106">
        <v>55.853737000000002</v>
      </c>
      <c r="BC124" s="2106">
        <f>IFERROR(BD124/BB124*10,0)</f>
        <v>2.1500715699649606</v>
      </c>
      <c r="BD124" s="2106">
        <v>12.008953200000001</v>
      </c>
      <c r="BE124" s="2106">
        <f>IFERROR(BF124/BB124*10,0)</f>
        <v>2.3139999925161674</v>
      </c>
      <c r="BF124" s="2106">
        <v>12.9245547</v>
      </c>
      <c r="BG124" s="2106">
        <f>IFERROR(BH124/BB124*10,0)</f>
        <v>9.6037262466430844E-3</v>
      </c>
      <c r="BH124" s="2106">
        <v>5.3640399999999998E-2</v>
      </c>
      <c r="BI124" s="2106"/>
      <c r="BJ124" s="2106">
        <f>IFERROR(BK124/BB124*10,0)</f>
        <v>4.4736752887277715</v>
      </c>
      <c r="BK124" s="2106">
        <f>SUM(BD124,BF124,BH124,BI124)</f>
        <v>24.987148300000001</v>
      </c>
      <c r="BL124" s="2106">
        <v>58.051206000000001</v>
      </c>
      <c r="BM124" s="2106">
        <f>IFERROR(BN124/BL124*10,0)</f>
        <v>2.2414308154080382</v>
      </c>
      <c r="BN124" s="2106">
        <v>13.0117762</v>
      </c>
      <c r="BO124" s="2106">
        <f>IFERROR(BP124/BL124*10,0)</f>
        <v>2.3140000054434702</v>
      </c>
      <c r="BP124" s="2106">
        <v>13.4330491</v>
      </c>
      <c r="BQ124" s="2106">
        <f>IFERROR(BR124/BL124*10,0)</f>
        <v>1.5998634033546175E-3</v>
      </c>
      <c r="BR124" s="2106">
        <v>9.2873999999999995E-3</v>
      </c>
      <c r="BS124" s="2106"/>
      <c r="BT124" s="2106">
        <f>IFERROR(BU124/BL124*10,0)</f>
        <v>4.5570306842548627</v>
      </c>
      <c r="BU124" s="2106">
        <f>SUM(BN124,BP124,BR124,BS124)</f>
        <v>26.4541127</v>
      </c>
      <c r="BV124" s="2106">
        <v>61.344124999999998</v>
      </c>
      <c r="BW124" s="2106">
        <f>IFERROR(BX124/BV124*10,0)</f>
        <v>1.8136189243876251</v>
      </c>
      <c r="BX124" s="2106">
        <v>11.1254866</v>
      </c>
      <c r="BY124" s="2106">
        <f>IFERROR(BZ124/BV124*10,0)</f>
        <v>2.3140000285275892</v>
      </c>
      <c r="BZ124" s="2106">
        <v>14.1950307</v>
      </c>
      <c r="CA124" s="2106">
        <f>IFERROR(CB124/BV124*10,0)</f>
        <v>1.3845335637275779E-3</v>
      </c>
      <c r="CB124" s="2106">
        <v>8.4933000000000005E-3</v>
      </c>
      <c r="CC124" s="2106"/>
      <c r="CD124" s="2106">
        <f>IFERROR(CE124/BV124*10,0)</f>
        <v>4.1290034864789416</v>
      </c>
      <c r="CE124" s="2106">
        <f>SUM(BX124,BZ124,CB124,CC124)</f>
        <v>25.3290106</v>
      </c>
      <c r="CF124" s="2106">
        <v>27.120957000000001</v>
      </c>
      <c r="CG124" s="2106">
        <f>IFERROR(CH124/CF124*10,0)</f>
        <v>2.1219735719502819</v>
      </c>
      <c r="CH124" s="2106">
        <v>5.7549954000000003</v>
      </c>
      <c r="CI124" s="2106">
        <f>IFERROR(CJ124/CF124*10,0)</f>
        <v>2.3139999816378158</v>
      </c>
      <c r="CJ124" s="2106">
        <v>6.2757893999999999</v>
      </c>
      <c r="CK124" s="2106">
        <f>IFERROR(CL124/CF124*10,0)</f>
        <v>-2.576236524396982E-3</v>
      </c>
      <c r="CL124" s="2106">
        <v>-6.9870000000000002E-3</v>
      </c>
      <c r="CM124" s="2106"/>
      <c r="CN124" s="2106">
        <f>IFERROR(CO124/CF124*10,0)</f>
        <v>4.4333973170637</v>
      </c>
      <c r="CO124" s="2106">
        <f>SUM(CH124,CJ124,CL124,CM124)</f>
        <v>12.023797799999999</v>
      </c>
      <c r="CP124" s="2106">
        <v>35.661293999999998</v>
      </c>
      <c r="CQ124" s="2106">
        <f t="shared" si="300"/>
        <v>0</v>
      </c>
      <c r="CR124" s="2106">
        <v>0</v>
      </c>
      <c r="CS124" s="2106">
        <f>IFERROR(CT124/CP124*10,0)</f>
        <v>5.1647254022806912</v>
      </c>
      <c r="CT124" s="2106">
        <v>18.4180791</v>
      </c>
      <c r="CU124" s="2106">
        <f>IFERROR(CV124/CP124*10,0)</f>
        <v>2.2876904018121163E-3</v>
      </c>
      <c r="CV124" s="2106">
        <v>8.1582000000000009E-3</v>
      </c>
      <c r="CW124" s="2106"/>
      <c r="CX124" s="2106">
        <f>IFERROR(CY124/CP124*10,0)</f>
        <v>5.1670130926825042</v>
      </c>
      <c r="CY124" s="2106">
        <f>SUM(CR124,CT124,CV124,CW124)</f>
        <v>18.4262373</v>
      </c>
      <c r="CZ124" s="2106">
        <v>41.185426399999997</v>
      </c>
      <c r="DA124" s="2106">
        <f t="shared" si="189"/>
        <v>2.4187569146425063</v>
      </c>
      <c r="DB124" s="2106">
        <v>9.9617534887500021</v>
      </c>
      <c r="DC124" s="2106">
        <v>2.2798847603763552</v>
      </c>
      <c r="DD124" s="2109">
        <f t="shared" si="190"/>
        <v>9.3898025998962016</v>
      </c>
      <c r="DE124" s="2106"/>
      <c r="DF124" s="2106"/>
      <c r="DG124" s="2106"/>
      <c r="DH124" s="2106">
        <f>IFERROR(DI124/CZ124*10,0)</f>
        <v>4.6986416750188624</v>
      </c>
      <c r="DI124" s="2106">
        <f>SUM(DB124,DD124,DF124,DG124)</f>
        <v>19.351556088646205</v>
      </c>
      <c r="DJ124" s="2106">
        <v>37.495987800000002</v>
      </c>
      <c r="DK124" s="2106">
        <f t="shared" si="192"/>
        <v>2.6567518481937427</v>
      </c>
      <c r="DL124" s="2106">
        <v>9.9617534887500021</v>
      </c>
      <c r="DM124" s="2106">
        <v>2.2798847603763552</v>
      </c>
      <c r="DN124" s="2109">
        <f t="shared" si="193"/>
        <v>8.5486531160477739</v>
      </c>
      <c r="DO124" s="2106"/>
      <c r="DP124" s="2106"/>
      <c r="DQ124" s="2106"/>
      <c r="DR124" s="2106">
        <f>IFERROR(DS124/DJ124*10,0)</f>
        <v>4.9366366085700975</v>
      </c>
      <c r="DS124" s="2106">
        <f>SUM(DL124,DN124,DP124,DQ124)</f>
        <v>18.510406604797776</v>
      </c>
      <c r="DT124" s="2106">
        <v>43.503826371999999</v>
      </c>
      <c r="DU124" s="2106">
        <f t="shared" si="195"/>
        <v>2.289856851571475</v>
      </c>
      <c r="DV124" s="2106">
        <v>9.9617534887500021</v>
      </c>
      <c r="DW124" s="2106">
        <v>2.2798847603763552</v>
      </c>
      <c r="DX124" s="2109">
        <f t="shared" si="196"/>
        <v>9.9183710763581789</v>
      </c>
      <c r="DY124" s="2106"/>
      <c r="DZ124" s="2106"/>
      <c r="EA124" s="2106"/>
      <c r="EB124" s="2106">
        <f>IFERROR(EC124/DT124*10,0)</f>
        <v>4.5697416119478307</v>
      </c>
      <c r="EC124" s="2106">
        <f>SUM(DV124,DX124,DZ124,EA124)</f>
        <v>19.880124565108183</v>
      </c>
      <c r="ED124" s="2106">
        <f>SUM(N124,X124,AH124,AR124,BB124,BL124,BV124,CF124,CP124,CZ124,DJ124,DT124)</f>
        <v>494.85617557199998</v>
      </c>
      <c r="EE124" s="2107"/>
      <c r="EF124" s="2106">
        <f>IFERROR(EG124/ED124*10,0)</f>
        <v>2.0361003447069259</v>
      </c>
      <c r="EG124" s="2106">
        <f>SUM(P124,Z124,AJ124,AT124,BD124,BN124,BX124,CH124,CR124,DB124,DL124,DV124)</f>
        <v>100.75768296625002</v>
      </c>
      <c r="EH124" s="2106">
        <f>IFERROR(EI124/ED124*10,0)</f>
        <v>2.5110111407354334</v>
      </c>
      <c r="EI124" s="2106">
        <f>SUM(R124,AB124,AL124,AV124,BF124,BP124,BZ124,CJ124,CT124,DD124,DN124,DX124)</f>
        <v>124.25893699230215</v>
      </c>
      <c r="EJ124" s="2106"/>
      <c r="EK124" s="2106">
        <f>SUM(T124,AD124,AN124,AX124,BH124,BR124,CB124,CL124,CV124,DF124,DP124,DZ124)</f>
        <v>7.2298799999999996E-2</v>
      </c>
      <c r="EL124" s="2106"/>
      <c r="EM124" s="2106"/>
      <c r="EN124" s="2106">
        <f>EG124+EI124+EK124</f>
        <v>225.08891875855215</v>
      </c>
      <c r="EO124" s="2104">
        <f>IFERROR(EN124/ED124*10,0)</f>
        <v>4.5485724917623553</v>
      </c>
      <c r="EP124" s="2110"/>
      <c r="ES124" s="2084">
        <f t="shared" si="187"/>
        <v>0</v>
      </c>
      <c r="EU124" s="2084">
        <f t="shared" si="198"/>
        <v>96.402110199999996</v>
      </c>
      <c r="EV124" s="2084">
        <f t="shared" si="199"/>
        <v>372.67093499999999</v>
      </c>
      <c r="EW124" s="2084">
        <f t="shared" si="200"/>
        <v>2.5867890717047732</v>
      </c>
    </row>
    <row r="125" spans="1:167" s="2093" customFormat="1">
      <c r="A125" s="1773">
        <v>3</v>
      </c>
      <c r="B125" s="2132" t="s">
        <v>1856</v>
      </c>
      <c r="C125" s="2133" t="e">
        <v>#N/A</v>
      </c>
      <c r="D125" s="2134" t="e">
        <v>#N/A</v>
      </c>
      <c r="E125" s="2104"/>
      <c r="F125" s="2134"/>
      <c r="G125" s="2104">
        <v>24</v>
      </c>
      <c r="H125" s="2102" t="s">
        <v>1717</v>
      </c>
      <c r="I125" s="2103">
        <v>2</v>
      </c>
      <c r="J125" s="2104"/>
      <c r="K125" s="2101"/>
      <c r="L125" s="2101"/>
      <c r="M125" s="2105"/>
      <c r="N125" s="2106">
        <v>0</v>
      </c>
      <c r="O125" s="2106">
        <f>IFERROR(P125/N125*10,0)</f>
        <v>0</v>
      </c>
      <c r="P125" s="2106">
        <v>0</v>
      </c>
      <c r="Q125" s="2106">
        <f>IFERROR(R125/N125*10,0)</f>
        <v>0</v>
      </c>
      <c r="R125" s="2106">
        <v>0</v>
      </c>
      <c r="S125" s="2106">
        <f>IFERROR(T125/N125*10,0)</f>
        <v>0</v>
      </c>
      <c r="T125" s="2106">
        <v>0</v>
      </c>
      <c r="U125" s="2106"/>
      <c r="V125" s="2106">
        <f>IFERROR(W125/N125*10,0)</f>
        <v>0</v>
      </c>
      <c r="W125" s="2106">
        <f>SUM(P125,R125,T125,U125)</f>
        <v>0</v>
      </c>
      <c r="X125" s="2106">
        <v>3.5015360000000002</v>
      </c>
      <c r="Y125" s="2106">
        <f>IFERROR(Z125/X125*10,0)</f>
        <v>0</v>
      </c>
      <c r="Z125" s="2106">
        <v>0</v>
      </c>
      <c r="AA125" s="2106">
        <f>IFERROR(AB125/X125*10,0)</f>
        <v>4.87</v>
      </c>
      <c r="AB125" s="2106">
        <v>1.7052480320000001</v>
      </c>
      <c r="AC125" s="2106">
        <f>IFERROR(AD125/X125*10,0)</f>
        <v>0</v>
      </c>
      <c r="AD125" s="2106">
        <v>0</v>
      </c>
      <c r="AE125" s="2106"/>
      <c r="AF125" s="2106">
        <f>IFERROR(AG125/X125*10,0)</f>
        <v>4.87</v>
      </c>
      <c r="AG125" s="2106">
        <f>SUM(Z125,AB125,AD125,AE125)</f>
        <v>1.7052480320000001</v>
      </c>
      <c r="AH125" s="2106">
        <v>2.3771100000000001</v>
      </c>
      <c r="AI125" s="2106">
        <f>IFERROR(AJ125/AH125*10,0)</f>
        <v>0</v>
      </c>
      <c r="AJ125" s="2106">
        <v>0</v>
      </c>
      <c r="AK125" s="2106">
        <f>IFERROR(AL125/AH125*10,0)</f>
        <v>4.8699997055247755</v>
      </c>
      <c r="AL125" s="2106">
        <v>1.1576525</v>
      </c>
      <c r="AM125" s="2106">
        <f>IFERROR(AN125/AH125*10,0)</f>
        <v>0</v>
      </c>
      <c r="AN125" s="2106">
        <v>0</v>
      </c>
      <c r="AO125" s="2106">
        <v>0</v>
      </c>
      <c r="AP125" s="2106">
        <f>IFERROR(AQ125/AH125*10,0)</f>
        <v>4.8699997055247755</v>
      </c>
      <c r="AQ125" s="2106">
        <f>SUM(AJ125,AL125,AN125,AO125)</f>
        <v>1.1576525</v>
      </c>
      <c r="AR125" s="2106">
        <v>9.9999999999999995E-7</v>
      </c>
      <c r="AS125" s="2106">
        <f>IFERROR(AT125/AR125*10,0)</f>
        <v>0</v>
      </c>
      <c r="AT125" s="2106">
        <v>0</v>
      </c>
      <c r="AU125" s="2106">
        <f>IFERROR(AV125/AR125*10,0)</f>
        <v>5</v>
      </c>
      <c r="AV125" s="2106">
        <v>4.9999999999999998E-7</v>
      </c>
      <c r="AW125" s="2106">
        <f>IFERROR(AX125/AR125*10,0)</f>
        <v>0</v>
      </c>
      <c r="AX125" s="2106">
        <v>0</v>
      </c>
      <c r="AY125" s="2106"/>
      <c r="AZ125" s="2106">
        <f>IFERROR(BA125/AR125*10,0)</f>
        <v>5</v>
      </c>
      <c r="BA125" s="2106">
        <f>SUM(AT125,AV125,AX125,AY125)</f>
        <v>4.9999999999999998E-7</v>
      </c>
      <c r="BB125" s="2106">
        <v>12.629265</v>
      </c>
      <c r="BC125" s="2106">
        <f>IFERROR(BD125/BB125*10,0)</f>
        <v>0</v>
      </c>
      <c r="BD125" s="2106">
        <v>0</v>
      </c>
      <c r="BE125" s="2106">
        <f>IFERROR(BF125/BB125*10,0)</f>
        <v>2.852973470744339</v>
      </c>
      <c r="BF125" s="2106">
        <v>3.6030958000000002</v>
      </c>
      <c r="BG125" s="2106">
        <f>IFERROR(BH125/BB125*10,0)</f>
        <v>2.0708726913244751E-2</v>
      </c>
      <c r="BH125" s="2106">
        <v>2.6153599999999999E-2</v>
      </c>
      <c r="BI125" s="2106"/>
      <c r="BJ125" s="2106">
        <f>IFERROR(BK125/BB125*10,0)</f>
        <v>2.8736821976575833</v>
      </c>
      <c r="BK125" s="2106">
        <f>SUM(BD125,BF125,BH125,BI125)</f>
        <v>3.6292494</v>
      </c>
      <c r="BL125" s="2106">
        <v>11.411236000000001</v>
      </c>
      <c r="BM125" s="2106">
        <f>IFERROR(BN125/BL125*10,0)</f>
        <v>0</v>
      </c>
      <c r="BN125" s="2106">
        <v>0</v>
      </c>
      <c r="BO125" s="2106">
        <f>IFERROR(BP125/BL125*10,0)</f>
        <v>4.8699999719574629</v>
      </c>
      <c r="BP125" s="2106">
        <v>5.5572718999999999</v>
      </c>
      <c r="BQ125" s="2106">
        <f>IFERROR(BR125/BL125*10,0)</f>
        <v>0</v>
      </c>
      <c r="BR125" s="2106">
        <v>0</v>
      </c>
      <c r="BS125" s="2106"/>
      <c r="BT125" s="2106">
        <f>IFERROR(BU125/BL125*10,0)</f>
        <v>4.8699999719574629</v>
      </c>
      <c r="BU125" s="2106">
        <f>SUM(BN125,BP125,BR125,BS125)</f>
        <v>5.5572718999999999</v>
      </c>
      <c r="BV125" s="2106">
        <v>4.5177959999999997</v>
      </c>
      <c r="BW125" s="2106">
        <f>IFERROR(BX125/BV125*10,0)</f>
        <v>0</v>
      </c>
      <c r="BX125" s="2106">
        <v>0</v>
      </c>
      <c r="BY125" s="2106">
        <f>IFERROR(BZ125/BV125*10,0)</f>
        <v>4.8576990904414457</v>
      </c>
      <c r="BZ125" s="2106">
        <v>2.1946093520000001</v>
      </c>
      <c r="CA125" s="2106">
        <f>IFERROR(CB125/BV125*10,0)</f>
        <v>0</v>
      </c>
      <c r="CB125" s="2106">
        <v>0</v>
      </c>
      <c r="CC125" s="2106"/>
      <c r="CD125" s="2106">
        <f>IFERROR(CE125/BV125*10,0)</f>
        <v>4.8576990904414457</v>
      </c>
      <c r="CE125" s="2106">
        <f>SUM(BX125,BZ125,CB125,CC125)</f>
        <v>2.1946093520000001</v>
      </c>
      <c r="CF125" s="2106">
        <v>4.7802610000000003</v>
      </c>
      <c r="CG125" s="2106">
        <f>IFERROR(CH125/CF125*10,0)</f>
        <v>0</v>
      </c>
      <c r="CH125" s="2106">
        <v>0</v>
      </c>
      <c r="CI125" s="2106">
        <f>IFERROR(CJ125/CF125*10,0)</f>
        <v>4.87</v>
      </c>
      <c r="CJ125" s="2106">
        <v>2.3279871070000002</v>
      </c>
      <c r="CK125" s="2106">
        <f>IFERROR(CL125/CF125*10,0)</f>
        <v>3.8276152703795877E-2</v>
      </c>
      <c r="CL125" s="2106">
        <v>1.8297000000000001E-2</v>
      </c>
      <c r="CM125" s="2106"/>
      <c r="CN125" s="2106">
        <f>IFERROR(CO125/CF125*10,0)</f>
        <v>4.9082761527037961</v>
      </c>
      <c r="CO125" s="2106">
        <f>SUM(CH125,CJ125,CL125,CM125)</f>
        <v>2.3462841070000002</v>
      </c>
      <c r="CP125" s="2106">
        <v>5.6401680000000001</v>
      </c>
      <c r="CQ125" s="2106">
        <f t="shared" si="300"/>
        <v>0</v>
      </c>
      <c r="CR125" s="2106">
        <v>0</v>
      </c>
      <c r="CS125" s="2106">
        <f>IFERROR(CT125/CP125*10,0)</f>
        <v>4.8699999999999992</v>
      </c>
      <c r="CT125" s="2106">
        <v>2.7467618159999998</v>
      </c>
      <c r="CU125" s="2106">
        <f>IFERROR(CV125/CP125*10,0)</f>
        <v>0.20679869819480554</v>
      </c>
      <c r="CV125" s="2106">
        <v>0.11663794</v>
      </c>
      <c r="CW125" s="2106"/>
      <c r="CX125" s="2106">
        <f>IFERROR(CY125/CP125*10,0)</f>
        <v>5.0767986981948052</v>
      </c>
      <c r="CY125" s="2106">
        <f>SUM(CR125,CT125,CV125,CW125)</f>
        <v>2.8633997559999997</v>
      </c>
      <c r="CZ125" s="2106">
        <v>0</v>
      </c>
      <c r="DA125" s="2106">
        <f t="shared" si="189"/>
        <v>0</v>
      </c>
      <c r="DB125" s="2106">
        <v>0</v>
      </c>
      <c r="DC125" s="2106">
        <v>4.9187804974548381</v>
      </c>
      <c r="DD125" s="2135">
        <f t="shared" si="190"/>
        <v>0</v>
      </c>
      <c r="DE125" s="2106"/>
      <c r="DF125" s="2106"/>
      <c r="DG125" s="2106"/>
      <c r="DH125" s="2106">
        <f>IFERROR(DI125/CZ125*10,0)</f>
        <v>0</v>
      </c>
      <c r="DI125" s="2106">
        <f>SUM(DB125,DD125,DF125,DG125)</f>
        <v>0</v>
      </c>
      <c r="DJ125" s="2106">
        <v>0</v>
      </c>
      <c r="DK125" s="2106">
        <f t="shared" si="192"/>
        <v>0</v>
      </c>
      <c r="DL125" s="2106">
        <v>0</v>
      </c>
      <c r="DM125" s="2106">
        <v>4.9187804974548381</v>
      </c>
      <c r="DN125" s="2135">
        <f t="shared" si="193"/>
        <v>0</v>
      </c>
      <c r="DO125" s="2106"/>
      <c r="DP125" s="2106"/>
      <c r="DQ125" s="2106"/>
      <c r="DR125" s="2106">
        <f>IFERROR(DS125/DJ125*10,0)</f>
        <v>0</v>
      </c>
      <c r="DS125" s="2106">
        <f>SUM(DL125,DN125,DP125,DQ125)</f>
        <v>0</v>
      </c>
      <c r="DT125" s="2106">
        <v>0</v>
      </c>
      <c r="DU125" s="2106">
        <f t="shared" si="195"/>
        <v>0</v>
      </c>
      <c r="DV125" s="2106">
        <v>0</v>
      </c>
      <c r="DW125" s="2106">
        <v>4.9187804974548381</v>
      </c>
      <c r="DX125" s="2135">
        <f t="shared" si="196"/>
        <v>0</v>
      </c>
      <c r="DY125" s="2106"/>
      <c r="DZ125" s="2106"/>
      <c r="EA125" s="2106"/>
      <c r="EB125" s="2106">
        <f>IFERROR(EC125/DT125*10,0)</f>
        <v>0</v>
      </c>
      <c r="EC125" s="2106">
        <f>SUM(DV125,DX125,DZ125,EA125)</f>
        <v>0</v>
      </c>
      <c r="ED125" s="2106">
        <f>SUM(N125,X125,AH125,AR125,BB125,BL125,BV125,CF125,CP125,CZ125,DJ125,DT125)</f>
        <v>44.857373000000003</v>
      </c>
      <c r="EE125" s="2107"/>
      <c r="EF125" s="2106">
        <f>IFERROR(EG125/ED125*10,0)</f>
        <v>0</v>
      </c>
      <c r="EG125" s="2106">
        <f>SUM(P125,Z125,AJ125,AT125,BD125,BN125,BX125,CH125,CR125,DB125,DL125,DV125)</f>
        <v>0</v>
      </c>
      <c r="EH125" s="2106">
        <f>IFERROR(EI125/ED125*10,0)</f>
        <v>4.3008820438504056</v>
      </c>
      <c r="EI125" s="2106">
        <f>SUM(R125,AB125,AL125,AV125,BF125,BP125,BZ125,CJ125,CT125,DD125,DN125,DX125)</f>
        <v>19.292627007</v>
      </c>
      <c r="EJ125" s="2106"/>
      <c r="EK125" s="2106">
        <f>SUM(T125,AD125,AN125,AX125,BH125,BR125,CB125,CL125,CV125,DF125,DP125,DZ125)</f>
        <v>0.16108854</v>
      </c>
      <c r="EL125" s="2106"/>
      <c r="EM125" s="2106"/>
      <c r="EN125" s="2106">
        <f>EG125+EI125+EK125</f>
        <v>19.453715547000002</v>
      </c>
      <c r="EO125" s="2104">
        <f>IFERROR(EN125/ED125*10,0)</f>
        <v>4.3367933175667686</v>
      </c>
      <c r="EP125" s="2110"/>
      <c r="ES125" s="2093">
        <f t="shared" si="187"/>
        <v>0</v>
      </c>
      <c r="EU125" s="2093">
        <f t="shared" si="198"/>
        <v>19.292627007</v>
      </c>
      <c r="EV125" s="2093">
        <f t="shared" si="199"/>
        <v>44.857373000000003</v>
      </c>
      <c r="EW125" s="2093">
        <f t="shared" si="200"/>
        <v>4.3008820438504047</v>
      </c>
    </row>
    <row r="126" spans="1:167">
      <c r="A126" s="1760">
        <v>4</v>
      </c>
      <c r="B126" s="1761" t="s">
        <v>1749</v>
      </c>
      <c r="C126" s="2098" t="e">
        <v>#N/A</v>
      </c>
      <c r="D126" s="2099" t="e">
        <v>#N/A</v>
      </c>
      <c r="E126" s="2100"/>
      <c r="F126" s="2099"/>
      <c r="G126" s="2104">
        <v>166</v>
      </c>
      <c r="H126" s="2102" t="s">
        <v>1717</v>
      </c>
      <c r="I126" s="2103">
        <v>1</v>
      </c>
      <c r="J126" s="2104"/>
      <c r="K126" s="2101"/>
      <c r="L126" s="2101"/>
      <c r="M126" s="2105"/>
      <c r="N126" s="2106">
        <v>0</v>
      </c>
      <c r="O126" s="2106">
        <f>IFERROR(P126/N126*10,0)</f>
        <v>0</v>
      </c>
      <c r="P126" s="2106">
        <v>0</v>
      </c>
      <c r="Q126" s="2106">
        <f>IFERROR(R126/N126*10,0)</f>
        <v>0</v>
      </c>
      <c r="R126" s="2106">
        <v>0</v>
      </c>
      <c r="S126" s="2106">
        <f>IFERROR(T126/N126*10,0)</f>
        <v>0</v>
      </c>
      <c r="T126" s="2106">
        <v>0</v>
      </c>
      <c r="U126" s="2106"/>
      <c r="V126" s="2106"/>
      <c r="W126" s="2106"/>
      <c r="X126" s="2106">
        <v>0</v>
      </c>
      <c r="Y126" s="2106">
        <f>IFERROR(Z126/X126*10,0)</f>
        <v>0</v>
      </c>
      <c r="Z126" s="2106">
        <v>0</v>
      </c>
      <c r="AA126" s="2106">
        <f>IFERROR(AB126/X126*10,0)</f>
        <v>0</v>
      </c>
      <c r="AB126" s="2106">
        <v>0</v>
      </c>
      <c r="AC126" s="2106">
        <f>IFERROR(AD126/X126*10,0)</f>
        <v>0</v>
      </c>
      <c r="AD126" s="2106">
        <v>0</v>
      </c>
      <c r="AE126" s="2106"/>
      <c r="AF126" s="2106">
        <f>IFERROR(AG126/X126*10,0)</f>
        <v>0</v>
      </c>
      <c r="AG126" s="2106">
        <f>SUM(Z126,AB126,AD126,AE126)</f>
        <v>0</v>
      </c>
      <c r="AH126" s="2106">
        <v>0</v>
      </c>
      <c r="AI126" s="2106">
        <f>IFERROR(AJ126/AH126*10,0)</f>
        <v>0</v>
      </c>
      <c r="AJ126" s="2106">
        <v>0</v>
      </c>
      <c r="AK126" s="2106">
        <f>IFERROR(AL126/AH126*10,0)</f>
        <v>0</v>
      </c>
      <c r="AL126" s="2106">
        <v>0</v>
      </c>
      <c r="AM126" s="2106">
        <f>IFERROR(AN126/AH126*10,0)</f>
        <v>0</v>
      </c>
      <c r="AN126" s="2106">
        <v>0</v>
      </c>
      <c r="AO126" s="2106">
        <v>0</v>
      </c>
      <c r="AP126" s="2106">
        <f>IFERROR(AQ126/AH126*10,0)</f>
        <v>0</v>
      </c>
      <c r="AQ126" s="2106">
        <f>SUM(AJ126,AL126,AN126,AO126)</f>
        <v>0</v>
      </c>
      <c r="AR126" s="2106">
        <v>0</v>
      </c>
      <c r="AS126" s="2106">
        <f>IFERROR(AT126/AR126*10,0)</f>
        <v>0</v>
      </c>
      <c r="AT126" s="2106">
        <v>0</v>
      </c>
      <c r="AU126" s="2106">
        <f>IFERROR(AV126/AR126*10,0)</f>
        <v>0</v>
      </c>
      <c r="AV126" s="2106">
        <v>0</v>
      </c>
      <c r="AW126" s="2106">
        <f>IFERROR(AX126/AR126*10,0)</f>
        <v>0</v>
      </c>
      <c r="AX126" s="2106">
        <v>0</v>
      </c>
      <c r="AY126" s="2106"/>
      <c r="AZ126" s="2106">
        <f>IFERROR(BA126/AR126*10,0)</f>
        <v>0</v>
      </c>
      <c r="BA126" s="2106">
        <f>SUM(AT126,AV126,AX126,AY126)</f>
        <v>0</v>
      </c>
      <c r="BB126" s="2106">
        <v>0</v>
      </c>
      <c r="BC126" s="2106">
        <f>IFERROR(BD126/BB126*10,0)</f>
        <v>0</v>
      </c>
      <c r="BD126" s="2106">
        <v>0</v>
      </c>
      <c r="BE126" s="2106">
        <f>IFERROR(BF126/BB126*10,0)</f>
        <v>0</v>
      </c>
      <c r="BF126" s="2106">
        <v>0</v>
      </c>
      <c r="BG126" s="2106">
        <f>IFERROR(BH126/BB126*10,0)</f>
        <v>0</v>
      </c>
      <c r="BH126" s="2106">
        <v>0</v>
      </c>
      <c r="BI126" s="2106"/>
      <c r="BJ126" s="2106">
        <f>IFERROR(BK126/BB126*10,0)</f>
        <v>0</v>
      </c>
      <c r="BK126" s="2106">
        <f>SUM(BD126,BF126,BH126,BI126)</f>
        <v>0</v>
      </c>
      <c r="BL126" s="2106">
        <v>0</v>
      </c>
      <c r="BM126" s="2106">
        <f>IFERROR(BN126/BL126*10,0)</f>
        <v>0</v>
      </c>
      <c r="BN126" s="2106">
        <v>0</v>
      </c>
      <c r="BO126" s="2106">
        <f>IFERROR(BP126/BL126*10,0)</f>
        <v>0</v>
      </c>
      <c r="BP126" s="2106">
        <v>0</v>
      </c>
      <c r="BQ126" s="2106">
        <f>IFERROR(BR126/BL126*10,0)</f>
        <v>0</v>
      </c>
      <c r="BR126" s="2106">
        <v>0</v>
      </c>
      <c r="BS126" s="2106"/>
      <c r="BT126" s="2106">
        <f>IFERROR(BU126/BL126*10,0)</f>
        <v>0</v>
      </c>
      <c r="BU126" s="2106">
        <f>SUM(BN126,BP126,BR126,BS126)</f>
        <v>0</v>
      </c>
      <c r="BV126" s="2106">
        <v>0</v>
      </c>
      <c r="BW126" s="2106">
        <f>IFERROR(BX126/BV126*10,0)</f>
        <v>0</v>
      </c>
      <c r="BX126" s="2106">
        <v>0</v>
      </c>
      <c r="BY126" s="2106">
        <f>IFERROR(BZ126/BV126*10,0)</f>
        <v>0</v>
      </c>
      <c r="BZ126" s="2106">
        <v>0</v>
      </c>
      <c r="CA126" s="2106">
        <f>IFERROR(CB126/BV126*10,0)</f>
        <v>0</v>
      </c>
      <c r="CB126" s="2106">
        <v>0</v>
      </c>
      <c r="CC126" s="2106"/>
      <c r="CD126" s="2106">
        <f>IFERROR(CE126/BV126*10,0)</f>
        <v>0</v>
      </c>
      <c r="CE126" s="2106">
        <f>SUM(BX126,BZ126,CB126,CC126)</f>
        <v>0</v>
      </c>
      <c r="CF126" s="2106">
        <v>0</v>
      </c>
      <c r="CG126" s="2106">
        <f>IFERROR(CH126/CF126*10,0)</f>
        <v>0</v>
      </c>
      <c r="CH126" s="2106">
        <v>0</v>
      </c>
      <c r="CI126" s="2106">
        <f>IFERROR(CJ126/CF126*10,0)</f>
        <v>0</v>
      </c>
      <c r="CJ126" s="2106">
        <v>0</v>
      </c>
      <c r="CK126" s="2106">
        <f>IFERROR(CL126/CF126*10,0)</f>
        <v>0</v>
      </c>
      <c r="CL126" s="2106">
        <v>0</v>
      </c>
      <c r="CM126" s="2106"/>
      <c r="CN126" s="2106">
        <f>IFERROR(CO126/CF126*10,0)</f>
        <v>0</v>
      </c>
      <c r="CO126" s="2106">
        <f>SUM(CH126,CJ126,CL126,CM126)</f>
        <v>0</v>
      </c>
      <c r="CP126" s="2106">
        <v>0</v>
      </c>
      <c r="CQ126" s="2106">
        <f t="shared" si="300"/>
        <v>0</v>
      </c>
      <c r="CR126" s="2106">
        <v>0</v>
      </c>
      <c r="CS126" s="2106">
        <f>IFERROR(CT126/CP126*10,0)</f>
        <v>0</v>
      </c>
      <c r="CT126" s="2106">
        <v>0</v>
      </c>
      <c r="CU126" s="2106">
        <f>IFERROR(CV126/CP126*10,0)</f>
        <v>0</v>
      </c>
      <c r="CV126" s="2106">
        <v>0</v>
      </c>
      <c r="CW126" s="2106"/>
      <c r="CX126" s="2106">
        <f>IFERROR(CY126/CP126*10,0)</f>
        <v>0</v>
      </c>
      <c r="CY126" s="2106">
        <f>SUM(CR126,CT126,CV126,CW126)</f>
        <v>0</v>
      </c>
      <c r="CZ126" s="2106">
        <v>0</v>
      </c>
      <c r="DA126" s="2106">
        <f t="shared" si="189"/>
        <v>0</v>
      </c>
      <c r="DB126" s="2106">
        <v>0</v>
      </c>
      <c r="DC126" s="2106">
        <v>0</v>
      </c>
      <c r="DD126" s="2109">
        <f t="shared" si="190"/>
        <v>0</v>
      </c>
      <c r="DE126" s="2106"/>
      <c r="DF126" s="2106"/>
      <c r="DG126" s="2106"/>
      <c r="DH126" s="2106"/>
      <c r="DI126" s="2106"/>
      <c r="DJ126" s="2106">
        <v>0</v>
      </c>
      <c r="DK126" s="2106">
        <f t="shared" si="192"/>
        <v>0</v>
      </c>
      <c r="DL126" s="2106">
        <v>0</v>
      </c>
      <c r="DM126" s="2106">
        <v>0</v>
      </c>
      <c r="DN126" s="2109">
        <f t="shared" si="193"/>
        <v>0</v>
      </c>
      <c r="DO126" s="2106"/>
      <c r="DP126" s="2106"/>
      <c r="DQ126" s="2106"/>
      <c r="DR126" s="2106"/>
      <c r="DS126" s="2106"/>
      <c r="DT126" s="2106">
        <v>0</v>
      </c>
      <c r="DU126" s="2106">
        <f t="shared" si="195"/>
        <v>0</v>
      </c>
      <c r="DV126" s="2106">
        <v>0</v>
      </c>
      <c r="DW126" s="2106">
        <v>0</v>
      </c>
      <c r="DX126" s="2109">
        <f t="shared" si="196"/>
        <v>0</v>
      </c>
      <c r="DY126" s="2106"/>
      <c r="DZ126" s="2106"/>
      <c r="EA126" s="2106"/>
      <c r="EB126" s="2106"/>
      <c r="EC126" s="2106"/>
      <c r="ED126" s="2106">
        <f>SUM(N126,X126,AH126,AR126,BB126,BL126,BV126,CF126,CP126,CZ126,DJ126,DT126)</f>
        <v>0</v>
      </c>
      <c r="EE126" s="2107"/>
      <c r="EF126" s="2106">
        <f>IFERROR(EG126/ED126*10,0)</f>
        <v>0</v>
      </c>
      <c r="EG126" s="2106">
        <f>SUM(P126,Z126,AJ126,AT126,BD126,BN126,BX126,CH126,CR126,DB126,DL126,DV126)</f>
        <v>0</v>
      </c>
      <c r="EH126" s="2106">
        <f>IFERROR(EI126/ED126*10,0)</f>
        <v>0</v>
      </c>
      <c r="EI126" s="2106">
        <f>SUM(R126,AB126,AL126,AV126,BF126,BP126,BZ126,CJ126,CT126,DD126,DN126,DX126)</f>
        <v>0</v>
      </c>
      <c r="EJ126" s="2106"/>
      <c r="EK126" s="2106">
        <f>SUM(T126,AD126,AN126,AX126,BH126,BR126,CB126,CL126,CV126,DF126,DP126,DZ126)</f>
        <v>0</v>
      </c>
      <c r="EL126" s="2106"/>
      <c r="EM126" s="2106"/>
      <c r="EN126" s="2106">
        <f>EG126+EI126+EK126</f>
        <v>0</v>
      </c>
      <c r="EO126" s="2104">
        <f>IFERROR(EN126/ED126*10,0)</f>
        <v>0</v>
      </c>
      <c r="EP126" s="2110"/>
      <c r="ES126" s="2084">
        <f t="shared" si="187"/>
        <v>0</v>
      </c>
      <c r="EU126" s="2084">
        <f t="shared" si="198"/>
        <v>0</v>
      </c>
      <c r="EV126" s="2084">
        <f t="shared" si="199"/>
        <v>0</v>
      </c>
      <c r="EW126" s="2084" t="e">
        <f t="shared" si="200"/>
        <v>#DIV/0!</v>
      </c>
    </row>
    <row r="127" spans="1:167">
      <c r="A127" s="1760"/>
      <c r="B127" s="2132" t="s">
        <v>2084</v>
      </c>
      <c r="C127" s="2098"/>
      <c r="D127" s="2099"/>
      <c r="E127" s="2100"/>
      <c r="F127" s="2099"/>
      <c r="G127" s="2104"/>
      <c r="H127" s="2136"/>
      <c r="I127" s="2137"/>
      <c r="J127" s="2104"/>
      <c r="K127" s="2101"/>
      <c r="L127" s="2101"/>
      <c r="M127" s="2105"/>
      <c r="N127" s="2106">
        <v>0</v>
      </c>
      <c r="O127" s="2106">
        <f>IFERROR(P127/N127*10,0)</f>
        <v>0</v>
      </c>
      <c r="P127" s="2106">
        <v>0</v>
      </c>
      <c r="Q127" s="2106">
        <f>IFERROR(R127/N127*10,0)</f>
        <v>0</v>
      </c>
      <c r="R127" s="2106">
        <v>0</v>
      </c>
      <c r="S127" s="2106">
        <f>IFERROR(T127/N127*10,0)</f>
        <v>0</v>
      </c>
      <c r="T127" s="2106">
        <v>0</v>
      </c>
      <c r="U127" s="2106"/>
      <c r="V127" s="2106"/>
      <c r="W127" s="2106"/>
      <c r="X127" s="2106">
        <v>0</v>
      </c>
      <c r="Y127" s="2106">
        <f>IFERROR(Z127/X127*10,0)</f>
        <v>0</v>
      </c>
      <c r="Z127" s="2106">
        <v>0</v>
      </c>
      <c r="AA127" s="2106">
        <f>IFERROR(AB127/X127*10,0)</f>
        <v>0</v>
      </c>
      <c r="AB127" s="2106">
        <v>0</v>
      </c>
      <c r="AC127" s="2106">
        <f>IFERROR(AD127/X127*10,0)</f>
        <v>0</v>
      </c>
      <c r="AD127" s="2106">
        <v>0</v>
      </c>
      <c r="AE127" s="2106"/>
      <c r="AF127" s="2106">
        <f>IFERROR(AG127/X127*10,0)</f>
        <v>0</v>
      </c>
      <c r="AG127" s="2106">
        <f>SUM(Z127,AB127,AD127,AE127)</f>
        <v>0</v>
      </c>
      <c r="AH127" s="2106">
        <v>0</v>
      </c>
      <c r="AI127" s="2106">
        <f>IFERROR(AJ127/AH127*10,0)</f>
        <v>0</v>
      </c>
      <c r="AJ127" s="2106">
        <v>0</v>
      </c>
      <c r="AK127" s="2106">
        <f>IFERROR(AL127/AH127*10,0)</f>
        <v>0</v>
      </c>
      <c r="AL127" s="2106">
        <v>0</v>
      </c>
      <c r="AM127" s="2106">
        <f>IFERROR(AN127/AH127*10,0)</f>
        <v>0</v>
      </c>
      <c r="AN127" s="2106">
        <v>0</v>
      </c>
      <c r="AO127" s="2106">
        <v>0</v>
      </c>
      <c r="AP127" s="2106">
        <f>IFERROR(AQ127/AH127*10,0)</f>
        <v>0</v>
      </c>
      <c r="AQ127" s="2106">
        <f>SUM(AJ127,AL127,AN127,AO127)</f>
        <v>0</v>
      </c>
      <c r="AR127" s="2106">
        <v>0</v>
      </c>
      <c r="AS127" s="2106">
        <f>IFERROR(AT127/AR127*10,0)</f>
        <v>0</v>
      </c>
      <c r="AT127" s="2106">
        <v>0</v>
      </c>
      <c r="AU127" s="2106">
        <f>IFERROR(AV127/AR127*10,0)</f>
        <v>0</v>
      </c>
      <c r="AV127" s="2106">
        <v>0</v>
      </c>
      <c r="AW127" s="2106">
        <f>IFERROR(AX127/AR127*10,0)</f>
        <v>0</v>
      </c>
      <c r="AX127" s="2106">
        <v>0</v>
      </c>
      <c r="AY127" s="2106">
        <v>433.54969519999997</v>
      </c>
      <c r="AZ127" s="2106">
        <f>IFERROR(BA127/AR127*10,0)</f>
        <v>0</v>
      </c>
      <c r="BA127" s="2106">
        <f>SUM(AT127,AV127,AX127,AY127)</f>
        <v>433.54969519999997</v>
      </c>
      <c r="BB127" s="2106">
        <v>0</v>
      </c>
      <c r="BC127" s="2106">
        <f>IFERROR(BD127/BB127*10,0)</f>
        <v>0</v>
      </c>
      <c r="BD127" s="2106">
        <v>0</v>
      </c>
      <c r="BE127" s="2106">
        <f>IFERROR(BF127/BB127*10,0)</f>
        <v>0</v>
      </c>
      <c r="BF127" s="2106">
        <v>0</v>
      </c>
      <c r="BG127" s="2106">
        <f>IFERROR(BH127/BB127*10,0)</f>
        <v>0</v>
      </c>
      <c r="BH127" s="2106">
        <v>0</v>
      </c>
      <c r="BI127" s="2106"/>
      <c r="BJ127" s="2106">
        <f>IFERROR(BK127/BB127*10,0)</f>
        <v>0</v>
      </c>
      <c r="BK127" s="2106">
        <f>SUM(BD127,BF127,BH127,BI127)</f>
        <v>0</v>
      </c>
      <c r="BL127" s="2106">
        <v>0</v>
      </c>
      <c r="BM127" s="2106">
        <f>IFERROR(BN127/BL127*10,0)</f>
        <v>0</v>
      </c>
      <c r="BN127" s="2106">
        <v>0</v>
      </c>
      <c r="BO127" s="2106">
        <f>IFERROR(BP127/BL127*10,0)</f>
        <v>0</v>
      </c>
      <c r="BP127" s="2106">
        <v>0</v>
      </c>
      <c r="BQ127" s="2106">
        <f>IFERROR(BR127/BL127*10,0)</f>
        <v>0</v>
      </c>
      <c r="BR127" s="2106">
        <v>0</v>
      </c>
      <c r="BS127" s="2106"/>
      <c r="BT127" s="2106">
        <f>IFERROR(BU127/BL127*10,0)</f>
        <v>0</v>
      </c>
      <c r="BU127" s="2106">
        <f>SUM(BN127,BP127,BR127,BS127)</f>
        <v>0</v>
      </c>
      <c r="BV127" s="2106">
        <v>0</v>
      </c>
      <c r="BW127" s="2106">
        <f>IFERROR(BX127/BV127*10,0)</f>
        <v>0</v>
      </c>
      <c r="BX127" s="2106">
        <v>0</v>
      </c>
      <c r="BY127" s="2106">
        <f>IFERROR(BZ127/BV127*10,0)</f>
        <v>0</v>
      </c>
      <c r="BZ127" s="2106">
        <v>0</v>
      </c>
      <c r="CA127" s="2106">
        <f>IFERROR(CB127/BV127*10,0)</f>
        <v>0</v>
      </c>
      <c r="CB127" s="2106">
        <v>0</v>
      </c>
      <c r="CC127" s="2106"/>
      <c r="CD127" s="2106">
        <f>IFERROR(CE127/BV127*10,0)</f>
        <v>0</v>
      </c>
      <c r="CE127" s="2106">
        <f>SUM(BX127,BZ127,CB127,CC127)</f>
        <v>0</v>
      </c>
      <c r="CF127" s="2106">
        <v>0</v>
      </c>
      <c r="CG127" s="2106">
        <f>IFERROR(CH127/CF127*10,0)</f>
        <v>0</v>
      </c>
      <c r="CH127" s="2106">
        <v>0</v>
      </c>
      <c r="CI127" s="2106">
        <f>IFERROR(CJ127/CF127*10,0)</f>
        <v>0</v>
      </c>
      <c r="CJ127" s="2106">
        <v>0</v>
      </c>
      <c r="CK127" s="2106">
        <f>IFERROR(CL127/CF127*10,0)</f>
        <v>0</v>
      </c>
      <c r="CL127" s="2106">
        <v>0</v>
      </c>
      <c r="CM127" s="2106"/>
      <c r="CN127" s="2106">
        <f>IFERROR(CO127/CF127*10,0)</f>
        <v>0</v>
      </c>
      <c r="CO127" s="2106">
        <f>SUM(CH127,CJ127,CL127,CM127)</f>
        <v>0</v>
      </c>
      <c r="CP127" s="2106">
        <v>0</v>
      </c>
      <c r="CQ127" s="2106">
        <f t="shared" si="300"/>
        <v>0</v>
      </c>
      <c r="CR127" s="2106">
        <v>0</v>
      </c>
      <c r="CS127" s="2106">
        <f>IFERROR(CT127/CP127*10,0)</f>
        <v>0</v>
      </c>
      <c r="CT127" s="2106">
        <v>0</v>
      </c>
      <c r="CU127" s="2106">
        <f>IFERROR(CV127/CP127*10,0)</f>
        <v>0</v>
      </c>
      <c r="CV127" s="2106">
        <v>0</v>
      </c>
      <c r="CW127" s="2106"/>
      <c r="CX127" s="2106">
        <f>IFERROR(CY127/CP127*10,0)</f>
        <v>0</v>
      </c>
      <c r="CY127" s="2106">
        <f>SUM(CR127,CT127,CV127,CW127)</f>
        <v>0</v>
      </c>
      <c r="CZ127" s="2106">
        <v>0</v>
      </c>
      <c r="DA127" s="2106">
        <f>IFERROR(DB127/CZ127*10,0)</f>
        <v>0</v>
      </c>
      <c r="DB127" s="2106">
        <v>0</v>
      </c>
      <c r="DC127" s="2106">
        <v>0</v>
      </c>
      <c r="DD127" s="2109">
        <f>DC127*CZ127/10</f>
        <v>0</v>
      </c>
      <c r="DE127" s="2106"/>
      <c r="DF127" s="2106"/>
      <c r="DG127" s="2106"/>
      <c r="DH127" s="2106"/>
      <c r="DI127" s="2106"/>
      <c r="DJ127" s="2106">
        <v>0</v>
      </c>
      <c r="DK127" s="2106">
        <f>IFERROR(DL127/DJ127*10,0)</f>
        <v>0</v>
      </c>
      <c r="DL127" s="2106">
        <v>0</v>
      </c>
      <c r="DM127" s="2106">
        <v>0</v>
      </c>
      <c r="DN127" s="2109">
        <f>DM127*DJ127/10</f>
        <v>0</v>
      </c>
      <c r="DO127" s="2106"/>
      <c r="DP127" s="2106"/>
      <c r="DQ127" s="2106"/>
      <c r="DR127" s="2106"/>
      <c r="DS127" s="2106"/>
      <c r="DT127" s="2106">
        <v>0</v>
      </c>
      <c r="DU127" s="2106">
        <f>IFERROR(DV127/DT127*10,0)</f>
        <v>0</v>
      </c>
      <c r="DV127" s="2106">
        <v>0</v>
      </c>
      <c r="DW127" s="2106">
        <v>0</v>
      </c>
      <c r="DX127" s="2109">
        <f>DW127*DT127/10</f>
        <v>0</v>
      </c>
      <c r="DY127" s="2106"/>
      <c r="DZ127" s="2106"/>
      <c r="EA127" s="2106"/>
      <c r="EB127" s="2106"/>
      <c r="EC127" s="2106"/>
      <c r="ED127" s="2106">
        <f>SUM(N127,X127,AH127,AR127,BB127,BL127,BV127,CF127,CP127,CZ127,DJ127,DT127)</f>
        <v>0</v>
      </c>
      <c r="EE127" s="2107"/>
      <c r="EF127" s="2106">
        <f>IFERROR(EG127/ED127*10,0)</f>
        <v>0</v>
      </c>
      <c r="EG127" s="2106">
        <f>SUM(P127,Z127,AJ127,AT127,BD127,BN127,BX127,CH127,CR127,DB127,DL127,DV127)</f>
        <v>0</v>
      </c>
      <c r="EH127" s="2106">
        <f>IFERROR(EI127/ED127*10,0)</f>
        <v>0</v>
      </c>
      <c r="EI127" s="2106">
        <f>SUM(R127,AB127,AL127,AV127,BF127,BP127,BZ127,CJ127,CT127,DD127,DN127,DX127)</f>
        <v>0</v>
      </c>
      <c r="EJ127" s="2106"/>
      <c r="EK127" s="2106">
        <f>SUM(T127,AD127,AN127,AX127,BH127,BR127,CB127,CL127,CV127,DF127,DP127,DZ127)</f>
        <v>0</v>
      </c>
      <c r="EL127" s="2106"/>
      <c r="EM127" s="2106"/>
      <c r="EN127" s="2106">
        <f>EG127+EI127+EK127</f>
        <v>0</v>
      </c>
      <c r="EO127" s="2104">
        <f>IFERROR(EN127/ED127*10,0)</f>
        <v>0</v>
      </c>
      <c r="EP127" s="2110"/>
    </row>
    <row r="128" spans="1:167">
      <c r="A128" s="1760"/>
      <c r="B128" s="1784" t="s">
        <v>1750</v>
      </c>
      <c r="C128" s="2112"/>
      <c r="D128" s="2113"/>
      <c r="E128" s="2114"/>
      <c r="F128" s="2113"/>
      <c r="G128" s="2107"/>
      <c r="I128" s="2139"/>
      <c r="J128" s="2140"/>
      <c r="K128" s="2101"/>
      <c r="L128" s="2101"/>
      <c r="M128" s="2105"/>
      <c r="N128" s="2140"/>
      <c r="O128" s="2140"/>
      <c r="P128" s="2140"/>
      <c r="Q128" s="2140"/>
      <c r="R128" s="2140"/>
      <c r="S128" s="2140"/>
      <c r="T128" s="2140"/>
      <c r="U128" s="2140"/>
      <c r="V128" s="2140"/>
      <c r="W128" s="2140"/>
      <c r="X128" s="2140"/>
      <c r="Y128" s="2140"/>
      <c r="Z128" s="2140"/>
      <c r="AA128" s="2140"/>
      <c r="AB128" s="2140"/>
      <c r="AC128" s="2140"/>
      <c r="AD128" s="2140"/>
      <c r="AE128" s="2140"/>
      <c r="AF128" s="2140"/>
      <c r="AG128" s="2140"/>
      <c r="AH128" s="2140"/>
      <c r="AI128" s="2140"/>
      <c r="AJ128" s="2140"/>
      <c r="AK128" s="2140"/>
      <c r="AL128" s="2140"/>
      <c r="AM128" s="2140"/>
      <c r="AN128" s="2140"/>
      <c r="AO128" s="2140"/>
      <c r="AP128" s="2140"/>
      <c r="AQ128" s="2140"/>
      <c r="AR128" s="2140"/>
      <c r="AS128" s="2140"/>
      <c r="AT128" s="2140"/>
      <c r="AU128" s="2140"/>
      <c r="AV128" s="2106"/>
      <c r="AW128" s="2140"/>
      <c r="AX128" s="2140"/>
      <c r="AY128" s="2141"/>
      <c r="AZ128" s="2140"/>
      <c r="BA128" s="2140"/>
      <c r="BB128" s="2140"/>
      <c r="BC128" s="2140"/>
      <c r="BD128" s="2140"/>
      <c r="BE128" s="2140"/>
      <c r="BF128" s="2106"/>
      <c r="BG128" s="2140"/>
      <c r="BH128" s="2140"/>
      <c r="BI128" s="2141"/>
      <c r="BJ128" s="2140"/>
      <c r="BK128" s="2140"/>
      <c r="BL128" s="2140"/>
      <c r="BM128" s="2140"/>
      <c r="BN128" s="2140"/>
      <c r="BO128" s="2140"/>
      <c r="BP128" s="2106"/>
      <c r="BQ128" s="2140"/>
      <c r="BR128" s="2140"/>
      <c r="BS128" s="2141"/>
      <c r="BT128" s="2140"/>
      <c r="BU128" s="2140"/>
      <c r="BV128" s="2140"/>
      <c r="BW128" s="2140"/>
      <c r="BX128" s="2140"/>
      <c r="BY128" s="2140"/>
      <c r="BZ128" s="2106"/>
      <c r="CA128" s="2140"/>
      <c r="CB128" s="2140"/>
      <c r="CC128" s="2141"/>
      <c r="CD128" s="2140"/>
      <c r="CE128" s="2140"/>
      <c r="CF128" s="2140"/>
      <c r="CG128" s="2140"/>
      <c r="CH128" s="2140"/>
      <c r="CI128" s="2140"/>
      <c r="CJ128" s="2106"/>
      <c r="CK128" s="2140"/>
      <c r="CL128" s="2140"/>
      <c r="CM128" s="2141"/>
      <c r="CN128" s="2140"/>
      <c r="CO128" s="2140"/>
      <c r="CP128" s="2106"/>
      <c r="CQ128" s="2106"/>
      <c r="CR128" s="2106"/>
      <c r="CS128" s="2106"/>
      <c r="CT128" s="2109"/>
      <c r="CU128" s="2140"/>
      <c r="CV128" s="2140"/>
      <c r="CW128" s="2141"/>
      <c r="CX128" s="2140"/>
      <c r="CY128" s="2140"/>
      <c r="CZ128" s="2106">
        <v>0</v>
      </c>
      <c r="DA128" s="2106">
        <f t="shared" si="189"/>
        <v>0</v>
      </c>
      <c r="DB128" s="2106">
        <v>0</v>
      </c>
      <c r="DC128" s="2106">
        <v>0</v>
      </c>
      <c r="DD128" s="2109">
        <f t="shared" si="190"/>
        <v>0</v>
      </c>
      <c r="DE128" s="2140"/>
      <c r="DF128" s="2140"/>
      <c r="DG128" s="2141"/>
      <c r="DH128" s="2140"/>
      <c r="DI128" s="2140"/>
      <c r="DJ128" s="2106">
        <v>0</v>
      </c>
      <c r="DK128" s="2106">
        <f t="shared" si="192"/>
        <v>0</v>
      </c>
      <c r="DL128" s="2106">
        <v>0</v>
      </c>
      <c r="DM128" s="2106">
        <v>0</v>
      </c>
      <c r="DN128" s="2109">
        <f t="shared" si="193"/>
        <v>0</v>
      </c>
      <c r="DO128" s="2140"/>
      <c r="DP128" s="2140"/>
      <c r="DQ128" s="2141"/>
      <c r="DR128" s="2140"/>
      <c r="DS128" s="2140"/>
      <c r="DT128" s="2106">
        <v>0</v>
      </c>
      <c r="DU128" s="2106">
        <f t="shared" si="195"/>
        <v>0</v>
      </c>
      <c r="DV128" s="2106">
        <v>0</v>
      </c>
      <c r="DW128" s="2106">
        <v>0</v>
      </c>
      <c r="DX128" s="2109">
        <f t="shared" si="196"/>
        <v>0</v>
      </c>
      <c r="DY128" s="2140"/>
      <c r="DZ128" s="2140"/>
      <c r="EA128" s="2140"/>
      <c r="EB128" s="2140"/>
      <c r="EC128" s="2140"/>
      <c r="ED128" s="2140"/>
      <c r="EE128" s="2107"/>
      <c r="EF128" s="2140"/>
      <c r="EG128" s="2140"/>
      <c r="EH128" s="2140"/>
      <c r="EI128" s="2140"/>
      <c r="EJ128" s="2140"/>
      <c r="EK128" s="2140"/>
      <c r="EL128" s="2140"/>
      <c r="EM128" s="2140"/>
      <c r="EN128" s="2106"/>
      <c r="EO128" s="2110"/>
      <c r="EP128" s="2110"/>
      <c r="ES128" s="2084">
        <f t="shared" si="187"/>
        <v>0</v>
      </c>
      <c r="EU128" s="2084">
        <f t="shared" si="198"/>
        <v>0</v>
      </c>
      <c r="EV128" s="2084">
        <f t="shared" si="199"/>
        <v>0</v>
      </c>
      <c r="EW128" s="2084" t="e">
        <f t="shared" si="200"/>
        <v>#DIV/0!</v>
      </c>
    </row>
    <row r="129" spans="1:153">
      <c r="A129" s="1760">
        <v>1</v>
      </c>
      <c r="B129" s="1761" t="s">
        <v>1751</v>
      </c>
      <c r="C129" s="2098" t="e">
        <v>#N/A</v>
      </c>
      <c r="D129" s="2099" t="e">
        <v>#N/A</v>
      </c>
      <c r="E129" s="2100"/>
      <c r="F129" s="2099"/>
      <c r="G129" s="2104">
        <v>396</v>
      </c>
      <c r="H129" s="2102" t="s">
        <v>1649</v>
      </c>
      <c r="I129" s="2103">
        <v>2</v>
      </c>
      <c r="J129" s="2104"/>
      <c r="K129" s="2101"/>
      <c r="L129" s="2101"/>
      <c r="M129" s="2105"/>
      <c r="N129" s="2106">
        <v>0</v>
      </c>
      <c r="O129" s="2106"/>
      <c r="P129" s="2106">
        <v>0</v>
      </c>
      <c r="Q129" s="2106"/>
      <c r="R129" s="2106">
        <v>0</v>
      </c>
      <c r="S129" s="2106"/>
      <c r="T129" s="2106">
        <v>0</v>
      </c>
      <c r="U129" s="2106"/>
      <c r="V129" s="2106"/>
      <c r="W129" s="2106"/>
      <c r="X129" s="2106">
        <v>0</v>
      </c>
      <c r="Y129" s="2106">
        <f>IFERROR(Z129/X129*10,0)</f>
        <v>0</v>
      </c>
      <c r="Z129" s="2106">
        <v>0</v>
      </c>
      <c r="AA129" s="2106">
        <f>IFERROR(AB129/X129*10,0)</f>
        <v>0</v>
      </c>
      <c r="AB129" s="2106">
        <v>0</v>
      </c>
      <c r="AC129" s="2106">
        <f>IFERROR(AD129/X129*10,0)</f>
        <v>0</v>
      </c>
      <c r="AD129" s="2106">
        <v>0</v>
      </c>
      <c r="AE129" s="2106"/>
      <c r="AF129" s="2106">
        <f>IFERROR(AG129/X129*10,0)</f>
        <v>0</v>
      </c>
      <c r="AG129" s="2106">
        <f>SUM(Z129,AB129,AD129,AE129)</f>
        <v>0</v>
      </c>
      <c r="AH129" s="2106">
        <v>0</v>
      </c>
      <c r="AI129" s="2106">
        <f>IFERROR(AJ129/AH129*10,0)</f>
        <v>0</v>
      </c>
      <c r="AJ129" s="2106">
        <v>0</v>
      </c>
      <c r="AK129" s="2106">
        <f>IFERROR(AL129/AH129*10,0)</f>
        <v>0</v>
      </c>
      <c r="AL129" s="2106">
        <v>0</v>
      </c>
      <c r="AM129" s="2106">
        <f>IFERROR(AN129/AH129*10,0)</f>
        <v>0</v>
      </c>
      <c r="AN129" s="2106">
        <v>0</v>
      </c>
      <c r="AO129" s="2106">
        <v>0</v>
      </c>
      <c r="AP129" s="2106">
        <f>IFERROR(AQ129/AH129*10,0)</f>
        <v>0</v>
      </c>
      <c r="AQ129" s="2106">
        <f>SUM(AJ129,AL129,AN129,AO129)</f>
        <v>0</v>
      </c>
      <c r="AR129" s="2106">
        <v>0</v>
      </c>
      <c r="AS129" s="2106">
        <f>IFERROR(AT129/AR129*10,0)</f>
        <v>0</v>
      </c>
      <c r="AT129" s="2106">
        <v>0</v>
      </c>
      <c r="AU129" s="2106">
        <f>IFERROR(AV129/AR129*10,0)</f>
        <v>0</v>
      </c>
      <c r="AV129" s="2106">
        <v>0</v>
      </c>
      <c r="AW129" s="2106">
        <f>IFERROR(AX129/AR129*10,0)</f>
        <v>0</v>
      </c>
      <c r="AX129" s="2106">
        <v>0</v>
      </c>
      <c r="AY129" s="2106"/>
      <c r="AZ129" s="2106">
        <f>IFERROR(BA129/AR129*10,0)</f>
        <v>0</v>
      </c>
      <c r="BA129" s="2106">
        <f>SUM(AT129,AV129,AX129,AY129)</f>
        <v>0</v>
      </c>
      <c r="BB129" s="2106">
        <v>0</v>
      </c>
      <c r="BC129" s="2106">
        <f>IFERROR(BD129/BB129*10,0)</f>
        <v>0</v>
      </c>
      <c r="BD129" s="2106">
        <v>0</v>
      </c>
      <c r="BE129" s="2106">
        <f>IFERROR(BF129/BB129*10,0)</f>
        <v>0</v>
      </c>
      <c r="BF129" s="2106">
        <v>0</v>
      </c>
      <c r="BG129" s="2106">
        <f>IFERROR(BH129/BB129*10,0)</f>
        <v>0</v>
      </c>
      <c r="BH129" s="2106">
        <v>0</v>
      </c>
      <c r="BI129" s="2106"/>
      <c r="BJ129" s="2106">
        <f>IFERROR(BK129/BB129*10,0)</f>
        <v>0</v>
      </c>
      <c r="BK129" s="2106">
        <f>SUM(BD129,BF129,BH129,BI129)</f>
        <v>0</v>
      </c>
      <c r="BL129" s="2106">
        <v>0</v>
      </c>
      <c r="BM129" s="2106">
        <f>IFERROR(BN129/BL129*10,0)</f>
        <v>0</v>
      </c>
      <c r="BN129" s="2106">
        <v>0</v>
      </c>
      <c r="BO129" s="2106">
        <f>IFERROR(BP129/BL129*10,0)</f>
        <v>0</v>
      </c>
      <c r="BP129" s="2106">
        <v>0</v>
      </c>
      <c r="BQ129" s="2106">
        <f>IFERROR(BR129/BL129*10,0)</f>
        <v>0</v>
      </c>
      <c r="BR129" s="2106">
        <v>0</v>
      </c>
      <c r="BS129" s="2106"/>
      <c r="BT129" s="2106">
        <f>IFERROR(BU129/BL129*10,0)</f>
        <v>0</v>
      </c>
      <c r="BU129" s="2106">
        <f>SUM(BN129,BP129,BR129,BS129)</f>
        <v>0</v>
      </c>
      <c r="BV129" s="2106">
        <v>0</v>
      </c>
      <c r="BW129" s="2106">
        <f>IFERROR(BX129/BV129*10,0)</f>
        <v>0</v>
      </c>
      <c r="BX129" s="2106">
        <v>0</v>
      </c>
      <c r="BY129" s="2106">
        <f>IFERROR(BZ129/BV129*10,0)</f>
        <v>0</v>
      </c>
      <c r="BZ129" s="2106">
        <v>0</v>
      </c>
      <c r="CA129" s="2106">
        <f>IFERROR(CB129/BV129*10,0)</f>
        <v>0</v>
      </c>
      <c r="CB129" s="2106">
        <v>0</v>
      </c>
      <c r="CC129" s="2106"/>
      <c r="CD129" s="2106">
        <f>IFERROR(CE129/BV129*10,0)</f>
        <v>0</v>
      </c>
      <c r="CE129" s="2106">
        <f>SUM(BX129,BZ129,CB129,CC129)</f>
        <v>0</v>
      </c>
      <c r="CF129" s="2106">
        <v>0</v>
      </c>
      <c r="CG129" s="2106">
        <f>IFERROR(CH129/CF129*10,0)</f>
        <v>0</v>
      </c>
      <c r="CH129" s="2106">
        <v>0</v>
      </c>
      <c r="CI129" s="2106">
        <f>IFERROR(CJ129/CF129*10,0)</f>
        <v>0</v>
      </c>
      <c r="CJ129" s="2106">
        <v>0</v>
      </c>
      <c r="CK129" s="2106">
        <f>IFERROR(CL129/CF129*10,0)</f>
        <v>0</v>
      </c>
      <c r="CL129" s="2106">
        <v>0</v>
      </c>
      <c r="CM129" s="2106"/>
      <c r="CN129" s="2106">
        <f>IFERROR(CO129/CF129*10,0)</f>
        <v>0</v>
      </c>
      <c r="CO129" s="2106">
        <f>SUM(CH129,CJ129,CL129,CM129)</f>
        <v>0</v>
      </c>
      <c r="CP129" s="2106">
        <v>0</v>
      </c>
      <c r="CQ129" s="2106">
        <f>IFERROR(CR129/CP129*10,0)</f>
        <v>0</v>
      </c>
      <c r="CR129" s="2106">
        <v>0</v>
      </c>
      <c r="CS129" s="2106">
        <f>IFERROR(CT129/CP129*10,0)</f>
        <v>0</v>
      </c>
      <c r="CT129" s="2106">
        <v>0</v>
      </c>
      <c r="CU129" s="2106">
        <f>IFERROR(CV129/CP129*10,0)</f>
        <v>0</v>
      </c>
      <c r="CV129" s="2106">
        <v>0</v>
      </c>
      <c r="CW129" s="2106"/>
      <c r="CX129" s="2106">
        <f>IFERROR(CY129/CP129*10,0)</f>
        <v>0</v>
      </c>
      <c r="CY129" s="2106">
        <f>SUM(CR129,CT129,CV129,CW129)</f>
        <v>0</v>
      </c>
      <c r="CZ129" s="2106">
        <v>0</v>
      </c>
      <c r="DA129" s="2106">
        <f t="shared" si="189"/>
        <v>0</v>
      </c>
      <c r="DB129" s="2106">
        <v>0</v>
      </c>
      <c r="DC129" s="2106">
        <v>0</v>
      </c>
      <c r="DD129" s="2109">
        <f t="shared" si="190"/>
        <v>0</v>
      </c>
      <c r="DE129" s="2106"/>
      <c r="DF129" s="2106"/>
      <c r="DG129" s="2106"/>
      <c r="DH129" s="2106"/>
      <c r="DI129" s="2106"/>
      <c r="DJ129" s="2106">
        <v>0</v>
      </c>
      <c r="DK129" s="2106">
        <f t="shared" si="192"/>
        <v>0</v>
      </c>
      <c r="DL129" s="2106">
        <v>0</v>
      </c>
      <c r="DM129" s="2106">
        <v>0</v>
      </c>
      <c r="DN129" s="2109">
        <f t="shared" si="193"/>
        <v>0</v>
      </c>
      <c r="DO129" s="2106"/>
      <c r="DP129" s="2106"/>
      <c r="DQ129" s="2106"/>
      <c r="DR129" s="2106"/>
      <c r="DS129" s="2106"/>
      <c r="DT129" s="2106">
        <v>0</v>
      </c>
      <c r="DU129" s="2106">
        <f t="shared" si="195"/>
        <v>0</v>
      </c>
      <c r="DV129" s="2106">
        <v>0</v>
      </c>
      <c r="DW129" s="2106">
        <v>0</v>
      </c>
      <c r="DX129" s="2109">
        <f t="shared" si="196"/>
        <v>0</v>
      </c>
      <c r="DY129" s="2106"/>
      <c r="DZ129" s="2106"/>
      <c r="EA129" s="2106"/>
      <c r="EB129" s="2106"/>
      <c r="EC129" s="2106"/>
      <c r="ED129" s="2106"/>
      <c r="EE129" s="2107"/>
      <c r="EF129" s="2106"/>
      <c r="EG129" s="2106"/>
      <c r="EH129" s="2106"/>
      <c r="EI129" s="2106"/>
      <c r="EJ129" s="2106"/>
      <c r="EK129" s="2106"/>
      <c r="EL129" s="2106"/>
      <c r="EM129" s="2106"/>
      <c r="EN129" s="2106"/>
      <c r="EO129" s="2110"/>
      <c r="EP129" s="2110"/>
      <c r="ES129" s="2084">
        <f t="shared" si="187"/>
        <v>0</v>
      </c>
      <c r="EU129" s="2084">
        <f t="shared" si="198"/>
        <v>0</v>
      </c>
      <c r="EV129" s="2084">
        <f t="shared" si="199"/>
        <v>0</v>
      </c>
      <c r="EW129" s="2084" t="e">
        <f t="shared" si="200"/>
        <v>#DIV/0!</v>
      </c>
    </row>
    <row r="130" spans="1:153" s="2096" customFormat="1">
      <c r="A130" s="1783"/>
      <c r="B130" s="1784" t="s">
        <v>211</v>
      </c>
      <c r="C130" s="2122" t="e">
        <f>SUM(C123:C129)</f>
        <v>#N/A</v>
      </c>
      <c r="D130" s="2123"/>
      <c r="E130" s="2124"/>
      <c r="F130" s="2123"/>
      <c r="G130" s="1879">
        <f>SUM(G123:G129)</f>
        <v>1115</v>
      </c>
      <c r="H130" s="2788"/>
      <c r="I130" s="2125"/>
      <c r="J130" s="2107"/>
      <c r="K130" s="2101"/>
      <c r="L130" s="2101"/>
      <c r="M130" s="2125"/>
      <c r="N130" s="2107">
        <f>SUM(N123:N129)</f>
        <v>82.619985</v>
      </c>
      <c r="O130" s="2107">
        <f>IFERROR(P130/N130*10,0)</f>
        <v>1.7266715068999345</v>
      </c>
      <c r="P130" s="2107">
        <f>SUM(P123:P129)</f>
        <v>14.265757399999998</v>
      </c>
      <c r="Q130" s="2107">
        <f>IFERROR(R130/N130*10,0)</f>
        <v>2.1622011308765066</v>
      </c>
      <c r="R130" s="2107">
        <f>SUM(R123:R129)</f>
        <v>17.864102500000001</v>
      </c>
      <c r="S130" s="2107">
        <f>IFERROR(T130/N130*10,0)</f>
        <v>3.0042247042286439E-3</v>
      </c>
      <c r="T130" s="2142">
        <f>SUM(T123:T129)</f>
        <v>2.48209E-2</v>
      </c>
      <c r="U130" s="2107"/>
      <c r="V130" s="2107">
        <f>IFERROR(W130/N130*10,0)</f>
        <v>3.8918768624806699</v>
      </c>
      <c r="W130" s="2107">
        <f>SUM(W123:W129)</f>
        <v>32.154680800000001</v>
      </c>
      <c r="X130" s="2107">
        <f>SUM(X123:X129)</f>
        <v>65.261335000000003</v>
      </c>
      <c r="Y130" s="2107">
        <f>IFERROR(Z130/X130*10,0)</f>
        <v>2.4896553219452224</v>
      </c>
      <c r="Z130" s="2107">
        <f>SUM(Z123:Z129)</f>
        <v>16.247823</v>
      </c>
      <c r="AA130" s="2107">
        <f>IFERROR(AB130/X130*10,0)</f>
        <v>2.3070735577198964</v>
      </c>
      <c r="AB130" s="2107">
        <f>SUM(AB123:AB129)</f>
        <v>15.056270032</v>
      </c>
      <c r="AC130" s="2107"/>
      <c r="AD130" s="2142">
        <f>SUM(AD123:AD129)</f>
        <v>3.3434400000000003E-2</v>
      </c>
      <c r="AE130" s="2107"/>
      <c r="AF130" s="2107">
        <f>IFERROR(AG130/X130*10,0)</f>
        <v>4.8018520356655285</v>
      </c>
      <c r="AG130" s="2107">
        <f>SUM(AG123:AG129)</f>
        <v>31.337527432000002</v>
      </c>
      <c r="AH130" s="2107">
        <f>SUM(AH123:AH129)</f>
        <v>108.89809000000001</v>
      </c>
      <c r="AI130" s="2107">
        <f>IFERROR(AJ130/AH130*10,0)</f>
        <v>2.0692207641107387</v>
      </c>
      <c r="AJ130" s="2107">
        <f>SUM(AJ123:AJ129)</f>
        <v>22.533418900000001</v>
      </c>
      <c r="AK130" s="2107">
        <f>IFERROR(AL130/AH130*10,0)</f>
        <v>2.2222861025386207</v>
      </c>
      <c r="AL130" s="2107">
        <f>SUM(AL123:AL129)</f>
        <v>24.2002712</v>
      </c>
      <c r="AM130" s="2107"/>
      <c r="AN130" s="2142">
        <f>SUM(AN123:AN129)</f>
        <v>0</v>
      </c>
      <c r="AO130" s="2142">
        <f>SUM(AO123:AO129)</f>
        <v>0</v>
      </c>
      <c r="AP130" s="2107">
        <f>IFERROR(AQ130/AH130*10,0)</f>
        <v>4.2915068666493594</v>
      </c>
      <c r="AQ130" s="2107">
        <f>SUM(AQ123:AQ129)</f>
        <v>46.733690099999997</v>
      </c>
      <c r="AR130" s="2107">
        <f>SUM(AR123:AR129)</f>
        <v>160.81718899999998</v>
      </c>
      <c r="AS130" s="2107">
        <f>IFERROR(AT130/AR130*10,0)</f>
        <v>1.6424387320934954</v>
      </c>
      <c r="AT130" s="2107">
        <f>SUM(AT123:AT129)</f>
        <v>26.413238</v>
      </c>
      <c r="AU130" s="2107">
        <f>IFERROR(AV130/AR130*10,0)</f>
        <v>2.1523372106696876</v>
      </c>
      <c r="AV130" s="2107">
        <f>SUM(AV123:AV129)</f>
        <v>34.613281999999998</v>
      </c>
      <c r="AW130" s="2107"/>
      <c r="AX130" s="2142">
        <f>SUM(AX123:AX129)</f>
        <v>-0.49826239999999999</v>
      </c>
      <c r="AY130" s="2107">
        <f>AY127</f>
        <v>433.54969519999997</v>
      </c>
      <c r="AZ130" s="2107">
        <f>IFERROR(BA130/AR130*10,0)</f>
        <v>30.722956661056919</v>
      </c>
      <c r="BA130" s="2107">
        <f>SUM(BA123:BA129)</f>
        <v>494.07795279999993</v>
      </c>
      <c r="BB130" s="2107">
        <f>SUM(BB123:BB129)</f>
        <v>218.53850199999999</v>
      </c>
      <c r="BC130" s="2107">
        <f>IFERROR(BD130/BB130*10,0)</f>
        <v>1.7673616569404325</v>
      </c>
      <c r="BD130" s="2107">
        <f>SUM(BD123:BD129)</f>
        <v>38.6236569</v>
      </c>
      <c r="BE130" s="2107">
        <f>IFERROR(BF130/BB130*10,0)</f>
        <v>2.1865351305464702</v>
      </c>
      <c r="BF130" s="2107">
        <f>SUM(BF123:BF129)</f>
        <v>47.784211200000001</v>
      </c>
      <c r="BG130" s="2107"/>
      <c r="BH130" s="2142">
        <f>SUM(BH123:BH129)</f>
        <v>0.2095564</v>
      </c>
      <c r="BI130" s="2107"/>
      <c r="BJ130" s="2107">
        <f>IFERROR(BK130/BB130*10,0)</f>
        <v>3.9634857797277299</v>
      </c>
      <c r="BK130" s="2107">
        <f>SUM(BK123:BK129)</f>
        <v>86.617424500000013</v>
      </c>
      <c r="BL130" s="2107">
        <f>SUM(BL123:BL129)</f>
        <v>242.63306200000002</v>
      </c>
      <c r="BM130" s="2107">
        <f>IFERROR(BN130/BL130*10,0)</f>
        <v>1.6416097695704799</v>
      </c>
      <c r="BN130" s="2107">
        <f>SUM(BN123:BN129)</f>
        <v>39.830880499999999</v>
      </c>
      <c r="BO130" s="2107">
        <f>IFERROR(BP130/BL130*10,0)</f>
        <v>2.2693428771055113</v>
      </c>
      <c r="BP130" s="2107">
        <f>SUM(BP123:BP129)</f>
        <v>55.061761099999998</v>
      </c>
      <c r="BQ130" s="2107"/>
      <c r="BR130" s="2142">
        <f>SUM(BR123:BR129)</f>
        <v>3.17828E-2</v>
      </c>
      <c r="BS130" s="2107"/>
      <c r="BT130" s="2107">
        <f>IFERROR(BU130/BL130*10,0)</f>
        <v>3.9122625588428663</v>
      </c>
      <c r="BU130" s="2107">
        <f>SUM(BU123:BU129)</f>
        <v>94.924424399999992</v>
      </c>
      <c r="BV130" s="2107">
        <f>SUM(BV123:BV129)</f>
        <v>245.51404700000001</v>
      </c>
      <c r="BW130" s="2107">
        <f>IFERROR(BX130/BV130*10,0)</f>
        <v>1.5011498873626565</v>
      </c>
      <c r="BX130" s="2107">
        <f>SUM(BX123:BX129)</f>
        <v>36.855338400000001</v>
      </c>
      <c r="BY130" s="2107">
        <f>IFERROR(BZ130/BV130*10,0)</f>
        <v>2.1917759333745983</v>
      </c>
      <c r="BZ130" s="2107">
        <f>SUM(BZ123:BZ129)</f>
        <v>53.811177951999994</v>
      </c>
      <c r="CA130" s="2107"/>
      <c r="CB130" s="2142">
        <f>SUM(CB123:CB129)</f>
        <v>3.462736</v>
      </c>
      <c r="CC130" s="2107"/>
      <c r="CD130" s="2107">
        <f>IFERROR(CE130/BV130*10,0)</f>
        <v>3.8339660602800456</v>
      </c>
      <c r="CE130" s="2107">
        <f>SUM(CE123:CE129)</f>
        <v>94.129252351999995</v>
      </c>
      <c r="CF130" s="2107">
        <f>SUM(CF123:CF129)</f>
        <v>109.64048200000001</v>
      </c>
      <c r="CG130" s="2107">
        <f>IFERROR(CH130/CF130*10,0)</f>
        <v>2.7830690857415235</v>
      </c>
      <c r="CH130" s="2107">
        <f>SUM(CH123:CH129)</f>
        <v>30.513703599999999</v>
      </c>
      <c r="CI130" s="2107">
        <f>IFERROR(CJ130/CF130*10,0)</f>
        <v>2.2616523344908317</v>
      </c>
      <c r="CJ130" s="2107">
        <f>SUM(CJ123:CJ129)</f>
        <v>24.796865207000003</v>
      </c>
      <c r="CK130" s="2107"/>
      <c r="CL130" s="2142">
        <f>SUM(CL123:CL129)</f>
        <v>3.4070133999999999</v>
      </c>
      <c r="CM130" s="2107"/>
      <c r="CN130" s="2107">
        <f>IFERROR(CO130/CF130*10,0)</f>
        <v>5.3554655302409202</v>
      </c>
      <c r="CO130" s="2107">
        <f>SUM(CO123:CO129)</f>
        <v>58.717582207000007</v>
      </c>
      <c r="CP130" s="2107">
        <f>SUM(CP123:CP129)</f>
        <v>140.74461099999999</v>
      </c>
      <c r="CQ130" s="2107">
        <f>IFERROR(CR130/CP130*10,0)</f>
        <v>0</v>
      </c>
      <c r="CR130" s="2107">
        <f>SUM(CR123:CR129)</f>
        <v>0</v>
      </c>
      <c r="CS130" s="2107">
        <f>IFERROR(CT130/CP130*10,0)</f>
        <v>4.7768796004558931</v>
      </c>
      <c r="CT130" s="2107">
        <f>SUM(CT123:CT129)</f>
        <v>67.232006116000008</v>
      </c>
      <c r="CU130" s="2107"/>
      <c r="CV130" s="2142">
        <f>SUM(CV123:CV129)</f>
        <v>0.14449734</v>
      </c>
      <c r="CW130" s="2107"/>
      <c r="CX130" s="2107">
        <f>IFERROR(CY130/CP130*10,0)</f>
        <v>4.7871462343947222</v>
      </c>
      <c r="CY130" s="2107">
        <f>SUM(CY123:CY129)</f>
        <v>67.376503455999995</v>
      </c>
      <c r="CZ130" s="2107">
        <f>SUM(CZ123:CZ129)</f>
        <v>152.17718759999997</v>
      </c>
      <c r="DA130" s="2107">
        <f t="shared" si="189"/>
        <v>2.0427944692480313</v>
      </c>
      <c r="DB130" s="2107">
        <f>SUM(DB123:DB129)</f>
        <v>31.086671717500003</v>
      </c>
      <c r="DC130" s="2107">
        <f>IFERROR(DD130/CZ130*10,0)</f>
        <v>2.0945181907650188</v>
      </c>
      <c r="DD130" s="2107">
        <f>SUM(DD123:DD129)</f>
        <v>31.873788764766083</v>
      </c>
      <c r="DE130" s="2107"/>
      <c r="DF130" s="2142">
        <f>SUM(DF123:DF129)</f>
        <v>0</v>
      </c>
      <c r="DG130" s="2107"/>
      <c r="DH130" s="2107">
        <f>IFERROR(DI130/CZ130*10,0)</f>
        <v>4.1373126600130501</v>
      </c>
      <c r="DI130" s="2107">
        <f>SUM(DI123:DI129)</f>
        <v>62.960460482266086</v>
      </c>
      <c r="DJ130" s="2107">
        <f>SUM(DJ123:DJ129)</f>
        <v>128.2167954</v>
      </c>
      <c r="DK130" s="2107">
        <f t="shared" si="192"/>
        <v>2.4245397508585684</v>
      </c>
      <c r="DL130" s="2107">
        <f>SUM(DL123:DL129)</f>
        <v>31.086671717500003</v>
      </c>
      <c r="DM130" s="2107">
        <f>IFERROR(DN130/DJ130*10,0)</f>
        <v>2.1000588724570548</v>
      </c>
      <c r="DN130" s="2107">
        <f>SUM(DN123:DN129)</f>
        <v>26.926281877778088</v>
      </c>
      <c r="DO130" s="2107"/>
      <c r="DP130" s="2142">
        <f>SUM(DP123:DP129)</f>
        <v>0</v>
      </c>
      <c r="DQ130" s="2107"/>
      <c r="DR130" s="2107">
        <f>IFERROR(DS130/DJ130*10,0)</f>
        <v>4.5245986233156232</v>
      </c>
      <c r="DS130" s="2107">
        <f>SUM(DS123:DS129)</f>
        <v>58.012953595278091</v>
      </c>
      <c r="DT130" s="2107">
        <f>SUM(DT123:DT129)</f>
        <v>133.21022977199999</v>
      </c>
      <c r="DU130" s="2107">
        <f t="shared" si="195"/>
        <v>2.3336549881121997</v>
      </c>
      <c r="DV130" s="2107">
        <f>SUM(DV123:DV129)</f>
        <v>31.086671717500003</v>
      </c>
      <c r="DW130" s="2107">
        <f>IFERROR(DX130/DT130*10,0)</f>
        <v>2.1087350804651024</v>
      </c>
      <c r="DX130" s="2107">
        <f>SUM(DX123:DX129)</f>
        <v>28.090508459703315</v>
      </c>
      <c r="DY130" s="2107"/>
      <c r="DZ130" s="2142">
        <f>SUM(DZ123:DZ129)</f>
        <v>0</v>
      </c>
      <c r="EA130" s="2107"/>
      <c r="EB130" s="2107">
        <f>IFERROR(EC130/DT130*10,0)</f>
        <v>4.4423900685773017</v>
      </c>
      <c r="EC130" s="2107">
        <f>SUM(EC123:EC129)</f>
        <v>59.177180177203319</v>
      </c>
      <c r="ED130" s="2107">
        <f>SUM(ED123:ED129)</f>
        <v>1788.2715157719999</v>
      </c>
      <c r="EE130" s="2107"/>
      <c r="EF130" s="2107"/>
      <c r="EG130" s="2107">
        <f>SUM(EG123:EG129)</f>
        <v>318.54383185250003</v>
      </c>
      <c r="EH130" s="2107"/>
      <c r="EI130" s="2107">
        <f>SUM(EI123:EI129)</f>
        <v>427.31052640924753</v>
      </c>
      <c r="EJ130" s="2107"/>
      <c r="EK130" s="2107">
        <f>SUM(EK123:EK129)</f>
        <v>6.8155788400000006</v>
      </c>
      <c r="EL130" s="2107"/>
      <c r="EM130" s="2107"/>
      <c r="EN130" s="2107">
        <f>SUM(EN123:EN129)</f>
        <v>752.66993710174756</v>
      </c>
      <c r="EO130" s="2101">
        <f>IFERROR(EN130/ED130*10,0)</f>
        <v>4.2089242626940724</v>
      </c>
      <c r="EP130" s="2126"/>
      <c r="ES130" s="2096">
        <f t="shared" si="187"/>
        <v>0</v>
      </c>
      <c r="EU130" s="2096">
        <f t="shared" si="198"/>
        <v>340.41994730700003</v>
      </c>
      <c r="EV130" s="2096">
        <f t="shared" si="199"/>
        <v>1374.6673030000002</v>
      </c>
      <c r="EW130" s="2096">
        <f t="shared" si="200"/>
        <v>2.4763806236176986</v>
      </c>
    </row>
    <row r="131" spans="1:153">
      <c r="A131" s="1760"/>
      <c r="B131" s="1761"/>
      <c r="C131" s="2116"/>
      <c r="D131" s="2117"/>
      <c r="E131" s="2118"/>
      <c r="F131" s="2117"/>
      <c r="G131" s="1774"/>
      <c r="J131" s="2106"/>
      <c r="K131" s="2101"/>
      <c r="L131" s="2101"/>
      <c r="M131" s="2105"/>
      <c r="N131" s="2106"/>
      <c r="O131" s="2106"/>
      <c r="P131" s="2106"/>
      <c r="Q131" s="2106"/>
      <c r="R131" s="2106"/>
      <c r="S131" s="2106"/>
      <c r="T131" s="2106"/>
      <c r="U131" s="2106"/>
      <c r="V131" s="2106"/>
      <c r="W131" s="2106"/>
      <c r="X131" s="2106"/>
      <c r="Y131" s="2106"/>
      <c r="Z131" s="2106"/>
      <c r="AA131" s="2106"/>
      <c r="AB131" s="2106"/>
      <c r="AC131" s="2106"/>
      <c r="AD131" s="2106"/>
      <c r="AE131" s="2106"/>
      <c r="AF131" s="2106"/>
      <c r="AG131" s="2106"/>
      <c r="AH131" s="2106"/>
      <c r="AI131" s="2106"/>
      <c r="AJ131" s="2106"/>
      <c r="AK131" s="2106"/>
      <c r="AL131" s="2106"/>
      <c r="AM131" s="2106"/>
      <c r="AN131" s="2106"/>
      <c r="AO131" s="2106"/>
      <c r="AP131" s="2106"/>
      <c r="AQ131" s="2106"/>
      <c r="AR131" s="2106"/>
      <c r="AS131" s="2106"/>
      <c r="AT131" s="2106"/>
      <c r="AU131" s="2106"/>
      <c r="AV131" s="2106"/>
      <c r="AW131" s="2106"/>
      <c r="AX131" s="2106"/>
      <c r="AY131" s="2120"/>
      <c r="AZ131" s="2106"/>
      <c r="BA131" s="2106"/>
      <c r="BB131" s="2106"/>
      <c r="BC131" s="2106"/>
      <c r="BD131" s="2106"/>
      <c r="BE131" s="2106"/>
      <c r="BF131" s="2106"/>
      <c r="BG131" s="2106"/>
      <c r="BH131" s="2106"/>
      <c r="BI131" s="2120"/>
      <c r="BJ131" s="2106"/>
      <c r="BK131" s="2106"/>
      <c r="BL131" s="2106"/>
      <c r="BM131" s="2106"/>
      <c r="BN131" s="2106"/>
      <c r="BO131" s="2106"/>
      <c r="BP131" s="2106"/>
      <c r="BQ131" s="2106"/>
      <c r="BR131" s="2106"/>
      <c r="BS131" s="2120"/>
      <c r="BT131" s="2106"/>
      <c r="BU131" s="2106"/>
      <c r="BV131" s="2106"/>
      <c r="BW131" s="2106"/>
      <c r="BX131" s="2106"/>
      <c r="BY131" s="2106"/>
      <c r="BZ131" s="2106"/>
      <c r="CA131" s="2106"/>
      <c r="CB131" s="2106"/>
      <c r="CC131" s="2120"/>
      <c r="CD131" s="2106"/>
      <c r="CE131" s="2106"/>
      <c r="CF131" s="2106"/>
      <c r="CG131" s="2106"/>
      <c r="CH131" s="2106"/>
      <c r="CI131" s="2106"/>
      <c r="CJ131" s="2106"/>
      <c r="CK131" s="2106"/>
      <c r="CL131" s="2106"/>
      <c r="CM131" s="2120"/>
      <c r="CN131" s="2106"/>
      <c r="CO131" s="2106"/>
      <c r="CP131" s="2106"/>
      <c r="CQ131" s="2106"/>
      <c r="CR131" s="2106"/>
      <c r="CS131" s="2106"/>
      <c r="CT131" s="2109"/>
      <c r="CU131" s="2106"/>
      <c r="CV131" s="2106"/>
      <c r="CW131" s="2120"/>
      <c r="CX131" s="2106"/>
      <c r="CY131" s="2106"/>
      <c r="CZ131" s="2106"/>
      <c r="DA131" s="2106"/>
      <c r="DB131" s="2106"/>
      <c r="DC131" s="2106"/>
      <c r="DD131" s="2109"/>
      <c r="DE131" s="2106"/>
      <c r="DF131" s="2106"/>
      <c r="DG131" s="2120"/>
      <c r="DH131" s="2106"/>
      <c r="DI131" s="2106"/>
      <c r="DJ131" s="2106"/>
      <c r="DK131" s="2106"/>
      <c r="DL131" s="2106"/>
      <c r="DM131" s="2106"/>
      <c r="DN131" s="2109"/>
      <c r="DO131" s="2106"/>
      <c r="DP131" s="2106"/>
      <c r="DQ131" s="2120"/>
      <c r="DR131" s="2106"/>
      <c r="DS131" s="2106"/>
      <c r="DT131" s="2106"/>
      <c r="DU131" s="2106"/>
      <c r="DV131" s="2106"/>
      <c r="DW131" s="2106"/>
      <c r="DX131" s="2109"/>
      <c r="DY131" s="2106"/>
      <c r="DZ131" s="2106"/>
      <c r="EA131" s="2106"/>
      <c r="EB131" s="2106"/>
      <c r="EC131" s="2106"/>
      <c r="ED131" s="2106"/>
      <c r="EE131" s="2107"/>
      <c r="EF131" s="2106"/>
      <c r="EG131" s="2106"/>
      <c r="EH131" s="2106"/>
      <c r="EI131" s="2106"/>
      <c r="EJ131" s="2106"/>
      <c r="EK131" s="2106"/>
      <c r="EL131" s="2106"/>
      <c r="EM131" s="2106"/>
      <c r="EN131" s="2106"/>
      <c r="EO131" s="2110"/>
      <c r="EP131" s="2110"/>
      <c r="ES131" s="2084">
        <f t="shared" si="187"/>
        <v>0</v>
      </c>
      <c r="EU131" s="2084">
        <f t="shared" si="198"/>
        <v>0</v>
      </c>
      <c r="EV131" s="2084">
        <f t="shared" si="199"/>
        <v>0</v>
      </c>
      <c r="EW131" s="2084" t="e">
        <f t="shared" si="200"/>
        <v>#DIV/0!</v>
      </c>
    </row>
    <row r="132" spans="1:153">
      <c r="A132" s="1783" t="s">
        <v>129</v>
      </c>
      <c r="B132" s="1761" t="s">
        <v>1752</v>
      </c>
      <c r="C132" s="2116"/>
      <c r="D132" s="2117"/>
      <c r="E132" s="2118"/>
      <c r="F132" s="2117"/>
      <c r="G132" s="1774"/>
      <c r="H132" s="2102"/>
      <c r="I132" s="2103"/>
      <c r="J132" s="2104"/>
      <c r="K132" s="2101"/>
      <c r="L132" s="2101"/>
      <c r="M132" s="2105"/>
      <c r="N132" s="2106"/>
      <c r="O132" s="2106"/>
      <c r="P132" s="2106"/>
      <c r="Q132" s="2106"/>
      <c r="R132" s="2106"/>
      <c r="S132" s="2106"/>
      <c r="T132" s="2106"/>
      <c r="U132" s="2106"/>
      <c r="V132" s="2106"/>
      <c r="W132" s="2106"/>
      <c r="X132" s="2106"/>
      <c r="Y132" s="2106"/>
      <c r="Z132" s="2106"/>
      <c r="AA132" s="2106"/>
      <c r="AB132" s="2106"/>
      <c r="AC132" s="2106"/>
      <c r="AD132" s="2106"/>
      <c r="AE132" s="2106"/>
      <c r="AF132" s="2106"/>
      <c r="AG132" s="2106"/>
      <c r="AH132" s="2106"/>
      <c r="AI132" s="2106"/>
      <c r="AJ132" s="2106"/>
      <c r="AK132" s="2106"/>
      <c r="AL132" s="2106"/>
      <c r="AM132" s="2106"/>
      <c r="AN132" s="2106"/>
      <c r="AO132" s="2106"/>
      <c r="AP132" s="2106"/>
      <c r="AQ132" s="2106"/>
      <c r="AR132" s="2106"/>
      <c r="AS132" s="2106"/>
      <c r="AT132" s="2106"/>
      <c r="AU132" s="2106"/>
      <c r="AV132" s="2106"/>
      <c r="AW132" s="2106"/>
      <c r="AX132" s="2106"/>
      <c r="AY132" s="2120"/>
      <c r="AZ132" s="2106"/>
      <c r="BA132" s="2106"/>
      <c r="BB132" s="2106"/>
      <c r="BC132" s="2106"/>
      <c r="BD132" s="2106"/>
      <c r="BE132" s="2106"/>
      <c r="BF132" s="2106"/>
      <c r="BG132" s="2106"/>
      <c r="BH132" s="2106"/>
      <c r="BI132" s="2120"/>
      <c r="BJ132" s="2106"/>
      <c r="BK132" s="2106"/>
      <c r="BL132" s="2106"/>
      <c r="BM132" s="2106"/>
      <c r="BN132" s="2106"/>
      <c r="BO132" s="2106"/>
      <c r="BP132" s="2106"/>
      <c r="BQ132" s="2106"/>
      <c r="BR132" s="2106"/>
      <c r="BS132" s="2120"/>
      <c r="BT132" s="2106"/>
      <c r="BU132" s="2106"/>
      <c r="BV132" s="2106"/>
      <c r="BW132" s="2106"/>
      <c r="BX132" s="2106"/>
      <c r="BY132" s="2106"/>
      <c r="BZ132" s="2106"/>
      <c r="CA132" s="2106"/>
      <c r="CB132" s="2106"/>
      <c r="CC132" s="2120"/>
      <c r="CD132" s="2106"/>
      <c r="CE132" s="2106"/>
      <c r="CF132" s="2106"/>
      <c r="CG132" s="2106"/>
      <c r="CH132" s="2106"/>
      <c r="CI132" s="2106"/>
      <c r="CJ132" s="2106"/>
      <c r="CK132" s="2106"/>
      <c r="CL132" s="2106"/>
      <c r="CM132" s="2120"/>
      <c r="CN132" s="2106"/>
      <c r="CO132" s="2106"/>
      <c r="CP132" s="2106"/>
      <c r="CQ132" s="2106"/>
      <c r="CR132" s="2106"/>
      <c r="CS132" s="2106"/>
      <c r="CT132" s="2109"/>
      <c r="CU132" s="2106"/>
      <c r="CV132" s="2106"/>
      <c r="CW132" s="2120"/>
      <c r="CX132" s="2106"/>
      <c r="CY132" s="2106"/>
      <c r="CZ132" s="2106"/>
      <c r="DA132" s="2106"/>
      <c r="DB132" s="2106"/>
      <c r="DC132" s="2106"/>
      <c r="DD132" s="2109"/>
      <c r="DE132" s="2106"/>
      <c r="DF132" s="2106"/>
      <c r="DG132" s="2120"/>
      <c r="DH132" s="2106"/>
      <c r="DI132" s="2106"/>
      <c r="DJ132" s="2106"/>
      <c r="DK132" s="2106"/>
      <c r="DL132" s="2106"/>
      <c r="DM132" s="2106"/>
      <c r="DN132" s="2109"/>
      <c r="DO132" s="2106"/>
      <c r="DP132" s="2106"/>
      <c r="DQ132" s="2120"/>
      <c r="DR132" s="2106"/>
      <c r="DS132" s="2106"/>
      <c r="DT132" s="2106"/>
      <c r="DU132" s="2106"/>
      <c r="DV132" s="2106"/>
      <c r="DW132" s="2106"/>
      <c r="DX132" s="2109"/>
      <c r="DY132" s="2106"/>
      <c r="DZ132" s="2106"/>
      <c r="EA132" s="2106"/>
      <c r="EB132" s="2106"/>
      <c r="EC132" s="2106"/>
      <c r="ED132" s="2106"/>
      <c r="EE132" s="2107"/>
      <c r="EF132" s="2106"/>
      <c r="EG132" s="2106"/>
      <c r="EH132" s="2106"/>
      <c r="EI132" s="2106"/>
      <c r="EJ132" s="2106"/>
      <c r="EK132" s="2106"/>
      <c r="EL132" s="2106"/>
      <c r="EM132" s="2106"/>
      <c r="EN132" s="2106"/>
      <c r="EO132" s="2110"/>
      <c r="EP132" s="2110"/>
      <c r="ES132" s="2084">
        <f t="shared" si="187"/>
        <v>0</v>
      </c>
      <c r="EU132" s="2084">
        <f t="shared" si="198"/>
        <v>0</v>
      </c>
      <c r="EV132" s="2084">
        <f t="shared" si="199"/>
        <v>0</v>
      </c>
      <c r="EW132" s="2084" t="e">
        <f t="shared" si="200"/>
        <v>#DIV/0!</v>
      </c>
    </row>
    <row r="133" spans="1:153">
      <c r="A133" s="1783">
        <v>1</v>
      </c>
      <c r="B133" s="1761" t="s">
        <v>1753</v>
      </c>
      <c r="C133" s="2098">
        <v>412</v>
      </c>
      <c r="D133" s="2099">
        <v>0.13757281553398057</v>
      </c>
      <c r="E133" s="2100"/>
      <c r="F133" s="2099">
        <v>0.51855949210100427</v>
      </c>
      <c r="G133" s="2104">
        <v>57</v>
      </c>
      <c r="H133" s="2102" t="s">
        <v>1717</v>
      </c>
      <c r="I133" s="2103">
        <v>1</v>
      </c>
      <c r="J133" s="2104"/>
      <c r="K133" s="2101"/>
      <c r="L133" s="2101"/>
      <c r="M133" s="2105"/>
      <c r="N133" s="2106">
        <v>11.887017</v>
      </c>
      <c r="O133" s="2106">
        <f>IFERROR(P133/N133*10,0)</f>
        <v>6.2863445051016589</v>
      </c>
      <c r="P133" s="2106">
        <v>7.4725884000000002</v>
      </c>
      <c r="Q133" s="2106">
        <f>IFERROR(R133/N133*10,0)</f>
        <v>2.1210001634556424</v>
      </c>
      <c r="R133" s="2106">
        <v>2.5212365000000001</v>
      </c>
      <c r="S133" s="2106">
        <f>IFERROR(T133/N133*10,0)</f>
        <v>-4.2520423753074466E-2</v>
      </c>
      <c r="T133" s="2106">
        <v>-5.0544100000000002E-2</v>
      </c>
      <c r="U133" s="2106"/>
      <c r="V133" s="2106">
        <f>IFERROR(W133/N133*10,0)</f>
        <v>8.3648242448042271</v>
      </c>
      <c r="W133" s="2106">
        <f>SUM(P133,R133,T133,U133)</f>
        <v>9.9432808000000001</v>
      </c>
      <c r="X133" s="2106">
        <v>26.513041000000001</v>
      </c>
      <c r="Y133" s="2106">
        <f>IFERROR(Z133/X133*10,0)</f>
        <v>2.9465644850019279</v>
      </c>
      <c r="Z133" s="2106">
        <v>7.8122385000000003</v>
      </c>
      <c r="AA133" s="2106">
        <f>IFERROR(AB133/X133*10,0)</f>
        <v>2.1209999260363985</v>
      </c>
      <c r="AB133" s="2106">
        <v>5.6234158000000001</v>
      </c>
      <c r="AC133" s="2106">
        <f>IFERROR(AD133/X133*10,0)</f>
        <v>1.5287684275824866E-2</v>
      </c>
      <c r="AD133" s="2106">
        <v>4.05323E-2</v>
      </c>
      <c r="AE133" s="2106"/>
      <c r="AF133" s="2106">
        <f>IFERROR(AG133/X133*10,0)</f>
        <v>5.0828520953141512</v>
      </c>
      <c r="AG133" s="2106">
        <f>SUM(Z133,AB133,AD133,AE133)</f>
        <v>13.4761866</v>
      </c>
      <c r="AH133" s="2106">
        <v>52.072951000000003</v>
      </c>
      <c r="AI133" s="2106">
        <f>IFERROR(AJ133/AH133*10,0)</f>
        <v>1.4773891919434332</v>
      </c>
      <c r="AJ133" s="2106">
        <v>7.6932014999999998</v>
      </c>
      <c r="AK133" s="2106">
        <f>IFERROR(AL133/AH133*10,0)</f>
        <v>2.159000015190228</v>
      </c>
      <c r="AL133" s="2106">
        <v>11.2425502</v>
      </c>
      <c r="AM133" s="2106">
        <f>IFERROR(AN133/AH133*10,0)</f>
        <v>0</v>
      </c>
      <c r="AN133" s="2106">
        <v>0</v>
      </c>
      <c r="AO133" s="2106">
        <v>1.636E-2</v>
      </c>
      <c r="AP133" s="2106">
        <f>IFERROR(AQ133/AH133*10,0)</f>
        <v>3.6395309534118776</v>
      </c>
      <c r="AQ133" s="2106">
        <f>SUM(AJ133,AL133,AN133,AO133)</f>
        <v>18.9521117</v>
      </c>
      <c r="AR133" s="2106">
        <v>58.634267999999999</v>
      </c>
      <c r="AS133" s="2106">
        <f>IFERROR(AT133/AR133*10,0)</f>
        <v>1.3550157904248075</v>
      </c>
      <c r="AT133" s="2106">
        <v>7.9450358999999997</v>
      </c>
      <c r="AU133" s="2106">
        <f>IFERROR(AV133/AR133*10,0)</f>
        <v>2.1590000066172905</v>
      </c>
      <c r="AV133" s="2106">
        <v>12.659138499999999</v>
      </c>
      <c r="AW133" s="2106">
        <f>IFERROR(AX133/AR133*10,0)</f>
        <v>0.49886982472434038</v>
      </c>
      <c r="AX133" s="2106">
        <v>2.9250867</v>
      </c>
      <c r="AY133" s="2106"/>
      <c r="AZ133" s="2106">
        <f>IFERROR(BA133/AR133*10,0)</f>
        <v>4.012885621766439</v>
      </c>
      <c r="BA133" s="2106">
        <f>SUM(AT133,AV133,AX133,AY133)</f>
        <v>23.529261099999999</v>
      </c>
      <c r="BB133" s="2106">
        <v>56.997667999999997</v>
      </c>
      <c r="BC133" s="2106">
        <f>IFERROR(BD133/BB133*10,0)</f>
        <v>1.3762839911274969</v>
      </c>
      <c r="BD133" s="2106">
        <v>7.8444978000000001</v>
      </c>
      <c r="BE133" s="2106">
        <f>IFERROR(BF133/BB133*10,0)</f>
        <v>2.1589999962805493</v>
      </c>
      <c r="BF133" s="2106">
        <v>12.3057965</v>
      </c>
      <c r="BG133" s="2106">
        <f>IFERROR(BH133/BB133*10,0)</f>
        <v>0.51319196076583351</v>
      </c>
      <c r="BH133" s="2106">
        <v>2.9250745</v>
      </c>
      <c r="BI133" s="2106"/>
      <c r="BJ133" s="2106">
        <f>IFERROR(BK133/BB133*10,0)</f>
        <v>4.0484759481738797</v>
      </c>
      <c r="BK133" s="2106">
        <f>SUM(BD133,BF133,BH133,BI133)</f>
        <v>23.0753688</v>
      </c>
      <c r="BL133" s="2106">
        <v>49.001686999999997</v>
      </c>
      <c r="BM133" s="2106">
        <f>IFERROR(BN133/BL133*10,0)</f>
        <v>1.5690775095151319</v>
      </c>
      <c r="BN133" s="2106">
        <v>7.6887445000000003</v>
      </c>
      <c r="BO133" s="2106">
        <f>IFERROR(BP133/BL133*10,0)</f>
        <v>2.158999995245062</v>
      </c>
      <c r="BP133" s="2106">
        <v>10.5794642</v>
      </c>
      <c r="BQ133" s="2106">
        <f>IFERROR(BR133/BL133*10,0)</f>
        <v>0.60163012346901446</v>
      </c>
      <c r="BR133" s="2106">
        <v>2.9480890999999998</v>
      </c>
      <c r="BS133" s="2106"/>
      <c r="BT133" s="2106">
        <f>IFERROR(BU133/BL133*10,0)</f>
        <v>4.3297076282292082</v>
      </c>
      <c r="BU133" s="2106">
        <f>SUM(BN133,BP133,BR133,BS133)</f>
        <v>21.216297800000003</v>
      </c>
      <c r="BV133" s="2106">
        <v>22.883614000000001</v>
      </c>
      <c r="BW133" s="2106">
        <f>IFERROR(BX133/BV133*10,0)</f>
        <v>2.8822860322674555</v>
      </c>
      <c r="BX133" s="2106">
        <v>6.5957121000000001</v>
      </c>
      <c r="BY133" s="2106">
        <f>IFERROR(BZ133/BV133*10,0)</f>
        <v>2.1590000163435725</v>
      </c>
      <c r="BZ133" s="2106">
        <v>4.9405723000000004</v>
      </c>
      <c r="CA133" s="2106">
        <f>IFERROR(CB133/BV133*10,0)</f>
        <v>1.2778868320362335</v>
      </c>
      <c r="CB133" s="2106">
        <v>2.9242669000000001</v>
      </c>
      <c r="CC133" s="2106"/>
      <c r="CD133" s="2106">
        <f>IFERROR(CE133/BV133*10,0)</f>
        <v>6.31917288064726</v>
      </c>
      <c r="CE133" s="2106">
        <f>SUM(BX133,BZ133,CB133,CC133)</f>
        <v>14.460551299999999</v>
      </c>
      <c r="CF133" s="2106">
        <v>12.892374999999999</v>
      </c>
      <c r="CG133" s="2106">
        <f>IFERROR(CH133/CF133*10,0)</f>
        <v>4.9240681410523663</v>
      </c>
      <c r="CH133" s="2106">
        <v>6.3482932999999999</v>
      </c>
      <c r="CI133" s="2106">
        <f>IFERROR(CJ133/CF133*10,0)</f>
        <v>2.1589999515217331</v>
      </c>
      <c r="CJ133" s="2106">
        <v>2.7834637</v>
      </c>
      <c r="CK133" s="2106">
        <f>IFERROR(CL133/CF133*10,0)</f>
        <v>3.3940284858298027</v>
      </c>
      <c r="CL133" s="2106">
        <v>4.3757088</v>
      </c>
      <c r="CM133" s="2106"/>
      <c r="CN133" s="2106">
        <f>IFERROR(CO133/CF133*10,0)</f>
        <v>10.477096578403902</v>
      </c>
      <c r="CO133" s="2106">
        <f>SUM(CH133,CJ133,CL133,CM133)</f>
        <v>13.5074658</v>
      </c>
      <c r="CP133" s="2106">
        <v>10.022664000000001</v>
      </c>
      <c r="CQ133" s="2106">
        <f t="shared" ref="CQ133:CQ167" si="301">IFERROR(CR133/CP133*10,0)</f>
        <v>7.4664031439146319</v>
      </c>
      <c r="CR133" s="2106">
        <v>7.4833249999999998</v>
      </c>
      <c r="CS133" s="2106">
        <f>IFERROR(CT133/CP133*10,0)</f>
        <v>2.1589999425302495</v>
      </c>
      <c r="CT133" s="2106">
        <v>2.1638931000000001</v>
      </c>
      <c r="CU133" s="2106">
        <f>IFERROR(CV133/CP133*10,0)</f>
        <v>3.5600315445075276E-3</v>
      </c>
      <c r="CV133" s="2106">
        <v>3.5680999999999998E-3</v>
      </c>
      <c r="CW133" s="2106"/>
      <c r="CX133" s="2106">
        <f>IFERROR(CY133/CP133*10,0)</f>
        <v>9.6289631179893895</v>
      </c>
      <c r="CY133" s="2106">
        <f>SUM(CR133,CT133,CV133,CW133)</f>
        <v>9.6507862000000006</v>
      </c>
      <c r="CZ133" s="2106">
        <v>8.9753130999999993</v>
      </c>
      <c r="DA133" s="2106">
        <f t="shared" si="189"/>
        <v>7.8349760299727027</v>
      </c>
      <c r="DB133" s="2106">
        <v>7.0321362999999986</v>
      </c>
      <c r="DC133" s="2106">
        <v>1.6377595836621814</v>
      </c>
      <c r="DD133" s="2109">
        <f>DC133*CZ133/10</f>
        <v>1.4699405045893721</v>
      </c>
      <c r="DE133" s="2106"/>
      <c r="DF133" s="2106"/>
      <c r="DG133" s="2106"/>
      <c r="DH133" s="2106">
        <f>IFERROR(DI133/CZ133*10,0)</f>
        <v>9.4727356136348835</v>
      </c>
      <c r="DI133" s="2106">
        <f>SUM(DB133,DD133,DF133,DG133)</f>
        <v>8.50207680458937</v>
      </c>
      <c r="DJ133" s="2106">
        <v>7.5806644000000007</v>
      </c>
      <c r="DK133" s="2106">
        <f t="shared" si="192"/>
        <v>9.276411576800573</v>
      </c>
      <c r="DL133" s="2106">
        <v>7.0321362999999986</v>
      </c>
      <c r="DM133" s="2106">
        <v>1.6377595836621814</v>
      </c>
      <c r="DN133" s="2109">
        <f>DM133*DJ133/10</f>
        <v>1.2415305771626721</v>
      </c>
      <c r="DO133" s="2106"/>
      <c r="DP133" s="2106"/>
      <c r="DQ133" s="2106"/>
      <c r="DR133" s="2106">
        <f>IFERROR(DS133/DJ133*10,0)</f>
        <v>10.914171160462756</v>
      </c>
      <c r="DS133" s="2106">
        <f>SUM(DL133,DN133,DP133,DQ133)</f>
        <v>8.27366687716267</v>
      </c>
      <c r="DT133" s="2106">
        <v>9.063129</v>
      </c>
      <c r="DU133" s="2106">
        <f t="shared" si="195"/>
        <v>7.7590601435773436</v>
      </c>
      <c r="DV133" s="2106">
        <v>7.0321362999999986</v>
      </c>
      <c r="DW133" s="2106">
        <v>1.6377595836621814</v>
      </c>
      <c r="DX133" s="2109">
        <f>DW133*DT133/10</f>
        <v>1.4843226377716643</v>
      </c>
      <c r="DY133" s="2106"/>
      <c r="DZ133" s="2106"/>
      <c r="EA133" s="2106"/>
      <c r="EB133" s="2106">
        <f>IFERROR(EC133/DT133*10,0)</f>
        <v>9.3968197272395244</v>
      </c>
      <c r="EC133" s="2106">
        <f>SUM(DV133,DX133,DZ133,EA133)</f>
        <v>8.5164589377716631</v>
      </c>
      <c r="ED133" s="2106">
        <f>SUM(N133,X133,AH133,AR133,BB133,BL133,BV133,CF133,CP133,CZ133,DJ133,DT133)</f>
        <v>326.52439150000004</v>
      </c>
      <c r="EE133" s="2107"/>
      <c r="EF133" s="2106">
        <f>IFERROR(EG133/ED133*10,0)</f>
        <v>2.6944402375526666</v>
      </c>
      <c r="EG133" s="2106">
        <f>SUM(P133,Z133,AJ133,AT133,BD133,BN133,BX133,CH133,CR133,DB133,DL133,DV133)</f>
        <v>87.980045900000007</v>
      </c>
      <c r="EH133" s="2106">
        <f>IFERROR(EI133/ED133*10,0)</f>
        <v>2.1136345803288545</v>
      </c>
      <c r="EI133" s="2106">
        <f>SUM(R133,AB133,AL133,AV133,BF133,BP133,BZ133,CJ133,CT133,DD133,DN133,DX133)</f>
        <v>69.015324519523716</v>
      </c>
      <c r="EJ133" s="2106"/>
      <c r="EK133" s="2106">
        <f>SUM(T133,AD133,AN133,AX133,BH133,BR133,CB133,CL133,CV133,DF133,DP133,DZ133)</f>
        <v>16.091782299999995</v>
      </c>
      <c r="EL133" s="2106"/>
      <c r="EM133" s="2106"/>
      <c r="EN133" s="2106">
        <f>EG133+EI133+EK133</f>
        <v>173.08715271952374</v>
      </c>
      <c r="EO133" s="2104">
        <f>IFERROR(EN133/ED133*10,0)</f>
        <v>5.3008950395524659</v>
      </c>
      <c r="EP133" s="2110"/>
      <c r="ES133" s="2084">
        <f t="shared" si="187"/>
        <v>0</v>
      </c>
      <c r="EU133" s="2084">
        <f t="shared" si="198"/>
        <v>64.819530799999995</v>
      </c>
      <c r="EV133" s="2084">
        <f t="shared" si="199"/>
        <v>300.90528500000005</v>
      </c>
      <c r="EW133" s="2084">
        <f t="shared" si="200"/>
        <v>2.154150625835634</v>
      </c>
    </row>
    <row r="134" spans="1:153">
      <c r="A134" s="1783">
        <v>2</v>
      </c>
      <c r="B134" s="1761" t="s">
        <v>1754</v>
      </c>
      <c r="C134" s="2098">
        <v>1500</v>
      </c>
      <c r="D134" s="2099">
        <v>0.14733333333333334</v>
      </c>
      <c r="E134" s="2100"/>
      <c r="F134" s="2099">
        <v>0.51637339299951102</v>
      </c>
      <c r="G134" s="2104">
        <v>221</v>
      </c>
      <c r="H134" s="2102" t="s">
        <v>1717</v>
      </c>
      <c r="I134" s="2103">
        <v>1</v>
      </c>
      <c r="J134" s="2104"/>
      <c r="K134" s="2101"/>
      <c r="L134" s="2101"/>
      <c r="M134" s="2105"/>
      <c r="N134" s="2106">
        <v>46.394283999999999</v>
      </c>
      <c r="O134" s="2106">
        <f>IFERROR(P134/N134*10,0)</f>
        <v>3.0785409685382796</v>
      </c>
      <c r="P134" s="2106">
        <v>14.282670400000001</v>
      </c>
      <c r="Q134" s="2106">
        <f>IFERROR(R134/N134*10,0)</f>
        <v>1.1379999958615592</v>
      </c>
      <c r="R134" s="2106">
        <v>5.2796694999999998</v>
      </c>
      <c r="S134" s="2106">
        <f>IFERROR(T134/N134*10,0)</f>
        <v>-5.1900596202756361E-2</v>
      </c>
      <c r="T134" s="2106">
        <v>-0.24078910000000001</v>
      </c>
      <c r="U134" s="2106"/>
      <c r="V134" s="2106">
        <f>IFERROR(W134/N134*10,0)</f>
        <v>4.1646403681970821</v>
      </c>
      <c r="W134" s="2106">
        <f>SUM(P134,R134,T134,U134)</f>
        <v>19.321550800000001</v>
      </c>
      <c r="X134" s="2106">
        <v>103.57924199999999</v>
      </c>
      <c r="Y134" s="2106">
        <f>IFERROR(Z134/X134*10,0)</f>
        <v>1.442518067471473</v>
      </c>
      <c r="Z134" s="2106">
        <v>14.941492800000001</v>
      </c>
      <c r="AA134" s="2106">
        <f>IFERROR(AB134/X134*10,0)</f>
        <v>1.1380000058312842</v>
      </c>
      <c r="AB134" s="2106">
        <v>11.7873178</v>
      </c>
      <c r="AC134" s="2106">
        <f>IFERROR(AD134/X134*10,0)</f>
        <v>1.5788298585927094E-3</v>
      </c>
      <c r="AD134" s="2106">
        <v>1.6353400000000001E-2</v>
      </c>
      <c r="AE134" s="2106"/>
      <c r="AF134" s="2106">
        <f>IFERROR(AG134/X134*10,0)</f>
        <v>2.5820969031613501</v>
      </c>
      <c r="AG134" s="2106">
        <f>SUM(Z134,AB134,AD134,AE134)</f>
        <v>26.745164000000003</v>
      </c>
      <c r="AH134" s="2106">
        <v>205.36933099999999</v>
      </c>
      <c r="AI134" s="2106">
        <f>IFERROR(AJ134/AH134*10,0)</f>
        <v>0.70404783565273443</v>
      </c>
      <c r="AJ134" s="2106">
        <v>14.4589833</v>
      </c>
      <c r="AK134" s="2106">
        <f>IFERROR(AL134/AH134*10,0)</f>
        <v>1.138000001567907</v>
      </c>
      <c r="AL134" s="2106">
        <v>23.3710299</v>
      </c>
      <c r="AM134" s="2106">
        <f>IFERROR(AN134/AH134*10,0)</f>
        <v>0</v>
      </c>
      <c r="AN134" s="2106">
        <v>0</v>
      </c>
      <c r="AO134" s="2106">
        <v>8.2000000000000003E-2</v>
      </c>
      <c r="AP134" s="2106">
        <f>IFERROR(AQ134/AH134*10,0)</f>
        <v>1.8460406437220169</v>
      </c>
      <c r="AQ134" s="2106">
        <f>SUM(AJ134,AL134,AN134,AO134)</f>
        <v>37.912013199999997</v>
      </c>
      <c r="AR134" s="2106">
        <v>232.08927700000001</v>
      </c>
      <c r="AS134" s="2106">
        <f>IFERROR(AT134/AR134*10,0)</f>
        <v>0.6432552547440612</v>
      </c>
      <c r="AT134" s="2106">
        <v>14.929264699999999</v>
      </c>
      <c r="AU134" s="2106">
        <f>IFERROR(AV134/AR134*10,0)</f>
        <v>1.1379999990262368</v>
      </c>
      <c r="AV134" s="2106">
        <v>26.411759700000001</v>
      </c>
      <c r="AW134" s="2106">
        <f>IFERROR(AX134/AR134*10,0)</f>
        <v>6.910659642409933E-4</v>
      </c>
      <c r="AX134" s="2106">
        <v>1.6038899999999998E-2</v>
      </c>
      <c r="AY134" s="2106"/>
      <c r="AZ134" s="2106">
        <f>IFERROR(BA134/AR134*10,0)</f>
        <v>1.7819463197345389</v>
      </c>
      <c r="BA134" s="2106">
        <f>SUM(AT134,AV134,AX134,AY134)</f>
        <v>41.3570633</v>
      </c>
      <c r="BB134" s="2106">
        <v>224.97608600000001</v>
      </c>
      <c r="BC134" s="2106">
        <f>IFERROR(BD134/BB134*10,0)</f>
        <v>0.65507048602490126</v>
      </c>
      <c r="BD134" s="2106">
        <v>14.7375194</v>
      </c>
      <c r="BE134" s="2106">
        <f>IFERROR(BF134/BB134*10,0)</f>
        <v>1.1379999961418121</v>
      </c>
      <c r="BF134" s="2106">
        <v>25.602278500000001</v>
      </c>
      <c r="BG134" s="2106">
        <f>IFERROR(BH134/BB134*10,0)</f>
        <v>7.1080443634351427E-4</v>
      </c>
      <c r="BH134" s="2106">
        <v>1.5991399999999999E-2</v>
      </c>
      <c r="BI134" s="2106"/>
      <c r="BJ134" s="2106">
        <f>IFERROR(BK134/BB134*10,0)</f>
        <v>1.7937812866030569</v>
      </c>
      <c r="BK134" s="2106">
        <f>SUM(BD134,BF134,BH134,BI134)</f>
        <v>40.355789299999998</v>
      </c>
      <c r="BL134" s="2106">
        <v>190.49300099999999</v>
      </c>
      <c r="BM134" s="2106">
        <f>IFERROR(BN134/BL134*10,0)</f>
        <v>0.77716199137416075</v>
      </c>
      <c r="BN134" s="2106">
        <v>14.804392</v>
      </c>
      <c r="BO134" s="2106">
        <f>IFERROR(BP134/BL134*10,0)</f>
        <v>1.1660000043781136</v>
      </c>
      <c r="BP134" s="2106">
        <v>22.211483999999999</v>
      </c>
      <c r="BQ134" s="2106">
        <f>IFERROR(BR134/BL134*10,0)</f>
        <v>4.498270254034163E-3</v>
      </c>
      <c r="BR134" s="2106">
        <v>8.5688899999999998E-2</v>
      </c>
      <c r="BS134" s="2106"/>
      <c r="BT134" s="2106">
        <f>IFERROR(BU134/BL134*10,0)</f>
        <v>1.9476602660063085</v>
      </c>
      <c r="BU134" s="2106">
        <f>SUM(BN134,BP134,BR134,BS134)</f>
        <v>37.1015649</v>
      </c>
      <c r="BV134" s="2106">
        <v>88.684849</v>
      </c>
      <c r="BW134" s="2106">
        <f>IFERROR(BX134/BV134*10,0)</f>
        <v>1.4386486580137268</v>
      </c>
      <c r="BX134" s="2106">
        <v>12.7586339</v>
      </c>
      <c r="BY134" s="2106">
        <f>IFERROR(BZ134/BV134*10,0)</f>
        <v>1.1660000007442084</v>
      </c>
      <c r="BZ134" s="2106">
        <v>10.340653400000001</v>
      </c>
      <c r="CA134" s="2106">
        <f>IFERROR(CB134/BV134*10,0)</f>
        <v>-5.7369968572647617E-2</v>
      </c>
      <c r="CB134" s="2106">
        <v>-0.50878469999999998</v>
      </c>
      <c r="CC134" s="2106"/>
      <c r="CD134" s="2106">
        <f>IFERROR(CE134/BV134*10,0)</f>
        <v>2.5472786901852871</v>
      </c>
      <c r="CE134" s="2106">
        <f>SUM(BX134,BZ134,CB134,CC134)</f>
        <v>22.590502600000001</v>
      </c>
      <c r="CF134" s="2106">
        <v>49.940632000000001</v>
      </c>
      <c r="CG134" s="2106">
        <f>IFERROR(CH134/CF134*10,0)</f>
        <v>2.4433320747723015</v>
      </c>
      <c r="CH134" s="2106">
        <v>12.202154800000001</v>
      </c>
      <c r="CI134" s="2106">
        <f>IFERROR(CJ134/CF134*10,0)</f>
        <v>1.1660000217858677</v>
      </c>
      <c r="CJ134" s="2106">
        <v>5.8230778000000001</v>
      </c>
      <c r="CK134" s="2106">
        <f>IFERROR(CL134/CF134*10,0)</f>
        <v>1.0870008413189485</v>
      </c>
      <c r="CL134" s="2106">
        <v>5.4285509000000003</v>
      </c>
      <c r="CM134" s="2106"/>
      <c r="CN134" s="2106">
        <f>IFERROR(CO134/CF134*10,0)</f>
        <v>4.6963329378771181</v>
      </c>
      <c r="CO134" s="2106">
        <f>SUM(CH134,CJ134,CL134,CM134)</f>
        <v>23.453783500000004</v>
      </c>
      <c r="CP134" s="2106">
        <v>38.795932000000001</v>
      </c>
      <c r="CQ134" s="2106">
        <f t="shared" si="301"/>
        <v>3.7124267822719141</v>
      </c>
      <c r="CR134" s="2106">
        <v>14.4027057</v>
      </c>
      <c r="CS134" s="2106">
        <f>IFERROR(CT134/CP134*10,0)</f>
        <v>1.1660000074234587</v>
      </c>
      <c r="CT134" s="2106">
        <v>4.5236057000000001</v>
      </c>
      <c r="CU134" s="2106">
        <f>IFERROR(CV134/CP134*10,0)</f>
        <v>-0.13444636411879471</v>
      </c>
      <c r="CV134" s="2106">
        <v>-0.52159719999999998</v>
      </c>
      <c r="CW134" s="2106"/>
      <c r="CX134" s="2106">
        <f>IFERROR(CY134/CP134*10,0)</f>
        <v>4.743980425576579</v>
      </c>
      <c r="CY134" s="2106">
        <f>SUM(CR134,CT134,CV134,CW134)</f>
        <v>18.404714200000001</v>
      </c>
      <c r="CZ134" s="2106">
        <v>34.685044999999988</v>
      </c>
      <c r="DA134" s="2106">
        <f t="shared" si="189"/>
        <v>6.1545129208424001</v>
      </c>
      <c r="DB134" s="2106">
        <v>21.346955761250001</v>
      </c>
      <c r="DC134" s="2106">
        <v>0.83313815099708044</v>
      </c>
      <c r="DD134" s="2109">
        <f t="shared" ref="DD134:DD199" si="302">DC134*CZ134/10</f>
        <v>2.8897434258550518</v>
      </c>
      <c r="DE134" s="2106"/>
      <c r="DF134" s="2106"/>
      <c r="DG134" s="2106"/>
      <c r="DH134" s="2106">
        <f>IFERROR(DI134/CZ134*10,0)</f>
        <v>6.9876510718394798</v>
      </c>
      <c r="DI134" s="2106">
        <f>SUM(DB134,DD134,DF134,DG134)</f>
        <v>24.236699187105053</v>
      </c>
      <c r="DJ134" s="2106">
        <v>28.958890599999997</v>
      </c>
      <c r="DK134" s="2106">
        <f t="shared" si="192"/>
        <v>7.3714687679541155</v>
      </c>
      <c r="DL134" s="2106">
        <v>21.346955761250001</v>
      </c>
      <c r="DM134" s="2106">
        <v>0.83313815099708044</v>
      </c>
      <c r="DN134" s="2109">
        <f t="shared" ref="DN134:DN199" si="303">DM134*DJ134/10</f>
        <v>2.4126756569410732</v>
      </c>
      <c r="DO134" s="2106"/>
      <c r="DP134" s="2106"/>
      <c r="DQ134" s="2106"/>
      <c r="DR134" s="2106">
        <f>IFERROR(DS134/DJ134*10,0)</f>
        <v>8.2046069189511961</v>
      </c>
      <c r="DS134" s="2106">
        <f>SUM(DL134,DN134,DP134,DQ134)</f>
        <v>23.759631418191073</v>
      </c>
      <c r="DT134" s="2106">
        <v>33.767535119999991</v>
      </c>
      <c r="DU134" s="2106">
        <f t="shared" si="195"/>
        <v>6.3217394119497126</v>
      </c>
      <c r="DV134" s="2106">
        <v>21.346955761250001</v>
      </c>
      <c r="DW134" s="2106">
        <v>0.83313815099708044</v>
      </c>
      <c r="DX134" s="2109">
        <f t="shared" ref="DX134:DX199" si="304">DW134*DT134/10</f>
        <v>2.8133021773605771</v>
      </c>
      <c r="DY134" s="2106"/>
      <c r="DZ134" s="2106"/>
      <c r="EA134" s="2106"/>
      <c r="EB134" s="2106">
        <f>IFERROR(EC134/DT134*10,0)</f>
        <v>7.1548775629467931</v>
      </c>
      <c r="EC134" s="2106">
        <f>SUM(DV134,DX134,DZ134,EA134)</f>
        <v>24.160257938610577</v>
      </c>
      <c r="ED134" s="2106">
        <f>SUM(N134,X134,AH134,AR134,BB134,BL134,BV134,CF134,CP134,CZ134,DJ134,DT134)</f>
        <v>1277.73410472</v>
      </c>
      <c r="EE134" s="2107"/>
      <c r="EF134" s="2106">
        <f>IFERROR(EG134/ED134*10,0)</f>
        <v>1.4992061617211649</v>
      </c>
      <c r="EG134" s="2106">
        <f>SUM(P134,Z134,AJ134,AT134,BD134,BN134,BX134,CH134,CR134,DB134,DL134,DV134)</f>
        <v>191.55868428375001</v>
      </c>
      <c r="EH134" s="2106">
        <f>IFERROR(EI134/ED134*10,0)</f>
        <v>1.1228204446463894</v>
      </c>
      <c r="EI134" s="2106">
        <f>SUM(R134,AB134,AL134,AV134,BF134,BP134,BZ134,CJ134,CT134,DD134,DN134,DX134)</f>
        <v>143.46659756015669</v>
      </c>
      <c r="EJ134" s="2106"/>
      <c r="EK134" s="2106">
        <f>SUM(T134,AD134,AN134,AX134,BH134,BR134,CB134,CL134,CV134,DF134,DP134,DZ134)</f>
        <v>4.2914525000000001</v>
      </c>
      <c r="EL134" s="2106"/>
      <c r="EM134" s="2106"/>
      <c r="EN134" s="2106">
        <f>EG134+EI134+EK134</f>
        <v>339.31673434390666</v>
      </c>
      <c r="EO134" s="2104">
        <f>IFERROR(EN134/ED134*10,0)</f>
        <v>2.6556130347500102</v>
      </c>
      <c r="EP134" s="2110"/>
      <c r="ES134" s="2084">
        <f t="shared" si="187"/>
        <v>0</v>
      </c>
      <c r="EU134" s="2084">
        <f t="shared" si="198"/>
        <v>135.35087629999998</v>
      </c>
      <c r="EV134" s="2084">
        <f t="shared" si="199"/>
        <v>1180.3226340000001</v>
      </c>
      <c r="EW134" s="2084">
        <f t="shared" si="200"/>
        <v>1.1467277878194104</v>
      </c>
    </row>
    <row r="135" spans="1:153">
      <c r="A135" s="1760"/>
      <c r="B135" s="1784" t="s">
        <v>211</v>
      </c>
      <c r="C135" s="2116">
        <f>SUM(C133:C134)</f>
        <v>1912</v>
      </c>
      <c r="D135" s="2117"/>
      <c r="E135" s="2118"/>
      <c r="F135" s="2117"/>
      <c r="G135" s="1879">
        <f>SUM(G133:G134)</f>
        <v>278</v>
      </c>
      <c r="H135" s="2143"/>
      <c r="I135" s="2144"/>
      <c r="J135" s="2107"/>
      <c r="K135" s="2101"/>
      <c r="L135" s="2101"/>
      <c r="M135" s="2105"/>
      <c r="N135" s="2107">
        <f>SUM(N133:N134)</f>
        <v>58.281300999999999</v>
      </c>
      <c r="O135" s="2107">
        <f>IFERROR(P135/N135*10,0)</f>
        <v>3.732802533011403</v>
      </c>
      <c r="P135" s="2107">
        <f>SUM(P133:P134)</f>
        <v>21.7552588</v>
      </c>
      <c r="Q135" s="2107">
        <f>IFERROR(R135/N135*10,0)</f>
        <v>1.3384920834214049</v>
      </c>
      <c r="R135" s="2107">
        <f>SUM(R133:R134)</f>
        <v>7.8009059999999995</v>
      </c>
      <c r="S135" s="2106">
        <f>IFERROR(T135/N135*10,0)</f>
        <v>-4.9987422209397836E-2</v>
      </c>
      <c r="T135" s="2107">
        <f>SUM(T133:T134)</f>
        <v>-0.29133320000000001</v>
      </c>
      <c r="U135" s="2107"/>
      <c r="V135" s="2107">
        <f>IFERROR(W135/N135*10,0)</f>
        <v>5.02130719422341</v>
      </c>
      <c r="W135" s="2107">
        <f>SUM(W133:W134)</f>
        <v>29.264831600000001</v>
      </c>
      <c r="X135" s="2107">
        <f>SUM(X133:X134)</f>
        <v>130.09228300000001</v>
      </c>
      <c r="Y135" s="2107">
        <f>IFERROR(Z135/X135*10,0)</f>
        <v>1.7490454295432727</v>
      </c>
      <c r="Z135" s="2107">
        <f>SUM(Z133:Z134)</f>
        <v>22.753731300000002</v>
      </c>
      <c r="AA135" s="2107">
        <f>IFERROR(AB135/X135*10,0)</f>
        <v>1.338337155632821</v>
      </c>
      <c r="AB135" s="2107">
        <f>SUM(AB133:AB134)</f>
        <v>17.4107336</v>
      </c>
      <c r="AC135" s="2107"/>
      <c r="AD135" s="2107">
        <f>SUM(AD133:AD134)</f>
        <v>5.6885699999999997E-2</v>
      </c>
      <c r="AE135" s="2107"/>
      <c r="AF135" s="2107">
        <f>IFERROR(AG135/X135*10,0)</f>
        <v>3.0917553041943306</v>
      </c>
      <c r="AG135" s="2107">
        <f>SUM(AG133:AG134)</f>
        <v>40.221350600000001</v>
      </c>
      <c r="AH135" s="2107">
        <f>SUM(AH133:AH134)</f>
        <v>257.44228199999998</v>
      </c>
      <c r="AI135" s="2107">
        <f>IFERROR(AJ135/AH135*10,0)</f>
        <v>0.86047189404574986</v>
      </c>
      <c r="AJ135" s="2107">
        <f>SUM(AJ133:AJ134)</f>
        <v>22.152184800000001</v>
      </c>
      <c r="AK135" s="2107">
        <f>IFERROR(AL135/AH135*10,0)</f>
        <v>1.3445180733753754</v>
      </c>
      <c r="AL135" s="2107">
        <f>SUM(AL133:AL134)</f>
        <v>34.6135801</v>
      </c>
      <c r="AM135" s="2107"/>
      <c r="AN135" s="2107">
        <f>SUM(AN133:AN134)</f>
        <v>0</v>
      </c>
      <c r="AO135" s="2107">
        <f>SUM(AO133:AO134)</f>
        <v>9.8360000000000003E-2</v>
      </c>
      <c r="AP135" s="2107">
        <f>IFERROR(AQ135/AH135*10,0)</f>
        <v>2.2088106296385299</v>
      </c>
      <c r="AQ135" s="2107">
        <f>SUM(AQ133:AQ134)</f>
        <v>56.864124899999993</v>
      </c>
      <c r="AR135" s="2107">
        <f>SUM(AR133:AR134)</f>
        <v>290.723545</v>
      </c>
      <c r="AS135" s="2107">
        <f>IFERROR(AT135/AR135*10,0)</f>
        <v>0.78680591900459929</v>
      </c>
      <c r="AT135" s="2107">
        <f>SUM(AT133:AT134)</f>
        <v>22.874300599999998</v>
      </c>
      <c r="AU135" s="2107">
        <f>IFERROR(AV135/AR135*10,0)</f>
        <v>1.343919296251014</v>
      </c>
      <c r="AV135" s="2107">
        <f>SUM(AV133:AV134)</f>
        <v>39.070898200000002</v>
      </c>
      <c r="AW135" s="2106">
        <f>IFERROR(AX135/AR135*10,0)</f>
        <v>0.1011657174172116</v>
      </c>
      <c r="AX135" s="2107">
        <f>SUM(AX133:AX134)</f>
        <v>2.9411255999999999</v>
      </c>
      <c r="AY135" s="2107"/>
      <c r="AZ135" s="2107">
        <f>IFERROR(BA135/AR135*10,0)</f>
        <v>2.2318909326728251</v>
      </c>
      <c r="BA135" s="2107">
        <f>SUM(BA133:BA134)</f>
        <v>64.886324400000007</v>
      </c>
      <c r="BB135" s="2107">
        <f>SUM(BB133:BB134)</f>
        <v>281.97375399999999</v>
      </c>
      <c r="BC135" s="2107">
        <f>IFERROR(BD135/BB135*10,0)</f>
        <v>0.80085528811309159</v>
      </c>
      <c r="BD135" s="2107">
        <f>SUM(BD133:BD134)</f>
        <v>22.582017199999999</v>
      </c>
      <c r="BE135" s="2107">
        <f>IFERROR(BF135/BB135*10,0)</f>
        <v>1.3443831016981813</v>
      </c>
      <c r="BF135" s="2107">
        <f>SUM(BF133:BF134)</f>
        <v>37.908074999999997</v>
      </c>
      <c r="BG135" s="2106">
        <f>IFERROR(BH135/BB135*10,0)</f>
        <v>0.10430282458132611</v>
      </c>
      <c r="BH135" s="2107">
        <f>SUM(BH133:BH134)</f>
        <v>2.9410658999999999</v>
      </c>
      <c r="BI135" s="2107"/>
      <c r="BJ135" s="2107">
        <f>IFERROR(BK135/BB135*10,0)</f>
        <v>2.249541214392599</v>
      </c>
      <c r="BK135" s="2107">
        <f>SUM(BK133:BK134)</f>
        <v>63.431158099999998</v>
      </c>
      <c r="BL135" s="2107">
        <f>SUM(BL133:BL134)</f>
        <v>239.494688</v>
      </c>
      <c r="BM135" s="2107">
        <f>IFERROR(BN135/BL135*10,0)</f>
        <v>0.93919145713995955</v>
      </c>
      <c r="BN135" s="2107">
        <f>SUM(BN133:BN134)</f>
        <v>22.493136499999999</v>
      </c>
      <c r="BO135" s="2107">
        <f>IFERROR(BP135/BL135*10,0)</f>
        <v>1.3691722548769016</v>
      </c>
      <c r="BP135" s="2107">
        <f>SUM(BP133:BP134)</f>
        <v>32.790948200000003</v>
      </c>
      <c r="BQ135" s="2106">
        <f>IFERROR(BR135/BL135*10,0)</f>
        <v>0.12667412481399171</v>
      </c>
      <c r="BR135" s="2107">
        <f>SUM(BR133:BR134)</f>
        <v>3.0337779999999999</v>
      </c>
      <c r="BS135" s="2107"/>
      <c r="BT135" s="2107">
        <f>IFERROR(BU135/BL135*10,0)</f>
        <v>2.435037836830853</v>
      </c>
      <c r="BU135" s="2107">
        <f>SUM(BU133:BU134)</f>
        <v>58.317862700000006</v>
      </c>
      <c r="BV135" s="2107">
        <f>SUM(BV133:BV134)</f>
        <v>111.56846300000001</v>
      </c>
      <c r="BW135" s="2107">
        <f>IFERROR(BX135/BV135*10,0)</f>
        <v>1.7347506167580706</v>
      </c>
      <c r="BX135" s="2107">
        <f>SUM(BX133:BX134)</f>
        <v>19.354346</v>
      </c>
      <c r="BY135" s="2107">
        <f>IFERROR(BZ135/BV135*10,0)</f>
        <v>1.3696725122044566</v>
      </c>
      <c r="BZ135" s="2107">
        <f>SUM(BZ133:BZ134)</f>
        <v>15.2812257</v>
      </c>
      <c r="CA135" s="2106">
        <f>IFERROR(CB135/BV135*10,0)</f>
        <v>0.21650223862992535</v>
      </c>
      <c r="CB135" s="2107">
        <f>SUM(CB133:CB134)</f>
        <v>2.4154822</v>
      </c>
      <c r="CC135" s="2107"/>
      <c r="CD135" s="2107">
        <f>IFERROR(CE135/BV135*10,0)</f>
        <v>3.3209253675924528</v>
      </c>
      <c r="CE135" s="2107">
        <f>SUM(CE133:CE134)</f>
        <v>37.051053899999999</v>
      </c>
      <c r="CF135" s="2107">
        <f>SUM(CF133:CF134)</f>
        <v>62.833007000000002</v>
      </c>
      <c r="CG135" s="2107">
        <f>IFERROR(CH135/CF135*10,0)</f>
        <v>2.9523412909396489</v>
      </c>
      <c r="CH135" s="2107">
        <f>SUM(CH133:CH134)</f>
        <v>18.550448100000001</v>
      </c>
      <c r="CI135" s="2107">
        <f>IFERROR(CJ135/CF135*10,0)</f>
        <v>1.369748466757289</v>
      </c>
      <c r="CJ135" s="2107">
        <f>SUM(CJ133:CJ134)</f>
        <v>8.6065415000000005</v>
      </c>
      <c r="CK135" s="2106">
        <f>IFERROR(CL135/CF135*10,0)</f>
        <v>1.5603677379311163</v>
      </c>
      <c r="CL135" s="2107">
        <f>SUM(CL133:CL134)</f>
        <v>9.8042596999999994</v>
      </c>
      <c r="CM135" s="2107"/>
      <c r="CN135" s="2107">
        <f>IFERROR(CO135/CF135*10,0)</f>
        <v>5.8824574956280546</v>
      </c>
      <c r="CO135" s="2107">
        <f>SUM(CO133:CO134)</f>
        <v>36.961249300000006</v>
      </c>
      <c r="CP135" s="2107">
        <f>SUM(CP133:CP134)</f>
        <v>48.818595999999999</v>
      </c>
      <c r="CQ135" s="2107">
        <f t="shared" si="301"/>
        <v>4.4831339885317476</v>
      </c>
      <c r="CR135" s="2107">
        <f>SUM(CR133:CR134)</f>
        <v>21.886030699999999</v>
      </c>
      <c r="CS135" s="2107">
        <f>IFERROR(CT135/CP135*10,0)</f>
        <v>1.369867089172331</v>
      </c>
      <c r="CT135" s="2107">
        <f>SUM(CT133:CT134)</f>
        <v>6.6874988000000002</v>
      </c>
      <c r="CU135" s="2107"/>
      <c r="CV135" s="2107">
        <f>SUM(CV133:CV134)</f>
        <v>-0.51802910000000002</v>
      </c>
      <c r="CW135" s="2107"/>
      <c r="CX135" s="2107">
        <f>IFERROR(CY135/CP135*10,0)</f>
        <v>5.7468880096428832</v>
      </c>
      <c r="CY135" s="2107">
        <f>SUM(CY133:CY134)</f>
        <v>28.0555004</v>
      </c>
      <c r="CZ135" s="2107">
        <f>SUM(CZ133:CZ134)</f>
        <v>43.660358099999989</v>
      </c>
      <c r="DA135" s="2107">
        <f t="shared" si="189"/>
        <v>6.4999677731113259</v>
      </c>
      <c r="DB135" s="2107">
        <f>SUM(DB133:DB134)</f>
        <v>28.379092061249999</v>
      </c>
      <c r="DC135" s="2107">
        <f>IFERROR(DD135/CZ135*10,0)</f>
        <v>0.99854516091209644</v>
      </c>
      <c r="DD135" s="2107">
        <f>SUM(DD133:DD134)</f>
        <v>4.3596839304444241</v>
      </c>
      <c r="DE135" s="2107"/>
      <c r="DF135" s="2107">
        <f>SUM(DF133:DF134)</f>
        <v>0</v>
      </c>
      <c r="DG135" s="2107"/>
      <c r="DH135" s="2107">
        <f>IFERROR(DI135/CZ135*10,0)</f>
        <v>7.4985129340234238</v>
      </c>
      <c r="DI135" s="2107">
        <f>SUM(DI133:DI134)</f>
        <v>32.738775991694425</v>
      </c>
      <c r="DJ135" s="2107">
        <f>SUM(DJ133:DJ134)</f>
        <v>36.539555</v>
      </c>
      <c r="DK135" s="2107">
        <f t="shared" si="192"/>
        <v>7.7666769782089577</v>
      </c>
      <c r="DL135" s="2107">
        <f>SUM(DL133:DL134)</f>
        <v>28.379092061249999</v>
      </c>
      <c r="DM135" s="2107">
        <f>IFERROR(DN135/DJ135*10,0)</f>
        <v>1.0000686199116946</v>
      </c>
      <c r="DN135" s="2107">
        <f>SUM(DN133:DN134)</f>
        <v>3.6542062341037456</v>
      </c>
      <c r="DO135" s="2107"/>
      <c r="DP135" s="2107">
        <f>SUM(DP133:DP134)</f>
        <v>0</v>
      </c>
      <c r="DQ135" s="2107"/>
      <c r="DR135" s="2107">
        <f>IFERROR(DS135/DJ135*10,0)</f>
        <v>8.7667455981206519</v>
      </c>
      <c r="DS135" s="2107">
        <f>SUM(DS133:DS134)</f>
        <v>32.033298295353745</v>
      </c>
      <c r="DT135" s="2107">
        <f>SUM(DT133:DT134)</f>
        <v>42.830664119999994</v>
      </c>
      <c r="DU135" s="2107">
        <f t="shared" si="195"/>
        <v>6.6258818639233379</v>
      </c>
      <c r="DV135" s="2107">
        <f>SUM(DV133:DV134)</f>
        <v>28.379092061249999</v>
      </c>
      <c r="DW135" s="2107">
        <f>IFERROR(DX135/DT135*10,0)</f>
        <v>1.003399060797062</v>
      </c>
      <c r="DX135" s="2107">
        <f>SUM(DX133:DX134)</f>
        <v>4.2976248151322416</v>
      </c>
      <c r="DY135" s="2107"/>
      <c r="DZ135" s="2107">
        <f>SUM(DZ133:DZ134)</f>
        <v>0</v>
      </c>
      <c r="EA135" s="2107"/>
      <c r="EB135" s="2107">
        <f>IFERROR(EC135/DT135*10,0)</f>
        <v>7.6292809247204012</v>
      </c>
      <c r="EC135" s="2107">
        <f>SUM(EC133:EC134)</f>
        <v>32.676716876382244</v>
      </c>
      <c r="ED135" s="2107">
        <f>SUM(ED133:ED134)</f>
        <v>1604.2584962200001</v>
      </c>
      <c r="EE135" s="2107"/>
      <c r="EF135" s="2106"/>
      <c r="EG135" s="2107">
        <f>SUM(EG133:EG134)</f>
        <v>279.53873018375003</v>
      </c>
      <c r="EH135" s="2106"/>
      <c r="EI135" s="2107">
        <f>SUM(EI133:EI134)</f>
        <v>212.4819220796804</v>
      </c>
      <c r="EJ135" s="2106"/>
      <c r="EK135" s="2107">
        <f>SUM(EK133:EK134)</f>
        <v>20.383234799999997</v>
      </c>
      <c r="EL135" s="2106"/>
      <c r="EM135" s="2106"/>
      <c r="EN135" s="2107">
        <f>SUM(EN133:EN134)</f>
        <v>512.40388706343037</v>
      </c>
      <c r="EO135" s="2104">
        <f>IFERROR(EN135/ED135*10,0)</f>
        <v>3.1940232092943321</v>
      </c>
      <c r="EP135" s="2110"/>
      <c r="ES135" s="2084">
        <f t="shared" si="187"/>
        <v>0</v>
      </c>
      <c r="EU135" s="2084">
        <f t="shared" si="198"/>
        <v>200.17040709999998</v>
      </c>
      <c r="EV135" s="2084">
        <f t="shared" si="199"/>
        <v>1481.2279190000002</v>
      </c>
      <c r="EW135" s="2084">
        <f t="shared" si="200"/>
        <v>1.3513815431938259</v>
      </c>
    </row>
    <row r="136" spans="1:153">
      <c r="A136" s="1760"/>
      <c r="B136" s="1761"/>
      <c r="C136" s="2116"/>
      <c r="D136" s="2117"/>
      <c r="E136" s="2118"/>
      <c r="F136" s="2117"/>
      <c r="G136" s="1774"/>
      <c r="J136" s="2106"/>
      <c r="K136" s="2101"/>
      <c r="L136" s="2101"/>
      <c r="M136" s="2105"/>
      <c r="N136" s="2106"/>
      <c r="O136" s="2106"/>
      <c r="P136" s="2106"/>
      <c r="Q136" s="2106"/>
      <c r="R136" s="2106"/>
      <c r="S136" s="2106"/>
      <c r="T136" s="2106"/>
      <c r="U136" s="2106"/>
      <c r="V136" s="2106"/>
      <c r="W136" s="2106"/>
      <c r="X136" s="2106"/>
      <c r="Y136" s="2106"/>
      <c r="Z136" s="2106"/>
      <c r="AA136" s="2106"/>
      <c r="AB136" s="2106"/>
      <c r="AC136" s="2106"/>
      <c r="AD136" s="2106"/>
      <c r="AE136" s="2106"/>
      <c r="AF136" s="2106"/>
      <c r="AG136" s="2106"/>
      <c r="AH136" s="2106"/>
      <c r="AI136" s="2106"/>
      <c r="AJ136" s="2106"/>
      <c r="AK136" s="2106"/>
      <c r="AL136" s="2106"/>
      <c r="AM136" s="2106"/>
      <c r="AN136" s="2106"/>
      <c r="AO136" s="2106"/>
      <c r="AP136" s="2106"/>
      <c r="AQ136" s="2106"/>
      <c r="AR136" s="2106"/>
      <c r="AS136" s="2106"/>
      <c r="AT136" s="2106"/>
      <c r="AU136" s="2106"/>
      <c r="AV136" s="2106"/>
      <c r="AW136" s="2106"/>
      <c r="AX136" s="2106"/>
      <c r="AY136" s="2120"/>
      <c r="AZ136" s="2106"/>
      <c r="BA136" s="2106"/>
      <c r="BB136" s="2106"/>
      <c r="BC136" s="2106"/>
      <c r="BD136" s="2106"/>
      <c r="BE136" s="2106"/>
      <c r="BF136" s="2106"/>
      <c r="BG136" s="2106"/>
      <c r="BH136" s="2106"/>
      <c r="BI136" s="2120"/>
      <c r="BJ136" s="2106"/>
      <c r="BK136" s="2106"/>
      <c r="BL136" s="2106"/>
      <c r="BM136" s="2106"/>
      <c r="BN136" s="2106"/>
      <c r="BO136" s="2106"/>
      <c r="BP136" s="2106"/>
      <c r="BQ136" s="2106"/>
      <c r="BR136" s="2106"/>
      <c r="BS136" s="2120"/>
      <c r="BT136" s="2106"/>
      <c r="BU136" s="2106"/>
      <c r="BV136" s="2106"/>
      <c r="BW136" s="2106"/>
      <c r="BX136" s="2106"/>
      <c r="BY136" s="2106"/>
      <c r="BZ136" s="2106"/>
      <c r="CA136" s="2106"/>
      <c r="CB136" s="2106"/>
      <c r="CC136" s="2120"/>
      <c r="CD136" s="2106"/>
      <c r="CE136" s="2106"/>
      <c r="CF136" s="2106"/>
      <c r="CG136" s="2106"/>
      <c r="CH136" s="2106"/>
      <c r="CI136" s="2106"/>
      <c r="CJ136" s="2106"/>
      <c r="CK136" s="2106"/>
      <c r="CL136" s="2106"/>
      <c r="CM136" s="2120"/>
      <c r="CN136" s="2106"/>
      <c r="CO136" s="2106"/>
      <c r="CP136" s="2106">
        <v>0</v>
      </c>
      <c r="CQ136" s="2106">
        <f t="shared" si="301"/>
        <v>0</v>
      </c>
      <c r="CR136" s="2106">
        <v>0</v>
      </c>
      <c r="CS136" s="2106">
        <v>0</v>
      </c>
      <c r="CT136" s="2109">
        <f>CS136*CP136/10</f>
        <v>0</v>
      </c>
      <c r="CU136" s="2106"/>
      <c r="CV136" s="2106"/>
      <c r="CW136" s="2120"/>
      <c r="CX136" s="2106"/>
      <c r="CY136" s="2106"/>
      <c r="CZ136" s="2106"/>
      <c r="DA136" s="2106"/>
      <c r="DB136" s="2106"/>
      <c r="DC136" s="2106"/>
      <c r="DD136" s="2109"/>
      <c r="DE136" s="2106"/>
      <c r="DF136" s="2106"/>
      <c r="DG136" s="2120"/>
      <c r="DH136" s="2106"/>
      <c r="DI136" s="2106"/>
      <c r="DJ136" s="2106"/>
      <c r="DK136" s="2106"/>
      <c r="DL136" s="2106"/>
      <c r="DM136" s="2106"/>
      <c r="DN136" s="2109"/>
      <c r="DO136" s="2106"/>
      <c r="DP136" s="2106"/>
      <c r="DQ136" s="2120"/>
      <c r="DR136" s="2106"/>
      <c r="DS136" s="2106"/>
      <c r="DT136" s="2106"/>
      <c r="DU136" s="2106"/>
      <c r="DV136" s="2106"/>
      <c r="DW136" s="2106"/>
      <c r="DX136" s="2109"/>
      <c r="DY136" s="2106"/>
      <c r="DZ136" s="2106"/>
      <c r="EA136" s="2106"/>
      <c r="EB136" s="2106"/>
      <c r="EC136" s="2106"/>
      <c r="ED136" s="2106"/>
      <c r="EE136" s="2107"/>
      <c r="EF136" s="2106"/>
      <c r="EG136" s="2106"/>
      <c r="EH136" s="2106"/>
      <c r="EI136" s="2106"/>
      <c r="EJ136" s="2106"/>
      <c r="EK136" s="2106"/>
      <c r="EL136" s="2106"/>
      <c r="EM136" s="2106"/>
      <c r="EN136" s="2106"/>
      <c r="EO136" s="2110"/>
      <c r="EP136" s="2110"/>
      <c r="ES136" s="2084">
        <f t="shared" si="187"/>
        <v>0</v>
      </c>
      <c r="EU136" s="2084">
        <f t="shared" si="198"/>
        <v>0</v>
      </c>
      <c r="EV136" s="2084">
        <f t="shared" si="199"/>
        <v>0</v>
      </c>
      <c r="EW136" s="2084" t="e">
        <f t="shared" si="200"/>
        <v>#DIV/0!</v>
      </c>
    </row>
    <row r="137" spans="1:153">
      <c r="A137" s="1760" t="s">
        <v>136</v>
      </c>
      <c r="B137" s="1784" t="s">
        <v>1755</v>
      </c>
      <c r="C137" s="2116"/>
      <c r="D137" s="2117"/>
      <c r="E137" s="2118"/>
      <c r="F137" s="2117"/>
      <c r="G137" s="1774"/>
      <c r="J137" s="2106"/>
      <c r="K137" s="2101"/>
      <c r="L137" s="2101"/>
      <c r="M137" s="2105"/>
      <c r="N137" s="2106"/>
      <c r="O137" s="2106"/>
      <c r="P137" s="2106"/>
      <c r="Q137" s="2106"/>
      <c r="R137" s="2106"/>
      <c r="S137" s="2106"/>
      <c r="T137" s="2106"/>
      <c r="U137" s="2106"/>
      <c r="V137" s="2106"/>
      <c r="W137" s="2106"/>
      <c r="X137" s="2106"/>
      <c r="Y137" s="2106"/>
      <c r="Z137" s="2106"/>
      <c r="AA137" s="2106"/>
      <c r="AB137" s="2106"/>
      <c r="AC137" s="2106"/>
      <c r="AD137" s="2106"/>
      <c r="AE137" s="2106"/>
      <c r="AF137" s="2106"/>
      <c r="AG137" s="2106"/>
      <c r="AH137" s="2106"/>
      <c r="AI137" s="2106"/>
      <c r="AJ137" s="2106"/>
      <c r="AK137" s="2106"/>
      <c r="AL137" s="2106"/>
      <c r="AM137" s="2106"/>
      <c r="AN137" s="2106"/>
      <c r="AO137" s="2106"/>
      <c r="AP137" s="2106"/>
      <c r="AQ137" s="2106"/>
      <c r="AR137" s="2106"/>
      <c r="AS137" s="2106"/>
      <c r="AT137" s="2106"/>
      <c r="AU137" s="2106"/>
      <c r="AV137" s="2106"/>
      <c r="AW137" s="2106"/>
      <c r="AX137" s="2106"/>
      <c r="AY137" s="2120"/>
      <c r="AZ137" s="2106"/>
      <c r="BA137" s="2106"/>
      <c r="BB137" s="2106"/>
      <c r="BC137" s="2106"/>
      <c r="BD137" s="2106"/>
      <c r="BE137" s="2106"/>
      <c r="BF137" s="2106"/>
      <c r="BG137" s="2106"/>
      <c r="BH137" s="2106"/>
      <c r="BI137" s="2120"/>
      <c r="BJ137" s="2106"/>
      <c r="BK137" s="2106"/>
      <c r="BL137" s="2106"/>
      <c r="BM137" s="2106"/>
      <c r="BN137" s="2106"/>
      <c r="BO137" s="2106"/>
      <c r="BP137" s="2106"/>
      <c r="BQ137" s="2106"/>
      <c r="BR137" s="2106"/>
      <c r="BS137" s="2120"/>
      <c r="BT137" s="2106"/>
      <c r="BU137" s="2106"/>
      <c r="BV137" s="2106"/>
      <c r="BW137" s="2106"/>
      <c r="BX137" s="2106"/>
      <c r="BY137" s="2106"/>
      <c r="BZ137" s="2106"/>
      <c r="CA137" s="2106"/>
      <c r="CB137" s="2106"/>
      <c r="CC137" s="2120"/>
      <c r="CD137" s="2106"/>
      <c r="CE137" s="2106"/>
      <c r="CF137" s="2106"/>
      <c r="CG137" s="2106"/>
      <c r="CH137" s="2106"/>
      <c r="CI137" s="2106"/>
      <c r="CJ137" s="2106"/>
      <c r="CK137" s="2106"/>
      <c r="CL137" s="2106"/>
      <c r="CM137" s="2120"/>
      <c r="CN137" s="2106"/>
      <c r="CO137" s="2106"/>
      <c r="CP137" s="2106">
        <v>0</v>
      </c>
      <c r="CQ137" s="2106">
        <f t="shared" si="301"/>
        <v>0</v>
      </c>
      <c r="CR137" s="2106">
        <v>0</v>
      </c>
      <c r="CS137" s="2106">
        <v>0</v>
      </c>
      <c r="CT137" s="2109">
        <f>CS137*CP137/10</f>
        <v>0</v>
      </c>
      <c r="CU137" s="2106"/>
      <c r="CV137" s="2106"/>
      <c r="CW137" s="2120"/>
      <c r="CX137" s="2106"/>
      <c r="CY137" s="2106"/>
      <c r="CZ137" s="2106"/>
      <c r="DA137" s="2106"/>
      <c r="DB137" s="2106"/>
      <c r="DC137" s="2106"/>
      <c r="DD137" s="2109"/>
      <c r="DE137" s="2106"/>
      <c r="DF137" s="2106"/>
      <c r="DG137" s="2120"/>
      <c r="DH137" s="2106"/>
      <c r="DI137" s="2106"/>
      <c r="DJ137" s="2106"/>
      <c r="DK137" s="2106"/>
      <c r="DL137" s="2106"/>
      <c r="DM137" s="2106"/>
      <c r="DN137" s="2109"/>
      <c r="DO137" s="2106"/>
      <c r="DP137" s="2106"/>
      <c r="DQ137" s="2120"/>
      <c r="DR137" s="2106"/>
      <c r="DS137" s="2106"/>
      <c r="DT137" s="2106"/>
      <c r="DU137" s="2106"/>
      <c r="DV137" s="2106"/>
      <c r="DW137" s="2106"/>
      <c r="DX137" s="2109"/>
      <c r="DY137" s="2106"/>
      <c r="DZ137" s="2106"/>
      <c r="EA137" s="2106"/>
      <c r="EB137" s="2106"/>
      <c r="EC137" s="2106"/>
      <c r="ED137" s="2106"/>
      <c r="EE137" s="2107"/>
      <c r="EF137" s="2106"/>
      <c r="EG137" s="2106"/>
      <c r="EH137" s="2106"/>
      <c r="EI137" s="2106"/>
      <c r="EJ137" s="2106"/>
      <c r="EK137" s="2106"/>
      <c r="EL137" s="2106"/>
      <c r="EM137" s="2106"/>
      <c r="EN137" s="2106"/>
      <c r="EO137" s="2110"/>
      <c r="EP137" s="2110"/>
      <c r="ES137" s="2084">
        <f t="shared" si="187"/>
        <v>0</v>
      </c>
      <c r="EU137" s="2084">
        <f t="shared" si="198"/>
        <v>0</v>
      </c>
      <c r="EV137" s="2084">
        <f t="shared" si="199"/>
        <v>0</v>
      </c>
      <c r="EW137" s="2084" t="e">
        <f t="shared" si="200"/>
        <v>#DIV/0!</v>
      </c>
    </row>
    <row r="138" spans="1:153" s="2093" customFormat="1">
      <c r="A138" s="1773">
        <v>1</v>
      </c>
      <c r="B138" s="1774" t="s">
        <v>1756</v>
      </c>
      <c r="C138" s="2133" t="s">
        <v>2085</v>
      </c>
      <c r="D138" s="2134" t="e">
        <v>#VALUE!</v>
      </c>
      <c r="E138" s="2104"/>
      <c r="F138" s="2134">
        <v>0.79999999999999993</v>
      </c>
      <c r="G138" s="2104">
        <v>55</v>
      </c>
      <c r="H138" s="2102" t="s">
        <v>1717</v>
      </c>
      <c r="I138" s="2103">
        <v>1</v>
      </c>
      <c r="J138" s="2104"/>
      <c r="K138" s="2101"/>
      <c r="L138" s="2101"/>
      <c r="M138" s="2105"/>
      <c r="N138" s="2106">
        <v>6.7496919999999996</v>
      </c>
      <c r="O138" s="2106">
        <f>IFERROR(P138/N138*10,0)</f>
        <v>0</v>
      </c>
      <c r="P138" s="2106">
        <v>0</v>
      </c>
      <c r="Q138" s="2106">
        <f>IFERROR(R138/N138*10,0)</f>
        <v>4.0000000000000009</v>
      </c>
      <c r="R138" s="2106">
        <v>2.6998768000000002</v>
      </c>
      <c r="S138" s="2106">
        <f>IFERROR(T138/N138*10,0)</f>
        <v>1.4808675714388153E-2</v>
      </c>
      <c r="T138" s="2106">
        <v>9.9953999999999998E-3</v>
      </c>
      <c r="U138" s="2106"/>
      <c r="V138" s="2106">
        <f>IFERROR(W138/N138*10,0)</f>
        <v>4.0148086757143888</v>
      </c>
      <c r="W138" s="2106">
        <f>SUM(P138,R138,T138,U138)</f>
        <v>2.7098722000000004</v>
      </c>
      <c r="X138" s="2106">
        <v>17.638031000000002</v>
      </c>
      <c r="Y138" s="2106">
        <f>IFERROR(Z138/X138*10,0)</f>
        <v>0</v>
      </c>
      <c r="Z138" s="2106">
        <v>0</v>
      </c>
      <c r="AA138" s="2106">
        <f>IFERROR(AB138/X138*10,0)</f>
        <v>3.9999999999999996</v>
      </c>
      <c r="AB138" s="2106">
        <v>7.0552124000000003</v>
      </c>
      <c r="AC138" s="2106">
        <f>IFERROR(AD138/X138*10,0)</f>
        <v>5.6669590840383475E-3</v>
      </c>
      <c r="AD138" s="2106">
        <v>9.9953999999999998E-3</v>
      </c>
      <c r="AE138" s="2106"/>
      <c r="AF138" s="2106">
        <f>IFERROR(AG138/X138*10,0)</f>
        <v>4.0056669590840386</v>
      </c>
      <c r="AG138" s="2106">
        <f>SUM(Z138,AB138,AD138,AE138)</f>
        <v>7.0652078000000005</v>
      </c>
      <c r="AH138" s="2106">
        <v>25.877341000000001</v>
      </c>
      <c r="AI138" s="2106">
        <f>IFERROR(AJ138/AH138*10,0)</f>
        <v>0</v>
      </c>
      <c r="AJ138" s="2106">
        <v>0</v>
      </c>
      <c r="AK138" s="2106">
        <f>IFERROR(AL138/AH138*10,0)</f>
        <v>3.9999999227123064</v>
      </c>
      <c r="AL138" s="2106">
        <v>10.3509362</v>
      </c>
      <c r="AM138" s="2106">
        <f>IFERROR(AN138/AH138*10,0)</f>
        <v>0</v>
      </c>
      <c r="AN138" s="2106">
        <v>0</v>
      </c>
      <c r="AO138" s="2106">
        <v>0</v>
      </c>
      <c r="AP138" s="2106">
        <f>IFERROR(AQ138/AH138*10,0)</f>
        <v>3.9999999227123064</v>
      </c>
      <c r="AQ138" s="2106">
        <f>SUM(AJ138,AL138,AN138,AO138)</f>
        <v>10.3509362</v>
      </c>
      <c r="AR138" s="2106">
        <v>37.688476999999999</v>
      </c>
      <c r="AS138" s="2106">
        <f>IFERROR(AT138/AR138*10,0)</f>
        <v>0</v>
      </c>
      <c r="AT138" s="2106">
        <v>0</v>
      </c>
      <c r="AU138" s="2106">
        <f>IFERROR(AV138/AR138*10,0)</f>
        <v>3.9999999469333822</v>
      </c>
      <c r="AV138" s="2106">
        <v>15.0753906</v>
      </c>
      <c r="AW138" s="2106">
        <f>IFERROR(AX138/AR138*10,0)</f>
        <v>3.7613087947278951E-3</v>
      </c>
      <c r="AX138" s="2106">
        <v>1.4175800000000001E-2</v>
      </c>
      <c r="AY138" s="2106"/>
      <c r="AZ138" s="2106">
        <f>IFERROR(BA138/AR138*10,0)</f>
        <v>4.0037612557281106</v>
      </c>
      <c r="BA138" s="2106">
        <f>SUM(AT138,AV138,AX138,AY138)</f>
        <v>15.089566400000001</v>
      </c>
      <c r="BB138" s="2106">
        <v>26.331251000000002</v>
      </c>
      <c r="BC138" s="2106">
        <f>IFERROR(BD138/BB138*10,0)</f>
        <v>0</v>
      </c>
      <c r="BD138" s="2106">
        <v>0</v>
      </c>
      <c r="BE138" s="2106">
        <f>IFERROR(BF138/BB138*10,0)</f>
        <v>4.0000000379776859</v>
      </c>
      <c r="BF138" s="2106">
        <v>10.532500499999999</v>
      </c>
      <c r="BG138" s="2106">
        <f>IFERROR(BH138/BB138*10,0)</f>
        <v>5.383640906389142E-3</v>
      </c>
      <c r="BH138" s="2106">
        <v>1.4175800000000001E-2</v>
      </c>
      <c r="BI138" s="2106"/>
      <c r="BJ138" s="2106">
        <f>IFERROR(BK138/BB138*10,0)</f>
        <v>4.0053836788840753</v>
      </c>
      <c r="BK138" s="2106">
        <f>SUM(BD138,BF138,BH138,BI138)</f>
        <v>10.5466763</v>
      </c>
      <c r="BL138" s="2106">
        <v>25.623125999999999</v>
      </c>
      <c r="BM138" s="2106">
        <f>IFERROR(BN138/BL138*10,0)</f>
        <v>0</v>
      </c>
      <c r="BN138" s="2106">
        <v>0</v>
      </c>
      <c r="BO138" s="2106">
        <f>IFERROR(BP138/BL138*10,0)</f>
        <v>3.9999999999999996</v>
      </c>
      <c r="BP138" s="2106">
        <v>10.249250399999999</v>
      </c>
      <c r="BQ138" s="2106">
        <f>IFERROR(BR138/BL138*10,0)</f>
        <v>5.5324241078157296E-3</v>
      </c>
      <c r="BR138" s="2106">
        <v>1.4175800000000001E-2</v>
      </c>
      <c r="BS138" s="2106"/>
      <c r="BT138" s="2106">
        <f>IFERROR(BU138/BL138*10,0)</f>
        <v>4.0055324241078152</v>
      </c>
      <c r="BU138" s="2106">
        <f>SUM(BN138,BP138,BR138,BS138)</f>
        <v>10.2634262</v>
      </c>
      <c r="BV138" s="2106">
        <v>25.647005</v>
      </c>
      <c r="BW138" s="2106">
        <f>IFERROR(BX138/BV138*10,0)</f>
        <v>0</v>
      </c>
      <c r="BX138" s="2106">
        <v>0</v>
      </c>
      <c r="BY138" s="2106">
        <f>IFERROR(BZ138/BV138*10,0)</f>
        <v>4.0000000311927248</v>
      </c>
      <c r="BZ138" s="2106">
        <v>10.258802079999999</v>
      </c>
      <c r="CA138" s="2106">
        <f>IFERROR(CB138/BV138*10,0)</f>
        <v>5.5272730675570113E-3</v>
      </c>
      <c r="CB138" s="2106">
        <v>1.4175800000000001E-2</v>
      </c>
      <c r="CC138" s="2106"/>
      <c r="CD138" s="2106">
        <f>IFERROR(CE138/BV138*10,0)</f>
        <v>4.0055273042602826</v>
      </c>
      <c r="CE138" s="2106">
        <f>SUM(BX138,BZ138,CB138,CC138)</f>
        <v>10.272977879999999</v>
      </c>
      <c r="CF138" s="2106">
        <v>18.917549000000001</v>
      </c>
      <c r="CG138" s="2106">
        <f>IFERROR(CH138/CF138*10,0)</f>
        <v>0</v>
      </c>
      <c r="CH138" s="2106">
        <v>0</v>
      </c>
      <c r="CI138" s="2106">
        <f>IFERROR(CJ138/CF138*10,0)</f>
        <v>3.999999915422447</v>
      </c>
      <c r="CJ138" s="2106">
        <v>7.5670194400000002</v>
      </c>
      <c r="CK138" s="2106">
        <f>IFERROR(CL138/CF138*10,0)</f>
        <v>2.6542761961393622E-2</v>
      </c>
      <c r="CL138" s="2106">
        <v>5.0212399999999997E-2</v>
      </c>
      <c r="CM138" s="2106"/>
      <c r="CN138" s="2106">
        <f>IFERROR(CO138/CF138*10,0)</f>
        <v>4.0265426773838406</v>
      </c>
      <c r="CO138" s="2106">
        <f>SUM(CH138,CJ138,CL138,CM138)</f>
        <v>7.6172318400000005</v>
      </c>
      <c r="CP138" s="2106">
        <v>13.980278999999999</v>
      </c>
      <c r="CQ138" s="2106">
        <f t="shared" si="301"/>
        <v>0</v>
      </c>
      <c r="CR138" s="2106">
        <v>0</v>
      </c>
      <c r="CS138" s="2106">
        <f>IFERROR(CT138/CP138*10,0)</f>
        <v>4.000000200282126</v>
      </c>
      <c r="CT138" s="2106">
        <v>5.59211188</v>
      </c>
      <c r="CU138" s="2106">
        <f>IFERROR(CV138/CP138*10,0)</f>
        <v>0</v>
      </c>
      <c r="CV138" s="2106">
        <v>0</v>
      </c>
      <c r="CW138" s="2106"/>
      <c r="CX138" s="2106">
        <f>IFERROR(CY138/CP138*10,0)</f>
        <v>4.000000200282126</v>
      </c>
      <c r="CY138" s="2106">
        <f>SUM(CR138,CT138,CV138,CW138)</f>
        <v>5.59211188</v>
      </c>
      <c r="CZ138" s="2106">
        <v>19.040076000000003</v>
      </c>
      <c r="DA138" s="2106">
        <f t="shared" si="189"/>
        <v>0</v>
      </c>
      <c r="DB138" s="2106">
        <v>0</v>
      </c>
      <c r="DC138" s="2106">
        <v>4.0810589002516622</v>
      </c>
      <c r="DD138" s="2135">
        <f t="shared" si="302"/>
        <v>7.7703671621268073</v>
      </c>
      <c r="DE138" s="2106"/>
      <c r="DF138" s="2106"/>
      <c r="DG138" s="2106"/>
      <c r="DH138" s="2106">
        <f>IFERROR(DI138/CZ138*10,0)</f>
        <v>4.0810589002516622</v>
      </c>
      <c r="DI138" s="2106">
        <f>SUM(DB138,DD138,DF138,DG138)</f>
        <v>7.7703671621268073</v>
      </c>
      <c r="DJ138" s="2106">
        <v>17.197488</v>
      </c>
      <c r="DK138" s="2106">
        <f t="shared" si="192"/>
        <v>0</v>
      </c>
      <c r="DL138" s="2106">
        <v>0</v>
      </c>
      <c r="DM138" s="2106">
        <v>4.0810589002516622</v>
      </c>
      <c r="DN138" s="2135">
        <f t="shared" si="303"/>
        <v>7.018396146437115</v>
      </c>
      <c r="DO138" s="2106"/>
      <c r="DP138" s="2106"/>
      <c r="DQ138" s="2106"/>
      <c r="DR138" s="2106">
        <f>IFERROR(DS138/DJ138*10,0)</f>
        <v>4.0810589002516622</v>
      </c>
      <c r="DS138" s="2106">
        <f>SUM(DL138,DN138,DP138,DQ138)</f>
        <v>7.018396146437115</v>
      </c>
      <c r="DT138" s="2106">
        <v>19.040076000000003</v>
      </c>
      <c r="DU138" s="2106">
        <f t="shared" si="195"/>
        <v>0</v>
      </c>
      <c r="DV138" s="2106">
        <v>0</v>
      </c>
      <c r="DW138" s="2106">
        <v>4.0810589002516622</v>
      </c>
      <c r="DX138" s="2135">
        <f t="shared" si="304"/>
        <v>7.7703671621268073</v>
      </c>
      <c r="DY138" s="2106"/>
      <c r="DZ138" s="2106"/>
      <c r="EA138" s="2106"/>
      <c r="EB138" s="2106">
        <f>IFERROR(EC138/DT138*10,0)</f>
        <v>4.0810589002516622</v>
      </c>
      <c r="EC138" s="2106">
        <f>SUM(DV138,DX138,DZ138,EA138)</f>
        <v>7.7703671621268073</v>
      </c>
      <c r="ED138" s="2106">
        <f>SUM(N138,X138,AH138,AR138,BB138,BL138,BV138,CF138,CP138,CZ138,DJ138,DT138)</f>
        <v>253.730391</v>
      </c>
      <c r="EE138" s="2107"/>
      <c r="EF138" s="2106">
        <f>IFERROR(EG138/ED138*10,0)</f>
        <v>0</v>
      </c>
      <c r="EG138" s="2106">
        <f>SUM(P138,Z138,AJ138,AT138,BD138,BN138,BX138,CH138,CR138,DB138,DL138,DV138)</f>
        <v>0</v>
      </c>
      <c r="EH138" s="2106">
        <f>IFERROR(EI138/ED138*10,0)</f>
        <v>4.0176594679464595</v>
      </c>
      <c r="EI138" s="2106">
        <f>SUM(R138,AB138,AL138,AV138,BF138,BP138,BZ138,CJ138,CT138,DD138,DN138,DX138)</f>
        <v>101.94023077069072</v>
      </c>
      <c r="EJ138" s="2106"/>
      <c r="EK138" s="2106">
        <f>SUM(T138,AD138,AN138,AX138,BH138,BR138,CB138,CL138,CV138,DF138,DP138,DZ138)</f>
        <v>0.1269064</v>
      </c>
      <c r="EL138" s="2106"/>
      <c r="EM138" s="2106"/>
      <c r="EN138" s="2106">
        <f>EG138+EI138+EK138</f>
        <v>102.06713717069071</v>
      </c>
      <c r="EO138" s="2104">
        <f>IFERROR(EN138/ED138*10,0)</f>
        <v>4.0226610918946131</v>
      </c>
      <c r="EP138" s="2110"/>
      <c r="ES138" s="2093">
        <f t="shared" si="187"/>
        <v>0</v>
      </c>
      <c r="EU138" s="2093">
        <f t="shared" si="198"/>
        <v>79.3811003</v>
      </c>
      <c r="EV138" s="2093">
        <f t="shared" si="199"/>
        <v>198.45275100000001</v>
      </c>
      <c r="EW138" s="2093">
        <f t="shared" si="200"/>
        <v>3.999999994961017</v>
      </c>
    </row>
    <row r="139" spans="1:153">
      <c r="A139" s="1760"/>
      <c r="B139" s="1761"/>
      <c r="C139" s="2116"/>
      <c r="D139" s="2117"/>
      <c r="E139" s="2118"/>
      <c r="F139" s="2117"/>
      <c r="G139" s="1774"/>
      <c r="J139" s="2106"/>
      <c r="K139" s="2101"/>
      <c r="L139" s="2101"/>
      <c r="M139" s="2105"/>
      <c r="N139" s="2106"/>
      <c r="O139" s="2106"/>
      <c r="P139" s="2106"/>
      <c r="Q139" s="2106"/>
      <c r="R139" s="2106"/>
      <c r="S139" s="2106"/>
      <c r="T139" s="2106"/>
      <c r="U139" s="2106"/>
      <c r="V139" s="2106"/>
      <c r="W139" s="2106"/>
      <c r="X139" s="2106"/>
      <c r="Y139" s="2106"/>
      <c r="Z139" s="2106"/>
      <c r="AA139" s="2106"/>
      <c r="AB139" s="2106"/>
      <c r="AC139" s="2106"/>
      <c r="AD139" s="2106"/>
      <c r="AE139" s="2106"/>
      <c r="AF139" s="2106"/>
      <c r="AG139" s="2106"/>
      <c r="AH139" s="2106"/>
      <c r="AI139" s="2106"/>
      <c r="AJ139" s="2106"/>
      <c r="AK139" s="2106"/>
      <c r="AL139" s="2106"/>
      <c r="AM139" s="2106"/>
      <c r="AN139" s="2106"/>
      <c r="AO139" s="2106"/>
      <c r="AP139" s="2106"/>
      <c r="AQ139" s="2106"/>
      <c r="AR139" s="2106"/>
      <c r="AS139" s="2106"/>
      <c r="AT139" s="2106"/>
      <c r="AU139" s="2106"/>
      <c r="AV139" s="2106"/>
      <c r="AW139" s="2106"/>
      <c r="AX139" s="2106"/>
      <c r="AY139" s="2120"/>
      <c r="AZ139" s="2106"/>
      <c r="BA139" s="2106"/>
      <c r="BB139" s="2106"/>
      <c r="BC139" s="2106"/>
      <c r="BD139" s="2106"/>
      <c r="BE139" s="2106"/>
      <c r="BF139" s="2106"/>
      <c r="BG139" s="2106"/>
      <c r="BH139" s="2106"/>
      <c r="BI139" s="2120"/>
      <c r="BJ139" s="2106"/>
      <c r="BK139" s="2106"/>
      <c r="BL139" s="2106"/>
      <c r="BM139" s="2106"/>
      <c r="BN139" s="2106"/>
      <c r="BO139" s="2106"/>
      <c r="BP139" s="2106"/>
      <c r="BQ139" s="2106"/>
      <c r="BR139" s="2106"/>
      <c r="BS139" s="2120"/>
      <c r="BT139" s="2106"/>
      <c r="BU139" s="2106"/>
      <c r="BV139" s="2106"/>
      <c r="BW139" s="2106"/>
      <c r="BX139" s="2106"/>
      <c r="BY139" s="2106"/>
      <c r="BZ139" s="2106"/>
      <c r="CA139" s="2106"/>
      <c r="CB139" s="2106"/>
      <c r="CC139" s="2120"/>
      <c r="CD139" s="2106"/>
      <c r="CE139" s="2106"/>
      <c r="CF139" s="2106"/>
      <c r="CG139" s="2106"/>
      <c r="CH139" s="2106"/>
      <c r="CI139" s="2106"/>
      <c r="CJ139" s="2106"/>
      <c r="CK139" s="2106"/>
      <c r="CL139" s="2106"/>
      <c r="CM139" s="2120"/>
      <c r="CN139" s="2106"/>
      <c r="CO139" s="2106"/>
      <c r="CP139" s="2106">
        <v>0</v>
      </c>
      <c r="CQ139" s="2106">
        <f t="shared" si="301"/>
        <v>0</v>
      </c>
      <c r="CR139" s="2106">
        <v>0</v>
      </c>
      <c r="CS139" s="2106">
        <v>0</v>
      </c>
      <c r="CT139" s="2109">
        <f>CS139*CP139/10</f>
        <v>0</v>
      </c>
      <c r="CU139" s="2106"/>
      <c r="CV139" s="2106"/>
      <c r="CW139" s="2120"/>
      <c r="CX139" s="2106"/>
      <c r="CY139" s="2106"/>
      <c r="CZ139" s="2106"/>
      <c r="DA139" s="2106"/>
      <c r="DB139" s="2106"/>
      <c r="DC139" s="2106"/>
      <c r="DD139" s="2109"/>
      <c r="DE139" s="2106"/>
      <c r="DF139" s="2106"/>
      <c r="DG139" s="2120"/>
      <c r="DH139" s="2106"/>
      <c r="DI139" s="2106"/>
      <c r="DJ139" s="2106"/>
      <c r="DK139" s="2106"/>
      <c r="DL139" s="2106"/>
      <c r="DM139" s="2106"/>
      <c r="DN139" s="2109"/>
      <c r="DO139" s="2106"/>
      <c r="DP139" s="2106"/>
      <c r="DQ139" s="2120"/>
      <c r="DR139" s="2106"/>
      <c r="DS139" s="2106"/>
      <c r="DT139" s="2106"/>
      <c r="DU139" s="2106"/>
      <c r="DV139" s="2106"/>
      <c r="DW139" s="2106"/>
      <c r="DX139" s="2109"/>
      <c r="DY139" s="2106"/>
      <c r="DZ139" s="2106"/>
      <c r="EA139" s="2106"/>
      <c r="EB139" s="2106"/>
      <c r="EC139" s="2106"/>
      <c r="ED139" s="2106"/>
      <c r="EE139" s="2107"/>
      <c r="EF139" s="2106"/>
      <c r="EG139" s="2106"/>
      <c r="EH139" s="2106"/>
      <c r="EI139" s="2106"/>
      <c r="EJ139" s="2106"/>
      <c r="EK139" s="2106"/>
      <c r="EL139" s="2106"/>
      <c r="EM139" s="2106"/>
      <c r="EN139" s="2106"/>
      <c r="EO139" s="2110"/>
      <c r="EP139" s="2110"/>
      <c r="ES139" s="2084">
        <f t="shared" si="187"/>
        <v>0</v>
      </c>
      <c r="EU139" s="2084">
        <f t="shared" si="198"/>
        <v>0</v>
      </c>
      <c r="EV139" s="2084">
        <f t="shared" si="199"/>
        <v>0</v>
      </c>
      <c r="EW139" s="2084" t="e">
        <f t="shared" si="200"/>
        <v>#DIV/0!</v>
      </c>
    </row>
    <row r="140" spans="1:153">
      <c r="A140" s="1760" t="s">
        <v>706</v>
      </c>
      <c r="B140" s="1761" t="s">
        <v>1757</v>
      </c>
      <c r="C140" s="2116"/>
      <c r="D140" s="2117"/>
      <c r="E140" s="2118"/>
      <c r="F140" s="2117"/>
      <c r="G140" s="1774"/>
      <c r="J140" s="2106"/>
      <c r="K140" s="2101"/>
      <c r="L140" s="2101"/>
      <c r="M140" s="2105"/>
      <c r="N140" s="2106"/>
      <c r="O140" s="2106"/>
      <c r="P140" s="2106"/>
      <c r="Q140" s="2106"/>
      <c r="R140" s="2106"/>
      <c r="S140" s="2106"/>
      <c r="T140" s="2106"/>
      <c r="U140" s="2106"/>
      <c r="V140" s="2106"/>
      <c r="W140" s="2106"/>
      <c r="X140" s="2106"/>
      <c r="Y140" s="2106"/>
      <c r="Z140" s="2106"/>
      <c r="AA140" s="2106"/>
      <c r="AB140" s="2106"/>
      <c r="AC140" s="2106"/>
      <c r="AD140" s="2106"/>
      <c r="AE140" s="2106"/>
      <c r="AF140" s="2106"/>
      <c r="AG140" s="2106"/>
      <c r="AH140" s="2106"/>
      <c r="AI140" s="2106"/>
      <c r="AJ140" s="2106"/>
      <c r="AK140" s="2106"/>
      <c r="AL140" s="2106"/>
      <c r="AM140" s="2106"/>
      <c r="AN140" s="2106"/>
      <c r="AO140" s="2106"/>
      <c r="AP140" s="2106"/>
      <c r="AQ140" s="2106"/>
      <c r="AR140" s="2106"/>
      <c r="AS140" s="2106"/>
      <c r="AT140" s="2106"/>
      <c r="AU140" s="2106"/>
      <c r="AV140" s="2106"/>
      <c r="AW140" s="2106"/>
      <c r="AX140" s="2106"/>
      <c r="AY140" s="2120"/>
      <c r="AZ140" s="2106"/>
      <c r="BA140" s="2106"/>
      <c r="BB140" s="2106"/>
      <c r="BC140" s="2106"/>
      <c r="BD140" s="2106"/>
      <c r="BE140" s="2106"/>
      <c r="BF140" s="2106"/>
      <c r="BG140" s="2106"/>
      <c r="BH140" s="2106"/>
      <c r="BI140" s="2120"/>
      <c r="BJ140" s="2106"/>
      <c r="BK140" s="2106"/>
      <c r="BL140" s="2106"/>
      <c r="BM140" s="2106"/>
      <c r="BN140" s="2106"/>
      <c r="BO140" s="2106"/>
      <c r="BP140" s="2106"/>
      <c r="BQ140" s="2106"/>
      <c r="BR140" s="2106"/>
      <c r="BS140" s="2120"/>
      <c r="BT140" s="2106"/>
      <c r="BU140" s="2106"/>
      <c r="BV140" s="2106"/>
      <c r="BW140" s="2106"/>
      <c r="BX140" s="2106"/>
      <c r="BY140" s="2106"/>
      <c r="BZ140" s="2106"/>
      <c r="CA140" s="2106"/>
      <c r="CB140" s="2106"/>
      <c r="CC140" s="2120"/>
      <c r="CD140" s="2106"/>
      <c r="CE140" s="2106"/>
      <c r="CF140" s="2106"/>
      <c r="CG140" s="2106"/>
      <c r="CH140" s="2106"/>
      <c r="CI140" s="2106"/>
      <c r="CJ140" s="2106"/>
      <c r="CK140" s="2106"/>
      <c r="CL140" s="2106"/>
      <c r="CM140" s="2120"/>
      <c r="CN140" s="2106"/>
      <c r="CO140" s="2106"/>
      <c r="CP140" s="2106">
        <v>0</v>
      </c>
      <c r="CQ140" s="2106">
        <f t="shared" si="301"/>
        <v>0</v>
      </c>
      <c r="CR140" s="2106">
        <v>0</v>
      </c>
      <c r="CS140" s="2106">
        <v>0</v>
      </c>
      <c r="CT140" s="2109">
        <f>CS140*CP140/10</f>
        <v>0</v>
      </c>
      <c r="CU140" s="2106"/>
      <c r="CV140" s="2106"/>
      <c r="CW140" s="2120"/>
      <c r="CX140" s="2106"/>
      <c r="CY140" s="2106"/>
      <c r="CZ140" s="2106">
        <v>0</v>
      </c>
      <c r="DA140" s="2106">
        <f t="shared" si="189"/>
        <v>0</v>
      </c>
      <c r="DB140" s="2106">
        <v>0</v>
      </c>
      <c r="DC140" s="2106">
        <v>0</v>
      </c>
      <c r="DD140" s="2109">
        <f t="shared" si="302"/>
        <v>0</v>
      </c>
      <c r="DE140" s="2106"/>
      <c r="DF140" s="2106"/>
      <c r="DG140" s="2120"/>
      <c r="DH140" s="2106"/>
      <c r="DI140" s="2106"/>
      <c r="DJ140" s="2106">
        <v>0</v>
      </c>
      <c r="DK140" s="2106">
        <f t="shared" si="192"/>
        <v>0</v>
      </c>
      <c r="DL140" s="2106">
        <v>0</v>
      </c>
      <c r="DM140" s="2106">
        <v>0</v>
      </c>
      <c r="DN140" s="2109">
        <f t="shared" si="303"/>
        <v>0</v>
      </c>
      <c r="DO140" s="2106"/>
      <c r="DP140" s="2106"/>
      <c r="DQ140" s="2120"/>
      <c r="DR140" s="2106"/>
      <c r="DS140" s="2106"/>
      <c r="DT140" s="2106">
        <v>0</v>
      </c>
      <c r="DU140" s="2106">
        <f t="shared" si="195"/>
        <v>0</v>
      </c>
      <c r="DV140" s="2106">
        <v>0</v>
      </c>
      <c r="DW140" s="2106">
        <v>0</v>
      </c>
      <c r="DX140" s="2109">
        <f t="shared" si="304"/>
        <v>0</v>
      </c>
      <c r="DY140" s="2106"/>
      <c r="DZ140" s="2106"/>
      <c r="EA140" s="2106"/>
      <c r="EB140" s="2106"/>
      <c r="EC140" s="2106"/>
      <c r="ED140" s="2106"/>
      <c r="EE140" s="2107"/>
      <c r="EF140" s="2106"/>
      <c r="EG140" s="2106"/>
      <c r="EH140" s="2106"/>
      <c r="EI140" s="2106"/>
      <c r="EJ140" s="2106"/>
      <c r="EK140" s="2106"/>
      <c r="EL140" s="2106"/>
      <c r="EM140" s="2106"/>
      <c r="EN140" s="2106"/>
      <c r="EO140" s="2110"/>
      <c r="EP140" s="2110"/>
      <c r="ES140" s="2084">
        <f t="shared" si="187"/>
        <v>0</v>
      </c>
      <c r="EU140" s="2084">
        <f t="shared" si="198"/>
        <v>0</v>
      </c>
      <c r="EV140" s="2084">
        <f t="shared" si="199"/>
        <v>0</v>
      </c>
      <c r="EW140" s="2084" t="e">
        <f t="shared" si="200"/>
        <v>#DIV/0!</v>
      </c>
    </row>
    <row r="141" spans="1:153">
      <c r="A141" s="1760"/>
      <c r="B141" s="1761" t="s">
        <v>1745</v>
      </c>
      <c r="C141" s="2116"/>
      <c r="D141" s="2117"/>
      <c r="E141" s="2118"/>
      <c r="F141" s="2117"/>
      <c r="G141" s="1774"/>
      <c r="H141" s="2102"/>
      <c r="I141" s="2103"/>
      <c r="J141" s="2104"/>
      <c r="K141" s="2101"/>
      <c r="L141" s="2101"/>
      <c r="M141" s="2105"/>
      <c r="N141" s="2106"/>
      <c r="O141" s="2106"/>
      <c r="P141" s="2106"/>
      <c r="Q141" s="2106"/>
      <c r="R141" s="2106"/>
      <c r="S141" s="2106"/>
      <c r="T141" s="2106"/>
      <c r="U141" s="2106"/>
      <c r="V141" s="2106"/>
      <c r="W141" s="2106"/>
      <c r="X141" s="2106"/>
      <c r="Y141" s="2106"/>
      <c r="Z141" s="2106"/>
      <c r="AA141" s="2106"/>
      <c r="AB141" s="2106"/>
      <c r="AC141" s="2106"/>
      <c r="AD141" s="2106"/>
      <c r="AE141" s="2106"/>
      <c r="AF141" s="2106"/>
      <c r="AG141" s="2106"/>
      <c r="AH141" s="2106"/>
      <c r="AI141" s="2106"/>
      <c r="AJ141" s="2106"/>
      <c r="AK141" s="2106"/>
      <c r="AL141" s="2106"/>
      <c r="AM141" s="2106"/>
      <c r="AN141" s="2106"/>
      <c r="AO141" s="2106"/>
      <c r="AP141" s="2106"/>
      <c r="AQ141" s="2106"/>
      <c r="AR141" s="2106"/>
      <c r="AS141" s="2106"/>
      <c r="AT141" s="2106"/>
      <c r="AU141" s="2106"/>
      <c r="AV141" s="2106"/>
      <c r="AW141" s="2106"/>
      <c r="AX141" s="2106"/>
      <c r="AY141" s="2120"/>
      <c r="AZ141" s="2106"/>
      <c r="BA141" s="2106"/>
      <c r="BB141" s="2106"/>
      <c r="BC141" s="2106"/>
      <c r="BD141" s="2106"/>
      <c r="BE141" s="2106"/>
      <c r="BF141" s="2106"/>
      <c r="BG141" s="2106"/>
      <c r="BH141" s="2106"/>
      <c r="BI141" s="2120"/>
      <c r="BJ141" s="2106"/>
      <c r="BK141" s="2106"/>
      <c r="BL141" s="2106"/>
      <c r="BM141" s="2106"/>
      <c r="BN141" s="2106"/>
      <c r="BO141" s="2106"/>
      <c r="BP141" s="2106"/>
      <c r="BQ141" s="2106"/>
      <c r="BR141" s="2106"/>
      <c r="BS141" s="2120"/>
      <c r="BT141" s="2106"/>
      <c r="BU141" s="2106"/>
      <c r="BV141" s="2106"/>
      <c r="BW141" s="2106"/>
      <c r="BX141" s="2106"/>
      <c r="BY141" s="2106"/>
      <c r="BZ141" s="2106"/>
      <c r="CA141" s="2106"/>
      <c r="CB141" s="2106"/>
      <c r="CC141" s="2120"/>
      <c r="CD141" s="2106"/>
      <c r="CE141" s="2106"/>
      <c r="CF141" s="2106"/>
      <c r="CG141" s="2106"/>
      <c r="CH141" s="2106"/>
      <c r="CI141" s="2106"/>
      <c r="CJ141" s="2106"/>
      <c r="CK141" s="2106"/>
      <c r="CL141" s="2106"/>
      <c r="CM141" s="2120"/>
      <c r="CN141" s="2106"/>
      <c r="CO141" s="2106"/>
      <c r="CP141" s="2106">
        <v>0</v>
      </c>
      <c r="CQ141" s="2106">
        <f t="shared" si="301"/>
        <v>0</v>
      </c>
      <c r="CR141" s="2106">
        <v>0</v>
      </c>
      <c r="CS141" s="2106">
        <v>0</v>
      </c>
      <c r="CT141" s="2109">
        <f>CS141*CP141/10</f>
        <v>0</v>
      </c>
      <c r="CU141" s="2106"/>
      <c r="CV141" s="2106"/>
      <c r="CW141" s="2120"/>
      <c r="CX141" s="2106"/>
      <c r="CY141" s="2106"/>
      <c r="CZ141" s="2106">
        <v>0</v>
      </c>
      <c r="DA141" s="2106">
        <f t="shared" si="189"/>
        <v>0</v>
      </c>
      <c r="DB141" s="2106">
        <v>0</v>
      </c>
      <c r="DC141" s="2106">
        <v>0</v>
      </c>
      <c r="DD141" s="2109">
        <f t="shared" si="302"/>
        <v>0</v>
      </c>
      <c r="DE141" s="2106"/>
      <c r="DF141" s="2106"/>
      <c r="DG141" s="2120"/>
      <c r="DH141" s="2106"/>
      <c r="DI141" s="2106"/>
      <c r="DJ141" s="2106">
        <v>0</v>
      </c>
      <c r="DK141" s="2106">
        <f t="shared" si="192"/>
        <v>0</v>
      </c>
      <c r="DL141" s="2106">
        <v>0</v>
      </c>
      <c r="DM141" s="2106">
        <v>0</v>
      </c>
      <c r="DN141" s="2109">
        <f t="shared" si="303"/>
        <v>0</v>
      </c>
      <c r="DO141" s="2106"/>
      <c r="DP141" s="2106"/>
      <c r="DQ141" s="2120"/>
      <c r="DR141" s="2106"/>
      <c r="DS141" s="2106"/>
      <c r="DT141" s="2106">
        <v>0</v>
      </c>
      <c r="DU141" s="2106">
        <f t="shared" si="195"/>
        <v>0</v>
      </c>
      <c r="DV141" s="2106">
        <v>0</v>
      </c>
      <c r="DW141" s="2106">
        <v>0</v>
      </c>
      <c r="DX141" s="2109">
        <f t="shared" si="304"/>
        <v>0</v>
      </c>
      <c r="DY141" s="2106"/>
      <c r="DZ141" s="2106"/>
      <c r="EA141" s="2106"/>
      <c r="EB141" s="2106"/>
      <c r="EC141" s="2106"/>
      <c r="ED141" s="2106"/>
      <c r="EE141" s="2107"/>
      <c r="EF141" s="2106"/>
      <c r="EG141" s="2106"/>
      <c r="EH141" s="2106"/>
      <c r="EI141" s="2106"/>
      <c r="EJ141" s="2106"/>
      <c r="EK141" s="2106"/>
      <c r="EL141" s="2106"/>
      <c r="EM141" s="2106"/>
      <c r="EN141" s="2106"/>
      <c r="EO141" s="2110"/>
      <c r="EP141" s="2110"/>
      <c r="ES141" s="2084">
        <f t="shared" si="187"/>
        <v>0</v>
      </c>
      <c r="EU141" s="2084">
        <f t="shared" si="198"/>
        <v>0</v>
      </c>
      <c r="EV141" s="2084">
        <f t="shared" si="199"/>
        <v>0</v>
      </c>
      <c r="EW141" s="2084" t="e">
        <f t="shared" si="200"/>
        <v>#DIV/0!</v>
      </c>
    </row>
    <row r="142" spans="1:153">
      <c r="A142" s="1760">
        <v>1</v>
      </c>
      <c r="B142" s="1761" t="s">
        <v>1758</v>
      </c>
      <c r="C142" s="2098">
        <v>1020</v>
      </c>
      <c r="D142" s="2099">
        <v>0</v>
      </c>
      <c r="E142" s="2100"/>
      <c r="F142" s="2099">
        <v>0.33939899293961057</v>
      </c>
      <c r="G142" s="2104">
        <v>44</v>
      </c>
      <c r="H142" s="2102" t="s">
        <v>1717</v>
      </c>
      <c r="I142" s="2103">
        <v>1</v>
      </c>
      <c r="J142" s="2104"/>
      <c r="K142" s="2101"/>
      <c r="L142" s="2101"/>
      <c r="M142" s="2105"/>
      <c r="N142" s="2106">
        <v>0</v>
      </c>
      <c r="O142" s="2106">
        <f t="shared" ref="O142:O148" si="305">IFERROR(P142/N142*10,0)</f>
        <v>0</v>
      </c>
      <c r="P142" s="2106">
        <v>0</v>
      </c>
      <c r="Q142" s="2106">
        <f t="shared" ref="Q142:Q148" si="306">IFERROR(R142/N142*10,0)</f>
        <v>0</v>
      </c>
      <c r="R142" s="2106">
        <v>0</v>
      </c>
      <c r="S142" s="2106">
        <f t="shared" ref="S142:S168" si="307">IFERROR(T142/N142*10,0)</f>
        <v>0</v>
      </c>
      <c r="T142" s="2106">
        <v>0</v>
      </c>
      <c r="U142" s="2106"/>
      <c r="V142" s="2106">
        <f>IFERROR(W142/N142*10,0)</f>
        <v>0</v>
      </c>
      <c r="W142" s="2106">
        <f>SUM(P142,R142,T142,U142)</f>
        <v>0</v>
      </c>
      <c r="X142" s="2106">
        <v>8.4092780000000005</v>
      </c>
      <c r="Y142" s="2106">
        <f t="shared" ref="Y142:Y148" si="308">IFERROR(Z142/X142*10,0)</f>
        <v>0</v>
      </c>
      <c r="Z142" s="2106">
        <v>0</v>
      </c>
      <c r="AA142" s="2106">
        <f t="shared" ref="AA142:AA148" si="309">IFERROR(AB142/X142*10,0)</f>
        <v>2.1599999429201886</v>
      </c>
      <c r="AB142" s="2106">
        <v>1.8164039999999999</v>
      </c>
      <c r="AC142" s="2106">
        <f t="shared" ref="AC142:AC148" si="310">IFERROR(AD142/X142*10,0)</f>
        <v>0</v>
      </c>
      <c r="AD142" s="2106">
        <v>0</v>
      </c>
      <c r="AE142" s="2106"/>
      <c r="AF142" s="2106">
        <f t="shared" ref="AF142:AF148" si="311">IFERROR(AG142/X142*10,0)</f>
        <v>2.1599999429201886</v>
      </c>
      <c r="AG142" s="2106">
        <f t="shared" ref="AG142:AG148" si="312">SUM(Z142,AB142,AD142,AE142)</f>
        <v>1.8164039999999999</v>
      </c>
      <c r="AH142" s="2106">
        <v>20.023622</v>
      </c>
      <c r="AI142" s="2106">
        <f t="shared" ref="AI142:AI148" si="313">IFERROR(AJ142/AH142*10,0)</f>
        <v>0</v>
      </c>
      <c r="AJ142" s="2106">
        <v>0</v>
      </c>
      <c r="AK142" s="2106">
        <f t="shared" ref="AK142:AK148" si="314">IFERROR(AL142/AH142*10,0)</f>
        <v>2.160000023971687</v>
      </c>
      <c r="AL142" s="2106">
        <v>4.3251023999999996</v>
      </c>
      <c r="AM142" s="2106">
        <f t="shared" ref="AM142:AM148" si="315">IFERROR(AN142/AH142*10,0)</f>
        <v>0</v>
      </c>
      <c r="AN142" s="2106">
        <v>0</v>
      </c>
      <c r="AO142" s="2106">
        <v>0</v>
      </c>
      <c r="AP142" s="2106">
        <f t="shared" ref="AP142:AP148" si="316">IFERROR(AQ142/AH142*10,0)</f>
        <v>2.160000023971687</v>
      </c>
      <c r="AQ142" s="2106">
        <f t="shared" ref="AQ142:AQ148" si="317">SUM(AJ142,AL142,AN142,AO142)</f>
        <v>4.3251023999999996</v>
      </c>
      <c r="AR142" s="2106">
        <v>21.646546000000001</v>
      </c>
      <c r="AS142" s="2106">
        <f t="shared" ref="AS142:AS148" si="318">IFERROR(AT142/AR142*10,0)</f>
        <v>0</v>
      </c>
      <c r="AT142" s="2106">
        <v>0</v>
      </c>
      <c r="AU142" s="2106">
        <f t="shared" ref="AU142:AU148" si="319">IFERROR(AV142/AR142*10,0)</f>
        <v>2.1599999833691714</v>
      </c>
      <c r="AV142" s="2106">
        <v>4.6756539000000004</v>
      </c>
      <c r="AW142" s="2106">
        <f t="shared" ref="AW142:AW148" si="320">IFERROR(AX142/AR142*10,0)</f>
        <v>0</v>
      </c>
      <c r="AX142" s="2106">
        <v>0</v>
      </c>
      <c r="AY142" s="2106"/>
      <c r="AZ142" s="2106">
        <f t="shared" ref="AZ142:AZ148" si="321">IFERROR(BA142/AR142*10,0)</f>
        <v>2.1599999833691714</v>
      </c>
      <c r="BA142" s="2106">
        <f t="shared" ref="BA142:BA148" si="322">SUM(AT142,AV142,AX142,AY142)</f>
        <v>4.6756539000000004</v>
      </c>
      <c r="BB142" s="2106">
        <v>24.858910000000002</v>
      </c>
      <c r="BC142" s="2106">
        <f t="shared" ref="BC142:BC148" si="323">IFERROR(BD142/BB142*10,0)</f>
        <v>0</v>
      </c>
      <c r="BD142" s="2106">
        <v>0</v>
      </c>
      <c r="BE142" s="2106">
        <f t="shared" ref="BE142:BE148" si="324">IFERROR(BF142/BB142*10,0)</f>
        <v>2.1600000160908102</v>
      </c>
      <c r="BF142" s="2106">
        <v>5.3695246000000001</v>
      </c>
      <c r="BG142" s="2106">
        <f t="shared" ref="BG142:BG148" si="325">IFERROR(BH142/BB142*10,0)</f>
        <v>0</v>
      </c>
      <c r="BH142" s="2106">
        <v>0</v>
      </c>
      <c r="BI142" s="2106"/>
      <c r="BJ142" s="2106">
        <f t="shared" ref="BJ142:BJ148" si="326">IFERROR(BK142/BB142*10,0)</f>
        <v>2.1600000160908102</v>
      </c>
      <c r="BK142" s="2106">
        <f t="shared" ref="BK142:BK148" si="327">SUM(BD142,BF142,BH142,BI142)</f>
        <v>5.3695246000000001</v>
      </c>
      <c r="BL142" s="2106">
        <v>22.528099000000001</v>
      </c>
      <c r="BM142" s="2106">
        <f t="shared" ref="BM142:BM148" si="328">IFERROR(BN142/BL142*10,0)</f>
        <v>0</v>
      </c>
      <c r="BN142" s="2106">
        <v>0</v>
      </c>
      <c r="BO142" s="2106">
        <f t="shared" ref="BO142:BO148" si="329">IFERROR(BP142/BL142*10,0)</f>
        <v>2.1600000071022412</v>
      </c>
      <c r="BP142" s="2106">
        <v>4.8660693999999998</v>
      </c>
      <c r="BQ142" s="2106">
        <f t="shared" ref="BQ142:BQ148" si="330">IFERROR(BR142/BL142*10,0)</f>
        <v>0</v>
      </c>
      <c r="BR142" s="2106">
        <v>0</v>
      </c>
      <c r="BS142" s="2106"/>
      <c r="BT142" s="2106">
        <f t="shared" ref="BT142:BT148" si="331">IFERROR(BU142/BL142*10,0)</f>
        <v>2.1600000071022412</v>
      </c>
      <c r="BU142" s="2106">
        <f t="shared" ref="BU142:BU148" si="332">SUM(BN142,BP142,BR142,BS142)</f>
        <v>4.8660693999999998</v>
      </c>
      <c r="BV142" s="2106">
        <v>17.359470000000002</v>
      </c>
      <c r="BW142" s="2106">
        <f t="shared" ref="BW142:BW148" si="333">IFERROR(BX142/BV142*10,0)</f>
        <v>0</v>
      </c>
      <c r="BX142" s="2106">
        <v>0</v>
      </c>
      <c r="BY142" s="2106">
        <f t="shared" ref="BY142:BY148" si="334">IFERROR(BZ142/BV142*10,0)</f>
        <v>2.1599999884789107</v>
      </c>
      <c r="BZ142" s="2106">
        <v>3.7496455000000002</v>
      </c>
      <c r="CA142" s="2106">
        <f t="shared" ref="CA142:CA148" si="335">IFERROR(CB142/BV142*10,0)</f>
        <v>0</v>
      </c>
      <c r="CB142" s="2106">
        <v>0</v>
      </c>
      <c r="CC142" s="2106"/>
      <c r="CD142" s="2106">
        <f t="shared" ref="CD142:CD148" si="336">IFERROR(CE142/BV142*10,0)</f>
        <v>2.1599999884789107</v>
      </c>
      <c r="CE142" s="2106">
        <f t="shared" ref="CE142:CE148" si="337">SUM(BX142,BZ142,CB142,CC142)</f>
        <v>3.7496455000000002</v>
      </c>
      <c r="CF142" s="2106">
        <v>6.675897</v>
      </c>
      <c r="CG142" s="2106">
        <f t="shared" ref="CG142:CG148" si="338">IFERROR(CH142/CF142*10,0)</f>
        <v>0</v>
      </c>
      <c r="CH142" s="2106">
        <v>0</v>
      </c>
      <c r="CI142" s="2106">
        <f t="shared" ref="CI142:CI148" si="339">IFERROR(CJ142/CF142*10,0)</f>
        <v>2.1600000719004502</v>
      </c>
      <c r="CJ142" s="2106">
        <v>1.4419938000000001</v>
      </c>
      <c r="CK142" s="2106">
        <f t="shared" ref="CK142:CK148" si="340">IFERROR(CL142/CF142*10,0)</f>
        <v>1.3182348379551094E-2</v>
      </c>
      <c r="CL142" s="2121">
        <v>8.8003999999999999E-3</v>
      </c>
      <c r="CM142" s="2106"/>
      <c r="CN142" s="2106">
        <f t="shared" ref="CN142:CN148" si="341">IFERROR(CO142/CF142*10,0)</f>
        <v>2.1731824202800012</v>
      </c>
      <c r="CO142" s="2106">
        <f t="shared" ref="CO142:CO148" si="342">SUM(CH142,CJ142,CL142,CM142)</f>
        <v>1.4507942</v>
      </c>
      <c r="CP142" s="2106">
        <v>0.166349</v>
      </c>
      <c r="CQ142" s="2106">
        <f t="shared" si="301"/>
        <v>0</v>
      </c>
      <c r="CR142" s="2106">
        <v>0</v>
      </c>
      <c r="CS142" s="2106">
        <f t="shared" ref="CS142:CS167" si="343">IFERROR(CT142/CP142*10,0)</f>
        <v>2.2699986173646973</v>
      </c>
      <c r="CT142" s="2106">
        <v>3.7761200000000002E-2</v>
      </c>
      <c r="CU142" s="2106">
        <f t="shared" ref="CU142:CU167" si="344">IFERROR(CV142/CP142*10,0)</f>
        <v>0</v>
      </c>
      <c r="CV142" s="2106">
        <v>0</v>
      </c>
      <c r="CW142" s="2106"/>
      <c r="CX142" s="2106">
        <f t="shared" ref="CX142:CX148" si="345">IFERROR(CY142/CP142*10,0)</f>
        <v>2.2699986173646973</v>
      </c>
      <c r="CY142" s="2106">
        <f t="shared" ref="CY142:CY148" si="346">SUM(CR142,CT142,CV142,CW142)</f>
        <v>3.7761200000000002E-2</v>
      </c>
      <c r="CZ142" s="2106">
        <v>0.70701699999999978</v>
      </c>
      <c r="DA142" s="2106">
        <f t="shared" si="189"/>
        <v>0</v>
      </c>
      <c r="DB142" s="2106">
        <v>0</v>
      </c>
      <c r="DC142" s="2106">
        <v>2.2032000043645605</v>
      </c>
      <c r="DD142" s="2109">
        <f t="shared" si="302"/>
        <v>0.15576998574858181</v>
      </c>
      <c r="DE142" s="2106"/>
      <c r="DF142" s="2106"/>
      <c r="DG142" s="2106"/>
      <c r="DH142" s="2106">
        <f>IFERROR(DI142/CZ142*10,0)</f>
        <v>2.2032000043645605</v>
      </c>
      <c r="DI142" s="2106">
        <f>SUM(DB142,DD142,DF142,DG142)</f>
        <v>0.15576998574858181</v>
      </c>
      <c r="DJ142" s="2106">
        <v>5.4805000000000006E-2</v>
      </c>
      <c r="DK142" s="2106">
        <f t="shared" si="192"/>
        <v>0</v>
      </c>
      <c r="DL142" s="2106">
        <v>0</v>
      </c>
      <c r="DM142" s="2106">
        <v>2.2032000043645605</v>
      </c>
      <c r="DN142" s="2109">
        <f t="shared" si="303"/>
        <v>1.2074637623919976E-2</v>
      </c>
      <c r="DO142" s="2106"/>
      <c r="DP142" s="2106"/>
      <c r="DQ142" s="2106"/>
      <c r="DR142" s="2106">
        <f>IFERROR(DS142/DJ142*10,0)</f>
        <v>2.2032000043645605</v>
      </c>
      <c r="DS142" s="2106">
        <f>SUM(DL142,DN142,DP142,DQ142)</f>
        <v>1.2074637623919976E-2</v>
      </c>
      <c r="DT142" s="2106">
        <v>0.61266549999999997</v>
      </c>
      <c r="DU142" s="2106">
        <f t="shared" si="195"/>
        <v>0</v>
      </c>
      <c r="DV142" s="2106">
        <v>0</v>
      </c>
      <c r="DW142" s="2106">
        <v>2.2032000043645605</v>
      </c>
      <c r="DX142" s="2109">
        <f t="shared" si="304"/>
        <v>0.13498246322740154</v>
      </c>
      <c r="DY142" s="2106"/>
      <c r="DZ142" s="2106"/>
      <c r="EA142" s="2106"/>
      <c r="EB142" s="2106">
        <f>IFERROR(EC142/DT142*10,0)</f>
        <v>2.2032000043645601</v>
      </c>
      <c r="EC142" s="2106">
        <f>SUM(DV142,DX142,DZ142,EA142)</f>
        <v>0.13498246322740154</v>
      </c>
      <c r="ED142" s="2106">
        <f t="shared" ref="ED142:ED148" si="347">SUM(N142,X142,AH142,AR142,BB142,BL142,BV142,CF142,CP142,CZ142,DJ142,DT142)</f>
        <v>123.0426585</v>
      </c>
      <c r="EE142" s="2107"/>
      <c r="EF142" s="2106">
        <f t="shared" ref="EF142:EF147" si="348">IFERROR(EG142/ED142*10,0)</f>
        <v>0</v>
      </c>
      <c r="EG142" s="2106">
        <f t="shared" ref="EG142:EG147" si="349">SUM(P142,Z142,AJ142,AT142,BD142,BN142,BX142,CH142,CR142,DB142,DL142,DV142)</f>
        <v>0</v>
      </c>
      <c r="EH142" s="2106">
        <f t="shared" ref="EH142:EH147" si="350">IFERROR(EI142/ED142*10,0)</f>
        <v>2.1606312973642305</v>
      </c>
      <c r="EI142" s="2106">
        <f t="shared" ref="EI142:EI148" si="351">SUM(R142,AB142,AL142,AV142,BF142,BP142,BZ142,CJ142,CT142,DD142,DN142,DX142)</f>
        <v>26.584981886599898</v>
      </c>
      <c r="EJ142" s="2106"/>
      <c r="EK142" s="2106">
        <f t="shared" ref="EK142:EK147" si="352">SUM(T142,AD142,AN142,AX142,BH142,BR142,CB142,CL142,CV142,DF142,DP142,DZ142)</f>
        <v>8.8003999999999999E-3</v>
      </c>
      <c r="EL142" s="2106"/>
      <c r="EM142" s="2106"/>
      <c r="EN142" s="2106">
        <f t="shared" ref="EN142:EN147" si="353">EG142+EI142+EK142</f>
        <v>26.593782286599897</v>
      </c>
      <c r="EO142" s="2104">
        <f t="shared" ref="EO142:EO147" si="354">IFERROR(EN142/ED142*10,0)</f>
        <v>2.16134652898449</v>
      </c>
      <c r="EP142" s="2110"/>
      <c r="ES142" s="2084">
        <f t="shared" si="187"/>
        <v>0</v>
      </c>
      <c r="EU142" s="2084">
        <f t="shared" si="198"/>
        <v>26.282154799999997</v>
      </c>
      <c r="EV142" s="2084">
        <f t="shared" si="199"/>
        <v>121.668171</v>
      </c>
      <c r="EW142" s="2084">
        <f t="shared" si="200"/>
        <v>2.1601503979212437</v>
      </c>
    </row>
    <row r="143" spans="1:153">
      <c r="A143" s="1760">
        <v>2</v>
      </c>
      <c r="B143" s="1761" t="s">
        <v>1759</v>
      </c>
      <c r="C143" s="2098">
        <v>400</v>
      </c>
      <c r="D143" s="2099">
        <v>0.88</v>
      </c>
      <c r="E143" s="2100"/>
      <c r="F143" s="2099">
        <v>0.5597282910103506</v>
      </c>
      <c r="G143" s="2104">
        <v>352</v>
      </c>
      <c r="H143" s="2102" t="s">
        <v>1717</v>
      </c>
      <c r="I143" s="2103">
        <v>2</v>
      </c>
      <c r="J143" s="2104"/>
      <c r="K143" s="2101"/>
      <c r="L143" s="2101"/>
      <c r="M143" s="2105"/>
      <c r="N143" s="2106">
        <v>39.154950999999997</v>
      </c>
      <c r="O143" s="2106">
        <f t="shared" si="305"/>
        <v>0.52100690919010473</v>
      </c>
      <c r="P143" s="2106">
        <v>2.04</v>
      </c>
      <c r="Q143" s="2106">
        <f t="shared" si="306"/>
        <v>1.0127999904788543</v>
      </c>
      <c r="R143" s="2106">
        <v>3.9656134000000001</v>
      </c>
      <c r="S143" s="2106">
        <f t="shared" si="307"/>
        <v>-1.4685243763936775</v>
      </c>
      <c r="T143" s="2106">
        <v>-5.75</v>
      </c>
      <c r="U143" s="2106"/>
      <c r="V143" s="2106">
        <f>IFERROR(W143/N143*10,0)</f>
        <v>6.5282523275281251E-2</v>
      </c>
      <c r="W143" s="2106">
        <f>SUM(P143,R143,T143,U143)</f>
        <v>0.25561339999999966</v>
      </c>
      <c r="X143" s="2106">
        <v>93.092099000000005</v>
      </c>
      <c r="Y143" s="2106">
        <f t="shared" si="308"/>
        <v>0.21913782393068609</v>
      </c>
      <c r="Z143" s="2106">
        <v>2.04</v>
      </c>
      <c r="AA143" s="2106">
        <f t="shared" si="309"/>
        <v>1.0128000014265441</v>
      </c>
      <c r="AB143" s="2106">
        <v>9.4283678000000002</v>
      </c>
      <c r="AC143" s="2106">
        <f t="shared" si="310"/>
        <v>0</v>
      </c>
      <c r="AD143" s="2106">
        <v>0</v>
      </c>
      <c r="AE143" s="2106"/>
      <c r="AF143" s="2106">
        <f t="shared" si="311"/>
        <v>1.2319378253572302</v>
      </c>
      <c r="AG143" s="2106">
        <f t="shared" si="312"/>
        <v>11.468367799999999</v>
      </c>
      <c r="AH143" s="2106">
        <v>274.83543100000003</v>
      </c>
      <c r="AI143" s="2106">
        <f t="shared" si="313"/>
        <v>0.15439057419055985</v>
      </c>
      <c r="AJ143" s="2106">
        <v>4.2431999999999999</v>
      </c>
      <c r="AK143" s="2106">
        <f t="shared" si="314"/>
        <v>1.0158628091878008</v>
      </c>
      <c r="AL143" s="2106">
        <v>27.919509300000001</v>
      </c>
      <c r="AM143" s="2106">
        <f t="shared" si="315"/>
        <v>-0.20921611085871966</v>
      </c>
      <c r="AN143" s="2106">
        <v>-5.75</v>
      </c>
      <c r="AO143" s="2106">
        <v>0</v>
      </c>
      <c r="AP143" s="2106">
        <f t="shared" si="316"/>
        <v>0.96103727251964099</v>
      </c>
      <c r="AQ143" s="2106">
        <f t="shared" si="317"/>
        <v>26.412709300000003</v>
      </c>
      <c r="AR143" s="2106">
        <v>276.25399700000003</v>
      </c>
      <c r="AS143" s="2106">
        <f t="shared" si="318"/>
        <v>7.3845085397986107E-2</v>
      </c>
      <c r="AT143" s="2106">
        <v>2.04</v>
      </c>
      <c r="AU143" s="2106">
        <f t="shared" si="319"/>
        <v>1.012799999415031</v>
      </c>
      <c r="AV143" s="2106">
        <v>27.979004799999998</v>
      </c>
      <c r="AW143" s="2106">
        <f t="shared" si="320"/>
        <v>0</v>
      </c>
      <c r="AX143" s="2106">
        <v>0</v>
      </c>
      <c r="AY143" s="2106"/>
      <c r="AZ143" s="2106">
        <f t="shared" si="321"/>
        <v>1.0866450848130169</v>
      </c>
      <c r="BA143" s="2106">
        <f t="shared" si="322"/>
        <v>30.019004799999998</v>
      </c>
      <c r="BB143" s="2106">
        <v>274.32324599999998</v>
      </c>
      <c r="BC143" s="2106">
        <f t="shared" si="323"/>
        <v>7.4364824335740043E-2</v>
      </c>
      <c r="BD143" s="2106">
        <v>2.04</v>
      </c>
      <c r="BE143" s="2106">
        <f t="shared" si="324"/>
        <v>1.0128000016447749</v>
      </c>
      <c r="BF143" s="2106">
        <v>27.783458400000001</v>
      </c>
      <c r="BG143" s="2106">
        <f t="shared" si="325"/>
        <v>0</v>
      </c>
      <c r="BH143" s="2106">
        <v>0</v>
      </c>
      <c r="BI143" s="2106"/>
      <c r="BJ143" s="2106">
        <f t="shared" si="326"/>
        <v>1.0871648259805151</v>
      </c>
      <c r="BK143" s="2106">
        <f t="shared" si="327"/>
        <v>29.8234584</v>
      </c>
      <c r="BL143" s="2106">
        <v>261.69588399999998</v>
      </c>
      <c r="BM143" s="2106">
        <f t="shared" si="328"/>
        <v>7.7953079307888556E-2</v>
      </c>
      <c r="BN143" s="2106">
        <v>2.04</v>
      </c>
      <c r="BO143" s="2106">
        <f t="shared" si="329"/>
        <v>1.0127999987955487</v>
      </c>
      <c r="BP143" s="2106">
        <v>26.504559100000002</v>
      </c>
      <c r="BQ143" s="2106">
        <f t="shared" si="330"/>
        <v>-0.87888275690266493</v>
      </c>
      <c r="BR143" s="2106">
        <v>-23</v>
      </c>
      <c r="BS143" s="2106"/>
      <c r="BT143" s="2106">
        <f t="shared" si="331"/>
        <v>0.21187032120077218</v>
      </c>
      <c r="BU143" s="2106">
        <f t="shared" si="332"/>
        <v>5.5445591000000007</v>
      </c>
      <c r="BV143" s="2106">
        <v>129.62170900000001</v>
      </c>
      <c r="BW143" s="2106">
        <f t="shared" si="333"/>
        <v>0.15738104486803209</v>
      </c>
      <c r="BX143" s="2106">
        <v>2.04</v>
      </c>
      <c r="BY143" s="2106">
        <f t="shared" si="334"/>
        <v>1.0128000009628018</v>
      </c>
      <c r="BZ143" s="2106">
        <v>13.128086700000001</v>
      </c>
      <c r="CA143" s="2106">
        <f t="shared" si="335"/>
        <v>-0.443598533329012</v>
      </c>
      <c r="CB143" s="2106">
        <v>-5.75</v>
      </c>
      <c r="CC143" s="2106"/>
      <c r="CD143" s="2106">
        <f t="shared" si="336"/>
        <v>0.72658251250182171</v>
      </c>
      <c r="CE143" s="2106">
        <f t="shared" si="337"/>
        <v>9.4180866999999999</v>
      </c>
      <c r="CF143" s="2106">
        <v>76.421351000000001</v>
      </c>
      <c r="CG143" s="2106">
        <f t="shared" si="338"/>
        <v>0.26694110655018388</v>
      </c>
      <c r="CH143" s="2106">
        <v>2.04</v>
      </c>
      <c r="CI143" s="2106">
        <f t="shared" si="339"/>
        <v>1.0127999961686101</v>
      </c>
      <c r="CJ143" s="2106">
        <v>7.7399544000000002</v>
      </c>
      <c r="CK143" s="2106">
        <f t="shared" si="340"/>
        <v>-0.75240753071742994</v>
      </c>
      <c r="CL143" s="2106">
        <v>-5.75</v>
      </c>
      <c r="CM143" s="2106"/>
      <c r="CN143" s="2106">
        <f t="shared" si="341"/>
        <v>0.52733357200136399</v>
      </c>
      <c r="CO143" s="2106">
        <f t="shared" si="342"/>
        <v>4.0299544000000012</v>
      </c>
      <c r="CP143" s="2106">
        <v>57.126649</v>
      </c>
      <c r="CQ143" s="2106">
        <f t="shared" si="301"/>
        <v>0.35710128910239425</v>
      </c>
      <c r="CR143" s="2106">
        <v>2.04</v>
      </c>
      <c r="CS143" s="2106">
        <f t="shared" si="343"/>
        <v>1.0127999981234677</v>
      </c>
      <c r="CT143" s="2106">
        <v>5.785787</v>
      </c>
      <c r="CU143" s="2106">
        <f t="shared" si="344"/>
        <v>-1.0065354962444935</v>
      </c>
      <c r="CV143" s="2106">
        <v>-5.75</v>
      </c>
      <c r="CW143" s="2106"/>
      <c r="CX143" s="2106">
        <f t="shared" si="345"/>
        <v>0.36336579098136845</v>
      </c>
      <c r="CY143" s="2106">
        <f t="shared" si="346"/>
        <v>2.075787</v>
      </c>
      <c r="CZ143" s="2106">
        <v>44.904639200000013</v>
      </c>
      <c r="DA143" s="2106">
        <f t="shared" si="189"/>
        <v>0.43407987119513458</v>
      </c>
      <c r="DB143" s="2106">
        <v>1.9492199999999995</v>
      </c>
      <c r="DC143" s="2106">
        <v>1.0522280481111383</v>
      </c>
      <c r="DD143" s="2109">
        <f t="shared" si="302"/>
        <v>4.7249920856550922</v>
      </c>
      <c r="DE143" s="2106"/>
      <c r="DF143" s="2106"/>
      <c r="DG143" s="2106"/>
      <c r="DH143" s="2106">
        <f>IFERROR(DI143/CZ143*10,0)</f>
        <v>1.4863079193062729</v>
      </c>
      <c r="DI143" s="2106">
        <f>SUM(DB143,DD143,DF143,DG143)</f>
        <v>6.6742120856550917</v>
      </c>
      <c r="DJ143" s="2106">
        <v>30.373666800000006</v>
      </c>
      <c r="DK143" s="2106">
        <f t="shared" si="192"/>
        <v>0.64174668565205928</v>
      </c>
      <c r="DL143" s="2106">
        <v>1.9492199999999995</v>
      </c>
      <c r="DM143" s="2106">
        <v>1.0522280481111383</v>
      </c>
      <c r="DN143" s="2109">
        <f t="shared" si="303"/>
        <v>3.1960024130942091</v>
      </c>
      <c r="DO143" s="2106"/>
      <c r="DP143" s="2106"/>
      <c r="DQ143" s="2106"/>
      <c r="DR143" s="2106">
        <f>IFERROR(DS143/DJ143*10,0)</f>
        <v>1.6939747337631974</v>
      </c>
      <c r="DS143" s="2106">
        <f>SUM(DL143,DN143,DP143,DQ143)</f>
        <v>5.1452224130942081</v>
      </c>
      <c r="DT143" s="2106">
        <v>47.9886944</v>
      </c>
      <c r="DU143" s="2106">
        <f t="shared" si="195"/>
        <v>0.40618316967589752</v>
      </c>
      <c r="DV143" s="2106">
        <v>1.9492199999999995</v>
      </c>
      <c r="DW143" s="2106">
        <v>1.0522280481111383</v>
      </c>
      <c r="DX143" s="2109">
        <f t="shared" si="304"/>
        <v>5.0495050239913919</v>
      </c>
      <c r="DY143" s="2106"/>
      <c r="DZ143" s="2106"/>
      <c r="EA143" s="2106"/>
      <c r="EB143" s="2106">
        <f>IFERROR(EC143/DT143*10,0)</f>
        <v>1.4584112177870359</v>
      </c>
      <c r="EC143" s="2106">
        <f>SUM(DV143,DX143,DZ143,EA143)</f>
        <v>6.9987250239913914</v>
      </c>
      <c r="ED143" s="2106">
        <f t="shared" si="347"/>
        <v>1605.7923174</v>
      </c>
      <c r="EE143" s="2107"/>
      <c r="EF143" s="2106">
        <f t="shared" si="348"/>
        <v>0.16447245209618908</v>
      </c>
      <c r="EG143" s="2106">
        <f t="shared" si="349"/>
        <v>26.410859999999996</v>
      </c>
      <c r="EH143" s="2106">
        <f t="shared" si="350"/>
        <v>1.016350860907044</v>
      </c>
      <c r="EI143" s="2106">
        <f t="shared" si="351"/>
        <v>163.20484042274072</v>
      </c>
      <c r="EJ143" s="2106"/>
      <c r="EK143" s="2106">
        <f t="shared" si="352"/>
        <v>-51.75</v>
      </c>
      <c r="EL143" s="2106"/>
      <c r="EM143" s="2106"/>
      <c r="EN143" s="2106">
        <f t="shared" si="353"/>
        <v>137.8657004227407</v>
      </c>
      <c r="EO143" s="2104">
        <f t="shared" si="354"/>
        <v>0.85855249728660032</v>
      </c>
      <c r="EP143" s="2110"/>
      <c r="ES143" s="2084">
        <f t="shared" si="187"/>
        <v>0</v>
      </c>
      <c r="EU143" s="2084">
        <f t="shared" si="198"/>
        <v>150.23434090000001</v>
      </c>
      <c r="EV143" s="2084">
        <f t="shared" si="199"/>
        <v>1482.5253170000001</v>
      </c>
      <c r="EW143" s="2084">
        <f t="shared" si="200"/>
        <v>1.0133677933002205</v>
      </c>
    </row>
    <row r="144" spans="1:153">
      <c r="A144" s="1760">
        <v>3</v>
      </c>
      <c r="B144" s="1761" t="s">
        <v>1760</v>
      </c>
      <c r="C144" s="2098">
        <v>1000</v>
      </c>
      <c r="D144" s="2099">
        <v>0.2</v>
      </c>
      <c r="E144" s="2100"/>
      <c r="F144" s="2099">
        <v>0.46970400589983236</v>
      </c>
      <c r="G144" s="2104">
        <v>200</v>
      </c>
      <c r="H144" s="2102" t="s">
        <v>1717</v>
      </c>
      <c r="I144" s="2103">
        <v>1</v>
      </c>
      <c r="J144" s="2104"/>
      <c r="K144" s="2101"/>
      <c r="L144" s="2101"/>
      <c r="M144" s="2105"/>
      <c r="N144" s="2106">
        <v>25.230129999999999</v>
      </c>
      <c r="O144" s="2106">
        <f t="shared" si="305"/>
        <v>5.2839781245677298</v>
      </c>
      <c r="P144" s="2106">
        <v>13.331545500000001</v>
      </c>
      <c r="Q144" s="2106">
        <f t="shared" si="306"/>
        <v>1.6259999849386428</v>
      </c>
      <c r="R144" s="2106">
        <v>4.1024190999999997</v>
      </c>
      <c r="S144" s="2106">
        <f t="shared" si="307"/>
        <v>8.4500000594527266E-2</v>
      </c>
      <c r="T144" s="2106">
        <v>0.21319460000000001</v>
      </c>
      <c r="U144" s="2106"/>
      <c r="V144" s="2106">
        <f>IFERROR(W144/N144*10,0)</f>
        <v>6.9944781101008999</v>
      </c>
      <c r="W144" s="2106">
        <f>SUM(P144,R144,T144,U144)</f>
        <v>17.647159200000001</v>
      </c>
      <c r="X144" s="2106">
        <v>57.213765000000002</v>
      </c>
      <c r="Y144" s="2106">
        <f t="shared" si="308"/>
        <v>2.4077999935854595</v>
      </c>
      <c r="Z144" s="2106">
        <v>13.775930300000001</v>
      </c>
      <c r="AA144" s="2106">
        <f t="shared" si="309"/>
        <v>1.6260000019226142</v>
      </c>
      <c r="AB144" s="2106">
        <v>9.3029582000000008</v>
      </c>
      <c r="AC144" s="2106">
        <f t="shared" si="310"/>
        <v>5.1968525406429732E-2</v>
      </c>
      <c r="AD144" s="2106">
        <v>0.29733150000000003</v>
      </c>
      <c r="AE144" s="2106"/>
      <c r="AF144" s="2106">
        <f t="shared" si="311"/>
        <v>4.0857685209145034</v>
      </c>
      <c r="AG144" s="2106">
        <f t="shared" si="312"/>
        <v>23.37622</v>
      </c>
      <c r="AH144" s="2106">
        <v>128.116792</v>
      </c>
      <c r="AI144" s="2106">
        <f t="shared" si="313"/>
        <v>1.0405775302272633</v>
      </c>
      <c r="AJ144" s="2106">
        <v>13.331545500000001</v>
      </c>
      <c r="AK144" s="2106">
        <f t="shared" si="314"/>
        <v>1.6260000016235185</v>
      </c>
      <c r="AL144" s="2106">
        <v>20.831790399999999</v>
      </c>
      <c r="AM144" s="2106">
        <f t="shared" si="315"/>
        <v>5.7805381202489056E-2</v>
      </c>
      <c r="AN144" s="2106">
        <v>0.74058400000000002</v>
      </c>
      <c r="AO144" s="2106">
        <v>0</v>
      </c>
      <c r="AP144" s="2106">
        <f t="shared" si="316"/>
        <v>2.7243829130532711</v>
      </c>
      <c r="AQ144" s="2106">
        <f t="shared" si="317"/>
        <v>34.903919899999998</v>
      </c>
      <c r="AR144" s="2106">
        <v>161.71583999999999</v>
      </c>
      <c r="AS144" s="2106">
        <f t="shared" si="318"/>
        <v>0.85186029395759877</v>
      </c>
      <c r="AT144" s="2106">
        <v>13.775930300000001</v>
      </c>
      <c r="AU144" s="2106">
        <f t="shared" si="319"/>
        <v>1.6260000009893898</v>
      </c>
      <c r="AV144" s="2106">
        <v>26.2949956</v>
      </c>
      <c r="AW144" s="2106">
        <f t="shared" si="320"/>
        <v>5.2707607368579358E-2</v>
      </c>
      <c r="AX144" s="2106">
        <v>0.8523655</v>
      </c>
      <c r="AY144" s="2106"/>
      <c r="AZ144" s="2106">
        <f t="shared" si="321"/>
        <v>2.5305679023155681</v>
      </c>
      <c r="BA144" s="2106">
        <f t="shared" si="322"/>
        <v>40.923291399999997</v>
      </c>
      <c r="BB144" s="2106">
        <v>155.79367500000001</v>
      </c>
      <c r="BC144" s="2106">
        <f t="shared" si="323"/>
        <v>0.88424195013051721</v>
      </c>
      <c r="BD144" s="2106">
        <v>13.775930300000001</v>
      </c>
      <c r="BE144" s="2106">
        <f t="shared" si="324"/>
        <v>1.6260000028884356</v>
      </c>
      <c r="BF144" s="2106">
        <v>25.3320516</v>
      </c>
      <c r="BG144" s="2106">
        <f t="shared" si="325"/>
        <v>5.0707655493716287E-2</v>
      </c>
      <c r="BH144" s="2106">
        <v>0.78999319999999995</v>
      </c>
      <c r="BI144" s="2106"/>
      <c r="BJ144" s="2106">
        <f t="shared" si="326"/>
        <v>2.5609496085126686</v>
      </c>
      <c r="BK144" s="2106">
        <f t="shared" si="327"/>
        <v>39.897975099999996</v>
      </c>
      <c r="BL144" s="2106">
        <v>108.28655500000001</v>
      </c>
      <c r="BM144" s="2106">
        <f t="shared" si="328"/>
        <v>1.2311358044403573</v>
      </c>
      <c r="BN144" s="2106">
        <v>13.331545500000001</v>
      </c>
      <c r="BO144" s="2106">
        <f t="shared" si="329"/>
        <v>1.6259999960290545</v>
      </c>
      <c r="BP144" s="2106">
        <v>17.607393800000001</v>
      </c>
      <c r="BQ144" s="2106">
        <f t="shared" si="330"/>
        <v>4.5031370699714288E-2</v>
      </c>
      <c r="BR144" s="2106">
        <v>0.48762919999999998</v>
      </c>
      <c r="BS144" s="2106"/>
      <c r="BT144" s="2106">
        <f t="shared" si="331"/>
        <v>2.9021671711691259</v>
      </c>
      <c r="BU144" s="2106">
        <f t="shared" si="332"/>
        <v>31.426568500000002</v>
      </c>
      <c r="BV144" s="2106">
        <v>58.469251999999997</v>
      </c>
      <c r="BW144" s="2106">
        <f t="shared" si="333"/>
        <v>2.3560982616983028</v>
      </c>
      <c r="BX144" s="2106">
        <v>13.775930300000001</v>
      </c>
      <c r="BY144" s="2106">
        <f t="shared" si="334"/>
        <v>1.6260000042415457</v>
      </c>
      <c r="BZ144" s="2106">
        <v>9.5071004000000006</v>
      </c>
      <c r="CA144" s="2106">
        <f t="shared" si="335"/>
        <v>-0.33264692696940945</v>
      </c>
      <c r="CB144" s="2106">
        <v>-1.9449616999999999</v>
      </c>
      <c r="CC144" s="2106"/>
      <c r="CD144" s="2106">
        <f t="shared" si="336"/>
        <v>3.6494513389704393</v>
      </c>
      <c r="CE144" s="2106">
        <f t="shared" si="337"/>
        <v>21.338069000000001</v>
      </c>
      <c r="CF144" s="2106">
        <v>32.843845000000002</v>
      </c>
      <c r="CG144" s="2106">
        <f t="shared" si="338"/>
        <v>4.059069667391257</v>
      </c>
      <c r="CH144" s="2106">
        <v>13.331545500000001</v>
      </c>
      <c r="CI144" s="2106">
        <f t="shared" si="339"/>
        <v>1.6260000009134128</v>
      </c>
      <c r="CJ144" s="2106">
        <v>5.3404091999999999</v>
      </c>
      <c r="CK144" s="2106">
        <f t="shared" si="340"/>
        <v>0.11583503697572557</v>
      </c>
      <c r="CL144" s="2106">
        <v>0.38044679999999997</v>
      </c>
      <c r="CM144" s="2106"/>
      <c r="CN144" s="2106">
        <f t="shared" si="341"/>
        <v>5.8009047052803968</v>
      </c>
      <c r="CO144" s="2106">
        <f t="shared" si="342"/>
        <v>19.052401500000002</v>
      </c>
      <c r="CP144" s="2106">
        <v>25.368310000000001</v>
      </c>
      <c r="CQ144" s="2106">
        <f t="shared" si="301"/>
        <v>4.9954465236351968</v>
      </c>
      <c r="CR144" s="2106">
        <v>12.6726036</v>
      </c>
      <c r="CS144" s="2106">
        <f t="shared" si="343"/>
        <v>1.6259999976348443</v>
      </c>
      <c r="CT144" s="2106">
        <v>4.1248871999999999</v>
      </c>
      <c r="CU144" s="2106">
        <f t="shared" si="344"/>
        <v>5.4024923221136924E-2</v>
      </c>
      <c r="CV144" s="2106">
        <v>0.13705210000000001</v>
      </c>
      <c r="CW144" s="2106"/>
      <c r="CX144" s="2106">
        <f t="shared" si="345"/>
        <v>6.6754714444911762</v>
      </c>
      <c r="CY144" s="2106">
        <f t="shared" si="346"/>
        <v>16.934542899999997</v>
      </c>
      <c r="CZ144" s="2106">
        <v>21.977551600000002</v>
      </c>
      <c r="DA144" s="2106">
        <f t="shared" si="189"/>
        <v>7.3216870117597619</v>
      </c>
      <c r="DB144" s="2106">
        <v>16.091275409999998</v>
      </c>
      <c r="DC144" s="2106">
        <v>1.36754902438349</v>
      </c>
      <c r="DD144" s="2109">
        <f t="shared" si="302"/>
        <v>3.0055379248917813</v>
      </c>
      <c r="DE144" s="2106"/>
      <c r="DF144" s="2106"/>
      <c r="DG144" s="2106"/>
      <c r="DH144" s="2106">
        <f>IFERROR(DI144/CZ144*10,0)</f>
        <v>8.6892360361432512</v>
      </c>
      <c r="DI144" s="2106">
        <f>SUM(DB144,DD144,DF144,DG144)</f>
        <v>19.096813334891777</v>
      </c>
      <c r="DJ144" s="2106">
        <v>19.209452600000009</v>
      </c>
      <c r="DK144" s="2106">
        <f t="shared" si="192"/>
        <v>8.3767485440995806</v>
      </c>
      <c r="DL144" s="2106">
        <v>16.091275409999998</v>
      </c>
      <c r="DM144" s="2106">
        <v>1.36754902438349</v>
      </c>
      <c r="DN144" s="2109">
        <f t="shared" si="303"/>
        <v>2.6269868162070908</v>
      </c>
      <c r="DO144" s="2106"/>
      <c r="DP144" s="2106"/>
      <c r="DQ144" s="2106"/>
      <c r="DR144" s="2106">
        <f>IFERROR(DS144/DJ144*10,0)</f>
        <v>9.7442975684830699</v>
      </c>
      <c r="DS144" s="2106">
        <f>SUM(DL144,DN144,DP144,DQ144)</f>
        <v>18.718262226207088</v>
      </c>
      <c r="DT144" s="2106">
        <v>23.095890400000005</v>
      </c>
      <c r="DU144" s="2106">
        <f t="shared" si="195"/>
        <v>6.9671595817756371</v>
      </c>
      <c r="DV144" s="2106">
        <v>16.091275409999998</v>
      </c>
      <c r="DW144" s="2106">
        <v>1.36754902438349</v>
      </c>
      <c r="DX144" s="2109">
        <f t="shared" si="304"/>
        <v>3.1584762383788023</v>
      </c>
      <c r="DY144" s="2106"/>
      <c r="DZ144" s="2106"/>
      <c r="EA144" s="2106"/>
      <c r="EB144" s="2106">
        <f>IFERROR(EC144/DT144*10,0)</f>
        <v>8.3347086061591273</v>
      </c>
      <c r="EC144" s="2106">
        <f>SUM(DV144,DX144,DZ144,EA144)</f>
        <v>19.249751648378801</v>
      </c>
      <c r="ED144" s="2106">
        <f t="shared" si="347"/>
        <v>817.3210585999999</v>
      </c>
      <c r="EE144" s="2107"/>
      <c r="EF144" s="2106">
        <f t="shared" si="348"/>
        <v>2.0723353601108361</v>
      </c>
      <c r="EG144" s="2106">
        <f t="shared" si="349"/>
        <v>169.37633303000004</v>
      </c>
      <c r="EH144" s="2106">
        <f t="shared" si="350"/>
        <v>1.605672643554197</v>
      </c>
      <c r="EI144" s="2106">
        <f t="shared" si="351"/>
        <v>131.23500647947768</v>
      </c>
      <c r="EJ144" s="2106"/>
      <c r="EK144" s="2106">
        <f t="shared" si="352"/>
        <v>1.9536351999999999</v>
      </c>
      <c r="EL144" s="2106"/>
      <c r="EM144" s="2106"/>
      <c r="EN144" s="2106">
        <f t="shared" si="353"/>
        <v>302.56497470947772</v>
      </c>
      <c r="EO144" s="2104">
        <f t="shared" si="354"/>
        <v>3.7019109140261879</v>
      </c>
      <c r="EP144" s="2110"/>
      <c r="ES144" s="2084">
        <f t="shared" ref="ES144:ES212" si="355">EN144-SUM(EG144,EI144,EK144,EL144)</f>
        <v>0</v>
      </c>
      <c r="EU144" s="2084">
        <f t="shared" si="198"/>
        <v>122.4440055</v>
      </c>
      <c r="EV144" s="2084">
        <f t="shared" si="199"/>
        <v>753.03816399999994</v>
      </c>
      <c r="EW144" s="2084">
        <f t="shared" si="200"/>
        <v>1.6260000004461928</v>
      </c>
    </row>
    <row r="145" spans="1:163">
      <c r="A145" s="1760">
        <v>4</v>
      </c>
      <c r="B145" s="1761" t="s">
        <v>1761</v>
      </c>
      <c r="C145" s="2098">
        <v>1200</v>
      </c>
      <c r="D145" s="2099">
        <v>0.16666666666666666</v>
      </c>
      <c r="E145" s="2100"/>
      <c r="F145" s="2099">
        <v>0.48696854027807573</v>
      </c>
      <c r="G145" s="2104">
        <v>200</v>
      </c>
      <c r="H145" s="2102" t="s">
        <v>1717</v>
      </c>
      <c r="I145" s="2103">
        <v>1</v>
      </c>
      <c r="J145" s="2104"/>
      <c r="K145" s="2101"/>
      <c r="L145" s="2101"/>
      <c r="M145" s="2105"/>
      <c r="N145" s="2106">
        <v>41.844250000000002</v>
      </c>
      <c r="O145" s="2106">
        <f t="shared" si="305"/>
        <v>5.5938943821433051</v>
      </c>
      <c r="P145" s="2106">
        <v>23.407231500000002</v>
      </c>
      <c r="Q145" s="2106">
        <f t="shared" si="306"/>
        <v>2.9129999940254638</v>
      </c>
      <c r="R145" s="2106">
        <v>12.18923</v>
      </c>
      <c r="S145" s="2106">
        <f t="shared" si="307"/>
        <v>5.0000011949073053E-2</v>
      </c>
      <c r="T145" s="2106">
        <v>0.2092213</v>
      </c>
      <c r="U145" s="2106"/>
      <c r="V145" s="2106">
        <f>IFERROR(W145/N145*10,0)</f>
        <v>8.5568943881178434</v>
      </c>
      <c r="W145" s="2106">
        <f>SUM(P145,R145,T145,U145)</f>
        <v>35.805682800000007</v>
      </c>
      <c r="X145" s="2106">
        <v>80.623999999999995</v>
      </c>
      <c r="Y145" s="2106">
        <f t="shared" si="308"/>
        <v>3.0000338112720781</v>
      </c>
      <c r="Z145" s="2106">
        <v>24.1874726</v>
      </c>
      <c r="AA145" s="2106">
        <f t="shared" si="309"/>
        <v>2.9130000000000003</v>
      </c>
      <c r="AB145" s="2106">
        <v>23.485771199999999</v>
      </c>
      <c r="AC145" s="2106">
        <f t="shared" si="310"/>
        <v>6.0557737150228226E-2</v>
      </c>
      <c r="AD145" s="2106">
        <v>0.48824070000000003</v>
      </c>
      <c r="AE145" s="2106"/>
      <c r="AF145" s="2106">
        <f t="shared" si="311"/>
        <v>5.9735915484223057</v>
      </c>
      <c r="AG145" s="2106">
        <f t="shared" si="312"/>
        <v>48.161484499999993</v>
      </c>
      <c r="AH145" s="2106">
        <v>135.771705</v>
      </c>
      <c r="AI145" s="2106">
        <f t="shared" si="313"/>
        <v>1.7240139615246051</v>
      </c>
      <c r="AJ145" s="2106">
        <v>23.407231500000002</v>
      </c>
      <c r="AK145" s="2106">
        <f t="shared" si="314"/>
        <v>2.9130000024673777</v>
      </c>
      <c r="AL145" s="2106">
        <v>39.550297700000002</v>
      </c>
      <c r="AM145" s="2106">
        <f t="shared" si="315"/>
        <v>5.563887556689371E-2</v>
      </c>
      <c r="AN145" s="2106">
        <v>0.75541849999999999</v>
      </c>
      <c r="AO145" s="2106">
        <v>0</v>
      </c>
      <c r="AP145" s="2106">
        <f t="shared" si="316"/>
        <v>4.6926528395588756</v>
      </c>
      <c r="AQ145" s="2106">
        <f t="shared" si="317"/>
        <v>63.712947700000001</v>
      </c>
      <c r="AR145" s="2106">
        <v>142.4016</v>
      </c>
      <c r="AS145" s="2106">
        <f t="shared" si="318"/>
        <v>1.6985393843889394</v>
      </c>
      <c r="AT145" s="2106">
        <v>24.1874726</v>
      </c>
      <c r="AU145" s="2106">
        <f t="shared" si="319"/>
        <v>2.9130000014044786</v>
      </c>
      <c r="AV145" s="2106">
        <v>41.481586100000001</v>
      </c>
      <c r="AW145" s="2106">
        <f t="shared" si="320"/>
        <v>0.05</v>
      </c>
      <c r="AX145" s="2106">
        <v>0.71200799999999997</v>
      </c>
      <c r="AY145" s="2106"/>
      <c r="AZ145" s="2106">
        <f t="shared" si="321"/>
        <v>4.6615393857934171</v>
      </c>
      <c r="BA145" s="2106">
        <f t="shared" si="322"/>
        <v>66.381066699999991</v>
      </c>
      <c r="BB145" s="2106">
        <v>139.8399</v>
      </c>
      <c r="BC145" s="2106">
        <f t="shared" si="323"/>
        <v>1.7296545978651301</v>
      </c>
      <c r="BD145" s="2106">
        <v>24.1874726</v>
      </c>
      <c r="BE145" s="2106">
        <f t="shared" si="324"/>
        <v>2.91300000214531</v>
      </c>
      <c r="BF145" s="2106">
        <v>40.735362899999998</v>
      </c>
      <c r="BG145" s="2106">
        <f t="shared" si="325"/>
        <v>5.075477742761543E-2</v>
      </c>
      <c r="BH145" s="2106">
        <v>0.70975429999999995</v>
      </c>
      <c r="BI145" s="2106"/>
      <c r="BJ145" s="2106">
        <f t="shared" si="326"/>
        <v>4.693409377438055</v>
      </c>
      <c r="BK145" s="2106">
        <f t="shared" si="327"/>
        <v>65.632589799999991</v>
      </c>
      <c r="BL145" s="2106">
        <v>119.7645</v>
      </c>
      <c r="BM145" s="2106">
        <f t="shared" si="328"/>
        <v>1.9544382099870998</v>
      </c>
      <c r="BN145" s="2106">
        <v>23.407231500000002</v>
      </c>
      <c r="BO145" s="2106">
        <f t="shared" si="329"/>
        <v>2.9130000041748598</v>
      </c>
      <c r="BP145" s="2106">
        <v>34.887398900000001</v>
      </c>
      <c r="BQ145" s="2106">
        <f t="shared" si="330"/>
        <v>5.2504940946607723E-2</v>
      </c>
      <c r="BR145" s="2106">
        <v>0.62882280000000002</v>
      </c>
      <c r="BS145" s="2106"/>
      <c r="BT145" s="2106">
        <f t="shared" si="331"/>
        <v>4.9199431551085677</v>
      </c>
      <c r="BU145" s="2106">
        <f t="shared" si="332"/>
        <v>58.923453200000004</v>
      </c>
      <c r="BV145" s="2106">
        <v>85.655078000000003</v>
      </c>
      <c r="BW145" s="2106">
        <f t="shared" si="333"/>
        <v>2.8238223774660502</v>
      </c>
      <c r="BX145" s="2106">
        <v>24.1874726</v>
      </c>
      <c r="BY145" s="2106">
        <f t="shared" si="334"/>
        <v>2.9129999975016077</v>
      </c>
      <c r="BZ145" s="2106">
        <v>24.951324199999998</v>
      </c>
      <c r="CA145" s="2106">
        <f t="shared" si="335"/>
        <v>5.117011276319193E-2</v>
      </c>
      <c r="CB145" s="2106">
        <v>0.43829800000000002</v>
      </c>
      <c r="CC145" s="2106"/>
      <c r="CD145" s="2106">
        <f t="shared" si="336"/>
        <v>5.7879924877308495</v>
      </c>
      <c r="CE145" s="2106">
        <f t="shared" si="337"/>
        <v>49.577094799999998</v>
      </c>
      <c r="CF145" s="2106">
        <v>52.325449999999996</v>
      </c>
      <c r="CG145" s="2106">
        <f t="shared" si="338"/>
        <v>4.4733932531875027</v>
      </c>
      <c r="CH145" s="2106">
        <v>23.407231500000002</v>
      </c>
      <c r="CI145" s="2106">
        <f t="shared" si="339"/>
        <v>1.5148109763031183</v>
      </c>
      <c r="CJ145" s="2106">
        <v>7.9263165999999998</v>
      </c>
      <c r="CK145" s="2106">
        <f t="shared" si="340"/>
        <v>5.1915425476512865E-2</v>
      </c>
      <c r="CL145" s="2106">
        <v>0.2716498</v>
      </c>
      <c r="CM145" s="2106"/>
      <c r="CN145" s="2106">
        <f t="shared" si="341"/>
        <v>6.0401196549671345</v>
      </c>
      <c r="CO145" s="2106">
        <f t="shared" si="342"/>
        <v>31.6051979</v>
      </c>
      <c r="CP145" s="2106">
        <v>35.433999999999997</v>
      </c>
      <c r="CQ145" s="2106">
        <f t="shared" si="301"/>
        <v>6.8260632725630757</v>
      </c>
      <c r="CR145" s="2106">
        <v>24.1874726</v>
      </c>
      <c r="CS145" s="2106">
        <f t="shared" si="343"/>
        <v>1.2000000000000002</v>
      </c>
      <c r="CT145" s="2106">
        <v>4.2520800000000003</v>
      </c>
      <c r="CU145" s="2106">
        <f t="shared" si="344"/>
        <v>0.05</v>
      </c>
      <c r="CV145" s="2106">
        <v>0.17716999999999999</v>
      </c>
      <c r="CW145" s="2106"/>
      <c r="CX145" s="2106">
        <f t="shared" si="345"/>
        <v>8.0760632725630757</v>
      </c>
      <c r="CY145" s="2106">
        <f t="shared" si="346"/>
        <v>28.616722599999999</v>
      </c>
      <c r="CZ145" s="2106">
        <v>24.127999999999997</v>
      </c>
      <c r="DA145" s="2106">
        <f t="shared" ref="DA145:DA212" si="356">IFERROR(DB145/CZ145*10,0)</f>
        <v>11.890857171128978</v>
      </c>
      <c r="DB145" s="2106">
        <v>28.690260182499998</v>
      </c>
      <c r="DC145" s="2106">
        <v>2.2106854944512544</v>
      </c>
      <c r="DD145" s="2109">
        <f t="shared" si="302"/>
        <v>5.3339419610119858</v>
      </c>
      <c r="DE145" s="2106"/>
      <c r="DF145" s="2106"/>
      <c r="DG145" s="2106"/>
      <c r="DH145" s="2106">
        <f>IFERROR(DI145/CZ145*10,0)</f>
        <v>14.101542665580237</v>
      </c>
      <c r="DI145" s="2106">
        <f>SUM(DB145,DD145,DF145,DG145)</f>
        <v>34.024202143511985</v>
      </c>
      <c r="DJ145" s="2106">
        <v>19.237500000000004</v>
      </c>
      <c r="DK145" s="2106">
        <f t="shared" ref="DK145:DK212" si="357">IFERROR(DL145/DJ145*10,0)</f>
        <v>14.913715494476929</v>
      </c>
      <c r="DL145" s="2106">
        <v>28.690260182499998</v>
      </c>
      <c r="DM145" s="2106">
        <v>2.2106854944512544</v>
      </c>
      <c r="DN145" s="2109">
        <f t="shared" si="303"/>
        <v>4.2528062199506014</v>
      </c>
      <c r="DO145" s="2106"/>
      <c r="DP145" s="2106"/>
      <c r="DQ145" s="2106"/>
      <c r="DR145" s="2106">
        <f>IFERROR(DS145/DJ145*10,0)</f>
        <v>17.12440098892818</v>
      </c>
      <c r="DS145" s="2106">
        <f>SUM(DL145,DN145,DP145,DQ145)</f>
        <v>32.943066402450597</v>
      </c>
      <c r="DT145" s="2106">
        <v>26.29761666666667</v>
      </c>
      <c r="DU145" s="2106">
        <f t="shared" ref="DU145:DU212" si="358">IFERROR(DV145/DT145*10,0)</f>
        <v>10.909832836245615</v>
      </c>
      <c r="DV145" s="2106">
        <v>28.690260182499998</v>
      </c>
      <c r="DW145" s="2106">
        <v>2.2106854944512544</v>
      </c>
      <c r="DX145" s="2109">
        <f t="shared" si="304"/>
        <v>5.8135759703639556</v>
      </c>
      <c r="DY145" s="2106"/>
      <c r="DZ145" s="2106"/>
      <c r="EA145" s="2106"/>
      <c r="EB145" s="2106">
        <f>IFERROR(EC145/DT145*10,0)</f>
        <v>13.120518330696868</v>
      </c>
      <c r="EC145" s="2106">
        <f>SUM(DV145,DX145,DZ145,EA145)</f>
        <v>34.503836152863954</v>
      </c>
      <c r="ED145" s="2106">
        <f t="shared" si="347"/>
        <v>903.32359966666672</v>
      </c>
      <c r="EE145" s="2107"/>
      <c r="EF145" s="2106">
        <f t="shared" si="348"/>
        <v>3.3281215021774853</v>
      </c>
      <c r="EG145" s="2106">
        <f t="shared" si="349"/>
        <v>300.6370695475</v>
      </c>
      <c r="EH145" s="2106">
        <f t="shared" si="350"/>
        <v>2.7106531019634783</v>
      </c>
      <c r="EI145" s="2106">
        <f t="shared" si="351"/>
        <v>244.85969175132652</v>
      </c>
      <c r="EJ145" s="2106"/>
      <c r="EK145" s="2106">
        <f t="shared" si="352"/>
        <v>4.3905834000000006</v>
      </c>
      <c r="EL145" s="2106"/>
      <c r="EM145" s="2106"/>
      <c r="EN145" s="2106">
        <f t="shared" si="353"/>
        <v>549.8873446988265</v>
      </c>
      <c r="EO145" s="2104">
        <f t="shared" si="354"/>
        <v>6.0873793721512328</v>
      </c>
      <c r="EP145" s="2110"/>
      <c r="ES145" s="2084">
        <f t="shared" si="355"/>
        <v>0</v>
      </c>
      <c r="EU145" s="2084">
        <f t="shared" ref="EU145:EU214" si="359">SUM(R145,AB145,AL145,AV145,BF145,BP145,BZ145,CJ145,CT145)</f>
        <v>229.45936759999998</v>
      </c>
      <c r="EV145" s="2084">
        <f t="shared" ref="EV145:EV214" si="360">SUM(N145,X145,AH145,AR145,BB145,BL145,BV145,CF145,CP145)</f>
        <v>833.66048300000011</v>
      </c>
      <c r="EW145" s="2084">
        <f t="shared" ref="EW145:EW214" si="361">EU145*10/EV145</f>
        <v>2.7524318626003526</v>
      </c>
    </row>
    <row r="146" spans="1:163" ht="28.5" customHeight="1">
      <c r="A146" s="1760">
        <v>5</v>
      </c>
      <c r="B146" s="1761" t="s">
        <v>1762</v>
      </c>
      <c r="C146" s="2098">
        <v>330</v>
      </c>
      <c r="D146" s="2099">
        <v>0.87999999999999989</v>
      </c>
      <c r="E146" s="2100"/>
      <c r="F146" s="2099">
        <v>0.47017710491384834</v>
      </c>
      <c r="G146" s="2104">
        <v>290.39999999999998</v>
      </c>
      <c r="H146" s="2102" t="s">
        <v>1717</v>
      </c>
      <c r="I146" s="2103">
        <v>1</v>
      </c>
      <c r="J146" s="2104"/>
      <c r="K146" s="2101"/>
      <c r="L146" s="2101"/>
      <c r="M146" s="2105"/>
      <c r="N146" s="2106">
        <v>33.296909999999997</v>
      </c>
      <c r="O146" s="2106">
        <f t="shared" si="305"/>
        <v>5.0730208899264229</v>
      </c>
      <c r="P146" s="2106">
        <v>16.891591999999999</v>
      </c>
      <c r="Q146" s="2106">
        <f t="shared" si="306"/>
        <v>3.2940000138150967</v>
      </c>
      <c r="R146" s="2106">
        <v>10.968002200000001</v>
      </c>
      <c r="S146" s="2106">
        <f t="shared" si="307"/>
        <v>0</v>
      </c>
      <c r="T146" s="2106">
        <v>0</v>
      </c>
      <c r="U146" s="2106"/>
      <c r="V146" s="2106">
        <f>IFERROR(W146/N146*10,0)</f>
        <v>8.3670209037415191</v>
      </c>
      <c r="W146" s="2106">
        <f>SUM(P146,R146,T146,U146)</f>
        <v>27.8595942</v>
      </c>
      <c r="X146" s="2106">
        <v>81.477010000000007</v>
      </c>
      <c r="Y146" s="2106">
        <f t="shared" si="308"/>
        <v>4.4791367282623646</v>
      </c>
      <c r="Z146" s="2106">
        <v>36.494666799999997</v>
      </c>
      <c r="AA146" s="2106">
        <f t="shared" si="309"/>
        <v>3.2940000007364039</v>
      </c>
      <c r="AB146" s="2106">
        <v>26.8385271</v>
      </c>
      <c r="AC146" s="2106">
        <f t="shared" si="310"/>
        <v>0</v>
      </c>
      <c r="AD146" s="2106">
        <v>0</v>
      </c>
      <c r="AE146" s="2106"/>
      <c r="AF146" s="2106">
        <f t="shared" si="311"/>
        <v>7.7731367289987681</v>
      </c>
      <c r="AG146" s="2106">
        <f t="shared" si="312"/>
        <v>63.333193899999998</v>
      </c>
      <c r="AH146" s="2106">
        <v>140.85355000000001</v>
      </c>
      <c r="AI146" s="2106">
        <f t="shared" si="313"/>
        <v>3.7350821686780344</v>
      </c>
      <c r="AJ146" s="2106">
        <v>52.609958300000002</v>
      </c>
      <c r="AK146" s="2106">
        <f t="shared" si="314"/>
        <v>3.2940000021298714</v>
      </c>
      <c r="AL146" s="2106">
        <v>46.3971594</v>
      </c>
      <c r="AM146" s="2106">
        <f t="shared" si="315"/>
        <v>0</v>
      </c>
      <c r="AN146" s="2106">
        <v>0</v>
      </c>
      <c r="AO146" s="2106">
        <v>0</v>
      </c>
      <c r="AP146" s="2106">
        <f t="shared" si="316"/>
        <v>7.0290821708079063</v>
      </c>
      <c r="AQ146" s="2106">
        <f t="shared" si="317"/>
        <v>99.007117700000009</v>
      </c>
      <c r="AR146" s="2106">
        <v>211.11350200000001</v>
      </c>
      <c r="AS146" s="2106">
        <f t="shared" si="318"/>
        <v>3.2407736384383412</v>
      </c>
      <c r="AT146" s="2106">
        <v>68.417107200000004</v>
      </c>
      <c r="AU146" s="2106">
        <f t="shared" si="319"/>
        <v>3.2940000019515567</v>
      </c>
      <c r="AV146" s="2106">
        <v>69.540787600000002</v>
      </c>
      <c r="AW146" s="2106">
        <f t="shared" si="320"/>
        <v>0</v>
      </c>
      <c r="AX146" s="2106">
        <v>0</v>
      </c>
      <c r="AY146" s="2106"/>
      <c r="AZ146" s="2106">
        <f t="shared" si="321"/>
        <v>6.5347736403898979</v>
      </c>
      <c r="BA146" s="2106">
        <f t="shared" si="322"/>
        <v>137.95789480000002</v>
      </c>
      <c r="BB146" s="2106">
        <v>184.49088</v>
      </c>
      <c r="BC146" s="2106">
        <f t="shared" si="323"/>
        <v>3.4955440941037303</v>
      </c>
      <c r="BD146" s="2106">
        <v>64.489600600000003</v>
      </c>
      <c r="BE146" s="2106">
        <f t="shared" si="324"/>
        <v>3.29400000151769</v>
      </c>
      <c r="BF146" s="2106">
        <v>60.771295899999998</v>
      </c>
      <c r="BG146" s="2106">
        <f t="shared" si="325"/>
        <v>0</v>
      </c>
      <c r="BH146" s="2106">
        <v>0</v>
      </c>
      <c r="BI146" s="2106"/>
      <c r="BJ146" s="2106">
        <f t="shared" si="326"/>
        <v>6.7895440956214204</v>
      </c>
      <c r="BK146" s="2106">
        <f t="shared" si="327"/>
        <v>125.2608965</v>
      </c>
      <c r="BL146" s="2106">
        <v>151.78461999999999</v>
      </c>
      <c r="BM146" s="2106">
        <f t="shared" si="328"/>
        <v>3.3828030929615931</v>
      </c>
      <c r="BN146" s="2106">
        <v>51.345748200000003</v>
      </c>
      <c r="BO146" s="2106">
        <f t="shared" si="329"/>
        <v>3.293999998155281</v>
      </c>
      <c r="BP146" s="2106">
        <v>49.997853800000001</v>
      </c>
      <c r="BQ146" s="2106">
        <f t="shared" si="330"/>
        <v>0</v>
      </c>
      <c r="BR146" s="2106">
        <v>0</v>
      </c>
      <c r="BS146" s="2106"/>
      <c r="BT146" s="2106">
        <f t="shared" si="331"/>
        <v>6.6768030911168736</v>
      </c>
      <c r="BU146" s="2106">
        <f t="shared" si="332"/>
        <v>101.343602</v>
      </c>
      <c r="BV146" s="2106">
        <v>150.99952999999999</v>
      </c>
      <c r="BW146" s="2106">
        <f t="shared" si="333"/>
        <v>3.4205512626430035</v>
      </c>
      <c r="BX146" s="2106">
        <v>51.650163300000003</v>
      </c>
      <c r="BY146" s="2106">
        <f t="shared" si="334"/>
        <v>3.2940000011920567</v>
      </c>
      <c r="BZ146" s="2106">
        <v>49.739245199999999</v>
      </c>
      <c r="CA146" s="2106">
        <f t="shared" si="335"/>
        <v>0</v>
      </c>
      <c r="CB146" s="2106">
        <v>0</v>
      </c>
      <c r="CC146" s="2106"/>
      <c r="CD146" s="2106">
        <f t="shared" si="336"/>
        <v>6.7145512638350606</v>
      </c>
      <c r="CE146" s="2106">
        <f t="shared" si="337"/>
        <v>101.3894085</v>
      </c>
      <c r="CF146" s="2106">
        <v>94.800780000000003</v>
      </c>
      <c r="CG146" s="2106">
        <f t="shared" si="338"/>
        <v>4.1273688465432459</v>
      </c>
      <c r="CH146" s="2106">
        <v>39.127778599999999</v>
      </c>
      <c r="CI146" s="2106">
        <f t="shared" si="339"/>
        <v>3.2939999966245006</v>
      </c>
      <c r="CJ146" s="2106">
        <v>31.227376899999999</v>
      </c>
      <c r="CK146" s="2106">
        <f t="shared" si="340"/>
        <v>0</v>
      </c>
      <c r="CL146" s="2106">
        <v>0</v>
      </c>
      <c r="CM146" s="2106"/>
      <c r="CN146" s="2106">
        <f t="shared" si="341"/>
        <v>7.4213688431677447</v>
      </c>
      <c r="CO146" s="2106">
        <f t="shared" si="342"/>
        <v>70.355155499999995</v>
      </c>
      <c r="CP146" s="2106">
        <v>60.11468</v>
      </c>
      <c r="CQ146" s="2106">
        <f t="shared" si="301"/>
        <v>4.6293767346012658</v>
      </c>
      <c r="CR146" s="2106">
        <v>27.829350099999999</v>
      </c>
      <c r="CS146" s="2106">
        <f t="shared" si="343"/>
        <v>2.6586278093803379</v>
      </c>
      <c r="CT146" s="2106">
        <v>15.982256</v>
      </c>
      <c r="CU146" s="2106">
        <f t="shared" si="344"/>
        <v>0</v>
      </c>
      <c r="CV146" s="2106">
        <v>0</v>
      </c>
      <c r="CW146" s="2106"/>
      <c r="CX146" s="2106">
        <f t="shared" si="345"/>
        <v>7.2880045439816037</v>
      </c>
      <c r="CY146" s="2106">
        <f t="shared" si="346"/>
        <v>43.811606099999999</v>
      </c>
      <c r="CZ146" s="2106">
        <v>37.925208000000005</v>
      </c>
      <c r="DA146" s="2106">
        <f t="shared" si="356"/>
        <v>8.5822810236795544</v>
      </c>
      <c r="DB146" s="2106">
        <v>32.548479293750006</v>
      </c>
      <c r="DC146" s="2106">
        <v>2.4425835959441482</v>
      </c>
      <c r="DD146" s="2109">
        <f t="shared" si="302"/>
        <v>9.2635490933569784</v>
      </c>
      <c r="DE146" s="2106"/>
      <c r="DF146" s="2106"/>
      <c r="DG146" s="2106"/>
      <c r="DH146" s="2106">
        <f>IFERROR(DI146/CZ146*10,0)</f>
        <v>11.024864619623703</v>
      </c>
      <c r="DI146" s="2106">
        <f>SUM(DB146,DD146,DF146,DG146)</f>
        <v>41.812028387106984</v>
      </c>
      <c r="DJ146" s="2106">
        <v>29.114291999999999</v>
      </c>
      <c r="DK146" s="2106">
        <f t="shared" si="357"/>
        <v>11.179553771649335</v>
      </c>
      <c r="DL146" s="2106">
        <v>32.548479293750006</v>
      </c>
      <c r="DM146" s="2106">
        <v>2.4425835959441482</v>
      </c>
      <c r="DN146" s="2109">
        <f t="shared" si="303"/>
        <v>7.1114092046727944</v>
      </c>
      <c r="DO146" s="2106"/>
      <c r="DP146" s="2106"/>
      <c r="DQ146" s="2106"/>
      <c r="DR146" s="2106">
        <f>IFERROR(DS146/DJ146*10,0)</f>
        <v>13.622137367593483</v>
      </c>
      <c r="DS146" s="2106">
        <f>SUM(DL146,DN146,DP146,DQ146)</f>
        <v>39.659888498422802</v>
      </c>
      <c r="DT146" s="2106">
        <v>38.166299999999993</v>
      </c>
      <c r="DU146" s="2106">
        <f t="shared" si="358"/>
        <v>8.5280677701925551</v>
      </c>
      <c r="DV146" s="2106">
        <v>32.548479293750006</v>
      </c>
      <c r="DW146" s="2106">
        <v>2.4425835959441482</v>
      </c>
      <c r="DX146" s="2109">
        <f t="shared" si="304"/>
        <v>9.3224378297883117</v>
      </c>
      <c r="DY146" s="2106"/>
      <c r="DZ146" s="2106"/>
      <c r="EA146" s="2106"/>
      <c r="EB146" s="2106">
        <f>IFERROR(EC146/DT146*10,0)</f>
        <v>10.970651366136703</v>
      </c>
      <c r="EC146" s="2106">
        <f>SUM(DV146,DX146,DZ146,EA146)</f>
        <v>41.87091712353832</v>
      </c>
      <c r="ED146" s="2106">
        <f t="shared" si="347"/>
        <v>1214.1372620000002</v>
      </c>
      <c r="EE146" s="2107"/>
      <c r="EF146" s="2106">
        <f t="shared" si="348"/>
        <v>4.1716980347585277</v>
      </c>
      <c r="EG146" s="2106">
        <f t="shared" si="349"/>
        <v>506.50140298125007</v>
      </c>
      <c r="EH146" s="2106">
        <f t="shared" si="350"/>
        <v>3.1887654908973389</v>
      </c>
      <c r="EI146" s="2106">
        <f t="shared" si="351"/>
        <v>387.15990022781818</v>
      </c>
      <c r="EJ146" s="2106"/>
      <c r="EK146" s="2106">
        <f t="shared" si="352"/>
        <v>0</v>
      </c>
      <c r="EL146" s="2106"/>
      <c r="EM146" s="2106"/>
      <c r="EN146" s="2106">
        <f t="shared" si="353"/>
        <v>893.66130320906825</v>
      </c>
      <c r="EO146" s="2104">
        <f t="shared" si="354"/>
        <v>7.3604635256558666</v>
      </c>
      <c r="EP146" s="2110"/>
      <c r="ES146" s="2084">
        <f t="shared" si="355"/>
        <v>0</v>
      </c>
      <c r="EU146" s="2084">
        <f t="shared" si="359"/>
        <v>361.4625041000001</v>
      </c>
      <c r="EV146" s="2084">
        <f t="shared" si="360"/>
        <v>1108.931462</v>
      </c>
      <c r="EW146" s="2084">
        <f t="shared" si="361"/>
        <v>3.2595567578909588</v>
      </c>
    </row>
    <row r="147" spans="1:163">
      <c r="A147" s="1760">
        <v>6</v>
      </c>
      <c r="B147" s="1761" t="s">
        <v>1763</v>
      </c>
      <c r="C147" s="2098" t="e">
        <v>#N/A</v>
      </c>
      <c r="D147" s="2099" t="e">
        <v>#N/A</v>
      </c>
      <c r="E147" s="2100"/>
      <c r="F147" s="2099">
        <v>0</v>
      </c>
      <c r="G147" s="2104">
        <v>18.149999999999999</v>
      </c>
      <c r="H147" s="2102" t="s">
        <v>1717</v>
      </c>
      <c r="I147" s="2103">
        <v>1</v>
      </c>
      <c r="J147" s="2104"/>
      <c r="K147" s="2101"/>
      <c r="L147" s="2101"/>
      <c r="M147" s="2105"/>
      <c r="N147" s="2106">
        <v>0</v>
      </c>
      <c r="O147" s="2106">
        <f t="shared" si="305"/>
        <v>0</v>
      </c>
      <c r="P147" s="2106">
        <v>0</v>
      </c>
      <c r="Q147" s="2106">
        <f t="shared" si="306"/>
        <v>0</v>
      </c>
      <c r="R147" s="2106">
        <v>0</v>
      </c>
      <c r="S147" s="2106">
        <f t="shared" si="307"/>
        <v>0</v>
      </c>
      <c r="T147" s="2106">
        <v>0</v>
      </c>
      <c r="U147" s="2106"/>
      <c r="V147" s="2106"/>
      <c r="W147" s="2106"/>
      <c r="X147" s="2106">
        <v>0</v>
      </c>
      <c r="Y147" s="2106">
        <f t="shared" si="308"/>
        <v>0</v>
      </c>
      <c r="Z147" s="2106">
        <v>0</v>
      </c>
      <c r="AA147" s="2106">
        <f t="shared" si="309"/>
        <v>0</v>
      </c>
      <c r="AB147" s="2106">
        <v>0</v>
      </c>
      <c r="AC147" s="2106">
        <f t="shared" si="310"/>
        <v>0</v>
      </c>
      <c r="AD147" s="2106">
        <v>0</v>
      </c>
      <c r="AE147" s="2106"/>
      <c r="AF147" s="2106">
        <f t="shared" si="311"/>
        <v>0</v>
      </c>
      <c r="AG147" s="2106">
        <f t="shared" si="312"/>
        <v>0</v>
      </c>
      <c r="AH147" s="2106">
        <v>0</v>
      </c>
      <c r="AI147" s="2106">
        <f t="shared" si="313"/>
        <v>0</v>
      </c>
      <c r="AJ147" s="2106">
        <v>0</v>
      </c>
      <c r="AK147" s="2106">
        <f t="shared" si="314"/>
        <v>0</v>
      </c>
      <c r="AL147" s="2106">
        <v>0</v>
      </c>
      <c r="AM147" s="2106">
        <f t="shared" si="315"/>
        <v>0</v>
      </c>
      <c r="AN147" s="2106">
        <v>0</v>
      </c>
      <c r="AO147" s="2106">
        <v>0</v>
      </c>
      <c r="AP147" s="2106">
        <f t="shared" si="316"/>
        <v>0</v>
      </c>
      <c r="AQ147" s="2106">
        <f t="shared" si="317"/>
        <v>0</v>
      </c>
      <c r="AR147" s="2106">
        <v>0</v>
      </c>
      <c r="AS147" s="2106">
        <f t="shared" si="318"/>
        <v>0</v>
      </c>
      <c r="AT147" s="2106">
        <v>0</v>
      </c>
      <c r="AU147" s="2106">
        <f t="shared" si="319"/>
        <v>0</v>
      </c>
      <c r="AV147" s="2106">
        <v>0</v>
      </c>
      <c r="AW147" s="2106">
        <f t="shared" si="320"/>
        <v>0</v>
      </c>
      <c r="AX147" s="2106">
        <v>0</v>
      </c>
      <c r="AY147" s="2106"/>
      <c r="AZ147" s="2106">
        <f t="shared" si="321"/>
        <v>0</v>
      </c>
      <c r="BA147" s="2106">
        <f t="shared" si="322"/>
        <v>0</v>
      </c>
      <c r="BB147" s="2106">
        <v>0</v>
      </c>
      <c r="BC147" s="2106">
        <f t="shared" si="323"/>
        <v>0</v>
      </c>
      <c r="BD147" s="2106">
        <v>0</v>
      </c>
      <c r="BE147" s="2106">
        <f t="shared" si="324"/>
        <v>0</v>
      </c>
      <c r="BF147" s="2106">
        <v>0</v>
      </c>
      <c r="BG147" s="2106">
        <f t="shared" si="325"/>
        <v>0</v>
      </c>
      <c r="BH147" s="2106">
        <v>0</v>
      </c>
      <c r="BI147" s="2106"/>
      <c r="BJ147" s="2106">
        <f t="shared" si="326"/>
        <v>0</v>
      </c>
      <c r="BK147" s="2106">
        <f t="shared" si="327"/>
        <v>0</v>
      </c>
      <c r="BL147" s="2106">
        <v>0</v>
      </c>
      <c r="BM147" s="2106">
        <f t="shared" si="328"/>
        <v>0</v>
      </c>
      <c r="BN147" s="2106">
        <v>0</v>
      </c>
      <c r="BO147" s="2106">
        <f t="shared" si="329"/>
        <v>0</v>
      </c>
      <c r="BP147" s="2106">
        <v>0</v>
      </c>
      <c r="BQ147" s="2106">
        <f t="shared" si="330"/>
        <v>0</v>
      </c>
      <c r="BR147" s="2106">
        <v>0</v>
      </c>
      <c r="BS147" s="2106"/>
      <c r="BT147" s="2106">
        <f t="shared" si="331"/>
        <v>0</v>
      </c>
      <c r="BU147" s="2106">
        <f t="shared" si="332"/>
        <v>0</v>
      </c>
      <c r="BV147" s="2106">
        <v>0</v>
      </c>
      <c r="BW147" s="2106">
        <f t="shared" si="333"/>
        <v>0</v>
      </c>
      <c r="BX147" s="2106">
        <v>0</v>
      </c>
      <c r="BY147" s="2106">
        <f t="shared" si="334"/>
        <v>0</v>
      </c>
      <c r="BZ147" s="2106">
        <v>0</v>
      </c>
      <c r="CA147" s="2106">
        <f t="shared" si="335"/>
        <v>0</v>
      </c>
      <c r="CB147" s="2106">
        <v>0</v>
      </c>
      <c r="CC147" s="2106"/>
      <c r="CD147" s="2106">
        <f t="shared" si="336"/>
        <v>0</v>
      </c>
      <c r="CE147" s="2106">
        <f t="shared" si="337"/>
        <v>0</v>
      </c>
      <c r="CF147" s="2106">
        <v>0</v>
      </c>
      <c r="CG147" s="2106">
        <f t="shared" si="338"/>
        <v>0</v>
      </c>
      <c r="CH147" s="2106">
        <v>0</v>
      </c>
      <c r="CI147" s="2106">
        <f t="shared" si="339"/>
        <v>0</v>
      </c>
      <c r="CJ147" s="2106">
        <v>0</v>
      </c>
      <c r="CK147" s="2106">
        <f t="shared" si="340"/>
        <v>0</v>
      </c>
      <c r="CL147" s="2106">
        <v>0</v>
      </c>
      <c r="CM147" s="2106"/>
      <c r="CN147" s="2106">
        <f t="shared" si="341"/>
        <v>0</v>
      </c>
      <c r="CO147" s="2106">
        <f t="shared" si="342"/>
        <v>0</v>
      </c>
      <c r="CP147" s="2106">
        <v>0</v>
      </c>
      <c r="CQ147" s="2106">
        <f t="shared" si="301"/>
        <v>0</v>
      </c>
      <c r="CR147" s="2106">
        <v>0</v>
      </c>
      <c r="CS147" s="2106">
        <f t="shared" si="343"/>
        <v>0</v>
      </c>
      <c r="CT147" s="2106">
        <v>0</v>
      </c>
      <c r="CU147" s="2106">
        <f t="shared" si="344"/>
        <v>0</v>
      </c>
      <c r="CV147" s="2106">
        <v>0</v>
      </c>
      <c r="CW147" s="2106"/>
      <c r="CX147" s="2106">
        <f t="shared" si="345"/>
        <v>0</v>
      </c>
      <c r="CY147" s="2106">
        <f t="shared" si="346"/>
        <v>0</v>
      </c>
      <c r="CZ147" s="2106">
        <v>0</v>
      </c>
      <c r="DA147" s="2106">
        <f t="shared" si="356"/>
        <v>0</v>
      </c>
      <c r="DB147" s="2106">
        <v>0</v>
      </c>
      <c r="DC147" s="2106">
        <v>0</v>
      </c>
      <c r="DD147" s="2109">
        <f t="shared" si="302"/>
        <v>0</v>
      </c>
      <c r="DE147" s="2106"/>
      <c r="DF147" s="2106"/>
      <c r="DG147" s="2106"/>
      <c r="DH147" s="2106"/>
      <c r="DI147" s="2106"/>
      <c r="DJ147" s="2106">
        <v>0</v>
      </c>
      <c r="DK147" s="2106">
        <f t="shared" si="357"/>
        <v>0</v>
      </c>
      <c r="DL147" s="2106">
        <v>0</v>
      </c>
      <c r="DM147" s="2106">
        <v>0</v>
      </c>
      <c r="DN147" s="2109">
        <f t="shared" si="303"/>
        <v>0</v>
      </c>
      <c r="DO147" s="2106"/>
      <c r="DP147" s="2106"/>
      <c r="DQ147" s="2106"/>
      <c r="DR147" s="2106"/>
      <c r="DS147" s="2106"/>
      <c r="DT147" s="2106">
        <v>0</v>
      </c>
      <c r="DU147" s="2106">
        <f t="shared" si="358"/>
        <v>0</v>
      </c>
      <c r="DV147" s="2106">
        <v>0</v>
      </c>
      <c r="DW147" s="2106">
        <v>0</v>
      </c>
      <c r="DX147" s="2109">
        <f t="shared" si="304"/>
        <v>0</v>
      </c>
      <c r="DY147" s="2106"/>
      <c r="DZ147" s="2106"/>
      <c r="EA147" s="2106"/>
      <c r="EB147" s="2106"/>
      <c r="EC147" s="2106"/>
      <c r="ED147" s="2106">
        <f t="shared" si="347"/>
        <v>0</v>
      </c>
      <c r="EE147" s="2107"/>
      <c r="EF147" s="2106">
        <f t="shared" si="348"/>
        <v>0</v>
      </c>
      <c r="EG147" s="2106">
        <f t="shared" si="349"/>
        <v>0</v>
      </c>
      <c r="EH147" s="2106">
        <f t="shared" si="350"/>
        <v>0</v>
      </c>
      <c r="EI147" s="2106">
        <f t="shared" si="351"/>
        <v>0</v>
      </c>
      <c r="EJ147" s="2106"/>
      <c r="EK147" s="2106">
        <f t="shared" si="352"/>
        <v>0</v>
      </c>
      <c r="EL147" s="2106"/>
      <c r="EM147" s="2106"/>
      <c r="EN147" s="2106">
        <f t="shared" si="353"/>
        <v>0</v>
      </c>
      <c r="EO147" s="2104">
        <f t="shared" si="354"/>
        <v>0</v>
      </c>
      <c r="EP147" s="2110"/>
      <c r="ES147" s="2084">
        <f t="shared" si="355"/>
        <v>0</v>
      </c>
      <c r="EU147" s="2084">
        <f t="shared" si="359"/>
        <v>0</v>
      </c>
      <c r="EV147" s="2084">
        <f t="shared" si="360"/>
        <v>0</v>
      </c>
      <c r="EW147" s="2084" t="e">
        <f t="shared" si="361"/>
        <v>#DIV/0!</v>
      </c>
    </row>
    <row r="148" spans="1:163" s="1824" customFormat="1">
      <c r="A148" s="1760">
        <v>7</v>
      </c>
      <c r="B148" s="2145" t="s">
        <v>2059</v>
      </c>
      <c r="C148" s="2146">
        <v>400</v>
      </c>
      <c r="D148" s="2147"/>
      <c r="E148" s="2146"/>
      <c r="F148" s="2148">
        <v>0</v>
      </c>
      <c r="G148" s="2104">
        <v>265</v>
      </c>
      <c r="H148" s="2149" t="s">
        <v>1717</v>
      </c>
      <c r="I148" s="2150">
        <v>2</v>
      </c>
      <c r="J148" s="2149"/>
      <c r="K148" s="2148"/>
      <c r="L148" s="2151"/>
      <c r="M148" s="2152"/>
      <c r="N148" s="2106">
        <v>0</v>
      </c>
      <c r="O148" s="2106">
        <f t="shared" si="305"/>
        <v>0</v>
      </c>
      <c r="P148" s="2106">
        <v>0</v>
      </c>
      <c r="Q148" s="2106">
        <f t="shared" si="306"/>
        <v>0</v>
      </c>
      <c r="R148" s="2106">
        <v>0</v>
      </c>
      <c r="S148" s="2106">
        <f t="shared" si="307"/>
        <v>0</v>
      </c>
      <c r="T148" s="2106">
        <v>0</v>
      </c>
      <c r="U148" s="2106"/>
      <c r="V148" s="2106"/>
      <c r="W148" s="2106"/>
      <c r="X148" s="2106">
        <v>0</v>
      </c>
      <c r="Y148" s="2106">
        <f t="shared" si="308"/>
        <v>0</v>
      </c>
      <c r="Z148" s="2106">
        <v>0</v>
      </c>
      <c r="AA148" s="2106">
        <f t="shared" si="309"/>
        <v>0</v>
      </c>
      <c r="AB148" s="2106">
        <v>0</v>
      </c>
      <c r="AC148" s="2106">
        <f t="shared" si="310"/>
        <v>0</v>
      </c>
      <c r="AD148" s="2106">
        <v>0</v>
      </c>
      <c r="AE148" s="2106"/>
      <c r="AF148" s="2106">
        <f t="shared" si="311"/>
        <v>0</v>
      </c>
      <c r="AG148" s="2106">
        <f t="shared" si="312"/>
        <v>0</v>
      </c>
      <c r="AH148" s="2106">
        <v>0</v>
      </c>
      <c r="AI148" s="2106">
        <f t="shared" si="313"/>
        <v>0</v>
      </c>
      <c r="AJ148" s="2106">
        <v>0</v>
      </c>
      <c r="AK148" s="2106">
        <f t="shared" si="314"/>
        <v>0</v>
      </c>
      <c r="AL148" s="2106">
        <v>0</v>
      </c>
      <c r="AM148" s="2106">
        <f t="shared" si="315"/>
        <v>0</v>
      </c>
      <c r="AN148" s="2106">
        <v>0</v>
      </c>
      <c r="AO148" s="2106">
        <v>0</v>
      </c>
      <c r="AP148" s="2106">
        <f t="shared" si="316"/>
        <v>0</v>
      </c>
      <c r="AQ148" s="2106">
        <f t="shared" si="317"/>
        <v>0</v>
      </c>
      <c r="AR148" s="2106">
        <v>0</v>
      </c>
      <c r="AS148" s="2106">
        <f t="shared" si="318"/>
        <v>0</v>
      </c>
      <c r="AT148" s="2106">
        <v>0</v>
      </c>
      <c r="AU148" s="2106">
        <f t="shared" si="319"/>
        <v>0</v>
      </c>
      <c r="AV148" s="2106">
        <v>0</v>
      </c>
      <c r="AW148" s="2106">
        <f t="shared" si="320"/>
        <v>0</v>
      </c>
      <c r="AX148" s="2106">
        <v>0</v>
      </c>
      <c r="AY148" s="2106"/>
      <c r="AZ148" s="2106">
        <f t="shared" si="321"/>
        <v>0</v>
      </c>
      <c r="BA148" s="2106">
        <f t="shared" si="322"/>
        <v>0</v>
      </c>
      <c r="BB148" s="2106">
        <v>0</v>
      </c>
      <c r="BC148" s="2106">
        <f t="shared" si="323"/>
        <v>0</v>
      </c>
      <c r="BD148" s="2106">
        <v>0</v>
      </c>
      <c r="BE148" s="2106">
        <f t="shared" si="324"/>
        <v>0</v>
      </c>
      <c r="BF148" s="2106">
        <v>0</v>
      </c>
      <c r="BG148" s="2106">
        <f t="shared" si="325"/>
        <v>0</v>
      </c>
      <c r="BH148" s="2106">
        <v>0</v>
      </c>
      <c r="BI148" s="2106"/>
      <c r="BJ148" s="2106">
        <f t="shared" si="326"/>
        <v>0</v>
      </c>
      <c r="BK148" s="2106">
        <f t="shared" si="327"/>
        <v>0</v>
      </c>
      <c r="BL148" s="2106">
        <v>0</v>
      </c>
      <c r="BM148" s="2106">
        <f t="shared" si="328"/>
        <v>0</v>
      </c>
      <c r="BN148" s="2106">
        <v>0</v>
      </c>
      <c r="BO148" s="2106">
        <f t="shared" si="329"/>
        <v>0</v>
      </c>
      <c r="BP148" s="2106">
        <v>0</v>
      </c>
      <c r="BQ148" s="2106">
        <f t="shared" si="330"/>
        <v>0</v>
      </c>
      <c r="BR148" s="2106">
        <v>0</v>
      </c>
      <c r="BS148" s="2106"/>
      <c r="BT148" s="2106">
        <f t="shared" si="331"/>
        <v>0</v>
      </c>
      <c r="BU148" s="2106">
        <f t="shared" si="332"/>
        <v>0</v>
      </c>
      <c r="BV148" s="2106">
        <v>67.006839999999997</v>
      </c>
      <c r="BW148" s="2106">
        <f t="shared" si="333"/>
        <v>2.3001790861947828</v>
      </c>
      <c r="BX148" s="2106">
        <v>15.4127732</v>
      </c>
      <c r="BY148" s="2106">
        <f t="shared" si="334"/>
        <v>2.8786449263985587</v>
      </c>
      <c r="BZ148" s="2106">
        <v>19.288889999999999</v>
      </c>
      <c r="CA148" s="2106">
        <f t="shared" si="335"/>
        <v>0</v>
      </c>
      <c r="CB148" s="2106">
        <v>0</v>
      </c>
      <c r="CC148" s="2106"/>
      <c r="CD148" s="2106">
        <f t="shared" si="336"/>
        <v>5.178824012593342</v>
      </c>
      <c r="CE148" s="2106">
        <f t="shared" si="337"/>
        <v>34.701663199999999</v>
      </c>
      <c r="CF148" s="2106">
        <v>0</v>
      </c>
      <c r="CG148" s="2106">
        <f t="shared" si="338"/>
        <v>0</v>
      </c>
      <c r="CH148" s="2106">
        <v>0</v>
      </c>
      <c r="CI148" s="2106">
        <f t="shared" si="339"/>
        <v>0</v>
      </c>
      <c r="CJ148" s="2106">
        <v>0</v>
      </c>
      <c r="CK148" s="2106">
        <f t="shared" si="340"/>
        <v>0</v>
      </c>
      <c r="CL148" s="2106">
        <v>0.381971</v>
      </c>
      <c r="CM148" s="2106"/>
      <c r="CN148" s="2106">
        <f t="shared" si="341"/>
        <v>0</v>
      </c>
      <c r="CO148" s="2106">
        <f t="shared" si="342"/>
        <v>0.381971</v>
      </c>
      <c r="CP148" s="2106">
        <v>0</v>
      </c>
      <c r="CQ148" s="2106">
        <f t="shared" si="301"/>
        <v>0</v>
      </c>
      <c r="CR148" s="2106">
        <v>0</v>
      </c>
      <c r="CS148" s="2106">
        <f t="shared" si="343"/>
        <v>0</v>
      </c>
      <c r="CT148" s="2106">
        <v>0</v>
      </c>
      <c r="CU148" s="2106">
        <f t="shared" si="344"/>
        <v>0</v>
      </c>
      <c r="CV148" s="2106">
        <v>0</v>
      </c>
      <c r="CW148" s="2106"/>
      <c r="CX148" s="2106">
        <f t="shared" si="345"/>
        <v>0</v>
      </c>
      <c r="CY148" s="2106">
        <f t="shared" si="346"/>
        <v>0</v>
      </c>
      <c r="CZ148" s="2149">
        <v>0</v>
      </c>
      <c r="DA148" s="2109">
        <f t="shared" si="356"/>
        <v>0</v>
      </c>
      <c r="DB148" s="2109"/>
      <c r="DC148" s="2109"/>
      <c r="DD148" s="2109">
        <f>IFERROR(DC148*CZ148/10,0)</f>
        <v>0</v>
      </c>
      <c r="DE148" s="2109"/>
      <c r="DF148" s="2109"/>
      <c r="DG148" s="2109"/>
      <c r="DH148" s="2109">
        <f>IFERROR(DI148/CZ148*10,0)</f>
        <v>0</v>
      </c>
      <c r="DI148" s="2109">
        <f>DD148+DB148</f>
        <v>0</v>
      </c>
      <c r="DJ148" s="2149">
        <v>0</v>
      </c>
      <c r="DK148" s="2109">
        <f t="shared" si="357"/>
        <v>0</v>
      </c>
      <c r="DL148" s="2109"/>
      <c r="DM148" s="2109"/>
      <c r="DN148" s="2109">
        <f>IFERROR(DM148*DJ148/10,0)</f>
        <v>0</v>
      </c>
      <c r="DO148" s="2109"/>
      <c r="DP148" s="2109"/>
      <c r="DQ148" s="2109"/>
      <c r="DR148" s="2109">
        <f>IFERROR(DS148/DJ148*10,0)</f>
        <v>0</v>
      </c>
      <c r="DS148" s="2109">
        <f>DN148+DL148</f>
        <v>0</v>
      </c>
      <c r="DT148" s="2149">
        <v>0</v>
      </c>
      <c r="DU148" s="2109">
        <f t="shared" si="358"/>
        <v>0</v>
      </c>
      <c r="DV148" s="2109"/>
      <c r="DW148" s="2109"/>
      <c r="DX148" s="2109">
        <f>IFERROR(DW148*DT148/10,0)</f>
        <v>0</v>
      </c>
      <c r="DY148" s="2109"/>
      <c r="DZ148" s="2109"/>
      <c r="EA148" s="2109"/>
      <c r="EB148" s="2109">
        <f>IFERROR(EC148/DT148*10,0)</f>
        <v>0</v>
      </c>
      <c r="EC148" s="2109">
        <f>DX148+DV148</f>
        <v>0</v>
      </c>
      <c r="ED148" s="2106">
        <f t="shared" si="347"/>
        <v>67.006839999999997</v>
      </c>
      <c r="EE148" s="2152"/>
      <c r="EF148" s="2106"/>
      <c r="EG148" s="2152"/>
      <c r="EH148" s="2152">
        <f>IFERROR((EI148/EE148)*10,0)</f>
        <v>0</v>
      </c>
      <c r="EI148" s="2152">
        <f t="shared" si="351"/>
        <v>19.288889999999999</v>
      </c>
      <c r="EJ148" s="2152"/>
      <c r="EK148" s="2152"/>
      <c r="EL148" s="2152"/>
      <c r="EM148" s="2152">
        <f>IFERROR(EN148/EE148*10,0)</f>
        <v>0</v>
      </c>
      <c r="EN148" s="2152">
        <f>EG148+EI148</f>
        <v>19.288889999999999</v>
      </c>
      <c r="EO148" s="2152" t="e">
        <f>EN148/J148*10</f>
        <v>#DIV/0!</v>
      </c>
      <c r="EP148" s="2152" t="e">
        <f>EN148/M148*10</f>
        <v>#DIV/0!</v>
      </c>
      <c r="EQ148" s="2153"/>
      <c r="ER148" s="2154"/>
      <c r="FG148" s="2155"/>
    </row>
    <row r="149" spans="1:163">
      <c r="A149" s="1760"/>
      <c r="B149" s="1761" t="s">
        <v>1750</v>
      </c>
      <c r="C149" s="2116"/>
      <c r="D149" s="2117"/>
      <c r="E149" s="2118"/>
      <c r="F149" s="2117"/>
      <c r="G149" s="1774"/>
      <c r="J149" s="2106"/>
      <c r="K149" s="2101"/>
      <c r="L149" s="2101"/>
      <c r="M149" s="2105"/>
      <c r="N149" s="2106"/>
      <c r="O149" s="2106"/>
      <c r="P149" s="2106"/>
      <c r="Q149" s="2106"/>
      <c r="R149" s="2106"/>
      <c r="S149" s="2106">
        <f t="shared" si="307"/>
        <v>0</v>
      </c>
      <c r="T149" s="2106"/>
      <c r="U149" s="2106"/>
      <c r="V149" s="2106"/>
      <c r="W149" s="2106"/>
      <c r="X149" s="2106"/>
      <c r="Y149" s="2106"/>
      <c r="Z149" s="2106"/>
      <c r="AA149" s="2106"/>
      <c r="AB149" s="2106"/>
      <c r="AC149" s="2106"/>
      <c r="AD149" s="2106"/>
      <c r="AE149" s="2106"/>
      <c r="AF149" s="2106"/>
      <c r="AG149" s="2106"/>
      <c r="AH149" s="2106"/>
      <c r="AI149" s="2106"/>
      <c r="AJ149" s="2106"/>
      <c r="AK149" s="2106"/>
      <c r="AL149" s="2106"/>
      <c r="AM149" s="2106"/>
      <c r="AN149" s="2106"/>
      <c r="AO149" s="2106"/>
      <c r="AP149" s="2106"/>
      <c r="AQ149" s="2106"/>
      <c r="AR149" s="2106"/>
      <c r="AS149" s="2106"/>
      <c r="AT149" s="2106"/>
      <c r="AU149" s="2106"/>
      <c r="AV149" s="2106"/>
      <c r="AW149" s="2106"/>
      <c r="AX149" s="2106"/>
      <c r="AY149" s="2120"/>
      <c r="AZ149" s="2106"/>
      <c r="BA149" s="2106"/>
      <c r="BB149" s="2106"/>
      <c r="BC149" s="2106"/>
      <c r="BD149" s="2106"/>
      <c r="BE149" s="2106"/>
      <c r="BF149" s="2106"/>
      <c r="BG149" s="2106"/>
      <c r="BH149" s="2106"/>
      <c r="BI149" s="2120"/>
      <c r="BJ149" s="2106"/>
      <c r="BK149" s="2106"/>
      <c r="BL149" s="2106"/>
      <c r="BM149" s="2106"/>
      <c r="BN149" s="2106"/>
      <c r="BO149" s="2106"/>
      <c r="BP149" s="2106"/>
      <c r="BQ149" s="2106"/>
      <c r="BR149" s="2106"/>
      <c r="BS149" s="2120"/>
      <c r="BT149" s="2106"/>
      <c r="BU149" s="2106"/>
      <c r="BV149" s="2106"/>
      <c r="BW149" s="2106"/>
      <c r="BX149" s="2106"/>
      <c r="BY149" s="2106"/>
      <c r="BZ149" s="2106"/>
      <c r="CA149" s="2106"/>
      <c r="CB149" s="2106"/>
      <c r="CC149" s="2120"/>
      <c r="CD149" s="2106"/>
      <c r="CE149" s="2106"/>
      <c r="CF149" s="2106"/>
      <c r="CG149" s="2106"/>
      <c r="CH149" s="2106"/>
      <c r="CI149" s="2106"/>
      <c r="CJ149" s="2106"/>
      <c r="CK149" s="2106"/>
      <c r="CL149" s="2106"/>
      <c r="CM149" s="2120"/>
      <c r="CN149" s="2106"/>
      <c r="CO149" s="2106"/>
      <c r="CP149" s="2121">
        <v>0</v>
      </c>
      <c r="CQ149" s="2106">
        <f t="shared" si="301"/>
        <v>0</v>
      </c>
      <c r="CR149" s="2106">
        <v>0</v>
      </c>
      <c r="CS149" s="2106">
        <f t="shared" si="343"/>
        <v>0</v>
      </c>
      <c r="CT149" s="2106">
        <v>0</v>
      </c>
      <c r="CU149" s="2106">
        <f t="shared" si="344"/>
        <v>0</v>
      </c>
      <c r="CV149" s="2106">
        <v>0</v>
      </c>
      <c r="CW149" s="2120"/>
      <c r="CX149" s="2106"/>
      <c r="CY149" s="2106"/>
      <c r="CZ149" s="2106"/>
      <c r="DA149" s="2106"/>
      <c r="DB149" s="2106"/>
      <c r="DC149" s="2106"/>
      <c r="DD149" s="2109"/>
      <c r="DE149" s="2106"/>
      <c r="DF149" s="2106"/>
      <c r="DG149" s="2120"/>
      <c r="DH149" s="2106"/>
      <c r="DI149" s="2106"/>
      <c r="DJ149" s="2106"/>
      <c r="DK149" s="2106"/>
      <c r="DL149" s="2106"/>
      <c r="DM149" s="2106"/>
      <c r="DN149" s="2109"/>
      <c r="DO149" s="2106"/>
      <c r="DP149" s="2106"/>
      <c r="DQ149" s="2120"/>
      <c r="DR149" s="2106"/>
      <c r="DS149" s="2106"/>
      <c r="DT149" s="2106"/>
      <c r="DU149" s="2106"/>
      <c r="DV149" s="2106"/>
      <c r="DW149" s="2106"/>
      <c r="DX149" s="2109"/>
      <c r="DY149" s="2106"/>
      <c r="DZ149" s="2106"/>
      <c r="EA149" s="2106"/>
      <c r="EB149" s="2106"/>
      <c r="EC149" s="2106"/>
      <c r="ED149" s="2106"/>
      <c r="EE149" s="2107"/>
      <c r="EF149" s="2106"/>
      <c r="EG149" s="2106"/>
      <c r="EH149" s="2106"/>
      <c r="EI149" s="2106"/>
      <c r="EJ149" s="2106"/>
      <c r="EK149" s="2106"/>
      <c r="EL149" s="2106"/>
      <c r="EM149" s="2106"/>
      <c r="EN149" s="2106"/>
      <c r="EO149" s="2110"/>
      <c r="EP149" s="2110"/>
      <c r="ES149" s="2084">
        <f t="shared" si="355"/>
        <v>0</v>
      </c>
      <c r="EU149" s="2084">
        <f t="shared" si="359"/>
        <v>0</v>
      </c>
      <c r="EV149" s="2084">
        <f t="shared" si="360"/>
        <v>0</v>
      </c>
      <c r="EW149" s="2084" t="e">
        <f t="shared" si="361"/>
        <v>#DIV/0!</v>
      </c>
    </row>
    <row r="150" spans="1:163">
      <c r="A150" s="1760">
        <v>1</v>
      </c>
      <c r="B150" s="1761" t="s">
        <v>1764</v>
      </c>
      <c r="C150" s="2098">
        <v>1320</v>
      </c>
      <c r="D150" s="2099">
        <v>0.78939393939393943</v>
      </c>
      <c r="E150" s="2100"/>
      <c r="F150" s="2099">
        <v>0.84999999999999976</v>
      </c>
      <c r="G150" s="2104">
        <v>1024</v>
      </c>
      <c r="H150" s="2102" t="s">
        <v>1649</v>
      </c>
      <c r="I150" s="2103">
        <v>2</v>
      </c>
      <c r="J150" s="2104"/>
      <c r="K150" s="2101"/>
      <c r="L150" s="2101"/>
      <c r="M150" s="2105"/>
      <c r="N150" s="2106">
        <v>521.29929500000003</v>
      </c>
      <c r="O150" s="2106">
        <f t="shared" ref="O150:O166" si="362">IFERROR(P150/N150*10,0)</f>
        <v>2.2816290745223431</v>
      </c>
      <c r="P150" s="2106">
        <v>118.9411628</v>
      </c>
      <c r="Q150" s="2106">
        <f t="shared" ref="Q150:Q166" si="363">IFERROR(R150/N150*10,0)</f>
        <v>2.4300000002877424</v>
      </c>
      <c r="R150" s="2106">
        <v>126.67572869999999</v>
      </c>
      <c r="S150" s="2106">
        <f t="shared" si="307"/>
        <v>0</v>
      </c>
      <c r="T150" s="2106">
        <v>0</v>
      </c>
      <c r="U150" s="2106"/>
      <c r="V150" s="2106">
        <f t="shared" ref="V150:V170" si="364">IFERROR(W150/N150*10,0)</f>
        <v>4.7116290748100855</v>
      </c>
      <c r="W150" s="2106">
        <f t="shared" ref="W150:W166" si="365">SUM(P150,R150,T150,U150)</f>
        <v>245.61689150000001</v>
      </c>
      <c r="X150" s="2106">
        <v>530.04960800000003</v>
      </c>
      <c r="Y150" s="2106">
        <f t="shared" ref="Y150:Y166" si="366">IFERROR(Z150/X150*10,0)</f>
        <v>2.3760285641037582</v>
      </c>
      <c r="Z150" s="2106">
        <v>125.9413009</v>
      </c>
      <c r="AA150" s="2106">
        <f t="shared" ref="AA150:AA166" si="367">IFERROR(AB150/X150*10,0)</f>
        <v>2.5989999977511542</v>
      </c>
      <c r="AB150" s="2106">
        <v>137.75989300000001</v>
      </c>
      <c r="AC150" s="2106">
        <f t="shared" ref="AC150:AC166" si="368">IFERROR(AD150/X150*10,0)</f>
        <v>3.2704353966808326E-2</v>
      </c>
      <c r="AD150" s="2106">
        <v>1.733493</v>
      </c>
      <c r="AE150" s="2106"/>
      <c r="AF150" s="2106">
        <f t="shared" ref="AF150:AF166" si="369">IFERROR(AG150/X150*10,0)</f>
        <v>5.0077329158217214</v>
      </c>
      <c r="AG150" s="2106">
        <f t="shared" ref="AG150:AG166" si="370">SUM(Z150,AB150,AD150,AE150)</f>
        <v>265.43468690000003</v>
      </c>
      <c r="AH150" s="2106">
        <v>450.79683799999998</v>
      </c>
      <c r="AI150" s="2106">
        <f t="shared" ref="AI150:AI166" si="371">IFERROR(AJ150/AH150*10,0)</f>
        <v>2.5296075302107601</v>
      </c>
      <c r="AJ150" s="2106">
        <v>114.03390760000001</v>
      </c>
      <c r="AK150" s="2106">
        <f t="shared" ref="AK150:AK166" si="372">IFERROR(AL150/AH150*10,0)</f>
        <v>2.5889999987089531</v>
      </c>
      <c r="AL150" s="2106">
        <v>116.7113013</v>
      </c>
      <c r="AM150" s="2106">
        <f t="shared" ref="AM150:AM166" si="373">IFERROR(AN150/AH150*10,0)</f>
        <v>0.27889238433389368</v>
      </c>
      <c r="AN150" s="2106">
        <v>12.5723805</v>
      </c>
      <c r="AO150" s="2106">
        <v>0</v>
      </c>
      <c r="AP150" s="2106">
        <f t="shared" ref="AP150:AP166" si="374">IFERROR(AQ150/AH150*10,0)</f>
        <v>5.3974999132536077</v>
      </c>
      <c r="AQ150" s="2106">
        <f t="shared" ref="AQ150:AQ166" si="375">SUM(AJ150,AL150,AN150,AO150)</f>
        <v>243.31758940000003</v>
      </c>
      <c r="AR150" s="2106">
        <v>600.62009799999998</v>
      </c>
      <c r="AS150" s="2106">
        <f t="shared" ref="AS150:AS166" si="376">IFERROR(AT150/AR150*10,0)</f>
        <v>2.2839830194959609</v>
      </c>
      <c r="AT150" s="2106">
        <v>137.1806105</v>
      </c>
      <c r="AU150" s="2106">
        <f t="shared" ref="AU150:AU166" si="377">IFERROR(AV150/AR150*10,0)</f>
        <v>2.5874278569346174</v>
      </c>
      <c r="AV150" s="2106">
        <v>155.40611730000001</v>
      </c>
      <c r="AW150" s="2106">
        <f t="shared" ref="AW150:AW166" si="378">IFERROR(AX150/AR150*10,0)</f>
        <v>6.7647603094360652E-3</v>
      </c>
      <c r="AX150" s="2106">
        <v>0.40630509999999997</v>
      </c>
      <c r="AY150" s="2106"/>
      <c r="AZ150" s="2106">
        <f t="shared" ref="AZ150:AZ166" si="379">IFERROR(BA150/AR150*10,0)</f>
        <v>4.8781756367400151</v>
      </c>
      <c r="BA150" s="2106">
        <f t="shared" ref="BA150:BA166" si="380">SUM(AT150,AV150,AX150,AY150)</f>
        <v>292.9930329</v>
      </c>
      <c r="BB150" s="2106">
        <v>615.92011300000001</v>
      </c>
      <c r="BC150" s="2106">
        <f t="shared" ref="BC150:BC166" si="381">IFERROR(BD150/BB150*10,0)</f>
        <v>2.0633873146467616</v>
      </c>
      <c r="BD150" s="2106">
        <v>127.0881748</v>
      </c>
      <c r="BE150" s="2106">
        <f t="shared" ref="BE150:BE166" si="382">IFERROR(BF150/BB150*10,0)</f>
        <v>2.5830957723570878</v>
      </c>
      <c r="BF150" s="2106">
        <v>159.09806399999999</v>
      </c>
      <c r="BG150" s="2106">
        <f t="shared" ref="BG150:BG166" si="383">IFERROR(BH150/BB150*10,0)</f>
        <v>-0.110990876182022</v>
      </c>
      <c r="BH150" s="2106">
        <v>-6.8361513</v>
      </c>
      <c r="BI150" s="2106"/>
      <c r="BJ150" s="2106">
        <f t="shared" ref="BJ150:BJ166" si="384">IFERROR(BK150/BB150*10,0)</f>
        <v>4.5354922108218281</v>
      </c>
      <c r="BK150" s="2106">
        <f t="shared" ref="BK150:BK166" si="385">SUM(BD150,BF150,BH150,BI150)</f>
        <v>279.35008750000003</v>
      </c>
      <c r="BL150" s="2106">
        <v>584.61299799999995</v>
      </c>
      <c r="BM150" s="2106">
        <f t="shared" ref="BM150:BM166" si="386">IFERROR(BN150/BL150*10,0)</f>
        <v>2.2760559370936191</v>
      </c>
      <c r="BN150" s="2106">
        <v>133.06118849999999</v>
      </c>
      <c r="BO150" s="2106">
        <f t="shared" ref="BO150:BO166" si="387">IFERROR(BP150/BL150*10,0)</f>
        <v>2.5659999985152568</v>
      </c>
      <c r="BP150" s="2106">
        <v>150.01169519999999</v>
      </c>
      <c r="BQ150" s="2106">
        <f t="shared" ref="BQ150:BQ166" si="388">IFERROR(BR150/BL150*10,0)</f>
        <v>0</v>
      </c>
      <c r="BR150" s="2106">
        <v>0</v>
      </c>
      <c r="BS150" s="2106"/>
      <c r="BT150" s="2106">
        <f t="shared" ref="BT150:BT166" si="389">IFERROR(BU150/BL150*10,0)</f>
        <v>4.8420559356088759</v>
      </c>
      <c r="BU150" s="2106">
        <f t="shared" ref="BU150:BU166" si="390">SUM(BN150,BP150,BR150,BS150)</f>
        <v>283.07288369999998</v>
      </c>
      <c r="BV150" s="2106">
        <v>485.04255499999999</v>
      </c>
      <c r="BW150" s="2106">
        <f t="shared" ref="BW150:BW166" si="391">IFERROR(BX150/BV150*10,0)</f>
        <v>2.5228906791487606</v>
      </c>
      <c r="BX150" s="2106">
        <v>122.3709341</v>
      </c>
      <c r="BY150" s="2106">
        <f t="shared" ref="BY150:BY166" si="392">IFERROR(BZ150/BV150*10,0)</f>
        <v>2.743996074736164</v>
      </c>
      <c r="BZ150" s="2106">
        <v>133.09548670000001</v>
      </c>
      <c r="CA150" s="2106">
        <f t="shared" ref="CA150:CA166" si="393">IFERROR(CB150/BV150*10,0)</f>
        <v>0</v>
      </c>
      <c r="CB150" s="2106">
        <v>0</v>
      </c>
      <c r="CC150" s="2106"/>
      <c r="CD150" s="2106">
        <f t="shared" ref="CD150:CD166" si="394">IFERROR(CE150/BV150*10,0)</f>
        <v>5.2668867538849256</v>
      </c>
      <c r="CE150" s="2106">
        <f t="shared" ref="CE150:CE166" si="395">SUM(BX150,BZ150,CB150,CC150)</f>
        <v>255.46642080000001</v>
      </c>
      <c r="CF150" s="2106">
        <v>330.217603</v>
      </c>
      <c r="CG150" s="2106">
        <f t="shared" ref="CG150:CG166" si="396">IFERROR(CH150/CF150*10,0)</f>
        <v>3.3952773953119637</v>
      </c>
      <c r="CH150" s="2106">
        <v>112.1180363</v>
      </c>
      <c r="CI150" s="2106">
        <f t="shared" ref="CI150:CI166" si="397">IFERROR(CJ150/CF150*10,0)</f>
        <v>2.2859999986130362</v>
      </c>
      <c r="CJ150" s="2106">
        <v>75.487744000000006</v>
      </c>
      <c r="CK150" s="2106">
        <f t="shared" ref="CK150:CK166" si="398">IFERROR(CL150/CF150*10,0)</f>
        <v>2.9362813829158591E-2</v>
      </c>
      <c r="CL150" s="2106">
        <v>0.96961180000000002</v>
      </c>
      <c r="CM150" s="2106"/>
      <c r="CN150" s="2106">
        <f t="shared" ref="CN150:CN166" si="399">IFERROR(CO150/CF150*10,0)</f>
        <v>5.7106402077541576</v>
      </c>
      <c r="CO150" s="2106">
        <f t="shared" ref="CO150:CO166" si="400">SUM(CH150,CJ150,CL150,CM150)</f>
        <v>188.57539209999999</v>
      </c>
      <c r="CP150" s="2106">
        <v>433.43231800000001</v>
      </c>
      <c r="CQ150" s="2106">
        <f t="shared" si="301"/>
        <v>2.3596289905636434</v>
      </c>
      <c r="CR150" s="2106">
        <v>102.27394630000001</v>
      </c>
      <c r="CS150" s="2106">
        <f t="shared" si="343"/>
        <v>2.270000000323003</v>
      </c>
      <c r="CT150" s="2106">
        <v>98.389136199999996</v>
      </c>
      <c r="CU150" s="2106">
        <f t="shared" si="344"/>
        <v>9.5490851238277996E-2</v>
      </c>
      <c r="CV150" s="2106">
        <v>4.1388821</v>
      </c>
      <c r="CW150" s="2106"/>
      <c r="CX150" s="2106">
        <f t="shared" ref="CX150:CX166" si="401">IFERROR(CY150/CP150*10,0)</f>
        <v>4.7251198421249239</v>
      </c>
      <c r="CY150" s="2106">
        <f t="shared" ref="CY150:CY166" si="402">SUM(CR150,CT150,CV150,CW150)</f>
        <v>204.80196459999999</v>
      </c>
      <c r="CZ150" s="2106">
        <v>610.34188800000004</v>
      </c>
      <c r="DA150" s="2106">
        <f t="shared" si="356"/>
        <v>1.3494537659645278</v>
      </c>
      <c r="DB150" s="2106">
        <v>82.36281592875001</v>
      </c>
      <c r="DC150" s="2106">
        <v>2.5548207143314223</v>
      </c>
      <c r="DD150" s="2109">
        <f t="shared" si="302"/>
        <v>155.93140982865492</v>
      </c>
      <c r="DE150" s="2106"/>
      <c r="DF150" s="2106"/>
      <c r="DG150" s="2106"/>
      <c r="DH150" s="2106">
        <f t="shared" ref="DH150:DH168" si="403">IFERROR(DI150/CZ150*10,0)</f>
        <v>3.9042744802959506</v>
      </c>
      <c r="DI150" s="2106">
        <f t="shared" ref="DI150:DI166" si="404">SUM(DB150,DD150,DF150,DG150)</f>
        <v>238.29422575740494</v>
      </c>
      <c r="DJ150" s="2106">
        <v>551.27654399999994</v>
      </c>
      <c r="DK150" s="2106">
        <f t="shared" si="357"/>
        <v>1.4940380980321559</v>
      </c>
      <c r="DL150" s="2106">
        <v>82.36281592875001</v>
      </c>
      <c r="DM150" s="2106">
        <v>2.5548207143314223</v>
      </c>
      <c r="DN150" s="2109">
        <f t="shared" si="303"/>
        <v>140.84127339362377</v>
      </c>
      <c r="DO150" s="2106"/>
      <c r="DP150" s="2106"/>
      <c r="DQ150" s="2106"/>
      <c r="DR150" s="2106">
        <f t="shared" ref="DR150:DR168" si="405">IFERROR(DS150/DJ150*10,0)</f>
        <v>4.0488588123635783</v>
      </c>
      <c r="DS150" s="2106">
        <f t="shared" ref="DS150:DS166" si="406">SUM(DL150,DN150,DP150,DQ150)</f>
        <v>223.20408932237376</v>
      </c>
      <c r="DT150" s="2106">
        <v>610.34188800000004</v>
      </c>
      <c r="DU150" s="2106">
        <f t="shared" si="358"/>
        <v>1.3494537659645278</v>
      </c>
      <c r="DV150" s="2106">
        <v>82.36281592875001</v>
      </c>
      <c r="DW150" s="2106">
        <v>2.5548207143314223</v>
      </c>
      <c r="DX150" s="2109">
        <f t="shared" si="304"/>
        <v>155.93140982865492</v>
      </c>
      <c r="DY150" s="2106"/>
      <c r="DZ150" s="2106"/>
      <c r="EA150" s="2106"/>
      <c r="EB150" s="2106">
        <f t="shared" ref="EB150:EB168" si="407">IFERROR(EC150/DT150*10,0)</f>
        <v>3.9042744802959506</v>
      </c>
      <c r="EC150" s="2106">
        <f t="shared" ref="EC150:EC166" si="408">SUM(DV150,DX150,DZ150,EA150)</f>
        <v>238.29422575740494</v>
      </c>
      <c r="ED150" s="2106">
        <f t="shared" ref="ED150:ED166" si="409">SUM(N150,X150,AH150,AR150,BB150,BL150,BV150,CF150,CP150,CZ150,DJ150,DT150)</f>
        <v>6323.9517460000006</v>
      </c>
      <c r="EE150" s="2107"/>
      <c r="EF150" s="2106">
        <f t="shared" ref="EF150:EF166" si="410">IFERROR(EG150/ED150*10,0)</f>
        <v>2.1190827561799201</v>
      </c>
      <c r="EG150" s="2106">
        <f t="shared" ref="EG150:EG166" si="411">SUM(P150,Z150,AJ150,AT150,BD150,BN150,BX150,CH150,CR150,DB150,DL150,DV150)</f>
        <v>1340.0977095862499</v>
      </c>
      <c r="EH150" s="2106">
        <f t="shared" ref="EH150:EH166" si="412">IFERROR(EI150/ED150*10,0)</f>
        <v>2.5385064970907409</v>
      </c>
      <c r="EI150" s="2106">
        <f t="shared" ref="EI150:EI166" si="413">SUM(R150,AB150,AL150,AV150,BF150,BP150,BZ150,CJ150,CT150,DD150,DN150,DX150)</f>
        <v>1605.3392594509337</v>
      </c>
      <c r="EJ150" s="2106"/>
      <c r="EK150" s="2106">
        <f t="shared" ref="EK150:EK166" si="414">SUM(T150,AD150,AN150,AX150,BH150,BR150,CB150,CL150,CV150,DF150,DP150,DZ150)</f>
        <v>12.984521199999998</v>
      </c>
      <c r="EL150" s="2106"/>
      <c r="EM150" s="2106"/>
      <c r="EN150" s="2106">
        <f t="shared" ref="EN150:EN166" si="415">EG150+EI150+EK150</f>
        <v>2958.4214902371837</v>
      </c>
      <c r="EO150" s="2104">
        <f t="shared" ref="EO150:EO168" si="416">IFERROR(EN150/ED150*10,0)</f>
        <v>4.6781215433979737</v>
      </c>
      <c r="EP150" s="2110"/>
      <c r="ES150" s="2084">
        <f t="shared" si="355"/>
        <v>0</v>
      </c>
      <c r="EU150" s="2084">
        <f t="shared" si="359"/>
        <v>1152.6351663999999</v>
      </c>
      <c r="EV150" s="2084">
        <f t="shared" si="360"/>
        <v>4551.9914260000005</v>
      </c>
      <c r="EW150" s="2084">
        <f t="shared" si="361"/>
        <v>2.532155838028153</v>
      </c>
    </row>
    <row r="151" spans="1:163">
      <c r="A151" s="1760">
        <v>2</v>
      </c>
      <c r="B151" s="1761" t="s">
        <v>1765</v>
      </c>
      <c r="C151" s="2098">
        <v>1200</v>
      </c>
      <c r="D151" s="2099">
        <v>0.91666666666666663</v>
      </c>
      <c r="E151" s="2100"/>
      <c r="F151" s="2099">
        <v>0.79493084377611789</v>
      </c>
      <c r="G151" s="2104">
        <v>1100</v>
      </c>
      <c r="H151" s="2102" t="s">
        <v>1649</v>
      </c>
      <c r="I151" s="2103">
        <v>2</v>
      </c>
      <c r="J151" s="2104"/>
      <c r="K151" s="2101"/>
      <c r="L151" s="2101"/>
      <c r="M151" s="2105"/>
      <c r="N151" s="2106">
        <v>358.45715000000001</v>
      </c>
      <c r="O151" s="2106">
        <f t="shared" si="362"/>
        <v>1.2715500583542552</v>
      </c>
      <c r="P151" s="2106">
        <v>45.579621000000003</v>
      </c>
      <c r="Q151" s="2106">
        <f t="shared" si="363"/>
        <v>1.7627840454570372</v>
      </c>
      <c r="R151" s="2106">
        <v>63.188254499999999</v>
      </c>
      <c r="S151" s="2106">
        <f t="shared" si="307"/>
        <v>0.18676171475446926</v>
      </c>
      <c r="T151" s="2106">
        <v>6.6946072000000001</v>
      </c>
      <c r="U151" s="2106"/>
      <c r="V151" s="2106">
        <f t="shared" si="364"/>
        <v>3.2210958185657619</v>
      </c>
      <c r="W151" s="2106">
        <f t="shared" si="365"/>
        <v>115.46248270000001</v>
      </c>
      <c r="X151" s="2106">
        <v>639.48266000000001</v>
      </c>
      <c r="Y151" s="2106">
        <f t="shared" si="366"/>
        <v>0.73668977357415755</v>
      </c>
      <c r="Z151" s="2106">
        <v>47.110033600000001</v>
      </c>
      <c r="AA151" s="2106">
        <f t="shared" si="367"/>
        <v>1.8052930880096107</v>
      </c>
      <c r="AB151" s="2106">
        <v>115.4453626</v>
      </c>
      <c r="AC151" s="2106">
        <f t="shared" si="368"/>
        <v>0.11394508961353229</v>
      </c>
      <c r="AD151" s="2106">
        <v>7.2865909000000002</v>
      </c>
      <c r="AE151" s="2106"/>
      <c r="AF151" s="2106">
        <f t="shared" si="369"/>
        <v>2.6559279511973006</v>
      </c>
      <c r="AG151" s="2106">
        <f t="shared" si="370"/>
        <v>169.84198709999998</v>
      </c>
      <c r="AH151" s="2106">
        <v>657.95840999999996</v>
      </c>
      <c r="AI151" s="2106">
        <f t="shared" si="371"/>
        <v>0.6929779041809041</v>
      </c>
      <c r="AJ151" s="2106">
        <v>45.595064000000001</v>
      </c>
      <c r="AK151" s="2106">
        <f t="shared" si="372"/>
        <v>1.8715840134941053</v>
      </c>
      <c r="AL151" s="2106">
        <v>123.14244417</v>
      </c>
      <c r="AM151" s="2106">
        <f t="shared" si="373"/>
        <v>0.10795978882616609</v>
      </c>
      <c r="AN151" s="2106">
        <v>7.1033051</v>
      </c>
      <c r="AO151" s="2106">
        <v>0.24223610000000001</v>
      </c>
      <c r="AP151" s="2106">
        <f t="shared" si="374"/>
        <v>2.6762033389010109</v>
      </c>
      <c r="AQ151" s="2106">
        <f>SUM(AJ151,AL151,AN151,AO151)</f>
        <v>176.08304937000003</v>
      </c>
      <c r="AR151" s="2106">
        <v>623.76494000000002</v>
      </c>
      <c r="AS151" s="2106">
        <f t="shared" si="376"/>
        <v>0.75544754358909616</v>
      </c>
      <c r="AT151" s="2106">
        <v>47.122169169999999</v>
      </c>
      <c r="AU151" s="2106">
        <f t="shared" si="377"/>
        <v>2.0204439704482269</v>
      </c>
      <c r="AV151" s="2106">
        <v>126.0282112</v>
      </c>
      <c r="AW151" s="2106">
        <f t="shared" si="378"/>
        <v>0.11638971773565855</v>
      </c>
      <c r="AX151" s="2106">
        <v>7.2599825299999994</v>
      </c>
      <c r="AY151" s="2106"/>
      <c r="AZ151" s="2106">
        <f t="shared" si="379"/>
        <v>2.8922812317729814</v>
      </c>
      <c r="BA151" s="2106">
        <f t="shared" si="380"/>
        <v>180.4103629</v>
      </c>
      <c r="BB151" s="2106">
        <v>657.48042999999996</v>
      </c>
      <c r="BC151" s="2106">
        <f t="shared" si="381"/>
        <v>0.71682703316355745</v>
      </c>
      <c r="BD151" s="2106">
        <v>47.129974599999997</v>
      </c>
      <c r="BE151" s="2106">
        <f t="shared" si="382"/>
        <v>1.954213981699805</v>
      </c>
      <c r="BF151" s="2106">
        <v>128.48574489999999</v>
      </c>
      <c r="BG151" s="2106">
        <f t="shared" si="383"/>
        <v>0.11119864358548284</v>
      </c>
      <c r="BH151" s="2106">
        <v>7.3110932000000002</v>
      </c>
      <c r="BI151" s="2106"/>
      <c r="BJ151" s="2106">
        <f t="shared" si="384"/>
        <v>2.7822396584488454</v>
      </c>
      <c r="BK151" s="2106">
        <f t="shared" si="385"/>
        <v>182.92681269999997</v>
      </c>
      <c r="BL151" s="2106">
        <v>632.46972000000005</v>
      </c>
      <c r="BM151" s="2106">
        <f t="shared" si="386"/>
        <v>0.72121347698669269</v>
      </c>
      <c r="BN151" s="2106">
        <v>45.614568585000001</v>
      </c>
      <c r="BO151" s="2106">
        <f t="shared" si="387"/>
        <v>1.9705103697928807</v>
      </c>
      <c r="BP151" s="2106">
        <v>124.62881418399999</v>
      </c>
      <c r="BQ151" s="2106">
        <f t="shared" si="388"/>
        <v>0.11170283061140066</v>
      </c>
      <c r="BR151" s="2106">
        <v>7.0648657999999998</v>
      </c>
      <c r="BS151" s="2106"/>
      <c r="BT151" s="2106">
        <f t="shared" si="389"/>
        <v>2.8034266773909744</v>
      </c>
      <c r="BU151" s="2106">
        <f t="shared" si="390"/>
        <v>177.308248569</v>
      </c>
      <c r="BV151" s="2106">
        <v>554.93786</v>
      </c>
      <c r="BW151" s="2106">
        <f t="shared" si="391"/>
        <v>0.84940351606214071</v>
      </c>
      <c r="BX151" s="2106">
        <v>47.136616948000004</v>
      </c>
      <c r="BY151" s="2106">
        <f t="shared" si="392"/>
        <v>2.0012874391738205</v>
      </c>
      <c r="BZ151" s="2106">
        <v>111.05901687399999</v>
      </c>
      <c r="CA151" s="2106">
        <f t="shared" si="393"/>
        <v>0.12913350154195644</v>
      </c>
      <c r="CB151" s="2106">
        <v>7.1661068999999999</v>
      </c>
      <c r="CC151" s="2106"/>
      <c r="CD151" s="2106">
        <f t="shared" si="394"/>
        <v>2.9798244567779171</v>
      </c>
      <c r="CE151" s="2106">
        <f t="shared" si="395"/>
        <v>165.36174072199998</v>
      </c>
      <c r="CF151" s="2106">
        <v>587.94979999999998</v>
      </c>
      <c r="CG151" s="2106">
        <f t="shared" si="396"/>
        <v>0.77613570343930727</v>
      </c>
      <c r="CH151" s="2106">
        <v>45.632883161000002</v>
      </c>
      <c r="CI151" s="2106">
        <f t="shared" si="397"/>
        <v>1.9038514604308057</v>
      </c>
      <c r="CJ151" s="2106">
        <v>111.93690853900002</v>
      </c>
      <c r="CK151" s="2106">
        <f t="shared" si="398"/>
        <v>0.13875815078090004</v>
      </c>
      <c r="CL151" s="2106">
        <v>8.1582827000000009</v>
      </c>
      <c r="CM151" s="2106"/>
      <c r="CN151" s="2106">
        <f t="shared" si="399"/>
        <v>2.8187453146510135</v>
      </c>
      <c r="CO151" s="2106">
        <f t="shared" si="400"/>
        <v>165.72807440000003</v>
      </c>
      <c r="CP151" s="2106">
        <v>443.08105999999998</v>
      </c>
      <c r="CQ151" s="2106">
        <f t="shared" si="301"/>
        <v>1.4992317554715608</v>
      </c>
      <c r="CR151" s="2106">
        <v>66.428119539999997</v>
      </c>
      <c r="CS151" s="2106">
        <f t="shared" si="343"/>
        <v>1.9586961008895303</v>
      </c>
      <c r="CT151" s="2106">
        <v>86.786114460000007</v>
      </c>
      <c r="CU151" s="2106">
        <f t="shared" si="344"/>
        <v>0.15766255276179036</v>
      </c>
      <c r="CV151" s="2106">
        <v>6.9857291000000004</v>
      </c>
      <c r="CW151" s="2106"/>
      <c r="CX151" s="2106">
        <f t="shared" si="401"/>
        <v>3.6155904091228814</v>
      </c>
      <c r="CY151" s="2106">
        <f t="shared" si="402"/>
        <v>160.19996309999999</v>
      </c>
      <c r="CZ151" s="2106">
        <v>645.04058099999997</v>
      </c>
      <c r="DA151" s="2106">
        <f t="shared" si="356"/>
        <v>0.76299697840406122</v>
      </c>
      <c r="DB151" s="2106">
        <v>49.216401425100003</v>
      </c>
      <c r="DC151" s="2106">
        <v>2.0784312471057569</v>
      </c>
      <c r="DD151" s="2109">
        <f t="shared" si="302"/>
        <v>134.06724992016521</v>
      </c>
      <c r="DE151" s="2106"/>
      <c r="DF151" s="2106"/>
      <c r="DG151" s="2106"/>
      <c r="DH151" s="2106">
        <f t="shared" si="403"/>
        <v>2.8414282255098184</v>
      </c>
      <c r="DI151" s="2106">
        <f t="shared" si="404"/>
        <v>183.28365134526521</v>
      </c>
      <c r="DJ151" s="2106">
        <v>507.20510400000006</v>
      </c>
      <c r="DK151" s="2106">
        <f t="shared" si="357"/>
        <v>0.97034515301525825</v>
      </c>
      <c r="DL151" s="2106">
        <v>49.216401425100003</v>
      </c>
      <c r="DM151" s="2106">
        <v>2.0784312471057569</v>
      </c>
      <c r="DN151" s="2109">
        <f t="shared" si="303"/>
        <v>105.41909368451252</v>
      </c>
      <c r="DO151" s="2106"/>
      <c r="DP151" s="2106"/>
      <c r="DQ151" s="2106"/>
      <c r="DR151" s="2106">
        <f t="shared" si="405"/>
        <v>3.0487764001210147</v>
      </c>
      <c r="DS151" s="2106">
        <f t="shared" si="406"/>
        <v>154.63549510961252</v>
      </c>
      <c r="DT151" s="2106">
        <v>537.42381199999977</v>
      </c>
      <c r="DU151" s="2106">
        <f t="shared" si="358"/>
        <v>0.91578378788136061</v>
      </c>
      <c r="DV151" s="2106">
        <v>49.216401425100003</v>
      </c>
      <c r="DW151" s="2106">
        <v>2.0784312471057569</v>
      </c>
      <c r="DX151" s="2109">
        <f t="shared" si="304"/>
        <v>111.69984437994894</v>
      </c>
      <c r="DY151" s="2106"/>
      <c r="DZ151" s="2106"/>
      <c r="EA151" s="2106"/>
      <c r="EB151" s="2106">
        <f t="shared" si="407"/>
        <v>2.9942150349871177</v>
      </c>
      <c r="EC151" s="2106">
        <f t="shared" si="408"/>
        <v>160.91624580504896</v>
      </c>
      <c r="ED151" s="2106">
        <f t="shared" si="409"/>
        <v>6845.2515270000013</v>
      </c>
      <c r="EE151" s="2107"/>
      <c r="EF151" s="2106">
        <f t="shared" si="410"/>
        <v>0.85460446934910705</v>
      </c>
      <c r="EG151" s="2106">
        <f t="shared" si="411"/>
        <v>584.99825487930002</v>
      </c>
      <c r="EH151" s="2106">
        <f t="shared" si="412"/>
        <v>1.9603181185070668</v>
      </c>
      <c r="EI151" s="2106">
        <f t="shared" si="413"/>
        <v>1341.8870594116268</v>
      </c>
      <c r="EJ151" s="2106"/>
      <c r="EK151" s="2106">
        <f t="shared" si="414"/>
        <v>65.030563430000001</v>
      </c>
      <c r="EL151" s="2106"/>
      <c r="EM151" s="2106"/>
      <c r="EN151" s="2106">
        <f t="shared" si="415"/>
        <v>1991.9158777209268</v>
      </c>
      <c r="EO151" s="2104">
        <f t="shared" si="416"/>
        <v>2.9099235723685721</v>
      </c>
      <c r="EP151" s="2110"/>
      <c r="ES151" s="2084">
        <f t="shared" si="355"/>
        <v>0</v>
      </c>
      <c r="EU151" s="2084">
        <f t="shared" si="359"/>
        <v>990.70087142700004</v>
      </c>
      <c r="EV151" s="2084">
        <f t="shared" si="360"/>
        <v>5155.5820300000014</v>
      </c>
      <c r="EW151" s="2084">
        <f t="shared" si="361"/>
        <v>1.9216082018716316</v>
      </c>
    </row>
    <row r="152" spans="1:163" s="2093" customFormat="1">
      <c r="A152" s="1773">
        <v>3</v>
      </c>
      <c r="B152" s="1774" t="s">
        <v>1780</v>
      </c>
      <c r="C152" s="2133"/>
      <c r="D152" s="2134"/>
      <c r="E152" s="2104"/>
      <c r="F152" s="2134"/>
      <c r="G152" s="2104"/>
      <c r="H152" s="2102" t="s">
        <v>1649</v>
      </c>
      <c r="I152" s="2103">
        <v>1</v>
      </c>
      <c r="J152" s="2104"/>
      <c r="K152" s="2101"/>
      <c r="L152" s="2101"/>
      <c r="M152" s="2105"/>
      <c r="N152" s="2106">
        <v>12.444202000000001</v>
      </c>
      <c r="O152" s="2106">
        <f t="shared" si="362"/>
        <v>3.8336499198582601</v>
      </c>
      <c r="P152" s="2106">
        <v>4.7706714000000003</v>
      </c>
      <c r="Q152" s="2106">
        <f t="shared" si="363"/>
        <v>3.3690001174844313</v>
      </c>
      <c r="R152" s="2106">
        <v>4.1924517999999997</v>
      </c>
      <c r="S152" s="2106">
        <f t="shared" si="307"/>
        <v>2.450278852754078</v>
      </c>
      <c r="T152" s="2106">
        <v>3.0491765000000002</v>
      </c>
      <c r="U152" s="2106"/>
      <c r="V152" s="2106">
        <f>IFERROR(W152/N152*10,0)</f>
        <v>9.6529288900967689</v>
      </c>
      <c r="W152" s="2106">
        <f>SUM(P152,R152,T152,U152)</f>
        <v>12.0122997</v>
      </c>
      <c r="X152" s="2106">
        <v>1.578106</v>
      </c>
      <c r="Y152" s="2106">
        <f t="shared" si="366"/>
        <v>31.783628602894861</v>
      </c>
      <c r="Z152" s="2106">
        <v>5.0157935</v>
      </c>
      <c r="AA152" s="2106">
        <f t="shared" si="367"/>
        <v>3.3040017590706832</v>
      </c>
      <c r="AB152" s="2106">
        <v>0.52140649999999999</v>
      </c>
      <c r="AC152" s="2106">
        <f t="shared" si="368"/>
        <v>4.6061297530077194</v>
      </c>
      <c r="AD152" s="2106">
        <v>0.72689610000000004</v>
      </c>
      <c r="AE152" s="2106"/>
      <c r="AF152" s="2106">
        <f t="shared" si="369"/>
        <v>39.693760114973273</v>
      </c>
      <c r="AG152" s="2106">
        <f t="shared" si="370"/>
        <v>6.2640961000000006</v>
      </c>
      <c r="AH152" s="2106">
        <v>8.1242710000000002</v>
      </c>
      <c r="AI152" s="2106">
        <f t="shared" si="371"/>
        <v>6.2224405118933124</v>
      </c>
      <c r="AJ152" s="2106">
        <v>5.0552792999999996</v>
      </c>
      <c r="AK152" s="2106">
        <f t="shared" si="372"/>
        <v>3.3420000391419737</v>
      </c>
      <c r="AL152" s="2106">
        <v>2.7151314000000002</v>
      </c>
      <c r="AM152" s="2106">
        <f t="shared" si="373"/>
        <v>0.29593092106356372</v>
      </c>
      <c r="AN152" s="2106">
        <v>0.24042230000000001</v>
      </c>
      <c r="AO152" s="2106">
        <v>0</v>
      </c>
      <c r="AP152" s="2106">
        <f t="shared" si="374"/>
        <v>9.8603714720988496</v>
      </c>
      <c r="AQ152" s="2106">
        <f t="shared" si="375"/>
        <v>8.0108329999999999</v>
      </c>
      <c r="AR152" s="2106">
        <v>22.972076999999999</v>
      </c>
      <c r="AS152" s="2106">
        <f t="shared" si="376"/>
        <v>2.1772626828649413</v>
      </c>
      <c r="AT152" s="2106">
        <v>5.0016246000000004</v>
      </c>
      <c r="AU152" s="2106">
        <f t="shared" si="377"/>
        <v>3.3029999855912031</v>
      </c>
      <c r="AV152" s="2106">
        <v>7.5876770000000002</v>
      </c>
      <c r="AW152" s="2106">
        <f t="shared" si="378"/>
        <v>-7.9299751607135906E-3</v>
      </c>
      <c r="AX152" s="2106">
        <v>-1.8216799999999998E-2</v>
      </c>
      <c r="AY152" s="2106"/>
      <c r="AZ152" s="2106">
        <f t="shared" si="379"/>
        <v>5.4723326932954306</v>
      </c>
      <c r="BA152" s="2106">
        <f t="shared" si="380"/>
        <v>12.571084800000001</v>
      </c>
      <c r="BB152" s="2106">
        <v>15.798102999999999</v>
      </c>
      <c r="BC152" s="2106">
        <f t="shared" si="381"/>
        <v>3.1659653060876995</v>
      </c>
      <c r="BD152" s="2106">
        <v>5.0016246000000004</v>
      </c>
      <c r="BE152" s="2106">
        <f t="shared" si="382"/>
        <v>3.6129999912014754</v>
      </c>
      <c r="BF152" s="2106">
        <v>5.7078546000000001</v>
      </c>
      <c r="BG152" s="2106">
        <f t="shared" si="383"/>
        <v>0.19775760418830035</v>
      </c>
      <c r="BH152" s="2106">
        <v>0.31241950000000002</v>
      </c>
      <c r="BI152" s="2106"/>
      <c r="BJ152" s="2106">
        <f t="shared" si="384"/>
        <v>6.9767229014774754</v>
      </c>
      <c r="BK152" s="2106">
        <f t="shared" si="385"/>
        <v>11.021898700000001</v>
      </c>
      <c r="BL152" s="2106">
        <v>14.240976</v>
      </c>
      <c r="BM152" s="2106">
        <f t="shared" si="386"/>
        <v>3.5121361064016963</v>
      </c>
      <c r="BN152" s="2106">
        <v>5.0016246000000004</v>
      </c>
      <c r="BO152" s="2106">
        <f t="shared" si="387"/>
        <v>3.6919999724737975</v>
      </c>
      <c r="BP152" s="2106">
        <v>5.2577683000000004</v>
      </c>
      <c r="BQ152" s="2106">
        <f t="shared" si="388"/>
        <v>0.15590567668957522</v>
      </c>
      <c r="BR152" s="2106">
        <v>0.2220249</v>
      </c>
      <c r="BS152" s="2106">
        <v>-1.1007299999999999E-2</v>
      </c>
      <c r="BT152" s="2106">
        <f t="shared" si="389"/>
        <v>7.3523124398215414</v>
      </c>
      <c r="BU152" s="2106">
        <f t="shared" si="390"/>
        <v>10.470410500000002</v>
      </c>
      <c r="BV152" s="2106">
        <v>4.257657</v>
      </c>
      <c r="BW152" s="2106">
        <f t="shared" si="391"/>
        <v>3.6539958479511148</v>
      </c>
      <c r="BX152" s="2106">
        <v>1.5557460999999999</v>
      </c>
      <c r="BY152" s="2106">
        <f t="shared" si="392"/>
        <v>3.540999897361389</v>
      </c>
      <c r="BZ152" s="2106">
        <v>1.5076362999999999</v>
      </c>
      <c r="CA152" s="2106">
        <f t="shared" si="393"/>
        <v>1.3056521462391169</v>
      </c>
      <c r="CB152" s="2106">
        <v>0.55590189999999995</v>
      </c>
      <c r="CC152" s="2106"/>
      <c r="CD152" s="2106">
        <f t="shared" si="394"/>
        <v>8.5006478915516208</v>
      </c>
      <c r="CE152" s="2106">
        <f t="shared" si="395"/>
        <v>3.6192842999999999</v>
      </c>
      <c r="CF152" s="2106">
        <v>1.5863370000000001</v>
      </c>
      <c r="CG152" s="2106">
        <f t="shared" si="396"/>
        <v>8.3066113946784306</v>
      </c>
      <c r="CH152" s="2106">
        <v>1.3177084999999999</v>
      </c>
      <c r="CI152" s="2106">
        <f t="shared" si="397"/>
        <v>3.522999841773848</v>
      </c>
      <c r="CJ152" s="2106">
        <v>0.55886650000000004</v>
      </c>
      <c r="CK152" s="2106">
        <f t="shared" si="398"/>
        <v>3.273676400411766</v>
      </c>
      <c r="CL152" s="2106">
        <v>0.51931539999999998</v>
      </c>
      <c r="CM152" s="2106">
        <v>74.446957900000001</v>
      </c>
      <c r="CN152" s="2106">
        <f t="shared" si="399"/>
        <v>484.40431194632663</v>
      </c>
      <c r="CO152" s="2106">
        <f t="shared" si="400"/>
        <v>76.8428483</v>
      </c>
      <c r="CP152" s="2106">
        <v>2.4387620000000001</v>
      </c>
      <c r="CQ152" s="2106">
        <f t="shared" si="301"/>
        <v>5.4031861247633017</v>
      </c>
      <c r="CR152" s="2106">
        <v>1.3177084999999999</v>
      </c>
      <c r="CS152" s="2106">
        <f t="shared" si="343"/>
        <v>3.5</v>
      </c>
      <c r="CT152" s="2106">
        <v>0.85356670000000001</v>
      </c>
      <c r="CU152" s="2106">
        <f t="shared" si="344"/>
        <v>4.8761420753644682</v>
      </c>
      <c r="CV152" s="2106">
        <v>1.1891750000000001</v>
      </c>
      <c r="CW152" s="2106"/>
      <c r="CX152" s="2106">
        <f t="shared" si="401"/>
        <v>13.77932820012777</v>
      </c>
      <c r="CY152" s="2106">
        <f t="shared" si="402"/>
        <v>3.3604502000000003</v>
      </c>
      <c r="CZ152" s="2106">
        <v>0</v>
      </c>
      <c r="DA152" s="2106">
        <f t="shared" si="356"/>
        <v>0</v>
      </c>
      <c r="DB152" s="2106">
        <v>0</v>
      </c>
      <c r="DC152" s="2106">
        <v>0</v>
      </c>
      <c r="DD152" s="2135">
        <f t="shared" si="302"/>
        <v>0</v>
      </c>
      <c r="DE152" s="2106"/>
      <c r="DF152" s="2106"/>
      <c r="DG152" s="2106"/>
      <c r="DH152" s="2106">
        <f t="shared" si="403"/>
        <v>0</v>
      </c>
      <c r="DI152" s="2106">
        <f t="shared" si="404"/>
        <v>0</v>
      </c>
      <c r="DJ152" s="2106">
        <v>0</v>
      </c>
      <c r="DK152" s="2106">
        <f t="shared" si="357"/>
        <v>0</v>
      </c>
      <c r="DL152" s="2106">
        <v>0</v>
      </c>
      <c r="DM152" s="2106">
        <v>0</v>
      </c>
      <c r="DN152" s="2135">
        <f t="shared" si="303"/>
        <v>0</v>
      </c>
      <c r="DO152" s="2106"/>
      <c r="DP152" s="2106"/>
      <c r="DQ152" s="2106"/>
      <c r="DR152" s="2106">
        <f t="shared" si="405"/>
        <v>0</v>
      </c>
      <c r="DS152" s="2106">
        <f t="shared" si="406"/>
        <v>0</v>
      </c>
      <c r="DT152" s="2106">
        <v>0</v>
      </c>
      <c r="DU152" s="2106">
        <f t="shared" si="358"/>
        <v>0</v>
      </c>
      <c r="DV152" s="2106">
        <v>0</v>
      </c>
      <c r="DW152" s="2106">
        <v>0</v>
      </c>
      <c r="DX152" s="2135">
        <f t="shared" si="304"/>
        <v>0</v>
      </c>
      <c r="DY152" s="2106"/>
      <c r="DZ152" s="2106"/>
      <c r="EA152" s="2106"/>
      <c r="EB152" s="2106">
        <f t="shared" si="407"/>
        <v>0</v>
      </c>
      <c r="EC152" s="2106">
        <f t="shared" si="408"/>
        <v>0</v>
      </c>
      <c r="ED152" s="2106"/>
      <c r="EE152" s="2107"/>
      <c r="EF152" s="2106"/>
      <c r="EG152" s="2106"/>
      <c r="EH152" s="2106"/>
      <c r="EI152" s="2106"/>
      <c r="EJ152" s="2106"/>
      <c r="EK152" s="2106"/>
      <c r="EL152" s="2106"/>
      <c r="EM152" s="2106"/>
      <c r="EN152" s="2106"/>
      <c r="EO152" s="2104">
        <f t="shared" si="416"/>
        <v>0</v>
      </c>
      <c r="EP152" s="2110"/>
    </row>
    <row r="153" spans="1:163">
      <c r="A153" s="1760">
        <v>4</v>
      </c>
      <c r="B153" s="1761" t="s">
        <v>1766</v>
      </c>
      <c r="C153" s="2098">
        <v>90</v>
      </c>
      <c r="D153" s="2099">
        <v>1</v>
      </c>
      <c r="E153" s="2100"/>
      <c r="F153" s="2099">
        <v>0.34832606653564313</v>
      </c>
      <c r="G153" s="2104">
        <v>90</v>
      </c>
      <c r="H153" s="2102" t="s">
        <v>1649</v>
      </c>
      <c r="I153" s="2103">
        <v>2</v>
      </c>
      <c r="J153" s="2104"/>
      <c r="K153" s="2101"/>
      <c r="L153" s="2101"/>
      <c r="M153" s="2105"/>
      <c r="N153" s="2106">
        <v>35.987772999999997</v>
      </c>
      <c r="O153" s="2106">
        <f t="shared" si="362"/>
        <v>2.5633706203493061</v>
      </c>
      <c r="P153" s="2106">
        <v>9.2249999999999996</v>
      </c>
      <c r="Q153" s="2106">
        <f t="shared" si="363"/>
        <v>3.4933617314969729</v>
      </c>
      <c r="R153" s="2106">
        <v>12.5718309</v>
      </c>
      <c r="S153" s="2106">
        <f t="shared" si="307"/>
        <v>0</v>
      </c>
      <c r="T153" s="2106">
        <v>0</v>
      </c>
      <c r="U153" s="2106"/>
      <c r="V153" s="2106">
        <f t="shared" si="364"/>
        <v>6.0567323518462786</v>
      </c>
      <c r="W153" s="2106">
        <f t="shared" si="365"/>
        <v>21.7968309</v>
      </c>
      <c r="X153" s="2106">
        <v>5.3207800000000001</v>
      </c>
      <c r="Y153" s="2106">
        <f t="shared" si="366"/>
        <v>17.337683572709263</v>
      </c>
      <c r="Z153" s="2106">
        <v>9.2249999999999996</v>
      </c>
      <c r="AA153" s="2106">
        <f t="shared" si="367"/>
        <v>3.3826523554817149</v>
      </c>
      <c r="AB153" s="2106">
        <v>1.7998349</v>
      </c>
      <c r="AC153" s="2106">
        <f t="shared" si="368"/>
        <v>0</v>
      </c>
      <c r="AD153" s="2106">
        <v>0</v>
      </c>
      <c r="AE153" s="2106"/>
      <c r="AF153" s="2106">
        <f t="shared" si="369"/>
        <v>20.72033592819098</v>
      </c>
      <c r="AG153" s="2106">
        <f t="shared" si="370"/>
        <v>11.0248349</v>
      </c>
      <c r="AH153" s="2106">
        <v>23.500897999999999</v>
      </c>
      <c r="AI153" s="2106">
        <f t="shared" si="371"/>
        <v>3.9253819151931979</v>
      </c>
      <c r="AJ153" s="2106">
        <v>9.2249999999999996</v>
      </c>
      <c r="AK153" s="2106">
        <f t="shared" si="372"/>
        <v>3.4755809331200878</v>
      </c>
      <c r="AL153" s="2106">
        <v>8.1679273000000006</v>
      </c>
      <c r="AM153" s="2106">
        <f t="shared" si="373"/>
        <v>0</v>
      </c>
      <c r="AN153" s="2106">
        <v>0</v>
      </c>
      <c r="AO153" s="2106">
        <v>0</v>
      </c>
      <c r="AP153" s="2106">
        <f t="shared" si="374"/>
        <v>7.4009628483132861</v>
      </c>
      <c r="AQ153" s="2106">
        <f t="shared" si="375"/>
        <v>17.3929273</v>
      </c>
      <c r="AR153" s="2106">
        <v>34.103589999999997</v>
      </c>
      <c r="AS153" s="2106">
        <f t="shared" si="376"/>
        <v>2.7049938144341992</v>
      </c>
      <c r="AT153" s="2106">
        <v>9.2249999999999996</v>
      </c>
      <c r="AU153" s="2106">
        <f t="shared" si="377"/>
        <v>3.4845459964772041</v>
      </c>
      <c r="AV153" s="2106">
        <v>11.8835528</v>
      </c>
      <c r="AW153" s="2106">
        <f t="shared" si="378"/>
        <v>4.4420784146185195</v>
      </c>
      <c r="AX153" s="2106">
        <v>15.149082099999999</v>
      </c>
      <c r="AY153" s="2106"/>
      <c r="AZ153" s="2106">
        <f t="shared" si="379"/>
        <v>10.631618225529921</v>
      </c>
      <c r="BA153" s="2106">
        <f t="shared" si="380"/>
        <v>36.257634899999999</v>
      </c>
      <c r="BB153" s="2106">
        <v>0</v>
      </c>
      <c r="BC153" s="2106">
        <f t="shared" si="381"/>
        <v>0</v>
      </c>
      <c r="BD153" s="2106">
        <v>0</v>
      </c>
      <c r="BE153" s="2106">
        <f t="shared" si="382"/>
        <v>0</v>
      </c>
      <c r="BF153" s="2106">
        <v>0</v>
      </c>
      <c r="BG153" s="2106">
        <f t="shared" si="383"/>
        <v>0</v>
      </c>
      <c r="BH153" s="2106">
        <v>0</v>
      </c>
      <c r="BI153" s="2106">
        <v>0</v>
      </c>
      <c r="BJ153" s="2106">
        <f t="shared" si="384"/>
        <v>0</v>
      </c>
      <c r="BK153" s="2106">
        <f t="shared" si="385"/>
        <v>0</v>
      </c>
      <c r="BL153" s="2106">
        <v>36.996352999999999</v>
      </c>
      <c r="BM153" s="2106">
        <f t="shared" si="386"/>
        <v>2.4934890203907396</v>
      </c>
      <c r="BN153" s="2106">
        <v>9.2249999999999996</v>
      </c>
      <c r="BO153" s="2106">
        <f t="shared" si="387"/>
        <v>3.6871858964044382</v>
      </c>
      <c r="BP153" s="2106">
        <v>13.641243100000001</v>
      </c>
      <c r="BQ153" s="2106">
        <f t="shared" si="388"/>
        <v>0</v>
      </c>
      <c r="BR153" s="2106">
        <v>0</v>
      </c>
      <c r="BS153" s="2106"/>
      <c r="BT153" s="2106">
        <f t="shared" si="389"/>
        <v>6.1806749167951764</v>
      </c>
      <c r="BU153" s="2106">
        <f t="shared" si="390"/>
        <v>22.866243099999998</v>
      </c>
      <c r="BV153" s="2106">
        <v>11.66667</v>
      </c>
      <c r="BW153" s="2106">
        <f t="shared" si="391"/>
        <v>7.9071405979598284</v>
      </c>
      <c r="BX153" s="2106">
        <v>9.2249999999999996</v>
      </c>
      <c r="BY153" s="2106">
        <f t="shared" si="392"/>
        <v>3.5992554002127433</v>
      </c>
      <c r="BZ153" s="2106">
        <v>4.1991325000000002</v>
      </c>
      <c r="CA153" s="2106">
        <f t="shared" si="393"/>
        <v>0.5977415149309957</v>
      </c>
      <c r="CB153" s="2106">
        <v>0.69736529999999997</v>
      </c>
      <c r="CC153" s="2106"/>
      <c r="CD153" s="2106">
        <f t="shared" si="394"/>
        <v>12.104137513103566</v>
      </c>
      <c r="CE153" s="2106">
        <f t="shared" si="395"/>
        <v>14.121497799999998</v>
      </c>
      <c r="CF153" s="2106">
        <v>0</v>
      </c>
      <c r="CG153" s="2106">
        <f t="shared" si="396"/>
        <v>0</v>
      </c>
      <c r="CH153" s="2106">
        <v>9.2249999999999996</v>
      </c>
      <c r="CI153" s="2106">
        <f t="shared" si="397"/>
        <v>0</v>
      </c>
      <c r="CJ153" s="2106">
        <v>3.5445199999999999</v>
      </c>
      <c r="CK153" s="2106">
        <f t="shared" si="398"/>
        <v>0</v>
      </c>
      <c r="CL153" s="2106">
        <v>0</v>
      </c>
      <c r="CM153" s="2106"/>
      <c r="CN153" s="2106">
        <f t="shared" si="399"/>
        <v>0</v>
      </c>
      <c r="CO153" s="2106">
        <f t="shared" si="400"/>
        <v>12.76952</v>
      </c>
      <c r="CP153" s="2106">
        <v>0</v>
      </c>
      <c r="CQ153" s="2106">
        <f t="shared" si="301"/>
        <v>0</v>
      </c>
      <c r="CR153" s="2106">
        <v>0</v>
      </c>
      <c r="CS153" s="2106">
        <f t="shared" si="343"/>
        <v>0</v>
      </c>
      <c r="CT153" s="2106">
        <v>0</v>
      </c>
      <c r="CU153" s="2106">
        <f t="shared" si="344"/>
        <v>0</v>
      </c>
      <c r="CV153" s="2106">
        <v>0</v>
      </c>
      <c r="CW153" s="2106"/>
      <c r="CX153" s="2106">
        <f t="shared" si="401"/>
        <v>0</v>
      </c>
      <c r="CY153" s="2106">
        <f t="shared" si="402"/>
        <v>0</v>
      </c>
      <c r="CZ153" s="2106">
        <v>42.301979999999993</v>
      </c>
      <c r="DA153" s="2106">
        <f t="shared" si="356"/>
        <v>2.2897864355285504</v>
      </c>
      <c r="DB153" s="2106">
        <v>9.6862500000000011</v>
      </c>
      <c r="DC153" s="2106">
        <v>3.4981044077585133</v>
      </c>
      <c r="DD153" s="2109">
        <f t="shared" si="302"/>
        <v>14.797674269491244</v>
      </c>
      <c r="DE153" s="2106"/>
      <c r="DF153" s="2106"/>
      <c r="DG153" s="2106"/>
      <c r="DH153" s="2106">
        <f t="shared" si="403"/>
        <v>5.7878908432870633</v>
      </c>
      <c r="DI153" s="2106">
        <f t="shared" si="404"/>
        <v>24.483924269491247</v>
      </c>
      <c r="DJ153" s="2106">
        <v>38.208239999999996</v>
      </c>
      <c r="DK153" s="2106">
        <f t="shared" si="357"/>
        <v>2.5351206964780375</v>
      </c>
      <c r="DL153" s="2106">
        <v>9.6862500000000011</v>
      </c>
      <c r="DM153" s="2106">
        <v>3.4981044077585133</v>
      </c>
      <c r="DN153" s="2109">
        <f t="shared" si="303"/>
        <v>13.365641275669512</v>
      </c>
      <c r="DO153" s="2106"/>
      <c r="DP153" s="2106"/>
      <c r="DQ153" s="2106"/>
      <c r="DR153" s="2106">
        <f t="shared" si="405"/>
        <v>6.0332251042365499</v>
      </c>
      <c r="DS153" s="2106">
        <f t="shared" si="406"/>
        <v>23.051891275669512</v>
      </c>
      <c r="DT153" s="2106">
        <v>42.301979999999993</v>
      </c>
      <c r="DU153" s="2106">
        <f t="shared" si="358"/>
        <v>2.2897864355285504</v>
      </c>
      <c r="DV153" s="2106">
        <v>9.6862500000000011</v>
      </c>
      <c r="DW153" s="2106">
        <v>3.4981044077585133</v>
      </c>
      <c r="DX153" s="2109">
        <f t="shared" si="304"/>
        <v>14.797674269491244</v>
      </c>
      <c r="DY153" s="2106"/>
      <c r="DZ153" s="2106"/>
      <c r="EA153" s="2106"/>
      <c r="EB153" s="2106">
        <f t="shared" si="407"/>
        <v>5.7878908432870633</v>
      </c>
      <c r="EC153" s="2106">
        <f t="shared" si="408"/>
        <v>24.483924269491247</v>
      </c>
      <c r="ED153" s="2106">
        <f t="shared" si="409"/>
        <v>270.38826399999999</v>
      </c>
      <c r="EE153" s="2107"/>
      <c r="EF153" s="2106">
        <f t="shared" si="410"/>
        <v>3.4629369120843205</v>
      </c>
      <c r="EG153" s="2106">
        <f t="shared" si="411"/>
        <v>93.633750000000006</v>
      </c>
      <c r="EH153" s="2106">
        <f t="shared" si="412"/>
        <v>3.6528594049722511</v>
      </c>
      <c r="EI153" s="2106">
        <f t="shared" si="413"/>
        <v>98.769031314651997</v>
      </c>
      <c r="EJ153" s="2106"/>
      <c r="EK153" s="2106">
        <f t="shared" si="414"/>
        <v>15.846447399999999</v>
      </c>
      <c r="EL153" s="2106"/>
      <c r="EM153" s="2106"/>
      <c r="EN153" s="2106">
        <f t="shared" si="415"/>
        <v>208.24922871465199</v>
      </c>
      <c r="EO153" s="2104">
        <f t="shared" si="416"/>
        <v>7.701859009481713</v>
      </c>
      <c r="EP153" s="2110"/>
      <c r="ES153" s="2084">
        <f t="shared" si="355"/>
        <v>0</v>
      </c>
      <c r="EU153" s="2084">
        <f t="shared" si="359"/>
        <v>55.808041500000002</v>
      </c>
      <c r="EV153" s="2084">
        <f t="shared" si="360"/>
        <v>147.576064</v>
      </c>
      <c r="EW153" s="2084">
        <f t="shared" si="361"/>
        <v>3.7816458839829203</v>
      </c>
    </row>
    <row r="154" spans="1:163">
      <c r="A154" s="1760">
        <v>5</v>
      </c>
      <c r="B154" s="1761" t="s">
        <v>1767</v>
      </c>
      <c r="C154" s="2098">
        <v>90</v>
      </c>
      <c r="D154" s="2099">
        <v>1</v>
      </c>
      <c r="E154" s="2100"/>
      <c r="F154" s="2099">
        <v>0.34668482547192037</v>
      </c>
      <c r="G154" s="2104">
        <v>90</v>
      </c>
      <c r="H154" s="2102" t="s">
        <v>1649</v>
      </c>
      <c r="I154" s="2103">
        <v>2</v>
      </c>
      <c r="J154" s="2104"/>
      <c r="K154" s="2101"/>
      <c r="L154" s="2101"/>
      <c r="M154" s="2105"/>
      <c r="N154" s="2106">
        <v>36.020000000000003</v>
      </c>
      <c r="O154" s="2106">
        <f t="shared" si="362"/>
        <v>2.5881454747362573</v>
      </c>
      <c r="P154" s="2106">
        <v>9.3224999999999998</v>
      </c>
      <c r="Q154" s="2106">
        <f t="shared" si="363"/>
        <v>3.4369225152692944</v>
      </c>
      <c r="R154" s="2106">
        <v>12.3797949</v>
      </c>
      <c r="S154" s="2106">
        <f t="shared" si="307"/>
        <v>0</v>
      </c>
      <c r="T154" s="2106">
        <v>0</v>
      </c>
      <c r="U154" s="2106"/>
      <c r="V154" s="2106">
        <f t="shared" si="364"/>
        <v>6.0250679900055513</v>
      </c>
      <c r="W154" s="2106">
        <f t="shared" si="365"/>
        <v>21.702294899999998</v>
      </c>
      <c r="X154" s="2106">
        <v>5.3207800000000001</v>
      </c>
      <c r="Y154" s="2106">
        <f t="shared" si="366"/>
        <v>17.520927382827331</v>
      </c>
      <c r="Z154" s="2106">
        <v>9.3224999999999998</v>
      </c>
      <c r="AA154" s="2106">
        <f t="shared" si="367"/>
        <v>3.3939249508530702</v>
      </c>
      <c r="AB154" s="2106">
        <v>1.8058327999999999</v>
      </c>
      <c r="AC154" s="2106">
        <f t="shared" si="368"/>
        <v>0</v>
      </c>
      <c r="AD154" s="2106">
        <v>0</v>
      </c>
      <c r="AE154" s="2106"/>
      <c r="AF154" s="2106">
        <f t="shared" si="369"/>
        <v>20.914852333680397</v>
      </c>
      <c r="AG154" s="2106">
        <f t="shared" si="370"/>
        <v>11.128332799999999</v>
      </c>
      <c r="AH154" s="2106">
        <v>25.011035</v>
      </c>
      <c r="AI154" s="2106">
        <f t="shared" si="371"/>
        <v>3.7273547456152856</v>
      </c>
      <c r="AJ154" s="2106">
        <v>9.3224999999999998</v>
      </c>
      <c r="AK154" s="2106">
        <f t="shared" si="372"/>
        <v>3.4895060520286347</v>
      </c>
      <c r="AL154" s="2106">
        <v>8.7276158000000006</v>
      </c>
      <c r="AM154" s="2106">
        <f t="shared" si="373"/>
        <v>0</v>
      </c>
      <c r="AN154" s="2106">
        <v>0</v>
      </c>
      <c r="AO154" s="2106">
        <v>0</v>
      </c>
      <c r="AP154" s="2106">
        <f t="shared" si="374"/>
        <v>7.2168607976439203</v>
      </c>
      <c r="AQ154" s="2106">
        <f t="shared" si="375"/>
        <v>18.0501158</v>
      </c>
      <c r="AR154" s="2106">
        <v>34.059415000000001</v>
      </c>
      <c r="AS154" s="2106">
        <f t="shared" si="376"/>
        <v>2.7371286324207271</v>
      </c>
      <c r="AT154" s="2106">
        <v>9.3224999999999998</v>
      </c>
      <c r="AU154" s="2106">
        <f t="shared" si="377"/>
        <v>3.5288690953734814</v>
      </c>
      <c r="AV154" s="2106">
        <v>12.019121699999999</v>
      </c>
      <c r="AW154" s="2106">
        <f t="shared" si="378"/>
        <v>0</v>
      </c>
      <c r="AX154" s="2106">
        <v>0</v>
      </c>
      <c r="AY154" s="2106"/>
      <c r="AZ154" s="2106">
        <f t="shared" si="379"/>
        <v>6.2659977277942076</v>
      </c>
      <c r="BA154" s="2106">
        <f t="shared" si="380"/>
        <v>21.341621699999997</v>
      </c>
      <c r="BB154" s="2106">
        <v>0</v>
      </c>
      <c r="BC154" s="2106">
        <f t="shared" si="381"/>
        <v>0</v>
      </c>
      <c r="BD154" s="2106">
        <v>0</v>
      </c>
      <c r="BE154" s="2106">
        <f t="shared" si="382"/>
        <v>0</v>
      </c>
      <c r="BF154" s="2106">
        <v>0</v>
      </c>
      <c r="BG154" s="2106">
        <f t="shared" si="383"/>
        <v>0</v>
      </c>
      <c r="BH154" s="2106">
        <v>0</v>
      </c>
      <c r="BI154" s="2106"/>
      <c r="BJ154" s="2106">
        <f t="shared" si="384"/>
        <v>0</v>
      </c>
      <c r="BK154" s="2106">
        <f t="shared" si="385"/>
        <v>0</v>
      </c>
      <c r="BL154" s="2106">
        <v>36.731102</v>
      </c>
      <c r="BM154" s="2106">
        <f t="shared" si="386"/>
        <v>2.5380398333815304</v>
      </c>
      <c r="BN154" s="2106">
        <v>9.3224999999999998</v>
      </c>
      <c r="BO154" s="2106">
        <f t="shared" si="387"/>
        <v>3.6867327040718791</v>
      </c>
      <c r="BP154" s="2106">
        <v>13.5417755</v>
      </c>
      <c r="BQ154" s="2106">
        <f t="shared" si="388"/>
        <v>0</v>
      </c>
      <c r="BR154" s="2106">
        <v>0</v>
      </c>
      <c r="BS154" s="2106"/>
      <c r="BT154" s="2106">
        <f t="shared" si="389"/>
        <v>6.2247725374534095</v>
      </c>
      <c r="BU154" s="2106">
        <f t="shared" si="390"/>
        <v>22.864275499999998</v>
      </c>
      <c r="BV154" s="2106">
        <v>13.00311</v>
      </c>
      <c r="BW154" s="2106">
        <f t="shared" si="391"/>
        <v>7.1694386958196921</v>
      </c>
      <c r="BX154" s="2106">
        <v>9.3224999999999998</v>
      </c>
      <c r="BY154" s="2106">
        <f t="shared" si="392"/>
        <v>3.6507564728745661</v>
      </c>
      <c r="BZ154" s="2106">
        <v>4.7471188</v>
      </c>
      <c r="CA154" s="2106">
        <f t="shared" si="393"/>
        <v>0</v>
      </c>
      <c r="CB154" s="2106">
        <v>0</v>
      </c>
      <c r="CC154" s="2106"/>
      <c r="CD154" s="2106">
        <f t="shared" si="394"/>
        <v>10.82019516869426</v>
      </c>
      <c r="CE154" s="2106">
        <f t="shared" si="395"/>
        <v>14.069618800000001</v>
      </c>
      <c r="CF154" s="2106">
        <v>0</v>
      </c>
      <c r="CG154" s="2106">
        <f t="shared" si="396"/>
        <v>0</v>
      </c>
      <c r="CH154" s="2106">
        <v>9.3224999999999998</v>
      </c>
      <c r="CI154" s="2106">
        <f t="shared" si="397"/>
        <v>0</v>
      </c>
      <c r="CJ154" s="2106">
        <v>3.6226756</v>
      </c>
      <c r="CK154" s="2106">
        <f t="shared" si="398"/>
        <v>0</v>
      </c>
      <c r="CL154" s="2106">
        <v>0</v>
      </c>
      <c r="CM154" s="2106"/>
      <c r="CN154" s="2106">
        <f t="shared" si="399"/>
        <v>0</v>
      </c>
      <c r="CO154" s="2106">
        <f t="shared" si="400"/>
        <v>12.945175599999999</v>
      </c>
      <c r="CP154" s="2106">
        <v>0</v>
      </c>
      <c r="CQ154" s="2106">
        <f t="shared" si="301"/>
        <v>0</v>
      </c>
      <c r="CR154" s="2106">
        <v>0</v>
      </c>
      <c r="CS154" s="2106">
        <f t="shared" si="343"/>
        <v>0</v>
      </c>
      <c r="CT154" s="2106">
        <v>0</v>
      </c>
      <c r="CU154" s="2106">
        <f t="shared" si="344"/>
        <v>0</v>
      </c>
      <c r="CV154" s="2106">
        <v>0</v>
      </c>
      <c r="CW154" s="2106"/>
      <c r="CX154" s="2106">
        <f t="shared" si="401"/>
        <v>0</v>
      </c>
      <c r="CY154" s="2106">
        <f t="shared" si="402"/>
        <v>0</v>
      </c>
      <c r="CZ154" s="2106">
        <v>36.662630764687492</v>
      </c>
      <c r="DA154" s="2106">
        <f t="shared" si="356"/>
        <v>2.66991887811503</v>
      </c>
      <c r="DB154" s="2106">
        <v>9.7886250000000015</v>
      </c>
      <c r="DC154" s="2106">
        <v>3.4992287877782524</v>
      </c>
      <c r="DD154" s="2109">
        <f t="shared" si="302"/>
        <v>12.829093300747909</v>
      </c>
      <c r="DE154" s="2106"/>
      <c r="DF154" s="2106"/>
      <c r="DG154" s="2106"/>
      <c r="DH154" s="2106">
        <f t="shared" si="403"/>
        <v>6.1691476658932833</v>
      </c>
      <c r="DI154" s="2106">
        <f t="shared" si="404"/>
        <v>22.61771830074791</v>
      </c>
      <c r="DJ154" s="2106">
        <v>38.208239999999996</v>
      </c>
      <c r="DK154" s="2106">
        <f t="shared" si="357"/>
        <v>2.5619146550587004</v>
      </c>
      <c r="DL154" s="2106">
        <v>9.7886250000000015</v>
      </c>
      <c r="DM154" s="2106">
        <v>3.4992287877782524</v>
      </c>
      <c r="DN154" s="2109">
        <f t="shared" si="303"/>
        <v>13.369937333834054</v>
      </c>
      <c r="DO154" s="2106"/>
      <c r="DP154" s="2106"/>
      <c r="DQ154" s="2106"/>
      <c r="DR154" s="2106">
        <f t="shared" si="405"/>
        <v>6.0611434428369524</v>
      </c>
      <c r="DS154" s="2106">
        <f t="shared" si="406"/>
        <v>23.158562333834055</v>
      </c>
      <c r="DT154" s="2106">
        <v>42.301979999999993</v>
      </c>
      <c r="DU154" s="2106">
        <f t="shared" si="358"/>
        <v>2.3139874303756001</v>
      </c>
      <c r="DV154" s="2106">
        <v>9.7886250000000015</v>
      </c>
      <c r="DW154" s="2106">
        <v>3.4992287877782524</v>
      </c>
      <c r="DX154" s="2109">
        <f t="shared" si="304"/>
        <v>14.802430619601987</v>
      </c>
      <c r="DY154" s="2106"/>
      <c r="DZ154" s="2106"/>
      <c r="EA154" s="2106"/>
      <c r="EB154" s="2106">
        <f t="shared" si="407"/>
        <v>5.8132162181538529</v>
      </c>
      <c r="EC154" s="2106">
        <f t="shared" si="408"/>
        <v>24.591055619601988</v>
      </c>
      <c r="ED154" s="2106">
        <f t="shared" si="409"/>
        <v>267.3182927646875</v>
      </c>
      <c r="EE154" s="2107"/>
      <c r="EF154" s="2106">
        <f t="shared" si="410"/>
        <v>3.5397268934114501</v>
      </c>
      <c r="EG154" s="2106">
        <f t="shared" si="411"/>
        <v>94.623374999999982</v>
      </c>
      <c r="EH154" s="2106">
        <f t="shared" si="412"/>
        <v>3.6602581642369838</v>
      </c>
      <c r="EI154" s="2106">
        <f t="shared" si="413"/>
        <v>97.845396354183961</v>
      </c>
      <c r="EJ154" s="2106"/>
      <c r="EK154" s="2106">
        <f t="shared" si="414"/>
        <v>0</v>
      </c>
      <c r="EL154" s="2106"/>
      <c r="EM154" s="2106"/>
      <c r="EN154" s="2106">
        <f t="shared" si="415"/>
        <v>192.46877135418396</v>
      </c>
      <c r="EO154" s="2104">
        <f t="shared" si="416"/>
        <v>7.1999850576484352</v>
      </c>
      <c r="EP154" s="2110"/>
      <c r="ES154" s="2084">
        <f t="shared" si="355"/>
        <v>0</v>
      </c>
      <c r="EU154" s="2084">
        <f t="shared" si="359"/>
        <v>56.843935100000003</v>
      </c>
      <c r="EV154" s="2084">
        <f t="shared" si="360"/>
        <v>150.145442</v>
      </c>
      <c r="EW154" s="2084">
        <f t="shared" si="361"/>
        <v>3.7859247901777797</v>
      </c>
    </row>
    <row r="155" spans="1:163">
      <c r="A155" s="1760">
        <v>6</v>
      </c>
      <c r="B155" s="1761" t="s">
        <v>1768</v>
      </c>
      <c r="C155" s="2098">
        <v>90</v>
      </c>
      <c r="D155" s="2099">
        <v>1</v>
      </c>
      <c r="E155" s="2100"/>
      <c r="F155" s="2099">
        <v>0.41319401161600466</v>
      </c>
      <c r="G155" s="2104">
        <v>90</v>
      </c>
      <c r="H155" s="2102" t="s">
        <v>1649</v>
      </c>
      <c r="I155" s="2103">
        <v>2</v>
      </c>
      <c r="J155" s="2104"/>
      <c r="K155" s="2101"/>
      <c r="L155" s="2101"/>
      <c r="M155" s="2105"/>
      <c r="N155" s="2106">
        <v>38.917287000000002</v>
      </c>
      <c r="O155" s="2106">
        <f t="shared" si="362"/>
        <v>2.3847585521570398</v>
      </c>
      <c r="P155" s="2106">
        <v>9.2808332999999994</v>
      </c>
      <c r="Q155" s="2106">
        <f t="shared" si="363"/>
        <v>3.1626358229955756</v>
      </c>
      <c r="R155" s="2106">
        <v>12.308120600000001</v>
      </c>
      <c r="S155" s="2106">
        <f t="shared" si="307"/>
        <v>0</v>
      </c>
      <c r="T155" s="2106">
        <v>0</v>
      </c>
      <c r="U155" s="2106"/>
      <c r="V155" s="2106">
        <f t="shared" si="364"/>
        <v>5.5473943751526154</v>
      </c>
      <c r="W155" s="2106">
        <f t="shared" si="365"/>
        <v>21.5889539</v>
      </c>
      <c r="X155" s="2106">
        <v>21.794574999999998</v>
      </c>
      <c r="Y155" s="2106">
        <f t="shared" si="366"/>
        <v>4.2583227248065185</v>
      </c>
      <c r="Z155" s="2106">
        <v>9.2808334000000006</v>
      </c>
      <c r="AA155" s="2106">
        <f t="shared" si="367"/>
        <v>3.212908946377711</v>
      </c>
      <c r="AB155" s="2106">
        <v>7.0023985</v>
      </c>
      <c r="AC155" s="2106">
        <f t="shared" si="368"/>
        <v>0</v>
      </c>
      <c r="AD155" s="2106">
        <v>0</v>
      </c>
      <c r="AE155" s="2106"/>
      <c r="AF155" s="2106">
        <f t="shared" si="369"/>
        <v>7.4712316711842286</v>
      </c>
      <c r="AG155" s="2106">
        <f t="shared" si="370"/>
        <v>16.283231900000001</v>
      </c>
      <c r="AH155" s="2106">
        <v>40.505167</v>
      </c>
      <c r="AI155" s="2106">
        <f t="shared" si="371"/>
        <v>2.2912714567995733</v>
      </c>
      <c r="AJ155" s="2106">
        <v>9.2808332999999994</v>
      </c>
      <c r="AK155" s="2106">
        <f t="shared" si="372"/>
        <v>3.290890122734218</v>
      </c>
      <c r="AL155" s="2106">
        <v>13.3298054</v>
      </c>
      <c r="AM155" s="2106">
        <f t="shared" si="373"/>
        <v>0</v>
      </c>
      <c r="AN155" s="2106">
        <v>0</v>
      </c>
      <c r="AO155" s="2106">
        <v>0</v>
      </c>
      <c r="AP155" s="2106">
        <f t="shared" si="374"/>
        <v>5.5821615795337909</v>
      </c>
      <c r="AQ155" s="2106">
        <f t="shared" si="375"/>
        <v>22.610638699999999</v>
      </c>
      <c r="AR155" s="2106">
        <v>41.026040000000002</v>
      </c>
      <c r="AS155" s="2106">
        <f t="shared" si="376"/>
        <v>2.2621811171636352</v>
      </c>
      <c r="AT155" s="2106">
        <v>9.2808332999999994</v>
      </c>
      <c r="AU155" s="2106">
        <f t="shared" si="377"/>
        <v>3.3448724029908803</v>
      </c>
      <c r="AV155" s="2106">
        <v>13.722686899999999</v>
      </c>
      <c r="AW155" s="2106">
        <f t="shared" si="378"/>
        <v>0</v>
      </c>
      <c r="AX155" s="2106">
        <v>0</v>
      </c>
      <c r="AY155" s="2106"/>
      <c r="AZ155" s="2106">
        <f t="shared" si="379"/>
        <v>5.6070535201545155</v>
      </c>
      <c r="BA155" s="2106">
        <f t="shared" si="380"/>
        <v>23.003520199999997</v>
      </c>
      <c r="BB155" s="2106">
        <v>0</v>
      </c>
      <c r="BC155" s="2106">
        <f t="shared" si="381"/>
        <v>0</v>
      </c>
      <c r="BD155" s="2106">
        <v>0</v>
      </c>
      <c r="BE155" s="2106">
        <f t="shared" si="382"/>
        <v>0</v>
      </c>
      <c r="BF155" s="2106">
        <v>0</v>
      </c>
      <c r="BG155" s="2106">
        <f t="shared" si="383"/>
        <v>0</v>
      </c>
      <c r="BH155" s="2106">
        <v>0</v>
      </c>
      <c r="BI155" s="2106"/>
      <c r="BJ155" s="2106">
        <f t="shared" si="384"/>
        <v>0</v>
      </c>
      <c r="BK155" s="2106">
        <f t="shared" si="385"/>
        <v>0</v>
      </c>
      <c r="BL155" s="2106">
        <v>45.561467999999998</v>
      </c>
      <c r="BM155" s="2106">
        <f t="shared" si="386"/>
        <v>2.0369917404768434</v>
      </c>
      <c r="BN155" s="2106">
        <v>9.2808334000000006</v>
      </c>
      <c r="BO155" s="2106">
        <f t="shared" si="387"/>
        <v>3.4717407042284067</v>
      </c>
      <c r="BP155" s="2106">
        <v>15.8177603</v>
      </c>
      <c r="BQ155" s="2106">
        <f t="shared" si="388"/>
        <v>0</v>
      </c>
      <c r="BR155" s="2106">
        <v>0</v>
      </c>
      <c r="BS155" s="2106"/>
      <c r="BT155" s="2106">
        <f t="shared" si="389"/>
        <v>5.5087324447052497</v>
      </c>
      <c r="BU155" s="2106">
        <f t="shared" si="390"/>
        <v>25.098593700000002</v>
      </c>
      <c r="BV155" s="2106">
        <v>11.533777000000001</v>
      </c>
      <c r="BW155" s="2106">
        <f t="shared" si="391"/>
        <v>8.0466557485895542</v>
      </c>
      <c r="BX155" s="2106">
        <v>9.2808332999999994</v>
      </c>
      <c r="BY155" s="2106">
        <f t="shared" si="392"/>
        <v>3.5885266378914729</v>
      </c>
      <c r="BZ155" s="2106">
        <v>4.1389265999999996</v>
      </c>
      <c r="CA155" s="2106">
        <f t="shared" si="393"/>
        <v>0</v>
      </c>
      <c r="CB155" s="2106">
        <v>0</v>
      </c>
      <c r="CC155" s="2106"/>
      <c r="CD155" s="2106">
        <f t="shared" si="394"/>
        <v>11.635182386481027</v>
      </c>
      <c r="CE155" s="2106">
        <f t="shared" si="395"/>
        <v>13.419759899999999</v>
      </c>
      <c r="CF155" s="2106">
        <v>6.3160470000000002</v>
      </c>
      <c r="CG155" s="2106">
        <f t="shared" si="396"/>
        <v>14.694053733292359</v>
      </c>
      <c r="CH155" s="2106">
        <v>9.2808334000000006</v>
      </c>
      <c r="CI155" s="2106">
        <f t="shared" si="397"/>
        <v>3.5847576815055371</v>
      </c>
      <c r="CJ155" s="2106">
        <v>2.2641498000000002</v>
      </c>
      <c r="CK155" s="2106">
        <f t="shared" si="398"/>
        <v>0</v>
      </c>
      <c r="CL155" s="2106">
        <v>0</v>
      </c>
      <c r="CM155" s="2106"/>
      <c r="CN155" s="2106">
        <f t="shared" si="399"/>
        <v>18.278811414797897</v>
      </c>
      <c r="CO155" s="2106">
        <f t="shared" si="400"/>
        <v>11.544983200000001</v>
      </c>
      <c r="CP155" s="2106">
        <v>0</v>
      </c>
      <c r="CQ155" s="2106">
        <f t="shared" si="301"/>
        <v>0</v>
      </c>
      <c r="CR155" s="2106">
        <v>0</v>
      </c>
      <c r="CS155" s="2106">
        <f t="shared" si="343"/>
        <v>0</v>
      </c>
      <c r="CT155" s="2106">
        <v>0</v>
      </c>
      <c r="CU155" s="2106">
        <f t="shared" si="344"/>
        <v>0</v>
      </c>
      <c r="CV155" s="2106">
        <v>0</v>
      </c>
      <c r="CW155" s="2106"/>
      <c r="CX155" s="2106">
        <f t="shared" si="401"/>
        <v>0</v>
      </c>
      <c r="CY155" s="2106">
        <f t="shared" si="402"/>
        <v>0</v>
      </c>
      <c r="CZ155" s="2106">
        <v>42.301979999999993</v>
      </c>
      <c r="DA155" s="2106">
        <f t="shared" si="356"/>
        <v>2.3036451248854077</v>
      </c>
      <c r="DB155" s="2106">
        <v>9.7448750000000004</v>
      </c>
      <c r="DC155" s="2106">
        <v>3.2179126099359165</v>
      </c>
      <c r="DD155" s="2109">
        <f t="shared" si="302"/>
        <v>13.612407486725692</v>
      </c>
      <c r="DE155" s="2106"/>
      <c r="DF155" s="2106"/>
      <c r="DG155" s="2106"/>
      <c r="DH155" s="2106">
        <f t="shared" si="403"/>
        <v>5.5215577348213252</v>
      </c>
      <c r="DI155" s="2106">
        <f t="shared" si="404"/>
        <v>23.357282486725694</v>
      </c>
      <c r="DJ155" s="2106">
        <v>38.208239999999996</v>
      </c>
      <c r="DK155" s="2106">
        <f t="shared" si="357"/>
        <v>2.5504642454088438</v>
      </c>
      <c r="DL155" s="2106">
        <v>9.7448750000000004</v>
      </c>
      <c r="DM155" s="2106">
        <v>3.2179126099359165</v>
      </c>
      <c r="DN155" s="2109">
        <f t="shared" si="303"/>
        <v>12.295077729945787</v>
      </c>
      <c r="DO155" s="2106"/>
      <c r="DP155" s="2106"/>
      <c r="DQ155" s="2106"/>
      <c r="DR155" s="2106">
        <f t="shared" si="405"/>
        <v>5.7683768553447612</v>
      </c>
      <c r="DS155" s="2106">
        <f t="shared" si="406"/>
        <v>22.039952729945789</v>
      </c>
      <c r="DT155" s="2106">
        <v>42.301979999999993</v>
      </c>
      <c r="DU155" s="2106">
        <f t="shared" si="358"/>
        <v>2.3036451248854077</v>
      </c>
      <c r="DV155" s="2106">
        <v>9.7448750000000004</v>
      </c>
      <c r="DW155" s="2106">
        <v>3.2179126099359165</v>
      </c>
      <c r="DX155" s="2109">
        <f t="shared" si="304"/>
        <v>13.612407486725692</v>
      </c>
      <c r="DY155" s="2106"/>
      <c r="DZ155" s="2106"/>
      <c r="EA155" s="2106"/>
      <c r="EB155" s="2106">
        <f t="shared" si="407"/>
        <v>5.5215577348213252</v>
      </c>
      <c r="EC155" s="2106">
        <f t="shared" si="408"/>
        <v>23.357282486725694</v>
      </c>
      <c r="ED155" s="2106">
        <f t="shared" si="409"/>
        <v>328.46656099999996</v>
      </c>
      <c r="EE155" s="2107"/>
      <c r="EF155" s="2106">
        <f t="shared" si="410"/>
        <v>2.8678857937079325</v>
      </c>
      <c r="EG155" s="2106">
        <f t="shared" si="411"/>
        <v>94.200458400000002</v>
      </c>
      <c r="EH155" s="2106">
        <f t="shared" si="412"/>
        <v>3.2911642656799138</v>
      </c>
      <c r="EI155" s="2106">
        <f t="shared" si="413"/>
        <v>108.10374080339716</v>
      </c>
      <c r="EJ155" s="2106"/>
      <c r="EK155" s="2106">
        <f t="shared" si="414"/>
        <v>0</v>
      </c>
      <c r="EL155" s="2106"/>
      <c r="EM155" s="2106"/>
      <c r="EN155" s="2106">
        <f t="shared" si="415"/>
        <v>202.30419920339716</v>
      </c>
      <c r="EO155" s="2104">
        <f t="shared" si="416"/>
        <v>6.1590500593878472</v>
      </c>
      <c r="EP155" s="2110"/>
      <c r="ES155" s="2084">
        <f t="shared" si="355"/>
        <v>0</v>
      </c>
      <c r="EU155" s="2084">
        <f t="shared" si="359"/>
        <v>68.583848099999997</v>
      </c>
      <c r="EV155" s="2084">
        <f t="shared" si="360"/>
        <v>205.65436099999997</v>
      </c>
      <c r="EW155" s="2084">
        <f t="shared" si="361"/>
        <v>3.3349085215849135</v>
      </c>
    </row>
    <row r="156" spans="1:163">
      <c r="A156" s="1760">
        <v>7</v>
      </c>
      <c r="B156" s="1761" t="s">
        <v>1769</v>
      </c>
      <c r="C156" s="2098">
        <v>90</v>
      </c>
      <c r="D156" s="2099">
        <v>1</v>
      </c>
      <c r="E156" s="2100"/>
      <c r="F156" s="2099">
        <v>0.35051276707083218</v>
      </c>
      <c r="G156" s="2104">
        <v>90</v>
      </c>
      <c r="H156" s="2102" t="s">
        <v>1649</v>
      </c>
      <c r="I156" s="2103">
        <v>2</v>
      </c>
      <c r="J156" s="2104"/>
      <c r="K156" s="2101"/>
      <c r="L156" s="2101"/>
      <c r="M156" s="2105"/>
      <c r="N156" s="2106">
        <v>36.108910000000002</v>
      </c>
      <c r="O156" s="2106">
        <f t="shared" si="362"/>
        <v>2.5473860329763482</v>
      </c>
      <c r="P156" s="2106">
        <v>9.1983332999999998</v>
      </c>
      <c r="Q156" s="2106">
        <f t="shared" si="363"/>
        <v>3.4940397813171318</v>
      </c>
      <c r="R156" s="2106">
        <v>12.6165968</v>
      </c>
      <c r="S156" s="2106">
        <f t="shared" si="307"/>
        <v>0</v>
      </c>
      <c r="T156" s="2106">
        <v>0</v>
      </c>
      <c r="U156" s="2106"/>
      <c r="V156" s="2106">
        <f t="shared" si="364"/>
        <v>6.0414258142934791</v>
      </c>
      <c r="W156" s="2106">
        <f t="shared" si="365"/>
        <v>21.814930099999998</v>
      </c>
      <c r="X156" s="2106">
        <v>5.3207800000000001</v>
      </c>
      <c r="Y156" s="2106">
        <f t="shared" si="366"/>
        <v>17.287565732843678</v>
      </c>
      <c r="Z156" s="2106">
        <v>9.1983333999999992</v>
      </c>
      <c r="AA156" s="2106">
        <f t="shared" si="367"/>
        <v>3.3805094365863653</v>
      </c>
      <c r="AB156" s="2106">
        <v>1.7986947</v>
      </c>
      <c r="AC156" s="2106">
        <f t="shared" si="368"/>
        <v>0</v>
      </c>
      <c r="AD156" s="2106">
        <v>0</v>
      </c>
      <c r="AE156" s="2106"/>
      <c r="AF156" s="2106">
        <f t="shared" si="369"/>
        <v>20.668075169430047</v>
      </c>
      <c r="AG156" s="2106">
        <f t="shared" si="370"/>
        <v>10.9970281</v>
      </c>
      <c r="AH156" s="2106">
        <v>24.204025000000001</v>
      </c>
      <c r="AI156" s="2106">
        <f t="shared" si="371"/>
        <v>3.8003320935257667</v>
      </c>
      <c r="AJ156" s="2106">
        <v>9.1983332999999998</v>
      </c>
      <c r="AK156" s="2106">
        <f t="shared" si="372"/>
        <v>3.4733684170298122</v>
      </c>
      <c r="AL156" s="2106">
        <v>8.4069496000000008</v>
      </c>
      <c r="AM156" s="2106">
        <f t="shared" si="373"/>
        <v>0</v>
      </c>
      <c r="AN156" s="2106">
        <v>0</v>
      </c>
      <c r="AO156" s="2106">
        <v>0</v>
      </c>
      <c r="AP156" s="2106">
        <f t="shared" si="374"/>
        <v>7.2737005105555781</v>
      </c>
      <c r="AQ156" s="2106">
        <f t="shared" si="375"/>
        <v>17.605282899999999</v>
      </c>
      <c r="AR156" s="2106">
        <v>34.231614999999998</v>
      </c>
      <c r="AS156" s="2106">
        <f t="shared" si="376"/>
        <v>2.6870871561274572</v>
      </c>
      <c r="AT156" s="2106">
        <v>9.1983332999999998</v>
      </c>
      <c r="AU156" s="2106">
        <f t="shared" si="377"/>
        <v>3.493130195580898</v>
      </c>
      <c r="AV156" s="2106">
        <v>11.9575488</v>
      </c>
      <c r="AW156" s="2106">
        <f t="shared" si="378"/>
        <v>0</v>
      </c>
      <c r="AX156" s="2106">
        <v>0</v>
      </c>
      <c r="AY156" s="2106"/>
      <c r="AZ156" s="2106">
        <f t="shared" si="379"/>
        <v>6.1802173517083547</v>
      </c>
      <c r="BA156" s="2106">
        <f t="shared" si="380"/>
        <v>21.155882099999999</v>
      </c>
      <c r="BB156" s="2106">
        <v>0</v>
      </c>
      <c r="BC156" s="2106">
        <f t="shared" si="381"/>
        <v>0</v>
      </c>
      <c r="BD156" s="2106">
        <v>0</v>
      </c>
      <c r="BE156" s="2106">
        <f t="shared" si="382"/>
        <v>0</v>
      </c>
      <c r="BF156" s="2106">
        <v>0</v>
      </c>
      <c r="BG156" s="2106">
        <f t="shared" si="383"/>
        <v>0</v>
      </c>
      <c r="BH156" s="2106">
        <v>0</v>
      </c>
      <c r="BI156" s="2106"/>
      <c r="BJ156" s="2106">
        <f t="shared" si="384"/>
        <v>0</v>
      </c>
      <c r="BK156" s="2106">
        <f t="shared" si="385"/>
        <v>0</v>
      </c>
      <c r="BL156" s="2106">
        <v>37.281660000000002</v>
      </c>
      <c r="BM156" s="2106">
        <f t="shared" si="386"/>
        <v>2.4672542477990516</v>
      </c>
      <c r="BN156" s="2106">
        <v>9.1983333999999992</v>
      </c>
      <c r="BO156" s="2106">
        <f t="shared" si="387"/>
        <v>3.6720264870180137</v>
      </c>
      <c r="BP156" s="2106">
        <v>13.689924299999999</v>
      </c>
      <c r="BQ156" s="2106">
        <f t="shared" si="388"/>
        <v>0</v>
      </c>
      <c r="BR156" s="2106">
        <v>0</v>
      </c>
      <c r="BS156" s="2106"/>
      <c r="BT156" s="2106">
        <f t="shared" si="389"/>
        <v>6.1392807348170644</v>
      </c>
      <c r="BU156" s="2106">
        <f t="shared" si="390"/>
        <v>22.888257699999997</v>
      </c>
      <c r="BV156" s="2106">
        <v>5.2132899999999998</v>
      </c>
      <c r="BW156" s="2106">
        <f t="shared" si="391"/>
        <v>17.64400848600404</v>
      </c>
      <c r="BX156" s="2106">
        <v>9.1983332999999998</v>
      </c>
      <c r="BY156" s="2106">
        <f t="shared" si="392"/>
        <v>3.6035929326778291</v>
      </c>
      <c r="BZ156" s="2106">
        <v>1.8786575000000001</v>
      </c>
      <c r="CA156" s="2106">
        <f t="shared" si="393"/>
        <v>0</v>
      </c>
      <c r="CB156" s="2106">
        <v>0</v>
      </c>
      <c r="CC156" s="2106"/>
      <c r="CD156" s="2106">
        <f t="shared" si="394"/>
        <v>21.247601418681871</v>
      </c>
      <c r="CE156" s="2106">
        <f t="shared" si="395"/>
        <v>11.076990800000001</v>
      </c>
      <c r="CF156" s="2106">
        <v>0</v>
      </c>
      <c r="CG156" s="2106">
        <f t="shared" si="396"/>
        <v>0</v>
      </c>
      <c r="CH156" s="2106">
        <v>9.1983333999999992</v>
      </c>
      <c r="CI156" s="2106">
        <f t="shared" si="397"/>
        <v>0</v>
      </c>
      <c r="CJ156" s="2106">
        <v>1.8684668</v>
      </c>
      <c r="CK156" s="2106">
        <f t="shared" si="398"/>
        <v>0</v>
      </c>
      <c r="CL156" s="2106">
        <v>0</v>
      </c>
      <c r="CM156" s="2106"/>
      <c r="CN156" s="2106">
        <f t="shared" si="399"/>
        <v>0</v>
      </c>
      <c r="CO156" s="2106">
        <f t="shared" si="400"/>
        <v>11.066800199999999</v>
      </c>
      <c r="CP156" s="2106">
        <v>0</v>
      </c>
      <c r="CQ156" s="2106">
        <f t="shared" si="301"/>
        <v>0</v>
      </c>
      <c r="CR156" s="2106">
        <v>0</v>
      </c>
      <c r="CS156" s="2106">
        <f t="shared" si="343"/>
        <v>0</v>
      </c>
      <c r="CT156" s="2106">
        <v>0</v>
      </c>
      <c r="CU156" s="2106">
        <f t="shared" si="344"/>
        <v>0</v>
      </c>
      <c r="CV156" s="2106">
        <v>0</v>
      </c>
      <c r="CW156" s="2106"/>
      <c r="CX156" s="2106">
        <f t="shared" si="401"/>
        <v>0</v>
      </c>
      <c r="CY156" s="2106">
        <f t="shared" si="402"/>
        <v>0</v>
      </c>
      <c r="CZ156" s="2106">
        <v>42.301979999999993</v>
      </c>
      <c r="DA156" s="2106">
        <f t="shared" si="356"/>
        <v>2.2831673620832884</v>
      </c>
      <c r="DB156" s="2106">
        <v>9.6582500087500005</v>
      </c>
      <c r="DC156" s="2106">
        <v>3.4019541459065215</v>
      </c>
      <c r="DD156" s="2109">
        <f t="shared" si="302"/>
        <v>14.390939624105474</v>
      </c>
      <c r="DE156" s="2106"/>
      <c r="DF156" s="2106"/>
      <c r="DG156" s="2106"/>
      <c r="DH156" s="2106">
        <f t="shared" si="403"/>
        <v>5.6851215079898099</v>
      </c>
      <c r="DI156" s="2106">
        <f t="shared" si="404"/>
        <v>24.049189632855473</v>
      </c>
      <c r="DJ156" s="2106">
        <v>38.208239999999996</v>
      </c>
      <c r="DK156" s="2106">
        <f t="shared" si="357"/>
        <v>2.5277924365922115</v>
      </c>
      <c r="DL156" s="2106">
        <v>9.6582500087500005</v>
      </c>
      <c r="DM156" s="2106">
        <v>3.4019541459065215</v>
      </c>
      <c r="DN156" s="2109">
        <f t="shared" si="303"/>
        <v>12.998268047579137</v>
      </c>
      <c r="DO156" s="2106"/>
      <c r="DP156" s="2106"/>
      <c r="DQ156" s="2106"/>
      <c r="DR156" s="2106">
        <f t="shared" si="405"/>
        <v>5.9297465824987325</v>
      </c>
      <c r="DS156" s="2106">
        <f t="shared" si="406"/>
        <v>22.656518056329137</v>
      </c>
      <c r="DT156" s="2106">
        <v>42.301979999999993</v>
      </c>
      <c r="DU156" s="2106">
        <f t="shared" si="358"/>
        <v>2.2831673620832884</v>
      </c>
      <c r="DV156" s="2106">
        <v>9.6582500087500005</v>
      </c>
      <c r="DW156" s="2106">
        <v>3.4019541459065215</v>
      </c>
      <c r="DX156" s="2109">
        <f t="shared" si="304"/>
        <v>14.390939624105474</v>
      </c>
      <c r="DY156" s="2106"/>
      <c r="DZ156" s="2106"/>
      <c r="EA156" s="2106"/>
      <c r="EB156" s="2106">
        <f t="shared" si="407"/>
        <v>5.6851215079898099</v>
      </c>
      <c r="EC156" s="2106">
        <f t="shared" si="408"/>
        <v>24.049189632855473</v>
      </c>
      <c r="ED156" s="2106">
        <f t="shared" si="409"/>
        <v>265.17248000000001</v>
      </c>
      <c r="EE156" s="2107"/>
      <c r="EF156" s="2106">
        <f t="shared" si="410"/>
        <v>3.5208436194528936</v>
      </c>
      <c r="EG156" s="2106">
        <f t="shared" si="411"/>
        <v>93.36308342625</v>
      </c>
      <c r="EH156" s="2106">
        <f t="shared" si="412"/>
        <v>3.5447489044032805</v>
      </c>
      <c r="EI156" s="2106">
        <f t="shared" si="413"/>
        <v>93.996985795790081</v>
      </c>
      <c r="EJ156" s="2106"/>
      <c r="EK156" s="2106">
        <f t="shared" si="414"/>
        <v>0</v>
      </c>
      <c r="EL156" s="2106"/>
      <c r="EM156" s="2106"/>
      <c r="EN156" s="2106">
        <f t="shared" si="415"/>
        <v>187.36006922204007</v>
      </c>
      <c r="EO156" s="2104">
        <f t="shared" si="416"/>
        <v>7.0655925238561732</v>
      </c>
      <c r="EP156" s="2110"/>
      <c r="ES156" s="2084">
        <f t="shared" si="355"/>
        <v>0</v>
      </c>
      <c r="EU156" s="2084">
        <f t="shared" si="359"/>
        <v>52.216838500000001</v>
      </c>
      <c r="EV156" s="2084">
        <f t="shared" si="360"/>
        <v>142.36028000000002</v>
      </c>
      <c r="EW156" s="2084">
        <f t="shared" si="361"/>
        <v>3.6679359228571338</v>
      </c>
    </row>
    <row r="157" spans="1:163">
      <c r="A157" s="1760">
        <v>8</v>
      </c>
      <c r="B157" s="1761" t="s">
        <v>1770</v>
      </c>
      <c r="C157" s="2098">
        <v>90</v>
      </c>
      <c r="D157" s="2099">
        <v>1</v>
      </c>
      <c r="E157" s="2100"/>
      <c r="F157" s="2099">
        <v>0.3855861623035533</v>
      </c>
      <c r="G157" s="2104">
        <v>90</v>
      </c>
      <c r="H157" s="2102" t="s">
        <v>1649</v>
      </c>
      <c r="I157" s="2103">
        <v>2</v>
      </c>
      <c r="J157" s="2104"/>
      <c r="K157" s="2101"/>
      <c r="L157" s="2101"/>
      <c r="M157" s="2105"/>
      <c r="N157" s="2106">
        <v>36.417405000000002</v>
      </c>
      <c r="O157" s="2106">
        <f t="shared" si="362"/>
        <v>2.621228311023259</v>
      </c>
      <c r="P157" s="2106">
        <v>9.5458333</v>
      </c>
      <c r="Q157" s="2106">
        <f t="shared" si="363"/>
        <v>3.3727527812594005</v>
      </c>
      <c r="R157" s="2106">
        <v>12.2826904</v>
      </c>
      <c r="S157" s="2106">
        <f t="shared" si="307"/>
        <v>0</v>
      </c>
      <c r="T157" s="2106">
        <v>0</v>
      </c>
      <c r="U157" s="2106"/>
      <c r="V157" s="2106">
        <f t="shared" si="364"/>
        <v>5.9939810922826586</v>
      </c>
      <c r="W157" s="2106">
        <f t="shared" si="365"/>
        <v>21.828523699999998</v>
      </c>
      <c r="X157" s="2106">
        <v>7.554735</v>
      </c>
      <c r="Y157" s="2106">
        <f t="shared" si="366"/>
        <v>12.635563524068017</v>
      </c>
      <c r="Z157" s="2106">
        <v>9.5458333999999994</v>
      </c>
      <c r="AA157" s="2106">
        <f t="shared" si="367"/>
        <v>3.3204189160837538</v>
      </c>
      <c r="AB157" s="2106">
        <v>2.5084884999999999</v>
      </c>
      <c r="AC157" s="2106">
        <f t="shared" si="368"/>
        <v>0</v>
      </c>
      <c r="AD157" s="2106">
        <v>0</v>
      </c>
      <c r="AE157" s="2106"/>
      <c r="AF157" s="2106">
        <f t="shared" si="369"/>
        <v>15.955982440151772</v>
      </c>
      <c r="AG157" s="2106">
        <f t="shared" si="370"/>
        <v>12.0543219</v>
      </c>
      <c r="AH157" s="2106">
        <v>36.611330000000002</v>
      </c>
      <c r="AI157" s="2106">
        <f t="shared" si="371"/>
        <v>2.6073440380341273</v>
      </c>
      <c r="AJ157" s="2106">
        <v>9.5458333</v>
      </c>
      <c r="AK157" s="2106">
        <f t="shared" si="372"/>
        <v>3.3427750917543833</v>
      </c>
      <c r="AL157" s="2106">
        <v>12.2383442</v>
      </c>
      <c r="AM157" s="2106">
        <f t="shared" si="373"/>
        <v>0</v>
      </c>
      <c r="AN157" s="2106">
        <v>0</v>
      </c>
      <c r="AO157" s="2106">
        <v>0</v>
      </c>
      <c r="AP157" s="2106">
        <f t="shared" si="374"/>
        <v>5.9501191297885105</v>
      </c>
      <c r="AQ157" s="2106">
        <f t="shared" si="375"/>
        <v>21.784177499999998</v>
      </c>
      <c r="AR157" s="2106">
        <v>37.094785000000002</v>
      </c>
      <c r="AS157" s="2106">
        <f t="shared" si="376"/>
        <v>2.573362616874582</v>
      </c>
      <c r="AT157" s="2106">
        <v>9.5458333</v>
      </c>
      <c r="AU157" s="2106">
        <f t="shared" si="377"/>
        <v>3.3877614063540196</v>
      </c>
      <c r="AV157" s="2106">
        <v>12.5668281</v>
      </c>
      <c r="AW157" s="2106">
        <f t="shared" si="378"/>
        <v>0</v>
      </c>
      <c r="AX157" s="2106">
        <v>0</v>
      </c>
      <c r="AY157" s="2106"/>
      <c r="AZ157" s="2106">
        <f t="shared" si="379"/>
        <v>5.961124023228602</v>
      </c>
      <c r="BA157" s="2106">
        <f t="shared" si="380"/>
        <v>22.1126614</v>
      </c>
      <c r="BB157" s="2106">
        <v>0</v>
      </c>
      <c r="BC157" s="2106">
        <f t="shared" si="381"/>
        <v>0</v>
      </c>
      <c r="BD157" s="2106">
        <v>0</v>
      </c>
      <c r="BE157" s="2106">
        <f t="shared" si="382"/>
        <v>0</v>
      </c>
      <c r="BF157" s="2106">
        <v>0</v>
      </c>
      <c r="BG157" s="2106">
        <f t="shared" si="383"/>
        <v>0</v>
      </c>
      <c r="BH157" s="2106">
        <v>0</v>
      </c>
      <c r="BI157" s="2106"/>
      <c r="BJ157" s="2106">
        <f t="shared" si="384"/>
        <v>0</v>
      </c>
      <c r="BK157" s="2106">
        <f t="shared" si="385"/>
        <v>0</v>
      </c>
      <c r="BL157" s="2106">
        <v>44.817194999999998</v>
      </c>
      <c r="BM157" s="2106">
        <f t="shared" si="386"/>
        <v>2.1299488734178924</v>
      </c>
      <c r="BN157" s="2106">
        <v>9.5458333999999994</v>
      </c>
      <c r="BO157" s="2106">
        <f t="shared" si="387"/>
        <v>3.651142625057191</v>
      </c>
      <c r="BP157" s="2106">
        <v>16.3633971</v>
      </c>
      <c r="BQ157" s="2106">
        <f t="shared" si="388"/>
        <v>0</v>
      </c>
      <c r="BR157" s="2106">
        <v>0</v>
      </c>
      <c r="BS157" s="2106"/>
      <c r="BT157" s="2106">
        <f t="shared" si="389"/>
        <v>5.7810914984750825</v>
      </c>
      <c r="BU157" s="2106">
        <f t="shared" si="390"/>
        <v>25.9092305</v>
      </c>
      <c r="BV157" s="2106">
        <v>19.442665000000002</v>
      </c>
      <c r="BW157" s="2106">
        <f t="shared" si="391"/>
        <v>4.909735008035164</v>
      </c>
      <c r="BX157" s="2106">
        <v>9.5458333</v>
      </c>
      <c r="BY157" s="2106">
        <f t="shared" si="392"/>
        <v>3.6034129580487035</v>
      </c>
      <c r="BZ157" s="2106">
        <v>7.0059950999999998</v>
      </c>
      <c r="CA157" s="2106">
        <f t="shared" si="393"/>
        <v>0</v>
      </c>
      <c r="CB157" s="2106">
        <v>0</v>
      </c>
      <c r="CC157" s="2106"/>
      <c r="CD157" s="2106">
        <f t="shared" si="394"/>
        <v>8.5131479660838654</v>
      </c>
      <c r="CE157" s="2106">
        <f t="shared" si="395"/>
        <v>16.551828399999998</v>
      </c>
      <c r="CF157" s="2106">
        <v>0</v>
      </c>
      <c r="CG157" s="2106">
        <f t="shared" si="396"/>
        <v>0</v>
      </c>
      <c r="CH157" s="2106">
        <v>9.5458333999999994</v>
      </c>
      <c r="CI157" s="2106">
        <f t="shared" si="397"/>
        <v>0</v>
      </c>
      <c r="CJ157" s="2106">
        <v>1.0480803999999999</v>
      </c>
      <c r="CK157" s="2106">
        <f t="shared" si="398"/>
        <v>0</v>
      </c>
      <c r="CL157" s="2106">
        <v>0</v>
      </c>
      <c r="CM157" s="2106"/>
      <c r="CN157" s="2106">
        <f t="shared" si="399"/>
        <v>0</v>
      </c>
      <c r="CO157" s="2106">
        <f t="shared" si="400"/>
        <v>10.593913799999999</v>
      </c>
      <c r="CP157" s="2106">
        <v>0</v>
      </c>
      <c r="CQ157" s="2106">
        <f t="shared" si="301"/>
        <v>0</v>
      </c>
      <c r="CR157" s="2106">
        <v>0</v>
      </c>
      <c r="CS157" s="2106">
        <f t="shared" si="343"/>
        <v>0</v>
      </c>
      <c r="CT157" s="2106">
        <v>0</v>
      </c>
      <c r="CU157" s="2106">
        <f t="shared" si="344"/>
        <v>0</v>
      </c>
      <c r="CV157" s="2106">
        <v>0</v>
      </c>
      <c r="CW157" s="2106">
        <v>-3.5340831199999995E-6</v>
      </c>
      <c r="CX157" s="2106">
        <f t="shared" si="401"/>
        <v>0</v>
      </c>
      <c r="CY157" s="2106">
        <f t="shared" si="402"/>
        <v>-3.5340831199999995E-6</v>
      </c>
      <c r="CZ157" s="2106">
        <v>42.301979999999993</v>
      </c>
      <c r="DA157" s="2106">
        <f t="shared" si="356"/>
        <v>2.3694221878030302</v>
      </c>
      <c r="DB157" s="2106">
        <v>10.023125</v>
      </c>
      <c r="DC157" s="2106">
        <v>3.4066054248069433</v>
      </c>
      <c r="DD157" s="2109">
        <f t="shared" si="302"/>
        <v>14.410615454807479</v>
      </c>
      <c r="DE157" s="2106"/>
      <c r="DF157" s="2106"/>
      <c r="DG157" s="2106"/>
      <c r="DH157" s="2106">
        <f t="shared" si="403"/>
        <v>5.7760276126099726</v>
      </c>
      <c r="DI157" s="2106">
        <f t="shared" si="404"/>
        <v>24.433740454807477</v>
      </c>
      <c r="DJ157" s="2106">
        <v>38.208239999999996</v>
      </c>
      <c r="DK157" s="2106">
        <f t="shared" si="357"/>
        <v>2.6232888507819259</v>
      </c>
      <c r="DL157" s="2106">
        <v>10.023125</v>
      </c>
      <c r="DM157" s="2106">
        <v>3.4066054248069433</v>
      </c>
      <c r="DN157" s="2109">
        <f t="shared" si="303"/>
        <v>13.016039765632565</v>
      </c>
      <c r="DO157" s="2106"/>
      <c r="DP157" s="2106"/>
      <c r="DQ157" s="2106"/>
      <c r="DR157" s="2106">
        <f t="shared" si="405"/>
        <v>6.0298942755888696</v>
      </c>
      <c r="DS157" s="2106">
        <f t="shared" si="406"/>
        <v>23.039164765632563</v>
      </c>
      <c r="DT157" s="2106">
        <v>42.301979999999993</v>
      </c>
      <c r="DU157" s="2106">
        <f t="shared" si="358"/>
        <v>2.3694221878030302</v>
      </c>
      <c r="DV157" s="2106">
        <v>10.023125</v>
      </c>
      <c r="DW157" s="2106">
        <v>3.4066054248069433</v>
      </c>
      <c r="DX157" s="2109">
        <f t="shared" si="304"/>
        <v>14.410615454807479</v>
      </c>
      <c r="DY157" s="2106"/>
      <c r="DZ157" s="2106"/>
      <c r="EA157" s="2106"/>
      <c r="EB157" s="2106">
        <f t="shared" si="407"/>
        <v>5.7760276126099726</v>
      </c>
      <c r="EC157" s="2106">
        <f t="shared" si="408"/>
        <v>24.433740454807477</v>
      </c>
      <c r="ED157" s="2106">
        <f t="shared" si="409"/>
        <v>304.750315</v>
      </c>
      <c r="EE157" s="2107"/>
      <c r="EF157" s="2106">
        <f t="shared" si="410"/>
        <v>3.1793308696005766</v>
      </c>
      <c r="EG157" s="2106">
        <f t="shared" si="411"/>
        <v>96.890208399999977</v>
      </c>
      <c r="EH157" s="2106">
        <f t="shared" si="412"/>
        <v>3.4733711259739808</v>
      </c>
      <c r="EI157" s="2106">
        <f t="shared" si="413"/>
        <v>105.85109447524754</v>
      </c>
      <c r="EJ157" s="2106"/>
      <c r="EK157" s="2106">
        <f t="shared" si="414"/>
        <v>0</v>
      </c>
      <c r="EL157" s="2106"/>
      <c r="EM157" s="2106"/>
      <c r="EN157" s="2106">
        <f t="shared" si="415"/>
        <v>202.74130287524753</v>
      </c>
      <c r="EO157" s="2104">
        <f t="shared" si="416"/>
        <v>6.6527019955745583</v>
      </c>
      <c r="EP157" s="2110"/>
      <c r="ES157" s="2084">
        <f t="shared" si="355"/>
        <v>0</v>
      </c>
      <c r="EU157" s="2084">
        <f t="shared" si="359"/>
        <v>64.013823799999997</v>
      </c>
      <c r="EV157" s="2084">
        <f t="shared" si="360"/>
        <v>181.93811500000001</v>
      </c>
      <c r="EW157" s="2084">
        <f t="shared" si="361"/>
        <v>3.5184394320013701</v>
      </c>
    </row>
    <row r="158" spans="1:163">
      <c r="A158" s="1760">
        <v>9</v>
      </c>
      <c r="B158" s="1761" t="s">
        <v>1771</v>
      </c>
      <c r="C158" s="2098">
        <v>3600</v>
      </c>
      <c r="D158" s="2099">
        <v>0.27777777777777779</v>
      </c>
      <c r="E158" s="2100"/>
      <c r="F158" s="2099">
        <v>0.39533861728505287</v>
      </c>
      <c r="G158" s="2104">
        <v>1000</v>
      </c>
      <c r="H158" s="2102" t="s">
        <v>1649</v>
      </c>
      <c r="I158" s="2103">
        <v>1</v>
      </c>
      <c r="J158" s="2104"/>
      <c r="K158" s="2101"/>
      <c r="L158" s="2101"/>
      <c r="M158" s="2105"/>
      <c r="N158" s="2106">
        <v>813.48024999999996</v>
      </c>
      <c r="O158" s="2106">
        <f t="shared" si="362"/>
        <v>1.5046462406432117</v>
      </c>
      <c r="P158" s="2106">
        <v>122.4</v>
      </c>
      <c r="Q158" s="2106">
        <f t="shared" si="363"/>
        <v>1.992603143100278</v>
      </c>
      <c r="R158" s="2106">
        <v>162.0943303</v>
      </c>
      <c r="S158" s="2106">
        <f t="shared" si="307"/>
        <v>-0.16502667397272403</v>
      </c>
      <c r="T158" s="2106">
        <v>-13.424594000000001</v>
      </c>
      <c r="U158" s="2106"/>
      <c r="V158" s="2106">
        <f t="shared" si="364"/>
        <v>3.3322227097707655</v>
      </c>
      <c r="W158" s="2106">
        <f t="shared" si="365"/>
        <v>271.06973629999999</v>
      </c>
      <c r="X158" s="2106">
        <v>288.80124999999998</v>
      </c>
      <c r="Y158" s="2106">
        <f t="shared" si="366"/>
        <v>4.3794824295254955</v>
      </c>
      <c r="Z158" s="2106">
        <v>126.48</v>
      </c>
      <c r="AA158" s="2106">
        <f t="shared" si="367"/>
        <v>3.0895999999999999</v>
      </c>
      <c r="AB158" s="2106">
        <v>89.228034199999996</v>
      </c>
      <c r="AC158" s="2106">
        <f t="shared" si="368"/>
        <v>-0.20858011175505647</v>
      </c>
      <c r="AD158" s="2106">
        <v>-6.0238196999999998</v>
      </c>
      <c r="AE158" s="2106"/>
      <c r="AF158" s="2106">
        <f t="shared" si="369"/>
        <v>7.26050231777044</v>
      </c>
      <c r="AG158" s="2106">
        <f t="shared" si="370"/>
        <v>209.6842145</v>
      </c>
      <c r="AH158" s="2106">
        <v>123.55225</v>
      </c>
      <c r="AI158" s="2106">
        <f t="shared" si="371"/>
        <v>5.4213541234578884</v>
      </c>
      <c r="AJ158" s="2106">
        <v>66.982050000000001</v>
      </c>
      <c r="AK158" s="2106">
        <f t="shared" si="372"/>
        <v>2.7698999977742211</v>
      </c>
      <c r="AL158" s="2106">
        <v>34.222737700000003</v>
      </c>
      <c r="AM158" s="2106">
        <f t="shared" si="373"/>
        <v>-1.4672295567260005</v>
      </c>
      <c r="AN158" s="2106">
        <v>-18.127951299999999</v>
      </c>
      <c r="AO158" s="2106">
        <v>0</v>
      </c>
      <c r="AP158" s="2106">
        <f t="shared" si="374"/>
        <v>6.7240245645061094</v>
      </c>
      <c r="AQ158" s="2106">
        <f t="shared" si="375"/>
        <v>83.076836399999991</v>
      </c>
      <c r="AR158" s="2106">
        <v>416.69125000000003</v>
      </c>
      <c r="AS158" s="2106">
        <f t="shared" si="376"/>
        <v>2.5817976739372375</v>
      </c>
      <c r="AT158" s="2106">
        <v>107.58125</v>
      </c>
      <c r="AU158" s="2106">
        <f t="shared" si="377"/>
        <v>3.0902000005999639</v>
      </c>
      <c r="AV158" s="2106">
        <v>128.76593009999999</v>
      </c>
      <c r="AW158" s="2106">
        <f t="shared" si="378"/>
        <v>-6.5803467195435464E-2</v>
      </c>
      <c r="AX158" s="2106">
        <v>-2.7419728999999999</v>
      </c>
      <c r="AY158" s="2106"/>
      <c r="AZ158" s="2106">
        <f t="shared" si="379"/>
        <v>5.6061942073417654</v>
      </c>
      <c r="BA158" s="2106">
        <f t="shared" si="380"/>
        <v>233.6052072</v>
      </c>
      <c r="BB158" s="2106">
        <v>463.96924999999999</v>
      </c>
      <c r="BC158" s="2106">
        <f t="shared" si="381"/>
        <v>2.4842907153868494</v>
      </c>
      <c r="BD158" s="2106">
        <v>115.26345000000001</v>
      </c>
      <c r="BE158" s="2106">
        <f t="shared" si="382"/>
        <v>2.7584719957195434</v>
      </c>
      <c r="BF158" s="2106">
        <v>127.98461829999999</v>
      </c>
      <c r="BG158" s="2106">
        <f t="shared" si="383"/>
        <v>-1.6279311613862341E-2</v>
      </c>
      <c r="BH158" s="2106">
        <v>-0.75531000000000004</v>
      </c>
      <c r="BI158" s="2106"/>
      <c r="BJ158" s="2106">
        <f t="shared" si="384"/>
        <v>5.2264833994925306</v>
      </c>
      <c r="BK158" s="2106">
        <f t="shared" si="385"/>
        <v>242.49275829999999</v>
      </c>
      <c r="BL158" s="2106">
        <v>345.23950000000002</v>
      </c>
      <c r="BM158" s="2106">
        <f t="shared" si="386"/>
        <v>2.3262517759410497</v>
      </c>
      <c r="BN158" s="2106">
        <v>80.311400000000006</v>
      </c>
      <c r="BO158" s="2106">
        <f t="shared" si="387"/>
        <v>3.0719704002583708</v>
      </c>
      <c r="BP158" s="2106">
        <v>106.0565525</v>
      </c>
      <c r="BQ158" s="2106">
        <f t="shared" si="388"/>
        <v>-0.2021124465769415</v>
      </c>
      <c r="BR158" s="2106">
        <v>-6.9777199999999997</v>
      </c>
      <c r="BS158" s="2106"/>
      <c r="BT158" s="2106">
        <f t="shared" si="389"/>
        <v>5.1961097296224787</v>
      </c>
      <c r="BU158" s="2106">
        <f t="shared" si="390"/>
        <v>179.3902325</v>
      </c>
      <c r="BV158" s="2106">
        <v>239.39099999999999</v>
      </c>
      <c r="BW158" s="2106">
        <f t="shared" si="391"/>
        <v>3.3011850905004785</v>
      </c>
      <c r="BX158" s="2106">
        <v>79.0274</v>
      </c>
      <c r="BY158" s="2106">
        <f t="shared" si="392"/>
        <v>2.5278841518687001</v>
      </c>
      <c r="BZ158" s="2106">
        <v>60.515271499999997</v>
      </c>
      <c r="CA158" s="2106">
        <f t="shared" si="393"/>
        <v>-0.25218985258426591</v>
      </c>
      <c r="CB158" s="2106">
        <v>-6.0371981000000003</v>
      </c>
      <c r="CC158" s="2106"/>
      <c r="CD158" s="2106">
        <f t="shared" si="394"/>
        <v>5.5768793897849109</v>
      </c>
      <c r="CE158" s="2106">
        <f t="shared" si="395"/>
        <v>133.50547339999997</v>
      </c>
      <c r="CF158" s="2106">
        <v>0</v>
      </c>
      <c r="CG158" s="2106">
        <f t="shared" si="396"/>
        <v>0</v>
      </c>
      <c r="CH158" s="2106">
        <v>129.55199999999999</v>
      </c>
      <c r="CI158" s="2106">
        <f t="shared" si="397"/>
        <v>0</v>
      </c>
      <c r="CJ158" s="2106">
        <v>-0.47878199999999999</v>
      </c>
      <c r="CK158" s="2106">
        <f t="shared" si="398"/>
        <v>0</v>
      </c>
      <c r="CL158" s="2106">
        <v>0</v>
      </c>
      <c r="CM158" s="2106"/>
      <c r="CN158" s="2106">
        <f t="shared" si="399"/>
        <v>0</v>
      </c>
      <c r="CO158" s="2106">
        <f t="shared" si="400"/>
        <v>129.073218</v>
      </c>
      <c r="CP158" s="2106">
        <v>483.62</v>
      </c>
      <c r="CQ158" s="2106">
        <f t="shared" si="301"/>
        <v>2.9997001778255648</v>
      </c>
      <c r="CR158" s="2106">
        <v>145.07149999999999</v>
      </c>
      <c r="CS158" s="2106">
        <f t="shared" si="343"/>
        <v>2.4908999999999999</v>
      </c>
      <c r="CT158" s="2106">
        <v>120.4649058</v>
      </c>
      <c r="CU158" s="2106">
        <f t="shared" si="344"/>
        <v>-1.874073032546214E-2</v>
      </c>
      <c r="CV158" s="2106">
        <v>-0.90633920000000001</v>
      </c>
      <c r="CW158" s="2106">
        <v>62.797380199999999</v>
      </c>
      <c r="CX158" s="2106">
        <f t="shared" si="401"/>
        <v>6.7703454530416449</v>
      </c>
      <c r="CY158" s="2106">
        <f t="shared" si="402"/>
        <v>327.42744680000004</v>
      </c>
      <c r="CZ158" s="2106">
        <v>271.96063800000002</v>
      </c>
      <c r="DA158" s="2106">
        <f t="shared" si="356"/>
        <v>4.7913183671822388</v>
      </c>
      <c r="DB158" s="2106">
        <v>130.30500000000001</v>
      </c>
      <c r="DC158" s="2106">
        <v>2.7830202342482497</v>
      </c>
      <c r="DD158" s="2109">
        <f t="shared" si="302"/>
        <v>75.687195847306356</v>
      </c>
      <c r="DE158" s="2106"/>
      <c r="DF158" s="2106"/>
      <c r="DG158" s="2106"/>
      <c r="DH158" s="2106">
        <f t="shared" si="403"/>
        <v>7.5743386014304894</v>
      </c>
      <c r="DI158" s="2106">
        <f t="shared" si="404"/>
        <v>205.99219584730636</v>
      </c>
      <c r="DJ158" s="2106">
        <v>294.19840160000007</v>
      </c>
      <c r="DK158" s="2106">
        <f t="shared" si="357"/>
        <v>4.4291539074085842</v>
      </c>
      <c r="DL158" s="2106">
        <v>130.30500000000001</v>
      </c>
      <c r="DM158" s="2106">
        <v>2.7830202342482497</v>
      </c>
      <c r="DN158" s="2109">
        <f t="shared" si="303"/>
        <v>81.876010453629277</v>
      </c>
      <c r="DO158" s="2106"/>
      <c r="DP158" s="2106"/>
      <c r="DQ158" s="2106"/>
      <c r="DR158" s="2106">
        <f t="shared" si="405"/>
        <v>7.212174141656833</v>
      </c>
      <c r="DS158" s="2106">
        <f t="shared" si="406"/>
        <v>212.18101045362928</v>
      </c>
      <c r="DT158" s="2106">
        <v>355.21278219999999</v>
      </c>
      <c r="DU158" s="2106">
        <f t="shared" si="358"/>
        <v>3.6683646121336007</v>
      </c>
      <c r="DV158" s="2106">
        <v>130.30500000000001</v>
      </c>
      <c r="DW158" s="2106">
        <v>2.7830202342482497</v>
      </c>
      <c r="DX158" s="2109">
        <f t="shared" si="304"/>
        <v>98.856436032621644</v>
      </c>
      <c r="DY158" s="2106"/>
      <c r="DZ158" s="2106"/>
      <c r="EA158" s="2106"/>
      <c r="EB158" s="2106">
        <f t="shared" si="407"/>
        <v>6.4513848463818499</v>
      </c>
      <c r="EC158" s="2106">
        <f t="shared" si="408"/>
        <v>229.16143603262165</v>
      </c>
      <c r="ED158" s="2106">
        <f t="shared" si="409"/>
        <v>4096.1165718000002</v>
      </c>
      <c r="EE158" s="2107"/>
      <c r="EF158" s="2106">
        <f t="shared" si="410"/>
        <v>3.3289678799370348</v>
      </c>
      <c r="EG158" s="2106">
        <f t="shared" si="411"/>
        <v>1363.5840500000002</v>
      </c>
      <c r="EH158" s="2106">
        <f t="shared" si="412"/>
        <v>2.6495174678503943</v>
      </c>
      <c r="EI158" s="2106">
        <f t="shared" si="413"/>
        <v>1085.2732407335573</v>
      </c>
      <c r="EJ158" s="2106"/>
      <c r="EK158" s="2106">
        <f t="shared" si="414"/>
        <v>-54.994905199999991</v>
      </c>
      <c r="EL158" s="2106"/>
      <c r="EM158" s="2106"/>
      <c r="EN158" s="2106">
        <f t="shared" si="415"/>
        <v>2393.8623855335572</v>
      </c>
      <c r="EO158" s="2104">
        <f t="shared" si="416"/>
        <v>5.8442242635726469</v>
      </c>
      <c r="EP158" s="2110"/>
      <c r="ES158" s="2084">
        <f t="shared" si="355"/>
        <v>0</v>
      </c>
      <c r="EU158" s="2084">
        <f t="shared" si="359"/>
        <v>828.8535983999999</v>
      </c>
      <c r="EV158" s="2084">
        <f t="shared" si="360"/>
        <v>3174.7447500000003</v>
      </c>
      <c r="EW158" s="2084">
        <f t="shared" si="361"/>
        <v>2.610772404301164</v>
      </c>
    </row>
    <row r="159" spans="1:163">
      <c r="A159" s="1760">
        <v>10</v>
      </c>
      <c r="B159" s="1761" t="s">
        <v>1772</v>
      </c>
      <c r="C159" s="2098">
        <v>1980</v>
      </c>
      <c r="D159" s="2099">
        <v>1</v>
      </c>
      <c r="E159" s="2100"/>
      <c r="F159" s="2099">
        <v>0.33688608996897079</v>
      </c>
      <c r="G159" s="2104">
        <v>1980</v>
      </c>
      <c r="H159" s="2102" t="s">
        <v>1649</v>
      </c>
      <c r="I159" s="2103">
        <v>2</v>
      </c>
      <c r="J159" s="2104"/>
      <c r="K159" s="2101"/>
      <c r="L159" s="2101"/>
      <c r="M159" s="2105"/>
      <c r="N159" s="2106">
        <v>756.15314999999998</v>
      </c>
      <c r="O159" s="2106">
        <f t="shared" si="362"/>
        <v>2.9824773380895127</v>
      </c>
      <c r="P159" s="2106">
        <v>225.5209634</v>
      </c>
      <c r="Q159" s="2106">
        <f t="shared" si="363"/>
        <v>2.9137180675634293</v>
      </c>
      <c r="R159" s="2106">
        <v>220.3217095</v>
      </c>
      <c r="S159" s="2106">
        <f t="shared" si="307"/>
        <v>0</v>
      </c>
      <c r="T159" s="2106">
        <v>0</v>
      </c>
      <c r="U159" s="2106"/>
      <c r="V159" s="2106">
        <f t="shared" si="364"/>
        <v>5.8961954056529429</v>
      </c>
      <c r="W159" s="2106">
        <f t="shared" si="365"/>
        <v>445.84267290000003</v>
      </c>
      <c r="X159" s="2106">
        <v>705.26187700000003</v>
      </c>
      <c r="Y159" s="2106">
        <f t="shared" si="366"/>
        <v>4.1687924186493355</v>
      </c>
      <c r="Z159" s="2106">
        <v>294.0090366</v>
      </c>
      <c r="AA159" s="2106">
        <f t="shared" si="367"/>
        <v>2.9731664043993122</v>
      </c>
      <c r="AB159" s="2106">
        <v>209.68609190000001</v>
      </c>
      <c r="AC159" s="2106">
        <f t="shared" si="368"/>
        <v>0</v>
      </c>
      <c r="AD159" s="2106">
        <v>0</v>
      </c>
      <c r="AE159" s="2106"/>
      <c r="AF159" s="2106">
        <f t="shared" si="369"/>
        <v>7.1419588230486477</v>
      </c>
      <c r="AG159" s="2106">
        <f t="shared" si="370"/>
        <v>503.69512850000001</v>
      </c>
      <c r="AH159" s="2106">
        <v>974.90681500000005</v>
      </c>
      <c r="AI159" s="2106">
        <f t="shared" si="371"/>
        <v>2.6645110691938285</v>
      </c>
      <c r="AJ159" s="2106">
        <v>259.76499999999999</v>
      </c>
      <c r="AK159" s="2106">
        <f t="shared" si="372"/>
        <v>2.9769892715336077</v>
      </c>
      <c r="AL159" s="2106">
        <v>290.2287129</v>
      </c>
      <c r="AM159" s="2106">
        <f t="shared" si="373"/>
        <v>0</v>
      </c>
      <c r="AN159" s="2106">
        <v>0</v>
      </c>
      <c r="AO159" s="2106">
        <v>0</v>
      </c>
      <c r="AP159" s="2106">
        <f t="shared" si="374"/>
        <v>5.6415003407274362</v>
      </c>
      <c r="AQ159" s="2106">
        <f t="shared" si="375"/>
        <v>549.99371289999999</v>
      </c>
      <c r="AR159" s="2106">
        <v>1055.8183349999999</v>
      </c>
      <c r="AS159" s="2106">
        <f t="shared" si="376"/>
        <v>23.142087188701833</v>
      </c>
      <c r="AT159" s="2106">
        <v>2443.3839963999999</v>
      </c>
      <c r="AU159" s="2106">
        <f t="shared" si="377"/>
        <v>2.984727050605728</v>
      </c>
      <c r="AV159" s="2106">
        <v>315.13295449999998</v>
      </c>
      <c r="AW159" s="2106">
        <f t="shared" si="378"/>
        <v>0</v>
      </c>
      <c r="AX159" s="2106">
        <v>0</v>
      </c>
      <c r="AY159" s="2106"/>
      <c r="AZ159" s="2106">
        <f t="shared" si="379"/>
        <v>26.12681423930756</v>
      </c>
      <c r="BA159" s="2106">
        <f t="shared" si="380"/>
        <v>2758.5169508999998</v>
      </c>
      <c r="BB159" s="2106">
        <v>1088.53729</v>
      </c>
      <c r="BC159" s="2106">
        <f t="shared" si="381"/>
        <v>2.3863674895326739</v>
      </c>
      <c r="BD159" s="2106">
        <v>259.76499999999999</v>
      </c>
      <c r="BE159" s="2106">
        <f t="shared" si="382"/>
        <v>3.0744291314080749</v>
      </c>
      <c r="BF159" s="2106">
        <v>334.66307549999999</v>
      </c>
      <c r="BG159" s="2106">
        <f t="shared" si="383"/>
        <v>0.41671111882625533</v>
      </c>
      <c r="BH159" s="2106">
        <v>45.360559199999997</v>
      </c>
      <c r="BI159" s="2106"/>
      <c r="BJ159" s="2106">
        <f t="shared" si="384"/>
        <v>5.8775077397670037</v>
      </c>
      <c r="BK159" s="2106">
        <f t="shared" si="385"/>
        <v>639.78863469999999</v>
      </c>
      <c r="BL159" s="2106">
        <v>985.07139500000005</v>
      </c>
      <c r="BM159" s="2106">
        <f t="shared" si="386"/>
        <v>2.6370169849465581</v>
      </c>
      <c r="BN159" s="2106">
        <v>259.76499999999999</v>
      </c>
      <c r="BO159" s="2106">
        <f t="shared" si="387"/>
        <v>3.1499291957411879</v>
      </c>
      <c r="BP159" s="2106">
        <v>310.29051470000002</v>
      </c>
      <c r="BQ159" s="2106">
        <f t="shared" si="388"/>
        <v>0</v>
      </c>
      <c r="BR159" s="2106">
        <v>0</v>
      </c>
      <c r="BS159" s="2106">
        <v>10.2784672</v>
      </c>
      <c r="BT159" s="2106">
        <f t="shared" si="389"/>
        <v>5.8912885385327831</v>
      </c>
      <c r="BU159" s="2106">
        <f t="shared" si="390"/>
        <v>580.33398190000003</v>
      </c>
      <c r="BV159" s="2106">
        <v>673.17580499999997</v>
      </c>
      <c r="BW159" s="2106">
        <f t="shared" si="391"/>
        <v>3.8587988170489878</v>
      </c>
      <c r="BX159" s="2106">
        <v>259.76499999999999</v>
      </c>
      <c r="BY159" s="2106">
        <f t="shared" si="392"/>
        <v>3.0137316165128665</v>
      </c>
      <c r="BZ159" s="2106">
        <v>202.87712070000001</v>
      </c>
      <c r="CA159" s="2106">
        <f t="shared" si="393"/>
        <v>6.4988270040394577E-2</v>
      </c>
      <c r="CB159" s="2106">
        <v>4.3748531000000002</v>
      </c>
      <c r="CC159" s="2106"/>
      <c r="CD159" s="2106">
        <f t="shared" si="394"/>
        <v>6.9375187036022474</v>
      </c>
      <c r="CE159" s="2106">
        <f t="shared" si="395"/>
        <v>467.01697379999996</v>
      </c>
      <c r="CF159" s="2106">
        <v>0</v>
      </c>
      <c r="CG159" s="2106">
        <f t="shared" si="396"/>
        <v>0</v>
      </c>
      <c r="CH159" s="2106">
        <v>0</v>
      </c>
      <c r="CI159" s="2106">
        <f t="shared" si="397"/>
        <v>0</v>
      </c>
      <c r="CJ159" s="2106">
        <v>0</v>
      </c>
      <c r="CK159" s="2106">
        <f t="shared" si="398"/>
        <v>0</v>
      </c>
      <c r="CL159" s="2106">
        <v>0</v>
      </c>
      <c r="CM159" s="2106"/>
      <c r="CN159" s="2106">
        <f t="shared" si="399"/>
        <v>0</v>
      </c>
      <c r="CO159" s="2106">
        <f t="shared" si="400"/>
        <v>0</v>
      </c>
      <c r="CP159" s="2106">
        <v>267.01924000000002</v>
      </c>
      <c r="CQ159" s="2106">
        <f t="shared" si="301"/>
        <v>11.763611300069613</v>
      </c>
      <c r="CR159" s="2106">
        <v>314.1110549</v>
      </c>
      <c r="CS159" s="2106">
        <f t="shared" si="343"/>
        <v>3.0873148654007103</v>
      </c>
      <c r="CT159" s="2106">
        <v>82.437246900000005</v>
      </c>
      <c r="CU159" s="2106">
        <f t="shared" si="344"/>
        <v>0</v>
      </c>
      <c r="CV159" s="2106">
        <v>0</v>
      </c>
      <c r="CW159" s="2106"/>
      <c r="CX159" s="2106">
        <f t="shared" si="401"/>
        <v>14.850926165470321</v>
      </c>
      <c r="CY159" s="2106">
        <f t="shared" si="402"/>
        <v>396.54830179999999</v>
      </c>
      <c r="CZ159" s="2106">
        <v>1180.15326</v>
      </c>
      <c r="DA159" s="2106">
        <f t="shared" si="356"/>
        <v>2.3769471936353983</v>
      </c>
      <c r="DB159" s="2106">
        <v>280.51619794166669</v>
      </c>
      <c r="DC159" s="2106">
        <v>3.0405249916819304</v>
      </c>
      <c r="DD159" s="2109">
        <f t="shared" si="302"/>
        <v>358.82854810449032</v>
      </c>
      <c r="DE159" s="2106"/>
      <c r="DF159" s="2106"/>
      <c r="DG159" s="2106"/>
      <c r="DH159" s="2106">
        <f t="shared" si="403"/>
        <v>5.4174721853173295</v>
      </c>
      <c r="DI159" s="2106">
        <f t="shared" si="404"/>
        <v>639.34474604615707</v>
      </c>
      <c r="DJ159" s="2106">
        <v>1065.9448799999998</v>
      </c>
      <c r="DK159" s="2106">
        <f t="shared" si="357"/>
        <v>2.631620107239192</v>
      </c>
      <c r="DL159" s="2106">
        <v>280.51619794166669</v>
      </c>
      <c r="DM159" s="2106">
        <v>3.0405249916819304</v>
      </c>
      <c r="DN159" s="2109">
        <f t="shared" si="303"/>
        <v>324.10320473953959</v>
      </c>
      <c r="DO159" s="2106"/>
      <c r="DP159" s="2106"/>
      <c r="DQ159" s="2106"/>
      <c r="DR159" s="2106">
        <f t="shared" si="405"/>
        <v>5.6721450989211233</v>
      </c>
      <c r="DS159" s="2106">
        <f t="shared" si="406"/>
        <v>604.61940268120634</v>
      </c>
      <c r="DT159" s="2106">
        <v>1180.15326</v>
      </c>
      <c r="DU159" s="2106">
        <f t="shared" si="358"/>
        <v>2.3769471936353983</v>
      </c>
      <c r="DV159" s="2106">
        <v>280.51619794166669</v>
      </c>
      <c r="DW159" s="2106">
        <v>3.0405249916819304</v>
      </c>
      <c r="DX159" s="2109">
        <f t="shared" si="304"/>
        <v>358.82854810449032</v>
      </c>
      <c r="DY159" s="2106"/>
      <c r="DZ159" s="2106"/>
      <c r="EA159" s="2106"/>
      <c r="EB159" s="2106">
        <f t="shared" si="407"/>
        <v>5.4174721853173295</v>
      </c>
      <c r="EC159" s="2106">
        <f t="shared" si="408"/>
        <v>639.34474604615707</v>
      </c>
      <c r="ED159" s="2106">
        <f t="shared" si="409"/>
        <v>9932.1953069999981</v>
      </c>
      <c r="EE159" s="2107"/>
      <c r="EF159" s="2106">
        <f t="shared" si="410"/>
        <v>5.192843561473274</v>
      </c>
      <c r="EG159" s="2106">
        <f t="shared" si="411"/>
        <v>5157.6336451250008</v>
      </c>
      <c r="EH159" s="2106">
        <f t="shared" si="412"/>
        <v>3.027928503811208</v>
      </c>
      <c r="EI159" s="2106">
        <f t="shared" si="413"/>
        <v>3007.3977275485208</v>
      </c>
      <c r="EJ159" s="2106"/>
      <c r="EK159" s="2106">
        <f t="shared" si="414"/>
        <v>49.7354123</v>
      </c>
      <c r="EL159" s="2106"/>
      <c r="EM159" s="2106"/>
      <c r="EN159" s="2106">
        <f t="shared" si="415"/>
        <v>8214.7667849735226</v>
      </c>
      <c r="EO159" s="2104">
        <f t="shared" si="416"/>
        <v>8.2708470092044308</v>
      </c>
      <c r="EP159" s="2110"/>
      <c r="ES159" s="2084">
        <f t="shared" si="355"/>
        <v>0</v>
      </c>
      <c r="EU159" s="2084">
        <f t="shared" si="359"/>
        <v>1965.6374266000003</v>
      </c>
      <c r="EV159" s="2084">
        <f t="shared" si="360"/>
        <v>6505.9439069999999</v>
      </c>
      <c r="EW159" s="2084">
        <f t="shared" si="361"/>
        <v>3.0212947647536494</v>
      </c>
    </row>
    <row r="160" spans="1:163">
      <c r="A160" s="1760">
        <v>11</v>
      </c>
      <c r="B160" s="1761" t="s">
        <v>1773</v>
      </c>
      <c r="C160" s="2098" t="e">
        <v>#N/A</v>
      </c>
      <c r="D160" s="2099" t="e">
        <v>#N/A</v>
      </c>
      <c r="E160" s="2100"/>
      <c r="F160" s="2099">
        <v>0.76916477381783677</v>
      </c>
      <c r="G160" s="2104">
        <v>361</v>
      </c>
      <c r="H160" s="2102" t="s">
        <v>1649</v>
      </c>
      <c r="I160" s="2103">
        <v>1</v>
      </c>
      <c r="J160" s="2104"/>
      <c r="K160" s="2101"/>
      <c r="L160" s="2101"/>
      <c r="M160" s="2105"/>
      <c r="N160" s="2106">
        <v>145.29949999999999</v>
      </c>
      <c r="O160" s="2106">
        <f t="shared" si="362"/>
        <v>2.3848298514447746</v>
      </c>
      <c r="P160" s="2106">
        <v>34.651458499999997</v>
      </c>
      <c r="Q160" s="2106">
        <f t="shared" si="363"/>
        <v>1.9511999972470657</v>
      </c>
      <c r="R160" s="2106">
        <v>28.350838400000001</v>
      </c>
      <c r="S160" s="2106">
        <f t="shared" si="307"/>
        <v>0</v>
      </c>
      <c r="T160" s="2106">
        <v>0</v>
      </c>
      <c r="U160" s="2106"/>
      <c r="V160" s="2106">
        <f t="shared" si="364"/>
        <v>4.3360298486918394</v>
      </c>
      <c r="W160" s="2106">
        <f t="shared" si="365"/>
        <v>63.002296899999997</v>
      </c>
      <c r="X160" s="2106">
        <v>154.32425000000001</v>
      </c>
      <c r="Y160" s="2106">
        <f t="shared" si="366"/>
        <v>2.6895670317529485</v>
      </c>
      <c r="Z160" s="2106">
        <v>41.506541499999997</v>
      </c>
      <c r="AA160" s="2106">
        <f t="shared" si="367"/>
        <v>1.9522999982180376</v>
      </c>
      <c r="AB160" s="2106">
        <v>30.128723300000001</v>
      </c>
      <c r="AC160" s="2106">
        <f t="shared" si="368"/>
        <v>0.4757208669408729</v>
      </c>
      <c r="AD160" s="2106">
        <v>7.3415265999999999</v>
      </c>
      <c r="AE160" s="2106"/>
      <c r="AF160" s="2106">
        <f t="shared" si="369"/>
        <v>5.1175878969118589</v>
      </c>
      <c r="AG160" s="2106">
        <f t="shared" si="370"/>
        <v>78.976791399999996</v>
      </c>
      <c r="AH160" s="2106">
        <v>211.65450000000001</v>
      </c>
      <c r="AI160" s="2106">
        <f t="shared" si="371"/>
        <v>2.8521351069785901</v>
      </c>
      <c r="AJ160" s="2106">
        <v>60.366723</v>
      </c>
      <c r="AK160" s="2106">
        <f t="shared" si="372"/>
        <v>2.2692323196530193</v>
      </c>
      <c r="AL160" s="2106">
        <v>48.0293232</v>
      </c>
      <c r="AM160" s="2106">
        <f t="shared" si="373"/>
        <v>0</v>
      </c>
      <c r="AN160" s="2106">
        <v>0</v>
      </c>
      <c r="AO160" s="2106">
        <v>0</v>
      </c>
      <c r="AP160" s="2106">
        <f t="shared" si="374"/>
        <v>5.1213674266316094</v>
      </c>
      <c r="AQ160" s="2106">
        <f t="shared" si="375"/>
        <v>108.3960462</v>
      </c>
      <c r="AR160" s="2106">
        <v>219.11850000000001</v>
      </c>
      <c r="AS160" s="2106">
        <f t="shared" si="376"/>
        <v>2.724685857195992</v>
      </c>
      <c r="AT160" s="2106">
        <v>59.702907799999998</v>
      </c>
      <c r="AU160" s="2106">
        <f t="shared" si="377"/>
        <v>1.9544000027382444</v>
      </c>
      <c r="AV160" s="2106">
        <v>42.824519700000003</v>
      </c>
      <c r="AW160" s="2106">
        <f t="shared" si="378"/>
        <v>0</v>
      </c>
      <c r="AX160" s="2106">
        <v>0</v>
      </c>
      <c r="AY160" s="2106"/>
      <c r="AZ160" s="2106">
        <f t="shared" si="379"/>
        <v>4.6790858599342364</v>
      </c>
      <c r="BA160" s="2106">
        <f t="shared" si="380"/>
        <v>102.5274275</v>
      </c>
      <c r="BB160" s="2106">
        <v>216.35717500000001</v>
      </c>
      <c r="BC160" s="2106">
        <f t="shared" si="381"/>
        <v>2.5515477912854054</v>
      </c>
      <c r="BD160" s="2106">
        <v>55.2045672</v>
      </c>
      <c r="BE160" s="2106">
        <f t="shared" si="382"/>
        <v>2.345061604728385</v>
      </c>
      <c r="BF160" s="2106">
        <v>50.7370904</v>
      </c>
      <c r="BG160" s="2106">
        <f t="shared" si="383"/>
        <v>0</v>
      </c>
      <c r="BH160" s="2106">
        <v>0</v>
      </c>
      <c r="BI160" s="2106"/>
      <c r="BJ160" s="2106">
        <f t="shared" si="384"/>
        <v>4.8966093960137904</v>
      </c>
      <c r="BK160" s="2106">
        <f t="shared" si="385"/>
        <v>105.9416576</v>
      </c>
      <c r="BL160" s="2106">
        <v>188.80475000000001</v>
      </c>
      <c r="BM160" s="2106">
        <f t="shared" si="386"/>
        <v>2.8252507100589366</v>
      </c>
      <c r="BN160" s="2106">
        <v>53.342075399999999</v>
      </c>
      <c r="BO160" s="2106">
        <f t="shared" si="387"/>
        <v>2.5779117103780491</v>
      </c>
      <c r="BP160" s="2106">
        <v>48.672197599999997</v>
      </c>
      <c r="BQ160" s="2106">
        <f t="shared" si="388"/>
        <v>0</v>
      </c>
      <c r="BR160" s="2106">
        <v>0</v>
      </c>
      <c r="BS160" s="2106"/>
      <c r="BT160" s="2106">
        <f t="shared" si="389"/>
        <v>5.4031624204369857</v>
      </c>
      <c r="BU160" s="2106">
        <f t="shared" si="390"/>
        <v>102.014273</v>
      </c>
      <c r="BV160" s="2106">
        <v>195.51824999999999</v>
      </c>
      <c r="BW160" s="2106">
        <f t="shared" si="391"/>
        <v>3.0272326547521775</v>
      </c>
      <c r="BX160" s="2106">
        <v>59.187923099999999</v>
      </c>
      <c r="BY160" s="2106">
        <f t="shared" si="392"/>
        <v>2.7601433165446192</v>
      </c>
      <c r="BZ160" s="2106">
        <v>53.965839099999997</v>
      </c>
      <c r="CA160" s="2106">
        <f t="shared" si="393"/>
        <v>3.371444865121287E-3</v>
      </c>
      <c r="CB160" s="2106">
        <v>6.5917900000000001E-2</v>
      </c>
      <c r="CC160" s="2106"/>
      <c r="CD160" s="2106">
        <f t="shared" si="394"/>
        <v>5.7907474161619179</v>
      </c>
      <c r="CE160" s="2106">
        <f t="shared" si="395"/>
        <v>113.21968009999999</v>
      </c>
      <c r="CF160" s="2106">
        <v>181.20650000000001</v>
      </c>
      <c r="CG160" s="2106">
        <f t="shared" si="396"/>
        <v>3.1371869938440393</v>
      </c>
      <c r="CH160" s="2106">
        <v>56.8478675</v>
      </c>
      <c r="CI160" s="2106">
        <f t="shared" si="397"/>
        <v>1.9586000005518565</v>
      </c>
      <c r="CJ160" s="2106">
        <v>35.491105099999999</v>
      </c>
      <c r="CK160" s="2106">
        <f t="shared" si="398"/>
        <v>6.2430001131305993E-2</v>
      </c>
      <c r="CL160" s="2106">
        <v>1.1312722</v>
      </c>
      <c r="CM160" s="2106"/>
      <c r="CN160" s="2106">
        <f t="shared" si="399"/>
        <v>5.1582169955272033</v>
      </c>
      <c r="CO160" s="2106">
        <f t="shared" si="400"/>
        <v>93.470244800000003</v>
      </c>
      <c r="CP160" s="2106">
        <v>214.31325000000001</v>
      </c>
      <c r="CQ160" s="2106">
        <f t="shared" si="301"/>
        <v>2.502050545171612</v>
      </c>
      <c r="CR160" s="2106">
        <v>53.6222584</v>
      </c>
      <c r="CS160" s="2106">
        <f t="shared" si="343"/>
        <v>2.9322812191966663</v>
      </c>
      <c r="CT160" s="2106">
        <v>62.842671799999998</v>
      </c>
      <c r="CU160" s="2106">
        <f t="shared" si="344"/>
        <v>0</v>
      </c>
      <c r="CV160" s="2106">
        <v>0</v>
      </c>
      <c r="CW160" s="2106"/>
      <c r="CX160" s="2106">
        <f t="shared" si="401"/>
        <v>5.4343317643682791</v>
      </c>
      <c r="CY160" s="2106">
        <f t="shared" si="402"/>
        <v>116.4649302</v>
      </c>
      <c r="CZ160" s="2106">
        <v>225.01606267379677</v>
      </c>
      <c r="DA160" s="2106">
        <f t="shared" si="356"/>
        <v>2.5267799742000814</v>
      </c>
      <c r="DB160" s="2106">
        <v>56.856608103750006</v>
      </c>
      <c r="DC160" s="2106">
        <v>2.1434314746332568</v>
      </c>
      <c r="DD160" s="2109">
        <f t="shared" si="302"/>
        <v>48.230651103306556</v>
      </c>
      <c r="DE160" s="2106"/>
      <c r="DF160" s="2106"/>
      <c r="DG160" s="2106"/>
      <c r="DH160" s="2106">
        <f t="shared" si="403"/>
        <v>4.6702114488333377</v>
      </c>
      <c r="DI160" s="2106">
        <f t="shared" si="404"/>
        <v>105.08725920705656</v>
      </c>
      <c r="DJ160" s="2106">
        <v>195.05153368983954</v>
      </c>
      <c r="DK160" s="2106">
        <f t="shared" si="357"/>
        <v>2.9149531422890695</v>
      </c>
      <c r="DL160" s="2106">
        <v>56.856608103750006</v>
      </c>
      <c r="DM160" s="2106">
        <v>2.1434314746332568</v>
      </c>
      <c r="DN160" s="2109">
        <f t="shared" si="303"/>
        <v>41.807959648629115</v>
      </c>
      <c r="DO160" s="2106"/>
      <c r="DP160" s="2106"/>
      <c r="DQ160" s="2106"/>
      <c r="DR160" s="2106">
        <f t="shared" si="405"/>
        <v>5.0583846169223268</v>
      </c>
      <c r="DS160" s="2106">
        <f t="shared" si="406"/>
        <v>98.664567752379128</v>
      </c>
      <c r="DT160" s="2106">
        <v>177.9188342245989</v>
      </c>
      <c r="DU160" s="2106">
        <f t="shared" si="358"/>
        <v>3.1956486423453119</v>
      </c>
      <c r="DV160" s="2106">
        <v>56.856608103750006</v>
      </c>
      <c r="DW160" s="2106">
        <v>2.1434314746332568</v>
      </c>
      <c r="DX160" s="2109">
        <f t="shared" si="304"/>
        <v>38.135682920706202</v>
      </c>
      <c r="DY160" s="2106"/>
      <c r="DZ160" s="2106"/>
      <c r="EA160" s="2106"/>
      <c r="EB160" s="2106">
        <f t="shared" si="407"/>
        <v>5.3390801169785682</v>
      </c>
      <c r="EC160" s="2106">
        <f t="shared" si="408"/>
        <v>94.992291024456208</v>
      </c>
      <c r="ED160" s="2106">
        <f t="shared" si="409"/>
        <v>2324.5831055882354</v>
      </c>
      <c r="EE160" s="2107"/>
      <c r="EF160" s="2106">
        <f t="shared" si="410"/>
        <v>2.7747003114695361</v>
      </c>
      <c r="EG160" s="2106">
        <f t="shared" si="411"/>
        <v>645.00214671124991</v>
      </c>
      <c r="EH160" s="2106">
        <f t="shared" si="412"/>
        <v>2.2766086572702839</v>
      </c>
      <c r="EI160" s="2106">
        <f t="shared" si="413"/>
        <v>529.21660227264192</v>
      </c>
      <c r="EJ160" s="2106"/>
      <c r="EK160" s="2106">
        <f t="shared" si="414"/>
        <v>8.5387167000000002</v>
      </c>
      <c r="EL160" s="2106"/>
      <c r="EM160" s="2106"/>
      <c r="EN160" s="2106">
        <f t="shared" si="415"/>
        <v>1182.7574656838917</v>
      </c>
      <c r="EO160" s="2104">
        <f t="shared" si="416"/>
        <v>5.0880412184041717</v>
      </c>
      <c r="EP160" s="2110"/>
      <c r="ES160" s="2084">
        <f t="shared" si="355"/>
        <v>0</v>
      </c>
      <c r="EU160" s="2084">
        <f t="shared" si="359"/>
        <v>401.04230860000001</v>
      </c>
      <c r="EV160" s="2084">
        <f t="shared" si="360"/>
        <v>1726.596675</v>
      </c>
      <c r="EW160" s="2084">
        <f t="shared" si="361"/>
        <v>2.322733006537268</v>
      </c>
    </row>
    <row r="161" spans="1:153">
      <c r="A161" s="1760">
        <v>12</v>
      </c>
      <c r="B161" s="1592" t="s">
        <v>1774</v>
      </c>
      <c r="C161" s="2156">
        <v>1980</v>
      </c>
      <c r="D161" s="2147">
        <v>0.9</v>
      </c>
      <c r="E161" s="2157"/>
      <c r="F161" s="2147">
        <v>0.39252564134119033</v>
      </c>
      <c r="G161" s="2157">
        <v>1782</v>
      </c>
      <c r="H161" s="2158" t="s">
        <v>1649</v>
      </c>
      <c r="I161" s="2159">
        <v>2</v>
      </c>
      <c r="J161" s="2157"/>
      <c r="K161" s="2160"/>
      <c r="L161" s="2160"/>
      <c r="M161" s="2161"/>
      <c r="N161" s="2106">
        <v>806.80800299999999</v>
      </c>
      <c r="O161" s="2106">
        <f t="shared" si="362"/>
        <v>1.2313373830031282</v>
      </c>
      <c r="P161" s="2106">
        <v>99.345285500000003</v>
      </c>
      <c r="Q161" s="2106">
        <f t="shared" si="363"/>
        <v>2.2609999990295089</v>
      </c>
      <c r="R161" s="2106">
        <v>182.4192894</v>
      </c>
      <c r="S161" s="2106">
        <f t="shared" si="307"/>
        <v>0</v>
      </c>
      <c r="T161" s="2106">
        <v>0</v>
      </c>
      <c r="U161" s="2152"/>
      <c r="V161" s="2152">
        <f t="shared" si="364"/>
        <v>3.4923373820326375</v>
      </c>
      <c r="W161" s="2152">
        <f t="shared" si="365"/>
        <v>281.76457490000001</v>
      </c>
      <c r="X161" s="2106">
        <v>901.61335799999995</v>
      </c>
      <c r="Y161" s="2106">
        <f t="shared" si="366"/>
        <v>1.2786635709982461</v>
      </c>
      <c r="Z161" s="2106">
        <v>115.2860156</v>
      </c>
      <c r="AA161" s="2106">
        <f t="shared" si="367"/>
        <v>2.2609999984050813</v>
      </c>
      <c r="AB161" s="2106">
        <v>203.8547801</v>
      </c>
      <c r="AC161" s="2106">
        <f t="shared" si="368"/>
        <v>1.1947232041786143E-2</v>
      </c>
      <c r="AD161" s="2106">
        <v>1.0771784</v>
      </c>
      <c r="AE161" s="2106"/>
      <c r="AF161" s="2106">
        <f t="shared" si="369"/>
        <v>3.5516108014451135</v>
      </c>
      <c r="AG161" s="2106">
        <f t="shared" si="370"/>
        <v>320.21797409999999</v>
      </c>
      <c r="AH161" s="2106">
        <v>940.40245200000004</v>
      </c>
      <c r="AI161" s="2106">
        <f t="shared" si="371"/>
        <v>1.1234690230263245</v>
      </c>
      <c r="AJ161" s="2106">
        <v>105.65130240000001</v>
      </c>
      <c r="AK161" s="2106">
        <f t="shared" si="372"/>
        <v>2.2430000001743933</v>
      </c>
      <c r="AL161" s="2106">
        <v>210.93226999999999</v>
      </c>
      <c r="AM161" s="2106">
        <f t="shared" si="373"/>
        <v>2.195642403535545E-2</v>
      </c>
      <c r="AN161" s="2106">
        <v>2.0647875</v>
      </c>
      <c r="AO161" s="2106">
        <v>0</v>
      </c>
      <c r="AP161" s="2106">
        <f t="shared" si="374"/>
        <v>3.3884254472360729</v>
      </c>
      <c r="AQ161" s="2106">
        <f t="shared" si="375"/>
        <v>318.6483599</v>
      </c>
      <c r="AR161" s="2106">
        <v>998.02291300000002</v>
      </c>
      <c r="AS161" s="2106">
        <f t="shared" si="376"/>
        <v>1.0948756784705203</v>
      </c>
      <c r="AT161" s="2106">
        <v>109.27110140000001</v>
      </c>
      <c r="AU161" s="2106">
        <f t="shared" si="377"/>
        <v>2.326000000362717</v>
      </c>
      <c r="AV161" s="2106">
        <v>232.14012959999999</v>
      </c>
      <c r="AW161" s="2106">
        <f t="shared" si="378"/>
        <v>1.9914991671138114E-2</v>
      </c>
      <c r="AX161" s="2106">
        <v>1.9875617999999999</v>
      </c>
      <c r="AY161" s="2106"/>
      <c r="AZ161" s="2106">
        <f t="shared" si="379"/>
        <v>3.4407906705043749</v>
      </c>
      <c r="BA161" s="2106">
        <f t="shared" si="380"/>
        <v>343.39879279999997</v>
      </c>
      <c r="BB161" s="2106">
        <v>761.29035499999998</v>
      </c>
      <c r="BC161" s="2106">
        <f t="shared" si="381"/>
        <v>1.436629134753717</v>
      </c>
      <c r="BD161" s="2106">
        <v>109.36919039999999</v>
      </c>
      <c r="BE161" s="2106">
        <f t="shared" si="382"/>
        <v>2.3369999991658901</v>
      </c>
      <c r="BF161" s="2106">
        <v>177.91355590000001</v>
      </c>
      <c r="BG161" s="2106">
        <f t="shared" si="383"/>
        <v>0</v>
      </c>
      <c r="BH161" s="2106">
        <v>0</v>
      </c>
      <c r="BI161" s="2106"/>
      <c r="BJ161" s="2106">
        <f t="shared" si="384"/>
        <v>3.7736291339196066</v>
      </c>
      <c r="BK161" s="2106">
        <f t="shared" si="385"/>
        <v>287.28274629999999</v>
      </c>
      <c r="BL161" s="2106">
        <v>858.10031500000002</v>
      </c>
      <c r="BM161" s="2106">
        <f t="shared" si="386"/>
        <v>1.2345418705504145</v>
      </c>
      <c r="BN161" s="2106">
        <v>105.9360768</v>
      </c>
      <c r="BO161" s="2106">
        <f t="shared" si="387"/>
        <v>2.3480000004428385</v>
      </c>
      <c r="BP161" s="2106">
        <v>201.481954</v>
      </c>
      <c r="BQ161" s="2106">
        <f t="shared" si="388"/>
        <v>0</v>
      </c>
      <c r="BR161" s="2106">
        <v>0</v>
      </c>
      <c r="BS161" s="2106"/>
      <c r="BT161" s="2106">
        <f t="shared" si="389"/>
        <v>3.5825418709932535</v>
      </c>
      <c r="BU161" s="2106">
        <f t="shared" si="390"/>
        <v>307.4180308</v>
      </c>
      <c r="BV161" s="2106">
        <v>771.48553000000004</v>
      </c>
      <c r="BW161" s="2106">
        <f t="shared" si="391"/>
        <v>1.4189155226281431</v>
      </c>
      <c r="BX161" s="2106">
        <v>109.4672794</v>
      </c>
      <c r="BY161" s="2106">
        <f t="shared" si="392"/>
        <v>2.3021857986111547</v>
      </c>
      <c r="BZ161" s="2106">
        <v>177.61030310000001</v>
      </c>
      <c r="CA161" s="2106">
        <f t="shared" si="393"/>
        <v>3.4742133141499106E-2</v>
      </c>
      <c r="CB161" s="2106">
        <v>2.6803053000000001</v>
      </c>
      <c r="CC161" s="2106"/>
      <c r="CD161" s="2106">
        <f t="shared" si="394"/>
        <v>3.7558434543807966</v>
      </c>
      <c r="CE161" s="2106">
        <f t="shared" si="395"/>
        <v>289.75788779999999</v>
      </c>
      <c r="CF161" s="2106">
        <v>802.03617499999996</v>
      </c>
      <c r="CG161" s="2106">
        <f t="shared" si="396"/>
        <v>1.3220226830791018</v>
      </c>
      <c r="CH161" s="2106">
        <v>106.0310016</v>
      </c>
      <c r="CI161" s="2106">
        <f t="shared" si="397"/>
        <v>2.240182011740306</v>
      </c>
      <c r="CJ161" s="2106">
        <v>179.6707012</v>
      </c>
      <c r="CK161" s="2106">
        <f t="shared" si="398"/>
        <v>2.1172349239733483E-2</v>
      </c>
      <c r="CL161" s="2106">
        <v>1.698099</v>
      </c>
      <c r="CM161" s="2106"/>
      <c r="CN161" s="2106">
        <f t="shared" si="399"/>
        <v>3.5833770440591417</v>
      </c>
      <c r="CO161" s="2106">
        <f t="shared" si="400"/>
        <v>287.39980180000003</v>
      </c>
      <c r="CP161" s="2106">
        <v>1012.092042</v>
      </c>
      <c r="CQ161" s="2106">
        <f t="shared" si="301"/>
        <v>1.083532453069125</v>
      </c>
      <c r="CR161" s="2106">
        <v>109.6634573</v>
      </c>
      <c r="CS161" s="2106">
        <f t="shared" si="343"/>
        <v>2.2640000009011039</v>
      </c>
      <c r="CT161" s="2106">
        <v>229.13763839999999</v>
      </c>
      <c r="CU161" s="2106">
        <f t="shared" si="344"/>
        <v>3.6368123127678939E-2</v>
      </c>
      <c r="CV161" s="2106">
        <v>3.6807888000000002</v>
      </c>
      <c r="CW161" s="2106"/>
      <c r="CX161" s="2106">
        <f t="shared" si="401"/>
        <v>3.3839005770979078</v>
      </c>
      <c r="CY161" s="2106">
        <f t="shared" si="402"/>
        <v>342.48188450000004</v>
      </c>
      <c r="CZ161" s="2106">
        <v>648.80331760000001</v>
      </c>
      <c r="DA161" s="2106">
        <f t="shared" si="356"/>
        <v>1.8336385348848592</v>
      </c>
      <c r="DB161" s="2106">
        <v>118.96707647125</v>
      </c>
      <c r="DC161" s="2106">
        <v>2.4683227698843786</v>
      </c>
      <c r="DD161" s="2109">
        <f t="shared" si="302"/>
        <v>160.14560020086063</v>
      </c>
      <c r="DE161" s="2152"/>
      <c r="DF161" s="2152"/>
      <c r="DG161" s="2152"/>
      <c r="DH161" s="2152">
        <f t="shared" si="403"/>
        <v>4.3019613047692378</v>
      </c>
      <c r="DI161" s="2152">
        <f t="shared" si="404"/>
        <v>279.11267667211064</v>
      </c>
      <c r="DJ161" s="2106">
        <v>613.4603046000002</v>
      </c>
      <c r="DK161" s="2106">
        <f t="shared" si="357"/>
        <v>1.9392791282366857</v>
      </c>
      <c r="DL161" s="2106">
        <v>118.96707647125</v>
      </c>
      <c r="DM161" s="2106">
        <v>2.4683227698843786</v>
      </c>
      <c r="DN161" s="2109">
        <f t="shared" si="303"/>
        <v>151.42180382643872</v>
      </c>
      <c r="DO161" s="2152"/>
      <c r="DP161" s="2152"/>
      <c r="DQ161" s="2152"/>
      <c r="DR161" s="2152">
        <f t="shared" si="405"/>
        <v>4.4076018981210643</v>
      </c>
      <c r="DS161" s="2152">
        <f t="shared" si="406"/>
        <v>270.38888029768873</v>
      </c>
      <c r="DT161" s="2106">
        <v>576.69443389999992</v>
      </c>
      <c r="DU161" s="2106">
        <f t="shared" si="358"/>
        <v>2.0629135548736568</v>
      </c>
      <c r="DV161" s="2106">
        <v>118.96707647125</v>
      </c>
      <c r="DW161" s="2106">
        <v>2.4683227698843786</v>
      </c>
      <c r="DX161" s="2109">
        <f t="shared" si="304"/>
        <v>142.34680024609514</v>
      </c>
      <c r="DY161" s="2152"/>
      <c r="DZ161" s="2152"/>
      <c r="EA161" s="2152"/>
      <c r="EB161" s="2152">
        <f t="shared" si="407"/>
        <v>4.5312363247580354</v>
      </c>
      <c r="EC161" s="2152">
        <f t="shared" si="408"/>
        <v>261.31387671734512</v>
      </c>
      <c r="ED161" s="2152">
        <f t="shared" si="409"/>
        <v>9690.8091991000001</v>
      </c>
      <c r="EE161" s="2162"/>
      <c r="EF161" s="2152">
        <f t="shared" si="410"/>
        <v>1.3692581419691798</v>
      </c>
      <c r="EG161" s="2152">
        <f t="shared" si="411"/>
        <v>1326.9219398137502</v>
      </c>
      <c r="EH161" s="2152">
        <f t="shared" si="412"/>
        <v>2.3208328425063507</v>
      </c>
      <c r="EI161" s="2152">
        <f t="shared" si="413"/>
        <v>2249.0748259733946</v>
      </c>
      <c r="EJ161" s="2152"/>
      <c r="EK161" s="2152">
        <f t="shared" si="414"/>
        <v>13.1887208</v>
      </c>
      <c r="EL161" s="2152"/>
      <c r="EM161" s="2152"/>
      <c r="EN161" s="2152">
        <f t="shared" si="415"/>
        <v>3589.1854865871446</v>
      </c>
      <c r="EO161" s="2157">
        <f t="shared" si="416"/>
        <v>3.7037004989433471</v>
      </c>
      <c r="EP161" s="2163"/>
      <c r="ES161" s="2084">
        <f t="shared" si="355"/>
        <v>0</v>
      </c>
      <c r="EU161" s="2084">
        <f t="shared" si="359"/>
        <v>1795.1606217000001</v>
      </c>
      <c r="EV161" s="2084">
        <f t="shared" si="360"/>
        <v>7851.8511429999999</v>
      </c>
      <c r="EW161" s="2084">
        <f t="shared" si="361"/>
        <v>2.2862896774353687</v>
      </c>
    </row>
    <row r="162" spans="1:153">
      <c r="A162" s="1760">
        <v>13</v>
      </c>
      <c r="B162" s="1592" t="s">
        <v>1775</v>
      </c>
      <c r="C162" s="2156">
        <v>1440</v>
      </c>
      <c r="D162" s="2147">
        <v>0.24305555555555555</v>
      </c>
      <c r="E162" s="2157"/>
      <c r="F162" s="2147">
        <v>0.51753592773474966</v>
      </c>
      <c r="G162" s="2157">
        <v>350</v>
      </c>
      <c r="H162" s="2158" t="s">
        <v>1649</v>
      </c>
      <c r="I162" s="2159">
        <v>1</v>
      </c>
      <c r="J162" s="2157"/>
      <c r="K162" s="2160"/>
      <c r="L162" s="2160"/>
      <c r="M162" s="2161"/>
      <c r="N162" s="2106">
        <v>196.860625</v>
      </c>
      <c r="O162" s="2106">
        <f t="shared" si="362"/>
        <v>2.5070438539956887</v>
      </c>
      <c r="P162" s="2106">
        <v>49.353822000000001</v>
      </c>
      <c r="Q162" s="2106">
        <f t="shared" si="363"/>
        <v>2.2472651399943486</v>
      </c>
      <c r="R162" s="2106">
        <v>44.239801999999997</v>
      </c>
      <c r="S162" s="2106">
        <f t="shared" si="307"/>
        <v>0</v>
      </c>
      <c r="T162" s="2106">
        <v>0</v>
      </c>
      <c r="U162" s="2152"/>
      <c r="V162" s="2152">
        <f t="shared" si="364"/>
        <v>4.7543089939900378</v>
      </c>
      <c r="W162" s="2152">
        <f t="shared" si="365"/>
        <v>93.593624000000005</v>
      </c>
      <c r="X162" s="2106">
        <v>220.576875</v>
      </c>
      <c r="Y162" s="2106">
        <f t="shared" si="366"/>
        <v>2.3143794017391897</v>
      </c>
      <c r="Z162" s="2106">
        <v>51.049857600000003</v>
      </c>
      <c r="AA162" s="2106">
        <f t="shared" si="367"/>
        <v>1.8735999999999999</v>
      </c>
      <c r="AB162" s="2106">
        <v>41.327283299999998</v>
      </c>
      <c r="AC162" s="2106">
        <f t="shared" si="368"/>
        <v>0</v>
      </c>
      <c r="AD162" s="2106">
        <v>0</v>
      </c>
      <c r="AE162" s="2106"/>
      <c r="AF162" s="2106">
        <f t="shared" si="369"/>
        <v>4.1879794017391898</v>
      </c>
      <c r="AG162" s="2106">
        <f t="shared" si="370"/>
        <v>92.377140900000001</v>
      </c>
      <c r="AH162" s="2106">
        <v>217.38437500000001</v>
      </c>
      <c r="AI162" s="2106">
        <f t="shared" si="371"/>
        <v>2.274880795825367</v>
      </c>
      <c r="AJ162" s="2106">
        <v>49.452354</v>
      </c>
      <c r="AK162" s="2106">
        <f t="shared" si="372"/>
        <v>1.8747000008625276</v>
      </c>
      <c r="AL162" s="2106">
        <v>40.753048800000002</v>
      </c>
      <c r="AM162" s="2106">
        <f t="shared" si="373"/>
        <v>3.7446780616132137E-2</v>
      </c>
      <c r="AN162" s="2106">
        <v>0.81403449999999999</v>
      </c>
      <c r="AO162" s="2106">
        <v>23.7348994</v>
      </c>
      <c r="AP162" s="2106">
        <f t="shared" si="374"/>
        <v>5.2788677521095986</v>
      </c>
      <c r="AQ162" s="2106">
        <f t="shared" si="375"/>
        <v>114.75433670000001</v>
      </c>
      <c r="AR162" s="2106">
        <v>232.269375</v>
      </c>
      <c r="AS162" s="2106">
        <f t="shared" si="376"/>
        <v>2.202256496363328</v>
      </c>
      <c r="AT162" s="2106">
        <v>51.151674</v>
      </c>
      <c r="AU162" s="2106">
        <f t="shared" si="377"/>
        <v>1.8758000016145049</v>
      </c>
      <c r="AV162" s="2106">
        <v>43.569089400000003</v>
      </c>
      <c r="AW162" s="2106">
        <f t="shared" si="378"/>
        <v>-3.7448845763674177E-3</v>
      </c>
      <c r="AX162" s="2106">
        <v>-8.6982199999999996E-2</v>
      </c>
      <c r="AY162" s="2106"/>
      <c r="AZ162" s="2106">
        <f t="shared" si="379"/>
        <v>4.0743116134014663</v>
      </c>
      <c r="BA162" s="2106">
        <f t="shared" si="380"/>
        <v>94.633781200000016</v>
      </c>
      <c r="BB162" s="2106">
        <v>213.23437300000001</v>
      </c>
      <c r="BC162" s="2106">
        <f t="shared" si="381"/>
        <v>2.4012349172241572</v>
      </c>
      <c r="BD162" s="2106">
        <v>51.202582200000002</v>
      </c>
      <c r="BE162" s="2106">
        <f t="shared" si="382"/>
        <v>1.8769000155523705</v>
      </c>
      <c r="BF162" s="2106">
        <v>40.021959799999998</v>
      </c>
      <c r="BG162" s="2106">
        <f t="shared" si="383"/>
        <v>0</v>
      </c>
      <c r="BH162" s="2106">
        <v>0</v>
      </c>
      <c r="BI162" s="2106"/>
      <c r="BJ162" s="2106">
        <f t="shared" si="384"/>
        <v>4.2781349327765277</v>
      </c>
      <c r="BK162" s="2106">
        <f t="shared" si="385"/>
        <v>91.224542</v>
      </c>
      <c r="BL162" s="2106">
        <v>205.543125</v>
      </c>
      <c r="BM162" s="2106">
        <f t="shared" si="386"/>
        <v>2.4131262964888753</v>
      </c>
      <c r="BN162" s="2106">
        <v>49.600152000000001</v>
      </c>
      <c r="BO162" s="2106">
        <f t="shared" si="387"/>
        <v>1.8780000012162898</v>
      </c>
      <c r="BP162" s="2106">
        <v>38.6009989</v>
      </c>
      <c r="BQ162" s="2106">
        <f t="shared" si="388"/>
        <v>0</v>
      </c>
      <c r="BR162" s="2106">
        <v>0</v>
      </c>
      <c r="BS162" s="2106"/>
      <c r="BT162" s="2106">
        <f t="shared" si="389"/>
        <v>4.2911262977051647</v>
      </c>
      <c r="BU162" s="2106">
        <f t="shared" si="390"/>
        <v>88.201150900000002</v>
      </c>
      <c r="BV162" s="2106">
        <v>210.91062500000001</v>
      </c>
      <c r="BW162" s="2106">
        <f t="shared" si="391"/>
        <v>2.4325184470910366</v>
      </c>
      <c r="BX162" s="2106">
        <v>51.304398599999999</v>
      </c>
      <c r="BY162" s="2106">
        <f t="shared" si="392"/>
        <v>1.8733311230764216</v>
      </c>
      <c r="BZ162" s="2106">
        <v>39.510543800000001</v>
      </c>
      <c r="CA162" s="2106">
        <f t="shared" si="393"/>
        <v>-1.830233066731465E-2</v>
      </c>
      <c r="CB162" s="2106">
        <v>-0.38601560000000001</v>
      </c>
      <c r="CC162" s="2106"/>
      <c r="CD162" s="2106">
        <f t="shared" si="394"/>
        <v>4.2875472395001442</v>
      </c>
      <c r="CE162" s="2106">
        <f t="shared" si="395"/>
        <v>90.428926800000013</v>
      </c>
      <c r="CF162" s="2106">
        <v>195.74937499999999</v>
      </c>
      <c r="CG162" s="2106">
        <f t="shared" si="396"/>
        <v>2.539769028636746</v>
      </c>
      <c r="CH162" s="2106">
        <v>49.715820000000001</v>
      </c>
      <c r="CI162" s="2106">
        <f t="shared" si="397"/>
        <v>1.8978000006385716</v>
      </c>
      <c r="CJ162" s="2106">
        <v>37.149316399999996</v>
      </c>
      <c r="CK162" s="2106">
        <f t="shared" si="398"/>
        <v>2.2142001730529152E-2</v>
      </c>
      <c r="CL162" s="2106">
        <v>0.43342829999999999</v>
      </c>
      <c r="CM162" s="2106"/>
      <c r="CN162" s="2106">
        <f t="shared" si="399"/>
        <v>4.4597110310058463</v>
      </c>
      <c r="CO162" s="2106">
        <f t="shared" si="400"/>
        <v>87.2985647</v>
      </c>
      <c r="CP162" s="2106">
        <v>223.28625</v>
      </c>
      <c r="CQ162" s="2106">
        <f t="shared" si="301"/>
        <v>2.3038422383823454</v>
      </c>
      <c r="CR162" s="2106">
        <v>51.441629399999997</v>
      </c>
      <c r="CS162" s="2106">
        <f t="shared" si="343"/>
        <v>1.916400002239278</v>
      </c>
      <c r="CT162" s="2106">
        <v>42.790576999999999</v>
      </c>
      <c r="CU162" s="2106">
        <f t="shared" si="344"/>
        <v>0</v>
      </c>
      <c r="CV162" s="2106">
        <v>0</v>
      </c>
      <c r="CW162" s="2106"/>
      <c r="CX162" s="2106">
        <f t="shared" si="401"/>
        <v>4.2202422406216229</v>
      </c>
      <c r="CY162" s="2106">
        <f t="shared" si="402"/>
        <v>94.232206399999995</v>
      </c>
      <c r="CZ162" s="2106">
        <v>145.48673561151077</v>
      </c>
      <c r="DA162" s="2106">
        <f t="shared" si="356"/>
        <v>3.6329428602436939</v>
      </c>
      <c r="DB162" s="2106">
        <v>52.854499740000001</v>
      </c>
      <c r="DC162" s="2106">
        <v>1.9216580137484081</v>
      </c>
      <c r="DD162" s="2109">
        <f t="shared" si="302"/>
        <v>27.957575138195558</v>
      </c>
      <c r="DE162" s="2152"/>
      <c r="DF162" s="2152"/>
      <c r="DG162" s="2152"/>
      <c r="DH162" s="2152">
        <f t="shared" si="403"/>
        <v>5.5546008739921024</v>
      </c>
      <c r="DI162" s="2152">
        <f t="shared" si="404"/>
        <v>80.81207487819556</v>
      </c>
      <c r="DJ162" s="2106">
        <v>120.31300414214085</v>
      </c>
      <c r="DK162" s="2106">
        <f t="shared" si="357"/>
        <v>4.3930828688772783</v>
      </c>
      <c r="DL162" s="2106">
        <v>52.854499740000001</v>
      </c>
      <c r="DM162" s="2106">
        <v>1.9216580137484081</v>
      </c>
      <c r="DN162" s="2109">
        <f t="shared" si="303"/>
        <v>23.12004485678904</v>
      </c>
      <c r="DO162" s="2152"/>
      <c r="DP162" s="2152"/>
      <c r="DQ162" s="2152"/>
      <c r="DR162" s="2152">
        <f t="shared" si="405"/>
        <v>6.3147408826256868</v>
      </c>
      <c r="DS162" s="2152">
        <f t="shared" si="406"/>
        <v>75.974544596789045</v>
      </c>
      <c r="DT162" s="2106">
        <v>156.38388380204927</v>
      </c>
      <c r="DU162" s="2106">
        <f t="shared" si="358"/>
        <v>3.379791987191163</v>
      </c>
      <c r="DV162" s="2106">
        <v>52.854499740000001</v>
      </c>
      <c r="DW162" s="2106">
        <v>1.9216580137484081</v>
      </c>
      <c r="DX162" s="2109">
        <f t="shared" si="304"/>
        <v>30.051634352930783</v>
      </c>
      <c r="DY162" s="2152"/>
      <c r="DZ162" s="2152"/>
      <c r="EA162" s="2152"/>
      <c r="EB162" s="2152">
        <f t="shared" si="407"/>
        <v>5.3014500009395702</v>
      </c>
      <c r="EC162" s="2152">
        <f t="shared" si="408"/>
        <v>82.906134092930785</v>
      </c>
      <c r="ED162" s="2152">
        <f t="shared" si="409"/>
        <v>2337.998621555701</v>
      </c>
      <c r="EE162" s="2162"/>
      <c r="EF162" s="2152">
        <f t="shared" si="410"/>
        <v>2.62119824780829</v>
      </c>
      <c r="EG162" s="2152">
        <f t="shared" si="411"/>
        <v>612.83578902000011</v>
      </c>
      <c r="EH162" s="2152">
        <f t="shared" si="412"/>
        <v>1.9208389158462815</v>
      </c>
      <c r="EI162" s="2152">
        <f t="shared" si="413"/>
        <v>449.09187374791537</v>
      </c>
      <c r="EJ162" s="2152"/>
      <c r="EK162" s="2152">
        <f t="shared" si="414"/>
        <v>0.77446499999999996</v>
      </c>
      <c r="EL162" s="2152"/>
      <c r="EM162" s="2152"/>
      <c r="EN162" s="2152">
        <f t="shared" si="415"/>
        <v>1062.7021277679155</v>
      </c>
      <c r="EO162" s="2157">
        <f t="shared" si="416"/>
        <v>4.5453496763004715</v>
      </c>
      <c r="EP162" s="2163"/>
      <c r="ES162" s="2084">
        <f t="shared" si="355"/>
        <v>0</v>
      </c>
      <c r="EU162" s="2084">
        <f t="shared" si="359"/>
        <v>367.96261939999999</v>
      </c>
      <c r="EV162" s="2084">
        <f t="shared" si="360"/>
        <v>1915.8149979999998</v>
      </c>
      <c r="EW162" s="2084">
        <f t="shared" si="361"/>
        <v>1.920658413177325</v>
      </c>
    </row>
    <row r="163" spans="1:153">
      <c r="A163" s="1760">
        <v>14</v>
      </c>
      <c r="B163" s="1592" t="s">
        <v>1776</v>
      </c>
      <c r="C163" s="2156">
        <v>1200</v>
      </c>
      <c r="D163" s="2147">
        <v>1</v>
      </c>
      <c r="E163" s="2157"/>
      <c r="F163" s="2147">
        <v>0.64827303440650319</v>
      </c>
      <c r="G163" s="2157">
        <v>1320</v>
      </c>
      <c r="H163" s="2158" t="s">
        <v>1649</v>
      </c>
      <c r="I163" s="2159">
        <v>2</v>
      </c>
      <c r="J163" s="2157"/>
      <c r="K163" s="2160"/>
      <c r="L163" s="2160"/>
      <c r="M163" s="2161"/>
      <c r="N163" s="2106">
        <v>619.25923999999998</v>
      </c>
      <c r="O163" s="2106">
        <f t="shared" si="362"/>
        <v>1.708264107613477</v>
      </c>
      <c r="P163" s="2106">
        <v>105.78583329999999</v>
      </c>
      <c r="Q163" s="2106">
        <f t="shared" si="363"/>
        <v>2.8940409205682585</v>
      </c>
      <c r="R163" s="2106">
        <v>179.2161581</v>
      </c>
      <c r="S163" s="2106">
        <f t="shared" si="307"/>
        <v>0</v>
      </c>
      <c r="T163" s="2106">
        <v>0</v>
      </c>
      <c r="U163" s="2152"/>
      <c r="V163" s="2152">
        <f t="shared" si="364"/>
        <v>4.6023050281817355</v>
      </c>
      <c r="W163" s="2152">
        <f t="shared" si="365"/>
        <v>285.00199140000001</v>
      </c>
      <c r="X163" s="2106">
        <v>521.747433</v>
      </c>
      <c r="Y163" s="2106">
        <f t="shared" si="366"/>
        <v>2.0275295403322087</v>
      </c>
      <c r="Z163" s="2106">
        <v>105.78583329999999</v>
      </c>
      <c r="AA163" s="2106">
        <f t="shared" si="367"/>
        <v>3.0579999978648678</v>
      </c>
      <c r="AB163" s="2106">
        <v>159.55036490000001</v>
      </c>
      <c r="AC163" s="2106">
        <f t="shared" si="368"/>
        <v>0</v>
      </c>
      <c r="AD163" s="2106">
        <v>0</v>
      </c>
      <c r="AE163" s="2106"/>
      <c r="AF163" s="2106">
        <f t="shared" si="369"/>
        <v>5.0855295381970764</v>
      </c>
      <c r="AG163" s="2106">
        <f t="shared" si="370"/>
        <v>265.33619820000001</v>
      </c>
      <c r="AH163" s="2106">
        <v>553.56092000000001</v>
      </c>
      <c r="AI163" s="2106">
        <f t="shared" si="371"/>
        <v>1.9110061689325899</v>
      </c>
      <c r="AJ163" s="2106">
        <v>105.78583329999999</v>
      </c>
      <c r="AK163" s="2106">
        <f t="shared" si="372"/>
        <v>3.0880000000722596</v>
      </c>
      <c r="AL163" s="2106">
        <v>170.93961210000001</v>
      </c>
      <c r="AM163" s="2106">
        <f t="shared" si="373"/>
        <v>0</v>
      </c>
      <c r="AN163" s="2106">
        <v>0</v>
      </c>
      <c r="AO163" s="2106">
        <v>0</v>
      </c>
      <c r="AP163" s="2106">
        <f t="shared" si="374"/>
        <v>4.9990061690048497</v>
      </c>
      <c r="AQ163" s="2106">
        <f t="shared" si="375"/>
        <v>276.72544540000001</v>
      </c>
      <c r="AR163" s="2106">
        <v>454.02384499999999</v>
      </c>
      <c r="AS163" s="2106">
        <f t="shared" si="376"/>
        <v>2.3299620595918262</v>
      </c>
      <c r="AT163" s="2106">
        <v>105.78583329999999</v>
      </c>
      <c r="AU163" s="2106">
        <f t="shared" si="377"/>
        <v>3.0623129804999554</v>
      </c>
      <c r="AV163" s="2106">
        <v>139.03631139999999</v>
      </c>
      <c r="AW163" s="2106">
        <f t="shared" si="378"/>
        <v>0</v>
      </c>
      <c r="AX163" s="2106">
        <v>0</v>
      </c>
      <c r="AY163" s="2106"/>
      <c r="AZ163" s="2106">
        <f t="shared" si="379"/>
        <v>5.392275040091782</v>
      </c>
      <c r="BA163" s="2106">
        <f t="shared" si="380"/>
        <v>244.82214469999997</v>
      </c>
      <c r="BB163" s="2106">
        <v>547.14624200000003</v>
      </c>
      <c r="BC163" s="2106">
        <f t="shared" si="381"/>
        <v>1.9334105816631011</v>
      </c>
      <c r="BD163" s="2106">
        <v>105.7858334</v>
      </c>
      <c r="BE163" s="2106">
        <f t="shared" si="382"/>
        <v>3.0945662183676292</v>
      </c>
      <c r="BF163" s="2106">
        <v>169.31802769999999</v>
      </c>
      <c r="BG163" s="2106">
        <f t="shared" si="383"/>
        <v>0.19737763637970851</v>
      </c>
      <c r="BH163" s="2106">
        <v>10.799443200000001</v>
      </c>
      <c r="BI163" s="2106"/>
      <c r="BJ163" s="2106">
        <f t="shared" si="384"/>
        <v>5.2253544364104396</v>
      </c>
      <c r="BK163" s="2106">
        <f t="shared" si="385"/>
        <v>285.9033043</v>
      </c>
      <c r="BL163" s="2106">
        <v>506.53465699999998</v>
      </c>
      <c r="BM163" s="2106">
        <f t="shared" si="386"/>
        <v>2.0884224176589754</v>
      </c>
      <c r="BN163" s="2106">
        <v>105.78583329999999</v>
      </c>
      <c r="BO163" s="2106">
        <f t="shared" si="387"/>
        <v>2.9759487414500843</v>
      </c>
      <c r="BP163" s="2106">
        <v>150.74211750000001</v>
      </c>
      <c r="BQ163" s="2106">
        <f t="shared" si="388"/>
        <v>0</v>
      </c>
      <c r="BR163" s="2106">
        <v>0</v>
      </c>
      <c r="BS163" s="2106"/>
      <c r="BT163" s="2106">
        <f t="shared" si="389"/>
        <v>5.0643711591090597</v>
      </c>
      <c r="BU163" s="2106">
        <f t="shared" si="390"/>
        <v>256.52795079999999</v>
      </c>
      <c r="BV163" s="2106">
        <v>402.30169000000001</v>
      </c>
      <c r="BW163" s="2106">
        <f t="shared" si="391"/>
        <v>2.6295150114830488</v>
      </c>
      <c r="BX163" s="2106">
        <v>105.78583329999999</v>
      </c>
      <c r="BY163" s="2106">
        <f t="shared" si="392"/>
        <v>2.9844209975851705</v>
      </c>
      <c r="BZ163" s="2106">
        <v>120.06376109999999</v>
      </c>
      <c r="CA163" s="2106">
        <f t="shared" si="393"/>
        <v>3.182731347710719E-2</v>
      </c>
      <c r="CB163" s="2106">
        <v>1.2804182</v>
      </c>
      <c r="CC163" s="2106">
        <v>-35.340831199999997</v>
      </c>
      <c r="CD163" s="2106">
        <f t="shared" si="394"/>
        <v>4.7672974329290048</v>
      </c>
      <c r="CE163" s="2106">
        <f t="shared" si="395"/>
        <v>191.78918140000002</v>
      </c>
      <c r="CF163" s="2106">
        <v>238.84014999999999</v>
      </c>
      <c r="CG163" s="2106">
        <f t="shared" si="396"/>
        <v>4.4291478338126984</v>
      </c>
      <c r="CH163" s="2106">
        <v>105.78583329999999</v>
      </c>
      <c r="CI163" s="2106">
        <f t="shared" si="397"/>
        <v>2.6129255194321392</v>
      </c>
      <c r="CJ163" s="2106">
        <v>62.4071523</v>
      </c>
      <c r="CK163" s="2106">
        <f t="shared" si="398"/>
        <v>-1.9791479782607739</v>
      </c>
      <c r="CL163" s="2106">
        <v>-47.27</v>
      </c>
      <c r="CM163" s="2106"/>
      <c r="CN163" s="2106">
        <f t="shared" si="399"/>
        <v>5.0629253749840633</v>
      </c>
      <c r="CO163" s="2106">
        <f t="shared" si="400"/>
        <v>120.92298559999998</v>
      </c>
      <c r="CP163" s="2106">
        <v>308.73253499999998</v>
      </c>
      <c r="CQ163" s="2106">
        <f t="shared" si="301"/>
        <v>3.4264556309233818</v>
      </c>
      <c r="CR163" s="2106">
        <v>105.78583329999999</v>
      </c>
      <c r="CS163" s="2106">
        <f t="shared" si="343"/>
        <v>3.0053778426688984</v>
      </c>
      <c r="CT163" s="2106">
        <v>92.785792000000001</v>
      </c>
      <c r="CU163" s="2106">
        <f t="shared" si="344"/>
        <v>0</v>
      </c>
      <c r="CV163" s="2106">
        <v>0</v>
      </c>
      <c r="CW163" s="2106"/>
      <c r="CX163" s="2106">
        <f t="shared" si="401"/>
        <v>6.4318334735922802</v>
      </c>
      <c r="CY163" s="2106">
        <f t="shared" si="402"/>
        <v>198.57162529999999</v>
      </c>
      <c r="CZ163" s="2106">
        <v>0</v>
      </c>
      <c r="DA163" s="2106">
        <f t="shared" si="356"/>
        <v>0</v>
      </c>
      <c r="DB163" s="2106">
        <v>101.81886455125</v>
      </c>
      <c r="DC163" s="2106">
        <v>2.6206826883300147</v>
      </c>
      <c r="DD163" s="2109">
        <f t="shared" si="302"/>
        <v>0</v>
      </c>
      <c r="DE163" s="2152"/>
      <c r="DF163" s="2152"/>
      <c r="DG163" s="2152"/>
      <c r="DH163" s="2152">
        <f t="shared" si="403"/>
        <v>0</v>
      </c>
      <c r="DI163" s="2152">
        <f t="shared" si="404"/>
        <v>101.81886455125</v>
      </c>
      <c r="DJ163" s="2106">
        <v>0</v>
      </c>
      <c r="DK163" s="2106">
        <f t="shared" si="357"/>
        <v>0</v>
      </c>
      <c r="DL163" s="2106">
        <v>101.81886455125</v>
      </c>
      <c r="DM163" s="2106">
        <v>2.6206826883300147</v>
      </c>
      <c r="DN163" s="2109">
        <f t="shared" si="303"/>
        <v>0</v>
      </c>
      <c r="DO163" s="2152"/>
      <c r="DP163" s="2152"/>
      <c r="DQ163" s="2152"/>
      <c r="DR163" s="2152">
        <f t="shared" si="405"/>
        <v>0</v>
      </c>
      <c r="DS163" s="2152">
        <f t="shared" si="406"/>
        <v>101.81886455125</v>
      </c>
      <c r="DT163" s="2106">
        <v>381.90635999999995</v>
      </c>
      <c r="DU163" s="2106">
        <f t="shared" si="358"/>
        <v>2.6660688382159963</v>
      </c>
      <c r="DV163" s="2106">
        <v>101.81886455125</v>
      </c>
      <c r="DW163" s="2106">
        <v>2.6206826883300147</v>
      </c>
      <c r="DX163" s="2109">
        <f t="shared" si="304"/>
        <v>100.08553862151302</v>
      </c>
      <c r="DY163" s="2152"/>
      <c r="DZ163" s="2152"/>
      <c r="EA163" s="2152"/>
      <c r="EB163" s="2152">
        <f t="shared" si="407"/>
        <v>5.286751526546011</v>
      </c>
      <c r="EC163" s="2152">
        <f t="shared" si="408"/>
        <v>201.90440317276301</v>
      </c>
      <c r="ED163" s="2152">
        <f t="shared" si="409"/>
        <v>4534.0530720000006</v>
      </c>
      <c r="EE163" s="2162"/>
      <c r="EF163" s="2152">
        <f t="shared" si="410"/>
        <v>2.7735208950676133</v>
      </c>
      <c r="EG163" s="2152">
        <f t="shared" si="411"/>
        <v>1257.5290934537502</v>
      </c>
      <c r="EH163" s="2152">
        <f t="shared" si="412"/>
        <v>2.9645547027719328</v>
      </c>
      <c r="EI163" s="2152">
        <f t="shared" si="413"/>
        <v>1344.1448357215129</v>
      </c>
      <c r="EJ163" s="2152"/>
      <c r="EK163" s="2152">
        <f t="shared" si="414"/>
        <v>-35.190138600000004</v>
      </c>
      <c r="EL163" s="2152"/>
      <c r="EM163" s="2152"/>
      <c r="EN163" s="2152">
        <f t="shared" si="415"/>
        <v>2566.4837905752629</v>
      </c>
      <c r="EO163" s="2157">
        <f t="shared" si="416"/>
        <v>5.6604626143980488</v>
      </c>
      <c r="EP163" s="2163"/>
      <c r="ES163" s="2084">
        <f t="shared" si="355"/>
        <v>0</v>
      </c>
      <c r="EU163" s="2084">
        <f t="shared" si="359"/>
        <v>1244.0592970999999</v>
      </c>
      <c r="EV163" s="2084">
        <f t="shared" si="360"/>
        <v>4152.1467120000007</v>
      </c>
      <c r="EW163" s="2084">
        <f t="shared" si="361"/>
        <v>2.9961833802851414</v>
      </c>
    </row>
    <row r="164" spans="1:153">
      <c r="A164" s="1760">
        <v>15</v>
      </c>
      <c r="B164" s="1592" t="s">
        <v>1777</v>
      </c>
      <c r="C164" s="2156">
        <v>3960</v>
      </c>
      <c r="D164" s="2147">
        <v>0.125</v>
      </c>
      <c r="E164" s="2157"/>
      <c r="F164" s="2147">
        <v>0.88993040540613644</v>
      </c>
      <c r="G164" s="2157">
        <v>495</v>
      </c>
      <c r="H164" s="2158" t="s">
        <v>1649</v>
      </c>
      <c r="I164" s="2159">
        <v>1</v>
      </c>
      <c r="J164" s="2157"/>
      <c r="K164" s="2160"/>
      <c r="L164" s="2160"/>
      <c r="M164" s="2161"/>
      <c r="N164" s="2106">
        <v>314.959813</v>
      </c>
      <c r="O164" s="2106">
        <f t="shared" si="362"/>
        <v>0.14326844612395043</v>
      </c>
      <c r="P164" s="2106">
        <v>4.5123803000000002</v>
      </c>
      <c r="Q164" s="2106">
        <f t="shared" si="363"/>
        <v>1.14985279090193</v>
      </c>
      <c r="R164" s="2106">
        <v>36.215741999999999</v>
      </c>
      <c r="S164" s="2106">
        <f t="shared" si="307"/>
        <v>8.2129706496872984E-2</v>
      </c>
      <c r="T164" s="2106">
        <v>2.5867556999999999</v>
      </c>
      <c r="U164" s="2152"/>
      <c r="V164" s="2152">
        <f t="shared" si="364"/>
        <v>1.3752509435227533</v>
      </c>
      <c r="W164" s="2152">
        <f t="shared" si="365"/>
        <v>43.314877999999993</v>
      </c>
      <c r="X164" s="2106">
        <v>330.05180100000001</v>
      </c>
      <c r="Y164" s="2106">
        <f t="shared" si="366"/>
        <v>0.14128014711242251</v>
      </c>
      <c r="Z164" s="2106">
        <v>4.6629766999999998</v>
      </c>
      <c r="AA164" s="2106">
        <f t="shared" si="367"/>
        <v>1.1498542709057964</v>
      </c>
      <c r="AB164" s="2106">
        <v>37.951147300000002</v>
      </c>
      <c r="AC164" s="2106">
        <f t="shared" si="368"/>
        <v>3.2064360709245152E-4</v>
      </c>
      <c r="AD164" s="2106">
        <v>1.0582899999999999E-2</v>
      </c>
      <c r="AE164" s="2106"/>
      <c r="AF164" s="2106">
        <f t="shared" si="369"/>
        <v>1.2914550616253115</v>
      </c>
      <c r="AG164" s="2106">
        <f t="shared" si="370"/>
        <v>42.624706900000007</v>
      </c>
      <c r="AH164" s="2106">
        <v>302.92227200000002</v>
      </c>
      <c r="AI164" s="2106">
        <f t="shared" si="371"/>
        <v>0.14897338747016925</v>
      </c>
      <c r="AJ164" s="2106">
        <v>4.5127357000000003</v>
      </c>
      <c r="AK164" s="2106">
        <f t="shared" si="372"/>
        <v>1.1498557524353969</v>
      </c>
      <c r="AL164" s="2106">
        <v>34.8316917</v>
      </c>
      <c r="AM164" s="2106">
        <f t="shared" si="373"/>
        <v>0.17679191974368924</v>
      </c>
      <c r="AN164" s="2106">
        <v>5.3554209999999998</v>
      </c>
      <c r="AO164" s="2106">
        <v>0</v>
      </c>
      <c r="AP164" s="2106">
        <f t="shared" si="374"/>
        <v>1.4756210596492556</v>
      </c>
      <c r="AQ164" s="2106">
        <f t="shared" si="375"/>
        <v>44.6998484</v>
      </c>
      <c r="AR164" s="2106">
        <v>284.147898</v>
      </c>
      <c r="AS164" s="2106">
        <f t="shared" si="376"/>
        <v>0.16411678329571877</v>
      </c>
      <c r="AT164" s="2106">
        <v>4.6633439000000001</v>
      </c>
      <c r="AU164" s="2106">
        <f t="shared" si="377"/>
        <v>1.149857244412908</v>
      </c>
      <c r="AV164" s="2106">
        <v>32.672951900000001</v>
      </c>
      <c r="AW164" s="2106">
        <f t="shared" si="378"/>
        <v>1.5514170722459471E-2</v>
      </c>
      <c r="AX164" s="2106">
        <v>0.4408319</v>
      </c>
      <c r="AY164" s="2106"/>
      <c r="AZ164" s="2106">
        <f t="shared" si="379"/>
        <v>1.329488198431086</v>
      </c>
      <c r="BA164" s="2106">
        <f t="shared" si="380"/>
        <v>37.777127700000001</v>
      </c>
      <c r="BB164" s="2106">
        <v>273.32531299999999</v>
      </c>
      <c r="BC164" s="2106">
        <f t="shared" si="381"/>
        <v>0.17062186260077566</v>
      </c>
      <c r="BD164" s="2106">
        <v>4.6635274000000004</v>
      </c>
      <c r="BE164" s="2106">
        <f t="shared" si="382"/>
        <v>1.1498587179885531</v>
      </c>
      <c r="BF164" s="2106">
        <v>31.428549400000001</v>
      </c>
      <c r="BG164" s="2106">
        <f t="shared" si="383"/>
        <v>0.18318570076969051</v>
      </c>
      <c r="BH164" s="2106">
        <v>5.0069289000000001</v>
      </c>
      <c r="BI164" s="2106"/>
      <c r="BJ164" s="2106">
        <f t="shared" si="384"/>
        <v>1.5036662813590194</v>
      </c>
      <c r="BK164" s="2106">
        <f t="shared" si="385"/>
        <v>41.099005699999999</v>
      </c>
      <c r="BL164" s="2106">
        <v>265.89009600000003</v>
      </c>
      <c r="BM164" s="2106">
        <f t="shared" si="386"/>
        <v>0.16974188463191195</v>
      </c>
      <c r="BN164" s="2106">
        <v>4.5132686</v>
      </c>
      <c r="BO164" s="2106">
        <f t="shared" si="387"/>
        <v>1.1498602001332159</v>
      </c>
      <c r="BP164" s="2106">
        <v>30.5736439</v>
      </c>
      <c r="BQ164" s="2106">
        <f t="shared" si="388"/>
        <v>3.694646828816068E-4</v>
      </c>
      <c r="BR164" s="2106">
        <v>9.8236999999999994E-3</v>
      </c>
      <c r="BS164" s="2106"/>
      <c r="BT164" s="2106">
        <f t="shared" si="389"/>
        <v>1.3199715494480091</v>
      </c>
      <c r="BU164" s="2106">
        <f t="shared" si="390"/>
        <v>35.096736199999995</v>
      </c>
      <c r="BV164" s="2106">
        <v>281.99550199999999</v>
      </c>
      <c r="BW164" s="2106">
        <f t="shared" si="391"/>
        <v>0.16538896425376318</v>
      </c>
      <c r="BX164" s="2106">
        <v>4.6638944000000002</v>
      </c>
      <c r="BY164" s="2106">
        <f t="shared" si="392"/>
        <v>1.1587801708979031</v>
      </c>
      <c r="BZ164" s="2106">
        <v>32.677079599999999</v>
      </c>
      <c r="CA164" s="2106">
        <f t="shared" si="393"/>
        <v>4.9484122622636727E-4</v>
      </c>
      <c r="CB164" s="2106">
        <v>1.3954299999999999E-2</v>
      </c>
      <c r="CC164" s="2106"/>
      <c r="CD164" s="2106">
        <f t="shared" si="394"/>
        <v>1.3246639763778931</v>
      </c>
      <c r="CE164" s="2106">
        <f t="shared" si="395"/>
        <v>37.354928300000005</v>
      </c>
      <c r="CF164" s="2106">
        <v>326.24491999999998</v>
      </c>
      <c r="CG164" s="2106">
        <f t="shared" si="396"/>
        <v>0.13835266155255382</v>
      </c>
      <c r="CH164" s="2106">
        <v>4.5136852999999997</v>
      </c>
      <c r="CI164" s="2106">
        <f t="shared" si="397"/>
        <v>1.1498870265933949</v>
      </c>
      <c r="CJ164" s="2106">
        <v>37.5144801</v>
      </c>
      <c r="CK164" s="2106">
        <f t="shared" si="398"/>
        <v>0.10773911820603982</v>
      </c>
      <c r="CL164" s="2106">
        <v>3.5149339999999998</v>
      </c>
      <c r="CM164" s="2106"/>
      <c r="CN164" s="2106">
        <f t="shared" si="399"/>
        <v>1.3959788063519885</v>
      </c>
      <c r="CO164" s="2106">
        <f t="shared" si="400"/>
        <v>45.543099399999996</v>
      </c>
      <c r="CP164" s="2106">
        <v>335.14830000000001</v>
      </c>
      <c r="CQ164" s="2106">
        <f t="shared" si="301"/>
        <v>0.13917386422667219</v>
      </c>
      <c r="CR164" s="2106">
        <v>4.6643884</v>
      </c>
      <c r="CS164" s="2106">
        <f t="shared" si="343"/>
        <v>1.1499123790871086</v>
      </c>
      <c r="CT164" s="2106">
        <v>38.539117900000001</v>
      </c>
      <c r="CU164" s="2106">
        <f t="shared" si="344"/>
        <v>0</v>
      </c>
      <c r="CV164" s="2106">
        <v>0</v>
      </c>
      <c r="CW164" s="2106"/>
      <c r="CX164" s="2106">
        <f t="shared" si="401"/>
        <v>1.2890862433137809</v>
      </c>
      <c r="CY164" s="2106">
        <f t="shared" si="402"/>
        <v>43.203506300000001</v>
      </c>
      <c r="CZ164" s="2106">
        <v>323.43670540000005</v>
      </c>
      <c r="DA164" s="2106">
        <f t="shared" si="356"/>
        <v>0.13670294708919573</v>
      </c>
      <c r="DB164" s="2106">
        <v>4.4214750824999998</v>
      </c>
      <c r="DC164" s="2106">
        <v>1.0914102933828869</v>
      </c>
      <c r="DD164" s="2109">
        <f t="shared" si="302"/>
        <v>35.300214953140838</v>
      </c>
      <c r="DE164" s="2152"/>
      <c r="DF164" s="2152"/>
      <c r="DG164" s="2152"/>
      <c r="DH164" s="2152">
        <f t="shared" si="403"/>
        <v>1.2281132404720827</v>
      </c>
      <c r="DI164" s="2152">
        <f t="shared" si="404"/>
        <v>39.72169003564084</v>
      </c>
      <c r="DJ164" s="2106">
        <v>303.28826159999988</v>
      </c>
      <c r="DK164" s="2106">
        <f t="shared" si="357"/>
        <v>0.1457845766655943</v>
      </c>
      <c r="DL164" s="2106">
        <v>4.4214750824999998</v>
      </c>
      <c r="DM164" s="2106">
        <v>1.0914102933828869</v>
      </c>
      <c r="DN164" s="2109">
        <f t="shared" si="303"/>
        <v>33.10119305724416</v>
      </c>
      <c r="DO164" s="2152"/>
      <c r="DP164" s="2152"/>
      <c r="DQ164" s="2152"/>
      <c r="DR164" s="2152">
        <f t="shared" si="405"/>
        <v>1.2371948700484812</v>
      </c>
      <c r="DS164" s="2152">
        <f t="shared" si="406"/>
        <v>37.522668139744162</v>
      </c>
      <c r="DT164" s="2106">
        <v>325.33172580000007</v>
      </c>
      <c r="DU164" s="2106">
        <f t="shared" si="358"/>
        <v>0.13590666792878761</v>
      </c>
      <c r="DV164" s="2106">
        <v>4.4214750824999998</v>
      </c>
      <c r="DW164" s="2106">
        <v>1.0914102933828869</v>
      </c>
      <c r="DX164" s="2109">
        <f t="shared" si="304"/>
        <v>35.507039430213901</v>
      </c>
      <c r="DY164" s="2152"/>
      <c r="DZ164" s="2152"/>
      <c r="EA164" s="2152"/>
      <c r="EB164" s="2152">
        <f t="shared" si="407"/>
        <v>1.2273169613116748</v>
      </c>
      <c r="EC164" s="2152">
        <f t="shared" si="408"/>
        <v>39.928514512713903</v>
      </c>
      <c r="ED164" s="2152">
        <f t="shared" si="409"/>
        <v>3666.7426077999999</v>
      </c>
      <c r="EE164" s="2162"/>
      <c r="EF164" s="2152">
        <f t="shared" si="410"/>
        <v>0.14900043933075549</v>
      </c>
      <c r="EG164" s="2152">
        <f t="shared" si="411"/>
        <v>54.634625947500005</v>
      </c>
      <c r="EH164" s="2152">
        <f t="shared" si="412"/>
        <v>1.1353751701987651</v>
      </c>
      <c r="EI164" s="2152">
        <f t="shared" si="413"/>
        <v>416.31285124059889</v>
      </c>
      <c r="EJ164" s="2152"/>
      <c r="EK164" s="2152">
        <f t="shared" si="414"/>
        <v>16.939232399999998</v>
      </c>
      <c r="EL164" s="2152"/>
      <c r="EM164" s="2152"/>
      <c r="EN164" s="2152">
        <f t="shared" si="415"/>
        <v>487.88670958809888</v>
      </c>
      <c r="EO164" s="2157">
        <f t="shared" si="416"/>
        <v>1.3305725592798696</v>
      </c>
      <c r="EP164" s="2163"/>
      <c r="ES164" s="2084">
        <f t="shared" si="355"/>
        <v>0</v>
      </c>
      <c r="EU164" s="2084">
        <f t="shared" si="359"/>
        <v>312.40440380000001</v>
      </c>
      <c r="EV164" s="2084">
        <f t="shared" si="360"/>
        <v>2714.685915</v>
      </c>
      <c r="EW164" s="2084">
        <f t="shared" si="361"/>
        <v>1.1507939171666568</v>
      </c>
    </row>
    <row r="165" spans="1:153">
      <c r="A165" s="1760">
        <v>16</v>
      </c>
      <c r="B165" s="1592" t="s">
        <v>1778</v>
      </c>
      <c r="C165" s="2156" t="e">
        <v>#N/A</v>
      </c>
      <c r="D165" s="2147" t="e">
        <v>#N/A</v>
      </c>
      <c r="E165" s="2157"/>
      <c r="F165" s="2147">
        <v>0.65201541416261233</v>
      </c>
      <c r="G165" s="2157">
        <v>390</v>
      </c>
      <c r="H165" s="2158" t="s">
        <v>1649</v>
      </c>
      <c r="I165" s="2159">
        <v>1</v>
      </c>
      <c r="J165" s="2157"/>
      <c r="K165" s="2160"/>
      <c r="L165" s="2160"/>
      <c r="M165" s="2161"/>
      <c r="N165" s="2106">
        <v>91.302499999999995</v>
      </c>
      <c r="O165" s="2106">
        <f t="shared" si="362"/>
        <v>1.6583919388844777</v>
      </c>
      <c r="P165" s="2106">
        <v>15.141533000000001</v>
      </c>
      <c r="Q165" s="2106">
        <f t="shared" si="363"/>
        <v>1.6754000054763014</v>
      </c>
      <c r="R165" s="2106">
        <v>15.2968209</v>
      </c>
      <c r="S165" s="2106">
        <f t="shared" si="307"/>
        <v>-0.46901490101585391</v>
      </c>
      <c r="T165" s="2106">
        <v>-4.2822233000000001</v>
      </c>
      <c r="U165" s="2152"/>
      <c r="V165" s="2152">
        <f t="shared" si="364"/>
        <v>2.8647770433449256</v>
      </c>
      <c r="W165" s="2152">
        <f t="shared" si="365"/>
        <v>26.156130600000004</v>
      </c>
      <c r="X165" s="2106">
        <v>128.64150000000001</v>
      </c>
      <c r="Y165" s="2106">
        <f t="shared" si="366"/>
        <v>1.722328230003537</v>
      </c>
      <c r="Z165" s="2106">
        <v>22.156288700000001</v>
      </c>
      <c r="AA165" s="2106">
        <f t="shared" si="367"/>
        <v>1.6765000019433853</v>
      </c>
      <c r="AB165" s="2106">
        <v>21.566747500000002</v>
      </c>
      <c r="AC165" s="2106">
        <f t="shared" si="368"/>
        <v>-0.24339692090033155</v>
      </c>
      <c r="AD165" s="2106">
        <v>-3.1310945000000001</v>
      </c>
      <c r="AE165" s="2106"/>
      <c r="AF165" s="2106">
        <f t="shared" si="369"/>
        <v>3.1554313110465904</v>
      </c>
      <c r="AG165" s="2106">
        <f t="shared" si="370"/>
        <v>40.5919417</v>
      </c>
      <c r="AH165" s="2106">
        <v>123.4075</v>
      </c>
      <c r="AI165" s="2106">
        <f t="shared" si="371"/>
        <v>1.6298000040516176</v>
      </c>
      <c r="AJ165" s="2106">
        <v>20.1129544</v>
      </c>
      <c r="AK165" s="2106">
        <f t="shared" si="372"/>
        <v>1.6776</v>
      </c>
      <c r="AL165" s="2106">
        <v>20.702842199999999</v>
      </c>
      <c r="AM165" s="2106">
        <f t="shared" si="373"/>
        <v>-0.26735970666288517</v>
      </c>
      <c r="AN165" s="2106">
        <v>-3.2994192999999998</v>
      </c>
      <c r="AO165" s="2106">
        <v>0</v>
      </c>
      <c r="AP165" s="2106">
        <f t="shared" si="374"/>
        <v>3.0400402973887326</v>
      </c>
      <c r="AQ165" s="2106">
        <f t="shared" si="375"/>
        <v>37.516377300000002</v>
      </c>
      <c r="AR165" s="2106">
        <v>23.72</v>
      </c>
      <c r="AS165" s="2106">
        <f t="shared" si="376"/>
        <v>1.6310000000000002</v>
      </c>
      <c r="AT165" s="2106">
        <v>3.8687320000000001</v>
      </c>
      <c r="AU165" s="2106">
        <f t="shared" si="377"/>
        <v>1.6787000000000001</v>
      </c>
      <c r="AV165" s="2106">
        <v>3.9818764</v>
      </c>
      <c r="AW165" s="2106">
        <f t="shared" si="378"/>
        <v>-2.8639215008431709</v>
      </c>
      <c r="AX165" s="2106">
        <v>-6.7932218000000004</v>
      </c>
      <c r="AY165" s="2106"/>
      <c r="AZ165" s="2106">
        <f t="shared" si="379"/>
        <v>0.44577849915682971</v>
      </c>
      <c r="BA165" s="2106">
        <f t="shared" si="380"/>
        <v>1.0573866000000001</v>
      </c>
      <c r="BB165" s="2106">
        <v>106.64875000000001</v>
      </c>
      <c r="BC165" s="2106">
        <f t="shared" si="381"/>
        <v>1.6322000023441439</v>
      </c>
      <c r="BD165" s="2106">
        <v>17.407209000000002</v>
      </c>
      <c r="BE165" s="2106">
        <f t="shared" si="382"/>
        <v>1.6797999976558564</v>
      </c>
      <c r="BF165" s="2106">
        <v>17.914857000000001</v>
      </c>
      <c r="BG165" s="2106">
        <f t="shared" si="383"/>
        <v>6.5560965318393324E-2</v>
      </c>
      <c r="BH165" s="2106">
        <v>0.69919949999999997</v>
      </c>
      <c r="BI165" s="2106"/>
      <c r="BJ165" s="2106">
        <f t="shared" si="384"/>
        <v>3.3775609653183936</v>
      </c>
      <c r="BK165" s="2106">
        <f t="shared" si="385"/>
        <v>36.021265500000005</v>
      </c>
      <c r="BL165" s="2106">
        <v>4.7024999999999997</v>
      </c>
      <c r="BM165" s="2106">
        <f t="shared" si="386"/>
        <v>1.6334001063264223</v>
      </c>
      <c r="BN165" s="2106">
        <v>0.76810639999999997</v>
      </c>
      <c r="BO165" s="2106">
        <f t="shared" si="387"/>
        <v>1.6808000000000001</v>
      </c>
      <c r="BP165" s="2106">
        <v>0.79039619999999999</v>
      </c>
      <c r="BQ165" s="2106">
        <f t="shared" si="388"/>
        <v>-15.261223817118555</v>
      </c>
      <c r="BR165" s="2106">
        <v>-7.1765904999999997</v>
      </c>
      <c r="BS165" s="2106"/>
      <c r="BT165" s="2106">
        <f t="shared" si="389"/>
        <v>-11.947023710792132</v>
      </c>
      <c r="BU165" s="2106">
        <f t="shared" si="390"/>
        <v>-5.6180878999999999</v>
      </c>
      <c r="BV165" s="2106">
        <v>0</v>
      </c>
      <c r="BW165" s="2106">
        <f t="shared" si="391"/>
        <v>0</v>
      </c>
      <c r="BX165" s="2106">
        <v>0</v>
      </c>
      <c r="BY165" s="2106">
        <f t="shared" si="392"/>
        <v>0</v>
      </c>
      <c r="BZ165" s="2106">
        <v>0</v>
      </c>
      <c r="CA165" s="2106">
        <f t="shared" si="393"/>
        <v>0</v>
      </c>
      <c r="CB165" s="2106">
        <v>8.1177951000000004</v>
      </c>
      <c r="CC165" s="2106"/>
      <c r="CD165" s="2106">
        <f t="shared" si="394"/>
        <v>0</v>
      </c>
      <c r="CE165" s="2106">
        <f t="shared" si="395"/>
        <v>8.1177951000000004</v>
      </c>
      <c r="CF165" s="2106">
        <v>0</v>
      </c>
      <c r="CG165" s="2106">
        <f t="shared" si="396"/>
        <v>0</v>
      </c>
      <c r="CH165" s="2106">
        <v>0</v>
      </c>
      <c r="CI165" s="2106">
        <f t="shared" si="397"/>
        <v>0</v>
      </c>
      <c r="CJ165" s="2106">
        <v>0</v>
      </c>
      <c r="CK165" s="2106">
        <f t="shared" si="398"/>
        <v>0</v>
      </c>
      <c r="CL165" s="2106">
        <v>-7.5092847000000003</v>
      </c>
      <c r="CM165" s="2106"/>
      <c r="CN165" s="2106">
        <f t="shared" si="399"/>
        <v>0</v>
      </c>
      <c r="CO165" s="2106">
        <f t="shared" si="400"/>
        <v>-7.5092847000000003</v>
      </c>
      <c r="CP165" s="2106">
        <v>0</v>
      </c>
      <c r="CQ165" s="2106">
        <f t="shared" si="301"/>
        <v>0</v>
      </c>
      <c r="CR165" s="2106">
        <v>0</v>
      </c>
      <c r="CS165" s="2106">
        <f t="shared" si="343"/>
        <v>0</v>
      </c>
      <c r="CT165" s="2106">
        <v>0</v>
      </c>
      <c r="CU165" s="2106">
        <f t="shared" si="344"/>
        <v>0</v>
      </c>
      <c r="CV165" s="2106">
        <v>-7.5900530000000002</v>
      </c>
      <c r="CW165" s="2106"/>
      <c r="CX165" s="2106">
        <f t="shared" si="401"/>
        <v>0</v>
      </c>
      <c r="CY165" s="2106">
        <f t="shared" si="402"/>
        <v>-7.5900530000000002</v>
      </c>
      <c r="CZ165" s="2106">
        <v>190.03637362637366</v>
      </c>
      <c r="DA165" s="2106">
        <f t="shared" si="356"/>
        <v>1.3233666472685099</v>
      </c>
      <c r="DB165" s="2106">
        <v>25.148779862499996</v>
      </c>
      <c r="DC165" s="2106">
        <v>1.5428754624316019</v>
      </c>
      <c r="DD165" s="2109">
        <f t="shared" si="302"/>
        <v>29.320245783761596</v>
      </c>
      <c r="DE165" s="2152"/>
      <c r="DF165" s="2152"/>
      <c r="DG165" s="2152"/>
      <c r="DH165" s="2152">
        <f t="shared" si="403"/>
        <v>2.8662421097001118</v>
      </c>
      <c r="DI165" s="2152">
        <f t="shared" si="404"/>
        <v>54.469025646261592</v>
      </c>
      <c r="DJ165" s="2106">
        <v>135.36118131868128</v>
      </c>
      <c r="DK165" s="2106">
        <f t="shared" si="357"/>
        <v>1.8579019197011988</v>
      </c>
      <c r="DL165" s="2106">
        <v>25.148779862499996</v>
      </c>
      <c r="DM165" s="2106">
        <v>1.5428754624316019</v>
      </c>
      <c r="DN165" s="2109">
        <f t="shared" si="303"/>
        <v>20.884544522234826</v>
      </c>
      <c r="DO165" s="2152"/>
      <c r="DP165" s="2152"/>
      <c r="DQ165" s="2152"/>
      <c r="DR165" s="2152">
        <f t="shared" si="405"/>
        <v>3.4007773821328007</v>
      </c>
      <c r="DS165" s="2152">
        <f t="shared" si="406"/>
        <v>46.033324384734826</v>
      </c>
      <c r="DT165" s="2106">
        <v>174.40879120879117</v>
      </c>
      <c r="DU165" s="2106">
        <f t="shared" si="358"/>
        <v>1.4419445079688367</v>
      </c>
      <c r="DV165" s="2106">
        <v>25.148779862499996</v>
      </c>
      <c r="DW165" s="2106">
        <v>1.5428754624316019</v>
      </c>
      <c r="DX165" s="2109">
        <f t="shared" si="304"/>
        <v>26.909104438840039</v>
      </c>
      <c r="DY165" s="2152"/>
      <c r="DZ165" s="2152"/>
      <c r="EA165" s="2152"/>
      <c r="EB165" s="2152">
        <f t="shared" si="407"/>
        <v>2.984819970400439</v>
      </c>
      <c r="EC165" s="2152">
        <f t="shared" si="408"/>
        <v>52.057884301340039</v>
      </c>
      <c r="ED165" s="2152">
        <f t="shared" si="409"/>
        <v>978.22909615384606</v>
      </c>
      <c r="EE165" s="2162"/>
      <c r="EF165" s="2152">
        <f t="shared" si="410"/>
        <v>1.5834855423594829</v>
      </c>
      <c r="EG165" s="2152">
        <f t="shared" si="411"/>
        <v>154.90116308749998</v>
      </c>
      <c r="EH165" s="2152">
        <f t="shared" si="412"/>
        <v>1.6086971402053585</v>
      </c>
      <c r="EI165" s="2152">
        <f t="shared" si="413"/>
        <v>157.36743494483648</v>
      </c>
      <c r="EJ165" s="2152"/>
      <c r="EK165" s="2152">
        <f t="shared" si="414"/>
        <v>-30.964892500000001</v>
      </c>
      <c r="EL165" s="2152"/>
      <c r="EM165" s="2152"/>
      <c r="EN165" s="2152">
        <f t="shared" si="415"/>
        <v>281.30370553233644</v>
      </c>
      <c r="EO165" s="2157">
        <f t="shared" si="416"/>
        <v>2.8756423892762211</v>
      </c>
      <c r="EP165" s="2163"/>
      <c r="ES165" s="2084">
        <f t="shared" si="355"/>
        <v>0</v>
      </c>
      <c r="EU165" s="2084">
        <f t="shared" si="359"/>
        <v>80.253540200000003</v>
      </c>
      <c r="EV165" s="2084">
        <f t="shared" si="360"/>
        <v>478.42275000000001</v>
      </c>
      <c r="EW165" s="2084">
        <f t="shared" si="361"/>
        <v>1.6774607854664101</v>
      </c>
    </row>
    <row r="166" spans="1:153">
      <c r="A166" s="1760">
        <v>17</v>
      </c>
      <c r="B166" s="1592" t="s">
        <v>1779</v>
      </c>
      <c r="C166" s="2156" t="s">
        <v>1594</v>
      </c>
      <c r="D166" s="2147" t="e">
        <v>#VALUE!</v>
      </c>
      <c r="E166" s="2157"/>
      <c r="F166" s="2147">
        <v>0.84999999999999976</v>
      </c>
      <c r="G166" s="2157">
        <v>209.01</v>
      </c>
      <c r="H166" s="2158" t="s">
        <v>1649</v>
      </c>
      <c r="I166" s="2159">
        <v>1</v>
      </c>
      <c r="J166" s="2157"/>
      <c r="K166" s="2160"/>
      <c r="L166" s="2160"/>
      <c r="M166" s="2161"/>
      <c r="N166" s="2106">
        <v>40.762801000000003</v>
      </c>
      <c r="O166" s="2106">
        <f t="shared" si="362"/>
        <v>2.7294600780746148</v>
      </c>
      <c r="P166" s="2106">
        <v>11.1260438</v>
      </c>
      <c r="Q166" s="2106">
        <f t="shared" si="363"/>
        <v>2.1689999909476287</v>
      </c>
      <c r="R166" s="2106">
        <v>8.8414514999999998</v>
      </c>
      <c r="S166" s="2106">
        <f t="shared" si="307"/>
        <v>-8.0369722384877329E-2</v>
      </c>
      <c r="T166" s="2106">
        <v>-0.3276095</v>
      </c>
      <c r="U166" s="2152"/>
      <c r="V166" s="2152">
        <f t="shared" si="364"/>
        <v>4.8180903466373657</v>
      </c>
      <c r="W166" s="2152">
        <f t="shared" si="365"/>
        <v>19.639885799999998</v>
      </c>
      <c r="X166" s="2106">
        <v>35.907532000000003</v>
      </c>
      <c r="Y166" s="2106">
        <f t="shared" si="366"/>
        <v>3.0985264595739963</v>
      </c>
      <c r="Z166" s="2106">
        <v>11.1260438</v>
      </c>
      <c r="AA166" s="2106">
        <f t="shared" si="367"/>
        <v>2.2939999886374811</v>
      </c>
      <c r="AB166" s="2106">
        <v>8.2371877999999992</v>
      </c>
      <c r="AC166" s="2106">
        <f t="shared" si="368"/>
        <v>-1.588396551453327E-2</v>
      </c>
      <c r="AD166" s="2106">
        <v>-5.70354E-2</v>
      </c>
      <c r="AE166" s="2106"/>
      <c r="AF166" s="2106">
        <f t="shared" si="369"/>
        <v>5.3766424826969441</v>
      </c>
      <c r="AG166" s="2106">
        <f t="shared" si="370"/>
        <v>19.306196199999999</v>
      </c>
      <c r="AH166" s="2106">
        <v>37.432291999999997</v>
      </c>
      <c r="AI166" s="2106">
        <f t="shared" si="371"/>
        <v>2.9723116607446851</v>
      </c>
      <c r="AJ166" s="2106">
        <v>11.1260438</v>
      </c>
      <c r="AK166" s="2106">
        <f t="shared" si="372"/>
        <v>2.3348897524094974</v>
      </c>
      <c r="AL166" s="2106">
        <v>8.7400275000000001</v>
      </c>
      <c r="AM166" s="2106">
        <f t="shared" si="373"/>
        <v>-5.0349147735864005E-2</v>
      </c>
      <c r="AN166" s="2106">
        <v>-0.18846840000000001</v>
      </c>
      <c r="AO166" s="2106">
        <v>0</v>
      </c>
      <c r="AP166" s="2106">
        <f t="shared" si="374"/>
        <v>5.2568522654183187</v>
      </c>
      <c r="AQ166" s="2106">
        <f t="shared" si="375"/>
        <v>19.6776029</v>
      </c>
      <c r="AR166" s="2106">
        <v>41.184896999999999</v>
      </c>
      <c r="AS166" s="2106">
        <f t="shared" si="376"/>
        <v>3.3817908054984329</v>
      </c>
      <c r="AT166" s="2106">
        <v>13.9278706</v>
      </c>
      <c r="AU166" s="2106">
        <f t="shared" si="377"/>
        <v>2.2340000024766362</v>
      </c>
      <c r="AV166" s="2106">
        <v>9.2007060000000003</v>
      </c>
      <c r="AW166" s="2106">
        <f t="shared" si="378"/>
        <v>-5.8673838616131534E-2</v>
      </c>
      <c r="AX166" s="2106">
        <v>-0.24164759999999999</v>
      </c>
      <c r="AY166" s="2106"/>
      <c r="AZ166" s="2106">
        <f t="shared" si="379"/>
        <v>5.5571169693589386</v>
      </c>
      <c r="BA166" s="2106">
        <f t="shared" si="380"/>
        <v>22.886929000000002</v>
      </c>
      <c r="BB166" s="2106">
        <v>68.931366999999995</v>
      </c>
      <c r="BC166" s="2106">
        <f t="shared" si="381"/>
        <v>2.8448187165648409</v>
      </c>
      <c r="BD166" s="2106">
        <v>19.6097243</v>
      </c>
      <c r="BE166" s="2106">
        <f t="shared" si="382"/>
        <v>2.0860000063541468</v>
      </c>
      <c r="BF166" s="2106">
        <v>14.3790832</v>
      </c>
      <c r="BG166" s="2106">
        <f t="shared" si="383"/>
        <v>-4.8766681212052562E-2</v>
      </c>
      <c r="BH166" s="2106">
        <v>-0.33615539999999999</v>
      </c>
      <c r="BI166" s="2106"/>
      <c r="BJ166" s="2106">
        <f t="shared" si="384"/>
        <v>4.8820520417069346</v>
      </c>
      <c r="BK166" s="2106">
        <f t="shared" si="385"/>
        <v>33.652652099999997</v>
      </c>
      <c r="BL166" s="2106">
        <v>63.872269000000003</v>
      </c>
      <c r="BM166" s="2106">
        <f t="shared" si="386"/>
        <v>3.0659978589456403</v>
      </c>
      <c r="BN166" s="2106">
        <v>19.583224000000001</v>
      </c>
      <c r="BO166" s="2106">
        <f t="shared" si="387"/>
        <v>2.1590000035852803</v>
      </c>
      <c r="BP166" s="2106">
        <v>13.7900229</v>
      </c>
      <c r="BQ166" s="2106">
        <f t="shared" si="388"/>
        <v>4.2718350901233833E-2</v>
      </c>
      <c r="BR166" s="2106">
        <v>0.27285179999999998</v>
      </c>
      <c r="BS166" s="2106"/>
      <c r="BT166" s="2106">
        <f t="shared" si="389"/>
        <v>5.2677162134321538</v>
      </c>
      <c r="BU166" s="2106">
        <f t="shared" si="390"/>
        <v>33.646098699999996</v>
      </c>
      <c r="BV166" s="2106">
        <v>54.037381000000003</v>
      </c>
      <c r="BW166" s="2106">
        <f t="shared" si="391"/>
        <v>3.7884401355424679</v>
      </c>
      <c r="BX166" s="2106">
        <v>20.471738299999998</v>
      </c>
      <c r="BY166" s="2106">
        <f t="shared" si="392"/>
        <v>2.1579999963358696</v>
      </c>
      <c r="BZ166" s="2106">
        <v>11.6612668</v>
      </c>
      <c r="CA166" s="2106">
        <f t="shared" si="393"/>
        <v>-0.12995563200962681</v>
      </c>
      <c r="CB166" s="2106">
        <v>-0.70224620000000004</v>
      </c>
      <c r="CC166" s="2106"/>
      <c r="CD166" s="2106">
        <f t="shared" si="394"/>
        <v>5.8164844998687109</v>
      </c>
      <c r="CE166" s="2106">
        <f t="shared" si="395"/>
        <v>31.430758899999997</v>
      </c>
      <c r="CF166" s="2106">
        <v>41.374481000000003</v>
      </c>
      <c r="CG166" s="2106">
        <f t="shared" si="396"/>
        <v>4.7781010231886656</v>
      </c>
      <c r="CH166" s="2106">
        <v>19.769145000000002</v>
      </c>
      <c r="CI166" s="2106">
        <f t="shared" si="397"/>
        <v>2.2120000006767455</v>
      </c>
      <c r="CJ166" s="2106">
        <v>9.1520352000000003</v>
      </c>
      <c r="CK166" s="2106">
        <f t="shared" si="398"/>
        <v>-0.59293519597260935</v>
      </c>
      <c r="CL166" s="2106">
        <v>-2.4532386000000002</v>
      </c>
      <c r="CM166" s="2106"/>
      <c r="CN166" s="2106">
        <f t="shared" si="399"/>
        <v>6.3971658278928025</v>
      </c>
      <c r="CO166" s="2106">
        <f t="shared" si="400"/>
        <v>26.467941600000003</v>
      </c>
      <c r="CP166" s="2106">
        <v>74.981491000000005</v>
      </c>
      <c r="CQ166" s="2106">
        <f t="shared" si="301"/>
        <v>3.2658837765709405</v>
      </c>
      <c r="CR166" s="2106">
        <v>24.488083499999998</v>
      </c>
      <c r="CS166" s="2106">
        <f t="shared" si="343"/>
        <v>2.0839999967458636</v>
      </c>
      <c r="CT166" s="2106">
        <v>15.626142700000001</v>
      </c>
      <c r="CU166" s="2106">
        <f t="shared" si="344"/>
        <v>1.5921814091426909</v>
      </c>
      <c r="CV166" s="2106">
        <v>11.938413600000001</v>
      </c>
      <c r="CW166" s="2106"/>
      <c r="CX166" s="2106">
        <f t="shared" si="401"/>
        <v>6.9420651824594941</v>
      </c>
      <c r="CY166" s="2106">
        <f t="shared" si="402"/>
        <v>52.052639799999994</v>
      </c>
      <c r="CZ166" s="2106">
        <v>124.57769336999999</v>
      </c>
      <c r="DA166" s="2106">
        <f t="shared" si="356"/>
        <v>0.99402493322415364</v>
      </c>
      <c r="DB166" s="2106">
        <v>12.383333333333333</v>
      </c>
      <c r="DC166" s="2106">
        <v>2.1391853526105913</v>
      </c>
      <c r="DD166" s="2109">
        <f t="shared" si="302"/>
        <v>26.649477691911756</v>
      </c>
      <c r="DE166" s="2152"/>
      <c r="DF166" s="2152"/>
      <c r="DG166" s="2152"/>
      <c r="DH166" s="2152">
        <f t="shared" si="403"/>
        <v>3.1332102858347448</v>
      </c>
      <c r="DI166" s="2152">
        <f t="shared" si="404"/>
        <v>39.032811025245088</v>
      </c>
      <c r="DJ166" s="2106">
        <v>112.52178755999999</v>
      </c>
      <c r="DK166" s="2106">
        <f t="shared" si="357"/>
        <v>1.1005276046410273</v>
      </c>
      <c r="DL166" s="2106">
        <v>12.383333333333333</v>
      </c>
      <c r="DM166" s="2106">
        <v>2.1391853526105913</v>
      </c>
      <c r="DN166" s="2109">
        <f t="shared" si="303"/>
        <v>24.070495979791264</v>
      </c>
      <c r="DO166" s="2152"/>
      <c r="DP166" s="2152"/>
      <c r="DQ166" s="2152"/>
      <c r="DR166" s="2152">
        <f t="shared" si="405"/>
        <v>3.2397129572516192</v>
      </c>
      <c r="DS166" s="2152">
        <f t="shared" si="406"/>
        <v>36.453829313124601</v>
      </c>
      <c r="DT166" s="2106">
        <v>124.57769336999999</v>
      </c>
      <c r="DU166" s="2106">
        <f t="shared" si="358"/>
        <v>0.99402493322415364</v>
      </c>
      <c r="DV166" s="2106">
        <v>12.383333333333333</v>
      </c>
      <c r="DW166" s="2106">
        <v>2.1391853526105913</v>
      </c>
      <c r="DX166" s="2109">
        <f t="shared" si="304"/>
        <v>26.649477691911756</v>
      </c>
      <c r="DY166" s="2152"/>
      <c r="DZ166" s="2152"/>
      <c r="EA166" s="2152"/>
      <c r="EB166" s="2152">
        <f t="shared" si="407"/>
        <v>3.1332102858347448</v>
      </c>
      <c r="EC166" s="2152">
        <f t="shared" si="408"/>
        <v>39.032811025245088</v>
      </c>
      <c r="ED166" s="2152">
        <f t="shared" si="409"/>
        <v>820.16168530000004</v>
      </c>
      <c r="EE166" s="2162"/>
      <c r="EF166" s="2152">
        <f t="shared" si="410"/>
        <v>2.2968387877214087</v>
      </c>
      <c r="EG166" s="2152">
        <f t="shared" si="411"/>
        <v>188.37791709999996</v>
      </c>
      <c r="EH166" s="2152">
        <f t="shared" si="412"/>
        <v>2.1580790487533248</v>
      </c>
      <c r="EI166" s="2152">
        <f t="shared" si="413"/>
        <v>176.99737496361479</v>
      </c>
      <c r="EJ166" s="2152"/>
      <c r="EK166" s="2152">
        <f t="shared" si="414"/>
        <v>7.9048642999999998</v>
      </c>
      <c r="EL166" s="2152"/>
      <c r="EM166" s="2152"/>
      <c r="EN166" s="2152">
        <f t="shared" si="415"/>
        <v>373.28015636361476</v>
      </c>
      <c r="EO166" s="2157">
        <f t="shared" si="416"/>
        <v>4.551299616332062</v>
      </c>
      <c r="EP166" s="2163"/>
      <c r="ES166" s="2084">
        <f t="shared" si="355"/>
        <v>0</v>
      </c>
      <c r="EU166" s="2084">
        <f t="shared" si="359"/>
        <v>99.627923600000003</v>
      </c>
      <c r="EV166" s="2084">
        <f t="shared" si="360"/>
        <v>458.484511</v>
      </c>
      <c r="EW166" s="2084">
        <f t="shared" si="361"/>
        <v>2.1729834096838228</v>
      </c>
    </row>
    <row r="167" spans="1:153">
      <c r="A167" s="1760">
        <v>18</v>
      </c>
      <c r="B167" s="1845" t="s">
        <v>2060</v>
      </c>
      <c r="C167" s="2156"/>
      <c r="D167" s="2147"/>
      <c r="E167" s="2157"/>
      <c r="F167" s="2147"/>
      <c r="G167" s="2157">
        <v>660</v>
      </c>
      <c r="H167" s="2158" t="s">
        <v>1649</v>
      </c>
      <c r="I167" s="2159">
        <v>1</v>
      </c>
      <c r="J167" s="2157"/>
      <c r="K167" s="2160"/>
      <c r="L167" s="2160"/>
      <c r="M167" s="2161"/>
      <c r="N167" s="2106"/>
      <c r="O167" s="2152"/>
      <c r="P167" s="2106"/>
      <c r="Q167" s="2152"/>
      <c r="R167" s="2106"/>
      <c r="S167" s="2152"/>
      <c r="T167" s="2106"/>
      <c r="U167" s="2152"/>
      <c r="V167" s="2152"/>
      <c r="W167" s="2152"/>
      <c r="X167" s="2121"/>
      <c r="Y167" s="2152"/>
      <c r="Z167" s="2106"/>
      <c r="AA167" s="2152"/>
      <c r="AB167" s="2106"/>
      <c r="AC167" s="2152"/>
      <c r="AD167" s="2106"/>
      <c r="AE167" s="2152"/>
      <c r="AF167" s="2152"/>
      <c r="AG167" s="2152"/>
      <c r="AH167" s="2121"/>
      <c r="AI167" s="2152"/>
      <c r="AJ167" s="2106"/>
      <c r="AK167" s="2152"/>
      <c r="AL167" s="2106"/>
      <c r="AM167" s="2152"/>
      <c r="AN167" s="2106"/>
      <c r="AO167" s="2106"/>
      <c r="AP167" s="2152"/>
      <c r="AQ167" s="2152"/>
      <c r="AR167" s="2121"/>
      <c r="AS167" s="2152"/>
      <c r="AT167" s="2106"/>
      <c r="AU167" s="2152"/>
      <c r="AV167" s="2106"/>
      <c r="AW167" s="2152"/>
      <c r="AX167" s="2106"/>
      <c r="AY167" s="2152"/>
      <c r="AZ167" s="2152"/>
      <c r="BA167" s="2152"/>
      <c r="BB167" s="2121"/>
      <c r="BC167" s="2152"/>
      <c r="BD167" s="2106"/>
      <c r="BE167" s="2152"/>
      <c r="BF167" s="2106"/>
      <c r="BG167" s="2152"/>
      <c r="BH167" s="2106"/>
      <c r="BI167" s="2152"/>
      <c r="BJ167" s="2152"/>
      <c r="BK167" s="2152"/>
      <c r="BL167" s="2121"/>
      <c r="BM167" s="2152"/>
      <c r="BN167" s="2106"/>
      <c r="BO167" s="2152"/>
      <c r="BP167" s="2106"/>
      <c r="BQ167" s="2152"/>
      <c r="BR167" s="2106"/>
      <c r="BS167" s="2152"/>
      <c r="BT167" s="2152"/>
      <c r="BU167" s="2152"/>
      <c r="BV167" s="2121"/>
      <c r="BW167" s="2152"/>
      <c r="BX167" s="2106"/>
      <c r="BY167" s="2152"/>
      <c r="BZ167" s="2106"/>
      <c r="CA167" s="2152"/>
      <c r="CB167" s="2106"/>
      <c r="CC167" s="2152"/>
      <c r="CD167" s="2152"/>
      <c r="CE167" s="2152"/>
      <c r="CF167" s="2121"/>
      <c r="CG167" s="2152"/>
      <c r="CH167" s="2106"/>
      <c r="CI167" s="2152"/>
      <c r="CJ167" s="2106"/>
      <c r="CK167" s="2152"/>
      <c r="CL167" s="2106"/>
      <c r="CM167" s="2152"/>
      <c r="CN167" s="2152"/>
      <c r="CO167" s="2152"/>
      <c r="CP167" s="2121">
        <v>0</v>
      </c>
      <c r="CQ167" s="2106">
        <f t="shared" si="301"/>
        <v>0</v>
      </c>
      <c r="CR167" s="2106">
        <v>0</v>
      </c>
      <c r="CS167" s="2106">
        <f t="shared" si="343"/>
        <v>0</v>
      </c>
      <c r="CT167" s="2106">
        <v>0</v>
      </c>
      <c r="CU167" s="2106">
        <f t="shared" si="344"/>
        <v>0</v>
      </c>
      <c r="CV167" s="2106">
        <v>0</v>
      </c>
      <c r="CW167" s="2152"/>
      <c r="CX167" s="2152"/>
      <c r="CY167" s="2152"/>
      <c r="CZ167" s="2106"/>
      <c r="DA167" s="2106"/>
      <c r="DB167" s="2106"/>
      <c r="DC167" s="2106"/>
      <c r="DD167" s="2109"/>
      <c r="DE167" s="2152"/>
      <c r="DF167" s="2152"/>
      <c r="DG167" s="2152"/>
      <c r="DH167" s="2152"/>
      <c r="DI167" s="2152"/>
      <c r="DJ167" s="2106"/>
      <c r="DK167" s="2106"/>
      <c r="DL167" s="2106"/>
      <c r="DM167" s="2106"/>
      <c r="DN167" s="2109"/>
      <c r="DO167" s="2152"/>
      <c r="DP167" s="2152"/>
      <c r="DQ167" s="2152"/>
      <c r="DR167" s="2152"/>
      <c r="DS167" s="2152"/>
      <c r="DT167" s="2106">
        <v>334.37675699999994</v>
      </c>
      <c r="DU167" s="2106">
        <f>IFERROR(DV167/DT167*10,0)</f>
        <v>5.8803763440860211</v>
      </c>
      <c r="DV167" s="2106">
        <v>196.62611718749997</v>
      </c>
      <c r="DW167" s="2106">
        <v>2.2542</v>
      </c>
      <c r="DX167" s="2109">
        <f>DW167*DT167/10</f>
        <v>75.375208562939989</v>
      </c>
      <c r="DY167" s="2152"/>
      <c r="DZ167" s="2152"/>
      <c r="EA167" s="2152"/>
      <c r="EB167" s="2152">
        <f>IFERROR(EC167/DT167*10,0)</f>
        <v>8.134576344086021</v>
      </c>
      <c r="EC167" s="2152">
        <f>SUM(DV167,DX167,DZ167,EA167)</f>
        <v>272.00132575043995</v>
      </c>
      <c r="ED167" s="2152">
        <f>SUM(N167,X167,AH167,AR167,BB167,BL167,BV167,CF167,CP167,CZ167,DJ167,DT167)</f>
        <v>334.37675699999994</v>
      </c>
      <c r="EE167" s="2162"/>
      <c r="EF167" s="2152">
        <f>IFERROR(EG167/ED167*10,0)</f>
        <v>5.8803763440860211</v>
      </c>
      <c r="EG167" s="2152">
        <f>SUM(P167,Z167,AJ167,AT167,BD167,BN167,BX167,CH167,CR167,DB167,DL167,DV167)</f>
        <v>196.62611718749997</v>
      </c>
      <c r="EH167" s="2152">
        <f>IFERROR(EI167/ED167*10,0)</f>
        <v>2.2542</v>
      </c>
      <c r="EI167" s="2152">
        <f>SUM(R167,AB167,AL167,AV167,BF167,BP167,BZ167,CJ167,CT167,DD167,DN167,DX167)</f>
        <v>75.375208562939989</v>
      </c>
      <c r="EJ167" s="2152"/>
      <c r="EK167" s="2152">
        <f>SUM(T167,AD167,AN167,AX167,BH167,BR167,CB167,CL167,CV167,DF167,DP167,DZ167)</f>
        <v>0</v>
      </c>
      <c r="EL167" s="2152"/>
      <c r="EM167" s="2152"/>
      <c r="EN167" s="2152">
        <f>EG167+EI167+EK167</f>
        <v>272.00132575043995</v>
      </c>
      <c r="EO167" s="2157">
        <f>IFERROR(EN167/ED167*10,0)</f>
        <v>8.134576344086021</v>
      </c>
      <c r="EP167" s="2163"/>
    </row>
    <row r="168" spans="1:153">
      <c r="A168" s="1760"/>
      <c r="B168" s="1592" t="s">
        <v>211</v>
      </c>
      <c r="C168" s="1596" t="e">
        <f>SUM(C142:C166)</f>
        <v>#N/A</v>
      </c>
      <c r="D168" s="1597"/>
      <c r="E168" s="1592"/>
      <c r="F168" s="1597"/>
      <c r="G168" s="1595"/>
      <c r="H168" s="2164"/>
      <c r="I168" s="2165"/>
      <c r="J168" s="2162"/>
      <c r="K168" s="2160"/>
      <c r="L168" s="2160"/>
      <c r="M168" s="2161"/>
      <c r="N168" s="2162">
        <f>SUM(N142:N166)</f>
        <v>5000.0641450000003</v>
      </c>
      <c r="O168" s="2152">
        <f>IFERROR(P168/N168*10,0)</f>
        <v>1.8787191857115668</v>
      </c>
      <c r="P168" s="2162">
        <f>SUM(P142:P166)</f>
        <v>939.37164390000021</v>
      </c>
      <c r="Q168" s="2152">
        <f>IFERROR(R168/N168*10,0)</f>
        <v>2.3288438740619402</v>
      </c>
      <c r="R168" s="2162">
        <f>SUM(R142:R166)</f>
        <v>1164.4368754000002</v>
      </c>
      <c r="S168" s="2152">
        <f t="shared" si="307"/>
        <v>-2.2062659958135396E-2</v>
      </c>
      <c r="T168" s="2162">
        <f>SUM(T142:T166)</f>
        <v>-11.0314715</v>
      </c>
      <c r="U168" s="2152"/>
      <c r="V168" s="2152">
        <f t="shared" si="364"/>
        <v>4.1855003998153704</v>
      </c>
      <c r="W168" s="2162">
        <f>SUM(W142:W166)</f>
        <v>2092.7770477999998</v>
      </c>
      <c r="X168" s="2162">
        <f>SUM(X142:X166)</f>
        <v>4824.1640519999992</v>
      </c>
      <c r="Y168" s="2152">
        <f>IFERROR(Z168/X168*10,0)</f>
        <v>2.2246347349134474</v>
      </c>
      <c r="Z168" s="2162">
        <f>SUM(Z142:Z166)</f>
        <v>1073.2002917</v>
      </c>
      <c r="AA168" s="2152">
        <f>IFERROR(AB168/X168*10,0)</f>
        <v>2.3652684440259586</v>
      </c>
      <c r="AB168" s="2162">
        <f>SUM(AB142:AB166)</f>
        <v>1141.0443001000001</v>
      </c>
      <c r="AC168" s="2152"/>
      <c r="AD168" s="2162">
        <f>SUM(AD142:AD166)</f>
        <v>9.7498904999999976</v>
      </c>
      <c r="AE168" s="2162">
        <f>SUM(AE142:AE166)</f>
        <v>0</v>
      </c>
      <c r="AF168" s="2152">
        <f>IFERROR(AG168/X168*10,0)</f>
        <v>4.6101137074266321</v>
      </c>
      <c r="AG168" s="2162">
        <f>SUM(AG142:AG166)</f>
        <v>2223.9944823000001</v>
      </c>
      <c r="AH168" s="2162">
        <f>SUM(AH142:AH166)</f>
        <v>5451.5364499999996</v>
      </c>
      <c r="AI168" s="2152">
        <f>IFERROR(AJ168/AH168*10,0)</f>
        <v>1.8134404708969711</v>
      </c>
      <c r="AJ168" s="2162">
        <f>SUM(AJ142:AJ166)</f>
        <v>988.60368270000015</v>
      </c>
      <c r="AK168" s="2152">
        <f>IFERROR(AL168/AH168*10,0)</f>
        <v>2.3696872548105223</v>
      </c>
      <c r="AL168" s="2162">
        <f>SUM(AL142:AL166)</f>
        <v>1291.8436444700001</v>
      </c>
      <c r="AM168" s="2152"/>
      <c r="AN168" s="2162">
        <f>SUM(AN142:AN166)</f>
        <v>2.2805144000000013</v>
      </c>
      <c r="AO168" s="2162">
        <f>SUM(AO142:AO166)</f>
        <v>23.977135499999999</v>
      </c>
      <c r="AP168" s="2152">
        <f>IFERROR(AQ168/AH168*10,0)</f>
        <v>4.2312933211150048</v>
      </c>
      <c r="AQ168" s="2162">
        <f>SUM(AQ142:AQ166)</f>
        <v>2306.70497707</v>
      </c>
      <c r="AR168" s="2162">
        <f>SUM(AR142:AR166)</f>
        <v>5966.0010580000007</v>
      </c>
      <c r="AS168" s="2152">
        <f>IFERROR(AT168/AR168*10,0)</f>
        <v>5.4368648146994678</v>
      </c>
      <c r="AT168" s="2162">
        <f>SUM(AT142:AT166)</f>
        <v>3243.6341236700005</v>
      </c>
      <c r="AU168" s="2152">
        <f>IFERROR(AV168/AR168*10,0)</f>
        <v>2.4613945363467278</v>
      </c>
      <c r="AV168" s="2162">
        <f>SUM(AV142:AV166)</f>
        <v>1468.4682407999999</v>
      </c>
      <c r="AW168" s="2152"/>
      <c r="AX168" s="2162">
        <f>SUM(AX142:AX166)</f>
        <v>16.926095629999995</v>
      </c>
      <c r="AY168" s="2162">
        <f>SUM(AY142:AY166)</f>
        <v>0</v>
      </c>
      <c r="AZ168" s="2152">
        <f>IFERROR(BA168/AR168*10,0)</f>
        <v>7.9266302739901384</v>
      </c>
      <c r="BA168" s="2162">
        <f>SUM(BA142:BA166)</f>
        <v>4729.0284601000003</v>
      </c>
      <c r="BB168" s="2162">
        <f>SUM(BB142:BB166)</f>
        <v>5807.945372000001</v>
      </c>
      <c r="BC168" s="2152">
        <f>IFERROR(BD168/BB168*10,0)</f>
        <v>1.7596306368978016</v>
      </c>
      <c r="BD168" s="2162">
        <f>SUM(BD142:BD166)</f>
        <v>1021.9838614000001</v>
      </c>
      <c r="BE168" s="2152">
        <f>IFERROR(BF168/BB168*10,0)</f>
        <v>2.4408703651629313</v>
      </c>
      <c r="BF168" s="2162">
        <f>SUM(BF142:BF166)</f>
        <v>1417.6441741000001</v>
      </c>
      <c r="BG168" s="2152"/>
      <c r="BH168" s="2162">
        <f>SUM(BH142:BH166)</f>
        <v>63.061774299999989</v>
      </c>
      <c r="BI168" s="2162">
        <f>SUM(BI142:BI166)</f>
        <v>0</v>
      </c>
      <c r="BJ168" s="2152">
        <f>IFERROR(BK168/BB168*10,0)</f>
        <v>4.3090794584009382</v>
      </c>
      <c r="BK168" s="2162">
        <f>SUM(BK142:BK166)</f>
        <v>2502.6898098000001</v>
      </c>
      <c r="BL168" s="2162">
        <f>SUM(BL142:BL166)</f>
        <v>5520.5297370000008</v>
      </c>
      <c r="BM168" s="2152">
        <f>IFERROR(BN168/BL168*10,0)</f>
        <v>1.8113833114291213</v>
      </c>
      <c r="BN168" s="2162">
        <f>SUM(BN142:BN166)</f>
        <v>999.97954358499987</v>
      </c>
      <c r="BO168" s="2152">
        <f>IFERROR(BP168/BL168*10,0)</f>
        <v>2.5139146373626349</v>
      </c>
      <c r="BP168" s="2162">
        <f>SUM(BP142:BP166)</f>
        <v>1387.8140511839999</v>
      </c>
      <c r="BQ168" s="2152"/>
      <c r="BR168" s="2162">
        <f>SUM(BR142:BR166)</f>
        <v>-28.468292299999998</v>
      </c>
      <c r="BS168" s="2162">
        <f>SUM(BS142:BS166)</f>
        <v>10.2674599</v>
      </c>
      <c r="BT168" s="2152">
        <f>IFERROR(BU168/BL168*10,0)</f>
        <v>4.2923285902933994</v>
      </c>
      <c r="BU168" s="2162">
        <f>SUM(BU142:BU166)</f>
        <v>2369.5927623690004</v>
      </c>
      <c r="BV168" s="2162">
        <f>SUM(BV142:BV166)</f>
        <v>4443.0252460000002</v>
      </c>
      <c r="BW168" s="2152">
        <f>IFERROR(BX168/BV168*10,0)</f>
        <v>2.2830741384178039</v>
      </c>
      <c r="BX168" s="2162">
        <f>SUM(BX142:BX166)</f>
        <v>1014.3756035480001</v>
      </c>
      <c r="BY168" s="2152">
        <f>IFERROR(BZ168/BV168*10,0)</f>
        <v>2.4462553955832291</v>
      </c>
      <c r="BZ168" s="2162">
        <f>SUM(BZ142:BZ166)</f>
        <v>1086.8774480740003</v>
      </c>
      <c r="CA168" s="2152"/>
      <c r="CB168" s="2162">
        <f>SUM(CB142:CB166)</f>
        <v>10.570494399999999</v>
      </c>
      <c r="CC168" s="2162">
        <f>SUM(CC142:CC166)</f>
        <v>-35.340831199999997</v>
      </c>
      <c r="CD168" s="2152">
        <f>IFERROR(CE168/BV168*10,0)</f>
        <v>4.6735784737919976</v>
      </c>
      <c r="CE168" s="2162">
        <f>SUM(CE142:CE166)</f>
        <v>2076.4827148219997</v>
      </c>
      <c r="CF168" s="2162">
        <f>SUM(CF142:CF166)</f>
        <v>2974.5887109999999</v>
      </c>
      <c r="CG168" s="2152">
        <f>IFERROR(CH168/CF168*10,0)</f>
        <v>2.5407312065234287</v>
      </c>
      <c r="CH168" s="2162">
        <f>SUM(CH142:CH166)</f>
        <v>755.76303646100007</v>
      </c>
      <c r="CI168" s="2152">
        <f>IFERROR(CJ168/CF168*10,0)</f>
        <v>2.0672218265505276</v>
      </c>
      <c r="CJ168" s="2162">
        <f>SUM(CJ142:CJ166)</f>
        <v>614.91347083899996</v>
      </c>
      <c r="CK168" s="2152"/>
      <c r="CL168" s="2162">
        <f>SUM(CL142:CL166)</f>
        <v>-45.514711900000009</v>
      </c>
      <c r="CM168" s="2162">
        <f>SUM(CM142:CM166)</f>
        <v>74.446957900000001</v>
      </c>
      <c r="CN168" s="2152">
        <f>IFERROR(CO168/CF168*10,0)</f>
        <v>4.7052177268213944</v>
      </c>
      <c r="CO168" s="2162">
        <f>SUM(CO142:CO166)</f>
        <v>1399.6087533</v>
      </c>
      <c r="CP168" s="2162">
        <f>SUM(CP142:CP166)</f>
        <v>3976.3552359999999</v>
      </c>
      <c r="CQ168" s="2152">
        <f>IFERROR(CR168/CP168*10,0)</f>
        <v>2.6295372112975874</v>
      </c>
      <c r="CR168" s="2162">
        <f>SUM(CR142:CR166)</f>
        <v>1045.59740584</v>
      </c>
      <c r="CS168" s="2152">
        <f>IFERROR(CT168/CP168*10,0)</f>
        <v>2.2654808934178434</v>
      </c>
      <c r="CT168" s="2162">
        <f>SUM(CT142:CT166)</f>
        <v>900.83568125999989</v>
      </c>
      <c r="CU168" s="2152">
        <f>IFERROR(CV168/CP168*10,0)</f>
        <v>3.5210180351200396E-2</v>
      </c>
      <c r="CV168" s="2162">
        <f>SUM(CV142:CV166)</f>
        <v>14.000818500000001</v>
      </c>
      <c r="CW168" s="2162">
        <f>SUM(CW142:CW166)</f>
        <v>62.797376665916879</v>
      </c>
      <c r="CX168" s="2152">
        <f>IFERROR(CY168/CP168*10,0)</f>
        <v>5.0881552632635998</v>
      </c>
      <c r="CY168" s="2162">
        <f>SUM(CY142:CY166)</f>
        <v>2023.2312822659171</v>
      </c>
      <c r="CZ168" s="2162">
        <f>SUM(CZ142:CZ166)</f>
        <v>4700.3662218463687</v>
      </c>
      <c r="DA168" s="2152">
        <f t="shared" si="356"/>
        <v>2.2190428641225819</v>
      </c>
      <c r="DB168" s="2162">
        <f>SUM(DB142:DB166)</f>
        <v>1043.0314123351004</v>
      </c>
      <c r="DC168" s="2152">
        <f>IFERROR(DD168/CZ168*10,0)</f>
        <v>2.4352202269650052</v>
      </c>
      <c r="DD168" s="2162">
        <f>SUM(DD142:DD166)</f>
        <v>1144.6426897583358</v>
      </c>
      <c r="DE168" s="2152">
        <f>IFERROR(DF168/CZ168*10,0)</f>
        <v>0</v>
      </c>
      <c r="DF168" s="2162">
        <f>SUM(DF142:DF166)</f>
        <v>0</v>
      </c>
      <c r="DG168" s="2152"/>
      <c r="DH168" s="2152">
        <f t="shared" si="403"/>
        <v>4.6542630910875857</v>
      </c>
      <c r="DI168" s="2162">
        <f>SUM(DI142:DI166)</f>
        <v>2187.6741020934355</v>
      </c>
      <c r="DJ168" s="2162">
        <f>SUM(DJ142:DJ166)</f>
        <v>4187.6519189106612</v>
      </c>
      <c r="DK168" s="2152">
        <f t="shared" si="357"/>
        <v>2.4907309216054072</v>
      </c>
      <c r="DL168" s="2162">
        <f>SUM(DL142:DL166)</f>
        <v>1043.0314123351004</v>
      </c>
      <c r="DM168" s="2152">
        <f>IFERROR(DN168/DJ168*10,0)</f>
        <v>2.4569612936556777</v>
      </c>
      <c r="DN168" s="2162">
        <f>SUM(DN142:DN166)</f>
        <v>1028.8898676066419</v>
      </c>
      <c r="DO168" s="2152">
        <f>IFERROR(DP168/DJ168*10,0)</f>
        <v>0</v>
      </c>
      <c r="DP168" s="2162">
        <f>SUM(DP142:DP166)</f>
        <v>0</v>
      </c>
      <c r="DQ168" s="2152"/>
      <c r="DR168" s="2152">
        <f t="shared" si="405"/>
        <v>4.9476922152610845</v>
      </c>
      <c r="DS168" s="2162">
        <f>SUM(DS142:DS166)</f>
        <v>2071.9212799417419</v>
      </c>
      <c r="DT168" s="2162">
        <f>SUM(DT142:DT167)</f>
        <v>5282.4012884721051</v>
      </c>
      <c r="DU168" s="2152">
        <f t="shared" si="358"/>
        <v>2.3467689443207029</v>
      </c>
      <c r="DV168" s="2162">
        <f>SUM(DV142:DV167)</f>
        <v>1239.6575295226003</v>
      </c>
      <c r="DW168" s="2152">
        <f>IFERROR(DX168/DT168*10,0)</f>
        <v>2.4531831241586133</v>
      </c>
      <c r="DX168" s="2162">
        <f>SUM(DX142:DX167)</f>
        <v>1295.8697695913484</v>
      </c>
      <c r="DY168" s="2152">
        <f>IFERROR(DZ168/DT168*10,0)</f>
        <v>0</v>
      </c>
      <c r="DZ168" s="2162">
        <f>SUM(DZ142:DZ166)</f>
        <v>0</v>
      </c>
      <c r="EA168" s="2152"/>
      <c r="EB168" s="2152">
        <f t="shared" si="407"/>
        <v>4.2850322225675059</v>
      </c>
      <c r="EC168" s="2162">
        <f>SUM(EC142:EC166)</f>
        <v>2263.525973363508</v>
      </c>
      <c r="ED168" s="2162">
        <f>SUM(ED142:ED167)</f>
        <v>58051.188945229143</v>
      </c>
      <c r="EE168" s="2162"/>
      <c r="EF168" s="2152"/>
      <c r="EG168" s="2162">
        <f>SUM(EG142:EG167)</f>
        <v>14358.7789926968</v>
      </c>
      <c r="EH168" s="2152"/>
      <c r="EI168" s="2162">
        <f>SUM(EI142:EI167)</f>
        <v>13914.377854083325</v>
      </c>
      <c r="EJ168" s="2152"/>
      <c r="EK168" s="2162">
        <f>SUM(EK142:EK166)</f>
        <v>24.396026230000007</v>
      </c>
      <c r="EL168" s="2152"/>
      <c r="EM168" s="2152"/>
      <c r="EN168" s="2162">
        <f>SUM(EN142:EN167)</f>
        <v>28297.552873010132</v>
      </c>
      <c r="EO168" s="2157">
        <f t="shared" si="416"/>
        <v>4.8745862724204772</v>
      </c>
      <c r="EP168" s="2163"/>
      <c r="ES168" s="2084">
        <f t="shared" si="355"/>
        <v>0</v>
      </c>
      <c r="EU168" s="2084">
        <f t="shared" si="359"/>
        <v>10473.877886226999</v>
      </c>
      <c r="EV168" s="2084">
        <f t="shared" si="360"/>
        <v>43964.210007000001</v>
      </c>
      <c r="EW168" s="2084">
        <f t="shared" si="361"/>
        <v>2.3823646289923879</v>
      </c>
    </row>
    <row r="169" spans="1:153">
      <c r="A169" s="1760"/>
      <c r="B169" s="1592"/>
      <c r="C169" s="2166"/>
      <c r="D169" s="2167"/>
      <c r="E169" s="2152"/>
      <c r="F169" s="2167"/>
      <c r="G169" s="2162">
        <f>SUM(G30,G42,G85,G93,G112,G119,G130,G135,G138,G168)</f>
        <v>18414.656800000001</v>
      </c>
      <c r="H169" s="2168"/>
      <c r="I169" s="2169"/>
      <c r="J169" s="2152"/>
      <c r="K169" s="2160"/>
      <c r="L169" s="2160"/>
      <c r="M169" s="2161"/>
      <c r="N169" s="2152"/>
      <c r="O169" s="2152"/>
      <c r="P169" s="2152"/>
      <c r="Q169" s="2152"/>
      <c r="R169" s="2152"/>
      <c r="S169" s="2152"/>
      <c r="T169" s="2152"/>
      <c r="U169" s="2152"/>
      <c r="V169" s="2152"/>
      <c r="W169" s="2152"/>
      <c r="X169" s="2152"/>
      <c r="Y169" s="2152"/>
      <c r="Z169" s="2152"/>
      <c r="AA169" s="2152"/>
      <c r="AB169" s="2152"/>
      <c r="AC169" s="2152"/>
      <c r="AD169" s="2152"/>
      <c r="AE169" s="2152"/>
      <c r="AF169" s="2152"/>
      <c r="AG169" s="2152"/>
      <c r="AH169" s="2152"/>
      <c r="AI169" s="2152"/>
      <c r="AJ169" s="2152"/>
      <c r="AK169" s="2152"/>
      <c r="AL169" s="2152"/>
      <c r="AM169" s="2152"/>
      <c r="AN169" s="2152"/>
      <c r="AO169" s="2152"/>
      <c r="AP169" s="2152"/>
      <c r="AQ169" s="2152"/>
      <c r="AR169" s="2152"/>
      <c r="AS169" s="2152"/>
      <c r="AT169" s="2152"/>
      <c r="AU169" s="2152"/>
      <c r="AV169" s="2152"/>
      <c r="AW169" s="2152"/>
      <c r="AX169" s="2152"/>
      <c r="AY169" s="2170"/>
      <c r="AZ169" s="2152"/>
      <c r="BA169" s="2152"/>
      <c r="BB169" s="2152"/>
      <c r="BC169" s="2152"/>
      <c r="BD169" s="2152"/>
      <c r="BE169" s="2152"/>
      <c r="BF169" s="2152"/>
      <c r="BG169" s="2152"/>
      <c r="BH169" s="2152"/>
      <c r="BI169" s="2170"/>
      <c r="BJ169" s="2152"/>
      <c r="BK169" s="2152"/>
      <c r="BL169" s="2152"/>
      <c r="BM169" s="2152"/>
      <c r="BN169" s="2152"/>
      <c r="BO169" s="2152"/>
      <c r="BP169" s="2152"/>
      <c r="BQ169" s="2152"/>
      <c r="BR169" s="2152"/>
      <c r="BS169" s="2170"/>
      <c r="BT169" s="2152"/>
      <c r="BU169" s="2152"/>
      <c r="BV169" s="2152"/>
      <c r="BW169" s="2152"/>
      <c r="BX169" s="2152"/>
      <c r="BY169" s="2152"/>
      <c r="BZ169" s="2152"/>
      <c r="CA169" s="2152"/>
      <c r="CB169" s="2152"/>
      <c r="CC169" s="2170"/>
      <c r="CD169" s="2152"/>
      <c r="CE169" s="2152"/>
      <c r="CF169" s="2152"/>
      <c r="CG169" s="2152"/>
      <c r="CH169" s="2152"/>
      <c r="CI169" s="2152"/>
      <c r="CJ169" s="2152"/>
      <c r="CK169" s="2152"/>
      <c r="CL169" s="2152"/>
      <c r="CM169" s="2170"/>
      <c r="CN169" s="2152"/>
      <c r="CO169" s="2152"/>
      <c r="CP169" s="2152"/>
      <c r="CQ169" s="2152"/>
      <c r="CR169" s="2152"/>
      <c r="CS169" s="2152"/>
      <c r="CT169" s="2152"/>
      <c r="CU169" s="2152"/>
      <c r="CV169" s="2152"/>
      <c r="CW169" s="2170"/>
      <c r="CX169" s="2152"/>
      <c r="CY169" s="2152"/>
      <c r="CZ169" s="2152"/>
      <c r="DA169" s="2152"/>
      <c r="DB169" s="2152"/>
      <c r="DC169" s="2152"/>
      <c r="DD169" s="2152"/>
      <c r="DE169" s="2152"/>
      <c r="DF169" s="2152"/>
      <c r="DG169" s="2170"/>
      <c r="DH169" s="2152"/>
      <c r="DI169" s="2152"/>
      <c r="DJ169" s="2152"/>
      <c r="DK169" s="2152"/>
      <c r="DL169" s="2152"/>
      <c r="DM169" s="2152"/>
      <c r="DN169" s="2152"/>
      <c r="DO169" s="2152"/>
      <c r="DP169" s="2152"/>
      <c r="DQ169" s="2170"/>
      <c r="DR169" s="2152"/>
      <c r="DS169" s="2152"/>
      <c r="DT169" s="2152"/>
      <c r="DU169" s="2152"/>
      <c r="DV169" s="2152"/>
      <c r="DW169" s="2152"/>
      <c r="DX169" s="2152"/>
      <c r="DY169" s="2152"/>
      <c r="DZ169" s="2152"/>
      <c r="EA169" s="2152"/>
      <c r="EB169" s="2152"/>
      <c r="EC169" s="2152"/>
      <c r="ED169" s="2152"/>
      <c r="EE169" s="2162"/>
      <c r="EF169" s="2152"/>
      <c r="EG169" s="2152"/>
      <c r="EH169" s="2152"/>
      <c r="EI169" s="2152"/>
      <c r="EJ169" s="2152"/>
      <c r="EK169" s="2152"/>
      <c r="EL169" s="2152"/>
      <c r="EM169" s="2152"/>
      <c r="EN169" s="2152"/>
      <c r="EO169" s="2163"/>
      <c r="EP169" s="2163"/>
      <c r="ES169" s="2084">
        <f t="shared" si="355"/>
        <v>0</v>
      </c>
      <c r="EU169" s="2084">
        <f t="shared" si="359"/>
        <v>0</v>
      </c>
      <c r="EV169" s="2084">
        <f t="shared" si="360"/>
        <v>0</v>
      </c>
      <c r="EW169" s="2084" t="e">
        <f t="shared" si="361"/>
        <v>#DIV/0!</v>
      </c>
    </row>
    <row r="170" spans="1:153">
      <c r="A170" s="1760"/>
      <c r="B170" s="1595" t="s">
        <v>1781</v>
      </c>
      <c r="C170" s="1596"/>
      <c r="D170" s="1597"/>
      <c r="E170" s="1592"/>
      <c r="F170" s="1597"/>
      <c r="G170" s="1592"/>
      <c r="H170" s="2164"/>
      <c r="I170" s="2165"/>
      <c r="J170" s="2162">
        <f>SUM(J30,J42,J85,J93,J112,J119,J130,J135,J138,J168)</f>
        <v>0</v>
      </c>
      <c r="K170" s="2160"/>
      <c r="L170" s="2160"/>
      <c r="M170" s="2161"/>
      <c r="N170" s="2162">
        <f>SUM(N30,N42,N85,N93,N112,N119,N130,N135,N138,N168)</f>
        <v>10196.555436000002</v>
      </c>
      <c r="O170" s="2162">
        <f>IFERROR(P170/N170*10,0)</f>
        <v>1.247731184698087</v>
      </c>
      <c r="P170" s="2162">
        <f>SUM(P30,P42,P85,P93,P112,P119,P130,P135,P138,P168)</f>
        <v>1272.2560194000002</v>
      </c>
      <c r="Q170" s="2162">
        <f>IFERROR(R170/N170*10,0)</f>
        <v>1.7916879202656255</v>
      </c>
      <c r="R170" s="2162">
        <f>SUM(R30,R42,R85,R93,R112,R119,R130,R135,R138,R168)</f>
        <v>1826.9045203000003</v>
      </c>
      <c r="S170" s="2152">
        <f>IFERROR(T170/N170*10,0)</f>
        <v>0.7876699382856176</v>
      </c>
      <c r="T170" s="2162">
        <f>SUM(T30,T42,T85,T93,T112,T119,T130,T135,T138,T168)</f>
        <v>803.15201909999996</v>
      </c>
      <c r="U170" s="2162"/>
      <c r="V170" s="2162">
        <f t="shared" si="364"/>
        <v>3.8270890432493299</v>
      </c>
      <c r="W170" s="2162">
        <f>SUM(W30,W42,W85,W93,W112,W119,W130,W135,W138,W168)</f>
        <v>3902.3125588000003</v>
      </c>
      <c r="X170" s="2162">
        <f>SUM(X30,X42,X85,X93,X112,X119,X130,X135,X138,X168)</f>
        <v>9474.604242999998</v>
      </c>
      <c r="Y170" s="2162">
        <f>IFERROR(Z170/X170*10,0)</f>
        <v>1.7966129176927146</v>
      </c>
      <c r="Z170" s="2162">
        <f>SUM(Z30,Z42,Z85,Z93,Z112,Z119,Z130,Z135,Z138,Z168)</f>
        <v>1702.2196372999999</v>
      </c>
      <c r="AA170" s="2162">
        <f>IFERROR(AB170/X170*10,0)</f>
        <v>2.2256527551427361</v>
      </c>
      <c r="AB170" s="2162">
        <f>SUM(AB30,AB42,AB85,AB93,AB112,AB119,AB130,AB135,AB138,AB168)</f>
        <v>2108.7179037320002</v>
      </c>
      <c r="AC170" s="2162"/>
      <c r="AD170" s="2162">
        <f>SUM(AD30,AD42,AD85,AD93,AD112,AD119,AD130,AD135,AD138,AD168)</f>
        <v>135.96196609999998</v>
      </c>
      <c r="AE170" s="2162">
        <f>SUM(AE30,AE42,AE85,AE93,AE112,AE119,AE130,AE135,AE138,AE168)</f>
        <v>0</v>
      </c>
      <c r="AF170" s="2162">
        <f>IFERROR(AG170/X170*10,0)</f>
        <v>4.165767145417222</v>
      </c>
      <c r="AG170" s="2162">
        <f>SUM(AG30,AG42,AG85,AG93,AG112,AG119,AG130,AG135,AG138,AG168)</f>
        <v>3946.8995071320001</v>
      </c>
      <c r="AH170" s="2162">
        <f>SUM(AH30,AH42,AH85,AH93,AH112,AH119,AH130,AH135,AH138,AH168)</f>
        <v>10610.809181999999</v>
      </c>
      <c r="AI170" s="2162">
        <f>IFERROR(AJ170/AH170*10,0)</f>
        <v>1.5246842672483754</v>
      </c>
      <c r="AJ170" s="2162">
        <f>SUM(AJ30,AJ42,AJ85,AJ93,AJ112,AJ119,AJ130,AJ135,AJ138,AJ168)</f>
        <v>1617.8133822570003</v>
      </c>
      <c r="AK170" s="2162">
        <f>IFERROR(AL170/AH170*10,0)</f>
        <v>2.2900697256681668</v>
      </c>
      <c r="AL170" s="2162">
        <f>SUM(AL30,AL42,AL85,AL93,AL112,AL119,AL130,AL135,AL138,AL168)</f>
        <v>2429.9492872540004</v>
      </c>
      <c r="AM170" s="2162"/>
      <c r="AN170" s="2162">
        <f>SUM(AN30,AN42,AN85,AN93,AN112,AN119,AN130,AN135,AN138,AN168)</f>
        <v>42.535147650000006</v>
      </c>
      <c r="AO170" s="2162">
        <f>SUM(AO30,AO42,AO85,AO93,AO112,AO119,AO130,AO135,AO138,AO168)</f>
        <v>24.075495499999999</v>
      </c>
      <c r="AP170" s="2162">
        <f>IFERROR(AQ170/AH170*10,0)</f>
        <v>3.8775302072537081</v>
      </c>
      <c r="AQ170" s="2162">
        <f>SUM(AQ30,AQ42,AQ85,AQ93,AQ112,AQ119,AQ130,AQ135,AQ138,AQ168)</f>
        <v>4114.3733126610005</v>
      </c>
      <c r="AR170" s="2162">
        <f>SUM(AR30,AR42,AR85,AR93,AR112,AR119,AR130,AR135,AR138,AR168)</f>
        <v>12211.90346</v>
      </c>
      <c r="AS170" s="2162">
        <f>IFERROR(AT170/AR170*10,0)</f>
        <v>3.2200969258808736</v>
      </c>
      <c r="AT170" s="2162">
        <f>SUM(AT30,AT42,AT85,AT93,AT112,AT119,AT130,AT135,AT138,AT168)</f>
        <v>3932.3512790700006</v>
      </c>
      <c r="AU170" s="2162">
        <f>IFERROR(AV170/AR170*10,0)</f>
        <v>2.462041766943349</v>
      </c>
      <c r="AV170" s="2162">
        <f>SUM(AV30,AV42,AV85,AV93,AV112,AV119,AV130,AV135,AV138,AV168)</f>
        <v>3006.6216372399999</v>
      </c>
      <c r="AW170" s="2162"/>
      <c r="AX170" s="2162">
        <f>SUM(AX30,AX42,AX85,AX93,AX112,AX119,AX130,AX135,AX138,AX168)</f>
        <v>39.647268429999997</v>
      </c>
      <c r="AY170" s="2162">
        <f>SUM(AY30,AY42,AY85,AY93,AY112,AY119,AY130,AY135,AY138,AY168)</f>
        <v>433.54969519999997</v>
      </c>
      <c r="AZ170" s="2162">
        <f>IFERROR(BA170/AR170*10,0)</f>
        <v>6.0696269866679744</v>
      </c>
      <c r="BA170" s="2162">
        <f>SUM(BA30,BA42,BA85,BA93,BA112,BA119,BA130,BA135,BA138,BA168)</f>
        <v>7412.1698799400001</v>
      </c>
      <c r="BB170" s="2162">
        <f>SUM(BB30,BB42,BB85,BB93,BB112,BB119,BB130,BB135,BB138,BB168)</f>
        <v>11804.423498</v>
      </c>
      <c r="BC170" s="2162">
        <f>IFERROR(BD170/BB170*10,0)</f>
        <v>1.4751466359327325</v>
      </c>
      <c r="BD170" s="2162">
        <f>SUM(BD30,BD42,BD85,BD93,BD112,BD119,BD130,BD135,BD138,BD168)</f>
        <v>1741.3255612200001</v>
      </c>
      <c r="BE170" s="2162">
        <f>IFERROR(BF170/BB170*10,0)</f>
        <v>2.3587927955412296</v>
      </c>
      <c r="BF170" s="2162">
        <f>SUM(BF30,BF42,BF85,BF93,BF112,BF119,BF130,BF135,BF138,BF168)</f>
        <v>2784.4189102600003</v>
      </c>
      <c r="BG170" s="2162"/>
      <c r="BH170" s="2162">
        <f>SUM(BH30,BH42,BH85,BH93,BH112,BH119,BH130,BH135,BH138,BH168)</f>
        <v>205.7986181</v>
      </c>
      <c r="BI170" s="2162">
        <f>SUM(BI30,BI42,BI85,BI93,BI112,BI119,BI130,BI135,BI138,BI168)</f>
        <v>0</v>
      </c>
      <c r="BJ170" s="2162">
        <f>IFERROR(BK170/BB170*10,0)</f>
        <v>4.0082796846297963</v>
      </c>
      <c r="BK170" s="2162">
        <f>SUM(BK30,BK42,BK85,BK93,BK112,BK119,BK130,BK135,BK138,BK168)</f>
        <v>4731.54308958</v>
      </c>
      <c r="BL170" s="2162">
        <f>SUM(BL30,BL42,BL85,BL93,BL112,BL119,BL130,BL135,BL138,BL168)</f>
        <v>11074.017167599999</v>
      </c>
      <c r="BM170" s="2162">
        <f>IFERROR(BN170/BL170*10,0)</f>
        <v>1.5422575285090891</v>
      </c>
      <c r="BN170" s="2162">
        <f>SUM(BN30,BN42,BN85,BN93,BN112,BN119,BN130,BN135,BN138,BN168)</f>
        <v>1707.8986347569999</v>
      </c>
      <c r="BO170" s="2162">
        <f>IFERROR(BP170/BL170*10,0)</f>
        <v>2.4204017033846594</v>
      </c>
      <c r="BP170" s="2162">
        <f>SUM(BP30,BP42,BP85,BP93,BP112,BP119,BP130,BP135,BP138,BP168)</f>
        <v>2680.3570015770001</v>
      </c>
      <c r="BQ170" s="2162"/>
      <c r="BR170" s="2162">
        <f>SUM(BR30,BR42,BR85,BR93,BR112,BR119,BR130,BR135,BR138,BR168)</f>
        <v>12.363042200000006</v>
      </c>
      <c r="BS170" s="2162">
        <f>SUM(BS30,BS42,BS85,BS93,BS112,BS119,BS130,BS135,BS138,BS168)</f>
        <v>259.06222149999996</v>
      </c>
      <c r="BT170" s="2162">
        <f>IFERROR(BU170/BL170*10,0)</f>
        <v>4.2077602278486115</v>
      </c>
      <c r="BU170" s="2162">
        <f>SUM(BU30,BU42,BU85,BU93,BU112,BU119,BU130,BU135,BU138,BU168)</f>
        <v>4659.6809000340008</v>
      </c>
      <c r="BV170" s="2162">
        <f>SUM(BV30,BV42,BV85,BV93,BV112,BV119,BV130,BV135,BV138,BV168)</f>
        <v>9001.801743</v>
      </c>
      <c r="BW170" s="2162">
        <f>IFERROR(BX170/BV170*10,0)</f>
        <v>1.9138550964874321</v>
      </c>
      <c r="BX170" s="2162">
        <f>SUM(BX30,BX42,BX85,BX93,BX112,BX119,BX130,BX135,BX138,BX168)</f>
        <v>1722.814414341</v>
      </c>
      <c r="BY170" s="2162">
        <f>IFERROR(BZ170/BV170*10,0)</f>
        <v>2.3308485321958954</v>
      </c>
      <c r="BZ170" s="2162">
        <f>SUM(BZ30,BZ42,BZ85,BZ93,BZ112,BZ119,BZ130,BZ135,BZ138,BZ168)</f>
        <v>2098.1836379790002</v>
      </c>
      <c r="CA170" s="2162"/>
      <c r="CB170" s="2162">
        <f>SUM(CB30,CB42,CB85,CB93,CB112,CB119,CB130,CB135,CB138,CB168)</f>
        <v>35.642641300000001</v>
      </c>
      <c r="CC170" s="2162">
        <f>SUM(CC30,CC42,CC85,CC93,CC112,CC119,CC130,CC135,CC138,CC168)</f>
        <v>69.310226</v>
      </c>
      <c r="CD170" s="2162">
        <f>IFERROR(CE170/BV170*10,0)</f>
        <v>4.3612945849122999</v>
      </c>
      <c r="CE170" s="2162">
        <f>SUM(CE30,CE42,CE85,CE93,CE112,CE119,CE130,CE135,CE138,CE168)</f>
        <v>3925.9509196200001</v>
      </c>
      <c r="CF170" s="2162">
        <f>SUM(CF30,CF42,CF85,CF93,CF112,CF119,CF130,CF135,CF138,CF168)</f>
        <v>6859.3321889999997</v>
      </c>
      <c r="CG170" s="2162">
        <f>IFERROR(CH170/CF170*10,0)</f>
        <v>2.2094549646573474</v>
      </c>
      <c r="CH170" s="2162">
        <f>SUM(CH30,CH42,CH85,CH93,CH112,CH119,CH130,CH135,CH138,CH168)</f>
        <v>1515.5385559219999</v>
      </c>
      <c r="CI170" s="2162">
        <f>IFERROR(CJ170/CF170*10,0)</f>
        <v>1.9848695660918074</v>
      </c>
      <c r="CJ170" s="2162">
        <f>SUM(CJ30,CJ42,CJ85,CJ93,CJ112,CJ119,CJ130,CJ135,CJ138,CJ168)</f>
        <v>1361.4879705659998</v>
      </c>
      <c r="CK170" s="2162"/>
      <c r="CL170" s="2162">
        <f>SUM(CL30,CL42,CL85,CL93,CL112,CL119,CL130,CL135,CL138,CL168)</f>
        <v>40.761885000000007</v>
      </c>
      <c r="CM170" s="2162">
        <f>SUM(CM30,CM42,CM85,CM93,CM112,CM119,CM130,CM135,CM138,CM168)</f>
        <v>74.446957900000001</v>
      </c>
      <c r="CN170" s="2162">
        <f>IFERROR(CO170/CF170*10,0)</f>
        <v>4.3622838010185774</v>
      </c>
      <c r="CO170" s="2162">
        <f>SUM(CO30,CO42,CO85,CO93,CO112,CO119,CO130,CO135,CO138,CO168)</f>
        <v>2992.235369388</v>
      </c>
      <c r="CP170" s="2162">
        <f>SUM(CP30,CP42,CP85,CP93,CP112,CP119,CP130,CP135,CP138,CP168)</f>
        <v>8126.2982110000012</v>
      </c>
      <c r="CQ170" s="2162">
        <f>IFERROR(CR170/CP170*10,0)</f>
        <v>2.1680879010015937</v>
      </c>
      <c r="CR170" s="2162">
        <f>SUM(CR30,CR42,CR85,CR93,CR112,CR119,CR130,CR135,CR138,CR168)</f>
        <v>1761.8528831199999</v>
      </c>
      <c r="CS170" s="2162">
        <f>IFERROR(CT170/CP170*10,0)</f>
        <v>2.1928632129249821</v>
      </c>
      <c r="CT170" s="2162">
        <f>SUM(CT30,CT42,CT85,CT93,CT112,CT119,CT130,CT135,CT138,CT168)</f>
        <v>1781.9860404159997</v>
      </c>
      <c r="CU170" s="2152">
        <f>IFERROR(CV170/CP170*10,0)</f>
        <v>7.5103742645557692E-2</v>
      </c>
      <c r="CV170" s="2162">
        <f>SUM(CV30,CV42,CV85,CV93,CV112,CV119,CV130,CV135,CV138,CV168)</f>
        <v>61.03154095</v>
      </c>
      <c r="CW170" s="2162">
        <f>SUM(CW30,CW42,CW85,CW93,CW112,CW119,CW130,CW135,CW138,CW168)</f>
        <v>62.797387131022596</v>
      </c>
      <c r="CX170" s="2162">
        <f>IFERROR(CY170/CP170*10,0)</f>
        <v>4.5133316011617159</v>
      </c>
      <c r="CY170" s="2162">
        <f>SUM(CY30,CY42,CY85,CY93,CY112,CY119,CY130,CY135,CY138,CY168)</f>
        <v>3667.6678516170223</v>
      </c>
      <c r="CZ170" s="2162">
        <f>SUM(CZ30,CZ42,CZ85,CZ93,CZ112,CZ119,CZ130,CZ135,CZ138,CZ168)</f>
        <v>9504.4232351679675</v>
      </c>
      <c r="DA170" s="2162">
        <f>IFERROR(DB170/CZ170*10,0)</f>
        <v>1.8579896106451428</v>
      </c>
      <c r="DB170" s="2162">
        <f>SUM(DB30,DB42,DB85,DB93,DB112,DB119,DB130,DB135,DB138,DB168)</f>
        <v>1765.911962611638</v>
      </c>
      <c r="DC170" s="2162">
        <f>IFERROR(DD170/CZ170*10,0)</f>
        <v>2.3306546816496083</v>
      </c>
      <c r="DD170" s="2162">
        <f>SUM(DD30,DD42,DD85,DD93,DD112,DD119,DD130,DD135,DD138,DD168)</f>
        <v>2215.1528509423542</v>
      </c>
      <c r="DE170" s="2152">
        <f>IFERROR(DF170/CZ170*10,0)</f>
        <v>0</v>
      </c>
      <c r="DF170" s="2162">
        <f>SUM(DF30,DF42,DF85,DF93,DF112,DF119,DF130,DF135,DF138,DF168)</f>
        <v>0</v>
      </c>
      <c r="DG170" s="2162"/>
      <c r="DH170" s="2162">
        <f>IFERROR(DI170/CZ170*10,0)</f>
        <v>3.9723270317930766</v>
      </c>
      <c r="DI170" s="2162">
        <f>SUM(DI30,DI42,DI85,DI93,DI112,DI119,DI130,DI135,DI138,DI168)</f>
        <v>3775.4677338659922</v>
      </c>
      <c r="DJ170" s="2162">
        <f>SUM(DJ30,DJ42,DJ85,DJ93,DJ112,DJ119,DJ130,DJ135,DJ138,DJ168)</f>
        <v>9430.0620500573241</v>
      </c>
      <c r="DK170" s="2162">
        <f>IFERROR(DL170/DJ170*10,0)</f>
        <v>1.8726408726026391</v>
      </c>
      <c r="DL170" s="2162">
        <f>SUM(DL30,DL42,DL85,DL93,DL112,DL119,DL130,DL135,DL138,DL168)</f>
        <v>1765.911962611638</v>
      </c>
      <c r="DM170" s="2162">
        <f>IFERROR(DN170/DJ170*10,0)</f>
        <v>2.4334768806855394</v>
      </c>
      <c r="DN170" s="2162">
        <f>SUM(DN30,DN42,DN85,DN93,DN112,DN119,DN130,DN135,DN138,DN168)</f>
        <v>2294.7837982244578</v>
      </c>
      <c r="DO170" s="2152">
        <f>IFERROR(DP170/DJ170*10,0)</f>
        <v>0</v>
      </c>
      <c r="DP170" s="2162">
        <f>SUM(DP30,DP42,DP85,DP93,DP112,DP119,DP130,DP135,DP138,DP168)</f>
        <v>0</v>
      </c>
      <c r="DQ170" s="2162"/>
      <c r="DR170" s="2162">
        <f>IFERROR(DS170/DJ170*10,0)</f>
        <v>4.1012715848127277</v>
      </c>
      <c r="DS170" s="2162">
        <f>SUM(DS30,DS42,DS85,DS93,DS112,DS119,DS130,DS135,DS138,DS168)</f>
        <v>3867.5245528920959</v>
      </c>
      <c r="DT170" s="2162">
        <f>SUM(DT30,DT42,DT85,DT93,DT112,DT119,DT130,DT135,DT138,DT168)</f>
        <v>11208.593431110372</v>
      </c>
      <c r="DU170" s="2162">
        <f>IFERROR(DV170/DT170*10,0)</f>
        <v>1.7552832047046922</v>
      </c>
      <c r="DV170" s="2162">
        <f>SUM(DV30,DV42,DV85,DV93,DV112,DV119,DV130,DV135,DV138,DV168)</f>
        <v>1967.4255797991377</v>
      </c>
      <c r="DW170" s="2162">
        <f>IFERROR(DX170/DT170*10,0)</f>
        <v>2.4555714358555076</v>
      </c>
      <c r="DX170" s="2162">
        <f>SUM(DX30,DX42,DX85,DX93,DX112,DX119,DX130,DX135,DX138,DX168)</f>
        <v>2752.3501865552307</v>
      </c>
      <c r="DY170" s="2152">
        <f>IFERROR(DZ170/DT170*10,0)</f>
        <v>0</v>
      </c>
      <c r="DZ170" s="2162">
        <f>SUM(DZ30,DZ42,DZ85,DZ93,DZ112,DZ119,DZ130,DZ135,DZ138,DZ168)</f>
        <v>0</v>
      </c>
      <c r="EA170" s="2162"/>
      <c r="EB170" s="2162">
        <f>IFERROR(EC170/DT170*10,0)</f>
        <v>3.7847544270286542</v>
      </c>
      <c r="EC170" s="2162">
        <f>SUM(EC30,EC42,EC85,EC93,EC112,EC119,EC130,EC135,EC138,EC168)</f>
        <v>4242.1773609159272</v>
      </c>
      <c r="ED170" s="2162">
        <f>SUM(ED30,ED42,ED85,ED93,ED112,ED119,ED130,ED135,ED138,ED168)</f>
        <v>119419.38335493566</v>
      </c>
      <c r="EE170" s="2162"/>
      <c r="EF170" s="2152">
        <f>IFERROR(EG170/ED170*10,0)</f>
        <v>1.8777411746853256</v>
      </c>
      <c r="EG170" s="2162">
        <f>SUM(EG30,EG42,EG85,EG93,EG112,EG119,EG130,EG135,EG138,EG168)</f>
        <v>22423.869318109413</v>
      </c>
      <c r="EH170" s="2152">
        <f>IFERROR(EI170/ED170*10,0)</f>
        <v>2.2870668578793345</v>
      </c>
      <c r="EI170" s="2162">
        <f>SUM(EI30,EI42,EI85,EI93,EI112,EI119,EI130,EI135,EI138,EI168)</f>
        <v>27312.011385946043</v>
      </c>
      <c r="EJ170" s="2152"/>
      <c r="EK170" s="2162">
        <f>SUM(EK30,EK42,EK85,EK93,EK112,EK119,EK130,EK135,EK138,EK168)</f>
        <v>1369.7150430300001</v>
      </c>
      <c r="EL170" s="2152"/>
      <c r="EM170" s="2152"/>
      <c r="EN170" s="2162">
        <f>SUM(EN30,EN42,EN85,EN93,EN112,EN119,EN130,EN135,EN138,EN168)</f>
        <v>51105.595747085463</v>
      </c>
      <c r="EO170" s="2157">
        <f>IFERROR(EN170/ED170*10,0)</f>
        <v>4.2795059153161539</v>
      </c>
      <c r="EP170" s="2163"/>
      <c r="ES170" s="2084">
        <f t="shared" si="355"/>
        <v>0</v>
      </c>
      <c r="EU170" s="2084">
        <f t="shared" si="359"/>
        <v>20078.626909323997</v>
      </c>
      <c r="EV170" s="2084">
        <f t="shared" si="360"/>
        <v>89359.745129600007</v>
      </c>
      <c r="EW170" s="2084">
        <f t="shared" si="361"/>
        <v>2.2469431711341179</v>
      </c>
    </row>
    <row r="171" spans="1:153">
      <c r="A171" s="1760"/>
      <c r="B171" s="1592"/>
      <c r="C171" s="1596"/>
      <c r="D171" s="1597"/>
      <c r="E171" s="1592"/>
      <c r="F171" s="1597"/>
      <c r="G171" s="1592"/>
      <c r="H171" s="2168"/>
      <c r="I171" s="2169"/>
      <c r="J171" s="2152"/>
      <c r="K171" s="2160"/>
      <c r="L171" s="2160"/>
      <c r="M171" s="2161"/>
      <c r="N171" s="2152"/>
      <c r="O171" s="2152"/>
      <c r="P171" s="2152"/>
      <c r="Q171" s="2152"/>
      <c r="R171" s="2152"/>
      <c r="S171" s="2152"/>
      <c r="T171" s="2152"/>
      <c r="U171" s="2152"/>
      <c r="V171" s="2152"/>
      <c r="W171" s="2152"/>
      <c r="X171" s="2152"/>
      <c r="Y171" s="2152"/>
      <c r="Z171" s="2152"/>
      <c r="AA171" s="2152"/>
      <c r="AB171" s="2152"/>
      <c r="AC171" s="2152"/>
      <c r="AD171" s="2152"/>
      <c r="AE171" s="2152"/>
      <c r="AF171" s="2152"/>
      <c r="AG171" s="2152"/>
      <c r="AH171" s="2152"/>
      <c r="AI171" s="2152"/>
      <c r="AJ171" s="2152"/>
      <c r="AK171" s="2152"/>
      <c r="AL171" s="2152"/>
      <c r="AM171" s="2152"/>
      <c r="AN171" s="2152"/>
      <c r="AO171" s="2170"/>
      <c r="AP171" s="2152"/>
      <c r="AQ171" s="2152"/>
      <c r="AR171" s="2152"/>
      <c r="AS171" s="2152"/>
      <c r="AT171" s="2152"/>
      <c r="AU171" s="2152"/>
      <c r="AV171" s="2152"/>
      <c r="AW171" s="2152"/>
      <c r="AX171" s="2152"/>
      <c r="AY171" s="2170"/>
      <c r="AZ171" s="2152"/>
      <c r="BA171" s="2152"/>
      <c r="BB171" s="2152"/>
      <c r="BC171" s="2152"/>
      <c r="BD171" s="2152"/>
      <c r="BE171" s="2152"/>
      <c r="BF171" s="2152"/>
      <c r="BG171" s="2152"/>
      <c r="BH171" s="2152"/>
      <c r="BI171" s="2170"/>
      <c r="BJ171" s="2152"/>
      <c r="BK171" s="2152"/>
      <c r="BL171" s="2152"/>
      <c r="BM171" s="2152"/>
      <c r="BN171" s="2152"/>
      <c r="BO171" s="2152"/>
      <c r="BP171" s="2152"/>
      <c r="BQ171" s="2152"/>
      <c r="BR171" s="2152"/>
      <c r="BS171" s="2170"/>
      <c r="BT171" s="2152"/>
      <c r="BU171" s="2152"/>
      <c r="BV171" s="2152"/>
      <c r="BW171" s="2152"/>
      <c r="BX171" s="2152"/>
      <c r="BY171" s="2152"/>
      <c r="BZ171" s="2152"/>
      <c r="CA171" s="2152"/>
      <c r="CB171" s="2152"/>
      <c r="CC171" s="2170"/>
      <c r="CD171" s="2152"/>
      <c r="CE171" s="2152"/>
      <c r="CF171" s="2152"/>
      <c r="CG171" s="2152"/>
      <c r="CH171" s="2152"/>
      <c r="CI171" s="2152"/>
      <c r="CJ171" s="2152"/>
      <c r="CK171" s="2152"/>
      <c r="CL171" s="2152"/>
      <c r="CM171" s="2170"/>
      <c r="CN171" s="2152"/>
      <c r="CO171" s="2152"/>
      <c r="CP171" s="2106"/>
      <c r="CQ171" s="2106"/>
      <c r="CR171" s="2106"/>
      <c r="CS171" s="2106"/>
      <c r="CT171" s="2109"/>
      <c r="CU171" s="2152"/>
      <c r="CV171" s="2152"/>
      <c r="CW171" s="2170"/>
      <c r="CX171" s="2152"/>
      <c r="CY171" s="2152"/>
      <c r="CZ171" s="2106"/>
      <c r="DA171" s="2106"/>
      <c r="DB171" s="2106"/>
      <c r="DC171" s="2106"/>
      <c r="DD171" s="2109"/>
      <c r="DE171" s="2152"/>
      <c r="DF171" s="2152"/>
      <c r="DG171" s="2170"/>
      <c r="DH171" s="2152"/>
      <c r="DI171" s="2152"/>
      <c r="DJ171" s="2106"/>
      <c r="DK171" s="2106"/>
      <c r="DL171" s="2106"/>
      <c r="DM171" s="2106"/>
      <c r="DN171" s="2109"/>
      <c r="DO171" s="2152"/>
      <c r="DP171" s="2152"/>
      <c r="DQ171" s="2170"/>
      <c r="DR171" s="2152"/>
      <c r="DS171" s="2152"/>
      <c r="DT171" s="2106"/>
      <c r="DU171" s="2106"/>
      <c r="DV171" s="2106"/>
      <c r="DW171" s="2106"/>
      <c r="DX171" s="2109"/>
      <c r="DY171" s="2152"/>
      <c r="DZ171" s="2152"/>
      <c r="EA171" s="2152"/>
      <c r="EB171" s="2152"/>
      <c r="EC171" s="2152"/>
      <c r="ED171" s="2152"/>
      <c r="EE171" s="2162"/>
      <c r="EF171" s="2152"/>
      <c r="EG171" s="2152"/>
      <c r="EH171" s="2152"/>
      <c r="EI171" s="2152"/>
      <c r="EJ171" s="2152"/>
      <c r="EK171" s="2152"/>
      <c r="EL171" s="2152"/>
      <c r="EM171" s="2152"/>
      <c r="EN171" s="2152"/>
      <c r="EO171" s="2163"/>
      <c r="EP171" s="2163"/>
      <c r="ES171" s="2084">
        <f t="shared" si="355"/>
        <v>0</v>
      </c>
      <c r="EU171" s="2084">
        <f t="shared" si="359"/>
        <v>0</v>
      </c>
      <c r="EV171" s="2084">
        <f t="shared" si="360"/>
        <v>0</v>
      </c>
      <c r="EW171" s="2084" t="e">
        <f t="shared" si="361"/>
        <v>#DIV/0!</v>
      </c>
    </row>
    <row r="172" spans="1:153">
      <c r="A172" s="1760" t="s">
        <v>58</v>
      </c>
      <c r="B172" s="1592" t="s">
        <v>1782</v>
      </c>
      <c r="C172" s="1596"/>
      <c r="D172" s="1597"/>
      <c r="E172" s="1592"/>
      <c r="F172" s="1597"/>
      <c r="G172" s="1592"/>
      <c r="H172" s="2168"/>
      <c r="I172" s="2169"/>
      <c r="J172" s="2152"/>
      <c r="K172" s="2160"/>
      <c r="L172" s="2160"/>
      <c r="M172" s="2161"/>
      <c r="N172" s="2152"/>
      <c r="O172" s="2152"/>
      <c r="P172" s="2152"/>
      <c r="Q172" s="2152"/>
      <c r="R172" s="2152"/>
      <c r="S172" s="2152"/>
      <c r="T172" s="2152"/>
      <c r="U172" s="2152"/>
      <c r="V172" s="2152"/>
      <c r="W172" s="2152"/>
      <c r="X172" s="2152"/>
      <c r="Y172" s="2152"/>
      <c r="Z172" s="2152"/>
      <c r="AA172" s="2152"/>
      <c r="AB172" s="2152"/>
      <c r="AC172" s="2152"/>
      <c r="AD172" s="2152"/>
      <c r="AE172" s="2152"/>
      <c r="AF172" s="2152"/>
      <c r="AG172" s="2152"/>
      <c r="AH172" s="2152"/>
      <c r="AI172" s="2152"/>
      <c r="AJ172" s="2152"/>
      <c r="AK172" s="2152"/>
      <c r="AL172" s="2152"/>
      <c r="AM172" s="2152"/>
      <c r="AN172" s="2152"/>
      <c r="AO172" s="2170"/>
      <c r="AP172" s="2152"/>
      <c r="AQ172" s="2152"/>
      <c r="AR172" s="2152"/>
      <c r="AS172" s="2152"/>
      <c r="AT172" s="2152"/>
      <c r="AU172" s="2152"/>
      <c r="AV172" s="2152"/>
      <c r="AW172" s="2152"/>
      <c r="AX172" s="2152"/>
      <c r="AY172" s="2170"/>
      <c r="AZ172" s="2152"/>
      <c r="BA172" s="2152"/>
      <c r="BB172" s="2152"/>
      <c r="BC172" s="2152"/>
      <c r="BD172" s="2152"/>
      <c r="BE172" s="2152"/>
      <c r="BF172" s="2152"/>
      <c r="BG172" s="2152"/>
      <c r="BH172" s="2152"/>
      <c r="BI172" s="2170"/>
      <c r="BJ172" s="2152"/>
      <c r="BK172" s="2152"/>
      <c r="BL172" s="2152"/>
      <c r="BM172" s="2152"/>
      <c r="BN172" s="2152"/>
      <c r="BO172" s="2152"/>
      <c r="BP172" s="2152"/>
      <c r="BQ172" s="2152"/>
      <c r="BR172" s="2152"/>
      <c r="BS172" s="2170"/>
      <c r="BT172" s="2152"/>
      <c r="BU172" s="2152"/>
      <c r="BV172" s="2152"/>
      <c r="BW172" s="2152"/>
      <c r="BX172" s="2152"/>
      <c r="BY172" s="2152"/>
      <c r="BZ172" s="2152"/>
      <c r="CA172" s="2152"/>
      <c r="CB172" s="2152"/>
      <c r="CC172" s="2170"/>
      <c r="CD172" s="2152"/>
      <c r="CE172" s="2152"/>
      <c r="CF172" s="2152"/>
      <c r="CG172" s="2152"/>
      <c r="CH172" s="2152"/>
      <c r="CI172" s="2152"/>
      <c r="CJ172" s="2152"/>
      <c r="CK172" s="2152"/>
      <c r="CL172" s="2152"/>
      <c r="CM172" s="2170"/>
      <c r="CN172" s="2152"/>
      <c r="CO172" s="2152"/>
      <c r="CP172" s="2121"/>
      <c r="CQ172" s="2106"/>
      <c r="CR172" s="2106"/>
      <c r="CS172" s="2106"/>
      <c r="CT172" s="2106"/>
      <c r="CU172" s="2106"/>
      <c r="CV172" s="2106"/>
      <c r="CW172" s="2170"/>
      <c r="CX172" s="2152"/>
      <c r="CY172" s="2152"/>
      <c r="CZ172" s="2106">
        <v>0</v>
      </c>
      <c r="DA172" s="2106">
        <f t="shared" si="356"/>
        <v>0</v>
      </c>
      <c r="DB172" s="2106">
        <v>0</v>
      </c>
      <c r="DC172" s="2106">
        <v>0</v>
      </c>
      <c r="DD172" s="2109">
        <f t="shared" si="302"/>
        <v>0</v>
      </c>
      <c r="DE172" s="2152"/>
      <c r="DF172" s="2152"/>
      <c r="DG172" s="2170"/>
      <c r="DH172" s="2152"/>
      <c r="DI172" s="2152"/>
      <c r="DJ172" s="2106">
        <v>0</v>
      </c>
      <c r="DK172" s="2106">
        <f t="shared" si="357"/>
        <v>0</v>
      </c>
      <c r="DL172" s="2106">
        <v>0</v>
      </c>
      <c r="DM172" s="2106">
        <v>0</v>
      </c>
      <c r="DN172" s="2109">
        <f t="shared" si="303"/>
        <v>0</v>
      </c>
      <c r="DO172" s="2152"/>
      <c r="DP172" s="2152"/>
      <c r="DQ172" s="2170"/>
      <c r="DR172" s="2152"/>
      <c r="DS172" s="2152"/>
      <c r="DT172" s="2106">
        <v>0</v>
      </c>
      <c r="DU172" s="2106">
        <f t="shared" si="358"/>
        <v>0</v>
      </c>
      <c r="DV172" s="2106">
        <v>0</v>
      </c>
      <c r="DW172" s="2106">
        <v>0</v>
      </c>
      <c r="DX172" s="2109">
        <f t="shared" si="304"/>
        <v>0</v>
      </c>
      <c r="DY172" s="2152"/>
      <c r="DZ172" s="2152"/>
      <c r="EA172" s="2152"/>
      <c r="EB172" s="2152"/>
      <c r="EC172" s="2152"/>
      <c r="ED172" s="2152"/>
      <c r="EE172" s="2162"/>
      <c r="EF172" s="2152"/>
      <c r="EG172" s="2152"/>
      <c r="EH172" s="2152"/>
      <c r="EI172" s="2152"/>
      <c r="EJ172" s="2152"/>
      <c r="EK172" s="2152"/>
      <c r="EL172" s="2152"/>
      <c r="EM172" s="2152"/>
      <c r="EN172" s="2152"/>
      <c r="EO172" s="2163"/>
      <c r="EP172" s="2163"/>
      <c r="ES172" s="2084">
        <f t="shared" si="355"/>
        <v>0</v>
      </c>
      <c r="EU172" s="2084">
        <f t="shared" si="359"/>
        <v>0</v>
      </c>
      <c r="EV172" s="2084">
        <f t="shared" si="360"/>
        <v>0</v>
      </c>
      <c r="EW172" s="2084" t="e">
        <f t="shared" si="361"/>
        <v>#DIV/0!</v>
      </c>
    </row>
    <row r="173" spans="1:153">
      <c r="A173" s="1760"/>
      <c r="B173" s="1592"/>
      <c r="C173" s="1596"/>
      <c r="D173" s="1597"/>
      <c r="E173" s="1592"/>
      <c r="F173" s="1597"/>
      <c r="G173" s="1592"/>
      <c r="H173" s="2168"/>
      <c r="I173" s="2169"/>
      <c r="J173" s="2152"/>
      <c r="K173" s="2160"/>
      <c r="L173" s="2160"/>
      <c r="M173" s="2161"/>
      <c r="N173" s="2152"/>
      <c r="O173" s="2152"/>
      <c r="P173" s="2152"/>
      <c r="Q173" s="2152"/>
      <c r="R173" s="2152"/>
      <c r="S173" s="2152"/>
      <c r="T173" s="2152"/>
      <c r="U173" s="2152"/>
      <c r="V173" s="2152"/>
      <c r="W173" s="2152"/>
      <c r="X173" s="2152"/>
      <c r="Y173" s="2152"/>
      <c r="Z173" s="2152"/>
      <c r="AA173" s="2152"/>
      <c r="AB173" s="2152"/>
      <c r="AC173" s="2152"/>
      <c r="AD173" s="2152"/>
      <c r="AE173" s="2152"/>
      <c r="AF173" s="2152"/>
      <c r="AG173" s="2152"/>
      <c r="AH173" s="2152"/>
      <c r="AI173" s="2152"/>
      <c r="AJ173" s="2152"/>
      <c r="AK173" s="2152"/>
      <c r="AL173" s="2152"/>
      <c r="AM173" s="2152"/>
      <c r="AN173" s="2152"/>
      <c r="AO173" s="2170"/>
      <c r="AP173" s="2152"/>
      <c r="AQ173" s="2152"/>
      <c r="AR173" s="2152"/>
      <c r="AS173" s="2152"/>
      <c r="AT173" s="2152"/>
      <c r="AU173" s="2152"/>
      <c r="AV173" s="2152"/>
      <c r="AW173" s="2152"/>
      <c r="AX173" s="2152"/>
      <c r="AY173" s="2170"/>
      <c r="AZ173" s="2152"/>
      <c r="BA173" s="2152"/>
      <c r="BB173" s="2152"/>
      <c r="BC173" s="2152"/>
      <c r="BD173" s="2152"/>
      <c r="BE173" s="2152"/>
      <c r="BF173" s="2152"/>
      <c r="BG173" s="2152"/>
      <c r="BH173" s="2152"/>
      <c r="BI173" s="2170"/>
      <c r="BJ173" s="2152"/>
      <c r="BK173" s="2152"/>
      <c r="BL173" s="2152"/>
      <c r="BM173" s="2152"/>
      <c r="BN173" s="2152"/>
      <c r="BO173" s="2152"/>
      <c r="BP173" s="2152"/>
      <c r="BQ173" s="2152"/>
      <c r="BR173" s="2152"/>
      <c r="BS173" s="2170"/>
      <c r="BT173" s="2152"/>
      <c r="BU173" s="2152"/>
      <c r="BV173" s="2152"/>
      <c r="BW173" s="2152"/>
      <c r="BX173" s="2152"/>
      <c r="BY173" s="2152"/>
      <c r="BZ173" s="2152"/>
      <c r="CA173" s="2152"/>
      <c r="CB173" s="2152"/>
      <c r="CC173" s="2170"/>
      <c r="CD173" s="2152"/>
      <c r="CE173" s="2152"/>
      <c r="CF173" s="2152"/>
      <c r="CG173" s="2152"/>
      <c r="CH173" s="2152"/>
      <c r="CI173" s="2152"/>
      <c r="CJ173" s="2152"/>
      <c r="CK173" s="2152"/>
      <c r="CL173" s="2152"/>
      <c r="CM173" s="2170"/>
      <c r="CN173" s="2152"/>
      <c r="CO173" s="2152"/>
      <c r="CP173" s="2106"/>
      <c r="CQ173" s="2106"/>
      <c r="CR173" s="2106"/>
      <c r="CS173" s="2106"/>
      <c r="CT173" s="2109"/>
      <c r="CU173" s="2152"/>
      <c r="CV173" s="2152"/>
      <c r="CW173" s="2170"/>
      <c r="CX173" s="2152"/>
      <c r="CY173" s="2152"/>
      <c r="CZ173" s="2106">
        <v>0</v>
      </c>
      <c r="DA173" s="2106">
        <f t="shared" si="356"/>
        <v>0</v>
      </c>
      <c r="DB173" s="2106">
        <v>0</v>
      </c>
      <c r="DC173" s="2106">
        <v>0</v>
      </c>
      <c r="DD173" s="2109">
        <f t="shared" si="302"/>
        <v>0</v>
      </c>
      <c r="DE173" s="2152"/>
      <c r="DF173" s="2152"/>
      <c r="DG173" s="2170"/>
      <c r="DH173" s="2152"/>
      <c r="DI173" s="2152"/>
      <c r="DJ173" s="2106">
        <v>0</v>
      </c>
      <c r="DK173" s="2106">
        <f t="shared" si="357"/>
        <v>0</v>
      </c>
      <c r="DL173" s="2106">
        <v>0</v>
      </c>
      <c r="DM173" s="2106">
        <v>0</v>
      </c>
      <c r="DN173" s="2109">
        <f t="shared" si="303"/>
        <v>0</v>
      </c>
      <c r="DO173" s="2152"/>
      <c r="DP173" s="2152"/>
      <c r="DQ173" s="2170"/>
      <c r="DR173" s="2152"/>
      <c r="DS173" s="2152"/>
      <c r="DT173" s="2106">
        <v>0</v>
      </c>
      <c r="DU173" s="2106">
        <f t="shared" si="358"/>
        <v>0</v>
      </c>
      <c r="DV173" s="2106">
        <v>0</v>
      </c>
      <c r="DW173" s="2106">
        <v>0</v>
      </c>
      <c r="DX173" s="2109">
        <f t="shared" si="304"/>
        <v>0</v>
      </c>
      <c r="DY173" s="2152"/>
      <c r="DZ173" s="2152"/>
      <c r="EA173" s="2152"/>
      <c r="EB173" s="2152"/>
      <c r="EC173" s="2152"/>
      <c r="ED173" s="2152"/>
      <c r="EE173" s="2162"/>
      <c r="EF173" s="2152"/>
      <c r="EG173" s="2152"/>
      <c r="EH173" s="2152"/>
      <c r="EI173" s="2152"/>
      <c r="EJ173" s="2152"/>
      <c r="EK173" s="2152"/>
      <c r="EL173" s="2152"/>
      <c r="EM173" s="2152"/>
      <c r="EN173" s="2152"/>
      <c r="EO173" s="2163"/>
      <c r="EP173" s="2163"/>
      <c r="ES173" s="2084">
        <f t="shared" si="355"/>
        <v>0</v>
      </c>
      <c r="EU173" s="2084">
        <f t="shared" si="359"/>
        <v>0</v>
      </c>
      <c r="EV173" s="2084">
        <f t="shared" si="360"/>
        <v>0</v>
      </c>
      <c r="EW173" s="2084" t="e">
        <f t="shared" si="361"/>
        <v>#DIV/0!</v>
      </c>
    </row>
    <row r="174" spans="1:153">
      <c r="A174" s="1760" t="s">
        <v>67</v>
      </c>
      <c r="B174" s="1592" t="s">
        <v>1783</v>
      </c>
      <c r="C174" s="1596"/>
      <c r="D174" s="1597"/>
      <c r="E174" s="1592"/>
      <c r="F174" s="1597"/>
      <c r="G174" s="1592"/>
      <c r="H174" s="2168"/>
      <c r="I174" s="2169"/>
      <c r="J174" s="2152"/>
      <c r="K174" s="2160"/>
      <c r="L174" s="2160"/>
      <c r="M174" s="2161"/>
      <c r="N174" s="2152"/>
      <c r="O174" s="2152"/>
      <c r="P174" s="2152"/>
      <c r="Q174" s="2152"/>
      <c r="R174" s="2152"/>
      <c r="S174" s="2152"/>
      <c r="T174" s="2152"/>
      <c r="U174" s="2152"/>
      <c r="V174" s="2152"/>
      <c r="W174" s="2152"/>
      <c r="X174" s="2152"/>
      <c r="Y174" s="2152"/>
      <c r="Z174" s="2152"/>
      <c r="AA174" s="2152"/>
      <c r="AB174" s="2152"/>
      <c r="AC174" s="2152"/>
      <c r="AD174" s="2152"/>
      <c r="AE174" s="2152"/>
      <c r="AF174" s="2152"/>
      <c r="AG174" s="2152"/>
      <c r="AH174" s="2152"/>
      <c r="AI174" s="2152"/>
      <c r="AJ174" s="2152"/>
      <c r="AK174" s="2152"/>
      <c r="AL174" s="2152"/>
      <c r="AM174" s="2152"/>
      <c r="AN174" s="2152"/>
      <c r="AO174" s="2170"/>
      <c r="AP174" s="2152"/>
      <c r="AQ174" s="2152"/>
      <c r="AR174" s="2152"/>
      <c r="AS174" s="2152"/>
      <c r="AT174" s="2152"/>
      <c r="AU174" s="2152"/>
      <c r="AV174" s="2152"/>
      <c r="AW174" s="2152"/>
      <c r="AX174" s="2152"/>
      <c r="AY174" s="2170"/>
      <c r="AZ174" s="2152"/>
      <c r="BA174" s="2152"/>
      <c r="BB174" s="2152"/>
      <c r="BC174" s="2152"/>
      <c r="BD174" s="2152"/>
      <c r="BE174" s="2152"/>
      <c r="BF174" s="2152"/>
      <c r="BG174" s="2152"/>
      <c r="BH174" s="2152"/>
      <c r="BI174" s="2170"/>
      <c r="BJ174" s="2152"/>
      <c r="BK174" s="2152"/>
      <c r="BL174" s="2152"/>
      <c r="BM174" s="2152"/>
      <c r="BN174" s="2152"/>
      <c r="BO174" s="2152"/>
      <c r="BP174" s="2152"/>
      <c r="BQ174" s="2152"/>
      <c r="BR174" s="2152"/>
      <c r="BS174" s="2170"/>
      <c r="BT174" s="2152"/>
      <c r="BU174" s="2152"/>
      <c r="BV174" s="2152"/>
      <c r="BW174" s="2152"/>
      <c r="BX174" s="2152"/>
      <c r="BY174" s="2152"/>
      <c r="BZ174" s="2152"/>
      <c r="CA174" s="2152"/>
      <c r="CB174" s="2152"/>
      <c r="CC174" s="2170"/>
      <c r="CD174" s="2152"/>
      <c r="CE174" s="2152"/>
      <c r="CF174" s="2152"/>
      <c r="CG174" s="2152"/>
      <c r="CH174" s="2152"/>
      <c r="CI174" s="2152"/>
      <c r="CJ174" s="2152"/>
      <c r="CK174" s="2152"/>
      <c r="CL174" s="2152"/>
      <c r="CM174" s="2170"/>
      <c r="CN174" s="2152"/>
      <c r="CO174" s="2152"/>
      <c r="CP174" s="2121"/>
      <c r="CQ174" s="2106"/>
      <c r="CR174" s="2106"/>
      <c r="CS174" s="2106"/>
      <c r="CT174" s="2106"/>
      <c r="CU174" s="2106"/>
      <c r="CV174" s="2106"/>
      <c r="CW174" s="2170"/>
      <c r="CX174" s="2152"/>
      <c r="CY174" s="2152"/>
      <c r="CZ174" s="2106">
        <v>0</v>
      </c>
      <c r="DA174" s="2106">
        <f t="shared" si="356"/>
        <v>0</v>
      </c>
      <c r="DB174" s="2106">
        <v>0</v>
      </c>
      <c r="DC174" s="2106">
        <v>5.5</v>
      </c>
      <c r="DD174" s="2109">
        <f t="shared" si="302"/>
        <v>0</v>
      </c>
      <c r="DE174" s="2152"/>
      <c r="DF174" s="2152"/>
      <c r="DG174" s="2170"/>
      <c r="DH174" s="2152">
        <f>IFERROR(DI174/CZ174*10,0)</f>
        <v>0</v>
      </c>
      <c r="DI174" s="2152">
        <f>SUM(DB174,DD174,DF174,DG174)</f>
        <v>0</v>
      </c>
      <c r="DJ174" s="2106">
        <v>0</v>
      </c>
      <c r="DK174" s="2106">
        <f t="shared" si="357"/>
        <v>0</v>
      </c>
      <c r="DL174" s="2106">
        <v>0</v>
      </c>
      <c r="DM174" s="2106">
        <v>5.5</v>
      </c>
      <c r="DN174" s="2109">
        <f t="shared" si="303"/>
        <v>0</v>
      </c>
      <c r="DO174" s="2152"/>
      <c r="DP174" s="2152"/>
      <c r="DQ174" s="2170"/>
      <c r="DR174" s="2152">
        <f>IFERROR(DS174/DJ174*10,0)</f>
        <v>0</v>
      </c>
      <c r="DS174" s="2152">
        <f>SUM(DL174,DN174,DP174,DQ174)</f>
        <v>0</v>
      </c>
      <c r="DT174" s="2106">
        <v>420.04451168565527</v>
      </c>
      <c r="DU174" s="2106">
        <f t="shared" si="358"/>
        <v>0</v>
      </c>
      <c r="DV174" s="2106">
        <v>0</v>
      </c>
      <c r="DW174" s="2106">
        <v>5.5</v>
      </c>
      <c r="DX174" s="2109">
        <f t="shared" si="304"/>
        <v>231.0244814271104</v>
      </c>
      <c r="DY174" s="2152"/>
      <c r="DZ174" s="2152"/>
      <c r="EA174" s="2152"/>
      <c r="EB174" s="2152">
        <f>IFERROR(EC174/DT174*10,0)</f>
        <v>5.5</v>
      </c>
      <c r="EC174" s="2152">
        <f>SUM(DV174,DX174,DZ174,EA174)</f>
        <v>231.0244814271104</v>
      </c>
      <c r="ED174" s="2152">
        <f>SUM(N174,X174,AH174,AR174,BB174,BL174,BV174,CF174,CP174,CZ174,DJ174,DT174)</f>
        <v>420.04451168565527</v>
      </c>
      <c r="EE174" s="2162"/>
      <c r="EF174" s="2152">
        <f>IFERROR(EG174/ED174*10,0)</f>
        <v>0</v>
      </c>
      <c r="EG174" s="2152">
        <f>SUM(P174,Z174,AJ174,AT174,BD174,BN174,BX174,CH174,CR174,DB174,DL174,DV174)</f>
        <v>0</v>
      </c>
      <c r="EH174" s="2152">
        <f>IFERROR(EI174/ED174*10,0)</f>
        <v>5.5</v>
      </c>
      <c r="EI174" s="2152">
        <f>SUM(R174,AB174,AL174,AV174,BF174,BP174,BZ174,CJ174,CT174,DD174,DN174,DX174)</f>
        <v>231.0244814271104</v>
      </c>
      <c r="EJ174" s="2152"/>
      <c r="EK174" s="2152">
        <f>SUM(T174,AD174,AN174,AX174,BH174,BR174,CB174,CL174,CV174,DF174,DP174,DZ174)</f>
        <v>0</v>
      </c>
      <c r="EL174" s="2152"/>
      <c r="EM174" s="2152"/>
      <c r="EN174" s="2152">
        <f>EG174+EI174+EK174</f>
        <v>231.0244814271104</v>
      </c>
      <c r="EO174" s="2157">
        <f>IFERROR(EN174/ED174*10,0)</f>
        <v>5.5</v>
      </c>
      <c r="EP174" s="2163"/>
      <c r="ES174" s="2084">
        <f t="shared" si="355"/>
        <v>0</v>
      </c>
      <c r="EU174" s="2084">
        <f t="shared" si="359"/>
        <v>0</v>
      </c>
      <c r="EV174" s="2084">
        <f t="shared" si="360"/>
        <v>0</v>
      </c>
      <c r="EW174" s="2084" t="e">
        <f t="shared" si="361"/>
        <v>#DIV/0!</v>
      </c>
    </row>
    <row r="175" spans="1:153">
      <c r="A175" s="1760"/>
      <c r="B175" s="1595" t="s">
        <v>1784</v>
      </c>
      <c r="C175" s="1596"/>
      <c r="D175" s="1597"/>
      <c r="E175" s="1592"/>
      <c r="F175" s="1597"/>
      <c r="G175" s="1592"/>
      <c r="H175" s="2168"/>
      <c r="I175" s="2169">
        <v>1</v>
      </c>
      <c r="J175" s="2152"/>
      <c r="K175" s="2160"/>
      <c r="L175" s="2160"/>
      <c r="M175" s="2161"/>
      <c r="N175" s="2152"/>
      <c r="O175" s="2152"/>
      <c r="P175" s="2152"/>
      <c r="Q175" s="2152"/>
      <c r="R175" s="2152"/>
      <c r="S175" s="2152"/>
      <c r="T175" s="2152"/>
      <c r="U175" s="2152"/>
      <c r="V175" s="2152"/>
      <c r="W175" s="2152"/>
      <c r="X175" s="2152"/>
      <c r="Y175" s="2152"/>
      <c r="Z175" s="2152"/>
      <c r="AA175" s="2152"/>
      <c r="AB175" s="2152"/>
      <c r="AC175" s="2152"/>
      <c r="AD175" s="2152"/>
      <c r="AE175" s="2152"/>
      <c r="AF175" s="2152"/>
      <c r="AG175" s="2152"/>
      <c r="AH175" s="2152"/>
      <c r="AI175" s="2152"/>
      <c r="AJ175" s="2152"/>
      <c r="AK175" s="2152"/>
      <c r="AL175" s="2152"/>
      <c r="AM175" s="2152"/>
      <c r="AN175" s="2152"/>
      <c r="AO175" s="2152"/>
      <c r="AP175" s="2152"/>
      <c r="AQ175" s="2152"/>
      <c r="AR175" s="2152"/>
      <c r="AS175" s="2152"/>
      <c r="AT175" s="2152"/>
      <c r="AU175" s="2152"/>
      <c r="AV175" s="2152"/>
      <c r="AW175" s="2152"/>
      <c r="AX175" s="2152"/>
      <c r="AY175" s="2152"/>
      <c r="AZ175" s="2152"/>
      <c r="BA175" s="2152"/>
      <c r="BB175" s="2152"/>
      <c r="BC175" s="2152"/>
      <c r="BD175" s="2152"/>
      <c r="BE175" s="2152"/>
      <c r="BF175" s="2152"/>
      <c r="BG175" s="2152"/>
      <c r="BH175" s="2152"/>
      <c r="BI175" s="2152"/>
      <c r="BJ175" s="2152"/>
      <c r="BK175" s="2152"/>
      <c r="BL175" s="2152"/>
      <c r="BM175" s="2152"/>
      <c r="BN175" s="2152"/>
      <c r="BO175" s="2152"/>
      <c r="BP175" s="2152"/>
      <c r="BQ175" s="2152"/>
      <c r="BR175" s="2152"/>
      <c r="BS175" s="2152"/>
      <c r="BT175" s="2152"/>
      <c r="BU175" s="2152"/>
      <c r="BV175" s="2152"/>
      <c r="BW175" s="2152"/>
      <c r="BX175" s="2152"/>
      <c r="BY175" s="2152"/>
      <c r="BZ175" s="2152"/>
      <c r="CA175" s="2152"/>
      <c r="CB175" s="2152"/>
      <c r="CC175" s="2152"/>
      <c r="CD175" s="2152"/>
      <c r="CE175" s="2152"/>
      <c r="CF175" s="2152"/>
      <c r="CG175" s="2152"/>
      <c r="CH175" s="2152"/>
      <c r="CI175" s="2152"/>
      <c r="CJ175" s="2152"/>
      <c r="CK175" s="2152"/>
      <c r="CL175" s="2152"/>
      <c r="CM175" s="2152"/>
      <c r="CN175" s="2152"/>
      <c r="CO175" s="2152"/>
      <c r="CP175" s="2106"/>
      <c r="CQ175" s="2106"/>
      <c r="CR175" s="2106"/>
      <c r="CS175" s="2106"/>
      <c r="CT175" s="2109"/>
      <c r="CU175" s="2152"/>
      <c r="CV175" s="2152"/>
      <c r="CW175" s="2152"/>
      <c r="CX175" s="2152"/>
      <c r="CY175" s="2152"/>
      <c r="CZ175" s="2106">
        <v>0</v>
      </c>
      <c r="DA175" s="2106">
        <f t="shared" si="356"/>
        <v>0</v>
      </c>
      <c r="DB175" s="2106">
        <v>0</v>
      </c>
      <c r="DC175" s="2106">
        <v>0</v>
      </c>
      <c r="DD175" s="2109">
        <f t="shared" si="302"/>
        <v>0</v>
      </c>
      <c r="DE175" s="2152"/>
      <c r="DF175" s="2152"/>
      <c r="DG175" s="2152"/>
      <c r="DH175" s="2152"/>
      <c r="DI175" s="2152"/>
      <c r="DJ175" s="2106">
        <v>0</v>
      </c>
      <c r="DK175" s="2106">
        <f t="shared" si="357"/>
        <v>0</v>
      </c>
      <c r="DL175" s="2106">
        <v>0</v>
      </c>
      <c r="DM175" s="2106">
        <v>0</v>
      </c>
      <c r="DN175" s="2109">
        <f t="shared" si="303"/>
        <v>0</v>
      </c>
      <c r="DO175" s="2152"/>
      <c r="DP175" s="2152"/>
      <c r="DQ175" s="2152"/>
      <c r="DR175" s="2152"/>
      <c r="DS175" s="2152"/>
      <c r="DT175" s="2106">
        <v>0</v>
      </c>
      <c r="DU175" s="2106">
        <f t="shared" si="358"/>
        <v>0</v>
      </c>
      <c r="DV175" s="2106">
        <v>0</v>
      </c>
      <c r="DW175" s="2106">
        <v>0</v>
      </c>
      <c r="DX175" s="2109">
        <f t="shared" si="304"/>
        <v>0</v>
      </c>
      <c r="DY175" s="2152"/>
      <c r="DZ175" s="2152"/>
      <c r="EA175" s="2152"/>
      <c r="EB175" s="2152"/>
      <c r="EC175" s="2152"/>
      <c r="ED175" s="2162">
        <f>ED174</f>
        <v>420.04451168565527</v>
      </c>
      <c r="EE175" s="2162"/>
      <c r="EF175" s="2152">
        <f>IFERROR(EG175/ED175*10,0)</f>
        <v>0</v>
      </c>
      <c r="EG175" s="2152">
        <f>SUM(P175,Z175,AJ175,AT175,BD175,BN175,BX175,CH175,CR175,DB175,DL175,DV175)</f>
        <v>0</v>
      </c>
      <c r="EH175" s="2152">
        <f>IFERROR(EI175/ED175*10,0)</f>
        <v>5.5</v>
      </c>
      <c r="EI175" s="2152">
        <f>EI174</f>
        <v>231.0244814271104</v>
      </c>
      <c r="EJ175" s="2152"/>
      <c r="EK175" s="2152">
        <f>SUM(T175,AD175,AN175,AX175,BH175,BR175,CB175,CL175,CV175,DF175,DP175,DZ175)</f>
        <v>0</v>
      </c>
      <c r="EL175" s="2152"/>
      <c r="EM175" s="2152"/>
      <c r="EN175" s="2152">
        <f>EN174</f>
        <v>231.0244814271104</v>
      </c>
      <c r="EO175" s="2157">
        <f>IFERROR(EN175/ED175*10,0)</f>
        <v>5.5</v>
      </c>
      <c r="EP175" s="2163"/>
      <c r="ES175" s="2084">
        <f t="shared" si="355"/>
        <v>0</v>
      </c>
      <c r="EU175" s="2084">
        <f t="shared" si="359"/>
        <v>0</v>
      </c>
      <c r="EV175" s="2084">
        <f t="shared" si="360"/>
        <v>0</v>
      </c>
      <c r="EW175" s="2084" t="e">
        <f t="shared" si="361"/>
        <v>#DIV/0!</v>
      </c>
    </row>
    <row r="176" spans="1:153">
      <c r="A176" s="1760"/>
      <c r="B176" s="1592"/>
      <c r="C176" s="1596"/>
      <c r="D176" s="1597"/>
      <c r="E176" s="1592"/>
      <c r="F176" s="1597"/>
      <c r="G176" s="1592"/>
      <c r="H176" s="2168"/>
      <c r="I176" s="2169"/>
      <c r="J176" s="2152"/>
      <c r="K176" s="2160"/>
      <c r="L176" s="2160"/>
      <c r="M176" s="2161"/>
      <c r="N176" s="2152"/>
      <c r="O176" s="2152"/>
      <c r="P176" s="2152"/>
      <c r="Q176" s="2152"/>
      <c r="R176" s="2152"/>
      <c r="S176" s="2152"/>
      <c r="T176" s="2152"/>
      <c r="U176" s="2152"/>
      <c r="V176" s="2152"/>
      <c r="W176" s="2152"/>
      <c r="X176" s="2152"/>
      <c r="Y176" s="2152"/>
      <c r="Z176" s="2152"/>
      <c r="AA176" s="2152"/>
      <c r="AB176" s="2152"/>
      <c r="AC176" s="2152"/>
      <c r="AD176" s="2152"/>
      <c r="AE176" s="2152"/>
      <c r="AF176" s="2152"/>
      <c r="AG176" s="2152"/>
      <c r="AH176" s="2152"/>
      <c r="AI176" s="2152"/>
      <c r="AJ176" s="2152"/>
      <c r="AK176" s="2152"/>
      <c r="AL176" s="2152"/>
      <c r="AM176" s="2152"/>
      <c r="AN176" s="2152"/>
      <c r="AO176" s="2170"/>
      <c r="AP176" s="2152"/>
      <c r="AQ176" s="2152"/>
      <c r="AR176" s="2152"/>
      <c r="AS176" s="2152"/>
      <c r="AT176" s="2152"/>
      <c r="AU176" s="2152"/>
      <c r="AV176" s="2152"/>
      <c r="AW176" s="2152"/>
      <c r="AX176" s="2152"/>
      <c r="AY176" s="2170"/>
      <c r="AZ176" s="2152"/>
      <c r="BA176" s="2152"/>
      <c r="BB176" s="2152"/>
      <c r="BC176" s="2152"/>
      <c r="BD176" s="2152"/>
      <c r="BE176" s="2152"/>
      <c r="BF176" s="2152"/>
      <c r="BG176" s="2152"/>
      <c r="BH176" s="2152"/>
      <c r="BI176" s="2170"/>
      <c r="BJ176" s="2152"/>
      <c r="BK176" s="2152"/>
      <c r="BL176" s="2152"/>
      <c r="BM176" s="2152"/>
      <c r="BN176" s="2152"/>
      <c r="BO176" s="2152"/>
      <c r="BP176" s="2152"/>
      <c r="BQ176" s="2152"/>
      <c r="BR176" s="2152"/>
      <c r="BS176" s="2170"/>
      <c r="BT176" s="2152"/>
      <c r="BU176" s="2152"/>
      <c r="BV176" s="2152"/>
      <c r="BW176" s="2152"/>
      <c r="BX176" s="2152"/>
      <c r="BY176" s="2152"/>
      <c r="BZ176" s="2152"/>
      <c r="CA176" s="2152"/>
      <c r="CB176" s="2152"/>
      <c r="CC176" s="2170"/>
      <c r="CD176" s="2152"/>
      <c r="CE176" s="2152"/>
      <c r="CF176" s="2152"/>
      <c r="CG176" s="2152"/>
      <c r="CH176" s="2152"/>
      <c r="CI176" s="2152"/>
      <c r="CJ176" s="2152"/>
      <c r="CK176" s="2152"/>
      <c r="CL176" s="2152"/>
      <c r="CM176" s="2170"/>
      <c r="CN176" s="2152"/>
      <c r="CO176" s="2152"/>
      <c r="CP176" s="2106"/>
      <c r="CQ176" s="2106"/>
      <c r="CR176" s="2106"/>
      <c r="CS176" s="2106"/>
      <c r="CT176" s="2109"/>
      <c r="CU176" s="2152"/>
      <c r="CV176" s="2152"/>
      <c r="CW176" s="2170"/>
      <c r="CX176" s="2152"/>
      <c r="CY176" s="2152"/>
      <c r="CZ176" s="2106">
        <v>0</v>
      </c>
      <c r="DA176" s="2106">
        <f t="shared" si="356"/>
        <v>0</v>
      </c>
      <c r="DB176" s="2106">
        <v>0</v>
      </c>
      <c r="DC176" s="2106">
        <v>0</v>
      </c>
      <c r="DD176" s="2109">
        <f t="shared" si="302"/>
        <v>0</v>
      </c>
      <c r="DE176" s="2152"/>
      <c r="DF176" s="2152"/>
      <c r="DG176" s="2170"/>
      <c r="DH176" s="2152"/>
      <c r="DI176" s="2152"/>
      <c r="DJ176" s="2106">
        <v>0</v>
      </c>
      <c r="DK176" s="2106">
        <f t="shared" si="357"/>
        <v>0</v>
      </c>
      <c r="DL176" s="2106">
        <v>0</v>
      </c>
      <c r="DM176" s="2106">
        <v>0</v>
      </c>
      <c r="DN176" s="2109">
        <f t="shared" si="303"/>
        <v>0</v>
      </c>
      <c r="DO176" s="2152"/>
      <c r="DP176" s="2152"/>
      <c r="DQ176" s="2170"/>
      <c r="DR176" s="2152"/>
      <c r="DS176" s="2152"/>
      <c r="DT176" s="2106">
        <v>0</v>
      </c>
      <c r="DU176" s="2106">
        <f t="shared" si="358"/>
        <v>0</v>
      </c>
      <c r="DV176" s="2106">
        <v>0</v>
      </c>
      <c r="DW176" s="2106">
        <v>0</v>
      </c>
      <c r="DX176" s="2109">
        <f t="shared" si="304"/>
        <v>0</v>
      </c>
      <c r="DY176" s="2152"/>
      <c r="DZ176" s="2152"/>
      <c r="EA176" s="2152"/>
      <c r="EB176" s="2152"/>
      <c r="EC176" s="2152"/>
      <c r="ED176" s="2152"/>
      <c r="EE176" s="2162"/>
      <c r="EF176" s="2152"/>
      <c r="EG176" s="2152"/>
      <c r="EH176" s="2152"/>
      <c r="EI176" s="2152"/>
      <c r="EJ176" s="2152"/>
      <c r="EK176" s="2152"/>
      <c r="EL176" s="2152"/>
      <c r="EM176" s="2152"/>
      <c r="EN176" s="2152"/>
      <c r="EO176" s="2163"/>
      <c r="EP176" s="2163"/>
      <c r="ES176" s="2084">
        <f t="shared" si="355"/>
        <v>0</v>
      </c>
      <c r="EU176" s="2084">
        <f t="shared" si="359"/>
        <v>0</v>
      </c>
      <c r="EV176" s="2084">
        <f t="shared" si="360"/>
        <v>0</v>
      </c>
      <c r="EW176" s="2084" t="e">
        <f t="shared" si="361"/>
        <v>#DIV/0!</v>
      </c>
    </row>
    <row r="177" spans="1:153">
      <c r="A177" s="1760" t="s">
        <v>68</v>
      </c>
      <c r="B177" s="1592" t="s">
        <v>1785</v>
      </c>
      <c r="C177" s="1596"/>
      <c r="D177" s="1597"/>
      <c r="E177" s="1592"/>
      <c r="F177" s="1597"/>
      <c r="G177" s="1592"/>
      <c r="H177" s="2168"/>
      <c r="I177" s="2169"/>
      <c r="J177" s="2152"/>
      <c r="K177" s="2160"/>
      <c r="L177" s="2160"/>
      <c r="M177" s="2161"/>
      <c r="N177" s="2152"/>
      <c r="O177" s="2152"/>
      <c r="P177" s="2152"/>
      <c r="Q177" s="2152"/>
      <c r="R177" s="2152"/>
      <c r="S177" s="2152"/>
      <c r="T177" s="2152"/>
      <c r="U177" s="2152"/>
      <c r="V177" s="2152"/>
      <c r="W177" s="2152"/>
      <c r="X177" s="2152"/>
      <c r="Y177" s="2152"/>
      <c r="Z177" s="2152"/>
      <c r="AA177" s="2152"/>
      <c r="AB177" s="2152"/>
      <c r="AC177" s="2152"/>
      <c r="AD177" s="2152"/>
      <c r="AE177" s="2152"/>
      <c r="AF177" s="2152"/>
      <c r="AG177" s="2152"/>
      <c r="AH177" s="2152"/>
      <c r="AI177" s="2152"/>
      <c r="AJ177" s="2152"/>
      <c r="AK177" s="2152"/>
      <c r="AL177" s="2152"/>
      <c r="AM177" s="2152"/>
      <c r="AN177" s="2152"/>
      <c r="AO177" s="2170"/>
      <c r="AP177" s="2152"/>
      <c r="AQ177" s="2152"/>
      <c r="AR177" s="2152"/>
      <c r="AS177" s="2152"/>
      <c r="AT177" s="2152"/>
      <c r="AU177" s="2152"/>
      <c r="AV177" s="2152"/>
      <c r="AW177" s="2152"/>
      <c r="AX177" s="2152"/>
      <c r="AY177" s="2170"/>
      <c r="AZ177" s="2152"/>
      <c r="BA177" s="2152"/>
      <c r="BB177" s="2152"/>
      <c r="BC177" s="2152"/>
      <c r="BD177" s="2152"/>
      <c r="BE177" s="2152"/>
      <c r="BF177" s="2152"/>
      <c r="BG177" s="2152"/>
      <c r="BH177" s="2152"/>
      <c r="BI177" s="2170"/>
      <c r="BJ177" s="2152"/>
      <c r="BK177" s="2152"/>
      <c r="BL177" s="2152"/>
      <c r="BM177" s="2152"/>
      <c r="BN177" s="2152"/>
      <c r="BO177" s="2152"/>
      <c r="BP177" s="2152"/>
      <c r="BQ177" s="2152"/>
      <c r="BR177" s="2152"/>
      <c r="BS177" s="2170"/>
      <c r="BT177" s="2152"/>
      <c r="BU177" s="2152"/>
      <c r="BV177" s="2152"/>
      <c r="BW177" s="2152"/>
      <c r="BX177" s="2152"/>
      <c r="BY177" s="2152"/>
      <c r="BZ177" s="2152"/>
      <c r="CA177" s="2152"/>
      <c r="CB177" s="2152"/>
      <c r="CC177" s="2170"/>
      <c r="CD177" s="2152"/>
      <c r="CE177" s="2152"/>
      <c r="CF177" s="2152"/>
      <c r="CG177" s="2152"/>
      <c r="CH177" s="2152"/>
      <c r="CI177" s="2152"/>
      <c r="CJ177" s="2152"/>
      <c r="CK177" s="2152"/>
      <c r="CL177" s="2152"/>
      <c r="CM177" s="2170"/>
      <c r="CN177" s="2152"/>
      <c r="CO177" s="2152"/>
      <c r="CP177" s="2106">
        <v>0</v>
      </c>
      <c r="CQ177" s="2106">
        <f>IFERROR(CR177/CP177*10,0)</f>
        <v>0</v>
      </c>
      <c r="CR177" s="2106">
        <v>0</v>
      </c>
      <c r="CS177" s="2106">
        <v>0</v>
      </c>
      <c r="CT177" s="2109">
        <f>CS177*CP177/10</f>
        <v>0</v>
      </c>
      <c r="CU177" s="2152"/>
      <c r="CV177" s="2152"/>
      <c r="CW177" s="2170"/>
      <c r="CX177" s="2152"/>
      <c r="CY177" s="2152"/>
      <c r="CZ177" s="2106">
        <v>0</v>
      </c>
      <c r="DA177" s="2106">
        <f t="shared" si="356"/>
        <v>0</v>
      </c>
      <c r="DB177" s="2106">
        <v>0</v>
      </c>
      <c r="DC177" s="2106">
        <v>0</v>
      </c>
      <c r="DD177" s="2109">
        <f t="shared" si="302"/>
        <v>0</v>
      </c>
      <c r="DE177" s="2152"/>
      <c r="DF177" s="2152"/>
      <c r="DG177" s="2170"/>
      <c r="DH177" s="2152"/>
      <c r="DI177" s="2152"/>
      <c r="DJ177" s="2106">
        <v>0</v>
      </c>
      <c r="DK177" s="2106">
        <f t="shared" si="357"/>
        <v>0</v>
      </c>
      <c r="DL177" s="2106">
        <v>0</v>
      </c>
      <c r="DM177" s="2106">
        <v>0</v>
      </c>
      <c r="DN177" s="2109">
        <f t="shared" si="303"/>
        <v>0</v>
      </c>
      <c r="DO177" s="2152"/>
      <c r="DP177" s="2152"/>
      <c r="DQ177" s="2170"/>
      <c r="DR177" s="2152"/>
      <c r="DS177" s="2152"/>
      <c r="DT177" s="2106">
        <v>0</v>
      </c>
      <c r="DU177" s="2106">
        <f t="shared" si="358"/>
        <v>0</v>
      </c>
      <c r="DV177" s="2106">
        <v>0</v>
      </c>
      <c r="DW177" s="2106">
        <v>0</v>
      </c>
      <c r="DX177" s="2109">
        <f t="shared" si="304"/>
        <v>0</v>
      </c>
      <c r="DY177" s="2152"/>
      <c r="DZ177" s="2152"/>
      <c r="EA177" s="2152"/>
      <c r="EB177" s="2152"/>
      <c r="EC177" s="2152"/>
      <c r="ED177" s="2152"/>
      <c r="EE177" s="2162"/>
      <c r="EF177" s="2152"/>
      <c r="EG177" s="2152"/>
      <c r="EH177" s="2152"/>
      <c r="EI177" s="2152"/>
      <c r="EJ177" s="2152"/>
      <c r="EK177" s="2152"/>
      <c r="EL177" s="2152"/>
      <c r="EM177" s="2152"/>
      <c r="EN177" s="2152"/>
      <c r="EO177" s="2163"/>
      <c r="EP177" s="2163"/>
      <c r="ES177" s="2084">
        <f t="shared" si="355"/>
        <v>0</v>
      </c>
      <c r="EU177" s="2084">
        <f t="shared" si="359"/>
        <v>0</v>
      </c>
      <c r="EV177" s="2084">
        <f t="shared" si="360"/>
        <v>0</v>
      </c>
      <c r="EW177" s="2084" t="e">
        <f t="shared" si="361"/>
        <v>#DIV/0!</v>
      </c>
    </row>
    <row r="178" spans="1:153">
      <c r="A178" s="1760"/>
      <c r="B178" s="1592" t="s">
        <v>1786</v>
      </c>
      <c r="C178" s="2156"/>
      <c r="D178" s="2147"/>
      <c r="E178" s="2157"/>
      <c r="F178" s="2147">
        <v>0.5</v>
      </c>
      <c r="G178" s="2157">
        <v>1478.07</v>
      </c>
      <c r="H178" s="2158" t="s">
        <v>1717</v>
      </c>
      <c r="I178" s="2159">
        <v>2</v>
      </c>
      <c r="J178" s="2157"/>
      <c r="K178" s="2160"/>
      <c r="L178" s="2160"/>
      <c r="M178" s="2161"/>
      <c r="N178" s="2106">
        <v>133.91096200000001</v>
      </c>
      <c r="O178" s="2152">
        <f>IFERROR(P178/N178*10,0)</f>
        <v>0</v>
      </c>
      <c r="P178" s="2106">
        <v>0</v>
      </c>
      <c r="Q178" s="2152">
        <f>IFERROR(R178/N178*10,0)</f>
        <v>3.4751625678710303</v>
      </c>
      <c r="R178" s="2106">
        <v>46.536236256999999</v>
      </c>
      <c r="S178" s="2152">
        <f>IFERROR(T178/N178*10,0)</f>
        <v>0</v>
      </c>
      <c r="T178" s="2106">
        <v>0</v>
      </c>
      <c r="U178" s="2152"/>
      <c r="V178" s="2152">
        <f>IFERROR(W178/N178*10,0)</f>
        <v>3.4751625678710303</v>
      </c>
      <c r="W178" s="2152">
        <f>SUM(P178,R178,T178,U178)</f>
        <v>46.536236256999999</v>
      </c>
      <c r="X178" s="2106">
        <v>144.81987999999998</v>
      </c>
      <c r="Y178" s="2152">
        <f>IFERROR(Z178/X178*10,0)</f>
        <v>0</v>
      </c>
      <c r="Z178" s="2106">
        <v>0</v>
      </c>
      <c r="AA178" s="2152">
        <f>IFERROR(AB178/X178*10,0)</f>
        <v>3.6198863577293405</v>
      </c>
      <c r="AB178" s="2106">
        <v>52.423150794000009</v>
      </c>
      <c r="AC178" s="2152">
        <f>IFERROR(AD178/X178*10,0)</f>
        <v>0</v>
      </c>
      <c r="AD178" s="2106">
        <v>0</v>
      </c>
      <c r="AE178" s="2152"/>
      <c r="AF178" s="2152">
        <f>IFERROR(AG178/X178*10,0)</f>
        <v>3.6198863577293405</v>
      </c>
      <c r="AG178" s="2152">
        <f>SUM(Z178,AB178,AD178,AE178)</f>
        <v>52.423150794000009</v>
      </c>
      <c r="AH178" s="2106">
        <v>204.36661899999996</v>
      </c>
      <c r="AI178" s="2152">
        <f>IFERROR(AJ178/AH178*10,0)</f>
        <v>1.1803374583889361</v>
      </c>
      <c r="AJ178" s="2106">
        <v>24.122157565000002</v>
      </c>
      <c r="AK178" s="2152">
        <f>IFERROR(AL178/AH178*10,0)</f>
        <v>2.2734428527195045</v>
      </c>
      <c r="AL178" s="2106">
        <v>46.461582929999999</v>
      </c>
      <c r="AM178" s="2152">
        <f>IFERROR(AN178/AH178*10,0)</f>
        <v>-5.2790421707764334E-4</v>
      </c>
      <c r="AN178" s="2106">
        <v>-1.0788600000000001E-2</v>
      </c>
      <c r="AO178" s="2152"/>
      <c r="AP178" s="2152">
        <f>IFERROR(AQ178/AH178*10,0)</f>
        <v>3.4532524068913628</v>
      </c>
      <c r="AQ178" s="2152">
        <f>SUM(AJ178,AL178,AN178,AO178)</f>
        <v>70.572951895000003</v>
      </c>
      <c r="AR178" s="2106">
        <v>34.395634000000001</v>
      </c>
      <c r="AS178" s="2152">
        <f>IFERROR(AT178/AR178*10,0)</f>
        <v>1.6138041764254147</v>
      </c>
      <c r="AT178" s="2106">
        <v>5.5507817799999994</v>
      </c>
      <c r="AU178" s="2152">
        <f>IFERROR(AV178/AR178*10,0)</f>
        <v>3.032313092411671</v>
      </c>
      <c r="AV178" s="2106">
        <v>10.42983313</v>
      </c>
      <c r="AW178" s="2152">
        <f>IFERROR(AX178/AR178*10,0)</f>
        <v>-7.3627949407764955E-3</v>
      </c>
      <c r="AX178" s="2106">
        <v>-2.5324800000000001E-2</v>
      </c>
      <c r="AY178" s="2152"/>
      <c r="AZ178" s="2152">
        <f>IFERROR(BA178/AR178*10,0)</f>
        <v>4.6387544738963085</v>
      </c>
      <c r="BA178" s="2152">
        <f>SUM(AT178,AV178,AX178,AY178)</f>
        <v>15.95529011</v>
      </c>
      <c r="BB178" s="2106">
        <v>17.693689000000003</v>
      </c>
      <c r="BC178" s="2152">
        <f>IFERROR(BD178/BB178*10,0)</f>
        <v>1.4042013454627802</v>
      </c>
      <c r="BD178" s="2106">
        <v>2.4845501899999998</v>
      </c>
      <c r="BE178" s="2152">
        <f>IFERROR(BF178/BB178*10,0)</f>
        <v>3.0045952994878569</v>
      </c>
      <c r="BF178" s="2106">
        <v>5.3162374799999998</v>
      </c>
      <c r="BG178" s="2152">
        <f>IFERROR(BH178/BB178*10,0)</f>
        <v>0</v>
      </c>
      <c r="BH178" s="2106">
        <v>0</v>
      </c>
      <c r="BI178" s="2152"/>
      <c r="BJ178" s="2152">
        <f>IFERROR(BK178/BB178*10,0)</f>
        <v>4.4087966449506366</v>
      </c>
      <c r="BK178" s="2152">
        <f>SUM(BD178,BF178,BH178,BI178)</f>
        <v>7.8007876700000001</v>
      </c>
      <c r="BL178" s="2106">
        <v>12.175613</v>
      </c>
      <c r="BM178" s="2152">
        <f>IFERROR(BN178/BL178*10,0)</f>
        <v>1.631386608624962</v>
      </c>
      <c r="BN178" s="2106">
        <v>1.9863131999999999</v>
      </c>
      <c r="BO178" s="2152">
        <f>IFERROR(BP178/BL178*10,0)</f>
        <v>4.1269228087325045</v>
      </c>
      <c r="BP178" s="2106">
        <v>5.0247814999999996</v>
      </c>
      <c r="BQ178" s="2152">
        <f>IFERROR(BR178/BL178*10,0)</f>
        <v>0</v>
      </c>
      <c r="BR178" s="2106">
        <v>0</v>
      </c>
      <c r="BS178" s="2152"/>
      <c r="BT178" s="2152">
        <f>IFERROR(BU178/BL178*10,0)</f>
        <v>5.7583094173574665</v>
      </c>
      <c r="BU178" s="2152">
        <f>SUM(BN178,BP178,BR178,BS178)</f>
        <v>7.0110946999999992</v>
      </c>
      <c r="BV178" s="2106">
        <v>16.746623</v>
      </c>
      <c r="BW178" s="2152">
        <f>IFERROR(BX178/BV178*10,0)</f>
        <v>1.4802864237165905</v>
      </c>
      <c r="BX178" s="2106">
        <v>2.4789798670000001</v>
      </c>
      <c r="BY178" s="2152">
        <f>IFERROR(BZ178/BV178*10,0)</f>
        <v>3.1600419660728019</v>
      </c>
      <c r="BZ178" s="2106">
        <v>5.292003147</v>
      </c>
      <c r="CA178" s="2152">
        <f>IFERROR(CB178/BV178*10,0)</f>
        <v>7.3183202368620831E-2</v>
      </c>
      <c r="CB178" s="2106">
        <v>0.12255715</v>
      </c>
      <c r="CC178" s="2152"/>
      <c r="CD178" s="2152">
        <f>IFERROR(CE178/BV178*10,0)</f>
        <v>4.7135115921580137</v>
      </c>
      <c r="CE178" s="2152">
        <f>SUM(BX178,BZ178,CB178,CC178)</f>
        <v>7.8935401640000009</v>
      </c>
      <c r="CF178" s="2106">
        <v>163.16552100000004</v>
      </c>
      <c r="CG178" s="2152">
        <f>IFERROR(CH178/CF178*10,0)</f>
        <v>2.1943601014824687</v>
      </c>
      <c r="CH178" s="2106">
        <v>35.804390921999996</v>
      </c>
      <c r="CI178" s="2152">
        <f>IFERROR(CJ178/CF178*10,0)</f>
        <v>1.9498037311448899</v>
      </c>
      <c r="CJ178" s="2106">
        <v>31.814074163999997</v>
      </c>
      <c r="CK178" s="2152">
        <f>IFERROR(CL178/CF178*10,0)</f>
        <v>4.8428028553900167E-2</v>
      </c>
      <c r="CL178" s="2106">
        <v>0.79017845099999995</v>
      </c>
      <c r="CM178" s="2152"/>
      <c r="CN178" s="2152">
        <f>IFERROR(CO178/CF178*10,0)</f>
        <v>4.192591861181258</v>
      </c>
      <c r="CO178" s="2152">
        <f>SUM(CH178,CJ178,CL178,CM178)</f>
        <v>68.408643536999989</v>
      </c>
      <c r="CP178" s="2106">
        <v>261.38854000000003</v>
      </c>
      <c r="CQ178" s="2152">
        <f>IFERROR(CR178/CP178*10,0)</f>
        <v>1.466318885671116</v>
      </c>
      <c r="CR178" s="2106">
        <v>38.327895269999999</v>
      </c>
      <c r="CS178" s="2152">
        <f>IFERROR(CT178/CP178*10,0)</f>
        <v>1.9689946716868303</v>
      </c>
      <c r="CT178" s="2106">
        <v>51.467264249999999</v>
      </c>
      <c r="CU178" s="2152">
        <f>IFERROR(CV178/CP178*10,0)</f>
        <v>2.9356845560252944E-3</v>
      </c>
      <c r="CV178" s="2106">
        <v>7.6735430000000007E-2</v>
      </c>
      <c r="CW178" s="2152">
        <v>-6.9310226E-6</v>
      </c>
      <c r="CX178" s="2152">
        <f>IFERROR(CY178/CP178*10,0)</f>
        <v>3.4382489767522855</v>
      </c>
      <c r="CY178" s="2152">
        <f>SUM(CR178,CT178,CV178,CW178)</f>
        <v>89.871888018977401</v>
      </c>
      <c r="CZ178" s="2106">
        <v>334.132632</v>
      </c>
      <c r="DA178" s="2106">
        <f t="shared" si="356"/>
        <v>0</v>
      </c>
      <c r="DB178" s="2106">
        <v>0</v>
      </c>
      <c r="DC178" s="2106">
        <v>3.2066524198964768</v>
      </c>
      <c r="DD178" s="2109">
        <f t="shared" si="302"/>
        <v>107.14472129691789</v>
      </c>
      <c r="DE178" s="2152"/>
      <c r="DF178" s="2152"/>
      <c r="DG178" s="2170"/>
      <c r="DH178" s="2152">
        <f>IFERROR(DI178/CZ178*10,0)</f>
        <v>3.2066524198964768</v>
      </c>
      <c r="DI178" s="2152">
        <f>SUM(DB178,DD178,DF178,DG178)</f>
        <v>107.14472129691789</v>
      </c>
      <c r="DJ178" s="2106">
        <v>301.79721599999999</v>
      </c>
      <c r="DK178" s="2106">
        <f t="shared" si="357"/>
        <v>0</v>
      </c>
      <c r="DL178" s="2106">
        <v>0</v>
      </c>
      <c r="DM178" s="2106">
        <v>3.2066524198964768</v>
      </c>
      <c r="DN178" s="2109">
        <f t="shared" si="303"/>
        <v>96.775877300441977</v>
      </c>
      <c r="DO178" s="2152"/>
      <c r="DP178" s="2152"/>
      <c r="DQ178" s="2170"/>
      <c r="DR178" s="2152">
        <f>IFERROR(DS178/DJ178*10,0)</f>
        <v>3.2066524198964768</v>
      </c>
      <c r="DS178" s="2152">
        <f>SUM(DL178,DN178,DP178,DQ178)</f>
        <v>96.775877300441977</v>
      </c>
      <c r="DT178" s="2106">
        <v>334.132632</v>
      </c>
      <c r="DU178" s="2106">
        <f t="shared" si="358"/>
        <v>0</v>
      </c>
      <c r="DV178" s="2106">
        <v>0</v>
      </c>
      <c r="DW178" s="2106">
        <v>3.2066524198964768</v>
      </c>
      <c r="DX178" s="2109">
        <f t="shared" si="304"/>
        <v>107.14472129691789</v>
      </c>
      <c r="DY178" s="2152"/>
      <c r="DZ178" s="2152"/>
      <c r="EA178" s="2152"/>
      <c r="EB178" s="2152">
        <f>IFERROR(EC178/DT178*10,0)</f>
        <v>3.2066524198964768</v>
      </c>
      <c r="EC178" s="2152">
        <f>SUM(DV178,DX178,DZ178,EA178)</f>
        <v>107.14472129691789</v>
      </c>
      <c r="ED178" s="2152">
        <f>SUM(N178,X178,AH178,AR178,BB178,BL178,BV178,CF178,CP178,CZ178,DJ178,DT178)</f>
        <v>1958.725561</v>
      </c>
      <c r="EE178" s="2162"/>
      <c r="EF178" s="2152">
        <f>IFERROR(EG178/ED178*10,0)</f>
        <v>0.56544454720576343</v>
      </c>
      <c r="EG178" s="2152">
        <f>SUM(P178,Z178,AJ178,AT178,BD178,BN178,BX178,CH178,CR178,DB178,DL178,DV178)</f>
        <v>110.755068794</v>
      </c>
      <c r="EH178" s="2152">
        <f>IFERROR(EI178/ED178*10,0)</f>
        <v>2.8887685687697919</v>
      </c>
      <c r="EI178" s="2152">
        <f>SUM(R178,AB178,AL178,AV178,BF178,BP178,BZ178,CJ178,CT178,DD178,DN178,DX178)</f>
        <v>565.83048354627772</v>
      </c>
      <c r="EJ178" s="2152"/>
      <c r="EK178" s="2152">
        <f>SUM(T178,AD178,AN178,AX178,BH178,BR178,CB178,CL178,CV178,DF178,DP178,DZ178)</f>
        <v>0.95335763100000004</v>
      </c>
      <c r="EL178" s="2152"/>
      <c r="EM178" s="2152"/>
      <c r="EN178" s="2152">
        <f>EG178+EI178+EK178</f>
        <v>677.53890997127769</v>
      </c>
      <c r="EO178" s="2157">
        <f>IFERROR(EN178/ED178*10,0)</f>
        <v>3.4590803503139544</v>
      </c>
      <c r="EP178" s="2163"/>
      <c r="EU178" s="2084" t="e">
        <f>SUM(#REF!,AB178,AL178,AV178,BF178,BP178,BZ178,CJ178,CT178)</f>
        <v>#REF!</v>
      </c>
      <c r="EV178" s="2084">
        <f t="shared" si="360"/>
        <v>988.66308099999992</v>
      </c>
      <c r="EW178" s="2084" t="e">
        <f t="shared" si="361"/>
        <v>#REF!</v>
      </c>
    </row>
    <row r="179" spans="1:153">
      <c r="A179" s="1760"/>
      <c r="B179" s="1592" t="s">
        <v>1787</v>
      </c>
      <c r="C179" s="2156"/>
      <c r="D179" s="2147"/>
      <c r="E179" s="2157"/>
      <c r="F179" s="2147">
        <v>0.5</v>
      </c>
      <c r="G179" s="2157">
        <v>18.940000000000001</v>
      </c>
      <c r="H179" s="2158" t="s">
        <v>1717</v>
      </c>
      <c r="I179" s="2159">
        <v>2</v>
      </c>
      <c r="J179" s="2157"/>
      <c r="K179" s="2160"/>
      <c r="L179" s="2160"/>
      <c r="M179" s="2161"/>
      <c r="N179" s="2106">
        <v>0</v>
      </c>
      <c r="O179" s="2152"/>
      <c r="P179" s="2106">
        <v>0</v>
      </c>
      <c r="Q179" s="2152"/>
      <c r="R179" s="2106">
        <v>0</v>
      </c>
      <c r="S179" s="2152"/>
      <c r="T179" s="2106">
        <v>0</v>
      </c>
      <c r="U179" s="2152"/>
      <c r="V179" s="2152"/>
      <c r="W179" s="2152"/>
      <c r="X179" s="2106">
        <v>0</v>
      </c>
      <c r="Y179" s="2152"/>
      <c r="Z179" s="2106">
        <v>0</v>
      </c>
      <c r="AA179" s="2152"/>
      <c r="AB179" s="2106">
        <v>0</v>
      </c>
      <c r="AC179" s="2152"/>
      <c r="AD179" s="2106">
        <v>0</v>
      </c>
      <c r="AE179" s="2152"/>
      <c r="AF179" s="2152"/>
      <c r="AG179" s="2152"/>
      <c r="AH179" s="2106">
        <v>0</v>
      </c>
      <c r="AI179" s="2152"/>
      <c r="AJ179" s="2106">
        <v>0</v>
      </c>
      <c r="AK179" s="2152"/>
      <c r="AL179" s="2106">
        <v>0</v>
      </c>
      <c r="AM179" s="2152"/>
      <c r="AN179" s="2106">
        <v>0</v>
      </c>
      <c r="AO179" s="2152"/>
      <c r="AP179" s="2152"/>
      <c r="AQ179" s="2152"/>
      <c r="AR179" s="2106">
        <v>0</v>
      </c>
      <c r="AS179" s="2152"/>
      <c r="AT179" s="2106">
        <v>0</v>
      </c>
      <c r="AU179" s="2152"/>
      <c r="AV179" s="2106">
        <v>0</v>
      </c>
      <c r="AW179" s="2152"/>
      <c r="AX179" s="2106">
        <v>0</v>
      </c>
      <c r="AY179" s="2152"/>
      <c r="AZ179" s="2152"/>
      <c r="BA179" s="2152"/>
      <c r="BB179" s="2106">
        <v>0</v>
      </c>
      <c r="BC179" s="2152"/>
      <c r="BD179" s="2106">
        <v>0</v>
      </c>
      <c r="BE179" s="2152"/>
      <c r="BF179" s="2106">
        <v>0</v>
      </c>
      <c r="BG179" s="2152"/>
      <c r="BH179" s="2106">
        <v>0</v>
      </c>
      <c r="BI179" s="2152"/>
      <c r="BJ179" s="2152"/>
      <c r="BK179" s="2152"/>
      <c r="BL179" s="2106">
        <v>0</v>
      </c>
      <c r="BM179" s="2152"/>
      <c r="BN179" s="2106">
        <v>0</v>
      </c>
      <c r="BO179" s="2152"/>
      <c r="BP179" s="2106">
        <v>0</v>
      </c>
      <c r="BQ179" s="2152"/>
      <c r="BR179" s="2106">
        <v>0</v>
      </c>
      <c r="BS179" s="2152"/>
      <c r="BT179" s="2152"/>
      <c r="BU179" s="2152"/>
      <c r="BV179" s="2106">
        <v>0</v>
      </c>
      <c r="BW179" s="2152"/>
      <c r="BX179" s="2106">
        <v>0</v>
      </c>
      <c r="BY179" s="2152"/>
      <c r="BZ179" s="2106">
        <v>0</v>
      </c>
      <c r="CA179" s="2152"/>
      <c r="CB179" s="2106">
        <v>0</v>
      </c>
      <c r="CC179" s="2152"/>
      <c r="CD179" s="2152"/>
      <c r="CE179" s="2152"/>
      <c r="CF179" s="2106">
        <v>0</v>
      </c>
      <c r="CG179" s="2152"/>
      <c r="CH179" s="2106">
        <v>0</v>
      </c>
      <c r="CI179" s="2152"/>
      <c r="CJ179" s="2106">
        <v>0</v>
      </c>
      <c r="CK179" s="2152"/>
      <c r="CL179" s="2106">
        <v>0</v>
      </c>
      <c r="CM179" s="2152"/>
      <c r="CN179" s="2152"/>
      <c r="CO179" s="2152"/>
      <c r="CP179" s="2106">
        <v>0</v>
      </c>
      <c r="CQ179" s="2152"/>
      <c r="CR179" s="2106">
        <v>0</v>
      </c>
      <c r="CS179" s="2152"/>
      <c r="CT179" s="2106">
        <v>0</v>
      </c>
      <c r="CU179" s="2152"/>
      <c r="CV179" s="2106">
        <v>0</v>
      </c>
      <c r="CW179" s="2170"/>
      <c r="CX179" s="2152"/>
      <c r="CY179" s="2152"/>
      <c r="CZ179" s="2106">
        <v>0</v>
      </c>
      <c r="DA179" s="2106">
        <f t="shared" si="356"/>
        <v>0</v>
      </c>
      <c r="DB179" s="2106">
        <v>0</v>
      </c>
      <c r="DC179" s="2106">
        <v>3.2066524198964768</v>
      </c>
      <c r="DD179" s="2109">
        <f t="shared" si="302"/>
        <v>0</v>
      </c>
      <c r="DE179" s="2152"/>
      <c r="DF179" s="2152"/>
      <c r="DG179" s="2170"/>
      <c r="DH179" s="2152"/>
      <c r="DI179" s="2152"/>
      <c r="DJ179" s="2106">
        <v>0</v>
      </c>
      <c r="DK179" s="2106">
        <f t="shared" si="357"/>
        <v>0</v>
      </c>
      <c r="DL179" s="2106">
        <v>0</v>
      </c>
      <c r="DM179" s="2106">
        <v>3.2066524198964768</v>
      </c>
      <c r="DN179" s="2109">
        <f t="shared" si="303"/>
        <v>0</v>
      </c>
      <c r="DO179" s="2152"/>
      <c r="DP179" s="2152"/>
      <c r="DQ179" s="2170"/>
      <c r="DR179" s="2152"/>
      <c r="DS179" s="2152"/>
      <c r="DT179" s="2106">
        <v>0</v>
      </c>
      <c r="DU179" s="2106">
        <f t="shared" si="358"/>
        <v>0</v>
      </c>
      <c r="DV179" s="2106">
        <v>0</v>
      </c>
      <c r="DW179" s="2106">
        <v>3.2066524198964768</v>
      </c>
      <c r="DX179" s="2109">
        <f t="shared" si="304"/>
        <v>0</v>
      </c>
      <c r="DY179" s="2152"/>
      <c r="DZ179" s="2152"/>
      <c r="EA179" s="2152"/>
      <c r="EB179" s="2152"/>
      <c r="EC179" s="2152"/>
      <c r="ED179" s="2152">
        <f>SUM(N179,X179,AH179,AR179,BB179,BL179,BV179,CF179,CP179,CZ179,DJ179,DT179)</f>
        <v>0</v>
      </c>
      <c r="EE179" s="2162"/>
      <c r="EF179" s="2152">
        <f>IFERROR(EG179/ED179*10,0)</f>
        <v>0</v>
      </c>
      <c r="EG179" s="2152">
        <f>SUM(P179,Z179,AJ179,AT179,BD179,BN179,BX179,CH179,CR179,DB179,DL179,DV179)</f>
        <v>0</v>
      </c>
      <c r="EH179" s="2152">
        <f>IFERROR(EI179/ED179*10,0)</f>
        <v>0</v>
      </c>
      <c r="EI179" s="2152">
        <f>SUM(R179,AB179,AL179,AV179,BF179,BP179,BZ179,CJ179,CT179,DD179,DN179,DX179)</f>
        <v>0</v>
      </c>
      <c r="EJ179" s="2152"/>
      <c r="EK179" s="2152">
        <f>SUM(T179,AD179,AN179,AX179,BH179,BR179,CB179,CL179,CV179,DF179,DP179,DZ179)</f>
        <v>0</v>
      </c>
      <c r="EL179" s="2152"/>
      <c r="EM179" s="2152"/>
      <c r="EN179" s="2152">
        <f>EG179+EI179+EK179</f>
        <v>0</v>
      </c>
      <c r="EO179" s="2157">
        <f>IFERROR(EN179/ED179*10,0)</f>
        <v>0</v>
      </c>
      <c r="EP179" s="2163"/>
      <c r="EU179" s="2084">
        <f t="shared" si="359"/>
        <v>0</v>
      </c>
      <c r="EV179" s="2084">
        <f t="shared" si="360"/>
        <v>0</v>
      </c>
      <c r="EW179" s="2084" t="e">
        <f t="shared" si="361"/>
        <v>#DIV/0!</v>
      </c>
    </row>
    <row r="180" spans="1:153" s="2096" customFormat="1">
      <c r="A180" s="1783"/>
      <c r="B180" s="1595" t="s">
        <v>1788</v>
      </c>
      <c r="C180" s="1602"/>
      <c r="D180" s="1603"/>
      <c r="E180" s="1595"/>
      <c r="F180" s="1603"/>
      <c r="G180" s="1595">
        <f>SUM(G178:G179)</f>
        <v>1497.01</v>
      </c>
      <c r="H180" s="2171"/>
      <c r="I180" s="2159">
        <v>2</v>
      </c>
      <c r="J180" s="2160"/>
      <c r="K180" s="2160"/>
      <c r="L180" s="2160"/>
      <c r="M180" s="2172"/>
      <c r="N180" s="2107">
        <f>SUM(N178:N179)</f>
        <v>133.91096200000001</v>
      </c>
      <c r="O180" s="2162">
        <f>IFERROR(P180/N180*10,0)</f>
        <v>0</v>
      </c>
      <c r="P180" s="2107">
        <f>SUM(P178:P179)</f>
        <v>0</v>
      </c>
      <c r="Q180" s="2162">
        <f>IFERROR(R180/N180*10,0)</f>
        <v>3.4751625678710303</v>
      </c>
      <c r="R180" s="2107">
        <f>SUM(R178:R179)</f>
        <v>46.536236256999999</v>
      </c>
      <c r="S180" s="2162">
        <f>IFERROR(T180/N180*10,0)</f>
        <v>0</v>
      </c>
      <c r="T180" s="2107">
        <f>SUM(T178:T179)</f>
        <v>0</v>
      </c>
      <c r="U180" s="2162"/>
      <c r="V180" s="2162">
        <f>IFERROR(W180/N180*10,0)</f>
        <v>3.4751625678710303</v>
      </c>
      <c r="W180" s="2162">
        <f>SUM(P180,R180,T180,U180)</f>
        <v>46.536236256999999</v>
      </c>
      <c r="X180" s="2107">
        <f>SUM(X178:X179)</f>
        <v>144.81987999999998</v>
      </c>
      <c r="Y180" s="2162">
        <f>IFERROR(Z180/X180*10,0)</f>
        <v>0</v>
      </c>
      <c r="Z180" s="2107">
        <f>SUM(Z178:Z179)</f>
        <v>0</v>
      </c>
      <c r="AA180" s="2162">
        <f>IFERROR(AB180/X180*10,0)</f>
        <v>3.6198863577293405</v>
      </c>
      <c r="AB180" s="2107">
        <f>SUM(AB178:AB179)</f>
        <v>52.423150794000009</v>
      </c>
      <c r="AC180" s="2162">
        <f>IFERROR(AD180/X180*10,0)</f>
        <v>0</v>
      </c>
      <c r="AD180" s="2107">
        <f>SUM(AD178:AD179)</f>
        <v>0</v>
      </c>
      <c r="AE180" s="2162"/>
      <c r="AF180" s="2162">
        <f>IFERROR(AG180/X180*10,0)</f>
        <v>3.6198863577293405</v>
      </c>
      <c r="AG180" s="2162">
        <f>SUM(Z180,AB180,AD180,AE180)</f>
        <v>52.423150794000009</v>
      </c>
      <c r="AH180" s="2107">
        <f>SUM(AH178:AH179)</f>
        <v>204.36661899999996</v>
      </c>
      <c r="AI180" s="2162">
        <f>IFERROR(AJ180/AH180*10,0)</f>
        <v>1.1803374583889361</v>
      </c>
      <c r="AJ180" s="2107">
        <f>SUM(AJ178:AJ179)</f>
        <v>24.122157565000002</v>
      </c>
      <c r="AK180" s="2162">
        <f>IFERROR(AL180/AH180*10,0)</f>
        <v>2.2734428527195045</v>
      </c>
      <c r="AL180" s="2107">
        <f>SUM(AL178:AL179)</f>
        <v>46.461582929999999</v>
      </c>
      <c r="AM180" s="2162">
        <f>IFERROR(AN180/AH180*10,0)</f>
        <v>-5.2790421707764334E-4</v>
      </c>
      <c r="AN180" s="2107">
        <f>SUM(AN178:AN179)</f>
        <v>-1.0788600000000001E-2</v>
      </c>
      <c r="AO180" s="1595">
        <f>SUM(AO178:AO179)</f>
        <v>0</v>
      </c>
      <c r="AP180" s="2162">
        <f>IFERROR(AQ180/AH180*10,0)</f>
        <v>3.4532524068913628</v>
      </c>
      <c r="AQ180" s="2162">
        <f>SUM(AJ180,AL180,AN180,AO180)</f>
        <v>70.572951895000003</v>
      </c>
      <c r="AR180" s="2107">
        <f>SUM(AR178:AR179)</f>
        <v>34.395634000000001</v>
      </c>
      <c r="AS180" s="2162">
        <f>IFERROR(AT180/AR180*10,0)</f>
        <v>1.6138041764254147</v>
      </c>
      <c r="AT180" s="2107">
        <f>SUM(AT178:AT179)</f>
        <v>5.5507817799999994</v>
      </c>
      <c r="AU180" s="2162">
        <f>IFERROR(AV180/AR180*10,0)</f>
        <v>3.032313092411671</v>
      </c>
      <c r="AV180" s="2107">
        <f>SUM(AV178:AV179)</f>
        <v>10.42983313</v>
      </c>
      <c r="AW180" s="2162">
        <f>IFERROR(AX180/AR180*10,0)</f>
        <v>-7.3627949407764955E-3</v>
      </c>
      <c r="AX180" s="2107">
        <f>SUM(AX178:AX179)</f>
        <v>-2.5324800000000001E-2</v>
      </c>
      <c r="AY180" s="2162"/>
      <c r="AZ180" s="2162">
        <f>IFERROR(BA180/AR180*10,0)</f>
        <v>4.6387544738963085</v>
      </c>
      <c r="BA180" s="2162">
        <f>SUM(AT180,AV180,AX180,AY180)</f>
        <v>15.95529011</v>
      </c>
      <c r="BB180" s="2107">
        <f>SUM(BB178:BB179)</f>
        <v>17.693689000000003</v>
      </c>
      <c r="BC180" s="2162">
        <f>IFERROR(BD180/BB180*10,0)</f>
        <v>1.4042013454627802</v>
      </c>
      <c r="BD180" s="2107">
        <f>SUM(BD178:BD179)</f>
        <v>2.4845501899999998</v>
      </c>
      <c r="BE180" s="2162">
        <f>IFERROR(BF180/BB180*10,0)</f>
        <v>3.0045952994878569</v>
      </c>
      <c r="BF180" s="2107">
        <f>SUM(BF178:BF179)</f>
        <v>5.3162374799999998</v>
      </c>
      <c r="BG180" s="2162">
        <f>IFERROR(BH180/BB180*10,0)</f>
        <v>0</v>
      </c>
      <c r="BH180" s="2107">
        <f>SUM(BH178:BH179)</f>
        <v>0</v>
      </c>
      <c r="BI180" s="2162"/>
      <c r="BJ180" s="2162">
        <f>IFERROR(BK180/BB180*10,0)</f>
        <v>4.4087966449506366</v>
      </c>
      <c r="BK180" s="2162">
        <f>SUM(BD180,BF180,BH180,BI180)</f>
        <v>7.8007876700000001</v>
      </c>
      <c r="BL180" s="2107">
        <f>SUM(BL178:BL179)</f>
        <v>12.175613</v>
      </c>
      <c r="BM180" s="2162">
        <f>IFERROR(BN180/BL180*10,0)</f>
        <v>1.631386608624962</v>
      </c>
      <c r="BN180" s="2107">
        <f>SUM(BN178:BN179)</f>
        <v>1.9863131999999999</v>
      </c>
      <c r="BO180" s="2162">
        <f>IFERROR(BP180/BL180*10,0)</f>
        <v>4.1269228087325045</v>
      </c>
      <c r="BP180" s="2107">
        <f>SUM(BP178:BP179)</f>
        <v>5.0247814999999996</v>
      </c>
      <c r="BQ180" s="2162">
        <f>IFERROR(BR180/BL180*10,0)</f>
        <v>0</v>
      </c>
      <c r="BR180" s="2107">
        <f>SUM(BR178:BR179)</f>
        <v>0</v>
      </c>
      <c r="BS180" s="2162"/>
      <c r="BT180" s="2162">
        <f>IFERROR(BU180/BL180*10,0)</f>
        <v>5.7583094173574665</v>
      </c>
      <c r="BU180" s="2162">
        <f>SUM(BN180,BP180,BR180,BS180)</f>
        <v>7.0110946999999992</v>
      </c>
      <c r="BV180" s="2107">
        <f>SUM(BV178:BV179)</f>
        <v>16.746623</v>
      </c>
      <c r="BW180" s="2162">
        <f>IFERROR(BX180/BV180*10,0)</f>
        <v>1.4802864237165905</v>
      </c>
      <c r="BX180" s="2107">
        <f>SUM(BX178:BX179)</f>
        <v>2.4789798670000001</v>
      </c>
      <c r="BY180" s="2162">
        <f>IFERROR(BZ180/BV180*10,0)</f>
        <v>3.1600419660728019</v>
      </c>
      <c r="BZ180" s="2107">
        <f>SUM(BZ178:BZ179)</f>
        <v>5.292003147</v>
      </c>
      <c r="CA180" s="2162">
        <f>IFERROR(CB180/BV180*10,0)</f>
        <v>7.3183202368620831E-2</v>
      </c>
      <c r="CB180" s="2107">
        <f>SUM(CB178:CB179)</f>
        <v>0.12255715</v>
      </c>
      <c r="CC180" s="2162"/>
      <c r="CD180" s="2162">
        <f>IFERROR(CE180/BV180*10,0)</f>
        <v>4.7135115921580137</v>
      </c>
      <c r="CE180" s="2162">
        <f>SUM(BX180,BZ180,CB180,CC180)</f>
        <v>7.8935401640000009</v>
      </c>
      <c r="CF180" s="2107">
        <f>SUM(CF178:CF179)</f>
        <v>163.16552100000004</v>
      </c>
      <c r="CG180" s="2162">
        <f>IFERROR(CH180/CF180*10,0)</f>
        <v>2.1943601014824687</v>
      </c>
      <c r="CH180" s="2107">
        <f>SUM(CH178:CH179)</f>
        <v>35.804390921999996</v>
      </c>
      <c r="CI180" s="2162">
        <f>IFERROR(CJ180/CF180*10,0)</f>
        <v>1.9498037311448899</v>
      </c>
      <c r="CJ180" s="2107">
        <f>SUM(CJ178:CJ179)</f>
        <v>31.814074163999997</v>
      </c>
      <c r="CK180" s="2162">
        <f>IFERROR(CL180/CF180*10,0)</f>
        <v>4.8428028553900167E-2</v>
      </c>
      <c r="CL180" s="2107">
        <f>SUM(CL178:CL179)</f>
        <v>0.79017845099999995</v>
      </c>
      <c r="CM180" s="2162"/>
      <c r="CN180" s="2162">
        <f>IFERROR(CO180/CF180*10,0)</f>
        <v>4.192591861181258</v>
      </c>
      <c r="CO180" s="2162">
        <f>SUM(CH180,CJ180,CL180,CM180)</f>
        <v>68.408643536999989</v>
      </c>
      <c r="CP180" s="2107">
        <f>SUM(CP178:CP179)</f>
        <v>261.38854000000003</v>
      </c>
      <c r="CQ180" s="2162">
        <f>IFERROR(CR180/CP180*10,0)</f>
        <v>1.466318885671116</v>
      </c>
      <c r="CR180" s="2107">
        <f>SUM(CR178:CR179)</f>
        <v>38.327895269999999</v>
      </c>
      <c r="CS180" s="2162">
        <f>IFERROR(CT180/CP180*10,0)</f>
        <v>1.9689946716868303</v>
      </c>
      <c r="CT180" s="2107">
        <f>SUM(CT178:CT179)</f>
        <v>51.467264249999999</v>
      </c>
      <c r="CU180" s="2162">
        <f>IFERROR(CV180/CP180*10,0)</f>
        <v>2.9356845560252944E-3</v>
      </c>
      <c r="CV180" s="2107">
        <f>SUM(CV178:CV179)</f>
        <v>7.6735430000000007E-2</v>
      </c>
      <c r="CW180" s="2107">
        <f>SUM(CW178:CW179)</f>
        <v>-6.9310226E-6</v>
      </c>
      <c r="CX180" s="2162">
        <f>IFERROR(CY180/CP180*10,0)</f>
        <v>3.4382489767522855</v>
      </c>
      <c r="CY180" s="2162">
        <f>SUM(CR180,CT180,CV180,CW180)</f>
        <v>89.871888018977401</v>
      </c>
      <c r="CZ180" s="2107">
        <f>SUM(CZ178:CZ179)</f>
        <v>334.132632</v>
      </c>
      <c r="DA180" s="2162">
        <f t="shared" si="356"/>
        <v>0</v>
      </c>
      <c r="DB180" s="2107">
        <f>SUM(DB178:DB179)</f>
        <v>0</v>
      </c>
      <c r="DC180" s="2162">
        <f>IFERROR(DD180/CZ180*10,0)</f>
        <v>3.2066524198964768</v>
      </c>
      <c r="DD180" s="2107">
        <f>SUM(DD178:DD179)</f>
        <v>107.14472129691789</v>
      </c>
      <c r="DE180" s="2162">
        <f>IFERROR(DF180/CZ180*10,0)</f>
        <v>0</v>
      </c>
      <c r="DF180" s="2107">
        <f>SUM(DF178:DF179)</f>
        <v>0</v>
      </c>
      <c r="DG180" s="2162"/>
      <c r="DH180" s="2162">
        <f>IFERROR(DI180/CZ180*10,0)</f>
        <v>3.2066524198964768</v>
      </c>
      <c r="DI180" s="2162">
        <f>SUM(DB180,DD180,DF180,DG180)</f>
        <v>107.14472129691789</v>
      </c>
      <c r="DJ180" s="2107">
        <f>SUM(DJ178:DJ179)</f>
        <v>301.79721599999999</v>
      </c>
      <c r="DK180" s="2162">
        <f t="shared" si="357"/>
        <v>0</v>
      </c>
      <c r="DL180" s="2107">
        <f>SUM(DL178:DL179)</f>
        <v>0</v>
      </c>
      <c r="DM180" s="2162">
        <f>IFERROR(DN180/DJ180*10,0)</f>
        <v>3.2066524198964768</v>
      </c>
      <c r="DN180" s="2107">
        <f>SUM(DN178:DN179)</f>
        <v>96.775877300441977</v>
      </c>
      <c r="DO180" s="2162">
        <f>IFERROR(DP180/DJ180*10,0)</f>
        <v>0</v>
      </c>
      <c r="DP180" s="2107">
        <f>SUM(DP178:DP179)</f>
        <v>0</v>
      </c>
      <c r="DQ180" s="2162"/>
      <c r="DR180" s="2162">
        <f>IFERROR(DS180/DJ180*10,0)</f>
        <v>3.2066524198964768</v>
      </c>
      <c r="DS180" s="2162">
        <f>SUM(DL180,DN180,DP180,DQ180)</f>
        <v>96.775877300441977</v>
      </c>
      <c r="DT180" s="2107">
        <f>SUM(DT178:DT179)</f>
        <v>334.132632</v>
      </c>
      <c r="DU180" s="2162">
        <f t="shared" si="358"/>
        <v>0</v>
      </c>
      <c r="DV180" s="2107">
        <f>SUM(DV178:DV179)</f>
        <v>0</v>
      </c>
      <c r="DW180" s="2162">
        <f>IFERROR(DX180/DT180*10,0)</f>
        <v>3.2066524198964768</v>
      </c>
      <c r="DX180" s="2107">
        <f>SUM(DX178:DX179)</f>
        <v>107.14472129691789</v>
      </c>
      <c r="DY180" s="2162">
        <f>IFERROR(DZ180/DT180*10,0)</f>
        <v>0</v>
      </c>
      <c r="DZ180" s="2107">
        <f>SUM(DZ178:DZ179)</f>
        <v>0</v>
      </c>
      <c r="EA180" s="2162"/>
      <c r="EB180" s="2162">
        <f>IFERROR(EC180/DT180*10,0)</f>
        <v>3.2066524198964768</v>
      </c>
      <c r="EC180" s="2162">
        <f>SUM(DV180,DX180,DZ180,EA180)</f>
        <v>107.14472129691789</v>
      </c>
      <c r="ED180" s="2162">
        <f>SUM(N180,X180,AH180,AR180,BB180,BL180,BV180,CF180,CP180,CZ180,DJ180,DT180)</f>
        <v>1958.725561</v>
      </c>
      <c r="EE180" s="2162"/>
      <c r="EF180" s="2162">
        <f>IFERROR(EG180/ED180*10,0)</f>
        <v>0.56544454720576343</v>
      </c>
      <c r="EG180" s="2162">
        <f>SUM(P180,Z180,AJ180,AT180,BD180,BN180,BX180,CH180,CR180,DB180,DL180,DV180)</f>
        <v>110.755068794</v>
      </c>
      <c r="EH180" s="2162">
        <f>IFERROR(EI180/ED180*10,0)</f>
        <v>2.8887685687697919</v>
      </c>
      <c r="EI180" s="2162">
        <f>SUM(R180,AB180,AL180,AV180,BF180,BP180,BZ180,CJ180,CT180,DD180,DN180,DX180)</f>
        <v>565.83048354627772</v>
      </c>
      <c r="EJ180" s="2162"/>
      <c r="EK180" s="2162">
        <f>SUM(T180,AD180,AN180,AX180,BH180,BR180,CB180,CL180,CV180,DF180,DP180,DZ180)</f>
        <v>0.95335763100000004</v>
      </c>
      <c r="EL180" s="2162"/>
      <c r="EM180" s="2162"/>
      <c r="EN180" s="2162">
        <f>EG180+EI180+EK180</f>
        <v>677.53890997127769</v>
      </c>
      <c r="EO180" s="2160">
        <f>IFERROR(EN180/ED180*10,0)</f>
        <v>3.4590803503139544</v>
      </c>
      <c r="EP180" s="2173"/>
      <c r="ES180" s="2096">
        <f t="shared" si="355"/>
        <v>0</v>
      </c>
      <c r="EU180" s="2096">
        <f t="shared" si="359"/>
        <v>254.76516365200001</v>
      </c>
      <c r="EV180" s="2096">
        <f t="shared" si="360"/>
        <v>988.66308099999992</v>
      </c>
      <c r="EW180" s="2096">
        <f t="shared" si="361"/>
        <v>2.5768653502699168</v>
      </c>
    </row>
    <row r="181" spans="1:153">
      <c r="A181" s="1760"/>
      <c r="B181" s="1592"/>
      <c r="C181" s="1596"/>
      <c r="D181" s="1597"/>
      <c r="E181" s="1592"/>
      <c r="F181" s="1597"/>
      <c r="G181" s="1592"/>
      <c r="H181" s="2168"/>
      <c r="I181" s="2169"/>
      <c r="J181" s="2152"/>
      <c r="K181" s="2160"/>
      <c r="L181" s="2160"/>
      <c r="M181" s="2161"/>
      <c r="N181" s="2152"/>
      <c r="O181" s="2152"/>
      <c r="P181" s="2152"/>
      <c r="Q181" s="2152"/>
      <c r="R181" s="2152"/>
      <c r="S181" s="2152"/>
      <c r="T181" s="2152"/>
      <c r="U181" s="2152"/>
      <c r="V181" s="2152"/>
      <c r="W181" s="2152"/>
      <c r="X181" s="2152"/>
      <c r="Y181" s="2152"/>
      <c r="Z181" s="2152"/>
      <c r="AA181" s="2152"/>
      <c r="AB181" s="2152"/>
      <c r="AC181" s="2152"/>
      <c r="AD181" s="2152"/>
      <c r="AE181" s="2152"/>
      <c r="AF181" s="2152"/>
      <c r="AG181" s="2152"/>
      <c r="AH181" s="2152"/>
      <c r="AI181" s="2152"/>
      <c r="AJ181" s="2152"/>
      <c r="AK181" s="2152"/>
      <c r="AL181" s="2152"/>
      <c r="AM181" s="2152"/>
      <c r="AN181" s="2152"/>
      <c r="AO181" s="2170"/>
      <c r="AP181" s="2152"/>
      <c r="AQ181" s="2152"/>
      <c r="AR181" s="2152"/>
      <c r="AS181" s="2152"/>
      <c r="AT181" s="2152"/>
      <c r="AU181" s="2152"/>
      <c r="AV181" s="2152"/>
      <c r="AW181" s="2152"/>
      <c r="AX181" s="2152"/>
      <c r="AY181" s="2170"/>
      <c r="AZ181" s="2152"/>
      <c r="BA181" s="2152"/>
      <c r="BB181" s="2152"/>
      <c r="BC181" s="2152"/>
      <c r="BD181" s="2152"/>
      <c r="BE181" s="2152"/>
      <c r="BF181" s="2152"/>
      <c r="BG181" s="2152"/>
      <c r="BH181" s="2152"/>
      <c r="BI181" s="2170"/>
      <c r="BJ181" s="2152"/>
      <c r="BK181" s="2152"/>
      <c r="BL181" s="2152"/>
      <c r="BM181" s="2152"/>
      <c r="BN181" s="2152"/>
      <c r="BO181" s="2152"/>
      <c r="BP181" s="2152"/>
      <c r="BQ181" s="2152"/>
      <c r="BR181" s="2152"/>
      <c r="BS181" s="2170"/>
      <c r="BT181" s="2152"/>
      <c r="BU181" s="2152"/>
      <c r="BV181" s="2152"/>
      <c r="BW181" s="2152"/>
      <c r="BX181" s="2152"/>
      <c r="BY181" s="2152"/>
      <c r="BZ181" s="2152"/>
      <c r="CA181" s="2152"/>
      <c r="CB181" s="2152"/>
      <c r="CC181" s="2170"/>
      <c r="CD181" s="2152"/>
      <c r="CE181" s="2152"/>
      <c r="CF181" s="2152"/>
      <c r="CG181" s="2152"/>
      <c r="CH181" s="2152"/>
      <c r="CI181" s="2152"/>
      <c r="CJ181" s="2152"/>
      <c r="CK181" s="2152"/>
      <c r="CL181" s="2152"/>
      <c r="CM181" s="2170"/>
      <c r="CN181" s="2152"/>
      <c r="CO181" s="2152"/>
      <c r="CP181" s="2152"/>
      <c r="CQ181" s="2152"/>
      <c r="CR181" s="2152"/>
      <c r="CS181" s="2152"/>
      <c r="CT181" s="2152"/>
      <c r="CU181" s="2152"/>
      <c r="CV181" s="2152"/>
      <c r="CW181" s="2170"/>
      <c r="CX181" s="2152"/>
      <c r="CY181" s="2152"/>
      <c r="CZ181" s="2106">
        <v>0</v>
      </c>
      <c r="DA181" s="2106">
        <f t="shared" si="356"/>
        <v>0</v>
      </c>
      <c r="DB181" s="2106">
        <v>0</v>
      </c>
      <c r="DC181" s="2106">
        <v>0</v>
      </c>
      <c r="DD181" s="2109">
        <f t="shared" si="302"/>
        <v>0</v>
      </c>
      <c r="DE181" s="2152"/>
      <c r="DF181" s="2152"/>
      <c r="DG181" s="2170"/>
      <c r="DH181" s="2152"/>
      <c r="DI181" s="2152"/>
      <c r="DJ181" s="2106">
        <v>0</v>
      </c>
      <c r="DK181" s="2106">
        <f t="shared" si="357"/>
        <v>0</v>
      </c>
      <c r="DL181" s="2106">
        <v>0</v>
      </c>
      <c r="DM181" s="2106">
        <v>0</v>
      </c>
      <c r="DN181" s="2109">
        <f t="shared" si="303"/>
        <v>0</v>
      </c>
      <c r="DO181" s="2152"/>
      <c r="DP181" s="2152"/>
      <c r="DQ181" s="2170"/>
      <c r="DR181" s="2152"/>
      <c r="DS181" s="2152"/>
      <c r="DT181" s="2106">
        <v>0</v>
      </c>
      <c r="DU181" s="2106">
        <f t="shared" si="358"/>
        <v>0</v>
      </c>
      <c r="DV181" s="2106">
        <v>0</v>
      </c>
      <c r="DW181" s="2106">
        <v>0</v>
      </c>
      <c r="DX181" s="2109">
        <f t="shared" si="304"/>
        <v>0</v>
      </c>
      <c r="DY181" s="2152"/>
      <c r="DZ181" s="2152"/>
      <c r="EA181" s="2152"/>
      <c r="EB181" s="2152"/>
      <c r="EC181" s="2152"/>
      <c r="ED181" s="2152"/>
      <c r="EE181" s="2162"/>
      <c r="EF181" s="2152"/>
      <c r="EG181" s="2152"/>
      <c r="EH181" s="2152"/>
      <c r="EI181" s="2152"/>
      <c r="EJ181" s="2152"/>
      <c r="EK181" s="2152"/>
      <c r="EL181" s="2152"/>
      <c r="EM181" s="2152"/>
      <c r="EN181" s="2152"/>
      <c r="EO181" s="2163"/>
      <c r="EP181" s="2163"/>
      <c r="ES181" s="2084">
        <f t="shared" si="355"/>
        <v>0</v>
      </c>
      <c r="EU181" s="2084">
        <f t="shared" si="359"/>
        <v>0</v>
      </c>
      <c r="EV181" s="2084">
        <f t="shared" si="360"/>
        <v>0</v>
      </c>
      <c r="EW181" s="2084" t="e">
        <f t="shared" si="361"/>
        <v>#DIV/0!</v>
      </c>
    </row>
    <row r="182" spans="1:153">
      <c r="A182" s="1760" t="s">
        <v>69</v>
      </c>
      <c r="B182" s="1592" t="s">
        <v>1789</v>
      </c>
      <c r="C182" s="1596"/>
      <c r="D182" s="1597"/>
      <c r="E182" s="1592"/>
      <c r="F182" s="1597"/>
      <c r="G182" s="1592"/>
      <c r="H182" s="2168"/>
      <c r="I182" s="2169">
        <v>1</v>
      </c>
      <c r="J182" s="2152"/>
      <c r="K182" s="2160"/>
      <c r="L182" s="2160"/>
      <c r="M182" s="2161"/>
      <c r="N182" s="2106">
        <v>-1311.1228219999998</v>
      </c>
      <c r="O182" s="2152">
        <f>IFERROR(P182/N182*10,0)</f>
        <v>0</v>
      </c>
      <c r="P182" s="2106">
        <v>0</v>
      </c>
      <c r="Q182" s="2152">
        <f>IFERROR(R182/N182*10,0)</f>
        <v>2.7403467554392096</v>
      </c>
      <c r="R182" s="2106">
        <v>-359.29311712499998</v>
      </c>
      <c r="S182" s="2152">
        <f>IFERROR(T182/N182*10,0)</f>
        <v>0</v>
      </c>
      <c r="T182" s="2106">
        <v>0</v>
      </c>
      <c r="U182" s="2152"/>
      <c r="V182" s="2152">
        <f>IFERROR(W182/N182*10,0)</f>
        <v>2.7403467554392096</v>
      </c>
      <c r="W182" s="2152">
        <f>SUM(P182,R182,T182,U182)</f>
        <v>-359.29311712499998</v>
      </c>
      <c r="X182" s="2106">
        <v>-493.77956499999993</v>
      </c>
      <c r="Y182" s="2152">
        <f>IFERROR(Z182/X182*10,0)</f>
        <v>0</v>
      </c>
      <c r="Z182" s="2106">
        <v>0</v>
      </c>
      <c r="AA182" s="2152">
        <f>IFERROR(AB182/X182*10,0)</f>
        <v>1.1651339349177565</v>
      </c>
      <c r="AB182" s="2106">
        <v>-57.531932755042803</v>
      </c>
      <c r="AC182" s="2152">
        <f>IFERROR(AD182/X182*10,0)</f>
        <v>0</v>
      </c>
      <c r="AD182" s="2106">
        <v>0</v>
      </c>
      <c r="AE182" s="2152"/>
      <c r="AF182" s="2152">
        <f>IFERROR(AG182/X182*10,0)</f>
        <v>1.1651339349177565</v>
      </c>
      <c r="AG182" s="2152">
        <f>SUM(Z182,AB182,AD182,AE182)</f>
        <v>-57.531932755042803</v>
      </c>
      <c r="AH182" s="2106">
        <v>-684.02057400000001</v>
      </c>
      <c r="AI182" s="2152">
        <f>IFERROR(AJ182/AH182*10,0)</f>
        <v>0</v>
      </c>
      <c r="AJ182" s="2106">
        <v>0</v>
      </c>
      <c r="AK182" s="2152">
        <f>IFERROR(AL182/AH182*10,0)</f>
        <v>1.3552783660422474</v>
      </c>
      <c r="AL182" s="2106">
        <v>-92.703828587000018</v>
      </c>
      <c r="AM182" s="2152">
        <f>IFERROR(AN182/AH182*10,0)</f>
        <v>-0.15826949234424637</v>
      </c>
      <c r="AN182" s="2106">
        <v>10.8259589</v>
      </c>
      <c r="AO182" s="2152"/>
      <c r="AP182" s="2152">
        <f>IFERROR(AQ182/AH182*10,0)</f>
        <v>1.1970088736980009</v>
      </c>
      <c r="AQ182" s="2152">
        <f>SUM(AJ182,AL182,AN182,AO182)</f>
        <v>-81.877869687000015</v>
      </c>
      <c r="AR182" s="2106">
        <v>88.677902999999958</v>
      </c>
      <c r="AS182" s="2152">
        <f>IFERROR(AT182/AR182*10,0)</f>
        <v>0</v>
      </c>
      <c r="AT182" s="2106">
        <v>0</v>
      </c>
      <c r="AU182" s="2152">
        <f>IFERROR(AV182/AR182*10,0)</f>
        <v>11.608877105382167</v>
      </c>
      <c r="AV182" s="2106">
        <v>102.94508778900001</v>
      </c>
      <c r="AW182" s="2152">
        <f>IFERROR(AX182/AR182*10,0)</f>
        <v>2.1797425678863887E-2</v>
      </c>
      <c r="AX182" s="2106">
        <v>0.19329499999999999</v>
      </c>
      <c r="AY182" s="2152"/>
      <c r="AZ182" s="2152">
        <f>IFERROR(BA182/AR182*10,0)</f>
        <v>11.630674531061032</v>
      </c>
      <c r="BA182" s="2152">
        <f>SUM(AT182,AV182,AX182,AY182)</f>
        <v>103.13838278900002</v>
      </c>
      <c r="BB182" s="2106">
        <v>-474.34492599999999</v>
      </c>
      <c r="BC182" s="2152">
        <f>IFERROR(BD182/BB182*10,0)</f>
        <v>0</v>
      </c>
      <c r="BD182" s="2106">
        <v>0</v>
      </c>
      <c r="BE182" s="2152">
        <f>IFERROR(BF182/BB182*10,0)</f>
        <v>2.6763467518781896</v>
      </c>
      <c r="BF182" s="2106">
        <v>-126.95115019700003</v>
      </c>
      <c r="BG182" s="2152">
        <f>IFERROR(BH182/BB182*10,0)</f>
        <v>0</v>
      </c>
      <c r="BH182" s="2106">
        <v>0</v>
      </c>
      <c r="BI182" s="2152"/>
      <c r="BJ182" s="2152">
        <f>IFERROR(BK182/BB182*10,0)</f>
        <v>2.6763467518781896</v>
      </c>
      <c r="BK182" s="2152">
        <f>SUM(BD182,BF182,BH182,BI182)</f>
        <v>-126.95115019700003</v>
      </c>
      <c r="BL182" s="2106">
        <v>-763.68336299999999</v>
      </c>
      <c r="BM182" s="2152">
        <f>IFERROR(BN182/BL182*10,0)</f>
        <v>0</v>
      </c>
      <c r="BN182" s="2106">
        <v>0</v>
      </c>
      <c r="BO182" s="2152">
        <f>IFERROR(BP182/BL182*10,0)</f>
        <v>3.3304917997277359</v>
      </c>
      <c r="BP182" s="2106">
        <v>-254.34411780599999</v>
      </c>
      <c r="BQ182" s="2152">
        <f>IFERROR(BR182/BL182*10,0)</f>
        <v>3.7166694176104499E-2</v>
      </c>
      <c r="BR182" s="2106">
        <v>-2.8383585999999998</v>
      </c>
      <c r="BS182" s="2152"/>
      <c r="BT182" s="2152">
        <f>IFERROR(BU182/BL182*10,0)</f>
        <v>3.3676584939038405</v>
      </c>
      <c r="BU182" s="2152">
        <f>SUM(BN182,BP182,BR182,BS182)</f>
        <v>-257.18247640599998</v>
      </c>
      <c r="BV182" s="2106">
        <v>65.875433000000001</v>
      </c>
      <c r="BW182" s="2152">
        <f>IFERROR(BX182/BV182*10,0)</f>
        <v>0</v>
      </c>
      <c r="BX182" s="2106">
        <v>0</v>
      </c>
      <c r="BY182" s="2152">
        <f>IFERROR(BZ182/BV182*10,0)</f>
        <v>30.812546483147973</v>
      </c>
      <c r="BZ182" s="2106">
        <v>202.97898414099998</v>
      </c>
      <c r="CA182" s="2152">
        <f>IFERROR(CB182/BV182*10,0)</f>
        <v>0</v>
      </c>
      <c r="CB182" s="2106">
        <v>0</v>
      </c>
      <c r="CC182" s="2152"/>
      <c r="CD182" s="2152">
        <f>IFERROR(CE182/BV182*10,0)</f>
        <v>30.812546483147973</v>
      </c>
      <c r="CE182" s="2152">
        <f>SUM(BX182,BZ182,CB182,CC182)</f>
        <v>202.97898414099998</v>
      </c>
      <c r="CF182" s="2106">
        <v>1.8885840000000016</v>
      </c>
      <c r="CG182" s="2152">
        <f>IFERROR(CH182/CF182*10,0)</f>
        <v>0</v>
      </c>
      <c r="CH182" s="2106">
        <v>0</v>
      </c>
      <c r="CI182" s="2152">
        <f>IFERROR(CJ182/CF182*10,0)</f>
        <v>97.123827502509727</v>
      </c>
      <c r="CJ182" s="2106">
        <v>18.342650663999997</v>
      </c>
      <c r="CK182" s="2152">
        <f>IFERROR(CL182/CF182*10,0)</f>
        <v>3.1769833907308302E-2</v>
      </c>
      <c r="CL182" s="2106">
        <v>6.0000000000000001E-3</v>
      </c>
      <c r="CM182" s="2152"/>
      <c r="CN182" s="2152">
        <f>IFERROR(CO182/CF182*10,0)</f>
        <v>97.155597336417031</v>
      </c>
      <c r="CO182" s="2152">
        <f>SUM(CH182,CJ182,CL182,CM182)</f>
        <v>18.348650663999997</v>
      </c>
      <c r="CP182" s="2106">
        <v>-295.72282100000007</v>
      </c>
      <c r="CQ182" s="2152">
        <f>IFERROR(CR182/CP182*10,0)</f>
        <v>0</v>
      </c>
      <c r="CR182" s="2106">
        <v>0</v>
      </c>
      <c r="CS182" s="2152">
        <f>IFERROR(CT182/CP182*10,0)</f>
        <v>11.838440419077429</v>
      </c>
      <c r="CT182" s="2106">
        <v>-350.08969969700001</v>
      </c>
      <c r="CU182" s="2152">
        <f>IFERROR(CV182/CP182*10,0)</f>
        <v>-1.739886013058153E-3</v>
      </c>
      <c r="CV182" s="2106">
        <v>5.1452400000000002E-2</v>
      </c>
      <c r="CW182" s="2152"/>
      <c r="CX182" s="2152">
        <f>IFERROR(CY182/CP182*10,0)</f>
        <v>11.83670053306437</v>
      </c>
      <c r="CY182" s="2152">
        <f>SUM(CR182,CT182,CV182,CW182)</f>
        <v>-350.038247297</v>
      </c>
      <c r="CZ182" s="2106">
        <v>0</v>
      </c>
      <c r="DA182" s="2106">
        <f t="shared" si="356"/>
        <v>0</v>
      </c>
      <c r="DB182" s="2106">
        <v>0</v>
      </c>
      <c r="DC182" s="2106">
        <v>0</v>
      </c>
      <c r="DD182" s="2109">
        <f t="shared" si="302"/>
        <v>0</v>
      </c>
      <c r="DE182" s="2152"/>
      <c r="DF182" s="2152"/>
      <c r="DG182" s="2152"/>
      <c r="DH182" s="2152">
        <f>IFERROR(DI182/CZ182*10,0)</f>
        <v>0</v>
      </c>
      <c r="DI182" s="2152">
        <f>SUM(DB182,DD182,DF182,DG182)</f>
        <v>0</v>
      </c>
      <c r="DJ182" s="2106">
        <v>0</v>
      </c>
      <c r="DK182" s="2106">
        <f t="shared" si="357"/>
        <v>0</v>
      </c>
      <c r="DL182" s="2106">
        <v>0</v>
      </c>
      <c r="DM182" s="2106">
        <v>0</v>
      </c>
      <c r="DN182" s="2109">
        <f t="shared" si="303"/>
        <v>0</v>
      </c>
      <c r="DO182" s="2152"/>
      <c r="DP182" s="2152"/>
      <c r="DQ182" s="2152"/>
      <c r="DR182" s="2152">
        <f>IFERROR(DS182/DJ182*10,0)</f>
        <v>0</v>
      </c>
      <c r="DS182" s="2152">
        <f>SUM(DL182,DN182,DP182,DQ182)</f>
        <v>0</v>
      </c>
      <c r="DT182" s="2106">
        <v>0</v>
      </c>
      <c r="DU182" s="2106">
        <f t="shared" si="358"/>
        <v>0</v>
      </c>
      <c r="DV182" s="2106">
        <v>0</v>
      </c>
      <c r="DW182" s="2106">
        <v>0</v>
      </c>
      <c r="DX182" s="2109">
        <f t="shared" si="304"/>
        <v>0</v>
      </c>
      <c r="DY182" s="2152"/>
      <c r="DZ182" s="2152"/>
      <c r="EA182" s="2152"/>
      <c r="EB182" s="2152">
        <f>IFERROR(EC182/DT182*10,0)</f>
        <v>0</v>
      </c>
      <c r="EC182" s="2152">
        <f>SUM(DV182,DX182,DZ182,EA182)</f>
        <v>0</v>
      </c>
      <c r="ED182" s="2152">
        <f>SUM(N182,X182,AH182,AR182,BB182,BL182,BV182,CF182,CP182,CZ182,DJ182,DT182)</f>
        <v>-3866.2321510000002</v>
      </c>
      <c r="EE182" s="2162"/>
      <c r="EF182" s="2152">
        <f>IFERROR(EG182/ED182*10,0)</f>
        <v>0.92931076844950677</v>
      </c>
      <c r="EG182" s="2152">
        <f>SUM(R182,Z182,AJ182,AT182,BD182,BN182,BX182,CH182,CR182,DB182,DL182,DV182)</f>
        <v>-359.29311712499998</v>
      </c>
      <c r="EH182" s="2152">
        <f>IFERROR(EI182/ED182*10,0)</f>
        <v>2.3709055425860868</v>
      </c>
      <c r="EI182" s="2152">
        <f>SUM(R182,AB182,AL182,AV182,BF182,BP182,BZ182,CJ182,CT182,DD182,DN182,DX182)</f>
        <v>-916.6471235730429</v>
      </c>
      <c r="EJ182" s="2152"/>
      <c r="EK182" s="2152">
        <f>SUM(T182,AD182,AN182,AX182,BH182,BR182,CB182,CL182,CV182,DF182,DP182,DZ182)</f>
        <v>8.2383477000000003</v>
      </c>
      <c r="EL182" s="2152"/>
      <c r="EM182" s="2152"/>
      <c r="EN182" s="2152">
        <f>EG182+EI182+EK182</f>
        <v>-1267.7018929980429</v>
      </c>
      <c r="EO182" s="2157">
        <f>IFERROR(EN182/ED182*10,0)</f>
        <v>3.2789078448642877</v>
      </c>
      <c r="EP182" s="2163"/>
      <c r="ES182" s="2084">
        <f t="shared" si="355"/>
        <v>0</v>
      </c>
      <c r="EU182" s="2084" t="e">
        <f>SUM(#REF!,AB182,AL182,AV182,BF182,BP182,BZ182,CJ182,CT182)</f>
        <v>#REF!</v>
      </c>
      <c r="EV182" s="2084">
        <f t="shared" si="360"/>
        <v>-3866.2321510000002</v>
      </c>
      <c r="EW182" s="2084" t="e">
        <f t="shared" si="361"/>
        <v>#REF!</v>
      </c>
    </row>
    <row r="183" spans="1:153">
      <c r="A183" s="1760"/>
      <c r="B183" s="1592"/>
      <c r="C183" s="1596"/>
      <c r="D183" s="1597"/>
      <c r="E183" s="1592"/>
      <c r="F183" s="1597"/>
      <c r="G183" s="1592"/>
      <c r="H183" s="2168"/>
      <c r="I183" s="2169"/>
      <c r="J183" s="2152"/>
      <c r="K183" s="2160"/>
      <c r="L183" s="2160"/>
      <c r="M183" s="2161"/>
      <c r="N183" s="2152"/>
      <c r="O183" s="2152"/>
      <c r="P183" s="2152"/>
      <c r="Q183" s="2152"/>
      <c r="R183" s="2152"/>
      <c r="S183" s="2152"/>
      <c r="T183" s="2152"/>
      <c r="U183" s="2152"/>
      <c r="V183" s="2152"/>
      <c r="W183" s="2152"/>
      <c r="X183" s="2152"/>
      <c r="Y183" s="2152"/>
      <c r="Z183" s="2152"/>
      <c r="AA183" s="2152"/>
      <c r="AB183" s="2152"/>
      <c r="AC183" s="2152"/>
      <c r="AD183" s="2152"/>
      <c r="AE183" s="2152"/>
      <c r="AF183" s="2152"/>
      <c r="AG183" s="2152"/>
      <c r="AH183" s="2152"/>
      <c r="AI183" s="2152"/>
      <c r="AJ183" s="2152"/>
      <c r="AK183" s="2152"/>
      <c r="AL183" s="2152"/>
      <c r="AM183" s="2152"/>
      <c r="AN183" s="2152"/>
      <c r="AO183" s="2170"/>
      <c r="AP183" s="2152"/>
      <c r="AQ183" s="2152"/>
      <c r="AR183" s="2152"/>
      <c r="AS183" s="2152"/>
      <c r="AT183" s="2152"/>
      <c r="AU183" s="2152"/>
      <c r="AV183" s="2152"/>
      <c r="AW183" s="2152"/>
      <c r="AX183" s="2152"/>
      <c r="AY183" s="2170"/>
      <c r="AZ183" s="2152"/>
      <c r="BA183" s="2152"/>
      <c r="BB183" s="2152"/>
      <c r="BC183" s="2152"/>
      <c r="BD183" s="2152"/>
      <c r="BE183" s="2152"/>
      <c r="BF183" s="2152"/>
      <c r="BG183" s="2152"/>
      <c r="BH183" s="2152"/>
      <c r="BI183" s="2170"/>
      <c r="BJ183" s="2152"/>
      <c r="BK183" s="2152"/>
      <c r="BL183" s="2152"/>
      <c r="BM183" s="2152"/>
      <c r="BN183" s="2152"/>
      <c r="BO183" s="2152"/>
      <c r="BP183" s="2152"/>
      <c r="BQ183" s="2152"/>
      <c r="BR183" s="2152"/>
      <c r="BS183" s="2170"/>
      <c r="BT183" s="2152"/>
      <c r="BU183" s="2152"/>
      <c r="BV183" s="2152"/>
      <c r="BW183" s="2152"/>
      <c r="BX183" s="2152"/>
      <c r="BY183" s="2152"/>
      <c r="BZ183" s="2152"/>
      <c r="CA183" s="2152"/>
      <c r="CB183" s="2152"/>
      <c r="CC183" s="2170"/>
      <c r="CD183" s="2152"/>
      <c r="CE183" s="2152"/>
      <c r="CF183" s="2152"/>
      <c r="CG183" s="2152"/>
      <c r="CH183" s="2152"/>
      <c r="CI183" s="2152"/>
      <c r="CJ183" s="2152"/>
      <c r="CK183" s="2152"/>
      <c r="CL183" s="2152"/>
      <c r="CM183" s="2170"/>
      <c r="CN183" s="2152"/>
      <c r="CO183" s="2152"/>
      <c r="CP183" s="2152"/>
      <c r="CQ183" s="2152"/>
      <c r="CR183" s="2152"/>
      <c r="CS183" s="2152"/>
      <c r="CT183" s="2152"/>
      <c r="CU183" s="2152"/>
      <c r="CV183" s="2152"/>
      <c r="CW183" s="2170"/>
      <c r="CX183" s="2152"/>
      <c r="CY183" s="2152"/>
      <c r="CZ183" s="2106">
        <v>0</v>
      </c>
      <c r="DA183" s="2106">
        <f t="shared" si="356"/>
        <v>0</v>
      </c>
      <c r="DB183" s="2106">
        <v>0</v>
      </c>
      <c r="DC183" s="2106">
        <v>0</v>
      </c>
      <c r="DD183" s="2109">
        <f t="shared" si="302"/>
        <v>0</v>
      </c>
      <c r="DE183" s="2152"/>
      <c r="DF183" s="2152"/>
      <c r="DG183" s="2170"/>
      <c r="DH183" s="2152"/>
      <c r="DI183" s="2152"/>
      <c r="DJ183" s="2106">
        <v>0</v>
      </c>
      <c r="DK183" s="2106">
        <f t="shared" si="357"/>
        <v>0</v>
      </c>
      <c r="DL183" s="2106">
        <v>0</v>
      </c>
      <c r="DM183" s="2106">
        <v>0</v>
      </c>
      <c r="DN183" s="2109">
        <f t="shared" si="303"/>
        <v>0</v>
      </c>
      <c r="DO183" s="2152"/>
      <c r="DP183" s="2152"/>
      <c r="DQ183" s="2170"/>
      <c r="DR183" s="2152"/>
      <c r="DS183" s="2152"/>
      <c r="DT183" s="2106">
        <v>0</v>
      </c>
      <c r="DU183" s="2106">
        <f t="shared" si="358"/>
        <v>0</v>
      </c>
      <c r="DV183" s="2106">
        <v>0</v>
      </c>
      <c r="DW183" s="2106">
        <v>0</v>
      </c>
      <c r="DX183" s="2109">
        <f t="shared" si="304"/>
        <v>0</v>
      </c>
      <c r="DY183" s="2152"/>
      <c r="DZ183" s="2152"/>
      <c r="EA183" s="2152"/>
      <c r="EB183" s="2152"/>
      <c r="EC183" s="2152"/>
      <c r="ED183" s="2152"/>
      <c r="EE183" s="2162"/>
      <c r="EF183" s="2152"/>
      <c r="EG183" s="2152"/>
      <c r="EH183" s="2152"/>
      <c r="EI183" s="2152"/>
      <c r="EJ183" s="2152"/>
      <c r="EK183" s="2152"/>
      <c r="EL183" s="2152"/>
      <c r="EM183" s="2152"/>
      <c r="EN183" s="2152"/>
      <c r="EO183" s="2163"/>
      <c r="EP183" s="2163"/>
      <c r="ES183" s="2084">
        <f t="shared" si="355"/>
        <v>0</v>
      </c>
      <c r="EU183" s="2084">
        <f t="shared" si="359"/>
        <v>0</v>
      </c>
      <c r="EV183" s="2084">
        <f t="shared" si="360"/>
        <v>0</v>
      </c>
      <c r="EW183" s="2084" t="e">
        <f t="shared" si="361"/>
        <v>#DIV/0!</v>
      </c>
    </row>
    <row r="184" spans="1:153">
      <c r="A184" s="1760">
        <v>1</v>
      </c>
      <c r="B184" s="1592" t="s">
        <v>1790</v>
      </c>
      <c r="C184" s="1596"/>
      <c r="D184" s="1597"/>
      <c r="E184" s="1592"/>
      <c r="F184" s="2147">
        <v>0.18999999999999997</v>
      </c>
      <c r="G184" s="2157"/>
      <c r="H184" s="2158" t="s">
        <v>1667</v>
      </c>
      <c r="I184" s="2159">
        <v>2</v>
      </c>
      <c r="J184" s="2157"/>
      <c r="K184" s="2160"/>
      <c r="L184" s="2160"/>
      <c r="M184" s="2161"/>
      <c r="N184" s="2106">
        <v>371.15584900000005</v>
      </c>
      <c r="O184" s="2152">
        <f>IFERROR(P184/N184*10,0)</f>
        <v>0</v>
      </c>
      <c r="P184" s="2106">
        <v>0</v>
      </c>
      <c r="Q184" s="2152">
        <f>IFERROR(R184/N184*10,0)</f>
        <v>3.9774139951651417</v>
      </c>
      <c r="R184" s="2106">
        <v>147.62404682000002</v>
      </c>
      <c r="S184" s="2152">
        <f>IFERROR(T184/N184*10,0)</f>
        <v>0</v>
      </c>
      <c r="T184" s="2106">
        <v>0</v>
      </c>
      <c r="U184" s="2152"/>
      <c r="V184" s="2152">
        <f>IFERROR(W184/N184*10,0)</f>
        <v>3.9774139951651417</v>
      </c>
      <c r="W184" s="2152">
        <f>SUM(P184,R184,T184,U184)</f>
        <v>147.62404682000002</v>
      </c>
      <c r="X184" s="2106">
        <v>395.47342300000003</v>
      </c>
      <c r="Y184" s="2152">
        <f>IFERROR(Z184/X184*10,0)</f>
        <v>0</v>
      </c>
      <c r="Z184" s="2106">
        <v>0</v>
      </c>
      <c r="AA184" s="2152">
        <f>IFERROR(AB184/X184*10,0)</f>
        <v>3.8374391716836049</v>
      </c>
      <c r="AB184" s="2106">
        <v>151.76052047799999</v>
      </c>
      <c r="AC184" s="2152">
        <f>IFERROR(AD184/X184*10,0)</f>
        <v>0</v>
      </c>
      <c r="AD184" s="2106">
        <v>0</v>
      </c>
      <c r="AE184" s="2152"/>
      <c r="AF184" s="2152">
        <f>IFERROR(AG184/X184*10,0)</f>
        <v>3.8374391716836049</v>
      </c>
      <c r="AG184" s="2152">
        <f>SUM(Z184,AB184,AD184,AE184)</f>
        <v>151.76052047799999</v>
      </c>
      <c r="AH184" s="2106">
        <v>370.33632</v>
      </c>
      <c r="AI184" s="2152">
        <f>IFERROR(AJ184/AH184*10,0)</f>
        <v>0</v>
      </c>
      <c r="AJ184" s="2106">
        <v>0</v>
      </c>
      <c r="AK184" s="2152">
        <f>IFERROR(AL184/AH184*10,0)</f>
        <v>3.7970963998346159</v>
      </c>
      <c r="AL184" s="2106">
        <v>140.62027074000002</v>
      </c>
      <c r="AM184" s="2152">
        <f>IFERROR(AN184/AH184*10,0)</f>
        <v>0</v>
      </c>
      <c r="AN184" s="2106">
        <v>0</v>
      </c>
      <c r="AO184" s="2152"/>
      <c r="AP184" s="2152">
        <f>IFERROR(AQ184/AH184*10,0)</f>
        <v>3.7970963998346159</v>
      </c>
      <c r="AQ184" s="2152">
        <f>SUM(AJ184,AL184,AN184,AO184)</f>
        <v>140.62027074000002</v>
      </c>
      <c r="AR184" s="2106">
        <v>554.10893999999996</v>
      </c>
      <c r="AS184" s="2152">
        <f>IFERROR(AT184/AR184*10,0)</f>
        <v>0</v>
      </c>
      <c r="AT184" s="2106">
        <v>0</v>
      </c>
      <c r="AU184" s="2152">
        <f>IFERROR(AV184/AR184*10,0)</f>
        <v>3.447621098118359</v>
      </c>
      <c r="AV184" s="2106">
        <v>191.03576722</v>
      </c>
      <c r="AW184" s="2152">
        <f>IFERROR(AX184/AR184*10,0)</f>
        <v>-2.4581216827145942E-2</v>
      </c>
      <c r="AX184" s="2106">
        <v>-1.3620672</v>
      </c>
      <c r="AY184" s="2152"/>
      <c r="AZ184" s="2152">
        <f>IFERROR(BA184/AR184*10,0)</f>
        <v>3.4230398812912135</v>
      </c>
      <c r="BA184" s="2152">
        <f>SUM(AT184,AV184,AX184,AY184)</f>
        <v>189.67370001999998</v>
      </c>
      <c r="BB184" s="2106">
        <v>382.84470599999997</v>
      </c>
      <c r="BC184" s="2152">
        <f>IFERROR(BD184/BB184*10,0)</f>
        <v>0</v>
      </c>
      <c r="BD184" s="2106">
        <v>0</v>
      </c>
      <c r="BE184" s="2152">
        <f>IFERROR(BF184/BB184*10,0)</f>
        <v>3.6600274697281572</v>
      </c>
      <c r="BF184" s="2106">
        <v>140.12221406</v>
      </c>
      <c r="BG184" s="2152">
        <f>IFERROR(BH184/BB184*10,0)</f>
        <v>0</v>
      </c>
      <c r="BH184" s="2106">
        <v>0</v>
      </c>
      <c r="BI184" s="2152"/>
      <c r="BJ184" s="2152">
        <f>IFERROR(BK184/BB184*10,0)</f>
        <v>3.6600274697281572</v>
      </c>
      <c r="BK184" s="2152">
        <f>SUM(BD184,BF184,BH184,BI184)</f>
        <v>140.12221406</v>
      </c>
      <c r="BL184" s="2106">
        <v>373.94718699999999</v>
      </c>
      <c r="BM184" s="2152">
        <f>IFERROR(BN184/BL184*10,0)</f>
        <v>0</v>
      </c>
      <c r="BN184" s="2106">
        <v>0</v>
      </c>
      <c r="BO184" s="2152">
        <f>IFERROR(BP184/BL184*10,0)</f>
        <v>3.7452915139324201</v>
      </c>
      <c r="BP184" s="2106">
        <v>140.05412261299998</v>
      </c>
      <c r="BQ184" s="2152">
        <f>IFERROR(BR184/BL184*10,0)</f>
        <v>-8.06119448092011E-3</v>
      </c>
      <c r="BR184" s="2106">
        <v>-0.30144609999999999</v>
      </c>
      <c r="BS184" s="2152"/>
      <c r="BT184" s="2152">
        <f>IFERROR(BU184/BL184*10,0)</f>
        <v>3.7372303194515002</v>
      </c>
      <c r="BU184" s="2152">
        <f>SUM(BN184,BP184,BR184,BS184)</f>
        <v>139.75267651299998</v>
      </c>
      <c r="BV184" s="2106">
        <v>431.98104999999998</v>
      </c>
      <c r="BW184" s="2152">
        <f>IFERROR(BX184/BV184*10,0)</f>
        <v>0</v>
      </c>
      <c r="BX184" s="2106">
        <v>0</v>
      </c>
      <c r="BY184" s="2152">
        <f>IFERROR(BZ184/BV184*10,0)</f>
        <v>3.7856824332919237</v>
      </c>
      <c r="BZ184" s="2106">
        <v>163.53430725000001</v>
      </c>
      <c r="CA184" s="2152">
        <f>IFERROR(CB184/BV184*10,0)</f>
        <v>0</v>
      </c>
      <c r="CB184" s="2106">
        <v>0</v>
      </c>
      <c r="CC184" s="2152"/>
      <c r="CD184" s="2152">
        <f>IFERROR(CE184/BV184*10,0)</f>
        <v>3.7856824332919237</v>
      </c>
      <c r="CE184" s="2152">
        <f>SUM(BX184,BZ184,CB184,CC184)</f>
        <v>163.53430725000001</v>
      </c>
      <c r="CF184" s="2106">
        <v>397.0409765</v>
      </c>
      <c r="CG184" s="2152">
        <f>IFERROR(CH184/CF184*10,0)</f>
        <v>0</v>
      </c>
      <c r="CH184" s="2106">
        <v>0</v>
      </c>
      <c r="CI184" s="2152">
        <f>IFERROR(CJ184/CF184*10,0)</f>
        <v>3.684490189641672</v>
      </c>
      <c r="CJ184" s="2106">
        <v>146.28935827999996</v>
      </c>
      <c r="CK184" s="2152">
        <f>IFERROR(CL184/CF184*10,0)</f>
        <v>1.9508718969715712E-2</v>
      </c>
      <c r="CL184" s="2106">
        <v>0.77457608300000003</v>
      </c>
      <c r="CM184" s="2152"/>
      <c r="CN184" s="2152">
        <f>IFERROR(CO184/CF184*10,0)</f>
        <v>3.7039989086113878</v>
      </c>
      <c r="CO184" s="2152">
        <f>SUM(CH184,CJ184,CL184,CM184)</f>
        <v>147.06393436299996</v>
      </c>
      <c r="CP184" s="2106">
        <v>280.43680000000001</v>
      </c>
      <c r="CQ184" s="2152">
        <f>IFERROR(CR184/CP184*10,0)</f>
        <v>0</v>
      </c>
      <c r="CR184" s="2106">
        <v>0</v>
      </c>
      <c r="CS184" s="2152">
        <f>IFERROR(CT184/CP184*10,0)</f>
        <v>3.8765763266447193</v>
      </c>
      <c r="CT184" s="2106">
        <v>108.713466</v>
      </c>
      <c r="CU184" s="2152">
        <f>IFERROR(CV184/CP184*10,0)</f>
        <v>0</v>
      </c>
      <c r="CV184" s="2106">
        <v>0</v>
      </c>
      <c r="CW184" s="2152"/>
      <c r="CX184" s="2152">
        <f>IFERROR(CY184/CP184*10,0)</f>
        <v>3.8765763266447193</v>
      </c>
      <c r="CY184" s="2152">
        <f>SUM(CR184,CT184,CV184,CW184)</f>
        <v>108.713466</v>
      </c>
      <c r="CZ184" s="2106">
        <v>331.20648</v>
      </c>
      <c r="DA184" s="2106">
        <f t="shared" si="356"/>
        <v>0</v>
      </c>
      <c r="DB184" s="2106">
        <v>0</v>
      </c>
      <c r="DC184" s="2106">
        <v>3.8852964378087265</v>
      </c>
      <c r="DD184" s="2109">
        <f t="shared" si="302"/>
        <v>128.68353569231672</v>
      </c>
      <c r="DE184" s="2152"/>
      <c r="DF184" s="2152"/>
      <c r="DG184" s="2170"/>
      <c r="DH184" s="2152">
        <f>IFERROR(DI184/CZ184*10,0)</f>
        <v>3.8852964378087269</v>
      </c>
      <c r="DI184" s="2152">
        <f>SUM(DB184,DD184,DF184,DG184)</f>
        <v>128.68353569231672</v>
      </c>
      <c r="DJ184" s="2106">
        <v>299.15424000000002</v>
      </c>
      <c r="DK184" s="2106">
        <f t="shared" si="357"/>
        <v>0</v>
      </c>
      <c r="DL184" s="2106">
        <v>0</v>
      </c>
      <c r="DM184" s="2106">
        <v>3.8852964378087265</v>
      </c>
      <c r="DN184" s="2109">
        <f t="shared" si="303"/>
        <v>116.2302903027377</v>
      </c>
      <c r="DO184" s="2152"/>
      <c r="DP184" s="2152"/>
      <c r="DQ184" s="2170"/>
      <c r="DR184" s="2152">
        <f>IFERROR(DS184/DJ184*10,0)</f>
        <v>3.8852964378087269</v>
      </c>
      <c r="DS184" s="2152">
        <f>SUM(DL184,DN184,DP184,DQ184)</f>
        <v>116.2302903027377</v>
      </c>
      <c r="DT184" s="2106">
        <v>331.20648</v>
      </c>
      <c r="DU184" s="2106">
        <f t="shared" si="358"/>
        <v>0</v>
      </c>
      <c r="DV184" s="2106">
        <v>0</v>
      </c>
      <c r="DW184" s="2106">
        <v>3.8852964378087265</v>
      </c>
      <c r="DX184" s="2109">
        <f t="shared" si="304"/>
        <v>128.68353569231672</v>
      </c>
      <c r="DY184" s="2152"/>
      <c r="DZ184" s="2152"/>
      <c r="EA184" s="2152"/>
      <c r="EB184" s="2152">
        <f>IFERROR(EC184/DT184*10,0)</f>
        <v>3.8852964378087269</v>
      </c>
      <c r="EC184" s="2152">
        <f>SUM(DV184,DX184,DZ184,EA184)</f>
        <v>128.68353569231672</v>
      </c>
      <c r="ED184" s="2152">
        <f>SUM(N184,X184,AH184,AR184,BB184,BL184,BV184,CF184,CP184,CZ184,DJ184,DT184)</f>
        <v>4518.8924514999999</v>
      </c>
      <c r="EE184" s="2162"/>
      <c r="EF184" s="2152">
        <f>IFERROR(EG184/ED184*10,0)</f>
        <v>0</v>
      </c>
      <c r="EG184" s="2152">
        <f>SUM(P184,Z184,AJ184,AT184,BD184,BN184,BX184,CH184,CR184,DB184,DL184,DV184)</f>
        <v>0</v>
      </c>
      <c r="EH184" s="2152">
        <f>IFERROR(EI184/ED184*10,0)</f>
        <v>3.7694002533363271</v>
      </c>
      <c r="EI184" s="2152">
        <f>SUM(R184,AB184,AL184,AV184,BF184,BP184,BZ184,CJ184,CT184,DD184,DN184,DX184)</f>
        <v>1703.3514351483714</v>
      </c>
      <c r="EJ184" s="2152"/>
      <c r="EK184" s="2152">
        <f>SUM(T184,AD184,AN184,AX184,BH184,BR184,CB184,CL184,CV184,DF184,DP184,DZ184)</f>
        <v>-0.88893721699999995</v>
      </c>
      <c r="EL184" s="2152"/>
      <c r="EM184" s="2152"/>
      <c r="EN184" s="2152">
        <f>EG184+EI184+EK184</f>
        <v>1702.4624979313714</v>
      </c>
      <c r="EO184" s="2157">
        <f>IFERROR(EN184/ED184*10,0)</f>
        <v>3.7674330960593156</v>
      </c>
      <c r="EP184" s="2163"/>
      <c r="ES184" s="2084">
        <f t="shared" si="355"/>
        <v>0</v>
      </c>
      <c r="EU184" s="2084">
        <f t="shared" si="359"/>
        <v>1329.754073461</v>
      </c>
      <c r="EV184" s="2084">
        <f t="shared" si="360"/>
        <v>3557.3252514999999</v>
      </c>
      <c r="EW184" s="2084">
        <f t="shared" si="361"/>
        <v>3.7380727919109704</v>
      </c>
    </row>
    <row r="185" spans="1:153">
      <c r="A185" s="1760">
        <v>2</v>
      </c>
      <c r="B185" s="1592" t="s">
        <v>1791</v>
      </c>
      <c r="C185" s="1596"/>
      <c r="D185" s="1597"/>
      <c r="E185" s="1592"/>
      <c r="F185" s="2147"/>
      <c r="G185" s="2157"/>
      <c r="H185" s="2158" t="s">
        <v>1667</v>
      </c>
      <c r="I185" s="2159">
        <v>2</v>
      </c>
      <c r="J185" s="2157"/>
      <c r="K185" s="2160"/>
      <c r="L185" s="2160"/>
      <c r="M185" s="2161"/>
      <c r="N185" s="2152">
        <f t="shared" ref="N185:BY185" si="417">N184</f>
        <v>371.15584900000005</v>
      </c>
      <c r="O185" s="2152">
        <f t="shared" si="417"/>
        <v>0</v>
      </c>
      <c r="P185" s="2152">
        <f t="shared" si="417"/>
        <v>0</v>
      </c>
      <c r="Q185" s="2152">
        <f t="shared" si="417"/>
        <v>3.9774139951651417</v>
      </c>
      <c r="R185" s="2152">
        <f t="shared" si="417"/>
        <v>147.62404682000002</v>
      </c>
      <c r="S185" s="2152">
        <f t="shared" si="417"/>
        <v>0</v>
      </c>
      <c r="T185" s="2152">
        <f t="shared" si="417"/>
        <v>0</v>
      </c>
      <c r="U185" s="2152">
        <f t="shared" si="417"/>
        <v>0</v>
      </c>
      <c r="V185" s="2152">
        <f t="shared" si="417"/>
        <v>3.9774139951651417</v>
      </c>
      <c r="W185" s="2152">
        <f t="shared" si="417"/>
        <v>147.62404682000002</v>
      </c>
      <c r="X185" s="2152">
        <f t="shared" si="417"/>
        <v>395.47342300000003</v>
      </c>
      <c r="Y185" s="2152">
        <f t="shared" si="417"/>
        <v>0</v>
      </c>
      <c r="Z185" s="2152">
        <f t="shared" si="417"/>
        <v>0</v>
      </c>
      <c r="AA185" s="2152">
        <f t="shared" si="417"/>
        <v>3.8374391716836049</v>
      </c>
      <c r="AB185" s="2152">
        <f t="shared" si="417"/>
        <v>151.76052047799999</v>
      </c>
      <c r="AC185" s="2152">
        <f t="shared" si="417"/>
        <v>0</v>
      </c>
      <c r="AD185" s="2152">
        <f t="shared" si="417"/>
        <v>0</v>
      </c>
      <c r="AE185" s="2152">
        <f t="shared" si="417"/>
        <v>0</v>
      </c>
      <c r="AF185" s="2152">
        <f t="shared" si="417"/>
        <v>3.8374391716836049</v>
      </c>
      <c r="AG185" s="2152">
        <f t="shared" si="417"/>
        <v>151.76052047799999</v>
      </c>
      <c r="AH185" s="2152">
        <f t="shared" si="417"/>
        <v>370.33632</v>
      </c>
      <c r="AI185" s="2152">
        <f t="shared" si="417"/>
        <v>0</v>
      </c>
      <c r="AJ185" s="2152">
        <f t="shared" si="417"/>
        <v>0</v>
      </c>
      <c r="AK185" s="2152">
        <f t="shared" si="417"/>
        <v>3.7970963998346159</v>
      </c>
      <c r="AL185" s="2152">
        <f t="shared" si="417"/>
        <v>140.62027074000002</v>
      </c>
      <c r="AM185" s="2152">
        <f t="shared" si="417"/>
        <v>0</v>
      </c>
      <c r="AN185" s="2152">
        <f t="shared" si="417"/>
        <v>0</v>
      </c>
      <c r="AO185" s="2152">
        <f t="shared" si="417"/>
        <v>0</v>
      </c>
      <c r="AP185" s="2152">
        <f t="shared" si="417"/>
        <v>3.7970963998346159</v>
      </c>
      <c r="AQ185" s="2152">
        <f t="shared" si="417"/>
        <v>140.62027074000002</v>
      </c>
      <c r="AR185" s="2152">
        <f t="shared" si="417"/>
        <v>554.10893999999996</v>
      </c>
      <c r="AS185" s="2152">
        <f t="shared" si="417"/>
        <v>0</v>
      </c>
      <c r="AT185" s="2152">
        <f t="shared" si="417"/>
        <v>0</v>
      </c>
      <c r="AU185" s="2152">
        <f t="shared" si="417"/>
        <v>3.447621098118359</v>
      </c>
      <c r="AV185" s="2152">
        <f t="shared" si="417"/>
        <v>191.03576722</v>
      </c>
      <c r="AW185" s="2152">
        <f t="shared" si="417"/>
        <v>-2.4581216827145942E-2</v>
      </c>
      <c r="AX185" s="2152">
        <f t="shared" si="417"/>
        <v>-1.3620672</v>
      </c>
      <c r="AY185" s="2152">
        <f t="shared" si="417"/>
        <v>0</v>
      </c>
      <c r="AZ185" s="2152">
        <f t="shared" si="417"/>
        <v>3.4230398812912135</v>
      </c>
      <c r="BA185" s="2152">
        <f t="shared" si="417"/>
        <v>189.67370001999998</v>
      </c>
      <c r="BB185" s="2152">
        <f t="shared" si="417"/>
        <v>382.84470599999997</v>
      </c>
      <c r="BC185" s="2152">
        <f t="shared" si="417"/>
        <v>0</v>
      </c>
      <c r="BD185" s="2152">
        <f t="shared" si="417"/>
        <v>0</v>
      </c>
      <c r="BE185" s="2152">
        <f t="shared" si="417"/>
        <v>3.6600274697281572</v>
      </c>
      <c r="BF185" s="2152">
        <f t="shared" si="417"/>
        <v>140.12221406</v>
      </c>
      <c r="BG185" s="2152">
        <f t="shared" si="417"/>
        <v>0</v>
      </c>
      <c r="BH185" s="2152">
        <f t="shared" si="417"/>
        <v>0</v>
      </c>
      <c r="BI185" s="2152">
        <f t="shared" si="417"/>
        <v>0</v>
      </c>
      <c r="BJ185" s="2152">
        <f t="shared" si="417"/>
        <v>3.6600274697281572</v>
      </c>
      <c r="BK185" s="2152">
        <f t="shared" si="417"/>
        <v>140.12221406</v>
      </c>
      <c r="BL185" s="2152">
        <f t="shared" si="417"/>
        <v>373.94718699999999</v>
      </c>
      <c r="BM185" s="2152">
        <f t="shared" si="417"/>
        <v>0</v>
      </c>
      <c r="BN185" s="2152">
        <f t="shared" si="417"/>
        <v>0</v>
      </c>
      <c r="BO185" s="2152">
        <f t="shared" si="417"/>
        <v>3.7452915139324201</v>
      </c>
      <c r="BP185" s="2152">
        <f t="shared" si="417"/>
        <v>140.05412261299998</v>
      </c>
      <c r="BQ185" s="2152">
        <f t="shared" si="417"/>
        <v>-8.06119448092011E-3</v>
      </c>
      <c r="BR185" s="2152">
        <f t="shared" si="417"/>
        <v>-0.30144609999999999</v>
      </c>
      <c r="BS185" s="2152">
        <f t="shared" si="417"/>
        <v>0</v>
      </c>
      <c r="BT185" s="2152">
        <f t="shared" si="417"/>
        <v>3.7372303194515002</v>
      </c>
      <c r="BU185" s="2152">
        <f t="shared" si="417"/>
        <v>139.75267651299998</v>
      </c>
      <c r="BV185" s="2152">
        <f t="shared" si="417"/>
        <v>431.98104999999998</v>
      </c>
      <c r="BW185" s="2152">
        <f t="shared" si="417"/>
        <v>0</v>
      </c>
      <c r="BX185" s="2152">
        <f t="shared" si="417"/>
        <v>0</v>
      </c>
      <c r="BY185" s="2152">
        <f t="shared" si="417"/>
        <v>3.7856824332919237</v>
      </c>
      <c r="BZ185" s="2152">
        <f t="shared" ref="BZ185:DG185" si="418">BZ184</f>
        <v>163.53430725000001</v>
      </c>
      <c r="CA185" s="2152">
        <f t="shared" si="418"/>
        <v>0</v>
      </c>
      <c r="CB185" s="2152">
        <f t="shared" si="418"/>
        <v>0</v>
      </c>
      <c r="CC185" s="2152">
        <f t="shared" si="418"/>
        <v>0</v>
      </c>
      <c r="CD185" s="2152">
        <f t="shared" si="418"/>
        <v>3.7856824332919237</v>
      </c>
      <c r="CE185" s="2152">
        <f t="shared" si="418"/>
        <v>163.53430725000001</v>
      </c>
      <c r="CF185" s="2152">
        <f t="shared" si="418"/>
        <v>397.0409765</v>
      </c>
      <c r="CG185" s="2152">
        <f t="shared" si="418"/>
        <v>0</v>
      </c>
      <c r="CH185" s="2152">
        <f t="shared" si="418"/>
        <v>0</v>
      </c>
      <c r="CI185" s="2152">
        <f t="shared" si="418"/>
        <v>3.684490189641672</v>
      </c>
      <c r="CJ185" s="2152">
        <f t="shared" si="418"/>
        <v>146.28935827999996</v>
      </c>
      <c r="CK185" s="2152">
        <f t="shared" si="418"/>
        <v>1.9508718969715712E-2</v>
      </c>
      <c r="CL185" s="2152">
        <f t="shared" si="418"/>
        <v>0.77457608300000003</v>
      </c>
      <c r="CM185" s="2152">
        <f t="shared" si="418"/>
        <v>0</v>
      </c>
      <c r="CN185" s="2152">
        <f t="shared" si="418"/>
        <v>3.7039989086113878</v>
      </c>
      <c r="CO185" s="2152">
        <f t="shared" si="418"/>
        <v>147.06393436299996</v>
      </c>
      <c r="CP185" s="2152">
        <f t="shared" si="418"/>
        <v>280.43680000000001</v>
      </c>
      <c r="CQ185" s="2152">
        <f t="shared" si="418"/>
        <v>0</v>
      </c>
      <c r="CR185" s="2152">
        <f t="shared" si="418"/>
        <v>0</v>
      </c>
      <c r="CS185" s="2152">
        <f t="shared" si="418"/>
        <v>3.8765763266447193</v>
      </c>
      <c r="CT185" s="2152">
        <f t="shared" si="418"/>
        <v>108.713466</v>
      </c>
      <c r="CU185" s="2152">
        <f t="shared" si="418"/>
        <v>0</v>
      </c>
      <c r="CV185" s="2152">
        <f t="shared" si="418"/>
        <v>0</v>
      </c>
      <c r="CW185" s="2152">
        <f t="shared" si="418"/>
        <v>0</v>
      </c>
      <c r="CX185" s="2152">
        <f t="shared" si="418"/>
        <v>3.8765763266447193</v>
      </c>
      <c r="CY185" s="2152">
        <f t="shared" si="418"/>
        <v>108.713466</v>
      </c>
      <c r="CZ185" s="2152">
        <f t="shared" si="418"/>
        <v>331.20648</v>
      </c>
      <c r="DA185" s="2152">
        <f t="shared" si="418"/>
        <v>0</v>
      </c>
      <c r="DB185" s="2152">
        <f>DB184</f>
        <v>0</v>
      </c>
      <c r="DC185" s="2152">
        <f t="shared" si="418"/>
        <v>3.8852964378087265</v>
      </c>
      <c r="DD185" s="2152">
        <f>DD184</f>
        <v>128.68353569231672</v>
      </c>
      <c r="DE185" s="2152">
        <f t="shared" si="418"/>
        <v>0</v>
      </c>
      <c r="DF185" s="2152">
        <f>DF184</f>
        <v>0</v>
      </c>
      <c r="DG185" s="2152">
        <f t="shared" si="418"/>
        <v>0</v>
      </c>
      <c r="DH185" s="2152">
        <f>DH184</f>
        <v>3.8852964378087269</v>
      </c>
      <c r="DI185" s="2152">
        <f>DI184</f>
        <v>128.68353569231672</v>
      </c>
      <c r="DJ185" s="2152">
        <f>DJ184</f>
        <v>299.15424000000002</v>
      </c>
      <c r="DK185" s="2152">
        <f t="shared" ref="DK185:DQ185" si="419">DK184</f>
        <v>0</v>
      </c>
      <c r="DL185" s="2152">
        <f>DL184</f>
        <v>0</v>
      </c>
      <c r="DM185" s="2152">
        <f t="shared" si="419"/>
        <v>3.8852964378087265</v>
      </c>
      <c r="DN185" s="2152">
        <f>DN184</f>
        <v>116.2302903027377</v>
      </c>
      <c r="DO185" s="2152">
        <f t="shared" si="419"/>
        <v>0</v>
      </c>
      <c r="DP185" s="2152">
        <f>DP184</f>
        <v>0</v>
      </c>
      <c r="DQ185" s="2152">
        <f t="shared" si="419"/>
        <v>0</v>
      </c>
      <c r="DR185" s="2152">
        <f>DR184</f>
        <v>3.8852964378087269</v>
      </c>
      <c r="DS185" s="2152">
        <f>DS184</f>
        <v>116.2302903027377</v>
      </c>
      <c r="DT185" s="2152">
        <f>DT184</f>
        <v>331.20648</v>
      </c>
      <c r="DU185" s="2152">
        <f t="shared" ref="DU185:EA185" si="420">DU184</f>
        <v>0</v>
      </c>
      <c r="DV185" s="2152">
        <f>DV184</f>
        <v>0</v>
      </c>
      <c r="DW185" s="2152">
        <f t="shared" si="420"/>
        <v>3.8852964378087265</v>
      </c>
      <c r="DX185" s="2152">
        <f>DX184</f>
        <v>128.68353569231672</v>
      </c>
      <c r="DY185" s="2152">
        <f t="shared" si="420"/>
        <v>0</v>
      </c>
      <c r="DZ185" s="2152">
        <f>DZ184</f>
        <v>0</v>
      </c>
      <c r="EA185" s="2152">
        <f t="shared" si="420"/>
        <v>0</v>
      </c>
      <c r="EB185" s="2152">
        <f>EB184</f>
        <v>3.8852964378087269</v>
      </c>
      <c r="EC185" s="2152">
        <f>EC184</f>
        <v>128.68353569231672</v>
      </c>
      <c r="ED185" s="2152">
        <f>SUM(N185,X185,AH185,AR185,BB185,BL185,BV185,CF185,CP185,CZ185,DJ185,DT185)</f>
        <v>4518.8924514999999</v>
      </c>
      <c r="EE185" s="2162"/>
      <c r="EF185" s="2152">
        <f>IFERROR(EG185/ED185*10,0)</f>
        <v>0</v>
      </c>
      <c r="EG185" s="2152">
        <f>SUM(P185,Z185,AJ185,AT185,BD185,BN185,BX185,CH185,CR185,DB185,DL185,DV185)</f>
        <v>0</v>
      </c>
      <c r="EH185" s="2152">
        <f>IFERROR(EI185/ED185*10,0)</f>
        <v>3.7694002533363271</v>
      </c>
      <c r="EI185" s="2152">
        <f>SUM(R185,AB185,AL185,AV185,BF185,BP185,BZ185,CJ185,CT185,DD185,DN185,DX185)</f>
        <v>1703.3514351483714</v>
      </c>
      <c r="EJ185" s="2152"/>
      <c r="EK185" s="2152">
        <f>SUM(T185,AD185,AN185,AX185,BH185,BR185,CB185,CL185,CV185,DF185,DP185,DZ185)</f>
        <v>-0.88893721699999995</v>
      </c>
      <c r="EL185" s="2152"/>
      <c r="EM185" s="2152"/>
      <c r="EN185" s="2152">
        <f>EG185+EI185+EK185</f>
        <v>1702.4624979313714</v>
      </c>
      <c r="EO185" s="2157">
        <f>IFERROR(EN185/ED185*10,0)</f>
        <v>3.7674330960593156</v>
      </c>
      <c r="EP185" s="2163"/>
      <c r="ES185" s="2084">
        <f t="shared" si="355"/>
        <v>0</v>
      </c>
      <c r="EU185" s="2084">
        <f t="shared" si="359"/>
        <v>1329.754073461</v>
      </c>
      <c r="EV185" s="2084">
        <f t="shared" si="360"/>
        <v>3557.3252514999999</v>
      </c>
      <c r="EW185" s="2084">
        <f t="shared" si="361"/>
        <v>3.7380727919109704</v>
      </c>
    </row>
    <row r="186" spans="1:153" ht="15" customHeight="1">
      <c r="A186" s="1760">
        <v>3</v>
      </c>
      <c r="B186" s="1592" t="s">
        <v>1792</v>
      </c>
      <c r="C186" s="1596"/>
      <c r="D186" s="1597"/>
      <c r="E186" s="1592"/>
      <c r="F186" s="1597"/>
      <c r="G186" s="1592"/>
      <c r="H186" s="2158" t="s">
        <v>1667</v>
      </c>
      <c r="I186" s="2159">
        <v>1</v>
      </c>
      <c r="J186" s="2157"/>
      <c r="K186" s="2160"/>
      <c r="L186" s="2160"/>
      <c r="M186" s="2161"/>
      <c r="N186" s="2152"/>
      <c r="O186" s="2152"/>
      <c r="P186" s="2152"/>
      <c r="Q186" s="2152"/>
      <c r="R186" s="2152"/>
      <c r="S186" s="2152"/>
      <c r="T186" s="2152"/>
      <c r="U186" s="2152"/>
      <c r="V186" s="2152"/>
      <c r="W186" s="2152"/>
      <c r="X186" s="2152"/>
      <c r="Y186" s="2152"/>
      <c r="Z186" s="2152"/>
      <c r="AA186" s="2152"/>
      <c r="AB186" s="2152"/>
      <c r="AC186" s="2152"/>
      <c r="AD186" s="2152"/>
      <c r="AE186" s="2152"/>
      <c r="AF186" s="2152"/>
      <c r="AG186" s="2152"/>
      <c r="AH186" s="2152"/>
      <c r="AI186" s="2152"/>
      <c r="AJ186" s="2152"/>
      <c r="AK186" s="2152"/>
      <c r="AL186" s="2152"/>
      <c r="AM186" s="2152"/>
      <c r="AN186" s="2152"/>
      <c r="AO186" s="2170"/>
      <c r="AP186" s="2152"/>
      <c r="AQ186" s="2152"/>
      <c r="AR186" s="2152"/>
      <c r="AS186" s="2152"/>
      <c r="AT186" s="2152"/>
      <c r="AU186" s="2152"/>
      <c r="AV186" s="2152"/>
      <c r="AW186" s="2152"/>
      <c r="AX186" s="2152"/>
      <c r="AY186" s="2170"/>
      <c r="AZ186" s="2152"/>
      <c r="BA186" s="2152"/>
      <c r="BB186" s="2152"/>
      <c r="BC186" s="2152"/>
      <c r="BD186" s="2152"/>
      <c r="BE186" s="2152"/>
      <c r="BF186" s="2152"/>
      <c r="BG186" s="2152"/>
      <c r="BH186" s="2152"/>
      <c r="BI186" s="2170"/>
      <c r="BJ186" s="2152"/>
      <c r="BK186" s="2152"/>
      <c r="BL186" s="2152"/>
      <c r="BM186" s="2152"/>
      <c r="BN186" s="2152"/>
      <c r="BO186" s="2152"/>
      <c r="BP186" s="2152"/>
      <c r="BQ186" s="2152"/>
      <c r="BR186" s="2152"/>
      <c r="BS186" s="2170"/>
      <c r="BT186" s="2152"/>
      <c r="BU186" s="2152"/>
      <c r="BV186" s="2152"/>
      <c r="BW186" s="2152"/>
      <c r="BX186" s="2152"/>
      <c r="BY186" s="2152"/>
      <c r="BZ186" s="2152"/>
      <c r="CA186" s="2152"/>
      <c r="CB186" s="2152"/>
      <c r="CC186" s="2170"/>
      <c r="CD186" s="2152"/>
      <c r="CE186" s="2152"/>
      <c r="CF186" s="2152"/>
      <c r="CG186" s="2152"/>
      <c r="CH186" s="2152"/>
      <c r="CI186" s="2152"/>
      <c r="CJ186" s="2152"/>
      <c r="CK186" s="2152"/>
      <c r="CL186" s="2152"/>
      <c r="CM186" s="2170"/>
      <c r="CN186" s="2152"/>
      <c r="CO186" s="2152"/>
      <c r="CP186" s="2152"/>
      <c r="CQ186" s="2152"/>
      <c r="CR186" s="2152"/>
      <c r="CS186" s="2152"/>
      <c r="CT186" s="2152"/>
      <c r="CU186" s="2152"/>
      <c r="CV186" s="2152"/>
      <c r="CW186" s="2170"/>
      <c r="CX186" s="2152"/>
      <c r="CY186" s="2152"/>
      <c r="CZ186" s="2106">
        <v>0</v>
      </c>
      <c r="DA186" s="2106">
        <f t="shared" si="356"/>
        <v>0</v>
      </c>
      <c r="DB186" s="2106">
        <v>0</v>
      </c>
      <c r="DC186" s="2106">
        <v>3</v>
      </c>
      <c r="DD186" s="2109">
        <f t="shared" si="302"/>
        <v>0</v>
      </c>
      <c r="DE186" s="2152"/>
      <c r="DF186" s="2152"/>
      <c r="DG186" s="2170"/>
      <c r="DH186" s="2152"/>
      <c r="DI186" s="2152"/>
      <c r="DJ186" s="2106">
        <v>0</v>
      </c>
      <c r="DK186" s="2106">
        <f t="shared" si="357"/>
        <v>0</v>
      </c>
      <c r="DL186" s="2106">
        <v>0</v>
      </c>
      <c r="DM186" s="2106">
        <v>3</v>
      </c>
      <c r="DN186" s="2109">
        <f t="shared" si="303"/>
        <v>0</v>
      </c>
      <c r="DO186" s="2152"/>
      <c r="DP186" s="2152"/>
      <c r="DQ186" s="2170"/>
      <c r="DR186" s="2152"/>
      <c r="DS186" s="2152"/>
      <c r="DT186" s="2106">
        <v>0</v>
      </c>
      <c r="DU186" s="2106">
        <f t="shared" si="358"/>
        <v>0</v>
      </c>
      <c r="DV186" s="2106">
        <v>0</v>
      </c>
      <c r="DW186" s="2106">
        <v>3</v>
      </c>
      <c r="DX186" s="2109">
        <f t="shared" si="304"/>
        <v>0</v>
      </c>
      <c r="DY186" s="2152"/>
      <c r="DZ186" s="2152"/>
      <c r="EA186" s="2152"/>
      <c r="EB186" s="2152"/>
      <c r="EC186" s="2152"/>
      <c r="ED186" s="2162"/>
      <c r="EE186" s="2162"/>
      <c r="EF186" s="2152"/>
      <c r="EG186" s="2152"/>
      <c r="EH186" s="2152"/>
      <c r="EI186" s="2152"/>
      <c r="EJ186" s="2152"/>
      <c r="EK186" s="2152"/>
      <c r="EL186" s="2152"/>
      <c r="EM186" s="2152"/>
      <c r="EN186" s="2152"/>
      <c r="EO186" s="2163"/>
      <c r="EP186" s="2163"/>
      <c r="ES186" s="2084">
        <f t="shared" si="355"/>
        <v>0</v>
      </c>
      <c r="EU186" s="2084">
        <f t="shared" si="359"/>
        <v>0</v>
      </c>
      <c r="EV186" s="2084">
        <f t="shared" si="360"/>
        <v>0</v>
      </c>
      <c r="EW186" s="2084" t="e">
        <f t="shared" si="361"/>
        <v>#DIV/0!</v>
      </c>
    </row>
    <row r="187" spans="1:153" ht="15" customHeight="1">
      <c r="A187" s="1760">
        <v>4</v>
      </c>
      <c r="B187" s="1592" t="s">
        <v>1793</v>
      </c>
      <c r="C187" s="1596"/>
      <c r="D187" s="1597"/>
      <c r="E187" s="1592"/>
      <c r="F187" s="1597"/>
      <c r="G187" s="1592"/>
      <c r="H187" s="2158" t="s">
        <v>1667</v>
      </c>
      <c r="I187" s="2159">
        <v>1</v>
      </c>
      <c r="J187" s="2157"/>
      <c r="K187" s="2160"/>
      <c r="L187" s="2160"/>
      <c r="M187" s="2161"/>
      <c r="N187" s="2152"/>
      <c r="O187" s="2152"/>
      <c r="P187" s="2152"/>
      <c r="Q187" s="2152"/>
      <c r="R187" s="2152"/>
      <c r="S187" s="2152"/>
      <c r="T187" s="2152"/>
      <c r="U187" s="2152"/>
      <c r="V187" s="2152"/>
      <c r="W187" s="2152"/>
      <c r="X187" s="2152"/>
      <c r="Y187" s="2152"/>
      <c r="Z187" s="2152"/>
      <c r="AA187" s="2152"/>
      <c r="AB187" s="2152"/>
      <c r="AC187" s="2152"/>
      <c r="AD187" s="2152"/>
      <c r="AE187" s="2152"/>
      <c r="AF187" s="2152"/>
      <c r="AG187" s="2152"/>
      <c r="AH187" s="2152"/>
      <c r="AI187" s="2152"/>
      <c r="AJ187" s="2152"/>
      <c r="AK187" s="2152"/>
      <c r="AL187" s="2152"/>
      <c r="AM187" s="2152"/>
      <c r="AN187" s="2152"/>
      <c r="AO187" s="2170"/>
      <c r="AP187" s="2152"/>
      <c r="AQ187" s="2152"/>
      <c r="AR187" s="2152"/>
      <c r="AS187" s="2152"/>
      <c r="AT187" s="2152"/>
      <c r="AU187" s="2152"/>
      <c r="AV187" s="2152"/>
      <c r="AW187" s="2152"/>
      <c r="AX187" s="2152"/>
      <c r="AY187" s="2170"/>
      <c r="AZ187" s="2152"/>
      <c r="BA187" s="2152"/>
      <c r="BB187" s="2152"/>
      <c r="BC187" s="2152"/>
      <c r="BD187" s="2152"/>
      <c r="BE187" s="2152"/>
      <c r="BF187" s="2152"/>
      <c r="BG187" s="2152"/>
      <c r="BH187" s="2152"/>
      <c r="BI187" s="2170"/>
      <c r="BJ187" s="2152"/>
      <c r="BK187" s="2152"/>
      <c r="BL187" s="2152"/>
      <c r="BM187" s="2152"/>
      <c r="BN187" s="2152"/>
      <c r="BO187" s="2152"/>
      <c r="BP187" s="2152"/>
      <c r="BQ187" s="2152"/>
      <c r="BR187" s="2152"/>
      <c r="BS187" s="2170"/>
      <c r="BT187" s="2152"/>
      <c r="BU187" s="2152"/>
      <c r="BV187" s="2152"/>
      <c r="BW187" s="2152"/>
      <c r="BX187" s="2152"/>
      <c r="BY187" s="2152"/>
      <c r="BZ187" s="2152"/>
      <c r="CA187" s="2152"/>
      <c r="CB187" s="2152"/>
      <c r="CC187" s="2170"/>
      <c r="CD187" s="2152"/>
      <c r="CE187" s="2152"/>
      <c r="CF187" s="2152"/>
      <c r="CG187" s="2152"/>
      <c r="CH187" s="2152"/>
      <c r="CI187" s="2152"/>
      <c r="CJ187" s="2152"/>
      <c r="CK187" s="2152"/>
      <c r="CL187" s="2152"/>
      <c r="CM187" s="2170"/>
      <c r="CN187" s="2152"/>
      <c r="CO187" s="2152"/>
      <c r="CP187" s="2152"/>
      <c r="CQ187" s="2152"/>
      <c r="CR187" s="2152"/>
      <c r="CS187" s="2152"/>
      <c r="CT187" s="2152"/>
      <c r="CU187" s="2152"/>
      <c r="CV187" s="2152"/>
      <c r="CW187" s="2170"/>
      <c r="CX187" s="2152"/>
      <c r="CY187" s="2152"/>
      <c r="CZ187" s="2106">
        <v>39.863520000000001</v>
      </c>
      <c r="DA187" s="2106">
        <f t="shared" si="356"/>
        <v>0</v>
      </c>
      <c r="DB187" s="2106">
        <v>0</v>
      </c>
      <c r="DC187" s="2106">
        <v>3</v>
      </c>
      <c r="DD187" s="2109">
        <f t="shared" si="302"/>
        <v>11.959056</v>
      </c>
      <c r="DE187" s="2152"/>
      <c r="DF187" s="2152"/>
      <c r="DG187" s="2170"/>
      <c r="DH187" s="2152"/>
      <c r="DI187" s="2152"/>
      <c r="DJ187" s="2106">
        <v>55.157760000000003</v>
      </c>
      <c r="DK187" s="2106">
        <f t="shared" si="357"/>
        <v>0</v>
      </c>
      <c r="DL187" s="2106">
        <v>0</v>
      </c>
      <c r="DM187" s="2106">
        <v>3</v>
      </c>
      <c r="DN187" s="2109">
        <f t="shared" si="303"/>
        <v>16.547328</v>
      </c>
      <c r="DO187" s="2152"/>
      <c r="DP187" s="2152"/>
      <c r="DQ187" s="2170"/>
      <c r="DR187" s="2152"/>
      <c r="DS187" s="2152"/>
      <c r="DT187" s="2106">
        <v>61.067520000000002</v>
      </c>
      <c r="DU187" s="2106">
        <f t="shared" si="358"/>
        <v>0</v>
      </c>
      <c r="DV187" s="2106">
        <v>0</v>
      </c>
      <c r="DW187" s="2106">
        <v>3</v>
      </c>
      <c r="DX187" s="2109">
        <f t="shared" si="304"/>
        <v>18.320256000000001</v>
      </c>
      <c r="DY187" s="2152"/>
      <c r="DZ187" s="2152"/>
      <c r="EA187" s="2152"/>
      <c r="EB187" s="2152"/>
      <c r="EC187" s="2152"/>
      <c r="ED187" s="2152">
        <f>SUM(N187,X187,AH187,AR187,BB187,BL187,BV187,CF187,CP187,CZ187,DJ187,DT187)</f>
        <v>156.08879999999999</v>
      </c>
      <c r="EE187" s="2162"/>
      <c r="EF187" s="2152">
        <f>IFERROR(EG187/ED187*10,0)</f>
        <v>0</v>
      </c>
      <c r="EG187" s="2152">
        <f>SUM(P187,Z187,AJ187,AT187,BD187,BN187,BX187,CH187,CR187,DB187,DL187,DV187)</f>
        <v>0</v>
      </c>
      <c r="EH187" s="2152">
        <f>IFERROR(EI187/ED187*10,0)</f>
        <v>3</v>
      </c>
      <c r="EI187" s="2152">
        <f>SUM(R187,AB187,AL187,AV187,BF187,BP187,BZ187,CJ187,CT187,DD187,DN187,DX187)</f>
        <v>46.826639999999998</v>
      </c>
      <c r="EJ187" s="2152"/>
      <c r="EK187" s="2152">
        <f>SUM(T187,AD187,AN187,AX187,BH187,BR187,CB187,CL187,CV187,DF187,DP187,DZ187)</f>
        <v>0</v>
      </c>
      <c r="EL187" s="2152"/>
      <c r="EM187" s="2152"/>
      <c r="EN187" s="2152">
        <f>EG187+EI187+EK187</f>
        <v>46.826639999999998</v>
      </c>
      <c r="EO187" s="2157">
        <f>IFERROR(EN187/ED187*10,0)</f>
        <v>3</v>
      </c>
      <c r="EP187" s="2163"/>
      <c r="ES187" s="2084">
        <f t="shared" si="355"/>
        <v>0</v>
      </c>
      <c r="EU187" s="2084">
        <f t="shared" si="359"/>
        <v>0</v>
      </c>
      <c r="EV187" s="2084">
        <f t="shared" si="360"/>
        <v>0</v>
      </c>
      <c r="EW187" s="2084" t="e">
        <f t="shared" si="361"/>
        <v>#DIV/0!</v>
      </c>
    </row>
    <row r="188" spans="1:153" ht="15" customHeight="1">
      <c r="A188" s="1760">
        <v>5</v>
      </c>
      <c r="B188" s="1592" t="s">
        <v>1794</v>
      </c>
      <c r="C188" s="1596"/>
      <c r="D188" s="1597"/>
      <c r="E188" s="1592"/>
      <c r="F188" s="1597"/>
      <c r="G188" s="1592"/>
      <c r="H188" s="2158" t="s">
        <v>1667</v>
      </c>
      <c r="I188" s="2159">
        <v>1</v>
      </c>
      <c r="J188" s="2157"/>
      <c r="K188" s="2160"/>
      <c r="L188" s="2160"/>
      <c r="M188" s="2161"/>
      <c r="N188" s="2152"/>
      <c r="O188" s="2152"/>
      <c r="P188" s="2152"/>
      <c r="Q188" s="2152"/>
      <c r="R188" s="2152"/>
      <c r="S188" s="2152"/>
      <c r="T188" s="2152"/>
      <c r="U188" s="2152"/>
      <c r="V188" s="2152"/>
      <c r="W188" s="2152"/>
      <c r="X188" s="2152"/>
      <c r="Y188" s="2152"/>
      <c r="Z188" s="2152"/>
      <c r="AA188" s="2152"/>
      <c r="AB188" s="2152"/>
      <c r="AC188" s="2152"/>
      <c r="AD188" s="2152"/>
      <c r="AE188" s="2152"/>
      <c r="AF188" s="2152"/>
      <c r="AG188" s="2152"/>
      <c r="AH188" s="2152"/>
      <c r="AI188" s="2152"/>
      <c r="AJ188" s="2152"/>
      <c r="AK188" s="2152"/>
      <c r="AL188" s="2152"/>
      <c r="AM188" s="2152"/>
      <c r="AN188" s="2152"/>
      <c r="AO188" s="2170"/>
      <c r="AP188" s="2152"/>
      <c r="AQ188" s="2152"/>
      <c r="AR188" s="2152"/>
      <c r="AS188" s="2152"/>
      <c r="AT188" s="2152"/>
      <c r="AU188" s="2152"/>
      <c r="AV188" s="2152"/>
      <c r="AW188" s="2152"/>
      <c r="AX188" s="2152"/>
      <c r="AY188" s="2170"/>
      <c r="AZ188" s="2152"/>
      <c r="BA188" s="2152"/>
      <c r="BB188" s="2152"/>
      <c r="BC188" s="2152"/>
      <c r="BD188" s="2152"/>
      <c r="BE188" s="2152"/>
      <c r="BF188" s="2152"/>
      <c r="BG188" s="2152"/>
      <c r="BH188" s="2152"/>
      <c r="BI188" s="2170"/>
      <c r="BJ188" s="2152"/>
      <c r="BK188" s="2152"/>
      <c r="BL188" s="2152"/>
      <c r="BM188" s="2152"/>
      <c r="BN188" s="2152"/>
      <c r="BO188" s="2152"/>
      <c r="BP188" s="2152"/>
      <c r="BQ188" s="2152"/>
      <c r="BR188" s="2152"/>
      <c r="BS188" s="2170"/>
      <c r="BT188" s="2152"/>
      <c r="BU188" s="2152"/>
      <c r="BV188" s="2152"/>
      <c r="BW188" s="2152"/>
      <c r="BX188" s="2152"/>
      <c r="BY188" s="2152"/>
      <c r="BZ188" s="2152"/>
      <c r="CA188" s="2152"/>
      <c r="CB188" s="2152"/>
      <c r="CC188" s="2170"/>
      <c r="CD188" s="2152"/>
      <c r="CE188" s="2152"/>
      <c r="CF188" s="2152"/>
      <c r="CG188" s="2152"/>
      <c r="CH188" s="2152"/>
      <c r="CI188" s="2152"/>
      <c r="CJ188" s="2152"/>
      <c r="CK188" s="2152"/>
      <c r="CL188" s="2152"/>
      <c r="CM188" s="2170"/>
      <c r="CN188" s="2152"/>
      <c r="CO188" s="2152"/>
      <c r="CP188" s="2152"/>
      <c r="CQ188" s="2152"/>
      <c r="CR188" s="2152"/>
      <c r="CS188" s="2152"/>
      <c r="CT188" s="2152"/>
      <c r="CU188" s="2152"/>
      <c r="CV188" s="2152"/>
      <c r="CW188" s="2170"/>
      <c r="CX188" s="2152"/>
      <c r="CY188" s="2152"/>
      <c r="CZ188" s="2106"/>
      <c r="DA188" s="2106">
        <f t="shared" si="356"/>
        <v>0</v>
      </c>
      <c r="DB188" s="2106">
        <v>0</v>
      </c>
      <c r="DC188" s="2106">
        <v>3</v>
      </c>
      <c r="DD188" s="2109">
        <f t="shared" si="302"/>
        <v>0</v>
      </c>
      <c r="DE188" s="2152"/>
      <c r="DF188" s="2152"/>
      <c r="DG188" s="2170"/>
      <c r="DH188" s="2152"/>
      <c r="DI188" s="2152"/>
      <c r="DJ188" s="2106"/>
      <c r="DK188" s="2106">
        <f t="shared" si="357"/>
        <v>0</v>
      </c>
      <c r="DL188" s="2106">
        <v>0</v>
      </c>
      <c r="DM188" s="2106">
        <v>3</v>
      </c>
      <c r="DN188" s="2109">
        <f t="shared" si="303"/>
        <v>0</v>
      </c>
      <c r="DO188" s="2152"/>
      <c r="DP188" s="2152"/>
      <c r="DQ188" s="2170"/>
      <c r="DR188" s="2152"/>
      <c r="DS188" s="2152"/>
      <c r="DT188" s="2106"/>
      <c r="DU188" s="2106">
        <f t="shared" si="358"/>
        <v>0</v>
      </c>
      <c r="DV188" s="2106">
        <v>0</v>
      </c>
      <c r="DW188" s="2106">
        <v>3</v>
      </c>
      <c r="DX188" s="2109">
        <f t="shared" si="304"/>
        <v>0</v>
      </c>
      <c r="DY188" s="2152"/>
      <c r="DZ188" s="2152"/>
      <c r="EA188" s="2152"/>
      <c r="EB188" s="2152"/>
      <c r="EC188" s="2152"/>
      <c r="ED188" s="2152"/>
      <c r="EE188" s="2162"/>
      <c r="EF188" s="2152"/>
      <c r="EG188" s="2152"/>
      <c r="EH188" s="2152"/>
      <c r="EI188" s="2152"/>
      <c r="EJ188" s="2152"/>
      <c r="EK188" s="2152"/>
      <c r="EL188" s="2152"/>
      <c r="EM188" s="2152"/>
      <c r="EN188" s="2152"/>
      <c r="EO188" s="2157"/>
      <c r="EP188" s="2163"/>
      <c r="ES188" s="2084">
        <f t="shared" si="355"/>
        <v>0</v>
      </c>
      <c r="EU188" s="2084">
        <f t="shared" si="359"/>
        <v>0</v>
      </c>
      <c r="EV188" s="2084">
        <f t="shared" si="360"/>
        <v>0</v>
      </c>
      <c r="EW188" s="2084" t="e">
        <f t="shared" si="361"/>
        <v>#DIV/0!</v>
      </c>
    </row>
    <row r="189" spans="1:153" ht="15" customHeight="1">
      <c r="A189" s="1760">
        <v>6</v>
      </c>
      <c r="B189" s="1592" t="s">
        <v>1795</v>
      </c>
      <c r="C189" s="1596"/>
      <c r="D189" s="1597"/>
      <c r="E189" s="1592"/>
      <c r="F189" s="1597"/>
      <c r="G189" s="1592"/>
      <c r="H189" s="2158" t="s">
        <v>1667</v>
      </c>
      <c r="I189" s="2159">
        <v>0</v>
      </c>
      <c r="J189" s="2157"/>
      <c r="K189" s="2160"/>
      <c r="L189" s="2160"/>
      <c r="M189" s="2161"/>
      <c r="N189" s="2152"/>
      <c r="O189" s="2152"/>
      <c r="P189" s="2152"/>
      <c r="Q189" s="2152"/>
      <c r="R189" s="2152"/>
      <c r="S189" s="2152"/>
      <c r="T189" s="2152"/>
      <c r="U189" s="2152"/>
      <c r="V189" s="2152"/>
      <c r="W189" s="2152"/>
      <c r="X189" s="2152"/>
      <c r="Y189" s="2152"/>
      <c r="Z189" s="2152"/>
      <c r="AA189" s="2152"/>
      <c r="AB189" s="2152"/>
      <c r="AC189" s="2152"/>
      <c r="AD189" s="2152"/>
      <c r="AE189" s="2152"/>
      <c r="AF189" s="2152"/>
      <c r="AG189" s="2152"/>
      <c r="AH189" s="2152"/>
      <c r="AI189" s="2152"/>
      <c r="AJ189" s="2152"/>
      <c r="AK189" s="2152"/>
      <c r="AL189" s="2152"/>
      <c r="AM189" s="2152"/>
      <c r="AN189" s="2152"/>
      <c r="AO189" s="2170"/>
      <c r="AP189" s="2152"/>
      <c r="AQ189" s="2152"/>
      <c r="AR189" s="2152"/>
      <c r="AS189" s="2152"/>
      <c r="AT189" s="2152"/>
      <c r="AU189" s="2152"/>
      <c r="AV189" s="2152"/>
      <c r="AW189" s="2152"/>
      <c r="AX189" s="2152"/>
      <c r="AY189" s="2170"/>
      <c r="AZ189" s="2152"/>
      <c r="BA189" s="2152"/>
      <c r="BB189" s="2152"/>
      <c r="BC189" s="2152"/>
      <c r="BD189" s="2152"/>
      <c r="BE189" s="2152"/>
      <c r="BF189" s="2152"/>
      <c r="BG189" s="2152"/>
      <c r="BH189" s="2152"/>
      <c r="BI189" s="2170"/>
      <c r="BJ189" s="2152"/>
      <c r="BK189" s="2152"/>
      <c r="BL189" s="2152"/>
      <c r="BM189" s="2152"/>
      <c r="BN189" s="2152"/>
      <c r="BO189" s="2152"/>
      <c r="BP189" s="2152"/>
      <c r="BQ189" s="2152"/>
      <c r="BR189" s="2152"/>
      <c r="BS189" s="2170"/>
      <c r="BT189" s="2152"/>
      <c r="BU189" s="2152"/>
      <c r="BV189" s="2152"/>
      <c r="BW189" s="2152"/>
      <c r="BX189" s="2152"/>
      <c r="BY189" s="2152"/>
      <c r="BZ189" s="2152"/>
      <c r="CA189" s="2152"/>
      <c r="CB189" s="2152"/>
      <c r="CC189" s="2170"/>
      <c r="CD189" s="2152"/>
      <c r="CE189" s="2152"/>
      <c r="CF189" s="2152"/>
      <c r="CG189" s="2152"/>
      <c r="CH189" s="2152"/>
      <c r="CI189" s="2152"/>
      <c r="CJ189" s="2152"/>
      <c r="CK189" s="2152"/>
      <c r="CL189" s="2152"/>
      <c r="CM189" s="2170"/>
      <c r="CN189" s="2152"/>
      <c r="CO189" s="2152"/>
      <c r="CP189" s="2152"/>
      <c r="CQ189" s="2152"/>
      <c r="CR189" s="2152"/>
      <c r="CS189" s="2152"/>
      <c r="CT189" s="2152"/>
      <c r="CU189" s="2152"/>
      <c r="CV189" s="2152"/>
      <c r="CW189" s="2170"/>
      <c r="CX189" s="2152"/>
      <c r="CY189" s="2152"/>
      <c r="CZ189" s="2106">
        <v>0</v>
      </c>
      <c r="DA189" s="2106">
        <f t="shared" si="356"/>
        <v>0</v>
      </c>
      <c r="DB189" s="2106">
        <v>0</v>
      </c>
      <c r="DC189" s="2106">
        <v>0</v>
      </c>
      <c r="DD189" s="2109">
        <f t="shared" si="302"/>
        <v>0</v>
      </c>
      <c r="DE189" s="2152"/>
      <c r="DF189" s="2152"/>
      <c r="DG189" s="2170"/>
      <c r="DH189" s="2152"/>
      <c r="DI189" s="2152"/>
      <c r="DJ189" s="2106">
        <v>0</v>
      </c>
      <c r="DK189" s="2106">
        <f t="shared" si="357"/>
        <v>0</v>
      </c>
      <c r="DL189" s="2106">
        <v>0</v>
      </c>
      <c r="DM189" s="2106">
        <v>0</v>
      </c>
      <c r="DN189" s="2109">
        <f t="shared" si="303"/>
        <v>0</v>
      </c>
      <c r="DO189" s="2152"/>
      <c r="DP189" s="2152"/>
      <c r="DQ189" s="2170"/>
      <c r="DR189" s="2152"/>
      <c r="DS189" s="2152"/>
      <c r="DT189" s="2106">
        <v>0</v>
      </c>
      <c r="DU189" s="2106">
        <f t="shared" si="358"/>
        <v>0</v>
      </c>
      <c r="DV189" s="2106">
        <v>0</v>
      </c>
      <c r="DW189" s="2106">
        <v>0</v>
      </c>
      <c r="DX189" s="2109">
        <f t="shared" si="304"/>
        <v>0</v>
      </c>
      <c r="DY189" s="2152"/>
      <c r="DZ189" s="2152"/>
      <c r="EA189" s="2152"/>
      <c r="EB189" s="2152"/>
      <c r="EC189" s="2152"/>
      <c r="ED189" s="2152"/>
      <c r="EE189" s="2162"/>
      <c r="EF189" s="2152"/>
      <c r="EG189" s="2152"/>
      <c r="EH189" s="2152"/>
      <c r="EI189" s="2152"/>
      <c r="EJ189" s="2152"/>
      <c r="EK189" s="2152"/>
      <c r="EL189" s="2152"/>
      <c r="EM189" s="2152"/>
      <c r="EN189" s="2152"/>
      <c r="EO189" s="2163"/>
      <c r="EP189" s="2163"/>
      <c r="ES189" s="2084">
        <f t="shared" si="355"/>
        <v>0</v>
      </c>
      <c r="EU189" s="2084">
        <f t="shared" si="359"/>
        <v>0</v>
      </c>
      <c r="EV189" s="2084">
        <f t="shared" si="360"/>
        <v>0</v>
      </c>
      <c r="EW189" s="2084" t="e">
        <f t="shared" si="361"/>
        <v>#DIV/0!</v>
      </c>
    </row>
    <row r="190" spans="1:153" ht="15" customHeight="1">
      <c r="A190" s="1760">
        <v>7</v>
      </c>
      <c r="B190" s="1592" t="s">
        <v>1796</v>
      </c>
      <c r="C190" s="2166">
        <f>SUM(C183:C189)</f>
        <v>0</v>
      </c>
      <c r="D190" s="2167"/>
      <c r="E190" s="2152"/>
      <c r="F190" s="2167"/>
      <c r="G190" s="2152"/>
      <c r="H190" s="2158" t="s">
        <v>1667</v>
      </c>
      <c r="I190" s="2159">
        <v>0</v>
      </c>
      <c r="J190" s="2157"/>
      <c r="K190" s="2160"/>
      <c r="L190" s="2160"/>
      <c r="M190" s="2161"/>
      <c r="N190" s="2152"/>
      <c r="O190" s="2152"/>
      <c r="P190" s="2152"/>
      <c r="Q190" s="2152"/>
      <c r="R190" s="2152"/>
      <c r="S190" s="2152"/>
      <c r="T190" s="2152"/>
      <c r="U190" s="2152"/>
      <c r="V190" s="2152"/>
      <c r="W190" s="2152"/>
      <c r="X190" s="2152"/>
      <c r="Y190" s="2152"/>
      <c r="Z190" s="2152"/>
      <c r="AA190" s="2152"/>
      <c r="AB190" s="2152"/>
      <c r="AC190" s="2152"/>
      <c r="AD190" s="2152"/>
      <c r="AE190" s="2152"/>
      <c r="AF190" s="2152"/>
      <c r="AG190" s="2152"/>
      <c r="AH190" s="2152"/>
      <c r="AI190" s="2152"/>
      <c r="AJ190" s="2152"/>
      <c r="AK190" s="2152"/>
      <c r="AL190" s="2152"/>
      <c r="AM190" s="2152"/>
      <c r="AN190" s="2152"/>
      <c r="AO190" s="2170"/>
      <c r="AP190" s="2152"/>
      <c r="AQ190" s="2152"/>
      <c r="AR190" s="2152"/>
      <c r="AS190" s="2152"/>
      <c r="AT190" s="2152"/>
      <c r="AU190" s="2152"/>
      <c r="AV190" s="2152"/>
      <c r="AW190" s="2152"/>
      <c r="AX190" s="2152"/>
      <c r="AY190" s="2170"/>
      <c r="AZ190" s="2152"/>
      <c r="BA190" s="2152"/>
      <c r="BB190" s="2152"/>
      <c r="BC190" s="2152"/>
      <c r="BD190" s="2152"/>
      <c r="BE190" s="2152"/>
      <c r="BF190" s="2152"/>
      <c r="BG190" s="2152"/>
      <c r="BH190" s="2152"/>
      <c r="BI190" s="2170"/>
      <c r="BJ190" s="2152"/>
      <c r="BK190" s="2152"/>
      <c r="BL190" s="2152"/>
      <c r="BM190" s="2152"/>
      <c r="BN190" s="2152"/>
      <c r="BO190" s="2152"/>
      <c r="BP190" s="2152"/>
      <c r="BQ190" s="2152"/>
      <c r="BR190" s="2152"/>
      <c r="BS190" s="2170"/>
      <c r="BT190" s="2152"/>
      <c r="BU190" s="2152"/>
      <c r="BV190" s="2152"/>
      <c r="BW190" s="2152"/>
      <c r="BX190" s="2152"/>
      <c r="BY190" s="2152"/>
      <c r="BZ190" s="2152"/>
      <c r="CA190" s="2152"/>
      <c r="CB190" s="2152"/>
      <c r="CC190" s="2170"/>
      <c r="CD190" s="2152"/>
      <c r="CE190" s="2152"/>
      <c r="CF190" s="2152"/>
      <c r="CG190" s="2152"/>
      <c r="CH190" s="2152"/>
      <c r="CI190" s="2152"/>
      <c r="CJ190" s="2152"/>
      <c r="CK190" s="2152"/>
      <c r="CL190" s="2152"/>
      <c r="CM190" s="2170"/>
      <c r="CN190" s="2152"/>
      <c r="CO190" s="2152"/>
      <c r="CP190" s="2152"/>
      <c r="CQ190" s="2152"/>
      <c r="CR190" s="2152"/>
      <c r="CS190" s="2152"/>
      <c r="CT190" s="2152"/>
      <c r="CU190" s="2152"/>
      <c r="CV190" s="2152"/>
      <c r="CW190" s="2170"/>
      <c r="CX190" s="2152"/>
      <c r="CY190" s="2152"/>
      <c r="CZ190" s="2106">
        <v>0</v>
      </c>
      <c r="DA190" s="2106">
        <f t="shared" si="356"/>
        <v>0</v>
      </c>
      <c r="DB190" s="2106">
        <v>0</v>
      </c>
      <c r="DC190" s="2106">
        <v>0</v>
      </c>
      <c r="DD190" s="2109">
        <f t="shared" si="302"/>
        <v>0</v>
      </c>
      <c r="DE190" s="2152"/>
      <c r="DF190" s="2152"/>
      <c r="DG190" s="2170"/>
      <c r="DH190" s="2152"/>
      <c r="DI190" s="2152"/>
      <c r="DJ190" s="2106">
        <v>0</v>
      </c>
      <c r="DK190" s="2106">
        <f t="shared" si="357"/>
        <v>0</v>
      </c>
      <c r="DL190" s="2106">
        <v>0</v>
      </c>
      <c r="DM190" s="2106">
        <v>0</v>
      </c>
      <c r="DN190" s="2109">
        <f t="shared" si="303"/>
        <v>0</v>
      </c>
      <c r="DO190" s="2152"/>
      <c r="DP190" s="2152"/>
      <c r="DQ190" s="2170"/>
      <c r="DR190" s="2152"/>
      <c r="DS190" s="2152"/>
      <c r="DT190" s="2106">
        <v>0</v>
      </c>
      <c r="DU190" s="2106">
        <f t="shared" si="358"/>
        <v>0</v>
      </c>
      <c r="DV190" s="2106">
        <v>0</v>
      </c>
      <c r="DW190" s="2106">
        <v>0</v>
      </c>
      <c r="DX190" s="2109">
        <f t="shared" si="304"/>
        <v>0</v>
      </c>
      <c r="DY190" s="2152"/>
      <c r="DZ190" s="2152"/>
      <c r="EA190" s="2152"/>
      <c r="EB190" s="2152"/>
      <c r="EC190" s="2152"/>
      <c r="ED190" s="2152"/>
      <c r="EE190" s="2162"/>
      <c r="EF190" s="2152"/>
      <c r="EG190" s="2152"/>
      <c r="EH190" s="2152"/>
      <c r="EI190" s="2152"/>
      <c r="EJ190" s="2152"/>
      <c r="EK190" s="2152"/>
      <c r="EL190" s="2152"/>
      <c r="EM190" s="2152"/>
      <c r="EN190" s="2152"/>
      <c r="EO190" s="2163"/>
      <c r="EP190" s="2163"/>
      <c r="ES190" s="2084">
        <f t="shared" si="355"/>
        <v>0</v>
      </c>
      <c r="EU190" s="2084">
        <f t="shared" si="359"/>
        <v>0</v>
      </c>
      <c r="EV190" s="2084">
        <f t="shared" si="360"/>
        <v>0</v>
      </c>
      <c r="EW190" s="2084" t="e">
        <f t="shared" si="361"/>
        <v>#DIV/0!</v>
      </c>
    </row>
    <row r="191" spans="1:153">
      <c r="A191" s="1760"/>
      <c r="B191" s="1592" t="s">
        <v>1791</v>
      </c>
      <c r="C191" s="1596"/>
      <c r="D191" s="1597"/>
      <c r="E191" s="1592"/>
      <c r="F191" s="1597"/>
      <c r="G191" s="1595"/>
      <c r="H191" s="2174"/>
      <c r="I191" s="2161"/>
      <c r="J191" s="2162"/>
      <c r="K191" s="2160"/>
      <c r="L191" s="2160"/>
      <c r="M191" s="2161"/>
      <c r="N191" s="2152"/>
      <c r="O191" s="2152"/>
      <c r="P191" s="2152"/>
      <c r="Q191" s="2152"/>
      <c r="R191" s="2152"/>
      <c r="S191" s="2152"/>
      <c r="T191" s="2152"/>
      <c r="U191" s="2152"/>
      <c r="V191" s="2152"/>
      <c r="W191" s="2152"/>
      <c r="X191" s="2152"/>
      <c r="Y191" s="2152"/>
      <c r="Z191" s="2152"/>
      <c r="AA191" s="2152"/>
      <c r="AB191" s="2152"/>
      <c r="AC191" s="2152"/>
      <c r="AD191" s="2152"/>
      <c r="AE191" s="2152"/>
      <c r="AF191" s="2152"/>
      <c r="AG191" s="2152"/>
      <c r="AH191" s="2152"/>
      <c r="AI191" s="2152"/>
      <c r="AJ191" s="2152"/>
      <c r="AK191" s="2152"/>
      <c r="AL191" s="2152"/>
      <c r="AM191" s="2152"/>
      <c r="AN191" s="2152"/>
      <c r="AO191" s="2170"/>
      <c r="AP191" s="2152"/>
      <c r="AQ191" s="2152"/>
      <c r="AR191" s="2152"/>
      <c r="AS191" s="2152"/>
      <c r="AT191" s="2152"/>
      <c r="AU191" s="2152"/>
      <c r="AV191" s="2152"/>
      <c r="AW191" s="2152"/>
      <c r="AX191" s="2152"/>
      <c r="AY191" s="2170"/>
      <c r="AZ191" s="2152"/>
      <c r="BA191" s="2152"/>
      <c r="BB191" s="2152"/>
      <c r="BC191" s="2152"/>
      <c r="BD191" s="2152"/>
      <c r="BE191" s="2152"/>
      <c r="BF191" s="2152"/>
      <c r="BG191" s="2152"/>
      <c r="BH191" s="2152"/>
      <c r="BI191" s="2170"/>
      <c r="BJ191" s="2152"/>
      <c r="BK191" s="2152"/>
      <c r="BL191" s="2152"/>
      <c r="BM191" s="2152"/>
      <c r="BN191" s="2152"/>
      <c r="BO191" s="2152"/>
      <c r="BP191" s="2152"/>
      <c r="BQ191" s="2152"/>
      <c r="BR191" s="2152"/>
      <c r="BS191" s="2170"/>
      <c r="BT191" s="2152"/>
      <c r="BU191" s="2152"/>
      <c r="BV191" s="2152"/>
      <c r="BW191" s="2152"/>
      <c r="BX191" s="2152"/>
      <c r="BY191" s="2152"/>
      <c r="BZ191" s="2152"/>
      <c r="CA191" s="2152"/>
      <c r="CB191" s="2152"/>
      <c r="CC191" s="2170"/>
      <c r="CD191" s="2152"/>
      <c r="CE191" s="2152"/>
      <c r="CF191" s="2152"/>
      <c r="CG191" s="2152"/>
      <c r="CH191" s="2152"/>
      <c r="CI191" s="2152"/>
      <c r="CJ191" s="2152"/>
      <c r="CK191" s="2152"/>
      <c r="CL191" s="2152"/>
      <c r="CM191" s="2170"/>
      <c r="CN191" s="2152"/>
      <c r="CO191" s="2152"/>
      <c r="CP191" s="2152"/>
      <c r="CQ191" s="2152"/>
      <c r="CR191" s="2152"/>
      <c r="CS191" s="2152"/>
      <c r="CT191" s="2152"/>
      <c r="CU191" s="2152"/>
      <c r="CV191" s="2152"/>
      <c r="CW191" s="2106">
        <f t="shared" ref="CW191:EC191" si="421">SUM(CW185:CW190)</f>
        <v>0</v>
      </c>
      <c r="CX191" s="2106">
        <f t="shared" si="421"/>
        <v>3.8765763266447193</v>
      </c>
      <c r="CY191" s="2106">
        <f t="shared" si="421"/>
        <v>108.713466</v>
      </c>
      <c r="CZ191" s="2106">
        <f>SUM(CZ185:CZ190)</f>
        <v>371.07</v>
      </c>
      <c r="DA191" s="2106">
        <f t="shared" si="421"/>
        <v>0</v>
      </c>
      <c r="DB191" s="2106">
        <f t="shared" si="421"/>
        <v>0</v>
      </c>
      <c r="DC191" s="2106">
        <f t="shared" si="421"/>
        <v>12.885296437808726</v>
      </c>
      <c r="DD191" s="2106">
        <f t="shared" si="421"/>
        <v>140.64259169231673</v>
      </c>
      <c r="DE191" s="2106">
        <f t="shared" si="421"/>
        <v>0</v>
      </c>
      <c r="DF191" s="2106">
        <f t="shared" si="421"/>
        <v>0</v>
      </c>
      <c r="DG191" s="2106">
        <f t="shared" si="421"/>
        <v>0</v>
      </c>
      <c r="DH191" s="2106">
        <f t="shared" si="421"/>
        <v>3.8852964378087269</v>
      </c>
      <c r="DI191" s="2106">
        <f t="shared" si="421"/>
        <v>128.68353569231672</v>
      </c>
      <c r="DJ191" s="2106">
        <f>SUM(DJ185:DJ190)</f>
        <v>354.31200000000001</v>
      </c>
      <c r="DK191" s="2106">
        <f t="shared" si="421"/>
        <v>0</v>
      </c>
      <c r="DL191" s="2106">
        <f t="shared" si="421"/>
        <v>0</v>
      </c>
      <c r="DM191" s="2106">
        <f t="shared" si="421"/>
        <v>12.885296437808726</v>
      </c>
      <c r="DN191" s="2106">
        <f t="shared" si="421"/>
        <v>132.77761830273769</v>
      </c>
      <c r="DO191" s="2106">
        <f t="shared" si="421"/>
        <v>0</v>
      </c>
      <c r="DP191" s="2106">
        <f t="shared" si="421"/>
        <v>0</v>
      </c>
      <c r="DQ191" s="2106">
        <f t="shared" si="421"/>
        <v>0</v>
      </c>
      <c r="DR191" s="2106">
        <f t="shared" si="421"/>
        <v>3.8852964378087269</v>
      </c>
      <c r="DS191" s="2106">
        <f t="shared" si="421"/>
        <v>116.2302903027377</v>
      </c>
      <c r="DT191" s="2106">
        <f>SUM(DT185:DT190)</f>
        <v>392.274</v>
      </c>
      <c r="DU191" s="2106">
        <f t="shared" si="421"/>
        <v>0</v>
      </c>
      <c r="DV191" s="2106">
        <f t="shared" si="421"/>
        <v>0</v>
      </c>
      <c r="DW191" s="2106">
        <f t="shared" si="421"/>
        <v>12.885296437808726</v>
      </c>
      <c r="DX191" s="2106">
        <f t="shared" si="421"/>
        <v>147.00379169231672</v>
      </c>
      <c r="DY191" s="2106">
        <f t="shared" si="421"/>
        <v>0</v>
      </c>
      <c r="DZ191" s="2106">
        <f t="shared" si="421"/>
        <v>0</v>
      </c>
      <c r="EA191" s="2106">
        <f t="shared" si="421"/>
        <v>0</v>
      </c>
      <c r="EB191" s="2106">
        <f t="shared" si="421"/>
        <v>3.8852964378087269</v>
      </c>
      <c r="EC191" s="2106">
        <f t="shared" si="421"/>
        <v>128.68353569231672</v>
      </c>
      <c r="ED191" s="2162">
        <f>SUM(ED185:ED190)</f>
        <v>4674.9812514999994</v>
      </c>
      <c r="EE191" s="2162"/>
      <c r="EF191" s="2152"/>
      <c r="EG191" s="2162">
        <f>SUM(EG185:EG190)</f>
        <v>0</v>
      </c>
      <c r="EH191" s="2152"/>
      <c r="EI191" s="2162">
        <f>SUM(EI185:EI190)</f>
        <v>1750.1780751483714</v>
      </c>
      <c r="EJ191" s="2152"/>
      <c r="EK191" s="2162">
        <f>SUM(EK185:EK190)</f>
        <v>-0.88893721699999995</v>
      </c>
      <c r="EL191" s="2152"/>
      <c r="EM191" s="2152"/>
      <c r="EN191" s="2162">
        <f>EG191+EI191+EK191</f>
        <v>1749.2891379313714</v>
      </c>
      <c r="EO191" s="2157">
        <f>IFERROR(EN191/ED191*10,0)</f>
        <v>3.7418099535053755</v>
      </c>
      <c r="EP191" s="2163"/>
      <c r="ES191" s="2084">
        <f t="shared" si="355"/>
        <v>0</v>
      </c>
      <c r="EU191" s="2084">
        <f t="shared" si="359"/>
        <v>0</v>
      </c>
      <c r="EV191" s="2084">
        <f t="shared" si="360"/>
        <v>0</v>
      </c>
      <c r="EW191" s="2084" t="e">
        <f t="shared" si="361"/>
        <v>#DIV/0!</v>
      </c>
    </row>
    <row r="192" spans="1:153" ht="15.65" customHeight="1">
      <c r="A192" s="1760"/>
      <c r="B192" s="1592"/>
      <c r="C192" s="1596"/>
      <c r="D192" s="1597"/>
      <c r="E192" s="1592"/>
      <c r="F192" s="1597"/>
      <c r="G192" s="1592"/>
      <c r="H192" s="2168"/>
      <c r="I192" s="2169"/>
      <c r="J192" s="2152"/>
      <c r="K192" s="2160"/>
      <c r="L192" s="2160"/>
      <c r="M192" s="2161"/>
      <c r="N192" s="2152"/>
      <c r="O192" s="2152"/>
      <c r="P192" s="2152"/>
      <c r="Q192" s="2152"/>
      <c r="R192" s="2152"/>
      <c r="S192" s="2152"/>
      <c r="T192" s="2152"/>
      <c r="U192" s="2152"/>
      <c r="V192" s="2152"/>
      <c r="W192" s="2152"/>
      <c r="X192" s="2152"/>
      <c r="Y192" s="2152"/>
      <c r="Z192" s="2152"/>
      <c r="AA192" s="2152"/>
      <c r="AB192" s="2152"/>
      <c r="AC192" s="2152"/>
      <c r="AD192" s="2152"/>
      <c r="AE192" s="2152"/>
      <c r="AF192" s="2152"/>
      <c r="AG192" s="2152"/>
      <c r="AH192" s="2152"/>
      <c r="AI192" s="2152"/>
      <c r="AJ192" s="2152"/>
      <c r="AK192" s="2152"/>
      <c r="AL192" s="2152"/>
      <c r="AM192" s="2152"/>
      <c r="AN192" s="2152"/>
      <c r="AO192" s="2170"/>
      <c r="AP192" s="2152"/>
      <c r="AQ192" s="2152"/>
      <c r="AR192" s="2152"/>
      <c r="AS192" s="2152"/>
      <c r="AT192" s="2152"/>
      <c r="AU192" s="2152"/>
      <c r="AV192" s="2152"/>
      <c r="AW192" s="2152"/>
      <c r="AX192" s="2152"/>
      <c r="AY192" s="2170"/>
      <c r="AZ192" s="2152"/>
      <c r="BA192" s="2152"/>
      <c r="BB192" s="2152"/>
      <c r="BC192" s="2152"/>
      <c r="BD192" s="2152"/>
      <c r="BE192" s="2152"/>
      <c r="BF192" s="2152"/>
      <c r="BG192" s="2152"/>
      <c r="BH192" s="2152"/>
      <c r="BI192" s="2170"/>
      <c r="BJ192" s="2152"/>
      <c r="BK192" s="2152"/>
      <c r="BL192" s="2152"/>
      <c r="BM192" s="2152"/>
      <c r="BN192" s="2152"/>
      <c r="BO192" s="2152"/>
      <c r="BP192" s="2152"/>
      <c r="BQ192" s="2152"/>
      <c r="BR192" s="2152"/>
      <c r="BS192" s="2170"/>
      <c r="BT192" s="2152"/>
      <c r="BU192" s="2152"/>
      <c r="BV192" s="2152"/>
      <c r="BW192" s="2152"/>
      <c r="BX192" s="2152"/>
      <c r="BY192" s="2152"/>
      <c r="BZ192" s="2152"/>
      <c r="CA192" s="2152"/>
      <c r="CB192" s="2152"/>
      <c r="CC192" s="2170"/>
      <c r="CD192" s="2152"/>
      <c r="CE192" s="2152"/>
      <c r="CF192" s="2152"/>
      <c r="CG192" s="2152"/>
      <c r="CH192" s="2152"/>
      <c r="CI192" s="2152"/>
      <c r="CJ192" s="2152"/>
      <c r="CK192" s="2152"/>
      <c r="CL192" s="2152"/>
      <c r="CM192" s="2170"/>
      <c r="CN192" s="2152"/>
      <c r="CO192" s="2152"/>
      <c r="CP192" s="2152"/>
      <c r="CQ192" s="2152"/>
      <c r="CR192" s="2152"/>
      <c r="CS192" s="2152"/>
      <c r="CT192" s="2152"/>
      <c r="CU192" s="2152"/>
      <c r="CV192" s="2152"/>
      <c r="CW192" s="2170"/>
      <c r="CX192" s="2152"/>
      <c r="CY192" s="2152"/>
      <c r="CZ192" s="2106">
        <v>0</v>
      </c>
      <c r="DA192" s="2106">
        <f t="shared" si="356"/>
        <v>0</v>
      </c>
      <c r="DB192" s="2106">
        <v>0</v>
      </c>
      <c r="DC192" s="2106">
        <v>0</v>
      </c>
      <c r="DD192" s="2109">
        <f t="shared" si="302"/>
        <v>0</v>
      </c>
      <c r="DE192" s="2152"/>
      <c r="DF192" s="2152"/>
      <c r="DG192" s="2170"/>
      <c r="DH192" s="2152"/>
      <c r="DI192" s="2152"/>
      <c r="DJ192" s="2106">
        <v>0</v>
      </c>
      <c r="DK192" s="2106">
        <f t="shared" si="357"/>
        <v>0</v>
      </c>
      <c r="DL192" s="2106">
        <v>0</v>
      </c>
      <c r="DM192" s="2106">
        <v>0</v>
      </c>
      <c r="DN192" s="2109">
        <f t="shared" si="303"/>
        <v>0</v>
      </c>
      <c r="DO192" s="2152"/>
      <c r="DP192" s="2152"/>
      <c r="DQ192" s="2170"/>
      <c r="DR192" s="2152"/>
      <c r="DS192" s="2152"/>
      <c r="DT192" s="2106">
        <v>0</v>
      </c>
      <c r="DU192" s="2106">
        <f t="shared" si="358"/>
        <v>0</v>
      </c>
      <c r="DV192" s="2106">
        <v>0</v>
      </c>
      <c r="DW192" s="2106">
        <v>0</v>
      </c>
      <c r="DX192" s="2109">
        <f t="shared" si="304"/>
        <v>0</v>
      </c>
      <c r="DY192" s="2152"/>
      <c r="DZ192" s="2152"/>
      <c r="EA192" s="2152"/>
      <c r="EB192" s="2152"/>
      <c r="EC192" s="2152"/>
      <c r="ED192" s="2152"/>
      <c r="EE192" s="2162"/>
      <c r="EF192" s="2152"/>
      <c r="EG192" s="2152"/>
      <c r="EH192" s="2152"/>
      <c r="EI192" s="2152"/>
      <c r="EJ192" s="2152"/>
      <c r="EK192" s="2152"/>
      <c r="EL192" s="2152"/>
      <c r="EM192" s="2152"/>
      <c r="EN192" s="2152"/>
      <c r="EO192" s="2163"/>
      <c r="EP192" s="2163"/>
      <c r="ES192" s="2084">
        <f t="shared" si="355"/>
        <v>0</v>
      </c>
      <c r="EU192" s="2084">
        <f t="shared" si="359"/>
        <v>0</v>
      </c>
      <c r="EV192" s="2084">
        <f t="shared" si="360"/>
        <v>0</v>
      </c>
      <c r="EW192" s="2084" t="e">
        <f t="shared" si="361"/>
        <v>#DIV/0!</v>
      </c>
    </row>
    <row r="193" spans="1:153">
      <c r="A193" s="1760" t="s">
        <v>138</v>
      </c>
      <c r="B193" s="1592" t="s">
        <v>1797</v>
      </c>
      <c r="C193" s="1596"/>
      <c r="D193" s="1597"/>
      <c r="E193" s="1592"/>
      <c r="F193" s="1597"/>
      <c r="G193" s="1592"/>
      <c r="H193" s="2168"/>
      <c r="I193" s="2169"/>
      <c r="J193" s="2152"/>
      <c r="K193" s="2160"/>
      <c r="L193" s="2160"/>
      <c r="M193" s="2161"/>
      <c r="N193" s="2152"/>
      <c r="O193" s="2152"/>
      <c r="P193" s="2152"/>
      <c r="Q193" s="2152"/>
      <c r="R193" s="2152"/>
      <c r="S193" s="2152"/>
      <c r="T193" s="2152"/>
      <c r="U193" s="2152"/>
      <c r="V193" s="2152"/>
      <c r="W193" s="2152"/>
      <c r="X193" s="2152"/>
      <c r="Y193" s="2152"/>
      <c r="Z193" s="2152"/>
      <c r="AA193" s="2152"/>
      <c r="AB193" s="2152"/>
      <c r="AC193" s="2152"/>
      <c r="AD193" s="2152"/>
      <c r="AE193" s="2152"/>
      <c r="AF193" s="2152"/>
      <c r="AG193" s="2152"/>
      <c r="AH193" s="2152"/>
      <c r="AI193" s="2152"/>
      <c r="AJ193" s="2152"/>
      <c r="AK193" s="2152"/>
      <c r="AL193" s="2152"/>
      <c r="AM193" s="2152"/>
      <c r="AN193" s="2152"/>
      <c r="AO193" s="2170"/>
      <c r="AP193" s="2152"/>
      <c r="AQ193" s="2152"/>
      <c r="AR193" s="2152"/>
      <c r="AS193" s="2152"/>
      <c r="AT193" s="2152"/>
      <c r="AU193" s="2152"/>
      <c r="AV193" s="2152"/>
      <c r="AW193" s="2152"/>
      <c r="AX193" s="2152"/>
      <c r="AY193" s="2170"/>
      <c r="AZ193" s="2152"/>
      <c r="BA193" s="2152"/>
      <c r="BB193" s="2152"/>
      <c r="BC193" s="2152"/>
      <c r="BD193" s="2152"/>
      <c r="BE193" s="2152"/>
      <c r="BF193" s="2152"/>
      <c r="BG193" s="2152"/>
      <c r="BH193" s="2152"/>
      <c r="BI193" s="2170"/>
      <c r="BJ193" s="2152"/>
      <c r="BK193" s="2152"/>
      <c r="BL193" s="2152"/>
      <c r="BM193" s="2152"/>
      <c r="BN193" s="2152"/>
      <c r="BO193" s="2152"/>
      <c r="BP193" s="2152"/>
      <c r="BQ193" s="2152"/>
      <c r="BR193" s="2152"/>
      <c r="BS193" s="2170"/>
      <c r="BT193" s="2152"/>
      <c r="BU193" s="2152"/>
      <c r="BV193" s="2152"/>
      <c r="BW193" s="2152"/>
      <c r="BX193" s="2152"/>
      <c r="BY193" s="2152"/>
      <c r="BZ193" s="2152"/>
      <c r="CA193" s="2152"/>
      <c r="CB193" s="2152"/>
      <c r="CC193" s="2170"/>
      <c r="CD193" s="2152"/>
      <c r="CE193" s="2152"/>
      <c r="CF193" s="2152"/>
      <c r="CG193" s="2152"/>
      <c r="CH193" s="2152"/>
      <c r="CI193" s="2152"/>
      <c r="CJ193" s="2152"/>
      <c r="CK193" s="2152"/>
      <c r="CL193" s="2152"/>
      <c r="CM193" s="2170"/>
      <c r="CN193" s="2152"/>
      <c r="CO193" s="2152"/>
      <c r="CP193" s="2152"/>
      <c r="CQ193" s="2152"/>
      <c r="CR193" s="2152"/>
      <c r="CS193" s="2152"/>
      <c r="CT193" s="2152"/>
      <c r="CU193" s="2152"/>
      <c r="CV193" s="2152"/>
      <c r="CW193" s="2170"/>
      <c r="CX193" s="2152"/>
      <c r="CY193" s="2152"/>
      <c r="CZ193" s="2106">
        <v>0</v>
      </c>
      <c r="DA193" s="2106">
        <f t="shared" si="356"/>
        <v>0</v>
      </c>
      <c r="DB193" s="2106">
        <v>0</v>
      </c>
      <c r="DC193" s="2106">
        <v>0</v>
      </c>
      <c r="DD193" s="2109">
        <f t="shared" si="302"/>
        <v>0</v>
      </c>
      <c r="DE193" s="2152"/>
      <c r="DF193" s="2152"/>
      <c r="DG193" s="2170"/>
      <c r="DH193" s="2152"/>
      <c r="DI193" s="2152"/>
      <c r="DJ193" s="2106">
        <v>0</v>
      </c>
      <c r="DK193" s="2106">
        <f t="shared" si="357"/>
        <v>0</v>
      </c>
      <c r="DL193" s="2106">
        <v>0</v>
      </c>
      <c r="DM193" s="2106">
        <v>0</v>
      </c>
      <c r="DN193" s="2109">
        <f t="shared" si="303"/>
        <v>0</v>
      </c>
      <c r="DO193" s="2152"/>
      <c r="DP193" s="2152"/>
      <c r="DQ193" s="2170"/>
      <c r="DR193" s="2152"/>
      <c r="DS193" s="2152"/>
      <c r="DT193" s="2106">
        <v>0</v>
      </c>
      <c r="DU193" s="2106">
        <f t="shared" si="358"/>
        <v>0</v>
      </c>
      <c r="DV193" s="2106">
        <v>0</v>
      </c>
      <c r="DW193" s="2106">
        <v>0</v>
      </c>
      <c r="DX193" s="2109">
        <f t="shared" si="304"/>
        <v>0</v>
      </c>
      <c r="DY193" s="2152"/>
      <c r="DZ193" s="2152"/>
      <c r="EA193" s="2152"/>
      <c r="EB193" s="2152"/>
      <c r="EC193" s="2152"/>
      <c r="ED193" s="2152"/>
      <c r="EE193" s="2162"/>
      <c r="EF193" s="2152"/>
      <c r="EG193" s="2152"/>
      <c r="EH193" s="2152"/>
      <c r="EI193" s="2152"/>
      <c r="EJ193" s="2152"/>
      <c r="EK193" s="2152"/>
      <c r="EL193" s="2152"/>
      <c r="EM193" s="2152"/>
      <c r="EN193" s="2152"/>
      <c r="EO193" s="2163"/>
      <c r="EP193" s="2163"/>
      <c r="ES193" s="2084">
        <f t="shared" si="355"/>
        <v>0</v>
      </c>
      <c r="EU193" s="2084">
        <f t="shared" si="359"/>
        <v>0</v>
      </c>
      <c r="EV193" s="2084">
        <f t="shared" si="360"/>
        <v>0</v>
      </c>
      <c r="EW193" s="2084" t="e">
        <f t="shared" si="361"/>
        <v>#DIV/0!</v>
      </c>
    </row>
    <row r="194" spans="1:153" ht="15" customHeight="1">
      <c r="A194" s="1760">
        <v>1</v>
      </c>
      <c r="B194" s="1592" t="s">
        <v>1798</v>
      </c>
      <c r="C194" s="1596"/>
      <c r="D194" s="1597"/>
      <c r="E194" s="1592"/>
      <c r="F194" s="2147">
        <v>0.25</v>
      </c>
      <c r="G194" s="2157"/>
      <c r="H194" s="2158" t="s">
        <v>1667</v>
      </c>
      <c r="I194" s="2159">
        <v>1</v>
      </c>
      <c r="J194" s="2157"/>
      <c r="K194" s="2160"/>
      <c r="L194" s="2160"/>
      <c r="M194" s="2161"/>
      <c r="N194" s="2152"/>
      <c r="O194" s="2152"/>
      <c r="P194" s="2152"/>
      <c r="Q194" s="2152"/>
      <c r="R194" s="2152"/>
      <c r="S194" s="2152"/>
      <c r="T194" s="2152"/>
      <c r="U194" s="2152"/>
      <c r="V194" s="2152"/>
      <c r="W194" s="2152"/>
      <c r="X194" s="2152"/>
      <c r="Y194" s="2152"/>
      <c r="Z194" s="2152"/>
      <c r="AA194" s="2152"/>
      <c r="AB194" s="2152"/>
      <c r="AC194" s="2152"/>
      <c r="AD194" s="2152"/>
      <c r="AE194" s="2152"/>
      <c r="AF194" s="2152"/>
      <c r="AG194" s="2152"/>
      <c r="AH194" s="2152"/>
      <c r="AI194" s="2152"/>
      <c r="AJ194" s="2152"/>
      <c r="AK194" s="2152"/>
      <c r="AL194" s="2152"/>
      <c r="AM194" s="2152"/>
      <c r="AN194" s="2152"/>
      <c r="AO194" s="2170"/>
      <c r="AP194" s="2152"/>
      <c r="AQ194" s="2152"/>
      <c r="AR194" s="2152"/>
      <c r="AS194" s="2152"/>
      <c r="AT194" s="2152"/>
      <c r="AU194" s="2152"/>
      <c r="AV194" s="2152"/>
      <c r="AW194" s="2152"/>
      <c r="AX194" s="2152"/>
      <c r="AY194" s="2170"/>
      <c r="AZ194" s="2152"/>
      <c r="BA194" s="2152"/>
      <c r="BB194" s="2152"/>
      <c r="BC194" s="2152"/>
      <c r="BD194" s="2152"/>
      <c r="BE194" s="2152"/>
      <c r="BF194" s="2152"/>
      <c r="BG194" s="2152"/>
      <c r="BH194" s="2152"/>
      <c r="BI194" s="2170"/>
      <c r="BJ194" s="2152"/>
      <c r="BK194" s="2152"/>
      <c r="BL194" s="2152"/>
      <c r="BM194" s="2152"/>
      <c r="BN194" s="2152"/>
      <c r="BO194" s="2152"/>
      <c r="BP194" s="2152"/>
      <c r="BQ194" s="2152"/>
      <c r="BR194" s="2152"/>
      <c r="BS194" s="2170"/>
      <c r="BT194" s="2152"/>
      <c r="BU194" s="2152"/>
      <c r="BV194" s="2152"/>
      <c r="BW194" s="2152"/>
      <c r="BX194" s="2152"/>
      <c r="BY194" s="2152"/>
      <c r="BZ194" s="2152"/>
      <c r="CA194" s="2152"/>
      <c r="CB194" s="2152"/>
      <c r="CC194" s="2170"/>
      <c r="CD194" s="2152"/>
      <c r="CE194" s="2152"/>
      <c r="CF194" s="2152"/>
      <c r="CG194" s="2152"/>
      <c r="CH194" s="2152"/>
      <c r="CI194" s="2152"/>
      <c r="CJ194" s="2152"/>
      <c r="CK194" s="2152"/>
      <c r="CL194" s="2152"/>
      <c r="CM194" s="2170"/>
      <c r="CN194" s="2152"/>
      <c r="CO194" s="2152"/>
      <c r="CP194" s="2152"/>
      <c r="CQ194" s="2152"/>
      <c r="CR194" s="2152"/>
      <c r="CS194" s="2152"/>
      <c r="CT194" s="2152"/>
      <c r="CU194" s="2152"/>
      <c r="CV194" s="2152"/>
      <c r="CW194" s="2170"/>
      <c r="CX194" s="2152"/>
      <c r="CY194" s="2152"/>
      <c r="CZ194" s="2106">
        <v>119.0214</v>
      </c>
      <c r="DA194" s="2106">
        <f t="shared" si="356"/>
        <v>0</v>
      </c>
      <c r="DB194" s="2106">
        <v>0</v>
      </c>
      <c r="DC194" s="2106">
        <v>3.3251407343487958</v>
      </c>
      <c r="DD194" s="2109">
        <f t="shared" si="302"/>
        <v>39.576290539922176</v>
      </c>
      <c r="DE194" s="2152"/>
      <c r="DF194" s="2152"/>
      <c r="DG194" s="2170"/>
      <c r="DH194" s="2152"/>
      <c r="DI194" s="2152"/>
      <c r="DJ194" s="2106">
        <v>107.50319999999998</v>
      </c>
      <c r="DK194" s="2106">
        <f t="shared" si="357"/>
        <v>0</v>
      </c>
      <c r="DL194" s="2106">
        <v>0</v>
      </c>
      <c r="DM194" s="2106">
        <v>3.3251407343487958</v>
      </c>
      <c r="DN194" s="2109">
        <f t="shared" si="303"/>
        <v>35.746326939284543</v>
      </c>
      <c r="DO194" s="2152"/>
      <c r="DP194" s="2152"/>
      <c r="DQ194" s="2170"/>
      <c r="DR194" s="2152"/>
      <c r="DS194" s="2152"/>
      <c r="DT194" s="2106">
        <v>119.0214</v>
      </c>
      <c r="DU194" s="2106">
        <f t="shared" si="358"/>
        <v>0</v>
      </c>
      <c r="DV194" s="2106">
        <v>0</v>
      </c>
      <c r="DW194" s="2106">
        <v>3.3251407343487958</v>
      </c>
      <c r="DX194" s="2109">
        <f t="shared" si="304"/>
        <v>39.576290539922176</v>
      </c>
      <c r="DY194" s="2152"/>
      <c r="DZ194" s="2152"/>
      <c r="EA194" s="2152"/>
      <c r="EB194" s="2152"/>
      <c r="EC194" s="2152"/>
      <c r="ED194" s="2152"/>
      <c r="EE194" s="2162"/>
      <c r="EF194" s="2152"/>
      <c r="EG194" s="2152"/>
      <c r="EH194" s="2152"/>
      <c r="EI194" s="2152"/>
      <c r="EJ194" s="2152"/>
      <c r="EK194" s="2152">
        <f>SUM(T194,AD194,AN194,AX194,BH194,BR194,CB194,CL194,CV194,DF194,DP194,DZ194)</f>
        <v>0</v>
      </c>
      <c r="EL194" s="2152"/>
      <c r="EM194" s="2152"/>
      <c r="EN194" s="2152">
        <f>EG194+EI194+EK194</f>
        <v>0</v>
      </c>
      <c r="EO194" s="2157">
        <f>IFERROR(EN194/ED194*10,0)</f>
        <v>0</v>
      </c>
      <c r="EP194" s="2163"/>
      <c r="ES194" s="2084">
        <f t="shared" si="355"/>
        <v>0</v>
      </c>
      <c r="EU194" s="2084">
        <f t="shared" si="359"/>
        <v>0</v>
      </c>
      <c r="EV194" s="2084">
        <f t="shared" si="360"/>
        <v>0</v>
      </c>
      <c r="EW194" s="2084" t="e">
        <f t="shared" si="361"/>
        <v>#DIV/0!</v>
      </c>
    </row>
    <row r="195" spans="1:153">
      <c r="A195" s="1760">
        <v>2</v>
      </c>
      <c r="B195" s="1592" t="s">
        <v>1799</v>
      </c>
      <c r="C195" s="1596"/>
      <c r="D195" s="1597"/>
      <c r="E195" s="1592"/>
      <c r="F195" s="2147"/>
      <c r="G195" s="2157"/>
      <c r="H195" s="2158" t="s">
        <v>1667</v>
      </c>
      <c r="I195" s="2159">
        <v>2</v>
      </c>
      <c r="J195" s="2157"/>
      <c r="K195" s="2160"/>
      <c r="L195" s="2160"/>
      <c r="M195" s="2161"/>
      <c r="N195" s="2152">
        <v>105.31925500000003</v>
      </c>
      <c r="O195" s="2152">
        <f>IFERROR(P195/N195*10,0)</f>
        <v>0</v>
      </c>
      <c r="P195" s="2152">
        <v>0</v>
      </c>
      <c r="Q195" s="2152">
        <f>IFERROR(R195/N195*10,0)</f>
        <v>3.0338879015997593</v>
      </c>
      <c r="R195" s="2152">
        <v>31.952681355000003</v>
      </c>
      <c r="S195" s="2152">
        <f>IFERROR(T195/N195*10,0)</f>
        <v>0</v>
      </c>
      <c r="T195" s="2152">
        <v>0</v>
      </c>
      <c r="U195" s="2152"/>
      <c r="V195" s="2152">
        <f>IFERROR(W195/N195*10,0)</f>
        <v>3.0338879015997593</v>
      </c>
      <c r="W195" s="2152">
        <f>SUM(P195,R195,T195,U195)</f>
        <v>31.952681355000003</v>
      </c>
      <c r="X195" s="2152">
        <v>206.87916299999998</v>
      </c>
      <c r="Y195" s="2152">
        <f>IFERROR(Z195/X195*10,0)</f>
        <v>0</v>
      </c>
      <c r="Z195" s="2152">
        <v>0</v>
      </c>
      <c r="AA195" s="2152">
        <f>IFERROR(AB195/X195*10,0)</f>
        <v>3.0052589361549185</v>
      </c>
      <c r="AB195" s="2152">
        <v>62.172545330999995</v>
      </c>
      <c r="AC195" s="2152">
        <f>IFERROR(AD195/X195*10,0)</f>
        <v>0</v>
      </c>
      <c r="AD195" s="2152">
        <v>0</v>
      </c>
      <c r="AE195" s="2152"/>
      <c r="AF195" s="2152">
        <f>IFERROR(AG195/X195*10,0)</f>
        <v>3.0052589361549185</v>
      </c>
      <c r="AG195" s="2152">
        <f>SUM(Z195,AB195,AD195,AE195)</f>
        <v>62.172545330999995</v>
      </c>
      <c r="AH195" s="2152">
        <v>271.44892600000003</v>
      </c>
      <c r="AI195" s="2152">
        <f>IFERROR(AJ195/AH195*10,0)</f>
        <v>0</v>
      </c>
      <c r="AJ195" s="2152">
        <v>0</v>
      </c>
      <c r="AK195" s="2152">
        <f>IFERROR(AL195/AH195*10,0)</f>
        <v>2.89547697455248</v>
      </c>
      <c r="AL195" s="2152">
        <v>78.597411500000007</v>
      </c>
      <c r="AM195" s="2152">
        <f>IFERROR(AN195/AH195*10,0)</f>
        <v>0</v>
      </c>
      <c r="AN195" s="2152">
        <v>0</v>
      </c>
      <c r="AO195" s="2152">
        <f>AO194</f>
        <v>0</v>
      </c>
      <c r="AP195" s="2152">
        <f>IFERROR(AQ195/AH195*10,0)</f>
        <v>2.89547697455248</v>
      </c>
      <c r="AQ195" s="2152">
        <f>SUM(AJ195,AL195,AN195,AO195)</f>
        <v>78.597411500000007</v>
      </c>
      <c r="AR195" s="2152">
        <v>351.63465399999995</v>
      </c>
      <c r="AS195" s="2152">
        <f>IFERROR(AT195/AR195*10,0)</f>
        <v>0</v>
      </c>
      <c r="AT195" s="2152">
        <v>0</v>
      </c>
      <c r="AU195" s="2152">
        <f>IFERROR(AV195/AR195*10,0)</f>
        <v>2.9766499291051107</v>
      </c>
      <c r="AV195" s="2152">
        <v>104.66932679</v>
      </c>
      <c r="AW195" s="2152">
        <f>IFERROR(AX195/AR195*10,0)</f>
        <v>0</v>
      </c>
      <c r="AX195" s="2152">
        <v>0</v>
      </c>
      <c r="AY195" s="2152"/>
      <c r="AZ195" s="2152">
        <f>IFERROR(BA195/AR195*10,0)</f>
        <v>2.9766499291051107</v>
      </c>
      <c r="BA195" s="2152">
        <f>SUM(AT195,AV195,AX195,AY195)</f>
        <v>104.66932679</v>
      </c>
      <c r="BB195" s="2152">
        <v>300.40445400000004</v>
      </c>
      <c r="BC195" s="2152">
        <f>IFERROR(BD195/BB195*10,0)</f>
        <v>0</v>
      </c>
      <c r="BD195" s="2152">
        <v>0</v>
      </c>
      <c r="BE195" s="2152">
        <f>IFERROR(BF195/BB195*10,0)</f>
        <v>2.9932611551758144</v>
      </c>
      <c r="BF195" s="2152">
        <v>89.918898299999995</v>
      </c>
      <c r="BG195" s="2152">
        <f>IFERROR(BH195/BB195*10,0)</f>
        <v>0</v>
      </c>
      <c r="BH195" s="2152">
        <v>0</v>
      </c>
      <c r="BI195" s="2152"/>
      <c r="BJ195" s="2152">
        <f>IFERROR(BK195/BB195*10,0)</f>
        <v>2.9932611551758144</v>
      </c>
      <c r="BK195" s="2152">
        <f>SUM(BD195,BF195,BH195,BI195)</f>
        <v>89.918898299999995</v>
      </c>
      <c r="BL195" s="2152">
        <v>238.973975</v>
      </c>
      <c r="BM195" s="2152">
        <f>IFERROR(BN195/BL195*10,0)</f>
        <v>0</v>
      </c>
      <c r="BN195" s="2152">
        <v>0</v>
      </c>
      <c r="BO195" s="2152">
        <f>IFERROR(BP195/BL195*10,0)</f>
        <v>2.917068392070727</v>
      </c>
      <c r="BP195" s="2152">
        <v>69.710342900000001</v>
      </c>
      <c r="BQ195" s="2152">
        <f>IFERROR(BR195/BL195*10,0)</f>
        <v>0</v>
      </c>
      <c r="BR195" s="2152">
        <v>0</v>
      </c>
      <c r="BS195" s="2152"/>
      <c r="BT195" s="2152">
        <f>IFERROR(BU195/BL195*10,0)</f>
        <v>2.917068392070727</v>
      </c>
      <c r="BU195" s="2152">
        <f>SUM(BN195,BP195,BR195,BS195)</f>
        <v>69.710342900000001</v>
      </c>
      <c r="BV195" s="2152">
        <v>125.68054699999999</v>
      </c>
      <c r="BW195" s="2152">
        <f>IFERROR(BX195/BV195*10,0)</f>
        <v>0</v>
      </c>
      <c r="BX195" s="2152">
        <v>0</v>
      </c>
      <c r="BY195" s="2152">
        <f>IFERROR(BZ195/BV195*10,0)</f>
        <v>3.0388858587638072</v>
      </c>
      <c r="BZ195" s="2152">
        <v>38.192883700000003</v>
      </c>
      <c r="CA195" s="2152">
        <f>IFERROR(CB195/BV195*10,0)</f>
        <v>0</v>
      </c>
      <c r="CB195" s="2152">
        <v>0</v>
      </c>
      <c r="CC195" s="2152"/>
      <c r="CD195" s="2152">
        <f>IFERROR(CE195/BV195*10,0)</f>
        <v>3.0388858587638072</v>
      </c>
      <c r="CE195" s="2152">
        <f>SUM(BX195,BZ195,CB195,CC195)</f>
        <v>38.192883700000003</v>
      </c>
      <c r="CF195" s="2152">
        <v>52.792650000000002</v>
      </c>
      <c r="CG195" s="2152">
        <f>IFERROR(CH195/CF195*10,0)</f>
        <v>0</v>
      </c>
      <c r="CH195" s="2152">
        <v>0</v>
      </c>
      <c r="CI195" s="2152">
        <f>IFERROR(CJ195/CF195*10,0)</f>
        <v>3.5299999905289843</v>
      </c>
      <c r="CJ195" s="2152">
        <v>18.635805399999999</v>
      </c>
      <c r="CK195" s="2152">
        <f>IFERROR(CL195/CF195*10,0)</f>
        <v>2.277370050565751E-2</v>
      </c>
      <c r="CL195" s="2152">
        <v>0.1202284</v>
      </c>
      <c r="CM195" s="2152"/>
      <c r="CN195" s="2152">
        <f>IFERROR(CO195/CF195*10,0)</f>
        <v>3.5527736910346412</v>
      </c>
      <c r="CO195" s="2152">
        <f>SUM(CH195,CJ195,CL195,CM195)</f>
        <v>18.756033799999997</v>
      </c>
      <c r="CP195" s="2152">
        <v>128.65410200000002</v>
      </c>
      <c r="CQ195" s="2152">
        <f>IFERROR(CR195/CP195*10,0)</f>
        <v>0</v>
      </c>
      <c r="CR195" s="2152">
        <v>0</v>
      </c>
      <c r="CS195" s="2152">
        <f>IFERROR(CT195/CP195*10,0)</f>
        <v>3.1496560832549276</v>
      </c>
      <c r="CT195" s="2152">
        <v>40.521617499999998</v>
      </c>
      <c r="CU195" s="2152">
        <f>IFERROR(CV195/CP195*10,0)</f>
        <v>0</v>
      </c>
      <c r="CV195" s="2152">
        <v>0</v>
      </c>
      <c r="CW195" s="2152"/>
      <c r="CX195" s="2152">
        <f>IFERROR(CY195/CP195*10,0)</f>
        <v>3.1496560832549276</v>
      </c>
      <c r="CY195" s="2152">
        <f>SUM(CR195,CT195,CV195,CW195)</f>
        <v>40.521617499999998</v>
      </c>
      <c r="CZ195" s="2106">
        <f>CZ194</f>
        <v>119.0214</v>
      </c>
      <c r="DA195" s="2106">
        <f>DA194</f>
        <v>0</v>
      </c>
      <c r="DB195" s="2106">
        <f>DB194</f>
        <v>0</v>
      </c>
      <c r="DC195" s="2106">
        <f>DC194</f>
        <v>3.3251407343487958</v>
      </c>
      <c r="DD195" s="2106">
        <f>DD194</f>
        <v>39.576290539922176</v>
      </c>
      <c r="DE195" s="2152"/>
      <c r="DF195" s="2152"/>
      <c r="DG195" s="2152"/>
      <c r="DH195" s="2152">
        <f>IFERROR(DI195/CZ195*10,0)</f>
        <v>3.3251407343487962</v>
      </c>
      <c r="DI195" s="2152">
        <f>SUM(DB195,DD195,DF195,DG195)</f>
        <v>39.576290539922176</v>
      </c>
      <c r="DJ195" s="2106">
        <f>DJ194</f>
        <v>107.50319999999998</v>
      </c>
      <c r="DK195" s="2106">
        <f>DK194</f>
        <v>0</v>
      </c>
      <c r="DL195" s="2106">
        <f>DL194</f>
        <v>0</v>
      </c>
      <c r="DM195" s="2106">
        <f>DM194</f>
        <v>3.3251407343487958</v>
      </c>
      <c r="DN195" s="2106">
        <f>DN194</f>
        <v>35.746326939284543</v>
      </c>
      <c r="DO195" s="2152"/>
      <c r="DP195" s="2152"/>
      <c r="DQ195" s="2152"/>
      <c r="DR195" s="2152">
        <f>IFERROR(DS195/DJ195*10,0)</f>
        <v>3.3251407343487962</v>
      </c>
      <c r="DS195" s="2152">
        <f>SUM(DL195,DN195,DP195,DQ195)</f>
        <v>35.746326939284543</v>
      </c>
      <c r="DT195" s="2106">
        <f>DT194</f>
        <v>119.0214</v>
      </c>
      <c r="DU195" s="2106">
        <f>DU194</f>
        <v>0</v>
      </c>
      <c r="DV195" s="2106">
        <f>DV194</f>
        <v>0</v>
      </c>
      <c r="DW195" s="2106">
        <f>DW194</f>
        <v>3.3251407343487958</v>
      </c>
      <c r="DX195" s="2106">
        <f>DX194</f>
        <v>39.576290539922176</v>
      </c>
      <c r="DY195" s="2152"/>
      <c r="DZ195" s="2152"/>
      <c r="EA195" s="2152"/>
      <c r="EB195" s="2152">
        <f>IFERROR(EC195/DT195*10,0)</f>
        <v>3.3251407343487962</v>
      </c>
      <c r="EC195" s="2152">
        <f>SUM(DV195,DX195,DZ195,EA195)</f>
        <v>39.576290539922176</v>
      </c>
      <c r="ED195" s="2152">
        <f>SUM(N195,X195,AH195,AR195,BB195,BL195,BV195,CF195,CP195,CZ195,DJ195,DT195)</f>
        <v>2127.3337259999998</v>
      </c>
      <c r="EE195" s="2162"/>
      <c r="EF195" s="2152">
        <f>IFERROR(EG195/ED195*10,0)</f>
        <v>0</v>
      </c>
      <c r="EG195" s="2152">
        <f>SUM(P195,Z195,AJ195,AT195,BD195,BN195,BX195,CH195,CR195,DB195,DL195,DV195)</f>
        <v>0</v>
      </c>
      <c r="EH195" s="2152">
        <f>IFERROR(EI195/ED195*10,0)</f>
        <v>3.0520383936936133</v>
      </c>
      <c r="EI195" s="2152">
        <f>SUM(R195,AB195,AL195,AV195,BF195,BP195,BZ195,CJ195,CT195,DD195,DN195,DX195)</f>
        <v>649.27042079512887</v>
      </c>
      <c r="EJ195" s="2152"/>
      <c r="EK195" s="2152">
        <f>SUM(T195,AD195,AN195,AX195,BH195,BR195,CB195,CL195,CV195,DF195,DP195,DZ195)</f>
        <v>0.1202284</v>
      </c>
      <c r="EL195" s="2152"/>
      <c r="EM195" s="2152"/>
      <c r="EN195" s="2152">
        <f>EG195+EI195+EK195</f>
        <v>649.39064919512884</v>
      </c>
      <c r="EO195" s="2157">
        <f>IFERROR(EN195/ED195*10,0)</f>
        <v>3.0526035537271827</v>
      </c>
      <c r="EP195" s="2163"/>
      <c r="ES195" s="2084">
        <f t="shared" si="355"/>
        <v>0</v>
      </c>
      <c r="EU195" s="2084">
        <f t="shared" si="359"/>
        <v>534.37151277599992</v>
      </c>
      <c r="EV195" s="2084">
        <f t="shared" si="360"/>
        <v>1781.7877259999998</v>
      </c>
      <c r="EW195" s="2084">
        <f t="shared" si="361"/>
        <v>2.9990750580352801</v>
      </c>
    </row>
    <row r="196" spans="1:153" ht="15" customHeight="1">
      <c r="A196" s="1760">
        <v>3</v>
      </c>
      <c r="B196" s="1592" t="s">
        <v>1801</v>
      </c>
      <c r="C196" s="1596"/>
      <c r="D196" s="1597"/>
      <c r="E196" s="1592"/>
      <c r="F196" s="2147">
        <v>0.25</v>
      </c>
      <c r="G196" s="2157"/>
      <c r="H196" s="2158" t="s">
        <v>1667</v>
      </c>
      <c r="I196" s="2159">
        <v>2</v>
      </c>
      <c r="J196" s="2157"/>
      <c r="K196" s="2160"/>
      <c r="L196" s="2160"/>
      <c r="M196" s="2161"/>
      <c r="N196" s="2152"/>
      <c r="O196" s="2152"/>
      <c r="P196" s="2152"/>
      <c r="Q196" s="2152"/>
      <c r="R196" s="2152"/>
      <c r="S196" s="2152"/>
      <c r="T196" s="2152"/>
      <c r="U196" s="2152"/>
      <c r="V196" s="2152"/>
      <c r="W196" s="2152"/>
      <c r="X196" s="2152"/>
      <c r="Y196" s="2152"/>
      <c r="Z196" s="2152"/>
      <c r="AA196" s="2152"/>
      <c r="AB196" s="2152"/>
      <c r="AC196" s="2152"/>
      <c r="AD196" s="2152"/>
      <c r="AE196" s="2152"/>
      <c r="AF196" s="2152"/>
      <c r="AG196" s="2152"/>
      <c r="AH196" s="2152"/>
      <c r="AI196" s="2152"/>
      <c r="AJ196" s="2152"/>
      <c r="AK196" s="2152"/>
      <c r="AL196" s="2152"/>
      <c r="AM196" s="2152"/>
      <c r="AN196" s="2152"/>
      <c r="AO196" s="2152"/>
      <c r="AP196" s="2152"/>
      <c r="AQ196" s="2152"/>
      <c r="AR196" s="2152"/>
      <c r="AS196" s="2152"/>
      <c r="AT196" s="2152"/>
      <c r="AU196" s="2152"/>
      <c r="AV196" s="2152"/>
      <c r="AW196" s="2152"/>
      <c r="AX196" s="2152"/>
      <c r="AY196" s="2152"/>
      <c r="AZ196" s="2152"/>
      <c r="BA196" s="2152"/>
      <c r="BB196" s="2152"/>
      <c r="BC196" s="2152"/>
      <c r="BD196" s="2152"/>
      <c r="BE196" s="2152"/>
      <c r="BF196" s="2152"/>
      <c r="BG196" s="2152"/>
      <c r="BH196" s="2152"/>
      <c r="BI196" s="2152"/>
      <c r="BJ196" s="2152"/>
      <c r="BK196" s="2152"/>
      <c r="BL196" s="2152"/>
      <c r="BM196" s="2152"/>
      <c r="BN196" s="2152"/>
      <c r="BO196" s="2152"/>
      <c r="BP196" s="2152"/>
      <c r="BQ196" s="2152"/>
      <c r="BR196" s="2152"/>
      <c r="BS196" s="2152"/>
      <c r="BT196" s="2152"/>
      <c r="BU196" s="2152"/>
      <c r="BV196" s="2152"/>
      <c r="BW196" s="2152"/>
      <c r="BX196" s="2152"/>
      <c r="BY196" s="2152"/>
      <c r="BZ196" s="2152"/>
      <c r="CA196" s="2152"/>
      <c r="CB196" s="2152"/>
      <c r="CC196" s="2152"/>
      <c r="CD196" s="2152"/>
      <c r="CE196" s="2152"/>
      <c r="CF196" s="2152"/>
      <c r="CG196" s="2152"/>
      <c r="CH196" s="2152"/>
      <c r="CI196" s="2152"/>
      <c r="CJ196" s="2152"/>
      <c r="CK196" s="2152"/>
      <c r="CL196" s="2152"/>
      <c r="CM196" s="2152"/>
      <c r="CN196" s="2152"/>
      <c r="CO196" s="2152"/>
      <c r="CP196" s="2152"/>
      <c r="CQ196" s="2152"/>
      <c r="CR196" s="2152"/>
      <c r="CS196" s="2152"/>
      <c r="CT196" s="2152"/>
      <c r="CU196" s="2152"/>
      <c r="CV196" s="2152"/>
      <c r="CW196" s="2170"/>
      <c r="CX196" s="2152"/>
      <c r="CY196" s="2152"/>
      <c r="CZ196" s="2106">
        <v>150.54839999999999</v>
      </c>
      <c r="DA196" s="2106">
        <f t="shared" si="356"/>
        <v>0</v>
      </c>
      <c r="DB196" s="2106">
        <v>0</v>
      </c>
      <c r="DC196" s="2106">
        <v>3.3251407343487958</v>
      </c>
      <c r="DD196" s="2109">
        <f t="shared" si="302"/>
        <v>50.059461733103618</v>
      </c>
      <c r="DE196" s="2152"/>
      <c r="DF196" s="2152"/>
      <c r="DG196" s="2170"/>
      <c r="DH196" s="2152">
        <f>IFERROR(DI196/CZ196*10,0)</f>
        <v>3.3251407343487953</v>
      </c>
      <c r="DI196" s="2152">
        <f>SUM(DB196,DD196,DF196,DG196)</f>
        <v>50.059461733103618</v>
      </c>
      <c r="DJ196" s="2106">
        <v>135.97919999999999</v>
      </c>
      <c r="DK196" s="2106">
        <f t="shared" si="357"/>
        <v>0</v>
      </c>
      <c r="DL196" s="2106">
        <v>0</v>
      </c>
      <c r="DM196" s="2106">
        <v>3.3251407343487958</v>
      </c>
      <c r="DN196" s="2109">
        <f t="shared" si="303"/>
        <v>45.214997694416169</v>
      </c>
      <c r="DO196" s="2152"/>
      <c r="DP196" s="2152"/>
      <c r="DQ196" s="2170"/>
      <c r="DR196" s="2152">
        <f>IFERROR(DS196/DJ196*10,0)</f>
        <v>3.3251407343487953</v>
      </c>
      <c r="DS196" s="2152">
        <f>SUM(DL196,DN196,DP196,DQ196)</f>
        <v>45.214997694416169</v>
      </c>
      <c r="DT196" s="2106">
        <v>150.54839999999999</v>
      </c>
      <c r="DU196" s="2106">
        <f t="shared" si="358"/>
        <v>0</v>
      </c>
      <c r="DV196" s="2106">
        <v>0</v>
      </c>
      <c r="DW196" s="2106">
        <v>3.3251407343487958</v>
      </c>
      <c r="DX196" s="2109">
        <f t="shared" si="304"/>
        <v>50.059461733103618</v>
      </c>
      <c r="DY196" s="2152"/>
      <c r="DZ196" s="2152"/>
      <c r="EA196" s="2152"/>
      <c r="EB196" s="2152">
        <f>IFERROR(EC196/DT196*10,0)</f>
        <v>3.3251407343487953</v>
      </c>
      <c r="EC196" s="2152">
        <f>SUM(DV196,DX196,DZ196,EA196)</f>
        <v>50.059461733103618</v>
      </c>
      <c r="ED196" s="2152">
        <f>SUM(N196,X196,AH196,AR196,BB196,BL196,BV196,CF196,CP196,CZ196,DJ196,DT196)</f>
        <v>437.07600000000002</v>
      </c>
      <c r="EE196" s="2162"/>
      <c r="EF196" s="2152">
        <f>IFERROR(EG196/ED196*10,0)</f>
        <v>0</v>
      </c>
      <c r="EG196" s="2152">
        <f>SUM(P196,Z196,AJ196,AT196,BD196,BN196,BX196,CH196,CR196,DB196,DL196,DV196)</f>
        <v>0</v>
      </c>
      <c r="EH196" s="2152">
        <f>IFERROR(EI196/ED196*10,0)</f>
        <v>3.3251407343487949</v>
      </c>
      <c r="EI196" s="2152">
        <f>SUM(R196,AB196,AL196,AV196,BF196,BP196,BZ196,CJ196,CT196,DD196,DN196,DX196)</f>
        <v>145.33392116062339</v>
      </c>
      <c r="EJ196" s="2152"/>
      <c r="EK196" s="2152">
        <f>SUM(T196,AD196,AN196,AX196,BH196,BR196,CB196,CL196,CV196,DF196,DP196,DZ196)</f>
        <v>0</v>
      </c>
      <c r="EL196" s="2152"/>
      <c r="EM196" s="2152"/>
      <c r="EN196" s="2152">
        <f>EG196+EI196+EK196</f>
        <v>145.33392116062339</v>
      </c>
      <c r="EO196" s="2157">
        <f>IFERROR(EN196/ED196*10,0)</f>
        <v>3.3251407343487949</v>
      </c>
      <c r="EP196" s="2163"/>
      <c r="ES196" s="2084">
        <f t="shared" si="355"/>
        <v>0</v>
      </c>
      <c r="EU196" s="2084">
        <f t="shared" si="359"/>
        <v>0</v>
      </c>
      <c r="EV196" s="2084">
        <f t="shared" si="360"/>
        <v>0</v>
      </c>
      <c r="EW196" s="2084" t="e">
        <f t="shared" si="361"/>
        <v>#DIV/0!</v>
      </c>
    </row>
    <row r="197" spans="1:153" ht="15" customHeight="1">
      <c r="A197" s="1760">
        <v>4</v>
      </c>
      <c r="B197" s="1592" t="s">
        <v>2062</v>
      </c>
      <c r="C197" s="1596"/>
      <c r="D197" s="1597"/>
      <c r="E197" s="1592"/>
      <c r="F197" s="2147" t="e">
        <v>#N/A</v>
      </c>
      <c r="G197" s="2157"/>
      <c r="H197" s="2158" t="s">
        <v>1667</v>
      </c>
      <c r="I197" s="2159">
        <v>2</v>
      </c>
      <c r="J197" s="2157"/>
      <c r="K197" s="2160"/>
      <c r="L197" s="2160"/>
      <c r="M197" s="2161"/>
      <c r="N197" s="2152"/>
      <c r="O197" s="2152"/>
      <c r="P197" s="2152"/>
      <c r="Q197" s="2152"/>
      <c r="R197" s="2152"/>
      <c r="S197" s="2152"/>
      <c r="T197" s="2152"/>
      <c r="U197" s="2152"/>
      <c r="V197" s="2152"/>
      <c r="W197" s="2152"/>
      <c r="X197" s="2152"/>
      <c r="Y197" s="2152"/>
      <c r="Z197" s="2152"/>
      <c r="AA197" s="2152"/>
      <c r="AB197" s="2152"/>
      <c r="AC197" s="2152"/>
      <c r="AD197" s="2152"/>
      <c r="AE197" s="2152"/>
      <c r="AF197" s="2152"/>
      <c r="AG197" s="2152"/>
      <c r="AH197" s="2152"/>
      <c r="AI197" s="2152"/>
      <c r="AJ197" s="2152"/>
      <c r="AK197" s="2152"/>
      <c r="AL197" s="2152"/>
      <c r="AM197" s="2152"/>
      <c r="AN197" s="2152"/>
      <c r="AO197" s="2152"/>
      <c r="AP197" s="2152"/>
      <c r="AQ197" s="2152"/>
      <c r="AR197" s="2152"/>
      <c r="AS197" s="2152"/>
      <c r="AT197" s="2152"/>
      <c r="AU197" s="2152"/>
      <c r="AV197" s="2152"/>
      <c r="AW197" s="2152"/>
      <c r="AX197" s="2152"/>
      <c r="AY197" s="2152"/>
      <c r="AZ197" s="2152"/>
      <c r="BA197" s="2152"/>
      <c r="BB197" s="2152"/>
      <c r="BC197" s="2152"/>
      <c r="BD197" s="2152"/>
      <c r="BE197" s="2152"/>
      <c r="BF197" s="2152"/>
      <c r="BG197" s="2152"/>
      <c r="BH197" s="2152"/>
      <c r="BI197" s="2152"/>
      <c r="BJ197" s="2152"/>
      <c r="BK197" s="2152"/>
      <c r="BL197" s="2152"/>
      <c r="BM197" s="2152"/>
      <c r="BN197" s="2152"/>
      <c r="BO197" s="2152"/>
      <c r="BP197" s="2152"/>
      <c r="BQ197" s="2152"/>
      <c r="BR197" s="2152"/>
      <c r="BS197" s="2152"/>
      <c r="BT197" s="2152"/>
      <c r="BU197" s="2152"/>
      <c r="BV197" s="2152"/>
      <c r="BW197" s="2152"/>
      <c r="BX197" s="2152"/>
      <c r="BY197" s="2152"/>
      <c r="BZ197" s="2152"/>
      <c r="CA197" s="2152"/>
      <c r="CB197" s="2152"/>
      <c r="CC197" s="2152"/>
      <c r="CD197" s="2152"/>
      <c r="CE197" s="2152"/>
      <c r="CF197" s="2152"/>
      <c r="CG197" s="2152"/>
      <c r="CH197" s="2152"/>
      <c r="CI197" s="2152"/>
      <c r="CJ197" s="2152"/>
      <c r="CK197" s="2152"/>
      <c r="CL197" s="2152"/>
      <c r="CM197" s="2152"/>
      <c r="CN197" s="2152"/>
      <c r="CO197" s="2152"/>
      <c r="CP197" s="2152"/>
      <c r="CQ197" s="2152"/>
      <c r="CR197" s="2152"/>
      <c r="CS197" s="2152"/>
      <c r="CT197" s="2152"/>
      <c r="CU197" s="2152"/>
      <c r="CV197" s="2152"/>
      <c r="CW197" s="2170"/>
      <c r="CX197" s="2152"/>
      <c r="CY197" s="2152"/>
      <c r="CZ197" s="2106"/>
      <c r="DA197" s="2106"/>
      <c r="DB197" s="2106"/>
      <c r="DC197" s="2106"/>
      <c r="DD197" s="2109"/>
      <c r="DE197" s="2152"/>
      <c r="DF197" s="2152"/>
      <c r="DG197" s="2170"/>
      <c r="DH197" s="2152"/>
      <c r="DI197" s="2152"/>
      <c r="DJ197" s="2106"/>
      <c r="DK197" s="2106"/>
      <c r="DL197" s="2106"/>
      <c r="DM197" s="2106"/>
      <c r="DN197" s="2109"/>
      <c r="DO197" s="2152"/>
      <c r="DP197" s="2152"/>
      <c r="DQ197" s="2170"/>
      <c r="DR197" s="2152"/>
      <c r="DS197" s="2152"/>
      <c r="DT197" s="2106"/>
      <c r="DU197" s="2106"/>
      <c r="DV197" s="2106"/>
      <c r="DW197" s="2106"/>
      <c r="DX197" s="2109"/>
      <c r="DY197" s="2152"/>
      <c r="DZ197" s="2152"/>
      <c r="EA197" s="2152"/>
      <c r="EB197" s="2152"/>
      <c r="EC197" s="2152"/>
      <c r="ED197" s="2152">
        <f>SUM(N197,X197,AH197,AR197,BB197,BL197,BV197,CF197,CP197,CZ197,DJ197,DT197)</f>
        <v>0</v>
      </c>
      <c r="EE197" s="2162"/>
      <c r="EF197" s="2152">
        <f>IFERROR(EG197/ED197*10,0)</f>
        <v>0</v>
      </c>
      <c r="EG197" s="2152">
        <f>SUM(P197,Z197,AJ197,AT197,BD197,BN197,BX197,CH197,CR197,DB197,DL197,DV197)</f>
        <v>0</v>
      </c>
      <c r="EH197" s="2152">
        <f>IFERROR(EI197/ED197*10,0)</f>
        <v>0</v>
      </c>
      <c r="EI197" s="2152">
        <f>SUM(R197,AB197,AL197,AV197,BF197,BP197,BZ197,CJ197,CT197,DD197,DN197,DX197)</f>
        <v>0</v>
      </c>
      <c r="EJ197" s="2152"/>
      <c r="EK197" s="2152">
        <f>SUM(T197,AD197,AN197,AX197,BH197,BR197,CB197,CL197,CV197,DF197,DP197,DZ197)</f>
        <v>0</v>
      </c>
      <c r="EL197" s="2152"/>
      <c r="EM197" s="2152"/>
      <c r="EN197" s="2152">
        <f>EG197+EI197+EK197</f>
        <v>0</v>
      </c>
      <c r="EO197" s="2157">
        <f>IFERROR(EN197/ED197*10,0)</f>
        <v>0</v>
      </c>
      <c r="EP197" s="2163"/>
      <c r="ES197" s="2084">
        <f t="shared" si="355"/>
        <v>0</v>
      </c>
      <c r="EU197" s="2084">
        <f t="shared" si="359"/>
        <v>0</v>
      </c>
      <c r="EV197" s="2084">
        <f t="shared" si="360"/>
        <v>0</v>
      </c>
      <c r="EW197" s="2084" t="e">
        <f t="shared" si="361"/>
        <v>#DIV/0!</v>
      </c>
    </row>
    <row r="198" spans="1:153">
      <c r="A198" s="1760">
        <v>6</v>
      </c>
      <c r="B198" s="1592" t="s">
        <v>1802</v>
      </c>
      <c r="C198" s="1596"/>
      <c r="D198" s="1597"/>
      <c r="E198" s="1592"/>
      <c r="F198" s="2147">
        <v>0.5</v>
      </c>
      <c r="G198" s="2157"/>
      <c r="H198" s="2158" t="s">
        <v>1667</v>
      </c>
      <c r="I198" s="2159">
        <v>2</v>
      </c>
      <c r="J198" s="2157"/>
      <c r="K198" s="2160"/>
      <c r="L198" s="2160"/>
      <c r="M198" s="2161"/>
      <c r="N198" s="2152">
        <v>0</v>
      </c>
      <c r="O198" s="2152">
        <f>IFERROR(P198/N198*10,0)</f>
        <v>0</v>
      </c>
      <c r="P198" s="2152">
        <v>0</v>
      </c>
      <c r="Q198" s="2152">
        <f>IFERROR(R198/N198*10,0)</f>
        <v>0</v>
      </c>
      <c r="R198" s="2152">
        <v>0</v>
      </c>
      <c r="S198" s="2152">
        <f>IFERROR(T198/N198*10,0)</f>
        <v>0</v>
      </c>
      <c r="T198" s="2152">
        <v>0</v>
      </c>
      <c r="U198" s="2152"/>
      <c r="V198" s="2152">
        <f>IFERROR(W198/N198*10,0)</f>
        <v>0</v>
      </c>
      <c r="W198" s="2152">
        <f>SUM(P198,R198,T198,U198)</f>
        <v>0</v>
      </c>
      <c r="X198" s="2152">
        <v>0</v>
      </c>
      <c r="Y198" s="2152">
        <f>IFERROR(Z198/X198*10,0)</f>
        <v>0</v>
      </c>
      <c r="Z198" s="2152">
        <v>0</v>
      </c>
      <c r="AA198" s="2152">
        <f>IFERROR(AB198/X198*10,0)</f>
        <v>0</v>
      </c>
      <c r="AB198" s="2152">
        <v>0</v>
      </c>
      <c r="AC198" s="2152">
        <f>IFERROR(AD198/X198*10,0)</f>
        <v>0</v>
      </c>
      <c r="AD198" s="2152">
        <v>0</v>
      </c>
      <c r="AE198" s="2152"/>
      <c r="AF198" s="2152">
        <f>IFERROR(AG198/X198*10,0)</f>
        <v>0</v>
      </c>
      <c r="AG198" s="2152">
        <f>SUM(Z198,AB198,AD198,AE198)</f>
        <v>0</v>
      </c>
      <c r="AH198" s="2152">
        <v>0</v>
      </c>
      <c r="AI198" s="2152">
        <f>IFERROR(AJ198/AH198*10,0)</f>
        <v>0</v>
      </c>
      <c r="AJ198" s="2152">
        <v>0</v>
      </c>
      <c r="AK198" s="2152">
        <f>IFERROR(AL198/AH198*10,0)</f>
        <v>0</v>
      </c>
      <c r="AL198" s="2152">
        <v>0</v>
      </c>
      <c r="AM198" s="2152">
        <f>IFERROR(AN198/AH198*10,0)</f>
        <v>0</v>
      </c>
      <c r="AN198" s="2152">
        <v>0</v>
      </c>
      <c r="AO198" s="2152">
        <f>AO197</f>
        <v>0</v>
      </c>
      <c r="AP198" s="2152">
        <f>IFERROR(AQ198/AH198*10,0)</f>
        <v>0</v>
      </c>
      <c r="AQ198" s="2152">
        <f>SUM(AJ198,AL198,AN198,AO198)</f>
        <v>0</v>
      </c>
      <c r="AR198" s="2152">
        <v>0</v>
      </c>
      <c r="AS198" s="2152">
        <f>IFERROR(AT198/AR198*10,0)</f>
        <v>0</v>
      </c>
      <c r="AT198" s="2152">
        <v>0</v>
      </c>
      <c r="AU198" s="2152">
        <f>IFERROR(AV198/AR198*10,0)</f>
        <v>0</v>
      </c>
      <c r="AV198" s="2152">
        <v>0</v>
      </c>
      <c r="AW198" s="2152">
        <f>IFERROR(AX198/AR198*10,0)</f>
        <v>0</v>
      </c>
      <c r="AX198" s="2152">
        <v>0</v>
      </c>
      <c r="AY198" s="2152"/>
      <c r="AZ198" s="2152">
        <f>IFERROR(BA198/AR198*10,0)</f>
        <v>0</v>
      </c>
      <c r="BA198" s="2152">
        <f>SUM(AT198,AV198,AX198,AY198)</f>
        <v>0</v>
      </c>
      <c r="BB198" s="2152">
        <v>0</v>
      </c>
      <c r="BC198" s="2152">
        <f>IFERROR(BD198/BB198*10,0)</f>
        <v>0</v>
      </c>
      <c r="BD198" s="2152">
        <v>0</v>
      </c>
      <c r="BE198" s="2152">
        <f>IFERROR(BF198/BB198*10,0)</f>
        <v>0</v>
      </c>
      <c r="BF198" s="2152">
        <v>0</v>
      </c>
      <c r="BG198" s="2152">
        <f>IFERROR(BH198/BB198*10,0)</f>
        <v>0</v>
      </c>
      <c r="BH198" s="2152">
        <v>0</v>
      </c>
      <c r="BI198" s="2152"/>
      <c r="BJ198" s="2152">
        <f>IFERROR(BK198/BB198*10,0)</f>
        <v>0</v>
      </c>
      <c r="BK198" s="2152">
        <f>SUM(BD198,BF198,BH198,BI198)</f>
        <v>0</v>
      </c>
      <c r="BL198" s="2152">
        <v>0</v>
      </c>
      <c r="BM198" s="2152">
        <f>IFERROR(BN198/BL198*10,0)</f>
        <v>0</v>
      </c>
      <c r="BN198" s="2152">
        <v>0</v>
      </c>
      <c r="BO198" s="2152">
        <f>IFERROR(BP198/BL198*10,0)</f>
        <v>0</v>
      </c>
      <c r="BP198" s="2152">
        <v>0</v>
      </c>
      <c r="BQ198" s="2152">
        <f>IFERROR(BR198/BL198*10,0)</f>
        <v>0</v>
      </c>
      <c r="BR198" s="2152">
        <v>0</v>
      </c>
      <c r="BS198" s="2152"/>
      <c r="BT198" s="2152">
        <f>IFERROR(BU198/BL198*10,0)</f>
        <v>0</v>
      </c>
      <c r="BU198" s="2152">
        <f>SUM(BN198,BP198,BR198,BS198)</f>
        <v>0</v>
      </c>
      <c r="BV198" s="2152">
        <v>0</v>
      </c>
      <c r="BW198" s="2152">
        <f>IFERROR(BX198/BV198*10,0)</f>
        <v>0</v>
      </c>
      <c r="BX198" s="2152">
        <v>0</v>
      </c>
      <c r="BY198" s="2152">
        <f>IFERROR(BZ198/BV198*10,0)</f>
        <v>0</v>
      </c>
      <c r="BZ198" s="2152">
        <v>0</v>
      </c>
      <c r="CA198" s="2152">
        <f>IFERROR(CB198/BV198*10,0)</f>
        <v>0</v>
      </c>
      <c r="CB198" s="2152">
        <v>0</v>
      </c>
      <c r="CC198" s="2152"/>
      <c r="CD198" s="2152">
        <f>IFERROR(CE198/BV198*10,0)</f>
        <v>0</v>
      </c>
      <c r="CE198" s="2152">
        <f>SUM(BX198,BZ198,CB198,CC198)</f>
        <v>0</v>
      </c>
      <c r="CF198" s="2152">
        <v>0</v>
      </c>
      <c r="CG198" s="2152">
        <f>IFERROR(CH198/CF198*10,0)</f>
        <v>0</v>
      </c>
      <c r="CH198" s="2152">
        <v>0</v>
      </c>
      <c r="CI198" s="2152">
        <f>IFERROR(CJ198/CF198*10,0)</f>
        <v>0</v>
      </c>
      <c r="CJ198" s="2152">
        <v>0</v>
      </c>
      <c r="CK198" s="2152">
        <f>IFERROR(CL198/CF198*10,0)</f>
        <v>0</v>
      </c>
      <c r="CL198" s="2152">
        <v>0</v>
      </c>
      <c r="CM198" s="2152"/>
      <c r="CN198" s="2152">
        <f>IFERROR(CO198/CF198*10,0)</f>
        <v>0</v>
      </c>
      <c r="CO198" s="2152">
        <f>SUM(CH198,CJ198,CL198,CM198)</f>
        <v>0</v>
      </c>
      <c r="CP198" s="2152">
        <v>0</v>
      </c>
      <c r="CQ198" s="2152">
        <f>IFERROR(CR198/CP198*10,0)</f>
        <v>0</v>
      </c>
      <c r="CR198" s="2152">
        <v>0</v>
      </c>
      <c r="CS198" s="2152">
        <f>IFERROR(CT198/CP198*10,0)</f>
        <v>0</v>
      </c>
      <c r="CT198" s="2152">
        <v>0</v>
      </c>
      <c r="CU198" s="2152">
        <f>IFERROR(CV198/CP198*10,0)</f>
        <v>0</v>
      </c>
      <c r="CV198" s="2152">
        <v>0</v>
      </c>
      <c r="CW198" s="2170"/>
      <c r="CX198" s="2152">
        <f>IFERROR(CY198/CP198*10,0)</f>
        <v>0</v>
      </c>
      <c r="CY198" s="2152">
        <f>SUM(CR198,CT198,CV198,CW198)</f>
        <v>0</v>
      </c>
      <c r="CZ198" s="2106">
        <v>12.462</v>
      </c>
      <c r="DA198" s="2106">
        <f t="shared" si="356"/>
        <v>0</v>
      </c>
      <c r="DB198" s="2106">
        <v>0</v>
      </c>
      <c r="DC198" s="2106">
        <v>6.3775304619200988</v>
      </c>
      <c r="DD198" s="2109">
        <f t="shared" si="302"/>
        <v>7.9476784616448271</v>
      </c>
      <c r="DE198" s="2152"/>
      <c r="DF198" s="2152"/>
      <c r="DG198" s="2170"/>
      <c r="DH198" s="2152">
        <f>IFERROR(DI198/CZ198*10,0)</f>
        <v>6.3775304619200988</v>
      </c>
      <c r="DI198" s="2152">
        <f>SUM(DB198,DD198,DF198,DG198)</f>
        <v>7.9476784616448271</v>
      </c>
      <c r="DJ198" s="2106">
        <v>11.256</v>
      </c>
      <c r="DK198" s="2106">
        <f t="shared" si="357"/>
        <v>0</v>
      </c>
      <c r="DL198" s="2106">
        <v>0</v>
      </c>
      <c r="DM198" s="2106">
        <v>6.3775304619200988</v>
      </c>
      <c r="DN198" s="2109">
        <f t="shared" si="303"/>
        <v>7.1785482879372635</v>
      </c>
      <c r="DO198" s="2152"/>
      <c r="DP198" s="2152"/>
      <c r="DQ198" s="2170"/>
      <c r="DR198" s="2152">
        <f>IFERROR(DS198/DJ198*10,0)</f>
        <v>6.3775304619200988</v>
      </c>
      <c r="DS198" s="2152">
        <f>SUM(DL198,DN198,DP198,DQ198)</f>
        <v>7.1785482879372635</v>
      </c>
      <c r="DT198" s="2106">
        <v>12.462</v>
      </c>
      <c r="DU198" s="2106">
        <f t="shared" si="358"/>
        <v>0</v>
      </c>
      <c r="DV198" s="2106">
        <v>0</v>
      </c>
      <c r="DW198" s="2106">
        <v>6.3775304619200988</v>
      </c>
      <c r="DX198" s="2109">
        <f t="shared" si="304"/>
        <v>7.9476784616448271</v>
      </c>
      <c r="DY198" s="2152"/>
      <c r="DZ198" s="2152"/>
      <c r="EA198" s="2152"/>
      <c r="EB198" s="2152">
        <f>IFERROR(EC198/DT198*10,0)</f>
        <v>6.3775304619200988</v>
      </c>
      <c r="EC198" s="2152">
        <f>SUM(DV198,DX198,DZ198,EA198)</f>
        <v>7.9476784616448271</v>
      </c>
      <c r="ED198" s="2152">
        <f>SUM(N198,X198,AH198,AR198,BB198,BL198,BV198,CF198,CP198,CZ198,DJ198,DT198)</f>
        <v>36.18</v>
      </c>
      <c r="EE198" s="2162"/>
      <c r="EF198" s="2152">
        <f>IFERROR(EG198/ED198*10,0)</f>
        <v>0</v>
      </c>
      <c r="EG198" s="2152">
        <f>SUM(P198,Z198,AJ198,AT198,BD198,BN198,BX198,CH198,CR198,DB198,DL198,DV198)</f>
        <v>0</v>
      </c>
      <c r="EH198" s="2152">
        <f>IFERROR(EI198/ED198*10,0)</f>
        <v>6.3775304619200988</v>
      </c>
      <c r="EI198" s="2152">
        <f>SUM(R198,AB198,AL198,AV198,BF198,BP198,BZ198,CJ198,CT198,DD198,DN198,DX198)</f>
        <v>23.073905211226919</v>
      </c>
      <c r="EJ198" s="2152"/>
      <c r="EK198" s="2152">
        <f>SUM(T198,AD198,AN198,AX198,BH198,BR198,CB198,CL198,CV198,DF198,DP198,DZ198)</f>
        <v>0</v>
      </c>
      <c r="EL198" s="2152"/>
      <c r="EM198" s="2152"/>
      <c r="EN198" s="2152">
        <f>EG198+EI198+EK198</f>
        <v>23.073905211226919</v>
      </c>
      <c r="EO198" s="2157">
        <f>IFERROR(EN198/ED198*10,0)</f>
        <v>6.3775304619200988</v>
      </c>
      <c r="EP198" s="2163"/>
      <c r="ES198" s="2084">
        <f t="shared" si="355"/>
        <v>0</v>
      </c>
      <c r="EU198" s="2084">
        <f t="shared" si="359"/>
        <v>0</v>
      </c>
      <c r="EV198" s="2084">
        <f t="shared" si="360"/>
        <v>0</v>
      </c>
      <c r="EW198" s="2084" t="e">
        <f t="shared" si="361"/>
        <v>#DIV/0!</v>
      </c>
    </row>
    <row r="199" spans="1:153">
      <c r="A199" s="1760">
        <v>7</v>
      </c>
      <c r="B199" s="1592" t="s">
        <v>1803</v>
      </c>
      <c r="C199" s="1596"/>
      <c r="D199" s="1597"/>
      <c r="E199" s="1592"/>
      <c r="F199" s="2147">
        <v>0.5</v>
      </c>
      <c r="G199" s="2157"/>
      <c r="H199" s="2158" t="s">
        <v>1667</v>
      </c>
      <c r="I199" s="2159">
        <v>2</v>
      </c>
      <c r="J199" s="2157"/>
      <c r="K199" s="2160"/>
      <c r="L199" s="2160"/>
      <c r="M199" s="2161"/>
      <c r="N199" s="2152"/>
      <c r="O199" s="2152"/>
      <c r="P199" s="2152"/>
      <c r="Q199" s="2152"/>
      <c r="R199" s="2152"/>
      <c r="S199" s="2152"/>
      <c r="T199" s="2152"/>
      <c r="U199" s="2152"/>
      <c r="V199" s="2152"/>
      <c r="W199" s="2152"/>
      <c r="X199" s="2152"/>
      <c r="Y199" s="2152"/>
      <c r="Z199" s="2152"/>
      <c r="AA199" s="2152"/>
      <c r="AB199" s="2152"/>
      <c r="AC199" s="2152"/>
      <c r="AD199" s="2152"/>
      <c r="AE199" s="2152"/>
      <c r="AF199" s="2152"/>
      <c r="AG199" s="2152"/>
      <c r="AH199" s="2152"/>
      <c r="AI199" s="2152"/>
      <c r="AJ199" s="2152"/>
      <c r="AK199" s="2152"/>
      <c r="AL199" s="2152"/>
      <c r="AM199" s="2152"/>
      <c r="AN199" s="2152"/>
      <c r="AO199" s="2152"/>
      <c r="AP199" s="2152"/>
      <c r="AQ199" s="2152"/>
      <c r="AR199" s="2152"/>
      <c r="AS199" s="2152"/>
      <c r="AT199" s="2152"/>
      <c r="AU199" s="2152"/>
      <c r="AV199" s="2152"/>
      <c r="AW199" s="2152"/>
      <c r="AX199" s="2152"/>
      <c r="AY199" s="2152"/>
      <c r="AZ199" s="2152"/>
      <c r="BA199" s="2152"/>
      <c r="BB199" s="2152"/>
      <c r="BC199" s="2152"/>
      <c r="BD199" s="2152"/>
      <c r="BE199" s="2152"/>
      <c r="BF199" s="2152"/>
      <c r="BG199" s="2152"/>
      <c r="BH199" s="2152"/>
      <c r="BI199" s="2152"/>
      <c r="BJ199" s="2152"/>
      <c r="BK199" s="2152"/>
      <c r="BL199" s="2152"/>
      <c r="BM199" s="2152"/>
      <c r="BN199" s="2152"/>
      <c r="BO199" s="2152"/>
      <c r="BP199" s="2152"/>
      <c r="BQ199" s="2152"/>
      <c r="BR199" s="2152"/>
      <c r="BS199" s="2152"/>
      <c r="BT199" s="2152"/>
      <c r="BU199" s="2152"/>
      <c r="BV199" s="2152"/>
      <c r="BW199" s="2152"/>
      <c r="BX199" s="2152"/>
      <c r="BY199" s="2152"/>
      <c r="BZ199" s="2152"/>
      <c r="CA199" s="2152"/>
      <c r="CB199" s="2152"/>
      <c r="CC199" s="2152"/>
      <c r="CD199" s="2152"/>
      <c r="CE199" s="2152"/>
      <c r="CF199" s="2152"/>
      <c r="CG199" s="2152"/>
      <c r="CH199" s="2152"/>
      <c r="CI199" s="2152"/>
      <c r="CJ199" s="2152"/>
      <c r="CK199" s="2152"/>
      <c r="CL199" s="2152"/>
      <c r="CM199" s="2152"/>
      <c r="CN199" s="2152"/>
      <c r="CO199" s="2152"/>
      <c r="CP199" s="2152"/>
      <c r="CQ199" s="2152"/>
      <c r="CR199" s="2152"/>
      <c r="CS199" s="2152"/>
      <c r="CT199" s="2152"/>
      <c r="CU199" s="2152"/>
      <c r="CV199" s="2152"/>
      <c r="CW199" s="2170"/>
      <c r="CX199" s="2152"/>
      <c r="CY199" s="2152"/>
      <c r="CZ199" s="2106">
        <v>0</v>
      </c>
      <c r="DA199" s="2106">
        <f t="shared" si="356"/>
        <v>0</v>
      </c>
      <c r="DB199" s="2106">
        <v>0</v>
      </c>
      <c r="DC199" s="2106">
        <v>6.3775304619200988</v>
      </c>
      <c r="DD199" s="2109">
        <f t="shared" si="302"/>
        <v>0</v>
      </c>
      <c r="DE199" s="2152"/>
      <c r="DF199" s="2152"/>
      <c r="DG199" s="2170"/>
      <c r="DH199" s="2152"/>
      <c r="DI199" s="2152"/>
      <c r="DJ199" s="2106">
        <v>0</v>
      </c>
      <c r="DK199" s="2106">
        <f t="shared" si="357"/>
        <v>0</v>
      </c>
      <c r="DL199" s="2106">
        <v>0</v>
      </c>
      <c r="DM199" s="2106">
        <v>6.3775304619200988</v>
      </c>
      <c r="DN199" s="2109">
        <f t="shared" si="303"/>
        <v>0</v>
      </c>
      <c r="DO199" s="2152"/>
      <c r="DP199" s="2152"/>
      <c r="DQ199" s="2170"/>
      <c r="DR199" s="2152"/>
      <c r="DS199" s="2152"/>
      <c r="DT199" s="2106">
        <v>0</v>
      </c>
      <c r="DU199" s="2106">
        <f t="shared" si="358"/>
        <v>0</v>
      </c>
      <c r="DV199" s="2106">
        <v>0</v>
      </c>
      <c r="DW199" s="2106">
        <v>6.3775304619200988</v>
      </c>
      <c r="DX199" s="2109">
        <f t="shared" si="304"/>
        <v>0</v>
      </c>
      <c r="DY199" s="2152"/>
      <c r="DZ199" s="2152"/>
      <c r="EA199" s="2152"/>
      <c r="EB199" s="2152"/>
      <c r="EC199" s="2152"/>
      <c r="ED199" s="2152"/>
      <c r="EE199" s="2162"/>
      <c r="EF199" s="2152"/>
      <c r="EG199" s="2152"/>
      <c r="EH199" s="2152"/>
      <c r="EI199" s="2152"/>
      <c r="EJ199" s="2152"/>
      <c r="EK199" s="2152"/>
      <c r="EL199" s="2152"/>
      <c r="EM199" s="2152"/>
      <c r="EN199" s="2152"/>
      <c r="EO199" s="2163"/>
      <c r="EP199" s="2163"/>
      <c r="ES199" s="2084">
        <f t="shared" si="355"/>
        <v>0</v>
      </c>
      <c r="EU199" s="2084">
        <f t="shared" si="359"/>
        <v>0</v>
      </c>
      <c r="EV199" s="2084">
        <f t="shared" si="360"/>
        <v>0</v>
      </c>
      <c r="EW199" s="2084" t="e">
        <f t="shared" si="361"/>
        <v>#DIV/0!</v>
      </c>
    </row>
    <row r="200" spans="1:153" ht="29.25" customHeight="1">
      <c r="A200" s="1760">
        <v>8</v>
      </c>
      <c r="B200" s="1592" t="s">
        <v>2063</v>
      </c>
      <c r="C200" s="2166">
        <f>SUM(C193:C199)</f>
        <v>0</v>
      </c>
      <c r="D200" s="2167"/>
      <c r="E200" s="2152"/>
      <c r="F200" s="2147">
        <v>0.75</v>
      </c>
      <c r="G200" s="2157"/>
      <c r="H200" s="2158" t="s">
        <v>1667</v>
      </c>
      <c r="I200" s="2159">
        <v>2</v>
      </c>
      <c r="J200" s="2157"/>
      <c r="K200" s="2160"/>
      <c r="L200" s="2160"/>
      <c r="M200" s="2161"/>
      <c r="N200" s="2152"/>
      <c r="O200" s="2152"/>
      <c r="P200" s="2152"/>
      <c r="Q200" s="2152"/>
      <c r="R200" s="2152"/>
      <c r="S200" s="2152"/>
      <c r="T200" s="2152"/>
      <c r="U200" s="2152"/>
      <c r="V200" s="2152"/>
      <c r="W200" s="2152"/>
      <c r="X200" s="2152"/>
      <c r="Y200" s="2152"/>
      <c r="Z200" s="2152"/>
      <c r="AA200" s="2152"/>
      <c r="AB200" s="2152"/>
      <c r="AC200" s="2152"/>
      <c r="AD200" s="2152"/>
      <c r="AE200" s="2152"/>
      <c r="AF200" s="2152"/>
      <c r="AG200" s="2152"/>
      <c r="AH200" s="2152"/>
      <c r="AI200" s="2152"/>
      <c r="AJ200" s="2152"/>
      <c r="AK200" s="2152"/>
      <c r="AL200" s="2152"/>
      <c r="AM200" s="2152"/>
      <c r="AN200" s="2152"/>
      <c r="AO200" s="2152"/>
      <c r="AP200" s="2152"/>
      <c r="AQ200" s="2152"/>
      <c r="AR200" s="2152"/>
      <c r="AS200" s="2152"/>
      <c r="AT200" s="2152"/>
      <c r="AU200" s="2152"/>
      <c r="AV200" s="2152"/>
      <c r="AW200" s="2152"/>
      <c r="AX200" s="2152"/>
      <c r="AY200" s="2152"/>
      <c r="AZ200" s="2152"/>
      <c r="BA200" s="2152"/>
      <c r="BB200" s="2152"/>
      <c r="BC200" s="2152"/>
      <c r="BD200" s="2152"/>
      <c r="BE200" s="2152"/>
      <c r="BF200" s="2152"/>
      <c r="BG200" s="2152"/>
      <c r="BH200" s="2152"/>
      <c r="BI200" s="2152"/>
      <c r="BJ200" s="2152"/>
      <c r="BK200" s="2152"/>
      <c r="BL200" s="2152"/>
      <c r="BM200" s="2152"/>
      <c r="BN200" s="2152"/>
      <c r="BO200" s="2152"/>
      <c r="BP200" s="2152"/>
      <c r="BQ200" s="2152"/>
      <c r="BR200" s="2152"/>
      <c r="BS200" s="2152"/>
      <c r="BT200" s="2152"/>
      <c r="BU200" s="2152"/>
      <c r="BV200" s="2152"/>
      <c r="BW200" s="2152"/>
      <c r="BX200" s="2152"/>
      <c r="BY200" s="2152"/>
      <c r="BZ200" s="2152"/>
      <c r="CA200" s="2152"/>
      <c r="CB200" s="2152"/>
      <c r="CC200" s="2152"/>
      <c r="CD200" s="2152"/>
      <c r="CE200" s="2152"/>
      <c r="CF200" s="2152"/>
      <c r="CG200" s="2152"/>
      <c r="CH200" s="2152"/>
      <c r="CI200" s="2152"/>
      <c r="CJ200" s="2152"/>
      <c r="CK200" s="2152"/>
      <c r="CL200" s="2152"/>
      <c r="CM200" s="2152"/>
      <c r="CN200" s="2152"/>
      <c r="CO200" s="2152"/>
      <c r="CP200" s="2152"/>
      <c r="CQ200" s="2152"/>
      <c r="CR200" s="2152"/>
      <c r="CS200" s="2152"/>
      <c r="CT200" s="2152"/>
      <c r="CU200" s="2152"/>
      <c r="CV200" s="2152"/>
      <c r="CW200" s="2170"/>
      <c r="CX200" s="2152"/>
      <c r="CY200" s="2152"/>
      <c r="CZ200" s="2106">
        <v>16.460999999999999</v>
      </c>
      <c r="DA200" s="2106">
        <f t="shared" si="356"/>
        <v>0</v>
      </c>
      <c r="DB200" s="2106">
        <v>0</v>
      </c>
      <c r="DC200" s="2106">
        <v>7.48</v>
      </c>
      <c r="DD200" s="2109">
        <f t="shared" ref="DD200:DD215" si="422">DC200*CZ200/10</f>
        <v>12.312828</v>
      </c>
      <c r="DE200" s="2152"/>
      <c r="DF200" s="2152"/>
      <c r="DG200" s="2170"/>
      <c r="DH200" s="2152"/>
      <c r="DI200" s="2152"/>
      <c r="DJ200" s="2106">
        <v>14.868</v>
      </c>
      <c r="DK200" s="2106">
        <f t="shared" si="357"/>
        <v>0</v>
      </c>
      <c r="DL200" s="2106">
        <v>0</v>
      </c>
      <c r="DM200" s="2106">
        <v>7.48</v>
      </c>
      <c r="DN200" s="2109">
        <f t="shared" ref="DN200:DN215" si="423">DM200*DJ200/10</f>
        <v>11.121264</v>
      </c>
      <c r="DO200" s="2152"/>
      <c r="DP200" s="2152"/>
      <c r="DQ200" s="2170"/>
      <c r="DR200" s="2152"/>
      <c r="DS200" s="2152"/>
      <c r="DT200" s="2106">
        <v>16.460999999999999</v>
      </c>
      <c r="DU200" s="2106">
        <f t="shared" si="358"/>
        <v>0</v>
      </c>
      <c r="DV200" s="2106">
        <v>0</v>
      </c>
      <c r="DW200" s="2106">
        <v>7.48</v>
      </c>
      <c r="DX200" s="2109">
        <f t="shared" ref="DX200:DX215" si="424">DW200*DT200/10</f>
        <v>12.312828</v>
      </c>
      <c r="DY200" s="2152"/>
      <c r="DZ200" s="2152"/>
      <c r="EA200" s="2152"/>
      <c r="EB200" s="2152"/>
      <c r="EC200" s="2152"/>
      <c r="ED200" s="2152">
        <f>SUM(N200,X200,AH200,AR200,BB200,BL200,BV200,CF200,CP200,CZ200,DJ200,DT200)</f>
        <v>47.79</v>
      </c>
      <c r="EE200" s="2162"/>
      <c r="EF200" s="2152">
        <f>IFERROR(EG200/ED200*10,0)</f>
        <v>0</v>
      </c>
      <c r="EG200" s="2152">
        <f>SUM(P200,Z200,AJ200,AT200,BD200,BN200,BX200,CH200,CR200,DB200,DL200,DV200)</f>
        <v>0</v>
      </c>
      <c r="EH200" s="2152">
        <f>IFERROR(EI200/ED200*10,0)</f>
        <v>7.4800000000000013</v>
      </c>
      <c r="EI200" s="2152">
        <f>SUM(R200,AB200,AL200,AV200,BF200,BP200,BZ200,CJ200,CT200,DD200,DN200,DX200)</f>
        <v>35.746920000000003</v>
      </c>
      <c r="EJ200" s="2152"/>
      <c r="EK200" s="2152">
        <f>SUM(T200,AD200,AN200,AX200,BH200,BR200,CB200,CL200,CV200,DF200,DP200,DZ200)</f>
        <v>0</v>
      </c>
      <c r="EL200" s="2152"/>
      <c r="EM200" s="2152"/>
      <c r="EN200" s="2152">
        <f>EG200+EI200+EK200</f>
        <v>35.746920000000003</v>
      </c>
      <c r="EO200" s="2157">
        <f>IFERROR(EN200/ED200*10,0)</f>
        <v>7.4800000000000013</v>
      </c>
      <c r="EP200" s="2163"/>
      <c r="ES200" s="2084">
        <f t="shared" si="355"/>
        <v>0</v>
      </c>
      <c r="EU200" s="2084">
        <f t="shared" si="359"/>
        <v>0</v>
      </c>
      <c r="EV200" s="2084">
        <f t="shared" si="360"/>
        <v>0</v>
      </c>
      <c r="EW200" s="2084" t="e">
        <f t="shared" si="361"/>
        <v>#DIV/0!</v>
      </c>
    </row>
    <row r="201" spans="1:153">
      <c r="A201" s="1783"/>
      <c r="B201" s="1595" t="s">
        <v>1805</v>
      </c>
      <c r="C201" s="1596"/>
      <c r="D201" s="1597"/>
      <c r="E201" s="1592"/>
      <c r="F201" s="1597"/>
      <c r="G201" s="1595">
        <f>SUM(G194:G200)</f>
        <v>0</v>
      </c>
      <c r="H201" s="2175"/>
      <c r="I201" s="2160"/>
      <c r="J201" s="2162"/>
      <c r="K201" s="2160"/>
      <c r="L201" s="2160"/>
      <c r="M201" s="2161"/>
      <c r="N201" s="2162">
        <f>SUM(N194:N200)</f>
        <v>105.31925500000003</v>
      </c>
      <c r="O201" s="2152">
        <f>IFERROR(P201/N201*10,0)</f>
        <v>0</v>
      </c>
      <c r="P201" s="2162">
        <f>SUM(P194:P200)</f>
        <v>0</v>
      </c>
      <c r="Q201" s="2152">
        <f>IFERROR(R201/N201*10,0)</f>
        <v>3.0338879015997593</v>
      </c>
      <c r="R201" s="2162">
        <f>SUM(R194:R200)</f>
        <v>31.952681355000003</v>
      </c>
      <c r="S201" s="2152">
        <f>IFERROR(T201/N201*10,0)</f>
        <v>0</v>
      </c>
      <c r="T201" s="2162">
        <f>SUM(T194:T200)</f>
        <v>0</v>
      </c>
      <c r="U201" s="2152"/>
      <c r="V201" s="2152">
        <f>IFERROR(W201/N201*10,0)</f>
        <v>3.0338879015997593</v>
      </c>
      <c r="W201" s="2152">
        <f>SUM(P201,R201,T201,U201)</f>
        <v>31.952681355000003</v>
      </c>
      <c r="X201" s="2162">
        <f>SUM(X194:X200)</f>
        <v>206.87916299999998</v>
      </c>
      <c r="Y201" s="2152">
        <f>IFERROR(Z201/X201*10,0)</f>
        <v>0</v>
      </c>
      <c r="Z201" s="2162">
        <f>SUM(Z194:Z200)</f>
        <v>0</v>
      </c>
      <c r="AA201" s="2152">
        <f>IFERROR(AB201/X201*10,0)</f>
        <v>3.0052589361549185</v>
      </c>
      <c r="AB201" s="2162">
        <f>SUM(AB194:AB200)</f>
        <v>62.172545330999995</v>
      </c>
      <c r="AC201" s="2152">
        <f>IFERROR(AD201/X201*10,0)</f>
        <v>0</v>
      </c>
      <c r="AD201" s="2162">
        <f>SUM(AD194:AD200)</f>
        <v>0</v>
      </c>
      <c r="AE201" s="2152"/>
      <c r="AF201" s="2152">
        <f>IFERROR(AG201/X201*10,0)</f>
        <v>3.0052589361549185</v>
      </c>
      <c r="AG201" s="2152">
        <f>SUM(Z201,AB201,AD201,AE201)</f>
        <v>62.172545330999995</v>
      </c>
      <c r="AH201" s="2162">
        <f>SUM(AH194:AH200)</f>
        <v>271.44892600000003</v>
      </c>
      <c r="AI201" s="2152">
        <f>IFERROR(AJ201/AH201*10,0)</f>
        <v>0</v>
      </c>
      <c r="AJ201" s="2162">
        <f>SUM(AJ194:AJ200)</f>
        <v>0</v>
      </c>
      <c r="AK201" s="2152">
        <f>IFERROR(AL201/AH201*10,0)</f>
        <v>2.89547697455248</v>
      </c>
      <c r="AL201" s="2162">
        <f>SUM(AL194:AL200)</f>
        <v>78.597411500000007</v>
      </c>
      <c r="AM201" s="2152">
        <f>IFERROR(AN201/AH201*10,0)</f>
        <v>0</v>
      </c>
      <c r="AN201" s="2162">
        <f>SUM(AN194:AN200)</f>
        <v>0</v>
      </c>
      <c r="AO201" s="2152">
        <f>AO200</f>
        <v>0</v>
      </c>
      <c r="AP201" s="2152">
        <f>IFERROR(AQ201/AH201*10,0)</f>
        <v>2.89547697455248</v>
      </c>
      <c r="AQ201" s="2152">
        <f>SUM(AJ201,AL201,AN201,AO201)</f>
        <v>78.597411500000007</v>
      </c>
      <c r="AR201" s="2162">
        <f>SUM(AR194:AR200)</f>
        <v>351.63465399999995</v>
      </c>
      <c r="AS201" s="2152">
        <f>IFERROR(AT201/AR201*10,0)</f>
        <v>0</v>
      </c>
      <c r="AT201" s="2162">
        <f>SUM(AT194:AT200)</f>
        <v>0</v>
      </c>
      <c r="AU201" s="2152">
        <f>IFERROR(AV201/AR201*10,0)</f>
        <v>2.9766499291051107</v>
      </c>
      <c r="AV201" s="2162">
        <f>SUM(AV194:AV200)</f>
        <v>104.66932679</v>
      </c>
      <c r="AW201" s="2152">
        <f>IFERROR(AX201/AR201*10,0)</f>
        <v>0</v>
      </c>
      <c r="AX201" s="2162">
        <f>SUM(AX194:AX200)</f>
        <v>0</v>
      </c>
      <c r="AY201" s="2152"/>
      <c r="AZ201" s="2152">
        <f>IFERROR(BA201/AR201*10,0)</f>
        <v>2.9766499291051107</v>
      </c>
      <c r="BA201" s="2152">
        <f>SUM(AT201,AV201,AX201,AY201)</f>
        <v>104.66932679</v>
      </c>
      <c r="BB201" s="2162">
        <f>SUM(BB194:BB200)</f>
        <v>300.40445400000004</v>
      </c>
      <c r="BC201" s="2152">
        <f>IFERROR(BD201/BB201*10,0)</f>
        <v>0</v>
      </c>
      <c r="BD201" s="2162">
        <f>SUM(BD194:BD200)</f>
        <v>0</v>
      </c>
      <c r="BE201" s="2152">
        <f>IFERROR(BF201/BB201*10,0)</f>
        <v>2.9932611551758144</v>
      </c>
      <c r="BF201" s="2162">
        <f>SUM(BF194:BF200)</f>
        <v>89.918898299999995</v>
      </c>
      <c r="BG201" s="2152">
        <f>IFERROR(BH201/BB201*10,0)</f>
        <v>0</v>
      </c>
      <c r="BH201" s="2162">
        <f>SUM(BH194:BH200)</f>
        <v>0</v>
      </c>
      <c r="BI201" s="2152"/>
      <c r="BJ201" s="2152">
        <f>IFERROR(BK201/BB201*10,0)</f>
        <v>2.9932611551758144</v>
      </c>
      <c r="BK201" s="2152">
        <f>SUM(BD201,BF201,BH201,BI201)</f>
        <v>89.918898299999995</v>
      </c>
      <c r="BL201" s="2162">
        <f>SUM(BL194:BL200)</f>
        <v>238.973975</v>
      </c>
      <c r="BM201" s="2152">
        <f>IFERROR(BN201/BL201*10,0)</f>
        <v>0</v>
      </c>
      <c r="BN201" s="2162">
        <f>SUM(BN194:BN200)</f>
        <v>0</v>
      </c>
      <c r="BO201" s="2152">
        <f>IFERROR(BP201/BL201*10,0)</f>
        <v>2.917068392070727</v>
      </c>
      <c r="BP201" s="2162">
        <f>SUM(BP194:BP200)</f>
        <v>69.710342900000001</v>
      </c>
      <c r="BQ201" s="2152">
        <f>IFERROR(BR201/BL201*10,0)</f>
        <v>0</v>
      </c>
      <c r="BR201" s="2162">
        <f>SUM(BR194:BR200)</f>
        <v>0</v>
      </c>
      <c r="BS201" s="2152"/>
      <c r="BT201" s="2152">
        <f>IFERROR(BU201/BL201*10,0)</f>
        <v>2.917068392070727</v>
      </c>
      <c r="BU201" s="2152">
        <f>SUM(BN201,BP201,BR201,BS201)</f>
        <v>69.710342900000001</v>
      </c>
      <c r="BV201" s="2162">
        <f>SUM(BV194:BV200)</f>
        <v>125.68054699999999</v>
      </c>
      <c r="BW201" s="2152">
        <f>IFERROR(BX201/BV201*10,0)</f>
        <v>0</v>
      </c>
      <c r="BX201" s="2162">
        <f>SUM(BX194:BX200)</f>
        <v>0</v>
      </c>
      <c r="BY201" s="2152">
        <f>IFERROR(BZ201/BV201*10,0)</f>
        <v>3.0388858587638072</v>
      </c>
      <c r="BZ201" s="2162">
        <f>SUM(BZ194:BZ200)</f>
        <v>38.192883700000003</v>
      </c>
      <c r="CA201" s="2152">
        <f>IFERROR(CB201/BV201*10,0)</f>
        <v>0</v>
      </c>
      <c r="CB201" s="2162">
        <f>SUM(CB194:CB200)</f>
        <v>0</v>
      </c>
      <c r="CC201" s="2152"/>
      <c r="CD201" s="2152">
        <f>IFERROR(CE201/BV201*10,0)</f>
        <v>3.0388858587638072</v>
      </c>
      <c r="CE201" s="2152">
        <f>SUM(BX201,BZ201,CB201,CC201)</f>
        <v>38.192883700000003</v>
      </c>
      <c r="CF201" s="2162">
        <f>SUM(CF194:CF200)</f>
        <v>52.792650000000002</v>
      </c>
      <c r="CG201" s="2152">
        <f>IFERROR(CH201/CF201*10,0)</f>
        <v>0</v>
      </c>
      <c r="CH201" s="2162">
        <f>SUM(CH194:CH200)</f>
        <v>0</v>
      </c>
      <c r="CI201" s="2152">
        <f>IFERROR(CJ201/CF201*10,0)</f>
        <v>3.5299999905289843</v>
      </c>
      <c r="CJ201" s="2162">
        <f>SUM(CJ194:CJ200)</f>
        <v>18.635805399999999</v>
      </c>
      <c r="CK201" s="2152">
        <f>IFERROR(CL201/CF201*10,0)</f>
        <v>2.277370050565751E-2</v>
      </c>
      <c r="CL201" s="2162">
        <f>SUM(CL194:CL200)</f>
        <v>0.1202284</v>
      </c>
      <c r="CM201" s="2152"/>
      <c r="CN201" s="2152">
        <f>IFERROR(CO201/CF201*10,0)</f>
        <v>3.5527736910346412</v>
      </c>
      <c r="CO201" s="2152">
        <f>SUM(CH201,CJ201,CL201,CM201)</f>
        <v>18.756033799999997</v>
      </c>
      <c r="CP201" s="2162">
        <f>SUM(CP194:CP200)</f>
        <v>128.65410200000002</v>
      </c>
      <c r="CQ201" s="2152">
        <f>IFERROR(CR201/CP201*10,0)</f>
        <v>0</v>
      </c>
      <c r="CR201" s="2162">
        <f>SUM(CR194:CR200)</f>
        <v>0</v>
      </c>
      <c r="CS201" s="2152">
        <f>IFERROR(CT201/CP201*10,0)</f>
        <v>3.1496560832549276</v>
      </c>
      <c r="CT201" s="2162">
        <f>SUM(CT194:CT200)</f>
        <v>40.521617499999998</v>
      </c>
      <c r="CU201" s="2152">
        <f>IFERROR(CV201/CP201*10,0)</f>
        <v>0</v>
      </c>
      <c r="CV201" s="2162">
        <f>SUM(CV194:CV200)</f>
        <v>0</v>
      </c>
      <c r="CW201" s="2152"/>
      <c r="CX201" s="2152">
        <f>IFERROR(CY201/CP201*10,0)</f>
        <v>3.1496560832549276</v>
      </c>
      <c r="CY201" s="2152">
        <f>SUM(CR201,CT201,CV201,CW201)</f>
        <v>40.521617499999998</v>
      </c>
      <c r="CZ201" s="2162">
        <f>SUM(CZ195:CZ200)</f>
        <v>298.49279999999999</v>
      </c>
      <c r="DA201" s="2152">
        <f t="shared" si="356"/>
        <v>0</v>
      </c>
      <c r="DB201" s="2162">
        <f>SUM(DB194:DB200)</f>
        <v>0</v>
      </c>
      <c r="DC201" s="2152">
        <f>IFERROR(DD201/CZ201*10,0)</f>
        <v>3.6817055129862637</v>
      </c>
      <c r="DD201" s="2162">
        <f>SUM(DD195:DD200)</f>
        <v>109.89625873467061</v>
      </c>
      <c r="DE201" s="2152">
        <f>IFERROR(DF201/CZ201*10,0)</f>
        <v>0</v>
      </c>
      <c r="DF201" s="2162">
        <f>SUM(DF194:DF200)</f>
        <v>0</v>
      </c>
      <c r="DG201" s="2152"/>
      <c r="DH201" s="2152">
        <f>IFERROR(DI201/CZ201*10,0)</f>
        <v>3.6817055129862637</v>
      </c>
      <c r="DI201" s="2152">
        <f>SUM(DB201,DD201,DF201,DG201)</f>
        <v>109.89625873467061</v>
      </c>
      <c r="DJ201" s="2162">
        <f>SUM(DJ195:DJ200)</f>
        <v>269.60640000000001</v>
      </c>
      <c r="DK201" s="2152">
        <f t="shared" si="357"/>
        <v>0</v>
      </c>
      <c r="DL201" s="2162">
        <f>SUM(DL194:DL200)</f>
        <v>0</v>
      </c>
      <c r="DM201" s="2152">
        <f>IFERROR(DN201/DJ201*10,0)</f>
        <v>3.6817055129862633</v>
      </c>
      <c r="DN201" s="2162">
        <f>SUM(DN195:DN200)</f>
        <v>99.26113692163797</v>
      </c>
      <c r="DO201" s="2152">
        <f>IFERROR(DP201/DJ201*10,0)</f>
        <v>0</v>
      </c>
      <c r="DP201" s="2162">
        <f>SUM(DP194:DP200)</f>
        <v>0</v>
      </c>
      <c r="DQ201" s="2152"/>
      <c r="DR201" s="2152">
        <f>IFERROR(DS201/DJ201*10,0)</f>
        <v>3.6817055129862633</v>
      </c>
      <c r="DS201" s="2152">
        <f>SUM(DL201,DN201,DP201,DQ201)</f>
        <v>99.26113692163797</v>
      </c>
      <c r="DT201" s="2162">
        <f>SUM(DT195:DT200)</f>
        <v>298.49279999999999</v>
      </c>
      <c r="DU201" s="2152">
        <f t="shared" si="358"/>
        <v>0</v>
      </c>
      <c r="DV201" s="2162">
        <f>SUM(DV194:DV200)</f>
        <v>0</v>
      </c>
      <c r="DW201" s="2152">
        <f>IFERROR(DX201/DT201*10,0)</f>
        <v>3.6817055129862637</v>
      </c>
      <c r="DX201" s="2162">
        <f>SUM(DX195:DX200)</f>
        <v>109.89625873467061</v>
      </c>
      <c r="DY201" s="2152">
        <f>IFERROR(DZ201/DT201*10,0)</f>
        <v>0</v>
      </c>
      <c r="DZ201" s="2162">
        <f>SUM(DZ194:DZ200)</f>
        <v>0</v>
      </c>
      <c r="EA201" s="2152"/>
      <c r="EB201" s="2152">
        <f>IFERROR(EC201/DT201*10,0)</f>
        <v>3.6817055129862637</v>
      </c>
      <c r="EC201" s="2152">
        <f>SUM(DV201,DX201,DZ201,EA201)</f>
        <v>109.89625873467061</v>
      </c>
      <c r="ED201" s="2162">
        <f>SUM(ED195:ED200)</f>
        <v>2648.3797259999997</v>
      </c>
      <c r="EE201" s="2162"/>
      <c r="EF201" s="2162"/>
      <c r="EG201" s="2152">
        <f>SUM(EG195:EG200)</f>
        <v>0</v>
      </c>
      <c r="EH201" s="2162"/>
      <c r="EI201" s="2162">
        <f>SUM(EI195:EI200)</f>
        <v>853.42516716697924</v>
      </c>
      <c r="EJ201" s="2162"/>
      <c r="EK201" s="2152">
        <f>SUM(EK195:EK200)</f>
        <v>0.1202284</v>
      </c>
      <c r="EL201" s="2162"/>
      <c r="EM201" s="2162"/>
      <c r="EN201" s="2162">
        <f>SUM(EG201,EI201,EK201,EL201)</f>
        <v>853.54539556697921</v>
      </c>
      <c r="EO201" s="2157">
        <f>IFERROR(EN201/ED201*10,0)</f>
        <v>3.2228965778111358</v>
      </c>
      <c r="EP201" s="2163"/>
      <c r="ES201" s="2084">
        <f t="shared" si="355"/>
        <v>0</v>
      </c>
      <c r="EU201" s="2084">
        <f t="shared" si="359"/>
        <v>534.37151277599992</v>
      </c>
      <c r="EV201" s="2084">
        <f t="shared" si="360"/>
        <v>1781.7877259999998</v>
      </c>
      <c r="EW201" s="2084">
        <f t="shared" si="361"/>
        <v>2.9990750580352801</v>
      </c>
    </row>
    <row r="202" spans="1:153">
      <c r="A202" s="1783"/>
      <c r="B202" s="1595"/>
      <c r="C202" s="1596"/>
      <c r="D202" s="1597"/>
      <c r="E202" s="1592"/>
      <c r="F202" s="1597"/>
      <c r="G202" s="1595"/>
      <c r="H202" s="2175"/>
      <c r="I202" s="2160"/>
      <c r="J202" s="2162"/>
      <c r="K202" s="2160"/>
      <c r="L202" s="2160"/>
      <c r="M202" s="2161"/>
      <c r="N202" s="2162"/>
      <c r="O202" s="2152"/>
      <c r="P202" s="2162"/>
      <c r="Q202" s="2152"/>
      <c r="R202" s="2162"/>
      <c r="S202" s="2152"/>
      <c r="T202" s="2162"/>
      <c r="U202" s="2152"/>
      <c r="V202" s="2152"/>
      <c r="W202" s="2152"/>
      <c r="X202" s="2162"/>
      <c r="Y202" s="2152"/>
      <c r="Z202" s="2162"/>
      <c r="AA202" s="2152"/>
      <c r="AB202" s="2162"/>
      <c r="AC202" s="2152"/>
      <c r="AD202" s="2162"/>
      <c r="AE202" s="2152"/>
      <c r="AF202" s="2152"/>
      <c r="AG202" s="2152"/>
      <c r="AH202" s="2162"/>
      <c r="AI202" s="2152"/>
      <c r="AJ202" s="2162"/>
      <c r="AK202" s="2152"/>
      <c r="AL202" s="2162"/>
      <c r="AM202" s="2152"/>
      <c r="AN202" s="2162"/>
      <c r="AO202" s="2152"/>
      <c r="AP202" s="2152"/>
      <c r="AQ202" s="2152"/>
      <c r="AR202" s="2162"/>
      <c r="AS202" s="2152"/>
      <c r="AT202" s="2162"/>
      <c r="AU202" s="2152"/>
      <c r="AV202" s="2162"/>
      <c r="AW202" s="2152"/>
      <c r="AX202" s="2162"/>
      <c r="AY202" s="2152"/>
      <c r="AZ202" s="2152"/>
      <c r="BA202" s="2152"/>
      <c r="BB202" s="2162"/>
      <c r="BC202" s="2152"/>
      <c r="BD202" s="2162"/>
      <c r="BE202" s="2152"/>
      <c r="BF202" s="2162"/>
      <c r="BG202" s="2152"/>
      <c r="BH202" s="2162"/>
      <c r="BI202" s="2152"/>
      <c r="BJ202" s="2152"/>
      <c r="BK202" s="2152"/>
      <c r="BL202" s="2162"/>
      <c r="BM202" s="2152"/>
      <c r="BN202" s="2162"/>
      <c r="BO202" s="2152"/>
      <c r="BP202" s="2162"/>
      <c r="BQ202" s="2152"/>
      <c r="BR202" s="2162"/>
      <c r="BS202" s="2152"/>
      <c r="BT202" s="2152"/>
      <c r="BU202" s="2152"/>
      <c r="BV202" s="2162"/>
      <c r="BW202" s="2152"/>
      <c r="BX202" s="2162"/>
      <c r="BY202" s="2152"/>
      <c r="BZ202" s="2162"/>
      <c r="CA202" s="2152"/>
      <c r="CB202" s="2162"/>
      <c r="CC202" s="2152"/>
      <c r="CD202" s="2152"/>
      <c r="CE202" s="2152"/>
      <c r="CF202" s="2162"/>
      <c r="CG202" s="2152"/>
      <c r="CH202" s="2162"/>
      <c r="CI202" s="2152"/>
      <c r="CJ202" s="2162"/>
      <c r="CK202" s="2152"/>
      <c r="CL202" s="2162"/>
      <c r="CM202" s="2152"/>
      <c r="CN202" s="2152"/>
      <c r="CO202" s="2152"/>
      <c r="CP202" s="2162"/>
      <c r="CQ202" s="2152"/>
      <c r="CR202" s="2162"/>
      <c r="CS202" s="2152"/>
      <c r="CT202" s="2162"/>
      <c r="CU202" s="2152"/>
      <c r="CV202" s="2162"/>
      <c r="CW202" s="2152"/>
      <c r="CX202" s="2152"/>
      <c r="CY202" s="2152"/>
      <c r="CZ202" s="2162"/>
      <c r="DA202" s="2152"/>
      <c r="DB202" s="2162"/>
      <c r="DC202" s="2152"/>
      <c r="DD202" s="2162"/>
      <c r="DE202" s="2152"/>
      <c r="DF202" s="2162"/>
      <c r="DG202" s="2152"/>
      <c r="DH202" s="2152"/>
      <c r="DI202" s="2152"/>
      <c r="DJ202" s="2162"/>
      <c r="DK202" s="2152"/>
      <c r="DL202" s="2162"/>
      <c r="DM202" s="2152"/>
      <c r="DN202" s="2162"/>
      <c r="DO202" s="2152"/>
      <c r="DP202" s="2162"/>
      <c r="DQ202" s="2152"/>
      <c r="DR202" s="2152"/>
      <c r="DS202" s="2152"/>
      <c r="DT202" s="2162"/>
      <c r="DU202" s="2152"/>
      <c r="DV202" s="2162"/>
      <c r="DW202" s="2152"/>
      <c r="DX202" s="2162"/>
      <c r="DY202" s="2152"/>
      <c r="DZ202" s="2162"/>
      <c r="EA202" s="2152"/>
      <c r="EB202" s="2152"/>
      <c r="EC202" s="2152"/>
      <c r="ED202" s="2162"/>
      <c r="EE202" s="2162"/>
      <c r="EF202" s="2162"/>
      <c r="EG202" s="2152"/>
      <c r="EH202" s="2162"/>
      <c r="EI202" s="2162"/>
      <c r="EJ202" s="2162"/>
      <c r="EK202" s="2152"/>
      <c r="EL202" s="2162"/>
      <c r="EM202" s="2162"/>
      <c r="EN202" s="2162"/>
      <c r="EO202" s="2157"/>
      <c r="EP202" s="2163"/>
    </row>
    <row r="203" spans="1:153">
      <c r="A203" s="1783"/>
      <c r="B203" s="1595" t="s">
        <v>2064</v>
      </c>
      <c r="C203" s="1596"/>
      <c r="D203" s="1597"/>
      <c r="E203" s="1592"/>
      <c r="F203" s="1597"/>
      <c r="G203" s="1595"/>
      <c r="H203" s="2175"/>
      <c r="I203" s="2160"/>
      <c r="J203" s="2162"/>
      <c r="K203" s="2160"/>
      <c r="L203" s="2160"/>
      <c r="M203" s="2161"/>
      <c r="N203" s="2162"/>
      <c r="O203" s="2152"/>
      <c r="P203" s="2162"/>
      <c r="Q203" s="2152"/>
      <c r="R203" s="2162"/>
      <c r="S203" s="2152"/>
      <c r="T203" s="2162"/>
      <c r="U203" s="2152"/>
      <c r="V203" s="2152"/>
      <c r="W203" s="2152"/>
      <c r="X203" s="2162"/>
      <c r="Y203" s="2152"/>
      <c r="Z203" s="2162"/>
      <c r="AA203" s="2152"/>
      <c r="AB203" s="2162"/>
      <c r="AC203" s="2152"/>
      <c r="AD203" s="2162"/>
      <c r="AE203" s="2152"/>
      <c r="AF203" s="2152"/>
      <c r="AG203" s="2152"/>
      <c r="AH203" s="2162"/>
      <c r="AI203" s="2152"/>
      <c r="AJ203" s="2162"/>
      <c r="AK203" s="2152"/>
      <c r="AL203" s="2162"/>
      <c r="AM203" s="2152"/>
      <c r="AN203" s="2162"/>
      <c r="AO203" s="2152"/>
      <c r="AP203" s="2152"/>
      <c r="AQ203" s="2152"/>
      <c r="AR203" s="2162"/>
      <c r="AS203" s="2152"/>
      <c r="AT203" s="2162"/>
      <c r="AU203" s="2152"/>
      <c r="AV203" s="2162"/>
      <c r="AW203" s="2152"/>
      <c r="AX203" s="2162"/>
      <c r="AY203" s="2152"/>
      <c r="AZ203" s="2152"/>
      <c r="BA203" s="2152"/>
      <c r="BB203" s="2162"/>
      <c r="BC203" s="2152"/>
      <c r="BD203" s="2162"/>
      <c r="BE203" s="2152"/>
      <c r="BF203" s="2162"/>
      <c r="BG203" s="2152"/>
      <c r="BH203" s="2162"/>
      <c r="BI203" s="2152"/>
      <c r="BJ203" s="2152"/>
      <c r="BK203" s="2152"/>
      <c r="BL203" s="2162"/>
      <c r="BM203" s="2152"/>
      <c r="BN203" s="2162"/>
      <c r="BO203" s="2152"/>
      <c r="BP203" s="2162"/>
      <c r="BQ203" s="2152"/>
      <c r="BR203" s="2162"/>
      <c r="BS203" s="2152"/>
      <c r="BT203" s="2152"/>
      <c r="BU203" s="2152"/>
      <c r="BV203" s="2162"/>
      <c r="BW203" s="2152"/>
      <c r="BX203" s="2162"/>
      <c r="BY203" s="2152"/>
      <c r="BZ203" s="2162"/>
      <c r="CA203" s="2152"/>
      <c r="CB203" s="2162"/>
      <c r="CC203" s="2152"/>
      <c r="CD203" s="2152"/>
      <c r="CE203" s="2152"/>
      <c r="CF203" s="2162"/>
      <c r="CG203" s="2152"/>
      <c r="CH203" s="2162"/>
      <c r="CI203" s="2152"/>
      <c r="CJ203" s="2162"/>
      <c r="CK203" s="2152"/>
      <c r="CL203" s="2162"/>
      <c r="CM203" s="2152"/>
      <c r="CN203" s="2152"/>
      <c r="CO203" s="2152"/>
      <c r="CP203" s="2162"/>
      <c r="CQ203" s="2152"/>
      <c r="CR203" s="2162"/>
      <c r="CS203" s="2152"/>
      <c r="CT203" s="2162"/>
      <c r="CU203" s="2152"/>
      <c r="CV203" s="2162"/>
      <c r="CW203" s="2152"/>
      <c r="CX203" s="2152"/>
      <c r="CY203" s="2152"/>
      <c r="CZ203" s="2162"/>
      <c r="DA203" s="2152"/>
      <c r="DB203" s="2162"/>
      <c r="DC203" s="2152"/>
      <c r="DD203" s="2162"/>
      <c r="DE203" s="2152"/>
      <c r="DF203" s="2162"/>
      <c r="DG203" s="2152"/>
      <c r="DH203" s="2152"/>
      <c r="DI203" s="2152"/>
      <c r="DJ203" s="2162"/>
      <c r="DK203" s="2152"/>
      <c r="DL203" s="2162"/>
      <c r="DM203" s="2152"/>
      <c r="DN203" s="2162"/>
      <c r="DO203" s="2152"/>
      <c r="DP203" s="2162"/>
      <c r="DQ203" s="2152"/>
      <c r="DR203" s="2152"/>
      <c r="DS203" s="2152"/>
      <c r="DT203" s="2162"/>
      <c r="DU203" s="2152"/>
      <c r="DV203" s="2162"/>
      <c r="DW203" s="2152"/>
      <c r="DX203" s="2162"/>
      <c r="DY203" s="2152"/>
      <c r="DZ203" s="2162"/>
      <c r="EA203" s="2152"/>
      <c r="EB203" s="2152"/>
      <c r="EC203" s="2152"/>
      <c r="ED203" s="2162"/>
      <c r="EE203" s="2162"/>
      <c r="EF203" s="2162"/>
      <c r="EG203" s="2152"/>
      <c r="EH203" s="2162"/>
      <c r="EI203" s="2162"/>
      <c r="EJ203" s="2162"/>
      <c r="EK203" s="2152"/>
      <c r="EL203" s="2162"/>
      <c r="EM203" s="2162"/>
      <c r="EN203" s="2162"/>
      <c r="EO203" s="2157"/>
      <c r="EP203" s="2163"/>
    </row>
    <row r="204" spans="1:153">
      <c r="A204" s="1783">
        <v>1</v>
      </c>
      <c r="B204" s="1845" t="s">
        <v>2034</v>
      </c>
      <c r="C204" s="1596"/>
      <c r="D204" s="1597"/>
      <c r="E204" s="1592"/>
      <c r="F204" s="1597"/>
      <c r="G204" s="1595"/>
      <c r="H204" s="2175" t="s">
        <v>1649</v>
      </c>
      <c r="I204" s="2159">
        <v>2</v>
      </c>
      <c r="J204" s="2162"/>
      <c r="K204" s="2160"/>
      <c r="L204" s="2160"/>
      <c r="M204" s="2161"/>
      <c r="N204" s="2152">
        <v>0</v>
      </c>
      <c r="O204" s="2152">
        <f>IFERROR(P204/N204*10,0)</f>
        <v>0</v>
      </c>
      <c r="P204" s="2152">
        <v>0</v>
      </c>
      <c r="Q204" s="2152">
        <f>IFERROR(R204/N204*10,0)</f>
        <v>0</v>
      </c>
      <c r="R204" s="2152">
        <v>0</v>
      </c>
      <c r="S204" s="2152">
        <f>IFERROR(T204/N204*10,0)</f>
        <v>0</v>
      </c>
      <c r="T204" s="2152">
        <v>0</v>
      </c>
      <c r="U204" s="2152"/>
      <c r="V204" s="2152">
        <f>IFERROR(W204/N204*10,0)</f>
        <v>0</v>
      </c>
      <c r="W204" s="2152">
        <f>SUM(P204,R204,T204,U204)</f>
        <v>0</v>
      </c>
      <c r="X204" s="2152">
        <v>0</v>
      </c>
      <c r="Y204" s="2152">
        <f>IFERROR(Z204/X204*10,0)</f>
        <v>0</v>
      </c>
      <c r="Z204" s="2152">
        <v>0</v>
      </c>
      <c r="AA204" s="2152">
        <f>IFERROR(AB204/X204*10,0)</f>
        <v>0</v>
      </c>
      <c r="AB204" s="2152">
        <v>0</v>
      </c>
      <c r="AC204" s="2152">
        <f>IFERROR(AD204/X204*10,0)</f>
        <v>0</v>
      </c>
      <c r="AD204" s="2152">
        <v>0</v>
      </c>
      <c r="AE204" s="2152"/>
      <c r="AF204" s="2152">
        <f>IFERROR(AG204/X204*10,0)</f>
        <v>0</v>
      </c>
      <c r="AG204" s="2152">
        <f>SUM(Z204,AB204,AD204,AE204)</f>
        <v>0</v>
      </c>
      <c r="AH204" s="2152">
        <v>0</v>
      </c>
      <c r="AI204" s="2152">
        <f>IFERROR(AJ204/AH204*10,0)</f>
        <v>0</v>
      </c>
      <c r="AJ204" s="2152">
        <v>0</v>
      </c>
      <c r="AK204" s="2152">
        <f>IFERROR(AL204/AH204*10,0)</f>
        <v>0</v>
      </c>
      <c r="AL204" s="2152">
        <v>0</v>
      </c>
      <c r="AM204" s="2152">
        <f>IFERROR(AN204/AH204*10,0)</f>
        <v>0</v>
      </c>
      <c r="AN204" s="2152">
        <v>0</v>
      </c>
      <c r="AO204" s="2152">
        <f>AO203</f>
        <v>0</v>
      </c>
      <c r="AP204" s="2152">
        <f>IFERROR(AQ204/AH204*10,0)</f>
        <v>0</v>
      </c>
      <c r="AQ204" s="2152">
        <f>SUM(AJ204,AL204,AN204,AO204)</f>
        <v>0</v>
      </c>
      <c r="AR204" s="2152">
        <v>0</v>
      </c>
      <c r="AS204" s="2152">
        <f>IFERROR(AT204/AR204*10,0)</f>
        <v>0</v>
      </c>
      <c r="AT204" s="2152">
        <v>0</v>
      </c>
      <c r="AU204" s="2152">
        <f>IFERROR(AV204/AR204*10,0)</f>
        <v>0</v>
      </c>
      <c r="AV204" s="2152">
        <v>0</v>
      </c>
      <c r="AW204" s="2152">
        <f>IFERROR(AX204/AR204*10,0)</f>
        <v>0</v>
      </c>
      <c r="AX204" s="2152">
        <v>0</v>
      </c>
      <c r="AY204" s="2152"/>
      <c r="AZ204" s="2152">
        <f>IFERROR(BA204/AR204*10,0)</f>
        <v>0</v>
      </c>
      <c r="BA204" s="2152">
        <f>SUM(AT204,AV204,AX204,AY204)</f>
        <v>0</v>
      </c>
      <c r="BB204" s="2152">
        <v>0</v>
      </c>
      <c r="BC204" s="2152">
        <f>IFERROR(BD204/BB204*10,0)</f>
        <v>0</v>
      </c>
      <c r="BD204" s="2152">
        <v>0</v>
      </c>
      <c r="BE204" s="2152">
        <f>IFERROR(BF204/BB204*10,0)</f>
        <v>0</v>
      </c>
      <c r="BF204" s="2152">
        <v>0</v>
      </c>
      <c r="BG204" s="2152">
        <f>IFERROR(BH204/BB204*10,0)</f>
        <v>0</v>
      </c>
      <c r="BH204" s="2152">
        <v>0</v>
      </c>
      <c r="BI204" s="2152"/>
      <c r="BJ204" s="2152">
        <f>IFERROR(BK204/BB204*10,0)</f>
        <v>0</v>
      </c>
      <c r="BK204" s="2152">
        <f>SUM(BD204,BF204,BH204,BI204)</f>
        <v>0</v>
      </c>
      <c r="BL204" s="2152">
        <v>0</v>
      </c>
      <c r="BM204" s="2152">
        <f>IFERROR(BN204/BL204*10,0)</f>
        <v>0</v>
      </c>
      <c r="BN204" s="2152">
        <v>0</v>
      </c>
      <c r="BO204" s="2152">
        <f>IFERROR(BP204/BL204*10,0)</f>
        <v>0</v>
      </c>
      <c r="BP204" s="2152">
        <v>0</v>
      </c>
      <c r="BQ204" s="2152">
        <f>IFERROR(BR204/BL204*10,0)</f>
        <v>0</v>
      </c>
      <c r="BR204" s="2152">
        <v>0</v>
      </c>
      <c r="BS204" s="2152"/>
      <c r="BT204" s="2152">
        <f>IFERROR(BU204/BL204*10,0)</f>
        <v>0</v>
      </c>
      <c r="BU204" s="2152">
        <f>SUM(BN204,BP204,BR204,BS204)</f>
        <v>0</v>
      </c>
      <c r="BV204" s="2152">
        <v>0</v>
      </c>
      <c r="BW204" s="2152">
        <f>IFERROR(BX204/BV204*10,0)</f>
        <v>0</v>
      </c>
      <c r="BX204" s="2152">
        <v>0</v>
      </c>
      <c r="BY204" s="2152">
        <f>IFERROR(BZ204/BV204*10,0)</f>
        <v>0</v>
      </c>
      <c r="BZ204" s="2152">
        <v>0</v>
      </c>
      <c r="CA204" s="2152">
        <f>IFERROR(CB204/BV204*10,0)</f>
        <v>0</v>
      </c>
      <c r="CB204" s="2152">
        <v>0</v>
      </c>
      <c r="CC204" s="2152"/>
      <c r="CD204" s="2152">
        <f>IFERROR(CE204/BV204*10,0)</f>
        <v>0</v>
      </c>
      <c r="CE204" s="2152">
        <f>SUM(BX204,BZ204,CB204,CC204)</f>
        <v>0</v>
      </c>
      <c r="CF204" s="2152">
        <v>0</v>
      </c>
      <c r="CG204" s="2152">
        <f>IFERROR(CH204/CF204*10,0)</f>
        <v>0</v>
      </c>
      <c r="CH204" s="2152">
        <v>0</v>
      </c>
      <c r="CI204" s="2152">
        <f>IFERROR(CJ204/CF204*10,0)</f>
        <v>0</v>
      </c>
      <c r="CJ204" s="2152">
        <v>0</v>
      </c>
      <c r="CK204" s="2152">
        <f>IFERROR(CL204/CF204*10,0)</f>
        <v>0</v>
      </c>
      <c r="CL204" s="2152">
        <v>0</v>
      </c>
      <c r="CM204" s="2152"/>
      <c r="CN204" s="2152">
        <f>IFERROR(CO204/CF204*10,0)</f>
        <v>0</v>
      </c>
      <c r="CO204" s="2152">
        <f>SUM(CH204,CJ204,CL204,CM204)</f>
        <v>0</v>
      </c>
      <c r="CP204" s="2152">
        <v>0</v>
      </c>
      <c r="CQ204" s="2152">
        <f>IFERROR(CR204/CP204*10,0)</f>
        <v>0</v>
      </c>
      <c r="CR204" s="2152">
        <v>0</v>
      </c>
      <c r="CS204" s="2152">
        <f>IFERROR(CT204/CP204*10,0)</f>
        <v>0</v>
      </c>
      <c r="CT204" s="2152">
        <v>0</v>
      </c>
      <c r="CU204" s="2152">
        <f>IFERROR(CV204/CP204*10,0)</f>
        <v>0</v>
      </c>
      <c r="CV204" s="2152">
        <v>0</v>
      </c>
      <c r="CW204" s="2170"/>
      <c r="CX204" s="2152">
        <f>IFERROR(CY204/CP204*10,0)</f>
        <v>0</v>
      </c>
      <c r="CY204" s="2152">
        <f>SUM(CR204,CT204,CV204,CW204)</f>
        <v>0</v>
      </c>
      <c r="CZ204" s="2106">
        <v>15.81</v>
      </c>
      <c r="DA204" s="2106">
        <f>IFERROR(DB204/CZ204*10,0)</f>
        <v>1.3979032258064514</v>
      </c>
      <c r="DB204" s="2106">
        <v>2.2100849999999999</v>
      </c>
      <c r="DC204" s="2106">
        <v>1.4444999999999999</v>
      </c>
      <c r="DD204" s="2109">
        <f>DC204*CZ204/10</f>
        <v>2.2837544999999997</v>
      </c>
      <c r="DE204" s="2152"/>
      <c r="DF204" s="2152"/>
      <c r="DG204" s="2170"/>
      <c r="DH204" s="2152">
        <f>IFERROR(DI204/CZ204*10,0)</f>
        <v>2.8424032258064513</v>
      </c>
      <c r="DI204" s="2152">
        <f>SUM(DB204,DD204,DF204,DG204)</f>
        <v>4.4938395</v>
      </c>
      <c r="DJ204" s="2106">
        <v>14.28</v>
      </c>
      <c r="DK204" s="2106">
        <f>IFERROR(DL204/DJ204*10,0)</f>
        <v>1.5476785714285715</v>
      </c>
      <c r="DL204" s="2106">
        <v>2.2100849999999999</v>
      </c>
      <c r="DM204" s="2106">
        <v>1.4444999999999999</v>
      </c>
      <c r="DN204" s="2109">
        <f>DM204*DJ204/10</f>
        <v>2.0627459999999997</v>
      </c>
      <c r="DO204" s="2152"/>
      <c r="DP204" s="2152"/>
      <c r="DQ204" s="2170"/>
      <c r="DR204" s="2152">
        <f>IFERROR(DS204/DJ204*10,0)</f>
        <v>2.9921785714285716</v>
      </c>
      <c r="DS204" s="2152">
        <f>SUM(DL204,DN204,DP204,DQ204)</f>
        <v>4.272831</v>
      </c>
      <c r="DT204" s="2106">
        <v>15.81</v>
      </c>
      <c r="DU204" s="2106">
        <f>IFERROR(DV204/DT204*10,0)</f>
        <v>1.3979032258064514</v>
      </c>
      <c r="DV204" s="2106">
        <v>2.2100849999999999</v>
      </c>
      <c r="DW204" s="2106">
        <v>1.4444999999999999</v>
      </c>
      <c r="DX204" s="2109">
        <f>DW204*DT204/10</f>
        <v>2.2837544999999997</v>
      </c>
      <c r="DY204" s="2152"/>
      <c r="DZ204" s="2152"/>
      <c r="EA204" s="2152"/>
      <c r="EB204" s="2152">
        <f>IFERROR(EC204/DT204*10,0)</f>
        <v>2.8424032258064513</v>
      </c>
      <c r="EC204" s="2152">
        <f>SUM(DV204,DX204,DZ204,EA204)</f>
        <v>4.4938395</v>
      </c>
      <c r="ED204" s="2152">
        <f>SUM(N204,X204,AH204,AR204,BB204,BL204,BV204,CF204,CP204,CZ204,DJ204,DT204)</f>
        <v>45.9</v>
      </c>
      <c r="EE204" s="2162"/>
      <c r="EF204" s="2152">
        <f>IFERROR(EG204/ED204*10,0)</f>
        <v>1.4444999999999999</v>
      </c>
      <c r="EG204" s="2152">
        <f>SUM(P204,Z204,AJ204,AT204,BD204,BN204,BX204,CH204,CR204,DB204,DL204,DV204)</f>
        <v>6.630255</v>
      </c>
      <c r="EH204" s="2152">
        <f>IFERROR(EI204/ED204*10,0)</f>
        <v>1.4444999999999999</v>
      </c>
      <c r="EI204" s="2152">
        <f>SUM(R204,AB204,AL204,AV204,BF204,BP204,BZ204,CJ204,CT204,DD204,DN204,DX204)</f>
        <v>6.6302549999999991</v>
      </c>
      <c r="EJ204" s="2152"/>
      <c r="EK204" s="2152">
        <f>SUM(T204,AD204,AN204,AX204,BH204,BR204,CB204,CL204,CV204,DF204,DP204,DZ204)</f>
        <v>0</v>
      </c>
      <c r="EL204" s="2152"/>
      <c r="EM204" s="2152"/>
      <c r="EN204" s="2152">
        <f>EG204+EI204+EK204</f>
        <v>13.26051</v>
      </c>
      <c r="EO204" s="2157">
        <f>IFERROR(EN204/ED204*10,0)</f>
        <v>2.8889999999999998</v>
      </c>
      <c r="EP204" s="2163"/>
    </row>
    <row r="205" spans="1:153">
      <c r="A205" s="1760"/>
      <c r="B205" s="1592"/>
      <c r="C205" s="1596"/>
      <c r="D205" s="1597"/>
      <c r="E205" s="1592"/>
      <c r="F205" s="1597"/>
      <c r="G205" s="1592"/>
      <c r="H205" s="2174"/>
      <c r="I205" s="2152"/>
      <c r="J205" s="2152"/>
      <c r="K205" s="2160"/>
      <c r="L205" s="2160"/>
      <c r="M205" s="2161"/>
      <c r="N205" s="2152"/>
      <c r="O205" s="2152"/>
      <c r="P205" s="2152"/>
      <c r="Q205" s="2152"/>
      <c r="R205" s="2152"/>
      <c r="S205" s="2152"/>
      <c r="T205" s="2152"/>
      <c r="U205" s="2152"/>
      <c r="V205" s="2152"/>
      <c r="W205" s="2152"/>
      <c r="X205" s="2152"/>
      <c r="Y205" s="2152"/>
      <c r="Z205" s="2152"/>
      <c r="AA205" s="2152"/>
      <c r="AB205" s="2152"/>
      <c r="AC205" s="2152"/>
      <c r="AD205" s="2152"/>
      <c r="AE205" s="2152"/>
      <c r="AF205" s="2152"/>
      <c r="AG205" s="2152"/>
      <c r="AH205" s="2152"/>
      <c r="AI205" s="2152"/>
      <c r="AJ205" s="2152"/>
      <c r="AK205" s="2152"/>
      <c r="AL205" s="2152"/>
      <c r="AM205" s="2152"/>
      <c r="AN205" s="2152"/>
      <c r="AO205" s="2170"/>
      <c r="AP205" s="2152"/>
      <c r="AQ205" s="2152"/>
      <c r="AR205" s="2152"/>
      <c r="AS205" s="2152"/>
      <c r="AT205" s="2152"/>
      <c r="AU205" s="2152"/>
      <c r="AV205" s="2152"/>
      <c r="AW205" s="2152"/>
      <c r="AX205" s="2152"/>
      <c r="AY205" s="2170"/>
      <c r="AZ205" s="2152"/>
      <c r="BA205" s="2152"/>
      <c r="BB205" s="2152"/>
      <c r="BC205" s="2152"/>
      <c r="BD205" s="2152"/>
      <c r="BE205" s="2152"/>
      <c r="BF205" s="2152"/>
      <c r="BG205" s="2152"/>
      <c r="BH205" s="2152"/>
      <c r="BI205" s="2170"/>
      <c r="BJ205" s="2152"/>
      <c r="BK205" s="2152"/>
      <c r="BL205" s="2152"/>
      <c r="BM205" s="2152"/>
      <c r="BN205" s="2152"/>
      <c r="BO205" s="2152"/>
      <c r="BP205" s="2152"/>
      <c r="BQ205" s="2152"/>
      <c r="BR205" s="2152"/>
      <c r="BS205" s="2170"/>
      <c r="BT205" s="2152"/>
      <c r="BU205" s="2152"/>
      <c r="BV205" s="2152"/>
      <c r="BW205" s="2152"/>
      <c r="BX205" s="2152"/>
      <c r="BY205" s="2152"/>
      <c r="BZ205" s="2152"/>
      <c r="CA205" s="2152"/>
      <c r="CB205" s="2152"/>
      <c r="CC205" s="2170"/>
      <c r="CD205" s="2152"/>
      <c r="CE205" s="2152"/>
      <c r="CF205" s="2152"/>
      <c r="CG205" s="2152"/>
      <c r="CH205" s="2152"/>
      <c r="CI205" s="2152"/>
      <c r="CJ205" s="2152"/>
      <c r="CK205" s="2152"/>
      <c r="CL205" s="2152"/>
      <c r="CM205" s="2170"/>
      <c r="CN205" s="2152"/>
      <c r="CO205" s="2152"/>
      <c r="CP205" s="2152"/>
      <c r="CQ205" s="2152"/>
      <c r="CR205" s="2152"/>
      <c r="CS205" s="2152"/>
      <c r="CT205" s="2152"/>
      <c r="CU205" s="2152"/>
      <c r="CV205" s="2152"/>
      <c r="CW205" s="2170"/>
      <c r="CX205" s="2152"/>
      <c r="CY205" s="2152"/>
      <c r="CZ205" s="2106">
        <v>0</v>
      </c>
      <c r="DA205" s="2106">
        <f t="shared" si="356"/>
        <v>0</v>
      </c>
      <c r="DB205" s="2106">
        <v>0</v>
      </c>
      <c r="DC205" s="2106">
        <v>0</v>
      </c>
      <c r="DD205" s="2109">
        <f t="shared" si="422"/>
        <v>0</v>
      </c>
      <c r="DE205" s="2152"/>
      <c r="DF205" s="2152"/>
      <c r="DG205" s="2170"/>
      <c r="DH205" s="2152"/>
      <c r="DI205" s="2152"/>
      <c r="DJ205" s="2106">
        <v>0</v>
      </c>
      <c r="DK205" s="2106">
        <f t="shared" si="357"/>
        <v>0</v>
      </c>
      <c r="DL205" s="2106">
        <v>0</v>
      </c>
      <c r="DM205" s="2106">
        <v>0</v>
      </c>
      <c r="DN205" s="2109">
        <f t="shared" si="423"/>
        <v>0</v>
      </c>
      <c r="DO205" s="2152"/>
      <c r="DP205" s="2152"/>
      <c r="DQ205" s="2170"/>
      <c r="DR205" s="2152"/>
      <c r="DS205" s="2152"/>
      <c r="DT205" s="2106">
        <v>0</v>
      </c>
      <c r="DU205" s="2106">
        <f t="shared" si="358"/>
        <v>0</v>
      </c>
      <c r="DV205" s="2106">
        <v>0</v>
      </c>
      <c r="DW205" s="2106">
        <v>0</v>
      </c>
      <c r="DX205" s="2109">
        <f t="shared" si="424"/>
        <v>0</v>
      </c>
      <c r="DY205" s="2152"/>
      <c r="DZ205" s="2152"/>
      <c r="EA205" s="2152"/>
      <c r="EB205" s="2152"/>
      <c r="EC205" s="2152"/>
      <c r="ED205" s="2152"/>
      <c r="EE205" s="2162"/>
      <c r="EF205" s="2152"/>
      <c r="EG205" s="2152"/>
      <c r="EH205" s="2152"/>
      <c r="EI205" s="2152"/>
      <c r="EJ205" s="2152"/>
      <c r="EK205" s="2152"/>
      <c r="EL205" s="2152"/>
      <c r="EM205" s="2152"/>
      <c r="EN205" s="2152"/>
      <c r="EO205" s="2163"/>
      <c r="EP205" s="2163"/>
      <c r="ES205" s="2084">
        <f t="shared" si="355"/>
        <v>0</v>
      </c>
      <c r="EU205" s="2084">
        <f t="shared" si="359"/>
        <v>0</v>
      </c>
      <c r="EV205" s="2084">
        <f t="shared" si="360"/>
        <v>0</v>
      </c>
      <c r="EW205" s="2084" t="e">
        <f t="shared" si="361"/>
        <v>#DIV/0!</v>
      </c>
    </row>
    <row r="206" spans="1:153">
      <c r="A206" s="1760" t="s">
        <v>139</v>
      </c>
      <c r="B206" s="1592" t="s">
        <v>1806</v>
      </c>
      <c r="C206" s="1596"/>
      <c r="D206" s="1597"/>
      <c r="E206" s="1592"/>
      <c r="F206" s="1597"/>
      <c r="G206" s="1592"/>
      <c r="H206" s="2158"/>
      <c r="I206" s="2160">
        <v>1</v>
      </c>
      <c r="J206" s="2157"/>
      <c r="K206" s="2160"/>
      <c r="L206" s="2160"/>
      <c r="M206" s="2161"/>
      <c r="N206" s="2152">
        <v>71.913168999999982</v>
      </c>
      <c r="O206" s="2152">
        <f t="shared" ref="O206:O211" si="425">IFERROR(P206/N206*10,0)</f>
        <v>0</v>
      </c>
      <c r="P206" s="2152">
        <v>0</v>
      </c>
      <c r="Q206" s="2152">
        <f t="shared" ref="Q206:Q211" si="426">IFERROR(R206/N206*10,0)</f>
        <v>3.0746720395537022</v>
      </c>
      <c r="R206" s="2152">
        <v>22.110941</v>
      </c>
      <c r="S206" s="2152">
        <f t="shared" ref="S206:S211" si="427">IFERROR(T206/N206*10,0)</f>
        <v>0.18483401837012636</v>
      </c>
      <c r="T206" s="2152">
        <v>1.3291999999999999</v>
      </c>
      <c r="U206" s="2152"/>
      <c r="V206" s="2152">
        <f t="shared" ref="V206:V212" si="428">IFERROR(W206/N206*10,0)</f>
        <v>3.2595060579238284</v>
      </c>
      <c r="W206" s="2152">
        <f t="shared" ref="W206:W212" si="429">SUM(P206,R206,T206,U206)</f>
        <v>23.440141000000001</v>
      </c>
      <c r="X206" s="2152">
        <v>88.510050000000007</v>
      </c>
      <c r="Y206" s="2152">
        <f t="shared" ref="Y206:Y212" si="430">IFERROR(Z206/X206*10,0)</f>
        <v>0</v>
      </c>
      <c r="Z206" s="2152">
        <v>0</v>
      </c>
      <c r="AA206" s="2152">
        <f t="shared" ref="AA206:AA212" si="431">IFERROR(AB206/X206*10,0)</f>
        <v>2.8006188901712288</v>
      </c>
      <c r="AB206" s="2152">
        <v>24.7882918</v>
      </c>
      <c r="AC206" s="2152">
        <f>IFERROR(AD206/X206*10,0)</f>
        <v>0.1501750366201352</v>
      </c>
      <c r="AD206" s="2152">
        <v>1.3291999999999999</v>
      </c>
      <c r="AE206" s="2152"/>
      <c r="AF206" s="2152">
        <f t="shared" ref="AF206:AF212" si="432">IFERROR(AG206/X206*10,0)</f>
        <v>2.9507939267913641</v>
      </c>
      <c r="AG206" s="2152">
        <f t="shared" ref="AG206:AG212" si="433">SUM(Z206,AB206,AD206,AE206)</f>
        <v>26.1174918</v>
      </c>
      <c r="AH206" s="2152">
        <v>59.061430000000001</v>
      </c>
      <c r="AI206" s="2152">
        <f>IFERROR(AJ206/AH206*10,0)</f>
        <v>0</v>
      </c>
      <c r="AJ206" s="2152">
        <v>0</v>
      </c>
      <c r="AK206" s="2152">
        <f>IFERROR(AL206/AH206*10,0)</f>
        <v>3.0668431495817154</v>
      </c>
      <c r="AL206" s="2152">
        <v>18.113214200000002</v>
      </c>
      <c r="AM206" s="2152">
        <f>IFERROR(AN206/AH206*10,0)</f>
        <v>0</v>
      </c>
      <c r="AN206" s="2152">
        <v>0</v>
      </c>
      <c r="AO206" s="2152">
        <f>AO205</f>
        <v>0</v>
      </c>
      <c r="AP206" s="2152">
        <f t="shared" ref="AP206:AP212" si="434">IFERROR(AQ206/AH206*10,0)</f>
        <v>3.0668431495817154</v>
      </c>
      <c r="AQ206" s="2152">
        <f t="shared" ref="AQ206:AQ212" si="435">SUM(AJ206,AL206,AN206,AO206)</f>
        <v>18.113214200000002</v>
      </c>
      <c r="AR206" s="2152">
        <v>68.996758</v>
      </c>
      <c r="AS206" s="2152">
        <f>IFERROR(AT206/AR206*10,0)</f>
        <v>0</v>
      </c>
      <c r="AT206" s="2152">
        <v>0</v>
      </c>
      <c r="AU206" s="2152">
        <f>IFERROR(AV206/AR206*10,0)</f>
        <v>3.2468000887809829</v>
      </c>
      <c r="AV206" s="2152">
        <v>22.401868</v>
      </c>
      <c r="AW206" s="2152">
        <f>IFERROR(AX206/AR206*10,0)</f>
        <v>0</v>
      </c>
      <c r="AX206" s="2152">
        <v>0</v>
      </c>
      <c r="AY206" s="2152"/>
      <c r="AZ206" s="2152">
        <f t="shared" ref="AZ206:AZ212" si="436">IFERROR(BA206/AR206*10,0)</f>
        <v>3.2468000887809829</v>
      </c>
      <c r="BA206" s="2152">
        <f t="shared" ref="BA206:BA212" si="437">SUM(AT206,AV206,AX206,AY206)</f>
        <v>22.401868</v>
      </c>
      <c r="BB206" s="2152">
        <v>71.972150000000013</v>
      </c>
      <c r="BC206" s="2152">
        <f>IFERROR(BD206/BB206*10,0)</f>
        <v>0</v>
      </c>
      <c r="BD206" s="2152">
        <v>0</v>
      </c>
      <c r="BE206" s="2152">
        <f>IFERROR(BF206/BB206*10,0)</f>
        <v>3.2600927719958337</v>
      </c>
      <c r="BF206" s="2152">
        <v>23.463588600000001</v>
      </c>
      <c r="BG206" s="2152">
        <f>IFERROR(BH206/BB206*10,0)</f>
        <v>0</v>
      </c>
      <c r="BH206" s="2152">
        <v>0</v>
      </c>
      <c r="BI206" s="2152"/>
      <c r="BJ206" s="2152">
        <f t="shared" ref="BJ206:BJ212" si="438">IFERROR(BK206/BB206*10,0)</f>
        <v>3.2600927719958337</v>
      </c>
      <c r="BK206" s="2152">
        <f t="shared" ref="BK206:BK212" si="439">SUM(BD206,BF206,BH206,BI206)</f>
        <v>23.463588600000001</v>
      </c>
      <c r="BL206" s="2152">
        <v>66.800618</v>
      </c>
      <c r="BM206" s="2152">
        <f>IFERROR(BN206/BL206*10,0)</f>
        <v>0</v>
      </c>
      <c r="BN206" s="2152">
        <v>0</v>
      </c>
      <c r="BO206" s="2152">
        <f>IFERROR(BP206/BL206*10,0)</f>
        <v>3.3737002852279003</v>
      </c>
      <c r="BP206" s="2152">
        <v>22.5365264</v>
      </c>
      <c r="BQ206" s="2152">
        <f>IFERROR(BR206/BL206*10,0)</f>
        <v>0</v>
      </c>
      <c r="BR206" s="2152">
        <v>0</v>
      </c>
      <c r="BS206" s="2152"/>
      <c r="BT206" s="2152">
        <f t="shared" ref="BT206:BT212" si="440">IFERROR(BU206/BL206*10,0)</f>
        <v>3.3737002852279003</v>
      </c>
      <c r="BU206" s="2152">
        <f t="shared" ref="BU206:BU212" si="441">SUM(BN206,BP206,BR206,BS206)</f>
        <v>22.5365264</v>
      </c>
      <c r="BV206" s="2152">
        <v>71.828381000000007</v>
      </c>
      <c r="BW206" s="2152">
        <f>IFERROR(BX206/BV206*10,0)</f>
        <v>0</v>
      </c>
      <c r="BX206" s="2152">
        <v>0</v>
      </c>
      <c r="BY206" s="2152">
        <f>IFERROR(BZ206/BV206*10,0)</f>
        <v>3.4692558502745592</v>
      </c>
      <c r="BZ206" s="2152">
        <v>24.919103100000001</v>
      </c>
      <c r="CA206" s="2152">
        <f>IFERROR(CB206/BV206*10,0)</f>
        <v>0</v>
      </c>
      <c r="CB206" s="2152">
        <v>0</v>
      </c>
      <c r="CC206" s="2152"/>
      <c r="CD206" s="2152">
        <f t="shared" ref="CD206:CD212" si="442">IFERROR(CE206/BV206*10,0)</f>
        <v>3.4692558502745592</v>
      </c>
      <c r="CE206" s="2152">
        <f t="shared" ref="CE206:CE212" si="443">SUM(BX206,BZ206,CB206,CC206)</f>
        <v>24.919103100000001</v>
      </c>
      <c r="CF206" s="2152">
        <v>63.759972000000005</v>
      </c>
      <c r="CG206" s="2152">
        <f>IFERROR(CH206/CF206*10,0)</f>
        <v>0</v>
      </c>
      <c r="CH206" s="2152">
        <v>0</v>
      </c>
      <c r="CI206" s="2152">
        <f>IFERROR(CJ206/CF206*10,0)</f>
        <v>3.2122894125486749</v>
      </c>
      <c r="CJ206" s="2152">
        <v>20.4815483</v>
      </c>
      <c r="CK206" s="2152">
        <f>IFERROR(CL206/CF206*10,0)</f>
        <v>0</v>
      </c>
      <c r="CL206" s="2152">
        <v>0</v>
      </c>
      <c r="CM206" s="2152"/>
      <c r="CN206" s="2152">
        <f t="shared" ref="CN206:CN212" si="444">IFERROR(CO206/CF206*10,0)</f>
        <v>3.2122894125486749</v>
      </c>
      <c r="CO206" s="2152">
        <f t="shared" ref="CO206:CO212" si="445">SUM(CH206,CJ206,CL206,CM206)</f>
        <v>20.4815483</v>
      </c>
      <c r="CP206" s="2152">
        <v>70.936805000000007</v>
      </c>
      <c r="CQ206" s="2152">
        <f>IFERROR(CR206/CP206*10,0)</f>
        <v>0</v>
      </c>
      <c r="CR206" s="2152">
        <v>0</v>
      </c>
      <c r="CS206" s="2152">
        <f>IFERROR(CT206/CP206*10,0)</f>
        <v>3.4228263311266978</v>
      </c>
      <c r="CT206" s="2152">
        <v>24.280436399999999</v>
      </c>
      <c r="CU206" s="2152">
        <f>IFERROR(CV206/CP206*10,0)</f>
        <v>0</v>
      </c>
      <c r="CV206" s="2152">
        <v>0</v>
      </c>
      <c r="CW206" s="2152"/>
      <c r="CX206" s="2152">
        <f t="shared" ref="CX206:CX212" si="446">IFERROR(CY206/CP206*10,0)</f>
        <v>3.4228263311266978</v>
      </c>
      <c r="CY206" s="2152">
        <f t="shared" ref="CY206:CY212" si="447">SUM(CR206,CT206,CV206,CW206)</f>
        <v>24.280436399999999</v>
      </c>
      <c r="CZ206" s="2106">
        <v>0</v>
      </c>
      <c r="DA206" s="2106">
        <f t="shared" si="356"/>
        <v>0</v>
      </c>
      <c r="DB206" s="2106">
        <v>0</v>
      </c>
      <c r="DC206" s="2106">
        <v>0</v>
      </c>
      <c r="DD206" s="2109">
        <f t="shared" si="422"/>
        <v>0</v>
      </c>
      <c r="DE206" s="2152"/>
      <c r="DF206" s="2152"/>
      <c r="DG206" s="2152"/>
      <c r="DH206" s="2152">
        <f t="shared" ref="DH206:DH212" si="448">IFERROR(DI206/CZ206*10,0)</f>
        <v>0</v>
      </c>
      <c r="DI206" s="2152">
        <f t="shared" ref="DI206:DI212" si="449">SUM(DB206,DD206,DF206,DG206)</f>
        <v>0</v>
      </c>
      <c r="DJ206" s="2106">
        <v>0</v>
      </c>
      <c r="DK206" s="2106">
        <f t="shared" si="357"/>
        <v>0</v>
      </c>
      <c r="DL206" s="2106">
        <v>0</v>
      </c>
      <c r="DM206" s="2106">
        <v>0</v>
      </c>
      <c r="DN206" s="2109">
        <f t="shared" si="423"/>
        <v>0</v>
      </c>
      <c r="DO206" s="2152"/>
      <c r="DP206" s="2152"/>
      <c r="DQ206" s="2152"/>
      <c r="DR206" s="2152">
        <f t="shared" ref="DR206:DR212" si="450">IFERROR(DS206/DJ206*10,0)</f>
        <v>0</v>
      </c>
      <c r="DS206" s="2152">
        <f t="shared" ref="DS206:DS212" si="451">SUM(DL206,DN206,DP206,DQ206)</f>
        <v>0</v>
      </c>
      <c r="DT206" s="2106">
        <v>0</v>
      </c>
      <c r="DU206" s="2106">
        <f t="shared" si="358"/>
        <v>0</v>
      </c>
      <c r="DV206" s="2106">
        <v>0</v>
      </c>
      <c r="DW206" s="2106">
        <v>0</v>
      </c>
      <c r="DX206" s="2109">
        <f t="shared" si="424"/>
        <v>0</v>
      </c>
      <c r="DY206" s="2152"/>
      <c r="DZ206" s="2152"/>
      <c r="EA206" s="2152"/>
      <c r="EB206" s="2152">
        <f t="shared" ref="EB206:EB212" si="452">IFERROR(EC206/DT206*10,0)</f>
        <v>0</v>
      </c>
      <c r="EC206" s="2152">
        <f t="shared" ref="EC206:EC212" si="453">SUM(DV206,DX206,DZ206,EA206)</f>
        <v>0</v>
      </c>
      <c r="ED206" s="2152">
        <f>SUM(N206,X206,AH206,AR206,BB206,BL206,BV206,CF206,CP206,CZ206,DJ206,DT206)</f>
        <v>633.77933299999995</v>
      </c>
      <c r="EE206" s="2162"/>
      <c r="EF206" s="2152">
        <f>IFERROR(EG206/ED206*10,0)</f>
        <v>0</v>
      </c>
      <c r="EG206" s="2152">
        <f>SUM(P206,Z206,AJ206,AT206,BD206,BN206,BX206,CH206,CR206,DB206,DL206,DV206)</f>
        <v>0</v>
      </c>
      <c r="EH206" s="2152">
        <f>IFERROR(EI206/ED206*10,0)</f>
        <v>3.204514682399719</v>
      </c>
      <c r="EI206" s="2152">
        <f>SUM(R206,AB206,AL206,AV206,BF206,BP206,BZ206,CJ206,CT206,DD206,DN206,DX206)</f>
        <v>203.09551780000004</v>
      </c>
      <c r="EJ206" s="2152"/>
      <c r="EK206" s="2152">
        <f>SUM(T206,AD206,AN206,AX206,BH206,BR206,CB206,CL206,CV206,DF206,DP206,DZ206)</f>
        <v>2.6583999999999999</v>
      </c>
      <c r="EL206" s="2152"/>
      <c r="EM206" s="2152"/>
      <c r="EN206" s="2152">
        <f>EG206+EI206+EK206</f>
        <v>205.75391780000004</v>
      </c>
      <c r="EO206" s="2157">
        <f>IFERROR(EN206/ED206*10,0)</f>
        <v>3.2464598810135081</v>
      </c>
      <c r="EP206" s="2163"/>
      <c r="ES206" s="2084">
        <f t="shared" si="355"/>
        <v>0</v>
      </c>
      <c r="EU206" s="2084">
        <f t="shared" si="359"/>
        <v>203.09551780000004</v>
      </c>
      <c r="EV206" s="2084">
        <f t="shared" si="360"/>
        <v>633.77933299999995</v>
      </c>
      <c r="EW206" s="2084">
        <f t="shared" si="361"/>
        <v>3.2045146823997186</v>
      </c>
    </row>
    <row r="207" spans="1:153">
      <c r="A207" s="1760"/>
      <c r="B207" s="1774" t="s">
        <v>1807</v>
      </c>
      <c r="C207" s="1596"/>
      <c r="D207" s="1597"/>
      <c r="E207" s="1592"/>
      <c r="F207" s="1597"/>
      <c r="G207" s="1592"/>
      <c r="H207" s="2158"/>
      <c r="I207" s="2160">
        <v>2</v>
      </c>
      <c r="J207" s="2157"/>
      <c r="K207" s="2160"/>
      <c r="L207" s="2160"/>
      <c r="M207" s="2161"/>
      <c r="N207" s="2152">
        <v>28.854597999999999</v>
      </c>
      <c r="O207" s="2152">
        <f t="shared" si="425"/>
        <v>0</v>
      </c>
      <c r="P207" s="2152">
        <v>0</v>
      </c>
      <c r="Q207" s="2152">
        <f t="shared" si="426"/>
        <v>6.93831558491995</v>
      </c>
      <c r="R207" s="2152">
        <v>20.020230699999999</v>
      </c>
      <c r="S207" s="2152">
        <f t="shared" si="427"/>
        <v>0.18009788249345909</v>
      </c>
      <c r="T207" s="2152">
        <v>0.51966520000000005</v>
      </c>
      <c r="U207" s="2152"/>
      <c r="V207" s="2152">
        <f t="shared" si="428"/>
        <v>7.1184134674134079</v>
      </c>
      <c r="W207" s="2152">
        <f t="shared" si="429"/>
        <v>20.539895899999998</v>
      </c>
      <c r="X207" s="2152">
        <v>3.5326220000000035</v>
      </c>
      <c r="Y207" s="2152">
        <f t="shared" si="430"/>
        <v>0</v>
      </c>
      <c r="Z207" s="2152">
        <v>0</v>
      </c>
      <c r="AA207" s="2152">
        <f t="shared" si="431"/>
        <v>34.800292247514697</v>
      </c>
      <c r="AB207" s="2152">
        <v>12.293627799999999</v>
      </c>
      <c r="AC207" s="2152">
        <f>IFERROR(AD207/X207*10,0)</f>
        <v>1.3453746254198709</v>
      </c>
      <c r="AD207" s="2152">
        <v>0.47527000000000003</v>
      </c>
      <c r="AE207" s="2152"/>
      <c r="AF207" s="2152">
        <f t="shared" si="432"/>
        <v>36.145666872934569</v>
      </c>
      <c r="AG207" s="2152">
        <f t="shared" si="433"/>
        <v>12.7688978</v>
      </c>
      <c r="AH207" s="2152">
        <v>25.804392</v>
      </c>
      <c r="AI207" s="2152">
        <f>IFERROR(AJ207/AH207*10,0)</f>
        <v>0</v>
      </c>
      <c r="AJ207" s="2152">
        <v>0</v>
      </c>
      <c r="AK207" s="2152">
        <f>IFERROR(AL207/AH207*10,0)</f>
        <v>6.9326633621129305</v>
      </c>
      <c r="AL207" s="2152">
        <v>17.889316300000001</v>
      </c>
      <c r="AM207" s="2152">
        <f>IFERROR(AN207/AH207*10,0)</f>
        <v>0.17604158237868966</v>
      </c>
      <c r="AN207" s="2152">
        <v>0.45426460000000002</v>
      </c>
      <c r="AO207" s="2152">
        <f>AO206</f>
        <v>0</v>
      </c>
      <c r="AP207" s="2152">
        <f t="shared" si="434"/>
        <v>7.1087049444916195</v>
      </c>
      <c r="AQ207" s="2152">
        <f t="shared" si="435"/>
        <v>18.343580899999999</v>
      </c>
      <c r="AR207" s="2152">
        <v>25.022233999999997</v>
      </c>
      <c r="AS207" s="2152">
        <f>IFERROR(AT207/AR207*10,0)</f>
        <v>0</v>
      </c>
      <c r="AT207" s="2152">
        <v>0</v>
      </c>
      <c r="AU207" s="2152">
        <f>IFERROR(AV207/AR207*10,0)</f>
        <v>6.8011704710298844</v>
      </c>
      <c r="AV207" s="2152">
        <v>17.018047899999999</v>
      </c>
      <c r="AW207" s="2152">
        <f>IFERROR(AX207/AR207*10,0)</f>
        <v>0.19162537605555127</v>
      </c>
      <c r="AX207" s="2152">
        <v>0.47948950000000001</v>
      </c>
      <c r="AY207" s="2152"/>
      <c r="AZ207" s="2152">
        <f t="shared" si="436"/>
        <v>6.9927958470854366</v>
      </c>
      <c r="BA207" s="2152">
        <f t="shared" si="437"/>
        <v>17.497537399999999</v>
      </c>
      <c r="BB207" s="2152">
        <v>11.082819000000001</v>
      </c>
      <c r="BC207" s="2152">
        <f>IFERROR(BD207/BB207*10,0)</f>
        <v>0</v>
      </c>
      <c r="BD207" s="2152">
        <v>0</v>
      </c>
      <c r="BE207" s="2152">
        <f>IFERROR(BF207/BB207*10,0)</f>
        <v>13.454351821499564</v>
      </c>
      <c r="BF207" s="2152">
        <v>14.911214599999999</v>
      </c>
      <c r="BG207" s="2152">
        <f>IFERROR(BH207/BB207*10,0)</f>
        <v>0.40180156330262179</v>
      </c>
      <c r="BH207" s="2152">
        <v>0.44530940000000002</v>
      </c>
      <c r="BI207" s="2152"/>
      <c r="BJ207" s="2152">
        <f t="shared" si="438"/>
        <v>13.856153384802186</v>
      </c>
      <c r="BK207" s="2152">
        <f t="shared" si="439"/>
        <v>15.356523999999999</v>
      </c>
      <c r="BL207" s="2152">
        <v>20.257472</v>
      </c>
      <c r="BM207" s="2152">
        <f>IFERROR(BN207/BL207*10,0)</f>
        <v>0</v>
      </c>
      <c r="BN207" s="2152">
        <v>0</v>
      </c>
      <c r="BO207" s="2152">
        <f>IFERROR(BP207/BL207*10,0)</f>
        <v>7.0337489791421159</v>
      </c>
      <c r="BP207" s="2152">
        <v>14.2485973</v>
      </c>
      <c r="BQ207" s="2152">
        <f>IFERROR(BR207/BL207*10,0)</f>
        <v>0.21324704286892263</v>
      </c>
      <c r="BR207" s="2152">
        <v>0.4319846</v>
      </c>
      <c r="BS207" s="2152"/>
      <c r="BT207" s="2152">
        <f t="shared" si="440"/>
        <v>7.2469960220110385</v>
      </c>
      <c r="BU207" s="2152">
        <f t="shared" si="441"/>
        <v>14.6805819</v>
      </c>
      <c r="BV207" s="2152">
        <v>25.922891</v>
      </c>
      <c r="BW207" s="2152">
        <f>IFERROR(BX207/BV207*10,0)</f>
        <v>0</v>
      </c>
      <c r="BX207" s="2152">
        <v>0</v>
      </c>
      <c r="BY207" s="2152">
        <f>IFERROR(BZ207/BV207*10,0)</f>
        <v>6.8781561053510574</v>
      </c>
      <c r="BZ207" s="2152">
        <v>17.830169099999999</v>
      </c>
      <c r="CA207" s="2152">
        <f>IFERROR(CB207/BV207*10,0)</f>
        <v>0.700907510663066</v>
      </c>
      <c r="CB207" s="2152">
        <v>1.8169549</v>
      </c>
      <c r="CC207" s="2152"/>
      <c r="CD207" s="2152">
        <f t="shared" si="442"/>
        <v>7.5790636160141229</v>
      </c>
      <c r="CE207" s="2152">
        <f t="shared" si="443"/>
        <v>19.647123999999998</v>
      </c>
      <c r="CF207" s="2152">
        <v>25.839604999999999</v>
      </c>
      <c r="CG207" s="2152">
        <f>IFERROR(CH207/CF207*10,0)</f>
        <v>0</v>
      </c>
      <c r="CH207" s="2152">
        <v>0</v>
      </c>
      <c r="CI207" s="2152">
        <f>IFERROR(CJ207/CF207*10,0)</f>
        <v>6.6532617274915768</v>
      </c>
      <c r="CJ207" s="2152">
        <v>17.191765499999999</v>
      </c>
      <c r="CK207" s="2152">
        <f>IFERROR(CL207/CF207*10,0)</f>
        <v>0.69397690096268894</v>
      </c>
      <c r="CL207" s="2152">
        <v>1.7932089</v>
      </c>
      <c r="CM207" s="2152"/>
      <c r="CN207" s="2152">
        <f t="shared" si="444"/>
        <v>7.3472386284542655</v>
      </c>
      <c r="CO207" s="2152">
        <f t="shared" si="445"/>
        <v>18.984974399999999</v>
      </c>
      <c r="CP207" s="2152">
        <v>18.132311999999999</v>
      </c>
      <c r="CQ207" s="2152">
        <f>IFERROR(CR207/CP207*10,0)</f>
        <v>0</v>
      </c>
      <c r="CR207" s="2152">
        <v>0</v>
      </c>
      <c r="CS207" s="2152">
        <f>IFERROR(CT207/CP207*10,0)</f>
        <v>7.0851408248435179</v>
      </c>
      <c r="CT207" s="2152">
        <v>12.8469984</v>
      </c>
      <c r="CU207" s="2152">
        <f>IFERROR(CV207/CP207*10,0)</f>
        <v>0.24080630203142325</v>
      </c>
      <c r="CV207" s="2152">
        <v>0.43663750000000001</v>
      </c>
      <c r="CW207" s="2152"/>
      <c r="CX207" s="2152">
        <f t="shared" si="446"/>
        <v>7.325947126874941</v>
      </c>
      <c r="CY207" s="2152">
        <f t="shared" si="447"/>
        <v>13.2836359</v>
      </c>
      <c r="CZ207" s="2106">
        <v>0</v>
      </c>
      <c r="DA207" s="2106">
        <f t="shared" si="356"/>
        <v>0</v>
      </c>
      <c r="DB207" s="2106">
        <v>0</v>
      </c>
      <c r="DC207" s="2106">
        <v>0</v>
      </c>
      <c r="DD207" s="2109">
        <f t="shared" si="422"/>
        <v>0</v>
      </c>
      <c r="DE207" s="2152"/>
      <c r="DF207" s="2152"/>
      <c r="DG207" s="2152"/>
      <c r="DH207" s="2152">
        <f t="shared" si="448"/>
        <v>0</v>
      </c>
      <c r="DI207" s="2152">
        <f t="shared" si="449"/>
        <v>0</v>
      </c>
      <c r="DJ207" s="2106">
        <v>0</v>
      </c>
      <c r="DK207" s="2106">
        <f t="shared" si="357"/>
        <v>0</v>
      </c>
      <c r="DL207" s="2106">
        <v>0</v>
      </c>
      <c r="DM207" s="2106">
        <v>0</v>
      </c>
      <c r="DN207" s="2109">
        <f t="shared" si="423"/>
        <v>0</v>
      </c>
      <c r="DO207" s="2152"/>
      <c r="DP207" s="2152"/>
      <c r="DQ207" s="2152"/>
      <c r="DR207" s="2152">
        <f t="shared" si="450"/>
        <v>0</v>
      </c>
      <c r="DS207" s="2152">
        <f t="shared" si="451"/>
        <v>0</v>
      </c>
      <c r="DT207" s="2106">
        <v>0</v>
      </c>
      <c r="DU207" s="2106">
        <f t="shared" si="358"/>
        <v>0</v>
      </c>
      <c r="DV207" s="2106">
        <v>0</v>
      </c>
      <c r="DW207" s="2106">
        <v>0</v>
      </c>
      <c r="DX207" s="2109">
        <f t="shared" si="424"/>
        <v>0</v>
      </c>
      <c r="DY207" s="2152"/>
      <c r="DZ207" s="2152"/>
      <c r="EA207" s="2152"/>
      <c r="EB207" s="2152">
        <f t="shared" si="452"/>
        <v>0</v>
      </c>
      <c r="EC207" s="2152">
        <f t="shared" si="453"/>
        <v>0</v>
      </c>
      <c r="ED207" s="2152">
        <f>SUM(N207,X207,AH207,AR207,BB207,BL207,BV207,CF207,CP207,CZ207,DJ207,DT207)</f>
        <v>184.44894499999998</v>
      </c>
      <c r="EE207" s="2162"/>
      <c r="EF207" s="2152">
        <f>IFERROR(EG207/ED207*10,0)</f>
        <v>0</v>
      </c>
      <c r="EG207" s="2152">
        <f>SUM(P207,Z207,AJ207,AT207,BD207,BN207,BX207,CH207,CR207,DB207,DL207,DV207)</f>
        <v>0</v>
      </c>
      <c r="EH207" s="2152">
        <f>IFERROR(EI207/ED207*10,0)</f>
        <v>7.8205905487830254</v>
      </c>
      <c r="EI207" s="2152">
        <f>SUM(R207,AB207,AL207,AV207,BF207,BP207,BZ207,CJ207,CT207,DD207,DN207,DX207)</f>
        <v>144.24996759999999</v>
      </c>
      <c r="EJ207" s="2152"/>
      <c r="EK207" s="2152">
        <f>SUM(T207,AD207,AN207,AX207,BH207,BR207,CB207,CL207,CV207,DF207,DP207,DZ207)</f>
        <v>6.8527845999999997</v>
      </c>
      <c r="EL207" s="2152"/>
      <c r="EM207" s="2152"/>
      <c r="EN207" s="2152">
        <f>EG207+EI207+EK207</f>
        <v>151.1027522</v>
      </c>
      <c r="EO207" s="2157">
        <f>IFERROR(EN207/ED207*10,0)</f>
        <v>8.1921179977472907</v>
      </c>
      <c r="EP207" s="2163"/>
      <c r="ES207" s="2084">
        <f>EN207-SUM(EG207,EI207,EK207,EL207)</f>
        <v>0</v>
      </c>
      <c r="EU207" s="2084">
        <f t="shared" si="359"/>
        <v>144.24996759999999</v>
      </c>
      <c r="EV207" s="2084">
        <f t="shared" si="360"/>
        <v>184.44894499999998</v>
      </c>
      <c r="EW207" s="2084">
        <f t="shared" si="361"/>
        <v>7.8205905487830254</v>
      </c>
    </row>
    <row r="208" spans="1:153">
      <c r="A208" s="1760" t="s">
        <v>140</v>
      </c>
      <c r="B208" s="1592" t="s">
        <v>1808</v>
      </c>
      <c r="C208" s="1596"/>
      <c r="D208" s="1597"/>
      <c r="E208" s="1592"/>
      <c r="F208" s="1597"/>
      <c r="G208" s="1592"/>
      <c r="H208" s="2158"/>
      <c r="I208" s="2160">
        <v>1</v>
      </c>
      <c r="J208" s="2157"/>
      <c r="K208" s="2160"/>
      <c r="L208" s="2160"/>
      <c r="M208" s="2161"/>
      <c r="N208" s="2152"/>
      <c r="O208" s="2152">
        <f t="shared" si="425"/>
        <v>0</v>
      </c>
      <c r="P208" s="2152"/>
      <c r="Q208" s="2152">
        <f t="shared" si="426"/>
        <v>0</v>
      </c>
      <c r="R208" s="2152"/>
      <c r="S208" s="2152">
        <f t="shared" si="427"/>
        <v>0</v>
      </c>
      <c r="T208" s="2152"/>
      <c r="U208" s="2152"/>
      <c r="V208" s="2152">
        <f t="shared" si="428"/>
        <v>0</v>
      </c>
      <c r="W208" s="2152">
        <f t="shared" si="429"/>
        <v>0</v>
      </c>
      <c r="X208" s="2152"/>
      <c r="Y208" s="2152">
        <f t="shared" si="430"/>
        <v>0</v>
      </c>
      <c r="Z208" s="2152"/>
      <c r="AA208" s="2152">
        <f t="shared" si="431"/>
        <v>0</v>
      </c>
      <c r="AB208" s="2152"/>
      <c r="AC208" s="2152">
        <f>IFERROR(AD208/X208*10,0)</f>
        <v>0</v>
      </c>
      <c r="AD208" s="2152"/>
      <c r="AE208" s="2152"/>
      <c r="AF208" s="2152">
        <f t="shared" si="432"/>
        <v>0</v>
      </c>
      <c r="AG208" s="2152">
        <f t="shared" si="433"/>
        <v>0</v>
      </c>
      <c r="AH208" s="2152"/>
      <c r="AI208" s="2152">
        <f>IFERROR(AJ208/AH208*10,0)</f>
        <v>0</v>
      </c>
      <c r="AJ208" s="2152"/>
      <c r="AK208" s="2152">
        <f>IFERROR(AL208/AH208*10,0)</f>
        <v>0</v>
      </c>
      <c r="AL208" s="2152"/>
      <c r="AM208" s="2152">
        <f>IFERROR(AN208/AH208*10,0)</f>
        <v>0</v>
      </c>
      <c r="AN208" s="2152"/>
      <c r="AO208" s="2152">
        <f>AO207</f>
        <v>0</v>
      </c>
      <c r="AP208" s="2152">
        <f t="shared" si="434"/>
        <v>0</v>
      </c>
      <c r="AQ208" s="2152">
        <f t="shared" si="435"/>
        <v>0</v>
      </c>
      <c r="AR208" s="2152"/>
      <c r="AS208" s="2152">
        <f>IFERROR(AT208/AR208*10,0)</f>
        <v>0</v>
      </c>
      <c r="AT208" s="2152"/>
      <c r="AU208" s="2152">
        <f>IFERROR(AV208/AR208*10,0)</f>
        <v>0</v>
      </c>
      <c r="AV208" s="2152"/>
      <c r="AW208" s="2152">
        <f>IFERROR(AX208/AR208*10,0)</f>
        <v>0</v>
      </c>
      <c r="AX208" s="2152"/>
      <c r="AY208" s="2152"/>
      <c r="AZ208" s="2152">
        <f t="shared" si="436"/>
        <v>0</v>
      </c>
      <c r="BA208" s="2152">
        <f t="shared" si="437"/>
        <v>0</v>
      </c>
      <c r="BB208" s="2152"/>
      <c r="BC208" s="2152">
        <f>IFERROR(BD208/BB208*10,0)</f>
        <v>0</v>
      </c>
      <c r="BD208" s="2152"/>
      <c r="BE208" s="2152">
        <f>IFERROR(BF208/BB208*10,0)</f>
        <v>0</v>
      </c>
      <c r="BF208" s="2152"/>
      <c r="BG208" s="2152">
        <f>IFERROR(BH208/BB208*10,0)</f>
        <v>0</v>
      </c>
      <c r="BH208" s="2152"/>
      <c r="BI208" s="2152"/>
      <c r="BJ208" s="2152">
        <f t="shared" si="438"/>
        <v>0</v>
      </c>
      <c r="BK208" s="2152">
        <f t="shared" si="439"/>
        <v>0</v>
      </c>
      <c r="BL208" s="2152"/>
      <c r="BM208" s="2152">
        <f>IFERROR(BN208/BL208*10,0)</f>
        <v>0</v>
      </c>
      <c r="BN208" s="2152"/>
      <c r="BO208" s="2152">
        <f>IFERROR(BP208/BL208*10,0)</f>
        <v>0</v>
      </c>
      <c r="BP208" s="2152"/>
      <c r="BQ208" s="2152">
        <f>IFERROR(BR208/BL208*10,0)</f>
        <v>0</v>
      </c>
      <c r="BR208" s="2152"/>
      <c r="BS208" s="2152"/>
      <c r="BT208" s="2152">
        <f t="shared" si="440"/>
        <v>0</v>
      </c>
      <c r="BU208" s="2152">
        <f t="shared" si="441"/>
        <v>0</v>
      </c>
      <c r="BV208" s="2152"/>
      <c r="BW208" s="2152">
        <f>IFERROR(BX208/BV208*10,0)</f>
        <v>0</v>
      </c>
      <c r="BX208" s="2152"/>
      <c r="BY208" s="2152">
        <f>IFERROR(BZ208/BV208*10,0)</f>
        <v>0</v>
      </c>
      <c r="BZ208" s="2152"/>
      <c r="CA208" s="2152">
        <f>IFERROR(CB208/BV208*10,0)</f>
        <v>0</v>
      </c>
      <c r="CB208" s="2152"/>
      <c r="CC208" s="2152"/>
      <c r="CD208" s="2152">
        <f t="shared" si="442"/>
        <v>0</v>
      </c>
      <c r="CE208" s="2152">
        <f t="shared" si="443"/>
        <v>0</v>
      </c>
      <c r="CF208" s="2152"/>
      <c r="CG208" s="2152">
        <f>IFERROR(CH208/CF208*10,0)</f>
        <v>0</v>
      </c>
      <c r="CH208" s="2152"/>
      <c r="CI208" s="2152">
        <f>IFERROR(CJ208/CF208*10,0)</f>
        <v>0</v>
      </c>
      <c r="CJ208" s="2152"/>
      <c r="CK208" s="2152">
        <f>IFERROR(CL208/CF208*10,0)</f>
        <v>0</v>
      </c>
      <c r="CL208" s="2152"/>
      <c r="CM208" s="2152"/>
      <c r="CN208" s="2152">
        <f t="shared" si="444"/>
        <v>0</v>
      </c>
      <c r="CO208" s="2152">
        <f t="shared" si="445"/>
        <v>0</v>
      </c>
      <c r="CP208" s="2152"/>
      <c r="CQ208" s="2152">
        <f>IFERROR(CR208/CP208*10,0)</f>
        <v>0</v>
      </c>
      <c r="CR208" s="2152"/>
      <c r="CS208" s="2152">
        <f>IFERROR(CT208/CP208*10,0)</f>
        <v>0</v>
      </c>
      <c r="CT208" s="2152"/>
      <c r="CU208" s="2152">
        <f>IFERROR(CV208/CP208*10,0)</f>
        <v>0</v>
      </c>
      <c r="CV208" s="2152"/>
      <c r="CW208" s="2152"/>
      <c r="CX208" s="2152">
        <f t="shared" si="446"/>
        <v>0</v>
      </c>
      <c r="CY208" s="2152">
        <f t="shared" si="447"/>
        <v>0</v>
      </c>
      <c r="CZ208" s="2106">
        <v>0</v>
      </c>
      <c r="DA208" s="2106">
        <f t="shared" si="356"/>
        <v>0</v>
      </c>
      <c r="DB208" s="2106">
        <v>0</v>
      </c>
      <c r="DC208" s="2106">
        <v>5.5</v>
      </c>
      <c r="DD208" s="2109">
        <f t="shared" si="422"/>
        <v>0</v>
      </c>
      <c r="DE208" s="2152"/>
      <c r="DF208" s="2152"/>
      <c r="DG208" s="2170"/>
      <c r="DH208" s="2152">
        <f t="shared" si="448"/>
        <v>0</v>
      </c>
      <c r="DI208" s="2152">
        <f t="shared" si="449"/>
        <v>0</v>
      </c>
      <c r="DJ208" s="2106">
        <v>0</v>
      </c>
      <c r="DK208" s="2106">
        <f t="shared" si="357"/>
        <v>0</v>
      </c>
      <c r="DL208" s="2106">
        <v>0</v>
      </c>
      <c r="DM208" s="2106">
        <v>5.5</v>
      </c>
      <c r="DN208" s="2109">
        <f t="shared" si="423"/>
        <v>0</v>
      </c>
      <c r="DO208" s="2152"/>
      <c r="DP208" s="2152"/>
      <c r="DQ208" s="2170"/>
      <c r="DR208" s="2152">
        <f t="shared" si="450"/>
        <v>0</v>
      </c>
      <c r="DS208" s="2152">
        <f t="shared" si="451"/>
        <v>0</v>
      </c>
      <c r="DT208" s="2106">
        <v>420.04451168565527</v>
      </c>
      <c r="DU208" s="2106">
        <f t="shared" si="358"/>
        <v>0</v>
      </c>
      <c r="DV208" s="2106">
        <v>0</v>
      </c>
      <c r="DW208" s="2106">
        <v>5.5</v>
      </c>
      <c r="DX208" s="2109">
        <f t="shared" si="424"/>
        <v>231.0244814271104</v>
      </c>
      <c r="DY208" s="2152"/>
      <c r="DZ208" s="2152"/>
      <c r="EA208" s="2152"/>
      <c r="EB208" s="2152">
        <f t="shared" si="452"/>
        <v>5.5</v>
      </c>
      <c r="EC208" s="2152">
        <f t="shared" si="453"/>
        <v>231.0244814271104</v>
      </c>
      <c r="ED208" s="2152">
        <f>SUM(N208,X208,AH208,AR208,BB208,BL208,BV208,CF208,CP208,CZ208,DJ208,DT208)</f>
        <v>420.04451168565527</v>
      </c>
      <c r="EE208" s="2162"/>
      <c r="EF208" s="2152">
        <f>IFERROR(EG208/ED208*10,0)</f>
        <v>0</v>
      </c>
      <c r="EG208" s="2152">
        <f>SUM(P208,Z208,AJ208,AT208,BD208,BN208,BX208,CH208,CR208,DB208,DL208,DV208)</f>
        <v>0</v>
      </c>
      <c r="EH208" s="2152">
        <f>IFERROR(EI208/ED208*10,0)</f>
        <v>5.5</v>
      </c>
      <c r="EI208" s="2152">
        <f>SUM(R208,AB208,AL208,AV208,BF208,BP208,BZ208,CJ208,CT208,DD208,DN208,DX208)</f>
        <v>231.0244814271104</v>
      </c>
      <c r="EJ208" s="2152"/>
      <c r="EK208" s="2152">
        <f>SUM(T208,AD208,AN208,AX208,BH208,BR208,CB208,CL208,CV208,DF208,DP208,DZ208)</f>
        <v>0</v>
      </c>
      <c r="EL208" s="2152"/>
      <c r="EM208" s="2152"/>
      <c r="EN208" s="2152">
        <f>EG208+EI208+EK208</f>
        <v>231.0244814271104</v>
      </c>
      <c r="EO208" s="2157">
        <f>IFERROR(EN208/ED208*10,0)</f>
        <v>5.5</v>
      </c>
      <c r="EP208" s="2163"/>
      <c r="ES208" s="2084">
        <f t="shared" si="355"/>
        <v>0</v>
      </c>
      <c r="EU208" s="2084">
        <f t="shared" si="359"/>
        <v>0</v>
      </c>
      <c r="EV208" s="2084">
        <f t="shared" si="360"/>
        <v>0</v>
      </c>
      <c r="EW208" s="2084" t="e">
        <f t="shared" si="361"/>
        <v>#DIV/0!</v>
      </c>
    </row>
    <row r="209" spans="1:153">
      <c r="A209" s="1760" t="s">
        <v>220</v>
      </c>
      <c r="B209" s="2176" t="s">
        <v>1809</v>
      </c>
      <c r="C209" s="1596"/>
      <c r="D209" s="1597"/>
      <c r="E209" s="1592"/>
      <c r="F209" s="1597"/>
      <c r="G209" s="1592"/>
      <c r="H209" s="2174"/>
      <c r="I209" s="2152"/>
      <c r="J209" s="2152"/>
      <c r="K209" s="2160"/>
      <c r="L209" s="2160"/>
      <c r="M209" s="2161"/>
      <c r="N209" s="2152"/>
      <c r="O209" s="2152"/>
      <c r="P209" s="2152"/>
      <c r="Q209" s="2152"/>
      <c r="R209" s="2152"/>
      <c r="S209" s="2152"/>
      <c r="T209" s="2152">
        <v>-3.47873E-2</v>
      </c>
      <c r="U209" s="2152"/>
      <c r="V209" s="2152">
        <f t="shared" si="428"/>
        <v>0</v>
      </c>
      <c r="W209" s="2152">
        <f t="shared" si="429"/>
        <v>-3.47873E-2</v>
      </c>
      <c r="X209" s="2152"/>
      <c r="Y209" s="2152"/>
      <c r="Z209" s="2152"/>
      <c r="AA209" s="2152"/>
      <c r="AB209" s="2152"/>
      <c r="AC209" s="2152"/>
      <c r="AD209" s="2152">
        <v>-0.89383100000000004</v>
      </c>
      <c r="AE209" s="2152"/>
      <c r="AF209" s="2152"/>
      <c r="AG209" s="2152">
        <f t="shared" si="433"/>
        <v>-0.89383100000000004</v>
      </c>
      <c r="AH209" s="2152"/>
      <c r="AI209" s="2152"/>
      <c r="AJ209" s="2152"/>
      <c r="AK209" s="2152"/>
      <c r="AL209" s="2152"/>
      <c r="AM209" s="2152"/>
      <c r="AN209" s="2152">
        <v>0.13816410000000001</v>
      </c>
      <c r="AO209" s="2152"/>
      <c r="AP209" s="2152"/>
      <c r="AQ209" s="2152">
        <f t="shared" si="435"/>
        <v>0.13816410000000001</v>
      </c>
      <c r="AR209" s="2152"/>
      <c r="AS209" s="2152"/>
      <c r="AT209" s="2152"/>
      <c r="AU209" s="2152"/>
      <c r="AV209" s="2152"/>
      <c r="AW209" s="2152"/>
      <c r="AX209" s="2152">
        <v>-1.2189066</v>
      </c>
      <c r="AY209" s="2152"/>
      <c r="AZ209" s="2152">
        <f>IFERROR(BA209/AR209*10,0)</f>
        <v>0</v>
      </c>
      <c r="BA209" s="2152">
        <f>SUM(AT209,AV209,AX209,AY209)</f>
        <v>-1.2189066</v>
      </c>
      <c r="BB209" s="2152"/>
      <c r="BC209" s="2152"/>
      <c r="BD209" s="2152"/>
      <c r="BE209" s="2152"/>
      <c r="BF209" s="2152"/>
      <c r="BG209" s="2152"/>
      <c r="BH209" s="2152">
        <v>-0.37337989999999999</v>
      </c>
      <c r="BI209" s="2152"/>
      <c r="BJ209" s="2152">
        <f>IFERROR(BK209/BB209*10,0)</f>
        <v>0</v>
      </c>
      <c r="BK209" s="2152">
        <f>SUM(BD209,BF209,BH209,BI209)</f>
        <v>-0.37337989999999999</v>
      </c>
      <c r="BL209" s="2152"/>
      <c r="BM209" s="2152"/>
      <c r="BN209" s="2152"/>
      <c r="BO209" s="2152"/>
      <c r="BP209" s="2152"/>
      <c r="BQ209" s="2152"/>
      <c r="BR209" s="2152">
        <v>-0.1485534</v>
      </c>
      <c r="BS209" s="2152"/>
      <c r="BT209" s="2152">
        <f>IFERROR(BU209/BL209*10,0)</f>
        <v>0</v>
      </c>
      <c r="BU209" s="2152">
        <f>SUM(BN209,BP209,BR209,BS209)</f>
        <v>-0.1485534</v>
      </c>
      <c r="BV209" s="2152"/>
      <c r="BW209" s="2152"/>
      <c r="BX209" s="2152"/>
      <c r="BY209" s="2152"/>
      <c r="BZ209" s="2152"/>
      <c r="CA209" s="2152"/>
      <c r="CB209" s="2152">
        <v>0.64164410000000005</v>
      </c>
      <c r="CC209" s="2152"/>
      <c r="CD209" s="2152">
        <f>IFERROR(CE209/BV209*10,0)</f>
        <v>0</v>
      </c>
      <c r="CE209" s="2152">
        <f>SUM(BX209,BZ209,CB209,CC209)</f>
        <v>0.64164410000000005</v>
      </c>
      <c r="CF209" s="2152"/>
      <c r="CG209" s="2152"/>
      <c r="CH209" s="2152"/>
      <c r="CI209" s="2152"/>
      <c r="CJ209" s="2152"/>
      <c r="CK209" s="2152"/>
      <c r="CL209" s="2152">
        <v>-0.55898080000000006</v>
      </c>
      <c r="CM209" s="2152"/>
      <c r="CN209" s="2152">
        <f>IFERROR(CO209/CF209*10,0)</f>
        <v>0</v>
      </c>
      <c r="CO209" s="2152">
        <f>SUM(CH209,CJ209,CL209,CM209)</f>
        <v>-0.55898080000000006</v>
      </c>
      <c r="CP209" s="2152"/>
      <c r="CQ209" s="2152"/>
      <c r="CR209" s="2152"/>
      <c r="CS209" s="2152"/>
      <c r="CT209" s="2152"/>
      <c r="CU209" s="2152"/>
      <c r="CV209" s="2152">
        <v>0.84342110000000003</v>
      </c>
      <c r="CW209" s="2152"/>
      <c r="CX209" s="2152">
        <f>IFERROR(CY209/CP209*10,0)</f>
        <v>0</v>
      </c>
      <c r="CY209" s="2152">
        <f>SUM(CR209,CT209,CV209,CW209)</f>
        <v>0.84342110000000003</v>
      </c>
      <c r="CZ209" s="2106"/>
      <c r="DA209" s="2106"/>
      <c r="DB209" s="2106"/>
      <c r="DC209" s="2106"/>
      <c r="DD209" s="2109"/>
      <c r="DE209" s="2152"/>
      <c r="DF209" s="2152"/>
      <c r="DG209" s="2170"/>
      <c r="DH209" s="2152"/>
      <c r="DI209" s="2152"/>
      <c r="DJ209" s="2106"/>
      <c r="DK209" s="2106"/>
      <c r="DL209" s="2106"/>
      <c r="DM209" s="2106"/>
      <c r="DN209" s="2109"/>
      <c r="DO209" s="2152"/>
      <c r="DP209" s="2152"/>
      <c r="DQ209" s="2170"/>
      <c r="DR209" s="2152"/>
      <c r="DS209" s="2152"/>
      <c r="DT209" s="2106"/>
      <c r="DU209" s="2106"/>
      <c r="DV209" s="2106"/>
      <c r="DW209" s="2106"/>
      <c r="DX209" s="2109"/>
      <c r="DY209" s="2152"/>
      <c r="DZ209" s="2152"/>
      <c r="EA209" s="2152"/>
      <c r="EB209" s="2152"/>
      <c r="EC209" s="2152"/>
      <c r="ED209" s="2152"/>
      <c r="EE209" s="2162"/>
      <c r="EF209" s="2152"/>
      <c r="EG209" s="2152"/>
      <c r="EH209" s="2152"/>
      <c r="EI209" s="2152"/>
      <c r="EJ209" s="2152"/>
      <c r="EK209" s="2152"/>
      <c r="EL209" s="2152"/>
      <c r="EM209" s="2152"/>
      <c r="EN209" s="2152"/>
      <c r="EO209" s="2157"/>
      <c r="EP209" s="2163"/>
    </row>
    <row r="210" spans="1:153">
      <c r="A210" s="1760" t="s">
        <v>479</v>
      </c>
      <c r="B210" s="1592" t="s">
        <v>1810</v>
      </c>
      <c r="C210" s="1596"/>
      <c r="D210" s="1597"/>
      <c r="E210" s="1592"/>
      <c r="F210" s="1597"/>
      <c r="G210" s="1592"/>
      <c r="H210" s="2174"/>
      <c r="I210" s="2152">
        <v>2</v>
      </c>
      <c r="J210" s="2152"/>
      <c r="K210" s="2160"/>
      <c r="L210" s="2160"/>
      <c r="M210" s="2161"/>
      <c r="N210" s="2152"/>
      <c r="O210" s="2152">
        <f t="shared" si="425"/>
        <v>0</v>
      </c>
      <c r="P210" s="2152"/>
      <c r="Q210" s="2152">
        <f t="shared" si="426"/>
        <v>0</v>
      </c>
      <c r="R210" s="2152"/>
      <c r="S210" s="2152">
        <f t="shared" si="427"/>
        <v>0</v>
      </c>
      <c r="T210" s="2152">
        <v>1.8499999999999999E-2</v>
      </c>
      <c r="U210" s="2152"/>
      <c r="V210" s="2152">
        <f t="shared" si="428"/>
        <v>0</v>
      </c>
      <c r="W210" s="2152">
        <f t="shared" si="429"/>
        <v>1.8499999999999999E-2</v>
      </c>
      <c r="X210" s="2152"/>
      <c r="Y210" s="2152">
        <f t="shared" si="430"/>
        <v>0</v>
      </c>
      <c r="Z210" s="2152"/>
      <c r="AA210" s="2152">
        <f t="shared" si="431"/>
        <v>0</v>
      </c>
      <c r="AB210" s="2152"/>
      <c r="AC210" s="2152">
        <f>IFERROR(AD210/X210*10,0)</f>
        <v>0</v>
      </c>
      <c r="AD210" s="2152">
        <v>0.1305</v>
      </c>
      <c r="AE210" s="2152"/>
      <c r="AF210" s="2152">
        <f t="shared" si="432"/>
        <v>0</v>
      </c>
      <c r="AG210" s="2152">
        <f t="shared" si="433"/>
        <v>0.1305</v>
      </c>
      <c r="AH210" s="2152"/>
      <c r="AI210" s="2152">
        <f>IFERROR(AJ210/AH210*10,0)</f>
        <v>0</v>
      </c>
      <c r="AJ210" s="2152"/>
      <c r="AK210" s="2152">
        <f>IFERROR(AL210/AH210*10,0)</f>
        <v>0</v>
      </c>
      <c r="AL210" s="2152"/>
      <c r="AM210" s="2152">
        <f>IFERROR(AN210/AH210*10,0)</f>
        <v>0</v>
      </c>
      <c r="AN210" s="2152">
        <v>0</v>
      </c>
      <c r="AO210" s="2152"/>
      <c r="AP210" s="2152">
        <f t="shared" si="434"/>
        <v>0</v>
      </c>
      <c r="AQ210" s="2152">
        <f t="shared" si="435"/>
        <v>0</v>
      </c>
      <c r="AR210" s="2152"/>
      <c r="AS210" s="2152">
        <f>IFERROR(AT210/AR210*10,0)</f>
        <v>0</v>
      </c>
      <c r="AT210" s="2152"/>
      <c r="AU210" s="2152">
        <f>IFERROR(AV210/AR210*10,0)</f>
        <v>0</v>
      </c>
      <c r="AV210" s="2152"/>
      <c r="AW210" s="2152">
        <f>IFERROR(AX210/AR210*10,0)</f>
        <v>0</v>
      </c>
      <c r="AX210" s="2152">
        <v>6.7000000000000002E-3</v>
      </c>
      <c r="AY210" s="2152">
        <v>1.2449999999999999E-4</v>
      </c>
      <c r="AZ210" s="2152">
        <f t="shared" si="436"/>
        <v>0</v>
      </c>
      <c r="BA210" s="2152">
        <f t="shared" si="437"/>
        <v>6.8244999999999998E-3</v>
      </c>
      <c r="BB210" s="2152"/>
      <c r="BC210" s="2152">
        <f>IFERROR(BD210/BB210*10,0)</f>
        <v>0</v>
      </c>
      <c r="BD210" s="2152"/>
      <c r="BE210" s="2152">
        <f>IFERROR(BF210/BB210*10,0)</f>
        <v>0</v>
      </c>
      <c r="BF210" s="2152"/>
      <c r="BG210" s="2152">
        <f>IFERROR(BH210/BB210*10,0)</f>
        <v>0</v>
      </c>
      <c r="BH210" s="2152">
        <v>0</v>
      </c>
      <c r="BI210" s="2152">
        <v>0</v>
      </c>
      <c r="BJ210" s="2152">
        <f t="shared" si="438"/>
        <v>0</v>
      </c>
      <c r="BK210" s="2152">
        <f t="shared" si="439"/>
        <v>0</v>
      </c>
      <c r="BL210" s="2152"/>
      <c r="BM210" s="2152">
        <f>IFERROR(BN210/BL210*10,0)</f>
        <v>0</v>
      </c>
      <c r="BN210" s="2152"/>
      <c r="BO210" s="2152">
        <f>IFERROR(BP210/BL210*10,0)</f>
        <v>0</v>
      </c>
      <c r="BP210" s="2152"/>
      <c r="BQ210" s="2152">
        <f>IFERROR(BR210/BL210*10,0)</f>
        <v>0</v>
      </c>
      <c r="BR210" s="2152">
        <v>2.64E-2</v>
      </c>
      <c r="BS210" s="2152"/>
      <c r="BT210" s="2152">
        <f t="shared" si="440"/>
        <v>0</v>
      </c>
      <c r="BU210" s="2152">
        <f t="shared" si="441"/>
        <v>2.64E-2</v>
      </c>
      <c r="BV210" s="2152"/>
      <c r="BW210" s="2152">
        <f>IFERROR(BX210/BV210*10,0)</f>
        <v>0</v>
      </c>
      <c r="BX210" s="2152"/>
      <c r="BY210" s="2152">
        <f>IFERROR(BZ210/BV210*10,0)</f>
        <v>0</v>
      </c>
      <c r="BZ210" s="2152"/>
      <c r="CA210" s="2152">
        <f>IFERROR(CB210/BV210*10,0)</f>
        <v>0</v>
      </c>
      <c r="CB210" s="2152">
        <v>7.1999999999999998E-3</v>
      </c>
      <c r="CC210" s="2152">
        <v>0</v>
      </c>
      <c r="CD210" s="2152">
        <f t="shared" si="442"/>
        <v>0</v>
      </c>
      <c r="CE210" s="2152">
        <f t="shared" si="443"/>
        <v>7.1999999999999998E-3</v>
      </c>
      <c r="CF210" s="2152"/>
      <c r="CG210" s="2152">
        <f>IFERROR(CH210/CF210*10,0)</f>
        <v>0</v>
      </c>
      <c r="CH210" s="2152"/>
      <c r="CI210" s="2152">
        <f>IFERROR(CJ210/CF210*10,0)</f>
        <v>0</v>
      </c>
      <c r="CJ210" s="2152"/>
      <c r="CK210" s="2152">
        <f>IFERROR(CL210/CF210*10,0)</f>
        <v>0</v>
      </c>
      <c r="CL210" s="2152">
        <v>3.6600000000000001E-2</v>
      </c>
      <c r="CM210" s="2152">
        <v>0</v>
      </c>
      <c r="CN210" s="2152">
        <f t="shared" si="444"/>
        <v>0</v>
      </c>
      <c r="CO210" s="2152">
        <f t="shared" si="445"/>
        <v>3.6600000000000001E-2</v>
      </c>
      <c r="CP210" s="2152"/>
      <c r="CQ210" s="2152">
        <f>IFERROR(CR210/CP210*10,0)</f>
        <v>0</v>
      </c>
      <c r="CR210" s="2152"/>
      <c r="CS210" s="2152">
        <f>IFERROR(CT210/CP210*10,0)</f>
        <v>0</v>
      </c>
      <c r="CT210" s="2152"/>
      <c r="CU210" s="2152">
        <f>IFERROR(CV210/CP210*10,0)</f>
        <v>0</v>
      </c>
      <c r="CV210" s="2152">
        <v>0</v>
      </c>
      <c r="CW210" s="2152"/>
      <c r="CX210" s="2152">
        <f t="shared" si="446"/>
        <v>0</v>
      </c>
      <c r="CY210" s="2152">
        <f t="shared" si="447"/>
        <v>0</v>
      </c>
      <c r="CZ210" s="2106">
        <v>0</v>
      </c>
      <c r="DA210" s="2106">
        <f t="shared" si="356"/>
        <v>0</v>
      </c>
      <c r="DB210" s="2106">
        <v>0</v>
      </c>
      <c r="DC210" s="2106">
        <v>0</v>
      </c>
      <c r="DD210" s="2109">
        <f t="shared" si="422"/>
        <v>0</v>
      </c>
      <c r="DE210" s="2152"/>
      <c r="DF210" s="2152"/>
      <c r="DG210" s="2170"/>
      <c r="DH210" s="2152">
        <f t="shared" si="448"/>
        <v>0</v>
      </c>
      <c r="DI210" s="2152">
        <f t="shared" si="449"/>
        <v>0</v>
      </c>
      <c r="DJ210" s="2106">
        <v>0</v>
      </c>
      <c r="DK210" s="2106">
        <f t="shared" si="357"/>
        <v>0</v>
      </c>
      <c r="DL210" s="2106">
        <v>0</v>
      </c>
      <c r="DM210" s="2106">
        <v>0</v>
      </c>
      <c r="DN210" s="2109">
        <f t="shared" si="423"/>
        <v>0</v>
      </c>
      <c r="DO210" s="2152"/>
      <c r="DP210" s="2152"/>
      <c r="DQ210" s="2170"/>
      <c r="DR210" s="2152">
        <f t="shared" si="450"/>
        <v>0</v>
      </c>
      <c r="DS210" s="2152">
        <f t="shared" si="451"/>
        <v>0</v>
      </c>
      <c r="DT210" s="2106">
        <v>0</v>
      </c>
      <c r="DU210" s="2106">
        <f t="shared" si="358"/>
        <v>0</v>
      </c>
      <c r="DV210" s="2106">
        <v>0</v>
      </c>
      <c r="DW210" s="2106">
        <v>0</v>
      </c>
      <c r="DX210" s="2109">
        <f t="shared" si="424"/>
        <v>0</v>
      </c>
      <c r="DY210" s="2152"/>
      <c r="DZ210" s="2152"/>
      <c r="EA210" s="2152"/>
      <c r="EB210" s="2152">
        <f t="shared" si="452"/>
        <v>0</v>
      </c>
      <c r="EC210" s="2152">
        <f t="shared" si="453"/>
        <v>0</v>
      </c>
      <c r="ED210" s="2152">
        <f>SUM(N210,X210,AH210,AR210,BB210,BL210,BV210,CF210,CP210,CZ210,DJ210,DT210)</f>
        <v>0</v>
      </c>
      <c r="EE210" s="2162"/>
      <c r="EF210" s="2152">
        <f>IFERROR(EG210/ED210*10,0)</f>
        <v>0</v>
      </c>
      <c r="EG210" s="2152">
        <f>SUM(P210,Z210,AJ210,AT210,BD210,BN210,BX210,CH210,CR210,DB210,DL210,DV210)</f>
        <v>0</v>
      </c>
      <c r="EH210" s="2152">
        <f>IFERROR(EI210/ED210*10,0)</f>
        <v>0</v>
      </c>
      <c r="EI210" s="2152">
        <f>SUM(R210,AB210,AL210,AV210,BF210,BP210,BZ210,CJ210,CT210,DD210,DN210,DX210)</f>
        <v>0</v>
      </c>
      <c r="EJ210" s="2152"/>
      <c r="EK210" s="2152">
        <f>SUM(T210,AD210,AN210,AX210,BH210,BR210,CB210,CL210,CV210,DF210,DP210,DZ210)</f>
        <v>0.22590000000000002</v>
      </c>
      <c r="EL210" s="2152"/>
      <c r="EM210" s="2152"/>
      <c r="EN210" s="2152">
        <f>EG210+EI210+EK210</f>
        <v>0.22590000000000002</v>
      </c>
      <c r="EO210" s="2157">
        <f>IFERROR(EN210/ED210*10,0)</f>
        <v>0</v>
      </c>
      <c r="EP210" s="2163"/>
      <c r="ES210" s="2084">
        <f t="shared" si="355"/>
        <v>0</v>
      </c>
      <c r="EU210" s="2084">
        <f t="shared" si="359"/>
        <v>0</v>
      </c>
      <c r="EV210" s="2084">
        <f t="shared" si="360"/>
        <v>0</v>
      </c>
      <c r="EW210" s="2084" t="e">
        <f t="shared" si="361"/>
        <v>#DIV/0!</v>
      </c>
    </row>
    <row r="211" spans="1:153">
      <c r="A211" s="1760" t="s">
        <v>480</v>
      </c>
      <c r="B211" s="1592" t="s">
        <v>1811</v>
      </c>
      <c r="C211" s="1596"/>
      <c r="D211" s="1597"/>
      <c r="E211" s="1592"/>
      <c r="F211" s="1597"/>
      <c r="G211" s="1592"/>
      <c r="H211" s="2174"/>
      <c r="I211" s="2152">
        <v>2</v>
      </c>
      <c r="J211" s="2152"/>
      <c r="K211" s="2160"/>
      <c r="L211" s="2160"/>
      <c r="M211" s="2161"/>
      <c r="N211" s="2152"/>
      <c r="O211" s="2152">
        <f t="shared" si="425"/>
        <v>0</v>
      </c>
      <c r="P211" s="2152"/>
      <c r="Q211" s="2152">
        <f t="shared" si="426"/>
        <v>0</v>
      </c>
      <c r="R211" s="2152"/>
      <c r="S211" s="2152">
        <f t="shared" si="427"/>
        <v>0</v>
      </c>
      <c r="T211" s="2152">
        <v>425.47809489999997</v>
      </c>
      <c r="U211" s="2152"/>
      <c r="V211" s="2152">
        <f t="shared" si="428"/>
        <v>0</v>
      </c>
      <c r="W211" s="2152">
        <f t="shared" si="429"/>
        <v>425.47809489999997</v>
      </c>
      <c r="X211" s="2152"/>
      <c r="Y211" s="2152">
        <f t="shared" si="430"/>
        <v>0</v>
      </c>
      <c r="Z211" s="2152"/>
      <c r="AA211" s="2152">
        <f t="shared" si="431"/>
        <v>0</v>
      </c>
      <c r="AB211" s="2152"/>
      <c r="AC211" s="2152">
        <f>IFERROR(AD211/X211*10,0)</f>
        <v>0</v>
      </c>
      <c r="AD211" s="2152">
        <v>436.94428749999997</v>
      </c>
      <c r="AE211" s="2152"/>
      <c r="AF211" s="2152">
        <f t="shared" si="432"/>
        <v>0</v>
      </c>
      <c r="AG211" s="2152">
        <f t="shared" si="433"/>
        <v>436.94428749999997</v>
      </c>
      <c r="AH211" s="2152"/>
      <c r="AI211" s="2152">
        <f>IFERROR(AJ211/AH211*10,0)</f>
        <v>0</v>
      </c>
      <c r="AJ211" s="2152"/>
      <c r="AK211" s="2152">
        <f>IFERROR(AL211/AH211*10,0)</f>
        <v>0</v>
      </c>
      <c r="AL211" s="2152"/>
      <c r="AM211" s="2152">
        <f>IFERROR(AN211/AH211*10,0)</f>
        <v>0</v>
      </c>
      <c r="AN211" s="2152">
        <v>457.17004659999998</v>
      </c>
      <c r="AO211" s="2152"/>
      <c r="AP211" s="2152">
        <f t="shared" si="434"/>
        <v>0</v>
      </c>
      <c r="AQ211" s="2152">
        <f t="shared" si="435"/>
        <v>457.17004659999998</v>
      </c>
      <c r="AR211" s="2152"/>
      <c r="AS211" s="2152">
        <f>IFERROR(AT211/AR211*10,0)</f>
        <v>0</v>
      </c>
      <c r="AT211" s="2152"/>
      <c r="AU211" s="2152">
        <f>IFERROR(AV211/AR211*10,0)</f>
        <v>0</v>
      </c>
      <c r="AV211" s="2152"/>
      <c r="AW211" s="2152">
        <f>IFERROR(AX211/AR211*10,0)</f>
        <v>0</v>
      </c>
      <c r="AX211" s="2152">
        <v>464.04914100000002</v>
      </c>
      <c r="AY211" s="2152"/>
      <c r="AZ211" s="2152">
        <f t="shared" si="436"/>
        <v>0</v>
      </c>
      <c r="BA211" s="2152">
        <f t="shared" si="437"/>
        <v>464.04914100000002</v>
      </c>
      <c r="BB211" s="2152"/>
      <c r="BC211" s="2152">
        <f>IFERROR(BD211/BB211*10,0)</f>
        <v>0</v>
      </c>
      <c r="BD211" s="2152"/>
      <c r="BE211" s="2152">
        <f>IFERROR(BF211/BB211*10,0)</f>
        <v>0</v>
      </c>
      <c r="BF211" s="2152"/>
      <c r="BG211" s="2152">
        <f>IFERROR(BH211/BB211*10,0)</f>
        <v>0</v>
      </c>
      <c r="BH211" s="2152">
        <v>510.63502360000001</v>
      </c>
      <c r="BI211" s="2152"/>
      <c r="BJ211" s="2152">
        <f t="shared" si="438"/>
        <v>0</v>
      </c>
      <c r="BK211" s="2152">
        <f t="shared" si="439"/>
        <v>510.63502360000001</v>
      </c>
      <c r="BL211" s="2152"/>
      <c r="BM211" s="2152">
        <f>IFERROR(BN211/BL211*10,0)</f>
        <v>0</v>
      </c>
      <c r="BN211" s="2152"/>
      <c r="BO211" s="2152">
        <f>IFERROR(BP211/BL211*10,0)</f>
        <v>0</v>
      </c>
      <c r="BP211" s="2152"/>
      <c r="BQ211" s="2152">
        <f>IFERROR(BR211/BL211*10,0)</f>
        <v>0</v>
      </c>
      <c r="BR211" s="2152">
        <v>398.31191519999999</v>
      </c>
      <c r="BS211" s="2152"/>
      <c r="BT211" s="2152">
        <f t="shared" si="440"/>
        <v>0</v>
      </c>
      <c r="BU211" s="2152">
        <f t="shared" si="441"/>
        <v>398.31191519999999</v>
      </c>
      <c r="BV211" s="2152"/>
      <c r="BW211" s="2152">
        <f>IFERROR(BX211/BV211*10,0)</f>
        <v>0</v>
      </c>
      <c r="BX211" s="2152"/>
      <c r="BY211" s="2152">
        <f>IFERROR(BZ211/BV211*10,0)</f>
        <v>0</v>
      </c>
      <c r="BZ211" s="2152"/>
      <c r="CA211" s="2152">
        <f>IFERROR(CB211/BV211*10,0)</f>
        <v>0</v>
      </c>
      <c r="CB211" s="2152">
        <v>326.94765150000001</v>
      </c>
      <c r="CC211" s="2152"/>
      <c r="CD211" s="2152">
        <f t="shared" si="442"/>
        <v>0</v>
      </c>
      <c r="CE211" s="2152">
        <f t="shared" si="443"/>
        <v>326.94765150000001</v>
      </c>
      <c r="CF211" s="2152"/>
      <c r="CG211" s="2152">
        <f>IFERROR(CH211/CF211*10,0)</f>
        <v>0</v>
      </c>
      <c r="CH211" s="2152"/>
      <c r="CI211" s="2152">
        <f>IFERROR(CJ211/CF211*10,0)</f>
        <v>0</v>
      </c>
      <c r="CJ211" s="2106"/>
      <c r="CK211" s="2152">
        <f>IFERROR(CL211/CF211*10,0)</f>
        <v>0</v>
      </c>
      <c r="CL211" s="2152">
        <v>497.09955960000002</v>
      </c>
      <c r="CM211" s="2152"/>
      <c r="CN211" s="2152">
        <f t="shared" si="444"/>
        <v>0</v>
      </c>
      <c r="CO211" s="2152">
        <f t="shared" si="445"/>
        <v>497.09955960000002</v>
      </c>
      <c r="CP211" s="2152"/>
      <c r="CQ211" s="2152">
        <f>IFERROR(CR211/CP211*10,0)</f>
        <v>0</v>
      </c>
      <c r="CR211" s="2152"/>
      <c r="CS211" s="2152">
        <f>IFERROR(CT211/CP211*10,0)</f>
        <v>0</v>
      </c>
      <c r="CT211" s="2152"/>
      <c r="CU211" s="2152">
        <f>IFERROR(CV211/CP211*10,0)</f>
        <v>0</v>
      </c>
      <c r="CV211" s="2152">
        <v>222.53916319999999</v>
      </c>
      <c r="CW211" s="2152"/>
      <c r="CX211" s="2152">
        <f t="shared" si="446"/>
        <v>0</v>
      </c>
      <c r="CY211" s="2152">
        <f t="shared" si="447"/>
        <v>222.53916319999999</v>
      </c>
      <c r="CZ211" s="2106">
        <v>0</v>
      </c>
      <c r="DA211" s="2106">
        <f t="shared" si="356"/>
        <v>0</v>
      </c>
      <c r="DB211" s="2106">
        <v>0</v>
      </c>
      <c r="DC211" s="2106">
        <v>0</v>
      </c>
      <c r="DD211" s="2109">
        <f t="shared" si="422"/>
        <v>0</v>
      </c>
      <c r="DE211" s="2152"/>
      <c r="DF211" s="2152"/>
      <c r="DG211" s="2152"/>
      <c r="DH211" s="2152">
        <f t="shared" si="448"/>
        <v>0</v>
      </c>
      <c r="DI211" s="2152">
        <f t="shared" si="449"/>
        <v>0</v>
      </c>
      <c r="DJ211" s="2106">
        <v>0</v>
      </c>
      <c r="DK211" s="2106">
        <f t="shared" si="357"/>
        <v>0</v>
      </c>
      <c r="DL211" s="2106">
        <v>0</v>
      </c>
      <c r="DM211" s="2106">
        <v>0</v>
      </c>
      <c r="DN211" s="2109">
        <f t="shared" si="423"/>
        <v>0</v>
      </c>
      <c r="DO211" s="2152"/>
      <c r="DP211" s="2152"/>
      <c r="DQ211" s="2152"/>
      <c r="DR211" s="2152">
        <f t="shared" si="450"/>
        <v>0</v>
      </c>
      <c r="DS211" s="2152">
        <f t="shared" si="451"/>
        <v>0</v>
      </c>
      <c r="DT211" s="2106">
        <v>0</v>
      </c>
      <c r="DU211" s="2106">
        <f t="shared" si="358"/>
        <v>0</v>
      </c>
      <c r="DV211" s="2106">
        <v>0</v>
      </c>
      <c r="DW211" s="2106">
        <v>0</v>
      </c>
      <c r="DX211" s="2109">
        <f t="shared" si="424"/>
        <v>0</v>
      </c>
      <c r="DY211" s="2152"/>
      <c r="DZ211" s="2152"/>
      <c r="EA211" s="2152"/>
      <c r="EB211" s="2152">
        <f t="shared" si="452"/>
        <v>0</v>
      </c>
      <c r="EC211" s="2152">
        <f t="shared" si="453"/>
        <v>0</v>
      </c>
      <c r="ED211" s="2152">
        <f>SUM(N211,X211,AH211,AR211,BB211,BL211,BV211,CF211,CP211,CZ211,DJ211,DT211)</f>
        <v>0</v>
      </c>
      <c r="EE211" s="2162"/>
      <c r="EF211" s="2152">
        <f>IFERROR(EG211/ED211*10,0)</f>
        <v>0</v>
      </c>
      <c r="EG211" s="2152">
        <f>SUM(P211,Z211,AJ211,AT211,BD211,BN211,BX211,CH211,CR211,DB211,DL211,DV211)</f>
        <v>0</v>
      </c>
      <c r="EH211" s="2152">
        <f>IFERROR(EI211/ED211*10,0)</f>
        <v>0</v>
      </c>
      <c r="EI211" s="2152">
        <f>SUM(R211,AB211,AL211,AV211,BF211,BP211,BZ211,CJ211,CT211,DD211,DN211,DX211)</f>
        <v>0</v>
      </c>
      <c r="EJ211" s="2152"/>
      <c r="EK211" s="2152">
        <v>6014.4007346850003</v>
      </c>
      <c r="EL211" s="2152"/>
      <c r="EM211" s="2152"/>
      <c r="EN211" s="2152">
        <f>EG211+EI211+EK211</f>
        <v>6014.4007346850003</v>
      </c>
      <c r="EO211" s="2157">
        <f>IFERROR(EN211/ED211*10,0)</f>
        <v>0</v>
      </c>
      <c r="EP211" s="2163"/>
      <c r="ES211" s="2084">
        <f t="shared" si="355"/>
        <v>0</v>
      </c>
      <c r="EU211" s="2084">
        <f t="shared" si="359"/>
        <v>0</v>
      </c>
      <c r="EV211" s="2084">
        <f t="shared" si="360"/>
        <v>0</v>
      </c>
      <c r="EW211" s="2084" t="e">
        <f t="shared" si="361"/>
        <v>#DIV/0!</v>
      </c>
    </row>
    <row r="212" spans="1:153">
      <c r="A212" s="1760"/>
      <c r="B212" s="1592" t="s">
        <v>1812</v>
      </c>
      <c r="C212" s="1596"/>
      <c r="D212" s="1597"/>
      <c r="E212" s="1592"/>
      <c r="F212" s="1597"/>
      <c r="G212" s="1592"/>
      <c r="H212" s="2174"/>
      <c r="I212" s="2152"/>
      <c r="J212" s="2152"/>
      <c r="K212" s="2160"/>
      <c r="L212" s="2160"/>
      <c r="M212" s="2161"/>
      <c r="N212" s="2152"/>
      <c r="O212" s="2152"/>
      <c r="P212" s="2152"/>
      <c r="Q212" s="2152"/>
      <c r="R212" s="2152"/>
      <c r="S212" s="2152"/>
      <c r="T212" s="2152">
        <v>-2.1387455000000002</v>
      </c>
      <c r="U212" s="2152"/>
      <c r="V212" s="2152">
        <f t="shared" si="428"/>
        <v>0</v>
      </c>
      <c r="W212" s="2152">
        <f t="shared" si="429"/>
        <v>-2.1387455000000002</v>
      </c>
      <c r="X212" s="2152"/>
      <c r="Y212" s="2152">
        <f t="shared" si="430"/>
        <v>0</v>
      </c>
      <c r="Z212" s="2152"/>
      <c r="AA212" s="2152">
        <f t="shared" si="431"/>
        <v>0</v>
      </c>
      <c r="AB212" s="2152"/>
      <c r="AC212" s="2152"/>
      <c r="AD212" s="2152">
        <v>-1.4169986999999999</v>
      </c>
      <c r="AE212" s="2152"/>
      <c r="AF212" s="2152">
        <f t="shared" si="432"/>
        <v>0</v>
      </c>
      <c r="AG212" s="2152">
        <f t="shared" si="433"/>
        <v>-1.4169986999999999</v>
      </c>
      <c r="AH212" s="2152"/>
      <c r="AI212" s="2152">
        <f>IFERROR(AJ212/AH212*10,0)</f>
        <v>0</v>
      </c>
      <c r="AJ212" s="2152"/>
      <c r="AK212" s="2152">
        <f>IFERROR(AL212/AH212*10,0)</f>
        <v>0</v>
      </c>
      <c r="AL212" s="2152"/>
      <c r="AM212" s="2152"/>
      <c r="AN212" s="2152">
        <v>-2.4153109000000001</v>
      </c>
      <c r="AO212" s="2152"/>
      <c r="AP212" s="2152">
        <f t="shared" si="434"/>
        <v>0</v>
      </c>
      <c r="AQ212" s="2152">
        <f t="shared" si="435"/>
        <v>-2.4153109000000001</v>
      </c>
      <c r="AR212" s="2152"/>
      <c r="AS212" s="2152">
        <f>IFERROR(AT212/AR212*10,0)</f>
        <v>0</v>
      </c>
      <c r="AT212" s="2152"/>
      <c r="AU212" s="2152">
        <f>IFERROR(AV212/AR212*10,0)</f>
        <v>0</v>
      </c>
      <c r="AV212" s="2152"/>
      <c r="AW212" s="2152"/>
      <c r="AX212" s="2152">
        <v>-0.83182529999999999</v>
      </c>
      <c r="AY212" s="2152"/>
      <c r="AZ212" s="2152">
        <f t="shared" si="436"/>
        <v>0</v>
      </c>
      <c r="BA212" s="2152">
        <f t="shared" si="437"/>
        <v>-0.83182529999999999</v>
      </c>
      <c r="BB212" s="2152"/>
      <c r="BC212" s="2152">
        <f>IFERROR(BD212/BB212*10,0)</f>
        <v>0</v>
      </c>
      <c r="BD212" s="2152"/>
      <c r="BE212" s="2152">
        <f>IFERROR(BF212/BB212*10,0)</f>
        <v>0</v>
      </c>
      <c r="BF212" s="2152"/>
      <c r="BG212" s="2152"/>
      <c r="BH212" s="2152">
        <v>-4.1607428000000004</v>
      </c>
      <c r="BI212" s="2152"/>
      <c r="BJ212" s="2152">
        <f t="shared" si="438"/>
        <v>0</v>
      </c>
      <c r="BK212" s="2152">
        <f t="shared" si="439"/>
        <v>-4.1607428000000004</v>
      </c>
      <c r="BL212" s="2152"/>
      <c r="BM212" s="2152">
        <f>IFERROR(BN212/BL212*10,0)</f>
        <v>0</v>
      </c>
      <c r="BN212" s="2152"/>
      <c r="BO212" s="2152">
        <f>IFERROR(BP212/BL212*10,0)</f>
        <v>0</v>
      </c>
      <c r="BP212" s="2152"/>
      <c r="BQ212" s="2152"/>
      <c r="BR212" s="2152">
        <v>-6.1628990000000003</v>
      </c>
      <c r="BS212" s="2152"/>
      <c r="BT212" s="2152">
        <f t="shared" si="440"/>
        <v>0</v>
      </c>
      <c r="BU212" s="2152">
        <f t="shared" si="441"/>
        <v>-6.1628990000000003</v>
      </c>
      <c r="BV212" s="2152"/>
      <c r="BW212" s="2152">
        <f>IFERROR(BX212/BV212*10,0)</f>
        <v>0</v>
      </c>
      <c r="BX212" s="2152"/>
      <c r="BY212" s="2152">
        <f>IFERROR(BZ212/BV212*10,0)</f>
        <v>0</v>
      </c>
      <c r="BZ212" s="2152"/>
      <c r="CA212" s="2152"/>
      <c r="CB212" s="2152">
        <v>-12.049352000000001</v>
      </c>
      <c r="CC212" s="2152"/>
      <c r="CD212" s="2152">
        <f t="shared" si="442"/>
        <v>0</v>
      </c>
      <c r="CE212" s="2152">
        <f t="shared" si="443"/>
        <v>-12.049352000000001</v>
      </c>
      <c r="CF212" s="2152"/>
      <c r="CG212" s="2152">
        <f>IFERROR(CH212/CF212*10,0)</f>
        <v>0</v>
      </c>
      <c r="CH212" s="2152"/>
      <c r="CI212" s="2152">
        <f>IFERROR(CJ212/CF212*10,0)</f>
        <v>0</v>
      </c>
      <c r="CJ212" s="2152"/>
      <c r="CK212" s="2152"/>
      <c r="CL212" s="2152">
        <v>-8.5767325000000003</v>
      </c>
      <c r="CM212" s="2152"/>
      <c r="CN212" s="2152">
        <f t="shared" si="444"/>
        <v>0</v>
      </c>
      <c r="CO212" s="2152">
        <f t="shared" si="445"/>
        <v>-8.5767325000000003</v>
      </c>
      <c r="CP212" s="2152"/>
      <c r="CQ212" s="2152">
        <f>IFERROR(CR212/CP212*10,0)</f>
        <v>0</v>
      </c>
      <c r="CR212" s="2152"/>
      <c r="CS212" s="2152">
        <f>IFERROR(CT212/CP212*10,0)</f>
        <v>0</v>
      </c>
      <c r="CT212" s="2152"/>
      <c r="CU212" s="2152"/>
      <c r="CV212" s="2152">
        <v>-1.8997166999999999</v>
      </c>
      <c r="CW212" s="2152"/>
      <c r="CX212" s="2152">
        <f t="shared" si="446"/>
        <v>0</v>
      </c>
      <c r="CY212" s="2152">
        <f t="shared" si="447"/>
        <v>-1.8997166999999999</v>
      </c>
      <c r="CZ212" s="2106">
        <v>0</v>
      </c>
      <c r="DA212" s="2106">
        <f t="shared" si="356"/>
        <v>0</v>
      </c>
      <c r="DB212" s="2106">
        <v>0</v>
      </c>
      <c r="DC212" s="2106">
        <v>0</v>
      </c>
      <c r="DD212" s="2109">
        <f t="shared" si="422"/>
        <v>0</v>
      </c>
      <c r="DE212" s="2152"/>
      <c r="DF212" s="2152"/>
      <c r="DG212" s="2170"/>
      <c r="DH212" s="2152">
        <f t="shared" si="448"/>
        <v>0</v>
      </c>
      <c r="DI212" s="2152">
        <f t="shared" si="449"/>
        <v>0</v>
      </c>
      <c r="DJ212" s="2106">
        <v>0</v>
      </c>
      <c r="DK212" s="2106">
        <f t="shared" si="357"/>
        <v>0</v>
      </c>
      <c r="DL212" s="2106">
        <v>0</v>
      </c>
      <c r="DM212" s="2106">
        <v>0</v>
      </c>
      <c r="DN212" s="2109">
        <f t="shared" si="423"/>
        <v>0</v>
      </c>
      <c r="DO212" s="2152"/>
      <c r="DP212" s="2152"/>
      <c r="DQ212" s="2170"/>
      <c r="DR212" s="2152">
        <f t="shared" si="450"/>
        <v>0</v>
      </c>
      <c r="DS212" s="2152">
        <f t="shared" si="451"/>
        <v>0</v>
      </c>
      <c r="DT212" s="2106">
        <v>0</v>
      </c>
      <c r="DU212" s="2106">
        <f t="shared" si="358"/>
        <v>0</v>
      </c>
      <c r="DV212" s="2106">
        <v>0</v>
      </c>
      <c r="DW212" s="2106">
        <v>0</v>
      </c>
      <c r="DX212" s="2109">
        <f t="shared" si="424"/>
        <v>0</v>
      </c>
      <c r="DY212" s="2152"/>
      <c r="DZ212" s="2152"/>
      <c r="EA212" s="2152"/>
      <c r="EB212" s="2152">
        <f t="shared" si="452"/>
        <v>0</v>
      </c>
      <c r="EC212" s="2152">
        <f t="shared" si="453"/>
        <v>0</v>
      </c>
      <c r="ED212" s="2152">
        <f>SUM(N212,X212,AH212,AR212,BB212,BL212,BV212,CF212,CP212,CZ212,DJ212,DT212)</f>
        <v>0</v>
      </c>
      <c r="EE212" s="2162"/>
      <c r="EF212" s="2152">
        <f>IFERROR(EG212/ED212*10,0)</f>
        <v>0</v>
      </c>
      <c r="EG212" s="2152">
        <f>SUM(P212,Z212,AJ212,AT212,BD212,BN212,BX212,CH212,CR212,DB212,DL212,DV212)</f>
        <v>0</v>
      </c>
      <c r="EH212" s="2152">
        <f>IFERROR(EI212/ED212*10,0)</f>
        <v>0</v>
      </c>
      <c r="EI212" s="2152">
        <f>SUM(R212,AB212,AL212,AV212,BF212,BP212,BZ212,CJ212,CT212,DD212,DN212,DX212)</f>
        <v>0</v>
      </c>
      <c r="EJ212" s="2152"/>
      <c r="EK212" s="2152">
        <f>SUM(T212,AD212,AN212,AX212,BH212,BR212,CB212,CL212,CV212,DF212,DP212,DZ212)</f>
        <v>-39.6523234</v>
      </c>
      <c r="EL212" s="2152"/>
      <c r="EM212" s="2152"/>
      <c r="EN212" s="2152">
        <f>EG212+EI212+EK212</f>
        <v>-39.6523234</v>
      </c>
      <c r="EO212" s="2157">
        <f>IFERROR(EN212/ED212*10,0)</f>
        <v>0</v>
      </c>
      <c r="EP212" s="2163"/>
      <c r="ES212" s="2084">
        <f t="shared" si="355"/>
        <v>0</v>
      </c>
      <c r="EU212" s="2084">
        <f t="shared" si="359"/>
        <v>0</v>
      </c>
      <c r="EV212" s="2084">
        <f t="shared" si="360"/>
        <v>0</v>
      </c>
      <c r="EW212" s="2084" t="e">
        <f t="shared" si="361"/>
        <v>#DIV/0!</v>
      </c>
    </row>
    <row r="213" spans="1:153">
      <c r="A213" s="2177"/>
      <c r="B213" s="1592" t="s">
        <v>783</v>
      </c>
      <c r="C213" s="1596"/>
      <c r="D213" s="1597"/>
      <c r="E213" s="1592"/>
      <c r="F213" s="1597"/>
      <c r="G213" s="1592"/>
      <c r="H213" s="2174"/>
      <c r="I213" s="2152"/>
      <c r="J213" s="2152"/>
      <c r="K213" s="2160"/>
      <c r="L213" s="2160"/>
      <c r="M213" s="2161"/>
      <c r="N213" s="2152"/>
      <c r="O213" s="2152">
        <f>IFERROR(P213/N213*10,0)</f>
        <v>0</v>
      </c>
      <c r="P213" s="2152"/>
      <c r="Q213" s="2152">
        <f>IFERROR(R213/N213*10,0)</f>
        <v>0</v>
      </c>
      <c r="R213" s="2152"/>
      <c r="S213" s="2152">
        <f>IFERROR(T213/N213*10,0)</f>
        <v>0</v>
      </c>
      <c r="T213" s="2152"/>
      <c r="U213" s="2152"/>
      <c r="V213" s="2152">
        <f>IFERROR(W213/N213*10,0)</f>
        <v>0</v>
      </c>
      <c r="W213" s="2152">
        <f>SUM(P213,R213,T213,U213)</f>
        <v>0</v>
      </c>
      <c r="X213" s="2152"/>
      <c r="Y213" s="2152">
        <f>IFERROR(Z213/X213*10,0)</f>
        <v>0</v>
      </c>
      <c r="Z213" s="2152"/>
      <c r="AA213" s="2152">
        <f>IFERROR(AB213/X213*10,0)</f>
        <v>0</v>
      </c>
      <c r="AB213" s="2152"/>
      <c r="AC213" s="2152">
        <f>IFERROR(AD213/X213*10,0)</f>
        <v>0</v>
      </c>
      <c r="AD213" s="2152"/>
      <c r="AE213" s="2152"/>
      <c r="AF213" s="2152">
        <f>IFERROR(AG213/X213*10,0)</f>
        <v>0</v>
      </c>
      <c r="AG213" s="2152">
        <f>SUM(Z213,AB213,AD213,AE213)</f>
        <v>0</v>
      </c>
      <c r="AH213" s="2152"/>
      <c r="AI213" s="2152">
        <f>IFERROR(AJ213/AH213*10,0)</f>
        <v>0</v>
      </c>
      <c r="AJ213" s="2152"/>
      <c r="AK213" s="2152">
        <f>IFERROR(AL213/AH213*10,0)</f>
        <v>0</v>
      </c>
      <c r="AL213" s="2152"/>
      <c r="AM213" s="2152">
        <f>IFERROR(AN213/AH213*10,0)</f>
        <v>0</v>
      </c>
      <c r="AN213" s="2152"/>
      <c r="AO213" s="2152">
        <f>AO208</f>
        <v>0</v>
      </c>
      <c r="AP213" s="2152">
        <f>IFERROR(AQ213/AH213*10,0)</f>
        <v>0</v>
      </c>
      <c r="AQ213" s="2152">
        <f>SUM(AJ213,AL213,AN213,AO213)</f>
        <v>0</v>
      </c>
      <c r="AR213" s="2152"/>
      <c r="AS213" s="2152">
        <f>IFERROR(AT213/AR213*10,0)</f>
        <v>0</v>
      </c>
      <c r="AT213" s="2152"/>
      <c r="AU213" s="2152">
        <f>IFERROR(AV213/AR213*10,0)</f>
        <v>0</v>
      </c>
      <c r="AV213" s="2152"/>
      <c r="AW213" s="2152">
        <f>IFERROR(AX213/AR213*10,0)</f>
        <v>0</v>
      </c>
      <c r="AX213" s="2152"/>
      <c r="AY213" s="2152"/>
      <c r="AZ213" s="2152">
        <f>IFERROR(BA213/AR213*10,0)</f>
        <v>0</v>
      </c>
      <c r="BA213" s="2152">
        <f>SUM(AT213,AV213,AX213,AY213)</f>
        <v>0</v>
      </c>
      <c r="BB213" s="2152"/>
      <c r="BC213" s="2152">
        <f>IFERROR(BD213/BB213*10,0)</f>
        <v>0</v>
      </c>
      <c r="BD213" s="2152"/>
      <c r="BE213" s="2152">
        <f>IFERROR(BF213/BB213*10,0)</f>
        <v>0</v>
      </c>
      <c r="BF213" s="2152"/>
      <c r="BG213" s="2152">
        <f>IFERROR(BH213/BB213*10,0)</f>
        <v>0</v>
      </c>
      <c r="BH213" s="2152"/>
      <c r="BI213" s="2152"/>
      <c r="BJ213" s="2152">
        <f>IFERROR(BK213/BB213*10,0)</f>
        <v>0</v>
      </c>
      <c r="BK213" s="2152">
        <f>SUM(BD213,BF213,BH213,BI213)</f>
        <v>0</v>
      </c>
      <c r="BL213" s="2152"/>
      <c r="BM213" s="2152">
        <f>IFERROR(BN213/BL213*10,0)</f>
        <v>0</v>
      </c>
      <c r="BN213" s="2152"/>
      <c r="BO213" s="2152">
        <f>IFERROR(BP213/BL213*10,0)</f>
        <v>0</v>
      </c>
      <c r="BP213" s="2152"/>
      <c r="BQ213" s="2152">
        <f>IFERROR(BR213/BL213*10,0)</f>
        <v>0</v>
      </c>
      <c r="BR213" s="2152"/>
      <c r="BS213" s="2152"/>
      <c r="BT213" s="2152">
        <f>IFERROR(BU213/BL213*10,0)</f>
        <v>0</v>
      </c>
      <c r="BU213" s="2152">
        <f>SUM(BN213,BP213,BR213,BS213)</f>
        <v>0</v>
      </c>
      <c r="BV213" s="2152"/>
      <c r="BW213" s="2152">
        <f>IFERROR(BX213/BV213*10,0)</f>
        <v>0</v>
      </c>
      <c r="BX213" s="2152"/>
      <c r="BY213" s="2152">
        <f>IFERROR(BZ213/BV213*10,0)</f>
        <v>0</v>
      </c>
      <c r="BZ213" s="2152"/>
      <c r="CA213" s="2152">
        <f>IFERROR(CB213/BV213*10,0)</f>
        <v>0</v>
      </c>
      <c r="CB213" s="2152"/>
      <c r="CC213" s="2152"/>
      <c r="CD213" s="2152">
        <f>IFERROR(CE213/BV213*10,0)</f>
        <v>0</v>
      </c>
      <c r="CE213" s="2152">
        <f>SUM(BX213,BZ213,CB213,CC213)</f>
        <v>0</v>
      </c>
      <c r="CF213" s="2152"/>
      <c r="CG213" s="2152">
        <f>IFERROR(CH213/CF213*10,0)</f>
        <v>0</v>
      </c>
      <c r="CH213" s="2152"/>
      <c r="CI213" s="2152">
        <f>IFERROR(CJ213/CF213*10,0)</f>
        <v>0</v>
      </c>
      <c r="CJ213" s="2152"/>
      <c r="CK213" s="2152">
        <f>IFERROR(CL213/CF213*10,0)</f>
        <v>0</v>
      </c>
      <c r="CL213" s="2152"/>
      <c r="CM213" s="2152"/>
      <c r="CN213" s="2152">
        <f>IFERROR(CO213/CF213*10,0)</f>
        <v>0</v>
      </c>
      <c r="CO213" s="2152">
        <f>SUM(CH213,CJ213,CL213,CM213)</f>
        <v>0</v>
      </c>
      <c r="CP213" s="2152"/>
      <c r="CQ213" s="2152">
        <f>IFERROR(CR213/CP213*10,0)</f>
        <v>0</v>
      </c>
      <c r="CR213" s="2152"/>
      <c r="CS213" s="2152">
        <f>IFERROR(CT213/CP213*10,0)</f>
        <v>0</v>
      </c>
      <c r="CT213" s="2152"/>
      <c r="CU213" s="2152">
        <f>IFERROR(CV213/CP213*10,0)</f>
        <v>0</v>
      </c>
      <c r="CV213" s="2152"/>
      <c r="CW213" s="2152"/>
      <c r="CX213" s="2152">
        <f>IFERROR(CY213/CP213*10,0)</f>
        <v>0</v>
      </c>
      <c r="CY213" s="2152">
        <f>SUM(CR213,CT213,CV213,CW213)</f>
        <v>0</v>
      </c>
      <c r="CZ213" s="2106">
        <v>0</v>
      </c>
      <c r="DA213" s="2106">
        <f>IFERROR(DB213/CZ213*10,0)</f>
        <v>0</v>
      </c>
      <c r="DB213" s="2106">
        <v>0</v>
      </c>
      <c r="DC213" s="2106">
        <v>0</v>
      </c>
      <c r="DD213" s="2109">
        <f>DC213*CZ213/10</f>
        <v>0</v>
      </c>
      <c r="DE213" s="2152"/>
      <c r="DF213" s="2152"/>
      <c r="DG213" s="2170"/>
      <c r="DH213" s="2152">
        <f>IFERROR(DI213/CZ213*10,0)</f>
        <v>0</v>
      </c>
      <c r="DI213" s="2152">
        <f>SUM(DB213,DD213,DF213,DG213)</f>
        <v>0</v>
      </c>
      <c r="DJ213" s="2106">
        <v>0</v>
      </c>
      <c r="DK213" s="2106">
        <f>IFERROR(DL213/DJ213*10,0)</f>
        <v>0</v>
      </c>
      <c r="DL213" s="2106">
        <v>0</v>
      </c>
      <c r="DM213" s="2106">
        <v>0</v>
      </c>
      <c r="DN213" s="2109">
        <f>DM213*DJ213/10</f>
        <v>0</v>
      </c>
      <c r="DO213" s="2152"/>
      <c r="DP213" s="2152"/>
      <c r="DQ213" s="2170"/>
      <c r="DR213" s="2152">
        <f>IFERROR(DS213/DJ213*10,0)</f>
        <v>0</v>
      </c>
      <c r="DS213" s="2152">
        <f>SUM(DL213,DN213,DP213,DQ213)</f>
        <v>0</v>
      </c>
      <c r="DT213" s="2106">
        <v>0</v>
      </c>
      <c r="DU213" s="2106">
        <f>IFERROR(DV213/DT213*10,0)</f>
        <v>0</v>
      </c>
      <c r="DV213" s="2106">
        <v>0</v>
      </c>
      <c r="DW213" s="2106">
        <v>0</v>
      </c>
      <c r="DX213" s="2109">
        <f>DW213*DT213/10</f>
        <v>0</v>
      </c>
      <c r="DY213" s="2152"/>
      <c r="DZ213" s="2152"/>
      <c r="EA213" s="2152"/>
      <c r="EB213" s="2152">
        <f>IFERROR(EC213/DT213*10,0)</f>
        <v>0</v>
      </c>
      <c r="EC213" s="2152">
        <f>SUM(DV213,DX213,DZ213,EA213)</f>
        <v>0</v>
      </c>
      <c r="ED213" s="2152">
        <f>SUM(N213,X213,AH213,AR213,BB213,BL213,BV213,CF213,CP213,CZ213,DJ213,DT213)</f>
        <v>0</v>
      </c>
      <c r="EE213" s="2162"/>
      <c r="EF213" s="2152">
        <f>IFERROR(EG213/ED213*10,0)</f>
        <v>0</v>
      </c>
      <c r="EG213" s="2152">
        <f>SUM(P213,Z213,AJ213,AT213,BD213,BN213,BX213,CH213,CR213,DB213,DL213,DV213)</f>
        <v>0</v>
      </c>
      <c r="EH213" s="2152">
        <f>IFERROR(EI213/ED213*10,0)</f>
        <v>0</v>
      </c>
      <c r="EI213" s="2152">
        <f>SUM(R213,AB213,AL213,AV213,BF213,BP213,BZ213,CJ213,CT213,DD213,DN213,DX213)</f>
        <v>0</v>
      </c>
      <c r="EJ213" s="2152"/>
      <c r="EK213" s="2152">
        <f>SUM(T213,AD213,AN213,AX213,BH213,BR213,CB213,CL213,CV213,DF213,DP213,DZ213)</f>
        <v>0</v>
      </c>
      <c r="EL213" s="2152"/>
      <c r="EM213" s="2152"/>
      <c r="EN213" s="2152">
        <f>EG213+EI213+EK213</f>
        <v>0</v>
      </c>
      <c r="EO213" s="2157">
        <f>IFERROR(EN213/ED213*10,0)</f>
        <v>0</v>
      </c>
      <c r="EP213" s="2163"/>
      <c r="EU213" s="2084" t="e">
        <f>SUM(#REF!,#REF!,#REF!,#REF!,#REF!,#REF!,#REF!,#REF!,#REF!)</f>
        <v>#REF!</v>
      </c>
      <c r="EV213" s="2084" t="e">
        <f>SUM(#REF!,#REF!,#REF!,#REF!,#REF!,#REF!,#REF!,#REF!,#REF!)</f>
        <v>#REF!</v>
      </c>
      <c r="EW213" s="2084" t="e">
        <f t="shared" si="361"/>
        <v>#REF!</v>
      </c>
    </row>
    <row r="214" spans="1:153">
      <c r="A214" s="1760"/>
      <c r="B214" s="1592" t="s">
        <v>1822</v>
      </c>
      <c r="C214" s="1596"/>
      <c r="D214" s="1597"/>
      <c r="E214" s="1592"/>
      <c r="F214" s="1597"/>
      <c r="G214" s="1592"/>
      <c r="H214" s="2174"/>
      <c r="I214" s="2152"/>
      <c r="J214" s="2152"/>
      <c r="K214" s="2160"/>
      <c r="L214" s="2160"/>
      <c r="M214" s="2161"/>
      <c r="N214" s="2152"/>
      <c r="O214" s="2152"/>
      <c r="P214" s="2152"/>
      <c r="Q214" s="2152"/>
      <c r="R214" s="2152"/>
      <c r="S214" s="2152"/>
      <c r="T214" s="2152"/>
      <c r="U214" s="2152"/>
      <c r="V214" s="2152"/>
      <c r="W214" s="2152"/>
      <c r="X214" s="2152"/>
      <c r="Y214" s="2152"/>
      <c r="Z214" s="2152"/>
      <c r="AA214" s="2152"/>
      <c r="AB214" s="2152"/>
      <c r="AC214" s="2152"/>
      <c r="AD214" s="2152"/>
      <c r="AE214" s="2152"/>
      <c r="AF214" s="2152"/>
      <c r="AG214" s="2152"/>
      <c r="AH214" s="2152"/>
      <c r="AI214" s="2152"/>
      <c r="AJ214" s="2152"/>
      <c r="AK214" s="2152"/>
      <c r="AL214" s="2152"/>
      <c r="AM214" s="2152"/>
      <c r="AN214" s="2152"/>
      <c r="AO214" s="2152"/>
      <c r="AP214" s="2152"/>
      <c r="AQ214" s="2152"/>
      <c r="AR214" s="2152"/>
      <c r="AS214" s="2152"/>
      <c r="AT214" s="2152"/>
      <c r="AU214" s="2152"/>
      <c r="AV214" s="2152"/>
      <c r="AW214" s="2152"/>
      <c r="AX214" s="2152"/>
      <c r="AY214" s="2170"/>
      <c r="AZ214" s="2152"/>
      <c r="BA214" s="2152"/>
      <c r="BB214" s="2152"/>
      <c r="BC214" s="2152"/>
      <c r="BD214" s="2152"/>
      <c r="BE214" s="2152"/>
      <c r="BF214" s="2152"/>
      <c r="BG214" s="2152"/>
      <c r="BH214" s="2152"/>
      <c r="BI214" s="2170"/>
      <c r="BJ214" s="2152"/>
      <c r="BK214" s="2152"/>
      <c r="BL214" s="2152"/>
      <c r="BM214" s="2152"/>
      <c r="BN214" s="2152"/>
      <c r="BO214" s="2152"/>
      <c r="BP214" s="2152"/>
      <c r="BQ214" s="2152"/>
      <c r="BR214" s="2152"/>
      <c r="BS214" s="2170"/>
      <c r="BT214" s="2152"/>
      <c r="BU214" s="2152"/>
      <c r="BV214" s="2152"/>
      <c r="BW214" s="2152"/>
      <c r="BX214" s="2152"/>
      <c r="BY214" s="2152"/>
      <c r="BZ214" s="2152"/>
      <c r="CA214" s="2152"/>
      <c r="CB214" s="2152"/>
      <c r="CC214" s="2170"/>
      <c r="CD214" s="2152"/>
      <c r="CE214" s="2152"/>
      <c r="CF214" s="2152"/>
      <c r="CG214" s="2152"/>
      <c r="CH214" s="2152"/>
      <c r="CI214" s="2152"/>
      <c r="CJ214" s="2152"/>
      <c r="CK214" s="2152"/>
      <c r="CL214" s="2152"/>
      <c r="CM214" s="2170"/>
      <c r="CN214" s="2152"/>
      <c r="CO214" s="2152"/>
      <c r="CP214" s="2152"/>
      <c r="CQ214" s="2152"/>
      <c r="CR214" s="2152"/>
      <c r="CS214" s="2152"/>
      <c r="CT214" s="2152"/>
      <c r="CU214" s="2152"/>
      <c r="CV214" s="2152"/>
      <c r="CW214" s="2170"/>
      <c r="CX214" s="2152"/>
      <c r="CY214" s="2152"/>
      <c r="CZ214" s="2106">
        <v>0</v>
      </c>
      <c r="DA214" s="2106">
        <f>IFERROR(DB214/CZ214*10,0)</f>
        <v>0</v>
      </c>
      <c r="DB214" s="2106">
        <v>0</v>
      </c>
      <c r="DC214" s="2106">
        <v>0</v>
      </c>
      <c r="DD214" s="2109">
        <f t="shared" si="422"/>
        <v>0</v>
      </c>
      <c r="DE214" s="2152"/>
      <c r="DF214" s="2152"/>
      <c r="DG214" s="2170"/>
      <c r="DH214" s="2152"/>
      <c r="DI214" s="2152"/>
      <c r="DJ214" s="2106">
        <v>0</v>
      </c>
      <c r="DK214" s="2106">
        <f>IFERROR(DL214/DJ214*10,0)</f>
        <v>0</v>
      </c>
      <c r="DL214" s="2106">
        <v>0</v>
      </c>
      <c r="DM214" s="2106">
        <v>0</v>
      </c>
      <c r="DN214" s="2109">
        <f t="shared" si="423"/>
        <v>0</v>
      </c>
      <c r="DO214" s="2152"/>
      <c r="DP214" s="2152"/>
      <c r="DQ214" s="2170"/>
      <c r="DR214" s="2152"/>
      <c r="DS214" s="2152"/>
      <c r="DT214" s="2106">
        <v>0</v>
      </c>
      <c r="DU214" s="2106">
        <f>IFERROR(DV214/DT214*10,0)</f>
        <v>0</v>
      </c>
      <c r="DV214" s="2106">
        <v>0</v>
      </c>
      <c r="DW214" s="2106">
        <v>0</v>
      </c>
      <c r="DX214" s="2109">
        <f t="shared" si="424"/>
        <v>0</v>
      </c>
      <c r="DY214" s="2152"/>
      <c r="DZ214" s="2152"/>
      <c r="EA214" s="2152"/>
      <c r="EB214" s="2152"/>
      <c r="EC214" s="2152"/>
      <c r="ED214" s="2152"/>
      <c r="EE214" s="2162"/>
      <c r="EF214" s="2152"/>
      <c r="EG214" s="2152"/>
      <c r="EH214" s="2152"/>
      <c r="EI214" s="2152"/>
      <c r="EJ214" s="2152"/>
      <c r="EK214" s="2152"/>
      <c r="EL214" s="2152"/>
      <c r="EM214" s="2152"/>
      <c r="EN214" s="2152"/>
      <c r="EO214" s="2163"/>
      <c r="EP214" s="2163"/>
      <c r="ES214" s="2084">
        <f>EN214-SUM(EG214,EI214,EK214,EL214)</f>
        <v>0</v>
      </c>
      <c r="EU214" s="2084">
        <f t="shared" si="359"/>
        <v>0</v>
      </c>
      <c r="EV214" s="2084">
        <f t="shared" si="360"/>
        <v>0</v>
      </c>
      <c r="EW214" s="2084" t="e">
        <f t="shared" si="361"/>
        <v>#DIV/0!</v>
      </c>
    </row>
    <row r="215" spans="1:153">
      <c r="A215" s="1760"/>
      <c r="B215" s="1592" t="s">
        <v>1823</v>
      </c>
      <c r="C215" s="1596"/>
      <c r="D215" s="1597"/>
      <c r="E215" s="1592"/>
      <c r="F215" s="1597"/>
      <c r="G215" s="1592"/>
      <c r="H215" s="2174"/>
      <c r="I215" s="2152"/>
      <c r="J215" s="2152"/>
      <c r="K215" s="2160"/>
      <c r="L215" s="2160"/>
      <c r="M215" s="2161"/>
      <c r="N215" s="2152"/>
      <c r="O215" s="2152"/>
      <c r="P215" s="2152"/>
      <c r="Q215" s="2152">
        <f>IFERROR(R215/N215*10,0)</f>
        <v>0</v>
      </c>
      <c r="R215" s="2152"/>
      <c r="S215" s="2152">
        <f>IFERROR(T215/N215*10,0)</f>
        <v>0</v>
      </c>
      <c r="T215" s="2152"/>
      <c r="U215" s="2152"/>
      <c r="V215" s="2152">
        <f>IFERROR(W215/N215*10,0)</f>
        <v>0</v>
      </c>
      <c r="W215" s="2152">
        <f>SUM(P215,R215,T215,U215)</f>
        <v>0</v>
      </c>
      <c r="X215" s="2152"/>
      <c r="Y215" s="2152">
        <f>IFERROR(Z215/X215*10,0)</f>
        <v>0</v>
      </c>
      <c r="Z215" s="2152"/>
      <c r="AA215" s="2152">
        <f>IFERROR(AB215/X215*10,0)</f>
        <v>0</v>
      </c>
      <c r="AB215" s="2152"/>
      <c r="AC215" s="2152">
        <f>IFERROR(AD215/X215*10,0)</f>
        <v>0</v>
      </c>
      <c r="AD215" s="2152"/>
      <c r="AE215" s="2152"/>
      <c r="AF215" s="2152">
        <f>IFERROR(AG215/X215*10,0)</f>
        <v>0</v>
      </c>
      <c r="AG215" s="2152">
        <f>SUM(Z215,AB215,AD215,AE215)</f>
        <v>0</v>
      </c>
      <c r="AH215" s="2152"/>
      <c r="AI215" s="2152">
        <f>IFERROR(AJ215/AH215*10,0)</f>
        <v>0</v>
      </c>
      <c r="AJ215" s="2152"/>
      <c r="AK215" s="2152">
        <f>IFERROR(AL215/AH215*10,0)</f>
        <v>0</v>
      </c>
      <c r="AL215" s="2152"/>
      <c r="AM215" s="2152">
        <f>IFERROR(AN215/AH215*10,0)</f>
        <v>0</v>
      </c>
      <c r="AN215" s="2152"/>
      <c r="AO215" s="2152"/>
      <c r="AP215" s="2152">
        <f>IFERROR(AQ215/AH215*10,0)</f>
        <v>0</v>
      </c>
      <c r="AQ215" s="2152">
        <f>SUM(AJ215,AL215,AN215,AO215)</f>
        <v>0</v>
      </c>
      <c r="AR215" s="2152"/>
      <c r="AS215" s="2152">
        <f>IFERROR(AT215/AR215*10,0)</f>
        <v>0</v>
      </c>
      <c r="AT215" s="2152"/>
      <c r="AU215" s="2152">
        <f>IFERROR(AV215/AR215*10,0)</f>
        <v>0</v>
      </c>
      <c r="AV215" s="2152"/>
      <c r="AW215" s="2152">
        <f>IFERROR(AX215/AR215*10,0)</f>
        <v>0</v>
      </c>
      <c r="AX215" s="2152"/>
      <c r="AY215" s="2152"/>
      <c r="AZ215" s="2152">
        <f>IFERROR(BA215/AR215*10,0)</f>
        <v>0</v>
      </c>
      <c r="BA215" s="2152">
        <f>SUM(AT215,AV215,AX215,AY215)</f>
        <v>0</v>
      </c>
      <c r="BB215" s="2152"/>
      <c r="BC215" s="2152">
        <f>IFERROR(BD215/BB215*10,0)</f>
        <v>0</v>
      </c>
      <c r="BD215" s="2152"/>
      <c r="BE215" s="2152">
        <f>IFERROR(BF215/BB215*10,0)</f>
        <v>0</v>
      </c>
      <c r="BF215" s="2152"/>
      <c r="BG215" s="2152">
        <f>IFERROR(BH215/BB215*10,0)</f>
        <v>0</v>
      </c>
      <c r="BH215" s="2152"/>
      <c r="BI215" s="2152"/>
      <c r="BJ215" s="2152">
        <f>IFERROR(BK215/BB215*10,0)</f>
        <v>0</v>
      </c>
      <c r="BK215" s="2152">
        <f>SUM(BD215,BF215,BH215,BI215)</f>
        <v>0</v>
      </c>
      <c r="BL215" s="2152"/>
      <c r="BM215" s="2152">
        <f>IFERROR(BN215/BL215*10,0)</f>
        <v>0</v>
      </c>
      <c r="BN215" s="2152"/>
      <c r="BO215" s="2152">
        <f>IFERROR(BP215/BL215*10,0)</f>
        <v>0</v>
      </c>
      <c r="BP215" s="2152"/>
      <c r="BQ215" s="2152">
        <f>IFERROR(BR215/BL215*10,0)</f>
        <v>0</v>
      </c>
      <c r="BR215" s="2152"/>
      <c r="BS215" s="2152"/>
      <c r="BT215" s="2152">
        <f>IFERROR(BU215/BL215*10,0)</f>
        <v>0</v>
      </c>
      <c r="BU215" s="2152">
        <f>SUM(BN215,BP215,BR215,BS215)</f>
        <v>0</v>
      </c>
      <c r="BV215" s="2152"/>
      <c r="BW215" s="2152">
        <f>IFERROR(BX215/BV215*10,0)</f>
        <v>0</v>
      </c>
      <c r="BX215" s="2152"/>
      <c r="BY215" s="2152">
        <f>IFERROR(BZ215/BV215*10,0)</f>
        <v>0</v>
      </c>
      <c r="BZ215" s="2152"/>
      <c r="CA215" s="2152">
        <f>IFERROR(CB215/BV215*10,0)</f>
        <v>0</v>
      </c>
      <c r="CB215" s="2152"/>
      <c r="CC215" s="2152"/>
      <c r="CD215" s="2152">
        <f>IFERROR(CE215/BV215*10,0)</f>
        <v>0</v>
      </c>
      <c r="CE215" s="2152">
        <f>SUM(BX215,BZ215,CB215,CC215)</f>
        <v>0</v>
      </c>
      <c r="CF215" s="2152"/>
      <c r="CG215" s="2152">
        <f>IFERROR(CH215/CF215*10,0)</f>
        <v>0</v>
      </c>
      <c r="CH215" s="2152"/>
      <c r="CI215" s="2152">
        <f>IFERROR(CJ215/CF215*10,0)</f>
        <v>0</v>
      </c>
      <c r="CJ215" s="2152"/>
      <c r="CK215" s="2152">
        <f>IFERROR(CL215/CF215*10,0)</f>
        <v>0</v>
      </c>
      <c r="CL215" s="2152"/>
      <c r="CM215" s="2152"/>
      <c r="CN215" s="2152">
        <f>IFERROR(CO215/CF215*10,0)</f>
        <v>0</v>
      </c>
      <c r="CO215" s="2152">
        <f>SUM(CH215,CJ215,CL215,CM215)</f>
        <v>0</v>
      </c>
      <c r="CP215" s="2152"/>
      <c r="CQ215" s="2152">
        <f>IFERROR(CR215/CP215*10,0)</f>
        <v>0</v>
      </c>
      <c r="CR215" s="2152"/>
      <c r="CS215" s="2152">
        <f>IFERROR(CT215/CP215*10,0)</f>
        <v>0</v>
      </c>
      <c r="CT215" s="2152"/>
      <c r="CU215" s="2152">
        <f>IFERROR(CV215/CP215*10,0)</f>
        <v>0</v>
      </c>
      <c r="CV215" s="2152"/>
      <c r="CW215" s="2170"/>
      <c r="CX215" s="2152">
        <f>IFERROR(CY215/CP215*10,0)</f>
        <v>0</v>
      </c>
      <c r="CY215" s="2152">
        <f>SUM(CR215,CT215,CV215,CW215)</f>
        <v>0</v>
      </c>
      <c r="CZ215" s="2106">
        <v>0</v>
      </c>
      <c r="DA215" s="2106">
        <f>IFERROR(DB215/CZ215*10,0)</f>
        <v>0</v>
      </c>
      <c r="DB215" s="2106">
        <v>0</v>
      </c>
      <c r="DC215" s="2106">
        <v>0</v>
      </c>
      <c r="DD215" s="2109">
        <f t="shared" si="422"/>
        <v>0</v>
      </c>
      <c r="DE215" s="2152"/>
      <c r="DF215" s="2152"/>
      <c r="DG215" s="2170"/>
      <c r="DH215" s="2152">
        <f>IFERROR(DI215/CZ215*10,0)</f>
        <v>0</v>
      </c>
      <c r="DI215" s="2152">
        <f>SUM(DB215,DD215,DF215,DG215)</f>
        <v>0</v>
      </c>
      <c r="DJ215" s="2106">
        <v>0</v>
      </c>
      <c r="DK215" s="2106">
        <f>IFERROR(DL215/DJ215*10,0)</f>
        <v>0</v>
      </c>
      <c r="DL215" s="2106">
        <v>0</v>
      </c>
      <c r="DM215" s="2106">
        <v>0</v>
      </c>
      <c r="DN215" s="2109">
        <f t="shared" si="423"/>
        <v>0</v>
      </c>
      <c r="DO215" s="2152"/>
      <c r="DP215" s="2152"/>
      <c r="DQ215" s="2170"/>
      <c r="DR215" s="2152">
        <f>IFERROR(DS215/DJ215*10,0)</f>
        <v>0</v>
      </c>
      <c r="DS215" s="2152">
        <f>SUM(DL215,DN215,DP215,DQ215)</f>
        <v>0</v>
      </c>
      <c r="DT215" s="2106">
        <v>0</v>
      </c>
      <c r="DU215" s="2106">
        <f>IFERROR(DV215/DT215*10,0)</f>
        <v>0</v>
      </c>
      <c r="DV215" s="2106">
        <v>0</v>
      </c>
      <c r="DW215" s="2106">
        <v>0</v>
      </c>
      <c r="DX215" s="2109">
        <f t="shared" si="424"/>
        <v>0</v>
      </c>
      <c r="DY215" s="2152"/>
      <c r="DZ215" s="2152"/>
      <c r="EA215" s="2152"/>
      <c r="EB215" s="2152">
        <f>IFERROR(EC215/DT215*10,0)</f>
        <v>0</v>
      </c>
      <c r="EC215" s="2152">
        <f>SUM(DV215,DX215,DZ215,EA215)</f>
        <v>0</v>
      </c>
      <c r="ED215" s="2162"/>
      <c r="EE215" s="2162"/>
      <c r="EF215" s="2152"/>
      <c r="EG215" s="2152"/>
      <c r="EH215" s="2152"/>
      <c r="EI215" s="2152"/>
      <c r="EJ215" s="2152"/>
      <c r="EK215" s="2152">
        <f>SUM(T215,AD215,AN215,AX215,BH215,BR215,CB215,CL215,CV215,DF215,DP215,DZ215)</f>
        <v>0</v>
      </c>
      <c r="EL215" s="2152"/>
      <c r="EM215" s="2152"/>
      <c r="EN215" s="2152">
        <f>SUM(W215,AG215,AQ215,BA215,BK215,BU215,CE215,CO215,CY215,DI215,DS215,EC215)</f>
        <v>0</v>
      </c>
      <c r="EO215" s="2163"/>
      <c r="EP215" s="2163"/>
      <c r="ES215" s="2084">
        <f>EN215-SUM(EG215,EI215,EK215,EL215)</f>
        <v>0</v>
      </c>
      <c r="EU215" s="2084">
        <f>SUM(R215,AB215,AL215,AV215,BF215,BP215,BZ215,CJ215,CT215)</f>
        <v>0</v>
      </c>
      <c r="EV215" s="2084">
        <f>SUM(N215,X215,AH215,AR215,BB215,BL215,BV215,CF215,CP215)</f>
        <v>0</v>
      </c>
      <c r="EW215" s="2084" t="e">
        <f>EU215*10/EV215</f>
        <v>#DIV/0!</v>
      </c>
    </row>
    <row r="216" spans="1:153">
      <c r="A216" s="1760"/>
      <c r="B216" s="1592" t="s">
        <v>126</v>
      </c>
      <c r="C216" s="1596"/>
      <c r="D216" s="1597"/>
      <c r="E216" s="1592"/>
      <c r="F216" s="1597"/>
      <c r="G216" s="1592"/>
      <c r="H216" s="2174"/>
      <c r="I216" s="2152"/>
      <c r="J216" s="2152"/>
      <c r="K216" s="2160"/>
      <c r="L216" s="2160"/>
      <c r="M216" s="2161"/>
      <c r="N216" s="2162">
        <f>SUM(N170,N175,N180,N185,N201,N206,N207,N182,N210,N204)</f>
        <v>9596.5864470000033</v>
      </c>
      <c r="O216" s="2162">
        <f>IFERROR(P216/N216*10,0)</f>
        <v>1.3257380907538443</v>
      </c>
      <c r="P216" s="2162">
        <f>SUM(P170,P175,P180,P185,P201,P206,P207,P182,P210,P204)</f>
        <v>1272.2560194000002</v>
      </c>
      <c r="Q216" s="2162">
        <f>IFERROR(R216/N216*10,0)</f>
        <v>1.8088260329793073</v>
      </c>
      <c r="R216" s="2162">
        <f>SUM(R170,R175,R180,R185,R201,R206,R207,R182,R210,R204,R213,R212)</f>
        <v>1735.8555393070003</v>
      </c>
      <c r="S216" s="2162"/>
      <c r="T216" s="2162">
        <f>SUM(T170,T175,T180,T185,T201,T206,T207,T182,T210,T211,T213,T204,T209,T212)</f>
        <v>1228.3239463999998</v>
      </c>
      <c r="U216" s="2162" t="s">
        <v>1594</v>
      </c>
      <c r="V216" s="2162">
        <f>IFERROR(W216/N216*10,0)</f>
        <v>4.4145233604719465</v>
      </c>
      <c r="W216" s="2162">
        <f>SUM(W170,W175,W180,W185,W201,W206,W207,W182,W208:W215,W204)</f>
        <v>4236.4355051069997</v>
      </c>
      <c r="X216" s="2162">
        <f>SUM(X170,X175,X180,X185,X201,X206,X207,X182,X210)</f>
        <v>9820.0398159999968</v>
      </c>
      <c r="Y216" s="2162">
        <f>IFERROR(Z216/X216*10,0)</f>
        <v>1.7334141909756187</v>
      </c>
      <c r="Z216" s="2162">
        <f>SUM(Z170,Z175,Z180,Z185,Z201,Z206,Z207,Z182,Z210)</f>
        <v>1702.2196372999999</v>
      </c>
      <c r="AA216" s="2162">
        <f>IFERROR(AB216/X216*10,0)</f>
        <v>2.3977745012230183</v>
      </c>
      <c r="AB216" s="2162">
        <f>SUM(AB170,AB175,AB180,AB185,AB201,AB206,AB207,AB182,AB210)</f>
        <v>2354.6241071799573</v>
      </c>
      <c r="AC216" s="2162">
        <f>IFERROR(AD216/X216*10,0)</f>
        <v>0.58302247712597266</v>
      </c>
      <c r="AD216" s="2162">
        <f>SUM(AD170,AD175,AD180,AD185,AD201,AD206,AD207,AD182,AD210,AD211,AD213,AD209,AD212)</f>
        <v>572.53039389999992</v>
      </c>
      <c r="AE216" s="2162">
        <f>SUM(AE170,AE175,AE180,AE185,AE201,AE206,AE207,AE182,AE210,AE211,AE213)</f>
        <v>0</v>
      </c>
      <c r="AF216" s="2162">
        <f>IFERROR(AG216/X216*10,0)</f>
        <v>4.7142111693246109</v>
      </c>
      <c r="AG216" s="2162">
        <f>SUM(AG170,AG175,AG180,AG185,AG201,AG206,AG207,AG182,AG208:AG215)</f>
        <v>4629.3741383799579</v>
      </c>
      <c r="AH216" s="2162">
        <f>SUM(AH170,AH175,AH180,AH185,AH201,AH206,AH207,AH182,AH210)</f>
        <v>10857.806295</v>
      </c>
      <c r="AI216" s="2162">
        <f>IFERROR(AJ216/AH216*10,0)</f>
        <v>1.5122166441467173</v>
      </c>
      <c r="AJ216" s="2162">
        <f>SUM(AJ170,AJ175,AJ180,AJ185,AJ201,AJ206,AJ207,AJ182,AJ210)</f>
        <v>1641.9355398220002</v>
      </c>
      <c r="AK216" s="2162">
        <f>IFERROR(AL216/AH216*10,0)</f>
        <v>2.4304423772527803</v>
      </c>
      <c r="AL216" s="2162">
        <f>SUM(AL170,AL175,AL180,AL185,AL201,AL206,AL207,AL182,AL210)</f>
        <v>2638.9272543370002</v>
      </c>
      <c r="AM216" s="2162"/>
      <c r="AN216" s="2162">
        <f>SUM(AN170,AN175,AN180,AN185,AN201,AN206,AN207,AN182,AN210,AN211,AN213,AN209,AN212)</f>
        <v>508.69748234999997</v>
      </c>
      <c r="AO216" s="2162">
        <f>SUM(AO170,AO175,AO180,AO185,AO201,AO206,AO207,AO182,AO208:AO215)</f>
        <v>24.075495499999999</v>
      </c>
      <c r="AP216" s="2162">
        <f>IFERROR(AQ216/AH216*10,0)</f>
        <v>4.4333409910118498</v>
      </c>
      <c r="AQ216" s="2162">
        <f>SUM(AQ170,AQ175,AQ180,AQ185,AQ201,AQ206,AQ207,AQ182,AQ208:AQ215)</f>
        <v>4813.635772009</v>
      </c>
      <c r="AR216" s="2162">
        <f>SUM(AR170,AR175,AR180,AR185,AR201,AR206,AR207,AR182,AR210)</f>
        <v>13334.739582999999</v>
      </c>
      <c r="AS216" s="2162">
        <f>IFERROR(AT216/AR216*10,0)</f>
        <v>2.9531150843547755</v>
      </c>
      <c r="AT216" s="2162">
        <f>SUM(AT170,AT175,AT180,AT185,AT201,AT206,AT207,AT182,AT210)</f>
        <v>3937.9020608500005</v>
      </c>
      <c r="AU216" s="2162">
        <f>IFERROR(AV216/AR216*10,0)</f>
        <v>2.5910678994240093</v>
      </c>
      <c r="AV216" s="2162">
        <f>SUM(AV170,AV175,AV180,AV185,AV201,AV206,AV207,AV182,AV210)</f>
        <v>3455.1215680689997</v>
      </c>
      <c r="AW216" s="2162"/>
      <c r="AX216" s="2162">
        <f>SUM(AX170,AX175,AX180,AX185,AX201,AX206,AX207,AX182,AX210,AX211,AX213,AX212,AX209)</f>
        <v>500.93777003000002</v>
      </c>
      <c r="AY216" s="2162">
        <f>SUM(AY170,AY175,AY180,AY185,AY201,AY206,AY207,AY182,AY210,AY211,AY213)</f>
        <v>433.5498197</v>
      </c>
      <c r="AZ216" s="2162">
        <f>IFERROR(BA216/AR216*10,0)</f>
        <v>6.2449747644606859</v>
      </c>
      <c r="BA216" s="2162">
        <f>SUM(BA170,BA175,BA180,BA185,BA201,BA206,BA207,BA182,BA208:BA215)</f>
        <v>8327.5112186490005</v>
      </c>
      <c r="BB216" s="2162">
        <f>SUM(BB170,BB175,BB180,BB185,BB201,BB206,BB207,BB182,BB210)</f>
        <v>12114.076389999998</v>
      </c>
      <c r="BC216" s="2162">
        <f>IFERROR(BD216/BB216*10,0)</f>
        <v>1.4394907669968888</v>
      </c>
      <c r="BD216" s="2162">
        <f>SUM(BD170,BD175,BD180,BD185,BD201,BD206,BD207,BD182,BD210)</f>
        <v>1743.81011141</v>
      </c>
      <c r="BE216" s="2162">
        <f>IFERROR(BF216/BB216*10,0)</f>
        <v>2.419664379467398</v>
      </c>
      <c r="BF216" s="2162">
        <f>SUM(BF170,BF175,BF180,BF185,BF201,BF206,BF207,BF182,BF210)</f>
        <v>2931.1999131030002</v>
      </c>
      <c r="BG216" s="2162"/>
      <c r="BH216" s="2162">
        <f>SUM(BH170,BH175,BH180,BH185,BH201,BH206,BH207,BH182,BH210,BH211,BH213,BH212,BH209)</f>
        <v>712.34482839999998</v>
      </c>
      <c r="BI216" s="2162">
        <f>SUM(BI170,BI175,BI180,BI185,BI201,BI206,BI207,BI182,BI210,BI211,BI213)</f>
        <v>0</v>
      </c>
      <c r="BJ216" s="2162">
        <f>IFERROR(BK216/BB216*10,0)</f>
        <v>4.4471858022623882</v>
      </c>
      <c r="BK216" s="2162">
        <f>SUM(BK170,BK175,BK180,BK185,BK201,BK206,BK207,BK182,BK208:BK215)</f>
        <v>5387.3548529130003</v>
      </c>
      <c r="BL216" s="2162">
        <f>SUM(BL170,BL175,BL180,BL185,BL201,BL206,BL207,BL182,BL210)</f>
        <v>11022.488669599998</v>
      </c>
      <c r="BM216" s="2162">
        <f>IFERROR(BN216/BL216*10,0)</f>
        <v>1.5512694085799872</v>
      </c>
      <c r="BN216" s="2162">
        <f>SUM(BN170,BN175,BN180,BN185,BN201,BN206,BN207,BN182,BN210)</f>
        <v>1709.8849479569999</v>
      </c>
      <c r="BO216" s="2162">
        <f>IFERROR(BP216/BL216*10,0)</f>
        <v>2.4292039073433389</v>
      </c>
      <c r="BP216" s="2162">
        <f>SUM(BP170,BP175,BP180,BP185,BP201,BP206,BP207,BP182,BP210)</f>
        <v>2677.5872544839995</v>
      </c>
      <c r="BQ216" s="2162"/>
      <c r="BR216" s="2162">
        <f>SUM(BR170,BR175,BR180,BR185,BR201,BR206,BR207,BR182,BR210,BR211,BR213,BR212,BR209)</f>
        <v>401.68208490000001</v>
      </c>
      <c r="BS216" s="2107">
        <f>SUM(BS170,BS175,BS180,BS185,BS201,BS206,BS207,BS182,BS210,BS211,BS213)</f>
        <v>259.06222149999996</v>
      </c>
      <c r="BT216" s="2162">
        <f>IFERROR(BU216/BL216*10,0)</f>
        <v>4.5799244255645926</v>
      </c>
      <c r="BU216" s="2162">
        <f>SUM(BU170,BU175,BU180,BU185,BU201,BU206,BU207,BU182,BU208:BU215)</f>
        <v>5048.2165088410002</v>
      </c>
      <c r="BV216" s="2162">
        <f>SUM(BV170,BV175,BV180,BV185,BV201,BV206,BV207,BV182,BV210)</f>
        <v>9739.8366679999981</v>
      </c>
      <c r="BW216" s="2162">
        <f>IFERROR(BX216/BV216*10,0)</f>
        <v>1.7713781586054831</v>
      </c>
      <c r="BX216" s="2162">
        <f>SUM(BX170,BX175,BX180,BX185,BX201,BX206,BX207,BX182,BX210)</f>
        <v>1725.2933942079999</v>
      </c>
      <c r="BY216" s="2162">
        <f>IFERROR(BZ216/BV216*10,0)</f>
        <v>2.6190696778294282</v>
      </c>
      <c r="BZ216" s="2162">
        <f>SUM(BZ170,BZ175,BZ180,BZ185,BZ201,BZ206,BZ207,BZ182,BZ210)</f>
        <v>2550.9310884170004</v>
      </c>
      <c r="CA216" s="2162"/>
      <c r="CB216" s="2162">
        <f>SUM(CB170,CB175,CB180,CB185,CB201,CB206,CB207,CB182,CB210,CB211,CB213,CB212,CB209)</f>
        <v>353.12929695000003</v>
      </c>
      <c r="CC216" s="2162">
        <f>SUM(CC170,CC175,CC180,CC185,CC201,CC206,CC207,CC182,CC210,CC211,CC213)</f>
        <v>69.310226</v>
      </c>
      <c r="CD216" s="2162">
        <f>IFERROR(CE216/BV216*10,0)</f>
        <v>4.824171252288397</v>
      </c>
      <c r="CE216" s="2162">
        <f>SUM(CE170,CE175,CE180,CE185,CE201,CE206,CE207,CE182,CE208:CE215)</f>
        <v>4698.6640055750004</v>
      </c>
      <c r="CF216" s="2162">
        <f>SUM(CF170,CF175,CF180,CF185,CF201,CF206,CF207,CF182,CF210)</f>
        <v>7563.8194975000006</v>
      </c>
      <c r="CG216" s="2162">
        <f>IFERROR(CH216/CF216*10,0)</f>
        <v>2.0510047170701933</v>
      </c>
      <c r="CH216" s="2162">
        <f>SUM(CH170,CH175,CH180,CH185,CH201,CH206,CH207,CH182,CH210)</f>
        <v>1551.3429468439999</v>
      </c>
      <c r="CI216" s="2162">
        <f>IFERROR(CJ216/CF216*10,0)</f>
        <v>2.1341640601121439</v>
      </c>
      <c r="CJ216" s="2162">
        <f>SUM(CJ170,CJ175,CJ180,CJ185,CJ201,CJ206,CJ207,CJ182,CJ210,CJ211)</f>
        <v>1614.2431728739998</v>
      </c>
      <c r="CK216" s="2162"/>
      <c r="CL216" s="2162">
        <f>SUM(CL170,CL175,CL180,CL185,CL201,CL206,CL207,CL182,CL210,CL211,CL213,CL212,CL209)</f>
        <v>532.24652313399997</v>
      </c>
      <c r="CM216" s="2162">
        <f>SUM(CM170,CM175,CM180,CM185,CM201,CM206,CM207,CM182,CM210,CM211,CM213)</f>
        <v>74.446957900000001</v>
      </c>
      <c r="CN216" s="2162">
        <f>IFERROR(CO216/CF216*10,0)</f>
        <v>4.987268141444698</v>
      </c>
      <c r="CO216" s="2162">
        <f>SUM(CO170,CO175,CO180,CO185,CO201,CO206,CO207,CO182,CO208:CO215)</f>
        <v>3772.2796007519996</v>
      </c>
      <c r="CP216" s="2162">
        <f>SUM(CP170,CP175,CP180,CP185,CP201,CP206,CP207,CP182,CP210,CP204)</f>
        <v>8590.1239490000007</v>
      </c>
      <c r="CQ216" s="2162">
        <f>IFERROR(CR216/CP216*10,0)</f>
        <v>2.0956400502225159</v>
      </c>
      <c r="CR216" s="2162">
        <f>SUM(CR170,CR175,CR180,CR185,CR201,CR206,CR207,CR182,CR210,CR204)</f>
        <v>1800.1807783899999</v>
      </c>
      <c r="CS216" s="2162">
        <f>IFERROR(CT216/CP216*10,0)</f>
        <v>1.9437741913646975</v>
      </c>
      <c r="CT216" s="2162">
        <f>SUM(CT170,CT175,CT180,CT185,CT201,CT206,CT207,CT182,CT210,CT204)</f>
        <v>1669.7261232689998</v>
      </c>
      <c r="CU216" s="2162"/>
      <c r="CV216" s="2162">
        <f>SUM(CV170,CV175,CV180,CV185,CV201,CV206,CV207,CV182,CV210,CV211,CV213,CV212,CV209)</f>
        <v>283.07923388</v>
      </c>
      <c r="CW216" s="2162">
        <f>SUM(CW170,CW175,CW180,CW185,CW201,CW206,CW207,CW182,CW210,CW211,CW213,CW212)</f>
        <v>62.797380199999999</v>
      </c>
      <c r="CX216" s="2162">
        <f>IFERROR(CY216/CP216*10,0)</f>
        <v>4.4420587390746604</v>
      </c>
      <c r="CY216" s="2162">
        <f>SUM(CY170,CY175,CY180,CY185,CY201,CY206,CY207,CY182,CY208:CY215,CY204)</f>
        <v>3815.7835157389991</v>
      </c>
      <c r="CZ216" s="2162">
        <f>SUM(CZ170,CZ175,CZ180,CZ185,CZ201,CZ206,CZ207,CZ182,CZ210,CZ204,CZ187)</f>
        <v>10523.928667167969</v>
      </c>
      <c r="DA216" s="2162">
        <f>IFERROR(DB216/CZ216*10,0)</f>
        <v>1.6800969519374809</v>
      </c>
      <c r="DB216" s="2162">
        <f>SUM(DB170,DB175,DB180,DB185,DB201,DB206,DB207,DB182,DB210,DB204)</f>
        <v>1768.122047611638</v>
      </c>
      <c r="DC216" s="2162">
        <f>IFERROR(DD216/CZ216*10,0)</f>
        <v>2.4355553921252642</v>
      </c>
      <c r="DD216" s="2162">
        <f>SUM(DD170,DD175,DD180,DD185,DD201,DD206,DD207,DD182,DD210,DD204)</f>
        <v>2563.1611211662594</v>
      </c>
      <c r="DE216" s="2162"/>
      <c r="DF216" s="2162">
        <f>SUM(DF170,DF175,DF180,DF185,DF201,DF206,DF207,DF182,DF210,DF211,DF213,DF204)</f>
        <v>0</v>
      </c>
      <c r="DG216" s="2162" t="s">
        <v>1594</v>
      </c>
      <c r="DH216" s="2162">
        <f>IFERROR(DI216/CZ216*10,0)</f>
        <v>3.9202908149320774</v>
      </c>
      <c r="DI216" s="2162">
        <f>SUM(DI170,DI175,DI180,DI185,DI201,DI206,DI207,DI182,DI208:DI215,DI204)</f>
        <v>4125.686089089897</v>
      </c>
      <c r="DJ216" s="2162">
        <f>SUM(DJ170,DJ175,DJ180,DJ185,DJ201,DJ206,DJ207,DJ182,DJ210,DJ204,DJ187)</f>
        <v>10370.057666057326</v>
      </c>
      <c r="DK216" s="2162">
        <f>IFERROR(DL216/DJ216*10,0)</f>
        <v>1.7050262443563384</v>
      </c>
      <c r="DL216" s="2162">
        <f>SUM(DL170,DL175,DL180,DL185,DL201,DL206,DL207,DL182,DL210,DL204)</f>
        <v>1768.122047611638</v>
      </c>
      <c r="DM216" s="2162">
        <f>IFERROR(DN216/DJ216*10,0)</f>
        <v>2.5160070780409214</v>
      </c>
      <c r="DN216" s="2162">
        <f>SUM(DN170,DN175,DN180,DN185,DN201,DN206,DN207,DN182,DN210,DN204)</f>
        <v>2609.1138487492753</v>
      </c>
      <c r="DO216" s="2162"/>
      <c r="DP216" s="2162">
        <f>SUM(DP170,DP175,DP180,DP185,DP201,DP206,DP207,DP182,DP210,DP211,DP213,DP204)</f>
        <v>0</v>
      </c>
      <c r="DQ216" s="2162" t="s">
        <v>1594</v>
      </c>
      <c r="DR216" s="2162">
        <f>IFERROR(DS216/DJ216*10,0)</f>
        <v>4.0347554692120493</v>
      </c>
      <c r="DS216" s="2162">
        <f>SUM(DS170,DS175,DS180,DS185,DS201,DS206,DS207,DS182,DS208:DS215,DS204)</f>
        <v>4184.0646884169137</v>
      </c>
      <c r="DT216" s="2162">
        <f>SUM(DT170,DT175,DT180,DT185,DT201,DT206,DT207,DT182,DT210,DT204,DT187)</f>
        <v>12249.302863110373</v>
      </c>
      <c r="DU216" s="2162">
        <f>IFERROR(DV216/DT216*10,0)</f>
        <v>1.6079573562760312</v>
      </c>
      <c r="DV216" s="2162">
        <f>SUM(DV170,DV175,DV180,DV185,DV201,DV206,DV207,DV182,DV210,DV204)</f>
        <v>1969.6356647991377</v>
      </c>
      <c r="DW216" s="2162">
        <f>IFERROR(DX216/DT216*10,0)</f>
        <v>2.5310489024776102</v>
      </c>
      <c r="DX216" s="2162">
        <f>SUM(DX170,DX175,DX180,DX185,DX201,DX206,DX207,DX182,DX210,DX204)</f>
        <v>3100.3584567791358</v>
      </c>
      <c r="DY216" s="2162"/>
      <c r="DZ216" s="2162">
        <f>SUM(DZ170,DZ175,DZ180,DZ185,DZ201,DZ206,DZ207,DZ182,DZ210,DZ211,DZ213)</f>
        <v>0</v>
      </c>
      <c r="EA216" s="2162" t="s">
        <v>1594</v>
      </c>
      <c r="EB216" s="2162">
        <f>IFERROR(EC216/DT216*10,0)</f>
        <v>3.9377099672284266</v>
      </c>
      <c r="EC216" s="2162">
        <f>SUM(EC170,EC175,EC180,EC185,EC201,EC206,EC207,EC182,EC208:EC215,EC204)</f>
        <v>4823.4201975669421</v>
      </c>
      <c r="ED216" s="2178">
        <f>SUM(ED170,ED175,ED180,ED185,ED201,ED206,ED207,ED211,ED182,ED187,ED204)</f>
        <v>126119.4105321213</v>
      </c>
      <c r="EE216" s="2162"/>
      <c r="EF216" s="2152"/>
      <c r="EG216" s="2178">
        <f>SUM(EG170,EG175,EG180,EG185,EG201,EG206,EG207,EG211,EG182,EG187,EG204)</f>
        <v>22181.961524778413</v>
      </c>
      <c r="EH216" s="2162"/>
      <c r="EI216" s="2178">
        <f>SUM(EI170,EI175,EI180,EI185,EI201,EI206,EI207,EI211,EI182,EI187,EI204)</f>
        <v>30149.798210061741</v>
      </c>
      <c r="EJ216" s="2152"/>
      <c r="EK216" s="2178">
        <f>SUM(EK170,EK175,EK180,EK185,EK201,EK206,EK207,EK211,EK182,EK187,EK213,EK210,EK204,EK212)</f>
        <v>7362.6235354290011</v>
      </c>
      <c r="EL216" s="2152"/>
      <c r="EM216" s="2162"/>
      <c r="EN216" s="2178">
        <f>SUM(EN170,EN175,EN180,EN185,EN201,EN206,EN207,EN211,EN182,EN187,EN213,EN210,EN204,EN212)</f>
        <v>59694.383270269165</v>
      </c>
      <c r="EO216" s="2157">
        <f>IFERROR(EN216/ED216*10,0)</f>
        <v>4.7331638340527791</v>
      </c>
      <c r="EP216" s="2163"/>
      <c r="ES216" s="2084">
        <f>EN216-SUM(EG216,EI216,EK216,EL216)</f>
        <v>0</v>
      </c>
      <c r="EU216" s="2084">
        <f>SUM(R216,AB216,AL216,AV216,BF216,BP216,BZ216,CJ216,CT216)</f>
        <v>21628.21602103996</v>
      </c>
      <c r="EV216" s="2084">
        <f>SUM(N216,X216,AH216,AR216,BB216,BL216,BV216,CF216,CP216)</f>
        <v>92639.517315100005</v>
      </c>
      <c r="EW216" s="2084">
        <f>EU216*10/EV216</f>
        <v>2.334664152823108</v>
      </c>
    </row>
    <row r="217" spans="1:153">
      <c r="A217" s="2179"/>
      <c r="B217" s="1589"/>
      <c r="C217" s="1596"/>
      <c r="D217" s="1597"/>
      <c r="E217" s="1592"/>
      <c r="F217" s="1597"/>
      <c r="G217" s="1592"/>
      <c r="H217" s="2180"/>
      <c r="I217" s="2169"/>
      <c r="J217" s="2169"/>
      <c r="K217" s="2169"/>
      <c r="L217" s="2169"/>
      <c r="M217" s="2169"/>
      <c r="N217" s="2169"/>
      <c r="O217" s="2169"/>
      <c r="P217" s="2169"/>
      <c r="Q217" s="2169"/>
      <c r="R217" s="2169"/>
      <c r="S217" s="2169"/>
      <c r="T217" s="2169"/>
      <c r="U217" s="2169"/>
      <c r="V217" s="2169"/>
      <c r="W217" s="2169"/>
      <c r="X217" s="2169"/>
      <c r="Y217" s="2169"/>
      <c r="Z217" s="2169"/>
      <c r="AA217" s="2169"/>
      <c r="AB217" s="2169"/>
      <c r="AC217" s="2169"/>
      <c r="AD217" s="2169"/>
      <c r="AE217" s="2169"/>
      <c r="AF217" s="2169"/>
      <c r="AG217" s="2169"/>
      <c r="AH217" s="2169"/>
      <c r="AI217" s="2169"/>
      <c r="AJ217" s="2169"/>
      <c r="AK217" s="2169"/>
      <c r="AL217" s="2169"/>
      <c r="AM217" s="2169"/>
      <c r="AN217" s="2169"/>
      <c r="AO217" s="2181"/>
      <c r="AP217" s="2169"/>
      <c r="AQ217" s="2169"/>
      <c r="AR217" s="2169"/>
      <c r="AS217" s="2169"/>
      <c r="AT217" s="2169"/>
      <c r="AU217" s="2169"/>
      <c r="AV217" s="2169"/>
      <c r="AW217" s="2169"/>
      <c r="AX217" s="2169"/>
      <c r="AY217" s="2182"/>
      <c r="AZ217" s="2169"/>
      <c r="BA217" s="2169"/>
      <c r="BB217" s="2169"/>
      <c r="BC217" s="2169"/>
      <c r="BD217" s="2169"/>
      <c r="BE217" s="2169"/>
      <c r="BF217" s="2169"/>
      <c r="BG217" s="2169"/>
      <c r="BH217" s="2169"/>
      <c r="BI217" s="2182"/>
      <c r="BJ217" s="2169"/>
      <c r="BK217" s="2169"/>
      <c r="BL217" s="2169"/>
      <c r="BM217" s="2169"/>
      <c r="BN217" s="2169"/>
      <c r="BO217" s="2169"/>
      <c r="BP217" s="2169"/>
      <c r="BQ217" s="2169"/>
      <c r="BR217" s="2169"/>
      <c r="BS217" s="2169"/>
      <c r="BT217" s="2169"/>
      <c r="BU217" s="2169"/>
      <c r="BV217" s="2169"/>
      <c r="BW217" s="2169"/>
      <c r="BX217" s="2169"/>
      <c r="BY217" s="2169"/>
      <c r="BZ217" s="2169"/>
      <c r="CA217" s="2169"/>
      <c r="CB217" s="2169"/>
      <c r="CC217" s="2169"/>
      <c r="CD217" s="2169"/>
      <c r="CE217" s="2169"/>
      <c r="CF217" s="2169"/>
      <c r="CG217" s="2169"/>
      <c r="CH217" s="2169"/>
      <c r="CI217" s="2169"/>
      <c r="CJ217" s="2169"/>
      <c r="CK217" s="2169"/>
      <c r="CL217" s="2169"/>
      <c r="CM217" s="2169"/>
      <c r="CN217" s="2169"/>
      <c r="CO217" s="2169"/>
      <c r="CP217" s="2169"/>
      <c r="CQ217" s="2169"/>
      <c r="CR217" s="2169"/>
      <c r="CS217" s="2169"/>
      <c r="CT217" s="2169"/>
      <c r="CU217" s="2169"/>
      <c r="CV217" s="2169"/>
      <c r="CW217" s="2169"/>
      <c r="CX217" s="2169"/>
      <c r="CY217" s="2169"/>
      <c r="CZ217" s="2169"/>
      <c r="DA217" s="2169"/>
      <c r="DB217" s="2169"/>
      <c r="DC217" s="2169"/>
      <c r="DD217" s="2169"/>
      <c r="DE217" s="2169"/>
      <c r="DF217" s="2169"/>
      <c r="DG217" s="2182"/>
      <c r="DH217" s="2169"/>
      <c r="DI217" s="2169"/>
      <c r="DJ217" s="2169"/>
      <c r="DK217" s="2169"/>
      <c r="DL217" s="2169"/>
      <c r="DM217" s="2169"/>
      <c r="DN217" s="2169"/>
      <c r="DO217" s="2169"/>
      <c r="DP217" s="2169"/>
      <c r="DQ217" s="2182"/>
      <c r="DR217" s="2169"/>
      <c r="DS217" s="2169"/>
      <c r="DT217" s="2169"/>
      <c r="DU217" s="2169"/>
      <c r="DV217" s="2169"/>
      <c r="DW217" s="2169"/>
      <c r="DX217" s="2169"/>
      <c r="DY217" s="2169"/>
      <c r="DZ217" s="2169"/>
      <c r="EA217" s="2169"/>
      <c r="EB217" s="2169"/>
      <c r="EC217" s="2169"/>
      <c r="ED217" s="2169"/>
      <c r="EE217" s="2183"/>
      <c r="EF217" s="2169"/>
      <c r="EG217" s="2169"/>
      <c r="EH217" s="2169"/>
      <c r="EI217" s="2169"/>
      <c r="EJ217" s="2169"/>
      <c r="EK217" s="2169"/>
      <c r="EL217" s="2169"/>
      <c r="EM217" s="2169"/>
      <c r="EN217" s="2169"/>
      <c r="EO217" s="2169"/>
      <c r="EP217" s="2169"/>
    </row>
    <row r="218" spans="1:153">
      <c r="B218" s="2169"/>
      <c r="C218" s="1596"/>
      <c r="D218" s="1597"/>
      <c r="E218" s="1592"/>
      <c r="F218" s="1597"/>
      <c r="G218" s="1592"/>
      <c r="H218" s="2168"/>
      <c r="I218" s="2169"/>
      <c r="J218" s="2169"/>
      <c r="K218" s="2169"/>
      <c r="L218" s="2169"/>
      <c r="M218" s="2169"/>
      <c r="N218" s="2169">
        <v>0</v>
      </c>
      <c r="O218" s="2169"/>
      <c r="P218" s="2169">
        <v>0</v>
      </c>
      <c r="Q218" s="2169"/>
      <c r="R218" s="2169">
        <v>0</v>
      </c>
      <c r="S218" s="2169"/>
      <c r="T218" s="2169">
        <v>0</v>
      </c>
      <c r="U218" s="2169"/>
      <c r="V218" s="2169"/>
      <c r="W218" s="2169">
        <v>0</v>
      </c>
      <c r="X218" s="2169">
        <v>0</v>
      </c>
      <c r="Y218" s="2169"/>
      <c r="Z218" s="2169">
        <v>0</v>
      </c>
      <c r="AA218" s="2169"/>
      <c r="AB218" s="2169">
        <v>0</v>
      </c>
      <c r="AC218" s="2169"/>
      <c r="AD218" s="2169">
        <v>0</v>
      </c>
      <c r="AE218" s="2169"/>
      <c r="AF218" s="2169"/>
      <c r="AG218" s="2169">
        <v>0</v>
      </c>
      <c r="AH218" s="2169">
        <v>0</v>
      </c>
      <c r="AI218" s="2169"/>
      <c r="AJ218" s="2169">
        <v>0</v>
      </c>
      <c r="AK218" s="2169"/>
      <c r="AL218" s="2169">
        <v>0</v>
      </c>
      <c r="AM218" s="2169"/>
      <c r="AN218" s="2169">
        <v>0</v>
      </c>
      <c r="AO218" s="2169"/>
      <c r="AP218" s="2169"/>
      <c r="AQ218" s="2169">
        <v>0</v>
      </c>
      <c r="AR218" s="2169">
        <v>0</v>
      </c>
      <c r="AS218" s="2169"/>
      <c r="AT218" s="2169">
        <v>0</v>
      </c>
      <c r="AU218" s="2169"/>
      <c r="AV218" s="2169">
        <v>0</v>
      </c>
      <c r="AW218" s="2169"/>
      <c r="AX218" s="2169">
        <v>0</v>
      </c>
      <c r="AY218" s="2169"/>
      <c r="AZ218" s="2169"/>
      <c r="BA218" s="2185">
        <v>1.2450000212993473E-4</v>
      </c>
      <c r="BB218" s="2169">
        <v>0</v>
      </c>
      <c r="BC218" s="2169"/>
      <c r="BD218" s="2169">
        <v>0</v>
      </c>
      <c r="BE218" s="2169"/>
      <c r="BF218" s="2169">
        <v>0</v>
      </c>
      <c r="BG218" s="2169"/>
      <c r="BH218" s="2169">
        <v>0</v>
      </c>
      <c r="BI218" s="2169"/>
      <c r="BJ218" s="2169"/>
      <c r="BK218" s="2169">
        <v>1.4623700000811368E-2</v>
      </c>
      <c r="BL218" s="2169">
        <v>0</v>
      </c>
      <c r="BM218" s="2169"/>
      <c r="BN218" s="2169">
        <v>0</v>
      </c>
      <c r="BO218" s="2169"/>
      <c r="BP218" s="2169">
        <v>0</v>
      </c>
      <c r="BQ218" s="2169"/>
      <c r="BR218" s="2169">
        <v>0</v>
      </c>
      <c r="BS218" s="2169">
        <v>0</v>
      </c>
      <c r="BT218" s="2169"/>
      <c r="BU218" s="2169">
        <v>0</v>
      </c>
      <c r="BV218" s="2169">
        <v>0</v>
      </c>
      <c r="BW218" s="2169"/>
      <c r="BX218" s="2169">
        <v>0</v>
      </c>
      <c r="BY218" s="2169"/>
      <c r="BZ218" s="2169">
        <v>0</v>
      </c>
      <c r="CA218" s="2169"/>
      <c r="CB218" s="2169">
        <v>0</v>
      </c>
      <c r="CC218" s="2169">
        <v>0</v>
      </c>
      <c r="CD218" s="2169"/>
      <c r="CE218" s="2169">
        <v>0</v>
      </c>
      <c r="CF218" s="2169">
        <v>0</v>
      </c>
      <c r="CG218" s="2169"/>
      <c r="CH218" s="2169">
        <v>0</v>
      </c>
      <c r="CI218" s="2169"/>
      <c r="CJ218" s="2169">
        <v>-96.89242749999994</v>
      </c>
      <c r="CK218" s="2169"/>
      <c r="CL218" s="2169">
        <v>96.89242749999994</v>
      </c>
      <c r="CM218" s="2169"/>
      <c r="CN218" s="2169"/>
      <c r="CO218" s="2169">
        <v>0</v>
      </c>
      <c r="CP218" s="2169">
        <v>0</v>
      </c>
      <c r="CQ218" s="2169"/>
      <c r="CR218" s="2169">
        <v>0</v>
      </c>
      <c r="CS218" s="2169"/>
      <c r="CT218" s="2169">
        <v>0</v>
      </c>
      <c r="CU218" s="2169"/>
      <c r="CV218" s="2169">
        <v>0</v>
      </c>
      <c r="CW218" s="2169">
        <v>0</v>
      </c>
      <c r="CX218" s="2169"/>
      <c r="CY218" s="2169">
        <v>1.0465105333423708E-5</v>
      </c>
      <c r="CZ218" s="2169"/>
      <c r="DA218" s="2169"/>
      <c r="DB218" s="2169"/>
      <c r="DC218" s="2169"/>
      <c r="DD218" s="2169"/>
      <c r="DE218" s="2169"/>
      <c r="DF218" s="2169"/>
      <c r="DG218" s="2169"/>
      <c r="DH218" s="2169"/>
      <c r="DI218" s="2169"/>
      <c r="DJ218" s="2169"/>
      <c r="DK218" s="2169"/>
      <c r="DL218" s="2169"/>
      <c r="DM218" s="2169"/>
      <c r="DN218" s="2169"/>
      <c r="DO218" s="2169"/>
      <c r="DP218" s="2169"/>
      <c r="DQ218" s="2169"/>
      <c r="DR218" s="2169"/>
      <c r="DS218" s="2169"/>
      <c r="DT218" s="2169"/>
      <c r="DU218" s="2169"/>
      <c r="DV218" s="2169"/>
      <c r="DW218" s="2169"/>
      <c r="DX218" s="2169"/>
      <c r="DY218" s="2169"/>
      <c r="DZ218" s="2169"/>
      <c r="EA218" s="2169"/>
      <c r="EB218" s="2169"/>
      <c r="EC218" s="2169"/>
      <c r="ED218" s="2169"/>
      <c r="EE218" s="2183"/>
      <c r="EF218" s="2169"/>
      <c r="EG218" s="2169"/>
      <c r="EH218" s="2169"/>
      <c r="EI218" s="2169"/>
      <c r="EJ218" s="2169"/>
      <c r="EK218" s="2169"/>
      <c r="EL218" s="2169"/>
      <c r="EM218" s="2169"/>
      <c r="EN218" s="2169"/>
      <c r="EO218" s="2169"/>
      <c r="EP218" s="2169"/>
    </row>
    <row r="219" spans="1:153" hidden="1">
      <c r="B219" s="2161" t="s">
        <v>1824</v>
      </c>
      <c r="C219" s="1596"/>
      <c r="D219" s="1597"/>
      <c r="E219" s="1592"/>
      <c r="F219" s="1597"/>
      <c r="G219" s="1592"/>
      <c r="H219" s="2168"/>
      <c r="I219" s="2169"/>
      <c r="J219" s="2169"/>
      <c r="K219" s="2169"/>
      <c r="L219" s="2169"/>
      <c r="M219" s="2169"/>
      <c r="N219" s="2169"/>
      <c r="O219" s="2169"/>
      <c r="P219" s="2169"/>
      <c r="Q219" s="2169"/>
      <c r="R219" s="2169"/>
      <c r="S219" s="2169"/>
      <c r="T219" s="2169"/>
      <c r="U219" s="2169"/>
      <c r="V219" s="2169"/>
      <c r="W219" s="2169"/>
      <c r="X219" s="2169"/>
      <c r="Y219" s="2169"/>
      <c r="Z219" s="2169"/>
      <c r="AA219" s="2169"/>
      <c r="AB219" s="2169"/>
      <c r="AC219" s="2169"/>
      <c r="AD219" s="2169"/>
      <c r="AE219" s="2169"/>
      <c r="AF219" s="2169"/>
      <c r="AG219" s="2169"/>
      <c r="AH219" s="2169"/>
      <c r="AI219" s="2169"/>
      <c r="AJ219" s="2169"/>
      <c r="AK219" s="2169"/>
      <c r="AL219" s="2169"/>
      <c r="AM219" s="2169"/>
      <c r="AN219" s="2169"/>
      <c r="AO219" s="2169"/>
      <c r="AP219" s="2169"/>
      <c r="AQ219" s="2169"/>
      <c r="AR219" s="2169"/>
      <c r="AS219" s="2169"/>
      <c r="AT219" s="2169"/>
      <c r="AU219" s="2169"/>
      <c r="AV219" s="2169"/>
      <c r="AW219" s="2169"/>
      <c r="AX219" s="2169"/>
      <c r="AY219" s="2169"/>
      <c r="AZ219" s="2169"/>
      <c r="BA219" s="2185"/>
      <c r="BB219" s="2169"/>
      <c r="BC219" s="2169"/>
      <c r="BD219" s="2169"/>
      <c r="BE219" s="2169"/>
      <c r="BF219" s="2169"/>
      <c r="BG219" s="2169"/>
      <c r="BH219" s="2169"/>
      <c r="BI219" s="2182"/>
      <c r="BJ219" s="2169"/>
      <c r="BK219" s="2169"/>
      <c r="BL219" s="2169"/>
      <c r="BM219" s="2169"/>
      <c r="BN219" s="2169"/>
      <c r="BO219" s="2169"/>
      <c r="BP219" s="2169"/>
      <c r="BQ219" s="2169"/>
      <c r="BR219" s="2169"/>
      <c r="BS219" s="2169"/>
      <c r="BT219" s="2169"/>
      <c r="BU219" s="2169"/>
      <c r="BV219" s="2169"/>
      <c r="BW219" s="2169"/>
      <c r="BX219" s="2169"/>
      <c r="BY219" s="2169"/>
      <c r="BZ219" s="2169"/>
      <c r="CA219" s="2169"/>
      <c r="CB219" s="2169"/>
      <c r="CC219" s="2169"/>
      <c r="CD219" s="2169"/>
      <c r="CE219" s="2169"/>
      <c r="CF219" s="2169"/>
      <c r="CG219" s="2169"/>
      <c r="CH219" s="2169"/>
      <c r="CI219" s="2169"/>
      <c r="CJ219" s="2169"/>
      <c r="CK219" s="2169"/>
      <c r="CL219" s="2169">
        <f>CJ218+CL218</f>
        <v>0</v>
      </c>
      <c r="CM219" s="2182"/>
      <c r="CN219" s="2169"/>
      <c r="CO219" s="2169"/>
      <c r="CP219" s="2169"/>
      <c r="CQ219" s="2169"/>
      <c r="CR219" s="2169"/>
      <c r="CS219" s="2169"/>
      <c r="CT219" s="2169"/>
      <c r="CU219" s="2169"/>
      <c r="CV219" s="2169"/>
      <c r="CW219" s="2182"/>
      <c r="CX219" s="2169"/>
      <c r="CY219" s="2169"/>
      <c r="CZ219" s="2169"/>
      <c r="DA219" s="2169"/>
      <c r="DB219" s="2169"/>
      <c r="DC219" s="2169"/>
      <c r="DD219" s="2169"/>
      <c r="DE219" s="2169"/>
      <c r="DF219" s="2169"/>
      <c r="DG219" s="2182"/>
      <c r="DH219" s="2169"/>
      <c r="DI219" s="2169">
        <f>DI218</f>
        <v>0</v>
      </c>
      <c r="DJ219" s="2169"/>
      <c r="DK219" s="2169"/>
      <c r="DL219" s="2169"/>
      <c r="DM219" s="2169"/>
      <c r="DN219" s="2169"/>
      <c r="DO219" s="2169"/>
      <c r="DP219" s="2169"/>
      <c r="DQ219" s="2182"/>
      <c r="DR219" s="2169"/>
      <c r="DS219" s="2169">
        <f>DS218</f>
        <v>0</v>
      </c>
      <c r="DT219" s="2169"/>
      <c r="DU219" s="2169"/>
      <c r="DV219" s="2169"/>
      <c r="DW219" s="2169"/>
      <c r="DX219" s="2169"/>
      <c r="DY219" s="2169"/>
      <c r="DZ219" s="2169"/>
      <c r="EA219" s="2169"/>
      <c r="EB219" s="2169"/>
      <c r="EC219" s="2169">
        <f>EC218</f>
        <v>0</v>
      </c>
      <c r="ED219" s="2169"/>
      <c r="EE219" s="2183"/>
      <c r="EF219" s="2169"/>
      <c r="EG219" s="2169"/>
      <c r="EH219" s="2169"/>
      <c r="EI219" s="2169"/>
      <c r="EJ219" s="2169"/>
      <c r="EK219" s="2169"/>
      <c r="EL219" s="2169"/>
      <c r="EM219" s="2169"/>
      <c r="EN219" s="2169"/>
      <c r="EO219" s="2169"/>
      <c r="EP219" s="2169"/>
    </row>
    <row r="220" spans="1:153" hidden="1">
      <c r="B220" s="2161" t="s">
        <v>1825</v>
      </c>
      <c r="C220" s="1596"/>
      <c r="D220" s="1597"/>
      <c r="E220" s="1592"/>
      <c r="F220" s="1597"/>
      <c r="G220" s="1592"/>
      <c r="H220" s="2168"/>
      <c r="I220" s="2169"/>
      <c r="J220" s="2169"/>
      <c r="K220" s="2169"/>
      <c r="L220" s="2169"/>
      <c r="M220" s="2169"/>
      <c r="N220" s="2169"/>
      <c r="O220" s="2169"/>
      <c r="P220" s="2169"/>
      <c r="Q220" s="2169"/>
      <c r="R220" s="2169"/>
      <c r="S220" s="2169"/>
      <c r="T220" s="2169"/>
      <c r="U220" s="2169"/>
      <c r="V220" s="2169"/>
      <c r="W220" s="2169"/>
      <c r="X220" s="2169"/>
      <c r="Y220" s="2169"/>
      <c r="Z220" s="2169"/>
      <c r="AA220" s="2169"/>
      <c r="AB220" s="2169"/>
      <c r="AC220" s="2169"/>
      <c r="AD220" s="2169"/>
      <c r="AE220" s="2169"/>
      <c r="AF220" s="2169"/>
      <c r="AG220" s="2169"/>
      <c r="AH220" s="2169"/>
      <c r="AI220" s="2169"/>
      <c r="AJ220" s="2169"/>
      <c r="AK220" s="2169"/>
      <c r="AL220" s="2169"/>
      <c r="AM220" s="2169"/>
      <c r="AN220" s="2169"/>
      <c r="AO220" s="2182"/>
      <c r="AP220" s="2169"/>
      <c r="AQ220" s="2169"/>
      <c r="AR220" s="2169"/>
      <c r="AS220" s="2169"/>
      <c r="AT220" s="2169"/>
      <c r="AU220" s="2169"/>
      <c r="AV220" s="2169"/>
      <c r="AW220" s="2169"/>
      <c r="AX220" s="2169"/>
      <c r="AY220" s="2169"/>
      <c r="AZ220" s="2169"/>
      <c r="BA220" s="2169"/>
      <c r="BB220" s="2169"/>
      <c r="BC220" s="2169"/>
      <c r="BD220" s="2169"/>
      <c r="BE220" s="2169"/>
      <c r="BF220" s="2169"/>
      <c r="BG220" s="2169"/>
      <c r="BH220" s="2169"/>
      <c r="BI220" s="2182"/>
      <c r="BJ220" s="2169"/>
      <c r="BK220" s="2169"/>
      <c r="BL220" s="2169"/>
      <c r="BM220" s="2169"/>
      <c r="BN220" s="2169"/>
      <c r="BO220" s="2169"/>
      <c r="BP220" s="2169"/>
      <c r="BQ220" s="2169"/>
      <c r="BR220" s="2169"/>
      <c r="BS220" s="2169"/>
      <c r="BT220" s="2169"/>
      <c r="BU220" s="2169"/>
      <c r="BV220" s="2169"/>
      <c r="BW220" s="2169"/>
      <c r="BX220" s="2169"/>
      <c r="BY220" s="2169"/>
      <c r="BZ220" s="2169"/>
      <c r="CA220" s="2169"/>
      <c r="CB220" s="2169"/>
      <c r="CC220" s="2169"/>
      <c r="CD220" s="2169"/>
      <c r="CE220" s="2169"/>
      <c r="CF220" s="2169"/>
      <c r="CG220" s="2169"/>
      <c r="CH220" s="2169"/>
      <c r="CI220" s="2169"/>
      <c r="CJ220" s="2169"/>
      <c r="CK220" s="2169"/>
      <c r="CL220" s="2169"/>
      <c r="CM220" s="2182"/>
      <c r="CN220" s="2169"/>
      <c r="CO220" s="2169"/>
      <c r="CP220" s="2169"/>
      <c r="CQ220" s="2169"/>
      <c r="CR220" s="2169"/>
      <c r="CS220" s="2169"/>
      <c r="CT220" s="2169"/>
      <c r="CU220" s="2169"/>
      <c r="CV220" s="2169"/>
      <c r="CW220" s="2182"/>
      <c r="CX220" s="2169"/>
      <c r="CY220" s="2169"/>
      <c r="CZ220" s="2169"/>
      <c r="DA220" s="2169"/>
      <c r="DB220" s="2169"/>
      <c r="DC220" s="2169"/>
      <c r="DD220" s="2169"/>
      <c r="DE220" s="2169"/>
      <c r="DF220" s="2169"/>
      <c r="DG220" s="2182"/>
      <c r="DH220" s="2169"/>
      <c r="DI220" s="2169"/>
      <c r="DJ220" s="2169"/>
      <c r="DK220" s="2169"/>
      <c r="DL220" s="2169"/>
      <c r="DM220" s="2169"/>
      <c r="DN220" s="2169"/>
      <c r="DO220" s="2169"/>
      <c r="DP220" s="2169"/>
      <c r="DQ220" s="2182"/>
      <c r="DR220" s="2169"/>
      <c r="DS220" s="2169"/>
      <c r="DT220" s="2169"/>
      <c r="DU220" s="2169"/>
      <c r="DV220" s="2169"/>
      <c r="DW220" s="2169"/>
      <c r="DX220" s="2169"/>
      <c r="DY220" s="2169"/>
      <c r="DZ220" s="2169"/>
      <c r="EA220" s="2169"/>
      <c r="EB220" s="2169"/>
      <c r="EC220" s="2169"/>
      <c r="ED220" s="2169"/>
      <c r="EE220" s="2183"/>
      <c r="EF220" s="2169"/>
      <c r="EG220" s="2169"/>
      <c r="EH220" s="2169"/>
      <c r="EI220" s="2169"/>
      <c r="EJ220" s="2169"/>
      <c r="EK220" s="2169"/>
      <c r="EL220" s="2169"/>
      <c r="EM220" s="2169"/>
      <c r="EN220" s="2169"/>
      <c r="EO220" s="2169"/>
      <c r="EP220" s="2169"/>
    </row>
    <row r="221" spans="1:153" hidden="1">
      <c r="B221" s="2186" t="s">
        <v>1826</v>
      </c>
      <c r="C221" s="2166">
        <f>SUM(C169,C173,C171,C179,C181,C190,C200,C205:C218)-C220</f>
        <v>0</v>
      </c>
      <c r="D221" s="2167"/>
      <c r="E221" s="2152"/>
      <c r="F221" s="2167"/>
      <c r="G221" s="2152">
        <f>SUM(G169,G173,G171,G180,G181,G191,G201,G213:G218)-G219+G220</f>
        <v>19911.666799999999</v>
      </c>
      <c r="H221" s="2168"/>
      <c r="I221" s="2169"/>
      <c r="J221" s="2169"/>
      <c r="K221" s="2169"/>
      <c r="L221" s="2169"/>
      <c r="M221" s="2169"/>
      <c r="N221" s="2169"/>
      <c r="O221" s="2169"/>
      <c r="P221" s="2169"/>
      <c r="Q221" s="2169"/>
      <c r="R221" s="2169"/>
      <c r="S221" s="2169"/>
      <c r="T221" s="2169"/>
      <c r="U221" s="2169"/>
      <c r="V221" s="2169"/>
      <c r="W221" s="2169"/>
      <c r="X221" s="2169"/>
      <c r="Y221" s="2169"/>
      <c r="Z221" s="2169"/>
      <c r="AA221" s="2169"/>
      <c r="AB221" s="2169"/>
      <c r="AC221" s="2169"/>
      <c r="AD221" s="2169"/>
      <c r="AE221" s="2169"/>
      <c r="AF221" s="2169"/>
      <c r="AG221" s="2169"/>
      <c r="AH221" s="2169"/>
      <c r="AI221" s="2169"/>
      <c r="AJ221" s="2169"/>
      <c r="AK221" s="2169"/>
      <c r="AL221" s="2169"/>
      <c r="AM221" s="2169"/>
      <c r="AN221" s="2169"/>
      <c r="AO221" s="2182"/>
      <c r="AP221" s="2169"/>
      <c r="AQ221" s="2169"/>
      <c r="AR221" s="2169"/>
      <c r="AS221" s="2169"/>
      <c r="AT221" s="2169"/>
      <c r="AU221" s="2169"/>
      <c r="AV221" s="2169"/>
      <c r="AW221" s="2169"/>
      <c r="AX221" s="2169"/>
      <c r="AY221" s="2182"/>
      <c r="AZ221" s="2169"/>
      <c r="BA221" s="2169"/>
      <c r="BB221" s="2169"/>
      <c r="BC221" s="2169"/>
      <c r="BD221" s="2169"/>
      <c r="BE221" s="2169"/>
      <c r="BF221" s="2169"/>
      <c r="BG221" s="2169"/>
      <c r="BH221" s="2169"/>
      <c r="BI221" s="2182"/>
      <c r="BJ221" s="2169"/>
      <c r="BK221" s="2169"/>
      <c r="BL221" s="2169"/>
      <c r="BM221" s="2169"/>
      <c r="BN221" s="2169"/>
      <c r="BO221" s="2169"/>
      <c r="BP221" s="2169"/>
      <c r="BQ221" s="2169"/>
      <c r="BR221" s="2169"/>
      <c r="BS221" s="2169"/>
      <c r="BT221" s="2169"/>
      <c r="BU221" s="2169"/>
      <c r="BV221" s="2169"/>
      <c r="BW221" s="2169"/>
      <c r="BX221" s="2169"/>
      <c r="BY221" s="2169"/>
      <c r="BZ221" s="2169"/>
      <c r="CA221" s="2169"/>
      <c r="CB221" s="2169"/>
      <c r="CC221" s="2169"/>
      <c r="CD221" s="2169"/>
      <c r="CE221" s="2169"/>
      <c r="CF221" s="2169"/>
      <c r="CG221" s="2169"/>
      <c r="CH221" s="2169"/>
      <c r="CI221" s="2169"/>
      <c r="CJ221" s="2169"/>
      <c r="CK221" s="2169"/>
      <c r="CL221" s="2169"/>
      <c r="CM221" s="2182"/>
      <c r="CN221" s="2169"/>
      <c r="CO221" s="2169"/>
      <c r="CP221" s="2169"/>
      <c r="CQ221" s="2169"/>
      <c r="CR221" s="2169"/>
      <c r="CS221" s="2169"/>
      <c r="CT221" s="2169"/>
      <c r="CU221" s="2169"/>
      <c r="CV221" s="2169"/>
      <c r="CW221" s="2182"/>
      <c r="CX221" s="2169"/>
      <c r="CY221" s="2169"/>
      <c r="CZ221" s="2169"/>
      <c r="DA221" s="2169"/>
      <c r="DB221" s="2169"/>
      <c r="DC221" s="2169"/>
      <c r="DD221" s="2169"/>
      <c r="DE221" s="2169"/>
      <c r="DF221" s="2169"/>
      <c r="DG221" s="2182"/>
      <c r="DH221" s="2169"/>
      <c r="DI221" s="2169"/>
      <c r="DJ221" s="2169"/>
      <c r="DK221" s="2169"/>
      <c r="DL221" s="2169"/>
      <c r="DM221" s="2169"/>
      <c r="DN221" s="2169"/>
      <c r="DO221" s="2169"/>
      <c r="DP221" s="2169"/>
      <c r="DQ221" s="2182"/>
      <c r="DR221" s="2169"/>
      <c r="DS221" s="2169"/>
      <c r="DT221" s="2169"/>
      <c r="DU221" s="2169"/>
      <c r="DV221" s="2169"/>
      <c r="DW221" s="2169"/>
      <c r="DX221" s="2169"/>
      <c r="DY221" s="2169"/>
      <c r="DZ221" s="2169"/>
      <c r="EA221" s="2169"/>
      <c r="EB221" s="2169"/>
      <c r="EC221" s="2169"/>
      <c r="ED221" s="2169"/>
      <c r="EE221" s="2183"/>
      <c r="EF221" s="2169"/>
      <c r="EG221" s="2169"/>
      <c r="EH221" s="2169"/>
      <c r="EI221" s="2169"/>
      <c r="EJ221" s="2169"/>
      <c r="EK221" s="2169"/>
      <c r="EL221" s="2169"/>
      <c r="EM221" s="2169"/>
      <c r="EN221" s="2169"/>
      <c r="EO221" s="2169"/>
      <c r="EP221" s="2169"/>
    </row>
    <row r="222" spans="1:153" hidden="1">
      <c r="B222" s="2161" t="s">
        <v>1827</v>
      </c>
      <c r="C222" s="2187"/>
      <c r="D222" s="2188"/>
      <c r="E222" s="2169"/>
      <c r="F222" s="2189"/>
      <c r="G222" s="2169"/>
      <c r="H222" s="2168"/>
      <c r="I222" s="2169"/>
      <c r="J222" s="2169"/>
      <c r="K222" s="2169"/>
      <c r="L222" s="2169"/>
      <c r="M222" s="2169"/>
      <c r="N222" s="2169"/>
      <c r="O222" s="2169"/>
      <c r="P222" s="2169"/>
      <c r="Q222" s="2169"/>
      <c r="R222" s="2169"/>
      <c r="S222" s="2169"/>
      <c r="T222" s="2169"/>
      <c r="U222" s="2169"/>
      <c r="V222" s="2169"/>
      <c r="W222" s="2169"/>
      <c r="X222" s="2169"/>
      <c r="Y222" s="2169"/>
      <c r="Z222" s="2169"/>
      <c r="AA222" s="2169"/>
      <c r="AB222" s="2169"/>
      <c r="AC222" s="2169"/>
      <c r="AD222" s="2169"/>
      <c r="AE222" s="2169"/>
      <c r="AF222" s="2169"/>
      <c r="AG222" s="2169"/>
      <c r="AH222" s="2169"/>
      <c r="AI222" s="2169"/>
      <c r="AJ222" s="2169"/>
      <c r="AK222" s="2169"/>
      <c r="AL222" s="2169"/>
      <c r="AM222" s="2169"/>
      <c r="AN222" s="2169"/>
      <c r="AO222" s="2182"/>
      <c r="AP222" s="2169"/>
      <c r="AQ222" s="2169"/>
      <c r="AR222" s="2169"/>
      <c r="AS222" s="2169"/>
      <c r="AT222" s="2169"/>
      <c r="AU222" s="2169"/>
      <c r="AV222" s="2169"/>
      <c r="AW222" s="2169"/>
      <c r="AX222" s="2169"/>
      <c r="AY222" s="2182"/>
      <c r="AZ222" s="2169"/>
      <c r="BA222" s="2169"/>
      <c r="BB222" s="2169"/>
      <c r="BC222" s="2169"/>
      <c r="BD222" s="2169"/>
      <c r="BE222" s="2169"/>
      <c r="BF222" s="2169"/>
      <c r="BG222" s="2169"/>
      <c r="BH222" s="2169"/>
      <c r="BI222" s="2182"/>
      <c r="BJ222" s="2169"/>
      <c r="BK222" s="2169"/>
      <c r="BL222" s="2169"/>
      <c r="BM222" s="2169"/>
      <c r="BN222" s="2169"/>
      <c r="BO222" s="2169"/>
      <c r="BP222" s="2169"/>
      <c r="BQ222" s="2169"/>
      <c r="BR222" s="2169"/>
      <c r="BS222" s="2169"/>
      <c r="BT222" s="2169"/>
      <c r="BU222" s="2169"/>
      <c r="BV222" s="2169"/>
      <c r="BW222" s="2169"/>
      <c r="BX222" s="2169"/>
      <c r="BY222" s="2169"/>
      <c r="BZ222" s="2169"/>
      <c r="CA222" s="2169"/>
      <c r="CB222" s="2169"/>
      <c r="CC222" s="2169"/>
      <c r="CD222" s="2169"/>
      <c r="CE222" s="2169"/>
      <c r="CF222" s="2169">
        <v>172.45508454300034</v>
      </c>
      <c r="CG222" s="2169"/>
      <c r="CH222" s="2169"/>
      <c r="CI222" s="2169"/>
      <c r="CJ222" s="2169"/>
      <c r="CK222" s="2169"/>
      <c r="CL222" s="2169"/>
      <c r="CM222" s="2182"/>
      <c r="CN222" s="2169"/>
      <c r="CO222" s="2169"/>
      <c r="CP222" s="2169">
        <v>195.85482603720084</v>
      </c>
      <c r="CQ222" s="2169"/>
      <c r="CR222" s="2169"/>
      <c r="CS222" s="2169"/>
      <c r="CT222" s="2169"/>
      <c r="CU222" s="2169"/>
      <c r="CV222" s="2169"/>
      <c r="CW222" s="2182"/>
      <c r="CX222" s="2169"/>
      <c r="CY222" s="2169"/>
      <c r="CZ222" s="2169">
        <v>0</v>
      </c>
      <c r="DA222" s="2169"/>
      <c r="DB222" s="2169"/>
      <c r="DC222" s="2169"/>
      <c r="DD222" s="2169"/>
      <c r="DE222" s="2169"/>
      <c r="DF222" s="2169"/>
      <c r="DG222" s="2182"/>
      <c r="DH222" s="2169"/>
      <c r="DI222" s="2169"/>
      <c r="DJ222" s="2169">
        <v>0</v>
      </c>
      <c r="DK222" s="2169"/>
      <c r="DL222" s="2169"/>
      <c r="DM222" s="2169"/>
      <c r="DN222" s="2169"/>
      <c r="DO222" s="2169"/>
      <c r="DP222" s="2169"/>
      <c r="DQ222" s="2182"/>
      <c r="DR222" s="2169"/>
      <c r="DS222" s="2169"/>
      <c r="DT222" s="2169">
        <v>-420.04451168565538</v>
      </c>
      <c r="DU222" s="2169"/>
      <c r="DV222" s="2169"/>
      <c r="DW222" s="2169"/>
      <c r="DX222" s="2169"/>
      <c r="DY222" s="2169"/>
      <c r="DZ222" s="2169"/>
      <c r="EA222" s="2169"/>
      <c r="EB222" s="2169"/>
      <c r="EC222" s="2169"/>
      <c r="ED222" s="2169"/>
      <c r="EE222" s="2183"/>
      <c r="EF222" s="2169"/>
      <c r="EG222" s="2169"/>
      <c r="EH222" s="2169"/>
      <c r="EI222" s="2169"/>
      <c r="EJ222" s="2169"/>
      <c r="EK222" s="2169"/>
      <c r="EL222" s="2169"/>
      <c r="EM222" s="2169"/>
      <c r="EN222" s="2169"/>
      <c r="EO222" s="2169"/>
      <c r="EP222" s="2169"/>
    </row>
    <row r="223" spans="1:153" hidden="1">
      <c r="B223" s="2190" t="s">
        <v>1828</v>
      </c>
      <c r="C223" s="2191"/>
      <c r="D223" s="2192"/>
      <c r="EE223" s="2194"/>
    </row>
    <row r="224" spans="1:153" hidden="1">
      <c r="B224" s="2195"/>
      <c r="C224" s="2196"/>
      <c r="D224" s="2197"/>
      <c r="EE224" s="2194"/>
    </row>
    <row r="225" spans="2:135" hidden="1">
      <c r="B225" s="2096" t="s">
        <v>1829</v>
      </c>
      <c r="EE225" s="2194"/>
    </row>
    <row r="226" spans="2:135" hidden="1">
      <c r="B226" s="3235" t="s">
        <v>1830</v>
      </c>
      <c r="C226" s="3236"/>
      <c r="D226" s="3237"/>
      <c r="EE226" s="2194"/>
    </row>
    <row r="227" spans="2:135" ht="58" hidden="1">
      <c r="B227" s="2198" t="s">
        <v>1182</v>
      </c>
      <c r="C227" s="2199" t="s">
        <v>1831</v>
      </c>
      <c r="D227" s="2200" t="s">
        <v>1832</v>
      </c>
      <c r="ED227" s="2165"/>
      <c r="EE227" s="2194"/>
    </row>
    <row r="228" spans="2:135" hidden="1">
      <c r="B228" s="2198" t="s">
        <v>1833</v>
      </c>
      <c r="C228" s="2201"/>
      <c r="D228" s="2202"/>
      <c r="EE228" s="2203"/>
    </row>
    <row r="229" spans="2:135" hidden="1">
      <c r="B229" s="2198" t="s">
        <v>246</v>
      </c>
      <c r="C229" s="2201"/>
      <c r="D229" s="2202"/>
      <c r="EE229" s="2203"/>
    </row>
    <row r="230" spans="2:135" hidden="1">
      <c r="B230" s="2198" t="s">
        <v>247</v>
      </c>
      <c r="C230" s="2201"/>
      <c r="D230" s="2202"/>
    </row>
    <row r="231" spans="2:135" hidden="1">
      <c r="B231" s="2198" t="s">
        <v>248</v>
      </c>
      <c r="C231" s="2201"/>
      <c r="D231" s="2202"/>
    </row>
    <row r="232" spans="2:135" hidden="1">
      <c r="B232" s="2198" t="s">
        <v>1834</v>
      </c>
      <c r="C232" s="2201"/>
      <c r="D232" s="2202"/>
    </row>
    <row r="233" spans="2:135" hidden="1">
      <c r="B233" s="2198" t="s">
        <v>1835</v>
      </c>
      <c r="C233" s="2201"/>
      <c r="D233" s="2202"/>
    </row>
    <row r="234" spans="2:135" hidden="1">
      <c r="B234" s="2198" t="s">
        <v>1836</v>
      </c>
      <c r="C234" s="2201"/>
      <c r="D234" s="2202"/>
    </row>
    <row r="235" spans="2:135" hidden="1">
      <c r="B235" s="2198" t="s">
        <v>1837</v>
      </c>
      <c r="C235" s="2201"/>
      <c r="D235" s="2202"/>
    </row>
    <row r="236" spans="2:135" hidden="1">
      <c r="B236" s="2198" t="s">
        <v>1838</v>
      </c>
      <c r="C236" s="2201"/>
      <c r="D236" s="2202"/>
    </row>
    <row r="237" spans="2:135" hidden="1">
      <c r="B237" s="2198" t="s">
        <v>1839</v>
      </c>
      <c r="C237" s="2201"/>
      <c r="D237" s="2202"/>
    </row>
    <row r="238" spans="2:135" hidden="1">
      <c r="B238" s="2198" t="s">
        <v>1840</v>
      </c>
      <c r="C238" s="2201"/>
      <c r="D238" s="2202"/>
    </row>
    <row r="239" spans="2:135" hidden="1">
      <c r="B239" s="2198" t="s">
        <v>1841</v>
      </c>
      <c r="C239" s="2201"/>
      <c r="D239" s="2202"/>
    </row>
    <row r="240" spans="2:135" hidden="1">
      <c r="B240" s="2198" t="s">
        <v>22</v>
      </c>
      <c r="C240" s="2201"/>
      <c r="D240" s="2202"/>
    </row>
    <row r="241" spans="2:4" hidden="1">
      <c r="B241" s="2204" t="s">
        <v>1842</v>
      </c>
      <c r="C241" s="2205"/>
      <c r="D241" s="2206"/>
    </row>
    <row r="242" spans="2:4" hidden="1">
      <c r="B242" s="3238" t="s">
        <v>1843</v>
      </c>
      <c r="C242" s="3238"/>
      <c r="D242" s="3238"/>
    </row>
    <row r="243" spans="2:4" hidden="1"/>
    <row r="244" spans="2:4" hidden="1"/>
    <row r="245" spans="2:4" hidden="1"/>
    <row r="246" spans="2:4" hidden="1"/>
    <row r="247" spans="2:4" hidden="1"/>
    <row r="248" spans="2:4" hidden="1"/>
    <row r="249" spans="2:4" hidden="1"/>
    <row r="250" spans="2:4" hidden="1"/>
    <row r="251" spans="2:4" hidden="1"/>
    <row r="252" spans="2:4" hidden="1"/>
    <row r="253" spans="2:4" hidden="1"/>
    <row r="254" spans="2:4" hidden="1"/>
    <row r="255" spans="2:4" hidden="1"/>
    <row r="256" spans="2:4"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399" spans="49:49">
      <c r="AW399" s="2094"/>
    </row>
  </sheetData>
  <mergeCells count="104">
    <mergeCell ref="EJ7:EK7"/>
    <mergeCell ref="EM7:EN7"/>
    <mergeCell ref="EU7:EW7"/>
    <mergeCell ref="B226:D226"/>
    <mergeCell ref="B242:D242"/>
    <mergeCell ref="DY7:DZ7"/>
    <mergeCell ref="EB7:EC7"/>
    <mergeCell ref="ED7:ED8"/>
    <mergeCell ref="EE7:EE8"/>
    <mergeCell ref="EF7:EG7"/>
    <mergeCell ref="EH7:EI7"/>
    <mergeCell ref="DM7:DN7"/>
    <mergeCell ref="DO7:DP7"/>
    <mergeCell ref="DR7:DS7"/>
    <mergeCell ref="DT7:DT8"/>
    <mergeCell ref="DU7:DV7"/>
    <mergeCell ref="DW7:DX7"/>
    <mergeCell ref="DA7:DB7"/>
    <mergeCell ref="DC7:DD7"/>
    <mergeCell ref="DE7:DF7"/>
    <mergeCell ref="DH7:DI7"/>
    <mergeCell ref="DJ7:DJ8"/>
    <mergeCell ref="DK7:DL7"/>
    <mergeCell ref="CP7:CP8"/>
    <mergeCell ref="CQ7:CR7"/>
    <mergeCell ref="CS7:CT7"/>
    <mergeCell ref="CU7:CV7"/>
    <mergeCell ref="CX7:CY7"/>
    <mergeCell ref="CZ7:CZ8"/>
    <mergeCell ref="CD7:CE7"/>
    <mergeCell ref="CF7:CF8"/>
    <mergeCell ref="CG7:CH7"/>
    <mergeCell ref="CI7:CJ7"/>
    <mergeCell ref="CK7:CL7"/>
    <mergeCell ref="CN7:CO7"/>
    <mergeCell ref="BT7:BU7"/>
    <mergeCell ref="BV7:BV8"/>
    <mergeCell ref="BW7:BX7"/>
    <mergeCell ref="BY7:BZ7"/>
    <mergeCell ref="CA7:CB7"/>
    <mergeCell ref="BE7:BF7"/>
    <mergeCell ref="BG7:BH7"/>
    <mergeCell ref="BJ7:BK7"/>
    <mergeCell ref="BL7:BL8"/>
    <mergeCell ref="BM7:BN7"/>
    <mergeCell ref="BO7:BP7"/>
    <mergeCell ref="FL6:FL8"/>
    <mergeCell ref="N7:N8"/>
    <mergeCell ref="O7:P7"/>
    <mergeCell ref="Q7:R7"/>
    <mergeCell ref="S7:T7"/>
    <mergeCell ref="V7:W7"/>
    <mergeCell ref="X7:X8"/>
    <mergeCell ref="Y7:Z7"/>
    <mergeCell ref="AA7:AB7"/>
    <mergeCell ref="AC7:AD7"/>
    <mergeCell ref="FF6:FF8"/>
    <mergeCell ref="FG6:FG8"/>
    <mergeCell ref="FH6:FH8"/>
    <mergeCell ref="FI6:FI8"/>
    <mergeCell ref="FJ6:FJ8"/>
    <mergeCell ref="FK6:FK8"/>
    <mergeCell ref="CP6:CY6"/>
    <mergeCell ref="CZ6:DI6"/>
    <mergeCell ref="DJ6:DS6"/>
    <mergeCell ref="DT6:EC6"/>
    <mergeCell ref="ED6:EP6"/>
    <mergeCell ref="EQ6:FA6"/>
    <mergeCell ref="AH6:AQ6"/>
    <mergeCell ref="AR6:BA6"/>
    <mergeCell ref="BB6:BK6"/>
    <mergeCell ref="BL6:BU6"/>
    <mergeCell ref="BV6:CE6"/>
    <mergeCell ref="CF6:CO6"/>
    <mergeCell ref="J6:J8"/>
    <mergeCell ref="K6:K8"/>
    <mergeCell ref="L6:L8"/>
    <mergeCell ref="M6:M8"/>
    <mergeCell ref="N6:W6"/>
    <mergeCell ref="X6:AG6"/>
    <mergeCell ref="AF7:AG7"/>
    <mergeCell ref="AS7:AT7"/>
    <mergeCell ref="AU7:AV7"/>
    <mergeCell ref="AW7:AX7"/>
    <mergeCell ref="AZ7:BA7"/>
    <mergeCell ref="BB7:BB8"/>
    <mergeCell ref="BC7:BD7"/>
    <mergeCell ref="AH7:AH8"/>
    <mergeCell ref="AI7:AJ7"/>
    <mergeCell ref="AK7:AL7"/>
    <mergeCell ref="AM7:AN7"/>
    <mergeCell ref="AP7:AQ7"/>
    <mergeCell ref="AR7:AR8"/>
    <mergeCell ref="BQ7:BR7"/>
    <mergeCell ref="G2:I2"/>
    <mergeCell ref="A6:A8"/>
    <mergeCell ref="B6:B8"/>
    <mergeCell ref="C6:C8"/>
    <mergeCell ref="D6:D8"/>
    <mergeCell ref="E6:E8"/>
    <mergeCell ref="F6:F8"/>
    <mergeCell ref="G6:G8"/>
    <mergeCell ref="H6:H8"/>
    <mergeCell ref="I6:I8"/>
  </mergeCells>
  <printOptions horizontalCentered="1" verticalCentered="1"/>
  <pageMargins left="0.25" right="0.25" top="0.75" bottom="0.75" header="0.3" footer="0.3"/>
  <pageSetup paperSize="9" scale="61" orientation="landscape" r:id="rId1"/>
  <headerFooter>
    <oddFooter>&amp;R&amp;P</oddFooter>
  </headerFooter>
  <rowBreaks count="5" manualBreakCount="5">
    <brk id="43" max="145" man="1"/>
    <brk id="86" max="145" man="1"/>
    <brk id="123" max="145" man="1"/>
    <brk id="163" max="145" man="1"/>
    <brk id="202" max="145" man="1"/>
  </rowBreaks>
  <colBreaks count="13" manualBreakCount="13">
    <brk id="13" max="214" man="1"/>
    <brk id="23" max="214" man="1"/>
    <brk id="33" max="214" man="1"/>
    <brk id="43" max="214" man="1"/>
    <brk id="53" max="214" man="1"/>
    <brk id="63" max="1048575" man="1"/>
    <brk id="73" max="214" man="1"/>
    <brk id="83" max="214" man="1"/>
    <brk id="93" max="214" man="1"/>
    <brk id="103" max="214" man="1"/>
    <brk id="113" max="214" man="1"/>
    <brk id="123" max="214" man="1"/>
    <brk id="133" max="214"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J238"/>
  <sheetViews>
    <sheetView showGridLines="0" view="pageBreakPreview" zoomScale="80" zoomScaleNormal="80" zoomScaleSheetLayoutView="80" workbookViewId="0">
      <pane xSplit="2" ySplit="7" topLeftCell="C31" activePane="bottomRight" state="frozen"/>
      <selection activeCell="C105" sqref="C105"/>
      <selection pane="topRight" activeCell="C105" sqref="C105"/>
      <selection pane="bottomLeft" activeCell="C105" sqref="C105"/>
      <selection pane="bottomRight" activeCell="C105" sqref="C105"/>
    </sheetView>
  </sheetViews>
  <sheetFormatPr defaultColWidth="9.26953125" defaultRowHeight="14.5"/>
  <cols>
    <col min="1" max="1" width="4.54296875" style="2294" customWidth="1"/>
    <col min="2" max="2" width="53.81640625" style="2286" customWidth="1"/>
    <col min="3" max="3" width="16.26953125" style="2286" customWidth="1"/>
    <col min="4" max="4" width="16.7265625" style="2286" customWidth="1"/>
    <col min="5" max="5" width="14.26953125" style="2286" hidden="1" customWidth="1"/>
    <col min="6" max="6" width="17.7265625" style="2286" customWidth="1"/>
    <col min="7" max="7" width="15" style="2093" customWidth="1"/>
    <col min="8" max="8" width="12.26953125" style="2286" customWidth="1"/>
    <col min="9" max="9" width="12.26953125" style="2290" customWidth="1"/>
    <col min="10" max="10" width="22.26953125" style="2286" customWidth="1"/>
    <col min="11" max="11" width="17.7265625" style="2286" hidden="1" customWidth="1"/>
    <col min="12" max="12" width="12.26953125" style="2286" hidden="1" customWidth="1"/>
    <col min="13" max="13" width="17" style="2093" customWidth="1"/>
    <col min="14" max="14" width="15" style="2286" customWidth="1"/>
    <col min="15" max="15" width="13.81640625" style="2286" customWidth="1"/>
    <col min="16" max="16" width="14.54296875" style="2286" customWidth="1"/>
    <col min="17" max="17" width="11.26953125" style="2286" customWidth="1"/>
    <col min="18" max="18" width="16.7265625" style="2286" customWidth="1"/>
    <col min="19" max="19" width="10.7265625" style="2286" customWidth="1"/>
    <col min="20" max="20" width="11.453125" style="2286" customWidth="1"/>
    <col min="21" max="21" width="10" style="2286" customWidth="1"/>
    <col min="22" max="22" width="10.7265625" style="2286" customWidth="1"/>
    <col min="23" max="23" width="16.7265625" style="2286" customWidth="1"/>
    <col min="24" max="24" width="14.54296875" style="2286" customWidth="1"/>
    <col min="25" max="25" width="11.1796875" style="2286" customWidth="1"/>
    <col min="26" max="26" width="13.54296875" style="2286" customWidth="1"/>
    <col min="27" max="27" width="11.26953125" style="2286" customWidth="1"/>
    <col min="28" max="28" width="16.7265625" style="2286" customWidth="1"/>
    <col min="29" max="30" width="7.7265625" style="2286" customWidth="1"/>
    <col min="31" max="31" width="11.453125" style="2286" customWidth="1"/>
    <col min="32" max="32" width="11.26953125" style="2286" customWidth="1"/>
    <col min="33" max="33" width="16.7265625" style="2286" customWidth="1"/>
    <col min="34" max="34" width="14.54296875" style="2286" customWidth="1"/>
    <col min="35" max="35" width="7.26953125" style="2286" customWidth="1"/>
    <col min="36" max="36" width="13.54296875" style="2286" customWidth="1"/>
    <col min="37" max="37" width="11.26953125" style="2286" customWidth="1"/>
    <col min="38" max="38" width="15.7265625" style="2286" customWidth="1"/>
    <col min="39" max="39" width="7.26953125" style="2286" customWidth="1"/>
    <col min="40" max="40" width="7.7265625" style="2286" customWidth="1"/>
    <col min="41" max="41" width="11.453125" style="2291" customWidth="1"/>
    <col min="42" max="42" width="11.26953125" style="2286" customWidth="1"/>
    <col min="43" max="44" width="15.7265625" style="2286" customWidth="1"/>
    <col min="45" max="45" width="9.26953125" style="2286" customWidth="1"/>
    <col min="46" max="46" width="13.54296875" style="2286" customWidth="1"/>
    <col min="47" max="47" width="11.26953125" style="2286" customWidth="1"/>
    <col min="48" max="48" width="16" style="2286" customWidth="1"/>
    <col min="49" max="50" width="9.26953125" style="2286" customWidth="1"/>
    <col min="51" max="51" width="10" style="2291" customWidth="1"/>
    <col min="52" max="52" width="10.26953125" style="2286" customWidth="1"/>
    <col min="53" max="53" width="15.26953125" style="2286" customWidth="1"/>
    <col min="54" max="54" width="15.453125" style="2286" customWidth="1"/>
    <col min="55" max="55" width="9.26953125" style="2286" customWidth="1"/>
    <col min="56" max="56" width="14.7265625" style="2286" customWidth="1"/>
    <col min="57" max="57" width="11.26953125" style="2286" customWidth="1"/>
    <col min="58" max="58" width="16" style="2286" customWidth="1"/>
    <col min="59" max="60" width="9.26953125" style="2286" customWidth="1"/>
    <col min="61" max="61" width="12" style="2291" customWidth="1"/>
    <col min="62" max="62" width="9.26953125" style="2286" customWidth="1"/>
    <col min="63" max="63" width="16" style="2286" customWidth="1"/>
    <col min="64" max="64" width="14.54296875" style="2286" customWidth="1"/>
    <col min="65" max="65" width="11" style="2286" customWidth="1"/>
    <col min="66" max="66" width="13.54296875" style="2286" customWidth="1"/>
    <col min="67" max="67" width="13.26953125" style="2286" customWidth="1"/>
    <col min="68" max="68" width="16" style="2286" customWidth="1"/>
    <col min="69" max="69" width="7.26953125" style="2286" customWidth="1"/>
    <col min="70" max="70" width="9.453125" style="2286" customWidth="1"/>
    <col min="71" max="71" width="10" style="2286" customWidth="1"/>
    <col min="72" max="72" width="13.54296875" style="2286" customWidth="1"/>
    <col min="73" max="73" width="16" style="2286" customWidth="1"/>
    <col min="74" max="74" width="14.54296875" style="2286" customWidth="1"/>
    <col min="75" max="75" width="11" style="2286" customWidth="1"/>
    <col min="76" max="76" width="13.54296875" style="2286" customWidth="1"/>
    <col min="77" max="77" width="13.26953125" style="2286" customWidth="1"/>
    <col min="78" max="78" width="15.7265625" style="2286" customWidth="1"/>
    <col min="79" max="80" width="9.26953125" style="2286" customWidth="1"/>
    <col min="81" max="81" width="11.453125" style="2286" customWidth="1"/>
    <col min="82" max="82" width="13.26953125" style="2286" customWidth="1"/>
    <col min="83" max="83" width="16" style="2286" customWidth="1"/>
    <col min="84" max="84" width="13.54296875" style="2286" customWidth="1"/>
    <col min="85" max="85" width="11" style="2286" customWidth="1"/>
    <col min="86" max="86" width="13.54296875" style="2286" customWidth="1"/>
    <col min="87" max="87" width="15" style="2286" customWidth="1"/>
    <col min="88" max="88" width="16.7265625" style="2286" customWidth="1"/>
    <col min="89" max="90" width="9.26953125" style="2286" customWidth="1"/>
    <col min="91" max="91" width="10" style="2291" customWidth="1"/>
    <col min="92" max="92" width="9.26953125" style="2286" customWidth="1"/>
    <col min="93" max="94" width="13.54296875" style="2286" customWidth="1"/>
    <col min="95" max="95" width="9.26953125" style="2286" customWidth="1"/>
    <col min="96" max="96" width="13.54296875" style="2286" customWidth="1"/>
    <col min="97" max="97" width="9.26953125" style="2286" customWidth="1"/>
    <col min="98" max="98" width="16.7265625" style="2286" customWidth="1"/>
    <col min="99" max="100" width="9.26953125" style="2286" customWidth="1"/>
    <col min="101" max="101" width="10" style="2291" customWidth="1"/>
    <col min="102" max="102" width="9.26953125" style="2286" customWidth="1"/>
    <col min="103" max="104" width="13.54296875" style="2286" customWidth="1"/>
    <col min="105" max="105" width="11.453125" style="2286" customWidth="1"/>
    <col min="106" max="106" width="13.54296875" style="2286" customWidth="1"/>
    <col min="107" max="107" width="11.453125" style="2286" customWidth="1"/>
    <col min="108" max="108" width="13.54296875" style="2286" customWidth="1"/>
    <col min="109" max="110" width="9.26953125" style="2286" customWidth="1"/>
    <col min="111" max="111" width="10" style="2291" customWidth="1"/>
    <col min="112" max="112" width="15.7265625" style="2286" customWidth="1"/>
    <col min="113" max="114" width="13.54296875" style="2286" customWidth="1"/>
    <col min="115" max="115" width="11" style="2286" customWidth="1"/>
    <col min="116" max="116" width="13.54296875" style="2286" customWidth="1"/>
    <col min="117" max="117" width="14.54296875" style="2286" customWidth="1"/>
    <col min="118" max="118" width="13.54296875" style="2286" customWidth="1"/>
    <col min="119" max="120" width="9.26953125" style="2286" customWidth="1"/>
    <col min="121" max="121" width="10" style="2291" customWidth="1"/>
    <col min="122" max="122" width="14.54296875" style="2286" customWidth="1"/>
    <col min="123" max="123" width="13.54296875" style="2286" customWidth="1"/>
    <col min="124" max="124" width="14.54296875" style="2286" customWidth="1"/>
    <col min="125" max="125" width="9.26953125" style="2286" customWidth="1"/>
    <col min="126" max="126" width="13.54296875" style="2286" customWidth="1"/>
    <col min="127" max="127" width="15" style="2286" customWidth="1"/>
    <col min="128" max="128" width="15.7265625" style="2286" customWidth="1"/>
    <col min="129" max="129" width="9.26953125" style="2286" customWidth="1"/>
    <col min="130" max="130" width="10.26953125" style="2286" customWidth="1"/>
    <col min="131" max="131" width="9.26953125" style="2286" customWidth="1"/>
    <col min="132" max="132" width="14.54296875" style="2286" customWidth="1"/>
    <col min="133" max="133" width="15.453125" style="2286" customWidth="1"/>
    <col min="134" max="134" width="13.26953125" style="2286" customWidth="1"/>
    <col min="135" max="135" width="16" style="2093" bestFit="1" customWidth="1"/>
    <col min="136" max="136" width="10.54296875" style="2093" bestFit="1" customWidth="1"/>
    <col min="137" max="137" width="15" style="2093" customWidth="1"/>
    <col min="138" max="138" width="11" style="2093" customWidth="1"/>
    <col min="139" max="139" width="16.7265625" style="2093" customWidth="1"/>
    <col min="140" max="140" width="11.26953125" style="2093" hidden="1" customWidth="1"/>
    <col min="141" max="142" width="10" style="2093" hidden="1" customWidth="1"/>
    <col min="143" max="143" width="11.26953125" style="2093" customWidth="1"/>
    <col min="144" max="144" width="16" style="2093" bestFit="1" customWidth="1"/>
    <col min="145" max="145" width="16" style="2209" hidden="1" customWidth="1"/>
    <col min="146" max="146" width="18.26953125" style="2209" hidden="1" customWidth="1"/>
    <col min="147" max="147" width="10.54296875" style="2209" hidden="1" customWidth="1"/>
    <col min="148" max="148" width="10.54296875" style="2209" customWidth="1"/>
    <col min="149" max="149" width="9.26953125" style="2209" hidden="1" customWidth="1"/>
    <col min="150" max="157" width="9.26953125" style="2209" customWidth="1"/>
    <col min="158" max="158" width="17.26953125" style="2209" customWidth="1"/>
    <col min="159" max="159" width="13.7265625" style="2242" customWidth="1"/>
    <col min="160" max="160" width="9.26953125" style="2209" customWidth="1"/>
    <col min="161" max="161" width="13.7265625" style="2209" customWidth="1"/>
    <col min="162" max="163" width="9.26953125" style="2209" customWidth="1"/>
    <col min="164" max="16384" width="9.26953125" style="2209"/>
  </cols>
  <sheetData>
    <row r="1" spans="1:166" s="2210" customFormat="1">
      <c r="A1" s="2207" t="s">
        <v>1615</v>
      </c>
      <c r="B1" s="2208"/>
      <c r="C1" s="2208"/>
      <c r="D1" s="2208"/>
      <c r="E1" s="2208"/>
      <c r="F1" s="2208"/>
      <c r="G1" s="2082"/>
      <c r="H1" s="2208"/>
      <c r="I1" s="2208"/>
      <c r="J1" s="2208"/>
      <c r="K1" s="2208"/>
      <c r="L1" s="2208"/>
      <c r="M1" s="2082"/>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c r="AL1" s="2208"/>
      <c r="AM1" s="2208"/>
      <c r="AN1" s="2208"/>
      <c r="AO1" s="2208"/>
      <c r="AP1" s="2208"/>
      <c r="AQ1" s="2208"/>
      <c r="AR1" s="2208"/>
      <c r="AS1" s="2208"/>
      <c r="AT1" s="2208"/>
      <c r="AU1" s="2208"/>
      <c r="AV1" s="2208"/>
      <c r="AW1" s="2208"/>
      <c r="AX1" s="2208"/>
      <c r="AY1" s="2208"/>
      <c r="AZ1" s="2208"/>
      <c r="BA1" s="2208"/>
      <c r="BB1" s="2208"/>
      <c r="BC1" s="2208"/>
      <c r="BD1" s="2208"/>
      <c r="BE1" s="2208"/>
      <c r="BF1" s="2208"/>
      <c r="BG1" s="2208"/>
      <c r="BH1" s="2208"/>
      <c r="BI1" s="2208"/>
      <c r="BJ1" s="2208"/>
      <c r="BK1" s="2208"/>
      <c r="BL1" s="2208"/>
      <c r="BM1" s="2208"/>
      <c r="BN1" s="2208"/>
      <c r="BO1" s="2208"/>
      <c r="BP1" s="2208"/>
      <c r="BQ1" s="2208"/>
      <c r="BR1" s="2208"/>
      <c r="BS1" s="2208"/>
      <c r="BT1" s="2208"/>
      <c r="BU1" s="2208"/>
      <c r="BV1" s="2208"/>
      <c r="BW1" s="2208"/>
      <c r="BX1" s="2208"/>
      <c r="BY1" s="2208"/>
      <c r="BZ1" s="2208"/>
      <c r="CA1" s="2208"/>
      <c r="CB1" s="2208"/>
      <c r="CC1" s="2208"/>
      <c r="CD1" s="2208"/>
      <c r="CE1" s="2208"/>
      <c r="CF1" s="2208"/>
      <c r="CG1" s="2208"/>
      <c r="CH1" s="2208"/>
      <c r="CI1" s="2208"/>
      <c r="CJ1" s="2208"/>
      <c r="CK1" s="2208"/>
      <c r="CL1" s="2208"/>
      <c r="CM1" s="2208"/>
      <c r="CN1" s="2208"/>
      <c r="CO1" s="2208"/>
      <c r="CP1" s="2208"/>
      <c r="CQ1" s="2208"/>
      <c r="CR1" s="2208"/>
      <c r="CS1" s="2208"/>
      <c r="CT1" s="2208"/>
      <c r="CU1" s="2208"/>
      <c r="CV1" s="2208"/>
      <c r="CW1" s="2208"/>
      <c r="CX1" s="2208"/>
      <c r="CY1" s="2208"/>
      <c r="CZ1" s="2208"/>
      <c r="DA1" s="2208"/>
      <c r="DB1" s="2208"/>
      <c r="DC1" s="2208"/>
      <c r="DD1" s="2208"/>
      <c r="DE1" s="2208"/>
      <c r="DF1" s="2208"/>
      <c r="DG1" s="2208"/>
      <c r="DH1" s="2208"/>
      <c r="DI1" s="2208"/>
      <c r="DJ1" s="2208"/>
      <c r="DK1" s="2208"/>
      <c r="DL1" s="2208"/>
      <c r="DM1" s="2208"/>
      <c r="DN1" s="2208"/>
      <c r="DO1" s="2208"/>
      <c r="DP1" s="2208"/>
      <c r="DQ1" s="2208"/>
      <c r="DR1" s="2208"/>
      <c r="DS1" s="2208"/>
      <c r="DT1" s="2208"/>
      <c r="DU1" s="2208"/>
      <c r="DV1" s="2208"/>
      <c r="DW1" s="2208"/>
      <c r="DX1" s="2208"/>
      <c r="DY1" s="2208"/>
      <c r="DZ1" s="2208"/>
      <c r="EA1" s="2208"/>
      <c r="EB1" s="2208"/>
      <c r="EC1" s="2208"/>
      <c r="ED1" s="2208"/>
      <c r="EE1" s="2082"/>
      <c r="EF1" s="2082"/>
      <c r="EG1" s="2082"/>
      <c r="EH1" s="2082"/>
      <c r="EI1" s="2082"/>
      <c r="EJ1" s="2082"/>
      <c r="EK1" s="2082"/>
      <c r="EL1" s="2082"/>
      <c r="EM1" s="2082"/>
      <c r="EN1" s="2093"/>
      <c r="EO1" s="2209"/>
      <c r="FC1" s="2211"/>
    </row>
    <row r="2" spans="1:166" s="2210" customFormat="1">
      <c r="A2" s="2212" t="s">
        <v>174</v>
      </c>
      <c r="B2" s="2212"/>
      <c r="C2" s="2213"/>
      <c r="D2" s="2213"/>
      <c r="E2" s="2213"/>
      <c r="F2" s="2213"/>
      <c r="G2" s="2214"/>
      <c r="H2" s="2215"/>
      <c r="I2" s="3239"/>
      <c r="J2" s="3239"/>
      <c r="K2" s="3239"/>
      <c r="L2" s="2213"/>
      <c r="M2" s="2214"/>
      <c r="N2" s="2213"/>
      <c r="O2" s="2213"/>
      <c r="P2" s="2213"/>
      <c r="Q2" s="2213"/>
      <c r="R2" s="2213"/>
      <c r="S2" s="2213"/>
      <c r="T2" s="2213"/>
      <c r="U2" s="2213"/>
      <c r="V2" s="2213"/>
      <c r="W2" s="2213"/>
      <c r="X2" s="2213"/>
      <c r="Y2" s="2209"/>
      <c r="Z2" s="2209"/>
      <c r="AA2" s="2209"/>
      <c r="AB2" s="2209"/>
      <c r="AC2" s="2209"/>
      <c r="AD2" s="2209"/>
      <c r="AE2" s="2209"/>
      <c r="AF2" s="2209"/>
      <c r="AG2" s="2209"/>
      <c r="AH2" s="2209"/>
      <c r="AI2" s="2209"/>
      <c r="AJ2" s="2209"/>
      <c r="AK2" s="2209"/>
      <c r="AL2" s="2209"/>
      <c r="AM2" s="2209"/>
      <c r="AN2" s="2209"/>
      <c r="AO2" s="2216"/>
      <c r="AP2" s="2209"/>
      <c r="AQ2" s="2209"/>
      <c r="AR2" s="2209"/>
      <c r="AS2" s="2209"/>
      <c r="AT2" s="2209"/>
      <c r="AU2" s="2209"/>
      <c r="AV2" s="2209"/>
      <c r="AW2" s="2209"/>
      <c r="AX2" s="2209"/>
      <c r="AY2" s="2216"/>
      <c r="AZ2" s="2209"/>
      <c r="BA2" s="2209"/>
      <c r="BB2" s="2209"/>
      <c r="BC2" s="2209"/>
      <c r="BD2" s="2209"/>
      <c r="BE2" s="2209"/>
      <c r="BF2" s="2209"/>
      <c r="BG2" s="2209"/>
      <c r="BH2" s="2209"/>
      <c r="BI2" s="2216"/>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16"/>
      <c r="CN2" s="2209"/>
      <c r="CO2" s="2209"/>
      <c r="CP2" s="2209"/>
      <c r="CQ2" s="2209"/>
      <c r="CR2" s="2209"/>
      <c r="CS2" s="2209"/>
      <c r="CT2" s="2209"/>
      <c r="CU2" s="2209"/>
      <c r="CV2" s="2209"/>
      <c r="CW2" s="2216"/>
      <c r="CX2" s="2209"/>
      <c r="CY2" s="2209"/>
      <c r="CZ2" s="2209"/>
      <c r="DA2" s="2209"/>
      <c r="DB2" s="2209"/>
      <c r="DC2" s="2209"/>
      <c r="DD2" s="2209"/>
      <c r="DE2" s="2209"/>
      <c r="DF2" s="2209"/>
      <c r="DG2" s="2216"/>
      <c r="DH2" s="2209"/>
      <c r="DI2" s="2209"/>
      <c r="DJ2" s="2209"/>
      <c r="DK2" s="2209"/>
      <c r="DL2" s="2209"/>
      <c r="DM2" s="2209"/>
      <c r="DN2" s="2209"/>
      <c r="DO2" s="2209"/>
      <c r="DP2" s="2209"/>
      <c r="DQ2" s="2216"/>
      <c r="DR2" s="2209"/>
      <c r="DS2" s="2209"/>
      <c r="DT2" s="2209"/>
      <c r="DU2" s="2209"/>
      <c r="DV2" s="2209"/>
      <c r="DW2" s="2209"/>
      <c r="DX2" s="2209"/>
      <c r="DY2" s="2209"/>
      <c r="DZ2" s="2209"/>
      <c r="EA2" s="2209"/>
      <c r="EB2" s="2209"/>
      <c r="EC2" s="2209"/>
      <c r="ED2" s="2209"/>
      <c r="EE2" s="2093"/>
      <c r="EF2" s="2093"/>
      <c r="EG2" s="2093"/>
      <c r="EH2" s="2093"/>
      <c r="EI2" s="2093"/>
      <c r="EJ2" s="2093"/>
      <c r="EK2" s="2093"/>
      <c r="EL2" s="2093"/>
      <c r="EM2" s="2093"/>
      <c r="EN2" s="2093"/>
      <c r="EO2" s="2209"/>
      <c r="FC2" s="2211"/>
    </row>
    <row r="3" spans="1:166" s="2210" customFormat="1">
      <c r="A3" s="2207" t="s">
        <v>1236</v>
      </c>
      <c r="B3" s="2208"/>
      <c r="C3" s="2217"/>
      <c r="D3" s="2208"/>
      <c r="E3" s="2208"/>
      <c r="F3" s="2208"/>
      <c r="G3" s="2082"/>
      <c r="H3" s="2208"/>
      <c r="I3" s="2208"/>
      <c r="J3" s="2208"/>
      <c r="K3" s="2208"/>
      <c r="L3" s="2208"/>
      <c r="M3" s="2082"/>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2208"/>
      <c r="BI3" s="2208"/>
      <c r="BJ3" s="2208"/>
      <c r="BK3" s="2208"/>
      <c r="BL3" s="2208"/>
      <c r="BM3" s="2208"/>
      <c r="BN3" s="2208"/>
      <c r="BO3" s="2208"/>
      <c r="BP3" s="2208"/>
      <c r="BQ3" s="2208"/>
      <c r="BR3" s="2208"/>
      <c r="BS3" s="2208"/>
      <c r="BT3" s="2208"/>
      <c r="BU3" s="2208"/>
      <c r="BV3" s="2208"/>
      <c r="BW3" s="2208"/>
      <c r="BX3" s="2208"/>
      <c r="BY3" s="2208"/>
      <c r="BZ3" s="2208"/>
      <c r="CA3" s="2208"/>
      <c r="CB3" s="2208"/>
      <c r="CC3" s="2208"/>
      <c r="CD3" s="2208"/>
      <c r="CE3" s="2208"/>
      <c r="CF3" s="2208"/>
      <c r="CG3" s="2208"/>
      <c r="CH3" s="2208"/>
      <c r="CI3" s="2208"/>
      <c r="CJ3" s="2208"/>
      <c r="CK3" s="2208"/>
      <c r="CL3" s="2208"/>
      <c r="CM3" s="2208"/>
      <c r="CN3" s="2208"/>
      <c r="CO3" s="2208"/>
      <c r="CP3" s="2208"/>
      <c r="CQ3" s="2208"/>
      <c r="CR3" s="2208"/>
      <c r="CS3" s="2208"/>
      <c r="CT3" s="2208"/>
      <c r="CU3" s="2208"/>
      <c r="CV3" s="2208"/>
      <c r="CW3" s="2208"/>
      <c r="CX3" s="2208"/>
      <c r="CY3" s="2208"/>
      <c r="CZ3" s="2208"/>
      <c r="DA3" s="2208"/>
      <c r="DB3" s="2208"/>
      <c r="DC3" s="2208"/>
      <c r="DD3" s="2208"/>
      <c r="DE3" s="2208"/>
      <c r="DF3" s="2208"/>
      <c r="DG3" s="2208"/>
      <c r="DH3" s="2208"/>
      <c r="DI3" s="2208"/>
      <c r="DJ3" s="2208"/>
      <c r="DK3" s="2208"/>
      <c r="DL3" s="2208"/>
      <c r="DM3" s="2208"/>
      <c r="DN3" s="2208"/>
      <c r="DO3" s="2208"/>
      <c r="DP3" s="2208"/>
      <c r="DQ3" s="2208"/>
      <c r="DR3" s="2208"/>
      <c r="DS3" s="2208"/>
      <c r="DT3" s="2208"/>
      <c r="DU3" s="2208"/>
      <c r="DV3" s="2208"/>
      <c r="DW3" s="2208"/>
      <c r="DX3" s="2208"/>
      <c r="DY3" s="2208"/>
      <c r="DZ3" s="2208"/>
      <c r="EA3" s="2208"/>
      <c r="EB3" s="2208"/>
      <c r="EC3" s="2208"/>
      <c r="ED3" s="2208"/>
      <c r="EE3" s="2082"/>
      <c r="EF3" s="2082"/>
      <c r="EG3" s="2082"/>
      <c r="EH3" s="2082"/>
      <c r="EI3" s="2082"/>
      <c r="EJ3" s="2082"/>
      <c r="EK3" s="2082"/>
      <c r="EL3" s="2082"/>
      <c r="EM3" s="2082"/>
      <c r="EN3" s="2093"/>
      <c r="EO3" s="2209"/>
      <c r="FC3" s="2211"/>
    </row>
    <row r="4" spans="1:166" s="2210" customFormat="1">
      <c r="A4" s="3240"/>
      <c r="B4" s="3240"/>
      <c r="C4" s="3240"/>
      <c r="D4" s="3240"/>
      <c r="E4" s="3240"/>
      <c r="F4" s="3240"/>
      <c r="G4" s="3240"/>
      <c r="H4" s="3240"/>
      <c r="I4" s="3240"/>
      <c r="J4" s="3240"/>
      <c r="K4" s="3240"/>
      <c r="L4" s="3240"/>
      <c r="M4" s="3240"/>
      <c r="N4" s="3240"/>
      <c r="O4" s="3240"/>
      <c r="P4" s="3240"/>
      <c r="Q4" s="3240"/>
      <c r="R4" s="3240"/>
      <c r="S4" s="3241"/>
      <c r="T4" s="3241"/>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209"/>
      <c r="BB4" s="2209"/>
      <c r="BC4" s="2209"/>
      <c r="BD4" s="2209"/>
      <c r="BE4" s="2209"/>
      <c r="BF4" s="2209"/>
      <c r="BG4" s="2209"/>
      <c r="BH4" s="2209"/>
      <c r="BI4" s="2209"/>
      <c r="BJ4" s="2209"/>
      <c r="BK4" s="2209"/>
      <c r="BL4" s="2209"/>
      <c r="BM4" s="2209"/>
      <c r="BN4" s="2209"/>
      <c r="BO4" s="2209"/>
      <c r="BP4" s="2209"/>
      <c r="BQ4" s="2209"/>
      <c r="BR4" s="2209"/>
      <c r="BS4" s="2209"/>
      <c r="BT4" s="2209"/>
      <c r="BU4" s="2209"/>
      <c r="BV4" s="2209"/>
      <c r="BW4" s="2209"/>
      <c r="BX4" s="2209"/>
      <c r="BY4" s="2209"/>
      <c r="BZ4" s="2209"/>
      <c r="CA4" s="2209"/>
      <c r="CB4" s="2209"/>
      <c r="CC4" s="2209"/>
      <c r="CD4" s="2209"/>
      <c r="CE4" s="2209"/>
      <c r="CF4" s="2209"/>
      <c r="CG4" s="2209"/>
      <c r="CH4" s="2209"/>
      <c r="CI4" s="2209"/>
      <c r="CJ4" s="2209"/>
      <c r="CK4" s="2209"/>
      <c r="CL4" s="2209"/>
      <c r="CM4" s="2209"/>
      <c r="CN4" s="2209"/>
      <c r="CO4" s="2209"/>
      <c r="CP4" s="2209"/>
      <c r="CQ4" s="2209"/>
      <c r="CR4" s="2209"/>
      <c r="CS4" s="2209"/>
      <c r="CT4" s="2209"/>
      <c r="CU4" s="2209"/>
      <c r="CV4" s="2209"/>
      <c r="CW4" s="2209"/>
      <c r="CX4" s="2209"/>
      <c r="CY4" s="2209"/>
      <c r="CZ4" s="2209"/>
      <c r="DA4" s="2209"/>
      <c r="DB4" s="2209"/>
      <c r="DC4" s="2209"/>
      <c r="DD4" s="2209"/>
      <c r="DE4" s="2209"/>
      <c r="DF4" s="2209"/>
      <c r="DG4" s="2209"/>
      <c r="DH4" s="2209"/>
      <c r="DI4" s="2209"/>
      <c r="DJ4" s="2209"/>
      <c r="DK4" s="2209"/>
      <c r="DL4" s="2209"/>
      <c r="DM4" s="2209"/>
      <c r="DN4" s="2209"/>
      <c r="DO4" s="2209"/>
      <c r="DP4" s="2209"/>
      <c r="DQ4" s="2209"/>
      <c r="DR4" s="2209"/>
      <c r="DS4" s="2209"/>
      <c r="DT4" s="2209"/>
      <c r="DU4" s="2209"/>
      <c r="DV4" s="2209"/>
      <c r="DW4" s="2209"/>
      <c r="DX4" s="2209"/>
      <c r="DY4" s="2209"/>
      <c r="DZ4" s="2209"/>
      <c r="EA4" s="2209"/>
      <c r="EB4" s="2209"/>
      <c r="EC4" s="2209"/>
      <c r="ED4" s="2209"/>
      <c r="EE4" s="2093"/>
      <c r="EF4" s="2093"/>
      <c r="EG4" s="2093"/>
      <c r="EH4" s="2093"/>
      <c r="EI4" s="2093"/>
      <c r="EJ4" s="2093"/>
      <c r="EK4" s="2093"/>
      <c r="EL4" s="2093"/>
      <c r="EM4" s="2093"/>
      <c r="EN4" s="2093"/>
      <c r="EO4" s="2209"/>
    </row>
    <row r="5" spans="1:166" s="2219" customFormat="1" ht="12.75" customHeight="1">
      <c r="A5" s="3242" t="s">
        <v>12</v>
      </c>
      <c r="B5" s="3242" t="s">
        <v>1616</v>
      </c>
      <c r="C5" s="3243" t="s">
        <v>1617</v>
      </c>
      <c r="D5" s="3243" t="s">
        <v>1618</v>
      </c>
      <c r="E5" s="3243" t="s">
        <v>1619</v>
      </c>
      <c r="F5" s="3243" t="s">
        <v>1620</v>
      </c>
      <c r="G5" s="3244" t="s">
        <v>1621</v>
      </c>
      <c r="H5" s="3243" t="s">
        <v>1622</v>
      </c>
      <c r="I5" s="3243" t="s">
        <v>1623</v>
      </c>
      <c r="J5" s="2994" t="s">
        <v>1624</v>
      </c>
      <c r="K5" s="2994" t="s">
        <v>1625</v>
      </c>
      <c r="L5" s="2994" t="s">
        <v>1626</v>
      </c>
      <c r="M5" s="3247" t="s">
        <v>1627</v>
      </c>
      <c r="N5" s="3248" t="s">
        <v>245</v>
      </c>
      <c r="O5" s="3249"/>
      <c r="P5" s="3249"/>
      <c r="Q5" s="3249"/>
      <c r="R5" s="3249"/>
      <c r="S5" s="3249"/>
      <c r="T5" s="3249"/>
      <c r="U5" s="3249"/>
      <c r="V5" s="3249"/>
      <c r="W5" s="3249"/>
      <c r="X5" s="3248" t="s">
        <v>246</v>
      </c>
      <c r="Y5" s="3248"/>
      <c r="Z5" s="3249"/>
      <c r="AA5" s="3249"/>
      <c r="AB5" s="3249"/>
      <c r="AC5" s="3249"/>
      <c r="AD5" s="3249"/>
      <c r="AE5" s="3249"/>
      <c r="AF5" s="3249"/>
      <c r="AG5" s="3249"/>
      <c r="AH5" s="3248" t="s">
        <v>247</v>
      </c>
      <c r="AI5" s="3249"/>
      <c r="AJ5" s="3249"/>
      <c r="AK5" s="3249"/>
      <c r="AL5" s="3249"/>
      <c r="AM5" s="3249"/>
      <c r="AN5" s="3249"/>
      <c r="AO5" s="3249"/>
      <c r="AP5" s="3249"/>
      <c r="AQ5" s="3249"/>
      <c r="AR5" s="3245" t="s">
        <v>248</v>
      </c>
      <c r="AS5" s="3246"/>
      <c r="AT5" s="3246"/>
      <c r="AU5" s="3246"/>
      <c r="AV5" s="3246"/>
      <c r="AW5" s="3246"/>
      <c r="AX5" s="3246"/>
      <c r="AY5" s="3246"/>
      <c r="AZ5" s="3246"/>
      <c r="BA5" s="3246"/>
      <c r="BB5" s="3245" t="s">
        <v>249</v>
      </c>
      <c r="BC5" s="3246"/>
      <c r="BD5" s="3246"/>
      <c r="BE5" s="3246"/>
      <c r="BF5" s="3246"/>
      <c r="BG5" s="3246"/>
      <c r="BH5" s="3246"/>
      <c r="BI5" s="3246"/>
      <c r="BJ5" s="3246"/>
      <c r="BK5" s="3246"/>
      <c r="BL5" s="3245" t="s">
        <v>250</v>
      </c>
      <c r="BM5" s="3246"/>
      <c r="BN5" s="3246"/>
      <c r="BO5" s="3246"/>
      <c r="BP5" s="3246"/>
      <c r="BQ5" s="3246"/>
      <c r="BR5" s="3246"/>
      <c r="BS5" s="3246"/>
      <c r="BT5" s="3246"/>
      <c r="BU5" s="3246"/>
      <c r="BV5" s="3245" t="s">
        <v>255</v>
      </c>
      <c r="BW5" s="3246"/>
      <c r="BX5" s="3246"/>
      <c r="BY5" s="3246"/>
      <c r="BZ5" s="3246"/>
      <c r="CA5" s="3246"/>
      <c r="CB5" s="3246"/>
      <c r="CC5" s="3246"/>
      <c r="CD5" s="3246"/>
      <c r="CE5" s="3246"/>
      <c r="CF5" s="3245" t="s">
        <v>251</v>
      </c>
      <c r="CG5" s="3246"/>
      <c r="CH5" s="3246"/>
      <c r="CI5" s="3246"/>
      <c r="CJ5" s="3246"/>
      <c r="CK5" s="3246"/>
      <c r="CL5" s="3246"/>
      <c r="CM5" s="3246"/>
      <c r="CN5" s="3246"/>
      <c r="CO5" s="3246"/>
      <c r="CP5" s="3245" t="s">
        <v>252</v>
      </c>
      <c r="CQ5" s="3246"/>
      <c r="CR5" s="3246"/>
      <c r="CS5" s="3246"/>
      <c r="CT5" s="3246"/>
      <c r="CU5" s="3246"/>
      <c r="CV5" s="3246"/>
      <c r="CW5" s="3246"/>
      <c r="CX5" s="3246"/>
      <c r="CY5" s="3246"/>
      <c r="CZ5" s="3245" t="s">
        <v>254</v>
      </c>
      <c r="DA5" s="3246"/>
      <c r="DB5" s="3246"/>
      <c r="DC5" s="3246"/>
      <c r="DD5" s="3246"/>
      <c r="DE5" s="3246"/>
      <c r="DF5" s="3246"/>
      <c r="DG5" s="3246"/>
      <c r="DH5" s="3246"/>
      <c r="DI5" s="3246"/>
      <c r="DJ5" s="3245" t="s">
        <v>253</v>
      </c>
      <c r="DK5" s="3246"/>
      <c r="DL5" s="3246"/>
      <c r="DM5" s="3246"/>
      <c r="DN5" s="3246"/>
      <c r="DO5" s="3246"/>
      <c r="DP5" s="3246"/>
      <c r="DQ5" s="3246"/>
      <c r="DR5" s="3246"/>
      <c r="DS5" s="3246"/>
      <c r="DT5" s="3248" t="s">
        <v>256</v>
      </c>
      <c r="DU5" s="3248"/>
      <c r="DV5" s="3249"/>
      <c r="DW5" s="3249"/>
      <c r="DX5" s="3249"/>
      <c r="DY5" s="3249"/>
      <c r="DZ5" s="3249"/>
      <c r="EA5" s="3249"/>
      <c r="EB5" s="3249"/>
      <c r="EC5" s="3249"/>
      <c r="ED5" s="3250" t="s">
        <v>22</v>
      </c>
      <c r="EE5" s="3251"/>
      <c r="EF5" s="3251"/>
      <c r="EG5" s="3251"/>
      <c r="EH5" s="3251"/>
      <c r="EI5" s="3251"/>
      <c r="EJ5" s="3251"/>
      <c r="EK5" s="3251"/>
      <c r="EL5" s="3251"/>
      <c r="EM5" s="3251"/>
      <c r="EN5" s="3252"/>
      <c r="EO5" s="2218"/>
      <c r="EP5" s="2218"/>
      <c r="EQ5" s="2210"/>
      <c r="ER5" s="2210"/>
      <c r="ES5" s="2210"/>
      <c r="ET5" s="2210"/>
      <c r="EU5" s="2210"/>
      <c r="EV5" s="2210"/>
      <c r="EW5" s="2210"/>
      <c r="EX5" s="2210"/>
      <c r="EY5" s="2210"/>
      <c r="EZ5" s="2210"/>
      <c r="FA5" s="2210"/>
      <c r="FB5" s="2210"/>
      <c r="FC5" s="2210"/>
      <c r="FD5" s="2210"/>
      <c r="FE5" s="2210"/>
      <c r="FF5" s="2210"/>
      <c r="FG5" s="2210"/>
      <c r="FH5" s="2210"/>
      <c r="FI5" s="2210"/>
      <c r="FJ5" s="2210"/>
    </row>
    <row r="6" spans="1:166" s="2219" customFormat="1" ht="72" customHeight="1">
      <c r="A6" s="3242"/>
      <c r="B6" s="3242"/>
      <c r="C6" s="3243"/>
      <c r="D6" s="3243"/>
      <c r="E6" s="3243"/>
      <c r="F6" s="3243"/>
      <c r="G6" s="3244"/>
      <c r="H6" s="3243"/>
      <c r="I6" s="3243"/>
      <c r="J6" s="2994"/>
      <c r="K6" s="2994"/>
      <c r="L6" s="2994"/>
      <c r="M6" s="3247"/>
      <c r="N6" s="3249" t="s">
        <v>1628</v>
      </c>
      <c r="O6" s="3249" t="s">
        <v>781</v>
      </c>
      <c r="P6" s="3249"/>
      <c r="Q6" s="3249" t="s">
        <v>1629</v>
      </c>
      <c r="R6" s="3249"/>
      <c r="S6" s="3249" t="s">
        <v>1630</v>
      </c>
      <c r="T6" s="3249"/>
      <c r="U6" s="2795" t="s">
        <v>1631</v>
      </c>
      <c r="V6" s="3249" t="s">
        <v>1632</v>
      </c>
      <c r="W6" s="3249"/>
      <c r="X6" s="3249" t="s">
        <v>1628</v>
      </c>
      <c r="Y6" s="3249" t="s">
        <v>781</v>
      </c>
      <c r="Z6" s="3249"/>
      <c r="AA6" s="3249" t="s">
        <v>1633</v>
      </c>
      <c r="AB6" s="3249"/>
      <c r="AC6" s="3249" t="s">
        <v>1630</v>
      </c>
      <c r="AD6" s="3249"/>
      <c r="AE6" s="2795" t="s">
        <v>1631</v>
      </c>
      <c r="AF6" s="3249" t="s">
        <v>1632</v>
      </c>
      <c r="AG6" s="3249"/>
      <c r="AH6" s="3249" t="s">
        <v>1628</v>
      </c>
      <c r="AI6" s="3249" t="s">
        <v>1634</v>
      </c>
      <c r="AJ6" s="3249"/>
      <c r="AK6" s="3249" t="s">
        <v>1629</v>
      </c>
      <c r="AL6" s="3249"/>
      <c r="AM6" s="3249" t="s">
        <v>1630</v>
      </c>
      <c r="AN6" s="3249"/>
      <c r="AO6" s="2795" t="s">
        <v>1631</v>
      </c>
      <c r="AP6" s="3249" t="s">
        <v>1632</v>
      </c>
      <c r="AQ6" s="3249"/>
      <c r="AR6" s="3249" t="s">
        <v>1628</v>
      </c>
      <c r="AS6" s="3249" t="s">
        <v>1634</v>
      </c>
      <c r="AT6" s="3249"/>
      <c r="AU6" s="3249" t="s">
        <v>1629</v>
      </c>
      <c r="AV6" s="3249"/>
      <c r="AW6" s="3249" t="s">
        <v>1630</v>
      </c>
      <c r="AX6" s="3249"/>
      <c r="AY6" s="2795" t="s">
        <v>1631</v>
      </c>
      <c r="AZ6" s="3249" t="s">
        <v>1632</v>
      </c>
      <c r="BA6" s="3249"/>
      <c r="BB6" s="3249" t="s">
        <v>1628</v>
      </c>
      <c r="BC6" s="3249" t="s">
        <v>1634</v>
      </c>
      <c r="BD6" s="3249"/>
      <c r="BE6" s="3249" t="s">
        <v>1629</v>
      </c>
      <c r="BF6" s="3249"/>
      <c r="BG6" s="3249" t="s">
        <v>1630</v>
      </c>
      <c r="BH6" s="3249"/>
      <c r="BI6" s="2795" t="s">
        <v>1631</v>
      </c>
      <c r="BJ6" s="3249" t="s">
        <v>1632</v>
      </c>
      <c r="BK6" s="3249"/>
      <c r="BL6" s="3249" t="s">
        <v>1628</v>
      </c>
      <c r="BM6" s="3249" t="s">
        <v>1634</v>
      </c>
      <c r="BN6" s="3249"/>
      <c r="BO6" s="3249" t="s">
        <v>1629</v>
      </c>
      <c r="BP6" s="3249"/>
      <c r="BQ6" s="3249" t="s">
        <v>1635</v>
      </c>
      <c r="BR6" s="3249"/>
      <c r="BS6" s="2795" t="s">
        <v>1631</v>
      </c>
      <c r="BT6" s="3249" t="s">
        <v>1636</v>
      </c>
      <c r="BU6" s="3249"/>
      <c r="BV6" s="3249" t="s">
        <v>1628</v>
      </c>
      <c r="BW6" s="3249" t="s">
        <v>1634</v>
      </c>
      <c r="BX6" s="3249"/>
      <c r="BY6" s="3249" t="s">
        <v>1629</v>
      </c>
      <c r="BZ6" s="3249"/>
      <c r="CA6" s="3249" t="s">
        <v>1635</v>
      </c>
      <c r="CB6" s="3249"/>
      <c r="CC6" s="2795" t="s">
        <v>1631</v>
      </c>
      <c r="CD6" s="3249" t="s">
        <v>1636</v>
      </c>
      <c r="CE6" s="3249"/>
      <c r="CF6" s="3249" t="s">
        <v>1628</v>
      </c>
      <c r="CG6" s="3249" t="s">
        <v>1634</v>
      </c>
      <c r="CH6" s="3249"/>
      <c r="CI6" s="3249" t="s">
        <v>1629</v>
      </c>
      <c r="CJ6" s="3249"/>
      <c r="CK6" s="3249" t="s">
        <v>1635</v>
      </c>
      <c r="CL6" s="3249"/>
      <c r="CM6" s="2795" t="s">
        <v>1631</v>
      </c>
      <c r="CN6" s="3249" t="s">
        <v>1636</v>
      </c>
      <c r="CO6" s="3249"/>
      <c r="CP6" s="3249" t="s">
        <v>1628</v>
      </c>
      <c r="CQ6" s="3249" t="s">
        <v>1634</v>
      </c>
      <c r="CR6" s="3249"/>
      <c r="CS6" s="3249" t="s">
        <v>1629</v>
      </c>
      <c r="CT6" s="3249"/>
      <c r="CU6" s="3249" t="s">
        <v>1635</v>
      </c>
      <c r="CV6" s="3249"/>
      <c r="CW6" s="2795" t="s">
        <v>1631</v>
      </c>
      <c r="CX6" s="3249" t="s">
        <v>1636</v>
      </c>
      <c r="CY6" s="3249"/>
      <c r="CZ6" s="3249" t="s">
        <v>1628</v>
      </c>
      <c r="DA6" s="3249" t="s">
        <v>1634</v>
      </c>
      <c r="DB6" s="3249"/>
      <c r="DC6" s="3249" t="s">
        <v>1629</v>
      </c>
      <c r="DD6" s="3249"/>
      <c r="DE6" s="3249" t="s">
        <v>1635</v>
      </c>
      <c r="DF6" s="3249"/>
      <c r="DG6" s="2795" t="s">
        <v>1631</v>
      </c>
      <c r="DH6" s="3249" t="s">
        <v>1636</v>
      </c>
      <c r="DI6" s="3249"/>
      <c r="DJ6" s="3249" t="s">
        <v>1628</v>
      </c>
      <c r="DK6" s="3249" t="s">
        <v>1634</v>
      </c>
      <c r="DL6" s="3249"/>
      <c r="DM6" s="3249" t="s">
        <v>1629</v>
      </c>
      <c r="DN6" s="3249"/>
      <c r="DO6" s="3249" t="s">
        <v>1635</v>
      </c>
      <c r="DP6" s="3249"/>
      <c r="DQ6" s="2795" t="s">
        <v>1631</v>
      </c>
      <c r="DR6" s="3249" t="s">
        <v>1636</v>
      </c>
      <c r="DS6" s="3249"/>
      <c r="DT6" s="3249" t="s">
        <v>1628</v>
      </c>
      <c r="DU6" s="3249" t="s">
        <v>1634</v>
      </c>
      <c r="DV6" s="3249"/>
      <c r="DW6" s="3249" t="s">
        <v>1629</v>
      </c>
      <c r="DX6" s="3249"/>
      <c r="DY6" s="3249" t="s">
        <v>1630</v>
      </c>
      <c r="DZ6" s="3249"/>
      <c r="EA6" s="2795" t="s">
        <v>1631</v>
      </c>
      <c r="EB6" s="3249" t="s">
        <v>1636</v>
      </c>
      <c r="EC6" s="3249"/>
      <c r="ED6" s="3249" t="s">
        <v>2086</v>
      </c>
      <c r="EE6" s="3244" t="s">
        <v>2087</v>
      </c>
      <c r="EF6" s="3244" t="s">
        <v>1638</v>
      </c>
      <c r="EG6" s="3244"/>
      <c r="EH6" s="3244" t="s">
        <v>1639</v>
      </c>
      <c r="EI6" s="3244"/>
      <c r="EJ6" s="3244" t="s">
        <v>1640</v>
      </c>
      <c r="EK6" s="3244"/>
      <c r="EL6" s="2794" t="s">
        <v>1631</v>
      </c>
      <c r="EM6" s="3244" t="s">
        <v>1632</v>
      </c>
      <c r="EN6" s="3244"/>
      <c r="EO6" s="2795" t="s">
        <v>1641</v>
      </c>
      <c r="EP6" s="2795" t="s">
        <v>2088</v>
      </c>
      <c r="EQ6" s="2210"/>
      <c r="ER6" s="2210"/>
      <c r="ES6" s="2210"/>
      <c r="ET6" s="2210"/>
      <c r="EU6" s="2210"/>
      <c r="EV6" s="2210"/>
      <c r="EW6" s="2210"/>
      <c r="EX6" s="2210"/>
      <c r="EY6" s="2210"/>
      <c r="EZ6" s="2210"/>
      <c r="FA6" s="2210"/>
      <c r="FB6" s="2210"/>
      <c r="FC6" s="2210"/>
      <c r="FD6" s="2210"/>
      <c r="FE6" s="2210"/>
      <c r="FF6" s="2210"/>
      <c r="FG6" s="2210"/>
      <c r="FH6" s="2210"/>
      <c r="FI6" s="2210"/>
      <c r="FJ6" s="2210"/>
    </row>
    <row r="7" spans="1:166" s="2219" customFormat="1" ht="57.75" customHeight="1">
      <c r="A7" s="3242"/>
      <c r="B7" s="3242"/>
      <c r="C7" s="3243"/>
      <c r="D7" s="3243"/>
      <c r="E7" s="3243"/>
      <c r="F7" s="3243"/>
      <c r="G7" s="3244"/>
      <c r="H7" s="3243"/>
      <c r="I7" s="3243"/>
      <c r="J7" s="2994"/>
      <c r="K7" s="2994"/>
      <c r="L7" s="2994"/>
      <c r="M7" s="3247"/>
      <c r="N7" s="3249"/>
      <c r="O7" s="2795" t="s">
        <v>1162</v>
      </c>
      <c r="P7" s="2795" t="s">
        <v>1643</v>
      </c>
      <c r="Q7" s="2795" t="s">
        <v>1162</v>
      </c>
      <c r="R7" s="2795" t="s">
        <v>1643</v>
      </c>
      <c r="S7" s="2795" t="s">
        <v>1162</v>
      </c>
      <c r="T7" s="2795" t="s">
        <v>1643</v>
      </c>
      <c r="U7" s="2795" t="s">
        <v>1643</v>
      </c>
      <c r="V7" s="2795" t="s">
        <v>1162</v>
      </c>
      <c r="W7" s="2795" t="s">
        <v>1643</v>
      </c>
      <c r="X7" s="3249"/>
      <c r="Y7" s="2795" t="s">
        <v>1162</v>
      </c>
      <c r="Z7" s="2795" t="s">
        <v>1643</v>
      </c>
      <c r="AA7" s="2795" t="s">
        <v>1162</v>
      </c>
      <c r="AB7" s="2795" t="s">
        <v>1643</v>
      </c>
      <c r="AC7" s="2795" t="s">
        <v>1162</v>
      </c>
      <c r="AD7" s="2795" t="s">
        <v>1643</v>
      </c>
      <c r="AE7" s="2795" t="s">
        <v>1643</v>
      </c>
      <c r="AF7" s="2795" t="s">
        <v>1162</v>
      </c>
      <c r="AG7" s="2795" t="s">
        <v>1643</v>
      </c>
      <c r="AH7" s="3249"/>
      <c r="AI7" s="2795" t="s">
        <v>1162</v>
      </c>
      <c r="AJ7" s="2795" t="s">
        <v>1643</v>
      </c>
      <c r="AK7" s="2795" t="s">
        <v>1162</v>
      </c>
      <c r="AL7" s="2795" t="s">
        <v>1643</v>
      </c>
      <c r="AM7" s="2795" t="s">
        <v>1162</v>
      </c>
      <c r="AN7" s="2795" t="s">
        <v>1643</v>
      </c>
      <c r="AO7" s="2795" t="s">
        <v>1643</v>
      </c>
      <c r="AP7" s="2795" t="s">
        <v>1162</v>
      </c>
      <c r="AQ7" s="2795" t="s">
        <v>1643</v>
      </c>
      <c r="AR7" s="3249"/>
      <c r="AS7" s="2795" t="s">
        <v>1162</v>
      </c>
      <c r="AT7" s="2795" t="s">
        <v>1643</v>
      </c>
      <c r="AU7" s="2795" t="s">
        <v>1162</v>
      </c>
      <c r="AV7" s="2795" t="s">
        <v>1643</v>
      </c>
      <c r="AW7" s="2795" t="s">
        <v>1162</v>
      </c>
      <c r="AX7" s="2795" t="s">
        <v>1643</v>
      </c>
      <c r="AY7" s="2795" t="s">
        <v>1643</v>
      </c>
      <c r="AZ7" s="2795" t="s">
        <v>1162</v>
      </c>
      <c r="BA7" s="2795" t="s">
        <v>1643</v>
      </c>
      <c r="BB7" s="3249"/>
      <c r="BC7" s="2795" t="s">
        <v>1162</v>
      </c>
      <c r="BD7" s="2795" t="s">
        <v>1643</v>
      </c>
      <c r="BE7" s="2795" t="s">
        <v>1162</v>
      </c>
      <c r="BF7" s="2795" t="s">
        <v>1643</v>
      </c>
      <c r="BG7" s="2795" t="s">
        <v>1162</v>
      </c>
      <c r="BH7" s="2795" t="s">
        <v>1643</v>
      </c>
      <c r="BI7" s="2795" t="s">
        <v>1643</v>
      </c>
      <c r="BJ7" s="2795" t="s">
        <v>1162</v>
      </c>
      <c r="BK7" s="2795" t="s">
        <v>1643</v>
      </c>
      <c r="BL7" s="3249"/>
      <c r="BM7" s="2795" t="s">
        <v>1162</v>
      </c>
      <c r="BN7" s="2795" t="s">
        <v>1643</v>
      </c>
      <c r="BO7" s="2795" t="s">
        <v>1162</v>
      </c>
      <c r="BP7" s="2795" t="s">
        <v>1643</v>
      </c>
      <c r="BQ7" s="2795" t="s">
        <v>1162</v>
      </c>
      <c r="BR7" s="2795" t="s">
        <v>1643</v>
      </c>
      <c r="BS7" s="2795" t="s">
        <v>1643</v>
      </c>
      <c r="BT7" s="2795" t="s">
        <v>1162</v>
      </c>
      <c r="BU7" s="2795" t="s">
        <v>1643</v>
      </c>
      <c r="BV7" s="3249"/>
      <c r="BW7" s="2795" t="s">
        <v>1162</v>
      </c>
      <c r="BX7" s="2795" t="s">
        <v>1643</v>
      </c>
      <c r="BY7" s="2795" t="s">
        <v>1162</v>
      </c>
      <c r="BZ7" s="2795" t="s">
        <v>1643</v>
      </c>
      <c r="CA7" s="2795" t="s">
        <v>1162</v>
      </c>
      <c r="CB7" s="2795" t="s">
        <v>1643</v>
      </c>
      <c r="CC7" s="2795" t="s">
        <v>1643</v>
      </c>
      <c r="CD7" s="2795" t="s">
        <v>1162</v>
      </c>
      <c r="CE7" s="2795" t="s">
        <v>1643</v>
      </c>
      <c r="CF7" s="3249"/>
      <c r="CG7" s="2795" t="s">
        <v>1162</v>
      </c>
      <c r="CH7" s="2795" t="s">
        <v>1643</v>
      </c>
      <c r="CI7" s="2795" t="s">
        <v>1162</v>
      </c>
      <c r="CJ7" s="2795" t="s">
        <v>1643</v>
      </c>
      <c r="CK7" s="2795" t="s">
        <v>1162</v>
      </c>
      <c r="CL7" s="2795" t="s">
        <v>1643</v>
      </c>
      <c r="CM7" s="2795" t="s">
        <v>1643</v>
      </c>
      <c r="CN7" s="2795" t="s">
        <v>1162</v>
      </c>
      <c r="CO7" s="2795" t="s">
        <v>1643</v>
      </c>
      <c r="CP7" s="3249"/>
      <c r="CQ7" s="2795" t="s">
        <v>1162</v>
      </c>
      <c r="CR7" s="2795" t="s">
        <v>1643</v>
      </c>
      <c r="CS7" s="2795" t="s">
        <v>1162</v>
      </c>
      <c r="CT7" s="2795" t="s">
        <v>1643</v>
      </c>
      <c r="CU7" s="2795" t="s">
        <v>1162</v>
      </c>
      <c r="CV7" s="2795" t="s">
        <v>1643</v>
      </c>
      <c r="CW7" s="2795" t="s">
        <v>1643</v>
      </c>
      <c r="CX7" s="2795" t="s">
        <v>1162</v>
      </c>
      <c r="CY7" s="2795" t="s">
        <v>1643</v>
      </c>
      <c r="CZ7" s="3249"/>
      <c r="DA7" s="2795" t="s">
        <v>1162</v>
      </c>
      <c r="DB7" s="2795" t="s">
        <v>1643</v>
      </c>
      <c r="DC7" s="2795" t="s">
        <v>1162</v>
      </c>
      <c r="DD7" s="2795" t="s">
        <v>1643</v>
      </c>
      <c r="DE7" s="2795" t="s">
        <v>1162</v>
      </c>
      <c r="DF7" s="2795" t="s">
        <v>1643</v>
      </c>
      <c r="DG7" s="2795" t="s">
        <v>1643</v>
      </c>
      <c r="DH7" s="2795" t="s">
        <v>1162</v>
      </c>
      <c r="DI7" s="2795" t="s">
        <v>1643</v>
      </c>
      <c r="DJ7" s="3249"/>
      <c r="DK7" s="2795" t="s">
        <v>1162</v>
      </c>
      <c r="DL7" s="2795" t="s">
        <v>1643</v>
      </c>
      <c r="DM7" s="2795" t="s">
        <v>1162</v>
      </c>
      <c r="DN7" s="2795" t="s">
        <v>1643</v>
      </c>
      <c r="DO7" s="2795" t="s">
        <v>1162</v>
      </c>
      <c r="DP7" s="2795" t="s">
        <v>1643</v>
      </c>
      <c r="DQ7" s="2795" t="s">
        <v>1643</v>
      </c>
      <c r="DR7" s="2795" t="s">
        <v>1162</v>
      </c>
      <c r="DS7" s="2795" t="s">
        <v>1643</v>
      </c>
      <c r="DT7" s="3249"/>
      <c r="DU7" s="2795" t="s">
        <v>1162</v>
      </c>
      <c r="DV7" s="2795" t="s">
        <v>1643</v>
      </c>
      <c r="DW7" s="2795" t="s">
        <v>1162</v>
      </c>
      <c r="DX7" s="2795" t="s">
        <v>1643</v>
      </c>
      <c r="DY7" s="2795" t="s">
        <v>1162</v>
      </c>
      <c r="DZ7" s="2795" t="s">
        <v>1643</v>
      </c>
      <c r="EA7" s="2795" t="s">
        <v>1643</v>
      </c>
      <c r="EB7" s="2795" t="s">
        <v>1162</v>
      </c>
      <c r="EC7" s="2795" t="s">
        <v>1643</v>
      </c>
      <c r="ED7" s="3249"/>
      <c r="EE7" s="3244"/>
      <c r="EF7" s="2794" t="s">
        <v>1162</v>
      </c>
      <c r="EG7" s="2794" t="s">
        <v>1643</v>
      </c>
      <c r="EH7" s="2794" t="s">
        <v>1162</v>
      </c>
      <c r="EI7" s="2794" t="s">
        <v>1643</v>
      </c>
      <c r="EJ7" s="2794" t="s">
        <v>1162</v>
      </c>
      <c r="EK7" s="2794" t="s">
        <v>1643</v>
      </c>
      <c r="EL7" s="2794" t="s">
        <v>1643</v>
      </c>
      <c r="EM7" s="2794" t="s">
        <v>1162</v>
      </c>
      <c r="EN7" s="2794" t="s">
        <v>1643</v>
      </c>
      <c r="EO7" s="2795" t="s">
        <v>1162</v>
      </c>
      <c r="EP7" s="2795" t="s">
        <v>1162</v>
      </c>
      <c r="EQ7" s="2210"/>
      <c r="ER7" s="2210"/>
      <c r="ES7" s="2210"/>
      <c r="ET7" s="2210"/>
      <c r="EU7" s="2210"/>
      <c r="EV7" s="2210"/>
      <c r="EW7" s="2210"/>
      <c r="EX7" s="2210"/>
      <c r="EY7" s="2210"/>
      <c r="EZ7" s="2210"/>
      <c r="FA7" s="2210"/>
      <c r="FB7" s="2210"/>
      <c r="FC7" s="2210"/>
      <c r="FD7" s="2210"/>
      <c r="FE7" s="2210"/>
      <c r="FF7" s="2210"/>
      <c r="FG7" s="2210"/>
      <c r="FH7" s="2210"/>
      <c r="FI7" s="2210"/>
      <c r="FJ7" s="2210"/>
    </row>
    <row r="8" spans="1:166" ht="15" customHeight="1">
      <c r="A8" s="2220" t="s">
        <v>57</v>
      </c>
      <c r="B8" s="2221" t="s">
        <v>1645</v>
      </c>
      <c r="C8" s="2222"/>
      <c r="D8" s="2222"/>
      <c r="E8" s="2222"/>
      <c r="F8" s="2222"/>
      <c r="G8" s="2160"/>
      <c r="H8" s="2222"/>
      <c r="I8" s="2222"/>
      <c r="J8" s="2222"/>
      <c r="K8" s="2222"/>
      <c r="L8" s="2222"/>
      <c r="M8" s="2152"/>
      <c r="N8" s="1831"/>
      <c r="O8" s="1831"/>
      <c r="P8" s="1831"/>
      <c r="Q8" s="1831"/>
      <c r="R8" s="1831"/>
      <c r="S8" s="1831"/>
      <c r="T8" s="1831"/>
      <c r="U8" s="1831"/>
      <c r="V8" s="1831"/>
      <c r="W8" s="1831"/>
      <c r="X8" s="1831"/>
      <c r="Y8" s="1831"/>
      <c r="Z8" s="1831"/>
      <c r="AA8" s="1831"/>
      <c r="AB8" s="1915"/>
      <c r="AC8" s="1915"/>
      <c r="AD8" s="1915"/>
      <c r="AE8" s="1915"/>
      <c r="AF8" s="1915"/>
      <c r="AG8" s="1915"/>
      <c r="AH8" s="1915"/>
      <c r="AI8" s="1915"/>
      <c r="AJ8" s="1915"/>
      <c r="AK8" s="1915"/>
      <c r="AL8" s="1915"/>
      <c r="AM8" s="1915"/>
      <c r="AN8" s="1915"/>
      <c r="AO8" s="1915"/>
      <c r="AP8" s="1915"/>
      <c r="AQ8" s="1915"/>
      <c r="AR8" s="1915"/>
      <c r="AS8" s="1915"/>
      <c r="AT8" s="1915"/>
      <c r="AU8" s="1915"/>
      <c r="AV8" s="1915"/>
      <c r="AW8" s="1915"/>
      <c r="AX8" s="1915"/>
      <c r="AY8" s="1915"/>
      <c r="AZ8" s="1915"/>
      <c r="BA8" s="1915"/>
      <c r="BB8" s="1915"/>
      <c r="BC8" s="1915"/>
      <c r="BD8" s="1915"/>
      <c r="BE8" s="1915"/>
      <c r="BF8" s="1915"/>
      <c r="BG8" s="1915"/>
      <c r="BH8" s="1915"/>
      <c r="BI8" s="1915"/>
      <c r="BJ8" s="1915"/>
      <c r="BK8" s="1915"/>
      <c r="BL8" s="1915"/>
      <c r="BM8" s="1915"/>
      <c r="BN8" s="1915"/>
      <c r="BO8" s="1915"/>
      <c r="BP8" s="1915"/>
      <c r="BQ8" s="1915"/>
      <c r="BR8" s="1915"/>
      <c r="BS8" s="1915"/>
      <c r="BT8" s="1915"/>
      <c r="BU8" s="1915"/>
      <c r="BV8" s="1915"/>
      <c r="BW8" s="1915"/>
      <c r="BX8" s="1915"/>
      <c r="BY8" s="1915"/>
      <c r="BZ8" s="1915"/>
      <c r="CA8" s="1915"/>
      <c r="CB8" s="1915"/>
      <c r="CC8" s="1915"/>
      <c r="CD8" s="1915"/>
      <c r="CE8" s="1915"/>
      <c r="CF8" s="1915"/>
      <c r="CG8" s="1915"/>
      <c r="CH8" s="1915"/>
      <c r="CI8" s="1915"/>
      <c r="CJ8" s="1915"/>
      <c r="CK8" s="1915"/>
      <c r="CL8" s="1915"/>
      <c r="CM8" s="1915"/>
      <c r="CN8" s="1915"/>
      <c r="CO8" s="1915"/>
      <c r="CP8" s="1915"/>
      <c r="CQ8" s="1915"/>
      <c r="CR8" s="1915"/>
      <c r="CS8" s="1915"/>
      <c r="CT8" s="1915"/>
      <c r="CU8" s="1915"/>
      <c r="CV8" s="1915"/>
      <c r="CW8" s="1915"/>
      <c r="CX8" s="1915"/>
      <c r="CY8" s="1915"/>
      <c r="CZ8" s="1915"/>
      <c r="DA8" s="1915"/>
      <c r="DB8" s="1915"/>
      <c r="DC8" s="1915"/>
      <c r="DD8" s="1915"/>
      <c r="DE8" s="1915"/>
      <c r="DF8" s="1915"/>
      <c r="DG8" s="1915"/>
      <c r="DH8" s="1915"/>
      <c r="DI8" s="1915"/>
      <c r="DJ8" s="1915"/>
      <c r="DK8" s="1915"/>
      <c r="DL8" s="1915"/>
      <c r="DM8" s="1915"/>
      <c r="DN8" s="1915"/>
      <c r="DO8" s="1915"/>
      <c r="DP8" s="1915"/>
      <c r="DQ8" s="1915"/>
      <c r="DR8" s="1915"/>
      <c r="DS8" s="1915"/>
      <c r="DT8" s="1915"/>
      <c r="DU8" s="1915"/>
      <c r="DV8" s="1915"/>
      <c r="DW8" s="1915"/>
      <c r="DX8" s="1915"/>
      <c r="DY8" s="1915"/>
      <c r="DZ8" s="1915"/>
      <c r="EA8" s="1915"/>
      <c r="EB8" s="1915"/>
      <c r="EC8" s="1915"/>
      <c r="ED8" s="1915"/>
      <c r="EE8" s="2106"/>
      <c r="EF8" s="2106"/>
      <c r="EG8" s="2106"/>
      <c r="EH8" s="2106"/>
      <c r="EI8" s="2106"/>
      <c r="EJ8" s="2106"/>
      <c r="EK8" s="2106"/>
      <c r="EL8" s="2106"/>
      <c r="EM8" s="2106"/>
      <c r="EN8" s="2106"/>
      <c r="EO8" s="1915"/>
      <c r="EP8" s="2223"/>
      <c r="EQ8" s="2210"/>
      <c r="ER8" s="2210"/>
      <c r="ES8" s="2224"/>
      <c r="ET8" s="2224"/>
      <c r="EU8" s="2224"/>
      <c r="EV8" s="2224"/>
      <c r="EW8" s="2224"/>
      <c r="EX8" s="2224"/>
      <c r="EY8" s="2224"/>
      <c r="EZ8" s="2224"/>
      <c r="FA8" s="2224"/>
      <c r="FC8" s="2225"/>
      <c r="FD8" s="2225"/>
      <c r="FE8" s="2225"/>
      <c r="FF8" s="2225"/>
      <c r="FG8" s="2225"/>
      <c r="FH8" s="2225"/>
      <c r="FI8" s="2225"/>
    </row>
    <row r="9" spans="1:166" ht="15" customHeight="1">
      <c r="A9" s="2220" t="s">
        <v>19</v>
      </c>
      <c r="B9" s="2145" t="s">
        <v>1646</v>
      </c>
      <c r="C9" s="2222"/>
      <c r="D9" s="2222"/>
      <c r="E9" s="2222"/>
      <c r="F9" s="2222"/>
      <c r="G9" s="2160"/>
      <c r="H9" s="2226"/>
      <c r="I9" s="2226"/>
      <c r="J9" s="2226"/>
      <c r="K9" s="2222"/>
      <c r="L9" s="2222"/>
      <c r="M9" s="2152"/>
      <c r="N9" s="2109"/>
      <c r="O9" s="2109"/>
      <c r="P9" s="2109"/>
      <c r="Q9" s="2109"/>
      <c r="R9" s="2109"/>
      <c r="S9" s="2109"/>
      <c r="T9" s="2109"/>
      <c r="U9" s="2109"/>
      <c r="V9" s="2109"/>
      <c r="W9" s="2109"/>
      <c r="X9" s="2109"/>
      <c r="Y9" s="2109"/>
      <c r="Z9" s="2109"/>
      <c r="AA9" s="2109"/>
      <c r="AB9" s="2135"/>
      <c r="AC9" s="2135"/>
      <c r="AD9" s="2135"/>
      <c r="AE9" s="2135"/>
      <c r="AF9" s="2135"/>
      <c r="AG9" s="2135"/>
      <c r="AH9" s="2135"/>
      <c r="AI9" s="2135"/>
      <c r="AJ9" s="2135"/>
      <c r="AK9" s="2135"/>
      <c r="AL9" s="2135"/>
      <c r="AM9" s="2135"/>
      <c r="AN9" s="2135"/>
      <c r="AO9" s="2135"/>
      <c r="AP9" s="2135"/>
      <c r="AQ9" s="2135"/>
      <c r="AR9" s="2135"/>
      <c r="AS9" s="2135"/>
      <c r="AT9" s="2135"/>
      <c r="AU9" s="2135"/>
      <c r="AV9" s="2135"/>
      <c r="AW9" s="2135"/>
      <c r="AX9" s="2135"/>
      <c r="AY9" s="2135"/>
      <c r="AZ9" s="2135"/>
      <c r="BA9" s="2135"/>
      <c r="BB9" s="2135"/>
      <c r="BC9" s="2135"/>
      <c r="BD9" s="2135"/>
      <c r="BE9" s="2135"/>
      <c r="BF9" s="2135"/>
      <c r="BG9" s="2135"/>
      <c r="BH9" s="2135"/>
      <c r="BI9" s="2135"/>
      <c r="BJ9" s="2135"/>
      <c r="BK9" s="2135"/>
      <c r="BL9" s="2135"/>
      <c r="BM9" s="2135"/>
      <c r="BN9" s="2135"/>
      <c r="BO9" s="2135"/>
      <c r="BP9" s="2135"/>
      <c r="BQ9" s="2135"/>
      <c r="BR9" s="2135"/>
      <c r="BS9" s="2135"/>
      <c r="BT9" s="2135"/>
      <c r="BU9" s="2135"/>
      <c r="BV9" s="2135"/>
      <c r="BW9" s="2135"/>
      <c r="BX9" s="2135"/>
      <c r="BY9" s="2135"/>
      <c r="BZ9" s="2135"/>
      <c r="CA9" s="2135"/>
      <c r="CB9" s="2135"/>
      <c r="CC9" s="2135"/>
      <c r="CD9" s="2135"/>
      <c r="CE9" s="2135"/>
      <c r="CF9" s="2135"/>
      <c r="CG9" s="2135"/>
      <c r="CH9" s="2135"/>
      <c r="CI9" s="2135"/>
      <c r="CJ9" s="2135"/>
      <c r="CK9" s="2135"/>
      <c r="CL9" s="2135"/>
      <c r="CM9" s="2135"/>
      <c r="CN9" s="2135"/>
      <c r="CO9" s="2135"/>
      <c r="CP9" s="2135"/>
      <c r="CQ9" s="2135"/>
      <c r="CR9" s="2135"/>
      <c r="CS9" s="2135"/>
      <c r="CT9" s="2135"/>
      <c r="CU9" s="2135"/>
      <c r="CV9" s="2135"/>
      <c r="CW9" s="2135"/>
      <c r="CX9" s="2135"/>
      <c r="CY9" s="2135"/>
      <c r="CZ9" s="2135"/>
      <c r="DA9" s="2135"/>
      <c r="DB9" s="2135"/>
      <c r="DC9" s="2135"/>
      <c r="DD9" s="2135"/>
      <c r="DE9" s="2135"/>
      <c r="DF9" s="2135"/>
      <c r="DG9" s="2135"/>
      <c r="DH9" s="2135"/>
      <c r="DI9" s="2135"/>
      <c r="DJ9" s="2135"/>
      <c r="DK9" s="2135"/>
      <c r="DL9" s="2135"/>
      <c r="DM9" s="2135"/>
      <c r="DN9" s="2135"/>
      <c r="DO9" s="2135"/>
      <c r="DP9" s="2135"/>
      <c r="DQ9" s="2135"/>
      <c r="DR9" s="2135"/>
      <c r="DS9" s="2135"/>
      <c r="DT9" s="2135"/>
      <c r="DU9" s="2135"/>
      <c r="DV9" s="2135"/>
      <c r="DW9" s="2135"/>
      <c r="DX9" s="2135"/>
      <c r="DY9" s="2135"/>
      <c r="DZ9" s="2135"/>
      <c r="EA9" s="2135"/>
      <c r="EB9" s="2135"/>
      <c r="EC9" s="2135"/>
      <c r="ED9" s="2135"/>
      <c r="EE9" s="2107"/>
      <c r="EF9" s="2106"/>
      <c r="EG9" s="2106"/>
      <c r="EH9" s="2106"/>
      <c r="EI9" s="2106"/>
      <c r="EJ9" s="2106"/>
      <c r="EK9" s="2106"/>
      <c r="EL9" s="2106"/>
      <c r="EM9" s="2106"/>
      <c r="EN9" s="2106"/>
      <c r="EO9" s="1915"/>
      <c r="EP9" s="2223"/>
      <c r="EQ9" s="2224"/>
      <c r="ER9" s="2210"/>
      <c r="ES9" s="2224"/>
      <c r="ET9" s="2224"/>
      <c r="EU9" s="2224"/>
      <c r="EV9" s="2224"/>
      <c r="EW9" s="2224"/>
      <c r="EX9" s="2224"/>
      <c r="EY9" s="2224"/>
      <c r="EZ9" s="2224"/>
      <c r="FA9" s="2224"/>
      <c r="FC9" s="2225"/>
      <c r="FD9" s="2225"/>
      <c r="FE9" s="2225"/>
      <c r="FF9" s="2225"/>
      <c r="FG9" s="2225"/>
      <c r="FH9" s="2225"/>
      <c r="FI9" s="2225"/>
    </row>
    <row r="10" spans="1:166" ht="15" customHeight="1">
      <c r="A10" s="2220"/>
      <c r="B10" s="2145"/>
      <c r="C10" s="2226"/>
      <c r="D10" s="2226"/>
      <c r="E10" s="2226"/>
      <c r="F10" s="2226"/>
      <c r="G10" s="2160"/>
      <c r="H10" s="2226"/>
      <c r="I10" s="2226"/>
      <c r="J10" s="2226"/>
      <c r="K10" s="2226"/>
      <c r="L10" s="2226"/>
      <c r="M10" s="2152"/>
      <c r="N10" s="2109"/>
      <c r="O10" s="2109"/>
      <c r="P10" s="2109"/>
      <c r="Q10" s="2109"/>
      <c r="R10" s="2109"/>
      <c r="S10" s="2109"/>
      <c r="T10" s="2109"/>
      <c r="U10" s="2109"/>
      <c r="V10" s="2109"/>
      <c r="W10" s="2109"/>
      <c r="X10" s="2109"/>
      <c r="Y10" s="2109"/>
      <c r="Z10" s="2109"/>
      <c r="AA10" s="2109"/>
      <c r="AB10" s="2135"/>
      <c r="AC10" s="2135"/>
      <c r="AD10" s="2135"/>
      <c r="AE10" s="2135"/>
      <c r="AF10" s="2135"/>
      <c r="AG10" s="2135"/>
      <c r="AH10" s="2135"/>
      <c r="AI10" s="2135"/>
      <c r="AJ10" s="2135"/>
      <c r="AK10" s="2135"/>
      <c r="AL10" s="2135"/>
      <c r="AM10" s="2135"/>
      <c r="AN10" s="2135"/>
      <c r="AO10" s="2135"/>
      <c r="AP10" s="2135"/>
      <c r="AQ10" s="2135"/>
      <c r="AR10" s="2135"/>
      <c r="AS10" s="2135"/>
      <c r="AT10" s="2135"/>
      <c r="AU10" s="2135"/>
      <c r="AV10" s="2135"/>
      <c r="AW10" s="2135"/>
      <c r="AX10" s="2135"/>
      <c r="AY10" s="2135"/>
      <c r="AZ10" s="2135"/>
      <c r="BA10" s="2135"/>
      <c r="BB10" s="2135"/>
      <c r="BC10" s="2135"/>
      <c r="BD10" s="2135"/>
      <c r="BE10" s="2135"/>
      <c r="BF10" s="2135"/>
      <c r="BG10" s="2135"/>
      <c r="BH10" s="2135"/>
      <c r="BI10" s="2135"/>
      <c r="BJ10" s="2135"/>
      <c r="BK10" s="2135"/>
      <c r="BL10" s="2135"/>
      <c r="BM10" s="2135"/>
      <c r="BN10" s="2135"/>
      <c r="BO10" s="2135"/>
      <c r="BP10" s="2135"/>
      <c r="BQ10" s="2135"/>
      <c r="BR10" s="2135"/>
      <c r="BS10" s="2135"/>
      <c r="BT10" s="2135"/>
      <c r="BU10" s="2135"/>
      <c r="BV10" s="2135"/>
      <c r="BW10" s="2135"/>
      <c r="BX10" s="2135"/>
      <c r="BY10" s="2135"/>
      <c r="BZ10" s="2135"/>
      <c r="CA10" s="2135"/>
      <c r="CB10" s="2135"/>
      <c r="CC10" s="2135"/>
      <c r="CD10" s="2135"/>
      <c r="CE10" s="2135"/>
      <c r="CF10" s="2135"/>
      <c r="CG10" s="2135"/>
      <c r="CH10" s="2135"/>
      <c r="CI10" s="2135"/>
      <c r="CJ10" s="2135"/>
      <c r="CK10" s="2135"/>
      <c r="CL10" s="2135"/>
      <c r="CM10" s="2135"/>
      <c r="CN10" s="2135"/>
      <c r="CO10" s="2135"/>
      <c r="CP10" s="2135"/>
      <c r="CQ10" s="2135"/>
      <c r="CR10" s="2135"/>
      <c r="CS10" s="2135"/>
      <c r="CT10" s="2135"/>
      <c r="CU10" s="2135"/>
      <c r="CV10" s="2135"/>
      <c r="CW10" s="2135"/>
      <c r="CX10" s="2135"/>
      <c r="CY10" s="2135"/>
      <c r="CZ10" s="2135"/>
      <c r="DA10" s="2135"/>
      <c r="DB10" s="2135"/>
      <c r="DC10" s="2135"/>
      <c r="DD10" s="2135"/>
      <c r="DE10" s="2135"/>
      <c r="DF10" s="2135"/>
      <c r="DG10" s="2135"/>
      <c r="DH10" s="2135"/>
      <c r="DI10" s="2135"/>
      <c r="DJ10" s="2135"/>
      <c r="DK10" s="2135"/>
      <c r="DL10" s="2135"/>
      <c r="DM10" s="2135"/>
      <c r="DN10" s="2135"/>
      <c r="DO10" s="2135"/>
      <c r="DP10" s="2135"/>
      <c r="DQ10" s="2135"/>
      <c r="DR10" s="2135"/>
      <c r="DS10" s="2135"/>
      <c r="DT10" s="2135"/>
      <c r="DU10" s="2135"/>
      <c r="DV10" s="2135"/>
      <c r="DW10" s="2135"/>
      <c r="DX10" s="2135"/>
      <c r="DY10" s="2135"/>
      <c r="DZ10" s="2135"/>
      <c r="EA10" s="2135"/>
      <c r="EB10" s="2135"/>
      <c r="EC10" s="2135"/>
      <c r="ED10" s="2135"/>
      <c r="EE10" s="2107"/>
      <c r="EF10" s="2106"/>
      <c r="EG10" s="2106"/>
      <c r="EH10" s="2106"/>
      <c r="EI10" s="2106"/>
      <c r="EJ10" s="2106"/>
      <c r="EK10" s="2106"/>
      <c r="EL10" s="2106"/>
      <c r="EM10" s="2106"/>
      <c r="EN10" s="2106"/>
      <c r="EO10" s="1915"/>
      <c r="EP10" s="2223"/>
      <c r="EQ10" s="2224"/>
      <c r="ER10" s="2210"/>
      <c r="ES10" s="2224"/>
      <c r="ET10" s="2224"/>
      <c r="EU10" s="2224"/>
      <c r="EV10" s="2224"/>
      <c r="EW10" s="2224"/>
      <c r="EX10" s="2224"/>
      <c r="EY10" s="2224"/>
      <c r="EZ10" s="2224"/>
      <c r="FA10" s="2224"/>
      <c r="FC10" s="2225"/>
      <c r="FD10" s="2225"/>
      <c r="FE10" s="2225"/>
      <c r="FF10" s="2225"/>
      <c r="FG10" s="2225"/>
      <c r="FH10" s="2225"/>
      <c r="FI10" s="2225"/>
    </row>
    <row r="11" spans="1:166" ht="15" customHeight="1">
      <c r="A11" s="2220" t="s">
        <v>20</v>
      </c>
      <c r="B11" s="2145" t="s">
        <v>1647</v>
      </c>
      <c r="C11" s="2226"/>
      <c r="D11" s="2226"/>
      <c r="E11" s="2226"/>
      <c r="F11" s="2226"/>
      <c r="G11" s="2160"/>
      <c r="H11" s="2226"/>
      <c r="I11" s="2226"/>
      <c r="J11" s="2226"/>
      <c r="K11" s="2226"/>
      <c r="L11" s="2226"/>
      <c r="M11" s="2152"/>
      <c r="N11" s="2109"/>
      <c r="O11" s="2109"/>
      <c r="P11" s="2109"/>
      <c r="Q11" s="2109"/>
      <c r="R11" s="2109"/>
      <c r="S11" s="2109"/>
      <c r="T11" s="2109"/>
      <c r="U11" s="2109"/>
      <c r="V11" s="2109"/>
      <c r="W11" s="2109"/>
      <c r="X11" s="2109"/>
      <c r="Y11" s="2109"/>
      <c r="Z11" s="2109"/>
      <c r="AA11" s="2109"/>
      <c r="AB11" s="2135"/>
      <c r="AC11" s="2135"/>
      <c r="AD11" s="2135"/>
      <c r="AE11" s="2135"/>
      <c r="AF11" s="2135"/>
      <c r="AG11" s="2135"/>
      <c r="AH11" s="2135"/>
      <c r="AI11" s="2135"/>
      <c r="AJ11" s="2135"/>
      <c r="AK11" s="2135"/>
      <c r="AL11" s="2135"/>
      <c r="AM11" s="2135"/>
      <c r="AN11" s="2135"/>
      <c r="AO11" s="2135"/>
      <c r="AP11" s="2135"/>
      <c r="AQ11" s="2135"/>
      <c r="AR11" s="2135"/>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c r="CD11" s="2135"/>
      <c r="CE11" s="2135"/>
      <c r="CF11" s="2135"/>
      <c r="CG11" s="2135"/>
      <c r="CH11" s="2135"/>
      <c r="CI11" s="2135"/>
      <c r="CJ11" s="2135"/>
      <c r="CK11" s="2135"/>
      <c r="CL11" s="2135"/>
      <c r="CM11" s="2135"/>
      <c r="CN11" s="2135"/>
      <c r="CO11" s="2135"/>
      <c r="CP11" s="2135"/>
      <c r="CQ11" s="2135"/>
      <c r="CR11" s="2135"/>
      <c r="CS11" s="2135"/>
      <c r="CT11" s="2135"/>
      <c r="CU11" s="2135"/>
      <c r="CV11" s="2135"/>
      <c r="CW11" s="2135"/>
      <c r="CX11" s="2135"/>
      <c r="CY11" s="2135"/>
      <c r="CZ11" s="2135"/>
      <c r="DA11" s="2135"/>
      <c r="DB11" s="2135"/>
      <c r="DC11" s="2135"/>
      <c r="DD11" s="2135"/>
      <c r="DE11" s="2135"/>
      <c r="DF11" s="2135"/>
      <c r="DG11" s="2135"/>
      <c r="DH11" s="2135"/>
      <c r="DI11" s="2135"/>
      <c r="DJ11" s="2135"/>
      <c r="DK11" s="2135"/>
      <c r="DL11" s="2135"/>
      <c r="DM11" s="2135"/>
      <c r="DN11" s="2135"/>
      <c r="DO11" s="2135"/>
      <c r="DP11" s="2135"/>
      <c r="DQ11" s="2135"/>
      <c r="DR11" s="2135"/>
      <c r="DS11" s="2135"/>
      <c r="DT11" s="2135"/>
      <c r="DU11" s="2135"/>
      <c r="DV11" s="2135"/>
      <c r="DW11" s="2135"/>
      <c r="DX11" s="2135"/>
      <c r="DY11" s="2135"/>
      <c r="DZ11" s="2135"/>
      <c r="EA11" s="2135"/>
      <c r="EB11" s="2135"/>
      <c r="EC11" s="2135"/>
      <c r="ED11" s="2135"/>
      <c r="EE11" s="2107"/>
      <c r="EF11" s="2106"/>
      <c r="EG11" s="2106"/>
      <c r="EH11" s="2106"/>
      <c r="EI11" s="2106"/>
      <c r="EJ11" s="2106"/>
      <c r="EK11" s="2106"/>
      <c r="EL11" s="2106"/>
      <c r="EM11" s="2106"/>
      <c r="EN11" s="2106"/>
      <c r="EO11" s="1915"/>
      <c r="EP11" s="2223"/>
      <c r="EQ11" s="2224"/>
      <c r="ER11" s="2210"/>
      <c r="ES11" s="2224"/>
      <c r="ET11" s="2224"/>
      <c r="EU11" s="2224"/>
      <c r="EV11" s="2224"/>
      <c r="EW11" s="2224"/>
      <c r="EX11" s="2224"/>
      <c r="EY11" s="2224"/>
      <c r="EZ11" s="2224"/>
      <c r="FA11" s="2224"/>
      <c r="FC11" s="2225"/>
      <c r="FD11" s="2225"/>
      <c r="FE11" s="2225"/>
      <c r="FF11" s="2225"/>
      <c r="FG11" s="2225"/>
      <c r="FH11" s="2225"/>
      <c r="FI11" s="2225"/>
    </row>
    <row r="12" spans="1:166" ht="15" customHeight="1">
      <c r="A12" s="2220">
        <v>1</v>
      </c>
      <c r="B12" s="2227" t="s">
        <v>1648</v>
      </c>
      <c r="C12" s="2146">
        <v>630</v>
      </c>
      <c r="D12" s="2147">
        <v>1</v>
      </c>
      <c r="E12" s="2228"/>
      <c r="F12" s="2148">
        <v>0.71730588752889934</v>
      </c>
      <c r="G12" s="2146">
        <v>630</v>
      </c>
      <c r="H12" s="2149" t="s">
        <v>1649</v>
      </c>
      <c r="I12" s="2229">
        <v>2</v>
      </c>
      <c r="J12" s="2149">
        <v>3553.5516673129032</v>
      </c>
      <c r="K12" s="2148"/>
      <c r="L12" s="2151"/>
      <c r="M12" s="2152">
        <f>J12*(1-K12)*(1-L12)</f>
        <v>3553.5516673129032</v>
      </c>
      <c r="N12" s="2149">
        <v>276.53752459999993</v>
      </c>
      <c r="O12" s="2109">
        <f>IFERROR(P12/N12*10,0)</f>
        <v>0.81983620985229599</v>
      </c>
      <c r="P12" s="2109">
        <v>22.671547605000001</v>
      </c>
      <c r="Q12" s="2109">
        <v>2.0201077877992959</v>
      </c>
      <c r="R12" s="2109">
        <f>IFERROR(Q12*N12/10,0)</f>
        <v>55.863560706319923</v>
      </c>
      <c r="S12" s="2109"/>
      <c r="T12" s="2109"/>
      <c r="U12" s="2109"/>
      <c r="V12" s="2109">
        <f>IFERROR(W12/N12*10,0)</f>
        <v>2.8399439976515923</v>
      </c>
      <c r="W12" s="2109">
        <f>P12+R12</f>
        <v>78.535108311319931</v>
      </c>
      <c r="X12" s="2149">
        <v>321.93672459999993</v>
      </c>
      <c r="Y12" s="2109">
        <f>IFERROR(Z12/X12*10,0)</f>
        <v>0.70422371455660904</v>
      </c>
      <c r="Z12" s="2109">
        <v>22.671547605000001</v>
      </c>
      <c r="AA12" s="2109">
        <v>2.0201077877992959</v>
      </c>
      <c r="AB12" s="2109">
        <f>IFERROR(AA12*X12/10,0)</f>
        <v>65.034688454305709</v>
      </c>
      <c r="AC12" s="2135"/>
      <c r="AD12" s="2135"/>
      <c r="AE12" s="2135"/>
      <c r="AF12" s="2135">
        <f>IFERROR(AG12/X12*10,0)</f>
        <v>2.7243315023559052</v>
      </c>
      <c r="AG12" s="2135">
        <f>Z12+AB12</f>
        <v>87.706236059305709</v>
      </c>
      <c r="AH12" s="2149">
        <v>306.06573370000007</v>
      </c>
      <c r="AI12" s="2109">
        <f>IFERROR(AJ12/AH12*10,0)</f>
        <v>0.74074112547411897</v>
      </c>
      <c r="AJ12" s="2109">
        <v>22.671547605000001</v>
      </c>
      <c r="AK12" s="2109">
        <v>2.0201077877992959</v>
      </c>
      <c r="AL12" s="2109">
        <f>IFERROR(AK12*AH12/10,0)</f>
        <v>61.828577222587555</v>
      </c>
      <c r="AM12" s="2135"/>
      <c r="AN12" s="2135"/>
      <c r="AO12" s="2135"/>
      <c r="AP12" s="2135">
        <f>IFERROR(AQ12/AH12*10,0)</f>
        <v>2.7608489132734149</v>
      </c>
      <c r="AQ12" s="2135">
        <f t="shared" ref="AQ12:AQ25" si="0">AL12+AJ12</f>
        <v>84.500124827587555</v>
      </c>
      <c r="AR12" s="2149">
        <v>308.37813219999992</v>
      </c>
      <c r="AS12" s="2109">
        <f>IFERROR(AT12/AR12*10,0)</f>
        <v>0.73518661791155393</v>
      </c>
      <c r="AT12" s="2109">
        <v>22.671547605000001</v>
      </c>
      <c r="AU12" s="2109">
        <v>2.0201077877992959</v>
      </c>
      <c r="AV12" s="2109">
        <f>IFERROR(AU12*AR12/10,0)</f>
        <v>62.295706644422069</v>
      </c>
      <c r="AW12" s="2135"/>
      <c r="AX12" s="2135"/>
      <c r="AY12" s="2135"/>
      <c r="AZ12" s="2135">
        <f>IFERROR(BA12/AR12*10,0)</f>
        <v>2.7552944057108499</v>
      </c>
      <c r="BA12" s="2135">
        <f>AV12+AT12</f>
        <v>84.967254249422069</v>
      </c>
      <c r="BB12" s="2149">
        <v>268.88176549999997</v>
      </c>
      <c r="BC12" s="2109">
        <f>IFERROR(BD12/BB12*10,0)</f>
        <v>0.84317906656262276</v>
      </c>
      <c r="BD12" s="2109">
        <v>22.671547605000001</v>
      </c>
      <c r="BE12" s="2109">
        <v>2.0201077877992959</v>
      </c>
      <c r="BF12" s="2109">
        <f>IFERROR(BE12*BB12/10,0)</f>
        <v>54.317014848377404</v>
      </c>
      <c r="BG12" s="2135"/>
      <c r="BH12" s="2135"/>
      <c r="BI12" s="2135"/>
      <c r="BJ12" s="2135">
        <f>IFERROR(BK12/BB12*10,0)</f>
        <v>2.863286854361919</v>
      </c>
      <c r="BK12" s="2135">
        <f>BF12+BD12</f>
        <v>76.988562453377398</v>
      </c>
      <c r="BL12" s="2149">
        <v>264.99827961290322</v>
      </c>
      <c r="BM12" s="2109">
        <f>IFERROR(BN12/BL12*10,0)</f>
        <v>0.85553565246225416</v>
      </c>
      <c r="BN12" s="2109">
        <v>22.671547605000001</v>
      </c>
      <c r="BO12" s="2109">
        <v>2.0201077877992959</v>
      </c>
      <c r="BP12" s="2109">
        <f>IFERROR(BO12*BL12/10,0)</f>
        <v>53.532508839944114</v>
      </c>
      <c r="BQ12" s="2135"/>
      <c r="BR12" s="2135"/>
      <c r="BS12" s="2135"/>
      <c r="BT12" s="2135">
        <f>IFERROR(BU12/BL12*10,0)</f>
        <v>2.8756434402615501</v>
      </c>
      <c r="BU12" s="2135">
        <f>BP12+BN12</f>
        <v>76.204056444944115</v>
      </c>
      <c r="BV12" s="2149">
        <v>281.28380859999999</v>
      </c>
      <c r="BW12" s="2109">
        <f>IFERROR(BX12/BV12*10,0)</f>
        <v>0.80600258215502563</v>
      </c>
      <c r="BX12" s="2109">
        <v>22.671547605000001</v>
      </c>
      <c r="BY12" s="2109">
        <v>2.0201077877992959</v>
      </c>
      <c r="BZ12" s="2109">
        <f>IFERROR(BY12*BV12/10,0)</f>
        <v>56.822361233470659</v>
      </c>
      <c r="CA12" s="2135"/>
      <c r="CB12" s="2135"/>
      <c r="CC12" s="2135"/>
      <c r="CD12" s="2135">
        <f>IFERROR(CE12/BV12*10,0)</f>
        <v>2.8261103699543217</v>
      </c>
      <c r="CE12" s="2135">
        <f>BZ12+BX12</f>
        <v>79.493908838470659</v>
      </c>
      <c r="CF12" s="2149">
        <v>282.32680959999999</v>
      </c>
      <c r="CG12" s="2109">
        <f>IFERROR(CH12/CF12*10,0)</f>
        <v>0.80302496376879684</v>
      </c>
      <c r="CH12" s="2109">
        <v>22.671547605000001</v>
      </c>
      <c r="CI12" s="2109">
        <v>2.0201077877992959</v>
      </c>
      <c r="CJ12" s="2109">
        <f>IFERROR(CI12*CF12/10,0)</f>
        <v>57.033058677748897</v>
      </c>
      <c r="CK12" s="2135"/>
      <c r="CL12" s="2135"/>
      <c r="CM12" s="2135"/>
      <c r="CN12" s="2135">
        <f>IFERROR(CO12/CF12*10,0)</f>
        <v>2.8231327515680924</v>
      </c>
      <c r="CO12" s="2135">
        <f>CJ12+CH12</f>
        <v>79.704606282748898</v>
      </c>
      <c r="CP12" s="2149">
        <v>298.19127350000002</v>
      </c>
      <c r="CQ12" s="2109">
        <f>IFERROR(CR12/CP12*10,0)</f>
        <v>0.76030218251842974</v>
      </c>
      <c r="CR12" s="2109">
        <v>22.671547605000001</v>
      </c>
      <c r="CS12" s="2109">
        <v>2.0201077877992959</v>
      </c>
      <c r="CT12" s="2109">
        <f>IFERROR(CS12*CP12/10,0)</f>
        <v>60.237851385113984</v>
      </c>
      <c r="CU12" s="2135"/>
      <c r="CV12" s="2135"/>
      <c r="CW12" s="2135"/>
      <c r="CX12" s="2135">
        <f>IFERROR(CY12/CP12*10,0)</f>
        <v>2.7804099703177254</v>
      </c>
      <c r="CY12" s="2135">
        <f>CT12+CR12</f>
        <v>82.909398990113985</v>
      </c>
      <c r="CZ12" s="2149">
        <v>317.45923909999999</v>
      </c>
      <c r="DA12" s="2109">
        <f>IFERROR(DB12/CZ12*10,0)</f>
        <v>0.71415617542819221</v>
      </c>
      <c r="DB12" s="2109">
        <v>22.671547605000001</v>
      </c>
      <c r="DC12" s="2109">
        <v>2.0201077877992959</v>
      </c>
      <c r="DD12" s="2109">
        <f>IFERROR(DC12*CZ12/10,0)</f>
        <v>64.130188121474873</v>
      </c>
      <c r="DE12" s="2135"/>
      <c r="DF12" s="2135"/>
      <c r="DG12" s="2135"/>
      <c r="DH12" s="2135">
        <f>IFERROR(DI12/CZ12*10,0)</f>
        <v>2.7342639632274879</v>
      </c>
      <c r="DI12" s="2135">
        <f>DD12+DB12</f>
        <v>86.801735726474874</v>
      </c>
      <c r="DJ12" s="2149">
        <v>279.45356410000005</v>
      </c>
      <c r="DK12" s="2109">
        <f>IFERROR(DL12/DJ12*10,0)</f>
        <v>0.81128139045266157</v>
      </c>
      <c r="DL12" s="2109">
        <v>22.671547605000001</v>
      </c>
      <c r="DM12" s="2109">
        <v>2.0201077877992959</v>
      </c>
      <c r="DN12" s="2109">
        <f>IFERROR(DM12*DJ12/10,0)</f>
        <v>56.452632116667985</v>
      </c>
      <c r="DO12" s="2135"/>
      <c r="DP12" s="2135"/>
      <c r="DQ12" s="2135"/>
      <c r="DR12" s="2135">
        <f>IFERROR(DS12/DJ12*10,0)</f>
        <v>2.8313891782519574</v>
      </c>
      <c r="DS12" s="2135">
        <f>DN12+DL12</f>
        <v>79.124179721667986</v>
      </c>
      <c r="DT12" s="2149">
        <v>348.03881219999988</v>
      </c>
      <c r="DU12" s="2109">
        <f>IFERROR(DV12/DT12*10,0)</f>
        <v>0.65140860186512284</v>
      </c>
      <c r="DV12" s="2109">
        <v>22.671547605000001</v>
      </c>
      <c r="DW12" s="2109">
        <v>2.0201077877992959</v>
      </c>
      <c r="DX12" s="2109">
        <f>IFERROR(DW12*DT12/10,0)</f>
        <v>70.307591498163646</v>
      </c>
      <c r="DY12" s="2135"/>
      <c r="DZ12" s="2135"/>
      <c r="EA12" s="2135"/>
      <c r="EB12" s="2135">
        <f>IFERROR(EC12/DT12*10,0)</f>
        <v>2.671516389664419</v>
      </c>
      <c r="EC12" s="2135">
        <f>DX12+DV12</f>
        <v>92.979139103163646</v>
      </c>
      <c r="ED12" s="2135"/>
      <c r="EE12" s="2106">
        <f>SUM(N12,X12,AH12,AR12,BB12,BL12,BV12,CF12,CP12,CZ12,DJ12,DT12)</f>
        <v>3553.5516673129032</v>
      </c>
      <c r="EF12" s="2106">
        <f>IFERROR((EG12/EE12)*10,0)</f>
        <v>0.76559621677239631</v>
      </c>
      <c r="EG12" s="2106">
        <f>SUM(P12,Z12,AJ12,AT12,BD12,BN12,BX12,CR12,CH12,DB12,DL12,DV12)</f>
        <v>272.05857126000001</v>
      </c>
      <c r="EH12" s="2106">
        <f>IFERROR((EI12/EE12)*10,0)</f>
        <v>2.0201077877992955</v>
      </c>
      <c r="EI12" s="2106">
        <f>SUM(R12,AB12,AL12,AV12,BF12,BP12,BZ12,CJ12,CT12,DD12,DN12,DX12)</f>
        <v>717.85573974859676</v>
      </c>
      <c r="EJ12" s="2106"/>
      <c r="EK12" s="2106"/>
      <c r="EL12" s="2106"/>
      <c r="EM12" s="2106">
        <f t="shared" ref="EM12:EM18" si="1">IFERROR(EN12/EE12*10,0)</f>
        <v>2.7857040045716919</v>
      </c>
      <c r="EN12" s="2106">
        <f t="shared" ref="EN12:EN26" si="2">EG12+EI12</f>
        <v>989.91431100859677</v>
      </c>
      <c r="EO12" s="2106">
        <f>EN12/J12*10</f>
        <v>2.7857040045716919</v>
      </c>
      <c r="EP12" s="2114">
        <f>EN12/M12*10</f>
        <v>2.7857040045716919</v>
      </c>
      <c r="ES12" s="2209" t="s">
        <v>1648</v>
      </c>
      <c r="ET12" s="2230"/>
      <c r="EU12" s="2230"/>
      <c r="EV12" s="2230"/>
      <c r="EX12" s="2224"/>
      <c r="EY12" s="2224"/>
      <c r="EZ12" s="2224"/>
      <c r="FA12" s="2224"/>
      <c r="FC12" s="2225"/>
      <c r="FD12" s="2225"/>
      <c r="FE12" s="2225"/>
      <c r="FF12" s="2225"/>
      <c r="FG12" s="2225"/>
      <c r="FH12" s="2225"/>
      <c r="FI12" s="2225"/>
    </row>
    <row r="13" spans="1:166" ht="15" customHeight="1">
      <c r="A13" s="2220">
        <v>2</v>
      </c>
      <c r="B13" s="2227" t="s">
        <v>1650</v>
      </c>
      <c r="C13" s="2146">
        <v>1000</v>
      </c>
      <c r="D13" s="2147">
        <v>1</v>
      </c>
      <c r="E13" s="2228"/>
      <c r="F13" s="2148">
        <v>0.8307412170881735</v>
      </c>
      <c r="G13" s="2146">
        <v>1000</v>
      </c>
      <c r="H13" s="2149" t="s">
        <v>1649</v>
      </c>
      <c r="I13" s="2229">
        <v>2</v>
      </c>
      <c r="J13" s="2149">
        <v>6730.0913202161291</v>
      </c>
      <c r="K13" s="2148"/>
      <c r="L13" s="2151"/>
      <c r="M13" s="2152">
        <f t="shared" ref="M13:M25" si="3">J13*(1-K13)*(1-L13)</f>
        <v>6730.0913202161291</v>
      </c>
      <c r="N13" s="2149">
        <v>587.63225220000004</v>
      </c>
      <c r="O13" s="2109">
        <f>IFERROR(P13/N13*10,0)</f>
        <v>0.48136355539497733</v>
      </c>
      <c r="P13" s="2109">
        <v>28.286475018375</v>
      </c>
      <c r="Q13" s="2109">
        <v>1.8441069090192235</v>
      </c>
      <c r="R13" s="2109">
        <f t="shared" ref="R13:R76" si="4">IFERROR(Q13*N13/10,0)</f>
        <v>108.36566962445468</v>
      </c>
      <c r="S13" s="2109"/>
      <c r="T13" s="2109"/>
      <c r="U13" s="2109"/>
      <c r="V13" s="2109">
        <f>IFERROR(W13/N13*10,0)</f>
        <v>2.3254704644142006</v>
      </c>
      <c r="W13" s="2109">
        <f>P13+R13</f>
        <v>136.65214464282968</v>
      </c>
      <c r="X13" s="2149">
        <v>604.70137560000001</v>
      </c>
      <c r="Y13" s="2109">
        <f>IFERROR(Z13/X13*10,0)</f>
        <v>0.46777593304312304</v>
      </c>
      <c r="Z13" s="2109">
        <v>28.286475018375</v>
      </c>
      <c r="AA13" s="2109">
        <v>1.8441069090192235</v>
      </c>
      <c r="AB13" s="2109">
        <f t="shared" ref="AB13:AB76" si="5">IFERROR(AA13*X13/10,0)</f>
        <v>111.51339846373885</v>
      </c>
      <c r="AC13" s="2135"/>
      <c r="AD13" s="2135"/>
      <c r="AE13" s="2135"/>
      <c r="AF13" s="2135">
        <f>IFERROR(AG13/X13*10,0)</f>
        <v>2.3118828420623467</v>
      </c>
      <c r="AG13" s="2135">
        <f>Z13+AB13</f>
        <v>139.79987348211387</v>
      </c>
      <c r="AH13" s="2149">
        <v>524.18139670000005</v>
      </c>
      <c r="AI13" s="2109">
        <f>IFERROR(AJ13/AH13*10,0)</f>
        <v>0.539631417605687</v>
      </c>
      <c r="AJ13" s="2109">
        <v>28.286475018375</v>
      </c>
      <c r="AK13" s="2109">
        <v>1.8441069090192235</v>
      </c>
      <c r="AL13" s="2109">
        <f t="shared" ref="AL13:AL76" si="6">IFERROR(AK13*AH13/10,0)</f>
        <v>96.664653523381645</v>
      </c>
      <c r="AM13" s="2135"/>
      <c r="AN13" s="2135"/>
      <c r="AO13" s="2135"/>
      <c r="AP13" s="2135">
        <f>IFERROR(AQ13/AH13*10,0)</f>
        <v>2.3837383266249104</v>
      </c>
      <c r="AQ13" s="2135">
        <f t="shared" si="0"/>
        <v>124.95112854175665</v>
      </c>
      <c r="AR13" s="2149">
        <v>506.33288099999999</v>
      </c>
      <c r="AS13" s="2109">
        <f>IFERROR(AT13/AR13*10,0)</f>
        <v>0.55865372524315682</v>
      </c>
      <c r="AT13" s="2109">
        <v>28.286475018375</v>
      </c>
      <c r="AU13" s="2109">
        <v>1.8441069090192235</v>
      </c>
      <c r="AV13" s="2109">
        <f t="shared" ref="AV13:AV76" si="7">IFERROR(AU13*AR13/10,0)</f>
        <v>93.373196411570831</v>
      </c>
      <c r="AW13" s="2135"/>
      <c r="AX13" s="2135"/>
      <c r="AY13" s="2135"/>
      <c r="AZ13" s="2135">
        <f>IFERROR(BA13/AR13*10,0)</f>
        <v>2.4027606342623802</v>
      </c>
      <c r="BA13" s="2135">
        <f>AV13+AT13</f>
        <v>121.65967142994583</v>
      </c>
      <c r="BB13" s="2149">
        <v>532.63328680000006</v>
      </c>
      <c r="BC13" s="2109">
        <f>IFERROR(BD13/BB13*10,0)</f>
        <v>0.53106848031066378</v>
      </c>
      <c r="BD13" s="2109">
        <v>28.286475018375</v>
      </c>
      <c r="BE13" s="2109">
        <v>1.8441069090192235</v>
      </c>
      <c r="BF13" s="2109">
        <f t="shared" ref="BF13:BF76" si="8">IFERROR(BE13*BB13/10,0)</f>
        <v>98.223272416149769</v>
      </c>
      <c r="BG13" s="2135"/>
      <c r="BH13" s="2135"/>
      <c r="BI13" s="2135"/>
      <c r="BJ13" s="2135">
        <f>IFERROR(BK13/BB13*10,0)</f>
        <v>2.3751753893298875</v>
      </c>
      <c r="BK13" s="2135">
        <f>BF13+BD13</f>
        <v>126.50974743452477</v>
      </c>
      <c r="BL13" s="2149">
        <v>553.16178251612905</v>
      </c>
      <c r="BM13" s="2109">
        <f>IFERROR(BN13/BL13*10,0)</f>
        <v>0.51135989347836452</v>
      </c>
      <c r="BN13" s="2109">
        <v>28.286475018375</v>
      </c>
      <c r="BO13" s="2109">
        <v>1.8441069090192235</v>
      </c>
      <c r="BP13" s="2109">
        <f t="shared" ref="BP13:BP76" si="9">IFERROR(BO13*BL13/10,0)</f>
        <v>102.00894649433828</v>
      </c>
      <c r="BQ13" s="2135"/>
      <c r="BR13" s="2135"/>
      <c r="BS13" s="2135"/>
      <c r="BT13" s="2135">
        <f>IFERROR(BU13/BL13*10,0)</f>
        <v>2.3554668024975882</v>
      </c>
      <c r="BU13" s="2135">
        <f>BP13+BN13</f>
        <v>130.29542151271329</v>
      </c>
      <c r="BV13" s="2149">
        <v>599.24050320000003</v>
      </c>
      <c r="BW13" s="2109">
        <f>IFERROR(BX13/BV13*10,0)</f>
        <v>0.47203877019865303</v>
      </c>
      <c r="BX13" s="2109">
        <v>28.286475018375</v>
      </c>
      <c r="BY13" s="2109">
        <v>1.8441069090192235</v>
      </c>
      <c r="BZ13" s="2109">
        <f t="shared" ref="BZ13:BZ76" si="10">IFERROR(BY13*BV13/10,0)</f>
        <v>110.50635521152762</v>
      </c>
      <c r="CA13" s="2135"/>
      <c r="CB13" s="2135"/>
      <c r="CC13" s="2135"/>
      <c r="CD13" s="2135">
        <f>IFERROR(CE13/BV13*10,0)</f>
        <v>2.3161456792178767</v>
      </c>
      <c r="CE13" s="2135">
        <f>BZ13+BX13</f>
        <v>138.79283022990262</v>
      </c>
      <c r="CF13" s="2149">
        <v>531.12601349999989</v>
      </c>
      <c r="CG13" s="2109">
        <f>IFERROR(CH13/CF13*10,0)</f>
        <v>0.5325755903382241</v>
      </c>
      <c r="CH13" s="2109">
        <v>28.286475018375</v>
      </c>
      <c r="CI13" s="2109">
        <v>1.8441069090192235</v>
      </c>
      <c r="CJ13" s="2109">
        <f t="shared" ref="CJ13:CJ76" si="11">IFERROR(CI13*CF13/10,0)</f>
        <v>97.945315105518716</v>
      </c>
      <c r="CK13" s="2135"/>
      <c r="CL13" s="2135"/>
      <c r="CM13" s="2135"/>
      <c r="CN13" s="2135">
        <f>IFERROR(CO13/CF13*10,0)</f>
        <v>2.3766824993574476</v>
      </c>
      <c r="CO13" s="2135">
        <f>CJ13+CH13</f>
        <v>126.23179012389372</v>
      </c>
      <c r="CP13" s="2149">
        <v>536.53616269999986</v>
      </c>
      <c r="CQ13" s="2109">
        <f>IFERROR(CR13/CP13*10,0)</f>
        <v>0.52720537747222029</v>
      </c>
      <c r="CR13" s="2109">
        <v>28.286475018375</v>
      </c>
      <c r="CS13" s="2109">
        <v>1.8441069090192235</v>
      </c>
      <c r="CT13" s="2109">
        <f t="shared" ref="CT13:CT76" si="12">IFERROR(CS13*CP13/10,0)</f>
        <v>98.943004457373192</v>
      </c>
      <c r="CU13" s="2135"/>
      <c r="CV13" s="2135"/>
      <c r="CW13" s="2135"/>
      <c r="CX13" s="2135">
        <f>IFERROR(CY13/CP13*10,0)</f>
        <v>2.3713122864914435</v>
      </c>
      <c r="CY13" s="2135">
        <f>CT13+CR13</f>
        <v>127.22947947574819</v>
      </c>
      <c r="CZ13" s="2149">
        <v>587.7901081</v>
      </c>
      <c r="DA13" s="2109">
        <f>IFERROR(DB13/CZ13*10,0)</f>
        <v>0.48123428122683987</v>
      </c>
      <c r="DB13" s="2109">
        <v>28.286475018375</v>
      </c>
      <c r="DC13" s="2109">
        <v>1.8441069090192235</v>
      </c>
      <c r="DD13" s="2109">
        <f t="shared" ref="DD13:DD76" si="13">IFERROR(DC13*CZ13/10,0)</f>
        <v>108.39477994003661</v>
      </c>
      <c r="DE13" s="2135"/>
      <c r="DF13" s="2135"/>
      <c r="DG13" s="2135"/>
      <c r="DH13" s="2135">
        <f>IFERROR(DI13/CZ13*10,0)</f>
        <v>2.3253411902460632</v>
      </c>
      <c r="DI13" s="2135">
        <f>DD13+DB13</f>
        <v>136.68125495841161</v>
      </c>
      <c r="DJ13" s="2149">
        <v>565.71483620000004</v>
      </c>
      <c r="DK13" s="2109">
        <f>IFERROR(DL13/DJ13*10,0)</f>
        <v>0.50001296074149171</v>
      </c>
      <c r="DL13" s="2109">
        <v>28.286475018375</v>
      </c>
      <c r="DM13" s="2109">
        <v>1.8441069090192235</v>
      </c>
      <c r="DN13" s="2109">
        <f t="shared" ref="DN13:DN76" si="14">IFERROR(DM13*DJ13/10,0)</f>
        <v>104.32386379710984</v>
      </c>
      <c r="DO13" s="2135"/>
      <c r="DP13" s="2135"/>
      <c r="DQ13" s="2135"/>
      <c r="DR13" s="2135">
        <f>IFERROR(DS13/DJ13*10,0)</f>
        <v>2.3441198697607155</v>
      </c>
      <c r="DS13" s="2135">
        <f>DN13+DL13</f>
        <v>132.61033881548485</v>
      </c>
      <c r="DT13" s="2149">
        <v>601.04072169999995</v>
      </c>
      <c r="DU13" s="2109">
        <f>IFERROR(DV13/DT13*10,0)</f>
        <v>0.47062493433670793</v>
      </c>
      <c r="DV13" s="2109">
        <v>28.286475018375</v>
      </c>
      <c r="DW13" s="2109">
        <v>1.8441069090192235</v>
      </c>
      <c r="DX13" s="2109">
        <f t="shared" ref="DX13:DX76" si="15">IFERROR(DW13*DT13/10,0)</f>
        <v>110.83833474888702</v>
      </c>
      <c r="DY13" s="2135"/>
      <c r="DZ13" s="2135"/>
      <c r="EA13" s="2135"/>
      <c r="EB13" s="2135">
        <f>IFERROR(EC13/DT13*10,0)</f>
        <v>2.3147318433559319</v>
      </c>
      <c r="EC13" s="2135">
        <f>DX13+DV13</f>
        <v>139.12480976726204</v>
      </c>
      <c r="ED13" s="2135"/>
      <c r="EE13" s="2106">
        <f>SUM(N13,X13,AH13,AR13,BB13,BL13,BV13,CF13,CP13,CZ13,DJ13,DT13)</f>
        <v>6730.0913202161291</v>
      </c>
      <c r="EF13" s="2106">
        <f>IFERROR((EG13/EE13)*10,0)</f>
        <v>0.50435823835091642</v>
      </c>
      <c r="EG13" s="2106">
        <f>SUM(P13,Z13,AJ13,AT13,BD13,BN13,BX13,CR13,CH13,DB13,DL13,DV13)</f>
        <v>339.43770022050001</v>
      </c>
      <c r="EH13" s="2106">
        <f>IFERROR((EI13/EE13)*10,0)</f>
        <v>1.8441069090192233</v>
      </c>
      <c r="EI13" s="2106">
        <f>SUM(R13,AB13,AL13,AV13,BF13,BP13,BZ13,CJ13,CT13,DD13,DN13,DX13)</f>
        <v>1241.100790194087</v>
      </c>
      <c r="EJ13" s="2106"/>
      <c r="EK13" s="2106"/>
      <c r="EL13" s="2106"/>
      <c r="EM13" s="2106">
        <f t="shared" si="1"/>
        <v>2.3484651473701397</v>
      </c>
      <c r="EN13" s="2106">
        <f t="shared" si="2"/>
        <v>1580.5384904145872</v>
      </c>
      <c r="EO13" s="2106">
        <f t="shared" ref="EO13:EO27" si="16">EN13/J13*10</f>
        <v>2.3484651473701397</v>
      </c>
      <c r="EP13" s="2114">
        <f t="shared" ref="EP13:EP27" si="17">EN13/M13*10</f>
        <v>2.3484651473701397</v>
      </c>
      <c r="EQ13" s="2224"/>
      <c r="ER13" s="2210"/>
      <c r="ES13" s="2209" t="s">
        <v>1650</v>
      </c>
      <c r="ET13" s="2224"/>
      <c r="EU13" s="2230"/>
      <c r="EV13" s="2224"/>
      <c r="EW13" s="2224"/>
      <c r="EX13" s="2224"/>
      <c r="EY13" s="2224"/>
      <c r="EZ13" s="2224"/>
      <c r="FA13" s="2224"/>
      <c r="FC13" s="2225"/>
      <c r="FD13" s="2225"/>
      <c r="FE13" s="2225"/>
      <c r="FF13" s="2225"/>
      <c r="FG13" s="2225"/>
      <c r="FH13" s="2225"/>
      <c r="FI13" s="2225"/>
    </row>
    <row r="14" spans="1:166" ht="15" customHeight="1">
      <c r="A14" s="2220">
        <v>3</v>
      </c>
      <c r="B14" s="2227" t="s">
        <v>1651</v>
      </c>
      <c r="C14" s="2146">
        <v>660</v>
      </c>
      <c r="D14" s="2147">
        <v>1</v>
      </c>
      <c r="E14" s="2228"/>
      <c r="F14" s="2148">
        <v>8.3721908300447734E-2</v>
      </c>
      <c r="G14" s="2146">
        <v>660</v>
      </c>
      <c r="H14" s="2149" t="s">
        <v>1649</v>
      </c>
      <c r="I14" s="2229">
        <v>2</v>
      </c>
      <c r="J14" s="2149">
        <v>0</v>
      </c>
      <c r="K14" s="2148"/>
      <c r="L14" s="2151"/>
      <c r="M14" s="2152"/>
      <c r="N14" s="2149">
        <v>0</v>
      </c>
      <c r="O14" s="2109"/>
      <c r="P14" s="2109">
        <v>0</v>
      </c>
      <c r="Q14" s="2109">
        <v>0</v>
      </c>
      <c r="R14" s="2109">
        <f t="shared" si="4"/>
        <v>0</v>
      </c>
      <c r="S14" s="2109"/>
      <c r="T14" s="2109"/>
      <c r="U14" s="2109"/>
      <c r="V14" s="2109"/>
      <c r="W14" s="2109">
        <f t="shared" ref="W14:W25" si="18">P14+R14</f>
        <v>0</v>
      </c>
      <c r="X14" s="2149">
        <v>0</v>
      </c>
      <c r="Y14" s="2109"/>
      <c r="Z14" s="2109">
        <v>0</v>
      </c>
      <c r="AA14" s="2109">
        <v>0</v>
      </c>
      <c r="AB14" s="2109">
        <f t="shared" si="5"/>
        <v>0</v>
      </c>
      <c r="AC14" s="2135"/>
      <c r="AD14" s="2135"/>
      <c r="AE14" s="2135"/>
      <c r="AF14" s="2135"/>
      <c r="AG14" s="2135">
        <f>Z14+AB14</f>
        <v>0</v>
      </c>
      <c r="AH14" s="2149">
        <v>0</v>
      </c>
      <c r="AI14" s="2109"/>
      <c r="AJ14" s="2109">
        <v>0</v>
      </c>
      <c r="AK14" s="2109">
        <v>0</v>
      </c>
      <c r="AL14" s="2109">
        <f t="shared" si="6"/>
        <v>0</v>
      </c>
      <c r="AM14" s="2135"/>
      <c r="AN14" s="2135"/>
      <c r="AO14" s="2135"/>
      <c r="AP14" s="2135"/>
      <c r="AQ14" s="2135">
        <f t="shared" si="0"/>
        <v>0</v>
      </c>
      <c r="AR14" s="2149">
        <v>0</v>
      </c>
      <c r="AS14" s="2109"/>
      <c r="AT14" s="2109">
        <v>0</v>
      </c>
      <c r="AU14" s="2109">
        <v>0</v>
      </c>
      <c r="AV14" s="2109">
        <f t="shared" si="7"/>
        <v>0</v>
      </c>
      <c r="AW14" s="2135"/>
      <c r="AX14" s="2135"/>
      <c r="AY14" s="2135"/>
      <c r="AZ14" s="2135"/>
      <c r="BA14" s="2135"/>
      <c r="BB14" s="2149">
        <v>0</v>
      </c>
      <c r="BC14" s="2109"/>
      <c r="BD14" s="2109">
        <v>0</v>
      </c>
      <c r="BE14" s="2109">
        <v>0</v>
      </c>
      <c r="BF14" s="2109">
        <f t="shared" si="8"/>
        <v>0</v>
      </c>
      <c r="BG14" s="2135"/>
      <c r="BH14" s="2135"/>
      <c r="BI14" s="2135"/>
      <c r="BJ14" s="2135"/>
      <c r="BK14" s="2135"/>
      <c r="BL14" s="2149">
        <v>0</v>
      </c>
      <c r="BM14" s="2109"/>
      <c r="BN14" s="2109">
        <v>0</v>
      </c>
      <c r="BO14" s="2109">
        <v>0</v>
      </c>
      <c r="BP14" s="2109">
        <f t="shared" si="9"/>
        <v>0</v>
      </c>
      <c r="BQ14" s="2135"/>
      <c r="BR14" s="2135"/>
      <c r="BS14" s="2135"/>
      <c r="BT14" s="2135"/>
      <c r="BU14" s="2135"/>
      <c r="BV14" s="2149">
        <v>0</v>
      </c>
      <c r="BW14" s="2109"/>
      <c r="BX14" s="2109">
        <v>0</v>
      </c>
      <c r="BY14" s="2109">
        <v>0</v>
      </c>
      <c r="BZ14" s="2109">
        <f t="shared" si="10"/>
        <v>0</v>
      </c>
      <c r="CA14" s="2135"/>
      <c r="CB14" s="2135"/>
      <c r="CC14" s="2135"/>
      <c r="CD14" s="2135"/>
      <c r="CE14" s="2135"/>
      <c r="CF14" s="2149">
        <v>0</v>
      </c>
      <c r="CG14" s="2109"/>
      <c r="CH14" s="2109">
        <v>0</v>
      </c>
      <c r="CI14" s="2109">
        <v>0</v>
      </c>
      <c r="CJ14" s="2109">
        <f t="shared" si="11"/>
        <v>0</v>
      </c>
      <c r="CK14" s="2135"/>
      <c r="CL14" s="2135"/>
      <c r="CM14" s="2135"/>
      <c r="CN14" s="2135"/>
      <c r="CO14" s="2135"/>
      <c r="CP14" s="2149">
        <v>0</v>
      </c>
      <c r="CQ14" s="2109"/>
      <c r="CR14" s="2109">
        <v>0</v>
      </c>
      <c r="CS14" s="2109">
        <v>0</v>
      </c>
      <c r="CT14" s="2109">
        <f t="shared" si="12"/>
        <v>0</v>
      </c>
      <c r="CU14" s="2135"/>
      <c r="CV14" s="2135"/>
      <c r="CW14" s="2135"/>
      <c r="CX14" s="2135"/>
      <c r="CY14" s="2135"/>
      <c r="CZ14" s="2149">
        <v>0</v>
      </c>
      <c r="DA14" s="2109"/>
      <c r="DB14" s="2109">
        <v>0</v>
      </c>
      <c r="DC14" s="2109">
        <v>0</v>
      </c>
      <c r="DD14" s="2109">
        <f t="shared" si="13"/>
        <v>0</v>
      </c>
      <c r="DE14" s="2135"/>
      <c r="DF14" s="2135"/>
      <c r="DG14" s="2135"/>
      <c r="DH14" s="2135"/>
      <c r="DI14" s="2135"/>
      <c r="DJ14" s="2149">
        <v>0</v>
      </c>
      <c r="DK14" s="2109"/>
      <c r="DL14" s="2109">
        <v>0</v>
      </c>
      <c r="DM14" s="2109">
        <v>0</v>
      </c>
      <c r="DN14" s="2109">
        <f t="shared" si="14"/>
        <v>0</v>
      </c>
      <c r="DO14" s="2135"/>
      <c r="DP14" s="2135"/>
      <c r="DQ14" s="2135"/>
      <c r="DR14" s="2135"/>
      <c r="DS14" s="2135"/>
      <c r="DT14" s="2149">
        <v>0</v>
      </c>
      <c r="DU14" s="2109"/>
      <c r="DV14" s="2109">
        <v>0</v>
      </c>
      <c r="DW14" s="2109">
        <v>0</v>
      </c>
      <c r="DX14" s="2109">
        <f t="shared" si="15"/>
        <v>0</v>
      </c>
      <c r="DY14" s="2135"/>
      <c r="DZ14" s="2135"/>
      <c r="EA14" s="2135"/>
      <c r="EB14" s="2135"/>
      <c r="EC14" s="2135"/>
      <c r="ED14" s="2135"/>
      <c r="EE14" s="2106"/>
      <c r="EF14" s="2106"/>
      <c r="EG14" s="2106">
        <f t="shared" ref="EG14:EG25" si="19">SUM(P14,Z14,AJ14,AT14,BD14,BN14,BX14,CR14,CH14,DB14,DL14,DV14)</f>
        <v>0</v>
      </c>
      <c r="EH14" s="2106"/>
      <c r="EI14" s="2106"/>
      <c r="EJ14" s="2106"/>
      <c r="EK14" s="2106"/>
      <c r="EL14" s="2106"/>
      <c r="EM14" s="2106">
        <f t="shared" si="1"/>
        <v>0</v>
      </c>
      <c r="EN14" s="2106">
        <f t="shared" si="2"/>
        <v>0</v>
      </c>
      <c r="EO14" s="2106" t="e">
        <f t="shared" si="16"/>
        <v>#DIV/0!</v>
      </c>
      <c r="EP14" s="2114" t="e">
        <f t="shared" si="17"/>
        <v>#DIV/0!</v>
      </c>
      <c r="EQ14" s="2224"/>
      <c r="ER14" s="2210"/>
      <c r="ES14" s="2209" t="e">
        <v>#N/A</v>
      </c>
      <c r="ET14" s="2224"/>
      <c r="EU14" s="2230"/>
      <c r="EV14" s="2224"/>
      <c r="EW14" s="2224"/>
      <c r="EX14" s="2224"/>
      <c r="EY14" s="2224"/>
      <c r="EZ14" s="2224"/>
      <c r="FA14" s="2224"/>
      <c r="FC14" s="2225"/>
      <c r="FD14" s="2225"/>
      <c r="FE14" s="2225"/>
      <c r="FF14" s="2225"/>
      <c r="FG14" s="2225"/>
      <c r="FH14" s="2225"/>
      <c r="FI14" s="2225"/>
    </row>
    <row r="15" spans="1:166" ht="15" customHeight="1">
      <c r="A15" s="2220">
        <v>4</v>
      </c>
      <c r="B15" s="2227" t="s">
        <v>1652</v>
      </c>
      <c r="C15" s="2146">
        <v>220</v>
      </c>
      <c r="D15" s="2147">
        <v>1</v>
      </c>
      <c r="E15" s="2228"/>
      <c r="F15" s="2148">
        <v>0.30584951113105019</v>
      </c>
      <c r="G15" s="2146">
        <v>0</v>
      </c>
      <c r="H15" s="2149" t="s">
        <v>1649</v>
      </c>
      <c r="I15" s="2229">
        <v>2</v>
      </c>
      <c r="J15" s="2149">
        <v>0</v>
      </c>
      <c r="K15" s="2148"/>
      <c r="L15" s="2151"/>
      <c r="M15" s="2152"/>
      <c r="N15" s="2149">
        <v>0</v>
      </c>
      <c r="O15" s="2109"/>
      <c r="P15" s="2109">
        <v>0</v>
      </c>
      <c r="Q15" s="2109">
        <v>0</v>
      </c>
      <c r="R15" s="2109">
        <f t="shared" si="4"/>
        <v>0</v>
      </c>
      <c r="S15" s="2109"/>
      <c r="T15" s="2109"/>
      <c r="U15" s="2109"/>
      <c r="V15" s="2109"/>
      <c r="W15" s="2109">
        <f t="shared" si="18"/>
        <v>0</v>
      </c>
      <c r="X15" s="2149">
        <v>0</v>
      </c>
      <c r="Y15" s="2109"/>
      <c r="Z15" s="2109">
        <v>0</v>
      </c>
      <c r="AA15" s="2109">
        <v>0</v>
      </c>
      <c r="AB15" s="2109">
        <f t="shared" si="5"/>
        <v>0</v>
      </c>
      <c r="AC15" s="2135"/>
      <c r="AD15" s="2135"/>
      <c r="AE15" s="2135"/>
      <c r="AF15" s="2135"/>
      <c r="AG15" s="2135">
        <f>Z15+AB15</f>
        <v>0</v>
      </c>
      <c r="AH15" s="2149">
        <v>0</v>
      </c>
      <c r="AI15" s="2109"/>
      <c r="AJ15" s="2109">
        <v>0</v>
      </c>
      <c r="AK15" s="2109">
        <v>0</v>
      </c>
      <c r="AL15" s="2109">
        <f t="shared" si="6"/>
        <v>0</v>
      </c>
      <c r="AM15" s="2135"/>
      <c r="AN15" s="2135"/>
      <c r="AO15" s="2135"/>
      <c r="AP15" s="2135"/>
      <c r="AQ15" s="2135">
        <f t="shared" si="0"/>
        <v>0</v>
      </c>
      <c r="AR15" s="2149">
        <v>0</v>
      </c>
      <c r="AS15" s="2109"/>
      <c r="AT15" s="2109">
        <v>0</v>
      </c>
      <c r="AU15" s="2109">
        <v>0</v>
      </c>
      <c r="AV15" s="2109">
        <f t="shared" si="7"/>
        <v>0</v>
      </c>
      <c r="AW15" s="2135"/>
      <c r="AX15" s="2135"/>
      <c r="AY15" s="2135"/>
      <c r="AZ15" s="2135"/>
      <c r="BA15" s="2135"/>
      <c r="BB15" s="2149">
        <v>0</v>
      </c>
      <c r="BC15" s="2109"/>
      <c r="BD15" s="2109">
        <v>0</v>
      </c>
      <c r="BE15" s="2109">
        <v>0</v>
      </c>
      <c r="BF15" s="2109">
        <f t="shared" si="8"/>
        <v>0</v>
      </c>
      <c r="BG15" s="2135"/>
      <c r="BH15" s="2135"/>
      <c r="BI15" s="2135"/>
      <c r="BJ15" s="2135"/>
      <c r="BK15" s="2135"/>
      <c r="BL15" s="2149">
        <v>0</v>
      </c>
      <c r="BM15" s="2109"/>
      <c r="BN15" s="2109">
        <v>0</v>
      </c>
      <c r="BO15" s="2109">
        <v>0</v>
      </c>
      <c r="BP15" s="2109">
        <f t="shared" si="9"/>
        <v>0</v>
      </c>
      <c r="BQ15" s="2135"/>
      <c r="BR15" s="2135"/>
      <c r="BS15" s="2135"/>
      <c r="BT15" s="2135"/>
      <c r="BU15" s="2135"/>
      <c r="BV15" s="2149">
        <v>0</v>
      </c>
      <c r="BW15" s="2109"/>
      <c r="BX15" s="2109">
        <v>0</v>
      </c>
      <c r="BY15" s="2109">
        <v>0</v>
      </c>
      <c r="BZ15" s="2109">
        <f t="shared" si="10"/>
        <v>0</v>
      </c>
      <c r="CA15" s="2135"/>
      <c r="CB15" s="2135"/>
      <c r="CC15" s="2135"/>
      <c r="CD15" s="2135"/>
      <c r="CE15" s="2135"/>
      <c r="CF15" s="2149">
        <v>0</v>
      </c>
      <c r="CG15" s="2109"/>
      <c r="CH15" s="2109">
        <v>0</v>
      </c>
      <c r="CI15" s="2109">
        <v>0</v>
      </c>
      <c r="CJ15" s="2109">
        <f t="shared" si="11"/>
        <v>0</v>
      </c>
      <c r="CK15" s="2135"/>
      <c r="CL15" s="2135"/>
      <c r="CM15" s="2135"/>
      <c r="CN15" s="2135"/>
      <c r="CO15" s="2135"/>
      <c r="CP15" s="2149">
        <v>0</v>
      </c>
      <c r="CQ15" s="2109"/>
      <c r="CR15" s="2109">
        <v>0</v>
      </c>
      <c r="CS15" s="2109">
        <v>0</v>
      </c>
      <c r="CT15" s="2109">
        <f t="shared" si="12"/>
        <v>0</v>
      </c>
      <c r="CU15" s="2135"/>
      <c r="CV15" s="2135"/>
      <c r="CW15" s="2135"/>
      <c r="CX15" s="2135"/>
      <c r="CY15" s="2135"/>
      <c r="CZ15" s="2149">
        <v>0</v>
      </c>
      <c r="DA15" s="2109"/>
      <c r="DB15" s="2109">
        <v>0</v>
      </c>
      <c r="DC15" s="2109">
        <v>0</v>
      </c>
      <c r="DD15" s="2109">
        <f t="shared" si="13"/>
        <v>0</v>
      </c>
      <c r="DE15" s="2135"/>
      <c r="DF15" s="2135"/>
      <c r="DG15" s="2135"/>
      <c r="DH15" s="2135"/>
      <c r="DI15" s="2135"/>
      <c r="DJ15" s="2149">
        <v>0</v>
      </c>
      <c r="DK15" s="2109"/>
      <c r="DL15" s="2109">
        <v>0</v>
      </c>
      <c r="DM15" s="2109">
        <v>0</v>
      </c>
      <c r="DN15" s="2109">
        <f t="shared" si="14"/>
        <v>0</v>
      </c>
      <c r="DO15" s="2135"/>
      <c r="DP15" s="2135"/>
      <c r="DQ15" s="2135"/>
      <c r="DR15" s="2135"/>
      <c r="DS15" s="2135"/>
      <c r="DT15" s="2149">
        <v>0</v>
      </c>
      <c r="DU15" s="2109"/>
      <c r="DV15" s="2109">
        <v>0</v>
      </c>
      <c r="DW15" s="2109">
        <v>0</v>
      </c>
      <c r="DX15" s="2109">
        <f t="shared" si="15"/>
        <v>0</v>
      </c>
      <c r="DY15" s="2135"/>
      <c r="DZ15" s="2135"/>
      <c r="EA15" s="2135"/>
      <c r="EB15" s="2135"/>
      <c r="EC15" s="2135"/>
      <c r="ED15" s="2135"/>
      <c r="EE15" s="2106"/>
      <c r="EF15" s="2106"/>
      <c r="EG15" s="2106">
        <f t="shared" si="19"/>
        <v>0</v>
      </c>
      <c r="EH15" s="2106"/>
      <c r="EI15" s="2106"/>
      <c r="EJ15" s="2106"/>
      <c r="EK15" s="2106"/>
      <c r="EL15" s="2106"/>
      <c r="EM15" s="2106">
        <f t="shared" si="1"/>
        <v>0</v>
      </c>
      <c r="EN15" s="2106">
        <f t="shared" si="2"/>
        <v>0</v>
      </c>
      <c r="EO15" s="2106" t="e">
        <f t="shared" si="16"/>
        <v>#DIV/0!</v>
      </c>
      <c r="EP15" s="2114" t="e">
        <f t="shared" si="17"/>
        <v>#DIV/0!</v>
      </c>
      <c r="EQ15" s="2224"/>
      <c r="ER15" s="2210"/>
      <c r="ES15" s="2209" t="s">
        <v>1652</v>
      </c>
      <c r="ET15" s="2224"/>
      <c r="EU15" s="2230"/>
      <c r="EV15" s="2224"/>
      <c r="EW15" s="2224"/>
      <c r="EX15" s="2224"/>
      <c r="EY15" s="2224"/>
      <c r="EZ15" s="2224"/>
      <c r="FA15" s="2224"/>
      <c r="FC15" s="2225"/>
      <c r="FD15" s="2225"/>
      <c r="FE15" s="2225"/>
      <c r="FF15" s="2225"/>
      <c r="FG15" s="2225"/>
      <c r="FH15" s="2225"/>
      <c r="FI15" s="2225"/>
    </row>
    <row r="16" spans="1:166" ht="15" customHeight="1">
      <c r="A16" s="2220">
        <v>5</v>
      </c>
      <c r="B16" s="2227" t="s">
        <v>1653</v>
      </c>
      <c r="C16" s="2146">
        <v>420</v>
      </c>
      <c r="D16" s="2147">
        <v>1</v>
      </c>
      <c r="E16" s="2228"/>
      <c r="F16" s="2148">
        <v>0.67715905002816401</v>
      </c>
      <c r="G16" s="2146">
        <v>420</v>
      </c>
      <c r="H16" s="2149" t="s">
        <v>1649</v>
      </c>
      <c r="I16" s="2229">
        <v>2</v>
      </c>
      <c r="J16" s="2149">
        <v>1192.92264</v>
      </c>
      <c r="K16" s="2148"/>
      <c r="L16" s="2151"/>
      <c r="M16" s="2152">
        <f t="shared" si="3"/>
        <v>1192.92264</v>
      </c>
      <c r="N16" s="2149">
        <v>0</v>
      </c>
      <c r="O16" s="2109">
        <f>IFERROR(P16/N16*10,0)</f>
        <v>0</v>
      </c>
      <c r="P16" s="2109">
        <v>30.655012500000002</v>
      </c>
      <c r="Q16" s="2109">
        <v>3.880636444252187</v>
      </c>
      <c r="R16" s="2109">
        <f t="shared" si="4"/>
        <v>0</v>
      </c>
      <c r="S16" s="2109"/>
      <c r="T16" s="2109"/>
      <c r="U16" s="2109"/>
      <c r="V16" s="2109">
        <f>IFERROR(W16/N16*10,0)</f>
        <v>0</v>
      </c>
      <c r="W16" s="2109">
        <f>P16+R16</f>
        <v>30.655012500000002</v>
      </c>
      <c r="X16" s="2149">
        <v>241.70328000000001</v>
      </c>
      <c r="Y16" s="2109">
        <f>IFERROR(Z16/X16*10,0)</f>
        <v>1.2682911253831559</v>
      </c>
      <c r="Z16" s="2109">
        <v>30.655012500000002</v>
      </c>
      <c r="AA16" s="2109">
        <v>3.880636444252187</v>
      </c>
      <c r="AB16" s="2109">
        <f t="shared" si="5"/>
        <v>93.796255706329077</v>
      </c>
      <c r="AC16" s="2135"/>
      <c r="AD16" s="2135"/>
      <c r="AE16" s="2135"/>
      <c r="AF16" s="2135">
        <f>IFERROR(AG16/X16*10,0)</f>
        <v>5.1489275696353429</v>
      </c>
      <c r="AG16" s="2135">
        <f>Z16+AB16</f>
        <v>124.45126820632908</v>
      </c>
      <c r="AH16" s="2149">
        <v>233.90639999999999</v>
      </c>
      <c r="AI16" s="2109">
        <f>IFERROR(AJ16/AH16*10,0)</f>
        <v>1.3105674962292611</v>
      </c>
      <c r="AJ16" s="2109">
        <v>30.655012500000002</v>
      </c>
      <c r="AK16" s="2109">
        <v>3.880636444252187</v>
      </c>
      <c r="AL16" s="2109">
        <f t="shared" si="6"/>
        <v>90.770570038382971</v>
      </c>
      <c r="AM16" s="2135"/>
      <c r="AN16" s="2135"/>
      <c r="AO16" s="2135"/>
      <c r="AP16" s="2135">
        <f>IFERROR(AQ16/AH16*10,0)</f>
        <v>5.1912039404814481</v>
      </c>
      <c r="AQ16" s="2135">
        <f t="shared" si="0"/>
        <v>121.42558253838297</v>
      </c>
      <c r="AR16" s="2149">
        <v>241.70328000000001</v>
      </c>
      <c r="AS16" s="2109">
        <f>IFERROR(AT16/AR16*10,0)</f>
        <v>1.2682911253831559</v>
      </c>
      <c r="AT16" s="2109">
        <v>30.655012500000002</v>
      </c>
      <c r="AU16" s="2109">
        <v>3.880636444252187</v>
      </c>
      <c r="AV16" s="2109">
        <f t="shared" si="7"/>
        <v>93.796255706329077</v>
      </c>
      <c r="AW16" s="2135"/>
      <c r="AX16" s="2135"/>
      <c r="AY16" s="2135"/>
      <c r="AZ16" s="2135">
        <f>IFERROR(BA16/AR16*10,0)</f>
        <v>5.1489275696353429</v>
      </c>
      <c r="BA16" s="2135">
        <f>AV16+AT16</f>
        <v>124.45126820632908</v>
      </c>
      <c r="BB16" s="2149">
        <v>241.70328000000001</v>
      </c>
      <c r="BC16" s="2109">
        <f>IFERROR(BD16/BB16*10,0)</f>
        <v>1.2682911253831559</v>
      </c>
      <c r="BD16" s="2109">
        <v>30.655012500000002</v>
      </c>
      <c r="BE16" s="2109">
        <v>3.880636444252187</v>
      </c>
      <c r="BF16" s="2109">
        <f t="shared" si="8"/>
        <v>93.796255706329077</v>
      </c>
      <c r="BG16" s="2135"/>
      <c r="BH16" s="2135"/>
      <c r="BI16" s="2135"/>
      <c r="BJ16" s="2135">
        <f>IFERROR(BK16/BB16*10,0)</f>
        <v>5.1489275696353429</v>
      </c>
      <c r="BK16" s="2135">
        <f>BF16+BD16</f>
        <v>124.45126820632908</v>
      </c>
      <c r="BL16" s="2149">
        <v>233.90639999999999</v>
      </c>
      <c r="BM16" s="2109">
        <f>IFERROR(BN16/BL16*10,0)</f>
        <v>1.3105674962292611</v>
      </c>
      <c r="BN16" s="2109">
        <v>30.655012500000002</v>
      </c>
      <c r="BO16" s="2109">
        <v>3.880636444252187</v>
      </c>
      <c r="BP16" s="2109">
        <f t="shared" si="9"/>
        <v>90.770570038382971</v>
      </c>
      <c r="BQ16" s="2135"/>
      <c r="BR16" s="2135"/>
      <c r="BS16" s="2135"/>
      <c r="BT16" s="2135">
        <f>IFERROR(BU16/BL16*10,0)</f>
        <v>5.1912039404814481</v>
      </c>
      <c r="BU16" s="2135">
        <f>BP16+BN16</f>
        <v>121.42558253838297</v>
      </c>
      <c r="BV16" s="2149">
        <v>0</v>
      </c>
      <c r="BW16" s="2109">
        <f>IFERROR(BX16/BV16*10,0)</f>
        <v>0</v>
      </c>
      <c r="BX16" s="2109">
        <v>30.655012500000002</v>
      </c>
      <c r="BY16" s="2109">
        <v>3.880636444252187</v>
      </c>
      <c r="BZ16" s="2109">
        <f t="shared" si="10"/>
        <v>0</v>
      </c>
      <c r="CA16" s="2135"/>
      <c r="CB16" s="2135"/>
      <c r="CC16" s="2135"/>
      <c r="CD16" s="2135">
        <f>IFERROR(CE16/BV16*10,0)</f>
        <v>0</v>
      </c>
      <c r="CE16" s="2135">
        <f>BZ16+BX16</f>
        <v>30.655012500000002</v>
      </c>
      <c r="CF16" s="2149">
        <v>0</v>
      </c>
      <c r="CG16" s="2109">
        <f>IFERROR(CH16/CF16*10,0)</f>
        <v>0</v>
      </c>
      <c r="CH16" s="2109">
        <v>30.655012500000002</v>
      </c>
      <c r="CI16" s="2109">
        <v>3.880636444252187</v>
      </c>
      <c r="CJ16" s="2109">
        <f t="shared" si="11"/>
        <v>0</v>
      </c>
      <c r="CK16" s="2135"/>
      <c r="CL16" s="2135"/>
      <c r="CM16" s="2135"/>
      <c r="CN16" s="2135">
        <f>IFERROR(CO16/CF16*10,0)</f>
        <v>0</v>
      </c>
      <c r="CO16" s="2135">
        <f>CJ16+CH16</f>
        <v>30.655012500000002</v>
      </c>
      <c r="CP16" s="2149">
        <v>0</v>
      </c>
      <c r="CQ16" s="2109">
        <f>IFERROR(CR16/CP16*10,0)</f>
        <v>0</v>
      </c>
      <c r="CR16" s="2109">
        <v>30.655012500000002</v>
      </c>
      <c r="CS16" s="2109">
        <v>3.880636444252187</v>
      </c>
      <c r="CT16" s="2109">
        <f t="shared" si="12"/>
        <v>0</v>
      </c>
      <c r="CU16" s="2135"/>
      <c r="CV16" s="2135"/>
      <c r="CW16" s="2135"/>
      <c r="CX16" s="2135">
        <f>IFERROR(CY16/CP16*10,0)</f>
        <v>0</v>
      </c>
      <c r="CY16" s="2135">
        <f>CT16+CR16</f>
        <v>30.655012500000002</v>
      </c>
      <c r="CZ16" s="2149">
        <v>0</v>
      </c>
      <c r="DA16" s="2109">
        <f>IFERROR(DB16/CZ16*10,0)</f>
        <v>0</v>
      </c>
      <c r="DB16" s="2109">
        <v>30.655012500000002</v>
      </c>
      <c r="DC16" s="2109">
        <v>3.880636444252187</v>
      </c>
      <c r="DD16" s="2109">
        <f t="shared" si="13"/>
        <v>0</v>
      </c>
      <c r="DE16" s="2135"/>
      <c r="DF16" s="2135"/>
      <c r="DG16" s="2135"/>
      <c r="DH16" s="2135">
        <f>IFERROR(DI16/CZ16*10,0)</f>
        <v>0</v>
      </c>
      <c r="DI16" s="2135">
        <f>DD16+DB16</f>
        <v>30.655012500000002</v>
      </c>
      <c r="DJ16" s="2149">
        <v>0</v>
      </c>
      <c r="DK16" s="2109">
        <f>IFERROR(DL16/DJ16*10,0)</f>
        <v>0</v>
      </c>
      <c r="DL16" s="2109">
        <v>30.655012500000002</v>
      </c>
      <c r="DM16" s="2109">
        <v>3.880636444252187</v>
      </c>
      <c r="DN16" s="2109">
        <f t="shared" si="14"/>
        <v>0</v>
      </c>
      <c r="DO16" s="2135"/>
      <c r="DP16" s="2135"/>
      <c r="DQ16" s="2135"/>
      <c r="DR16" s="2135">
        <f>IFERROR(DS16/DJ16*10,0)</f>
        <v>0</v>
      </c>
      <c r="DS16" s="2135">
        <f>DN16+DL16</f>
        <v>30.655012500000002</v>
      </c>
      <c r="DT16" s="2149">
        <v>0</v>
      </c>
      <c r="DU16" s="2109">
        <f>IFERROR(DV16/DT16*10,0)</f>
        <v>0</v>
      </c>
      <c r="DV16" s="2109">
        <v>30.655012500000002</v>
      </c>
      <c r="DW16" s="2109">
        <v>3.880636444252187</v>
      </c>
      <c r="DX16" s="2109">
        <f t="shared" si="15"/>
        <v>0</v>
      </c>
      <c r="DY16" s="2135"/>
      <c r="DZ16" s="2135"/>
      <c r="EA16" s="2135"/>
      <c r="EB16" s="2135">
        <f>IFERROR(EC16/DT16*10,0)</f>
        <v>0</v>
      </c>
      <c r="EC16" s="2135">
        <f>DX16+DV16</f>
        <v>30.655012500000002</v>
      </c>
      <c r="ED16" s="2135"/>
      <c r="EE16" s="2106">
        <f>SUM(N16,X16,AH16,AR16,BB16,BL16,BV16,CF16,CP16,CZ16,DJ16,DT16)</f>
        <v>1192.92264</v>
      </c>
      <c r="EF16" s="2106">
        <f>IFERROR((EG16/EE16)*10,0)</f>
        <v>3.0836882264217906</v>
      </c>
      <c r="EG16" s="2106">
        <f>SUM(P16,Z16,AJ16,AT16,BD16,BN16,BX16,CR16,CH16,DB16,DL16,DV16)</f>
        <v>367.86015000000003</v>
      </c>
      <c r="EH16" s="2121">
        <f>IFERROR((EI16/EE16)*10,0)</f>
        <v>3.880636444252187</v>
      </c>
      <c r="EI16" s="2106">
        <f>SUM(R16,AB16,AL16,AV16,BF16,BP16,BZ16,CJ16,CT16,DD16,DN16,DX16)</f>
        <v>462.92990719575317</v>
      </c>
      <c r="EJ16" s="2106"/>
      <c r="EK16" s="2106"/>
      <c r="EL16" s="2106"/>
      <c r="EM16" s="2106">
        <f t="shared" si="1"/>
        <v>6.9643246706739781</v>
      </c>
      <c r="EN16" s="2106">
        <f t="shared" si="2"/>
        <v>830.79005719575321</v>
      </c>
      <c r="EO16" s="2106">
        <f t="shared" si="16"/>
        <v>6.9643246706739781</v>
      </c>
      <c r="EP16" s="2114">
        <f t="shared" si="17"/>
        <v>6.9643246706739781</v>
      </c>
      <c r="EQ16" s="2224"/>
      <c r="ER16" s="2210"/>
      <c r="ES16" s="2209" t="s">
        <v>1653</v>
      </c>
      <c r="ET16" s="2224"/>
      <c r="EU16" s="2230"/>
      <c r="EV16" s="2224"/>
      <c r="EW16" s="2224"/>
      <c r="EX16" s="2224"/>
      <c r="EY16" s="2224"/>
      <c r="EZ16" s="2224"/>
      <c r="FA16" s="2224"/>
      <c r="FC16" s="2225"/>
      <c r="FD16" s="2225"/>
      <c r="FE16" s="2225"/>
      <c r="FF16" s="2225"/>
      <c r="FG16" s="2225"/>
      <c r="FH16" s="2225"/>
      <c r="FI16" s="2225"/>
    </row>
    <row r="17" spans="1:165" ht="15" customHeight="1">
      <c r="A17" s="2220">
        <v>6</v>
      </c>
      <c r="B17" s="2227" t="s">
        <v>1654</v>
      </c>
      <c r="C17" s="2146">
        <v>94</v>
      </c>
      <c r="D17" s="2147"/>
      <c r="E17" s="2228"/>
      <c r="F17" s="2148">
        <v>0.20368762124463904</v>
      </c>
      <c r="G17" s="2146">
        <v>0</v>
      </c>
      <c r="H17" s="2149" t="s">
        <v>1649</v>
      </c>
      <c r="I17" s="2229">
        <v>2</v>
      </c>
      <c r="J17" s="2149">
        <v>0</v>
      </c>
      <c r="K17" s="2148"/>
      <c r="L17" s="2151"/>
      <c r="M17" s="2152"/>
      <c r="N17" s="2149">
        <v>0</v>
      </c>
      <c r="O17" s="2109"/>
      <c r="P17" s="2109">
        <v>0</v>
      </c>
      <c r="Q17" s="2109">
        <v>0</v>
      </c>
      <c r="R17" s="2109">
        <f t="shared" si="4"/>
        <v>0</v>
      </c>
      <c r="S17" s="2109"/>
      <c r="T17" s="2109"/>
      <c r="U17" s="2109"/>
      <c r="V17" s="2109"/>
      <c r="W17" s="2109"/>
      <c r="X17" s="2149">
        <v>0</v>
      </c>
      <c r="Y17" s="2109"/>
      <c r="Z17" s="2109">
        <v>0</v>
      </c>
      <c r="AA17" s="2109">
        <v>0</v>
      </c>
      <c r="AB17" s="2109">
        <f t="shared" si="5"/>
        <v>0</v>
      </c>
      <c r="AC17" s="2135"/>
      <c r="AD17" s="2135"/>
      <c r="AE17" s="2135"/>
      <c r="AF17" s="2135"/>
      <c r="AG17" s="2135"/>
      <c r="AH17" s="2149">
        <v>0</v>
      </c>
      <c r="AI17" s="2109"/>
      <c r="AJ17" s="2109">
        <v>0</v>
      </c>
      <c r="AK17" s="2109">
        <v>0</v>
      </c>
      <c r="AL17" s="2109">
        <f t="shared" si="6"/>
        <v>0</v>
      </c>
      <c r="AM17" s="2135"/>
      <c r="AN17" s="2135"/>
      <c r="AO17" s="2135"/>
      <c r="AP17" s="2135"/>
      <c r="AQ17" s="2135">
        <f t="shared" si="0"/>
        <v>0</v>
      </c>
      <c r="AR17" s="2149">
        <v>0</v>
      </c>
      <c r="AS17" s="2109"/>
      <c r="AT17" s="2109">
        <v>0</v>
      </c>
      <c r="AU17" s="2109">
        <v>0</v>
      </c>
      <c r="AV17" s="2109">
        <f t="shared" si="7"/>
        <v>0</v>
      </c>
      <c r="AW17" s="2135"/>
      <c r="AX17" s="2135"/>
      <c r="AY17" s="2135"/>
      <c r="AZ17" s="2135"/>
      <c r="BA17" s="2135"/>
      <c r="BB17" s="2149">
        <v>0</v>
      </c>
      <c r="BC17" s="2109"/>
      <c r="BD17" s="2109">
        <v>0</v>
      </c>
      <c r="BE17" s="2109">
        <v>0</v>
      </c>
      <c r="BF17" s="2109">
        <f t="shared" si="8"/>
        <v>0</v>
      </c>
      <c r="BG17" s="2135"/>
      <c r="BH17" s="2135"/>
      <c r="BI17" s="2135"/>
      <c r="BJ17" s="2135"/>
      <c r="BK17" s="2135"/>
      <c r="BL17" s="2149">
        <v>0</v>
      </c>
      <c r="BM17" s="2109"/>
      <c r="BN17" s="2109">
        <v>0</v>
      </c>
      <c r="BO17" s="2109">
        <v>0</v>
      </c>
      <c r="BP17" s="2109">
        <f t="shared" si="9"/>
        <v>0</v>
      </c>
      <c r="BQ17" s="2135"/>
      <c r="BR17" s="2135"/>
      <c r="BS17" s="2135"/>
      <c r="BT17" s="2135"/>
      <c r="BU17" s="2135"/>
      <c r="BV17" s="2149">
        <v>0</v>
      </c>
      <c r="BW17" s="2109"/>
      <c r="BX17" s="2109">
        <v>0</v>
      </c>
      <c r="BY17" s="2109">
        <v>0</v>
      </c>
      <c r="BZ17" s="2109">
        <f t="shared" si="10"/>
        <v>0</v>
      </c>
      <c r="CA17" s="2135"/>
      <c r="CB17" s="2135"/>
      <c r="CC17" s="2135"/>
      <c r="CD17" s="2135"/>
      <c r="CE17" s="2135"/>
      <c r="CF17" s="2149">
        <v>0</v>
      </c>
      <c r="CG17" s="2109"/>
      <c r="CH17" s="2109">
        <v>0</v>
      </c>
      <c r="CI17" s="2109">
        <v>0</v>
      </c>
      <c r="CJ17" s="2109">
        <f t="shared" si="11"/>
        <v>0</v>
      </c>
      <c r="CK17" s="2135"/>
      <c r="CL17" s="2135"/>
      <c r="CM17" s="2135"/>
      <c r="CN17" s="2135"/>
      <c r="CO17" s="2135"/>
      <c r="CP17" s="2149">
        <v>0</v>
      </c>
      <c r="CQ17" s="2109"/>
      <c r="CR17" s="2109">
        <v>0</v>
      </c>
      <c r="CS17" s="2109">
        <v>0</v>
      </c>
      <c r="CT17" s="2109">
        <f t="shared" si="12"/>
        <v>0</v>
      </c>
      <c r="CU17" s="2135"/>
      <c r="CV17" s="2135"/>
      <c r="CW17" s="2135"/>
      <c r="CX17" s="2135"/>
      <c r="CY17" s="2135"/>
      <c r="CZ17" s="2149">
        <v>0</v>
      </c>
      <c r="DA17" s="2109"/>
      <c r="DB17" s="2109">
        <v>0</v>
      </c>
      <c r="DC17" s="2109">
        <v>0</v>
      </c>
      <c r="DD17" s="2109">
        <f t="shared" si="13"/>
        <v>0</v>
      </c>
      <c r="DE17" s="2135"/>
      <c r="DF17" s="2135"/>
      <c r="DG17" s="2135"/>
      <c r="DH17" s="2135"/>
      <c r="DI17" s="2135"/>
      <c r="DJ17" s="2149">
        <v>0</v>
      </c>
      <c r="DK17" s="2109"/>
      <c r="DL17" s="2109">
        <v>0</v>
      </c>
      <c r="DM17" s="2109">
        <v>0</v>
      </c>
      <c r="DN17" s="2109">
        <f t="shared" si="14"/>
        <v>0</v>
      </c>
      <c r="DO17" s="2135"/>
      <c r="DP17" s="2135"/>
      <c r="DQ17" s="2135"/>
      <c r="DR17" s="2135"/>
      <c r="DS17" s="2135"/>
      <c r="DT17" s="2149">
        <v>0</v>
      </c>
      <c r="DU17" s="2109"/>
      <c r="DV17" s="2109">
        <v>0</v>
      </c>
      <c r="DW17" s="2109">
        <v>0</v>
      </c>
      <c r="DX17" s="2109">
        <f t="shared" si="15"/>
        <v>0</v>
      </c>
      <c r="DY17" s="2135"/>
      <c r="DZ17" s="2135"/>
      <c r="EA17" s="2135"/>
      <c r="EB17" s="2135"/>
      <c r="EC17" s="2135"/>
      <c r="ED17" s="2135"/>
      <c r="EE17" s="2106"/>
      <c r="EF17" s="2106"/>
      <c r="EG17" s="2106">
        <f t="shared" si="19"/>
        <v>0</v>
      </c>
      <c r="EH17" s="2106"/>
      <c r="EI17" s="2106"/>
      <c r="EJ17" s="2106"/>
      <c r="EK17" s="2106"/>
      <c r="EL17" s="2106"/>
      <c r="EM17" s="2106">
        <f t="shared" si="1"/>
        <v>0</v>
      </c>
      <c r="EN17" s="2106">
        <f t="shared" si="2"/>
        <v>0</v>
      </c>
      <c r="EO17" s="2106" t="e">
        <f t="shared" si="16"/>
        <v>#DIV/0!</v>
      </c>
      <c r="EP17" s="2114" t="e">
        <f t="shared" si="17"/>
        <v>#DIV/0!</v>
      </c>
      <c r="EQ17" s="2224"/>
      <c r="ER17" s="2210"/>
      <c r="ES17" s="2209" t="e">
        <v>#N/A</v>
      </c>
      <c r="ET17" s="2224"/>
      <c r="EU17" s="2230"/>
      <c r="EV17" s="2224"/>
      <c r="EW17" s="2224"/>
      <c r="EX17" s="2224"/>
      <c r="EY17" s="2224"/>
      <c r="EZ17" s="2224"/>
      <c r="FA17" s="2224"/>
      <c r="FC17" s="2225"/>
      <c r="FD17" s="2225"/>
      <c r="FE17" s="2225"/>
      <c r="FF17" s="2225"/>
      <c r="FG17" s="2225"/>
      <c r="FH17" s="2225"/>
      <c r="FI17" s="2225"/>
    </row>
    <row r="18" spans="1:165" ht="15" customHeight="1">
      <c r="A18" s="2220">
        <v>7</v>
      </c>
      <c r="B18" s="2227" t="s">
        <v>1655</v>
      </c>
      <c r="C18" s="2146">
        <v>1000</v>
      </c>
      <c r="D18" s="2147">
        <v>1</v>
      </c>
      <c r="E18" s="2228"/>
      <c r="F18" s="2148">
        <v>0.43170901112977239</v>
      </c>
      <c r="G18" s="2146">
        <v>1000</v>
      </c>
      <c r="H18" s="2149" t="s">
        <v>1649</v>
      </c>
      <c r="I18" s="2229">
        <v>2</v>
      </c>
      <c r="J18" s="2149">
        <v>1841.4289831807464</v>
      </c>
      <c r="K18" s="2148"/>
      <c r="L18" s="2151"/>
      <c r="M18" s="2152">
        <f t="shared" si="3"/>
        <v>1841.4289831807464</v>
      </c>
      <c r="N18" s="2149">
        <v>275.06860253558534</v>
      </c>
      <c r="O18" s="2109">
        <f>IFERROR(P18/N18*10,0)</f>
        <v>1.1137878974609272</v>
      </c>
      <c r="P18" s="2109">
        <v>30.636808047562507</v>
      </c>
      <c r="Q18" s="2109">
        <v>2.5419791975350918</v>
      </c>
      <c r="R18" s="2109">
        <f t="shared" si="4"/>
        <v>69.921866554050638</v>
      </c>
      <c r="S18" s="2109"/>
      <c r="T18" s="2109"/>
      <c r="U18" s="2109"/>
      <c r="V18" s="2109">
        <f>IFERROR(W18/N18*10,0)</f>
        <v>3.655767094996019</v>
      </c>
      <c r="W18" s="2109">
        <f>P18+R18</f>
        <v>100.55867460161315</v>
      </c>
      <c r="X18" s="2149">
        <v>328.91132880000009</v>
      </c>
      <c r="Y18" s="2109">
        <f>IFERROR(Z18/X18*10,0)</f>
        <v>0.93146101593210007</v>
      </c>
      <c r="Z18" s="2109">
        <v>30.636808047562507</v>
      </c>
      <c r="AA18" s="2109">
        <v>2.5419791975350918</v>
      </c>
      <c r="AB18" s="2109">
        <f t="shared" si="5"/>
        <v>83.608575564322493</v>
      </c>
      <c r="AC18" s="2135"/>
      <c r="AD18" s="2135"/>
      <c r="AE18" s="2135"/>
      <c r="AF18" s="2135">
        <f>IFERROR(AG18/X18*10,0)</f>
        <v>3.4734402134671916</v>
      </c>
      <c r="AG18" s="2135">
        <f>Z18+AB18</f>
        <v>114.245383611885</v>
      </c>
      <c r="AH18" s="2149">
        <v>317.96046380000001</v>
      </c>
      <c r="AI18" s="2109">
        <f>IFERROR(AJ18/AH18*10,0)</f>
        <v>0.963541431579787</v>
      </c>
      <c r="AJ18" s="2109">
        <v>30.636808047562507</v>
      </c>
      <c r="AK18" s="2109">
        <v>2.5419791975350918</v>
      </c>
      <c r="AL18" s="2109">
        <f t="shared" si="6"/>
        <v>80.824888461820962</v>
      </c>
      <c r="AM18" s="2135"/>
      <c r="AN18" s="2135"/>
      <c r="AO18" s="2135"/>
      <c r="AP18" s="2135">
        <f>IFERROR(AQ18/AH18*10,0)</f>
        <v>3.505520629114879</v>
      </c>
      <c r="AQ18" s="2135">
        <f t="shared" si="0"/>
        <v>111.46169650938347</v>
      </c>
      <c r="AR18" s="2149">
        <v>317.33190860000002</v>
      </c>
      <c r="AS18" s="2109">
        <f>IFERROR(AT18/AR18*10,0)</f>
        <v>0.96544996633731228</v>
      </c>
      <c r="AT18" s="2109">
        <v>30.636808047562507</v>
      </c>
      <c r="AU18" s="2109">
        <v>2.5419791975350918</v>
      </c>
      <c r="AV18" s="2109">
        <f t="shared" si="7"/>
        <v>80.665111037530721</v>
      </c>
      <c r="AW18" s="2135"/>
      <c r="AX18" s="2135"/>
      <c r="AY18" s="2135"/>
      <c r="AZ18" s="2135">
        <f>IFERROR(BA18/AR18*10,0)</f>
        <v>3.5074291638724042</v>
      </c>
      <c r="BA18" s="2135">
        <f>AV18+AT18</f>
        <v>111.30191908509323</v>
      </c>
      <c r="BB18" s="2149">
        <v>295.32965279999991</v>
      </c>
      <c r="BC18" s="2109">
        <f>IFERROR(BD18/BB18*10,0)</f>
        <v>1.0373766317434454</v>
      </c>
      <c r="BD18" s="2109">
        <v>30.636808047562507</v>
      </c>
      <c r="BE18" s="2109">
        <v>2.5419791975350918</v>
      </c>
      <c r="BF18" s="2109">
        <f t="shared" si="8"/>
        <v>75.072183383286102</v>
      </c>
      <c r="BG18" s="2135"/>
      <c r="BH18" s="2135"/>
      <c r="BI18" s="2135"/>
      <c r="BJ18" s="2135">
        <f>IFERROR(BK18/BB18*10,0)</f>
        <v>3.579355829278537</v>
      </c>
      <c r="BK18" s="2135">
        <f>BF18+BD18</f>
        <v>105.70899143084861</v>
      </c>
      <c r="BL18" s="2149">
        <v>306.8270266451612</v>
      </c>
      <c r="BM18" s="2109">
        <f>IFERROR(BN18/BL18*10,0)</f>
        <v>0.99850421856720306</v>
      </c>
      <c r="BN18" s="2109">
        <v>30.636808047562507</v>
      </c>
      <c r="BO18" s="2109">
        <v>2.5419791975350918</v>
      </c>
      <c r="BP18" s="2109">
        <f t="shared" si="9"/>
        <v>77.994791897354517</v>
      </c>
      <c r="BQ18" s="2135"/>
      <c r="BR18" s="2135"/>
      <c r="BS18" s="2135"/>
      <c r="BT18" s="2135">
        <f>IFERROR(BU18/BL18*10,0)</f>
        <v>3.5404834161022953</v>
      </c>
      <c r="BU18" s="2135">
        <f>BP18+BN18</f>
        <v>108.63159994491703</v>
      </c>
      <c r="BV18" s="2149">
        <v>0</v>
      </c>
      <c r="BW18" s="2109">
        <f>IFERROR(BX18/BV18*10,0)</f>
        <v>0</v>
      </c>
      <c r="BX18" s="2109">
        <v>30.636808047562507</v>
      </c>
      <c r="BY18" s="2109">
        <v>2.5419791975350918</v>
      </c>
      <c r="BZ18" s="2109">
        <f t="shared" si="10"/>
        <v>0</v>
      </c>
      <c r="CA18" s="2135"/>
      <c r="CB18" s="2135"/>
      <c r="CC18" s="2135"/>
      <c r="CD18" s="2135">
        <f>IFERROR(CE18/BV18*10,0)</f>
        <v>0</v>
      </c>
      <c r="CE18" s="2135">
        <f>BZ18+BX18</f>
        <v>30.636808047562507</v>
      </c>
      <c r="CF18" s="2149">
        <v>0</v>
      </c>
      <c r="CG18" s="2109">
        <f>IFERROR(CH18/CF18*10,0)</f>
        <v>0</v>
      </c>
      <c r="CH18" s="2109">
        <v>30.636808047562507</v>
      </c>
      <c r="CI18" s="2109">
        <v>2.5419791975350918</v>
      </c>
      <c r="CJ18" s="2109">
        <f t="shared" si="11"/>
        <v>0</v>
      </c>
      <c r="CK18" s="2135"/>
      <c r="CL18" s="2135"/>
      <c r="CM18" s="2135"/>
      <c r="CN18" s="2135">
        <f>IFERROR(CO18/CF18*10,0)</f>
        <v>0</v>
      </c>
      <c r="CO18" s="2135">
        <f>CJ18+CH18</f>
        <v>30.636808047562507</v>
      </c>
      <c r="CP18" s="2149">
        <v>0</v>
      </c>
      <c r="CQ18" s="2109">
        <f>IFERROR(CR18/CP18*10,0)</f>
        <v>0</v>
      </c>
      <c r="CR18" s="2109">
        <v>30.636808047562507</v>
      </c>
      <c r="CS18" s="2109">
        <v>2.5419791975350918</v>
      </c>
      <c r="CT18" s="2109">
        <f t="shared" si="12"/>
        <v>0</v>
      </c>
      <c r="CU18" s="2135"/>
      <c r="CV18" s="2135"/>
      <c r="CW18" s="2135"/>
      <c r="CX18" s="2135">
        <f>IFERROR(CY18/CP18*10,0)</f>
        <v>0</v>
      </c>
      <c r="CY18" s="2135">
        <f>CT18+CR18</f>
        <v>30.636808047562507</v>
      </c>
      <c r="CZ18" s="2149">
        <v>0</v>
      </c>
      <c r="DA18" s="2109">
        <f>IFERROR(DB18/CZ18*10,0)</f>
        <v>0</v>
      </c>
      <c r="DB18" s="2109">
        <v>30.636808047562507</v>
      </c>
      <c r="DC18" s="2109">
        <v>2.5419791975350918</v>
      </c>
      <c r="DD18" s="2109">
        <f t="shared" si="13"/>
        <v>0</v>
      </c>
      <c r="DE18" s="2135"/>
      <c r="DF18" s="2135"/>
      <c r="DG18" s="2135"/>
      <c r="DH18" s="2135">
        <f>IFERROR(DI18/CZ18*10,0)</f>
        <v>0</v>
      </c>
      <c r="DI18" s="2135">
        <f>DD18+DB18</f>
        <v>30.636808047562507</v>
      </c>
      <c r="DJ18" s="2149">
        <v>0</v>
      </c>
      <c r="DK18" s="2109">
        <f>IFERROR(DL18/DJ18*10,0)</f>
        <v>0</v>
      </c>
      <c r="DL18" s="2109">
        <v>30.636808047562507</v>
      </c>
      <c r="DM18" s="2109">
        <v>2.5419791975350918</v>
      </c>
      <c r="DN18" s="2109">
        <f t="shared" si="14"/>
        <v>0</v>
      </c>
      <c r="DO18" s="2135"/>
      <c r="DP18" s="2135"/>
      <c r="DQ18" s="2135"/>
      <c r="DR18" s="2135">
        <f>IFERROR(DS18/DJ18*10,0)</f>
        <v>0</v>
      </c>
      <c r="DS18" s="2135">
        <f>DN18+DL18</f>
        <v>30.636808047562507</v>
      </c>
      <c r="DT18" s="2149">
        <v>0</v>
      </c>
      <c r="DU18" s="2109">
        <f>IFERROR(DV18/DT18*10,0)</f>
        <v>0</v>
      </c>
      <c r="DV18" s="2109">
        <v>30.636808047562507</v>
      </c>
      <c r="DW18" s="2109">
        <v>2.5419791975350918</v>
      </c>
      <c r="DX18" s="2109">
        <f t="shared" si="15"/>
        <v>0</v>
      </c>
      <c r="DY18" s="2135"/>
      <c r="DZ18" s="2135"/>
      <c r="EA18" s="2135"/>
      <c r="EB18" s="2135">
        <f>IFERROR(EC18/DT18*10,0)</f>
        <v>0</v>
      </c>
      <c r="EC18" s="2135">
        <f>DX18+DV18</f>
        <v>30.636808047562507</v>
      </c>
      <c r="ED18" s="2135"/>
      <c r="EE18" s="2106">
        <f>SUM(N18,X18,AH18,AR18,BB18,BL18,BV18,CF18,CP18,CZ18,DJ18,DT18)</f>
        <v>1841.4289831807464</v>
      </c>
      <c r="EF18" s="2106">
        <f>IFERROR((EG18/EE18)*10,0)</f>
        <v>1.9965021726535082</v>
      </c>
      <c r="EG18" s="2106">
        <f>SUM(P18,Z18,AJ18,AT18,BD18,BN18,BX18,CR18,CH18,DB18,DL18,DV18)</f>
        <v>367.64169657075007</v>
      </c>
      <c r="EH18" s="2106">
        <f>IFERROR((EI18/EE18)*10,0)</f>
        <v>2.5419791975350918</v>
      </c>
      <c r="EI18" s="2106">
        <f>SUM(R18,AB18,AL18,AV18,BF18,BP18,BZ18,CJ18,CT18,DD18,DN18,DX18)</f>
        <v>468.0874168983654</v>
      </c>
      <c r="EJ18" s="2106"/>
      <c r="EK18" s="2106"/>
      <c r="EL18" s="2106"/>
      <c r="EM18" s="2106">
        <f t="shared" si="1"/>
        <v>4.5384813701885998</v>
      </c>
      <c r="EN18" s="2106">
        <f t="shared" si="2"/>
        <v>835.72911346911542</v>
      </c>
      <c r="EO18" s="2106">
        <f t="shared" si="16"/>
        <v>4.5384813701885998</v>
      </c>
      <c r="EP18" s="2114">
        <f t="shared" si="17"/>
        <v>4.5384813701885998</v>
      </c>
      <c r="EQ18" s="2224"/>
      <c r="ER18" s="2210"/>
      <c r="ES18" s="2209" t="s">
        <v>1655</v>
      </c>
      <c r="ET18" s="2224"/>
      <c r="EU18" s="2230"/>
      <c r="EV18" s="2224"/>
      <c r="EW18" s="2224"/>
      <c r="EX18" s="2224"/>
      <c r="EY18" s="2224"/>
      <c r="EZ18" s="2224"/>
      <c r="FA18" s="2224"/>
      <c r="FC18" s="2225"/>
      <c r="FD18" s="2225"/>
      <c r="FE18" s="2225"/>
      <c r="FF18" s="2225"/>
      <c r="FG18" s="2225"/>
      <c r="FH18" s="2225"/>
      <c r="FI18" s="2225"/>
    </row>
    <row r="19" spans="1:165" ht="15" customHeight="1">
      <c r="A19" s="2220">
        <v>8</v>
      </c>
      <c r="B19" s="2227" t="s">
        <v>1656</v>
      </c>
      <c r="C19" s="2146">
        <v>105</v>
      </c>
      <c r="D19" s="2147">
        <v>1</v>
      </c>
      <c r="E19" s="2228"/>
      <c r="F19" s="2148">
        <v>0.4816016923040074</v>
      </c>
      <c r="G19" s="2146">
        <v>105</v>
      </c>
      <c r="H19" s="2149" t="s">
        <v>1649</v>
      </c>
      <c r="I19" s="2229">
        <v>2</v>
      </c>
      <c r="J19" s="2149">
        <v>0</v>
      </c>
      <c r="K19" s="2148"/>
      <c r="L19" s="2151"/>
      <c r="M19" s="2152">
        <f t="shared" si="3"/>
        <v>0</v>
      </c>
      <c r="N19" s="2149">
        <v>0</v>
      </c>
      <c r="O19" s="2109">
        <f>IFERROR(P19/N19*10,0)</f>
        <v>0</v>
      </c>
      <c r="P19" s="2109">
        <v>1.5151128208125</v>
      </c>
      <c r="Q19" s="2109">
        <v>3.0984932599911863</v>
      </c>
      <c r="R19" s="2109">
        <f t="shared" si="4"/>
        <v>0</v>
      </c>
      <c r="S19" s="2109"/>
      <c r="T19" s="2109"/>
      <c r="U19" s="2109"/>
      <c r="V19" s="2109"/>
      <c r="W19" s="2109">
        <f t="shared" si="18"/>
        <v>1.5151128208125</v>
      </c>
      <c r="X19" s="2149">
        <v>0</v>
      </c>
      <c r="Y19" s="2109">
        <f>IFERROR(Z19/X19*10,0)</f>
        <v>0</v>
      </c>
      <c r="Z19" s="2109">
        <v>1.5151128208125</v>
      </c>
      <c r="AA19" s="2109">
        <v>3.0984932599911863</v>
      </c>
      <c r="AB19" s="2109">
        <f t="shared" si="5"/>
        <v>0</v>
      </c>
      <c r="AC19" s="2135"/>
      <c r="AD19" s="2135"/>
      <c r="AE19" s="2135"/>
      <c r="AF19" s="2135"/>
      <c r="AG19" s="2135">
        <f>Z19+AB19</f>
        <v>1.5151128208125</v>
      </c>
      <c r="AH19" s="2149">
        <v>0</v>
      </c>
      <c r="AI19" s="2109">
        <f>IFERROR(AJ19/AH19*10,0)</f>
        <v>0</v>
      </c>
      <c r="AJ19" s="2109">
        <v>1.5151128208125</v>
      </c>
      <c r="AK19" s="2109">
        <v>3.0984932599911863</v>
      </c>
      <c r="AL19" s="2109">
        <f t="shared" si="6"/>
        <v>0</v>
      </c>
      <c r="AM19" s="2135"/>
      <c r="AN19" s="2135"/>
      <c r="AO19" s="2135"/>
      <c r="AP19" s="2135"/>
      <c r="AQ19" s="2135">
        <f t="shared" si="0"/>
        <v>1.5151128208125</v>
      </c>
      <c r="AR19" s="2149">
        <v>0</v>
      </c>
      <c r="AS19" s="2109">
        <f>IFERROR(AT19/AR19*10,0)</f>
        <v>0</v>
      </c>
      <c r="AT19" s="2109">
        <v>1.5151128208125</v>
      </c>
      <c r="AU19" s="2109">
        <v>3.0984932599911863</v>
      </c>
      <c r="AV19" s="2109">
        <f t="shared" si="7"/>
        <v>0</v>
      </c>
      <c r="AW19" s="2135"/>
      <c r="AX19" s="2135"/>
      <c r="AY19" s="2135"/>
      <c r="AZ19" s="2135">
        <f t="shared" ref="AZ19:AZ27" si="20">IFERROR(BA19/AR19*10,0)</f>
        <v>0</v>
      </c>
      <c r="BA19" s="2135">
        <f t="shared" ref="BA19:BA25" si="21">AV19+AT19</f>
        <v>1.5151128208125</v>
      </c>
      <c r="BB19" s="2149">
        <v>0</v>
      </c>
      <c r="BC19" s="2109">
        <f>IFERROR(BD19/BB19*10,0)</f>
        <v>0</v>
      </c>
      <c r="BD19" s="2109">
        <v>1.5151128208125</v>
      </c>
      <c r="BE19" s="2109">
        <v>3.0984932599911863</v>
      </c>
      <c r="BF19" s="2109">
        <f t="shared" si="8"/>
        <v>0</v>
      </c>
      <c r="BG19" s="2135"/>
      <c r="BH19" s="2135"/>
      <c r="BI19" s="2135"/>
      <c r="BJ19" s="2135">
        <f t="shared" ref="BJ19:BJ27" si="22">IFERROR(BK19/BB19*10,0)</f>
        <v>0</v>
      </c>
      <c r="BK19" s="2135">
        <f t="shared" ref="BK19:BK26" si="23">BF19+BD19</f>
        <v>1.5151128208125</v>
      </c>
      <c r="BL19" s="2149">
        <v>0</v>
      </c>
      <c r="BM19" s="2109">
        <f>IFERROR(BN19/BL19*10,0)</f>
        <v>0</v>
      </c>
      <c r="BN19" s="2109">
        <v>1.5151128208125</v>
      </c>
      <c r="BO19" s="2109">
        <v>3.0984932599911863</v>
      </c>
      <c r="BP19" s="2109">
        <f t="shared" si="9"/>
        <v>0</v>
      </c>
      <c r="BQ19" s="2135"/>
      <c r="BR19" s="2135"/>
      <c r="BS19" s="2135"/>
      <c r="BT19" s="2135">
        <f t="shared" ref="BT19:BT27" si="24">IFERROR(BU19/BL19*10,0)</f>
        <v>0</v>
      </c>
      <c r="BU19" s="2135">
        <f t="shared" ref="BU19:BU26" si="25">BP19+BN19</f>
        <v>1.5151128208125</v>
      </c>
      <c r="BV19" s="2149">
        <v>0</v>
      </c>
      <c r="BW19" s="2109">
        <f>IFERROR(BX19/BV19*10,0)</f>
        <v>0</v>
      </c>
      <c r="BX19" s="2109">
        <v>1.5151128208125</v>
      </c>
      <c r="BY19" s="2109">
        <v>3.0984932599911863</v>
      </c>
      <c r="BZ19" s="2109">
        <f t="shared" si="10"/>
        <v>0</v>
      </c>
      <c r="CA19" s="2135"/>
      <c r="CB19" s="2135"/>
      <c r="CC19" s="2135"/>
      <c r="CD19" s="2135">
        <f t="shared" ref="CD19:CD27" si="26">IFERROR(CE19/BV19*10,0)</f>
        <v>0</v>
      </c>
      <c r="CE19" s="2135">
        <f t="shared" ref="CE19:CE26" si="27">BZ19+BX19</f>
        <v>1.5151128208125</v>
      </c>
      <c r="CF19" s="2149">
        <v>0</v>
      </c>
      <c r="CG19" s="2109">
        <f>IFERROR(CH19/CF19*10,0)</f>
        <v>0</v>
      </c>
      <c r="CH19" s="2109">
        <v>1.5151128208125</v>
      </c>
      <c r="CI19" s="2109">
        <v>3.0984932599911863</v>
      </c>
      <c r="CJ19" s="2109">
        <f t="shared" si="11"/>
        <v>0</v>
      </c>
      <c r="CK19" s="2135"/>
      <c r="CL19" s="2135"/>
      <c r="CM19" s="2135"/>
      <c r="CN19" s="2135">
        <f t="shared" ref="CN19:CN27" si="28">IFERROR(CO19/CF19*10,0)</f>
        <v>0</v>
      </c>
      <c r="CO19" s="2135">
        <f t="shared" ref="CO19:CO26" si="29">CJ19+CH19</f>
        <v>1.5151128208125</v>
      </c>
      <c r="CP19" s="2149">
        <v>0</v>
      </c>
      <c r="CQ19" s="2109">
        <f>IFERROR(CR19/CP19*10,0)</f>
        <v>0</v>
      </c>
      <c r="CR19" s="2109">
        <v>1.5151128208125</v>
      </c>
      <c r="CS19" s="2109">
        <v>3.0984932599911863</v>
      </c>
      <c r="CT19" s="2109">
        <f t="shared" si="12"/>
        <v>0</v>
      </c>
      <c r="CU19" s="2135"/>
      <c r="CV19" s="2135"/>
      <c r="CW19" s="2135"/>
      <c r="CX19" s="2135">
        <f t="shared" ref="CX19:CX27" si="30">IFERROR(CY19/CP19*10,0)</f>
        <v>0</v>
      </c>
      <c r="CY19" s="2135">
        <f t="shared" ref="CY19:CY26" si="31">CT19+CR19</f>
        <v>1.5151128208125</v>
      </c>
      <c r="CZ19" s="2149">
        <v>0</v>
      </c>
      <c r="DA19" s="2109">
        <f>IFERROR(DB19/CZ19*10,0)</f>
        <v>0</v>
      </c>
      <c r="DB19" s="2109">
        <v>1.5151128208125</v>
      </c>
      <c r="DC19" s="2109">
        <v>3.0984932599911863</v>
      </c>
      <c r="DD19" s="2109">
        <f t="shared" si="13"/>
        <v>0</v>
      </c>
      <c r="DE19" s="2135"/>
      <c r="DF19" s="2135"/>
      <c r="DG19" s="2135"/>
      <c r="DH19" s="2135">
        <f t="shared" ref="DH19:DH27" si="32">IFERROR(DI19/CZ19*10,0)</f>
        <v>0</v>
      </c>
      <c r="DI19" s="2135">
        <f t="shared" ref="DI19:DI26" si="33">DD19+DB19</f>
        <v>1.5151128208125</v>
      </c>
      <c r="DJ19" s="2149">
        <v>0</v>
      </c>
      <c r="DK19" s="2109">
        <f>IFERROR(DL19/DJ19*10,0)</f>
        <v>0</v>
      </c>
      <c r="DL19" s="2109">
        <v>1.5151128208125</v>
      </c>
      <c r="DM19" s="2109">
        <v>3.0984932599911863</v>
      </c>
      <c r="DN19" s="2109">
        <f t="shared" si="14"/>
        <v>0</v>
      </c>
      <c r="DO19" s="2135"/>
      <c r="DP19" s="2135"/>
      <c r="DQ19" s="2135"/>
      <c r="DR19" s="2135">
        <f t="shared" ref="DR19:DR27" si="34">IFERROR(DS19/DJ19*10,0)</f>
        <v>0</v>
      </c>
      <c r="DS19" s="2135">
        <f t="shared" ref="DS19:DS26" si="35">DN19+DL19</f>
        <v>1.5151128208125</v>
      </c>
      <c r="DT19" s="2149">
        <v>0</v>
      </c>
      <c r="DU19" s="2109">
        <f>IFERROR(DV19/DT19*10,0)</f>
        <v>0</v>
      </c>
      <c r="DV19" s="2109">
        <v>1.5151128208125</v>
      </c>
      <c r="DW19" s="2109">
        <v>3.0984932599911863</v>
      </c>
      <c r="DX19" s="2109">
        <f t="shared" si="15"/>
        <v>0</v>
      </c>
      <c r="DY19" s="2135"/>
      <c r="DZ19" s="2135"/>
      <c r="EA19" s="2135"/>
      <c r="EB19" s="2135">
        <f t="shared" ref="EB19:EB26" si="36">IFERROR(EC19/DT19*10,0)</f>
        <v>0</v>
      </c>
      <c r="EC19" s="2135">
        <f t="shared" ref="EC19:EC26" si="37">DX19+DV19</f>
        <v>1.5151128208125</v>
      </c>
      <c r="ED19" s="2135"/>
      <c r="EE19" s="2106">
        <f t="shared" ref="EE19:EE26" si="38">SUM(N19,X19,AH19,AR19,BB19,BL19,BV19,CF19,CP19,CZ19,DJ19,DT19)</f>
        <v>0</v>
      </c>
      <c r="EF19" s="2106">
        <f t="shared" ref="EF19:EF27" si="39">IFERROR((EG19/EE19)*10,0)</f>
        <v>0</v>
      </c>
      <c r="EG19" s="2106">
        <f t="shared" si="19"/>
        <v>18.181353849750003</v>
      </c>
      <c r="EH19" s="2106">
        <f t="shared" ref="EH19:EH27" si="40">IFERROR((EI19/EE19)*10,0)</f>
        <v>0</v>
      </c>
      <c r="EI19" s="2106">
        <f t="shared" ref="EI19:EI26" si="41">SUM(R19,AB19,AL19,AV19,BF19,BP19,BZ19,CJ19,CT19,DD19,DN19,DX19)</f>
        <v>0</v>
      </c>
      <c r="EJ19" s="2106"/>
      <c r="EK19" s="2106"/>
      <c r="EL19" s="2106"/>
      <c r="EM19" s="2106"/>
      <c r="EN19" s="2106">
        <f t="shared" si="2"/>
        <v>18.181353849750003</v>
      </c>
      <c r="EO19" s="2106" t="e">
        <f t="shared" si="16"/>
        <v>#DIV/0!</v>
      </c>
      <c r="EP19" s="2114" t="e">
        <f t="shared" si="17"/>
        <v>#DIV/0!</v>
      </c>
      <c r="EQ19" s="2224"/>
      <c r="ER19" s="2210"/>
      <c r="ES19" s="2209" t="s">
        <v>1656</v>
      </c>
      <c r="ET19" s="2224"/>
      <c r="EU19" s="2230"/>
      <c r="EV19" s="2224"/>
      <c r="EW19" s="2224"/>
      <c r="EX19" s="2224"/>
      <c r="EY19" s="2224"/>
      <c r="EZ19" s="2224"/>
      <c r="FA19" s="2224"/>
      <c r="FC19" s="2225"/>
      <c r="FD19" s="2225"/>
      <c r="FE19" s="2225"/>
      <c r="FF19" s="2225"/>
      <c r="FG19" s="2225"/>
      <c r="FH19" s="2225"/>
      <c r="FI19" s="2225"/>
    </row>
    <row r="20" spans="1:165" ht="15" customHeight="1">
      <c r="A20" s="2220">
        <v>9</v>
      </c>
      <c r="B20" s="2227" t="s">
        <v>1657</v>
      </c>
      <c r="C20" s="2146">
        <v>500</v>
      </c>
      <c r="D20" s="2147">
        <v>1</v>
      </c>
      <c r="E20" s="2228"/>
      <c r="F20" s="2148">
        <v>0.74775285352480869</v>
      </c>
      <c r="G20" s="2146">
        <v>500</v>
      </c>
      <c r="H20" s="2149" t="s">
        <v>1649</v>
      </c>
      <c r="I20" s="2229">
        <v>2</v>
      </c>
      <c r="J20" s="2149">
        <v>1253.07</v>
      </c>
      <c r="K20" s="2148"/>
      <c r="L20" s="2151"/>
      <c r="M20" s="2152">
        <f t="shared" si="3"/>
        <v>1253.07</v>
      </c>
      <c r="N20" s="2149">
        <v>0</v>
      </c>
      <c r="O20" s="2109">
        <f t="shared" ref="O20:O27" si="42">IFERROR(P20/N20*10,0)</f>
        <v>0</v>
      </c>
      <c r="P20" s="2109">
        <v>48.912412500000009</v>
      </c>
      <c r="Q20" s="2109">
        <v>3.7903758551741729</v>
      </c>
      <c r="R20" s="2109">
        <f t="shared" si="4"/>
        <v>0</v>
      </c>
      <c r="S20" s="2109"/>
      <c r="T20" s="2109"/>
      <c r="U20" s="2109"/>
      <c r="V20" s="2109">
        <f t="shared" ref="V20:V27" si="43">IFERROR(W20/N20*10,0)</f>
        <v>0</v>
      </c>
      <c r="W20" s="2109">
        <f t="shared" si="18"/>
        <v>48.912412500000009</v>
      </c>
      <c r="X20" s="2149">
        <v>253.89</v>
      </c>
      <c r="Y20" s="2109">
        <f t="shared" ref="Y20:Y27" si="44">IFERROR(Z20/X20*10,0)</f>
        <v>1.9265198511166257</v>
      </c>
      <c r="Z20" s="2109">
        <v>48.912412500000009</v>
      </c>
      <c r="AA20" s="2109">
        <v>3.7903758551741729</v>
      </c>
      <c r="AB20" s="2109">
        <f t="shared" si="5"/>
        <v>96.233852587017068</v>
      </c>
      <c r="AC20" s="2135"/>
      <c r="AD20" s="2135"/>
      <c r="AE20" s="2135"/>
      <c r="AF20" s="2135">
        <f t="shared" ref="AF20:AF27" si="45">IFERROR(AG20/X20*10,0)</f>
        <v>5.7168957062907992</v>
      </c>
      <c r="AG20" s="2135">
        <f t="shared" ref="AG20:AG25" si="46">Z20+AB20</f>
        <v>145.14626508701707</v>
      </c>
      <c r="AH20" s="2149">
        <v>245.7</v>
      </c>
      <c r="AI20" s="2109">
        <f t="shared" ref="AI20:AI27" si="47">IFERROR(AJ20/AH20*10,0)</f>
        <v>1.99073717948718</v>
      </c>
      <c r="AJ20" s="2109">
        <v>48.912412500000009</v>
      </c>
      <c r="AK20" s="2109">
        <v>3.7903758551741729</v>
      </c>
      <c r="AL20" s="2109">
        <f t="shared" si="6"/>
        <v>93.129534761629415</v>
      </c>
      <c r="AM20" s="2135"/>
      <c r="AN20" s="2135"/>
      <c r="AO20" s="2135"/>
      <c r="AP20" s="2135">
        <f t="shared" ref="AP20:AP27" si="48">IFERROR(AQ20/AH20*10,0)</f>
        <v>5.7811130346613524</v>
      </c>
      <c r="AQ20" s="2135">
        <f t="shared" si="0"/>
        <v>142.04194726162942</v>
      </c>
      <c r="AR20" s="2149">
        <v>253.89</v>
      </c>
      <c r="AS20" s="2109">
        <f t="shared" ref="AS20:AS27" si="49">IFERROR(AT20/AR20*10,0)</f>
        <v>1.9265198511166257</v>
      </c>
      <c r="AT20" s="2109">
        <v>48.912412500000009</v>
      </c>
      <c r="AU20" s="2109">
        <v>3.7903758551741729</v>
      </c>
      <c r="AV20" s="2109">
        <f t="shared" si="7"/>
        <v>96.233852587017068</v>
      </c>
      <c r="AW20" s="2135"/>
      <c r="AX20" s="2135"/>
      <c r="AY20" s="2135"/>
      <c r="AZ20" s="2135">
        <f t="shared" si="20"/>
        <v>5.7168957062907992</v>
      </c>
      <c r="BA20" s="2135">
        <f t="shared" si="21"/>
        <v>145.14626508701707</v>
      </c>
      <c r="BB20" s="2149">
        <v>253.89</v>
      </c>
      <c r="BC20" s="2109">
        <f t="shared" ref="BC20:BC27" si="50">IFERROR(BD20/BB20*10,0)</f>
        <v>1.9265198511166257</v>
      </c>
      <c r="BD20" s="2109">
        <v>48.912412500000009</v>
      </c>
      <c r="BE20" s="2109">
        <v>3.7903758551741729</v>
      </c>
      <c r="BF20" s="2109">
        <f t="shared" si="8"/>
        <v>96.233852587017068</v>
      </c>
      <c r="BG20" s="2135"/>
      <c r="BH20" s="2135"/>
      <c r="BI20" s="2135"/>
      <c r="BJ20" s="2135">
        <f t="shared" si="22"/>
        <v>5.7168957062907992</v>
      </c>
      <c r="BK20" s="2135">
        <f t="shared" si="23"/>
        <v>145.14626508701707</v>
      </c>
      <c r="BL20" s="2149">
        <v>245.7</v>
      </c>
      <c r="BM20" s="2109">
        <f t="shared" ref="BM20:BM27" si="51">IFERROR(BN20/BL20*10,0)</f>
        <v>1.99073717948718</v>
      </c>
      <c r="BN20" s="2109">
        <v>48.912412500000009</v>
      </c>
      <c r="BO20" s="2109">
        <v>3.7903758551741729</v>
      </c>
      <c r="BP20" s="2109">
        <f t="shared" si="9"/>
        <v>93.129534761629415</v>
      </c>
      <c r="BQ20" s="2135"/>
      <c r="BR20" s="2135"/>
      <c r="BS20" s="2135"/>
      <c r="BT20" s="2135">
        <f t="shared" si="24"/>
        <v>5.7811130346613524</v>
      </c>
      <c r="BU20" s="2135">
        <f t="shared" si="25"/>
        <v>142.04194726162942</v>
      </c>
      <c r="BV20" s="2149">
        <v>0</v>
      </c>
      <c r="BW20" s="2109">
        <f t="shared" ref="BW20:BW27" si="52">IFERROR(BX20/BV20*10,0)</f>
        <v>0</v>
      </c>
      <c r="BX20" s="2109">
        <v>48.912412500000009</v>
      </c>
      <c r="BY20" s="2109">
        <v>3.7903758551741729</v>
      </c>
      <c r="BZ20" s="2109">
        <f t="shared" si="10"/>
        <v>0</v>
      </c>
      <c r="CA20" s="2135"/>
      <c r="CB20" s="2135"/>
      <c r="CC20" s="2135"/>
      <c r="CD20" s="2135">
        <f t="shared" si="26"/>
        <v>0</v>
      </c>
      <c r="CE20" s="2135">
        <f t="shared" si="27"/>
        <v>48.912412500000009</v>
      </c>
      <c r="CF20" s="2149">
        <v>0</v>
      </c>
      <c r="CG20" s="2109">
        <f t="shared" ref="CG20:CG27" si="53">IFERROR(CH20/CF20*10,0)</f>
        <v>0</v>
      </c>
      <c r="CH20" s="2109">
        <v>48.912412500000009</v>
      </c>
      <c r="CI20" s="2109">
        <v>3.7903758551741729</v>
      </c>
      <c r="CJ20" s="2109">
        <f t="shared" si="11"/>
        <v>0</v>
      </c>
      <c r="CK20" s="2135"/>
      <c r="CL20" s="2135"/>
      <c r="CM20" s="2135"/>
      <c r="CN20" s="2135">
        <f t="shared" si="28"/>
        <v>0</v>
      </c>
      <c r="CO20" s="2135">
        <f t="shared" si="29"/>
        <v>48.912412500000009</v>
      </c>
      <c r="CP20" s="2149">
        <v>0</v>
      </c>
      <c r="CQ20" s="2109">
        <f t="shared" ref="CQ20:CQ27" si="54">IFERROR(CR20/CP20*10,0)</f>
        <v>0</v>
      </c>
      <c r="CR20" s="2109">
        <v>48.912412500000009</v>
      </c>
      <c r="CS20" s="2109">
        <v>3.7903758551741729</v>
      </c>
      <c r="CT20" s="2109">
        <f t="shared" si="12"/>
        <v>0</v>
      </c>
      <c r="CU20" s="2135"/>
      <c r="CV20" s="2135"/>
      <c r="CW20" s="2135"/>
      <c r="CX20" s="2135">
        <f t="shared" si="30"/>
        <v>0</v>
      </c>
      <c r="CY20" s="2135">
        <f t="shared" si="31"/>
        <v>48.912412500000009</v>
      </c>
      <c r="CZ20" s="2149">
        <v>0</v>
      </c>
      <c r="DA20" s="2109">
        <f t="shared" ref="DA20:DA27" si="55">IFERROR(DB20/CZ20*10,0)</f>
        <v>0</v>
      </c>
      <c r="DB20" s="2109">
        <v>48.912412500000009</v>
      </c>
      <c r="DC20" s="2109">
        <v>3.7903758551741729</v>
      </c>
      <c r="DD20" s="2109">
        <f t="shared" si="13"/>
        <v>0</v>
      </c>
      <c r="DE20" s="2135"/>
      <c r="DF20" s="2135"/>
      <c r="DG20" s="2135"/>
      <c r="DH20" s="2135">
        <f t="shared" si="32"/>
        <v>0</v>
      </c>
      <c r="DI20" s="2135">
        <f t="shared" si="33"/>
        <v>48.912412500000009</v>
      </c>
      <c r="DJ20" s="2149">
        <v>0</v>
      </c>
      <c r="DK20" s="2109">
        <f t="shared" ref="DK20:DK27" si="56">IFERROR(DL20/DJ20*10,0)</f>
        <v>0</v>
      </c>
      <c r="DL20" s="2109">
        <v>48.912412500000009</v>
      </c>
      <c r="DM20" s="2109">
        <v>3.7903758551741729</v>
      </c>
      <c r="DN20" s="2109">
        <f t="shared" si="14"/>
        <v>0</v>
      </c>
      <c r="DO20" s="2135"/>
      <c r="DP20" s="2135"/>
      <c r="DQ20" s="2135"/>
      <c r="DR20" s="2135">
        <f t="shared" si="34"/>
        <v>0</v>
      </c>
      <c r="DS20" s="2135">
        <f t="shared" si="35"/>
        <v>48.912412500000009</v>
      </c>
      <c r="DT20" s="2149">
        <v>0</v>
      </c>
      <c r="DU20" s="2109">
        <f t="shared" ref="DU20:DU27" si="57">IFERROR(DV20/DT20*10,0)</f>
        <v>0</v>
      </c>
      <c r="DV20" s="2109">
        <v>48.912412500000009</v>
      </c>
      <c r="DW20" s="2109">
        <v>3.7903758551741729</v>
      </c>
      <c r="DX20" s="2109">
        <f t="shared" si="15"/>
        <v>0</v>
      </c>
      <c r="DY20" s="2135"/>
      <c r="DZ20" s="2135"/>
      <c r="EA20" s="2135"/>
      <c r="EB20" s="2135">
        <f t="shared" si="36"/>
        <v>0</v>
      </c>
      <c r="EC20" s="2135">
        <f t="shared" si="37"/>
        <v>48.912412500000009</v>
      </c>
      <c r="ED20" s="2135"/>
      <c r="EE20" s="2106">
        <f t="shared" si="38"/>
        <v>1253.07</v>
      </c>
      <c r="EF20" s="2106">
        <f t="shared" si="39"/>
        <v>4.6840874811463058</v>
      </c>
      <c r="EG20" s="2106">
        <f t="shared" si="19"/>
        <v>586.94895000000008</v>
      </c>
      <c r="EH20" s="2106">
        <f t="shared" si="40"/>
        <v>3.7903758551741729</v>
      </c>
      <c r="EI20" s="2106">
        <f t="shared" si="41"/>
        <v>474.96062728431002</v>
      </c>
      <c r="EJ20" s="2106"/>
      <c r="EK20" s="2106"/>
      <c r="EL20" s="2106"/>
      <c r="EM20" s="2106">
        <f>IFERROR(EN20/EE20*10,0)</f>
        <v>8.4744633363204791</v>
      </c>
      <c r="EN20" s="2106">
        <f t="shared" si="2"/>
        <v>1061.9095772843102</v>
      </c>
      <c r="EO20" s="2106">
        <f t="shared" si="16"/>
        <v>8.4744633363204791</v>
      </c>
      <c r="EP20" s="2114">
        <f t="shared" si="17"/>
        <v>8.4744633363204791</v>
      </c>
      <c r="EQ20" s="2224"/>
      <c r="ER20" s="2210"/>
      <c r="ES20" s="2209" t="s">
        <v>1657</v>
      </c>
      <c r="ET20" s="2224"/>
      <c r="EU20" s="2230"/>
      <c r="EV20" s="2224"/>
      <c r="EW20" s="2224"/>
      <c r="EX20" s="2224"/>
      <c r="EY20" s="2224"/>
      <c r="EZ20" s="2224"/>
      <c r="FA20" s="2224"/>
      <c r="FC20" s="2225"/>
      <c r="FD20" s="2225"/>
      <c r="FE20" s="2225"/>
      <c r="FF20" s="2225"/>
      <c r="FG20" s="2225"/>
      <c r="FH20" s="2225"/>
      <c r="FI20" s="2225"/>
    </row>
    <row r="21" spans="1:165" ht="15" customHeight="1">
      <c r="A21" s="2220">
        <v>10</v>
      </c>
      <c r="B21" s="2227" t="s">
        <v>1658</v>
      </c>
      <c r="C21" s="2146">
        <v>500</v>
      </c>
      <c r="D21" s="2147">
        <v>1</v>
      </c>
      <c r="E21" s="2228"/>
      <c r="F21" s="2148">
        <v>0.64167075726298506</v>
      </c>
      <c r="G21" s="2146">
        <v>500</v>
      </c>
      <c r="H21" s="2149" t="s">
        <v>1649</v>
      </c>
      <c r="I21" s="2229">
        <v>2</v>
      </c>
      <c r="J21" s="2149">
        <v>1183.9629296672711</v>
      </c>
      <c r="K21" s="2148"/>
      <c r="L21" s="2151"/>
      <c r="M21" s="2152">
        <f t="shared" si="3"/>
        <v>1183.9629296672711</v>
      </c>
      <c r="N21" s="2149">
        <v>0</v>
      </c>
      <c r="O21" s="2109">
        <f t="shared" si="42"/>
        <v>0</v>
      </c>
      <c r="P21" s="2109">
        <v>45.826331231625012</v>
      </c>
      <c r="Q21" s="2109">
        <v>3.8881813864475689</v>
      </c>
      <c r="R21" s="2109">
        <f t="shared" si="4"/>
        <v>0</v>
      </c>
      <c r="S21" s="2109"/>
      <c r="T21" s="2109"/>
      <c r="U21" s="2109"/>
      <c r="V21" s="2109">
        <f t="shared" si="43"/>
        <v>0</v>
      </c>
      <c r="W21" s="2109">
        <f t="shared" si="18"/>
        <v>45.826331231625012</v>
      </c>
      <c r="X21" s="2149">
        <v>225.82197505486329</v>
      </c>
      <c r="Y21" s="2109">
        <f t="shared" si="44"/>
        <v>2.0293123032198941</v>
      </c>
      <c r="Z21" s="2109">
        <v>45.826331231625012</v>
      </c>
      <c r="AA21" s="2109">
        <v>3.8881813864475689</v>
      </c>
      <c r="AB21" s="2109">
        <f t="shared" si="5"/>
        <v>87.803680005914671</v>
      </c>
      <c r="AC21" s="2135"/>
      <c r="AD21" s="2135"/>
      <c r="AE21" s="2135"/>
      <c r="AF21" s="2135">
        <f t="shared" si="45"/>
        <v>5.917493689667463</v>
      </c>
      <c r="AG21" s="2135">
        <f t="shared" si="46"/>
        <v>133.63001123753969</v>
      </c>
      <c r="AH21" s="2149">
        <v>245.7</v>
      </c>
      <c r="AI21" s="2109">
        <f t="shared" si="47"/>
        <v>1.8651335462606844</v>
      </c>
      <c r="AJ21" s="2109">
        <v>45.826331231625012</v>
      </c>
      <c r="AK21" s="2109">
        <v>3.8881813864475689</v>
      </c>
      <c r="AL21" s="2109">
        <f t="shared" si="6"/>
        <v>95.532616665016775</v>
      </c>
      <c r="AM21" s="2135"/>
      <c r="AN21" s="2135"/>
      <c r="AO21" s="2135"/>
      <c r="AP21" s="2135">
        <f t="shared" si="48"/>
        <v>5.7533149327082533</v>
      </c>
      <c r="AQ21" s="2135">
        <f t="shared" si="0"/>
        <v>141.35894789664178</v>
      </c>
      <c r="AR21" s="2149">
        <v>253.89</v>
      </c>
      <c r="AS21" s="2109">
        <f t="shared" si="49"/>
        <v>1.8049679479942107</v>
      </c>
      <c r="AT21" s="2109">
        <v>45.826331231625012</v>
      </c>
      <c r="AU21" s="2109">
        <v>3.8881813864475689</v>
      </c>
      <c r="AV21" s="2109">
        <f t="shared" si="7"/>
        <v>98.717037220517312</v>
      </c>
      <c r="AW21" s="2135"/>
      <c r="AX21" s="2135"/>
      <c r="AY21" s="2135"/>
      <c r="AZ21" s="2135">
        <f t="shared" si="20"/>
        <v>5.6931493344417792</v>
      </c>
      <c r="BA21" s="2135">
        <f t="shared" si="21"/>
        <v>144.54336845214232</v>
      </c>
      <c r="BB21" s="2149">
        <v>212.8509546124078</v>
      </c>
      <c r="BC21" s="2109">
        <f t="shared" si="50"/>
        <v>2.1529774820635752</v>
      </c>
      <c r="BD21" s="2109">
        <v>45.826331231625012</v>
      </c>
      <c r="BE21" s="2109">
        <v>3.8881813864475689</v>
      </c>
      <c r="BF21" s="2109">
        <f t="shared" si="8"/>
        <v>82.760311981156036</v>
      </c>
      <c r="BG21" s="2135"/>
      <c r="BH21" s="2135"/>
      <c r="BI21" s="2135"/>
      <c r="BJ21" s="2135">
        <f t="shared" si="22"/>
        <v>6.0411588685111441</v>
      </c>
      <c r="BK21" s="2135">
        <f t="shared" si="23"/>
        <v>128.58664321278104</v>
      </c>
      <c r="BL21" s="2149">
        <v>245.7</v>
      </c>
      <c r="BM21" s="2109">
        <f t="shared" si="51"/>
        <v>1.8651335462606844</v>
      </c>
      <c r="BN21" s="2109">
        <v>45.826331231625012</v>
      </c>
      <c r="BO21" s="2109">
        <v>3.8881813864475689</v>
      </c>
      <c r="BP21" s="2109">
        <f t="shared" si="9"/>
        <v>95.532616665016775</v>
      </c>
      <c r="BQ21" s="2135"/>
      <c r="BR21" s="2135"/>
      <c r="BS21" s="2135"/>
      <c r="BT21" s="2135">
        <f t="shared" si="24"/>
        <v>5.7533149327082533</v>
      </c>
      <c r="BU21" s="2135">
        <f t="shared" si="25"/>
        <v>141.35894789664178</v>
      </c>
      <c r="BV21" s="2149">
        <v>0</v>
      </c>
      <c r="BW21" s="2109">
        <f t="shared" si="52"/>
        <v>0</v>
      </c>
      <c r="BX21" s="2109">
        <v>45.826331231625012</v>
      </c>
      <c r="BY21" s="2109">
        <v>3.8881813864475689</v>
      </c>
      <c r="BZ21" s="2109">
        <f t="shared" si="10"/>
        <v>0</v>
      </c>
      <c r="CA21" s="2135"/>
      <c r="CB21" s="2135"/>
      <c r="CC21" s="2135"/>
      <c r="CD21" s="2135">
        <f t="shared" si="26"/>
        <v>0</v>
      </c>
      <c r="CE21" s="2135">
        <f t="shared" si="27"/>
        <v>45.826331231625012</v>
      </c>
      <c r="CF21" s="2149">
        <v>0</v>
      </c>
      <c r="CG21" s="2109">
        <f t="shared" si="53"/>
        <v>0</v>
      </c>
      <c r="CH21" s="2109">
        <v>45.826331231625012</v>
      </c>
      <c r="CI21" s="2109">
        <v>3.8881813864475689</v>
      </c>
      <c r="CJ21" s="2109">
        <f t="shared" si="11"/>
        <v>0</v>
      </c>
      <c r="CK21" s="2135"/>
      <c r="CL21" s="2135"/>
      <c r="CM21" s="2135"/>
      <c r="CN21" s="2135">
        <f t="shared" si="28"/>
        <v>0</v>
      </c>
      <c r="CO21" s="2135">
        <f t="shared" si="29"/>
        <v>45.826331231625012</v>
      </c>
      <c r="CP21" s="2149">
        <v>0</v>
      </c>
      <c r="CQ21" s="2109">
        <f t="shared" si="54"/>
        <v>0</v>
      </c>
      <c r="CR21" s="2109">
        <v>45.826331231625012</v>
      </c>
      <c r="CS21" s="2109">
        <v>3.8881813864475689</v>
      </c>
      <c r="CT21" s="2109">
        <f t="shared" si="12"/>
        <v>0</v>
      </c>
      <c r="CU21" s="2135"/>
      <c r="CV21" s="2135"/>
      <c r="CW21" s="2135"/>
      <c r="CX21" s="2135">
        <f t="shared" si="30"/>
        <v>0</v>
      </c>
      <c r="CY21" s="2135">
        <f t="shared" si="31"/>
        <v>45.826331231625012</v>
      </c>
      <c r="CZ21" s="2149">
        <v>0</v>
      </c>
      <c r="DA21" s="2109">
        <f t="shared" si="55"/>
        <v>0</v>
      </c>
      <c r="DB21" s="2109">
        <v>45.826331231625012</v>
      </c>
      <c r="DC21" s="2109">
        <v>3.8881813864475689</v>
      </c>
      <c r="DD21" s="2109">
        <f t="shared" si="13"/>
        <v>0</v>
      </c>
      <c r="DE21" s="2135"/>
      <c r="DF21" s="2135"/>
      <c r="DG21" s="2135"/>
      <c r="DH21" s="2135">
        <f t="shared" si="32"/>
        <v>0</v>
      </c>
      <c r="DI21" s="2135">
        <f t="shared" si="33"/>
        <v>45.826331231625012</v>
      </c>
      <c r="DJ21" s="2149">
        <v>0</v>
      </c>
      <c r="DK21" s="2109">
        <f t="shared" si="56"/>
        <v>0</v>
      </c>
      <c r="DL21" s="2109">
        <v>45.826331231625012</v>
      </c>
      <c r="DM21" s="2109">
        <v>3.8881813864475689</v>
      </c>
      <c r="DN21" s="2109">
        <f t="shared" si="14"/>
        <v>0</v>
      </c>
      <c r="DO21" s="2135"/>
      <c r="DP21" s="2135"/>
      <c r="DQ21" s="2135"/>
      <c r="DR21" s="2135">
        <f t="shared" si="34"/>
        <v>0</v>
      </c>
      <c r="DS21" s="2135">
        <f t="shared" si="35"/>
        <v>45.826331231625012</v>
      </c>
      <c r="DT21" s="2149">
        <v>0</v>
      </c>
      <c r="DU21" s="2109">
        <f t="shared" si="57"/>
        <v>0</v>
      </c>
      <c r="DV21" s="2109">
        <v>45.826331231625012</v>
      </c>
      <c r="DW21" s="2109">
        <v>3.8881813864475689</v>
      </c>
      <c r="DX21" s="2109">
        <f t="shared" si="15"/>
        <v>0</v>
      </c>
      <c r="DY21" s="2135"/>
      <c r="DZ21" s="2135"/>
      <c r="EA21" s="2135"/>
      <c r="EB21" s="2135">
        <f t="shared" si="36"/>
        <v>0</v>
      </c>
      <c r="EC21" s="2135">
        <f t="shared" si="37"/>
        <v>45.826331231625012</v>
      </c>
      <c r="ED21" s="2135"/>
      <c r="EE21" s="2106">
        <f t="shared" si="38"/>
        <v>1183.9629296672711</v>
      </c>
      <c r="EF21" s="2106">
        <f t="shared" si="39"/>
        <v>4.6447060207707942</v>
      </c>
      <c r="EG21" s="2106">
        <f t="shared" si="19"/>
        <v>549.91597477950029</v>
      </c>
      <c r="EH21" s="2106">
        <f t="shared" si="40"/>
        <v>3.8881813864475703</v>
      </c>
      <c r="EI21" s="2106">
        <f t="shared" si="41"/>
        <v>460.34626253762167</v>
      </c>
      <c r="EJ21" s="2106"/>
      <c r="EK21" s="2106"/>
      <c r="EL21" s="2106"/>
      <c r="EM21" s="2106">
        <f t="shared" ref="EM21:EM27" si="58">IFERROR(EN21/EE21*10,0)</f>
        <v>8.5328874072183645</v>
      </c>
      <c r="EN21" s="2106">
        <f t="shared" si="2"/>
        <v>1010.262237317122</v>
      </c>
      <c r="EO21" s="2106">
        <f t="shared" si="16"/>
        <v>8.5328874072183645</v>
      </c>
      <c r="EP21" s="2114">
        <f t="shared" si="17"/>
        <v>8.5328874072183645</v>
      </c>
      <c r="EQ21" s="2224"/>
      <c r="ER21" s="2210"/>
      <c r="ES21" s="2209" t="s">
        <v>1658</v>
      </c>
      <c r="ET21" s="2224"/>
      <c r="EU21" s="2230"/>
      <c r="EV21" s="2224"/>
      <c r="EW21" s="2224"/>
      <c r="EX21" s="2224"/>
      <c r="EY21" s="2224"/>
      <c r="EZ21" s="2224"/>
      <c r="FA21" s="2224"/>
      <c r="FC21" s="2225"/>
      <c r="FD21" s="2225"/>
      <c r="FE21" s="2225"/>
      <c r="FF21" s="2225"/>
      <c r="FG21" s="2225"/>
      <c r="FH21" s="2225"/>
      <c r="FI21" s="2225"/>
    </row>
    <row r="22" spans="1:165" ht="15" customHeight="1">
      <c r="A22" s="2220">
        <v>11</v>
      </c>
      <c r="B22" s="2227" t="s">
        <v>1659</v>
      </c>
      <c r="C22" s="2146">
        <v>1000</v>
      </c>
      <c r="D22" s="2147">
        <v>1</v>
      </c>
      <c r="E22" s="2228"/>
      <c r="F22" s="2148">
        <v>0.55468678722444109</v>
      </c>
      <c r="G22" s="2146">
        <v>1000</v>
      </c>
      <c r="H22" s="2149" t="s">
        <v>1649</v>
      </c>
      <c r="I22" s="2229">
        <v>2</v>
      </c>
      <c r="J22" s="2149">
        <v>5334.7510297532262</v>
      </c>
      <c r="K22" s="2148"/>
      <c r="L22" s="2151"/>
      <c r="M22" s="2152">
        <f t="shared" si="3"/>
        <v>5334.7510297532262</v>
      </c>
      <c r="N22" s="2149">
        <v>444.9054162000001</v>
      </c>
      <c r="O22" s="2109">
        <f t="shared" si="42"/>
        <v>1.2738972421631423</v>
      </c>
      <c r="P22" s="2109">
        <v>56.676378272062514</v>
      </c>
      <c r="Q22" s="2109">
        <v>1.8578841212492041</v>
      </c>
      <c r="R22" s="2109">
        <f t="shared" si="4"/>
        <v>82.65827082157486</v>
      </c>
      <c r="S22" s="2109"/>
      <c r="T22" s="2109"/>
      <c r="U22" s="2109"/>
      <c r="V22" s="2109">
        <f t="shared" si="43"/>
        <v>3.1317813634123466</v>
      </c>
      <c r="W22" s="2109">
        <f t="shared" si="18"/>
        <v>139.33464909363738</v>
      </c>
      <c r="X22" s="2149">
        <v>488.90448810000004</v>
      </c>
      <c r="Y22" s="2109">
        <f t="shared" si="44"/>
        <v>1.1592525667399882</v>
      </c>
      <c r="Z22" s="2109">
        <v>56.676378272062514</v>
      </c>
      <c r="AA22" s="2109">
        <v>1.8578841212492041</v>
      </c>
      <c r="AB22" s="2109">
        <f t="shared" si="5"/>
        <v>90.832788524846052</v>
      </c>
      <c r="AC22" s="2135"/>
      <c r="AD22" s="2135"/>
      <c r="AE22" s="2135"/>
      <c r="AF22" s="2135">
        <f t="shared" si="45"/>
        <v>3.0171366879891925</v>
      </c>
      <c r="AG22" s="2135">
        <f t="shared" si="46"/>
        <v>147.50916679690857</v>
      </c>
      <c r="AH22" s="2149">
        <v>472.47945309999994</v>
      </c>
      <c r="AI22" s="2109">
        <f t="shared" si="47"/>
        <v>1.1995522323817751</v>
      </c>
      <c r="AJ22" s="2109">
        <v>56.676378272062514</v>
      </c>
      <c r="AK22" s="2109">
        <v>1.8578841212492041</v>
      </c>
      <c r="AL22" s="2109">
        <f t="shared" si="6"/>
        <v>87.781207353099802</v>
      </c>
      <c r="AM22" s="2135"/>
      <c r="AN22" s="2135"/>
      <c r="AO22" s="2135"/>
      <c r="AP22" s="2135">
        <f t="shared" si="48"/>
        <v>3.0574363536309797</v>
      </c>
      <c r="AQ22" s="2135">
        <f t="shared" si="0"/>
        <v>144.45758562516232</v>
      </c>
      <c r="AR22" s="2149">
        <v>493.06821360000009</v>
      </c>
      <c r="AS22" s="2109">
        <f t="shared" si="49"/>
        <v>1.1494632326479888</v>
      </c>
      <c r="AT22" s="2109">
        <v>56.676378272062514</v>
      </c>
      <c r="AU22" s="2109">
        <v>1.8578841212492041</v>
      </c>
      <c r="AV22" s="2109">
        <f t="shared" si="7"/>
        <v>91.606360474015105</v>
      </c>
      <c r="AW22" s="2135"/>
      <c r="AX22" s="2135"/>
      <c r="AY22" s="2135"/>
      <c r="AZ22" s="2135">
        <f t="shared" si="20"/>
        <v>3.0073473538971927</v>
      </c>
      <c r="BA22" s="2135">
        <f t="shared" si="21"/>
        <v>148.28273874607763</v>
      </c>
      <c r="BB22" s="2149">
        <v>435.75655909999995</v>
      </c>
      <c r="BC22" s="2109">
        <f t="shared" si="50"/>
        <v>1.3006431478420062</v>
      </c>
      <c r="BD22" s="2109">
        <v>56.676378272062514</v>
      </c>
      <c r="BE22" s="2109">
        <v>1.8578841212492041</v>
      </c>
      <c r="BF22" s="2109">
        <f t="shared" si="8"/>
        <v>80.95851918820803</v>
      </c>
      <c r="BG22" s="2135"/>
      <c r="BH22" s="2135"/>
      <c r="BI22" s="2135"/>
      <c r="BJ22" s="2135">
        <f t="shared" si="22"/>
        <v>3.1585272690912101</v>
      </c>
      <c r="BK22" s="2135">
        <f t="shared" si="23"/>
        <v>137.63489746027054</v>
      </c>
      <c r="BL22" s="2149">
        <v>426.2938469032257</v>
      </c>
      <c r="BM22" s="2109">
        <f t="shared" si="51"/>
        <v>1.3295143404903236</v>
      </c>
      <c r="BN22" s="2109">
        <v>56.676378272062514</v>
      </c>
      <c r="BO22" s="2109">
        <v>1.8578841212492041</v>
      </c>
      <c r="BP22" s="2109">
        <f t="shared" si="9"/>
        <v>79.200456914774222</v>
      </c>
      <c r="BQ22" s="2135"/>
      <c r="BR22" s="2135"/>
      <c r="BS22" s="2135"/>
      <c r="BT22" s="2135">
        <f t="shared" si="24"/>
        <v>3.1873984617395279</v>
      </c>
      <c r="BU22" s="2135">
        <f t="shared" si="25"/>
        <v>135.87683518683673</v>
      </c>
      <c r="BV22" s="2149">
        <v>493.7566458</v>
      </c>
      <c r="BW22" s="2109">
        <f t="shared" si="52"/>
        <v>1.1478605656078547</v>
      </c>
      <c r="BX22" s="2109">
        <v>56.676378272062514</v>
      </c>
      <c r="BY22" s="2109">
        <v>1.8578841212492041</v>
      </c>
      <c r="BZ22" s="2109">
        <f t="shared" si="10"/>
        <v>91.734263199308742</v>
      </c>
      <c r="CA22" s="2135"/>
      <c r="CB22" s="2135"/>
      <c r="CC22" s="2135"/>
      <c r="CD22" s="2135">
        <f t="shared" si="26"/>
        <v>3.0057446868570588</v>
      </c>
      <c r="CE22" s="2135">
        <f t="shared" si="27"/>
        <v>148.41064147137126</v>
      </c>
      <c r="CF22" s="2149">
        <v>455.30909160000004</v>
      </c>
      <c r="CG22" s="2109">
        <f t="shared" si="53"/>
        <v>1.2447890744482228</v>
      </c>
      <c r="CH22" s="2109">
        <v>56.676378272062514</v>
      </c>
      <c r="CI22" s="2109">
        <v>1.8578841212492041</v>
      </c>
      <c r="CJ22" s="2109">
        <f t="shared" si="11"/>
        <v>84.591153154403941</v>
      </c>
      <c r="CK22" s="2135"/>
      <c r="CL22" s="2135"/>
      <c r="CM22" s="2135"/>
      <c r="CN22" s="2135">
        <f t="shared" si="28"/>
        <v>3.1026731956974269</v>
      </c>
      <c r="CO22" s="2135">
        <f t="shared" si="29"/>
        <v>141.26753142646646</v>
      </c>
      <c r="CP22" s="2149">
        <v>423.4260895999999</v>
      </c>
      <c r="CQ22" s="2109">
        <f t="shared" si="54"/>
        <v>1.3385188032604056</v>
      </c>
      <c r="CR22" s="2109">
        <v>56.676378272062514</v>
      </c>
      <c r="CS22" s="2109">
        <v>1.8578841212492041</v>
      </c>
      <c r="CT22" s="2109">
        <f t="shared" si="12"/>
        <v>78.667660839048253</v>
      </c>
      <c r="CU22" s="2135"/>
      <c r="CV22" s="2135"/>
      <c r="CW22" s="2135"/>
      <c r="CX22" s="2135">
        <f t="shared" si="30"/>
        <v>3.1964029245096093</v>
      </c>
      <c r="CY22" s="2135">
        <f t="shared" si="31"/>
        <v>135.34403911111076</v>
      </c>
      <c r="CZ22" s="2149">
        <v>362.82581579999993</v>
      </c>
      <c r="DA22" s="2109">
        <f t="shared" si="55"/>
        <v>1.5620822941470123</v>
      </c>
      <c r="DB22" s="2109">
        <v>56.676378272062514</v>
      </c>
      <c r="DC22" s="2109">
        <v>1.8578841212492041</v>
      </c>
      <c r="DD22" s="2109">
        <f t="shared" si="13"/>
        <v>67.408832195410838</v>
      </c>
      <c r="DE22" s="2135"/>
      <c r="DF22" s="2135"/>
      <c r="DG22" s="2135"/>
      <c r="DH22" s="2135">
        <f t="shared" si="32"/>
        <v>3.4199664153962162</v>
      </c>
      <c r="DI22" s="2135">
        <f t="shared" si="33"/>
        <v>124.08521046747336</v>
      </c>
      <c r="DJ22" s="2149">
        <v>424.14797125000001</v>
      </c>
      <c r="DK22" s="2109">
        <f t="shared" si="56"/>
        <v>1.3362407016832456</v>
      </c>
      <c r="DL22" s="2109">
        <v>56.676378272062514</v>
      </c>
      <c r="DM22" s="2109">
        <v>1.8578841212492041</v>
      </c>
      <c r="DN22" s="2109">
        <f t="shared" si="14"/>
        <v>78.801778084543898</v>
      </c>
      <c r="DO22" s="2135"/>
      <c r="DP22" s="2135"/>
      <c r="DQ22" s="2135"/>
      <c r="DR22" s="2135">
        <f t="shared" si="34"/>
        <v>3.1941248229324497</v>
      </c>
      <c r="DS22" s="2135">
        <f t="shared" si="35"/>
        <v>135.47815635660641</v>
      </c>
      <c r="DT22" s="2149">
        <v>413.87743870000008</v>
      </c>
      <c r="DU22" s="2109">
        <f t="shared" si="57"/>
        <v>1.3694000438894305</v>
      </c>
      <c r="DV22" s="2109">
        <v>56.676378272062514</v>
      </c>
      <c r="DW22" s="2109">
        <v>1.8578841212492041</v>
      </c>
      <c r="DX22" s="2109">
        <f t="shared" si="15"/>
        <v>76.893632150402098</v>
      </c>
      <c r="DY22" s="2135"/>
      <c r="DZ22" s="2135"/>
      <c r="EA22" s="2135"/>
      <c r="EB22" s="2135">
        <f t="shared" si="36"/>
        <v>3.2272841651386344</v>
      </c>
      <c r="EC22" s="2135">
        <f t="shared" si="37"/>
        <v>133.57001042246461</v>
      </c>
      <c r="ED22" s="2135"/>
      <c r="EE22" s="2106">
        <f t="shared" si="38"/>
        <v>5334.7510297532262</v>
      </c>
      <c r="EF22" s="2106">
        <f t="shared" si="39"/>
        <v>1.2748796250688585</v>
      </c>
      <c r="EG22" s="2106">
        <f t="shared" si="19"/>
        <v>680.11653926475003</v>
      </c>
      <c r="EH22" s="2106">
        <f t="shared" si="40"/>
        <v>1.8578841212492043</v>
      </c>
      <c r="EI22" s="2106">
        <f t="shared" si="41"/>
        <v>991.13492289963597</v>
      </c>
      <c r="EJ22" s="2106"/>
      <c r="EK22" s="2106"/>
      <c r="EL22" s="2106"/>
      <c r="EM22" s="2106">
        <f t="shared" si="58"/>
        <v>3.1327637463180622</v>
      </c>
      <c r="EN22" s="2106">
        <f t="shared" si="2"/>
        <v>1671.2514621643859</v>
      </c>
      <c r="EO22" s="2106">
        <f t="shared" si="16"/>
        <v>3.1327637463180622</v>
      </c>
      <c r="EP22" s="2114">
        <f t="shared" si="17"/>
        <v>3.1327637463180622</v>
      </c>
      <c r="EQ22" s="2224"/>
      <c r="ER22" s="2210"/>
      <c r="ES22" s="2209" t="s">
        <v>1659</v>
      </c>
      <c r="ET22" s="2224"/>
      <c r="EU22" s="2230"/>
      <c r="EV22" s="2224"/>
      <c r="EW22" s="2224"/>
      <c r="EX22" s="2224"/>
      <c r="EY22" s="2224"/>
      <c r="EZ22" s="2224"/>
      <c r="FA22" s="2224"/>
      <c r="FC22" s="2225"/>
      <c r="FD22" s="2225"/>
      <c r="FE22" s="2225"/>
      <c r="FF22" s="2225"/>
      <c r="FG22" s="2225"/>
      <c r="FH22" s="2225"/>
      <c r="FI22" s="2225"/>
    </row>
    <row r="23" spans="1:165" ht="15" customHeight="1">
      <c r="A23" s="2220">
        <v>12</v>
      </c>
      <c r="B23" s="2227" t="s">
        <v>1660</v>
      </c>
      <c r="C23" s="2146">
        <v>660</v>
      </c>
      <c r="D23" s="2147">
        <v>1</v>
      </c>
      <c r="E23" s="2228"/>
      <c r="F23" s="2148">
        <v>0</v>
      </c>
      <c r="G23" s="2146">
        <v>660</v>
      </c>
      <c r="H23" s="2149" t="s">
        <v>1649</v>
      </c>
      <c r="I23" s="2229">
        <v>2</v>
      </c>
      <c r="J23" s="2149">
        <v>393.38441999999998</v>
      </c>
      <c r="K23" s="2148"/>
      <c r="L23" s="2151"/>
      <c r="M23" s="2152">
        <f t="shared" si="3"/>
        <v>393.38441999999998</v>
      </c>
      <c r="N23" s="2149">
        <v>0</v>
      </c>
      <c r="O23" s="2109">
        <f t="shared" si="42"/>
        <v>0</v>
      </c>
      <c r="P23" s="2109"/>
      <c r="Q23" s="2109">
        <v>2.1848400000000003</v>
      </c>
      <c r="R23" s="2109">
        <f t="shared" si="4"/>
        <v>0</v>
      </c>
      <c r="S23" s="2109"/>
      <c r="T23" s="2109"/>
      <c r="U23" s="2109"/>
      <c r="V23" s="2109">
        <f t="shared" si="43"/>
        <v>0</v>
      </c>
      <c r="W23" s="2109">
        <f>P23+R23</f>
        <v>0</v>
      </c>
      <c r="X23" s="2149">
        <v>0</v>
      </c>
      <c r="Y23" s="2109">
        <f t="shared" si="44"/>
        <v>0</v>
      </c>
      <c r="Z23" s="2109"/>
      <c r="AA23" s="2109">
        <v>2.1848400000000003</v>
      </c>
      <c r="AB23" s="2109">
        <f t="shared" si="5"/>
        <v>0</v>
      </c>
      <c r="AC23" s="2135"/>
      <c r="AD23" s="2135"/>
      <c r="AE23" s="2135"/>
      <c r="AF23" s="2135">
        <f t="shared" si="45"/>
        <v>0</v>
      </c>
      <c r="AG23" s="2135">
        <f t="shared" si="46"/>
        <v>0</v>
      </c>
      <c r="AH23" s="2149">
        <v>0</v>
      </c>
      <c r="AI23" s="2109">
        <f t="shared" si="47"/>
        <v>0</v>
      </c>
      <c r="AJ23" s="2109"/>
      <c r="AK23" s="2109">
        <v>2.1848400000000003</v>
      </c>
      <c r="AL23" s="2109">
        <f t="shared" si="6"/>
        <v>0</v>
      </c>
      <c r="AM23" s="2135"/>
      <c r="AN23" s="2135"/>
      <c r="AO23" s="2135"/>
      <c r="AP23" s="2135">
        <f t="shared" si="48"/>
        <v>0</v>
      </c>
      <c r="AQ23" s="2135">
        <f>AL23+AJ23</f>
        <v>0</v>
      </c>
      <c r="AR23" s="2149">
        <v>0</v>
      </c>
      <c r="AS23" s="2109">
        <f t="shared" si="49"/>
        <v>0</v>
      </c>
      <c r="AT23" s="2109"/>
      <c r="AU23" s="2109">
        <v>2.1848400000000003</v>
      </c>
      <c r="AV23" s="2109">
        <f t="shared" si="7"/>
        <v>0</v>
      </c>
      <c r="AW23" s="2135"/>
      <c r="AX23" s="2135"/>
      <c r="AY23" s="2135"/>
      <c r="AZ23" s="2135">
        <f t="shared" si="20"/>
        <v>0</v>
      </c>
      <c r="BA23" s="2135">
        <f t="shared" si="21"/>
        <v>0</v>
      </c>
      <c r="BB23" s="2149">
        <v>0</v>
      </c>
      <c r="BC23" s="2109">
        <f t="shared" si="50"/>
        <v>0</v>
      </c>
      <c r="BD23" s="2109"/>
      <c r="BE23" s="2109">
        <v>2.1848400000000003</v>
      </c>
      <c r="BF23" s="2109">
        <f t="shared" si="8"/>
        <v>0</v>
      </c>
      <c r="BG23" s="2135"/>
      <c r="BH23" s="2135"/>
      <c r="BI23" s="2135"/>
      <c r="BJ23" s="2135">
        <f t="shared" si="22"/>
        <v>0</v>
      </c>
      <c r="BK23" s="2135">
        <f>BF23+BD23</f>
        <v>0</v>
      </c>
      <c r="BL23" s="2149">
        <v>0</v>
      </c>
      <c r="BM23" s="2109">
        <f t="shared" si="51"/>
        <v>0</v>
      </c>
      <c r="BN23" s="2109"/>
      <c r="BO23" s="2109">
        <v>2.1848400000000003</v>
      </c>
      <c r="BP23" s="2109">
        <f t="shared" si="9"/>
        <v>0</v>
      </c>
      <c r="BQ23" s="2135"/>
      <c r="BR23" s="2135"/>
      <c r="BS23" s="2135"/>
      <c r="BT23" s="2135">
        <f t="shared" si="24"/>
        <v>0</v>
      </c>
      <c r="BU23" s="2135">
        <f>BP23+BN23</f>
        <v>0</v>
      </c>
      <c r="BV23" s="2149">
        <v>0</v>
      </c>
      <c r="BW23" s="2109">
        <f t="shared" si="52"/>
        <v>0</v>
      </c>
      <c r="BX23" s="2109"/>
      <c r="BY23" s="2109">
        <v>2.1848400000000003</v>
      </c>
      <c r="BZ23" s="2109">
        <f t="shared" si="10"/>
        <v>0</v>
      </c>
      <c r="CA23" s="2135"/>
      <c r="CB23" s="2135"/>
      <c r="CC23" s="2135"/>
      <c r="CD23" s="2135">
        <f t="shared" si="26"/>
        <v>0</v>
      </c>
      <c r="CE23" s="2135">
        <f t="shared" si="27"/>
        <v>0</v>
      </c>
      <c r="CF23" s="2149">
        <v>0</v>
      </c>
      <c r="CG23" s="2109">
        <f t="shared" si="53"/>
        <v>0</v>
      </c>
      <c r="CH23" s="2109"/>
      <c r="CI23" s="2109">
        <v>2.1848400000000003</v>
      </c>
      <c r="CJ23" s="2109">
        <f t="shared" si="11"/>
        <v>0</v>
      </c>
      <c r="CK23" s="2135"/>
      <c r="CL23" s="2135"/>
      <c r="CM23" s="2135"/>
      <c r="CN23" s="2135">
        <f t="shared" si="28"/>
        <v>0</v>
      </c>
      <c r="CO23" s="2135">
        <f>CJ23+CH23</f>
        <v>0</v>
      </c>
      <c r="CP23" s="2149">
        <v>0</v>
      </c>
      <c r="CQ23" s="2109">
        <f t="shared" si="54"/>
        <v>0</v>
      </c>
      <c r="CR23" s="2109"/>
      <c r="CS23" s="2109">
        <v>2.1848400000000003</v>
      </c>
      <c r="CT23" s="2109">
        <f t="shared" si="12"/>
        <v>0</v>
      </c>
      <c r="CU23" s="2135"/>
      <c r="CV23" s="2135"/>
      <c r="CW23" s="2135"/>
      <c r="CX23" s="2135">
        <f t="shared" si="30"/>
        <v>0</v>
      </c>
      <c r="CY23" s="2135">
        <f t="shared" si="31"/>
        <v>0</v>
      </c>
      <c r="CZ23" s="2149">
        <v>0</v>
      </c>
      <c r="DA23" s="2109">
        <f t="shared" si="55"/>
        <v>0</v>
      </c>
      <c r="DB23" s="2109"/>
      <c r="DC23" s="2109">
        <v>2.1848400000000003</v>
      </c>
      <c r="DD23" s="2109">
        <f t="shared" si="13"/>
        <v>0</v>
      </c>
      <c r="DE23" s="2135"/>
      <c r="DF23" s="2135"/>
      <c r="DG23" s="2135"/>
      <c r="DH23" s="2135">
        <f t="shared" si="32"/>
        <v>0</v>
      </c>
      <c r="DI23" s="2135">
        <f t="shared" si="33"/>
        <v>0</v>
      </c>
      <c r="DJ23" s="2149">
        <v>0</v>
      </c>
      <c r="DK23" s="2109">
        <f t="shared" si="56"/>
        <v>0</v>
      </c>
      <c r="DL23" s="2109"/>
      <c r="DM23" s="2109">
        <v>2.1848400000000003</v>
      </c>
      <c r="DN23" s="2109">
        <f t="shared" si="14"/>
        <v>0</v>
      </c>
      <c r="DO23" s="2135"/>
      <c r="DP23" s="2135"/>
      <c r="DQ23" s="2135"/>
      <c r="DR23" s="2135">
        <f t="shared" si="34"/>
        <v>0</v>
      </c>
      <c r="DS23" s="2135">
        <f>DN23+DL23</f>
        <v>0</v>
      </c>
      <c r="DT23" s="2149">
        <v>393.38441999999998</v>
      </c>
      <c r="DU23" s="2109">
        <f t="shared" si="57"/>
        <v>2.5</v>
      </c>
      <c r="DV23" s="2109">
        <v>98.346104999999994</v>
      </c>
      <c r="DW23" s="2109">
        <v>2.1848400000000003</v>
      </c>
      <c r="DX23" s="2109">
        <f t="shared" si="15"/>
        <v>85.948201619280013</v>
      </c>
      <c r="DY23" s="2135"/>
      <c r="DZ23" s="2135"/>
      <c r="EA23" s="2135"/>
      <c r="EB23" s="2135">
        <f t="shared" si="36"/>
        <v>4.6848400000000003</v>
      </c>
      <c r="EC23" s="2135">
        <f t="shared" si="37"/>
        <v>184.29430661928001</v>
      </c>
      <c r="ED23" s="2135"/>
      <c r="EE23" s="2106">
        <f t="shared" si="38"/>
        <v>393.38441999999998</v>
      </c>
      <c r="EF23" s="2106">
        <f t="shared" si="39"/>
        <v>2.5</v>
      </c>
      <c r="EG23" s="2106">
        <f t="shared" si="19"/>
        <v>98.346104999999994</v>
      </c>
      <c r="EH23" s="2106">
        <f t="shared" si="40"/>
        <v>2.1848400000000003</v>
      </c>
      <c r="EI23" s="2106">
        <f t="shared" si="41"/>
        <v>85.948201619280013</v>
      </c>
      <c r="EJ23" s="2106"/>
      <c r="EK23" s="2106"/>
      <c r="EL23" s="2106"/>
      <c r="EM23" s="2106">
        <f t="shared" si="58"/>
        <v>4.6848400000000003</v>
      </c>
      <c r="EN23" s="2106">
        <f t="shared" si="2"/>
        <v>184.29430661928001</v>
      </c>
      <c r="EO23" s="2106"/>
      <c r="EP23" s="2114"/>
      <c r="EQ23" s="2224"/>
      <c r="ER23" s="2210"/>
      <c r="ES23" s="2209" t="e">
        <v>#N/A</v>
      </c>
      <c r="ET23" s="2224"/>
      <c r="EU23" s="2230"/>
      <c r="EV23" s="2224"/>
      <c r="EW23" s="2224"/>
      <c r="EX23" s="2224"/>
      <c r="EY23" s="2224"/>
      <c r="EZ23" s="2224"/>
      <c r="FA23" s="2224"/>
      <c r="FC23" s="2225"/>
      <c r="FD23" s="2225"/>
      <c r="FE23" s="2225"/>
      <c r="FF23" s="2225"/>
      <c r="FG23" s="2225"/>
      <c r="FH23" s="2225"/>
      <c r="FI23" s="2225"/>
    </row>
    <row r="24" spans="1:165" ht="15" customHeight="1">
      <c r="A24" s="2220">
        <v>13</v>
      </c>
      <c r="B24" s="2227" t="s">
        <v>1661</v>
      </c>
      <c r="C24" s="2146">
        <v>660</v>
      </c>
      <c r="D24" s="2147">
        <v>1</v>
      </c>
      <c r="E24" s="2228"/>
      <c r="F24" s="2148">
        <v>0.85</v>
      </c>
      <c r="G24" s="2146">
        <v>660</v>
      </c>
      <c r="H24" s="2149" t="s">
        <v>1649</v>
      </c>
      <c r="I24" s="2229">
        <v>2</v>
      </c>
      <c r="J24" s="2149">
        <v>1941.5424599999999</v>
      </c>
      <c r="K24" s="2148"/>
      <c r="L24" s="2151"/>
      <c r="M24" s="2152">
        <f t="shared" si="3"/>
        <v>1941.5424599999999</v>
      </c>
      <c r="N24" s="2149">
        <v>0</v>
      </c>
      <c r="O24" s="2109">
        <f t="shared" si="42"/>
        <v>0</v>
      </c>
      <c r="P24" s="2109">
        <v>81.056225249999997</v>
      </c>
      <c r="Q24" s="2109">
        <v>3.3292800000000002</v>
      </c>
      <c r="R24" s="2109">
        <f t="shared" si="4"/>
        <v>0</v>
      </c>
      <c r="S24" s="2109"/>
      <c r="T24" s="2109"/>
      <c r="U24" s="2109"/>
      <c r="V24" s="2109">
        <f t="shared" si="43"/>
        <v>0</v>
      </c>
      <c r="W24" s="2109">
        <f t="shared" si="18"/>
        <v>81.056225249999997</v>
      </c>
      <c r="X24" s="2149">
        <v>393.38441999999998</v>
      </c>
      <c r="Y24" s="2109">
        <f t="shared" si="44"/>
        <v>2.060483870967742</v>
      </c>
      <c r="Z24" s="2109">
        <v>81.056225249999997</v>
      </c>
      <c r="AA24" s="2109">
        <v>3.3292800000000002</v>
      </c>
      <c r="AB24" s="2109">
        <f t="shared" si="5"/>
        <v>130.96868818176</v>
      </c>
      <c r="AC24" s="2135"/>
      <c r="AD24" s="2135"/>
      <c r="AE24" s="2135"/>
      <c r="AF24" s="2135">
        <f t="shared" si="45"/>
        <v>5.3897638709677418</v>
      </c>
      <c r="AG24" s="2135">
        <f t="shared" si="46"/>
        <v>212.02491343176001</v>
      </c>
      <c r="AH24" s="2149">
        <v>380.69459999999998</v>
      </c>
      <c r="AI24" s="2109">
        <f t="shared" si="47"/>
        <v>2.1291666666666669</v>
      </c>
      <c r="AJ24" s="2109">
        <v>81.056225249999997</v>
      </c>
      <c r="AK24" s="2109">
        <v>3.3292800000000002</v>
      </c>
      <c r="AL24" s="2109">
        <f t="shared" si="6"/>
        <v>126.74389178880001</v>
      </c>
      <c r="AM24" s="2135"/>
      <c r="AN24" s="2135"/>
      <c r="AO24" s="2135"/>
      <c r="AP24" s="2135">
        <f t="shared" si="48"/>
        <v>5.4584466666666671</v>
      </c>
      <c r="AQ24" s="2135">
        <f t="shared" si="0"/>
        <v>207.80011703880001</v>
      </c>
      <c r="AR24" s="2149">
        <v>393.38441999999998</v>
      </c>
      <c r="AS24" s="2109">
        <f t="shared" si="49"/>
        <v>2.060483870967742</v>
      </c>
      <c r="AT24" s="2109">
        <v>81.056225249999997</v>
      </c>
      <c r="AU24" s="2109">
        <v>3.3292800000000002</v>
      </c>
      <c r="AV24" s="2109">
        <f t="shared" si="7"/>
        <v>130.96868818176</v>
      </c>
      <c r="AW24" s="2135"/>
      <c r="AX24" s="2135"/>
      <c r="AY24" s="2135"/>
      <c r="AZ24" s="2135">
        <f t="shared" si="20"/>
        <v>5.3897638709677418</v>
      </c>
      <c r="BA24" s="2135">
        <f t="shared" si="21"/>
        <v>212.02491343176001</v>
      </c>
      <c r="BB24" s="2149">
        <v>393.38441999999998</v>
      </c>
      <c r="BC24" s="2109">
        <f t="shared" si="50"/>
        <v>2.060483870967742</v>
      </c>
      <c r="BD24" s="2109">
        <v>81.056225249999997</v>
      </c>
      <c r="BE24" s="2109">
        <v>3.3292800000000002</v>
      </c>
      <c r="BF24" s="2109">
        <f t="shared" si="8"/>
        <v>130.96868818176</v>
      </c>
      <c r="BG24" s="2135"/>
      <c r="BH24" s="2135"/>
      <c r="BI24" s="2135"/>
      <c r="BJ24" s="2135">
        <f t="shared" si="22"/>
        <v>5.3897638709677418</v>
      </c>
      <c r="BK24" s="2135">
        <f t="shared" si="23"/>
        <v>212.02491343176001</v>
      </c>
      <c r="BL24" s="2149">
        <v>380.69459999999998</v>
      </c>
      <c r="BM24" s="2109">
        <f t="shared" si="51"/>
        <v>2.1291666666666669</v>
      </c>
      <c r="BN24" s="2109">
        <v>81.056225249999997</v>
      </c>
      <c r="BO24" s="2109">
        <v>3.3292800000000002</v>
      </c>
      <c r="BP24" s="2109">
        <f t="shared" si="9"/>
        <v>126.74389178880001</v>
      </c>
      <c r="BQ24" s="2135"/>
      <c r="BR24" s="2135"/>
      <c r="BS24" s="2135"/>
      <c r="BT24" s="2135">
        <f t="shared" si="24"/>
        <v>5.4584466666666671</v>
      </c>
      <c r="BU24" s="2135">
        <f t="shared" si="25"/>
        <v>207.80011703880001</v>
      </c>
      <c r="BV24" s="2149">
        <v>0</v>
      </c>
      <c r="BW24" s="2109">
        <f t="shared" si="52"/>
        <v>0</v>
      </c>
      <c r="BX24" s="2109">
        <v>81.056225249999997</v>
      </c>
      <c r="BY24" s="2109">
        <v>3.3292800000000002</v>
      </c>
      <c r="BZ24" s="2109">
        <f t="shared" si="10"/>
        <v>0</v>
      </c>
      <c r="CA24" s="2135"/>
      <c r="CB24" s="2135"/>
      <c r="CC24" s="2135"/>
      <c r="CD24" s="2135">
        <f t="shared" si="26"/>
        <v>0</v>
      </c>
      <c r="CE24" s="2135">
        <f t="shared" si="27"/>
        <v>81.056225249999997</v>
      </c>
      <c r="CF24" s="2149">
        <v>0</v>
      </c>
      <c r="CG24" s="2109">
        <f t="shared" si="53"/>
        <v>0</v>
      </c>
      <c r="CH24" s="2109">
        <v>81.056225249999997</v>
      </c>
      <c r="CI24" s="2109">
        <v>3.3292800000000002</v>
      </c>
      <c r="CJ24" s="2109">
        <f t="shared" si="11"/>
        <v>0</v>
      </c>
      <c r="CK24" s="2135"/>
      <c r="CL24" s="2135"/>
      <c r="CM24" s="2135"/>
      <c r="CN24" s="2135">
        <f t="shared" si="28"/>
        <v>0</v>
      </c>
      <c r="CO24" s="2135">
        <f t="shared" si="29"/>
        <v>81.056225249999997</v>
      </c>
      <c r="CP24" s="2149">
        <v>0</v>
      </c>
      <c r="CQ24" s="2109">
        <f t="shared" si="54"/>
        <v>0</v>
      </c>
      <c r="CR24" s="2109">
        <v>81.056225249999997</v>
      </c>
      <c r="CS24" s="2109">
        <v>3.3292800000000002</v>
      </c>
      <c r="CT24" s="2109">
        <f t="shared" si="12"/>
        <v>0</v>
      </c>
      <c r="CU24" s="2135"/>
      <c r="CV24" s="2135"/>
      <c r="CW24" s="2135"/>
      <c r="CX24" s="2135">
        <f t="shared" si="30"/>
        <v>0</v>
      </c>
      <c r="CY24" s="2135">
        <f t="shared" si="31"/>
        <v>81.056225249999997</v>
      </c>
      <c r="CZ24" s="2149">
        <v>0</v>
      </c>
      <c r="DA24" s="2109">
        <f t="shared" si="55"/>
        <v>0</v>
      </c>
      <c r="DB24" s="2109">
        <v>81.056225249999997</v>
      </c>
      <c r="DC24" s="2109">
        <v>3.3292800000000002</v>
      </c>
      <c r="DD24" s="2109">
        <f t="shared" si="13"/>
        <v>0</v>
      </c>
      <c r="DE24" s="2135"/>
      <c r="DF24" s="2135"/>
      <c r="DG24" s="2135"/>
      <c r="DH24" s="2135">
        <f t="shared" si="32"/>
        <v>0</v>
      </c>
      <c r="DI24" s="2135">
        <f t="shared" si="33"/>
        <v>81.056225249999997</v>
      </c>
      <c r="DJ24" s="2149">
        <v>0</v>
      </c>
      <c r="DK24" s="2109">
        <f t="shared" si="56"/>
        <v>0</v>
      </c>
      <c r="DL24" s="2109">
        <v>81.056225249999997</v>
      </c>
      <c r="DM24" s="2109">
        <v>3.3292800000000002</v>
      </c>
      <c r="DN24" s="2109">
        <f t="shared" si="14"/>
        <v>0</v>
      </c>
      <c r="DO24" s="2135"/>
      <c r="DP24" s="2135"/>
      <c r="DQ24" s="2135"/>
      <c r="DR24" s="2135">
        <f t="shared" si="34"/>
        <v>0</v>
      </c>
      <c r="DS24" s="2135">
        <f t="shared" si="35"/>
        <v>81.056225249999997</v>
      </c>
      <c r="DT24" s="2149">
        <v>0</v>
      </c>
      <c r="DU24" s="2109">
        <f t="shared" si="57"/>
        <v>0</v>
      </c>
      <c r="DV24" s="2109">
        <v>81.056225249999997</v>
      </c>
      <c r="DW24" s="2109">
        <v>3.3292800000000002</v>
      </c>
      <c r="DX24" s="2109">
        <f t="shared" si="15"/>
        <v>0</v>
      </c>
      <c r="DY24" s="2135"/>
      <c r="DZ24" s="2135"/>
      <c r="EA24" s="2135"/>
      <c r="EB24" s="2135">
        <f t="shared" si="36"/>
        <v>0</v>
      </c>
      <c r="EC24" s="2135">
        <f t="shared" si="37"/>
        <v>81.056225249999997</v>
      </c>
      <c r="ED24" s="2135"/>
      <c r="EE24" s="2106">
        <f t="shared" si="38"/>
        <v>1941.5424599999999</v>
      </c>
      <c r="EF24" s="2106">
        <f t="shared" si="39"/>
        <v>5.0098039215686274</v>
      </c>
      <c r="EG24" s="2106">
        <f t="shared" si="19"/>
        <v>972.67470300000002</v>
      </c>
      <c r="EH24" s="2106">
        <f t="shared" si="40"/>
        <v>3.3292800000000007</v>
      </c>
      <c r="EI24" s="2106">
        <f t="shared" si="41"/>
        <v>646.39384812288006</v>
      </c>
      <c r="EJ24" s="2106"/>
      <c r="EK24" s="2106"/>
      <c r="EL24" s="2106"/>
      <c r="EM24" s="2106">
        <f t="shared" si="58"/>
        <v>8.3390839215686281</v>
      </c>
      <c r="EN24" s="2106">
        <f t="shared" si="2"/>
        <v>1619.0685511228801</v>
      </c>
      <c r="EO24" s="2106">
        <f t="shared" si="16"/>
        <v>8.3390839215686281</v>
      </c>
      <c r="EP24" s="2114">
        <f t="shared" si="17"/>
        <v>8.3390839215686281</v>
      </c>
      <c r="EQ24" s="2224"/>
      <c r="ER24" s="2210"/>
      <c r="ES24" s="2209" t="e">
        <v>#N/A</v>
      </c>
      <c r="ET24" s="2224"/>
      <c r="EU24" s="2230"/>
      <c r="EV24" s="2224"/>
      <c r="EW24" s="2224"/>
      <c r="EX24" s="2224"/>
      <c r="EY24" s="2224"/>
      <c r="EZ24" s="2224"/>
      <c r="FA24" s="2224"/>
      <c r="FC24" s="2225"/>
      <c r="FD24" s="2225"/>
      <c r="FE24" s="2225"/>
      <c r="FF24" s="2225"/>
      <c r="FG24" s="2225"/>
      <c r="FH24" s="2225"/>
      <c r="FI24" s="2225"/>
    </row>
    <row r="25" spans="1:165" ht="15" customHeight="1">
      <c r="A25" s="2220">
        <v>14</v>
      </c>
      <c r="B25" s="2227" t="s">
        <v>1662</v>
      </c>
      <c r="C25" s="2146">
        <v>1320</v>
      </c>
      <c r="D25" s="2147">
        <v>1</v>
      </c>
      <c r="E25" s="2228"/>
      <c r="F25" s="2148">
        <v>0</v>
      </c>
      <c r="G25" s="2146">
        <v>1302</v>
      </c>
      <c r="H25" s="2149" t="s">
        <v>1649</v>
      </c>
      <c r="I25" s="2229">
        <v>2</v>
      </c>
      <c r="J25" s="2149">
        <v>3477.0106800000003</v>
      </c>
      <c r="K25" s="2148"/>
      <c r="L25" s="2151"/>
      <c r="M25" s="2152">
        <f t="shared" si="3"/>
        <v>3477.0106800000003</v>
      </c>
      <c r="N25" s="2149">
        <v>0</v>
      </c>
      <c r="O25" s="2109">
        <f t="shared" si="42"/>
        <v>0</v>
      </c>
      <c r="P25" s="2109"/>
      <c r="Q25" s="2109">
        <v>2.0183759999999999</v>
      </c>
      <c r="R25" s="2109">
        <f t="shared" si="4"/>
        <v>0</v>
      </c>
      <c r="S25" s="2109"/>
      <c r="T25" s="2109"/>
      <c r="U25" s="2109"/>
      <c r="V25" s="2109">
        <f t="shared" si="43"/>
        <v>0</v>
      </c>
      <c r="W25" s="2109">
        <f t="shared" si="18"/>
        <v>0</v>
      </c>
      <c r="X25" s="2149">
        <v>0</v>
      </c>
      <c r="Y25" s="2109">
        <f t="shared" si="44"/>
        <v>0</v>
      </c>
      <c r="Z25" s="2109"/>
      <c r="AA25" s="2109">
        <v>2.0183759999999999</v>
      </c>
      <c r="AB25" s="2109">
        <f t="shared" si="5"/>
        <v>0</v>
      </c>
      <c r="AC25" s="2135"/>
      <c r="AD25" s="2135"/>
      <c r="AE25" s="2135"/>
      <c r="AF25" s="2135">
        <f t="shared" si="45"/>
        <v>0</v>
      </c>
      <c r="AG25" s="2135">
        <f t="shared" si="46"/>
        <v>0</v>
      </c>
      <c r="AH25" s="2149">
        <v>0</v>
      </c>
      <c r="AI25" s="2109">
        <f t="shared" si="47"/>
        <v>0</v>
      </c>
      <c r="AJ25" s="2109"/>
      <c r="AK25" s="2109">
        <v>2.0183759999999999</v>
      </c>
      <c r="AL25" s="2109">
        <f t="shared" si="6"/>
        <v>0</v>
      </c>
      <c r="AM25" s="2135"/>
      <c r="AN25" s="2135"/>
      <c r="AO25" s="2135"/>
      <c r="AP25" s="2135">
        <f t="shared" si="48"/>
        <v>0</v>
      </c>
      <c r="AQ25" s="2135">
        <f t="shared" si="0"/>
        <v>0</v>
      </c>
      <c r="AR25" s="2149">
        <v>0</v>
      </c>
      <c r="AS25" s="2109">
        <f t="shared" si="49"/>
        <v>0</v>
      </c>
      <c r="AT25" s="2109"/>
      <c r="AU25" s="2109">
        <v>2.0183759999999999</v>
      </c>
      <c r="AV25" s="2109">
        <f t="shared" si="7"/>
        <v>0</v>
      </c>
      <c r="AW25" s="2135"/>
      <c r="AX25" s="2135"/>
      <c r="AY25" s="2135"/>
      <c r="AZ25" s="2135">
        <f t="shared" si="20"/>
        <v>0</v>
      </c>
      <c r="BA25" s="2135">
        <f t="shared" si="21"/>
        <v>0</v>
      </c>
      <c r="BB25" s="2149">
        <v>393.38441999999998</v>
      </c>
      <c r="BC25" s="2109">
        <f t="shared" si="50"/>
        <v>2.8578629032258061</v>
      </c>
      <c r="BD25" s="2109">
        <v>112.42387406249999</v>
      </c>
      <c r="BE25" s="2109">
        <v>2.0183759999999999</v>
      </c>
      <c r="BF25" s="2109">
        <f t="shared" si="8"/>
        <v>79.399767210191996</v>
      </c>
      <c r="BG25" s="2135"/>
      <c r="BH25" s="2135"/>
      <c r="BI25" s="2135"/>
      <c r="BJ25" s="2135">
        <f t="shared" si="22"/>
        <v>4.876238903225806</v>
      </c>
      <c r="BK25" s="2135">
        <f t="shared" si="23"/>
        <v>191.82364127269199</v>
      </c>
      <c r="BL25" s="2149">
        <v>380.69459999999998</v>
      </c>
      <c r="BM25" s="2109">
        <f t="shared" si="51"/>
        <v>2.953125</v>
      </c>
      <c r="BN25" s="2109">
        <v>112.42387406249999</v>
      </c>
      <c r="BO25" s="2109">
        <v>2.0183759999999999</v>
      </c>
      <c r="BP25" s="2109">
        <f t="shared" si="9"/>
        <v>76.838484396959998</v>
      </c>
      <c r="BQ25" s="2135"/>
      <c r="BR25" s="2135"/>
      <c r="BS25" s="2135"/>
      <c r="BT25" s="2135">
        <f t="shared" si="24"/>
        <v>4.9715009999999999</v>
      </c>
      <c r="BU25" s="2135">
        <f t="shared" si="25"/>
        <v>189.26235845945999</v>
      </c>
      <c r="BV25" s="2149">
        <v>393.38441999999998</v>
      </c>
      <c r="BW25" s="2109">
        <f t="shared" si="52"/>
        <v>2.8578629032258061</v>
      </c>
      <c r="BX25" s="2109">
        <v>112.42387406249999</v>
      </c>
      <c r="BY25" s="2109">
        <v>2.0183759999999999</v>
      </c>
      <c r="BZ25" s="2109">
        <f t="shared" si="10"/>
        <v>79.399767210191996</v>
      </c>
      <c r="CA25" s="2135"/>
      <c r="CB25" s="2135"/>
      <c r="CC25" s="2135"/>
      <c r="CD25" s="2135">
        <f t="shared" si="26"/>
        <v>4.876238903225806</v>
      </c>
      <c r="CE25" s="2135">
        <f t="shared" si="27"/>
        <v>191.82364127269199</v>
      </c>
      <c r="CF25" s="2149">
        <v>380.69459999999998</v>
      </c>
      <c r="CG25" s="2109">
        <f t="shared" si="53"/>
        <v>2.953125</v>
      </c>
      <c r="CH25" s="2109">
        <v>112.42387406249999</v>
      </c>
      <c r="CI25" s="2109">
        <v>2.0183759999999999</v>
      </c>
      <c r="CJ25" s="2109">
        <f t="shared" si="11"/>
        <v>76.838484396959998</v>
      </c>
      <c r="CK25" s="2135"/>
      <c r="CL25" s="2135"/>
      <c r="CM25" s="2135"/>
      <c r="CN25" s="2135">
        <f t="shared" si="28"/>
        <v>4.9715009999999999</v>
      </c>
      <c r="CO25" s="2135">
        <f t="shared" si="29"/>
        <v>189.26235845945999</v>
      </c>
      <c r="CP25" s="2149">
        <v>393.38441999999998</v>
      </c>
      <c r="CQ25" s="2109">
        <f t="shared" si="54"/>
        <v>2.8578629032258061</v>
      </c>
      <c r="CR25" s="2109">
        <v>112.42387406249999</v>
      </c>
      <c r="CS25" s="2109">
        <v>2.0183759999999999</v>
      </c>
      <c r="CT25" s="2109">
        <f t="shared" si="12"/>
        <v>79.399767210191996</v>
      </c>
      <c r="CU25" s="2135"/>
      <c r="CV25" s="2135"/>
      <c r="CW25" s="2135"/>
      <c r="CX25" s="2135">
        <f t="shared" si="30"/>
        <v>4.876238903225806</v>
      </c>
      <c r="CY25" s="2135">
        <f t="shared" si="31"/>
        <v>191.82364127269199</v>
      </c>
      <c r="CZ25" s="2149">
        <v>393.38441999999998</v>
      </c>
      <c r="DA25" s="2109">
        <f t="shared" si="55"/>
        <v>2.8578629032258061</v>
      </c>
      <c r="DB25" s="2109">
        <v>112.42387406249999</v>
      </c>
      <c r="DC25" s="2109">
        <v>2.0183759999999999</v>
      </c>
      <c r="DD25" s="2109">
        <f t="shared" si="13"/>
        <v>79.399767210191996</v>
      </c>
      <c r="DE25" s="2135"/>
      <c r="DF25" s="2135"/>
      <c r="DG25" s="2135"/>
      <c r="DH25" s="2135">
        <f t="shared" si="32"/>
        <v>4.876238903225806</v>
      </c>
      <c r="DI25" s="2135">
        <f t="shared" si="33"/>
        <v>191.82364127269199</v>
      </c>
      <c r="DJ25" s="2149">
        <v>355.31495999999999</v>
      </c>
      <c r="DK25" s="2109">
        <f t="shared" si="56"/>
        <v>3.1640625</v>
      </c>
      <c r="DL25" s="2109">
        <v>112.42387406249999</v>
      </c>
      <c r="DM25" s="2109">
        <v>2.0183759999999999</v>
      </c>
      <c r="DN25" s="2109">
        <f t="shared" si="14"/>
        <v>71.715918770496003</v>
      </c>
      <c r="DO25" s="2135"/>
      <c r="DP25" s="2135"/>
      <c r="DQ25" s="2135"/>
      <c r="DR25" s="2135">
        <f t="shared" si="34"/>
        <v>5.1824384999999999</v>
      </c>
      <c r="DS25" s="2135">
        <f t="shared" si="35"/>
        <v>184.13979283299599</v>
      </c>
      <c r="DT25" s="2149">
        <v>786.76883999999995</v>
      </c>
      <c r="DU25" s="2109">
        <f t="shared" si="57"/>
        <v>1.428931451612903</v>
      </c>
      <c r="DV25" s="2109">
        <v>112.42387406249999</v>
      </c>
      <c r="DW25" s="2109">
        <v>2.0183759999999999</v>
      </c>
      <c r="DX25" s="2109">
        <f t="shared" si="15"/>
        <v>158.79953442038399</v>
      </c>
      <c r="DY25" s="2135"/>
      <c r="DZ25" s="2135"/>
      <c r="EA25" s="2135"/>
      <c r="EB25" s="2135">
        <f t="shared" si="36"/>
        <v>3.447307451612903</v>
      </c>
      <c r="EC25" s="2135">
        <f t="shared" si="37"/>
        <v>271.223408482884</v>
      </c>
      <c r="ED25" s="2135"/>
      <c r="EE25" s="2106">
        <f t="shared" si="38"/>
        <v>3477.0106800000003</v>
      </c>
      <c r="EF25" s="2106">
        <f>IFERROR((EG25/EE25)*10,0)</f>
        <v>2.586678832116788</v>
      </c>
      <c r="EG25" s="2106">
        <f t="shared" si="19"/>
        <v>899.39099249999992</v>
      </c>
      <c r="EH25" s="2106">
        <f t="shared" si="40"/>
        <v>2.0183759999999999</v>
      </c>
      <c r="EI25" s="2106">
        <f t="shared" si="41"/>
        <v>701.79149082556808</v>
      </c>
      <c r="EJ25" s="2106"/>
      <c r="EK25" s="2106"/>
      <c r="EL25" s="2106"/>
      <c r="EM25" s="2106">
        <f t="shared" si="58"/>
        <v>4.6050548321167879</v>
      </c>
      <c r="EN25" s="2106">
        <f t="shared" si="2"/>
        <v>1601.182483325568</v>
      </c>
      <c r="EO25" s="2106">
        <f t="shared" si="16"/>
        <v>4.6050548321167879</v>
      </c>
      <c r="EP25" s="2114">
        <f t="shared" si="17"/>
        <v>4.6050548321167879</v>
      </c>
      <c r="EQ25" s="2224"/>
      <c r="ER25" s="2210"/>
      <c r="ES25" s="2209" t="e">
        <v>#N/A</v>
      </c>
      <c r="ET25" s="2224"/>
      <c r="EU25" s="2230"/>
      <c r="EV25" s="2224"/>
      <c r="EW25" s="2224"/>
      <c r="EX25" s="2224"/>
      <c r="EY25" s="2224"/>
      <c r="EZ25" s="2224"/>
      <c r="FA25" s="2224"/>
      <c r="FC25" s="2225"/>
      <c r="FD25" s="2225"/>
      <c r="FE25" s="2225"/>
      <c r="FF25" s="2225"/>
      <c r="FG25" s="2225"/>
      <c r="FH25" s="2225"/>
      <c r="FI25" s="2225"/>
    </row>
    <row r="26" spans="1:165" ht="15" customHeight="1">
      <c r="A26" s="2220">
        <v>15</v>
      </c>
      <c r="B26" s="2227" t="s">
        <v>1663</v>
      </c>
      <c r="C26" s="2146">
        <v>1320</v>
      </c>
      <c r="D26" s="2147">
        <v>1</v>
      </c>
      <c r="E26" s="2228"/>
      <c r="F26" s="2148">
        <v>0</v>
      </c>
      <c r="G26" s="2146">
        <v>1320</v>
      </c>
      <c r="H26" s="2149" t="s">
        <v>1649</v>
      </c>
      <c r="I26" s="2229">
        <v>2</v>
      </c>
      <c r="J26" s="2149">
        <v>774.0790199999999</v>
      </c>
      <c r="K26" s="2231"/>
      <c r="L26" s="2151"/>
      <c r="M26" s="2152">
        <f>J26*(1-K43)*(1-L26)</f>
        <v>747.21550077899997</v>
      </c>
      <c r="N26" s="2149">
        <v>0</v>
      </c>
      <c r="O26" s="2109">
        <f t="shared" si="42"/>
        <v>0</v>
      </c>
      <c r="P26" s="2109"/>
      <c r="Q26" s="2109">
        <v>2.7882720000000001</v>
      </c>
      <c r="R26" s="2109">
        <f t="shared" si="4"/>
        <v>0</v>
      </c>
      <c r="S26" s="2109"/>
      <c r="T26" s="2109"/>
      <c r="U26" s="2109"/>
      <c r="V26" s="2109">
        <f t="shared" si="43"/>
        <v>0</v>
      </c>
      <c r="W26" s="2109">
        <f>P26+R26</f>
        <v>0</v>
      </c>
      <c r="X26" s="2149">
        <v>0</v>
      </c>
      <c r="Y26" s="2109">
        <f t="shared" si="44"/>
        <v>0</v>
      </c>
      <c r="Z26" s="2109"/>
      <c r="AA26" s="2109">
        <v>2.7882720000000001</v>
      </c>
      <c r="AB26" s="2109">
        <f t="shared" si="5"/>
        <v>0</v>
      </c>
      <c r="AC26" s="2135"/>
      <c r="AD26" s="2135"/>
      <c r="AE26" s="2135"/>
      <c r="AF26" s="2135">
        <f t="shared" si="45"/>
        <v>0</v>
      </c>
      <c r="AG26" s="2135">
        <f>Z26+AB26</f>
        <v>0</v>
      </c>
      <c r="AH26" s="2149">
        <v>0</v>
      </c>
      <c r="AI26" s="2109">
        <f t="shared" si="47"/>
        <v>0</v>
      </c>
      <c r="AJ26" s="2109"/>
      <c r="AK26" s="2109">
        <v>2.7882720000000001</v>
      </c>
      <c r="AL26" s="2109">
        <f t="shared" si="6"/>
        <v>0</v>
      </c>
      <c r="AM26" s="2135"/>
      <c r="AN26" s="2135"/>
      <c r="AO26" s="2135"/>
      <c r="AP26" s="2135">
        <f t="shared" si="48"/>
        <v>0</v>
      </c>
      <c r="AQ26" s="2135">
        <f>AL26+AJ26</f>
        <v>0</v>
      </c>
      <c r="AR26" s="2149">
        <v>0</v>
      </c>
      <c r="AS26" s="2109">
        <f t="shared" si="49"/>
        <v>0</v>
      </c>
      <c r="AT26" s="2109"/>
      <c r="AU26" s="2109">
        <v>2.7882720000000001</v>
      </c>
      <c r="AV26" s="2109">
        <f t="shared" si="7"/>
        <v>0</v>
      </c>
      <c r="AW26" s="2135"/>
      <c r="AX26" s="2135"/>
      <c r="AY26" s="2135"/>
      <c r="AZ26" s="2135">
        <f t="shared" si="20"/>
        <v>0</v>
      </c>
      <c r="BA26" s="2135">
        <f>AV26+AT26</f>
        <v>0</v>
      </c>
      <c r="BB26" s="2149">
        <v>393.38441999999998</v>
      </c>
      <c r="BC26" s="2109">
        <f t="shared" si="50"/>
        <v>2.721774193548387</v>
      </c>
      <c r="BD26" s="2109">
        <v>107.07035624999999</v>
      </c>
      <c r="BE26" s="2109">
        <v>2.7882720000000001</v>
      </c>
      <c r="BF26" s="2109">
        <f t="shared" si="8"/>
        <v>109.68627635222398</v>
      </c>
      <c r="BG26" s="2135"/>
      <c r="BH26" s="2135"/>
      <c r="BI26" s="2135"/>
      <c r="BJ26" s="2135">
        <f t="shared" si="22"/>
        <v>5.5100461935483871</v>
      </c>
      <c r="BK26" s="2135">
        <f t="shared" si="23"/>
        <v>216.75663260222399</v>
      </c>
      <c r="BL26" s="2149">
        <v>380.69459999999998</v>
      </c>
      <c r="BM26" s="2109">
        <f t="shared" si="51"/>
        <v>2.8125</v>
      </c>
      <c r="BN26" s="2109">
        <v>107.07035624999999</v>
      </c>
      <c r="BO26" s="2109">
        <v>2.7882720000000001</v>
      </c>
      <c r="BP26" s="2109">
        <f t="shared" si="9"/>
        <v>106.14800937312</v>
      </c>
      <c r="BQ26" s="2135"/>
      <c r="BR26" s="2135"/>
      <c r="BS26" s="2135"/>
      <c r="BT26" s="2135">
        <f t="shared" si="24"/>
        <v>5.600772000000001</v>
      </c>
      <c r="BU26" s="2135">
        <f t="shared" si="25"/>
        <v>213.21836562312001</v>
      </c>
      <c r="BV26" s="2149">
        <v>0</v>
      </c>
      <c r="BW26" s="2109">
        <f t="shared" si="52"/>
        <v>0</v>
      </c>
      <c r="BX26" s="2109">
        <v>107.07035624999999</v>
      </c>
      <c r="BY26" s="2109">
        <v>2.7882720000000001</v>
      </c>
      <c r="BZ26" s="2109">
        <f t="shared" si="10"/>
        <v>0</v>
      </c>
      <c r="CA26" s="2135"/>
      <c r="CB26" s="2135"/>
      <c r="CC26" s="2135"/>
      <c r="CD26" s="2135">
        <f t="shared" si="26"/>
        <v>0</v>
      </c>
      <c r="CE26" s="2135">
        <f t="shared" si="27"/>
        <v>107.07035624999999</v>
      </c>
      <c r="CF26" s="2149">
        <v>0</v>
      </c>
      <c r="CG26" s="2109">
        <f t="shared" si="53"/>
        <v>0</v>
      </c>
      <c r="CH26" s="2109">
        <v>107.07035624999999</v>
      </c>
      <c r="CI26" s="2109">
        <v>2.7882720000000001</v>
      </c>
      <c r="CJ26" s="2109">
        <f t="shared" si="11"/>
        <v>0</v>
      </c>
      <c r="CK26" s="2135"/>
      <c r="CL26" s="2135"/>
      <c r="CM26" s="2135"/>
      <c r="CN26" s="2135">
        <f t="shared" si="28"/>
        <v>0</v>
      </c>
      <c r="CO26" s="2135">
        <f t="shared" si="29"/>
        <v>107.07035624999999</v>
      </c>
      <c r="CP26" s="2149">
        <v>0</v>
      </c>
      <c r="CQ26" s="2109">
        <f t="shared" si="54"/>
        <v>0</v>
      </c>
      <c r="CR26" s="2109">
        <v>107.07035624999999</v>
      </c>
      <c r="CS26" s="2109">
        <v>2.7882720000000001</v>
      </c>
      <c r="CT26" s="2109">
        <f t="shared" si="12"/>
        <v>0</v>
      </c>
      <c r="CU26" s="2135"/>
      <c r="CV26" s="2135"/>
      <c r="CW26" s="2135"/>
      <c r="CX26" s="2135">
        <f t="shared" si="30"/>
        <v>0</v>
      </c>
      <c r="CY26" s="2135">
        <f t="shared" si="31"/>
        <v>107.07035624999999</v>
      </c>
      <c r="CZ26" s="2149">
        <v>0</v>
      </c>
      <c r="DA26" s="2109">
        <f t="shared" si="55"/>
        <v>0</v>
      </c>
      <c r="DB26" s="2109">
        <v>107.07035624999999</v>
      </c>
      <c r="DC26" s="2109">
        <v>2.7882720000000001</v>
      </c>
      <c r="DD26" s="2109">
        <f t="shared" si="13"/>
        <v>0</v>
      </c>
      <c r="DE26" s="2135"/>
      <c r="DF26" s="2135"/>
      <c r="DG26" s="2135"/>
      <c r="DH26" s="2135">
        <f t="shared" si="32"/>
        <v>0</v>
      </c>
      <c r="DI26" s="2135">
        <f t="shared" si="33"/>
        <v>107.07035624999999</v>
      </c>
      <c r="DJ26" s="2149">
        <v>0</v>
      </c>
      <c r="DK26" s="2109">
        <f t="shared" si="56"/>
        <v>0</v>
      </c>
      <c r="DL26" s="2109">
        <v>107.07035624999999</v>
      </c>
      <c r="DM26" s="2109">
        <v>2.7882720000000001</v>
      </c>
      <c r="DN26" s="2109">
        <f t="shared" si="14"/>
        <v>0</v>
      </c>
      <c r="DO26" s="2135"/>
      <c r="DP26" s="2135"/>
      <c r="DQ26" s="2135"/>
      <c r="DR26" s="2135">
        <f t="shared" si="34"/>
        <v>0</v>
      </c>
      <c r="DS26" s="2135">
        <f t="shared" si="35"/>
        <v>107.07035624999999</v>
      </c>
      <c r="DT26" s="2149">
        <v>0</v>
      </c>
      <c r="DU26" s="2109">
        <f t="shared" si="57"/>
        <v>0</v>
      </c>
      <c r="DV26" s="2109">
        <v>107.07035624999999</v>
      </c>
      <c r="DW26" s="2109">
        <v>2.7882720000000001</v>
      </c>
      <c r="DX26" s="2109">
        <f t="shared" si="15"/>
        <v>0</v>
      </c>
      <c r="DY26" s="2135"/>
      <c r="DZ26" s="2135"/>
      <c r="EA26" s="2135"/>
      <c r="EB26" s="2135">
        <f t="shared" si="36"/>
        <v>0</v>
      </c>
      <c r="EC26" s="2135">
        <f t="shared" si="37"/>
        <v>107.07035624999999</v>
      </c>
      <c r="ED26" s="2135"/>
      <c r="EE26" s="2106">
        <f t="shared" si="38"/>
        <v>774.0790199999999</v>
      </c>
      <c r="EF26" s="2106">
        <f>IFERROR((EG26/EE26)*10,0)</f>
        <v>11.065573770491806</v>
      </c>
      <c r="EG26" s="2106">
        <f>SUM(P26,Z26,AJ26,AT26,BD26,BN26,BX26,CR26,CH26,DB26,DL26,DV26)</f>
        <v>856.56285000000003</v>
      </c>
      <c r="EH26" s="2106">
        <f t="shared" si="40"/>
        <v>2.7882720000000001</v>
      </c>
      <c r="EI26" s="2106">
        <f t="shared" si="41"/>
        <v>215.83428572534399</v>
      </c>
      <c r="EJ26" s="2106"/>
      <c r="EK26" s="2106"/>
      <c r="EL26" s="2106"/>
      <c r="EM26" s="2106">
        <f>IFERROR(EN26/EE26*10,0)</f>
        <v>13.853845770491805</v>
      </c>
      <c r="EN26" s="2106">
        <f t="shared" si="2"/>
        <v>1072.397135725344</v>
      </c>
      <c r="EO26" s="2106">
        <f t="shared" si="16"/>
        <v>13.853845770491805</v>
      </c>
      <c r="EP26" s="2114">
        <f t="shared" si="17"/>
        <v>14.351912327933912</v>
      </c>
      <c r="EQ26" s="2224"/>
      <c r="ER26" s="2210"/>
      <c r="ES26" s="2209" t="e">
        <v>#N/A</v>
      </c>
      <c r="ET26" s="2224"/>
      <c r="EU26" s="2230"/>
      <c r="EV26" s="2224"/>
      <c r="EW26" s="2224"/>
      <c r="EX26" s="2224"/>
      <c r="EY26" s="2224"/>
      <c r="EZ26" s="2224"/>
      <c r="FA26" s="2224"/>
      <c r="FC26" s="2225"/>
      <c r="FD26" s="2225"/>
      <c r="FE26" s="2225"/>
      <c r="FF26" s="2225"/>
      <c r="FG26" s="2225"/>
      <c r="FH26" s="2225"/>
      <c r="FI26" s="2225"/>
    </row>
    <row r="27" spans="1:165" ht="15" customHeight="1">
      <c r="A27" s="2232"/>
      <c r="B27" s="2233" t="s">
        <v>211</v>
      </c>
      <c r="C27" s="2234">
        <f>SUM(C12:C26)</f>
        <v>10089</v>
      </c>
      <c r="D27" s="2234"/>
      <c r="E27" s="2234"/>
      <c r="F27" s="2235">
        <f>J27/(G27*8.76)</f>
        <v>0.3238021262586126</v>
      </c>
      <c r="G27" s="2162">
        <f>SUM(G12:G26)</f>
        <v>9757</v>
      </c>
      <c r="H27" s="2226"/>
      <c r="I27" s="2229">
        <f>G27*8.76*J28</f>
        <v>0</v>
      </c>
      <c r="J27" s="2226">
        <f>SUM(J12:J26)</f>
        <v>27675.795150130278</v>
      </c>
      <c r="K27" s="2109"/>
      <c r="L27" s="2109"/>
      <c r="M27" s="2160">
        <f>SUM(M12:M26)</f>
        <v>27648.931630909276</v>
      </c>
      <c r="N27" s="2107">
        <f>SUM(N11:N26)</f>
        <v>1584.1437955355855</v>
      </c>
      <c r="O27" s="2106">
        <f t="shared" si="42"/>
        <v>2.185636835628157</v>
      </c>
      <c r="P27" s="2107">
        <f>SUM(P11:P26)</f>
        <v>346.23630324543757</v>
      </c>
      <c r="Q27" s="2106">
        <f>IFERROR(R27/N27*10,0)</f>
        <v>1.9998775906532498</v>
      </c>
      <c r="R27" s="2107">
        <f>SUM(R11:R26)</f>
        <v>316.80936770640011</v>
      </c>
      <c r="S27" s="2106">
        <f>IFERROR(T27/N27*10,0)</f>
        <v>0</v>
      </c>
      <c r="T27" s="2107">
        <f>SUM(T11:T26)</f>
        <v>0</v>
      </c>
      <c r="U27" s="2107"/>
      <c r="V27" s="2107">
        <f t="shared" si="43"/>
        <v>4.185514426281407</v>
      </c>
      <c r="W27" s="2107">
        <f>SUM(W11:W26)</f>
        <v>663.04567095183768</v>
      </c>
      <c r="X27" s="2107">
        <f>SUM(X11:X26)</f>
        <v>2859.2535921548633</v>
      </c>
      <c r="Y27" s="2107">
        <f t="shared" si="44"/>
        <v>1.2109324762078839</v>
      </c>
      <c r="Z27" s="2107">
        <f>SUM(Z11:Z26)</f>
        <v>346.23630324543757</v>
      </c>
      <c r="AA27" s="2107">
        <f>IFERROR(AB27/X27*10,0)</f>
        <v>2.6573086401742363</v>
      </c>
      <c r="AB27" s="2107">
        <f>SUM(AB11:AB26)</f>
        <v>759.79192748823402</v>
      </c>
      <c r="AC27" s="2106">
        <f>IFERROR(AD27/X27*10,0)</f>
        <v>0</v>
      </c>
      <c r="AD27" s="2107">
        <f>SUM(AD11:AD26)</f>
        <v>0</v>
      </c>
      <c r="AE27" s="2107"/>
      <c r="AF27" s="2107">
        <f t="shared" si="45"/>
        <v>3.8682411163821202</v>
      </c>
      <c r="AG27" s="2107">
        <f>SUM(AG11:AG26)</f>
        <v>1106.0282307336715</v>
      </c>
      <c r="AH27" s="2107">
        <f>SUM(AH11:AH26)</f>
        <v>2726.6880473000001</v>
      </c>
      <c r="AI27" s="2106">
        <f t="shared" si="47"/>
        <v>1.2698053361413493</v>
      </c>
      <c r="AJ27" s="2107">
        <f>SUM(AJ11:AJ26)</f>
        <v>346.23630324543757</v>
      </c>
      <c r="AK27" s="2106">
        <f>IFERROR(AL27/AH27*10,0)</f>
        <v>2.6892549756134301</v>
      </c>
      <c r="AL27" s="2107">
        <f>SUM(AL11:AL26)</f>
        <v>733.27593981471921</v>
      </c>
      <c r="AM27" s="2106">
        <f>IFERROR(AN27/AH27*10,0)</f>
        <v>0</v>
      </c>
      <c r="AN27" s="2107">
        <f>SUM(AN11:AN26)</f>
        <v>0</v>
      </c>
      <c r="AO27" s="2106">
        <v>0</v>
      </c>
      <c r="AP27" s="2107">
        <f t="shared" si="48"/>
        <v>3.9590603117547785</v>
      </c>
      <c r="AQ27" s="2107">
        <f>SUM(AQ11:AQ26)</f>
        <v>1079.5122430601566</v>
      </c>
      <c r="AR27" s="2107">
        <f>SUM(AR11:AR26)</f>
        <v>2767.9788353999998</v>
      </c>
      <c r="AS27" s="2106">
        <f t="shared" si="49"/>
        <v>1.2508632610097361</v>
      </c>
      <c r="AT27" s="2107">
        <f>SUM(AT11:AT26)</f>
        <v>346.23630324543757</v>
      </c>
      <c r="AU27" s="2106">
        <f>IFERROR(AV27/AR27*10,0)</f>
        <v>2.7010907695582818</v>
      </c>
      <c r="AV27" s="2107">
        <f>SUM(AV11:AV26)</f>
        <v>747.65620826316217</v>
      </c>
      <c r="AW27" s="2106">
        <f>IFERROR(AX27/AR27*10,0)</f>
        <v>0</v>
      </c>
      <c r="AX27" s="2107">
        <f>SUM(AX11:AX26)</f>
        <v>0</v>
      </c>
      <c r="AY27" s="2107"/>
      <c r="AZ27" s="2107">
        <f t="shared" si="20"/>
        <v>3.9519540305680181</v>
      </c>
      <c r="BA27" s="2107">
        <f>SUM(BA11:BA26)</f>
        <v>1093.8925115085997</v>
      </c>
      <c r="BB27" s="2107">
        <f>SUM(BB11:BB26)</f>
        <v>3421.198758812407</v>
      </c>
      <c r="BC27" s="2106">
        <f t="shared" si="50"/>
        <v>1.6536032351254515</v>
      </c>
      <c r="BD27" s="2107">
        <f>SUM(BD11:BD26)</f>
        <v>565.73053355793752</v>
      </c>
      <c r="BE27" s="2106">
        <f>IFERROR(BF27/BB27*10,0)</f>
        <v>2.6347961793590913</v>
      </c>
      <c r="BF27" s="2107">
        <f>SUM(BF11:BF26)</f>
        <v>901.4161418546995</v>
      </c>
      <c r="BG27" s="2106">
        <f>IFERROR(BH27/BB27*10,0)</f>
        <v>0</v>
      </c>
      <c r="BH27" s="2107">
        <f>SUM(BH11:BH26)</f>
        <v>0</v>
      </c>
      <c r="BI27" s="2107"/>
      <c r="BJ27" s="2107">
        <f t="shared" si="22"/>
        <v>4.2883994144845428</v>
      </c>
      <c r="BK27" s="2107">
        <f>SUM(BK11:BK26)</f>
        <v>1467.146675412637</v>
      </c>
      <c r="BL27" s="2107">
        <f>SUM(BL11:BL26)</f>
        <v>3418.6711356774185</v>
      </c>
      <c r="BM27" s="2106">
        <f t="shared" si="51"/>
        <v>1.6548258405260046</v>
      </c>
      <c r="BN27" s="2107">
        <f>SUM(BN11:BN26)</f>
        <v>565.73053355793752</v>
      </c>
      <c r="BO27" s="2106">
        <f>IFERROR(BP27/BL27*10,0)</f>
        <v>2.6381590254705984</v>
      </c>
      <c r="BP27" s="2107">
        <f>SUM(BP11:BP26)</f>
        <v>901.89981117032028</v>
      </c>
      <c r="BQ27" s="2106">
        <f>IFERROR(BR27/BL27*10,0)</f>
        <v>0</v>
      </c>
      <c r="BR27" s="2107">
        <f>SUM(BR11:BR26)</f>
        <v>0</v>
      </c>
      <c r="BS27" s="2107"/>
      <c r="BT27" s="2107">
        <f t="shared" si="24"/>
        <v>4.292984865996603</v>
      </c>
      <c r="BU27" s="2107">
        <f>SUM(BU11:BU26)</f>
        <v>1467.6303447282578</v>
      </c>
      <c r="BV27" s="2107">
        <f>SUM(BV11:BV26)</f>
        <v>1767.6653775999998</v>
      </c>
      <c r="BW27" s="2106">
        <f t="shared" si="52"/>
        <v>3.2004390691073157</v>
      </c>
      <c r="BX27" s="2107">
        <f>SUM(BX11:BX26)</f>
        <v>565.73053355793752</v>
      </c>
      <c r="BY27" s="2106">
        <f>IFERROR(BZ27/BV27*10,0)</f>
        <v>1.9147444484885354</v>
      </c>
      <c r="BZ27" s="2107">
        <f>SUM(BZ11:BZ26)</f>
        <v>338.46274685449902</v>
      </c>
      <c r="CA27" s="2106">
        <f>IFERROR(CB27/BV27*10,0)</f>
        <v>0</v>
      </c>
      <c r="CB27" s="2107">
        <f>SUM(CB11:CB26)</f>
        <v>0</v>
      </c>
      <c r="CC27" s="2107"/>
      <c r="CD27" s="2107">
        <f t="shared" si="26"/>
        <v>5.1151835175958515</v>
      </c>
      <c r="CE27" s="2107">
        <f>SUM(CE11:CE26)</f>
        <v>904.19328041243671</v>
      </c>
      <c r="CF27" s="2107">
        <f>SUM(CF11:CF26)</f>
        <v>1649.4565147000001</v>
      </c>
      <c r="CG27" s="2106">
        <f t="shared" si="53"/>
        <v>3.4297996250045522</v>
      </c>
      <c r="CH27" s="2107">
        <f>SUM(CH11:CH26)</f>
        <v>565.73053355793752</v>
      </c>
      <c r="CI27" s="2106">
        <f>IFERROR(CJ27/CF27*10,0)</f>
        <v>1.918256155981046</v>
      </c>
      <c r="CJ27" s="2107">
        <f>SUM(CJ11:CJ26)</f>
        <v>316.40801133463157</v>
      </c>
      <c r="CK27" s="2106">
        <f>IFERROR(CL27/CF27*10,0)</f>
        <v>0</v>
      </c>
      <c r="CL27" s="2107">
        <f>SUM(CL11:CL26)</f>
        <v>0</v>
      </c>
      <c r="CM27" s="2107"/>
      <c r="CN27" s="2107">
        <f t="shared" si="28"/>
        <v>5.3480557809855975</v>
      </c>
      <c r="CO27" s="2107">
        <f>SUM(CO11:CO26)</f>
        <v>882.13854489256903</v>
      </c>
      <c r="CP27" s="2107">
        <f>SUM(CP11:CP26)</f>
        <v>1651.5379457999998</v>
      </c>
      <c r="CQ27" s="2106">
        <f t="shared" si="54"/>
        <v>3.4254770530500855</v>
      </c>
      <c r="CR27" s="2107">
        <f>SUM(CR11:CR26)</f>
        <v>565.73053355793752</v>
      </c>
      <c r="CS27" s="2106">
        <f>IFERROR(CT27/CP27*10,0)</f>
        <v>1.9209263989272338</v>
      </c>
      <c r="CT27" s="2107">
        <f>SUM(CT11:CT26)</f>
        <v>317.24828389172745</v>
      </c>
      <c r="CU27" s="2106">
        <f>IFERROR(CV27/CP27*10,0)</f>
        <v>0</v>
      </c>
      <c r="CV27" s="2107">
        <f>SUM(CV11:CV26)</f>
        <v>0</v>
      </c>
      <c r="CW27" s="2107"/>
      <c r="CX27" s="2107">
        <f t="shared" si="30"/>
        <v>5.34640345197732</v>
      </c>
      <c r="CY27" s="2107">
        <f>SUM(CY11:CY26)</f>
        <v>882.97881744966503</v>
      </c>
      <c r="CZ27" s="2107">
        <f>SUM(CZ11:CZ26)</f>
        <v>1661.4595829999998</v>
      </c>
      <c r="DA27" s="2106">
        <f t="shared" si="55"/>
        <v>3.4050213399499683</v>
      </c>
      <c r="DB27" s="2107">
        <f>SUM(DB11:DB26)</f>
        <v>565.73053355793752</v>
      </c>
      <c r="DC27" s="2106">
        <f>IFERROR(DD27/CZ27*10,0)</f>
        <v>1.9220062331610408</v>
      </c>
      <c r="DD27" s="2107">
        <f>SUM(DD11:DD26)</f>
        <v>319.33356746711434</v>
      </c>
      <c r="DE27" s="2106">
        <f>IFERROR(DF27/CZ27*10,0)</f>
        <v>0</v>
      </c>
      <c r="DF27" s="2107">
        <f>SUM(DF11:DF26)</f>
        <v>0</v>
      </c>
      <c r="DG27" s="2107"/>
      <c r="DH27" s="2107">
        <f t="shared" si="32"/>
        <v>5.3270275731110095</v>
      </c>
      <c r="DI27" s="2107">
        <f>SUM(DI11:DI26)</f>
        <v>885.06410102505197</v>
      </c>
      <c r="DJ27" s="2107">
        <f>SUM(DJ11:DJ26)</f>
        <v>1624.6313315499999</v>
      </c>
      <c r="DK27" s="2106">
        <f t="shared" si="56"/>
        <v>3.4822086868052411</v>
      </c>
      <c r="DL27" s="2107">
        <f>SUM(DL11:DL26)</f>
        <v>565.73053355793752</v>
      </c>
      <c r="DM27" s="2106">
        <f>IFERROR(DN27/DJ27*10,0)</f>
        <v>1.916091280055664</v>
      </c>
      <c r="DN27" s="2107">
        <f>SUM(DN11:DN26)</f>
        <v>311.29419276881771</v>
      </c>
      <c r="DO27" s="2106">
        <f>IFERROR(DP27/DJ27*10,0)</f>
        <v>0</v>
      </c>
      <c r="DP27" s="2107">
        <f>SUM(DP11:DP26)</f>
        <v>0</v>
      </c>
      <c r="DQ27" s="2107"/>
      <c r="DR27" s="2107">
        <f t="shared" si="34"/>
        <v>5.3982999668609057</v>
      </c>
      <c r="DS27" s="2107">
        <f>SUM(DS11:DS26)</f>
        <v>877.02472632675529</v>
      </c>
      <c r="DT27" s="2107">
        <f>SUM(DT11:DT26)</f>
        <v>2543.1102326</v>
      </c>
      <c r="DU27" s="2106">
        <f t="shared" si="57"/>
        <v>2.6112774430505334</v>
      </c>
      <c r="DV27" s="2107">
        <f>SUM(DV11:DV26)</f>
        <v>664.0766385579376</v>
      </c>
      <c r="DW27" s="2106">
        <f>IFERROR(DX27/DT27*10,0)</f>
        <v>1.9770566292876814</v>
      </c>
      <c r="DX27" s="2107">
        <f>SUM(DX11:DX26)</f>
        <v>502.78729443711677</v>
      </c>
      <c r="DY27" s="2106">
        <f>IFERROR(DZ27/DT27*10,0)</f>
        <v>0</v>
      </c>
      <c r="DZ27" s="2107">
        <f>SUM(DZ11:DZ26)</f>
        <v>0</v>
      </c>
      <c r="EA27" s="2107"/>
      <c r="EB27" s="2107">
        <f>IFERROR(EC27/DT27*10,0)</f>
        <v>4.5883340723382151</v>
      </c>
      <c r="EC27" s="2107">
        <f>SUM(EC11:EC26)</f>
        <v>1166.8639329950545</v>
      </c>
      <c r="ED27" s="2236">
        <f t="shared" ref="ED27:EN27" si="59">SUM(ED12:ED26)</f>
        <v>0</v>
      </c>
      <c r="EE27" s="2107">
        <f t="shared" si="59"/>
        <v>27675.795150130278</v>
      </c>
      <c r="EF27" s="2106">
        <f t="shared" si="39"/>
        <v>2.1712603211029924</v>
      </c>
      <c r="EG27" s="2107">
        <f t="shared" si="59"/>
        <v>6009.1355864452507</v>
      </c>
      <c r="EH27" s="2106">
        <f t="shared" si="40"/>
        <v>2.3364761366290869</v>
      </c>
      <c r="EI27" s="2107">
        <f t="shared" si="59"/>
        <v>6466.3834930514413</v>
      </c>
      <c r="EJ27" s="2107">
        <f t="shared" si="59"/>
        <v>0</v>
      </c>
      <c r="EK27" s="2107">
        <f t="shared" si="59"/>
        <v>0</v>
      </c>
      <c r="EL27" s="2107">
        <f t="shared" si="59"/>
        <v>0</v>
      </c>
      <c r="EM27" s="2106">
        <f t="shared" si="58"/>
        <v>4.5077364577320802</v>
      </c>
      <c r="EN27" s="2107">
        <f t="shared" si="59"/>
        <v>12475.519079496695</v>
      </c>
      <c r="EO27" s="2106">
        <f t="shared" si="16"/>
        <v>4.5077364577320802</v>
      </c>
      <c r="EP27" s="2114">
        <f t="shared" si="17"/>
        <v>4.5121161446795544</v>
      </c>
      <c r="EQ27" s="2224"/>
      <c r="ER27" s="2210"/>
      <c r="ES27" s="2209" t="e">
        <v>#N/A</v>
      </c>
      <c r="ET27" s="2224"/>
      <c r="EU27" s="2230"/>
      <c r="EV27" s="2224"/>
      <c r="EW27" s="2224"/>
      <c r="EX27" s="2224"/>
      <c r="EY27" s="2224"/>
      <c r="EZ27" s="2224"/>
      <c r="FA27" s="2224"/>
      <c r="FC27" s="2225"/>
      <c r="FD27" s="2225"/>
      <c r="FE27" s="2225"/>
      <c r="FF27" s="2225"/>
      <c r="FG27" s="2225"/>
      <c r="FH27" s="2225"/>
      <c r="FI27" s="2225"/>
    </row>
    <row r="28" spans="1:165">
      <c r="A28" s="2220"/>
      <c r="B28" s="2145"/>
      <c r="C28" s="2145"/>
      <c r="D28" s="2145"/>
      <c r="E28" s="2145"/>
      <c r="F28" s="2145"/>
      <c r="G28" s="1592"/>
      <c r="H28" s="2149"/>
      <c r="I28" s="2237"/>
      <c r="J28" s="2147"/>
      <c r="K28" s="2145"/>
      <c r="L28" s="2145"/>
      <c r="M28" s="2152"/>
      <c r="N28" s="2149"/>
      <c r="O28" s="2109"/>
      <c r="P28" s="2109"/>
      <c r="Q28" s="2109"/>
      <c r="R28" s="2109"/>
      <c r="S28" s="2109"/>
      <c r="T28" s="2109"/>
      <c r="U28" s="2109"/>
      <c r="V28" s="2109"/>
      <c r="W28" s="2109"/>
      <c r="X28" s="2149"/>
      <c r="Y28" s="2109"/>
      <c r="Z28" s="2109"/>
      <c r="AA28" s="2109"/>
      <c r="AB28" s="2109"/>
      <c r="AC28" s="2135"/>
      <c r="AD28" s="2135"/>
      <c r="AE28" s="2135"/>
      <c r="AF28" s="2135"/>
      <c r="AG28" s="2135"/>
      <c r="AH28" s="2149"/>
      <c r="AI28" s="2109"/>
      <c r="AJ28" s="2109"/>
      <c r="AK28" s="2109"/>
      <c r="AL28" s="2109"/>
      <c r="AM28" s="2135"/>
      <c r="AN28" s="2135"/>
      <c r="AO28" s="2238"/>
      <c r="AP28" s="2135"/>
      <c r="AQ28" s="2135"/>
      <c r="AR28" s="2149"/>
      <c r="AS28" s="2109"/>
      <c r="AT28" s="2109"/>
      <c r="AU28" s="2109"/>
      <c r="AV28" s="2109"/>
      <c r="AW28" s="2135"/>
      <c r="AX28" s="2135"/>
      <c r="AY28" s="2238"/>
      <c r="AZ28" s="2135"/>
      <c r="BA28" s="2135"/>
      <c r="BB28" s="2149"/>
      <c r="BC28" s="2109"/>
      <c r="BD28" s="2109"/>
      <c r="BE28" s="2109"/>
      <c r="BF28" s="2109"/>
      <c r="BG28" s="2135"/>
      <c r="BH28" s="2135"/>
      <c r="BI28" s="2238"/>
      <c r="BJ28" s="2135"/>
      <c r="BK28" s="2135"/>
      <c r="BL28" s="2149"/>
      <c r="BM28" s="2109"/>
      <c r="BN28" s="2109"/>
      <c r="BO28" s="2109"/>
      <c r="BP28" s="2109"/>
      <c r="BQ28" s="2135"/>
      <c r="BR28" s="2135"/>
      <c r="BS28" s="2135"/>
      <c r="BT28" s="2135"/>
      <c r="BU28" s="2135"/>
      <c r="BV28" s="2149"/>
      <c r="BW28" s="2109"/>
      <c r="BX28" s="2109"/>
      <c r="BY28" s="2109"/>
      <c r="BZ28" s="2109"/>
      <c r="CA28" s="2135"/>
      <c r="CB28" s="2135"/>
      <c r="CC28" s="2135"/>
      <c r="CD28" s="2135"/>
      <c r="CE28" s="2135"/>
      <c r="CF28" s="2149"/>
      <c r="CG28" s="2109"/>
      <c r="CH28" s="2109"/>
      <c r="CI28" s="2109"/>
      <c r="CJ28" s="2109"/>
      <c r="CK28" s="2135"/>
      <c r="CL28" s="2135"/>
      <c r="CM28" s="2238"/>
      <c r="CN28" s="2135"/>
      <c r="CO28" s="2135"/>
      <c r="CP28" s="2149"/>
      <c r="CQ28" s="2109"/>
      <c r="CR28" s="2109"/>
      <c r="CS28" s="2109"/>
      <c r="CT28" s="2109"/>
      <c r="CU28" s="2135"/>
      <c r="CV28" s="2135"/>
      <c r="CW28" s="2238"/>
      <c r="CX28" s="2135"/>
      <c r="CY28" s="2135"/>
      <c r="CZ28" s="2149"/>
      <c r="DA28" s="2109"/>
      <c r="DB28" s="2109"/>
      <c r="DC28" s="2109"/>
      <c r="DD28" s="2109"/>
      <c r="DE28" s="2135"/>
      <c r="DF28" s="2135"/>
      <c r="DG28" s="2238"/>
      <c r="DH28" s="2135"/>
      <c r="DI28" s="2135"/>
      <c r="DJ28" s="2149"/>
      <c r="DK28" s="2109"/>
      <c r="DL28" s="2109"/>
      <c r="DM28" s="2109"/>
      <c r="DN28" s="2109"/>
      <c r="DO28" s="2135"/>
      <c r="DP28" s="2135"/>
      <c r="DQ28" s="2238"/>
      <c r="DR28" s="2135"/>
      <c r="DS28" s="2135"/>
      <c r="DT28" s="2149"/>
      <c r="DU28" s="2109"/>
      <c r="DV28" s="2109"/>
      <c r="DW28" s="2109"/>
      <c r="DX28" s="2109"/>
      <c r="DY28" s="2135"/>
      <c r="DZ28" s="2135"/>
      <c r="EA28" s="2135"/>
      <c r="EB28" s="2135"/>
      <c r="EC28" s="2135"/>
      <c r="ED28" s="2135"/>
      <c r="EE28" s="2107"/>
      <c r="EF28" s="2106"/>
      <c r="EG28" s="2106"/>
      <c r="EH28" s="2106"/>
      <c r="EI28" s="2106"/>
      <c r="EJ28" s="2106"/>
      <c r="EK28" s="2106"/>
      <c r="EL28" s="2106"/>
      <c r="EM28" s="2106"/>
      <c r="EN28" s="2106"/>
      <c r="EO28" s="2239"/>
      <c r="EP28" s="2240"/>
      <c r="EQ28" s="2224"/>
      <c r="ER28" s="2210"/>
      <c r="ES28" s="2209" t="e">
        <v>#N/A</v>
      </c>
      <c r="ET28" s="2241"/>
      <c r="EU28" s="2230"/>
      <c r="EV28" s="2241"/>
      <c r="EW28" s="2241"/>
      <c r="EX28" s="2241"/>
      <c r="EY28" s="2241"/>
      <c r="EZ28" s="2241"/>
      <c r="FA28" s="2241"/>
      <c r="FB28" s="2242"/>
      <c r="FC28" s="2243"/>
      <c r="FD28" s="2243"/>
      <c r="FE28" s="2243"/>
      <c r="FF28" s="2243"/>
      <c r="FG28" s="2243"/>
      <c r="FH28" s="2243"/>
      <c r="FI28" s="2243"/>
    </row>
    <row r="29" spans="1:165">
      <c r="A29" s="2220" t="s">
        <v>21</v>
      </c>
      <c r="B29" s="2145" t="s">
        <v>1665</v>
      </c>
      <c r="C29" s="2145"/>
      <c r="D29" s="2145"/>
      <c r="E29" s="2145"/>
      <c r="F29" s="2145"/>
      <c r="G29" s="1592"/>
      <c r="H29" s="2149"/>
      <c r="I29" s="2237"/>
      <c r="J29" s="2149"/>
      <c r="K29" s="2145"/>
      <c r="L29" s="2145"/>
      <c r="M29" s="2152"/>
      <c r="N29" s="2149"/>
      <c r="O29" s="2109"/>
      <c r="P29" s="2109"/>
      <c r="Q29" s="2109"/>
      <c r="R29" s="2109"/>
      <c r="S29" s="2109"/>
      <c r="T29" s="2109"/>
      <c r="U29" s="2109"/>
      <c r="V29" s="2109"/>
      <c r="W29" s="2109"/>
      <c r="X29" s="2149"/>
      <c r="Y29" s="2109"/>
      <c r="Z29" s="2109"/>
      <c r="AA29" s="2109"/>
      <c r="AB29" s="2109"/>
      <c r="AC29" s="2135"/>
      <c r="AD29" s="2135"/>
      <c r="AE29" s="2135"/>
      <c r="AF29" s="2135"/>
      <c r="AG29" s="2135"/>
      <c r="AH29" s="2149"/>
      <c r="AI29" s="2109"/>
      <c r="AJ29" s="2109"/>
      <c r="AK29" s="2109"/>
      <c r="AL29" s="2109"/>
      <c r="AM29" s="2135"/>
      <c r="AN29" s="2135"/>
      <c r="AO29" s="2238"/>
      <c r="AP29" s="2135"/>
      <c r="AQ29" s="2135"/>
      <c r="AR29" s="2149"/>
      <c r="AS29" s="2109"/>
      <c r="AT29" s="2109"/>
      <c r="AU29" s="2109"/>
      <c r="AV29" s="2109"/>
      <c r="AW29" s="2135"/>
      <c r="AX29" s="2135"/>
      <c r="AY29" s="2238"/>
      <c r="AZ29" s="2135"/>
      <c r="BA29" s="2135"/>
      <c r="BB29" s="2149"/>
      <c r="BC29" s="2109"/>
      <c r="BD29" s="2109"/>
      <c r="BE29" s="2109"/>
      <c r="BF29" s="2109"/>
      <c r="BG29" s="2135"/>
      <c r="BH29" s="2135"/>
      <c r="BI29" s="2238"/>
      <c r="BJ29" s="2135"/>
      <c r="BK29" s="2135"/>
      <c r="BL29" s="2149"/>
      <c r="BM29" s="2109"/>
      <c r="BN29" s="2109"/>
      <c r="BO29" s="2109"/>
      <c r="BP29" s="2109"/>
      <c r="BQ29" s="2135"/>
      <c r="BR29" s="2135"/>
      <c r="BS29" s="2135"/>
      <c r="BT29" s="2135"/>
      <c r="BU29" s="2135"/>
      <c r="BV29" s="2149"/>
      <c r="BW29" s="2109"/>
      <c r="BX29" s="2109"/>
      <c r="BY29" s="2109"/>
      <c r="BZ29" s="2109"/>
      <c r="CA29" s="2135"/>
      <c r="CB29" s="2135"/>
      <c r="CC29" s="2135"/>
      <c r="CD29" s="2135"/>
      <c r="CE29" s="2135"/>
      <c r="CF29" s="2149"/>
      <c r="CG29" s="2109"/>
      <c r="CH29" s="2109"/>
      <c r="CI29" s="2109"/>
      <c r="CJ29" s="2109"/>
      <c r="CK29" s="2135"/>
      <c r="CL29" s="2135"/>
      <c r="CM29" s="2238"/>
      <c r="CN29" s="2135"/>
      <c r="CO29" s="2135"/>
      <c r="CP29" s="2149"/>
      <c r="CQ29" s="2109"/>
      <c r="CR29" s="2109"/>
      <c r="CS29" s="2109"/>
      <c r="CT29" s="2109"/>
      <c r="CU29" s="2135"/>
      <c r="CV29" s="2135"/>
      <c r="CW29" s="2238"/>
      <c r="CX29" s="2135"/>
      <c r="CY29" s="2135"/>
      <c r="CZ29" s="2149"/>
      <c r="DA29" s="2109"/>
      <c r="DB29" s="2109"/>
      <c r="DC29" s="2109"/>
      <c r="DD29" s="2109"/>
      <c r="DE29" s="2135"/>
      <c r="DF29" s="2135"/>
      <c r="DG29" s="2238"/>
      <c r="DH29" s="2135"/>
      <c r="DI29" s="2135"/>
      <c r="DJ29" s="2149"/>
      <c r="DK29" s="2109"/>
      <c r="DL29" s="2109"/>
      <c r="DM29" s="2109"/>
      <c r="DN29" s="2109"/>
      <c r="DO29" s="2135"/>
      <c r="DP29" s="2135"/>
      <c r="DQ29" s="2238"/>
      <c r="DR29" s="2135"/>
      <c r="DS29" s="2135"/>
      <c r="DT29" s="2149"/>
      <c r="DU29" s="2109"/>
      <c r="DV29" s="2109"/>
      <c r="DW29" s="2109"/>
      <c r="DX29" s="2109"/>
      <c r="DY29" s="2135"/>
      <c r="DZ29" s="2135"/>
      <c r="EA29" s="2135"/>
      <c r="EB29" s="2135"/>
      <c r="EC29" s="2135"/>
      <c r="ED29" s="2135"/>
      <c r="EE29" s="2106"/>
      <c r="EF29" s="2106"/>
      <c r="EG29" s="2106"/>
      <c r="EH29" s="2106"/>
      <c r="EI29" s="2106"/>
      <c r="EJ29" s="2106"/>
      <c r="EK29" s="2106"/>
      <c r="EL29" s="2106"/>
      <c r="EM29" s="2106"/>
      <c r="EN29" s="2106"/>
      <c r="EO29" s="2239"/>
      <c r="EP29" s="2240"/>
      <c r="EQ29" s="2224"/>
      <c r="ER29" s="2210"/>
      <c r="ES29" s="2209" t="e">
        <v>#N/A</v>
      </c>
      <c r="ET29" s="2241"/>
      <c r="EU29" s="2230"/>
      <c r="EV29" s="2241"/>
      <c r="EW29" s="2241"/>
      <c r="EX29" s="2241"/>
      <c r="EY29" s="2241"/>
      <c r="EZ29" s="2241"/>
      <c r="FA29" s="2241"/>
      <c r="FB29" s="2242"/>
      <c r="FC29" s="2243"/>
      <c r="FD29" s="2243"/>
      <c r="FE29" s="2243"/>
      <c r="FF29" s="2243"/>
      <c r="FG29" s="2243"/>
      <c r="FH29" s="2243"/>
      <c r="FI29" s="2243"/>
    </row>
    <row r="30" spans="1:165">
      <c r="A30" s="2220">
        <v>1</v>
      </c>
      <c r="B30" s="2145" t="s">
        <v>1666</v>
      </c>
      <c r="C30" s="2146">
        <v>300</v>
      </c>
      <c r="D30" s="2147">
        <v>0.85</v>
      </c>
      <c r="E30" s="2228"/>
      <c r="F30" s="2148">
        <v>0.20929658593704337</v>
      </c>
      <c r="G30" s="2146">
        <v>255</v>
      </c>
      <c r="H30" s="2149" t="s">
        <v>1667</v>
      </c>
      <c r="I30" s="2229">
        <v>2</v>
      </c>
      <c r="J30" s="2149">
        <v>537.16551639569889</v>
      </c>
      <c r="K30" s="2222"/>
      <c r="L30" s="2151"/>
      <c r="M30" s="2152">
        <f t="shared" ref="M30:M37" si="60">J30*(1-K30)*(1-L30)</f>
        <v>537.16551639569889</v>
      </c>
      <c r="N30" s="2149">
        <v>31.334362666666667</v>
      </c>
      <c r="O30" s="2109">
        <f t="shared" ref="O30:O38" si="61">IFERROR(P30/N30*10,0)</f>
        <v>0.48138196625472818</v>
      </c>
      <c r="P30" s="2109">
        <v>1.5083797111818749</v>
      </c>
      <c r="Q30" s="2109">
        <v>1.2227196750958156</v>
      </c>
      <c r="R30" s="2109">
        <f t="shared" si="4"/>
        <v>3.8313141739121122</v>
      </c>
      <c r="S30" s="2109"/>
      <c r="T30" s="2109"/>
      <c r="U30" s="2109"/>
      <c r="V30" s="2109">
        <f t="shared" ref="V30:V38" si="62">IFERROR(W30/N30*10,0)</f>
        <v>1.7041016413505439</v>
      </c>
      <c r="W30" s="2109">
        <f t="shared" ref="W30:W37" si="63">P30+R30</f>
        <v>5.339693885093987</v>
      </c>
      <c r="X30" s="2149">
        <v>26.027861199999997</v>
      </c>
      <c r="Y30" s="2109">
        <f t="shared" ref="Y30:Y38" si="64">IFERROR(Z30/X30*10,0)</f>
        <v>0.57952503265303834</v>
      </c>
      <c r="Z30" s="2109">
        <v>1.5083797111818749</v>
      </c>
      <c r="AA30" s="2109">
        <v>1.2227196750958156</v>
      </c>
      <c r="AB30" s="2109">
        <f t="shared" si="5"/>
        <v>3.1824777989902979</v>
      </c>
      <c r="AC30" s="2135"/>
      <c r="AD30" s="2135"/>
      <c r="AE30" s="2135"/>
      <c r="AF30" s="2135">
        <f t="shared" ref="AF30:AF38" si="65">IFERROR(AG30/X30*10,0)</f>
        <v>1.8022447077488537</v>
      </c>
      <c r="AG30" s="2135">
        <f t="shared" ref="AG30:AG37" si="66">Z30+AB30</f>
        <v>4.6908575101721723</v>
      </c>
      <c r="AH30" s="2149">
        <v>40.825247600000012</v>
      </c>
      <c r="AI30" s="2109">
        <f t="shared" ref="AI30:AI38" si="67">IFERROR(AJ30/AH30*10,0)</f>
        <v>0.36947227508838781</v>
      </c>
      <c r="AJ30" s="2109">
        <v>1.5083797111818749</v>
      </c>
      <c r="AK30" s="2109">
        <v>1.2227196750958156</v>
      </c>
      <c r="AL30" s="2109">
        <f t="shared" si="6"/>
        <v>4.9917833481178242</v>
      </c>
      <c r="AM30" s="2135"/>
      <c r="AN30" s="2135"/>
      <c r="AO30" s="2135"/>
      <c r="AP30" s="2135">
        <f t="shared" ref="AP30:AP38" si="68">IFERROR(AQ30/AH30*10,0)</f>
        <v>1.5921919501842035</v>
      </c>
      <c r="AQ30" s="2135">
        <f t="shared" ref="AQ30:AQ37" si="69">AL30+AJ30</f>
        <v>6.5001630592996991</v>
      </c>
      <c r="AR30" s="2149">
        <v>48.976601999999986</v>
      </c>
      <c r="AS30" s="2109">
        <f t="shared" ref="AS30:AS37" si="70">IFERROR(AT30/AR30*10,0)</f>
        <v>0.30797965754787876</v>
      </c>
      <c r="AT30" s="2109">
        <v>1.5083797111818749</v>
      </c>
      <c r="AU30" s="2109">
        <v>1.2227196750958156</v>
      </c>
      <c r="AV30" s="2109">
        <f t="shared" si="7"/>
        <v>5.9884654884737056</v>
      </c>
      <c r="AW30" s="2135"/>
      <c r="AX30" s="2135"/>
      <c r="AY30" s="2135"/>
      <c r="AZ30" s="2135">
        <f t="shared" ref="AZ30:AZ38" si="71">IFERROR(BA30/AR30*10,0)</f>
        <v>1.5306993326436944</v>
      </c>
      <c r="BA30" s="2135">
        <f t="shared" ref="BA30:BA37" si="72">AV30+AT30</f>
        <v>7.4968451996555805</v>
      </c>
      <c r="BB30" s="2149">
        <v>48.260741800000012</v>
      </c>
      <c r="BC30" s="2109">
        <f t="shared" ref="BC30:BC38" si="73">IFERROR(BD30/BB30*10,0)</f>
        <v>0.31254797479757646</v>
      </c>
      <c r="BD30" s="2109">
        <v>1.5083797111818749</v>
      </c>
      <c r="BE30" s="2109">
        <v>1.2227196750958156</v>
      </c>
      <c r="BF30" s="2109">
        <f t="shared" si="8"/>
        <v>5.9009358533579057</v>
      </c>
      <c r="BG30" s="2135"/>
      <c r="BH30" s="2135"/>
      <c r="BI30" s="2135"/>
      <c r="BJ30" s="2135">
        <f t="shared" ref="BJ30:BJ38" si="74">IFERROR(BK30/BB30*10,0)</f>
        <v>1.5352676498933922</v>
      </c>
      <c r="BK30" s="2135">
        <f t="shared" ref="BK30:BK37" si="75">BF30+BD30</f>
        <v>7.4093155645397806</v>
      </c>
      <c r="BL30" s="2149">
        <v>57.390584129032248</v>
      </c>
      <c r="BM30" s="2109">
        <f t="shared" ref="BM30:BM38" si="76">IFERROR(BN30/BL30*10,0)</f>
        <v>0.26282703584102901</v>
      </c>
      <c r="BN30" s="2109">
        <v>1.5083797111818749</v>
      </c>
      <c r="BO30" s="2109">
        <v>1.2227196750958156</v>
      </c>
      <c r="BP30" s="2109">
        <f t="shared" si="9"/>
        <v>7.0172596379809375</v>
      </c>
      <c r="BQ30" s="2135"/>
      <c r="BR30" s="2135"/>
      <c r="BS30" s="2135"/>
      <c r="BT30" s="2135">
        <f t="shared" ref="BT30:BT38" si="77">IFERROR(BU30/BL30*10,0)</f>
        <v>1.4855467109368445</v>
      </c>
      <c r="BU30" s="2135">
        <f t="shared" ref="BU30:BU37" si="78">BP30+BN30</f>
        <v>8.5256393491628124</v>
      </c>
      <c r="BV30" s="2149">
        <v>66.533558200000002</v>
      </c>
      <c r="BW30" s="2109">
        <f t="shared" ref="BW30:BW38" si="79">IFERROR(BX30/BV30*10,0)</f>
        <v>0.22670961120817898</v>
      </c>
      <c r="BX30" s="2109">
        <v>1.5083797111818749</v>
      </c>
      <c r="BY30" s="2109">
        <v>1.2227196750958156</v>
      </c>
      <c r="BZ30" s="2109">
        <f t="shared" si="10"/>
        <v>8.1351890665272535</v>
      </c>
      <c r="CA30" s="2135"/>
      <c r="CB30" s="2135"/>
      <c r="CC30" s="2135"/>
      <c r="CD30" s="2135">
        <f t="shared" ref="CD30:CD38" si="80">IFERROR(CE30/BV30*10,0)</f>
        <v>1.4494292863039941</v>
      </c>
      <c r="CE30" s="2135">
        <f t="shared" ref="CE30:CE37" si="81">BZ30+BX30</f>
        <v>9.6435687777091275</v>
      </c>
      <c r="CF30" s="2149">
        <v>22.059691399999998</v>
      </c>
      <c r="CG30" s="2109">
        <f t="shared" ref="CG30:CG38" si="82">IFERROR(CH30/CF30*10,0)</f>
        <v>0.6837719004454772</v>
      </c>
      <c r="CH30" s="2109">
        <v>1.5083797111818749</v>
      </c>
      <c r="CI30" s="2109">
        <v>1.2227196750958156</v>
      </c>
      <c r="CJ30" s="2109">
        <f t="shared" si="11"/>
        <v>2.6972818701321954</v>
      </c>
      <c r="CK30" s="2135"/>
      <c r="CL30" s="2135"/>
      <c r="CM30" s="2135"/>
      <c r="CN30" s="2135">
        <f t="shared" ref="CN30:CN38" si="83">IFERROR(CO30/CF30*10,0)</f>
        <v>1.9064915755412926</v>
      </c>
      <c r="CO30" s="2135">
        <f t="shared" ref="CO30:CO37" si="84">CJ30+CH30</f>
        <v>4.2056615813140699</v>
      </c>
      <c r="CP30" s="2149">
        <v>55.071412599999995</v>
      </c>
      <c r="CQ30" s="2109">
        <f t="shared" ref="CQ30:CQ38" si="85">IFERROR(CR30/CP30*10,0)</f>
        <v>0.27389522802650518</v>
      </c>
      <c r="CR30" s="2109">
        <v>1.5083797111818749</v>
      </c>
      <c r="CS30" s="2109">
        <v>1.2227196750958156</v>
      </c>
      <c r="CT30" s="2109">
        <f t="shared" si="12"/>
        <v>6.7336899721339591</v>
      </c>
      <c r="CU30" s="2135"/>
      <c r="CV30" s="2135"/>
      <c r="CW30" s="2135"/>
      <c r="CX30" s="2135">
        <f t="shared" ref="CX30:CX38" si="86">IFERROR(CY30/CP30*10,0)</f>
        <v>1.4966149031223206</v>
      </c>
      <c r="CY30" s="2135">
        <f t="shared" ref="CY30:CY37" si="87">CT30+CR30</f>
        <v>8.2420696833158331</v>
      </c>
      <c r="CZ30" s="2149">
        <v>59.128862799999993</v>
      </c>
      <c r="DA30" s="2109">
        <f t="shared" ref="DA30:DA38" si="88">IFERROR(DB30/CZ30*10,0)</f>
        <v>0.25510040947073231</v>
      </c>
      <c r="DB30" s="2109">
        <v>1.5083797111818749</v>
      </c>
      <c r="DC30" s="2109">
        <v>1.2227196750958156</v>
      </c>
      <c r="DD30" s="2109">
        <f t="shared" si="13"/>
        <v>7.2298023911601046</v>
      </c>
      <c r="DE30" s="2135"/>
      <c r="DF30" s="2135"/>
      <c r="DG30" s="2135"/>
      <c r="DH30" s="2135">
        <f t="shared" ref="DH30:DH38" si="89">IFERROR(DI30/CZ30*10,0)</f>
        <v>1.4778200845665479</v>
      </c>
      <c r="DI30" s="2135">
        <f t="shared" ref="DI30:DI37" si="90">DD30+DB30</f>
        <v>8.7381821023419803</v>
      </c>
      <c r="DJ30" s="2149">
        <v>48.235635800000004</v>
      </c>
      <c r="DK30" s="2109">
        <f t="shared" ref="DK30:DK38" si="91">IFERROR(DL30/DJ30*10,0)</f>
        <v>0.31271065181686164</v>
      </c>
      <c r="DL30" s="2109">
        <v>1.5083797111818749</v>
      </c>
      <c r="DM30" s="2109">
        <v>1.2227196750958156</v>
      </c>
      <c r="DN30" s="2109">
        <f t="shared" si="14"/>
        <v>5.8978660933416096</v>
      </c>
      <c r="DO30" s="2135"/>
      <c r="DP30" s="2135"/>
      <c r="DQ30" s="2135"/>
      <c r="DR30" s="2135">
        <f t="shared" ref="DR30:DR38" si="92">IFERROR(DS30/DJ30*10,0)</f>
        <v>1.5354303269126772</v>
      </c>
      <c r="DS30" s="2135">
        <f t="shared" ref="DS30:DS37" si="93">DN30+DL30</f>
        <v>7.4062458045234845</v>
      </c>
      <c r="DT30" s="2149">
        <v>33.320956199999998</v>
      </c>
      <c r="DU30" s="2109">
        <f t="shared" ref="DU30:DU37" si="94">IFERROR(DV30/DT30*10,0)</f>
        <v>0.45268200051890317</v>
      </c>
      <c r="DV30" s="2109">
        <v>1.5083797111818749</v>
      </c>
      <c r="DW30" s="2109">
        <v>1.2227196750958156</v>
      </c>
      <c r="DX30" s="2109">
        <f t="shared" si="15"/>
        <v>4.0742188738745906</v>
      </c>
      <c r="DY30" s="2135"/>
      <c r="DZ30" s="2135"/>
      <c r="EA30" s="2135"/>
      <c r="EB30" s="2135">
        <f t="shared" ref="EB30:EB38" si="95">IFERROR(EC30/DT30*10,0)</f>
        <v>1.6754016756147188</v>
      </c>
      <c r="EC30" s="2135">
        <f t="shared" ref="EC30:EC37" si="96">DX30+DV30</f>
        <v>5.5825985850564654</v>
      </c>
      <c r="ED30" s="2135"/>
      <c r="EE30" s="2106">
        <f t="shared" ref="EE30:EE37" si="97">SUM(N30,X30,AH30,AR30,BB30,BL30,BV30,CF30,CP30,CZ30,DJ30,DT30)</f>
        <v>537.16551639569889</v>
      </c>
      <c r="EF30" s="2106">
        <f t="shared" ref="EF30:EF38" si="98">IFERROR((EG30/EE30)*10,0)</f>
        <v>0.33696423135339271</v>
      </c>
      <c r="EG30" s="2106">
        <f t="shared" ref="EG30:EG37" si="99">SUM(P30,Z30,AJ30,AT30,BD30,BN30,BX30,CR30,CH30,DB30,DL30,DV30)</f>
        <v>18.100556534182495</v>
      </c>
      <c r="EH30" s="2106">
        <f t="shared" ref="EH30:EH38" si="100">IFERROR((EI30/EE30)*10,0)</f>
        <v>1.2227196750958156</v>
      </c>
      <c r="EI30" s="2106">
        <f t="shared" ref="EI30:EI37" si="101">SUM(R30,AB30,AL30,AV30,BF30,BP30,BZ30,CJ30,CT30,DD30,DN30,DX30)</f>
        <v>65.680284568002492</v>
      </c>
      <c r="EJ30" s="2106"/>
      <c r="EK30" s="2106"/>
      <c r="EL30" s="2106"/>
      <c r="EM30" s="2106">
        <f t="shared" ref="EM30:EM38" si="102">IFERROR(EN30/EE30*10,0)</f>
        <v>1.5596839064492083</v>
      </c>
      <c r="EN30" s="2106">
        <f t="shared" ref="EN30:EN37" si="103">EG30+EI30</f>
        <v>83.780841102184979</v>
      </c>
      <c r="EO30" s="2106">
        <f t="shared" ref="EO30:EO37" si="104">EN30/J30*10</f>
        <v>1.5596839064492083</v>
      </c>
      <c r="EP30" s="2114">
        <f t="shared" ref="EP30:EP37" si="105">EN30/M30*10</f>
        <v>1.5596839064492083</v>
      </c>
      <c r="EQ30" s="2224"/>
      <c r="ER30" s="2210"/>
      <c r="ES30" s="2209" t="e">
        <v>#N/A</v>
      </c>
      <c r="ET30" s="2241"/>
      <c r="EU30" s="2230"/>
      <c r="EV30" s="2241"/>
      <c r="EW30" s="2241"/>
      <c r="EX30" s="2241"/>
      <c r="EY30" s="2244"/>
      <c r="EZ30" s="2244"/>
      <c r="FA30" s="2244"/>
      <c r="FB30" s="2242"/>
      <c r="FC30" s="2243"/>
      <c r="FD30" s="2243"/>
      <c r="FE30" s="2243"/>
      <c r="FF30" s="2243"/>
      <c r="FG30" s="2243"/>
      <c r="FH30" s="2243"/>
      <c r="FI30" s="2243"/>
    </row>
    <row r="31" spans="1:165">
      <c r="A31" s="2220">
        <v>2</v>
      </c>
      <c r="B31" s="2145" t="s">
        <v>1668</v>
      </c>
      <c r="C31" s="2146">
        <v>99</v>
      </c>
      <c r="D31" s="2147">
        <v>1</v>
      </c>
      <c r="E31" s="2228"/>
      <c r="F31" s="2148">
        <v>0.2530223795664962</v>
      </c>
      <c r="G31" s="2146">
        <v>99</v>
      </c>
      <c r="H31" s="2149" t="s">
        <v>1667</v>
      </c>
      <c r="I31" s="2229">
        <v>2</v>
      </c>
      <c r="J31" s="2149">
        <v>268.49688302961289</v>
      </c>
      <c r="K31" s="2222"/>
      <c r="L31" s="2151"/>
      <c r="M31" s="2152">
        <f t="shared" si="60"/>
        <v>268.49688302961289</v>
      </c>
      <c r="N31" s="2149">
        <v>17.228341599999997</v>
      </c>
      <c r="O31" s="2109">
        <f t="shared" si="61"/>
        <v>0.46731872717257084</v>
      </c>
      <c r="P31" s="2109">
        <v>0.8051126667806251</v>
      </c>
      <c r="Q31" s="2109">
        <v>0.80722514421068181</v>
      </c>
      <c r="R31" s="2109">
        <f t="shared" si="4"/>
        <v>1.3907150532570887</v>
      </c>
      <c r="S31" s="2109"/>
      <c r="T31" s="2109"/>
      <c r="U31" s="2109"/>
      <c r="V31" s="2109">
        <f t="shared" si="62"/>
        <v>1.2745438713832526</v>
      </c>
      <c r="W31" s="2109">
        <f t="shared" si="63"/>
        <v>2.1958277200377139</v>
      </c>
      <c r="X31" s="2149">
        <v>13.868036399999999</v>
      </c>
      <c r="Y31" s="2109">
        <f t="shared" si="64"/>
        <v>0.58055274990526073</v>
      </c>
      <c r="Z31" s="2109">
        <v>0.8051126667806251</v>
      </c>
      <c r="AA31" s="2109">
        <v>0.80722514421068181</v>
      </c>
      <c r="AB31" s="2109">
        <f t="shared" si="5"/>
        <v>1.1194627682908984</v>
      </c>
      <c r="AC31" s="2135"/>
      <c r="AD31" s="2135"/>
      <c r="AE31" s="2135"/>
      <c r="AF31" s="2135">
        <f t="shared" si="65"/>
        <v>1.3877778941159424</v>
      </c>
      <c r="AG31" s="2135">
        <f t="shared" si="66"/>
        <v>1.9245754350715236</v>
      </c>
      <c r="AH31" s="2149">
        <v>21.5913708</v>
      </c>
      <c r="AI31" s="2109">
        <f t="shared" si="67"/>
        <v>0.37288631381413967</v>
      </c>
      <c r="AJ31" s="2109">
        <v>0.8051126667806251</v>
      </c>
      <c r="AK31" s="2109">
        <v>0.80722514421068181</v>
      </c>
      <c r="AL31" s="2109">
        <f t="shared" si="6"/>
        <v>1.7429097407736305</v>
      </c>
      <c r="AM31" s="2135"/>
      <c r="AN31" s="2135"/>
      <c r="AO31" s="2135"/>
      <c r="AP31" s="2135">
        <f t="shared" si="68"/>
        <v>1.1801114580248215</v>
      </c>
      <c r="AQ31" s="2135">
        <f t="shared" si="69"/>
        <v>2.5480224075542557</v>
      </c>
      <c r="AR31" s="2149">
        <v>27.812547200000001</v>
      </c>
      <c r="AS31" s="2109">
        <f t="shared" si="70"/>
        <v>0.28947822038415277</v>
      </c>
      <c r="AT31" s="2109">
        <v>0.8051126667806251</v>
      </c>
      <c r="AU31" s="2109">
        <v>0.80722514421068181</v>
      </c>
      <c r="AV31" s="2109">
        <f t="shared" si="7"/>
        <v>2.2450987424386395</v>
      </c>
      <c r="AW31" s="2135"/>
      <c r="AX31" s="2135"/>
      <c r="AY31" s="2135"/>
      <c r="AZ31" s="2135">
        <f t="shared" si="71"/>
        <v>1.0967033645948345</v>
      </c>
      <c r="BA31" s="2135">
        <f t="shared" si="72"/>
        <v>3.0502114092192647</v>
      </c>
      <c r="BB31" s="2149">
        <v>23.630330999999998</v>
      </c>
      <c r="BC31" s="2109">
        <f t="shared" si="73"/>
        <v>0.3407115485519967</v>
      </c>
      <c r="BD31" s="2109">
        <v>0.8051126667806251</v>
      </c>
      <c r="BE31" s="2109">
        <v>0.80722514421068181</v>
      </c>
      <c r="BF31" s="2109">
        <f t="shared" si="8"/>
        <v>1.9074997349221143</v>
      </c>
      <c r="BG31" s="2135"/>
      <c r="BH31" s="2135"/>
      <c r="BI31" s="2135"/>
      <c r="BJ31" s="2135">
        <f t="shared" si="74"/>
        <v>1.1479366927626786</v>
      </c>
      <c r="BK31" s="2135">
        <f t="shared" si="75"/>
        <v>2.7126124017027395</v>
      </c>
      <c r="BL31" s="2149">
        <v>26.875720451612903</v>
      </c>
      <c r="BM31" s="2109">
        <f t="shared" si="76"/>
        <v>0.29956877555344102</v>
      </c>
      <c r="BN31" s="2109">
        <v>0.8051126667806251</v>
      </c>
      <c r="BO31" s="2109">
        <v>0.80722514421068181</v>
      </c>
      <c r="BP31" s="2109">
        <f t="shared" si="9"/>
        <v>2.1694757317319198</v>
      </c>
      <c r="BQ31" s="2135"/>
      <c r="BR31" s="2135"/>
      <c r="BS31" s="2135"/>
      <c r="BT31" s="2135">
        <f t="shared" si="77"/>
        <v>1.106793919764123</v>
      </c>
      <c r="BU31" s="2135">
        <f t="shared" si="78"/>
        <v>2.974588398512545</v>
      </c>
      <c r="BV31" s="2149">
        <v>28.600130599999996</v>
      </c>
      <c r="BW31" s="2109">
        <f t="shared" si="79"/>
        <v>0.28150663996640113</v>
      </c>
      <c r="BX31" s="2109">
        <v>0.8051126667806251</v>
      </c>
      <c r="BY31" s="2109">
        <v>0.80722514421068181</v>
      </c>
      <c r="BZ31" s="2109">
        <f t="shared" si="10"/>
        <v>2.308674454802933</v>
      </c>
      <c r="CA31" s="2135"/>
      <c r="CB31" s="2135"/>
      <c r="CC31" s="2135"/>
      <c r="CD31" s="2135">
        <f t="shared" si="80"/>
        <v>1.0887317841770829</v>
      </c>
      <c r="CE31" s="2135">
        <f t="shared" si="81"/>
        <v>3.1137871215835582</v>
      </c>
      <c r="CF31" s="2149">
        <v>12.834043599999994</v>
      </c>
      <c r="CG31" s="2109">
        <f t="shared" si="82"/>
        <v>0.62732579993777293</v>
      </c>
      <c r="CH31" s="2109">
        <v>0.8051126667806251</v>
      </c>
      <c r="CI31" s="2109">
        <v>0.80722514421068181</v>
      </c>
      <c r="CJ31" s="2109">
        <f t="shared" si="11"/>
        <v>1.0359962695816174</v>
      </c>
      <c r="CK31" s="2135"/>
      <c r="CL31" s="2135"/>
      <c r="CM31" s="2135"/>
      <c r="CN31" s="2135">
        <f t="shared" si="83"/>
        <v>1.434550944148455</v>
      </c>
      <c r="CO31" s="2135">
        <f t="shared" si="84"/>
        <v>1.8411089363622426</v>
      </c>
      <c r="CP31" s="2149">
        <v>25.879756120000007</v>
      </c>
      <c r="CQ31" s="2109">
        <f t="shared" si="85"/>
        <v>0.31109747056635895</v>
      </c>
      <c r="CR31" s="2109">
        <v>0.8051126667806251</v>
      </c>
      <c r="CS31" s="2109">
        <v>0.80722514421068181</v>
      </c>
      <c r="CT31" s="2109">
        <f t="shared" si="12"/>
        <v>2.0890789866104282</v>
      </c>
      <c r="CU31" s="2135"/>
      <c r="CV31" s="2135"/>
      <c r="CW31" s="2135"/>
      <c r="CX31" s="2135">
        <f t="shared" si="86"/>
        <v>1.1183226147770409</v>
      </c>
      <c r="CY31" s="2135">
        <f t="shared" si="87"/>
        <v>2.8941916533910534</v>
      </c>
      <c r="CZ31" s="2149">
        <v>28.36938052</v>
      </c>
      <c r="DA31" s="2109">
        <f t="shared" si="88"/>
        <v>0.2837963508625197</v>
      </c>
      <c r="DB31" s="2109">
        <v>0.8051126667806251</v>
      </c>
      <c r="DC31" s="2109">
        <v>0.80722514421068181</v>
      </c>
      <c r="DD31" s="2109">
        <f t="shared" si="13"/>
        <v>2.2900477281424707</v>
      </c>
      <c r="DE31" s="2135"/>
      <c r="DF31" s="2135"/>
      <c r="DG31" s="2135"/>
      <c r="DH31" s="2135">
        <f t="shared" si="89"/>
        <v>1.0910214950732016</v>
      </c>
      <c r="DI31" s="2135">
        <f t="shared" si="90"/>
        <v>3.0951603949230959</v>
      </c>
      <c r="DJ31" s="2149">
        <v>23.993749600000005</v>
      </c>
      <c r="DK31" s="2109">
        <f t="shared" si="91"/>
        <v>0.33555099982398118</v>
      </c>
      <c r="DL31" s="2109">
        <v>0.8051126667806251</v>
      </c>
      <c r="DM31" s="2109">
        <v>0.80722514421068181</v>
      </c>
      <c r="DN31" s="2109">
        <f t="shared" si="14"/>
        <v>1.9368357981014992</v>
      </c>
      <c r="DO31" s="2135"/>
      <c r="DP31" s="2135"/>
      <c r="DQ31" s="2135"/>
      <c r="DR31" s="2135">
        <f t="shared" si="92"/>
        <v>1.1427761440346631</v>
      </c>
      <c r="DS31" s="2135">
        <f t="shared" si="93"/>
        <v>2.7419484648821242</v>
      </c>
      <c r="DT31" s="2149">
        <v>17.813475138000001</v>
      </c>
      <c r="DU31" s="2109">
        <f t="shared" si="94"/>
        <v>0.45196833326650865</v>
      </c>
      <c r="DV31" s="2109">
        <v>0.8051126667806251</v>
      </c>
      <c r="DW31" s="2109">
        <v>0.80722514421068181</v>
      </c>
      <c r="DX31" s="2109">
        <f t="shared" si="15"/>
        <v>1.4379485037165447</v>
      </c>
      <c r="DY31" s="2135"/>
      <c r="DZ31" s="2135"/>
      <c r="EA31" s="2135"/>
      <c r="EB31" s="2135">
        <f t="shared" si="95"/>
        <v>1.2591934774771905</v>
      </c>
      <c r="EC31" s="2135">
        <f t="shared" si="96"/>
        <v>2.2430611704971697</v>
      </c>
      <c r="ED31" s="2135"/>
      <c r="EE31" s="2106">
        <f t="shared" si="97"/>
        <v>268.49688302961289</v>
      </c>
      <c r="EF31" s="2106">
        <f t="shared" si="98"/>
        <v>0.35983106739834797</v>
      </c>
      <c r="EG31" s="2106">
        <f t="shared" si="99"/>
        <v>9.6613520013674989</v>
      </c>
      <c r="EH31" s="2106">
        <f t="shared" si="100"/>
        <v>0.8072251442106817</v>
      </c>
      <c r="EI31" s="2106">
        <f t="shared" si="101"/>
        <v>21.673743512369782</v>
      </c>
      <c r="EJ31" s="2106"/>
      <c r="EK31" s="2106"/>
      <c r="EL31" s="2106"/>
      <c r="EM31" s="2106">
        <f t="shared" si="102"/>
        <v>1.1670562116090297</v>
      </c>
      <c r="EN31" s="2106">
        <f t="shared" si="103"/>
        <v>31.335095513737279</v>
      </c>
      <c r="EO31" s="2106">
        <f t="shared" si="104"/>
        <v>1.1670562116090297</v>
      </c>
      <c r="EP31" s="2114">
        <f t="shared" si="105"/>
        <v>1.1670562116090297</v>
      </c>
      <c r="EQ31" s="2224"/>
      <c r="ER31" s="2210"/>
      <c r="ES31" s="2209" t="e">
        <v>#N/A</v>
      </c>
      <c r="ET31" s="2241"/>
      <c r="EU31" s="2230"/>
      <c r="EV31" s="2241"/>
      <c r="EW31" s="2241"/>
      <c r="EX31" s="2241"/>
      <c r="EY31" s="2244"/>
      <c r="EZ31" s="2244"/>
      <c r="FA31" s="2244"/>
      <c r="FB31" s="2242"/>
      <c r="FC31" s="2243"/>
      <c r="FD31" s="2243"/>
      <c r="FE31" s="2243"/>
      <c r="FF31" s="2243"/>
      <c r="FG31" s="2243"/>
      <c r="FH31" s="2243"/>
      <c r="FI31" s="2243"/>
    </row>
    <row r="32" spans="1:165">
      <c r="A32" s="2220">
        <v>3</v>
      </c>
      <c r="B32" s="2145" t="s">
        <v>1669</v>
      </c>
      <c r="C32" s="2146">
        <v>30</v>
      </c>
      <c r="D32" s="2147">
        <v>0.66666666666666663</v>
      </c>
      <c r="E32" s="2228"/>
      <c r="F32" s="2148">
        <v>0.34428460564237051</v>
      </c>
      <c r="G32" s="2146">
        <v>20</v>
      </c>
      <c r="H32" s="2149" t="s">
        <v>1667</v>
      </c>
      <c r="I32" s="2229">
        <v>2</v>
      </c>
      <c r="J32" s="2149">
        <v>61.694416131182791</v>
      </c>
      <c r="K32" s="2222"/>
      <c r="L32" s="2151"/>
      <c r="M32" s="2152">
        <f t="shared" si="60"/>
        <v>61.694416131182791</v>
      </c>
      <c r="N32" s="2149">
        <v>0.50891166666666654</v>
      </c>
      <c r="O32" s="2109">
        <f t="shared" si="61"/>
        <v>4.99068742916256</v>
      </c>
      <c r="P32" s="2109">
        <v>0.25398190573874996</v>
      </c>
      <c r="Q32" s="2109">
        <v>0.82250604218935108</v>
      </c>
      <c r="R32" s="2109">
        <f t="shared" si="4"/>
        <v>4.1858292077398621E-2</v>
      </c>
      <c r="S32" s="2109"/>
      <c r="T32" s="2109"/>
      <c r="U32" s="2109"/>
      <c r="V32" s="2109">
        <f t="shared" si="62"/>
        <v>5.8131934713519104</v>
      </c>
      <c r="W32" s="2109">
        <f t="shared" si="63"/>
        <v>0.29584019781614856</v>
      </c>
      <c r="X32" s="2149">
        <v>4.4697788000000003</v>
      </c>
      <c r="Y32" s="2109">
        <f t="shared" si="64"/>
        <v>0.56822030150295122</v>
      </c>
      <c r="Z32" s="2109">
        <v>0.25398190573874996</v>
      </c>
      <c r="AA32" s="2109">
        <v>0.82250604218935108</v>
      </c>
      <c r="AB32" s="2109">
        <f t="shared" si="5"/>
        <v>0.36764200702498673</v>
      </c>
      <c r="AC32" s="2135"/>
      <c r="AD32" s="2135"/>
      <c r="AE32" s="2135"/>
      <c r="AF32" s="2135">
        <f t="shared" si="65"/>
        <v>1.3907263436923021</v>
      </c>
      <c r="AG32" s="2135">
        <f t="shared" si="66"/>
        <v>0.62162391276373663</v>
      </c>
      <c r="AH32" s="2149">
        <v>0.25420439999999994</v>
      </c>
      <c r="AI32" s="2109">
        <f t="shared" si="67"/>
        <v>9.9912474268246338</v>
      </c>
      <c r="AJ32" s="2109">
        <v>0.25398190573874996</v>
      </c>
      <c r="AK32" s="2109">
        <v>0.82250604218935108</v>
      </c>
      <c r="AL32" s="2109">
        <f t="shared" si="6"/>
        <v>2.0908465495111862E-2</v>
      </c>
      <c r="AM32" s="2135"/>
      <c r="AN32" s="2135"/>
      <c r="AO32" s="2135"/>
      <c r="AP32" s="2135">
        <f t="shared" si="68"/>
        <v>10.813753469013987</v>
      </c>
      <c r="AQ32" s="2135">
        <f t="shared" si="69"/>
        <v>0.27489037123386184</v>
      </c>
      <c r="AR32" s="2149">
        <v>0.4056666000000001</v>
      </c>
      <c r="AS32" s="2109">
        <f t="shared" si="70"/>
        <v>6.2608532656804847</v>
      </c>
      <c r="AT32" s="2109">
        <v>0.25398190573874996</v>
      </c>
      <c r="AU32" s="2109">
        <v>0.82250604218935108</v>
      </c>
      <c r="AV32" s="2109">
        <f t="shared" si="7"/>
        <v>3.3366322961441069E-2</v>
      </c>
      <c r="AW32" s="2135"/>
      <c r="AX32" s="2135"/>
      <c r="AY32" s="2135"/>
      <c r="AZ32" s="2135">
        <f t="shared" si="71"/>
        <v>7.083359307869836</v>
      </c>
      <c r="BA32" s="2135">
        <f t="shared" si="72"/>
        <v>0.28734822870019106</v>
      </c>
      <c r="BB32" s="2149">
        <v>3.5814847999999992</v>
      </c>
      <c r="BC32" s="2109">
        <f t="shared" si="73"/>
        <v>0.70915254404751349</v>
      </c>
      <c r="BD32" s="2109">
        <v>0.25398190573874996</v>
      </c>
      <c r="BE32" s="2109">
        <v>0.82250604218935108</v>
      </c>
      <c r="BF32" s="2109">
        <f t="shared" si="8"/>
        <v>0.29457928880093187</v>
      </c>
      <c r="BG32" s="2135"/>
      <c r="BH32" s="2135"/>
      <c r="BI32" s="2135"/>
      <c r="BJ32" s="2135">
        <f t="shared" si="74"/>
        <v>1.5316585862368641</v>
      </c>
      <c r="BK32" s="2135">
        <f t="shared" si="75"/>
        <v>0.54856119453968177</v>
      </c>
      <c r="BL32" s="2149">
        <v>7.043842064516129</v>
      </c>
      <c r="BM32" s="2109">
        <f t="shared" si="76"/>
        <v>0.36057297056417892</v>
      </c>
      <c r="BN32" s="2109">
        <v>0.25398190573874996</v>
      </c>
      <c r="BO32" s="2109">
        <v>0.82250604218935108</v>
      </c>
      <c r="BP32" s="2109">
        <f t="shared" si="9"/>
        <v>0.57936026582920286</v>
      </c>
      <c r="BQ32" s="2135"/>
      <c r="BR32" s="2135"/>
      <c r="BS32" s="2135"/>
      <c r="BT32" s="2135">
        <f t="shared" si="77"/>
        <v>1.1830790127535298</v>
      </c>
      <c r="BU32" s="2135">
        <f t="shared" si="78"/>
        <v>0.83334217156795276</v>
      </c>
      <c r="BV32" s="2149">
        <v>9.6558607999999992</v>
      </c>
      <c r="BW32" s="2109">
        <f t="shared" si="79"/>
        <v>0.26303393451855683</v>
      </c>
      <c r="BX32" s="2109">
        <v>0.25398190573874996</v>
      </c>
      <c r="BY32" s="2109">
        <v>0.82250604218935108</v>
      </c>
      <c r="BZ32" s="2109">
        <f t="shared" si="10"/>
        <v>0.79420038505393009</v>
      </c>
      <c r="CA32" s="2135"/>
      <c r="CB32" s="2135"/>
      <c r="CC32" s="2135"/>
      <c r="CD32" s="2135">
        <f t="shared" si="80"/>
        <v>1.0855399767079079</v>
      </c>
      <c r="CE32" s="2135">
        <f t="shared" si="81"/>
        <v>1.0481822907926801</v>
      </c>
      <c r="CF32" s="2149">
        <v>9.0880951999999997</v>
      </c>
      <c r="CG32" s="2109">
        <f t="shared" si="82"/>
        <v>0.27946659905009574</v>
      </c>
      <c r="CH32" s="2109">
        <v>0.25398190573874996</v>
      </c>
      <c r="CI32" s="2109">
        <v>0.82250604218935108</v>
      </c>
      <c r="CJ32" s="2109">
        <f t="shared" si="11"/>
        <v>0.74750132139920389</v>
      </c>
      <c r="CK32" s="2135"/>
      <c r="CL32" s="2135"/>
      <c r="CM32" s="2135"/>
      <c r="CN32" s="2135">
        <f t="shared" si="83"/>
        <v>1.1019726412394468</v>
      </c>
      <c r="CO32" s="2135">
        <f t="shared" si="84"/>
        <v>1.0014832271379539</v>
      </c>
      <c r="CP32" s="2149">
        <v>7.4157405999999986</v>
      </c>
      <c r="CQ32" s="2109">
        <f t="shared" si="85"/>
        <v>0.34249027769222401</v>
      </c>
      <c r="CR32" s="2109">
        <v>0.25398190573874996</v>
      </c>
      <c r="CS32" s="2109">
        <v>0.82250604218935108</v>
      </c>
      <c r="CT32" s="2109">
        <f t="shared" si="12"/>
        <v>0.60994914508088827</v>
      </c>
      <c r="CU32" s="2135"/>
      <c r="CV32" s="2135"/>
      <c r="CW32" s="2135"/>
      <c r="CX32" s="2135">
        <f t="shared" si="86"/>
        <v>1.1649963198815751</v>
      </c>
      <c r="CY32" s="2135">
        <f t="shared" si="87"/>
        <v>0.86393105081963828</v>
      </c>
      <c r="CZ32" s="2149">
        <v>7.3847759999999978</v>
      </c>
      <c r="DA32" s="2109">
        <f t="shared" si="88"/>
        <v>0.34392635028977186</v>
      </c>
      <c r="DB32" s="2109">
        <v>0.25398190573874996</v>
      </c>
      <c r="DC32" s="2109">
        <v>0.82250604218935108</v>
      </c>
      <c r="DD32" s="2109">
        <f t="shared" si="13"/>
        <v>0.60740228802149054</v>
      </c>
      <c r="DE32" s="2135"/>
      <c r="DF32" s="2135"/>
      <c r="DG32" s="2135"/>
      <c r="DH32" s="2135">
        <f t="shared" si="89"/>
        <v>1.1664323924791229</v>
      </c>
      <c r="DI32" s="2135">
        <f t="shared" si="90"/>
        <v>0.86138419376024045</v>
      </c>
      <c r="DJ32" s="2149">
        <v>7.8282970000000001</v>
      </c>
      <c r="DK32" s="2109">
        <f t="shared" si="91"/>
        <v>0.32444081482696679</v>
      </c>
      <c r="DL32" s="2109">
        <v>0.25398190573874996</v>
      </c>
      <c r="DM32" s="2109">
        <v>0.82250604218935108</v>
      </c>
      <c r="DN32" s="2109">
        <f t="shared" si="14"/>
        <v>0.64388215825527706</v>
      </c>
      <c r="DO32" s="2135"/>
      <c r="DP32" s="2135"/>
      <c r="DQ32" s="2135"/>
      <c r="DR32" s="2135">
        <f t="shared" si="92"/>
        <v>1.1469468570163179</v>
      </c>
      <c r="DS32" s="2135">
        <f t="shared" si="93"/>
        <v>0.89786406399402696</v>
      </c>
      <c r="DT32" s="2149">
        <v>4.0577582000000003</v>
      </c>
      <c r="DU32" s="2109">
        <f t="shared" si="94"/>
        <v>0.62591680731185495</v>
      </c>
      <c r="DV32" s="2109">
        <v>0.25398190573874996</v>
      </c>
      <c r="DW32" s="2109">
        <v>0.82250604218935108</v>
      </c>
      <c r="DX32" s="2109">
        <f t="shared" si="15"/>
        <v>0.33375306372433855</v>
      </c>
      <c r="DY32" s="2135"/>
      <c r="DZ32" s="2135"/>
      <c r="EA32" s="2135"/>
      <c r="EB32" s="2135">
        <f t="shared" si="95"/>
        <v>1.4484228495012057</v>
      </c>
      <c r="EC32" s="2135">
        <f t="shared" si="96"/>
        <v>0.58773496946308845</v>
      </c>
      <c r="ED32" s="2135"/>
      <c r="EE32" s="2106">
        <f t="shared" si="97"/>
        <v>61.694416131182791</v>
      </c>
      <c r="EF32" s="2106">
        <f t="shared" si="98"/>
        <v>0.49401275836445258</v>
      </c>
      <c r="EG32" s="2106">
        <f t="shared" si="99"/>
        <v>3.0477828688649988</v>
      </c>
      <c r="EH32" s="2106">
        <f t="shared" si="100"/>
        <v>0.82250604218935108</v>
      </c>
      <c r="EI32" s="2106">
        <f t="shared" si="101"/>
        <v>5.0744030037242016</v>
      </c>
      <c r="EJ32" s="2106"/>
      <c r="EK32" s="2106"/>
      <c r="EL32" s="2106"/>
      <c r="EM32" s="2106">
        <f t="shared" si="102"/>
        <v>1.3165188005538035</v>
      </c>
      <c r="EN32" s="2106">
        <f t="shared" si="103"/>
        <v>8.1221858725892009</v>
      </c>
      <c r="EO32" s="2106">
        <f t="shared" si="104"/>
        <v>1.3165188005538035</v>
      </c>
      <c r="EP32" s="2114">
        <f t="shared" si="105"/>
        <v>1.3165188005538035</v>
      </c>
      <c r="EQ32" s="2224"/>
      <c r="ER32" s="2210"/>
      <c r="ES32" s="2209" t="e">
        <v>#N/A</v>
      </c>
      <c r="ET32" s="2241"/>
      <c r="EU32" s="2230"/>
      <c r="EV32" s="2241"/>
      <c r="EW32" s="2241"/>
      <c r="EX32" s="2241"/>
      <c r="EY32" s="2244"/>
      <c r="EZ32" s="2244"/>
      <c r="FA32" s="2244"/>
      <c r="FB32" s="2242"/>
      <c r="FC32" s="2243"/>
      <c r="FD32" s="2243"/>
      <c r="FE32" s="2243"/>
      <c r="FF32" s="2243"/>
      <c r="FG32" s="2243"/>
      <c r="FH32" s="2243"/>
      <c r="FI32" s="2243"/>
    </row>
    <row r="33" spans="1:165">
      <c r="A33" s="2220">
        <v>4</v>
      </c>
      <c r="B33" s="2145" t="s">
        <v>1670</v>
      </c>
      <c r="C33" s="2146">
        <v>72</v>
      </c>
      <c r="D33" s="2147">
        <v>0.8</v>
      </c>
      <c r="E33" s="2228"/>
      <c r="F33" s="2148">
        <v>0.48608087888841683</v>
      </c>
      <c r="G33" s="2146">
        <v>57.6</v>
      </c>
      <c r="H33" s="2149" t="s">
        <v>1667</v>
      </c>
      <c r="I33" s="2229">
        <v>2</v>
      </c>
      <c r="J33" s="2149">
        <v>257.84445449892473</v>
      </c>
      <c r="K33" s="2222"/>
      <c r="L33" s="2151"/>
      <c r="M33" s="2152">
        <f t="shared" si="60"/>
        <v>257.84445449892473</v>
      </c>
      <c r="N33" s="2149">
        <v>14.615513166666668</v>
      </c>
      <c r="O33" s="2109">
        <f t="shared" si="61"/>
        <v>0.77294980847105954</v>
      </c>
      <c r="P33" s="2109">
        <v>1.129705810288125</v>
      </c>
      <c r="Q33" s="2109">
        <v>0.50412166365506661</v>
      </c>
      <c r="R33" s="2109">
        <f t="shared" si="4"/>
        <v>0.73679968127525319</v>
      </c>
      <c r="S33" s="2109"/>
      <c r="T33" s="2109"/>
      <c r="U33" s="2109"/>
      <c r="V33" s="2109">
        <f t="shared" si="62"/>
        <v>1.277071472126126</v>
      </c>
      <c r="W33" s="2109">
        <f t="shared" si="63"/>
        <v>1.8665054915633781</v>
      </c>
      <c r="X33" s="2149">
        <v>22.555251199999997</v>
      </c>
      <c r="Y33" s="2109">
        <f t="shared" si="64"/>
        <v>0.50086155116203057</v>
      </c>
      <c r="Z33" s="2109">
        <v>1.129705810288125</v>
      </c>
      <c r="AA33" s="2109">
        <v>0.50412166365506661</v>
      </c>
      <c r="AB33" s="2109">
        <f t="shared" si="5"/>
        <v>1.1370590759101937</v>
      </c>
      <c r="AC33" s="2135"/>
      <c r="AD33" s="2135"/>
      <c r="AE33" s="2135"/>
      <c r="AF33" s="2135">
        <f t="shared" si="65"/>
        <v>1.0049832148170972</v>
      </c>
      <c r="AG33" s="2135">
        <f t="shared" si="66"/>
        <v>2.2667648861983185</v>
      </c>
      <c r="AH33" s="2149">
        <v>27.382196599999997</v>
      </c>
      <c r="AI33" s="2109">
        <f t="shared" si="67"/>
        <v>0.4125694613879608</v>
      </c>
      <c r="AJ33" s="2109">
        <v>1.129705810288125</v>
      </c>
      <c r="AK33" s="2109">
        <v>0.50412166365506661</v>
      </c>
      <c r="AL33" s="2109">
        <f t="shared" si="6"/>
        <v>1.3803958504522107</v>
      </c>
      <c r="AM33" s="2135"/>
      <c r="AN33" s="2135"/>
      <c r="AO33" s="2135"/>
      <c r="AP33" s="2135">
        <f t="shared" si="68"/>
        <v>0.91669112504302752</v>
      </c>
      <c r="AQ33" s="2135">
        <f t="shared" si="69"/>
        <v>2.5101016607403359</v>
      </c>
      <c r="AR33" s="2149">
        <v>36.992759800000002</v>
      </c>
      <c r="AS33" s="2109">
        <f t="shared" si="70"/>
        <v>0.3053856528671659</v>
      </c>
      <c r="AT33" s="2109">
        <v>1.129705810288125</v>
      </c>
      <c r="AU33" s="2109">
        <v>0.50412166365506661</v>
      </c>
      <c r="AV33" s="2109">
        <f t="shared" si="7"/>
        <v>1.8648851613568269</v>
      </c>
      <c r="AW33" s="2135"/>
      <c r="AX33" s="2135"/>
      <c r="AY33" s="2135"/>
      <c r="AZ33" s="2135">
        <f t="shared" si="71"/>
        <v>0.8095073165222324</v>
      </c>
      <c r="BA33" s="2135">
        <f t="shared" si="72"/>
        <v>2.9945909716449517</v>
      </c>
      <c r="BB33" s="2149">
        <v>32.1714178</v>
      </c>
      <c r="BC33" s="2109">
        <f t="shared" si="73"/>
        <v>0.35115201242020644</v>
      </c>
      <c r="BD33" s="2109">
        <v>1.129705810288125</v>
      </c>
      <c r="BE33" s="2109">
        <v>0.50412166365506661</v>
      </c>
      <c r="BF33" s="2109">
        <f t="shared" si="8"/>
        <v>1.6218308663478223</v>
      </c>
      <c r="BG33" s="2135"/>
      <c r="BH33" s="2135"/>
      <c r="BI33" s="2135"/>
      <c r="BJ33" s="2135">
        <f t="shared" si="74"/>
        <v>0.85527367607527305</v>
      </c>
      <c r="BK33" s="2135">
        <f t="shared" si="75"/>
        <v>2.751536676635947</v>
      </c>
      <c r="BL33" s="2149">
        <v>30.289808632258062</v>
      </c>
      <c r="BM33" s="2109">
        <f t="shared" si="76"/>
        <v>0.37296564795229847</v>
      </c>
      <c r="BN33" s="2109">
        <v>1.129705810288125</v>
      </c>
      <c r="BO33" s="2109">
        <v>0.50412166365506661</v>
      </c>
      <c r="BP33" s="2109">
        <f t="shared" si="9"/>
        <v>1.5269748719487533</v>
      </c>
      <c r="BQ33" s="2135"/>
      <c r="BR33" s="2135"/>
      <c r="BS33" s="2135"/>
      <c r="BT33" s="2135">
        <f t="shared" si="77"/>
        <v>0.87708731160736508</v>
      </c>
      <c r="BU33" s="2135">
        <f t="shared" si="78"/>
        <v>2.6566806822368783</v>
      </c>
      <c r="BV33" s="2149">
        <v>28.9264142</v>
      </c>
      <c r="BW33" s="2109">
        <f t="shared" si="79"/>
        <v>0.39054471199825558</v>
      </c>
      <c r="BX33" s="2109">
        <v>1.129705810288125</v>
      </c>
      <c r="BY33" s="2109">
        <v>0.50412166365506661</v>
      </c>
      <c r="BZ33" s="2109">
        <f t="shared" si="10"/>
        <v>1.4582432050079543</v>
      </c>
      <c r="CA33" s="2135"/>
      <c r="CB33" s="2135"/>
      <c r="CC33" s="2135"/>
      <c r="CD33" s="2135">
        <f t="shared" si="80"/>
        <v>0.89466637565332219</v>
      </c>
      <c r="CE33" s="2135">
        <f t="shared" si="81"/>
        <v>2.5879490152960791</v>
      </c>
      <c r="CF33" s="2149">
        <v>19.1322592</v>
      </c>
      <c r="CG33" s="2109">
        <f t="shared" si="82"/>
        <v>0.59047172551798011</v>
      </c>
      <c r="CH33" s="2109">
        <v>1.129705810288125</v>
      </c>
      <c r="CI33" s="2109">
        <v>0.50412166365506661</v>
      </c>
      <c r="CJ33" s="2109">
        <f t="shared" si="11"/>
        <v>0.96449863373839528</v>
      </c>
      <c r="CK33" s="2135"/>
      <c r="CL33" s="2135"/>
      <c r="CM33" s="2135"/>
      <c r="CN33" s="2135">
        <f t="shared" si="83"/>
        <v>1.0945933891730468</v>
      </c>
      <c r="CO33" s="2135">
        <f t="shared" si="84"/>
        <v>2.0942044440265204</v>
      </c>
      <c r="CP33" s="2149">
        <v>12.056682599999998</v>
      </c>
      <c r="CQ33" s="2109">
        <f t="shared" si="85"/>
        <v>0.9369955631809741</v>
      </c>
      <c r="CR33" s="2109">
        <v>1.129705810288125</v>
      </c>
      <c r="CS33" s="2109">
        <v>0.50412166365506661</v>
      </c>
      <c r="CT33" s="2109">
        <f t="shared" si="12"/>
        <v>0.6078034890473093</v>
      </c>
      <c r="CU33" s="2135"/>
      <c r="CV33" s="2135"/>
      <c r="CW33" s="2135"/>
      <c r="CX33" s="2135">
        <f t="shared" si="86"/>
        <v>1.4411172268360408</v>
      </c>
      <c r="CY33" s="2135">
        <f t="shared" si="87"/>
        <v>1.7375092993354344</v>
      </c>
      <c r="CZ33" s="2149">
        <v>10.872318399999999</v>
      </c>
      <c r="DA33" s="2109">
        <f t="shared" si="88"/>
        <v>1.0390661574886595</v>
      </c>
      <c r="DB33" s="2109">
        <v>1.129705810288125</v>
      </c>
      <c r="DC33" s="2109">
        <v>0.50412166365506661</v>
      </c>
      <c r="DD33" s="2109">
        <f t="shared" si="13"/>
        <v>0.54809712395955912</v>
      </c>
      <c r="DE33" s="2135"/>
      <c r="DF33" s="2135"/>
      <c r="DG33" s="2135"/>
      <c r="DH33" s="2135">
        <f t="shared" si="89"/>
        <v>1.543187821143726</v>
      </c>
      <c r="DI33" s="2135">
        <f t="shared" si="90"/>
        <v>1.6778029342476841</v>
      </c>
      <c r="DJ33" s="2149">
        <v>9.3639764000000003</v>
      </c>
      <c r="DK33" s="2109">
        <f t="shared" si="91"/>
        <v>1.2064381220440976</v>
      </c>
      <c r="DL33" s="2109">
        <v>1.129705810288125</v>
      </c>
      <c r="DM33" s="2109">
        <v>0.50412166365506661</v>
      </c>
      <c r="DN33" s="2109">
        <f t="shared" si="14"/>
        <v>0.47205833611947823</v>
      </c>
      <c r="DO33" s="2135"/>
      <c r="DP33" s="2135"/>
      <c r="DQ33" s="2135"/>
      <c r="DR33" s="2135">
        <f t="shared" si="92"/>
        <v>1.7105597856991641</v>
      </c>
      <c r="DS33" s="2135">
        <f t="shared" si="93"/>
        <v>1.6017641464076031</v>
      </c>
      <c r="DT33" s="2149">
        <v>13.485856500000002</v>
      </c>
      <c r="DU33" s="2109">
        <f t="shared" si="94"/>
        <v>0.83769674568917807</v>
      </c>
      <c r="DV33" s="2109">
        <v>1.129705810288125</v>
      </c>
      <c r="DW33" s="2109">
        <v>0.50412166365506661</v>
      </c>
      <c r="DX33" s="2109">
        <f t="shared" si="15"/>
        <v>0.6798512414593495</v>
      </c>
      <c r="DY33" s="2135"/>
      <c r="DZ33" s="2135"/>
      <c r="EA33" s="2135"/>
      <c r="EB33" s="2135">
        <f t="shared" si="95"/>
        <v>1.3418184093442447</v>
      </c>
      <c r="EC33" s="2135">
        <f t="shared" si="96"/>
        <v>1.8095570517474746</v>
      </c>
      <c r="ED33" s="2135"/>
      <c r="EE33" s="2106">
        <f t="shared" si="97"/>
        <v>257.84445449892473</v>
      </c>
      <c r="EF33" s="2106">
        <f t="shared" si="98"/>
        <v>0.52576153905664225</v>
      </c>
      <c r="EG33" s="2106">
        <f t="shared" si="99"/>
        <v>13.556469723457504</v>
      </c>
      <c r="EH33" s="2106">
        <f t="shared" si="100"/>
        <v>0.50412166365506672</v>
      </c>
      <c r="EI33" s="2106">
        <f t="shared" si="101"/>
        <v>12.998497536623107</v>
      </c>
      <c r="EJ33" s="2106"/>
      <c r="EK33" s="2106"/>
      <c r="EL33" s="2106"/>
      <c r="EM33" s="2106">
        <f t="shared" si="102"/>
        <v>1.0298832027117089</v>
      </c>
      <c r="EN33" s="2106">
        <f t="shared" si="103"/>
        <v>26.554967260080609</v>
      </c>
      <c r="EO33" s="2106">
        <f t="shared" si="104"/>
        <v>1.0298832027117089</v>
      </c>
      <c r="EP33" s="2114">
        <f t="shared" si="105"/>
        <v>1.0298832027117089</v>
      </c>
      <c r="EQ33" s="2224"/>
      <c r="ER33" s="2210"/>
      <c r="ES33" s="2209" t="e">
        <v>#N/A</v>
      </c>
      <c r="ET33" s="2241"/>
      <c r="EU33" s="2230"/>
      <c r="EV33" s="2241"/>
      <c r="EW33" s="2241"/>
      <c r="EX33" s="2241"/>
      <c r="EY33" s="2244"/>
      <c r="EZ33" s="2244"/>
      <c r="FA33" s="2244"/>
      <c r="FB33" s="2242"/>
      <c r="FC33" s="2243"/>
      <c r="FD33" s="2243"/>
      <c r="FE33" s="2243"/>
      <c r="FF33" s="2243"/>
      <c r="FG33" s="2243"/>
      <c r="FH33" s="2243"/>
      <c r="FI33" s="2243"/>
    </row>
    <row r="34" spans="1:165">
      <c r="A34" s="2220">
        <v>5</v>
      </c>
      <c r="B34" s="2145" t="s">
        <v>1671</v>
      </c>
      <c r="C34" s="2146">
        <v>13.7</v>
      </c>
      <c r="D34" s="2147">
        <v>1</v>
      </c>
      <c r="E34" s="2228"/>
      <c r="F34" s="2148">
        <v>0.18495871183272258</v>
      </c>
      <c r="G34" s="2146">
        <v>13.7</v>
      </c>
      <c r="H34" s="2149" t="s">
        <v>1667</v>
      </c>
      <c r="I34" s="2229">
        <v>2</v>
      </c>
      <c r="J34" s="2149">
        <v>24.00201555333334</v>
      </c>
      <c r="K34" s="2222"/>
      <c r="L34" s="2151"/>
      <c r="M34" s="2152">
        <f t="shared" si="60"/>
        <v>24.00201555333334</v>
      </c>
      <c r="N34" s="2149">
        <v>2.9528163333333328</v>
      </c>
      <c r="O34" s="2109">
        <f t="shared" si="61"/>
        <v>0</v>
      </c>
      <c r="P34" s="2109">
        <v>0</v>
      </c>
      <c r="Q34" s="2109">
        <v>2.9443322479596841</v>
      </c>
      <c r="R34" s="2109">
        <f t="shared" si="4"/>
        <v>0.86940723525354036</v>
      </c>
      <c r="S34" s="2109"/>
      <c r="T34" s="2109"/>
      <c r="U34" s="2109"/>
      <c r="V34" s="2109">
        <f t="shared" si="62"/>
        <v>2.9443322479596841</v>
      </c>
      <c r="W34" s="2109">
        <f t="shared" si="63"/>
        <v>0.86940723525354036</v>
      </c>
      <c r="X34" s="2149">
        <v>1.9988516000000001</v>
      </c>
      <c r="Y34" s="2109">
        <f t="shared" si="64"/>
        <v>0</v>
      </c>
      <c r="Z34" s="2109">
        <v>0</v>
      </c>
      <c r="AA34" s="2109">
        <v>2.9443322479596841</v>
      </c>
      <c r="AB34" s="2109">
        <f t="shared" si="5"/>
        <v>0.58852832247658116</v>
      </c>
      <c r="AC34" s="2135"/>
      <c r="AD34" s="2135"/>
      <c r="AE34" s="2135"/>
      <c r="AF34" s="2135">
        <f t="shared" si="65"/>
        <v>2.9443322479596841</v>
      </c>
      <c r="AG34" s="2135">
        <f t="shared" si="66"/>
        <v>0.58852832247658116</v>
      </c>
      <c r="AH34" s="2149">
        <v>1.8241606000000001</v>
      </c>
      <c r="AI34" s="2109">
        <f t="shared" si="67"/>
        <v>0</v>
      </c>
      <c r="AJ34" s="2109">
        <v>0</v>
      </c>
      <c r="AK34" s="2109">
        <v>2.9443322479596841</v>
      </c>
      <c r="AL34" s="2109">
        <f t="shared" si="6"/>
        <v>0.53709348800374868</v>
      </c>
      <c r="AM34" s="2135"/>
      <c r="AN34" s="2135"/>
      <c r="AO34" s="2135"/>
      <c r="AP34" s="2135">
        <f t="shared" si="68"/>
        <v>2.9443322479596845</v>
      </c>
      <c r="AQ34" s="2135">
        <f t="shared" si="69"/>
        <v>0.53709348800374868</v>
      </c>
      <c r="AR34" s="2149">
        <v>2.0370970000000006</v>
      </c>
      <c r="AS34" s="2109">
        <f t="shared" si="70"/>
        <v>0</v>
      </c>
      <c r="AT34" s="2109">
        <v>0</v>
      </c>
      <c r="AU34" s="2109">
        <v>2.9443322479596841</v>
      </c>
      <c r="AV34" s="2109">
        <f t="shared" si="7"/>
        <v>0.59978903893219304</v>
      </c>
      <c r="AW34" s="2135"/>
      <c r="AX34" s="2135"/>
      <c r="AY34" s="2135"/>
      <c r="AZ34" s="2135">
        <f t="shared" si="71"/>
        <v>2.9443322479596841</v>
      </c>
      <c r="BA34" s="2135">
        <f t="shared" si="72"/>
        <v>0.59978903893219304</v>
      </c>
      <c r="BB34" s="2149">
        <v>1.3143004</v>
      </c>
      <c r="BC34" s="2109">
        <f t="shared" si="73"/>
        <v>0</v>
      </c>
      <c r="BD34" s="2109">
        <v>0</v>
      </c>
      <c r="BE34" s="2109">
        <v>2.9443322479596841</v>
      </c>
      <c r="BF34" s="2109">
        <f t="shared" si="8"/>
        <v>0.38697370512263118</v>
      </c>
      <c r="BG34" s="2135"/>
      <c r="BH34" s="2135"/>
      <c r="BI34" s="2135"/>
      <c r="BJ34" s="2135">
        <f t="shared" si="74"/>
        <v>2.9443322479596841</v>
      </c>
      <c r="BK34" s="2135">
        <f t="shared" si="75"/>
        <v>0.38697370512263118</v>
      </c>
      <c r="BL34" s="2149">
        <v>1.50702</v>
      </c>
      <c r="BM34" s="2109">
        <f t="shared" si="76"/>
        <v>0</v>
      </c>
      <c r="BN34" s="2109">
        <v>0</v>
      </c>
      <c r="BO34" s="2109">
        <v>2.9443322479596841</v>
      </c>
      <c r="BP34" s="2109">
        <f t="shared" si="9"/>
        <v>0.44371675843202035</v>
      </c>
      <c r="BQ34" s="2135"/>
      <c r="BR34" s="2135"/>
      <c r="BS34" s="2135"/>
      <c r="BT34" s="2135">
        <f t="shared" si="77"/>
        <v>2.9443322479596845</v>
      </c>
      <c r="BU34" s="2135">
        <f t="shared" si="78"/>
        <v>0.44371675843202035</v>
      </c>
      <c r="BV34" s="2149">
        <v>0.68471620000000022</v>
      </c>
      <c r="BW34" s="2109">
        <f t="shared" si="79"/>
        <v>0</v>
      </c>
      <c r="BX34" s="2109">
        <v>0</v>
      </c>
      <c r="BY34" s="2109">
        <v>2.9443322479596841</v>
      </c>
      <c r="BZ34" s="2109">
        <f t="shared" si="10"/>
        <v>0.20160319883604133</v>
      </c>
      <c r="CA34" s="2135"/>
      <c r="CB34" s="2135"/>
      <c r="CC34" s="2135"/>
      <c r="CD34" s="2135">
        <f t="shared" si="80"/>
        <v>2.9443322479596841</v>
      </c>
      <c r="CE34" s="2135">
        <f t="shared" si="81"/>
        <v>0.20160319883604133</v>
      </c>
      <c r="CF34" s="2149">
        <v>1.0828199999999997</v>
      </c>
      <c r="CG34" s="2109">
        <f t="shared" si="82"/>
        <v>0</v>
      </c>
      <c r="CH34" s="2109">
        <v>0</v>
      </c>
      <c r="CI34" s="2109">
        <v>2.9443322479596841</v>
      </c>
      <c r="CJ34" s="2109">
        <f t="shared" si="11"/>
        <v>0.31881818447357041</v>
      </c>
      <c r="CK34" s="2135"/>
      <c r="CL34" s="2135"/>
      <c r="CM34" s="2135"/>
      <c r="CN34" s="2135">
        <f t="shared" si="83"/>
        <v>2.9443322479596841</v>
      </c>
      <c r="CO34" s="2135">
        <f t="shared" si="84"/>
        <v>0.31881818447357041</v>
      </c>
      <c r="CP34" s="2149">
        <v>2.186274800000001</v>
      </c>
      <c r="CQ34" s="2109">
        <f t="shared" si="85"/>
        <v>0</v>
      </c>
      <c r="CR34" s="2109">
        <v>0</v>
      </c>
      <c r="CS34" s="2109">
        <v>2.9443322479596841</v>
      </c>
      <c r="CT34" s="2109">
        <f t="shared" si="12"/>
        <v>0.64371193965416107</v>
      </c>
      <c r="CU34" s="2135"/>
      <c r="CV34" s="2135"/>
      <c r="CW34" s="2135"/>
      <c r="CX34" s="2135">
        <f t="shared" si="86"/>
        <v>2.9443322479596841</v>
      </c>
      <c r="CY34" s="2135">
        <f t="shared" si="87"/>
        <v>0.64371193965416107</v>
      </c>
      <c r="CZ34" s="2149">
        <v>2.5584682000000005</v>
      </c>
      <c r="DA34" s="2109">
        <f t="shared" si="88"/>
        <v>0</v>
      </c>
      <c r="DB34" s="2109">
        <v>0</v>
      </c>
      <c r="DC34" s="2109">
        <v>2.9443322479596841</v>
      </c>
      <c r="DD34" s="2109">
        <f t="shared" si="13"/>
        <v>0.75329804266393685</v>
      </c>
      <c r="DE34" s="2135"/>
      <c r="DF34" s="2135"/>
      <c r="DG34" s="2135"/>
      <c r="DH34" s="2135">
        <f t="shared" si="89"/>
        <v>2.9443322479596841</v>
      </c>
      <c r="DI34" s="2135">
        <f t="shared" si="90"/>
        <v>0.75329804266393685</v>
      </c>
      <c r="DJ34" s="2149">
        <v>3.3073771999999995</v>
      </c>
      <c r="DK34" s="2109">
        <f t="shared" si="91"/>
        <v>0</v>
      </c>
      <c r="DL34" s="2109">
        <v>0</v>
      </c>
      <c r="DM34" s="2109">
        <v>2.9443322479596841</v>
      </c>
      <c r="DN34" s="2109">
        <f t="shared" si="14"/>
        <v>0.9738017346126604</v>
      </c>
      <c r="DO34" s="2135"/>
      <c r="DP34" s="2135"/>
      <c r="DQ34" s="2135"/>
      <c r="DR34" s="2135">
        <f t="shared" si="92"/>
        <v>2.9443322479596841</v>
      </c>
      <c r="DS34" s="2135">
        <f t="shared" si="93"/>
        <v>0.9738017346126604</v>
      </c>
      <c r="DT34" s="2149">
        <v>2.5481132200000007</v>
      </c>
      <c r="DU34" s="2109">
        <f t="shared" si="94"/>
        <v>0</v>
      </c>
      <c r="DV34" s="2109">
        <v>0</v>
      </c>
      <c r="DW34" s="2109">
        <v>2.9443322479596841</v>
      </c>
      <c r="DX34" s="2109">
        <f t="shared" si="15"/>
        <v>0.75024919250983912</v>
      </c>
      <c r="DY34" s="2135"/>
      <c r="DZ34" s="2135"/>
      <c r="EA34" s="2135"/>
      <c r="EB34" s="2135">
        <f t="shared" si="95"/>
        <v>2.9443322479596841</v>
      </c>
      <c r="EC34" s="2135">
        <f t="shared" si="96"/>
        <v>0.75024919250983912</v>
      </c>
      <c r="ED34" s="2135"/>
      <c r="EE34" s="2106">
        <f t="shared" si="97"/>
        <v>24.00201555333334</v>
      </c>
      <c r="EF34" s="2106">
        <f t="shared" si="98"/>
        <v>0</v>
      </c>
      <c r="EG34" s="2106">
        <f t="shared" si="99"/>
        <v>0</v>
      </c>
      <c r="EH34" s="2106">
        <f t="shared" si="100"/>
        <v>2.9443322479596832</v>
      </c>
      <c r="EI34" s="2106">
        <f t="shared" si="101"/>
        <v>7.0669908409709237</v>
      </c>
      <c r="EJ34" s="2106"/>
      <c r="EK34" s="2106"/>
      <c r="EL34" s="2106"/>
      <c r="EM34" s="2106">
        <f t="shared" si="102"/>
        <v>2.9443322479596832</v>
      </c>
      <c r="EN34" s="2106">
        <f t="shared" si="103"/>
        <v>7.0669908409709237</v>
      </c>
      <c r="EO34" s="2106">
        <f t="shared" si="104"/>
        <v>2.9443322479596832</v>
      </c>
      <c r="EP34" s="2114">
        <f t="shared" si="105"/>
        <v>2.9443322479596832</v>
      </c>
      <c r="EQ34" s="2224"/>
      <c r="ER34" s="2210"/>
      <c r="ES34" s="2209" t="e">
        <v>#N/A</v>
      </c>
      <c r="ET34" s="2241"/>
      <c r="EU34" s="2230"/>
      <c r="EV34" s="2241"/>
      <c r="EW34" s="2241"/>
      <c r="EX34" s="2241"/>
      <c r="EY34" s="2244"/>
      <c r="EZ34" s="2244"/>
      <c r="FA34" s="2244"/>
      <c r="FB34" s="2242"/>
      <c r="FC34" s="2243"/>
      <c r="FD34" s="2243"/>
      <c r="FE34" s="2243"/>
      <c r="FF34" s="2243"/>
      <c r="FG34" s="2243"/>
      <c r="FH34" s="2243"/>
      <c r="FI34" s="2243"/>
    </row>
    <row r="35" spans="1:165">
      <c r="A35" s="2220">
        <v>6</v>
      </c>
      <c r="B35" s="2145" t="s">
        <v>1672</v>
      </c>
      <c r="C35" s="2146">
        <v>3.6</v>
      </c>
      <c r="D35" s="2147">
        <v>1</v>
      </c>
      <c r="E35" s="2228"/>
      <c r="F35" s="2148">
        <v>7.2763813636785066E-2</v>
      </c>
      <c r="G35" s="2146">
        <v>3.6</v>
      </c>
      <c r="H35" s="2149" t="s">
        <v>1667</v>
      </c>
      <c r="I35" s="2229">
        <v>2</v>
      </c>
      <c r="J35" s="2149">
        <v>2.098316612903226</v>
      </c>
      <c r="K35" s="2222"/>
      <c r="L35" s="2151"/>
      <c r="M35" s="2152">
        <f t="shared" si="60"/>
        <v>2.098316612903226</v>
      </c>
      <c r="N35" s="2149">
        <v>0</v>
      </c>
      <c r="O35" s="2109">
        <f t="shared" si="61"/>
        <v>0</v>
      </c>
      <c r="P35" s="2109">
        <v>0</v>
      </c>
      <c r="Q35" s="2109">
        <v>2.0111691366497548</v>
      </c>
      <c r="R35" s="2109">
        <f t="shared" si="4"/>
        <v>0</v>
      </c>
      <c r="S35" s="2109"/>
      <c r="T35" s="2109"/>
      <c r="U35" s="2109"/>
      <c r="V35" s="2109">
        <f t="shared" si="62"/>
        <v>0</v>
      </c>
      <c r="W35" s="2109">
        <f t="shared" si="63"/>
        <v>0</v>
      </c>
      <c r="X35" s="2149">
        <v>0.1657875</v>
      </c>
      <c r="Y35" s="2109">
        <f t="shared" si="64"/>
        <v>0</v>
      </c>
      <c r="Z35" s="2109">
        <v>0</v>
      </c>
      <c r="AA35" s="2109">
        <v>2.0111691366497548</v>
      </c>
      <c r="AB35" s="2109">
        <f t="shared" si="5"/>
        <v>3.3342670324232125E-2</v>
      </c>
      <c r="AC35" s="2135"/>
      <c r="AD35" s="2135"/>
      <c r="AE35" s="2135"/>
      <c r="AF35" s="2135">
        <f t="shared" si="65"/>
        <v>2.0111691366497548</v>
      </c>
      <c r="AG35" s="2135">
        <f t="shared" si="66"/>
        <v>3.3342670324232125E-2</v>
      </c>
      <c r="AH35" s="2149">
        <v>0.10287500000000001</v>
      </c>
      <c r="AI35" s="2109">
        <f t="shared" si="67"/>
        <v>0</v>
      </c>
      <c r="AJ35" s="2109">
        <v>0</v>
      </c>
      <c r="AK35" s="2109">
        <v>2.0111691366497548</v>
      </c>
      <c r="AL35" s="2109">
        <f t="shared" si="6"/>
        <v>2.0689902493284354E-2</v>
      </c>
      <c r="AM35" s="2135"/>
      <c r="AN35" s="2135"/>
      <c r="AO35" s="2135"/>
      <c r="AP35" s="2135">
        <f t="shared" si="68"/>
        <v>2.0111691366497548</v>
      </c>
      <c r="AQ35" s="2135">
        <f t="shared" si="69"/>
        <v>2.0689902493284354E-2</v>
      </c>
      <c r="AR35" s="2149">
        <v>2.5449999999999993E-2</v>
      </c>
      <c r="AS35" s="2109">
        <f t="shared" si="70"/>
        <v>0</v>
      </c>
      <c r="AT35" s="2109">
        <v>0</v>
      </c>
      <c r="AU35" s="2109">
        <v>2.0111691366497548</v>
      </c>
      <c r="AV35" s="2109">
        <f t="shared" si="7"/>
        <v>5.1184254527736252E-3</v>
      </c>
      <c r="AW35" s="2135"/>
      <c r="AX35" s="2135"/>
      <c r="AY35" s="2135"/>
      <c r="AZ35" s="2135">
        <f t="shared" si="71"/>
        <v>2.0111691366497548</v>
      </c>
      <c r="BA35" s="2135">
        <f t="shared" si="72"/>
        <v>5.1184254527736252E-3</v>
      </c>
      <c r="BB35" s="2149">
        <v>0.13452999999999998</v>
      </c>
      <c r="BC35" s="2109">
        <f t="shared" si="73"/>
        <v>0</v>
      </c>
      <c r="BD35" s="2109">
        <v>0</v>
      </c>
      <c r="BE35" s="2109">
        <v>2.0111691366497548</v>
      </c>
      <c r="BF35" s="2109">
        <f t="shared" si="8"/>
        <v>2.7056258395349149E-2</v>
      </c>
      <c r="BG35" s="2135"/>
      <c r="BH35" s="2135"/>
      <c r="BI35" s="2135"/>
      <c r="BJ35" s="2135">
        <f t="shared" si="74"/>
        <v>2.0111691366497548</v>
      </c>
      <c r="BK35" s="2135">
        <f t="shared" si="75"/>
        <v>2.7056258395349149E-2</v>
      </c>
      <c r="BL35" s="2149">
        <v>0.1103516129032258</v>
      </c>
      <c r="BM35" s="2109">
        <f t="shared" si="76"/>
        <v>0</v>
      </c>
      <c r="BN35" s="2109">
        <v>0</v>
      </c>
      <c r="BO35" s="2109">
        <v>2.0111691366497548</v>
      </c>
      <c r="BP35" s="2109">
        <f t="shared" si="9"/>
        <v>2.2193575805048858E-2</v>
      </c>
      <c r="BQ35" s="2135"/>
      <c r="BR35" s="2135"/>
      <c r="BS35" s="2135"/>
      <c r="BT35" s="2135">
        <f t="shared" si="77"/>
        <v>2.0111691366497548</v>
      </c>
      <c r="BU35" s="2135">
        <f t="shared" si="78"/>
        <v>2.2193575805048858E-2</v>
      </c>
      <c r="BV35" s="2149">
        <v>0.21578999999999998</v>
      </c>
      <c r="BW35" s="2109">
        <f t="shared" si="79"/>
        <v>0</v>
      </c>
      <c r="BX35" s="2109">
        <v>0</v>
      </c>
      <c r="BY35" s="2109">
        <v>2.0111691366497548</v>
      </c>
      <c r="BZ35" s="2109">
        <f t="shared" si="10"/>
        <v>4.3399018799765057E-2</v>
      </c>
      <c r="CA35" s="2135"/>
      <c r="CB35" s="2135"/>
      <c r="CC35" s="2135"/>
      <c r="CD35" s="2135">
        <f t="shared" si="80"/>
        <v>2.0111691366497548</v>
      </c>
      <c r="CE35" s="2135">
        <f t="shared" si="81"/>
        <v>4.3399018799765057E-2</v>
      </c>
      <c r="CF35" s="2149">
        <v>0.17818000000000001</v>
      </c>
      <c r="CG35" s="2109">
        <f t="shared" si="82"/>
        <v>0</v>
      </c>
      <c r="CH35" s="2109">
        <v>0</v>
      </c>
      <c r="CI35" s="2109">
        <v>2.0111691366497548</v>
      </c>
      <c r="CJ35" s="2109">
        <f t="shared" si="11"/>
        <v>3.5835011676825332E-2</v>
      </c>
      <c r="CK35" s="2135"/>
      <c r="CL35" s="2135"/>
      <c r="CM35" s="2135"/>
      <c r="CN35" s="2135">
        <f t="shared" si="83"/>
        <v>2.0111691366497548</v>
      </c>
      <c r="CO35" s="2135">
        <f t="shared" si="84"/>
        <v>3.5835011676825332E-2</v>
      </c>
      <c r="CP35" s="2149">
        <v>0.153</v>
      </c>
      <c r="CQ35" s="2109">
        <f t="shared" si="85"/>
        <v>0</v>
      </c>
      <c r="CR35" s="2109">
        <v>0</v>
      </c>
      <c r="CS35" s="2109">
        <v>2.0111691366497548</v>
      </c>
      <c r="CT35" s="2109">
        <f t="shared" si="12"/>
        <v>3.0770887790741247E-2</v>
      </c>
      <c r="CU35" s="2135"/>
      <c r="CV35" s="2135"/>
      <c r="CW35" s="2135"/>
      <c r="CX35" s="2135">
        <f t="shared" si="86"/>
        <v>2.0111691366497548</v>
      </c>
      <c r="CY35" s="2135">
        <f t="shared" si="87"/>
        <v>3.0770887790741247E-2</v>
      </c>
      <c r="CZ35" s="2149">
        <v>0.22782000000000002</v>
      </c>
      <c r="DA35" s="2109">
        <f t="shared" si="88"/>
        <v>0</v>
      </c>
      <c r="DB35" s="2109">
        <v>0</v>
      </c>
      <c r="DC35" s="2109">
        <v>2.0111691366497548</v>
      </c>
      <c r="DD35" s="2109">
        <f t="shared" si="13"/>
        <v>4.5818455271154718E-2</v>
      </c>
      <c r="DE35" s="2135"/>
      <c r="DF35" s="2135"/>
      <c r="DG35" s="2135"/>
      <c r="DH35" s="2135">
        <f t="shared" si="89"/>
        <v>2.0111691366497548</v>
      </c>
      <c r="DI35" s="2135">
        <f t="shared" si="90"/>
        <v>4.5818455271154718E-2</v>
      </c>
      <c r="DJ35" s="2149">
        <v>0.69722000000000017</v>
      </c>
      <c r="DK35" s="2109">
        <f t="shared" si="91"/>
        <v>0</v>
      </c>
      <c r="DL35" s="2109">
        <v>0</v>
      </c>
      <c r="DM35" s="2109">
        <v>2.0111691366497548</v>
      </c>
      <c r="DN35" s="2109">
        <f t="shared" si="14"/>
        <v>0.14022273454549422</v>
      </c>
      <c r="DO35" s="2135"/>
      <c r="DP35" s="2135"/>
      <c r="DQ35" s="2135"/>
      <c r="DR35" s="2135">
        <f t="shared" si="92"/>
        <v>2.0111691366497544</v>
      </c>
      <c r="DS35" s="2135">
        <f t="shared" si="93"/>
        <v>0.14022273454549422</v>
      </c>
      <c r="DT35" s="2149">
        <v>8.7312500000000001E-2</v>
      </c>
      <c r="DU35" s="2109">
        <f t="shared" si="94"/>
        <v>0</v>
      </c>
      <c r="DV35" s="2109">
        <v>0</v>
      </c>
      <c r="DW35" s="2109">
        <v>2.0111691366497548</v>
      </c>
      <c r="DX35" s="2109">
        <f t="shared" si="15"/>
        <v>1.7560020524373172E-2</v>
      </c>
      <c r="DY35" s="2135"/>
      <c r="DZ35" s="2135"/>
      <c r="EA35" s="2135"/>
      <c r="EB35" s="2135">
        <f t="shared" si="95"/>
        <v>2.0111691366497548</v>
      </c>
      <c r="EC35" s="2135">
        <f t="shared" si="96"/>
        <v>1.7560020524373172E-2</v>
      </c>
      <c r="ED35" s="2135"/>
      <c r="EE35" s="2106">
        <f t="shared" si="97"/>
        <v>2.098316612903226</v>
      </c>
      <c r="EF35" s="2106">
        <f t="shared" si="98"/>
        <v>0</v>
      </c>
      <c r="EG35" s="2106">
        <f t="shared" si="99"/>
        <v>0</v>
      </c>
      <c r="EH35" s="2106">
        <f t="shared" si="100"/>
        <v>2.0111691366497548</v>
      </c>
      <c r="EI35" s="2106">
        <f t="shared" si="101"/>
        <v>0.42200696107904184</v>
      </c>
      <c r="EJ35" s="2106"/>
      <c r="EK35" s="2106"/>
      <c r="EL35" s="2106"/>
      <c r="EM35" s="2106">
        <f t="shared" si="102"/>
        <v>2.0111691366497548</v>
      </c>
      <c r="EN35" s="2106">
        <f t="shared" si="103"/>
        <v>0.42200696107904184</v>
      </c>
      <c r="EO35" s="2106">
        <f t="shared" si="104"/>
        <v>2.0111691366497548</v>
      </c>
      <c r="EP35" s="2114">
        <f t="shared" si="105"/>
        <v>2.0111691366497548</v>
      </c>
      <c r="EQ35" s="2224"/>
      <c r="ER35" s="2210"/>
      <c r="ES35" s="2209" t="e">
        <v>#N/A</v>
      </c>
      <c r="ET35" s="2241"/>
      <c r="EU35" s="2230"/>
      <c r="EV35" s="2241"/>
      <c r="EW35" s="2241"/>
      <c r="EX35" s="2241"/>
      <c r="EY35" s="2244"/>
      <c r="EZ35" s="2244"/>
      <c r="FA35" s="2244"/>
      <c r="FB35" s="2242"/>
      <c r="FC35" s="2243"/>
      <c r="FD35" s="2243"/>
      <c r="FE35" s="2243"/>
      <c r="FF35" s="2243"/>
      <c r="FG35" s="2243"/>
      <c r="FH35" s="2243"/>
      <c r="FI35" s="2243"/>
    </row>
    <row r="36" spans="1:165">
      <c r="A36" s="2220">
        <v>7</v>
      </c>
      <c r="B36" s="2145" t="s">
        <v>1673</v>
      </c>
      <c r="C36" s="2146">
        <v>3</v>
      </c>
      <c r="D36" s="2147">
        <v>1</v>
      </c>
      <c r="E36" s="2228"/>
      <c r="F36" s="2148">
        <v>7.344525843862762E-2</v>
      </c>
      <c r="G36" s="2146">
        <v>3</v>
      </c>
      <c r="H36" s="2149" t="s">
        <v>1667</v>
      </c>
      <c r="I36" s="2229">
        <v>2</v>
      </c>
      <c r="J36" s="2149">
        <v>2.361906871612903</v>
      </c>
      <c r="K36" s="2222"/>
      <c r="L36" s="2151"/>
      <c r="M36" s="2152">
        <f t="shared" si="60"/>
        <v>2.361906871612903</v>
      </c>
      <c r="N36" s="2149">
        <v>0.21467599999999989</v>
      </c>
      <c r="O36" s="2109">
        <f t="shared" si="61"/>
        <v>0</v>
      </c>
      <c r="P36" s="2109">
        <v>0</v>
      </c>
      <c r="Q36" s="2109">
        <v>1.8470142225362667</v>
      </c>
      <c r="R36" s="2109">
        <f t="shared" si="4"/>
        <v>3.9650962523719538E-2</v>
      </c>
      <c r="S36" s="2109"/>
      <c r="T36" s="2109"/>
      <c r="U36" s="2109"/>
      <c r="V36" s="2109">
        <f t="shared" si="62"/>
        <v>1.8470142225362665</v>
      </c>
      <c r="W36" s="2109">
        <f t="shared" si="63"/>
        <v>3.9650962523719538E-2</v>
      </c>
      <c r="X36" s="2149">
        <v>0.33952640000000001</v>
      </c>
      <c r="Y36" s="2109">
        <f t="shared" si="64"/>
        <v>0</v>
      </c>
      <c r="Z36" s="2109">
        <v>0</v>
      </c>
      <c r="AA36" s="2109">
        <v>1.8470142225362667</v>
      </c>
      <c r="AB36" s="2109">
        <f t="shared" si="5"/>
        <v>6.2711008972653748E-2</v>
      </c>
      <c r="AC36" s="2135"/>
      <c r="AD36" s="2135"/>
      <c r="AE36" s="2135"/>
      <c r="AF36" s="2135">
        <f t="shared" si="65"/>
        <v>1.8470142225362665</v>
      </c>
      <c r="AG36" s="2135">
        <f t="shared" si="66"/>
        <v>6.2711008972653748E-2</v>
      </c>
      <c r="AH36" s="2149">
        <v>0.3209039199999999</v>
      </c>
      <c r="AI36" s="2109">
        <f t="shared" si="67"/>
        <v>0</v>
      </c>
      <c r="AJ36" s="2109">
        <v>0</v>
      </c>
      <c r="AK36" s="2109">
        <v>1.8470142225362667</v>
      </c>
      <c r="AL36" s="2109">
        <f t="shared" si="6"/>
        <v>5.9271410430764018E-2</v>
      </c>
      <c r="AM36" s="2135"/>
      <c r="AN36" s="2135"/>
      <c r="AO36" s="2135"/>
      <c r="AP36" s="2135">
        <f t="shared" si="68"/>
        <v>1.8470142225362669</v>
      </c>
      <c r="AQ36" s="2135">
        <f t="shared" si="69"/>
        <v>5.9271410430764018E-2</v>
      </c>
      <c r="AR36" s="2149">
        <v>0.26162979999999997</v>
      </c>
      <c r="AS36" s="2109">
        <f t="shared" si="70"/>
        <v>0</v>
      </c>
      <c r="AT36" s="2109">
        <v>0</v>
      </c>
      <c r="AU36" s="2109">
        <v>1.8470142225362667</v>
      </c>
      <c r="AV36" s="2109">
        <f t="shared" si="7"/>
        <v>4.8323396163931887E-2</v>
      </c>
      <c r="AW36" s="2135"/>
      <c r="AX36" s="2135"/>
      <c r="AY36" s="2135"/>
      <c r="AZ36" s="2135">
        <f t="shared" si="71"/>
        <v>1.8470142225362665</v>
      </c>
      <c r="BA36" s="2135">
        <f t="shared" si="72"/>
        <v>4.8323396163931887E-2</v>
      </c>
      <c r="BB36" s="2149">
        <v>0.15008500000000005</v>
      </c>
      <c r="BC36" s="2109">
        <f t="shared" si="73"/>
        <v>0</v>
      </c>
      <c r="BD36" s="2109">
        <v>0</v>
      </c>
      <c r="BE36" s="2109">
        <v>1.8470142225362667</v>
      </c>
      <c r="BF36" s="2109">
        <f t="shared" si="8"/>
        <v>2.7720912958935567E-2</v>
      </c>
      <c r="BG36" s="2135"/>
      <c r="BH36" s="2135"/>
      <c r="BI36" s="2135"/>
      <c r="BJ36" s="2135">
        <f t="shared" si="74"/>
        <v>1.8470142225362665</v>
      </c>
      <c r="BK36" s="2135">
        <f t="shared" si="75"/>
        <v>2.7720912958935567E-2</v>
      </c>
      <c r="BL36" s="2149">
        <v>0.28670395161290335</v>
      </c>
      <c r="BM36" s="2109">
        <f t="shared" si="76"/>
        <v>0</v>
      </c>
      <c r="BN36" s="2109">
        <v>0</v>
      </c>
      <c r="BO36" s="2109">
        <v>1.8470142225362667</v>
      </c>
      <c r="BP36" s="2109">
        <f t="shared" si="9"/>
        <v>5.2954627628638208E-2</v>
      </c>
      <c r="BQ36" s="2135"/>
      <c r="BR36" s="2135"/>
      <c r="BS36" s="2135"/>
      <c r="BT36" s="2135">
        <f t="shared" si="77"/>
        <v>1.8470142225362665</v>
      </c>
      <c r="BU36" s="2135">
        <f t="shared" si="78"/>
        <v>5.2954627628638208E-2</v>
      </c>
      <c r="BV36" s="2149">
        <v>0.15773700000000002</v>
      </c>
      <c r="BW36" s="2109">
        <f t="shared" si="79"/>
        <v>0</v>
      </c>
      <c r="BX36" s="2109">
        <v>0</v>
      </c>
      <c r="BY36" s="2109">
        <v>1.8470142225362667</v>
      </c>
      <c r="BZ36" s="2109">
        <f t="shared" si="10"/>
        <v>2.9134248242020312E-2</v>
      </c>
      <c r="CA36" s="2135"/>
      <c r="CB36" s="2135"/>
      <c r="CC36" s="2135"/>
      <c r="CD36" s="2135">
        <f t="shared" si="80"/>
        <v>1.8470142225362665</v>
      </c>
      <c r="CE36" s="2135">
        <f t="shared" si="81"/>
        <v>2.9134248242020312E-2</v>
      </c>
      <c r="CF36" s="2149">
        <v>3.7772899999999991E-2</v>
      </c>
      <c r="CG36" s="2109">
        <f t="shared" si="82"/>
        <v>0</v>
      </c>
      <c r="CH36" s="2109">
        <v>0</v>
      </c>
      <c r="CI36" s="2109">
        <v>1.8470142225362667</v>
      </c>
      <c r="CJ36" s="2109">
        <f t="shared" si="11"/>
        <v>6.9767083526440137E-3</v>
      </c>
      <c r="CK36" s="2135"/>
      <c r="CL36" s="2135"/>
      <c r="CM36" s="2135"/>
      <c r="CN36" s="2135">
        <f t="shared" si="83"/>
        <v>1.8470142225362669</v>
      </c>
      <c r="CO36" s="2135">
        <f t="shared" si="84"/>
        <v>6.9767083526440137E-3</v>
      </c>
      <c r="CP36" s="2149">
        <v>0.18332980000000004</v>
      </c>
      <c r="CQ36" s="2109">
        <f t="shared" si="85"/>
        <v>0</v>
      </c>
      <c r="CR36" s="2109">
        <v>0</v>
      </c>
      <c r="CS36" s="2109">
        <v>1.8470142225362667</v>
      </c>
      <c r="CT36" s="2109">
        <f t="shared" si="12"/>
        <v>3.3861274801472933E-2</v>
      </c>
      <c r="CU36" s="2135"/>
      <c r="CV36" s="2135"/>
      <c r="CW36" s="2135"/>
      <c r="CX36" s="2135">
        <f t="shared" si="86"/>
        <v>1.8470142225362665</v>
      </c>
      <c r="CY36" s="2135">
        <f t="shared" si="87"/>
        <v>3.3861274801472933E-2</v>
      </c>
      <c r="CZ36" s="2149">
        <v>0.15916899999999998</v>
      </c>
      <c r="DA36" s="2109">
        <f t="shared" si="88"/>
        <v>0</v>
      </c>
      <c r="DB36" s="2109">
        <v>0</v>
      </c>
      <c r="DC36" s="2109">
        <v>1.8470142225362667</v>
      </c>
      <c r="DD36" s="2109">
        <f t="shared" si="13"/>
        <v>2.9398740678687502E-2</v>
      </c>
      <c r="DE36" s="2135"/>
      <c r="DF36" s="2135"/>
      <c r="DG36" s="2135"/>
      <c r="DH36" s="2135">
        <f t="shared" si="89"/>
        <v>1.8470142225362669</v>
      </c>
      <c r="DI36" s="2135">
        <f t="shared" si="90"/>
        <v>2.9398740678687502E-2</v>
      </c>
      <c r="DJ36" s="2149">
        <v>0.1494616</v>
      </c>
      <c r="DK36" s="2109">
        <f t="shared" si="91"/>
        <v>0</v>
      </c>
      <c r="DL36" s="2109">
        <v>0</v>
      </c>
      <c r="DM36" s="2109">
        <v>1.8470142225362667</v>
      </c>
      <c r="DN36" s="2109">
        <f t="shared" si="14"/>
        <v>2.7605770092302646E-2</v>
      </c>
      <c r="DO36" s="2135"/>
      <c r="DP36" s="2135"/>
      <c r="DQ36" s="2135"/>
      <c r="DR36" s="2135">
        <f t="shared" si="92"/>
        <v>1.8470142225362665</v>
      </c>
      <c r="DS36" s="2135">
        <f t="shared" si="93"/>
        <v>2.7605770092302646E-2</v>
      </c>
      <c r="DT36" s="2149">
        <v>0.10091149999999997</v>
      </c>
      <c r="DU36" s="2109">
        <f t="shared" si="94"/>
        <v>0</v>
      </c>
      <c r="DV36" s="2109">
        <v>0</v>
      </c>
      <c r="DW36" s="2109">
        <v>1.8470142225362667</v>
      </c>
      <c r="DX36" s="2109">
        <f t="shared" si="15"/>
        <v>1.8638497571746841E-2</v>
      </c>
      <c r="DY36" s="2135"/>
      <c r="DZ36" s="2135"/>
      <c r="EA36" s="2135"/>
      <c r="EB36" s="2135">
        <f t="shared" si="95"/>
        <v>1.8470142225362665</v>
      </c>
      <c r="EC36" s="2135">
        <f t="shared" si="96"/>
        <v>1.8638497571746841E-2</v>
      </c>
      <c r="ED36" s="2135"/>
      <c r="EE36" s="2106">
        <f t="shared" si="97"/>
        <v>2.361906871612903</v>
      </c>
      <c r="EF36" s="2106">
        <f t="shared" si="98"/>
        <v>0</v>
      </c>
      <c r="EG36" s="2106">
        <f t="shared" si="99"/>
        <v>0</v>
      </c>
      <c r="EH36" s="2106">
        <f t="shared" si="100"/>
        <v>1.8470142225362669</v>
      </c>
      <c r="EI36" s="2106">
        <f t="shared" si="101"/>
        <v>0.43624755841751722</v>
      </c>
      <c r="EJ36" s="2106"/>
      <c r="EK36" s="2106"/>
      <c r="EL36" s="2106"/>
      <c r="EM36" s="2106">
        <f t="shared" si="102"/>
        <v>1.8470142225362669</v>
      </c>
      <c r="EN36" s="2106">
        <f t="shared" si="103"/>
        <v>0.43624755841751722</v>
      </c>
      <c r="EO36" s="2106">
        <f t="shared" si="104"/>
        <v>1.8470142225362669</v>
      </c>
      <c r="EP36" s="2114">
        <f t="shared" si="105"/>
        <v>1.8470142225362669</v>
      </c>
      <c r="EQ36" s="2224"/>
      <c r="ER36" s="2210"/>
      <c r="ES36" s="2209" t="e">
        <v>#N/A</v>
      </c>
      <c r="ET36" s="2241"/>
      <c r="EU36" s="2230"/>
      <c r="EV36" s="2241"/>
      <c r="EW36" s="2241"/>
      <c r="EX36" s="2241"/>
      <c r="EY36" s="2244"/>
      <c r="EZ36" s="2244"/>
      <c r="FA36" s="2244"/>
      <c r="FB36" s="2242"/>
      <c r="FC36" s="2243"/>
      <c r="FD36" s="2243"/>
      <c r="FE36" s="2243"/>
      <c r="FF36" s="2243"/>
      <c r="FG36" s="2243"/>
      <c r="FH36" s="2243"/>
      <c r="FI36" s="2243"/>
    </row>
    <row r="37" spans="1:165">
      <c r="A37" s="2220">
        <v>8</v>
      </c>
      <c r="B37" s="2145" t="s">
        <v>1674</v>
      </c>
      <c r="C37" s="2146">
        <v>3</v>
      </c>
      <c r="D37" s="2147">
        <v>1</v>
      </c>
      <c r="E37" s="2228"/>
      <c r="F37" s="2148">
        <v>5.1013709321841044E-2</v>
      </c>
      <c r="G37" s="2146">
        <v>3</v>
      </c>
      <c r="H37" s="2149" t="s">
        <v>1667</v>
      </c>
      <c r="I37" s="2229">
        <v>2</v>
      </c>
      <c r="J37" s="2149">
        <v>2.4014571774193545</v>
      </c>
      <c r="K37" s="2222"/>
      <c r="L37" s="2151"/>
      <c r="M37" s="2152">
        <f t="shared" si="60"/>
        <v>2.4014571774193545</v>
      </c>
      <c r="N37" s="2149">
        <v>9.2849999999999988E-2</v>
      </c>
      <c r="O37" s="2109">
        <f t="shared" si="61"/>
        <v>0</v>
      </c>
      <c r="P37" s="2109">
        <v>0</v>
      </c>
      <c r="Q37" s="2109">
        <v>3.2715105926247285</v>
      </c>
      <c r="R37" s="2109">
        <f t="shared" si="4"/>
        <v>3.0375975852520599E-2</v>
      </c>
      <c r="S37" s="2109"/>
      <c r="T37" s="2109"/>
      <c r="U37" s="2109"/>
      <c r="V37" s="2109">
        <f t="shared" si="62"/>
        <v>3.2715105926247285</v>
      </c>
      <c r="W37" s="2109">
        <f t="shared" si="63"/>
        <v>3.0375975852520599E-2</v>
      </c>
      <c r="X37" s="2149">
        <v>0.50624999999999998</v>
      </c>
      <c r="Y37" s="2109">
        <f t="shared" si="64"/>
        <v>0</v>
      </c>
      <c r="Z37" s="2109">
        <v>0</v>
      </c>
      <c r="AA37" s="2109">
        <v>3.2715105926247285</v>
      </c>
      <c r="AB37" s="2109">
        <f t="shared" si="5"/>
        <v>0.16562022375162688</v>
      </c>
      <c r="AC37" s="2135"/>
      <c r="AD37" s="2135"/>
      <c r="AE37" s="2135"/>
      <c r="AF37" s="2135">
        <f t="shared" si="65"/>
        <v>3.2715105926247285</v>
      </c>
      <c r="AG37" s="2135">
        <f t="shared" si="66"/>
        <v>0.16562022375162688</v>
      </c>
      <c r="AH37" s="2149">
        <v>0.3277874999999999</v>
      </c>
      <c r="AI37" s="2109">
        <f t="shared" si="67"/>
        <v>0</v>
      </c>
      <c r="AJ37" s="2109">
        <v>0</v>
      </c>
      <c r="AK37" s="2109">
        <v>3.2715105926247285</v>
      </c>
      <c r="AL37" s="2109">
        <f t="shared" si="6"/>
        <v>0.10723602783799779</v>
      </c>
      <c r="AM37" s="2135"/>
      <c r="AN37" s="2135"/>
      <c r="AO37" s="2135"/>
      <c r="AP37" s="2135">
        <f t="shared" si="68"/>
        <v>3.271510592624729</v>
      </c>
      <c r="AQ37" s="2135">
        <f t="shared" si="69"/>
        <v>0.10723602783799779</v>
      </c>
      <c r="AR37" s="2149">
        <v>0.22646250000000004</v>
      </c>
      <c r="AS37" s="2109">
        <f t="shared" si="70"/>
        <v>0</v>
      </c>
      <c r="AT37" s="2109">
        <v>0</v>
      </c>
      <c r="AU37" s="2109">
        <v>3.2715105926247285</v>
      </c>
      <c r="AV37" s="2109">
        <f t="shared" si="7"/>
        <v>7.4087446758227773E-2</v>
      </c>
      <c r="AW37" s="2135"/>
      <c r="AX37" s="2135"/>
      <c r="AY37" s="2135"/>
      <c r="AZ37" s="2135">
        <f t="shared" si="71"/>
        <v>3.2715105926247285</v>
      </c>
      <c r="BA37" s="2135">
        <f t="shared" si="72"/>
        <v>7.4087446758227773E-2</v>
      </c>
      <c r="BB37" s="2149">
        <v>5.5500000000000008E-2</v>
      </c>
      <c r="BC37" s="2109">
        <f t="shared" si="73"/>
        <v>0</v>
      </c>
      <c r="BD37" s="2109">
        <v>0</v>
      </c>
      <c r="BE37" s="2109">
        <v>3.2715105926247285</v>
      </c>
      <c r="BF37" s="2109">
        <f t="shared" si="8"/>
        <v>1.8156883789067248E-2</v>
      </c>
      <c r="BG37" s="2135"/>
      <c r="BH37" s="2135"/>
      <c r="BI37" s="2135"/>
      <c r="BJ37" s="2135">
        <f t="shared" si="74"/>
        <v>3.271510592624729</v>
      </c>
      <c r="BK37" s="2135">
        <f t="shared" si="75"/>
        <v>1.8156883789067248E-2</v>
      </c>
      <c r="BL37" s="2149">
        <v>0.3646596774193549</v>
      </c>
      <c r="BM37" s="2109">
        <f t="shared" si="76"/>
        <v>0</v>
      </c>
      <c r="BN37" s="2109">
        <v>0</v>
      </c>
      <c r="BO37" s="2109">
        <v>3.2715105926247285</v>
      </c>
      <c r="BP37" s="2109">
        <f t="shared" si="9"/>
        <v>0.11929879973805362</v>
      </c>
      <c r="BQ37" s="2135"/>
      <c r="BR37" s="2135"/>
      <c r="BS37" s="2135"/>
      <c r="BT37" s="2135">
        <f t="shared" si="77"/>
        <v>3.271510592624729</v>
      </c>
      <c r="BU37" s="2135">
        <f t="shared" si="78"/>
        <v>0.11929879973805362</v>
      </c>
      <c r="BV37" s="2149">
        <v>0.24170999999999998</v>
      </c>
      <c r="BW37" s="2109">
        <f t="shared" si="79"/>
        <v>0</v>
      </c>
      <c r="BX37" s="2109">
        <v>0</v>
      </c>
      <c r="BY37" s="2109">
        <v>3.2715105926247285</v>
      </c>
      <c r="BZ37" s="2109">
        <f t="shared" si="10"/>
        <v>7.9075682534332309E-2</v>
      </c>
      <c r="CA37" s="2135"/>
      <c r="CB37" s="2135"/>
      <c r="CC37" s="2135"/>
      <c r="CD37" s="2135">
        <f t="shared" si="80"/>
        <v>3.2715105926247285</v>
      </c>
      <c r="CE37" s="2135">
        <f t="shared" si="81"/>
        <v>7.9075682534332309E-2</v>
      </c>
      <c r="CF37" s="2149">
        <v>3.4837499999999993E-2</v>
      </c>
      <c r="CG37" s="2109">
        <f t="shared" si="82"/>
        <v>0</v>
      </c>
      <c r="CH37" s="2109">
        <v>0</v>
      </c>
      <c r="CI37" s="2109">
        <v>3.2715105926247285</v>
      </c>
      <c r="CJ37" s="2109">
        <f t="shared" si="11"/>
        <v>1.1397125027056396E-2</v>
      </c>
      <c r="CK37" s="2135"/>
      <c r="CL37" s="2135"/>
      <c r="CM37" s="2135"/>
      <c r="CN37" s="2135">
        <f t="shared" si="83"/>
        <v>3.2715105926247285</v>
      </c>
      <c r="CO37" s="2135">
        <f t="shared" si="84"/>
        <v>1.1397125027056396E-2</v>
      </c>
      <c r="CP37" s="2149">
        <v>0.125775</v>
      </c>
      <c r="CQ37" s="2109">
        <f t="shared" si="85"/>
        <v>0</v>
      </c>
      <c r="CR37" s="2109">
        <v>0</v>
      </c>
      <c r="CS37" s="2109">
        <v>3.2715105926247285</v>
      </c>
      <c r="CT37" s="2109">
        <f t="shared" si="12"/>
        <v>4.1147424478737524E-2</v>
      </c>
      <c r="CU37" s="2135"/>
      <c r="CV37" s="2135"/>
      <c r="CW37" s="2135"/>
      <c r="CX37" s="2135">
        <f t="shared" si="86"/>
        <v>3.2715105926247285</v>
      </c>
      <c r="CY37" s="2135">
        <f t="shared" si="87"/>
        <v>4.1147424478737524E-2</v>
      </c>
      <c r="CZ37" s="2149">
        <v>0.125775</v>
      </c>
      <c r="DA37" s="2109">
        <f t="shared" si="88"/>
        <v>0</v>
      </c>
      <c r="DB37" s="2109">
        <v>0</v>
      </c>
      <c r="DC37" s="2109">
        <v>3.2715105926247285</v>
      </c>
      <c r="DD37" s="2109">
        <f t="shared" si="13"/>
        <v>4.1147424478737524E-2</v>
      </c>
      <c r="DE37" s="2135"/>
      <c r="DF37" s="2135"/>
      <c r="DG37" s="2135"/>
      <c r="DH37" s="2135">
        <f t="shared" si="89"/>
        <v>3.2715105926247285</v>
      </c>
      <c r="DI37" s="2135">
        <f t="shared" si="90"/>
        <v>4.1147424478737524E-2</v>
      </c>
      <c r="DJ37" s="2149">
        <v>0.14962500000000001</v>
      </c>
      <c r="DK37" s="2109">
        <f t="shared" si="91"/>
        <v>0</v>
      </c>
      <c r="DL37" s="2109">
        <v>0</v>
      </c>
      <c r="DM37" s="2109">
        <v>3.2715105926247285</v>
      </c>
      <c r="DN37" s="2109">
        <f t="shared" si="14"/>
        <v>4.8949977242147502E-2</v>
      </c>
      <c r="DO37" s="2135"/>
      <c r="DP37" s="2135"/>
      <c r="DQ37" s="2135"/>
      <c r="DR37" s="2135">
        <f t="shared" si="92"/>
        <v>3.2715105926247285</v>
      </c>
      <c r="DS37" s="2135">
        <f t="shared" si="93"/>
        <v>4.8949977242147502E-2</v>
      </c>
      <c r="DT37" s="2149">
        <v>0.150225</v>
      </c>
      <c r="DU37" s="2109">
        <f t="shared" si="94"/>
        <v>0</v>
      </c>
      <c r="DV37" s="2109">
        <v>0</v>
      </c>
      <c r="DW37" s="2109">
        <v>3.2715105926247285</v>
      </c>
      <c r="DX37" s="2109">
        <f t="shared" si="15"/>
        <v>4.9146267877704986E-2</v>
      </c>
      <c r="DY37" s="2135"/>
      <c r="DZ37" s="2135"/>
      <c r="EA37" s="2135"/>
      <c r="EB37" s="2135">
        <f t="shared" si="95"/>
        <v>3.2715105926247285</v>
      </c>
      <c r="EC37" s="2135">
        <f t="shared" si="96"/>
        <v>4.9146267877704986E-2</v>
      </c>
      <c r="ED37" s="2135"/>
      <c r="EE37" s="2106">
        <f t="shared" si="97"/>
        <v>2.4014571774193545</v>
      </c>
      <c r="EF37" s="2106">
        <f t="shared" si="98"/>
        <v>0</v>
      </c>
      <c r="EG37" s="2106">
        <f t="shared" si="99"/>
        <v>0</v>
      </c>
      <c r="EH37" s="2106">
        <f t="shared" si="100"/>
        <v>3.2715105926247294</v>
      </c>
      <c r="EI37" s="2106">
        <f t="shared" si="101"/>
        <v>0.78563925936621026</v>
      </c>
      <c r="EJ37" s="2106"/>
      <c r="EK37" s="2106"/>
      <c r="EL37" s="2106"/>
      <c r="EM37" s="2106">
        <f t="shared" si="102"/>
        <v>3.2715105926247294</v>
      </c>
      <c r="EN37" s="2106">
        <f t="shared" si="103"/>
        <v>0.78563925936621026</v>
      </c>
      <c r="EO37" s="2106">
        <f t="shared" si="104"/>
        <v>3.2715105926247294</v>
      </c>
      <c r="EP37" s="2114">
        <f t="shared" si="105"/>
        <v>3.2715105926247294</v>
      </c>
      <c r="EQ37" s="2224"/>
      <c r="ER37" s="2210"/>
      <c r="ES37" s="2209" t="e">
        <v>#N/A</v>
      </c>
      <c r="ET37" s="2241"/>
      <c r="EU37" s="2230"/>
      <c r="EV37" s="2241"/>
      <c r="EW37" s="2241"/>
      <c r="EX37" s="2241"/>
      <c r="EY37" s="2244"/>
      <c r="EZ37" s="2244"/>
      <c r="FA37" s="2244"/>
      <c r="FB37" s="2242"/>
      <c r="FC37" s="2243"/>
      <c r="FD37" s="2243"/>
      <c r="FE37" s="2243"/>
      <c r="FF37" s="2243"/>
      <c r="FG37" s="2243"/>
      <c r="FH37" s="2243"/>
      <c r="FI37" s="2243"/>
    </row>
    <row r="38" spans="1:165">
      <c r="A38" s="2220"/>
      <c r="B38" s="2233" t="s">
        <v>211</v>
      </c>
      <c r="C38" s="2234">
        <f>SUM(C30:C37)</f>
        <v>524.30000000000007</v>
      </c>
      <c r="D38" s="2109"/>
      <c r="E38" s="2109"/>
      <c r="F38" s="2235">
        <f>J38/(G38*8.76)</f>
        <v>0.29010966489466011</v>
      </c>
      <c r="G38" s="2162">
        <f>SUM(G30:G37)</f>
        <v>454.90000000000003</v>
      </c>
      <c r="H38" s="2149"/>
      <c r="I38" s="2237"/>
      <c r="J38" s="2226">
        <f>SUM(J30:J37)</f>
        <v>1156.0649662706885</v>
      </c>
      <c r="K38" s="2109"/>
      <c r="L38" s="2109"/>
      <c r="M38" s="2160">
        <f>SUM(M30:M37)</f>
        <v>1156.0649662706885</v>
      </c>
      <c r="N38" s="2107">
        <f>SUM(N30:N37)</f>
        <v>66.947471433333334</v>
      </c>
      <c r="O38" s="2106">
        <f t="shared" si="61"/>
        <v>0.5522508938475813</v>
      </c>
      <c r="P38" s="2107">
        <f>SUM(P30:P37)</f>
        <v>3.6971800939893749</v>
      </c>
      <c r="Q38" s="2106">
        <f>IFERROR(R38/N38*10,0)</f>
        <v>1.0366517548108809</v>
      </c>
      <c r="R38" s="2107">
        <f>SUM(R30:R37)</f>
        <v>6.9401213741516328</v>
      </c>
      <c r="S38" s="2106">
        <f>IFERROR(T38/N38*10,0)</f>
        <v>0</v>
      </c>
      <c r="T38" s="2107">
        <f>SUM(T30:T37)</f>
        <v>0</v>
      </c>
      <c r="U38" s="2106"/>
      <c r="V38" s="2106">
        <f t="shared" si="62"/>
        <v>1.5889026486584621</v>
      </c>
      <c r="W38" s="2107">
        <f>SUM(W30:W37)</f>
        <v>10.637301468141006</v>
      </c>
      <c r="X38" s="2107">
        <f>SUM(X30:X37)</f>
        <v>69.931343099999978</v>
      </c>
      <c r="Y38" s="2106">
        <f t="shared" si="64"/>
        <v>0.52868712798816186</v>
      </c>
      <c r="Z38" s="2107">
        <f>SUM(Z30:Z37)</f>
        <v>3.6971800939893749</v>
      </c>
      <c r="AA38" s="2106">
        <f>IFERROR(AB38/X38*10,0)</f>
        <v>0.95191134341898165</v>
      </c>
      <c r="AB38" s="2107">
        <f>SUM(AB30:AB37)</f>
        <v>6.6568438757414707</v>
      </c>
      <c r="AC38" s="2106">
        <f>IFERROR(AD38/X38*10,0)</f>
        <v>0</v>
      </c>
      <c r="AD38" s="2107">
        <f>SUM(AD30:AD37)</f>
        <v>0</v>
      </c>
      <c r="AE38" s="2106"/>
      <c r="AF38" s="2106">
        <f t="shared" si="65"/>
        <v>1.4805984714071436</v>
      </c>
      <c r="AG38" s="2107">
        <f>SUM(AG30:AG37)</f>
        <v>10.354023969730846</v>
      </c>
      <c r="AH38" s="2107">
        <f>SUM(AH30:AH37)</f>
        <v>92.628746420000013</v>
      </c>
      <c r="AI38" s="2106">
        <f t="shared" si="67"/>
        <v>0.39913960156877337</v>
      </c>
      <c r="AJ38" s="2107">
        <f>SUM(AJ30:AJ37)</f>
        <v>3.6971800939893749</v>
      </c>
      <c r="AK38" s="2106">
        <f>IFERROR(AL38/AH38*10,0)</f>
        <v>0.95653763826512228</v>
      </c>
      <c r="AL38" s="2107">
        <f>SUM(AL30:AL37)</f>
        <v>8.860288233604571</v>
      </c>
      <c r="AM38" s="2106">
        <f>IFERROR(AN38/AH38*10,0)</f>
        <v>0</v>
      </c>
      <c r="AN38" s="2107">
        <f>SUM(AN30:AN37)</f>
        <v>0</v>
      </c>
      <c r="AO38" s="2106"/>
      <c r="AP38" s="2106">
        <f t="shared" si="68"/>
        <v>1.3556772398338957</v>
      </c>
      <c r="AQ38" s="2107">
        <f>SUM(AQ30:AQ37)</f>
        <v>12.557468327593947</v>
      </c>
      <c r="AR38" s="2107">
        <f>SUM(AR30:AR37)</f>
        <v>116.73821489999999</v>
      </c>
      <c r="AS38" s="2106">
        <f>IFERROR(AT38/AR38*10,0)</f>
        <v>0.31670692387719351</v>
      </c>
      <c r="AT38" s="2107">
        <f>SUM(AT30:AT37)</f>
        <v>3.6971800939893749</v>
      </c>
      <c r="AU38" s="2106">
        <f>IFERROR(AV38/AR38*10,0)</f>
        <v>0.93021244430025463</v>
      </c>
      <c r="AV38" s="2107">
        <f>SUM(AV30:AV37)</f>
        <v>10.85913402253774</v>
      </c>
      <c r="AW38" s="2106">
        <f>IFERROR(AX38/AR38*10,0)</f>
        <v>0</v>
      </c>
      <c r="AX38" s="2107">
        <f>SUM(AX30:AX37)</f>
        <v>0</v>
      </c>
      <c r="AY38" s="2106"/>
      <c r="AZ38" s="2106">
        <f t="shared" si="71"/>
        <v>1.246919368177448</v>
      </c>
      <c r="BA38" s="2107">
        <f>SUM(BA30:BA37)</f>
        <v>14.556314116527114</v>
      </c>
      <c r="BB38" s="2107">
        <f>SUM(BB30:BB37)</f>
        <v>109.29839080000001</v>
      </c>
      <c r="BC38" s="2106">
        <f t="shared" si="73"/>
        <v>0.33826482411389491</v>
      </c>
      <c r="BD38" s="2107">
        <f>SUM(BD30:BD37)</f>
        <v>3.6971800939893749</v>
      </c>
      <c r="BE38" s="2106">
        <f>IFERROR(BF38/BB38*10,0)</f>
        <v>0.93183014215930782</v>
      </c>
      <c r="BF38" s="2107">
        <f>SUM(BF30:BF37)</f>
        <v>10.184753503694759</v>
      </c>
      <c r="BG38" s="2106">
        <f>IFERROR(BH38/BB38*10,0)</f>
        <v>0</v>
      </c>
      <c r="BH38" s="2107">
        <f>SUM(BH30:BH37)</f>
        <v>0</v>
      </c>
      <c r="BI38" s="2106"/>
      <c r="BJ38" s="2106">
        <f t="shared" si="74"/>
        <v>1.2700949662732028</v>
      </c>
      <c r="BK38" s="2107">
        <f>SUM(BK30:BK37)</f>
        <v>13.881933597684133</v>
      </c>
      <c r="BL38" s="2107">
        <f>SUM(BL30:BL37)</f>
        <v>123.86869051935483</v>
      </c>
      <c r="BM38" s="2106">
        <f t="shared" si="76"/>
        <v>0.2984757551313324</v>
      </c>
      <c r="BN38" s="2107">
        <f>SUM(BN30:BN37)</f>
        <v>3.6971800939893749</v>
      </c>
      <c r="BO38" s="2106">
        <f>IFERROR(BP38/BL38*10,0)</f>
        <v>0.96321630745182429</v>
      </c>
      <c r="BP38" s="2107">
        <f>SUM(BP30:BP37)</f>
        <v>11.931234269094576</v>
      </c>
      <c r="BQ38" s="2106">
        <f>IFERROR(BR38/BL38*10,0)</f>
        <v>0</v>
      </c>
      <c r="BR38" s="2107">
        <f>SUM(BR30:BR37)</f>
        <v>0</v>
      </c>
      <c r="BS38" s="2106"/>
      <c r="BT38" s="2106">
        <f t="shared" si="77"/>
        <v>1.2616920625831569</v>
      </c>
      <c r="BU38" s="2107">
        <f>SUM(BU30:BU37)</f>
        <v>15.62841436308395</v>
      </c>
      <c r="BV38" s="2107">
        <f>SUM(BV30:BV37)</f>
        <v>135.015917</v>
      </c>
      <c r="BW38" s="2106">
        <f t="shared" si="79"/>
        <v>0.27383290623352019</v>
      </c>
      <c r="BX38" s="2107">
        <f>SUM(BX30:BX37)</f>
        <v>3.6971800939893749</v>
      </c>
      <c r="BY38" s="2106">
        <f>IFERROR(BZ38/BV38*10,0)</f>
        <v>0.96651710033597227</v>
      </c>
      <c r="BZ38" s="2107">
        <f>SUM(BZ30:BZ37)</f>
        <v>13.04951925980423</v>
      </c>
      <c r="CA38" s="2106">
        <f>IFERROR(CB38/BV38*10,0)</f>
        <v>0</v>
      </c>
      <c r="CB38" s="2107">
        <f>SUM(CB30:CB37)</f>
        <v>0</v>
      </c>
      <c r="CC38" s="2106"/>
      <c r="CD38" s="2106">
        <f t="shared" si="80"/>
        <v>1.2403500065694919</v>
      </c>
      <c r="CE38" s="2107">
        <f>SUM(CE30:CE37)</f>
        <v>16.746699353793598</v>
      </c>
      <c r="CF38" s="2107">
        <f>SUM(CF30:CF37)</f>
        <v>64.447699799999981</v>
      </c>
      <c r="CG38" s="2106">
        <f t="shared" si="82"/>
        <v>0.57367138089688285</v>
      </c>
      <c r="CH38" s="2107">
        <f>SUM(CH30:CH37)</f>
        <v>3.6971800939893749</v>
      </c>
      <c r="CI38" s="2106">
        <f>IFERROR(CJ38/CF38*10,0)</f>
        <v>0.90279484643166574</v>
      </c>
      <c r="CJ38" s="2107">
        <f>SUM(CJ30:CJ37)</f>
        <v>5.8183051243815074</v>
      </c>
      <c r="CK38" s="2106">
        <f>IFERROR(CL38/CF38*10,0)</f>
        <v>0</v>
      </c>
      <c r="CL38" s="2107">
        <f>SUM(CL30:CL37)</f>
        <v>0</v>
      </c>
      <c r="CM38" s="2106"/>
      <c r="CN38" s="2106">
        <f t="shared" si="83"/>
        <v>1.4764662273285487</v>
      </c>
      <c r="CO38" s="2107">
        <f>SUM(CO30:CO37)</f>
        <v>9.515485218370884</v>
      </c>
      <c r="CP38" s="2107">
        <f>SUM(CP30:CP37)</f>
        <v>103.07197152000001</v>
      </c>
      <c r="CQ38" s="2106">
        <f t="shared" si="85"/>
        <v>0.35869888190427957</v>
      </c>
      <c r="CR38" s="2107">
        <f>SUM(CR30:CR37)</f>
        <v>3.6971800939893749</v>
      </c>
      <c r="CS38" s="2106">
        <f>IFERROR(CT38/CP38*10,0)</f>
        <v>1.046842605266749</v>
      </c>
      <c r="CT38" s="2107">
        <f>SUM(CT30:CT37)</f>
        <v>10.790013119597695</v>
      </c>
      <c r="CU38" s="2106">
        <f>IFERROR(CV38/CP38*10,0)</f>
        <v>0</v>
      </c>
      <c r="CV38" s="2107">
        <f>SUM(CV30:CV37)</f>
        <v>0</v>
      </c>
      <c r="CW38" s="2106"/>
      <c r="CX38" s="2106">
        <f t="shared" si="86"/>
        <v>1.4055414871710283</v>
      </c>
      <c r="CY38" s="2107">
        <f>SUM(CY30:CY37)</f>
        <v>14.487193213587069</v>
      </c>
      <c r="CZ38" s="2107">
        <f>SUM(CZ30:CZ37)</f>
        <v>108.82656992000001</v>
      </c>
      <c r="DA38" s="2106">
        <f t="shared" si="88"/>
        <v>0.33973138147303783</v>
      </c>
      <c r="DB38" s="2107">
        <f>SUM(DB30:DB37)</f>
        <v>3.6971800939893749</v>
      </c>
      <c r="DC38" s="2106">
        <f>IFERROR(DD38/CZ38*10,0)</f>
        <v>1.0608633721400065</v>
      </c>
      <c r="DD38" s="2107">
        <f>SUM(DD30:DD37)</f>
        <v>11.54501219437614</v>
      </c>
      <c r="DE38" s="2106">
        <f>IFERROR(DF38/CZ38*10,0)</f>
        <v>0</v>
      </c>
      <c r="DF38" s="2107">
        <f>SUM(DF30:DF37)</f>
        <v>0</v>
      </c>
      <c r="DG38" s="2106"/>
      <c r="DH38" s="2106">
        <f t="shared" si="89"/>
        <v>1.4005947536130443</v>
      </c>
      <c r="DI38" s="2107">
        <f>SUM(DI30:DI37)</f>
        <v>15.242192288365516</v>
      </c>
      <c r="DJ38" s="2107">
        <f>SUM(DJ30:DJ37)</f>
        <v>93.725342600000019</v>
      </c>
      <c r="DK38" s="2106">
        <f t="shared" si="91"/>
        <v>0.39446962704293964</v>
      </c>
      <c r="DL38" s="2107">
        <f>SUM(DL30:DL37)</f>
        <v>3.6971800939893749</v>
      </c>
      <c r="DM38" s="2106">
        <f>IFERROR(DN38/DJ38*10,0)</f>
        <v>1.0820149941292896</v>
      </c>
      <c r="DN38" s="2107">
        <f>SUM(DN30:DN37)</f>
        <v>10.141222602310467</v>
      </c>
      <c r="DO38" s="2106">
        <f>IFERROR(DP38/DJ38*10,0)</f>
        <v>0</v>
      </c>
      <c r="DP38" s="2107">
        <f>SUM(DP30:DP37)</f>
        <v>0</v>
      </c>
      <c r="DQ38" s="2106"/>
      <c r="DR38" s="2106">
        <f t="shared" si="92"/>
        <v>1.4764846211722293</v>
      </c>
      <c r="DS38" s="2107">
        <f>SUM(DS30:DS37)</f>
        <v>13.838402696299843</v>
      </c>
      <c r="DT38" s="2107">
        <f>SUM(DT30:DT37)</f>
        <v>71.564608258000007</v>
      </c>
      <c r="DU38" s="2106">
        <f>IFERROR(DV38/DT38*10,0)</f>
        <v>0.51662129982749927</v>
      </c>
      <c r="DV38" s="2107">
        <f>SUM(DV30:DV37)</f>
        <v>3.6971800939893749</v>
      </c>
      <c r="DW38" s="2106">
        <f>IFERROR(DX38/DT38*10,0)</f>
        <v>1.0286321465939947</v>
      </c>
      <c r="DX38" s="2107">
        <f>SUM(DX30:DX37)</f>
        <v>7.3613656612584872</v>
      </c>
      <c r="DY38" s="2106">
        <f>IFERROR(DZ38/DT38*10,0)</f>
        <v>0</v>
      </c>
      <c r="DZ38" s="2107">
        <f>SUM(DZ30:DZ37)</f>
        <v>0</v>
      </c>
      <c r="EA38" s="2106"/>
      <c r="EB38" s="2106">
        <f t="shared" si="95"/>
        <v>1.545253446421494</v>
      </c>
      <c r="EC38" s="2107">
        <f>SUM(EC30:EC37)</f>
        <v>11.058545755247861</v>
      </c>
      <c r="ED38" s="2236">
        <f t="shared" ref="ED38:EI38" si="106">SUM(ED30:ED37)</f>
        <v>0</v>
      </c>
      <c r="EE38" s="2107">
        <f t="shared" si="106"/>
        <v>1156.0649662706885</v>
      </c>
      <c r="EF38" s="2106">
        <f t="shared" si="98"/>
        <v>0.38376875367992347</v>
      </c>
      <c r="EG38" s="2107">
        <f t="shared" si="106"/>
        <v>44.366161127872495</v>
      </c>
      <c r="EH38" s="2106">
        <f t="shared" si="100"/>
        <v>0.98729584037778295</v>
      </c>
      <c r="EI38" s="2107">
        <f t="shared" si="106"/>
        <v>114.13781324055327</v>
      </c>
      <c r="EJ38" s="2106"/>
      <c r="EK38" s="2106"/>
      <c r="EL38" s="2106"/>
      <c r="EM38" s="2106">
        <f t="shared" si="102"/>
        <v>1.3710645940577066</v>
      </c>
      <c r="EN38" s="2107">
        <f>EG38+EI38+EK38+EL38</f>
        <v>158.50397436842576</v>
      </c>
      <c r="EO38" s="2106"/>
      <c r="EP38" s="2114"/>
      <c r="EQ38" s="2224"/>
      <c r="ER38" s="2210"/>
      <c r="ES38" s="2209" t="e">
        <v>#N/A</v>
      </c>
      <c r="ET38" s="2241"/>
      <c r="EU38" s="2230"/>
      <c r="EV38" s="2241"/>
      <c r="EW38" s="2241"/>
      <c r="EX38" s="2241"/>
      <c r="EY38" s="2244"/>
      <c r="EZ38" s="2244"/>
      <c r="FA38" s="2244"/>
      <c r="FB38" s="2242"/>
      <c r="FC38" s="2243"/>
      <c r="FD38" s="2243"/>
      <c r="FE38" s="2243"/>
      <c r="FF38" s="2243"/>
      <c r="FG38" s="2243"/>
      <c r="FH38" s="2243"/>
      <c r="FI38" s="2243"/>
    </row>
    <row r="39" spans="1:165">
      <c r="A39" s="2220"/>
      <c r="B39" s="2145"/>
      <c r="C39" s="2145"/>
      <c r="D39" s="2145"/>
      <c r="E39" s="2145"/>
      <c r="F39" s="2145"/>
      <c r="G39" s="1592"/>
      <c r="H39" s="2149"/>
      <c r="I39" s="2237"/>
      <c r="J39" s="2149"/>
      <c r="K39" s="2145"/>
      <c r="L39" s="2145"/>
      <c r="M39" s="2152"/>
      <c r="N39" s="2149">
        <v>0</v>
      </c>
      <c r="O39" s="2109"/>
      <c r="P39" s="2109">
        <v>0</v>
      </c>
      <c r="Q39" s="2109">
        <v>0</v>
      </c>
      <c r="R39" s="2109">
        <f t="shared" si="4"/>
        <v>0</v>
      </c>
      <c r="S39" s="2109"/>
      <c r="T39" s="2109"/>
      <c r="U39" s="2109"/>
      <c r="V39" s="2109"/>
      <c r="W39" s="2109"/>
      <c r="X39" s="2149">
        <v>0</v>
      </c>
      <c r="Y39" s="2109"/>
      <c r="Z39" s="2109">
        <v>0</v>
      </c>
      <c r="AA39" s="2109">
        <v>0</v>
      </c>
      <c r="AB39" s="2109">
        <f t="shared" si="5"/>
        <v>0</v>
      </c>
      <c r="AC39" s="2135"/>
      <c r="AD39" s="2135"/>
      <c r="AE39" s="2135"/>
      <c r="AF39" s="2135"/>
      <c r="AG39" s="2135"/>
      <c r="AH39" s="2149">
        <v>0</v>
      </c>
      <c r="AI39" s="2109"/>
      <c r="AJ39" s="2109">
        <v>0</v>
      </c>
      <c r="AK39" s="2109">
        <v>0</v>
      </c>
      <c r="AL39" s="2109">
        <f t="shared" si="6"/>
        <v>0</v>
      </c>
      <c r="AM39" s="2135"/>
      <c r="AN39" s="2135"/>
      <c r="AO39" s="2238"/>
      <c r="AP39" s="2135"/>
      <c r="AQ39" s="2135"/>
      <c r="AR39" s="2149"/>
      <c r="AS39" s="2109"/>
      <c r="AT39" s="2109">
        <v>0</v>
      </c>
      <c r="AU39" s="2109">
        <v>0</v>
      </c>
      <c r="AV39" s="2109">
        <f t="shared" si="7"/>
        <v>0</v>
      </c>
      <c r="AW39" s="2135"/>
      <c r="AX39" s="2135"/>
      <c r="AY39" s="2238"/>
      <c r="AZ39" s="2135"/>
      <c r="BA39" s="2135"/>
      <c r="BB39" s="2149">
        <v>0</v>
      </c>
      <c r="BC39" s="2109"/>
      <c r="BD39" s="2109">
        <v>0</v>
      </c>
      <c r="BE39" s="2109">
        <v>0</v>
      </c>
      <c r="BF39" s="2109">
        <f t="shared" si="8"/>
        <v>0</v>
      </c>
      <c r="BG39" s="2135"/>
      <c r="BH39" s="2135"/>
      <c r="BI39" s="2238"/>
      <c r="BJ39" s="2135"/>
      <c r="BK39" s="2135"/>
      <c r="BL39" s="2149">
        <v>0</v>
      </c>
      <c r="BM39" s="2109"/>
      <c r="BN39" s="2109">
        <v>0</v>
      </c>
      <c r="BO39" s="2109">
        <v>0</v>
      </c>
      <c r="BP39" s="2109">
        <f t="shared" si="9"/>
        <v>0</v>
      </c>
      <c r="BQ39" s="2135"/>
      <c r="BR39" s="2135"/>
      <c r="BS39" s="2135"/>
      <c r="BT39" s="2135"/>
      <c r="BU39" s="2135"/>
      <c r="BV39" s="2149">
        <v>0</v>
      </c>
      <c r="BW39" s="2109"/>
      <c r="BX39" s="2109">
        <v>0</v>
      </c>
      <c r="BY39" s="2109">
        <v>0</v>
      </c>
      <c r="BZ39" s="2109">
        <f t="shared" si="10"/>
        <v>0</v>
      </c>
      <c r="CA39" s="2135"/>
      <c r="CB39" s="2135"/>
      <c r="CC39" s="2135"/>
      <c r="CD39" s="2135"/>
      <c r="CE39" s="2135"/>
      <c r="CF39" s="2149">
        <v>0</v>
      </c>
      <c r="CG39" s="2109"/>
      <c r="CH39" s="2109">
        <v>0</v>
      </c>
      <c r="CI39" s="2109">
        <v>0</v>
      </c>
      <c r="CJ39" s="2109">
        <f t="shared" si="11"/>
        <v>0</v>
      </c>
      <c r="CK39" s="2135"/>
      <c r="CL39" s="2135"/>
      <c r="CM39" s="2238"/>
      <c r="CN39" s="2135"/>
      <c r="CO39" s="2135"/>
      <c r="CP39" s="2149">
        <v>0</v>
      </c>
      <c r="CQ39" s="2109"/>
      <c r="CR39" s="2109">
        <v>0</v>
      </c>
      <c r="CS39" s="2109">
        <v>0</v>
      </c>
      <c r="CT39" s="2109">
        <f t="shared" si="12"/>
        <v>0</v>
      </c>
      <c r="CU39" s="2135"/>
      <c r="CV39" s="2135"/>
      <c r="CW39" s="2238"/>
      <c r="CX39" s="2135"/>
      <c r="CY39" s="2135"/>
      <c r="CZ39" s="2149">
        <v>0</v>
      </c>
      <c r="DA39" s="2109"/>
      <c r="DB39" s="2109">
        <v>0</v>
      </c>
      <c r="DC39" s="2109">
        <v>0</v>
      </c>
      <c r="DD39" s="2109">
        <f t="shared" si="13"/>
        <v>0</v>
      </c>
      <c r="DE39" s="2135"/>
      <c r="DF39" s="2135"/>
      <c r="DG39" s="2238"/>
      <c r="DH39" s="2135"/>
      <c r="DI39" s="2135"/>
      <c r="DJ39" s="2149">
        <v>0</v>
      </c>
      <c r="DK39" s="2109"/>
      <c r="DL39" s="2109">
        <v>0</v>
      </c>
      <c r="DM39" s="2109">
        <v>0</v>
      </c>
      <c r="DN39" s="2109">
        <f t="shared" si="14"/>
        <v>0</v>
      </c>
      <c r="DO39" s="2135"/>
      <c r="DP39" s="2135"/>
      <c r="DQ39" s="2238"/>
      <c r="DR39" s="2135"/>
      <c r="DS39" s="2135"/>
      <c r="DT39" s="2149">
        <v>0</v>
      </c>
      <c r="DU39" s="2109"/>
      <c r="DV39" s="2109">
        <v>0</v>
      </c>
      <c r="DW39" s="2109">
        <v>0</v>
      </c>
      <c r="DX39" s="2109">
        <f t="shared" si="15"/>
        <v>0</v>
      </c>
      <c r="DY39" s="2135"/>
      <c r="DZ39" s="2135"/>
      <c r="EA39" s="2135"/>
      <c r="EB39" s="2135"/>
      <c r="EC39" s="2135"/>
      <c r="ED39" s="2135"/>
      <c r="EE39" s="2107"/>
      <c r="EF39" s="2106"/>
      <c r="EG39" s="2106"/>
      <c r="EH39" s="2106"/>
      <c r="EI39" s="2106"/>
      <c r="EJ39" s="2106"/>
      <c r="EK39" s="2106"/>
      <c r="EL39" s="2106"/>
      <c r="EM39" s="2106"/>
      <c r="EN39" s="2106"/>
      <c r="EO39" s="2239"/>
      <c r="EP39" s="2240"/>
      <c r="EQ39" s="2224"/>
      <c r="ER39" s="2210"/>
      <c r="ES39" s="2209" t="e">
        <v>#N/A</v>
      </c>
      <c r="ET39" s="2241"/>
      <c r="EU39" s="2230"/>
      <c r="EV39" s="2241"/>
      <c r="EW39" s="2241"/>
      <c r="EX39" s="2241"/>
      <c r="EY39" s="2244"/>
      <c r="EZ39" s="2244"/>
      <c r="FA39" s="2244"/>
      <c r="FB39" s="2242"/>
      <c r="FC39" s="2243"/>
      <c r="FD39" s="2243"/>
      <c r="FE39" s="2243"/>
      <c r="FF39" s="2243"/>
      <c r="FG39" s="2243"/>
      <c r="FH39" s="2243"/>
      <c r="FI39" s="2243"/>
    </row>
    <row r="40" spans="1:165">
      <c r="A40" s="2220"/>
      <c r="B40" s="2145"/>
      <c r="C40" s="2145"/>
      <c r="D40" s="2145"/>
      <c r="E40" s="2145"/>
      <c r="F40" s="2145"/>
      <c r="G40" s="1592"/>
      <c r="H40" s="2149"/>
      <c r="I40" s="2237"/>
      <c r="J40" s="2149"/>
      <c r="K40" s="2145"/>
      <c r="L40" s="2145"/>
      <c r="M40" s="2152"/>
      <c r="N40" s="2149">
        <v>0</v>
      </c>
      <c r="O40" s="2109"/>
      <c r="P40" s="2109">
        <v>0</v>
      </c>
      <c r="Q40" s="2109">
        <v>0</v>
      </c>
      <c r="R40" s="2109">
        <f t="shared" si="4"/>
        <v>0</v>
      </c>
      <c r="S40" s="2109"/>
      <c r="T40" s="2109"/>
      <c r="U40" s="2109"/>
      <c r="V40" s="2109"/>
      <c r="W40" s="2109"/>
      <c r="X40" s="2149">
        <v>0</v>
      </c>
      <c r="Y40" s="2109"/>
      <c r="Z40" s="2109">
        <v>0</v>
      </c>
      <c r="AA40" s="2109">
        <v>0</v>
      </c>
      <c r="AB40" s="2109">
        <f t="shared" si="5"/>
        <v>0</v>
      </c>
      <c r="AC40" s="2135"/>
      <c r="AD40" s="2135"/>
      <c r="AE40" s="2135"/>
      <c r="AF40" s="2135"/>
      <c r="AG40" s="2135"/>
      <c r="AH40" s="2149">
        <v>0</v>
      </c>
      <c r="AI40" s="2109"/>
      <c r="AJ40" s="2109">
        <v>0</v>
      </c>
      <c r="AK40" s="2109">
        <v>0</v>
      </c>
      <c r="AL40" s="2109">
        <f t="shared" si="6"/>
        <v>0</v>
      </c>
      <c r="AM40" s="2135"/>
      <c r="AN40" s="2135"/>
      <c r="AO40" s="2238"/>
      <c r="AP40" s="2135"/>
      <c r="AQ40" s="2135"/>
      <c r="AR40" s="2149"/>
      <c r="AS40" s="2109"/>
      <c r="AT40" s="2109">
        <v>0</v>
      </c>
      <c r="AU40" s="2109">
        <v>0</v>
      </c>
      <c r="AV40" s="2109">
        <f t="shared" si="7"/>
        <v>0</v>
      </c>
      <c r="AW40" s="2135"/>
      <c r="AX40" s="2135"/>
      <c r="AY40" s="2238"/>
      <c r="AZ40" s="2135"/>
      <c r="BA40" s="2135"/>
      <c r="BB40" s="2149">
        <v>0</v>
      </c>
      <c r="BC40" s="2109"/>
      <c r="BD40" s="2109">
        <v>0</v>
      </c>
      <c r="BE40" s="2109">
        <v>0</v>
      </c>
      <c r="BF40" s="2109">
        <f t="shared" si="8"/>
        <v>0</v>
      </c>
      <c r="BG40" s="2135"/>
      <c r="BH40" s="2135"/>
      <c r="BI40" s="2238"/>
      <c r="BJ40" s="2135"/>
      <c r="BK40" s="2135"/>
      <c r="BL40" s="2149">
        <v>0</v>
      </c>
      <c r="BM40" s="2109"/>
      <c r="BN40" s="2109">
        <v>0</v>
      </c>
      <c r="BO40" s="2109">
        <v>0</v>
      </c>
      <c r="BP40" s="2109">
        <f t="shared" si="9"/>
        <v>0</v>
      </c>
      <c r="BQ40" s="2135"/>
      <c r="BR40" s="2135"/>
      <c r="BS40" s="2135"/>
      <c r="BT40" s="2135"/>
      <c r="BU40" s="2135"/>
      <c r="BV40" s="2149">
        <v>0</v>
      </c>
      <c r="BW40" s="2109"/>
      <c r="BX40" s="2109">
        <v>0</v>
      </c>
      <c r="BY40" s="2109">
        <v>0</v>
      </c>
      <c r="BZ40" s="2109">
        <f t="shared" si="10"/>
        <v>0</v>
      </c>
      <c r="CA40" s="2135"/>
      <c r="CB40" s="2135"/>
      <c r="CC40" s="2135"/>
      <c r="CD40" s="2135"/>
      <c r="CE40" s="2135"/>
      <c r="CF40" s="2149">
        <v>0</v>
      </c>
      <c r="CG40" s="2109"/>
      <c r="CH40" s="2109">
        <v>0</v>
      </c>
      <c r="CI40" s="2109">
        <v>0</v>
      </c>
      <c r="CJ40" s="2109">
        <f t="shared" si="11"/>
        <v>0</v>
      </c>
      <c r="CK40" s="2135"/>
      <c r="CL40" s="2135"/>
      <c r="CM40" s="2238"/>
      <c r="CN40" s="2135"/>
      <c r="CO40" s="2135"/>
      <c r="CP40" s="2149">
        <v>0</v>
      </c>
      <c r="CQ40" s="2109"/>
      <c r="CR40" s="2109">
        <v>0</v>
      </c>
      <c r="CS40" s="2109">
        <v>0</v>
      </c>
      <c r="CT40" s="2109">
        <f t="shared" si="12"/>
        <v>0</v>
      </c>
      <c r="CU40" s="2135"/>
      <c r="CV40" s="2135"/>
      <c r="CW40" s="2238"/>
      <c r="CX40" s="2135"/>
      <c r="CY40" s="2135"/>
      <c r="CZ40" s="2149">
        <v>0</v>
      </c>
      <c r="DA40" s="2109"/>
      <c r="DB40" s="2109">
        <v>0</v>
      </c>
      <c r="DC40" s="2109">
        <v>0</v>
      </c>
      <c r="DD40" s="2109">
        <f t="shared" si="13"/>
        <v>0</v>
      </c>
      <c r="DE40" s="2135"/>
      <c r="DF40" s="2135"/>
      <c r="DG40" s="2238"/>
      <c r="DH40" s="2135"/>
      <c r="DI40" s="2135"/>
      <c r="DJ40" s="2149">
        <v>0</v>
      </c>
      <c r="DK40" s="2109"/>
      <c r="DL40" s="2109">
        <v>0</v>
      </c>
      <c r="DM40" s="2109">
        <v>0</v>
      </c>
      <c r="DN40" s="2109">
        <f t="shared" si="14"/>
        <v>0</v>
      </c>
      <c r="DO40" s="2135"/>
      <c r="DP40" s="2135"/>
      <c r="DQ40" s="2238"/>
      <c r="DR40" s="2135"/>
      <c r="DS40" s="2135"/>
      <c r="DT40" s="2149">
        <v>0</v>
      </c>
      <c r="DU40" s="2109"/>
      <c r="DV40" s="2109">
        <v>0</v>
      </c>
      <c r="DW40" s="2109">
        <v>0</v>
      </c>
      <c r="DX40" s="2109">
        <f t="shared" si="15"/>
        <v>0</v>
      </c>
      <c r="DY40" s="2135"/>
      <c r="DZ40" s="2135"/>
      <c r="EA40" s="2135"/>
      <c r="EB40" s="2135"/>
      <c r="EC40" s="2135"/>
      <c r="ED40" s="2135"/>
      <c r="EE40" s="2107"/>
      <c r="EF40" s="2106"/>
      <c r="EG40" s="2106"/>
      <c r="EH40" s="2106"/>
      <c r="EI40" s="2106"/>
      <c r="EJ40" s="2106"/>
      <c r="EK40" s="2106"/>
      <c r="EL40" s="2106"/>
      <c r="EM40" s="2106"/>
      <c r="EN40" s="2106"/>
      <c r="EO40" s="2239"/>
      <c r="EP40" s="2240"/>
      <c r="EQ40" s="2224"/>
      <c r="ER40" s="2210"/>
      <c r="ES40" s="2209" t="e">
        <v>#N/A</v>
      </c>
      <c r="ET40" s="2241"/>
      <c r="EU40" s="2230"/>
      <c r="EV40" s="2241"/>
      <c r="EW40" s="2241"/>
      <c r="EX40" s="2241"/>
      <c r="EY40" s="2244"/>
      <c r="EZ40" s="2244"/>
      <c r="FA40" s="2244"/>
      <c r="FB40" s="2242"/>
      <c r="FC40" s="2243"/>
      <c r="FD40" s="2243"/>
      <c r="FE40" s="2243"/>
      <c r="FF40" s="2243"/>
      <c r="FG40" s="2243"/>
      <c r="FH40" s="2243"/>
      <c r="FI40" s="2243"/>
    </row>
    <row r="41" spans="1:165">
      <c r="A41" s="2220" t="s">
        <v>24</v>
      </c>
      <c r="B41" s="2233" t="s">
        <v>1675</v>
      </c>
      <c r="C41" s="2145"/>
      <c r="D41" s="2145"/>
      <c r="E41" s="2145"/>
      <c r="F41" s="2145"/>
      <c r="G41" s="1592"/>
      <c r="H41" s="2149"/>
      <c r="I41" s="2237"/>
      <c r="J41" s="2149"/>
      <c r="K41" s="2145"/>
      <c r="L41" s="2145"/>
      <c r="M41" s="2152"/>
      <c r="N41" s="2149">
        <v>0</v>
      </c>
      <c r="O41" s="2109"/>
      <c r="P41" s="2109">
        <v>0</v>
      </c>
      <c r="Q41" s="2109">
        <v>0</v>
      </c>
      <c r="R41" s="2109">
        <f t="shared" si="4"/>
        <v>0</v>
      </c>
      <c r="S41" s="2109"/>
      <c r="T41" s="2109"/>
      <c r="U41" s="2109"/>
      <c r="V41" s="2109"/>
      <c r="W41" s="2109"/>
      <c r="X41" s="2149">
        <v>0</v>
      </c>
      <c r="Y41" s="2109"/>
      <c r="Z41" s="2109">
        <v>0</v>
      </c>
      <c r="AA41" s="2109">
        <v>0</v>
      </c>
      <c r="AB41" s="2109">
        <f t="shared" si="5"/>
        <v>0</v>
      </c>
      <c r="AC41" s="2135"/>
      <c r="AD41" s="2135"/>
      <c r="AE41" s="2135"/>
      <c r="AF41" s="2135"/>
      <c r="AG41" s="2135"/>
      <c r="AH41" s="2149">
        <v>0</v>
      </c>
      <c r="AI41" s="2109"/>
      <c r="AJ41" s="2109">
        <v>0</v>
      </c>
      <c r="AK41" s="2109">
        <v>0</v>
      </c>
      <c r="AL41" s="2109">
        <f t="shared" si="6"/>
        <v>0</v>
      </c>
      <c r="AM41" s="2135"/>
      <c r="AN41" s="2135"/>
      <c r="AO41" s="2238"/>
      <c r="AP41" s="2135"/>
      <c r="AQ41" s="2135"/>
      <c r="AR41" s="2149"/>
      <c r="AS41" s="2109"/>
      <c r="AT41" s="2109">
        <v>0</v>
      </c>
      <c r="AU41" s="2109">
        <v>0</v>
      </c>
      <c r="AV41" s="2109">
        <f t="shared" si="7"/>
        <v>0</v>
      </c>
      <c r="AW41" s="2135"/>
      <c r="AX41" s="2135"/>
      <c r="AY41" s="2238"/>
      <c r="AZ41" s="2135"/>
      <c r="BA41" s="2135"/>
      <c r="BB41" s="2149">
        <v>0</v>
      </c>
      <c r="BC41" s="2109"/>
      <c r="BD41" s="2109">
        <v>0</v>
      </c>
      <c r="BE41" s="2109">
        <v>0</v>
      </c>
      <c r="BF41" s="2109">
        <f t="shared" si="8"/>
        <v>0</v>
      </c>
      <c r="BG41" s="2135"/>
      <c r="BH41" s="2135"/>
      <c r="BI41" s="2238"/>
      <c r="BJ41" s="2135"/>
      <c r="BK41" s="2135"/>
      <c r="BL41" s="2149">
        <v>0</v>
      </c>
      <c r="BM41" s="2109"/>
      <c r="BN41" s="2109">
        <v>0</v>
      </c>
      <c r="BO41" s="2109">
        <v>0</v>
      </c>
      <c r="BP41" s="2109">
        <f t="shared" si="9"/>
        <v>0</v>
      </c>
      <c r="BQ41" s="2135"/>
      <c r="BR41" s="2135"/>
      <c r="BS41" s="2135"/>
      <c r="BT41" s="2135"/>
      <c r="BU41" s="2135"/>
      <c r="BV41" s="2149">
        <v>0</v>
      </c>
      <c r="BW41" s="2109"/>
      <c r="BX41" s="2109">
        <v>0</v>
      </c>
      <c r="BY41" s="2109">
        <v>0</v>
      </c>
      <c r="BZ41" s="2109">
        <f t="shared" si="10"/>
        <v>0</v>
      </c>
      <c r="CA41" s="2135"/>
      <c r="CB41" s="2135"/>
      <c r="CC41" s="2135"/>
      <c r="CD41" s="2135"/>
      <c r="CE41" s="2135"/>
      <c r="CF41" s="2149">
        <v>0</v>
      </c>
      <c r="CG41" s="2109"/>
      <c r="CH41" s="2109">
        <v>0</v>
      </c>
      <c r="CI41" s="2109">
        <v>0</v>
      </c>
      <c r="CJ41" s="2109">
        <f t="shared" si="11"/>
        <v>0</v>
      </c>
      <c r="CK41" s="2135"/>
      <c r="CL41" s="2135"/>
      <c r="CM41" s="2238"/>
      <c r="CN41" s="2135"/>
      <c r="CO41" s="2135"/>
      <c r="CP41" s="2149">
        <v>0</v>
      </c>
      <c r="CQ41" s="2109"/>
      <c r="CR41" s="2109">
        <v>0</v>
      </c>
      <c r="CS41" s="2109">
        <v>0</v>
      </c>
      <c r="CT41" s="2109">
        <f t="shared" si="12"/>
        <v>0</v>
      </c>
      <c r="CU41" s="2135"/>
      <c r="CV41" s="2135"/>
      <c r="CW41" s="2238"/>
      <c r="CX41" s="2135"/>
      <c r="CY41" s="2135"/>
      <c r="CZ41" s="2149">
        <v>0</v>
      </c>
      <c r="DA41" s="2109"/>
      <c r="DB41" s="2109">
        <v>0</v>
      </c>
      <c r="DC41" s="2109">
        <v>0</v>
      </c>
      <c r="DD41" s="2109">
        <f t="shared" si="13"/>
        <v>0</v>
      </c>
      <c r="DE41" s="2135"/>
      <c r="DF41" s="2135"/>
      <c r="DG41" s="2238"/>
      <c r="DH41" s="2135"/>
      <c r="DI41" s="2135"/>
      <c r="DJ41" s="2149">
        <v>0</v>
      </c>
      <c r="DK41" s="2109"/>
      <c r="DL41" s="2109">
        <v>0</v>
      </c>
      <c r="DM41" s="2109">
        <v>0</v>
      </c>
      <c r="DN41" s="2109">
        <f t="shared" si="14"/>
        <v>0</v>
      </c>
      <c r="DO41" s="2135"/>
      <c r="DP41" s="2135"/>
      <c r="DQ41" s="2238"/>
      <c r="DR41" s="2135"/>
      <c r="DS41" s="2135"/>
      <c r="DT41" s="2149">
        <v>0</v>
      </c>
      <c r="DU41" s="2109"/>
      <c r="DV41" s="2109">
        <v>0</v>
      </c>
      <c r="DW41" s="2109">
        <v>0</v>
      </c>
      <c r="DX41" s="2109">
        <f t="shared" si="15"/>
        <v>0</v>
      </c>
      <c r="DY41" s="2135"/>
      <c r="DZ41" s="2135"/>
      <c r="EA41" s="2135"/>
      <c r="EB41" s="2135"/>
      <c r="EC41" s="2135"/>
      <c r="ED41" s="2135"/>
      <c r="EE41" s="2107"/>
      <c r="EF41" s="2106"/>
      <c r="EG41" s="2106"/>
      <c r="EH41" s="2106"/>
      <c r="EI41" s="2106"/>
      <c r="EJ41" s="2106"/>
      <c r="EK41" s="2106"/>
      <c r="EL41" s="2106"/>
      <c r="EM41" s="2106"/>
      <c r="EN41" s="2106"/>
      <c r="EO41" s="2239"/>
      <c r="EP41" s="2240"/>
      <c r="EQ41" s="2224"/>
      <c r="ER41" s="2210"/>
      <c r="ES41" s="2209" t="e">
        <v>#N/A</v>
      </c>
      <c r="ET41" s="2241"/>
      <c r="EU41" s="2230"/>
      <c r="EV41" s="2241"/>
      <c r="EW41" s="2241"/>
      <c r="EX41" s="2241"/>
      <c r="EY41" s="2244"/>
      <c r="EZ41" s="2244"/>
      <c r="FA41" s="2244"/>
      <c r="FB41" s="2242"/>
      <c r="FC41" s="2243"/>
      <c r="FD41" s="2243"/>
      <c r="FE41" s="2243"/>
      <c r="FF41" s="2243"/>
      <c r="FG41" s="2243"/>
      <c r="FH41" s="2243"/>
      <c r="FI41" s="2243"/>
    </row>
    <row r="42" spans="1:165">
      <c r="A42" s="2220" t="s">
        <v>19</v>
      </c>
      <c r="B42" s="2233" t="s">
        <v>1676</v>
      </c>
      <c r="C42" s="2145"/>
      <c r="D42" s="2145"/>
      <c r="E42" s="2145"/>
      <c r="F42" s="2145"/>
      <c r="G42" s="1592"/>
      <c r="H42" s="2149"/>
      <c r="I42" s="2229"/>
      <c r="J42" s="2149"/>
      <c r="K42" s="2145"/>
      <c r="L42" s="2145"/>
      <c r="M42" s="2152"/>
      <c r="N42" s="2149">
        <v>0</v>
      </c>
      <c r="O42" s="2109"/>
      <c r="P42" s="2109">
        <v>0</v>
      </c>
      <c r="Q42" s="2109">
        <v>0</v>
      </c>
      <c r="R42" s="2109">
        <f t="shared" si="4"/>
        <v>0</v>
      </c>
      <c r="S42" s="2109"/>
      <c r="T42" s="2109"/>
      <c r="U42" s="2109"/>
      <c r="V42" s="2109"/>
      <c r="W42" s="2109"/>
      <c r="X42" s="2149">
        <v>0</v>
      </c>
      <c r="Y42" s="2109"/>
      <c r="Z42" s="2109">
        <v>0</v>
      </c>
      <c r="AA42" s="2109">
        <v>0</v>
      </c>
      <c r="AB42" s="2109">
        <f t="shared" si="5"/>
        <v>0</v>
      </c>
      <c r="AC42" s="2135"/>
      <c r="AD42" s="2135"/>
      <c r="AE42" s="2135"/>
      <c r="AF42" s="2135"/>
      <c r="AG42" s="2135"/>
      <c r="AH42" s="2149">
        <v>0</v>
      </c>
      <c r="AI42" s="2109"/>
      <c r="AJ42" s="2109">
        <v>0</v>
      </c>
      <c r="AK42" s="2109">
        <v>0</v>
      </c>
      <c r="AL42" s="2109">
        <f t="shared" si="6"/>
        <v>0</v>
      </c>
      <c r="AM42" s="2135"/>
      <c r="AN42" s="2135"/>
      <c r="AO42" s="2238"/>
      <c r="AP42" s="2135"/>
      <c r="AQ42" s="2135"/>
      <c r="AR42" s="2149">
        <v>0</v>
      </c>
      <c r="AS42" s="2109"/>
      <c r="AT42" s="2109">
        <v>0</v>
      </c>
      <c r="AU42" s="2109">
        <v>0</v>
      </c>
      <c r="AV42" s="2109">
        <f t="shared" si="7"/>
        <v>0</v>
      </c>
      <c r="AW42" s="2135"/>
      <c r="AX42" s="2135"/>
      <c r="AY42" s="2238"/>
      <c r="AZ42" s="2135"/>
      <c r="BA42" s="2135"/>
      <c r="BB42" s="2149">
        <v>0</v>
      </c>
      <c r="BC42" s="2109"/>
      <c r="BD42" s="2109">
        <v>0</v>
      </c>
      <c r="BE42" s="2109">
        <v>0</v>
      </c>
      <c r="BF42" s="2109">
        <f t="shared" si="8"/>
        <v>0</v>
      </c>
      <c r="BG42" s="2135"/>
      <c r="BH42" s="2135"/>
      <c r="BI42" s="2238"/>
      <c r="BJ42" s="2135"/>
      <c r="BK42" s="2135"/>
      <c r="BL42" s="2149">
        <v>0</v>
      </c>
      <c r="BM42" s="2109"/>
      <c r="BN42" s="2109">
        <v>0</v>
      </c>
      <c r="BO42" s="2109">
        <v>0</v>
      </c>
      <c r="BP42" s="2109">
        <f t="shared" si="9"/>
        <v>0</v>
      </c>
      <c r="BQ42" s="2135"/>
      <c r="BR42" s="2135"/>
      <c r="BS42" s="2135"/>
      <c r="BT42" s="2135"/>
      <c r="BU42" s="2135"/>
      <c r="BV42" s="2149">
        <v>0</v>
      </c>
      <c r="BW42" s="2109"/>
      <c r="BX42" s="2109">
        <v>0</v>
      </c>
      <c r="BY42" s="2109">
        <v>0</v>
      </c>
      <c r="BZ42" s="2109">
        <f t="shared" si="10"/>
        <v>0</v>
      </c>
      <c r="CA42" s="2135"/>
      <c r="CB42" s="2135"/>
      <c r="CC42" s="2135"/>
      <c r="CD42" s="2135"/>
      <c r="CE42" s="2135"/>
      <c r="CF42" s="2149">
        <v>0</v>
      </c>
      <c r="CG42" s="2109"/>
      <c r="CH42" s="2109">
        <v>0</v>
      </c>
      <c r="CI42" s="2109">
        <v>0</v>
      </c>
      <c r="CJ42" s="2109">
        <f t="shared" si="11"/>
        <v>0</v>
      </c>
      <c r="CK42" s="2135"/>
      <c r="CL42" s="2135"/>
      <c r="CM42" s="2238"/>
      <c r="CN42" s="2135"/>
      <c r="CO42" s="2135"/>
      <c r="CP42" s="2149">
        <v>0</v>
      </c>
      <c r="CQ42" s="2109"/>
      <c r="CR42" s="2109">
        <v>0</v>
      </c>
      <c r="CS42" s="2109">
        <v>0</v>
      </c>
      <c r="CT42" s="2109">
        <f t="shared" si="12"/>
        <v>0</v>
      </c>
      <c r="CU42" s="2135"/>
      <c r="CV42" s="2135"/>
      <c r="CW42" s="2238"/>
      <c r="CX42" s="2135"/>
      <c r="CY42" s="2135"/>
      <c r="CZ42" s="2149">
        <v>0</v>
      </c>
      <c r="DA42" s="2109"/>
      <c r="DB42" s="2109">
        <v>0</v>
      </c>
      <c r="DC42" s="2109">
        <v>0</v>
      </c>
      <c r="DD42" s="2109">
        <f t="shared" si="13"/>
        <v>0</v>
      </c>
      <c r="DE42" s="2135"/>
      <c r="DF42" s="2135"/>
      <c r="DG42" s="2238"/>
      <c r="DH42" s="2135"/>
      <c r="DI42" s="2135"/>
      <c r="DJ42" s="2149">
        <v>0</v>
      </c>
      <c r="DK42" s="2109"/>
      <c r="DL42" s="2109">
        <v>0</v>
      </c>
      <c r="DM42" s="2109">
        <v>0</v>
      </c>
      <c r="DN42" s="2109">
        <f t="shared" si="14"/>
        <v>0</v>
      </c>
      <c r="DO42" s="2135"/>
      <c r="DP42" s="2135"/>
      <c r="DQ42" s="2238"/>
      <c r="DR42" s="2135"/>
      <c r="DS42" s="2135"/>
      <c r="DT42" s="2149">
        <v>0</v>
      </c>
      <c r="DU42" s="2109"/>
      <c r="DV42" s="2109">
        <v>0</v>
      </c>
      <c r="DW42" s="2109">
        <v>0</v>
      </c>
      <c r="DX42" s="2109">
        <f t="shared" si="15"/>
        <v>0</v>
      </c>
      <c r="DY42" s="2135"/>
      <c r="DZ42" s="2135"/>
      <c r="EA42" s="2135"/>
      <c r="EB42" s="2135"/>
      <c r="EC42" s="2135"/>
      <c r="ED42" s="2135"/>
      <c r="EE42" s="2107"/>
      <c r="EF42" s="2106"/>
      <c r="EG42" s="2106"/>
      <c r="EH42" s="2106"/>
      <c r="EI42" s="2106"/>
      <c r="EJ42" s="2106"/>
      <c r="EK42" s="2106"/>
      <c r="EL42" s="2106"/>
      <c r="EM42" s="2106"/>
      <c r="EN42" s="2106"/>
      <c r="EO42" s="2239"/>
      <c r="EP42" s="2240"/>
      <c r="EQ42" s="2224"/>
      <c r="ER42" s="2210"/>
      <c r="ES42" s="2209" t="e">
        <v>#N/A</v>
      </c>
      <c r="ET42" s="2241"/>
      <c r="EU42" s="2230"/>
      <c r="EV42" s="2241"/>
      <c r="EW42" s="2241"/>
      <c r="EX42" s="2241"/>
      <c r="EY42" s="2244"/>
      <c r="EZ42" s="2244"/>
      <c r="FA42" s="2244"/>
      <c r="FB42" s="2242"/>
      <c r="FC42" s="2243"/>
      <c r="FD42" s="2243"/>
      <c r="FE42" s="2243"/>
      <c r="FF42" s="2243"/>
      <c r="FG42" s="2243"/>
      <c r="FH42" s="2243"/>
      <c r="FI42" s="2243"/>
    </row>
    <row r="43" spans="1:165">
      <c r="A43" s="2220">
        <v>1</v>
      </c>
      <c r="B43" s="2227" t="s">
        <v>1677</v>
      </c>
      <c r="C43" s="2146">
        <v>419</v>
      </c>
      <c r="D43" s="2147">
        <f>G43/C43</f>
        <v>0.21766109785202864</v>
      </c>
      <c r="E43" s="2146"/>
      <c r="F43" s="2148">
        <v>0.31942216900537662</v>
      </c>
      <c r="G43" s="2146">
        <v>91.2</v>
      </c>
      <c r="H43" s="2149" t="s">
        <v>1649</v>
      </c>
      <c r="I43" s="2229">
        <v>1</v>
      </c>
      <c r="J43" s="2149">
        <v>42.120707937654032</v>
      </c>
      <c r="K43" s="2148">
        <v>3.4703846153846141E-2</v>
      </c>
      <c r="L43" s="2151"/>
      <c r="M43" s="2152">
        <f t="shared" ref="M43:M79" si="107">J43*(1-K43)*(1-L43)</f>
        <v>40.658957369494601</v>
      </c>
      <c r="N43" s="2149">
        <v>0</v>
      </c>
      <c r="O43" s="2109">
        <f t="shared" ref="O43:O77" si="108">IFERROR(P43/N43*10,0)</f>
        <v>0</v>
      </c>
      <c r="P43" s="2109">
        <v>4.6025566689374999</v>
      </c>
      <c r="Q43" s="2109">
        <v>4.643140505891199</v>
      </c>
      <c r="R43" s="2109">
        <f t="shared" si="4"/>
        <v>0</v>
      </c>
      <c r="S43" s="2109"/>
      <c r="T43" s="2109"/>
      <c r="U43" s="2109"/>
      <c r="V43" s="2109">
        <f t="shared" ref="V43:V77" si="109">IFERROR(W43/N43*10,0)</f>
        <v>0</v>
      </c>
      <c r="W43" s="2109">
        <f t="shared" ref="W43:W77" si="110">P43+R43</f>
        <v>4.6025566689374999</v>
      </c>
      <c r="X43" s="2149">
        <v>0</v>
      </c>
      <c r="Y43" s="2109">
        <f t="shared" ref="Y43:Y77" si="111">IFERROR(Z43/X43*10,0)</f>
        <v>0</v>
      </c>
      <c r="Z43" s="2109">
        <v>4.6025566689374999</v>
      </c>
      <c r="AA43" s="2109">
        <v>4.643140505891199</v>
      </c>
      <c r="AB43" s="2109">
        <f t="shared" si="5"/>
        <v>0</v>
      </c>
      <c r="AC43" s="2135"/>
      <c r="AD43" s="2135"/>
      <c r="AE43" s="2135"/>
      <c r="AF43" s="2135">
        <f t="shared" ref="AF43:AF77" si="112">IFERROR(AG43/X43*10,0)</f>
        <v>0</v>
      </c>
      <c r="AG43" s="2135">
        <f t="shared" ref="AG43:AG77" si="113">Z43+AB43</f>
        <v>4.6025566689374999</v>
      </c>
      <c r="AH43" s="2149">
        <v>11.941912157745724</v>
      </c>
      <c r="AI43" s="2109">
        <f t="shared" ref="AI43:AI77" si="114">IFERROR(AJ43/AH43*10,0)</f>
        <v>3.8541203520344141</v>
      </c>
      <c r="AJ43" s="2109">
        <v>4.6025566689374999</v>
      </c>
      <c r="AK43" s="2109">
        <v>4.643140505891199</v>
      </c>
      <c r="AL43" s="2109">
        <f t="shared" si="6"/>
        <v>5.5447976057423745</v>
      </c>
      <c r="AM43" s="2135"/>
      <c r="AN43" s="2135"/>
      <c r="AO43" s="2135"/>
      <c r="AP43" s="2135">
        <f t="shared" ref="AP43:AP77" si="115">IFERROR(AQ43/AH43*10,0)</f>
        <v>8.4972608579256121</v>
      </c>
      <c r="AQ43" s="2135">
        <f t="shared" ref="AQ43:AQ77" si="116">AL43+AJ43</f>
        <v>10.147354274679873</v>
      </c>
      <c r="AR43" s="2149">
        <v>30.17879577990831</v>
      </c>
      <c r="AS43" s="2109">
        <f t="shared" ref="AS43:AS77" si="117">IFERROR(AT43/AR43*10,0)</f>
        <v>1.5250961975101989</v>
      </c>
      <c r="AT43" s="2109">
        <v>4.6025566689374999</v>
      </c>
      <c r="AU43" s="2109">
        <v>4.643140505891199</v>
      </c>
      <c r="AV43" s="2109">
        <f t="shared" si="7"/>
        <v>14.012438910471065</v>
      </c>
      <c r="AW43" s="2135"/>
      <c r="AX43" s="2135"/>
      <c r="AY43" s="2135"/>
      <c r="AZ43" s="2135">
        <f t="shared" ref="AZ43:AZ77" si="118">IFERROR(BA43/AR43*10,0)</f>
        <v>6.1682367034013978</v>
      </c>
      <c r="BA43" s="2135">
        <f t="shared" ref="BA43:BA77" si="119">AV43+AT43</f>
        <v>18.614995579408564</v>
      </c>
      <c r="BB43" s="2149">
        <v>0</v>
      </c>
      <c r="BC43" s="2109">
        <f t="shared" ref="BC43:BC77" si="120">IFERROR(BD43/BB43*10,0)</f>
        <v>0</v>
      </c>
      <c r="BD43" s="2109">
        <v>4.6025566689374999</v>
      </c>
      <c r="BE43" s="2109">
        <v>4.643140505891199</v>
      </c>
      <c r="BF43" s="2109">
        <f t="shared" si="8"/>
        <v>0</v>
      </c>
      <c r="BG43" s="2135"/>
      <c r="BH43" s="2135"/>
      <c r="BI43" s="2135"/>
      <c r="BJ43" s="2135">
        <f t="shared" ref="BJ43:BJ77" si="121">IFERROR(BK43/BB43*10,0)</f>
        <v>0</v>
      </c>
      <c r="BK43" s="2135">
        <f t="shared" ref="BK43:BK77" si="122">BF43+BD43</f>
        <v>4.6025566689374999</v>
      </c>
      <c r="BL43" s="2149">
        <v>0</v>
      </c>
      <c r="BM43" s="2109">
        <f t="shared" ref="BM43:BM77" si="123">IFERROR(BN43/BL43*10,0)</f>
        <v>0</v>
      </c>
      <c r="BN43" s="2109">
        <v>4.6025566689374999</v>
      </c>
      <c r="BO43" s="2109">
        <v>4.643140505891199</v>
      </c>
      <c r="BP43" s="2109">
        <f t="shared" si="9"/>
        <v>0</v>
      </c>
      <c r="BQ43" s="2135"/>
      <c r="BR43" s="2135"/>
      <c r="BS43" s="2135"/>
      <c r="BT43" s="2135">
        <f t="shared" ref="BT43:BT77" si="124">IFERROR(BU43/BL43*10,0)</f>
        <v>0</v>
      </c>
      <c r="BU43" s="2135">
        <f t="shared" ref="BU43:BU77" si="125">BP43+BN43</f>
        <v>4.6025566689374999</v>
      </c>
      <c r="BV43" s="2149">
        <v>0</v>
      </c>
      <c r="BW43" s="2109">
        <f t="shared" ref="BW43:BW77" si="126">IFERROR(BX43/BV43*10,0)</f>
        <v>0</v>
      </c>
      <c r="BX43" s="2109">
        <v>4.6025566689374999</v>
      </c>
      <c r="BY43" s="2109">
        <v>4.643140505891199</v>
      </c>
      <c r="BZ43" s="2109">
        <f t="shared" si="10"/>
        <v>0</v>
      </c>
      <c r="CA43" s="2135"/>
      <c r="CB43" s="2135"/>
      <c r="CC43" s="2135"/>
      <c r="CD43" s="2135">
        <f t="shared" ref="CD43:CD77" si="127">IFERROR(CE43/BV43*10,0)</f>
        <v>0</v>
      </c>
      <c r="CE43" s="2135">
        <f t="shared" ref="CE43:CE77" si="128">BZ43+BX43</f>
        <v>4.6025566689374999</v>
      </c>
      <c r="CF43" s="2149">
        <v>0</v>
      </c>
      <c r="CG43" s="2109">
        <f t="shared" ref="CG43:CG77" si="129">IFERROR(CH43/CF43*10,0)</f>
        <v>0</v>
      </c>
      <c r="CH43" s="2109">
        <v>4.6025566689374999</v>
      </c>
      <c r="CI43" s="2109">
        <v>4.643140505891199</v>
      </c>
      <c r="CJ43" s="2109">
        <f t="shared" si="11"/>
        <v>0</v>
      </c>
      <c r="CK43" s="2135"/>
      <c r="CL43" s="2135"/>
      <c r="CM43" s="2135"/>
      <c r="CN43" s="2135">
        <f t="shared" ref="CN43:CN77" si="130">IFERROR(CO43/CF43*10,0)</f>
        <v>0</v>
      </c>
      <c r="CO43" s="2135">
        <f t="shared" ref="CO43:CO77" si="131">CJ43+CH43</f>
        <v>4.6025566689374999</v>
      </c>
      <c r="CP43" s="2149">
        <v>0</v>
      </c>
      <c r="CQ43" s="2109">
        <f t="shared" ref="CQ43:CQ77" si="132">IFERROR(CR43/CP43*10,0)</f>
        <v>0</v>
      </c>
      <c r="CR43" s="2109">
        <v>4.6025566689374999</v>
      </c>
      <c r="CS43" s="2109">
        <v>4.643140505891199</v>
      </c>
      <c r="CT43" s="2109">
        <f t="shared" si="12"/>
        <v>0</v>
      </c>
      <c r="CU43" s="2135"/>
      <c r="CV43" s="2135"/>
      <c r="CW43" s="2135"/>
      <c r="CX43" s="2135">
        <f t="shared" ref="CX43:CX77" si="133">IFERROR(CY43/CP43*10,0)</f>
        <v>0</v>
      </c>
      <c r="CY43" s="2135">
        <f t="shared" ref="CY43:CY77" si="134">CT43+CR43</f>
        <v>4.6025566689374999</v>
      </c>
      <c r="CZ43" s="2149">
        <v>0</v>
      </c>
      <c r="DA43" s="2109">
        <f t="shared" ref="DA43:DA77" si="135">IFERROR(DB43/CZ43*10,0)</f>
        <v>0</v>
      </c>
      <c r="DB43" s="2109">
        <v>4.6025566689374999</v>
      </c>
      <c r="DC43" s="2109">
        <v>4.643140505891199</v>
      </c>
      <c r="DD43" s="2109">
        <f t="shared" si="13"/>
        <v>0</v>
      </c>
      <c r="DE43" s="2135"/>
      <c r="DF43" s="2135"/>
      <c r="DG43" s="2135"/>
      <c r="DH43" s="2135">
        <f t="shared" ref="DH43:DH77" si="136">IFERROR(DI43/CZ43*10,0)</f>
        <v>0</v>
      </c>
      <c r="DI43" s="2135">
        <f t="shared" ref="DI43:DI77" si="137">DD43+DB43</f>
        <v>4.6025566689374999</v>
      </c>
      <c r="DJ43" s="2149">
        <v>0</v>
      </c>
      <c r="DK43" s="2109">
        <f t="shared" ref="DK43:DK77" si="138">IFERROR(DL43/DJ43*10,0)</f>
        <v>0</v>
      </c>
      <c r="DL43" s="2109">
        <v>4.6025566689374999</v>
      </c>
      <c r="DM43" s="2109">
        <v>4.643140505891199</v>
      </c>
      <c r="DN43" s="2109">
        <f t="shared" si="14"/>
        <v>0</v>
      </c>
      <c r="DO43" s="2135"/>
      <c r="DP43" s="2135"/>
      <c r="DQ43" s="2135"/>
      <c r="DR43" s="2135">
        <f t="shared" ref="DR43:DR77" si="139">IFERROR(DS43/DJ43*10,0)</f>
        <v>0</v>
      </c>
      <c r="DS43" s="2135">
        <f t="shared" ref="DS43:DS77" si="140">DN43+DL43</f>
        <v>4.6025566689374999</v>
      </c>
      <c r="DT43" s="2149">
        <v>0</v>
      </c>
      <c r="DU43" s="2109">
        <f t="shared" ref="DU43:DU77" si="141">IFERROR(DV43/DT43*10,0)</f>
        <v>0</v>
      </c>
      <c r="DV43" s="2109">
        <v>4.6025566689374999</v>
      </c>
      <c r="DW43" s="2109">
        <v>4.643140505891199</v>
      </c>
      <c r="DX43" s="2109">
        <f t="shared" si="15"/>
        <v>0</v>
      </c>
      <c r="DY43" s="2135"/>
      <c r="DZ43" s="2135"/>
      <c r="EA43" s="2135"/>
      <c r="EB43" s="2135">
        <f t="shared" ref="EB43:EB77" si="142">IFERROR(EC43/DT43*10,0)</f>
        <v>0</v>
      </c>
      <c r="EC43" s="2135">
        <f t="shared" ref="EC43:EC77" si="143">DX43+DV43</f>
        <v>4.6025566689374999</v>
      </c>
      <c r="ED43" s="2135"/>
      <c r="EE43" s="2106">
        <f t="shared" ref="EE43:EE77" si="144">SUM(N43,X43,AH43,AR43,BB43,BL43,BV43,CF43,CP43,CZ43,DJ43,DT43)</f>
        <v>42.120707937654032</v>
      </c>
      <c r="EF43" s="2106">
        <f>IFERROR((EG43/EE43)*10,0)</f>
        <v>13.112476672757023</v>
      </c>
      <c r="EG43" s="2106">
        <f t="shared" ref="EG43:EG77" si="145">SUM(P43,Z43,AJ43,AT43,BD43,BN43,BX43,CR43,CH43,DB43,DL43,DV43)</f>
        <v>55.23068002725001</v>
      </c>
      <c r="EH43" s="2106">
        <f t="shared" ref="EH43:EH77" si="146">IFERROR((EI43/EE43)*10,0)</f>
        <v>4.6431405058911999</v>
      </c>
      <c r="EI43" s="2106">
        <f t="shared" ref="EI43:EI77" si="147">SUM(R43,AB43,AL43,AV43,BF43,BP43,BZ43,CJ43,CT43,DD43,DN43,DX43)</f>
        <v>19.55723651621344</v>
      </c>
      <c r="EJ43" s="2106"/>
      <c r="EK43" s="2106"/>
      <c r="EL43" s="2106"/>
      <c r="EM43" s="2106">
        <f t="shared" ref="EM43:EM77" si="148">IFERROR(EN43/EE43*10,0)</f>
        <v>17.755617178648222</v>
      </c>
      <c r="EN43" s="2106">
        <f t="shared" ref="EN43:EN77" si="149">EG43+EI43</f>
        <v>74.787916543463453</v>
      </c>
      <c r="EO43" s="2106"/>
      <c r="EP43" s="2114"/>
      <c r="EQ43" s="2224"/>
      <c r="ER43" s="2210"/>
      <c r="ES43" s="2209" t="s">
        <v>1677</v>
      </c>
      <c r="ET43" s="2241"/>
      <c r="EU43" s="2230"/>
      <c r="EV43" s="2241"/>
      <c r="EW43" s="2241"/>
      <c r="EX43" s="2241"/>
      <c r="EY43" s="2244"/>
      <c r="EZ43" s="2244"/>
      <c r="FA43" s="2244"/>
      <c r="FB43" s="2242"/>
      <c r="FC43" s="2243"/>
      <c r="FD43" s="2243"/>
      <c r="FE43" s="2243"/>
      <c r="FF43" s="2243"/>
      <c r="FG43" s="2243"/>
      <c r="FH43" s="2243"/>
      <c r="FI43" s="2243"/>
    </row>
    <row r="44" spans="1:165">
      <c r="A44" s="2220">
        <v>2</v>
      </c>
      <c r="B44" s="2227" t="s">
        <v>1678</v>
      </c>
      <c r="C44" s="2146">
        <v>663</v>
      </c>
      <c r="D44" s="2147">
        <f t="shared" ref="D44:D75" si="150">G44/C44</f>
        <v>0.32076923076923075</v>
      </c>
      <c r="E44" s="2146"/>
      <c r="F44" s="2148">
        <v>0.17501294182497887</v>
      </c>
      <c r="G44" s="2146">
        <v>212.67</v>
      </c>
      <c r="H44" s="2149" t="s">
        <v>1649</v>
      </c>
      <c r="I44" s="2229">
        <v>2</v>
      </c>
      <c r="J44" s="2149">
        <v>0</v>
      </c>
      <c r="K44" s="2148"/>
      <c r="L44" s="2151"/>
      <c r="M44" s="2152">
        <f t="shared" si="107"/>
        <v>0</v>
      </c>
      <c r="N44" s="2149">
        <v>0</v>
      </c>
      <c r="O44" s="2109">
        <f t="shared" si="108"/>
        <v>0</v>
      </c>
      <c r="P44" s="2109">
        <v>9.1631718031875025</v>
      </c>
      <c r="Q44" s="2109">
        <v>5.0892667436517725</v>
      </c>
      <c r="R44" s="2109">
        <f t="shared" si="4"/>
        <v>0</v>
      </c>
      <c r="S44" s="2109"/>
      <c r="T44" s="2109"/>
      <c r="U44" s="2109"/>
      <c r="V44" s="2109">
        <f t="shared" si="109"/>
        <v>0</v>
      </c>
      <c r="W44" s="2109">
        <f t="shared" si="110"/>
        <v>9.1631718031875025</v>
      </c>
      <c r="X44" s="2149">
        <v>0</v>
      </c>
      <c r="Y44" s="2109">
        <f t="shared" si="111"/>
        <v>0</v>
      </c>
      <c r="Z44" s="2109">
        <v>9.1631718031875025</v>
      </c>
      <c r="AA44" s="2109">
        <v>5.0892667436517725</v>
      </c>
      <c r="AB44" s="2109">
        <f t="shared" si="5"/>
        <v>0</v>
      </c>
      <c r="AC44" s="2135"/>
      <c r="AD44" s="2135"/>
      <c r="AE44" s="2135"/>
      <c r="AF44" s="2135">
        <f t="shared" si="112"/>
        <v>0</v>
      </c>
      <c r="AG44" s="2135">
        <f t="shared" si="113"/>
        <v>9.1631718031875025</v>
      </c>
      <c r="AH44" s="2149">
        <v>0</v>
      </c>
      <c r="AI44" s="2109">
        <f>IFERROR(AJ44/AH44*10,0)</f>
        <v>0</v>
      </c>
      <c r="AJ44" s="2109">
        <v>9.1631718031875025</v>
      </c>
      <c r="AK44" s="2109">
        <v>5.0892667436517725</v>
      </c>
      <c r="AL44" s="2109">
        <f t="shared" si="6"/>
        <v>0</v>
      </c>
      <c r="AM44" s="2135"/>
      <c r="AN44" s="2135"/>
      <c r="AO44" s="2135"/>
      <c r="AP44" s="2135">
        <f t="shared" si="115"/>
        <v>0</v>
      </c>
      <c r="AQ44" s="2135">
        <f t="shared" si="116"/>
        <v>9.1631718031875025</v>
      </c>
      <c r="AR44" s="2149">
        <v>0</v>
      </c>
      <c r="AS44" s="2109">
        <f t="shared" si="117"/>
        <v>0</v>
      </c>
      <c r="AT44" s="2109">
        <v>9.1631718031875025</v>
      </c>
      <c r="AU44" s="2109">
        <v>5.0892667436517725</v>
      </c>
      <c r="AV44" s="2109">
        <f t="shared" si="7"/>
        <v>0</v>
      </c>
      <c r="AW44" s="2135"/>
      <c r="AX44" s="2135"/>
      <c r="AY44" s="2135"/>
      <c r="AZ44" s="2135">
        <f t="shared" si="118"/>
        <v>0</v>
      </c>
      <c r="BA44" s="2135">
        <f t="shared" si="119"/>
        <v>9.1631718031875025</v>
      </c>
      <c r="BB44" s="2149">
        <v>0</v>
      </c>
      <c r="BC44" s="2109">
        <f t="shared" si="120"/>
        <v>0</v>
      </c>
      <c r="BD44" s="2109">
        <v>9.1631718031875025</v>
      </c>
      <c r="BE44" s="2109">
        <v>5.0892667436517725</v>
      </c>
      <c r="BF44" s="2109">
        <f t="shared" si="8"/>
        <v>0</v>
      </c>
      <c r="BG44" s="2135"/>
      <c r="BH44" s="2135"/>
      <c r="BI44" s="2135"/>
      <c r="BJ44" s="2135">
        <f t="shared" si="121"/>
        <v>0</v>
      </c>
      <c r="BK44" s="2135">
        <f t="shared" si="122"/>
        <v>9.1631718031875025</v>
      </c>
      <c r="BL44" s="2149">
        <v>0</v>
      </c>
      <c r="BM44" s="2109">
        <f t="shared" si="123"/>
        <v>0</v>
      </c>
      <c r="BN44" s="2109">
        <v>9.1631718031875025</v>
      </c>
      <c r="BO44" s="2109">
        <v>5.0892667436517725</v>
      </c>
      <c r="BP44" s="2109">
        <f t="shared" si="9"/>
        <v>0</v>
      </c>
      <c r="BQ44" s="2135"/>
      <c r="BR44" s="2135"/>
      <c r="BS44" s="2135"/>
      <c r="BT44" s="2135">
        <f t="shared" si="124"/>
        <v>0</v>
      </c>
      <c r="BU44" s="2135">
        <f t="shared" si="125"/>
        <v>9.1631718031875025</v>
      </c>
      <c r="BV44" s="2149">
        <v>0</v>
      </c>
      <c r="BW44" s="2109">
        <f t="shared" si="126"/>
        <v>0</v>
      </c>
      <c r="BX44" s="2109">
        <v>9.1631718031875025</v>
      </c>
      <c r="BY44" s="2109">
        <v>5.0892667436517725</v>
      </c>
      <c r="BZ44" s="2109">
        <f t="shared" si="10"/>
        <v>0</v>
      </c>
      <c r="CA44" s="2135"/>
      <c r="CB44" s="2135"/>
      <c r="CC44" s="2135"/>
      <c r="CD44" s="2135">
        <f t="shared" si="127"/>
        <v>0</v>
      </c>
      <c r="CE44" s="2135">
        <f t="shared" si="128"/>
        <v>9.1631718031875025</v>
      </c>
      <c r="CF44" s="2149">
        <v>0</v>
      </c>
      <c r="CG44" s="2109">
        <f t="shared" si="129"/>
        <v>0</v>
      </c>
      <c r="CH44" s="2109">
        <v>9.1631718031875025</v>
      </c>
      <c r="CI44" s="2109">
        <v>5.0892667436517725</v>
      </c>
      <c r="CJ44" s="2109">
        <f t="shared" si="11"/>
        <v>0</v>
      </c>
      <c r="CK44" s="2135"/>
      <c r="CL44" s="2135"/>
      <c r="CM44" s="2135"/>
      <c r="CN44" s="2135">
        <f t="shared" si="130"/>
        <v>0</v>
      </c>
      <c r="CO44" s="2135">
        <f t="shared" si="131"/>
        <v>9.1631718031875025</v>
      </c>
      <c r="CP44" s="2149">
        <v>0</v>
      </c>
      <c r="CQ44" s="2109">
        <f t="shared" si="132"/>
        <v>0</v>
      </c>
      <c r="CR44" s="2109">
        <v>9.1631718031875025</v>
      </c>
      <c r="CS44" s="2109">
        <v>5.0892667436517725</v>
      </c>
      <c r="CT44" s="2109">
        <f t="shared" si="12"/>
        <v>0</v>
      </c>
      <c r="CU44" s="2135"/>
      <c r="CV44" s="2135"/>
      <c r="CW44" s="2135"/>
      <c r="CX44" s="2135">
        <f t="shared" si="133"/>
        <v>0</v>
      </c>
      <c r="CY44" s="2135">
        <f t="shared" si="134"/>
        <v>9.1631718031875025</v>
      </c>
      <c r="CZ44" s="2149">
        <v>0</v>
      </c>
      <c r="DA44" s="2109">
        <f t="shared" si="135"/>
        <v>0</v>
      </c>
      <c r="DB44" s="2109">
        <v>9.1631718031875025</v>
      </c>
      <c r="DC44" s="2109">
        <v>5.0892667436517725</v>
      </c>
      <c r="DD44" s="2109">
        <f t="shared" si="13"/>
        <v>0</v>
      </c>
      <c r="DE44" s="2135"/>
      <c r="DF44" s="2135"/>
      <c r="DG44" s="2135"/>
      <c r="DH44" s="2135">
        <f t="shared" si="136"/>
        <v>0</v>
      </c>
      <c r="DI44" s="2135">
        <f t="shared" si="137"/>
        <v>9.1631718031875025</v>
      </c>
      <c r="DJ44" s="2149">
        <v>0</v>
      </c>
      <c r="DK44" s="2109">
        <f t="shared" si="138"/>
        <v>0</v>
      </c>
      <c r="DL44" s="2109">
        <v>9.1631718031875025</v>
      </c>
      <c r="DM44" s="2109">
        <v>5.0892667436517725</v>
      </c>
      <c r="DN44" s="2109">
        <f t="shared" si="14"/>
        <v>0</v>
      </c>
      <c r="DO44" s="2135"/>
      <c r="DP44" s="2135"/>
      <c r="DQ44" s="2135"/>
      <c r="DR44" s="2135">
        <f t="shared" si="139"/>
        <v>0</v>
      </c>
      <c r="DS44" s="2135">
        <f t="shared" si="140"/>
        <v>9.1631718031875025</v>
      </c>
      <c r="DT44" s="2149">
        <v>0</v>
      </c>
      <c r="DU44" s="2109">
        <f t="shared" si="141"/>
        <v>0</v>
      </c>
      <c r="DV44" s="2109">
        <v>9.1631718031875025</v>
      </c>
      <c r="DW44" s="2109">
        <v>5.0892667436517725</v>
      </c>
      <c r="DX44" s="2109">
        <f t="shared" si="15"/>
        <v>0</v>
      </c>
      <c r="DY44" s="2135"/>
      <c r="DZ44" s="2135"/>
      <c r="EA44" s="2135"/>
      <c r="EB44" s="2135">
        <f t="shared" si="142"/>
        <v>0</v>
      </c>
      <c r="EC44" s="2135">
        <f t="shared" si="143"/>
        <v>9.1631718031875025</v>
      </c>
      <c r="ED44" s="2135"/>
      <c r="EE44" s="2106">
        <f t="shared" si="144"/>
        <v>0</v>
      </c>
      <c r="EF44" s="2106">
        <f t="shared" ref="EF44:EF77" si="151">IFERROR((EG44/EE44)*10,0)</f>
        <v>0</v>
      </c>
      <c r="EG44" s="2106">
        <f t="shared" si="145"/>
        <v>109.95806163825006</v>
      </c>
      <c r="EH44" s="2106">
        <f t="shared" si="146"/>
        <v>0</v>
      </c>
      <c r="EI44" s="2106">
        <f t="shared" si="147"/>
        <v>0</v>
      </c>
      <c r="EJ44" s="2106"/>
      <c r="EK44" s="2106"/>
      <c r="EL44" s="2106"/>
      <c r="EM44" s="2106">
        <f>IFERROR(EN44/EE44*10,0)</f>
        <v>0</v>
      </c>
      <c r="EN44" s="2106">
        <f t="shared" si="149"/>
        <v>109.95806163825006</v>
      </c>
      <c r="EO44" s="2106"/>
      <c r="EP44" s="2114"/>
      <c r="EQ44" s="2224"/>
      <c r="ER44" s="2210"/>
      <c r="ES44" s="2209" t="s">
        <v>1678</v>
      </c>
      <c r="ET44" s="2241"/>
      <c r="EU44" s="2230"/>
      <c r="EV44" s="2241"/>
      <c r="EW44" s="2241"/>
      <c r="EX44" s="2241"/>
      <c r="EY44" s="2244"/>
      <c r="EZ44" s="2244"/>
      <c r="FA44" s="2244"/>
      <c r="FB44" s="2242"/>
      <c r="FC44" s="2243"/>
      <c r="FD44" s="2243"/>
      <c r="FE44" s="2243"/>
      <c r="FF44" s="2243"/>
      <c r="FG44" s="2243"/>
      <c r="FH44" s="2243"/>
      <c r="FI44" s="2243"/>
    </row>
    <row r="45" spans="1:165">
      <c r="A45" s="2220">
        <v>3</v>
      </c>
      <c r="B45" s="2227" t="s">
        <v>1679</v>
      </c>
      <c r="C45" s="2146">
        <v>830</v>
      </c>
      <c r="D45" s="2147">
        <f t="shared" si="150"/>
        <v>0.29591566265060243</v>
      </c>
      <c r="E45" s="2146"/>
      <c r="F45" s="2148">
        <v>0.3412191187490532</v>
      </c>
      <c r="G45" s="2146">
        <v>245.61</v>
      </c>
      <c r="H45" s="2149" t="s">
        <v>1649</v>
      </c>
      <c r="I45" s="2229">
        <v>2</v>
      </c>
      <c r="J45" s="2149">
        <v>443.41176788999996</v>
      </c>
      <c r="K45" s="2148"/>
      <c r="L45" s="2151"/>
      <c r="M45" s="2152">
        <f t="shared" si="107"/>
        <v>443.41176788999996</v>
      </c>
      <c r="N45" s="2149">
        <v>0</v>
      </c>
      <c r="O45" s="2109">
        <f t="shared" si="108"/>
        <v>0</v>
      </c>
      <c r="P45" s="2109">
        <v>9.7365910753125018</v>
      </c>
      <c r="Q45" s="2109">
        <v>3.9525253536092193</v>
      </c>
      <c r="R45" s="2109">
        <f t="shared" si="4"/>
        <v>0</v>
      </c>
      <c r="S45" s="2109"/>
      <c r="T45" s="2109"/>
      <c r="U45" s="2109"/>
      <c r="V45" s="2109">
        <f t="shared" si="109"/>
        <v>0</v>
      </c>
      <c r="W45" s="2109">
        <f t="shared" si="110"/>
        <v>9.7365910753125018</v>
      </c>
      <c r="X45" s="2149">
        <v>0</v>
      </c>
      <c r="Y45" s="2109">
        <f t="shared" si="111"/>
        <v>0</v>
      </c>
      <c r="Z45" s="2109">
        <v>9.7365910753125018</v>
      </c>
      <c r="AA45" s="2109">
        <v>3.9525253536092193</v>
      </c>
      <c r="AB45" s="2109">
        <f t="shared" si="5"/>
        <v>0</v>
      </c>
      <c r="AC45" s="2135"/>
      <c r="AD45" s="2135"/>
      <c r="AE45" s="2135"/>
      <c r="AF45" s="2135">
        <f t="shared" si="112"/>
        <v>0</v>
      </c>
      <c r="AG45" s="2135">
        <f t="shared" si="113"/>
        <v>9.7365910753125018</v>
      </c>
      <c r="AH45" s="2149">
        <v>146.1797037</v>
      </c>
      <c r="AI45" s="2109">
        <f t="shared" si="114"/>
        <v>0.66606996928209683</v>
      </c>
      <c r="AJ45" s="2109">
        <v>9.7365910753125018</v>
      </c>
      <c r="AK45" s="2109">
        <v>3.9525253536092193</v>
      </c>
      <c r="AL45" s="2109">
        <f t="shared" si="6"/>
        <v>57.777898505733347</v>
      </c>
      <c r="AM45" s="2135"/>
      <c r="AN45" s="2135"/>
      <c r="AO45" s="2135"/>
      <c r="AP45" s="2135">
        <f t="shared" si="115"/>
        <v>4.6185953228913164</v>
      </c>
      <c r="AQ45" s="2135">
        <f t="shared" si="116"/>
        <v>67.514489581045851</v>
      </c>
      <c r="AR45" s="2149">
        <v>151.05236048999998</v>
      </c>
      <c r="AS45" s="2109">
        <f t="shared" si="117"/>
        <v>0.64458384124073898</v>
      </c>
      <c r="AT45" s="2109">
        <v>9.7365910753125018</v>
      </c>
      <c r="AU45" s="2109">
        <v>3.9525253536092193</v>
      </c>
      <c r="AV45" s="2109">
        <f t="shared" si="7"/>
        <v>59.703828455924437</v>
      </c>
      <c r="AW45" s="2135"/>
      <c r="AX45" s="2135"/>
      <c r="AY45" s="2135"/>
      <c r="AZ45" s="2135">
        <f t="shared" si="118"/>
        <v>4.5971091948499581</v>
      </c>
      <c r="BA45" s="2135">
        <f t="shared" si="119"/>
        <v>69.440419531236941</v>
      </c>
      <c r="BB45" s="2149">
        <v>0</v>
      </c>
      <c r="BC45" s="2109">
        <f t="shared" si="120"/>
        <v>0</v>
      </c>
      <c r="BD45" s="2109">
        <v>9.7365910753125018</v>
      </c>
      <c r="BE45" s="2109">
        <v>3.9525253536092193</v>
      </c>
      <c r="BF45" s="2109">
        <f t="shared" si="8"/>
        <v>0</v>
      </c>
      <c r="BG45" s="2135"/>
      <c r="BH45" s="2135"/>
      <c r="BI45" s="2135"/>
      <c r="BJ45" s="2135">
        <f t="shared" si="121"/>
        <v>0</v>
      </c>
      <c r="BK45" s="2135">
        <f t="shared" si="122"/>
        <v>9.7365910753125018</v>
      </c>
      <c r="BL45" s="2149">
        <v>146.1797037</v>
      </c>
      <c r="BM45" s="2109">
        <f t="shared" si="123"/>
        <v>0.66606996928209683</v>
      </c>
      <c r="BN45" s="2109">
        <v>9.7365910753125018</v>
      </c>
      <c r="BO45" s="2109">
        <v>3.9525253536092193</v>
      </c>
      <c r="BP45" s="2109">
        <f t="shared" si="9"/>
        <v>57.777898505733347</v>
      </c>
      <c r="BQ45" s="2135"/>
      <c r="BR45" s="2135"/>
      <c r="BS45" s="2135"/>
      <c r="BT45" s="2135">
        <f t="shared" si="124"/>
        <v>4.6185953228913164</v>
      </c>
      <c r="BU45" s="2135">
        <f t="shared" si="125"/>
        <v>67.514489581045851</v>
      </c>
      <c r="BV45" s="2149">
        <v>0</v>
      </c>
      <c r="BW45" s="2109">
        <f t="shared" si="126"/>
        <v>0</v>
      </c>
      <c r="BX45" s="2109">
        <v>9.7365910753125018</v>
      </c>
      <c r="BY45" s="2109">
        <v>3.9525253536092193</v>
      </c>
      <c r="BZ45" s="2109">
        <f t="shared" si="10"/>
        <v>0</v>
      </c>
      <c r="CA45" s="2135"/>
      <c r="CB45" s="2135"/>
      <c r="CC45" s="2135"/>
      <c r="CD45" s="2135">
        <f t="shared" si="127"/>
        <v>0</v>
      </c>
      <c r="CE45" s="2135">
        <f t="shared" si="128"/>
        <v>9.7365910753125018</v>
      </c>
      <c r="CF45" s="2149">
        <v>0</v>
      </c>
      <c r="CG45" s="2109">
        <f t="shared" si="129"/>
        <v>0</v>
      </c>
      <c r="CH45" s="2109">
        <v>9.7365910753125018</v>
      </c>
      <c r="CI45" s="2109">
        <v>3.9525253536092193</v>
      </c>
      <c r="CJ45" s="2109">
        <f t="shared" si="11"/>
        <v>0</v>
      </c>
      <c r="CK45" s="2135"/>
      <c r="CL45" s="2135"/>
      <c r="CM45" s="2135"/>
      <c r="CN45" s="2135">
        <f t="shared" si="130"/>
        <v>0</v>
      </c>
      <c r="CO45" s="2135">
        <f t="shared" si="131"/>
        <v>9.7365910753125018</v>
      </c>
      <c r="CP45" s="2149">
        <v>0</v>
      </c>
      <c r="CQ45" s="2109">
        <f t="shared" si="132"/>
        <v>0</v>
      </c>
      <c r="CR45" s="2109">
        <v>9.7365910753125018</v>
      </c>
      <c r="CS45" s="2109">
        <v>3.9525253536092193</v>
      </c>
      <c r="CT45" s="2109">
        <f t="shared" si="12"/>
        <v>0</v>
      </c>
      <c r="CU45" s="2135"/>
      <c r="CV45" s="2135"/>
      <c r="CW45" s="2135"/>
      <c r="CX45" s="2135">
        <f t="shared" si="133"/>
        <v>0</v>
      </c>
      <c r="CY45" s="2135">
        <f t="shared" si="134"/>
        <v>9.7365910753125018</v>
      </c>
      <c r="CZ45" s="2149">
        <v>0</v>
      </c>
      <c r="DA45" s="2109">
        <f t="shared" si="135"/>
        <v>0</v>
      </c>
      <c r="DB45" s="2109">
        <v>9.7365910753125018</v>
      </c>
      <c r="DC45" s="2109">
        <v>3.9525253536092193</v>
      </c>
      <c r="DD45" s="2109">
        <f t="shared" si="13"/>
        <v>0</v>
      </c>
      <c r="DE45" s="2135"/>
      <c r="DF45" s="2135"/>
      <c r="DG45" s="2135"/>
      <c r="DH45" s="2135">
        <f t="shared" si="136"/>
        <v>0</v>
      </c>
      <c r="DI45" s="2135">
        <f t="shared" si="137"/>
        <v>9.7365910753125018</v>
      </c>
      <c r="DJ45" s="2149">
        <v>0</v>
      </c>
      <c r="DK45" s="2109">
        <f t="shared" si="138"/>
        <v>0</v>
      </c>
      <c r="DL45" s="2109">
        <v>9.7365910753125018</v>
      </c>
      <c r="DM45" s="2109">
        <v>3.9525253536092193</v>
      </c>
      <c r="DN45" s="2109">
        <f t="shared" si="14"/>
        <v>0</v>
      </c>
      <c r="DO45" s="2135"/>
      <c r="DP45" s="2135"/>
      <c r="DQ45" s="2135"/>
      <c r="DR45" s="2135">
        <f t="shared" si="139"/>
        <v>0</v>
      </c>
      <c r="DS45" s="2135">
        <f t="shared" si="140"/>
        <v>9.7365910753125018</v>
      </c>
      <c r="DT45" s="2149">
        <v>0</v>
      </c>
      <c r="DU45" s="2109">
        <f t="shared" si="141"/>
        <v>0</v>
      </c>
      <c r="DV45" s="2109">
        <v>9.7365910753125018</v>
      </c>
      <c r="DW45" s="2109">
        <v>3.9525253536092193</v>
      </c>
      <c r="DX45" s="2109">
        <f t="shared" si="15"/>
        <v>0</v>
      </c>
      <c r="DY45" s="2135"/>
      <c r="DZ45" s="2135"/>
      <c r="EA45" s="2135"/>
      <c r="EB45" s="2135">
        <f t="shared" si="142"/>
        <v>0</v>
      </c>
      <c r="EC45" s="2135">
        <f t="shared" si="143"/>
        <v>9.7365910753125018</v>
      </c>
      <c r="ED45" s="2135"/>
      <c r="EE45" s="2106">
        <f t="shared" si="144"/>
        <v>443.41176788999996</v>
      </c>
      <c r="EF45" s="2106">
        <f t="shared" si="151"/>
        <v>2.6350020762808231</v>
      </c>
      <c r="EG45" s="2106">
        <f t="shared" si="145"/>
        <v>116.83909290375003</v>
      </c>
      <c r="EH45" s="2106">
        <f t="shared" si="146"/>
        <v>3.9525253536092193</v>
      </c>
      <c r="EI45" s="2106">
        <f t="shared" si="147"/>
        <v>175.25962546739112</v>
      </c>
      <c r="EJ45" s="2106"/>
      <c r="EK45" s="2106"/>
      <c r="EL45" s="2106"/>
      <c r="EM45" s="2106">
        <f t="shared" si="148"/>
        <v>6.5875274298900424</v>
      </c>
      <c r="EN45" s="2106">
        <f t="shared" si="149"/>
        <v>292.09871837114116</v>
      </c>
      <c r="EO45" s="2106"/>
      <c r="EP45" s="2114"/>
      <c r="EQ45" s="2224"/>
      <c r="ER45" s="2210"/>
      <c r="ES45" s="2209" t="s">
        <v>1679</v>
      </c>
      <c r="ET45" s="2241"/>
      <c r="EU45" s="2230"/>
      <c r="EV45" s="2241"/>
      <c r="EW45" s="2241"/>
      <c r="EX45" s="2241"/>
      <c r="EY45" s="2244"/>
      <c r="EZ45" s="2244"/>
      <c r="FA45" s="2244"/>
      <c r="FB45" s="2242"/>
      <c r="FC45" s="2243"/>
      <c r="FD45" s="2243"/>
      <c r="FE45" s="2243"/>
      <c r="FF45" s="2243"/>
      <c r="FG45" s="2243"/>
      <c r="FH45" s="2243"/>
      <c r="FI45" s="2243"/>
    </row>
    <row r="46" spans="1:165">
      <c r="A46" s="2220">
        <v>4</v>
      </c>
      <c r="B46" s="2227" t="s">
        <v>1680</v>
      </c>
      <c r="C46" s="2146">
        <v>657.39</v>
      </c>
      <c r="D46" s="2147">
        <f t="shared" si="150"/>
        <v>3.0423340787051827E-5</v>
      </c>
      <c r="E46" s="2146"/>
      <c r="F46" s="2148">
        <v>0.38038038275677782</v>
      </c>
      <c r="G46" s="2146">
        <v>0.02</v>
      </c>
      <c r="H46" s="2149" t="s">
        <v>1649</v>
      </c>
      <c r="I46" s="2229">
        <v>1</v>
      </c>
      <c r="J46" s="2149">
        <v>0.14074020000000001</v>
      </c>
      <c r="K46" s="2148">
        <v>3.4703846153846141E-2</v>
      </c>
      <c r="L46" s="2151"/>
      <c r="M46" s="2152">
        <f t="shared" si="107"/>
        <v>0.13585597375153846</v>
      </c>
      <c r="N46" s="2245">
        <v>1.2603600000000001E-2</v>
      </c>
      <c r="O46" s="2109">
        <f>IFERROR(P46/N46*10,0)</f>
        <v>12.488500606969437</v>
      </c>
      <c r="P46" s="2246">
        <v>1.5740006625000001E-2</v>
      </c>
      <c r="Q46" s="2109">
        <v>2.0974333877148386</v>
      </c>
      <c r="R46" s="2109">
        <f t="shared" si="4"/>
        <v>2.6435211445402741E-3</v>
      </c>
      <c r="S46" s="2109"/>
      <c r="T46" s="2109"/>
      <c r="U46" s="2109"/>
      <c r="V46" s="2109">
        <f t="shared" si="109"/>
        <v>14.585933994684275</v>
      </c>
      <c r="W46" s="2109">
        <f t="shared" si="110"/>
        <v>1.8383527769540275E-2</v>
      </c>
      <c r="X46" s="2149">
        <v>1.3023720000000001E-2</v>
      </c>
      <c r="Y46" s="2109">
        <f t="shared" si="111"/>
        <v>12.085645748680101</v>
      </c>
      <c r="Z46" s="2109">
        <v>1.5740006625000001E-2</v>
      </c>
      <c r="AA46" s="2109">
        <v>2.0974333877148386</v>
      </c>
      <c r="AB46" s="2109">
        <f>IFERROR(AA46*X46/10,0)</f>
        <v>2.73163851602495E-3</v>
      </c>
      <c r="AC46" s="2135"/>
      <c r="AD46" s="2135"/>
      <c r="AE46" s="2135"/>
      <c r="AF46" s="2135">
        <f t="shared" si="112"/>
        <v>14.183079136394937</v>
      </c>
      <c r="AG46" s="2135">
        <f>Z46+AB46</f>
        <v>1.847164514102495E-2</v>
      </c>
      <c r="AH46" s="2149">
        <v>1.2603600000000001E-2</v>
      </c>
      <c r="AI46" s="2109">
        <f>IFERROR(AJ46/AH46*10,0)</f>
        <v>12.488500606969437</v>
      </c>
      <c r="AJ46" s="2109">
        <v>1.5740006625000001E-2</v>
      </c>
      <c r="AK46" s="2109">
        <v>2.0974333877148386</v>
      </c>
      <c r="AL46" s="2109">
        <f t="shared" si="6"/>
        <v>2.6435211445402741E-3</v>
      </c>
      <c r="AM46" s="2135"/>
      <c r="AN46" s="2135"/>
      <c r="AO46" s="2135"/>
      <c r="AP46" s="2135">
        <f t="shared" si="115"/>
        <v>14.585933994684275</v>
      </c>
      <c r="AQ46" s="2135">
        <f t="shared" si="116"/>
        <v>1.8383527769540275E-2</v>
      </c>
      <c r="AR46" s="2149">
        <v>1.3023720000000001E-2</v>
      </c>
      <c r="AS46" s="2109">
        <f t="shared" si="117"/>
        <v>12.085645748680101</v>
      </c>
      <c r="AT46" s="2109">
        <v>1.5740006625000001E-2</v>
      </c>
      <c r="AU46" s="2109">
        <v>2.0974333877148386</v>
      </c>
      <c r="AV46" s="2109">
        <f t="shared" si="7"/>
        <v>2.73163851602495E-3</v>
      </c>
      <c r="AW46" s="2135"/>
      <c r="AX46" s="2135"/>
      <c r="AY46" s="2135"/>
      <c r="AZ46" s="2135">
        <f t="shared" si="118"/>
        <v>14.183079136394937</v>
      </c>
      <c r="BA46" s="2135">
        <f t="shared" si="119"/>
        <v>1.847164514102495E-2</v>
      </c>
      <c r="BB46" s="2149">
        <v>1.3023720000000001E-2</v>
      </c>
      <c r="BC46" s="2109">
        <f t="shared" si="120"/>
        <v>12.085645748680101</v>
      </c>
      <c r="BD46" s="2109">
        <v>1.5740006625000001E-2</v>
      </c>
      <c r="BE46" s="2109">
        <v>2.0974333877148386</v>
      </c>
      <c r="BF46" s="2109">
        <f t="shared" si="8"/>
        <v>2.73163851602495E-3</v>
      </c>
      <c r="BG46" s="2135"/>
      <c r="BH46" s="2135"/>
      <c r="BI46" s="2135"/>
      <c r="BJ46" s="2135">
        <f t="shared" si="121"/>
        <v>14.183079136394937</v>
      </c>
      <c r="BK46" s="2135">
        <f t="shared" si="122"/>
        <v>1.847164514102495E-2</v>
      </c>
      <c r="BL46" s="2149">
        <v>1.2603600000000001E-2</v>
      </c>
      <c r="BM46" s="2109">
        <f t="shared" si="123"/>
        <v>12.488500606969437</v>
      </c>
      <c r="BN46" s="2109">
        <v>1.5740006625000001E-2</v>
      </c>
      <c r="BO46" s="2109">
        <v>2.0974333877148386</v>
      </c>
      <c r="BP46" s="2109">
        <f t="shared" si="9"/>
        <v>2.6435211445402741E-3</v>
      </c>
      <c r="BQ46" s="2135"/>
      <c r="BR46" s="2135"/>
      <c r="BS46" s="2135"/>
      <c r="BT46" s="2135">
        <f t="shared" si="124"/>
        <v>14.585933994684275</v>
      </c>
      <c r="BU46" s="2135">
        <f t="shared" si="125"/>
        <v>1.8383527769540275E-2</v>
      </c>
      <c r="BV46" s="2149">
        <v>1.3023720000000001E-2</v>
      </c>
      <c r="BW46" s="2109">
        <f t="shared" si="126"/>
        <v>12.085645748680101</v>
      </c>
      <c r="BX46" s="2109">
        <v>1.5740006625000001E-2</v>
      </c>
      <c r="BY46" s="2109">
        <v>2.0974333877148386</v>
      </c>
      <c r="BZ46" s="2109">
        <f t="shared" si="10"/>
        <v>2.73163851602495E-3</v>
      </c>
      <c r="CA46" s="2135"/>
      <c r="CB46" s="2135"/>
      <c r="CC46" s="2135"/>
      <c r="CD46" s="2135">
        <f t="shared" si="127"/>
        <v>14.183079136394937</v>
      </c>
      <c r="CE46" s="2135">
        <f t="shared" si="128"/>
        <v>1.847164514102495E-2</v>
      </c>
      <c r="CF46" s="2149">
        <v>0</v>
      </c>
      <c r="CG46" s="2109">
        <f t="shared" si="129"/>
        <v>0</v>
      </c>
      <c r="CH46" s="2109">
        <v>1.5740006625000001E-2</v>
      </c>
      <c r="CI46" s="2109">
        <v>2.0974333877148386</v>
      </c>
      <c r="CJ46" s="2109">
        <f t="shared" si="11"/>
        <v>0</v>
      </c>
      <c r="CK46" s="2135"/>
      <c r="CL46" s="2135"/>
      <c r="CM46" s="2135"/>
      <c r="CN46" s="2135">
        <f t="shared" si="130"/>
        <v>0</v>
      </c>
      <c r="CO46" s="2135">
        <f t="shared" si="131"/>
        <v>1.5740006625000001E-2</v>
      </c>
      <c r="CP46" s="2149">
        <v>1.3023720000000001E-2</v>
      </c>
      <c r="CQ46" s="2109">
        <f t="shared" si="132"/>
        <v>12.085645748680101</v>
      </c>
      <c r="CR46" s="2109">
        <v>1.5740006625000001E-2</v>
      </c>
      <c r="CS46" s="2109">
        <v>2.0974333877148386</v>
      </c>
      <c r="CT46" s="2109">
        <f t="shared" si="12"/>
        <v>2.73163851602495E-3</v>
      </c>
      <c r="CU46" s="2135"/>
      <c r="CV46" s="2135"/>
      <c r="CW46" s="2135"/>
      <c r="CX46" s="2135">
        <f t="shared" si="133"/>
        <v>14.183079136394937</v>
      </c>
      <c r="CY46" s="2135">
        <f t="shared" si="134"/>
        <v>1.847164514102495E-2</v>
      </c>
      <c r="CZ46" s="2149">
        <v>1.3023720000000001E-2</v>
      </c>
      <c r="DA46" s="2109">
        <f t="shared" si="135"/>
        <v>12.085645748680101</v>
      </c>
      <c r="DB46" s="2109">
        <v>1.5740006625000001E-2</v>
      </c>
      <c r="DC46" s="2109">
        <v>2.0974333877148386</v>
      </c>
      <c r="DD46" s="2109">
        <f t="shared" si="13"/>
        <v>2.73163851602495E-3</v>
      </c>
      <c r="DE46" s="2135"/>
      <c r="DF46" s="2135"/>
      <c r="DG46" s="2135"/>
      <c r="DH46" s="2135">
        <f t="shared" si="136"/>
        <v>14.183079136394937</v>
      </c>
      <c r="DI46" s="2135">
        <f t="shared" si="137"/>
        <v>1.847164514102495E-2</v>
      </c>
      <c r="DJ46" s="2149">
        <v>1.1763360000000002E-2</v>
      </c>
      <c r="DK46" s="2109">
        <f t="shared" si="138"/>
        <v>13.380536364610109</v>
      </c>
      <c r="DL46" s="2109">
        <v>1.5740006625000001E-2</v>
      </c>
      <c r="DM46" s="2109">
        <v>2.0974333877148386</v>
      </c>
      <c r="DN46" s="2109">
        <f t="shared" si="14"/>
        <v>2.4672864015709227E-3</v>
      </c>
      <c r="DO46" s="2135"/>
      <c r="DP46" s="2135"/>
      <c r="DQ46" s="2135"/>
      <c r="DR46" s="2135">
        <f t="shared" si="139"/>
        <v>15.477969752324947</v>
      </c>
      <c r="DS46" s="2135">
        <f t="shared" si="140"/>
        <v>1.8207293026570922E-2</v>
      </c>
      <c r="DT46" s="2149">
        <v>1.3023720000000001E-2</v>
      </c>
      <c r="DU46" s="2109">
        <f t="shared" si="141"/>
        <v>12.085645748680101</v>
      </c>
      <c r="DV46" s="2109">
        <v>1.5740006625000001E-2</v>
      </c>
      <c r="DW46" s="2109">
        <v>2.0974333877148386</v>
      </c>
      <c r="DX46" s="2109">
        <f t="shared" si="15"/>
        <v>2.73163851602495E-3</v>
      </c>
      <c r="DY46" s="2135"/>
      <c r="DZ46" s="2135"/>
      <c r="EA46" s="2135"/>
      <c r="EB46" s="2135">
        <f t="shared" si="142"/>
        <v>14.183079136394937</v>
      </c>
      <c r="EC46" s="2135">
        <f t="shared" si="143"/>
        <v>1.847164514102495E-2</v>
      </c>
      <c r="ED46" s="2135"/>
      <c r="EE46" s="2106">
        <f t="shared" si="144"/>
        <v>0.14074020000000001</v>
      </c>
      <c r="EF46" s="2106">
        <f t="shared" si="151"/>
        <v>13.420478264205961</v>
      </c>
      <c r="EG46" s="2106">
        <f t="shared" si="145"/>
        <v>0.18888007949999999</v>
      </c>
      <c r="EH46" s="2106">
        <f t="shared" si="146"/>
        <v>2.0974333877148386</v>
      </c>
      <c r="EI46" s="2106">
        <f t="shared" si="147"/>
        <v>2.9519319447366393E-2</v>
      </c>
      <c r="EJ46" s="2106"/>
      <c r="EK46" s="2106"/>
      <c r="EL46" s="2106"/>
      <c r="EM46" s="2106">
        <f t="shared" si="148"/>
        <v>15.5179116519208</v>
      </c>
      <c r="EN46" s="2106">
        <f t="shared" si="149"/>
        <v>0.21839939894736637</v>
      </c>
      <c r="EO46" s="2106">
        <f>IFERROR(EN46/J46*10,0)</f>
        <v>15.5179116519208</v>
      </c>
      <c r="EP46" s="2114">
        <f>IFERROR(EN46/M46*10,0)</f>
        <v>16.075803876448472</v>
      </c>
      <c r="EQ46" s="2224"/>
      <c r="ER46" s="2210"/>
      <c r="ES46" s="2209" t="s">
        <v>1680</v>
      </c>
      <c r="ET46" s="2241"/>
      <c r="EU46" s="2230"/>
      <c r="EV46" s="2241"/>
      <c r="EW46" s="2241"/>
      <c r="EX46" s="2241"/>
      <c r="EY46" s="2244"/>
      <c r="EZ46" s="2244"/>
      <c r="FA46" s="2244"/>
      <c r="FB46" s="2242"/>
      <c r="FC46" s="2243"/>
      <c r="FD46" s="2243"/>
      <c r="FE46" s="2243"/>
      <c r="FF46" s="2243"/>
      <c r="FG46" s="2243"/>
      <c r="FH46" s="2243"/>
      <c r="FI46" s="2243"/>
    </row>
    <row r="47" spans="1:165">
      <c r="A47" s="2220">
        <v>5</v>
      </c>
      <c r="B47" s="2227" t="s">
        <v>1681</v>
      </c>
      <c r="C47" s="2146">
        <v>656.2</v>
      </c>
      <c r="D47" s="2147">
        <f t="shared" si="150"/>
        <v>3.0478512648582749E-5</v>
      </c>
      <c r="E47" s="2146"/>
      <c r="F47" s="2148">
        <v>0.77297353086010234</v>
      </c>
      <c r="G47" s="2146">
        <v>0.02</v>
      </c>
      <c r="H47" s="2149" t="s">
        <v>1649</v>
      </c>
      <c r="I47" s="2229">
        <v>1</v>
      </c>
      <c r="J47" s="2149">
        <v>0.14285270000000003</v>
      </c>
      <c r="K47" s="2148">
        <v>3.4703846153846141E-2</v>
      </c>
      <c r="L47" s="2151"/>
      <c r="M47" s="2152">
        <f t="shared" si="107"/>
        <v>0.1378951618765385</v>
      </c>
      <c r="N47" s="2149">
        <v>1.2603600000000001E-2</v>
      </c>
      <c r="O47" s="2109">
        <f>IFERROR(P47/N47*10,0)</f>
        <v>10.948269839569644</v>
      </c>
      <c r="P47" s="2109">
        <v>1.3798761374999998E-2</v>
      </c>
      <c r="Q47" s="2109">
        <v>2.1087455284992784</v>
      </c>
      <c r="R47" s="2109">
        <f t="shared" si="4"/>
        <v>2.6577785142993509E-3</v>
      </c>
      <c r="S47" s="2109"/>
      <c r="T47" s="2109"/>
      <c r="U47" s="2109"/>
      <c r="V47" s="2109">
        <f t="shared" si="109"/>
        <v>13.057015368068923</v>
      </c>
      <c r="W47" s="2109">
        <f t="shared" si="110"/>
        <v>1.6456539889299349E-2</v>
      </c>
      <c r="X47" s="2149">
        <v>1.3023720000000001E-2</v>
      </c>
      <c r="Y47" s="2109">
        <f t="shared" si="111"/>
        <v>10.595099844744817</v>
      </c>
      <c r="Z47" s="2109">
        <v>1.3798761374999998E-2</v>
      </c>
      <c r="AA47" s="2109">
        <v>2.1087455284992784</v>
      </c>
      <c r="AB47" s="2109">
        <f t="shared" si="5"/>
        <v>2.7463711314426624E-3</v>
      </c>
      <c r="AC47" s="2135"/>
      <c r="AD47" s="2135"/>
      <c r="AE47" s="2135"/>
      <c r="AF47" s="2135">
        <f t="shared" si="112"/>
        <v>12.703845373244096</v>
      </c>
      <c r="AG47" s="2135">
        <f t="shared" si="113"/>
        <v>1.6545132506442659E-2</v>
      </c>
      <c r="AH47" s="2149">
        <v>1.2603600000000001E-2</v>
      </c>
      <c r="AI47" s="2109">
        <f t="shared" si="114"/>
        <v>10.948269839569644</v>
      </c>
      <c r="AJ47" s="2109">
        <v>1.3798761374999998E-2</v>
      </c>
      <c r="AK47" s="2109">
        <v>2.1087455284992784</v>
      </c>
      <c r="AL47" s="2109">
        <f t="shared" si="6"/>
        <v>2.6577785142993509E-3</v>
      </c>
      <c r="AM47" s="2135"/>
      <c r="AN47" s="2135"/>
      <c r="AO47" s="2135"/>
      <c r="AP47" s="2135">
        <f t="shared" si="115"/>
        <v>13.057015368068923</v>
      </c>
      <c r="AQ47" s="2135">
        <f t="shared" si="116"/>
        <v>1.6456539889299349E-2</v>
      </c>
      <c r="AR47" s="2149">
        <v>1.3023720000000001E-2</v>
      </c>
      <c r="AS47" s="2109">
        <f t="shared" si="117"/>
        <v>10.595099844744817</v>
      </c>
      <c r="AT47" s="2109">
        <v>1.3798761374999998E-2</v>
      </c>
      <c r="AU47" s="2109">
        <v>2.1087455284992784</v>
      </c>
      <c r="AV47" s="2109">
        <f t="shared" si="7"/>
        <v>2.7463711314426624E-3</v>
      </c>
      <c r="AW47" s="2135"/>
      <c r="AX47" s="2135"/>
      <c r="AY47" s="2135"/>
      <c r="AZ47" s="2135">
        <f t="shared" si="118"/>
        <v>12.703845373244096</v>
      </c>
      <c r="BA47" s="2135">
        <f t="shared" si="119"/>
        <v>1.6545132506442659E-2</v>
      </c>
      <c r="BB47" s="2149">
        <v>1.3023720000000001E-2</v>
      </c>
      <c r="BC47" s="2109">
        <f t="shared" si="120"/>
        <v>10.595099844744817</v>
      </c>
      <c r="BD47" s="2109">
        <v>1.3798761374999998E-2</v>
      </c>
      <c r="BE47" s="2109">
        <v>2.1087455284992784</v>
      </c>
      <c r="BF47" s="2109">
        <f t="shared" si="8"/>
        <v>2.7463711314426624E-3</v>
      </c>
      <c r="BG47" s="2135"/>
      <c r="BH47" s="2135"/>
      <c r="BI47" s="2135"/>
      <c r="BJ47" s="2135">
        <f t="shared" si="121"/>
        <v>12.703845373244096</v>
      </c>
      <c r="BK47" s="2135">
        <f t="shared" si="122"/>
        <v>1.6545132506442659E-2</v>
      </c>
      <c r="BL47" s="2149">
        <v>1.2603600000000001E-2</v>
      </c>
      <c r="BM47" s="2109">
        <f t="shared" si="123"/>
        <v>10.948269839569644</v>
      </c>
      <c r="BN47" s="2109">
        <v>1.3798761374999998E-2</v>
      </c>
      <c r="BO47" s="2109">
        <v>2.1087455284992784</v>
      </c>
      <c r="BP47" s="2109">
        <f t="shared" si="9"/>
        <v>2.6577785142993509E-3</v>
      </c>
      <c r="BQ47" s="2135"/>
      <c r="BR47" s="2135"/>
      <c r="BS47" s="2135"/>
      <c r="BT47" s="2135">
        <f t="shared" si="124"/>
        <v>13.057015368068923</v>
      </c>
      <c r="BU47" s="2135">
        <f t="shared" si="125"/>
        <v>1.6456539889299349E-2</v>
      </c>
      <c r="BV47" s="2149">
        <v>1.3023720000000001E-2</v>
      </c>
      <c r="BW47" s="2109">
        <f t="shared" si="126"/>
        <v>10.595099844744817</v>
      </c>
      <c r="BX47" s="2109">
        <v>1.3798761374999998E-2</v>
      </c>
      <c r="BY47" s="2109">
        <v>2.1087455284992784</v>
      </c>
      <c r="BZ47" s="2109">
        <f t="shared" si="10"/>
        <v>2.7463711314426624E-3</v>
      </c>
      <c r="CA47" s="2135"/>
      <c r="CB47" s="2135"/>
      <c r="CC47" s="2135"/>
      <c r="CD47" s="2135">
        <f t="shared" si="127"/>
        <v>12.703845373244096</v>
      </c>
      <c r="CE47" s="2135">
        <f t="shared" si="128"/>
        <v>1.6545132506442659E-2</v>
      </c>
      <c r="CF47" s="2149">
        <v>2.1124999999999998E-3</v>
      </c>
      <c r="CG47" s="2109">
        <f>IFERROR(CH47/CF47*10,0)</f>
        <v>65.319580473372781</v>
      </c>
      <c r="CH47" s="2109">
        <v>1.3798761374999998E-2</v>
      </c>
      <c r="CI47" s="2109">
        <v>2.1087455284992784</v>
      </c>
      <c r="CJ47" s="2109">
        <f t="shared" si="11"/>
        <v>4.4547249289547252E-4</v>
      </c>
      <c r="CK47" s="2135"/>
      <c r="CL47" s="2135"/>
      <c r="CM47" s="2135"/>
      <c r="CN47" s="2135">
        <f t="shared" si="130"/>
        <v>67.428326001872051</v>
      </c>
      <c r="CO47" s="2135">
        <f t="shared" si="131"/>
        <v>1.4244233867895471E-2</v>
      </c>
      <c r="CP47" s="2149">
        <v>1.3023720000000001E-2</v>
      </c>
      <c r="CQ47" s="2109">
        <f t="shared" si="132"/>
        <v>10.595099844744817</v>
      </c>
      <c r="CR47" s="2109">
        <v>1.3798761374999998E-2</v>
      </c>
      <c r="CS47" s="2109">
        <v>2.1087455284992784</v>
      </c>
      <c r="CT47" s="2109">
        <f t="shared" si="12"/>
        <v>2.7463711314426624E-3</v>
      </c>
      <c r="CU47" s="2135"/>
      <c r="CV47" s="2135"/>
      <c r="CW47" s="2135"/>
      <c r="CX47" s="2135">
        <f t="shared" si="133"/>
        <v>12.703845373244096</v>
      </c>
      <c r="CY47" s="2135">
        <f t="shared" si="134"/>
        <v>1.6545132506442659E-2</v>
      </c>
      <c r="CZ47" s="2149">
        <v>1.3023720000000001E-2</v>
      </c>
      <c r="DA47" s="2109">
        <f t="shared" si="135"/>
        <v>10.595099844744817</v>
      </c>
      <c r="DB47" s="2109">
        <v>1.3798761374999998E-2</v>
      </c>
      <c r="DC47" s="2109">
        <v>2.1087455284992784</v>
      </c>
      <c r="DD47" s="2109">
        <f t="shared" si="13"/>
        <v>2.7463711314426624E-3</v>
      </c>
      <c r="DE47" s="2135"/>
      <c r="DF47" s="2135"/>
      <c r="DG47" s="2135"/>
      <c r="DH47" s="2135">
        <f t="shared" si="136"/>
        <v>12.703845373244096</v>
      </c>
      <c r="DI47" s="2135">
        <f t="shared" si="137"/>
        <v>1.6545132506442659E-2</v>
      </c>
      <c r="DJ47" s="2149">
        <v>1.1763360000000002E-2</v>
      </c>
      <c r="DK47" s="2109">
        <f t="shared" si="138"/>
        <v>11.730289113824616</v>
      </c>
      <c r="DL47" s="2109">
        <v>1.3798761374999998E-2</v>
      </c>
      <c r="DM47" s="2109">
        <v>2.1087455284992784</v>
      </c>
      <c r="DN47" s="2109">
        <f t="shared" si="14"/>
        <v>2.4805932800127275E-3</v>
      </c>
      <c r="DO47" s="2135"/>
      <c r="DP47" s="2135"/>
      <c r="DQ47" s="2135"/>
      <c r="DR47" s="2135">
        <f t="shared" si="139"/>
        <v>13.839034642323895</v>
      </c>
      <c r="DS47" s="2135">
        <f t="shared" si="140"/>
        <v>1.6279354655012724E-2</v>
      </c>
      <c r="DT47" s="2149">
        <v>1.3023720000000001E-2</v>
      </c>
      <c r="DU47" s="2109">
        <f t="shared" si="141"/>
        <v>10.595099844744817</v>
      </c>
      <c r="DV47" s="2109">
        <v>1.3798761374999998E-2</v>
      </c>
      <c r="DW47" s="2109">
        <v>2.1087455284992784</v>
      </c>
      <c r="DX47" s="2109">
        <f t="shared" si="15"/>
        <v>2.7463711314426624E-3</v>
      </c>
      <c r="DY47" s="2135"/>
      <c r="DZ47" s="2135"/>
      <c r="EA47" s="2135"/>
      <c r="EB47" s="2135">
        <f t="shared" si="142"/>
        <v>12.703845373244096</v>
      </c>
      <c r="EC47" s="2135">
        <f t="shared" si="143"/>
        <v>1.6545132506442659E-2</v>
      </c>
      <c r="ED47" s="2135"/>
      <c r="EE47" s="2106">
        <f t="shared" si="144"/>
        <v>0.14285270000000003</v>
      </c>
      <c r="EF47" s="2106">
        <f t="shared" si="151"/>
        <v>11.591320045053397</v>
      </c>
      <c r="EG47" s="2106">
        <f t="shared" si="145"/>
        <v>0.16558513649999998</v>
      </c>
      <c r="EH47" s="2106">
        <f t="shared" si="146"/>
        <v>2.1087455284992789</v>
      </c>
      <c r="EI47" s="2106">
        <f t="shared" si="147"/>
        <v>3.0123999235904898E-2</v>
      </c>
      <c r="EJ47" s="2106"/>
      <c r="EK47" s="2106"/>
      <c r="EL47" s="2106"/>
      <c r="EM47" s="2106">
        <f t="shared" si="148"/>
        <v>13.700065573552676</v>
      </c>
      <c r="EN47" s="2106">
        <f t="shared" si="149"/>
        <v>0.19570913573590487</v>
      </c>
      <c r="EO47" s="2106">
        <f>IFERROR(EN47/J47*10,0)</f>
        <v>13.700065573552676</v>
      </c>
      <c r="EP47" s="2114">
        <f>IFERROR(EN47/M47*10,0)</f>
        <v>14.192603502008932</v>
      </c>
      <c r="EQ47" s="2224"/>
      <c r="ER47" s="2210"/>
      <c r="ES47" s="2209" t="s">
        <v>1681</v>
      </c>
      <c r="ET47" s="2241"/>
      <c r="EU47" s="2230"/>
      <c r="EV47" s="2241"/>
      <c r="EW47" s="2241"/>
      <c r="EX47" s="2241"/>
      <c r="EY47" s="2244"/>
      <c r="EZ47" s="2244"/>
      <c r="FA47" s="2244"/>
      <c r="FB47" s="2242"/>
      <c r="FC47" s="2243"/>
      <c r="FD47" s="2243"/>
      <c r="FE47" s="2243"/>
      <c r="FF47" s="2243"/>
      <c r="FG47" s="2243"/>
      <c r="FH47" s="2243"/>
      <c r="FI47" s="2243"/>
    </row>
    <row r="48" spans="1:165">
      <c r="A48" s="2220">
        <v>6</v>
      </c>
      <c r="B48" s="2227" t="s">
        <v>1682</v>
      </c>
      <c r="C48" s="2146">
        <v>440</v>
      </c>
      <c r="D48" s="2147">
        <f t="shared" si="150"/>
        <v>1</v>
      </c>
      <c r="E48" s="2146"/>
      <c r="F48" s="2148">
        <v>0.74576985486427416</v>
      </c>
      <c r="G48" s="2146">
        <v>440</v>
      </c>
      <c r="H48" s="2149" t="s">
        <v>1649</v>
      </c>
      <c r="I48" s="2229">
        <v>2</v>
      </c>
      <c r="J48" s="2149">
        <v>921.97859845161292</v>
      </c>
      <c r="K48" s="2148"/>
      <c r="L48" s="2151"/>
      <c r="M48" s="2152">
        <f t="shared" si="107"/>
        <v>921.97859845161292</v>
      </c>
      <c r="N48" s="2149">
        <v>0</v>
      </c>
      <c r="O48" s="2109">
        <f t="shared" si="108"/>
        <v>0</v>
      </c>
      <c r="P48" s="2109">
        <v>30.866651854500006</v>
      </c>
      <c r="Q48" s="2109">
        <v>3.6122797016742663</v>
      </c>
      <c r="R48" s="2109">
        <f t="shared" si="4"/>
        <v>0</v>
      </c>
      <c r="S48" s="2109"/>
      <c r="T48" s="2109"/>
      <c r="U48" s="2109"/>
      <c r="V48" s="2109">
        <f t="shared" si="109"/>
        <v>0</v>
      </c>
      <c r="W48" s="2109">
        <f t="shared" si="110"/>
        <v>30.866651854500006</v>
      </c>
      <c r="X48" s="2149">
        <v>146.55395480000001</v>
      </c>
      <c r="Y48" s="2109">
        <f t="shared" si="111"/>
        <v>2.1061630098364295</v>
      </c>
      <c r="Z48" s="2109">
        <v>30.866651854500006</v>
      </c>
      <c r="AA48" s="2109">
        <v>3.6122797016742663</v>
      </c>
      <c r="AB48" s="2109">
        <f t="shared" si="5"/>
        <v>52.939387612412794</v>
      </c>
      <c r="AC48" s="2135"/>
      <c r="AD48" s="2135"/>
      <c r="AE48" s="2135"/>
      <c r="AF48" s="2135">
        <f t="shared" si="112"/>
        <v>5.7184427115106962</v>
      </c>
      <c r="AG48" s="2135">
        <f t="shared" si="113"/>
        <v>83.806039466912807</v>
      </c>
      <c r="AH48" s="2149">
        <v>177.70712260000002</v>
      </c>
      <c r="AI48" s="2109">
        <f t="shared" si="114"/>
        <v>1.7369394880123956</v>
      </c>
      <c r="AJ48" s="2109">
        <v>30.866651854500006</v>
      </c>
      <c r="AK48" s="2109">
        <v>3.6122797016742663</v>
      </c>
      <c r="AL48" s="2109">
        <f t="shared" si="6"/>
        <v>64.19278318109204</v>
      </c>
      <c r="AM48" s="2135"/>
      <c r="AN48" s="2135"/>
      <c r="AO48" s="2135"/>
      <c r="AP48" s="2135">
        <f t="shared" si="115"/>
        <v>5.3492191896866625</v>
      </c>
      <c r="AQ48" s="2135">
        <f t="shared" si="116"/>
        <v>95.059435035592045</v>
      </c>
      <c r="AR48" s="2149">
        <v>199.07184959999998</v>
      </c>
      <c r="AS48" s="2109">
        <f t="shared" si="117"/>
        <v>1.5505282096148267</v>
      </c>
      <c r="AT48" s="2109">
        <v>30.866651854500006</v>
      </c>
      <c r="AU48" s="2109">
        <v>3.6122797016742663</v>
      </c>
      <c r="AV48" s="2109">
        <f t="shared" si="7"/>
        <v>71.910320148483237</v>
      </c>
      <c r="AW48" s="2135"/>
      <c r="AX48" s="2135"/>
      <c r="AY48" s="2135"/>
      <c r="AZ48" s="2135">
        <f t="shared" si="118"/>
        <v>5.162807911289093</v>
      </c>
      <c r="BA48" s="2135">
        <f t="shared" si="119"/>
        <v>102.77697200298324</v>
      </c>
      <c r="BB48" s="2149">
        <v>220.08133500000002</v>
      </c>
      <c r="BC48" s="2109">
        <f t="shared" si="120"/>
        <v>1.4025111150157281</v>
      </c>
      <c r="BD48" s="2109">
        <v>30.866651854500006</v>
      </c>
      <c r="BE48" s="2109">
        <v>3.6122797016742663</v>
      </c>
      <c r="BF48" s="2109">
        <f t="shared" si="8"/>
        <v>79.499533913787431</v>
      </c>
      <c r="BG48" s="2135"/>
      <c r="BH48" s="2135"/>
      <c r="BI48" s="2135"/>
      <c r="BJ48" s="2135">
        <f t="shared" si="121"/>
        <v>5.0147908166899944</v>
      </c>
      <c r="BK48" s="2135">
        <f t="shared" si="122"/>
        <v>110.36618576828744</v>
      </c>
      <c r="BL48" s="2149">
        <v>178.56433645161297</v>
      </c>
      <c r="BM48" s="2109">
        <f t="shared" si="123"/>
        <v>1.7286011567524959</v>
      </c>
      <c r="BN48" s="2109">
        <v>30.866651854500006</v>
      </c>
      <c r="BO48" s="2109">
        <v>3.6122797016742663</v>
      </c>
      <c r="BP48" s="2109">
        <f t="shared" si="9"/>
        <v>64.502432800709585</v>
      </c>
      <c r="BQ48" s="2135"/>
      <c r="BR48" s="2135"/>
      <c r="BS48" s="2135"/>
      <c r="BT48" s="2135">
        <f t="shared" si="124"/>
        <v>5.340880858426762</v>
      </c>
      <c r="BU48" s="2135">
        <f t="shared" si="125"/>
        <v>95.369084655209591</v>
      </c>
      <c r="BV48" s="2149">
        <v>0</v>
      </c>
      <c r="BW48" s="2109">
        <f t="shared" si="126"/>
        <v>0</v>
      </c>
      <c r="BX48" s="2109">
        <v>30.866651854500006</v>
      </c>
      <c r="BY48" s="2109">
        <v>3.6122797016742663</v>
      </c>
      <c r="BZ48" s="2109">
        <f t="shared" si="10"/>
        <v>0</v>
      </c>
      <c r="CA48" s="2135"/>
      <c r="CB48" s="2135"/>
      <c r="CC48" s="2135"/>
      <c r="CD48" s="2135">
        <f t="shared" si="127"/>
        <v>0</v>
      </c>
      <c r="CE48" s="2135">
        <f t="shared" si="128"/>
        <v>30.866651854500006</v>
      </c>
      <c r="CF48" s="2149">
        <v>0</v>
      </c>
      <c r="CG48" s="2109">
        <f t="shared" si="129"/>
        <v>0</v>
      </c>
      <c r="CH48" s="2109">
        <v>30.866651854500006</v>
      </c>
      <c r="CI48" s="2109">
        <v>3.6122797016742663</v>
      </c>
      <c r="CJ48" s="2109">
        <f t="shared" si="11"/>
        <v>0</v>
      </c>
      <c r="CK48" s="2135"/>
      <c r="CL48" s="2135"/>
      <c r="CM48" s="2135"/>
      <c r="CN48" s="2135">
        <f t="shared" si="130"/>
        <v>0</v>
      </c>
      <c r="CO48" s="2135">
        <f t="shared" si="131"/>
        <v>30.866651854500006</v>
      </c>
      <c r="CP48" s="2149">
        <v>0</v>
      </c>
      <c r="CQ48" s="2109">
        <f t="shared" si="132"/>
        <v>0</v>
      </c>
      <c r="CR48" s="2109">
        <v>30.866651854500006</v>
      </c>
      <c r="CS48" s="2109">
        <v>3.6122797016742663</v>
      </c>
      <c r="CT48" s="2109">
        <f t="shared" si="12"/>
        <v>0</v>
      </c>
      <c r="CU48" s="2135"/>
      <c r="CV48" s="2135"/>
      <c r="CW48" s="2135"/>
      <c r="CX48" s="2135">
        <f t="shared" si="133"/>
        <v>0</v>
      </c>
      <c r="CY48" s="2135">
        <f t="shared" si="134"/>
        <v>30.866651854500006</v>
      </c>
      <c r="CZ48" s="2149">
        <v>0</v>
      </c>
      <c r="DA48" s="2109">
        <f t="shared" si="135"/>
        <v>0</v>
      </c>
      <c r="DB48" s="2109">
        <v>30.866651854500006</v>
      </c>
      <c r="DC48" s="2109">
        <v>3.6122797016742663</v>
      </c>
      <c r="DD48" s="2109">
        <f t="shared" si="13"/>
        <v>0</v>
      </c>
      <c r="DE48" s="2135"/>
      <c r="DF48" s="2135"/>
      <c r="DG48" s="2135"/>
      <c r="DH48" s="2135">
        <f t="shared" si="136"/>
        <v>0</v>
      </c>
      <c r="DI48" s="2135">
        <f t="shared" si="137"/>
        <v>30.866651854500006</v>
      </c>
      <c r="DJ48" s="2149">
        <v>0</v>
      </c>
      <c r="DK48" s="2109">
        <f t="shared" si="138"/>
        <v>0</v>
      </c>
      <c r="DL48" s="2109">
        <v>30.866651854500006</v>
      </c>
      <c r="DM48" s="2109">
        <v>3.6122797016742663</v>
      </c>
      <c r="DN48" s="2109">
        <f t="shared" si="14"/>
        <v>0</v>
      </c>
      <c r="DO48" s="2135"/>
      <c r="DP48" s="2135"/>
      <c r="DQ48" s="2135"/>
      <c r="DR48" s="2135">
        <f t="shared" si="139"/>
        <v>0</v>
      </c>
      <c r="DS48" s="2135">
        <f t="shared" si="140"/>
        <v>30.866651854500006</v>
      </c>
      <c r="DT48" s="2149">
        <v>0</v>
      </c>
      <c r="DU48" s="2109">
        <f t="shared" si="141"/>
        <v>0</v>
      </c>
      <c r="DV48" s="2109">
        <v>30.866651854500006</v>
      </c>
      <c r="DW48" s="2109">
        <v>3.6122797016742663</v>
      </c>
      <c r="DX48" s="2109">
        <f t="shared" si="15"/>
        <v>0</v>
      </c>
      <c r="DY48" s="2135"/>
      <c r="DZ48" s="2135"/>
      <c r="EA48" s="2135"/>
      <c r="EB48" s="2135">
        <f t="shared" si="142"/>
        <v>0</v>
      </c>
      <c r="EC48" s="2135">
        <f t="shared" si="143"/>
        <v>30.866651854500006</v>
      </c>
      <c r="ED48" s="2135"/>
      <c r="EE48" s="2106">
        <f t="shared" si="144"/>
        <v>921.97859845161292</v>
      </c>
      <c r="EF48" s="2106">
        <f>IFERROR((EG48/EE48)*10,0)</f>
        <v>4.0174449046437291</v>
      </c>
      <c r="EG48" s="2106">
        <f t="shared" si="145"/>
        <v>370.39982225399996</v>
      </c>
      <c r="EH48" s="2106">
        <f t="shared" si="146"/>
        <v>3.6122797016742663</v>
      </c>
      <c r="EI48" s="2106">
        <f t="shared" si="147"/>
        <v>333.04445765648506</v>
      </c>
      <c r="EJ48" s="2106"/>
      <c r="EK48" s="2106"/>
      <c r="EL48" s="2106"/>
      <c r="EM48" s="2106">
        <f>IFERROR(EN48/EE48*10,0)</f>
        <v>7.6297246063179962</v>
      </c>
      <c r="EN48" s="2106">
        <f t="shared" si="149"/>
        <v>703.44427991048497</v>
      </c>
      <c r="EO48" s="2106">
        <f>EN48/J48*10</f>
        <v>7.6297246063179962</v>
      </c>
      <c r="EP48" s="2114">
        <f>EN48/M48*10</f>
        <v>7.6297246063179962</v>
      </c>
      <c r="EQ48" s="2224"/>
      <c r="ER48" s="2210"/>
      <c r="ES48" s="2209" t="s">
        <v>1682</v>
      </c>
      <c r="ET48" s="2241"/>
      <c r="EU48" s="2230"/>
      <c r="EV48" s="2241"/>
      <c r="EW48" s="2241"/>
      <c r="EX48" s="2241"/>
      <c r="EY48" s="2244"/>
      <c r="EZ48" s="2244"/>
      <c r="FA48" s="2244"/>
      <c r="FB48" s="2242"/>
      <c r="FC48" s="2243"/>
      <c r="FD48" s="2243"/>
      <c r="FE48" s="2243"/>
      <c r="FF48" s="2243"/>
      <c r="FG48" s="2243"/>
      <c r="FH48" s="2243"/>
      <c r="FI48" s="2243"/>
    </row>
    <row r="49" spans="1:165">
      <c r="A49" s="2220">
        <v>7</v>
      </c>
      <c r="B49" s="2227" t="s">
        <v>1683</v>
      </c>
      <c r="C49" s="2146">
        <v>420</v>
      </c>
      <c r="D49" s="2147">
        <f t="shared" si="150"/>
        <v>0.59519047619047616</v>
      </c>
      <c r="E49" s="2146"/>
      <c r="F49" s="2148">
        <v>0.6247341816518539</v>
      </c>
      <c r="G49" s="2146">
        <v>249.98</v>
      </c>
      <c r="H49" s="2149" t="s">
        <v>1649</v>
      </c>
      <c r="I49" s="2229">
        <v>2</v>
      </c>
      <c r="J49" s="2149">
        <v>530.68920810774205</v>
      </c>
      <c r="K49" s="2148"/>
      <c r="L49" s="2151"/>
      <c r="M49" s="2152">
        <f t="shared" si="107"/>
        <v>530.68920810774205</v>
      </c>
      <c r="N49" s="2149">
        <v>0</v>
      </c>
      <c r="O49" s="2109">
        <f t="shared" si="108"/>
        <v>0</v>
      </c>
      <c r="P49" s="2109">
        <v>15.587722838625004</v>
      </c>
      <c r="Q49" s="2109">
        <v>3.2913236813218458</v>
      </c>
      <c r="R49" s="2109">
        <f t="shared" si="4"/>
        <v>0</v>
      </c>
      <c r="S49" s="2109"/>
      <c r="T49" s="2109"/>
      <c r="U49" s="2109"/>
      <c r="V49" s="2109">
        <f t="shared" si="109"/>
        <v>0</v>
      </c>
      <c r="W49" s="2109">
        <f t="shared" si="110"/>
        <v>15.587722838625004</v>
      </c>
      <c r="X49" s="2149">
        <v>87.223899420000009</v>
      </c>
      <c r="Y49" s="2109">
        <f t="shared" si="111"/>
        <v>1.787093095158139</v>
      </c>
      <c r="Z49" s="2109">
        <v>15.587722838625004</v>
      </c>
      <c r="AA49" s="2109">
        <v>3.2913236813218458</v>
      </c>
      <c r="AB49" s="2109">
        <f t="shared" si="5"/>
        <v>28.708208573828085</v>
      </c>
      <c r="AC49" s="2135"/>
      <c r="AD49" s="2135"/>
      <c r="AE49" s="2135"/>
      <c r="AF49" s="2135">
        <f t="shared" si="112"/>
        <v>5.078416776479985</v>
      </c>
      <c r="AG49" s="2135">
        <f t="shared" si="113"/>
        <v>44.295931412453086</v>
      </c>
      <c r="AH49" s="2149">
        <v>103.69886220000002</v>
      </c>
      <c r="AI49" s="2109">
        <f t="shared" si="114"/>
        <v>1.5031720221347811</v>
      </c>
      <c r="AJ49" s="2109">
        <v>15.587722838625004</v>
      </c>
      <c r="AK49" s="2109">
        <v>3.2913236813218458</v>
      </c>
      <c r="AL49" s="2109">
        <f t="shared" si="6"/>
        <v>34.13065208849909</v>
      </c>
      <c r="AM49" s="2135"/>
      <c r="AN49" s="2135"/>
      <c r="AO49" s="2135"/>
      <c r="AP49" s="2135">
        <f t="shared" si="115"/>
        <v>4.7944957034566276</v>
      </c>
      <c r="AQ49" s="2135">
        <f t="shared" si="116"/>
        <v>49.718374927124096</v>
      </c>
      <c r="AR49" s="2149">
        <v>114.1467926</v>
      </c>
      <c r="AS49" s="2109">
        <f t="shared" si="117"/>
        <v>1.3655857062272816</v>
      </c>
      <c r="AT49" s="2109">
        <v>15.587722838625004</v>
      </c>
      <c r="AU49" s="2109">
        <v>3.2913236813218458</v>
      </c>
      <c r="AV49" s="2109">
        <f t="shared" si="7"/>
        <v>37.569404163131324</v>
      </c>
      <c r="AW49" s="2135"/>
      <c r="AX49" s="2135"/>
      <c r="AY49" s="2135"/>
      <c r="AZ49" s="2135">
        <f t="shared" si="118"/>
        <v>4.6569093875491276</v>
      </c>
      <c r="BA49" s="2135">
        <f t="shared" si="119"/>
        <v>53.157127001756329</v>
      </c>
      <c r="BB49" s="2149">
        <v>121.31869492000003</v>
      </c>
      <c r="BC49" s="2109">
        <f t="shared" si="120"/>
        <v>1.2848574450049812</v>
      </c>
      <c r="BD49" s="2109">
        <v>15.587722838625004</v>
      </c>
      <c r="BE49" s="2109">
        <v>3.2913236813218458</v>
      </c>
      <c r="BF49" s="2109">
        <f t="shared" si="8"/>
        <v>39.929909357725641</v>
      </c>
      <c r="BG49" s="2135"/>
      <c r="BH49" s="2135"/>
      <c r="BI49" s="2135"/>
      <c r="BJ49" s="2135">
        <f t="shared" si="121"/>
        <v>4.5761811263268273</v>
      </c>
      <c r="BK49" s="2135">
        <f t="shared" si="122"/>
        <v>55.517632196350647</v>
      </c>
      <c r="BL49" s="2149">
        <v>104.30095896774199</v>
      </c>
      <c r="BM49" s="2109">
        <f t="shared" si="123"/>
        <v>1.4944946808634758</v>
      </c>
      <c r="BN49" s="2109">
        <v>15.587722838625004</v>
      </c>
      <c r="BO49" s="2109">
        <v>3.2913236813218458</v>
      </c>
      <c r="BP49" s="2109">
        <f t="shared" si="9"/>
        <v>34.328821623510734</v>
      </c>
      <c r="BQ49" s="2135"/>
      <c r="BR49" s="2135"/>
      <c r="BS49" s="2135"/>
      <c r="BT49" s="2135">
        <f t="shared" si="124"/>
        <v>4.7858183621853216</v>
      </c>
      <c r="BU49" s="2135">
        <f t="shared" si="125"/>
        <v>49.916544462135739</v>
      </c>
      <c r="BV49" s="2149">
        <v>0</v>
      </c>
      <c r="BW49" s="2109">
        <f t="shared" si="126"/>
        <v>0</v>
      </c>
      <c r="BX49" s="2109">
        <v>15.587722838625004</v>
      </c>
      <c r="BY49" s="2109">
        <v>3.2913236813218458</v>
      </c>
      <c r="BZ49" s="2109">
        <f t="shared" si="10"/>
        <v>0</v>
      </c>
      <c r="CA49" s="2135"/>
      <c r="CB49" s="2135"/>
      <c r="CC49" s="2135"/>
      <c r="CD49" s="2135">
        <f t="shared" si="127"/>
        <v>0</v>
      </c>
      <c r="CE49" s="2135">
        <f t="shared" si="128"/>
        <v>15.587722838625004</v>
      </c>
      <c r="CF49" s="2149">
        <v>0</v>
      </c>
      <c r="CG49" s="2109">
        <f t="shared" si="129"/>
        <v>0</v>
      </c>
      <c r="CH49" s="2109">
        <v>15.587722838625004</v>
      </c>
      <c r="CI49" s="2109">
        <v>3.2913236813218458</v>
      </c>
      <c r="CJ49" s="2109">
        <f t="shared" si="11"/>
        <v>0</v>
      </c>
      <c r="CK49" s="2135"/>
      <c r="CL49" s="2135"/>
      <c r="CM49" s="2135"/>
      <c r="CN49" s="2135">
        <f t="shared" si="130"/>
        <v>0</v>
      </c>
      <c r="CO49" s="2135">
        <f t="shared" si="131"/>
        <v>15.587722838625004</v>
      </c>
      <c r="CP49" s="2149">
        <v>0</v>
      </c>
      <c r="CQ49" s="2109">
        <f t="shared" si="132"/>
        <v>0</v>
      </c>
      <c r="CR49" s="2109">
        <v>15.587722838625004</v>
      </c>
      <c r="CS49" s="2109">
        <v>3.2913236813218458</v>
      </c>
      <c r="CT49" s="2109">
        <f t="shared" si="12"/>
        <v>0</v>
      </c>
      <c r="CU49" s="2135"/>
      <c r="CV49" s="2135"/>
      <c r="CW49" s="2135"/>
      <c r="CX49" s="2135">
        <f t="shared" si="133"/>
        <v>0</v>
      </c>
      <c r="CY49" s="2135">
        <f t="shared" si="134"/>
        <v>15.587722838625004</v>
      </c>
      <c r="CZ49" s="2149">
        <v>0</v>
      </c>
      <c r="DA49" s="2109">
        <f t="shared" si="135"/>
        <v>0</v>
      </c>
      <c r="DB49" s="2109">
        <v>15.587722838625004</v>
      </c>
      <c r="DC49" s="2109">
        <v>3.2913236813218458</v>
      </c>
      <c r="DD49" s="2109">
        <f t="shared" si="13"/>
        <v>0</v>
      </c>
      <c r="DE49" s="2135"/>
      <c r="DF49" s="2135"/>
      <c r="DG49" s="2135"/>
      <c r="DH49" s="2135">
        <f t="shared" si="136"/>
        <v>0</v>
      </c>
      <c r="DI49" s="2135">
        <f t="shared" si="137"/>
        <v>15.587722838625004</v>
      </c>
      <c r="DJ49" s="2149">
        <v>0</v>
      </c>
      <c r="DK49" s="2109">
        <f t="shared" si="138"/>
        <v>0</v>
      </c>
      <c r="DL49" s="2109">
        <v>15.587722838625004</v>
      </c>
      <c r="DM49" s="2109">
        <v>3.2913236813218458</v>
      </c>
      <c r="DN49" s="2109">
        <f t="shared" si="14"/>
        <v>0</v>
      </c>
      <c r="DO49" s="2135"/>
      <c r="DP49" s="2135"/>
      <c r="DQ49" s="2135"/>
      <c r="DR49" s="2135">
        <f t="shared" si="139"/>
        <v>0</v>
      </c>
      <c r="DS49" s="2135">
        <f t="shared" si="140"/>
        <v>15.587722838625004</v>
      </c>
      <c r="DT49" s="2149">
        <v>0</v>
      </c>
      <c r="DU49" s="2109">
        <f t="shared" si="141"/>
        <v>0</v>
      </c>
      <c r="DV49" s="2109">
        <v>15.587722838625004</v>
      </c>
      <c r="DW49" s="2109">
        <v>3.2913236813218458</v>
      </c>
      <c r="DX49" s="2109">
        <f t="shared" si="15"/>
        <v>0</v>
      </c>
      <c r="DY49" s="2135"/>
      <c r="DZ49" s="2135"/>
      <c r="EA49" s="2135"/>
      <c r="EB49" s="2135">
        <f t="shared" si="142"/>
        <v>0</v>
      </c>
      <c r="EC49" s="2135">
        <f t="shared" si="143"/>
        <v>15.587722838625004</v>
      </c>
      <c r="ED49" s="2135"/>
      <c r="EE49" s="2106">
        <f t="shared" si="144"/>
        <v>530.68920810774205</v>
      </c>
      <c r="EF49" s="2106">
        <f t="shared" si="151"/>
        <v>3.5247122271520563</v>
      </c>
      <c r="EG49" s="2106">
        <f t="shared" si="145"/>
        <v>187.05267406350006</v>
      </c>
      <c r="EH49" s="2106">
        <f t="shared" si="146"/>
        <v>3.2913236813218467</v>
      </c>
      <c r="EI49" s="2106">
        <f t="shared" si="147"/>
        <v>174.6669958066949</v>
      </c>
      <c r="EJ49" s="2106"/>
      <c r="EK49" s="2106"/>
      <c r="EL49" s="2106"/>
      <c r="EM49" s="2106">
        <f t="shared" si="148"/>
        <v>6.8160359084739017</v>
      </c>
      <c r="EN49" s="2106">
        <f t="shared" si="149"/>
        <v>361.71966987019493</v>
      </c>
      <c r="EO49" s="2106">
        <f t="shared" ref="EO49:EO54" si="152">IFERROR(EN49/J49*10,0)</f>
        <v>6.8160359084739017</v>
      </c>
      <c r="EP49" s="2114">
        <f t="shared" ref="EP49:EP54" si="153">IFERROR(EN49/M49*10,0)</f>
        <v>6.8160359084739017</v>
      </c>
      <c r="EQ49" s="2224"/>
      <c r="ER49" s="2210"/>
      <c r="ES49" s="2209" t="s">
        <v>1683</v>
      </c>
      <c r="ET49" s="2241"/>
      <c r="EU49" s="2230"/>
      <c r="EV49" s="2241"/>
      <c r="EW49" s="2241"/>
      <c r="EX49" s="2241"/>
      <c r="EY49" s="2244"/>
      <c r="EZ49" s="2244"/>
      <c r="FA49" s="2244"/>
      <c r="FB49" s="2242"/>
      <c r="FC49" s="2243"/>
      <c r="FD49" s="2243"/>
      <c r="FE49" s="2243"/>
      <c r="FF49" s="2243"/>
      <c r="FG49" s="2243"/>
      <c r="FH49" s="2243"/>
      <c r="FI49" s="2243"/>
    </row>
    <row r="50" spans="1:165">
      <c r="A50" s="2220">
        <v>8</v>
      </c>
      <c r="B50" s="2227" t="s">
        <v>1684</v>
      </c>
      <c r="C50" s="2146">
        <v>420</v>
      </c>
      <c r="D50" s="2147">
        <f t="shared" si="150"/>
        <v>0.3069047619047619</v>
      </c>
      <c r="E50" s="2146"/>
      <c r="F50" s="2148">
        <v>0.87314336497411726</v>
      </c>
      <c r="G50" s="2146">
        <v>128.9</v>
      </c>
      <c r="H50" s="2149" t="s">
        <v>1649</v>
      </c>
      <c r="I50" s="2229">
        <v>2</v>
      </c>
      <c r="J50" s="2149">
        <v>362.89505736000001</v>
      </c>
      <c r="K50" s="2148"/>
      <c r="L50" s="2151"/>
      <c r="M50" s="2152">
        <f t="shared" si="107"/>
        <v>362.89505736000001</v>
      </c>
      <c r="N50" s="2149">
        <v>0</v>
      </c>
      <c r="O50" s="2109">
        <f t="shared" si="108"/>
        <v>0</v>
      </c>
      <c r="P50" s="2109">
        <v>7.8487332577500011</v>
      </c>
      <c r="Q50" s="2109">
        <v>3.3545033255725061</v>
      </c>
      <c r="R50" s="2109">
        <f t="shared" si="4"/>
        <v>0</v>
      </c>
      <c r="S50" s="2109"/>
      <c r="T50" s="2109"/>
      <c r="U50" s="2109"/>
      <c r="V50" s="2109">
        <f t="shared" si="109"/>
        <v>0</v>
      </c>
      <c r="W50" s="2109">
        <f t="shared" si="110"/>
        <v>7.8487332577500011</v>
      </c>
      <c r="X50" s="2149">
        <v>73.527756719999999</v>
      </c>
      <c r="Y50" s="2109">
        <f t="shared" si="111"/>
        <v>1.0674517499069978</v>
      </c>
      <c r="Z50" s="2109">
        <v>7.8487332577500011</v>
      </c>
      <c r="AA50" s="2109">
        <v>3.3545033255725061</v>
      </c>
      <c r="AB50" s="2109">
        <f t="shared" si="5"/>
        <v>24.664910443912618</v>
      </c>
      <c r="AC50" s="2135"/>
      <c r="AD50" s="2135"/>
      <c r="AE50" s="2135"/>
      <c r="AF50" s="2135">
        <f t="shared" si="112"/>
        <v>4.4219550754795032</v>
      </c>
      <c r="AG50" s="2135">
        <f t="shared" si="113"/>
        <v>32.513643701662616</v>
      </c>
      <c r="AH50" s="2149">
        <v>71.155893599999999</v>
      </c>
      <c r="AI50" s="2109">
        <f t="shared" si="114"/>
        <v>1.1030334749038977</v>
      </c>
      <c r="AJ50" s="2109">
        <v>7.8487332577500011</v>
      </c>
      <c r="AK50" s="2109">
        <v>3.3545033255725061</v>
      </c>
      <c r="AL50" s="2109">
        <f t="shared" si="6"/>
        <v>23.86926817152834</v>
      </c>
      <c r="AM50" s="2135"/>
      <c r="AN50" s="2135"/>
      <c r="AO50" s="2135"/>
      <c r="AP50" s="2135">
        <f t="shared" si="115"/>
        <v>4.4575368004764035</v>
      </c>
      <c r="AQ50" s="2135">
        <f t="shared" si="116"/>
        <v>31.718001429278342</v>
      </c>
      <c r="AR50" s="2149">
        <v>73.527756719999999</v>
      </c>
      <c r="AS50" s="2109">
        <f t="shared" si="117"/>
        <v>1.0674517499069978</v>
      </c>
      <c r="AT50" s="2109">
        <v>7.8487332577500011</v>
      </c>
      <c r="AU50" s="2109">
        <v>3.3545033255725061</v>
      </c>
      <c r="AV50" s="2109">
        <f t="shared" si="7"/>
        <v>24.664910443912618</v>
      </c>
      <c r="AW50" s="2135"/>
      <c r="AX50" s="2135"/>
      <c r="AY50" s="2135"/>
      <c r="AZ50" s="2135">
        <f t="shared" si="118"/>
        <v>4.4219550754795032</v>
      </c>
      <c r="BA50" s="2135">
        <f t="shared" si="119"/>
        <v>32.513643701662616</v>
      </c>
      <c r="BB50" s="2149">
        <v>73.527756719999999</v>
      </c>
      <c r="BC50" s="2109">
        <f t="shared" si="120"/>
        <v>1.0674517499069978</v>
      </c>
      <c r="BD50" s="2109">
        <v>7.8487332577500011</v>
      </c>
      <c r="BE50" s="2109">
        <v>3.3545033255725061</v>
      </c>
      <c r="BF50" s="2109">
        <f t="shared" si="8"/>
        <v>24.664910443912618</v>
      </c>
      <c r="BG50" s="2135"/>
      <c r="BH50" s="2135"/>
      <c r="BI50" s="2135"/>
      <c r="BJ50" s="2135">
        <f t="shared" si="121"/>
        <v>4.4219550754795032</v>
      </c>
      <c r="BK50" s="2135">
        <f t="shared" si="122"/>
        <v>32.513643701662616</v>
      </c>
      <c r="BL50" s="2149">
        <v>71.155893599999999</v>
      </c>
      <c r="BM50" s="2109">
        <f t="shared" si="123"/>
        <v>1.1030334749038977</v>
      </c>
      <c r="BN50" s="2109">
        <v>7.8487332577500011</v>
      </c>
      <c r="BO50" s="2109">
        <v>3.3545033255725061</v>
      </c>
      <c r="BP50" s="2109">
        <f t="shared" si="9"/>
        <v>23.86926817152834</v>
      </c>
      <c r="BQ50" s="2135"/>
      <c r="BR50" s="2135"/>
      <c r="BS50" s="2135"/>
      <c r="BT50" s="2135">
        <f t="shared" si="124"/>
        <v>4.4575368004764035</v>
      </c>
      <c r="BU50" s="2135">
        <f t="shared" si="125"/>
        <v>31.718001429278342</v>
      </c>
      <c r="BV50" s="2149">
        <v>0</v>
      </c>
      <c r="BW50" s="2109">
        <f t="shared" si="126"/>
        <v>0</v>
      </c>
      <c r="BX50" s="2109">
        <v>7.8487332577500011</v>
      </c>
      <c r="BY50" s="2109">
        <v>3.3545033255725061</v>
      </c>
      <c r="BZ50" s="2109">
        <f t="shared" si="10"/>
        <v>0</v>
      </c>
      <c r="CA50" s="2135"/>
      <c r="CB50" s="2135"/>
      <c r="CC50" s="2135"/>
      <c r="CD50" s="2135">
        <f t="shared" si="127"/>
        <v>0</v>
      </c>
      <c r="CE50" s="2135">
        <f t="shared" si="128"/>
        <v>7.8487332577500011</v>
      </c>
      <c r="CF50" s="2149">
        <v>0</v>
      </c>
      <c r="CG50" s="2109">
        <f t="shared" si="129"/>
        <v>0</v>
      </c>
      <c r="CH50" s="2109">
        <v>7.8487332577500011</v>
      </c>
      <c r="CI50" s="2109">
        <v>3.3545033255725061</v>
      </c>
      <c r="CJ50" s="2109">
        <f t="shared" si="11"/>
        <v>0</v>
      </c>
      <c r="CK50" s="2135"/>
      <c r="CL50" s="2135"/>
      <c r="CM50" s="2135"/>
      <c r="CN50" s="2135">
        <f t="shared" si="130"/>
        <v>0</v>
      </c>
      <c r="CO50" s="2135">
        <f t="shared" si="131"/>
        <v>7.8487332577500011</v>
      </c>
      <c r="CP50" s="2149">
        <v>0</v>
      </c>
      <c r="CQ50" s="2109">
        <f t="shared" si="132"/>
        <v>0</v>
      </c>
      <c r="CR50" s="2109">
        <v>7.8487332577500011</v>
      </c>
      <c r="CS50" s="2109">
        <v>3.3545033255725061</v>
      </c>
      <c r="CT50" s="2109">
        <f t="shared" si="12"/>
        <v>0</v>
      </c>
      <c r="CU50" s="2135"/>
      <c r="CV50" s="2135"/>
      <c r="CW50" s="2135"/>
      <c r="CX50" s="2135">
        <f t="shared" si="133"/>
        <v>0</v>
      </c>
      <c r="CY50" s="2135">
        <f t="shared" si="134"/>
        <v>7.8487332577500011</v>
      </c>
      <c r="CZ50" s="2149">
        <v>0</v>
      </c>
      <c r="DA50" s="2109">
        <f t="shared" si="135"/>
        <v>0</v>
      </c>
      <c r="DB50" s="2109">
        <v>7.8487332577500011</v>
      </c>
      <c r="DC50" s="2109">
        <v>3.3545033255725061</v>
      </c>
      <c r="DD50" s="2109">
        <f t="shared" si="13"/>
        <v>0</v>
      </c>
      <c r="DE50" s="2135"/>
      <c r="DF50" s="2135"/>
      <c r="DG50" s="2135"/>
      <c r="DH50" s="2135">
        <f t="shared" si="136"/>
        <v>0</v>
      </c>
      <c r="DI50" s="2135">
        <f t="shared" si="137"/>
        <v>7.8487332577500011</v>
      </c>
      <c r="DJ50" s="2149">
        <v>0</v>
      </c>
      <c r="DK50" s="2109">
        <f t="shared" si="138"/>
        <v>0</v>
      </c>
      <c r="DL50" s="2109">
        <v>7.8487332577500011</v>
      </c>
      <c r="DM50" s="2109">
        <v>3.3545033255725061</v>
      </c>
      <c r="DN50" s="2109">
        <f t="shared" si="14"/>
        <v>0</v>
      </c>
      <c r="DO50" s="2135"/>
      <c r="DP50" s="2135"/>
      <c r="DQ50" s="2135"/>
      <c r="DR50" s="2135">
        <f t="shared" si="139"/>
        <v>0</v>
      </c>
      <c r="DS50" s="2135">
        <f t="shared" si="140"/>
        <v>7.8487332577500011</v>
      </c>
      <c r="DT50" s="2149">
        <v>0</v>
      </c>
      <c r="DU50" s="2109">
        <f t="shared" si="141"/>
        <v>0</v>
      </c>
      <c r="DV50" s="2109">
        <v>7.8487332577500011</v>
      </c>
      <c r="DW50" s="2109">
        <v>3.3545033255725061</v>
      </c>
      <c r="DX50" s="2109">
        <f t="shared" si="15"/>
        <v>0</v>
      </c>
      <c r="DY50" s="2135"/>
      <c r="DZ50" s="2135"/>
      <c r="EA50" s="2135"/>
      <c r="EB50" s="2135">
        <f t="shared" si="142"/>
        <v>0</v>
      </c>
      <c r="EC50" s="2135">
        <f t="shared" si="143"/>
        <v>7.8487332577500011</v>
      </c>
      <c r="ED50" s="2135"/>
      <c r="EE50" s="2106">
        <f t="shared" si="144"/>
        <v>362.89505736000001</v>
      </c>
      <c r="EF50" s="2106">
        <f>IFERROR((EG50/EE50)*10,0)</f>
        <v>2.5953728821268172</v>
      </c>
      <c r="EG50" s="2106">
        <f t="shared" si="145"/>
        <v>94.184799092999995</v>
      </c>
      <c r="EH50" s="2106">
        <f t="shared" si="146"/>
        <v>3.3545033255725065</v>
      </c>
      <c r="EI50" s="2106">
        <f t="shared" si="147"/>
        <v>121.73326767479455</v>
      </c>
      <c r="EJ50" s="2106"/>
      <c r="EK50" s="2106"/>
      <c r="EL50" s="2106"/>
      <c r="EM50" s="2106">
        <f t="shared" si="148"/>
        <v>5.9498762076993241</v>
      </c>
      <c r="EN50" s="2106">
        <f t="shared" si="149"/>
        <v>215.91806676779453</v>
      </c>
      <c r="EO50" s="2106">
        <f t="shared" si="152"/>
        <v>5.9498762076993241</v>
      </c>
      <c r="EP50" s="2114">
        <f t="shared" si="153"/>
        <v>5.9498762076993241</v>
      </c>
      <c r="EQ50" s="2224" t="s">
        <v>2089</v>
      </c>
      <c r="ER50" s="2210"/>
      <c r="ES50" s="2209" t="s">
        <v>1684</v>
      </c>
      <c r="ET50" s="2241"/>
      <c r="EU50" s="2230"/>
      <c r="EV50" s="2241"/>
      <c r="EW50" s="2241"/>
      <c r="EX50" s="2241"/>
      <c r="EY50" s="2244"/>
      <c r="EZ50" s="2244"/>
      <c r="FA50" s="2244"/>
      <c r="FB50" s="2242"/>
      <c r="FC50" s="2243"/>
      <c r="FD50" s="2243"/>
      <c r="FE50" s="2243"/>
      <c r="FF50" s="2243"/>
      <c r="FG50" s="2243"/>
      <c r="FH50" s="2243"/>
      <c r="FI50" s="2243"/>
    </row>
    <row r="51" spans="1:165">
      <c r="A51" s="2220">
        <v>9</v>
      </c>
      <c r="B51" s="2227" t="s">
        <v>1685</v>
      </c>
      <c r="C51" s="2146">
        <v>210</v>
      </c>
      <c r="D51" s="2147">
        <f t="shared" si="150"/>
        <v>0.3</v>
      </c>
      <c r="E51" s="2146"/>
      <c r="F51" s="2148">
        <v>0.87790147924029593</v>
      </c>
      <c r="G51" s="2146">
        <v>63</v>
      </c>
      <c r="H51" s="2149" t="s">
        <v>1649</v>
      </c>
      <c r="I51" s="2229">
        <v>2</v>
      </c>
      <c r="J51" s="2149">
        <v>178.93839600000001</v>
      </c>
      <c r="K51" s="2148"/>
      <c r="L51" s="2151"/>
      <c r="M51" s="2152">
        <f t="shared" si="107"/>
        <v>178.93839600000001</v>
      </c>
      <c r="N51" s="2149">
        <v>0</v>
      </c>
      <c r="O51" s="2109">
        <f t="shared" si="108"/>
        <v>0</v>
      </c>
      <c r="P51" s="2109">
        <v>5.1687596467499999</v>
      </c>
      <c r="Q51" s="2109">
        <v>3.4340279986007305</v>
      </c>
      <c r="R51" s="2109">
        <f t="shared" si="4"/>
        <v>0</v>
      </c>
      <c r="S51" s="2109"/>
      <c r="T51" s="2109"/>
      <c r="U51" s="2109"/>
      <c r="V51" s="2109">
        <f t="shared" si="109"/>
        <v>0</v>
      </c>
      <c r="W51" s="2109">
        <f t="shared" si="110"/>
        <v>5.1687596467499999</v>
      </c>
      <c r="X51" s="2149">
        <v>36.255492000000004</v>
      </c>
      <c r="Y51" s="2109">
        <f t="shared" si="111"/>
        <v>1.4256487394378758</v>
      </c>
      <c r="Z51" s="2109">
        <v>5.1687596467499999</v>
      </c>
      <c r="AA51" s="2109">
        <v>3.4340279986007305</v>
      </c>
      <c r="AB51" s="2109">
        <f t="shared" si="5"/>
        <v>12.450237463104481</v>
      </c>
      <c r="AC51" s="2135"/>
      <c r="AD51" s="2135"/>
      <c r="AE51" s="2135"/>
      <c r="AF51" s="2135">
        <f t="shared" si="112"/>
        <v>4.8596767380386057</v>
      </c>
      <c r="AG51" s="2135">
        <f t="shared" si="113"/>
        <v>17.61899710985448</v>
      </c>
      <c r="AH51" s="2149">
        <v>35.085960000000007</v>
      </c>
      <c r="AI51" s="2109">
        <f t="shared" si="114"/>
        <v>1.4731703640858049</v>
      </c>
      <c r="AJ51" s="2109">
        <v>5.1687596467499999</v>
      </c>
      <c r="AK51" s="2109">
        <v>3.4340279986007305</v>
      </c>
      <c r="AL51" s="2109">
        <f t="shared" si="6"/>
        <v>12.048616899778532</v>
      </c>
      <c r="AM51" s="2135"/>
      <c r="AN51" s="2135"/>
      <c r="AO51" s="2135"/>
      <c r="AP51" s="2135">
        <f t="shared" si="115"/>
        <v>4.9071983626865352</v>
      </c>
      <c r="AQ51" s="2135">
        <f t="shared" si="116"/>
        <v>17.217376546528531</v>
      </c>
      <c r="AR51" s="2149">
        <v>36.255492000000004</v>
      </c>
      <c r="AS51" s="2109">
        <f t="shared" si="117"/>
        <v>1.4256487394378758</v>
      </c>
      <c r="AT51" s="2109">
        <v>5.1687596467499999</v>
      </c>
      <c r="AU51" s="2109">
        <v>3.4340279986007305</v>
      </c>
      <c r="AV51" s="2109">
        <f t="shared" si="7"/>
        <v>12.450237463104481</v>
      </c>
      <c r="AW51" s="2135"/>
      <c r="AX51" s="2135"/>
      <c r="AY51" s="2135"/>
      <c r="AZ51" s="2135">
        <f t="shared" si="118"/>
        <v>4.8596767380386057</v>
      </c>
      <c r="BA51" s="2135">
        <f t="shared" si="119"/>
        <v>17.61899710985448</v>
      </c>
      <c r="BB51" s="2149">
        <v>36.255492000000004</v>
      </c>
      <c r="BC51" s="2109">
        <f t="shared" si="120"/>
        <v>1.4256487394378758</v>
      </c>
      <c r="BD51" s="2109">
        <v>5.1687596467499999</v>
      </c>
      <c r="BE51" s="2109">
        <v>3.4340279986007305</v>
      </c>
      <c r="BF51" s="2109">
        <f t="shared" si="8"/>
        <v>12.450237463104481</v>
      </c>
      <c r="BG51" s="2135"/>
      <c r="BH51" s="2135"/>
      <c r="BI51" s="2135"/>
      <c r="BJ51" s="2135">
        <f t="shared" si="121"/>
        <v>4.8596767380386057</v>
      </c>
      <c r="BK51" s="2135">
        <f t="shared" si="122"/>
        <v>17.61899710985448</v>
      </c>
      <c r="BL51" s="2149">
        <v>35.085960000000007</v>
      </c>
      <c r="BM51" s="2109">
        <f t="shared" si="123"/>
        <v>1.4731703640858049</v>
      </c>
      <c r="BN51" s="2109">
        <v>5.1687596467499999</v>
      </c>
      <c r="BO51" s="2109">
        <v>3.4340279986007305</v>
      </c>
      <c r="BP51" s="2109">
        <f t="shared" si="9"/>
        <v>12.048616899778532</v>
      </c>
      <c r="BQ51" s="2135"/>
      <c r="BR51" s="2135"/>
      <c r="BS51" s="2135"/>
      <c r="BT51" s="2135">
        <f t="shared" si="124"/>
        <v>4.9071983626865352</v>
      </c>
      <c r="BU51" s="2135">
        <f t="shared" si="125"/>
        <v>17.217376546528531</v>
      </c>
      <c r="BV51" s="2149">
        <v>0</v>
      </c>
      <c r="BW51" s="2109">
        <f t="shared" si="126"/>
        <v>0</v>
      </c>
      <c r="BX51" s="2109">
        <v>5.1687596467499999</v>
      </c>
      <c r="BY51" s="2109">
        <v>3.4340279986007305</v>
      </c>
      <c r="BZ51" s="2109">
        <f t="shared" si="10"/>
        <v>0</v>
      </c>
      <c r="CA51" s="2135"/>
      <c r="CB51" s="2135"/>
      <c r="CC51" s="2135"/>
      <c r="CD51" s="2135">
        <f t="shared" si="127"/>
        <v>0</v>
      </c>
      <c r="CE51" s="2135">
        <f t="shared" si="128"/>
        <v>5.1687596467499999</v>
      </c>
      <c r="CF51" s="2149">
        <v>0</v>
      </c>
      <c r="CG51" s="2109">
        <f t="shared" si="129"/>
        <v>0</v>
      </c>
      <c r="CH51" s="2109">
        <v>5.1687596467499999</v>
      </c>
      <c r="CI51" s="2109">
        <v>3.4340279986007305</v>
      </c>
      <c r="CJ51" s="2109">
        <f t="shared" si="11"/>
        <v>0</v>
      </c>
      <c r="CK51" s="2135"/>
      <c r="CL51" s="2135"/>
      <c r="CM51" s="2135"/>
      <c r="CN51" s="2135">
        <f t="shared" si="130"/>
        <v>0</v>
      </c>
      <c r="CO51" s="2135">
        <f t="shared" si="131"/>
        <v>5.1687596467499999</v>
      </c>
      <c r="CP51" s="2149">
        <v>0</v>
      </c>
      <c r="CQ51" s="2109">
        <f t="shared" si="132"/>
        <v>0</v>
      </c>
      <c r="CR51" s="2109">
        <v>5.1687596467499999</v>
      </c>
      <c r="CS51" s="2109">
        <v>3.4340279986007305</v>
      </c>
      <c r="CT51" s="2109">
        <f t="shared" si="12"/>
        <v>0</v>
      </c>
      <c r="CU51" s="2135"/>
      <c r="CV51" s="2135"/>
      <c r="CW51" s="2135"/>
      <c r="CX51" s="2135">
        <f t="shared" si="133"/>
        <v>0</v>
      </c>
      <c r="CY51" s="2135">
        <f t="shared" si="134"/>
        <v>5.1687596467499999</v>
      </c>
      <c r="CZ51" s="2149">
        <v>0</v>
      </c>
      <c r="DA51" s="2109">
        <f t="shared" si="135"/>
        <v>0</v>
      </c>
      <c r="DB51" s="2109">
        <v>5.1687596467499999</v>
      </c>
      <c r="DC51" s="2109">
        <v>3.4340279986007305</v>
      </c>
      <c r="DD51" s="2109">
        <f t="shared" si="13"/>
        <v>0</v>
      </c>
      <c r="DE51" s="2135"/>
      <c r="DF51" s="2135"/>
      <c r="DG51" s="2135"/>
      <c r="DH51" s="2135">
        <f t="shared" si="136"/>
        <v>0</v>
      </c>
      <c r="DI51" s="2135">
        <f t="shared" si="137"/>
        <v>5.1687596467499999</v>
      </c>
      <c r="DJ51" s="2149">
        <v>0</v>
      </c>
      <c r="DK51" s="2109">
        <f t="shared" si="138"/>
        <v>0</v>
      </c>
      <c r="DL51" s="2109">
        <v>5.1687596467499999</v>
      </c>
      <c r="DM51" s="2109">
        <v>3.4340279986007305</v>
      </c>
      <c r="DN51" s="2109">
        <f t="shared" si="14"/>
        <v>0</v>
      </c>
      <c r="DO51" s="2135"/>
      <c r="DP51" s="2135"/>
      <c r="DQ51" s="2135"/>
      <c r="DR51" s="2135">
        <f t="shared" si="139"/>
        <v>0</v>
      </c>
      <c r="DS51" s="2135">
        <f t="shared" si="140"/>
        <v>5.1687596467499999</v>
      </c>
      <c r="DT51" s="2149">
        <v>0</v>
      </c>
      <c r="DU51" s="2109">
        <f t="shared" si="141"/>
        <v>0</v>
      </c>
      <c r="DV51" s="2109">
        <v>5.1687596467499999</v>
      </c>
      <c r="DW51" s="2109">
        <v>3.4340279986007305</v>
      </c>
      <c r="DX51" s="2109">
        <f t="shared" si="15"/>
        <v>0</v>
      </c>
      <c r="DY51" s="2135"/>
      <c r="DZ51" s="2135"/>
      <c r="EA51" s="2135"/>
      <c r="EB51" s="2135">
        <f t="shared" si="142"/>
        <v>0</v>
      </c>
      <c r="EC51" s="2135">
        <f t="shared" si="143"/>
        <v>5.1687596467499999</v>
      </c>
      <c r="ED51" s="2135"/>
      <c r="EE51" s="2106">
        <f t="shared" si="144"/>
        <v>178.93839600000001</v>
      </c>
      <c r="EF51" s="2106">
        <f t="shared" si="151"/>
        <v>3.4662832096136587</v>
      </c>
      <c r="EG51" s="2106">
        <f t="shared" si="145"/>
        <v>62.025115760999988</v>
      </c>
      <c r="EH51" s="2106">
        <f t="shared" si="146"/>
        <v>3.4340279986007305</v>
      </c>
      <c r="EI51" s="2106">
        <f t="shared" si="147"/>
        <v>61.447946188870503</v>
      </c>
      <c r="EJ51" s="2106"/>
      <c r="EK51" s="2106"/>
      <c r="EL51" s="2106"/>
      <c r="EM51" s="2106">
        <f t="shared" si="148"/>
        <v>6.9003112082143891</v>
      </c>
      <c r="EN51" s="2106">
        <f t="shared" si="149"/>
        <v>123.4730619498705</v>
      </c>
      <c r="EO51" s="2106">
        <f t="shared" si="152"/>
        <v>6.9003112082143891</v>
      </c>
      <c r="EP51" s="2114">
        <f t="shared" si="153"/>
        <v>6.9003112082143891</v>
      </c>
      <c r="EQ51" s="2224" t="s">
        <v>2089</v>
      </c>
      <c r="ER51" s="2210"/>
      <c r="ES51" s="2209" t="s">
        <v>1685</v>
      </c>
      <c r="ET51" s="2241"/>
      <c r="EU51" s="2230"/>
      <c r="EV51" s="2241"/>
      <c r="EW51" s="2241"/>
      <c r="EX51" s="2241"/>
      <c r="EY51" s="2244"/>
      <c r="EZ51" s="2244"/>
      <c r="FA51" s="2244"/>
      <c r="FB51" s="2242"/>
      <c r="FC51" s="2243"/>
      <c r="FD51" s="2243"/>
      <c r="FE51" s="2243"/>
      <c r="FF51" s="2243"/>
      <c r="FG51" s="2243"/>
      <c r="FH51" s="2243"/>
      <c r="FI51" s="2243"/>
    </row>
    <row r="52" spans="1:165">
      <c r="A52" s="2220">
        <v>10</v>
      </c>
      <c r="B52" s="2227" t="s">
        <v>1686</v>
      </c>
      <c r="C52" s="2146">
        <v>500</v>
      </c>
      <c r="D52" s="2147">
        <f t="shared" si="150"/>
        <v>0.44588</v>
      </c>
      <c r="E52" s="2146"/>
      <c r="F52" s="2148">
        <v>0.43472496246062492</v>
      </c>
      <c r="G52" s="2146">
        <v>222.94</v>
      </c>
      <c r="H52" s="2149" t="s">
        <v>1649</v>
      </c>
      <c r="I52" s="2229">
        <v>2</v>
      </c>
      <c r="J52" s="2149">
        <v>613.97676000000001</v>
      </c>
      <c r="K52" s="2148"/>
      <c r="L52" s="2151"/>
      <c r="M52" s="2152">
        <f t="shared" si="107"/>
        <v>613.97676000000001</v>
      </c>
      <c r="N52" s="2149">
        <v>0</v>
      </c>
      <c r="O52" s="2109">
        <f t="shared" si="108"/>
        <v>0</v>
      </c>
      <c r="P52" s="2109">
        <v>21.185702851687505</v>
      </c>
      <c r="Q52" s="2109">
        <v>3.3177060700605767</v>
      </c>
      <c r="R52" s="2109">
        <f t="shared" si="4"/>
        <v>0</v>
      </c>
      <c r="S52" s="2109"/>
      <c r="T52" s="2109"/>
      <c r="U52" s="2109"/>
      <c r="V52" s="2109">
        <f t="shared" si="109"/>
        <v>0</v>
      </c>
      <c r="W52" s="2109">
        <f t="shared" si="110"/>
        <v>21.185702851687505</v>
      </c>
      <c r="X52" s="2149">
        <v>124.40052</v>
      </c>
      <c r="Y52" s="2109">
        <f t="shared" si="111"/>
        <v>1.7030236571107182</v>
      </c>
      <c r="Z52" s="2109">
        <v>21.185702851687505</v>
      </c>
      <c r="AA52" s="2109">
        <v>3.3177060700605767</v>
      </c>
      <c r="AB52" s="2109">
        <f t="shared" si="5"/>
        <v>41.272436032269219</v>
      </c>
      <c r="AC52" s="2135"/>
      <c r="AD52" s="2135"/>
      <c r="AE52" s="2135"/>
      <c r="AF52" s="2135">
        <f t="shared" si="112"/>
        <v>5.020729727171295</v>
      </c>
      <c r="AG52" s="2135">
        <f t="shared" si="113"/>
        <v>62.458138883956721</v>
      </c>
      <c r="AH52" s="2149">
        <v>120.38760000000001</v>
      </c>
      <c r="AI52" s="2109">
        <f t="shared" si="114"/>
        <v>1.7597911123477421</v>
      </c>
      <c r="AJ52" s="2109">
        <v>21.185702851687505</v>
      </c>
      <c r="AK52" s="2109">
        <v>3.3177060700605767</v>
      </c>
      <c r="AL52" s="2109">
        <f t="shared" si="6"/>
        <v>39.941067128002473</v>
      </c>
      <c r="AM52" s="2135"/>
      <c r="AN52" s="2135"/>
      <c r="AO52" s="2135"/>
      <c r="AP52" s="2135">
        <f t="shared" si="115"/>
        <v>5.0774971824083188</v>
      </c>
      <c r="AQ52" s="2135">
        <f t="shared" si="116"/>
        <v>61.126769979689982</v>
      </c>
      <c r="AR52" s="2149">
        <v>124.40052</v>
      </c>
      <c r="AS52" s="2109">
        <f t="shared" si="117"/>
        <v>1.7030236571107182</v>
      </c>
      <c r="AT52" s="2109">
        <v>21.185702851687505</v>
      </c>
      <c r="AU52" s="2109">
        <v>3.3177060700605767</v>
      </c>
      <c r="AV52" s="2109">
        <f t="shared" si="7"/>
        <v>41.272436032269219</v>
      </c>
      <c r="AW52" s="2135"/>
      <c r="AX52" s="2135"/>
      <c r="AY52" s="2135"/>
      <c r="AZ52" s="2135">
        <f t="shared" si="118"/>
        <v>5.020729727171295</v>
      </c>
      <c r="BA52" s="2135">
        <f t="shared" si="119"/>
        <v>62.458138883956721</v>
      </c>
      <c r="BB52" s="2149">
        <v>124.40052</v>
      </c>
      <c r="BC52" s="2109">
        <f t="shared" si="120"/>
        <v>1.7030236571107182</v>
      </c>
      <c r="BD52" s="2109">
        <v>21.185702851687505</v>
      </c>
      <c r="BE52" s="2109">
        <v>3.3177060700605767</v>
      </c>
      <c r="BF52" s="2109">
        <f t="shared" si="8"/>
        <v>41.272436032269219</v>
      </c>
      <c r="BG52" s="2135"/>
      <c r="BH52" s="2135"/>
      <c r="BI52" s="2135"/>
      <c r="BJ52" s="2135">
        <f t="shared" si="121"/>
        <v>5.020729727171295</v>
      </c>
      <c r="BK52" s="2135">
        <f t="shared" si="122"/>
        <v>62.458138883956721</v>
      </c>
      <c r="BL52" s="2149">
        <v>120.38760000000001</v>
      </c>
      <c r="BM52" s="2109">
        <f t="shared" si="123"/>
        <v>1.7597911123477421</v>
      </c>
      <c r="BN52" s="2109">
        <v>21.185702851687505</v>
      </c>
      <c r="BO52" s="2109">
        <v>3.3177060700605767</v>
      </c>
      <c r="BP52" s="2109">
        <f t="shared" si="9"/>
        <v>39.941067128002473</v>
      </c>
      <c r="BQ52" s="2135"/>
      <c r="BR52" s="2135"/>
      <c r="BS52" s="2135"/>
      <c r="BT52" s="2135">
        <f t="shared" si="124"/>
        <v>5.0774971824083188</v>
      </c>
      <c r="BU52" s="2135">
        <f t="shared" si="125"/>
        <v>61.126769979689982</v>
      </c>
      <c r="BV52" s="2149">
        <v>0</v>
      </c>
      <c r="BW52" s="2109">
        <f t="shared" si="126"/>
        <v>0</v>
      </c>
      <c r="BX52" s="2109">
        <v>21.185702851687505</v>
      </c>
      <c r="BY52" s="2109">
        <v>3.3177060700605767</v>
      </c>
      <c r="BZ52" s="2109">
        <f t="shared" si="10"/>
        <v>0</v>
      </c>
      <c r="CA52" s="2135"/>
      <c r="CB52" s="2135"/>
      <c r="CC52" s="2135"/>
      <c r="CD52" s="2135">
        <f t="shared" si="127"/>
        <v>0</v>
      </c>
      <c r="CE52" s="2135">
        <f t="shared" si="128"/>
        <v>21.185702851687505</v>
      </c>
      <c r="CF52" s="2149">
        <v>0</v>
      </c>
      <c r="CG52" s="2109">
        <f t="shared" si="129"/>
        <v>0</v>
      </c>
      <c r="CH52" s="2109">
        <v>21.185702851687505</v>
      </c>
      <c r="CI52" s="2109">
        <v>3.3177060700605767</v>
      </c>
      <c r="CJ52" s="2109">
        <f t="shared" si="11"/>
        <v>0</v>
      </c>
      <c r="CK52" s="2135"/>
      <c r="CL52" s="2135"/>
      <c r="CM52" s="2135"/>
      <c r="CN52" s="2135">
        <f t="shared" si="130"/>
        <v>0</v>
      </c>
      <c r="CO52" s="2135">
        <f t="shared" si="131"/>
        <v>21.185702851687505</v>
      </c>
      <c r="CP52" s="2149">
        <v>0</v>
      </c>
      <c r="CQ52" s="2109">
        <f t="shared" si="132"/>
        <v>0</v>
      </c>
      <c r="CR52" s="2109">
        <v>21.185702851687505</v>
      </c>
      <c r="CS52" s="2109">
        <v>3.3177060700605767</v>
      </c>
      <c r="CT52" s="2109">
        <f t="shared" si="12"/>
        <v>0</v>
      </c>
      <c r="CU52" s="2135"/>
      <c r="CV52" s="2135"/>
      <c r="CW52" s="2135"/>
      <c r="CX52" s="2135">
        <f t="shared" si="133"/>
        <v>0</v>
      </c>
      <c r="CY52" s="2135">
        <f t="shared" si="134"/>
        <v>21.185702851687505</v>
      </c>
      <c r="CZ52" s="2149">
        <v>0</v>
      </c>
      <c r="DA52" s="2109">
        <f t="shared" si="135"/>
        <v>0</v>
      </c>
      <c r="DB52" s="2109">
        <v>21.185702851687505</v>
      </c>
      <c r="DC52" s="2109">
        <v>3.3177060700605767</v>
      </c>
      <c r="DD52" s="2109">
        <f t="shared" si="13"/>
        <v>0</v>
      </c>
      <c r="DE52" s="2135"/>
      <c r="DF52" s="2135"/>
      <c r="DG52" s="2135"/>
      <c r="DH52" s="2135">
        <f t="shared" si="136"/>
        <v>0</v>
      </c>
      <c r="DI52" s="2135">
        <f t="shared" si="137"/>
        <v>21.185702851687505</v>
      </c>
      <c r="DJ52" s="2149">
        <v>0</v>
      </c>
      <c r="DK52" s="2109">
        <f t="shared" si="138"/>
        <v>0</v>
      </c>
      <c r="DL52" s="2109">
        <v>21.185702851687505</v>
      </c>
      <c r="DM52" s="2109">
        <v>3.3177060700605767</v>
      </c>
      <c r="DN52" s="2109">
        <f t="shared" si="14"/>
        <v>0</v>
      </c>
      <c r="DO52" s="2135"/>
      <c r="DP52" s="2135"/>
      <c r="DQ52" s="2135"/>
      <c r="DR52" s="2135">
        <f t="shared" si="139"/>
        <v>0</v>
      </c>
      <c r="DS52" s="2135">
        <f t="shared" si="140"/>
        <v>21.185702851687505</v>
      </c>
      <c r="DT52" s="2149">
        <v>0</v>
      </c>
      <c r="DU52" s="2109">
        <f t="shared" si="141"/>
        <v>0</v>
      </c>
      <c r="DV52" s="2109">
        <v>21.185702851687505</v>
      </c>
      <c r="DW52" s="2109">
        <v>3.3177060700605767</v>
      </c>
      <c r="DX52" s="2109">
        <f t="shared" si="15"/>
        <v>0</v>
      </c>
      <c r="DY52" s="2135"/>
      <c r="DZ52" s="2135"/>
      <c r="EA52" s="2135"/>
      <c r="EB52" s="2135">
        <f t="shared" si="142"/>
        <v>0</v>
      </c>
      <c r="EC52" s="2135">
        <f t="shared" si="143"/>
        <v>21.185702851687505</v>
      </c>
      <c r="ED52" s="2135"/>
      <c r="EE52" s="2106">
        <f t="shared" si="144"/>
        <v>613.97676000000001</v>
      </c>
      <c r="EF52" s="2106">
        <f t="shared" si="151"/>
        <v>4.1406849702299811</v>
      </c>
      <c r="EG52" s="2106">
        <f t="shared" si="145"/>
        <v>254.22843422025002</v>
      </c>
      <c r="EH52" s="2106">
        <f t="shared" si="146"/>
        <v>3.3177060700605763</v>
      </c>
      <c r="EI52" s="2106">
        <f t="shared" si="147"/>
        <v>203.69944235281258</v>
      </c>
      <c r="EJ52" s="2106"/>
      <c r="EK52" s="2106"/>
      <c r="EL52" s="2106"/>
      <c r="EM52" s="2106">
        <f t="shared" si="148"/>
        <v>7.4583910402905573</v>
      </c>
      <c r="EN52" s="2106">
        <f t="shared" si="149"/>
        <v>457.92787657306258</v>
      </c>
      <c r="EO52" s="2106">
        <f t="shared" si="152"/>
        <v>7.4583910402905573</v>
      </c>
      <c r="EP52" s="2114">
        <f t="shared" si="153"/>
        <v>7.4583910402905573</v>
      </c>
      <c r="EQ52" s="2224" t="s">
        <v>2089</v>
      </c>
      <c r="ER52" s="2210"/>
      <c r="ES52" s="2209" t="s">
        <v>1686</v>
      </c>
      <c r="ET52" s="2241"/>
      <c r="EU52" s="2230"/>
      <c r="EV52" s="2241"/>
      <c r="EW52" s="2241"/>
      <c r="EX52" s="2241"/>
      <c r="EY52" s="2244"/>
      <c r="EZ52" s="2244"/>
      <c r="FA52" s="2244"/>
      <c r="FB52" s="2242"/>
      <c r="FC52" s="2243"/>
      <c r="FD52" s="2243"/>
      <c r="FE52" s="2243"/>
      <c r="FF52" s="2243"/>
      <c r="FG52" s="2243"/>
      <c r="FH52" s="2243"/>
      <c r="FI52" s="2243"/>
    </row>
    <row r="53" spans="1:165">
      <c r="A53" s="2220">
        <v>11</v>
      </c>
      <c r="B53" s="2227" t="s">
        <v>1687</v>
      </c>
      <c r="C53" s="2146">
        <v>1600</v>
      </c>
      <c r="D53" s="2147">
        <f t="shared" si="150"/>
        <v>0</v>
      </c>
      <c r="E53" s="2146"/>
      <c r="F53" s="2148"/>
      <c r="G53" s="2146">
        <v>0</v>
      </c>
      <c r="H53" s="2149" t="s">
        <v>1649</v>
      </c>
      <c r="I53" s="2229">
        <v>1</v>
      </c>
      <c r="J53" s="2149">
        <v>0</v>
      </c>
      <c r="K53" s="2148">
        <v>3.4703846153846141E-2</v>
      </c>
      <c r="L53" s="2151"/>
      <c r="M53" s="2152">
        <f t="shared" si="107"/>
        <v>0</v>
      </c>
      <c r="N53" s="2149">
        <v>0</v>
      </c>
      <c r="O53" s="2109">
        <f t="shared" si="108"/>
        <v>0</v>
      </c>
      <c r="P53" s="2109">
        <v>0</v>
      </c>
      <c r="Q53" s="2109">
        <v>2.8763008023187049</v>
      </c>
      <c r="R53" s="2109">
        <f t="shared" si="4"/>
        <v>0</v>
      </c>
      <c r="S53" s="2109"/>
      <c r="T53" s="2109"/>
      <c r="U53" s="2109"/>
      <c r="V53" s="2109">
        <f t="shared" si="109"/>
        <v>0</v>
      </c>
      <c r="W53" s="2109">
        <f t="shared" si="110"/>
        <v>0</v>
      </c>
      <c r="X53" s="2149">
        <v>0</v>
      </c>
      <c r="Y53" s="2109">
        <f t="shared" si="111"/>
        <v>0</v>
      </c>
      <c r="Z53" s="2109">
        <v>0</v>
      </c>
      <c r="AA53" s="2109">
        <v>2.8763008023187049</v>
      </c>
      <c r="AB53" s="2109">
        <f t="shared" si="5"/>
        <v>0</v>
      </c>
      <c r="AC53" s="2135"/>
      <c r="AD53" s="2135"/>
      <c r="AE53" s="2135"/>
      <c r="AF53" s="2135">
        <f t="shared" si="112"/>
        <v>0</v>
      </c>
      <c r="AG53" s="2135">
        <f t="shared" si="113"/>
        <v>0</v>
      </c>
      <c r="AH53" s="2149">
        <v>0</v>
      </c>
      <c r="AI53" s="2109">
        <f t="shared" si="114"/>
        <v>0</v>
      </c>
      <c r="AJ53" s="2109">
        <v>0</v>
      </c>
      <c r="AK53" s="2109">
        <v>2.8763008023187049</v>
      </c>
      <c r="AL53" s="2109">
        <f t="shared" si="6"/>
        <v>0</v>
      </c>
      <c r="AM53" s="2135"/>
      <c r="AN53" s="2135"/>
      <c r="AO53" s="2135"/>
      <c r="AP53" s="2135">
        <f t="shared" si="115"/>
        <v>0</v>
      </c>
      <c r="AQ53" s="2135">
        <f t="shared" si="116"/>
        <v>0</v>
      </c>
      <c r="AR53" s="2149">
        <v>0</v>
      </c>
      <c r="AS53" s="2109">
        <f t="shared" si="117"/>
        <v>0</v>
      </c>
      <c r="AT53" s="2109">
        <v>0</v>
      </c>
      <c r="AU53" s="2109">
        <v>2.8763008023187049</v>
      </c>
      <c r="AV53" s="2109">
        <f t="shared" si="7"/>
        <v>0</v>
      </c>
      <c r="AW53" s="2135"/>
      <c r="AX53" s="2135"/>
      <c r="AY53" s="2135"/>
      <c r="AZ53" s="2135">
        <f t="shared" si="118"/>
        <v>0</v>
      </c>
      <c r="BA53" s="2135">
        <f t="shared" si="119"/>
        <v>0</v>
      </c>
      <c r="BB53" s="2149">
        <v>0</v>
      </c>
      <c r="BC53" s="2109">
        <f t="shared" si="120"/>
        <v>0</v>
      </c>
      <c r="BD53" s="2109">
        <v>0</v>
      </c>
      <c r="BE53" s="2109">
        <v>2.8763008023187049</v>
      </c>
      <c r="BF53" s="2109">
        <f t="shared" si="8"/>
        <v>0</v>
      </c>
      <c r="BG53" s="2135"/>
      <c r="BH53" s="2135"/>
      <c r="BI53" s="2135"/>
      <c r="BJ53" s="2135">
        <f t="shared" si="121"/>
        <v>0</v>
      </c>
      <c r="BK53" s="2135">
        <f t="shared" si="122"/>
        <v>0</v>
      </c>
      <c r="BL53" s="2149">
        <v>0</v>
      </c>
      <c r="BM53" s="2109">
        <f t="shared" si="123"/>
        <v>0</v>
      </c>
      <c r="BN53" s="2109">
        <v>0</v>
      </c>
      <c r="BO53" s="2109">
        <v>2.8763008023187049</v>
      </c>
      <c r="BP53" s="2109">
        <f t="shared" si="9"/>
        <v>0</v>
      </c>
      <c r="BQ53" s="2135"/>
      <c r="BR53" s="2135"/>
      <c r="BS53" s="2135"/>
      <c r="BT53" s="2135">
        <f t="shared" si="124"/>
        <v>0</v>
      </c>
      <c r="BU53" s="2135">
        <f t="shared" si="125"/>
        <v>0</v>
      </c>
      <c r="BV53" s="2149">
        <v>0</v>
      </c>
      <c r="BW53" s="2109">
        <f t="shared" si="126"/>
        <v>0</v>
      </c>
      <c r="BX53" s="2109">
        <v>0</v>
      </c>
      <c r="BY53" s="2109">
        <v>2.8763008023187049</v>
      </c>
      <c r="BZ53" s="2109">
        <f t="shared" si="10"/>
        <v>0</v>
      </c>
      <c r="CA53" s="2135"/>
      <c r="CB53" s="2135"/>
      <c r="CC53" s="2135"/>
      <c r="CD53" s="2135">
        <f t="shared" si="127"/>
        <v>0</v>
      </c>
      <c r="CE53" s="2135">
        <f t="shared" si="128"/>
        <v>0</v>
      </c>
      <c r="CF53" s="2149">
        <v>0</v>
      </c>
      <c r="CG53" s="2109">
        <f t="shared" si="129"/>
        <v>0</v>
      </c>
      <c r="CH53" s="2109">
        <v>0</v>
      </c>
      <c r="CI53" s="2109">
        <v>2.8763008023187049</v>
      </c>
      <c r="CJ53" s="2109">
        <f t="shared" si="11"/>
        <v>0</v>
      </c>
      <c r="CK53" s="2135"/>
      <c r="CL53" s="2135"/>
      <c r="CM53" s="2135"/>
      <c r="CN53" s="2135">
        <f t="shared" si="130"/>
        <v>0</v>
      </c>
      <c r="CO53" s="2135">
        <f t="shared" si="131"/>
        <v>0</v>
      </c>
      <c r="CP53" s="2149">
        <v>0</v>
      </c>
      <c r="CQ53" s="2109">
        <f t="shared" si="132"/>
        <v>0</v>
      </c>
      <c r="CR53" s="2109">
        <v>0</v>
      </c>
      <c r="CS53" s="2109">
        <v>2.8763008023187049</v>
      </c>
      <c r="CT53" s="2109">
        <f t="shared" si="12"/>
        <v>0</v>
      </c>
      <c r="CU53" s="2135"/>
      <c r="CV53" s="2135"/>
      <c r="CW53" s="2135"/>
      <c r="CX53" s="2135">
        <f t="shared" si="133"/>
        <v>0</v>
      </c>
      <c r="CY53" s="2135">
        <f t="shared" si="134"/>
        <v>0</v>
      </c>
      <c r="CZ53" s="2149">
        <v>0</v>
      </c>
      <c r="DA53" s="2109">
        <f t="shared" si="135"/>
        <v>0</v>
      </c>
      <c r="DB53" s="2109">
        <v>0</v>
      </c>
      <c r="DC53" s="2109">
        <v>2.8763008023187049</v>
      </c>
      <c r="DD53" s="2109">
        <f t="shared" si="13"/>
        <v>0</v>
      </c>
      <c r="DE53" s="2135"/>
      <c r="DF53" s="2135"/>
      <c r="DG53" s="2135"/>
      <c r="DH53" s="2135">
        <f t="shared" si="136"/>
        <v>0</v>
      </c>
      <c r="DI53" s="2135">
        <f t="shared" si="137"/>
        <v>0</v>
      </c>
      <c r="DJ53" s="2149">
        <v>0</v>
      </c>
      <c r="DK53" s="2109">
        <f t="shared" si="138"/>
        <v>0</v>
      </c>
      <c r="DL53" s="2109">
        <v>0</v>
      </c>
      <c r="DM53" s="2109">
        <v>2.8763008023187049</v>
      </c>
      <c r="DN53" s="2109">
        <f t="shared" si="14"/>
        <v>0</v>
      </c>
      <c r="DO53" s="2135"/>
      <c r="DP53" s="2135"/>
      <c r="DQ53" s="2135"/>
      <c r="DR53" s="2135">
        <f t="shared" si="139"/>
        <v>0</v>
      </c>
      <c r="DS53" s="2135">
        <f t="shared" si="140"/>
        <v>0</v>
      </c>
      <c r="DT53" s="2149">
        <v>0</v>
      </c>
      <c r="DU53" s="2109">
        <f t="shared" si="141"/>
        <v>0</v>
      </c>
      <c r="DV53" s="2109">
        <v>0</v>
      </c>
      <c r="DW53" s="2109">
        <v>2.8763008023187049</v>
      </c>
      <c r="DX53" s="2109">
        <f t="shared" si="15"/>
        <v>0</v>
      </c>
      <c r="DY53" s="2135"/>
      <c r="DZ53" s="2135"/>
      <c r="EA53" s="2135"/>
      <c r="EB53" s="2135">
        <f t="shared" si="142"/>
        <v>0</v>
      </c>
      <c r="EC53" s="2135">
        <f t="shared" si="143"/>
        <v>0</v>
      </c>
      <c r="ED53" s="2135"/>
      <c r="EE53" s="2106">
        <f t="shared" si="144"/>
        <v>0</v>
      </c>
      <c r="EF53" s="2106">
        <f t="shared" si="151"/>
        <v>0</v>
      </c>
      <c r="EG53" s="2106">
        <f t="shared" si="145"/>
        <v>0</v>
      </c>
      <c r="EH53" s="2106">
        <f t="shared" si="146"/>
        <v>0</v>
      </c>
      <c r="EI53" s="2106">
        <f t="shared" si="147"/>
        <v>0</v>
      </c>
      <c r="EJ53" s="2106"/>
      <c r="EK53" s="2106"/>
      <c r="EL53" s="2106"/>
      <c r="EM53" s="2106">
        <f t="shared" si="148"/>
        <v>0</v>
      </c>
      <c r="EN53" s="2106">
        <f t="shared" si="149"/>
        <v>0</v>
      </c>
      <c r="EO53" s="2106">
        <f t="shared" si="152"/>
        <v>0</v>
      </c>
      <c r="EP53" s="2114">
        <f t="shared" si="153"/>
        <v>0</v>
      </c>
      <c r="EQ53" s="2224"/>
      <c r="ER53" s="2210"/>
      <c r="ES53" s="2209" t="s">
        <v>1687</v>
      </c>
      <c r="ET53" s="2241"/>
      <c r="EU53" s="2230"/>
      <c r="EV53" s="2241"/>
      <c r="EW53" s="2241"/>
      <c r="EX53" s="2241"/>
      <c r="EY53" s="2244"/>
      <c r="EZ53" s="2244"/>
      <c r="FA53" s="2244"/>
      <c r="FB53" s="2242"/>
      <c r="FC53" s="2243"/>
      <c r="FD53" s="2243"/>
      <c r="FE53" s="2243"/>
      <c r="FF53" s="2243"/>
      <c r="FG53" s="2243"/>
      <c r="FH53" s="2243"/>
      <c r="FI53" s="2243"/>
    </row>
    <row r="54" spans="1:165">
      <c r="A54" s="2220">
        <v>12</v>
      </c>
      <c r="B54" s="2227" t="s">
        <v>1688</v>
      </c>
      <c r="C54" s="2146">
        <v>840</v>
      </c>
      <c r="D54" s="2147">
        <f t="shared" si="150"/>
        <v>9.166666666666666E-2</v>
      </c>
      <c r="E54" s="2146"/>
      <c r="F54" s="2148"/>
      <c r="G54" s="2146">
        <v>77</v>
      </c>
      <c r="H54" s="2149" t="s">
        <v>1649</v>
      </c>
      <c r="I54" s="2229">
        <v>1</v>
      </c>
      <c r="J54" s="2149">
        <v>199.58186117683073</v>
      </c>
      <c r="K54" s="2148">
        <v>3.4703846153846141E-2</v>
      </c>
      <c r="L54" s="2151"/>
      <c r="M54" s="2152">
        <f t="shared" si="107"/>
        <v>192.65560297145171</v>
      </c>
      <c r="N54" s="2149">
        <v>23.176062799999997</v>
      </c>
      <c r="O54" s="2109">
        <f t="shared" si="108"/>
        <v>1.8577091747492591</v>
      </c>
      <c r="P54" s="2109">
        <v>4.3054384498124998</v>
      </c>
      <c r="Q54" s="2109">
        <v>2.4469667986630892</v>
      </c>
      <c r="R54" s="2109">
        <f t="shared" si="4"/>
        <v>5.6711056195330709</v>
      </c>
      <c r="S54" s="2109"/>
      <c r="T54" s="2109"/>
      <c r="U54" s="2109"/>
      <c r="V54" s="2109">
        <f t="shared" si="109"/>
        <v>4.3046759734123494</v>
      </c>
      <c r="W54" s="2109">
        <f t="shared" si="110"/>
        <v>9.9765440693455716</v>
      </c>
      <c r="X54" s="2149">
        <v>39.176675999999993</v>
      </c>
      <c r="Y54" s="2109">
        <f t="shared" si="111"/>
        <v>1.0989800282730726</v>
      </c>
      <c r="Z54" s="2109">
        <v>4.3054384498124998</v>
      </c>
      <c r="AA54" s="2109">
        <v>2.4469667986630892</v>
      </c>
      <c r="AB54" s="2109">
        <f t="shared" si="5"/>
        <v>9.586402545398105</v>
      </c>
      <c r="AC54" s="2135"/>
      <c r="AD54" s="2135"/>
      <c r="AE54" s="2135"/>
      <c r="AF54" s="2135">
        <f t="shared" si="112"/>
        <v>3.5459468269361611</v>
      </c>
      <c r="AG54" s="2135">
        <f t="shared" si="113"/>
        <v>13.891840995210604</v>
      </c>
      <c r="AH54" s="2149">
        <v>34.017758400000005</v>
      </c>
      <c r="AI54" s="2109">
        <f t="shared" si="114"/>
        <v>1.2656443729145008</v>
      </c>
      <c r="AJ54" s="2109">
        <v>4.3054384498124998</v>
      </c>
      <c r="AK54" s="2109">
        <v>2.4469667986630892</v>
      </c>
      <c r="AL54" s="2109">
        <f t="shared" si="6"/>
        <v>8.3240325369742418</v>
      </c>
      <c r="AM54" s="2135"/>
      <c r="AN54" s="2135"/>
      <c r="AO54" s="2135"/>
      <c r="AP54" s="2135">
        <f t="shared" si="115"/>
        <v>3.7126111715775902</v>
      </c>
      <c r="AQ54" s="2135">
        <f t="shared" si="116"/>
        <v>12.629470986786743</v>
      </c>
      <c r="AR54" s="2149">
        <v>33.414684199999996</v>
      </c>
      <c r="AS54" s="2109">
        <f t="shared" si="117"/>
        <v>1.2884869490439477</v>
      </c>
      <c r="AT54" s="2109">
        <v>4.3054384498124998</v>
      </c>
      <c r="AU54" s="2109">
        <v>2.4469667986630892</v>
      </c>
      <c r="AV54" s="2109">
        <f t="shared" si="7"/>
        <v>8.1764622825212108</v>
      </c>
      <c r="AW54" s="2135"/>
      <c r="AX54" s="2135"/>
      <c r="AY54" s="2135"/>
      <c r="AZ54" s="2135">
        <f t="shared" si="118"/>
        <v>3.7354537477070373</v>
      </c>
      <c r="BA54" s="2135">
        <f t="shared" si="119"/>
        <v>12.48190073233371</v>
      </c>
      <c r="BB54" s="2149">
        <v>34.260359389733935</v>
      </c>
      <c r="BC54" s="2109">
        <f t="shared" si="120"/>
        <v>1.2566822200652741</v>
      </c>
      <c r="BD54" s="2109">
        <v>4.3054384498124998</v>
      </c>
      <c r="BE54" s="2109">
        <v>2.4469667986630892</v>
      </c>
      <c r="BF54" s="2109">
        <f t="shared" si="8"/>
        <v>8.3833961936944146</v>
      </c>
      <c r="BG54" s="2135"/>
      <c r="BH54" s="2135"/>
      <c r="BI54" s="2135"/>
      <c r="BJ54" s="2135">
        <f t="shared" si="121"/>
        <v>3.7036490187283633</v>
      </c>
      <c r="BK54" s="2135">
        <f t="shared" si="122"/>
        <v>12.688834643506915</v>
      </c>
      <c r="BL54" s="2149">
        <v>35.536320387096779</v>
      </c>
      <c r="BM54" s="2109">
        <f t="shared" si="123"/>
        <v>1.2115600047819814</v>
      </c>
      <c r="BN54" s="2109">
        <v>4.3054384498124998</v>
      </c>
      <c r="BO54" s="2109">
        <v>2.4469667986630892</v>
      </c>
      <c r="BP54" s="2109">
        <f t="shared" si="9"/>
        <v>8.6956196133880077</v>
      </c>
      <c r="BQ54" s="2135"/>
      <c r="BR54" s="2135"/>
      <c r="BS54" s="2135"/>
      <c r="BT54" s="2135">
        <f t="shared" si="124"/>
        <v>3.6585268034450702</v>
      </c>
      <c r="BU54" s="2135">
        <f t="shared" si="125"/>
        <v>13.001058063200507</v>
      </c>
      <c r="BV54" s="2149">
        <v>0</v>
      </c>
      <c r="BW54" s="2109">
        <f t="shared" si="126"/>
        <v>0</v>
      </c>
      <c r="BX54" s="2109">
        <v>4.3054384498124998</v>
      </c>
      <c r="BY54" s="2109">
        <v>2.4469667986630892</v>
      </c>
      <c r="BZ54" s="2109">
        <f t="shared" si="10"/>
        <v>0</v>
      </c>
      <c r="CA54" s="2135"/>
      <c r="CB54" s="2135"/>
      <c r="CC54" s="2135"/>
      <c r="CD54" s="2135">
        <f t="shared" si="127"/>
        <v>0</v>
      </c>
      <c r="CE54" s="2135">
        <f t="shared" si="128"/>
        <v>4.3054384498124998</v>
      </c>
      <c r="CF54" s="2149">
        <v>0</v>
      </c>
      <c r="CG54" s="2109">
        <f t="shared" si="129"/>
        <v>0</v>
      </c>
      <c r="CH54" s="2109">
        <v>4.3054384498124998</v>
      </c>
      <c r="CI54" s="2109">
        <v>2.4469667986630892</v>
      </c>
      <c r="CJ54" s="2109">
        <f t="shared" si="11"/>
        <v>0</v>
      </c>
      <c r="CK54" s="2135"/>
      <c r="CL54" s="2135"/>
      <c r="CM54" s="2135"/>
      <c r="CN54" s="2135">
        <f t="shared" si="130"/>
        <v>0</v>
      </c>
      <c r="CO54" s="2135">
        <f t="shared" si="131"/>
        <v>4.3054384498124998</v>
      </c>
      <c r="CP54" s="2149">
        <v>0</v>
      </c>
      <c r="CQ54" s="2109">
        <f t="shared" si="132"/>
        <v>0</v>
      </c>
      <c r="CR54" s="2109">
        <v>4.3054384498124998</v>
      </c>
      <c r="CS54" s="2109">
        <v>2.4469667986630892</v>
      </c>
      <c r="CT54" s="2109">
        <f t="shared" si="12"/>
        <v>0</v>
      </c>
      <c r="CU54" s="2135"/>
      <c r="CV54" s="2135"/>
      <c r="CW54" s="2135"/>
      <c r="CX54" s="2135">
        <f t="shared" si="133"/>
        <v>0</v>
      </c>
      <c r="CY54" s="2135">
        <f t="shared" si="134"/>
        <v>4.3054384498124998</v>
      </c>
      <c r="CZ54" s="2149">
        <v>0</v>
      </c>
      <c r="DA54" s="2109">
        <f t="shared" si="135"/>
        <v>0</v>
      </c>
      <c r="DB54" s="2109">
        <v>4.3054384498124998</v>
      </c>
      <c r="DC54" s="2109">
        <v>2.4469667986630892</v>
      </c>
      <c r="DD54" s="2109">
        <f t="shared" si="13"/>
        <v>0</v>
      </c>
      <c r="DE54" s="2135"/>
      <c r="DF54" s="2135"/>
      <c r="DG54" s="2135"/>
      <c r="DH54" s="2135">
        <f t="shared" si="136"/>
        <v>0</v>
      </c>
      <c r="DI54" s="2135">
        <f t="shared" si="137"/>
        <v>4.3054384498124998</v>
      </c>
      <c r="DJ54" s="2149">
        <v>0</v>
      </c>
      <c r="DK54" s="2109">
        <f t="shared" si="138"/>
        <v>0</v>
      </c>
      <c r="DL54" s="2109">
        <v>4.3054384498124998</v>
      </c>
      <c r="DM54" s="2109">
        <v>2.4469667986630892</v>
      </c>
      <c r="DN54" s="2109">
        <f t="shared" si="14"/>
        <v>0</v>
      </c>
      <c r="DO54" s="2135"/>
      <c r="DP54" s="2135"/>
      <c r="DQ54" s="2135"/>
      <c r="DR54" s="2135">
        <f t="shared" si="139"/>
        <v>0</v>
      </c>
      <c r="DS54" s="2135">
        <f t="shared" si="140"/>
        <v>4.3054384498124998</v>
      </c>
      <c r="DT54" s="2149">
        <v>0</v>
      </c>
      <c r="DU54" s="2109">
        <f t="shared" si="141"/>
        <v>0</v>
      </c>
      <c r="DV54" s="2109">
        <v>4.3054384498124998</v>
      </c>
      <c r="DW54" s="2109">
        <v>2.4469667986630892</v>
      </c>
      <c r="DX54" s="2109">
        <f t="shared" si="15"/>
        <v>0</v>
      </c>
      <c r="DY54" s="2135"/>
      <c r="DZ54" s="2135"/>
      <c r="EA54" s="2135"/>
      <c r="EB54" s="2135">
        <f t="shared" si="142"/>
        <v>0</v>
      </c>
      <c r="EC54" s="2135">
        <f t="shared" si="143"/>
        <v>4.3054384498124998</v>
      </c>
      <c r="ED54" s="2135"/>
      <c r="EE54" s="2106">
        <f t="shared" si="144"/>
        <v>199.58186117683073</v>
      </c>
      <c r="EF54" s="2106">
        <f t="shared" si="151"/>
        <v>2.5886751978915692</v>
      </c>
      <c r="EG54" s="2106">
        <f t="shared" si="145"/>
        <v>51.665261397749994</v>
      </c>
      <c r="EH54" s="2106">
        <f t="shared" si="146"/>
        <v>2.4469667986630887</v>
      </c>
      <c r="EI54" s="2106">
        <f t="shared" si="147"/>
        <v>48.837018791509053</v>
      </c>
      <c r="EJ54" s="2106"/>
      <c r="EK54" s="2106"/>
      <c r="EL54" s="2106"/>
      <c r="EM54" s="2106">
        <f t="shared" si="148"/>
        <v>5.0356419965546575</v>
      </c>
      <c r="EN54" s="2106">
        <f t="shared" si="149"/>
        <v>100.50228018925904</v>
      </c>
      <c r="EO54" s="2106">
        <f t="shared" si="152"/>
        <v>5.0356419965546575</v>
      </c>
      <c r="EP54" s="2114">
        <f t="shared" si="153"/>
        <v>5.2166808875084616</v>
      </c>
      <c r="EQ54" s="2224" t="s">
        <v>2090</v>
      </c>
      <c r="ER54" s="2210"/>
      <c r="ES54" s="2209" t="s">
        <v>1688</v>
      </c>
      <c r="ET54" s="2241"/>
      <c r="EU54" s="2230"/>
      <c r="EV54" s="2241"/>
      <c r="EW54" s="2241"/>
      <c r="EX54" s="2241"/>
      <c r="EY54" s="2244"/>
      <c r="EZ54" s="2244"/>
      <c r="FA54" s="2244"/>
      <c r="FB54" s="2242"/>
      <c r="FC54" s="2243"/>
      <c r="FD54" s="2243"/>
      <c r="FE54" s="2243"/>
      <c r="FF54" s="2243"/>
      <c r="FG54" s="2243"/>
      <c r="FH54" s="2243"/>
      <c r="FI54" s="2243"/>
    </row>
    <row r="55" spans="1:165">
      <c r="A55" s="2220">
        <v>13</v>
      </c>
      <c r="B55" s="2227" t="s">
        <v>1689</v>
      </c>
      <c r="C55" s="2146">
        <v>1500</v>
      </c>
      <c r="D55" s="2147">
        <f t="shared" si="150"/>
        <v>0.1</v>
      </c>
      <c r="E55" s="2146"/>
      <c r="F55" s="2148">
        <v>1.3026734019592581</v>
      </c>
      <c r="G55" s="2146">
        <v>150</v>
      </c>
      <c r="H55" s="2149" t="s">
        <v>1649</v>
      </c>
      <c r="I55" s="2229">
        <v>1</v>
      </c>
      <c r="J55" s="2149">
        <v>626.63558598064515</v>
      </c>
      <c r="K55" s="2148">
        <v>3.4703846153846141E-2</v>
      </c>
      <c r="L55" s="2151"/>
      <c r="M55" s="2152">
        <f t="shared" si="107"/>
        <v>604.8889210102476</v>
      </c>
      <c r="N55" s="2149">
        <v>73.143997400000003</v>
      </c>
      <c r="O55" s="2109">
        <f t="shared" si="108"/>
        <v>1.7430969469409943</v>
      </c>
      <c r="P55" s="2109">
        <v>12.749707855500004</v>
      </c>
      <c r="Q55" s="2109">
        <v>2.3895748951223368</v>
      </c>
      <c r="R55" s="2109">
        <f t="shared" si="4"/>
        <v>17.478305991593349</v>
      </c>
      <c r="S55" s="2109"/>
      <c r="T55" s="2109"/>
      <c r="U55" s="2109"/>
      <c r="V55" s="2109">
        <f t="shared" si="109"/>
        <v>4.1326718420633313</v>
      </c>
      <c r="W55" s="2109">
        <f t="shared" si="110"/>
        <v>30.228013847093351</v>
      </c>
      <c r="X55" s="2149">
        <v>94.162499999999994</v>
      </c>
      <c r="Y55" s="2109">
        <f t="shared" si="111"/>
        <v>1.3540111886897654</v>
      </c>
      <c r="Z55" s="2109">
        <v>12.749707855500004</v>
      </c>
      <c r="AA55" s="2109">
        <v>2.3895748951223368</v>
      </c>
      <c r="AB55" s="2109">
        <f t="shared" si="5"/>
        <v>22.500834606195703</v>
      </c>
      <c r="AC55" s="2135"/>
      <c r="AD55" s="2135"/>
      <c r="AE55" s="2135"/>
      <c r="AF55" s="2135">
        <f t="shared" si="112"/>
        <v>3.7435860838121027</v>
      </c>
      <c r="AG55" s="2135">
        <f t="shared" si="113"/>
        <v>35.250542461695709</v>
      </c>
      <c r="AH55" s="2149">
        <v>91.125</v>
      </c>
      <c r="AI55" s="2109">
        <f t="shared" si="114"/>
        <v>1.3991448949794245</v>
      </c>
      <c r="AJ55" s="2109">
        <v>12.749707855500004</v>
      </c>
      <c r="AK55" s="2109">
        <v>2.3895748951223368</v>
      </c>
      <c r="AL55" s="2109">
        <f t="shared" si="6"/>
        <v>21.775001231802293</v>
      </c>
      <c r="AM55" s="2135"/>
      <c r="AN55" s="2135"/>
      <c r="AO55" s="2135"/>
      <c r="AP55" s="2135">
        <f t="shared" si="115"/>
        <v>3.7887197901017613</v>
      </c>
      <c r="AQ55" s="2135">
        <f t="shared" si="116"/>
        <v>34.524709087302298</v>
      </c>
      <c r="AR55" s="2149">
        <v>94.162499999999994</v>
      </c>
      <c r="AS55" s="2109">
        <f t="shared" si="117"/>
        <v>1.3540111886897654</v>
      </c>
      <c r="AT55" s="2109">
        <v>12.749707855500004</v>
      </c>
      <c r="AU55" s="2109">
        <v>2.3895748951223368</v>
      </c>
      <c r="AV55" s="2109">
        <f t="shared" si="7"/>
        <v>22.500834606195703</v>
      </c>
      <c r="AW55" s="2135"/>
      <c r="AX55" s="2135"/>
      <c r="AY55" s="2135"/>
      <c r="AZ55" s="2135">
        <f t="shared" si="118"/>
        <v>3.7435860838121027</v>
      </c>
      <c r="BA55" s="2135">
        <f t="shared" si="119"/>
        <v>35.250542461695709</v>
      </c>
      <c r="BB55" s="2149">
        <v>94.162499999999994</v>
      </c>
      <c r="BC55" s="2109">
        <f t="shared" si="120"/>
        <v>1.3540111886897654</v>
      </c>
      <c r="BD55" s="2109">
        <v>12.749707855500004</v>
      </c>
      <c r="BE55" s="2109">
        <v>2.3895748951223368</v>
      </c>
      <c r="BF55" s="2109">
        <f t="shared" si="8"/>
        <v>22.500834606195703</v>
      </c>
      <c r="BG55" s="2135"/>
      <c r="BH55" s="2135"/>
      <c r="BI55" s="2135"/>
      <c r="BJ55" s="2135">
        <f t="shared" si="121"/>
        <v>3.7435860838121027</v>
      </c>
      <c r="BK55" s="2135">
        <f t="shared" si="122"/>
        <v>35.250542461695709</v>
      </c>
      <c r="BL55" s="2149">
        <v>94.829088580645134</v>
      </c>
      <c r="BM55" s="2109">
        <f t="shared" si="123"/>
        <v>1.3444933454841044</v>
      </c>
      <c r="BN55" s="2109">
        <v>12.749707855500004</v>
      </c>
      <c r="BO55" s="2109">
        <v>2.3895748951223368</v>
      </c>
      <c r="BP55" s="2109">
        <f t="shared" si="9"/>
        <v>22.660120939964187</v>
      </c>
      <c r="BQ55" s="2135"/>
      <c r="BR55" s="2135"/>
      <c r="BS55" s="2135"/>
      <c r="BT55" s="2135">
        <f t="shared" si="124"/>
        <v>3.7340682406064412</v>
      </c>
      <c r="BU55" s="2135">
        <f t="shared" si="125"/>
        <v>35.409828795464193</v>
      </c>
      <c r="BV55" s="2149">
        <v>0</v>
      </c>
      <c r="BW55" s="2109">
        <f t="shared" si="126"/>
        <v>0</v>
      </c>
      <c r="BX55" s="2109">
        <v>12.749707855500004</v>
      </c>
      <c r="BY55" s="2109">
        <v>2.3895748951223368</v>
      </c>
      <c r="BZ55" s="2109">
        <f t="shared" si="10"/>
        <v>0</v>
      </c>
      <c r="CA55" s="2135"/>
      <c r="CB55" s="2135"/>
      <c r="CC55" s="2135"/>
      <c r="CD55" s="2135">
        <f t="shared" si="127"/>
        <v>0</v>
      </c>
      <c r="CE55" s="2135">
        <f t="shared" si="128"/>
        <v>12.749707855500004</v>
      </c>
      <c r="CF55" s="2149">
        <v>0</v>
      </c>
      <c r="CG55" s="2109">
        <f t="shared" si="129"/>
        <v>0</v>
      </c>
      <c r="CH55" s="2109">
        <v>12.749707855500004</v>
      </c>
      <c r="CI55" s="2109">
        <v>2.3895748951223368</v>
      </c>
      <c r="CJ55" s="2109">
        <f t="shared" si="11"/>
        <v>0</v>
      </c>
      <c r="CK55" s="2135"/>
      <c r="CL55" s="2135"/>
      <c r="CM55" s="2135"/>
      <c r="CN55" s="2135">
        <f t="shared" si="130"/>
        <v>0</v>
      </c>
      <c r="CO55" s="2135">
        <f t="shared" si="131"/>
        <v>12.749707855500004</v>
      </c>
      <c r="CP55" s="2149">
        <v>0</v>
      </c>
      <c r="CQ55" s="2109">
        <f t="shared" si="132"/>
        <v>0</v>
      </c>
      <c r="CR55" s="2109">
        <v>12.749707855500004</v>
      </c>
      <c r="CS55" s="2109">
        <v>2.3895748951223368</v>
      </c>
      <c r="CT55" s="2109">
        <f t="shared" si="12"/>
        <v>0</v>
      </c>
      <c r="CU55" s="2135"/>
      <c r="CV55" s="2135"/>
      <c r="CW55" s="2135"/>
      <c r="CX55" s="2135">
        <f t="shared" si="133"/>
        <v>0</v>
      </c>
      <c r="CY55" s="2135">
        <f t="shared" si="134"/>
        <v>12.749707855500004</v>
      </c>
      <c r="CZ55" s="2149">
        <v>0</v>
      </c>
      <c r="DA55" s="2109">
        <f t="shared" si="135"/>
        <v>0</v>
      </c>
      <c r="DB55" s="2109">
        <v>12.749707855500004</v>
      </c>
      <c r="DC55" s="2109">
        <v>2.3895748951223368</v>
      </c>
      <c r="DD55" s="2109">
        <f t="shared" si="13"/>
        <v>0</v>
      </c>
      <c r="DE55" s="2135"/>
      <c r="DF55" s="2135"/>
      <c r="DG55" s="2135"/>
      <c r="DH55" s="2135">
        <f t="shared" si="136"/>
        <v>0</v>
      </c>
      <c r="DI55" s="2135">
        <f t="shared" si="137"/>
        <v>12.749707855500004</v>
      </c>
      <c r="DJ55" s="2149">
        <v>85.05</v>
      </c>
      <c r="DK55" s="2109">
        <f t="shared" si="138"/>
        <v>1.4990838160493833</v>
      </c>
      <c r="DL55" s="2109">
        <v>12.749707855500004</v>
      </c>
      <c r="DM55" s="2109">
        <v>2.3895748951223368</v>
      </c>
      <c r="DN55" s="2109">
        <f t="shared" si="14"/>
        <v>20.323334483015476</v>
      </c>
      <c r="DO55" s="2135"/>
      <c r="DP55" s="2135"/>
      <c r="DQ55" s="2135"/>
      <c r="DR55" s="2135">
        <f t="shared" si="139"/>
        <v>3.8886587111717201</v>
      </c>
      <c r="DS55" s="2135">
        <f t="shared" si="140"/>
        <v>33.073042338515478</v>
      </c>
      <c r="DT55" s="2149">
        <v>0</v>
      </c>
      <c r="DU55" s="2109">
        <f t="shared" si="141"/>
        <v>0</v>
      </c>
      <c r="DV55" s="2109">
        <v>12.749707855500004</v>
      </c>
      <c r="DW55" s="2109">
        <v>2.3895748951223368</v>
      </c>
      <c r="DX55" s="2109">
        <f t="shared" si="15"/>
        <v>0</v>
      </c>
      <c r="DY55" s="2135"/>
      <c r="DZ55" s="2135"/>
      <c r="EA55" s="2135"/>
      <c r="EB55" s="2135">
        <f t="shared" si="142"/>
        <v>0</v>
      </c>
      <c r="EC55" s="2135">
        <f t="shared" si="143"/>
        <v>12.749707855500004</v>
      </c>
      <c r="ED55" s="2135"/>
      <c r="EE55" s="2106">
        <f t="shared" si="144"/>
        <v>626.63558598064515</v>
      </c>
      <c r="EF55" s="2106">
        <f t="shared" si="151"/>
        <v>2.4415545125253328</v>
      </c>
      <c r="EG55" s="2106">
        <f t="shared" si="145"/>
        <v>152.99649426600004</v>
      </c>
      <c r="EH55" s="2106">
        <f t="shared" si="146"/>
        <v>2.3895748951223368</v>
      </c>
      <c r="EI55" s="2106">
        <f t="shared" si="147"/>
        <v>149.73926646496241</v>
      </c>
      <c r="EJ55" s="2106"/>
      <c r="EK55" s="2106"/>
      <c r="EL55" s="2106"/>
      <c r="EM55" s="2106">
        <f t="shared" si="148"/>
        <v>4.8311294076476692</v>
      </c>
      <c r="EN55" s="2106">
        <f t="shared" si="149"/>
        <v>302.73576073096245</v>
      </c>
      <c r="EO55" s="2106">
        <f>EN55/J55*10</f>
        <v>4.8311294076476692</v>
      </c>
      <c r="EP55" s="2114">
        <f>EN55/M55*10</f>
        <v>5.0048157639480673</v>
      </c>
      <c r="EQ55" s="2224"/>
      <c r="ER55" s="2210"/>
      <c r="ES55" s="2209" t="s">
        <v>1689</v>
      </c>
      <c r="ET55" s="2241"/>
      <c r="EU55" s="2230"/>
      <c r="EV55" s="2241"/>
      <c r="EW55" s="2241"/>
      <c r="EX55" s="2241"/>
      <c r="EY55" s="2244"/>
      <c r="EZ55" s="2244"/>
      <c r="FA55" s="2244"/>
      <c r="FB55" s="2242"/>
      <c r="FC55" s="2243"/>
      <c r="FD55" s="2243"/>
      <c r="FE55" s="2243"/>
      <c r="FF55" s="2243"/>
      <c r="FG55" s="2243"/>
      <c r="FH55" s="2243"/>
      <c r="FI55" s="2243"/>
    </row>
    <row r="56" spans="1:165">
      <c r="A56" s="2220">
        <v>14</v>
      </c>
      <c r="B56" s="2227" t="s">
        <v>1690</v>
      </c>
      <c r="C56" s="2146">
        <v>840</v>
      </c>
      <c r="D56" s="2147">
        <f t="shared" si="150"/>
        <v>0.1</v>
      </c>
      <c r="E56" s="2146"/>
      <c r="F56" s="2148">
        <v>0.71609079007771737</v>
      </c>
      <c r="G56" s="2146">
        <v>84</v>
      </c>
      <c r="H56" s="2149" t="s">
        <v>1649</v>
      </c>
      <c r="I56" s="2229">
        <v>1</v>
      </c>
      <c r="J56" s="2149">
        <v>220.61885025999999</v>
      </c>
      <c r="K56" s="2148">
        <v>3.4703846153846141E-2</v>
      </c>
      <c r="L56" s="2151"/>
      <c r="M56" s="2152">
        <f t="shared" si="107"/>
        <v>212.96252762193853</v>
      </c>
      <c r="N56" s="2149">
        <v>0</v>
      </c>
      <c r="O56" s="2109">
        <f t="shared" si="108"/>
        <v>0</v>
      </c>
      <c r="P56" s="2109">
        <v>4.6906204826250004</v>
      </c>
      <c r="Q56" s="2109">
        <v>3.3445742079590919</v>
      </c>
      <c r="R56" s="2109">
        <f t="shared" si="4"/>
        <v>0</v>
      </c>
      <c r="S56" s="2109"/>
      <c r="T56" s="2109"/>
      <c r="U56" s="2109"/>
      <c r="V56" s="2109">
        <f t="shared" si="109"/>
        <v>0</v>
      </c>
      <c r="W56" s="2109">
        <f t="shared" si="110"/>
        <v>4.6906204826250004</v>
      </c>
      <c r="X56" s="2149">
        <v>24.300542360000005</v>
      </c>
      <c r="Y56" s="2109">
        <f t="shared" si="111"/>
        <v>1.9302534129221796</v>
      </c>
      <c r="Z56" s="2109">
        <v>4.6906204826250004</v>
      </c>
      <c r="AA56" s="2109">
        <v>3.3445742079590919</v>
      </c>
      <c r="AB56" s="2109">
        <f t="shared" si="5"/>
        <v>8.1274967216673382</v>
      </c>
      <c r="AC56" s="2135"/>
      <c r="AD56" s="2135"/>
      <c r="AE56" s="2135"/>
      <c r="AF56" s="2135">
        <f t="shared" si="112"/>
        <v>5.2748276208812719</v>
      </c>
      <c r="AG56" s="2135">
        <f t="shared" si="113"/>
        <v>12.818117204292339</v>
      </c>
      <c r="AH56" s="2149">
        <v>49.805279999999996</v>
      </c>
      <c r="AI56" s="2109">
        <f t="shared" si="114"/>
        <v>0.94179181055201389</v>
      </c>
      <c r="AJ56" s="2109">
        <v>4.6906204826250004</v>
      </c>
      <c r="AK56" s="2109">
        <v>3.3445742079590919</v>
      </c>
      <c r="AL56" s="2109">
        <f t="shared" si="6"/>
        <v>16.65774549081808</v>
      </c>
      <c r="AM56" s="2135"/>
      <c r="AN56" s="2135"/>
      <c r="AO56" s="2135"/>
      <c r="AP56" s="2135">
        <f t="shared" si="115"/>
        <v>4.2863660185111057</v>
      </c>
      <c r="AQ56" s="2135">
        <f t="shared" si="116"/>
        <v>21.34836597344308</v>
      </c>
      <c r="AR56" s="2149">
        <v>51.465456000000003</v>
      </c>
      <c r="AS56" s="2109">
        <f t="shared" si="117"/>
        <v>0.91141142956646493</v>
      </c>
      <c r="AT56" s="2109">
        <v>4.6906204826250004</v>
      </c>
      <c r="AU56" s="2109">
        <v>3.3445742079590919</v>
      </c>
      <c r="AV56" s="2109">
        <f t="shared" si="7"/>
        <v>17.21300367384535</v>
      </c>
      <c r="AW56" s="2135"/>
      <c r="AX56" s="2135"/>
      <c r="AY56" s="2135"/>
      <c r="AZ56" s="2135">
        <f t="shared" si="118"/>
        <v>4.2559856375255567</v>
      </c>
      <c r="BA56" s="2135">
        <f t="shared" si="119"/>
        <v>21.90362415647035</v>
      </c>
      <c r="BB56" s="2149">
        <v>45.242291900000005</v>
      </c>
      <c r="BC56" s="2109">
        <f t="shared" si="120"/>
        <v>1.0367778212900394</v>
      </c>
      <c r="BD56" s="2109">
        <v>4.6906204826250004</v>
      </c>
      <c r="BE56" s="2109">
        <v>3.3445742079590919</v>
      </c>
      <c r="BF56" s="2109">
        <f t="shared" si="8"/>
        <v>15.131620259769656</v>
      </c>
      <c r="BG56" s="2135"/>
      <c r="BH56" s="2135"/>
      <c r="BI56" s="2135"/>
      <c r="BJ56" s="2135">
        <f t="shared" si="121"/>
        <v>4.3813520292491308</v>
      </c>
      <c r="BK56" s="2135">
        <f t="shared" si="122"/>
        <v>19.822240742394655</v>
      </c>
      <c r="BL56" s="2149">
        <v>49.805279999999996</v>
      </c>
      <c r="BM56" s="2109">
        <f t="shared" si="123"/>
        <v>0.94179181055201389</v>
      </c>
      <c r="BN56" s="2109">
        <v>4.6906204826250004</v>
      </c>
      <c r="BO56" s="2109">
        <v>3.3445742079590919</v>
      </c>
      <c r="BP56" s="2109">
        <f t="shared" si="9"/>
        <v>16.65774549081808</v>
      </c>
      <c r="BQ56" s="2135"/>
      <c r="BR56" s="2135"/>
      <c r="BS56" s="2135"/>
      <c r="BT56" s="2135">
        <f t="shared" si="124"/>
        <v>4.2863660185111057</v>
      </c>
      <c r="BU56" s="2135">
        <f t="shared" si="125"/>
        <v>21.34836597344308</v>
      </c>
      <c r="BV56" s="2149">
        <v>0</v>
      </c>
      <c r="BW56" s="2109">
        <f t="shared" si="126"/>
        <v>0</v>
      </c>
      <c r="BX56" s="2109">
        <v>4.6906204826250004</v>
      </c>
      <c r="BY56" s="2109">
        <v>3.3445742079590919</v>
      </c>
      <c r="BZ56" s="2109">
        <f t="shared" si="10"/>
        <v>0</v>
      </c>
      <c r="CA56" s="2135"/>
      <c r="CB56" s="2135"/>
      <c r="CC56" s="2135"/>
      <c r="CD56" s="2135">
        <f t="shared" si="127"/>
        <v>0</v>
      </c>
      <c r="CE56" s="2135">
        <f t="shared" si="128"/>
        <v>4.6906204826250004</v>
      </c>
      <c r="CF56" s="2149">
        <v>0</v>
      </c>
      <c r="CG56" s="2109">
        <f t="shared" si="129"/>
        <v>0</v>
      </c>
      <c r="CH56" s="2109">
        <v>4.6906204826250004</v>
      </c>
      <c r="CI56" s="2109">
        <v>3.3445742079590919</v>
      </c>
      <c r="CJ56" s="2109">
        <f t="shared" si="11"/>
        <v>0</v>
      </c>
      <c r="CK56" s="2135"/>
      <c r="CL56" s="2135"/>
      <c r="CM56" s="2135"/>
      <c r="CN56" s="2135">
        <f t="shared" si="130"/>
        <v>0</v>
      </c>
      <c r="CO56" s="2135">
        <f t="shared" si="131"/>
        <v>4.6906204826250004</v>
      </c>
      <c r="CP56" s="2149">
        <v>0</v>
      </c>
      <c r="CQ56" s="2109">
        <f t="shared" si="132"/>
        <v>0</v>
      </c>
      <c r="CR56" s="2109">
        <v>4.6906204826250004</v>
      </c>
      <c r="CS56" s="2109">
        <v>3.3445742079590919</v>
      </c>
      <c r="CT56" s="2109">
        <f t="shared" si="12"/>
        <v>0</v>
      </c>
      <c r="CU56" s="2135"/>
      <c r="CV56" s="2135"/>
      <c r="CW56" s="2135"/>
      <c r="CX56" s="2135">
        <f t="shared" si="133"/>
        <v>0</v>
      </c>
      <c r="CY56" s="2135">
        <f t="shared" si="134"/>
        <v>4.6906204826250004</v>
      </c>
      <c r="CZ56" s="2149">
        <v>0</v>
      </c>
      <c r="DA56" s="2109">
        <f t="shared" si="135"/>
        <v>0</v>
      </c>
      <c r="DB56" s="2109">
        <v>4.6906204826250004</v>
      </c>
      <c r="DC56" s="2109">
        <v>3.3445742079590919</v>
      </c>
      <c r="DD56" s="2109">
        <f t="shared" si="13"/>
        <v>0</v>
      </c>
      <c r="DE56" s="2135"/>
      <c r="DF56" s="2135"/>
      <c r="DG56" s="2135"/>
      <c r="DH56" s="2135">
        <f t="shared" si="136"/>
        <v>0</v>
      </c>
      <c r="DI56" s="2135">
        <f t="shared" si="137"/>
        <v>4.6906204826250004</v>
      </c>
      <c r="DJ56" s="2149">
        <v>0</v>
      </c>
      <c r="DK56" s="2109">
        <f t="shared" si="138"/>
        <v>0</v>
      </c>
      <c r="DL56" s="2109">
        <v>4.6906204826250004</v>
      </c>
      <c r="DM56" s="2109">
        <v>3.3445742079590919</v>
      </c>
      <c r="DN56" s="2109">
        <f t="shared" si="14"/>
        <v>0</v>
      </c>
      <c r="DO56" s="2135"/>
      <c r="DP56" s="2135"/>
      <c r="DQ56" s="2135"/>
      <c r="DR56" s="2135">
        <f t="shared" si="139"/>
        <v>0</v>
      </c>
      <c r="DS56" s="2135">
        <f t="shared" si="140"/>
        <v>4.6906204826250004</v>
      </c>
      <c r="DT56" s="2149">
        <v>0</v>
      </c>
      <c r="DU56" s="2109">
        <f t="shared" si="141"/>
        <v>0</v>
      </c>
      <c r="DV56" s="2109">
        <v>4.6906204826250004</v>
      </c>
      <c r="DW56" s="2109">
        <v>3.3445742079590919</v>
      </c>
      <c r="DX56" s="2109">
        <f t="shared" si="15"/>
        <v>0</v>
      </c>
      <c r="DY56" s="2135"/>
      <c r="DZ56" s="2135"/>
      <c r="EA56" s="2135"/>
      <c r="EB56" s="2135">
        <f t="shared" si="142"/>
        <v>0</v>
      </c>
      <c r="EC56" s="2135">
        <f t="shared" si="143"/>
        <v>4.6906204826250004</v>
      </c>
      <c r="ED56" s="2135"/>
      <c r="EE56" s="2106">
        <f t="shared" si="144"/>
        <v>220.61885025999999</v>
      </c>
      <c r="EF56" s="2106">
        <f t="shared" si="151"/>
        <v>2.5513434470882732</v>
      </c>
      <c r="EG56" s="2106">
        <f t="shared" si="145"/>
        <v>56.287445791500005</v>
      </c>
      <c r="EH56" s="2106">
        <f t="shared" si="146"/>
        <v>3.3445742079590919</v>
      </c>
      <c r="EI56" s="2106">
        <f t="shared" si="147"/>
        <v>73.787611636918498</v>
      </c>
      <c r="EJ56" s="2106"/>
      <c r="EK56" s="2106"/>
      <c r="EL56" s="2106"/>
      <c r="EM56" s="2106">
        <f t="shared" si="148"/>
        <v>5.8959176550473664</v>
      </c>
      <c r="EN56" s="2106">
        <f t="shared" si="149"/>
        <v>130.07505742841852</v>
      </c>
      <c r="EO56" s="2106">
        <f>IFERROR(EN56/J56*10,0)</f>
        <v>5.8959176550473664</v>
      </c>
      <c r="EP56" s="2114">
        <f>IFERROR(EN56/M56*10,0)</f>
        <v>6.1078847476554232</v>
      </c>
      <c r="EQ56" s="2224"/>
      <c r="ER56" s="2210"/>
      <c r="ES56" s="2209" t="s">
        <v>1690</v>
      </c>
      <c r="ET56" s="2241"/>
      <c r="EU56" s="2230"/>
      <c r="EV56" s="2241"/>
      <c r="EW56" s="2241"/>
      <c r="EX56" s="2241"/>
      <c r="EY56" s="2244"/>
      <c r="EZ56" s="2244"/>
      <c r="FA56" s="2244"/>
      <c r="FB56" s="2242"/>
      <c r="FC56" s="2243"/>
      <c r="FD56" s="2243"/>
      <c r="FE56" s="2243"/>
      <c r="FF56" s="2243"/>
      <c r="FG56" s="2243"/>
      <c r="FH56" s="2243"/>
      <c r="FI56" s="2243"/>
    </row>
    <row r="57" spans="1:165">
      <c r="A57" s="2220">
        <v>15</v>
      </c>
      <c r="B57" s="2227" t="s">
        <v>1691</v>
      </c>
      <c r="C57" s="2146">
        <v>980</v>
      </c>
      <c r="D57" s="2147">
        <f t="shared" si="150"/>
        <v>0.1</v>
      </c>
      <c r="E57" s="2146"/>
      <c r="F57" s="2148">
        <v>0.81952475372992184</v>
      </c>
      <c r="G57" s="2146">
        <v>98</v>
      </c>
      <c r="H57" s="2149" t="s">
        <v>1649</v>
      </c>
      <c r="I57" s="2229">
        <v>1</v>
      </c>
      <c r="J57" s="2149">
        <v>128.0922791979269</v>
      </c>
      <c r="K57" s="2148">
        <v>3.4703846153846141E-2</v>
      </c>
      <c r="L57" s="2151"/>
      <c r="M57" s="2152">
        <f t="shared" si="107"/>
        <v>123.64698444714654</v>
      </c>
      <c r="N57" s="2149">
        <v>0</v>
      </c>
      <c r="O57" s="2109">
        <f t="shared" si="108"/>
        <v>0</v>
      </c>
      <c r="P57" s="2109">
        <v>9.8792290248750003</v>
      </c>
      <c r="Q57" s="2109">
        <v>3.8755647294755704</v>
      </c>
      <c r="R57" s="2109">
        <f t="shared" si="4"/>
        <v>0</v>
      </c>
      <c r="S57" s="2109"/>
      <c r="T57" s="2109"/>
      <c r="U57" s="2109"/>
      <c r="V57" s="2109">
        <f t="shared" si="109"/>
        <v>0</v>
      </c>
      <c r="W57" s="2109">
        <f t="shared" si="110"/>
        <v>9.8792290248750003</v>
      </c>
      <c r="X57" s="2149">
        <v>0</v>
      </c>
      <c r="Y57" s="2109">
        <f t="shared" si="111"/>
        <v>0</v>
      </c>
      <c r="Z57" s="2109">
        <v>9.8792290248750003</v>
      </c>
      <c r="AA57" s="2109">
        <v>3.8755647294755704</v>
      </c>
      <c r="AB57" s="2109">
        <f t="shared" si="5"/>
        <v>0</v>
      </c>
      <c r="AC57" s="2135"/>
      <c r="AD57" s="2135"/>
      <c r="AE57" s="2135"/>
      <c r="AF57" s="2135">
        <f t="shared" si="112"/>
        <v>0</v>
      </c>
      <c r="AG57" s="2135">
        <f t="shared" si="113"/>
        <v>9.8792290248750003</v>
      </c>
      <c r="AH57" s="2149">
        <v>36.034709000000007</v>
      </c>
      <c r="AI57" s="2109">
        <f t="shared" si="114"/>
        <v>2.7415870140300003</v>
      </c>
      <c r="AJ57" s="2109">
        <v>9.8792290248750003</v>
      </c>
      <c r="AK57" s="2109">
        <v>3.8755647294755704</v>
      </c>
      <c r="AL57" s="2109">
        <f t="shared" si="6"/>
        <v>13.965484723731592</v>
      </c>
      <c r="AM57" s="2135"/>
      <c r="AN57" s="2135"/>
      <c r="AO57" s="2135"/>
      <c r="AP57" s="2135">
        <f t="shared" si="115"/>
        <v>6.6171517435055716</v>
      </c>
      <c r="AQ57" s="2135">
        <f t="shared" si="116"/>
        <v>23.844713748606594</v>
      </c>
      <c r="AR57" s="2149">
        <v>61.847603999999997</v>
      </c>
      <c r="AS57" s="2109">
        <f t="shared" si="117"/>
        <v>1.5973503233649924</v>
      </c>
      <c r="AT57" s="2109">
        <v>9.8792290248750003</v>
      </c>
      <c r="AU57" s="2109">
        <v>3.8755647294755704</v>
      </c>
      <c r="AV57" s="2109">
        <f t="shared" si="7"/>
        <v>23.969439266497218</v>
      </c>
      <c r="AW57" s="2135"/>
      <c r="AX57" s="2135"/>
      <c r="AY57" s="2135"/>
      <c r="AZ57" s="2135">
        <f t="shared" si="118"/>
        <v>5.4729150528405635</v>
      </c>
      <c r="BA57" s="2135">
        <f t="shared" si="119"/>
        <v>33.848668291372221</v>
      </c>
      <c r="BB57" s="2149">
        <v>0</v>
      </c>
      <c r="BC57" s="2109">
        <f t="shared" si="120"/>
        <v>0</v>
      </c>
      <c r="BD57" s="2109">
        <v>9.8792290248750003</v>
      </c>
      <c r="BE57" s="2109">
        <v>3.8755647294755704</v>
      </c>
      <c r="BF57" s="2109">
        <f t="shared" si="8"/>
        <v>0</v>
      </c>
      <c r="BG57" s="2135"/>
      <c r="BH57" s="2135"/>
      <c r="BI57" s="2135"/>
      <c r="BJ57" s="2135">
        <f t="shared" si="121"/>
        <v>0</v>
      </c>
      <c r="BK57" s="2135">
        <f t="shared" si="122"/>
        <v>9.8792290248750003</v>
      </c>
      <c r="BL57" s="2149">
        <v>30.209966197926892</v>
      </c>
      <c r="BM57" s="2109">
        <f t="shared" si="123"/>
        <v>3.2701887053263059</v>
      </c>
      <c r="BN57" s="2109">
        <v>9.8792290248750003</v>
      </c>
      <c r="BO57" s="2109">
        <v>3.8755647294755704</v>
      </c>
      <c r="BP57" s="2109">
        <f t="shared" si="9"/>
        <v>11.708067947533467</v>
      </c>
      <c r="BQ57" s="2135"/>
      <c r="BR57" s="2135"/>
      <c r="BS57" s="2135"/>
      <c r="BT57" s="2135">
        <f t="shared" si="124"/>
        <v>7.1457534348018754</v>
      </c>
      <c r="BU57" s="2135">
        <f t="shared" si="125"/>
        <v>21.587296972408467</v>
      </c>
      <c r="BV57" s="2149">
        <v>0</v>
      </c>
      <c r="BW57" s="2109">
        <f t="shared" si="126"/>
        <v>0</v>
      </c>
      <c r="BX57" s="2109">
        <v>9.8792290248750003</v>
      </c>
      <c r="BY57" s="2109">
        <v>3.8755647294755704</v>
      </c>
      <c r="BZ57" s="2109">
        <f t="shared" si="10"/>
        <v>0</v>
      </c>
      <c r="CA57" s="2135"/>
      <c r="CB57" s="2135"/>
      <c r="CC57" s="2135"/>
      <c r="CD57" s="2135">
        <f t="shared" si="127"/>
        <v>0</v>
      </c>
      <c r="CE57" s="2135">
        <f t="shared" si="128"/>
        <v>9.8792290248750003</v>
      </c>
      <c r="CF57" s="2149">
        <v>0</v>
      </c>
      <c r="CG57" s="2109">
        <f t="shared" si="129"/>
        <v>0</v>
      </c>
      <c r="CH57" s="2109">
        <v>9.8792290248750003</v>
      </c>
      <c r="CI57" s="2109">
        <v>3.8755647294755704</v>
      </c>
      <c r="CJ57" s="2109">
        <f t="shared" si="11"/>
        <v>0</v>
      </c>
      <c r="CK57" s="2135"/>
      <c r="CL57" s="2135"/>
      <c r="CM57" s="2135"/>
      <c r="CN57" s="2135">
        <f t="shared" si="130"/>
        <v>0</v>
      </c>
      <c r="CO57" s="2135">
        <f t="shared" si="131"/>
        <v>9.8792290248750003</v>
      </c>
      <c r="CP57" s="2149">
        <v>0</v>
      </c>
      <c r="CQ57" s="2109">
        <f t="shared" si="132"/>
        <v>0</v>
      </c>
      <c r="CR57" s="2109">
        <v>9.8792290248750003</v>
      </c>
      <c r="CS57" s="2109">
        <v>3.8755647294755704</v>
      </c>
      <c r="CT57" s="2109">
        <f t="shared" si="12"/>
        <v>0</v>
      </c>
      <c r="CU57" s="2135"/>
      <c r="CV57" s="2135"/>
      <c r="CW57" s="2135"/>
      <c r="CX57" s="2135">
        <f t="shared" si="133"/>
        <v>0</v>
      </c>
      <c r="CY57" s="2135">
        <f t="shared" si="134"/>
        <v>9.8792290248750003</v>
      </c>
      <c r="CZ57" s="2149">
        <v>0</v>
      </c>
      <c r="DA57" s="2109">
        <f t="shared" si="135"/>
        <v>0</v>
      </c>
      <c r="DB57" s="2109">
        <v>9.8792290248750003</v>
      </c>
      <c r="DC57" s="2109">
        <v>3.8755647294755704</v>
      </c>
      <c r="DD57" s="2109">
        <f t="shared" si="13"/>
        <v>0</v>
      </c>
      <c r="DE57" s="2135"/>
      <c r="DF57" s="2135"/>
      <c r="DG57" s="2135"/>
      <c r="DH57" s="2135">
        <f t="shared" si="136"/>
        <v>0</v>
      </c>
      <c r="DI57" s="2135">
        <f t="shared" si="137"/>
        <v>9.8792290248750003</v>
      </c>
      <c r="DJ57" s="2149">
        <v>0</v>
      </c>
      <c r="DK57" s="2109">
        <f t="shared" si="138"/>
        <v>0</v>
      </c>
      <c r="DL57" s="2109">
        <v>9.8792290248750003</v>
      </c>
      <c r="DM57" s="2109">
        <v>3.8755647294755704</v>
      </c>
      <c r="DN57" s="2109">
        <f t="shared" si="14"/>
        <v>0</v>
      </c>
      <c r="DO57" s="2135"/>
      <c r="DP57" s="2135"/>
      <c r="DQ57" s="2135"/>
      <c r="DR57" s="2135">
        <f t="shared" si="139"/>
        <v>0</v>
      </c>
      <c r="DS57" s="2135">
        <f t="shared" si="140"/>
        <v>9.8792290248750003</v>
      </c>
      <c r="DT57" s="2149">
        <v>0</v>
      </c>
      <c r="DU57" s="2109">
        <f t="shared" si="141"/>
        <v>0</v>
      </c>
      <c r="DV57" s="2109">
        <v>9.8792290248750003</v>
      </c>
      <c r="DW57" s="2109">
        <v>3.8755647294755704</v>
      </c>
      <c r="DX57" s="2109">
        <f>IFERROR(DW57*DT57/10,0)</f>
        <v>0</v>
      </c>
      <c r="DY57" s="2135"/>
      <c r="DZ57" s="2135"/>
      <c r="EA57" s="2135"/>
      <c r="EB57" s="2135">
        <f t="shared" si="142"/>
        <v>0</v>
      </c>
      <c r="EC57" s="2135">
        <f t="shared" si="143"/>
        <v>9.8792290248750003</v>
      </c>
      <c r="ED57" s="2135"/>
      <c r="EE57" s="2106">
        <f t="shared" si="144"/>
        <v>128.0922791979269</v>
      </c>
      <c r="EF57" s="2106">
        <f t="shared" si="151"/>
        <v>9.255104916613794</v>
      </c>
      <c r="EG57" s="2106">
        <f t="shared" si="145"/>
        <v>118.55074829850001</v>
      </c>
      <c r="EH57" s="2106">
        <f t="shared" si="146"/>
        <v>3.8755647294755704</v>
      </c>
      <c r="EI57" s="2106">
        <f t="shared" si="147"/>
        <v>49.642991937762275</v>
      </c>
      <c r="EJ57" s="2106"/>
      <c r="EK57" s="2106"/>
      <c r="EL57" s="2106"/>
      <c r="EM57" s="2106">
        <f t="shared" si="148"/>
        <v>13.130669646089363</v>
      </c>
      <c r="EN57" s="2106">
        <f t="shared" si="149"/>
        <v>168.19374023626227</v>
      </c>
      <c r="EO57" s="2106">
        <f>IFERROR(EN57/J57*10,0)</f>
        <v>13.130669646089363</v>
      </c>
      <c r="EP57" s="2114">
        <f>IFERROR(EN57/M57*10,0)</f>
        <v>13.602736935987101</v>
      </c>
      <c r="EQ57" s="2224"/>
      <c r="ER57" s="2210"/>
      <c r="ES57" s="2209" t="s">
        <v>1691</v>
      </c>
      <c r="ET57" s="2241"/>
      <c r="EU57" s="2230"/>
      <c r="EV57" s="2241"/>
      <c r="EW57" s="2241"/>
      <c r="EX57" s="2241"/>
      <c r="EY57" s="2244"/>
      <c r="EZ57" s="2244"/>
      <c r="FA57" s="2244"/>
      <c r="FB57" s="2242"/>
      <c r="FC57" s="2243"/>
      <c r="FD57" s="2243"/>
      <c r="FE57" s="2243"/>
      <c r="FF57" s="2243"/>
      <c r="FG57" s="2243"/>
      <c r="FH57" s="2243"/>
      <c r="FI57" s="2243"/>
    </row>
    <row r="58" spans="1:165">
      <c r="A58" s="2220">
        <v>16</v>
      </c>
      <c r="B58" s="2227" t="s">
        <v>1692</v>
      </c>
      <c r="C58" s="2146">
        <v>1000</v>
      </c>
      <c r="D58" s="2147">
        <f t="shared" si="150"/>
        <v>0.32569999999999999</v>
      </c>
      <c r="E58" s="2146"/>
      <c r="F58" s="2148">
        <v>0.91293362710670045</v>
      </c>
      <c r="G58" s="2146">
        <v>325.7</v>
      </c>
      <c r="H58" s="2149" t="s">
        <v>1649</v>
      </c>
      <c r="I58" s="2229">
        <v>2</v>
      </c>
      <c r="J58" s="2149">
        <v>2247.3336537638711</v>
      </c>
      <c r="K58" s="2148">
        <v>3.4703846153846141E-2</v>
      </c>
      <c r="L58" s="2151"/>
      <c r="M58" s="2152">
        <f t="shared" si="107"/>
        <v>2169.3425323872889</v>
      </c>
      <c r="N58" s="2149">
        <v>146.50837480000001</v>
      </c>
      <c r="O58" s="2109">
        <f t="shared" si="108"/>
        <v>1.0812674139703857</v>
      </c>
      <c r="P58" s="2109">
        <v>15.841473154500003</v>
      </c>
      <c r="Q58" s="2109">
        <v>1.5708624945151373</v>
      </c>
      <c r="R58" s="2109">
        <f t="shared" si="4"/>
        <v>23.014451110568668</v>
      </c>
      <c r="S58" s="2109"/>
      <c r="T58" s="2109"/>
      <c r="U58" s="2109"/>
      <c r="V58" s="2109">
        <f t="shared" si="109"/>
        <v>2.6521299084855228</v>
      </c>
      <c r="W58" s="2109">
        <f t="shared" si="110"/>
        <v>38.855924265068673</v>
      </c>
      <c r="X58" s="2149">
        <v>209.03391650000003</v>
      </c>
      <c r="Y58" s="2109">
        <f t="shared" si="111"/>
        <v>0.75784224013714074</v>
      </c>
      <c r="Z58" s="2109">
        <v>15.841473154500003</v>
      </c>
      <c r="AA58" s="2109">
        <v>1.5708624945151373</v>
      </c>
      <c r="AB58" s="2109">
        <f t="shared" si="5"/>
        <v>32.836353951145895</v>
      </c>
      <c r="AC58" s="2135"/>
      <c r="AD58" s="2135"/>
      <c r="AE58" s="2135"/>
      <c r="AF58" s="2135">
        <f t="shared" si="112"/>
        <v>2.3287047346522778</v>
      </c>
      <c r="AG58" s="2135">
        <f t="shared" si="113"/>
        <v>48.677827105645896</v>
      </c>
      <c r="AH58" s="2149">
        <v>197.95409040000001</v>
      </c>
      <c r="AI58" s="2109">
        <f t="shared" si="114"/>
        <v>0.80025995535073835</v>
      </c>
      <c r="AJ58" s="2109">
        <v>15.841473154500003</v>
      </c>
      <c r="AK58" s="2109">
        <v>1.5708624945151373</v>
      </c>
      <c r="AL58" s="2109">
        <f t="shared" si="6"/>
        <v>31.095865624521899</v>
      </c>
      <c r="AM58" s="2135"/>
      <c r="AN58" s="2135"/>
      <c r="AO58" s="2135"/>
      <c r="AP58" s="2135">
        <f t="shared" si="115"/>
        <v>2.3711224498658754</v>
      </c>
      <c r="AQ58" s="2135">
        <f t="shared" si="116"/>
        <v>46.9373387790219</v>
      </c>
      <c r="AR58" s="2149">
        <v>186.02765960000002</v>
      </c>
      <c r="AS58" s="2109">
        <f t="shared" si="117"/>
        <v>0.85156547088549195</v>
      </c>
      <c r="AT58" s="2109">
        <v>15.841473154500003</v>
      </c>
      <c r="AU58" s="2109">
        <v>1.5708624945151373</v>
      </c>
      <c r="AV58" s="2109">
        <f t="shared" si="7"/>
        <v>29.222387340806886</v>
      </c>
      <c r="AW58" s="2135"/>
      <c r="AX58" s="2135"/>
      <c r="AY58" s="2135"/>
      <c r="AZ58" s="2135">
        <f t="shared" si="118"/>
        <v>2.4224279654006295</v>
      </c>
      <c r="BA58" s="2135">
        <f t="shared" si="119"/>
        <v>45.063860495306891</v>
      </c>
      <c r="BB58" s="2149">
        <v>203.23649477999999</v>
      </c>
      <c r="BC58" s="2109">
        <f t="shared" si="120"/>
        <v>0.77946006555801528</v>
      </c>
      <c r="BD58" s="2109">
        <v>15.841473154500003</v>
      </c>
      <c r="BE58" s="2109">
        <v>1.5708624945151373</v>
      </c>
      <c r="BF58" s="2109">
        <f t="shared" si="8"/>
        <v>31.925658716662344</v>
      </c>
      <c r="BG58" s="2135"/>
      <c r="BH58" s="2135"/>
      <c r="BI58" s="2135"/>
      <c r="BJ58" s="2135">
        <f t="shared" si="121"/>
        <v>2.3503225600731525</v>
      </c>
      <c r="BK58" s="2135">
        <f t="shared" si="122"/>
        <v>47.767131871162348</v>
      </c>
      <c r="BL58" s="2149">
        <v>201.81157548387102</v>
      </c>
      <c r="BM58" s="2109">
        <f t="shared" si="123"/>
        <v>0.78496355407354068</v>
      </c>
      <c r="BN58" s="2109">
        <v>15.841473154500003</v>
      </c>
      <c r="BO58" s="2109">
        <v>1.5708624945151373</v>
      </c>
      <c r="BP58" s="2109">
        <f t="shared" si="9"/>
        <v>31.701823488662352</v>
      </c>
      <c r="BQ58" s="2135"/>
      <c r="BR58" s="2135"/>
      <c r="BS58" s="2135"/>
      <c r="BT58" s="2135">
        <f t="shared" si="124"/>
        <v>2.3558260485886779</v>
      </c>
      <c r="BU58" s="2135">
        <f t="shared" si="125"/>
        <v>47.543296643162357</v>
      </c>
      <c r="BV58" s="2149">
        <v>191.21412197999996</v>
      </c>
      <c r="BW58" s="2109">
        <f t="shared" si="126"/>
        <v>0.82846774027270542</v>
      </c>
      <c r="BX58" s="2109">
        <v>15.841473154500003</v>
      </c>
      <c r="BY58" s="2109">
        <v>1.5708624945151373</v>
      </c>
      <c r="BZ58" s="2109">
        <f t="shared" si="10"/>
        <v>30.037109264002446</v>
      </c>
      <c r="CA58" s="2135"/>
      <c r="CB58" s="2135"/>
      <c r="CC58" s="2135"/>
      <c r="CD58" s="2135">
        <f t="shared" si="127"/>
        <v>2.3993302347878425</v>
      </c>
      <c r="CE58" s="2135">
        <f t="shared" si="128"/>
        <v>45.878582418502447</v>
      </c>
      <c r="CF58" s="2149">
        <v>172.63738066000005</v>
      </c>
      <c r="CG58" s="2109">
        <f t="shared" si="129"/>
        <v>0.91761547203377258</v>
      </c>
      <c r="CH58" s="2109">
        <v>15.841473154500003</v>
      </c>
      <c r="CI58" s="2109">
        <v>1.5708624945151373</v>
      </c>
      <c r="CJ58" s="2109">
        <f t="shared" si="11"/>
        <v>27.1189586430127</v>
      </c>
      <c r="CK58" s="2135"/>
      <c r="CL58" s="2135"/>
      <c r="CM58" s="2135"/>
      <c r="CN58" s="2135">
        <f t="shared" si="130"/>
        <v>2.4884779665489103</v>
      </c>
      <c r="CO58" s="2135">
        <f t="shared" si="131"/>
        <v>42.960431797512705</v>
      </c>
      <c r="CP58" s="2149">
        <v>163.69800635999999</v>
      </c>
      <c r="CQ58" s="2109">
        <f t="shared" si="132"/>
        <v>0.96772547856581015</v>
      </c>
      <c r="CR58" s="2109">
        <v>15.841473154500003</v>
      </c>
      <c r="CS58" s="2109">
        <v>1.5708624945151373</v>
      </c>
      <c r="CT58" s="2109">
        <f t="shared" si="12"/>
        <v>25.714705861782438</v>
      </c>
      <c r="CU58" s="2135"/>
      <c r="CV58" s="2135"/>
      <c r="CW58" s="2135"/>
      <c r="CX58" s="2135">
        <f t="shared" si="133"/>
        <v>2.5385879730809475</v>
      </c>
      <c r="CY58" s="2135">
        <f t="shared" si="134"/>
        <v>41.556179016282442</v>
      </c>
      <c r="CZ58" s="2149">
        <v>191.49049580000002</v>
      </c>
      <c r="DA58" s="2109">
        <f t="shared" si="135"/>
        <v>0.827272031873866</v>
      </c>
      <c r="DB58" s="2109">
        <v>15.841473154500003</v>
      </c>
      <c r="DC58" s="2109">
        <v>1.5708624945151373</v>
      </c>
      <c r="DD58" s="2109">
        <f t="shared" si="13"/>
        <v>30.080523790832842</v>
      </c>
      <c r="DE58" s="2135"/>
      <c r="DF58" s="2135"/>
      <c r="DG58" s="2135"/>
      <c r="DH58" s="2135">
        <f t="shared" si="136"/>
        <v>2.3981345263890033</v>
      </c>
      <c r="DI58" s="2135">
        <f t="shared" si="137"/>
        <v>45.921996945332843</v>
      </c>
      <c r="DJ58" s="2149">
        <v>174.59051620000002</v>
      </c>
      <c r="DK58" s="2109">
        <f t="shared" si="138"/>
        <v>0.90735015276276498</v>
      </c>
      <c r="DL58" s="2109">
        <v>15.841473154500003</v>
      </c>
      <c r="DM58" s="2109">
        <v>1.5708624945151373</v>
      </c>
      <c r="DN58" s="2109">
        <f t="shared" si="14"/>
        <v>27.425769379661752</v>
      </c>
      <c r="DO58" s="2135"/>
      <c r="DP58" s="2135"/>
      <c r="DQ58" s="2135"/>
      <c r="DR58" s="2135">
        <f t="shared" si="139"/>
        <v>2.4782126472779025</v>
      </c>
      <c r="DS58" s="2135">
        <f t="shared" si="140"/>
        <v>43.267242534161753</v>
      </c>
      <c r="DT58" s="2149">
        <v>209.13102119999999</v>
      </c>
      <c r="DU58" s="2109">
        <f t="shared" si="141"/>
        <v>0.75749035526155617</v>
      </c>
      <c r="DV58" s="2109">
        <v>15.841473154500003</v>
      </c>
      <c r="DW58" s="2109">
        <v>1.5708624945151373</v>
      </c>
      <c r="DX58" s="2109">
        <f t="shared" si="15"/>
        <v>32.851607764273005</v>
      </c>
      <c r="DY58" s="2135"/>
      <c r="DZ58" s="2135"/>
      <c r="EA58" s="2135"/>
      <c r="EB58" s="2135">
        <f t="shared" si="142"/>
        <v>2.3283528497766932</v>
      </c>
      <c r="EC58" s="2135">
        <f t="shared" si="143"/>
        <v>48.693080918773006</v>
      </c>
      <c r="ED58" s="2135"/>
      <c r="EE58" s="2106">
        <f t="shared" si="144"/>
        <v>2247.3336537638711</v>
      </c>
      <c r="EF58" s="2106">
        <f t="shared" si="151"/>
        <v>0.84588097337314072</v>
      </c>
      <c r="EG58" s="2106">
        <f t="shared" si="145"/>
        <v>190.09767785400001</v>
      </c>
      <c r="EH58" s="2106">
        <f t="shared" si="146"/>
        <v>1.5708624945151373</v>
      </c>
      <c r="EI58" s="2106">
        <f t="shared" si="147"/>
        <v>353.02521493593321</v>
      </c>
      <c r="EJ58" s="2106"/>
      <c r="EK58" s="2106"/>
      <c r="EL58" s="2106"/>
      <c r="EM58" s="2106">
        <f t="shared" si="148"/>
        <v>2.4167434678882778</v>
      </c>
      <c r="EN58" s="2106">
        <f t="shared" si="149"/>
        <v>543.12289278993319</v>
      </c>
      <c r="EO58" s="2106">
        <f>EN58/J58*10</f>
        <v>2.4167434678882778</v>
      </c>
      <c r="EP58" s="2114">
        <f>EN58/M58*10</f>
        <v>2.5036290243765453</v>
      </c>
      <c r="EQ58" s="2224"/>
      <c r="ER58" s="2210"/>
      <c r="ES58" s="2209" t="s">
        <v>1692</v>
      </c>
      <c r="ET58" s="2241"/>
      <c r="EU58" s="2230"/>
      <c r="EV58" s="2241"/>
      <c r="EW58" s="2241"/>
      <c r="EX58" s="2241"/>
      <c r="EY58" s="2244"/>
      <c r="EZ58" s="2244"/>
      <c r="FA58" s="2244"/>
      <c r="FB58" s="2242"/>
      <c r="FC58" s="2243"/>
      <c r="FD58" s="2243"/>
      <c r="FE58" s="2243"/>
      <c r="FF58" s="2243"/>
      <c r="FG58" s="2243"/>
      <c r="FH58" s="2243"/>
      <c r="FI58" s="2243"/>
    </row>
    <row r="59" spans="1:165">
      <c r="A59" s="2220">
        <v>17</v>
      </c>
      <c r="B59" s="2227" t="s">
        <v>1693</v>
      </c>
      <c r="C59" s="2146">
        <v>1000</v>
      </c>
      <c r="D59" s="2147">
        <f t="shared" si="150"/>
        <v>0.29599999999999999</v>
      </c>
      <c r="E59" s="2146"/>
      <c r="F59" s="2148">
        <v>0.91014173615026317</v>
      </c>
      <c r="G59" s="2146">
        <v>296</v>
      </c>
      <c r="H59" s="2149" t="s">
        <v>1649</v>
      </c>
      <c r="I59" s="2229">
        <v>2</v>
      </c>
      <c r="J59" s="2149">
        <v>2075.442810648387</v>
      </c>
      <c r="K59" s="2148">
        <v>3.4703846153846141E-2</v>
      </c>
      <c r="L59" s="2151"/>
      <c r="M59" s="2152">
        <f t="shared" si="107"/>
        <v>2003.4169626465393</v>
      </c>
      <c r="N59" s="2149">
        <v>132.6887772</v>
      </c>
      <c r="O59" s="2109">
        <f t="shared" si="108"/>
        <v>0.98026712073261135</v>
      </c>
      <c r="P59" s="2109">
        <v>13.007044557937498</v>
      </c>
      <c r="Q59" s="2109">
        <v>1.5304236331541421</v>
      </c>
      <c r="R59" s="2109">
        <f t="shared" si="4"/>
        <v>20.307004048120451</v>
      </c>
      <c r="S59" s="2109"/>
      <c r="T59" s="2109"/>
      <c r="U59" s="2109"/>
      <c r="V59" s="2109">
        <f t="shared" si="109"/>
        <v>2.5106907538867542</v>
      </c>
      <c r="W59" s="2109">
        <f t="shared" si="110"/>
        <v>33.314048606057952</v>
      </c>
      <c r="X59" s="2149">
        <v>156.62092532</v>
      </c>
      <c r="Y59" s="2109">
        <f t="shared" si="111"/>
        <v>0.8304793584485699</v>
      </c>
      <c r="Z59" s="2109">
        <v>13.007044557937498</v>
      </c>
      <c r="AA59" s="2109">
        <v>1.5304236331541421</v>
      </c>
      <c r="AB59" s="2109">
        <f t="shared" si="5"/>
        <v>23.969636555619797</v>
      </c>
      <c r="AC59" s="2135"/>
      <c r="AD59" s="2135"/>
      <c r="AE59" s="2135"/>
      <c r="AF59" s="2135">
        <f t="shared" si="112"/>
        <v>2.3609029916027118</v>
      </c>
      <c r="AG59" s="2135">
        <f t="shared" si="113"/>
        <v>36.976681113557291</v>
      </c>
      <c r="AH59" s="2149">
        <v>155.21456419999998</v>
      </c>
      <c r="AI59" s="2109">
        <f t="shared" si="114"/>
        <v>0.83800412834825322</v>
      </c>
      <c r="AJ59" s="2109">
        <v>13.007044557937498</v>
      </c>
      <c r="AK59" s="2109">
        <v>1.5304236331541421</v>
      </c>
      <c r="AL59" s="2109">
        <f t="shared" si="6"/>
        <v>23.75440372614008</v>
      </c>
      <c r="AM59" s="2135"/>
      <c r="AN59" s="2135"/>
      <c r="AO59" s="2135"/>
      <c r="AP59" s="2135">
        <f t="shared" si="115"/>
        <v>2.368427761502395</v>
      </c>
      <c r="AQ59" s="2135">
        <f t="shared" si="116"/>
        <v>36.761448284077574</v>
      </c>
      <c r="AR59" s="2149">
        <v>177.27635339999998</v>
      </c>
      <c r="AS59" s="2109">
        <f t="shared" si="117"/>
        <v>0.7337157104415879</v>
      </c>
      <c r="AT59" s="2109">
        <v>13.007044557937498</v>
      </c>
      <c r="AU59" s="2109">
        <v>1.5304236331541421</v>
      </c>
      <c r="AV59" s="2109">
        <f t="shared" si="7"/>
        <v>27.13079208427456</v>
      </c>
      <c r="AW59" s="2135"/>
      <c r="AX59" s="2135"/>
      <c r="AY59" s="2135"/>
      <c r="AZ59" s="2135">
        <f t="shared" si="118"/>
        <v>2.2641393435957298</v>
      </c>
      <c r="BA59" s="2135">
        <f t="shared" si="119"/>
        <v>40.137836642212058</v>
      </c>
      <c r="BB59" s="2149">
        <v>192.68633819999999</v>
      </c>
      <c r="BC59" s="2109">
        <f t="shared" si="120"/>
        <v>0.67503719669200191</v>
      </c>
      <c r="BD59" s="2109">
        <v>13.007044557937498</v>
      </c>
      <c r="BE59" s="2109">
        <v>1.5304236331541421</v>
      </c>
      <c r="BF59" s="2109">
        <f t="shared" si="8"/>
        <v>29.489172576721177</v>
      </c>
      <c r="BG59" s="2135"/>
      <c r="BH59" s="2135"/>
      <c r="BI59" s="2135"/>
      <c r="BJ59" s="2135">
        <f t="shared" si="121"/>
        <v>2.2054608298461442</v>
      </c>
      <c r="BK59" s="2135">
        <f t="shared" si="122"/>
        <v>42.496217134658679</v>
      </c>
      <c r="BL59" s="2149">
        <v>159.01278754838708</v>
      </c>
      <c r="BM59" s="2109">
        <f t="shared" si="123"/>
        <v>0.8179873303572831</v>
      </c>
      <c r="BN59" s="2109">
        <v>13.007044557937498</v>
      </c>
      <c r="BO59" s="2109">
        <v>1.5304236331541421</v>
      </c>
      <c r="BP59" s="2109">
        <f t="shared" si="9"/>
        <v>24.335692803777029</v>
      </c>
      <c r="BQ59" s="2135"/>
      <c r="BR59" s="2135"/>
      <c r="BS59" s="2135"/>
      <c r="BT59" s="2135">
        <f t="shared" si="124"/>
        <v>2.3484109635114252</v>
      </c>
      <c r="BU59" s="2135">
        <f t="shared" si="125"/>
        <v>37.342737361714526</v>
      </c>
      <c r="BV59" s="2149">
        <v>196.84906477999999</v>
      </c>
      <c r="BW59" s="2109">
        <f t="shared" si="126"/>
        <v>0.66076232429522941</v>
      </c>
      <c r="BX59" s="2109">
        <v>13.007044557937498</v>
      </c>
      <c r="BY59" s="2109">
        <v>1.5304236331541421</v>
      </c>
      <c r="BZ59" s="2109">
        <f t="shared" si="10"/>
        <v>30.126246090360269</v>
      </c>
      <c r="CA59" s="2135"/>
      <c r="CB59" s="2135"/>
      <c r="CC59" s="2135"/>
      <c r="CD59" s="2135">
        <f t="shared" si="127"/>
        <v>2.1911859574493717</v>
      </c>
      <c r="CE59" s="2135">
        <f t="shared" si="128"/>
        <v>43.133290648297766</v>
      </c>
      <c r="CF59" s="2149">
        <v>179.82</v>
      </c>
      <c r="CG59" s="2109">
        <f t="shared" si="129"/>
        <v>0.72333692347555878</v>
      </c>
      <c r="CH59" s="2109">
        <v>13.007044557937498</v>
      </c>
      <c r="CI59" s="2109">
        <v>1.5304236331541421</v>
      </c>
      <c r="CJ59" s="2109">
        <f t="shared" si="11"/>
        <v>27.520077771377782</v>
      </c>
      <c r="CK59" s="2135"/>
      <c r="CL59" s="2135"/>
      <c r="CM59" s="2135"/>
      <c r="CN59" s="2135">
        <f t="shared" si="130"/>
        <v>2.2537605566297008</v>
      </c>
      <c r="CO59" s="2135">
        <f t="shared" si="131"/>
        <v>40.527122329315276</v>
      </c>
      <c r="CP59" s="2149">
        <v>185.81399999999999</v>
      </c>
      <c r="CQ59" s="2109">
        <f t="shared" si="132"/>
        <v>0.70000347433118582</v>
      </c>
      <c r="CR59" s="2109">
        <v>13.007044557937498</v>
      </c>
      <c r="CS59" s="2109">
        <v>1.5304236331541421</v>
      </c>
      <c r="CT59" s="2109">
        <f t="shared" si="12"/>
        <v>28.437413697090374</v>
      </c>
      <c r="CU59" s="2135"/>
      <c r="CV59" s="2135"/>
      <c r="CW59" s="2135"/>
      <c r="CX59" s="2135">
        <f t="shared" si="133"/>
        <v>2.2304271074853279</v>
      </c>
      <c r="CY59" s="2135">
        <f t="shared" si="134"/>
        <v>41.444458255027868</v>
      </c>
      <c r="CZ59" s="2149">
        <v>185.81399999999999</v>
      </c>
      <c r="DA59" s="2109">
        <f t="shared" si="135"/>
        <v>0.70000347433118582</v>
      </c>
      <c r="DB59" s="2109">
        <v>13.007044557937498</v>
      </c>
      <c r="DC59" s="2109">
        <v>1.5304236331541421</v>
      </c>
      <c r="DD59" s="2109">
        <f t="shared" si="13"/>
        <v>28.437413697090374</v>
      </c>
      <c r="DE59" s="2135"/>
      <c r="DF59" s="2135"/>
      <c r="DG59" s="2135"/>
      <c r="DH59" s="2135">
        <f t="shared" si="136"/>
        <v>2.2304271074853279</v>
      </c>
      <c r="DI59" s="2135">
        <f t="shared" si="137"/>
        <v>41.444458255027868</v>
      </c>
      <c r="DJ59" s="2149">
        <v>167.83199999999999</v>
      </c>
      <c r="DK59" s="2109">
        <f t="shared" si="138"/>
        <v>0.77500384658095589</v>
      </c>
      <c r="DL59" s="2109">
        <v>13.007044557937498</v>
      </c>
      <c r="DM59" s="2109">
        <v>1.5304236331541421</v>
      </c>
      <c r="DN59" s="2109">
        <f t="shared" si="14"/>
        <v>25.685405919952597</v>
      </c>
      <c r="DO59" s="2135"/>
      <c r="DP59" s="2135"/>
      <c r="DQ59" s="2135"/>
      <c r="DR59" s="2135">
        <f t="shared" si="139"/>
        <v>2.3054274797350978</v>
      </c>
      <c r="DS59" s="2135">
        <f t="shared" si="140"/>
        <v>38.692450477890091</v>
      </c>
      <c r="DT59" s="2149">
        <v>185.81399999999999</v>
      </c>
      <c r="DU59" s="2109">
        <f t="shared" si="141"/>
        <v>0.70000347433118582</v>
      </c>
      <c r="DV59" s="2109">
        <v>13.007044557937498</v>
      </c>
      <c r="DW59" s="2109">
        <v>1.5304236331541421</v>
      </c>
      <c r="DX59" s="2109">
        <f t="shared" si="15"/>
        <v>28.437413697090374</v>
      </c>
      <c r="DY59" s="2135"/>
      <c r="DZ59" s="2135"/>
      <c r="EA59" s="2135"/>
      <c r="EB59" s="2135">
        <f t="shared" si="142"/>
        <v>2.2304271074853279</v>
      </c>
      <c r="EC59" s="2135">
        <f t="shared" si="143"/>
        <v>41.444458255027868</v>
      </c>
      <c r="ED59" s="2135"/>
      <c r="EE59" s="2106">
        <f t="shared" si="144"/>
        <v>2075.442810648387</v>
      </c>
      <c r="EF59" s="2106">
        <f t="shared" si="151"/>
        <v>0.75205413463783999</v>
      </c>
      <c r="EG59" s="2106">
        <f t="shared" si="145"/>
        <v>156.08453469524991</v>
      </c>
      <c r="EH59" s="2106">
        <f t="shared" si="146"/>
        <v>1.5304236331541421</v>
      </c>
      <c r="EI59" s="2106">
        <f t="shared" si="147"/>
        <v>317.63067266761487</v>
      </c>
      <c r="EJ59" s="2106"/>
      <c r="EK59" s="2106"/>
      <c r="EL59" s="2106"/>
      <c r="EM59" s="2106">
        <f t="shared" si="148"/>
        <v>2.2824777677919825</v>
      </c>
      <c r="EN59" s="2106">
        <f t="shared" si="149"/>
        <v>473.71520736286482</v>
      </c>
      <c r="EO59" s="2106">
        <f>EN59/J59*10</f>
        <v>2.2824777677919825</v>
      </c>
      <c r="EP59" s="2114">
        <f>EN59/M59*10</f>
        <v>2.364536270757541</v>
      </c>
      <c r="EQ59" s="2224"/>
      <c r="ER59" s="2210"/>
      <c r="ES59" s="2209" t="s">
        <v>1693</v>
      </c>
      <c r="ET59" s="2241"/>
      <c r="EU59" s="2230"/>
      <c r="EV59" s="2241"/>
      <c r="EW59" s="2241"/>
      <c r="EX59" s="2241"/>
      <c r="EY59" s="2244"/>
      <c r="EZ59" s="2244"/>
      <c r="FA59" s="2244"/>
      <c r="FB59" s="2242"/>
      <c r="FC59" s="2243"/>
      <c r="FD59" s="2243"/>
      <c r="FE59" s="2243"/>
      <c r="FF59" s="2243"/>
      <c r="FG59" s="2243"/>
      <c r="FH59" s="2243"/>
      <c r="FI59" s="2243"/>
    </row>
    <row r="60" spans="1:165">
      <c r="A60" s="2220">
        <v>18</v>
      </c>
      <c r="B60" s="2227" t="s">
        <v>1694</v>
      </c>
      <c r="C60" s="2146">
        <v>1000</v>
      </c>
      <c r="D60" s="2147">
        <f t="shared" si="150"/>
        <v>0.32</v>
      </c>
      <c r="E60" s="2146"/>
      <c r="F60" s="2148">
        <v>0.99187367714685726</v>
      </c>
      <c r="G60" s="2146">
        <v>320</v>
      </c>
      <c r="H60" s="2149" t="s">
        <v>1649</v>
      </c>
      <c r="I60" s="2229">
        <v>2</v>
      </c>
      <c r="J60" s="2149">
        <v>2375.5634976193551</v>
      </c>
      <c r="K60" s="2148">
        <v>3.4703846153846141E-2</v>
      </c>
      <c r="L60" s="2151"/>
      <c r="M60" s="2152">
        <f t="shared" si="107"/>
        <v>2293.1223074692803</v>
      </c>
      <c r="N60" s="2149">
        <v>169.13648779999997</v>
      </c>
      <c r="O60" s="2109">
        <f t="shared" si="108"/>
        <v>1.7086245769886743</v>
      </c>
      <c r="P60" s="2109">
        <v>28.899075992062503</v>
      </c>
      <c r="Q60" s="2109">
        <v>1.5762430701734029</v>
      </c>
      <c r="R60" s="2109">
        <f t="shared" si="4"/>
        <v>26.660021680821824</v>
      </c>
      <c r="S60" s="2109"/>
      <c r="T60" s="2109"/>
      <c r="U60" s="2109"/>
      <c r="V60" s="2109">
        <f t="shared" si="109"/>
        <v>3.2848676471620775</v>
      </c>
      <c r="W60" s="2109">
        <f t="shared" si="110"/>
        <v>55.559097672884327</v>
      </c>
      <c r="X60" s="2149">
        <v>200.88</v>
      </c>
      <c r="Y60" s="2109">
        <f t="shared" si="111"/>
        <v>1.4386238546426975</v>
      </c>
      <c r="Z60" s="2109">
        <v>28.899075992062503</v>
      </c>
      <c r="AA60" s="2109">
        <v>1.5762430701734029</v>
      </c>
      <c r="AB60" s="2109">
        <f t="shared" si="5"/>
        <v>31.663570793643316</v>
      </c>
      <c r="AC60" s="2135"/>
      <c r="AD60" s="2135"/>
      <c r="AE60" s="2135"/>
      <c r="AF60" s="2135">
        <f t="shared" si="112"/>
        <v>3.0148669248161002</v>
      </c>
      <c r="AG60" s="2135">
        <f t="shared" si="113"/>
        <v>60.562646785705823</v>
      </c>
      <c r="AH60" s="2149">
        <v>194.4</v>
      </c>
      <c r="AI60" s="2109">
        <f t="shared" si="114"/>
        <v>1.486577983130787</v>
      </c>
      <c r="AJ60" s="2109">
        <v>28.899075992062503</v>
      </c>
      <c r="AK60" s="2109">
        <v>1.5762430701734029</v>
      </c>
      <c r="AL60" s="2109">
        <f t="shared" si="6"/>
        <v>30.642165284170954</v>
      </c>
      <c r="AM60" s="2135"/>
      <c r="AN60" s="2135"/>
      <c r="AO60" s="2135"/>
      <c r="AP60" s="2135">
        <f t="shared" si="115"/>
        <v>3.06282105330419</v>
      </c>
      <c r="AQ60" s="2135">
        <f t="shared" si="116"/>
        <v>59.541241276233457</v>
      </c>
      <c r="AR60" s="2149">
        <v>200.8523308</v>
      </c>
      <c r="AS60" s="2109">
        <f t="shared" si="117"/>
        <v>1.4388220379099779</v>
      </c>
      <c r="AT60" s="2109">
        <v>28.899075992062503</v>
      </c>
      <c r="AU60" s="2109">
        <v>1.5762430701734029</v>
      </c>
      <c r="AV60" s="2109">
        <f t="shared" si="7"/>
        <v>31.659209455167591</v>
      </c>
      <c r="AW60" s="2135"/>
      <c r="AX60" s="2135"/>
      <c r="AY60" s="2135"/>
      <c r="AZ60" s="2135">
        <f t="shared" si="118"/>
        <v>3.0150651080833808</v>
      </c>
      <c r="BA60" s="2135">
        <f t="shared" si="119"/>
        <v>60.558285447230091</v>
      </c>
      <c r="BB60" s="2149">
        <v>200.88</v>
      </c>
      <c r="BC60" s="2109">
        <f t="shared" si="120"/>
        <v>1.4386238546426975</v>
      </c>
      <c r="BD60" s="2109">
        <v>28.899075992062503</v>
      </c>
      <c r="BE60" s="2109">
        <v>1.5762430701734029</v>
      </c>
      <c r="BF60" s="2109">
        <f t="shared" si="8"/>
        <v>31.663570793643316</v>
      </c>
      <c r="BG60" s="2135"/>
      <c r="BH60" s="2135"/>
      <c r="BI60" s="2135"/>
      <c r="BJ60" s="2135">
        <f t="shared" si="121"/>
        <v>3.0148669248161002</v>
      </c>
      <c r="BK60" s="2135">
        <f t="shared" si="122"/>
        <v>60.562646785705823</v>
      </c>
      <c r="BL60" s="2149">
        <v>205.42194541935484</v>
      </c>
      <c r="BM60" s="2109">
        <f t="shared" si="123"/>
        <v>1.406815417557604</v>
      </c>
      <c r="BN60" s="2109">
        <v>28.899075992062503</v>
      </c>
      <c r="BO60" s="2109">
        <v>1.5762430701734029</v>
      </c>
      <c r="BP60" s="2109">
        <f t="shared" si="9"/>
        <v>32.379491792879705</v>
      </c>
      <c r="BQ60" s="2135"/>
      <c r="BR60" s="2135"/>
      <c r="BS60" s="2135"/>
      <c r="BT60" s="2135">
        <f t="shared" si="124"/>
        <v>2.9830584877310069</v>
      </c>
      <c r="BU60" s="2135">
        <f t="shared" si="125"/>
        <v>61.278567784942211</v>
      </c>
      <c r="BV60" s="2149">
        <v>205.02536704000002</v>
      </c>
      <c r="BW60" s="2109">
        <f t="shared" si="126"/>
        <v>1.4095366056057033</v>
      </c>
      <c r="BX60" s="2109">
        <v>28.899075992062503</v>
      </c>
      <c r="BY60" s="2109">
        <v>1.5762430701734029</v>
      </c>
      <c r="BZ60" s="2109">
        <f t="shared" si="10"/>
        <v>32.316981400655848</v>
      </c>
      <c r="CA60" s="2135"/>
      <c r="CB60" s="2135"/>
      <c r="CC60" s="2135"/>
      <c r="CD60" s="2135">
        <f t="shared" si="127"/>
        <v>2.9857796757791064</v>
      </c>
      <c r="CE60" s="2135">
        <f t="shared" si="128"/>
        <v>61.216057392718355</v>
      </c>
      <c r="CF60" s="2149">
        <v>204.28722295999998</v>
      </c>
      <c r="CG60" s="2109">
        <f t="shared" si="129"/>
        <v>1.4146296363194981</v>
      </c>
      <c r="CH60" s="2109">
        <v>28.899075992062503</v>
      </c>
      <c r="CI60" s="2109">
        <v>1.5762430701734029</v>
      </c>
      <c r="CJ60" s="2109">
        <f t="shared" si="11"/>
        <v>32.200631951566884</v>
      </c>
      <c r="CK60" s="2135"/>
      <c r="CL60" s="2135"/>
      <c r="CM60" s="2135"/>
      <c r="CN60" s="2135">
        <f t="shared" si="130"/>
        <v>2.990872706492901</v>
      </c>
      <c r="CO60" s="2135">
        <f t="shared" si="131"/>
        <v>61.099707943629383</v>
      </c>
      <c r="CP60" s="2149">
        <v>200.88</v>
      </c>
      <c r="CQ60" s="2109">
        <f t="shared" si="132"/>
        <v>1.4386238546426975</v>
      </c>
      <c r="CR60" s="2109">
        <v>28.899075992062503</v>
      </c>
      <c r="CS60" s="2109">
        <v>1.5762430701734029</v>
      </c>
      <c r="CT60" s="2109">
        <f t="shared" si="12"/>
        <v>31.663570793643316</v>
      </c>
      <c r="CU60" s="2135"/>
      <c r="CV60" s="2135"/>
      <c r="CW60" s="2135"/>
      <c r="CX60" s="2135">
        <f t="shared" si="133"/>
        <v>3.0148669248161002</v>
      </c>
      <c r="CY60" s="2135">
        <f t="shared" si="134"/>
        <v>60.562646785705823</v>
      </c>
      <c r="CZ60" s="2149">
        <v>200.88</v>
      </c>
      <c r="DA60" s="2109">
        <f t="shared" si="135"/>
        <v>1.4386238546426975</v>
      </c>
      <c r="DB60" s="2109">
        <v>28.899075992062503</v>
      </c>
      <c r="DC60" s="2109">
        <v>1.5762430701734029</v>
      </c>
      <c r="DD60" s="2109">
        <f t="shared" si="13"/>
        <v>31.663570793643316</v>
      </c>
      <c r="DE60" s="2135"/>
      <c r="DF60" s="2135"/>
      <c r="DG60" s="2135"/>
      <c r="DH60" s="2135">
        <f t="shared" si="136"/>
        <v>3.0148669248161002</v>
      </c>
      <c r="DI60" s="2135">
        <f t="shared" si="137"/>
        <v>60.562646785705823</v>
      </c>
      <c r="DJ60" s="2149">
        <v>192.04014360000005</v>
      </c>
      <c r="DK60" s="2109">
        <f t="shared" si="138"/>
        <v>1.5048455729264774</v>
      </c>
      <c r="DL60" s="2109">
        <v>28.899075992062503</v>
      </c>
      <c r="DM60" s="2109">
        <v>1.5762430701734029</v>
      </c>
      <c r="DN60" s="2109">
        <f t="shared" si="14"/>
        <v>30.270194554460527</v>
      </c>
      <c r="DO60" s="2135"/>
      <c r="DP60" s="2135"/>
      <c r="DQ60" s="2135"/>
      <c r="DR60" s="2135">
        <f t="shared" si="139"/>
        <v>3.0810886430998803</v>
      </c>
      <c r="DS60" s="2135">
        <f t="shared" si="140"/>
        <v>59.16927054652303</v>
      </c>
      <c r="DT60" s="2149">
        <v>200.88</v>
      </c>
      <c r="DU60" s="2109">
        <f t="shared" si="141"/>
        <v>1.4386238546426975</v>
      </c>
      <c r="DV60" s="2109">
        <v>28.899075992062503</v>
      </c>
      <c r="DW60" s="2109">
        <v>1.5762430701734029</v>
      </c>
      <c r="DX60" s="2109">
        <f t="shared" si="15"/>
        <v>31.663570793643316</v>
      </c>
      <c r="DY60" s="2135"/>
      <c r="DZ60" s="2135"/>
      <c r="EA60" s="2135"/>
      <c r="EB60" s="2135">
        <f t="shared" si="142"/>
        <v>3.0148669248161002</v>
      </c>
      <c r="EC60" s="2135">
        <f t="shared" si="143"/>
        <v>60.562646785705823</v>
      </c>
      <c r="ED60" s="2135"/>
      <c r="EE60" s="2106">
        <f t="shared" si="144"/>
        <v>2375.5634976193551</v>
      </c>
      <c r="EF60" s="2106">
        <f t="shared" si="151"/>
        <v>1.4598174801569423</v>
      </c>
      <c r="EG60" s="2106">
        <f t="shared" si="145"/>
        <v>346.78891190474997</v>
      </c>
      <c r="EH60" s="2106">
        <f t="shared" si="146"/>
        <v>1.5762430701734029</v>
      </c>
      <c r="EI60" s="2106">
        <f t="shared" si="147"/>
        <v>374.44655008793995</v>
      </c>
      <c r="EJ60" s="2106"/>
      <c r="EK60" s="2106"/>
      <c r="EL60" s="2106"/>
      <c r="EM60" s="2106">
        <f t="shared" si="148"/>
        <v>3.0360605503303457</v>
      </c>
      <c r="EN60" s="2106">
        <f t="shared" si="149"/>
        <v>721.23546199268992</v>
      </c>
      <c r="EO60" s="2106">
        <f>EN60/J60*10</f>
        <v>3.0360605503303457</v>
      </c>
      <c r="EP60" s="2114">
        <f>EN60/M60*10</f>
        <v>3.145211485856831</v>
      </c>
      <c r="EQ60" s="2224"/>
      <c r="ER60" s="2210"/>
      <c r="ES60" s="2209" t="s">
        <v>1694</v>
      </c>
      <c r="ET60" s="2241"/>
      <c r="EU60" s="2230"/>
      <c r="EV60" s="2241"/>
      <c r="EW60" s="2241"/>
      <c r="EX60" s="2241"/>
      <c r="EY60" s="2244"/>
      <c r="EZ60" s="2244"/>
      <c r="FA60" s="2244"/>
      <c r="FB60" s="2242"/>
      <c r="FC60" s="2243"/>
      <c r="FD60" s="2243"/>
      <c r="FE60" s="2243"/>
      <c r="FF60" s="2243"/>
      <c r="FG60" s="2243"/>
      <c r="FH60" s="2243"/>
      <c r="FI60" s="2243"/>
    </row>
    <row r="61" spans="1:165">
      <c r="A61" s="2220">
        <v>19</v>
      </c>
      <c r="B61" s="2227" t="s">
        <v>1695</v>
      </c>
      <c r="C61" s="2146">
        <v>2000</v>
      </c>
      <c r="D61" s="2147">
        <f t="shared" si="150"/>
        <v>0.37680000000000002</v>
      </c>
      <c r="E61" s="2146"/>
      <c r="F61" s="2148">
        <v>0.91826153393129928</v>
      </c>
      <c r="G61" s="2146">
        <v>753.6</v>
      </c>
      <c r="H61" s="2149" t="s">
        <v>1649</v>
      </c>
      <c r="I61" s="2229">
        <v>1</v>
      </c>
      <c r="J61" s="2149">
        <v>5140.0067124290326</v>
      </c>
      <c r="K61" s="2148">
        <v>3.4703846153846141E-2</v>
      </c>
      <c r="L61" s="2151"/>
      <c r="M61" s="2152">
        <f t="shared" si="107"/>
        <v>4961.6287102511587</v>
      </c>
      <c r="N61" s="2149">
        <v>304.02577960000002</v>
      </c>
      <c r="O61" s="2109">
        <f t="shared" si="108"/>
        <v>0.9764978660196979</v>
      </c>
      <c r="P61" s="2109">
        <v>29.688052499437504</v>
      </c>
      <c r="Q61" s="2109">
        <v>1.5360608669399463</v>
      </c>
      <c r="R61" s="2109">
        <f t="shared" si="4"/>
        <v>46.700210258446909</v>
      </c>
      <c r="S61" s="2109"/>
      <c r="T61" s="2109"/>
      <c r="U61" s="2109"/>
      <c r="V61" s="2109">
        <f t="shared" si="109"/>
        <v>2.5125587329596439</v>
      </c>
      <c r="W61" s="2109">
        <f t="shared" si="110"/>
        <v>76.388262757884405</v>
      </c>
      <c r="X61" s="2149">
        <v>427.97347035999996</v>
      </c>
      <c r="Y61" s="2109">
        <f t="shared" si="111"/>
        <v>0.6936890848506263</v>
      </c>
      <c r="Z61" s="2109">
        <v>29.688052499437504</v>
      </c>
      <c r="AA61" s="2109">
        <v>1.5360608669399463</v>
      </c>
      <c r="AB61" s="2109">
        <f t="shared" si="5"/>
        <v>65.739329990847892</v>
      </c>
      <c r="AC61" s="2135"/>
      <c r="AD61" s="2135"/>
      <c r="AE61" s="2135"/>
      <c r="AF61" s="2135">
        <f t="shared" si="112"/>
        <v>2.2297499517905726</v>
      </c>
      <c r="AG61" s="2135">
        <f t="shared" si="113"/>
        <v>95.427382490285396</v>
      </c>
      <c r="AH61" s="2149">
        <v>426.1143206000001</v>
      </c>
      <c r="AI61" s="2109">
        <f t="shared" si="114"/>
        <v>0.69671567145724078</v>
      </c>
      <c r="AJ61" s="2109">
        <v>29.688052499437504</v>
      </c>
      <c r="AK61" s="2109">
        <v>1.5360608669399463</v>
      </c>
      <c r="AL61" s="2109">
        <f t="shared" si="6"/>
        <v>65.453753271636231</v>
      </c>
      <c r="AM61" s="2135"/>
      <c r="AN61" s="2135"/>
      <c r="AO61" s="2135"/>
      <c r="AP61" s="2135">
        <f t="shared" si="115"/>
        <v>2.2327765383971871</v>
      </c>
      <c r="AQ61" s="2135">
        <f t="shared" si="116"/>
        <v>95.141805771073734</v>
      </c>
      <c r="AR61" s="2149">
        <v>397.99600059999989</v>
      </c>
      <c r="AS61" s="2109">
        <f t="shared" si="117"/>
        <v>0.74593846306699574</v>
      </c>
      <c r="AT61" s="2109">
        <v>29.688052499437504</v>
      </c>
      <c r="AU61" s="2109">
        <v>1.5360608669399463</v>
      </c>
      <c r="AV61" s="2109">
        <f t="shared" si="7"/>
        <v>61.134608172026716</v>
      </c>
      <c r="AW61" s="2135"/>
      <c r="AX61" s="2135"/>
      <c r="AY61" s="2135"/>
      <c r="AZ61" s="2135">
        <f t="shared" si="118"/>
        <v>2.2819993300069417</v>
      </c>
      <c r="BA61" s="2135">
        <f t="shared" si="119"/>
        <v>90.82266067146422</v>
      </c>
      <c r="BB61" s="2149">
        <v>448.01904500000001</v>
      </c>
      <c r="BC61" s="2109">
        <f t="shared" si="120"/>
        <v>0.66265157320348966</v>
      </c>
      <c r="BD61" s="2109">
        <v>29.688052499437504</v>
      </c>
      <c r="BE61" s="2109">
        <v>1.5360608669399463</v>
      </c>
      <c r="BF61" s="2109">
        <f t="shared" si="8"/>
        <v>68.81845226683069</v>
      </c>
      <c r="BG61" s="2135"/>
      <c r="BH61" s="2135"/>
      <c r="BI61" s="2135"/>
      <c r="BJ61" s="2135">
        <f t="shared" si="121"/>
        <v>2.1987124401434359</v>
      </c>
      <c r="BK61" s="2135">
        <f t="shared" si="122"/>
        <v>98.506504766268193</v>
      </c>
      <c r="BL61" s="2149">
        <v>401.27445812903215</v>
      </c>
      <c r="BM61" s="2109">
        <f t="shared" si="123"/>
        <v>0.73984406178902962</v>
      </c>
      <c r="BN61" s="2109">
        <v>29.688052499437504</v>
      </c>
      <c r="BO61" s="2109">
        <v>1.5360608669399463</v>
      </c>
      <c r="BP61" s="2109">
        <f t="shared" si="9"/>
        <v>61.638199203453823</v>
      </c>
      <c r="BQ61" s="2135"/>
      <c r="BR61" s="2135"/>
      <c r="BS61" s="2135"/>
      <c r="BT61" s="2135">
        <f t="shared" si="124"/>
        <v>2.2759049287289757</v>
      </c>
      <c r="BU61" s="2135">
        <f t="shared" si="125"/>
        <v>91.326251702891327</v>
      </c>
      <c r="BV61" s="2149">
        <v>428.72269117999997</v>
      </c>
      <c r="BW61" s="2109">
        <f t="shared" si="126"/>
        <v>0.6924768180038533</v>
      </c>
      <c r="BX61" s="2109">
        <v>29.688052499437504</v>
      </c>
      <c r="BY61" s="2109">
        <v>1.5360608669399463</v>
      </c>
      <c r="BZ61" s="2109">
        <f t="shared" si="10"/>
        <v>65.854414869077772</v>
      </c>
      <c r="CA61" s="2135"/>
      <c r="CB61" s="2135"/>
      <c r="CC61" s="2135"/>
      <c r="CD61" s="2135">
        <f t="shared" si="127"/>
        <v>2.2285376849437997</v>
      </c>
      <c r="CE61" s="2135">
        <f t="shared" si="128"/>
        <v>95.542467368515275</v>
      </c>
      <c r="CF61" s="2149">
        <v>473.33575456000005</v>
      </c>
      <c r="CG61" s="2109">
        <f t="shared" si="129"/>
        <v>0.62720916840593843</v>
      </c>
      <c r="CH61" s="2109">
        <v>29.688052499437504</v>
      </c>
      <c r="CI61" s="2109">
        <v>1.5360608669399463</v>
      </c>
      <c r="CJ61" s="2109">
        <f t="shared" si="11"/>
        <v>72.707252950310732</v>
      </c>
      <c r="CK61" s="2135"/>
      <c r="CL61" s="2135"/>
      <c r="CM61" s="2135"/>
      <c r="CN61" s="2135">
        <f t="shared" si="130"/>
        <v>2.1632700353458847</v>
      </c>
      <c r="CO61" s="2135">
        <f t="shared" si="131"/>
        <v>102.39530544974824</v>
      </c>
      <c r="CP61" s="2149">
        <v>482.09030859999996</v>
      </c>
      <c r="CQ61" s="2109">
        <f t="shared" si="132"/>
        <v>0.61581931787121402</v>
      </c>
      <c r="CR61" s="2109">
        <v>29.688052499437504</v>
      </c>
      <c r="CS61" s="2109">
        <v>1.5360608669399463</v>
      </c>
      <c r="CT61" s="2109">
        <f t="shared" si="12"/>
        <v>74.052005737146217</v>
      </c>
      <c r="CU61" s="2135"/>
      <c r="CV61" s="2135"/>
      <c r="CW61" s="2135"/>
      <c r="CX61" s="2135">
        <f t="shared" si="133"/>
        <v>2.1518801848111604</v>
      </c>
      <c r="CY61" s="2135">
        <f t="shared" si="134"/>
        <v>103.74005823658372</v>
      </c>
      <c r="CZ61" s="2149">
        <v>477.83944359999992</v>
      </c>
      <c r="DA61" s="2109">
        <f t="shared" si="135"/>
        <v>0.6212976533659581</v>
      </c>
      <c r="DB61" s="2109">
        <v>29.688052499437504</v>
      </c>
      <c r="DC61" s="2109">
        <v>1.5360608669399463</v>
      </c>
      <c r="DD61" s="2109">
        <f t="shared" si="13"/>
        <v>73.399046999431746</v>
      </c>
      <c r="DE61" s="2135"/>
      <c r="DF61" s="2135"/>
      <c r="DG61" s="2135"/>
      <c r="DH61" s="2135">
        <f t="shared" si="136"/>
        <v>2.1573585203059045</v>
      </c>
      <c r="DI61" s="2135">
        <f t="shared" si="137"/>
        <v>103.08709949886925</v>
      </c>
      <c r="DJ61" s="2149">
        <v>420.82297940000007</v>
      </c>
      <c r="DK61" s="2109">
        <f t="shared" si="138"/>
        <v>0.70547603036711692</v>
      </c>
      <c r="DL61" s="2109">
        <v>29.688052499437504</v>
      </c>
      <c r="DM61" s="2109">
        <v>1.5360608669399463</v>
      </c>
      <c r="DN61" s="2109">
        <f t="shared" si="14"/>
        <v>64.640971056541531</v>
      </c>
      <c r="DO61" s="2135"/>
      <c r="DP61" s="2135"/>
      <c r="DQ61" s="2135"/>
      <c r="DR61" s="2135">
        <f t="shared" si="139"/>
        <v>2.2415368973070633</v>
      </c>
      <c r="DS61" s="2135">
        <f t="shared" si="140"/>
        <v>94.329023555979035</v>
      </c>
      <c r="DT61" s="2149">
        <v>451.7924607999999</v>
      </c>
      <c r="DU61" s="2109">
        <f t="shared" si="141"/>
        <v>0.65711704101631419</v>
      </c>
      <c r="DV61" s="2109">
        <v>29.688052499437504</v>
      </c>
      <c r="DW61" s="2109">
        <v>1.5360608669399463</v>
      </c>
      <c r="DX61" s="2109">
        <f t="shared" si="15"/>
        <v>69.398071901337943</v>
      </c>
      <c r="DY61" s="2135"/>
      <c r="DZ61" s="2135"/>
      <c r="EA61" s="2135"/>
      <c r="EB61" s="2135">
        <f t="shared" si="142"/>
        <v>2.1931779079562603</v>
      </c>
      <c r="EC61" s="2135">
        <f t="shared" si="143"/>
        <v>99.086124400775446</v>
      </c>
      <c r="ED61" s="2135"/>
      <c r="EE61" s="2106">
        <f t="shared" si="144"/>
        <v>5140.0067124290326</v>
      </c>
      <c r="EF61" s="2106">
        <f t="shared" si="151"/>
        <v>0.69310537889335266</v>
      </c>
      <c r="EG61" s="2106">
        <f t="shared" si="145"/>
        <v>356.25662999325004</v>
      </c>
      <c r="EH61" s="2106">
        <f t="shared" si="146"/>
        <v>1.536060866939946</v>
      </c>
      <c r="EI61" s="2106">
        <f t="shared" si="147"/>
        <v>789.53631667708828</v>
      </c>
      <c r="EJ61" s="2106"/>
      <c r="EK61" s="2106"/>
      <c r="EL61" s="2106"/>
      <c r="EM61" s="2106">
        <f t="shared" si="148"/>
        <v>2.2291662458332988</v>
      </c>
      <c r="EN61" s="2106">
        <f t="shared" si="149"/>
        <v>1145.7929466703383</v>
      </c>
      <c r="EO61" s="2106">
        <f>EN61/J61*10</f>
        <v>2.2291662458332988</v>
      </c>
      <c r="EP61" s="2114">
        <f>EN61/M61*10</f>
        <v>2.3093081195354861</v>
      </c>
      <c r="EQ61" s="2224"/>
      <c r="ER61" s="2210"/>
      <c r="ES61" s="2209" t="s">
        <v>1695</v>
      </c>
      <c r="ET61" s="2241"/>
      <c r="EU61" s="2230"/>
      <c r="EV61" s="2241"/>
      <c r="EW61" s="2241"/>
      <c r="EX61" s="2241"/>
      <c r="EY61" s="2244"/>
      <c r="EZ61" s="2244"/>
      <c r="FA61" s="2244"/>
      <c r="FB61" s="2242"/>
      <c r="FC61" s="2243"/>
      <c r="FD61" s="2243"/>
      <c r="FE61" s="2243"/>
      <c r="FF61" s="2243"/>
      <c r="FG61" s="2243"/>
      <c r="FH61" s="2243"/>
      <c r="FI61" s="2243"/>
    </row>
    <row r="62" spans="1:165">
      <c r="A62" s="2220">
        <v>20</v>
      </c>
      <c r="B62" s="2227" t="s">
        <v>1696</v>
      </c>
      <c r="C62" s="2146">
        <v>2100</v>
      </c>
      <c r="D62" s="2147">
        <f t="shared" si="150"/>
        <v>1.8047619047619047E-3</v>
      </c>
      <c r="E62" s="2146"/>
      <c r="F62" s="2148"/>
      <c r="G62" s="2146">
        <v>3.79</v>
      </c>
      <c r="H62" s="2149" t="s">
        <v>1649</v>
      </c>
      <c r="I62" s="2229">
        <v>1</v>
      </c>
      <c r="J62" s="2149">
        <v>19.946773255376346</v>
      </c>
      <c r="K62" s="2148">
        <v>3.4703846153846141E-2</v>
      </c>
      <c r="L62" s="2151"/>
      <c r="M62" s="2152">
        <f t="shared" si="107"/>
        <v>19.254543505056112</v>
      </c>
      <c r="N62" s="2149">
        <v>1.1678740000000001</v>
      </c>
      <c r="O62" s="2109">
        <f t="shared" si="108"/>
        <v>0.87402029885073229</v>
      </c>
      <c r="P62" s="2109">
        <v>0.10207455825000002</v>
      </c>
      <c r="Q62" s="2109">
        <v>1.5040426723777169</v>
      </c>
      <c r="R62" s="2109">
        <f t="shared" si="4"/>
        <v>0.17565323319604539</v>
      </c>
      <c r="S62" s="2109"/>
      <c r="T62" s="2109"/>
      <c r="U62" s="2109"/>
      <c r="V62" s="2109">
        <f t="shared" si="109"/>
        <v>2.3780629712284491</v>
      </c>
      <c r="W62" s="2109">
        <f t="shared" si="110"/>
        <v>0.27772779144604542</v>
      </c>
      <c r="X62" s="2149">
        <v>1.7309710000000003</v>
      </c>
      <c r="Y62" s="2109">
        <f t="shared" si="111"/>
        <v>0.5896953689576544</v>
      </c>
      <c r="Z62" s="2109">
        <v>0.10207455825000002</v>
      </c>
      <c r="AA62" s="2109">
        <v>1.5040426723777169</v>
      </c>
      <c r="AB62" s="2109">
        <f t="shared" si="5"/>
        <v>0.26034542486483297</v>
      </c>
      <c r="AC62" s="2135"/>
      <c r="AD62" s="2135"/>
      <c r="AE62" s="2135"/>
      <c r="AF62" s="2135">
        <f t="shared" si="112"/>
        <v>2.0937380413353717</v>
      </c>
      <c r="AG62" s="2135">
        <f t="shared" si="113"/>
        <v>0.36241998311483298</v>
      </c>
      <c r="AH62" s="2149">
        <v>2.1317300000000006</v>
      </c>
      <c r="AI62" s="2109">
        <f t="shared" si="114"/>
        <v>0.47883436574988386</v>
      </c>
      <c r="AJ62" s="2109">
        <v>0.10207455825000002</v>
      </c>
      <c r="AK62" s="2109">
        <v>1.5040426723777169</v>
      </c>
      <c r="AL62" s="2109">
        <f t="shared" si="6"/>
        <v>0.32062128859877514</v>
      </c>
      <c r="AM62" s="2135"/>
      <c r="AN62" s="2135"/>
      <c r="AO62" s="2135"/>
      <c r="AP62" s="2135">
        <f t="shared" si="115"/>
        <v>1.9828770381276006</v>
      </c>
      <c r="AQ62" s="2135">
        <f t="shared" si="116"/>
        <v>0.42269584684877515</v>
      </c>
      <c r="AR62" s="2149">
        <v>1.9939057500000001</v>
      </c>
      <c r="AS62" s="2109">
        <f t="shared" si="117"/>
        <v>0.51193271422182318</v>
      </c>
      <c r="AT62" s="2109">
        <v>0.10207455825000002</v>
      </c>
      <c r="AU62" s="2109">
        <v>1.5040426723777169</v>
      </c>
      <c r="AV62" s="2109">
        <f t="shared" si="7"/>
        <v>0.29989193326992958</v>
      </c>
      <c r="AW62" s="2135"/>
      <c r="AX62" s="2135"/>
      <c r="AY62" s="2135"/>
      <c r="AZ62" s="2135">
        <f t="shared" si="118"/>
        <v>2.01597538659954</v>
      </c>
      <c r="BA62" s="2135">
        <f t="shared" si="119"/>
        <v>0.40196649151992958</v>
      </c>
      <c r="BB62" s="2149">
        <v>1.9859613333333335</v>
      </c>
      <c r="BC62" s="2109">
        <f t="shared" si="120"/>
        <v>0.51398059235460114</v>
      </c>
      <c r="BD62" s="2109">
        <v>0.10207455825000002</v>
      </c>
      <c r="BE62" s="2109">
        <v>1.5040426723777169</v>
      </c>
      <c r="BF62" s="2109">
        <f t="shared" si="8"/>
        <v>0.29869705910254807</v>
      </c>
      <c r="BG62" s="2135"/>
      <c r="BH62" s="2135"/>
      <c r="BI62" s="2135"/>
      <c r="BJ62" s="2135">
        <f t="shared" si="121"/>
        <v>2.0180232647323177</v>
      </c>
      <c r="BK62" s="2135">
        <f t="shared" si="122"/>
        <v>0.40077161735254807</v>
      </c>
      <c r="BL62" s="2149">
        <v>1.4434848387096775</v>
      </c>
      <c r="BM62" s="2109">
        <f t="shared" si="123"/>
        <v>0.70713980162925616</v>
      </c>
      <c r="BN62" s="2109">
        <v>0.10207455825000002</v>
      </c>
      <c r="BO62" s="2109">
        <v>1.5040426723777169</v>
      </c>
      <c r="BP62" s="2109">
        <f t="shared" si="9"/>
        <v>0.21710627943496208</v>
      </c>
      <c r="BQ62" s="2135"/>
      <c r="BR62" s="2135"/>
      <c r="BS62" s="2135"/>
      <c r="BT62" s="2135">
        <f t="shared" si="124"/>
        <v>2.2111824740069732</v>
      </c>
      <c r="BU62" s="2135">
        <f t="shared" si="125"/>
        <v>0.31918083768496208</v>
      </c>
      <c r="BV62" s="2149">
        <v>1.5260140000000002</v>
      </c>
      <c r="BW62" s="2109">
        <f t="shared" si="126"/>
        <v>0.66889660415959495</v>
      </c>
      <c r="BX62" s="2109">
        <v>0.10207455825000002</v>
      </c>
      <c r="BY62" s="2109">
        <v>1.5040426723777169</v>
      </c>
      <c r="BZ62" s="2109">
        <f t="shared" si="10"/>
        <v>0.22951901746458098</v>
      </c>
      <c r="CA62" s="2135"/>
      <c r="CB62" s="2135"/>
      <c r="CC62" s="2135"/>
      <c r="CD62" s="2135">
        <f t="shared" si="127"/>
        <v>2.1729392765373117</v>
      </c>
      <c r="CE62" s="2135">
        <f t="shared" si="128"/>
        <v>0.33159357571458098</v>
      </c>
      <c r="CF62" s="2149">
        <v>1.6568630000000002</v>
      </c>
      <c r="CG62" s="2109">
        <f t="shared" si="129"/>
        <v>0.61607120353342437</v>
      </c>
      <c r="CH62" s="2109">
        <v>0.10207455825000002</v>
      </c>
      <c r="CI62" s="2109">
        <v>1.5040426723777169</v>
      </c>
      <c r="CJ62" s="2109">
        <f t="shared" si="11"/>
        <v>0.24919926542837617</v>
      </c>
      <c r="CK62" s="2135"/>
      <c r="CL62" s="2135"/>
      <c r="CM62" s="2135"/>
      <c r="CN62" s="2135">
        <f t="shared" si="130"/>
        <v>2.1201138759111413</v>
      </c>
      <c r="CO62" s="2135">
        <f t="shared" si="131"/>
        <v>0.35127382367837617</v>
      </c>
      <c r="CP62" s="2149">
        <v>1.5265889999999995</v>
      </c>
      <c r="CQ62" s="2109">
        <f t="shared" si="132"/>
        <v>0.66864465976107557</v>
      </c>
      <c r="CR62" s="2109">
        <v>0.10207455825000002</v>
      </c>
      <c r="CS62" s="2109">
        <v>1.5040426723777169</v>
      </c>
      <c r="CT62" s="2109">
        <f t="shared" si="12"/>
        <v>0.22960549991824258</v>
      </c>
      <c r="CU62" s="2135"/>
      <c r="CV62" s="2135"/>
      <c r="CW62" s="2135"/>
      <c r="CX62" s="2135">
        <f t="shared" si="133"/>
        <v>2.1726873321387923</v>
      </c>
      <c r="CY62" s="2135">
        <f t="shared" si="134"/>
        <v>0.33168005816824259</v>
      </c>
      <c r="CZ62" s="2149">
        <v>1.518686</v>
      </c>
      <c r="DA62" s="2109">
        <f t="shared" si="135"/>
        <v>0.67212418004775187</v>
      </c>
      <c r="DB62" s="2109">
        <v>0.10207455825000002</v>
      </c>
      <c r="DC62" s="2109">
        <v>1.5040426723777169</v>
      </c>
      <c r="DD62" s="2109">
        <f t="shared" si="13"/>
        <v>0.22841685499426254</v>
      </c>
      <c r="DE62" s="2135"/>
      <c r="DF62" s="2135"/>
      <c r="DG62" s="2135"/>
      <c r="DH62" s="2135">
        <f t="shared" si="136"/>
        <v>2.1761668524254691</v>
      </c>
      <c r="DI62" s="2135">
        <f t="shared" si="137"/>
        <v>0.33049141324426257</v>
      </c>
      <c r="DJ62" s="2149">
        <v>1.5518446666666668</v>
      </c>
      <c r="DK62" s="2109">
        <f t="shared" si="138"/>
        <v>0.65776272872241948</v>
      </c>
      <c r="DL62" s="2109">
        <v>0.10207455825000002</v>
      </c>
      <c r="DM62" s="2109">
        <v>1.5040426723777169</v>
      </c>
      <c r="DN62" s="2109">
        <f t="shared" si="14"/>
        <v>0.2334040599568441</v>
      </c>
      <c r="DO62" s="2135"/>
      <c r="DP62" s="2135"/>
      <c r="DQ62" s="2135"/>
      <c r="DR62" s="2135">
        <f t="shared" si="139"/>
        <v>2.1618054011001364</v>
      </c>
      <c r="DS62" s="2135">
        <f t="shared" si="140"/>
        <v>0.3354786182068441</v>
      </c>
      <c r="DT62" s="2149">
        <v>1.7128496666666668</v>
      </c>
      <c r="DU62" s="2109">
        <f t="shared" si="141"/>
        <v>0.59593413383817107</v>
      </c>
      <c r="DV62" s="2109">
        <v>0.10207455825000002</v>
      </c>
      <c r="DW62" s="2109">
        <v>1.5040426723777169</v>
      </c>
      <c r="DX62" s="2109">
        <f t="shared" si="15"/>
        <v>0.25761989900346155</v>
      </c>
      <c r="DY62" s="2135"/>
      <c r="DZ62" s="2135"/>
      <c r="EA62" s="2135"/>
      <c r="EB62" s="2135">
        <f t="shared" si="142"/>
        <v>2.0999768062158881</v>
      </c>
      <c r="EC62" s="2135">
        <f t="shared" si="143"/>
        <v>0.35969445725346155</v>
      </c>
      <c r="ED62" s="2135"/>
      <c r="EE62" s="2106">
        <f t="shared" si="144"/>
        <v>19.946773255376346</v>
      </c>
      <c r="EF62" s="2106">
        <f t="shared" si="151"/>
        <v>0.61408162779904696</v>
      </c>
      <c r="EG62" s="2106">
        <f t="shared" si="145"/>
        <v>1.2248946990000003</v>
      </c>
      <c r="EH62" s="2106">
        <f t="shared" si="146"/>
        <v>1.5040426723777169</v>
      </c>
      <c r="EI62" s="2106">
        <f t="shared" si="147"/>
        <v>3.0000798152328612</v>
      </c>
      <c r="EJ62" s="2106"/>
      <c r="EK62" s="2106"/>
      <c r="EL62" s="2106"/>
      <c r="EM62" s="2106">
        <f t="shared" si="148"/>
        <v>2.1181243001767638</v>
      </c>
      <c r="EN62" s="2106">
        <f t="shared" si="149"/>
        <v>4.2249745142328612</v>
      </c>
      <c r="EO62" s="2106">
        <f>IFERROR(EN62/J62*10,0)</f>
        <v>2.1181243001767638</v>
      </c>
      <c r="EP62" s="2114">
        <f>IFERROR(EN62/M62*10,0)</f>
        <v>2.1942740491995623</v>
      </c>
      <c r="EQ62" s="2224"/>
      <c r="ER62" s="2210"/>
      <c r="ES62" s="2209" t="s">
        <v>1696</v>
      </c>
      <c r="ET62" s="2241"/>
      <c r="EU62" s="2230"/>
      <c r="EV62" s="2241"/>
      <c r="EW62" s="2241"/>
      <c r="EX62" s="2241"/>
      <c r="EY62" s="2244"/>
      <c r="EZ62" s="2244"/>
      <c r="FA62" s="2244"/>
      <c r="FB62" s="2242"/>
      <c r="FC62" s="2243"/>
      <c r="FD62" s="2243"/>
      <c r="FE62" s="2243"/>
      <c r="FF62" s="2243"/>
      <c r="FG62" s="2243"/>
      <c r="FH62" s="2243"/>
      <c r="FI62" s="2243"/>
    </row>
    <row r="63" spans="1:165">
      <c r="A63" s="2220">
        <v>21</v>
      </c>
      <c r="B63" s="2227" t="s">
        <v>1697</v>
      </c>
      <c r="C63" s="2146">
        <v>500</v>
      </c>
      <c r="D63" s="2147">
        <f t="shared" si="150"/>
        <v>2.82E-3</v>
      </c>
      <c r="E63" s="2146"/>
      <c r="F63" s="2148"/>
      <c r="G63" s="2146">
        <v>1.41</v>
      </c>
      <c r="H63" s="2149" t="s">
        <v>1649</v>
      </c>
      <c r="I63" s="2229">
        <v>1</v>
      </c>
      <c r="J63" s="2149">
        <v>9.5170316612903232</v>
      </c>
      <c r="K63" s="2148">
        <v>3.4703846153846141E-2</v>
      </c>
      <c r="L63" s="2151"/>
      <c r="M63" s="2152">
        <f t="shared" si="107"/>
        <v>9.1867540586756213</v>
      </c>
      <c r="N63" s="2149">
        <v>0.48034199999999994</v>
      </c>
      <c r="O63" s="2109">
        <f t="shared" si="108"/>
        <v>2.1026889278888792</v>
      </c>
      <c r="P63" s="2109">
        <v>0.1010009805</v>
      </c>
      <c r="Q63" s="2109">
        <v>1.5324996250972442</v>
      </c>
      <c r="R63" s="2109">
        <f t="shared" si="4"/>
        <v>7.3612393491846034E-2</v>
      </c>
      <c r="S63" s="2109"/>
      <c r="T63" s="2109"/>
      <c r="U63" s="2109"/>
      <c r="V63" s="2109">
        <f t="shared" si="109"/>
        <v>3.6351885529861239</v>
      </c>
      <c r="W63" s="2109">
        <f t="shared" si="110"/>
        <v>0.17461337399184604</v>
      </c>
      <c r="X63" s="2149">
        <v>0.88512750000000007</v>
      </c>
      <c r="Y63" s="2109">
        <f t="shared" si="111"/>
        <v>1.141089622681478</v>
      </c>
      <c r="Z63" s="2109">
        <v>0.1010009805</v>
      </c>
      <c r="AA63" s="2109">
        <v>1.5324996250972442</v>
      </c>
      <c r="AB63" s="2109">
        <f t="shared" si="5"/>
        <v>0.1356457561913261</v>
      </c>
      <c r="AC63" s="2135"/>
      <c r="AD63" s="2135"/>
      <c r="AE63" s="2135"/>
      <c r="AF63" s="2135">
        <f t="shared" si="112"/>
        <v>2.6735892477787222</v>
      </c>
      <c r="AG63" s="2135">
        <f t="shared" si="113"/>
        <v>0.2366467366913261</v>
      </c>
      <c r="AH63" s="2149">
        <v>0.85657500000000009</v>
      </c>
      <c r="AI63" s="2109">
        <f t="shared" si="114"/>
        <v>1.1791259434375272</v>
      </c>
      <c r="AJ63" s="2109">
        <v>0.1010009805</v>
      </c>
      <c r="AK63" s="2109">
        <v>1.5324996250972442</v>
      </c>
      <c r="AL63" s="2109">
        <f t="shared" si="6"/>
        <v>0.1312700866367672</v>
      </c>
      <c r="AM63" s="2135"/>
      <c r="AN63" s="2135"/>
      <c r="AO63" s="2135"/>
      <c r="AP63" s="2135">
        <f t="shared" si="115"/>
        <v>2.711625568534771</v>
      </c>
      <c r="AQ63" s="2135">
        <f t="shared" si="116"/>
        <v>0.23227106713676721</v>
      </c>
      <c r="AR63" s="2149">
        <v>0.7044317499999998</v>
      </c>
      <c r="AS63" s="2109">
        <f t="shared" si="117"/>
        <v>1.4337936996735317</v>
      </c>
      <c r="AT63" s="2109">
        <v>0.1010009805</v>
      </c>
      <c r="AU63" s="2109">
        <v>1.5324996250972442</v>
      </c>
      <c r="AV63" s="2109">
        <f t="shared" si="7"/>
        <v>0.10795413927815953</v>
      </c>
      <c r="AW63" s="2135"/>
      <c r="AX63" s="2135"/>
      <c r="AY63" s="2135"/>
      <c r="AZ63" s="2135">
        <f t="shared" si="118"/>
        <v>2.9662933247707759</v>
      </c>
      <c r="BA63" s="2135">
        <f t="shared" si="119"/>
        <v>0.20895511977815953</v>
      </c>
      <c r="BB63" s="2149">
        <v>0.70053266666666669</v>
      </c>
      <c r="BC63" s="2109">
        <f t="shared" si="120"/>
        <v>1.4417740286201262</v>
      </c>
      <c r="BD63" s="2109">
        <v>0.1010009805</v>
      </c>
      <c r="BE63" s="2109">
        <v>1.5324996250972442</v>
      </c>
      <c r="BF63" s="2109">
        <f t="shared" si="8"/>
        <v>0.10735660490350393</v>
      </c>
      <c r="BG63" s="2135"/>
      <c r="BH63" s="2135"/>
      <c r="BI63" s="2135"/>
      <c r="BJ63" s="2135">
        <f t="shared" si="121"/>
        <v>2.9742736537173702</v>
      </c>
      <c r="BK63" s="2135">
        <f t="shared" si="122"/>
        <v>0.20835758540350394</v>
      </c>
      <c r="BL63" s="2149">
        <v>0.74135516129032275</v>
      </c>
      <c r="BM63" s="2109">
        <f t="shared" si="123"/>
        <v>1.3623831838468434</v>
      </c>
      <c r="BN63" s="2109">
        <v>0.1010009805</v>
      </c>
      <c r="BO63" s="2109">
        <v>1.5324996250972442</v>
      </c>
      <c r="BP63" s="2109">
        <f t="shared" si="9"/>
        <v>0.11361265067413266</v>
      </c>
      <c r="BQ63" s="2135"/>
      <c r="BR63" s="2135"/>
      <c r="BS63" s="2135"/>
      <c r="BT63" s="2135">
        <f t="shared" si="124"/>
        <v>2.8948828089440877</v>
      </c>
      <c r="BU63" s="2135">
        <f t="shared" si="125"/>
        <v>0.21461363117413268</v>
      </c>
      <c r="BV63" s="2149">
        <v>0.82528000000000012</v>
      </c>
      <c r="BW63" s="2109">
        <f t="shared" si="126"/>
        <v>1.2238389455699883</v>
      </c>
      <c r="BX63" s="2109">
        <v>0.1010009805</v>
      </c>
      <c r="BY63" s="2109">
        <v>1.5324996250972442</v>
      </c>
      <c r="BZ63" s="2109">
        <f t="shared" si="10"/>
        <v>0.12647412906002539</v>
      </c>
      <c r="CA63" s="2135"/>
      <c r="CB63" s="2135"/>
      <c r="CC63" s="2135"/>
      <c r="CD63" s="2135">
        <f t="shared" si="127"/>
        <v>2.7563385706672321</v>
      </c>
      <c r="CE63" s="2135">
        <f t="shared" si="128"/>
        <v>0.2274751095600254</v>
      </c>
      <c r="CF63" s="2149">
        <v>0.86740275000000011</v>
      </c>
      <c r="CG63" s="2109">
        <f t="shared" si="129"/>
        <v>1.1644069666599512</v>
      </c>
      <c r="CH63" s="2109">
        <v>0.1010009805</v>
      </c>
      <c r="CI63" s="2109">
        <v>1.5324996250972442</v>
      </c>
      <c r="CJ63" s="2109">
        <f t="shared" si="11"/>
        <v>0.13292943891833189</v>
      </c>
      <c r="CK63" s="2135"/>
      <c r="CL63" s="2135"/>
      <c r="CM63" s="2135"/>
      <c r="CN63" s="2135">
        <f t="shared" si="130"/>
        <v>2.6969065917571955</v>
      </c>
      <c r="CO63" s="2135">
        <f t="shared" si="131"/>
        <v>0.2339304194183319</v>
      </c>
      <c r="CP63" s="2149">
        <v>0.88512750000000007</v>
      </c>
      <c r="CQ63" s="2109">
        <f t="shared" si="132"/>
        <v>1.141089622681478</v>
      </c>
      <c r="CR63" s="2109">
        <v>0.1010009805</v>
      </c>
      <c r="CS63" s="2109">
        <v>1.5324996250972442</v>
      </c>
      <c r="CT63" s="2109">
        <f t="shared" si="12"/>
        <v>0.1356457561913261</v>
      </c>
      <c r="CU63" s="2135"/>
      <c r="CV63" s="2135"/>
      <c r="CW63" s="2135"/>
      <c r="CX63" s="2135">
        <f t="shared" si="133"/>
        <v>2.6735892477787222</v>
      </c>
      <c r="CY63" s="2135">
        <f t="shared" si="134"/>
        <v>0.2366467366913261</v>
      </c>
      <c r="CZ63" s="2149">
        <v>0.83528999999999998</v>
      </c>
      <c r="DA63" s="2109">
        <f t="shared" si="135"/>
        <v>1.2091726286678879</v>
      </c>
      <c r="DB63" s="2109">
        <v>0.1010009805</v>
      </c>
      <c r="DC63" s="2109">
        <v>1.5324996250972442</v>
      </c>
      <c r="DD63" s="2109">
        <f t="shared" si="13"/>
        <v>0.12800816118474773</v>
      </c>
      <c r="DE63" s="2135"/>
      <c r="DF63" s="2135"/>
      <c r="DG63" s="2135"/>
      <c r="DH63" s="2135">
        <f t="shared" si="136"/>
        <v>2.7416722537651323</v>
      </c>
      <c r="DI63" s="2135">
        <f t="shared" si="137"/>
        <v>0.22900914168474773</v>
      </c>
      <c r="DJ63" s="2149">
        <v>0.85319333333333314</v>
      </c>
      <c r="DK63" s="2109">
        <f t="shared" si="138"/>
        <v>1.1837994573328439</v>
      </c>
      <c r="DL63" s="2109">
        <v>0.1010009805</v>
      </c>
      <c r="DM63" s="2109">
        <v>1.5324996250972442</v>
      </c>
      <c r="DN63" s="2109">
        <f t="shared" si="14"/>
        <v>0.13075184634688011</v>
      </c>
      <c r="DO63" s="2135"/>
      <c r="DP63" s="2135"/>
      <c r="DQ63" s="2135"/>
      <c r="DR63" s="2135">
        <f t="shared" si="139"/>
        <v>2.7162990824300879</v>
      </c>
      <c r="DS63" s="2135">
        <f t="shared" si="140"/>
        <v>0.23175282684688012</v>
      </c>
      <c r="DT63" s="2149">
        <v>0.88237399999999999</v>
      </c>
      <c r="DU63" s="2109">
        <f t="shared" si="141"/>
        <v>1.144650460009021</v>
      </c>
      <c r="DV63" s="2109">
        <v>0.1010009805</v>
      </c>
      <c r="DW63" s="2109">
        <v>1.5324996250972442</v>
      </c>
      <c r="DX63" s="2109">
        <f t="shared" si="15"/>
        <v>0.13522378241955557</v>
      </c>
      <c r="DY63" s="2135"/>
      <c r="DZ63" s="2135"/>
      <c r="EA63" s="2135"/>
      <c r="EB63" s="2135">
        <f t="shared" si="142"/>
        <v>2.6771500851062653</v>
      </c>
      <c r="EC63" s="2135">
        <f t="shared" si="143"/>
        <v>0.23622476291955558</v>
      </c>
      <c r="ED63" s="2135"/>
      <c r="EE63" s="2106">
        <f t="shared" si="144"/>
        <v>9.5170316612903232</v>
      </c>
      <c r="EF63" s="2106">
        <f t="shared" si="151"/>
        <v>1.2735186864300874</v>
      </c>
      <c r="EG63" s="2106">
        <f t="shared" si="145"/>
        <v>1.2120117660000005</v>
      </c>
      <c r="EH63" s="2106">
        <f t="shared" si="146"/>
        <v>1.5324996250972438</v>
      </c>
      <c r="EI63" s="2106">
        <f t="shared" si="147"/>
        <v>1.4584847452966021</v>
      </c>
      <c r="EJ63" s="2106"/>
      <c r="EK63" s="2106"/>
      <c r="EL63" s="2106"/>
      <c r="EM63" s="2106">
        <f t="shared" si="148"/>
        <v>2.8060183115273314</v>
      </c>
      <c r="EN63" s="2106">
        <f t="shared" si="149"/>
        <v>2.6704965112966024</v>
      </c>
      <c r="EO63" s="2106">
        <f t="shared" ref="EO63:EO73" si="154">IFERROR(EN63/J63*10,0)</f>
        <v>2.8060183115273314</v>
      </c>
      <c r="EP63" s="2114">
        <f t="shared" ref="EP63:EP73" si="155">IFERROR(EN63/M63*10,0)</f>
        <v>2.9068988831530622</v>
      </c>
      <c r="EQ63" s="2224"/>
      <c r="ER63" s="2210"/>
      <c r="ES63" s="2209" t="s">
        <v>1697</v>
      </c>
      <c r="ET63" s="2241"/>
      <c r="EU63" s="2230"/>
      <c r="EV63" s="2241"/>
      <c r="EW63" s="2241"/>
      <c r="EX63" s="2241"/>
      <c r="EY63" s="2244"/>
      <c r="EZ63" s="2244"/>
      <c r="FA63" s="2244"/>
      <c r="FB63" s="2242"/>
      <c r="FC63" s="2243"/>
      <c r="FD63" s="2243"/>
      <c r="FE63" s="2243"/>
      <c r="FF63" s="2243"/>
      <c r="FG63" s="2243"/>
      <c r="FH63" s="2243"/>
      <c r="FI63" s="2243"/>
    </row>
    <row r="64" spans="1:165">
      <c r="A64" s="2220">
        <v>22</v>
      </c>
      <c r="B64" s="2227" t="s">
        <v>1698</v>
      </c>
      <c r="C64" s="2146">
        <v>1000</v>
      </c>
      <c r="D64" s="2147">
        <f t="shared" si="150"/>
        <v>2.82E-3</v>
      </c>
      <c r="E64" s="2146"/>
      <c r="F64" s="2148"/>
      <c r="G64" s="2146">
        <v>2.82</v>
      </c>
      <c r="H64" s="2149" t="s">
        <v>1649</v>
      </c>
      <c r="I64" s="2229">
        <v>1</v>
      </c>
      <c r="J64" s="2149">
        <v>7.6296986666666662</v>
      </c>
      <c r="K64" s="2148">
        <v>3.4703846153846141E-2</v>
      </c>
      <c r="L64" s="2151"/>
      <c r="M64" s="2152">
        <f t="shared" si="107"/>
        <v>7.3649187779384615</v>
      </c>
      <c r="N64" s="2149">
        <v>0</v>
      </c>
      <c r="O64" s="2109">
        <f t="shared" si="108"/>
        <v>0</v>
      </c>
      <c r="P64" s="2109">
        <v>0.28103687850000003</v>
      </c>
      <c r="Q64" s="2109">
        <v>3.3157303150569182</v>
      </c>
      <c r="R64" s="2109">
        <f t="shared" si="4"/>
        <v>0</v>
      </c>
      <c r="S64" s="2109"/>
      <c r="T64" s="2109"/>
      <c r="U64" s="2109"/>
      <c r="V64" s="2109">
        <f t="shared" si="109"/>
        <v>0</v>
      </c>
      <c r="W64" s="2109">
        <f t="shared" si="110"/>
        <v>0.28103687850000003</v>
      </c>
      <c r="X64" s="2149">
        <v>1.7702550000000001</v>
      </c>
      <c r="Y64" s="2109">
        <f t="shared" si="111"/>
        <v>1.5875502597083471</v>
      </c>
      <c r="Z64" s="2109">
        <v>0.28103687850000003</v>
      </c>
      <c r="AA64" s="2109">
        <v>3.3157303150569182</v>
      </c>
      <c r="AB64" s="2109">
        <f t="shared" si="5"/>
        <v>0.58696881688810854</v>
      </c>
      <c r="AC64" s="2135"/>
      <c r="AD64" s="2135"/>
      <c r="AE64" s="2135"/>
      <c r="AF64" s="2135">
        <f t="shared" si="112"/>
        <v>4.9032805747652652</v>
      </c>
      <c r="AG64" s="2135">
        <f t="shared" si="113"/>
        <v>0.86800569538810857</v>
      </c>
      <c r="AH64" s="2149">
        <v>1.7131500000000002</v>
      </c>
      <c r="AI64" s="2109">
        <f t="shared" si="114"/>
        <v>1.6404686016986254</v>
      </c>
      <c r="AJ64" s="2109">
        <v>0.28103687850000003</v>
      </c>
      <c r="AK64" s="2109">
        <v>3.3157303150569182</v>
      </c>
      <c r="AL64" s="2109">
        <f t="shared" si="6"/>
        <v>0.56803433892397603</v>
      </c>
      <c r="AM64" s="2135"/>
      <c r="AN64" s="2135"/>
      <c r="AO64" s="2135"/>
      <c r="AP64" s="2135">
        <f t="shared" si="115"/>
        <v>4.956198916755544</v>
      </c>
      <c r="AQ64" s="2135">
        <f t="shared" si="116"/>
        <v>0.84907121742397607</v>
      </c>
      <c r="AR64" s="2149">
        <v>1.7702550000000001</v>
      </c>
      <c r="AS64" s="2109">
        <f t="shared" si="117"/>
        <v>1.5875502597083471</v>
      </c>
      <c r="AT64" s="2109">
        <v>0.28103687850000003</v>
      </c>
      <c r="AU64" s="2109">
        <v>3.3157303150569182</v>
      </c>
      <c r="AV64" s="2109">
        <f t="shared" si="7"/>
        <v>0.58696881688810854</v>
      </c>
      <c r="AW64" s="2135"/>
      <c r="AX64" s="2135"/>
      <c r="AY64" s="2135"/>
      <c r="AZ64" s="2135">
        <f t="shared" si="118"/>
        <v>4.9032805747652652</v>
      </c>
      <c r="BA64" s="2135">
        <f t="shared" si="119"/>
        <v>0.86800569538810857</v>
      </c>
      <c r="BB64" s="2149">
        <v>0.66288866666666657</v>
      </c>
      <c r="BC64" s="2109">
        <f t="shared" si="120"/>
        <v>4.2395788709617408</v>
      </c>
      <c r="BD64" s="2109">
        <v>0.28103687850000003</v>
      </c>
      <c r="BE64" s="2109">
        <v>3.3157303150569182</v>
      </c>
      <c r="BF64" s="2109">
        <f t="shared" si="8"/>
        <v>0.21979600475743269</v>
      </c>
      <c r="BG64" s="2135"/>
      <c r="BH64" s="2135"/>
      <c r="BI64" s="2135"/>
      <c r="BJ64" s="2135">
        <f t="shared" si="121"/>
        <v>7.5553091860186594</v>
      </c>
      <c r="BK64" s="2135">
        <f t="shared" si="122"/>
        <v>0.50083288325743269</v>
      </c>
      <c r="BL64" s="2149">
        <v>1.7131500000000002</v>
      </c>
      <c r="BM64" s="2109">
        <f t="shared" si="123"/>
        <v>1.6404686016986254</v>
      </c>
      <c r="BN64" s="2109">
        <v>0.28103687850000003</v>
      </c>
      <c r="BO64" s="2109">
        <v>3.3157303150569182</v>
      </c>
      <c r="BP64" s="2109">
        <f t="shared" si="9"/>
        <v>0.56803433892397603</v>
      </c>
      <c r="BQ64" s="2135"/>
      <c r="BR64" s="2135"/>
      <c r="BS64" s="2135"/>
      <c r="BT64" s="2135">
        <f t="shared" si="124"/>
        <v>4.956198916755544</v>
      </c>
      <c r="BU64" s="2135">
        <f t="shared" si="125"/>
        <v>0.84907121742397607</v>
      </c>
      <c r="BV64" s="2149">
        <v>0</v>
      </c>
      <c r="BW64" s="2109">
        <f t="shared" si="126"/>
        <v>0</v>
      </c>
      <c r="BX64" s="2109">
        <v>0.28103687850000003</v>
      </c>
      <c r="BY64" s="2109">
        <v>3.3157303150569182</v>
      </c>
      <c r="BZ64" s="2109">
        <f t="shared" si="10"/>
        <v>0</v>
      </c>
      <c r="CA64" s="2135"/>
      <c r="CB64" s="2135"/>
      <c r="CC64" s="2135"/>
      <c r="CD64" s="2135">
        <f t="shared" si="127"/>
        <v>0</v>
      </c>
      <c r="CE64" s="2135">
        <f t="shared" si="128"/>
        <v>0.28103687850000003</v>
      </c>
      <c r="CF64" s="2149">
        <v>0</v>
      </c>
      <c r="CG64" s="2109">
        <f t="shared" si="129"/>
        <v>0</v>
      </c>
      <c r="CH64" s="2109">
        <v>0.28103687850000003</v>
      </c>
      <c r="CI64" s="2109">
        <v>3.3157303150569182</v>
      </c>
      <c r="CJ64" s="2109">
        <f t="shared" si="11"/>
        <v>0</v>
      </c>
      <c r="CK64" s="2135"/>
      <c r="CL64" s="2135"/>
      <c r="CM64" s="2135"/>
      <c r="CN64" s="2135">
        <f t="shared" si="130"/>
        <v>0</v>
      </c>
      <c r="CO64" s="2135">
        <f t="shared" si="131"/>
        <v>0.28103687850000003</v>
      </c>
      <c r="CP64" s="2149">
        <v>0</v>
      </c>
      <c r="CQ64" s="2109">
        <f t="shared" si="132"/>
        <v>0</v>
      </c>
      <c r="CR64" s="2109">
        <v>0.28103687850000003</v>
      </c>
      <c r="CS64" s="2109">
        <v>3.3157303150569182</v>
      </c>
      <c r="CT64" s="2109">
        <f t="shared" si="12"/>
        <v>0</v>
      </c>
      <c r="CU64" s="2135"/>
      <c r="CV64" s="2135"/>
      <c r="CW64" s="2135"/>
      <c r="CX64" s="2135">
        <f t="shared" si="133"/>
        <v>0</v>
      </c>
      <c r="CY64" s="2135">
        <f t="shared" si="134"/>
        <v>0.28103687850000003</v>
      </c>
      <c r="CZ64" s="2149">
        <v>0</v>
      </c>
      <c r="DA64" s="2109">
        <f t="shared" si="135"/>
        <v>0</v>
      </c>
      <c r="DB64" s="2109">
        <v>0.28103687850000003</v>
      </c>
      <c r="DC64" s="2109">
        <v>3.3157303150569182</v>
      </c>
      <c r="DD64" s="2109">
        <f t="shared" si="13"/>
        <v>0</v>
      </c>
      <c r="DE64" s="2135"/>
      <c r="DF64" s="2135"/>
      <c r="DG64" s="2135"/>
      <c r="DH64" s="2135">
        <f t="shared" si="136"/>
        <v>0</v>
      </c>
      <c r="DI64" s="2135">
        <f t="shared" si="137"/>
        <v>0.28103687850000003</v>
      </c>
      <c r="DJ64" s="2149">
        <v>0</v>
      </c>
      <c r="DK64" s="2109">
        <f t="shared" si="138"/>
        <v>0</v>
      </c>
      <c r="DL64" s="2109">
        <v>0.28103687850000003</v>
      </c>
      <c r="DM64" s="2109">
        <v>3.3157303150569182</v>
      </c>
      <c r="DN64" s="2109">
        <f t="shared" si="14"/>
        <v>0</v>
      </c>
      <c r="DO64" s="2135"/>
      <c r="DP64" s="2135"/>
      <c r="DQ64" s="2135"/>
      <c r="DR64" s="2135">
        <f t="shared" si="139"/>
        <v>0</v>
      </c>
      <c r="DS64" s="2135">
        <f t="shared" si="140"/>
        <v>0.28103687850000003</v>
      </c>
      <c r="DT64" s="2149">
        <v>0</v>
      </c>
      <c r="DU64" s="2109">
        <f t="shared" si="141"/>
        <v>0</v>
      </c>
      <c r="DV64" s="2109">
        <v>0.28103687850000003</v>
      </c>
      <c r="DW64" s="2109">
        <v>3.3157303150569182</v>
      </c>
      <c r="DX64" s="2109">
        <f t="shared" si="15"/>
        <v>0</v>
      </c>
      <c r="DY64" s="2135"/>
      <c r="DZ64" s="2135"/>
      <c r="EA64" s="2135"/>
      <c r="EB64" s="2135">
        <f t="shared" si="142"/>
        <v>0</v>
      </c>
      <c r="EC64" s="2135">
        <f t="shared" si="143"/>
        <v>0.28103687850000003</v>
      </c>
      <c r="ED64" s="2135"/>
      <c r="EE64" s="2106">
        <f t="shared" si="144"/>
        <v>7.6296986666666662</v>
      </c>
      <c r="EF64" s="2106">
        <f t="shared" si="151"/>
        <v>4.4201516853265002</v>
      </c>
      <c r="EG64" s="2106">
        <f t="shared" si="145"/>
        <v>3.3724425420000013</v>
      </c>
      <c r="EH64" s="2106">
        <f t="shared" si="146"/>
        <v>3.3157303150569191</v>
      </c>
      <c r="EI64" s="2106">
        <f t="shared" si="147"/>
        <v>2.5298023163816019</v>
      </c>
      <c r="EJ64" s="2106"/>
      <c r="EK64" s="2106"/>
      <c r="EL64" s="2106"/>
      <c r="EM64" s="2106">
        <f t="shared" si="148"/>
        <v>7.7358820003834197</v>
      </c>
      <c r="EN64" s="2106">
        <f t="shared" si="149"/>
        <v>5.9022448583816036</v>
      </c>
      <c r="EO64" s="2106">
        <f t="shared" si="154"/>
        <v>7.7358820003834197</v>
      </c>
      <c r="EP64" s="2114">
        <f t="shared" si="155"/>
        <v>8.0139985739716746</v>
      </c>
      <c r="EQ64" s="2224"/>
      <c r="ER64" s="2210"/>
      <c r="ES64" s="2209" t="s">
        <v>1698</v>
      </c>
      <c r="ET64" s="2241"/>
      <c r="EU64" s="2230"/>
      <c r="EV64" s="2241"/>
      <c r="EW64" s="2241"/>
      <c r="EX64" s="2241"/>
      <c r="EY64" s="2244"/>
      <c r="EZ64" s="2244"/>
      <c r="FA64" s="2244"/>
      <c r="FB64" s="2242"/>
      <c r="FC64" s="2243"/>
      <c r="FD64" s="2243"/>
      <c r="FE64" s="2243"/>
      <c r="FF64" s="2243"/>
      <c r="FG64" s="2243"/>
      <c r="FH64" s="2243"/>
      <c r="FI64" s="2243"/>
    </row>
    <row r="65" spans="1:165">
      <c r="A65" s="2220">
        <v>23</v>
      </c>
      <c r="B65" s="2227" t="s">
        <v>1699</v>
      </c>
      <c r="C65" s="2146">
        <v>1320</v>
      </c>
      <c r="D65" s="2147">
        <f t="shared" si="150"/>
        <v>2.8181818181818182E-3</v>
      </c>
      <c r="E65" s="2146"/>
      <c r="F65" s="2148"/>
      <c r="G65" s="2146">
        <v>3.72</v>
      </c>
      <c r="H65" s="2149" t="s">
        <v>1649</v>
      </c>
      <c r="I65" s="2229">
        <v>1</v>
      </c>
      <c r="J65" s="2149">
        <v>10.046416333333335</v>
      </c>
      <c r="K65" s="2148">
        <v>3.4703846153846141E-2</v>
      </c>
      <c r="L65" s="2151"/>
      <c r="M65" s="2152">
        <f t="shared" si="107"/>
        <v>9.6977670465038486</v>
      </c>
      <c r="N65" s="2149">
        <v>0</v>
      </c>
      <c r="O65" s="2109">
        <f t="shared" si="108"/>
        <v>0</v>
      </c>
      <c r="P65" s="2109">
        <v>0.34695555562500008</v>
      </c>
      <c r="Q65" s="2109">
        <v>3.2999044590065809</v>
      </c>
      <c r="R65" s="2109">
        <f t="shared" si="4"/>
        <v>0</v>
      </c>
      <c r="S65" s="2109"/>
      <c r="T65" s="2109"/>
      <c r="U65" s="2109"/>
      <c r="V65" s="2109">
        <f t="shared" si="109"/>
        <v>0</v>
      </c>
      <c r="W65" s="2109">
        <f t="shared" si="110"/>
        <v>0.34695555562500008</v>
      </c>
      <c r="X65" s="2149">
        <v>2.3352300000000006</v>
      </c>
      <c r="Y65" s="2109">
        <f t="shared" si="111"/>
        <v>1.485744683071903</v>
      </c>
      <c r="Z65" s="2109">
        <v>0.34695555562500008</v>
      </c>
      <c r="AA65" s="2109">
        <v>3.2999044590065809</v>
      </c>
      <c r="AB65" s="2109">
        <f t="shared" si="5"/>
        <v>0.770603588980594</v>
      </c>
      <c r="AC65" s="2135"/>
      <c r="AD65" s="2135"/>
      <c r="AE65" s="2135"/>
      <c r="AF65" s="2135">
        <f t="shared" si="112"/>
        <v>4.7856491420784844</v>
      </c>
      <c r="AG65" s="2135">
        <f t="shared" si="113"/>
        <v>1.1175591446055941</v>
      </c>
      <c r="AH65" s="2149">
        <v>2.2599000000000005</v>
      </c>
      <c r="AI65" s="2109">
        <f t="shared" si="114"/>
        <v>1.5352695058409664</v>
      </c>
      <c r="AJ65" s="2109">
        <v>0.34695555562500008</v>
      </c>
      <c r="AK65" s="2109">
        <v>3.2999044590065809</v>
      </c>
      <c r="AL65" s="2109">
        <f t="shared" si="6"/>
        <v>0.74574540869089734</v>
      </c>
      <c r="AM65" s="2135"/>
      <c r="AN65" s="2135"/>
      <c r="AO65" s="2135"/>
      <c r="AP65" s="2135">
        <f t="shared" si="115"/>
        <v>4.8351739648475469</v>
      </c>
      <c r="AQ65" s="2135">
        <f t="shared" si="116"/>
        <v>1.0927009643158974</v>
      </c>
      <c r="AR65" s="2149">
        <v>2.3352300000000006</v>
      </c>
      <c r="AS65" s="2109">
        <f t="shared" si="117"/>
        <v>1.485744683071903</v>
      </c>
      <c r="AT65" s="2109">
        <v>0.34695555562500008</v>
      </c>
      <c r="AU65" s="2109">
        <v>3.2999044590065809</v>
      </c>
      <c r="AV65" s="2109">
        <f t="shared" si="7"/>
        <v>0.770603588980594</v>
      </c>
      <c r="AW65" s="2135"/>
      <c r="AX65" s="2135"/>
      <c r="AY65" s="2135"/>
      <c r="AZ65" s="2135">
        <f t="shared" si="118"/>
        <v>4.7856491420784844</v>
      </c>
      <c r="BA65" s="2135">
        <f t="shared" si="119"/>
        <v>1.1175591446055941</v>
      </c>
      <c r="BB65" s="2149">
        <v>0.8561563333333333</v>
      </c>
      <c r="BC65" s="2109">
        <f t="shared" si="120"/>
        <v>4.0524789938091539</v>
      </c>
      <c r="BD65" s="2109">
        <v>0.34695555562500008</v>
      </c>
      <c r="BE65" s="2109">
        <v>3.2999044590065809</v>
      </c>
      <c r="BF65" s="2109">
        <f t="shared" si="8"/>
        <v>0.28252341019733912</v>
      </c>
      <c r="BG65" s="2135"/>
      <c r="BH65" s="2135"/>
      <c r="BI65" s="2135"/>
      <c r="BJ65" s="2135">
        <f t="shared" si="121"/>
        <v>7.3523834528157348</v>
      </c>
      <c r="BK65" s="2135">
        <f t="shared" si="122"/>
        <v>0.6294789658223392</v>
      </c>
      <c r="BL65" s="2149">
        <v>2.2599000000000005</v>
      </c>
      <c r="BM65" s="2109">
        <f t="shared" si="123"/>
        <v>1.5352695058409664</v>
      </c>
      <c r="BN65" s="2109">
        <v>0.34695555562500008</v>
      </c>
      <c r="BO65" s="2109">
        <v>3.2999044590065809</v>
      </c>
      <c r="BP65" s="2109">
        <f t="shared" si="9"/>
        <v>0.74574540869089734</v>
      </c>
      <c r="BQ65" s="2135"/>
      <c r="BR65" s="2135"/>
      <c r="BS65" s="2135"/>
      <c r="BT65" s="2135">
        <f t="shared" si="124"/>
        <v>4.8351739648475469</v>
      </c>
      <c r="BU65" s="2135">
        <f t="shared" si="125"/>
        <v>1.0927009643158974</v>
      </c>
      <c r="BV65" s="2149">
        <v>0</v>
      </c>
      <c r="BW65" s="2109">
        <f t="shared" si="126"/>
        <v>0</v>
      </c>
      <c r="BX65" s="2109">
        <v>0.34695555562500008</v>
      </c>
      <c r="BY65" s="2109">
        <v>3.2999044590065809</v>
      </c>
      <c r="BZ65" s="2109">
        <f t="shared" si="10"/>
        <v>0</v>
      </c>
      <c r="CA65" s="2135"/>
      <c r="CB65" s="2135"/>
      <c r="CC65" s="2135"/>
      <c r="CD65" s="2135">
        <f t="shared" si="127"/>
        <v>0</v>
      </c>
      <c r="CE65" s="2135">
        <f t="shared" si="128"/>
        <v>0.34695555562500008</v>
      </c>
      <c r="CF65" s="2149">
        <v>0</v>
      </c>
      <c r="CG65" s="2109">
        <f t="shared" si="129"/>
        <v>0</v>
      </c>
      <c r="CH65" s="2109">
        <v>0.34695555562500008</v>
      </c>
      <c r="CI65" s="2109">
        <v>3.2999044590065809</v>
      </c>
      <c r="CJ65" s="2109">
        <f t="shared" si="11"/>
        <v>0</v>
      </c>
      <c r="CK65" s="2135"/>
      <c r="CL65" s="2135"/>
      <c r="CM65" s="2135"/>
      <c r="CN65" s="2135">
        <f t="shared" si="130"/>
        <v>0</v>
      </c>
      <c r="CO65" s="2135">
        <f t="shared" si="131"/>
        <v>0.34695555562500008</v>
      </c>
      <c r="CP65" s="2149">
        <v>0</v>
      </c>
      <c r="CQ65" s="2109">
        <f t="shared" si="132"/>
        <v>0</v>
      </c>
      <c r="CR65" s="2109">
        <v>0.34695555562500008</v>
      </c>
      <c r="CS65" s="2109">
        <v>3.2999044590065809</v>
      </c>
      <c r="CT65" s="2109">
        <f t="shared" si="12"/>
        <v>0</v>
      </c>
      <c r="CU65" s="2135"/>
      <c r="CV65" s="2135"/>
      <c r="CW65" s="2135"/>
      <c r="CX65" s="2135">
        <f t="shared" si="133"/>
        <v>0</v>
      </c>
      <c r="CY65" s="2135">
        <f t="shared" si="134"/>
        <v>0.34695555562500008</v>
      </c>
      <c r="CZ65" s="2149">
        <v>0</v>
      </c>
      <c r="DA65" s="2109">
        <f t="shared" si="135"/>
        <v>0</v>
      </c>
      <c r="DB65" s="2109">
        <v>0.34695555562500008</v>
      </c>
      <c r="DC65" s="2109">
        <v>3.2999044590065809</v>
      </c>
      <c r="DD65" s="2109">
        <f t="shared" si="13"/>
        <v>0</v>
      </c>
      <c r="DE65" s="2135"/>
      <c r="DF65" s="2135"/>
      <c r="DG65" s="2135"/>
      <c r="DH65" s="2135">
        <f t="shared" si="136"/>
        <v>0</v>
      </c>
      <c r="DI65" s="2135">
        <f t="shared" si="137"/>
        <v>0.34695555562500008</v>
      </c>
      <c r="DJ65" s="2149">
        <v>0</v>
      </c>
      <c r="DK65" s="2109">
        <f t="shared" si="138"/>
        <v>0</v>
      </c>
      <c r="DL65" s="2109">
        <v>0.34695555562500008</v>
      </c>
      <c r="DM65" s="2109">
        <v>3.2999044590065809</v>
      </c>
      <c r="DN65" s="2109">
        <f t="shared" si="14"/>
        <v>0</v>
      </c>
      <c r="DO65" s="2135"/>
      <c r="DP65" s="2135"/>
      <c r="DQ65" s="2135"/>
      <c r="DR65" s="2135">
        <f t="shared" si="139"/>
        <v>0</v>
      </c>
      <c r="DS65" s="2135">
        <f t="shared" si="140"/>
        <v>0.34695555562500008</v>
      </c>
      <c r="DT65" s="2149">
        <v>0</v>
      </c>
      <c r="DU65" s="2109">
        <f t="shared" si="141"/>
        <v>0</v>
      </c>
      <c r="DV65" s="2109">
        <v>0.34695555562500008</v>
      </c>
      <c r="DW65" s="2109">
        <v>3.2999044590065809</v>
      </c>
      <c r="DX65" s="2109">
        <f t="shared" si="15"/>
        <v>0</v>
      </c>
      <c r="DY65" s="2135"/>
      <c r="DZ65" s="2135"/>
      <c r="EA65" s="2135"/>
      <c r="EB65" s="2135">
        <f t="shared" si="142"/>
        <v>0</v>
      </c>
      <c r="EC65" s="2135">
        <f t="shared" si="143"/>
        <v>0.34695555562500008</v>
      </c>
      <c r="ED65" s="2135"/>
      <c r="EE65" s="2106">
        <f t="shared" si="144"/>
        <v>10.046416333333335</v>
      </c>
      <c r="EF65" s="2106">
        <f t="shared" si="151"/>
        <v>4.1442306682890475</v>
      </c>
      <c r="EG65" s="2106">
        <f t="shared" si="145"/>
        <v>4.1634666675000007</v>
      </c>
      <c r="EH65" s="2106">
        <f t="shared" si="146"/>
        <v>3.2999044590065814</v>
      </c>
      <c r="EI65" s="2106">
        <f t="shared" si="147"/>
        <v>3.315221405540322</v>
      </c>
      <c r="EJ65" s="2106"/>
      <c r="EK65" s="2106"/>
      <c r="EL65" s="2106"/>
      <c r="EM65" s="2106">
        <f t="shared" si="148"/>
        <v>7.4441351272956275</v>
      </c>
      <c r="EN65" s="2106">
        <f t="shared" si="149"/>
        <v>7.4786880730403222</v>
      </c>
      <c r="EO65" s="2106">
        <f t="shared" si="154"/>
        <v>7.4441351272956275</v>
      </c>
      <c r="EP65" s="2114">
        <f t="shared" si="155"/>
        <v>7.7117629627291073</v>
      </c>
      <c r="EQ65" s="2224"/>
      <c r="ER65" s="2210"/>
      <c r="ES65" s="2209" t="s">
        <v>1699</v>
      </c>
      <c r="ET65" s="2241"/>
      <c r="EU65" s="2230"/>
      <c r="EV65" s="2241"/>
      <c r="EW65" s="2241"/>
      <c r="EX65" s="2241"/>
      <c r="EY65" s="2244"/>
      <c r="EZ65" s="2244"/>
      <c r="FA65" s="2244"/>
      <c r="FB65" s="2242"/>
      <c r="FC65" s="2243"/>
      <c r="FD65" s="2243"/>
      <c r="FE65" s="2243"/>
      <c r="FF65" s="2243"/>
      <c r="FG65" s="2243"/>
      <c r="FH65" s="2243"/>
      <c r="FI65" s="2243"/>
    </row>
    <row r="66" spans="1:165">
      <c r="A66" s="2220">
        <v>24</v>
      </c>
      <c r="B66" s="2227" t="s">
        <v>1700</v>
      </c>
      <c r="C66" s="2146">
        <v>660</v>
      </c>
      <c r="D66" s="2147">
        <f t="shared" si="150"/>
        <v>5.6363636363636364E-3</v>
      </c>
      <c r="E66" s="2146"/>
      <c r="F66" s="2148"/>
      <c r="G66" s="2146">
        <v>3.72</v>
      </c>
      <c r="H66" s="2149" t="s">
        <v>1649</v>
      </c>
      <c r="I66" s="2229">
        <v>1</v>
      </c>
      <c r="J66" s="2149">
        <v>4.7131628440860212</v>
      </c>
      <c r="K66" s="2148">
        <v>3.4703846153846141E-2</v>
      </c>
      <c r="L66" s="2151"/>
      <c r="M66" s="2152">
        <f t="shared" si="107"/>
        <v>4.5495979658468357</v>
      </c>
      <c r="N66" s="2149">
        <v>0</v>
      </c>
      <c r="O66" s="2109">
        <f t="shared" si="108"/>
        <v>0</v>
      </c>
      <c r="P66" s="2109">
        <v>0.3434741086875</v>
      </c>
      <c r="Q66" s="2109">
        <v>3.7963383992393025</v>
      </c>
      <c r="R66" s="2109">
        <f t="shared" si="4"/>
        <v>0</v>
      </c>
      <c r="S66" s="2109"/>
      <c r="T66" s="2109"/>
      <c r="U66" s="2109"/>
      <c r="V66" s="2109">
        <f t="shared" si="109"/>
        <v>0</v>
      </c>
      <c r="W66" s="2109">
        <f t="shared" si="110"/>
        <v>0.3434741086875</v>
      </c>
      <c r="X66" s="2149">
        <v>0</v>
      </c>
      <c r="Y66" s="2109">
        <f t="shared" si="111"/>
        <v>0</v>
      </c>
      <c r="Z66" s="2109">
        <v>0.3434741086875</v>
      </c>
      <c r="AA66" s="2109">
        <v>3.7963383992393025</v>
      </c>
      <c r="AB66" s="2109">
        <f t="shared" si="5"/>
        <v>0</v>
      </c>
      <c r="AC66" s="2135"/>
      <c r="AD66" s="2135"/>
      <c r="AE66" s="2135"/>
      <c r="AF66" s="2135">
        <f t="shared" si="112"/>
        <v>0</v>
      </c>
      <c r="AG66" s="2135">
        <f t="shared" si="113"/>
        <v>0.3434741086875</v>
      </c>
      <c r="AH66" s="2149">
        <v>0.71389866666666668</v>
      </c>
      <c r="AI66" s="2109">
        <f t="shared" si="114"/>
        <v>4.8112445746852028</v>
      </c>
      <c r="AJ66" s="2109">
        <v>0.3434741086875</v>
      </c>
      <c r="AK66" s="2109">
        <v>3.7963383992393025</v>
      </c>
      <c r="AL66" s="2109">
        <f t="shared" si="6"/>
        <v>0.27102009214324058</v>
      </c>
      <c r="AM66" s="2135"/>
      <c r="AN66" s="2135"/>
      <c r="AO66" s="2135"/>
      <c r="AP66" s="2135">
        <f t="shared" si="115"/>
        <v>8.6075829739245044</v>
      </c>
      <c r="AQ66" s="2135">
        <f t="shared" si="116"/>
        <v>0.61449420083074058</v>
      </c>
      <c r="AR66" s="2149">
        <v>2.5520019999999994</v>
      </c>
      <c r="AS66" s="2109">
        <f t="shared" si="117"/>
        <v>1.3459006250288992</v>
      </c>
      <c r="AT66" s="2109">
        <v>0.3434741086875</v>
      </c>
      <c r="AU66" s="2109">
        <v>3.7963383992393025</v>
      </c>
      <c r="AV66" s="2109">
        <f t="shared" si="7"/>
        <v>0.96882631875354952</v>
      </c>
      <c r="AW66" s="2135"/>
      <c r="AX66" s="2135"/>
      <c r="AY66" s="2135"/>
      <c r="AZ66" s="2135">
        <f t="shared" si="118"/>
        <v>5.1422390242682017</v>
      </c>
      <c r="BA66" s="2135">
        <f t="shared" si="119"/>
        <v>1.3123004274410495</v>
      </c>
      <c r="BB66" s="2149">
        <v>0</v>
      </c>
      <c r="BC66" s="2109">
        <f t="shared" si="120"/>
        <v>0</v>
      </c>
      <c r="BD66" s="2109">
        <v>0.3434741086875</v>
      </c>
      <c r="BE66" s="2109">
        <v>3.7963383992393025</v>
      </c>
      <c r="BF66" s="2109">
        <f t="shared" si="8"/>
        <v>0</v>
      </c>
      <c r="BG66" s="2135"/>
      <c r="BH66" s="2135"/>
      <c r="BI66" s="2135"/>
      <c r="BJ66" s="2135">
        <f t="shared" si="121"/>
        <v>0</v>
      </c>
      <c r="BK66" s="2135">
        <f t="shared" si="122"/>
        <v>0.3434741086875</v>
      </c>
      <c r="BL66" s="2149">
        <v>1.4472621774193546</v>
      </c>
      <c r="BM66" s="2109">
        <f t="shared" si="123"/>
        <v>2.3732680508514106</v>
      </c>
      <c r="BN66" s="2109">
        <v>0.3434741086875</v>
      </c>
      <c r="BO66" s="2109">
        <v>3.7963383992393025</v>
      </c>
      <c r="BP66" s="2109">
        <f t="shared" si="9"/>
        <v>0.54942969779037798</v>
      </c>
      <c r="BQ66" s="2135"/>
      <c r="BR66" s="2135"/>
      <c r="BS66" s="2135"/>
      <c r="BT66" s="2135">
        <f t="shared" si="124"/>
        <v>6.1696064500907131</v>
      </c>
      <c r="BU66" s="2135">
        <f t="shared" si="125"/>
        <v>0.89290380647787804</v>
      </c>
      <c r="BV66" s="2149">
        <v>0</v>
      </c>
      <c r="BW66" s="2109">
        <f t="shared" si="126"/>
        <v>0</v>
      </c>
      <c r="BX66" s="2109">
        <v>0.3434741086875</v>
      </c>
      <c r="BY66" s="2109">
        <v>3.7963383992393025</v>
      </c>
      <c r="BZ66" s="2109">
        <f t="shared" si="10"/>
        <v>0</v>
      </c>
      <c r="CA66" s="2135"/>
      <c r="CB66" s="2135"/>
      <c r="CC66" s="2135"/>
      <c r="CD66" s="2135">
        <f t="shared" si="127"/>
        <v>0</v>
      </c>
      <c r="CE66" s="2135">
        <f t="shared" si="128"/>
        <v>0.3434741086875</v>
      </c>
      <c r="CF66" s="2149">
        <v>0</v>
      </c>
      <c r="CG66" s="2109">
        <f t="shared" si="129"/>
        <v>0</v>
      </c>
      <c r="CH66" s="2109">
        <v>0.3434741086875</v>
      </c>
      <c r="CI66" s="2109">
        <v>3.7963383992393025</v>
      </c>
      <c r="CJ66" s="2109">
        <f t="shared" si="11"/>
        <v>0</v>
      </c>
      <c r="CK66" s="2135"/>
      <c r="CL66" s="2135"/>
      <c r="CM66" s="2135"/>
      <c r="CN66" s="2135">
        <f t="shared" si="130"/>
        <v>0</v>
      </c>
      <c r="CO66" s="2135">
        <f t="shared" si="131"/>
        <v>0.3434741086875</v>
      </c>
      <c r="CP66" s="2149">
        <v>0</v>
      </c>
      <c r="CQ66" s="2109">
        <f t="shared" si="132"/>
        <v>0</v>
      </c>
      <c r="CR66" s="2109">
        <v>0.3434741086875</v>
      </c>
      <c r="CS66" s="2109">
        <v>3.7963383992393025</v>
      </c>
      <c r="CT66" s="2109">
        <f t="shared" si="12"/>
        <v>0</v>
      </c>
      <c r="CU66" s="2135"/>
      <c r="CV66" s="2135"/>
      <c r="CW66" s="2135"/>
      <c r="CX66" s="2135">
        <f t="shared" si="133"/>
        <v>0</v>
      </c>
      <c r="CY66" s="2135">
        <f t="shared" si="134"/>
        <v>0.3434741086875</v>
      </c>
      <c r="CZ66" s="2149">
        <v>0</v>
      </c>
      <c r="DA66" s="2109">
        <f t="shared" si="135"/>
        <v>0</v>
      </c>
      <c r="DB66" s="2109">
        <v>0.3434741086875</v>
      </c>
      <c r="DC66" s="2109">
        <v>3.7963383992393025</v>
      </c>
      <c r="DD66" s="2109">
        <f t="shared" si="13"/>
        <v>0</v>
      </c>
      <c r="DE66" s="2135"/>
      <c r="DF66" s="2135"/>
      <c r="DG66" s="2135"/>
      <c r="DH66" s="2135">
        <f t="shared" si="136"/>
        <v>0</v>
      </c>
      <c r="DI66" s="2135">
        <f t="shared" si="137"/>
        <v>0.3434741086875</v>
      </c>
      <c r="DJ66" s="2149">
        <v>0</v>
      </c>
      <c r="DK66" s="2109">
        <f t="shared" si="138"/>
        <v>0</v>
      </c>
      <c r="DL66" s="2109">
        <v>0.3434741086875</v>
      </c>
      <c r="DM66" s="2109">
        <v>3.7963383992393025</v>
      </c>
      <c r="DN66" s="2109">
        <f t="shared" si="14"/>
        <v>0</v>
      </c>
      <c r="DO66" s="2135"/>
      <c r="DP66" s="2135"/>
      <c r="DQ66" s="2135"/>
      <c r="DR66" s="2135">
        <f t="shared" si="139"/>
        <v>0</v>
      </c>
      <c r="DS66" s="2135">
        <f t="shared" si="140"/>
        <v>0.3434741086875</v>
      </c>
      <c r="DT66" s="2149">
        <v>0</v>
      </c>
      <c r="DU66" s="2109">
        <f t="shared" si="141"/>
        <v>0</v>
      </c>
      <c r="DV66" s="2109">
        <v>0.3434741086875</v>
      </c>
      <c r="DW66" s="2109">
        <v>3.7963383992393025</v>
      </c>
      <c r="DX66" s="2109">
        <f t="shared" si="15"/>
        <v>0</v>
      </c>
      <c r="DY66" s="2135"/>
      <c r="DZ66" s="2135"/>
      <c r="EA66" s="2135"/>
      <c r="EB66" s="2135">
        <f t="shared" si="142"/>
        <v>0</v>
      </c>
      <c r="EC66" s="2135">
        <f t="shared" si="143"/>
        <v>0.3434741086875</v>
      </c>
      <c r="ED66" s="2135"/>
      <c r="EE66" s="2106">
        <f t="shared" si="144"/>
        <v>4.7131628440860212</v>
      </c>
      <c r="EF66" s="2106">
        <f t="shared" si="151"/>
        <v>8.7450602506166533</v>
      </c>
      <c r="EG66" s="2106">
        <f t="shared" si="145"/>
        <v>4.1216893042500002</v>
      </c>
      <c r="EH66" s="2106">
        <f t="shared" si="146"/>
        <v>3.7963383992393025</v>
      </c>
      <c r="EI66" s="2106">
        <f t="shared" si="147"/>
        <v>1.7892761086871682</v>
      </c>
      <c r="EJ66" s="2106"/>
      <c r="EK66" s="2106"/>
      <c r="EL66" s="2106"/>
      <c r="EM66" s="2106">
        <f t="shared" si="148"/>
        <v>12.541398649855955</v>
      </c>
      <c r="EN66" s="2106">
        <f t="shared" si="149"/>
        <v>5.910965412937168</v>
      </c>
      <c r="EO66" s="2106">
        <f t="shared" si="154"/>
        <v>12.541398649855955</v>
      </c>
      <c r="EP66" s="2114">
        <f t="shared" si="155"/>
        <v>12.992280762629838</v>
      </c>
      <c r="EQ66" s="2224"/>
      <c r="ER66" s="2210"/>
      <c r="ES66" s="2209" t="s">
        <v>1700</v>
      </c>
      <c r="ET66" s="2241"/>
      <c r="EU66" s="2230"/>
      <c r="EV66" s="2241"/>
      <c r="EW66" s="2241"/>
      <c r="EX66" s="2241"/>
      <c r="EY66" s="2244"/>
      <c r="EZ66" s="2244"/>
      <c r="FA66" s="2244"/>
      <c r="FB66" s="2242"/>
      <c r="FC66" s="2243"/>
      <c r="FD66" s="2243"/>
      <c r="FE66" s="2243"/>
      <c r="FF66" s="2243"/>
      <c r="FG66" s="2243"/>
      <c r="FH66" s="2243"/>
      <c r="FI66" s="2243"/>
    </row>
    <row r="67" spans="1:165">
      <c r="A67" s="2220">
        <v>25</v>
      </c>
      <c r="B67" s="2227" t="s">
        <v>1701</v>
      </c>
      <c r="C67" s="2146">
        <v>1980</v>
      </c>
      <c r="D67" s="2147">
        <f t="shared" si="150"/>
        <v>2.8181818181818182E-3</v>
      </c>
      <c r="E67" s="2146"/>
      <c r="F67" s="2148"/>
      <c r="G67" s="2146">
        <v>5.58</v>
      </c>
      <c r="H67" s="2149" t="s">
        <v>1649</v>
      </c>
      <c r="I67" s="2229">
        <v>1</v>
      </c>
      <c r="J67" s="2149">
        <v>38.394218056451614</v>
      </c>
      <c r="K67" s="2148">
        <v>3.4703846153846141E-2</v>
      </c>
      <c r="L67" s="2151"/>
      <c r="M67" s="2152">
        <f t="shared" si="107"/>
        <v>37.061791019823296</v>
      </c>
      <c r="N67" s="2149">
        <v>2.3251099999999996</v>
      </c>
      <c r="O67" s="2109">
        <f t="shared" si="108"/>
        <v>1.6161673950372246</v>
      </c>
      <c r="P67" s="2109">
        <v>0.37577669718750006</v>
      </c>
      <c r="Q67" s="2109">
        <v>1.5957483209690269</v>
      </c>
      <c r="R67" s="2109">
        <f t="shared" si="4"/>
        <v>0.37102903785682934</v>
      </c>
      <c r="S67" s="2109"/>
      <c r="T67" s="2109"/>
      <c r="U67" s="2109"/>
      <c r="V67" s="2109">
        <f t="shared" si="109"/>
        <v>3.211915716006251</v>
      </c>
      <c r="W67" s="2109">
        <f t="shared" si="110"/>
        <v>0.74680573504432934</v>
      </c>
      <c r="X67" s="2149">
        <v>3.3367606666666663</v>
      </c>
      <c r="Y67" s="2109">
        <f t="shared" si="111"/>
        <v>1.1261721613462041</v>
      </c>
      <c r="Z67" s="2109">
        <v>0.37577669718750006</v>
      </c>
      <c r="AA67" s="2109">
        <v>1.5957483209690269</v>
      </c>
      <c r="AB67" s="2109">
        <f t="shared" si="5"/>
        <v>0.53246302313088234</v>
      </c>
      <c r="AC67" s="2135"/>
      <c r="AD67" s="2135"/>
      <c r="AE67" s="2135"/>
      <c r="AF67" s="2135">
        <f t="shared" si="112"/>
        <v>2.7219204823152312</v>
      </c>
      <c r="AG67" s="2135">
        <f t="shared" si="113"/>
        <v>0.9082397203183824</v>
      </c>
      <c r="AH67" s="2149">
        <v>3.2921682499999991</v>
      </c>
      <c r="AI67" s="2109">
        <f t="shared" si="114"/>
        <v>1.1414261624918476</v>
      </c>
      <c r="AJ67" s="2109">
        <v>0.37577669718750006</v>
      </c>
      <c r="AK67" s="2109">
        <v>1.5957483209690269</v>
      </c>
      <c r="AL67" s="2109">
        <f t="shared" si="6"/>
        <v>0.52534719572850386</v>
      </c>
      <c r="AM67" s="2135"/>
      <c r="AN67" s="2135"/>
      <c r="AO67" s="2135"/>
      <c r="AP67" s="2135">
        <f t="shared" si="115"/>
        <v>2.7371744834608744</v>
      </c>
      <c r="AQ67" s="2135">
        <f t="shared" si="116"/>
        <v>0.90112389291600392</v>
      </c>
      <c r="AR67" s="2149">
        <v>3.6421302500000001</v>
      </c>
      <c r="AS67" s="2109">
        <f t="shared" si="117"/>
        <v>1.0317497491680867</v>
      </c>
      <c r="AT67" s="2109">
        <v>0.37577669718750006</v>
      </c>
      <c r="AU67" s="2109">
        <v>1.5957483209690269</v>
      </c>
      <c r="AV67" s="2109">
        <f t="shared" si="7"/>
        <v>0.5811923231188002</v>
      </c>
      <c r="AW67" s="2135"/>
      <c r="AX67" s="2135"/>
      <c r="AY67" s="2135"/>
      <c r="AZ67" s="2135">
        <f t="shared" si="118"/>
        <v>2.6274980701371131</v>
      </c>
      <c r="BA67" s="2135">
        <f t="shared" si="119"/>
        <v>0.95696902030630027</v>
      </c>
      <c r="BB67" s="2149">
        <v>3.403249999999999</v>
      </c>
      <c r="BC67" s="2109">
        <f t="shared" si="120"/>
        <v>1.1041701232277974</v>
      </c>
      <c r="BD67" s="2109">
        <v>0.37577669718750006</v>
      </c>
      <c r="BE67" s="2109">
        <v>1.5957483209690269</v>
      </c>
      <c r="BF67" s="2109">
        <f t="shared" si="8"/>
        <v>0.54307304733378392</v>
      </c>
      <c r="BG67" s="2135"/>
      <c r="BH67" s="2135"/>
      <c r="BI67" s="2135"/>
      <c r="BJ67" s="2135">
        <f t="shared" si="121"/>
        <v>2.6999184441968245</v>
      </c>
      <c r="BK67" s="2135">
        <f t="shared" si="122"/>
        <v>0.91884974452128398</v>
      </c>
      <c r="BL67" s="2149">
        <v>2.8335358064516134</v>
      </c>
      <c r="BM67" s="2109">
        <f t="shared" si="123"/>
        <v>1.3261759259646644</v>
      </c>
      <c r="BN67" s="2109">
        <v>0.37577669718750006</v>
      </c>
      <c r="BO67" s="2109">
        <v>1.5957483209690269</v>
      </c>
      <c r="BP67" s="2109">
        <f t="shared" si="9"/>
        <v>0.45216100055507791</v>
      </c>
      <c r="BQ67" s="2135"/>
      <c r="BR67" s="2135"/>
      <c r="BS67" s="2135"/>
      <c r="BT67" s="2135">
        <f t="shared" si="124"/>
        <v>2.921924246933691</v>
      </c>
      <c r="BU67" s="2135">
        <f t="shared" si="125"/>
        <v>0.82793769774257797</v>
      </c>
      <c r="BV67" s="2149">
        <v>2.7894280000000005</v>
      </c>
      <c r="BW67" s="2109">
        <f t="shared" si="126"/>
        <v>1.3471460714795291</v>
      </c>
      <c r="BX67" s="2109">
        <v>0.37577669718750006</v>
      </c>
      <c r="BY67" s="2109">
        <v>1.5957483209690269</v>
      </c>
      <c r="BZ67" s="2109">
        <f t="shared" si="10"/>
        <v>0.44512250474639908</v>
      </c>
      <c r="CA67" s="2135"/>
      <c r="CB67" s="2135"/>
      <c r="CC67" s="2135"/>
      <c r="CD67" s="2135">
        <f t="shared" si="127"/>
        <v>2.9428943924485562</v>
      </c>
      <c r="CE67" s="2135">
        <f t="shared" si="128"/>
        <v>0.8208992019338992</v>
      </c>
      <c r="CF67" s="2149">
        <v>3.0937117499999993</v>
      </c>
      <c r="CG67" s="2109">
        <f t="shared" si="129"/>
        <v>1.2146467659357731</v>
      </c>
      <c r="CH67" s="2109">
        <v>0.37577669718750006</v>
      </c>
      <c r="CI67" s="2109">
        <v>1.5957483209690269</v>
      </c>
      <c r="CJ67" s="2109">
        <f t="shared" si="11"/>
        <v>0.4936785330624649</v>
      </c>
      <c r="CK67" s="2135"/>
      <c r="CL67" s="2135"/>
      <c r="CM67" s="2135"/>
      <c r="CN67" s="2135">
        <f t="shared" si="130"/>
        <v>2.8103950869048</v>
      </c>
      <c r="CO67" s="2135">
        <f t="shared" si="131"/>
        <v>0.86945523024996496</v>
      </c>
      <c r="CP67" s="2149">
        <v>3.5859833333333335</v>
      </c>
      <c r="CQ67" s="2109">
        <f t="shared" si="132"/>
        <v>1.047904193236165</v>
      </c>
      <c r="CR67" s="2109">
        <v>0.37577669718750006</v>
      </c>
      <c r="CS67" s="2109">
        <v>1.5957483209690269</v>
      </c>
      <c r="CT67" s="2109">
        <f t="shared" si="12"/>
        <v>0.57223268831895813</v>
      </c>
      <c r="CU67" s="2135"/>
      <c r="CV67" s="2135"/>
      <c r="CW67" s="2135"/>
      <c r="CX67" s="2135">
        <f t="shared" si="133"/>
        <v>2.6436525142051921</v>
      </c>
      <c r="CY67" s="2135">
        <f t="shared" si="134"/>
        <v>0.94800938550645819</v>
      </c>
      <c r="CZ67" s="2149">
        <v>3.5790480000000002</v>
      </c>
      <c r="DA67" s="2109">
        <f t="shared" si="135"/>
        <v>1.0499347792695153</v>
      </c>
      <c r="DB67" s="2109">
        <v>0.37577669718750006</v>
      </c>
      <c r="DC67" s="2109">
        <v>1.5957483209690269</v>
      </c>
      <c r="DD67" s="2109">
        <f t="shared" si="13"/>
        <v>0.57112598366675538</v>
      </c>
      <c r="DE67" s="2135"/>
      <c r="DF67" s="2135"/>
      <c r="DG67" s="2135"/>
      <c r="DH67" s="2135">
        <f t="shared" si="136"/>
        <v>2.6456831002385424</v>
      </c>
      <c r="DI67" s="2135">
        <f t="shared" si="137"/>
        <v>0.94690268085425544</v>
      </c>
      <c r="DJ67" s="2149">
        <v>3.3278239999999992</v>
      </c>
      <c r="DK67" s="2109">
        <f t="shared" si="138"/>
        <v>1.1291964274177364</v>
      </c>
      <c r="DL67" s="2109">
        <v>0.37577669718750006</v>
      </c>
      <c r="DM67" s="2109">
        <v>1.5957483209690269</v>
      </c>
      <c r="DN67" s="2109">
        <f t="shared" si="14"/>
        <v>0.53103695604804302</v>
      </c>
      <c r="DO67" s="2135"/>
      <c r="DP67" s="2135"/>
      <c r="DQ67" s="2135"/>
      <c r="DR67" s="2135">
        <f t="shared" si="139"/>
        <v>2.7249447483867635</v>
      </c>
      <c r="DS67" s="2135">
        <f t="shared" si="140"/>
        <v>0.90681365323554308</v>
      </c>
      <c r="DT67" s="2149">
        <v>3.1852680000000007</v>
      </c>
      <c r="DU67" s="2109">
        <f t="shared" si="141"/>
        <v>1.1797333762418107</v>
      </c>
      <c r="DV67" s="2109">
        <v>0.37577669718750006</v>
      </c>
      <c r="DW67" s="2109">
        <v>1.5957483209690269</v>
      </c>
      <c r="DX67" s="2109">
        <f t="shared" si="15"/>
        <v>0.50828860628363715</v>
      </c>
      <c r="DY67" s="2135"/>
      <c r="DZ67" s="2135"/>
      <c r="EA67" s="2135"/>
      <c r="EB67" s="2135">
        <f t="shared" si="142"/>
        <v>2.7754816972108376</v>
      </c>
      <c r="EC67" s="2135">
        <f t="shared" si="143"/>
        <v>0.88406530347113721</v>
      </c>
      <c r="ED67" s="2135"/>
      <c r="EE67" s="2106">
        <f t="shared" si="144"/>
        <v>38.394218056451614</v>
      </c>
      <c r="EF67" s="2106">
        <f t="shared" si="151"/>
        <v>1.1744790217162064</v>
      </c>
      <c r="EG67" s="2106">
        <f t="shared" si="145"/>
        <v>4.5093203662499999</v>
      </c>
      <c r="EH67" s="2106">
        <f t="shared" si="146"/>
        <v>1.5957483209690269</v>
      </c>
      <c r="EI67" s="2106">
        <f t="shared" si="147"/>
        <v>6.1267508998501352</v>
      </c>
      <c r="EJ67" s="2106"/>
      <c r="EK67" s="2106"/>
      <c r="EL67" s="2106"/>
      <c r="EM67" s="2106">
        <f t="shared" si="148"/>
        <v>2.7702273426852333</v>
      </c>
      <c r="EN67" s="2106">
        <f t="shared" si="149"/>
        <v>10.636071266100135</v>
      </c>
      <c r="EO67" s="2106">
        <f t="shared" si="154"/>
        <v>2.7702273426852333</v>
      </c>
      <c r="EP67" s="2114">
        <f t="shared" si="155"/>
        <v>2.8698211752398048</v>
      </c>
      <c r="EQ67" s="2224"/>
      <c r="ER67" s="2210"/>
      <c r="ES67" s="2209" t="s">
        <v>1701</v>
      </c>
      <c r="ET67" s="2241"/>
      <c r="EU67" s="2230"/>
      <c r="EV67" s="2241"/>
      <c r="EW67" s="2241"/>
      <c r="EX67" s="2241"/>
      <c r="EY67" s="2244"/>
      <c r="EZ67" s="2244"/>
      <c r="FA67" s="2244"/>
      <c r="FB67" s="2242"/>
      <c r="FC67" s="2243"/>
      <c r="FD67" s="2243"/>
      <c r="FE67" s="2243"/>
      <c r="FF67" s="2243"/>
      <c r="FG67" s="2243"/>
      <c r="FH67" s="2243"/>
      <c r="FI67" s="2243"/>
    </row>
    <row r="68" spans="1:165">
      <c r="A68" s="2220">
        <v>26</v>
      </c>
      <c r="B68" s="2227" t="s">
        <v>1702</v>
      </c>
      <c r="C68" s="2146">
        <v>1000</v>
      </c>
      <c r="D68" s="2147">
        <f t="shared" si="150"/>
        <v>2.3700000000000001E-3</v>
      </c>
      <c r="E68" s="2146"/>
      <c r="F68" s="2148"/>
      <c r="G68" s="2146">
        <v>2.37</v>
      </c>
      <c r="H68" s="2149" t="s">
        <v>1649</v>
      </c>
      <c r="I68" s="2229">
        <v>1</v>
      </c>
      <c r="J68" s="2149">
        <v>12.767714591397853</v>
      </c>
      <c r="K68" s="2148">
        <v>3.4703846153846141E-2</v>
      </c>
      <c r="L68" s="2151"/>
      <c r="M68" s="2152">
        <f t="shared" si="107"/>
        <v>12.324625788481766</v>
      </c>
      <c r="N68" s="2149">
        <v>0.78984100000000013</v>
      </c>
      <c r="O68" s="2109">
        <f t="shared" si="108"/>
        <v>1.5832044107611529</v>
      </c>
      <c r="P68" s="2109">
        <v>0.12504797549999999</v>
      </c>
      <c r="Q68" s="2109">
        <v>1.6277135309330966</v>
      </c>
      <c r="R68" s="2109">
        <f t="shared" si="4"/>
        <v>0.12856348829857281</v>
      </c>
      <c r="S68" s="2109"/>
      <c r="T68" s="2109"/>
      <c r="U68" s="2109"/>
      <c r="V68" s="2109">
        <f t="shared" si="109"/>
        <v>3.2109179416942495</v>
      </c>
      <c r="W68" s="2109">
        <f t="shared" si="110"/>
        <v>0.2536114637985728</v>
      </c>
      <c r="X68" s="2149">
        <v>1.1970573333333332</v>
      </c>
      <c r="Y68" s="2109">
        <f t="shared" si="111"/>
        <v>1.0446281227966805</v>
      </c>
      <c r="Z68" s="2109">
        <v>0.12504797549999999</v>
      </c>
      <c r="AA68" s="2109">
        <v>1.6277135309330966</v>
      </c>
      <c r="AB68" s="2109">
        <f t="shared" si="5"/>
        <v>0.19484664187693565</v>
      </c>
      <c r="AC68" s="2135"/>
      <c r="AD68" s="2135"/>
      <c r="AE68" s="2135"/>
      <c r="AF68" s="2135">
        <f t="shared" si="112"/>
        <v>2.6723416537297768</v>
      </c>
      <c r="AG68" s="2135">
        <f t="shared" si="113"/>
        <v>0.31989461737693564</v>
      </c>
      <c r="AH68" s="2149">
        <v>1.2145195000000004</v>
      </c>
      <c r="AI68" s="2109">
        <f t="shared" si="114"/>
        <v>1.0296086271154967</v>
      </c>
      <c r="AJ68" s="2109">
        <v>0.12504797549999999</v>
      </c>
      <c r="AK68" s="2109">
        <v>1.6277135309330966</v>
      </c>
      <c r="AL68" s="2109">
        <f t="shared" si="6"/>
        <v>0.19768898237320998</v>
      </c>
      <c r="AM68" s="2135"/>
      <c r="AN68" s="2135"/>
      <c r="AO68" s="2135"/>
      <c r="AP68" s="2135">
        <f t="shared" si="115"/>
        <v>2.6573221580485935</v>
      </c>
      <c r="AQ68" s="2135">
        <f t="shared" si="116"/>
        <v>0.32273695787321</v>
      </c>
      <c r="AR68" s="2149">
        <v>1.3317537500000003</v>
      </c>
      <c r="AS68" s="2109">
        <f t="shared" si="117"/>
        <v>0.93897220488397326</v>
      </c>
      <c r="AT68" s="2109">
        <v>0.12504797549999999</v>
      </c>
      <c r="AU68" s="2109">
        <v>1.6277135309330966</v>
      </c>
      <c r="AV68" s="2109">
        <f t="shared" si="7"/>
        <v>0.21677135987458929</v>
      </c>
      <c r="AW68" s="2135"/>
      <c r="AX68" s="2135"/>
      <c r="AY68" s="2135"/>
      <c r="AZ68" s="2135">
        <f t="shared" si="118"/>
        <v>2.56668573581707</v>
      </c>
      <c r="BA68" s="2135">
        <f t="shared" si="119"/>
        <v>0.34181933537458931</v>
      </c>
      <c r="BB68" s="2149">
        <v>1.5664696666666669</v>
      </c>
      <c r="BC68" s="2109">
        <f t="shared" si="120"/>
        <v>0.79827894635261565</v>
      </c>
      <c r="BD68" s="2109">
        <v>0.12504797549999999</v>
      </c>
      <c r="BE68" s="2109">
        <v>1.6277135309330966</v>
      </c>
      <c r="BF68" s="2109">
        <f t="shared" si="8"/>
        <v>0.25497638722295912</v>
      </c>
      <c r="BG68" s="2135"/>
      <c r="BH68" s="2135"/>
      <c r="BI68" s="2135"/>
      <c r="BJ68" s="2135">
        <f t="shared" si="121"/>
        <v>2.4259924772857127</v>
      </c>
      <c r="BK68" s="2135">
        <f t="shared" si="122"/>
        <v>0.38002436272295914</v>
      </c>
      <c r="BL68" s="2149">
        <v>1.0872822580645163</v>
      </c>
      <c r="BM68" s="2109">
        <f t="shared" si="123"/>
        <v>1.1500967165839655</v>
      </c>
      <c r="BN68" s="2109">
        <v>0.12504797549999999</v>
      </c>
      <c r="BO68" s="2109">
        <v>1.6277135309330966</v>
      </c>
      <c r="BP68" s="2109">
        <f t="shared" si="9"/>
        <v>0.17697840433951043</v>
      </c>
      <c r="BQ68" s="2135"/>
      <c r="BR68" s="2135"/>
      <c r="BS68" s="2135"/>
      <c r="BT68" s="2135">
        <f t="shared" si="124"/>
        <v>2.7778102475170616</v>
      </c>
      <c r="BU68" s="2135">
        <f t="shared" si="125"/>
        <v>0.30202637983951042</v>
      </c>
      <c r="BV68" s="2149">
        <v>0.95359575000000008</v>
      </c>
      <c r="BW68" s="2109">
        <f t="shared" si="126"/>
        <v>1.3113310907688083</v>
      </c>
      <c r="BX68" s="2109">
        <v>0.12504797549999999</v>
      </c>
      <c r="BY68" s="2109">
        <v>1.6277135309330966</v>
      </c>
      <c r="BZ68" s="2109">
        <f t="shared" si="10"/>
        <v>0.15521807053152945</v>
      </c>
      <c r="CA68" s="2135"/>
      <c r="CB68" s="2135"/>
      <c r="CC68" s="2135"/>
      <c r="CD68" s="2135">
        <f t="shared" si="127"/>
        <v>2.9390446217019046</v>
      </c>
      <c r="CE68" s="2135">
        <f t="shared" si="128"/>
        <v>0.28026604603152944</v>
      </c>
      <c r="CF68" s="2149">
        <v>1.0332600000000003</v>
      </c>
      <c r="CG68" s="2109">
        <f t="shared" si="129"/>
        <v>1.2102275855060678</v>
      </c>
      <c r="CH68" s="2109">
        <v>0.12504797549999999</v>
      </c>
      <c r="CI68" s="2109">
        <v>1.6277135309330966</v>
      </c>
      <c r="CJ68" s="2109">
        <f t="shared" si="11"/>
        <v>0.16818512829719318</v>
      </c>
      <c r="CK68" s="2135"/>
      <c r="CL68" s="2135"/>
      <c r="CM68" s="2135"/>
      <c r="CN68" s="2135">
        <f t="shared" si="130"/>
        <v>2.8379411164391639</v>
      </c>
      <c r="CO68" s="2135">
        <f t="shared" si="131"/>
        <v>0.29323310379719314</v>
      </c>
      <c r="CP68" s="2149">
        <v>0.98376100000000011</v>
      </c>
      <c r="CQ68" s="2109">
        <f t="shared" si="132"/>
        <v>1.2711214969896143</v>
      </c>
      <c r="CR68" s="2109">
        <v>0.12504797549999999</v>
      </c>
      <c r="CS68" s="2109">
        <v>1.6277135309330966</v>
      </c>
      <c r="CT68" s="2109">
        <f t="shared" si="12"/>
        <v>0.16012810909042743</v>
      </c>
      <c r="CU68" s="2135"/>
      <c r="CV68" s="2135"/>
      <c r="CW68" s="2135"/>
      <c r="CX68" s="2135">
        <f t="shared" si="133"/>
        <v>2.8988350279227109</v>
      </c>
      <c r="CY68" s="2135">
        <f t="shared" si="134"/>
        <v>0.28517608459042743</v>
      </c>
      <c r="CZ68" s="2149">
        <v>0.76832866666666666</v>
      </c>
      <c r="DA68" s="2109">
        <f t="shared" si="135"/>
        <v>1.6275323429296316</v>
      </c>
      <c r="DB68" s="2109">
        <v>0.12504797549999999</v>
      </c>
      <c r="DC68" s="2109">
        <v>1.6277135309330966</v>
      </c>
      <c r="DD68" s="2109">
        <f t="shared" si="13"/>
        <v>0.12506189669371182</v>
      </c>
      <c r="DE68" s="2135"/>
      <c r="DF68" s="2135"/>
      <c r="DG68" s="2135"/>
      <c r="DH68" s="2135">
        <f t="shared" si="136"/>
        <v>3.2552458738627283</v>
      </c>
      <c r="DI68" s="2135">
        <f t="shared" si="137"/>
        <v>0.25010987219371184</v>
      </c>
      <c r="DJ68" s="2149">
        <v>0.83396733333333339</v>
      </c>
      <c r="DK68" s="2109">
        <f t="shared" si="138"/>
        <v>1.4994349359007664</v>
      </c>
      <c r="DL68" s="2109">
        <v>0.12504797549999999</v>
      </c>
      <c r="DM68" s="2109">
        <v>1.6277135309330966</v>
      </c>
      <c r="DN68" s="2109">
        <f t="shared" si="14"/>
        <v>0.13574599128228587</v>
      </c>
      <c r="DO68" s="2135"/>
      <c r="DP68" s="2135"/>
      <c r="DQ68" s="2135"/>
      <c r="DR68" s="2135">
        <f t="shared" si="139"/>
        <v>3.1271484668338627</v>
      </c>
      <c r="DS68" s="2135">
        <f t="shared" si="140"/>
        <v>0.26079396678228584</v>
      </c>
      <c r="DT68" s="2149">
        <v>1.0078783333333334</v>
      </c>
      <c r="DU68" s="2109">
        <f t="shared" si="141"/>
        <v>1.2407050669144917</v>
      </c>
      <c r="DV68" s="2109">
        <v>0.12504797549999999</v>
      </c>
      <c r="DW68" s="2109">
        <v>1.6277135309330966</v>
      </c>
      <c r="DX68" s="2109">
        <f t="shared" si="15"/>
        <v>0.16405372007009647</v>
      </c>
      <c r="DY68" s="2135"/>
      <c r="DZ68" s="2135"/>
      <c r="EA68" s="2135"/>
      <c r="EB68" s="2135">
        <f t="shared" si="142"/>
        <v>2.8684185978475885</v>
      </c>
      <c r="EC68" s="2135">
        <f t="shared" si="143"/>
        <v>0.28910169557009646</v>
      </c>
      <c r="ED68" s="2135"/>
      <c r="EE68" s="2106">
        <f t="shared" si="144"/>
        <v>12.767714591397853</v>
      </c>
      <c r="EF68" s="2106">
        <f t="shared" si="151"/>
        <v>1.1752891993771548</v>
      </c>
      <c r="EG68" s="2106">
        <f t="shared" si="145"/>
        <v>1.500575706</v>
      </c>
      <c r="EH68" s="2106">
        <f t="shared" si="146"/>
        <v>1.6277135309330961</v>
      </c>
      <c r="EI68" s="2106">
        <f t="shared" si="147"/>
        <v>2.0782181799510213</v>
      </c>
      <c r="EJ68" s="2106"/>
      <c r="EK68" s="2106"/>
      <c r="EL68" s="2106"/>
      <c r="EM68" s="2106">
        <f t="shared" si="148"/>
        <v>2.8030027303102507</v>
      </c>
      <c r="EN68" s="2106">
        <f t="shared" si="149"/>
        <v>3.5787938859510211</v>
      </c>
      <c r="EO68" s="2106">
        <f t="shared" si="154"/>
        <v>2.8030027303102507</v>
      </c>
      <c r="EP68" s="2114">
        <f t="shared" si="155"/>
        <v>2.9037748872632356</v>
      </c>
      <c r="EQ68" s="2224"/>
      <c r="ER68" s="2210"/>
      <c r="ES68" s="2209" t="s">
        <v>1702</v>
      </c>
      <c r="ET68" s="2241"/>
      <c r="EU68" s="2230"/>
      <c r="EV68" s="2241"/>
      <c r="EW68" s="2241"/>
      <c r="EX68" s="2241"/>
      <c r="EY68" s="2244"/>
      <c r="EZ68" s="2244"/>
      <c r="FA68" s="2244"/>
      <c r="FB68" s="2242"/>
      <c r="FC68" s="2243"/>
      <c r="FD68" s="2243"/>
      <c r="FE68" s="2243"/>
      <c r="FF68" s="2243"/>
      <c r="FG68" s="2243"/>
      <c r="FH68" s="2243"/>
      <c r="FI68" s="2243"/>
    </row>
    <row r="69" spans="1:165">
      <c r="A69" s="2220">
        <v>27</v>
      </c>
      <c r="B69" s="2227" t="s">
        <v>1703</v>
      </c>
      <c r="C69" s="2146">
        <v>1260</v>
      </c>
      <c r="D69" s="2147">
        <f t="shared" si="150"/>
        <v>2.5952380952380953E-3</v>
      </c>
      <c r="E69" s="2146"/>
      <c r="F69" s="2148"/>
      <c r="G69" s="2146">
        <v>3.27</v>
      </c>
      <c r="H69" s="2149" t="s">
        <v>1649</v>
      </c>
      <c r="I69" s="2229">
        <v>1</v>
      </c>
      <c r="J69" s="2149">
        <v>17.626664473333335</v>
      </c>
      <c r="K69" s="2148">
        <v>3.4703846153846141E-2</v>
      </c>
      <c r="L69" s="2151"/>
      <c r="M69" s="2152">
        <f t="shared" si="107"/>
        <v>17.014951421245311</v>
      </c>
      <c r="N69" s="2149">
        <v>0.78505266666666684</v>
      </c>
      <c r="O69" s="2109">
        <f t="shared" si="108"/>
        <v>1.6742890630904592</v>
      </c>
      <c r="P69" s="2109">
        <v>0.13144050937500001</v>
      </c>
      <c r="Q69" s="2109">
        <v>1.7916425258091924</v>
      </c>
      <c r="R69" s="2109">
        <f t="shared" si="4"/>
        <v>0.14065337425999089</v>
      </c>
      <c r="S69" s="2109"/>
      <c r="T69" s="2109"/>
      <c r="U69" s="2109"/>
      <c r="V69" s="2109">
        <f t="shared" si="109"/>
        <v>3.4659315888996511</v>
      </c>
      <c r="W69" s="2109">
        <f t="shared" si="110"/>
        <v>0.27209388363499087</v>
      </c>
      <c r="X69" s="2149">
        <v>1.422898</v>
      </c>
      <c r="Y69" s="2109">
        <f t="shared" si="111"/>
        <v>0.92375215493310137</v>
      </c>
      <c r="Z69" s="2109">
        <v>0.13144050937500001</v>
      </c>
      <c r="AA69" s="2109">
        <v>1.7916425258091924</v>
      </c>
      <c r="AB69" s="2109">
        <f t="shared" si="5"/>
        <v>0.25493245666888481</v>
      </c>
      <c r="AC69" s="2135"/>
      <c r="AD69" s="2135"/>
      <c r="AE69" s="2135"/>
      <c r="AF69" s="2135">
        <f t="shared" si="112"/>
        <v>2.7153946807422935</v>
      </c>
      <c r="AG69" s="2135">
        <f t="shared" si="113"/>
        <v>0.38637296604388482</v>
      </c>
      <c r="AH69" s="2149">
        <v>1.9282536000000006</v>
      </c>
      <c r="AI69" s="2109">
        <f t="shared" si="114"/>
        <v>0.68165571880690379</v>
      </c>
      <c r="AJ69" s="2109">
        <v>0.13144050937500001</v>
      </c>
      <c r="AK69" s="2109">
        <v>1.7916425258091924</v>
      </c>
      <c r="AL69" s="2109">
        <f t="shared" si="6"/>
        <v>0.34547411503046688</v>
      </c>
      <c r="AM69" s="2135"/>
      <c r="AN69" s="2135"/>
      <c r="AO69" s="2135"/>
      <c r="AP69" s="2135">
        <f t="shared" si="115"/>
        <v>2.473298244616096</v>
      </c>
      <c r="AQ69" s="2135">
        <f t="shared" si="116"/>
        <v>0.47691462440546689</v>
      </c>
      <c r="AR69" s="2149">
        <v>1.9925287200000006</v>
      </c>
      <c r="AS69" s="2109">
        <f t="shared" si="117"/>
        <v>0.65966682465184223</v>
      </c>
      <c r="AT69" s="2109">
        <v>0.13144050937500001</v>
      </c>
      <c r="AU69" s="2109">
        <v>1.7916425258091924</v>
      </c>
      <c r="AV69" s="2109">
        <f t="shared" si="7"/>
        <v>0.35698991886481579</v>
      </c>
      <c r="AW69" s="2135"/>
      <c r="AX69" s="2135"/>
      <c r="AY69" s="2135"/>
      <c r="AZ69" s="2135">
        <f t="shared" si="118"/>
        <v>2.4513093504610346</v>
      </c>
      <c r="BA69" s="2135">
        <f t="shared" si="119"/>
        <v>0.48843042823981581</v>
      </c>
      <c r="BB69" s="2149">
        <v>1.9925287200000006</v>
      </c>
      <c r="BC69" s="2109">
        <f t="shared" si="120"/>
        <v>0.65966682465184223</v>
      </c>
      <c r="BD69" s="2109">
        <v>0.13144050937500001</v>
      </c>
      <c r="BE69" s="2109">
        <v>1.7916425258091924</v>
      </c>
      <c r="BF69" s="2109">
        <f t="shared" si="8"/>
        <v>0.35698991886481579</v>
      </c>
      <c r="BG69" s="2135"/>
      <c r="BH69" s="2135"/>
      <c r="BI69" s="2135"/>
      <c r="BJ69" s="2135">
        <f t="shared" si="121"/>
        <v>2.4513093504610346</v>
      </c>
      <c r="BK69" s="2135">
        <f t="shared" si="122"/>
        <v>0.48843042823981581</v>
      </c>
      <c r="BL69" s="2149">
        <v>1.9282536000000006</v>
      </c>
      <c r="BM69" s="2109">
        <f t="shared" si="123"/>
        <v>0.68165571880690379</v>
      </c>
      <c r="BN69" s="2109">
        <v>0.13144050937500001</v>
      </c>
      <c r="BO69" s="2109">
        <v>1.7916425258091924</v>
      </c>
      <c r="BP69" s="2109">
        <f t="shared" si="9"/>
        <v>0.34547411503046688</v>
      </c>
      <c r="BQ69" s="2135"/>
      <c r="BR69" s="2135"/>
      <c r="BS69" s="2135"/>
      <c r="BT69" s="2135">
        <f t="shared" si="124"/>
        <v>2.473298244616096</v>
      </c>
      <c r="BU69" s="2135">
        <f t="shared" si="125"/>
        <v>0.47691462440546689</v>
      </c>
      <c r="BV69" s="2149">
        <v>1.2312002500000001</v>
      </c>
      <c r="BW69" s="2109">
        <f t="shared" si="126"/>
        <v>1.0675802687255789</v>
      </c>
      <c r="BX69" s="2109">
        <v>0.13144050937500001</v>
      </c>
      <c r="BY69" s="2109">
        <v>1.7916425258091924</v>
      </c>
      <c r="BZ69" s="2109">
        <f t="shared" si="10"/>
        <v>0.22058707256869092</v>
      </c>
      <c r="CA69" s="2135"/>
      <c r="CB69" s="2135"/>
      <c r="CC69" s="2135"/>
      <c r="CD69" s="2135">
        <f t="shared" si="127"/>
        <v>2.8592227945347712</v>
      </c>
      <c r="CE69" s="2135">
        <f t="shared" si="128"/>
        <v>0.35202758194369094</v>
      </c>
      <c r="CF69" s="2149">
        <v>1.2465392500000003</v>
      </c>
      <c r="CG69" s="2109">
        <f t="shared" si="129"/>
        <v>1.0544434070166662</v>
      </c>
      <c r="CH69" s="2109">
        <v>0.13144050937500001</v>
      </c>
      <c r="CI69" s="2109">
        <v>1.7916425258091924</v>
      </c>
      <c r="CJ69" s="2109">
        <f t="shared" si="11"/>
        <v>0.22333527303902967</v>
      </c>
      <c r="CK69" s="2135"/>
      <c r="CL69" s="2135"/>
      <c r="CM69" s="2135"/>
      <c r="CN69" s="2135">
        <f t="shared" si="130"/>
        <v>2.8460859328258588</v>
      </c>
      <c r="CO69" s="2135">
        <f t="shared" si="131"/>
        <v>0.35477578241402968</v>
      </c>
      <c r="CP69" s="2149">
        <v>1.3567413333333329</v>
      </c>
      <c r="CQ69" s="2109">
        <f t="shared" si="132"/>
        <v>0.96879564398667051</v>
      </c>
      <c r="CR69" s="2109">
        <v>0.13144050937500001</v>
      </c>
      <c r="CS69" s="2109">
        <v>1.7916425258091924</v>
      </c>
      <c r="CT69" s="2109">
        <f t="shared" si="12"/>
        <v>0.24307954693230638</v>
      </c>
      <c r="CU69" s="2135"/>
      <c r="CV69" s="2135"/>
      <c r="CW69" s="2135"/>
      <c r="CX69" s="2135">
        <f t="shared" si="133"/>
        <v>2.7604381697958624</v>
      </c>
      <c r="CY69" s="2135">
        <f t="shared" si="134"/>
        <v>0.37452005630730639</v>
      </c>
      <c r="CZ69" s="2149">
        <v>1.3453523333333333</v>
      </c>
      <c r="DA69" s="2109">
        <f t="shared" si="135"/>
        <v>0.97699692577433883</v>
      </c>
      <c r="DB69" s="2109">
        <v>0.13144050937500001</v>
      </c>
      <c r="DC69" s="2109">
        <v>1.7916425258091924</v>
      </c>
      <c r="DD69" s="2109">
        <f t="shared" si="13"/>
        <v>0.24103904525966238</v>
      </c>
      <c r="DE69" s="2135"/>
      <c r="DF69" s="2135"/>
      <c r="DG69" s="2135"/>
      <c r="DH69" s="2135">
        <f t="shared" si="136"/>
        <v>2.7686394515835318</v>
      </c>
      <c r="DI69" s="2135">
        <f t="shared" si="137"/>
        <v>0.37247955463466242</v>
      </c>
      <c r="DJ69" s="2149">
        <v>1.1655813333333334</v>
      </c>
      <c r="DK69" s="2109">
        <f t="shared" si="138"/>
        <v>1.1276820039585398</v>
      </c>
      <c r="DL69" s="2109">
        <v>0.13144050937500001</v>
      </c>
      <c r="DM69" s="2109">
        <v>1.7916425258091924</v>
      </c>
      <c r="DN69" s="2109">
        <f t="shared" si="14"/>
        <v>0.20883050840893796</v>
      </c>
      <c r="DO69" s="2135"/>
      <c r="DP69" s="2135"/>
      <c r="DQ69" s="2135"/>
      <c r="DR69" s="2135">
        <f t="shared" si="139"/>
        <v>2.9193245297677324</v>
      </c>
      <c r="DS69" s="2135">
        <f t="shared" si="140"/>
        <v>0.34027101778393798</v>
      </c>
      <c r="DT69" s="2149">
        <v>1.2317346666666662</v>
      </c>
      <c r="DU69" s="2109">
        <f t="shared" si="141"/>
        <v>1.0671170742535465</v>
      </c>
      <c r="DV69" s="2109">
        <v>0.13144050937500001</v>
      </c>
      <c r="DW69" s="2109">
        <v>1.7916425258091924</v>
      </c>
      <c r="DX69" s="2109">
        <f t="shared" si="15"/>
        <v>0.22068282093134095</v>
      </c>
      <c r="DY69" s="2135"/>
      <c r="DZ69" s="2135"/>
      <c r="EA69" s="2135"/>
      <c r="EB69" s="2135">
        <f t="shared" si="142"/>
        <v>2.8587596000627391</v>
      </c>
      <c r="EC69" s="2135">
        <f t="shared" si="143"/>
        <v>0.35212333030634096</v>
      </c>
      <c r="ED69" s="2135"/>
      <c r="EE69" s="2106">
        <f t="shared" si="144"/>
        <v>17.626664473333335</v>
      </c>
      <c r="EF69" s="2106">
        <f t="shared" si="151"/>
        <v>0.89482960028325942</v>
      </c>
      <c r="EG69" s="2106">
        <f t="shared" si="145"/>
        <v>1.5772861124999997</v>
      </c>
      <c r="EH69" s="2106">
        <f t="shared" si="146"/>
        <v>1.7916425258091926</v>
      </c>
      <c r="EI69" s="2106">
        <f t="shared" si="147"/>
        <v>3.1580681658594099</v>
      </c>
      <c r="EJ69" s="2106"/>
      <c r="EK69" s="2106"/>
      <c r="EL69" s="2106"/>
      <c r="EM69" s="2106">
        <f t="shared" si="148"/>
        <v>2.6864721260924518</v>
      </c>
      <c r="EN69" s="2106">
        <f t="shared" si="149"/>
        <v>4.7353542783594094</v>
      </c>
      <c r="EO69" s="2106">
        <f t="shared" si="154"/>
        <v>2.6864721260924518</v>
      </c>
      <c r="EP69" s="2114">
        <f t="shared" si="155"/>
        <v>2.7830548328493743</v>
      </c>
      <c r="EQ69" s="2224"/>
      <c r="ER69" s="2210"/>
      <c r="ES69" s="2209" t="s">
        <v>1703</v>
      </c>
      <c r="ET69" s="2241"/>
      <c r="EU69" s="2230"/>
      <c r="EV69" s="2241"/>
      <c r="EW69" s="2241"/>
      <c r="EX69" s="2241"/>
      <c r="EY69" s="2244"/>
      <c r="EZ69" s="2244"/>
      <c r="FA69" s="2244"/>
      <c r="FB69" s="2242"/>
      <c r="FC69" s="2243"/>
      <c r="FD69" s="2243"/>
      <c r="FE69" s="2243"/>
      <c r="FF69" s="2243"/>
      <c r="FG69" s="2243"/>
      <c r="FH69" s="2243"/>
      <c r="FI69" s="2243"/>
    </row>
    <row r="70" spans="1:165">
      <c r="A70" s="2220">
        <v>28</v>
      </c>
      <c r="B70" s="2227" t="s">
        <v>1704</v>
      </c>
      <c r="C70" s="2146">
        <v>1000</v>
      </c>
      <c r="D70" s="2147">
        <f t="shared" si="150"/>
        <v>2.48E-3</v>
      </c>
      <c r="E70" s="2146"/>
      <c r="F70" s="2148"/>
      <c r="G70" s="2146">
        <v>2.48</v>
      </c>
      <c r="H70" s="2149" t="s">
        <v>1649</v>
      </c>
      <c r="I70" s="2229">
        <v>1</v>
      </c>
      <c r="J70" s="2149">
        <v>13.165676233870965</v>
      </c>
      <c r="K70" s="2148">
        <v>3.4703846153846141E-2</v>
      </c>
      <c r="L70" s="2151"/>
      <c r="M70" s="2152">
        <f t="shared" si="107"/>
        <v>12.708776631339358</v>
      </c>
      <c r="N70" s="2149">
        <v>0.69151366666666669</v>
      </c>
      <c r="O70" s="2109">
        <f t="shared" si="108"/>
        <v>1.1237937196107477</v>
      </c>
      <c r="P70" s="2109">
        <v>7.7711871562500007E-2</v>
      </c>
      <c r="Q70" s="2109">
        <v>1.7214193661332378</v>
      </c>
      <c r="R70" s="2109">
        <f t="shared" si="4"/>
        <v>0.11903850177458045</v>
      </c>
      <c r="S70" s="2109"/>
      <c r="T70" s="2109"/>
      <c r="U70" s="2109"/>
      <c r="V70" s="2109">
        <f t="shared" si="109"/>
        <v>2.8452130857439855</v>
      </c>
      <c r="W70" s="2109">
        <f t="shared" si="110"/>
        <v>0.19675037333708045</v>
      </c>
      <c r="X70" s="2149">
        <v>1.1106923333333332</v>
      </c>
      <c r="Y70" s="2109">
        <f t="shared" si="111"/>
        <v>0.69967054989275468</v>
      </c>
      <c r="Z70" s="2109">
        <v>7.7711871562500007E-2</v>
      </c>
      <c r="AA70" s="2109">
        <v>1.7214193661332378</v>
      </c>
      <c r="AB70" s="2109">
        <f t="shared" si="5"/>
        <v>0.19119672924157133</v>
      </c>
      <c r="AC70" s="2135"/>
      <c r="AD70" s="2135"/>
      <c r="AE70" s="2135"/>
      <c r="AF70" s="2135">
        <f t="shared" si="112"/>
        <v>2.4210899160259922</v>
      </c>
      <c r="AG70" s="2135">
        <f t="shared" si="113"/>
        <v>0.26890860080407131</v>
      </c>
      <c r="AH70" s="2149">
        <v>1.2030179999999999</v>
      </c>
      <c r="AI70" s="2109">
        <f t="shared" si="114"/>
        <v>0.64597430431215508</v>
      </c>
      <c r="AJ70" s="2109">
        <v>7.7711871562500007E-2</v>
      </c>
      <c r="AK70" s="2109">
        <v>1.7214193661332378</v>
      </c>
      <c r="AL70" s="2109">
        <f t="shared" si="6"/>
        <v>0.2070898483006875</v>
      </c>
      <c r="AM70" s="2135"/>
      <c r="AN70" s="2135"/>
      <c r="AO70" s="2135"/>
      <c r="AP70" s="2135">
        <f t="shared" si="115"/>
        <v>2.3673936704453924</v>
      </c>
      <c r="AQ70" s="2135">
        <f t="shared" si="116"/>
        <v>0.28480171986318747</v>
      </c>
      <c r="AR70" s="2149">
        <v>1.0059975000000001</v>
      </c>
      <c r="AS70" s="2109">
        <f t="shared" si="117"/>
        <v>0.77248573244466312</v>
      </c>
      <c r="AT70" s="2109">
        <v>7.7711871562500007E-2</v>
      </c>
      <c r="AU70" s="2109">
        <v>1.7214193661332378</v>
      </c>
      <c r="AV70" s="2109">
        <f t="shared" si="7"/>
        <v>0.17317435787816221</v>
      </c>
      <c r="AW70" s="2135"/>
      <c r="AX70" s="2135"/>
      <c r="AY70" s="2135"/>
      <c r="AZ70" s="2135">
        <f t="shared" si="118"/>
        <v>2.4939050985779008</v>
      </c>
      <c r="BA70" s="2135">
        <f t="shared" si="119"/>
        <v>0.25088622944066219</v>
      </c>
      <c r="BB70" s="2149">
        <v>1.576346666666667</v>
      </c>
      <c r="BC70" s="2109">
        <f t="shared" si="120"/>
        <v>0.49298719124283141</v>
      </c>
      <c r="BD70" s="2109">
        <v>7.7711871562500007E-2</v>
      </c>
      <c r="BE70" s="2109">
        <v>1.7214193661332378</v>
      </c>
      <c r="BF70" s="2109">
        <f t="shared" si="8"/>
        <v>0.27135536797395765</v>
      </c>
      <c r="BG70" s="2135"/>
      <c r="BH70" s="2135"/>
      <c r="BI70" s="2135"/>
      <c r="BJ70" s="2135">
        <f t="shared" si="121"/>
        <v>2.2144065573760696</v>
      </c>
      <c r="BK70" s="2135">
        <f t="shared" si="122"/>
        <v>0.34906723953645769</v>
      </c>
      <c r="BL70" s="2149">
        <v>1.6078879838709677</v>
      </c>
      <c r="BM70" s="2109">
        <f t="shared" si="123"/>
        <v>0.48331645202926243</v>
      </c>
      <c r="BN70" s="2109">
        <v>7.7711871562500007E-2</v>
      </c>
      <c r="BO70" s="2109">
        <v>1.7214193661332378</v>
      </c>
      <c r="BP70" s="2109">
        <f t="shared" si="9"/>
        <v>0.27678495140084108</v>
      </c>
      <c r="BQ70" s="2135"/>
      <c r="BR70" s="2135"/>
      <c r="BS70" s="2135"/>
      <c r="BT70" s="2135">
        <f t="shared" si="124"/>
        <v>2.2047358181625003</v>
      </c>
      <c r="BU70" s="2135">
        <f t="shared" si="125"/>
        <v>0.35449682296334106</v>
      </c>
      <c r="BV70" s="2149">
        <v>0.97169574999999986</v>
      </c>
      <c r="BW70" s="2109">
        <f t="shared" si="126"/>
        <v>0.79975518635848741</v>
      </c>
      <c r="BX70" s="2109">
        <v>7.7711871562500007E-2</v>
      </c>
      <c r="BY70" s="2109">
        <v>1.7214193661332378</v>
      </c>
      <c r="BZ70" s="2109">
        <f t="shared" si="10"/>
        <v>0.16726958820393609</v>
      </c>
      <c r="CA70" s="2135"/>
      <c r="CB70" s="2135"/>
      <c r="CC70" s="2135"/>
      <c r="CD70" s="2135">
        <f t="shared" si="127"/>
        <v>2.5211745524917251</v>
      </c>
      <c r="CE70" s="2135">
        <f t="shared" si="128"/>
        <v>0.24498145976643609</v>
      </c>
      <c r="CF70" s="2149">
        <v>1.0946389999999999</v>
      </c>
      <c r="CG70" s="2109">
        <f t="shared" si="129"/>
        <v>0.70993150767056545</v>
      </c>
      <c r="CH70" s="2109">
        <v>7.7711871562500007E-2</v>
      </c>
      <c r="CI70" s="2109">
        <v>1.7214193661332378</v>
      </c>
      <c r="CJ70" s="2109">
        <f t="shared" si="11"/>
        <v>0.18843327735247212</v>
      </c>
      <c r="CK70" s="2135"/>
      <c r="CL70" s="2135"/>
      <c r="CM70" s="2135"/>
      <c r="CN70" s="2135">
        <f t="shared" si="130"/>
        <v>2.4313508738038032</v>
      </c>
      <c r="CO70" s="2135">
        <f t="shared" si="131"/>
        <v>0.2661451489149721</v>
      </c>
      <c r="CP70" s="2149">
        <v>0.96421266666666683</v>
      </c>
      <c r="CQ70" s="2109">
        <f t="shared" si="132"/>
        <v>0.8059619443826016</v>
      </c>
      <c r="CR70" s="2109">
        <v>7.7711871562500007E-2</v>
      </c>
      <c r="CS70" s="2109">
        <v>1.7214193661332378</v>
      </c>
      <c r="CT70" s="2109">
        <f t="shared" si="12"/>
        <v>0.16598143574709726</v>
      </c>
      <c r="CU70" s="2135"/>
      <c r="CV70" s="2135"/>
      <c r="CW70" s="2135"/>
      <c r="CX70" s="2135">
        <f t="shared" si="133"/>
        <v>2.5273813105158394</v>
      </c>
      <c r="CY70" s="2135">
        <f t="shared" si="134"/>
        <v>0.24369330730959726</v>
      </c>
      <c r="CZ70" s="2149">
        <v>0.94843366666666684</v>
      </c>
      <c r="DA70" s="2109">
        <f t="shared" si="135"/>
        <v>0.8193706559956222</v>
      </c>
      <c r="DB70" s="2109">
        <v>7.7711871562500007E-2</v>
      </c>
      <c r="DC70" s="2109">
        <v>1.7214193661332378</v>
      </c>
      <c r="DD70" s="2109">
        <f t="shared" si="13"/>
        <v>0.16326520812927561</v>
      </c>
      <c r="DE70" s="2135"/>
      <c r="DF70" s="2135"/>
      <c r="DG70" s="2135"/>
      <c r="DH70" s="2135">
        <f t="shared" si="136"/>
        <v>2.54079002212886</v>
      </c>
      <c r="DI70" s="2135">
        <f t="shared" si="137"/>
        <v>0.24097707969177562</v>
      </c>
      <c r="DJ70" s="2149">
        <v>0.98815700000000006</v>
      </c>
      <c r="DK70" s="2109">
        <f t="shared" si="138"/>
        <v>0.7864324349521381</v>
      </c>
      <c r="DL70" s="2109">
        <v>7.7711871562500007E-2</v>
      </c>
      <c r="DM70" s="2109">
        <v>1.7214193661332378</v>
      </c>
      <c r="DN70" s="2109">
        <f t="shared" si="14"/>
        <v>0.17010325965801218</v>
      </c>
      <c r="DO70" s="2135"/>
      <c r="DP70" s="2135"/>
      <c r="DQ70" s="2135"/>
      <c r="DR70" s="2135">
        <f t="shared" si="139"/>
        <v>2.5078518010853754</v>
      </c>
      <c r="DS70" s="2135">
        <f t="shared" si="140"/>
        <v>0.24781513122051219</v>
      </c>
      <c r="DT70" s="2149">
        <v>1.003082</v>
      </c>
      <c r="DU70" s="2109">
        <f t="shared" si="141"/>
        <v>0.77473099469933659</v>
      </c>
      <c r="DV70" s="2109">
        <v>7.7711871562500007E-2</v>
      </c>
      <c r="DW70" s="2109">
        <v>1.7214193661332378</v>
      </c>
      <c r="DX70" s="2109">
        <f t="shared" si="15"/>
        <v>0.17267247806196603</v>
      </c>
      <c r="DY70" s="2135"/>
      <c r="DZ70" s="2135"/>
      <c r="EA70" s="2135"/>
      <c r="EB70" s="2135">
        <f t="shared" si="142"/>
        <v>2.4961503608325746</v>
      </c>
      <c r="EC70" s="2135">
        <f t="shared" si="143"/>
        <v>0.25038434962446604</v>
      </c>
      <c r="ED70" s="2135"/>
      <c r="EE70" s="2106">
        <f t="shared" si="144"/>
        <v>13.165676233870965</v>
      </c>
      <c r="EF70" s="2106">
        <f t="shared" si="151"/>
        <v>0.70831337652894311</v>
      </c>
      <c r="EG70" s="2106">
        <f t="shared" si="145"/>
        <v>0.9325424587500003</v>
      </c>
      <c r="EH70" s="2106">
        <f t="shared" si="146"/>
        <v>1.7214193661332384</v>
      </c>
      <c r="EI70" s="2106">
        <f t="shared" si="147"/>
        <v>2.2663650037225596</v>
      </c>
      <c r="EJ70" s="2106"/>
      <c r="EK70" s="2106"/>
      <c r="EL70" s="2106"/>
      <c r="EM70" s="2106">
        <f t="shared" si="148"/>
        <v>2.4297327426621815</v>
      </c>
      <c r="EN70" s="2106">
        <f t="shared" si="149"/>
        <v>3.19890746247256</v>
      </c>
      <c r="EO70" s="2106">
        <f t="shared" si="154"/>
        <v>2.4297327426621815</v>
      </c>
      <c r="EP70" s="2114">
        <f t="shared" si="155"/>
        <v>2.5170852830823831</v>
      </c>
      <c r="EQ70" s="2224"/>
      <c r="ER70" s="2210"/>
      <c r="ES70" s="2209" t="s">
        <v>1704</v>
      </c>
      <c r="ET70" s="2241"/>
      <c r="EU70" s="2230"/>
      <c r="EV70" s="2241"/>
      <c r="EW70" s="2241"/>
      <c r="EX70" s="2241"/>
      <c r="EY70" s="2244"/>
      <c r="EZ70" s="2244"/>
      <c r="FA70" s="2244"/>
      <c r="FB70" s="2242"/>
      <c r="FC70" s="2243"/>
      <c r="FD70" s="2243"/>
      <c r="FE70" s="2243"/>
      <c r="FF70" s="2243"/>
      <c r="FG70" s="2243"/>
      <c r="FH70" s="2243"/>
      <c r="FI70" s="2243"/>
    </row>
    <row r="71" spans="1:165">
      <c r="A71" s="2220">
        <v>29</v>
      </c>
      <c r="B71" s="2227" t="s">
        <v>1705</v>
      </c>
      <c r="C71" s="2146">
        <v>1000</v>
      </c>
      <c r="D71" s="2147">
        <f t="shared" si="150"/>
        <v>2.48E-3</v>
      </c>
      <c r="E71" s="2146"/>
      <c r="F71" s="2148"/>
      <c r="G71" s="2146">
        <v>2.48</v>
      </c>
      <c r="H71" s="2149" t="s">
        <v>1649</v>
      </c>
      <c r="I71" s="2229">
        <v>1</v>
      </c>
      <c r="J71" s="2149">
        <v>14.658314795698923</v>
      </c>
      <c r="K71" s="2148">
        <v>3.4703846153846141E-2</v>
      </c>
      <c r="L71" s="2151"/>
      <c r="M71" s="2152">
        <f t="shared" si="107"/>
        <v>14.149614894154341</v>
      </c>
      <c r="N71" s="2149">
        <v>0.78827766666666665</v>
      </c>
      <c r="O71" s="2109">
        <f t="shared" si="108"/>
        <v>1.603090743352702</v>
      </c>
      <c r="P71" s="2109">
        <v>0.12636806306250001</v>
      </c>
      <c r="Q71" s="2109">
        <v>1.7276331160257183</v>
      </c>
      <c r="R71" s="2109">
        <f t="shared" si="4"/>
        <v>0.13618546015568159</v>
      </c>
      <c r="S71" s="2109"/>
      <c r="T71" s="2109"/>
      <c r="U71" s="2109"/>
      <c r="V71" s="2109">
        <f t="shared" si="109"/>
        <v>3.3307238593784207</v>
      </c>
      <c r="W71" s="2109">
        <f t="shared" si="110"/>
        <v>0.26255352321818159</v>
      </c>
      <c r="X71" s="2149">
        <v>1.3083679999999998</v>
      </c>
      <c r="Y71" s="2109">
        <f t="shared" si="111"/>
        <v>0.96584495388529856</v>
      </c>
      <c r="Z71" s="2109">
        <v>0.12636806306250001</v>
      </c>
      <c r="AA71" s="2109">
        <v>1.7276331160257183</v>
      </c>
      <c r="AB71" s="2109">
        <f t="shared" si="5"/>
        <v>0.22603798847483367</v>
      </c>
      <c r="AC71" s="2135"/>
      <c r="AD71" s="2135"/>
      <c r="AE71" s="2135"/>
      <c r="AF71" s="2135">
        <f t="shared" si="112"/>
        <v>2.6934780699110168</v>
      </c>
      <c r="AG71" s="2135">
        <f t="shared" si="113"/>
        <v>0.35240605153733368</v>
      </c>
      <c r="AH71" s="2149">
        <v>1.5066000000000002</v>
      </c>
      <c r="AI71" s="2109">
        <f t="shared" si="114"/>
        <v>0.83876319568896851</v>
      </c>
      <c r="AJ71" s="2109">
        <v>0.12636806306250001</v>
      </c>
      <c r="AK71" s="2109">
        <v>1.7276331160257183</v>
      </c>
      <c r="AL71" s="2109">
        <f t="shared" si="6"/>
        <v>0.26028520526043475</v>
      </c>
      <c r="AM71" s="2135"/>
      <c r="AN71" s="2135"/>
      <c r="AO71" s="2135"/>
      <c r="AP71" s="2135">
        <f t="shared" si="115"/>
        <v>2.5663963117146871</v>
      </c>
      <c r="AQ71" s="2135">
        <f t="shared" si="116"/>
        <v>0.38665326832293478</v>
      </c>
      <c r="AR71" s="2149">
        <v>1.5568200000000001</v>
      </c>
      <c r="AS71" s="2109">
        <f t="shared" si="117"/>
        <v>0.81170631840867924</v>
      </c>
      <c r="AT71" s="2109">
        <v>0.12636806306250001</v>
      </c>
      <c r="AU71" s="2109">
        <v>1.7276331160257183</v>
      </c>
      <c r="AV71" s="2109">
        <f t="shared" si="7"/>
        <v>0.26896137876911591</v>
      </c>
      <c r="AW71" s="2135"/>
      <c r="AX71" s="2135"/>
      <c r="AY71" s="2135"/>
      <c r="AZ71" s="2135">
        <f t="shared" si="118"/>
        <v>2.5393394344343974</v>
      </c>
      <c r="BA71" s="2135">
        <f t="shared" si="119"/>
        <v>0.39532944183161589</v>
      </c>
      <c r="BB71" s="2149">
        <v>1.5568200000000001</v>
      </c>
      <c r="BC71" s="2109">
        <f t="shared" si="120"/>
        <v>0.81170631840867924</v>
      </c>
      <c r="BD71" s="2109">
        <v>0.12636806306250001</v>
      </c>
      <c r="BE71" s="2109">
        <v>1.7276331160257183</v>
      </c>
      <c r="BF71" s="2109">
        <f t="shared" si="8"/>
        <v>0.26896137876911591</v>
      </c>
      <c r="BG71" s="2135"/>
      <c r="BH71" s="2135"/>
      <c r="BI71" s="2135"/>
      <c r="BJ71" s="2135">
        <f t="shared" si="121"/>
        <v>2.5393394344343974</v>
      </c>
      <c r="BK71" s="2135">
        <f t="shared" si="122"/>
        <v>0.39532944183161589</v>
      </c>
      <c r="BL71" s="2149">
        <v>1.5784686290322578</v>
      </c>
      <c r="BM71" s="2109">
        <f t="shared" si="123"/>
        <v>0.80057380133031153</v>
      </c>
      <c r="BN71" s="2109">
        <v>0.12636806306250001</v>
      </c>
      <c r="BO71" s="2109">
        <v>1.7276331160257183</v>
      </c>
      <c r="BP71" s="2109">
        <f t="shared" si="9"/>
        <v>0.27270146761238434</v>
      </c>
      <c r="BQ71" s="2135"/>
      <c r="BR71" s="2135"/>
      <c r="BS71" s="2135"/>
      <c r="BT71" s="2135">
        <f t="shared" si="124"/>
        <v>2.5282069173560302</v>
      </c>
      <c r="BU71" s="2135">
        <f t="shared" si="125"/>
        <v>0.39906953067488438</v>
      </c>
      <c r="BV71" s="2149">
        <v>1.1533345000000002</v>
      </c>
      <c r="BW71" s="2109">
        <f t="shared" si="126"/>
        <v>1.0956757390202061</v>
      </c>
      <c r="BX71" s="2109">
        <v>0.12636806306250001</v>
      </c>
      <c r="BY71" s="2109">
        <v>1.7276331160257183</v>
      </c>
      <c r="BZ71" s="2109">
        <f t="shared" si="10"/>
        <v>0.19925388760549639</v>
      </c>
      <c r="CA71" s="2135"/>
      <c r="CB71" s="2135"/>
      <c r="CC71" s="2135"/>
      <c r="CD71" s="2135">
        <f t="shared" si="127"/>
        <v>2.8233088550459238</v>
      </c>
      <c r="CE71" s="2135">
        <f t="shared" si="128"/>
        <v>0.32562195066799637</v>
      </c>
      <c r="CF71" s="2149">
        <v>0.97643299999999977</v>
      </c>
      <c r="CG71" s="2109">
        <f t="shared" si="129"/>
        <v>1.2941805844589442</v>
      </c>
      <c r="CH71" s="2109">
        <v>0.12636806306250001</v>
      </c>
      <c r="CI71" s="2109">
        <v>1.7276331160257183</v>
      </c>
      <c r="CJ71" s="2109">
        <f t="shared" si="11"/>
        <v>0.16869179863803399</v>
      </c>
      <c r="CK71" s="2135"/>
      <c r="CL71" s="2135"/>
      <c r="CM71" s="2135"/>
      <c r="CN71" s="2135">
        <f t="shared" si="130"/>
        <v>3.021813700484663</v>
      </c>
      <c r="CO71" s="2135">
        <f t="shared" si="131"/>
        <v>0.295059861700534</v>
      </c>
      <c r="CP71" s="2149">
        <v>1.2575583333333329</v>
      </c>
      <c r="CQ71" s="2109">
        <f t="shared" si="132"/>
        <v>1.0048684002398831</v>
      </c>
      <c r="CR71" s="2109">
        <v>0.12636806306250001</v>
      </c>
      <c r="CS71" s="2109">
        <v>1.7276331160257183</v>
      </c>
      <c r="CT71" s="2109">
        <f t="shared" si="12"/>
        <v>0.21725994220007747</v>
      </c>
      <c r="CU71" s="2135"/>
      <c r="CV71" s="2135"/>
      <c r="CW71" s="2135"/>
      <c r="CX71" s="2135">
        <f t="shared" si="133"/>
        <v>2.7325015162656014</v>
      </c>
      <c r="CY71" s="2135">
        <f t="shared" si="134"/>
        <v>0.34362800526257747</v>
      </c>
      <c r="CZ71" s="2149">
        <v>1.0930016666666666</v>
      </c>
      <c r="DA71" s="2109">
        <f t="shared" si="135"/>
        <v>1.1561561790466925</v>
      </c>
      <c r="DB71" s="2109">
        <v>0.12636806306250001</v>
      </c>
      <c r="DC71" s="2109">
        <v>1.7276331160257183</v>
      </c>
      <c r="DD71" s="2109">
        <f t="shared" si="13"/>
        <v>0.18883058752046369</v>
      </c>
      <c r="DE71" s="2135"/>
      <c r="DF71" s="2135"/>
      <c r="DG71" s="2135"/>
      <c r="DH71" s="2135">
        <f t="shared" si="136"/>
        <v>2.8837892950724111</v>
      </c>
      <c r="DI71" s="2135">
        <f t="shared" si="137"/>
        <v>0.3151986505829637</v>
      </c>
      <c r="DJ71" s="2149">
        <v>0.93427766666666667</v>
      </c>
      <c r="DK71" s="2109">
        <f t="shared" si="138"/>
        <v>1.3525750167330697</v>
      </c>
      <c r="DL71" s="2109">
        <v>0.12636806306250001</v>
      </c>
      <c r="DM71" s="2109">
        <v>1.7276331160257183</v>
      </c>
      <c r="DN71" s="2109">
        <f t="shared" si="14"/>
        <v>0.16140890364965707</v>
      </c>
      <c r="DO71" s="2135"/>
      <c r="DP71" s="2135"/>
      <c r="DQ71" s="2135"/>
      <c r="DR71" s="2135">
        <f t="shared" si="139"/>
        <v>3.0802081327587882</v>
      </c>
      <c r="DS71" s="2135">
        <f t="shared" si="140"/>
        <v>0.28777696671215708</v>
      </c>
      <c r="DT71" s="2149">
        <v>0.94835533333333333</v>
      </c>
      <c r="DU71" s="2109">
        <f t="shared" si="141"/>
        <v>1.3324969936989162</v>
      </c>
      <c r="DV71" s="2109">
        <v>0.12636806306250001</v>
      </c>
      <c r="DW71" s="2109">
        <v>1.7276331160257183</v>
      </c>
      <c r="DX71" s="2109">
        <f t="shared" si="15"/>
        <v>0.16384100796262754</v>
      </c>
      <c r="DY71" s="2135"/>
      <c r="DZ71" s="2135"/>
      <c r="EA71" s="2135"/>
      <c r="EB71" s="2135">
        <f t="shared" si="142"/>
        <v>3.0601301097246343</v>
      </c>
      <c r="EC71" s="2135">
        <f t="shared" si="143"/>
        <v>0.29020907102512755</v>
      </c>
      <c r="ED71" s="2135"/>
      <c r="EE71" s="2106">
        <f t="shared" si="144"/>
        <v>14.658314795698923</v>
      </c>
      <c r="EF71" s="2106">
        <f t="shared" si="151"/>
        <v>1.0345096130661284</v>
      </c>
      <c r="EG71" s="2106">
        <f t="shared" si="145"/>
        <v>1.5164167567499998</v>
      </c>
      <c r="EH71" s="2106">
        <f t="shared" si="146"/>
        <v>1.7276331160257188</v>
      </c>
      <c r="EI71" s="2106">
        <f t="shared" si="147"/>
        <v>2.5324190066179226</v>
      </c>
      <c r="EJ71" s="2106"/>
      <c r="EK71" s="2106"/>
      <c r="EL71" s="2106"/>
      <c r="EM71" s="2106">
        <f t="shared" si="148"/>
        <v>2.7621427290918472</v>
      </c>
      <c r="EN71" s="2106">
        <f t="shared" si="149"/>
        <v>4.0488357633679222</v>
      </c>
      <c r="EO71" s="2106">
        <f t="shared" si="154"/>
        <v>2.7621427290918472</v>
      </c>
      <c r="EP71" s="2114">
        <f t="shared" si="155"/>
        <v>2.8614459076484304</v>
      </c>
      <c r="EQ71" s="2224"/>
      <c r="ER71" s="2210"/>
      <c r="ES71" s="2209" t="s">
        <v>1705</v>
      </c>
      <c r="ET71" s="2241"/>
      <c r="EU71" s="2230"/>
      <c r="EV71" s="2241"/>
      <c r="EW71" s="2241"/>
      <c r="EX71" s="2241"/>
      <c r="EY71" s="2244"/>
      <c r="EZ71" s="2244"/>
      <c r="FA71" s="2244"/>
      <c r="FB71" s="2242"/>
      <c r="FC71" s="2243"/>
      <c r="FD71" s="2243"/>
      <c r="FE71" s="2243"/>
      <c r="FF71" s="2243"/>
      <c r="FG71" s="2243"/>
      <c r="FH71" s="2243"/>
      <c r="FI71" s="2243"/>
    </row>
    <row r="72" spans="1:165">
      <c r="A72" s="2220">
        <v>30</v>
      </c>
      <c r="B72" s="2227" t="s">
        <v>1706</v>
      </c>
      <c r="C72" s="2146">
        <v>1000</v>
      </c>
      <c r="D72" s="2147">
        <f t="shared" si="150"/>
        <v>2.82E-3</v>
      </c>
      <c r="E72" s="2146"/>
      <c r="F72" s="2148"/>
      <c r="G72" s="2146">
        <v>2.82</v>
      </c>
      <c r="H72" s="2149" t="s">
        <v>1649</v>
      </c>
      <c r="I72" s="2229">
        <v>1</v>
      </c>
      <c r="J72" s="2149">
        <v>17.859387284946237</v>
      </c>
      <c r="K72" s="2148">
        <v>3.4703846153846141E-2</v>
      </c>
      <c r="L72" s="2151"/>
      <c r="M72" s="2152">
        <f t="shared" si="107"/>
        <v>17.239597856207507</v>
      </c>
      <c r="N72" s="2149">
        <v>1.17682</v>
      </c>
      <c r="O72" s="2109">
        <f t="shared" si="108"/>
        <v>2.0692284987296281</v>
      </c>
      <c r="P72" s="2109">
        <v>0.24351094818750008</v>
      </c>
      <c r="Q72" s="2109">
        <v>1.761476758817236</v>
      </c>
      <c r="R72" s="2109">
        <f t="shared" si="4"/>
        <v>0.20729410793112996</v>
      </c>
      <c r="S72" s="2109"/>
      <c r="T72" s="2109"/>
      <c r="U72" s="2109"/>
      <c r="V72" s="2109">
        <f t="shared" si="109"/>
        <v>3.8307052575468643</v>
      </c>
      <c r="W72" s="2109">
        <f t="shared" si="110"/>
        <v>0.45080505611863003</v>
      </c>
      <c r="X72" s="2149">
        <v>1.5114920000000001</v>
      </c>
      <c r="Y72" s="2109">
        <f t="shared" si="111"/>
        <v>1.6110634273122191</v>
      </c>
      <c r="Z72" s="2109">
        <v>0.24351094818750008</v>
      </c>
      <c r="AA72" s="2109">
        <v>1.761476758817236</v>
      </c>
      <c r="AB72" s="2109">
        <f t="shared" si="5"/>
        <v>0.26624580291381816</v>
      </c>
      <c r="AC72" s="2135"/>
      <c r="AD72" s="2135"/>
      <c r="AE72" s="2135"/>
      <c r="AF72" s="2135">
        <f t="shared" si="112"/>
        <v>3.3725401861294553</v>
      </c>
      <c r="AG72" s="2135">
        <f t="shared" si="113"/>
        <v>0.50975675110131824</v>
      </c>
      <c r="AH72" s="2149">
        <v>1.6756095</v>
      </c>
      <c r="AI72" s="2109">
        <f t="shared" si="114"/>
        <v>1.4532678896097215</v>
      </c>
      <c r="AJ72" s="2109">
        <v>0.24351094818750008</v>
      </c>
      <c r="AK72" s="2109">
        <v>1.761476758817236</v>
      </c>
      <c r="AL72" s="2109">
        <f t="shared" si="6"/>
        <v>0.29515471911033692</v>
      </c>
      <c r="AM72" s="2135"/>
      <c r="AN72" s="2135"/>
      <c r="AO72" s="2135"/>
      <c r="AP72" s="2135">
        <f t="shared" si="115"/>
        <v>3.2147446484269571</v>
      </c>
      <c r="AQ72" s="2135">
        <f t="shared" si="116"/>
        <v>0.53866566729783694</v>
      </c>
      <c r="AR72" s="2149">
        <v>1.64211</v>
      </c>
      <c r="AS72" s="2109">
        <f t="shared" si="117"/>
        <v>1.48291495811791</v>
      </c>
      <c r="AT72" s="2109">
        <v>0.24351094818750008</v>
      </c>
      <c r="AU72" s="2109">
        <v>1.761476758817236</v>
      </c>
      <c r="AV72" s="2109">
        <f t="shared" si="7"/>
        <v>0.28925386004213716</v>
      </c>
      <c r="AW72" s="2135"/>
      <c r="AX72" s="2135"/>
      <c r="AY72" s="2135"/>
      <c r="AZ72" s="2135">
        <f t="shared" si="118"/>
        <v>3.2443917169351462</v>
      </c>
      <c r="BA72" s="2135">
        <f t="shared" si="119"/>
        <v>0.53276480822963723</v>
      </c>
      <c r="BB72" s="2149">
        <v>1.3930150000000003</v>
      </c>
      <c r="BC72" s="2109">
        <f t="shared" si="120"/>
        <v>1.7480856142073131</v>
      </c>
      <c r="BD72" s="2109">
        <v>0.24351094818750008</v>
      </c>
      <c r="BE72" s="2109">
        <v>1.761476758817236</v>
      </c>
      <c r="BF72" s="2109">
        <f t="shared" si="8"/>
        <v>0.24537635471837924</v>
      </c>
      <c r="BG72" s="2135"/>
      <c r="BH72" s="2135"/>
      <c r="BI72" s="2135"/>
      <c r="BJ72" s="2135">
        <f t="shared" si="121"/>
        <v>3.5095623730245489</v>
      </c>
      <c r="BK72" s="2135">
        <f t="shared" si="122"/>
        <v>0.48888730290587934</v>
      </c>
      <c r="BL72" s="2149">
        <v>1.4753564516129036</v>
      </c>
      <c r="BM72" s="2109">
        <f t="shared" si="123"/>
        <v>1.6505228138006014</v>
      </c>
      <c r="BN72" s="2109">
        <v>0.24351094818750008</v>
      </c>
      <c r="BO72" s="2109">
        <v>1.761476758817236</v>
      </c>
      <c r="BP72" s="2109">
        <f t="shared" si="9"/>
        <v>0.25988061004871954</v>
      </c>
      <c r="BQ72" s="2135"/>
      <c r="BR72" s="2135"/>
      <c r="BS72" s="2135"/>
      <c r="BT72" s="2135">
        <f t="shared" si="124"/>
        <v>3.4119995726178369</v>
      </c>
      <c r="BU72" s="2135">
        <f t="shared" si="125"/>
        <v>0.50339155823621962</v>
      </c>
      <c r="BV72" s="2149">
        <v>1.57924475</v>
      </c>
      <c r="BW72" s="2109">
        <f t="shared" si="126"/>
        <v>1.5419455925846837</v>
      </c>
      <c r="BX72" s="2109">
        <v>0.24351094818750008</v>
      </c>
      <c r="BY72" s="2109">
        <v>1.761476758817236</v>
      </c>
      <c r="BZ72" s="2109">
        <f t="shared" si="10"/>
        <v>0.27818029236091363</v>
      </c>
      <c r="CA72" s="2135"/>
      <c r="CB72" s="2135"/>
      <c r="CC72" s="2135"/>
      <c r="CD72" s="2135">
        <f t="shared" si="127"/>
        <v>3.3034223514019203</v>
      </c>
      <c r="CE72" s="2135">
        <f t="shared" si="128"/>
        <v>0.52169124054841376</v>
      </c>
      <c r="CF72" s="2149">
        <v>1.5941372499999997</v>
      </c>
      <c r="CG72" s="2109">
        <f t="shared" si="129"/>
        <v>1.5275406693338365</v>
      </c>
      <c r="CH72" s="2109">
        <v>0.24351094818750008</v>
      </c>
      <c r="CI72" s="2109">
        <v>1.761476758817236</v>
      </c>
      <c r="CJ72" s="2109">
        <f t="shared" si="11"/>
        <v>0.28080357162398217</v>
      </c>
      <c r="CK72" s="2135"/>
      <c r="CL72" s="2135"/>
      <c r="CM72" s="2135"/>
      <c r="CN72" s="2135">
        <f t="shared" si="130"/>
        <v>3.2890174281510727</v>
      </c>
      <c r="CO72" s="2135">
        <f t="shared" si="131"/>
        <v>0.52431451981148225</v>
      </c>
      <c r="CP72" s="2149">
        <v>1.7611589999999999</v>
      </c>
      <c r="CQ72" s="2109">
        <f t="shared" si="132"/>
        <v>1.3826744103598829</v>
      </c>
      <c r="CR72" s="2109">
        <v>0.24351094818750008</v>
      </c>
      <c r="CS72" s="2109">
        <v>1.761476758817236</v>
      </c>
      <c r="CT72" s="2109">
        <f t="shared" si="12"/>
        <v>0.31022406470818042</v>
      </c>
      <c r="CU72" s="2135"/>
      <c r="CV72" s="2135"/>
      <c r="CW72" s="2135"/>
      <c r="CX72" s="2135">
        <f t="shared" si="133"/>
        <v>3.1441511691771189</v>
      </c>
      <c r="CY72" s="2135">
        <f t="shared" si="134"/>
        <v>0.5537350128956805</v>
      </c>
      <c r="CZ72" s="2149">
        <v>1.5416896666666668</v>
      </c>
      <c r="DA72" s="2109">
        <f t="shared" si="135"/>
        <v>1.579506910194205</v>
      </c>
      <c r="DB72" s="2109">
        <v>0.24351094818750008</v>
      </c>
      <c r="DC72" s="2109">
        <v>1.761476758817236</v>
      </c>
      <c r="DD72" s="2109">
        <f t="shared" si="13"/>
        <v>0.27156505171420253</v>
      </c>
      <c r="DE72" s="2135"/>
      <c r="DF72" s="2135"/>
      <c r="DG72" s="2135"/>
      <c r="DH72" s="2135">
        <f t="shared" si="136"/>
        <v>3.3409836690114409</v>
      </c>
      <c r="DI72" s="2135">
        <f t="shared" si="137"/>
        <v>0.51507599990170261</v>
      </c>
      <c r="DJ72" s="2149">
        <v>1.1934193333333329</v>
      </c>
      <c r="DK72" s="2109">
        <f t="shared" si="138"/>
        <v>2.0404474888751047</v>
      </c>
      <c r="DL72" s="2109">
        <v>0.24351094818750008</v>
      </c>
      <c r="DM72" s="2109">
        <v>1.761476758817236</v>
      </c>
      <c r="DN72" s="2109">
        <f t="shared" si="14"/>
        <v>0.21021804191898258</v>
      </c>
      <c r="DO72" s="2135"/>
      <c r="DP72" s="2135"/>
      <c r="DQ72" s="2135"/>
      <c r="DR72" s="2135">
        <f t="shared" si="139"/>
        <v>3.8019242476923405</v>
      </c>
      <c r="DS72" s="2135">
        <f t="shared" si="140"/>
        <v>0.45372899010648265</v>
      </c>
      <c r="DT72" s="2149">
        <v>1.3153343333333334</v>
      </c>
      <c r="DU72" s="2109">
        <f t="shared" si="141"/>
        <v>1.8513235913974222</v>
      </c>
      <c r="DV72" s="2109">
        <v>0.24351094818750008</v>
      </c>
      <c r="DW72" s="2109">
        <v>1.761476758817236</v>
      </c>
      <c r="DX72" s="2109">
        <f t="shared" si="15"/>
        <v>0.231693085824103</v>
      </c>
      <c r="DY72" s="2135"/>
      <c r="DZ72" s="2135"/>
      <c r="EA72" s="2135"/>
      <c r="EB72" s="2135">
        <f t="shared" si="142"/>
        <v>3.6128003502146577</v>
      </c>
      <c r="EC72" s="2135">
        <f t="shared" si="143"/>
        <v>0.47520403401160305</v>
      </c>
      <c r="ED72" s="2135"/>
      <c r="EE72" s="2106">
        <f t="shared" si="144"/>
        <v>17.859387284946237</v>
      </c>
      <c r="EF72" s="2106">
        <f t="shared" si="151"/>
        <v>1.6361879227027458</v>
      </c>
      <c r="EG72" s="2106">
        <f t="shared" si="145"/>
        <v>2.9221313782500018</v>
      </c>
      <c r="EH72" s="2106">
        <f t="shared" si="146"/>
        <v>1.7614767588172358</v>
      </c>
      <c r="EI72" s="2106">
        <f t="shared" si="147"/>
        <v>3.1458895629148853</v>
      </c>
      <c r="EJ72" s="2106"/>
      <c r="EK72" s="2106"/>
      <c r="EL72" s="2106"/>
      <c r="EM72" s="2106">
        <f t="shared" si="148"/>
        <v>3.3976646815199816</v>
      </c>
      <c r="EN72" s="2106">
        <f t="shared" si="149"/>
        <v>6.0680209411648871</v>
      </c>
      <c r="EO72" s="2106">
        <f t="shared" si="154"/>
        <v>3.3976646815199816</v>
      </c>
      <c r="EP72" s="2114">
        <f t="shared" si="155"/>
        <v>3.5198158285229137</v>
      </c>
      <c r="EQ72" s="2224"/>
      <c r="ER72" s="2210"/>
      <c r="ES72" s="2209" t="e">
        <v>#N/A</v>
      </c>
      <c r="ET72" s="2241"/>
      <c r="EU72" s="2230"/>
      <c r="EV72" s="2241"/>
      <c r="EW72" s="2241"/>
      <c r="EX72" s="2241"/>
      <c r="EY72" s="2244"/>
      <c r="EZ72" s="2244"/>
      <c r="FA72" s="2244"/>
      <c r="FB72" s="2242"/>
      <c r="FC72" s="2243"/>
      <c r="FD72" s="2243"/>
      <c r="FE72" s="2243"/>
      <c r="FF72" s="2243"/>
      <c r="FG72" s="2243"/>
      <c r="FH72" s="2243"/>
      <c r="FI72" s="2243"/>
    </row>
    <row r="73" spans="1:165">
      <c r="A73" s="2220">
        <v>31</v>
      </c>
      <c r="B73" s="2227" t="s">
        <v>1707</v>
      </c>
      <c r="C73" s="2146">
        <v>500</v>
      </c>
      <c r="D73" s="2147">
        <f t="shared" si="150"/>
        <v>2.82E-3</v>
      </c>
      <c r="E73" s="2146"/>
      <c r="F73" s="2148"/>
      <c r="G73" s="2146">
        <v>1.41</v>
      </c>
      <c r="H73" s="2149" t="s">
        <v>1649</v>
      </c>
      <c r="I73" s="2229">
        <v>1</v>
      </c>
      <c r="J73" s="2149">
        <v>9.1743385133333337</v>
      </c>
      <c r="K73" s="2148">
        <v>3.4703846153846141E-2</v>
      </c>
      <c r="L73" s="2151"/>
      <c r="M73" s="2152">
        <f t="shared" si="107"/>
        <v>8.8559536810033084</v>
      </c>
      <c r="N73" s="2149">
        <v>0.57182699999999986</v>
      </c>
      <c r="O73" s="2109">
        <f t="shared" si="108"/>
        <v>2.4551738703314121</v>
      </c>
      <c r="P73" s="2109">
        <v>0.14039347087500001</v>
      </c>
      <c r="Q73" s="2109">
        <v>1.8055008206860572</v>
      </c>
      <c r="R73" s="2109">
        <f t="shared" si="4"/>
        <v>0.10324341177904457</v>
      </c>
      <c r="S73" s="2109"/>
      <c r="T73" s="2109"/>
      <c r="U73" s="2109"/>
      <c r="V73" s="2109">
        <f t="shared" si="109"/>
        <v>4.2606746910174698</v>
      </c>
      <c r="W73" s="2109">
        <f t="shared" si="110"/>
        <v>0.2436368826540446</v>
      </c>
      <c r="X73" s="2149">
        <v>0.85032099999999988</v>
      </c>
      <c r="Y73" s="2109">
        <f t="shared" si="111"/>
        <v>1.6510643730426513</v>
      </c>
      <c r="Z73" s="2109">
        <v>0.14039347087500001</v>
      </c>
      <c r="AA73" s="2109">
        <v>1.8055008206860572</v>
      </c>
      <c r="AB73" s="2109">
        <f t="shared" si="5"/>
        <v>0.15352552633465885</v>
      </c>
      <c r="AC73" s="2135"/>
      <c r="AD73" s="2135"/>
      <c r="AE73" s="2135"/>
      <c r="AF73" s="2135">
        <f t="shared" si="112"/>
        <v>3.4565651937287085</v>
      </c>
      <c r="AG73" s="2135">
        <f t="shared" si="113"/>
        <v>0.29391899720965886</v>
      </c>
      <c r="AH73" s="2149">
        <v>0.84743820000000003</v>
      </c>
      <c r="AI73" s="2109">
        <f t="shared" si="114"/>
        <v>1.6566809340787327</v>
      </c>
      <c r="AJ73" s="2109">
        <v>0.14039347087500001</v>
      </c>
      <c r="AK73" s="2109">
        <v>1.8055008206860572</v>
      </c>
      <c r="AL73" s="2109">
        <f t="shared" si="6"/>
        <v>0.15300503655807152</v>
      </c>
      <c r="AM73" s="2135"/>
      <c r="AN73" s="2135"/>
      <c r="AO73" s="2135"/>
      <c r="AP73" s="2135">
        <f t="shared" si="115"/>
        <v>3.46218175476479</v>
      </c>
      <c r="AQ73" s="2135">
        <f t="shared" si="116"/>
        <v>0.2933985074330715</v>
      </c>
      <c r="AR73" s="2149">
        <v>0.87568614</v>
      </c>
      <c r="AS73" s="2109">
        <f t="shared" si="117"/>
        <v>1.6032396136245803</v>
      </c>
      <c r="AT73" s="2109">
        <v>0.14039347087500001</v>
      </c>
      <c r="AU73" s="2109">
        <v>1.8055008206860572</v>
      </c>
      <c r="AV73" s="2109">
        <f t="shared" si="7"/>
        <v>0.15810520444334056</v>
      </c>
      <c r="AW73" s="2135"/>
      <c r="AX73" s="2135"/>
      <c r="AY73" s="2135"/>
      <c r="AZ73" s="2135">
        <f t="shared" si="118"/>
        <v>3.4087404343106376</v>
      </c>
      <c r="BA73" s="2135">
        <f t="shared" si="119"/>
        <v>0.29849867531834057</v>
      </c>
      <c r="BB73" s="2149">
        <v>0.87568614</v>
      </c>
      <c r="BC73" s="2109">
        <f t="shared" si="120"/>
        <v>1.6032396136245803</v>
      </c>
      <c r="BD73" s="2109">
        <v>0.14039347087500001</v>
      </c>
      <c r="BE73" s="2109">
        <v>1.8055008206860572</v>
      </c>
      <c r="BF73" s="2109">
        <f t="shared" si="8"/>
        <v>0.15810520444334056</v>
      </c>
      <c r="BG73" s="2135"/>
      <c r="BH73" s="2135"/>
      <c r="BI73" s="2135"/>
      <c r="BJ73" s="2135">
        <f t="shared" si="121"/>
        <v>3.4087404343106376</v>
      </c>
      <c r="BK73" s="2135">
        <f t="shared" si="122"/>
        <v>0.29849867531834057</v>
      </c>
      <c r="BL73" s="2149">
        <v>0.84743820000000003</v>
      </c>
      <c r="BM73" s="2109">
        <f t="shared" si="123"/>
        <v>1.6566809340787327</v>
      </c>
      <c r="BN73" s="2109">
        <v>0.14039347087500001</v>
      </c>
      <c r="BO73" s="2109">
        <v>1.8055008206860572</v>
      </c>
      <c r="BP73" s="2109">
        <f t="shared" si="9"/>
        <v>0.15300503655807152</v>
      </c>
      <c r="BQ73" s="2135"/>
      <c r="BR73" s="2135"/>
      <c r="BS73" s="2135"/>
      <c r="BT73" s="2135">
        <f t="shared" si="124"/>
        <v>3.46218175476479</v>
      </c>
      <c r="BU73" s="2135">
        <f t="shared" si="125"/>
        <v>0.2933985074330715</v>
      </c>
      <c r="BV73" s="2149">
        <v>0.77746675000000021</v>
      </c>
      <c r="BW73" s="2109">
        <f t="shared" si="126"/>
        <v>1.8057810301855348</v>
      </c>
      <c r="BX73" s="2109">
        <v>0.14039347087500001</v>
      </c>
      <c r="BY73" s="2109">
        <v>1.8055008206860572</v>
      </c>
      <c r="BZ73" s="2109">
        <f t="shared" si="10"/>
        <v>0.14037168551811222</v>
      </c>
      <c r="CA73" s="2135"/>
      <c r="CB73" s="2135"/>
      <c r="CC73" s="2135"/>
      <c r="CD73" s="2135">
        <f t="shared" si="127"/>
        <v>3.6112818508715923</v>
      </c>
      <c r="CE73" s="2135">
        <f t="shared" si="128"/>
        <v>0.28076515639311223</v>
      </c>
      <c r="CF73" s="2149">
        <v>0.77946925000000011</v>
      </c>
      <c r="CG73" s="2109">
        <f t="shared" si="129"/>
        <v>1.8011418779509261</v>
      </c>
      <c r="CH73" s="2109">
        <v>0.14039347087500001</v>
      </c>
      <c r="CI73" s="2109">
        <v>1.8055008206860572</v>
      </c>
      <c r="CJ73" s="2109">
        <f t="shared" si="11"/>
        <v>0.14073323705745458</v>
      </c>
      <c r="CK73" s="2135"/>
      <c r="CL73" s="2135"/>
      <c r="CM73" s="2135"/>
      <c r="CN73" s="2135">
        <f t="shared" si="130"/>
        <v>3.6066426986369833</v>
      </c>
      <c r="CO73" s="2135">
        <f t="shared" si="131"/>
        <v>0.28112670793245459</v>
      </c>
      <c r="CP73" s="2149">
        <v>0.82005666666666666</v>
      </c>
      <c r="CQ73" s="2109">
        <f t="shared" si="132"/>
        <v>1.7119971897267263</v>
      </c>
      <c r="CR73" s="2109">
        <v>0.14039347087500001</v>
      </c>
      <c r="CS73" s="2109">
        <v>1.8055008206860572</v>
      </c>
      <c r="CT73" s="2109">
        <f t="shared" si="12"/>
        <v>0.14806129846757393</v>
      </c>
      <c r="CU73" s="2135"/>
      <c r="CV73" s="2135"/>
      <c r="CW73" s="2135"/>
      <c r="CX73" s="2135">
        <f t="shared" si="133"/>
        <v>3.5174980104127842</v>
      </c>
      <c r="CY73" s="2135">
        <f t="shared" si="134"/>
        <v>0.28845476934257397</v>
      </c>
      <c r="CZ73" s="2149">
        <v>0.66313883333333346</v>
      </c>
      <c r="DA73" s="2109">
        <f t="shared" si="135"/>
        <v>2.1171052548573912</v>
      </c>
      <c r="DB73" s="2109">
        <v>0.14039347087500001</v>
      </c>
      <c r="DC73" s="2109">
        <v>1.8055008206860572</v>
      </c>
      <c r="DD73" s="2109">
        <f t="shared" si="13"/>
        <v>0.1197297707812128</v>
      </c>
      <c r="DE73" s="2135"/>
      <c r="DF73" s="2135"/>
      <c r="DG73" s="2135"/>
      <c r="DH73" s="2135">
        <f t="shared" si="136"/>
        <v>3.9226060755434484</v>
      </c>
      <c r="DI73" s="2135">
        <f t="shared" si="137"/>
        <v>0.26012324165621281</v>
      </c>
      <c r="DJ73" s="2149">
        <v>0.5062726666666667</v>
      </c>
      <c r="DK73" s="2109">
        <f t="shared" si="138"/>
        <v>2.7730802020057705</v>
      </c>
      <c r="DL73" s="2109">
        <v>0.14039347087500001</v>
      </c>
      <c r="DM73" s="2109">
        <v>1.8055008206860572</v>
      </c>
      <c r="DN73" s="2109">
        <f t="shared" si="14"/>
        <v>9.140757151575854E-2</v>
      </c>
      <c r="DO73" s="2135"/>
      <c r="DP73" s="2135"/>
      <c r="DQ73" s="2135"/>
      <c r="DR73" s="2135">
        <f t="shared" si="139"/>
        <v>4.5785810226918269</v>
      </c>
      <c r="DS73" s="2135">
        <f t="shared" si="140"/>
        <v>0.23180104239075855</v>
      </c>
      <c r="DT73" s="2149">
        <v>0.75953766666666678</v>
      </c>
      <c r="DU73" s="2109">
        <f t="shared" si="141"/>
        <v>1.8484069590799312</v>
      </c>
      <c r="DV73" s="2109">
        <v>0.14039347087500001</v>
      </c>
      <c r="DW73" s="2109">
        <v>1.8055008206860572</v>
      </c>
      <c r="DX73" s="2109">
        <f t="shared" si="15"/>
        <v>0.13713458805086398</v>
      </c>
      <c r="DY73" s="2135"/>
      <c r="DZ73" s="2135"/>
      <c r="EA73" s="2135"/>
      <c r="EB73" s="2135">
        <f t="shared" si="142"/>
        <v>3.653907779765988</v>
      </c>
      <c r="EC73" s="2135">
        <f t="shared" si="143"/>
        <v>0.27752805892586396</v>
      </c>
      <c r="ED73" s="2135"/>
      <c r="EE73" s="2106">
        <f t="shared" si="144"/>
        <v>9.1743385133333337</v>
      </c>
      <c r="EF73" s="2106">
        <f t="shared" si="151"/>
        <v>1.8363412774136745</v>
      </c>
      <c r="EG73" s="2106">
        <f t="shared" si="145"/>
        <v>1.6847216505000004</v>
      </c>
      <c r="EH73" s="2106">
        <f t="shared" si="146"/>
        <v>1.8055008206860577</v>
      </c>
      <c r="EI73" s="2106">
        <f t="shared" si="147"/>
        <v>1.6564275715075039</v>
      </c>
      <c r="EJ73" s="2106"/>
      <c r="EK73" s="2106"/>
      <c r="EL73" s="2106"/>
      <c r="EM73" s="2106">
        <f t="shared" si="148"/>
        <v>3.6418420980997324</v>
      </c>
      <c r="EN73" s="2106">
        <f t="shared" si="149"/>
        <v>3.3411492220075045</v>
      </c>
      <c r="EO73" s="2106">
        <f t="shared" si="154"/>
        <v>3.6418420980997324</v>
      </c>
      <c r="EP73" s="2114">
        <f t="shared" si="155"/>
        <v>3.7727717898689135</v>
      </c>
      <c r="EQ73" s="2224"/>
      <c r="ER73" s="2210"/>
      <c r="ES73" s="2209" t="e">
        <v>#N/A</v>
      </c>
      <c r="ET73" s="2241"/>
      <c r="EU73" s="2230"/>
      <c r="EV73" s="2241"/>
      <c r="EW73" s="2241"/>
      <c r="EX73" s="2241"/>
      <c r="EY73" s="2244"/>
      <c r="EZ73" s="2244"/>
      <c r="FA73" s="2244"/>
      <c r="FB73" s="2242"/>
      <c r="FC73" s="2243"/>
      <c r="FD73" s="2243"/>
      <c r="FE73" s="2243"/>
      <c r="FF73" s="2243"/>
      <c r="FG73" s="2243"/>
      <c r="FH73" s="2243"/>
      <c r="FI73" s="2243"/>
    </row>
    <row r="74" spans="1:165">
      <c r="A74" s="1797">
        <v>32</v>
      </c>
      <c r="B74" s="2227" t="s">
        <v>1854</v>
      </c>
      <c r="C74" s="1882">
        <v>1320</v>
      </c>
      <c r="D74" s="2134">
        <f t="shared" si="150"/>
        <v>0.71474000000000004</v>
      </c>
      <c r="E74" s="1882"/>
      <c r="F74" s="2247" t="e">
        <v>#N/A</v>
      </c>
      <c r="G74" s="1882">
        <v>943.45680000000004</v>
      </c>
      <c r="H74" s="2248" t="s">
        <v>1649</v>
      </c>
      <c r="I74" s="2249">
        <v>2</v>
      </c>
      <c r="J74" s="2248">
        <v>2775.3961157208005</v>
      </c>
      <c r="K74" s="2247"/>
      <c r="L74" s="2250"/>
      <c r="M74" s="2106">
        <f t="shared" si="107"/>
        <v>2775.3961157208005</v>
      </c>
      <c r="N74" s="2248">
        <v>0</v>
      </c>
      <c r="O74" s="2135">
        <f t="shared" si="108"/>
        <v>0</v>
      </c>
      <c r="P74" s="2135">
        <v>43.675590291374995</v>
      </c>
      <c r="Q74" s="2135">
        <v>2.8404270543497447</v>
      </c>
      <c r="R74" s="2135">
        <f t="shared" si="4"/>
        <v>0</v>
      </c>
      <c r="S74" s="2135"/>
      <c r="T74" s="2135"/>
      <c r="U74" s="2135"/>
      <c r="V74" s="2135">
        <f t="shared" si="109"/>
        <v>0</v>
      </c>
      <c r="W74" s="2135">
        <f t="shared" si="110"/>
        <v>43.675590291374995</v>
      </c>
      <c r="X74" s="2248">
        <v>562.33516070159999</v>
      </c>
      <c r="Y74" s="2135">
        <f t="shared" si="111"/>
        <v>0.77668254350097821</v>
      </c>
      <c r="Z74" s="2135">
        <v>43.675590291374995</v>
      </c>
      <c r="AA74" s="2135">
        <v>2.8404270543497447</v>
      </c>
      <c r="AB74" s="2135">
        <f t="shared" si="5"/>
        <v>159.72720040689359</v>
      </c>
      <c r="AC74" s="2135"/>
      <c r="AD74" s="2135"/>
      <c r="AE74" s="2135"/>
      <c r="AF74" s="2135">
        <f t="shared" si="112"/>
        <v>3.6171095978507224</v>
      </c>
      <c r="AG74" s="2135">
        <f t="shared" si="113"/>
        <v>203.40279069826857</v>
      </c>
      <c r="AH74" s="2248">
        <v>544.19531680800014</v>
      </c>
      <c r="AI74" s="2135">
        <f t="shared" si="114"/>
        <v>0.80257196161767719</v>
      </c>
      <c r="AJ74" s="2135">
        <v>43.675590291374995</v>
      </c>
      <c r="AK74" s="2135">
        <v>2.8404270543497447</v>
      </c>
      <c r="AL74" s="2135">
        <f t="shared" si="6"/>
        <v>154.57471007118741</v>
      </c>
      <c r="AM74" s="2135"/>
      <c r="AN74" s="2135"/>
      <c r="AO74" s="2135"/>
      <c r="AP74" s="2135">
        <f t="shared" si="115"/>
        <v>3.6429990159674217</v>
      </c>
      <c r="AQ74" s="2135">
        <f t="shared" si="116"/>
        <v>198.2503003625624</v>
      </c>
      <c r="AR74" s="2248">
        <v>562.33516070159999</v>
      </c>
      <c r="AS74" s="2135">
        <f t="shared" si="117"/>
        <v>0.77668254350097821</v>
      </c>
      <c r="AT74" s="2135">
        <v>43.675590291374995</v>
      </c>
      <c r="AU74" s="2135">
        <v>2.8404270543497447</v>
      </c>
      <c r="AV74" s="2135">
        <f t="shared" si="7"/>
        <v>159.72720040689359</v>
      </c>
      <c r="AW74" s="2135"/>
      <c r="AX74" s="2135"/>
      <c r="AY74" s="2135"/>
      <c r="AZ74" s="2135">
        <f t="shared" si="118"/>
        <v>3.6171095978507224</v>
      </c>
      <c r="BA74" s="2135">
        <f t="shared" si="119"/>
        <v>203.40279069826857</v>
      </c>
      <c r="BB74" s="2248">
        <v>562.33516070159999</v>
      </c>
      <c r="BC74" s="2135">
        <f t="shared" si="120"/>
        <v>0.77668254350097821</v>
      </c>
      <c r="BD74" s="2135">
        <v>43.675590291374995</v>
      </c>
      <c r="BE74" s="2135">
        <v>2.8404270543497447</v>
      </c>
      <c r="BF74" s="2135">
        <f t="shared" si="8"/>
        <v>159.72720040689359</v>
      </c>
      <c r="BG74" s="2135"/>
      <c r="BH74" s="2135"/>
      <c r="BI74" s="2135"/>
      <c r="BJ74" s="2135">
        <f t="shared" si="121"/>
        <v>3.6171095978507224</v>
      </c>
      <c r="BK74" s="2135">
        <f t="shared" si="122"/>
        <v>203.40279069826857</v>
      </c>
      <c r="BL74" s="2248">
        <v>544.19531680800014</v>
      </c>
      <c r="BM74" s="2135">
        <f t="shared" si="123"/>
        <v>0.80257196161767719</v>
      </c>
      <c r="BN74" s="2135">
        <v>43.675590291374995</v>
      </c>
      <c r="BO74" s="2135">
        <v>2.8404270543497447</v>
      </c>
      <c r="BP74" s="2135">
        <f t="shared" si="9"/>
        <v>154.57471007118741</v>
      </c>
      <c r="BQ74" s="2135"/>
      <c r="BR74" s="2135"/>
      <c r="BS74" s="2135"/>
      <c r="BT74" s="2135">
        <f t="shared" si="124"/>
        <v>3.6429990159674217</v>
      </c>
      <c r="BU74" s="2135">
        <f t="shared" si="125"/>
        <v>198.2503003625624</v>
      </c>
      <c r="BV74" s="2248">
        <v>0</v>
      </c>
      <c r="BW74" s="2135">
        <f t="shared" si="126"/>
        <v>0</v>
      </c>
      <c r="BX74" s="2135">
        <v>43.675590291374995</v>
      </c>
      <c r="BY74" s="2135">
        <v>2.8404270543497447</v>
      </c>
      <c r="BZ74" s="2135">
        <f t="shared" si="10"/>
        <v>0</v>
      </c>
      <c r="CA74" s="2135"/>
      <c r="CB74" s="2135"/>
      <c r="CC74" s="2135"/>
      <c r="CD74" s="2135">
        <f t="shared" si="127"/>
        <v>0</v>
      </c>
      <c r="CE74" s="2135">
        <f t="shared" si="128"/>
        <v>43.675590291374995</v>
      </c>
      <c r="CF74" s="2248">
        <v>0</v>
      </c>
      <c r="CG74" s="2135">
        <f t="shared" si="129"/>
        <v>0</v>
      </c>
      <c r="CH74" s="2135">
        <v>43.675590291374995</v>
      </c>
      <c r="CI74" s="2135">
        <v>2.8404270543497447</v>
      </c>
      <c r="CJ74" s="2135">
        <f t="shared" si="11"/>
        <v>0</v>
      </c>
      <c r="CK74" s="2135"/>
      <c r="CL74" s="2135"/>
      <c r="CM74" s="2135"/>
      <c r="CN74" s="2135">
        <f t="shared" si="130"/>
        <v>0</v>
      </c>
      <c r="CO74" s="2135">
        <f t="shared" si="131"/>
        <v>43.675590291374995</v>
      </c>
      <c r="CP74" s="2248">
        <v>0</v>
      </c>
      <c r="CQ74" s="2135">
        <f t="shared" si="132"/>
        <v>0</v>
      </c>
      <c r="CR74" s="2135">
        <v>43.675590291374995</v>
      </c>
      <c r="CS74" s="2135">
        <v>2.8404270543497447</v>
      </c>
      <c r="CT74" s="2135">
        <f t="shared" si="12"/>
        <v>0</v>
      </c>
      <c r="CU74" s="2135"/>
      <c r="CV74" s="2135"/>
      <c r="CW74" s="2135"/>
      <c r="CX74" s="2135">
        <f t="shared" si="133"/>
        <v>0</v>
      </c>
      <c r="CY74" s="2135">
        <f t="shared" si="134"/>
        <v>43.675590291374995</v>
      </c>
      <c r="CZ74" s="2248">
        <v>0</v>
      </c>
      <c r="DA74" s="2135">
        <f t="shared" si="135"/>
        <v>0</v>
      </c>
      <c r="DB74" s="2135">
        <v>43.675590291374995</v>
      </c>
      <c r="DC74" s="2135">
        <v>2.8404270543497447</v>
      </c>
      <c r="DD74" s="2135">
        <f t="shared" si="13"/>
        <v>0</v>
      </c>
      <c r="DE74" s="2135"/>
      <c r="DF74" s="2135"/>
      <c r="DG74" s="2135"/>
      <c r="DH74" s="2135">
        <f t="shared" si="136"/>
        <v>0</v>
      </c>
      <c r="DI74" s="2135">
        <f t="shared" si="137"/>
        <v>43.675590291374995</v>
      </c>
      <c r="DJ74" s="2248">
        <v>0</v>
      </c>
      <c r="DK74" s="2135">
        <f t="shared" si="138"/>
        <v>0</v>
      </c>
      <c r="DL74" s="2135">
        <v>43.675590291374995</v>
      </c>
      <c r="DM74" s="2135">
        <v>2.8404270543497447</v>
      </c>
      <c r="DN74" s="2135">
        <f t="shared" si="14"/>
        <v>0</v>
      </c>
      <c r="DO74" s="2135"/>
      <c r="DP74" s="2135"/>
      <c r="DQ74" s="2135"/>
      <c r="DR74" s="2135">
        <f t="shared" si="139"/>
        <v>0</v>
      </c>
      <c r="DS74" s="2135">
        <f t="shared" si="140"/>
        <v>43.675590291374995</v>
      </c>
      <c r="DT74" s="2248">
        <v>0</v>
      </c>
      <c r="DU74" s="2135">
        <f t="shared" si="141"/>
        <v>0</v>
      </c>
      <c r="DV74" s="2135">
        <v>43.675590291374995</v>
      </c>
      <c r="DW74" s="2135">
        <v>2.8404270543497447</v>
      </c>
      <c r="DX74" s="2135">
        <f t="shared" si="15"/>
        <v>0</v>
      </c>
      <c r="DY74" s="2135"/>
      <c r="DZ74" s="2135"/>
      <c r="EA74" s="2135"/>
      <c r="EB74" s="2135">
        <f t="shared" si="142"/>
        <v>0</v>
      </c>
      <c r="EC74" s="2135">
        <f t="shared" si="143"/>
        <v>43.675590291374995</v>
      </c>
      <c r="ED74" s="2135"/>
      <c r="EE74" s="2106">
        <f t="shared" si="144"/>
        <v>2775.3961157208005</v>
      </c>
      <c r="EF74" s="2106">
        <f t="shared" si="151"/>
        <v>1.8884046155710055</v>
      </c>
      <c r="EG74" s="2106">
        <f t="shared" si="145"/>
        <v>524.10708349649997</v>
      </c>
      <c r="EH74" s="2106">
        <f t="shared" si="146"/>
        <v>2.8404270543497443</v>
      </c>
      <c r="EI74" s="2106">
        <f t="shared" si="147"/>
        <v>788.33102136305558</v>
      </c>
      <c r="EJ74" s="2106"/>
      <c r="EK74" s="2106"/>
      <c r="EL74" s="2106"/>
      <c r="EM74" s="2106">
        <f t="shared" si="148"/>
        <v>4.7288316699207495</v>
      </c>
      <c r="EN74" s="2106">
        <f t="shared" si="149"/>
        <v>1312.4381048595556</v>
      </c>
      <c r="EO74" s="2106">
        <f>EN74/J74*10</f>
        <v>4.7288316699207495</v>
      </c>
      <c r="EP74" s="2106">
        <f>EN74/M74*10</f>
        <v>4.7288316699207495</v>
      </c>
      <c r="EQ74" s="2224"/>
      <c r="ES74" s="2209" t="e">
        <v>#N/A</v>
      </c>
      <c r="ET74" s="2241"/>
      <c r="EU74" s="2230"/>
      <c r="EV74" s="2241"/>
      <c r="EW74" s="2241"/>
      <c r="EX74" s="2241"/>
      <c r="EY74" s="2244"/>
      <c r="EZ74" s="2244"/>
      <c r="FA74" s="2244"/>
      <c r="FB74" s="2242"/>
      <c r="FC74" s="2243"/>
      <c r="FD74" s="2243"/>
      <c r="FE74" s="2243"/>
      <c r="FF74" s="2243"/>
      <c r="FG74" s="2243"/>
      <c r="FH74" s="2243"/>
      <c r="FI74" s="2243"/>
    </row>
    <row r="75" spans="1:165">
      <c r="A75" s="2220">
        <v>33</v>
      </c>
      <c r="B75" s="2227" t="s">
        <v>1779</v>
      </c>
      <c r="C75" s="2146">
        <v>1320</v>
      </c>
      <c r="D75" s="2147">
        <f t="shared" si="150"/>
        <v>0.15834090909090909</v>
      </c>
      <c r="E75" s="2146"/>
      <c r="F75" s="2148">
        <v>0.84999999999999976</v>
      </c>
      <c r="G75" s="2146">
        <v>209.01</v>
      </c>
      <c r="H75" s="2149" t="s">
        <v>1649</v>
      </c>
      <c r="I75" s="2229">
        <v>1</v>
      </c>
      <c r="J75" s="2149">
        <v>1466.8018735499998</v>
      </c>
      <c r="K75" s="2148">
        <v>3.4703846153846141E-2</v>
      </c>
      <c r="L75" s="2151"/>
      <c r="M75" s="2152">
        <f t="shared" si="107"/>
        <v>1415.8982069921474</v>
      </c>
      <c r="N75" s="2149">
        <v>120.5590581</v>
      </c>
      <c r="O75" s="2109">
        <f t="shared" si="108"/>
        <v>1.0785170525482066</v>
      </c>
      <c r="P75" s="2109">
        <v>13.0025</v>
      </c>
      <c r="Q75" s="2109">
        <v>2.1819690596628032</v>
      </c>
      <c r="R75" s="2109">
        <f t="shared" si="4"/>
        <v>26.305613463629026</v>
      </c>
      <c r="S75" s="2109"/>
      <c r="T75" s="2109"/>
      <c r="U75" s="2109"/>
      <c r="V75" s="2109">
        <f t="shared" si="109"/>
        <v>3.26048611221101</v>
      </c>
      <c r="W75" s="2109">
        <f t="shared" si="110"/>
        <v>39.308113463629027</v>
      </c>
      <c r="X75" s="2149">
        <v>124.57769336999999</v>
      </c>
      <c r="Y75" s="2109">
        <f t="shared" si="111"/>
        <v>1.0437261798853612</v>
      </c>
      <c r="Z75" s="2109">
        <v>13.0025</v>
      </c>
      <c r="AA75" s="2109">
        <v>2.1819690596628032</v>
      </c>
      <c r="AB75" s="2109">
        <f t="shared" si="5"/>
        <v>27.18246724574999</v>
      </c>
      <c r="AC75" s="2135"/>
      <c r="AD75" s="2135"/>
      <c r="AE75" s="2135"/>
      <c r="AF75" s="2135">
        <f t="shared" si="112"/>
        <v>3.2256952395481644</v>
      </c>
      <c r="AG75" s="2135">
        <f t="shared" si="113"/>
        <v>40.184967245749988</v>
      </c>
      <c r="AH75" s="2149">
        <v>120.5590581</v>
      </c>
      <c r="AI75" s="2109">
        <f t="shared" si="114"/>
        <v>1.0785170525482066</v>
      </c>
      <c r="AJ75" s="2109">
        <v>13.0025</v>
      </c>
      <c r="AK75" s="2109">
        <v>2.1819690596628032</v>
      </c>
      <c r="AL75" s="2109">
        <f t="shared" si="6"/>
        <v>26.305613463629026</v>
      </c>
      <c r="AM75" s="2135"/>
      <c r="AN75" s="2135"/>
      <c r="AO75" s="2135"/>
      <c r="AP75" s="2135">
        <f t="shared" si="115"/>
        <v>3.26048611221101</v>
      </c>
      <c r="AQ75" s="2135">
        <f t="shared" si="116"/>
        <v>39.308113463629027</v>
      </c>
      <c r="AR75" s="2149">
        <v>124.57769336999999</v>
      </c>
      <c r="AS75" s="2109">
        <f t="shared" si="117"/>
        <v>1.0437261798853612</v>
      </c>
      <c r="AT75" s="2109">
        <v>13.0025</v>
      </c>
      <c r="AU75" s="2109">
        <v>2.1819690596628032</v>
      </c>
      <c r="AV75" s="2109">
        <f t="shared" si="7"/>
        <v>27.18246724574999</v>
      </c>
      <c r="AW75" s="2135"/>
      <c r="AX75" s="2135"/>
      <c r="AY75" s="2135"/>
      <c r="AZ75" s="2135">
        <f t="shared" si="118"/>
        <v>3.2256952395481644</v>
      </c>
      <c r="BA75" s="2135">
        <f t="shared" si="119"/>
        <v>40.184967245749988</v>
      </c>
      <c r="BB75" s="2149">
        <v>124.57769336999999</v>
      </c>
      <c r="BC75" s="2109">
        <f t="shared" si="120"/>
        <v>1.0437261798853612</v>
      </c>
      <c r="BD75" s="2109">
        <v>13.0025</v>
      </c>
      <c r="BE75" s="2109">
        <v>2.1819690596628032</v>
      </c>
      <c r="BF75" s="2109">
        <f t="shared" si="8"/>
        <v>27.18246724574999</v>
      </c>
      <c r="BG75" s="2135"/>
      <c r="BH75" s="2135"/>
      <c r="BI75" s="2135"/>
      <c r="BJ75" s="2135">
        <f t="shared" si="121"/>
        <v>3.2256952395481644</v>
      </c>
      <c r="BK75" s="2135">
        <f t="shared" si="122"/>
        <v>40.184967245749988</v>
      </c>
      <c r="BL75" s="2149">
        <v>120.5590581</v>
      </c>
      <c r="BM75" s="2109">
        <f t="shared" si="123"/>
        <v>1.0785170525482066</v>
      </c>
      <c r="BN75" s="2109">
        <v>13.0025</v>
      </c>
      <c r="BO75" s="2109">
        <v>2.1819690596628032</v>
      </c>
      <c r="BP75" s="2109">
        <f t="shared" si="9"/>
        <v>26.305613463629026</v>
      </c>
      <c r="BQ75" s="2135"/>
      <c r="BR75" s="2135"/>
      <c r="BS75" s="2135"/>
      <c r="BT75" s="2135">
        <f t="shared" si="124"/>
        <v>3.26048611221101</v>
      </c>
      <c r="BU75" s="2135">
        <f t="shared" si="125"/>
        <v>39.308113463629027</v>
      </c>
      <c r="BV75" s="2149">
        <v>124.57769336999999</v>
      </c>
      <c r="BW75" s="2109">
        <f t="shared" si="126"/>
        <v>1.0437261798853612</v>
      </c>
      <c r="BX75" s="2109">
        <v>13.0025</v>
      </c>
      <c r="BY75" s="2109">
        <v>2.1819690596628032</v>
      </c>
      <c r="BZ75" s="2109">
        <f t="shared" si="10"/>
        <v>27.18246724574999</v>
      </c>
      <c r="CA75" s="2135"/>
      <c r="CB75" s="2135"/>
      <c r="CC75" s="2135"/>
      <c r="CD75" s="2135">
        <f t="shared" si="127"/>
        <v>3.2256952395481644</v>
      </c>
      <c r="CE75" s="2135">
        <f t="shared" si="128"/>
        <v>40.184967245749988</v>
      </c>
      <c r="CF75" s="2149">
        <v>120.5590581</v>
      </c>
      <c r="CG75" s="2109">
        <f t="shared" si="129"/>
        <v>1.0785170525482066</v>
      </c>
      <c r="CH75" s="2109">
        <v>13.0025</v>
      </c>
      <c r="CI75" s="2109">
        <v>2.1819690596628032</v>
      </c>
      <c r="CJ75" s="2109">
        <f t="shared" si="11"/>
        <v>26.305613463629026</v>
      </c>
      <c r="CK75" s="2135"/>
      <c r="CL75" s="2135"/>
      <c r="CM75" s="2135"/>
      <c r="CN75" s="2135">
        <f t="shared" si="130"/>
        <v>3.26048611221101</v>
      </c>
      <c r="CO75" s="2135">
        <f t="shared" si="131"/>
        <v>39.308113463629027</v>
      </c>
      <c r="CP75" s="2149">
        <v>124.57769336999999</v>
      </c>
      <c r="CQ75" s="2109">
        <f t="shared" si="132"/>
        <v>1.0437261798853612</v>
      </c>
      <c r="CR75" s="2109">
        <v>13.0025</v>
      </c>
      <c r="CS75" s="2109">
        <v>2.1819690596628032</v>
      </c>
      <c r="CT75" s="2109">
        <f t="shared" si="12"/>
        <v>27.18246724574999</v>
      </c>
      <c r="CU75" s="2135"/>
      <c r="CV75" s="2135"/>
      <c r="CW75" s="2135"/>
      <c r="CX75" s="2135">
        <f t="shared" si="133"/>
        <v>3.2256952395481644</v>
      </c>
      <c r="CY75" s="2135">
        <f t="shared" si="134"/>
        <v>40.184967245749988</v>
      </c>
      <c r="CZ75" s="2149">
        <v>124.57769336999999</v>
      </c>
      <c r="DA75" s="2109">
        <f t="shared" si="135"/>
        <v>1.0437261798853612</v>
      </c>
      <c r="DB75" s="2109">
        <v>13.0025</v>
      </c>
      <c r="DC75" s="2109">
        <v>2.1819690596628032</v>
      </c>
      <c r="DD75" s="2109">
        <f t="shared" si="13"/>
        <v>27.18246724574999</v>
      </c>
      <c r="DE75" s="2135"/>
      <c r="DF75" s="2135"/>
      <c r="DG75" s="2135"/>
      <c r="DH75" s="2135">
        <f t="shared" si="136"/>
        <v>3.2256952395481644</v>
      </c>
      <c r="DI75" s="2135">
        <f t="shared" si="137"/>
        <v>40.184967245749988</v>
      </c>
      <c r="DJ75" s="2149">
        <v>112.52178755999999</v>
      </c>
      <c r="DK75" s="2109">
        <f t="shared" si="138"/>
        <v>1.1555539848730787</v>
      </c>
      <c r="DL75" s="2109">
        <v>13.0025</v>
      </c>
      <c r="DM75" s="2109">
        <v>2.1819690596628032</v>
      </c>
      <c r="DN75" s="2109">
        <f t="shared" si="14"/>
        <v>24.551905899387087</v>
      </c>
      <c r="DO75" s="2135"/>
      <c r="DP75" s="2135"/>
      <c r="DQ75" s="2135"/>
      <c r="DR75" s="2135">
        <f t="shared" si="139"/>
        <v>3.3375230445358817</v>
      </c>
      <c r="DS75" s="2135">
        <f t="shared" si="140"/>
        <v>37.554405899387085</v>
      </c>
      <c r="DT75" s="2149">
        <v>124.57769336999999</v>
      </c>
      <c r="DU75" s="2109">
        <f t="shared" si="141"/>
        <v>1.0437261798853612</v>
      </c>
      <c r="DV75" s="2109">
        <v>13.0025</v>
      </c>
      <c r="DW75" s="2109">
        <v>2.1819690596628032</v>
      </c>
      <c r="DX75" s="2109">
        <f t="shared" si="15"/>
        <v>27.18246724574999</v>
      </c>
      <c r="DY75" s="2135"/>
      <c r="DZ75" s="2135"/>
      <c r="EA75" s="2135"/>
      <c r="EB75" s="2135">
        <f t="shared" si="142"/>
        <v>3.2256952395481644</v>
      </c>
      <c r="EC75" s="2135">
        <f t="shared" si="143"/>
        <v>40.184967245749988</v>
      </c>
      <c r="ED75" s="2135"/>
      <c r="EE75" s="2106">
        <f t="shared" si="144"/>
        <v>1466.8018735499998</v>
      </c>
      <c r="EF75" s="2106">
        <f t="shared" si="151"/>
        <v>1.0637428463489165</v>
      </c>
      <c r="EG75" s="2106">
        <f t="shared" si="145"/>
        <v>156.03</v>
      </c>
      <c r="EH75" s="2106">
        <f t="shared" si="146"/>
        <v>2.1819690596628032</v>
      </c>
      <c r="EI75" s="2106">
        <f t="shared" si="147"/>
        <v>320.05163047415306</v>
      </c>
      <c r="EJ75" s="2106"/>
      <c r="EK75" s="2106"/>
      <c r="EL75" s="2106"/>
      <c r="EM75" s="2106">
        <f t="shared" si="148"/>
        <v>3.245711906011719</v>
      </c>
      <c r="EN75" s="2106">
        <f t="shared" si="149"/>
        <v>476.08163047415303</v>
      </c>
      <c r="EO75" s="2106">
        <f>EN75/J75*10</f>
        <v>3.245711906011719</v>
      </c>
      <c r="EP75" s="2114">
        <f>EN75/M75*10</f>
        <v>3.3624001225731712</v>
      </c>
      <c r="EQ75" s="2224"/>
      <c r="ER75" s="2210"/>
      <c r="ES75" s="2209" t="s">
        <v>1779</v>
      </c>
      <c r="ET75" s="2241"/>
      <c r="EU75" s="2230"/>
      <c r="EV75" s="2241"/>
      <c r="EW75" s="2241"/>
      <c r="EX75" s="2241"/>
      <c r="EY75" s="2244"/>
      <c r="EZ75" s="2244"/>
      <c r="FA75" s="2244"/>
      <c r="FB75" s="2242"/>
      <c r="FC75" s="2243"/>
      <c r="FD75" s="2243"/>
      <c r="FE75" s="2243"/>
      <c r="FF75" s="2243"/>
      <c r="FG75" s="2243"/>
      <c r="FH75" s="2243"/>
      <c r="FI75" s="2243"/>
    </row>
    <row r="76" spans="1:165" s="2256" customFormat="1">
      <c r="A76" s="1797">
        <v>34</v>
      </c>
      <c r="B76" s="2227" t="s">
        <v>1710</v>
      </c>
      <c r="C76" s="2146">
        <v>1500</v>
      </c>
      <c r="D76" s="2147"/>
      <c r="E76" s="2146"/>
      <c r="F76" s="2148">
        <v>0</v>
      </c>
      <c r="G76" s="2146">
        <v>0</v>
      </c>
      <c r="H76" s="2149" t="s">
        <v>1649</v>
      </c>
      <c r="I76" s="2229"/>
      <c r="J76" s="2149">
        <v>0</v>
      </c>
      <c r="K76" s="2148">
        <v>3.7650000000000003E-2</v>
      </c>
      <c r="L76" s="2151"/>
      <c r="M76" s="2152">
        <f t="shared" si="107"/>
        <v>0</v>
      </c>
      <c r="N76" s="2149">
        <v>0</v>
      </c>
      <c r="O76" s="2109">
        <f t="shared" si="108"/>
        <v>0</v>
      </c>
      <c r="P76" s="2109">
        <v>0</v>
      </c>
      <c r="Q76" s="2109">
        <v>0</v>
      </c>
      <c r="R76" s="2109">
        <f t="shared" si="4"/>
        <v>0</v>
      </c>
      <c r="S76" s="2109"/>
      <c r="T76" s="2109"/>
      <c r="U76" s="2109"/>
      <c r="V76" s="2109">
        <f t="shared" si="109"/>
        <v>0</v>
      </c>
      <c r="W76" s="2109">
        <f t="shared" si="110"/>
        <v>0</v>
      </c>
      <c r="X76" s="2149">
        <v>0</v>
      </c>
      <c r="Y76" s="2109">
        <f t="shared" si="111"/>
        <v>0</v>
      </c>
      <c r="Z76" s="2109">
        <v>0</v>
      </c>
      <c r="AA76" s="2109">
        <v>0</v>
      </c>
      <c r="AB76" s="2109">
        <f t="shared" si="5"/>
        <v>0</v>
      </c>
      <c r="AC76" s="2135"/>
      <c r="AD76" s="2135"/>
      <c r="AE76" s="2135"/>
      <c r="AF76" s="2135">
        <f t="shared" si="112"/>
        <v>0</v>
      </c>
      <c r="AG76" s="2135">
        <f t="shared" si="113"/>
        <v>0</v>
      </c>
      <c r="AH76" s="2149">
        <v>0</v>
      </c>
      <c r="AI76" s="2109">
        <f t="shared" si="114"/>
        <v>0</v>
      </c>
      <c r="AJ76" s="2109">
        <v>0</v>
      </c>
      <c r="AK76" s="2109">
        <v>0</v>
      </c>
      <c r="AL76" s="2109">
        <f t="shared" si="6"/>
        <v>0</v>
      </c>
      <c r="AM76" s="2135"/>
      <c r="AN76" s="2135"/>
      <c r="AO76" s="2135"/>
      <c r="AP76" s="2135">
        <f t="shared" si="115"/>
        <v>0</v>
      </c>
      <c r="AQ76" s="2135">
        <f t="shared" si="116"/>
        <v>0</v>
      </c>
      <c r="AR76" s="2149">
        <v>0</v>
      </c>
      <c r="AS76" s="2109">
        <f t="shared" si="117"/>
        <v>0</v>
      </c>
      <c r="AT76" s="2109">
        <v>0</v>
      </c>
      <c r="AU76" s="2109">
        <v>0</v>
      </c>
      <c r="AV76" s="2109">
        <f t="shared" si="7"/>
        <v>0</v>
      </c>
      <c r="AW76" s="2135"/>
      <c r="AX76" s="2135"/>
      <c r="AY76" s="2135"/>
      <c r="AZ76" s="2135">
        <f t="shared" si="118"/>
        <v>0</v>
      </c>
      <c r="BA76" s="2135">
        <f t="shared" si="119"/>
        <v>0</v>
      </c>
      <c r="BB76" s="2149">
        <v>0</v>
      </c>
      <c r="BC76" s="2109">
        <f t="shared" si="120"/>
        <v>0</v>
      </c>
      <c r="BD76" s="2109">
        <v>0</v>
      </c>
      <c r="BE76" s="2109">
        <v>0</v>
      </c>
      <c r="BF76" s="2109">
        <f t="shared" si="8"/>
        <v>0</v>
      </c>
      <c r="BG76" s="2135"/>
      <c r="BH76" s="2135"/>
      <c r="BI76" s="2135"/>
      <c r="BJ76" s="2135">
        <f t="shared" si="121"/>
        <v>0</v>
      </c>
      <c r="BK76" s="2135">
        <f t="shared" si="122"/>
        <v>0</v>
      </c>
      <c r="BL76" s="2149">
        <v>0</v>
      </c>
      <c r="BM76" s="2109">
        <f t="shared" si="123"/>
        <v>0</v>
      </c>
      <c r="BN76" s="2109">
        <v>0</v>
      </c>
      <c r="BO76" s="2109">
        <v>0</v>
      </c>
      <c r="BP76" s="2109">
        <f t="shared" si="9"/>
        <v>0</v>
      </c>
      <c r="BQ76" s="2135"/>
      <c r="BR76" s="2135"/>
      <c r="BS76" s="2135"/>
      <c r="BT76" s="2135">
        <f t="shared" si="124"/>
        <v>0</v>
      </c>
      <c r="BU76" s="2135">
        <f t="shared" si="125"/>
        <v>0</v>
      </c>
      <c r="BV76" s="2149">
        <v>0</v>
      </c>
      <c r="BW76" s="2109">
        <f t="shared" si="126"/>
        <v>0</v>
      </c>
      <c r="BX76" s="2109">
        <v>0</v>
      </c>
      <c r="BY76" s="2109">
        <v>0</v>
      </c>
      <c r="BZ76" s="2109">
        <f t="shared" si="10"/>
        <v>0</v>
      </c>
      <c r="CA76" s="2135"/>
      <c r="CB76" s="2135"/>
      <c r="CC76" s="2135"/>
      <c r="CD76" s="2135">
        <f t="shared" si="127"/>
        <v>0</v>
      </c>
      <c r="CE76" s="2135">
        <f t="shared" si="128"/>
        <v>0</v>
      </c>
      <c r="CF76" s="2149">
        <v>0</v>
      </c>
      <c r="CG76" s="2109">
        <f t="shared" si="129"/>
        <v>0</v>
      </c>
      <c r="CH76" s="2109">
        <v>0</v>
      </c>
      <c r="CI76" s="2109">
        <v>0</v>
      </c>
      <c r="CJ76" s="2109">
        <f t="shared" si="11"/>
        <v>0</v>
      </c>
      <c r="CK76" s="2135"/>
      <c r="CL76" s="2135"/>
      <c r="CM76" s="2135"/>
      <c r="CN76" s="2135">
        <f t="shared" si="130"/>
        <v>0</v>
      </c>
      <c r="CO76" s="2135">
        <f t="shared" si="131"/>
        <v>0</v>
      </c>
      <c r="CP76" s="2149">
        <v>0</v>
      </c>
      <c r="CQ76" s="2109">
        <f t="shared" si="132"/>
        <v>0</v>
      </c>
      <c r="CR76" s="2109">
        <v>0</v>
      </c>
      <c r="CS76" s="2109">
        <v>0</v>
      </c>
      <c r="CT76" s="2109">
        <f t="shared" si="12"/>
        <v>0</v>
      </c>
      <c r="CU76" s="2135"/>
      <c r="CV76" s="2135"/>
      <c r="CW76" s="2135"/>
      <c r="CX76" s="2135">
        <f t="shared" si="133"/>
        <v>0</v>
      </c>
      <c r="CY76" s="2135">
        <f t="shared" si="134"/>
        <v>0</v>
      </c>
      <c r="CZ76" s="2149">
        <v>0</v>
      </c>
      <c r="DA76" s="2109">
        <f t="shared" si="135"/>
        <v>0</v>
      </c>
      <c r="DB76" s="2109">
        <v>0</v>
      </c>
      <c r="DC76" s="2109">
        <v>0</v>
      </c>
      <c r="DD76" s="2109">
        <f t="shared" si="13"/>
        <v>0</v>
      </c>
      <c r="DE76" s="2135"/>
      <c r="DF76" s="2135"/>
      <c r="DG76" s="2135"/>
      <c r="DH76" s="2135">
        <f t="shared" si="136"/>
        <v>0</v>
      </c>
      <c r="DI76" s="2135">
        <f t="shared" si="137"/>
        <v>0</v>
      </c>
      <c r="DJ76" s="2149">
        <v>0</v>
      </c>
      <c r="DK76" s="2109">
        <f t="shared" si="138"/>
        <v>0</v>
      </c>
      <c r="DL76" s="2109">
        <v>0</v>
      </c>
      <c r="DM76" s="2109">
        <v>0</v>
      </c>
      <c r="DN76" s="2109">
        <f t="shared" si="14"/>
        <v>0</v>
      </c>
      <c r="DO76" s="2135"/>
      <c r="DP76" s="2135"/>
      <c r="DQ76" s="2135"/>
      <c r="DR76" s="2135">
        <f t="shared" si="139"/>
        <v>0</v>
      </c>
      <c r="DS76" s="2135">
        <f t="shared" si="140"/>
        <v>0</v>
      </c>
      <c r="DT76" s="2149">
        <v>0</v>
      </c>
      <c r="DU76" s="2109">
        <f t="shared" si="141"/>
        <v>0</v>
      </c>
      <c r="DV76" s="2109">
        <v>0</v>
      </c>
      <c r="DW76" s="2109">
        <v>0</v>
      </c>
      <c r="DX76" s="2109">
        <f t="shared" si="15"/>
        <v>0</v>
      </c>
      <c r="DY76" s="2135"/>
      <c r="DZ76" s="2135"/>
      <c r="EA76" s="2135"/>
      <c r="EB76" s="2135">
        <f t="shared" si="142"/>
        <v>0</v>
      </c>
      <c r="EC76" s="2135">
        <f t="shared" si="143"/>
        <v>0</v>
      </c>
      <c r="ED76" s="2135"/>
      <c r="EE76" s="2106">
        <f t="shared" si="144"/>
        <v>0</v>
      </c>
      <c r="EF76" s="2106">
        <f t="shared" si="151"/>
        <v>0</v>
      </c>
      <c r="EG76" s="2106">
        <f t="shared" si="145"/>
        <v>0</v>
      </c>
      <c r="EH76" s="2106">
        <f t="shared" si="146"/>
        <v>0</v>
      </c>
      <c r="EI76" s="2106">
        <f t="shared" si="147"/>
        <v>0</v>
      </c>
      <c r="EJ76" s="2106"/>
      <c r="EK76" s="2106"/>
      <c r="EL76" s="2106"/>
      <c r="EM76" s="2106">
        <f t="shared" si="148"/>
        <v>0</v>
      </c>
      <c r="EN76" s="2106">
        <f t="shared" si="149"/>
        <v>0</v>
      </c>
      <c r="EO76" s="2106"/>
      <c r="EP76" s="2251"/>
      <c r="EQ76" s="2224"/>
      <c r="ER76" s="2210"/>
      <c r="ES76" s="2209" t="e">
        <v>#N/A</v>
      </c>
      <c r="ET76" s="2252"/>
      <c r="EU76" s="2230"/>
      <c r="EV76" s="2252"/>
      <c r="EW76" s="2252"/>
      <c r="EX76" s="2252"/>
      <c r="EY76" s="2253"/>
      <c r="EZ76" s="2253"/>
      <c r="FA76" s="2253"/>
      <c r="FB76" s="2254"/>
      <c r="FC76" s="2255"/>
      <c r="FD76" s="2255"/>
      <c r="FE76" s="2255"/>
      <c r="FF76" s="2255"/>
      <c r="FG76" s="2255"/>
      <c r="FH76" s="2255"/>
      <c r="FI76" s="2255"/>
    </row>
    <row r="77" spans="1:165" s="2256" customFormat="1">
      <c r="A77" s="1797">
        <v>35</v>
      </c>
      <c r="B77" s="1798" t="s">
        <v>1711</v>
      </c>
      <c r="C77" s="2146">
        <v>800</v>
      </c>
      <c r="D77" s="2147"/>
      <c r="E77" s="2146"/>
      <c r="F77" s="2148"/>
      <c r="G77" s="2146">
        <v>1.93</v>
      </c>
      <c r="H77" s="2149" t="s">
        <v>1649</v>
      </c>
      <c r="I77" s="2229"/>
      <c r="J77" s="2149">
        <v>0</v>
      </c>
      <c r="K77" s="2148"/>
      <c r="L77" s="2151"/>
      <c r="M77" s="2152">
        <f t="shared" si="107"/>
        <v>0</v>
      </c>
      <c r="N77" s="2149">
        <v>0</v>
      </c>
      <c r="O77" s="2109">
        <f t="shared" si="108"/>
        <v>0</v>
      </c>
      <c r="P77" s="2109">
        <v>0.28131163068750004</v>
      </c>
      <c r="Q77" s="2109">
        <v>3.0936574184886183</v>
      </c>
      <c r="R77" s="2109">
        <f t="shared" ref="R77:R142" si="156">IFERROR(Q77*N77/10,0)</f>
        <v>0</v>
      </c>
      <c r="S77" s="2109"/>
      <c r="T77" s="2109"/>
      <c r="U77" s="2109"/>
      <c r="V77" s="2109">
        <f t="shared" si="109"/>
        <v>0</v>
      </c>
      <c r="W77" s="2109">
        <f t="shared" si="110"/>
        <v>0.28131163068750004</v>
      </c>
      <c r="X77" s="2149">
        <v>0</v>
      </c>
      <c r="Y77" s="2109">
        <f t="shared" si="111"/>
        <v>0</v>
      </c>
      <c r="Z77" s="2109">
        <v>0.28131163068750004</v>
      </c>
      <c r="AA77" s="2109">
        <v>3.0936574184886183</v>
      </c>
      <c r="AB77" s="2109">
        <f t="shared" ref="AB77:AB142" si="157">IFERROR(AA77*X77/10,0)</f>
        <v>0</v>
      </c>
      <c r="AC77" s="2135"/>
      <c r="AD77" s="2135"/>
      <c r="AE77" s="2135"/>
      <c r="AF77" s="2135">
        <f t="shared" si="112"/>
        <v>0</v>
      </c>
      <c r="AG77" s="2135">
        <f t="shared" si="113"/>
        <v>0.28131163068750004</v>
      </c>
      <c r="AH77" s="2149">
        <v>0</v>
      </c>
      <c r="AI77" s="2109">
        <f t="shared" si="114"/>
        <v>0</v>
      </c>
      <c r="AJ77" s="2109">
        <v>0.28131163068750004</v>
      </c>
      <c r="AK77" s="2109">
        <v>3.0936574184886183</v>
      </c>
      <c r="AL77" s="2109">
        <f t="shared" ref="AL77:AL142" si="158">IFERROR(AK77*AH77/10,0)</f>
        <v>0</v>
      </c>
      <c r="AM77" s="2135"/>
      <c r="AN77" s="2135"/>
      <c r="AO77" s="2135"/>
      <c r="AP77" s="2135">
        <f t="shared" si="115"/>
        <v>0</v>
      </c>
      <c r="AQ77" s="2135">
        <f t="shared" si="116"/>
        <v>0.28131163068750004</v>
      </c>
      <c r="AR77" s="2149">
        <v>0</v>
      </c>
      <c r="AS77" s="2109">
        <f t="shared" si="117"/>
        <v>0</v>
      </c>
      <c r="AT77" s="2109">
        <v>0.28131163068750004</v>
      </c>
      <c r="AU77" s="2109">
        <v>3.0936574184886183</v>
      </c>
      <c r="AV77" s="2109">
        <f t="shared" ref="AV77:AV142" si="159">IFERROR(AU77*AR77/10,0)</f>
        <v>0</v>
      </c>
      <c r="AW77" s="2135"/>
      <c r="AX77" s="2135"/>
      <c r="AY77" s="2135"/>
      <c r="AZ77" s="2135">
        <f t="shared" si="118"/>
        <v>0</v>
      </c>
      <c r="BA77" s="2135">
        <f t="shared" si="119"/>
        <v>0.28131163068750004</v>
      </c>
      <c r="BB77" s="2149">
        <v>0</v>
      </c>
      <c r="BC77" s="2109">
        <f t="shared" si="120"/>
        <v>0</v>
      </c>
      <c r="BD77" s="2109">
        <v>0.28131163068750004</v>
      </c>
      <c r="BE77" s="2109">
        <v>3.0936574184886183</v>
      </c>
      <c r="BF77" s="2109">
        <f t="shared" ref="BF77:BF142" si="160">IFERROR(BE77*BB77/10,0)</f>
        <v>0</v>
      </c>
      <c r="BG77" s="2135"/>
      <c r="BH77" s="2135"/>
      <c r="BI77" s="2135"/>
      <c r="BJ77" s="2135">
        <f t="shared" si="121"/>
        <v>0</v>
      </c>
      <c r="BK77" s="2135">
        <f t="shared" si="122"/>
        <v>0.28131163068750004</v>
      </c>
      <c r="BL77" s="2149">
        <v>0</v>
      </c>
      <c r="BM77" s="2109">
        <f t="shared" si="123"/>
        <v>0</v>
      </c>
      <c r="BN77" s="2109">
        <v>0.28131163068750004</v>
      </c>
      <c r="BO77" s="2109">
        <v>3.0936574184886183</v>
      </c>
      <c r="BP77" s="2109">
        <f t="shared" ref="BP77:BP142" si="161">IFERROR(BO77*BL77/10,0)</f>
        <v>0</v>
      </c>
      <c r="BQ77" s="2135"/>
      <c r="BR77" s="2135"/>
      <c r="BS77" s="2135"/>
      <c r="BT77" s="2135">
        <f t="shared" si="124"/>
        <v>0</v>
      </c>
      <c r="BU77" s="2135">
        <f t="shared" si="125"/>
        <v>0.28131163068750004</v>
      </c>
      <c r="BV77" s="2149">
        <v>0</v>
      </c>
      <c r="BW77" s="2109">
        <f t="shared" si="126"/>
        <v>0</v>
      </c>
      <c r="BX77" s="2109">
        <v>0.28131163068750004</v>
      </c>
      <c r="BY77" s="2109">
        <v>3.0936574184886183</v>
      </c>
      <c r="BZ77" s="2109">
        <f t="shared" ref="BZ77:BZ142" si="162">IFERROR(BY77*BV77/10,0)</f>
        <v>0</v>
      </c>
      <c r="CA77" s="2135"/>
      <c r="CB77" s="2135"/>
      <c r="CC77" s="2135"/>
      <c r="CD77" s="2135">
        <f t="shared" si="127"/>
        <v>0</v>
      </c>
      <c r="CE77" s="2135">
        <f t="shared" si="128"/>
        <v>0.28131163068750004</v>
      </c>
      <c r="CF77" s="2149">
        <v>0</v>
      </c>
      <c r="CG77" s="2109">
        <f t="shared" si="129"/>
        <v>0</v>
      </c>
      <c r="CH77" s="2109">
        <v>0.28131163068750004</v>
      </c>
      <c r="CI77" s="2109">
        <v>3.0936574184886183</v>
      </c>
      <c r="CJ77" s="2109">
        <f t="shared" ref="CJ77:CJ142" si="163">IFERROR(CI77*CF77/10,0)</f>
        <v>0</v>
      </c>
      <c r="CK77" s="2135"/>
      <c r="CL77" s="2135"/>
      <c r="CM77" s="2135"/>
      <c r="CN77" s="2135">
        <f t="shared" si="130"/>
        <v>0</v>
      </c>
      <c r="CO77" s="2135">
        <f t="shared" si="131"/>
        <v>0.28131163068750004</v>
      </c>
      <c r="CP77" s="2149">
        <v>0</v>
      </c>
      <c r="CQ77" s="2109">
        <f t="shared" si="132"/>
        <v>0</v>
      </c>
      <c r="CR77" s="2109">
        <v>0.28131163068750004</v>
      </c>
      <c r="CS77" s="2109">
        <v>3.0936574184886183</v>
      </c>
      <c r="CT77" s="2109">
        <f t="shared" ref="CT77:CT142" si="164">IFERROR(CS77*CP77/10,0)</f>
        <v>0</v>
      </c>
      <c r="CU77" s="2135"/>
      <c r="CV77" s="2135"/>
      <c r="CW77" s="2135"/>
      <c r="CX77" s="2135">
        <f t="shared" si="133"/>
        <v>0</v>
      </c>
      <c r="CY77" s="2135">
        <f t="shared" si="134"/>
        <v>0.28131163068750004</v>
      </c>
      <c r="CZ77" s="2149">
        <v>0</v>
      </c>
      <c r="DA77" s="2109">
        <f t="shared" si="135"/>
        <v>0</v>
      </c>
      <c r="DB77" s="2109">
        <v>0.28131163068750004</v>
      </c>
      <c r="DC77" s="2109">
        <v>3.0936574184886183</v>
      </c>
      <c r="DD77" s="2109">
        <f t="shared" ref="DD77:DD142" si="165">IFERROR(DC77*CZ77/10,0)</f>
        <v>0</v>
      </c>
      <c r="DE77" s="2135"/>
      <c r="DF77" s="2135"/>
      <c r="DG77" s="2135"/>
      <c r="DH77" s="2135">
        <f t="shared" si="136"/>
        <v>0</v>
      </c>
      <c r="DI77" s="2135">
        <f t="shared" si="137"/>
        <v>0.28131163068750004</v>
      </c>
      <c r="DJ77" s="2149">
        <v>0</v>
      </c>
      <c r="DK77" s="2109">
        <f t="shared" si="138"/>
        <v>0</v>
      </c>
      <c r="DL77" s="2109">
        <v>0.28131163068750004</v>
      </c>
      <c r="DM77" s="2109">
        <v>3.0936574184886183</v>
      </c>
      <c r="DN77" s="2109">
        <f t="shared" ref="DN77:DN142" si="166">IFERROR(DM77*DJ77/10,0)</f>
        <v>0</v>
      </c>
      <c r="DO77" s="2135"/>
      <c r="DP77" s="2135"/>
      <c r="DQ77" s="2135"/>
      <c r="DR77" s="2135">
        <f t="shared" si="139"/>
        <v>0</v>
      </c>
      <c r="DS77" s="2135">
        <f t="shared" si="140"/>
        <v>0.28131163068750004</v>
      </c>
      <c r="DT77" s="2149">
        <v>0</v>
      </c>
      <c r="DU77" s="2109">
        <f t="shared" si="141"/>
        <v>0</v>
      </c>
      <c r="DV77" s="2109">
        <v>0.28131163068750004</v>
      </c>
      <c r="DW77" s="2109">
        <v>3.0936574184886183</v>
      </c>
      <c r="DX77" s="2109">
        <f t="shared" ref="DX77:DX142" si="167">IFERROR(DW77*DT77/10,0)</f>
        <v>0</v>
      </c>
      <c r="DY77" s="2135"/>
      <c r="DZ77" s="2135"/>
      <c r="EA77" s="2135"/>
      <c r="EB77" s="2135">
        <f t="shared" si="142"/>
        <v>0</v>
      </c>
      <c r="EC77" s="2135">
        <f t="shared" si="143"/>
        <v>0.28131163068750004</v>
      </c>
      <c r="ED77" s="2135"/>
      <c r="EE77" s="2106">
        <f t="shared" si="144"/>
        <v>0</v>
      </c>
      <c r="EF77" s="2106">
        <f t="shared" si="151"/>
        <v>0</v>
      </c>
      <c r="EG77" s="2106">
        <f t="shared" si="145"/>
        <v>3.3757395682500007</v>
      </c>
      <c r="EH77" s="2106">
        <f t="shared" si="146"/>
        <v>0</v>
      </c>
      <c r="EI77" s="2106">
        <f t="shared" si="147"/>
        <v>0</v>
      </c>
      <c r="EJ77" s="2106"/>
      <c r="EK77" s="2106"/>
      <c r="EL77" s="2106"/>
      <c r="EM77" s="2106">
        <f t="shared" si="148"/>
        <v>0</v>
      </c>
      <c r="EN77" s="2106">
        <f t="shared" si="149"/>
        <v>3.3757395682500007</v>
      </c>
      <c r="EO77" s="2106"/>
      <c r="EP77" s="2251"/>
      <c r="EQ77" s="2224"/>
      <c r="ER77" s="2210"/>
      <c r="ES77" s="2209" t="e">
        <v>#N/A</v>
      </c>
      <c r="ET77" s="2252"/>
      <c r="EU77" s="2230"/>
      <c r="EV77" s="2252"/>
      <c r="EW77" s="2252"/>
      <c r="EX77" s="2252"/>
      <c r="EY77" s="2253"/>
      <c r="EZ77" s="2253"/>
      <c r="FA77" s="2253"/>
      <c r="FB77" s="2254"/>
      <c r="FC77" s="2255"/>
      <c r="FD77" s="2255"/>
      <c r="FE77" s="2255"/>
      <c r="FF77" s="2255"/>
      <c r="FG77" s="2255"/>
      <c r="FH77" s="2255"/>
      <c r="FI77" s="2255"/>
    </row>
    <row r="78" spans="1:165" s="2256" customFormat="1">
      <c r="A78" s="2220">
        <v>36</v>
      </c>
      <c r="B78" s="1798" t="s">
        <v>1712</v>
      </c>
      <c r="C78" s="2146">
        <v>1600</v>
      </c>
      <c r="D78" s="2147"/>
      <c r="E78" s="2146"/>
      <c r="F78" s="2148"/>
      <c r="G78" s="2146">
        <v>3.86</v>
      </c>
      <c r="H78" s="2149" t="s">
        <v>1649</v>
      </c>
      <c r="I78" s="2229"/>
      <c r="J78" s="2149">
        <v>15.659622419999998</v>
      </c>
      <c r="K78" s="2148"/>
      <c r="L78" s="2151"/>
      <c r="M78" s="2152">
        <f t="shared" si="107"/>
        <v>15.659622419999998</v>
      </c>
      <c r="N78" s="2149">
        <v>2.2264865999999999</v>
      </c>
      <c r="O78" s="2109">
        <f>IFERROR(P78/N78*10,0)</f>
        <v>1.6241691337823458</v>
      </c>
      <c r="P78" s="2109">
        <v>0.36161908125000003</v>
      </c>
      <c r="Q78" s="2109">
        <v>2.3970060153960042</v>
      </c>
      <c r="R78" s="2109">
        <f>IFERROR(Q78*N78/10,0)</f>
        <v>0.53369017733985968</v>
      </c>
      <c r="S78" s="2109"/>
      <c r="T78" s="2109"/>
      <c r="U78" s="2109"/>
      <c r="V78" s="2109">
        <f>IFERROR(W78/N78*10,0)</f>
        <v>4.0211751491783501</v>
      </c>
      <c r="W78" s="2109">
        <f>P78+R78</f>
        <v>0.89530925858985966</v>
      </c>
      <c r="X78" s="2149">
        <v>2.3007028200000001</v>
      </c>
      <c r="Y78" s="2109">
        <f>IFERROR(Z78/X78*10,0)</f>
        <v>1.5717765810796893</v>
      </c>
      <c r="Z78" s="2109">
        <v>0.36161908125000003</v>
      </c>
      <c r="AA78" s="2109">
        <v>2.3970060153960042</v>
      </c>
      <c r="AB78" s="2109">
        <f>IFERROR(AA78*X78/10,0)</f>
        <v>0.55147984991785504</v>
      </c>
      <c r="AC78" s="2135"/>
      <c r="AD78" s="2135"/>
      <c r="AE78" s="2135"/>
      <c r="AF78" s="2135">
        <f>IFERROR(AG78/X78*10,0)</f>
        <v>3.9687825964756933</v>
      </c>
      <c r="AG78" s="2135">
        <f>Z78+AB78</f>
        <v>0.91309893116785501</v>
      </c>
      <c r="AH78" s="2149">
        <v>2.2264865999999999</v>
      </c>
      <c r="AI78" s="2109">
        <f>IFERROR(AJ78/AH78*10,0)</f>
        <v>1.6241691337823458</v>
      </c>
      <c r="AJ78" s="2109">
        <v>0.36161908125000003</v>
      </c>
      <c r="AK78" s="2109">
        <v>2.3970060153960042</v>
      </c>
      <c r="AL78" s="2109">
        <f>IFERROR(AK78*AH78/10,0)</f>
        <v>0.53369017733985968</v>
      </c>
      <c r="AM78" s="2135"/>
      <c r="AN78" s="2135"/>
      <c r="AO78" s="2135"/>
      <c r="AP78" s="2135">
        <f>IFERROR(AQ78/AH78*10,0)</f>
        <v>4.0211751491783501</v>
      </c>
      <c r="AQ78" s="2135">
        <f>AL78+AJ78</f>
        <v>0.89530925858985966</v>
      </c>
      <c r="AR78" s="2149">
        <v>2.3007028200000001</v>
      </c>
      <c r="AS78" s="2109">
        <f>IFERROR(AT78/AR78*10,0)</f>
        <v>1.5717765810796893</v>
      </c>
      <c r="AT78" s="2109">
        <v>0.36161908125000003</v>
      </c>
      <c r="AU78" s="2109">
        <v>2.3970060153960042</v>
      </c>
      <c r="AV78" s="2109">
        <f>IFERROR(AU78*AR78/10,0)</f>
        <v>0.55147984991785504</v>
      </c>
      <c r="AW78" s="2135"/>
      <c r="AX78" s="2135"/>
      <c r="AY78" s="2135"/>
      <c r="AZ78" s="2135">
        <f>IFERROR(BA78/AR78*10,0)</f>
        <v>3.9687825964756933</v>
      </c>
      <c r="BA78" s="2135">
        <f>AV78+AT78</f>
        <v>0.91309893116785501</v>
      </c>
      <c r="BB78" s="2149">
        <v>2.3007028200000001</v>
      </c>
      <c r="BC78" s="2109">
        <f>IFERROR(BD78/BB78*10,0)</f>
        <v>1.5717765810796893</v>
      </c>
      <c r="BD78" s="2109">
        <v>0.36161908125000003</v>
      </c>
      <c r="BE78" s="2109">
        <v>2.3970060153960042</v>
      </c>
      <c r="BF78" s="2109">
        <f>IFERROR(BE78*BB78/10,0)</f>
        <v>0.55147984991785504</v>
      </c>
      <c r="BG78" s="2135"/>
      <c r="BH78" s="2135"/>
      <c r="BI78" s="2135"/>
      <c r="BJ78" s="2135">
        <f>IFERROR(BK78/BB78*10,0)</f>
        <v>3.9687825964756933</v>
      </c>
      <c r="BK78" s="2135">
        <f>BF78+BD78</f>
        <v>0.91309893116785501</v>
      </c>
      <c r="BL78" s="2149">
        <v>2.2264865999999999</v>
      </c>
      <c r="BM78" s="2109">
        <f>IFERROR(BN78/BL78*10,0)</f>
        <v>1.6241691337823458</v>
      </c>
      <c r="BN78" s="2109">
        <v>0.36161908125000003</v>
      </c>
      <c r="BO78" s="2109">
        <v>2.3970060153960042</v>
      </c>
      <c r="BP78" s="2109">
        <f>IFERROR(BO78*BL78/10,0)</f>
        <v>0.53369017733985968</v>
      </c>
      <c r="BQ78" s="2135"/>
      <c r="BR78" s="2135"/>
      <c r="BS78" s="2135"/>
      <c r="BT78" s="2135">
        <f>IFERROR(BU78/BL78*10,0)</f>
        <v>4.0211751491783501</v>
      </c>
      <c r="BU78" s="2135">
        <f>BP78+BN78</f>
        <v>0.89530925858985966</v>
      </c>
      <c r="BV78" s="2149">
        <v>0</v>
      </c>
      <c r="BW78" s="2109">
        <f>IFERROR(BX78/BV78*10,0)</f>
        <v>0</v>
      </c>
      <c r="BX78" s="2109">
        <v>0.36161908125000003</v>
      </c>
      <c r="BY78" s="2109">
        <v>2.3970060153960042</v>
      </c>
      <c r="BZ78" s="2109">
        <f>IFERROR(BY78*BV78/10,0)</f>
        <v>0</v>
      </c>
      <c r="CA78" s="2135"/>
      <c r="CB78" s="2135"/>
      <c r="CC78" s="2135"/>
      <c r="CD78" s="2135">
        <f>IFERROR(CE78/BV78*10,0)</f>
        <v>0</v>
      </c>
      <c r="CE78" s="2135">
        <f>BZ78+BX78</f>
        <v>0.36161908125000003</v>
      </c>
      <c r="CF78" s="2149">
        <v>0</v>
      </c>
      <c r="CG78" s="2109">
        <f>IFERROR(CH78/CF78*10,0)</f>
        <v>0</v>
      </c>
      <c r="CH78" s="2109">
        <v>0.36161908125000003</v>
      </c>
      <c r="CI78" s="2109">
        <v>2.3970060153960042</v>
      </c>
      <c r="CJ78" s="2109">
        <f>IFERROR(CI78*CF78/10,0)</f>
        <v>0</v>
      </c>
      <c r="CK78" s="2135"/>
      <c r="CL78" s="2135"/>
      <c r="CM78" s="2135"/>
      <c r="CN78" s="2135">
        <f>IFERROR(CO78/CF78*10,0)</f>
        <v>0</v>
      </c>
      <c r="CO78" s="2135">
        <f>CJ78+CH78</f>
        <v>0.36161908125000003</v>
      </c>
      <c r="CP78" s="2149">
        <v>0</v>
      </c>
      <c r="CQ78" s="2109">
        <f>IFERROR(CR78/CP78*10,0)</f>
        <v>0</v>
      </c>
      <c r="CR78" s="2109">
        <v>0.36161908125000003</v>
      </c>
      <c r="CS78" s="2109">
        <v>2.3970060153960042</v>
      </c>
      <c r="CT78" s="2109">
        <f>IFERROR(CS78*CP78/10,0)</f>
        <v>0</v>
      </c>
      <c r="CU78" s="2135"/>
      <c r="CV78" s="2135"/>
      <c r="CW78" s="2135"/>
      <c r="CX78" s="2135">
        <f>IFERROR(CY78/CP78*10,0)</f>
        <v>0</v>
      </c>
      <c r="CY78" s="2135">
        <f>CT78+CR78</f>
        <v>0.36161908125000003</v>
      </c>
      <c r="CZ78" s="2149">
        <v>0</v>
      </c>
      <c r="DA78" s="2109">
        <f>IFERROR(DB78/CZ78*10,0)</f>
        <v>0</v>
      </c>
      <c r="DB78" s="2109">
        <v>0.36161908125000003</v>
      </c>
      <c r="DC78" s="2109">
        <v>2.3970060153960042</v>
      </c>
      <c r="DD78" s="2109">
        <f>IFERROR(DC78*CZ78/10,0)</f>
        <v>0</v>
      </c>
      <c r="DE78" s="2135"/>
      <c r="DF78" s="2135"/>
      <c r="DG78" s="2135"/>
      <c r="DH78" s="2135">
        <f>IFERROR(DI78/CZ78*10,0)</f>
        <v>0</v>
      </c>
      <c r="DI78" s="2135">
        <f>DD78+DB78</f>
        <v>0.36161908125000003</v>
      </c>
      <c r="DJ78" s="2149">
        <v>2.0780541599999998</v>
      </c>
      <c r="DK78" s="2109">
        <f>IFERROR(DL78/DJ78*10,0)</f>
        <v>1.7401812147667994</v>
      </c>
      <c r="DL78" s="2109">
        <v>0.36161908125000003</v>
      </c>
      <c r="DM78" s="2109">
        <v>2.3970060153960042</v>
      </c>
      <c r="DN78" s="2109">
        <f>IFERROR(DM78*DJ78/10,0)</f>
        <v>0.49811083218386898</v>
      </c>
      <c r="DO78" s="2135"/>
      <c r="DP78" s="2135"/>
      <c r="DQ78" s="2135"/>
      <c r="DR78" s="2135">
        <f>IFERROR(DS78/DJ78*10,0)</f>
        <v>4.1371872301628034</v>
      </c>
      <c r="DS78" s="2135">
        <f>DN78+DL78</f>
        <v>0.85972991343386895</v>
      </c>
      <c r="DT78" s="2149">
        <v>0</v>
      </c>
      <c r="DU78" s="2109">
        <f>IFERROR(DV78/DT78*10,0)</f>
        <v>0</v>
      </c>
      <c r="DV78" s="2109">
        <v>0.36161908125000003</v>
      </c>
      <c r="DW78" s="2109">
        <v>2.3970060153960042</v>
      </c>
      <c r="DX78" s="2109">
        <f>IFERROR(DW78*DT78/10,0)</f>
        <v>0</v>
      </c>
      <c r="DY78" s="2135"/>
      <c r="DZ78" s="2135"/>
      <c r="EA78" s="2135"/>
      <c r="EB78" s="2135">
        <f>IFERROR(EC78/DT78*10,0)</f>
        <v>0</v>
      </c>
      <c r="EC78" s="2135">
        <f>DX78+DV78</f>
        <v>0.36161908125000003</v>
      </c>
      <c r="ED78" s="2135"/>
      <c r="EE78" s="2106">
        <f>SUM(N78,X78,AH78,AR78,BB78,BL78,BV78,CF78,CP78,CZ78,DJ78,DT78)</f>
        <v>15.659622419999998</v>
      </c>
      <c r="EF78" s="2106">
        <f>IFERROR((EG78/EE78)*10,0)</f>
        <v>2.771094256690259</v>
      </c>
      <c r="EG78" s="2106">
        <f>SUM(P78,Z78,AJ78,AT78,BD78,BN78,BX78,CR78,CH78,DB78,DL78,DV78)</f>
        <v>4.3394289750000015</v>
      </c>
      <c r="EH78" s="2106">
        <f>IFERROR((EI78/EE78)*10,0)</f>
        <v>2.3970060153960047</v>
      </c>
      <c r="EI78" s="2106">
        <f>SUM(R78,AB78,AL78,AV78,BF78,BP78,BZ78,CJ78,CT78,DD78,DN78,DX78)</f>
        <v>3.7536209139570134</v>
      </c>
      <c r="EJ78" s="2106"/>
      <c r="EK78" s="2106"/>
      <c r="EL78" s="2106"/>
      <c r="EM78" s="2106">
        <f>IFERROR(EN78/EE78*10,0)</f>
        <v>5.1681002720862645</v>
      </c>
      <c r="EN78" s="2106">
        <f>EG78+EI78</f>
        <v>8.0930498889570153</v>
      </c>
      <c r="EO78" s="2106"/>
      <c r="EP78" s="2251"/>
      <c r="EQ78" s="2224"/>
      <c r="ER78" s="2210"/>
      <c r="ES78" s="2209" t="e">
        <v>#N/A</v>
      </c>
      <c r="ET78" s="2252"/>
      <c r="EU78" s="2230"/>
      <c r="EV78" s="2252"/>
      <c r="EW78" s="2252"/>
      <c r="EX78" s="2252"/>
      <c r="EY78" s="2253"/>
      <c r="EZ78" s="2253"/>
      <c r="FA78" s="2253"/>
      <c r="FB78" s="2254"/>
      <c r="FC78" s="2255"/>
      <c r="FD78" s="2255"/>
      <c r="FE78" s="2255"/>
      <c r="FF78" s="2255"/>
      <c r="FG78" s="2255"/>
      <c r="FH78" s="2255"/>
      <c r="FI78" s="2255"/>
    </row>
    <row r="79" spans="1:165" s="2256" customFormat="1">
      <c r="A79" s="1797">
        <v>37</v>
      </c>
      <c r="B79" s="1798" t="s">
        <v>1713</v>
      </c>
      <c r="C79" s="2146">
        <v>1320</v>
      </c>
      <c r="D79" s="2147"/>
      <c r="E79" s="2146"/>
      <c r="F79" s="2148"/>
      <c r="G79" s="2146">
        <v>3.18</v>
      </c>
      <c r="H79" s="2149" t="s">
        <v>1649</v>
      </c>
      <c r="I79" s="2229"/>
      <c r="J79" s="2149">
        <v>9.3547045799999999</v>
      </c>
      <c r="K79" s="2148"/>
      <c r="L79" s="2151"/>
      <c r="M79" s="2152">
        <f t="shared" si="107"/>
        <v>9.3547045799999999</v>
      </c>
      <c r="N79" s="2149">
        <v>0</v>
      </c>
      <c r="O79" s="2109">
        <f>IFERROR(P79/N79*10,0)</f>
        <v>0</v>
      </c>
      <c r="P79" s="2109">
        <v>0.43296258206250005</v>
      </c>
      <c r="Q79" s="2109">
        <v>3.146595505892217</v>
      </c>
      <c r="R79" s="2109">
        <f>IFERROR(Q79*N79/10,0)</f>
        <v>0</v>
      </c>
      <c r="S79" s="2109"/>
      <c r="T79" s="2109"/>
      <c r="U79" s="2109"/>
      <c r="V79" s="2109">
        <f>IFERROR(W79/N79*10,0)</f>
        <v>0</v>
      </c>
      <c r="W79" s="2109">
        <f>P79+R79</f>
        <v>0.43296258206250005</v>
      </c>
      <c r="X79" s="2149">
        <v>1.89539766</v>
      </c>
      <c r="Y79" s="2109">
        <f>IFERROR(Z79/X79*10,0)</f>
        <v>2.2842836160434006</v>
      </c>
      <c r="Z79" s="2109">
        <v>0.43296258206250005</v>
      </c>
      <c r="AA79" s="2109">
        <v>3.146595505892217</v>
      </c>
      <c r="AB79" s="2109">
        <f>IFERROR(AA79*X79/10,0)</f>
        <v>0.59640497588346242</v>
      </c>
      <c r="AC79" s="2135"/>
      <c r="AD79" s="2135"/>
      <c r="AE79" s="2135"/>
      <c r="AF79" s="2135">
        <f>IFERROR(AG79/X79*10,0)</f>
        <v>5.4308791219356181</v>
      </c>
      <c r="AG79" s="2135">
        <f>Z79+AB79</f>
        <v>1.0293675579459625</v>
      </c>
      <c r="AH79" s="2149">
        <v>1.8342558000000002</v>
      </c>
      <c r="AI79" s="2109">
        <f>IFERROR(AJ79/AH79*10,0)</f>
        <v>2.3604264032448472</v>
      </c>
      <c r="AJ79" s="2109">
        <v>0.43296258206250005</v>
      </c>
      <c r="AK79" s="2109">
        <v>3.146595505892217</v>
      </c>
      <c r="AL79" s="2109">
        <f>IFERROR(AK79*AH79/10,0)</f>
        <v>0.57716610569367344</v>
      </c>
      <c r="AM79" s="2135"/>
      <c r="AN79" s="2135"/>
      <c r="AO79" s="2135"/>
      <c r="AP79" s="2135">
        <f>IFERROR(AQ79/AH79*10,0)</f>
        <v>5.5070219091370642</v>
      </c>
      <c r="AQ79" s="2135">
        <f>AL79+AJ79</f>
        <v>1.0101286877561735</v>
      </c>
      <c r="AR79" s="2149">
        <v>1.89539766</v>
      </c>
      <c r="AS79" s="2109">
        <f>IFERROR(AT79/AR79*10,0)</f>
        <v>2.2842836160434006</v>
      </c>
      <c r="AT79" s="2109">
        <v>0.43296258206250005</v>
      </c>
      <c r="AU79" s="2109">
        <v>3.146595505892217</v>
      </c>
      <c r="AV79" s="2109">
        <f>IFERROR(AU79*AR79/10,0)</f>
        <v>0.59640497588346242</v>
      </c>
      <c r="AW79" s="2135"/>
      <c r="AX79" s="2135"/>
      <c r="AY79" s="2135"/>
      <c r="AZ79" s="2135">
        <f>IFERROR(BA79/AR79*10,0)</f>
        <v>5.4308791219356181</v>
      </c>
      <c r="BA79" s="2135">
        <f>AV79+AT79</f>
        <v>1.0293675579459625</v>
      </c>
      <c r="BB79" s="2149">
        <v>1.89539766</v>
      </c>
      <c r="BC79" s="2109">
        <f>IFERROR(BD79/BB79*10,0)</f>
        <v>2.2842836160434006</v>
      </c>
      <c r="BD79" s="2109">
        <v>0.43296258206250005</v>
      </c>
      <c r="BE79" s="2109">
        <v>3.146595505892217</v>
      </c>
      <c r="BF79" s="2109">
        <f>IFERROR(BE79*BB79/10,0)</f>
        <v>0.59640497588346242</v>
      </c>
      <c r="BG79" s="2135"/>
      <c r="BH79" s="2135"/>
      <c r="BI79" s="2135"/>
      <c r="BJ79" s="2135">
        <f>IFERROR(BK79/BB79*10,0)</f>
        <v>5.4308791219356181</v>
      </c>
      <c r="BK79" s="2135">
        <f>BF79+BD79</f>
        <v>1.0293675579459625</v>
      </c>
      <c r="BL79" s="2149">
        <v>1.8342558000000002</v>
      </c>
      <c r="BM79" s="2109">
        <f>IFERROR(BN79/BL79*10,0)</f>
        <v>2.3604264032448472</v>
      </c>
      <c r="BN79" s="2109">
        <v>0.43296258206250005</v>
      </c>
      <c r="BO79" s="2109">
        <v>3.146595505892217</v>
      </c>
      <c r="BP79" s="2109">
        <f>IFERROR(BO79*BL79/10,0)</f>
        <v>0.57716610569367344</v>
      </c>
      <c r="BQ79" s="2135"/>
      <c r="BR79" s="2135"/>
      <c r="BS79" s="2135"/>
      <c r="BT79" s="2135">
        <f>IFERROR(BU79/BL79*10,0)</f>
        <v>5.5070219091370642</v>
      </c>
      <c r="BU79" s="2135">
        <f>BP79+BN79</f>
        <v>1.0101286877561735</v>
      </c>
      <c r="BV79" s="2149">
        <v>0</v>
      </c>
      <c r="BW79" s="2109">
        <f>IFERROR(BX79/BV79*10,0)</f>
        <v>0</v>
      </c>
      <c r="BX79" s="2109">
        <v>0.43296258206250005</v>
      </c>
      <c r="BY79" s="2109">
        <v>3.146595505892217</v>
      </c>
      <c r="BZ79" s="2109">
        <f>IFERROR(BY79*BV79/10,0)</f>
        <v>0</v>
      </c>
      <c r="CA79" s="2135"/>
      <c r="CB79" s="2135"/>
      <c r="CC79" s="2135"/>
      <c r="CD79" s="2135">
        <f>IFERROR(CE79/BV79*10,0)</f>
        <v>0</v>
      </c>
      <c r="CE79" s="2135">
        <f>BZ79+BX79</f>
        <v>0.43296258206250005</v>
      </c>
      <c r="CF79" s="2149">
        <v>0</v>
      </c>
      <c r="CG79" s="2109">
        <f>IFERROR(CH79/CF79*10,0)</f>
        <v>0</v>
      </c>
      <c r="CH79" s="2109">
        <v>0.43296258206250005</v>
      </c>
      <c r="CI79" s="2109">
        <v>3.146595505892217</v>
      </c>
      <c r="CJ79" s="2109">
        <f>IFERROR(CI79*CF79/10,0)</f>
        <v>0</v>
      </c>
      <c r="CK79" s="2135"/>
      <c r="CL79" s="2135"/>
      <c r="CM79" s="2135"/>
      <c r="CN79" s="2135">
        <f>IFERROR(CO79/CF79*10,0)</f>
        <v>0</v>
      </c>
      <c r="CO79" s="2135">
        <f>CJ79+CH79</f>
        <v>0.43296258206250005</v>
      </c>
      <c r="CP79" s="2149">
        <v>0</v>
      </c>
      <c r="CQ79" s="2109">
        <f>IFERROR(CR79/CP79*10,0)</f>
        <v>0</v>
      </c>
      <c r="CR79" s="2109">
        <v>0.43296258206250005</v>
      </c>
      <c r="CS79" s="2109">
        <v>3.146595505892217</v>
      </c>
      <c r="CT79" s="2109">
        <f>IFERROR(CS79*CP79/10,0)</f>
        <v>0</v>
      </c>
      <c r="CU79" s="2135"/>
      <c r="CV79" s="2135"/>
      <c r="CW79" s="2135"/>
      <c r="CX79" s="2135">
        <f>IFERROR(CY79/CP79*10,0)</f>
        <v>0</v>
      </c>
      <c r="CY79" s="2135">
        <f>CT79+CR79</f>
        <v>0.43296258206250005</v>
      </c>
      <c r="CZ79" s="2149">
        <v>0</v>
      </c>
      <c r="DA79" s="2109">
        <f>IFERROR(DB79/CZ79*10,0)</f>
        <v>0</v>
      </c>
      <c r="DB79" s="2109">
        <v>0.43296258206250005</v>
      </c>
      <c r="DC79" s="2109">
        <v>3.146595505892217</v>
      </c>
      <c r="DD79" s="2109">
        <f>IFERROR(DC79*CZ79/10,0)</f>
        <v>0</v>
      </c>
      <c r="DE79" s="2135"/>
      <c r="DF79" s="2135"/>
      <c r="DG79" s="2135"/>
      <c r="DH79" s="2135">
        <f>IFERROR(DI79/CZ79*10,0)</f>
        <v>0</v>
      </c>
      <c r="DI79" s="2135">
        <f>DD79+DB79</f>
        <v>0.43296258206250005</v>
      </c>
      <c r="DJ79" s="2149">
        <v>0</v>
      </c>
      <c r="DK79" s="2109">
        <f>IFERROR(DL79/DJ79*10,0)</f>
        <v>0</v>
      </c>
      <c r="DL79" s="2109">
        <v>0.43296258206250005</v>
      </c>
      <c r="DM79" s="2109">
        <v>3.146595505892217</v>
      </c>
      <c r="DN79" s="2109">
        <f>IFERROR(DM79*DJ79/10,0)</f>
        <v>0</v>
      </c>
      <c r="DO79" s="2135"/>
      <c r="DP79" s="2135"/>
      <c r="DQ79" s="2135"/>
      <c r="DR79" s="2135">
        <f>IFERROR(DS79/DJ79*10,0)</f>
        <v>0</v>
      </c>
      <c r="DS79" s="2135">
        <f>DN79+DL79</f>
        <v>0.43296258206250005</v>
      </c>
      <c r="DT79" s="2149">
        <v>0</v>
      </c>
      <c r="DU79" s="2109">
        <f>IFERROR(DV79/DT79*10,0)</f>
        <v>0</v>
      </c>
      <c r="DV79" s="2109">
        <v>0.43296258206250005</v>
      </c>
      <c r="DW79" s="2109">
        <v>3.146595505892217</v>
      </c>
      <c r="DX79" s="2109">
        <f>IFERROR(DW79*DT79/10,0)</f>
        <v>0</v>
      </c>
      <c r="DY79" s="2135"/>
      <c r="DZ79" s="2135"/>
      <c r="EA79" s="2135"/>
      <c r="EB79" s="2135">
        <f>IFERROR(EC79/DT79*10,0)</f>
        <v>0</v>
      </c>
      <c r="EC79" s="2135">
        <f>DX79+DV79</f>
        <v>0.43296258206250005</v>
      </c>
      <c r="ED79" s="2135"/>
      <c r="EE79" s="2106">
        <f>SUM(N79,X79,AH79,AR79,BB79,BL79,BV79,CF79,CP79,CZ79,DJ79,DT79)</f>
        <v>9.3547045799999999</v>
      </c>
      <c r="EF79" s="2106">
        <f>IFERROR((EG79/EE79)*10,0)</f>
        <v>5.5539444782231726</v>
      </c>
      <c r="EG79" s="2106">
        <f>SUM(P79,Z79,AJ79,AT79,BD79,BN79,BX79,CR79,CH79,DB79,DL79,DV79)</f>
        <v>5.1955509847500023</v>
      </c>
      <c r="EH79" s="2106">
        <f>IFERROR((EI79/EE79)*10,0)</f>
        <v>3.1465955058922166</v>
      </c>
      <c r="EI79" s="2106">
        <f>SUM(R79,AB79,AL79,AV79,BF79,BP79,BZ79,CJ79,CT79,DD79,DN79,DX79)</f>
        <v>2.9435471390377339</v>
      </c>
      <c r="EJ79" s="2106"/>
      <c r="EK79" s="2106"/>
      <c r="EL79" s="2106"/>
      <c r="EM79" s="2106">
        <f>IFERROR(EN79/EE79*10,0)</f>
        <v>8.7005399841153892</v>
      </c>
      <c r="EN79" s="2106">
        <f>EG79+EI79</f>
        <v>8.1390981237877362</v>
      </c>
      <c r="EO79" s="2106"/>
      <c r="EP79" s="2251"/>
      <c r="EQ79" s="2224"/>
      <c r="ER79" s="2210"/>
      <c r="ES79" s="2209" t="e">
        <v>#N/A</v>
      </c>
      <c r="ET79" s="2252"/>
      <c r="EU79" s="2230"/>
      <c r="EV79" s="2252"/>
      <c r="EW79" s="2252"/>
      <c r="EX79" s="2252"/>
      <c r="EY79" s="2253"/>
      <c r="EZ79" s="2253"/>
      <c r="FA79" s="2253"/>
      <c r="FB79" s="2254"/>
      <c r="FC79" s="2255"/>
      <c r="FD79" s="2255"/>
      <c r="FE79" s="2255"/>
      <c r="FF79" s="2255"/>
      <c r="FG79" s="2255"/>
      <c r="FH79" s="2255"/>
      <c r="FI79" s="2255"/>
    </row>
    <row r="80" spans="1:165">
      <c r="A80" s="2220"/>
      <c r="B80" s="2227" t="s">
        <v>211</v>
      </c>
      <c r="C80" s="2234">
        <f>SUM(C43:C77)</f>
        <v>34235.589999999997</v>
      </c>
      <c r="D80" s="2109"/>
      <c r="E80" s="2109"/>
      <c r="F80" s="2235">
        <f>J80/(G80*8.76)</f>
        <v>0.47345142523598366</v>
      </c>
      <c r="G80" s="2162">
        <f>SUM(G43:G77)</f>
        <v>4948.9067999999997</v>
      </c>
      <c r="H80" s="2149"/>
      <c r="I80" s="2237"/>
      <c r="J80" s="2162">
        <f>SUM(J43:J77)</f>
        <v>20525.266725703648</v>
      </c>
      <c r="K80" s="2109"/>
      <c r="L80" s="2109"/>
      <c r="M80" s="2160">
        <f>SUM(M43:M77)</f>
        <v>20015.190260478754</v>
      </c>
      <c r="N80" s="2160">
        <f>SUM(N43:N79)</f>
        <v>980.26688949999993</v>
      </c>
      <c r="O80" s="2109"/>
      <c r="P80" s="2160">
        <f>SUM(P43:P79)</f>
        <v>283.39884598418757</v>
      </c>
      <c r="Q80" s="2109">
        <v>0</v>
      </c>
      <c r="R80" s="2160">
        <f>SUM(R43:R79)</f>
        <v>168.13097665845567</v>
      </c>
      <c r="S80" s="2109"/>
      <c r="T80" s="2160">
        <f>SUM(T43:T79)</f>
        <v>0</v>
      </c>
      <c r="U80" s="2109"/>
      <c r="V80" s="2109"/>
      <c r="W80" s="2160">
        <f>SUM(W43:W79)</f>
        <v>451.52982264264318</v>
      </c>
      <c r="X80" s="2160">
        <f>SUM(X43:X79)</f>
        <v>2328.7038283049328</v>
      </c>
      <c r="Y80" s="2109"/>
      <c r="Z80" s="2160">
        <f>SUM(Z43:Z79)</f>
        <v>283.39884598418757</v>
      </c>
      <c r="AA80" s="2109">
        <v>0</v>
      </c>
      <c r="AB80" s="2160">
        <f>SUM(AB43:AB79)</f>
        <v>546.09464753370423</v>
      </c>
      <c r="AC80" s="2109"/>
      <c r="AD80" s="2160">
        <f>SUM(AD43:AD77)</f>
        <v>0</v>
      </c>
      <c r="AE80" s="2109"/>
      <c r="AF80" s="2109"/>
      <c r="AG80" s="2160">
        <f>SUM(AG43:AG79)</f>
        <v>829.49349351789135</v>
      </c>
      <c r="AH80" s="2160">
        <f>SUM(AH43:AH79)</f>
        <v>2539.0059620824131</v>
      </c>
      <c r="AI80" s="2109"/>
      <c r="AJ80" s="2160">
        <f>SUM(AJ43:AJ79)</f>
        <v>283.39884598418757</v>
      </c>
      <c r="AK80" s="2109">
        <v>0</v>
      </c>
      <c r="AL80" s="2160">
        <f>SUM(AL43:AL79)</f>
        <v>635.19075290503577</v>
      </c>
      <c r="AM80" s="2109"/>
      <c r="AN80" s="2160">
        <f>SUM(AN43:AN77)</f>
        <v>0</v>
      </c>
      <c r="AO80" s="2109"/>
      <c r="AP80" s="2236"/>
      <c r="AQ80" s="2160">
        <f>SUM(AQ43:AQ79)</f>
        <v>918.58959888922323</v>
      </c>
      <c r="AR80" s="2160">
        <f>SUM(AR43:AR79)</f>
        <v>2644.2140086415079</v>
      </c>
      <c r="AS80" s="2109"/>
      <c r="AT80" s="2160">
        <f>SUM(AT43:AT79)</f>
        <v>283.39884598418757</v>
      </c>
      <c r="AU80" s="2109">
        <v>0</v>
      </c>
      <c r="AV80" s="2160">
        <f>SUM(AV43:AV79)</f>
        <v>675.43203618688528</v>
      </c>
      <c r="AW80" s="2109"/>
      <c r="AX80" s="2160">
        <f>SUM(AX43:AX77)</f>
        <v>0</v>
      </c>
      <c r="AY80" s="2109"/>
      <c r="AZ80" s="2135"/>
      <c r="BA80" s="2160">
        <f>SUM(BA43:BA79)</f>
        <v>958.83088217107263</v>
      </c>
      <c r="BB80" s="2160">
        <f>SUM(BB43:BB79)</f>
        <v>2501.7754850946681</v>
      </c>
      <c r="BC80" s="2109"/>
      <c r="BD80" s="2160">
        <f>SUM(BD43:BD79)</f>
        <v>283.39884598418757</v>
      </c>
      <c r="BE80" s="2109">
        <v>0</v>
      </c>
      <c r="BF80" s="2160">
        <f>SUM(BF43:BF79)</f>
        <v>596.79997385069623</v>
      </c>
      <c r="BG80" s="2109"/>
      <c r="BH80" s="2160">
        <f>SUM(BH43:BH77)</f>
        <v>0</v>
      </c>
      <c r="BI80" s="2109"/>
      <c r="BJ80" s="2236"/>
      <c r="BK80" s="2160">
        <f>SUM(BK43:BK79)</f>
        <v>880.19881983488347</v>
      </c>
      <c r="BL80" s="2160">
        <f>SUM(BL43:BL79)</f>
        <v>2521.3795740801211</v>
      </c>
      <c r="BM80" s="2109"/>
      <c r="BN80" s="2160">
        <f>SUM(BN43:BN79)</f>
        <v>283.39884598418757</v>
      </c>
      <c r="BO80" s="2109">
        <v>0</v>
      </c>
      <c r="BP80" s="2160">
        <f>SUM(BP43:BP79)</f>
        <v>628.3722614883078</v>
      </c>
      <c r="BQ80" s="2109"/>
      <c r="BR80" s="2160">
        <f>SUM(BR43:BR77)</f>
        <v>0</v>
      </c>
      <c r="BS80" s="2236">
        <f>SUM(BS43:BS77)</f>
        <v>0</v>
      </c>
      <c r="BT80" s="2236"/>
      <c r="BU80" s="2160">
        <f>SUM(BU43:BU79)</f>
        <v>911.77110747249537</v>
      </c>
      <c r="BV80" s="2160">
        <f>SUM(BV43:BV79)</f>
        <v>1158.2222455399999</v>
      </c>
      <c r="BW80" s="2109"/>
      <c r="BX80" s="2160">
        <f>SUM(BX43:BX79)</f>
        <v>283.39884598418757</v>
      </c>
      <c r="BY80" s="2109">
        <v>0</v>
      </c>
      <c r="BZ80" s="2160">
        <f>SUM(BZ43:BZ79)</f>
        <v>187.48469312755347</v>
      </c>
      <c r="CA80" s="2109"/>
      <c r="CB80" s="2160">
        <f>SUM(CB43:CB77)</f>
        <v>0</v>
      </c>
      <c r="CC80" s="2236">
        <f>SUM(CC43:CC77)</f>
        <v>0</v>
      </c>
      <c r="CD80" s="2236"/>
      <c r="CE80" s="2160">
        <f>SUM(CE43:CE79)</f>
        <v>470.88353911174107</v>
      </c>
      <c r="CF80" s="2160">
        <f>SUM(CF43:CF79)</f>
        <v>1162.9839840299999</v>
      </c>
      <c r="CG80" s="2109"/>
      <c r="CH80" s="2160">
        <f>SUM(CH43:CH79)</f>
        <v>283.39884598418757</v>
      </c>
      <c r="CI80" s="2109">
        <v>0</v>
      </c>
      <c r="CJ80" s="2160">
        <f>SUM(CJ43:CJ79)</f>
        <v>187.89896977580733</v>
      </c>
      <c r="CK80" s="2109"/>
      <c r="CL80" s="2160">
        <f>SUM(CL43:CL77)</f>
        <v>0</v>
      </c>
      <c r="CM80" s="2236">
        <f>SUM(CM43:CM77)</f>
        <v>0</v>
      </c>
      <c r="CN80" s="2236"/>
      <c r="CO80" s="2160">
        <f>SUM(CO43:CO79)</f>
        <v>471.29781575999482</v>
      </c>
      <c r="CP80" s="2160">
        <f>SUM(CP43:CP79)</f>
        <v>1170.227244603333</v>
      </c>
      <c r="CQ80" s="2109"/>
      <c r="CR80" s="2160">
        <f>SUM(CR43:CR79)</f>
        <v>283.39884598418757</v>
      </c>
      <c r="CS80" s="2109">
        <v>0</v>
      </c>
      <c r="CT80" s="2160">
        <f>SUM(CT43:CT79)</f>
        <v>189.23785968663407</v>
      </c>
      <c r="CU80" s="2109"/>
      <c r="CV80" s="2160">
        <f>SUM(CV43:CV77)</f>
        <v>0</v>
      </c>
      <c r="CW80" s="2236">
        <f>SUM(CW43:CW77)</f>
        <v>0</v>
      </c>
      <c r="CX80" s="2236"/>
      <c r="CY80" s="2160">
        <f>SUM(CY43:CY79)</f>
        <v>472.63670567082153</v>
      </c>
      <c r="CZ80" s="2160">
        <f>SUM(CZ43:CZ79)</f>
        <v>1192.920649043333</v>
      </c>
      <c r="DA80" s="2109"/>
      <c r="DB80" s="2160">
        <f>SUM(DB43:DB79)</f>
        <v>283.39884598418757</v>
      </c>
      <c r="DC80" s="2109"/>
      <c r="DD80" s="2160">
        <f>SUM(DD43:DD79)</f>
        <v>192.80554309634002</v>
      </c>
      <c r="DE80" s="2109"/>
      <c r="DF80" s="2160">
        <f>SUM(DF43:DF77)</f>
        <v>0</v>
      </c>
      <c r="DG80" s="2236">
        <f>SUM(DG43:DG77)</f>
        <v>0</v>
      </c>
      <c r="DH80" s="2236"/>
      <c r="DI80" s="2160">
        <f>SUM(DI43:DI79)</f>
        <v>476.20438908052756</v>
      </c>
      <c r="DJ80" s="2160">
        <f>SUM(DJ43:DJ79)</f>
        <v>1166.3135449733336</v>
      </c>
      <c r="DK80" s="2109"/>
      <c r="DL80" s="2160">
        <f>SUM(DL43:DL79)</f>
        <v>283.39884598418757</v>
      </c>
      <c r="DM80" s="2109">
        <v>0</v>
      </c>
      <c r="DN80" s="2160">
        <f>SUM(DN43:DN79)</f>
        <v>195.27354714366984</v>
      </c>
      <c r="DO80" s="2109"/>
      <c r="DP80" s="2160">
        <f>SUM(DP43:DP77)</f>
        <v>0</v>
      </c>
      <c r="DQ80" s="2236">
        <f>SUM(DQ43:DQ77)</f>
        <v>0</v>
      </c>
      <c r="DR80" s="2236"/>
      <c r="DS80" s="2236">
        <f>SUM(DS43:DS79)</f>
        <v>478.67239312785733</v>
      </c>
      <c r="DT80" s="2160">
        <f>SUM(DT43:DT79)</f>
        <v>1184.2676368099997</v>
      </c>
      <c r="DU80" s="2109"/>
      <c r="DV80" s="2160">
        <f>SUM(DV43:DV79)</f>
        <v>283.39884598418757</v>
      </c>
      <c r="DW80" s="2109">
        <v>0</v>
      </c>
      <c r="DX80" s="2160">
        <f>SUM(DX43:DX79)</f>
        <v>191.52981940034971</v>
      </c>
      <c r="DY80" s="2109"/>
      <c r="DZ80" s="2160">
        <f>SUM(DZ43:DZ77)</f>
        <v>0</v>
      </c>
      <c r="EA80" s="2236">
        <f>SUM(EA43:EA77)</f>
        <v>0</v>
      </c>
      <c r="EB80" s="2236"/>
      <c r="EC80" s="2160">
        <f>SUM(EC43:EC79)</f>
        <v>474.92866538453723</v>
      </c>
      <c r="ED80" s="2236">
        <f>SUM(ED43:ED77)</f>
        <v>0</v>
      </c>
      <c r="EE80" s="2107">
        <f>SUM(EE43:EE79)</f>
        <v>20550.281052703649</v>
      </c>
      <c r="EF80" s="2106">
        <f>IFERROR((EG80/EE80)*10,0)</f>
        <v>1.6548611394114408</v>
      </c>
      <c r="EG80" s="2107">
        <f>SUM(EG43:EG79)</f>
        <v>3400.78615181025</v>
      </c>
      <c r="EH80" s="2106">
        <f>IFERROR((EI80/EE80)*10,0)</f>
        <v>2.1382924494238589</v>
      </c>
      <c r="EI80" s="2107">
        <f>SUM(EI43:EI79)</f>
        <v>4394.2510808534398</v>
      </c>
      <c r="EJ80" s="2107">
        <f>SUM(EJ43:EJ77)</f>
        <v>0</v>
      </c>
      <c r="EK80" s="2107">
        <f>SUM(EK43:EK77)</f>
        <v>0</v>
      </c>
      <c r="EL80" s="2107">
        <f>SUM(EL43:EL77)</f>
        <v>0</v>
      </c>
      <c r="EM80" s="2106">
        <f>IFERROR(EN80/EE80*10,0)</f>
        <v>3.7931535888352985</v>
      </c>
      <c r="EN80" s="2107">
        <f>SUM(EN43:EN79)</f>
        <v>7795.037232663688</v>
      </c>
      <c r="EO80" s="2239"/>
      <c r="EP80" s="2240"/>
      <c r="EQ80" s="2224"/>
      <c r="ER80" s="2210"/>
      <c r="ES80" s="2209" t="e">
        <v>#N/A</v>
      </c>
      <c r="ET80" s="2241"/>
      <c r="EU80" s="2230"/>
      <c r="EV80" s="2241"/>
      <c r="EW80" s="2241"/>
      <c r="EX80" s="2241"/>
      <c r="EY80" s="2244"/>
      <c r="EZ80" s="2244"/>
      <c r="FA80" s="2244"/>
      <c r="FB80" s="2242"/>
      <c r="FC80" s="2243"/>
      <c r="FD80" s="2243"/>
      <c r="FE80" s="2243"/>
      <c r="FF80" s="2243"/>
      <c r="FG80" s="2243"/>
      <c r="FH80" s="2243"/>
      <c r="FI80" s="2243"/>
    </row>
    <row r="81" spans="1:165">
      <c r="A81" s="2220"/>
      <c r="B81" s="2145"/>
      <c r="C81" s="2145"/>
      <c r="D81" s="2145"/>
      <c r="E81" s="2145"/>
      <c r="F81" s="2145"/>
      <c r="G81" s="1592"/>
      <c r="H81" s="2149"/>
      <c r="I81" s="2237"/>
      <c r="J81" s="2149"/>
      <c r="K81" s="2145"/>
      <c r="L81" s="2145"/>
      <c r="M81" s="2152"/>
      <c r="N81" s="2149">
        <v>0</v>
      </c>
      <c r="O81" s="2109"/>
      <c r="P81" s="2109">
        <v>0</v>
      </c>
      <c r="Q81" s="2109">
        <v>0</v>
      </c>
      <c r="R81" s="2109">
        <f t="shared" si="156"/>
        <v>0</v>
      </c>
      <c r="S81" s="2109"/>
      <c r="T81" s="2109"/>
      <c r="U81" s="2109"/>
      <c r="V81" s="2109"/>
      <c r="W81" s="2109"/>
      <c r="X81" s="2149">
        <v>0</v>
      </c>
      <c r="Y81" s="2109"/>
      <c r="Z81" s="2109">
        <v>0</v>
      </c>
      <c r="AA81" s="2109">
        <v>0</v>
      </c>
      <c r="AB81" s="2109">
        <f t="shared" si="157"/>
        <v>0</v>
      </c>
      <c r="AC81" s="2135"/>
      <c r="AD81" s="2135"/>
      <c r="AE81" s="2135"/>
      <c r="AF81" s="2135"/>
      <c r="AG81" s="2135"/>
      <c r="AH81" s="2149">
        <v>0</v>
      </c>
      <c r="AI81" s="2109"/>
      <c r="AJ81" s="2109">
        <v>0</v>
      </c>
      <c r="AK81" s="2109">
        <v>0</v>
      </c>
      <c r="AL81" s="2109">
        <f t="shared" si="158"/>
        <v>0</v>
      </c>
      <c r="AM81" s="2135"/>
      <c r="AN81" s="2135"/>
      <c r="AO81" s="2238"/>
      <c r="AP81" s="2135"/>
      <c r="AQ81" s="2135"/>
      <c r="AR81" s="2149">
        <v>0</v>
      </c>
      <c r="AS81" s="2109"/>
      <c r="AT81" s="2109">
        <v>0</v>
      </c>
      <c r="AU81" s="2109">
        <v>0</v>
      </c>
      <c r="AV81" s="2109">
        <f t="shared" si="159"/>
        <v>0</v>
      </c>
      <c r="AW81" s="2135"/>
      <c r="AX81" s="2135"/>
      <c r="AY81" s="2238"/>
      <c r="AZ81" s="2135"/>
      <c r="BA81" s="2135"/>
      <c r="BB81" s="2149">
        <v>0</v>
      </c>
      <c r="BC81" s="2109"/>
      <c r="BD81" s="2109">
        <v>0</v>
      </c>
      <c r="BE81" s="2109">
        <v>0</v>
      </c>
      <c r="BF81" s="2109">
        <f t="shared" si="160"/>
        <v>0</v>
      </c>
      <c r="BG81" s="2135"/>
      <c r="BH81" s="2135"/>
      <c r="BI81" s="2238"/>
      <c r="BJ81" s="2135"/>
      <c r="BK81" s="2135"/>
      <c r="BL81" s="2149">
        <v>0</v>
      </c>
      <c r="BM81" s="2109"/>
      <c r="BN81" s="2109">
        <v>0</v>
      </c>
      <c r="BO81" s="2109">
        <v>0</v>
      </c>
      <c r="BP81" s="2109">
        <f t="shared" si="161"/>
        <v>0</v>
      </c>
      <c r="BQ81" s="2135"/>
      <c r="BR81" s="2135"/>
      <c r="BS81" s="2135"/>
      <c r="BT81" s="2135"/>
      <c r="BU81" s="2135"/>
      <c r="BV81" s="2149">
        <v>0</v>
      </c>
      <c r="BW81" s="2109"/>
      <c r="BX81" s="2109">
        <v>0</v>
      </c>
      <c r="BY81" s="2109">
        <v>0</v>
      </c>
      <c r="BZ81" s="2109">
        <f t="shared" si="162"/>
        <v>0</v>
      </c>
      <c r="CA81" s="2135"/>
      <c r="CB81" s="2135"/>
      <c r="CC81" s="2135"/>
      <c r="CD81" s="2135"/>
      <c r="CE81" s="2135"/>
      <c r="CF81" s="2149">
        <v>0</v>
      </c>
      <c r="CG81" s="2109"/>
      <c r="CH81" s="2109">
        <v>0</v>
      </c>
      <c r="CI81" s="2109">
        <v>0</v>
      </c>
      <c r="CJ81" s="2109">
        <f t="shared" si="163"/>
        <v>0</v>
      </c>
      <c r="CK81" s="2135"/>
      <c r="CL81" s="2135"/>
      <c r="CM81" s="2238"/>
      <c r="CN81" s="2135"/>
      <c r="CO81" s="2135"/>
      <c r="CP81" s="2149">
        <v>0</v>
      </c>
      <c r="CQ81" s="2109"/>
      <c r="CR81" s="2109">
        <v>0</v>
      </c>
      <c r="CS81" s="2109">
        <v>0</v>
      </c>
      <c r="CT81" s="2109">
        <f t="shared" si="164"/>
        <v>0</v>
      </c>
      <c r="CU81" s="2135"/>
      <c r="CV81" s="2135"/>
      <c r="CW81" s="2238"/>
      <c r="CX81" s="2135"/>
      <c r="CY81" s="2135"/>
      <c r="CZ81" s="2149">
        <v>0</v>
      </c>
      <c r="DA81" s="2109"/>
      <c r="DB81" s="2109">
        <v>0</v>
      </c>
      <c r="DC81" s="2109">
        <v>0</v>
      </c>
      <c r="DD81" s="2109">
        <f t="shared" si="165"/>
        <v>0</v>
      </c>
      <c r="DE81" s="2135"/>
      <c r="DF81" s="2135"/>
      <c r="DG81" s="2238"/>
      <c r="DH81" s="2135"/>
      <c r="DI81" s="2135"/>
      <c r="DJ81" s="2149">
        <v>0</v>
      </c>
      <c r="DK81" s="2109"/>
      <c r="DL81" s="2109">
        <v>0</v>
      </c>
      <c r="DM81" s="2109">
        <v>0</v>
      </c>
      <c r="DN81" s="2109">
        <f t="shared" si="166"/>
        <v>0</v>
      </c>
      <c r="DO81" s="2135"/>
      <c r="DP81" s="2135"/>
      <c r="DQ81" s="2238"/>
      <c r="DR81" s="2135"/>
      <c r="DS81" s="2135"/>
      <c r="DT81" s="2149">
        <v>0</v>
      </c>
      <c r="DU81" s="2109"/>
      <c r="DV81" s="2109">
        <v>0</v>
      </c>
      <c r="DW81" s="2109">
        <v>0</v>
      </c>
      <c r="DX81" s="2109">
        <f t="shared" si="167"/>
        <v>0</v>
      </c>
      <c r="DY81" s="2135"/>
      <c r="DZ81" s="2135"/>
      <c r="EA81" s="2135"/>
      <c r="EB81" s="2135"/>
      <c r="EC81" s="2135"/>
      <c r="ED81" s="2135"/>
      <c r="EE81" s="2107"/>
      <c r="EF81" s="2106"/>
      <c r="EG81" s="2106"/>
      <c r="EH81" s="2106"/>
      <c r="EI81" s="2106"/>
      <c r="EJ81" s="2106"/>
      <c r="EK81" s="2106"/>
      <c r="EL81" s="2106"/>
      <c r="EM81" s="2106"/>
      <c r="EN81" s="2106"/>
      <c r="EO81" s="2239"/>
      <c r="EP81" s="2240"/>
      <c r="EQ81" s="2224"/>
      <c r="ER81" s="2210"/>
      <c r="ES81" s="2209" t="e">
        <v>#N/A</v>
      </c>
      <c r="ET81" s="2241"/>
      <c r="EU81" s="2230"/>
      <c r="EV81" s="2241"/>
      <c r="EW81" s="2241"/>
      <c r="EX81" s="2241"/>
      <c r="EY81" s="2244"/>
      <c r="EZ81" s="2244"/>
      <c r="FA81" s="2244"/>
      <c r="FB81" s="2242"/>
      <c r="FC81" s="2243"/>
      <c r="FD81" s="2243"/>
      <c r="FE81" s="2243"/>
      <c r="FF81" s="2243"/>
      <c r="FG81" s="2243"/>
      <c r="FH81" s="2243"/>
      <c r="FI81" s="2243"/>
    </row>
    <row r="82" spans="1:165">
      <c r="A82" s="2220" t="s">
        <v>26</v>
      </c>
      <c r="B82" s="2233" t="s">
        <v>1715</v>
      </c>
      <c r="C82" s="2145"/>
      <c r="D82" s="2145"/>
      <c r="E82" s="2145"/>
      <c r="F82" s="2145"/>
      <c r="G82" s="1592"/>
      <c r="H82" s="2149"/>
      <c r="I82" s="2237"/>
      <c r="J82" s="2149"/>
      <c r="K82" s="2145"/>
      <c r="L82" s="2145"/>
      <c r="M82" s="2152"/>
      <c r="N82" s="2149">
        <v>0</v>
      </c>
      <c r="O82" s="2109"/>
      <c r="P82" s="2109">
        <v>0</v>
      </c>
      <c r="Q82" s="2109">
        <v>0</v>
      </c>
      <c r="R82" s="2109">
        <f t="shared" si="156"/>
        <v>0</v>
      </c>
      <c r="S82" s="2109"/>
      <c r="T82" s="2109"/>
      <c r="U82" s="2109"/>
      <c r="V82" s="2109"/>
      <c r="W82" s="2109"/>
      <c r="X82" s="2149">
        <v>0</v>
      </c>
      <c r="Y82" s="2109"/>
      <c r="Z82" s="2109">
        <v>0</v>
      </c>
      <c r="AA82" s="2109">
        <v>0</v>
      </c>
      <c r="AB82" s="2109">
        <f t="shared" si="157"/>
        <v>0</v>
      </c>
      <c r="AC82" s="2135"/>
      <c r="AD82" s="2135"/>
      <c r="AE82" s="2135"/>
      <c r="AF82" s="2135"/>
      <c r="AG82" s="2135"/>
      <c r="AH82" s="2149">
        <v>0</v>
      </c>
      <c r="AI82" s="2109"/>
      <c r="AJ82" s="2109">
        <v>0</v>
      </c>
      <c r="AK82" s="2109">
        <v>0</v>
      </c>
      <c r="AL82" s="2109">
        <f t="shared" si="158"/>
        <v>0</v>
      </c>
      <c r="AM82" s="2135"/>
      <c r="AN82" s="2135"/>
      <c r="AO82" s="2238"/>
      <c r="AP82" s="2135"/>
      <c r="AQ82" s="2135"/>
      <c r="AR82" s="2149">
        <v>0</v>
      </c>
      <c r="AS82" s="2109"/>
      <c r="AT82" s="2109">
        <v>0</v>
      </c>
      <c r="AU82" s="2109">
        <v>0</v>
      </c>
      <c r="AV82" s="2109">
        <f t="shared" si="159"/>
        <v>0</v>
      </c>
      <c r="AW82" s="2135"/>
      <c r="AX82" s="2135"/>
      <c r="AY82" s="2238"/>
      <c r="AZ82" s="2135"/>
      <c r="BA82" s="2135"/>
      <c r="BB82" s="2149">
        <v>0</v>
      </c>
      <c r="BC82" s="2109"/>
      <c r="BD82" s="2109">
        <v>0</v>
      </c>
      <c r="BE82" s="2109">
        <v>0</v>
      </c>
      <c r="BF82" s="2109">
        <f t="shared" si="160"/>
        <v>0</v>
      </c>
      <c r="BG82" s="2135"/>
      <c r="BH82" s="2135"/>
      <c r="BI82" s="2238"/>
      <c r="BJ82" s="2135"/>
      <c r="BK82" s="2135"/>
      <c r="BL82" s="2149">
        <v>0</v>
      </c>
      <c r="BM82" s="2109"/>
      <c r="BN82" s="2109">
        <v>0</v>
      </c>
      <c r="BO82" s="2109">
        <v>0</v>
      </c>
      <c r="BP82" s="2109">
        <f t="shared" si="161"/>
        <v>0</v>
      </c>
      <c r="BQ82" s="2135"/>
      <c r="BR82" s="2135"/>
      <c r="BS82" s="2135"/>
      <c r="BT82" s="2135"/>
      <c r="BU82" s="2135"/>
      <c r="BV82" s="2149">
        <v>0</v>
      </c>
      <c r="BW82" s="2109"/>
      <c r="BX82" s="2109">
        <v>0</v>
      </c>
      <c r="BY82" s="2109">
        <v>0</v>
      </c>
      <c r="BZ82" s="2109">
        <f t="shared" si="162"/>
        <v>0</v>
      </c>
      <c r="CA82" s="2135"/>
      <c r="CB82" s="2135"/>
      <c r="CC82" s="2135"/>
      <c r="CD82" s="2135"/>
      <c r="CE82" s="2135"/>
      <c r="CF82" s="2149">
        <v>0</v>
      </c>
      <c r="CG82" s="2109"/>
      <c r="CH82" s="2109">
        <v>0</v>
      </c>
      <c r="CI82" s="2109">
        <v>0</v>
      </c>
      <c r="CJ82" s="2109">
        <f t="shared" si="163"/>
        <v>0</v>
      </c>
      <c r="CK82" s="2135"/>
      <c r="CL82" s="2135"/>
      <c r="CM82" s="2238"/>
      <c r="CN82" s="2135"/>
      <c r="CO82" s="2135"/>
      <c r="CP82" s="2149">
        <v>0</v>
      </c>
      <c r="CQ82" s="2109"/>
      <c r="CR82" s="2109">
        <v>0</v>
      </c>
      <c r="CS82" s="2109">
        <v>0</v>
      </c>
      <c r="CT82" s="2109">
        <f t="shared" si="164"/>
        <v>0</v>
      </c>
      <c r="CU82" s="2135"/>
      <c r="CV82" s="2135"/>
      <c r="CW82" s="2238"/>
      <c r="CX82" s="2135"/>
      <c r="CY82" s="2135"/>
      <c r="CZ82" s="2149">
        <v>0</v>
      </c>
      <c r="DA82" s="2109"/>
      <c r="DB82" s="2109">
        <v>0</v>
      </c>
      <c r="DC82" s="2109">
        <v>0</v>
      </c>
      <c r="DD82" s="2109">
        <f t="shared" si="165"/>
        <v>0</v>
      </c>
      <c r="DE82" s="2135"/>
      <c r="DF82" s="2135"/>
      <c r="DG82" s="2238"/>
      <c r="DH82" s="2135"/>
      <c r="DI82" s="2135"/>
      <c r="DJ82" s="2149">
        <v>0</v>
      </c>
      <c r="DK82" s="2109"/>
      <c r="DL82" s="2109">
        <v>0</v>
      </c>
      <c r="DM82" s="2109">
        <v>0</v>
      </c>
      <c r="DN82" s="2109">
        <f t="shared" si="166"/>
        <v>0</v>
      </c>
      <c r="DO82" s="2135"/>
      <c r="DP82" s="2135"/>
      <c r="DQ82" s="2238"/>
      <c r="DR82" s="2135"/>
      <c r="DS82" s="2135"/>
      <c r="DT82" s="2149">
        <v>0</v>
      </c>
      <c r="DU82" s="2109"/>
      <c r="DV82" s="2109">
        <v>0</v>
      </c>
      <c r="DW82" s="2109">
        <v>0</v>
      </c>
      <c r="DX82" s="2109">
        <f t="shared" si="167"/>
        <v>0</v>
      </c>
      <c r="DY82" s="2135"/>
      <c r="DZ82" s="2135"/>
      <c r="EA82" s="2135"/>
      <c r="EB82" s="2135"/>
      <c r="EC82" s="2135"/>
      <c r="ED82" s="2135"/>
      <c r="EE82" s="2107"/>
      <c r="EF82" s="2106"/>
      <c r="EG82" s="2106"/>
      <c r="EH82" s="2106"/>
      <c r="EI82" s="2106"/>
      <c r="EJ82" s="2106"/>
      <c r="EK82" s="2106"/>
      <c r="EL82" s="2106"/>
      <c r="EM82" s="2106"/>
      <c r="EN82" s="2106"/>
      <c r="EO82" s="2239"/>
      <c r="EP82" s="2240"/>
      <c r="EQ82" s="2224"/>
      <c r="ER82" s="2210"/>
      <c r="ES82" s="2209" t="e">
        <v>#N/A</v>
      </c>
      <c r="ET82" s="2241"/>
      <c r="EU82" s="2230"/>
      <c r="EV82" s="2241"/>
      <c r="EW82" s="2241"/>
      <c r="EX82" s="2241"/>
      <c r="EY82" s="2244"/>
      <c r="EZ82" s="2244"/>
      <c r="FA82" s="2244"/>
      <c r="FB82" s="2242"/>
      <c r="FC82" s="2243"/>
      <c r="FD82" s="2243"/>
      <c r="FE82" s="2243"/>
      <c r="FF82" s="2243"/>
      <c r="FG82" s="2243"/>
      <c r="FH82" s="2243"/>
      <c r="FI82" s="2243"/>
    </row>
    <row r="83" spans="1:165">
      <c r="A83" s="2220">
        <v>1</v>
      </c>
      <c r="B83" s="2145" t="s">
        <v>1716</v>
      </c>
      <c r="C83" s="2146">
        <v>440</v>
      </c>
      <c r="D83" s="2147">
        <f>G83/C83</f>
        <v>3.7499999999999999E-3</v>
      </c>
      <c r="E83" s="2146"/>
      <c r="F83" s="2148"/>
      <c r="G83" s="2146">
        <v>1.65</v>
      </c>
      <c r="H83" s="2149" t="s">
        <v>1717</v>
      </c>
      <c r="I83" s="2229">
        <v>1</v>
      </c>
      <c r="J83" s="2149">
        <v>5.6572429086021518</v>
      </c>
      <c r="K83" s="2148">
        <v>3.4703846153846141E-2</v>
      </c>
      <c r="L83" s="2151"/>
      <c r="M83" s="2152">
        <f>J83*(1-K83)*(1-L83)</f>
        <v>5.4609148210470861</v>
      </c>
      <c r="N83" s="2149">
        <v>0.38955066666666671</v>
      </c>
      <c r="O83" s="2109">
        <f>IFERROR(P83/N83*10,0)</f>
        <v>0</v>
      </c>
      <c r="P83" s="2109">
        <v>0</v>
      </c>
      <c r="Q83" s="2109">
        <v>2.3974872053829137</v>
      </c>
      <c r="R83" s="2109">
        <f t="shared" si="156"/>
        <v>9.3394273918171775E-2</v>
      </c>
      <c r="S83" s="2109"/>
      <c r="T83" s="2109"/>
      <c r="U83" s="2109"/>
      <c r="V83" s="2109">
        <f>IFERROR(W83/N83*10,0)</f>
        <v>2.3974872053829137</v>
      </c>
      <c r="W83" s="2109">
        <f>P83+R83</f>
        <v>9.3394273918171775E-2</v>
      </c>
      <c r="X83" s="2149">
        <v>0.43335333333333337</v>
      </c>
      <c r="Y83" s="2109">
        <f>IFERROR(Z83/X83*10,0)</f>
        <v>0</v>
      </c>
      <c r="Z83" s="2109">
        <v>0</v>
      </c>
      <c r="AA83" s="2109">
        <v>2.3974872053829137</v>
      </c>
      <c r="AB83" s="2109">
        <f t="shared" si="157"/>
        <v>0.10389590720767036</v>
      </c>
      <c r="AC83" s="2135"/>
      <c r="AD83" s="2135"/>
      <c r="AE83" s="2135"/>
      <c r="AF83" s="2135">
        <f>IFERROR(AG83/X83*10,0)</f>
        <v>2.3974872053829137</v>
      </c>
      <c r="AG83" s="2135">
        <f>Z83+AB83</f>
        <v>0.10389590720767036</v>
      </c>
      <c r="AH83" s="2149">
        <v>0.48992333333333338</v>
      </c>
      <c r="AI83" s="2109">
        <f>IFERROR(AJ83/AH83*10,0)</f>
        <v>0</v>
      </c>
      <c r="AJ83" s="2109">
        <v>0</v>
      </c>
      <c r="AK83" s="2109">
        <v>2.3974872053829137</v>
      </c>
      <c r="AL83" s="2109">
        <f t="shared" si="158"/>
        <v>0.11745849232852153</v>
      </c>
      <c r="AM83" s="2135"/>
      <c r="AN83" s="2135"/>
      <c r="AO83" s="2135"/>
      <c r="AP83" s="2135">
        <f t="shared" ref="AP83:AP88" si="168">IFERROR(AQ83/AH83*10,0)</f>
        <v>2.3974872053829142</v>
      </c>
      <c r="AQ83" s="2135">
        <f>AL83+AJ83</f>
        <v>0.11745849232852153</v>
      </c>
      <c r="AR83" s="2149">
        <v>0.46805666666666662</v>
      </c>
      <c r="AS83" s="2109">
        <f>IFERROR(AT83/AR83*10,0)</f>
        <v>0</v>
      </c>
      <c r="AT83" s="2109">
        <v>0</v>
      </c>
      <c r="AU83" s="2109">
        <v>2.3974872053829137</v>
      </c>
      <c r="AV83" s="2109">
        <f t="shared" si="159"/>
        <v>0.11221598697275086</v>
      </c>
      <c r="AW83" s="2135"/>
      <c r="AX83" s="2135"/>
      <c r="AY83" s="2135"/>
      <c r="AZ83" s="2135">
        <f>IFERROR(BA83/AR83*10,0)</f>
        <v>2.3974872053829137</v>
      </c>
      <c r="BA83" s="2135">
        <f>AV83+AT83</f>
        <v>0.11221598697275086</v>
      </c>
      <c r="BB83" s="2149">
        <v>0.46867766666666671</v>
      </c>
      <c r="BC83" s="2109">
        <f>IFERROR(BD83/BB83*10,0)</f>
        <v>0</v>
      </c>
      <c r="BD83" s="2109">
        <v>0</v>
      </c>
      <c r="BE83" s="2109">
        <v>2.3974872053829137</v>
      </c>
      <c r="BF83" s="2109">
        <f t="shared" si="160"/>
        <v>0.11236487092820516</v>
      </c>
      <c r="BG83" s="2135"/>
      <c r="BH83" s="2135"/>
      <c r="BI83" s="2135"/>
      <c r="BJ83" s="2135">
        <f>IFERROR(BK83/BB83*10,0)</f>
        <v>2.3974872053829137</v>
      </c>
      <c r="BK83" s="2135">
        <f>BF83+BD83</f>
        <v>0.11236487092820516</v>
      </c>
      <c r="BL83" s="2149">
        <v>0.42526774193548389</v>
      </c>
      <c r="BM83" s="2109">
        <f>IFERROR(BN83/BL83*10,0)</f>
        <v>0</v>
      </c>
      <c r="BN83" s="2109">
        <v>0</v>
      </c>
      <c r="BO83" s="2109">
        <v>2.3974872053829137</v>
      </c>
      <c r="BP83" s="2109">
        <f t="shared" si="161"/>
        <v>0.10195739701524054</v>
      </c>
      <c r="BQ83" s="2135"/>
      <c r="BR83" s="2135"/>
      <c r="BS83" s="2135"/>
      <c r="BT83" s="2135">
        <f>IFERROR(BU83/BL83*10,0)</f>
        <v>2.3974872053829137</v>
      </c>
      <c r="BU83" s="2135">
        <f>BP83+BN83</f>
        <v>0.10195739701524054</v>
      </c>
      <c r="BV83" s="2149">
        <v>0.53658333333333341</v>
      </c>
      <c r="BW83" s="2109">
        <f>IFERROR(BX83/BV83*10,0)</f>
        <v>0</v>
      </c>
      <c r="BX83" s="2109">
        <v>0</v>
      </c>
      <c r="BY83" s="2109">
        <v>2.3974872053829137</v>
      </c>
      <c r="BZ83" s="2109">
        <f t="shared" si="162"/>
        <v>0.12864516762883821</v>
      </c>
      <c r="CA83" s="2135"/>
      <c r="CB83" s="2135"/>
      <c r="CC83" s="2135"/>
      <c r="CD83" s="2135">
        <f>IFERROR(CE83/BV83*10,0)</f>
        <v>2.3974872053829137</v>
      </c>
      <c r="CE83" s="2135">
        <f>BZ83+BX83</f>
        <v>0.12864516762883821</v>
      </c>
      <c r="CF83" s="2149">
        <v>0.47937250000000003</v>
      </c>
      <c r="CG83" s="2109">
        <f>IFERROR(CH83/CF83*10,0)</f>
        <v>0</v>
      </c>
      <c r="CH83" s="2109">
        <v>0</v>
      </c>
      <c r="CI83" s="2109">
        <v>2.3974872053829137</v>
      </c>
      <c r="CJ83" s="2109">
        <f t="shared" si="163"/>
        <v>0.11492894353624208</v>
      </c>
      <c r="CK83" s="2135"/>
      <c r="CL83" s="2135"/>
      <c r="CM83" s="2135"/>
      <c r="CN83" s="2135">
        <f>IFERROR(CO83/CF83*10,0)</f>
        <v>2.3974872053829137</v>
      </c>
      <c r="CO83" s="2135">
        <f>CJ83+CH83</f>
        <v>0.11492894353624208</v>
      </c>
      <c r="CP83" s="2149">
        <v>0.49430266666666678</v>
      </c>
      <c r="CQ83" s="2109">
        <f>IFERROR(CR83/CP83*10,0)</f>
        <v>0</v>
      </c>
      <c r="CR83" s="2109">
        <v>0</v>
      </c>
      <c r="CS83" s="2109">
        <v>2.3974872053829137</v>
      </c>
      <c r="CT83" s="2109">
        <f t="shared" si="164"/>
        <v>0.11850843189199889</v>
      </c>
      <c r="CU83" s="2135"/>
      <c r="CV83" s="2135"/>
      <c r="CW83" s="2135"/>
      <c r="CX83" s="2135">
        <f>IFERROR(CY83/CP83*10,0)</f>
        <v>2.3974872053829137</v>
      </c>
      <c r="CY83" s="2135">
        <f>CT83+CR83</f>
        <v>0.11850843189199889</v>
      </c>
      <c r="CZ83" s="2149">
        <v>0.52053900000000008</v>
      </c>
      <c r="DA83" s="2109">
        <f>IFERROR(DB83/CZ83*10,0)</f>
        <v>0</v>
      </c>
      <c r="DB83" s="2109">
        <v>0</v>
      </c>
      <c r="DC83" s="2109">
        <v>2.3974872053829137</v>
      </c>
      <c r="DD83" s="2109">
        <f t="shared" si="165"/>
        <v>0.12479855924028167</v>
      </c>
      <c r="DE83" s="2135"/>
      <c r="DF83" s="2135"/>
      <c r="DG83" s="2135"/>
      <c r="DH83" s="2135">
        <f>IFERROR(DI83/CZ83*10,0)</f>
        <v>2.3974872053829137</v>
      </c>
      <c r="DI83" s="2135">
        <f>DD83+DB83</f>
        <v>0.12479855924028167</v>
      </c>
      <c r="DJ83" s="2149">
        <v>0.4668756666666668</v>
      </c>
      <c r="DK83" s="2109">
        <f>IFERROR(DL83/DJ83*10,0)</f>
        <v>0</v>
      </c>
      <c r="DL83" s="2109">
        <v>0</v>
      </c>
      <c r="DM83" s="2109">
        <v>2.3974872053829137</v>
      </c>
      <c r="DN83" s="2109">
        <f t="shared" si="166"/>
        <v>0.11193284373379517</v>
      </c>
      <c r="DO83" s="2135"/>
      <c r="DP83" s="2135"/>
      <c r="DQ83" s="2135"/>
      <c r="DR83" s="2135">
        <f>IFERROR(DS83/DJ83*10,0)</f>
        <v>2.3974872053829137</v>
      </c>
      <c r="DS83" s="2135">
        <f>DN83+DL83</f>
        <v>0.11193284373379517</v>
      </c>
      <c r="DT83" s="2149">
        <v>0.48474033333333333</v>
      </c>
      <c r="DU83" s="2109">
        <f>IFERROR(DV83/DT83*10,0)</f>
        <v>0</v>
      </c>
      <c r="DV83" s="2109">
        <v>0</v>
      </c>
      <c r="DW83" s="2109">
        <v>2.3974872053829137</v>
      </c>
      <c r="DX83" s="2109">
        <f t="shared" si="167"/>
        <v>0.11621587470997155</v>
      </c>
      <c r="DY83" s="2135"/>
      <c r="DZ83" s="2135"/>
      <c r="EA83" s="2135"/>
      <c r="EB83" s="2135">
        <f>IFERROR(EC83/DT83*10,0)</f>
        <v>2.3974872053829142</v>
      </c>
      <c r="EC83" s="2135">
        <f>DX83+DV83</f>
        <v>0.11621587470997155</v>
      </c>
      <c r="ED83" s="2135"/>
      <c r="EE83" s="2106">
        <f>SUM(N83,X83,AH83,AR83,BB83,BL83,BV83,CF83,CP83,CZ83,DJ83,DT83)</f>
        <v>5.6572429086021518</v>
      </c>
      <c r="EF83" s="2106">
        <f t="shared" ref="EF83:EF88" si="169">IFERROR((EG83/EE83)*10,0)</f>
        <v>0</v>
      </c>
      <c r="EG83" s="2106">
        <f>SUM(P83,Z83,AJ83,AT83,BD83,BN83,BX83,CR83,CH83,DB83,DL83,DV83)</f>
        <v>0</v>
      </c>
      <c r="EH83" s="2106">
        <f t="shared" ref="EH83:EH88" si="170">IFERROR((EI83/EE83)*10,0)</f>
        <v>2.3974872053829133</v>
      </c>
      <c r="EI83" s="2106">
        <f>SUM(R83,AB83,AL83,AV83,BF83,BP83,BZ83,CJ83,CT83,DD83,DN83,DX83)</f>
        <v>1.3563167491116876</v>
      </c>
      <c r="EJ83" s="2106"/>
      <c r="EK83" s="2106"/>
      <c r="EL83" s="2106"/>
      <c r="EM83" s="2106">
        <f t="shared" ref="EM83:EM88" si="171">IFERROR(EN83/EE83*10,0)</f>
        <v>2.3974872053829133</v>
      </c>
      <c r="EN83" s="2106">
        <f>EG83+EI83</f>
        <v>1.3563167491116876</v>
      </c>
      <c r="EO83" s="2106">
        <f>EN83/J83*10</f>
        <v>2.3974872053829133</v>
      </c>
      <c r="EP83" s="2114">
        <f>EN83/M83*10</f>
        <v>2.483680470320218</v>
      </c>
      <c r="EQ83" s="2224"/>
      <c r="ER83" s="2210"/>
      <c r="ES83" s="2209" t="e">
        <v>#N/A</v>
      </c>
      <c r="ET83" s="2241"/>
      <c r="EU83" s="2230"/>
      <c r="EV83" s="2241"/>
      <c r="EW83" s="2241"/>
      <c r="EX83" s="2241"/>
      <c r="EY83" s="2244"/>
      <c r="EZ83" s="2244"/>
      <c r="FA83" s="2244"/>
      <c r="FB83" s="2242"/>
      <c r="FC83" s="2243"/>
      <c r="FD83" s="2243"/>
      <c r="FE83" s="2243"/>
      <c r="FF83" s="2243"/>
      <c r="FG83" s="2243"/>
      <c r="FH83" s="2243"/>
      <c r="FI83" s="2243"/>
    </row>
    <row r="84" spans="1:165">
      <c r="A84" s="2220">
        <v>2</v>
      </c>
      <c r="B84" s="2145" t="s">
        <v>1718</v>
      </c>
      <c r="C84" s="2146">
        <v>440</v>
      </c>
      <c r="D84" s="2147">
        <f>G84/C84</f>
        <v>0.31363636363636366</v>
      </c>
      <c r="E84" s="2146"/>
      <c r="F84" s="2148">
        <v>0.93483801977703374</v>
      </c>
      <c r="G84" s="2146">
        <v>138</v>
      </c>
      <c r="H84" s="2149" t="s">
        <v>1717</v>
      </c>
      <c r="I84" s="2229">
        <v>2</v>
      </c>
      <c r="J84" s="2149">
        <v>1119.9760653854837</v>
      </c>
      <c r="K84" s="2148"/>
      <c r="L84" s="2151"/>
      <c r="M84" s="2152">
        <f>J84*(1-K84)*(1-L84)</f>
        <v>1119.9760653854837</v>
      </c>
      <c r="N84" s="2149">
        <v>87.177164200000007</v>
      </c>
      <c r="O84" s="2109">
        <f>IFERROR(P84/N84*10,0)</f>
        <v>0</v>
      </c>
      <c r="P84" s="2109">
        <v>0</v>
      </c>
      <c r="Q84" s="2109">
        <v>3.1489929592102897</v>
      </c>
      <c r="R84" s="2109">
        <f t="shared" si="156"/>
        <v>27.452027626971933</v>
      </c>
      <c r="S84" s="2109"/>
      <c r="T84" s="2109"/>
      <c r="U84" s="2109"/>
      <c r="V84" s="2109">
        <f>IFERROR(W84/N84*10,0)</f>
        <v>3.1489929592102897</v>
      </c>
      <c r="W84" s="2109">
        <f>P84+R84</f>
        <v>27.452027626971933</v>
      </c>
      <c r="X84" s="2149">
        <v>88.350246200000015</v>
      </c>
      <c r="Y84" s="2109">
        <f>IFERROR(Z84/X84*10,0)</f>
        <v>0</v>
      </c>
      <c r="Z84" s="2109">
        <v>0</v>
      </c>
      <c r="AA84" s="2109">
        <v>3.1489929592102897</v>
      </c>
      <c r="AB84" s="2109">
        <f t="shared" si="157"/>
        <v>27.821430322829571</v>
      </c>
      <c r="AC84" s="2135"/>
      <c r="AD84" s="2135"/>
      <c r="AE84" s="2135"/>
      <c r="AF84" s="2135">
        <f>IFERROR(AG84/X84*10,0)</f>
        <v>3.1489929592102901</v>
      </c>
      <c r="AG84" s="2135">
        <f>Z84+AB84</f>
        <v>27.821430322829571</v>
      </c>
      <c r="AH84" s="2149">
        <v>93.567359400000015</v>
      </c>
      <c r="AI84" s="2109">
        <f>IFERROR(AJ84/AH84*10,0)</f>
        <v>0</v>
      </c>
      <c r="AJ84" s="2109">
        <v>0</v>
      </c>
      <c r="AK84" s="2109">
        <v>3.1489929592102897</v>
      </c>
      <c r="AL84" s="2109">
        <f t="shared" si="158"/>
        <v>29.464295596249876</v>
      </c>
      <c r="AM84" s="2135"/>
      <c r="AN84" s="2135"/>
      <c r="AO84" s="2135"/>
      <c r="AP84" s="2135">
        <f t="shared" si="168"/>
        <v>3.1489929592102897</v>
      </c>
      <c r="AQ84" s="2135">
        <f>AL84+AJ84</f>
        <v>29.464295596249876</v>
      </c>
      <c r="AR84" s="2149">
        <v>100.58473880000001</v>
      </c>
      <c r="AS84" s="2109">
        <f>IFERROR(AT84/AR84*10,0)</f>
        <v>0</v>
      </c>
      <c r="AT84" s="2109">
        <v>0</v>
      </c>
      <c r="AU84" s="2109">
        <v>3.1489929592102897</v>
      </c>
      <c r="AV84" s="2109">
        <f t="shared" si="159"/>
        <v>31.674063428520604</v>
      </c>
      <c r="AW84" s="2135"/>
      <c r="AX84" s="2135"/>
      <c r="AY84" s="2135"/>
      <c r="AZ84" s="2135">
        <f>IFERROR(BA84/AR84*10,0)</f>
        <v>3.1489929592102897</v>
      </c>
      <c r="BA84" s="2135">
        <f>AV84+AT84</f>
        <v>31.674063428520604</v>
      </c>
      <c r="BB84" s="2149">
        <v>94.60449324999999</v>
      </c>
      <c r="BC84" s="2109">
        <f>IFERROR(BD84/BB84*10,0)</f>
        <v>0</v>
      </c>
      <c r="BD84" s="2109">
        <v>0</v>
      </c>
      <c r="BE84" s="2109">
        <v>3.1489929592102897</v>
      </c>
      <c r="BF84" s="2109">
        <f t="shared" si="160"/>
        <v>29.790888315390738</v>
      </c>
      <c r="BG84" s="2135"/>
      <c r="BH84" s="2135"/>
      <c r="BI84" s="2135"/>
      <c r="BJ84" s="2135">
        <f>IFERROR(BK84/BB84*10,0)</f>
        <v>3.1489929592102901</v>
      </c>
      <c r="BK84" s="2135">
        <f>BF84+BD84</f>
        <v>29.790888315390738</v>
      </c>
      <c r="BL84" s="2149">
        <v>91.560829935483881</v>
      </c>
      <c r="BM84" s="2109">
        <f>IFERROR(BN84/BL84*10,0)</f>
        <v>0</v>
      </c>
      <c r="BN84" s="2109">
        <v>0</v>
      </c>
      <c r="BO84" s="2109">
        <v>3.1489929592102897</v>
      </c>
      <c r="BP84" s="2109">
        <f t="shared" si="161"/>
        <v>28.832440880628944</v>
      </c>
      <c r="BQ84" s="2135"/>
      <c r="BR84" s="2135"/>
      <c r="BS84" s="2135"/>
      <c r="BT84" s="2135">
        <f>IFERROR(BU84/BL84*10,0)</f>
        <v>3.1489929592102897</v>
      </c>
      <c r="BU84" s="2135">
        <f>BP84+BN84</f>
        <v>28.832440880628944</v>
      </c>
      <c r="BV84" s="2149">
        <v>92.815436800000001</v>
      </c>
      <c r="BW84" s="2109">
        <f>IFERROR(BX84/BV84*10,0)</f>
        <v>0</v>
      </c>
      <c r="BX84" s="2109">
        <v>0</v>
      </c>
      <c r="BY84" s="2109">
        <v>3.1489929592102897</v>
      </c>
      <c r="BZ84" s="2109">
        <f t="shared" si="162"/>
        <v>29.227515698922765</v>
      </c>
      <c r="CA84" s="2135"/>
      <c r="CB84" s="2135"/>
      <c r="CC84" s="2135"/>
      <c r="CD84" s="2135">
        <f>IFERROR(CE84/BV84*10,0)</f>
        <v>3.1489929592102901</v>
      </c>
      <c r="CE84" s="2135">
        <f>BZ84+BX84</f>
        <v>29.227515698922765</v>
      </c>
      <c r="CF84" s="2149">
        <v>96.356726000000009</v>
      </c>
      <c r="CG84" s="2109">
        <f>IFERROR(CH84/CF84*10,0)</f>
        <v>0</v>
      </c>
      <c r="CH84" s="2109">
        <v>0</v>
      </c>
      <c r="CI84" s="2109">
        <v>3.1489929592102897</v>
      </c>
      <c r="CJ84" s="2109">
        <f t="shared" si="163"/>
        <v>30.342665174655508</v>
      </c>
      <c r="CK84" s="2135"/>
      <c r="CL84" s="2135"/>
      <c r="CM84" s="2135"/>
      <c r="CN84" s="2135">
        <f>IFERROR(CO84/CF84*10,0)</f>
        <v>3.1489929592102897</v>
      </c>
      <c r="CO84" s="2135">
        <f>CJ84+CH84</f>
        <v>30.342665174655508</v>
      </c>
      <c r="CP84" s="2149">
        <v>102.09723560000002</v>
      </c>
      <c r="CQ84" s="2109">
        <f>IFERROR(CR84/CP84*10,0)</f>
        <v>0</v>
      </c>
      <c r="CR84" s="2109">
        <v>0</v>
      </c>
      <c r="CS84" s="2109">
        <v>3.1489929592102897</v>
      </c>
      <c r="CT84" s="2109">
        <f t="shared" si="164"/>
        <v>32.150347605923415</v>
      </c>
      <c r="CU84" s="2135"/>
      <c r="CV84" s="2135"/>
      <c r="CW84" s="2135"/>
      <c r="CX84" s="2135">
        <f>IFERROR(CY84/CP84*10,0)</f>
        <v>3.1489929592102897</v>
      </c>
      <c r="CY84" s="2135">
        <f>CT84+CR84</f>
        <v>32.150347605923415</v>
      </c>
      <c r="CZ84" s="2149">
        <v>92.32534600000001</v>
      </c>
      <c r="DA84" s="2109">
        <f>IFERROR(DB84/CZ84*10,0)</f>
        <v>0</v>
      </c>
      <c r="DB84" s="2109">
        <v>0</v>
      </c>
      <c r="DC84" s="2109">
        <v>3.1489929592102897</v>
      </c>
      <c r="DD84" s="2109">
        <f t="shared" si="165"/>
        <v>29.073186451065389</v>
      </c>
      <c r="DE84" s="2135"/>
      <c r="DF84" s="2135"/>
      <c r="DG84" s="2135"/>
      <c r="DH84" s="2135">
        <f>IFERROR(DI84/CZ84*10,0)</f>
        <v>3.1489929592102897</v>
      </c>
      <c r="DI84" s="2135">
        <f>DD84+DB84</f>
        <v>29.073186451065389</v>
      </c>
      <c r="DJ84" s="2149">
        <v>81.36531140000001</v>
      </c>
      <c r="DK84" s="2109">
        <f>IFERROR(DL84/DJ84*10,0)</f>
        <v>0</v>
      </c>
      <c r="DL84" s="2109">
        <v>0</v>
      </c>
      <c r="DM84" s="2109">
        <v>3.1489929592102897</v>
      </c>
      <c r="DN84" s="2109">
        <f t="shared" si="166"/>
        <v>25.621879272255274</v>
      </c>
      <c r="DO84" s="2135"/>
      <c r="DP84" s="2135"/>
      <c r="DQ84" s="2135"/>
      <c r="DR84" s="2135">
        <f>IFERROR(DS84/DJ84*10,0)</f>
        <v>3.1489929592102897</v>
      </c>
      <c r="DS84" s="2135">
        <f>DN84+DL84</f>
        <v>25.621879272255274</v>
      </c>
      <c r="DT84" s="2149">
        <v>99.171177799999995</v>
      </c>
      <c r="DU84" s="2109">
        <f>IFERROR(DV84/DT84*10,0)</f>
        <v>0</v>
      </c>
      <c r="DV84" s="2109">
        <v>0</v>
      </c>
      <c r="DW84" s="2109">
        <v>3.1489929592102897</v>
      </c>
      <c r="DX84" s="2109">
        <f t="shared" si="167"/>
        <v>31.228934064879176</v>
      </c>
      <c r="DY84" s="2135"/>
      <c r="DZ84" s="2135"/>
      <c r="EA84" s="2135"/>
      <c r="EB84" s="2135">
        <f>IFERROR(EC84/DT84*10,0)</f>
        <v>3.1489929592102897</v>
      </c>
      <c r="EC84" s="2135">
        <f>DX84+DV84</f>
        <v>31.228934064879176</v>
      </c>
      <c r="ED84" s="2135"/>
      <c r="EE84" s="2106">
        <f>SUM(N84,X84,AH84,AR84,BB84,BL84,BV84,CF84,CP84,CZ84,DJ84,DT84)</f>
        <v>1119.9760653854837</v>
      </c>
      <c r="EF84" s="2106">
        <f t="shared" si="169"/>
        <v>0</v>
      </c>
      <c r="EG84" s="2106">
        <f>SUM(P84,Z84,AJ84,AT84,BD84,BN84,BX84,CR84,CH84,DB84,DL84,DV84)</f>
        <v>0</v>
      </c>
      <c r="EH84" s="2106">
        <f t="shared" si="170"/>
        <v>3.1489929592102905</v>
      </c>
      <c r="EI84" s="2106">
        <f>SUM(R84,AB84,AL84,AV84,BF84,BP84,BZ84,CJ84,CT84,DD84,DN84,DX84)</f>
        <v>352.6796744382932</v>
      </c>
      <c r="EJ84" s="2106"/>
      <c r="EK84" s="2106"/>
      <c r="EL84" s="2106"/>
      <c r="EM84" s="2106">
        <f t="shared" si="171"/>
        <v>3.1489929592102905</v>
      </c>
      <c r="EN84" s="2106">
        <f>EG84+EI84</f>
        <v>352.6796744382932</v>
      </c>
      <c r="EO84" s="2106">
        <f>EN84/J84*10</f>
        <v>3.1489929592102905</v>
      </c>
      <c r="EP84" s="2114">
        <f>EN84/M84*10</f>
        <v>3.1489929592102905</v>
      </c>
      <c r="EQ84" s="2224"/>
      <c r="ER84" s="2210"/>
      <c r="ES84" s="2209" t="e">
        <v>#N/A</v>
      </c>
      <c r="ET84" s="2241"/>
      <c r="EU84" s="2230"/>
      <c r="EV84" s="2241"/>
      <c r="EW84" s="2241"/>
      <c r="EX84" s="2241"/>
      <c r="EY84" s="2244"/>
      <c r="EZ84" s="2244"/>
      <c r="FA84" s="2244"/>
      <c r="FB84" s="2242"/>
      <c r="FC84" s="2243"/>
      <c r="FD84" s="2243"/>
      <c r="FE84" s="2243"/>
      <c r="FF84" s="2243"/>
      <c r="FG84" s="2243"/>
      <c r="FH84" s="2243"/>
      <c r="FI84" s="2243"/>
    </row>
    <row r="85" spans="1:165">
      <c r="A85" s="2220">
        <v>3</v>
      </c>
      <c r="B85" s="2145" t="s">
        <v>1719</v>
      </c>
      <c r="C85" s="2146">
        <v>1080</v>
      </c>
      <c r="D85" s="2147">
        <f>G85/C85</f>
        <v>3.7499999999999999E-3</v>
      </c>
      <c r="E85" s="2146"/>
      <c r="F85" s="2148"/>
      <c r="G85" s="2146">
        <v>4.05</v>
      </c>
      <c r="H85" s="2149" t="s">
        <v>1717</v>
      </c>
      <c r="I85" s="2229">
        <v>1</v>
      </c>
      <c r="J85" s="2149">
        <v>21.534052639784946</v>
      </c>
      <c r="K85" s="2148">
        <v>3.4703846153846141E-2</v>
      </c>
      <c r="L85" s="2151"/>
      <c r="M85" s="2152">
        <f>J85*(1-K85)*(1-L85)</f>
        <v>20.786738189905023</v>
      </c>
      <c r="N85" s="2149">
        <v>1.799021</v>
      </c>
      <c r="O85" s="2109">
        <f>IFERROR(P85/N85*10,0)</f>
        <v>0</v>
      </c>
      <c r="P85" s="2109">
        <v>0</v>
      </c>
      <c r="Q85" s="2109">
        <v>2.9525029714920863</v>
      </c>
      <c r="R85" s="2109">
        <f t="shared" si="156"/>
        <v>0.53116148482766645</v>
      </c>
      <c r="S85" s="2109"/>
      <c r="T85" s="2109"/>
      <c r="U85" s="2109"/>
      <c r="V85" s="2109">
        <f>IFERROR(W85/N85*10,0)</f>
        <v>2.9525029714920863</v>
      </c>
      <c r="W85" s="2109">
        <f>P85+R85</f>
        <v>0.53116148482766645</v>
      </c>
      <c r="X85" s="2149">
        <v>1.8348859999999998</v>
      </c>
      <c r="Y85" s="2109">
        <f>IFERROR(Z85/X85*10,0)</f>
        <v>0</v>
      </c>
      <c r="Z85" s="2109">
        <v>0</v>
      </c>
      <c r="AA85" s="2109">
        <v>2.9525029714920863</v>
      </c>
      <c r="AB85" s="2109">
        <f t="shared" si="157"/>
        <v>0.54175063673492274</v>
      </c>
      <c r="AC85" s="2135"/>
      <c r="AD85" s="2135"/>
      <c r="AE85" s="2135"/>
      <c r="AF85" s="2135">
        <f>IFERROR(AG85/X85*10,0)</f>
        <v>2.9525029714920863</v>
      </c>
      <c r="AG85" s="2135">
        <f>Z85+AB85</f>
        <v>0.54175063673492274</v>
      </c>
      <c r="AH85" s="2149">
        <v>1.550065</v>
      </c>
      <c r="AI85" s="2109">
        <f>IFERROR(AJ85/AH85*10,0)</f>
        <v>0</v>
      </c>
      <c r="AJ85" s="2109">
        <v>0</v>
      </c>
      <c r="AK85" s="2109">
        <v>2.9525029714920863</v>
      </c>
      <c r="AL85" s="2109">
        <f t="shared" si="158"/>
        <v>0.45765715185058803</v>
      </c>
      <c r="AM85" s="2135"/>
      <c r="AN85" s="2135"/>
      <c r="AO85" s="2135"/>
      <c r="AP85" s="2135">
        <f t="shared" si="168"/>
        <v>2.9525029714920858</v>
      </c>
      <c r="AQ85" s="2135">
        <f>AL85+AJ85</f>
        <v>0.45765715185058803</v>
      </c>
      <c r="AR85" s="2149">
        <v>1.9519987500000002</v>
      </c>
      <c r="AS85" s="2109">
        <f>IFERROR(AT85/AR85*10,0)</f>
        <v>0</v>
      </c>
      <c r="AT85" s="2109">
        <v>0</v>
      </c>
      <c r="AU85" s="2109">
        <v>2.9525029714920863</v>
      </c>
      <c r="AV85" s="2109">
        <f t="shared" si="159"/>
        <v>0.57632821097238396</v>
      </c>
      <c r="AW85" s="2135"/>
      <c r="AX85" s="2135"/>
      <c r="AY85" s="2135"/>
      <c r="AZ85" s="2135">
        <f>IFERROR(BA85/AR85*10,0)</f>
        <v>2.9525029714920867</v>
      </c>
      <c r="BA85" s="2135">
        <f>AV85+AT85</f>
        <v>0.57632821097238396</v>
      </c>
      <c r="BB85" s="2149">
        <v>1.9394804999999997</v>
      </c>
      <c r="BC85" s="2109">
        <f>IFERROR(BD85/BB85*10,0)</f>
        <v>0</v>
      </c>
      <c r="BD85" s="2109">
        <v>0</v>
      </c>
      <c r="BE85" s="2109">
        <v>2.9525029714920863</v>
      </c>
      <c r="BF85" s="2109">
        <f t="shared" si="160"/>
        <v>0.57263219394009568</v>
      </c>
      <c r="BG85" s="2135"/>
      <c r="BH85" s="2135"/>
      <c r="BI85" s="2135"/>
      <c r="BJ85" s="2135">
        <f>IFERROR(BK85/BB85*10,0)</f>
        <v>2.9525029714920863</v>
      </c>
      <c r="BK85" s="2135">
        <f>BF85+BD85</f>
        <v>0.57263219394009568</v>
      </c>
      <c r="BL85" s="2149">
        <v>1.6277758064516128</v>
      </c>
      <c r="BM85" s="2109">
        <f>IFERROR(BN85/BL85*10,0)</f>
        <v>0</v>
      </c>
      <c r="BN85" s="2109">
        <v>0</v>
      </c>
      <c r="BO85" s="2109">
        <v>2.9525029714920863</v>
      </c>
      <c r="BP85" s="2109">
        <f t="shared" si="161"/>
        <v>0.48060129054713141</v>
      </c>
      <c r="BQ85" s="2135"/>
      <c r="BR85" s="2135"/>
      <c r="BS85" s="2135"/>
      <c r="BT85" s="2135">
        <f>IFERROR(BU85/BL85*10,0)</f>
        <v>2.9525029714920863</v>
      </c>
      <c r="BU85" s="2135">
        <f>BP85+BN85</f>
        <v>0.48060129054713141</v>
      </c>
      <c r="BV85" s="2149">
        <v>1.6845976666666667</v>
      </c>
      <c r="BW85" s="2109">
        <f>IFERROR(BX85/BV85*10,0)</f>
        <v>0</v>
      </c>
      <c r="BX85" s="2109">
        <v>0</v>
      </c>
      <c r="BY85" s="2109">
        <v>2.9525029714920863</v>
      </c>
      <c r="BZ85" s="2109">
        <f t="shared" si="162"/>
        <v>0.49737796166019682</v>
      </c>
      <c r="CA85" s="2135"/>
      <c r="CB85" s="2135"/>
      <c r="CC85" s="2135"/>
      <c r="CD85" s="2135">
        <f>IFERROR(CE85/BV85*10,0)</f>
        <v>2.9525029714920863</v>
      </c>
      <c r="CE85" s="2135">
        <f>BZ85+BX85</f>
        <v>0.49737796166019682</v>
      </c>
      <c r="CF85" s="2149">
        <v>1.4093242500000001</v>
      </c>
      <c r="CG85" s="2109">
        <f>IFERROR(CH85/CF85*10,0)</f>
        <v>0</v>
      </c>
      <c r="CH85" s="2109">
        <v>0</v>
      </c>
      <c r="CI85" s="2109">
        <v>2.9525029714920863</v>
      </c>
      <c r="CJ85" s="2109">
        <f t="shared" si="163"/>
        <v>0.41610340359208564</v>
      </c>
      <c r="CK85" s="2135"/>
      <c r="CL85" s="2135"/>
      <c r="CM85" s="2135"/>
      <c r="CN85" s="2135">
        <f>IFERROR(CO85/CF85*10,0)</f>
        <v>2.9525029714920863</v>
      </c>
      <c r="CO85" s="2135">
        <f>CJ85+CH85</f>
        <v>0.41610340359208564</v>
      </c>
      <c r="CP85" s="2149">
        <v>1.2170083333333332</v>
      </c>
      <c r="CQ85" s="2109">
        <f>IFERROR(CR85/CP85*10,0)</f>
        <v>0</v>
      </c>
      <c r="CR85" s="2109">
        <v>0</v>
      </c>
      <c r="CS85" s="2109">
        <v>2.9525029714920863</v>
      </c>
      <c r="CT85" s="2109">
        <f t="shared" si="164"/>
        <v>0.35932207204972977</v>
      </c>
      <c r="CU85" s="2135"/>
      <c r="CV85" s="2135"/>
      <c r="CW85" s="2135"/>
      <c r="CX85" s="2135">
        <f>IFERROR(CY85/CP85*10,0)</f>
        <v>2.9525029714920863</v>
      </c>
      <c r="CY85" s="2135">
        <f>CT85+CR85</f>
        <v>0.35932207204972977</v>
      </c>
      <c r="CZ85" s="2149">
        <v>2.2681133333333334</v>
      </c>
      <c r="DA85" s="2109">
        <f>IFERROR(DB85/CZ85*10,0)</f>
        <v>0</v>
      </c>
      <c r="DB85" s="2109">
        <v>0</v>
      </c>
      <c r="DC85" s="2109">
        <v>2.9525029714920863</v>
      </c>
      <c r="DD85" s="2109">
        <f t="shared" si="165"/>
        <v>0.66966113563474872</v>
      </c>
      <c r="DE85" s="2135"/>
      <c r="DF85" s="2135"/>
      <c r="DG85" s="2135"/>
      <c r="DH85" s="2135">
        <f>IFERROR(DI85/CZ85*10,0)</f>
        <v>2.9525029714920858</v>
      </c>
      <c r="DI85" s="2135">
        <f>DD85+DB85</f>
        <v>0.66966113563474872</v>
      </c>
      <c r="DJ85" s="2149">
        <v>1.5891033333333335</v>
      </c>
      <c r="DK85" s="2109">
        <f>IFERROR(DL85/DJ85*10,0)</f>
        <v>0</v>
      </c>
      <c r="DL85" s="2109">
        <v>0</v>
      </c>
      <c r="DM85" s="2109">
        <v>2.9525029714920863</v>
      </c>
      <c r="DN85" s="2109">
        <f t="shared" si="166"/>
        <v>0.4691832313674647</v>
      </c>
      <c r="DO85" s="2135"/>
      <c r="DP85" s="2135"/>
      <c r="DQ85" s="2135"/>
      <c r="DR85" s="2135">
        <f>IFERROR(DS85/DJ85*10,0)</f>
        <v>2.9525029714920863</v>
      </c>
      <c r="DS85" s="2135">
        <f>DN85+DL85</f>
        <v>0.4691832313674647</v>
      </c>
      <c r="DT85" s="2149">
        <v>2.6626786666666673</v>
      </c>
      <c r="DU85" s="2109">
        <f>IFERROR(DV85/DT85*10,0)</f>
        <v>0</v>
      </c>
      <c r="DV85" s="2109">
        <v>0</v>
      </c>
      <c r="DW85" s="2109">
        <v>2.9525029714920863</v>
      </c>
      <c r="DX85" s="2109">
        <f t="shared" si="167"/>
        <v>0.78615666754619218</v>
      </c>
      <c r="DY85" s="2135"/>
      <c r="DZ85" s="2135"/>
      <c r="EA85" s="2135"/>
      <c r="EB85" s="2135">
        <f>IFERROR(EC85/DT85*10,0)</f>
        <v>2.9525029714920863</v>
      </c>
      <c r="EC85" s="2135">
        <f>DX85+DV85</f>
        <v>0.78615666754619218</v>
      </c>
      <c r="ED85" s="2135"/>
      <c r="EE85" s="2106">
        <f>SUM(N85,X85,AH85,AR85,BB85,BL85,BV85,CF85,CP85,CZ85,DJ85,DT85)</f>
        <v>21.534052639784946</v>
      </c>
      <c r="EF85" s="2106">
        <f t="shared" si="169"/>
        <v>0</v>
      </c>
      <c r="EG85" s="2106">
        <f>SUM(P85,Z85,AJ85,AT85,BD85,BN85,BX85,CR85,CH85,DB85,DL85,DV85)</f>
        <v>0</v>
      </c>
      <c r="EH85" s="2106">
        <f t="shared" si="170"/>
        <v>2.9525029714920858</v>
      </c>
      <c r="EI85" s="2106">
        <f>SUM(R85,AB85,AL85,AV85,BF85,BP85,BZ85,CJ85,CT85,DD85,DN85,DX85)</f>
        <v>6.3579354407232049</v>
      </c>
      <c r="EJ85" s="2106"/>
      <c r="EK85" s="2106"/>
      <c r="EL85" s="2106"/>
      <c r="EM85" s="2106">
        <f t="shared" si="171"/>
        <v>2.9525029714920858</v>
      </c>
      <c r="EN85" s="2106">
        <f>EG85+EI85</f>
        <v>6.3579354407232049</v>
      </c>
      <c r="EO85" s="2106">
        <f>IFERROR(EN85/J85*10,0)</f>
        <v>2.9525029714920858</v>
      </c>
      <c r="EP85" s="2114">
        <f>IFERROR(EN85/M85*10,0)</f>
        <v>3.0586498865949565</v>
      </c>
      <c r="EQ85" s="2224"/>
      <c r="ER85" s="2210"/>
      <c r="ES85" s="2209" t="e">
        <v>#N/A</v>
      </c>
      <c r="ET85" s="2241"/>
      <c r="EU85" s="2230"/>
      <c r="EV85" s="2241"/>
      <c r="EW85" s="2241"/>
      <c r="EX85" s="2241"/>
      <c r="EY85" s="2244"/>
      <c r="EZ85" s="2244"/>
      <c r="FA85" s="2244"/>
      <c r="FB85" s="2242"/>
      <c r="FC85" s="2243"/>
      <c r="FD85" s="2243"/>
      <c r="FE85" s="2243"/>
      <c r="FF85" s="2243"/>
      <c r="FG85" s="2243"/>
      <c r="FH85" s="2243"/>
      <c r="FI85" s="2243"/>
    </row>
    <row r="86" spans="1:165">
      <c r="A86" s="2220">
        <v>4</v>
      </c>
      <c r="B86" s="2145" t="s">
        <v>1720</v>
      </c>
      <c r="C86" s="2146">
        <v>440</v>
      </c>
      <c r="D86" s="2147">
        <f>G86/C86</f>
        <v>0.15</v>
      </c>
      <c r="E86" s="2146"/>
      <c r="F86" s="2148">
        <v>0.91352409549201052</v>
      </c>
      <c r="G86" s="2146">
        <v>66</v>
      </c>
      <c r="H86" s="2149" t="s">
        <v>1717</v>
      </c>
      <c r="I86" s="2229">
        <v>1</v>
      </c>
      <c r="J86" s="2149">
        <v>520.65276701612902</v>
      </c>
      <c r="K86" s="2148">
        <v>3.4703846153846141E-2</v>
      </c>
      <c r="L86" s="2151"/>
      <c r="M86" s="2152">
        <f>J86*(1-K86)*(1-L86)</f>
        <v>502.58411349002699</v>
      </c>
      <c r="N86" s="2149">
        <v>45.171120399999992</v>
      </c>
      <c r="O86" s="2109">
        <f>IFERROR(P86/N86*10,0)</f>
        <v>0</v>
      </c>
      <c r="P86" s="2109">
        <v>0</v>
      </c>
      <c r="Q86" s="2109">
        <v>3.4173509483281985</v>
      </c>
      <c r="R86" s="2109">
        <f t="shared" si="156"/>
        <v>15.43655711359872</v>
      </c>
      <c r="S86" s="2109"/>
      <c r="T86" s="2109"/>
      <c r="U86" s="2109"/>
      <c r="V86" s="2109">
        <f>IFERROR(W86/N86*10,0)</f>
        <v>3.4173509483281981</v>
      </c>
      <c r="W86" s="2109">
        <f>P86+R86</f>
        <v>15.43655711359872</v>
      </c>
      <c r="X86" s="2149">
        <v>47.294089800000002</v>
      </c>
      <c r="Y86" s="2109">
        <f>IFERROR(Z86/X86*10,0)</f>
        <v>0</v>
      </c>
      <c r="Z86" s="2109">
        <v>0</v>
      </c>
      <c r="AA86" s="2109">
        <v>3.4173509483281985</v>
      </c>
      <c r="AB86" s="2109">
        <f t="shared" si="157"/>
        <v>16.162050262834899</v>
      </c>
      <c r="AC86" s="2135"/>
      <c r="AD86" s="2135"/>
      <c r="AE86" s="2135"/>
      <c r="AF86" s="2135">
        <f>IFERROR(AG86/X86*10,0)</f>
        <v>3.417350948328199</v>
      </c>
      <c r="AG86" s="2135">
        <f>Z86+AB86</f>
        <v>16.162050262834899</v>
      </c>
      <c r="AH86" s="2149">
        <v>44.882328600000001</v>
      </c>
      <c r="AI86" s="2109">
        <f>IFERROR(AJ86/AH86*10,0)</f>
        <v>0</v>
      </c>
      <c r="AJ86" s="2109">
        <v>0</v>
      </c>
      <c r="AK86" s="2109">
        <v>3.4173509483281985</v>
      </c>
      <c r="AL86" s="2109">
        <f t="shared" si="158"/>
        <v>15.337866820438782</v>
      </c>
      <c r="AM86" s="2135"/>
      <c r="AN86" s="2135"/>
      <c r="AO86" s="2135"/>
      <c r="AP86" s="2135">
        <f t="shared" si="168"/>
        <v>3.4173509483281981</v>
      </c>
      <c r="AQ86" s="2135">
        <f>AL86+AJ86</f>
        <v>15.337866820438782</v>
      </c>
      <c r="AR86" s="2149">
        <v>45.720591800000008</v>
      </c>
      <c r="AS86" s="2109">
        <f>IFERROR(AT86/AR86*10,0)</f>
        <v>0</v>
      </c>
      <c r="AT86" s="2109">
        <v>0</v>
      </c>
      <c r="AU86" s="2109">
        <v>3.4173509483281985</v>
      </c>
      <c r="AV86" s="2109">
        <f t="shared" si="159"/>
        <v>15.624330774585649</v>
      </c>
      <c r="AW86" s="2135"/>
      <c r="AX86" s="2135"/>
      <c r="AY86" s="2135"/>
      <c r="AZ86" s="2135">
        <f>IFERROR(BA86/AR86*10,0)</f>
        <v>3.417350948328199</v>
      </c>
      <c r="BA86" s="2135">
        <f>AV86+AT86</f>
        <v>15.624330774585649</v>
      </c>
      <c r="BB86" s="2149">
        <v>40.343356500000006</v>
      </c>
      <c r="BC86" s="2109">
        <f>IFERROR(BD86/BB86*10,0)</f>
        <v>0</v>
      </c>
      <c r="BD86" s="2109">
        <v>0</v>
      </c>
      <c r="BE86" s="2109">
        <v>3.4173509483281985</v>
      </c>
      <c r="BF86" s="2109">
        <f t="shared" si="160"/>
        <v>13.786740759401761</v>
      </c>
      <c r="BG86" s="2135"/>
      <c r="BH86" s="2135"/>
      <c r="BI86" s="2135"/>
      <c r="BJ86" s="2135">
        <f>IFERROR(BK86/BB86*10,0)</f>
        <v>3.4173509483281981</v>
      </c>
      <c r="BK86" s="2135">
        <f>BF86+BD86</f>
        <v>13.786740759401761</v>
      </c>
      <c r="BL86" s="2149">
        <v>42.627902516129033</v>
      </c>
      <c r="BM86" s="2109">
        <f>IFERROR(BN86/BL86*10,0)</f>
        <v>0</v>
      </c>
      <c r="BN86" s="2109">
        <v>0</v>
      </c>
      <c r="BO86" s="2109">
        <v>3.4173509483281985</v>
      </c>
      <c r="BP86" s="2109">
        <f t="shared" si="161"/>
        <v>14.567450308873555</v>
      </c>
      <c r="BQ86" s="2135"/>
      <c r="BR86" s="2135"/>
      <c r="BS86" s="2135"/>
      <c r="BT86" s="2135">
        <f>IFERROR(BU86/BL86*10,0)</f>
        <v>3.4173509483281981</v>
      </c>
      <c r="BU86" s="2135">
        <f>BP86+BN86</f>
        <v>14.567450308873555</v>
      </c>
      <c r="BV86" s="2149">
        <v>46.202306800000002</v>
      </c>
      <c r="BW86" s="2109">
        <f>IFERROR(BX86/BV86*10,0)</f>
        <v>0</v>
      </c>
      <c r="BX86" s="2109">
        <v>0</v>
      </c>
      <c r="BY86" s="2109">
        <v>3.4173509483281985</v>
      </c>
      <c r="BZ86" s="2109">
        <f t="shared" si="162"/>
        <v>15.78894969579304</v>
      </c>
      <c r="CA86" s="2135"/>
      <c r="CB86" s="2135"/>
      <c r="CC86" s="2135"/>
      <c r="CD86" s="2135">
        <f>IFERROR(CE86/BV86*10,0)</f>
        <v>3.417350948328199</v>
      </c>
      <c r="CE86" s="2135">
        <f>BZ86+BX86</f>
        <v>15.78894969579304</v>
      </c>
      <c r="CF86" s="2149">
        <v>42.989100999999998</v>
      </c>
      <c r="CG86" s="2109">
        <f>IFERROR(CH86/CF86*10,0)</f>
        <v>0</v>
      </c>
      <c r="CH86" s="2109">
        <v>0</v>
      </c>
      <c r="CI86" s="2109">
        <v>3.4173509483281985</v>
      </c>
      <c r="CJ86" s="2109">
        <f t="shared" si="163"/>
        <v>14.690884507012669</v>
      </c>
      <c r="CK86" s="2135"/>
      <c r="CL86" s="2135"/>
      <c r="CM86" s="2135"/>
      <c r="CN86" s="2135">
        <f>IFERROR(CO86/CF86*10,0)</f>
        <v>3.4173509483281981</v>
      </c>
      <c r="CO86" s="2135">
        <f>CJ86+CH86</f>
        <v>14.690884507012669</v>
      </c>
      <c r="CP86" s="2149">
        <v>44.095848799999999</v>
      </c>
      <c r="CQ86" s="2109">
        <f>IFERROR(CR86/CP86*10,0)</f>
        <v>0</v>
      </c>
      <c r="CR86" s="2109">
        <v>0</v>
      </c>
      <c r="CS86" s="2109">
        <v>3.4173509483281985</v>
      </c>
      <c r="CT86" s="2109">
        <f t="shared" si="164"/>
        <v>15.069099071401686</v>
      </c>
      <c r="CU86" s="2135"/>
      <c r="CV86" s="2135"/>
      <c r="CW86" s="2135"/>
      <c r="CX86" s="2135">
        <f>IFERROR(CY86/CP86*10,0)</f>
        <v>3.417350948328199</v>
      </c>
      <c r="CY86" s="2135">
        <f>CT86+CR86</f>
        <v>15.069099071401686</v>
      </c>
      <c r="CZ86" s="2149">
        <v>45.117535799999999</v>
      </c>
      <c r="DA86" s="2109">
        <f>IFERROR(DB86/CZ86*10,0)</f>
        <v>0</v>
      </c>
      <c r="DB86" s="2109">
        <v>0</v>
      </c>
      <c r="DC86" s="2109">
        <v>3.4173509483281985</v>
      </c>
      <c r="DD86" s="2109">
        <f t="shared" si="165"/>
        <v>15.418245375236145</v>
      </c>
      <c r="DE86" s="2135"/>
      <c r="DF86" s="2135"/>
      <c r="DG86" s="2135"/>
      <c r="DH86" s="2135">
        <f>IFERROR(DI86/CZ86*10,0)</f>
        <v>3.417350948328199</v>
      </c>
      <c r="DI86" s="2135">
        <f>DD86+DB86</f>
        <v>15.418245375236145</v>
      </c>
      <c r="DJ86" s="2149">
        <v>32.799029000000012</v>
      </c>
      <c r="DK86" s="2109">
        <f>IFERROR(DL86/DJ86*10,0)</f>
        <v>0</v>
      </c>
      <c r="DL86" s="2109">
        <v>0</v>
      </c>
      <c r="DM86" s="2109">
        <v>3.4173509483281985</v>
      </c>
      <c r="DN86" s="2109">
        <f t="shared" si="166"/>
        <v>11.208579285739413</v>
      </c>
      <c r="DO86" s="2135"/>
      <c r="DP86" s="2135"/>
      <c r="DQ86" s="2135"/>
      <c r="DR86" s="2135">
        <f>IFERROR(DS86/DJ86*10,0)</f>
        <v>3.417350948328199</v>
      </c>
      <c r="DS86" s="2135">
        <f>DN86+DL86</f>
        <v>11.208579285739413</v>
      </c>
      <c r="DT86" s="2149">
        <v>43.409555999999995</v>
      </c>
      <c r="DU86" s="2109">
        <f>IFERROR(DV86/DT86*10,0)</f>
        <v>0</v>
      </c>
      <c r="DV86" s="2109">
        <v>0</v>
      </c>
      <c r="DW86" s="2109">
        <v>3.4173509483281985</v>
      </c>
      <c r="DX86" s="2109">
        <f t="shared" si="167"/>
        <v>14.834568736310601</v>
      </c>
      <c r="DY86" s="2135"/>
      <c r="DZ86" s="2135"/>
      <c r="EA86" s="2135"/>
      <c r="EB86" s="2135">
        <f>IFERROR(EC86/DT86*10,0)</f>
        <v>3.4173509483281981</v>
      </c>
      <c r="EC86" s="2135">
        <f>DX86+DV86</f>
        <v>14.834568736310601</v>
      </c>
      <c r="ED86" s="2135"/>
      <c r="EE86" s="2106">
        <f>SUM(N86,X86,AH86,AR86,BB86,BL86,BV86,CF86,CP86,CZ86,DJ86,DT86)</f>
        <v>520.65276701612902</v>
      </c>
      <c r="EF86" s="2106">
        <f t="shared" si="169"/>
        <v>0</v>
      </c>
      <c r="EG86" s="2106">
        <f>SUM(P86,Z86,AJ86,AT86,BD86,BN86,BX86,CR86,CH86,DB86,DL86,DV86)</f>
        <v>0</v>
      </c>
      <c r="EH86" s="2106">
        <f t="shared" si="170"/>
        <v>3.4173509483281994</v>
      </c>
      <c r="EI86" s="2106">
        <f>SUM(R86,AB86,AL86,AV86,BF86,BP86,BZ86,CJ86,CT86,DD86,DN86,DX86)</f>
        <v>177.92532271122695</v>
      </c>
      <c r="EJ86" s="2106"/>
      <c r="EK86" s="2106"/>
      <c r="EL86" s="2106"/>
      <c r="EM86" s="2106">
        <f t="shared" si="171"/>
        <v>3.4173509483281994</v>
      </c>
      <c r="EN86" s="2106">
        <f>EG86+EI86</f>
        <v>177.92532271122695</v>
      </c>
      <c r="EO86" s="2106">
        <f>EN86/J86*10</f>
        <v>3.4173509483281994</v>
      </c>
      <c r="EP86" s="2114">
        <f>EN86/M86*10</f>
        <v>3.5402098461824458</v>
      </c>
      <c r="EQ86" s="2224"/>
      <c r="ER86" s="2210"/>
      <c r="ES86" s="2209" t="e">
        <v>#N/A</v>
      </c>
      <c r="ET86" s="2241"/>
      <c r="EU86" s="2230"/>
      <c r="EV86" s="2241"/>
      <c r="EW86" s="2241"/>
      <c r="EX86" s="2241"/>
      <c r="EY86" s="2244"/>
      <c r="EZ86" s="2244"/>
      <c r="FA86" s="2244"/>
      <c r="FB86" s="2242"/>
      <c r="FC86" s="2243"/>
      <c r="FD86" s="2243"/>
      <c r="FE86" s="2243"/>
      <c r="FF86" s="2243"/>
      <c r="FG86" s="2243"/>
      <c r="FH86" s="2243"/>
      <c r="FI86" s="2243"/>
    </row>
    <row r="87" spans="1:165">
      <c r="A87" s="2220">
        <v>5</v>
      </c>
      <c r="B87" s="2145" t="s">
        <v>1721</v>
      </c>
      <c r="C87" s="2146">
        <v>440</v>
      </c>
      <c r="D87" s="2147">
        <f>G87/C87</f>
        <v>0.19545454545454546</v>
      </c>
      <c r="E87" s="2146"/>
      <c r="F87" s="2148">
        <v>1.0955399792985199</v>
      </c>
      <c r="G87" s="2146">
        <v>86</v>
      </c>
      <c r="H87" s="2149" t="s">
        <v>1717</v>
      </c>
      <c r="I87" s="2229">
        <v>1</v>
      </c>
      <c r="J87" s="2149">
        <v>680.53251599999999</v>
      </c>
      <c r="K87" s="2148">
        <v>3.4703846153846141E-2</v>
      </c>
      <c r="L87" s="2151"/>
      <c r="M87" s="2152">
        <f>J87*(1-K87)*(1-L87)</f>
        <v>656.91542026204615</v>
      </c>
      <c r="N87" s="2149">
        <v>55.728000000000009</v>
      </c>
      <c r="O87" s="2109">
        <f>IFERROR(P87/N87*10,0)</f>
        <v>0</v>
      </c>
      <c r="P87" s="2109">
        <v>0</v>
      </c>
      <c r="Q87" s="2109">
        <v>4.0078529558909359</v>
      </c>
      <c r="R87" s="2109">
        <f t="shared" si="156"/>
        <v>22.334962952589013</v>
      </c>
      <c r="S87" s="2109"/>
      <c r="T87" s="2109"/>
      <c r="U87" s="2109"/>
      <c r="V87" s="2109">
        <f>IFERROR(W87/N87*10,0)</f>
        <v>4.0078529558909368</v>
      </c>
      <c r="W87" s="2109">
        <f>P87+R87</f>
        <v>22.334962952589013</v>
      </c>
      <c r="X87" s="2149">
        <v>57.585600000000007</v>
      </c>
      <c r="Y87" s="2109">
        <f>IFERROR(Z87/X87*10,0)</f>
        <v>0</v>
      </c>
      <c r="Z87" s="2109">
        <v>0</v>
      </c>
      <c r="AA87" s="2109">
        <v>4.0078529558909359</v>
      </c>
      <c r="AB87" s="2109">
        <f t="shared" si="157"/>
        <v>23.079461717675308</v>
      </c>
      <c r="AC87" s="2135"/>
      <c r="AD87" s="2135"/>
      <c r="AE87" s="2135"/>
      <c r="AF87" s="2135">
        <f>IFERROR(AG87/X87*10,0)</f>
        <v>4.007852955890935</v>
      </c>
      <c r="AG87" s="2135">
        <f>Z87+AB87</f>
        <v>23.079461717675308</v>
      </c>
      <c r="AH87" s="2149">
        <v>55.728000000000009</v>
      </c>
      <c r="AI87" s="2109">
        <f>IFERROR(AJ87/AH87*10,0)</f>
        <v>0</v>
      </c>
      <c r="AJ87" s="2109">
        <v>0</v>
      </c>
      <c r="AK87" s="2109">
        <v>4.0078529558909359</v>
      </c>
      <c r="AL87" s="2109">
        <f t="shared" si="158"/>
        <v>22.334962952589013</v>
      </c>
      <c r="AM87" s="2135"/>
      <c r="AN87" s="2135"/>
      <c r="AO87" s="2135"/>
      <c r="AP87" s="2135">
        <f t="shared" si="168"/>
        <v>4.0078529558909368</v>
      </c>
      <c r="AQ87" s="2135">
        <f>AL87+AJ87</f>
        <v>22.334962952589013</v>
      </c>
      <c r="AR87" s="2149">
        <v>57.585600000000007</v>
      </c>
      <c r="AS87" s="2109">
        <f>IFERROR(AT87/AR87*10,0)</f>
        <v>0</v>
      </c>
      <c r="AT87" s="2109">
        <v>0</v>
      </c>
      <c r="AU87" s="2109">
        <v>4.0078529558909359</v>
      </c>
      <c r="AV87" s="2109">
        <f t="shared" si="159"/>
        <v>23.079461717675308</v>
      </c>
      <c r="AW87" s="2135"/>
      <c r="AX87" s="2135"/>
      <c r="AY87" s="2135"/>
      <c r="AZ87" s="2135">
        <f>IFERROR(BA87/AR87*10,0)</f>
        <v>4.007852955890935</v>
      </c>
      <c r="BA87" s="2135">
        <f>AV87+AT87</f>
        <v>23.079461717675308</v>
      </c>
      <c r="BB87" s="2149">
        <v>57.585600000000007</v>
      </c>
      <c r="BC87" s="2109">
        <f>IFERROR(BD87/BB87*10,0)</f>
        <v>0</v>
      </c>
      <c r="BD87" s="2109">
        <v>0</v>
      </c>
      <c r="BE87" s="2109">
        <v>4.0078529558909359</v>
      </c>
      <c r="BF87" s="2109">
        <f t="shared" si="160"/>
        <v>23.079461717675308</v>
      </c>
      <c r="BG87" s="2135"/>
      <c r="BH87" s="2135"/>
      <c r="BI87" s="2135"/>
      <c r="BJ87" s="2135">
        <f>IFERROR(BK87/BB87*10,0)</f>
        <v>4.007852955890935</v>
      </c>
      <c r="BK87" s="2135">
        <f>BF87+BD87</f>
        <v>23.079461717675308</v>
      </c>
      <c r="BL87" s="2149">
        <v>55.728000000000009</v>
      </c>
      <c r="BM87" s="2109">
        <f>IFERROR(BN87/BL87*10,0)</f>
        <v>0</v>
      </c>
      <c r="BN87" s="2109">
        <v>0</v>
      </c>
      <c r="BO87" s="2109">
        <v>4.0078529558909359</v>
      </c>
      <c r="BP87" s="2109">
        <f t="shared" si="161"/>
        <v>22.334962952589013</v>
      </c>
      <c r="BQ87" s="2135"/>
      <c r="BR87" s="2135"/>
      <c r="BS87" s="2135"/>
      <c r="BT87" s="2135">
        <f>IFERROR(BU87/BL87*10,0)</f>
        <v>4.0078529558909368</v>
      </c>
      <c r="BU87" s="2135">
        <f>BP87+BN87</f>
        <v>22.334962952589013</v>
      </c>
      <c r="BV87" s="2149">
        <v>61.374114000000006</v>
      </c>
      <c r="BW87" s="2109">
        <f>IFERROR(BX87/BV87*10,0)</f>
        <v>0</v>
      </c>
      <c r="BX87" s="2109">
        <v>0</v>
      </c>
      <c r="BY87" s="2109">
        <v>4.0078529558909359</v>
      </c>
      <c r="BZ87" s="2109">
        <f t="shared" si="162"/>
        <v>24.597842421008728</v>
      </c>
      <c r="CA87" s="2135"/>
      <c r="CB87" s="2135"/>
      <c r="CC87" s="2135"/>
      <c r="CD87" s="2135">
        <f>IFERROR(CE87/BV87*10,0)</f>
        <v>4.0078529558909359</v>
      </c>
      <c r="CE87" s="2135">
        <f>BZ87+BX87</f>
        <v>24.597842421008728</v>
      </c>
      <c r="CF87" s="2149">
        <v>60.444523799999999</v>
      </c>
      <c r="CG87" s="2109">
        <f>IFERROR(CH87/CF87*10,0)</f>
        <v>0</v>
      </c>
      <c r="CH87" s="2109">
        <v>0</v>
      </c>
      <c r="CI87" s="2109">
        <v>4.0078529558909359</v>
      </c>
      <c r="CJ87" s="2109">
        <f t="shared" si="163"/>
        <v>24.225276337925003</v>
      </c>
      <c r="CK87" s="2135"/>
      <c r="CL87" s="2135"/>
      <c r="CM87" s="2135"/>
      <c r="CN87" s="2135">
        <f>IFERROR(CO87/CF87*10,0)</f>
        <v>4.0078529558909359</v>
      </c>
      <c r="CO87" s="2135">
        <f>CJ87+CH87</f>
        <v>24.225276337925003</v>
      </c>
      <c r="CP87" s="2149">
        <v>62.488150799999978</v>
      </c>
      <c r="CQ87" s="2109">
        <f>IFERROR(CR87/CP87*10,0)</f>
        <v>0</v>
      </c>
      <c r="CR87" s="2109">
        <v>0</v>
      </c>
      <c r="CS87" s="2109">
        <v>4.0078529558909359</v>
      </c>
      <c r="CT87" s="2109">
        <f t="shared" si="164"/>
        <v>25.044331989193847</v>
      </c>
      <c r="CU87" s="2135"/>
      <c r="CV87" s="2135"/>
      <c r="CW87" s="2135"/>
      <c r="CX87" s="2135">
        <f>IFERROR(CY87/CP87*10,0)</f>
        <v>4.0078529558909359</v>
      </c>
      <c r="CY87" s="2135">
        <f>CT87+CR87</f>
        <v>25.044331989193847</v>
      </c>
      <c r="CZ87" s="2149">
        <v>62.078044399999982</v>
      </c>
      <c r="DA87" s="2109">
        <f>IFERROR(DB87/CZ87*10,0)</f>
        <v>0</v>
      </c>
      <c r="DB87" s="2109">
        <v>0</v>
      </c>
      <c r="DC87" s="2109">
        <v>4.0078529558909359</v>
      </c>
      <c r="DD87" s="2109">
        <f t="shared" si="165"/>
        <v>24.879967374446871</v>
      </c>
      <c r="DE87" s="2135"/>
      <c r="DF87" s="2135"/>
      <c r="DG87" s="2135"/>
      <c r="DH87" s="2135">
        <f>IFERROR(DI87/CZ87*10,0)</f>
        <v>4.0078529558909359</v>
      </c>
      <c r="DI87" s="2135">
        <f>DD87+DB87</f>
        <v>24.879967374446871</v>
      </c>
      <c r="DJ87" s="2149">
        <v>33.260979200000001</v>
      </c>
      <c r="DK87" s="2109">
        <f>IFERROR(DL87/DJ87*10,0)</f>
        <v>0</v>
      </c>
      <c r="DL87" s="2109">
        <v>0</v>
      </c>
      <c r="DM87" s="2109">
        <v>4.0078529558909359</v>
      </c>
      <c r="DN87" s="2109">
        <f t="shared" si="166"/>
        <v>13.330511380254695</v>
      </c>
      <c r="DO87" s="2135"/>
      <c r="DP87" s="2135"/>
      <c r="DQ87" s="2135"/>
      <c r="DR87" s="2135">
        <f>IFERROR(DS87/DJ87*10,0)</f>
        <v>4.0078529558909359</v>
      </c>
      <c r="DS87" s="2135">
        <f>DN87+DL87</f>
        <v>13.330511380254695</v>
      </c>
      <c r="DT87" s="2149">
        <v>60.945903799999989</v>
      </c>
      <c r="DU87" s="2109">
        <f>IFERROR(DV87/DT87*10,0)</f>
        <v>0</v>
      </c>
      <c r="DV87" s="2109">
        <v>0</v>
      </c>
      <c r="DW87" s="2109">
        <v>4.0078529558909359</v>
      </c>
      <c r="DX87" s="2109">
        <f t="shared" si="167"/>
        <v>24.42622206942746</v>
      </c>
      <c r="DY87" s="2135"/>
      <c r="DZ87" s="2135"/>
      <c r="EA87" s="2135"/>
      <c r="EB87" s="2135">
        <f>IFERROR(EC87/DT87*10,0)</f>
        <v>4.0078529558909368</v>
      </c>
      <c r="EC87" s="2135">
        <f>DX87+DV87</f>
        <v>24.42622206942746</v>
      </c>
      <c r="ED87" s="2135"/>
      <c r="EE87" s="2106">
        <f>SUM(N87,X87,AH87,AR87,BB87,BL87,BV87,CF87,CP87,CZ87,DJ87,DT87)</f>
        <v>680.53251599999999</v>
      </c>
      <c r="EF87" s="2106">
        <f t="shared" si="169"/>
        <v>0</v>
      </c>
      <c r="EG87" s="2106">
        <f>SUM(P87,Z87,AJ87,AT87,BD87,BN87,BX87,CR87,CH87,DB87,DL87,DV87)</f>
        <v>0</v>
      </c>
      <c r="EH87" s="2106">
        <f t="shared" si="170"/>
        <v>4.0078529558909359</v>
      </c>
      <c r="EI87" s="2106">
        <f>SUM(R87,AB87,AL87,AV87,BF87,BP87,BZ87,CJ87,CT87,DD87,DN87,DX87)</f>
        <v>272.74742558304956</v>
      </c>
      <c r="EJ87" s="2106"/>
      <c r="EK87" s="2106"/>
      <c r="EL87" s="2106"/>
      <c r="EM87" s="2106">
        <f t="shared" si="171"/>
        <v>4.0078529558909359</v>
      </c>
      <c r="EN87" s="2106">
        <f>EG87+EI87</f>
        <v>272.74742558304956</v>
      </c>
      <c r="EO87" s="2106">
        <f>EN87/J87*10</f>
        <v>4.0078529558909359</v>
      </c>
      <c r="EP87" s="2114">
        <f>EN87/M87*10</f>
        <v>4.151941287574731</v>
      </c>
      <c r="EQ87" s="2224"/>
      <c r="ER87" s="2210"/>
      <c r="ES87" s="2209" t="e">
        <v>#N/A</v>
      </c>
      <c r="ET87" s="2241"/>
      <c r="EU87" s="2230"/>
      <c r="EV87" s="2241"/>
      <c r="EW87" s="2241"/>
      <c r="EX87" s="2241"/>
      <c r="EY87" s="2244"/>
      <c r="EZ87" s="2244"/>
      <c r="FA87" s="2244"/>
      <c r="FB87" s="2242"/>
      <c r="FC87" s="2243"/>
      <c r="FD87" s="2243"/>
      <c r="FE87" s="2243"/>
      <c r="FF87" s="2243"/>
      <c r="FG87" s="2243"/>
      <c r="FH87" s="2243"/>
      <c r="FI87" s="2243"/>
    </row>
    <row r="88" spans="1:165">
      <c r="A88" s="2220"/>
      <c r="B88" s="2145" t="s">
        <v>211</v>
      </c>
      <c r="C88" s="2234">
        <f>SUM(C83:C87)</f>
        <v>2840</v>
      </c>
      <c r="D88" s="2109"/>
      <c r="E88" s="2109"/>
      <c r="F88" s="2235">
        <f>J88/(G88*8.76)</f>
        <v>0.90658365180602329</v>
      </c>
      <c r="G88" s="2162">
        <f>SUM(G83:G87)</f>
        <v>295.70000000000005</v>
      </c>
      <c r="H88" s="2149"/>
      <c r="I88" s="2237"/>
      <c r="J88" s="2226">
        <f>SUM(J83:J87)</f>
        <v>2348.3526439500001</v>
      </c>
      <c r="K88" s="2109"/>
      <c r="L88" s="2109"/>
      <c r="M88" s="2160">
        <f>SUM(M83:M87)</f>
        <v>2305.7232521485089</v>
      </c>
      <c r="N88" s="2160">
        <f>SUM(N83:N87)</f>
        <v>190.26485626666667</v>
      </c>
      <c r="O88" s="2109"/>
      <c r="P88" s="2160">
        <f>SUM(P83:P87)</f>
        <v>0</v>
      </c>
      <c r="Q88" s="2109">
        <v>0</v>
      </c>
      <c r="R88" s="2160">
        <f>SUM(R83:R87)</f>
        <v>65.848103451905502</v>
      </c>
      <c r="S88" s="2109"/>
      <c r="T88" s="2109"/>
      <c r="U88" s="2109"/>
      <c r="V88" s="2109"/>
      <c r="W88" s="2234">
        <f>SUM(W83:W87)</f>
        <v>65.848103451905502</v>
      </c>
      <c r="X88" s="2234">
        <f>SUM(X83:X87)</f>
        <v>195.49817533333334</v>
      </c>
      <c r="Y88" s="2109"/>
      <c r="Z88" s="2234">
        <f>SUM(Z83:Z87)</f>
        <v>0</v>
      </c>
      <c r="AA88" s="2109">
        <v>0</v>
      </c>
      <c r="AB88" s="2234">
        <f>SUM(AB83:AB87)</f>
        <v>67.708588847282357</v>
      </c>
      <c r="AC88" s="2135"/>
      <c r="AD88" s="2135"/>
      <c r="AE88" s="2135"/>
      <c r="AF88" s="2135"/>
      <c r="AG88" s="2236">
        <f>SUM(AG83:AG87)</f>
        <v>67.708588847282357</v>
      </c>
      <c r="AH88" s="2236">
        <f>SUM(AH83:AH87)</f>
        <v>196.21767633333337</v>
      </c>
      <c r="AI88" s="2109"/>
      <c r="AJ88" s="2236">
        <f>SUM(AJ83:AJ87)</f>
        <v>0</v>
      </c>
      <c r="AK88" s="2109">
        <v>0</v>
      </c>
      <c r="AL88" s="2236">
        <f>SUM(AL83:AL87)</f>
        <v>67.712241013456776</v>
      </c>
      <c r="AM88" s="2135"/>
      <c r="AN88" s="2135"/>
      <c r="AO88" s="2238"/>
      <c r="AP88" s="2135">
        <f t="shared" si="168"/>
        <v>3.4508736561749735</v>
      </c>
      <c r="AQ88" s="2236">
        <f>SUM(AQ83:AQ87)</f>
        <v>67.712241013456776</v>
      </c>
      <c r="AR88" s="2236">
        <f>SUM(AR83:AR87)</f>
        <v>206.31098601666667</v>
      </c>
      <c r="AS88" s="2109"/>
      <c r="AT88" s="2236">
        <f>SUM(AT83:AT87)</f>
        <v>0</v>
      </c>
      <c r="AU88" s="2109">
        <v>0</v>
      </c>
      <c r="AV88" s="2236">
        <f>SUM(AV83:AV87)</f>
        <v>71.066400118726705</v>
      </c>
      <c r="AW88" s="2236">
        <f t="shared" ref="AW88:CT88" si="172">SUM(AW83:AW87)</f>
        <v>0</v>
      </c>
      <c r="AX88" s="2236">
        <f t="shared" si="172"/>
        <v>0</v>
      </c>
      <c r="AY88" s="2236">
        <f t="shared" si="172"/>
        <v>0</v>
      </c>
      <c r="AZ88" s="2236"/>
      <c r="BA88" s="2236">
        <f t="shared" si="172"/>
        <v>71.066400118726705</v>
      </c>
      <c r="BB88" s="2236">
        <f t="shared" si="172"/>
        <v>194.94160791666667</v>
      </c>
      <c r="BC88" s="2109"/>
      <c r="BD88" s="2236">
        <f t="shared" si="172"/>
        <v>0</v>
      </c>
      <c r="BE88" s="2109">
        <v>0</v>
      </c>
      <c r="BF88" s="2236">
        <f t="shared" si="172"/>
        <v>67.342087857336111</v>
      </c>
      <c r="BG88" s="2236">
        <f t="shared" si="172"/>
        <v>0</v>
      </c>
      <c r="BH88" s="2236">
        <f t="shared" si="172"/>
        <v>0</v>
      </c>
      <c r="BI88" s="2236">
        <f t="shared" si="172"/>
        <v>0</v>
      </c>
      <c r="BJ88" s="2236"/>
      <c r="BK88" s="2236">
        <f t="shared" si="172"/>
        <v>67.342087857336111</v>
      </c>
      <c r="BL88" s="2236">
        <f t="shared" si="172"/>
        <v>191.96977600000002</v>
      </c>
      <c r="BM88" s="2109"/>
      <c r="BN88" s="2236">
        <f t="shared" si="172"/>
        <v>0</v>
      </c>
      <c r="BO88" s="2109">
        <v>0</v>
      </c>
      <c r="BP88" s="2236">
        <f t="shared" si="172"/>
        <v>66.31741282965389</v>
      </c>
      <c r="BQ88" s="2236">
        <f t="shared" si="172"/>
        <v>0</v>
      </c>
      <c r="BR88" s="2236">
        <f t="shared" si="172"/>
        <v>0</v>
      </c>
      <c r="BS88" s="2236">
        <f t="shared" si="172"/>
        <v>0</v>
      </c>
      <c r="BT88" s="2236"/>
      <c r="BU88" s="2236">
        <f t="shared" si="172"/>
        <v>66.31741282965389</v>
      </c>
      <c r="BV88" s="2236">
        <f t="shared" si="172"/>
        <v>202.61303860000004</v>
      </c>
      <c r="BW88" s="2109"/>
      <c r="BX88" s="2236">
        <f t="shared" si="172"/>
        <v>0</v>
      </c>
      <c r="BY88" s="2109">
        <v>0</v>
      </c>
      <c r="BZ88" s="2236">
        <f t="shared" si="172"/>
        <v>70.240330945013568</v>
      </c>
      <c r="CA88" s="2236">
        <f t="shared" si="172"/>
        <v>0</v>
      </c>
      <c r="CB88" s="2236">
        <f t="shared" si="172"/>
        <v>0</v>
      </c>
      <c r="CC88" s="2236">
        <f t="shared" si="172"/>
        <v>0</v>
      </c>
      <c r="CD88" s="2236">
        <f t="shared" si="172"/>
        <v>15.924187040304425</v>
      </c>
      <c r="CE88" s="2236">
        <f t="shared" si="172"/>
        <v>70.240330945013568</v>
      </c>
      <c r="CF88" s="2236">
        <f t="shared" si="172"/>
        <v>201.67904755000001</v>
      </c>
      <c r="CG88" s="2109"/>
      <c r="CH88" s="2236">
        <f t="shared" si="172"/>
        <v>0</v>
      </c>
      <c r="CI88" s="2109">
        <v>0</v>
      </c>
      <c r="CJ88" s="2236">
        <f t="shared" si="172"/>
        <v>69.789858366721518</v>
      </c>
      <c r="CK88" s="2236">
        <f t="shared" si="172"/>
        <v>0</v>
      </c>
      <c r="CL88" s="2236">
        <f t="shared" si="172"/>
        <v>0</v>
      </c>
      <c r="CM88" s="2236">
        <f t="shared" si="172"/>
        <v>0</v>
      </c>
      <c r="CN88" s="2236"/>
      <c r="CO88" s="2236">
        <f t="shared" si="172"/>
        <v>69.789858366721518</v>
      </c>
      <c r="CP88" s="2236">
        <f t="shared" si="172"/>
        <v>210.3925462</v>
      </c>
      <c r="CQ88" s="2109"/>
      <c r="CR88" s="2236">
        <f t="shared" si="172"/>
        <v>0</v>
      </c>
      <c r="CS88" s="2109">
        <v>0</v>
      </c>
      <c r="CT88" s="2236">
        <f t="shared" si="172"/>
        <v>72.741609170460677</v>
      </c>
      <c r="CU88" s="2236"/>
      <c r="CV88" s="2236"/>
      <c r="CW88" s="2236">
        <f t="shared" ref="CW88:EG88" si="173">SUM(CW83:CW87)</f>
        <v>0</v>
      </c>
      <c r="CX88" s="2236">
        <f t="shared" si="173"/>
        <v>15.924187040304425</v>
      </c>
      <c r="CY88" s="2236">
        <f t="shared" si="173"/>
        <v>72.741609170460677</v>
      </c>
      <c r="CZ88" s="2236">
        <f t="shared" si="173"/>
        <v>202.30957853333334</v>
      </c>
      <c r="DA88" s="2109"/>
      <c r="DB88" s="2236">
        <f t="shared" si="173"/>
        <v>0</v>
      </c>
      <c r="DC88" s="2109">
        <v>0</v>
      </c>
      <c r="DD88" s="2236">
        <f t="shared" si="173"/>
        <v>70.165858895623444</v>
      </c>
      <c r="DE88" s="2236">
        <f t="shared" si="173"/>
        <v>0</v>
      </c>
      <c r="DF88" s="2236">
        <f t="shared" si="173"/>
        <v>0</v>
      </c>
      <c r="DG88" s="2236">
        <f t="shared" si="173"/>
        <v>0</v>
      </c>
      <c r="DH88" s="2236"/>
      <c r="DI88" s="2236">
        <f t="shared" si="173"/>
        <v>70.165858895623444</v>
      </c>
      <c r="DJ88" s="2236">
        <f t="shared" si="173"/>
        <v>149.48129860000003</v>
      </c>
      <c r="DK88" s="2109"/>
      <c r="DL88" s="2236">
        <f t="shared" si="173"/>
        <v>0</v>
      </c>
      <c r="DM88" s="2109">
        <v>0</v>
      </c>
      <c r="DN88" s="2236">
        <f t="shared" si="173"/>
        <v>50.742086013350644</v>
      </c>
      <c r="DO88" s="2236">
        <f t="shared" si="173"/>
        <v>0</v>
      </c>
      <c r="DP88" s="2236">
        <f t="shared" si="173"/>
        <v>0</v>
      </c>
      <c r="DQ88" s="2236">
        <f t="shared" si="173"/>
        <v>0</v>
      </c>
      <c r="DR88" s="2236"/>
      <c r="DS88" s="2236">
        <f t="shared" si="173"/>
        <v>50.742086013350644</v>
      </c>
      <c r="DT88" s="2236">
        <f t="shared" si="173"/>
        <v>206.67405659999997</v>
      </c>
      <c r="DU88" s="2109"/>
      <c r="DV88" s="2236">
        <f t="shared" si="173"/>
        <v>0</v>
      </c>
      <c r="DW88" s="2109">
        <v>0</v>
      </c>
      <c r="DX88" s="2236">
        <f t="shared" si="173"/>
        <v>71.392097412873397</v>
      </c>
      <c r="DY88" s="2236">
        <f t="shared" si="173"/>
        <v>0</v>
      </c>
      <c r="DZ88" s="2236">
        <f t="shared" si="173"/>
        <v>0</v>
      </c>
      <c r="EA88" s="2236">
        <f t="shared" si="173"/>
        <v>0</v>
      </c>
      <c r="EB88" s="2236"/>
      <c r="EC88" s="2236">
        <f t="shared" si="173"/>
        <v>71.392097412873397</v>
      </c>
      <c r="ED88" s="2236">
        <f t="shared" si="173"/>
        <v>0</v>
      </c>
      <c r="EE88" s="2107">
        <f t="shared" si="173"/>
        <v>2348.3526439500001</v>
      </c>
      <c r="EF88" s="2106">
        <f t="shared" si="169"/>
        <v>0</v>
      </c>
      <c r="EG88" s="2107">
        <f t="shared" si="173"/>
        <v>0</v>
      </c>
      <c r="EH88" s="2106">
        <f t="shared" si="170"/>
        <v>3.4537686535790724</v>
      </c>
      <c r="EI88" s="2107">
        <f>SUM(EI83:EI87)</f>
        <v>811.06667492240467</v>
      </c>
      <c r="EJ88" s="2107">
        <f>SUM(EJ83:EJ87)</f>
        <v>0</v>
      </c>
      <c r="EK88" s="2107">
        <f>SUM(EK83:EK87)</f>
        <v>0</v>
      </c>
      <c r="EL88" s="2107">
        <f>SUM(EL83:EL87)</f>
        <v>0</v>
      </c>
      <c r="EM88" s="2106">
        <f t="shared" si="171"/>
        <v>3.4537686535790724</v>
      </c>
      <c r="EN88" s="2107">
        <f>SUM(EN83:EN87)</f>
        <v>811.06667492240467</v>
      </c>
      <c r="EO88" s="2239"/>
      <c r="EP88" s="2240"/>
      <c r="EQ88" s="2224"/>
      <c r="ER88" s="2210"/>
      <c r="ES88" s="2209" t="e">
        <v>#N/A</v>
      </c>
      <c r="ET88" s="2241"/>
      <c r="EU88" s="2230"/>
      <c r="EV88" s="2241"/>
      <c r="EW88" s="2241"/>
      <c r="EX88" s="2241"/>
      <c r="EY88" s="2244"/>
      <c r="EZ88" s="2244"/>
      <c r="FA88" s="2244"/>
      <c r="FB88" s="2242"/>
      <c r="FC88" s="2243"/>
      <c r="FD88" s="2243"/>
      <c r="FE88" s="2243"/>
      <c r="FF88" s="2243"/>
      <c r="FG88" s="2243"/>
      <c r="FH88" s="2243"/>
      <c r="FI88" s="2243"/>
    </row>
    <row r="89" spans="1:165">
      <c r="A89" s="2220"/>
      <c r="B89" s="2145"/>
      <c r="C89" s="2145"/>
      <c r="D89" s="2145"/>
      <c r="E89" s="2145"/>
      <c r="F89" s="2145"/>
      <c r="G89" s="1592"/>
      <c r="H89" s="2149"/>
      <c r="I89" s="2237"/>
      <c r="J89" s="2149"/>
      <c r="K89" s="2145"/>
      <c r="L89" s="2145"/>
      <c r="M89" s="2152"/>
      <c r="N89" s="2149">
        <v>0</v>
      </c>
      <c r="O89" s="2109"/>
      <c r="P89" s="2109">
        <v>0</v>
      </c>
      <c r="Q89" s="2109">
        <v>0</v>
      </c>
      <c r="R89" s="2109">
        <f t="shared" si="156"/>
        <v>0</v>
      </c>
      <c r="S89" s="2109"/>
      <c r="T89" s="2109"/>
      <c r="U89" s="2109"/>
      <c r="V89" s="2109"/>
      <c r="W89" s="2109"/>
      <c r="X89" s="2149">
        <v>0</v>
      </c>
      <c r="Y89" s="2109"/>
      <c r="Z89" s="2109">
        <v>0</v>
      </c>
      <c r="AA89" s="2109">
        <v>0</v>
      </c>
      <c r="AB89" s="2109">
        <f t="shared" si="157"/>
        <v>0</v>
      </c>
      <c r="AC89" s="2135"/>
      <c r="AD89" s="2135"/>
      <c r="AE89" s="2135"/>
      <c r="AF89" s="2135"/>
      <c r="AG89" s="2135"/>
      <c r="AH89" s="2149">
        <v>0</v>
      </c>
      <c r="AI89" s="2109"/>
      <c r="AJ89" s="2109">
        <v>0</v>
      </c>
      <c r="AK89" s="2109">
        <v>0</v>
      </c>
      <c r="AL89" s="2109">
        <f t="shared" si="158"/>
        <v>0</v>
      </c>
      <c r="AM89" s="2135"/>
      <c r="AN89" s="2135"/>
      <c r="AO89" s="2238"/>
      <c r="AP89" s="2135"/>
      <c r="AQ89" s="2135"/>
      <c r="AR89" s="2149">
        <v>0</v>
      </c>
      <c r="AS89" s="2109"/>
      <c r="AT89" s="2109">
        <v>0</v>
      </c>
      <c r="AU89" s="2109">
        <v>0</v>
      </c>
      <c r="AV89" s="2109">
        <f t="shared" si="159"/>
        <v>0</v>
      </c>
      <c r="AW89" s="2135"/>
      <c r="AX89" s="2135"/>
      <c r="AY89" s="2238"/>
      <c r="AZ89" s="2135"/>
      <c r="BA89" s="2135"/>
      <c r="BB89" s="2149"/>
      <c r="BC89" s="2109"/>
      <c r="BD89" s="2109">
        <v>0</v>
      </c>
      <c r="BE89" s="2109">
        <v>0</v>
      </c>
      <c r="BF89" s="2109">
        <f t="shared" si="160"/>
        <v>0</v>
      </c>
      <c r="BG89" s="2135"/>
      <c r="BH89" s="2135"/>
      <c r="BI89" s="2238"/>
      <c r="BJ89" s="2135"/>
      <c r="BK89" s="2135"/>
      <c r="BL89" s="2149">
        <v>0</v>
      </c>
      <c r="BM89" s="2109"/>
      <c r="BN89" s="2109">
        <v>0</v>
      </c>
      <c r="BO89" s="2109">
        <v>0</v>
      </c>
      <c r="BP89" s="2109">
        <f t="shared" si="161"/>
        <v>0</v>
      </c>
      <c r="BQ89" s="2135"/>
      <c r="BR89" s="2135"/>
      <c r="BS89" s="2135"/>
      <c r="BT89" s="2135"/>
      <c r="BU89" s="2135"/>
      <c r="BV89" s="2149">
        <v>0</v>
      </c>
      <c r="BW89" s="2109"/>
      <c r="BX89" s="2109">
        <v>0</v>
      </c>
      <c r="BY89" s="2109">
        <v>0</v>
      </c>
      <c r="BZ89" s="2109">
        <f t="shared" si="162"/>
        <v>0</v>
      </c>
      <c r="CA89" s="2135"/>
      <c r="CB89" s="2135"/>
      <c r="CC89" s="2135"/>
      <c r="CD89" s="2135"/>
      <c r="CE89" s="2135"/>
      <c r="CF89" s="2149">
        <v>0</v>
      </c>
      <c r="CG89" s="2109"/>
      <c r="CH89" s="2109">
        <v>0</v>
      </c>
      <c r="CI89" s="2109">
        <v>0</v>
      </c>
      <c r="CJ89" s="2109">
        <f t="shared" si="163"/>
        <v>0</v>
      </c>
      <c r="CK89" s="2135"/>
      <c r="CL89" s="2135"/>
      <c r="CM89" s="2238"/>
      <c r="CN89" s="2135"/>
      <c r="CO89" s="2135"/>
      <c r="CP89" s="2149">
        <v>0</v>
      </c>
      <c r="CQ89" s="2109"/>
      <c r="CR89" s="2109">
        <v>0</v>
      </c>
      <c r="CS89" s="2109">
        <v>0</v>
      </c>
      <c r="CT89" s="2109">
        <f t="shared" si="164"/>
        <v>0</v>
      </c>
      <c r="CU89" s="2135"/>
      <c r="CV89" s="2135"/>
      <c r="CW89" s="2238"/>
      <c r="CX89" s="2135"/>
      <c r="CY89" s="2135"/>
      <c r="CZ89" s="2149">
        <v>0</v>
      </c>
      <c r="DA89" s="2109"/>
      <c r="DB89" s="2109">
        <v>0</v>
      </c>
      <c r="DC89" s="2109">
        <v>0</v>
      </c>
      <c r="DD89" s="2109">
        <f t="shared" si="165"/>
        <v>0</v>
      </c>
      <c r="DE89" s="2135"/>
      <c r="DF89" s="2135"/>
      <c r="DG89" s="2238"/>
      <c r="DH89" s="2135"/>
      <c r="DI89" s="2135"/>
      <c r="DJ89" s="2149">
        <v>0</v>
      </c>
      <c r="DK89" s="2109"/>
      <c r="DL89" s="2109">
        <v>0</v>
      </c>
      <c r="DM89" s="2109">
        <v>0</v>
      </c>
      <c r="DN89" s="2109">
        <f t="shared" si="166"/>
        <v>0</v>
      </c>
      <c r="DO89" s="2135"/>
      <c r="DP89" s="2135"/>
      <c r="DQ89" s="2238"/>
      <c r="DR89" s="2135"/>
      <c r="DS89" s="2135"/>
      <c r="DT89" s="2149">
        <v>0</v>
      </c>
      <c r="DU89" s="2109"/>
      <c r="DV89" s="2109">
        <v>0</v>
      </c>
      <c r="DW89" s="2109">
        <v>0</v>
      </c>
      <c r="DX89" s="2109">
        <f t="shared" si="167"/>
        <v>0</v>
      </c>
      <c r="DY89" s="2135"/>
      <c r="DZ89" s="2135"/>
      <c r="EA89" s="2135"/>
      <c r="EB89" s="2135"/>
      <c r="EC89" s="2135"/>
      <c r="ED89" s="2135"/>
      <c r="EE89" s="2107"/>
      <c r="EF89" s="2106"/>
      <c r="EG89" s="2106"/>
      <c r="EH89" s="2106"/>
      <c r="EI89" s="2106"/>
      <c r="EJ89" s="2106"/>
      <c r="EK89" s="2106"/>
      <c r="EL89" s="2106"/>
      <c r="EM89" s="2106"/>
      <c r="EN89" s="2106"/>
      <c r="EO89" s="2239"/>
      <c r="EP89" s="2240"/>
      <c r="EQ89" s="2224"/>
      <c r="ER89" s="2210"/>
      <c r="ES89" s="2209" t="e">
        <v>#N/A</v>
      </c>
      <c r="ET89" s="2241"/>
      <c r="EU89" s="2230"/>
      <c r="EV89" s="2241"/>
      <c r="EW89" s="2241"/>
      <c r="EX89" s="2241"/>
      <c r="EY89" s="2244"/>
      <c r="EZ89" s="2244"/>
      <c r="FA89" s="2244"/>
      <c r="FB89" s="2242"/>
      <c r="FC89" s="2243"/>
      <c r="FD89" s="2243"/>
      <c r="FE89" s="2243"/>
      <c r="FF89" s="2243"/>
      <c r="FG89" s="2243"/>
      <c r="FH89" s="2243"/>
      <c r="FI89" s="2243"/>
    </row>
    <row r="90" spans="1:165">
      <c r="A90" s="2232" t="s">
        <v>27</v>
      </c>
      <c r="B90" s="2233" t="s">
        <v>1722</v>
      </c>
      <c r="C90" s="2145"/>
      <c r="D90" s="2145"/>
      <c r="E90" s="2145"/>
      <c r="F90" s="2145"/>
      <c r="G90" s="1592"/>
      <c r="H90" s="2149"/>
      <c r="I90" s="2237"/>
      <c r="J90" s="2149"/>
      <c r="K90" s="2145"/>
      <c r="L90" s="2145"/>
      <c r="M90" s="2152"/>
      <c r="N90" s="2149">
        <v>0</v>
      </c>
      <c r="O90" s="2109"/>
      <c r="P90" s="2109">
        <v>0</v>
      </c>
      <c r="Q90" s="2109">
        <v>0</v>
      </c>
      <c r="R90" s="2109">
        <f t="shared" si="156"/>
        <v>0</v>
      </c>
      <c r="S90" s="2109"/>
      <c r="T90" s="2109"/>
      <c r="U90" s="2109"/>
      <c r="V90" s="2109"/>
      <c r="W90" s="2109"/>
      <c r="X90" s="2149">
        <v>0</v>
      </c>
      <c r="Y90" s="2109"/>
      <c r="Z90" s="2109">
        <v>0</v>
      </c>
      <c r="AA90" s="2109">
        <v>0</v>
      </c>
      <c r="AB90" s="2109">
        <f t="shared" si="157"/>
        <v>0</v>
      </c>
      <c r="AC90" s="2135"/>
      <c r="AD90" s="2135"/>
      <c r="AE90" s="2135"/>
      <c r="AF90" s="2135"/>
      <c r="AG90" s="2135"/>
      <c r="AH90" s="2149">
        <v>0</v>
      </c>
      <c r="AI90" s="2109"/>
      <c r="AJ90" s="2109">
        <v>0</v>
      </c>
      <c r="AK90" s="2109">
        <v>0</v>
      </c>
      <c r="AL90" s="2109">
        <f t="shared" si="158"/>
        <v>0</v>
      </c>
      <c r="AM90" s="2135"/>
      <c r="AN90" s="2135"/>
      <c r="AO90" s="2238"/>
      <c r="AP90" s="2135"/>
      <c r="AQ90" s="2135"/>
      <c r="AR90" s="2149">
        <v>0</v>
      </c>
      <c r="AS90" s="2109"/>
      <c r="AT90" s="2109">
        <v>0</v>
      </c>
      <c r="AU90" s="2109">
        <v>0</v>
      </c>
      <c r="AV90" s="2109">
        <f t="shared" si="159"/>
        <v>0</v>
      </c>
      <c r="AW90" s="2135"/>
      <c r="AX90" s="2135"/>
      <c r="AY90" s="2238"/>
      <c r="AZ90" s="2135"/>
      <c r="BA90" s="2135"/>
      <c r="BB90" s="2149"/>
      <c r="BC90" s="2109"/>
      <c r="BD90" s="2109">
        <v>0</v>
      </c>
      <c r="BE90" s="2109">
        <v>0</v>
      </c>
      <c r="BF90" s="2109">
        <f t="shared" si="160"/>
        <v>0</v>
      </c>
      <c r="BG90" s="2135"/>
      <c r="BH90" s="2135"/>
      <c r="BI90" s="2238"/>
      <c r="BJ90" s="2135"/>
      <c r="BK90" s="2135"/>
      <c r="BL90" s="2149">
        <v>0</v>
      </c>
      <c r="BM90" s="2109"/>
      <c r="BN90" s="2109">
        <v>0</v>
      </c>
      <c r="BO90" s="2109">
        <v>0</v>
      </c>
      <c r="BP90" s="2109">
        <f t="shared" si="161"/>
        <v>0</v>
      </c>
      <c r="BQ90" s="2135"/>
      <c r="BR90" s="2135"/>
      <c r="BS90" s="2135"/>
      <c r="BT90" s="2135"/>
      <c r="BU90" s="2135"/>
      <c r="BV90" s="2149">
        <v>0</v>
      </c>
      <c r="BW90" s="2109"/>
      <c r="BX90" s="2109">
        <v>0</v>
      </c>
      <c r="BY90" s="2109">
        <v>0</v>
      </c>
      <c r="BZ90" s="2109">
        <f t="shared" si="162"/>
        <v>0</v>
      </c>
      <c r="CA90" s="2135"/>
      <c r="CB90" s="2135"/>
      <c r="CC90" s="2135"/>
      <c r="CD90" s="2135"/>
      <c r="CE90" s="2135"/>
      <c r="CF90" s="2149">
        <v>0</v>
      </c>
      <c r="CG90" s="2109"/>
      <c r="CH90" s="2109">
        <v>0</v>
      </c>
      <c r="CI90" s="2109">
        <v>0</v>
      </c>
      <c r="CJ90" s="2109">
        <f t="shared" si="163"/>
        <v>0</v>
      </c>
      <c r="CK90" s="2135"/>
      <c r="CL90" s="2135"/>
      <c r="CM90" s="2238"/>
      <c r="CN90" s="2135"/>
      <c r="CO90" s="2135"/>
      <c r="CP90" s="2149">
        <v>0</v>
      </c>
      <c r="CQ90" s="2109"/>
      <c r="CR90" s="2109">
        <v>0</v>
      </c>
      <c r="CS90" s="2109">
        <v>0</v>
      </c>
      <c r="CT90" s="2109">
        <f t="shared" si="164"/>
        <v>0</v>
      </c>
      <c r="CU90" s="2135"/>
      <c r="CV90" s="2135"/>
      <c r="CW90" s="2238"/>
      <c r="CX90" s="2135"/>
      <c r="CY90" s="2135"/>
      <c r="CZ90" s="2149">
        <v>0</v>
      </c>
      <c r="DA90" s="2109"/>
      <c r="DB90" s="2109">
        <v>0</v>
      </c>
      <c r="DC90" s="2109">
        <v>0</v>
      </c>
      <c r="DD90" s="2109">
        <f t="shared" si="165"/>
        <v>0</v>
      </c>
      <c r="DE90" s="2135"/>
      <c r="DF90" s="2135"/>
      <c r="DG90" s="2238"/>
      <c r="DH90" s="2135"/>
      <c r="DI90" s="2135"/>
      <c r="DJ90" s="2149">
        <v>0</v>
      </c>
      <c r="DK90" s="2109"/>
      <c r="DL90" s="2109">
        <v>0</v>
      </c>
      <c r="DM90" s="2109">
        <v>0</v>
      </c>
      <c r="DN90" s="2109">
        <f t="shared" si="166"/>
        <v>0</v>
      </c>
      <c r="DO90" s="2135"/>
      <c r="DP90" s="2135"/>
      <c r="DQ90" s="2238"/>
      <c r="DR90" s="2135"/>
      <c r="DS90" s="2135"/>
      <c r="DT90" s="2149">
        <v>0</v>
      </c>
      <c r="DU90" s="2109"/>
      <c r="DV90" s="2109">
        <v>0</v>
      </c>
      <c r="DW90" s="2109">
        <v>0</v>
      </c>
      <c r="DX90" s="2109">
        <f t="shared" si="167"/>
        <v>0</v>
      </c>
      <c r="DY90" s="2135"/>
      <c r="DZ90" s="2135"/>
      <c r="EA90" s="2135"/>
      <c r="EB90" s="2135"/>
      <c r="EC90" s="2135"/>
      <c r="ED90" s="2135"/>
      <c r="EE90" s="2107"/>
      <c r="EF90" s="2106"/>
      <c r="EG90" s="2106"/>
      <c r="EH90" s="2106"/>
      <c r="EI90" s="2106"/>
      <c r="EJ90" s="2106"/>
      <c r="EK90" s="2106"/>
      <c r="EL90" s="2106"/>
      <c r="EM90" s="2106"/>
      <c r="EN90" s="2106"/>
      <c r="EO90" s="2239"/>
      <c r="EP90" s="2240"/>
      <c r="EQ90" s="2224"/>
      <c r="ER90" s="2210"/>
      <c r="ES90" s="2209" t="e">
        <v>#N/A</v>
      </c>
      <c r="ET90" s="2241"/>
      <c r="EU90" s="2230"/>
      <c r="EV90" s="2241"/>
      <c r="EW90" s="2241"/>
      <c r="EX90" s="2241"/>
      <c r="EY90" s="2244"/>
      <c r="EZ90" s="2244"/>
      <c r="FA90" s="2244"/>
      <c r="FB90" s="2242"/>
      <c r="FC90" s="2243"/>
      <c r="FD90" s="2243"/>
      <c r="FE90" s="2243"/>
      <c r="FF90" s="2243"/>
      <c r="FG90" s="2243"/>
      <c r="FH90" s="2243"/>
      <c r="FI90" s="2243"/>
    </row>
    <row r="91" spans="1:165">
      <c r="A91" s="2220">
        <v>1</v>
      </c>
      <c r="B91" s="2145" t="s">
        <v>1723</v>
      </c>
      <c r="C91" s="2146">
        <v>690</v>
      </c>
      <c r="D91" s="2147">
        <f t="shared" ref="D91:D105" si="174">G91/C91</f>
        <v>6.9565217391304349E-2</v>
      </c>
      <c r="E91" s="2146"/>
      <c r="F91" s="2148">
        <v>0.55688308656580066</v>
      </c>
      <c r="G91" s="2146">
        <v>48</v>
      </c>
      <c r="H91" s="2149" t="s">
        <v>1717</v>
      </c>
      <c r="I91" s="2229">
        <v>1</v>
      </c>
      <c r="J91" s="2149">
        <v>232.3421711870968</v>
      </c>
      <c r="K91" s="2148">
        <v>3.4703846153846141E-2</v>
      </c>
      <c r="L91" s="2151"/>
      <c r="M91" s="2152">
        <f t="shared" ref="M91:M105" si="175">J91*(1-K91)*(1-L91)</f>
        <v>224.27900422316921</v>
      </c>
      <c r="N91" s="2149">
        <v>20.504139999999996</v>
      </c>
      <c r="O91" s="2109">
        <f t="shared" ref="O91:O105" si="176">IFERROR(P91/N91*10,0)</f>
        <v>0.80844109537147169</v>
      </c>
      <c r="P91" s="2109">
        <v>1.6576389401250005</v>
      </c>
      <c r="Q91" s="2109">
        <v>0.6907563219689824</v>
      </c>
      <c r="R91" s="2109">
        <f t="shared" si="156"/>
        <v>1.4163364331537087</v>
      </c>
      <c r="S91" s="2109"/>
      <c r="T91" s="2109"/>
      <c r="U91" s="2109"/>
      <c r="V91" s="2109">
        <f t="shared" ref="V91:V105" si="177">IFERROR(W91/N91*10,0)</f>
        <v>1.4991974173404541</v>
      </c>
      <c r="W91" s="2109">
        <f t="shared" ref="W91:W105" si="178">P91+R91</f>
        <v>3.0739753732787092</v>
      </c>
      <c r="X91" s="2149">
        <v>28.1503792</v>
      </c>
      <c r="Y91" s="2109">
        <f t="shared" ref="Y91:Y105" si="179">IFERROR(Z91/X91*10,0)</f>
        <v>0.58885137153854061</v>
      </c>
      <c r="Z91" s="2109">
        <v>1.6576389401250005</v>
      </c>
      <c r="AA91" s="2109">
        <v>0.6907563219689824</v>
      </c>
      <c r="AB91" s="2109">
        <f t="shared" si="157"/>
        <v>1.9445052398224145</v>
      </c>
      <c r="AC91" s="2135"/>
      <c r="AD91" s="2135"/>
      <c r="AE91" s="2135"/>
      <c r="AF91" s="2135">
        <f t="shared" ref="AF91:AF105" si="180">IFERROR(AG91/X91*10,0)</f>
        <v>1.2796076935075231</v>
      </c>
      <c r="AG91" s="2135">
        <f t="shared" ref="AG91:AG105" si="181">Z91+AB91</f>
        <v>3.6021441799474152</v>
      </c>
      <c r="AH91" s="2149">
        <v>33.336057199999985</v>
      </c>
      <c r="AI91" s="2109">
        <f t="shared" ref="AI91:AI105" si="182">IFERROR(AJ91/AH91*10,0)</f>
        <v>0.49725104867080716</v>
      </c>
      <c r="AJ91" s="2109">
        <v>1.6576389401250005</v>
      </c>
      <c r="AK91" s="2109">
        <v>0.6907563219689824</v>
      </c>
      <c r="AL91" s="2109">
        <f t="shared" si="158"/>
        <v>2.3027092260419604</v>
      </c>
      <c r="AM91" s="2135"/>
      <c r="AN91" s="2135"/>
      <c r="AO91" s="2135"/>
      <c r="AP91" s="2135">
        <f t="shared" ref="AP91:AP106" si="183">IFERROR(AQ91/AH91*10,0)</f>
        <v>1.1880073706397896</v>
      </c>
      <c r="AQ91" s="2135">
        <f t="shared" ref="AQ91:AQ106" si="184">AL91+AJ91</f>
        <v>3.9603481661669608</v>
      </c>
      <c r="AR91" s="2149">
        <v>34.238937800000002</v>
      </c>
      <c r="AS91" s="2109">
        <f t="shared" ref="AS91:AS105" si="185">IFERROR(AT91/AR91*10,0)</f>
        <v>0.48413854127361405</v>
      </c>
      <c r="AT91" s="2109">
        <v>1.6576389401250005</v>
      </c>
      <c r="AU91" s="2109">
        <v>0.6907563219689824</v>
      </c>
      <c r="AV91" s="2109">
        <f t="shared" si="159"/>
        <v>2.3650762742852764</v>
      </c>
      <c r="AW91" s="2135"/>
      <c r="AX91" s="2135"/>
      <c r="AY91" s="2135"/>
      <c r="AZ91" s="2135">
        <f t="shared" ref="AZ91:AZ105" si="186">IFERROR(BA91/AR91*10,0)</f>
        <v>1.1748948632425966</v>
      </c>
      <c r="BA91" s="2135">
        <f t="shared" ref="BA91:BA105" si="187">AV91+AT91</f>
        <v>4.0227152144102769</v>
      </c>
      <c r="BB91" s="2149">
        <v>34.406760799999994</v>
      </c>
      <c r="BC91" s="2109">
        <f t="shared" ref="BC91:BC105" si="188">IFERROR(BD91/BB91*10,0)</f>
        <v>0.48177709891394388</v>
      </c>
      <c r="BD91" s="2109">
        <v>1.6576389401250005</v>
      </c>
      <c r="BE91" s="2109">
        <v>0.6907563219689824</v>
      </c>
      <c r="BF91" s="2109">
        <f t="shared" si="160"/>
        <v>2.3766687541074556</v>
      </c>
      <c r="BG91" s="2135"/>
      <c r="BH91" s="2135"/>
      <c r="BI91" s="2135"/>
      <c r="BJ91" s="2135">
        <f t="shared" ref="BJ91:BJ105" si="189">IFERROR(BK91/BB91*10,0)</f>
        <v>1.1725334208829263</v>
      </c>
      <c r="BK91" s="2135">
        <f t="shared" ref="BK91:BK105" si="190">BF91+BD91</f>
        <v>4.0343076942324565</v>
      </c>
      <c r="BL91" s="2149">
        <v>27.925350387096781</v>
      </c>
      <c r="BM91" s="2109">
        <f t="shared" ref="BM91:BM105" si="191">IFERROR(BN91/BL91*10,0)</f>
        <v>0.59359646956871526</v>
      </c>
      <c r="BN91" s="2109">
        <v>1.6576389401250005</v>
      </c>
      <c r="BO91" s="2109">
        <v>0.6907563219689824</v>
      </c>
      <c r="BP91" s="2109">
        <f t="shared" si="161"/>
        <v>1.9289612323086072</v>
      </c>
      <c r="BQ91" s="2135"/>
      <c r="BR91" s="2135"/>
      <c r="BS91" s="2135"/>
      <c r="BT91" s="2135">
        <f t="shared" ref="BT91:BT105" si="192">IFERROR(BU91/BL91*10,0)</f>
        <v>1.2843527915376975</v>
      </c>
      <c r="BU91" s="2135">
        <f t="shared" ref="BU91:BU105" si="193">BP91+BN91</f>
        <v>3.5866001724336076</v>
      </c>
      <c r="BV91" s="2149">
        <v>12.971959800000002</v>
      </c>
      <c r="BW91" s="2109">
        <f t="shared" ref="BW91:BW105" si="194">IFERROR(BX91/BV91*10,0)</f>
        <v>1.2778631491943107</v>
      </c>
      <c r="BX91" s="2109">
        <v>1.6576389401250005</v>
      </c>
      <c r="BY91" s="2109">
        <v>0.6907563219689824</v>
      </c>
      <c r="BZ91" s="2109">
        <f t="shared" si="162"/>
        <v>0.89604632401774986</v>
      </c>
      <c r="CA91" s="2135"/>
      <c r="CB91" s="2135"/>
      <c r="CC91" s="2135"/>
      <c r="CD91" s="2135">
        <f t="shared" ref="CD91:CD105" si="195">IFERROR(CE91/BV91*10,0)</f>
        <v>1.9686194711632932</v>
      </c>
      <c r="CE91" s="2135">
        <f t="shared" ref="CE91:CE105" si="196">BZ91+BX91</f>
        <v>2.5536852641427501</v>
      </c>
      <c r="CF91" s="2149">
        <v>8.1266055999999995</v>
      </c>
      <c r="CG91" s="2109">
        <f t="shared" ref="CG91:CG105" si="197">IFERROR(CH91/CF91*10,0)</f>
        <v>2.039767919984945</v>
      </c>
      <c r="CH91" s="2109">
        <v>1.6576389401250005</v>
      </c>
      <c r="CI91" s="2109">
        <v>0.6907563219689824</v>
      </c>
      <c r="CJ91" s="2109">
        <f t="shared" si="163"/>
        <v>0.56135041943485353</v>
      </c>
      <c r="CK91" s="2135"/>
      <c r="CL91" s="2135"/>
      <c r="CM91" s="2135"/>
      <c r="CN91" s="2135">
        <f t="shared" ref="CN91:CN105" si="198">IFERROR(CO91/CF91*10,0)</f>
        <v>2.7305242419539271</v>
      </c>
      <c r="CO91" s="2135">
        <f t="shared" ref="CO91:CO105" si="199">CJ91+CH91</f>
        <v>2.218989359559854</v>
      </c>
      <c r="CP91" s="2149">
        <v>6.3756973999999991</v>
      </c>
      <c r="CQ91" s="2109">
        <f t="shared" ref="CQ91:CQ105" si="200">IFERROR(CR91/CP91*10,0)</f>
        <v>2.5999335227625462</v>
      </c>
      <c r="CR91" s="2109">
        <v>1.6576389401250005</v>
      </c>
      <c r="CS91" s="2109">
        <v>0.6907563219689824</v>
      </c>
      <c r="CT91" s="2109">
        <f t="shared" si="164"/>
        <v>0.44040532860112036</v>
      </c>
      <c r="CU91" s="2135"/>
      <c r="CV91" s="2135"/>
      <c r="CW91" s="2135"/>
      <c r="CX91" s="2135">
        <f t="shared" ref="CX91:CX105" si="201">IFERROR(CY91/CP91*10,0)</f>
        <v>3.2906898447315287</v>
      </c>
      <c r="CY91" s="2135">
        <f t="shared" ref="CY91:CY105" si="202">CT91+CR91</f>
        <v>2.0980442687261207</v>
      </c>
      <c r="CZ91" s="2149">
        <v>6.6855538000000019</v>
      </c>
      <c r="DA91" s="2109">
        <f t="shared" ref="DA91:DA105" si="203">IFERROR(DB91/CZ91*10,0)</f>
        <v>2.4794340001048227</v>
      </c>
      <c r="DB91" s="2109">
        <v>1.6576389401250005</v>
      </c>
      <c r="DC91" s="2109">
        <v>0.6907563219689824</v>
      </c>
      <c r="DD91" s="2109">
        <f t="shared" si="165"/>
        <v>0.4618088553213755</v>
      </c>
      <c r="DE91" s="2135"/>
      <c r="DF91" s="2135"/>
      <c r="DG91" s="2135"/>
      <c r="DH91" s="2135">
        <f t="shared" ref="DH91:DH105" si="204">IFERROR(DI91/CZ91*10,0)</f>
        <v>3.1701903220738052</v>
      </c>
      <c r="DI91" s="2135">
        <f t="shared" ref="DI91:DI105" si="205">DD91+DB91</f>
        <v>2.119447795446376</v>
      </c>
      <c r="DJ91" s="2149">
        <v>7.9222672000000003</v>
      </c>
      <c r="DK91" s="2109">
        <f t="shared" ref="DK91:DK105" si="206">IFERROR(DL91/DJ91*10,0)</f>
        <v>2.0923794897059271</v>
      </c>
      <c r="DL91" s="2109">
        <v>1.6576389401250005</v>
      </c>
      <c r="DM91" s="2109">
        <v>0.6907563219689824</v>
      </c>
      <c r="DN91" s="2109">
        <f t="shared" si="166"/>
        <v>0.54723561527275089</v>
      </c>
      <c r="DO91" s="2135"/>
      <c r="DP91" s="2135"/>
      <c r="DQ91" s="2135"/>
      <c r="DR91" s="2135">
        <f t="shared" ref="DR91:DR105" si="207">IFERROR(DS91/DJ91*10,0)</f>
        <v>2.7831358116749092</v>
      </c>
      <c r="DS91" s="2135">
        <f t="shared" ref="DS91:DS105" si="208">DN91+DL91</f>
        <v>2.2048745553977511</v>
      </c>
      <c r="DT91" s="2149">
        <v>11.698462000000001</v>
      </c>
      <c r="DU91" s="2109">
        <f t="shared" ref="DU91:DU105" si="209">IFERROR(DV91/DT91*10,0)</f>
        <v>1.4169716840769329</v>
      </c>
      <c r="DV91" s="2109">
        <v>1.6576389401250005</v>
      </c>
      <c r="DW91" s="2109">
        <v>0.6907563219689824</v>
      </c>
      <c r="DX91" s="2109">
        <f t="shared" si="167"/>
        <v>0.8080786583813907</v>
      </c>
      <c r="DY91" s="2135"/>
      <c r="DZ91" s="2135"/>
      <c r="EA91" s="2135"/>
      <c r="EB91" s="2135">
        <f t="shared" ref="EB91:EB105" si="210">IFERROR(EC91/DT91*10,0)</f>
        <v>2.1077280060459151</v>
      </c>
      <c r="EC91" s="2135">
        <f t="shared" ref="EC91:EC105" si="211">DX91+DV91</f>
        <v>2.4657175985063913</v>
      </c>
      <c r="ED91" s="2135"/>
      <c r="EE91" s="2106">
        <f t="shared" ref="EE91:EE105" si="212">SUM(N91,X91,AH91,AR91,BB91,BL91,BV91,CF91,CP91,CZ91,DJ91,DT91)</f>
        <v>232.3421711870968</v>
      </c>
      <c r="EF91" s="2106">
        <f t="shared" ref="EF91:EF106" si="213">IFERROR((EG91/EE91)*10,0)</f>
        <v>0.85613675639976528</v>
      </c>
      <c r="EG91" s="2106">
        <f t="shared" ref="EG91:EG105" si="214">SUM(P91,Z91,AJ91,AT91,BD91,BN91,BX91,CR91,CH91,DB91,DL91,DV91)</f>
        <v>19.891667281500006</v>
      </c>
      <c r="EH91" s="2106">
        <f t="shared" ref="EH91:EH106" si="215">IFERROR((EI91/EE91)*10,0)</f>
        <v>0.69075632196898229</v>
      </c>
      <c r="EI91" s="2106">
        <f t="shared" ref="EI91:EI105" si="216">SUM(R91,AB91,AL91,AV91,BF91,BP91,BZ91,CJ91,CT91,DD91,DN91,DX91)</f>
        <v>16.049182360748663</v>
      </c>
      <c r="EJ91" s="2106"/>
      <c r="EK91" s="2106"/>
      <c r="EL91" s="2106"/>
      <c r="EM91" s="2106">
        <f t="shared" ref="EM91:EM106" si="217">IFERROR(EN91/EE91*10,0)</f>
        <v>1.5468930783687473</v>
      </c>
      <c r="EN91" s="2106">
        <f t="shared" ref="EN91:EN105" si="218">EG91+EI91</f>
        <v>35.940849642248665</v>
      </c>
      <c r="EO91" s="2106">
        <f t="shared" ref="EO91:EO102" si="219">EN91/J91*10</f>
        <v>1.5468930783687473</v>
      </c>
      <c r="EP91" s="2114">
        <f t="shared" ref="EP91:EP102" si="220">EN91/M91*10</f>
        <v>1.6025062072455816</v>
      </c>
      <c r="EQ91" s="2224"/>
      <c r="ER91" s="2210"/>
      <c r="ES91" s="2209" t="e">
        <v>#N/A</v>
      </c>
      <c r="ET91" s="2241"/>
      <c r="EU91" s="2230"/>
      <c r="EV91" s="2241"/>
      <c r="EW91" s="2241"/>
      <c r="EX91" s="2241"/>
      <c r="EY91" s="2244"/>
      <c r="EZ91" s="2244"/>
      <c r="FA91" s="2244"/>
      <c r="FB91" s="2242"/>
      <c r="FC91" s="2243"/>
      <c r="FD91" s="2243"/>
      <c r="FE91" s="2243"/>
      <c r="FF91" s="2243"/>
      <c r="FG91" s="2243"/>
      <c r="FH91" s="2243"/>
      <c r="FI91" s="2243"/>
    </row>
    <row r="92" spans="1:165">
      <c r="A92" s="2220">
        <v>2</v>
      </c>
      <c r="B92" s="2145" t="s">
        <v>1724</v>
      </c>
      <c r="C92" s="2146">
        <v>94.2</v>
      </c>
      <c r="D92" s="2147">
        <f t="shared" si="174"/>
        <v>0.22292993630573249</v>
      </c>
      <c r="E92" s="2146"/>
      <c r="F92" s="2148">
        <v>0.41496209590972083</v>
      </c>
      <c r="G92" s="2146">
        <v>21</v>
      </c>
      <c r="H92" s="2149" t="s">
        <v>1717</v>
      </c>
      <c r="I92" s="2229">
        <v>1</v>
      </c>
      <c r="J92" s="2149">
        <v>80.346378838709668</v>
      </c>
      <c r="K92" s="2148">
        <v>3.4703846153846141E-2</v>
      </c>
      <c r="L92" s="2151"/>
      <c r="M92" s="2152">
        <f t="shared" si="175"/>
        <v>77.558050468472445</v>
      </c>
      <c r="N92" s="2149">
        <v>4.0175314000000002</v>
      </c>
      <c r="O92" s="2109">
        <f t="shared" si="176"/>
        <v>4.0065155914213895</v>
      </c>
      <c r="P92" s="2109">
        <v>1.6096302193125005</v>
      </c>
      <c r="Q92" s="2109">
        <v>1.7489296423591376</v>
      </c>
      <c r="R92" s="2109">
        <f t="shared" si="156"/>
        <v>0.70263797545686058</v>
      </c>
      <c r="S92" s="2109"/>
      <c r="T92" s="2109"/>
      <c r="U92" s="2109"/>
      <c r="V92" s="2109">
        <f t="shared" si="177"/>
        <v>5.7554452337805273</v>
      </c>
      <c r="W92" s="2109">
        <f t="shared" si="178"/>
        <v>2.3122681947693611</v>
      </c>
      <c r="X92" s="2149">
        <v>6.2669419999999993</v>
      </c>
      <c r="Y92" s="2109">
        <f t="shared" si="179"/>
        <v>2.568446012923848</v>
      </c>
      <c r="Z92" s="2109">
        <v>1.6096302193125005</v>
      </c>
      <c r="AA92" s="2109">
        <v>1.7489296423591376</v>
      </c>
      <c r="AB92" s="2109">
        <f t="shared" si="157"/>
        <v>1.0960440630745458</v>
      </c>
      <c r="AC92" s="2135"/>
      <c r="AD92" s="2135"/>
      <c r="AE92" s="2135"/>
      <c r="AF92" s="2135">
        <f t="shared" si="180"/>
        <v>4.3173756552829854</v>
      </c>
      <c r="AG92" s="2135">
        <f t="shared" si="181"/>
        <v>2.7056742823870463</v>
      </c>
      <c r="AH92" s="2149">
        <v>8.9629184000000013</v>
      </c>
      <c r="AI92" s="2109">
        <f t="shared" si="182"/>
        <v>1.7958773554297895</v>
      </c>
      <c r="AJ92" s="2109">
        <v>1.6096302193125005</v>
      </c>
      <c r="AK92" s="2109">
        <v>1.7489296423591376</v>
      </c>
      <c r="AL92" s="2109">
        <f t="shared" si="158"/>
        <v>1.5675513671806136</v>
      </c>
      <c r="AM92" s="2135"/>
      <c r="AN92" s="2135"/>
      <c r="AO92" s="2135"/>
      <c r="AP92" s="2135">
        <f t="shared" si="183"/>
        <v>3.5448069977889274</v>
      </c>
      <c r="AQ92" s="2135">
        <f t="shared" si="184"/>
        <v>3.1771815864931141</v>
      </c>
      <c r="AR92" s="2149">
        <v>10.8758008</v>
      </c>
      <c r="AS92" s="2109">
        <f t="shared" si="185"/>
        <v>1.4800107586675368</v>
      </c>
      <c r="AT92" s="2109">
        <v>1.6096302193125005</v>
      </c>
      <c r="AU92" s="2109">
        <v>1.7489296423591376</v>
      </c>
      <c r="AV92" s="2109">
        <f t="shared" si="159"/>
        <v>1.9021010403513223</v>
      </c>
      <c r="AW92" s="2135"/>
      <c r="AX92" s="2135"/>
      <c r="AY92" s="2135"/>
      <c r="AZ92" s="2135">
        <f t="shared" si="186"/>
        <v>3.2289404010266747</v>
      </c>
      <c r="BA92" s="2135">
        <f t="shared" si="187"/>
        <v>3.511731259663823</v>
      </c>
      <c r="BB92" s="2149">
        <v>11.421779000000003</v>
      </c>
      <c r="BC92" s="2109">
        <f t="shared" si="188"/>
        <v>1.4092640203531341</v>
      </c>
      <c r="BD92" s="2109">
        <v>1.6096302193125005</v>
      </c>
      <c r="BE92" s="2109">
        <v>1.7489296423591376</v>
      </c>
      <c r="BF92" s="2109">
        <f t="shared" si="160"/>
        <v>1.9975887861575115</v>
      </c>
      <c r="BG92" s="2135"/>
      <c r="BH92" s="2135"/>
      <c r="BI92" s="2135"/>
      <c r="BJ92" s="2135">
        <f t="shared" si="189"/>
        <v>3.158193662712272</v>
      </c>
      <c r="BK92" s="2135">
        <f t="shared" si="190"/>
        <v>3.6072190054700117</v>
      </c>
      <c r="BL92" s="2149">
        <v>12.728830838709676</v>
      </c>
      <c r="BM92" s="2109">
        <f t="shared" si="191"/>
        <v>1.2645546474052041</v>
      </c>
      <c r="BN92" s="2109">
        <v>1.6096302193125005</v>
      </c>
      <c r="BO92" s="2109">
        <v>1.7489296423591376</v>
      </c>
      <c r="BP92" s="2109">
        <f t="shared" si="161"/>
        <v>2.2261829566394473</v>
      </c>
      <c r="BQ92" s="2135"/>
      <c r="BR92" s="2135"/>
      <c r="BS92" s="2135"/>
      <c r="BT92" s="2135">
        <f t="shared" si="192"/>
        <v>3.0134842897643415</v>
      </c>
      <c r="BU92" s="2135">
        <f t="shared" si="193"/>
        <v>3.835813175951948</v>
      </c>
      <c r="BV92" s="2149">
        <v>10.7680194</v>
      </c>
      <c r="BW92" s="2109">
        <f t="shared" si="194"/>
        <v>1.494824776516005</v>
      </c>
      <c r="BX92" s="2109">
        <v>1.6096302193125005</v>
      </c>
      <c r="BY92" s="2109">
        <v>1.7489296423591376</v>
      </c>
      <c r="BZ92" s="2109">
        <f t="shared" si="162"/>
        <v>1.8832508318158254</v>
      </c>
      <c r="CA92" s="2135"/>
      <c r="CB92" s="2135"/>
      <c r="CC92" s="2135"/>
      <c r="CD92" s="2135">
        <f t="shared" si="195"/>
        <v>3.2437544188751426</v>
      </c>
      <c r="CE92" s="2135">
        <f t="shared" si="196"/>
        <v>3.4928810511283261</v>
      </c>
      <c r="CF92" s="2149">
        <v>7.3685180000000008</v>
      </c>
      <c r="CG92" s="2109">
        <f t="shared" si="197"/>
        <v>2.184469413405111</v>
      </c>
      <c r="CH92" s="2109">
        <v>1.6096302193125005</v>
      </c>
      <c r="CI92" s="2109">
        <v>1.7489296423591376</v>
      </c>
      <c r="CJ92" s="2109">
        <f t="shared" si="163"/>
        <v>1.2887019550456871</v>
      </c>
      <c r="CK92" s="2135"/>
      <c r="CL92" s="2135"/>
      <c r="CM92" s="2135"/>
      <c r="CN92" s="2135">
        <f t="shared" si="198"/>
        <v>3.9333990557642489</v>
      </c>
      <c r="CO92" s="2135">
        <f t="shared" si="199"/>
        <v>2.8983321743581874</v>
      </c>
      <c r="CP92" s="2149">
        <v>3.2410505999999994</v>
      </c>
      <c r="CQ92" s="2109">
        <f t="shared" si="200"/>
        <v>4.9663841080188655</v>
      </c>
      <c r="CR92" s="2109">
        <v>1.6096302193125005</v>
      </c>
      <c r="CS92" s="2109">
        <v>1.7489296423591376</v>
      </c>
      <c r="CT92" s="2109">
        <f t="shared" si="164"/>
        <v>0.56683694667258666</v>
      </c>
      <c r="CU92" s="2135"/>
      <c r="CV92" s="2135"/>
      <c r="CW92" s="2135"/>
      <c r="CX92" s="2135">
        <f t="shared" si="201"/>
        <v>6.7153137503780025</v>
      </c>
      <c r="CY92" s="2135">
        <f t="shared" si="202"/>
        <v>2.1764671659850872</v>
      </c>
      <c r="CZ92" s="2149">
        <v>2.8854376000000013</v>
      </c>
      <c r="DA92" s="2109">
        <f t="shared" si="203"/>
        <v>5.5784613720722973</v>
      </c>
      <c r="DB92" s="2109">
        <v>1.6096302193125005</v>
      </c>
      <c r="DC92" s="2109">
        <v>1.7489296423591376</v>
      </c>
      <c r="DD92" s="2109">
        <f t="shared" si="165"/>
        <v>0.50464273498176104</v>
      </c>
      <c r="DE92" s="2135"/>
      <c r="DF92" s="2135"/>
      <c r="DG92" s="2135"/>
      <c r="DH92" s="2135">
        <f t="shared" si="204"/>
        <v>7.327391014431436</v>
      </c>
      <c r="DI92" s="2135">
        <f t="shared" si="205"/>
        <v>2.1142729542942615</v>
      </c>
      <c r="DJ92" s="2149">
        <v>1.8095508</v>
      </c>
      <c r="DK92" s="2109">
        <f t="shared" si="206"/>
        <v>8.895192217386219</v>
      </c>
      <c r="DL92" s="2109">
        <v>1.6096302193125005</v>
      </c>
      <c r="DM92" s="2109">
        <v>1.7489296423591376</v>
      </c>
      <c r="DN92" s="2109">
        <f t="shared" si="166"/>
        <v>0.31647770334746916</v>
      </c>
      <c r="DO92" s="2135"/>
      <c r="DP92" s="2135"/>
      <c r="DQ92" s="2135"/>
      <c r="DR92" s="2135">
        <f t="shared" si="207"/>
        <v>10.644121859745358</v>
      </c>
      <c r="DS92" s="2135">
        <f t="shared" si="208"/>
        <v>1.9261079226599698</v>
      </c>
      <c r="DT92" s="2149">
        <v>0</v>
      </c>
      <c r="DU92" s="2109">
        <f t="shared" si="209"/>
        <v>0</v>
      </c>
      <c r="DV92" s="2109">
        <v>1.6096302193125005</v>
      </c>
      <c r="DW92" s="2109">
        <v>1.7489296423591376</v>
      </c>
      <c r="DX92" s="2109">
        <f t="shared" si="167"/>
        <v>0</v>
      </c>
      <c r="DY92" s="2135"/>
      <c r="DZ92" s="2135"/>
      <c r="EA92" s="2135"/>
      <c r="EB92" s="2135">
        <f t="shared" si="210"/>
        <v>0</v>
      </c>
      <c r="EC92" s="2135">
        <f t="shared" si="211"/>
        <v>1.6096302193125005</v>
      </c>
      <c r="ED92" s="2135"/>
      <c r="EE92" s="2106">
        <f t="shared" si="212"/>
        <v>80.346378838709668</v>
      </c>
      <c r="EF92" s="2106">
        <f t="shared" si="213"/>
        <v>2.4040364868869553</v>
      </c>
      <c r="EG92" s="2106">
        <f t="shared" si="214"/>
        <v>19.315562631750002</v>
      </c>
      <c r="EH92" s="2106">
        <f t="shared" si="215"/>
        <v>1.7489296423591381</v>
      </c>
      <c r="EI92" s="2106">
        <f t="shared" si="216"/>
        <v>14.052016360723631</v>
      </c>
      <c r="EJ92" s="2106"/>
      <c r="EK92" s="2106"/>
      <c r="EL92" s="2106"/>
      <c r="EM92" s="2106">
        <f t="shared" si="217"/>
        <v>4.1529661292460931</v>
      </c>
      <c r="EN92" s="2106">
        <f t="shared" si="218"/>
        <v>33.367578992473632</v>
      </c>
      <c r="EO92" s="2106">
        <f t="shared" si="219"/>
        <v>4.1529661292460931</v>
      </c>
      <c r="EP92" s="2114">
        <f t="shared" si="220"/>
        <v>4.3022714974040817</v>
      </c>
      <c r="EQ92" s="2224"/>
      <c r="ER92" s="2210"/>
      <c r="ES92" s="2209" t="e">
        <v>#N/A</v>
      </c>
      <c r="ET92" s="2241"/>
      <c r="EU92" s="2230"/>
      <c r="EV92" s="2241"/>
      <c r="EW92" s="2241"/>
      <c r="EX92" s="2241"/>
      <c r="EY92" s="2244"/>
      <c r="EZ92" s="2244"/>
      <c r="FA92" s="2244"/>
      <c r="FB92" s="2242"/>
      <c r="FC92" s="2243"/>
      <c r="FD92" s="2243"/>
      <c r="FE92" s="2243"/>
      <c r="FF92" s="2243"/>
      <c r="FG92" s="2243"/>
      <c r="FH92" s="2243"/>
      <c r="FI92" s="2243"/>
    </row>
    <row r="93" spans="1:165">
      <c r="A93" s="2220">
        <v>3</v>
      </c>
      <c r="B93" s="2145" t="s">
        <v>1725</v>
      </c>
      <c r="C93" s="2146">
        <v>540</v>
      </c>
      <c r="D93" s="2147">
        <f t="shared" si="174"/>
        <v>0.20185185185185187</v>
      </c>
      <c r="E93" s="2146"/>
      <c r="F93" s="2148">
        <v>0.51356250201961684</v>
      </c>
      <c r="G93" s="2146">
        <v>109</v>
      </c>
      <c r="H93" s="2149" t="s">
        <v>1717</v>
      </c>
      <c r="I93" s="2229">
        <v>1</v>
      </c>
      <c r="J93" s="2149">
        <v>465.34168273419351</v>
      </c>
      <c r="K93" s="2148">
        <v>3.4703846153846141E-2</v>
      </c>
      <c r="L93" s="2151"/>
      <c r="M93" s="2152">
        <f t="shared" si="175"/>
        <v>449.19253656761418</v>
      </c>
      <c r="N93" s="2149">
        <v>45.740342200000008</v>
      </c>
      <c r="O93" s="2109">
        <f t="shared" si="176"/>
        <v>0.78488050546875865</v>
      </c>
      <c r="P93" s="2109">
        <v>3.5900702906249999</v>
      </c>
      <c r="Q93" s="2109">
        <v>1.2348285161731452</v>
      </c>
      <c r="R93" s="2109">
        <f t="shared" si="156"/>
        <v>5.6481478888077898</v>
      </c>
      <c r="S93" s="2109"/>
      <c r="T93" s="2109"/>
      <c r="U93" s="2109"/>
      <c r="V93" s="2109">
        <f t="shared" si="177"/>
        <v>2.019709021641904</v>
      </c>
      <c r="W93" s="2109">
        <f t="shared" si="178"/>
        <v>9.2382181794327902</v>
      </c>
      <c r="X93" s="2149">
        <v>52.851727799999978</v>
      </c>
      <c r="Y93" s="2109">
        <f t="shared" si="179"/>
        <v>0.67927207682035351</v>
      </c>
      <c r="Z93" s="2109">
        <v>3.5900702906249999</v>
      </c>
      <c r="AA93" s="2109">
        <v>1.2348285161731452</v>
      </c>
      <c r="AB93" s="2109">
        <f t="shared" si="157"/>
        <v>6.5262820616460946</v>
      </c>
      <c r="AC93" s="2135"/>
      <c r="AD93" s="2135"/>
      <c r="AE93" s="2135"/>
      <c r="AF93" s="2135">
        <f t="shared" si="180"/>
        <v>1.9141005929934991</v>
      </c>
      <c r="AG93" s="2135">
        <f t="shared" si="181"/>
        <v>10.116352352271095</v>
      </c>
      <c r="AH93" s="2149">
        <v>64.777654800000022</v>
      </c>
      <c r="AI93" s="2109">
        <f t="shared" si="182"/>
        <v>0.55421430456370868</v>
      </c>
      <c r="AJ93" s="2109">
        <v>3.5900702906249999</v>
      </c>
      <c r="AK93" s="2109">
        <v>1.2348285161731452</v>
      </c>
      <c r="AL93" s="2109">
        <f t="shared" si="158"/>
        <v>7.9989295357860239</v>
      </c>
      <c r="AM93" s="2135"/>
      <c r="AN93" s="2135"/>
      <c r="AO93" s="2135"/>
      <c r="AP93" s="2135">
        <f t="shared" si="183"/>
        <v>1.7890428207368538</v>
      </c>
      <c r="AQ93" s="2135">
        <f t="shared" si="184"/>
        <v>11.588999826411024</v>
      </c>
      <c r="AR93" s="2149">
        <v>77.596606799999975</v>
      </c>
      <c r="AS93" s="2109">
        <f t="shared" si="185"/>
        <v>0.46265815461211646</v>
      </c>
      <c r="AT93" s="2109">
        <v>3.5900702906249999</v>
      </c>
      <c r="AU93" s="2109">
        <v>1.2348285161731452</v>
      </c>
      <c r="AV93" s="2109">
        <f t="shared" si="159"/>
        <v>9.5818502834914945</v>
      </c>
      <c r="AW93" s="2135"/>
      <c r="AX93" s="2135"/>
      <c r="AY93" s="2135"/>
      <c r="AZ93" s="2135">
        <f t="shared" si="186"/>
        <v>1.6974866707852616</v>
      </c>
      <c r="BA93" s="2135">
        <f t="shared" si="187"/>
        <v>13.171920574116495</v>
      </c>
      <c r="BB93" s="2149">
        <v>73.770603799999989</v>
      </c>
      <c r="BC93" s="2109">
        <f t="shared" si="188"/>
        <v>0.48665323390304155</v>
      </c>
      <c r="BD93" s="2109">
        <v>3.5900702906249999</v>
      </c>
      <c r="BE93" s="2109">
        <v>1.2348285161731452</v>
      </c>
      <c r="BF93" s="2109">
        <f t="shared" si="160"/>
        <v>9.1094045227550957</v>
      </c>
      <c r="BG93" s="2135"/>
      <c r="BH93" s="2135"/>
      <c r="BI93" s="2135"/>
      <c r="BJ93" s="2135">
        <f t="shared" si="189"/>
        <v>1.7214817500761868</v>
      </c>
      <c r="BK93" s="2135">
        <f t="shared" si="190"/>
        <v>12.699474813380096</v>
      </c>
      <c r="BL93" s="2149">
        <v>45.07425677419355</v>
      </c>
      <c r="BM93" s="2109">
        <f t="shared" si="191"/>
        <v>0.79647908752217733</v>
      </c>
      <c r="BN93" s="2109">
        <v>3.5900702906249999</v>
      </c>
      <c r="BO93" s="2109">
        <v>1.2348285161731452</v>
      </c>
      <c r="BP93" s="2109">
        <f t="shared" si="161"/>
        <v>5.5658977610084754</v>
      </c>
      <c r="BQ93" s="2135"/>
      <c r="BR93" s="2135"/>
      <c r="BS93" s="2135"/>
      <c r="BT93" s="2135">
        <f t="shared" si="192"/>
        <v>2.0313076036953226</v>
      </c>
      <c r="BU93" s="2135">
        <f t="shared" si="193"/>
        <v>9.1559680516334758</v>
      </c>
      <c r="BV93" s="2149">
        <v>23.1433432</v>
      </c>
      <c r="BW93" s="2109">
        <f t="shared" si="194"/>
        <v>1.5512323606837408</v>
      </c>
      <c r="BX93" s="2109">
        <v>3.5900702906249999</v>
      </c>
      <c r="BY93" s="2109">
        <v>1.2348285161731452</v>
      </c>
      <c r="BZ93" s="2109">
        <f t="shared" si="162"/>
        <v>2.857806014294185</v>
      </c>
      <c r="CA93" s="2135"/>
      <c r="CB93" s="2135"/>
      <c r="CC93" s="2135"/>
      <c r="CD93" s="2135">
        <f t="shared" si="195"/>
        <v>2.7860608768568862</v>
      </c>
      <c r="CE93" s="2135">
        <f t="shared" si="196"/>
        <v>6.447876304919185</v>
      </c>
      <c r="CF93" s="2149">
        <v>13.603638799999999</v>
      </c>
      <c r="CG93" s="2109">
        <f t="shared" si="197"/>
        <v>2.6390514651307857</v>
      </c>
      <c r="CH93" s="2109">
        <v>3.5900702906249999</v>
      </c>
      <c r="CI93" s="2109">
        <v>1.2348285161731452</v>
      </c>
      <c r="CJ93" s="2109">
        <f t="shared" si="163"/>
        <v>1.6798161113959424</v>
      </c>
      <c r="CK93" s="2135"/>
      <c r="CL93" s="2135"/>
      <c r="CM93" s="2135"/>
      <c r="CN93" s="2135">
        <f t="shared" si="198"/>
        <v>3.8738799813039311</v>
      </c>
      <c r="CO93" s="2135">
        <f t="shared" si="199"/>
        <v>5.2698864020209424</v>
      </c>
      <c r="CP93" s="2149">
        <v>11.8620094</v>
      </c>
      <c r="CQ93" s="2109">
        <f t="shared" si="200"/>
        <v>3.0265279427488907</v>
      </c>
      <c r="CR93" s="2109">
        <v>3.5900702906249999</v>
      </c>
      <c r="CS93" s="2109">
        <v>1.2348285161731452</v>
      </c>
      <c r="CT93" s="2109">
        <f t="shared" si="164"/>
        <v>1.4647547466233899</v>
      </c>
      <c r="CU93" s="2135"/>
      <c r="CV93" s="2135"/>
      <c r="CW93" s="2135"/>
      <c r="CX93" s="2135">
        <f t="shared" si="201"/>
        <v>4.2613564589220356</v>
      </c>
      <c r="CY93" s="2135">
        <f t="shared" si="202"/>
        <v>5.0548250372483903</v>
      </c>
      <c r="CZ93" s="2149">
        <v>12.726644799999999</v>
      </c>
      <c r="DA93" s="2109">
        <f t="shared" si="203"/>
        <v>2.8209086896375082</v>
      </c>
      <c r="DB93" s="2109">
        <v>3.5900702906249999</v>
      </c>
      <c r="DC93" s="2109">
        <v>1.2348285161731452</v>
      </c>
      <c r="DD93" s="2109">
        <f t="shared" si="165"/>
        <v>1.5715223914246672</v>
      </c>
      <c r="DE93" s="2135"/>
      <c r="DF93" s="2135"/>
      <c r="DG93" s="2135"/>
      <c r="DH93" s="2135">
        <f t="shared" si="204"/>
        <v>4.0557372058106527</v>
      </c>
      <c r="DI93" s="2135">
        <f t="shared" si="205"/>
        <v>5.1615926820496671</v>
      </c>
      <c r="DJ93" s="2149">
        <v>18.492080560000005</v>
      </c>
      <c r="DK93" s="2109">
        <f t="shared" si="206"/>
        <v>1.9414096099011366</v>
      </c>
      <c r="DL93" s="2109">
        <v>3.5900702906249999</v>
      </c>
      <c r="DM93" s="2109">
        <v>1.2348285161731452</v>
      </c>
      <c r="DN93" s="2109">
        <f t="shared" si="166"/>
        <v>2.2834548398859069</v>
      </c>
      <c r="DO93" s="2135"/>
      <c r="DP93" s="2135"/>
      <c r="DQ93" s="2135"/>
      <c r="DR93" s="2135">
        <f t="shared" si="207"/>
        <v>3.1762381260742818</v>
      </c>
      <c r="DS93" s="2135">
        <f t="shared" si="208"/>
        <v>5.8735251305109069</v>
      </c>
      <c r="DT93" s="2149">
        <v>25.702773799999996</v>
      </c>
      <c r="DU93" s="2109">
        <f t="shared" si="209"/>
        <v>1.3967637573128395</v>
      </c>
      <c r="DV93" s="2109">
        <v>3.5900702906249999</v>
      </c>
      <c r="DW93" s="2109">
        <v>1.2348285161731452</v>
      </c>
      <c r="DX93" s="2109">
        <f t="shared" si="167"/>
        <v>3.1738518032987986</v>
      </c>
      <c r="DY93" s="2135"/>
      <c r="DZ93" s="2135"/>
      <c r="EA93" s="2135"/>
      <c r="EB93" s="2135">
        <f t="shared" si="210"/>
        <v>2.6315922734859845</v>
      </c>
      <c r="EC93" s="2135">
        <f t="shared" si="211"/>
        <v>6.7639220939237985</v>
      </c>
      <c r="ED93" s="2135"/>
      <c r="EE93" s="2106">
        <f t="shared" si="212"/>
        <v>465.34168273419351</v>
      </c>
      <c r="EF93" s="2106">
        <f t="shared" si="213"/>
        <v>0.92578948084708923</v>
      </c>
      <c r="EG93" s="2106">
        <f t="shared" si="214"/>
        <v>43.080843487499997</v>
      </c>
      <c r="EH93" s="2106">
        <f t="shared" si="215"/>
        <v>1.2348285161731452</v>
      </c>
      <c r="EI93" s="2106">
        <f t="shared" si="216"/>
        <v>57.461717960417865</v>
      </c>
      <c r="EJ93" s="2106"/>
      <c r="EK93" s="2106"/>
      <c r="EL93" s="2106"/>
      <c r="EM93" s="2106">
        <f t="shared" si="217"/>
        <v>2.1606179970202346</v>
      </c>
      <c r="EN93" s="2106">
        <f t="shared" si="218"/>
        <v>100.54256144791786</v>
      </c>
      <c r="EO93" s="2106">
        <f t="shared" si="219"/>
        <v>2.1606179970202346</v>
      </c>
      <c r="EP93" s="2114">
        <f t="shared" si="220"/>
        <v>2.2382954582502022</v>
      </c>
      <c r="EQ93" s="2224"/>
      <c r="ER93" s="2210"/>
      <c r="ES93" s="2209" t="e">
        <v>#N/A</v>
      </c>
      <c r="ET93" s="2241"/>
      <c r="EU93" s="2230"/>
      <c r="EV93" s="2241"/>
      <c r="EW93" s="2241"/>
      <c r="EX93" s="2241"/>
      <c r="EY93" s="2244"/>
      <c r="EZ93" s="2244"/>
      <c r="FA93" s="2244"/>
      <c r="FB93" s="2242"/>
      <c r="FC93" s="2243"/>
      <c r="FD93" s="2243"/>
      <c r="FE93" s="2243"/>
      <c r="FF93" s="2243"/>
      <c r="FG93" s="2243"/>
      <c r="FH93" s="2243"/>
      <c r="FI93" s="2243"/>
    </row>
    <row r="94" spans="1:165">
      <c r="A94" s="2220">
        <v>4</v>
      </c>
      <c r="B94" s="2145" t="s">
        <v>1726</v>
      </c>
      <c r="C94" s="2146">
        <v>480</v>
      </c>
      <c r="D94" s="2147">
        <f t="shared" si="174"/>
        <v>0.2</v>
      </c>
      <c r="E94" s="2146"/>
      <c r="F94" s="2148">
        <v>0.69419491874470518</v>
      </c>
      <c r="G94" s="2146">
        <v>96</v>
      </c>
      <c r="H94" s="2149" t="s">
        <v>1717</v>
      </c>
      <c r="I94" s="2229">
        <v>1</v>
      </c>
      <c r="J94" s="2149">
        <v>562.27590702580642</v>
      </c>
      <c r="K94" s="2148">
        <v>3.4703846153846141E-2</v>
      </c>
      <c r="L94" s="2151"/>
      <c r="M94" s="2152">
        <f t="shared" si="175"/>
        <v>542.7627704523685</v>
      </c>
      <c r="N94" s="2149">
        <v>66.428478799999993</v>
      </c>
      <c r="O94" s="2109">
        <f t="shared" si="176"/>
        <v>0.69676921316162987</v>
      </c>
      <c r="P94" s="2109">
        <v>4.6285318905000006</v>
      </c>
      <c r="Q94" s="2109">
        <v>0.88469075233635563</v>
      </c>
      <c r="R94" s="2109">
        <f t="shared" si="156"/>
        <v>5.8768660886131645</v>
      </c>
      <c r="S94" s="2109"/>
      <c r="T94" s="2109"/>
      <c r="U94" s="2109"/>
      <c r="V94" s="2109">
        <f t="shared" si="177"/>
        <v>1.5814599654979855</v>
      </c>
      <c r="W94" s="2109">
        <f t="shared" si="178"/>
        <v>10.505397979113166</v>
      </c>
      <c r="X94" s="2149">
        <v>63.510220800000006</v>
      </c>
      <c r="Y94" s="2109">
        <f t="shared" si="179"/>
        <v>0.72878535646659259</v>
      </c>
      <c r="Z94" s="2109">
        <v>4.6285318905000006</v>
      </c>
      <c r="AA94" s="2109">
        <v>0.88469075233635563</v>
      </c>
      <c r="AB94" s="2109">
        <f t="shared" si="157"/>
        <v>5.6186905020600069</v>
      </c>
      <c r="AC94" s="2135"/>
      <c r="AD94" s="2135"/>
      <c r="AE94" s="2135"/>
      <c r="AF94" s="2135">
        <f t="shared" si="180"/>
        <v>1.6134761088029483</v>
      </c>
      <c r="AG94" s="2135">
        <f t="shared" si="181"/>
        <v>10.247222392560008</v>
      </c>
      <c r="AH94" s="2149">
        <v>66.703933199999994</v>
      </c>
      <c r="AI94" s="2109">
        <f t="shared" si="182"/>
        <v>0.69389189939102436</v>
      </c>
      <c r="AJ94" s="2109">
        <v>4.6285318905000006</v>
      </c>
      <c r="AK94" s="2109">
        <v>0.88469075233635563</v>
      </c>
      <c r="AL94" s="2109">
        <f t="shared" si="158"/>
        <v>5.9012352846502001</v>
      </c>
      <c r="AM94" s="2135"/>
      <c r="AN94" s="2135"/>
      <c r="AO94" s="2135"/>
      <c r="AP94" s="2135">
        <f t="shared" si="183"/>
        <v>1.5785826517273802</v>
      </c>
      <c r="AQ94" s="2135">
        <f t="shared" si="184"/>
        <v>10.529767175150202</v>
      </c>
      <c r="AR94" s="2149">
        <v>67.627369999999999</v>
      </c>
      <c r="AS94" s="2109">
        <f t="shared" si="185"/>
        <v>0.68441695876980002</v>
      </c>
      <c r="AT94" s="2109">
        <v>4.6285318905000006</v>
      </c>
      <c r="AU94" s="2109">
        <v>0.88469075233635563</v>
      </c>
      <c r="AV94" s="2109">
        <f t="shared" si="159"/>
        <v>5.9829308843829088</v>
      </c>
      <c r="AW94" s="2135"/>
      <c r="AX94" s="2135"/>
      <c r="AY94" s="2135"/>
      <c r="AZ94" s="2135">
        <f t="shared" si="186"/>
        <v>1.5691077111061555</v>
      </c>
      <c r="BA94" s="2135">
        <f t="shared" si="187"/>
        <v>10.611462774882909</v>
      </c>
      <c r="BB94" s="2149">
        <v>55.483300599999986</v>
      </c>
      <c r="BC94" s="2109">
        <f t="shared" si="188"/>
        <v>0.83422071874721926</v>
      </c>
      <c r="BD94" s="2109">
        <v>4.6285318905000006</v>
      </c>
      <c r="BE94" s="2109">
        <v>0.88469075233635563</v>
      </c>
      <c r="BF94" s="2109">
        <f t="shared" si="160"/>
        <v>4.9085562949918158</v>
      </c>
      <c r="BG94" s="2135"/>
      <c r="BH94" s="2135"/>
      <c r="BI94" s="2135"/>
      <c r="BJ94" s="2135">
        <f t="shared" si="189"/>
        <v>1.7189114710835749</v>
      </c>
      <c r="BK94" s="2135">
        <f t="shared" si="190"/>
        <v>9.5370881854918164</v>
      </c>
      <c r="BL94" s="2149">
        <v>39.45187122580645</v>
      </c>
      <c r="BM94" s="2109">
        <f t="shared" si="191"/>
        <v>1.1732097228058382</v>
      </c>
      <c r="BN94" s="2109">
        <v>4.6285318905000006</v>
      </c>
      <c r="BO94" s="2109">
        <v>0.88469075233635563</v>
      </c>
      <c r="BP94" s="2109">
        <f t="shared" si="161"/>
        <v>3.4902705635835729</v>
      </c>
      <c r="BQ94" s="2135"/>
      <c r="BR94" s="2135"/>
      <c r="BS94" s="2135"/>
      <c r="BT94" s="2135">
        <f t="shared" si="192"/>
        <v>2.0579004751421937</v>
      </c>
      <c r="BU94" s="2135">
        <f t="shared" si="193"/>
        <v>8.118802454083573</v>
      </c>
      <c r="BV94" s="2149">
        <v>20.665253200000002</v>
      </c>
      <c r="BW94" s="2109">
        <f t="shared" si="194"/>
        <v>2.239765390583262</v>
      </c>
      <c r="BX94" s="2109">
        <v>4.6285318905000006</v>
      </c>
      <c r="BY94" s="2109">
        <v>0.88469075233635563</v>
      </c>
      <c r="BZ94" s="2109">
        <f t="shared" si="162"/>
        <v>1.8282358400729284</v>
      </c>
      <c r="CA94" s="2135"/>
      <c r="CB94" s="2135"/>
      <c r="CC94" s="2135"/>
      <c r="CD94" s="2135">
        <f t="shared" si="195"/>
        <v>3.1244561429196178</v>
      </c>
      <c r="CE94" s="2135">
        <f t="shared" si="196"/>
        <v>6.4567677305729294</v>
      </c>
      <c r="CF94" s="2149">
        <v>28.976528000000005</v>
      </c>
      <c r="CG94" s="2109">
        <f t="shared" si="197"/>
        <v>1.5973383320803649</v>
      </c>
      <c r="CH94" s="2109">
        <v>4.6285318905000006</v>
      </c>
      <c r="CI94" s="2109">
        <v>0.88469075233635563</v>
      </c>
      <c r="CJ94" s="2109">
        <f t="shared" si="163"/>
        <v>2.5635266356415478</v>
      </c>
      <c r="CK94" s="2135"/>
      <c r="CL94" s="2135"/>
      <c r="CM94" s="2135"/>
      <c r="CN94" s="2135">
        <f t="shared" si="198"/>
        <v>2.4820290844167205</v>
      </c>
      <c r="CO94" s="2135">
        <f t="shared" si="199"/>
        <v>7.1920585261415484</v>
      </c>
      <c r="CP94" s="2149">
        <v>26.047543399999999</v>
      </c>
      <c r="CQ94" s="2109">
        <f t="shared" si="200"/>
        <v>1.776955246574232</v>
      </c>
      <c r="CR94" s="2109">
        <v>4.6285318905000006</v>
      </c>
      <c r="CS94" s="2109">
        <v>0.88469075233635563</v>
      </c>
      <c r="CT94" s="2109">
        <f t="shared" si="164"/>
        <v>2.3044020767059874</v>
      </c>
      <c r="CU94" s="2135"/>
      <c r="CV94" s="2135"/>
      <c r="CW94" s="2135"/>
      <c r="CX94" s="2135">
        <f t="shared" si="201"/>
        <v>2.6616459989105881</v>
      </c>
      <c r="CY94" s="2135">
        <f t="shared" si="202"/>
        <v>6.9329339672059884</v>
      </c>
      <c r="CZ94" s="2149">
        <v>26.3030142</v>
      </c>
      <c r="DA94" s="2109">
        <f t="shared" si="203"/>
        <v>1.7596963812991442</v>
      </c>
      <c r="DB94" s="2109">
        <v>4.6285318905000006</v>
      </c>
      <c r="DC94" s="2109">
        <v>0.88469075233635563</v>
      </c>
      <c r="DD94" s="2109">
        <f t="shared" si="165"/>
        <v>2.3270033421311842</v>
      </c>
      <c r="DE94" s="2135"/>
      <c r="DF94" s="2135"/>
      <c r="DG94" s="2135"/>
      <c r="DH94" s="2135">
        <f t="shared" si="204"/>
        <v>2.6443871336354996</v>
      </c>
      <c r="DI94" s="2135">
        <f t="shared" si="205"/>
        <v>6.9555352326311848</v>
      </c>
      <c r="DJ94" s="2149">
        <v>39.260048400000009</v>
      </c>
      <c r="DK94" s="2109">
        <f t="shared" si="206"/>
        <v>1.1789419725982813</v>
      </c>
      <c r="DL94" s="2109">
        <v>4.6285318905000006</v>
      </c>
      <c r="DM94" s="2109">
        <v>0.88469075233635563</v>
      </c>
      <c r="DN94" s="2109">
        <f t="shared" si="166"/>
        <v>3.473300175575774</v>
      </c>
      <c r="DO94" s="2135"/>
      <c r="DP94" s="2135"/>
      <c r="DQ94" s="2135"/>
      <c r="DR94" s="2135">
        <f t="shared" si="207"/>
        <v>2.0636327249346369</v>
      </c>
      <c r="DS94" s="2135">
        <f t="shared" si="208"/>
        <v>8.1018320660757741</v>
      </c>
      <c r="DT94" s="2149">
        <v>61.818345199999996</v>
      </c>
      <c r="DU94" s="2109">
        <f t="shared" si="209"/>
        <v>0.74873112108151374</v>
      </c>
      <c r="DV94" s="2109">
        <v>4.6285318905000006</v>
      </c>
      <c r="DW94" s="2109">
        <v>0.88469075233635563</v>
      </c>
      <c r="DX94" s="2109">
        <f t="shared" si="167"/>
        <v>5.4690118323176531</v>
      </c>
      <c r="DY94" s="2135"/>
      <c r="DZ94" s="2135"/>
      <c r="EA94" s="2135"/>
      <c r="EB94" s="2135">
        <f t="shared" si="210"/>
        <v>1.6334218734178694</v>
      </c>
      <c r="EC94" s="2135">
        <f t="shared" si="211"/>
        <v>10.097543722817655</v>
      </c>
      <c r="ED94" s="2135"/>
      <c r="EE94" s="2106">
        <f t="shared" si="212"/>
        <v>562.27590702580642</v>
      </c>
      <c r="EF94" s="2106">
        <f t="shared" si="213"/>
        <v>0.98781366926772507</v>
      </c>
      <c r="EG94" s="2106">
        <f t="shared" si="214"/>
        <v>55.542382686000003</v>
      </c>
      <c r="EH94" s="2106">
        <f t="shared" si="215"/>
        <v>0.88469075233635575</v>
      </c>
      <c r="EI94" s="2106">
        <f t="shared" si="216"/>
        <v>49.744029520726748</v>
      </c>
      <c r="EJ94" s="2106"/>
      <c r="EK94" s="2106"/>
      <c r="EL94" s="2106"/>
      <c r="EM94" s="2106">
        <f t="shared" si="217"/>
        <v>1.8725044216040807</v>
      </c>
      <c r="EN94" s="2106">
        <f t="shared" si="218"/>
        <v>105.28641220672675</v>
      </c>
      <c r="EO94" s="2106">
        <f t="shared" si="219"/>
        <v>1.8725044216040807</v>
      </c>
      <c r="EP94" s="2114">
        <f t="shared" si="220"/>
        <v>1.9398237671860807</v>
      </c>
      <c r="EQ94" s="2224"/>
      <c r="ER94" s="2210"/>
      <c r="ES94" s="2209" t="e">
        <v>#N/A</v>
      </c>
      <c r="ET94" s="2241"/>
      <c r="EU94" s="2230"/>
      <c r="EV94" s="2241"/>
      <c r="EW94" s="2241"/>
      <c r="EX94" s="2241"/>
      <c r="EY94" s="2244"/>
      <c r="EZ94" s="2244"/>
      <c r="FA94" s="2244"/>
      <c r="FB94" s="2242"/>
      <c r="FC94" s="2243"/>
      <c r="FD94" s="2243"/>
      <c r="FE94" s="2243"/>
      <c r="FF94" s="2243"/>
      <c r="FG94" s="2243"/>
      <c r="FH94" s="2243"/>
      <c r="FI94" s="2243"/>
    </row>
    <row r="95" spans="1:165">
      <c r="A95" s="2220">
        <v>5</v>
      </c>
      <c r="B95" s="2145" t="s">
        <v>1727</v>
      </c>
      <c r="C95" s="2146">
        <v>300</v>
      </c>
      <c r="D95" s="2147">
        <f t="shared" si="174"/>
        <v>0.20666666666666667</v>
      </c>
      <c r="E95" s="2146"/>
      <c r="F95" s="2148">
        <v>0.70663689912313021</v>
      </c>
      <c r="G95" s="2146">
        <v>62</v>
      </c>
      <c r="H95" s="2149" t="s">
        <v>1717</v>
      </c>
      <c r="I95" s="2229">
        <v>1</v>
      </c>
      <c r="J95" s="2149">
        <v>308.32916085161287</v>
      </c>
      <c r="K95" s="2148">
        <v>3.4703846153846141E-2</v>
      </c>
      <c r="L95" s="2151"/>
      <c r="M95" s="2152">
        <f t="shared" si="175"/>
        <v>297.628953088674</v>
      </c>
      <c r="N95" s="2149">
        <v>32.651283599999992</v>
      </c>
      <c r="O95" s="2109">
        <f t="shared" si="176"/>
        <v>0.61575435188250927</v>
      </c>
      <c r="P95" s="2109">
        <v>2.0105169971249999</v>
      </c>
      <c r="Q95" s="2109">
        <v>1.2234511190577784</v>
      </c>
      <c r="R95" s="2109">
        <f t="shared" si="156"/>
        <v>3.9947249459092875</v>
      </c>
      <c r="S95" s="2109"/>
      <c r="T95" s="2109"/>
      <c r="U95" s="2109"/>
      <c r="V95" s="2109">
        <f t="shared" si="177"/>
        <v>1.8392054709402874</v>
      </c>
      <c r="W95" s="2109">
        <f t="shared" si="178"/>
        <v>6.0052419430342869</v>
      </c>
      <c r="X95" s="2149">
        <v>44.963337200000005</v>
      </c>
      <c r="Y95" s="2109">
        <f t="shared" si="179"/>
        <v>0.44714585756437131</v>
      </c>
      <c r="Z95" s="2109">
        <v>2.0105169971249999</v>
      </c>
      <c r="AA95" s="2109">
        <v>1.2234511190577784</v>
      </c>
      <c r="AB95" s="2109">
        <f t="shared" si="157"/>
        <v>5.5010445213912238</v>
      </c>
      <c r="AC95" s="2135"/>
      <c r="AD95" s="2135"/>
      <c r="AE95" s="2135"/>
      <c r="AF95" s="2135">
        <f t="shared" si="180"/>
        <v>1.6705969766221496</v>
      </c>
      <c r="AG95" s="2135">
        <f t="shared" si="181"/>
        <v>7.5115615185162241</v>
      </c>
      <c r="AH95" s="2149">
        <v>39.693888000000001</v>
      </c>
      <c r="AI95" s="2109">
        <f t="shared" si="182"/>
        <v>0.50650543406707849</v>
      </c>
      <c r="AJ95" s="2109">
        <v>2.0105169971249999</v>
      </c>
      <c r="AK95" s="2109">
        <v>1.2234511190577784</v>
      </c>
      <c r="AL95" s="2109">
        <f t="shared" si="158"/>
        <v>4.8563531693354118</v>
      </c>
      <c r="AM95" s="2135"/>
      <c r="AN95" s="2135"/>
      <c r="AO95" s="2135"/>
      <c r="AP95" s="2135">
        <f t="shared" si="183"/>
        <v>1.7299565531248571</v>
      </c>
      <c r="AQ95" s="2135">
        <f t="shared" si="184"/>
        <v>6.8668701664604122</v>
      </c>
      <c r="AR95" s="2149">
        <v>41.017017600000003</v>
      </c>
      <c r="AS95" s="2109">
        <f t="shared" si="185"/>
        <v>0.49016654909717272</v>
      </c>
      <c r="AT95" s="2109">
        <v>2.0105169971249999</v>
      </c>
      <c r="AU95" s="2109">
        <v>1.2234511190577784</v>
      </c>
      <c r="AV95" s="2109">
        <f t="shared" si="159"/>
        <v>5.0182316083132594</v>
      </c>
      <c r="AW95" s="2135"/>
      <c r="AX95" s="2135"/>
      <c r="AY95" s="2135"/>
      <c r="AZ95" s="2135">
        <f t="shared" si="186"/>
        <v>1.7136176681549511</v>
      </c>
      <c r="BA95" s="2135">
        <f t="shared" si="187"/>
        <v>7.0287486054382597</v>
      </c>
      <c r="BB95" s="2149">
        <v>43.876134600000007</v>
      </c>
      <c r="BC95" s="2109">
        <f t="shared" si="188"/>
        <v>0.45822564258543408</v>
      </c>
      <c r="BD95" s="2109">
        <v>2.0105169971249999</v>
      </c>
      <c r="BE95" s="2109">
        <v>1.2234511190577784</v>
      </c>
      <c r="BF95" s="2109">
        <f t="shared" si="160"/>
        <v>5.3680305976299723</v>
      </c>
      <c r="BG95" s="2135"/>
      <c r="BH95" s="2135"/>
      <c r="BI95" s="2135"/>
      <c r="BJ95" s="2135">
        <f t="shared" si="189"/>
        <v>1.6816767616432124</v>
      </c>
      <c r="BK95" s="2135">
        <f t="shared" si="190"/>
        <v>7.3785475947549717</v>
      </c>
      <c r="BL95" s="2149">
        <v>29.607406451612906</v>
      </c>
      <c r="BM95" s="2109">
        <f t="shared" si="191"/>
        <v>0.67905880253671258</v>
      </c>
      <c r="BN95" s="2109">
        <v>2.0105169971249999</v>
      </c>
      <c r="BO95" s="2109">
        <v>1.2234511190577784</v>
      </c>
      <c r="BP95" s="2109">
        <f t="shared" si="161"/>
        <v>3.6223214555624295</v>
      </c>
      <c r="BQ95" s="2135"/>
      <c r="BR95" s="2135"/>
      <c r="BS95" s="2135"/>
      <c r="BT95" s="2135">
        <f t="shared" si="192"/>
        <v>1.9025099215944907</v>
      </c>
      <c r="BU95" s="2135">
        <f t="shared" si="193"/>
        <v>5.6328384526874293</v>
      </c>
      <c r="BV95" s="2149">
        <v>21.8493888</v>
      </c>
      <c r="BW95" s="2109">
        <f t="shared" si="194"/>
        <v>0.92017081829080727</v>
      </c>
      <c r="BX95" s="2109">
        <v>2.0105169971249999</v>
      </c>
      <c r="BY95" s="2109">
        <v>1.2234511190577784</v>
      </c>
      <c r="BZ95" s="2109">
        <f t="shared" si="162"/>
        <v>2.6731659178088489</v>
      </c>
      <c r="CA95" s="2135"/>
      <c r="CB95" s="2135"/>
      <c r="CC95" s="2135"/>
      <c r="CD95" s="2135">
        <f t="shared" si="195"/>
        <v>2.1436219373485859</v>
      </c>
      <c r="CE95" s="2135">
        <f t="shared" si="196"/>
        <v>4.6836829149338488</v>
      </c>
      <c r="CF95" s="2149">
        <v>12.063922999999999</v>
      </c>
      <c r="CG95" s="2109">
        <f t="shared" si="197"/>
        <v>1.666553240703708</v>
      </c>
      <c r="CH95" s="2109">
        <v>2.0105169971249999</v>
      </c>
      <c r="CI95" s="2109">
        <v>1.2234511190577784</v>
      </c>
      <c r="CJ95" s="2109">
        <f t="shared" si="163"/>
        <v>1.4759620094576869</v>
      </c>
      <c r="CK95" s="2135"/>
      <c r="CL95" s="2135"/>
      <c r="CM95" s="2135"/>
      <c r="CN95" s="2135">
        <f t="shared" si="198"/>
        <v>2.8900043597614862</v>
      </c>
      <c r="CO95" s="2135">
        <f t="shared" si="199"/>
        <v>3.4864790065826865</v>
      </c>
      <c r="CP95" s="2149">
        <v>9.7928200000000007</v>
      </c>
      <c r="CQ95" s="2109">
        <f t="shared" si="200"/>
        <v>2.0530521311787613</v>
      </c>
      <c r="CR95" s="2109">
        <v>2.0105169971249999</v>
      </c>
      <c r="CS95" s="2109">
        <v>1.2234511190577784</v>
      </c>
      <c r="CT95" s="2109">
        <f t="shared" si="164"/>
        <v>1.1981036587731393</v>
      </c>
      <c r="CU95" s="2135"/>
      <c r="CV95" s="2135"/>
      <c r="CW95" s="2135"/>
      <c r="CX95" s="2135">
        <f t="shared" si="201"/>
        <v>3.2765032502365394</v>
      </c>
      <c r="CY95" s="2135">
        <f t="shared" si="202"/>
        <v>3.2086206558981392</v>
      </c>
      <c r="CZ95" s="2149">
        <v>9.0043684000000024</v>
      </c>
      <c r="DA95" s="2109">
        <f t="shared" si="203"/>
        <v>2.2328240114264974</v>
      </c>
      <c r="DB95" s="2109">
        <v>2.0105169971249999</v>
      </c>
      <c r="DC95" s="2109">
        <v>1.2234511190577784</v>
      </c>
      <c r="DD95" s="2109">
        <f t="shared" si="165"/>
        <v>1.10164045953885</v>
      </c>
      <c r="DE95" s="2135"/>
      <c r="DF95" s="2135"/>
      <c r="DG95" s="2135"/>
      <c r="DH95" s="2135">
        <f t="shared" si="204"/>
        <v>3.456275130484276</v>
      </c>
      <c r="DI95" s="2135">
        <f t="shared" si="205"/>
        <v>3.1121574566638497</v>
      </c>
      <c r="DJ95" s="2149">
        <v>10.0864516</v>
      </c>
      <c r="DK95" s="2109">
        <f t="shared" si="206"/>
        <v>1.9932847316939486</v>
      </c>
      <c r="DL95" s="2109">
        <v>2.0105169971249999</v>
      </c>
      <c r="DM95" s="2109">
        <v>1.2234511190577784</v>
      </c>
      <c r="DN95" s="2109">
        <f t="shared" si="166"/>
        <v>1.234028049734212</v>
      </c>
      <c r="DO95" s="2135"/>
      <c r="DP95" s="2135"/>
      <c r="DQ95" s="2135"/>
      <c r="DR95" s="2135">
        <f t="shared" si="207"/>
        <v>3.2167358507517276</v>
      </c>
      <c r="DS95" s="2135">
        <f t="shared" si="208"/>
        <v>3.2445450468592121</v>
      </c>
      <c r="DT95" s="2149">
        <v>13.723141599999998</v>
      </c>
      <c r="DU95" s="2109">
        <f t="shared" si="209"/>
        <v>1.4650559294126939</v>
      </c>
      <c r="DV95" s="2109">
        <v>2.0105169971249999</v>
      </c>
      <c r="DW95" s="2109">
        <v>1.2234511190577784</v>
      </c>
      <c r="DX95" s="2109">
        <f t="shared" si="167"/>
        <v>1.6789592947508349</v>
      </c>
      <c r="DY95" s="2135"/>
      <c r="DZ95" s="2135"/>
      <c r="EA95" s="2135"/>
      <c r="EB95" s="2135">
        <f t="shared" si="210"/>
        <v>2.6885070484704721</v>
      </c>
      <c r="EC95" s="2135">
        <f t="shared" si="211"/>
        <v>3.6894762918758346</v>
      </c>
      <c r="ED95" s="2135"/>
      <c r="EE95" s="2106">
        <f t="shared" si="212"/>
        <v>308.32916085161287</v>
      </c>
      <c r="EF95" s="2106">
        <f t="shared" si="213"/>
        <v>0.78248206880149818</v>
      </c>
      <c r="EG95" s="2106">
        <f t="shared" si="214"/>
        <v>24.126203965499993</v>
      </c>
      <c r="EH95" s="2106">
        <f t="shared" si="215"/>
        <v>1.2234511190577786</v>
      </c>
      <c r="EI95" s="2106">
        <f t="shared" si="216"/>
        <v>37.722565688205158</v>
      </c>
      <c r="EJ95" s="2106"/>
      <c r="EK95" s="2106"/>
      <c r="EL95" s="2106"/>
      <c r="EM95" s="2106">
        <f t="shared" si="217"/>
        <v>2.0059331878592763</v>
      </c>
      <c r="EN95" s="2106">
        <f t="shared" si="218"/>
        <v>61.848769653705148</v>
      </c>
      <c r="EO95" s="2106">
        <f t="shared" si="219"/>
        <v>2.0059331878592763</v>
      </c>
      <c r="EP95" s="2114">
        <f t="shared" si="220"/>
        <v>2.0780494979357149</v>
      </c>
      <c r="EQ95" s="2224"/>
      <c r="ER95" s="2210"/>
      <c r="ES95" s="2209" t="e">
        <v>#N/A</v>
      </c>
      <c r="ET95" s="2241"/>
      <c r="EU95" s="2230"/>
      <c r="EV95" s="2241"/>
      <c r="EW95" s="2241"/>
      <c r="EX95" s="2241"/>
      <c r="EY95" s="2244"/>
      <c r="EZ95" s="2244"/>
      <c r="FA95" s="2244"/>
      <c r="FB95" s="2242"/>
      <c r="FC95" s="2243"/>
      <c r="FD95" s="2243"/>
      <c r="FE95" s="2243"/>
      <c r="FF95" s="2243"/>
      <c r="FG95" s="2243"/>
      <c r="FH95" s="2243"/>
      <c r="FI95" s="2243"/>
    </row>
    <row r="96" spans="1:165">
      <c r="A96" s="2220">
        <v>6</v>
      </c>
      <c r="B96" s="2145" t="s">
        <v>1728</v>
      </c>
      <c r="C96" s="2146">
        <v>280</v>
      </c>
      <c r="D96" s="2147">
        <f t="shared" si="174"/>
        <v>0.2</v>
      </c>
      <c r="E96" s="2146"/>
      <c r="F96" s="2148">
        <v>0.5645193952177735</v>
      </c>
      <c r="G96" s="2146">
        <v>56</v>
      </c>
      <c r="H96" s="2149" t="s">
        <v>1717</v>
      </c>
      <c r="I96" s="2229">
        <v>1</v>
      </c>
      <c r="J96" s="2149">
        <v>250.42144920000004</v>
      </c>
      <c r="K96" s="2148">
        <v>3.4703846153846141E-2</v>
      </c>
      <c r="L96" s="2151"/>
      <c r="M96" s="2152">
        <f t="shared" si="175"/>
        <v>241.73086175334004</v>
      </c>
      <c r="N96" s="2149">
        <v>15.306416599999999</v>
      </c>
      <c r="O96" s="2109">
        <f t="shared" si="176"/>
        <v>2.2064616682963543</v>
      </c>
      <c r="P96" s="2109">
        <v>3.3773021506875005</v>
      </c>
      <c r="Q96" s="2109">
        <v>1.362473595227859</v>
      </c>
      <c r="R96" s="2109">
        <f t="shared" si="156"/>
        <v>2.0854588455057383</v>
      </c>
      <c r="S96" s="2109"/>
      <c r="T96" s="2109"/>
      <c r="U96" s="2109"/>
      <c r="V96" s="2109">
        <f t="shared" si="177"/>
        <v>3.5689352635242138</v>
      </c>
      <c r="W96" s="2109">
        <f t="shared" si="178"/>
        <v>5.4627609961932393</v>
      </c>
      <c r="X96" s="2149">
        <v>26.650408800000001</v>
      </c>
      <c r="Y96" s="2109">
        <f t="shared" si="179"/>
        <v>1.2672609174713676</v>
      </c>
      <c r="Z96" s="2109">
        <v>3.3773021506875005</v>
      </c>
      <c r="AA96" s="2109">
        <v>1.362473595227859</v>
      </c>
      <c r="AB96" s="2109">
        <f t="shared" si="157"/>
        <v>3.6310478292028172</v>
      </c>
      <c r="AC96" s="2135"/>
      <c r="AD96" s="2135"/>
      <c r="AE96" s="2135"/>
      <c r="AF96" s="2135">
        <f t="shared" si="180"/>
        <v>2.6297345126992262</v>
      </c>
      <c r="AG96" s="2135">
        <f t="shared" si="181"/>
        <v>7.0083499798903173</v>
      </c>
      <c r="AH96" s="2149">
        <v>39.385331799999996</v>
      </c>
      <c r="AI96" s="2109">
        <f t="shared" si="182"/>
        <v>0.85750252602607269</v>
      </c>
      <c r="AJ96" s="2109">
        <v>3.3773021506875005</v>
      </c>
      <c r="AK96" s="2109">
        <v>1.362473595227859</v>
      </c>
      <c r="AL96" s="2109">
        <f t="shared" si="158"/>
        <v>5.3661474616788123</v>
      </c>
      <c r="AM96" s="2135"/>
      <c r="AN96" s="2135"/>
      <c r="AO96" s="2135"/>
      <c r="AP96" s="2135">
        <f t="shared" si="183"/>
        <v>2.2199761212539317</v>
      </c>
      <c r="AQ96" s="2135">
        <f t="shared" si="184"/>
        <v>8.7434496123663124</v>
      </c>
      <c r="AR96" s="2149">
        <v>37.047628800000005</v>
      </c>
      <c r="AS96" s="2109">
        <f t="shared" si="185"/>
        <v>0.91161088039391602</v>
      </c>
      <c r="AT96" s="2109">
        <v>3.3773021506875005</v>
      </c>
      <c r="AU96" s="2109">
        <v>1.362473595227859</v>
      </c>
      <c r="AV96" s="2109">
        <f t="shared" si="159"/>
        <v>5.0476416005803184</v>
      </c>
      <c r="AW96" s="2135"/>
      <c r="AX96" s="2135"/>
      <c r="AY96" s="2135"/>
      <c r="AZ96" s="2135">
        <f t="shared" si="186"/>
        <v>2.2740844756217751</v>
      </c>
      <c r="BA96" s="2135">
        <f t="shared" si="187"/>
        <v>8.4249437512678185</v>
      </c>
      <c r="BB96" s="2149">
        <v>37.047628800000005</v>
      </c>
      <c r="BC96" s="2109">
        <f t="shared" si="188"/>
        <v>0.91161088039391602</v>
      </c>
      <c r="BD96" s="2109">
        <v>3.3773021506875005</v>
      </c>
      <c r="BE96" s="2109">
        <v>1.362473595227859</v>
      </c>
      <c r="BF96" s="2109">
        <f t="shared" si="160"/>
        <v>5.0476416005803184</v>
      </c>
      <c r="BG96" s="2135"/>
      <c r="BH96" s="2135"/>
      <c r="BI96" s="2135"/>
      <c r="BJ96" s="2135">
        <f t="shared" si="189"/>
        <v>2.2740844756217751</v>
      </c>
      <c r="BK96" s="2135">
        <f t="shared" si="190"/>
        <v>8.4249437512678185</v>
      </c>
      <c r="BL96" s="2149">
        <v>35.852543999999995</v>
      </c>
      <c r="BM96" s="2109">
        <f t="shared" si="191"/>
        <v>0.94199790974038022</v>
      </c>
      <c r="BN96" s="2109">
        <v>3.3773021506875005</v>
      </c>
      <c r="BO96" s="2109">
        <v>1.362473595227859</v>
      </c>
      <c r="BP96" s="2109">
        <f t="shared" si="161"/>
        <v>4.8848144521745001</v>
      </c>
      <c r="BQ96" s="2135"/>
      <c r="BR96" s="2135"/>
      <c r="BS96" s="2135"/>
      <c r="BT96" s="2135">
        <f t="shared" si="192"/>
        <v>2.3044715049682392</v>
      </c>
      <c r="BU96" s="2135">
        <f t="shared" si="193"/>
        <v>8.262116602862001</v>
      </c>
      <c r="BV96" s="2149">
        <v>21.341443000000005</v>
      </c>
      <c r="BW96" s="2109">
        <f t="shared" si="194"/>
        <v>1.5825088072477103</v>
      </c>
      <c r="BX96" s="2109">
        <v>3.3773021506875005</v>
      </c>
      <c r="BY96" s="2109">
        <v>1.362473595227859</v>
      </c>
      <c r="BZ96" s="2109">
        <f t="shared" si="162"/>
        <v>2.9077152571560432</v>
      </c>
      <c r="CA96" s="2135"/>
      <c r="CB96" s="2135"/>
      <c r="CC96" s="2135"/>
      <c r="CD96" s="2135">
        <f t="shared" si="195"/>
        <v>2.9449824024755693</v>
      </c>
      <c r="CE96" s="2135">
        <f t="shared" si="196"/>
        <v>6.2850174078435437</v>
      </c>
      <c r="CF96" s="2149">
        <v>11.428712399999995</v>
      </c>
      <c r="CG96" s="2109">
        <f t="shared" si="197"/>
        <v>2.9551029306569148</v>
      </c>
      <c r="CH96" s="2109">
        <v>3.3773021506875005</v>
      </c>
      <c r="CI96" s="2109">
        <v>1.362473595227859</v>
      </c>
      <c r="CJ96" s="2109">
        <f t="shared" si="163"/>
        <v>1.5571318872453206</v>
      </c>
      <c r="CK96" s="2135"/>
      <c r="CL96" s="2135"/>
      <c r="CM96" s="2135"/>
      <c r="CN96" s="2135">
        <f t="shared" si="198"/>
        <v>4.3175765258847729</v>
      </c>
      <c r="CO96" s="2135">
        <f t="shared" si="199"/>
        <v>4.9344340379328209</v>
      </c>
      <c r="CP96" s="2149">
        <v>7.7352214000000004</v>
      </c>
      <c r="CQ96" s="2109">
        <f t="shared" si="200"/>
        <v>4.3661350800993235</v>
      </c>
      <c r="CR96" s="2109">
        <v>3.3773021506875005</v>
      </c>
      <c r="CS96" s="2109">
        <v>1.362473595227859</v>
      </c>
      <c r="CT96" s="2109">
        <f t="shared" si="164"/>
        <v>1.0539034910741474</v>
      </c>
      <c r="CU96" s="2135"/>
      <c r="CV96" s="2135"/>
      <c r="CW96" s="2135"/>
      <c r="CX96" s="2135">
        <f t="shared" si="201"/>
        <v>5.7286086753271821</v>
      </c>
      <c r="CY96" s="2135">
        <f t="shared" si="202"/>
        <v>4.4312056417616477</v>
      </c>
      <c r="CZ96" s="2149">
        <v>6.5675246000000005</v>
      </c>
      <c r="DA96" s="2109">
        <f t="shared" si="203"/>
        <v>5.1424278649637643</v>
      </c>
      <c r="DB96" s="2109">
        <v>3.3773021506875005</v>
      </c>
      <c r="DC96" s="2109">
        <v>1.362473595227859</v>
      </c>
      <c r="DD96" s="2109">
        <f t="shared" si="165"/>
        <v>0.8948078853509408</v>
      </c>
      <c r="DE96" s="2135"/>
      <c r="DF96" s="2135"/>
      <c r="DG96" s="2135"/>
      <c r="DH96" s="2135">
        <f t="shared" si="204"/>
        <v>6.5049014601916237</v>
      </c>
      <c r="DI96" s="2135">
        <f t="shared" si="205"/>
        <v>4.2721100360384412</v>
      </c>
      <c r="DJ96" s="2149">
        <v>5.0395823999999996</v>
      </c>
      <c r="DK96" s="2109">
        <f t="shared" si="206"/>
        <v>6.7015516021476316</v>
      </c>
      <c r="DL96" s="2109">
        <v>3.3773021506875005</v>
      </c>
      <c r="DM96" s="2109">
        <v>1.362473595227859</v>
      </c>
      <c r="DN96" s="2109">
        <f t="shared" si="166"/>
        <v>0.68662979509750421</v>
      </c>
      <c r="DO96" s="2135"/>
      <c r="DP96" s="2135"/>
      <c r="DQ96" s="2135"/>
      <c r="DR96" s="2135">
        <f t="shared" si="207"/>
        <v>8.0640251973754911</v>
      </c>
      <c r="DS96" s="2135">
        <f t="shared" si="208"/>
        <v>4.0639319457850043</v>
      </c>
      <c r="DT96" s="2149">
        <v>7.0190066000000009</v>
      </c>
      <c r="DU96" s="2109">
        <f t="shared" si="209"/>
        <v>4.8116526214514463</v>
      </c>
      <c r="DV96" s="2109">
        <v>3.3773021506875005</v>
      </c>
      <c r="DW96" s="2109">
        <v>1.362473595227859</v>
      </c>
      <c r="DX96" s="2109">
        <f t="shared" si="167"/>
        <v>0.95632111572300715</v>
      </c>
      <c r="DY96" s="2135"/>
      <c r="DZ96" s="2135"/>
      <c r="EA96" s="2135"/>
      <c r="EB96" s="2135">
        <f t="shared" si="210"/>
        <v>6.1741262166793041</v>
      </c>
      <c r="EC96" s="2135">
        <f t="shared" si="211"/>
        <v>4.3336232664105072</v>
      </c>
      <c r="ED96" s="2135"/>
      <c r="EE96" s="2106">
        <f t="shared" si="212"/>
        <v>250.42144920000004</v>
      </c>
      <c r="EF96" s="2106">
        <f t="shared" si="213"/>
        <v>1.6183767779365601</v>
      </c>
      <c r="EG96" s="2106">
        <f t="shared" si="214"/>
        <v>40.527625808250008</v>
      </c>
      <c r="EH96" s="2106">
        <f t="shared" si="215"/>
        <v>1.362473595227859</v>
      </c>
      <c r="EI96" s="2106">
        <f t="shared" si="216"/>
        <v>34.11926122136947</v>
      </c>
      <c r="EJ96" s="2106"/>
      <c r="EK96" s="2106"/>
      <c r="EL96" s="2106"/>
      <c r="EM96" s="2106">
        <f t="shared" si="217"/>
        <v>2.9808503731644191</v>
      </c>
      <c r="EN96" s="2106">
        <f t="shared" si="218"/>
        <v>74.646887029619478</v>
      </c>
      <c r="EO96" s="2106">
        <f t="shared" si="219"/>
        <v>2.9808503731644191</v>
      </c>
      <c r="EP96" s="2114">
        <f t="shared" si="220"/>
        <v>3.0880164199219413</v>
      </c>
      <c r="EQ96" s="2224"/>
      <c r="ER96" s="2210"/>
      <c r="ES96" s="2209" t="e">
        <v>#N/A</v>
      </c>
      <c r="ET96" s="2241"/>
      <c r="EU96" s="2230"/>
      <c r="EV96" s="2241"/>
      <c r="EW96" s="2241"/>
      <c r="EX96" s="2241"/>
      <c r="EY96" s="2244"/>
      <c r="EZ96" s="2244"/>
      <c r="FA96" s="2244"/>
      <c r="FB96" s="2242"/>
      <c r="FC96" s="2243"/>
      <c r="FD96" s="2243"/>
      <c r="FE96" s="2243"/>
      <c r="FF96" s="2243"/>
      <c r="FG96" s="2243"/>
      <c r="FH96" s="2243"/>
      <c r="FI96" s="2243"/>
    </row>
    <row r="97" spans="1:165">
      <c r="A97" s="2220">
        <v>7</v>
      </c>
      <c r="B97" s="2145" t="s">
        <v>1729</v>
      </c>
      <c r="C97" s="2146">
        <v>390</v>
      </c>
      <c r="D97" s="2147">
        <f t="shared" si="174"/>
        <v>0.21794871794871795</v>
      </c>
      <c r="E97" s="2146"/>
      <c r="F97" s="2148">
        <v>0.80713133995834907</v>
      </c>
      <c r="G97" s="2146">
        <v>85</v>
      </c>
      <c r="H97" s="2149" t="s">
        <v>1717</v>
      </c>
      <c r="I97" s="2229">
        <v>1</v>
      </c>
      <c r="J97" s="2149">
        <v>504.29405360000004</v>
      </c>
      <c r="K97" s="2148">
        <v>3.4703846153846141E-2</v>
      </c>
      <c r="L97" s="2151"/>
      <c r="M97" s="2152">
        <f t="shared" si="175"/>
        <v>486.7931103475662</v>
      </c>
      <c r="N97" s="2149">
        <v>47.066176999999996</v>
      </c>
      <c r="O97" s="2109">
        <f t="shared" si="176"/>
        <v>2.7631123335659917</v>
      </c>
      <c r="P97" s="2109">
        <v>13.00491341625</v>
      </c>
      <c r="Q97" s="2109">
        <v>2.7340754844893609</v>
      </c>
      <c r="R97" s="2109">
        <f t="shared" si="156"/>
        <v>12.868248068433701</v>
      </c>
      <c r="S97" s="2109"/>
      <c r="T97" s="2109"/>
      <c r="U97" s="2109"/>
      <c r="V97" s="2109">
        <f t="shared" si="177"/>
        <v>5.4971878180553526</v>
      </c>
      <c r="W97" s="2109">
        <f t="shared" si="178"/>
        <v>25.873161484683699</v>
      </c>
      <c r="X97" s="2149">
        <v>56.233008000000012</v>
      </c>
      <c r="Y97" s="2109">
        <f t="shared" si="179"/>
        <v>2.3126832226812404</v>
      </c>
      <c r="Z97" s="2109">
        <v>13.00491341625</v>
      </c>
      <c r="AA97" s="2109">
        <v>2.7340754844893609</v>
      </c>
      <c r="AB97" s="2109">
        <f t="shared" si="157"/>
        <v>15.374528859189414</v>
      </c>
      <c r="AC97" s="2135"/>
      <c r="AD97" s="2135"/>
      <c r="AE97" s="2135"/>
      <c r="AF97" s="2135">
        <f t="shared" si="180"/>
        <v>5.0467587071706017</v>
      </c>
      <c r="AG97" s="2135">
        <f t="shared" si="181"/>
        <v>28.379442275439416</v>
      </c>
      <c r="AH97" s="2149">
        <v>54.41904000000001</v>
      </c>
      <c r="AI97" s="2109">
        <f t="shared" si="182"/>
        <v>2.3897726634372818</v>
      </c>
      <c r="AJ97" s="2109">
        <v>13.00491341625</v>
      </c>
      <c r="AK97" s="2109">
        <v>2.7340754844893609</v>
      </c>
      <c r="AL97" s="2109">
        <f t="shared" si="158"/>
        <v>14.878576315344594</v>
      </c>
      <c r="AM97" s="2135"/>
      <c r="AN97" s="2135"/>
      <c r="AO97" s="2135"/>
      <c r="AP97" s="2135">
        <f t="shared" si="183"/>
        <v>5.1238481479266431</v>
      </c>
      <c r="AQ97" s="2135">
        <f t="shared" si="184"/>
        <v>27.883489731594594</v>
      </c>
      <c r="AR97" s="2149">
        <v>56.233008000000012</v>
      </c>
      <c r="AS97" s="2109">
        <f t="shared" si="185"/>
        <v>2.3126832226812404</v>
      </c>
      <c r="AT97" s="2109">
        <v>13.00491341625</v>
      </c>
      <c r="AU97" s="2109">
        <v>2.7340754844893609</v>
      </c>
      <c r="AV97" s="2109">
        <f t="shared" si="159"/>
        <v>15.374528859189414</v>
      </c>
      <c r="AW97" s="2135"/>
      <c r="AX97" s="2135"/>
      <c r="AY97" s="2135"/>
      <c r="AZ97" s="2135">
        <f t="shared" si="186"/>
        <v>5.0467587071706017</v>
      </c>
      <c r="BA97" s="2135">
        <f t="shared" si="187"/>
        <v>28.379442275439416</v>
      </c>
      <c r="BB97" s="2149">
        <v>56.233008000000012</v>
      </c>
      <c r="BC97" s="2109">
        <f t="shared" si="188"/>
        <v>2.3126832226812404</v>
      </c>
      <c r="BD97" s="2109">
        <v>13.00491341625</v>
      </c>
      <c r="BE97" s="2109">
        <v>2.7340754844893609</v>
      </c>
      <c r="BF97" s="2109">
        <f t="shared" si="160"/>
        <v>15.374528859189414</v>
      </c>
      <c r="BG97" s="2135"/>
      <c r="BH97" s="2135"/>
      <c r="BI97" s="2135"/>
      <c r="BJ97" s="2135">
        <f t="shared" si="189"/>
        <v>5.0467587071706017</v>
      </c>
      <c r="BK97" s="2135">
        <f t="shared" si="190"/>
        <v>28.379442275439416</v>
      </c>
      <c r="BL97" s="2149">
        <v>54.41904000000001</v>
      </c>
      <c r="BM97" s="2109">
        <f t="shared" si="191"/>
        <v>2.3897726634372818</v>
      </c>
      <c r="BN97" s="2109">
        <v>13.00491341625</v>
      </c>
      <c r="BO97" s="2109">
        <v>2.7340754844893609</v>
      </c>
      <c r="BP97" s="2109">
        <f t="shared" si="161"/>
        <v>14.878576315344594</v>
      </c>
      <c r="BQ97" s="2135"/>
      <c r="BR97" s="2135"/>
      <c r="BS97" s="2135"/>
      <c r="BT97" s="2135">
        <f t="shared" si="192"/>
        <v>5.1238481479266431</v>
      </c>
      <c r="BU97" s="2135">
        <f t="shared" si="193"/>
        <v>27.883489731594594</v>
      </c>
      <c r="BV97" s="2149">
        <v>61.908700199999991</v>
      </c>
      <c r="BW97" s="2109">
        <f t="shared" si="194"/>
        <v>2.1006600646172187</v>
      </c>
      <c r="BX97" s="2109">
        <v>13.00491341625</v>
      </c>
      <c r="BY97" s="2109">
        <v>2.7340754844893609</v>
      </c>
      <c r="BZ97" s="2109">
        <f t="shared" si="162"/>
        <v>16.926305949342158</v>
      </c>
      <c r="CA97" s="2135"/>
      <c r="CB97" s="2135"/>
      <c r="CC97" s="2135"/>
      <c r="CD97" s="2135">
        <f t="shared" si="195"/>
        <v>4.83473554910658</v>
      </c>
      <c r="CE97" s="2135">
        <f t="shared" si="196"/>
        <v>29.931219365592156</v>
      </c>
      <c r="CF97" s="2149">
        <v>30.384236399999999</v>
      </c>
      <c r="CG97" s="2109">
        <f t="shared" si="197"/>
        <v>4.2801514723108198</v>
      </c>
      <c r="CH97" s="2109">
        <v>13.00491341625</v>
      </c>
      <c r="CI97" s="2109">
        <v>2.7340754844893609</v>
      </c>
      <c r="CJ97" s="2109">
        <f t="shared" si="163"/>
        <v>8.3072795856169268</v>
      </c>
      <c r="CK97" s="2135"/>
      <c r="CL97" s="2135"/>
      <c r="CM97" s="2135"/>
      <c r="CN97" s="2135">
        <f t="shared" si="198"/>
        <v>7.0142269568001803</v>
      </c>
      <c r="CO97" s="2135">
        <f t="shared" si="199"/>
        <v>21.312193001866927</v>
      </c>
      <c r="CP97" s="2149">
        <v>24.889890000000001</v>
      </c>
      <c r="CQ97" s="2109">
        <f t="shared" si="200"/>
        <v>5.2249782607516551</v>
      </c>
      <c r="CR97" s="2109">
        <v>13.00491341625</v>
      </c>
      <c r="CS97" s="2109">
        <v>2.7340754844893609</v>
      </c>
      <c r="CT97" s="2109">
        <f t="shared" si="164"/>
        <v>6.8050838060636902</v>
      </c>
      <c r="CU97" s="2135"/>
      <c r="CV97" s="2135"/>
      <c r="CW97" s="2135"/>
      <c r="CX97" s="2135">
        <f t="shared" si="201"/>
        <v>7.9590537452410146</v>
      </c>
      <c r="CY97" s="2135">
        <f t="shared" si="202"/>
        <v>19.80999722231369</v>
      </c>
      <c r="CZ97" s="2149">
        <v>20.868881800000004</v>
      </c>
      <c r="DA97" s="2109">
        <f t="shared" si="203"/>
        <v>6.2317250827737203</v>
      </c>
      <c r="DB97" s="2109">
        <v>13.00491341625</v>
      </c>
      <c r="DC97" s="2109">
        <v>2.7340754844893609</v>
      </c>
      <c r="DD97" s="2109">
        <f t="shared" si="165"/>
        <v>5.7057098118086218</v>
      </c>
      <c r="DE97" s="2135"/>
      <c r="DF97" s="2135"/>
      <c r="DG97" s="2135"/>
      <c r="DH97" s="2135">
        <f t="shared" si="204"/>
        <v>8.9658005672630807</v>
      </c>
      <c r="DI97" s="2135">
        <f t="shared" si="205"/>
        <v>18.710623228058623</v>
      </c>
      <c r="DJ97" s="2149">
        <v>18.797905199999999</v>
      </c>
      <c r="DK97" s="2109">
        <f t="shared" si="206"/>
        <v>6.918278009110292</v>
      </c>
      <c r="DL97" s="2109">
        <v>13.00491341625</v>
      </c>
      <c r="DM97" s="2109">
        <v>2.7340754844893609</v>
      </c>
      <c r="DN97" s="2109">
        <f t="shared" si="166"/>
        <v>5.1394891767075075</v>
      </c>
      <c r="DO97" s="2135"/>
      <c r="DP97" s="2135"/>
      <c r="DQ97" s="2135"/>
      <c r="DR97" s="2135">
        <f t="shared" si="207"/>
        <v>9.6523534935996533</v>
      </c>
      <c r="DS97" s="2135">
        <f t="shared" si="208"/>
        <v>18.144402592957508</v>
      </c>
      <c r="DT97" s="2149">
        <v>22.841159000000001</v>
      </c>
      <c r="DU97" s="2109">
        <f t="shared" si="209"/>
        <v>5.6936311402805782</v>
      </c>
      <c r="DV97" s="2109">
        <v>13.00491341625</v>
      </c>
      <c r="DW97" s="2109">
        <v>2.7340754844893609</v>
      </c>
      <c r="DX97" s="2109">
        <f t="shared" si="167"/>
        <v>6.2449452859223529</v>
      </c>
      <c r="DY97" s="2135"/>
      <c r="DZ97" s="2135"/>
      <c r="EA97" s="2135"/>
      <c r="EB97" s="2135">
        <f t="shared" si="210"/>
        <v>8.4277066247699395</v>
      </c>
      <c r="EC97" s="2135">
        <f t="shared" si="211"/>
        <v>19.249858702172354</v>
      </c>
      <c r="ED97" s="2135"/>
      <c r="EE97" s="2106">
        <f t="shared" si="212"/>
        <v>504.29405360000004</v>
      </c>
      <c r="EF97" s="2106">
        <f t="shared" si="213"/>
        <v>3.0946024423834291</v>
      </c>
      <c r="EG97" s="2106">
        <f t="shared" si="214"/>
        <v>156.05896099500001</v>
      </c>
      <c r="EH97" s="2106">
        <f t="shared" si="215"/>
        <v>2.7340754844893604</v>
      </c>
      <c r="EI97" s="2106">
        <f t="shared" si="216"/>
        <v>137.87780089215238</v>
      </c>
      <c r="EJ97" s="2106"/>
      <c r="EK97" s="2106"/>
      <c r="EL97" s="2106"/>
      <c r="EM97" s="2106">
        <f t="shared" si="217"/>
        <v>5.8286779268727891</v>
      </c>
      <c r="EN97" s="2106">
        <f t="shared" si="218"/>
        <v>293.93676188715239</v>
      </c>
      <c r="EO97" s="2106">
        <f t="shared" si="219"/>
        <v>5.8286779268727891</v>
      </c>
      <c r="EP97" s="2114">
        <f t="shared" si="220"/>
        <v>6.0382276502903665</v>
      </c>
      <c r="EQ97" s="2224"/>
      <c r="ER97" s="2210"/>
      <c r="ES97" s="2209" t="e">
        <v>#N/A</v>
      </c>
      <c r="ET97" s="2241"/>
      <c r="EU97" s="2230"/>
      <c r="EV97" s="2241"/>
      <c r="EW97" s="2241"/>
      <c r="EX97" s="2241"/>
      <c r="EY97" s="2244"/>
      <c r="EZ97" s="2244"/>
      <c r="FA97" s="2244"/>
      <c r="FB97" s="2242"/>
      <c r="FC97" s="2243"/>
      <c r="FD97" s="2243"/>
      <c r="FE97" s="2243"/>
      <c r="FF97" s="2243"/>
      <c r="FG97" s="2243"/>
      <c r="FH97" s="2243"/>
      <c r="FI97" s="2243"/>
    </row>
    <row r="98" spans="1:165">
      <c r="A98" s="2220">
        <v>8</v>
      </c>
      <c r="B98" s="2145" t="s">
        <v>1730</v>
      </c>
      <c r="C98" s="2146">
        <v>120</v>
      </c>
      <c r="D98" s="2147">
        <f t="shared" si="174"/>
        <v>0.22500000000000001</v>
      </c>
      <c r="E98" s="2146"/>
      <c r="F98" s="2148">
        <v>0.62189770981950032</v>
      </c>
      <c r="G98" s="2146">
        <v>27</v>
      </c>
      <c r="H98" s="2149" t="s">
        <v>1717</v>
      </c>
      <c r="I98" s="2229">
        <v>1</v>
      </c>
      <c r="J98" s="2149">
        <v>117.12940680000001</v>
      </c>
      <c r="K98" s="2148">
        <v>3.4703846153846141E-2</v>
      </c>
      <c r="L98" s="2151"/>
      <c r="M98" s="2152">
        <f t="shared" si="175"/>
        <v>113.06456588632155</v>
      </c>
      <c r="N98" s="2149">
        <v>17.286047999999997</v>
      </c>
      <c r="O98" s="2109">
        <f t="shared" si="176"/>
        <v>1.1572875104607487</v>
      </c>
      <c r="P98" s="2109">
        <v>2.0004927455625001</v>
      </c>
      <c r="Q98" s="2109">
        <v>2.7549792068487453</v>
      </c>
      <c r="R98" s="2109">
        <f t="shared" si="156"/>
        <v>4.7622702808589334</v>
      </c>
      <c r="S98" s="2109"/>
      <c r="T98" s="2109"/>
      <c r="U98" s="2109"/>
      <c r="V98" s="2109">
        <f t="shared" si="177"/>
        <v>3.9122667173094938</v>
      </c>
      <c r="W98" s="2109">
        <f t="shared" si="178"/>
        <v>6.7627630264214336</v>
      </c>
      <c r="X98" s="2149">
        <v>15.069873400000001</v>
      </c>
      <c r="Y98" s="2109">
        <f t="shared" si="179"/>
        <v>1.3274781363209729</v>
      </c>
      <c r="Z98" s="2109">
        <v>2.0004927455625001</v>
      </c>
      <c r="AA98" s="2109">
        <v>2.7549792068487453</v>
      </c>
      <c r="AB98" s="2109">
        <f t="shared" si="157"/>
        <v>4.1517187866843006</v>
      </c>
      <c r="AC98" s="2135"/>
      <c r="AD98" s="2135"/>
      <c r="AE98" s="2135"/>
      <c r="AF98" s="2135">
        <f t="shared" si="180"/>
        <v>4.0824573431697182</v>
      </c>
      <c r="AG98" s="2135">
        <f t="shared" si="181"/>
        <v>6.1522115322468007</v>
      </c>
      <c r="AH98" s="2149">
        <v>10.828675200000001</v>
      </c>
      <c r="AI98" s="2109">
        <f t="shared" si="182"/>
        <v>1.8474030374117232</v>
      </c>
      <c r="AJ98" s="2109">
        <v>2.0004927455625001</v>
      </c>
      <c r="AK98" s="2109">
        <v>2.7549792068487453</v>
      </c>
      <c r="AL98" s="2109">
        <f t="shared" si="158"/>
        <v>2.9832775013718682</v>
      </c>
      <c r="AM98" s="2135"/>
      <c r="AN98" s="2135"/>
      <c r="AO98" s="2135"/>
      <c r="AP98" s="2135">
        <f t="shared" si="183"/>
        <v>4.6023822442604683</v>
      </c>
      <c r="AQ98" s="2135">
        <f t="shared" si="184"/>
        <v>4.9837702469343679</v>
      </c>
      <c r="AR98" s="2149">
        <v>12.8816314</v>
      </c>
      <c r="AS98" s="2109">
        <f t="shared" si="185"/>
        <v>1.5529808946112991</v>
      </c>
      <c r="AT98" s="2109">
        <v>2.0004927455625001</v>
      </c>
      <c r="AU98" s="2109">
        <v>2.7549792068487453</v>
      </c>
      <c r="AV98" s="2109">
        <f t="shared" si="159"/>
        <v>3.548862665728989</v>
      </c>
      <c r="AW98" s="2135"/>
      <c r="AX98" s="2135"/>
      <c r="AY98" s="2135"/>
      <c r="AZ98" s="2135">
        <f t="shared" si="186"/>
        <v>4.3079601014600444</v>
      </c>
      <c r="BA98" s="2135">
        <f t="shared" si="187"/>
        <v>5.5493554112914891</v>
      </c>
      <c r="BB98" s="2149">
        <v>12.996778599999999</v>
      </c>
      <c r="BC98" s="2109">
        <f t="shared" si="188"/>
        <v>1.5392219927194115</v>
      </c>
      <c r="BD98" s="2109">
        <v>2.0004927455625001</v>
      </c>
      <c r="BE98" s="2109">
        <v>2.7549792068487453</v>
      </c>
      <c r="BF98" s="2109">
        <f t="shared" si="160"/>
        <v>3.5805854799016741</v>
      </c>
      <c r="BG98" s="2135"/>
      <c r="BH98" s="2135"/>
      <c r="BI98" s="2135"/>
      <c r="BJ98" s="2135">
        <f t="shared" si="189"/>
        <v>4.2942011995681568</v>
      </c>
      <c r="BK98" s="2135">
        <f t="shared" si="190"/>
        <v>5.5810782254641742</v>
      </c>
      <c r="BL98" s="2149">
        <v>6.3736020000000009</v>
      </c>
      <c r="BM98" s="2109">
        <f t="shared" si="191"/>
        <v>3.1387161381625335</v>
      </c>
      <c r="BN98" s="2109">
        <v>2.0004927455625001</v>
      </c>
      <c r="BO98" s="2109">
        <v>2.7549792068487453</v>
      </c>
      <c r="BP98" s="2109">
        <f t="shared" si="161"/>
        <v>1.755914098272958</v>
      </c>
      <c r="BQ98" s="2135"/>
      <c r="BR98" s="2135"/>
      <c r="BS98" s="2135"/>
      <c r="BT98" s="2135">
        <f t="shared" si="192"/>
        <v>5.8936953450112783</v>
      </c>
      <c r="BU98" s="2135">
        <f t="shared" si="193"/>
        <v>3.7564068438354581</v>
      </c>
      <c r="BV98" s="2149">
        <v>3.4422621999999992</v>
      </c>
      <c r="BW98" s="2109">
        <f t="shared" si="194"/>
        <v>5.8115641090980832</v>
      </c>
      <c r="BX98" s="2109">
        <v>2.0004927455625001</v>
      </c>
      <c r="BY98" s="2109">
        <v>2.7549792068487453</v>
      </c>
      <c r="BZ98" s="2109">
        <f t="shared" si="162"/>
        <v>0.94833607855214141</v>
      </c>
      <c r="CA98" s="2135"/>
      <c r="CB98" s="2135"/>
      <c r="CC98" s="2135"/>
      <c r="CD98" s="2135">
        <f t="shared" si="195"/>
        <v>8.5665433159468289</v>
      </c>
      <c r="CE98" s="2135">
        <f t="shared" si="196"/>
        <v>2.9488288241146416</v>
      </c>
      <c r="CF98" s="2149">
        <v>2.5837058000000002</v>
      </c>
      <c r="CG98" s="2109">
        <f t="shared" si="197"/>
        <v>7.7427265347413012</v>
      </c>
      <c r="CH98" s="2109">
        <v>2.0004927455625001</v>
      </c>
      <c r="CI98" s="2109">
        <v>2.7549792068487453</v>
      </c>
      <c r="CJ98" s="2109">
        <f t="shared" si="163"/>
        <v>0.7118055755614503</v>
      </c>
      <c r="CK98" s="2135"/>
      <c r="CL98" s="2135"/>
      <c r="CM98" s="2135"/>
      <c r="CN98" s="2135">
        <f t="shared" si="198"/>
        <v>10.497705741590044</v>
      </c>
      <c r="CO98" s="2135">
        <f t="shared" si="199"/>
        <v>2.7122983211239502</v>
      </c>
      <c r="CP98" s="2149">
        <v>3.414965599999999</v>
      </c>
      <c r="CQ98" s="2109">
        <f t="shared" si="200"/>
        <v>5.8580172683511087</v>
      </c>
      <c r="CR98" s="2109">
        <v>2.0004927455625001</v>
      </c>
      <c r="CS98" s="2109">
        <v>2.7549792068487453</v>
      </c>
      <c r="CT98" s="2109">
        <f t="shared" si="164"/>
        <v>0.94081592201037467</v>
      </c>
      <c r="CU98" s="2135"/>
      <c r="CV98" s="2135"/>
      <c r="CW98" s="2135"/>
      <c r="CX98" s="2135">
        <f t="shared" si="201"/>
        <v>8.6129964751998536</v>
      </c>
      <c r="CY98" s="2135">
        <f t="shared" si="202"/>
        <v>2.9413086675728746</v>
      </c>
      <c r="CZ98" s="2149">
        <v>5.7210029999999996</v>
      </c>
      <c r="DA98" s="2109">
        <f t="shared" si="203"/>
        <v>3.4967517855916181</v>
      </c>
      <c r="DB98" s="2109">
        <v>2.0004927455625001</v>
      </c>
      <c r="DC98" s="2109">
        <v>2.7549792068487453</v>
      </c>
      <c r="DD98" s="2109">
        <f t="shared" si="165"/>
        <v>1.5761244307319291</v>
      </c>
      <c r="DE98" s="2135"/>
      <c r="DF98" s="2135"/>
      <c r="DG98" s="2135"/>
      <c r="DH98" s="2135">
        <f t="shared" si="204"/>
        <v>6.251730992440363</v>
      </c>
      <c r="DI98" s="2135">
        <f t="shared" si="205"/>
        <v>3.5766171762944294</v>
      </c>
      <c r="DJ98" s="2149">
        <v>11.929013400000004</v>
      </c>
      <c r="DK98" s="2109">
        <f t="shared" si="206"/>
        <v>1.6769976514256404</v>
      </c>
      <c r="DL98" s="2109">
        <v>2.0004927455625001</v>
      </c>
      <c r="DM98" s="2109">
        <v>2.7549792068487453</v>
      </c>
      <c r="DN98" s="2109">
        <f t="shared" si="166"/>
        <v>3.2864183875220063</v>
      </c>
      <c r="DO98" s="2135"/>
      <c r="DP98" s="2135"/>
      <c r="DQ98" s="2135"/>
      <c r="DR98" s="2135">
        <f t="shared" si="207"/>
        <v>4.4319768582743855</v>
      </c>
      <c r="DS98" s="2135">
        <f t="shared" si="208"/>
        <v>5.2869111330845069</v>
      </c>
      <c r="DT98" s="2149">
        <v>14.601848200000001</v>
      </c>
      <c r="DU98" s="2109">
        <f t="shared" si="209"/>
        <v>1.3700270802448831</v>
      </c>
      <c r="DV98" s="2109">
        <v>2.0004927455625001</v>
      </c>
      <c r="DW98" s="2109">
        <v>2.7549792068487453</v>
      </c>
      <c r="DX98" s="2109">
        <f t="shared" si="167"/>
        <v>4.022778817256178</v>
      </c>
      <c r="DY98" s="2135"/>
      <c r="DZ98" s="2135"/>
      <c r="EA98" s="2135"/>
      <c r="EB98" s="2135">
        <f t="shared" si="210"/>
        <v>4.1250062870936279</v>
      </c>
      <c r="EC98" s="2135">
        <f t="shared" si="211"/>
        <v>6.0232715628186781</v>
      </c>
      <c r="ED98" s="2135"/>
      <c r="EE98" s="2106">
        <f t="shared" si="212"/>
        <v>117.12940680000001</v>
      </c>
      <c r="EF98" s="2106">
        <f t="shared" si="213"/>
        <v>2.0495205775045382</v>
      </c>
      <c r="EG98" s="2106">
        <f t="shared" si="214"/>
        <v>24.005912946750001</v>
      </c>
      <c r="EH98" s="2106">
        <f t="shared" si="215"/>
        <v>2.7549792068487444</v>
      </c>
      <c r="EI98" s="2106">
        <f t="shared" si="216"/>
        <v>32.268908024452799</v>
      </c>
      <c r="EJ98" s="2106"/>
      <c r="EK98" s="2106"/>
      <c r="EL98" s="2106"/>
      <c r="EM98" s="2106">
        <f t="shared" si="217"/>
        <v>4.8044997843532826</v>
      </c>
      <c r="EN98" s="2106">
        <f t="shared" si="218"/>
        <v>56.2748209712028</v>
      </c>
      <c r="EO98" s="2106">
        <f t="shared" si="219"/>
        <v>4.8044997843532826</v>
      </c>
      <c r="EP98" s="2114">
        <f t="shared" si="220"/>
        <v>4.9772287657110157</v>
      </c>
      <c r="EQ98" s="2224"/>
      <c r="ER98" s="2210"/>
      <c r="ES98" s="2209" t="e">
        <v>#N/A</v>
      </c>
      <c r="ET98" s="2241"/>
      <c r="EU98" s="2230"/>
      <c r="EV98" s="2241"/>
      <c r="EW98" s="2241"/>
      <c r="EX98" s="2241"/>
      <c r="EY98" s="2244"/>
      <c r="EZ98" s="2244"/>
      <c r="FA98" s="2244"/>
      <c r="FB98" s="2242"/>
      <c r="FC98" s="2243"/>
      <c r="FD98" s="2243"/>
      <c r="FE98" s="2243"/>
      <c r="FF98" s="2243"/>
      <c r="FG98" s="2243"/>
      <c r="FH98" s="2243"/>
      <c r="FI98" s="2243"/>
    </row>
    <row r="99" spans="1:165">
      <c r="A99" s="2220">
        <v>9</v>
      </c>
      <c r="B99" s="2145" t="s">
        <v>1731</v>
      </c>
      <c r="C99" s="2146">
        <v>231</v>
      </c>
      <c r="D99" s="2147">
        <f t="shared" si="174"/>
        <v>0.20346320346320346</v>
      </c>
      <c r="E99" s="2146"/>
      <c r="F99" s="2148">
        <v>0.61160437180202798</v>
      </c>
      <c r="G99" s="2146">
        <v>47</v>
      </c>
      <c r="H99" s="2149" t="s">
        <v>1717</v>
      </c>
      <c r="I99" s="2229">
        <v>1</v>
      </c>
      <c r="J99" s="2149">
        <v>219.28064616774193</v>
      </c>
      <c r="K99" s="2148">
        <v>3.4703846153846141E-2</v>
      </c>
      <c r="L99" s="2151"/>
      <c r="M99" s="2152">
        <f t="shared" si="175"/>
        <v>211.67076435862066</v>
      </c>
      <c r="N99" s="2149">
        <v>21.860994999999999</v>
      </c>
      <c r="O99" s="2109">
        <f t="shared" si="176"/>
        <v>2.2900417443545007</v>
      </c>
      <c r="P99" s="2109">
        <v>5.0062591123125015</v>
      </c>
      <c r="Q99" s="2109">
        <v>2.1625576408031155</v>
      </c>
      <c r="R99" s="2109">
        <f t="shared" si="156"/>
        <v>4.7275661772808704</v>
      </c>
      <c r="S99" s="2109"/>
      <c r="T99" s="2109"/>
      <c r="U99" s="2109"/>
      <c r="V99" s="2109">
        <f t="shared" si="177"/>
        <v>4.4525993851576171</v>
      </c>
      <c r="W99" s="2109">
        <f t="shared" si="178"/>
        <v>9.7338252895933728</v>
      </c>
      <c r="X99" s="2149">
        <v>33.158781399999995</v>
      </c>
      <c r="Y99" s="2109">
        <f t="shared" si="179"/>
        <v>1.5097838041516516</v>
      </c>
      <c r="Z99" s="2109">
        <v>5.0062591123125015</v>
      </c>
      <c r="AA99" s="2109">
        <v>2.1625576408031155</v>
      </c>
      <c r="AB99" s="2109">
        <f t="shared" si="157"/>
        <v>7.1707776076290219</v>
      </c>
      <c r="AC99" s="2135"/>
      <c r="AD99" s="2135"/>
      <c r="AE99" s="2135"/>
      <c r="AF99" s="2135">
        <f t="shared" si="180"/>
        <v>3.6723414449547671</v>
      </c>
      <c r="AG99" s="2135">
        <f t="shared" si="181"/>
        <v>12.177036719941523</v>
      </c>
      <c r="AH99" s="2149">
        <v>30.090528000000003</v>
      </c>
      <c r="AI99" s="2109">
        <f t="shared" si="182"/>
        <v>1.6637325580702675</v>
      </c>
      <c r="AJ99" s="2109">
        <v>5.0062591123125015</v>
      </c>
      <c r="AK99" s="2109">
        <v>2.1625576408031155</v>
      </c>
      <c r="AL99" s="2109">
        <f t="shared" si="158"/>
        <v>6.5072501242200094</v>
      </c>
      <c r="AM99" s="2135"/>
      <c r="AN99" s="2135"/>
      <c r="AO99" s="2135"/>
      <c r="AP99" s="2135">
        <f t="shared" si="183"/>
        <v>3.8262901988733828</v>
      </c>
      <c r="AQ99" s="2135">
        <f t="shared" si="184"/>
        <v>11.51350923653251</v>
      </c>
      <c r="AR99" s="2149">
        <v>31.093545600000002</v>
      </c>
      <c r="AS99" s="2109">
        <f t="shared" si="185"/>
        <v>1.6100637658744523</v>
      </c>
      <c r="AT99" s="2109">
        <v>5.0062591123125015</v>
      </c>
      <c r="AU99" s="2109">
        <v>2.1625576408031155</v>
      </c>
      <c r="AV99" s="2109">
        <f t="shared" si="159"/>
        <v>6.7241584616940102</v>
      </c>
      <c r="AW99" s="2135"/>
      <c r="AX99" s="2135"/>
      <c r="AY99" s="2135"/>
      <c r="AZ99" s="2135">
        <f t="shared" si="186"/>
        <v>3.7726214066775681</v>
      </c>
      <c r="BA99" s="2135">
        <f t="shared" si="187"/>
        <v>11.730417574006513</v>
      </c>
      <c r="BB99" s="2149">
        <v>31.093545600000002</v>
      </c>
      <c r="BC99" s="2109">
        <f t="shared" si="188"/>
        <v>1.6100637658744523</v>
      </c>
      <c r="BD99" s="2109">
        <v>5.0062591123125015</v>
      </c>
      <c r="BE99" s="2109">
        <v>2.1625576408031155</v>
      </c>
      <c r="BF99" s="2109">
        <f t="shared" si="160"/>
        <v>6.7241584616940102</v>
      </c>
      <c r="BG99" s="2135"/>
      <c r="BH99" s="2135"/>
      <c r="BI99" s="2135"/>
      <c r="BJ99" s="2135">
        <f t="shared" si="189"/>
        <v>3.7726214066775681</v>
      </c>
      <c r="BK99" s="2135">
        <f t="shared" si="190"/>
        <v>11.730417574006513</v>
      </c>
      <c r="BL99" s="2149">
        <v>28.996872967741936</v>
      </c>
      <c r="BM99" s="2109">
        <f t="shared" si="191"/>
        <v>1.7264824099763445</v>
      </c>
      <c r="BN99" s="2109">
        <v>5.0062591123125015</v>
      </c>
      <c r="BO99" s="2109">
        <v>2.1625576408031155</v>
      </c>
      <c r="BP99" s="2109">
        <f t="shared" si="161"/>
        <v>6.2707409195787633</v>
      </c>
      <c r="BQ99" s="2135"/>
      <c r="BR99" s="2135"/>
      <c r="BS99" s="2135"/>
      <c r="BT99" s="2135">
        <f t="shared" si="192"/>
        <v>3.8890400507794602</v>
      </c>
      <c r="BU99" s="2135">
        <f t="shared" si="193"/>
        <v>11.277000031891266</v>
      </c>
      <c r="BV99" s="2149">
        <v>14.6697918</v>
      </c>
      <c r="BW99" s="2109">
        <f t="shared" si="194"/>
        <v>3.4126313314906769</v>
      </c>
      <c r="BX99" s="2109">
        <v>5.0062591123125015</v>
      </c>
      <c r="BY99" s="2109">
        <v>2.1625576408031155</v>
      </c>
      <c r="BZ99" s="2109">
        <f t="shared" si="162"/>
        <v>3.1724270346080887</v>
      </c>
      <c r="CA99" s="2135"/>
      <c r="CB99" s="2135"/>
      <c r="CC99" s="2135"/>
      <c r="CD99" s="2135">
        <f t="shared" si="195"/>
        <v>5.575188972293792</v>
      </c>
      <c r="CE99" s="2135">
        <f t="shared" si="196"/>
        <v>8.1786861469205903</v>
      </c>
      <c r="CF99" s="2149">
        <v>7.6043895999999993</v>
      </c>
      <c r="CG99" s="2109">
        <f t="shared" si="197"/>
        <v>6.5833806204675547</v>
      </c>
      <c r="CH99" s="2109">
        <v>5.0062591123125015</v>
      </c>
      <c r="CI99" s="2109">
        <v>2.1625576408031155</v>
      </c>
      <c r="CJ99" s="2109">
        <f t="shared" si="163"/>
        <v>1.6444930833123745</v>
      </c>
      <c r="CK99" s="2135"/>
      <c r="CL99" s="2135"/>
      <c r="CM99" s="2135"/>
      <c r="CN99" s="2135">
        <f t="shared" si="198"/>
        <v>8.7459382612706698</v>
      </c>
      <c r="CO99" s="2135">
        <f t="shared" si="199"/>
        <v>6.6507521956248761</v>
      </c>
      <c r="CP99" s="2149">
        <v>5.0024539999999993</v>
      </c>
      <c r="CQ99" s="2109">
        <f t="shared" si="200"/>
        <v>10.007606491359045</v>
      </c>
      <c r="CR99" s="2109">
        <v>5.0062591123125015</v>
      </c>
      <c r="CS99" s="2109">
        <v>2.1625576408031155</v>
      </c>
      <c r="CT99" s="2109">
        <f t="shared" si="164"/>
        <v>1.0818095120466107</v>
      </c>
      <c r="CU99" s="2135"/>
      <c r="CV99" s="2135"/>
      <c r="CW99" s="2135"/>
      <c r="CX99" s="2135">
        <f t="shared" si="201"/>
        <v>12.17016413216216</v>
      </c>
      <c r="CY99" s="2135">
        <f t="shared" si="202"/>
        <v>6.0880686243591118</v>
      </c>
      <c r="CZ99" s="2149">
        <v>4.5391516000000012</v>
      </c>
      <c r="DA99" s="2109">
        <f t="shared" si="203"/>
        <v>11.029063475898228</v>
      </c>
      <c r="DB99" s="2109">
        <v>5.0062591123125015</v>
      </c>
      <c r="DC99" s="2109">
        <v>2.1625576408031155</v>
      </c>
      <c r="DD99" s="2109">
        <f t="shared" si="165"/>
        <v>0.98161769753436889</v>
      </c>
      <c r="DE99" s="2135"/>
      <c r="DF99" s="2135"/>
      <c r="DG99" s="2135"/>
      <c r="DH99" s="2135">
        <f t="shared" si="204"/>
        <v>13.191621116701345</v>
      </c>
      <c r="DI99" s="2135">
        <f t="shared" si="205"/>
        <v>5.9878768098468704</v>
      </c>
      <c r="DJ99" s="2149">
        <v>4.6934530000000008</v>
      </c>
      <c r="DK99" s="2109">
        <f t="shared" si="206"/>
        <v>10.666473302944549</v>
      </c>
      <c r="DL99" s="2109">
        <v>5.0062591123125015</v>
      </c>
      <c r="DM99" s="2109">
        <v>2.1625576408031155</v>
      </c>
      <c r="DN99" s="2109">
        <f t="shared" si="166"/>
        <v>1.0149862646900307</v>
      </c>
      <c r="DO99" s="2135"/>
      <c r="DP99" s="2135"/>
      <c r="DQ99" s="2135"/>
      <c r="DR99" s="2135">
        <f t="shared" si="207"/>
        <v>12.829030943747666</v>
      </c>
      <c r="DS99" s="2135">
        <f t="shared" si="208"/>
        <v>6.0212453770025327</v>
      </c>
      <c r="DT99" s="2149">
        <v>6.4771375999999998</v>
      </c>
      <c r="DU99" s="2109">
        <f t="shared" si="209"/>
        <v>7.7291226796115957</v>
      </c>
      <c r="DV99" s="2109">
        <v>5.0062591123125015</v>
      </c>
      <c r="DW99" s="2109">
        <v>2.1625576408031155</v>
      </c>
      <c r="DX99" s="2109">
        <f t="shared" si="167"/>
        <v>1.4007183407413153</v>
      </c>
      <c r="DY99" s="2135"/>
      <c r="DZ99" s="2135"/>
      <c r="EA99" s="2135"/>
      <c r="EB99" s="2135">
        <f t="shared" si="210"/>
        <v>9.8916803204147108</v>
      </c>
      <c r="EC99" s="2135">
        <f t="shared" si="211"/>
        <v>6.4069774530538171</v>
      </c>
      <c r="ED99" s="2135"/>
      <c r="EE99" s="2106">
        <f t="shared" si="212"/>
        <v>219.28064616774193</v>
      </c>
      <c r="EF99" s="2106">
        <f t="shared" si="213"/>
        <v>2.7396448522773262</v>
      </c>
      <c r="EG99" s="2106">
        <f t="shared" si="214"/>
        <v>60.075109347750008</v>
      </c>
      <c r="EH99" s="2106">
        <f t="shared" si="215"/>
        <v>2.1625576408031155</v>
      </c>
      <c r="EI99" s="2106">
        <f t="shared" si="216"/>
        <v>47.420703685029473</v>
      </c>
      <c r="EJ99" s="2106"/>
      <c r="EK99" s="2106"/>
      <c r="EL99" s="2106"/>
      <c r="EM99" s="2106">
        <f t="shared" si="217"/>
        <v>4.9022024930804422</v>
      </c>
      <c r="EN99" s="2106">
        <f t="shared" si="218"/>
        <v>107.49581303277948</v>
      </c>
      <c r="EO99" s="2106">
        <f t="shared" si="219"/>
        <v>4.9022024930804422</v>
      </c>
      <c r="EP99" s="2114">
        <f t="shared" si="220"/>
        <v>5.0784440335206602</v>
      </c>
      <c r="EQ99" s="2224"/>
      <c r="ER99" s="2210"/>
      <c r="ES99" s="2209" t="e">
        <v>#N/A</v>
      </c>
      <c r="ET99" s="2241"/>
      <c r="EU99" s="2230"/>
      <c r="EV99" s="2241"/>
      <c r="EW99" s="2241"/>
      <c r="EX99" s="2241"/>
      <c r="EY99" s="2244"/>
      <c r="EZ99" s="2244"/>
      <c r="FA99" s="2244"/>
      <c r="FB99" s="2242"/>
      <c r="FC99" s="2243"/>
      <c r="FD99" s="2243"/>
      <c r="FE99" s="2243"/>
      <c r="FF99" s="2243"/>
      <c r="FG99" s="2243"/>
      <c r="FH99" s="2243"/>
      <c r="FI99" s="2243"/>
    </row>
    <row r="100" spans="1:165">
      <c r="A100" s="2220">
        <v>10</v>
      </c>
      <c r="B100" s="2145" t="s">
        <v>1732</v>
      </c>
      <c r="C100" s="2146">
        <v>240</v>
      </c>
      <c r="D100" s="2147">
        <f t="shared" si="174"/>
        <v>0.21249999999999999</v>
      </c>
      <c r="E100" s="2146"/>
      <c r="F100" s="2148">
        <v>0.64842909563674533</v>
      </c>
      <c r="G100" s="2146">
        <v>51</v>
      </c>
      <c r="H100" s="2149" t="s">
        <v>1717</v>
      </c>
      <c r="I100" s="2229">
        <v>1</v>
      </c>
      <c r="J100" s="2149">
        <v>319.6263267290322</v>
      </c>
      <c r="K100" s="2148">
        <v>3.4703846153846141E-2</v>
      </c>
      <c r="L100" s="2151"/>
      <c r="M100" s="2152">
        <f t="shared" si="175"/>
        <v>308.53406385950893</v>
      </c>
      <c r="N100" s="2149">
        <v>32.651423999999999</v>
      </c>
      <c r="O100" s="2109">
        <f t="shared" si="176"/>
        <v>2.1287065680504473</v>
      </c>
      <c r="P100" s="2109">
        <v>6.9505300725000012</v>
      </c>
      <c r="Q100" s="2109">
        <v>2.060266530558712</v>
      </c>
      <c r="R100" s="2109">
        <f t="shared" si="156"/>
        <v>6.7270636042281469</v>
      </c>
      <c r="S100" s="2109"/>
      <c r="T100" s="2109"/>
      <c r="U100" s="2109"/>
      <c r="V100" s="2109">
        <f t="shared" si="177"/>
        <v>4.1889730986091598</v>
      </c>
      <c r="W100" s="2109">
        <f t="shared" si="178"/>
        <v>13.677593676728147</v>
      </c>
      <c r="X100" s="2149">
        <v>33.739804799999995</v>
      </c>
      <c r="Y100" s="2109">
        <f t="shared" si="179"/>
        <v>2.0600386142423686</v>
      </c>
      <c r="Z100" s="2109">
        <v>6.9505300725000012</v>
      </c>
      <c r="AA100" s="2109">
        <v>2.060266530558712</v>
      </c>
      <c r="AB100" s="2109">
        <f t="shared" si="157"/>
        <v>6.9512990577024167</v>
      </c>
      <c r="AC100" s="2135"/>
      <c r="AD100" s="2135"/>
      <c r="AE100" s="2135"/>
      <c r="AF100" s="2135">
        <f t="shared" si="180"/>
        <v>4.1203051448010815</v>
      </c>
      <c r="AG100" s="2135">
        <f t="shared" si="181"/>
        <v>13.901829130202419</v>
      </c>
      <c r="AH100" s="2149">
        <v>32.651423999999999</v>
      </c>
      <c r="AI100" s="2109">
        <f t="shared" si="182"/>
        <v>2.1287065680504473</v>
      </c>
      <c r="AJ100" s="2109">
        <v>6.9505300725000012</v>
      </c>
      <c r="AK100" s="2109">
        <v>2.060266530558712</v>
      </c>
      <c r="AL100" s="2109">
        <f t="shared" si="158"/>
        <v>6.7270636042281469</v>
      </c>
      <c r="AM100" s="2135"/>
      <c r="AN100" s="2135"/>
      <c r="AO100" s="2135"/>
      <c r="AP100" s="2135">
        <f t="shared" si="183"/>
        <v>4.1889730986091598</v>
      </c>
      <c r="AQ100" s="2135">
        <f t="shared" si="184"/>
        <v>13.677593676728147</v>
      </c>
      <c r="AR100" s="2149">
        <v>33.739804799999995</v>
      </c>
      <c r="AS100" s="2109">
        <f t="shared" si="185"/>
        <v>2.0600386142423686</v>
      </c>
      <c r="AT100" s="2109">
        <v>6.9505300725000012</v>
      </c>
      <c r="AU100" s="2109">
        <v>2.060266530558712</v>
      </c>
      <c r="AV100" s="2109">
        <f t="shared" si="159"/>
        <v>6.9512990577024167</v>
      </c>
      <c r="AW100" s="2135"/>
      <c r="AX100" s="2135"/>
      <c r="AY100" s="2135"/>
      <c r="AZ100" s="2135">
        <f t="shared" si="186"/>
        <v>4.1203051448010815</v>
      </c>
      <c r="BA100" s="2135">
        <f t="shared" si="187"/>
        <v>13.901829130202419</v>
      </c>
      <c r="BB100" s="2149">
        <v>33.739804799999995</v>
      </c>
      <c r="BC100" s="2109">
        <f t="shared" si="188"/>
        <v>2.0600386142423686</v>
      </c>
      <c r="BD100" s="2109">
        <v>6.9505300725000012</v>
      </c>
      <c r="BE100" s="2109">
        <v>2.060266530558712</v>
      </c>
      <c r="BF100" s="2109">
        <f t="shared" si="160"/>
        <v>6.9512990577024167</v>
      </c>
      <c r="BG100" s="2135"/>
      <c r="BH100" s="2135"/>
      <c r="BI100" s="2135"/>
      <c r="BJ100" s="2135">
        <f t="shared" si="189"/>
        <v>4.1203051448010815</v>
      </c>
      <c r="BK100" s="2135">
        <f t="shared" si="190"/>
        <v>13.901829130202419</v>
      </c>
      <c r="BL100" s="2149">
        <v>30.843854129032263</v>
      </c>
      <c r="BM100" s="2109">
        <f t="shared" si="191"/>
        <v>2.253457056119879</v>
      </c>
      <c r="BN100" s="2109">
        <v>6.9505300725000012</v>
      </c>
      <c r="BO100" s="2109">
        <v>2.060266530558712</v>
      </c>
      <c r="BP100" s="2109">
        <f t="shared" si="161"/>
        <v>6.3546560335480304</v>
      </c>
      <c r="BQ100" s="2135"/>
      <c r="BR100" s="2135"/>
      <c r="BS100" s="2135"/>
      <c r="BT100" s="2135">
        <f t="shared" si="192"/>
        <v>4.3137235866785915</v>
      </c>
      <c r="BU100" s="2135">
        <f t="shared" si="193"/>
        <v>13.305186106048032</v>
      </c>
      <c r="BV100" s="2149">
        <v>16.7462278</v>
      </c>
      <c r="BW100" s="2109">
        <f t="shared" si="194"/>
        <v>4.1505049110224101</v>
      </c>
      <c r="BX100" s="2109">
        <v>6.9505300725000012</v>
      </c>
      <c r="BY100" s="2109">
        <v>2.060266530558712</v>
      </c>
      <c r="BZ100" s="2109">
        <f t="shared" si="162"/>
        <v>3.4501692649451856</v>
      </c>
      <c r="CA100" s="2135"/>
      <c r="CB100" s="2135"/>
      <c r="CC100" s="2135"/>
      <c r="CD100" s="2135">
        <f t="shared" si="195"/>
        <v>6.2107714415811222</v>
      </c>
      <c r="CE100" s="2135">
        <f t="shared" si="196"/>
        <v>10.400699337445186</v>
      </c>
      <c r="CF100" s="2149">
        <v>18.091436399999999</v>
      </c>
      <c r="CG100" s="2109">
        <f t="shared" si="197"/>
        <v>3.8418895652199296</v>
      </c>
      <c r="CH100" s="2109">
        <v>6.9505300725000012</v>
      </c>
      <c r="CI100" s="2109">
        <v>2.060266530558712</v>
      </c>
      <c r="CJ100" s="2109">
        <f t="shared" si="163"/>
        <v>3.7273180904651597</v>
      </c>
      <c r="CK100" s="2135"/>
      <c r="CL100" s="2135"/>
      <c r="CM100" s="2135"/>
      <c r="CN100" s="2135">
        <f t="shared" si="198"/>
        <v>5.9021560957786425</v>
      </c>
      <c r="CO100" s="2135">
        <f t="shared" si="199"/>
        <v>10.67784816296516</v>
      </c>
      <c r="CP100" s="2149">
        <v>15.342004399999999</v>
      </c>
      <c r="CQ100" s="2109">
        <f t="shared" si="200"/>
        <v>4.5303924384873735</v>
      </c>
      <c r="CR100" s="2109">
        <v>6.9505300725000012</v>
      </c>
      <c r="CS100" s="2109">
        <v>2.060266530558712</v>
      </c>
      <c r="CT100" s="2109">
        <f t="shared" si="164"/>
        <v>3.1608618177004493</v>
      </c>
      <c r="CU100" s="2135"/>
      <c r="CV100" s="2135"/>
      <c r="CW100" s="2135"/>
      <c r="CX100" s="2135">
        <f t="shared" si="201"/>
        <v>6.5906589690460855</v>
      </c>
      <c r="CY100" s="2135">
        <f t="shared" si="202"/>
        <v>10.111391890200451</v>
      </c>
      <c r="CZ100" s="2149">
        <v>15.976077399999998</v>
      </c>
      <c r="DA100" s="2109">
        <f t="shared" si="203"/>
        <v>4.3505861285449221</v>
      </c>
      <c r="DB100" s="2109">
        <v>6.9505300725000012</v>
      </c>
      <c r="DC100" s="2109">
        <v>2.060266530558712</v>
      </c>
      <c r="DD100" s="2109">
        <f t="shared" si="165"/>
        <v>3.2914977556835447</v>
      </c>
      <c r="DE100" s="2135"/>
      <c r="DF100" s="2135"/>
      <c r="DG100" s="2135"/>
      <c r="DH100" s="2135">
        <f t="shared" si="204"/>
        <v>6.4108526591036341</v>
      </c>
      <c r="DI100" s="2135">
        <f t="shared" si="205"/>
        <v>10.242027828183545</v>
      </c>
      <c r="DJ100" s="2149">
        <v>22.483835399999997</v>
      </c>
      <c r="DK100" s="2109">
        <f t="shared" si="206"/>
        <v>3.0913453816247038</v>
      </c>
      <c r="DL100" s="2109">
        <v>6.9505300725000012</v>
      </c>
      <c r="DM100" s="2109">
        <v>2.060266530558712</v>
      </c>
      <c r="DN100" s="2109">
        <f t="shared" si="166"/>
        <v>4.6322693553211147</v>
      </c>
      <c r="DO100" s="2135"/>
      <c r="DP100" s="2135"/>
      <c r="DQ100" s="2135"/>
      <c r="DR100" s="2135">
        <f t="shared" si="207"/>
        <v>5.1516119121834159</v>
      </c>
      <c r="DS100" s="2135">
        <f t="shared" si="208"/>
        <v>11.582799427821115</v>
      </c>
      <c r="DT100" s="2149">
        <v>33.620628799999999</v>
      </c>
      <c r="DU100" s="2109">
        <f t="shared" si="209"/>
        <v>2.0673408917622629</v>
      </c>
      <c r="DV100" s="2109">
        <v>6.9505300725000012</v>
      </c>
      <c r="DW100" s="2109">
        <v>2.060266530558712</v>
      </c>
      <c r="DX100" s="2109">
        <f t="shared" si="167"/>
        <v>6.9267456252978308</v>
      </c>
      <c r="DY100" s="2135"/>
      <c r="DZ100" s="2135"/>
      <c r="EA100" s="2135"/>
      <c r="EB100" s="2135">
        <f t="shared" si="210"/>
        <v>4.1276074223209749</v>
      </c>
      <c r="EC100" s="2135">
        <f t="shared" si="211"/>
        <v>13.877275697797831</v>
      </c>
      <c r="ED100" s="2135"/>
      <c r="EE100" s="2106">
        <f t="shared" si="212"/>
        <v>319.6263267290322</v>
      </c>
      <c r="EF100" s="2106">
        <f t="shared" si="213"/>
        <v>2.609495961223149</v>
      </c>
      <c r="EG100" s="2106">
        <f t="shared" si="214"/>
        <v>83.406360870000015</v>
      </c>
      <c r="EH100" s="2106">
        <f t="shared" si="215"/>
        <v>2.0602665305587125</v>
      </c>
      <c r="EI100" s="2106">
        <f t="shared" si="216"/>
        <v>65.851542324524857</v>
      </c>
      <c r="EJ100" s="2106"/>
      <c r="EK100" s="2106"/>
      <c r="EL100" s="2106"/>
      <c r="EM100" s="2106">
        <f t="shared" si="217"/>
        <v>4.6697624917818619</v>
      </c>
      <c r="EN100" s="2106">
        <f t="shared" si="218"/>
        <v>149.25790319452489</v>
      </c>
      <c r="EO100" s="2106">
        <f t="shared" si="219"/>
        <v>4.6697624917818619</v>
      </c>
      <c r="EP100" s="2114">
        <f t="shared" si="220"/>
        <v>4.8376474651592929</v>
      </c>
      <c r="EQ100" s="2224"/>
      <c r="ER100" s="2210"/>
      <c r="ES100" s="2209" t="e">
        <v>#N/A</v>
      </c>
      <c r="ET100" s="2241"/>
      <c r="EU100" s="2230"/>
      <c r="EV100" s="2241"/>
      <c r="EW100" s="2241"/>
      <c r="EX100" s="2241"/>
      <c r="EY100" s="2244"/>
      <c r="EZ100" s="2244"/>
      <c r="FA100" s="2244"/>
      <c r="FB100" s="2242"/>
      <c r="FC100" s="2243"/>
      <c r="FD100" s="2243"/>
      <c r="FE100" s="2243"/>
      <c r="FF100" s="2243"/>
      <c r="FG100" s="2243"/>
      <c r="FH100" s="2243"/>
      <c r="FI100" s="2243"/>
    </row>
    <row r="101" spans="1:165">
      <c r="A101" s="2220">
        <v>11</v>
      </c>
      <c r="B101" s="2145" t="s">
        <v>1733</v>
      </c>
      <c r="C101" s="2146">
        <v>520</v>
      </c>
      <c r="D101" s="2147">
        <f t="shared" si="174"/>
        <v>0.26538461538461539</v>
      </c>
      <c r="E101" s="2146"/>
      <c r="F101" s="2148">
        <v>0.13538579369214582</v>
      </c>
      <c r="G101" s="2146">
        <v>138</v>
      </c>
      <c r="H101" s="2149" t="s">
        <v>1717</v>
      </c>
      <c r="I101" s="2229">
        <v>1</v>
      </c>
      <c r="J101" s="2149">
        <v>160.93167825806449</v>
      </c>
      <c r="K101" s="2148">
        <v>3.4703846153846141E-2</v>
      </c>
      <c r="L101" s="2151"/>
      <c r="M101" s="2152">
        <f t="shared" si="175"/>
        <v>155.34673005451637</v>
      </c>
      <c r="N101" s="2149">
        <v>6.6826279999999985</v>
      </c>
      <c r="O101" s="2109">
        <f t="shared" si="176"/>
        <v>9.2902147637501322</v>
      </c>
      <c r="P101" s="2109">
        <v>6.2083049306250011</v>
      </c>
      <c r="Q101" s="2109">
        <v>1.8079400132004968</v>
      </c>
      <c r="R101" s="2109">
        <f t="shared" si="156"/>
        <v>1.2081790554534007</v>
      </c>
      <c r="S101" s="2109"/>
      <c r="T101" s="2109"/>
      <c r="U101" s="2109"/>
      <c r="V101" s="2109">
        <f t="shared" si="177"/>
        <v>11.098154776950631</v>
      </c>
      <c r="W101" s="2109">
        <f t="shared" si="178"/>
        <v>7.4164839860784015</v>
      </c>
      <c r="X101" s="2149">
        <v>12.033374199999999</v>
      </c>
      <c r="Y101" s="2109">
        <f t="shared" si="179"/>
        <v>5.1592386536313324</v>
      </c>
      <c r="Z101" s="2109">
        <v>6.2083049306250011</v>
      </c>
      <c r="AA101" s="2109">
        <v>1.8079400132004968</v>
      </c>
      <c r="AB101" s="2109">
        <f t="shared" si="157"/>
        <v>2.1755618709994513</v>
      </c>
      <c r="AC101" s="2135"/>
      <c r="AD101" s="2135"/>
      <c r="AE101" s="2135"/>
      <c r="AF101" s="2135">
        <f t="shared" si="180"/>
        <v>6.9671786668318303</v>
      </c>
      <c r="AG101" s="2135">
        <f t="shared" si="181"/>
        <v>8.3838668016244533</v>
      </c>
      <c r="AH101" s="2149">
        <v>20.674981200000001</v>
      </c>
      <c r="AI101" s="2109">
        <f t="shared" si="182"/>
        <v>3.0028104357478207</v>
      </c>
      <c r="AJ101" s="2109">
        <v>6.2083049306250011</v>
      </c>
      <c r="AK101" s="2109">
        <v>1.8079400132004968</v>
      </c>
      <c r="AL101" s="2109">
        <f t="shared" si="158"/>
        <v>3.7379125783648028</v>
      </c>
      <c r="AM101" s="2135"/>
      <c r="AN101" s="2135"/>
      <c r="AO101" s="2135"/>
      <c r="AP101" s="2135">
        <f t="shared" si="183"/>
        <v>4.8107504489483173</v>
      </c>
      <c r="AQ101" s="2135">
        <f t="shared" si="184"/>
        <v>9.9462175089898039</v>
      </c>
      <c r="AR101" s="2149">
        <v>38.041665199999997</v>
      </c>
      <c r="AS101" s="2109">
        <f t="shared" si="185"/>
        <v>1.6319750720651949</v>
      </c>
      <c r="AT101" s="2109">
        <v>6.2083049306250011</v>
      </c>
      <c r="AU101" s="2109">
        <v>1.8079400132004968</v>
      </c>
      <c r="AV101" s="2109">
        <f t="shared" si="159"/>
        <v>6.8777048683856874</v>
      </c>
      <c r="AW101" s="2135"/>
      <c r="AX101" s="2135"/>
      <c r="AY101" s="2135"/>
      <c r="AZ101" s="2135">
        <f t="shared" si="186"/>
        <v>3.4399150852656919</v>
      </c>
      <c r="BA101" s="2135">
        <f t="shared" si="187"/>
        <v>13.086009799010689</v>
      </c>
      <c r="BB101" s="2149">
        <v>37.420922400000002</v>
      </c>
      <c r="BC101" s="2109">
        <f t="shared" si="188"/>
        <v>1.6590464725222809</v>
      </c>
      <c r="BD101" s="2109">
        <v>6.2083049306250011</v>
      </c>
      <c r="BE101" s="2109">
        <v>1.8079400132004968</v>
      </c>
      <c r="BF101" s="2109">
        <f t="shared" si="160"/>
        <v>6.7654782937830777</v>
      </c>
      <c r="BG101" s="2135"/>
      <c r="BH101" s="2135"/>
      <c r="BI101" s="2135"/>
      <c r="BJ101" s="2135">
        <f t="shared" si="189"/>
        <v>3.4669864857227779</v>
      </c>
      <c r="BK101" s="2135">
        <f t="shared" si="190"/>
        <v>12.973783224408079</v>
      </c>
      <c r="BL101" s="2149">
        <v>21.330244258064514</v>
      </c>
      <c r="BM101" s="2109">
        <f t="shared" si="191"/>
        <v>2.9105643871273399</v>
      </c>
      <c r="BN101" s="2109">
        <v>6.2083049306250011</v>
      </c>
      <c r="BO101" s="2109">
        <v>1.8079400132004968</v>
      </c>
      <c r="BP101" s="2109">
        <f t="shared" si="161"/>
        <v>3.8563802085494978</v>
      </c>
      <c r="BQ101" s="2135"/>
      <c r="BR101" s="2135"/>
      <c r="BS101" s="2135"/>
      <c r="BT101" s="2135">
        <f t="shared" si="192"/>
        <v>4.7185044003278369</v>
      </c>
      <c r="BU101" s="2135">
        <f t="shared" si="193"/>
        <v>10.064685139174498</v>
      </c>
      <c r="BV101" s="2149">
        <v>8.8491405999999984</v>
      </c>
      <c r="BW101" s="2109">
        <f t="shared" si="194"/>
        <v>7.0157150973790641</v>
      </c>
      <c r="BX101" s="2109">
        <v>6.2083049306250011</v>
      </c>
      <c r="BY101" s="2109">
        <v>1.8079400132004968</v>
      </c>
      <c r="BZ101" s="2109">
        <f t="shared" si="162"/>
        <v>1.5998715373177048</v>
      </c>
      <c r="CA101" s="2135"/>
      <c r="CB101" s="2135"/>
      <c r="CC101" s="2135"/>
      <c r="CD101" s="2135">
        <f t="shared" si="195"/>
        <v>8.8236551105795602</v>
      </c>
      <c r="CE101" s="2135">
        <f t="shared" si="196"/>
        <v>7.8081764679427064</v>
      </c>
      <c r="CF101" s="2149">
        <v>4.6709897999999992</v>
      </c>
      <c r="CG101" s="2109">
        <f t="shared" si="197"/>
        <v>13.291197789866727</v>
      </c>
      <c r="CH101" s="2109">
        <v>6.2083049306250011</v>
      </c>
      <c r="CI101" s="2109">
        <v>1.8079400132004968</v>
      </c>
      <c r="CJ101" s="2109">
        <f t="shared" si="163"/>
        <v>0.84448693606713854</v>
      </c>
      <c r="CK101" s="2135"/>
      <c r="CL101" s="2135"/>
      <c r="CM101" s="2135"/>
      <c r="CN101" s="2135">
        <f t="shared" si="198"/>
        <v>15.099137803067222</v>
      </c>
      <c r="CO101" s="2135">
        <f t="shared" si="199"/>
        <v>7.0527918666921394</v>
      </c>
      <c r="CP101" s="2149">
        <v>3.1947926</v>
      </c>
      <c r="CQ101" s="2109">
        <f t="shared" si="200"/>
        <v>19.432575781679851</v>
      </c>
      <c r="CR101" s="2109">
        <v>6.2083049306250011</v>
      </c>
      <c r="CS101" s="2109">
        <v>1.8079400132004968</v>
      </c>
      <c r="CT101" s="2109">
        <f t="shared" si="164"/>
        <v>0.57759933754168491</v>
      </c>
      <c r="CU101" s="2135"/>
      <c r="CV101" s="2135"/>
      <c r="CW101" s="2135"/>
      <c r="CX101" s="2135">
        <f t="shared" si="201"/>
        <v>21.240515794880352</v>
      </c>
      <c r="CY101" s="2135">
        <f t="shared" si="202"/>
        <v>6.7859042681666857</v>
      </c>
      <c r="CZ101" s="2149">
        <v>2.9422677499999992</v>
      </c>
      <c r="DA101" s="2109">
        <f t="shared" si="203"/>
        <v>21.100407774326463</v>
      </c>
      <c r="DB101" s="2109">
        <v>6.2083049306250011</v>
      </c>
      <c r="DC101" s="2109">
        <v>1.8079400132004968</v>
      </c>
      <c r="DD101" s="2109">
        <f t="shared" si="165"/>
        <v>0.53194435947743945</v>
      </c>
      <c r="DE101" s="2135"/>
      <c r="DF101" s="2135"/>
      <c r="DG101" s="2135"/>
      <c r="DH101" s="2135">
        <f t="shared" si="204"/>
        <v>22.90834778752696</v>
      </c>
      <c r="DI101" s="2135">
        <f t="shared" si="205"/>
        <v>6.7402492901024402</v>
      </c>
      <c r="DJ101" s="2149">
        <v>1.9362680000000001</v>
      </c>
      <c r="DK101" s="2109">
        <f t="shared" si="206"/>
        <v>32.063252249301236</v>
      </c>
      <c r="DL101" s="2109">
        <v>6.2083049306250011</v>
      </c>
      <c r="DM101" s="2109">
        <v>1.8079400132004968</v>
      </c>
      <c r="DN101" s="2109">
        <f t="shared" si="166"/>
        <v>0.35006563934796997</v>
      </c>
      <c r="DO101" s="2135"/>
      <c r="DP101" s="2135"/>
      <c r="DQ101" s="2135"/>
      <c r="DR101" s="2135">
        <f t="shared" si="207"/>
        <v>33.871192262501737</v>
      </c>
      <c r="DS101" s="2135">
        <f t="shared" si="208"/>
        <v>6.5583705699729711</v>
      </c>
      <c r="DT101" s="2149">
        <v>3.1544042500000007</v>
      </c>
      <c r="DU101" s="2109">
        <f t="shared" si="209"/>
        <v>19.681386526869534</v>
      </c>
      <c r="DV101" s="2109">
        <v>6.2083049306250011</v>
      </c>
      <c r="DW101" s="2109">
        <v>1.8079400132004968</v>
      </c>
      <c r="DX101" s="2109">
        <f t="shared" si="167"/>
        <v>0.57029736613847049</v>
      </c>
      <c r="DY101" s="2135"/>
      <c r="DZ101" s="2135"/>
      <c r="EA101" s="2135"/>
      <c r="EB101" s="2135">
        <f t="shared" si="210"/>
        <v>21.489326540070032</v>
      </c>
      <c r="EC101" s="2135">
        <f t="shared" si="211"/>
        <v>6.7786022967634718</v>
      </c>
      <c r="ED101" s="2135"/>
      <c r="EE101" s="2106">
        <f t="shared" si="212"/>
        <v>160.93167825806449</v>
      </c>
      <c r="EF101" s="2106">
        <f t="shared" si="213"/>
        <v>4.6292724946318486</v>
      </c>
      <c r="EG101" s="2106">
        <f t="shared" si="214"/>
        <v>74.499659167500027</v>
      </c>
      <c r="EH101" s="2106">
        <f t="shared" si="215"/>
        <v>1.807940013200497</v>
      </c>
      <c r="EI101" s="2106">
        <f t="shared" si="216"/>
        <v>29.095482051426323</v>
      </c>
      <c r="EJ101" s="2106"/>
      <c r="EK101" s="2106"/>
      <c r="EL101" s="2106"/>
      <c r="EM101" s="2106">
        <f t="shared" si="217"/>
        <v>6.4372125078323457</v>
      </c>
      <c r="EN101" s="2106">
        <f t="shared" si="218"/>
        <v>103.59514121892636</v>
      </c>
      <c r="EO101" s="2106">
        <f t="shared" si="219"/>
        <v>6.4372125078323457</v>
      </c>
      <c r="EP101" s="2114">
        <f t="shared" si="220"/>
        <v>6.6686399631695723</v>
      </c>
      <c r="EQ101" s="2224"/>
      <c r="ER101" s="2210"/>
      <c r="ES101" s="2209" t="e">
        <v>#N/A</v>
      </c>
      <c r="ET101" s="2241"/>
      <c r="EU101" s="2230"/>
      <c r="EV101" s="2241"/>
      <c r="EW101" s="2241"/>
      <c r="EX101" s="2241"/>
      <c r="EY101" s="2244"/>
      <c r="EZ101" s="2244"/>
      <c r="FA101" s="2244"/>
      <c r="FB101" s="2242"/>
      <c r="FC101" s="2243"/>
      <c r="FD101" s="2243"/>
      <c r="FE101" s="2243"/>
      <c r="FF101" s="2243"/>
      <c r="FG101" s="2243"/>
      <c r="FH101" s="2243"/>
      <c r="FI101" s="2243"/>
    </row>
    <row r="102" spans="1:165">
      <c r="A102" s="2220">
        <v>12</v>
      </c>
      <c r="B102" s="2145" t="s">
        <v>1734</v>
      </c>
      <c r="C102" s="2146">
        <v>330</v>
      </c>
      <c r="D102" s="2147">
        <f t="shared" si="174"/>
        <v>0.41696969696969693</v>
      </c>
      <c r="E102" s="2146"/>
      <c r="F102" s="2148">
        <v>0.3207953972413774</v>
      </c>
      <c r="G102" s="2146">
        <v>137.6</v>
      </c>
      <c r="H102" s="2149" t="s">
        <v>1717</v>
      </c>
      <c r="I102" s="2229">
        <v>1</v>
      </c>
      <c r="J102" s="2149">
        <v>463.52728057526883</v>
      </c>
      <c r="K102" s="2148">
        <v>3.4703846153846141E-2</v>
      </c>
      <c r="L102" s="2151"/>
      <c r="M102" s="2152">
        <f t="shared" si="175"/>
        <v>447.44110114207405</v>
      </c>
      <c r="N102" s="2149">
        <v>45.636572000000001</v>
      </c>
      <c r="O102" s="2109">
        <f t="shared" si="176"/>
        <v>1.9364681438633249</v>
      </c>
      <c r="P102" s="2109">
        <v>8.8373767873124986</v>
      </c>
      <c r="Q102" s="2109">
        <v>2.1965030169131476</v>
      </c>
      <c r="R102" s="2109">
        <f t="shared" si="156"/>
        <v>10.024086807957408</v>
      </c>
      <c r="S102" s="2109"/>
      <c r="T102" s="2109"/>
      <c r="U102" s="2109"/>
      <c r="V102" s="2109">
        <f t="shared" si="177"/>
        <v>4.1329711607764725</v>
      </c>
      <c r="W102" s="2109">
        <f t="shared" si="178"/>
        <v>18.861463595269907</v>
      </c>
      <c r="X102" s="2149">
        <v>61.82110366666668</v>
      </c>
      <c r="Y102" s="2109">
        <f t="shared" si="179"/>
        <v>1.4295080907909321</v>
      </c>
      <c r="Z102" s="2109">
        <v>8.8373767873124986</v>
      </c>
      <c r="AA102" s="2109">
        <v>2.1965030169131476</v>
      </c>
      <c r="AB102" s="2109">
        <f t="shared" si="157"/>
        <v>13.579024071273381</v>
      </c>
      <c r="AC102" s="2135"/>
      <c r="AD102" s="2135"/>
      <c r="AE102" s="2135"/>
      <c r="AF102" s="2135">
        <f t="shared" si="180"/>
        <v>3.6260111077040804</v>
      </c>
      <c r="AG102" s="2135">
        <f t="shared" si="181"/>
        <v>22.416400858585881</v>
      </c>
      <c r="AH102" s="2149">
        <v>61.776659666666667</v>
      </c>
      <c r="AI102" s="2109">
        <f t="shared" si="182"/>
        <v>1.4305365222071003</v>
      </c>
      <c r="AJ102" s="2109">
        <v>8.8373767873124986</v>
      </c>
      <c r="AK102" s="2109">
        <v>2.1965030169131476</v>
      </c>
      <c r="AL102" s="2109">
        <f t="shared" si="158"/>
        <v>13.569261933265011</v>
      </c>
      <c r="AM102" s="2135"/>
      <c r="AN102" s="2135"/>
      <c r="AO102" s="2135"/>
      <c r="AP102" s="2135">
        <f t="shared" si="183"/>
        <v>3.6270395391202488</v>
      </c>
      <c r="AQ102" s="2135">
        <f t="shared" si="184"/>
        <v>22.406638720577511</v>
      </c>
      <c r="AR102" s="2149">
        <v>78.156148750000014</v>
      </c>
      <c r="AS102" s="2109">
        <f t="shared" si="185"/>
        <v>1.1307334008461487</v>
      </c>
      <c r="AT102" s="2109">
        <v>8.8373767873124986</v>
      </c>
      <c r="AU102" s="2109">
        <v>2.1965030169131476</v>
      </c>
      <c r="AV102" s="2109">
        <f t="shared" si="159"/>
        <v>17.167021651968774</v>
      </c>
      <c r="AW102" s="2135"/>
      <c r="AX102" s="2135"/>
      <c r="AY102" s="2135"/>
      <c r="AZ102" s="2135">
        <f t="shared" si="186"/>
        <v>3.3272364177592961</v>
      </c>
      <c r="BA102" s="2135">
        <f t="shared" si="187"/>
        <v>26.004398439281275</v>
      </c>
      <c r="BB102" s="2149">
        <v>59.006464500000014</v>
      </c>
      <c r="BC102" s="2109">
        <f t="shared" si="188"/>
        <v>1.4976963731342516</v>
      </c>
      <c r="BD102" s="2109">
        <v>8.8373767873124986</v>
      </c>
      <c r="BE102" s="2109">
        <v>2.1965030169131476</v>
      </c>
      <c r="BF102" s="2109">
        <f t="shared" si="160"/>
        <v>12.960787729162856</v>
      </c>
      <c r="BG102" s="2135"/>
      <c r="BH102" s="2135"/>
      <c r="BI102" s="2135"/>
      <c r="BJ102" s="2135">
        <f t="shared" si="189"/>
        <v>3.6941993900473986</v>
      </c>
      <c r="BK102" s="2135">
        <f t="shared" si="190"/>
        <v>21.798164516475353</v>
      </c>
      <c r="BL102" s="2149">
        <v>43.706569741935482</v>
      </c>
      <c r="BM102" s="2109">
        <f t="shared" si="191"/>
        <v>2.0219790387332166</v>
      </c>
      <c r="BN102" s="2109">
        <v>8.8373767873124986</v>
      </c>
      <c r="BO102" s="2109">
        <v>2.1965030169131476</v>
      </c>
      <c r="BP102" s="2109">
        <f t="shared" si="161"/>
        <v>9.6001612297086183</v>
      </c>
      <c r="BQ102" s="2135"/>
      <c r="BR102" s="2135"/>
      <c r="BS102" s="2135"/>
      <c r="BT102" s="2135">
        <f t="shared" si="192"/>
        <v>4.2184820556463638</v>
      </c>
      <c r="BU102" s="2135">
        <f t="shared" si="193"/>
        <v>18.437538017021119</v>
      </c>
      <c r="BV102" s="2149">
        <v>28.141102333333336</v>
      </c>
      <c r="BW102" s="2109">
        <f t="shared" si="194"/>
        <v>3.1403804593839819</v>
      </c>
      <c r="BX102" s="2109">
        <v>8.8373767873124986</v>
      </c>
      <c r="BY102" s="2109">
        <v>2.1965030169131476</v>
      </c>
      <c r="BZ102" s="2109">
        <f t="shared" si="162"/>
        <v>6.181201617442829</v>
      </c>
      <c r="CA102" s="2135"/>
      <c r="CB102" s="2135"/>
      <c r="CC102" s="2135"/>
      <c r="CD102" s="2135">
        <f t="shared" si="195"/>
        <v>5.33688347629713</v>
      </c>
      <c r="CE102" s="2135">
        <f t="shared" si="196"/>
        <v>15.018578404755328</v>
      </c>
      <c r="CF102" s="2149">
        <v>18.724195250000001</v>
      </c>
      <c r="CG102" s="2109">
        <f t="shared" si="197"/>
        <v>4.7197632097499618</v>
      </c>
      <c r="CH102" s="2109">
        <v>8.8373767873124986</v>
      </c>
      <c r="CI102" s="2109">
        <v>2.1965030169131476</v>
      </c>
      <c r="CJ102" s="2109">
        <f t="shared" si="163"/>
        <v>4.1127751355895832</v>
      </c>
      <c r="CK102" s="2135"/>
      <c r="CL102" s="2135"/>
      <c r="CM102" s="2135"/>
      <c r="CN102" s="2135">
        <f t="shared" si="198"/>
        <v>6.916266226663109</v>
      </c>
      <c r="CO102" s="2135">
        <f t="shared" si="199"/>
        <v>12.950151922902082</v>
      </c>
      <c r="CP102" s="2149">
        <v>16.072207000000002</v>
      </c>
      <c r="CQ102" s="2109">
        <f t="shared" si="200"/>
        <v>5.4985458980913435</v>
      </c>
      <c r="CR102" s="2109">
        <v>8.8373767873124986</v>
      </c>
      <c r="CS102" s="2109">
        <v>2.1965030169131476</v>
      </c>
      <c r="CT102" s="2109">
        <f t="shared" si="164"/>
        <v>3.5302651163952619</v>
      </c>
      <c r="CU102" s="2135"/>
      <c r="CV102" s="2135"/>
      <c r="CW102" s="2135"/>
      <c r="CX102" s="2135">
        <f t="shared" si="201"/>
        <v>7.6950489150044907</v>
      </c>
      <c r="CY102" s="2135">
        <f t="shared" si="202"/>
        <v>12.36764190370776</v>
      </c>
      <c r="CZ102" s="2149">
        <v>12.504364666666666</v>
      </c>
      <c r="DA102" s="2109">
        <f t="shared" si="203"/>
        <v>7.0674336704771665</v>
      </c>
      <c r="DB102" s="2109">
        <v>8.8373767873124986</v>
      </c>
      <c r="DC102" s="2109">
        <v>2.1965030169131476</v>
      </c>
      <c r="DD102" s="2109">
        <f t="shared" si="165"/>
        <v>2.7465874714915497</v>
      </c>
      <c r="DE102" s="2135"/>
      <c r="DF102" s="2135"/>
      <c r="DG102" s="2135"/>
      <c r="DH102" s="2135">
        <f t="shared" si="204"/>
        <v>9.2639366873903146</v>
      </c>
      <c r="DI102" s="2135">
        <f t="shared" si="205"/>
        <v>11.583964258804048</v>
      </c>
      <c r="DJ102" s="2149">
        <v>11.663926333333331</v>
      </c>
      <c r="DK102" s="2109">
        <f t="shared" si="206"/>
        <v>7.5766740416191762</v>
      </c>
      <c r="DL102" s="2109">
        <v>8.8373767873124986</v>
      </c>
      <c r="DM102" s="2109">
        <v>2.1965030169131476</v>
      </c>
      <c r="DN102" s="2109">
        <f t="shared" si="166"/>
        <v>2.5619849380219368</v>
      </c>
      <c r="DO102" s="2135"/>
      <c r="DP102" s="2135"/>
      <c r="DQ102" s="2135"/>
      <c r="DR102" s="2135">
        <f t="shared" si="207"/>
        <v>9.7731770585323225</v>
      </c>
      <c r="DS102" s="2135">
        <f t="shared" si="208"/>
        <v>11.399361725334435</v>
      </c>
      <c r="DT102" s="2149">
        <v>26.317966666666671</v>
      </c>
      <c r="DU102" s="2109">
        <f t="shared" si="209"/>
        <v>3.3579253668200675</v>
      </c>
      <c r="DV102" s="2109">
        <v>8.8373767873124986</v>
      </c>
      <c r="DW102" s="2109">
        <v>2.1965030169131476</v>
      </c>
      <c r="DX102" s="2109">
        <f t="shared" si="167"/>
        <v>5.7807493182352996</v>
      </c>
      <c r="DY102" s="2135"/>
      <c r="DZ102" s="2135"/>
      <c r="EA102" s="2135"/>
      <c r="EB102" s="2135">
        <f t="shared" si="210"/>
        <v>5.5544283837332156</v>
      </c>
      <c r="EC102" s="2135">
        <f t="shared" si="211"/>
        <v>14.618126105547798</v>
      </c>
      <c r="ED102" s="2135"/>
      <c r="EE102" s="2106">
        <f t="shared" si="212"/>
        <v>463.52728057526883</v>
      </c>
      <c r="EF102" s="2106">
        <f t="shared" si="213"/>
        <v>2.2878593319499241</v>
      </c>
      <c r="EG102" s="2106">
        <f t="shared" si="214"/>
        <v>106.04852144774996</v>
      </c>
      <c r="EH102" s="2106">
        <f t="shared" si="215"/>
        <v>2.1965030169131476</v>
      </c>
      <c r="EI102" s="2106">
        <f t="shared" si="216"/>
        <v>101.8139070205125</v>
      </c>
      <c r="EJ102" s="2106"/>
      <c r="EK102" s="2106"/>
      <c r="EL102" s="2106"/>
      <c r="EM102" s="2106">
        <f t="shared" si="217"/>
        <v>4.4843623488630717</v>
      </c>
      <c r="EN102" s="2106">
        <f t="shared" si="218"/>
        <v>207.86242846826246</v>
      </c>
      <c r="EO102" s="2106">
        <f t="shared" si="219"/>
        <v>4.4843623488630717</v>
      </c>
      <c r="EP102" s="2114">
        <f t="shared" si="220"/>
        <v>4.6455819087183228</v>
      </c>
      <c r="EQ102" s="2224"/>
      <c r="ER102" s="2210"/>
      <c r="ES102" s="2209" t="e">
        <v>#N/A</v>
      </c>
      <c r="ET102" s="2241"/>
      <c r="EU102" s="2230"/>
      <c r="EV102" s="2241"/>
      <c r="EW102" s="2241"/>
      <c r="EX102" s="2241"/>
      <c r="EY102" s="2244"/>
      <c r="EZ102" s="2244"/>
      <c r="FA102" s="2244"/>
      <c r="FB102" s="2242"/>
      <c r="FC102" s="2243"/>
      <c r="FD102" s="2243"/>
      <c r="FE102" s="2243"/>
      <c r="FF102" s="2243"/>
      <c r="FG102" s="2243"/>
      <c r="FH102" s="2243"/>
      <c r="FI102" s="2243"/>
    </row>
    <row r="103" spans="1:165">
      <c r="A103" s="2220">
        <v>13</v>
      </c>
      <c r="B103" s="2145" t="s">
        <v>1735</v>
      </c>
      <c r="C103" s="2146">
        <v>800</v>
      </c>
      <c r="D103" s="2147">
        <f t="shared" si="174"/>
        <v>0.19500000000000001</v>
      </c>
      <c r="E103" s="2146"/>
      <c r="F103" s="2148">
        <v>0.54966688381090767</v>
      </c>
      <c r="G103" s="2146">
        <v>156</v>
      </c>
      <c r="H103" s="2149" t="s">
        <v>1717</v>
      </c>
      <c r="I103" s="2229">
        <v>1</v>
      </c>
      <c r="J103" s="2149">
        <v>675.08064000000002</v>
      </c>
      <c r="K103" s="2148">
        <v>3.4703846153846141E-2</v>
      </c>
      <c r="L103" s="2151"/>
      <c r="M103" s="2152">
        <f t="shared" si="175"/>
        <v>651.65274532800004</v>
      </c>
      <c r="N103" s="2149">
        <v>55.486079999999994</v>
      </c>
      <c r="O103" s="2109">
        <f t="shared" si="176"/>
        <v>0.92489413561022893</v>
      </c>
      <c r="P103" s="2109">
        <v>5.131875</v>
      </c>
      <c r="Q103" s="2109">
        <v>2.3409</v>
      </c>
      <c r="R103" s="2109">
        <f t="shared" si="156"/>
        <v>12.988736467199999</v>
      </c>
      <c r="S103" s="2109"/>
      <c r="T103" s="2109"/>
      <c r="U103" s="2109"/>
      <c r="V103" s="2109">
        <f t="shared" si="177"/>
        <v>3.2657941356102289</v>
      </c>
      <c r="W103" s="2109">
        <f t="shared" si="178"/>
        <v>18.1206114672</v>
      </c>
      <c r="X103" s="2149">
        <v>57.335615999999995</v>
      </c>
      <c r="Y103" s="2109">
        <f t="shared" si="179"/>
        <v>0.8950588409131246</v>
      </c>
      <c r="Z103" s="2109">
        <v>5.131875</v>
      </c>
      <c r="AA103" s="2109">
        <v>2.3409</v>
      </c>
      <c r="AB103" s="2109">
        <f t="shared" si="157"/>
        <v>13.421694349439999</v>
      </c>
      <c r="AC103" s="2135"/>
      <c r="AD103" s="2135"/>
      <c r="AE103" s="2135"/>
      <c r="AF103" s="2135">
        <f t="shared" si="180"/>
        <v>3.235958840913125</v>
      </c>
      <c r="AG103" s="2135">
        <f t="shared" si="181"/>
        <v>18.55356934944</v>
      </c>
      <c r="AH103" s="2149">
        <v>55.486079999999994</v>
      </c>
      <c r="AI103" s="2109">
        <f t="shared" si="182"/>
        <v>0.92489413561022893</v>
      </c>
      <c r="AJ103" s="2109">
        <v>5.131875</v>
      </c>
      <c r="AK103" s="2109">
        <v>2.3409</v>
      </c>
      <c r="AL103" s="2109">
        <f t="shared" si="158"/>
        <v>12.988736467199999</v>
      </c>
      <c r="AM103" s="2135"/>
      <c r="AN103" s="2135"/>
      <c r="AO103" s="2135"/>
      <c r="AP103" s="2135">
        <f t="shared" si="183"/>
        <v>3.2657941356102289</v>
      </c>
      <c r="AQ103" s="2135">
        <f t="shared" si="184"/>
        <v>18.1206114672</v>
      </c>
      <c r="AR103" s="2149">
        <v>57.335615999999995</v>
      </c>
      <c r="AS103" s="2109">
        <f t="shared" si="185"/>
        <v>0.8950588409131246</v>
      </c>
      <c r="AT103" s="2109">
        <v>5.131875</v>
      </c>
      <c r="AU103" s="2109">
        <v>2.3409</v>
      </c>
      <c r="AV103" s="2109">
        <f t="shared" si="159"/>
        <v>13.421694349439999</v>
      </c>
      <c r="AW103" s="2135"/>
      <c r="AX103" s="2135"/>
      <c r="AY103" s="2135"/>
      <c r="AZ103" s="2135">
        <f t="shared" si="186"/>
        <v>3.235958840913125</v>
      </c>
      <c r="BA103" s="2135">
        <f t="shared" si="187"/>
        <v>18.55356934944</v>
      </c>
      <c r="BB103" s="2149">
        <v>57.335615999999995</v>
      </c>
      <c r="BC103" s="2109">
        <f t="shared" si="188"/>
        <v>0.8950588409131246</v>
      </c>
      <c r="BD103" s="2109">
        <v>5.131875</v>
      </c>
      <c r="BE103" s="2109">
        <v>2.3409</v>
      </c>
      <c r="BF103" s="2109">
        <f t="shared" si="160"/>
        <v>13.421694349439999</v>
      </c>
      <c r="BG103" s="2135"/>
      <c r="BH103" s="2135"/>
      <c r="BI103" s="2135"/>
      <c r="BJ103" s="2135">
        <f t="shared" si="189"/>
        <v>3.235958840913125</v>
      </c>
      <c r="BK103" s="2135">
        <f t="shared" si="190"/>
        <v>18.55356934944</v>
      </c>
      <c r="BL103" s="2149">
        <v>55.486079999999994</v>
      </c>
      <c r="BM103" s="2109">
        <f t="shared" si="191"/>
        <v>0.92489413561022893</v>
      </c>
      <c r="BN103" s="2109">
        <v>5.131875</v>
      </c>
      <c r="BO103" s="2109">
        <v>2.3409</v>
      </c>
      <c r="BP103" s="2109">
        <f t="shared" si="161"/>
        <v>12.988736467199999</v>
      </c>
      <c r="BQ103" s="2135"/>
      <c r="BR103" s="2135"/>
      <c r="BS103" s="2135"/>
      <c r="BT103" s="2135">
        <f t="shared" si="192"/>
        <v>3.2657941356102289</v>
      </c>
      <c r="BU103" s="2135">
        <f t="shared" si="193"/>
        <v>18.1206114672</v>
      </c>
      <c r="BV103" s="2149">
        <v>57.335615999999995</v>
      </c>
      <c r="BW103" s="2109">
        <f t="shared" si="194"/>
        <v>0.8950588409131246</v>
      </c>
      <c r="BX103" s="2109">
        <v>5.131875</v>
      </c>
      <c r="BY103" s="2109">
        <v>2.3409</v>
      </c>
      <c r="BZ103" s="2109">
        <f t="shared" si="162"/>
        <v>13.421694349439999</v>
      </c>
      <c r="CA103" s="2135"/>
      <c r="CB103" s="2135"/>
      <c r="CC103" s="2135"/>
      <c r="CD103" s="2135">
        <f t="shared" si="195"/>
        <v>3.235958840913125</v>
      </c>
      <c r="CE103" s="2135">
        <f t="shared" si="196"/>
        <v>18.55356934944</v>
      </c>
      <c r="CF103" s="2149">
        <v>55.486079999999994</v>
      </c>
      <c r="CG103" s="2109">
        <f t="shared" si="197"/>
        <v>0.92489413561022893</v>
      </c>
      <c r="CH103" s="2109">
        <v>5.131875</v>
      </c>
      <c r="CI103" s="2109">
        <v>2.3409</v>
      </c>
      <c r="CJ103" s="2109">
        <f t="shared" si="163"/>
        <v>12.988736467199999</v>
      </c>
      <c r="CK103" s="2135"/>
      <c r="CL103" s="2135"/>
      <c r="CM103" s="2135"/>
      <c r="CN103" s="2135">
        <f t="shared" si="198"/>
        <v>3.2657941356102289</v>
      </c>
      <c r="CO103" s="2135">
        <f t="shared" si="199"/>
        <v>18.1206114672</v>
      </c>
      <c r="CP103" s="2149">
        <v>57.335615999999995</v>
      </c>
      <c r="CQ103" s="2109">
        <f t="shared" si="200"/>
        <v>0.8950588409131246</v>
      </c>
      <c r="CR103" s="2109">
        <v>5.131875</v>
      </c>
      <c r="CS103" s="2109">
        <v>2.3409</v>
      </c>
      <c r="CT103" s="2109">
        <f t="shared" si="164"/>
        <v>13.421694349439999</v>
      </c>
      <c r="CU103" s="2135"/>
      <c r="CV103" s="2135"/>
      <c r="CW103" s="2135"/>
      <c r="CX103" s="2135">
        <f t="shared" si="201"/>
        <v>3.235958840913125</v>
      </c>
      <c r="CY103" s="2135">
        <f t="shared" si="202"/>
        <v>18.55356934944</v>
      </c>
      <c r="CZ103" s="2149">
        <v>57.335615999999995</v>
      </c>
      <c r="DA103" s="2109">
        <f t="shared" si="203"/>
        <v>0.8950588409131246</v>
      </c>
      <c r="DB103" s="2109">
        <v>5.131875</v>
      </c>
      <c r="DC103" s="2109">
        <v>2.3409</v>
      </c>
      <c r="DD103" s="2109">
        <f t="shared" si="165"/>
        <v>13.421694349439999</v>
      </c>
      <c r="DE103" s="2135"/>
      <c r="DF103" s="2135"/>
      <c r="DG103" s="2135"/>
      <c r="DH103" s="2135">
        <f t="shared" si="204"/>
        <v>3.235958840913125</v>
      </c>
      <c r="DI103" s="2135">
        <f t="shared" si="205"/>
        <v>18.55356934944</v>
      </c>
      <c r="DJ103" s="2149">
        <v>51.787007999999993</v>
      </c>
      <c r="DK103" s="2109">
        <f t="shared" si="206"/>
        <v>0.99095800243953092</v>
      </c>
      <c r="DL103" s="2109">
        <v>5.131875</v>
      </c>
      <c r="DM103" s="2109">
        <v>2.3409</v>
      </c>
      <c r="DN103" s="2109">
        <f t="shared" si="166"/>
        <v>12.122820702719999</v>
      </c>
      <c r="DO103" s="2135"/>
      <c r="DP103" s="2135"/>
      <c r="DQ103" s="2135"/>
      <c r="DR103" s="2135">
        <f t="shared" si="207"/>
        <v>3.3318580024395312</v>
      </c>
      <c r="DS103" s="2135">
        <f t="shared" si="208"/>
        <v>17.254695702719999</v>
      </c>
      <c r="DT103" s="2149">
        <v>57.335615999999995</v>
      </c>
      <c r="DU103" s="2109">
        <f t="shared" si="209"/>
        <v>0.8950588409131246</v>
      </c>
      <c r="DV103" s="2109">
        <v>5.131875</v>
      </c>
      <c r="DW103" s="2109">
        <v>2.3409</v>
      </c>
      <c r="DX103" s="2109">
        <f t="shared" si="167"/>
        <v>13.421694349439999</v>
      </c>
      <c r="DY103" s="2135"/>
      <c r="DZ103" s="2135"/>
      <c r="EA103" s="2135"/>
      <c r="EB103" s="2135">
        <f t="shared" si="210"/>
        <v>3.235958840913125</v>
      </c>
      <c r="EC103" s="2135">
        <f t="shared" si="211"/>
        <v>18.55356934944</v>
      </c>
      <c r="ED103" s="2135"/>
      <c r="EE103" s="2106">
        <f t="shared" si="212"/>
        <v>675.08064000000002</v>
      </c>
      <c r="EF103" s="2106">
        <f t="shared" si="213"/>
        <v>0.91222435293063664</v>
      </c>
      <c r="EG103" s="2106">
        <f t="shared" si="214"/>
        <v>61.582500000000003</v>
      </c>
      <c r="EH103" s="2106">
        <f t="shared" si="215"/>
        <v>2.3409</v>
      </c>
      <c r="EI103" s="2106">
        <f t="shared" si="216"/>
        <v>158.02962701760001</v>
      </c>
      <c r="EJ103" s="2106"/>
      <c r="EK103" s="2106"/>
      <c r="EL103" s="2106"/>
      <c r="EM103" s="2106">
        <f t="shared" si="217"/>
        <v>3.2531243529306368</v>
      </c>
      <c r="EN103" s="2106">
        <f t="shared" si="218"/>
        <v>219.61212701760002</v>
      </c>
      <c r="EO103" s="1915"/>
      <c r="EP103" s="2223"/>
      <c r="EQ103" s="2224"/>
      <c r="ER103" s="2210"/>
      <c r="ES103" s="2209" t="e">
        <v>#N/A</v>
      </c>
      <c r="ET103" s="2241"/>
      <c r="EU103" s="2230"/>
      <c r="EV103" s="2241"/>
      <c r="EW103" s="2241"/>
      <c r="EX103" s="2241"/>
      <c r="EY103" s="2244"/>
      <c r="EZ103" s="2244"/>
      <c r="FA103" s="2244"/>
      <c r="FB103" s="2242"/>
      <c r="FC103" s="2243"/>
      <c r="FD103" s="2243"/>
      <c r="FE103" s="2243"/>
      <c r="FF103" s="2243"/>
      <c r="FG103" s="2243"/>
      <c r="FH103" s="2243"/>
      <c r="FI103" s="2243"/>
    </row>
    <row r="104" spans="1:165">
      <c r="A104" s="2220">
        <v>14</v>
      </c>
      <c r="B104" s="2145" t="s">
        <v>1736</v>
      </c>
      <c r="C104" s="2146">
        <v>2000</v>
      </c>
      <c r="D104" s="2147">
        <f t="shared" si="174"/>
        <v>9.0999999999999998E-2</v>
      </c>
      <c r="E104" s="2146"/>
      <c r="F104" s="2148">
        <v>0.54966688381090767</v>
      </c>
      <c r="G104" s="2146">
        <v>182</v>
      </c>
      <c r="H104" s="2149" t="s">
        <v>1717</v>
      </c>
      <c r="I104" s="2229">
        <v>1</v>
      </c>
      <c r="J104" s="2149">
        <v>131.08586399999999</v>
      </c>
      <c r="K104" s="2148">
        <v>3.4703846153846141E-2</v>
      </c>
      <c r="L104" s="2151"/>
      <c r="M104" s="2152">
        <f t="shared" si="175"/>
        <v>126.53668034279998</v>
      </c>
      <c r="N104" s="2149">
        <v>0</v>
      </c>
      <c r="O104" s="2109">
        <f t="shared" si="176"/>
        <v>0</v>
      </c>
      <c r="P104" s="2109"/>
      <c r="Q104" s="2109">
        <v>2.3409</v>
      </c>
      <c r="R104" s="2109">
        <f t="shared" si="156"/>
        <v>0</v>
      </c>
      <c r="S104" s="2109"/>
      <c r="T104" s="2109"/>
      <c r="U104" s="2109"/>
      <c r="V104" s="2109">
        <f t="shared" si="177"/>
        <v>0</v>
      </c>
      <c r="W104" s="2109">
        <f t="shared" si="178"/>
        <v>0</v>
      </c>
      <c r="X104" s="2149">
        <v>0</v>
      </c>
      <c r="Y104" s="2109">
        <f t="shared" si="179"/>
        <v>0</v>
      </c>
      <c r="Z104" s="2109"/>
      <c r="AA104" s="2109">
        <v>2.3409</v>
      </c>
      <c r="AB104" s="2109">
        <f t="shared" si="157"/>
        <v>0</v>
      </c>
      <c r="AC104" s="2135"/>
      <c r="AD104" s="2135"/>
      <c r="AE104" s="2135"/>
      <c r="AF104" s="2135">
        <f t="shared" si="180"/>
        <v>0</v>
      </c>
      <c r="AG104" s="2135">
        <f t="shared" si="181"/>
        <v>0</v>
      </c>
      <c r="AH104" s="2149">
        <v>0</v>
      </c>
      <c r="AI104" s="2109">
        <f t="shared" si="182"/>
        <v>0</v>
      </c>
      <c r="AJ104" s="2109"/>
      <c r="AK104" s="2109">
        <v>2.3409</v>
      </c>
      <c r="AL104" s="2109">
        <f t="shared" si="158"/>
        <v>0</v>
      </c>
      <c r="AM104" s="2135"/>
      <c r="AN104" s="2135"/>
      <c r="AO104" s="2135"/>
      <c r="AP104" s="2135">
        <f t="shared" si="183"/>
        <v>0</v>
      </c>
      <c r="AQ104" s="2135">
        <f t="shared" si="184"/>
        <v>0</v>
      </c>
      <c r="AR104" s="2149">
        <v>0</v>
      </c>
      <c r="AS104" s="2109">
        <f t="shared" si="185"/>
        <v>0</v>
      </c>
      <c r="AT104" s="2109"/>
      <c r="AU104" s="2109">
        <v>2.3409</v>
      </c>
      <c r="AV104" s="2109">
        <f t="shared" si="159"/>
        <v>0</v>
      </c>
      <c r="AW104" s="2135"/>
      <c r="AX104" s="2135"/>
      <c r="AY104" s="2135"/>
      <c r="AZ104" s="2135">
        <f t="shared" si="186"/>
        <v>0</v>
      </c>
      <c r="BA104" s="2135">
        <f>AV104+AT104</f>
        <v>0</v>
      </c>
      <c r="BB104" s="2149">
        <v>16.722887999999998</v>
      </c>
      <c r="BC104" s="2109">
        <f t="shared" si="188"/>
        <v>2.1774193548387095</v>
      </c>
      <c r="BD104" s="2109">
        <v>3.6412739999999992</v>
      </c>
      <c r="BE104" s="2109">
        <v>2.3409</v>
      </c>
      <c r="BF104" s="2109">
        <f t="shared" si="160"/>
        <v>3.9146608519199995</v>
      </c>
      <c r="BG104" s="2135"/>
      <c r="BH104" s="2135"/>
      <c r="BI104" s="2135"/>
      <c r="BJ104" s="2135">
        <f t="shared" si="189"/>
        <v>4.5183193548387095</v>
      </c>
      <c r="BK104" s="2135">
        <f t="shared" si="190"/>
        <v>7.5559348519199983</v>
      </c>
      <c r="BL104" s="2149">
        <v>16.183439999999997</v>
      </c>
      <c r="BM104" s="2109">
        <f t="shared" si="191"/>
        <v>2.25</v>
      </c>
      <c r="BN104" s="2109">
        <v>3.6412739999999992</v>
      </c>
      <c r="BO104" s="2109">
        <v>2.3409</v>
      </c>
      <c r="BP104" s="2109">
        <f t="shared" si="161"/>
        <v>3.7883814695999996</v>
      </c>
      <c r="BQ104" s="2135"/>
      <c r="BR104" s="2135"/>
      <c r="BS104" s="2135"/>
      <c r="BT104" s="2135">
        <f t="shared" si="192"/>
        <v>4.5908999999999995</v>
      </c>
      <c r="BU104" s="2135">
        <f t="shared" si="193"/>
        <v>7.4296554695999983</v>
      </c>
      <c r="BV104" s="2149">
        <v>16.722887999999998</v>
      </c>
      <c r="BW104" s="2109">
        <f t="shared" si="194"/>
        <v>2.1774193548387095</v>
      </c>
      <c r="BX104" s="2109">
        <v>3.6412739999999992</v>
      </c>
      <c r="BY104" s="2109">
        <v>2.3409</v>
      </c>
      <c r="BZ104" s="2109">
        <f t="shared" si="162"/>
        <v>3.9146608519199995</v>
      </c>
      <c r="CA104" s="2135"/>
      <c r="CB104" s="2135"/>
      <c r="CC104" s="2135"/>
      <c r="CD104" s="2135">
        <f t="shared" si="195"/>
        <v>4.5183193548387095</v>
      </c>
      <c r="CE104" s="2135">
        <f t="shared" si="196"/>
        <v>7.5559348519199983</v>
      </c>
      <c r="CF104" s="2149">
        <v>16.183439999999997</v>
      </c>
      <c r="CG104" s="2109">
        <f t="shared" si="197"/>
        <v>2.25</v>
      </c>
      <c r="CH104" s="2109">
        <v>3.6412739999999992</v>
      </c>
      <c r="CI104" s="2109">
        <v>2.3409</v>
      </c>
      <c r="CJ104" s="2109">
        <f t="shared" si="163"/>
        <v>3.7883814695999996</v>
      </c>
      <c r="CK104" s="2135"/>
      <c r="CL104" s="2135"/>
      <c r="CM104" s="2135"/>
      <c r="CN104" s="2135">
        <f t="shared" si="198"/>
        <v>4.5908999999999995</v>
      </c>
      <c r="CO104" s="2135">
        <f t="shared" si="199"/>
        <v>7.4296554695999983</v>
      </c>
      <c r="CP104" s="2149">
        <v>16.722887999999998</v>
      </c>
      <c r="CQ104" s="2109">
        <f t="shared" si="200"/>
        <v>2.1774193548387095</v>
      </c>
      <c r="CR104" s="2109">
        <v>3.6412739999999992</v>
      </c>
      <c r="CS104" s="2109">
        <v>2.3409</v>
      </c>
      <c r="CT104" s="2109">
        <f t="shared" si="164"/>
        <v>3.9146608519199995</v>
      </c>
      <c r="CU104" s="2135"/>
      <c r="CV104" s="2135"/>
      <c r="CW104" s="2135"/>
      <c r="CX104" s="2135">
        <f t="shared" si="201"/>
        <v>4.5183193548387095</v>
      </c>
      <c r="CY104" s="2135">
        <f t="shared" si="202"/>
        <v>7.5559348519199983</v>
      </c>
      <c r="CZ104" s="2149">
        <v>16.722887999999998</v>
      </c>
      <c r="DA104" s="2109">
        <f t="shared" si="203"/>
        <v>2.1774193548387095</v>
      </c>
      <c r="DB104" s="2109">
        <v>3.6412739999999992</v>
      </c>
      <c r="DC104" s="2109">
        <v>2.3409</v>
      </c>
      <c r="DD104" s="2109">
        <f>IFERROR(DC104*CZ104/10,0)</f>
        <v>3.9146608519199995</v>
      </c>
      <c r="DE104" s="2135"/>
      <c r="DF104" s="2135"/>
      <c r="DG104" s="2135"/>
      <c r="DH104" s="2135">
        <f t="shared" si="204"/>
        <v>4.5183193548387095</v>
      </c>
      <c r="DI104" s="2135">
        <f t="shared" si="205"/>
        <v>7.5559348519199983</v>
      </c>
      <c r="DJ104" s="2149">
        <v>15.104544000000001</v>
      </c>
      <c r="DK104" s="2109">
        <f t="shared" si="206"/>
        <v>2.4107142857142851</v>
      </c>
      <c r="DL104" s="2109">
        <v>3.6412739999999992</v>
      </c>
      <c r="DM104" s="2109">
        <v>2.3409</v>
      </c>
      <c r="DN104" s="2109">
        <f t="shared" si="166"/>
        <v>3.5358227049600002</v>
      </c>
      <c r="DO104" s="2135"/>
      <c r="DP104" s="2135"/>
      <c r="DQ104" s="2135"/>
      <c r="DR104" s="2135">
        <f t="shared" si="207"/>
        <v>4.7516142857142851</v>
      </c>
      <c r="DS104" s="2135">
        <f t="shared" si="208"/>
        <v>7.1770967049599994</v>
      </c>
      <c r="DT104" s="2149">
        <v>16.722887999999998</v>
      </c>
      <c r="DU104" s="2109">
        <f t="shared" si="209"/>
        <v>2.1774193548387095</v>
      </c>
      <c r="DV104" s="2109">
        <v>3.6412739999999992</v>
      </c>
      <c r="DW104" s="2109">
        <v>2.3409</v>
      </c>
      <c r="DX104" s="2109">
        <f>IFERROR(DW104*DT104/10,0)</f>
        <v>3.9146608519199995</v>
      </c>
      <c r="DY104" s="2135"/>
      <c r="DZ104" s="2135"/>
      <c r="EA104" s="2135"/>
      <c r="EB104" s="2135">
        <f t="shared" si="210"/>
        <v>4.5183193548387095</v>
      </c>
      <c r="EC104" s="2135">
        <f t="shared" si="211"/>
        <v>7.5559348519199983</v>
      </c>
      <c r="ED104" s="2135"/>
      <c r="EE104" s="2106">
        <f t="shared" si="212"/>
        <v>131.08586399999999</v>
      </c>
      <c r="EF104" s="2106">
        <f t="shared" si="213"/>
        <v>2.2222222222222223</v>
      </c>
      <c r="EG104" s="2106">
        <f t="shared" si="214"/>
        <v>29.130191999999994</v>
      </c>
      <c r="EH104" s="2106">
        <f t="shared" si="215"/>
        <v>2.3409000000000004</v>
      </c>
      <c r="EI104" s="2106">
        <f t="shared" si="216"/>
        <v>30.68588990376</v>
      </c>
      <c r="EJ104" s="2106"/>
      <c r="EK104" s="2106"/>
      <c r="EL104" s="2106"/>
      <c r="EM104" s="2106">
        <f t="shared" si="217"/>
        <v>4.5631222222222227</v>
      </c>
      <c r="EN104" s="2106">
        <f t="shared" si="218"/>
        <v>59.816081903759994</v>
      </c>
      <c r="EO104" s="1915"/>
      <c r="EP104" s="2223"/>
      <c r="EQ104" s="2224"/>
      <c r="ER104" s="2210"/>
      <c r="ES104" s="2209" t="e">
        <v>#N/A</v>
      </c>
      <c r="ET104" s="2241"/>
      <c r="EU104" s="2230"/>
      <c r="EV104" s="2241"/>
      <c r="EW104" s="2241"/>
      <c r="EX104" s="2241"/>
      <c r="EY104" s="2244"/>
      <c r="EZ104" s="2244"/>
      <c r="FA104" s="2244"/>
      <c r="FB104" s="2242"/>
      <c r="FC104" s="2243"/>
      <c r="FD104" s="2243"/>
      <c r="FE104" s="2243"/>
      <c r="FF104" s="2243"/>
      <c r="FG104" s="2243"/>
      <c r="FH104" s="2243"/>
      <c r="FI104" s="2243"/>
    </row>
    <row r="105" spans="1:165">
      <c r="A105" s="2220">
        <v>15</v>
      </c>
      <c r="B105" s="2145" t="s">
        <v>1737</v>
      </c>
      <c r="C105" s="2146">
        <v>1000</v>
      </c>
      <c r="D105" s="2147">
        <f t="shared" si="174"/>
        <v>0.2</v>
      </c>
      <c r="E105" s="2146"/>
      <c r="F105" s="2148">
        <v>0.54966688381090767</v>
      </c>
      <c r="G105" s="2146">
        <v>200</v>
      </c>
      <c r="H105" s="2149" t="s">
        <v>1717</v>
      </c>
      <c r="I105" s="2229">
        <v>1</v>
      </c>
      <c r="J105" s="2149">
        <v>0</v>
      </c>
      <c r="K105" s="2148">
        <v>3.4703846153846141E-2</v>
      </c>
      <c r="L105" s="2151"/>
      <c r="M105" s="2152">
        <f t="shared" si="175"/>
        <v>0</v>
      </c>
      <c r="N105" s="2149">
        <v>0</v>
      </c>
      <c r="O105" s="2109">
        <f t="shared" si="176"/>
        <v>0</v>
      </c>
      <c r="P105" s="2109">
        <v>0</v>
      </c>
      <c r="Q105" s="2109">
        <v>0</v>
      </c>
      <c r="R105" s="2109">
        <f t="shared" si="156"/>
        <v>0</v>
      </c>
      <c r="S105" s="2109"/>
      <c r="T105" s="2109"/>
      <c r="U105" s="2109"/>
      <c r="V105" s="2109">
        <f t="shared" si="177"/>
        <v>0</v>
      </c>
      <c r="W105" s="2109">
        <f t="shared" si="178"/>
        <v>0</v>
      </c>
      <c r="X105" s="2149">
        <v>0</v>
      </c>
      <c r="Y105" s="2109">
        <f t="shared" si="179"/>
        <v>0</v>
      </c>
      <c r="Z105" s="2109">
        <v>0</v>
      </c>
      <c r="AA105" s="2109">
        <v>0</v>
      </c>
      <c r="AB105" s="2109">
        <f t="shared" si="157"/>
        <v>0</v>
      </c>
      <c r="AC105" s="2135"/>
      <c r="AD105" s="2135"/>
      <c r="AE105" s="2135"/>
      <c r="AF105" s="2135">
        <f t="shared" si="180"/>
        <v>0</v>
      </c>
      <c r="AG105" s="2135">
        <f t="shared" si="181"/>
        <v>0</v>
      </c>
      <c r="AH105" s="2149">
        <v>0</v>
      </c>
      <c r="AI105" s="2109">
        <f t="shared" si="182"/>
        <v>0</v>
      </c>
      <c r="AJ105" s="2109">
        <v>0</v>
      </c>
      <c r="AK105" s="2109">
        <v>0</v>
      </c>
      <c r="AL105" s="2109">
        <f t="shared" si="158"/>
        <v>0</v>
      </c>
      <c r="AM105" s="2135"/>
      <c r="AN105" s="2135"/>
      <c r="AO105" s="2135"/>
      <c r="AP105" s="2135">
        <f t="shared" si="183"/>
        <v>0</v>
      </c>
      <c r="AQ105" s="2135">
        <f t="shared" si="184"/>
        <v>0</v>
      </c>
      <c r="AR105" s="2149">
        <v>0</v>
      </c>
      <c r="AS105" s="2109">
        <f t="shared" si="185"/>
        <v>0</v>
      </c>
      <c r="AT105" s="2109">
        <v>0</v>
      </c>
      <c r="AU105" s="2109">
        <v>0</v>
      </c>
      <c r="AV105" s="2109">
        <f t="shared" si="159"/>
        <v>0</v>
      </c>
      <c r="AW105" s="2135"/>
      <c r="AX105" s="2135"/>
      <c r="AY105" s="2135"/>
      <c r="AZ105" s="2135">
        <f t="shared" si="186"/>
        <v>0</v>
      </c>
      <c r="BA105" s="2135">
        <f t="shared" si="187"/>
        <v>0</v>
      </c>
      <c r="BB105" s="2149">
        <v>0</v>
      </c>
      <c r="BC105" s="2109">
        <f t="shared" si="188"/>
        <v>0</v>
      </c>
      <c r="BD105" s="2109">
        <v>0</v>
      </c>
      <c r="BE105" s="2109">
        <v>0</v>
      </c>
      <c r="BF105" s="2109">
        <f t="shared" si="160"/>
        <v>0</v>
      </c>
      <c r="BG105" s="2135"/>
      <c r="BH105" s="2135"/>
      <c r="BI105" s="2135"/>
      <c r="BJ105" s="2135">
        <f t="shared" si="189"/>
        <v>0</v>
      </c>
      <c r="BK105" s="2135">
        <f t="shared" si="190"/>
        <v>0</v>
      </c>
      <c r="BL105" s="2149">
        <v>0</v>
      </c>
      <c r="BM105" s="2109">
        <f t="shared" si="191"/>
        <v>0</v>
      </c>
      <c r="BN105" s="2109">
        <v>0</v>
      </c>
      <c r="BO105" s="2109">
        <v>0</v>
      </c>
      <c r="BP105" s="2109">
        <f t="shared" si="161"/>
        <v>0</v>
      </c>
      <c r="BQ105" s="2135"/>
      <c r="BR105" s="2135"/>
      <c r="BS105" s="2135"/>
      <c r="BT105" s="2135">
        <f t="shared" si="192"/>
        <v>0</v>
      </c>
      <c r="BU105" s="2135">
        <f t="shared" si="193"/>
        <v>0</v>
      </c>
      <c r="BV105" s="2149">
        <v>0</v>
      </c>
      <c r="BW105" s="2109">
        <f t="shared" si="194"/>
        <v>0</v>
      </c>
      <c r="BX105" s="2109">
        <v>0</v>
      </c>
      <c r="BY105" s="2109">
        <v>0</v>
      </c>
      <c r="BZ105" s="2109">
        <f t="shared" si="162"/>
        <v>0</v>
      </c>
      <c r="CA105" s="2135"/>
      <c r="CB105" s="2135"/>
      <c r="CC105" s="2135"/>
      <c r="CD105" s="2135">
        <f t="shared" si="195"/>
        <v>0</v>
      </c>
      <c r="CE105" s="2135">
        <f t="shared" si="196"/>
        <v>0</v>
      </c>
      <c r="CF105" s="2149">
        <v>0</v>
      </c>
      <c r="CG105" s="2109">
        <f t="shared" si="197"/>
        <v>0</v>
      </c>
      <c r="CH105" s="2109">
        <v>0</v>
      </c>
      <c r="CI105" s="2109">
        <v>0</v>
      </c>
      <c r="CJ105" s="2109">
        <f t="shared" si="163"/>
        <v>0</v>
      </c>
      <c r="CK105" s="2135"/>
      <c r="CL105" s="2135"/>
      <c r="CM105" s="2135"/>
      <c r="CN105" s="2135">
        <f t="shared" si="198"/>
        <v>0</v>
      </c>
      <c r="CO105" s="2135">
        <f t="shared" si="199"/>
        <v>0</v>
      </c>
      <c r="CP105" s="2149">
        <v>0</v>
      </c>
      <c r="CQ105" s="2109">
        <f t="shared" si="200"/>
        <v>0</v>
      </c>
      <c r="CR105" s="2109">
        <v>0</v>
      </c>
      <c r="CS105" s="2109">
        <v>0</v>
      </c>
      <c r="CT105" s="2109">
        <f t="shared" si="164"/>
        <v>0</v>
      </c>
      <c r="CU105" s="2135"/>
      <c r="CV105" s="2135"/>
      <c r="CW105" s="2135"/>
      <c r="CX105" s="2135">
        <f t="shared" si="201"/>
        <v>0</v>
      </c>
      <c r="CY105" s="2135">
        <f t="shared" si="202"/>
        <v>0</v>
      </c>
      <c r="CZ105" s="2149">
        <v>0</v>
      </c>
      <c r="DA105" s="2109">
        <f t="shared" si="203"/>
        <v>0</v>
      </c>
      <c r="DB105" s="2109">
        <v>0</v>
      </c>
      <c r="DC105" s="2109">
        <v>0</v>
      </c>
      <c r="DD105" s="2109">
        <f t="shared" si="165"/>
        <v>0</v>
      </c>
      <c r="DE105" s="2135"/>
      <c r="DF105" s="2135"/>
      <c r="DG105" s="2135"/>
      <c r="DH105" s="2135">
        <f t="shared" si="204"/>
        <v>0</v>
      </c>
      <c r="DI105" s="2135">
        <f t="shared" si="205"/>
        <v>0</v>
      </c>
      <c r="DJ105" s="2149">
        <v>0</v>
      </c>
      <c r="DK105" s="2109">
        <f t="shared" si="206"/>
        <v>0</v>
      </c>
      <c r="DL105" s="2109">
        <v>0</v>
      </c>
      <c r="DM105" s="2109">
        <v>0</v>
      </c>
      <c r="DN105" s="2109">
        <f t="shared" si="166"/>
        <v>0</v>
      </c>
      <c r="DO105" s="2135"/>
      <c r="DP105" s="2135"/>
      <c r="DQ105" s="2135"/>
      <c r="DR105" s="2135">
        <f t="shared" si="207"/>
        <v>0</v>
      </c>
      <c r="DS105" s="2135">
        <f t="shared" si="208"/>
        <v>0</v>
      </c>
      <c r="DT105" s="2149">
        <v>0</v>
      </c>
      <c r="DU105" s="2109">
        <f t="shared" si="209"/>
        <v>0</v>
      </c>
      <c r="DV105" s="2109">
        <v>0</v>
      </c>
      <c r="DW105" s="2109">
        <v>0</v>
      </c>
      <c r="DX105" s="2109">
        <f t="shared" si="167"/>
        <v>0</v>
      </c>
      <c r="DY105" s="2135"/>
      <c r="DZ105" s="2135"/>
      <c r="EA105" s="2135"/>
      <c r="EB105" s="2135">
        <f t="shared" si="210"/>
        <v>0</v>
      </c>
      <c r="EC105" s="2135">
        <f t="shared" si="211"/>
        <v>0</v>
      </c>
      <c r="ED105" s="2135"/>
      <c r="EE105" s="2106">
        <f t="shared" si="212"/>
        <v>0</v>
      </c>
      <c r="EF105" s="2106">
        <f t="shared" si="213"/>
        <v>0</v>
      </c>
      <c r="EG105" s="2106">
        <f t="shared" si="214"/>
        <v>0</v>
      </c>
      <c r="EH105" s="2106">
        <f t="shared" si="215"/>
        <v>0</v>
      </c>
      <c r="EI105" s="2106">
        <f t="shared" si="216"/>
        <v>0</v>
      </c>
      <c r="EJ105" s="2106"/>
      <c r="EK105" s="2106"/>
      <c r="EL105" s="2106"/>
      <c r="EM105" s="2106">
        <f t="shared" si="217"/>
        <v>0</v>
      </c>
      <c r="EN105" s="2106">
        <f t="shared" si="218"/>
        <v>0</v>
      </c>
      <c r="EO105" s="1915"/>
      <c r="EP105" s="2223"/>
      <c r="EQ105" s="2224"/>
      <c r="ER105" s="2210"/>
      <c r="ES105" s="2209" t="e">
        <v>#N/A</v>
      </c>
      <c r="ET105" s="2241"/>
      <c r="EU105" s="2230"/>
      <c r="EV105" s="2241"/>
      <c r="EW105" s="2241"/>
      <c r="EX105" s="2241"/>
      <c r="EY105" s="2244"/>
      <c r="EZ105" s="2244"/>
      <c r="FA105" s="2244"/>
      <c r="FB105" s="2242"/>
      <c r="FC105" s="2243"/>
      <c r="FD105" s="2243"/>
      <c r="FE105" s="2243"/>
      <c r="FF105" s="2243"/>
      <c r="FG105" s="2243"/>
      <c r="FH105" s="2243"/>
      <c r="FI105" s="2243"/>
    </row>
    <row r="106" spans="1:165">
      <c r="A106" s="2220"/>
      <c r="B106" s="2145" t="s">
        <v>211</v>
      </c>
      <c r="C106" s="2234">
        <f>SUM(C91:C105)</f>
        <v>8015.2</v>
      </c>
      <c r="D106" s="2109"/>
      <c r="E106" s="2109"/>
      <c r="F106" s="2235">
        <f>J106/(G106*8.76)</f>
        <v>0.36207863890164577</v>
      </c>
      <c r="G106" s="2162">
        <f>SUM(G91:G105)</f>
        <v>1415.6</v>
      </c>
      <c r="H106" s="2226"/>
      <c r="I106" s="2229"/>
      <c r="J106" s="2226">
        <f>SUM(J91:J105)</f>
        <v>4490.0126459675266</v>
      </c>
      <c r="K106" s="2109"/>
      <c r="L106" s="2109"/>
      <c r="M106" s="2160">
        <f>SUM(M91:M105)</f>
        <v>4334.1919378730454</v>
      </c>
      <c r="N106" s="2160">
        <f>SUM(N91:N105)</f>
        <v>411.31811660000005</v>
      </c>
      <c r="O106" s="2109"/>
      <c r="P106" s="2160">
        <f>SUM(P91:P105)</f>
        <v>64.013442552937505</v>
      </c>
      <c r="Q106" s="2109">
        <v>0</v>
      </c>
      <c r="R106" s="2160">
        <f>SUM(R91:R105)</f>
        <v>73.030322638859019</v>
      </c>
      <c r="S106" s="2109"/>
      <c r="T106" s="2109"/>
      <c r="U106" s="2109"/>
      <c r="V106" s="2109"/>
      <c r="W106" s="2234">
        <f>SUM(W91:W105)</f>
        <v>137.04376519179652</v>
      </c>
      <c r="X106" s="2234">
        <f>SUM(X91:X105)</f>
        <v>491.7845772666667</v>
      </c>
      <c r="Y106" s="2109"/>
      <c r="Z106" s="2234">
        <f>SUM(Z91:Z105)</f>
        <v>64.013442552937505</v>
      </c>
      <c r="AA106" s="2109">
        <v>0</v>
      </c>
      <c r="AB106" s="2234">
        <f>SUM(AB91:AB105)</f>
        <v>87.14221882011509</v>
      </c>
      <c r="AC106" s="2135"/>
      <c r="AD106" s="2135"/>
      <c r="AE106" s="2135"/>
      <c r="AF106" s="2135"/>
      <c r="AG106" s="2236">
        <f>SUM(AG91:AG105)</f>
        <v>151.1556613730526</v>
      </c>
      <c r="AH106" s="2236">
        <f>SUM(AH91:AH105)</f>
        <v>518.78717146666668</v>
      </c>
      <c r="AI106" s="2109"/>
      <c r="AJ106" s="2236">
        <f>SUM(AJ91:AJ105)</f>
        <v>64.013442552937505</v>
      </c>
      <c r="AK106" s="2109">
        <v>0</v>
      </c>
      <c r="AL106" s="2236">
        <f>SUM(AL91:AL105)</f>
        <v>89.385004568667455</v>
      </c>
      <c r="AM106" s="2135"/>
      <c r="AN106" s="2135"/>
      <c r="AO106" s="2238"/>
      <c r="AP106" s="2135">
        <f t="shared" si="183"/>
        <v>2.956866621970069</v>
      </c>
      <c r="AQ106" s="2236">
        <f t="shared" si="184"/>
        <v>153.39844712160496</v>
      </c>
      <c r="AR106" s="2236">
        <f>SUM(AR91:AR105)</f>
        <v>575.88478155000007</v>
      </c>
      <c r="AS106" s="2109"/>
      <c r="AT106" s="2236">
        <f>SUM(AT91:AT105)</f>
        <v>64.013442552937505</v>
      </c>
      <c r="AU106" s="2109">
        <v>0</v>
      </c>
      <c r="AV106" s="2236">
        <f>SUM(AV91:AV105)</f>
        <v>99.963101605513884</v>
      </c>
      <c r="AW106" s="2236">
        <f t="shared" ref="AW106:CT106" si="221">SUM(AW91:AW105)</f>
        <v>0</v>
      </c>
      <c r="AX106" s="2236">
        <f t="shared" si="221"/>
        <v>0</v>
      </c>
      <c r="AY106" s="2236">
        <f t="shared" si="221"/>
        <v>0</v>
      </c>
      <c r="AZ106" s="2236"/>
      <c r="BA106" s="2236">
        <f t="shared" si="221"/>
        <v>163.97654415845136</v>
      </c>
      <c r="BB106" s="2236">
        <f t="shared" si="221"/>
        <v>560.55523549999998</v>
      </c>
      <c r="BC106" s="2109"/>
      <c r="BD106" s="2236">
        <f t="shared" si="221"/>
        <v>67.654716552937501</v>
      </c>
      <c r="BE106" s="2109">
        <v>0</v>
      </c>
      <c r="BF106" s="2236">
        <f t="shared" si="221"/>
        <v>98.501083639015633</v>
      </c>
      <c r="BG106" s="2236">
        <f t="shared" si="221"/>
        <v>0</v>
      </c>
      <c r="BH106" s="2236">
        <f t="shared" si="221"/>
        <v>0</v>
      </c>
      <c r="BI106" s="2236">
        <f t="shared" si="221"/>
        <v>0</v>
      </c>
      <c r="BJ106" s="2236"/>
      <c r="BK106" s="2236">
        <f t="shared" si="221"/>
        <v>166.15580019195312</v>
      </c>
      <c r="BL106" s="2236">
        <f t="shared" si="221"/>
        <v>447.97996277419361</v>
      </c>
      <c r="BM106" s="2109"/>
      <c r="BN106" s="2236">
        <f t="shared" si="221"/>
        <v>67.654716552937501</v>
      </c>
      <c r="BO106" s="2109">
        <v>0</v>
      </c>
      <c r="BP106" s="2236">
        <f t="shared" si="221"/>
        <v>81.211995163079493</v>
      </c>
      <c r="BQ106" s="2236">
        <f t="shared" si="221"/>
        <v>0</v>
      </c>
      <c r="BR106" s="2236">
        <f t="shared" si="221"/>
        <v>0</v>
      </c>
      <c r="BS106" s="2236">
        <f t="shared" si="221"/>
        <v>0</v>
      </c>
      <c r="BT106" s="2236"/>
      <c r="BU106" s="2236">
        <f t="shared" si="221"/>
        <v>148.86671171601699</v>
      </c>
      <c r="BV106" s="2236">
        <f t="shared" si="221"/>
        <v>318.55513633333334</v>
      </c>
      <c r="BW106" s="2109"/>
      <c r="BX106" s="2236">
        <f t="shared" si="221"/>
        <v>67.654716552937501</v>
      </c>
      <c r="BY106" s="2109">
        <v>0</v>
      </c>
      <c r="BZ106" s="2236">
        <f t="shared" si="221"/>
        <v>62.660886868733691</v>
      </c>
      <c r="CA106" s="2236">
        <f t="shared" si="221"/>
        <v>0</v>
      </c>
      <c r="CB106" s="2236">
        <f t="shared" si="221"/>
        <v>0</v>
      </c>
      <c r="CC106" s="2236">
        <f t="shared" si="221"/>
        <v>0</v>
      </c>
      <c r="CD106" s="2236">
        <f t="shared" si="221"/>
        <v>63.313551311195951</v>
      </c>
      <c r="CE106" s="2236">
        <f t="shared" si="221"/>
        <v>130.3156034216712</v>
      </c>
      <c r="CF106" s="2236">
        <f t="shared" si="221"/>
        <v>235.29639904999999</v>
      </c>
      <c r="CG106" s="2109"/>
      <c r="CH106" s="2236">
        <f t="shared" si="221"/>
        <v>67.654716552937501</v>
      </c>
      <c r="CI106" s="2109">
        <v>0</v>
      </c>
      <c r="CJ106" s="2236">
        <f t="shared" si="221"/>
        <v>45.251765361633666</v>
      </c>
      <c r="CK106" s="2236">
        <f t="shared" si="221"/>
        <v>0</v>
      </c>
      <c r="CL106" s="2236">
        <f t="shared" si="221"/>
        <v>0</v>
      </c>
      <c r="CM106" s="2236">
        <f t="shared" si="221"/>
        <v>0</v>
      </c>
      <c r="CN106" s="2236"/>
      <c r="CO106" s="2236">
        <f t="shared" si="221"/>
        <v>112.90648191457117</v>
      </c>
      <c r="CP106" s="2236">
        <f t="shared" si="221"/>
        <v>207.0291598</v>
      </c>
      <c r="CQ106" s="2109"/>
      <c r="CR106" s="2236">
        <f t="shared" si="221"/>
        <v>67.654716552937501</v>
      </c>
      <c r="CS106" s="2109">
        <v>0</v>
      </c>
      <c r="CT106" s="2236">
        <f t="shared" si="221"/>
        <v>40.46119696156844</v>
      </c>
      <c r="CU106" s="2236"/>
      <c r="CV106" s="2236"/>
      <c r="CW106" s="2236">
        <f t="shared" ref="CW106:EE106" si="222">SUM(CW91:CW105)</f>
        <v>0</v>
      </c>
      <c r="CX106" s="2236"/>
      <c r="CY106" s="2236">
        <f t="shared" si="222"/>
        <v>108.11591351450595</v>
      </c>
      <c r="CZ106" s="2236">
        <f t="shared" si="222"/>
        <v>200.78279361666665</v>
      </c>
      <c r="DA106" s="2236"/>
      <c r="DB106" s="2236">
        <f t="shared" si="222"/>
        <v>67.654716552937501</v>
      </c>
      <c r="DC106" s="2109">
        <v>0</v>
      </c>
      <c r="DD106" s="2236">
        <f t="shared" si="222"/>
        <v>39.031262396836233</v>
      </c>
      <c r="DE106" s="2236">
        <f t="shared" si="222"/>
        <v>0</v>
      </c>
      <c r="DF106" s="2236">
        <f t="shared" si="222"/>
        <v>0</v>
      </c>
      <c r="DG106" s="2236">
        <f t="shared" si="222"/>
        <v>0</v>
      </c>
      <c r="DH106" s="2236"/>
      <c r="DI106" s="2236">
        <f t="shared" si="222"/>
        <v>106.68597894977373</v>
      </c>
      <c r="DJ106" s="2236">
        <f t="shared" si="222"/>
        <v>221.00593429333335</v>
      </c>
      <c r="DK106" s="2109"/>
      <c r="DL106" s="2236">
        <f t="shared" si="222"/>
        <v>67.654716552937501</v>
      </c>
      <c r="DM106" s="2109">
        <v>0</v>
      </c>
      <c r="DN106" s="2236">
        <f t="shared" si="222"/>
        <v>41.184983348204177</v>
      </c>
      <c r="DO106" s="2236">
        <f t="shared" si="222"/>
        <v>0</v>
      </c>
      <c r="DP106" s="2236">
        <f t="shared" si="222"/>
        <v>0</v>
      </c>
      <c r="DQ106" s="2236">
        <f t="shared" si="222"/>
        <v>0</v>
      </c>
      <c r="DR106" s="2236"/>
      <c r="DS106" s="2236">
        <f t="shared" si="222"/>
        <v>108.83969990114167</v>
      </c>
      <c r="DT106" s="2236">
        <f t="shared" si="222"/>
        <v>301.03337771666668</v>
      </c>
      <c r="DU106" s="2109"/>
      <c r="DV106" s="2236">
        <f t="shared" si="222"/>
        <v>67.654716552937501</v>
      </c>
      <c r="DW106" s="2109">
        <v>0</v>
      </c>
      <c r="DX106" s="2236">
        <f t="shared" si="222"/>
        <v>54.368812659423121</v>
      </c>
      <c r="DY106" s="2236">
        <f t="shared" si="222"/>
        <v>0</v>
      </c>
      <c r="DZ106" s="2236">
        <f t="shared" si="222"/>
        <v>0</v>
      </c>
      <c r="EA106" s="2236">
        <f t="shared" si="222"/>
        <v>0</v>
      </c>
      <c r="EB106" s="2236"/>
      <c r="EC106" s="2236">
        <f t="shared" si="222"/>
        <v>122.02352921236063</v>
      </c>
      <c r="ED106" s="2236">
        <f t="shared" si="222"/>
        <v>0</v>
      </c>
      <c r="EE106" s="2107">
        <f t="shared" si="222"/>
        <v>4490.0126459675266</v>
      </c>
      <c r="EF106" s="2106">
        <f t="shared" si="213"/>
        <v>1.7756999044341137</v>
      </c>
      <c r="EG106" s="2107">
        <f>SUM(EG91:EG105)</f>
        <v>797.29150263524991</v>
      </c>
      <c r="EH106" s="2106">
        <f t="shared" si="215"/>
        <v>1.8088871860106648</v>
      </c>
      <c r="EI106" s="2107">
        <f>SUM(EI91:EI105)</f>
        <v>812.19263403164985</v>
      </c>
      <c r="EJ106" s="2107">
        <f>SUM(EJ91:EJ105)</f>
        <v>0</v>
      </c>
      <c r="EK106" s="2107">
        <f>SUM(EK91:EK105)</f>
        <v>0</v>
      </c>
      <c r="EL106" s="2107">
        <f>SUM(EL91:EL105)</f>
        <v>0</v>
      </c>
      <c r="EM106" s="2106">
        <f t="shared" si="217"/>
        <v>3.5845870904447792</v>
      </c>
      <c r="EN106" s="2107">
        <f>SUM(EN91:EN105)</f>
        <v>1609.4841366669</v>
      </c>
      <c r="EO106" s="2106">
        <f>EN106/J106*10</f>
        <v>3.5845870904447792</v>
      </c>
      <c r="EP106" s="2114">
        <f>EN106/M106*10</f>
        <v>3.7134583787185389</v>
      </c>
      <c r="EQ106" s="2224"/>
      <c r="ER106" s="2210"/>
      <c r="ES106" s="2209" t="e">
        <v>#N/A</v>
      </c>
      <c r="ET106" s="2241"/>
      <c r="EU106" s="2230"/>
      <c r="EV106" s="2241"/>
      <c r="EW106" s="2241"/>
      <c r="EX106" s="2241"/>
      <c r="EY106" s="2244"/>
      <c r="EZ106" s="2244"/>
      <c r="FA106" s="2244"/>
      <c r="FB106" s="2242"/>
      <c r="FC106" s="2243"/>
      <c r="FD106" s="2243"/>
      <c r="FE106" s="2243"/>
      <c r="FF106" s="2243"/>
      <c r="FG106" s="2243"/>
      <c r="FH106" s="2243"/>
      <c r="FI106" s="2243"/>
    </row>
    <row r="107" spans="1:165">
      <c r="A107" s="2220"/>
      <c r="B107" s="2145"/>
      <c r="C107" s="2145"/>
      <c r="D107" s="2145"/>
      <c r="E107" s="2145"/>
      <c r="F107" s="2145"/>
      <c r="G107" s="1592"/>
      <c r="H107" s="2149"/>
      <c r="I107" s="2237"/>
      <c r="J107" s="2149"/>
      <c r="K107" s="2145"/>
      <c r="L107" s="2145"/>
      <c r="M107" s="2152"/>
      <c r="N107" s="2149">
        <v>0</v>
      </c>
      <c r="O107" s="2109"/>
      <c r="P107" s="2109">
        <v>0</v>
      </c>
      <c r="Q107" s="2109">
        <v>0</v>
      </c>
      <c r="R107" s="2109">
        <f t="shared" si="156"/>
        <v>0</v>
      </c>
      <c r="S107" s="2109"/>
      <c r="T107" s="2109"/>
      <c r="U107" s="2109"/>
      <c r="V107" s="2109"/>
      <c r="W107" s="2109"/>
      <c r="X107" s="2149">
        <v>0</v>
      </c>
      <c r="Y107" s="2109"/>
      <c r="Z107" s="2109">
        <v>0</v>
      </c>
      <c r="AA107" s="2109">
        <v>0</v>
      </c>
      <c r="AB107" s="2109">
        <f t="shared" si="157"/>
        <v>0</v>
      </c>
      <c r="AC107" s="2135"/>
      <c r="AD107" s="2135"/>
      <c r="AE107" s="2135"/>
      <c r="AF107" s="2135"/>
      <c r="AG107" s="2135"/>
      <c r="AH107" s="2149">
        <v>0</v>
      </c>
      <c r="AI107" s="2109"/>
      <c r="AJ107" s="2109">
        <v>0</v>
      </c>
      <c r="AK107" s="2109">
        <v>0</v>
      </c>
      <c r="AL107" s="2109">
        <f t="shared" si="158"/>
        <v>0</v>
      </c>
      <c r="AM107" s="2135"/>
      <c r="AN107" s="2135"/>
      <c r="AO107" s="2238"/>
      <c r="AP107" s="2135"/>
      <c r="AQ107" s="2135"/>
      <c r="AR107" s="2149">
        <v>0</v>
      </c>
      <c r="AS107" s="2109"/>
      <c r="AT107" s="2109">
        <v>0</v>
      </c>
      <c r="AU107" s="2109">
        <v>0</v>
      </c>
      <c r="AV107" s="2109">
        <f t="shared" si="159"/>
        <v>0</v>
      </c>
      <c r="AW107" s="2135"/>
      <c r="AX107" s="2135"/>
      <c r="AY107" s="2238"/>
      <c r="AZ107" s="2135"/>
      <c r="BA107" s="2135"/>
      <c r="BB107" s="2149">
        <v>0</v>
      </c>
      <c r="BC107" s="2109"/>
      <c r="BD107" s="2109">
        <v>0</v>
      </c>
      <c r="BE107" s="2109">
        <v>0</v>
      </c>
      <c r="BF107" s="2109">
        <f t="shared" si="160"/>
        <v>0</v>
      </c>
      <c r="BG107" s="2135"/>
      <c r="BH107" s="2135"/>
      <c r="BI107" s="2238"/>
      <c r="BJ107" s="2135"/>
      <c r="BK107" s="2135"/>
      <c r="BL107" s="2149">
        <v>0</v>
      </c>
      <c r="BM107" s="2109"/>
      <c r="BN107" s="2109">
        <v>0</v>
      </c>
      <c r="BO107" s="2109">
        <v>0</v>
      </c>
      <c r="BP107" s="2109">
        <f t="shared" si="161"/>
        <v>0</v>
      </c>
      <c r="BQ107" s="2135"/>
      <c r="BR107" s="2135"/>
      <c r="BS107" s="2135"/>
      <c r="BT107" s="2135"/>
      <c r="BU107" s="2135"/>
      <c r="BV107" s="2149">
        <v>0</v>
      </c>
      <c r="BW107" s="2109"/>
      <c r="BX107" s="2109">
        <v>0</v>
      </c>
      <c r="BY107" s="2109">
        <v>0</v>
      </c>
      <c r="BZ107" s="2109">
        <f t="shared" si="162"/>
        <v>0</v>
      </c>
      <c r="CA107" s="2135"/>
      <c r="CB107" s="2135"/>
      <c r="CC107" s="2135"/>
      <c r="CD107" s="2135"/>
      <c r="CE107" s="2135"/>
      <c r="CF107" s="2149">
        <v>0</v>
      </c>
      <c r="CG107" s="2109"/>
      <c r="CH107" s="2109">
        <v>0</v>
      </c>
      <c r="CI107" s="2109">
        <v>0</v>
      </c>
      <c r="CJ107" s="2109">
        <f t="shared" si="163"/>
        <v>0</v>
      </c>
      <c r="CK107" s="2135"/>
      <c r="CL107" s="2135"/>
      <c r="CM107" s="2238"/>
      <c r="CN107" s="2135"/>
      <c r="CO107" s="2135"/>
      <c r="CP107" s="2149">
        <v>0</v>
      </c>
      <c r="CQ107" s="2109"/>
      <c r="CR107" s="2109">
        <v>0</v>
      </c>
      <c r="CS107" s="2109">
        <v>0</v>
      </c>
      <c r="CT107" s="2109">
        <f t="shared" si="164"/>
        <v>0</v>
      </c>
      <c r="CU107" s="2135"/>
      <c r="CV107" s="2135"/>
      <c r="CW107" s="2238"/>
      <c r="CX107" s="2135"/>
      <c r="CY107" s="2135"/>
      <c r="CZ107" s="2149">
        <v>0</v>
      </c>
      <c r="DA107" s="2109"/>
      <c r="DB107" s="2109">
        <v>0</v>
      </c>
      <c r="DC107" s="2109">
        <v>0</v>
      </c>
      <c r="DD107" s="2109">
        <f t="shared" si="165"/>
        <v>0</v>
      </c>
      <c r="DE107" s="2135"/>
      <c r="DF107" s="2135"/>
      <c r="DG107" s="2238"/>
      <c r="DH107" s="2135"/>
      <c r="DI107" s="2135"/>
      <c r="DJ107" s="2149">
        <v>0</v>
      </c>
      <c r="DK107" s="2109"/>
      <c r="DL107" s="2109">
        <v>0</v>
      </c>
      <c r="DM107" s="2109">
        <v>0</v>
      </c>
      <c r="DN107" s="2109">
        <f t="shared" si="166"/>
        <v>0</v>
      </c>
      <c r="DO107" s="2135"/>
      <c r="DP107" s="2135"/>
      <c r="DQ107" s="2238"/>
      <c r="DR107" s="2135"/>
      <c r="DS107" s="2135"/>
      <c r="DT107" s="2149">
        <v>0</v>
      </c>
      <c r="DU107" s="2109"/>
      <c r="DV107" s="2109">
        <v>0</v>
      </c>
      <c r="DW107" s="2109">
        <v>0</v>
      </c>
      <c r="DX107" s="2109">
        <f t="shared" si="167"/>
        <v>0</v>
      </c>
      <c r="DY107" s="2135"/>
      <c r="DZ107" s="2135"/>
      <c r="EA107" s="2135"/>
      <c r="EB107" s="2135"/>
      <c r="EC107" s="2135"/>
      <c r="ED107" s="2135"/>
      <c r="EE107" s="2107"/>
      <c r="EF107" s="2106"/>
      <c r="EG107" s="2106"/>
      <c r="EH107" s="2106"/>
      <c r="EI107" s="2106"/>
      <c r="EJ107" s="2106"/>
      <c r="EK107" s="2106"/>
      <c r="EL107" s="2106"/>
      <c r="EM107" s="2106"/>
      <c r="EN107" s="2106"/>
      <c r="EO107" s="2239"/>
      <c r="EP107" s="2240"/>
      <c r="EQ107" s="2224"/>
      <c r="ER107" s="2210"/>
      <c r="ES107" s="2209" t="e">
        <v>#N/A</v>
      </c>
      <c r="ET107" s="2241"/>
      <c r="EU107" s="2230"/>
      <c r="EV107" s="2241"/>
      <c r="EW107" s="2241"/>
      <c r="EX107" s="2241"/>
      <c r="EY107" s="2244"/>
      <c r="EZ107" s="2244"/>
      <c r="FA107" s="2244"/>
      <c r="FB107" s="2242"/>
      <c r="FC107" s="2243"/>
      <c r="FD107" s="2243"/>
      <c r="FE107" s="2243"/>
      <c r="FF107" s="2243"/>
      <c r="FG107" s="2243"/>
      <c r="FH107" s="2243"/>
      <c r="FI107" s="2243"/>
    </row>
    <row r="108" spans="1:165">
      <c r="A108" s="2220" t="s">
        <v>28</v>
      </c>
      <c r="B108" s="2233" t="s">
        <v>1739</v>
      </c>
      <c r="C108" s="2145"/>
      <c r="D108" s="2145"/>
      <c r="E108" s="2145"/>
      <c r="F108" s="2145"/>
      <c r="G108" s="1592"/>
      <c r="H108" s="2149"/>
      <c r="I108" s="2237"/>
      <c r="J108" s="2149"/>
      <c r="K108" s="2145"/>
      <c r="L108" s="2145"/>
      <c r="M108" s="2152"/>
      <c r="N108" s="2149">
        <v>0</v>
      </c>
      <c r="O108" s="2109"/>
      <c r="P108" s="2109">
        <v>0</v>
      </c>
      <c r="Q108" s="2109">
        <v>0</v>
      </c>
      <c r="R108" s="2109">
        <f t="shared" si="156"/>
        <v>0</v>
      </c>
      <c r="S108" s="2109"/>
      <c r="T108" s="2109"/>
      <c r="U108" s="2109"/>
      <c r="V108" s="2109"/>
      <c r="W108" s="2109"/>
      <c r="X108" s="2149">
        <v>0</v>
      </c>
      <c r="Y108" s="2109"/>
      <c r="Z108" s="2109">
        <v>0</v>
      </c>
      <c r="AA108" s="2109">
        <v>0</v>
      </c>
      <c r="AB108" s="2109">
        <f t="shared" si="157"/>
        <v>0</v>
      </c>
      <c r="AC108" s="2135"/>
      <c r="AD108" s="2135"/>
      <c r="AE108" s="2135"/>
      <c r="AF108" s="2135"/>
      <c r="AG108" s="2135"/>
      <c r="AH108" s="2149">
        <v>0</v>
      </c>
      <c r="AI108" s="2109"/>
      <c r="AJ108" s="2109">
        <v>0</v>
      </c>
      <c r="AK108" s="2109">
        <v>0</v>
      </c>
      <c r="AL108" s="2109">
        <f t="shared" si="158"/>
        <v>0</v>
      </c>
      <c r="AM108" s="2135"/>
      <c r="AN108" s="2135"/>
      <c r="AO108" s="2238"/>
      <c r="AP108" s="2135"/>
      <c r="AQ108" s="2135"/>
      <c r="AR108" s="2149">
        <v>0</v>
      </c>
      <c r="AS108" s="2109"/>
      <c r="AT108" s="2109">
        <v>0</v>
      </c>
      <c r="AU108" s="2109">
        <v>0</v>
      </c>
      <c r="AV108" s="2109">
        <f t="shared" si="159"/>
        <v>0</v>
      </c>
      <c r="AW108" s="2135"/>
      <c r="AX108" s="2135"/>
      <c r="AY108" s="2238"/>
      <c r="AZ108" s="2135"/>
      <c r="BA108" s="2135"/>
      <c r="BB108" s="2149">
        <v>0</v>
      </c>
      <c r="BC108" s="2109"/>
      <c r="BD108" s="2109">
        <v>0</v>
      </c>
      <c r="BE108" s="2109">
        <v>0</v>
      </c>
      <c r="BF108" s="2109">
        <f t="shared" si="160"/>
        <v>0</v>
      </c>
      <c r="BG108" s="2135"/>
      <c r="BH108" s="2135"/>
      <c r="BI108" s="2238"/>
      <c r="BJ108" s="2135"/>
      <c r="BK108" s="2135"/>
      <c r="BL108" s="2149">
        <v>0</v>
      </c>
      <c r="BM108" s="2109"/>
      <c r="BN108" s="2109">
        <v>0</v>
      </c>
      <c r="BO108" s="2109">
        <v>0</v>
      </c>
      <c r="BP108" s="2109">
        <f t="shared" si="161"/>
        <v>0</v>
      </c>
      <c r="BQ108" s="2135"/>
      <c r="BR108" s="2135"/>
      <c r="BS108" s="2135"/>
      <c r="BT108" s="2135"/>
      <c r="BU108" s="2135"/>
      <c r="BV108" s="2149">
        <v>0</v>
      </c>
      <c r="BW108" s="2109"/>
      <c r="BX108" s="2109">
        <v>0</v>
      </c>
      <c r="BY108" s="2109">
        <v>0</v>
      </c>
      <c r="BZ108" s="2109">
        <f t="shared" si="162"/>
        <v>0</v>
      </c>
      <c r="CA108" s="2135"/>
      <c r="CB108" s="2135"/>
      <c r="CC108" s="2135"/>
      <c r="CD108" s="2135"/>
      <c r="CE108" s="2135"/>
      <c r="CF108" s="2149">
        <v>0</v>
      </c>
      <c r="CG108" s="2109"/>
      <c r="CH108" s="2109">
        <v>0</v>
      </c>
      <c r="CI108" s="2109">
        <v>0</v>
      </c>
      <c r="CJ108" s="2109">
        <f t="shared" si="163"/>
        <v>0</v>
      </c>
      <c r="CK108" s="2135"/>
      <c r="CL108" s="2135"/>
      <c r="CM108" s="2238"/>
      <c r="CN108" s="2135"/>
      <c r="CO108" s="2135"/>
      <c r="CP108" s="2149">
        <v>0</v>
      </c>
      <c r="CQ108" s="2109"/>
      <c r="CR108" s="2109">
        <v>0</v>
      </c>
      <c r="CS108" s="2109">
        <v>0</v>
      </c>
      <c r="CT108" s="2109">
        <f t="shared" si="164"/>
        <v>0</v>
      </c>
      <c r="CU108" s="2135"/>
      <c r="CV108" s="2135"/>
      <c r="CW108" s="2238"/>
      <c r="CX108" s="2135"/>
      <c r="CY108" s="2135"/>
      <c r="CZ108" s="2149">
        <v>0</v>
      </c>
      <c r="DA108" s="2109"/>
      <c r="DB108" s="2109">
        <v>0</v>
      </c>
      <c r="DC108" s="2109">
        <v>0</v>
      </c>
      <c r="DD108" s="2109">
        <f t="shared" si="165"/>
        <v>0</v>
      </c>
      <c r="DE108" s="2135"/>
      <c r="DF108" s="2135"/>
      <c r="DG108" s="2238"/>
      <c r="DH108" s="2135"/>
      <c r="DI108" s="2135"/>
      <c r="DJ108" s="2149">
        <v>0</v>
      </c>
      <c r="DK108" s="2109"/>
      <c r="DL108" s="2109">
        <v>0</v>
      </c>
      <c r="DM108" s="2109">
        <v>0</v>
      </c>
      <c r="DN108" s="2109">
        <f t="shared" si="166"/>
        <v>0</v>
      </c>
      <c r="DO108" s="2135"/>
      <c r="DP108" s="2135"/>
      <c r="DQ108" s="2238"/>
      <c r="DR108" s="2135"/>
      <c r="DS108" s="2135"/>
      <c r="DT108" s="2149">
        <v>0</v>
      </c>
      <c r="DU108" s="2109"/>
      <c r="DV108" s="2109">
        <v>0</v>
      </c>
      <c r="DW108" s="2109">
        <v>0</v>
      </c>
      <c r="DX108" s="2109">
        <f t="shared" si="167"/>
        <v>0</v>
      </c>
      <c r="DY108" s="2135"/>
      <c r="DZ108" s="2135"/>
      <c r="EA108" s="2135"/>
      <c r="EB108" s="2135"/>
      <c r="EC108" s="2135"/>
      <c r="ED108" s="2135"/>
      <c r="EE108" s="2107"/>
      <c r="EF108" s="2106"/>
      <c r="EG108" s="2106"/>
      <c r="EH108" s="2106"/>
      <c r="EI108" s="2106"/>
      <c r="EJ108" s="2106"/>
      <c r="EK108" s="2106"/>
      <c r="EL108" s="2106"/>
      <c r="EM108" s="2106"/>
      <c r="EN108" s="2106"/>
      <c r="EO108" s="2239"/>
      <c r="EP108" s="2240"/>
      <c r="EQ108" s="2224"/>
      <c r="ER108" s="2210"/>
      <c r="ES108" s="2209" t="e">
        <v>#N/A</v>
      </c>
      <c r="ET108" s="2241"/>
      <c r="EU108" s="2230"/>
      <c r="EV108" s="2241"/>
      <c r="EW108" s="2241"/>
      <c r="EX108" s="2241"/>
      <c r="EY108" s="2244"/>
      <c r="EZ108" s="2244"/>
      <c r="FA108" s="2244"/>
      <c r="FB108" s="2242"/>
      <c r="FC108" s="2243"/>
      <c r="FD108" s="2243"/>
      <c r="FE108" s="2243"/>
      <c r="FF108" s="2243"/>
      <c r="FG108" s="2243"/>
      <c r="FH108" s="2243"/>
      <c r="FI108" s="2243"/>
    </row>
    <row r="109" spans="1:165">
      <c r="A109" s="2220">
        <v>1</v>
      </c>
      <c r="B109" s="2145" t="s">
        <v>1740</v>
      </c>
      <c r="C109" s="2146">
        <v>800</v>
      </c>
      <c r="D109" s="2147">
        <f>G109/C109</f>
        <v>0.19889999999999999</v>
      </c>
      <c r="E109" s="2146"/>
      <c r="F109" s="2148">
        <v>0.47923933381742773</v>
      </c>
      <c r="G109" s="2146">
        <v>159.12</v>
      </c>
      <c r="H109" s="2149" t="s">
        <v>1717</v>
      </c>
      <c r="I109" s="2229">
        <v>1</v>
      </c>
      <c r="J109" s="2149">
        <v>601.23373971741933</v>
      </c>
      <c r="K109" s="2148">
        <v>3.4703846153846141E-2</v>
      </c>
      <c r="L109" s="2151"/>
      <c r="M109" s="2152">
        <f>J109*(1-K109)*(1-L109)</f>
        <v>580.36861651176446</v>
      </c>
      <c r="N109" s="2149">
        <v>27.974786599999998</v>
      </c>
      <c r="O109" s="2109">
        <f>IFERROR(P109/N109*10,0)</f>
        <v>5.5417648032657398</v>
      </c>
      <c r="P109" s="2109">
        <v>15.502968775875004</v>
      </c>
      <c r="Q109" s="2109">
        <v>2.7300744478241277</v>
      </c>
      <c r="R109" s="2109">
        <f t="shared" si="156"/>
        <v>7.63732500799928</v>
      </c>
      <c r="S109" s="2109"/>
      <c r="T109" s="2109"/>
      <c r="U109" s="2109"/>
      <c r="V109" s="2109">
        <f>IFERROR(W109/N109*10,0)</f>
        <v>8.2718392510898671</v>
      </c>
      <c r="W109" s="2109">
        <f>P109+R109</f>
        <v>23.140293783874284</v>
      </c>
      <c r="X109" s="2149">
        <v>55.166695479999994</v>
      </c>
      <c r="Y109" s="2109">
        <f>IFERROR(Z109/X109*10,0)</f>
        <v>2.8102043526416072</v>
      </c>
      <c r="Z109" s="2109">
        <v>15.502968775875004</v>
      </c>
      <c r="AA109" s="2109">
        <v>2.7300744478241277</v>
      </c>
      <c r="AB109" s="2109">
        <f t="shared" si="157"/>
        <v>15.060918570084278</v>
      </c>
      <c r="AC109" s="2135"/>
      <c r="AD109" s="2135"/>
      <c r="AE109" s="2135"/>
      <c r="AF109" s="2135">
        <f>IFERROR(AG109/X109*10,0)</f>
        <v>5.5402788004657344</v>
      </c>
      <c r="AG109" s="2135">
        <f>Z109+AB109</f>
        <v>30.56388734595928</v>
      </c>
      <c r="AH109" s="2149">
        <v>96.24509479999999</v>
      </c>
      <c r="AI109" s="2109">
        <f>IFERROR(AJ109/AH109*10,0)</f>
        <v>1.6107801450131676</v>
      </c>
      <c r="AJ109" s="2109">
        <v>15.502968775875004</v>
      </c>
      <c r="AK109" s="2109">
        <v>2.7300744478241277</v>
      </c>
      <c r="AL109" s="2109">
        <f t="shared" si="158"/>
        <v>26.275627404189077</v>
      </c>
      <c r="AM109" s="2135"/>
      <c r="AN109" s="2135"/>
      <c r="AO109" s="2135"/>
      <c r="AP109" s="2135">
        <f>IFERROR(AQ109/AH109*10,0)</f>
        <v>4.3408545928372959</v>
      </c>
      <c r="AQ109" s="2135">
        <f>AL109+AJ109</f>
        <v>41.778596180064085</v>
      </c>
      <c r="AR109" s="2149">
        <v>105.48128447999999</v>
      </c>
      <c r="AS109" s="2109">
        <f>IFERROR(AT109/AR109*10,0)</f>
        <v>1.469736442090301</v>
      </c>
      <c r="AT109" s="2109">
        <v>15.502968775875004</v>
      </c>
      <c r="AU109" s="2109">
        <v>2.7300744478241277</v>
      </c>
      <c r="AV109" s="2109">
        <f t="shared" si="159"/>
        <v>28.797175948251567</v>
      </c>
      <c r="AW109" s="2135"/>
      <c r="AX109" s="2135"/>
      <c r="AY109" s="2135"/>
      <c r="AZ109" s="2135">
        <f>IFERROR(BA109/AR109*10,0)</f>
        <v>4.1998108899144277</v>
      </c>
      <c r="BA109" s="2135">
        <f>AV109+AT109</f>
        <v>44.300144724126568</v>
      </c>
      <c r="BB109" s="2149">
        <v>105.48128447999999</v>
      </c>
      <c r="BC109" s="2109">
        <f>IFERROR(BD109/BB109*10,0)</f>
        <v>1.469736442090301</v>
      </c>
      <c r="BD109" s="2109">
        <v>15.502968775875004</v>
      </c>
      <c r="BE109" s="2109">
        <v>2.7300744478241277</v>
      </c>
      <c r="BF109" s="2109">
        <f t="shared" si="160"/>
        <v>28.797175948251567</v>
      </c>
      <c r="BG109" s="2135"/>
      <c r="BH109" s="2135"/>
      <c r="BI109" s="2135"/>
      <c r="BJ109" s="2135">
        <f>IFERROR(BK109/BB109*10,0)</f>
        <v>4.1998108899144277</v>
      </c>
      <c r="BK109" s="2135">
        <f>BF109+BD109</f>
        <v>44.300144724126568</v>
      </c>
      <c r="BL109" s="2149">
        <v>83.230395677419352</v>
      </c>
      <c r="BM109" s="2109">
        <f>IFERROR(BN109/BL109*10,0)</f>
        <v>1.8626571037774131</v>
      </c>
      <c r="BN109" s="2109">
        <v>15.502968775875004</v>
      </c>
      <c r="BO109" s="2109">
        <v>2.7300744478241277</v>
      </c>
      <c r="BP109" s="2109">
        <f t="shared" si="161"/>
        <v>22.722517652121432</v>
      </c>
      <c r="BQ109" s="2135"/>
      <c r="BR109" s="2135"/>
      <c r="BS109" s="2135"/>
      <c r="BT109" s="2135">
        <f>IFERROR(BU109/BL109*10,0)</f>
        <v>4.592731551601541</v>
      </c>
      <c r="BU109" s="2135">
        <f>BP109+BN109</f>
        <v>38.225486427996437</v>
      </c>
      <c r="BV109" s="2149">
        <v>36.658533399999996</v>
      </c>
      <c r="BW109" s="2109">
        <f>IFERROR(BX109/BV109*10,0)</f>
        <v>4.2290204593604948</v>
      </c>
      <c r="BX109" s="2109">
        <v>15.502968775875004</v>
      </c>
      <c r="BY109" s="2109">
        <v>2.7300744478241277</v>
      </c>
      <c r="BZ109" s="2109">
        <f t="shared" si="162"/>
        <v>10.008052533004733</v>
      </c>
      <c r="CA109" s="2135"/>
      <c r="CB109" s="2135"/>
      <c r="CC109" s="2135"/>
      <c r="CD109" s="2135">
        <f>IFERROR(CE109/BV109*10,0)</f>
        <v>6.9590949071846229</v>
      </c>
      <c r="CE109" s="2135">
        <f>BZ109+BX109</f>
        <v>25.511021308879737</v>
      </c>
      <c r="CF109" s="2149">
        <v>24.273414799999998</v>
      </c>
      <c r="CG109" s="2109">
        <f>IFERROR(CH109/CF109*10,0)</f>
        <v>6.3868099744560887</v>
      </c>
      <c r="CH109" s="2109">
        <v>15.502968775875004</v>
      </c>
      <c r="CI109" s="2109">
        <v>2.7300744478241277</v>
      </c>
      <c r="CJ109" s="2109">
        <f t="shared" si="163"/>
        <v>6.6268229506915999</v>
      </c>
      <c r="CK109" s="2135"/>
      <c r="CL109" s="2135"/>
      <c r="CM109" s="2135"/>
      <c r="CN109" s="2135">
        <f>IFERROR(CO109/CF109*10,0)</f>
        <v>9.1168844222802168</v>
      </c>
      <c r="CO109" s="2135">
        <f>CJ109+CH109</f>
        <v>22.129791726566605</v>
      </c>
      <c r="CP109" s="2149">
        <v>17.467750399999996</v>
      </c>
      <c r="CQ109" s="2109">
        <f>IFERROR(CR109/CP109*10,0)</f>
        <v>8.8751948137952592</v>
      </c>
      <c r="CR109" s="2109">
        <v>15.502968775875004</v>
      </c>
      <c r="CS109" s="2109">
        <v>2.7300744478241277</v>
      </c>
      <c r="CT109" s="2109">
        <f t="shared" si="164"/>
        <v>4.7688259028009679</v>
      </c>
      <c r="CU109" s="2135"/>
      <c r="CV109" s="2135"/>
      <c r="CW109" s="2135"/>
      <c r="CX109" s="2135">
        <f>IFERROR(CY109/CP109*10,0)</f>
        <v>11.605269261619389</v>
      </c>
      <c r="CY109" s="2135">
        <f>CT109+CR109</f>
        <v>20.271794678675974</v>
      </c>
      <c r="CZ109" s="2149">
        <v>16.296463999999993</v>
      </c>
      <c r="DA109" s="2109">
        <f>IFERROR(DB109/CZ109*10,0)</f>
        <v>9.513087486877529</v>
      </c>
      <c r="DB109" s="2109">
        <v>15.502968775875004</v>
      </c>
      <c r="DC109" s="2109">
        <v>2.7300744478241277</v>
      </c>
      <c r="DD109" s="2109">
        <f t="shared" si="165"/>
        <v>4.4490559956285756</v>
      </c>
      <c r="DE109" s="2135"/>
      <c r="DF109" s="2135"/>
      <c r="DG109" s="2135"/>
      <c r="DH109" s="2135">
        <f>IFERROR(DI109/CZ109*10,0)</f>
        <v>12.243161934701657</v>
      </c>
      <c r="DI109" s="2135">
        <f>DD109+DB109</f>
        <v>19.952024771503581</v>
      </c>
      <c r="DJ109" s="2149">
        <v>14.899659999999999</v>
      </c>
      <c r="DK109" s="2109">
        <f>IFERROR(DL109/DJ109*10,0)</f>
        <v>10.404914458366839</v>
      </c>
      <c r="DL109" s="2109">
        <v>15.502968775875004</v>
      </c>
      <c r="DM109" s="2109">
        <v>2.7300744478241277</v>
      </c>
      <c r="DN109" s="2109">
        <f t="shared" si="166"/>
        <v>4.0677181047267243</v>
      </c>
      <c r="DO109" s="2135"/>
      <c r="DP109" s="2135"/>
      <c r="DQ109" s="2135"/>
      <c r="DR109" s="2135">
        <f>IFERROR(DS109/DJ109*10,0)</f>
        <v>13.134988906190966</v>
      </c>
      <c r="DS109" s="2135">
        <f>DN109+DL109</f>
        <v>19.570686880601727</v>
      </c>
      <c r="DT109" s="2149">
        <v>18.058375599999994</v>
      </c>
      <c r="DU109" s="2109">
        <f>IFERROR(DV109/DT109*10,0)</f>
        <v>8.5849187763460897</v>
      </c>
      <c r="DV109" s="2109">
        <v>15.502968775875004</v>
      </c>
      <c r="DW109" s="2109">
        <v>2.7300744478241277</v>
      </c>
      <c r="DX109" s="2109">
        <f t="shared" si="167"/>
        <v>4.9300709794770681</v>
      </c>
      <c r="DY109" s="2135"/>
      <c r="DZ109" s="2135"/>
      <c r="EA109" s="2135"/>
      <c r="EB109" s="2135">
        <f>IFERROR(EC109/DT109*10,0)</f>
        <v>11.314993224170218</v>
      </c>
      <c r="EC109" s="2135">
        <f>DX109+DV109</f>
        <v>20.433039755352073</v>
      </c>
      <c r="ED109" s="2135"/>
      <c r="EE109" s="2106">
        <f>SUM(N109,X109,AH109,AR109,BB109,BL109,BV109,CF109,CP109,CZ109,DJ109,DT109)</f>
        <v>601.23373971741933</v>
      </c>
      <c r="EF109" s="2106">
        <f>IFERROR((EG109/EE109)*10,0)</f>
        <v>3.0942312951022508</v>
      </c>
      <c r="EG109" s="2106">
        <f>SUM(P109,Z109,AJ109,AT109,BD109,BN109,BX109,CR109,CH109,DB109,DL109,DV109)</f>
        <v>186.0356253105</v>
      </c>
      <c r="EH109" s="2106">
        <f>IFERROR((EI109/EE109)*10,0)</f>
        <v>2.7300744478241272</v>
      </c>
      <c r="EI109" s="2106">
        <f>SUM(R109,AB109,AL109,AV109,BF109,BP109,BZ109,CJ109,CT109,DD109,DN109,DX109)</f>
        <v>164.14128699722687</v>
      </c>
      <c r="EJ109" s="2106"/>
      <c r="EK109" s="2106"/>
      <c r="EL109" s="2106"/>
      <c r="EM109" s="2106">
        <f>IFERROR(EN109/EE109*10,0)</f>
        <v>5.824305742926378</v>
      </c>
      <c r="EN109" s="2106">
        <f>EG109+EI109</f>
        <v>350.17691230772687</v>
      </c>
      <c r="EO109" s="2106">
        <f>EN109/J109*10</f>
        <v>5.824305742926378</v>
      </c>
      <c r="EP109" s="2114">
        <f>EN109/M109*10</f>
        <v>6.0336982797661065</v>
      </c>
      <c r="EQ109" s="2224" t="s">
        <v>2091</v>
      </c>
      <c r="ER109" s="2210"/>
      <c r="ES109" s="2209" t="e">
        <v>#N/A</v>
      </c>
      <c r="ET109" s="2241"/>
      <c r="EU109" s="2230"/>
      <c r="EV109" s="2241"/>
      <c r="EW109" s="2241"/>
      <c r="EX109" s="2241"/>
      <c r="EY109" s="2244"/>
      <c r="EZ109" s="2244"/>
      <c r="FA109" s="2244"/>
      <c r="FB109" s="2242"/>
      <c r="FC109" s="2243"/>
      <c r="FD109" s="2243"/>
      <c r="FE109" s="2243"/>
      <c r="FF109" s="2243"/>
      <c r="FG109" s="2243"/>
      <c r="FH109" s="2243"/>
      <c r="FI109" s="2243"/>
    </row>
    <row r="110" spans="1:165">
      <c r="A110" s="2220">
        <v>2</v>
      </c>
      <c r="B110" s="2145" t="s">
        <v>1741</v>
      </c>
      <c r="C110" s="2146">
        <v>520</v>
      </c>
      <c r="D110" s="2147">
        <f>G110/C110</f>
        <v>0.19230769230769232</v>
      </c>
      <c r="E110" s="2146"/>
      <c r="F110" s="2148">
        <v>0.54966688381090767</v>
      </c>
      <c r="G110" s="2146">
        <v>100</v>
      </c>
      <c r="H110" s="2149" t="s">
        <v>1717</v>
      </c>
      <c r="I110" s="2229">
        <v>1</v>
      </c>
      <c r="J110" s="2149">
        <v>0</v>
      </c>
      <c r="K110" s="2148">
        <v>3.4703846153846141E-2</v>
      </c>
      <c r="L110" s="2151"/>
      <c r="M110" s="2152">
        <f>J110*(1-K110)*(1-L110)</f>
        <v>0</v>
      </c>
      <c r="N110" s="2149">
        <v>0</v>
      </c>
      <c r="O110" s="2109">
        <f>IFERROR(P110/N110*10,0)</f>
        <v>0</v>
      </c>
      <c r="P110" s="2109">
        <v>0</v>
      </c>
      <c r="Q110" s="2109">
        <v>0</v>
      </c>
      <c r="R110" s="2109">
        <f t="shared" si="156"/>
        <v>0</v>
      </c>
      <c r="S110" s="2109"/>
      <c r="T110" s="2109"/>
      <c r="U110" s="2109"/>
      <c r="V110" s="2109">
        <f>IFERROR(W110/N110*10,0)</f>
        <v>0</v>
      </c>
      <c r="W110" s="2109">
        <f>P110+R110</f>
        <v>0</v>
      </c>
      <c r="X110" s="2149">
        <v>0</v>
      </c>
      <c r="Y110" s="2109">
        <f>IFERROR(Z110/X110*10,0)</f>
        <v>0</v>
      </c>
      <c r="Z110" s="2109">
        <v>0</v>
      </c>
      <c r="AA110" s="2109">
        <v>0</v>
      </c>
      <c r="AB110" s="2109">
        <f t="shared" si="157"/>
        <v>0</v>
      </c>
      <c r="AC110" s="2135"/>
      <c r="AD110" s="2135"/>
      <c r="AE110" s="2135"/>
      <c r="AF110" s="2135">
        <f>IFERROR(AG110/X110*10,0)</f>
        <v>0</v>
      </c>
      <c r="AG110" s="2135">
        <f>Z110+AB110</f>
        <v>0</v>
      </c>
      <c r="AH110" s="2149">
        <v>0</v>
      </c>
      <c r="AI110" s="2109">
        <f>IFERROR(AJ110/AH110*10,0)</f>
        <v>0</v>
      </c>
      <c r="AJ110" s="2109">
        <v>0</v>
      </c>
      <c r="AK110" s="2109">
        <v>0</v>
      </c>
      <c r="AL110" s="2109">
        <f t="shared" si="158"/>
        <v>0</v>
      </c>
      <c r="AM110" s="2135"/>
      <c r="AN110" s="2135"/>
      <c r="AO110" s="2135"/>
      <c r="AP110" s="2135">
        <f>IFERROR(AQ110/AH110*10,0)</f>
        <v>0</v>
      </c>
      <c r="AQ110" s="2135">
        <f>AL110+AJ110</f>
        <v>0</v>
      </c>
      <c r="AR110" s="2149">
        <v>0</v>
      </c>
      <c r="AS110" s="2109">
        <f>IFERROR(AT110/AR110*10,0)</f>
        <v>0</v>
      </c>
      <c r="AT110" s="2109">
        <v>0</v>
      </c>
      <c r="AU110" s="2109">
        <v>0</v>
      </c>
      <c r="AV110" s="2109">
        <f t="shared" si="159"/>
        <v>0</v>
      </c>
      <c r="AW110" s="2135"/>
      <c r="AX110" s="2135"/>
      <c r="AY110" s="2135"/>
      <c r="AZ110" s="2135">
        <f>IFERROR(BA110/AR110*10,0)</f>
        <v>0</v>
      </c>
      <c r="BA110" s="2135">
        <f>AV110+AT110</f>
        <v>0</v>
      </c>
      <c r="BB110" s="2149">
        <v>0</v>
      </c>
      <c r="BC110" s="2109">
        <f>IFERROR(BD110/BB110*10,0)</f>
        <v>0</v>
      </c>
      <c r="BD110" s="2109">
        <v>0</v>
      </c>
      <c r="BE110" s="2109">
        <v>0</v>
      </c>
      <c r="BF110" s="2109">
        <f t="shared" si="160"/>
        <v>0</v>
      </c>
      <c r="BG110" s="2135"/>
      <c r="BH110" s="2135"/>
      <c r="BI110" s="2135"/>
      <c r="BJ110" s="2135">
        <f>IFERROR(BK110/BB110*10,0)</f>
        <v>0</v>
      </c>
      <c r="BK110" s="2135">
        <f>BF110+BD110</f>
        <v>0</v>
      </c>
      <c r="BL110" s="2149">
        <v>0</v>
      </c>
      <c r="BM110" s="2109">
        <f>IFERROR(BN110/BL110*10,0)</f>
        <v>0</v>
      </c>
      <c r="BN110" s="2109">
        <v>0</v>
      </c>
      <c r="BO110" s="2109">
        <v>0</v>
      </c>
      <c r="BP110" s="2109">
        <f t="shared" si="161"/>
        <v>0</v>
      </c>
      <c r="BQ110" s="2135"/>
      <c r="BR110" s="2135"/>
      <c r="BS110" s="2135"/>
      <c r="BT110" s="2135">
        <f>IFERROR(BU110/BL110*10,0)</f>
        <v>0</v>
      </c>
      <c r="BU110" s="2135">
        <f>BP110+BN110</f>
        <v>0</v>
      </c>
      <c r="BV110" s="2149">
        <v>0</v>
      </c>
      <c r="BW110" s="2109">
        <f>IFERROR(BX110/BV110*10,0)</f>
        <v>0</v>
      </c>
      <c r="BX110" s="2109">
        <v>0</v>
      </c>
      <c r="BY110" s="2109">
        <v>0</v>
      </c>
      <c r="BZ110" s="2109">
        <f t="shared" si="162"/>
        <v>0</v>
      </c>
      <c r="CA110" s="2135"/>
      <c r="CB110" s="2135"/>
      <c r="CC110" s="2135"/>
      <c r="CD110" s="2135">
        <f>IFERROR(CE110/BV110*10,0)</f>
        <v>0</v>
      </c>
      <c r="CE110" s="2135">
        <f>BZ110+BX110</f>
        <v>0</v>
      </c>
      <c r="CF110" s="2149">
        <v>0</v>
      </c>
      <c r="CG110" s="2109">
        <f>IFERROR(CH110/CF110*10,0)</f>
        <v>0</v>
      </c>
      <c r="CH110" s="2109">
        <v>0</v>
      </c>
      <c r="CI110" s="2109">
        <v>0</v>
      </c>
      <c r="CJ110" s="2109">
        <f t="shared" si="163"/>
        <v>0</v>
      </c>
      <c r="CK110" s="2135"/>
      <c r="CL110" s="2135"/>
      <c r="CM110" s="2135"/>
      <c r="CN110" s="2135">
        <f>IFERROR(CO110/CF110*10,0)</f>
        <v>0</v>
      </c>
      <c r="CO110" s="2135">
        <f>CJ110+CH110</f>
        <v>0</v>
      </c>
      <c r="CP110" s="2149">
        <v>0</v>
      </c>
      <c r="CQ110" s="2109">
        <f>IFERROR(CR110/CP110*10,0)</f>
        <v>0</v>
      </c>
      <c r="CR110" s="2109">
        <v>0</v>
      </c>
      <c r="CS110" s="2109">
        <v>0</v>
      </c>
      <c r="CT110" s="2109">
        <f t="shared" si="164"/>
        <v>0</v>
      </c>
      <c r="CU110" s="2135"/>
      <c r="CV110" s="2135"/>
      <c r="CW110" s="2135"/>
      <c r="CX110" s="2135">
        <f>IFERROR(CY110/CP110*10,0)</f>
        <v>0</v>
      </c>
      <c r="CY110" s="2135">
        <f>CT110+CR110</f>
        <v>0</v>
      </c>
      <c r="CZ110" s="2149">
        <v>0</v>
      </c>
      <c r="DA110" s="2109">
        <f>IFERROR(DB110/CZ110*10,0)</f>
        <v>0</v>
      </c>
      <c r="DB110" s="2109">
        <v>0</v>
      </c>
      <c r="DC110" s="2109">
        <v>0</v>
      </c>
      <c r="DD110" s="2109">
        <f t="shared" si="165"/>
        <v>0</v>
      </c>
      <c r="DE110" s="2135"/>
      <c r="DF110" s="2135"/>
      <c r="DG110" s="2135"/>
      <c r="DH110" s="2135">
        <f>IFERROR(DI110/CZ110*10,0)</f>
        <v>0</v>
      </c>
      <c r="DI110" s="2135">
        <f>DD110+DB110</f>
        <v>0</v>
      </c>
      <c r="DJ110" s="2149">
        <v>0</v>
      </c>
      <c r="DK110" s="2109">
        <f>IFERROR(DL110/DJ110*10,0)</f>
        <v>0</v>
      </c>
      <c r="DL110" s="2109">
        <v>0</v>
      </c>
      <c r="DM110" s="2109">
        <v>0</v>
      </c>
      <c r="DN110" s="2109">
        <f t="shared" si="166"/>
        <v>0</v>
      </c>
      <c r="DO110" s="2135"/>
      <c r="DP110" s="2135"/>
      <c r="DQ110" s="2135"/>
      <c r="DR110" s="2135">
        <f>IFERROR(DS110/DJ110*10,0)</f>
        <v>0</v>
      </c>
      <c r="DS110" s="2135">
        <f>DN110+DL110</f>
        <v>0</v>
      </c>
      <c r="DT110" s="2149">
        <v>0</v>
      </c>
      <c r="DU110" s="2109">
        <f>IFERROR(DV110/DT110*10,0)</f>
        <v>0</v>
      </c>
      <c r="DV110" s="2109">
        <v>0</v>
      </c>
      <c r="DW110" s="2109">
        <v>0</v>
      </c>
      <c r="DX110" s="2109">
        <f t="shared" si="167"/>
        <v>0</v>
      </c>
      <c r="DY110" s="2135"/>
      <c r="DZ110" s="2135"/>
      <c r="EA110" s="2135"/>
      <c r="EB110" s="2135">
        <f>IFERROR(EC110/DT110*10,0)</f>
        <v>0</v>
      </c>
      <c r="EC110" s="2135">
        <f>DX110+DV110</f>
        <v>0</v>
      </c>
      <c r="ED110" s="2135"/>
      <c r="EE110" s="2106">
        <f>SUM(N110,X110,AH110,AR110,BB110,BL110,BV110,CF110,CP110,CZ110,DJ110,DT110)</f>
        <v>0</v>
      </c>
      <c r="EF110" s="2106">
        <f>IFERROR((EG110/EE110)*10,0)</f>
        <v>0</v>
      </c>
      <c r="EG110" s="2106">
        <f>SUM(P110,Z110,AJ110,AT110,BD110,BN110,BX110,CR110,CH110,DB110,DL110,DV110)</f>
        <v>0</v>
      </c>
      <c r="EH110" s="2106">
        <f>IFERROR((EI110/EE110)*10,0)</f>
        <v>0</v>
      </c>
      <c r="EI110" s="2106">
        <f>SUM(R110,AB110,AL110,AV110,BF110,BP110,BZ110,CJ110,CT110,DD110,DN110,DX110)</f>
        <v>0</v>
      </c>
      <c r="EJ110" s="2106"/>
      <c r="EK110" s="2106"/>
      <c r="EL110" s="2106"/>
      <c r="EM110" s="2106">
        <f>IFERROR(EN110/EE110*10,0)</f>
        <v>0</v>
      </c>
      <c r="EN110" s="2106">
        <f>EG110+EI110</f>
        <v>0</v>
      </c>
      <c r="EO110" s="2257" t="e">
        <f>EN110/J110*10</f>
        <v>#DIV/0!</v>
      </c>
      <c r="EP110" s="2114" t="e">
        <f>EN110/M110*10</f>
        <v>#DIV/0!</v>
      </c>
      <c r="EQ110" s="2224"/>
      <c r="ER110" s="2210"/>
      <c r="ES110" s="2209" t="e">
        <v>#N/A</v>
      </c>
      <c r="ET110" s="2241"/>
      <c r="EU110" s="2230"/>
      <c r="EV110" s="2241"/>
      <c r="EW110" s="2241"/>
      <c r="EX110" s="2241"/>
      <c r="EY110" s="2244"/>
      <c r="EZ110" s="2244"/>
      <c r="FA110" s="2244"/>
      <c r="FB110" s="2242"/>
      <c r="FC110" s="2243"/>
      <c r="FD110" s="2243"/>
      <c r="FE110" s="2243"/>
      <c r="FF110" s="2243"/>
      <c r="FG110" s="2243"/>
      <c r="FH110" s="2243"/>
      <c r="FI110" s="2243"/>
    </row>
    <row r="111" spans="1:165">
      <c r="A111" s="2220">
        <v>3</v>
      </c>
      <c r="B111" s="2145" t="s">
        <v>1742</v>
      </c>
      <c r="C111" s="2146">
        <v>171</v>
      </c>
      <c r="D111" s="2147">
        <f>G111/C111</f>
        <v>0.19883040935672514</v>
      </c>
      <c r="E111" s="2146"/>
      <c r="F111" s="2148">
        <v>0</v>
      </c>
      <c r="G111" s="2146">
        <v>34</v>
      </c>
      <c r="H111" s="2149" t="s">
        <v>1717</v>
      </c>
      <c r="I111" s="2229">
        <v>1</v>
      </c>
      <c r="J111" s="2149">
        <v>0</v>
      </c>
      <c r="K111" s="2148">
        <v>3.4703846153846141E-2</v>
      </c>
      <c r="L111" s="2151"/>
      <c r="M111" s="2152">
        <f>J111*(1-K111)*(1-L111)</f>
        <v>0</v>
      </c>
      <c r="N111" s="2149">
        <v>0</v>
      </c>
      <c r="O111" s="2109">
        <f>IFERROR(P111/N111*10,0)</f>
        <v>0</v>
      </c>
      <c r="P111" s="2109">
        <v>0</v>
      </c>
      <c r="Q111" s="2109">
        <v>0</v>
      </c>
      <c r="R111" s="2109">
        <f t="shared" si="156"/>
        <v>0</v>
      </c>
      <c r="S111" s="2109"/>
      <c r="T111" s="2109"/>
      <c r="U111" s="2109"/>
      <c r="V111" s="2109">
        <f>IFERROR(W111/N111*10,0)</f>
        <v>0</v>
      </c>
      <c r="W111" s="2109">
        <f>P111+R111</f>
        <v>0</v>
      </c>
      <c r="X111" s="2149">
        <v>0</v>
      </c>
      <c r="Y111" s="2109">
        <f>IFERROR(Z111/X111*10,0)</f>
        <v>0</v>
      </c>
      <c r="Z111" s="2109">
        <v>0</v>
      </c>
      <c r="AA111" s="2109">
        <v>0</v>
      </c>
      <c r="AB111" s="2109">
        <f t="shared" si="157"/>
        <v>0</v>
      </c>
      <c r="AC111" s="2135"/>
      <c r="AD111" s="2135"/>
      <c r="AE111" s="2135"/>
      <c r="AF111" s="2135">
        <f>IFERROR(AG111/X111*10,0)</f>
        <v>0</v>
      </c>
      <c r="AG111" s="2135">
        <f>Z111+AB111</f>
        <v>0</v>
      </c>
      <c r="AH111" s="2149">
        <v>0</v>
      </c>
      <c r="AI111" s="2109">
        <f>IFERROR(AJ111/AH111*10,0)</f>
        <v>0</v>
      </c>
      <c r="AJ111" s="2109">
        <v>0</v>
      </c>
      <c r="AK111" s="2109">
        <v>0</v>
      </c>
      <c r="AL111" s="2109">
        <f t="shared" si="158"/>
        <v>0</v>
      </c>
      <c r="AM111" s="2135"/>
      <c r="AN111" s="2135"/>
      <c r="AO111" s="2135"/>
      <c r="AP111" s="2135">
        <f>IFERROR(AQ111/AH111*10,0)</f>
        <v>0</v>
      </c>
      <c r="AQ111" s="2135">
        <f>AL111+AJ111</f>
        <v>0</v>
      </c>
      <c r="AR111" s="2149">
        <v>0</v>
      </c>
      <c r="AS111" s="2109">
        <f>IFERROR(AT111/AR111*10,0)</f>
        <v>0</v>
      </c>
      <c r="AT111" s="2109">
        <v>0</v>
      </c>
      <c r="AU111" s="2109">
        <v>0</v>
      </c>
      <c r="AV111" s="2109">
        <f t="shared" si="159"/>
        <v>0</v>
      </c>
      <c r="AW111" s="2135"/>
      <c r="AX111" s="2135"/>
      <c r="AY111" s="2135"/>
      <c r="AZ111" s="2135">
        <f>IFERROR(BA111/AR111*10,0)</f>
        <v>0</v>
      </c>
      <c r="BA111" s="2135">
        <f>AV111+AT111</f>
        <v>0</v>
      </c>
      <c r="BB111" s="2149">
        <v>0</v>
      </c>
      <c r="BC111" s="2109">
        <f>IFERROR(BD111/BB111*10,0)</f>
        <v>0</v>
      </c>
      <c r="BD111" s="2109">
        <v>0</v>
      </c>
      <c r="BE111" s="2109">
        <v>0</v>
      </c>
      <c r="BF111" s="2109">
        <f t="shared" si="160"/>
        <v>0</v>
      </c>
      <c r="BG111" s="2135"/>
      <c r="BH111" s="2135"/>
      <c r="BI111" s="2135"/>
      <c r="BJ111" s="2135">
        <f>IFERROR(BK111/BB111*10,0)</f>
        <v>0</v>
      </c>
      <c r="BK111" s="2135">
        <f>BF111+BD111</f>
        <v>0</v>
      </c>
      <c r="BL111" s="2149">
        <v>0</v>
      </c>
      <c r="BM111" s="2109">
        <f>IFERROR(BN111/BL111*10,0)</f>
        <v>0</v>
      </c>
      <c r="BN111" s="2109">
        <v>0</v>
      </c>
      <c r="BO111" s="2109">
        <v>0</v>
      </c>
      <c r="BP111" s="2109">
        <f t="shared" si="161"/>
        <v>0</v>
      </c>
      <c r="BQ111" s="2135"/>
      <c r="BR111" s="2135"/>
      <c r="BS111" s="2135"/>
      <c r="BT111" s="2135">
        <f>IFERROR(BU111/BL111*10,0)</f>
        <v>0</v>
      </c>
      <c r="BU111" s="2135">
        <f>BP111+BN111</f>
        <v>0</v>
      </c>
      <c r="BV111" s="2149">
        <v>0</v>
      </c>
      <c r="BW111" s="2109">
        <f>IFERROR(BX111/BV111*10,0)</f>
        <v>0</v>
      </c>
      <c r="BX111" s="2109">
        <v>0</v>
      </c>
      <c r="BY111" s="2109">
        <v>0</v>
      </c>
      <c r="BZ111" s="2109">
        <f t="shared" si="162"/>
        <v>0</v>
      </c>
      <c r="CA111" s="2135"/>
      <c r="CB111" s="2135"/>
      <c r="CC111" s="2135"/>
      <c r="CD111" s="2135">
        <f>IFERROR(CE111/BV111*10,0)</f>
        <v>0</v>
      </c>
      <c r="CE111" s="2135">
        <f>BZ111+BX111</f>
        <v>0</v>
      </c>
      <c r="CF111" s="2149">
        <v>0</v>
      </c>
      <c r="CG111" s="2109">
        <f>IFERROR(CH111/CF111*10,0)</f>
        <v>0</v>
      </c>
      <c r="CH111" s="2109">
        <v>0</v>
      </c>
      <c r="CI111" s="2109">
        <v>0</v>
      </c>
      <c r="CJ111" s="2109">
        <f t="shared" si="163"/>
        <v>0</v>
      </c>
      <c r="CK111" s="2135"/>
      <c r="CL111" s="2135"/>
      <c r="CM111" s="2135"/>
      <c r="CN111" s="2135">
        <f>IFERROR(CO111/CF111*10,0)</f>
        <v>0</v>
      </c>
      <c r="CO111" s="2135">
        <f>CJ111+CH111</f>
        <v>0</v>
      </c>
      <c r="CP111" s="2149">
        <v>0</v>
      </c>
      <c r="CQ111" s="2109">
        <f>IFERROR(CR111/CP111*10,0)</f>
        <v>0</v>
      </c>
      <c r="CR111" s="2109">
        <v>0</v>
      </c>
      <c r="CS111" s="2109">
        <v>0</v>
      </c>
      <c r="CT111" s="2109">
        <f t="shared" si="164"/>
        <v>0</v>
      </c>
      <c r="CU111" s="2135"/>
      <c r="CV111" s="2135"/>
      <c r="CW111" s="2135"/>
      <c r="CX111" s="2135">
        <f>IFERROR(CY111/CP111*10,0)</f>
        <v>0</v>
      </c>
      <c r="CY111" s="2135">
        <f>CT111+CR111</f>
        <v>0</v>
      </c>
      <c r="CZ111" s="2149">
        <v>0</v>
      </c>
      <c r="DA111" s="2109">
        <f>IFERROR(DB111/CZ111*10,0)</f>
        <v>0</v>
      </c>
      <c r="DB111" s="2109">
        <v>0</v>
      </c>
      <c r="DC111" s="2109">
        <v>0</v>
      </c>
      <c r="DD111" s="2109">
        <f t="shared" si="165"/>
        <v>0</v>
      </c>
      <c r="DE111" s="2135"/>
      <c r="DF111" s="2135"/>
      <c r="DG111" s="2135"/>
      <c r="DH111" s="2135">
        <f>IFERROR(DI111/CZ111*10,0)</f>
        <v>0</v>
      </c>
      <c r="DI111" s="2135">
        <f>DD111+DB111</f>
        <v>0</v>
      </c>
      <c r="DJ111" s="2149">
        <v>0</v>
      </c>
      <c r="DK111" s="2109">
        <f>IFERROR(DL111/DJ111*10,0)</f>
        <v>0</v>
      </c>
      <c r="DL111" s="2109">
        <v>0</v>
      </c>
      <c r="DM111" s="2109">
        <v>0</v>
      </c>
      <c r="DN111" s="2109">
        <f t="shared" si="166"/>
        <v>0</v>
      </c>
      <c r="DO111" s="2135"/>
      <c r="DP111" s="2135"/>
      <c r="DQ111" s="2135"/>
      <c r="DR111" s="2135">
        <f>IFERROR(DS111/DJ111*10,0)</f>
        <v>0</v>
      </c>
      <c r="DS111" s="2135">
        <f>DN111+DL111</f>
        <v>0</v>
      </c>
      <c r="DT111" s="2149">
        <v>0</v>
      </c>
      <c r="DU111" s="2109">
        <f>IFERROR(DV111/DT111*10,0)</f>
        <v>0</v>
      </c>
      <c r="DV111" s="2109">
        <v>0</v>
      </c>
      <c r="DW111" s="2109">
        <v>0</v>
      </c>
      <c r="DX111" s="2109">
        <f t="shared" si="167"/>
        <v>0</v>
      </c>
      <c r="DY111" s="2135"/>
      <c r="DZ111" s="2135"/>
      <c r="EA111" s="2135"/>
      <c r="EB111" s="2135">
        <f>IFERROR(EC111/DT111*10,0)</f>
        <v>0</v>
      </c>
      <c r="EC111" s="2135">
        <f>DX111+DV111</f>
        <v>0</v>
      </c>
      <c r="ED111" s="2135"/>
      <c r="EE111" s="2106">
        <f>SUM(N111,X111,AH111,AR111,BB111,BL111,BV111,CF111,CP111,CZ111,DJ111,DT111)</f>
        <v>0</v>
      </c>
      <c r="EF111" s="2106">
        <f>IFERROR((EG111/EE111)*10,0)</f>
        <v>0</v>
      </c>
      <c r="EG111" s="2106">
        <f>SUM(P111,Z111,AJ111,AT111,BD111,BN111,BX111,CR111,CH111,DB111,DL111,DV111)</f>
        <v>0</v>
      </c>
      <c r="EH111" s="2106">
        <f>IFERROR((EI111/EE111)*10,0)</f>
        <v>0</v>
      </c>
      <c r="EI111" s="2106">
        <f>SUM(R111,AB111,AL111,AV111,BF111,BP111,BZ111,CJ111,CT111,DD111,DN111,DX111)</f>
        <v>0</v>
      </c>
      <c r="EJ111" s="2106"/>
      <c r="EK111" s="2106"/>
      <c r="EL111" s="2106"/>
      <c r="EM111" s="2106">
        <f>IFERROR(EN111/EE111*10,0)</f>
        <v>0</v>
      </c>
      <c r="EN111" s="2106">
        <f>EG111+EI111</f>
        <v>0</v>
      </c>
      <c r="EO111" s="2106"/>
      <c r="EP111" s="2114"/>
      <c r="EQ111" s="2224"/>
      <c r="ER111" s="2210"/>
      <c r="ES111" s="2209" t="e">
        <v>#N/A</v>
      </c>
      <c r="ET111" s="2241"/>
      <c r="EU111" s="2230"/>
      <c r="EV111" s="2241"/>
      <c r="EW111" s="2241"/>
      <c r="EX111" s="2241"/>
      <c r="EY111" s="2244"/>
      <c r="EZ111" s="2244"/>
      <c r="FA111" s="2244"/>
      <c r="FB111" s="2242"/>
      <c r="FC111" s="2243"/>
      <c r="FD111" s="2243"/>
      <c r="FE111" s="2243"/>
      <c r="FF111" s="2243"/>
      <c r="FG111" s="2243"/>
      <c r="FH111" s="2243"/>
      <c r="FI111" s="2243"/>
    </row>
    <row r="112" spans="1:165">
      <c r="A112" s="2220">
        <v>4</v>
      </c>
      <c r="B112" s="2145" t="s">
        <v>1743</v>
      </c>
      <c r="C112" s="2146">
        <v>8</v>
      </c>
      <c r="D112" s="2147">
        <f>G112/C112</f>
        <v>0.42499999999999999</v>
      </c>
      <c r="E112" s="2146"/>
      <c r="F112" s="2148">
        <v>0.20477363461065431</v>
      </c>
      <c r="G112" s="2146">
        <v>3.4</v>
      </c>
      <c r="H112" s="2149" t="s">
        <v>1717</v>
      </c>
      <c r="I112" s="2229">
        <v>1</v>
      </c>
      <c r="J112" s="2149">
        <v>22.705199999999991</v>
      </c>
      <c r="K112" s="2148">
        <v>3.4703846153846141E-2</v>
      </c>
      <c r="L112" s="2151"/>
      <c r="M112" s="2152">
        <f>J112*(1-K112)*(1-L112)</f>
        <v>21.917242232307682</v>
      </c>
      <c r="N112" s="2149">
        <v>1.8359999999999999</v>
      </c>
      <c r="O112" s="2109">
        <f>IFERROR(P112/N112*10,0)</f>
        <v>10.191504195261441</v>
      </c>
      <c r="P112" s="2109">
        <v>1.8711601702500003</v>
      </c>
      <c r="Q112" s="2109">
        <v>3.5274407873559492</v>
      </c>
      <c r="R112" s="2109">
        <f t="shared" si="156"/>
        <v>0.64763812855855218</v>
      </c>
      <c r="S112" s="2109"/>
      <c r="T112" s="2109"/>
      <c r="U112" s="2109"/>
      <c r="V112" s="2109">
        <f>IFERROR(W112/N112*10,0)</f>
        <v>13.718944982617389</v>
      </c>
      <c r="W112" s="2109">
        <f>P112+R112</f>
        <v>2.5187982988085524</v>
      </c>
      <c r="X112" s="2149">
        <v>1.8971999999999998</v>
      </c>
      <c r="Y112" s="2109">
        <f>IFERROR(Z112/X112*10,0)</f>
        <v>9.8627459954142971</v>
      </c>
      <c r="Z112" s="2109">
        <v>1.8711601702500003</v>
      </c>
      <c r="AA112" s="2109">
        <v>3.5274407873559492</v>
      </c>
      <c r="AB112" s="2109">
        <f t="shared" si="157"/>
        <v>0.66922606617717062</v>
      </c>
      <c r="AC112" s="2135"/>
      <c r="AD112" s="2135"/>
      <c r="AE112" s="2135"/>
      <c r="AF112" s="2135">
        <f>IFERROR(AG112/X112*10,0)</f>
        <v>13.390186782770249</v>
      </c>
      <c r="AG112" s="2135">
        <f>Z112+AB112</f>
        <v>2.540386236427171</v>
      </c>
      <c r="AH112" s="2149">
        <v>1.8359999999999999</v>
      </c>
      <c r="AI112" s="2109">
        <f>IFERROR(AJ112/AH112*10,0)</f>
        <v>10.191504195261441</v>
      </c>
      <c r="AJ112" s="2109">
        <v>1.8711601702500003</v>
      </c>
      <c r="AK112" s="2109">
        <v>3.5274407873559492</v>
      </c>
      <c r="AL112" s="2109">
        <f t="shared" si="158"/>
        <v>0.64763812855855218</v>
      </c>
      <c r="AM112" s="2135"/>
      <c r="AN112" s="2135"/>
      <c r="AO112" s="2135"/>
      <c r="AP112" s="2135">
        <f>IFERROR(AQ112/AH112*10,0)</f>
        <v>13.718944982617389</v>
      </c>
      <c r="AQ112" s="2135">
        <f>AL112+AJ112</f>
        <v>2.5187982988085524</v>
      </c>
      <c r="AR112" s="2149">
        <v>1.8971999999999998</v>
      </c>
      <c r="AS112" s="2109">
        <f>IFERROR(AT112/AR112*10,0)</f>
        <v>9.8627459954142971</v>
      </c>
      <c r="AT112" s="2109">
        <v>1.8711601702500003</v>
      </c>
      <c r="AU112" s="2109">
        <v>3.5274407873559492</v>
      </c>
      <c r="AV112" s="2109">
        <f t="shared" si="159"/>
        <v>0.66922606617717062</v>
      </c>
      <c r="AW112" s="2135"/>
      <c r="AX112" s="2135"/>
      <c r="AY112" s="2135"/>
      <c r="AZ112" s="2135">
        <f>IFERROR(BA112/AR112*10,0)</f>
        <v>13.390186782770249</v>
      </c>
      <c r="BA112" s="2135">
        <f>AV112+AT112</f>
        <v>2.540386236427171</v>
      </c>
      <c r="BB112" s="2149">
        <v>1.8971999999999998</v>
      </c>
      <c r="BC112" s="2109">
        <f>IFERROR(BD112/BB112*10,0)</f>
        <v>9.8627459954142971</v>
      </c>
      <c r="BD112" s="2109">
        <v>1.8711601702500003</v>
      </c>
      <c r="BE112" s="2109">
        <v>3.5274407873559492</v>
      </c>
      <c r="BF112" s="2109">
        <f t="shared" si="160"/>
        <v>0.66922606617717062</v>
      </c>
      <c r="BG112" s="2135"/>
      <c r="BH112" s="2135"/>
      <c r="BI112" s="2135"/>
      <c r="BJ112" s="2135">
        <f>IFERROR(BK112/BB112*10,0)</f>
        <v>13.390186782770249</v>
      </c>
      <c r="BK112" s="2135">
        <f>BF112+BD112</f>
        <v>2.540386236427171</v>
      </c>
      <c r="BL112" s="2149">
        <v>2.2031999999999998</v>
      </c>
      <c r="BM112" s="2109">
        <f>IFERROR(BN112/BL112*10,0)</f>
        <v>8.4929201627178657</v>
      </c>
      <c r="BN112" s="2109">
        <v>1.8711601702500003</v>
      </c>
      <c r="BO112" s="2109">
        <v>3.5274407873559492</v>
      </c>
      <c r="BP112" s="2109">
        <f t="shared" si="161"/>
        <v>0.77716575427026269</v>
      </c>
      <c r="BQ112" s="2135"/>
      <c r="BR112" s="2135"/>
      <c r="BS112" s="2135"/>
      <c r="BT112" s="2135">
        <f>IFERROR(BU112/BL112*10,0)</f>
        <v>12.020360950073815</v>
      </c>
      <c r="BU112" s="2135">
        <f>BP112+BN112</f>
        <v>2.6483259245202628</v>
      </c>
      <c r="BV112" s="2149">
        <v>1.8971999999999998</v>
      </c>
      <c r="BW112" s="2109">
        <f>IFERROR(BX112/BV112*10,0)</f>
        <v>9.8627459954142971</v>
      </c>
      <c r="BX112" s="2109">
        <v>1.8711601702500003</v>
      </c>
      <c r="BY112" s="2109">
        <v>3.5274407873559492</v>
      </c>
      <c r="BZ112" s="2109">
        <f t="shared" si="162"/>
        <v>0.66922606617717062</v>
      </c>
      <c r="CA112" s="2135"/>
      <c r="CB112" s="2135"/>
      <c r="CC112" s="2135"/>
      <c r="CD112" s="2135">
        <f>IFERROR(CE112/BV112*10,0)</f>
        <v>13.390186782770249</v>
      </c>
      <c r="CE112" s="2135">
        <f>BZ112+BX112</f>
        <v>2.540386236427171</v>
      </c>
      <c r="CF112" s="2149">
        <v>1.8359999999999999</v>
      </c>
      <c r="CG112" s="2109">
        <f>IFERROR(CH112/CF112*10,0)</f>
        <v>10.191504195261441</v>
      </c>
      <c r="CH112" s="2109">
        <v>1.8711601702500003</v>
      </c>
      <c r="CI112" s="2109">
        <v>3.5274407873559492</v>
      </c>
      <c r="CJ112" s="2109">
        <f t="shared" si="163"/>
        <v>0.64763812855855218</v>
      </c>
      <c r="CK112" s="2135"/>
      <c r="CL112" s="2135"/>
      <c r="CM112" s="2135"/>
      <c r="CN112" s="2135">
        <f>IFERROR(CO112/CF112*10,0)</f>
        <v>13.718944982617389</v>
      </c>
      <c r="CO112" s="2135">
        <f>CJ112+CH112</f>
        <v>2.5187982988085524</v>
      </c>
      <c r="CP112" s="2149">
        <v>1.8971999999999998</v>
      </c>
      <c r="CQ112" s="2109">
        <f>IFERROR(CR112/CP112*10,0)</f>
        <v>9.8627459954142971</v>
      </c>
      <c r="CR112" s="2109">
        <v>1.8711601702500003</v>
      </c>
      <c r="CS112" s="2109">
        <v>3.5274407873559492</v>
      </c>
      <c r="CT112" s="2109">
        <f t="shared" si="164"/>
        <v>0.66922606617717062</v>
      </c>
      <c r="CU112" s="2135"/>
      <c r="CV112" s="2135"/>
      <c r="CW112" s="2135"/>
      <c r="CX112" s="2135">
        <f>IFERROR(CY112/CP112*10,0)</f>
        <v>13.390186782770249</v>
      </c>
      <c r="CY112" s="2135">
        <f>CT112+CR112</f>
        <v>2.540386236427171</v>
      </c>
      <c r="CZ112" s="2149">
        <v>1.8971999999999998</v>
      </c>
      <c r="DA112" s="2109">
        <f>IFERROR(DB112/CZ112*10,0)</f>
        <v>9.8627459954142971</v>
      </c>
      <c r="DB112" s="2109">
        <v>1.8711601702500003</v>
      </c>
      <c r="DC112" s="2109">
        <v>3.5274407873559492</v>
      </c>
      <c r="DD112" s="2109">
        <f t="shared" si="165"/>
        <v>0.66922606617717062</v>
      </c>
      <c r="DE112" s="2135"/>
      <c r="DF112" s="2135"/>
      <c r="DG112" s="2135"/>
      <c r="DH112" s="2135">
        <f>IFERROR(DI112/CZ112*10,0)</f>
        <v>13.390186782770249</v>
      </c>
      <c r="DI112" s="2135">
        <f>DD112+DB112</f>
        <v>2.540386236427171</v>
      </c>
      <c r="DJ112" s="2149">
        <v>1.7136</v>
      </c>
      <c r="DK112" s="2109">
        <f>IFERROR(DL112/DJ112*10,0)</f>
        <v>10.919468780637256</v>
      </c>
      <c r="DL112" s="2109">
        <v>1.8711601702500003</v>
      </c>
      <c r="DM112" s="2109">
        <v>3.5274407873559492</v>
      </c>
      <c r="DN112" s="2109">
        <f t="shared" si="166"/>
        <v>0.60446225332131553</v>
      </c>
      <c r="DO112" s="2135"/>
      <c r="DP112" s="2135"/>
      <c r="DQ112" s="2135"/>
      <c r="DR112" s="2135">
        <f>IFERROR(DS112/DJ112*10,0)</f>
        <v>14.446909567993206</v>
      </c>
      <c r="DS112" s="2135">
        <f>DN112+DL112</f>
        <v>2.4756224235713158</v>
      </c>
      <c r="DT112" s="2149">
        <v>1.8971999999999998</v>
      </c>
      <c r="DU112" s="2109">
        <f>IFERROR(DV112/DT112*10,0)</f>
        <v>9.8627459954142971</v>
      </c>
      <c r="DV112" s="2109">
        <v>1.8711601702500003</v>
      </c>
      <c r="DW112" s="2109">
        <v>3.5274407873559492</v>
      </c>
      <c r="DX112" s="2109">
        <f t="shared" si="167"/>
        <v>0.66922606617717062</v>
      </c>
      <c r="DY112" s="2135"/>
      <c r="DZ112" s="2135"/>
      <c r="EA112" s="2135"/>
      <c r="EB112" s="2135">
        <f>IFERROR(EC112/DT112*10,0)</f>
        <v>13.390186782770249</v>
      </c>
      <c r="EC112" s="2135">
        <f>DX112+DV112</f>
        <v>2.540386236427171</v>
      </c>
      <c r="ED112" s="2135"/>
      <c r="EE112" s="2106">
        <f>SUM(N112,X112,AH112,AR112,BB112,BL112,BV112,CF112,CP112,CZ112,DJ112,DT112)</f>
        <v>22.705199999999991</v>
      </c>
      <c r="EF112" s="2106">
        <f>IFERROR((EG112/EE112)*10,0)</f>
        <v>9.8893302164261971</v>
      </c>
      <c r="EG112" s="2106">
        <f>SUM(P112,Z112,AJ112,AT112,BD112,BN112,BX112,CR112,CH112,DB112,DL112,DV112)</f>
        <v>22.453922043000002</v>
      </c>
      <c r="EH112" s="2106">
        <f>IFERROR((EI112/EE112)*10,0)</f>
        <v>3.5274407873559497</v>
      </c>
      <c r="EI112" s="2106">
        <f>SUM(R112,AB112,AL112,AV112,BF112,BP112,BZ112,CJ112,CT112,DD112,DN112,DX112)</f>
        <v>8.0091248565074284</v>
      </c>
      <c r="EJ112" s="2106"/>
      <c r="EK112" s="2106"/>
      <c r="EL112" s="2106"/>
      <c r="EM112" s="2106">
        <f>IFERROR(EN112/EE112*10,0)</f>
        <v>13.416771003782149</v>
      </c>
      <c r="EN112" s="2106">
        <f>EG112+EI112</f>
        <v>30.463046899507432</v>
      </c>
      <c r="EO112" s="2106">
        <f>EN112/J112*10</f>
        <v>13.416771003782149</v>
      </c>
      <c r="EP112" s="2114">
        <f>EN112/M112*10</f>
        <v>13.899124067079288</v>
      </c>
      <c r="EQ112" s="2224"/>
      <c r="ER112" s="2210"/>
      <c r="ES112" s="2209" t="e">
        <v>#N/A</v>
      </c>
      <c r="ET112" s="2241"/>
      <c r="EU112" s="2230"/>
      <c r="EV112" s="2241"/>
      <c r="EW112" s="2241"/>
      <c r="EX112" s="2241"/>
      <c r="EY112" s="2244"/>
      <c r="EZ112" s="2244"/>
      <c r="FA112" s="2244"/>
      <c r="FB112" s="2242"/>
      <c r="FC112" s="2243"/>
      <c r="FD112" s="2243"/>
      <c r="FE112" s="2243"/>
      <c r="FF112" s="2243"/>
      <c r="FG112" s="2243"/>
      <c r="FH112" s="2243"/>
      <c r="FI112" s="2243"/>
    </row>
    <row r="113" spans="1:165">
      <c r="A113" s="2220"/>
      <c r="B113" s="2233" t="s">
        <v>211</v>
      </c>
      <c r="C113" s="2234">
        <f>SUM(C109:C112)</f>
        <v>1499</v>
      </c>
      <c r="D113" s="2109"/>
      <c r="E113" s="2109"/>
      <c r="F113" s="2235">
        <f>J113/(G113*8.76)</f>
        <v>0.24020607837729663</v>
      </c>
      <c r="G113" s="2162">
        <f>SUM(G109:G112)</f>
        <v>296.52</v>
      </c>
      <c r="H113" s="2149"/>
      <c r="I113" s="2237"/>
      <c r="J113" s="2226">
        <f>SUM(J109:J112)</f>
        <v>623.93893971741932</v>
      </c>
      <c r="K113" s="2109"/>
      <c r="L113" s="2109"/>
      <c r="M113" s="2160">
        <f>SUM(M109:M112)</f>
        <v>602.28585874407213</v>
      </c>
      <c r="N113" s="2160">
        <f>SUM(N109:N112)</f>
        <v>29.810786599999997</v>
      </c>
      <c r="O113" s="2109"/>
      <c r="P113" s="2160">
        <f>SUM(P109:P112)</f>
        <v>17.374128946125005</v>
      </c>
      <c r="Q113" s="2109">
        <v>0</v>
      </c>
      <c r="R113" s="2160">
        <f>SUM(R109:R112)</f>
        <v>8.2849631365578329</v>
      </c>
      <c r="S113" s="2109"/>
      <c r="T113" s="2109"/>
      <c r="U113" s="2109"/>
      <c r="V113" s="2109"/>
      <c r="W113" s="2234">
        <f>SUM(W109:W112)</f>
        <v>25.659092082682836</v>
      </c>
      <c r="X113" s="2234">
        <f>SUM(X109:X112)</f>
        <v>57.063895479999992</v>
      </c>
      <c r="Y113" s="2109"/>
      <c r="Z113" s="2234">
        <f>SUM(Z109:Z112)</f>
        <v>17.374128946125005</v>
      </c>
      <c r="AA113" s="2109">
        <v>0</v>
      </c>
      <c r="AB113" s="2234">
        <f>SUM(AB109:AB112)</f>
        <v>15.730144636261448</v>
      </c>
      <c r="AC113" s="2135"/>
      <c r="AD113" s="2135"/>
      <c r="AE113" s="2135"/>
      <c r="AF113" s="2135"/>
      <c r="AG113" s="2236">
        <f>SUM(AG109:AG112)</f>
        <v>33.104273582386455</v>
      </c>
      <c r="AH113" s="2236">
        <f>SUM(AH109:AH112)</f>
        <v>98.081094799999988</v>
      </c>
      <c r="AI113" s="2109"/>
      <c r="AJ113" s="2236">
        <f>SUM(AJ109:AJ112)</f>
        <v>17.374128946125005</v>
      </c>
      <c r="AK113" s="2109">
        <v>0</v>
      </c>
      <c r="AL113" s="2236">
        <f>SUM(AL109:AL112)</f>
        <v>26.923265532747628</v>
      </c>
      <c r="AM113" s="2135"/>
      <c r="AN113" s="2135"/>
      <c r="AO113" s="2238"/>
      <c r="AP113" s="2135">
        <f>IFERROR(AQ113/AH113*10,0)</f>
        <v>4.5164049778604873</v>
      </c>
      <c r="AQ113" s="2236">
        <f>AL113+AJ113</f>
        <v>44.297394478872633</v>
      </c>
      <c r="AR113" s="2236">
        <f>SUM(AR109:AR112)</f>
        <v>107.37848447999998</v>
      </c>
      <c r="AS113" s="2109"/>
      <c r="AT113" s="2236">
        <f>SUM(AT109:AT112)</f>
        <v>17.374128946125005</v>
      </c>
      <c r="AU113" s="2109">
        <v>0</v>
      </c>
      <c r="AV113" s="2236">
        <f>SUM(AV109:AV112)</f>
        <v>29.466402014428738</v>
      </c>
      <c r="AW113" s="2236">
        <f t="shared" ref="AW113:CT113" si="223">SUM(AW109:AW112)</f>
        <v>0</v>
      </c>
      <c r="AX113" s="2236">
        <f t="shared" si="223"/>
        <v>0</v>
      </c>
      <c r="AY113" s="2236">
        <f t="shared" si="223"/>
        <v>0</v>
      </c>
      <c r="AZ113" s="2236"/>
      <c r="BA113" s="2236">
        <f t="shared" si="223"/>
        <v>46.840530960553735</v>
      </c>
      <c r="BB113" s="2236">
        <f t="shared" si="223"/>
        <v>107.37848447999998</v>
      </c>
      <c r="BC113" s="2109"/>
      <c r="BD113" s="2236">
        <f t="shared" si="223"/>
        <v>17.374128946125005</v>
      </c>
      <c r="BE113" s="2109">
        <v>0</v>
      </c>
      <c r="BF113" s="2236">
        <f t="shared" si="223"/>
        <v>29.466402014428738</v>
      </c>
      <c r="BG113" s="2236">
        <f t="shared" si="223"/>
        <v>0</v>
      </c>
      <c r="BH113" s="2236">
        <f t="shared" si="223"/>
        <v>0</v>
      </c>
      <c r="BI113" s="2236">
        <f t="shared" si="223"/>
        <v>0</v>
      </c>
      <c r="BJ113" s="2236"/>
      <c r="BK113" s="2236">
        <f t="shared" si="223"/>
        <v>46.840530960553735</v>
      </c>
      <c r="BL113" s="2236">
        <f t="shared" si="223"/>
        <v>85.433595677419348</v>
      </c>
      <c r="BM113" s="2109"/>
      <c r="BN113" s="2236">
        <f t="shared" si="223"/>
        <v>17.374128946125005</v>
      </c>
      <c r="BO113" s="2109">
        <v>0</v>
      </c>
      <c r="BP113" s="2236">
        <f t="shared" si="223"/>
        <v>23.499683406391696</v>
      </c>
      <c r="BQ113" s="2236">
        <f t="shared" si="223"/>
        <v>0</v>
      </c>
      <c r="BR113" s="2236">
        <f t="shared" si="223"/>
        <v>0</v>
      </c>
      <c r="BS113" s="2236">
        <f t="shared" si="223"/>
        <v>0</v>
      </c>
      <c r="BT113" s="2236"/>
      <c r="BU113" s="2236">
        <f t="shared" si="223"/>
        <v>40.873812352516701</v>
      </c>
      <c r="BV113" s="2236">
        <f t="shared" si="223"/>
        <v>38.555733399999994</v>
      </c>
      <c r="BW113" s="2109"/>
      <c r="BX113" s="2236">
        <f t="shared" si="223"/>
        <v>17.374128946125005</v>
      </c>
      <c r="BY113" s="2109">
        <v>0</v>
      </c>
      <c r="BZ113" s="2236">
        <f t="shared" si="223"/>
        <v>10.677278599181903</v>
      </c>
      <c r="CA113" s="2236">
        <f t="shared" si="223"/>
        <v>0</v>
      </c>
      <c r="CB113" s="2236">
        <f t="shared" si="223"/>
        <v>0</v>
      </c>
      <c r="CC113" s="2236">
        <f t="shared" si="223"/>
        <v>0</v>
      </c>
      <c r="CD113" s="2236">
        <f t="shared" si="223"/>
        <v>20.349281689954871</v>
      </c>
      <c r="CE113" s="2236">
        <f t="shared" si="223"/>
        <v>28.051407545306908</v>
      </c>
      <c r="CF113" s="2236">
        <f t="shared" si="223"/>
        <v>26.109414799999996</v>
      </c>
      <c r="CG113" s="2109"/>
      <c r="CH113" s="2236">
        <f t="shared" si="223"/>
        <v>17.374128946125005</v>
      </c>
      <c r="CI113" s="2109">
        <v>0</v>
      </c>
      <c r="CJ113" s="2236">
        <f t="shared" si="223"/>
        <v>7.2744610792501518</v>
      </c>
      <c r="CK113" s="2236">
        <f t="shared" si="223"/>
        <v>0</v>
      </c>
      <c r="CL113" s="2236">
        <f t="shared" si="223"/>
        <v>0</v>
      </c>
      <c r="CM113" s="2236">
        <f t="shared" si="223"/>
        <v>0</v>
      </c>
      <c r="CN113" s="2236"/>
      <c r="CO113" s="2236">
        <f t="shared" si="223"/>
        <v>24.648590025375157</v>
      </c>
      <c r="CP113" s="2236">
        <f t="shared" si="223"/>
        <v>19.364950399999998</v>
      </c>
      <c r="CQ113" s="2109"/>
      <c r="CR113" s="2236">
        <f t="shared" si="223"/>
        <v>17.374128946125005</v>
      </c>
      <c r="CS113" s="2109">
        <v>0</v>
      </c>
      <c r="CT113" s="2236">
        <f t="shared" si="223"/>
        <v>5.4380519689781384</v>
      </c>
      <c r="CU113" s="2236"/>
      <c r="CV113" s="2236"/>
      <c r="CW113" s="2236">
        <f t="shared" ref="CW113:EE113" si="224">SUM(CW109:CW112)</f>
        <v>0</v>
      </c>
      <c r="CX113" s="2236"/>
      <c r="CY113" s="2236">
        <f t="shared" si="224"/>
        <v>22.812180915103145</v>
      </c>
      <c r="CZ113" s="2236">
        <f t="shared" si="224"/>
        <v>18.193663999999991</v>
      </c>
      <c r="DA113" s="2109"/>
      <c r="DB113" s="2236">
        <f t="shared" si="224"/>
        <v>17.374128946125005</v>
      </c>
      <c r="DC113" s="2109">
        <v>0</v>
      </c>
      <c r="DD113" s="2236">
        <f t="shared" si="224"/>
        <v>5.1182820618057461</v>
      </c>
      <c r="DE113" s="2236">
        <f t="shared" si="224"/>
        <v>0</v>
      </c>
      <c r="DF113" s="2236">
        <f t="shared" si="224"/>
        <v>0</v>
      </c>
      <c r="DG113" s="2236">
        <f t="shared" si="224"/>
        <v>0</v>
      </c>
      <c r="DH113" s="2236">
        <f t="shared" si="224"/>
        <v>25.633348717471904</v>
      </c>
      <c r="DI113" s="2236">
        <f t="shared" si="224"/>
        <v>22.492411007930752</v>
      </c>
      <c r="DJ113" s="2236">
        <f t="shared" si="224"/>
        <v>16.61326</v>
      </c>
      <c r="DK113" s="2109"/>
      <c r="DL113" s="2236">
        <f t="shared" si="224"/>
        <v>17.374128946125005</v>
      </c>
      <c r="DM113" s="2109">
        <v>0</v>
      </c>
      <c r="DN113" s="2236">
        <f t="shared" si="224"/>
        <v>4.6721803580480401</v>
      </c>
      <c r="DO113" s="2236">
        <f t="shared" si="224"/>
        <v>0</v>
      </c>
      <c r="DP113" s="2236">
        <f t="shared" si="224"/>
        <v>0</v>
      </c>
      <c r="DQ113" s="2236">
        <f t="shared" si="224"/>
        <v>0</v>
      </c>
      <c r="DR113" s="2236"/>
      <c r="DS113" s="2236">
        <f t="shared" si="224"/>
        <v>22.046309304173043</v>
      </c>
      <c r="DT113" s="2236">
        <f t="shared" si="224"/>
        <v>19.955575599999996</v>
      </c>
      <c r="DU113" s="2109"/>
      <c r="DV113" s="2236">
        <f t="shared" si="224"/>
        <v>17.374128946125005</v>
      </c>
      <c r="DW113" s="2109">
        <v>0</v>
      </c>
      <c r="DX113" s="2236">
        <f t="shared" si="224"/>
        <v>5.5992970456542386</v>
      </c>
      <c r="DY113" s="2236">
        <f t="shared" si="224"/>
        <v>0</v>
      </c>
      <c r="DZ113" s="2236">
        <f t="shared" si="224"/>
        <v>0</v>
      </c>
      <c r="EA113" s="2236">
        <f t="shared" si="224"/>
        <v>0</v>
      </c>
      <c r="EB113" s="2236"/>
      <c r="EC113" s="2236">
        <f t="shared" si="224"/>
        <v>22.973425991779244</v>
      </c>
      <c r="ED113" s="2236">
        <f t="shared" si="224"/>
        <v>0</v>
      </c>
      <c r="EE113" s="2107">
        <f t="shared" si="224"/>
        <v>623.93893971741932</v>
      </c>
      <c r="EF113" s="2106">
        <f>IFERROR((EG113/EE113)*10,0)</f>
        <v>3.3415056198916595</v>
      </c>
      <c r="EG113" s="2107">
        <f>SUM(EG109:EG112)</f>
        <v>208.4895473535</v>
      </c>
      <c r="EH113" s="2106">
        <f>IFERROR((EI113/EE113)*10,0)</f>
        <v>2.7590906881320931</v>
      </c>
      <c r="EI113" s="2107">
        <f>SUM(EI109:EI112)</f>
        <v>172.15041185373431</v>
      </c>
      <c r="EJ113" s="2106"/>
      <c r="EK113" s="2106"/>
      <c r="EL113" s="2106"/>
      <c r="EM113" s="2106">
        <f>IFERROR(EN113/EE113*10,0)</f>
        <v>6.1005963080237526</v>
      </c>
      <c r="EN113" s="2107">
        <f>EG113+EI113+EK113+EL113</f>
        <v>380.63995920723431</v>
      </c>
      <c r="EO113" s="2106">
        <f>EN113/J113*10</f>
        <v>6.1005963080237526</v>
      </c>
      <c r="EP113" s="2114">
        <f>EN113/M113*10</f>
        <v>6.3199219055378606</v>
      </c>
      <c r="EQ113" s="2224"/>
      <c r="ER113" s="2210"/>
      <c r="ES113" s="2209" t="e">
        <v>#N/A</v>
      </c>
      <c r="ET113" s="2241"/>
      <c r="EU113" s="2230"/>
      <c r="EV113" s="2241"/>
      <c r="EW113" s="2241"/>
      <c r="EX113" s="2241"/>
      <c r="EY113" s="2244"/>
      <c r="EZ113" s="2244"/>
      <c r="FA113" s="2244"/>
      <c r="FB113" s="2242"/>
      <c r="FC113" s="2243"/>
      <c r="FD113" s="2243"/>
      <c r="FE113" s="2243"/>
      <c r="FF113" s="2243"/>
      <c r="FG113" s="2243"/>
      <c r="FH113" s="2243"/>
      <c r="FI113" s="2243"/>
    </row>
    <row r="114" spans="1:165">
      <c r="A114" s="2220"/>
      <c r="B114" s="2145"/>
      <c r="C114" s="2145"/>
      <c r="D114" s="2145"/>
      <c r="E114" s="2145"/>
      <c r="F114" s="2145"/>
      <c r="G114" s="1592"/>
      <c r="H114" s="2149"/>
      <c r="I114" s="2237"/>
      <c r="J114" s="2149"/>
      <c r="K114" s="2145"/>
      <c r="L114" s="2145"/>
      <c r="M114" s="2152"/>
      <c r="N114" s="2149">
        <v>0</v>
      </c>
      <c r="O114" s="2109"/>
      <c r="P114" s="2109">
        <v>0</v>
      </c>
      <c r="Q114" s="2109">
        <v>0</v>
      </c>
      <c r="R114" s="2109">
        <f t="shared" si="156"/>
        <v>0</v>
      </c>
      <c r="S114" s="2109"/>
      <c r="T114" s="2109"/>
      <c r="U114" s="2109"/>
      <c r="V114" s="2109"/>
      <c r="W114" s="2109"/>
      <c r="X114" s="2149">
        <v>0</v>
      </c>
      <c r="Y114" s="2109"/>
      <c r="Z114" s="2109">
        <v>0</v>
      </c>
      <c r="AA114" s="2109">
        <v>0</v>
      </c>
      <c r="AB114" s="2109">
        <f t="shared" si="157"/>
        <v>0</v>
      </c>
      <c r="AC114" s="2135"/>
      <c r="AD114" s="2135"/>
      <c r="AE114" s="2135"/>
      <c r="AF114" s="2135"/>
      <c r="AG114" s="2135"/>
      <c r="AH114" s="2149">
        <v>0</v>
      </c>
      <c r="AI114" s="2109"/>
      <c r="AJ114" s="2109">
        <v>0</v>
      </c>
      <c r="AK114" s="2109">
        <v>0</v>
      </c>
      <c r="AL114" s="2109">
        <f t="shared" si="158"/>
        <v>0</v>
      </c>
      <c r="AM114" s="2135"/>
      <c r="AN114" s="2135"/>
      <c r="AO114" s="2238"/>
      <c r="AP114" s="2135"/>
      <c r="AQ114" s="2135"/>
      <c r="AR114" s="2149">
        <v>0</v>
      </c>
      <c r="AS114" s="2109"/>
      <c r="AT114" s="2109">
        <v>0</v>
      </c>
      <c r="AU114" s="2109">
        <v>0</v>
      </c>
      <c r="AV114" s="2109">
        <f t="shared" si="159"/>
        <v>0</v>
      </c>
      <c r="AW114" s="2135"/>
      <c r="AX114" s="2135"/>
      <c r="AY114" s="2238"/>
      <c r="AZ114" s="2135"/>
      <c r="BA114" s="2135"/>
      <c r="BB114" s="2149"/>
      <c r="BC114" s="2109"/>
      <c r="BD114" s="2109">
        <v>0</v>
      </c>
      <c r="BE114" s="2109">
        <v>0</v>
      </c>
      <c r="BF114" s="2109">
        <f t="shared" si="160"/>
        <v>0</v>
      </c>
      <c r="BG114" s="2135"/>
      <c r="BH114" s="2135"/>
      <c r="BI114" s="2238"/>
      <c r="BJ114" s="2135"/>
      <c r="BK114" s="2135"/>
      <c r="BL114" s="2149">
        <v>0</v>
      </c>
      <c r="BM114" s="2109"/>
      <c r="BN114" s="2109">
        <v>0</v>
      </c>
      <c r="BO114" s="2109">
        <v>0</v>
      </c>
      <c r="BP114" s="2109">
        <f t="shared" si="161"/>
        <v>0</v>
      </c>
      <c r="BQ114" s="2135"/>
      <c r="BR114" s="2135"/>
      <c r="BS114" s="2135"/>
      <c r="BT114" s="2135"/>
      <c r="BU114" s="2135"/>
      <c r="BV114" s="2149">
        <v>0</v>
      </c>
      <c r="BW114" s="2109"/>
      <c r="BX114" s="2109">
        <v>0</v>
      </c>
      <c r="BY114" s="2109">
        <v>0</v>
      </c>
      <c r="BZ114" s="2109">
        <f t="shared" si="162"/>
        <v>0</v>
      </c>
      <c r="CA114" s="2135"/>
      <c r="CB114" s="2135"/>
      <c r="CC114" s="2135"/>
      <c r="CD114" s="2135"/>
      <c r="CE114" s="2135"/>
      <c r="CF114" s="2149">
        <v>0</v>
      </c>
      <c r="CG114" s="2109"/>
      <c r="CH114" s="2109">
        <v>0</v>
      </c>
      <c r="CI114" s="2109">
        <v>0</v>
      </c>
      <c r="CJ114" s="2109">
        <f t="shared" si="163"/>
        <v>0</v>
      </c>
      <c r="CK114" s="2135"/>
      <c r="CL114" s="2135"/>
      <c r="CM114" s="2238"/>
      <c r="CN114" s="2135"/>
      <c r="CO114" s="2135"/>
      <c r="CP114" s="2149"/>
      <c r="CQ114" s="2109"/>
      <c r="CR114" s="2109">
        <v>0</v>
      </c>
      <c r="CS114" s="2109">
        <v>0</v>
      </c>
      <c r="CT114" s="2109">
        <f t="shared" si="164"/>
        <v>0</v>
      </c>
      <c r="CU114" s="2135"/>
      <c r="CV114" s="2135"/>
      <c r="CW114" s="2238"/>
      <c r="CX114" s="2135"/>
      <c r="CY114" s="2135"/>
      <c r="CZ114" s="2149">
        <v>0</v>
      </c>
      <c r="DA114" s="2109"/>
      <c r="DB114" s="2109">
        <v>0</v>
      </c>
      <c r="DC114" s="2109">
        <v>0</v>
      </c>
      <c r="DD114" s="2109">
        <f t="shared" si="165"/>
        <v>0</v>
      </c>
      <c r="DE114" s="2135"/>
      <c r="DF114" s="2135"/>
      <c r="DG114" s="2238"/>
      <c r="DH114" s="2135"/>
      <c r="DI114" s="2135"/>
      <c r="DJ114" s="2149">
        <v>0</v>
      </c>
      <c r="DK114" s="2109"/>
      <c r="DL114" s="2109">
        <v>0</v>
      </c>
      <c r="DM114" s="2109">
        <v>0</v>
      </c>
      <c r="DN114" s="2109">
        <f t="shared" si="166"/>
        <v>0</v>
      </c>
      <c r="DO114" s="2135"/>
      <c r="DP114" s="2135"/>
      <c r="DQ114" s="2238"/>
      <c r="DR114" s="2135"/>
      <c r="DS114" s="2135"/>
      <c r="DT114" s="2149">
        <v>0</v>
      </c>
      <c r="DU114" s="2109"/>
      <c r="DV114" s="2109">
        <v>0</v>
      </c>
      <c r="DW114" s="2109">
        <v>0</v>
      </c>
      <c r="DX114" s="2109">
        <f t="shared" si="167"/>
        <v>0</v>
      </c>
      <c r="DY114" s="2135"/>
      <c r="DZ114" s="2135"/>
      <c r="EA114" s="2135"/>
      <c r="EB114" s="2135"/>
      <c r="EC114" s="2135"/>
      <c r="ED114" s="2135"/>
      <c r="EE114" s="2107"/>
      <c r="EF114" s="2106"/>
      <c r="EG114" s="2106"/>
      <c r="EH114" s="2106"/>
      <c r="EI114" s="2106"/>
      <c r="EJ114" s="2106"/>
      <c r="EK114" s="2106"/>
      <c r="EL114" s="2106"/>
      <c r="EM114" s="2106"/>
      <c r="EN114" s="2106"/>
      <c r="EO114" s="2239"/>
      <c r="EP114" s="2240"/>
      <c r="EQ114" s="2224"/>
      <c r="ER114" s="2210"/>
      <c r="ES114" s="2209" t="e">
        <v>#N/A</v>
      </c>
      <c r="ET114" s="2241"/>
      <c r="EU114" s="2230"/>
      <c r="EV114" s="2241"/>
      <c r="EW114" s="2241"/>
      <c r="EX114" s="2241"/>
      <c r="EY114" s="2244"/>
      <c r="EZ114" s="2244"/>
      <c r="FA114" s="2244"/>
      <c r="FB114" s="2242"/>
      <c r="FC114" s="2243"/>
      <c r="FD114" s="2243"/>
      <c r="FE114" s="2243"/>
      <c r="FF114" s="2243"/>
      <c r="FG114" s="2243"/>
      <c r="FH114" s="2243"/>
      <c r="FI114" s="2243"/>
    </row>
    <row r="115" spans="1:165">
      <c r="A115" s="2220" t="s">
        <v>30</v>
      </c>
      <c r="B115" s="2233" t="s">
        <v>1744</v>
      </c>
      <c r="C115" s="2145"/>
      <c r="D115" s="2145"/>
      <c r="E115" s="2145"/>
      <c r="F115" s="2145"/>
      <c r="G115" s="1592"/>
      <c r="H115" s="2149"/>
      <c r="I115" s="2237"/>
      <c r="J115" s="2149"/>
      <c r="K115" s="2145"/>
      <c r="L115" s="2145"/>
      <c r="M115" s="2152"/>
      <c r="N115" s="2149">
        <v>0</v>
      </c>
      <c r="O115" s="2109"/>
      <c r="P115" s="2109">
        <v>0</v>
      </c>
      <c r="Q115" s="2109">
        <v>0</v>
      </c>
      <c r="R115" s="2109">
        <f t="shared" si="156"/>
        <v>0</v>
      </c>
      <c r="S115" s="2109"/>
      <c r="T115" s="2109"/>
      <c r="U115" s="2109"/>
      <c r="V115" s="2109"/>
      <c r="W115" s="2109"/>
      <c r="X115" s="2149">
        <v>0</v>
      </c>
      <c r="Y115" s="2109"/>
      <c r="Z115" s="2109">
        <v>0</v>
      </c>
      <c r="AA115" s="2109">
        <v>0</v>
      </c>
      <c r="AB115" s="2109">
        <f t="shared" si="157"/>
        <v>0</v>
      </c>
      <c r="AC115" s="2135"/>
      <c r="AD115" s="2135"/>
      <c r="AE115" s="2135"/>
      <c r="AF115" s="2135"/>
      <c r="AG115" s="2135"/>
      <c r="AH115" s="2149">
        <v>0</v>
      </c>
      <c r="AI115" s="2109"/>
      <c r="AJ115" s="2109">
        <v>0</v>
      </c>
      <c r="AK115" s="2109">
        <v>0</v>
      </c>
      <c r="AL115" s="2109">
        <f t="shared" si="158"/>
        <v>0</v>
      </c>
      <c r="AM115" s="2135"/>
      <c r="AN115" s="2135"/>
      <c r="AO115" s="2238"/>
      <c r="AP115" s="2135"/>
      <c r="AQ115" s="2135"/>
      <c r="AR115" s="2149">
        <v>0</v>
      </c>
      <c r="AS115" s="2109"/>
      <c r="AT115" s="2109">
        <v>0</v>
      </c>
      <c r="AU115" s="2109">
        <v>0</v>
      </c>
      <c r="AV115" s="2109">
        <f t="shared" si="159"/>
        <v>0</v>
      </c>
      <c r="AW115" s="2135"/>
      <c r="AX115" s="2135"/>
      <c r="AY115" s="2238"/>
      <c r="AZ115" s="2135"/>
      <c r="BA115" s="2135"/>
      <c r="BB115" s="2149"/>
      <c r="BC115" s="2109"/>
      <c r="BD115" s="2109">
        <v>0</v>
      </c>
      <c r="BE115" s="2109">
        <v>0</v>
      </c>
      <c r="BF115" s="2109">
        <f t="shared" si="160"/>
        <v>0</v>
      </c>
      <c r="BG115" s="2135"/>
      <c r="BH115" s="2135"/>
      <c r="BI115" s="2238"/>
      <c r="BJ115" s="2135"/>
      <c r="BK115" s="2135"/>
      <c r="BL115" s="2149">
        <v>0</v>
      </c>
      <c r="BM115" s="2109"/>
      <c r="BN115" s="2109">
        <v>0</v>
      </c>
      <c r="BO115" s="2109">
        <v>0</v>
      </c>
      <c r="BP115" s="2109">
        <f t="shared" si="161"/>
        <v>0</v>
      </c>
      <c r="BQ115" s="2135"/>
      <c r="BR115" s="2135"/>
      <c r="BS115" s="2135"/>
      <c r="BT115" s="2135"/>
      <c r="BU115" s="2135"/>
      <c r="BV115" s="2149">
        <v>0</v>
      </c>
      <c r="BW115" s="2109"/>
      <c r="BX115" s="2109">
        <v>0</v>
      </c>
      <c r="BY115" s="2109">
        <v>0</v>
      </c>
      <c r="BZ115" s="2109">
        <f t="shared" si="162"/>
        <v>0</v>
      </c>
      <c r="CA115" s="2135"/>
      <c r="CB115" s="2135"/>
      <c r="CC115" s="2135"/>
      <c r="CD115" s="2135"/>
      <c r="CE115" s="2135"/>
      <c r="CF115" s="2149">
        <v>0</v>
      </c>
      <c r="CG115" s="2109"/>
      <c r="CH115" s="2109">
        <v>0</v>
      </c>
      <c r="CI115" s="2109">
        <v>0</v>
      </c>
      <c r="CJ115" s="2109">
        <f t="shared" si="163"/>
        <v>0</v>
      </c>
      <c r="CK115" s="2135"/>
      <c r="CL115" s="2135"/>
      <c r="CM115" s="2238"/>
      <c r="CN115" s="2135"/>
      <c r="CO115" s="2135"/>
      <c r="CP115" s="2149"/>
      <c r="CQ115" s="2109"/>
      <c r="CR115" s="2109">
        <v>0</v>
      </c>
      <c r="CS115" s="2109">
        <v>0</v>
      </c>
      <c r="CT115" s="2109">
        <f t="shared" si="164"/>
        <v>0</v>
      </c>
      <c r="CU115" s="2135"/>
      <c r="CV115" s="2135"/>
      <c r="CW115" s="2238"/>
      <c r="CX115" s="2135"/>
      <c r="CY115" s="2135"/>
      <c r="CZ115" s="2149">
        <v>0</v>
      </c>
      <c r="DA115" s="2109"/>
      <c r="DB115" s="2109">
        <v>0</v>
      </c>
      <c r="DC115" s="2109">
        <v>0</v>
      </c>
      <c r="DD115" s="2109">
        <f t="shared" si="165"/>
        <v>0</v>
      </c>
      <c r="DE115" s="2135"/>
      <c r="DF115" s="2135"/>
      <c r="DG115" s="2238"/>
      <c r="DH115" s="2135"/>
      <c r="DI115" s="2135"/>
      <c r="DJ115" s="2149">
        <v>0</v>
      </c>
      <c r="DK115" s="2109"/>
      <c r="DL115" s="2109">
        <v>0</v>
      </c>
      <c r="DM115" s="2109">
        <v>0</v>
      </c>
      <c r="DN115" s="2109">
        <f t="shared" si="166"/>
        <v>0</v>
      </c>
      <c r="DO115" s="2135"/>
      <c r="DP115" s="2135"/>
      <c r="DQ115" s="2238"/>
      <c r="DR115" s="2135"/>
      <c r="DS115" s="2135"/>
      <c r="DT115" s="2149">
        <v>0</v>
      </c>
      <c r="DU115" s="2109"/>
      <c r="DV115" s="2109">
        <v>0</v>
      </c>
      <c r="DW115" s="2109">
        <v>0</v>
      </c>
      <c r="DX115" s="2109">
        <f t="shared" si="167"/>
        <v>0</v>
      </c>
      <c r="DY115" s="2135"/>
      <c r="DZ115" s="2135"/>
      <c r="EA115" s="2135"/>
      <c r="EB115" s="2135"/>
      <c r="EC115" s="2135"/>
      <c r="ED115" s="2135"/>
      <c r="EE115" s="2107"/>
      <c r="EF115" s="2106"/>
      <c r="EG115" s="2106"/>
      <c r="EH115" s="2106"/>
      <c r="EI115" s="2106"/>
      <c r="EJ115" s="2106"/>
      <c r="EK115" s="2106"/>
      <c r="EL115" s="2106"/>
      <c r="EM115" s="2106"/>
      <c r="EN115" s="2106"/>
      <c r="EO115" s="2258"/>
      <c r="EP115" s="2240"/>
      <c r="EQ115" s="2224"/>
      <c r="ER115" s="2210"/>
      <c r="ES115" s="2209" t="e">
        <v>#N/A</v>
      </c>
      <c r="ET115" s="2241"/>
      <c r="EU115" s="2230"/>
      <c r="EV115" s="2241"/>
      <c r="EW115" s="2241"/>
      <c r="EX115" s="2241"/>
      <c r="EY115" s="2244"/>
      <c r="EZ115" s="2244"/>
      <c r="FA115" s="2244"/>
      <c r="FB115" s="2242"/>
      <c r="FC115" s="2243"/>
      <c r="FD115" s="2243"/>
      <c r="FE115" s="2243"/>
      <c r="FF115" s="2225"/>
      <c r="FG115" s="2243"/>
      <c r="FH115" s="2243"/>
      <c r="FI115" s="2243"/>
    </row>
    <row r="116" spans="1:165">
      <c r="A116" s="2220"/>
      <c r="B116" s="2233" t="s">
        <v>1745</v>
      </c>
      <c r="C116" s="2145"/>
      <c r="D116" s="2145"/>
      <c r="E116" s="2145"/>
      <c r="F116" s="2145"/>
      <c r="G116" s="1592"/>
      <c r="H116" s="2259"/>
      <c r="I116" s="2260"/>
      <c r="J116" s="2259"/>
      <c r="K116" s="2145"/>
      <c r="L116" s="2145"/>
      <c r="M116" s="2261"/>
      <c r="N116" s="2149">
        <v>0</v>
      </c>
      <c r="O116" s="2259"/>
      <c r="P116" s="2109">
        <v>0</v>
      </c>
      <c r="Q116" s="2109">
        <v>0</v>
      </c>
      <c r="R116" s="2109">
        <f t="shared" si="156"/>
        <v>0</v>
      </c>
      <c r="S116" s="2259"/>
      <c r="T116" s="2259"/>
      <c r="U116" s="2259"/>
      <c r="V116" s="2259"/>
      <c r="W116" s="2259"/>
      <c r="X116" s="2149">
        <v>0</v>
      </c>
      <c r="Y116" s="2259"/>
      <c r="Z116" s="2109">
        <v>0</v>
      </c>
      <c r="AA116" s="2109">
        <v>0</v>
      </c>
      <c r="AB116" s="2109">
        <f t="shared" si="157"/>
        <v>0</v>
      </c>
      <c r="AC116" s="2262"/>
      <c r="AD116" s="2262"/>
      <c r="AE116" s="2262"/>
      <c r="AF116" s="2262"/>
      <c r="AG116" s="2262"/>
      <c r="AH116" s="2149">
        <v>0</v>
      </c>
      <c r="AI116" s="2259"/>
      <c r="AJ116" s="2109">
        <v>0</v>
      </c>
      <c r="AK116" s="2109">
        <v>0</v>
      </c>
      <c r="AL116" s="2109">
        <f t="shared" si="158"/>
        <v>0</v>
      </c>
      <c r="AM116" s="2262"/>
      <c r="AN116" s="2262"/>
      <c r="AO116" s="2262"/>
      <c r="AP116" s="2262"/>
      <c r="AQ116" s="2262"/>
      <c r="AR116" s="2149">
        <v>0</v>
      </c>
      <c r="AS116" s="2259"/>
      <c r="AT116" s="2109">
        <v>0</v>
      </c>
      <c r="AU116" s="2109">
        <v>0</v>
      </c>
      <c r="AV116" s="2109">
        <f t="shared" si="159"/>
        <v>0</v>
      </c>
      <c r="AW116" s="2262"/>
      <c r="AX116" s="2262"/>
      <c r="AY116" s="2262"/>
      <c r="AZ116" s="2262"/>
      <c r="BA116" s="2262"/>
      <c r="BB116" s="2149"/>
      <c r="BC116" s="2259"/>
      <c r="BD116" s="2109">
        <v>0</v>
      </c>
      <c r="BE116" s="2109">
        <v>0</v>
      </c>
      <c r="BF116" s="2109">
        <f t="shared" si="160"/>
        <v>0</v>
      </c>
      <c r="BG116" s="2262"/>
      <c r="BH116" s="2262"/>
      <c r="BI116" s="2262"/>
      <c r="BJ116" s="2262"/>
      <c r="BK116" s="2262"/>
      <c r="BL116" s="2149">
        <v>0</v>
      </c>
      <c r="BM116" s="2259"/>
      <c r="BN116" s="2109">
        <v>0</v>
      </c>
      <c r="BO116" s="2109">
        <v>0</v>
      </c>
      <c r="BP116" s="2109">
        <f t="shared" si="161"/>
        <v>0</v>
      </c>
      <c r="BQ116" s="2262"/>
      <c r="BR116" s="2262"/>
      <c r="BS116" s="2262"/>
      <c r="BT116" s="2262"/>
      <c r="BU116" s="2262"/>
      <c r="BV116" s="2149">
        <v>0</v>
      </c>
      <c r="BW116" s="2259"/>
      <c r="BX116" s="2109">
        <v>0</v>
      </c>
      <c r="BY116" s="2109">
        <v>0</v>
      </c>
      <c r="BZ116" s="2109">
        <f t="shared" si="162"/>
        <v>0</v>
      </c>
      <c r="CA116" s="2262"/>
      <c r="CB116" s="2262"/>
      <c r="CC116" s="2262"/>
      <c r="CD116" s="2262"/>
      <c r="CE116" s="2262"/>
      <c r="CF116" s="2149">
        <v>0</v>
      </c>
      <c r="CG116" s="2259"/>
      <c r="CH116" s="2109">
        <v>0</v>
      </c>
      <c r="CI116" s="2109">
        <v>0</v>
      </c>
      <c r="CJ116" s="2109">
        <f t="shared" si="163"/>
        <v>0</v>
      </c>
      <c r="CK116" s="2262"/>
      <c r="CL116" s="2262"/>
      <c r="CM116" s="2262"/>
      <c r="CN116" s="2262"/>
      <c r="CO116" s="2262"/>
      <c r="CP116" s="2149">
        <v>0</v>
      </c>
      <c r="CQ116" s="2259"/>
      <c r="CR116" s="2109">
        <v>0</v>
      </c>
      <c r="CS116" s="2109">
        <v>0</v>
      </c>
      <c r="CT116" s="2109">
        <f t="shared" si="164"/>
        <v>0</v>
      </c>
      <c r="CU116" s="2262"/>
      <c r="CV116" s="2262"/>
      <c r="CW116" s="2262"/>
      <c r="CX116" s="2262"/>
      <c r="CY116" s="2262"/>
      <c r="CZ116" s="2149">
        <v>0</v>
      </c>
      <c r="DA116" s="2259"/>
      <c r="DB116" s="2109">
        <v>0</v>
      </c>
      <c r="DC116" s="2109">
        <v>0</v>
      </c>
      <c r="DD116" s="2109">
        <f t="shared" si="165"/>
        <v>0</v>
      </c>
      <c r="DE116" s="2262"/>
      <c r="DF116" s="2262"/>
      <c r="DG116" s="2262"/>
      <c r="DH116" s="2262"/>
      <c r="DI116" s="2262"/>
      <c r="DJ116" s="2149">
        <v>0</v>
      </c>
      <c r="DK116" s="2259"/>
      <c r="DL116" s="2109">
        <v>0</v>
      </c>
      <c r="DM116" s="2109">
        <v>0</v>
      </c>
      <c r="DN116" s="2109">
        <f t="shared" si="166"/>
        <v>0</v>
      </c>
      <c r="DO116" s="2262"/>
      <c r="DP116" s="2262"/>
      <c r="DQ116" s="2262"/>
      <c r="DR116" s="2262"/>
      <c r="DS116" s="2262"/>
      <c r="DT116" s="2149">
        <v>0</v>
      </c>
      <c r="DU116" s="2259"/>
      <c r="DV116" s="2109">
        <v>0</v>
      </c>
      <c r="DW116" s="2109">
        <v>0</v>
      </c>
      <c r="DX116" s="2109">
        <f t="shared" si="167"/>
        <v>0</v>
      </c>
      <c r="DY116" s="2262"/>
      <c r="DZ116" s="2262"/>
      <c r="EA116" s="2262"/>
      <c r="EB116" s="2262"/>
      <c r="EC116" s="2262"/>
      <c r="ED116" s="2262"/>
      <c r="EE116" s="2107"/>
      <c r="EF116" s="2263"/>
      <c r="EG116" s="2263"/>
      <c r="EH116" s="2263"/>
      <c r="EI116" s="2263"/>
      <c r="EJ116" s="2263"/>
      <c r="EK116" s="2263"/>
      <c r="EL116" s="2263"/>
      <c r="EM116" s="2263"/>
      <c r="EN116" s="2106"/>
      <c r="EO116" s="1915"/>
      <c r="EP116" s="2223"/>
      <c r="EQ116" s="2224"/>
      <c r="ER116" s="2210"/>
      <c r="ES116" s="2209" t="e">
        <v>#N/A</v>
      </c>
      <c r="ET116" s="2224"/>
      <c r="EU116" s="2230"/>
      <c r="EV116" s="2224"/>
      <c r="EW116" s="2224"/>
      <c r="EX116" s="2224"/>
      <c r="EY116" s="2224"/>
      <c r="EZ116" s="2224"/>
      <c r="FA116" s="2224"/>
    </row>
    <row r="117" spans="1:165">
      <c r="A117" s="2220">
        <v>1</v>
      </c>
      <c r="B117" s="2145" t="s">
        <v>1746</v>
      </c>
      <c r="C117" s="2146">
        <v>1000</v>
      </c>
      <c r="D117" s="2147">
        <f>G117/C117</f>
        <v>0.374</v>
      </c>
      <c r="E117" s="2146"/>
      <c r="F117" s="2148">
        <v>0.38431767461229555</v>
      </c>
      <c r="G117" s="2146">
        <v>374</v>
      </c>
      <c r="H117" s="2149" t="s">
        <v>1717</v>
      </c>
      <c r="I117" s="2229">
        <v>1</v>
      </c>
      <c r="J117" s="2149">
        <v>1226.6328888483868</v>
      </c>
      <c r="K117" s="2148">
        <v>3.4703846153846141E-2</v>
      </c>
      <c r="L117" s="2151"/>
      <c r="M117" s="2152">
        <f>J117*(1-K117)*(1-L117)</f>
        <v>1184.0640097865444</v>
      </c>
      <c r="N117" s="2149">
        <v>68.979038400000007</v>
      </c>
      <c r="O117" s="2109">
        <f>IFERROR(P117/N117*10,0)</f>
        <v>3.2156383525618275</v>
      </c>
      <c r="P117" s="2109">
        <v>22.181164140187505</v>
      </c>
      <c r="Q117" s="2109">
        <v>2.0662493900643937</v>
      </c>
      <c r="R117" s="2109">
        <f t="shared" si="156"/>
        <v>14.25278960212284</v>
      </c>
      <c r="S117" s="2109"/>
      <c r="T117" s="2109"/>
      <c r="U117" s="2109"/>
      <c r="V117" s="2109">
        <f>IFERROR(W117/N117*10,0)</f>
        <v>5.2818877426262212</v>
      </c>
      <c r="W117" s="2109">
        <f>P117+R117</f>
        <v>36.433953742310344</v>
      </c>
      <c r="X117" s="2149">
        <v>71.358230799999987</v>
      </c>
      <c r="Y117" s="2109">
        <f>IFERROR(Z117/X117*10,0)</f>
        <v>3.1084240586563854</v>
      </c>
      <c r="Z117" s="2109">
        <v>22.181164140187505</v>
      </c>
      <c r="AA117" s="2109">
        <v>2.0662493900643937</v>
      </c>
      <c r="AB117" s="2109">
        <f t="shared" si="157"/>
        <v>14.744390086657422</v>
      </c>
      <c r="AC117" s="2135"/>
      <c r="AD117" s="2135"/>
      <c r="AE117" s="2135"/>
      <c r="AF117" s="2135">
        <f>IFERROR(AG117/X117*10,0)</f>
        <v>5.1746734487207791</v>
      </c>
      <c r="AG117" s="2135">
        <f>Z117+AB117</f>
        <v>36.925554226844923</v>
      </c>
      <c r="AH117" s="2149">
        <v>84.203706199999985</v>
      </c>
      <c r="AI117" s="2109">
        <f>IFERROR(AJ117/AH117*10,0)</f>
        <v>2.6342265846948565</v>
      </c>
      <c r="AJ117" s="2109">
        <v>22.181164140187505</v>
      </c>
      <c r="AK117" s="2109">
        <v>2.0662493900643937</v>
      </c>
      <c r="AL117" s="2109">
        <f t="shared" si="158"/>
        <v>17.398585657691136</v>
      </c>
      <c r="AM117" s="2135"/>
      <c r="AN117" s="2135"/>
      <c r="AO117" s="2135"/>
      <c r="AP117" s="2135">
        <f>IFERROR(AQ117/AH117*10,0)</f>
        <v>4.7004759747592493</v>
      </c>
      <c r="AQ117" s="2135">
        <f>AL117+AJ117</f>
        <v>39.579749797878641</v>
      </c>
      <c r="AR117" s="2149">
        <v>104.00244959999999</v>
      </c>
      <c r="AS117" s="2109">
        <f>IFERROR(AT117/AR117*10,0)</f>
        <v>2.1327540096889703</v>
      </c>
      <c r="AT117" s="2109">
        <v>22.181164140187505</v>
      </c>
      <c r="AU117" s="2109">
        <v>2.0662493900643937</v>
      </c>
      <c r="AV117" s="2109">
        <f t="shared" si="159"/>
        <v>21.489499805120282</v>
      </c>
      <c r="AW117" s="2135"/>
      <c r="AX117" s="2135"/>
      <c r="AY117" s="2135"/>
      <c r="AZ117" s="2135">
        <f>IFERROR(BA117/AR117*10,0)</f>
        <v>4.199003399753364</v>
      </c>
      <c r="BA117" s="2135">
        <f>AV117+AT117</f>
        <v>43.670663945307787</v>
      </c>
      <c r="BB117" s="2149">
        <v>173.25529079999993</v>
      </c>
      <c r="BC117" s="2109">
        <f>IFERROR(BD117/BB117*10,0)</f>
        <v>1.2802589772448967</v>
      </c>
      <c r="BD117" s="2109">
        <v>22.181164140187505</v>
      </c>
      <c r="BE117" s="2109">
        <v>2.0662493900643937</v>
      </c>
      <c r="BF117" s="2109">
        <f t="shared" si="160"/>
        <v>35.798863894092896</v>
      </c>
      <c r="BG117" s="2135"/>
      <c r="BH117" s="2135"/>
      <c r="BI117" s="2135"/>
      <c r="BJ117" s="2135">
        <f>IFERROR(BK117/BB117*10,0)</f>
        <v>3.3465083673092897</v>
      </c>
      <c r="BK117" s="2135">
        <f>BF117+BD117</f>
        <v>57.980028034280402</v>
      </c>
      <c r="BL117" s="2149">
        <v>148.87086154838707</v>
      </c>
      <c r="BM117" s="2109">
        <f>IFERROR(BN117/BL117*10,0)</f>
        <v>1.4899600841618037</v>
      </c>
      <c r="BN117" s="2109">
        <v>22.181164140187505</v>
      </c>
      <c r="BO117" s="2109">
        <v>2.0662493900643937</v>
      </c>
      <c r="BP117" s="2109">
        <f t="shared" si="161"/>
        <v>30.76043268727156</v>
      </c>
      <c r="BQ117" s="2135"/>
      <c r="BR117" s="2135"/>
      <c r="BS117" s="2135"/>
      <c r="BT117" s="2135">
        <f>IFERROR(BU117/BL117*10,0)</f>
        <v>3.5562094742261978</v>
      </c>
      <c r="BU117" s="2135">
        <f>BP117+BN117</f>
        <v>52.941596827459065</v>
      </c>
      <c r="BV117" s="2149">
        <v>104.99519819999999</v>
      </c>
      <c r="BW117" s="2109">
        <f>IFERROR(BX117/BV117*10,0)</f>
        <v>2.1125884345620967</v>
      </c>
      <c r="BX117" s="2109">
        <v>22.181164140187505</v>
      </c>
      <c r="BY117" s="2109">
        <v>2.0662493900643937</v>
      </c>
      <c r="BZ117" s="2109">
        <f t="shared" si="162"/>
        <v>21.69462642404401</v>
      </c>
      <c r="CA117" s="2135"/>
      <c r="CB117" s="2135"/>
      <c r="CC117" s="2135"/>
      <c r="CD117" s="2135">
        <f>IFERROR(CE117/BV117*10,0)</f>
        <v>4.1788378246264903</v>
      </c>
      <c r="CE117" s="2135">
        <f>BZ117+BX117</f>
        <v>43.875790564231515</v>
      </c>
      <c r="CF117" s="2149">
        <v>79.159560499999998</v>
      </c>
      <c r="CG117" s="2109">
        <f>IFERROR(CH117/CF117*10,0)</f>
        <v>2.8020827806626727</v>
      </c>
      <c r="CH117" s="2109">
        <v>22.181164140187505</v>
      </c>
      <c r="CI117" s="2109">
        <v>2.0662493900643937</v>
      </c>
      <c r="CJ117" s="2109">
        <f t="shared" si="163"/>
        <v>16.356339360089045</v>
      </c>
      <c r="CK117" s="2135"/>
      <c r="CL117" s="2135"/>
      <c r="CM117" s="2135"/>
      <c r="CN117" s="2135">
        <f>IFERROR(CO117/CF117*10,0)</f>
        <v>4.8683321707270659</v>
      </c>
      <c r="CO117" s="2135">
        <f>CJ117+CH117</f>
        <v>38.53750350027655</v>
      </c>
      <c r="CP117" s="2149">
        <v>100.38958059999997</v>
      </c>
      <c r="CQ117" s="2109">
        <f>IFERROR(CR117/CP117*10,0)</f>
        <v>2.2095085971688491</v>
      </c>
      <c r="CR117" s="2109">
        <v>22.181164140187505</v>
      </c>
      <c r="CS117" s="2109">
        <v>2.0662493900643937</v>
      </c>
      <c r="CT117" s="2109">
        <f t="shared" si="164"/>
        <v>20.742990968357024</v>
      </c>
      <c r="CU117" s="2135"/>
      <c r="CV117" s="2135"/>
      <c r="CW117" s="2135"/>
      <c r="CX117" s="2135">
        <f>IFERROR(CY117/CP117*10,0)</f>
        <v>4.2757579872332423</v>
      </c>
      <c r="CY117" s="2135">
        <f>CT117+CR117</f>
        <v>42.924155108544525</v>
      </c>
      <c r="CZ117" s="2149">
        <v>110.99176119999998</v>
      </c>
      <c r="DA117" s="2109">
        <f>IFERROR(DB117/CZ117*10,0)</f>
        <v>1.9984514075975857</v>
      </c>
      <c r="DB117" s="2109">
        <v>22.181164140187505</v>
      </c>
      <c r="DC117" s="2109">
        <v>2.0662493900643937</v>
      </c>
      <c r="DD117" s="2109">
        <f t="shared" si="165"/>
        <v>22.93366588816728</v>
      </c>
      <c r="DE117" s="2135"/>
      <c r="DF117" s="2135"/>
      <c r="DG117" s="2135"/>
      <c r="DH117" s="2135">
        <f>IFERROR(DI117/CZ117*10,0)</f>
        <v>4.0647007976619793</v>
      </c>
      <c r="DI117" s="2135">
        <f>DD117+DB117</f>
        <v>45.114830028354788</v>
      </c>
      <c r="DJ117" s="2149">
        <v>90.720807599999986</v>
      </c>
      <c r="DK117" s="2109">
        <f>IFERROR(DL117/DJ117*10,0)</f>
        <v>2.444991918280444</v>
      </c>
      <c r="DL117" s="2109">
        <v>22.181164140187505</v>
      </c>
      <c r="DM117" s="2109">
        <v>2.0662493900643937</v>
      </c>
      <c r="DN117" s="2109">
        <f t="shared" si="166"/>
        <v>18.745181336964919</v>
      </c>
      <c r="DO117" s="2135"/>
      <c r="DP117" s="2135"/>
      <c r="DQ117" s="2135"/>
      <c r="DR117" s="2135">
        <f>IFERROR(DS117/DJ117*10,0)</f>
        <v>4.5112413083448377</v>
      </c>
      <c r="DS117" s="2135">
        <f>DN117+DL117</f>
        <v>40.926345477152424</v>
      </c>
      <c r="DT117" s="2149">
        <v>89.706403399999985</v>
      </c>
      <c r="DU117" s="2109">
        <f>IFERROR(DV117/DT117*10,0)</f>
        <v>2.4726400011024752</v>
      </c>
      <c r="DV117" s="2109">
        <v>22.181164140187505</v>
      </c>
      <c r="DW117" s="2109">
        <v>2.0662493900643937</v>
      </c>
      <c r="DX117" s="2109">
        <f t="shared" si="167"/>
        <v>18.535580131012043</v>
      </c>
      <c r="DY117" s="2135"/>
      <c r="DZ117" s="2135"/>
      <c r="EA117" s="2135"/>
      <c r="EB117" s="2135">
        <f>IFERROR(EC117/DT117*10,0)</f>
        <v>4.5388893911668688</v>
      </c>
      <c r="EC117" s="2135">
        <f>DX117+DV117</f>
        <v>40.716744271199545</v>
      </c>
      <c r="ED117" s="2135"/>
      <c r="EE117" s="2106">
        <f>SUM(N117,X117,AH117,AR117,BB117,BL117,BV117,CF117,CP117,CZ117,DJ117,DT117)</f>
        <v>1226.6328888483868</v>
      </c>
      <c r="EF117" s="2106">
        <f>IFERROR((EG117/EE117)*10,0)</f>
        <v>2.1699562444648377</v>
      </c>
      <c r="EG117" s="2106">
        <f>SUM(P117,Z117,AJ117,AT117,BD117,BN117,BX117,CR117,CH117,DB117,DL117,DV117)</f>
        <v>266.17396968225</v>
      </c>
      <c r="EH117" s="2106">
        <f>IFERROR((EI117/EE117)*10,0)</f>
        <v>2.0662493900643937</v>
      </c>
      <c r="EI117" s="2106">
        <f>SUM(R117,AB117,AL117,AV117,BF117,BP117,BZ117,CJ117,CT117,DD117,DN117,DX117)</f>
        <v>253.45294584159043</v>
      </c>
      <c r="EJ117" s="2106"/>
      <c r="EK117" s="2106"/>
      <c r="EL117" s="2106"/>
      <c r="EM117" s="2106">
        <f>IFERROR(EN117/EE117*10,0)</f>
        <v>4.2362056345292318</v>
      </c>
      <c r="EN117" s="2106">
        <f>EG117+EI117</f>
        <v>519.62691552384047</v>
      </c>
      <c r="EO117" s="2106">
        <f>EN117/J117*10</f>
        <v>4.2362056345292318</v>
      </c>
      <c r="EP117" s="2114">
        <f>EN117/M117*10</f>
        <v>4.3885035878889314</v>
      </c>
      <c r="EQ117" s="2224"/>
      <c r="ER117" s="2210"/>
      <c r="ES117" s="2209" t="e">
        <v>#N/A</v>
      </c>
      <c r="ET117" s="2224"/>
      <c r="EU117" s="2230"/>
      <c r="EV117" s="2224"/>
      <c r="EW117" s="2224"/>
      <c r="EX117" s="2224"/>
      <c r="EY117" s="2224"/>
      <c r="EZ117" s="2224"/>
      <c r="FA117" s="2224"/>
    </row>
    <row r="118" spans="1:165">
      <c r="A118" s="2220">
        <v>2</v>
      </c>
      <c r="B118" s="2145" t="s">
        <v>1747</v>
      </c>
      <c r="C118" s="2146">
        <v>400</v>
      </c>
      <c r="D118" s="2147">
        <f>G118/C118</f>
        <v>0.38750000000000001</v>
      </c>
      <c r="E118" s="2146"/>
      <c r="F118" s="2148">
        <v>0.37981409397432891</v>
      </c>
      <c r="G118" s="2146">
        <v>155</v>
      </c>
      <c r="H118" s="2149" t="s">
        <v>1717</v>
      </c>
      <c r="I118" s="2229">
        <v>1</v>
      </c>
      <c r="J118" s="2149">
        <v>498.95539750070969</v>
      </c>
      <c r="K118" s="2148">
        <v>3.4703846153846141E-2</v>
      </c>
      <c r="L118" s="2151"/>
      <c r="M118" s="2152">
        <f>J118*(1-K118)*(1-L118)</f>
        <v>481.63972614821392</v>
      </c>
      <c r="N118" s="2149">
        <v>32.979877999999999</v>
      </c>
      <c r="O118" s="2109">
        <f>IFERROR(P118/N118*10,0)</f>
        <v>3.1715827339287017</v>
      </c>
      <c r="P118" s="2109">
        <v>10.459841163187503</v>
      </c>
      <c r="Q118" s="2109">
        <v>2.3254824555838822</v>
      </c>
      <c r="R118" s="2109">
        <f t="shared" si="156"/>
        <v>7.6694127676296855</v>
      </c>
      <c r="S118" s="2109"/>
      <c r="T118" s="2109"/>
      <c r="U118" s="2109"/>
      <c r="V118" s="2109">
        <f>IFERROR(W118/N118*10,0)</f>
        <v>5.4970651895125835</v>
      </c>
      <c r="W118" s="2109">
        <f>P118+R118</f>
        <v>18.129253930817189</v>
      </c>
      <c r="X118" s="2149">
        <v>36.411501840000007</v>
      </c>
      <c r="Y118" s="2109">
        <f>IFERROR(Z118/X118*10,0)</f>
        <v>2.8726750160293584</v>
      </c>
      <c r="Z118" s="2109">
        <v>10.459841163187503</v>
      </c>
      <c r="AA118" s="2109">
        <v>2.3254824555838822</v>
      </c>
      <c r="AB118" s="2109">
        <f t="shared" si="157"/>
        <v>8.4674308710380259</v>
      </c>
      <c r="AC118" s="2135"/>
      <c r="AD118" s="2135"/>
      <c r="AE118" s="2135"/>
      <c r="AF118" s="2135">
        <f>IFERROR(AG118/X118*10,0)</f>
        <v>5.198157471613241</v>
      </c>
      <c r="AG118" s="2135">
        <f>Z118+AB118</f>
        <v>18.927272034225531</v>
      </c>
      <c r="AH118" s="2149">
        <v>46.302944200000006</v>
      </c>
      <c r="AI118" s="2109">
        <f>IFERROR(AJ118/AH118*10,0)</f>
        <v>2.259001310587827</v>
      </c>
      <c r="AJ118" s="2109">
        <v>10.459841163187503</v>
      </c>
      <c r="AK118" s="2109">
        <v>2.3254824555838822</v>
      </c>
      <c r="AL118" s="2109">
        <f t="shared" si="158"/>
        <v>10.767668437897949</v>
      </c>
      <c r="AM118" s="2135"/>
      <c r="AN118" s="2135"/>
      <c r="AO118" s="2135"/>
      <c r="AP118" s="2135">
        <f>IFERROR(AQ118/AH118*10,0)</f>
        <v>4.5844837661717088</v>
      </c>
      <c r="AQ118" s="2135">
        <f>AL118+AJ118</f>
        <v>21.227509601085451</v>
      </c>
      <c r="AR118" s="2149">
        <v>46.759015399999996</v>
      </c>
      <c r="AS118" s="2109">
        <f>IFERROR(AT118/AR118*10,0)</f>
        <v>2.2369677962011805</v>
      </c>
      <c r="AT118" s="2109">
        <v>10.459841163187503</v>
      </c>
      <c r="AU118" s="2109">
        <v>2.3254824555838822</v>
      </c>
      <c r="AV118" s="2109">
        <f t="shared" si="159"/>
        <v>10.873726995307655</v>
      </c>
      <c r="AW118" s="2135"/>
      <c r="AX118" s="2135"/>
      <c r="AY118" s="2135"/>
      <c r="AZ118" s="2135">
        <f>IFERROR(BA118/AR118*10,0)</f>
        <v>4.5624502517850622</v>
      </c>
      <c r="BA118" s="2135">
        <f>AV118+AT118</f>
        <v>21.333568158495158</v>
      </c>
      <c r="BB118" s="2149">
        <v>64.55692359999999</v>
      </c>
      <c r="BC118" s="2109">
        <f>IFERROR(BD118/BB118*10,0)</f>
        <v>1.6202508700689551</v>
      </c>
      <c r="BD118" s="2109">
        <v>10.459841163187503</v>
      </c>
      <c r="BE118" s="2109">
        <v>2.3254824555838822</v>
      </c>
      <c r="BF118" s="2109">
        <f t="shared" si="160"/>
        <v>15.012599321826906</v>
      </c>
      <c r="BG118" s="2135"/>
      <c r="BH118" s="2135"/>
      <c r="BI118" s="2135"/>
      <c r="BJ118" s="2135">
        <f>IFERROR(BK118/BB118*10,0)</f>
        <v>3.9457333256528369</v>
      </c>
      <c r="BK118" s="2135">
        <f>BF118+BD118</f>
        <v>25.47244048501441</v>
      </c>
      <c r="BL118" s="2149">
        <v>50.807800838709667</v>
      </c>
      <c r="BM118" s="2109">
        <f>IFERROR(BN118/BL118*10,0)</f>
        <v>2.0587077162407539</v>
      </c>
      <c r="BN118" s="2109">
        <v>10.459841163187503</v>
      </c>
      <c r="BO118" s="2109">
        <v>2.3254824555838822</v>
      </c>
      <c r="BP118" s="2109">
        <f t="shared" si="161"/>
        <v>11.815264945721939</v>
      </c>
      <c r="BQ118" s="2135"/>
      <c r="BR118" s="2135"/>
      <c r="BS118" s="2135"/>
      <c r="BT118" s="2135">
        <f>IFERROR(BU118/BL118*10,0)</f>
        <v>4.3841901718246357</v>
      </c>
      <c r="BU118" s="2135">
        <f>BP118+BN118</f>
        <v>22.275106108909441</v>
      </c>
      <c r="BV118" s="2149">
        <v>35.621794599999994</v>
      </c>
      <c r="BW118" s="2109">
        <f>IFERROR(BX118/BV118*10,0)</f>
        <v>2.9363599674418155</v>
      </c>
      <c r="BX118" s="2109">
        <v>10.459841163187503</v>
      </c>
      <c r="BY118" s="2109">
        <v>2.3254824555838822</v>
      </c>
      <c r="BZ118" s="2109">
        <f t="shared" si="162"/>
        <v>8.2837858378712674</v>
      </c>
      <c r="CA118" s="2135"/>
      <c r="CB118" s="2135"/>
      <c r="CC118" s="2135"/>
      <c r="CD118" s="2135">
        <f>IFERROR(CE118/BV118*10,0)</f>
        <v>5.2618424230256977</v>
      </c>
      <c r="CE118" s="2135">
        <f>BZ118+BX118</f>
        <v>18.743627001058769</v>
      </c>
      <c r="CF118" s="2149">
        <v>27.309963249999999</v>
      </c>
      <c r="CG118" s="2109">
        <f>IFERROR(CH118/CF118*10,0)</f>
        <v>3.8300458581494077</v>
      </c>
      <c r="CH118" s="2109">
        <v>10.459841163187503</v>
      </c>
      <c r="CI118" s="2109">
        <v>2.3254824555838822</v>
      </c>
      <c r="CJ118" s="2109">
        <f t="shared" si="163"/>
        <v>6.3508840400515583</v>
      </c>
      <c r="CK118" s="2135"/>
      <c r="CL118" s="2135"/>
      <c r="CM118" s="2135"/>
      <c r="CN118" s="2135">
        <f>IFERROR(CO118/CF118*10,0)</f>
        <v>6.1555283137332903</v>
      </c>
      <c r="CO118" s="2135">
        <f>CJ118+CH118</f>
        <v>16.810725203239063</v>
      </c>
      <c r="CP118" s="2149">
        <v>36.020335199999998</v>
      </c>
      <c r="CQ118" s="2109">
        <f>IFERROR(CR118/CP118*10,0)</f>
        <v>2.9038711342107399</v>
      </c>
      <c r="CR118" s="2109">
        <v>10.459841163187503</v>
      </c>
      <c r="CS118" s="2109">
        <v>2.3254824555838822</v>
      </c>
      <c r="CT118" s="2109">
        <f t="shared" si="164"/>
        <v>8.3764657551850554</v>
      </c>
      <c r="CU118" s="2135"/>
      <c r="CV118" s="2135"/>
      <c r="CW118" s="2135"/>
      <c r="CX118" s="2135">
        <f>IFERROR(CY118/CP118*10,0)</f>
        <v>5.2293535897946217</v>
      </c>
      <c r="CY118" s="2135">
        <f>CT118+CR118</f>
        <v>18.836306918372557</v>
      </c>
      <c r="CZ118" s="2149">
        <v>41.185426399999997</v>
      </c>
      <c r="DA118" s="2109">
        <f>IFERROR(DB118/CZ118*10,0)</f>
        <v>2.5396947603746316</v>
      </c>
      <c r="DB118" s="2109">
        <v>10.459841163187503</v>
      </c>
      <c r="DC118" s="2109">
        <v>2.3254824555838822</v>
      </c>
      <c r="DD118" s="2109">
        <f t="shared" si="165"/>
        <v>9.5775986518941245</v>
      </c>
      <c r="DE118" s="2135"/>
      <c r="DF118" s="2135"/>
      <c r="DG118" s="2135"/>
      <c r="DH118" s="2135">
        <f>IFERROR(DI118/CZ118*10,0)</f>
        <v>4.8651772159585143</v>
      </c>
      <c r="DI118" s="2135">
        <f>DD118+DB118</f>
        <v>20.037439815081626</v>
      </c>
      <c r="DJ118" s="2149">
        <v>37.495987800000002</v>
      </c>
      <c r="DK118" s="2109">
        <f>IFERROR(DL118/DJ118*10,0)</f>
        <v>2.7895894406034301</v>
      </c>
      <c r="DL118" s="2109">
        <v>10.459841163187503</v>
      </c>
      <c r="DM118" s="2109">
        <v>2.3254824555838822</v>
      </c>
      <c r="DN118" s="2109">
        <f t="shared" si="166"/>
        <v>8.7196261783687294</v>
      </c>
      <c r="DO118" s="2135"/>
      <c r="DP118" s="2135"/>
      <c r="DQ118" s="2135"/>
      <c r="DR118" s="2135">
        <f>IFERROR(DS118/DJ118*10,0)</f>
        <v>5.1150718961873123</v>
      </c>
      <c r="DS118" s="2135">
        <f>DN118+DL118</f>
        <v>19.179467341556233</v>
      </c>
      <c r="DT118" s="2149">
        <v>43.503826371999999</v>
      </c>
      <c r="DU118" s="2109">
        <f>IFERROR(DV118/DT118*10,0)</f>
        <v>2.4043496941500488</v>
      </c>
      <c r="DV118" s="2109">
        <v>10.459841163187503</v>
      </c>
      <c r="DW118" s="2109">
        <v>2.3254824555838822</v>
      </c>
      <c r="DX118" s="2109">
        <f t="shared" si="167"/>
        <v>10.11673849788534</v>
      </c>
      <c r="DY118" s="2135"/>
      <c r="DZ118" s="2135"/>
      <c r="EA118" s="2135"/>
      <c r="EB118" s="2135">
        <f>IFERROR(EC118/DT118*10,0)</f>
        <v>4.7298321497339311</v>
      </c>
      <c r="EC118" s="2135">
        <f>DX118+DV118</f>
        <v>20.576579661072842</v>
      </c>
      <c r="ED118" s="2135"/>
      <c r="EE118" s="2106">
        <f>SUM(N118,X118,AH118,AR118,BB118,BL118,BV118,CF118,CP118,CZ118,DJ118,DT118)</f>
        <v>498.95539750070969</v>
      </c>
      <c r="EF118" s="2106">
        <f>IFERROR((EG118/EE118)*10,0)</f>
        <v>2.5156175198620137</v>
      </c>
      <c r="EG118" s="2106">
        <f>SUM(P118,Z118,AJ118,AT118,BD118,BN118,BX118,CR118,CH118,DB118,DL118,DV118)</f>
        <v>125.51809395825005</v>
      </c>
      <c r="EH118" s="2106">
        <f>IFERROR((EI118/EE118)*10,0)</f>
        <v>2.3254824555838818</v>
      </c>
      <c r="EI118" s="2106">
        <f>SUM(R118,AB118,AL118,AV118,BF118,BP118,BZ118,CJ118,CT118,DD118,DN118,DX118)</f>
        <v>116.03120230067822</v>
      </c>
      <c r="EJ118" s="2106"/>
      <c r="EK118" s="2106"/>
      <c r="EL118" s="2106"/>
      <c r="EM118" s="2106">
        <f>IFERROR(EN118/EE118*10,0)</f>
        <v>4.8410999754458954</v>
      </c>
      <c r="EN118" s="2106">
        <f>EG118+EI118</f>
        <v>241.54929625892828</v>
      </c>
      <c r="EO118" s="2106">
        <f>EN118/J118*10</f>
        <v>4.8410999754458954</v>
      </c>
      <c r="EP118" s="2114">
        <f>EN118/M118*10</f>
        <v>5.0151447886297662</v>
      </c>
      <c r="EQ118" s="2224"/>
      <c r="ER118" s="2210"/>
      <c r="ES118" s="2209" t="e">
        <v>#N/A</v>
      </c>
      <c r="ET118" s="2224"/>
      <c r="EU118" s="2230"/>
      <c r="EV118" s="2224"/>
      <c r="EW118" s="2224"/>
      <c r="EX118" s="2224"/>
      <c r="EY118" s="2224"/>
      <c r="EZ118" s="2224"/>
      <c r="FA118" s="2224"/>
    </row>
    <row r="119" spans="1:165">
      <c r="A119" s="1797">
        <v>3</v>
      </c>
      <c r="B119" s="2227" t="s">
        <v>1748</v>
      </c>
      <c r="C119" s="1882">
        <v>24</v>
      </c>
      <c r="D119" s="2134">
        <f>G119/C119</f>
        <v>1</v>
      </c>
      <c r="E119" s="1882"/>
      <c r="F119" s="2247">
        <v>0.54966688381090767</v>
      </c>
      <c r="G119" s="1882">
        <f>C119</f>
        <v>24</v>
      </c>
      <c r="H119" s="2248" t="s">
        <v>1717</v>
      </c>
      <c r="I119" s="2249">
        <v>2</v>
      </c>
      <c r="J119" s="2248">
        <v>0</v>
      </c>
      <c r="K119" s="2247">
        <v>3.4703846153846141E-2</v>
      </c>
      <c r="L119" s="2250"/>
      <c r="M119" s="2106">
        <f>J119*(1-K119)*(1-L119)</f>
        <v>0</v>
      </c>
      <c r="N119" s="2248">
        <v>0</v>
      </c>
      <c r="O119" s="2135">
        <f>IFERROR(P119/N119*10,0)</f>
        <v>0</v>
      </c>
      <c r="P119" s="2135"/>
      <c r="Q119" s="2135">
        <v>0</v>
      </c>
      <c r="R119" s="2135">
        <f t="shared" si="156"/>
        <v>0</v>
      </c>
      <c r="S119" s="2135"/>
      <c r="T119" s="2135"/>
      <c r="U119" s="2135"/>
      <c r="V119" s="2135">
        <f>IFERROR(W119/N119*10,0)</f>
        <v>0</v>
      </c>
      <c r="W119" s="2135">
        <f>P119+R119</f>
        <v>0</v>
      </c>
      <c r="X119" s="2248">
        <v>5.3711100000000007</v>
      </c>
      <c r="Y119" s="2135">
        <f>IFERROR(Z119/X119*10,0)</f>
        <v>0</v>
      </c>
      <c r="Z119" s="2135"/>
      <c r="AA119" s="2135">
        <f>AK119</f>
        <v>5.1174992295520134</v>
      </c>
      <c r="AB119" s="2135">
        <f t="shared" si="157"/>
        <v>2.7486651286839119</v>
      </c>
      <c r="AC119" s="2135"/>
      <c r="AD119" s="2135"/>
      <c r="AE119" s="2135"/>
      <c r="AF119" s="2135">
        <f>IFERROR(AG119/X119*10,0)</f>
        <v>5.1174992295520134</v>
      </c>
      <c r="AG119" s="2135">
        <f>Z119+AB119</f>
        <v>2.7486651286839119</v>
      </c>
      <c r="AH119" s="2248">
        <v>1.3296639999999993</v>
      </c>
      <c r="AI119" s="2135"/>
      <c r="AJ119" s="2135"/>
      <c r="AK119" s="2135">
        <f>BE119</f>
        <v>5.1174992295520134</v>
      </c>
      <c r="AL119" s="2135">
        <f t="shared" si="158"/>
        <v>0.68045544955630444</v>
      </c>
      <c r="AM119" s="2135"/>
      <c r="AN119" s="2135"/>
      <c r="AO119" s="2135"/>
      <c r="AP119" s="2135">
        <f>IFERROR(AQ119/AH119*10,0)</f>
        <v>5.1174992295520125</v>
      </c>
      <c r="AQ119" s="2135">
        <f>AL119+AJ119</f>
        <v>0.68045544955630444</v>
      </c>
      <c r="AR119" s="2248">
        <v>4.9999999999999998E-7</v>
      </c>
      <c r="AS119" s="2135">
        <f>IFERROR(AT119/AR119*10,0)</f>
        <v>0</v>
      </c>
      <c r="AT119" s="2135"/>
      <c r="AU119" s="2135">
        <v>0</v>
      </c>
      <c r="AV119" s="2135">
        <f t="shared" si="159"/>
        <v>0</v>
      </c>
      <c r="AW119" s="2135"/>
      <c r="AX119" s="2135"/>
      <c r="AY119" s="2135"/>
      <c r="AZ119" s="2135">
        <f>IFERROR(BA119/AR119*10,0)</f>
        <v>0</v>
      </c>
      <c r="BA119" s="2135">
        <f>AV119+AT119</f>
        <v>0</v>
      </c>
      <c r="BB119" s="2248">
        <v>8.2010580000000015</v>
      </c>
      <c r="BC119" s="2248">
        <v>0</v>
      </c>
      <c r="BD119" s="2135"/>
      <c r="BE119" s="2135">
        <f>BO119</f>
        <v>5.1174992295520134</v>
      </c>
      <c r="BF119" s="2135">
        <f t="shared" si="160"/>
        <v>4.196890799651138</v>
      </c>
      <c r="BG119" s="2135"/>
      <c r="BH119" s="2135"/>
      <c r="BI119" s="2135"/>
      <c r="BJ119" s="2135">
        <f>IFERROR(BK119/BB119*10,0)</f>
        <v>5.1174992295520125</v>
      </c>
      <c r="BK119" s="2135">
        <f>BF119+BD119</f>
        <v>4.196890799651138</v>
      </c>
      <c r="BL119" s="2248">
        <v>11.326960161290323</v>
      </c>
      <c r="BM119" s="2135"/>
      <c r="BN119" s="2135"/>
      <c r="BO119" s="2135">
        <f>BY119</f>
        <v>5.1174992295520134</v>
      </c>
      <c r="BP119" s="2135">
        <f t="shared" si="161"/>
        <v>5.7965709898569582</v>
      </c>
      <c r="BQ119" s="2135"/>
      <c r="BR119" s="2135"/>
      <c r="BS119" s="2135"/>
      <c r="BT119" s="2135">
        <f>IFERROR(BU119/BL119*10,0)</f>
        <v>5.1174992295520134</v>
      </c>
      <c r="BU119" s="2135">
        <f>BP119+BN119</f>
        <v>5.7965709898569582</v>
      </c>
      <c r="BV119" s="2248">
        <v>7.7102835000000001</v>
      </c>
      <c r="BW119" s="2135"/>
      <c r="BX119" s="2135"/>
      <c r="BY119" s="2135">
        <v>5.1174992295520134</v>
      </c>
      <c r="BZ119" s="2135">
        <f t="shared" si="162"/>
        <v>3.9457369870877601</v>
      </c>
      <c r="CA119" s="2135"/>
      <c r="CB119" s="2135"/>
      <c r="CC119" s="2135"/>
      <c r="CD119" s="2135">
        <f>IFERROR(CE119/BV119*10,0)</f>
        <v>5.1174992295520134</v>
      </c>
      <c r="CE119" s="2135">
        <f>BZ119+BX119</f>
        <v>3.9457369870877601</v>
      </c>
      <c r="CF119" s="2248">
        <v>6.8605244999999977</v>
      </c>
      <c r="CG119" s="2135"/>
      <c r="CH119" s="2135"/>
      <c r="CI119" s="2135">
        <v>5.1174992295520134</v>
      </c>
      <c r="CJ119" s="2135">
        <f t="shared" si="163"/>
        <v>3.5108728843072696</v>
      </c>
      <c r="CK119" s="2135"/>
      <c r="CL119" s="2135"/>
      <c r="CM119" s="2135"/>
      <c r="CN119" s="2135">
        <f>IFERROR(CO119/CF119*10,0)</f>
        <v>5.1174992295520125</v>
      </c>
      <c r="CO119" s="2135">
        <f>CJ119+CH119</f>
        <v>3.5108728843072696</v>
      </c>
      <c r="CP119" s="2248">
        <v>7.8455050000000011</v>
      </c>
      <c r="CQ119" s="2135">
        <f>IFERROR(CR119/CP119*10,0)</f>
        <v>0</v>
      </c>
      <c r="CR119" s="2135"/>
      <c r="CS119" s="2135">
        <v>5.1174992295520134</v>
      </c>
      <c r="CT119" s="2135">
        <f t="shared" si="164"/>
        <v>4.0149365792946474</v>
      </c>
      <c r="CU119" s="2135"/>
      <c r="CV119" s="2135"/>
      <c r="CW119" s="2135"/>
      <c r="CX119" s="2135">
        <f>IFERROR(CY119/CP119*10,0)</f>
        <v>5.1174992295520134</v>
      </c>
      <c r="CY119" s="2135">
        <f>CT119+CR119</f>
        <v>4.0149365792946474</v>
      </c>
      <c r="CZ119" s="2248">
        <v>7.8455050000000011</v>
      </c>
      <c r="DA119" s="2135">
        <f>IFERROR(DB119/CZ119*10,0)</f>
        <v>0</v>
      </c>
      <c r="DB119" s="2135"/>
      <c r="DC119" s="2135">
        <v>5.1174992295520134</v>
      </c>
      <c r="DD119" s="2135">
        <f t="shared" si="165"/>
        <v>4.0149365792946474</v>
      </c>
      <c r="DE119" s="2135"/>
      <c r="DF119" s="2135"/>
      <c r="DG119" s="2135"/>
      <c r="DH119" s="2135">
        <f>IFERROR(DI119/CZ119*10,0)</f>
        <v>5.1174992295520134</v>
      </c>
      <c r="DI119" s="2135">
        <f>DD119+DB119</f>
        <v>4.0149365792946474</v>
      </c>
      <c r="DJ119" s="2248">
        <v>0</v>
      </c>
      <c r="DK119" s="2135">
        <f>IFERROR(DL119/DJ119*10,0)</f>
        <v>0</v>
      </c>
      <c r="DL119" s="2135"/>
      <c r="DM119" s="2135"/>
      <c r="DN119" s="2135">
        <f t="shared" si="166"/>
        <v>0</v>
      </c>
      <c r="DO119" s="2135"/>
      <c r="DP119" s="2135"/>
      <c r="DQ119" s="2135"/>
      <c r="DR119" s="2135">
        <f>IFERROR(DS119/DJ119*10,0)</f>
        <v>0</v>
      </c>
      <c r="DS119" s="2135">
        <f>DN119+DL119</f>
        <v>0</v>
      </c>
      <c r="DT119" s="2248">
        <v>0</v>
      </c>
      <c r="DU119" s="2135">
        <f>IFERROR(DV119/DT119*10,0)</f>
        <v>0</v>
      </c>
      <c r="DV119" s="2135"/>
      <c r="DW119" s="2135">
        <v>0</v>
      </c>
      <c r="DX119" s="2135">
        <f t="shared" si="167"/>
        <v>0</v>
      </c>
      <c r="DY119" s="2135"/>
      <c r="DZ119" s="2135"/>
      <c r="EA119" s="2135"/>
      <c r="EB119" s="2135">
        <f>IFERROR(EC119/DT119*10,0)</f>
        <v>0</v>
      </c>
      <c r="EC119" s="2135">
        <f>DX119+DV119</f>
        <v>0</v>
      </c>
      <c r="ED119" s="2135"/>
      <c r="EE119" s="2106">
        <f>SUM(N119,X119,AH119,AR119,BB119,BL119,BV119,CF119,CP119,CZ119,DJ119,DT119)</f>
        <v>56.490610661290326</v>
      </c>
      <c r="EF119" s="2106">
        <f>IFERROR((EG119/EE119)*10,0)</f>
        <v>0</v>
      </c>
      <c r="EG119" s="2106">
        <f>SUM(P119,Z119,AJ119,AT119,BD119,BN119,BX119,CR119,CH119,DB119,DL119,DV119)</f>
        <v>0</v>
      </c>
      <c r="EH119" s="2106">
        <f>IFERROR((EI119/EE119)*10,0)</f>
        <v>5.1174991842568822</v>
      </c>
      <c r="EI119" s="2106">
        <f>SUM(R119,AB119,AL119,AV119,BF119,BP119,BZ119,CJ119,CT119,DD119,DN119,DX119)</f>
        <v>28.909065397732636</v>
      </c>
      <c r="EJ119" s="2106"/>
      <c r="EK119" s="2106"/>
      <c r="EL119" s="2106"/>
      <c r="EM119" s="2106">
        <f>IFERROR(EN119/EE119*10,0)</f>
        <v>5.1174991842568822</v>
      </c>
      <c r="EN119" s="2106">
        <f>EG119+EI119</f>
        <v>28.909065397732636</v>
      </c>
      <c r="EO119" s="2106" t="e">
        <f>EN119/J119*10</f>
        <v>#DIV/0!</v>
      </c>
      <c r="EP119" s="2106" t="e">
        <f>EN119/M119*10</f>
        <v>#DIV/0!</v>
      </c>
      <c r="EQ119" s="2224"/>
      <c r="ES119" s="2209" t="e">
        <v>#N/A</v>
      </c>
      <c r="ET119" s="2224"/>
      <c r="EU119" s="2230"/>
      <c r="EV119" s="2224"/>
      <c r="EW119" s="2224"/>
      <c r="EX119" s="2224"/>
      <c r="EY119" s="2224"/>
      <c r="EZ119" s="2224"/>
      <c r="FA119" s="2224"/>
    </row>
    <row r="120" spans="1:165">
      <c r="A120" s="2220">
        <v>4</v>
      </c>
      <c r="B120" s="2145" t="s">
        <v>1749</v>
      </c>
      <c r="C120" s="2146">
        <v>444</v>
      </c>
      <c r="D120" s="2147">
        <f>G120/C120</f>
        <v>0.37387387387387389</v>
      </c>
      <c r="E120" s="2146"/>
      <c r="F120" s="2148"/>
      <c r="G120" s="2146">
        <v>166</v>
      </c>
      <c r="H120" s="2149" t="s">
        <v>1717</v>
      </c>
      <c r="I120" s="2229">
        <v>1</v>
      </c>
      <c r="J120" s="2149">
        <v>0</v>
      </c>
      <c r="K120" s="2148">
        <v>3.4703846153846141E-2</v>
      </c>
      <c r="L120" s="2151"/>
      <c r="M120" s="2152">
        <f>J120*(1-K120)*(1-L120)</f>
        <v>0</v>
      </c>
      <c r="N120" s="2149">
        <v>0</v>
      </c>
      <c r="O120" s="2109">
        <f>IFERROR(P120/N120*10,0)</f>
        <v>0</v>
      </c>
      <c r="P120" s="2109">
        <v>0</v>
      </c>
      <c r="Q120" s="2109">
        <v>0</v>
      </c>
      <c r="R120" s="2109">
        <f t="shared" si="156"/>
        <v>0</v>
      </c>
      <c r="S120" s="2109"/>
      <c r="T120" s="2109"/>
      <c r="U120" s="2109"/>
      <c r="V120" s="2109">
        <f>IFERROR(W120/N120*10,0)</f>
        <v>0</v>
      </c>
      <c r="W120" s="2109">
        <f>P120+R120</f>
        <v>0</v>
      </c>
      <c r="X120" s="2149">
        <v>0</v>
      </c>
      <c r="Y120" s="2109">
        <f>IFERROR(Z120/X120*10,0)</f>
        <v>0</v>
      </c>
      <c r="Z120" s="2109">
        <v>0</v>
      </c>
      <c r="AA120" s="2109">
        <v>0</v>
      </c>
      <c r="AB120" s="2109">
        <f t="shared" si="157"/>
        <v>0</v>
      </c>
      <c r="AC120" s="2135"/>
      <c r="AD120" s="2135"/>
      <c r="AE120" s="2135"/>
      <c r="AF120" s="2135">
        <f>IFERROR(AG120/X120*10,0)</f>
        <v>0</v>
      </c>
      <c r="AG120" s="2135">
        <f>Z120+AB120</f>
        <v>0</v>
      </c>
      <c r="AH120" s="2149">
        <v>0</v>
      </c>
      <c r="AI120" s="2109">
        <f>IFERROR(AJ120/AH120*10,0)</f>
        <v>0</v>
      </c>
      <c r="AJ120" s="2109">
        <v>0</v>
      </c>
      <c r="AK120" s="2109">
        <v>0</v>
      </c>
      <c r="AL120" s="2109">
        <f t="shared" si="158"/>
        <v>0</v>
      </c>
      <c r="AM120" s="2135"/>
      <c r="AN120" s="2135"/>
      <c r="AO120" s="2135"/>
      <c r="AP120" s="2135">
        <f>IFERROR(AQ120/AH120*10,0)</f>
        <v>0</v>
      </c>
      <c r="AQ120" s="2135">
        <f>AL120+AJ120</f>
        <v>0</v>
      </c>
      <c r="AR120" s="2149">
        <v>0</v>
      </c>
      <c r="AS120" s="2109">
        <f>IFERROR(AT120/AR120*10,0)</f>
        <v>0</v>
      </c>
      <c r="AT120" s="2109">
        <v>0</v>
      </c>
      <c r="AU120" s="2109">
        <v>0</v>
      </c>
      <c r="AV120" s="2109">
        <f t="shared" si="159"/>
        <v>0</v>
      </c>
      <c r="AW120" s="2135"/>
      <c r="AX120" s="2135"/>
      <c r="AY120" s="2135"/>
      <c r="AZ120" s="2135">
        <f>IFERROR(BA120/AR120*10,0)</f>
        <v>0</v>
      </c>
      <c r="BA120" s="2135">
        <f>AV120+AT120</f>
        <v>0</v>
      </c>
      <c r="BB120" s="2149">
        <v>0</v>
      </c>
      <c r="BC120" s="2109">
        <f>IFERROR(BD120/BB120*10,0)</f>
        <v>0</v>
      </c>
      <c r="BD120" s="2109">
        <v>0</v>
      </c>
      <c r="BE120" s="2109">
        <v>0</v>
      </c>
      <c r="BF120" s="2109">
        <f t="shared" si="160"/>
        <v>0</v>
      </c>
      <c r="BG120" s="2135"/>
      <c r="BH120" s="2135"/>
      <c r="BI120" s="2135"/>
      <c r="BJ120" s="2135">
        <f>IFERROR(BK120/BB120*10,0)</f>
        <v>0</v>
      </c>
      <c r="BK120" s="2135">
        <f>BF120+BD120</f>
        <v>0</v>
      </c>
      <c r="BL120" s="2149">
        <v>0</v>
      </c>
      <c r="BM120" s="2109">
        <f>IFERROR(BN120/BL120*10,0)</f>
        <v>0</v>
      </c>
      <c r="BN120" s="2109">
        <v>0</v>
      </c>
      <c r="BO120" s="2109">
        <v>0</v>
      </c>
      <c r="BP120" s="2109">
        <f t="shared" si="161"/>
        <v>0</v>
      </c>
      <c r="BQ120" s="2135"/>
      <c r="BR120" s="2135"/>
      <c r="BS120" s="2135"/>
      <c r="BT120" s="2135">
        <f>IFERROR(BU120/BL120*10,0)</f>
        <v>0</v>
      </c>
      <c r="BU120" s="2135">
        <f>BP120+BN120</f>
        <v>0</v>
      </c>
      <c r="BV120" s="2149">
        <v>0</v>
      </c>
      <c r="BW120" s="2109">
        <f>IFERROR(BX120/BV120*10,0)</f>
        <v>0</v>
      </c>
      <c r="BX120" s="2109">
        <v>0</v>
      </c>
      <c r="BY120" s="2109">
        <v>0</v>
      </c>
      <c r="BZ120" s="2109">
        <f t="shared" si="162"/>
        <v>0</v>
      </c>
      <c r="CA120" s="2135"/>
      <c r="CB120" s="2135"/>
      <c r="CC120" s="2135"/>
      <c r="CD120" s="2135">
        <f>IFERROR(CE120/BV120*10,0)</f>
        <v>0</v>
      </c>
      <c r="CE120" s="2135">
        <f>BZ120+BX120</f>
        <v>0</v>
      </c>
      <c r="CF120" s="2149">
        <v>0</v>
      </c>
      <c r="CG120" s="2109">
        <f>IFERROR(CH120/CF120*10,0)</f>
        <v>0</v>
      </c>
      <c r="CH120" s="2109">
        <v>0</v>
      </c>
      <c r="CI120" s="2109">
        <v>0</v>
      </c>
      <c r="CJ120" s="2109">
        <f t="shared" si="163"/>
        <v>0</v>
      </c>
      <c r="CK120" s="2135"/>
      <c r="CL120" s="2135"/>
      <c r="CM120" s="2135"/>
      <c r="CN120" s="2135">
        <f>IFERROR(CO120/CF120*10,0)</f>
        <v>0</v>
      </c>
      <c r="CO120" s="2135">
        <f>CJ120+CH120</f>
        <v>0</v>
      </c>
      <c r="CP120" s="2149">
        <v>0</v>
      </c>
      <c r="CQ120" s="2109">
        <f>IFERROR(CR120/CP120*10,0)</f>
        <v>0</v>
      </c>
      <c r="CR120" s="2109">
        <v>0</v>
      </c>
      <c r="CS120" s="2109">
        <v>0</v>
      </c>
      <c r="CT120" s="2109">
        <f t="shared" si="164"/>
        <v>0</v>
      </c>
      <c r="CU120" s="2135"/>
      <c r="CV120" s="2135"/>
      <c r="CW120" s="2135"/>
      <c r="CX120" s="2135">
        <f>IFERROR(CY120/CP120*10,0)</f>
        <v>0</v>
      </c>
      <c r="CY120" s="2135">
        <f>CT120+CR120</f>
        <v>0</v>
      </c>
      <c r="CZ120" s="2149">
        <v>0</v>
      </c>
      <c r="DA120" s="2109">
        <f>IFERROR(DB120/CZ120*10,0)</f>
        <v>0</v>
      </c>
      <c r="DB120" s="2109">
        <v>0</v>
      </c>
      <c r="DC120" s="2109">
        <v>0</v>
      </c>
      <c r="DD120" s="2109">
        <f t="shared" si="165"/>
        <v>0</v>
      </c>
      <c r="DE120" s="2135"/>
      <c r="DF120" s="2135"/>
      <c r="DG120" s="2135"/>
      <c r="DH120" s="2135">
        <f>IFERROR(DI120/CZ120*10,0)</f>
        <v>0</v>
      </c>
      <c r="DI120" s="2135">
        <f>DD120+DB120</f>
        <v>0</v>
      </c>
      <c r="DJ120" s="2149">
        <v>0</v>
      </c>
      <c r="DK120" s="2109">
        <f>IFERROR(DL120/DJ120*10,0)</f>
        <v>0</v>
      </c>
      <c r="DL120" s="2109">
        <v>0</v>
      </c>
      <c r="DM120" s="2109">
        <v>0</v>
      </c>
      <c r="DN120" s="2109">
        <f t="shared" si="166"/>
        <v>0</v>
      </c>
      <c r="DO120" s="2135"/>
      <c r="DP120" s="2135"/>
      <c r="DQ120" s="2135"/>
      <c r="DR120" s="2135">
        <f>IFERROR(DS120/DJ120*10,0)</f>
        <v>0</v>
      </c>
      <c r="DS120" s="2135">
        <f>DN120+DL120</f>
        <v>0</v>
      </c>
      <c r="DT120" s="2149">
        <v>0</v>
      </c>
      <c r="DU120" s="2109">
        <f>IFERROR(DV120/DT120*10,0)</f>
        <v>0</v>
      </c>
      <c r="DV120" s="2109">
        <v>0</v>
      </c>
      <c r="DW120" s="2109">
        <v>0</v>
      </c>
      <c r="DX120" s="2109">
        <f t="shared" si="167"/>
        <v>0</v>
      </c>
      <c r="DY120" s="2135"/>
      <c r="DZ120" s="2135"/>
      <c r="EA120" s="2135"/>
      <c r="EB120" s="2135">
        <f>IFERROR(EC120/DT120*10,0)</f>
        <v>0</v>
      </c>
      <c r="EC120" s="2135">
        <f>DX120+DV120</f>
        <v>0</v>
      </c>
      <c r="ED120" s="2135"/>
      <c r="EE120" s="2106">
        <f>SUM(N120,X120,AH120,AR120,BB120,BL120,BV120,CF120,CP120,CZ120,DJ120,DT120)</f>
        <v>0</v>
      </c>
      <c r="EF120" s="2106">
        <f>IFERROR((EG120/EE120)*10,0)</f>
        <v>0</v>
      </c>
      <c r="EG120" s="2106">
        <f>SUM(P120,Z120,AJ120,AT120,BD120,BN120,BX120,CR120,CH120,DB120,DL120,DV120)</f>
        <v>0</v>
      </c>
      <c r="EH120" s="2106">
        <f>IFERROR((EI120/EE120)*10,0)</f>
        <v>0</v>
      </c>
      <c r="EI120" s="2106">
        <f>SUM(R120,AB120,AL120,AV120,BF120,BP120,BZ120,CJ120,CT120,DD120,DN120,DX120)</f>
        <v>0</v>
      </c>
      <c r="EJ120" s="2106"/>
      <c r="EK120" s="2106"/>
      <c r="EL120" s="2106"/>
      <c r="EM120" s="2106">
        <f>IFERROR(EN120/EE120*10,0)</f>
        <v>0</v>
      </c>
      <c r="EN120" s="2106">
        <f>EG120+EI120</f>
        <v>0</v>
      </c>
      <c r="EO120" s="1915"/>
      <c r="EP120" s="2223"/>
      <c r="EQ120" s="2224"/>
      <c r="ER120" s="2210"/>
      <c r="ES120" s="2209" t="e">
        <v>#N/A</v>
      </c>
      <c r="EU120" s="2230"/>
    </row>
    <row r="121" spans="1:165">
      <c r="A121" s="2220"/>
      <c r="B121" s="2233" t="s">
        <v>2092</v>
      </c>
      <c r="C121" s="2145"/>
      <c r="D121" s="2145"/>
      <c r="E121" s="2145"/>
      <c r="F121" s="2145"/>
      <c r="G121" s="1592"/>
      <c r="H121" s="2264"/>
      <c r="I121" s="2265"/>
      <c r="J121" s="2264"/>
      <c r="K121" s="2145"/>
      <c r="L121" s="2145"/>
      <c r="M121" s="2266"/>
      <c r="N121" s="2149">
        <v>0</v>
      </c>
      <c r="O121" s="2264"/>
      <c r="P121" s="2109">
        <v>0</v>
      </c>
      <c r="Q121" s="2109">
        <v>0</v>
      </c>
      <c r="R121" s="2109">
        <f t="shared" si="156"/>
        <v>0</v>
      </c>
      <c r="S121" s="2264"/>
      <c r="T121" s="2264"/>
      <c r="U121" s="2264"/>
      <c r="V121" s="2109"/>
      <c r="W121" s="2264"/>
      <c r="X121" s="2149">
        <v>0</v>
      </c>
      <c r="Y121" s="2264"/>
      <c r="Z121" s="2109">
        <v>0</v>
      </c>
      <c r="AA121" s="2109">
        <v>0</v>
      </c>
      <c r="AB121" s="2109">
        <f t="shared" si="157"/>
        <v>0</v>
      </c>
      <c r="AC121" s="2267"/>
      <c r="AD121" s="2267"/>
      <c r="AE121" s="2267"/>
      <c r="AF121" s="2267"/>
      <c r="AG121" s="2267"/>
      <c r="AH121" s="2149">
        <v>0</v>
      </c>
      <c r="AI121" s="2264"/>
      <c r="AJ121" s="2109">
        <v>0</v>
      </c>
      <c r="AK121" s="2109">
        <v>0</v>
      </c>
      <c r="AL121" s="2109">
        <f t="shared" si="158"/>
        <v>0</v>
      </c>
      <c r="AM121" s="2267"/>
      <c r="AN121" s="2267"/>
      <c r="AO121" s="2268"/>
      <c r="AP121" s="2267"/>
      <c r="AQ121" s="2267"/>
      <c r="AR121" s="2149">
        <v>0</v>
      </c>
      <c r="AS121" s="2264"/>
      <c r="AT121" s="2109">
        <v>0</v>
      </c>
      <c r="AU121" s="2109">
        <v>0</v>
      </c>
      <c r="AV121" s="2109">
        <f t="shared" si="159"/>
        <v>0</v>
      </c>
      <c r="AW121" s="2135"/>
      <c r="AX121" s="2135"/>
      <c r="AY121" s="2135"/>
      <c r="AZ121" s="2135"/>
      <c r="BA121" s="2135"/>
      <c r="BB121" s="2149">
        <v>0</v>
      </c>
      <c r="BC121" s="2264"/>
      <c r="BD121" s="2109">
        <v>0</v>
      </c>
      <c r="BE121" s="2109">
        <v>0</v>
      </c>
      <c r="BF121" s="2109">
        <f t="shared" si="160"/>
        <v>0</v>
      </c>
      <c r="BG121" s="2135"/>
      <c r="BH121" s="2135"/>
      <c r="BI121" s="2135"/>
      <c r="BJ121" s="2135"/>
      <c r="BK121" s="2135"/>
      <c r="BL121" s="2149">
        <v>0</v>
      </c>
      <c r="BM121" s="2264"/>
      <c r="BN121" s="2109">
        <v>0</v>
      </c>
      <c r="BO121" s="2109">
        <v>0</v>
      </c>
      <c r="BP121" s="2109">
        <f t="shared" si="161"/>
        <v>0</v>
      </c>
      <c r="BQ121" s="2135"/>
      <c r="BR121" s="2135"/>
      <c r="BS121" s="2135"/>
      <c r="BT121" s="2135"/>
      <c r="BU121" s="2135"/>
      <c r="BV121" s="2149">
        <v>0</v>
      </c>
      <c r="BW121" s="2264"/>
      <c r="BX121" s="2109">
        <v>0</v>
      </c>
      <c r="BY121" s="2109">
        <v>0</v>
      </c>
      <c r="BZ121" s="2109">
        <f t="shared" si="162"/>
        <v>0</v>
      </c>
      <c r="CA121" s="2135"/>
      <c r="CB121" s="2135"/>
      <c r="CC121" s="2135"/>
      <c r="CD121" s="2135"/>
      <c r="CE121" s="2135"/>
      <c r="CF121" s="2149">
        <v>0</v>
      </c>
      <c r="CG121" s="2264"/>
      <c r="CH121" s="2109">
        <v>0</v>
      </c>
      <c r="CI121" s="2109">
        <v>0</v>
      </c>
      <c r="CJ121" s="2109">
        <f t="shared" si="163"/>
        <v>0</v>
      </c>
      <c r="CK121" s="2135"/>
      <c r="CL121" s="2135"/>
      <c r="CM121" s="2135"/>
      <c r="CN121" s="2135"/>
      <c r="CO121" s="2135"/>
      <c r="CP121" s="2149">
        <v>0</v>
      </c>
      <c r="CQ121" s="2264"/>
      <c r="CR121" s="2109">
        <v>0</v>
      </c>
      <c r="CS121" s="2109">
        <v>0</v>
      </c>
      <c r="CT121" s="2109">
        <f t="shared" si="164"/>
        <v>0</v>
      </c>
      <c r="CU121" s="2135"/>
      <c r="CV121" s="2135"/>
      <c r="CW121" s="2135"/>
      <c r="CX121" s="2135"/>
      <c r="CY121" s="2135"/>
      <c r="CZ121" s="2149">
        <v>0</v>
      </c>
      <c r="DA121" s="2264"/>
      <c r="DB121" s="2109">
        <v>0</v>
      </c>
      <c r="DC121" s="2109">
        <v>0</v>
      </c>
      <c r="DD121" s="2109">
        <f t="shared" si="165"/>
        <v>0</v>
      </c>
      <c r="DE121" s="2135"/>
      <c r="DF121" s="2135"/>
      <c r="DG121" s="2135"/>
      <c r="DH121" s="2135"/>
      <c r="DI121" s="2135"/>
      <c r="DJ121" s="2149">
        <v>0</v>
      </c>
      <c r="DK121" s="2264"/>
      <c r="DL121" s="2109">
        <v>0</v>
      </c>
      <c r="DM121" s="2109">
        <v>0</v>
      </c>
      <c r="DN121" s="2109">
        <f t="shared" si="166"/>
        <v>0</v>
      </c>
      <c r="DO121" s="2135"/>
      <c r="DP121" s="2135"/>
      <c r="DQ121" s="2135"/>
      <c r="DR121" s="2135"/>
      <c r="DS121" s="2135"/>
      <c r="DT121" s="2149">
        <v>0</v>
      </c>
      <c r="DU121" s="2264"/>
      <c r="DV121" s="2109">
        <v>0</v>
      </c>
      <c r="DW121" s="2109">
        <v>0</v>
      </c>
      <c r="DX121" s="2109">
        <f t="shared" si="167"/>
        <v>0</v>
      </c>
      <c r="DY121" s="2135"/>
      <c r="DZ121" s="2135"/>
      <c r="EA121" s="2135"/>
      <c r="EB121" s="2135"/>
      <c r="EC121" s="2135"/>
      <c r="ED121" s="2135"/>
      <c r="EE121" s="2106"/>
      <c r="EF121" s="2106"/>
      <c r="EG121" s="2106"/>
      <c r="EH121" s="2106"/>
      <c r="EI121" s="2106"/>
      <c r="EJ121" s="2106"/>
      <c r="EK121" s="2106"/>
      <c r="EL121" s="2106"/>
      <c r="EM121" s="2106"/>
      <c r="EN121" s="2106"/>
      <c r="EO121" s="1915"/>
      <c r="EP121" s="2223"/>
      <c r="EQ121" s="2224"/>
      <c r="ER121" s="2210"/>
      <c r="ES121" s="2209" t="e">
        <v>#N/A</v>
      </c>
      <c r="EU121" s="2230"/>
    </row>
    <row r="122" spans="1:165">
      <c r="A122" s="2220">
        <v>1</v>
      </c>
      <c r="B122" s="2227" t="s">
        <v>1751</v>
      </c>
      <c r="C122" s="2146">
        <v>1320</v>
      </c>
      <c r="D122" s="2147">
        <f>G122/C122</f>
        <v>0.3</v>
      </c>
      <c r="E122" s="2146"/>
      <c r="F122" s="2148">
        <v>0.84999999999999976</v>
      </c>
      <c r="G122" s="2146">
        <v>396</v>
      </c>
      <c r="H122" s="2149" t="s">
        <v>1649</v>
      </c>
      <c r="I122" s="2229">
        <v>2</v>
      </c>
      <c r="J122" s="2149">
        <v>0</v>
      </c>
      <c r="K122" s="2148"/>
      <c r="L122" s="2151"/>
      <c r="M122" s="2152">
        <f>J122*(1-K122)*(1-L122)</f>
        <v>0</v>
      </c>
      <c r="N122" s="2149">
        <v>0</v>
      </c>
      <c r="O122" s="2109">
        <f>IFERROR(P122/N122*10,0)</f>
        <v>0</v>
      </c>
      <c r="P122" s="2109">
        <v>0</v>
      </c>
      <c r="Q122" s="2109">
        <v>0</v>
      </c>
      <c r="R122" s="2109">
        <f t="shared" si="156"/>
        <v>0</v>
      </c>
      <c r="S122" s="2109"/>
      <c r="T122" s="2109"/>
      <c r="U122" s="2109"/>
      <c r="V122" s="2109">
        <f>IFERROR(W122/N122*10,0)</f>
        <v>0</v>
      </c>
      <c r="W122" s="2109">
        <f>P122+R122</f>
        <v>0</v>
      </c>
      <c r="X122" s="2149">
        <v>0</v>
      </c>
      <c r="Y122" s="2109">
        <f>IFERROR(Z122/X122*10,0)</f>
        <v>0</v>
      </c>
      <c r="Z122" s="2109">
        <v>0</v>
      </c>
      <c r="AA122" s="2109">
        <v>0</v>
      </c>
      <c r="AB122" s="2109">
        <f t="shared" si="157"/>
        <v>0</v>
      </c>
      <c r="AC122" s="2135"/>
      <c r="AD122" s="2135"/>
      <c r="AE122" s="2135"/>
      <c r="AF122" s="2135">
        <f>IFERROR(AG122/X122*10,0)</f>
        <v>0</v>
      </c>
      <c r="AG122" s="2135">
        <f>Z122+AB122</f>
        <v>0</v>
      </c>
      <c r="AH122" s="2149">
        <v>0</v>
      </c>
      <c r="AI122" s="2109">
        <f>IFERROR(AJ122/AH122*10,0)</f>
        <v>0</v>
      </c>
      <c r="AJ122" s="2109">
        <v>0</v>
      </c>
      <c r="AK122" s="2109">
        <v>0</v>
      </c>
      <c r="AL122" s="2109">
        <f t="shared" si="158"/>
        <v>0</v>
      </c>
      <c r="AM122" s="2135"/>
      <c r="AN122" s="2135"/>
      <c r="AO122" s="2135"/>
      <c r="AP122" s="2135">
        <f>IFERROR(AQ122/AH122*10,0)</f>
        <v>0</v>
      </c>
      <c r="AQ122" s="2135">
        <f>AL122+AJ122</f>
        <v>0</v>
      </c>
      <c r="AR122" s="2149">
        <v>0</v>
      </c>
      <c r="AS122" s="2109">
        <f>IFERROR(AT122/AR122*10,0)</f>
        <v>0</v>
      </c>
      <c r="AT122" s="2109">
        <v>0</v>
      </c>
      <c r="AU122" s="2109">
        <v>0</v>
      </c>
      <c r="AV122" s="2109">
        <f t="shared" si="159"/>
        <v>0</v>
      </c>
      <c r="AW122" s="2135"/>
      <c r="AX122" s="2135"/>
      <c r="AY122" s="2135"/>
      <c r="AZ122" s="2135">
        <f>IFERROR(BA122/AR122*10,0)</f>
        <v>0</v>
      </c>
      <c r="BA122" s="2135">
        <f>AV122+AT122</f>
        <v>0</v>
      </c>
      <c r="BB122" s="2149">
        <v>0</v>
      </c>
      <c r="BC122" s="2109">
        <f>IFERROR(BD122/BB122*10,0)</f>
        <v>0</v>
      </c>
      <c r="BD122" s="2109">
        <v>0</v>
      </c>
      <c r="BE122" s="2109">
        <v>0</v>
      </c>
      <c r="BF122" s="2109">
        <f t="shared" si="160"/>
        <v>0</v>
      </c>
      <c r="BG122" s="2135"/>
      <c r="BH122" s="2135"/>
      <c r="BI122" s="2135"/>
      <c r="BJ122" s="2135">
        <f>IFERROR(BK122/BB122*10,0)</f>
        <v>0</v>
      </c>
      <c r="BK122" s="2135">
        <f>BF122+BD122</f>
        <v>0</v>
      </c>
      <c r="BL122" s="2149">
        <v>0</v>
      </c>
      <c r="BM122" s="2109">
        <f>IFERROR(BN122/BL122*10,0)</f>
        <v>0</v>
      </c>
      <c r="BN122" s="2109">
        <v>0</v>
      </c>
      <c r="BO122" s="2109">
        <v>0</v>
      </c>
      <c r="BP122" s="2109">
        <f t="shared" si="161"/>
        <v>0</v>
      </c>
      <c r="BQ122" s="2135"/>
      <c r="BR122" s="2135"/>
      <c r="BS122" s="2135"/>
      <c r="BT122" s="2135">
        <f>IFERROR(BU122/BL122*10,0)</f>
        <v>0</v>
      </c>
      <c r="BU122" s="2135">
        <f>BP122+BN122</f>
        <v>0</v>
      </c>
      <c r="BV122" s="2149">
        <v>0</v>
      </c>
      <c r="BW122" s="2109">
        <f>IFERROR(BX122/BV122*10,0)</f>
        <v>0</v>
      </c>
      <c r="BX122" s="2109">
        <v>0</v>
      </c>
      <c r="BY122" s="2109">
        <v>0</v>
      </c>
      <c r="BZ122" s="2109">
        <f t="shared" si="162"/>
        <v>0</v>
      </c>
      <c r="CA122" s="2135"/>
      <c r="CB122" s="2135"/>
      <c r="CC122" s="2135"/>
      <c r="CD122" s="2135">
        <f>IFERROR(CE122/BV122*10,0)</f>
        <v>0</v>
      </c>
      <c r="CE122" s="2135">
        <f>BZ122+BX122</f>
        <v>0</v>
      </c>
      <c r="CF122" s="2149">
        <v>0</v>
      </c>
      <c r="CG122" s="2109">
        <f>IFERROR(CH122/CF122*10,0)</f>
        <v>0</v>
      </c>
      <c r="CH122" s="2109">
        <v>0</v>
      </c>
      <c r="CI122" s="2109">
        <v>0</v>
      </c>
      <c r="CJ122" s="2109">
        <f t="shared" si="163"/>
        <v>0</v>
      </c>
      <c r="CK122" s="2135"/>
      <c r="CL122" s="2135"/>
      <c r="CM122" s="2135"/>
      <c r="CN122" s="2135">
        <f>IFERROR(CO122/CF122*10,0)</f>
        <v>0</v>
      </c>
      <c r="CO122" s="2135">
        <f>CJ122+CH122</f>
        <v>0</v>
      </c>
      <c r="CP122" s="2149">
        <v>0</v>
      </c>
      <c r="CQ122" s="2109">
        <f>IFERROR(CR122/CP122*10,0)</f>
        <v>0</v>
      </c>
      <c r="CR122" s="2109">
        <v>0</v>
      </c>
      <c r="CS122" s="2109">
        <v>0</v>
      </c>
      <c r="CT122" s="2109">
        <f t="shared" si="164"/>
        <v>0</v>
      </c>
      <c r="CU122" s="2135"/>
      <c r="CV122" s="2135"/>
      <c r="CW122" s="2135"/>
      <c r="CX122" s="2135">
        <f>IFERROR(CY122/CP122*10,0)</f>
        <v>0</v>
      </c>
      <c r="CY122" s="2135">
        <f>CT122+CR122</f>
        <v>0</v>
      </c>
      <c r="CZ122" s="2149">
        <v>0</v>
      </c>
      <c r="DA122" s="2109">
        <f>IFERROR(DB122/CZ122*10,0)</f>
        <v>0</v>
      </c>
      <c r="DB122" s="2109">
        <v>0</v>
      </c>
      <c r="DC122" s="2109">
        <v>0</v>
      </c>
      <c r="DD122" s="2109">
        <f t="shared" si="165"/>
        <v>0</v>
      </c>
      <c r="DE122" s="2135"/>
      <c r="DF122" s="2135"/>
      <c r="DG122" s="2135"/>
      <c r="DH122" s="2135">
        <f>IFERROR(DI122/CZ122*10,0)</f>
        <v>0</v>
      </c>
      <c r="DI122" s="2135">
        <f>DD122+DB122</f>
        <v>0</v>
      </c>
      <c r="DJ122" s="2149">
        <v>0</v>
      </c>
      <c r="DK122" s="2109">
        <f>IFERROR(DL122/DJ122*10,0)</f>
        <v>0</v>
      </c>
      <c r="DL122" s="2109">
        <v>0</v>
      </c>
      <c r="DM122" s="2109">
        <v>0</v>
      </c>
      <c r="DN122" s="2109">
        <f t="shared" si="166"/>
        <v>0</v>
      </c>
      <c r="DO122" s="2135"/>
      <c r="DP122" s="2135"/>
      <c r="DQ122" s="2135"/>
      <c r="DR122" s="2135">
        <f>IFERROR(DS122/DJ122*10,0)</f>
        <v>0</v>
      </c>
      <c r="DS122" s="2135">
        <f>DN122+DL122</f>
        <v>0</v>
      </c>
      <c r="DT122" s="2149">
        <v>0</v>
      </c>
      <c r="DU122" s="2109">
        <f>IFERROR(DV122/DT122*10,0)</f>
        <v>0</v>
      </c>
      <c r="DV122" s="2109">
        <v>0</v>
      </c>
      <c r="DW122" s="2109">
        <v>0</v>
      </c>
      <c r="DX122" s="2109">
        <f t="shared" si="167"/>
        <v>0</v>
      </c>
      <c r="DY122" s="2135"/>
      <c r="DZ122" s="2135"/>
      <c r="EA122" s="2135"/>
      <c r="EB122" s="2135">
        <f>IFERROR(EC122/DT122*10,0)</f>
        <v>0</v>
      </c>
      <c r="EC122" s="2135">
        <f>DX122+DV122</f>
        <v>0</v>
      </c>
      <c r="ED122" s="2135"/>
      <c r="EE122" s="2106">
        <f>SUM(N122,X122,AH122,AR122,BB122,BL122,BV122,CF122,CP122,CZ122,DJ122,DT122)</f>
        <v>0</v>
      </c>
      <c r="EF122" s="2106">
        <f>IFERROR((EG122/EE122)*10,0)</f>
        <v>0</v>
      </c>
      <c r="EG122" s="2106">
        <f>SUM(P122,Z122,AJ122,AT122,BD122,BN122,BX122,CR122,CH122,DB122,DL122,DV122)</f>
        <v>0</v>
      </c>
      <c r="EH122" s="2106">
        <f>IFERROR((EI122/EE122)*10,0)</f>
        <v>0</v>
      </c>
      <c r="EI122" s="2106">
        <f>SUM(R122,AB122,AL122,AV122,BF122,BP122,BZ122,CJ122,CT122,DD122,DN122,DX122)</f>
        <v>0</v>
      </c>
      <c r="EJ122" s="2106"/>
      <c r="EK122" s="2106"/>
      <c r="EL122" s="2106"/>
      <c r="EM122" s="2106">
        <f>IFERROR(EN122/EE122*10,0)</f>
        <v>0</v>
      </c>
      <c r="EN122" s="2106">
        <f>EG122+EI122</f>
        <v>0</v>
      </c>
      <c r="EO122" s="1915"/>
      <c r="EP122" s="2223"/>
      <c r="EQ122" s="2224"/>
      <c r="ER122" s="2210"/>
      <c r="ES122" s="2209" t="e">
        <v>#N/A</v>
      </c>
      <c r="EU122" s="2230"/>
    </row>
    <row r="123" spans="1:165" s="2274" customFormat="1">
      <c r="A123" s="2232"/>
      <c r="B123" s="2233" t="s">
        <v>211</v>
      </c>
      <c r="C123" s="2234">
        <f>SUM(C117:C120,C122)</f>
        <v>3188</v>
      </c>
      <c r="D123" s="2234"/>
      <c r="E123" s="2234"/>
      <c r="F123" s="2235">
        <f>J123/(G123*8.76)</f>
        <v>0.17666812932296175</v>
      </c>
      <c r="G123" s="2162">
        <f>SUM(G117:G120,G122)</f>
        <v>1115</v>
      </c>
      <c r="H123" s="2234"/>
      <c r="I123" s="2269"/>
      <c r="J123" s="2162">
        <f>SUM(J117:J120,J122)</f>
        <v>1725.5882863490965</v>
      </c>
      <c r="K123" s="2234"/>
      <c r="L123" s="2234"/>
      <c r="M123" s="2162">
        <f>SUM(M117:M120,M122)</f>
        <v>1665.7037359347582</v>
      </c>
      <c r="N123" s="2162">
        <f>SUM(N117:N120,N122)</f>
        <v>101.95891640000001</v>
      </c>
      <c r="O123" s="2234"/>
      <c r="P123" s="2162">
        <f>SUM(P117:P120,P122)</f>
        <v>32.64100530337501</v>
      </c>
      <c r="Q123" s="2234">
        <v>0</v>
      </c>
      <c r="R123" s="2162">
        <f>SUM(R117:R120,R122)</f>
        <v>21.922202369752526</v>
      </c>
      <c r="S123" s="2234"/>
      <c r="T123" s="2234"/>
      <c r="U123" s="2234"/>
      <c r="V123" s="2234"/>
      <c r="W123" s="2234">
        <f>SUM(W117:W120,W122)</f>
        <v>54.563207673127536</v>
      </c>
      <c r="X123" s="2234">
        <f>SUM(X117:X120,X122)</f>
        <v>113.14084264</v>
      </c>
      <c r="Y123" s="2234"/>
      <c r="Z123" s="2234">
        <f>SUM(Z117:Z120,Z122)</f>
        <v>32.64100530337501</v>
      </c>
      <c r="AA123" s="2234">
        <v>0</v>
      </c>
      <c r="AB123" s="2234">
        <f>SUM(AB117:AB120,AB122)</f>
        <v>25.960486086379358</v>
      </c>
      <c r="AC123" s="2236"/>
      <c r="AD123" s="2236"/>
      <c r="AE123" s="2236"/>
      <c r="AF123" s="2236"/>
      <c r="AG123" s="2236">
        <f>SUM(AG117:AG120,AG122)</f>
        <v>58.601491389754365</v>
      </c>
      <c r="AH123" s="2236">
        <f>SUM(AH117:AH120,AH122)</f>
        <v>131.83631439999999</v>
      </c>
      <c r="AI123" s="2234"/>
      <c r="AJ123" s="2236">
        <f>SUM(AJ117:AJ120,AJ122)</f>
        <v>32.64100530337501</v>
      </c>
      <c r="AK123" s="2234">
        <v>0</v>
      </c>
      <c r="AL123" s="2236">
        <f>SUM(AL117:AL120,AL122)</f>
        <v>28.846709545145391</v>
      </c>
      <c r="AM123" s="2236"/>
      <c r="AN123" s="2236"/>
      <c r="AO123" s="2270"/>
      <c r="AP123" s="2236">
        <f>IFERROR(AQ123/AH123*10,0)</f>
        <v>4.6639437038540574</v>
      </c>
      <c r="AQ123" s="2236">
        <f>SUM(AQ122,AQ117:AQ120)</f>
        <v>61.487714848520397</v>
      </c>
      <c r="AR123" s="2236">
        <f>SUM(AR122,AR117:AR120)</f>
        <v>150.76146549999999</v>
      </c>
      <c r="AS123" s="2234"/>
      <c r="AT123" s="2236">
        <f>SUM(AT122,AT117:AT120)</f>
        <v>32.64100530337501</v>
      </c>
      <c r="AU123" s="2234">
        <v>0</v>
      </c>
      <c r="AV123" s="2236">
        <f>SUM(AV122,AV117:AV120)</f>
        <v>32.363226800427938</v>
      </c>
      <c r="AW123" s="2236">
        <f t="shared" ref="AW123:CT123" si="225">SUM(AW117:AW122)</f>
        <v>0</v>
      </c>
      <c r="AX123" s="2236">
        <f t="shared" si="225"/>
        <v>0</v>
      </c>
      <c r="AY123" s="2236">
        <f t="shared" si="225"/>
        <v>0</v>
      </c>
      <c r="AZ123" s="2236"/>
      <c r="BA123" s="2236">
        <f t="shared" si="225"/>
        <v>65.004232103802948</v>
      </c>
      <c r="BB123" s="2236">
        <f>SUM(BB117:BB122)</f>
        <v>246.01327239999989</v>
      </c>
      <c r="BC123" s="2234"/>
      <c r="BD123" s="2236">
        <f>SUM(BD117:BD122)</f>
        <v>32.64100530337501</v>
      </c>
      <c r="BE123" s="2234">
        <v>0</v>
      </c>
      <c r="BF123" s="2236">
        <f>SUM(BF117:BF122)</f>
        <v>55.008354015570937</v>
      </c>
      <c r="BG123" s="2236">
        <f t="shared" si="225"/>
        <v>0</v>
      </c>
      <c r="BH123" s="2236">
        <f t="shared" si="225"/>
        <v>0</v>
      </c>
      <c r="BI123" s="2236">
        <f t="shared" si="225"/>
        <v>0</v>
      </c>
      <c r="BJ123" s="2236"/>
      <c r="BK123" s="2236">
        <f t="shared" si="225"/>
        <v>87.649359318945955</v>
      </c>
      <c r="BL123" s="2236">
        <f t="shared" si="225"/>
        <v>211.00562254838704</v>
      </c>
      <c r="BM123" s="2234"/>
      <c r="BN123" s="2236">
        <f t="shared" si="225"/>
        <v>32.64100530337501</v>
      </c>
      <c r="BO123" s="2234">
        <v>0</v>
      </c>
      <c r="BP123" s="2236">
        <f t="shared" si="225"/>
        <v>48.372268622850456</v>
      </c>
      <c r="BQ123" s="2236">
        <f t="shared" si="225"/>
        <v>0</v>
      </c>
      <c r="BR123" s="2236">
        <f t="shared" si="225"/>
        <v>0</v>
      </c>
      <c r="BS123" s="2236">
        <f t="shared" si="225"/>
        <v>0</v>
      </c>
      <c r="BT123" s="2236"/>
      <c r="BU123" s="2236">
        <f t="shared" si="225"/>
        <v>81.013273926225466</v>
      </c>
      <c r="BV123" s="2236">
        <f t="shared" si="225"/>
        <v>148.32727629999999</v>
      </c>
      <c r="BW123" s="2234"/>
      <c r="BX123" s="2236">
        <f t="shared" si="225"/>
        <v>32.64100530337501</v>
      </c>
      <c r="BY123" s="2234">
        <v>0</v>
      </c>
      <c r="BZ123" s="2236">
        <f t="shared" si="225"/>
        <v>33.924149249003037</v>
      </c>
      <c r="CA123" s="2236">
        <f t="shared" si="225"/>
        <v>0</v>
      </c>
      <c r="CB123" s="2236">
        <f t="shared" si="225"/>
        <v>0</v>
      </c>
      <c r="CC123" s="2236">
        <f t="shared" si="225"/>
        <v>0</v>
      </c>
      <c r="CD123" s="2236">
        <f t="shared" si="225"/>
        <v>14.558179477204202</v>
      </c>
      <c r="CE123" s="2236">
        <f t="shared" si="225"/>
        <v>66.565154552378047</v>
      </c>
      <c r="CF123" s="2236">
        <f t="shared" si="225"/>
        <v>113.33004824999999</v>
      </c>
      <c r="CG123" s="2234"/>
      <c r="CH123" s="2236">
        <f t="shared" si="225"/>
        <v>32.64100530337501</v>
      </c>
      <c r="CI123" s="2234">
        <v>0</v>
      </c>
      <c r="CJ123" s="2236">
        <f t="shared" si="225"/>
        <v>26.218096284447871</v>
      </c>
      <c r="CK123" s="2236">
        <f t="shared" si="225"/>
        <v>0</v>
      </c>
      <c r="CL123" s="2236">
        <f t="shared" si="225"/>
        <v>0</v>
      </c>
      <c r="CM123" s="2236">
        <f t="shared" si="225"/>
        <v>0</v>
      </c>
      <c r="CN123" s="2236"/>
      <c r="CO123" s="2236">
        <f t="shared" si="225"/>
        <v>58.859101587822884</v>
      </c>
      <c r="CP123" s="2236">
        <f t="shared" si="225"/>
        <v>144.25542079999997</v>
      </c>
      <c r="CQ123" s="2234"/>
      <c r="CR123" s="2236">
        <f t="shared" si="225"/>
        <v>32.64100530337501</v>
      </c>
      <c r="CS123" s="2234">
        <v>0</v>
      </c>
      <c r="CT123" s="2236">
        <f t="shared" si="225"/>
        <v>33.134393302836727</v>
      </c>
      <c r="CU123" s="2236"/>
      <c r="CV123" s="2236"/>
      <c r="CW123" s="2236">
        <f t="shared" ref="CW123:EN123" si="226">SUM(CW117:CW122)</f>
        <v>0</v>
      </c>
      <c r="CX123" s="2236"/>
      <c r="CY123" s="2236">
        <f t="shared" si="226"/>
        <v>65.775398606211724</v>
      </c>
      <c r="CZ123" s="2236">
        <f t="shared" si="226"/>
        <v>160.02269259999997</v>
      </c>
      <c r="DA123" s="2234"/>
      <c r="DB123" s="2236">
        <f t="shared" si="226"/>
        <v>32.64100530337501</v>
      </c>
      <c r="DC123" s="2234">
        <v>0</v>
      </c>
      <c r="DD123" s="2236">
        <f t="shared" si="226"/>
        <v>36.526201119356053</v>
      </c>
      <c r="DE123" s="2236">
        <f t="shared" si="226"/>
        <v>0</v>
      </c>
      <c r="DF123" s="2236">
        <f t="shared" si="226"/>
        <v>0</v>
      </c>
      <c r="DG123" s="2236">
        <f t="shared" si="226"/>
        <v>0</v>
      </c>
      <c r="DH123" s="2236"/>
      <c r="DI123" s="2236">
        <f t="shared" si="226"/>
        <v>69.167206422731056</v>
      </c>
      <c r="DJ123" s="2236">
        <f t="shared" si="226"/>
        <v>128.2167954</v>
      </c>
      <c r="DK123" s="2234"/>
      <c r="DL123" s="2236">
        <f t="shared" si="226"/>
        <v>32.64100530337501</v>
      </c>
      <c r="DM123" s="2234">
        <v>0</v>
      </c>
      <c r="DN123" s="2236">
        <f t="shared" si="226"/>
        <v>27.464807515333646</v>
      </c>
      <c r="DO123" s="2236">
        <f t="shared" si="226"/>
        <v>0</v>
      </c>
      <c r="DP123" s="2236">
        <f t="shared" si="226"/>
        <v>0</v>
      </c>
      <c r="DQ123" s="2236">
        <f t="shared" si="226"/>
        <v>0</v>
      </c>
      <c r="DR123" s="2236"/>
      <c r="DS123" s="2236">
        <f t="shared" si="226"/>
        <v>60.105812818708657</v>
      </c>
      <c r="DT123" s="2236">
        <f t="shared" si="226"/>
        <v>133.21022977199999</v>
      </c>
      <c r="DU123" s="2234"/>
      <c r="DV123" s="2236">
        <f t="shared" si="226"/>
        <v>32.64100530337501</v>
      </c>
      <c r="DW123" s="2234">
        <v>0</v>
      </c>
      <c r="DX123" s="2236">
        <f t="shared" si="226"/>
        <v>28.652318628897383</v>
      </c>
      <c r="DY123" s="2236">
        <f t="shared" si="226"/>
        <v>0</v>
      </c>
      <c r="DZ123" s="2236">
        <f t="shared" si="226"/>
        <v>0</v>
      </c>
      <c r="EA123" s="2236">
        <f t="shared" si="226"/>
        <v>0</v>
      </c>
      <c r="EB123" s="2236"/>
      <c r="EC123" s="2236">
        <f t="shared" si="226"/>
        <v>61.293323932272386</v>
      </c>
      <c r="ED123" s="2236">
        <f t="shared" si="226"/>
        <v>0</v>
      </c>
      <c r="EE123" s="2107">
        <f t="shared" si="226"/>
        <v>1782.0788970103868</v>
      </c>
      <c r="EF123" s="2107">
        <f t="shared" si="226"/>
        <v>4.6855737643268514</v>
      </c>
      <c r="EG123" s="2107">
        <f t="shared" si="226"/>
        <v>391.69206364050007</v>
      </c>
      <c r="EH123" s="2107">
        <f>IFERROR((EI123/EE123)*10,0)</f>
        <v>2.2355531744882069</v>
      </c>
      <c r="EI123" s="2107">
        <f t="shared" si="226"/>
        <v>398.39321354000128</v>
      </c>
      <c r="EJ123" s="2107">
        <f t="shared" si="226"/>
        <v>0</v>
      </c>
      <c r="EK123" s="2107">
        <f t="shared" si="226"/>
        <v>0</v>
      </c>
      <c r="EL123" s="2107">
        <f t="shared" si="226"/>
        <v>0</v>
      </c>
      <c r="EM123" s="2107">
        <f>IFERROR(EN123/EE123*10,0)</f>
        <v>4.4335033567029356</v>
      </c>
      <c r="EN123" s="2107">
        <f t="shared" si="226"/>
        <v>790.08527718050141</v>
      </c>
      <c r="EO123" s="2107">
        <f>EN123/J123*10</f>
        <v>4.5786430252845527</v>
      </c>
      <c r="EP123" s="2271">
        <f>EN123/M123*10</f>
        <v>4.7432521170226112</v>
      </c>
      <c r="EQ123" s="2272"/>
      <c r="ER123" s="2273"/>
      <c r="ES123" s="2209" t="e">
        <v>#N/A</v>
      </c>
      <c r="EU123" s="2230"/>
      <c r="FC123" s="2275"/>
    </row>
    <row r="124" spans="1:165">
      <c r="A124" s="2220"/>
      <c r="B124" s="2145"/>
      <c r="C124" s="2145"/>
      <c r="D124" s="2145"/>
      <c r="E124" s="2145"/>
      <c r="F124" s="2145"/>
      <c r="G124" s="1592"/>
      <c r="H124" s="2109"/>
      <c r="I124" s="2276"/>
      <c r="J124" s="2109"/>
      <c r="K124" s="2145"/>
      <c r="L124" s="2145"/>
      <c r="M124" s="2152"/>
      <c r="N124" s="2149">
        <v>0</v>
      </c>
      <c r="O124" s="2109"/>
      <c r="P124" s="2109">
        <v>0</v>
      </c>
      <c r="Q124" s="2109">
        <v>0</v>
      </c>
      <c r="R124" s="2109">
        <f t="shared" si="156"/>
        <v>0</v>
      </c>
      <c r="S124" s="2109"/>
      <c r="T124" s="2109"/>
      <c r="U124" s="2109"/>
      <c r="V124" s="2109"/>
      <c r="W124" s="2109"/>
      <c r="X124" s="2149">
        <v>0</v>
      </c>
      <c r="Y124" s="2109"/>
      <c r="Z124" s="2109">
        <v>0</v>
      </c>
      <c r="AA124" s="2109">
        <v>0</v>
      </c>
      <c r="AB124" s="2109">
        <f t="shared" si="157"/>
        <v>0</v>
      </c>
      <c r="AC124" s="2135"/>
      <c r="AD124" s="2135"/>
      <c r="AE124" s="2135"/>
      <c r="AF124" s="2135"/>
      <c r="AG124" s="2135"/>
      <c r="AH124" s="2149">
        <v>0</v>
      </c>
      <c r="AI124" s="2109"/>
      <c r="AJ124" s="2109">
        <v>0</v>
      </c>
      <c r="AK124" s="2109">
        <v>0</v>
      </c>
      <c r="AL124" s="2109">
        <f t="shared" si="158"/>
        <v>0</v>
      </c>
      <c r="AM124" s="2135"/>
      <c r="AN124" s="2135"/>
      <c r="AO124" s="2238"/>
      <c r="AP124" s="2135"/>
      <c r="AQ124" s="2135"/>
      <c r="AR124" s="2149">
        <v>0</v>
      </c>
      <c r="AS124" s="2109"/>
      <c r="AT124" s="2109">
        <v>0</v>
      </c>
      <c r="AU124" s="2109">
        <v>0</v>
      </c>
      <c r="AV124" s="2109">
        <f t="shared" si="159"/>
        <v>0</v>
      </c>
      <c r="AW124" s="2135"/>
      <c r="AX124" s="2135"/>
      <c r="AY124" s="2238"/>
      <c r="AZ124" s="2135"/>
      <c r="BA124" s="2135"/>
      <c r="BB124" s="2149">
        <v>0</v>
      </c>
      <c r="BC124" s="2109"/>
      <c r="BD124" s="2109">
        <v>0</v>
      </c>
      <c r="BE124" s="2109">
        <v>0</v>
      </c>
      <c r="BF124" s="2109">
        <f t="shared" si="160"/>
        <v>0</v>
      </c>
      <c r="BG124" s="2135"/>
      <c r="BH124" s="2135"/>
      <c r="BI124" s="2238"/>
      <c r="BJ124" s="2135"/>
      <c r="BK124" s="2135"/>
      <c r="BL124" s="2149">
        <v>0</v>
      </c>
      <c r="BM124" s="2109"/>
      <c r="BN124" s="2109">
        <v>0</v>
      </c>
      <c r="BO124" s="2109">
        <v>0</v>
      </c>
      <c r="BP124" s="2109">
        <f t="shared" si="161"/>
        <v>0</v>
      </c>
      <c r="BQ124" s="2135"/>
      <c r="BR124" s="2135"/>
      <c r="BS124" s="2135"/>
      <c r="BT124" s="2135"/>
      <c r="BU124" s="2135"/>
      <c r="BV124" s="2149">
        <v>0</v>
      </c>
      <c r="BW124" s="2109"/>
      <c r="BX124" s="2109">
        <v>0</v>
      </c>
      <c r="BY124" s="2109">
        <v>0</v>
      </c>
      <c r="BZ124" s="2109">
        <f t="shared" si="162"/>
        <v>0</v>
      </c>
      <c r="CA124" s="2135"/>
      <c r="CB124" s="2135"/>
      <c r="CC124" s="2135"/>
      <c r="CD124" s="2135"/>
      <c r="CE124" s="2135"/>
      <c r="CF124" s="2149">
        <v>0</v>
      </c>
      <c r="CG124" s="2109"/>
      <c r="CH124" s="2109">
        <v>0</v>
      </c>
      <c r="CI124" s="2109">
        <v>0</v>
      </c>
      <c r="CJ124" s="2109">
        <f t="shared" si="163"/>
        <v>0</v>
      </c>
      <c r="CK124" s="2135"/>
      <c r="CL124" s="2135"/>
      <c r="CM124" s="2238"/>
      <c r="CN124" s="2135"/>
      <c r="CO124" s="2135"/>
      <c r="CP124" s="2149">
        <v>0</v>
      </c>
      <c r="CQ124" s="2109"/>
      <c r="CR124" s="2109">
        <v>0</v>
      </c>
      <c r="CS124" s="2109">
        <v>0</v>
      </c>
      <c r="CT124" s="2109">
        <f t="shared" si="164"/>
        <v>0</v>
      </c>
      <c r="CU124" s="2135"/>
      <c r="CV124" s="2135"/>
      <c r="CW124" s="2238"/>
      <c r="CX124" s="2135"/>
      <c r="CY124" s="2135"/>
      <c r="CZ124" s="2149">
        <v>0</v>
      </c>
      <c r="DA124" s="2109"/>
      <c r="DB124" s="2109">
        <v>0</v>
      </c>
      <c r="DC124" s="2109">
        <v>0</v>
      </c>
      <c r="DD124" s="2109">
        <f t="shared" si="165"/>
        <v>0</v>
      </c>
      <c r="DE124" s="2135"/>
      <c r="DF124" s="2135"/>
      <c r="DG124" s="2238"/>
      <c r="DH124" s="2135"/>
      <c r="DI124" s="2135"/>
      <c r="DJ124" s="2149">
        <v>0</v>
      </c>
      <c r="DK124" s="2109"/>
      <c r="DL124" s="2109">
        <v>0</v>
      </c>
      <c r="DM124" s="2109">
        <v>0</v>
      </c>
      <c r="DN124" s="2109">
        <f t="shared" si="166"/>
        <v>0</v>
      </c>
      <c r="DO124" s="2135"/>
      <c r="DP124" s="2135"/>
      <c r="DQ124" s="2238"/>
      <c r="DR124" s="2135"/>
      <c r="DS124" s="2135"/>
      <c r="DT124" s="2149">
        <v>0</v>
      </c>
      <c r="DU124" s="2109"/>
      <c r="DV124" s="2109">
        <v>0</v>
      </c>
      <c r="DW124" s="2109">
        <v>0</v>
      </c>
      <c r="DX124" s="2109">
        <f t="shared" si="167"/>
        <v>0</v>
      </c>
      <c r="DY124" s="2135"/>
      <c r="DZ124" s="2135"/>
      <c r="EA124" s="2135"/>
      <c r="EB124" s="2135"/>
      <c r="EC124" s="2135"/>
      <c r="ED124" s="2135"/>
      <c r="EE124" s="2107"/>
      <c r="EF124" s="2106"/>
      <c r="EG124" s="2106"/>
      <c r="EH124" s="2106"/>
      <c r="EI124" s="2106"/>
      <c r="EJ124" s="2106"/>
      <c r="EK124" s="2106"/>
      <c r="EL124" s="2106"/>
      <c r="EM124" s="2106"/>
      <c r="EN124" s="2106"/>
      <c r="EO124" s="1915"/>
      <c r="EP124" s="2223"/>
      <c r="EQ124" s="2224"/>
      <c r="ER124" s="2210"/>
      <c r="ES124" s="2209" t="e">
        <v>#N/A</v>
      </c>
      <c r="EU124" s="2230"/>
    </row>
    <row r="125" spans="1:165">
      <c r="A125" s="2232" t="s">
        <v>129</v>
      </c>
      <c r="B125" s="2233" t="s">
        <v>1752</v>
      </c>
      <c r="C125" s="2145"/>
      <c r="D125" s="2145"/>
      <c r="E125" s="2145"/>
      <c r="F125" s="2145"/>
      <c r="G125" s="1592"/>
      <c r="H125" s="2149"/>
      <c r="I125" s="2229"/>
      <c r="J125" s="2149"/>
      <c r="K125" s="2145"/>
      <c r="L125" s="2145"/>
      <c r="M125" s="2152"/>
      <c r="N125" s="2149">
        <v>0</v>
      </c>
      <c r="O125" s="2109"/>
      <c r="P125" s="2109">
        <v>0</v>
      </c>
      <c r="Q125" s="2109">
        <v>0</v>
      </c>
      <c r="R125" s="2109">
        <f t="shared" si="156"/>
        <v>0</v>
      </c>
      <c r="S125" s="2109"/>
      <c r="T125" s="2109"/>
      <c r="U125" s="2109"/>
      <c r="V125" s="2109"/>
      <c r="W125" s="2109"/>
      <c r="X125" s="2149">
        <v>0</v>
      </c>
      <c r="Y125" s="2109"/>
      <c r="Z125" s="2109">
        <v>0</v>
      </c>
      <c r="AA125" s="2109">
        <v>0</v>
      </c>
      <c r="AB125" s="2109">
        <f t="shared" si="157"/>
        <v>0</v>
      </c>
      <c r="AC125" s="2135"/>
      <c r="AD125" s="2135"/>
      <c r="AE125" s="2135"/>
      <c r="AF125" s="2135"/>
      <c r="AG125" s="2135"/>
      <c r="AH125" s="2149">
        <v>0</v>
      </c>
      <c r="AI125" s="2109"/>
      <c r="AJ125" s="2109">
        <v>0</v>
      </c>
      <c r="AK125" s="2109">
        <v>0</v>
      </c>
      <c r="AL125" s="2109">
        <f t="shared" si="158"/>
        <v>0</v>
      </c>
      <c r="AM125" s="2135"/>
      <c r="AN125" s="2135"/>
      <c r="AO125" s="2238"/>
      <c r="AP125" s="2135"/>
      <c r="AQ125" s="2135"/>
      <c r="AR125" s="2149">
        <v>0</v>
      </c>
      <c r="AS125" s="2109"/>
      <c r="AT125" s="2109">
        <v>0</v>
      </c>
      <c r="AU125" s="2109">
        <v>0</v>
      </c>
      <c r="AV125" s="2109">
        <f t="shared" si="159"/>
        <v>0</v>
      </c>
      <c r="AW125" s="2135"/>
      <c r="AX125" s="2135"/>
      <c r="AY125" s="2238"/>
      <c r="AZ125" s="2135"/>
      <c r="BA125" s="2135"/>
      <c r="BB125" s="2149">
        <v>0</v>
      </c>
      <c r="BC125" s="2109"/>
      <c r="BD125" s="2109">
        <v>0</v>
      </c>
      <c r="BE125" s="2109">
        <v>0</v>
      </c>
      <c r="BF125" s="2109">
        <f t="shared" si="160"/>
        <v>0</v>
      </c>
      <c r="BG125" s="2135"/>
      <c r="BH125" s="2135"/>
      <c r="BI125" s="2238"/>
      <c r="BJ125" s="2135"/>
      <c r="BK125" s="2135"/>
      <c r="BL125" s="2149">
        <v>0</v>
      </c>
      <c r="BM125" s="2109"/>
      <c r="BN125" s="2109">
        <v>0</v>
      </c>
      <c r="BO125" s="2109">
        <v>0</v>
      </c>
      <c r="BP125" s="2109">
        <f t="shared" si="161"/>
        <v>0</v>
      </c>
      <c r="BQ125" s="2135"/>
      <c r="BR125" s="2135"/>
      <c r="BS125" s="2135"/>
      <c r="BT125" s="2135"/>
      <c r="BU125" s="2135"/>
      <c r="BV125" s="2149">
        <v>0</v>
      </c>
      <c r="BW125" s="2109"/>
      <c r="BX125" s="2109">
        <v>0</v>
      </c>
      <c r="BY125" s="2109">
        <v>0</v>
      </c>
      <c r="BZ125" s="2109">
        <f t="shared" si="162"/>
        <v>0</v>
      </c>
      <c r="CA125" s="2135"/>
      <c r="CB125" s="2135"/>
      <c r="CC125" s="2135"/>
      <c r="CD125" s="2135"/>
      <c r="CE125" s="2135"/>
      <c r="CF125" s="2149">
        <v>0</v>
      </c>
      <c r="CG125" s="2109"/>
      <c r="CH125" s="2109">
        <v>0</v>
      </c>
      <c r="CI125" s="2109">
        <v>0</v>
      </c>
      <c r="CJ125" s="2109">
        <f t="shared" si="163"/>
        <v>0</v>
      </c>
      <c r="CK125" s="2135"/>
      <c r="CL125" s="2135"/>
      <c r="CM125" s="2238"/>
      <c r="CN125" s="2135"/>
      <c r="CO125" s="2135"/>
      <c r="CP125" s="2149">
        <v>0</v>
      </c>
      <c r="CQ125" s="2109"/>
      <c r="CR125" s="2109">
        <v>0</v>
      </c>
      <c r="CS125" s="2109">
        <v>0</v>
      </c>
      <c r="CT125" s="2109">
        <f t="shared" si="164"/>
        <v>0</v>
      </c>
      <c r="CU125" s="2135"/>
      <c r="CV125" s="2135"/>
      <c r="CW125" s="2238"/>
      <c r="CX125" s="2135"/>
      <c r="CY125" s="2135"/>
      <c r="CZ125" s="2149">
        <v>0</v>
      </c>
      <c r="DA125" s="2109"/>
      <c r="DB125" s="2109">
        <v>0</v>
      </c>
      <c r="DC125" s="2109">
        <v>0</v>
      </c>
      <c r="DD125" s="2109">
        <f t="shared" si="165"/>
        <v>0</v>
      </c>
      <c r="DE125" s="2135"/>
      <c r="DF125" s="2135"/>
      <c r="DG125" s="2238"/>
      <c r="DH125" s="2135"/>
      <c r="DI125" s="2135"/>
      <c r="DJ125" s="2149">
        <v>0</v>
      </c>
      <c r="DK125" s="2109"/>
      <c r="DL125" s="2109">
        <v>0</v>
      </c>
      <c r="DM125" s="2109">
        <v>0</v>
      </c>
      <c r="DN125" s="2109">
        <f t="shared" si="166"/>
        <v>0</v>
      </c>
      <c r="DO125" s="2135"/>
      <c r="DP125" s="2135"/>
      <c r="DQ125" s="2238"/>
      <c r="DR125" s="2135"/>
      <c r="DS125" s="2135"/>
      <c r="DT125" s="2149">
        <v>0</v>
      </c>
      <c r="DU125" s="2109"/>
      <c r="DV125" s="2109">
        <v>0</v>
      </c>
      <c r="DW125" s="2109">
        <v>0</v>
      </c>
      <c r="DX125" s="2109">
        <f t="shared" si="167"/>
        <v>0</v>
      </c>
      <c r="DY125" s="2135"/>
      <c r="DZ125" s="2135"/>
      <c r="EA125" s="2135"/>
      <c r="EB125" s="2135"/>
      <c r="EC125" s="2135"/>
      <c r="ED125" s="2135"/>
      <c r="EE125" s="2107"/>
      <c r="EF125" s="2106"/>
      <c r="EG125" s="2106"/>
      <c r="EH125" s="2106"/>
      <c r="EI125" s="2106"/>
      <c r="EJ125" s="2106"/>
      <c r="EK125" s="2106"/>
      <c r="EL125" s="2106"/>
      <c r="EM125" s="2106"/>
      <c r="EN125" s="2106"/>
      <c r="EO125" s="1915"/>
      <c r="EP125" s="2223"/>
      <c r="EQ125" s="2224"/>
      <c r="ER125" s="2210"/>
      <c r="ES125" s="2209" t="e">
        <v>#N/A</v>
      </c>
      <c r="EU125" s="2230"/>
    </row>
    <row r="126" spans="1:165">
      <c r="A126" s="2232">
        <v>1</v>
      </c>
      <c r="B126" s="2145" t="s">
        <v>1753</v>
      </c>
      <c r="C126" s="2146">
        <v>412</v>
      </c>
      <c r="D126" s="2147">
        <f>G126/C126</f>
        <v>0.13834951456310679</v>
      </c>
      <c r="E126" s="2146"/>
      <c r="F126" s="2148">
        <v>0.51855949210100427</v>
      </c>
      <c r="G126" s="2146">
        <v>57</v>
      </c>
      <c r="H126" s="2149" t="s">
        <v>1717</v>
      </c>
      <c r="I126" s="2229">
        <v>1</v>
      </c>
      <c r="J126" s="2149">
        <v>268.93086260000001</v>
      </c>
      <c r="K126" s="2148">
        <v>3.4703846153846141E-2</v>
      </c>
      <c r="L126" s="2151"/>
      <c r="M126" s="2152">
        <f>J126*(1-K126)*(1-L126)</f>
        <v>259.59792731830845</v>
      </c>
      <c r="N126" s="2149">
        <v>18.579844600000001</v>
      </c>
      <c r="O126" s="2109">
        <f>IFERROR(P126/N126*10,0)</f>
        <v>3.9740607491410334</v>
      </c>
      <c r="P126" s="2109">
        <v>7.3837431149999988</v>
      </c>
      <c r="Q126" s="2109">
        <v>1.670514775335425</v>
      </c>
      <c r="R126" s="2109">
        <f t="shared" si="156"/>
        <v>3.1037904927736113</v>
      </c>
      <c r="S126" s="2109"/>
      <c r="T126" s="2109"/>
      <c r="U126" s="2109"/>
      <c r="V126" s="2109">
        <f>IFERROR(W126/N126*10,0)</f>
        <v>5.6445755244764584</v>
      </c>
      <c r="W126" s="2109">
        <f>P126+R126</f>
        <v>10.48753360777361</v>
      </c>
      <c r="X126" s="2149">
        <v>33.671086000000003</v>
      </c>
      <c r="Y126" s="2109">
        <f>IFERROR(Z126/X126*10,0)</f>
        <v>2.1929031677208148</v>
      </c>
      <c r="Z126" s="2109">
        <v>7.3837431149999988</v>
      </c>
      <c r="AA126" s="2109">
        <v>1.670514775335425</v>
      </c>
      <c r="AB126" s="2109">
        <f t="shared" si="157"/>
        <v>5.6248046664589779</v>
      </c>
      <c r="AC126" s="2135"/>
      <c r="AD126" s="2135"/>
      <c r="AE126" s="2135"/>
      <c r="AF126" s="2135">
        <f>IFERROR(AG126/X126*10,0)</f>
        <v>3.8634179430562399</v>
      </c>
      <c r="AG126" s="2135">
        <f>Z126+AB126</f>
        <v>13.008547781458976</v>
      </c>
      <c r="AH126" s="2149">
        <v>36.56664</v>
      </c>
      <c r="AI126" s="2109">
        <f>IFERROR(AJ126/AH126*10,0)</f>
        <v>2.0192566544260009</v>
      </c>
      <c r="AJ126" s="2109">
        <v>7.3837431149999988</v>
      </c>
      <c r="AK126" s="2109">
        <v>1.670514775335425</v>
      </c>
      <c r="AL126" s="2109">
        <f t="shared" si="158"/>
        <v>6.1085112404371369</v>
      </c>
      <c r="AM126" s="2135"/>
      <c r="AN126" s="2135"/>
      <c r="AO126" s="2135"/>
      <c r="AP126" s="2135">
        <f>IFERROR(AQ126/AH126*10,0)</f>
        <v>3.6897714297614264</v>
      </c>
      <c r="AQ126" s="2135">
        <f>AL126+AJ126</f>
        <v>13.492254355437137</v>
      </c>
      <c r="AR126" s="2149">
        <v>37.785527999999999</v>
      </c>
      <c r="AS126" s="2109">
        <f>IFERROR(AT126/AR126*10,0)</f>
        <v>1.9541193429929042</v>
      </c>
      <c r="AT126" s="2109">
        <v>7.3837431149999988</v>
      </c>
      <c r="AU126" s="2109">
        <v>1.670514775335425</v>
      </c>
      <c r="AV126" s="2109">
        <f t="shared" si="159"/>
        <v>6.312128281785041</v>
      </c>
      <c r="AW126" s="2135"/>
      <c r="AX126" s="2135"/>
      <c r="AY126" s="2135"/>
      <c r="AZ126" s="2135">
        <f>IFERROR(BA126/AR126*10,0)</f>
        <v>3.6246341183283297</v>
      </c>
      <c r="BA126" s="2135">
        <f>AV126+AT126</f>
        <v>13.695871396785041</v>
      </c>
      <c r="BB126" s="2149">
        <v>37.785527999999999</v>
      </c>
      <c r="BC126" s="2109">
        <f>IFERROR(BD126/BB126*10,0)</f>
        <v>1.9541193429929042</v>
      </c>
      <c r="BD126" s="2109">
        <v>7.3837431149999988</v>
      </c>
      <c r="BE126" s="2109">
        <v>1.670514775335425</v>
      </c>
      <c r="BF126" s="2109">
        <f t="shared" si="160"/>
        <v>6.312128281785041</v>
      </c>
      <c r="BG126" s="2135"/>
      <c r="BH126" s="2135"/>
      <c r="BI126" s="2135"/>
      <c r="BJ126" s="2135">
        <f>IFERROR(BK126/BB126*10,0)</f>
        <v>3.6246341183283297</v>
      </c>
      <c r="BK126" s="2135">
        <f>BF126+BD126</f>
        <v>13.695871396785041</v>
      </c>
      <c r="BL126" s="2149">
        <v>36.56664</v>
      </c>
      <c r="BM126" s="2109">
        <f>IFERROR(BN126/BL126*10,0)</f>
        <v>2.0192566544260009</v>
      </c>
      <c r="BN126" s="2109">
        <v>7.3837431149999988</v>
      </c>
      <c r="BO126" s="2109">
        <v>1.670514775335425</v>
      </c>
      <c r="BP126" s="2109">
        <f t="shared" si="161"/>
        <v>6.1085112404371369</v>
      </c>
      <c r="BQ126" s="2135"/>
      <c r="BR126" s="2135"/>
      <c r="BS126" s="2135"/>
      <c r="BT126" s="2135">
        <f>IFERROR(BU126/BL126*10,0)</f>
        <v>3.6897714297614264</v>
      </c>
      <c r="BU126" s="2135">
        <f>BP126+BN126</f>
        <v>13.492254355437137</v>
      </c>
      <c r="BV126" s="2149">
        <v>21.628808199999998</v>
      </c>
      <c r="BW126" s="2109">
        <f>IFERROR(BX126/BV126*10,0)</f>
        <v>3.4138464989485637</v>
      </c>
      <c r="BX126" s="2109">
        <v>7.3837431149999988</v>
      </c>
      <c r="BY126" s="2109">
        <v>1.670514775335425</v>
      </c>
      <c r="BZ126" s="2109">
        <f t="shared" si="162"/>
        <v>3.6131243670995992</v>
      </c>
      <c r="CA126" s="2135"/>
      <c r="CB126" s="2135"/>
      <c r="CC126" s="2135"/>
      <c r="CD126" s="2135">
        <f>IFERROR(CE126/BV126*10,0)</f>
        <v>5.0843612742839888</v>
      </c>
      <c r="CE126" s="2135">
        <f>BZ126+BX126</f>
        <v>10.996867482099598</v>
      </c>
      <c r="CF126" s="2149">
        <v>12.633262600000002</v>
      </c>
      <c r="CG126" s="2109">
        <f>IFERROR(CH126/CF126*10,0)</f>
        <v>5.8446842662797156</v>
      </c>
      <c r="CH126" s="2109">
        <v>7.3837431149999988</v>
      </c>
      <c r="CI126" s="2109">
        <v>1.670514775335425</v>
      </c>
      <c r="CJ126" s="2109">
        <f t="shared" si="163"/>
        <v>2.110405183399243</v>
      </c>
      <c r="CK126" s="2135"/>
      <c r="CL126" s="2135"/>
      <c r="CM126" s="2135"/>
      <c r="CN126" s="2135">
        <f>IFERROR(CO126/CF126*10,0)</f>
        <v>7.5151990416151415</v>
      </c>
      <c r="CO126" s="2135">
        <f>CJ126+CH126</f>
        <v>9.4941482983992422</v>
      </c>
      <c r="CP126" s="2149">
        <v>8.0944187000000003</v>
      </c>
      <c r="CQ126" s="2109">
        <f>IFERROR(CR126/CP126*10,0)</f>
        <v>9.1220177614483902</v>
      </c>
      <c r="CR126" s="2109">
        <v>7.3837431149999988</v>
      </c>
      <c r="CS126" s="2109">
        <v>1.670514775335425</v>
      </c>
      <c r="CT126" s="2109">
        <f t="shared" si="164"/>
        <v>1.3521846036101364</v>
      </c>
      <c r="CU126" s="2135"/>
      <c r="CV126" s="2135"/>
      <c r="CW126" s="2135"/>
      <c r="CX126" s="2135">
        <f>IFERROR(CY126/CP126*10,0)</f>
        <v>10.792532536783813</v>
      </c>
      <c r="CY126" s="2135">
        <f>CT126+CR126</f>
        <v>8.7359277186101352</v>
      </c>
      <c r="CZ126" s="2149">
        <v>8.9753130999999993</v>
      </c>
      <c r="DA126" s="2109">
        <f>IFERROR(DB126/CZ126*10,0)</f>
        <v>8.2267248314713388</v>
      </c>
      <c r="DB126" s="2109">
        <v>7.3837431149999988</v>
      </c>
      <c r="DC126" s="2109">
        <v>1.670514775335425</v>
      </c>
      <c r="DD126" s="2109">
        <f t="shared" si="165"/>
        <v>1.4993393146811596</v>
      </c>
      <c r="DE126" s="2135"/>
      <c r="DF126" s="2135"/>
      <c r="DG126" s="2135"/>
      <c r="DH126" s="2135">
        <f>IFERROR(DI126/CZ126*10,0)</f>
        <v>9.8972396068067621</v>
      </c>
      <c r="DI126" s="2135">
        <f>DD126+DB126</f>
        <v>8.8830824296811581</v>
      </c>
      <c r="DJ126" s="2149">
        <v>7.5806644000000007</v>
      </c>
      <c r="DK126" s="2109">
        <f>IFERROR(DL126/DJ126*10,0)</f>
        <v>9.7402321556406033</v>
      </c>
      <c r="DL126" s="2109">
        <v>7.3837431149999988</v>
      </c>
      <c r="DM126" s="2109">
        <v>1.670514775335425</v>
      </c>
      <c r="DN126" s="2109">
        <f t="shared" si="166"/>
        <v>1.2663611887059256</v>
      </c>
      <c r="DO126" s="2135"/>
      <c r="DP126" s="2135"/>
      <c r="DQ126" s="2135"/>
      <c r="DR126" s="2135">
        <f>IFERROR(DS126/DJ126*10,0)</f>
        <v>11.41074693097603</v>
      </c>
      <c r="DS126" s="2135">
        <f>DN126+DL126</f>
        <v>8.6501043037059251</v>
      </c>
      <c r="DT126" s="2149">
        <v>9.063129</v>
      </c>
      <c r="DU126" s="2109">
        <f>IFERROR(DV126/DT126*10,0)</f>
        <v>8.1470131507562122</v>
      </c>
      <c r="DV126" s="2109">
        <v>7.3837431149999988</v>
      </c>
      <c r="DW126" s="2109">
        <v>1.670514775335425</v>
      </c>
      <c r="DX126" s="2109">
        <f t="shared" si="167"/>
        <v>1.5140090905270975</v>
      </c>
      <c r="DY126" s="2135"/>
      <c r="DZ126" s="2135"/>
      <c r="EA126" s="2135"/>
      <c r="EB126" s="2135">
        <f>IFERROR(EC126/DT126*10,0)</f>
        <v>9.8175279260916355</v>
      </c>
      <c r="EC126" s="2135">
        <f>DX126+DV126</f>
        <v>8.8977522055270963</v>
      </c>
      <c r="ED126" s="2135"/>
      <c r="EE126" s="2106">
        <f>SUM(N126,X126,AH126,AR126,BB126,BL126,BV126,CF126,CP126,CZ126,DJ126,DT126)</f>
        <v>268.93086260000001</v>
      </c>
      <c r="EF126" s="2106">
        <f>IFERROR((EG126/EE126)*10,0)</f>
        <v>3.2947098939621666</v>
      </c>
      <c r="EG126" s="2106">
        <f>SUM(P126,Z126,AJ126,AT126,BD126,BN126,BX126,CR126,CH126,DB126,DL126,DV126)</f>
        <v>88.604917380000003</v>
      </c>
      <c r="EH126" s="2106">
        <f>IFERROR((EI126/EE126)*10,0)</f>
        <v>1.6705147753354253</v>
      </c>
      <c r="EI126" s="2106">
        <f>SUM(R126,AB126,AL126,AV126,BF126,BP126,BZ126,CJ126,CT126,DD126,DN126,DX126)</f>
        <v>44.925297951700109</v>
      </c>
      <c r="EJ126" s="2106"/>
      <c r="EK126" s="2106"/>
      <c r="EL126" s="2106"/>
      <c r="EM126" s="2106">
        <f>IFERROR(EN126/EE126*10,0)</f>
        <v>4.9652246692975917</v>
      </c>
      <c r="EN126" s="2106">
        <f>EG126+EI126</f>
        <v>133.53021533170011</v>
      </c>
      <c r="EO126" s="2106">
        <f>EN126/J126*10</f>
        <v>4.9652246692975917</v>
      </c>
      <c r="EP126" s="2114">
        <f>EN126/M126*10</f>
        <v>5.1437319516026321</v>
      </c>
      <c r="EQ126" s="2224"/>
      <c r="ER126" s="2210"/>
      <c r="ES126" s="2209" t="e">
        <v>#N/A</v>
      </c>
      <c r="EU126" s="2230"/>
    </row>
    <row r="127" spans="1:165">
      <c r="A127" s="2232">
        <v>2</v>
      </c>
      <c r="B127" s="2145" t="s">
        <v>1754</v>
      </c>
      <c r="C127" s="2146">
        <v>1500</v>
      </c>
      <c r="D127" s="2147">
        <f>G127/C127</f>
        <v>0.14733333333333334</v>
      </c>
      <c r="E127" s="2146"/>
      <c r="F127" s="2148">
        <v>0.51637339299951102</v>
      </c>
      <c r="G127" s="2146">
        <v>221</v>
      </c>
      <c r="H127" s="2149" t="s">
        <v>1717</v>
      </c>
      <c r="I127" s="2229">
        <v>1</v>
      </c>
      <c r="J127" s="2149">
        <v>1034.5812841699999</v>
      </c>
      <c r="K127" s="2148">
        <v>3.4703846153846141E-2</v>
      </c>
      <c r="L127" s="2151"/>
      <c r="M127" s="2152">
        <f>J127*(1-K127)*(1-L127)</f>
        <v>998.67733445051567</v>
      </c>
      <c r="N127" s="2149">
        <v>72.454133200000001</v>
      </c>
      <c r="O127" s="2109">
        <f>IFERROR(P127/N127*10,0)</f>
        <v>3.093585218587986</v>
      </c>
      <c r="P127" s="2109">
        <v>22.414303549312503</v>
      </c>
      <c r="Q127" s="2109">
        <v>0.84980091401702207</v>
      </c>
      <c r="R127" s="2109">
        <f t="shared" si="156"/>
        <v>6.1571588617671065</v>
      </c>
      <c r="S127" s="2109"/>
      <c r="T127" s="2109"/>
      <c r="U127" s="2109"/>
      <c r="V127" s="2109">
        <f>IFERROR(W127/N127*10,0)</f>
        <v>3.9433861326050073</v>
      </c>
      <c r="W127" s="2109">
        <f>P127+R127</f>
        <v>28.571462411079608</v>
      </c>
      <c r="X127" s="2149">
        <v>130.83028725</v>
      </c>
      <c r="Y127" s="2109">
        <f>IFERROR(Z127/X127*10,0)</f>
        <v>1.7132350635661011</v>
      </c>
      <c r="Z127" s="2109">
        <v>22.414303549312503</v>
      </c>
      <c r="AA127" s="2109">
        <v>0.84980091401702207</v>
      </c>
      <c r="AB127" s="2109">
        <f t="shared" si="157"/>
        <v>11.117969768615954</v>
      </c>
      <c r="AC127" s="2135"/>
      <c r="AD127" s="2135"/>
      <c r="AE127" s="2135"/>
      <c r="AF127" s="2135">
        <f>IFERROR(AG127/X127*10,0)</f>
        <v>2.5630359775831235</v>
      </c>
      <c r="AG127" s="2135">
        <f>Z127+AB127</f>
        <v>33.532273317928457</v>
      </c>
      <c r="AH127" s="2149">
        <v>141.48950399999998</v>
      </c>
      <c r="AI127" s="2109">
        <f>IFERROR(AJ127/AH127*10,0)</f>
        <v>1.5841672290626241</v>
      </c>
      <c r="AJ127" s="2109">
        <v>22.414303549312503</v>
      </c>
      <c r="AK127" s="2109">
        <v>0.84980091401702207</v>
      </c>
      <c r="AL127" s="2109">
        <f t="shared" si="158"/>
        <v>12.023790982301509</v>
      </c>
      <c r="AM127" s="2135"/>
      <c r="AN127" s="2135"/>
      <c r="AO127" s="2135"/>
      <c r="AP127" s="2135">
        <f>IFERROR(AQ127/AH127*10,0)</f>
        <v>2.433968143079646</v>
      </c>
      <c r="AQ127" s="2135">
        <f>AL127+AJ127</f>
        <v>34.438094531614013</v>
      </c>
      <c r="AR127" s="2149">
        <v>146.2058208</v>
      </c>
      <c r="AS127" s="2109">
        <f>IFERROR(AT127/AR127*10,0)</f>
        <v>1.5330650603831844</v>
      </c>
      <c r="AT127" s="2109">
        <v>22.414303549312503</v>
      </c>
      <c r="AU127" s="2109">
        <v>0.84980091401702207</v>
      </c>
      <c r="AV127" s="2109">
        <f t="shared" si="159"/>
        <v>12.424584015044895</v>
      </c>
      <c r="AW127" s="2135"/>
      <c r="AX127" s="2135"/>
      <c r="AY127" s="2135"/>
      <c r="AZ127" s="2135">
        <f>IFERROR(BA127/AR127*10,0)</f>
        <v>2.3828659744002065</v>
      </c>
      <c r="BA127" s="2135">
        <f>AV127+AT127</f>
        <v>34.8388875643574</v>
      </c>
      <c r="BB127" s="2149">
        <v>146.2058208</v>
      </c>
      <c r="BC127" s="2109">
        <f>IFERROR(BD127/BB127*10,0)</f>
        <v>1.5330650603831844</v>
      </c>
      <c r="BD127" s="2109">
        <v>22.414303549312503</v>
      </c>
      <c r="BE127" s="2109">
        <v>0.84980091401702207</v>
      </c>
      <c r="BF127" s="2109">
        <f t="shared" si="160"/>
        <v>12.424584015044895</v>
      </c>
      <c r="BG127" s="2135"/>
      <c r="BH127" s="2135"/>
      <c r="BI127" s="2135"/>
      <c r="BJ127" s="2135">
        <f>IFERROR(BK127/BB127*10,0)</f>
        <v>2.3828659744002065</v>
      </c>
      <c r="BK127" s="2135">
        <f>BF127+BD127</f>
        <v>34.8388875643574</v>
      </c>
      <c r="BL127" s="2149">
        <v>141.48950399999998</v>
      </c>
      <c r="BM127" s="2109">
        <f>IFERROR(BN127/BL127*10,0)</f>
        <v>1.5841672290626241</v>
      </c>
      <c r="BN127" s="2109">
        <v>22.414303549312503</v>
      </c>
      <c r="BO127" s="2109">
        <v>0.84980091401702207</v>
      </c>
      <c r="BP127" s="2109">
        <f t="shared" si="161"/>
        <v>12.023790982301509</v>
      </c>
      <c r="BQ127" s="2135"/>
      <c r="BR127" s="2135"/>
      <c r="BS127" s="2135"/>
      <c r="BT127" s="2135">
        <f>IFERROR(BU127/BL127*10,0)</f>
        <v>2.433968143079646</v>
      </c>
      <c r="BU127" s="2135">
        <f>BP127+BN127</f>
        <v>34.438094531614013</v>
      </c>
      <c r="BV127" s="2149">
        <v>83.510978000000009</v>
      </c>
      <c r="BW127" s="2109">
        <f>IFERROR(BX127/BV127*10,0)</f>
        <v>2.6839948574560464</v>
      </c>
      <c r="BX127" s="2109">
        <v>22.414303549312503</v>
      </c>
      <c r="BY127" s="2109">
        <v>0.84980091401702207</v>
      </c>
      <c r="BZ127" s="2109">
        <f t="shared" si="162"/>
        <v>7.096770543485543</v>
      </c>
      <c r="CA127" s="2135"/>
      <c r="CB127" s="2135"/>
      <c r="CC127" s="2135"/>
      <c r="CD127" s="2135">
        <f>IFERROR(CE127/BV127*10,0)</f>
        <v>3.5337957714730681</v>
      </c>
      <c r="CE127" s="2135">
        <f>BZ127+BX127</f>
        <v>29.511074092798047</v>
      </c>
      <c r="CF127" s="2149">
        <v>43.687001600000002</v>
      </c>
      <c r="CG127" s="2109">
        <f>IFERROR(CH127/CF127*10,0)</f>
        <v>5.1306573416364891</v>
      </c>
      <c r="CH127" s="2109">
        <v>22.414303549312503</v>
      </c>
      <c r="CI127" s="2109">
        <v>0.84980091401702207</v>
      </c>
      <c r="CJ127" s="2109">
        <f t="shared" si="163"/>
        <v>3.7125253890343108</v>
      </c>
      <c r="CK127" s="2135"/>
      <c r="CL127" s="2135"/>
      <c r="CM127" s="2135"/>
      <c r="CN127" s="2135">
        <f>IFERROR(CO127/CF127*10,0)</f>
        <v>5.9804582556535113</v>
      </c>
      <c r="CO127" s="2135">
        <f>CJ127+CH127</f>
        <v>26.126828938346815</v>
      </c>
      <c r="CP127" s="2149">
        <v>31.296763800000001</v>
      </c>
      <c r="CQ127" s="2109">
        <f>IFERROR(CR127/CP127*10,0)</f>
        <v>7.1618598307958292</v>
      </c>
      <c r="CR127" s="2109">
        <v>22.414303549312503</v>
      </c>
      <c r="CS127" s="2109">
        <v>0.84980091401702207</v>
      </c>
      <c r="CT127" s="2109">
        <f t="shared" si="164"/>
        <v>2.6596018483014849</v>
      </c>
      <c r="CU127" s="2135"/>
      <c r="CV127" s="2135"/>
      <c r="CW127" s="2135"/>
      <c r="CX127" s="2135">
        <f>IFERROR(CY127/CP127*10,0)</f>
        <v>8.0116607448128505</v>
      </c>
      <c r="CY127" s="2135">
        <f>CT127+CR127</f>
        <v>25.073905397613988</v>
      </c>
      <c r="CZ127" s="2149">
        <v>34.685044999999988</v>
      </c>
      <c r="DA127" s="2109">
        <f>IFERROR(DB127/CZ127*10,0)</f>
        <v>6.4622385668845208</v>
      </c>
      <c r="DB127" s="2109">
        <v>22.414303549312503</v>
      </c>
      <c r="DC127" s="2109">
        <v>0.84980091401702207</v>
      </c>
      <c r="DD127" s="2109">
        <f t="shared" si="165"/>
        <v>2.9475382943721531</v>
      </c>
      <c r="DE127" s="2135"/>
      <c r="DF127" s="2135"/>
      <c r="DG127" s="2135"/>
      <c r="DH127" s="2135">
        <f>IFERROR(DI127/CZ127*10,0)</f>
        <v>7.312039480901543</v>
      </c>
      <c r="DI127" s="2135">
        <f>DD127+DB127</f>
        <v>25.361841843684658</v>
      </c>
      <c r="DJ127" s="2149">
        <v>28.958890599999997</v>
      </c>
      <c r="DK127" s="2109">
        <f>IFERROR(DL127/DJ127*10,0)</f>
        <v>7.7400422063518226</v>
      </c>
      <c r="DL127" s="2109">
        <v>22.414303549312503</v>
      </c>
      <c r="DM127" s="2109">
        <v>0.84980091401702207</v>
      </c>
      <c r="DN127" s="2109">
        <f t="shared" si="166"/>
        <v>2.4609291700798943</v>
      </c>
      <c r="DO127" s="2135"/>
      <c r="DP127" s="2135"/>
      <c r="DQ127" s="2135"/>
      <c r="DR127" s="2135">
        <f>IFERROR(DS127/DJ127*10,0)</f>
        <v>8.5898431203688439</v>
      </c>
      <c r="DS127" s="2135">
        <f>DN127+DL127</f>
        <v>24.875232719392397</v>
      </c>
      <c r="DT127" s="2149">
        <v>33.767535119999991</v>
      </c>
      <c r="DU127" s="2109">
        <f>IFERROR(DV127/DT127*10,0)</f>
        <v>6.6378263825471979</v>
      </c>
      <c r="DV127" s="2109">
        <v>22.414303549312503</v>
      </c>
      <c r="DW127" s="2109">
        <v>0.84980091401702207</v>
      </c>
      <c r="DX127" s="2109">
        <f t="shared" si="167"/>
        <v>2.8695682209077882</v>
      </c>
      <c r="DY127" s="2135"/>
      <c r="DZ127" s="2135"/>
      <c r="EA127" s="2135"/>
      <c r="EB127" s="2135">
        <f>IFERROR(EC127/DT127*10,0)</f>
        <v>7.487627296564221</v>
      </c>
      <c r="EC127" s="2135">
        <f>DX127+DV127</f>
        <v>25.283871770220291</v>
      </c>
      <c r="ED127" s="2135"/>
      <c r="EE127" s="2106">
        <f>SUM(N127,X127,AH127,AR127,BB127,BL127,BV127,CF127,CP127,CZ127,DJ127,DT127)</f>
        <v>1034.5812841699999</v>
      </c>
      <c r="EF127" s="2106">
        <f>IFERROR((EG127/EE127)*10,0)</f>
        <v>2.5998116021162554</v>
      </c>
      <c r="EG127" s="2106">
        <f>SUM(P127,Z127,AJ127,AT127,BD127,BN127,BX127,CR127,CH127,DB127,DL127,DV127)</f>
        <v>268.97164259175003</v>
      </c>
      <c r="EH127" s="2106">
        <f>IFERROR((EI127/EE127)*10,0)</f>
        <v>0.84980091401702218</v>
      </c>
      <c r="EI127" s="2106">
        <f>SUM(R127,AB127,AL127,AV127,BF127,BP127,BZ127,CJ127,CT127,DD127,DN127,DX127)</f>
        <v>87.918812091257053</v>
      </c>
      <c r="EJ127" s="2106"/>
      <c r="EK127" s="2106"/>
      <c r="EL127" s="2106"/>
      <c r="EM127" s="2106">
        <f>IFERROR(EN127/EE127*10,0)</f>
        <v>3.4496125161332776</v>
      </c>
      <c r="EN127" s="2106">
        <f>EG127+EI127</f>
        <v>356.89045468300708</v>
      </c>
      <c r="EO127" s="2106">
        <f>EN127/J127*10</f>
        <v>3.4496125161332776</v>
      </c>
      <c r="EP127" s="2114">
        <f>EN127/M127*10</f>
        <v>3.5736312657918941</v>
      </c>
      <c r="EQ127" s="2224"/>
      <c r="ER127" s="2277"/>
      <c r="ES127" s="2209" t="e">
        <v>#N/A</v>
      </c>
      <c r="EU127" s="2230"/>
    </row>
    <row r="128" spans="1:165">
      <c r="A128" s="2220"/>
      <c r="B128" s="2145" t="s">
        <v>211</v>
      </c>
      <c r="C128" s="2234">
        <f>SUM(C126:C127)</f>
        <v>1912</v>
      </c>
      <c r="D128" s="2109"/>
      <c r="E128" s="2109"/>
      <c r="F128" s="2235">
        <f>J128/(G128*8.76)</f>
        <v>0.53526171395896982</v>
      </c>
      <c r="G128" s="2162">
        <f>SUM(G126:G127)</f>
        <v>278</v>
      </c>
      <c r="H128" s="2234"/>
      <c r="I128" s="2269"/>
      <c r="J128" s="2234">
        <f>SUM(J126:J127)</f>
        <v>1303.5121467699998</v>
      </c>
      <c r="K128" s="2109"/>
      <c r="L128" s="2109"/>
      <c r="M128" s="2162">
        <f>SUM(M126:M127)</f>
        <v>1258.2752617688241</v>
      </c>
      <c r="N128" s="2162">
        <f>SUM(N126:N127)</f>
        <v>91.033977800000002</v>
      </c>
      <c r="O128" s="2109"/>
      <c r="P128" s="2162">
        <f>SUM(P126:P127)</f>
        <v>29.798046664312501</v>
      </c>
      <c r="Q128" s="2109">
        <v>0</v>
      </c>
      <c r="R128" s="2162">
        <f>SUM(R126:R127)</f>
        <v>9.2609493545407169</v>
      </c>
      <c r="S128" s="2109"/>
      <c r="T128" s="2109"/>
      <c r="U128" s="2109"/>
      <c r="V128" s="2109"/>
      <c r="W128" s="2234">
        <f>SUM(W126:W127)</f>
        <v>39.058996018853222</v>
      </c>
      <c r="X128" s="2234">
        <f>SUM(X126:X127)</f>
        <v>164.50137325</v>
      </c>
      <c r="Y128" s="2109"/>
      <c r="Z128" s="2234">
        <f>SUM(Z126:Z127)</f>
        <v>29.798046664312501</v>
      </c>
      <c r="AA128" s="2109">
        <v>0</v>
      </c>
      <c r="AB128" s="2234">
        <f>SUM(AB126:AB127)</f>
        <v>16.742774435074931</v>
      </c>
      <c r="AC128" s="2135"/>
      <c r="AD128" s="2135"/>
      <c r="AE128" s="2135"/>
      <c r="AF128" s="2135"/>
      <c r="AG128" s="2236">
        <f>SUM(AG126:AG127)</f>
        <v>46.540821099387429</v>
      </c>
      <c r="AH128" s="2236">
        <f>SUM(AH126:AH127)</f>
        <v>178.05614399999999</v>
      </c>
      <c r="AI128" s="2109"/>
      <c r="AJ128" s="2236">
        <f>SUM(AJ126:AJ127)</f>
        <v>29.798046664312501</v>
      </c>
      <c r="AK128" s="2109">
        <v>0</v>
      </c>
      <c r="AL128" s="2236">
        <f>SUM(AL126:AL127)</f>
        <v>18.132302222738645</v>
      </c>
      <c r="AM128" s="2135"/>
      <c r="AN128" s="2135"/>
      <c r="AO128" s="2238"/>
      <c r="AP128" s="2135"/>
      <c r="AQ128" s="2236">
        <f>SUM(AQ126:AQ127)</f>
        <v>47.930348887051153</v>
      </c>
      <c r="AR128" s="2236">
        <f>SUM(AR126:AR127)</f>
        <v>183.9913488</v>
      </c>
      <c r="AS128" s="2109"/>
      <c r="AT128" s="2236">
        <f>SUM(AT126:AT127)</f>
        <v>29.798046664312501</v>
      </c>
      <c r="AU128" s="2109">
        <v>0</v>
      </c>
      <c r="AV128" s="2236">
        <f>SUM(AV126:AV127)</f>
        <v>18.736712296829936</v>
      </c>
      <c r="AW128" s="2236">
        <f t="shared" ref="AW128:CT128" si="227">SUM(AW126:AW127)</f>
        <v>0</v>
      </c>
      <c r="AX128" s="2236">
        <f t="shared" si="227"/>
        <v>0</v>
      </c>
      <c r="AY128" s="2236">
        <f t="shared" si="227"/>
        <v>0</v>
      </c>
      <c r="AZ128" s="2236"/>
      <c r="BA128" s="2236">
        <f t="shared" si="227"/>
        <v>48.534758961142444</v>
      </c>
      <c r="BB128" s="2236">
        <f t="shared" si="227"/>
        <v>183.9913488</v>
      </c>
      <c r="BC128" s="2109"/>
      <c r="BD128" s="2236">
        <f t="shared" si="227"/>
        <v>29.798046664312501</v>
      </c>
      <c r="BE128" s="2109">
        <v>0</v>
      </c>
      <c r="BF128" s="2236">
        <f t="shared" si="227"/>
        <v>18.736712296829936</v>
      </c>
      <c r="BG128" s="2236">
        <f t="shared" si="227"/>
        <v>0</v>
      </c>
      <c r="BH128" s="2236">
        <f t="shared" si="227"/>
        <v>0</v>
      </c>
      <c r="BI128" s="2236">
        <f t="shared" si="227"/>
        <v>0</v>
      </c>
      <c r="BJ128" s="2236"/>
      <c r="BK128" s="2236">
        <f t="shared" si="227"/>
        <v>48.534758961142444</v>
      </c>
      <c r="BL128" s="2236">
        <f t="shared" si="227"/>
        <v>178.05614399999999</v>
      </c>
      <c r="BM128" s="2109"/>
      <c r="BN128" s="2236">
        <f t="shared" si="227"/>
        <v>29.798046664312501</v>
      </c>
      <c r="BO128" s="2109">
        <v>0</v>
      </c>
      <c r="BP128" s="2236">
        <f t="shared" si="227"/>
        <v>18.132302222738645</v>
      </c>
      <c r="BQ128" s="2236">
        <f t="shared" si="227"/>
        <v>0</v>
      </c>
      <c r="BR128" s="2236">
        <f t="shared" si="227"/>
        <v>0</v>
      </c>
      <c r="BS128" s="2236">
        <f t="shared" si="227"/>
        <v>0</v>
      </c>
      <c r="BT128" s="2236"/>
      <c r="BU128" s="2236">
        <f t="shared" si="227"/>
        <v>47.930348887051153</v>
      </c>
      <c r="BV128" s="2236">
        <f t="shared" si="227"/>
        <v>105.1397862</v>
      </c>
      <c r="BW128" s="2109"/>
      <c r="BX128" s="2236">
        <f t="shared" si="227"/>
        <v>29.798046664312501</v>
      </c>
      <c r="BY128" s="2109">
        <v>0</v>
      </c>
      <c r="BZ128" s="2236">
        <f t="shared" si="227"/>
        <v>10.709894910585142</v>
      </c>
      <c r="CA128" s="2236">
        <f t="shared" si="227"/>
        <v>0</v>
      </c>
      <c r="CB128" s="2236">
        <f t="shared" si="227"/>
        <v>0</v>
      </c>
      <c r="CC128" s="2236">
        <f t="shared" si="227"/>
        <v>0</v>
      </c>
      <c r="CD128" s="2236">
        <f t="shared" si="227"/>
        <v>8.6181570457570569</v>
      </c>
      <c r="CE128" s="2236">
        <f t="shared" si="227"/>
        <v>40.507941574897643</v>
      </c>
      <c r="CF128" s="2236">
        <f t="shared" si="227"/>
        <v>56.320264200000004</v>
      </c>
      <c r="CG128" s="2109"/>
      <c r="CH128" s="2236">
        <f t="shared" si="227"/>
        <v>29.798046664312501</v>
      </c>
      <c r="CI128" s="2109">
        <v>0</v>
      </c>
      <c r="CJ128" s="2236">
        <f t="shared" si="227"/>
        <v>5.8229305724335543</v>
      </c>
      <c r="CK128" s="2236">
        <f t="shared" si="227"/>
        <v>0</v>
      </c>
      <c r="CL128" s="2236">
        <f t="shared" si="227"/>
        <v>0</v>
      </c>
      <c r="CM128" s="2236">
        <f t="shared" si="227"/>
        <v>0</v>
      </c>
      <c r="CN128" s="2236"/>
      <c r="CO128" s="2236">
        <f t="shared" si="227"/>
        <v>35.620977236746057</v>
      </c>
      <c r="CP128" s="2236">
        <f t="shared" si="227"/>
        <v>39.391182499999999</v>
      </c>
      <c r="CQ128" s="2109"/>
      <c r="CR128" s="2236">
        <f t="shared" si="227"/>
        <v>29.798046664312501</v>
      </c>
      <c r="CS128" s="2109">
        <v>0</v>
      </c>
      <c r="CT128" s="2236">
        <f t="shared" si="227"/>
        <v>4.0117864519116218</v>
      </c>
      <c r="CU128" s="2236"/>
      <c r="CV128" s="2236"/>
      <c r="CW128" s="2236">
        <f t="shared" ref="CW128:EL128" si="228">SUM(CW126:CW127)</f>
        <v>0</v>
      </c>
      <c r="CX128" s="2236"/>
      <c r="CY128" s="2236">
        <f t="shared" si="228"/>
        <v>33.809833116224127</v>
      </c>
      <c r="CZ128" s="2236">
        <f t="shared" si="228"/>
        <v>43.660358099999989</v>
      </c>
      <c r="DA128" s="2109"/>
      <c r="DB128" s="2236">
        <f t="shared" si="228"/>
        <v>29.798046664312501</v>
      </c>
      <c r="DC128" s="2109">
        <v>0</v>
      </c>
      <c r="DD128" s="2236">
        <f t="shared" si="228"/>
        <v>4.4468776090533124</v>
      </c>
      <c r="DE128" s="2236">
        <f t="shared" si="228"/>
        <v>0</v>
      </c>
      <c r="DF128" s="2236">
        <f t="shared" si="228"/>
        <v>0</v>
      </c>
      <c r="DG128" s="2236">
        <f t="shared" si="228"/>
        <v>0</v>
      </c>
      <c r="DH128" s="2236"/>
      <c r="DI128" s="2236">
        <f t="shared" si="228"/>
        <v>34.244924273365818</v>
      </c>
      <c r="DJ128" s="2236">
        <f t="shared" si="228"/>
        <v>36.539555</v>
      </c>
      <c r="DK128" s="2109"/>
      <c r="DL128" s="2236">
        <f t="shared" si="228"/>
        <v>29.798046664312501</v>
      </c>
      <c r="DM128" s="2109">
        <v>0</v>
      </c>
      <c r="DN128" s="2236">
        <f t="shared" si="228"/>
        <v>3.7272903587858197</v>
      </c>
      <c r="DO128" s="2236">
        <f t="shared" si="228"/>
        <v>0</v>
      </c>
      <c r="DP128" s="2236">
        <f t="shared" si="228"/>
        <v>0</v>
      </c>
      <c r="DQ128" s="2236">
        <f t="shared" si="228"/>
        <v>0</v>
      </c>
      <c r="DR128" s="2236"/>
      <c r="DS128" s="2236">
        <f t="shared" si="228"/>
        <v>33.525337023098324</v>
      </c>
      <c r="DT128" s="2236">
        <f t="shared" si="228"/>
        <v>42.830664119999994</v>
      </c>
      <c r="DU128" s="2109"/>
      <c r="DV128" s="2236">
        <f t="shared" si="228"/>
        <v>29.798046664312501</v>
      </c>
      <c r="DW128" s="2109">
        <v>0</v>
      </c>
      <c r="DX128" s="2236">
        <f t="shared" si="228"/>
        <v>4.3835773114348857</v>
      </c>
      <c r="DY128" s="2236">
        <f t="shared" si="228"/>
        <v>0</v>
      </c>
      <c r="DZ128" s="2236">
        <f t="shared" si="228"/>
        <v>0</v>
      </c>
      <c r="EA128" s="2236">
        <f t="shared" si="228"/>
        <v>0</v>
      </c>
      <c r="EB128" s="2236"/>
      <c r="EC128" s="2236">
        <f t="shared" si="228"/>
        <v>34.181623975747385</v>
      </c>
      <c r="ED128" s="2236">
        <f t="shared" si="228"/>
        <v>0</v>
      </c>
      <c r="EE128" s="2107">
        <f t="shared" si="228"/>
        <v>1303.5121467699998</v>
      </c>
      <c r="EF128" s="2106">
        <f>IFERROR((EG128/EE128)*10,0)</f>
        <v>2.7431778127867585</v>
      </c>
      <c r="EG128" s="2107">
        <f t="shared" si="228"/>
        <v>357.57655997175004</v>
      </c>
      <c r="EH128" s="2106">
        <f>IFERROR((EI128/EE128)*10,0)</f>
        <v>1.0191244506016641</v>
      </c>
      <c r="EI128" s="2107">
        <f t="shared" si="228"/>
        <v>132.84411004295717</v>
      </c>
      <c r="EJ128" s="2107">
        <f t="shared" si="228"/>
        <v>0</v>
      </c>
      <c r="EK128" s="2107">
        <f t="shared" si="228"/>
        <v>0</v>
      </c>
      <c r="EL128" s="2107">
        <f t="shared" si="228"/>
        <v>0</v>
      </c>
      <c r="EM128" s="2106">
        <f>IFERROR(EN128/EE128*10,0)</f>
        <v>3.7623022633884222</v>
      </c>
      <c r="EN128" s="2107">
        <f>SUM(EN126:EN127)</f>
        <v>490.42067001470718</v>
      </c>
      <c r="EO128" s="2106">
        <f>EN128/J128*10</f>
        <v>3.7623022633884222</v>
      </c>
      <c r="EP128" s="2114">
        <f>EN128/M128*10</f>
        <v>3.8975626789745266</v>
      </c>
      <c r="EQ128" s="2224"/>
      <c r="ER128" s="2277"/>
      <c r="ES128" s="2209" t="e">
        <v>#N/A</v>
      </c>
      <c r="EU128" s="2230"/>
    </row>
    <row r="129" spans="1:159">
      <c r="A129" s="2220"/>
      <c r="B129" s="2145"/>
      <c r="C129" s="2145"/>
      <c r="D129" s="2145"/>
      <c r="E129" s="2145"/>
      <c r="F129" s="2145"/>
      <c r="G129" s="1592"/>
      <c r="H129" s="2109"/>
      <c r="I129" s="2276"/>
      <c r="J129" s="2109"/>
      <c r="K129" s="2145"/>
      <c r="L129" s="2145"/>
      <c r="M129" s="2152"/>
      <c r="N129" s="2149">
        <v>0</v>
      </c>
      <c r="O129" s="2109"/>
      <c r="P129" s="2109">
        <v>0</v>
      </c>
      <c r="Q129" s="2109">
        <v>0</v>
      </c>
      <c r="R129" s="2109">
        <f t="shared" si="156"/>
        <v>0</v>
      </c>
      <c r="S129" s="2109"/>
      <c r="T129" s="2109"/>
      <c r="U129" s="2109"/>
      <c r="V129" s="2109"/>
      <c r="W129" s="2109"/>
      <c r="X129" s="2149">
        <v>0</v>
      </c>
      <c r="Y129" s="2109"/>
      <c r="Z129" s="2109">
        <v>0</v>
      </c>
      <c r="AA129" s="2109">
        <v>0</v>
      </c>
      <c r="AB129" s="2109">
        <f t="shared" si="157"/>
        <v>0</v>
      </c>
      <c r="AC129" s="2135"/>
      <c r="AD129" s="2135"/>
      <c r="AE129" s="2135"/>
      <c r="AF129" s="2135"/>
      <c r="AG129" s="2135"/>
      <c r="AH129" s="2149">
        <v>0</v>
      </c>
      <c r="AI129" s="2109"/>
      <c r="AJ129" s="2109">
        <v>0</v>
      </c>
      <c r="AK129" s="2109">
        <v>0</v>
      </c>
      <c r="AL129" s="2109">
        <f t="shared" si="158"/>
        <v>0</v>
      </c>
      <c r="AM129" s="2135"/>
      <c r="AN129" s="2135"/>
      <c r="AO129" s="2238"/>
      <c r="AP129" s="2135"/>
      <c r="AQ129" s="2135"/>
      <c r="AR129" s="2149">
        <v>0</v>
      </c>
      <c r="AS129" s="2109"/>
      <c r="AT129" s="2109">
        <v>0</v>
      </c>
      <c r="AU129" s="2109">
        <v>0</v>
      </c>
      <c r="AV129" s="2109">
        <f t="shared" si="159"/>
        <v>0</v>
      </c>
      <c r="AW129" s="2135"/>
      <c r="AX129" s="2135"/>
      <c r="AY129" s="2238"/>
      <c r="AZ129" s="2135"/>
      <c r="BA129" s="2135"/>
      <c r="BB129" s="2149">
        <v>0</v>
      </c>
      <c r="BC129" s="2109"/>
      <c r="BD129" s="2109">
        <v>0</v>
      </c>
      <c r="BE129" s="2109">
        <v>0</v>
      </c>
      <c r="BF129" s="2109">
        <f t="shared" si="160"/>
        <v>0</v>
      </c>
      <c r="BG129" s="2135"/>
      <c r="BH129" s="2135"/>
      <c r="BI129" s="2238"/>
      <c r="BJ129" s="2135"/>
      <c r="BK129" s="2135"/>
      <c r="BL129" s="2149">
        <v>0</v>
      </c>
      <c r="BM129" s="2109"/>
      <c r="BN129" s="2109">
        <v>0</v>
      </c>
      <c r="BO129" s="2109">
        <v>0</v>
      </c>
      <c r="BP129" s="2109">
        <f t="shared" si="161"/>
        <v>0</v>
      </c>
      <c r="BQ129" s="2135"/>
      <c r="BR129" s="2135"/>
      <c r="BS129" s="2135"/>
      <c r="BT129" s="2135"/>
      <c r="BU129" s="2135"/>
      <c r="BV129" s="2149">
        <v>0</v>
      </c>
      <c r="BW129" s="2109"/>
      <c r="BX129" s="2109">
        <v>0</v>
      </c>
      <c r="BY129" s="2109">
        <v>0</v>
      </c>
      <c r="BZ129" s="2109">
        <f t="shared" si="162"/>
        <v>0</v>
      </c>
      <c r="CA129" s="2135"/>
      <c r="CB129" s="2135"/>
      <c r="CC129" s="2135"/>
      <c r="CD129" s="2135"/>
      <c r="CE129" s="2135"/>
      <c r="CF129" s="2149">
        <v>0</v>
      </c>
      <c r="CG129" s="2109"/>
      <c r="CH129" s="2109">
        <v>0</v>
      </c>
      <c r="CI129" s="2109">
        <v>0</v>
      </c>
      <c r="CJ129" s="2109">
        <f t="shared" si="163"/>
        <v>0</v>
      </c>
      <c r="CK129" s="2135"/>
      <c r="CL129" s="2135"/>
      <c r="CM129" s="2238"/>
      <c r="CN129" s="2135"/>
      <c r="CO129" s="2135"/>
      <c r="CP129" s="2149">
        <v>0</v>
      </c>
      <c r="CQ129" s="2109"/>
      <c r="CR129" s="2109">
        <v>0</v>
      </c>
      <c r="CS129" s="2109">
        <v>0</v>
      </c>
      <c r="CT129" s="2109">
        <f t="shared" si="164"/>
        <v>0</v>
      </c>
      <c r="CU129" s="2135"/>
      <c r="CV129" s="2135"/>
      <c r="CW129" s="2238"/>
      <c r="CX129" s="2135"/>
      <c r="CY129" s="2135"/>
      <c r="CZ129" s="2149">
        <v>0</v>
      </c>
      <c r="DA129" s="2109"/>
      <c r="DB129" s="2109">
        <v>0</v>
      </c>
      <c r="DC129" s="2109">
        <v>0</v>
      </c>
      <c r="DD129" s="2109">
        <f t="shared" si="165"/>
        <v>0</v>
      </c>
      <c r="DE129" s="2135"/>
      <c r="DF129" s="2135"/>
      <c r="DG129" s="2238"/>
      <c r="DH129" s="2135"/>
      <c r="DI129" s="2135"/>
      <c r="DJ129" s="2149">
        <v>0</v>
      </c>
      <c r="DK129" s="2109"/>
      <c r="DL129" s="2109">
        <v>0</v>
      </c>
      <c r="DM129" s="2109">
        <v>0</v>
      </c>
      <c r="DN129" s="2109">
        <f t="shared" si="166"/>
        <v>0</v>
      </c>
      <c r="DO129" s="2135"/>
      <c r="DP129" s="2135"/>
      <c r="DQ129" s="2238"/>
      <c r="DR129" s="2135"/>
      <c r="DS129" s="2135"/>
      <c r="DT129" s="2149">
        <v>0</v>
      </c>
      <c r="DU129" s="2109"/>
      <c r="DV129" s="2109">
        <v>0</v>
      </c>
      <c r="DW129" s="2109">
        <v>0</v>
      </c>
      <c r="DX129" s="2109">
        <f t="shared" si="167"/>
        <v>0</v>
      </c>
      <c r="DY129" s="2135"/>
      <c r="DZ129" s="2135"/>
      <c r="EA129" s="2135"/>
      <c r="EB129" s="2135"/>
      <c r="EC129" s="2135"/>
      <c r="ED129" s="2135"/>
      <c r="EE129" s="2107"/>
      <c r="EF129" s="2106"/>
      <c r="EG129" s="2106"/>
      <c r="EH129" s="2106"/>
      <c r="EI129" s="2106"/>
      <c r="EJ129" s="2106"/>
      <c r="EK129" s="2106"/>
      <c r="EL129" s="2106"/>
      <c r="EM129" s="2106"/>
      <c r="EN129" s="2106"/>
      <c r="EO129" s="1915"/>
      <c r="EP129" s="2223"/>
      <c r="EQ129" s="2224"/>
      <c r="ER129" s="2277"/>
      <c r="ES129" s="2209" t="e">
        <v>#N/A</v>
      </c>
      <c r="EU129" s="2230"/>
    </row>
    <row r="130" spans="1:159">
      <c r="A130" s="2220" t="s">
        <v>136</v>
      </c>
      <c r="B130" s="2233" t="s">
        <v>1755</v>
      </c>
      <c r="C130" s="2145"/>
      <c r="D130" s="2145"/>
      <c r="E130" s="2145"/>
      <c r="F130" s="2145"/>
      <c r="G130" s="1592"/>
      <c r="H130" s="2109"/>
      <c r="I130" s="2276"/>
      <c r="J130" s="2109"/>
      <c r="K130" s="2145"/>
      <c r="L130" s="2145"/>
      <c r="M130" s="2152"/>
      <c r="N130" s="2149">
        <v>0</v>
      </c>
      <c r="O130" s="2109"/>
      <c r="P130" s="2109">
        <v>0</v>
      </c>
      <c r="Q130" s="2109">
        <v>0</v>
      </c>
      <c r="R130" s="2109">
        <f t="shared" si="156"/>
        <v>0</v>
      </c>
      <c r="S130" s="2109"/>
      <c r="T130" s="2109"/>
      <c r="U130" s="2109"/>
      <c r="V130" s="2109"/>
      <c r="W130" s="2109"/>
      <c r="X130" s="2149">
        <v>0</v>
      </c>
      <c r="Y130" s="2109"/>
      <c r="Z130" s="2109">
        <v>0</v>
      </c>
      <c r="AA130" s="2109">
        <v>0</v>
      </c>
      <c r="AB130" s="2109">
        <f t="shared" si="157"/>
        <v>0</v>
      </c>
      <c r="AC130" s="2135"/>
      <c r="AD130" s="2135"/>
      <c r="AE130" s="2135"/>
      <c r="AF130" s="2135"/>
      <c r="AG130" s="2135"/>
      <c r="AH130" s="2149">
        <v>0</v>
      </c>
      <c r="AI130" s="2109"/>
      <c r="AJ130" s="2109">
        <v>0</v>
      </c>
      <c r="AK130" s="2109">
        <v>0</v>
      </c>
      <c r="AL130" s="2109">
        <f t="shared" si="158"/>
        <v>0</v>
      </c>
      <c r="AM130" s="2135"/>
      <c r="AN130" s="2135"/>
      <c r="AO130" s="2238"/>
      <c r="AP130" s="2135"/>
      <c r="AQ130" s="2135"/>
      <c r="AR130" s="2149">
        <v>0</v>
      </c>
      <c r="AS130" s="2109"/>
      <c r="AT130" s="2109">
        <v>0</v>
      </c>
      <c r="AU130" s="2109">
        <v>0</v>
      </c>
      <c r="AV130" s="2109">
        <f t="shared" si="159"/>
        <v>0</v>
      </c>
      <c r="AW130" s="2135"/>
      <c r="AX130" s="2135"/>
      <c r="AY130" s="2238"/>
      <c r="AZ130" s="2135"/>
      <c r="BA130" s="2135"/>
      <c r="BB130" s="2149">
        <v>0</v>
      </c>
      <c r="BC130" s="2109"/>
      <c r="BD130" s="2109">
        <v>0</v>
      </c>
      <c r="BE130" s="2109">
        <v>0</v>
      </c>
      <c r="BF130" s="2109">
        <f t="shared" si="160"/>
        <v>0</v>
      </c>
      <c r="BG130" s="2135"/>
      <c r="BH130" s="2135"/>
      <c r="BI130" s="2238"/>
      <c r="BJ130" s="2135"/>
      <c r="BK130" s="2135"/>
      <c r="BL130" s="2149">
        <v>0</v>
      </c>
      <c r="BM130" s="2109"/>
      <c r="BN130" s="2109">
        <v>0</v>
      </c>
      <c r="BO130" s="2109">
        <v>0</v>
      </c>
      <c r="BP130" s="2109">
        <f t="shared" si="161"/>
        <v>0</v>
      </c>
      <c r="BQ130" s="2135"/>
      <c r="BR130" s="2135"/>
      <c r="BS130" s="2135"/>
      <c r="BT130" s="2135"/>
      <c r="BU130" s="2135"/>
      <c r="BV130" s="2149">
        <v>0</v>
      </c>
      <c r="BW130" s="2109"/>
      <c r="BX130" s="2109">
        <v>0</v>
      </c>
      <c r="BY130" s="2109">
        <v>0</v>
      </c>
      <c r="BZ130" s="2109">
        <f t="shared" si="162"/>
        <v>0</v>
      </c>
      <c r="CA130" s="2135"/>
      <c r="CB130" s="2135"/>
      <c r="CC130" s="2135"/>
      <c r="CD130" s="2135"/>
      <c r="CE130" s="2135"/>
      <c r="CF130" s="2149">
        <v>0</v>
      </c>
      <c r="CG130" s="2109"/>
      <c r="CH130" s="2109">
        <v>0</v>
      </c>
      <c r="CI130" s="2109">
        <v>0</v>
      </c>
      <c r="CJ130" s="2109">
        <f t="shared" si="163"/>
        <v>0</v>
      </c>
      <c r="CK130" s="2135"/>
      <c r="CL130" s="2135"/>
      <c r="CM130" s="2238"/>
      <c r="CN130" s="2135"/>
      <c r="CO130" s="2135"/>
      <c r="CP130" s="2149">
        <v>0</v>
      </c>
      <c r="CQ130" s="2109"/>
      <c r="CR130" s="2109">
        <v>0</v>
      </c>
      <c r="CS130" s="2109">
        <v>0</v>
      </c>
      <c r="CT130" s="2109">
        <f t="shared" si="164"/>
        <v>0</v>
      </c>
      <c r="CU130" s="2135"/>
      <c r="CV130" s="2135"/>
      <c r="CW130" s="2238"/>
      <c r="CX130" s="2135"/>
      <c r="CY130" s="2135"/>
      <c r="CZ130" s="2149">
        <v>0</v>
      </c>
      <c r="DA130" s="2109"/>
      <c r="DB130" s="2109">
        <v>0</v>
      </c>
      <c r="DC130" s="2109">
        <v>0</v>
      </c>
      <c r="DD130" s="2109">
        <f t="shared" si="165"/>
        <v>0</v>
      </c>
      <c r="DE130" s="2135"/>
      <c r="DF130" s="2135"/>
      <c r="DG130" s="2238"/>
      <c r="DH130" s="2135"/>
      <c r="DI130" s="2135"/>
      <c r="DJ130" s="2149">
        <v>0</v>
      </c>
      <c r="DK130" s="2109"/>
      <c r="DL130" s="2109">
        <v>0</v>
      </c>
      <c r="DM130" s="2109">
        <v>0</v>
      </c>
      <c r="DN130" s="2109">
        <f t="shared" si="166"/>
        <v>0</v>
      </c>
      <c r="DO130" s="2135"/>
      <c r="DP130" s="2135"/>
      <c r="DQ130" s="2238"/>
      <c r="DR130" s="2135"/>
      <c r="DS130" s="2135"/>
      <c r="DT130" s="2149">
        <v>0</v>
      </c>
      <c r="DU130" s="2109"/>
      <c r="DV130" s="2109">
        <v>0</v>
      </c>
      <c r="DW130" s="2109">
        <v>0</v>
      </c>
      <c r="DX130" s="2109">
        <f t="shared" si="167"/>
        <v>0</v>
      </c>
      <c r="DY130" s="2135"/>
      <c r="DZ130" s="2135"/>
      <c r="EA130" s="2135"/>
      <c r="EB130" s="2135"/>
      <c r="EC130" s="2135"/>
      <c r="ED130" s="2135"/>
      <c r="EE130" s="2107"/>
      <c r="EF130" s="2106"/>
      <c r="EG130" s="2106"/>
      <c r="EH130" s="2106"/>
      <c r="EI130" s="2106"/>
      <c r="EJ130" s="2106"/>
      <c r="EK130" s="2106"/>
      <c r="EL130" s="2106"/>
      <c r="EM130" s="2106"/>
      <c r="EN130" s="2106"/>
      <c r="EO130" s="1915"/>
      <c r="EP130" s="2223"/>
      <c r="EQ130" s="2224"/>
      <c r="ER130" s="2277"/>
      <c r="ES130" s="2209" t="e">
        <v>#N/A</v>
      </c>
      <c r="EU130" s="2230"/>
    </row>
    <row r="131" spans="1:159">
      <c r="A131" s="2220">
        <v>1</v>
      </c>
      <c r="B131" s="2145" t="s">
        <v>1756</v>
      </c>
      <c r="C131" s="2146">
        <v>600</v>
      </c>
      <c r="D131" s="2147">
        <f>G131/C131</f>
        <v>9.166666666666666E-2</v>
      </c>
      <c r="E131" s="2146"/>
      <c r="F131" s="2148">
        <v>0.47622694635690244</v>
      </c>
      <c r="G131" s="2146">
        <v>55</v>
      </c>
      <c r="H131" s="2149" t="s">
        <v>1717</v>
      </c>
      <c r="I131" s="2229">
        <v>1</v>
      </c>
      <c r="J131" s="2149">
        <v>224.18154000000001</v>
      </c>
      <c r="K131" s="2148">
        <v>3.4703846153846141E-2</v>
      </c>
      <c r="L131" s="2151"/>
      <c r="M131" s="2152">
        <f>J131*(1-K131)*(1-L131)</f>
        <v>216.4015783253077</v>
      </c>
      <c r="N131" s="2149">
        <v>18.425879999999999</v>
      </c>
      <c r="O131" s="2109">
        <f>IFERROR(P131/N131*10,0)</f>
        <v>0</v>
      </c>
      <c r="P131" s="2109">
        <v>0</v>
      </c>
      <c r="Q131" s="2109">
        <v>4.1626800782566953</v>
      </c>
      <c r="R131" s="2109">
        <f t="shared" si="156"/>
        <v>7.6701043600348466</v>
      </c>
      <c r="S131" s="2109"/>
      <c r="T131" s="2109"/>
      <c r="U131" s="2109"/>
      <c r="V131" s="2109">
        <f>IFERROR(W131/N131*10,0)</f>
        <v>4.1626800782566944</v>
      </c>
      <c r="W131" s="2109">
        <f>P131+R131</f>
        <v>7.6701043600348466</v>
      </c>
      <c r="X131" s="2149">
        <v>19.040076000000003</v>
      </c>
      <c r="Y131" s="2109">
        <f>IFERROR(Z131/X131*10,0)</f>
        <v>0</v>
      </c>
      <c r="Z131" s="2109">
        <v>0</v>
      </c>
      <c r="AA131" s="2109">
        <v>4.1626800782566953</v>
      </c>
      <c r="AB131" s="2109">
        <f t="shared" si="157"/>
        <v>7.9257745053693442</v>
      </c>
      <c r="AC131" s="2135"/>
      <c r="AD131" s="2135"/>
      <c r="AE131" s="2135"/>
      <c r="AF131" s="2135">
        <f>IFERROR(AG131/X131*10,0)</f>
        <v>4.1626800782566962</v>
      </c>
      <c r="AG131" s="2135">
        <f>Z131+AB131</f>
        <v>7.9257745053693442</v>
      </c>
      <c r="AH131" s="2149">
        <v>18.425879999999999</v>
      </c>
      <c r="AI131" s="2109">
        <f>IFERROR(AJ131/AH131*10,0)</f>
        <v>0</v>
      </c>
      <c r="AJ131" s="2109">
        <v>0</v>
      </c>
      <c r="AK131" s="2109">
        <v>4.1626800782566953</v>
      </c>
      <c r="AL131" s="2109">
        <f t="shared" si="158"/>
        <v>7.6701043600348466</v>
      </c>
      <c r="AM131" s="2135"/>
      <c r="AN131" s="2135"/>
      <c r="AO131" s="2135"/>
      <c r="AP131" s="2135">
        <f>IFERROR(AQ131/AH131*10,0)</f>
        <v>4.1626800782566944</v>
      </c>
      <c r="AQ131" s="2135">
        <f>AL131+AJ131</f>
        <v>7.6701043600348466</v>
      </c>
      <c r="AR131" s="2149">
        <v>19.040076000000003</v>
      </c>
      <c r="AS131" s="2109">
        <f>IFERROR(AT131/AR131*10,0)</f>
        <v>0</v>
      </c>
      <c r="AT131" s="2109">
        <v>0</v>
      </c>
      <c r="AU131" s="2109">
        <v>4.1626800782566953</v>
      </c>
      <c r="AV131" s="2109">
        <f t="shared" si="159"/>
        <v>7.9257745053693442</v>
      </c>
      <c r="AW131" s="2135"/>
      <c r="AX131" s="2135"/>
      <c r="AY131" s="2135"/>
      <c r="AZ131" s="2135">
        <f>IFERROR(BA131/AR131*10,0)</f>
        <v>4.1626800782566962</v>
      </c>
      <c r="BA131" s="2135">
        <f>AV131+AT131</f>
        <v>7.9257745053693442</v>
      </c>
      <c r="BB131" s="2149">
        <v>19.040076000000003</v>
      </c>
      <c r="BC131" s="2109">
        <f>IFERROR(BD131/BB131*10,0)</f>
        <v>0</v>
      </c>
      <c r="BD131" s="2109">
        <v>0</v>
      </c>
      <c r="BE131" s="2109">
        <v>4.1626800782566953</v>
      </c>
      <c r="BF131" s="2109">
        <f t="shared" si="160"/>
        <v>7.9257745053693442</v>
      </c>
      <c r="BG131" s="2135"/>
      <c r="BH131" s="2135"/>
      <c r="BI131" s="2135"/>
      <c r="BJ131" s="2135">
        <f>IFERROR(BK131/BB131*10,0)</f>
        <v>4.1626800782566962</v>
      </c>
      <c r="BK131" s="2135">
        <f>BF131+BD131</f>
        <v>7.9257745053693442</v>
      </c>
      <c r="BL131" s="2149">
        <v>18.425879999999999</v>
      </c>
      <c r="BM131" s="2109">
        <f>IFERROR(BN131/BL131*10,0)</f>
        <v>0</v>
      </c>
      <c r="BN131" s="2109">
        <v>0</v>
      </c>
      <c r="BO131" s="2109">
        <v>4.1626800782566953</v>
      </c>
      <c r="BP131" s="2109">
        <f t="shared" si="161"/>
        <v>7.6701043600348466</v>
      </c>
      <c r="BQ131" s="2135"/>
      <c r="BR131" s="2135"/>
      <c r="BS131" s="2135"/>
      <c r="BT131" s="2135">
        <f>IFERROR(BU131/BL131*10,0)</f>
        <v>4.1626800782566944</v>
      </c>
      <c r="BU131" s="2135">
        <f>BP131+BN131</f>
        <v>7.6701043600348466</v>
      </c>
      <c r="BV131" s="2149">
        <v>19.040076000000003</v>
      </c>
      <c r="BW131" s="2109">
        <f>IFERROR(BX131/BV131*10,0)</f>
        <v>0</v>
      </c>
      <c r="BX131" s="2109">
        <v>0</v>
      </c>
      <c r="BY131" s="2109">
        <v>4.1626800782566953</v>
      </c>
      <c r="BZ131" s="2109">
        <f t="shared" si="162"/>
        <v>7.9257745053693442</v>
      </c>
      <c r="CA131" s="2135"/>
      <c r="CB131" s="2135"/>
      <c r="CC131" s="2135"/>
      <c r="CD131" s="2135">
        <f>IFERROR(CE131/BV131*10,0)</f>
        <v>4.1626800782566962</v>
      </c>
      <c r="CE131" s="2135">
        <f>BZ131+BX131</f>
        <v>7.9257745053693442</v>
      </c>
      <c r="CF131" s="2149">
        <v>18.425879999999999</v>
      </c>
      <c r="CG131" s="2109">
        <f>IFERROR(CH131/CF131*10,0)</f>
        <v>0</v>
      </c>
      <c r="CH131" s="2109">
        <v>0</v>
      </c>
      <c r="CI131" s="2109">
        <v>4.1626800782566953</v>
      </c>
      <c r="CJ131" s="2109">
        <f t="shared" si="163"/>
        <v>7.6701043600348466</v>
      </c>
      <c r="CK131" s="2135"/>
      <c r="CL131" s="2135"/>
      <c r="CM131" s="2135"/>
      <c r="CN131" s="2135">
        <f>IFERROR(CO131/CF131*10,0)</f>
        <v>4.1626800782566944</v>
      </c>
      <c r="CO131" s="2135">
        <f>CJ131+CH131</f>
        <v>7.6701043600348466</v>
      </c>
      <c r="CP131" s="2149">
        <v>19.040076000000003</v>
      </c>
      <c r="CQ131" s="2109">
        <f>IFERROR(CR131/CP131*10,0)</f>
        <v>0</v>
      </c>
      <c r="CR131" s="2109">
        <v>0</v>
      </c>
      <c r="CS131" s="2109">
        <v>4.1626800782566953</v>
      </c>
      <c r="CT131" s="2109">
        <f t="shared" si="164"/>
        <v>7.9257745053693442</v>
      </c>
      <c r="CU131" s="2135"/>
      <c r="CV131" s="2135"/>
      <c r="CW131" s="2135"/>
      <c r="CX131" s="2135">
        <f>IFERROR(CY131/CP131*10,0)</f>
        <v>4.1626800782566962</v>
      </c>
      <c r="CY131" s="2135">
        <f>CT131+CR131</f>
        <v>7.9257745053693442</v>
      </c>
      <c r="CZ131" s="2149">
        <v>19.040076000000003</v>
      </c>
      <c r="DA131" s="2109">
        <f>IFERROR(DB131/CZ131*10,0)</f>
        <v>0</v>
      </c>
      <c r="DB131" s="2109">
        <v>0</v>
      </c>
      <c r="DC131" s="2109">
        <v>4.1626800782566953</v>
      </c>
      <c r="DD131" s="2109">
        <f t="shared" si="165"/>
        <v>7.9257745053693442</v>
      </c>
      <c r="DE131" s="2135"/>
      <c r="DF131" s="2135"/>
      <c r="DG131" s="2135"/>
      <c r="DH131" s="2135">
        <f>IFERROR(DI131/CZ131*10,0)</f>
        <v>4.1626800782566962</v>
      </c>
      <c r="DI131" s="2135">
        <f>DD131+DB131</f>
        <v>7.9257745053693442</v>
      </c>
      <c r="DJ131" s="2149">
        <v>17.197488</v>
      </c>
      <c r="DK131" s="2109">
        <f>IFERROR(DL131/DJ131*10,0)</f>
        <v>0</v>
      </c>
      <c r="DL131" s="2109">
        <v>0</v>
      </c>
      <c r="DM131" s="2109">
        <v>4.1626800782566953</v>
      </c>
      <c r="DN131" s="2109">
        <f t="shared" si="166"/>
        <v>7.1587640693658567</v>
      </c>
      <c r="DO131" s="2135"/>
      <c r="DP131" s="2135"/>
      <c r="DQ131" s="2135"/>
      <c r="DR131" s="2135">
        <f>IFERROR(DS131/DJ131*10,0)</f>
        <v>4.1626800782566944</v>
      </c>
      <c r="DS131" s="2135">
        <f>DN131+DL131</f>
        <v>7.1587640693658567</v>
      </c>
      <c r="DT131" s="2149">
        <v>19.040076000000003</v>
      </c>
      <c r="DU131" s="2109">
        <f>IFERROR(DV131/DT131*10,0)</f>
        <v>0</v>
      </c>
      <c r="DV131" s="2109">
        <v>0</v>
      </c>
      <c r="DW131" s="2109">
        <v>4.1626800782566953</v>
      </c>
      <c r="DX131" s="2109">
        <f t="shared" si="167"/>
        <v>7.9257745053693442</v>
      </c>
      <c r="DY131" s="2135"/>
      <c r="DZ131" s="2135"/>
      <c r="EA131" s="2135"/>
      <c r="EB131" s="2135">
        <f>IFERROR(EC131/DT131*10,0)</f>
        <v>4.1626800782566962</v>
      </c>
      <c r="EC131" s="2135">
        <f>DX131+DV131</f>
        <v>7.9257745053693442</v>
      </c>
      <c r="ED131" s="2135"/>
      <c r="EE131" s="2107">
        <f>SUM(N131,X131,AH131,AR131,BB131,BL131,BV131,CF131,CP131,CZ131,DJ131,DT131)</f>
        <v>224.18154000000001</v>
      </c>
      <c r="EF131" s="2107">
        <f>IFERROR((EG131/EE131)*10,0)</f>
        <v>0</v>
      </c>
      <c r="EG131" s="2107">
        <f>SUM(P131,Z131,AJ131,AT131,BD131,BN131,BX131,CR131,CH131,DB131,DL131,DV131)</f>
        <v>0</v>
      </c>
      <c r="EH131" s="2106">
        <f>IFERROR((EI131/EE131)*10,0)</f>
        <v>4.1626800782566962</v>
      </c>
      <c r="EI131" s="2107">
        <f>SUM(R131,AB131,AL131,AV131,BF131,BP131,BZ131,CJ131,CT131,DD131,DN131,DX131)</f>
        <v>93.319603047090666</v>
      </c>
      <c r="EJ131" s="2107"/>
      <c r="EK131" s="2107"/>
      <c r="EL131" s="2107"/>
      <c r="EM131" s="2106">
        <f>IFERROR(EN131/EE131*10,0)</f>
        <v>4.1626800782566962</v>
      </c>
      <c r="EN131" s="2107">
        <f>EG131+EI131</f>
        <v>93.319603047090666</v>
      </c>
      <c r="EO131" s="2106">
        <f>EN131/J131*10</f>
        <v>4.1626800782566962</v>
      </c>
      <c r="EP131" s="2114">
        <f>EN131/M131*10</f>
        <v>4.3123346774674216</v>
      </c>
      <c r="EQ131" s="2224"/>
      <c r="ER131" s="2277"/>
      <c r="ES131" s="2209" t="e">
        <v>#N/A</v>
      </c>
      <c r="EU131" s="2230"/>
    </row>
    <row r="132" spans="1:159">
      <c r="A132" s="2220"/>
      <c r="B132" s="2145"/>
      <c r="C132" s="2145"/>
      <c r="D132" s="2145"/>
      <c r="E132" s="2145"/>
      <c r="F132" s="2145"/>
      <c r="G132" s="1592"/>
      <c r="H132" s="2109"/>
      <c r="I132" s="2276"/>
      <c r="J132" s="2109"/>
      <c r="K132" s="2145"/>
      <c r="L132" s="2145"/>
      <c r="M132" s="2152"/>
      <c r="N132" s="2149">
        <v>0</v>
      </c>
      <c r="O132" s="2109"/>
      <c r="P132" s="2109">
        <v>0</v>
      </c>
      <c r="Q132" s="2109">
        <v>0</v>
      </c>
      <c r="R132" s="2109">
        <f t="shared" si="156"/>
        <v>0</v>
      </c>
      <c r="S132" s="2109"/>
      <c r="T132" s="2109"/>
      <c r="U132" s="2109"/>
      <c r="V132" s="2109"/>
      <c r="W132" s="2109"/>
      <c r="X132" s="2149">
        <v>0</v>
      </c>
      <c r="Y132" s="2109"/>
      <c r="Z132" s="2109">
        <v>0</v>
      </c>
      <c r="AA132" s="2109">
        <v>0</v>
      </c>
      <c r="AB132" s="2109">
        <f t="shared" si="157"/>
        <v>0</v>
      </c>
      <c r="AC132" s="2135"/>
      <c r="AD132" s="2135"/>
      <c r="AE132" s="2135"/>
      <c r="AF132" s="2135"/>
      <c r="AG132" s="2135"/>
      <c r="AH132" s="2149">
        <v>0</v>
      </c>
      <c r="AI132" s="2109"/>
      <c r="AJ132" s="2109">
        <v>0</v>
      </c>
      <c r="AK132" s="2109">
        <v>0</v>
      </c>
      <c r="AL132" s="2109">
        <f t="shared" si="158"/>
        <v>0</v>
      </c>
      <c r="AM132" s="2135"/>
      <c r="AN132" s="2135"/>
      <c r="AO132" s="2238"/>
      <c r="AP132" s="2135"/>
      <c r="AQ132" s="2135"/>
      <c r="AR132" s="2149">
        <v>0</v>
      </c>
      <c r="AS132" s="2109"/>
      <c r="AT132" s="2109">
        <v>0</v>
      </c>
      <c r="AU132" s="2109">
        <v>0</v>
      </c>
      <c r="AV132" s="2109">
        <f t="shared" si="159"/>
        <v>0</v>
      </c>
      <c r="AW132" s="2135"/>
      <c r="AX132" s="2135"/>
      <c r="AY132" s="2238"/>
      <c r="AZ132" s="2135"/>
      <c r="BA132" s="2135"/>
      <c r="BB132" s="2149">
        <v>0</v>
      </c>
      <c r="BC132" s="2109"/>
      <c r="BD132" s="2109">
        <v>0</v>
      </c>
      <c r="BE132" s="2109">
        <v>0</v>
      </c>
      <c r="BF132" s="2109">
        <f t="shared" si="160"/>
        <v>0</v>
      </c>
      <c r="BG132" s="2135"/>
      <c r="BH132" s="2135"/>
      <c r="BI132" s="2238"/>
      <c r="BJ132" s="2135"/>
      <c r="BK132" s="2135"/>
      <c r="BL132" s="2149">
        <v>0</v>
      </c>
      <c r="BM132" s="2109"/>
      <c r="BN132" s="2109">
        <v>0</v>
      </c>
      <c r="BO132" s="2109">
        <v>0</v>
      </c>
      <c r="BP132" s="2109">
        <f t="shared" si="161"/>
        <v>0</v>
      </c>
      <c r="BQ132" s="2135"/>
      <c r="BR132" s="2135"/>
      <c r="BS132" s="2135"/>
      <c r="BT132" s="2135"/>
      <c r="BU132" s="2135"/>
      <c r="BV132" s="2149">
        <v>0</v>
      </c>
      <c r="BW132" s="2109"/>
      <c r="BX132" s="2109">
        <v>0</v>
      </c>
      <c r="BY132" s="2109">
        <v>0</v>
      </c>
      <c r="BZ132" s="2109">
        <f t="shared" si="162"/>
        <v>0</v>
      </c>
      <c r="CA132" s="2135"/>
      <c r="CB132" s="2135"/>
      <c r="CC132" s="2135"/>
      <c r="CD132" s="2135"/>
      <c r="CE132" s="2135"/>
      <c r="CF132" s="2149">
        <v>0</v>
      </c>
      <c r="CG132" s="2109"/>
      <c r="CH132" s="2109">
        <v>0</v>
      </c>
      <c r="CI132" s="2109">
        <v>0</v>
      </c>
      <c r="CJ132" s="2109">
        <f t="shared" si="163"/>
        <v>0</v>
      </c>
      <c r="CK132" s="2135"/>
      <c r="CL132" s="2135"/>
      <c r="CM132" s="2238"/>
      <c r="CN132" s="2135"/>
      <c r="CO132" s="2135"/>
      <c r="CP132" s="2149">
        <v>0</v>
      </c>
      <c r="CQ132" s="2109"/>
      <c r="CR132" s="2109">
        <v>0</v>
      </c>
      <c r="CS132" s="2109">
        <v>0</v>
      </c>
      <c r="CT132" s="2109">
        <f t="shared" si="164"/>
        <v>0</v>
      </c>
      <c r="CU132" s="2135"/>
      <c r="CV132" s="2135"/>
      <c r="CW132" s="2238"/>
      <c r="CX132" s="2135"/>
      <c r="CY132" s="2135"/>
      <c r="CZ132" s="2149">
        <v>0</v>
      </c>
      <c r="DA132" s="2109"/>
      <c r="DB132" s="2109">
        <v>0</v>
      </c>
      <c r="DC132" s="2109">
        <v>0</v>
      </c>
      <c r="DD132" s="2109">
        <f t="shared" si="165"/>
        <v>0</v>
      </c>
      <c r="DE132" s="2135"/>
      <c r="DF132" s="2135"/>
      <c r="DG132" s="2238"/>
      <c r="DH132" s="2135"/>
      <c r="DI132" s="2135"/>
      <c r="DJ132" s="2149">
        <v>0</v>
      </c>
      <c r="DK132" s="2109"/>
      <c r="DL132" s="2109">
        <v>0</v>
      </c>
      <c r="DM132" s="2109">
        <v>0</v>
      </c>
      <c r="DN132" s="2109">
        <f t="shared" si="166"/>
        <v>0</v>
      </c>
      <c r="DO132" s="2135"/>
      <c r="DP132" s="2135"/>
      <c r="DQ132" s="2238"/>
      <c r="DR132" s="2135"/>
      <c r="DS132" s="2135"/>
      <c r="DT132" s="2149">
        <v>0</v>
      </c>
      <c r="DU132" s="2109"/>
      <c r="DV132" s="2109">
        <v>0</v>
      </c>
      <c r="DW132" s="2109">
        <v>0</v>
      </c>
      <c r="DX132" s="2109">
        <f t="shared" si="167"/>
        <v>0</v>
      </c>
      <c r="DY132" s="2135"/>
      <c r="DZ132" s="2135"/>
      <c r="EA132" s="2135"/>
      <c r="EB132" s="2135"/>
      <c r="EC132" s="2135"/>
      <c r="ED132" s="2135"/>
      <c r="EE132" s="2107"/>
      <c r="EF132" s="2106"/>
      <c r="EG132" s="2106"/>
      <c r="EH132" s="2106"/>
      <c r="EI132" s="2106"/>
      <c r="EJ132" s="2106"/>
      <c r="EK132" s="2106"/>
      <c r="EL132" s="2106"/>
      <c r="EM132" s="2106"/>
      <c r="EN132" s="2106"/>
      <c r="EO132" s="1915"/>
      <c r="EP132" s="2223"/>
      <c r="EQ132" s="2224"/>
      <c r="ER132" s="2277"/>
      <c r="ES132" s="2209" t="e">
        <v>#N/A</v>
      </c>
      <c r="EU132" s="2230"/>
    </row>
    <row r="133" spans="1:159">
      <c r="A133" s="2220" t="s">
        <v>706</v>
      </c>
      <c r="B133" s="2145" t="s">
        <v>1757</v>
      </c>
      <c r="C133" s="2145"/>
      <c r="D133" s="2145"/>
      <c r="E133" s="2145"/>
      <c r="F133" s="2145"/>
      <c r="G133" s="1592"/>
      <c r="H133" s="2109"/>
      <c r="I133" s="2276"/>
      <c r="J133" s="2109"/>
      <c r="K133" s="2145"/>
      <c r="L133" s="2145"/>
      <c r="M133" s="2152"/>
      <c r="N133" s="2149">
        <v>0</v>
      </c>
      <c r="O133" s="2109"/>
      <c r="P133" s="2109">
        <v>0</v>
      </c>
      <c r="Q133" s="2109">
        <v>0</v>
      </c>
      <c r="R133" s="2109">
        <f t="shared" si="156"/>
        <v>0</v>
      </c>
      <c r="S133" s="2109"/>
      <c r="T133" s="2109"/>
      <c r="U133" s="2109"/>
      <c r="V133" s="2109"/>
      <c r="W133" s="2109"/>
      <c r="X133" s="2149">
        <v>0</v>
      </c>
      <c r="Y133" s="2109"/>
      <c r="Z133" s="2109">
        <v>0</v>
      </c>
      <c r="AA133" s="2109">
        <v>0</v>
      </c>
      <c r="AB133" s="2109">
        <f t="shared" si="157"/>
        <v>0</v>
      </c>
      <c r="AC133" s="2135"/>
      <c r="AD133" s="2135"/>
      <c r="AE133" s="2135"/>
      <c r="AF133" s="2135"/>
      <c r="AG133" s="2135"/>
      <c r="AH133" s="2149">
        <v>0</v>
      </c>
      <c r="AI133" s="2109"/>
      <c r="AJ133" s="2109">
        <v>0</v>
      </c>
      <c r="AK133" s="2109">
        <v>0</v>
      </c>
      <c r="AL133" s="2109">
        <f t="shared" si="158"/>
        <v>0</v>
      </c>
      <c r="AM133" s="2135"/>
      <c r="AN133" s="2135"/>
      <c r="AO133" s="2238"/>
      <c r="AP133" s="2135"/>
      <c r="AQ133" s="2135"/>
      <c r="AR133" s="2149">
        <v>0</v>
      </c>
      <c r="AS133" s="2109"/>
      <c r="AT133" s="2109">
        <v>0</v>
      </c>
      <c r="AU133" s="2109">
        <v>0</v>
      </c>
      <c r="AV133" s="2109">
        <f t="shared" si="159"/>
        <v>0</v>
      </c>
      <c r="AW133" s="2135"/>
      <c r="AX133" s="2135"/>
      <c r="AY133" s="2238"/>
      <c r="AZ133" s="2135"/>
      <c r="BA133" s="2135"/>
      <c r="BB133" s="2149">
        <v>0</v>
      </c>
      <c r="BC133" s="2109"/>
      <c r="BD133" s="2109">
        <v>0</v>
      </c>
      <c r="BE133" s="2109">
        <v>0</v>
      </c>
      <c r="BF133" s="2109">
        <f t="shared" si="160"/>
        <v>0</v>
      </c>
      <c r="BG133" s="2135"/>
      <c r="BH133" s="2135"/>
      <c r="BI133" s="2238"/>
      <c r="BJ133" s="2135"/>
      <c r="BK133" s="2135"/>
      <c r="BL133" s="2149">
        <v>0</v>
      </c>
      <c r="BM133" s="2109"/>
      <c r="BN133" s="2109">
        <v>0</v>
      </c>
      <c r="BO133" s="2109">
        <v>0</v>
      </c>
      <c r="BP133" s="2109">
        <f t="shared" si="161"/>
        <v>0</v>
      </c>
      <c r="BQ133" s="2135"/>
      <c r="BR133" s="2135"/>
      <c r="BS133" s="2135"/>
      <c r="BT133" s="2135"/>
      <c r="BU133" s="2135"/>
      <c r="BV133" s="2149">
        <v>0</v>
      </c>
      <c r="BW133" s="2109"/>
      <c r="BX133" s="2109">
        <v>0</v>
      </c>
      <c r="BY133" s="2109">
        <v>0</v>
      </c>
      <c r="BZ133" s="2109">
        <f t="shared" si="162"/>
        <v>0</v>
      </c>
      <c r="CA133" s="2135"/>
      <c r="CB133" s="2135"/>
      <c r="CC133" s="2135"/>
      <c r="CD133" s="2135"/>
      <c r="CE133" s="2135"/>
      <c r="CF133" s="2149">
        <v>0</v>
      </c>
      <c r="CG133" s="2109"/>
      <c r="CH133" s="2109">
        <v>0</v>
      </c>
      <c r="CI133" s="2109">
        <v>0</v>
      </c>
      <c r="CJ133" s="2109">
        <f t="shared" si="163"/>
        <v>0</v>
      </c>
      <c r="CK133" s="2135"/>
      <c r="CL133" s="2135"/>
      <c r="CM133" s="2238"/>
      <c r="CN133" s="2135"/>
      <c r="CO133" s="2135"/>
      <c r="CP133" s="2149">
        <v>0</v>
      </c>
      <c r="CQ133" s="2109"/>
      <c r="CR133" s="2109">
        <v>0</v>
      </c>
      <c r="CS133" s="2109">
        <v>0</v>
      </c>
      <c r="CT133" s="2109">
        <f t="shared" si="164"/>
        <v>0</v>
      </c>
      <c r="CU133" s="2135"/>
      <c r="CV133" s="2135"/>
      <c r="CW133" s="2238"/>
      <c r="CX133" s="2135"/>
      <c r="CY133" s="2135"/>
      <c r="CZ133" s="2149">
        <v>0</v>
      </c>
      <c r="DA133" s="2109"/>
      <c r="DB133" s="2109">
        <v>0</v>
      </c>
      <c r="DC133" s="2109">
        <v>0</v>
      </c>
      <c r="DD133" s="2109">
        <f t="shared" si="165"/>
        <v>0</v>
      </c>
      <c r="DE133" s="2135"/>
      <c r="DF133" s="2135"/>
      <c r="DG133" s="2238"/>
      <c r="DH133" s="2135"/>
      <c r="DI133" s="2135"/>
      <c r="DJ133" s="2149">
        <v>0</v>
      </c>
      <c r="DK133" s="2109"/>
      <c r="DL133" s="2109">
        <v>0</v>
      </c>
      <c r="DM133" s="2109">
        <v>0</v>
      </c>
      <c r="DN133" s="2109">
        <f t="shared" si="166"/>
        <v>0</v>
      </c>
      <c r="DO133" s="2135"/>
      <c r="DP133" s="2135"/>
      <c r="DQ133" s="2238"/>
      <c r="DR133" s="2135"/>
      <c r="DS133" s="2135"/>
      <c r="DT133" s="2149">
        <v>0</v>
      </c>
      <c r="DU133" s="2109"/>
      <c r="DV133" s="2109">
        <v>0</v>
      </c>
      <c r="DW133" s="2109">
        <v>0</v>
      </c>
      <c r="DX133" s="2109">
        <f t="shared" si="167"/>
        <v>0</v>
      </c>
      <c r="DY133" s="2135"/>
      <c r="DZ133" s="2135"/>
      <c r="EA133" s="2135"/>
      <c r="EB133" s="2135"/>
      <c r="EC133" s="2135"/>
      <c r="ED133" s="2135"/>
      <c r="EE133" s="2107"/>
      <c r="EF133" s="2106"/>
      <c r="EG133" s="2106"/>
      <c r="EH133" s="2106"/>
      <c r="EI133" s="2106"/>
      <c r="EJ133" s="2106"/>
      <c r="EK133" s="2106"/>
      <c r="EL133" s="2106"/>
      <c r="EM133" s="2106"/>
      <c r="EN133" s="2106"/>
      <c r="EO133" s="1915"/>
      <c r="EP133" s="2223"/>
      <c r="EQ133" s="2224"/>
      <c r="ER133" s="2277"/>
      <c r="ES133" s="2209" t="e">
        <v>#N/A</v>
      </c>
      <c r="EU133" s="2230"/>
    </row>
    <row r="134" spans="1:159">
      <c r="A134" s="2220"/>
      <c r="B134" s="2145" t="s">
        <v>1745</v>
      </c>
      <c r="C134" s="2145"/>
      <c r="D134" s="2145"/>
      <c r="E134" s="2145"/>
      <c r="F134" s="2145"/>
      <c r="G134" s="1592"/>
      <c r="H134" s="2149"/>
      <c r="I134" s="2229"/>
      <c r="J134" s="2149"/>
      <c r="K134" s="2145"/>
      <c r="L134" s="2145"/>
      <c r="M134" s="2152"/>
      <c r="N134" s="2149">
        <v>0</v>
      </c>
      <c r="O134" s="2109"/>
      <c r="P134" s="2109">
        <v>0</v>
      </c>
      <c r="Q134" s="2109">
        <v>0</v>
      </c>
      <c r="R134" s="2109">
        <f t="shared" si="156"/>
        <v>0</v>
      </c>
      <c r="S134" s="2109"/>
      <c r="T134" s="2109"/>
      <c r="U134" s="2109"/>
      <c r="V134" s="2109"/>
      <c r="W134" s="2109"/>
      <c r="X134" s="2149">
        <v>0</v>
      </c>
      <c r="Y134" s="2109"/>
      <c r="Z134" s="2109">
        <v>0</v>
      </c>
      <c r="AA134" s="2109">
        <v>0</v>
      </c>
      <c r="AB134" s="2109">
        <f t="shared" si="157"/>
        <v>0</v>
      </c>
      <c r="AC134" s="2135"/>
      <c r="AD134" s="2135"/>
      <c r="AE134" s="2135"/>
      <c r="AF134" s="2135"/>
      <c r="AG134" s="2135"/>
      <c r="AH134" s="2149">
        <v>0</v>
      </c>
      <c r="AI134" s="2109"/>
      <c r="AJ134" s="2109">
        <v>0</v>
      </c>
      <c r="AK134" s="2109">
        <v>0</v>
      </c>
      <c r="AL134" s="2109">
        <f t="shared" si="158"/>
        <v>0</v>
      </c>
      <c r="AM134" s="2135"/>
      <c r="AN134" s="2135"/>
      <c r="AO134" s="2238"/>
      <c r="AP134" s="2135"/>
      <c r="AQ134" s="2135"/>
      <c r="AR134" s="2149">
        <v>0</v>
      </c>
      <c r="AS134" s="2109"/>
      <c r="AT134" s="2109">
        <v>0</v>
      </c>
      <c r="AU134" s="2109">
        <v>0</v>
      </c>
      <c r="AV134" s="2109">
        <f t="shared" si="159"/>
        <v>0</v>
      </c>
      <c r="AW134" s="2135"/>
      <c r="AX134" s="2135"/>
      <c r="AY134" s="2238"/>
      <c r="AZ134" s="2135"/>
      <c r="BA134" s="2135"/>
      <c r="BB134" s="2149">
        <v>0</v>
      </c>
      <c r="BC134" s="2109"/>
      <c r="BD134" s="2109">
        <v>0</v>
      </c>
      <c r="BE134" s="2109">
        <v>0</v>
      </c>
      <c r="BF134" s="2109">
        <f t="shared" si="160"/>
        <v>0</v>
      </c>
      <c r="BG134" s="2135"/>
      <c r="BH134" s="2135"/>
      <c r="BI134" s="2238"/>
      <c r="BJ134" s="2135"/>
      <c r="BK134" s="2135"/>
      <c r="BL134" s="2149">
        <v>0</v>
      </c>
      <c r="BM134" s="2109"/>
      <c r="BN134" s="2109">
        <v>0</v>
      </c>
      <c r="BO134" s="2109">
        <v>0</v>
      </c>
      <c r="BP134" s="2109">
        <f t="shared" si="161"/>
        <v>0</v>
      </c>
      <c r="BQ134" s="2135"/>
      <c r="BR134" s="2135"/>
      <c r="BS134" s="2135"/>
      <c r="BT134" s="2135"/>
      <c r="BU134" s="2135"/>
      <c r="BV134" s="2149">
        <v>0</v>
      </c>
      <c r="BW134" s="2109"/>
      <c r="BX134" s="2109">
        <v>0</v>
      </c>
      <c r="BY134" s="2109">
        <v>0</v>
      </c>
      <c r="BZ134" s="2109">
        <f t="shared" si="162"/>
        <v>0</v>
      </c>
      <c r="CA134" s="2135"/>
      <c r="CB134" s="2135"/>
      <c r="CC134" s="2135"/>
      <c r="CD134" s="2135"/>
      <c r="CE134" s="2135"/>
      <c r="CF134" s="2149">
        <v>0</v>
      </c>
      <c r="CG134" s="2109"/>
      <c r="CH134" s="2109">
        <v>0</v>
      </c>
      <c r="CI134" s="2109">
        <v>0</v>
      </c>
      <c r="CJ134" s="2109">
        <f t="shared" si="163"/>
        <v>0</v>
      </c>
      <c r="CK134" s="2135"/>
      <c r="CL134" s="2135"/>
      <c r="CM134" s="2238"/>
      <c r="CN134" s="2135"/>
      <c r="CO134" s="2135"/>
      <c r="CP134" s="2149">
        <v>0</v>
      </c>
      <c r="CQ134" s="2109"/>
      <c r="CR134" s="2109">
        <v>0</v>
      </c>
      <c r="CS134" s="2109">
        <v>0</v>
      </c>
      <c r="CT134" s="2109">
        <f t="shared" si="164"/>
        <v>0</v>
      </c>
      <c r="CU134" s="2135"/>
      <c r="CV134" s="2135"/>
      <c r="CW134" s="2238"/>
      <c r="CX134" s="2135"/>
      <c r="CY134" s="2135"/>
      <c r="CZ134" s="2149">
        <v>0</v>
      </c>
      <c r="DA134" s="2109"/>
      <c r="DB134" s="2109">
        <v>0</v>
      </c>
      <c r="DC134" s="2109">
        <v>0</v>
      </c>
      <c r="DD134" s="2109">
        <f t="shared" si="165"/>
        <v>0</v>
      </c>
      <c r="DE134" s="2135"/>
      <c r="DF134" s="2135"/>
      <c r="DG134" s="2238"/>
      <c r="DH134" s="2135"/>
      <c r="DI134" s="2135"/>
      <c r="DJ134" s="2149">
        <v>0</v>
      </c>
      <c r="DK134" s="2109"/>
      <c r="DL134" s="2109">
        <v>0</v>
      </c>
      <c r="DM134" s="2109">
        <v>0</v>
      </c>
      <c r="DN134" s="2109">
        <f t="shared" si="166"/>
        <v>0</v>
      </c>
      <c r="DO134" s="2135"/>
      <c r="DP134" s="2135"/>
      <c r="DQ134" s="2238"/>
      <c r="DR134" s="2135"/>
      <c r="DS134" s="2135"/>
      <c r="DT134" s="2149">
        <v>0</v>
      </c>
      <c r="DU134" s="2109"/>
      <c r="DV134" s="2109">
        <v>0</v>
      </c>
      <c r="DW134" s="2109">
        <v>0</v>
      </c>
      <c r="DX134" s="2109">
        <f t="shared" si="167"/>
        <v>0</v>
      </c>
      <c r="DY134" s="2135"/>
      <c r="DZ134" s="2135"/>
      <c r="EA134" s="2135"/>
      <c r="EB134" s="2135"/>
      <c r="EC134" s="2135"/>
      <c r="ED134" s="2135"/>
      <c r="EE134" s="2107"/>
      <c r="EF134" s="2106"/>
      <c r="EG134" s="2106"/>
      <c r="EH134" s="2106"/>
      <c r="EI134" s="2106"/>
      <c r="EJ134" s="2106"/>
      <c r="EK134" s="2106"/>
      <c r="EL134" s="2106"/>
      <c r="EM134" s="2106"/>
      <c r="EN134" s="2106"/>
      <c r="EO134" s="1915"/>
      <c r="EP134" s="2223"/>
      <c r="EQ134" s="2224"/>
      <c r="ER134" s="2277"/>
      <c r="ES134" s="2209" t="e">
        <v>#N/A</v>
      </c>
      <c r="EU134" s="2230"/>
    </row>
    <row r="135" spans="1:159">
      <c r="A135" s="2220">
        <v>1</v>
      </c>
      <c r="B135" s="2145" t="s">
        <v>1758</v>
      </c>
      <c r="C135" s="2146">
        <v>1020</v>
      </c>
      <c r="D135" s="2147">
        <f t="shared" ref="D135:D140" si="229">G135/C135</f>
        <v>4.3137254901960784E-2</v>
      </c>
      <c r="E135" s="2146"/>
      <c r="F135" s="2148">
        <v>0.33939899293961057</v>
      </c>
      <c r="G135" s="2146">
        <v>44</v>
      </c>
      <c r="H135" s="2149" t="s">
        <v>1717</v>
      </c>
      <c r="I135" s="2229">
        <v>1</v>
      </c>
      <c r="J135" s="2149">
        <v>133.82128677580644</v>
      </c>
      <c r="K135" s="2148">
        <v>3.4703846153846141E-2</v>
      </c>
      <c r="L135" s="2151"/>
      <c r="M135" s="2152">
        <f t="shared" ref="M135:M141" si="230">J135*(1-K135)*(1-L135)</f>
        <v>129.17717342742912</v>
      </c>
      <c r="N135" s="2149">
        <v>2.419308</v>
      </c>
      <c r="O135" s="2109">
        <f t="shared" ref="O135:O141" si="231">IFERROR(P135/N135*10,0)</f>
        <v>0</v>
      </c>
      <c r="P135" s="2109">
        <v>0</v>
      </c>
      <c r="Q135" s="2109">
        <v>2.2472640044518517</v>
      </c>
      <c r="R135" s="2109">
        <f t="shared" si="156"/>
        <v>0.54368237840824007</v>
      </c>
      <c r="S135" s="2109"/>
      <c r="T135" s="2109"/>
      <c r="U135" s="2109"/>
      <c r="V135" s="2109">
        <f t="shared" ref="V135:V141" si="232">IFERROR(W135/N135*10,0)</f>
        <v>2.2472640044518517</v>
      </c>
      <c r="W135" s="2109">
        <f t="shared" ref="W135:W141" si="233">P135+R135</f>
        <v>0.54368237840824007</v>
      </c>
      <c r="X135" s="2149">
        <v>8.3334870000000016</v>
      </c>
      <c r="Y135" s="2109">
        <f t="shared" ref="Y135:Y141" si="234">IFERROR(Z135/X135*10,0)</f>
        <v>0</v>
      </c>
      <c r="Z135" s="2109">
        <v>0</v>
      </c>
      <c r="AA135" s="2109">
        <v>2.2472640044518517</v>
      </c>
      <c r="AB135" s="2109">
        <f t="shared" si="157"/>
        <v>1.8727545366667453</v>
      </c>
      <c r="AC135" s="2135"/>
      <c r="AD135" s="2135"/>
      <c r="AE135" s="2135"/>
      <c r="AF135" s="2135">
        <f t="shared" ref="AF135:AF141" si="235">IFERROR(AG135/X135*10,0)</f>
        <v>2.2472640044518517</v>
      </c>
      <c r="AG135" s="2135">
        <f t="shared" ref="AG135:AG141" si="236">Z135+AB135</f>
        <v>1.8727545366667453</v>
      </c>
      <c r="AH135" s="2149">
        <v>15.575441249999999</v>
      </c>
      <c r="AI135" s="2109">
        <f t="shared" ref="AI135:AI141" si="237">IFERROR(AJ135/AH135*10,0)</f>
        <v>0</v>
      </c>
      <c r="AJ135" s="2109">
        <v>0</v>
      </c>
      <c r="AK135" s="2109">
        <v>2.2472640044518517</v>
      </c>
      <c r="AL135" s="2109">
        <f t="shared" si="158"/>
        <v>3.5002128474579548</v>
      </c>
      <c r="AM135" s="2135"/>
      <c r="AN135" s="2135"/>
      <c r="AO135" s="2135"/>
      <c r="AP135" s="2135">
        <f t="shared" ref="AP135:AP141" si="238">IFERROR(AQ135/AH135*10,0)</f>
        <v>2.2472640044518513</v>
      </c>
      <c r="AQ135" s="2135">
        <f t="shared" ref="AQ135:AQ141" si="239">AL135+AJ135</f>
        <v>3.5002128474579548</v>
      </c>
      <c r="AR135" s="2149">
        <v>28.972821500000002</v>
      </c>
      <c r="AS135" s="2109">
        <f t="shared" ref="AS135:AS141" si="240">IFERROR(AT135/AR135*10,0)</f>
        <v>0</v>
      </c>
      <c r="AT135" s="2109">
        <v>0</v>
      </c>
      <c r="AU135" s="2109">
        <v>2.2472640044518517</v>
      </c>
      <c r="AV135" s="2109">
        <f t="shared" si="159"/>
        <v>6.5109578864358708</v>
      </c>
      <c r="AW135" s="2135"/>
      <c r="AX135" s="2135"/>
      <c r="AY135" s="2135"/>
      <c r="AZ135" s="2135">
        <f t="shared" ref="AZ135:AZ141" si="241">IFERROR(BA135/AR135*10,0)</f>
        <v>2.2472640044518517</v>
      </c>
      <c r="BA135" s="2135">
        <f t="shared" ref="BA135:BA141" si="242">AV135+AT135</f>
        <v>6.5109578864358708</v>
      </c>
      <c r="BB135" s="2149">
        <v>29.261411249999995</v>
      </c>
      <c r="BC135" s="2109">
        <f t="shared" ref="BC135:BC141" si="243">IFERROR(BD135/BB135*10,0)</f>
        <v>0</v>
      </c>
      <c r="BD135" s="2109">
        <v>0</v>
      </c>
      <c r="BE135" s="2109">
        <v>2.2472640044518517</v>
      </c>
      <c r="BF135" s="2109">
        <f t="shared" si="160"/>
        <v>6.5758116221587457</v>
      </c>
      <c r="BG135" s="2135"/>
      <c r="BH135" s="2135"/>
      <c r="BI135" s="2135"/>
      <c r="BJ135" s="2135">
        <f t="shared" ref="BJ135:BJ141" si="244">IFERROR(BK135/BB135*10,0)</f>
        <v>2.2472640044518517</v>
      </c>
      <c r="BK135" s="2135">
        <f t="shared" ref="BK135:BK141" si="245">BF135+BD135</f>
        <v>6.5758116221587457</v>
      </c>
      <c r="BL135" s="2149">
        <v>25.633427225806454</v>
      </c>
      <c r="BM135" s="2109">
        <f t="shared" ref="BM135:BM141" si="246">IFERROR(BN135/BL135*10,0)</f>
        <v>0</v>
      </c>
      <c r="BN135" s="2109">
        <v>0</v>
      </c>
      <c r="BO135" s="2109">
        <v>2.2472640044518517</v>
      </c>
      <c r="BP135" s="2109">
        <f t="shared" si="161"/>
        <v>5.7605078315290932</v>
      </c>
      <c r="BQ135" s="2135"/>
      <c r="BR135" s="2135"/>
      <c r="BS135" s="2135"/>
      <c r="BT135" s="2135">
        <f t="shared" ref="BT135:BT141" si="247">IFERROR(BU135/BL135*10,0)</f>
        <v>2.2472640044518517</v>
      </c>
      <c r="BU135" s="2135">
        <f t="shared" ref="BU135:BU141" si="248">BP135+BN135</f>
        <v>5.7605078315290932</v>
      </c>
      <c r="BV135" s="2149">
        <v>15.294475599999998</v>
      </c>
      <c r="BW135" s="2109">
        <f t="shared" ref="BW135:BW141" si="249">IFERROR(BX135/BV135*10,0)</f>
        <v>0</v>
      </c>
      <c r="BX135" s="2109">
        <v>0</v>
      </c>
      <c r="BY135" s="2109">
        <v>2.2472640044518517</v>
      </c>
      <c r="BZ135" s="2109">
        <f t="shared" si="162"/>
        <v>3.437072448284713</v>
      </c>
      <c r="CA135" s="2135"/>
      <c r="CB135" s="2135"/>
      <c r="CC135" s="2135"/>
      <c r="CD135" s="2135">
        <f t="shared" ref="CD135:CD141" si="250">IFERROR(CE135/BV135*10,0)</f>
        <v>2.2472640044518517</v>
      </c>
      <c r="CE135" s="2135">
        <f t="shared" ref="CE135:CE141" si="251">BZ135+BX135</f>
        <v>3.437072448284713</v>
      </c>
      <c r="CF135" s="2149">
        <v>5.3194472500000005</v>
      </c>
      <c r="CG135" s="2109">
        <f t="shared" ref="CG135:CG141" si="252">IFERROR(CH135/CF135*10,0)</f>
        <v>0</v>
      </c>
      <c r="CH135" s="2109">
        <v>0</v>
      </c>
      <c r="CI135" s="2109">
        <v>2.2472640044518517</v>
      </c>
      <c r="CJ135" s="2109">
        <f t="shared" si="163"/>
        <v>1.1954202328505392</v>
      </c>
      <c r="CK135" s="2135"/>
      <c r="CL135" s="2135"/>
      <c r="CM135" s="2135"/>
      <c r="CN135" s="2135">
        <f t="shared" ref="CN135:CN141" si="253">IFERROR(CO135/CF135*10,0)</f>
        <v>2.2472640044518517</v>
      </c>
      <c r="CO135" s="2135">
        <f t="shared" ref="CO135:CO141" si="254">CJ135+CH135</f>
        <v>1.1954202328505392</v>
      </c>
      <c r="CP135" s="2149">
        <v>1.6369801999999998</v>
      </c>
      <c r="CQ135" s="2109">
        <f t="shared" ref="CQ135:CQ141" si="255">IFERROR(CR135/CP135*10,0)</f>
        <v>0</v>
      </c>
      <c r="CR135" s="2109">
        <v>0</v>
      </c>
      <c r="CS135" s="2109">
        <v>2.2472640044518517</v>
      </c>
      <c r="CT135" s="2109">
        <f t="shared" si="164"/>
        <v>0.36787266794603923</v>
      </c>
      <c r="CU135" s="2135"/>
      <c r="CV135" s="2135"/>
      <c r="CW135" s="2135"/>
      <c r="CX135" s="2135">
        <f t="shared" ref="CX135:CX141" si="256">IFERROR(CY135/CP135*10,0)</f>
        <v>2.2472640044518517</v>
      </c>
      <c r="CY135" s="2135">
        <f t="shared" ref="CY135:CY141" si="257">CT135+CR135</f>
        <v>0.36787266794603923</v>
      </c>
      <c r="CZ135" s="2149">
        <v>0.70701699999999978</v>
      </c>
      <c r="DA135" s="2109">
        <f t="shared" ref="DA135:DA141" si="258">IFERROR(DB135/CZ135*10,0)</f>
        <v>0</v>
      </c>
      <c r="DB135" s="2109">
        <v>0</v>
      </c>
      <c r="DC135" s="2109">
        <v>2.2472640044518517</v>
      </c>
      <c r="DD135" s="2109">
        <f t="shared" si="165"/>
        <v>0.15888538546355344</v>
      </c>
      <c r="DE135" s="2135"/>
      <c r="DF135" s="2135"/>
      <c r="DG135" s="2135"/>
      <c r="DH135" s="2135">
        <f t="shared" ref="DH135:DH141" si="259">IFERROR(DI135/CZ135*10,0)</f>
        <v>2.2472640044518517</v>
      </c>
      <c r="DI135" s="2135">
        <f t="shared" ref="DI135:DI141" si="260">DD135+DB135</f>
        <v>0.15888538546355344</v>
      </c>
      <c r="DJ135" s="2149">
        <v>5.4805000000000006E-2</v>
      </c>
      <c r="DK135" s="2109">
        <f t="shared" ref="DK135:DK141" si="261">IFERROR(DL135/DJ135*10,0)</f>
        <v>0</v>
      </c>
      <c r="DL135" s="2109">
        <v>0</v>
      </c>
      <c r="DM135" s="2109">
        <v>2.2472640044518517</v>
      </c>
      <c r="DN135" s="2109">
        <f t="shared" si="166"/>
        <v>1.2316130376398376E-2</v>
      </c>
      <c r="DO135" s="2135"/>
      <c r="DP135" s="2135"/>
      <c r="DQ135" s="2135"/>
      <c r="DR135" s="2135">
        <f t="shared" ref="DR135:DR141" si="262">IFERROR(DS135/DJ135*10,0)</f>
        <v>2.2472640044518517</v>
      </c>
      <c r="DS135" s="2135">
        <f t="shared" ref="DS135:DS141" si="263">DN135+DL135</f>
        <v>1.2316130376398376E-2</v>
      </c>
      <c r="DT135" s="2149">
        <v>0.61266549999999997</v>
      </c>
      <c r="DU135" s="2109">
        <f t="shared" ref="DU135:DU141" si="264">IFERROR(DV135/DT135*10,0)</f>
        <v>0</v>
      </c>
      <c r="DV135" s="2109">
        <v>0</v>
      </c>
      <c r="DW135" s="2109">
        <v>2.2472640044518517</v>
      </c>
      <c r="DX135" s="2109">
        <f t="shared" si="167"/>
        <v>0.13768211249194959</v>
      </c>
      <c r="DY135" s="2135"/>
      <c r="DZ135" s="2135"/>
      <c r="EA135" s="2135"/>
      <c r="EB135" s="2135">
        <f t="shared" ref="EB135:EB141" si="265">IFERROR(EC135/DT135*10,0)</f>
        <v>2.2472640044518517</v>
      </c>
      <c r="EC135" s="2135">
        <f t="shared" ref="EC135:EC141" si="266">DX135+DV135</f>
        <v>0.13768211249194959</v>
      </c>
      <c r="ED135" s="2135"/>
      <c r="EE135" s="2106">
        <f t="shared" ref="EE135:EE141" si="267">SUM(N135,X135,AH135,AR135,BB135,BL135,BV135,CF135,CP135,CZ135,DJ135,DT135)</f>
        <v>133.82128677580644</v>
      </c>
      <c r="EF135" s="2106">
        <f t="shared" ref="EF135:EF141" si="268">IFERROR((EG135/EE135)*10,0)</f>
        <v>0</v>
      </c>
      <c r="EG135" s="2106">
        <f t="shared" ref="EG135:EG141" si="269">SUM(P135,Z135,AJ135,AT135,BD135,BN135,BX135,CR135,CH135,DB135,DL135,DV135)</f>
        <v>0</v>
      </c>
      <c r="EH135" s="2106">
        <f t="shared" ref="EH135:EH141" si="270">IFERROR((EI135/EE135)*10,0)</f>
        <v>2.2472640044518513</v>
      </c>
      <c r="EI135" s="2106">
        <f t="shared" ref="EI135:EI141" si="271">SUM(R135,AB135,AL135,AV135,BF135,BP135,BZ135,CJ135,CT135,DD135,DN135,DX135)</f>
        <v>30.073176080069835</v>
      </c>
      <c r="EJ135" s="2106"/>
      <c r="EK135" s="2106"/>
      <c r="EL135" s="2106"/>
      <c r="EM135" s="2106">
        <f t="shared" ref="EM135:EM141" si="272">IFERROR(EN135/EE135*10,0)</f>
        <v>2.2472640044518513</v>
      </c>
      <c r="EN135" s="2106">
        <f t="shared" ref="EN135:EN141" si="273">EG135+EI135</f>
        <v>30.073176080069835</v>
      </c>
      <c r="EO135" s="2106"/>
      <c r="EP135" s="2114"/>
      <c r="EQ135" s="2224"/>
      <c r="ER135" s="2277"/>
      <c r="ES135" s="2209" t="e">
        <v>#N/A</v>
      </c>
      <c r="EU135" s="2230"/>
    </row>
    <row r="136" spans="1:159">
      <c r="A136" s="2220">
        <v>2</v>
      </c>
      <c r="B136" s="2145" t="s">
        <v>1759</v>
      </c>
      <c r="C136" s="2146">
        <v>400</v>
      </c>
      <c r="D136" s="2147">
        <f t="shared" si="229"/>
        <v>0.88</v>
      </c>
      <c r="E136" s="2146"/>
      <c r="F136" s="2148">
        <v>0.5597282910103506</v>
      </c>
      <c r="G136" s="2146">
        <v>352</v>
      </c>
      <c r="H136" s="2149" t="s">
        <v>1717</v>
      </c>
      <c r="I136" s="2229">
        <v>2</v>
      </c>
      <c r="J136" s="2149">
        <v>1551.6143259499997</v>
      </c>
      <c r="K136" s="2148">
        <v>3.4703846153846141E-2</v>
      </c>
      <c r="L136" s="2151"/>
      <c r="M136" s="2152">
        <f t="shared" si="230"/>
        <v>1497.7673410921273</v>
      </c>
      <c r="N136" s="2149">
        <v>72.310436199999998</v>
      </c>
      <c r="O136" s="2109">
        <f t="shared" si="231"/>
        <v>0.28304088698057106</v>
      </c>
      <c r="P136" s="2109">
        <v>2.0466809999999995</v>
      </c>
      <c r="Q136" s="2109">
        <v>1.0732726090733611</v>
      </c>
      <c r="R136" s="2109">
        <f t="shared" si="156"/>
        <v>7.7608810523606824</v>
      </c>
      <c r="S136" s="2109"/>
      <c r="T136" s="2109"/>
      <c r="U136" s="2109"/>
      <c r="V136" s="2109">
        <f t="shared" si="232"/>
        <v>1.3563134960539323</v>
      </c>
      <c r="W136" s="2109">
        <f t="shared" si="233"/>
        <v>9.8075620523606819</v>
      </c>
      <c r="X136" s="2149">
        <v>162.96428299999997</v>
      </c>
      <c r="Y136" s="2109">
        <f t="shared" si="234"/>
        <v>0.12559077132257257</v>
      </c>
      <c r="Z136" s="2109">
        <v>2.0466809999999995</v>
      </c>
      <c r="AA136" s="2109">
        <v>1.0732726090733611</v>
      </c>
      <c r="AB136" s="2109">
        <f t="shared" si="157"/>
        <v>17.490510120117953</v>
      </c>
      <c r="AC136" s="2135"/>
      <c r="AD136" s="2135"/>
      <c r="AE136" s="2135"/>
      <c r="AF136" s="2135">
        <f t="shared" si="235"/>
        <v>1.1988633803959334</v>
      </c>
      <c r="AG136" s="2135">
        <f t="shared" si="236"/>
        <v>19.537191120117953</v>
      </c>
      <c r="AH136" s="2149">
        <v>226.95552000000001</v>
      </c>
      <c r="AI136" s="2109">
        <f t="shared" si="237"/>
        <v>9.017982906959035E-2</v>
      </c>
      <c r="AJ136" s="2109">
        <v>2.0466809999999995</v>
      </c>
      <c r="AK136" s="2109">
        <v>1.0732726090733611</v>
      </c>
      <c r="AL136" s="2109">
        <f t="shared" si="158"/>
        <v>24.358514309400139</v>
      </c>
      <c r="AM136" s="2135"/>
      <c r="AN136" s="2135"/>
      <c r="AO136" s="2135"/>
      <c r="AP136" s="2135">
        <f t="shared" si="238"/>
        <v>1.1634524381429514</v>
      </c>
      <c r="AQ136" s="2135">
        <f t="shared" si="239"/>
        <v>26.405195309400138</v>
      </c>
      <c r="AR136" s="2149">
        <v>234.52070399999999</v>
      </c>
      <c r="AS136" s="2109">
        <f t="shared" si="240"/>
        <v>8.7270802325410013E-2</v>
      </c>
      <c r="AT136" s="2109">
        <v>2.0466809999999995</v>
      </c>
      <c r="AU136" s="2109">
        <v>1.0732726090733611</v>
      </c>
      <c r="AV136" s="2109">
        <f t="shared" si="159"/>
        <v>25.170464786380144</v>
      </c>
      <c r="AW136" s="2135"/>
      <c r="AX136" s="2135"/>
      <c r="AY136" s="2135"/>
      <c r="AZ136" s="2135">
        <f t="shared" si="241"/>
        <v>1.1605434113987712</v>
      </c>
      <c r="BA136" s="2135">
        <f t="shared" si="242"/>
        <v>27.217145786380144</v>
      </c>
      <c r="BB136" s="2149">
        <v>234.52070399999999</v>
      </c>
      <c r="BC136" s="2109">
        <f t="shared" si="243"/>
        <v>8.7270802325410013E-2</v>
      </c>
      <c r="BD136" s="2109">
        <v>2.0466809999999995</v>
      </c>
      <c r="BE136" s="2109">
        <v>1.0732726090733611</v>
      </c>
      <c r="BF136" s="2109">
        <f t="shared" si="160"/>
        <v>25.170464786380144</v>
      </c>
      <c r="BG136" s="2135"/>
      <c r="BH136" s="2135"/>
      <c r="BI136" s="2135"/>
      <c r="BJ136" s="2135">
        <f t="shared" si="244"/>
        <v>1.1605434113987712</v>
      </c>
      <c r="BK136" s="2135">
        <f t="shared" si="245"/>
        <v>27.217145786380144</v>
      </c>
      <c r="BL136" s="2149">
        <v>226.95552000000001</v>
      </c>
      <c r="BM136" s="2109">
        <f t="shared" si="246"/>
        <v>9.017982906959035E-2</v>
      </c>
      <c r="BN136" s="2109">
        <v>2.0466809999999995</v>
      </c>
      <c r="BO136" s="2109">
        <v>1.0732726090733611</v>
      </c>
      <c r="BP136" s="2109">
        <f t="shared" si="161"/>
        <v>24.358514309400139</v>
      </c>
      <c r="BQ136" s="2135"/>
      <c r="BR136" s="2135"/>
      <c r="BS136" s="2135"/>
      <c r="BT136" s="2135">
        <f t="shared" si="247"/>
        <v>1.1634524381429514</v>
      </c>
      <c r="BU136" s="2135">
        <f t="shared" si="248"/>
        <v>26.405195309400138</v>
      </c>
      <c r="BV136" s="2149">
        <v>144.73001675000003</v>
      </c>
      <c r="BW136" s="2109">
        <f t="shared" si="249"/>
        <v>0.14141371955586396</v>
      </c>
      <c r="BX136" s="2109">
        <v>2.0466809999999995</v>
      </c>
      <c r="BY136" s="2109">
        <v>1.0732726090733611</v>
      </c>
      <c r="BZ136" s="2109">
        <f t="shared" si="162"/>
        <v>15.533476268850379</v>
      </c>
      <c r="CA136" s="2135"/>
      <c r="CB136" s="2135"/>
      <c r="CC136" s="2135"/>
      <c r="CD136" s="2135">
        <f t="shared" si="250"/>
        <v>1.2146863286292251</v>
      </c>
      <c r="CE136" s="2135">
        <f t="shared" si="251"/>
        <v>17.580157268850378</v>
      </c>
      <c r="CF136" s="2149">
        <v>71.637567000000004</v>
      </c>
      <c r="CG136" s="2109">
        <f t="shared" si="252"/>
        <v>0.28569940126526067</v>
      </c>
      <c r="CH136" s="2109">
        <v>2.0466809999999995</v>
      </c>
      <c r="CI136" s="2109">
        <v>1.0732726090733611</v>
      </c>
      <c r="CJ136" s="2109">
        <f t="shared" si="163"/>
        <v>7.6886638441757711</v>
      </c>
      <c r="CK136" s="2135"/>
      <c r="CL136" s="2135"/>
      <c r="CM136" s="2135"/>
      <c r="CN136" s="2135">
        <f t="shared" si="253"/>
        <v>1.3589720103386216</v>
      </c>
      <c r="CO136" s="2135">
        <f t="shared" si="254"/>
        <v>9.7353448441757706</v>
      </c>
      <c r="CP136" s="2149">
        <v>53.752574599999996</v>
      </c>
      <c r="CQ136" s="2109">
        <f t="shared" si="255"/>
        <v>0.38075962225630761</v>
      </c>
      <c r="CR136" s="2109">
        <v>2.0466809999999995</v>
      </c>
      <c r="CS136" s="2109">
        <v>1.0732726090733611</v>
      </c>
      <c r="CT136" s="2109">
        <f t="shared" si="164"/>
        <v>5.7691165985352475</v>
      </c>
      <c r="CU136" s="2135"/>
      <c r="CV136" s="2135"/>
      <c r="CW136" s="2135"/>
      <c r="CX136" s="2135">
        <f t="shared" si="256"/>
        <v>1.454032231329669</v>
      </c>
      <c r="CY136" s="2135">
        <f t="shared" si="257"/>
        <v>7.815797598535247</v>
      </c>
      <c r="CZ136" s="2149">
        <v>44.904639200000013</v>
      </c>
      <c r="DA136" s="2109">
        <f t="shared" si="258"/>
        <v>0.45578386475489124</v>
      </c>
      <c r="DB136" s="2109">
        <v>2.0466809999999995</v>
      </c>
      <c r="DC136" s="2109">
        <v>1.0732726090733611</v>
      </c>
      <c r="DD136" s="2109">
        <f t="shared" si="165"/>
        <v>4.819491927368194</v>
      </c>
      <c r="DE136" s="2135"/>
      <c r="DF136" s="2135"/>
      <c r="DG136" s="2135"/>
      <c r="DH136" s="2135">
        <f t="shared" si="259"/>
        <v>1.5290564738282524</v>
      </c>
      <c r="DI136" s="2135">
        <f t="shared" si="260"/>
        <v>6.8661729273681935</v>
      </c>
      <c r="DJ136" s="2149">
        <v>30.373666800000006</v>
      </c>
      <c r="DK136" s="2109">
        <f t="shared" si="261"/>
        <v>0.67383401993466241</v>
      </c>
      <c r="DL136" s="2109">
        <v>2.0466809999999995</v>
      </c>
      <c r="DM136" s="2109">
        <v>1.0732726090733611</v>
      </c>
      <c r="DN136" s="2109">
        <f t="shared" si="166"/>
        <v>3.2599224613560933</v>
      </c>
      <c r="DO136" s="2135"/>
      <c r="DP136" s="2135"/>
      <c r="DQ136" s="2135"/>
      <c r="DR136" s="2135">
        <f t="shared" si="262"/>
        <v>1.7471066290080235</v>
      </c>
      <c r="DS136" s="2135">
        <f t="shared" si="263"/>
        <v>5.3066034613560928</v>
      </c>
      <c r="DT136" s="2149">
        <v>47.9886944</v>
      </c>
      <c r="DU136" s="2109">
        <f t="shared" si="264"/>
        <v>0.42649232815969246</v>
      </c>
      <c r="DV136" s="2109">
        <v>2.0466809999999995</v>
      </c>
      <c r="DW136" s="2109">
        <v>1.0732726090733611</v>
      </c>
      <c r="DX136" s="2109">
        <f t="shared" si="167"/>
        <v>5.1504951244712194</v>
      </c>
      <c r="DY136" s="2135"/>
      <c r="DZ136" s="2135"/>
      <c r="EA136" s="2135"/>
      <c r="EB136" s="2135">
        <f t="shared" si="265"/>
        <v>1.4997649372330535</v>
      </c>
      <c r="EC136" s="2135">
        <f t="shared" si="266"/>
        <v>7.1971761244712189</v>
      </c>
      <c r="ED136" s="2135"/>
      <c r="EE136" s="2106">
        <f t="shared" si="267"/>
        <v>1551.6143259499997</v>
      </c>
      <c r="EF136" s="2106">
        <f t="shared" si="268"/>
        <v>0.15828786567153311</v>
      </c>
      <c r="EG136" s="2106">
        <f t="shared" si="269"/>
        <v>24.560171999999994</v>
      </c>
      <c r="EH136" s="2106">
        <f t="shared" si="270"/>
        <v>1.0732726090733613</v>
      </c>
      <c r="EI136" s="2106">
        <f t="shared" si="271"/>
        <v>166.53051558879611</v>
      </c>
      <c r="EJ136" s="2106"/>
      <c r="EK136" s="2106"/>
      <c r="EL136" s="2106"/>
      <c r="EM136" s="2106">
        <f t="shared" si="272"/>
        <v>1.2315604747448945</v>
      </c>
      <c r="EN136" s="2106">
        <f t="shared" si="273"/>
        <v>191.0906875887961</v>
      </c>
      <c r="EO136" s="2106">
        <f t="shared" ref="EO136:EO141" si="274">EN136/J136*10</f>
        <v>1.2315604747448945</v>
      </c>
      <c r="EP136" s="2114">
        <f t="shared" ref="EP136:EP141" si="275">EN136/M136*10</f>
        <v>1.275836923039452</v>
      </c>
      <c r="EQ136" s="2224"/>
      <c r="ER136" s="2277"/>
      <c r="ES136" s="2209" t="e">
        <v>#N/A</v>
      </c>
      <c r="EU136" s="2230"/>
    </row>
    <row r="137" spans="1:159">
      <c r="A137" s="2220">
        <v>3</v>
      </c>
      <c r="B137" s="2145" t="s">
        <v>1760</v>
      </c>
      <c r="C137" s="2146">
        <v>1000</v>
      </c>
      <c r="D137" s="2147">
        <f t="shared" si="229"/>
        <v>0.2</v>
      </c>
      <c r="E137" s="2146"/>
      <c r="F137" s="2148">
        <v>0.46970400589983236</v>
      </c>
      <c r="G137" s="2146">
        <v>200</v>
      </c>
      <c r="H137" s="2149" t="s">
        <v>1717</v>
      </c>
      <c r="I137" s="2229">
        <v>1</v>
      </c>
      <c r="J137" s="2149">
        <v>800.53265424193546</v>
      </c>
      <c r="K137" s="2148">
        <v>3.4703846153846141E-2</v>
      </c>
      <c r="L137" s="2151"/>
      <c r="M137" s="2152">
        <f t="shared" si="230"/>
        <v>772.75109216799319</v>
      </c>
      <c r="N137" s="2149">
        <v>43.383337399999995</v>
      </c>
      <c r="O137" s="2109">
        <f t="shared" si="231"/>
        <v>3.8945457387748146</v>
      </c>
      <c r="P137" s="2109">
        <v>16.895839180500001</v>
      </c>
      <c r="Q137" s="2109">
        <v>1.3949000048711599</v>
      </c>
      <c r="R137" s="2109">
        <f t="shared" si="156"/>
        <v>6.0515417550587163</v>
      </c>
      <c r="S137" s="2109"/>
      <c r="T137" s="2109"/>
      <c r="U137" s="2109"/>
      <c r="V137" s="2109">
        <f t="shared" si="232"/>
        <v>5.2894457436459739</v>
      </c>
      <c r="W137" s="2109">
        <f t="shared" si="233"/>
        <v>22.947380935558719</v>
      </c>
      <c r="X137" s="2149">
        <v>80.885607800000017</v>
      </c>
      <c r="Y137" s="2109">
        <f t="shared" si="234"/>
        <v>2.0888560573442336</v>
      </c>
      <c r="Z137" s="2109">
        <v>16.895839180500001</v>
      </c>
      <c r="AA137" s="2109">
        <v>1.3949000048711599</v>
      </c>
      <c r="AB137" s="2109">
        <f t="shared" si="157"/>
        <v>11.282733471422675</v>
      </c>
      <c r="AC137" s="2135"/>
      <c r="AD137" s="2135"/>
      <c r="AE137" s="2135"/>
      <c r="AF137" s="2135">
        <f t="shared" si="235"/>
        <v>3.4837560622153934</v>
      </c>
      <c r="AG137" s="2135">
        <f t="shared" si="236"/>
        <v>28.178572651922678</v>
      </c>
      <c r="AH137" s="2149">
        <v>135.9988606</v>
      </c>
      <c r="AI137" s="2109">
        <f t="shared" si="237"/>
        <v>1.2423515245612287</v>
      </c>
      <c r="AJ137" s="2109">
        <v>16.895839180500001</v>
      </c>
      <c r="AK137" s="2109">
        <v>1.3949000048711599</v>
      </c>
      <c r="AL137" s="2109">
        <f t="shared" si="158"/>
        <v>18.97048113134122</v>
      </c>
      <c r="AM137" s="2135"/>
      <c r="AN137" s="2135"/>
      <c r="AO137" s="2135"/>
      <c r="AP137" s="2135">
        <f t="shared" si="238"/>
        <v>2.6372515294323886</v>
      </c>
      <c r="AQ137" s="2135">
        <f t="shared" si="239"/>
        <v>35.866320311841221</v>
      </c>
      <c r="AR137" s="2149">
        <v>132.31296</v>
      </c>
      <c r="AS137" s="2109">
        <f t="shared" si="240"/>
        <v>1.2769602600153453</v>
      </c>
      <c r="AT137" s="2109">
        <v>16.895839180500001</v>
      </c>
      <c r="AU137" s="2109">
        <v>1.3949000048711599</v>
      </c>
      <c r="AV137" s="2109">
        <f t="shared" si="159"/>
        <v>18.456334854851761</v>
      </c>
      <c r="AW137" s="2135"/>
      <c r="AX137" s="2135"/>
      <c r="AY137" s="2135"/>
      <c r="AZ137" s="2135">
        <f t="shared" si="241"/>
        <v>2.6718602648865057</v>
      </c>
      <c r="BA137" s="2135">
        <f t="shared" si="242"/>
        <v>35.352174035351766</v>
      </c>
      <c r="BB137" s="2149">
        <v>132.31296</v>
      </c>
      <c r="BC137" s="2109">
        <f t="shared" si="243"/>
        <v>1.2769602600153453</v>
      </c>
      <c r="BD137" s="2109">
        <v>16.895839180500001</v>
      </c>
      <c r="BE137" s="2109">
        <v>1.3949000048711599</v>
      </c>
      <c r="BF137" s="2109">
        <f t="shared" si="160"/>
        <v>18.456334854851761</v>
      </c>
      <c r="BG137" s="2135"/>
      <c r="BH137" s="2135"/>
      <c r="BI137" s="2135"/>
      <c r="BJ137" s="2135">
        <f t="shared" si="244"/>
        <v>2.6718602648865057</v>
      </c>
      <c r="BK137" s="2135">
        <f t="shared" si="245"/>
        <v>35.352174035351766</v>
      </c>
      <c r="BL137" s="2149">
        <v>106.81130574193548</v>
      </c>
      <c r="BM137" s="2109">
        <f t="shared" si="246"/>
        <v>1.5818399618970747</v>
      </c>
      <c r="BN137" s="2109">
        <v>16.895839180500001</v>
      </c>
      <c r="BO137" s="2109">
        <v>1.3949000048711599</v>
      </c>
      <c r="BP137" s="2109">
        <f t="shared" si="161"/>
        <v>14.899109089972077</v>
      </c>
      <c r="BQ137" s="2135"/>
      <c r="BR137" s="2135"/>
      <c r="BS137" s="2135"/>
      <c r="BT137" s="2135">
        <f t="shared" si="247"/>
        <v>2.9767399667682342</v>
      </c>
      <c r="BU137" s="2135">
        <f t="shared" si="248"/>
        <v>31.794948270472077</v>
      </c>
      <c r="BV137" s="2149">
        <v>49.665319499999995</v>
      </c>
      <c r="BW137" s="2109">
        <f t="shared" si="249"/>
        <v>3.4019390896096025</v>
      </c>
      <c r="BX137" s="2109">
        <v>16.895839180500001</v>
      </c>
      <c r="BY137" s="2109">
        <v>1.3949000048711599</v>
      </c>
      <c r="BZ137" s="2109">
        <f t="shared" si="162"/>
        <v>6.9278154412477706</v>
      </c>
      <c r="CA137" s="2135"/>
      <c r="CB137" s="2135"/>
      <c r="CC137" s="2135"/>
      <c r="CD137" s="2135">
        <f t="shared" si="250"/>
        <v>4.7968390944807622</v>
      </c>
      <c r="CE137" s="2135">
        <f t="shared" si="251"/>
        <v>23.823654621747771</v>
      </c>
      <c r="CF137" s="2149">
        <v>30.653475200000006</v>
      </c>
      <c r="CG137" s="2109">
        <f t="shared" si="252"/>
        <v>5.5118837489916963</v>
      </c>
      <c r="CH137" s="2109">
        <v>16.895839180500001</v>
      </c>
      <c r="CI137" s="2109">
        <v>1.3949000048711599</v>
      </c>
      <c r="CJ137" s="2109">
        <f t="shared" si="163"/>
        <v>4.2758532705797991</v>
      </c>
      <c r="CK137" s="2135"/>
      <c r="CL137" s="2135"/>
      <c r="CM137" s="2135"/>
      <c r="CN137" s="2135">
        <f t="shared" si="253"/>
        <v>6.9067837538628565</v>
      </c>
      <c r="CO137" s="2135">
        <f t="shared" si="254"/>
        <v>21.171692451079799</v>
      </c>
      <c r="CP137" s="2149">
        <v>24.225933400000006</v>
      </c>
      <c r="CQ137" s="2109">
        <f t="shared" si="255"/>
        <v>6.9742778953152733</v>
      </c>
      <c r="CR137" s="2109">
        <v>16.895839180500001</v>
      </c>
      <c r="CS137" s="2109">
        <v>1.3949000048711599</v>
      </c>
      <c r="CT137" s="2109">
        <f t="shared" si="164"/>
        <v>3.3792754617668406</v>
      </c>
      <c r="CU137" s="2135"/>
      <c r="CV137" s="2135"/>
      <c r="CW137" s="2135"/>
      <c r="CX137" s="2135">
        <f t="shared" si="256"/>
        <v>8.3691779001864326</v>
      </c>
      <c r="CY137" s="2135">
        <f t="shared" si="257"/>
        <v>20.275114642266843</v>
      </c>
      <c r="CZ137" s="2149">
        <v>21.977551600000002</v>
      </c>
      <c r="DA137" s="2109">
        <f t="shared" si="258"/>
        <v>7.6877713623477515</v>
      </c>
      <c r="DB137" s="2109">
        <v>16.895839180500001</v>
      </c>
      <c r="DC137" s="2109">
        <v>1.3949000048711599</v>
      </c>
      <c r="DD137" s="2109">
        <f t="shared" si="165"/>
        <v>3.0656486833896173</v>
      </c>
      <c r="DE137" s="2135"/>
      <c r="DF137" s="2135"/>
      <c r="DG137" s="2135"/>
      <c r="DH137" s="2135">
        <f t="shared" si="259"/>
        <v>9.0826713672189126</v>
      </c>
      <c r="DI137" s="2135">
        <f t="shared" si="260"/>
        <v>19.961487863889619</v>
      </c>
      <c r="DJ137" s="2149">
        <v>19.209452600000009</v>
      </c>
      <c r="DK137" s="2109">
        <f t="shared" si="261"/>
        <v>8.7955859713045612</v>
      </c>
      <c r="DL137" s="2109">
        <v>16.895839180500001</v>
      </c>
      <c r="DM137" s="2109">
        <v>1.3949000048711599</v>
      </c>
      <c r="DN137" s="2109">
        <f t="shared" si="166"/>
        <v>2.6795265525312328</v>
      </c>
      <c r="DO137" s="2135"/>
      <c r="DP137" s="2135"/>
      <c r="DQ137" s="2135"/>
      <c r="DR137" s="2135">
        <f t="shared" si="262"/>
        <v>10.19048597617572</v>
      </c>
      <c r="DS137" s="2135">
        <f t="shared" si="263"/>
        <v>19.575365733031234</v>
      </c>
      <c r="DT137" s="2149">
        <v>23.095890400000005</v>
      </c>
      <c r="DU137" s="2109">
        <f t="shared" si="264"/>
        <v>7.3155175608644196</v>
      </c>
      <c r="DV137" s="2109">
        <v>16.895839180500001</v>
      </c>
      <c r="DW137" s="2109">
        <v>1.3949000048711599</v>
      </c>
      <c r="DX137" s="2109">
        <f t="shared" si="167"/>
        <v>3.2216457631463782</v>
      </c>
      <c r="DY137" s="2135"/>
      <c r="DZ137" s="2135"/>
      <c r="EA137" s="2135"/>
      <c r="EB137" s="2135">
        <f t="shared" si="265"/>
        <v>8.7104175657355789</v>
      </c>
      <c r="EC137" s="2135">
        <f t="shared" si="266"/>
        <v>20.117484943646378</v>
      </c>
      <c r="ED137" s="2135"/>
      <c r="EE137" s="2106">
        <f t="shared" si="267"/>
        <v>800.53265424193546</v>
      </c>
      <c r="EF137" s="2106">
        <f t="shared" si="268"/>
        <v>2.5326895672731076</v>
      </c>
      <c r="EG137" s="2106">
        <f t="shared" si="269"/>
        <v>202.75007016599997</v>
      </c>
      <c r="EH137" s="2106">
        <f t="shared" si="270"/>
        <v>1.3949000048711599</v>
      </c>
      <c r="EI137" s="2106">
        <f t="shared" si="271"/>
        <v>111.66630033015984</v>
      </c>
      <c r="EJ137" s="2106"/>
      <c r="EK137" s="2106"/>
      <c r="EL137" s="2106"/>
      <c r="EM137" s="2106">
        <f t="shared" si="272"/>
        <v>3.9275895721442673</v>
      </c>
      <c r="EN137" s="2106">
        <f t="shared" si="273"/>
        <v>314.4163704961598</v>
      </c>
      <c r="EO137" s="2106">
        <f t="shared" si="274"/>
        <v>3.9275895721442673</v>
      </c>
      <c r="EP137" s="2114">
        <f t="shared" si="275"/>
        <v>4.0687923146643303</v>
      </c>
      <c r="EQ137" s="2224"/>
      <c r="ER137" s="2277"/>
      <c r="ES137" s="2209" t="e">
        <v>#N/A</v>
      </c>
      <c r="EU137" s="2230"/>
    </row>
    <row r="138" spans="1:159">
      <c r="A138" s="2220">
        <v>4</v>
      </c>
      <c r="B138" s="2145" t="s">
        <v>1761</v>
      </c>
      <c r="C138" s="2146">
        <v>1200</v>
      </c>
      <c r="D138" s="2147">
        <f t="shared" si="229"/>
        <v>0.16666666666666666</v>
      </c>
      <c r="E138" s="2146"/>
      <c r="F138" s="2148">
        <v>0.48696854027807573</v>
      </c>
      <c r="G138" s="2146">
        <v>200</v>
      </c>
      <c r="H138" s="2149" t="s">
        <v>1717</v>
      </c>
      <c r="I138" s="2229">
        <v>1</v>
      </c>
      <c r="J138" s="2149">
        <v>862.62301494623648</v>
      </c>
      <c r="K138" s="2148">
        <v>3.4703846153846141E-2</v>
      </c>
      <c r="L138" s="2151"/>
      <c r="M138" s="2152">
        <f t="shared" si="230"/>
        <v>832.6866785467754</v>
      </c>
      <c r="N138" s="2149">
        <v>48.922666666666665</v>
      </c>
      <c r="O138" s="2109">
        <f t="shared" si="231"/>
        <v>6.1576310622802657</v>
      </c>
      <c r="P138" s="2109">
        <v>30.124773191625</v>
      </c>
      <c r="Q138" s="2109">
        <v>2.2548992043402794</v>
      </c>
      <c r="R138" s="2109">
        <f t="shared" si="156"/>
        <v>11.031568214087137</v>
      </c>
      <c r="S138" s="2109"/>
      <c r="T138" s="2109"/>
      <c r="U138" s="2109"/>
      <c r="V138" s="2109">
        <f t="shared" si="232"/>
        <v>8.4125302666205464</v>
      </c>
      <c r="W138" s="2109">
        <f t="shared" si="233"/>
        <v>41.156341405712141</v>
      </c>
      <c r="X138" s="2149">
        <v>78.490665000000007</v>
      </c>
      <c r="Y138" s="2109">
        <f t="shared" si="234"/>
        <v>3.8380071300994834</v>
      </c>
      <c r="Z138" s="2109">
        <v>30.124773191625</v>
      </c>
      <c r="AA138" s="2109">
        <v>2.2548992043402794</v>
      </c>
      <c r="AB138" s="2109">
        <f t="shared" si="157"/>
        <v>17.698853805663944</v>
      </c>
      <c r="AC138" s="2135"/>
      <c r="AD138" s="2135"/>
      <c r="AE138" s="2135"/>
      <c r="AF138" s="2135">
        <f t="shared" si="235"/>
        <v>6.0929063344397623</v>
      </c>
      <c r="AG138" s="2135">
        <f t="shared" si="236"/>
        <v>47.82362699728894</v>
      </c>
      <c r="AH138" s="2149">
        <v>126.62088375</v>
      </c>
      <c r="AI138" s="2109">
        <f t="shared" si="237"/>
        <v>2.3791314907502374</v>
      </c>
      <c r="AJ138" s="2109">
        <v>30.124773191625</v>
      </c>
      <c r="AK138" s="2109">
        <v>2.2548992043402794</v>
      </c>
      <c r="AL138" s="2109">
        <f t="shared" si="158"/>
        <v>28.551733002073803</v>
      </c>
      <c r="AM138" s="2135"/>
      <c r="AN138" s="2135"/>
      <c r="AO138" s="2135"/>
      <c r="AP138" s="2135">
        <f t="shared" si="238"/>
        <v>4.6340306950905159</v>
      </c>
      <c r="AQ138" s="2135">
        <f t="shared" si="239"/>
        <v>58.676506193698799</v>
      </c>
      <c r="AR138" s="2149">
        <v>134.55954375000005</v>
      </c>
      <c r="AS138" s="2109">
        <f t="shared" si="240"/>
        <v>2.2387689755840889</v>
      </c>
      <c r="AT138" s="2109">
        <v>30.124773191625</v>
      </c>
      <c r="AU138" s="2109">
        <v>2.2548992043402794</v>
      </c>
      <c r="AV138" s="2109">
        <f t="shared" si="159"/>
        <v>30.341820813826608</v>
      </c>
      <c r="AW138" s="2135"/>
      <c r="AX138" s="2135"/>
      <c r="AY138" s="2135"/>
      <c r="AZ138" s="2135">
        <f t="shared" si="241"/>
        <v>4.4936681799243683</v>
      </c>
      <c r="BA138" s="2135">
        <f t="shared" si="242"/>
        <v>60.466594005451611</v>
      </c>
      <c r="BB138" s="2149">
        <v>135.87617499999999</v>
      </c>
      <c r="BC138" s="2109">
        <f t="shared" si="243"/>
        <v>2.2170754506170787</v>
      </c>
      <c r="BD138" s="2109">
        <v>30.124773191625</v>
      </c>
      <c r="BE138" s="2109">
        <v>2.2548992043402794</v>
      </c>
      <c r="BF138" s="2109">
        <f t="shared" si="160"/>
        <v>30.638707889630052</v>
      </c>
      <c r="BG138" s="2135"/>
      <c r="BH138" s="2135"/>
      <c r="BI138" s="2135"/>
      <c r="BJ138" s="2135">
        <f t="shared" si="244"/>
        <v>4.471974654957358</v>
      </c>
      <c r="BK138" s="2135">
        <f t="shared" si="245"/>
        <v>60.763481081255051</v>
      </c>
      <c r="BL138" s="2149">
        <v>120.7821641129032</v>
      </c>
      <c r="BM138" s="2109">
        <f t="shared" si="246"/>
        <v>2.4941408702915231</v>
      </c>
      <c r="BN138" s="2109">
        <v>30.124773191625</v>
      </c>
      <c r="BO138" s="2109">
        <v>2.2548992043402794</v>
      </c>
      <c r="BP138" s="2109">
        <f t="shared" si="161"/>
        <v>27.23516057566825</v>
      </c>
      <c r="BQ138" s="2135"/>
      <c r="BR138" s="2135"/>
      <c r="BS138" s="2135"/>
      <c r="BT138" s="2135">
        <f t="shared" si="247"/>
        <v>4.7490400746318029</v>
      </c>
      <c r="BU138" s="2135">
        <f t="shared" si="248"/>
        <v>57.359933767293249</v>
      </c>
      <c r="BV138" s="2149">
        <v>80.576041666666669</v>
      </c>
      <c r="BW138" s="2109">
        <f t="shared" si="249"/>
        <v>3.7386762328494045</v>
      </c>
      <c r="BX138" s="2109">
        <v>30.124773191625</v>
      </c>
      <c r="BY138" s="2109">
        <v>2.2548992043402794</v>
      </c>
      <c r="BZ138" s="2109">
        <f t="shared" si="162"/>
        <v>18.169085224305586</v>
      </c>
      <c r="CA138" s="2135"/>
      <c r="CB138" s="2135"/>
      <c r="CC138" s="2135"/>
      <c r="CD138" s="2135">
        <f t="shared" si="250"/>
        <v>5.9935754371896843</v>
      </c>
      <c r="CE138" s="2135">
        <f t="shared" si="251"/>
        <v>48.293858415930586</v>
      </c>
      <c r="CF138" s="2149">
        <v>38.012424999999993</v>
      </c>
      <c r="CG138" s="2109">
        <f t="shared" si="252"/>
        <v>7.924980632418217</v>
      </c>
      <c r="CH138" s="2109">
        <v>30.124773191625</v>
      </c>
      <c r="CI138" s="2109">
        <v>2.2548992043402794</v>
      </c>
      <c r="CJ138" s="2109">
        <f t="shared" si="163"/>
        <v>8.5714186887544521</v>
      </c>
      <c r="CK138" s="2135"/>
      <c r="CL138" s="2135"/>
      <c r="CM138" s="2135"/>
      <c r="CN138" s="2135">
        <f t="shared" si="253"/>
        <v>10.179879836758497</v>
      </c>
      <c r="CO138" s="2135">
        <f t="shared" si="254"/>
        <v>38.696191880379452</v>
      </c>
      <c r="CP138" s="2149">
        <v>29.119333333333341</v>
      </c>
      <c r="CQ138" s="2109">
        <f t="shared" si="255"/>
        <v>10.34528258143215</v>
      </c>
      <c r="CR138" s="2109">
        <v>30.124773191625</v>
      </c>
      <c r="CS138" s="2109">
        <v>2.2548992043402794</v>
      </c>
      <c r="CT138" s="2109">
        <f t="shared" si="164"/>
        <v>6.5661161564252719</v>
      </c>
      <c r="CU138" s="2135"/>
      <c r="CV138" s="2135"/>
      <c r="CW138" s="2135"/>
      <c r="CX138" s="2135">
        <f t="shared" si="256"/>
        <v>12.600181785772428</v>
      </c>
      <c r="CY138" s="2135">
        <f t="shared" si="257"/>
        <v>36.69088934805027</v>
      </c>
      <c r="CZ138" s="2149">
        <v>24.127999999999997</v>
      </c>
      <c r="DA138" s="2109">
        <f t="shared" si="258"/>
        <v>12.48540002968543</v>
      </c>
      <c r="DB138" s="2109">
        <v>30.124773191625</v>
      </c>
      <c r="DC138" s="2109">
        <v>2.2548992043402794</v>
      </c>
      <c r="DD138" s="2109">
        <f t="shared" si="165"/>
        <v>5.4406208002322254</v>
      </c>
      <c r="DE138" s="2135"/>
      <c r="DF138" s="2135"/>
      <c r="DG138" s="2135"/>
      <c r="DH138" s="2135">
        <f t="shared" si="259"/>
        <v>14.740299234025709</v>
      </c>
      <c r="DI138" s="2135">
        <f t="shared" si="260"/>
        <v>35.565393991857228</v>
      </c>
      <c r="DJ138" s="2149">
        <v>19.237500000000004</v>
      </c>
      <c r="DK138" s="2109">
        <f t="shared" si="261"/>
        <v>15.659401269200776</v>
      </c>
      <c r="DL138" s="2109">
        <v>30.124773191625</v>
      </c>
      <c r="DM138" s="2109">
        <v>2.2548992043402794</v>
      </c>
      <c r="DN138" s="2109">
        <f t="shared" si="166"/>
        <v>4.3378623443496132</v>
      </c>
      <c r="DO138" s="2135"/>
      <c r="DP138" s="2135"/>
      <c r="DQ138" s="2135"/>
      <c r="DR138" s="2135">
        <f t="shared" si="262"/>
        <v>17.914300473541054</v>
      </c>
      <c r="DS138" s="2135">
        <f t="shared" si="263"/>
        <v>34.462635535974613</v>
      </c>
      <c r="DT138" s="2149">
        <v>26.29761666666667</v>
      </c>
      <c r="DU138" s="2109">
        <f t="shared" si="264"/>
        <v>11.455324478057896</v>
      </c>
      <c r="DV138" s="2109">
        <v>30.124773191625</v>
      </c>
      <c r="DW138" s="2109">
        <v>2.2548992043402794</v>
      </c>
      <c r="DX138" s="2109">
        <f t="shared" si="167"/>
        <v>5.9298474897712348</v>
      </c>
      <c r="DY138" s="2135"/>
      <c r="DZ138" s="2135"/>
      <c r="EA138" s="2135"/>
      <c r="EB138" s="2135">
        <f t="shared" si="265"/>
        <v>13.710223682398176</v>
      </c>
      <c r="EC138" s="2135">
        <f t="shared" si="266"/>
        <v>36.054620681396237</v>
      </c>
      <c r="ED138" s="2135"/>
      <c r="EE138" s="2106">
        <f t="shared" si="267"/>
        <v>862.62301494623648</v>
      </c>
      <c r="EF138" s="2106">
        <f t="shared" si="268"/>
        <v>4.1906750925493288</v>
      </c>
      <c r="EG138" s="2106">
        <f t="shared" si="269"/>
        <v>361.49727829950007</v>
      </c>
      <c r="EH138" s="2106">
        <f t="shared" si="270"/>
        <v>2.2548992043402798</v>
      </c>
      <c r="EI138" s="2106">
        <f t="shared" si="271"/>
        <v>194.51279500478819</v>
      </c>
      <c r="EJ138" s="2106"/>
      <c r="EK138" s="2106"/>
      <c r="EL138" s="2106"/>
      <c r="EM138" s="2106">
        <f t="shared" si="272"/>
        <v>6.4455742968896077</v>
      </c>
      <c r="EN138" s="2106">
        <f t="shared" si="273"/>
        <v>556.0100733042882</v>
      </c>
      <c r="EO138" s="2106">
        <f t="shared" si="274"/>
        <v>6.4455742968896077</v>
      </c>
      <c r="EP138" s="2114">
        <f t="shared" si="275"/>
        <v>6.6773023710989374</v>
      </c>
      <c r="EQ138" s="2224"/>
      <c r="ER138" s="2277"/>
      <c r="ES138" s="2209" t="e">
        <v>#N/A</v>
      </c>
      <c r="EU138" s="2230"/>
    </row>
    <row r="139" spans="1:159" ht="28.5" customHeight="1">
      <c r="A139" s="2220">
        <v>5</v>
      </c>
      <c r="B139" s="2145" t="s">
        <v>1762</v>
      </c>
      <c r="C139" s="2146">
        <v>330</v>
      </c>
      <c r="D139" s="2147">
        <f t="shared" si="229"/>
        <v>0.87999999999999989</v>
      </c>
      <c r="E139" s="2146"/>
      <c r="F139" s="2148">
        <v>0.47017710491384834</v>
      </c>
      <c r="G139" s="2146">
        <v>290.39999999999998</v>
      </c>
      <c r="H139" s="2149" t="s">
        <v>1717</v>
      </c>
      <c r="I139" s="2229">
        <v>1</v>
      </c>
      <c r="J139" s="2149">
        <v>1229.0681561161291</v>
      </c>
      <c r="K139" s="2148">
        <v>3.4703846153846141E-2</v>
      </c>
      <c r="L139" s="2151"/>
      <c r="M139" s="2152">
        <f t="shared" si="230"/>
        <v>1186.4147639136836</v>
      </c>
      <c r="N139" s="2149">
        <v>60.31766600000001</v>
      </c>
      <c r="O139" s="2109">
        <f t="shared" si="231"/>
        <v>5.6659856928876362</v>
      </c>
      <c r="P139" s="2109">
        <v>34.175903258437508</v>
      </c>
      <c r="Q139" s="2109">
        <v>2.4914352678630314</v>
      </c>
      <c r="R139" s="2109">
        <f t="shared" si="156"/>
        <v>15.027756034758289</v>
      </c>
      <c r="S139" s="2109"/>
      <c r="T139" s="2109"/>
      <c r="U139" s="2109"/>
      <c r="V139" s="2109">
        <f t="shared" si="232"/>
        <v>8.1574209607506667</v>
      </c>
      <c r="W139" s="2109">
        <f t="shared" si="233"/>
        <v>49.203659293195798</v>
      </c>
      <c r="X139" s="2149">
        <v>94.038941999999977</v>
      </c>
      <c r="Y139" s="2109">
        <f t="shared" si="234"/>
        <v>3.6342288132545679</v>
      </c>
      <c r="Z139" s="2109">
        <v>34.175903258437508</v>
      </c>
      <c r="AA139" s="2109">
        <v>2.4914352678630314</v>
      </c>
      <c r="AB139" s="2109">
        <f t="shared" si="157"/>
        <v>23.429193665132601</v>
      </c>
      <c r="AC139" s="2135"/>
      <c r="AD139" s="2135"/>
      <c r="AE139" s="2135"/>
      <c r="AF139" s="2135">
        <f t="shared" si="235"/>
        <v>6.1256640811176002</v>
      </c>
      <c r="AG139" s="2135">
        <f t="shared" si="236"/>
        <v>57.605096923570109</v>
      </c>
      <c r="AH139" s="2149">
        <v>159.86640600000001</v>
      </c>
      <c r="AI139" s="2109">
        <f t="shared" si="237"/>
        <v>2.1377789188829017</v>
      </c>
      <c r="AJ139" s="2109">
        <v>34.175903258437508</v>
      </c>
      <c r="AK139" s="2109">
        <v>2.4914352678630314</v>
      </c>
      <c r="AL139" s="2109">
        <f t="shared" si="158"/>
        <v>39.829680205491016</v>
      </c>
      <c r="AM139" s="2135"/>
      <c r="AN139" s="2135"/>
      <c r="AO139" s="2135"/>
      <c r="AP139" s="2135">
        <f t="shared" si="238"/>
        <v>4.6292141867459335</v>
      </c>
      <c r="AQ139" s="2135">
        <f t="shared" si="239"/>
        <v>74.005583463928531</v>
      </c>
      <c r="AR139" s="2149">
        <v>192.50732159999998</v>
      </c>
      <c r="AS139" s="2109">
        <f t="shared" si="240"/>
        <v>1.7753040754184755</v>
      </c>
      <c r="AT139" s="2109">
        <v>34.175903258437508</v>
      </c>
      <c r="AU139" s="2109">
        <v>2.4914352678630314</v>
      </c>
      <c r="AV139" s="2109">
        <f t="shared" si="159"/>
        <v>47.961953035609071</v>
      </c>
      <c r="AW139" s="2135"/>
      <c r="AX139" s="2135"/>
      <c r="AY139" s="2135"/>
      <c r="AZ139" s="2135">
        <f t="shared" si="241"/>
        <v>4.2667393432815066</v>
      </c>
      <c r="BA139" s="2135">
        <f t="shared" si="242"/>
        <v>82.137856294046571</v>
      </c>
      <c r="BB139" s="2149">
        <v>213.80946600000001</v>
      </c>
      <c r="BC139" s="2109">
        <f t="shared" si="243"/>
        <v>1.5984279787891853</v>
      </c>
      <c r="BD139" s="2109">
        <v>34.175903258437508</v>
      </c>
      <c r="BE139" s="2109">
        <v>2.4914352678630314</v>
      </c>
      <c r="BF139" s="2109">
        <f t="shared" si="160"/>
        <v>53.269244419536179</v>
      </c>
      <c r="BG139" s="2135"/>
      <c r="BH139" s="2135"/>
      <c r="BI139" s="2135"/>
      <c r="BJ139" s="2135">
        <f t="shared" si="244"/>
        <v>4.0898632466522171</v>
      </c>
      <c r="BK139" s="2135">
        <f t="shared" si="245"/>
        <v>87.445147677973694</v>
      </c>
      <c r="BL139" s="2149">
        <v>170.62187651612905</v>
      </c>
      <c r="BM139" s="2109">
        <f t="shared" si="246"/>
        <v>2.0030200087036802</v>
      </c>
      <c r="BN139" s="2109">
        <v>34.175903258437508</v>
      </c>
      <c r="BO139" s="2109">
        <v>2.4914352678630314</v>
      </c>
      <c r="BP139" s="2109">
        <f t="shared" si="161"/>
        <v>42.509336062125506</v>
      </c>
      <c r="BQ139" s="2135"/>
      <c r="BR139" s="2135"/>
      <c r="BS139" s="2135"/>
      <c r="BT139" s="2135">
        <f t="shared" si="247"/>
        <v>4.4944552765667121</v>
      </c>
      <c r="BU139" s="2135">
        <f t="shared" si="248"/>
        <v>76.685239320563014</v>
      </c>
      <c r="BV139" s="2149">
        <v>122.78242599999997</v>
      </c>
      <c r="BW139" s="2109">
        <f t="shared" si="249"/>
        <v>2.7834523532250062</v>
      </c>
      <c r="BX139" s="2109">
        <v>34.175903258437508</v>
      </c>
      <c r="BY139" s="2109">
        <v>2.4914352678630314</v>
      </c>
      <c r="BZ139" s="2109">
        <f t="shared" si="162"/>
        <v>30.590446641018275</v>
      </c>
      <c r="CA139" s="2135"/>
      <c r="CB139" s="2135"/>
      <c r="CC139" s="2135"/>
      <c r="CD139" s="2135">
        <f t="shared" si="250"/>
        <v>5.2748876210880367</v>
      </c>
      <c r="CE139" s="2135">
        <f t="shared" si="251"/>
        <v>64.766349899455776</v>
      </c>
      <c r="CF139" s="2149">
        <v>66.874449999999996</v>
      </c>
      <c r="CG139" s="2109">
        <f t="shared" si="252"/>
        <v>5.1104574704446186</v>
      </c>
      <c r="CH139" s="2109">
        <v>34.175903258437508</v>
      </c>
      <c r="CI139" s="2109">
        <v>2.4914352678630314</v>
      </c>
      <c r="CJ139" s="2109">
        <f t="shared" si="163"/>
        <v>16.661336324894286</v>
      </c>
      <c r="CK139" s="2135"/>
      <c r="CL139" s="2135"/>
      <c r="CM139" s="2135"/>
      <c r="CN139" s="2135">
        <f t="shared" si="253"/>
        <v>7.6018927383076491</v>
      </c>
      <c r="CO139" s="2135">
        <f t="shared" si="254"/>
        <v>50.837239583331794</v>
      </c>
      <c r="CP139" s="2149">
        <v>43.043802000000007</v>
      </c>
      <c r="CQ139" s="2109">
        <f t="shared" si="255"/>
        <v>7.9397965956718934</v>
      </c>
      <c r="CR139" s="2109">
        <v>34.175903258437508</v>
      </c>
      <c r="CS139" s="2109">
        <v>2.4914352678630314</v>
      </c>
      <c r="CT139" s="2109">
        <f t="shared" si="164"/>
        <v>10.72408463657133</v>
      </c>
      <c r="CU139" s="2135"/>
      <c r="CV139" s="2135"/>
      <c r="CW139" s="2135"/>
      <c r="CX139" s="2135">
        <f t="shared" si="256"/>
        <v>10.431231863534924</v>
      </c>
      <c r="CY139" s="2135">
        <f t="shared" si="257"/>
        <v>44.899987895008834</v>
      </c>
      <c r="CZ139" s="2149">
        <v>37.925208000000005</v>
      </c>
      <c r="DA139" s="2109">
        <f t="shared" si="258"/>
        <v>9.0113950748635325</v>
      </c>
      <c r="DB139" s="2109">
        <v>34.175903258437508</v>
      </c>
      <c r="DC139" s="2109">
        <v>2.4914352678630314</v>
      </c>
      <c r="DD139" s="2109">
        <f t="shared" si="165"/>
        <v>9.4488200752241198</v>
      </c>
      <c r="DE139" s="2135"/>
      <c r="DF139" s="2135"/>
      <c r="DG139" s="2135"/>
      <c r="DH139" s="2135">
        <f t="shared" si="259"/>
        <v>11.502830342726565</v>
      </c>
      <c r="DI139" s="2135">
        <f t="shared" si="260"/>
        <v>43.624723333661628</v>
      </c>
      <c r="DJ139" s="2149">
        <v>29.114291999999999</v>
      </c>
      <c r="DK139" s="2109">
        <f t="shared" si="261"/>
        <v>11.738531460231803</v>
      </c>
      <c r="DL139" s="2109">
        <v>34.175903258437508</v>
      </c>
      <c r="DM139" s="2109">
        <v>2.4914352678630314</v>
      </c>
      <c r="DN139" s="2109">
        <f t="shared" si="166"/>
        <v>7.2536373887662506</v>
      </c>
      <c r="DO139" s="2135"/>
      <c r="DP139" s="2135"/>
      <c r="DQ139" s="2135"/>
      <c r="DR139" s="2135">
        <f t="shared" si="262"/>
        <v>14.229966728094833</v>
      </c>
      <c r="DS139" s="2135">
        <f t="shared" si="263"/>
        <v>41.429540647203758</v>
      </c>
      <c r="DT139" s="2149">
        <v>38.166299999999993</v>
      </c>
      <c r="DU139" s="2109">
        <f t="shared" si="264"/>
        <v>8.9544711587021837</v>
      </c>
      <c r="DV139" s="2109">
        <v>34.175903258437508</v>
      </c>
      <c r="DW139" s="2109">
        <v>2.4914352678630314</v>
      </c>
      <c r="DX139" s="2109">
        <f t="shared" si="167"/>
        <v>9.5088865863840795</v>
      </c>
      <c r="DY139" s="2135"/>
      <c r="DZ139" s="2135"/>
      <c r="EA139" s="2135"/>
      <c r="EB139" s="2135">
        <f t="shared" si="265"/>
        <v>11.445906426565216</v>
      </c>
      <c r="EC139" s="2135">
        <f t="shared" si="266"/>
        <v>43.684789844821587</v>
      </c>
      <c r="ED139" s="2135"/>
      <c r="EE139" s="2106">
        <f t="shared" si="267"/>
        <v>1229.0681561161291</v>
      </c>
      <c r="EF139" s="2106">
        <f t="shared" si="268"/>
        <v>3.3367623842538201</v>
      </c>
      <c r="EG139" s="2106">
        <f t="shared" si="269"/>
        <v>410.11083910125018</v>
      </c>
      <c r="EH139" s="2106">
        <f t="shared" si="270"/>
        <v>2.4914352678630318</v>
      </c>
      <c r="EI139" s="2106">
        <f t="shared" si="271"/>
        <v>306.21437507551104</v>
      </c>
      <c r="EJ139" s="2106"/>
      <c r="EK139" s="2106"/>
      <c r="EL139" s="2106"/>
      <c r="EM139" s="2106">
        <f t="shared" si="272"/>
        <v>5.8281976521168524</v>
      </c>
      <c r="EN139" s="2106">
        <f t="shared" si="273"/>
        <v>716.32521417676116</v>
      </c>
      <c r="EO139" s="2106">
        <f t="shared" si="274"/>
        <v>5.8281976521168524</v>
      </c>
      <c r="EP139" s="2114">
        <f t="shared" si="275"/>
        <v>6.0377301089358051</v>
      </c>
      <c r="EQ139" s="2224"/>
      <c r="ER139" s="2277"/>
      <c r="ES139" s="2209" t="e">
        <v>#N/A</v>
      </c>
      <c r="EU139" s="2230"/>
    </row>
    <row r="140" spans="1:159">
      <c r="A140" s="2220">
        <v>6</v>
      </c>
      <c r="B140" s="2145" t="s">
        <v>1763</v>
      </c>
      <c r="C140" s="2146">
        <v>45</v>
      </c>
      <c r="D140" s="2147">
        <f t="shared" si="229"/>
        <v>0.40333333333333332</v>
      </c>
      <c r="E140" s="2146"/>
      <c r="F140" s="2148">
        <v>0.49664448552552681</v>
      </c>
      <c r="G140" s="2146">
        <v>18.149999999999999</v>
      </c>
      <c r="H140" s="2149" t="s">
        <v>1717</v>
      </c>
      <c r="I140" s="2229">
        <v>1</v>
      </c>
      <c r="J140" s="2149">
        <v>0</v>
      </c>
      <c r="K140" s="2148">
        <v>3.4703846153846141E-2</v>
      </c>
      <c r="L140" s="2151"/>
      <c r="M140" s="2152">
        <f t="shared" si="230"/>
        <v>0</v>
      </c>
      <c r="N140" s="2149">
        <v>0</v>
      </c>
      <c r="O140" s="2109">
        <f t="shared" si="231"/>
        <v>0</v>
      </c>
      <c r="P140" s="2109">
        <v>0</v>
      </c>
      <c r="Q140" s="2109">
        <v>0</v>
      </c>
      <c r="R140" s="2109">
        <f t="shared" si="156"/>
        <v>0</v>
      </c>
      <c r="S140" s="2109"/>
      <c r="T140" s="2109"/>
      <c r="U140" s="2109"/>
      <c r="V140" s="2109">
        <f t="shared" si="232"/>
        <v>0</v>
      </c>
      <c r="W140" s="2109">
        <f t="shared" si="233"/>
        <v>0</v>
      </c>
      <c r="X140" s="2149">
        <v>0</v>
      </c>
      <c r="Y140" s="2109">
        <f t="shared" si="234"/>
        <v>0</v>
      </c>
      <c r="Z140" s="2109">
        <v>0</v>
      </c>
      <c r="AA140" s="2109">
        <v>0</v>
      </c>
      <c r="AB140" s="2109">
        <f t="shared" si="157"/>
        <v>0</v>
      </c>
      <c r="AC140" s="2135"/>
      <c r="AD140" s="2135"/>
      <c r="AE140" s="2135"/>
      <c r="AF140" s="2135">
        <f t="shared" si="235"/>
        <v>0</v>
      </c>
      <c r="AG140" s="2135">
        <f t="shared" si="236"/>
        <v>0</v>
      </c>
      <c r="AH140" s="2149">
        <v>0</v>
      </c>
      <c r="AI140" s="2109">
        <f t="shared" si="237"/>
        <v>0</v>
      </c>
      <c r="AJ140" s="2109">
        <v>0</v>
      </c>
      <c r="AK140" s="2109">
        <v>0</v>
      </c>
      <c r="AL140" s="2109">
        <f t="shared" si="158"/>
        <v>0</v>
      </c>
      <c r="AM140" s="2135"/>
      <c r="AN140" s="2135"/>
      <c r="AO140" s="2135"/>
      <c r="AP140" s="2135">
        <f t="shared" si="238"/>
        <v>0</v>
      </c>
      <c r="AQ140" s="2135">
        <f t="shared" si="239"/>
        <v>0</v>
      </c>
      <c r="AR140" s="2149">
        <v>0</v>
      </c>
      <c r="AS140" s="2109">
        <f t="shared" si="240"/>
        <v>0</v>
      </c>
      <c r="AT140" s="2109">
        <v>0</v>
      </c>
      <c r="AU140" s="2109">
        <v>0</v>
      </c>
      <c r="AV140" s="2109">
        <f t="shared" si="159"/>
        <v>0</v>
      </c>
      <c r="AW140" s="2135"/>
      <c r="AX140" s="2135"/>
      <c r="AY140" s="2135"/>
      <c r="AZ140" s="2135">
        <f t="shared" si="241"/>
        <v>0</v>
      </c>
      <c r="BA140" s="2135">
        <f t="shared" si="242"/>
        <v>0</v>
      </c>
      <c r="BB140" s="2149">
        <v>0</v>
      </c>
      <c r="BC140" s="2109">
        <f t="shared" si="243"/>
        <v>0</v>
      </c>
      <c r="BD140" s="2109">
        <v>0</v>
      </c>
      <c r="BE140" s="2109">
        <v>0</v>
      </c>
      <c r="BF140" s="2109">
        <f t="shared" si="160"/>
        <v>0</v>
      </c>
      <c r="BG140" s="2135"/>
      <c r="BH140" s="2135"/>
      <c r="BI140" s="2135"/>
      <c r="BJ140" s="2135">
        <f t="shared" si="244"/>
        <v>0</v>
      </c>
      <c r="BK140" s="2135">
        <f t="shared" si="245"/>
        <v>0</v>
      </c>
      <c r="BL140" s="2149">
        <v>0</v>
      </c>
      <c r="BM140" s="2109">
        <f t="shared" si="246"/>
        <v>0</v>
      </c>
      <c r="BN140" s="2109">
        <v>0</v>
      </c>
      <c r="BO140" s="2109">
        <v>0</v>
      </c>
      <c r="BP140" s="2109">
        <f t="shared" si="161"/>
        <v>0</v>
      </c>
      <c r="BQ140" s="2135"/>
      <c r="BR140" s="2135"/>
      <c r="BS140" s="2135"/>
      <c r="BT140" s="2135">
        <f t="shared" si="247"/>
        <v>0</v>
      </c>
      <c r="BU140" s="2135">
        <f t="shared" si="248"/>
        <v>0</v>
      </c>
      <c r="BV140" s="2149">
        <v>0</v>
      </c>
      <c r="BW140" s="2109">
        <f t="shared" si="249"/>
        <v>0</v>
      </c>
      <c r="BX140" s="2109">
        <v>0</v>
      </c>
      <c r="BY140" s="2109">
        <v>0</v>
      </c>
      <c r="BZ140" s="2109">
        <f t="shared" si="162"/>
        <v>0</v>
      </c>
      <c r="CA140" s="2135"/>
      <c r="CB140" s="2135"/>
      <c r="CC140" s="2135"/>
      <c r="CD140" s="2135">
        <f t="shared" si="250"/>
        <v>0</v>
      </c>
      <c r="CE140" s="2135">
        <f t="shared" si="251"/>
        <v>0</v>
      </c>
      <c r="CF140" s="2149">
        <v>0</v>
      </c>
      <c r="CG140" s="2109">
        <f t="shared" si="252"/>
        <v>0</v>
      </c>
      <c r="CH140" s="2109">
        <v>0</v>
      </c>
      <c r="CI140" s="2109">
        <v>0</v>
      </c>
      <c r="CJ140" s="2109">
        <f t="shared" si="163"/>
        <v>0</v>
      </c>
      <c r="CK140" s="2135"/>
      <c r="CL140" s="2135"/>
      <c r="CM140" s="2135"/>
      <c r="CN140" s="2135">
        <f t="shared" si="253"/>
        <v>0</v>
      </c>
      <c r="CO140" s="2135">
        <f t="shared" si="254"/>
        <v>0</v>
      </c>
      <c r="CP140" s="2149">
        <v>0</v>
      </c>
      <c r="CQ140" s="2109">
        <f t="shared" si="255"/>
        <v>0</v>
      </c>
      <c r="CR140" s="2109">
        <v>0</v>
      </c>
      <c r="CS140" s="2109">
        <v>0</v>
      </c>
      <c r="CT140" s="2109">
        <f t="shared" si="164"/>
        <v>0</v>
      </c>
      <c r="CU140" s="2135"/>
      <c r="CV140" s="2135"/>
      <c r="CW140" s="2135"/>
      <c r="CX140" s="2135">
        <f t="shared" si="256"/>
        <v>0</v>
      </c>
      <c r="CY140" s="2135">
        <f t="shared" si="257"/>
        <v>0</v>
      </c>
      <c r="CZ140" s="2149">
        <v>0</v>
      </c>
      <c r="DA140" s="2109">
        <f t="shared" si="258"/>
        <v>0</v>
      </c>
      <c r="DB140" s="2109">
        <v>0</v>
      </c>
      <c r="DC140" s="2109">
        <v>0</v>
      </c>
      <c r="DD140" s="2109">
        <f t="shared" si="165"/>
        <v>0</v>
      </c>
      <c r="DE140" s="2135"/>
      <c r="DF140" s="2135"/>
      <c r="DG140" s="2135"/>
      <c r="DH140" s="2135">
        <f t="shared" si="259"/>
        <v>0</v>
      </c>
      <c r="DI140" s="2135">
        <f t="shared" si="260"/>
        <v>0</v>
      </c>
      <c r="DJ140" s="2149">
        <v>0</v>
      </c>
      <c r="DK140" s="2109">
        <f t="shared" si="261"/>
        <v>0</v>
      </c>
      <c r="DL140" s="2109">
        <v>0</v>
      </c>
      <c r="DM140" s="2109">
        <v>0</v>
      </c>
      <c r="DN140" s="2109">
        <f t="shared" si="166"/>
        <v>0</v>
      </c>
      <c r="DO140" s="2135"/>
      <c r="DP140" s="2135"/>
      <c r="DQ140" s="2135"/>
      <c r="DR140" s="2135">
        <f t="shared" si="262"/>
        <v>0</v>
      </c>
      <c r="DS140" s="2135">
        <f t="shared" si="263"/>
        <v>0</v>
      </c>
      <c r="DT140" s="2149">
        <v>0</v>
      </c>
      <c r="DU140" s="2109">
        <f t="shared" si="264"/>
        <v>0</v>
      </c>
      <c r="DV140" s="2109">
        <v>0</v>
      </c>
      <c r="DW140" s="2109">
        <v>0</v>
      </c>
      <c r="DX140" s="2109">
        <f t="shared" si="167"/>
        <v>0</v>
      </c>
      <c r="DY140" s="2135"/>
      <c r="DZ140" s="2135"/>
      <c r="EA140" s="2135"/>
      <c r="EB140" s="2135">
        <f t="shared" si="265"/>
        <v>0</v>
      </c>
      <c r="EC140" s="2135">
        <f t="shared" si="266"/>
        <v>0</v>
      </c>
      <c r="ED140" s="2135"/>
      <c r="EE140" s="2106">
        <f t="shared" si="267"/>
        <v>0</v>
      </c>
      <c r="EF140" s="2106">
        <f t="shared" si="268"/>
        <v>0</v>
      </c>
      <c r="EG140" s="2106">
        <f t="shared" si="269"/>
        <v>0</v>
      </c>
      <c r="EH140" s="2106">
        <f t="shared" si="270"/>
        <v>0</v>
      </c>
      <c r="EI140" s="2106">
        <f t="shared" si="271"/>
        <v>0</v>
      </c>
      <c r="EJ140" s="2106"/>
      <c r="EK140" s="2106"/>
      <c r="EL140" s="2106"/>
      <c r="EM140" s="2106">
        <f t="shared" si="272"/>
        <v>0</v>
      </c>
      <c r="EN140" s="2106">
        <f t="shared" si="273"/>
        <v>0</v>
      </c>
      <c r="EO140" s="2106" t="e">
        <f t="shared" si="274"/>
        <v>#DIV/0!</v>
      </c>
      <c r="EP140" s="2114" t="e">
        <f t="shared" si="275"/>
        <v>#DIV/0!</v>
      </c>
      <c r="EQ140" s="2224"/>
      <c r="ER140" s="2277"/>
      <c r="ES140" s="2209" t="e">
        <v>#N/A</v>
      </c>
      <c r="EU140" s="2230"/>
    </row>
    <row r="141" spans="1:159" s="1824" customFormat="1">
      <c r="A141" s="1842">
        <v>7</v>
      </c>
      <c r="B141" s="2145" t="s">
        <v>2059</v>
      </c>
      <c r="C141" s="2146">
        <v>400</v>
      </c>
      <c r="D141" s="2147"/>
      <c r="E141" s="2146"/>
      <c r="F141" s="2148">
        <v>0</v>
      </c>
      <c r="G141" s="2146">
        <v>400</v>
      </c>
      <c r="H141" s="2149" t="s">
        <v>1717</v>
      </c>
      <c r="I141" s="2229">
        <v>2</v>
      </c>
      <c r="J141" s="2149">
        <v>1501.44</v>
      </c>
      <c r="K141" s="2148"/>
      <c r="L141" s="2151"/>
      <c r="M141" s="2152">
        <f t="shared" si="230"/>
        <v>1501.44</v>
      </c>
      <c r="N141" s="2149">
        <v>0</v>
      </c>
      <c r="O141" s="2109">
        <f t="shared" si="231"/>
        <v>0</v>
      </c>
      <c r="P141" s="2109">
        <v>24.944166666666664</v>
      </c>
      <c r="Q141" s="2109">
        <v>3.5799999999999996</v>
      </c>
      <c r="R141" s="2109">
        <f t="shared" si="156"/>
        <v>0</v>
      </c>
      <c r="S141" s="2109"/>
      <c r="T141" s="2109"/>
      <c r="U141" s="2109"/>
      <c r="V141" s="2109">
        <f t="shared" si="232"/>
        <v>0</v>
      </c>
      <c r="W141" s="2109">
        <f t="shared" si="233"/>
        <v>24.944166666666664</v>
      </c>
      <c r="X141" s="2149">
        <v>252.96</v>
      </c>
      <c r="Y141" s="2109">
        <f t="shared" si="234"/>
        <v>0.98609134514020647</v>
      </c>
      <c r="Z141" s="2109">
        <v>24.944166666666664</v>
      </c>
      <c r="AA141" s="2109">
        <v>3.5799999999999996</v>
      </c>
      <c r="AB141" s="2109">
        <f t="shared" si="157"/>
        <v>90.559679999999986</v>
      </c>
      <c r="AC141" s="2109"/>
      <c r="AD141" s="2109"/>
      <c r="AE141" s="2109"/>
      <c r="AF141" s="2109">
        <f t="shared" si="235"/>
        <v>4.5660913451402054</v>
      </c>
      <c r="AG141" s="2109">
        <f t="shared" si="236"/>
        <v>115.50384666666665</v>
      </c>
      <c r="AH141" s="2149">
        <v>244.8</v>
      </c>
      <c r="AI141" s="2109">
        <f t="shared" si="237"/>
        <v>1.0189610566448801</v>
      </c>
      <c r="AJ141" s="2109">
        <v>24.944166666666664</v>
      </c>
      <c r="AK141" s="2109">
        <v>3.5799999999999996</v>
      </c>
      <c r="AL141" s="2109">
        <f t="shared" si="158"/>
        <v>87.63839999999999</v>
      </c>
      <c r="AM141" s="2109"/>
      <c r="AN141" s="2109"/>
      <c r="AO141" s="2109"/>
      <c r="AP141" s="2109">
        <f t="shared" si="238"/>
        <v>4.5989610566448791</v>
      </c>
      <c r="AQ141" s="2109">
        <f t="shared" si="239"/>
        <v>112.58256666666665</v>
      </c>
      <c r="AR141" s="2149">
        <v>252.96</v>
      </c>
      <c r="AS141" s="2109">
        <f t="shared" si="240"/>
        <v>0.98609134514020647</v>
      </c>
      <c r="AT141" s="2109">
        <v>24.944166666666664</v>
      </c>
      <c r="AU141" s="2109">
        <v>3.5799999999999996</v>
      </c>
      <c r="AV141" s="2109">
        <f t="shared" si="159"/>
        <v>90.559679999999986</v>
      </c>
      <c r="AW141" s="2109"/>
      <c r="AX141" s="2109"/>
      <c r="AY141" s="2109"/>
      <c r="AZ141" s="2109">
        <f t="shared" si="241"/>
        <v>4.5660913451402054</v>
      </c>
      <c r="BA141" s="2109">
        <f t="shared" si="242"/>
        <v>115.50384666666665</v>
      </c>
      <c r="BB141" s="2149">
        <v>252.96</v>
      </c>
      <c r="BC141" s="2109">
        <f t="shared" si="243"/>
        <v>0.98609134514020647</v>
      </c>
      <c r="BD141" s="2109">
        <v>24.944166666666664</v>
      </c>
      <c r="BE141" s="2109">
        <v>3.5799999999999996</v>
      </c>
      <c r="BF141" s="2109">
        <f t="shared" si="160"/>
        <v>90.559679999999986</v>
      </c>
      <c r="BG141" s="2109"/>
      <c r="BH141" s="2109"/>
      <c r="BI141" s="2109"/>
      <c r="BJ141" s="2109">
        <f t="shared" si="244"/>
        <v>4.5660913451402054</v>
      </c>
      <c r="BK141" s="2109">
        <f t="shared" si="245"/>
        <v>115.50384666666665</v>
      </c>
      <c r="BL141" s="2149">
        <v>244.8</v>
      </c>
      <c r="BM141" s="2109">
        <f t="shared" si="246"/>
        <v>1.0189610566448801</v>
      </c>
      <c r="BN141" s="2109">
        <v>24.944166666666664</v>
      </c>
      <c r="BO141" s="2109">
        <v>3.5799999999999996</v>
      </c>
      <c r="BP141" s="2109">
        <f t="shared" si="161"/>
        <v>87.63839999999999</v>
      </c>
      <c r="BQ141" s="2109"/>
      <c r="BR141" s="2109"/>
      <c r="BS141" s="2109"/>
      <c r="BT141" s="2109">
        <f t="shared" si="247"/>
        <v>4.5989610566448791</v>
      </c>
      <c r="BU141" s="2109">
        <f t="shared" si="248"/>
        <v>112.58256666666665</v>
      </c>
      <c r="BV141" s="2149">
        <v>252.96</v>
      </c>
      <c r="BW141" s="2109">
        <f t="shared" si="249"/>
        <v>0.98609134514020647</v>
      </c>
      <c r="BX141" s="2109">
        <v>24.944166666666664</v>
      </c>
      <c r="BY141" s="2109">
        <v>3.5799999999999996</v>
      </c>
      <c r="BZ141" s="2109">
        <f t="shared" si="162"/>
        <v>90.559679999999986</v>
      </c>
      <c r="CA141" s="2109"/>
      <c r="CB141" s="2109"/>
      <c r="CC141" s="2109"/>
      <c r="CD141" s="2109">
        <f t="shared" si="250"/>
        <v>4.5660913451402054</v>
      </c>
      <c r="CE141" s="2109">
        <f t="shared" si="251"/>
        <v>115.50384666666665</v>
      </c>
      <c r="CF141" s="2149">
        <v>0</v>
      </c>
      <c r="CG141" s="2109">
        <f t="shared" si="252"/>
        <v>0</v>
      </c>
      <c r="CH141" s="2109">
        <v>24.944166666666664</v>
      </c>
      <c r="CI141" s="2109">
        <v>3.5799999999999996</v>
      </c>
      <c r="CJ141" s="2109">
        <f t="shared" si="163"/>
        <v>0</v>
      </c>
      <c r="CK141" s="2109"/>
      <c r="CL141" s="2109"/>
      <c r="CM141" s="2109"/>
      <c r="CN141" s="2109">
        <f t="shared" si="253"/>
        <v>0</v>
      </c>
      <c r="CO141" s="2109">
        <f t="shared" si="254"/>
        <v>24.944166666666664</v>
      </c>
      <c r="CP141" s="2149">
        <v>0</v>
      </c>
      <c r="CQ141" s="2109">
        <f t="shared" si="255"/>
        <v>0</v>
      </c>
      <c r="CR141" s="2109">
        <v>24.944166666666664</v>
      </c>
      <c r="CS141" s="2109">
        <v>3.5799999999999996</v>
      </c>
      <c r="CT141" s="2109">
        <f t="shared" si="164"/>
        <v>0</v>
      </c>
      <c r="CU141" s="2109"/>
      <c r="CV141" s="2109"/>
      <c r="CW141" s="2109"/>
      <c r="CX141" s="2109">
        <f t="shared" si="256"/>
        <v>0</v>
      </c>
      <c r="CY141" s="2109">
        <f t="shared" si="257"/>
        <v>24.944166666666664</v>
      </c>
      <c r="CZ141" s="2149">
        <v>0</v>
      </c>
      <c r="DA141" s="2109">
        <f t="shared" si="258"/>
        <v>0</v>
      </c>
      <c r="DB141" s="2109">
        <v>24.944166666666664</v>
      </c>
      <c r="DC141" s="2109">
        <v>3.5799999999999996</v>
      </c>
      <c r="DD141" s="2109">
        <f t="shared" si="165"/>
        <v>0</v>
      </c>
      <c r="DE141" s="2109"/>
      <c r="DF141" s="2109"/>
      <c r="DG141" s="2109"/>
      <c r="DH141" s="2109">
        <f t="shared" si="259"/>
        <v>0</v>
      </c>
      <c r="DI141" s="2109">
        <f t="shared" si="260"/>
        <v>24.944166666666664</v>
      </c>
      <c r="DJ141" s="2149">
        <v>0</v>
      </c>
      <c r="DK141" s="2109">
        <f t="shared" si="261"/>
        <v>0</v>
      </c>
      <c r="DL141" s="2109">
        <v>24.944166666666664</v>
      </c>
      <c r="DM141" s="2109">
        <v>3.5799999999999996</v>
      </c>
      <c r="DN141" s="2109">
        <f t="shared" si="166"/>
        <v>0</v>
      </c>
      <c r="DO141" s="2109"/>
      <c r="DP141" s="2109"/>
      <c r="DQ141" s="2109"/>
      <c r="DR141" s="2109">
        <f t="shared" si="262"/>
        <v>0</v>
      </c>
      <c r="DS141" s="2109">
        <f t="shared" si="263"/>
        <v>24.944166666666664</v>
      </c>
      <c r="DT141" s="2149">
        <v>0</v>
      </c>
      <c r="DU141" s="2109">
        <f t="shared" si="264"/>
        <v>0</v>
      </c>
      <c r="DV141" s="2109">
        <v>24.944166666666664</v>
      </c>
      <c r="DW141" s="2109">
        <v>3.5799999999999996</v>
      </c>
      <c r="DX141" s="2109">
        <f t="shared" si="167"/>
        <v>0</v>
      </c>
      <c r="DY141" s="2109"/>
      <c r="DZ141" s="2109"/>
      <c r="EA141" s="2109"/>
      <c r="EB141" s="2109">
        <f t="shared" si="265"/>
        <v>0</v>
      </c>
      <c r="EC141" s="2109">
        <f t="shared" si="266"/>
        <v>24.944166666666664</v>
      </c>
      <c r="ED141" s="2109"/>
      <c r="EE141" s="2106">
        <f t="shared" si="267"/>
        <v>1501.44</v>
      </c>
      <c r="EF141" s="2106">
        <f t="shared" si="268"/>
        <v>1.9936194586530263</v>
      </c>
      <c r="EG141" s="2106">
        <f t="shared" si="269"/>
        <v>299.33</v>
      </c>
      <c r="EH141" s="2106">
        <f t="shared" si="270"/>
        <v>3.5799999999999992</v>
      </c>
      <c r="EI141" s="2106">
        <f t="shared" si="271"/>
        <v>537.51551999999992</v>
      </c>
      <c r="EJ141" s="2106"/>
      <c r="EK141" s="2106"/>
      <c r="EL141" s="2106"/>
      <c r="EM141" s="2106">
        <f t="shared" si="272"/>
        <v>5.5736194586530257</v>
      </c>
      <c r="EN141" s="2106">
        <f t="shared" si="273"/>
        <v>836.84551999999985</v>
      </c>
      <c r="EO141" s="2152">
        <f t="shared" si="274"/>
        <v>5.5736194586530257</v>
      </c>
      <c r="EP141" s="2152">
        <f t="shared" si="275"/>
        <v>5.5736194586530257</v>
      </c>
      <c r="EQ141" s="2153"/>
      <c r="ER141" s="2154"/>
      <c r="ES141" s="2209" t="e">
        <v>#N/A</v>
      </c>
      <c r="EU141" s="2230"/>
      <c r="FC141" s="2155"/>
    </row>
    <row r="142" spans="1:159">
      <c r="A142" s="2220"/>
      <c r="B142" s="2145" t="s">
        <v>1750</v>
      </c>
      <c r="C142" s="2145"/>
      <c r="D142" s="2145"/>
      <c r="E142" s="2145"/>
      <c r="F142" s="2145"/>
      <c r="G142" s="1592"/>
      <c r="H142" s="2109"/>
      <c r="I142" s="2276"/>
      <c r="J142" s="2109"/>
      <c r="K142" s="2148"/>
      <c r="L142" s="2151"/>
      <c r="M142" s="2152"/>
      <c r="N142" s="2149">
        <v>0</v>
      </c>
      <c r="O142" s="2109"/>
      <c r="P142" s="2109">
        <v>0</v>
      </c>
      <c r="Q142" s="2109">
        <v>0</v>
      </c>
      <c r="R142" s="2109">
        <f t="shared" si="156"/>
        <v>0</v>
      </c>
      <c r="S142" s="2109"/>
      <c r="T142" s="2109"/>
      <c r="U142" s="2109"/>
      <c r="V142" s="2109"/>
      <c r="W142" s="2109"/>
      <c r="X142" s="2149">
        <v>0</v>
      </c>
      <c r="Y142" s="2109"/>
      <c r="Z142" s="2109">
        <v>0</v>
      </c>
      <c r="AA142" s="2109">
        <v>0</v>
      </c>
      <c r="AB142" s="2109">
        <f t="shared" si="157"/>
        <v>0</v>
      </c>
      <c r="AC142" s="2135"/>
      <c r="AD142" s="2135"/>
      <c r="AE142" s="2135"/>
      <c r="AF142" s="2135"/>
      <c r="AG142" s="2135"/>
      <c r="AH142" s="2149">
        <v>0</v>
      </c>
      <c r="AI142" s="2109"/>
      <c r="AJ142" s="2109">
        <v>0</v>
      </c>
      <c r="AK142" s="2109">
        <v>0</v>
      </c>
      <c r="AL142" s="2109">
        <f t="shared" si="158"/>
        <v>0</v>
      </c>
      <c r="AM142" s="2135"/>
      <c r="AN142" s="2135"/>
      <c r="AO142" s="2238"/>
      <c r="AP142" s="2135"/>
      <c r="AQ142" s="2135"/>
      <c r="AR142" s="2149">
        <v>0</v>
      </c>
      <c r="AS142" s="2109"/>
      <c r="AT142" s="2109">
        <v>0</v>
      </c>
      <c r="AU142" s="2109">
        <v>0</v>
      </c>
      <c r="AV142" s="2109">
        <f t="shared" si="159"/>
        <v>0</v>
      </c>
      <c r="AW142" s="2135"/>
      <c r="AX142" s="2135"/>
      <c r="AY142" s="2238"/>
      <c r="AZ142" s="2135"/>
      <c r="BA142" s="2135"/>
      <c r="BB142" s="2149">
        <v>0</v>
      </c>
      <c r="BC142" s="2109"/>
      <c r="BD142" s="2109">
        <v>0</v>
      </c>
      <c r="BE142" s="2109">
        <v>0</v>
      </c>
      <c r="BF142" s="2109">
        <f t="shared" si="160"/>
        <v>0</v>
      </c>
      <c r="BG142" s="2135"/>
      <c r="BH142" s="2135"/>
      <c r="BI142" s="2238"/>
      <c r="BJ142" s="2135"/>
      <c r="BK142" s="2135"/>
      <c r="BL142" s="2149">
        <v>0</v>
      </c>
      <c r="BM142" s="2109"/>
      <c r="BN142" s="2109">
        <v>0</v>
      </c>
      <c r="BO142" s="2109">
        <v>0</v>
      </c>
      <c r="BP142" s="2109">
        <f t="shared" si="161"/>
        <v>0</v>
      </c>
      <c r="BQ142" s="2135"/>
      <c r="BR142" s="2135"/>
      <c r="BS142" s="2135"/>
      <c r="BT142" s="2135"/>
      <c r="BU142" s="2135"/>
      <c r="BV142" s="2149">
        <v>0</v>
      </c>
      <c r="BW142" s="2109"/>
      <c r="BX142" s="2109">
        <v>0</v>
      </c>
      <c r="BY142" s="2109">
        <v>0</v>
      </c>
      <c r="BZ142" s="2109">
        <f t="shared" si="162"/>
        <v>0</v>
      </c>
      <c r="CA142" s="2135"/>
      <c r="CB142" s="2135"/>
      <c r="CC142" s="2135"/>
      <c r="CD142" s="2135"/>
      <c r="CE142" s="2135"/>
      <c r="CF142" s="2149">
        <v>0</v>
      </c>
      <c r="CG142" s="2109"/>
      <c r="CH142" s="2109">
        <v>0</v>
      </c>
      <c r="CI142" s="2109">
        <v>0</v>
      </c>
      <c r="CJ142" s="2109">
        <f t="shared" si="163"/>
        <v>0</v>
      </c>
      <c r="CK142" s="2135"/>
      <c r="CL142" s="2135"/>
      <c r="CM142" s="2238"/>
      <c r="CN142" s="2135"/>
      <c r="CO142" s="2135"/>
      <c r="CP142" s="2149">
        <v>0</v>
      </c>
      <c r="CQ142" s="2109"/>
      <c r="CR142" s="2109">
        <v>0</v>
      </c>
      <c r="CS142" s="2109">
        <v>0</v>
      </c>
      <c r="CT142" s="2109">
        <f t="shared" si="164"/>
        <v>0</v>
      </c>
      <c r="CU142" s="2135"/>
      <c r="CV142" s="2135"/>
      <c r="CW142" s="2238"/>
      <c r="CX142" s="2135"/>
      <c r="CY142" s="2135"/>
      <c r="CZ142" s="2149">
        <v>0</v>
      </c>
      <c r="DA142" s="2109"/>
      <c r="DB142" s="2109">
        <v>0</v>
      </c>
      <c r="DC142" s="2109">
        <v>0</v>
      </c>
      <c r="DD142" s="2109">
        <f t="shared" si="165"/>
        <v>0</v>
      </c>
      <c r="DE142" s="2135"/>
      <c r="DF142" s="2135"/>
      <c r="DG142" s="2238"/>
      <c r="DH142" s="2135"/>
      <c r="DI142" s="2135"/>
      <c r="DJ142" s="2149">
        <v>0</v>
      </c>
      <c r="DK142" s="2109"/>
      <c r="DL142" s="2109">
        <v>0</v>
      </c>
      <c r="DM142" s="2109">
        <v>0</v>
      </c>
      <c r="DN142" s="2109">
        <f t="shared" si="166"/>
        <v>0</v>
      </c>
      <c r="DO142" s="2135"/>
      <c r="DP142" s="2135"/>
      <c r="DQ142" s="2238"/>
      <c r="DR142" s="2135"/>
      <c r="DS142" s="2135"/>
      <c r="DT142" s="2149">
        <v>0</v>
      </c>
      <c r="DU142" s="2109"/>
      <c r="DV142" s="2109">
        <v>0</v>
      </c>
      <c r="DW142" s="2109">
        <v>0</v>
      </c>
      <c r="DX142" s="2109">
        <f t="shared" si="167"/>
        <v>0</v>
      </c>
      <c r="DY142" s="2135"/>
      <c r="DZ142" s="2135"/>
      <c r="EA142" s="2135"/>
      <c r="EB142" s="2135"/>
      <c r="EC142" s="2135"/>
      <c r="ED142" s="2135"/>
      <c r="EE142" s="2107"/>
      <c r="EF142" s="2106"/>
      <c r="EG142" s="2106"/>
      <c r="EH142" s="2106"/>
      <c r="EI142" s="2106"/>
      <c r="EJ142" s="2106"/>
      <c r="EK142" s="2106"/>
      <c r="EL142" s="2106"/>
      <c r="EM142" s="2106"/>
      <c r="EN142" s="2106"/>
      <c r="EO142" s="1915"/>
      <c r="EP142" s="2223"/>
      <c r="EQ142" s="2224"/>
      <c r="ER142" s="2277"/>
      <c r="ES142" s="2209" t="e">
        <v>#N/A</v>
      </c>
      <c r="EU142" s="2230"/>
    </row>
    <row r="143" spans="1:159">
      <c r="A143" s="2220">
        <v>1</v>
      </c>
      <c r="B143" s="2227" t="s">
        <v>1764</v>
      </c>
      <c r="C143" s="2146">
        <v>1320</v>
      </c>
      <c r="D143" s="2134">
        <f t="shared" ref="D143:D158" si="276">G143/C143</f>
        <v>0.77575757575757576</v>
      </c>
      <c r="E143" s="1882"/>
      <c r="F143" s="2247">
        <v>0.84999999999999976</v>
      </c>
      <c r="G143" s="2146">
        <v>1024</v>
      </c>
      <c r="H143" s="2248" t="s">
        <v>1649</v>
      </c>
      <c r="I143" s="2249">
        <v>2</v>
      </c>
      <c r="J143" s="2149">
        <v>3012.3325439999999</v>
      </c>
      <c r="K143" s="2148">
        <v>3.4703846153846141E-2</v>
      </c>
      <c r="L143" s="2151"/>
      <c r="M143" s="2106">
        <f t="shared" ref="M143:M158" si="277">J143*(1-K143)*(1-L143)</f>
        <v>2907.7930188288001</v>
      </c>
      <c r="N143" s="2149">
        <v>0</v>
      </c>
      <c r="O143" s="2135">
        <f t="shared" ref="O143:O158" si="278">IFERROR(P143/N143*10,0)</f>
        <v>0</v>
      </c>
      <c r="P143" s="2109">
        <v>86.480956725187511</v>
      </c>
      <c r="Q143" s="2109">
        <v>2.6059171286180507</v>
      </c>
      <c r="R143" s="2109">
        <f t="shared" ref="R143:R209" si="279">IFERROR(Q143*N143/10,0)</f>
        <v>0</v>
      </c>
      <c r="S143" s="2135"/>
      <c r="T143" s="2135"/>
      <c r="U143" s="2135"/>
      <c r="V143" s="2135">
        <f t="shared" ref="V143:V158" si="280">IFERROR(W143/N143*10,0)</f>
        <v>0</v>
      </c>
      <c r="W143" s="2135">
        <f t="shared" ref="W143:W158" si="281">P143+R143</f>
        <v>86.480956725187511</v>
      </c>
      <c r="X143" s="2149">
        <v>610.34188800000004</v>
      </c>
      <c r="Y143" s="2135">
        <f t="shared" ref="Y143:Y158" si="282">IFERROR(Z143/X143*10,0)</f>
        <v>1.4169264542627542</v>
      </c>
      <c r="Z143" s="2109">
        <v>86.480956725187511</v>
      </c>
      <c r="AA143" s="2109">
        <v>2.6059171286180507</v>
      </c>
      <c r="AB143" s="2109">
        <f t="shared" ref="AB143:AB209" si="283">IFERROR(AA143*X143/10,0)</f>
        <v>159.05003802522799</v>
      </c>
      <c r="AC143" s="2135"/>
      <c r="AD143" s="2135"/>
      <c r="AE143" s="2135"/>
      <c r="AF143" s="2135">
        <f t="shared" ref="AF143:AF158" si="284">IFERROR(AG143/X143*10,0)</f>
        <v>4.0228435828808049</v>
      </c>
      <c r="AG143" s="2135">
        <f t="shared" ref="AG143:AG158" si="285">Z143+AB143</f>
        <v>245.53099475041552</v>
      </c>
      <c r="AH143" s="2149">
        <v>590.65344000000005</v>
      </c>
      <c r="AI143" s="2135">
        <f t="shared" ref="AI143:AI158" si="286">IFERROR(AJ143/AH143*10,0)</f>
        <v>1.4641573360715125</v>
      </c>
      <c r="AJ143" s="2109">
        <v>86.480956725187511</v>
      </c>
      <c r="AK143" s="2109">
        <v>2.6059171286180507</v>
      </c>
      <c r="AL143" s="2109">
        <f t="shared" ref="AL143:AL209" si="287">IFERROR(AK143*AH143/10,0)</f>
        <v>153.91939163731743</v>
      </c>
      <c r="AM143" s="2135"/>
      <c r="AN143" s="2135"/>
      <c r="AO143" s="2135"/>
      <c r="AP143" s="2135">
        <f t="shared" ref="AP143:AP158" si="288">IFERROR(AQ143/AH143*10,0)</f>
        <v>4.0700744646895632</v>
      </c>
      <c r="AQ143" s="2135">
        <f t="shared" ref="AQ143:AQ158" si="289">AL143+AJ143</f>
        <v>240.40034836250493</v>
      </c>
      <c r="AR143" s="2149">
        <v>610.34188800000004</v>
      </c>
      <c r="AS143" s="2135">
        <f t="shared" ref="AS143:AS158" si="290">IFERROR(AT143/AR143*10,0)</f>
        <v>1.4169264542627542</v>
      </c>
      <c r="AT143" s="2109">
        <v>86.480956725187511</v>
      </c>
      <c r="AU143" s="2109">
        <v>2.6059171286180507</v>
      </c>
      <c r="AV143" s="2109">
        <f t="shared" ref="AV143:AV209" si="291">IFERROR(AU143*AR143/10,0)</f>
        <v>159.05003802522799</v>
      </c>
      <c r="AW143" s="2135"/>
      <c r="AX143" s="2135"/>
      <c r="AY143" s="2135"/>
      <c r="AZ143" s="2135">
        <f t="shared" ref="AZ143:AZ158" si="292">IFERROR(BA143/AR143*10,0)</f>
        <v>4.0228435828808049</v>
      </c>
      <c r="BA143" s="2135">
        <f t="shared" ref="BA143:BA158" si="293">AV143+AT143</f>
        <v>245.53099475041552</v>
      </c>
      <c r="BB143" s="2149">
        <v>610.34188800000004</v>
      </c>
      <c r="BC143" s="2135">
        <f t="shared" ref="BC143:BC158" si="294">IFERROR(BD143/BB143*10,0)</f>
        <v>1.4169264542627542</v>
      </c>
      <c r="BD143" s="2109">
        <v>86.480956725187511</v>
      </c>
      <c r="BE143" s="2109">
        <v>2.6059171286180507</v>
      </c>
      <c r="BF143" s="2109">
        <f t="shared" ref="BF143:BF209" si="295">IFERROR(BE143*BB143/10,0)</f>
        <v>159.05003802522799</v>
      </c>
      <c r="BG143" s="2135"/>
      <c r="BH143" s="2135"/>
      <c r="BI143" s="2135"/>
      <c r="BJ143" s="2135">
        <f t="shared" ref="BJ143:BJ158" si="296">IFERROR(BK143/BB143*10,0)</f>
        <v>4.0228435828808049</v>
      </c>
      <c r="BK143" s="2135">
        <f t="shared" ref="BK143:BK158" si="297">BF143+BD143</f>
        <v>245.53099475041552</v>
      </c>
      <c r="BL143" s="2149">
        <v>590.65344000000005</v>
      </c>
      <c r="BM143" s="2135">
        <f t="shared" ref="BM143:BM158" si="298">IFERROR(BN143/BL143*10,0)</f>
        <v>1.4641573360715125</v>
      </c>
      <c r="BN143" s="2109">
        <v>86.480956725187511</v>
      </c>
      <c r="BO143" s="2109">
        <v>2.6059171286180507</v>
      </c>
      <c r="BP143" s="2109">
        <f t="shared" ref="BP143:BP209" si="299">IFERROR(BO143*BL143/10,0)</f>
        <v>153.91939163731743</v>
      </c>
      <c r="BQ143" s="2135"/>
      <c r="BR143" s="2135"/>
      <c r="BS143" s="2135"/>
      <c r="BT143" s="2135">
        <f t="shared" ref="BT143:BT158" si="300">IFERROR(BU143/BL143*10,0)</f>
        <v>4.0700744646895632</v>
      </c>
      <c r="BU143" s="2135">
        <f t="shared" ref="BU143:BU158" si="301">BP143+BN143</f>
        <v>240.40034836250493</v>
      </c>
      <c r="BV143" s="2149">
        <v>0</v>
      </c>
      <c r="BW143" s="2135">
        <f t="shared" ref="BW143:BW158" si="302">IFERROR(BX143/BV143*10,0)</f>
        <v>0</v>
      </c>
      <c r="BX143" s="2109">
        <v>86.480956725187511</v>
      </c>
      <c r="BY143" s="2109">
        <v>2.6059171286180507</v>
      </c>
      <c r="BZ143" s="2109">
        <f t="shared" ref="BZ143:BZ209" si="303">IFERROR(BY143*BV143/10,0)</f>
        <v>0</v>
      </c>
      <c r="CA143" s="2135"/>
      <c r="CB143" s="2135"/>
      <c r="CC143" s="2135"/>
      <c r="CD143" s="2135">
        <f t="shared" ref="CD143:CD158" si="304">IFERROR(CE143/BV143*10,0)</f>
        <v>0</v>
      </c>
      <c r="CE143" s="2135">
        <f t="shared" ref="CE143:CE158" si="305">BZ143+BX143</f>
        <v>86.480956725187511</v>
      </c>
      <c r="CF143" s="2149">
        <v>0</v>
      </c>
      <c r="CG143" s="2135">
        <f t="shared" ref="CG143:CG158" si="306">IFERROR(CH143/CF143*10,0)</f>
        <v>0</v>
      </c>
      <c r="CH143" s="2109">
        <v>86.480956725187511</v>
      </c>
      <c r="CI143" s="2109">
        <v>2.6059171286180507</v>
      </c>
      <c r="CJ143" s="2109">
        <f t="shared" ref="CJ143:CJ209" si="307">IFERROR(CI143*CF143/10,0)</f>
        <v>0</v>
      </c>
      <c r="CK143" s="2135"/>
      <c r="CL143" s="2135"/>
      <c r="CM143" s="2135"/>
      <c r="CN143" s="2135">
        <f t="shared" ref="CN143:CN158" si="308">IFERROR(CO143/CF143*10,0)</f>
        <v>0</v>
      </c>
      <c r="CO143" s="2135">
        <f t="shared" ref="CO143:CO158" si="309">CJ143+CH143</f>
        <v>86.480956725187511</v>
      </c>
      <c r="CP143" s="2149">
        <v>0</v>
      </c>
      <c r="CQ143" s="2135">
        <f t="shared" ref="CQ143:CQ158" si="310">IFERROR(CR143/CP143*10,0)</f>
        <v>0</v>
      </c>
      <c r="CR143" s="2109">
        <v>86.480956725187511</v>
      </c>
      <c r="CS143" s="2109">
        <v>2.6059171286180507</v>
      </c>
      <c r="CT143" s="2109">
        <f t="shared" ref="CT143:CT209" si="311">IFERROR(CS143*CP143/10,0)</f>
        <v>0</v>
      </c>
      <c r="CU143" s="2135"/>
      <c r="CV143" s="2135"/>
      <c r="CW143" s="2135"/>
      <c r="CX143" s="2135">
        <f t="shared" ref="CX143:CX158" si="312">IFERROR(CY143/CP143*10,0)</f>
        <v>0</v>
      </c>
      <c r="CY143" s="2135">
        <f t="shared" ref="CY143:CY158" si="313">CT143+CR143</f>
        <v>86.480956725187511</v>
      </c>
      <c r="CZ143" s="2149">
        <v>0</v>
      </c>
      <c r="DA143" s="2135">
        <f t="shared" ref="DA143:DA158" si="314">IFERROR(DB143/CZ143*10,0)</f>
        <v>0</v>
      </c>
      <c r="DB143" s="2109">
        <v>86.480956725187511</v>
      </c>
      <c r="DC143" s="2109">
        <v>2.6059171286180507</v>
      </c>
      <c r="DD143" s="2109">
        <f t="shared" ref="DD143:DD209" si="315">IFERROR(DC143*CZ143/10,0)</f>
        <v>0</v>
      </c>
      <c r="DE143" s="2135"/>
      <c r="DF143" s="2135"/>
      <c r="DG143" s="2135"/>
      <c r="DH143" s="2135">
        <f t="shared" ref="DH143:DH158" si="316">IFERROR(DI143/CZ143*10,0)</f>
        <v>0</v>
      </c>
      <c r="DI143" s="2135">
        <f t="shared" ref="DI143:DI158" si="317">DD143+DB143</f>
        <v>86.480956725187511</v>
      </c>
      <c r="DJ143" s="2149">
        <v>0</v>
      </c>
      <c r="DK143" s="2135">
        <f t="shared" ref="DK143:DK158" si="318">IFERROR(DL143/DJ143*10,0)</f>
        <v>0</v>
      </c>
      <c r="DL143" s="2109">
        <v>86.480956725187511</v>
      </c>
      <c r="DM143" s="2109">
        <v>2.6059171286180507</v>
      </c>
      <c r="DN143" s="2109">
        <f t="shared" ref="DN143:DN209" si="319">IFERROR(DM143*DJ143/10,0)</f>
        <v>0</v>
      </c>
      <c r="DO143" s="2135"/>
      <c r="DP143" s="2135"/>
      <c r="DQ143" s="2135"/>
      <c r="DR143" s="2135">
        <f t="shared" ref="DR143:DR158" si="320">IFERROR(DS143/DJ143*10,0)</f>
        <v>0</v>
      </c>
      <c r="DS143" s="2135">
        <f t="shared" ref="DS143:DS158" si="321">DN143+DL143</f>
        <v>86.480956725187511</v>
      </c>
      <c r="DT143" s="2149">
        <v>0</v>
      </c>
      <c r="DU143" s="2135">
        <f t="shared" ref="DU143:DU158" si="322">IFERROR(DV143/DT143*10,0)</f>
        <v>0</v>
      </c>
      <c r="DV143" s="2109">
        <v>86.480956725187511</v>
      </c>
      <c r="DW143" s="2109">
        <v>2.6059171286180507</v>
      </c>
      <c r="DX143" s="2109">
        <f t="shared" ref="DX143:DX209" si="323">IFERROR(DW143*DT143/10,0)</f>
        <v>0</v>
      </c>
      <c r="DY143" s="2135"/>
      <c r="DZ143" s="2135"/>
      <c r="EA143" s="2135"/>
      <c r="EB143" s="2135">
        <f t="shared" ref="EB143:EB158" si="324">IFERROR(EC143/DT143*10,0)</f>
        <v>0</v>
      </c>
      <c r="EC143" s="2135">
        <f t="shared" ref="EC143:EC158" si="325">DX143+DV143</f>
        <v>86.480956725187511</v>
      </c>
      <c r="ED143" s="2135"/>
      <c r="EE143" s="2106">
        <f t="shared" ref="EE143:EE158" si="326">SUM(N143,X143,AH143,AR143,BB143,BL143,BV143,CF143,CP143,CZ143,DJ143,DT143)</f>
        <v>3012.3325439999999</v>
      </c>
      <c r="EF143" s="2106">
        <f t="shared" ref="EF143:EF161" si="327">IFERROR((EG143/EE143)*10,0)</f>
        <v>3.4450760848741475</v>
      </c>
      <c r="EG143" s="2106">
        <f t="shared" ref="EG143:EG158" si="328">SUM(P143,Z143,AJ143,AT143,BD143,BN143,BX143,CR143,CH143,DB143,DL143,DV143)</f>
        <v>1037.7714807022501</v>
      </c>
      <c r="EH143" s="2106">
        <f t="shared" ref="EH143:EH161" si="329">IFERROR((EI143/EE143)*10,0)</f>
        <v>2.6059171286180511</v>
      </c>
      <c r="EI143" s="2106">
        <f t="shared" ref="EI143:EI158" si="330">SUM(R143,AB143,AL143,AV143,BF143,BP143,BZ143,CJ143,CT143,DD143,DN143,DX143)</f>
        <v>784.98889735031878</v>
      </c>
      <c r="EJ143" s="2106"/>
      <c r="EK143" s="2106"/>
      <c r="EL143" s="2106"/>
      <c r="EM143" s="2106">
        <f t="shared" ref="EM143:EM161" si="331">IFERROR(EN143/EE143*10,0)</f>
        <v>6.0509932134921982</v>
      </c>
      <c r="EN143" s="2106">
        <f t="shared" ref="EN143:EN158" si="332">EG143+EI143</f>
        <v>1822.7603780525687</v>
      </c>
      <c r="EO143" s="2106">
        <f t="shared" ref="EO143:EO159" si="333">EN143/J143*10</f>
        <v>6.0509932134921982</v>
      </c>
      <c r="EP143" s="2114">
        <f t="shared" ref="EP143:EP159" si="334">EN143/M143*10</f>
        <v>6.2685355052772618</v>
      </c>
      <c r="EQ143" s="2224"/>
      <c r="ER143" s="2277"/>
      <c r="ES143" s="2209" t="e">
        <v>#N/A</v>
      </c>
      <c r="EU143" s="2230"/>
    </row>
    <row r="144" spans="1:159">
      <c r="A144" s="2220">
        <v>2</v>
      </c>
      <c r="B144" s="2227" t="s">
        <v>1765</v>
      </c>
      <c r="C144" s="2146">
        <v>1200</v>
      </c>
      <c r="D144" s="2134">
        <f t="shared" si="276"/>
        <v>0.91666666666666663</v>
      </c>
      <c r="E144" s="1882"/>
      <c r="F144" s="2247">
        <v>0.79493084377611789</v>
      </c>
      <c r="G144" s="2146">
        <v>1100</v>
      </c>
      <c r="H144" s="2248" t="s">
        <v>1649</v>
      </c>
      <c r="I144" s="2249">
        <v>2</v>
      </c>
      <c r="J144" s="2149">
        <v>7117.812300341935</v>
      </c>
      <c r="K144" s="2247"/>
      <c r="L144" s="2151"/>
      <c r="M144" s="2106">
        <f t="shared" si="277"/>
        <v>7117.812300341935</v>
      </c>
      <c r="N144" s="2149">
        <v>526.34201519999999</v>
      </c>
      <c r="O144" s="2135">
        <f t="shared" si="278"/>
        <v>0.98181828552521389</v>
      </c>
      <c r="P144" s="2109">
        <v>51.677221496355003</v>
      </c>
      <c r="Q144" s="2109">
        <v>2.1199998720478721</v>
      </c>
      <c r="R144" s="2109">
        <f t="shared" si="279"/>
        <v>111.58450048774191</v>
      </c>
      <c r="S144" s="2135"/>
      <c r="T144" s="2135"/>
      <c r="U144" s="2135"/>
      <c r="V144" s="2135">
        <f t="shared" si="280"/>
        <v>3.1018181575730859</v>
      </c>
      <c r="W144" s="2135">
        <f t="shared" si="281"/>
        <v>163.26172198409691</v>
      </c>
      <c r="X144" s="2149">
        <v>608.45369099999994</v>
      </c>
      <c r="Y144" s="2135">
        <f t="shared" si="282"/>
        <v>0.84932053598726565</v>
      </c>
      <c r="Z144" s="2109">
        <v>51.677221496355003</v>
      </c>
      <c r="AA144" s="2109">
        <v>2.1199998720478721</v>
      </c>
      <c r="AB144" s="2109">
        <f t="shared" si="283"/>
        <v>128.99217470670553</v>
      </c>
      <c r="AC144" s="2135"/>
      <c r="AD144" s="2135"/>
      <c r="AE144" s="2135"/>
      <c r="AF144" s="2135">
        <f t="shared" si="284"/>
        <v>2.9693204080351379</v>
      </c>
      <c r="AG144" s="2135">
        <f t="shared" si="285"/>
        <v>180.66939620306053</v>
      </c>
      <c r="AH144" s="2149">
        <v>649.13701860000003</v>
      </c>
      <c r="AI144" s="2135">
        <f t="shared" si="286"/>
        <v>0.79609111814032352</v>
      </c>
      <c r="AJ144" s="2109">
        <v>51.677221496355003</v>
      </c>
      <c r="AK144" s="2109">
        <v>2.1199998720478721</v>
      </c>
      <c r="AL144" s="2109">
        <f t="shared" si="287"/>
        <v>137.61703963735371</v>
      </c>
      <c r="AM144" s="2135"/>
      <c r="AN144" s="2135"/>
      <c r="AO144" s="2135"/>
      <c r="AP144" s="2135">
        <f t="shared" si="288"/>
        <v>2.9160909901881955</v>
      </c>
      <c r="AQ144" s="2135">
        <f t="shared" si="289"/>
        <v>189.29426113370872</v>
      </c>
      <c r="AR144" s="2149">
        <v>632.10462400000006</v>
      </c>
      <c r="AS144" s="2135">
        <f t="shared" si="290"/>
        <v>0.81754221586512232</v>
      </c>
      <c r="AT144" s="2109">
        <v>51.677221496355003</v>
      </c>
      <c r="AU144" s="2109">
        <v>2.1199998720478721</v>
      </c>
      <c r="AV144" s="2109">
        <f t="shared" si="291"/>
        <v>134.00617220008684</v>
      </c>
      <c r="AW144" s="2135"/>
      <c r="AX144" s="2135"/>
      <c r="AY144" s="2135"/>
      <c r="AZ144" s="2135">
        <f t="shared" si="292"/>
        <v>2.9375420879129943</v>
      </c>
      <c r="BA144" s="2135">
        <f t="shared" si="293"/>
        <v>185.68339369644184</v>
      </c>
      <c r="BB144" s="2149">
        <v>621.39519000000007</v>
      </c>
      <c r="BC144" s="2135">
        <f t="shared" si="294"/>
        <v>0.83163214533982788</v>
      </c>
      <c r="BD144" s="2109">
        <v>51.677221496355003</v>
      </c>
      <c r="BE144" s="2109">
        <v>2.1199998720478721</v>
      </c>
      <c r="BF144" s="2109">
        <f t="shared" si="295"/>
        <v>131.73577232911632</v>
      </c>
      <c r="BG144" s="2135"/>
      <c r="BH144" s="2135"/>
      <c r="BI144" s="2135"/>
      <c r="BJ144" s="2135">
        <f t="shared" si="296"/>
        <v>2.9516320173876998</v>
      </c>
      <c r="BK144" s="2135">
        <f t="shared" si="297"/>
        <v>183.41299382547132</v>
      </c>
      <c r="BL144" s="2149">
        <v>582.72514974193541</v>
      </c>
      <c r="BM144" s="2135">
        <f t="shared" si="298"/>
        <v>0.88681982439303819</v>
      </c>
      <c r="BN144" s="2109">
        <v>51.677221496355003</v>
      </c>
      <c r="BO144" s="2109">
        <v>2.1199998720478721</v>
      </c>
      <c r="BP144" s="2109">
        <f t="shared" si="299"/>
        <v>123.53772428919801</v>
      </c>
      <c r="BQ144" s="2135"/>
      <c r="BR144" s="2135"/>
      <c r="BS144" s="2135"/>
      <c r="BT144" s="2135">
        <f t="shared" si="300"/>
        <v>3.0068196964409104</v>
      </c>
      <c r="BU144" s="2135">
        <f t="shared" si="301"/>
        <v>175.21494578555303</v>
      </c>
      <c r="BV144" s="2149">
        <v>635.81324800000004</v>
      </c>
      <c r="BW144" s="2135">
        <f t="shared" si="302"/>
        <v>0.81277358813943734</v>
      </c>
      <c r="BX144" s="2109">
        <v>51.677221496355003</v>
      </c>
      <c r="BY144" s="2109">
        <v>2.1199998720478721</v>
      </c>
      <c r="BZ144" s="2109">
        <f t="shared" si="303"/>
        <v>134.7924004406342</v>
      </c>
      <c r="CA144" s="2135"/>
      <c r="CB144" s="2135"/>
      <c r="CC144" s="2135"/>
      <c r="CD144" s="2135">
        <f t="shared" si="304"/>
        <v>2.9327734601873097</v>
      </c>
      <c r="CE144" s="2135">
        <f t="shared" si="305"/>
        <v>186.4696219369892</v>
      </c>
      <c r="CF144" s="2149">
        <v>541.59751859999994</v>
      </c>
      <c r="CG144" s="2135">
        <f t="shared" si="306"/>
        <v>0.95416281872815456</v>
      </c>
      <c r="CH144" s="2109">
        <v>51.677221496355003</v>
      </c>
      <c r="CI144" s="2109">
        <v>2.1199998720478721</v>
      </c>
      <c r="CJ144" s="2109">
        <f t="shared" si="307"/>
        <v>114.81866701334449</v>
      </c>
      <c r="CK144" s="2135"/>
      <c r="CL144" s="2135"/>
      <c r="CM144" s="2135"/>
      <c r="CN144" s="2135">
        <f t="shared" si="308"/>
        <v>3.0741626907760269</v>
      </c>
      <c r="CO144" s="2135">
        <f t="shared" si="309"/>
        <v>166.49588850969951</v>
      </c>
      <c r="CP144" s="2149">
        <v>630.57434820000003</v>
      </c>
      <c r="CQ144" s="2135">
        <f t="shared" si="310"/>
        <v>0.81952622468499892</v>
      </c>
      <c r="CR144" s="2109">
        <v>51.677221496355003</v>
      </c>
      <c r="CS144" s="2109">
        <v>2.1199998720478721</v>
      </c>
      <c r="CT144" s="2109">
        <f t="shared" si="311"/>
        <v>133.68175375006703</v>
      </c>
      <c r="CU144" s="2135"/>
      <c r="CV144" s="2135"/>
      <c r="CW144" s="2135"/>
      <c r="CX144" s="2135">
        <f t="shared" si="312"/>
        <v>2.9395260967328705</v>
      </c>
      <c r="CY144" s="2135">
        <f t="shared" si="313"/>
        <v>185.35897524642203</v>
      </c>
      <c r="CZ144" s="2149">
        <v>645.04058099999997</v>
      </c>
      <c r="DA144" s="2135">
        <f t="shared" si="314"/>
        <v>0.80114682732426412</v>
      </c>
      <c r="DB144" s="2109">
        <v>51.677221496355003</v>
      </c>
      <c r="DC144" s="2109">
        <v>2.1199998720478721</v>
      </c>
      <c r="DD144" s="2109">
        <f t="shared" si="315"/>
        <v>136.7485949185685</v>
      </c>
      <c r="DE144" s="2135"/>
      <c r="DF144" s="2135"/>
      <c r="DG144" s="2135"/>
      <c r="DH144" s="2135">
        <f t="shared" si="316"/>
        <v>2.9211466993721364</v>
      </c>
      <c r="DI144" s="2135">
        <f t="shared" si="317"/>
        <v>188.4258164149235</v>
      </c>
      <c r="DJ144" s="2149">
        <v>507.20510400000006</v>
      </c>
      <c r="DK144" s="2135">
        <f t="shared" si="318"/>
        <v>1.0188624106660211</v>
      </c>
      <c r="DL144" s="2109">
        <v>51.677221496355003</v>
      </c>
      <c r="DM144" s="2109">
        <v>2.1199998720478721</v>
      </c>
      <c r="DN144" s="2109">
        <f t="shared" si="319"/>
        <v>107.52747555820278</v>
      </c>
      <c r="DO144" s="2135"/>
      <c r="DP144" s="2135"/>
      <c r="DQ144" s="2135"/>
      <c r="DR144" s="2135">
        <f t="shared" si="320"/>
        <v>3.1388622827138937</v>
      </c>
      <c r="DS144" s="2135">
        <f t="shared" si="321"/>
        <v>159.20469705455778</v>
      </c>
      <c r="DT144" s="2149">
        <v>537.42381199999977</v>
      </c>
      <c r="DU144" s="2135">
        <f t="shared" si="322"/>
        <v>0.96157297727542868</v>
      </c>
      <c r="DV144" s="2109">
        <v>51.677221496355003</v>
      </c>
      <c r="DW144" s="2109">
        <v>2.1199998720478721</v>
      </c>
      <c r="DX144" s="2109">
        <f t="shared" si="323"/>
        <v>113.93384126754793</v>
      </c>
      <c r="DY144" s="2135"/>
      <c r="DZ144" s="2135"/>
      <c r="EA144" s="2135"/>
      <c r="EB144" s="2135">
        <f t="shared" si="324"/>
        <v>3.081572849323301</v>
      </c>
      <c r="EC144" s="2135">
        <f t="shared" si="325"/>
        <v>165.61106276390294</v>
      </c>
      <c r="ED144" s="2135"/>
      <c r="EE144" s="2106">
        <f t="shared" si="326"/>
        <v>7117.812300341935</v>
      </c>
      <c r="EF144" s="2106">
        <f t="shared" si="327"/>
        <v>0.87123210305288556</v>
      </c>
      <c r="EG144" s="2106">
        <f t="shared" si="328"/>
        <v>620.12665795626003</v>
      </c>
      <c r="EH144" s="2106">
        <f t="shared" si="329"/>
        <v>2.1199998720478717</v>
      </c>
      <c r="EI144" s="2106">
        <f t="shared" si="330"/>
        <v>1508.9761165985669</v>
      </c>
      <c r="EJ144" s="2106"/>
      <c r="EK144" s="2106"/>
      <c r="EL144" s="2106"/>
      <c r="EM144" s="2106">
        <f t="shared" si="331"/>
        <v>2.9912319751007574</v>
      </c>
      <c r="EN144" s="2106">
        <f t="shared" si="332"/>
        <v>2129.1027745548272</v>
      </c>
      <c r="EO144" s="2106">
        <f t="shared" si="333"/>
        <v>2.9912319751007574</v>
      </c>
      <c r="EP144" s="2114">
        <f t="shared" si="334"/>
        <v>2.9912319751007574</v>
      </c>
      <c r="EQ144" s="2224"/>
      <c r="ER144" s="2277"/>
      <c r="ES144" s="2209" t="s">
        <v>1765</v>
      </c>
      <c r="EU144" s="2230"/>
    </row>
    <row r="145" spans="1:151">
      <c r="A145" s="2220">
        <v>4</v>
      </c>
      <c r="B145" s="2227" t="s">
        <v>1766</v>
      </c>
      <c r="C145" s="2146">
        <v>90</v>
      </c>
      <c r="D145" s="2134">
        <f t="shared" si="276"/>
        <v>1</v>
      </c>
      <c r="E145" s="1882"/>
      <c r="F145" s="2247">
        <v>0.34832606653564313</v>
      </c>
      <c r="G145" s="2146">
        <v>90</v>
      </c>
      <c r="H145" s="2248" t="s">
        <v>1649</v>
      </c>
      <c r="I145" s="2249">
        <v>2</v>
      </c>
      <c r="J145" s="2149">
        <v>208.78073999999995</v>
      </c>
      <c r="K145" s="2247"/>
      <c r="L145" s="2151"/>
      <c r="M145" s="2106">
        <f t="shared" si="277"/>
        <v>208.78073999999995</v>
      </c>
      <c r="N145" s="2149">
        <v>0</v>
      </c>
      <c r="O145" s="2135">
        <f t="shared" si="278"/>
        <v>0</v>
      </c>
      <c r="P145" s="2109">
        <v>10.170562500000001</v>
      </c>
      <c r="Q145" s="2109">
        <v>3.5680664959136834</v>
      </c>
      <c r="R145" s="2109">
        <f t="shared" si="279"/>
        <v>0</v>
      </c>
      <c r="S145" s="2135"/>
      <c r="T145" s="2135"/>
      <c r="U145" s="2135"/>
      <c r="V145" s="2135">
        <f t="shared" si="280"/>
        <v>0</v>
      </c>
      <c r="W145" s="2135">
        <f t="shared" si="281"/>
        <v>10.170562500000001</v>
      </c>
      <c r="X145" s="2149">
        <v>42.301979999999993</v>
      </c>
      <c r="Y145" s="2135">
        <f t="shared" si="282"/>
        <v>2.404275757304978</v>
      </c>
      <c r="Z145" s="2109">
        <v>10.170562500000001</v>
      </c>
      <c r="AA145" s="2109">
        <v>3.5680664959136834</v>
      </c>
      <c r="AB145" s="2109">
        <f t="shared" si="283"/>
        <v>15.093627754881069</v>
      </c>
      <c r="AC145" s="2135"/>
      <c r="AD145" s="2135"/>
      <c r="AE145" s="2135"/>
      <c r="AF145" s="2135">
        <f t="shared" si="284"/>
        <v>5.9723422532186623</v>
      </c>
      <c r="AG145" s="2135">
        <f t="shared" si="285"/>
        <v>25.264190254881072</v>
      </c>
      <c r="AH145" s="2149">
        <v>40.937399999999997</v>
      </c>
      <c r="AI145" s="2135">
        <f t="shared" si="286"/>
        <v>2.4844182825484769</v>
      </c>
      <c r="AJ145" s="2109">
        <v>10.170562500000001</v>
      </c>
      <c r="AK145" s="2109">
        <v>3.5680664959136834</v>
      </c>
      <c r="AL145" s="2109">
        <f t="shared" si="287"/>
        <v>14.60673653698168</v>
      </c>
      <c r="AM145" s="2135"/>
      <c r="AN145" s="2135"/>
      <c r="AO145" s="2135"/>
      <c r="AP145" s="2135">
        <f t="shared" si="288"/>
        <v>6.0524847784621603</v>
      </c>
      <c r="AQ145" s="2135">
        <f t="shared" si="289"/>
        <v>24.777299036981681</v>
      </c>
      <c r="AR145" s="2149">
        <v>42.301979999999993</v>
      </c>
      <c r="AS145" s="2135">
        <f t="shared" si="290"/>
        <v>2.404275757304978</v>
      </c>
      <c r="AT145" s="2109">
        <v>10.170562500000001</v>
      </c>
      <c r="AU145" s="2109">
        <v>3.5680664959136834</v>
      </c>
      <c r="AV145" s="2109">
        <f t="shared" si="291"/>
        <v>15.093627754881069</v>
      </c>
      <c r="AW145" s="2135"/>
      <c r="AX145" s="2135"/>
      <c r="AY145" s="2135"/>
      <c r="AZ145" s="2135">
        <f t="shared" si="292"/>
        <v>5.9723422532186623</v>
      </c>
      <c r="BA145" s="2135">
        <f t="shared" si="293"/>
        <v>25.264190254881072</v>
      </c>
      <c r="BB145" s="2149">
        <v>42.301979999999993</v>
      </c>
      <c r="BC145" s="2135">
        <f t="shared" si="294"/>
        <v>2.404275757304978</v>
      </c>
      <c r="BD145" s="2109">
        <v>10.170562500000001</v>
      </c>
      <c r="BE145" s="2109">
        <v>3.5680664959136834</v>
      </c>
      <c r="BF145" s="2109">
        <f t="shared" si="295"/>
        <v>15.093627754881069</v>
      </c>
      <c r="BG145" s="2135"/>
      <c r="BH145" s="2135"/>
      <c r="BI145" s="2135"/>
      <c r="BJ145" s="2135">
        <f t="shared" si="296"/>
        <v>5.9723422532186623</v>
      </c>
      <c r="BK145" s="2135">
        <f t="shared" si="297"/>
        <v>25.264190254881072</v>
      </c>
      <c r="BL145" s="2149">
        <v>40.937399999999997</v>
      </c>
      <c r="BM145" s="2135">
        <f t="shared" si="298"/>
        <v>2.4844182825484769</v>
      </c>
      <c r="BN145" s="2109">
        <v>10.170562500000001</v>
      </c>
      <c r="BO145" s="2109">
        <v>3.5680664959136834</v>
      </c>
      <c r="BP145" s="2109">
        <f t="shared" si="299"/>
        <v>14.60673653698168</v>
      </c>
      <c r="BQ145" s="2135"/>
      <c r="BR145" s="2135"/>
      <c r="BS145" s="2135"/>
      <c r="BT145" s="2135">
        <f t="shared" si="300"/>
        <v>6.0524847784621603</v>
      </c>
      <c r="BU145" s="2135">
        <f t="shared" si="301"/>
        <v>24.777299036981681</v>
      </c>
      <c r="BV145" s="2149">
        <v>0</v>
      </c>
      <c r="BW145" s="2135">
        <f t="shared" si="302"/>
        <v>0</v>
      </c>
      <c r="BX145" s="2109">
        <v>10.170562500000001</v>
      </c>
      <c r="BY145" s="2109">
        <v>3.5680664959136834</v>
      </c>
      <c r="BZ145" s="2109">
        <f t="shared" si="303"/>
        <v>0</v>
      </c>
      <c r="CA145" s="2135"/>
      <c r="CB145" s="2135"/>
      <c r="CC145" s="2135"/>
      <c r="CD145" s="2135">
        <f t="shared" si="304"/>
        <v>0</v>
      </c>
      <c r="CE145" s="2135">
        <f t="shared" si="305"/>
        <v>10.170562500000001</v>
      </c>
      <c r="CF145" s="2149">
        <v>0</v>
      </c>
      <c r="CG145" s="2135">
        <f t="shared" si="306"/>
        <v>0</v>
      </c>
      <c r="CH145" s="2109">
        <v>10.170562500000001</v>
      </c>
      <c r="CI145" s="2109">
        <v>3.5680664959136834</v>
      </c>
      <c r="CJ145" s="2109">
        <f t="shared" si="307"/>
        <v>0</v>
      </c>
      <c r="CK145" s="2135"/>
      <c r="CL145" s="2135"/>
      <c r="CM145" s="2135"/>
      <c r="CN145" s="2135">
        <f t="shared" si="308"/>
        <v>0</v>
      </c>
      <c r="CO145" s="2135">
        <f t="shared" si="309"/>
        <v>10.170562500000001</v>
      </c>
      <c r="CP145" s="2149">
        <v>0</v>
      </c>
      <c r="CQ145" s="2135">
        <f t="shared" si="310"/>
        <v>0</v>
      </c>
      <c r="CR145" s="2109">
        <v>10.170562500000001</v>
      </c>
      <c r="CS145" s="2109">
        <v>3.5680664959136834</v>
      </c>
      <c r="CT145" s="2109">
        <f t="shared" si="311"/>
        <v>0</v>
      </c>
      <c r="CU145" s="2135"/>
      <c r="CV145" s="2135"/>
      <c r="CW145" s="2135"/>
      <c r="CX145" s="2135">
        <f t="shared" si="312"/>
        <v>0</v>
      </c>
      <c r="CY145" s="2135">
        <f t="shared" si="313"/>
        <v>10.170562500000001</v>
      </c>
      <c r="CZ145" s="2149">
        <v>0</v>
      </c>
      <c r="DA145" s="2135">
        <f t="shared" si="314"/>
        <v>0</v>
      </c>
      <c r="DB145" s="2109">
        <v>10.170562500000001</v>
      </c>
      <c r="DC145" s="2109">
        <v>3.5680664959136834</v>
      </c>
      <c r="DD145" s="2109">
        <f t="shared" si="315"/>
        <v>0</v>
      </c>
      <c r="DE145" s="2135"/>
      <c r="DF145" s="2135"/>
      <c r="DG145" s="2135"/>
      <c r="DH145" s="2135">
        <f t="shared" si="316"/>
        <v>0</v>
      </c>
      <c r="DI145" s="2135">
        <f t="shared" si="317"/>
        <v>10.170562500000001</v>
      </c>
      <c r="DJ145" s="2149">
        <v>0</v>
      </c>
      <c r="DK145" s="2135">
        <f t="shared" si="318"/>
        <v>0</v>
      </c>
      <c r="DL145" s="2109">
        <v>10.170562500000001</v>
      </c>
      <c r="DM145" s="2109">
        <v>3.5680664959136834</v>
      </c>
      <c r="DN145" s="2109">
        <f t="shared" si="319"/>
        <v>0</v>
      </c>
      <c r="DO145" s="2135"/>
      <c r="DP145" s="2135"/>
      <c r="DQ145" s="2135"/>
      <c r="DR145" s="2135">
        <f t="shared" si="320"/>
        <v>0</v>
      </c>
      <c r="DS145" s="2135">
        <f t="shared" si="321"/>
        <v>10.170562500000001</v>
      </c>
      <c r="DT145" s="2149">
        <v>0</v>
      </c>
      <c r="DU145" s="2135">
        <f t="shared" si="322"/>
        <v>0</v>
      </c>
      <c r="DV145" s="2109">
        <v>10.170562500000001</v>
      </c>
      <c r="DW145" s="2109">
        <v>3.5680664959136834</v>
      </c>
      <c r="DX145" s="2109">
        <f t="shared" si="323"/>
        <v>0</v>
      </c>
      <c r="DY145" s="2135"/>
      <c r="DZ145" s="2135"/>
      <c r="EA145" s="2135"/>
      <c r="EB145" s="2135">
        <f t="shared" si="324"/>
        <v>0</v>
      </c>
      <c r="EC145" s="2135">
        <f t="shared" si="325"/>
        <v>10.170562500000001</v>
      </c>
      <c r="ED145" s="2135"/>
      <c r="EE145" s="2106">
        <f t="shared" si="326"/>
        <v>208.78073999999995</v>
      </c>
      <c r="EF145" s="2106">
        <f t="shared" si="327"/>
        <v>5.8456900765846527</v>
      </c>
      <c r="EG145" s="2106">
        <f t="shared" si="328"/>
        <v>122.04675000000002</v>
      </c>
      <c r="EH145" s="2106">
        <f t="shared" si="329"/>
        <v>3.5680664959136839</v>
      </c>
      <c r="EI145" s="2106">
        <f t="shared" si="330"/>
        <v>74.494356338606565</v>
      </c>
      <c r="EJ145" s="2106"/>
      <c r="EK145" s="2106"/>
      <c r="EL145" s="2106"/>
      <c r="EM145" s="2106">
        <f t="shared" si="331"/>
        <v>9.4137565724983361</v>
      </c>
      <c r="EN145" s="2106">
        <f t="shared" si="332"/>
        <v>196.5411063386066</v>
      </c>
      <c r="EO145" s="2106"/>
      <c r="EP145" s="2114"/>
      <c r="EQ145" s="2224"/>
      <c r="ER145" s="2277"/>
      <c r="ES145" s="2209" t="s">
        <v>1766</v>
      </c>
      <c r="EU145" s="2230"/>
    </row>
    <row r="146" spans="1:151">
      <c r="A146" s="2220">
        <v>5</v>
      </c>
      <c r="B146" s="2227" t="s">
        <v>1767</v>
      </c>
      <c r="C146" s="2146">
        <v>90</v>
      </c>
      <c r="D146" s="2134">
        <f t="shared" si="276"/>
        <v>1</v>
      </c>
      <c r="E146" s="1882"/>
      <c r="F146" s="2247">
        <v>0.34668482547192037</v>
      </c>
      <c r="G146" s="2146">
        <v>90</v>
      </c>
      <c r="H146" s="2248" t="s">
        <v>1649</v>
      </c>
      <c r="I146" s="2249">
        <v>2</v>
      </c>
      <c r="J146" s="2149">
        <v>208.78073999999995</v>
      </c>
      <c r="K146" s="2247"/>
      <c r="L146" s="2151"/>
      <c r="M146" s="2106">
        <f t="shared" si="277"/>
        <v>208.78073999999995</v>
      </c>
      <c r="N146" s="2149">
        <v>0</v>
      </c>
      <c r="O146" s="2135">
        <f t="shared" si="278"/>
        <v>0</v>
      </c>
      <c r="P146" s="2109">
        <v>10.278056250000001</v>
      </c>
      <c r="Q146" s="2109">
        <v>3.5692133635338177</v>
      </c>
      <c r="R146" s="2109">
        <f t="shared" si="279"/>
        <v>0</v>
      </c>
      <c r="S146" s="2135"/>
      <c r="T146" s="2135"/>
      <c r="U146" s="2135"/>
      <c r="V146" s="2135">
        <f t="shared" si="280"/>
        <v>0</v>
      </c>
      <c r="W146" s="2135">
        <f t="shared" si="281"/>
        <v>10.278056250000001</v>
      </c>
      <c r="X146" s="2149">
        <v>42.301979999999993</v>
      </c>
      <c r="Y146" s="2135">
        <f t="shared" si="282"/>
        <v>2.42968680189438</v>
      </c>
      <c r="Z146" s="2109">
        <v>10.278056250000001</v>
      </c>
      <c r="AA146" s="2109">
        <v>3.5692133635338177</v>
      </c>
      <c r="AB146" s="2109">
        <f t="shared" si="283"/>
        <v>15.098479231994025</v>
      </c>
      <c r="AC146" s="2135"/>
      <c r="AD146" s="2135"/>
      <c r="AE146" s="2135"/>
      <c r="AF146" s="2135">
        <f t="shared" si="284"/>
        <v>5.9989001654281973</v>
      </c>
      <c r="AG146" s="2135">
        <f t="shared" si="285"/>
        <v>25.376535481994026</v>
      </c>
      <c r="AH146" s="2149">
        <v>40.937399999999997</v>
      </c>
      <c r="AI146" s="2135">
        <f t="shared" si="286"/>
        <v>2.5106763619575254</v>
      </c>
      <c r="AJ146" s="2109">
        <v>10.278056250000001</v>
      </c>
      <c r="AK146" s="2109">
        <v>3.5692133635338177</v>
      </c>
      <c r="AL146" s="2109">
        <f t="shared" si="287"/>
        <v>14.61143151483293</v>
      </c>
      <c r="AM146" s="2135"/>
      <c r="AN146" s="2135"/>
      <c r="AO146" s="2135"/>
      <c r="AP146" s="2135">
        <f t="shared" si="288"/>
        <v>6.0798897254913431</v>
      </c>
      <c r="AQ146" s="2135">
        <f t="shared" si="289"/>
        <v>24.889487764832928</v>
      </c>
      <c r="AR146" s="2149">
        <v>42.301979999999993</v>
      </c>
      <c r="AS146" s="2135">
        <f t="shared" si="290"/>
        <v>2.42968680189438</v>
      </c>
      <c r="AT146" s="2109">
        <v>10.278056250000001</v>
      </c>
      <c r="AU146" s="2109">
        <v>3.5692133635338177</v>
      </c>
      <c r="AV146" s="2109">
        <f t="shared" si="291"/>
        <v>15.098479231994025</v>
      </c>
      <c r="AW146" s="2135"/>
      <c r="AX146" s="2135"/>
      <c r="AY146" s="2135"/>
      <c r="AZ146" s="2135">
        <f t="shared" si="292"/>
        <v>5.9989001654281973</v>
      </c>
      <c r="BA146" s="2135">
        <f t="shared" si="293"/>
        <v>25.376535481994026</v>
      </c>
      <c r="BB146" s="2149">
        <v>42.301979999999993</v>
      </c>
      <c r="BC146" s="2135">
        <f t="shared" si="294"/>
        <v>2.42968680189438</v>
      </c>
      <c r="BD146" s="2109">
        <v>10.278056250000001</v>
      </c>
      <c r="BE146" s="2109">
        <v>3.5692133635338177</v>
      </c>
      <c r="BF146" s="2109">
        <f t="shared" si="295"/>
        <v>15.098479231994025</v>
      </c>
      <c r="BG146" s="2135"/>
      <c r="BH146" s="2135"/>
      <c r="BI146" s="2135"/>
      <c r="BJ146" s="2135">
        <f t="shared" si="296"/>
        <v>5.9989001654281973</v>
      </c>
      <c r="BK146" s="2135">
        <f t="shared" si="297"/>
        <v>25.376535481994026</v>
      </c>
      <c r="BL146" s="2149">
        <v>40.937399999999997</v>
      </c>
      <c r="BM146" s="2135">
        <f t="shared" si="298"/>
        <v>2.5106763619575254</v>
      </c>
      <c r="BN146" s="2109">
        <v>10.278056250000001</v>
      </c>
      <c r="BO146" s="2109">
        <v>3.5692133635338177</v>
      </c>
      <c r="BP146" s="2109">
        <f t="shared" si="299"/>
        <v>14.61143151483293</v>
      </c>
      <c r="BQ146" s="2135"/>
      <c r="BR146" s="2135"/>
      <c r="BS146" s="2135"/>
      <c r="BT146" s="2135">
        <f t="shared" si="300"/>
        <v>6.0798897254913431</v>
      </c>
      <c r="BU146" s="2135">
        <f t="shared" si="301"/>
        <v>24.889487764832928</v>
      </c>
      <c r="BV146" s="2149">
        <v>0</v>
      </c>
      <c r="BW146" s="2135">
        <f t="shared" si="302"/>
        <v>0</v>
      </c>
      <c r="BX146" s="2109">
        <v>10.278056250000001</v>
      </c>
      <c r="BY146" s="2109">
        <v>3.5692133635338177</v>
      </c>
      <c r="BZ146" s="2109">
        <f t="shared" si="303"/>
        <v>0</v>
      </c>
      <c r="CA146" s="2135"/>
      <c r="CB146" s="2135"/>
      <c r="CC146" s="2135"/>
      <c r="CD146" s="2135">
        <f t="shared" si="304"/>
        <v>0</v>
      </c>
      <c r="CE146" s="2135">
        <f t="shared" si="305"/>
        <v>10.278056250000001</v>
      </c>
      <c r="CF146" s="2149">
        <v>0</v>
      </c>
      <c r="CG146" s="2135">
        <f t="shared" si="306"/>
        <v>0</v>
      </c>
      <c r="CH146" s="2109">
        <v>10.278056250000001</v>
      </c>
      <c r="CI146" s="2109">
        <v>3.5692133635338177</v>
      </c>
      <c r="CJ146" s="2109">
        <f t="shared" si="307"/>
        <v>0</v>
      </c>
      <c r="CK146" s="2135"/>
      <c r="CL146" s="2135"/>
      <c r="CM146" s="2135"/>
      <c r="CN146" s="2135">
        <f t="shared" si="308"/>
        <v>0</v>
      </c>
      <c r="CO146" s="2135">
        <f t="shared" si="309"/>
        <v>10.278056250000001</v>
      </c>
      <c r="CP146" s="2149">
        <v>0</v>
      </c>
      <c r="CQ146" s="2135">
        <f t="shared" si="310"/>
        <v>0</v>
      </c>
      <c r="CR146" s="2109">
        <v>10.278056250000001</v>
      </c>
      <c r="CS146" s="2109">
        <v>3.5692133635338177</v>
      </c>
      <c r="CT146" s="2109">
        <f t="shared" si="311"/>
        <v>0</v>
      </c>
      <c r="CU146" s="2135"/>
      <c r="CV146" s="2135"/>
      <c r="CW146" s="2135"/>
      <c r="CX146" s="2135">
        <f t="shared" si="312"/>
        <v>0</v>
      </c>
      <c r="CY146" s="2135">
        <f t="shared" si="313"/>
        <v>10.278056250000001</v>
      </c>
      <c r="CZ146" s="2149">
        <v>0</v>
      </c>
      <c r="DA146" s="2135">
        <f t="shared" si="314"/>
        <v>0</v>
      </c>
      <c r="DB146" s="2109">
        <v>10.278056250000001</v>
      </c>
      <c r="DC146" s="2109">
        <v>3.5692133635338177</v>
      </c>
      <c r="DD146" s="2109">
        <f t="shared" si="315"/>
        <v>0</v>
      </c>
      <c r="DE146" s="2135"/>
      <c r="DF146" s="2135"/>
      <c r="DG146" s="2135"/>
      <c r="DH146" s="2135">
        <f t="shared" si="316"/>
        <v>0</v>
      </c>
      <c r="DI146" s="2135">
        <f t="shared" si="317"/>
        <v>10.278056250000001</v>
      </c>
      <c r="DJ146" s="2149">
        <v>0</v>
      </c>
      <c r="DK146" s="2135">
        <f t="shared" si="318"/>
        <v>0</v>
      </c>
      <c r="DL146" s="2109">
        <v>10.278056250000001</v>
      </c>
      <c r="DM146" s="2109">
        <v>3.5692133635338177</v>
      </c>
      <c r="DN146" s="2109">
        <f t="shared" si="319"/>
        <v>0</v>
      </c>
      <c r="DO146" s="2135"/>
      <c r="DP146" s="2135"/>
      <c r="DQ146" s="2135"/>
      <c r="DR146" s="2135">
        <f t="shared" si="320"/>
        <v>0</v>
      </c>
      <c r="DS146" s="2135">
        <f t="shared" si="321"/>
        <v>10.278056250000001</v>
      </c>
      <c r="DT146" s="2149">
        <v>0</v>
      </c>
      <c r="DU146" s="2135">
        <f t="shared" si="322"/>
        <v>0</v>
      </c>
      <c r="DV146" s="2109">
        <v>10.278056250000001</v>
      </c>
      <c r="DW146" s="2109">
        <v>3.5692133635338177</v>
      </c>
      <c r="DX146" s="2109">
        <f t="shared" si="323"/>
        <v>0</v>
      </c>
      <c r="DY146" s="2135"/>
      <c r="DZ146" s="2135"/>
      <c r="EA146" s="2135"/>
      <c r="EB146" s="2135">
        <f t="shared" si="324"/>
        <v>0</v>
      </c>
      <c r="EC146" s="2135">
        <f t="shared" si="325"/>
        <v>10.278056250000001</v>
      </c>
      <c r="ED146" s="2135"/>
      <c r="EE146" s="2106">
        <f t="shared" si="326"/>
        <v>208.78073999999995</v>
      </c>
      <c r="EF146" s="2106">
        <f t="shared" si="327"/>
        <v>5.9074737928412393</v>
      </c>
      <c r="EG146" s="2106">
        <f t="shared" si="328"/>
        <v>123.33667500000003</v>
      </c>
      <c r="EH146" s="2106">
        <f t="shared" si="329"/>
        <v>3.5692133635338186</v>
      </c>
      <c r="EI146" s="2106">
        <f t="shared" si="330"/>
        <v>74.518300725647947</v>
      </c>
      <c r="EJ146" s="2106"/>
      <c r="EK146" s="2106"/>
      <c r="EL146" s="2106"/>
      <c r="EM146" s="2106">
        <f t="shared" si="331"/>
        <v>9.476687156375057</v>
      </c>
      <c r="EN146" s="2106">
        <f t="shared" si="332"/>
        <v>197.85497572564799</v>
      </c>
      <c r="EO146" s="2106"/>
      <c r="EP146" s="2114"/>
      <c r="EQ146" s="2224"/>
      <c r="ER146" s="2277"/>
      <c r="ES146" s="2209" t="e">
        <v>#N/A</v>
      </c>
      <c r="EU146" s="2230"/>
    </row>
    <row r="147" spans="1:151">
      <c r="A147" s="2220">
        <v>6</v>
      </c>
      <c r="B147" s="2227" t="s">
        <v>1768</v>
      </c>
      <c r="C147" s="2146">
        <v>90</v>
      </c>
      <c r="D147" s="2134">
        <f t="shared" si="276"/>
        <v>1</v>
      </c>
      <c r="E147" s="1882"/>
      <c r="F147" s="2247">
        <v>0.41319401161600466</v>
      </c>
      <c r="G147" s="2146">
        <v>90</v>
      </c>
      <c r="H147" s="2248" t="s">
        <v>1649</v>
      </c>
      <c r="I147" s="2249">
        <v>2</v>
      </c>
      <c r="J147" s="2149">
        <v>208.78073999999995</v>
      </c>
      <c r="K147" s="2247"/>
      <c r="L147" s="2151"/>
      <c r="M147" s="2106">
        <f t="shared" si="277"/>
        <v>208.78073999999995</v>
      </c>
      <c r="N147" s="2149">
        <v>0</v>
      </c>
      <c r="O147" s="2135">
        <f t="shared" si="278"/>
        <v>0</v>
      </c>
      <c r="P147" s="2109">
        <v>10.23211875</v>
      </c>
      <c r="Q147" s="2109">
        <v>3.2822708621346348</v>
      </c>
      <c r="R147" s="2109">
        <f t="shared" si="279"/>
        <v>0</v>
      </c>
      <c r="S147" s="2135"/>
      <c r="T147" s="2135"/>
      <c r="U147" s="2135"/>
      <c r="V147" s="2135">
        <f t="shared" si="280"/>
        <v>0</v>
      </c>
      <c r="W147" s="2135">
        <f t="shared" si="281"/>
        <v>10.23211875</v>
      </c>
      <c r="X147" s="2149">
        <v>42.301979999999993</v>
      </c>
      <c r="Y147" s="2135">
        <f t="shared" si="282"/>
        <v>2.4188273811296779</v>
      </c>
      <c r="Z147" s="2109">
        <v>10.23211875</v>
      </c>
      <c r="AA147" s="2109">
        <v>3.2822708621346348</v>
      </c>
      <c r="AB147" s="2109">
        <f t="shared" si="283"/>
        <v>13.884655636460206</v>
      </c>
      <c r="AC147" s="2135"/>
      <c r="AD147" s="2135"/>
      <c r="AE147" s="2135"/>
      <c r="AF147" s="2135">
        <f t="shared" si="284"/>
        <v>5.7010982432643136</v>
      </c>
      <c r="AG147" s="2135">
        <f t="shared" si="285"/>
        <v>24.116774386460207</v>
      </c>
      <c r="AH147" s="2149">
        <v>40.937399999999997</v>
      </c>
      <c r="AI147" s="2135">
        <f t="shared" si="286"/>
        <v>2.4994549605006671</v>
      </c>
      <c r="AJ147" s="2109">
        <v>10.23211875</v>
      </c>
      <c r="AK147" s="2109">
        <v>3.2822708621346348</v>
      </c>
      <c r="AL147" s="2109">
        <f t="shared" si="287"/>
        <v>13.43676351915504</v>
      </c>
      <c r="AM147" s="2135"/>
      <c r="AN147" s="2135"/>
      <c r="AO147" s="2135"/>
      <c r="AP147" s="2135">
        <f t="shared" si="288"/>
        <v>5.7817258226353028</v>
      </c>
      <c r="AQ147" s="2135">
        <f t="shared" si="289"/>
        <v>23.668882269155041</v>
      </c>
      <c r="AR147" s="2149">
        <v>42.301979999999993</v>
      </c>
      <c r="AS147" s="2135">
        <f t="shared" si="290"/>
        <v>2.4188273811296779</v>
      </c>
      <c r="AT147" s="2109">
        <v>10.23211875</v>
      </c>
      <c r="AU147" s="2109">
        <v>3.2822708621346348</v>
      </c>
      <c r="AV147" s="2109">
        <f t="shared" si="291"/>
        <v>13.884655636460206</v>
      </c>
      <c r="AW147" s="2135"/>
      <c r="AX147" s="2135"/>
      <c r="AY147" s="2135"/>
      <c r="AZ147" s="2135">
        <f t="shared" si="292"/>
        <v>5.7010982432643136</v>
      </c>
      <c r="BA147" s="2135">
        <f t="shared" si="293"/>
        <v>24.116774386460207</v>
      </c>
      <c r="BB147" s="2149">
        <v>42.301979999999993</v>
      </c>
      <c r="BC147" s="2135">
        <f t="shared" si="294"/>
        <v>2.4188273811296779</v>
      </c>
      <c r="BD147" s="2109">
        <v>10.23211875</v>
      </c>
      <c r="BE147" s="2109">
        <v>3.2822708621346348</v>
      </c>
      <c r="BF147" s="2109">
        <f t="shared" si="295"/>
        <v>13.884655636460206</v>
      </c>
      <c r="BG147" s="2135"/>
      <c r="BH147" s="2135"/>
      <c r="BI147" s="2135"/>
      <c r="BJ147" s="2135">
        <f t="shared" si="296"/>
        <v>5.7010982432643136</v>
      </c>
      <c r="BK147" s="2135">
        <f t="shared" si="297"/>
        <v>24.116774386460207</v>
      </c>
      <c r="BL147" s="2149">
        <v>40.937399999999997</v>
      </c>
      <c r="BM147" s="2135">
        <f t="shared" si="298"/>
        <v>2.4994549605006671</v>
      </c>
      <c r="BN147" s="2109">
        <v>10.23211875</v>
      </c>
      <c r="BO147" s="2109">
        <v>3.2822708621346348</v>
      </c>
      <c r="BP147" s="2109">
        <f t="shared" si="299"/>
        <v>13.43676351915504</v>
      </c>
      <c r="BQ147" s="2135"/>
      <c r="BR147" s="2135"/>
      <c r="BS147" s="2135"/>
      <c r="BT147" s="2135">
        <f t="shared" si="300"/>
        <v>5.7817258226353028</v>
      </c>
      <c r="BU147" s="2135">
        <f t="shared" si="301"/>
        <v>23.668882269155041</v>
      </c>
      <c r="BV147" s="2149">
        <v>0</v>
      </c>
      <c r="BW147" s="2135">
        <f t="shared" si="302"/>
        <v>0</v>
      </c>
      <c r="BX147" s="2109">
        <v>10.23211875</v>
      </c>
      <c r="BY147" s="2109">
        <v>3.2822708621346348</v>
      </c>
      <c r="BZ147" s="2109">
        <f t="shared" si="303"/>
        <v>0</v>
      </c>
      <c r="CA147" s="2135"/>
      <c r="CB147" s="2135"/>
      <c r="CC147" s="2135"/>
      <c r="CD147" s="2135">
        <f t="shared" si="304"/>
        <v>0</v>
      </c>
      <c r="CE147" s="2135">
        <f t="shared" si="305"/>
        <v>10.23211875</v>
      </c>
      <c r="CF147" s="2149">
        <v>0</v>
      </c>
      <c r="CG147" s="2135">
        <f t="shared" si="306"/>
        <v>0</v>
      </c>
      <c r="CH147" s="2109">
        <v>10.23211875</v>
      </c>
      <c r="CI147" s="2109">
        <v>3.2822708621346348</v>
      </c>
      <c r="CJ147" s="2109">
        <f t="shared" si="307"/>
        <v>0</v>
      </c>
      <c r="CK147" s="2135"/>
      <c r="CL147" s="2135"/>
      <c r="CM147" s="2135"/>
      <c r="CN147" s="2135">
        <f t="shared" si="308"/>
        <v>0</v>
      </c>
      <c r="CO147" s="2135">
        <f t="shared" si="309"/>
        <v>10.23211875</v>
      </c>
      <c r="CP147" s="2149">
        <v>0</v>
      </c>
      <c r="CQ147" s="2135">
        <f t="shared" si="310"/>
        <v>0</v>
      </c>
      <c r="CR147" s="2109">
        <v>10.23211875</v>
      </c>
      <c r="CS147" s="2109">
        <v>3.2822708621346348</v>
      </c>
      <c r="CT147" s="2109">
        <f t="shared" si="311"/>
        <v>0</v>
      </c>
      <c r="CU147" s="2135"/>
      <c r="CV147" s="2135"/>
      <c r="CW147" s="2135"/>
      <c r="CX147" s="2135">
        <f t="shared" si="312"/>
        <v>0</v>
      </c>
      <c r="CY147" s="2135">
        <f t="shared" si="313"/>
        <v>10.23211875</v>
      </c>
      <c r="CZ147" s="2149">
        <v>0</v>
      </c>
      <c r="DA147" s="2135">
        <f t="shared" si="314"/>
        <v>0</v>
      </c>
      <c r="DB147" s="2109">
        <v>10.23211875</v>
      </c>
      <c r="DC147" s="2109">
        <v>3.2822708621346348</v>
      </c>
      <c r="DD147" s="2109">
        <f t="shared" si="315"/>
        <v>0</v>
      </c>
      <c r="DE147" s="2135"/>
      <c r="DF147" s="2135"/>
      <c r="DG147" s="2135"/>
      <c r="DH147" s="2135">
        <f t="shared" si="316"/>
        <v>0</v>
      </c>
      <c r="DI147" s="2135">
        <f t="shared" si="317"/>
        <v>10.23211875</v>
      </c>
      <c r="DJ147" s="2149">
        <v>0</v>
      </c>
      <c r="DK147" s="2135">
        <f t="shared" si="318"/>
        <v>0</v>
      </c>
      <c r="DL147" s="2109">
        <v>10.23211875</v>
      </c>
      <c r="DM147" s="2109">
        <v>3.2822708621346348</v>
      </c>
      <c r="DN147" s="2109">
        <f t="shared" si="319"/>
        <v>0</v>
      </c>
      <c r="DO147" s="2135"/>
      <c r="DP147" s="2135"/>
      <c r="DQ147" s="2135"/>
      <c r="DR147" s="2135">
        <f t="shared" si="320"/>
        <v>0</v>
      </c>
      <c r="DS147" s="2135">
        <f t="shared" si="321"/>
        <v>10.23211875</v>
      </c>
      <c r="DT147" s="2149">
        <v>0</v>
      </c>
      <c r="DU147" s="2135">
        <f t="shared" si="322"/>
        <v>0</v>
      </c>
      <c r="DV147" s="2109">
        <v>10.23211875</v>
      </c>
      <c r="DW147" s="2109">
        <v>3.2822708621346348</v>
      </c>
      <c r="DX147" s="2109">
        <f t="shared" si="323"/>
        <v>0</v>
      </c>
      <c r="DY147" s="2135"/>
      <c r="DZ147" s="2135"/>
      <c r="EA147" s="2135"/>
      <c r="EB147" s="2135">
        <f t="shared" si="324"/>
        <v>0</v>
      </c>
      <c r="EC147" s="2135">
        <f t="shared" si="325"/>
        <v>10.23211875</v>
      </c>
      <c r="ED147" s="2135"/>
      <c r="EE147" s="2106">
        <f t="shared" si="326"/>
        <v>208.78073999999995</v>
      </c>
      <c r="EF147" s="2106">
        <f t="shared" si="327"/>
        <v>5.8810704952956874</v>
      </c>
      <c r="EG147" s="2106">
        <f t="shared" si="328"/>
        <v>122.78542499999999</v>
      </c>
      <c r="EH147" s="2106">
        <f t="shared" si="329"/>
        <v>3.2822708621346353</v>
      </c>
      <c r="EI147" s="2106">
        <f t="shared" si="330"/>
        <v>68.527493947690701</v>
      </c>
      <c r="EJ147" s="2106"/>
      <c r="EK147" s="2106"/>
      <c r="EL147" s="2106"/>
      <c r="EM147" s="2106">
        <f t="shared" si="331"/>
        <v>9.1633413574303226</v>
      </c>
      <c r="EN147" s="2106">
        <f t="shared" si="332"/>
        <v>191.31291894769069</v>
      </c>
      <c r="EO147" s="2106"/>
      <c r="EP147" s="2114"/>
      <c r="EQ147" s="2224"/>
      <c r="ER147" s="2277"/>
      <c r="ES147" s="2209" t="s">
        <v>1768</v>
      </c>
      <c r="EU147" s="2230"/>
    </row>
    <row r="148" spans="1:151">
      <c r="A148" s="2220">
        <v>7</v>
      </c>
      <c r="B148" s="2227" t="s">
        <v>1769</v>
      </c>
      <c r="C148" s="2146">
        <v>90</v>
      </c>
      <c r="D148" s="2134">
        <f t="shared" si="276"/>
        <v>1</v>
      </c>
      <c r="E148" s="1882"/>
      <c r="F148" s="2247">
        <v>0.35051276707083218</v>
      </c>
      <c r="G148" s="2146">
        <v>90</v>
      </c>
      <c r="H148" s="2248" t="s">
        <v>1649</v>
      </c>
      <c r="I148" s="2249">
        <v>2</v>
      </c>
      <c r="J148" s="2149">
        <v>208.78073999999995</v>
      </c>
      <c r="K148" s="2247"/>
      <c r="L148" s="2151"/>
      <c r="M148" s="2106">
        <f t="shared" si="277"/>
        <v>208.78073999999995</v>
      </c>
      <c r="N148" s="2149">
        <v>0</v>
      </c>
      <c r="O148" s="2135">
        <f t="shared" si="278"/>
        <v>0</v>
      </c>
      <c r="P148" s="2109">
        <v>10.141162509187501</v>
      </c>
      <c r="Q148" s="2109">
        <v>3.4699932288246518</v>
      </c>
      <c r="R148" s="2109">
        <f t="shared" si="279"/>
        <v>0</v>
      </c>
      <c r="S148" s="2135"/>
      <c r="T148" s="2135"/>
      <c r="U148" s="2135"/>
      <c r="V148" s="2135">
        <f t="shared" si="280"/>
        <v>0</v>
      </c>
      <c r="W148" s="2135">
        <f t="shared" si="281"/>
        <v>10.141162509187501</v>
      </c>
      <c r="X148" s="2149">
        <v>42.301979999999993</v>
      </c>
      <c r="Y148" s="2135">
        <f t="shared" si="282"/>
        <v>2.3973257301874531</v>
      </c>
      <c r="Z148" s="2109">
        <v>10.141162509187501</v>
      </c>
      <c r="AA148" s="2109">
        <v>3.4699932288246518</v>
      </c>
      <c r="AB148" s="2109">
        <f t="shared" si="283"/>
        <v>14.678758416587581</v>
      </c>
      <c r="AC148" s="2135"/>
      <c r="AD148" s="2135"/>
      <c r="AE148" s="2135"/>
      <c r="AF148" s="2135">
        <f t="shared" si="284"/>
        <v>5.8673189590121035</v>
      </c>
      <c r="AG148" s="2135">
        <f t="shared" si="285"/>
        <v>24.819920925775079</v>
      </c>
      <c r="AH148" s="2149">
        <v>40.937399999999997</v>
      </c>
      <c r="AI148" s="2135">
        <f t="shared" si="286"/>
        <v>2.4772365878603679</v>
      </c>
      <c r="AJ148" s="2109">
        <v>10.141162509187501</v>
      </c>
      <c r="AK148" s="2109">
        <v>3.4699932288246518</v>
      </c>
      <c r="AL148" s="2109">
        <f t="shared" si="287"/>
        <v>14.205250080568629</v>
      </c>
      <c r="AM148" s="2135"/>
      <c r="AN148" s="2135"/>
      <c r="AO148" s="2135"/>
      <c r="AP148" s="2135">
        <f t="shared" si="288"/>
        <v>5.9472298166850193</v>
      </c>
      <c r="AQ148" s="2135">
        <f t="shared" si="289"/>
        <v>24.346412589756127</v>
      </c>
      <c r="AR148" s="2149">
        <v>42.301979999999993</v>
      </c>
      <c r="AS148" s="2135">
        <f t="shared" si="290"/>
        <v>2.3973257301874531</v>
      </c>
      <c r="AT148" s="2109">
        <v>10.141162509187501</v>
      </c>
      <c r="AU148" s="2109">
        <v>3.4699932288246518</v>
      </c>
      <c r="AV148" s="2109">
        <f t="shared" si="291"/>
        <v>14.678758416587581</v>
      </c>
      <c r="AW148" s="2135"/>
      <c r="AX148" s="2135"/>
      <c r="AY148" s="2135"/>
      <c r="AZ148" s="2135">
        <f t="shared" si="292"/>
        <v>5.8673189590121035</v>
      </c>
      <c r="BA148" s="2135">
        <f t="shared" si="293"/>
        <v>24.819920925775079</v>
      </c>
      <c r="BB148" s="2149">
        <v>42.301979999999993</v>
      </c>
      <c r="BC148" s="2135">
        <f t="shared" si="294"/>
        <v>2.3973257301874531</v>
      </c>
      <c r="BD148" s="2109">
        <v>10.141162509187501</v>
      </c>
      <c r="BE148" s="2109">
        <v>3.4699932288246518</v>
      </c>
      <c r="BF148" s="2109">
        <f t="shared" si="295"/>
        <v>14.678758416587581</v>
      </c>
      <c r="BG148" s="2135"/>
      <c r="BH148" s="2135"/>
      <c r="BI148" s="2135"/>
      <c r="BJ148" s="2135">
        <f t="shared" si="296"/>
        <v>5.8673189590121035</v>
      </c>
      <c r="BK148" s="2135">
        <f t="shared" si="297"/>
        <v>24.819920925775079</v>
      </c>
      <c r="BL148" s="2149">
        <v>40.937399999999997</v>
      </c>
      <c r="BM148" s="2135">
        <f t="shared" si="298"/>
        <v>2.4772365878603679</v>
      </c>
      <c r="BN148" s="2109">
        <v>10.141162509187501</v>
      </c>
      <c r="BO148" s="2109">
        <v>3.4699932288246518</v>
      </c>
      <c r="BP148" s="2109">
        <f t="shared" si="299"/>
        <v>14.205250080568629</v>
      </c>
      <c r="BQ148" s="2135"/>
      <c r="BR148" s="2135"/>
      <c r="BS148" s="2135"/>
      <c r="BT148" s="2135">
        <f t="shared" si="300"/>
        <v>5.9472298166850193</v>
      </c>
      <c r="BU148" s="2135">
        <f t="shared" si="301"/>
        <v>24.346412589756127</v>
      </c>
      <c r="BV148" s="2149">
        <v>0</v>
      </c>
      <c r="BW148" s="2135">
        <f t="shared" si="302"/>
        <v>0</v>
      </c>
      <c r="BX148" s="2109">
        <v>10.141162509187501</v>
      </c>
      <c r="BY148" s="2109">
        <v>3.4699932288246518</v>
      </c>
      <c r="BZ148" s="2109">
        <f t="shared" si="303"/>
        <v>0</v>
      </c>
      <c r="CA148" s="2135"/>
      <c r="CB148" s="2135"/>
      <c r="CC148" s="2135"/>
      <c r="CD148" s="2135">
        <f t="shared" si="304"/>
        <v>0</v>
      </c>
      <c r="CE148" s="2135">
        <f t="shared" si="305"/>
        <v>10.141162509187501</v>
      </c>
      <c r="CF148" s="2149">
        <v>0</v>
      </c>
      <c r="CG148" s="2135">
        <f t="shared" si="306"/>
        <v>0</v>
      </c>
      <c r="CH148" s="2109">
        <v>10.141162509187501</v>
      </c>
      <c r="CI148" s="2109">
        <v>3.4699932288246518</v>
      </c>
      <c r="CJ148" s="2109">
        <f t="shared" si="307"/>
        <v>0</v>
      </c>
      <c r="CK148" s="2135"/>
      <c r="CL148" s="2135"/>
      <c r="CM148" s="2135"/>
      <c r="CN148" s="2135">
        <f t="shared" si="308"/>
        <v>0</v>
      </c>
      <c r="CO148" s="2135">
        <f t="shared" si="309"/>
        <v>10.141162509187501</v>
      </c>
      <c r="CP148" s="2149">
        <v>0</v>
      </c>
      <c r="CQ148" s="2135">
        <f t="shared" si="310"/>
        <v>0</v>
      </c>
      <c r="CR148" s="2109">
        <v>10.141162509187501</v>
      </c>
      <c r="CS148" s="2109">
        <v>3.4699932288246518</v>
      </c>
      <c r="CT148" s="2109">
        <f t="shared" si="311"/>
        <v>0</v>
      </c>
      <c r="CU148" s="2135"/>
      <c r="CV148" s="2135"/>
      <c r="CW148" s="2135"/>
      <c r="CX148" s="2135">
        <f t="shared" si="312"/>
        <v>0</v>
      </c>
      <c r="CY148" s="2135">
        <f t="shared" si="313"/>
        <v>10.141162509187501</v>
      </c>
      <c r="CZ148" s="2149">
        <v>0</v>
      </c>
      <c r="DA148" s="2135">
        <f t="shared" si="314"/>
        <v>0</v>
      </c>
      <c r="DB148" s="2109">
        <v>10.141162509187501</v>
      </c>
      <c r="DC148" s="2109">
        <v>3.4699932288246518</v>
      </c>
      <c r="DD148" s="2109">
        <f t="shared" si="315"/>
        <v>0</v>
      </c>
      <c r="DE148" s="2135"/>
      <c r="DF148" s="2135"/>
      <c r="DG148" s="2135"/>
      <c r="DH148" s="2135">
        <f t="shared" si="316"/>
        <v>0</v>
      </c>
      <c r="DI148" s="2135">
        <f t="shared" si="317"/>
        <v>10.141162509187501</v>
      </c>
      <c r="DJ148" s="2149">
        <v>0</v>
      </c>
      <c r="DK148" s="2135">
        <f t="shared" si="318"/>
        <v>0</v>
      </c>
      <c r="DL148" s="2109">
        <v>10.141162509187501</v>
      </c>
      <c r="DM148" s="2109">
        <v>3.4699932288246518</v>
      </c>
      <c r="DN148" s="2109">
        <f t="shared" si="319"/>
        <v>0</v>
      </c>
      <c r="DO148" s="2135"/>
      <c r="DP148" s="2135"/>
      <c r="DQ148" s="2135"/>
      <c r="DR148" s="2135">
        <f t="shared" si="320"/>
        <v>0</v>
      </c>
      <c r="DS148" s="2135">
        <f t="shared" si="321"/>
        <v>10.141162509187501</v>
      </c>
      <c r="DT148" s="2149">
        <v>0</v>
      </c>
      <c r="DU148" s="2135">
        <f t="shared" si="322"/>
        <v>0</v>
      </c>
      <c r="DV148" s="2109">
        <v>10.141162509187501</v>
      </c>
      <c r="DW148" s="2109">
        <v>3.4699932288246518</v>
      </c>
      <c r="DX148" s="2109">
        <f t="shared" si="323"/>
        <v>0</v>
      </c>
      <c r="DY148" s="2135"/>
      <c r="DZ148" s="2135"/>
      <c r="EA148" s="2135"/>
      <c r="EB148" s="2135">
        <f t="shared" si="324"/>
        <v>0</v>
      </c>
      <c r="EC148" s="2135">
        <f t="shared" si="325"/>
        <v>10.141162509187501</v>
      </c>
      <c r="ED148" s="2135"/>
      <c r="EE148" s="2106">
        <f t="shared" si="326"/>
        <v>208.78073999999995</v>
      </c>
      <c r="EF148" s="2106">
        <f t="shared" si="327"/>
        <v>5.8287919714361589</v>
      </c>
      <c r="EG148" s="2106">
        <f t="shared" si="328"/>
        <v>121.69395011024999</v>
      </c>
      <c r="EH148" s="2106">
        <f t="shared" si="329"/>
        <v>3.4699932288246522</v>
      </c>
      <c r="EI148" s="2106">
        <f t="shared" si="330"/>
        <v>72.446775410900003</v>
      </c>
      <c r="EJ148" s="2106"/>
      <c r="EK148" s="2106"/>
      <c r="EL148" s="2106"/>
      <c r="EM148" s="2106">
        <f t="shared" si="331"/>
        <v>9.2987852002608111</v>
      </c>
      <c r="EN148" s="2106">
        <f t="shared" si="332"/>
        <v>194.14072552114999</v>
      </c>
      <c r="EO148" s="2106"/>
      <c r="EP148" s="2114"/>
      <c r="EQ148" s="2224"/>
      <c r="ER148" s="2277"/>
      <c r="ES148" s="2209" t="s">
        <v>1769</v>
      </c>
      <c r="EU148" s="2230"/>
    </row>
    <row r="149" spans="1:151">
      <c r="A149" s="2220">
        <v>8</v>
      </c>
      <c r="B149" s="2227" t="s">
        <v>1770</v>
      </c>
      <c r="C149" s="2146">
        <v>90</v>
      </c>
      <c r="D149" s="2134">
        <f t="shared" si="276"/>
        <v>1</v>
      </c>
      <c r="E149" s="1882"/>
      <c r="F149" s="2247">
        <v>0.3855861623035533</v>
      </c>
      <c r="G149" s="2146">
        <v>90</v>
      </c>
      <c r="H149" s="2248" t="s">
        <v>1649</v>
      </c>
      <c r="I149" s="2249">
        <v>2</v>
      </c>
      <c r="J149" s="2149">
        <v>208.78073999999995</v>
      </c>
      <c r="K149" s="2247"/>
      <c r="L149" s="2151"/>
      <c r="M149" s="2106">
        <f t="shared" si="277"/>
        <v>208.78073999999995</v>
      </c>
      <c r="N149" s="2149">
        <v>0</v>
      </c>
      <c r="O149" s="2135">
        <f t="shared" si="278"/>
        <v>0</v>
      </c>
      <c r="P149" s="2109">
        <v>10.52428125</v>
      </c>
      <c r="Q149" s="2109">
        <v>3.4747375333030823</v>
      </c>
      <c r="R149" s="2109">
        <f t="shared" si="279"/>
        <v>0</v>
      </c>
      <c r="S149" s="2135"/>
      <c r="T149" s="2135"/>
      <c r="U149" s="2135"/>
      <c r="V149" s="2135">
        <f t="shared" si="280"/>
        <v>0</v>
      </c>
      <c r="W149" s="2135">
        <f t="shared" si="281"/>
        <v>10.52428125</v>
      </c>
      <c r="X149" s="2149">
        <v>42.301979999999993</v>
      </c>
      <c r="Y149" s="2135">
        <f t="shared" si="282"/>
        <v>2.4878932971931813</v>
      </c>
      <c r="Z149" s="2109">
        <v>10.52428125</v>
      </c>
      <c r="AA149" s="2109">
        <v>3.4747375333030823</v>
      </c>
      <c r="AB149" s="2109">
        <f t="shared" si="283"/>
        <v>14.698827763903632</v>
      </c>
      <c r="AC149" s="2135"/>
      <c r="AD149" s="2135"/>
      <c r="AE149" s="2135"/>
      <c r="AF149" s="2135">
        <f t="shared" si="284"/>
        <v>5.9626308304962636</v>
      </c>
      <c r="AG149" s="2135">
        <f t="shared" si="285"/>
        <v>25.223109013903631</v>
      </c>
      <c r="AH149" s="2149">
        <v>40.937399999999997</v>
      </c>
      <c r="AI149" s="2135">
        <f t="shared" si="286"/>
        <v>2.5708230737662872</v>
      </c>
      <c r="AJ149" s="2109">
        <v>10.52428125</v>
      </c>
      <c r="AK149" s="2109">
        <v>3.4747375333030823</v>
      </c>
      <c r="AL149" s="2109">
        <f t="shared" si="287"/>
        <v>14.224672029584159</v>
      </c>
      <c r="AM149" s="2135"/>
      <c r="AN149" s="2135"/>
      <c r="AO149" s="2135"/>
      <c r="AP149" s="2135">
        <f t="shared" si="288"/>
        <v>6.045560607069369</v>
      </c>
      <c r="AQ149" s="2135">
        <f t="shared" si="289"/>
        <v>24.748953279584157</v>
      </c>
      <c r="AR149" s="2149">
        <v>42.301979999999993</v>
      </c>
      <c r="AS149" s="2135">
        <f t="shared" si="290"/>
        <v>2.4878932971931813</v>
      </c>
      <c r="AT149" s="2109">
        <v>10.52428125</v>
      </c>
      <c r="AU149" s="2109">
        <v>3.4747375333030823</v>
      </c>
      <c r="AV149" s="2109">
        <f t="shared" si="291"/>
        <v>14.698827763903632</v>
      </c>
      <c r="AW149" s="2135"/>
      <c r="AX149" s="2135"/>
      <c r="AY149" s="2135"/>
      <c r="AZ149" s="2135">
        <f t="shared" si="292"/>
        <v>5.9626308304962636</v>
      </c>
      <c r="BA149" s="2135">
        <f t="shared" si="293"/>
        <v>25.223109013903631</v>
      </c>
      <c r="BB149" s="2149">
        <v>42.301979999999993</v>
      </c>
      <c r="BC149" s="2135">
        <f t="shared" si="294"/>
        <v>2.4878932971931813</v>
      </c>
      <c r="BD149" s="2109">
        <v>10.52428125</v>
      </c>
      <c r="BE149" s="2109">
        <v>3.4747375333030823</v>
      </c>
      <c r="BF149" s="2109">
        <f t="shared" si="295"/>
        <v>14.698827763903632</v>
      </c>
      <c r="BG149" s="2135"/>
      <c r="BH149" s="2135"/>
      <c r="BI149" s="2135"/>
      <c r="BJ149" s="2135">
        <f t="shared" si="296"/>
        <v>5.9626308304962636</v>
      </c>
      <c r="BK149" s="2135">
        <f t="shared" si="297"/>
        <v>25.223109013903631</v>
      </c>
      <c r="BL149" s="2149">
        <v>40.937399999999997</v>
      </c>
      <c r="BM149" s="2135">
        <f t="shared" si="298"/>
        <v>2.5708230737662872</v>
      </c>
      <c r="BN149" s="2109">
        <v>10.52428125</v>
      </c>
      <c r="BO149" s="2109">
        <v>3.4747375333030823</v>
      </c>
      <c r="BP149" s="2109">
        <f t="shared" si="299"/>
        <v>14.224672029584159</v>
      </c>
      <c r="BQ149" s="2135"/>
      <c r="BR149" s="2135"/>
      <c r="BS149" s="2135"/>
      <c r="BT149" s="2135">
        <f t="shared" si="300"/>
        <v>6.045560607069369</v>
      </c>
      <c r="BU149" s="2135">
        <f t="shared" si="301"/>
        <v>24.748953279584157</v>
      </c>
      <c r="BV149" s="2149">
        <v>0</v>
      </c>
      <c r="BW149" s="2135">
        <f t="shared" si="302"/>
        <v>0</v>
      </c>
      <c r="BX149" s="2109">
        <v>10.52428125</v>
      </c>
      <c r="BY149" s="2109">
        <v>3.4747375333030823</v>
      </c>
      <c r="BZ149" s="2109">
        <f t="shared" si="303"/>
        <v>0</v>
      </c>
      <c r="CA149" s="2135"/>
      <c r="CB149" s="2135"/>
      <c r="CC149" s="2135"/>
      <c r="CD149" s="2135">
        <f t="shared" si="304"/>
        <v>0</v>
      </c>
      <c r="CE149" s="2135">
        <f t="shared" si="305"/>
        <v>10.52428125</v>
      </c>
      <c r="CF149" s="2149">
        <v>0</v>
      </c>
      <c r="CG149" s="2135">
        <f t="shared" si="306"/>
        <v>0</v>
      </c>
      <c r="CH149" s="2109">
        <v>10.52428125</v>
      </c>
      <c r="CI149" s="2109">
        <v>3.4747375333030823</v>
      </c>
      <c r="CJ149" s="2109">
        <f t="shared" si="307"/>
        <v>0</v>
      </c>
      <c r="CK149" s="2135"/>
      <c r="CL149" s="2135"/>
      <c r="CM149" s="2135"/>
      <c r="CN149" s="2135">
        <f t="shared" si="308"/>
        <v>0</v>
      </c>
      <c r="CO149" s="2135">
        <f t="shared" si="309"/>
        <v>10.52428125</v>
      </c>
      <c r="CP149" s="2149">
        <v>0</v>
      </c>
      <c r="CQ149" s="2135">
        <f t="shared" si="310"/>
        <v>0</v>
      </c>
      <c r="CR149" s="2109">
        <v>10.52428125</v>
      </c>
      <c r="CS149" s="2109">
        <v>3.4747375333030823</v>
      </c>
      <c r="CT149" s="2109">
        <f t="shared" si="311"/>
        <v>0</v>
      </c>
      <c r="CU149" s="2135"/>
      <c r="CV149" s="2135"/>
      <c r="CW149" s="2135"/>
      <c r="CX149" s="2135">
        <f t="shared" si="312"/>
        <v>0</v>
      </c>
      <c r="CY149" s="2135">
        <f t="shared" si="313"/>
        <v>10.52428125</v>
      </c>
      <c r="CZ149" s="2149">
        <v>0</v>
      </c>
      <c r="DA149" s="2135">
        <f t="shared" si="314"/>
        <v>0</v>
      </c>
      <c r="DB149" s="2109">
        <v>10.52428125</v>
      </c>
      <c r="DC149" s="2109">
        <v>3.4747375333030823</v>
      </c>
      <c r="DD149" s="2109">
        <f t="shared" si="315"/>
        <v>0</v>
      </c>
      <c r="DE149" s="2135"/>
      <c r="DF149" s="2135"/>
      <c r="DG149" s="2135"/>
      <c r="DH149" s="2135">
        <f t="shared" si="316"/>
        <v>0</v>
      </c>
      <c r="DI149" s="2135">
        <f t="shared" si="317"/>
        <v>10.52428125</v>
      </c>
      <c r="DJ149" s="2149">
        <v>0</v>
      </c>
      <c r="DK149" s="2135">
        <f t="shared" si="318"/>
        <v>0</v>
      </c>
      <c r="DL149" s="2109">
        <v>10.52428125</v>
      </c>
      <c r="DM149" s="2109">
        <v>3.4747375333030823</v>
      </c>
      <c r="DN149" s="2109">
        <f t="shared" si="319"/>
        <v>0</v>
      </c>
      <c r="DO149" s="2135"/>
      <c r="DP149" s="2135"/>
      <c r="DQ149" s="2135"/>
      <c r="DR149" s="2135">
        <f t="shared" si="320"/>
        <v>0</v>
      </c>
      <c r="DS149" s="2135">
        <f t="shared" si="321"/>
        <v>10.52428125</v>
      </c>
      <c r="DT149" s="2149">
        <v>0</v>
      </c>
      <c r="DU149" s="2135">
        <f t="shared" si="322"/>
        <v>0</v>
      </c>
      <c r="DV149" s="2109">
        <v>10.52428125</v>
      </c>
      <c r="DW149" s="2109">
        <v>3.4747375333030823</v>
      </c>
      <c r="DX149" s="2109">
        <f t="shared" si="323"/>
        <v>0</v>
      </c>
      <c r="DY149" s="2135"/>
      <c r="DZ149" s="2135"/>
      <c r="EA149" s="2135"/>
      <c r="EB149" s="2135">
        <f t="shared" si="324"/>
        <v>0</v>
      </c>
      <c r="EC149" s="2135">
        <f t="shared" si="325"/>
        <v>10.52428125</v>
      </c>
      <c r="ED149" s="2135"/>
      <c r="EE149" s="2106">
        <f t="shared" si="326"/>
        <v>208.78073999999995</v>
      </c>
      <c r="EF149" s="2106">
        <f>IFERROR((EG149/EE149)*10,0)</f>
        <v>6.0489954676853834</v>
      </c>
      <c r="EG149" s="2106">
        <f t="shared" si="328"/>
        <v>126.291375</v>
      </c>
      <c r="EH149" s="2106">
        <f t="shared" si="329"/>
        <v>3.4747375333030828</v>
      </c>
      <c r="EI149" s="2106">
        <f t="shared" si="330"/>
        <v>72.545827350879208</v>
      </c>
      <c r="EJ149" s="2106"/>
      <c r="EK149" s="2106"/>
      <c r="EL149" s="2106"/>
      <c r="EM149" s="2106">
        <f t="shared" si="331"/>
        <v>9.5237330009884662</v>
      </c>
      <c r="EN149" s="2106">
        <f t="shared" si="332"/>
        <v>198.83720235087921</v>
      </c>
      <c r="EO149" s="2106"/>
      <c r="EP149" s="2114"/>
      <c r="EQ149" s="2224"/>
      <c r="ER149" s="2277"/>
      <c r="ES149" s="2209" t="s">
        <v>1770</v>
      </c>
      <c r="EU149" s="2230"/>
    </row>
    <row r="150" spans="1:151">
      <c r="A150" s="2220">
        <v>9</v>
      </c>
      <c r="B150" s="2227" t="s">
        <v>1771</v>
      </c>
      <c r="C150" s="2146">
        <v>3600</v>
      </c>
      <c r="D150" s="2134">
        <f t="shared" si="276"/>
        <v>0.27777777777777779</v>
      </c>
      <c r="E150" s="1882"/>
      <c r="F150" s="2247">
        <v>0.39533861728505287</v>
      </c>
      <c r="G150" s="2146">
        <v>1000</v>
      </c>
      <c r="H150" s="2248" t="s">
        <v>1649</v>
      </c>
      <c r="I150" s="2249">
        <v>1</v>
      </c>
      <c r="J150" s="2149">
        <v>2651.1840000000002</v>
      </c>
      <c r="K150" s="2148">
        <v>3.4703846153846141E-2</v>
      </c>
      <c r="L150" s="2151"/>
      <c r="M150" s="2106">
        <f t="shared" si="277"/>
        <v>2559.1777183384615</v>
      </c>
      <c r="N150" s="2149">
        <v>0</v>
      </c>
      <c r="O150" s="2135">
        <f t="shared" si="278"/>
        <v>0</v>
      </c>
      <c r="P150" s="2109">
        <v>136.82025000000002</v>
      </c>
      <c r="Q150" s="2109">
        <v>2.8386806389332149</v>
      </c>
      <c r="R150" s="2109">
        <f t="shared" si="279"/>
        <v>0</v>
      </c>
      <c r="S150" s="2135"/>
      <c r="T150" s="2135"/>
      <c r="U150" s="2135"/>
      <c r="V150" s="2135">
        <f t="shared" si="280"/>
        <v>0</v>
      </c>
      <c r="W150" s="2135">
        <f t="shared" si="281"/>
        <v>136.82025000000002</v>
      </c>
      <c r="X150" s="2149">
        <v>537.16800000000001</v>
      </c>
      <c r="Y150" s="2135">
        <f t="shared" si="282"/>
        <v>2.5470662809400411</v>
      </c>
      <c r="Z150" s="2109">
        <v>136.82025000000002</v>
      </c>
      <c r="AA150" s="2109">
        <v>2.8386806389332149</v>
      </c>
      <c r="AB150" s="2109">
        <f t="shared" si="283"/>
        <v>152.48484014544772</v>
      </c>
      <c r="AC150" s="2135"/>
      <c r="AD150" s="2135"/>
      <c r="AE150" s="2135"/>
      <c r="AF150" s="2135">
        <f t="shared" si="284"/>
        <v>5.3857469198732559</v>
      </c>
      <c r="AG150" s="2135">
        <f t="shared" si="285"/>
        <v>289.30509014544771</v>
      </c>
      <c r="AH150" s="2149">
        <v>519.84</v>
      </c>
      <c r="AI150" s="2135">
        <f t="shared" si="286"/>
        <v>2.6319684903047094</v>
      </c>
      <c r="AJ150" s="2109">
        <v>136.82025000000002</v>
      </c>
      <c r="AK150" s="2109">
        <v>2.8386806389332149</v>
      </c>
      <c r="AL150" s="2109">
        <f t="shared" si="287"/>
        <v>147.56597433430426</v>
      </c>
      <c r="AM150" s="2135"/>
      <c r="AN150" s="2135"/>
      <c r="AO150" s="2135"/>
      <c r="AP150" s="2135">
        <f t="shared" si="288"/>
        <v>5.4706491292379242</v>
      </c>
      <c r="AQ150" s="2135">
        <f t="shared" si="289"/>
        <v>284.3862243343043</v>
      </c>
      <c r="AR150" s="2149">
        <v>537.16800000000001</v>
      </c>
      <c r="AS150" s="2135">
        <f t="shared" si="290"/>
        <v>2.5470662809400411</v>
      </c>
      <c r="AT150" s="2109">
        <v>136.82025000000002</v>
      </c>
      <c r="AU150" s="2109">
        <v>2.8386806389332149</v>
      </c>
      <c r="AV150" s="2109">
        <f t="shared" si="291"/>
        <v>152.48484014544772</v>
      </c>
      <c r="AW150" s="2135"/>
      <c r="AX150" s="2135"/>
      <c r="AY150" s="2135"/>
      <c r="AZ150" s="2135">
        <f t="shared" si="292"/>
        <v>5.3857469198732559</v>
      </c>
      <c r="BA150" s="2135">
        <f t="shared" si="293"/>
        <v>289.30509014544771</v>
      </c>
      <c r="BB150" s="2149">
        <v>537.16800000000001</v>
      </c>
      <c r="BC150" s="2135">
        <f t="shared" si="294"/>
        <v>2.5470662809400411</v>
      </c>
      <c r="BD150" s="2109">
        <v>136.82025000000002</v>
      </c>
      <c r="BE150" s="2109">
        <v>2.8386806389332149</v>
      </c>
      <c r="BF150" s="2109">
        <f t="shared" si="295"/>
        <v>152.48484014544772</v>
      </c>
      <c r="BG150" s="2135"/>
      <c r="BH150" s="2135"/>
      <c r="BI150" s="2135"/>
      <c r="BJ150" s="2135">
        <f t="shared" si="296"/>
        <v>5.3857469198732559</v>
      </c>
      <c r="BK150" s="2135">
        <f t="shared" si="297"/>
        <v>289.30509014544771</v>
      </c>
      <c r="BL150" s="2149">
        <v>519.84</v>
      </c>
      <c r="BM150" s="2135">
        <f t="shared" si="298"/>
        <v>2.6319684903047094</v>
      </c>
      <c r="BN150" s="2109">
        <v>136.82025000000002</v>
      </c>
      <c r="BO150" s="2109">
        <v>2.8386806389332149</v>
      </c>
      <c r="BP150" s="2109">
        <f t="shared" si="299"/>
        <v>147.56597433430426</v>
      </c>
      <c r="BQ150" s="2135"/>
      <c r="BR150" s="2135"/>
      <c r="BS150" s="2135"/>
      <c r="BT150" s="2135">
        <f t="shared" si="300"/>
        <v>5.4706491292379242</v>
      </c>
      <c r="BU150" s="2135">
        <f t="shared" si="301"/>
        <v>284.3862243343043</v>
      </c>
      <c r="BV150" s="2149">
        <v>0</v>
      </c>
      <c r="BW150" s="2135">
        <f t="shared" si="302"/>
        <v>0</v>
      </c>
      <c r="BX150" s="2109">
        <v>136.82025000000002</v>
      </c>
      <c r="BY150" s="2109">
        <v>2.8386806389332149</v>
      </c>
      <c r="BZ150" s="2109">
        <f t="shared" si="303"/>
        <v>0</v>
      </c>
      <c r="CA150" s="2135"/>
      <c r="CB150" s="2135"/>
      <c r="CC150" s="2135"/>
      <c r="CD150" s="2135">
        <f t="shared" si="304"/>
        <v>0</v>
      </c>
      <c r="CE150" s="2135">
        <f t="shared" si="305"/>
        <v>136.82025000000002</v>
      </c>
      <c r="CF150" s="2149">
        <v>0</v>
      </c>
      <c r="CG150" s="2135">
        <f t="shared" si="306"/>
        <v>0</v>
      </c>
      <c r="CH150" s="2109">
        <v>136.82025000000002</v>
      </c>
      <c r="CI150" s="2109">
        <v>2.8386806389332149</v>
      </c>
      <c r="CJ150" s="2109">
        <f t="shared" si="307"/>
        <v>0</v>
      </c>
      <c r="CK150" s="2135"/>
      <c r="CL150" s="2135"/>
      <c r="CM150" s="2135"/>
      <c r="CN150" s="2135">
        <f t="shared" si="308"/>
        <v>0</v>
      </c>
      <c r="CO150" s="2135">
        <f t="shared" si="309"/>
        <v>136.82025000000002</v>
      </c>
      <c r="CP150" s="2149">
        <v>0</v>
      </c>
      <c r="CQ150" s="2135">
        <f t="shared" si="310"/>
        <v>0</v>
      </c>
      <c r="CR150" s="2109">
        <v>136.82025000000002</v>
      </c>
      <c r="CS150" s="2109">
        <v>2.8386806389332149</v>
      </c>
      <c r="CT150" s="2109">
        <f t="shared" si="311"/>
        <v>0</v>
      </c>
      <c r="CU150" s="2135"/>
      <c r="CV150" s="2135"/>
      <c r="CW150" s="2135"/>
      <c r="CX150" s="2135">
        <f t="shared" si="312"/>
        <v>0</v>
      </c>
      <c r="CY150" s="2135">
        <f t="shared" si="313"/>
        <v>136.82025000000002</v>
      </c>
      <c r="CZ150" s="2149">
        <v>0</v>
      </c>
      <c r="DA150" s="2135">
        <f t="shared" si="314"/>
        <v>0</v>
      </c>
      <c r="DB150" s="2109">
        <v>136.82025000000002</v>
      </c>
      <c r="DC150" s="2109">
        <v>2.8386806389332149</v>
      </c>
      <c r="DD150" s="2109">
        <f t="shared" si="315"/>
        <v>0</v>
      </c>
      <c r="DE150" s="2135"/>
      <c r="DF150" s="2135"/>
      <c r="DG150" s="2135"/>
      <c r="DH150" s="2135">
        <f t="shared" si="316"/>
        <v>0</v>
      </c>
      <c r="DI150" s="2135">
        <f t="shared" si="317"/>
        <v>136.82025000000002</v>
      </c>
      <c r="DJ150" s="2149">
        <v>0</v>
      </c>
      <c r="DK150" s="2135">
        <f t="shared" si="318"/>
        <v>0</v>
      </c>
      <c r="DL150" s="2109">
        <v>136.82025000000002</v>
      </c>
      <c r="DM150" s="2109">
        <v>2.8386806389332149</v>
      </c>
      <c r="DN150" s="2109">
        <f t="shared" si="319"/>
        <v>0</v>
      </c>
      <c r="DO150" s="2135"/>
      <c r="DP150" s="2135"/>
      <c r="DQ150" s="2135"/>
      <c r="DR150" s="2135">
        <f t="shared" si="320"/>
        <v>0</v>
      </c>
      <c r="DS150" s="2135">
        <f t="shared" si="321"/>
        <v>136.82025000000002</v>
      </c>
      <c r="DT150" s="2149">
        <v>0</v>
      </c>
      <c r="DU150" s="2135">
        <f t="shared" si="322"/>
        <v>0</v>
      </c>
      <c r="DV150" s="2109">
        <v>136.82025000000002</v>
      </c>
      <c r="DW150" s="2109">
        <v>2.8386806389332149</v>
      </c>
      <c r="DX150" s="2109">
        <f t="shared" si="323"/>
        <v>0</v>
      </c>
      <c r="DY150" s="2135"/>
      <c r="DZ150" s="2135"/>
      <c r="EA150" s="2135"/>
      <c r="EB150" s="2135">
        <f t="shared" si="324"/>
        <v>0</v>
      </c>
      <c r="EC150" s="2135">
        <f t="shared" si="325"/>
        <v>136.82025000000002</v>
      </c>
      <c r="ED150" s="2135"/>
      <c r="EE150" s="2106">
        <f t="shared" si="326"/>
        <v>2651.1840000000002</v>
      </c>
      <c r="EF150" s="2106">
        <f t="shared" si="327"/>
        <v>6.19286703601108</v>
      </c>
      <c r="EG150" s="2106">
        <f t="shared" si="328"/>
        <v>1641.8430000000001</v>
      </c>
      <c r="EH150" s="2106">
        <f t="shared" si="329"/>
        <v>2.8386806389332149</v>
      </c>
      <c r="EI150" s="2106">
        <f t="shared" si="330"/>
        <v>752.58646910495168</v>
      </c>
      <c r="EJ150" s="2106"/>
      <c r="EK150" s="2106"/>
      <c r="EL150" s="2106"/>
      <c r="EM150" s="2106">
        <f t="shared" si="331"/>
        <v>9.031547674944294</v>
      </c>
      <c r="EN150" s="2106">
        <f t="shared" si="332"/>
        <v>2394.4294691049517</v>
      </c>
      <c r="EO150" s="2106">
        <f t="shared" si="333"/>
        <v>9.031547674944294</v>
      </c>
      <c r="EP150" s="2114">
        <f t="shared" si="334"/>
        <v>9.3562453750165027</v>
      </c>
      <c r="EQ150" s="2224"/>
      <c r="ER150" s="2277"/>
      <c r="ES150" s="2209" t="s">
        <v>1771</v>
      </c>
      <c r="EU150" s="2230"/>
    </row>
    <row r="151" spans="1:151">
      <c r="A151" s="2220">
        <v>10</v>
      </c>
      <c r="B151" s="2227" t="s">
        <v>1772</v>
      </c>
      <c r="C151" s="2146">
        <v>1980</v>
      </c>
      <c r="D151" s="2134">
        <f t="shared" si="276"/>
        <v>1</v>
      </c>
      <c r="E151" s="1882"/>
      <c r="F151" s="2247">
        <v>0.33688608996897079</v>
      </c>
      <c r="G151" s="2146">
        <v>1980</v>
      </c>
      <c r="H151" s="2248" t="s">
        <v>1649</v>
      </c>
      <c r="I151" s="2249">
        <v>2</v>
      </c>
      <c r="J151" s="2149">
        <v>5824.6273800000008</v>
      </c>
      <c r="K151" s="2247"/>
      <c r="L151" s="2151"/>
      <c r="M151" s="2106">
        <f t="shared" si="277"/>
        <v>5824.6273800000008</v>
      </c>
      <c r="N151" s="2149">
        <v>0</v>
      </c>
      <c r="O151" s="2135">
        <f t="shared" si="278"/>
        <v>0</v>
      </c>
      <c r="P151" s="2109">
        <v>280.51619794166669</v>
      </c>
      <c r="Q151" s="2109">
        <v>3.1013354915155689</v>
      </c>
      <c r="R151" s="2109">
        <f t="shared" si="279"/>
        <v>0</v>
      </c>
      <c r="S151" s="2135"/>
      <c r="T151" s="2135"/>
      <c r="U151" s="2135"/>
      <c r="V151" s="2135">
        <f t="shared" si="280"/>
        <v>0</v>
      </c>
      <c r="W151" s="2135">
        <f t="shared" si="281"/>
        <v>280.51619794166669</v>
      </c>
      <c r="X151" s="2149">
        <v>1180.15326</v>
      </c>
      <c r="Y151" s="2135">
        <f t="shared" si="282"/>
        <v>2.3769471936353983</v>
      </c>
      <c r="Z151" s="2109">
        <v>280.51619794166669</v>
      </c>
      <c r="AA151" s="2109">
        <v>3.1013354915155689</v>
      </c>
      <c r="AB151" s="2109">
        <f t="shared" si="283"/>
        <v>366.00511906658011</v>
      </c>
      <c r="AC151" s="2135"/>
      <c r="AD151" s="2135"/>
      <c r="AE151" s="2135"/>
      <c r="AF151" s="2135">
        <f t="shared" si="284"/>
        <v>5.4782826851509672</v>
      </c>
      <c r="AG151" s="2135">
        <f t="shared" si="285"/>
        <v>646.5213170082468</v>
      </c>
      <c r="AH151" s="2149">
        <v>1142.0838000000001</v>
      </c>
      <c r="AI151" s="2135">
        <f t="shared" si="286"/>
        <v>2.4561787667565782</v>
      </c>
      <c r="AJ151" s="2109">
        <v>280.51619794166669</v>
      </c>
      <c r="AK151" s="2109">
        <v>3.1013354915155689</v>
      </c>
      <c r="AL151" s="2109">
        <f t="shared" si="287"/>
        <v>354.19850232249689</v>
      </c>
      <c r="AM151" s="2135"/>
      <c r="AN151" s="2135"/>
      <c r="AO151" s="2135"/>
      <c r="AP151" s="2135">
        <f t="shared" si="288"/>
        <v>5.5575142582721471</v>
      </c>
      <c r="AQ151" s="2135">
        <f t="shared" si="289"/>
        <v>634.71470026416364</v>
      </c>
      <c r="AR151" s="2149">
        <v>1180.15326</v>
      </c>
      <c r="AS151" s="2135">
        <f t="shared" si="290"/>
        <v>2.3769471936353983</v>
      </c>
      <c r="AT151" s="2109">
        <v>280.51619794166669</v>
      </c>
      <c r="AU151" s="2109">
        <v>3.1013354915155689</v>
      </c>
      <c r="AV151" s="2109">
        <f t="shared" si="291"/>
        <v>366.00511906658011</v>
      </c>
      <c r="AW151" s="2135"/>
      <c r="AX151" s="2135"/>
      <c r="AY151" s="2135"/>
      <c r="AZ151" s="2135">
        <f t="shared" si="292"/>
        <v>5.4782826851509672</v>
      </c>
      <c r="BA151" s="2135">
        <f t="shared" si="293"/>
        <v>646.5213170082468</v>
      </c>
      <c r="BB151" s="2149">
        <v>1180.15326</v>
      </c>
      <c r="BC151" s="2135">
        <f t="shared" si="294"/>
        <v>2.3769471936353983</v>
      </c>
      <c r="BD151" s="2109">
        <v>280.51619794166669</v>
      </c>
      <c r="BE151" s="2109">
        <v>3.1013354915155689</v>
      </c>
      <c r="BF151" s="2109">
        <f t="shared" si="295"/>
        <v>366.00511906658011</v>
      </c>
      <c r="BG151" s="2135"/>
      <c r="BH151" s="2135"/>
      <c r="BI151" s="2135"/>
      <c r="BJ151" s="2135">
        <f t="shared" si="296"/>
        <v>5.4782826851509672</v>
      </c>
      <c r="BK151" s="2135">
        <f t="shared" si="297"/>
        <v>646.5213170082468</v>
      </c>
      <c r="BL151" s="2149">
        <v>1142.0838000000001</v>
      </c>
      <c r="BM151" s="2135">
        <f t="shared" si="298"/>
        <v>2.4561787667565782</v>
      </c>
      <c r="BN151" s="2109">
        <v>280.51619794166669</v>
      </c>
      <c r="BO151" s="2109">
        <v>3.1013354915155689</v>
      </c>
      <c r="BP151" s="2109">
        <f t="shared" si="299"/>
        <v>354.19850232249689</v>
      </c>
      <c r="BQ151" s="2135"/>
      <c r="BR151" s="2135"/>
      <c r="BS151" s="2135"/>
      <c r="BT151" s="2135">
        <f t="shared" si="300"/>
        <v>5.5575142582721471</v>
      </c>
      <c r="BU151" s="2135">
        <f t="shared" si="301"/>
        <v>634.71470026416364</v>
      </c>
      <c r="BV151" s="2149">
        <v>0</v>
      </c>
      <c r="BW151" s="2135">
        <f t="shared" si="302"/>
        <v>0</v>
      </c>
      <c r="BX151" s="2109">
        <v>280.51619794166669</v>
      </c>
      <c r="BY151" s="2109">
        <v>3.1013354915155689</v>
      </c>
      <c r="BZ151" s="2109">
        <f t="shared" si="303"/>
        <v>0</v>
      </c>
      <c r="CA151" s="2135"/>
      <c r="CB151" s="2135"/>
      <c r="CC151" s="2135"/>
      <c r="CD151" s="2135">
        <f t="shared" si="304"/>
        <v>0</v>
      </c>
      <c r="CE151" s="2135">
        <f t="shared" si="305"/>
        <v>280.51619794166669</v>
      </c>
      <c r="CF151" s="2149">
        <v>0</v>
      </c>
      <c r="CG151" s="2135">
        <f t="shared" si="306"/>
        <v>0</v>
      </c>
      <c r="CH151" s="2109">
        <v>280.51619794166669</v>
      </c>
      <c r="CI151" s="2109">
        <v>3.1013354915155689</v>
      </c>
      <c r="CJ151" s="2109">
        <f t="shared" si="307"/>
        <v>0</v>
      </c>
      <c r="CK151" s="2135"/>
      <c r="CL151" s="2135"/>
      <c r="CM151" s="2135"/>
      <c r="CN151" s="2135">
        <f t="shared" si="308"/>
        <v>0</v>
      </c>
      <c r="CO151" s="2135">
        <f t="shared" si="309"/>
        <v>280.51619794166669</v>
      </c>
      <c r="CP151" s="2149">
        <v>0</v>
      </c>
      <c r="CQ151" s="2135">
        <f t="shared" si="310"/>
        <v>0</v>
      </c>
      <c r="CR151" s="2109">
        <v>280.51619794166669</v>
      </c>
      <c r="CS151" s="2109">
        <v>3.1013354915155689</v>
      </c>
      <c r="CT151" s="2109">
        <f t="shared" si="311"/>
        <v>0</v>
      </c>
      <c r="CU151" s="2135"/>
      <c r="CV151" s="2135"/>
      <c r="CW151" s="2135"/>
      <c r="CX151" s="2135">
        <f t="shared" si="312"/>
        <v>0</v>
      </c>
      <c r="CY151" s="2135">
        <f t="shared" si="313"/>
        <v>280.51619794166669</v>
      </c>
      <c r="CZ151" s="2149">
        <v>0</v>
      </c>
      <c r="DA151" s="2135">
        <f t="shared" si="314"/>
        <v>0</v>
      </c>
      <c r="DB151" s="2109">
        <v>280.51619794166669</v>
      </c>
      <c r="DC151" s="2109">
        <v>3.1013354915155689</v>
      </c>
      <c r="DD151" s="2109">
        <f t="shared" si="315"/>
        <v>0</v>
      </c>
      <c r="DE151" s="2135"/>
      <c r="DF151" s="2135"/>
      <c r="DG151" s="2135"/>
      <c r="DH151" s="2135">
        <f t="shared" si="316"/>
        <v>0</v>
      </c>
      <c r="DI151" s="2135">
        <f t="shared" si="317"/>
        <v>280.51619794166669</v>
      </c>
      <c r="DJ151" s="2149">
        <v>0</v>
      </c>
      <c r="DK151" s="2135">
        <f t="shared" si="318"/>
        <v>0</v>
      </c>
      <c r="DL151" s="2109">
        <v>280.51619794166669</v>
      </c>
      <c r="DM151" s="2109">
        <v>3.1013354915155689</v>
      </c>
      <c r="DN151" s="2109">
        <f t="shared" si="319"/>
        <v>0</v>
      </c>
      <c r="DO151" s="2135"/>
      <c r="DP151" s="2135"/>
      <c r="DQ151" s="2135"/>
      <c r="DR151" s="2135">
        <f t="shared" si="320"/>
        <v>0</v>
      </c>
      <c r="DS151" s="2135">
        <f t="shared" si="321"/>
        <v>280.51619794166669</v>
      </c>
      <c r="DT151" s="2149">
        <v>0</v>
      </c>
      <c r="DU151" s="2135">
        <f t="shared" si="322"/>
        <v>0</v>
      </c>
      <c r="DV151" s="2109">
        <v>280.51619794166669</v>
      </c>
      <c r="DW151" s="2109">
        <v>3.1013354915155689</v>
      </c>
      <c r="DX151" s="2109">
        <f t="shared" si="323"/>
        <v>0</v>
      </c>
      <c r="DY151" s="2135"/>
      <c r="DZ151" s="2135"/>
      <c r="EA151" s="2135"/>
      <c r="EB151" s="2135">
        <f t="shared" si="324"/>
        <v>0</v>
      </c>
      <c r="EC151" s="2135">
        <f t="shared" si="325"/>
        <v>280.51619794166669</v>
      </c>
      <c r="ED151" s="2135"/>
      <c r="EE151" s="2106">
        <f t="shared" si="326"/>
        <v>5824.6273800000008</v>
      </c>
      <c r="EF151" s="2106">
        <f t="shared" si="327"/>
        <v>5.7792441570743014</v>
      </c>
      <c r="EG151" s="2106">
        <f t="shared" si="328"/>
        <v>3366.1943753</v>
      </c>
      <c r="EH151" s="2106">
        <f t="shared" si="329"/>
        <v>3.1013354915155689</v>
      </c>
      <c r="EI151" s="2106">
        <f t="shared" si="330"/>
        <v>1806.4123618447343</v>
      </c>
      <c r="EJ151" s="2106"/>
      <c r="EK151" s="2106"/>
      <c r="EL151" s="2106"/>
      <c r="EM151" s="2106">
        <f t="shared" si="331"/>
        <v>8.8805796485898707</v>
      </c>
      <c r="EN151" s="2106">
        <f t="shared" si="332"/>
        <v>5172.6067371447343</v>
      </c>
      <c r="EO151" s="2106">
        <f t="shared" si="333"/>
        <v>8.8805796485898707</v>
      </c>
      <c r="EP151" s="2114">
        <f t="shared" si="334"/>
        <v>8.8805796485898707</v>
      </c>
      <c r="EQ151" s="2224"/>
      <c r="ER151" s="2277"/>
      <c r="ES151" s="2209" t="s">
        <v>1772</v>
      </c>
      <c r="EU151" s="2230"/>
    </row>
    <row r="152" spans="1:151">
      <c r="A152" s="2220">
        <v>11</v>
      </c>
      <c r="B152" s="2227" t="s">
        <v>1773</v>
      </c>
      <c r="C152" s="2146">
        <v>1200</v>
      </c>
      <c r="D152" s="2134">
        <f t="shared" si="276"/>
        <v>0.30083333333333334</v>
      </c>
      <c r="E152" s="1882"/>
      <c r="F152" s="2247">
        <v>0.76916477381783677</v>
      </c>
      <c r="G152" s="2146">
        <v>361</v>
      </c>
      <c r="H152" s="2248" t="s">
        <v>1649</v>
      </c>
      <c r="I152" s="2249">
        <v>1</v>
      </c>
      <c r="J152" s="2149">
        <v>2466.8611073313782</v>
      </c>
      <c r="K152" s="2247"/>
      <c r="L152" s="2151"/>
      <c r="M152" s="2106">
        <f t="shared" si="277"/>
        <v>2466.8611073313782</v>
      </c>
      <c r="N152" s="2149">
        <v>152.89727807486634</v>
      </c>
      <c r="O152" s="2135">
        <f t="shared" si="278"/>
        <v>3.9045455393722319</v>
      </c>
      <c r="P152" s="2109">
        <v>59.699438508937504</v>
      </c>
      <c r="Q152" s="2109">
        <v>2.1863001041259218</v>
      </c>
      <c r="R152" s="2109">
        <f t="shared" si="279"/>
        <v>33.427933497565029</v>
      </c>
      <c r="S152" s="2135"/>
      <c r="T152" s="2135"/>
      <c r="U152" s="2135"/>
      <c r="V152" s="2135">
        <f t="shared" si="280"/>
        <v>6.0908456434981524</v>
      </c>
      <c r="W152" s="2135">
        <f t="shared" si="281"/>
        <v>93.127372006502526</v>
      </c>
      <c r="X152" s="2149">
        <v>214.72609454545452</v>
      </c>
      <c r="Y152" s="2135">
        <f t="shared" si="282"/>
        <v>2.7802600627237677</v>
      </c>
      <c r="Z152" s="2109">
        <v>59.699438508937504</v>
      </c>
      <c r="AA152" s="2109">
        <v>2.1863001041259218</v>
      </c>
      <c r="AB152" s="2109">
        <f t="shared" si="283"/>
        <v>46.945568286327969</v>
      </c>
      <c r="AC152" s="2135"/>
      <c r="AD152" s="2135"/>
      <c r="AE152" s="2135"/>
      <c r="AF152" s="2135">
        <f t="shared" si="284"/>
        <v>4.966560166849689</v>
      </c>
      <c r="AG152" s="2135">
        <f t="shared" si="285"/>
        <v>106.64500679526547</v>
      </c>
      <c r="AH152" s="2149">
        <v>221.20105112299464</v>
      </c>
      <c r="AI152" s="2135">
        <f t="shared" si="286"/>
        <v>2.6988768003522172</v>
      </c>
      <c r="AJ152" s="2109">
        <v>59.699438508937504</v>
      </c>
      <c r="AK152" s="2109">
        <v>2.1863001041259218</v>
      </c>
      <c r="AL152" s="2109">
        <f t="shared" si="287"/>
        <v>48.361188110296652</v>
      </c>
      <c r="AM152" s="2135"/>
      <c r="AN152" s="2135"/>
      <c r="AO152" s="2135"/>
      <c r="AP152" s="2135">
        <f t="shared" si="288"/>
        <v>4.885176904478139</v>
      </c>
      <c r="AQ152" s="2135">
        <f t="shared" si="289"/>
        <v>108.06062661923416</v>
      </c>
      <c r="AR152" s="2149">
        <v>230.34763614973264</v>
      </c>
      <c r="AS152" s="2135">
        <f t="shared" si="290"/>
        <v>2.591710490579167</v>
      </c>
      <c r="AT152" s="2109">
        <v>59.699438508937504</v>
      </c>
      <c r="AU152" s="2109">
        <v>2.1863001041259218</v>
      </c>
      <c r="AV152" s="2109">
        <f t="shared" si="291"/>
        <v>50.360906089932044</v>
      </c>
      <c r="AW152" s="2135"/>
      <c r="AX152" s="2135"/>
      <c r="AY152" s="2135"/>
      <c r="AZ152" s="2135">
        <f t="shared" si="292"/>
        <v>4.7780105947050888</v>
      </c>
      <c r="BA152" s="2135">
        <f t="shared" si="293"/>
        <v>110.06034459886955</v>
      </c>
      <c r="BB152" s="2149">
        <v>227.65391016042781</v>
      </c>
      <c r="BC152" s="2135">
        <f t="shared" si="294"/>
        <v>2.6223770312957626</v>
      </c>
      <c r="BD152" s="2109">
        <v>59.699438508937504</v>
      </c>
      <c r="BE152" s="2109">
        <v>2.1863001041259218</v>
      </c>
      <c r="BF152" s="2109">
        <f t="shared" si="295"/>
        <v>49.771976748841652</v>
      </c>
      <c r="BG152" s="2135"/>
      <c r="BH152" s="2135"/>
      <c r="BI152" s="2135"/>
      <c r="BJ152" s="2135">
        <f t="shared" si="296"/>
        <v>4.8086771354216848</v>
      </c>
      <c r="BK152" s="2135">
        <f t="shared" si="297"/>
        <v>109.47141525777916</v>
      </c>
      <c r="BL152" s="2149">
        <v>199.53186241159221</v>
      </c>
      <c r="BM152" s="2135">
        <f t="shared" si="298"/>
        <v>2.9919752057338158</v>
      </c>
      <c r="BN152" s="2109">
        <v>59.699438508937504</v>
      </c>
      <c r="BO152" s="2109">
        <v>2.1863001041259218</v>
      </c>
      <c r="BP152" s="2109">
        <f t="shared" si="299"/>
        <v>43.623653156690317</v>
      </c>
      <c r="BQ152" s="2135"/>
      <c r="BR152" s="2135"/>
      <c r="BS152" s="2135"/>
      <c r="BT152" s="2135">
        <f t="shared" si="300"/>
        <v>5.1782753098597381</v>
      </c>
      <c r="BU152" s="2135">
        <f t="shared" si="301"/>
        <v>103.32309166562783</v>
      </c>
      <c r="BV152" s="2149">
        <v>209.66882288770051</v>
      </c>
      <c r="BW152" s="2135">
        <f t="shared" si="302"/>
        <v>2.8473207264063656</v>
      </c>
      <c r="BX152" s="2109">
        <v>59.699438508937504</v>
      </c>
      <c r="BY152" s="2109">
        <v>2.1863001041259218</v>
      </c>
      <c r="BZ152" s="2109">
        <f t="shared" si="303"/>
        <v>45.839896931133907</v>
      </c>
      <c r="CA152" s="2135"/>
      <c r="CB152" s="2135"/>
      <c r="CC152" s="2135"/>
      <c r="CD152" s="2135">
        <f t="shared" si="304"/>
        <v>5.0336208305322874</v>
      </c>
      <c r="CE152" s="2135">
        <f t="shared" si="305"/>
        <v>105.53933544007141</v>
      </c>
      <c r="CF152" s="2149">
        <v>215.4975935828877</v>
      </c>
      <c r="CG152" s="2135">
        <f t="shared" si="306"/>
        <v>2.7703065039552319</v>
      </c>
      <c r="CH152" s="2109">
        <v>59.699438508937504</v>
      </c>
      <c r="CI152" s="2109">
        <v>2.1863001041259218</v>
      </c>
      <c r="CJ152" s="2109">
        <f t="shared" si="307"/>
        <v>47.114241128915296</v>
      </c>
      <c r="CK152" s="2135"/>
      <c r="CL152" s="2135"/>
      <c r="CM152" s="2135"/>
      <c r="CN152" s="2135">
        <f t="shared" si="308"/>
        <v>4.9566066080811542</v>
      </c>
      <c r="CO152" s="2135">
        <f t="shared" si="309"/>
        <v>106.8136796378528</v>
      </c>
      <c r="CP152" s="2149">
        <v>197.35042780748662</v>
      </c>
      <c r="CQ152" s="2135">
        <f t="shared" si="310"/>
        <v>3.0250473319051387</v>
      </c>
      <c r="CR152" s="2109">
        <v>59.699438508937504</v>
      </c>
      <c r="CS152" s="2109">
        <v>2.1863001041259218</v>
      </c>
      <c r="CT152" s="2109">
        <f t="shared" si="311"/>
        <v>43.146726086480321</v>
      </c>
      <c r="CU152" s="2135"/>
      <c r="CV152" s="2135"/>
      <c r="CW152" s="2135"/>
      <c r="CX152" s="2135">
        <f t="shared" si="312"/>
        <v>5.211347436031061</v>
      </c>
      <c r="CY152" s="2135">
        <f t="shared" si="313"/>
        <v>102.84616459541783</v>
      </c>
      <c r="CZ152" s="2149">
        <v>225.01606267379677</v>
      </c>
      <c r="DA152" s="2135">
        <f t="shared" si="314"/>
        <v>2.653118972910085</v>
      </c>
      <c r="DB152" s="2109">
        <v>59.699438508937504</v>
      </c>
      <c r="DC152" s="2109">
        <v>2.1863001041259218</v>
      </c>
      <c r="DD152" s="2109">
        <f t="shared" si="315"/>
        <v>49.195264125372681</v>
      </c>
      <c r="DE152" s="2135"/>
      <c r="DF152" s="2135"/>
      <c r="DG152" s="2135"/>
      <c r="DH152" s="2135">
        <f t="shared" si="316"/>
        <v>4.8394190770360073</v>
      </c>
      <c r="DI152" s="2135">
        <f t="shared" si="317"/>
        <v>108.89470263431019</v>
      </c>
      <c r="DJ152" s="2149">
        <v>195.05153368983954</v>
      </c>
      <c r="DK152" s="2135">
        <f t="shared" si="318"/>
        <v>3.0607007994035227</v>
      </c>
      <c r="DL152" s="2109">
        <v>59.699438508937504</v>
      </c>
      <c r="DM152" s="2109">
        <v>2.1863001041259218</v>
      </c>
      <c r="DN152" s="2109">
        <f t="shared" si="319"/>
        <v>42.644118841601696</v>
      </c>
      <c r="DO152" s="2135"/>
      <c r="DP152" s="2135"/>
      <c r="DQ152" s="2135"/>
      <c r="DR152" s="2135">
        <f t="shared" si="320"/>
        <v>5.2470009035294449</v>
      </c>
      <c r="DS152" s="2135">
        <f t="shared" si="321"/>
        <v>102.3435573505392</v>
      </c>
      <c r="DT152" s="2149">
        <v>177.9188342245989</v>
      </c>
      <c r="DU152" s="2135">
        <f t="shared" si="322"/>
        <v>3.3554310744625768</v>
      </c>
      <c r="DV152" s="2109">
        <v>59.699438508937504</v>
      </c>
      <c r="DW152" s="2109">
        <v>2.1863001041259218</v>
      </c>
      <c r="DX152" s="2109">
        <f t="shared" si="323"/>
        <v>38.898396579120316</v>
      </c>
      <c r="DY152" s="2135"/>
      <c r="DZ152" s="2135"/>
      <c r="EA152" s="2135"/>
      <c r="EB152" s="2135">
        <f t="shared" si="324"/>
        <v>5.5417311785884991</v>
      </c>
      <c r="EC152" s="2135">
        <f t="shared" si="325"/>
        <v>98.59783508805782</v>
      </c>
      <c r="ED152" s="2135"/>
      <c r="EE152" s="2106">
        <f t="shared" si="326"/>
        <v>2466.8611073313782</v>
      </c>
      <c r="EF152" s="2106">
        <f t="shared" si="327"/>
        <v>2.9040680887066084</v>
      </c>
      <c r="EG152" s="2106">
        <f t="shared" si="328"/>
        <v>716.39326210725028</v>
      </c>
      <c r="EH152" s="2106">
        <f t="shared" si="329"/>
        <v>2.1863001041259218</v>
      </c>
      <c r="EI152" s="2106">
        <f t="shared" si="330"/>
        <v>539.32986958227787</v>
      </c>
      <c r="EJ152" s="2106"/>
      <c r="EK152" s="2106"/>
      <c r="EL152" s="2106"/>
      <c r="EM152" s="2106">
        <f t="shared" si="331"/>
        <v>5.0903681928325293</v>
      </c>
      <c r="EN152" s="2106">
        <f t="shared" si="332"/>
        <v>1255.7231316895281</v>
      </c>
      <c r="EO152" s="2106">
        <f t="shared" si="333"/>
        <v>5.0903681928325293</v>
      </c>
      <c r="EP152" s="2114">
        <f t="shared" si="334"/>
        <v>5.0903681928325293</v>
      </c>
      <c r="EQ152" s="2224"/>
      <c r="ER152" s="2277"/>
      <c r="ES152" s="2209" t="s">
        <v>1773</v>
      </c>
      <c r="EU152" s="2230"/>
    </row>
    <row r="153" spans="1:151">
      <c r="A153" s="2220">
        <v>12</v>
      </c>
      <c r="B153" s="2227" t="s">
        <v>1774</v>
      </c>
      <c r="C153" s="2146">
        <v>1980</v>
      </c>
      <c r="D153" s="2134">
        <f t="shared" si="276"/>
        <v>0.9</v>
      </c>
      <c r="E153" s="1882"/>
      <c r="F153" s="2247">
        <v>0.39252564134119033</v>
      </c>
      <c r="G153" s="2146">
        <v>1782</v>
      </c>
      <c r="H153" s="2248" t="s">
        <v>1649</v>
      </c>
      <c r="I153" s="2249">
        <v>2</v>
      </c>
      <c r="J153" s="2149">
        <v>4449.9141002389479</v>
      </c>
      <c r="K153" s="2247"/>
      <c r="L153" s="2151"/>
      <c r="M153" s="2106">
        <f t="shared" si="277"/>
        <v>4449.9141002389479</v>
      </c>
      <c r="N153" s="2149">
        <v>621.03464759999997</v>
      </c>
      <c r="O153" s="2135">
        <f t="shared" si="278"/>
        <v>2.0114083936790088</v>
      </c>
      <c r="P153" s="2109">
        <v>124.91543029481251</v>
      </c>
      <c r="Q153" s="2109">
        <v>2.5176892252820662</v>
      </c>
      <c r="R153" s="2109">
        <f t="shared" si="279"/>
        <v>156.3572240789365</v>
      </c>
      <c r="S153" s="2135"/>
      <c r="T153" s="2135"/>
      <c r="U153" s="2135"/>
      <c r="V153" s="2135">
        <f t="shared" si="280"/>
        <v>4.5290976189610745</v>
      </c>
      <c r="W153" s="2135">
        <f t="shared" si="281"/>
        <v>281.27265437374899</v>
      </c>
      <c r="X153" s="2149">
        <v>716.95699659999991</v>
      </c>
      <c r="Y153" s="2135">
        <f t="shared" si="282"/>
        <v>1.7423001782142387</v>
      </c>
      <c r="Z153" s="2109">
        <v>124.91543029481251</v>
      </c>
      <c r="AA153" s="2109">
        <v>2.5176892252820662</v>
      </c>
      <c r="AB153" s="2109">
        <f t="shared" si="283"/>
        <v>180.50749053304108</v>
      </c>
      <c r="AC153" s="2135"/>
      <c r="AD153" s="2135"/>
      <c r="AE153" s="2135"/>
      <c r="AF153" s="2135">
        <f t="shared" si="284"/>
        <v>4.2599894034963048</v>
      </c>
      <c r="AG153" s="2135">
        <f t="shared" si="285"/>
        <v>305.4229208278536</v>
      </c>
      <c r="AH153" s="2149">
        <v>682.35535100000016</v>
      </c>
      <c r="AI153" s="2135">
        <f t="shared" si="286"/>
        <v>1.8306507029181704</v>
      </c>
      <c r="AJ153" s="2109">
        <v>124.91543029481251</v>
      </c>
      <c r="AK153" s="2109">
        <v>2.5176892252820662</v>
      </c>
      <c r="AL153" s="2109">
        <f t="shared" si="287"/>
        <v>171.79587150262628</v>
      </c>
      <c r="AM153" s="2135"/>
      <c r="AN153" s="2135"/>
      <c r="AO153" s="2135"/>
      <c r="AP153" s="2135">
        <f t="shared" si="288"/>
        <v>4.3483399282002368</v>
      </c>
      <c r="AQ153" s="2135">
        <f t="shared" si="289"/>
        <v>296.71130179743881</v>
      </c>
      <c r="AR153" s="2149">
        <v>650.88009719999991</v>
      </c>
      <c r="AS153" s="2135">
        <f t="shared" si="290"/>
        <v>1.9191772929020592</v>
      </c>
      <c r="AT153" s="2109">
        <v>124.91543029481251</v>
      </c>
      <c r="AU153" s="2109">
        <v>2.5176892252820662</v>
      </c>
      <c r="AV153" s="2109">
        <f t="shared" si="291"/>
        <v>163.87138076709837</v>
      </c>
      <c r="AW153" s="2135"/>
      <c r="AX153" s="2135"/>
      <c r="AY153" s="2135"/>
      <c r="AZ153" s="2135">
        <f t="shared" si="292"/>
        <v>4.436866518184126</v>
      </c>
      <c r="BA153" s="2135">
        <f t="shared" si="293"/>
        <v>288.7868110619109</v>
      </c>
      <c r="BB153" s="2149">
        <v>667.50209639999991</v>
      </c>
      <c r="BC153" s="2135">
        <f t="shared" si="294"/>
        <v>1.8713863367397887</v>
      </c>
      <c r="BD153" s="2109">
        <v>124.91543029481251</v>
      </c>
      <c r="BE153" s="2109">
        <v>2.5176892252820662</v>
      </c>
      <c r="BF153" s="2109">
        <f t="shared" si="295"/>
        <v>168.05628359594709</v>
      </c>
      <c r="BG153" s="2135"/>
      <c r="BH153" s="2135"/>
      <c r="BI153" s="2135"/>
      <c r="BJ153" s="2135">
        <f t="shared" si="296"/>
        <v>4.3890755620218549</v>
      </c>
      <c r="BK153" s="2135">
        <f t="shared" si="297"/>
        <v>292.97171389075959</v>
      </c>
      <c r="BL153" s="2149">
        <v>704.32249432258061</v>
      </c>
      <c r="BM153" s="2135">
        <f t="shared" si="298"/>
        <v>1.7735544626464972</v>
      </c>
      <c r="BN153" s="2109">
        <v>124.91543029481251</v>
      </c>
      <c r="BO153" s="2109">
        <v>2.5176892252820662</v>
      </c>
      <c r="BP153" s="2109">
        <f t="shared" si="299"/>
        <v>177.32651550797505</v>
      </c>
      <c r="BQ153" s="2135"/>
      <c r="BR153" s="2135"/>
      <c r="BS153" s="2135"/>
      <c r="BT153" s="2135">
        <f t="shared" si="300"/>
        <v>4.2912436879285636</v>
      </c>
      <c r="BU153" s="2135">
        <f t="shared" si="301"/>
        <v>302.24194580278754</v>
      </c>
      <c r="BV153" s="2149">
        <v>0</v>
      </c>
      <c r="BW153" s="2135">
        <f t="shared" si="302"/>
        <v>0</v>
      </c>
      <c r="BX153" s="2109">
        <v>124.91543029481251</v>
      </c>
      <c r="BY153" s="2109">
        <v>2.5176892252820662</v>
      </c>
      <c r="BZ153" s="2109">
        <f t="shared" si="303"/>
        <v>0</v>
      </c>
      <c r="CA153" s="2135"/>
      <c r="CB153" s="2135"/>
      <c r="CC153" s="2135"/>
      <c r="CD153" s="2135">
        <f t="shared" si="304"/>
        <v>0</v>
      </c>
      <c r="CE153" s="2135">
        <f t="shared" si="305"/>
        <v>124.91543029481251</v>
      </c>
      <c r="CF153" s="2149">
        <v>0</v>
      </c>
      <c r="CG153" s="2135">
        <f t="shared" si="306"/>
        <v>0</v>
      </c>
      <c r="CH153" s="2109">
        <v>124.91543029481251</v>
      </c>
      <c r="CI153" s="2109">
        <v>2.5176892252820662</v>
      </c>
      <c r="CJ153" s="2109">
        <f t="shared" si="307"/>
        <v>0</v>
      </c>
      <c r="CK153" s="2135"/>
      <c r="CL153" s="2135"/>
      <c r="CM153" s="2135"/>
      <c r="CN153" s="2135">
        <f t="shared" si="308"/>
        <v>0</v>
      </c>
      <c r="CO153" s="2135">
        <f t="shared" si="309"/>
        <v>124.91543029481251</v>
      </c>
      <c r="CP153" s="2149">
        <v>0</v>
      </c>
      <c r="CQ153" s="2135">
        <f t="shared" si="310"/>
        <v>0</v>
      </c>
      <c r="CR153" s="2109">
        <v>124.91543029481251</v>
      </c>
      <c r="CS153" s="2109">
        <v>2.5176892252820662</v>
      </c>
      <c r="CT153" s="2109">
        <f t="shared" si="311"/>
        <v>0</v>
      </c>
      <c r="CU153" s="2135"/>
      <c r="CV153" s="2135"/>
      <c r="CW153" s="2135"/>
      <c r="CX153" s="2135">
        <f t="shared" si="312"/>
        <v>0</v>
      </c>
      <c r="CY153" s="2135">
        <f t="shared" si="313"/>
        <v>124.91543029481251</v>
      </c>
      <c r="CZ153" s="2149">
        <v>0</v>
      </c>
      <c r="DA153" s="2135">
        <f t="shared" si="314"/>
        <v>0</v>
      </c>
      <c r="DB153" s="2109">
        <v>124.91543029481251</v>
      </c>
      <c r="DC153" s="2109">
        <v>2.5176892252820662</v>
      </c>
      <c r="DD153" s="2109">
        <f t="shared" si="315"/>
        <v>0</v>
      </c>
      <c r="DE153" s="2135"/>
      <c r="DF153" s="2135"/>
      <c r="DG153" s="2135"/>
      <c r="DH153" s="2135">
        <f t="shared" si="316"/>
        <v>0</v>
      </c>
      <c r="DI153" s="2135">
        <f t="shared" si="317"/>
        <v>124.91543029481251</v>
      </c>
      <c r="DJ153" s="2149">
        <v>406.8624171163674</v>
      </c>
      <c r="DK153" s="2135">
        <f t="shared" si="318"/>
        <v>3.0702130508919732</v>
      </c>
      <c r="DL153" s="2109">
        <v>124.91543029481251</v>
      </c>
      <c r="DM153" s="2109">
        <v>2.5176892252820662</v>
      </c>
      <c r="DN153" s="2109">
        <f t="shared" si="319"/>
        <v>102.43531237460959</v>
      </c>
      <c r="DO153" s="2135"/>
      <c r="DP153" s="2135"/>
      <c r="DQ153" s="2135"/>
      <c r="DR153" s="2135">
        <f t="shared" si="320"/>
        <v>5.5879022761740407</v>
      </c>
      <c r="DS153" s="2135">
        <f t="shared" si="321"/>
        <v>227.35074266942212</v>
      </c>
      <c r="DT153" s="2149">
        <v>0</v>
      </c>
      <c r="DU153" s="2135">
        <f t="shared" si="322"/>
        <v>0</v>
      </c>
      <c r="DV153" s="2109">
        <v>124.91543029481251</v>
      </c>
      <c r="DW153" s="2109">
        <v>2.5176892252820662</v>
      </c>
      <c r="DX153" s="2109">
        <f t="shared" si="323"/>
        <v>0</v>
      </c>
      <c r="DY153" s="2135"/>
      <c r="DZ153" s="2135"/>
      <c r="EA153" s="2135"/>
      <c r="EB153" s="2135">
        <f t="shared" si="324"/>
        <v>0</v>
      </c>
      <c r="EC153" s="2135">
        <f t="shared" si="325"/>
        <v>124.91543029481251</v>
      </c>
      <c r="ED153" s="2135"/>
      <c r="EE153" s="2106">
        <f t="shared" si="326"/>
        <v>4449.9141002389479</v>
      </c>
      <c r="EF153" s="2106">
        <f t="shared" si="327"/>
        <v>3.3685710100724391</v>
      </c>
      <c r="EG153" s="2106">
        <f t="shared" si="328"/>
        <v>1498.9851635377502</v>
      </c>
      <c r="EH153" s="2106">
        <f t="shared" si="329"/>
        <v>2.5176892252820666</v>
      </c>
      <c r="EI153" s="2106">
        <f t="shared" si="330"/>
        <v>1120.350078360234</v>
      </c>
      <c r="EJ153" s="2106"/>
      <c r="EK153" s="2106"/>
      <c r="EL153" s="2106"/>
      <c r="EM153" s="2106">
        <f t="shared" si="331"/>
        <v>5.8862602353545048</v>
      </c>
      <c r="EN153" s="2106">
        <f t="shared" si="332"/>
        <v>2619.3352418979839</v>
      </c>
      <c r="EO153" s="2106">
        <f t="shared" si="333"/>
        <v>5.8862602353545048</v>
      </c>
      <c r="EP153" s="2114">
        <f t="shared" si="334"/>
        <v>5.8862602353545048</v>
      </c>
      <c r="EQ153" s="2224"/>
      <c r="ER153" s="2277"/>
      <c r="ES153" s="2209" t="s">
        <v>1774</v>
      </c>
      <c r="EU153" s="2230"/>
    </row>
    <row r="154" spans="1:151">
      <c r="A154" s="2220">
        <v>13</v>
      </c>
      <c r="B154" s="2227" t="s">
        <v>1775</v>
      </c>
      <c r="C154" s="2146">
        <v>1540</v>
      </c>
      <c r="D154" s="2134">
        <f t="shared" si="276"/>
        <v>0.22727272727272727</v>
      </c>
      <c r="E154" s="1882"/>
      <c r="F154" s="2247">
        <v>0.51753592773474966</v>
      </c>
      <c r="G154" s="2146">
        <v>350</v>
      </c>
      <c r="H154" s="2248" t="s">
        <v>1649</v>
      </c>
      <c r="I154" s="2249">
        <v>1</v>
      </c>
      <c r="J154" s="2149">
        <v>2085.6153454010987</v>
      </c>
      <c r="K154" s="2247"/>
      <c r="L154" s="2151"/>
      <c r="M154" s="2106">
        <f t="shared" si="277"/>
        <v>2085.6153454010987</v>
      </c>
      <c r="N154" s="2149">
        <v>187.55341181600173</v>
      </c>
      <c r="O154" s="2135">
        <f t="shared" si="278"/>
        <v>2.9590090731831236</v>
      </c>
      <c r="P154" s="2109">
        <v>55.497224727000003</v>
      </c>
      <c r="Q154" s="2109">
        <v>1.9600911740233762</v>
      </c>
      <c r="R154" s="2109">
        <f t="shared" si="279"/>
        <v>36.762178715851654</v>
      </c>
      <c r="S154" s="2135"/>
      <c r="T154" s="2135"/>
      <c r="U154" s="2135"/>
      <c r="V154" s="2135">
        <f t="shared" si="280"/>
        <v>4.9191002472065009</v>
      </c>
      <c r="W154" s="2135">
        <f t="shared" si="281"/>
        <v>92.259403442851664</v>
      </c>
      <c r="X154" s="2149">
        <v>210.48562175713977</v>
      </c>
      <c r="Y154" s="2135">
        <f t="shared" si="282"/>
        <v>2.6366278258679925</v>
      </c>
      <c r="Z154" s="2109">
        <v>55.497224727000003</v>
      </c>
      <c r="AA154" s="2109">
        <v>1.9600911740233762</v>
      </c>
      <c r="AB154" s="2109">
        <f t="shared" si="283"/>
        <v>41.257100946499236</v>
      </c>
      <c r="AC154" s="2135"/>
      <c r="AD154" s="2135"/>
      <c r="AE154" s="2135"/>
      <c r="AF154" s="2135">
        <f t="shared" si="284"/>
        <v>4.596718999891368</v>
      </c>
      <c r="AG154" s="2135">
        <f t="shared" si="285"/>
        <v>96.754325673499238</v>
      </c>
      <c r="AH154" s="2149">
        <v>192.52376280793544</v>
      </c>
      <c r="AI154" s="2135">
        <f t="shared" si="286"/>
        <v>2.8826168737604019</v>
      </c>
      <c r="AJ154" s="2109">
        <v>55.497224727000003</v>
      </c>
      <c r="AK154" s="2109">
        <v>1.9600911740233762</v>
      </c>
      <c r="AL154" s="2109">
        <f t="shared" si="287"/>
        <v>37.736412826960418</v>
      </c>
      <c r="AM154" s="2135"/>
      <c r="AN154" s="2135"/>
      <c r="AO154" s="2135"/>
      <c r="AP154" s="2135">
        <f t="shared" si="288"/>
        <v>4.8427080477837778</v>
      </c>
      <c r="AQ154" s="2135">
        <f t="shared" si="289"/>
        <v>93.233637553960421</v>
      </c>
      <c r="AR154" s="2149">
        <v>185.00735775016352</v>
      </c>
      <c r="AS154" s="2135">
        <f t="shared" si="290"/>
        <v>2.9997306810869766</v>
      </c>
      <c r="AT154" s="2109">
        <v>55.497224727000003</v>
      </c>
      <c r="AU154" s="2109">
        <v>1.9600911740233762</v>
      </c>
      <c r="AV154" s="2109">
        <f t="shared" si="291"/>
        <v>36.263128905548079</v>
      </c>
      <c r="AW154" s="2135"/>
      <c r="AX154" s="2135"/>
      <c r="AY154" s="2135"/>
      <c r="AZ154" s="2135">
        <f t="shared" si="292"/>
        <v>4.9598218551103539</v>
      </c>
      <c r="BA154" s="2135">
        <f t="shared" si="293"/>
        <v>91.760353632548089</v>
      </c>
      <c r="BB154" s="2149">
        <v>190.26773991715723</v>
      </c>
      <c r="BC154" s="2135">
        <f t="shared" si="294"/>
        <v>2.9167963392619027</v>
      </c>
      <c r="BD154" s="2109">
        <v>55.497224727000003</v>
      </c>
      <c r="BE154" s="2109">
        <v>1.9600911740233762</v>
      </c>
      <c r="BF154" s="2109">
        <f t="shared" si="295"/>
        <v>37.294211771299516</v>
      </c>
      <c r="BG154" s="2135"/>
      <c r="BH154" s="2135"/>
      <c r="BI154" s="2135"/>
      <c r="BJ154" s="2135">
        <f t="shared" si="296"/>
        <v>4.8768875132852791</v>
      </c>
      <c r="BK154" s="2135">
        <f t="shared" si="297"/>
        <v>92.791436498299518</v>
      </c>
      <c r="BL154" s="2149">
        <v>192.38934365703918</v>
      </c>
      <c r="BM154" s="2135">
        <f t="shared" si="298"/>
        <v>2.8846309089723565</v>
      </c>
      <c r="BN154" s="2109">
        <v>55.497224727000003</v>
      </c>
      <c r="BO154" s="2109">
        <v>1.9600911740233762</v>
      </c>
      <c r="BP154" s="2109">
        <f t="shared" si="299"/>
        <v>37.710065447831269</v>
      </c>
      <c r="BQ154" s="2135"/>
      <c r="BR154" s="2135"/>
      <c r="BS154" s="2135"/>
      <c r="BT154" s="2135">
        <f t="shared" si="300"/>
        <v>4.8447220829957329</v>
      </c>
      <c r="BU154" s="2135">
        <f t="shared" si="301"/>
        <v>93.207290174831272</v>
      </c>
      <c r="BV154" s="2149">
        <v>168.50760300850229</v>
      </c>
      <c r="BW154" s="2135">
        <f t="shared" si="302"/>
        <v>3.2934552350257933</v>
      </c>
      <c r="BX154" s="2109">
        <v>55.497224727000003</v>
      </c>
      <c r="BY154" s="2109">
        <v>1.9600911740233762</v>
      </c>
      <c r="BZ154" s="2109">
        <f t="shared" si="303"/>
        <v>33.029026541280025</v>
      </c>
      <c r="CA154" s="2135"/>
      <c r="CB154" s="2135"/>
      <c r="CC154" s="2135"/>
      <c r="CD154" s="2135">
        <f t="shared" si="304"/>
        <v>5.2535464090491688</v>
      </c>
      <c r="CE154" s="2135">
        <f t="shared" si="305"/>
        <v>88.526251268280021</v>
      </c>
      <c r="CF154" s="2149">
        <v>183.27024743841289</v>
      </c>
      <c r="CG154" s="2135">
        <f t="shared" si="306"/>
        <v>3.0281633545373801</v>
      </c>
      <c r="CH154" s="2109">
        <v>55.497224727000003</v>
      </c>
      <c r="CI154" s="2109">
        <v>1.9600911740233762</v>
      </c>
      <c r="CJ154" s="2109">
        <f t="shared" si="307"/>
        <v>35.92263944651134</v>
      </c>
      <c r="CK154" s="2135"/>
      <c r="CL154" s="2135"/>
      <c r="CM154" s="2135"/>
      <c r="CN154" s="2135">
        <f t="shared" si="308"/>
        <v>4.9882545285607556</v>
      </c>
      <c r="CO154" s="2135">
        <f t="shared" si="309"/>
        <v>91.419864173511343</v>
      </c>
      <c r="CP154" s="2149">
        <v>153.42663369304555</v>
      </c>
      <c r="CQ154" s="2135">
        <f t="shared" si="310"/>
        <v>3.6171832354759896</v>
      </c>
      <c r="CR154" s="2109">
        <v>55.497224727000003</v>
      </c>
      <c r="CS154" s="2109">
        <v>1.9600911740233762</v>
      </c>
      <c r="CT154" s="2109">
        <f t="shared" si="311"/>
        <v>30.073019056185615</v>
      </c>
      <c r="CU154" s="2135"/>
      <c r="CV154" s="2135"/>
      <c r="CW154" s="2135"/>
      <c r="CX154" s="2135">
        <f t="shared" si="312"/>
        <v>5.5772744094993669</v>
      </c>
      <c r="CY154" s="2135">
        <f t="shared" si="313"/>
        <v>85.570243783185617</v>
      </c>
      <c r="CZ154" s="2149">
        <v>145.48673561151077</v>
      </c>
      <c r="DA154" s="2135">
        <f t="shared" si="314"/>
        <v>3.814590003255879</v>
      </c>
      <c r="DB154" s="2109">
        <v>55.497224727000003</v>
      </c>
      <c r="DC154" s="2109">
        <v>1.9600911740233762</v>
      </c>
      <c r="DD154" s="2109">
        <f t="shared" si="315"/>
        <v>28.516726640959469</v>
      </c>
      <c r="DE154" s="2135"/>
      <c r="DF154" s="2135"/>
      <c r="DG154" s="2135"/>
      <c r="DH154" s="2135">
        <f t="shared" si="316"/>
        <v>5.7746811772792555</v>
      </c>
      <c r="DI154" s="2135">
        <f t="shared" si="317"/>
        <v>84.013951367959464</v>
      </c>
      <c r="DJ154" s="2149">
        <v>120.31300414214085</v>
      </c>
      <c r="DK154" s="2135">
        <f t="shared" si="318"/>
        <v>4.6127370123211424</v>
      </c>
      <c r="DL154" s="2109">
        <v>55.497224727000003</v>
      </c>
      <c r="DM154" s="2109">
        <v>1.9600911740233762</v>
      </c>
      <c r="DN154" s="2109">
        <f t="shared" si="319"/>
        <v>23.582445753924819</v>
      </c>
      <c r="DO154" s="2135"/>
      <c r="DP154" s="2135"/>
      <c r="DQ154" s="2135"/>
      <c r="DR154" s="2135">
        <f t="shared" si="320"/>
        <v>6.5728281863445179</v>
      </c>
      <c r="DS154" s="2135">
        <f t="shared" si="321"/>
        <v>79.079670480924818</v>
      </c>
      <c r="DT154" s="2149">
        <v>156.38388380204927</v>
      </c>
      <c r="DU154" s="2135">
        <f t="shared" si="322"/>
        <v>3.5487815865507208</v>
      </c>
      <c r="DV154" s="2109">
        <v>55.497224727000003</v>
      </c>
      <c r="DW154" s="2109">
        <v>1.9600911740233762</v>
      </c>
      <c r="DX154" s="2109">
        <f t="shared" si="323"/>
        <v>30.652667039989399</v>
      </c>
      <c r="DY154" s="2135"/>
      <c r="DZ154" s="2135"/>
      <c r="EA154" s="2135"/>
      <c r="EB154" s="2135">
        <f t="shared" si="324"/>
        <v>5.5088727605740972</v>
      </c>
      <c r="EC154" s="2135">
        <f t="shared" si="325"/>
        <v>86.149891766989398</v>
      </c>
      <c r="ED154" s="2135"/>
      <c r="EE154" s="2106">
        <f t="shared" si="326"/>
        <v>2085.6153454010987</v>
      </c>
      <c r="EF154" s="2106">
        <f t="shared" si="327"/>
        <v>3.1931424852262174</v>
      </c>
      <c r="EG154" s="2106">
        <f t="shared" si="328"/>
        <v>665.96669672400003</v>
      </c>
      <c r="EH154" s="2106">
        <f t="shared" si="329"/>
        <v>1.9600911740233762</v>
      </c>
      <c r="EI154" s="2106">
        <f t="shared" si="330"/>
        <v>408.79962309284087</v>
      </c>
      <c r="EJ154" s="2106"/>
      <c r="EK154" s="2106"/>
      <c r="EL154" s="2106"/>
      <c r="EM154" s="2106">
        <f t="shared" si="331"/>
        <v>5.1532336592495938</v>
      </c>
      <c r="EN154" s="2106">
        <f t="shared" si="332"/>
        <v>1074.7663198168409</v>
      </c>
      <c r="EO154" s="2106">
        <f t="shared" si="333"/>
        <v>5.1532336592495938</v>
      </c>
      <c r="EP154" s="2114">
        <f t="shared" si="334"/>
        <v>5.1532336592495938</v>
      </c>
      <c r="EQ154" s="2224"/>
      <c r="ER154" s="2277"/>
      <c r="ES154" s="2209" t="s">
        <v>1775</v>
      </c>
      <c r="EU154" s="2230"/>
    </row>
    <row r="155" spans="1:151">
      <c r="A155" s="2220">
        <v>14</v>
      </c>
      <c r="B155" s="2227" t="s">
        <v>1776</v>
      </c>
      <c r="C155" s="2146">
        <v>1320</v>
      </c>
      <c r="D155" s="2134">
        <f t="shared" si="276"/>
        <v>1</v>
      </c>
      <c r="E155" s="1882"/>
      <c r="F155" s="2247">
        <v>0.64827303440650319</v>
      </c>
      <c r="G155" s="2146">
        <v>1320</v>
      </c>
      <c r="H155" s="2248" t="s">
        <v>1649</v>
      </c>
      <c r="I155" s="2249">
        <v>2</v>
      </c>
      <c r="J155" s="2149">
        <v>3018.2921999999999</v>
      </c>
      <c r="K155" s="2247"/>
      <c r="L155" s="2151"/>
      <c r="M155" s="2106">
        <f t="shared" si="277"/>
        <v>3018.2921999999999</v>
      </c>
      <c r="N155" s="2149">
        <v>0</v>
      </c>
      <c r="O155" s="2135">
        <f t="shared" si="278"/>
        <v>0</v>
      </c>
      <c r="P155" s="2109">
        <v>106.90980777881252</v>
      </c>
      <c r="Q155" s="2109">
        <v>2.6730963420966152</v>
      </c>
      <c r="R155" s="2109">
        <f t="shared" si="279"/>
        <v>0</v>
      </c>
      <c r="S155" s="2135"/>
      <c r="T155" s="2135"/>
      <c r="U155" s="2135"/>
      <c r="V155" s="2135">
        <f t="shared" si="280"/>
        <v>0</v>
      </c>
      <c r="W155" s="2135">
        <f t="shared" si="281"/>
        <v>106.90980777881252</v>
      </c>
      <c r="X155" s="2149">
        <v>381.90635999999995</v>
      </c>
      <c r="Y155" s="2135">
        <f t="shared" si="282"/>
        <v>2.7993722801267968</v>
      </c>
      <c r="Z155" s="2109">
        <v>106.90980777881252</v>
      </c>
      <c r="AA155" s="2109">
        <v>2.6730963420966152</v>
      </c>
      <c r="AB155" s="2109">
        <f t="shared" si="283"/>
        <v>102.0872493939433</v>
      </c>
      <c r="AC155" s="2135"/>
      <c r="AD155" s="2135"/>
      <c r="AE155" s="2135"/>
      <c r="AF155" s="2135">
        <f t="shared" si="284"/>
        <v>5.4724686222234116</v>
      </c>
      <c r="AG155" s="2135">
        <f t="shared" si="285"/>
        <v>208.99705717275583</v>
      </c>
      <c r="AH155" s="2149">
        <v>369.58679999999993</v>
      </c>
      <c r="AI155" s="2135">
        <f t="shared" si="286"/>
        <v>2.8926846894643572</v>
      </c>
      <c r="AJ155" s="2109">
        <v>106.90980777881252</v>
      </c>
      <c r="AK155" s="2109">
        <v>2.6730963420966152</v>
      </c>
      <c r="AL155" s="2109">
        <f t="shared" si="287"/>
        <v>98.794112316719307</v>
      </c>
      <c r="AM155" s="2135"/>
      <c r="AN155" s="2135"/>
      <c r="AO155" s="2135"/>
      <c r="AP155" s="2135">
        <f t="shared" si="288"/>
        <v>5.5657810315609719</v>
      </c>
      <c r="AQ155" s="2135">
        <f t="shared" si="289"/>
        <v>205.70392009553183</v>
      </c>
      <c r="AR155" s="2149">
        <v>763.8127199999999</v>
      </c>
      <c r="AS155" s="2135">
        <f t="shared" si="290"/>
        <v>1.3996861400633984</v>
      </c>
      <c r="AT155" s="2109">
        <v>106.90980777881252</v>
      </c>
      <c r="AU155" s="2109">
        <v>2.6730963420966152</v>
      </c>
      <c r="AV155" s="2109">
        <f t="shared" si="291"/>
        <v>204.17449878788659</v>
      </c>
      <c r="AW155" s="2135"/>
      <c r="AX155" s="2135"/>
      <c r="AY155" s="2135"/>
      <c r="AZ155" s="2135">
        <f t="shared" si="292"/>
        <v>4.0727824821600143</v>
      </c>
      <c r="BA155" s="2135">
        <f t="shared" si="293"/>
        <v>311.08430656669913</v>
      </c>
      <c r="BB155" s="2149">
        <v>763.8127199999999</v>
      </c>
      <c r="BC155" s="2135">
        <f t="shared" si="294"/>
        <v>1.3996861400633984</v>
      </c>
      <c r="BD155" s="2109">
        <v>106.90980777881252</v>
      </c>
      <c r="BE155" s="2109">
        <v>2.6730963420966152</v>
      </c>
      <c r="BF155" s="2109">
        <f t="shared" si="295"/>
        <v>204.17449878788659</v>
      </c>
      <c r="BG155" s="2135"/>
      <c r="BH155" s="2135"/>
      <c r="BI155" s="2135"/>
      <c r="BJ155" s="2135">
        <f t="shared" si="296"/>
        <v>4.0727824821600143</v>
      </c>
      <c r="BK155" s="2135">
        <f t="shared" si="297"/>
        <v>311.08430656669913</v>
      </c>
      <c r="BL155" s="2149">
        <v>739.17359999999985</v>
      </c>
      <c r="BM155" s="2135">
        <f t="shared" si="298"/>
        <v>1.4463423447321786</v>
      </c>
      <c r="BN155" s="2109">
        <v>106.90980777881252</v>
      </c>
      <c r="BO155" s="2109">
        <v>2.6730963420966152</v>
      </c>
      <c r="BP155" s="2109">
        <f t="shared" si="299"/>
        <v>197.58822463343861</v>
      </c>
      <c r="BQ155" s="2135"/>
      <c r="BR155" s="2135"/>
      <c r="BS155" s="2135"/>
      <c r="BT155" s="2135">
        <f t="shared" si="300"/>
        <v>4.1194386868287935</v>
      </c>
      <c r="BU155" s="2135">
        <f t="shared" si="301"/>
        <v>304.49803241225112</v>
      </c>
      <c r="BV155" s="2149">
        <v>0</v>
      </c>
      <c r="BW155" s="2135">
        <f t="shared" si="302"/>
        <v>0</v>
      </c>
      <c r="BX155" s="2109">
        <v>106.90980777881252</v>
      </c>
      <c r="BY155" s="2109">
        <v>2.6730963420966152</v>
      </c>
      <c r="BZ155" s="2109">
        <f t="shared" si="303"/>
        <v>0</v>
      </c>
      <c r="CA155" s="2135"/>
      <c r="CB155" s="2135"/>
      <c r="CC155" s="2135"/>
      <c r="CD155" s="2135">
        <f t="shared" si="304"/>
        <v>0</v>
      </c>
      <c r="CE155" s="2135">
        <f t="shared" si="305"/>
        <v>106.90980777881252</v>
      </c>
      <c r="CF155" s="2149">
        <v>0</v>
      </c>
      <c r="CG155" s="2135">
        <f t="shared" si="306"/>
        <v>0</v>
      </c>
      <c r="CH155" s="2109">
        <v>106.90980777881252</v>
      </c>
      <c r="CI155" s="2109">
        <v>2.6730963420966152</v>
      </c>
      <c r="CJ155" s="2109">
        <f t="shared" si="307"/>
        <v>0</v>
      </c>
      <c r="CK155" s="2135"/>
      <c r="CL155" s="2135"/>
      <c r="CM155" s="2135"/>
      <c r="CN155" s="2135">
        <f t="shared" si="308"/>
        <v>0</v>
      </c>
      <c r="CO155" s="2135">
        <f t="shared" si="309"/>
        <v>106.90980777881252</v>
      </c>
      <c r="CP155" s="2149">
        <v>0</v>
      </c>
      <c r="CQ155" s="2135">
        <f t="shared" si="310"/>
        <v>0</v>
      </c>
      <c r="CR155" s="2109">
        <v>106.90980777881252</v>
      </c>
      <c r="CS155" s="2109">
        <v>2.6730963420966152</v>
      </c>
      <c r="CT155" s="2109">
        <f t="shared" si="311"/>
        <v>0</v>
      </c>
      <c r="CU155" s="2135"/>
      <c r="CV155" s="2135"/>
      <c r="CW155" s="2135"/>
      <c r="CX155" s="2135">
        <f t="shared" si="312"/>
        <v>0</v>
      </c>
      <c r="CY155" s="2135">
        <f t="shared" si="313"/>
        <v>106.90980777881252</v>
      </c>
      <c r="CZ155" s="2149">
        <v>0</v>
      </c>
      <c r="DA155" s="2135">
        <f t="shared" si="314"/>
        <v>0</v>
      </c>
      <c r="DB155" s="2109">
        <v>106.90980777881252</v>
      </c>
      <c r="DC155" s="2109">
        <v>2.6730963420966152</v>
      </c>
      <c r="DD155" s="2109">
        <f t="shared" si="315"/>
        <v>0</v>
      </c>
      <c r="DE155" s="2135"/>
      <c r="DF155" s="2135"/>
      <c r="DG155" s="2135"/>
      <c r="DH155" s="2135">
        <f t="shared" si="316"/>
        <v>0</v>
      </c>
      <c r="DI155" s="2135">
        <f t="shared" si="317"/>
        <v>106.90980777881252</v>
      </c>
      <c r="DJ155" s="2149">
        <v>0</v>
      </c>
      <c r="DK155" s="2135">
        <f t="shared" si="318"/>
        <v>0</v>
      </c>
      <c r="DL155" s="2109">
        <v>106.90980777881252</v>
      </c>
      <c r="DM155" s="2109">
        <v>2.6730963420966152</v>
      </c>
      <c r="DN155" s="2109">
        <f t="shared" si="319"/>
        <v>0</v>
      </c>
      <c r="DO155" s="2135"/>
      <c r="DP155" s="2135"/>
      <c r="DQ155" s="2135"/>
      <c r="DR155" s="2135">
        <f t="shared" si="320"/>
        <v>0</v>
      </c>
      <c r="DS155" s="2135">
        <f t="shared" si="321"/>
        <v>106.90980777881252</v>
      </c>
      <c r="DT155" s="2149">
        <v>0</v>
      </c>
      <c r="DU155" s="2135">
        <f t="shared" si="322"/>
        <v>0</v>
      </c>
      <c r="DV155" s="2109">
        <v>106.90980777881252</v>
      </c>
      <c r="DW155" s="2109">
        <v>2.6730963420966152</v>
      </c>
      <c r="DX155" s="2109">
        <f t="shared" si="323"/>
        <v>0</v>
      </c>
      <c r="DY155" s="2135"/>
      <c r="DZ155" s="2135"/>
      <c r="EA155" s="2135"/>
      <c r="EB155" s="2135">
        <f t="shared" si="324"/>
        <v>0</v>
      </c>
      <c r="EC155" s="2135">
        <f t="shared" si="325"/>
        <v>106.90980777881252</v>
      </c>
      <c r="ED155" s="2135"/>
      <c r="EE155" s="2106">
        <f t="shared" si="326"/>
        <v>3018.2921999999999</v>
      </c>
      <c r="EF155" s="2106">
        <f t="shared" si="327"/>
        <v>4.2504754620700744</v>
      </c>
      <c r="EG155" s="2106">
        <f t="shared" si="328"/>
        <v>1282.9176933457502</v>
      </c>
      <c r="EH155" s="2106">
        <f t="shared" si="329"/>
        <v>2.6730963420966147</v>
      </c>
      <c r="EI155" s="2106">
        <f t="shared" si="330"/>
        <v>806.8185839198743</v>
      </c>
      <c r="EJ155" s="2106"/>
      <c r="EK155" s="2106"/>
      <c r="EL155" s="2106"/>
      <c r="EM155" s="2106">
        <f t="shared" si="331"/>
        <v>6.9235718041666878</v>
      </c>
      <c r="EN155" s="2106">
        <f t="shared" si="332"/>
        <v>2089.7362772656243</v>
      </c>
      <c r="EO155" s="2106">
        <f t="shared" si="333"/>
        <v>6.9235718041666878</v>
      </c>
      <c r="EP155" s="2114">
        <f t="shared" si="334"/>
        <v>6.9235718041666878</v>
      </c>
      <c r="EQ155" s="2224"/>
      <c r="ER155" s="2277"/>
      <c r="ES155" s="2209" t="s">
        <v>1776</v>
      </c>
      <c r="EU155" s="2230"/>
    </row>
    <row r="156" spans="1:151">
      <c r="A156" s="2220">
        <v>15</v>
      </c>
      <c r="B156" s="2227" t="s">
        <v>1777</v>
      </c>
      <c r="C156" s="2146">
        <v>4000</v>
      </c>
      <c r="D156" s="2134">
        <f t="shared" si="276"/>
        <v>0.12375</v>
      </c>
      <c r="E156" s="1882"/>
      <c r="F156" s="2247">
        <v>0.88993040540613644</v>
      </c>
      <c r="G156" s="2146">
        <v>495</v>
      </c>
      <c r="H156" s="2248" t="s">
        <v>1649</v>
      </c>
      <c r="I156" s="2249">
        <v>1</v>
      </c>
      <c r="J156" s="2149">
        <v>3700.1023341548389</v>
      </c>
      <c r="K156" s="2148">
        <v>3.4703846153846141E-2</v>
      </c>
      <c r="L156" s="2151"/>
      <c r="M156" s="2106">
        <f t="shared" si="277"/>
        <v>3571.6945519968422</v>
      </c>
      <c r="N156" s="2149">
        <v>309.51674340000005</v>
      </c>
      <c r="O156" s="2135">
        <f t="shared" si="278"/>
        <v>0.1499934635402021</v>
      </c>
      <c r="P156" s="2109">
        <v>4.6425488366250001</v>
      </c>
      <c r="Q156" s="2109">
        <v>1.1132384992505446</v>
      </c>
      <c r="R156" s="2109">
        <f t="shared" si="279"/>
        <v>34.456595491553195</v>
      </c>
      <c r="S156" s="2135"/>
      <c r="T156" s="2135"/>
      <c r="U156" s="2135"/>
      <c r="V156" s="2135">
        <f t="shared" si="280"/>
        <v>1.2632319627907469</v>
      </c>
      <c r="W156" s="2135">
        <f t="shared" si="281"/>
        <v>39.099144328178198</v>
      </c>
      <c r="X156" s="2149">
        <v>315.73995520000005</v>
      </c>
      <c r="Y156" s="2135">
        <f t="shared" si="282"/>
        <v>0.14703710316561797</v>
      </c>
      <c r="Z156" s="2109">
        <v>4.6425488366250001</v>
      </c>
      <c r="AA156" s="2109">
        <v>1.1132384992505446</v>
      </c>
      <c r="AB156" s="2109">
        <f t="shared" si="283"/>
        <v>35.149387388028224</v>
      </c>
      <c r="AC156" s="2135"/>
      <c r="AD156" s="2135"/>
      <c r="AE156" s="2135"/>
      <c r="AF156" s="2135">
        <f t="shared" si="284"/>
        <v>1.2602756024161628</v>
      </c>
      <c r="AG156" s="2135">
        <f t="shared" si="285"/>
        <v>39.791936224653227</v>
      </c>
      <c r="AH156" s="2149">
        <v>303.11768280000001</v>
      </c>
      <c r="AI156" s="2135">
        <f t="shared" si="286"/>
        <v>0.15315994744154199</v>
      </c>
      <c r="AJ156" s="2109">
        <v>4.6425488366250001</v>
      </c>
      <c r="AK156" s="2109">
        <v>1.1132384992505446</v>
      </c>
      <c r="AL156" s="2109">
        <f t="shared" si="287"/>
        <v>33.744227429657464</v>
      </c>
      <c r="AM156" s="2135"/>
      <c r="AN156" s="2135"/>
      <c r="AO156" s="2135"/>
      <c r="AP156" s="2135">
        <f t="shared" si="288"/>
        <v>1.2663984466920866</v>
      </c>
      <c r="AQ156" s="2135">
        <f t="shared" si="289"/>
        <v>38.386776266282467</v>
      </c>
      <c r="AR156" s="2149">
        <v>291.50119940000002</v>
      </c>
      <c r="AS156" s="2135">
        <f t="shared" si="290"/>
        <v>0.15926345573125625</v>
      </c>
      <c r="AT156" s="2109">
        <v>4.6425488366250001</v>
      </c>
      <c r="AU156" s="2109">
        <v>1.1132384992505446</v>
      </c>
      <c r="AV156" s="2109">
        <f t="shared" si="291"/>
        <v>32.451035774978976</v>
      </c>
      <c r="AW156" s="2135"/>
      <c r="AX156" s="2135"/>
      <c r="AY156" s="2135"/>
      <c r="AZ156" s="2135">
        <f t="shared" si="292"/>
        <v>1.2725019549818006</v>
      </c>
      <c r="BA156" s="2135">
        <f t="shared" si="293"/>
        <v>37.093584611603973</v>
      </c>
      <c r="BB156" s="2149">
        <v>288.89692020000001</v>
      </c>
      <c r="BC156" s="2135">
        <f t="shared" si="294"/>
        <v>0.16069914602796792</v>
      </c>
      <c r="BD156" s="2109">
        <v>4.6425488366250001</v>
      </c>
      <c r="BE156" s="2109">
        <v>1.1132384992505446</v>
      </c>
      <c r="BF156" s="2109">
        <f t="shared" si="295"/>
        <v>32.161117388155233</v>
      </c>
      <c r="BG156" s="2135"/>
      <c r="BH156" s="2135"/>
      <c r="BI156" s="2135"/>
      <c r="BJ156" s="2135">
        <f t="shared" si="296"/>
        <v>1.2739376452785123</v>
      </c>
      <c r="BK156" s="2135">
        <f t="shared" si="297"/>
        <v>36.80366622478023</v>
      </c>
      <c r="BL156" s="2149">
        <v>284.33595135483881</v>
      </c>
      <c r="BM156" s="2135">
        <f t="shared" si="298"/>
        <v>0.16327688477322738</v>
      </c>
      <c r="BN156" s="2109">
        <v>4.6425488366250001</v>
      </c>
      <c r="BO156" s="2109">
        <v>1.1132384992505446</v>
      </c>
      <c r="BP156" s="2109">
        <f t="shared" si="299"/>
        <v>31.653372776923664</v>
      </c>
      <c r="BQ156" s="2135"/>
      <c r="BR156" s="2135"/>
      <c r="BS156" s="2135"/>
      <c r="BT156" s="2135">
        <f t="shared" si="300"/>
        <v>1.276515384023772</v>
      </c>
      <c r="BU156" s="2135">
        <f t="shared" si="301"/>
        <v>36.295921613548664</v>
      </c>
      <c r="BV156" s="2149">
        <v>312.85135080000003</v>
      </c>
      <c r="BW156" s="2135">
        <f t="shared" si="302"/>
        <v>0.14839471924137204</v>
      </c>
      <c r="BX156" s="2109">
        <v>4.6425488366250001</v>
      </c>
      <c r="BY156" s="2109">
        <v>1.1132384992505446</v>
      </c>
      <c r="BZ156" s="2109">
        <f t="shared" si="303"/>
        <v>34.827816825309768</v>
      </c>
      <c r="CA156" s="2135"/>
      <c r="CB156" s="2135"/>
      <c r="CC156" s="2135"/>
      <c r="CD156" s="2135">
        <f t="shared" si="304"/>
        <v>1.2616332184919166</v>
      </c>
      <c r="CE156" s="2135">
        <f t="shared" si="305"/>
        <v>39.470365661934764</v>
      </c>
      <c r="CF156" s="2149">
        <v>323.92396780000001</v>
      </c>
      <c r="CG156" s="2135">
        <f t="shared" si="306"/>
        <v>0.14332217736637023</v>
      </c>
      <c r="CH156" s="2109">
        <v>4.6425488366250001</v>
      </c>
      <c r="CI156" s="2109">
        <v>1.1132384992505446</v>
      </c>
      <c r="CJ156" s="2109">
        <f t="shared" si="307"/>
        <v>36.060463178495375</v>
      </c>
      <c r="CK156" s="2135"/>
      <c r="CL156" s="2135"/>
      <c r="CM156" s="2135"/>
      <c r="CN156" s="2135">
        <f t="shared" si="308"/>
        <v>1.2565606766169148</v>
      </c>
      <c r="CO156" s="2135">
        <f t="shared" si="309"/>
        <v>40.703012015120379</v>
      </c>
      <c r="CP156" s="2149">
        <v>318.16187040000005</v>
      </c>
      <c r="CQ156" s="2135">
        <f t="shared" si="310"/>
        <v>0.14591782575291898</v>
      </c>
      <c r="CR156" s="2109">
        <v>4.6425488366250001</v>
      </c>
      <c r="CS156" s="2109">
        <v>1.1132384992505446</v>
      </c>
      <c r="CT156" s="2109">
        <f t="shared" si="311"/>
        <v>35.41900431228423</v>
      </c>
      <c r="CU156" s="2135"/>
      <c r="CV156" s="2135"/>
      <c r="CW156" s="2135"/>
      <c r="CX156" s="2135">
        <f t="shared" si="312"/>
        <v>1.2591563250034634</v>
      </c>
      <c r="CY156" s="2135">
        <f t="shared" si="313"/>
        <v>40.061553148909226</v>
      </c>
      <c r="CZ156" s="2149">
        <v>323.43670540000005</v>
      </c>
      <c r="DA156" s="2135">
        <f t="shared" si="314"/>
        <v>0.14353809444365553</v>
      </c>
      <c r="DB156" s="2109">
        <v>4.6425488366250001</v>
      </c>
      <c r="DC156" s="2109">
        <v>1.1132384992505446</v>
      </c>
      <c r="DD156" s="2109">
        <f t="shared" si="315"/>
        <v>36.006219252203657</v>
      </c>
      <c r="DE156" s="2135"/>
      <c r="DF156" s="2135"/>
      <c r="DG156" s="2135"/>
      <c r="DH156" s="2135">
        <f t="shared" si="316"/>
        <v>1.2567765936942001</v>
      </c>
      <c r="DI156" s="2135">
        <f t="shared" si="317"/>
        <v>40.64876808882866</v>
      </c>
      <c r="DJ156" s="2149">
        <v>303.28826159999988</v>
      </c>
      <c r="DK156" s="2135">
        <f t="shared" si="318"/>
        <v>0.153073805498874</v>
      </c>
      <c r="DL156" s="2109">
        <v>4.6425488366250001</v>
      </c>
      <c r="DM156" s="2109">
        <v>1.1132384992505446</v>
      </c>
      <c r="DN156" s="2109">
        <f t="shared" si="319"/>
        <v>33.763216918389048</v>
      </c>
      <c r="DO156" s="2135"/>
      <c r="DP156" s="2135"/>
      <c r="DQ156" s="2135"/>
      <c r="DR156" s="2135">
        <f t="shared" si="320"/>
        <v>1.2663123047494185</v>
      </c>
      <c r="DS156" s="2135">
        <f t="shared" si="321"/>
        <v>38.405765755014045</v>
      </c>
      <c r="DT156" s="2149">
        <v>325.33172580000007</v>
      </c>
      <c r="DU156" s="2135">
        <f t="shared" si="322"/>
        <v>0.14270200132522701</v>
      </c>
      <c r="DV156" s="2109">
        <v>4.6425488366250001</v>
      </c>
      <c r="DW156" s="2109">
        <v>1.1132384992505446</v>
      </c>
      <c r="DX156" s="2109">
        <f t="shared" si="323"/>
        <v>36.217180218818179</v>
      </c>
      <c r="DY156" s="2135"/>
      <c r="DZ156" s="2135"/>
      <c r="EA156" s="2135"/>
      <c r="EB156" s="2135">
        <f t="shared" si="324"/>
        <v>1.2559405005757718</v>
      </c>
      <c r="EC156" s="2135">
        <f t="shared" si="325"/>
        <v>40.859729055443182</v>
      </c>
      <c r="ED156" s="2135"/>
      <c r="EE156" s="2106">
        <f t="shared" si="326"/>
        <v>3700.1023341548389</v>
      </c>
      <c r="EF156" s="2106">
        <f t="shared" si="327"/>
        <v>0.15056498714980854</v>
      </c>
      <c r="EG156" s="2106">
        <f t="shared" si="328"/>
        <v>55.710586039499987</v>
      </c>
      <c r="EH156" s="2106">
        <f t="shared" si="329"/>
        <v>1.1132384992505446</v>
      </c>
      <c r="EI156" s="2106">
        <f t="shared" si="330"/>
        <v>411.90963695479701</v>
      </c>
      <c r="EJ156" s="2106"/>
      <c r="EK156" s="2106"/>
      <c r="EL156" s="2106"/>
      <c r="EM156" s="2106">
        <f t="shared" si="331"/>
        <v>1.2638034864003533</v>
      </c>
      <c r="EN156" s="2106">
        <f t="shared" si="332"/>
        <v>467.62022299429702</v>
      </c>
      <c r="EO156" s="2106">
        <f t="shared" si="333"/>
        <v>1.2638034864003533</v>
      </c>
      <c r="EP156" s="2114">
        <f t="shared" si="334"/>
        <v>1.3092391193778388</v>
      </c>
      <c r="EQ156" s="2224"/>
      <c r="ER156" s="2277"/>
      <c r="ES156" s="2209" t="s">
        <v>1777</v>
      </c>
      <c r="EU156" s="2230"/>
    </row>
    <row r="157" spans="1:151">
      <c r="A157" s="2220">
        <v>16</v>
      </c>
      <c r="B157" s="2227" t="s">
        <v>1778</v>
      </c>
      <c r="C157" s="2146">
        <v>600</v>
      </c>
      <c r="D157" s="2134">
        <f t="shared" si="276"/>
        <v>0.65</v>
      </c>
      <c r="E157" s="1882"/>
      <c r="F157" s="2247">
        <v>0.65201541416261233</v>
      </c>
      <c r="G157" s="2146">
        <v>390</v>
      </c>
      <c r="H157" s="2248" t="s">
        <v>1649</v>
      </c>
      <c r="I157" s="2249">
        <v>1</v>
      </c>
      <c r="J157" s="2149">
        <v>2005.5675566241287</v>
      </c>
      <c r="K157" s="2247"/>
      <c r="L157" s="2151"/>
      <c r="M157" s="2106">
        <f t="shared" si="277"/>
        <v>2005.5675566241287</v>
      </c>
      <c r="N157" s="2149">
        <v>192.44441391941396</v>
      </c>
      <c r="O157" s="2135">
        <f t="shared" si="278"/>
        <v>1.372147848712439</v>
      </c>
      <c r="P157" s="2109">
        <v>26.406218855624999</v>
      </c>
      <c r="Q157" s="2109">
        <v>1.573732971680234</v>
      </c>
      <c r="R157" s="2109">
        <f t="shared" si="279"/>
        <v>30.28561194006603</v>
      </c>
      <c r="S157" s="2135"/>
      <c r="T157" s="2135"/>
      <c r="U157" s="2135"/>
      <c r="V157" s="2135">
        <f t="shared" si="280"/>
        <v>2.9458808203926727</v>
      </c>
      <c r="W157" s="2135">
        <f t="shared" si="281"/>
        <v>56.691830795691033</v>
      </c>
      <c r="X157" s="2149">
        <v>163.0696663736264</v>
      </c>
      <c r="Y157" s="2135">
        <f t="shared" si="282"/>
        <v>1.619321327065383</v>
      </c>
      <c r="Z157" s="2109">
        <v>26.406218855624999</v>
      </c>
      <c r="AA157" s="2109">
        <v>1.573732971680234</v>
      </c>
      <c r="AB157" s="2109">
        <f t="shared" si="283"/>
        <v>25.662811065307142</v>
      </c>
      <c r="AC157" s="2135"/>
      <c r="AD157" s="2135"/>
      <c r="AE157" s="2135"/>
      <c r="AF157" s="2135">
        <f t="shared" si="284"/>
        <v>3.1930542987456167</v>
      </c>
      <c r="AG157" s="2135">
        <f t="shared" si="285"/>
        <v>52.069029920932138</v>
      </c>
      <c r="AH157" s="2149">
        <v>145.68101648351646</v>
      </c>
      <c r="AI157" s="2135">
        <f t="shared" si="286"/>
        <v>1.8126053409719869</v>
      </c>
      <c r="AJ157" s="2109">
        <v>26.406218855624999</v>
      </c>
      <c r="AK157" s="2109">
        <v>1.573732971680234</v>
      </c>
      <c r="AL157" s="2109">
        <f t="shared" si="287"/>
        <v>22.926301898800151</v>
      </c>
      <c r="AM157" s="2135"/>
      <c r="AN157" s="2135"/>
      <c r="AO157" s="2135"/>
      <c r="AP157" s="2135">
        <f t="shared" si="288"/>
        <v>3.3863383126522208</v>
      </c>
      <c r="AQ157" s="2135">
        <f t="shared" si="289"/>
        <v>49.332520754425147</v>
      </c>
      <c r="AR157" s="2149">
        <v>159.87577560439561</v>
      </c>
      <c r="AS157" s="2135">
        <f t="shared" si="290"/>
        <v>1.6516710399557861</v>
      </c>
      <c r="AT157" s="2109">
        <v>26.406218855624999</v>
      </c>
      <c r="AU157" s="2109">
        <v>1.573732971680234</v>
      </c>
      <c r="AV157" s="2109">
        <f t="shared" si="291"/>
        <v>25.160177944158775</v>
      </c>
      <c r="AW157" s="2135"/>
      <c r="AX157" s="2135"/>
      <c r="AY157" s="2135"/>
      <c r="AZ157" s="2135">
        <f t="shared" si="292"/>
        <v>3.2254040116360199</v>
      </c>
      <c r="BA157" s="2135">
        <f t="shared" si="293"/>
        <v>51.566396799783774</v>
      </c>
      <c r="BB157" s="2149">
        <v>169.57019230769228</v>
      </c>
      <c r="BC157" s="2135">
        <f t="shared" si="294"/>
        <v>1.5572441415711671</v>
      </c>
      <c r="BD157" s="2109">
        <v>26.406218855624999</v>
      </c>
      <c r="BE157" s="2109">
        <v>1.573732971680234</v>
      </c>
      <c r="BF157" s="2109">
        <f t="shared" si="295"/>
        <v>26.685820264877332</v>
      </c>
      <c r="BG157" s="2135"/>
      <c r="BH157" s="2135"/>
      <c r="BI157" s="2135"/>
      <c r="BJ157" s="2135">
        <f t="shared" si="296"/>
        <v>3.1309771132514013</v>
      </c>
      <c r="BK157" s="2135">
        <f t="shared" si="297"/>
        <v>53.092039120502335</v>
      </c>
      <c r="BL157" s="2149">
        <v>141.82268699042888</v>
      </c>
      <c r="BM157" s="2135">
        <f t="shared" si="298"/>
        <v>1.8619178225982325</v>
      </c>
      <c r="BN157" s="2109">
        <v>26.406218855624999</v>
      </c>
      <c r="BO157" s="2109">
        <v>1.573732971680234</v>
      </c>
      <c r="BP157" s="2109">
        <f t="shared" si="299"/>
        <v>22.319103864912329</v>
      </c>
      <c r="BQ157" s="2135"/>
      <c r="BR157" s="2135"/>
      <c r="BS157" s="2135"/>
      <c r="BT157" s="2135">
        <f t="shared" si="300"/>
        <v>3.4356507942784664</v>
      </c>
      <c r="BU157" s="2135">
        <f t="shared" si="301"/>
        <v>48.725322720537328</v>
      </c>
      <c r="BV157" s="2149">
        <v>166.56614010989009</v>
      </c>
      <c r="BW157" s="2135">
        <f t="shared" si="302"/>
        <v>1.585329337535456</v>
      </c>
      <c r="BX157" s="2109">
        <v>26.406218855624999</v>
      </c>
      <c r="BY157" s="2109">
        <v>1.573732971680234</v>
      </c>
      <c r="BZ157" s="2109">
        <f t="shared" si="303"/>
        <v>26.213062665644355</v>
      </c>
      <c r="CA157" s="2135"/>
      <c r="CB157" s="2135"/>
      <c r="CC157" s="2135"/>
      <c r="CD157" s="2135">
        <f t="shared" si="304"/>
        <v>3.15906230921569</v>
      </c>
      <c r="CE157" s="2135">
        <f t="shared" si="305"/>
        <v>52.619281521269357</v>
      </c>
      <c r="CF157" s="2149">
        <v>171.59574175824179</v>
      </c>
      <c r="CG157" s="2135">
        <f t="shared" si="306"/>
        <v>1.5388621293894491</v>
      </c>
      <c r="CH157" s="2109">
        <v>26.406218855624999</v>
      </c>
      <c r="CI157" s="2109">
        <v>1.573732971680234</v>
      </c>
      <c r="CJ157" s="2109">
        <f t="shared" si="307"/>
        <v>27.004587660487186</v>
      </c>
      <c r="CK157" s="2135"/>
      <c r="CL157" s="2135"/>
      <c r="CM157" s="2135"/>
      <c r="CN157" s="2135">
        <f t="shared" si="308"/>
        <v>3.1125951010696835</v>
      </c>
      <c r="CO157" s="2135">
        <f t="shared" si="309"/>
        <v>53.410806516112189</v>
      </c>
      <c r="CP157" s="2149">
        <v>195.13557692307691</v>
      </c>
      <c r="CQ157" s="2135">
        <f t="shared" si="310"/>
        <v>1.3532242183614942</v>
      </c>
      <c r="CR157" s="2109">
        <v>26.406218855624999</v>
      </c>
      <c r="CS157" s="2109">
        <v>1.573732971680234</v>
      </c>
      <c r="CT157" s="2109">
        <f t="shared" si="311"/>
        <v>30.709129135169071</v>
      </c>
      <c r="CU157" s="2135"/>
      <c r="CV157" s="2135"/>
      <c r="CW157" s="2135"/>
      <c r="CX157" s="2135">
        <f t="shared" si="312"/>
        <v>2.9269571900417284</v>
      </c>
      <c r="CY157" s="2135">
        <f t="shared" si="313"/>
        <v>57.115347990794071</v>
      </c>
      <c r="CZ157" s="2149">
        <v>190.03637362637366</v>
      </c>
      <c r="DA157" s="2135">
        <f t="shared" si="314"/>
        <v>1.3895349796319354</v>
      </c>
      <c r="DB157" s="2109">
        <v>26.406218855624999</v>
      </c>
      <c r="DC157" s="2109">
        <v>1.573732971680234</v>
      </c>
      <c r="DD157" s="2109">
        <f t="shared" si="315"/>
        <v>29.906650699436824</v>
      </c>
      <c r="DE157" s="2135"/>
      <c r="DF157" s="2135"/>
      <c r="DG157" s="2135"/>
      <c r="DH157" s="2135">
        <f t="shared" si="316"/>
        <v>2.9632679513121691</v>
      </c>
      <c r="DI157" s="2135">
        <f t="shared" si="317"/>
        <v>56.312869555061823</v>
      </c>
      <c r="DJ157" s="2149">
        <v>135.36118131868128</v>
      </c>
      <c r="DK157" s="2135">
        <f t="shared" si="318"/>
        <v>1.9507970156862586</v>
      </c>
      <c r="DL157" s="2109">
        <v>26.406218855624999</v>
      </c>
      <c r="DM157" s="2109">
        <v>1.573732971680234</v>
      </c>
      <c r="DN157" s="2109">
        <f t="shared" si="319"/>
        <v>21.302235412679526</v>
      </c>
      <c r="DO157" s="2135"/>
      <c r="DP157" s="2135"/>
      <c r="DQ157" s="2135"/>
      <c r="DR157" s="2135">
        <f t="shared" si="320"/>
        <v>3.5245299873664928</v>
      </c>
      <c r="DS157" s="2135">
        <f t="shared" si="321"/>
        <v>47.708454268304521</v>
      </c>
      <c r="DT157" s="2149">
        <v>174.40879120879117</v>
      </c>
      <c r="DU157" s="2135">
        <f t="shared" si="322"/>
        <v>1.5140417333672787</v>
      </c>
      <c r="DV157" s="2109">
        <v>26.406218855624999</v>
      </c>
      <c r="DW157" s="2109">
        <v>1.573732971680234</v>
      </c>
      <c r="DX157" s="2109">
        <f t="shared" si="323"/>
        <v>27.447286527616843</v>
      </c>
      <c r="DY157" s="2135"/>
      <c r="DZ157" s="2135"/>
      <c r="EA157" s="2135"/>
      <c r="EB157" s="2135">
        <f t="shared" si="324"/>
        <v>3.0877747050475128</v>
      </c>
      <c r="EC157" s="2135">
        <f t="shared" si="325"/>
        <v>53.853505383241838</v>
      </c>
      <c r="ED157" s="2135"/>
      <c r="EE157" s="2106">
        <f t="shared" si="326"/>
        <v>2005.5675566241287</v>
      </c>
      <c r="EF157" s="2106">
        <f t="shared" si="327"/>
        <v>1.5799748316674971</v>
      </c>
      <c r="EG157" s="2106">
        <f t="shared" si="328"/>
        <v>316.8746262675001</v>
      </c>
      <c r="EH157" s="2106">
        <f t="shared" si="329"/>
        <v>1.5737329716802337</v>
      </c>
      <c r="EI157" s="2106">
        <f t="shared" si="330"/>
        <v>315.62277907915552</v>
      </c>
      <c r="EJ157" s="2106"/>
      <c r="EK157" s="2106"/>
      <c r="EL157" s="2106"/>
      <c r="EM157" s="2106">
        <f t="shared" si="331"/>
        <v>3.1537078033477304</v>
      </c>
      <c r="EN157" s="2106">
        <f t="shared" si="332"/>
        <v>632.49740534665557</v>
      </c>
      <c r="EO157" s="2106">
        <f t="shared" si="333"/>
        <v>3.1537078033477304</v>
      </c>
      <c r="EP157" s="2114">
        <f t="shared" si="334"/>
        <v>3.1537078033477304</v>
      </c>
      <c r="EQ157" s="2224"/>
      <c r="ER157" s="2277"/>
      <c r="ES157" s="2209" t="s">
        <v>1778</v>
      </c>
      <c r="EU157" s="2230"/>
    </row>
    <row r="158" spans="1:151">
      <c r="A158" s="2220">
        <v>17</v>
      </c>
      <c r="B158" s="2227" t="s">
        <v>2060</v>
      </c>
      <c r="C158" s="2146">
        <v>1980</v>
      </c>
      <c r="D158" s="2134">
        <f t="shared" si="276"/>
        <v>0.85</v>
      </c>
      <c r="E158" s="1882"/>
      <c r="F158" s="2247">
        <v>7.0833333333333331E-2</v>
      </c>
      <c r="G158" s="2146">
        <v>1683</v>
      </c>
      <c r="H158" s="2248" t="s">
        <v>1649</v>
      </c>
      <c r="I158" s="2249">
        <v>2</v>
      </c>
      <c r="J158" s="2149">
        <v>6193.3463884401526</v>
      </c>
      <c r="K158" s="2247"/>
      <c r="L158" s="2151"/>
      <c r="M158" s="2106">
        <f t="shared" si="277"/>
        <v>6193.3463884401526</v>
      </c>
      <c r="N158" s="2149">
        <v>323.59040999999991</v>
      </c>
      <c r="O158" s="2135">
        <f t="shared" si="278"/>
        <v>6.0763888888888893</v>
      </c>
      <c r="P158" s="2109">
        <v>196.62611718749997</v>
      </c>
      <c r="Q158" s="2109">
        <v>2.2992840000000001</v>
      </c>
      <c r="R158" s="2109">
        <f t="shared" si="279"/>
        <v>74.402625226643977</v>
      </c>
      <c r="S158" s="2135"/>
      <c r="T158" s="2135"/>
      <c r="U158" s="2135"/>
      <c r="V158" s="2135">
        <f t="shared" si="280"/>
        <v>8.3756728888888894</v>
      </c>
      <c r="W158" s="2135">
        <f t="shared" si="281"/>
        <v>271.02874241414395</v>
      </c>
      <c r="X158" s="2149">
        <v>334.37675699999994</v>
      </c>
      <c r="Y158" s="2135">
        <f t="shared" si="282"/>
        <v>5.8803763440860211</v>
      </c>
      <c r="Z158" s="2109">
        <v>196.62611718749997</v>
      </c>
      <c r="AA158" s="2109">
        <v>2.2992840000000001</v>
      </c>
      <c r="AB158" s="2109">
        <f t="shared" si="283"/>
        <v>76.88271273419879</v>
      </c>
      <c r="AC158" s="2135"/>
      <c r="AD158" s="2135"/>
      <c r="AE158" s="2135"/>
      <c r="AF158" s="2135">
        <f t="shared" si="284"/>
        <v>8.1796603440860221</v>
      </c>
      <c r="AG158" s="2135">
        <f t="shared" si="285"/>
        <v>273.50882992169875</v>
      </c>
      <c r="AH158" s="2149">
        <v>323.59040999999991</v>
      </c>
      <c r="AI158" s="2135">
        <f t="shared" si="286"/>
        <v>6.0763888888888893</v>
      </c>
      <c r="AJ158" s="2109">
        <v>196.62611718749997</v>
      </c>
      <c r="AK158" s="2109">
        <v>2.2992840000000001</v>
      </c>
      <c r="AL158" s="2109">
        <f t="shared" si="287"/>
        <v>74.402625226643977</v>
      </c>
      <c r="AM158" s="2135"/>
      <c r="AN158" s="2135"/>
      <c r="AO158" s="2135"/>
      <c r="AP158" s="2135">
        <f t="shared" si="288"/>
        <v>8.3756728888888894</v>
      </c>
      <c r="AQ158" s="2135">
        <f t="shared" si="289"/>
        <v>271.02874241414395</v>
      </c>
      <c r="AR158" s="2149">
        <v>668.75351399999988</v>
      </c>
      <c r="AS158" s="2135">
        <f t="shared" si="290"/>
        <v>2.9401881720430105</v>
      </c>
      <c r="AT158" s="2109">
        <v>196.62611718749997</v>
      </c>
      <c r="AU158" s="2109">
        <v>2.2992840000000001</v>
      </c>
      <c r="AV158" s="2109">
        <f t="shared" si="291"/>
        <v>153.76542546839758</v>
      </c>
      <c r="AW158" s="2135"/>
      <c r="AX158" s="2135"/>
      <c r="AY158" s="2135"/>
      <c r="AZ158" s="2135">
        <f t="shared" si="292"/>
        <v>5.2394721720430102</v>
      </c>
      <c r="BA158" s="2135">
        <f t="shared" si="293"/>
        <v>350.39154265589752</v>
      </c>
      <c r="BB158" s="2149">
        <v>668.75351399999988</v>
      </c>
      <c r="BC158" s="2135">
        <f t="shared" si="294"/>
        <v>2.9401881720430105</v>
      </c>
      <c r="BD158" s="2109">
        <v>196.62611718749997</v>
      </c>
      <c r="BE158" s="2109">
        <v>2.2992840000000001</v>
      </c>
      <c r="BF158" s="2109">
        <f t="shared" si="295"/>
        <v>153.76542546839758</v>
      </c>
      <c r="BG158" s="2135"/>
      <c r="BH158" s="2135"/>
      <c r="BI158" s="2135"/>
      <c r="BJ158" s="2135">
        <f t="shared" si="296"/>
        <v>5.2394721720430102</v>
      </c>
      <c r="BK158" s="2135">
        <f t="shared" si="297"/>
        <v>350.39154265589752</v>
      </c>
      <c r="BL158" s="2149">
        <v>647.18081999999981</v>
      </c>
      <c r="BM158" s="2135">
        <f t="shared" si="298"/>
        <v>3.0381944444444446</v>
      </c>
      <c r="BN158" s="2109">
        <v>196.62611718749997</v>
      </c>
      <c r="BO158" s="2109">
        <v>2.2992840000000001</v>
      </c>
      <c r="BP158" s="2109">
        <f t="shared" si="299"/>
        <v>148.80525045328795</v>
      </c>
      <c r="BQ158" s="2135"/>
      <c r="BR158" s="2135"/>
      <c r="BS158" s="2135"/>
      <c r="BT158" s="2135">
        <f t="shared" si="300"/>
        <v>5.3374784444444447</v>
      </c>
      <c r="BU158" s="2135">
        <f t="shared" si="301"/>
        <v>345.43136764078793</v>
      </c>
      <c r="BV158" s="2149">
        <v>446.84937399442515</v>
      </c>
      <c r="BW158" s="2135">
        <f t="shared" si="302"/>
        <v>4.4002773334970149</v>
      </c>
      <c r="BX158" s="2109">
        <v>196.62611718749997</v>
      </c>
      <c r="BY158" s="2109">
        <v>2.2992840000000001</v>
      </c>
      <c r="BZ158" s="2109">
        <f t="shared" si="303"/>
        <v>102.74336160353978</v>
      </c>
      <c r="CA158" s="2135"/>
      <c r="CB158" s="2135"/>
      <c r="CC158" s="2135"/>
      <c r="CD158" s="2135">
        <f t="shared" si="304"/>
        <v>6.699561333497015</v>
      </c>
      <c r="CE158" s="2135">
        <f t="shared" si="305"/>
        <v>299.36947879103974</v>
      </c>
      <c r="CF158" s="2149">
        <v>46.621097967628884</v>
      </c>
      <c r="CG158" s="2135">
        <f t="shared" si="306"/>
        <v>42.175351023269826</v>
      </c>
      <c r="CH158" s="2109">
        <v>196.62611718749997</v>
      </c>
      <c r="CI158" s="2109">
        <v>2.2992840000000001</v>
      </c>
      <c r="CJ158" s="2109">
        <f t="shared" si="307"/>
        <v>10.719514461940161</v>
      </c>
      <c r="CK158" s="2135"/>
      <c r="CL158" s="2135"/>
      <c r="CM158" s="2135"/>
      <c r="CN158" s="2135">
        <f t="shared" si="308"/>
        <v>44.474635023269826</v>
      </c>
      <c r="CO158" s="2135">
        <f t="shared" si="309"/>
        <v>207.34563164944012</v>
      </c>
      <c r="CP158" s="2149">
        <v>811.55258998906447</v>
      </c>
      <c r="CQ158" s="2135">
        <f t="shared" si="310"/>
        <v>2.4228388845404272</v>
      </c>
      <c r="CR158" s="2109">
        <v>196.62611718749997</v>
      </c>
      <c r="CS158" s="2109">
        <v>2.2992840000000001</v>
      </c>
      <c r="CT158" s="2109">
        <f t="shared" si="311"/>
        <v>186.59898853204163</v>
      </c>
      <c r="CU158" s="2135"/>
      <c r="CV158" s="2135"/>
      <c r="CW158" s="2135"/>
      <c r="CX158" s="2135">
        <f t="shared" si="312"/>
        <v>4.7221228845404273</v>
      </c>
      <c r="CY158" s="2135">
        <f t="shared" si="313"/>
        <v>383.2251057195416</v>
      </c>
      <c r="CZ158" s="2149">
        <v>757.74599044774823</v>
      </c>
      <c r="DA158" s="2135">
        <f t="shared" si="314"/>
        <v>2.5948816577876528</v>
      </c>
      <c r="DB158" s="2109">
        <v>196.62611718749997</v>
      </c>
      <c r="DC158" s="2109">
        <v>2.2992840000000001</v>
      </c>
      <c r="DD158" s="2109">
        <f t="shared" si="315"/>
        <v>174.22732319006604</v>
      </c>
      <c r="DE158" s="2135"/>
      <c r="DF158" s="2135"/>
      <c r="DG158" s="2135"/>
      <c r="DH158" s="2135">
        <f t="shared" si="316"/>
        <v>4.8941656577876529</v>
      </c>
      <c r="DI158" s="2135">
        <f t="shared" si="317"/>
        <v>370.85344037756602</v>
      </c>
      <c r="DJ158" s="2149">
        <v>906.05314799999996</v>
      </c>
      <c r="DK158" s="2135">
        <f t="shared" si="318"/>
        <v>2.1701388888888888</v>
      </c>
      <c r="DL158" s="2109">
        <v>196.62611718749997</v>
      </c>
      <c r="DM158" s="2109">
        <v>2.2992840000000001</v>
      </c>
      <c r="DN158" s="2109">
        <f t="shared" si="319"/>
        <v>208.32735063460319</v>
      </c>
      <c r="DO158" s="2135"/>
      <c r="DP158" s="2135"/>
      <c r="DQ158" s="2135"/>
      <c r="DR158" s="2135">
        <f t="shared" si="320"/>
        <v>4.4694228888888885</v>
      </c>
      <c r="DS158" s="2135">
        <f t="shared" si="321"/>
        <v>404.95346782210316</v>
      </c>
      <c r="DT158" s="2149">
        <v>258.27876304128677</v>
      </c>
      <c r="DU158" s="2135">
        <f t="shared" si="322"/>
        <v>7.612941725141706</v>
      </c>
      <c r="DV158" s="2109">
        <v>196.62611718749997</v>
      </c>
      <c r="DW158" s="2109">
        <v>2.2992840000000001</v>
      </c>
      <c r="DX158" s="2109">
        <f t="shared" si="323"/>
        <v>59.385622740062203</v>
      </c>
      <c r="DY158" s="2135"/>
      <c r="DZ158" s="2135"/>
      <c r="EA158" s="2135"/>
      <c r="EB158" s="2135">
        <f t="shared" si="324"/>
        <v>9.9122257251417061</v>
      </c>
      <c r="EC158" s="2135">
        <f t="shared" si="325"/>
        <v>256.01173992756219</v>
      </c>
      <c r="ED158" s="2135"/>
      <c r="EE158" s="2106">
        <f t="shared" si="326"/>
        <v>6193.3463884401526</v>
      </c>
      <c r="EF158" s="2106">
        <f t="shared" si="327"/>
        <v>3.8097552732623163</v>
      </c>
      <c r="EG158" s="2106">
        <f t="shared" si="328"/>
        <v>2359.5134062499992</v>
      </c>
      <c r="EH158" s="2106">
        <f t="shared" si="329"/>
        <v>2.2992840000000001</v>
      </c>
      <c r="EI158" s="2106">
        <f t="shared" si="330"/>
        <v>1424.0262257398228</v>
      </c>
      <c r="EJ158" s="2106"/>
      <c r="EK158" s="2106"/>
      <c r="EL158" s="2106"/>
      <c r="EM158" s="2106">
        <f t="shared" si="331"/>
        <v>6.1090392732623151</v>
      </c>
      <c r="EN158" s="2106">
        <f t="shared" si="332"/>
        <v>3783.5396319898218</v>
      </c>
      <c r="EO158" s="2106">
        <f>IFERROR(EN158/J158*10,0)</f>
        <v>6.1090392732623151</v>
      </c>
      <c r="EP158" s="2114">
        <f t="shared" si="334"/>
        <v>6.1090392732623151</v>
      </c>
      <c r="EQ158" s="2224"/>
      <c r="ER158" s="2277"/>
      <c r="EU158" s="2230"/>
    </row>
    <row r="159" spans="1:151">
      <c r="A159" s="2220"/>
      <c r="B159" s="2227" t="s">
        <v>211</v>
      </c>
      <c r="C159" s="2278">
        <f>SUM(C135:C158)</f>
        <v>25565</v>
      </c>
      <c r="D159" s="2135"/>
      <c r="E159" s="2135"/>
      <c r="F159" s="2279">
        <f>J159/(G159*8.76)</f>
        <v>0.42171464579338164</v>
      </c>
      <c r="G159" s="2107">
        <f>SUM(G135:G158)</f>
        <v>13439.55</v>
      </c>
      <c r="H159" s="2236"/>
      <c r="I159" s="2278"/>
      <c r="J159" s="2107">
        <f>SUM(J143:J158,J135:J141)</f>
        <v>49648.65839456259</v>
      </c>
      <c r="K159" s="2135"/>
      <c r="L159" s="2135"/>
      <c r="M159" s="2107">
        <f t="shared" ref="M159:R159" si="335">SUM(M143:M158,M135:M141)</f>
        <v>49164.842416689753</v>
      </c>
      <c r="N159" s="2107">
        <f t="shared" si="335"/>
        <v>2540.7323342769487</v>
      </c>
      <c r="O159" s="2135"/>
      <c r="P159" s="2107">
        <f t="shared" si="335"/>
        <v>1289.7249569089383</v>
      </c>
      <c r="Q159" s="2109">
        <v>0</v>
      </c>
      <c r="R159" s="2107">
        <f t="shared" si="335"/>
        <v>517.69209887303134</v>
      </c>
      <c r="S159" s="2135"/>
      <c r="T159" s="2135"/>
      <c r="U159" s="2135"/>
      <c r="V159" s="2135"/>
      <c r="W159" s="2236">
        <f>SUM(W143:W158,W135:W141)</f>
        <v>1807.4170557819696</v>
      </c>
      <c r="X159" s="2236">
        <f>SUM(X143:X158,X135:X141)</f>
        <v>6162.5611752762206</v>
      </c>
      <c r="Y159" s="2135"/>
      <c r="Z159" s="2236">
        <f>SUM(Z143:Z158,Z135:Z141)</f>
        <v>1289.7249569089383</v>
      </c>
      <c r="AA159" s="2109">
        <v>0</v>
      </c>
      <c r="AB159" s="2236">
        <f>SUM(AB143:AB158,AB135:AB141)</f>
        <v>1550.8125666941373</v>
      </c>
      <c r="AC159" s="2135"/>
      <c r="AD159" s="2135"/>
      <c r="AE159" s="2135"/>
      <c r="AF159" s="2135"/>
      <c r="AG159" s="2236">
        <f>SUM(AG143:AG158,AG135:AG141)</f>
        <v>2840.5375236030759</v>
      </c>
      <c r="AH159" s="2236">
        <f>SUM(AH143:AH158,AH135:AH141)</f>
        <v>6254.2744444144464</v>
      </c>
      <c r="AI159" s="2135"/>
      <c r="AJ159" s="2236">
        <f>SUM(AJ143:AJ158,AJ135:AJ141)</f>
        <v>1289.7249569089383</v>
      </c>
      <c r="AK159" s="2109">
        <v>0</v>
      </c>
      <c r="AL159" s="2236">
        <f>SUM(AL143:AL158,AL135:AL141)</f>
        <v>1554.9955224200633</v>
      </c>
      <c r="AM159" s="2135"/>
      <c r="AN159" s="2135"/>
      <c r="AO159" s="2238"/>
      <c r="AP159" s="2135"/>
      <c r="AQ159" s="2236">
        <f>SUM(AQ143:AQ158,AQ135:AQ141)</f>
        <v>2844.7204793290016</v>
      </c>
      <c r="AR159" s="2236">
        <f>SUM(AR143:AR158,AR135:AR141)</f>
        <v>7097.2893229542906</v>
      </c>
      <c r="AS159" s="2135"/>
      <c r="AT159" s="2236">
        <f>SUM(AT143:AT158,AT135:AT141)</f>
        <v>1289.7249569089383</v>
      </c>
      <c r="AU159" s="2109">
        <v>0</v>
      </c>
      <c r="AV159" s="2236">
        <f>SUM(AV143:AV158,AV135:AV141)</f>
        <v>1770.0482833562726</v>
      </c>
      <c r="AW159" s="2236">
        <f t="shared" ref="AW159:CR159" si="336">SUM(AW143:AW158,AW135:AW141)</f>
        <v>0</v>
      </c>
      <c r="AX159" s="2236">
        <f t="shared" si="336"/>
        <v>0</v>
      </c>
      <c r="AY159" s="2236">
        <f t="shared" si="336"/>
        <v>0</v>
      </c>
      <c r="AZ159" s="2236"/>
      <c r="BA159" s="2236">
        <f>SUM(BA143:BA158,BA135:BA141)</f>
        <v>3059.7732402652109</v>
      </c>
      <c r="BB159" s="2236">
        <f>SUM(BB143:BB158,BB135:BB141)</f>
        <v>7135.7660472352763</v>
      </c>
      <c r="BC159" s="2135"/>
      <c r="BD159" s="2236">
        <f>SUM(BD143:BD158,BD135:BD141)</f>
        <v>1289.7249569089383</v>
      </c>
      <c r="BE159" s="2109">
        <v>0</v>
      </c>
      <c r="BF159" s="2236">
        <f>SUM(BF143:BF158,BF135:BF141)</f>
        <v>1779.3096959681604</v>
      </c>
      <c r="BG159" s="2236">
        <f t="shared" si="336"/>
        <v>0</v>
      </c>
      <c r="BH159" s="2236">
        <f t="shared" si="336"/>
        <v>0</v>
      </c>
      <c r="BI159" s="2236">
        <f t="shared" si="336"/>
        <v>0</v>
      </c>
      <c r="BJ159" s="2236"/>
      <c r="BK159" s="2236">
        <f t="shared" si="336"/>
        <v>3069.0346528770983</v>
      </c>
      <c r="BL159" s="2236">
        <f t="shared" si="336"/>
        <v>6844.3504420751906</v>
      </c>
      <c r="BM159" s="2135"/>
      <c r="BN159" s="2236">
        <f t="shared" si="336"/>
        <v>1289.7249569089383</v>
      </c>
      <c r="BO159" s="2109">
        <v>0</v>
      </c>
      <c r="BP159" s="2236">
        <f t="shared" si="336"/>
        <v>1711.7336599741934</v>
      </c>
      <c r="BQ159" s="2236">
        <f t="shared" si="336"/>
        <v>0</v>
      </c>
      <c r="BR159" s="2236">
        <f t="shared" si="336"/>
        <v>0</v>
      </c>
      <c r="BS159" s="2236">
        <f t="shared" si="336"/>
        <v>0</v>
      </c>
      <c r="BT159" s="2236"/>
      <c r="BU159" s="2236">
        <f t="shared" si="336"/>
        <v>3001.4586168831315</v>
      </c>
      <c r="BV159" s="2236">
        <f t="shared" si="336"/>
        <v>2606.2648183171846</v>
      </c>
      <c r="BW159" s="2135"/>
      <c r="BX159" s="2236">
        <f t="shared" si="336"/>
        <v>1289.7249569089383</v>
      </c>
      <c r="BY159" s="2109">
        <v>0</v>
      </c>
      <c r="BZ159" s="2236">
        <f t="shared" si="336"/>
        <v>542.66314103124876</v>
      </c>
      <c r="CA159" s="2236">
        <f t="shared" si="336"/>
        <v>0</v>
      </c>
      <c r="CB159" s="2236">
        <f t="shared" si="336"/>
        <v>0</v>
      </c>
      <c r="CC159" s="2236">
        <f t="shared" si="336"/>
        <v>0</v>
      </c>
      <c r="CD159" s="2236"/>
      <c r="CE159" s="2236">
        <f t="shared" si="336"/>
        <v>1832.388097940187</v>
      </c>
      <c r="CF159" s="2236">
        <f t="shared" si="336"/>
        <v>1695.0035315971711</v>
      </c>
      <c r="CG159" s="2135"/>
      <c r="CH159" s="2236">
        <f t="shared" si="336"/>
        <v>1289.7249569089383</v>
      </c>
      <c r="CI159" s="2109">
        <v>0</v>
      </c>
      <c r="CJ159" s="2236">
        <f t="shared" si="336"/>
        <v>310.03280525094874</v>
      </c>
      <c r="CK159" s="2236">
        <f t="shared" si="336"/>
        <v>0</v>
      </c>
      <c r="CL159" s="2236">
        <f t="shared" si="336"/>
        <v>0</v>
      </c>
      <c r="CM159" s="2236">
        <f t="shared" si="336"/>
        <v>0</v>
      </c>
      <c r="CN159" s="2236"/>
      <c r="CO159" s="2236">
        <f t="shared" si="336"/>
        <v>1599.7577621598871</v>
      </c>
      <c r="CP159" s="2236">
        <f t="shared" si="336"/>
        <v>2457.9800705460075</v>
      </c>
      <c r="CQ159" s="2135"/>
      <c r="CR159" s="2236">
        <f t="shared" si="336"/>
        <v>1289.7249569089383</v>
      </c>
      <c r="CS159" s="2109">
        <v>0</v>
      </c>
      <c r="CT159" s="2236">
        <f>SUM(CT143:CT158,CT135:CT141)</f>
        <v>486.43508639347255</v>
      </c>
      <c r="CU159" s="2236"/>
      <c r="CV159" s="2236"/>
      <c r="CW159" s="2236">
        <f t="shared" ref="CW159:EE159" si="337">SUM(CW143:CW158,CW135:CW141)</f>
        <v>0</v>
      </c>
      <c r="CX159" s="2236"/>
      <c r="CY159" s="2236">
        <f t="shared" si="337"/>
        <v>1776.1600433024112</v>
      </c>
      <c r="CZ159" s="2236">
        <f t="shared" si="337"/>
        <v>2416.4048645594298</v>
      </c>
      <c r="DA159" s="2135"/>
      <c r="DB159" s="2236">
        <f t="shared" si="337"/>
        <v>1289.7249569089383</v>
      </c>
      <c r="DC159" s="2109">
        <v>0</v>
      </c>
      <c r="DD159" s="2236">
        <f t="shared" si="337"/>
        <v>477.53424569828496</v>
      </c>
      <c r="DE159" s="2236">
        <f t="shared" si="337"/>
        <v>0</v>
      </c>
      <c r="DF159" s="2236">
        <f t="shared" si="337"/>
        <v>0</v>
      </c>
      <c r="DG159" s="2236">
        <f t="shared" si="337"/>
        <v>0</v>
      </c>
      <c r="DH159" s="2236"/>
      <c r="DI159" s="2236">
        <f t="shared" si="337"/>
        <v>1767.2592026072236</v>
      </c>
      <c r="DJ159" s="2236">
        <f t="shared" si="337"/>
        <v>2672.1243662670299</v>
      </c>
      <c r="DK159" s="2135"/>
      <c r="DL159" s="2236">
        <f t="shared" si="337"/>
        <v>1289.7249569089383</v>
      </c>
      <c r="DM159" s="2109">
        <v>0</v>
      </c>
      <c r="DN159" s="2236">
        <f t="shared" si="337"/>
        <v>557.12542037139008</v>
      </c>
      <c r="DO159" s="2236">
        <f t="shared" si="337"/>
        <v>0</v>
      </c>
      <c r="DP159" s="2236">
        <f t="shared" si="337"/>
        <v>0</v>
      </c>
      <c r="DQ159" s="2236">
        <f t="shared" si="337"/>
        <v>0</v>
      </c>
      <c r="DR159" s="2236"/>
      <c r="DS159" s="2236">
        <f t="shared" si="337"/>
        <v>1846.8503772803285</v>
      </c>
      <c r="DT159" s="2236">
        <f t="shared" si="337"/>
        <v>1765.9069770433925</v>
      </c>
      <c r="DU159" s="2135"/>
      <c r="DV159" s="2236">
        <f t="shared" si="337"/>
        <v>1289.7249569089383</v>
      </c>
      <c r="DW159" s="2109">
        <v>0</v>
      </c>
      <c r="DX159" s="2236">
        <f t="shared" si="337"/>
        <v>330.48355144941979</v>
      </c>
      <c r="DY159" s="2236">
        <f t="shared" si="337"/>
        <v>0</v>
      </c>
      <c r="DZ159" s="2236">
        <f t="shared" si="337"/>
        <v>0</v>
      </c>
      <c r="EA159" s="2236">
        <f t="shared" si="337"/>
        <v>0</v>
      </c>
      <c r="EB159" s="2236"/>
      <c r="EC159" s="2236">
        <f t="shared" si="337"/>
        <v>1620.2085083583584</v>
      </c>
      <c r="ED159" s="2236">
        <f t="shared" si="337"/>
        <v>0</v>
      </c>
      <c r="EE159" s="2107">
        <f t="shared" si="337"/>
        <v>49648.65839456259</v>
      </c>
      <c r="EF159" s="2106">
        <f t="shared" si="327"/>
        <v>3.1172442485580296</v>
      </c>
      <c r="EG159" s="2107">
        <f>SUM(EG143:EG158,EG135:EG141)</f>
        <v>15476.699482907259</v>
      </c>
      <c r="EH159" s="2106">
        <f t="shared" si="329"/>
        <v>2.3341750718383589</v>
      </c>
      <c r="EI159" s="2107">
        <f>SUM(EI143:EI158,EI135:EI141)</f>
        <v>11588.866077480627</v>
      </c>
      <c r="EJ159" s="2106"/>
      <c r="EK159" s="2106"/>
      <c r="EL159" s="2106"/>
      <c r="EM159" s="2106">
        <f t="shared" si="331"/>
        <v>5.451419320396389</v>
      </c>
      <c r="EN159" s="2107">
        <f>EG159+EI159+EK159+EL159</f>
        <v>27065.565560387884</v>
      </c>
      <c r="EO159" s="2106">
        <f t="shared" si="333"/>
        <v>5.451419320396389</v>
      </c>
      <c r="EP159" s="2114">
        <f t="shared" si="334"/>
        <v>5.5050650485152506</v>
      </c>
      <c r="EQ159" s="2224"/>
      <c r="ER159" s="2277"/>
      <c r="ES159" s="2209" t="e">
        <v>#N/A</v>
      </c>
      <c r="EU159" s="2230"/>
    </row>
    <row r="160" spans="1:151">
      <c r="A160" s="2220"/>
      <c r="B160" s="2227"/>
      <c r="C160" s="2227"/>
      <c r="D160" s="2227"/>
      <c r="E160" s="2227"/>
      <c r="F160" s="2227"/>
      <c r="G160" s="1774"/>
      <c r="H160" s="2135"/>
      <c r="I160" s="2280"/>
      <c r="J160" s="2135"/>
      <c r="K160" s="2227"/>
      <c r="L160" s="2227"/>
      <c r="M160" s="2106"/>
      <c r="N160" s="2149">
        <v>0</v>
      </c>
      <c r="O160" s="2135"/>
      <c r="P160" s="2109">
        <v>0</v>
      </c>
      <c r="Q160" s="2109">
        <v>0</v>
      </c>
      <c r="R160" s="2109">
        <f t="shared" si="279"/>
        <v>0</v>
      </c>
      <c r="S160" s="2135"/>
      <c r="T160" s="2135"/>
      <c r="U160" s="2135"/>
      <c r="V160" s="2135"/>
      <c r="W160" s="2135"/>
      <c r="X160" s="2149">
        <v>0</v>
      </c>
      <c r="Y160" s="2135"/>
      <c r="Z160" s="2109">
        <v>0</v>
      </c>
      <c r="AA160" s="2109">
        <v>0</v>
      </c>
      <c r="AB160" s="2109">
        <f t="shared" si="283"/>
        <v>0</v>
      </c>
      <c r="AC160" s="2135"/>
      <c r="AD160" s="2135"/>
      <c r="AE160" s="2135"/>
      <c r="AF160" s="2135"/>
      <c r="AG160" s="2135"/>
      <c r="AH160" s="2149">
        <v>0</v>
      </c>
      <c r="AI160" s="2135"/>
      <c r="AJ160" s="2109">
        <v>0</v>
      </c>
      <c r="AK160" s="2109">
        <v>0</v>
      </c>
      <c r="AL160" s="2109">
        <f t="shared" si="287"/>
        <v>0</v>
      </c>
      <c r="AM160" s="2135"/>
      <c r="AN160" s="2135"/>
      <c r="AO160" s="2238"/>
      <c r="AP160" s="2135"/>
      <c r="AQ160" s="2135"/>
      <c r="AR160" s="2149">
        <v>0</v>
      </c>
      <c r="AS160" s="2135"/>
      <c r="AT160" s="2109">
        <v>0</v>
      </c>
      <c r="AU160" s="2109">
        <v>0</v>
      </c>
      <c r="AV160" s="2109">
        <f t="shared" si="291"/>
        <v>0</v>
      </c>
      <c r="AW160" s="2135"/>
      <c r="AX160" s="2135"/>
      <c r="AY160" s="2238"/>
      <c r="AZ160" s="2135"/>
      <c r="BA160" s="2135"/>
      <c r="BB160" s="2149">
        <v>0</v>
      </c>
      <c r="BC160" s="2135"/>
      <c r="BD160" s="2109">
        <v>0</v>
      </c>
      <c r="BE160" s="2109">
        <v>0</v>
      </c>
      <c r="BF160" s="2109">
        <f t="shared" si="295"/>
        <v>0</v>
      </c>
      <c r="BG160" s="2135"/>
      <c r="BH160" s="2135"/>
      <c r="BI160" s="2238"/>
      <c r="BJ160" s="2135"/>
      <c r="BK160" s="2135"/>
      <c r="BL160" s="2149">
        <v>0</v>
      </c>
      <c r="BM160" s="2135"/>
      <c r="BN160" s="2109">
        <v>0</v>
      </c>
      <c r="BO160" s="2109">
        <v>0</v>
      </c>
      <c r="BP160" s="2109">
        <f t="shared" si="299"/>
        <v>0</v>
      </c>
      <c r="BQ160" s="2135"/>
      <c r="BR160" s="2135"/>
      <c r="BS160" s="2135"/>
      <c r="BT160" s="2135"/>
      <c r="BU160" s="2135"/>
      <c r="BV160" s="2149">
        <v>0</v>
      </c>
      <c r="BW160" s="2135"/>
      <c r="BX160" s="2109">
        <v>0</v>
      </c>
      <c r="BY160" s="2109">
        <v>0</v>
      </c>
      <c r="BZ160" s="2109">
        <f t="shared" si="303"/>
        <v>0</v>
      </c>
      <c r="CA160" s="2135"/>
      <c r="CB160" s="2135"/>
      <c r="CC160" s="2135"/>
      <c r="CD160" s="2135"/>
      <c r="CE160" s="2135"/>
      <c r="CF160" s="2149">
        <v>0</v>
      </c>
      <c r="CG160" s="2135"/>
      <c r="CH160" s="2109">
        <v>0</v>
      </c>
      <c r="CI160" s="2109">
        <v>0</v>
      </c>
      <c r="CJ160" s="2109">
        <f t="shared" si="307"/>
        <v>0</v>
      </c>
      <c r="CK160" s="2135"/>
      <c r="CL160" s="2135"/>
      <c r="CM160" s="2238"/>
      <c r="CN160" s="2135"/>
      <c r="CO160" s="2135"/>
      <c r="CP160" s="2149">
        <v>0</v>
      </c>
      <c r="CQ160" s="2135"/>
      <c r="CR160" s="2109">
        <v>0</v>
      </c>
      <c r="CS160" s="2109">
        <v>0</v>
      </c>
      <c r="CT160" s="2109">
        <v>0</v>
      </c>
      <c r="CU160" s="2135"/>
      <c r="CV160" s="2135"/>
      <c r="CW160" s="2238"/>
      <c r="CX160" s="2135"/>
      <c r="CY160" s="2135"/>
      <c r="CZ160" s="2149">
        <v>0</v>
      </c>
      <c r="DA160" s="2135"/>
      <c r="DB160" s="2109">
        <v>0</v>
      </c>
      <c r="DC160" s="2109">
        <v>0</v>
      </c>
      <c r="DD160" s="2109">
        <f t="shared" si="315"/>
        <v>0</v>
      </c>
      <c r="DE160" s="2135"/>
      <c r="DF160" s="2135"/>
      <c r="DG160" s="2238"/>
      <c r="DH160" s="2135"/>
      <c r="DI160" s="2135"/>
      <c r="DJ160" s="2149">
        <v>0</v>
      </c>
      <c r="DK160" s="2135"/>
      <c r="DL160" s="2109">
        <v>0</v>
      </c>
      <c r="DM160" s="2109">
        <v>0</v>
      </c>
      <c r="DN160" s="2109">
        <f t="shared" si="319"/>
        <v>0</v>
      </c>
      <c r="DO160" s="2135"/>
      <c r="DP160" s="2135"/>
      <c r="DQ160" s="2238"/>
      <c r="DR160" s="2135"/>
      <c r="DS160" s="2135"/>
      <c r="DT160" s="2149">
        <v>0</v>
      </c>
      <c r="DU160" s="2135"/>
      <c r="DV160" s="2109">
        <v>0</v>
      </c>
      <c r="DW160" s="2109">
        <v>0</v>
      </c>
      <c r="DX160" s="2109">
        <f t="shared" si="323"/>
        <v>0</v>
      </c>
      <c r="DY160" s="2135"/>
      <c r="DZ160" s="2135"/>
      <c r="EA160" s="2135"/>
      <c r="EB160" s="2135"/>
      <c r="EC160" s="2135"/>
      <c r="ED160" s="2135"/>
      <c r="EE160" s="2107"/>
      <c r="EF160" s="2106"/>
      <c r="EG160" s="2106"/>
      <c r="EH160" s="2106"/>
      <c r="EI160" s="2106"/>
      <c r="EJ160" s="2106"/>
      <c r="EK160" s="2106"/>
      <c r="EL160" s="2106"/>
      <c r="EM160" s="2106"/>
      <c r="EN160" s="2106"/>
      <c r="EO160" s="1915"/>
      <c r="EP160" s="2223"/>
      <c r="EQ160" s="2224"/>
      <c r="ER160" s="2277"/>
      <c r="ES160" s="2209" t="e">
        <v>#N/A</v>
      </c>
      <c r="EU160" s="2230"/>
    </row>
    <row r="161" spans="1:151">
      <c r="A161" s="2220"/>
      <c r="B161" s="2281" t="s">
        <v>1781</v>
      </c>
      <c r="C161" s="2236">
        <f>SUM(C27,C38,C80,C88,C106,C113,C123,C128,C131,C159)</f>
        <v>88468.09</v>
      </c>
      <c r="D161" s="2135"/>
      <c r="E161" s="2135"/>
      <c r="F161" s="2135"/>
      <c r="G161" s="2107">
        <f>SUM(G27,G38,G80,G88,G106,G113,G123,G128,G131,G159)</f>
        <v>32056.176799999997</v>
      </c>
      <c r="H161" s="2236"/>
      <c r="I161" s="2278"/>
      <c r="J161" s="2107">
        <f>SUM(J27,J38,J80,J88,J106,J113,J123,J128,J131,J159)</f>
        <v>109721.37143942123</v>
      </c>
      <c r="K161" s="2135"/>
      <c r="L161" s="2135"/>
      <c r="M161" s="2107">
        <f>SUM(M27,M38,M80,M88,M106,M113,M123,M128,M131,M159)</f>
        <v>108367.61089914298</v>
      </c>
      <c r="N161" s="2107">
        <f>SUM(N27,N38,N80,N88,N106,N113,N123,N128,N131,N159)</f>
        <v>6014.9030244125333</v>
      </c>
      <c r="O161" s="2236"/>
      <c r="P161" s="2107">
        <f>SUM(P27,P38,P80,P88,P106,P113,P123,P128,P131,P159)</f>
        <v>2066.8839096993029</v>
      </c>
      <c r="Q161" s="2109">
        <v>0</v>
      </c>
      <c r="R161" s="2107">
        <f>SUM(R27,R38,R80,R88,R106,R113,R123,R128,R131,R159)</f>
        <v>1195.5892099236894</v>
      </c>
      <c r="S161" s="2135"/>
      <c r="T161" s="2135"/>
      <c r="U161" s="2135"/>
      <c r="V161" s="2135"/>
      <c r="W161" s="2236">
        <f>SUM(W27,W38,W80,W88,W106,W113,W123,W128,W131,W159)</f>
        <v>3262.4731196229918</v>
      </c>
      <c r="X161" s="2236">
        <f>SUM(X27,X38,X80,X88,X106,X113,X123,X128,X131,X159)</f>
        <v>12461.478878806018</v>
      </c>
      <c r="Y161" s="2236"/>
      <c r="Z161" s="2236">
        <f>SUM(Z27,Z38,Z80,Z88,Z106,Z113,Z123,Z128,Z131,Z159)</f>
        <v>2066.8839096993029</v>
      </c>
      <c r="AA161" s="2109">
        <v>0</v>
      </c>
      <c r="AB161" s="2236">
        <f>SUM(AB27,AB38,AB80,AB88,AB106,AB113,AB123,AB128,AB131,AB159)</f>
        <v>3084.5659729222998</v>
      </c>
      <c r="AC161" s="2135"/>
      <c r="AD161" s="2135"/>
      <c r="AE161" s="2135"/>
      <c r="AF161" s="2135">
        <f>IFERROR(AG161/X161*10,0)</f>
        <v>4.1338993009754095</v>
      </c>
      <c r="AG161" s="2236">
        <f>SUM(AG27,AG38,AG80,AG88,AG106,AG113,AG123,AG128,AG131,AG159)</f>
        <v>5151.4498826216022</v>
      </c>
      <c r="AH161" s="2236">
        <f>SUM(AH27,AH38,AH80,AH88,AH106,AH113,AH123,AH128,AH131,AH159)</f>
        <v>12754.001481216859</v>
      </c>
      <c r="AI161" s="2236"/>
      <c r="AJ161" s="2236">
        <f>SUM(AJ27,AJ38,AJ80,AJ88,AJ106,AJ113,AJ123,AJ128,AJ131,AJ159)</f>
        <v>2066.8839096993029</v>
      </c>
      <c r="AK161" s="2109">
        <v>0</v>
      </c>
      <c r="AL161" s="2236">
        <f>SUM(AL27,AL38,AL80,AL88,AL106,AL113,AL123,AL128,AL131,AL159)</f>
        <v>3170.9921306162132</v>
      </c>
      <c r="AM161" s="2135"/>
      <c r="AN161" s="2135"/>
      <c r="AO161" s="2238"/>
      <c r="AP161" s="2135"/>
      <c r="AQ161" s="2236">
        <f>SUM(AQ27,AQ38,AQ80,AQ88,AQ106,AQ113,AQ123,AQ128,AQ131,AQ159)</f>
        <v>5237.8760403155156</v>
      </c>
      <c r="AR161" s="2236">
        <f>SUM(AR27,AR38,AR80,AR88,AR106,AR113,AR123,AR128,AR131,AR159)</f>
        <v>13869.587524242466</v>
      </c>
      <c r="AS161" s="2236"/>
      <c r="AT161" s="2236">
        <f>SUM(AT27,AT38,AT80,AT88,AT106,AT113,AT123,AT128,AT131,AT159)</f>
        <v>2066.8839096993029</v>
      </c>
      <c r="AU161" s="2109">
        <v>0</v>
      </c>
      <c r="AV161" s="2236">
        <f>SUM(AV27,AV38,AV80,AV88,AV106,AV113,AV123,AV128,AV131,AV159)</f>
        <v>3463.5172791701543</v>
      </c>
      <c r="AW161" s="2236">
        <f>SUM(AW27,AW38,AW80,AW88,AW106,AW113,AW123,AW128,AW131,AW159)</f>
        <v>0</v>
      </c>
      <c r="AX161" s="2236">
        <f>SUM(AX27,AX38,AX80,AX88,AX106,AX113,AX123,AX128,AX131,AX159)</f>
        <v>0</v>
      </c>
      <c r="AY161" s="2236">
        <f>SUM(AY27,AY38,AY80,AY88,AY106,AY113,AY123,AY128,AY131,AY159)</f>
        <v>0</v>
      </c>
      <c r="AZ161" s="2236"/>
      <c r="BA161" s="2236">
        <f>SUM(BA27,BA38,BA80,BA88,BA106,BA113,BA123,BA128,BA131,BA159)</f>
        <v>5530.4011888694567</v>
      </c>
      <c r="BB161" s="2236">
        <f>SUM(BB27,BB38,BB80,BB88,BB106,BB113,BB123,BB128,BB131,BB159)</f>
        <v>14479.958707039019</v>
      </c>
      <c r="BC161" s="2236"/>
      <c r="BD161" s="2236">
        <f>SUM(BD27,BD38,BD80,BD88,BD106,BD113,BD123,BD128,BD131,BD159)</f>
        <v>2290.0194140118028</v>
      </c>
      <c r="BE161" s="2109">
        <v>0</v>
      </c>
      <c r="BF161" s="2236">
        <f>SUM(BF27,BF38,BF80,BF88,BF106,BF113,BF123,BF128,BF131,BF159)</f>
        <v>3564.6909795058018</v>
      </c>
      <c r="BG161" s="2236">
        <f>SUM(BG27,BG38,BG80,BG88,BG106,BG113,BG123,BG128,BG131,BG159)</f>
        <v>0</v>
      </c>
      <c r="BH161" s="2236">
        <f>SUM(BH27,BH38,BH80,BH88,BH106,BH113,BH123,BH128,BH131,BH159)</f>
        <v>0</v>
      </c>
      <c r="BI161" s="2236">
        <f>SUM(BI27,BI38,BI80,BI88,BI106,BI113,BI123,BI128,BI131,BI159)</f>
        <v>0</v>
      </c>
      <c r="BJ161" s="2236"/>
      <c r="BK161" s="2236">
        <f>SUM(BK27,BK38,BK80,BK88,BK106,BK113,BK123,BK128,BK131,BK159)</f>
        <v>5854.7103935176037</v>
      </c>
      <c r="BL161" s="2236">
        <f>SUM(BL27,BL38,BL80,BL88,BL106,BL113,BL123,BL128,BL131,BL159)</f>
        <v>14041.140823352085</v>
      </c>
      <c r="BM161" s="2236"/>
      <c r="BN161" s="2236">
        <f>SUM(BN27,BN38,BN80,BN88,BN106,BN113,BN123,BN128,BN131,BN159)</f>
        <v>2290.0194140118028</v>
      </c>
      <c r="BO161" s="2109">
        <v>0</v>
      </c>
      <c r="BP161" s="2236">
        <f>SUM(BP27,BP38,BP80,BP88,BP106,BP113,BP123,BP128,BP131,BP159)</f>
        <v>3499.1407335066651</v>
      </c>
      <c r="BQ161" s="2236">
        <f>SUM(BQ27,BQ38,BQ80,BQ88,BQ106,BQ113,BQ123,BQ128,BQ131,BQ159)</f>
        <v>0</v>
      </c>
      <c r="BR161" s="2236">
        <f>SUM(BR27,BR38,BR80,BR88,BR106,BR113,BR123,BR128,BR131,BR159)</f>
        <v>0</v>
      </c>
      <c r="BS161" s="2236">
        <f>SUM(BS27,BS38,BS80,BS88,BS106,BS113,BS123,BS128,BS131,BS159)</f>
        <v>0</v>
      </c>
      <c r="BT161" s="2236"/>
      <c r="BU161" s="2236">
        <f>SUM(BU27,BU38,BU80,BU88,BU106,BU113,BU123,BU128,BU131,BU159)</f>
        <v>5789.1601475184671</v>
      </c>
      <c r="BV161" s="2236">
        <f>SUM(BV27,BV38,BV80,BV88,BV106,BV113,BV123,BV128,BV131,BV159)</f>
        <v>6499.3994052905182</v>
      </c>
      <c r="BW161" s="2236"/>
      <c r="BX161" s="2236">
        <f>SUM(BX27,BX38,BX80,BX88,BX106,BX113,BX123,BX128,BX131,BX159)</f>
        <v>2290.0194140118028</v>
      </c>
      <c r="BY161" s="2109">
        <v>0</v>
      </c>
      <c r="BZ161" s="2236">
        <f>SUM(BZ27,BZ38,BZ80,BZ88,BZ106,BZ113,BZ123,BZ128,BZ131,BZ159)</f>
        <v>1277.7984153509919</v>
      </c>
      <c r="CA161" s="2236">
        <f>SUM(CA27,CA38,CA80,CA88,CA106,CA113,CA123,CA128,CA131,CA159)</f>
        <v>0</v>
      </c>
      <c r="CB161" s="2236">
        <f>SUM(CB27,CB38,CB80,CB88,CB106,CB113,CB123,CB128,CB131,CB159)</f>
        <v>0</v>
      </c>
      <c r="CC161" s="2236">
        <f>SUM(CC27,CC38,CC80,CC88,CC106,CC113,CC123,CC128,CC131,CC159)</f>
        <v>0</v>
      </c>
      <c r="CD161" s="2236"/>
      <c r="CE161" s="2236">
        <f>SUM(CE27,CE38,CE80,CE88,CE106,CE113,CE123,CE128,CE131,CE159)</f>
        <v>3567.8178293627948</v>
      </c>
      <c r="CF161" s="2236">
        <f>SUM(CF27,CF38,CF80,CF88,CF106,CF113,CF123,CF128,CF131,CF159)</f>
        <v>5223.0527839771712</v>
      </c>
      <c r="CG161" s="2236"/>
      <c r="CH161" s="2236">
        <f>SUM(CH27,CH38,CH80,CH88,CH106,CH113,CH123,CH128,CH131,CH159)</f>
        <v>2290.0194140118028</v>
      </c>
      <c r="CI161" s="2109">
        <v>0</v>
      </c>
      <c r="CJ161" s="2236">
        <f>SUM(CJ27,CJ38,CJ80,CJ88,CJ106,CJ113,CJ123,CJ128,CJ131,CJ159)</f>
        <v>982.18530751029073</v>
      </c>
      <c r="CK161" s="2236">
        <f>SUM(CK27,CK38,CK80,CK88,CK106,CK113,CK123,CK128,CK131,CK159)</f>
        <v>0</v>
      </c>
      <c r="CL161" s="2236">
        <f>SUM(CL27,CL38,CL80,CL88,CL106,CL113,CL123,CL128,CL131,CL159)</f>
        <v>0</v>
      </c>
      <c r="CM161" s="2236">
        <f>SUM(CM27,CM38,CM80,CM88,CM106,CM113,CM123,CM128,CM131,CM159)</f>
        <v>0</v>
      </c>
      <c r="CN161" s="2236"/>
      <c r="CO161" s="2236">
        <f>SUM(CO27,CO38,CO80,CO88,CO106,CO113,CO123,CO128,CO131,CO159)</f>
        <v>3272.2047215220937</v>
      </c>
      <c r="CP161" s="2236">
        <f>SUM(CP27,CP38,CP80,CP88,CP106,CP113,CP123,CP128,CP131,CP159)</f>
        <v>6022.290568169341</v>
      </c>
      <c r="CQ161" s="2236"/>
      <c r="CR161" s="2236">
        <f>SUM(CR27,CR38,CR80,CR88,CR106,CR113,CR123,CR128,CR131,CR159)</f>
        <v>2290.0194140118028</v>
      </c>
      <c r="CS161" s="2109">
        <v>0</v>
      </c>
      <c r="CT161" s="2236">
        <f>SUM(CT27,CT38,CT80,CT88,CT106,CT113,CT123,CT128,CT131,CT159)</f>
        <v>1167.4240554525568</v>
      </c>
      <c r="CU161" s="2236"/>
      <c r="CV161" s="2236"/>
      <c r="CW161" s="2236">
        <f>SUM(CW27,CW38,CW80,CW88,CW106,CW113,CW123,CW128,CW131,CW159)</f>
        <v>0</v>
      </c>
      <c r="CX161" s="2236"/>
      <c r="CY161" s="2236">
        <f>SUM(CY27,CY38,CY80,CY88,CY106,CY113,CY123,CY128,CY131,CY159)</f>
        <v>3457.4434694643596</v>
      </c>
      <c r="CZ161" s="2236">
        <f>SUM(CZ27,CZ38,CZ80,CZ88,CZ106,CZ113,CZ123,CZ128,CZ131,CZ159)</f>
        <v>6023.6208293727632</v>
      </c>
      <c r="DA161" s="2236"/>
      <c r="DB161" s="2236">
        <f>SUM(DB27,DB38,DB80,DB88,DB106,DB113,DB123,DB128,DB131,DB159)</f>
        <v>2290.0194140118028</v>
      </c>
      <c r="DC161" s="2109">
        <v>0</v>
      </c>
      <c r="DD161" s="2236">
        <f>SUM(DD27,DD38,DD80,DD88,DD106,DD113,DD123,DD128,DD131,DD159)</f>
        <v>1164.4326250441595</v>
      </c>
      <c r="DE161" s="2236">
        <f>SUM(DE27,DE38,DE80,DE88,DE106,DE113,DE123,DE128,DE131,DE159)</f>
        <v>0</v>
      </c>
      <c r="DF161" s="2236">
        <f>SUM(DF27,DF38,DF80,DF88,DF106,DF113,DF123,DF128,DF131,DF159)</f>
        <v>0</v>
      </c>
      <c r="DG161" s="2236">
        <f>SUM(DG27,DG38,DG80,DG88,DG106,DG113,DG123,DG128,DG131,DG159)</f>
        <v>0</v>
      </c>
      <c r="DH161" s="2236"/>
      <c r="DI161" s="2236">
        <f>SUM(DI27,DI38,DI80,DI88,DI106,DI113,DI123,DI128,DI131,DI159)</f>
        <v>3454.4520390559628</v>
      </c>
      <c r="DJ161" s="2236">
        <f>SUM(DJ27,DJ38,DJ80,DJ88,DJ106,DJ113,DJ123,DJ128,DJ131,DJ159)</f>
        <v>6125.8489166836971</v>
      </c>
      <c r="DK161" s="2236"/>
      <c r="DL161" s="2236">
        <f>SUM(DL27,DL38,DL80,DL88,DL106,DL113,DL123,DL128,DL131,DL159)</f>
        <v>2290.0194140118028</v>
      </c>
      <c r="DM161" s="2109">
        <v>0</v>
      </c>
      <c r="DN161" s="2236">
        <f>SUM(DN27,DN38,DN80,DN88,DN106,DN113,DN123,DN128,DN131,DN159)</f>
        <v>1208.7844945492761</v>
      </c>
      <c r="DO161" s="2236">
        <f>SUM(DO27,DO38,DO80,DO88,DO106,DO113,DO123,DO128,DO131,DO159)</f>
        <v>0</v>
      </c>
      <c r="DP161" s="2236">
        <f>SUM(DP27,DP38,DP80,DP88,DP106,DP113,DP123,DP128,DP131,DP159)</f>
        <v>0</v>
      </c>
      <c r="DQ161" s="2236">
        <f>SUM(DQ27,DQ38,DQ80,DQ88,DQ106,DQ113,DQ123,DQ128,DQ131,DQ159)</f>
        <v>0</v>
      </c>
      <c r="DR161" s="2236"/>
      <c r="DS161" s="2236">
        <f>SUM(DS27,DS38,DS80,DS88,DS106,DS113,DS123,DS128,DS131,DS159)</f>
        <v>3498.803908561079</v>
      </c>
      <c r="DT161" s="2236">
        <f>SUM(DT27,DT38,DT80,DT88,DT106,DT113,DT123,DT128,DT131,DT159)</f>
        <v>6287.5934345200594</v>
      </c>
      <c r="DU161" s="2236"/>
      <c r="DV161" s="2236">
        <f>SUM(DV27,DV38,DV80,DV88,DV106,DV113,DV123,DV128,DV131,DV159)</f>
        <v>2388.3655190118034</v>
      </c>
      <c r="DW161" s="2109">
        <v>0</v>
      </c>
      <c r="DX161" s="2236">
        <f>SUM(DX27,DX38,DX80,DX88,DX106,DX113,DX123,DX128,DX131,DX159)</f>
        <v>1204.4839085117974</v>
      </c>
      <c r="DY161" s="2236">
        <f>SUM(DY27,DY38,DY80,DY88,DY106,DY113,DY123,DY128,DY131,DY159)</f>
        <v>0</v>
      </c>
      <c r="DZ161" s="2236">
        <f>SUM(DZ27,DZ38,DZ80,DZ88,DZ106,DZ113,DZ123,DZ128,DZ131,DZ159)</f>
        <v>0</v>
      </c>
      <c r="EA161" s="2236">
        <f>SUM(EA27,EA38,EA80,EA88,EA106,EA113,EA123,EA128,EA131,EA159)</f>
        <v>0</v>
      </c>
      <c r="EB161" s="2236"/>
      <c r="EC161" s="2236">
        <f>SUM(EC27,EC38,EC80,EC88,EC106,EC113,EC123,EC128,EC131,EC159)</f>
        <v>3592.8494275236008</v>
      </c>
      <c r="ED161" s="2236">
        <f>SUM(ED27,ED38,ED80,ED88,ED106,ED113,ED123,ED128,ED131,ED159)</f>
        <v>0</v>
      </c>
      <c r="EE161" s="2107">
        <f>SUM(EE27,EE38,EE80,EE88,EE106,EE113,EE123,EE128,EE131,EE159)</f>
        <v>109802.87637708255</v>
      </c>
      <c r="EF161" s="2106">
        <f t="shared" si="327"/>
        <v>2.430358651466201</v>
      </c>
      <c r="EG161" s="2107">
        <f>SUM(EG27,EG38,EG80,EG88,EG106,EG113,EG123,EG128,EG131,EG159)</f>
        <v>26686.037055891633</v>
      </c>
      <c r="EH161" s="2106">
        <f t="shared" si="329"/>
        <v>2.2753142664738371</v>
      </c>
      <c r="EI161" s="2107">
        <f>SUM(EI27,EI38,EI80,EI88,EI106,EI113,EI123,EI128,EI131,EI159)</f>
        <v>24983.605112063899</v>
      </c>
      <c r="EJ161" s="2107"/>
      <c r="EK161" s="2107"/>
      <c r="EL161" s="2107"/>
      <c r="EM161" s="2106">
        <f t="shared" si="331"/>
        <v>4.7056729179400385</v>
      </c>
      <c r="EN161" s="2107">
        <f>EG161+EI161</f>
        <v>51669.642167955535</v>
      </c>
      <c r="EO161" s="2106">
        <f>EN161/J161*10</f>
        <v>4.7091684591714298</v>
      </c>
      <c r="EP161" s="2114">
        <f>EN161/M161*10</f>
        <v>4.7679967971282613</v>
      </c>
      <c r="EQ161" s="2224"/>
      <c r="ER161" s="2277"/>
      <c r="EU161" s="2230"/>
    </row>
    <row r="162" spans="1:151">
      <c r="A162" s="2220"/>
      <c r="B162" s="2227"/>
      <c r="C162" s="2227"/>
      <c r="D162" s="2227"/>
      <c r="E162" s="2227"/>
      <c r="F162" s="2227"/>
      <c r="G162" s="1774"/>
      <c r="H162" s="2135"/>
      <c r="I162" s="2280"/>
      <c r="J162" s="2135"/>
      <c r="K162" s="2227"/>
      <c r="L162" s="2227"/>
      <c r="M162" s="2106"/>
      <c r="N162" s="2149">
        <v>0</v>
      </c>
      <c r="O162" s="2135"/>
      <c r="P162" s="2109">
        <v>0</v>
      </c>
      <c r="Q162" s="2109">
        <v>0</v>
      </c>
      <c r="R162" s="2109">
        <f t="shared" si="279"/>
        <v>0</v>
      </c>
      <c r="S162" s="2135"/>
      <c r="T162" s="2135"/>
      <c r="U162" s="2135"/>
      <c r="V162" s="2135"/>
      <c r="W162" s="2135"/>
      <c r="X162" s="2149">
        <v>0</v>
      </c>
      <c r="Y162" s="2135"/>
      <c r="Z162" s="2109">
        <v>0</v>
      </c>
      <c r="AA162" s="2109">
        <v>0</v>
      </c>
      <c r="AB162" s="2109">
        <f t="shared" si="283"/>
        <v>0</v>
      </c>
      <c r="AC162" s="2135"/>
      <c r="AD162" s="2135"/>
      <c r="AE162" s="2135"/>
      <c r="AF162" s="2135"/>
      <c r="AG162" s="2135"/>
      <c r="AH162" s="2149">
        <v>0</v>
      </c>
      <c r="AI162" s="2135"/>
      <c r="AJ162" s="2109">
        <v>0</v>
      </c>
      <c r="AK162" s="2109">
        <v>0</v>
      </c>
      <c r="AL162" s="2109">
        <f t="shared" si="287"/>
        <v>0</v>
      </c>
      <c r="AM162" s="2135"/>
      <c r="AN162" s="2135"/>
      <c r="AO162" s="2238"/>
      <c r="AP162" s="2135"/>
      <c r="AQ162" s="2135"/>
      <c r="AR162" s="2149">
        <v>0</v>
      </c>
      <c r="AS162" s="2135"/>
      <c r="AT162" s="2109">
        <v>0</v>
      </c>
      <c r="AU162" s="2109">
        <v>0</v>
      </c>
      <c r="AV162" s="2109">
        <f t="shared" si="291"/>
        <v>0</v>
      </c>
      <c r="AW162" s="2135"/>
      <c r="AX162" s="2135"/>
      <c r="AY162" s="2238"/>
      <c r="AZ162" s="2135"/>
      <c r="BA162" s="2135"/>
      <c r="BB162" s="2149"/>
      <c r="BC162" s="2135"/>
      <c r="BD162" s="2109">
        <v>0</v>
      </c>
      <c r="BE162" s="2109">
        <v>0</v>
      </c>
      <c r="BF162" s="2109">
        <f t="shared" si="295"/>
        <v>0</v>
      </c>
      <c r="BG162" s="2135"/>
      <c r="BH162" s="2135"/>
      <c r="BI162" s="2238"/>
      <c r="BJ162" s="2135"/>
      <c r="BK162" s="2135"/>
      <c r="BL162" s="2149">
        <v>0</v>
      </c>
      <c r="BM162" s="2135"/>
      <c r="BN162" s="2109">
        <v>0</v>
      </c>
      <c r="BO162" s="2109">
        <v>0</v>
      </c>
      <c r="BP162" s="2109">
        <f t="shared" si="299"/>
        <v>0</v>
      </c>
      <c r="BQ162" s="2135"/>
      <c r="BR162" s="2135"/>
      <c r="BS162" s="2135"/>
      <c r="BT162" s="2135"/>
      <c r="BU162" s="2135"/>
      <c r="BV162" s="2149">
        <v>0</v>
      </c>
      <c r="BW162" s="2135"/>
      <c r="BX162" s="2109">
        <v>0</v>
      </c>
      <c r="BY162" s="2109">
        <v>0</v>
      </c>
      <c r="BZ162" s="2109">
        <f t="shared" si="303"/>
        <v>0</v>
      </c>
      <c r="CA162" s="2135"/>
      <c r="CB162" s="2135"/>
      <c r="CC162" s="2135"/>
      <c r="CD162" s="2135"/>
      <c r="CE162" s="2135"/>
      <c r="CF162" s="2149">
        <v>0</v>
      </c>
      <c r="CG162" s="2135"/>
      <c r="CH162" s="2109">
        <v>0</v>
      </c>
      <c r="CI162" s="2109">
        <v>0</v>
      </c>
      <c r="CJ162" s="2109">
        <f t="shared" si="307"/>
        <v>0</v>
      </c>
      <c r="CK162" s="2135"/>
      <c r="CL162" s="2135"/>
      <c r="CM162" s="2238"/>
      <c r="CN162" s="2135"/>
      <c r="CO162" s="2135"/>
      <c r="CP162" s="2149">
        <v>0</v>
      </c>
      <c r="CQ162" s="2135"/>
      <c r="CR162" s="2109">
        <v>0</v>
      </c>
      <c r="CS162" s="2109">
        <v>0</v>
      </c>
      <c r="CT162" s="2109">
        <f t="shared" si="311"/>
        <v>0</v>
      </c>
      <c r="CU162" s="2135"/>
      <c r="CV162" s="2135"/>
      <c r="CW162" s="2238"/>
      <c r="CX162" s="2135"/>
      <c r="CY162" s="2135"/>
      <c r="CZ162" s="2149">
        <v>0</v>
      </c>
      <c r="DA162" s="2135"/>
      <c r="DB162" s="2109">
        <v>0</v>
      </c>
      <c r="DC162" s="2109">
        <v>0</v>
      </c>
      <c r="DD162" s="2109">
        <f t="shared" si="315"/>
        <v>0</v>
      </c>
      <c r="DE162" s="2135"/>
      <c r="DF162" s="2135"/>
      <c r="DG162" s="2238"/>
      <c r="DH162" s="2135"/>
      <c r="DI162" s="2135"/>
      <c r="DJ162" s="2149">
        <v>0</v>
      </c>
      <c r="DK162" s="2135"/>
      <c r="DL162" s="2109">
        <v>0</v>
      </c>
      <c r="DM162" s="2109">
        <v>0</v>
      </c>
      <c r="DN162" s="2109">
        <f t="shared" si="319"/>
        <v>0</v>
      </c>
      <c r="DO162" s="2135"/>
      <c r="DP162" s="2135"/>
      <c r="DQ162" s="2238"/>
      <c r="DR162" s="2135"/>
      <c r="DS162" s="2135"/>
      <c r="DT162" s="2149">
        <v>0</v>
      </c>
      <c r="DU162" s="2135"/>
      <c r="DV162" s="2109">
        <v>0</v>
      </c>
      <c r="DW162" s="2109">
        <v>0</v>
      </c>
      <c r="DX162" s="2109">
        <f t="shared" si="323"/>
        <v>0</v>
      </c>
      <c r="DY162" s="2135"/>
      <c r="DZ162" s="2135"/>
      <c r="EA162" s="2135"/>
      <c r="EB162" s="2135"/>
      <c r="EC162" s="2135"/>
      <c r="ED162" s="2135"/>
      <c r="EE162" s="2107"/>
      <c r="EF162" s="2106"/>
      <c r="EG162" s="2106"/>
      <c r="EH162" s="2106"/>
      <c r="EI162" s="2106"/>
      <c r="EJ162" s="2106"/>
      <c r="EK162" s="2106"/>
      <c r="EL162" s="2106"/>
      <c r="EM162" s="2106"/>
      <c r="EN162" s="2106"/>
      <c r="EO162" s="1915"/>
      <c r="EP162" s="2223"/>
      <c r="EQ162" s="2224"/>
      <c r="ER162" s="2277"/>
      <c r="EU162" s="2230"/>
    </row>
    <row r="163" spans="1:151">
      <c r="A163" s="2220" t="s">
        <v>58</v>
      </c>
      <c r="B163" s="2227" t="s">
        <v>1782</v>
      </c>
      <c r="C163" s="2227"/>
      <c r="D163" s="2227"/>
      <c r="E163" s="2227"/>
      <c r="F163" s="2227"/>
      <c r="G163" s="1774"/>
      <c r="H163" s="2135"/>
      <c r="I163" s="2280"/>
      <c r="J163" s="2248"/>
      <c r="K163" s="2227"/>
      <c r="L163" s="2227"/>
      <c r="M163" s="2106"/>
      <c r="N163" s="2149">
        <v>0</v>
      </c>
      <c r="O163" s="2135"/>
      <c r="P163" s="2109">
        <v>0</v>
      </c>
      <c r="Q163" s="2109">
        <v>0</v>
      </c>
      <c r="R163" s="2109">
        <f t="shared" si="279"/>
        <v>0</v>
      </c>
      <c r="S163" s="2135"/>
      <c r="T163" s="2135"/>
      <c r="U163" s="2135"/>
      <c r="V163" s="2135"/>
      <c r="W163" s="2135"/>
      <c r="X163" s="2149">
        <v>0</v>
      </c>
      <c r="Y163" s="2135"/>
      <c r="Z163" s="2109">
        <v>0</v>
      </c>
      <c r="AA163" s="2109">
        <v>0</v>
      </c>
      <c r="AB163" s="2109">
        <f t="shared" si="283"/>
        <v>0</v>
      </c>
      <c r="AC163" s="2135"/>
      <c r="AD163" s="2135"/>
      <c r="AE163" s="2135"/>
      <c r="AF163" s="2135"/>
      <c r="AG163" s="2135"/>
      <c r="AH163" s="2149">
        <v>0</v>
      </c>
      <c r="AI163" s="2135"/>
      <c r="AJ163" s="2109">
        <v>0</v>
      </c>
      <c r="AK163" s="2109">
        <v>0</v>
      </c>
      <c r="AL163" s="2109">
        <f t="shared" si="287"/>
        <v>0</v>
      </c>
      <c r="AM163" s="2135"/>
      <c r="AN163" s="2135"/>
      <c r="AO163" s="2135"/>
      <c r="AP163" s="2135"/>
      <c r="AQ163" s="2135"/>
      <c r="AR163" s="2149">
        <v>0</v>
      </c>
      <c r="AS163" s="2135"/>
      <c r="AT163" s="2109">
        <v>0</v>
      </c>
      <c r="AU163" s="2109">
        <v>0</v>
      </c>
      <c r="AV163" s="2109">
        <f t="shared" si="291"/>
        <v>0</v>
      </c>
      <c r="AW163" s="2135"/>
      <c r="AX163" s="2135"/>
      <c r="AY163" s="2238"/>
      <c r="AZ163" s="2135"/>
      <c r="BA163" s="2135"/>
      <c r="BB163" s="2149">
        <v>0</v>
      </c>
      <c r="BC163" s="2135"/>
      <c r="BD163" s="2109">
        <v>0</v>
      </c>
      <c r="BE163" s="2109">
        <v>0</v>
      </c>
      <c r="BF163" s="2109">
        <f t="shared" si="295"/>
        <v>0</v>
      </c>
      <c r="BG163" s="2135"/>
      <c r="BH163" s="2135"/>
      <c r="BI163" s="2238"/>
      <c r="BJ163" s="2135"/>
      <c r="BK163" s="2135"/>
      <c r="BL163" s="2149">
        <v>0</v>
      </c>
      <c r="BM163" s="2135"/>
      <c r="BN163" s="2109">
        <v>0</v>
      </c>
      <c r="BO163" s="2109">
        <v>0</v>
      </c>
      <c r="BP163" s="2109">
        <f t="shared" si="299"/>
        <v>0</v>
      </c>
      <c r="BQ163" s="2135"/>
      <c r="BR163" s="2135"/>
      <c r="BS163" s="2135"/>
      <c r="BT163" s="2135"/>
      <c r="BU163" s="2135"/>
      <c r="BV163" s="2149">
        <v>0</v>
      </c>
      <c r="BW163" s="2135"/>
      <c r="BX163" s="2109">
        <v>0</v>
      </c>
      <c r="BY163" s="2109">
        <v>0</v>
      </c>
      <c r="BZ163" s="2109">
        <f t="shared" si="303"/>
        <v>0</v>
      </c>
      <c r="CA163" s="2135"/>
      <c r="CB163" s="2135"/>
      <c r="CC163" s="2135"/>
      <c r="CD163" s="2135"/>
      <c r="CE163" s="2135"/>
      <c r="CF163" s="2149">
        <v>0</v>
      </c>
      <c r="CG163" s="2135"/>
      <c r="CH163" s="2109">
        <v>0</v>
      </c>
      <c r="CI163" s="2109">
        <v>0</v>
      </c>
      <c r="CJ163" s="2109">
        <f t="shared" si="307"/>
        <v>0</v>
      </c>
      <c r="CK163" s="2135"/>
      <c r="CL163" s="2135"/>
      <c r="CM163" s="2238"/>
      <c r="CN163" s="2135"/>
      <c r="CO163" s="2135"/>
      <c r="CP163" s="2149">
        <v>0</v>
      </c>
      <c r="CQ163" s="2135"/>
      <c r="CR163" s="2109">
        <v>0</v>
      </c>
      <c r="CS163" s="2109">
        <v>0</v>
      </c>
      <c r="CT163" s="2109">
        <f t="shared" si="311"/>
        <v>0</v>
      </c>
      <c r="CU163" s="2135"/>
      <c r="CV163" s="2135"/>
      <c r="CW163" s="2238"/>
      <c r="CX163" s="2135"/>
      <c r="CY163" s="2135"/>
      <c r="CZ163" s="2149">
        <v>0</v>
      </c>
      <c r="DA163" s="2135"/>
      <c r="DB163" s="2109">
        <v>0</v>
      </c>
      <c r="DC163" s="2109">
        <v>0</v>
      </c>
      <c r="DD163" s="2109">
        <f t="shared" si="315"/>
        <v>0</v>
      </c>
      <c r="DE163" s="2135"/>
      <c r="DF163" s="2135"/>
      <c r="DG163" s="2238"/>
      <c r="DH163" s="2135"/>
      <c r="DI163" s="2135"/>
      <c r="DJ163" s="2149">
        <v>0</v>
      </c>
      <c r="DK163" s="2135"/>
      <c r="DL163" s="2109">
        <v>0</v>
      </c>
      <c r="DM163" s="2109">
        <v>0</v>
      </c>
      <c r="DN163" s="2109">
        <f t="shared" si="319"/>
        <v>0</v>
      </c>
      <c r="DO163" s="2135"/>
      <c r="DP163" s="2135"/>
      <c r="DQ163" s="2238"/>
      <c r="DR163" s="2135"/>
      <c r="DS163" s="2135"/>
      <c r="DT163" s="2149">
        <v>0</v>
      </c>
      <c r="DU163" s="2135"/>
      <c r="DV163" s="2109">
        <v>0</v>
      </c>
      <c r="DW163" s="2109">
        <v>0</v>
      </c>
      <c r="DX163" s="2109">
        <f t="shared" si="323"/>
        <v>0</v>
      </c>
      <c r="DY163" s="2135"/>
      <c r="DZ163" s="2135"/>
      <c r="EA163" s="2135"/>
      <c r="EB163" s="2135"/>
      <c r="EC163" s="2135"/>
      <c r="ED163" s="2135"/>
      <c r="EE163" s="2107"/>
      <c r="EF163" s="2106"/>
      <c r="EG163" s="2106"/>
      <c r="EH163" s="2106"/>
      <c r="EI163" s="2106"/>
      <c r="EJ163" s="2106"/>
      <c r="EK163" s="2106"/>
      <c r="EL163" s="2106"/>
      <c r="EM163" s="2106"/>
      <c r="EN163" s="2106"/>
      <c r="EO163" s="1915"/>
      <c r="EP163" s="2223"/>
      <c r="EQ163" s="2224"/>
      <c r="ER163" s="2277"/>
      <c r="EU163" s="2230"/>
    </row>
    <row r="164" spans="1:151">
      <c r="A164" s="2220"/>
      <c r="B164" s="2227"/>
      <c r="C164" s="2227"/>
      <c r="D164" s="2227"/>
      <c r="E164" s="2227"/>
      <c r="F164" s="2227"/>
      <c r="G164" s="1774"/>
      <c r="H164" s="2135"/>
      <c r="I164" s="2280"/>
      <c r="J164" s="2135"/>
      <c r="K164" s="2227"/>
      <c r="L164" s="2227"/>
      <c r="M164" s="2106"/>
      <c r="N164" s="2149">
        <v>0</v>
      </c>
      <c r="O164" s="2135"/>
      <c r="P164" s="2109">
        <v>0</v>
      </c>
      <c r="Q164" s="2109">
        <v>0</v>
      </c>
      <c r="R164" s="2109">
        <f t="shared" si="279"/>
        <v>0</v>
      </c>
      <c r="S164" s="2135"/>
      <c r="T164" s="2135"/>
      <c r="U164" s="2135"/>
      <c r="V164" s="2135"/>
      <c r="W164" s="2135"/>
      <c r="X164" s="2149">
        <v>0</v>
      </c>
      <c r="Y164" s="2135"/>
      <c r="Z164" s="2109">
        <v>0</v>
      </c>
      <c r="AA164" s="2109">
        <v>0</v>
      </c>
      <c r="AB164" s="2109">
        <f t="shared" si="283"/>
        <v>0</v>
      </c>
      <c r="AC164" s="2135"/>
      <c r="AD164" s="2135"/>
      <c r="AE164" s="2135"/>
      <c r="AF164" s="2135"/>
      <c r="AG164" s="2135"/>
      <c r="AH164" s="2149">
        <v>0</v>
      </c>
      <c r="AI164" s="2135"/>
      <c r="AJ164" s="2109">
        <v>0</v>
      </c>
      <c r="AK164" s="2109">
        <v>0</v>
      </c>
      <c r="AL164" s="2109">
        <f t="shared" si="287"/>
        <v>0</v>
      </c>
      <c r="AM164" s="2135"/>
      <c r="AN164" s="2135"/>
      <c r="AO164" s="2238"/>
      <c r="AP164" s="2135"/>
      <c r="AQ164" s="2135"/>
      <c r="AR164" s="2149">
        <v>0</v>
      </c>
      <c r="AS164" s="2135"/>
      <c r="AT164" s="2109">
        <v>0</v>
      </c>
      <c r="AU164" s="2109">
        <v>0</v>
      </c>
      <c r="AV164" s="2109">
        <f t="shared" si="291"/>
        <v>0</v>
      </c>
      <c r="AW164" s="2135"/>
      <c r="AX164" s="2135"/>
      <c r="AY164" s="2238"/>
      <c r="AZ164" s="2135"/>
      <c r="BA164" s="2135"/>
      <c r="BB164" s="2149"/>
      <c r="BC164" s="2135"/>
      <c r="BD164" s="2109">
        <v>0</v>
      </c>
      <c r="BE164" s="2109">
        <v>0</v>
      </c>
      <c r="BF164" s="2109">
        <f t="shared" si="295"/>
        <v>0</v>
      </c>
      <c r="BG164" s="2135"/>
      <c r="BH164" s="2135"/>
      <c r="BI164" s="2238"/>
      <c r="BJ164" s="2135"/>
      <c r="BK164" s="2135"/>
      <c r="BL164" s="2149">
        <v>0</v>
      </c>
      <c r="BM164" s="2135"/>
      <c r="BN164" s="2109">
        <v>0</v>
      </c>
      <c r="BO164" s="2109">
        <v>0</v>
      </c>
      <c r="BP164" s="2109">
        <f t="shared" si="299"/>
        <v>0</v>
      </c>
      <c r="BQ164" s="2135"/>
      <c r="BR164" s="2135"/>
      <c r="BS164" s="2135"/>
      <c r="BT164" s="2135"/>
      <c r="BU164" s="2135"/>
      <c r="BV164" s="2149">
        <v>0</v>
      </c>
      <c r="BW164" s="2135"/>
      <c r="BX164" s="2109">
        <v>0</v>
      </c>
      <c r="BY164" s="2109">
        <v>0</v>
      </c>
      <c r="BZ164" s="2109">
        <f t="shared" si="303"/>
        <v>0</v>
      </c>
      <c r="CA164" s="2135"/>
      <c r="CB164" s="2135"/>
      <c r="CC164" s="2135"/>
      <c r="CD164" s="2135"/>
      <c r="CE164" s="2135"/>
      <c r="CF164" s="2149">
        <v>0</v>
      </c>
      <c r="CG164" s="2135"/>
      <c r="CH164" s="2109">
        <v>0</v>
      </c>
      <c r="CI164" s="2109">
        <v>0</v>
      </c>
      <c r="CJ164" s="2109">
        <f t="shared" si="307"/>
        <v>0</v>
      </c>
      <c r="CK164" s="2135"/>
      <c r="CL164" s="2135"/>
      <c r="CM164" s="2238"/>
      <c r="CN164" s="2135"/>
      <c r="CO164" s="2135"/>
      <c r="CP164" s="2149">
        <v>0</v>
      </c>
      <c r="CQ164" s="2135"/>
      <c r="CR164" s="2109">
        <v>0</v>
      </c>
      <c r="CS164" s="2109">
        <v>0</v>
      </c>
      <c r="CT164" s="2109">
        <f t="shared" si="311"/>
        <v>0</v>
      </c>
      <c r="CU164" s="2135"/>
      <c r="CV164" s="2135"/>
      <c r="CW164" s="2238"/>
      <c r="CX164" s="2135"/>
      <c r="CY164" s="2135"/>
      <c r="CZ164" s="2149">
        <v>0</v>
      </c>
      <c r="DA164" s="2135"/>
      <c r="DB164" s="2109">
        <v>0</v>
      </c>
      <c r="DC164" s="2109">
        <v>0</v>
      </c>
      <c r="DD164" s="2109">
        <f t="shared" si="315"/>
        <v>0</v>
      </c>
      <c r="DE164" s="2135"/>
      <c r="DF164" s="2135"/>
      <c r="DG164" s="2238"/>
      <c r="DH164" s="2135"/>
      <c r="DI164" s="2135"/>
      <c r="DJ164" s="2149">
        <v>0</v>
      </c>
      <c r="DK164" s="2135"/>
      <c r="DL164" s="2109">
        <v>0</v>
      </c>
      <c r="DM164" s="2109">
        <v>0</v>
      </c>
      <c r="DN164" s="2109">
        <f t="shared" si="319"/>
        <v>0</v>
      </c>
      <c r="DO164" s="2135"/>
      <c r="DP164" s="2135"/>
      <c r="DQ164" s="2238"/>
      <c r="DR164" s="2135"/>
      <c r="DS164" s="2135"/>
      <c r="DT164" s="2149">
        <v>0</v>
      </c>
      <c r="DU164" s="2135"/>
      <c r="DV164" s="2109">
        <v>0</v>
      </c>
      <c r="DW164" s="2109">
        <v>0</v>
      </c>
      <c r="DX164" s="2109">
        <f t="shared" si="323"/>
        <v>0</v>
      </c>
      <c r="DY164" s="2135"/>
      <c r="DZ164" s="2135"/>
      <c r="EA164" s="2135"/>
      <c r="EB164" s="2135"/>
      <c r="EC164" s="2135"/>
      <c r="ED164" s="2135"/>
      <c r="EE164" s="2107"/>
      <c r="EF164" s="2106"/>
      <c r="EG164" s="2106"/>
      <c r="EH164" s="2106"/>
      <c r="EI164" s="2106"/>
      <c r="EJ164" s="2106"/>
      <c r="EK164" s="2106"/>
      <c r="EL164" s="2106"/>
      <c r="EM164" s="2106"/>
      <c r="EN164" s="2106"/>
      <c r="EO164" s="1915"/>
      <c r="EP164" s="2223"/>
      <c r="EQ164" s="2224"/>
      <c r="ER164" s="2277"/>
      <c r="EU164" s="2230"/>
    </row>
    <row r="165" spans="1:151">
      <c r="A165" s="1797" t="s">
        <v>67</v>
      </c>
      <c r="B165" s="1592" t="s">
        <v>1783</v>
      </c>
      <c r="C165" s="2227"/>
      <c r="D165" s="2227"/>
      <c r="E165" s="2227"/>
      <c r="F165" s="2227"/>
      <c r="G165" s="1774"/>
      <c r="H165" s="2135"/>
      <c r="I165" s="2280"/>
      <c r="J165" s="2248">
        <v>2720</v>
      </c>
      <c r="K165" s="2227"/>
      <c r="L165" s="2227"/>
      <c r="M165" s="2106">
        <f>J165*(1-K165)*(1-L165)</f>
        <v>2720</v>
      </c>
      <c r="N165" s="2248">
        <v>0</v>
      </c>
      <c r="O165" s="2135"/>
      <c r="P165" s="2135">
        <v>0</v>
      </c>
      <c r="Q165" s="2135">
        <v>5.5</v>
      </c>
      <c r="R165" s="2135">
        <v>0</v>
      </c>
      <c r="S165" s="2135"/>
      <c r="T165" s="2135"/>
      <c r="U165" s="2135"/>
      <c r="V165" s="2135">
        <f>IFERROR(W165/N165*10,0)</f>
        <v>0</v>
      </c>
      <c r="W165" s="2135">
        <f>R165+P165</f>
        <v>0</v>
      </c>
      <c r="X165" s="2248">
        <v>688</v>
      </c>
      <c r="Y165" s="2135"/>
      <c r="Z165" s="2135">
        <v>0</v>
      </c>
      <c r="AA165" s="2135">
        <v>5.5</v>
      </c>
      <c r="AB165" s="2135">
        <v>378.4</v>
      </c>
      <c r="AC165" s="2135"/>
      <c r="AD165" s="2135"/>
      <c r="AE165" s="2135"/>
      <c r="AF165" s="2135">
        <f>IFERROR(AG165/X165*10,0)</f>
        <v>5.4999999999999991</v>
      </c>
      <c r="AG165" s="2135">
        <f>AB165+Z165</f>
        <v>378.4</v>
      </c>
      <c r="AH165" s="2248">
        <v>900</v>
      </c>
      <c r="AI165" s="2135"/>
      <c r="AJ165" s="2135">
        <v>0</v>
      </c>
      <c r="AK165" s="2135">
        <v>5.5</v>
      </c>
      <c r="AL165" s="2135">
        <v>495</v>
      </c>
      <c r="AM165" s="2135"/>
      <c r="AN165" s="2135"/>
      <c r="AO165" s="2135"/>
      <c r="AP165" s="2135">
        <f>IFERROR(AQ165/AH165*10,0)</f>
        <v>5.5</v>
      </c>
      <c r="AQ165" s="2135">
        <f>AL165+AJ165</f>
        <v>495</v>
      </c>
      <c r="AR165" s="2248">
        <v>465</v>
      </c>
      <c r="AS165" s="2135"/>
      <c r="AT165" s="2135">
        <v>0</v>
      </c>
      <c r="AU165" s="2135">
        <v>5.5</v>
      </c>
      <c r="AV165" s="2135">
        <v>255.75</v>
      </c>
      <c r="AW165" s="2135"/>
      <c r="AX165" s="2135"/>
      <c r="AY165" s="2238"/>
      <c r="AZ165" s="2135">
        <f>IFERROR(BA165/AR165*10,0)</f>
        <v>5.5</v>
      </c>
      <c r="BA165" s="2135">
        <f>AV165+AT165</f>
        <v>255.75</v>
      </c>
      <c r="BB165" s="2248">
        <v>487</v>
      </c>
      <c r="BC165" s="2135"/>
      <c r="BD165" s="2135">
        <v>0</v>
      </c>
      <c r="BE165" s="2135">
        <v>5.5</v>
      </c>
      <c r="BF165" s="2135">
        <v>267.85000000000002</v>
      </c>
      <c r="BG165" s="2135"/>
      <c r="BH165" s="2135"/>
      <c r="BI165" s="2238"/>
      <c r="BJ165" s="2135">
        <f>IFERROR(BK165/BB165*10,0)</f>
        <v>5.5</v>
      </c>
      <c r="BK165" s="2135">
        <f>BF165+BD165</f>
        <v>267.85000000000002</v>
      </c>
      <c r="BL165" s="2248">
        <v>180</v>
      </c>
      <c r="BM165" s="2135"/>
      <c r="BN165" s="2135">
        <v>0</v>
      </c>
      <c r="BO165" s="2135">
        <v>5.5</v>
      </c>
      <c r="BP165" s="2135">
        <v>99</v>
      </c>
      <c r="BQ165" s="2135"/>
      <c r="BR165" s="2135"/>
      <c r="BS165" s="2135"/>
      <c r="BT165" s="2135">
        <f>IFERROR(BU165/BL165*10,0)</f>
        <v>5.5</v>
      </c>
      <c r="BU165" s="2135">
        <f>BP165+BN165</f>
        <v>99</v>
      </c>
      <c r="BV165" s="2248">
        <v>0</v>
      </c>
      <c r="BW165" s="2135"/>
      <c r="BX165" s="2135">
        <v>0</v>
      </c>
      <c r="BY165" s="2135">
        <v>5.5</v>
      </c>
      <c r="BZ165" s="2135">
        <v>0</v>
      </c>
      <c r="CA165" s="2135"/>
      <c r="CB165" s="2135"/>
      <c r="CC165" s="2135"/>
      <c r="CD165" s="2135">
        <f>IFERROR(CE165/BV165*10,0)</f>
        <v>0</v>
      </c>
      <c r="CE165" s="2135">
        <f>BZ165+BX165</f>
        <v>0</v>
      </c>
      <c r="CF165" s="2248">
        <v>0</v>
      </c>
      <c r="CG165" s="2135"/>
      <c r="CH165" s="2135">
        <v>0</v>
      </c>
      <c r="CI165" s="2135">
        <v>5.5</v>
      </c>
      <c r="CJ165" s="2135">
        <v>0</v>
      </c>
      <c r="CK165" s="2135"/>
      <c r="CL165" s="2135"/>
      <c r="CM165" s="2238"/>
      <c r="CN165" s="2135">
        <f>IFERROR(CO165/CF165*10,0)</f>
        <v>0</v>
      </c>
      <c r="CO165" s="2135">
        <f>CJ165+CH165</f>
        <v>0</v>
      </c>
      <c r="CP165" s="2248">
        <v>0</v>
      </c>
      <c r="CQ165" s="2135"/>
      <c r="CR165" s="2135">
        <v>0</v>
      </c>
      <c r="CS165" s="2135">
        <v>5.5</v>
      </c>
      <c r="CT165" s="2135">
        <v>0</v>
      </c>
      <c r="CU165" s="2135"/>
      <c r="CV165" s="2135"/>
      <c r="CW165" s="2238"/>
      <c r="CX165" s="2135">
        <f>IFERROR(CY165/CP165*10,0)</f>
        <v>0</v>
      </c>
      <c r="CY165" s="2135">
        <f>CT165+CR165</f>
        <v>0</v>
      </c>
      <c r="CZ165" s="2248">
        <v>0</v>
      </c>
      <c r="DA165" s="2135"/>
      <c r="DB165" s="2135">
        <v>0</v>
      </c>
      <c r="DC165" s="2135">
        <v>5.5</v>
      </c>
      <c r="DD165" s="2135">
        <v>0</v>
      </c>
      <c r="DE165" s="2135"/>
      <c r="DF165" s="2135"/>
      <c r="DG165" s="2238"/>
      <c r="DH165" s="2135">
        <f>IFERROR(DI165/CZ165*10,0)</f>
        <v>0</v>
      </c>
      <c r="DI165" s="2135">
        <f>DD165+DB165</f>
        <v>0</v>
      </c>
      <c r="DJ165" s="2248">
        <v>0</v>
      </c>
      <c r="DK165" s="2135"/>
      <c r="DL165" s="2135">
        <v>0</v>
      </c>
      <c r="DM165" s="2135">
        <v>5.5</v>
      </c>
      <c r="DN165" s="2135">
        <v>0</v>
      </c>
      <c r="DO165" s="2135"/>
      <c r="DP165" s="2135"/>
      <c r="DQ165" s="2238"/>
      <c r="DR165" s="2135">
        <f>IFERROR(DS165/DJ165*10,0)</f>
        <v>0</v>
      </c>
      <c r="DS165" s="2135">
        <f>DN165+DL165</f>
        <v>0</v>
      </c>
      <c r="DT165" s="2248">
        <v>0</v>
      </c>
      <c r="DU165" s="2135"/>
      <c r="DV165" s="2135">
        <v>0</v>
      </c>
      <c r="DW165" s="2135">
        <v>5.5</v>
      </c>
      <c r="DX165" s="2135">
        <v>0</v>
      </c>
      <c r="DY165" s="2135"/>
      <c r="DZ165" s="2135"/>
      <c r="EA165" s="2135"/>
      <c r="EB165" s="2135">
        <f>IFERROR(EC165/DT165*10,0)</f>
        <v>0</v>
      </c>
      <c r="EC165" s="2135">
        <f>DX165+DV165</f>
        <v>0</v>
      </c>
      <c r="ED165" s="2135"/>
      <c r="EE165" s="2106">
        <f>SUM(N165,X165,AH165,AR165,BB165,BL165,BV165,CF165,CP165,CZ165,DJ165,DT165)</f>
        <v>2720</v>
      </c>
      <c r="EF165" s="2106">
        <f>IFERROR((EG165/EE165)*10,0)</f>
        <v>0</v>
      </c>
      <c r="EG165" s="2106">
        <f>SUM(P165,Z165,AJ165,AT165,BD165,BN165,BX165,CR165,CH165,DB165,DL165,DV165)</f>
        <v>0</v>
      </c>
      <c r="EH165" s="2106">
        <f>IFERROR((EI165/EE165)*10,0)</f>
        <v>5.5</v>
      </c>
      <c r="EI165" s="2106">
        <f>SUM(R165,AB165,AL165,AV165,BF165,BP165,BZ165,CJ165,CT165,DD165,DN165,DX165)</f>
        <v>1496</v>
      </c>
      <c r="EJ165" s="2106"/>
      <c r="EK165" s="2106"/>
      <c r="EL165" s="2106"/>
      <c r="EM165" s="2106">
        <f>IFERROR(EN165/EE165*10,0)</f>
        <v>5.5</v>
      </c>
      <c r="EN165" s="2106">
        <f>EG165+EI165+EK165+EL165</f>
        <v>1496</v>
      </c>
      <c r="EO165" s="1915"/>
      <c r="EP165" s="1915"/>
      <c r="EQ165" s="2224"/>
      <c r="ER165" s="2277"/>
      <c r="EU165" s="2230"/>
    </row>
    <row r="166" spans="1:151">
      <c r="A166" s="2220"/>
      <c r="B166" s="2227" t="s">
        <v>1857</v>
      </c>
      <c r="C166" s="2227"/>
      <c r="D166" s="2227"/>
      <c r="E166" s="2227"/>
      <c r="F166" s="2227"/>
      <c r="G166" s="1774"/>
      <c r="H166" s="2135"/>
      <c r="I166" s="2280"/>
      <c r="J166" s="2135"/>
      <c r="K166" s="2227"/>
      <c r="L166" s="2227"/>
      <c r="M166" s="2106"/>
      <c r="N166" s="2149">
        <v>0</v>
      </c>
      <c r="O166" s="2135"/>
      <c r="P166" s="2109">
        <v>0</v>
      </c>
      <c r="Q166" s="2109">
        <v>0</v>
      </c>
      <c r="R166" s="2109">
        <f t="shared" si="279"/>
        <v>0</v>
      </c>
      <c r="S166" s="2135"/>
      <c r="T166" s="2135"/>
      <c r="U166" s="2135"/>
      <c r="V166" s="2135"/>
      <c r="W166" s="2135"/>
      <c r="X166" s="2149">
        <v>0</v>
      </c>
      <c r="Y166" s="2135"/>
      <c r="Z166" s="2109">
        <v>0</v>
      </c>
      <c r="AA166" s="2109">
        <v>0</v>
      </c>
      <c r="AB166" s="2109">
        <f t="shared" si="283"/>
        <v>0</v>
      </c>
      <c r="AC166" s="2135"/>
      <c r="AD166" s="2135"/>
      <c r="AE166" s="2135"/>
      <c r="AF166" s="2135"/>
      <c r="AG166" s="2135"/>
      <c r="AH166" s="2149">
        <v>0</v>
      </c>
      <c r="AI166" s="2135"/>
      <c r="AJ166" s="2109">
        <v>0</v>
      </c>
      <c r="AK166" s="2109">
        <v>0</v>
      </c>
      <c r="AL166" s="2109">
        <f t="shared" si="287"/>
        <v>0</v>
      </c>
      <c r="AM166" s="2135"/>
      <c r="AN166" s="2135"/>
      <c r="AO166" s="2238"/>
      <c r="AP166" s="2135"/>
      <c r="AQ166" s="2135"/>
      <c r="AR166" s="2149">
        <v>0</v>
      </c>
      <c r="AS166" s="2135"/>
      <c r="AT166" s="2109">
        <v>0</v>
      </c>
      <c r="AU166" s="2109">
        <v>0</v>
      </c>
      <c r="AV166" s="2109">
        <f t="shared" si="291"/>
        <v>0</v>
      </c>
      <c r="AW166" s="2135"/>
      <c r="AX166" s="2135"/>
      <c r="AY166" s="2238"/>
      <c r="AZ166" s="2135"/>
      <c r="BA166" s="2135"/>
      <c r="BB166" s="2149">
        <v>0</v>
      </c>
      <c r="BC166" s="2135"/>
      <c r="BD166" s="2109">
        <v>0</v>
      </c>
      <c r="BE166" s="2109">
        <v>0</v>
      </c>
      <c r="BF166" s="2109">
        <f t="shared" si="295"/>
        <v>0</v>
      </c>
      <c r="BG166" s="2135"/>
      <c r="BH166" s="2135"/>
      <c r="BI166" s="2238"/>
      <c r="BJ166" s="2135"/>
      <c r="BK166" s="2135"/>
      <c r="BL166" s="2149">
        <f>BL165</f>
        <v>180</v>
      </c>
      <c r="BM166" s="2135"/>
      <c r="BN166" s="2109">
        <v>0</v>
      </c>
      <c r="BO166" s="2109">
        <v>0</v>
      </c>
      <c r="BP166" s="2109">
        <f>BP165</f>
        <v>99</v>
      </c>
      <c r="BQ166" s="2135"/>
      <c r="BR166" s="2135"/>
      <c r="BS166" s="2135"/>
      <c r="BT166" s="2135"/>
      <c r="BU166" s="2135"/>
      <c r="BV166" s="2149">
        <v>0</v>
      </c>
      <c r="BW166" s="2135"/>
      <c r="BX166" s="2109">
        <v>0</v>
      </c>
      <c r="BY166" s="2109">
        <v>0</v>
      </c>
      <c r="BZ166" s="2109">
        <f t="shared" si="303"/>
        <v>0</v>
      </c>
      <c r="CA166" s="2135"/>
      <c r="CB166" s="2135"/>
      <c r="CC166" s="2135"/>
      <c r="CD166" s="2135"/>
      <c r="CE166" s="2135"/>
      <c r="CF166" s="2149">
        <v>0</v>
      </c>
      <c r="CG166" s="2135"/>
      <c r="CH166" s="2109">
        <v>0</v>
      </c>
      <c r="CI166" s="2109">
        <v>0</v>
      </c>
      <c r="CJ166" s="2109">
        <f t="shared" si="307"/>
        <v>0</v>
      </c>
      <c r="CK166" s="2135"/>
      <c r="CL166" s="2135"/>
      <c r="CM166" s="2238"/>
      <c r="CN166" s="2135"/>
      <c r="CO166" s="2135"/>
      <c r="CP166" s="2149">
        <v>0</v>
      </c>
      <c r="CQ166" s="2135"/>
      <c r="CR166" s="2109">
        <v>0</v>
      </c>
      <c r="CS166" s="2109">
        <v>0</v>
      </c>
      <c r="CT166" s="2109">
        <f t="shared" si="311"/>
        <v>0</v>
      </c>
      <c r="CU166" s="2135"/>
      <c r="CV166" s="2135"/>
      <c r="CW166" s="2238"/>
      <c r="CX166" s="2135"/>
      <c r="CY166" s="2135"/>
      <c r="CZ166" s="2149">
        <v>0</v>
      </c>
      <c r="DA166" s="2135"/>
      <c r="DB166" s="2109">
        <v>0</v>
      </c>
      <c r="DC166" s="2109">
        <v>0</v>
      </c>
      <c r="DD166" s="2109">
        <f t="shared" si="315"/>
        <v>0</v>
      </c>
      <c r="DE166" s="2135"/>
      <c r="DF166" s="2135"/>
      <c r="DG166" s="2238"/>
      <c r="DH166" s="2135"/>
      <c r="DI166" s="2135"/>
      <c r="DJ166" s="2149">
        <v>0</v>
      </c>
      <c r="DK166" s="2135"/>
      <c r="DL166" s="2109">
        <v>0</v>
      </c>
      <c r="DM166" s="2109">
        <v>0</v>
      </c>
      <c r="DN166" s="2109">
        <f t="shared" si="319"/>
        <v>0</v>
      </c>
      <c r="DO166" s="2135"/>
      <c r="DP166" s="2135"/>
      <c r="DQ166" s="2238"/>
      <c r="DR166" s="2135"/>
      <c r="DS166" s="2135"/>
      <c r="DT166" s="2149">
        <f>DT165</f>
        <v>0</v>
      </c>
      <c r="DU166" s="2135"/>
      <c r="DV166" s="2109">
        <v>0</v>
      </c>
      <c r="DW166" s="2109">
        <v>0</v>
      </c>
      <c r="DX166" s="2109">
        <f>DX165</f>
        <v>0</v>
      </c>
      <c r="DY166" s="2135"/>
      <c r="DZ166" s="2135"/>
      <c r="EA166" s="2135"/>
      <c r="EB166" s="2135"/>
      <c r="EC166" s="2135"/>
      <c r="ED166" s="2135"/>
      <c r="EE166" s="2107"/>
      <c r="EF166" s="2106"/>
      <c r="EG166" s="2106"/>
      <c r="EH166" s="2106"/>
      <c r="EI166" s="2106"/>
      <c r="EJ166" s="2106"/>
      <c r="EK166" s="2106"/>
      <c r="EL166" s="2106"/>
      <c r="EM166" s="2106"/>
      <c r="EN166" s="2106"/>
      <c r="EO166" s="1915"/>
      <c r="EP166" s="2223"/>
      <c r="EQ166" s="2224"/>
      <c r="ER166" s="2277"/>
      <c r="EU166" s="2230"/>
    </row>
    <row r="167" spans="1:151">
      <c r="A167" s="2220"/>
      <c r="B167" s="2227"/>
      <c r="C167" s="2227"/>
      <c r="D167" s="2227"/>
      <c r="E167" s="2227"/>
      <c r="F167" s="2227"/>
      <c r="G167" s="1774"/>
      <c r="H167" s="2135"/>
      <c r="I167" s="2280"/>
      <c r="J167" s="2135"/>
      <c r="K167" s="2227"/>
      <c r="L167" s="2227"/>
      <c r="M167" s="2106"/>
      <c r="N167" s="2149">
        <v>0</v>
      </c>
      <c r="O167" s="2135"/>
      <c r="P167" s="2109">
        <v>0</v>
      </c>
      <c r="Q167" s="2109">
        <v>0</v>
      </c>
      <c r="R167" s="2109">
        <f t="shared" si="279"/>
        <v>0</v>
      </c>
      <c r="S167" s="2135"/>
      <c r="T167" s="2135"/>
      <c r="U167" s="2135"/>
      <c r="V167" s="2135"/>
      <c r="W167" s="2135"/>
      <c r="X167" s="2149">
        <v>0</v>
      </c>
      <c r="Y167" s="2135"/>
      <c r="Z167" s="2109">
        <v>0</v>
      </c>
      <c r="AA167" s="2109">
        <v>0</v>
      </c>
      <c r="AB167" s="2109">
        <f t="shared" si="283"/>
        <v>0</v>
      </c>
      <c r="AC167" s="2135"/>
      <c r="AD167" s="2135"/>
      <c r="AE167" s="2135"/>
      <c r="AF167" s="2135"/>
      <c r="AG167" s="2135"/>
      <c r="AH167" s="2149">
        <v>0</v>
      </c>
      <c r="AI167" s="2135"/>
      <c r="AJ167" s="2109">
        <v>0</v>
      </c>
      <c r="AK167" s="2109">
        <v>0</v>
      </c>
      <c r="AL167" s="2109">
        <f t="shared" si="287"/>
        <v>0</v>
      </c>
      <c r="AM167" s="2135"/>
      <c r="AN167" s="2135"/>
      <c r="AO167" s="2238"/>
      <c r="AP167" s="2135"/>
      <c r="AQ167" s="2135"/>
      <c r="AR167" s="2149">
        <v>0</v>
      </c>
      <c r="AS167" s="2135"/>
      <c r="AT167" s="2109">
        <v>0</v>
      </c>
      <c r="AU167" s="2109">
        <v>0</v>
      </c>
      <c r="AV167" s="2109">
        <f t="shared" si="291"/>
        <v>0</v>
      </c>
      <c r="AW167" s="2135"/>
      <c r="AX167" s="2135"/>
      <c r="AY167" s="2238"/>
      <c r="AZ167" s="2135"/>
      <c r="BA167" s="2135"/>
      <c r="BB167" s="2149">
        <v>0</v>
      </c>
      <c r="BC167" s="2135"/>
      <c r="BD167" s="2109">
        <v>0</v>
      </c>
      <c r="BE167" s="2109">
        <v>0</v>
      </c>
      <c r="BF167" s="2109">
        <f t="shared" si="295"/>
        <v>0</v>
      </c>
      <c r="BG167" s="2135"/>
      <c r="BH167" s="2135"/>
      <c r="BI167" s="2238"/>
      <c r="BJ167" s="2135"/>
      <c r="BK167" s="2135"/>
      <c r="BL167" s="2149">
        <v>0</v>
      </c>
      <c r="BM167" s="2135"/>
      <c r="BN167" s="2109">
        <v>0</v>
      </c>
      <c r="BO167" s="2109">
        <v>0</v>
      </c>
      <c r="BP167" s="2109">
        <f t="shared" si="299"/>
        <v>0</v>
      </c>
      <c r="BQ167" s="2135"/>
      <c r="BR167" s="2135"/>
      <c r="BS167" s="2135"/>
      <c r="BT167" s="2135"/>
      <c r="BU167" s="2135"/>
      <c r="BV167" s="2149">
        <v>0</v>
      </c>
      <c r="BW167" s="2135"/>
      <c r="BX167" s="2109">
        <v>0</v>
      </c>
      <c r="BY167" s="2109">
        <v>0</v>
      </c>
      <c r="BZ167" s="2109">
        <f t="shared" si="303"/>
        <v>0</v>
      </c>
      <c r="CA167" s="2135"/>
      <c r="CB167" s="2135"/>
      <c r="CC167" s="2135"/>
      <c r="CD167" s="2135"/>
      <c r="CE167" s="2135"/>
      <c r="CF167" s="2149">
        <v>0</v>
      </c>
      <c r="CG167" s="2135"/>
      <c r="CH167" s="2109">
        <v>0</v>
      </c>
      <c r="CI167" s="2109">
        <v>0</v>
      </c>
      <c r="CJ167" s="2109">
        <f t="shared" si="307"/>
        <v>0</v>
      </c>
      <c r="CK167" s="2135"/>
      <c r="CL167" s="2135"/>
      <c r="CM167" s="2238"/>
      <c r="CN167" s="2135"/>
      <c r="CO167" s="2135"/>
      <c r="CP167" s="2149">
        <v>0</v>
      </c>
      <c r="CQ167" s="2135"/>
      <c r="CR167" s="2109">
        <v>0</v>
      </c>
      <c r="CS167" s="2109">
        <v>0</v>
      </c>
      <c r="CT167" s="2109">
        <f t="shared" si="311"/>
        <v>0</v>
      </c>
      <c r="CU167" s="2135"/>
      <c r="CV167" s="2135"/>
      <c r="CW167" s="2238"/>
      <c r="CX167" s="2135"/>
      <c r="CY167" s="2135"/>
      <c r="CZ167" s="2149">
        <v>0</v>
      </c>
      <c r="DA167" s="2135"/>
      <c r="DB167" s="2109">
        <v>0</v>
      </c>
      <c r="DC167" s="2109">
        <v>0</v>
      </c>
      <c r="DD167" s="2109">
        <f t="shared" si="315"/>
        <v>0</v>
      </c>
      <c r="DE167" s="2135"/>
      <c r="DF167" s="2135"/>
      <c r="DG167" s="2238"/>
      <c r="DH167" s="2135"/>
      <c r="DI167" s="2135"/>
      <c r="DJ167" s="2149">
        <v>0</v>
      </c>
      <c r="DK167" s="2135"/>
      <c r="DL167" s="2109">
        <v>0</v>
      </c>
      <c r="DM167" s="2109">
        <v>0</v>
      </c>
      <c r="DN167" s="2109">
        <f t="shared" si="319"/>
        <v>0</v>
      </c>
      <c r="DO167" s="2135"/>
      <c r="DP167" s="2135"/>
      <c r="DQ167" s="2238"/>
      <c r="DR167" s="2135"/>
      <c r="DS167" s="2135"/>
      <c r="DT167" s="2149">
        <v>0</v>
      </c>
      <c r="DU167" s="2135"/>
      <c r="DV167" s="2109">
        <v>0</v>
      </c>
      <c r="DW167" s="2109">
        <v>0</v>
      </c>
      <c r="DX167" s="2109">
        <f t="shared" si="323"/>
        <v>0</v>
      </c>
      <c r="DY167" s="2135"/>
      <c r="DZ167" s="2135"/>
      <c r="EA167" s="2135"/>
      <c r="EB167" s="2135"/>
      <c r="EC167" s="2135"/>
      <c r="ED167" s="2135"/>
      <c r="EE167" s="2107"/>
      <c r="EF167" s="2106"/>
      <c r="EG167" s="2106"/>
      <c r="EH167" s="2106"/>
      <c r="EI167" s="2106"/>
      <c r="EJ167" s="2106"/>
      <c r="EK167" s="2106"/>
      <c r="EL167" s="2106"/>
      <c r="EM167" s="2106"/>
      <c r="EN167" s="2106"/>
      <c r="EO167" s="1915"/>
      <c r="EP167" s="2223"/>
      <c r="EQ167" s="2224"/>
      <c r="ER167" s="2277"/>
      <c r="EU167" s="2230"/>
    </row>
    <row r="168" spans="1:151">
      <c r="A168" s="2220" t="s">
        <v>68</v>
      </c>
      <c r="B168" s="2227" t="s">
        <v>1785</v>
      </c>
      <c r="C168" s="2227"/>
      <c r="D168" s="2227"/>
      <c r="E168" s="2227"/>
      <c r="F168" s="2227"/>
      <c r="G168" s="1774"/>
      <c r="H168" s="2135"/>
      <c r="I168" s="2280"/>
      <c r="J168" s="2135"/>
      <c r="K168" s="2227"/>
      <c r="L168" s="2227"/>
      <c r="M168" s="2106"/>
      <c r="N168" s="2149">
        <v>0</v>
      </c>
      <c r="O168" s="2135"/>
      <c r="P168" s="2109">
        <v>0</v>
      </c>
      <c r="Q168" s="2109">
        <v>0</v>
      </c>
      <c r="R168" s="2109">
        <f t="shared" si="279"/>
        <v>0</v>
      </c>
      <c r="S168" s="2135"/>
      <c r="T168" s="2135"/>
      <c r="U168" s="2135"/>
      <c r="V168" s="2135"/>
      <c r="W168" s="2135"/>
      <c r="X168" s="2149">
        <v>0</v>
      </c>
      <c r="Y168" s="2135"/>
      <c r="Z168" s="2109">
        <v>0</v>
      </c>
      <c r="AA168" s="2109">
        <v>0</v>
      </c>
      <c r="AB168" s="2109">
        <f t="shared" si="283"/>
        <v>0</v>
      </c>
      <c r="AC168" s="2135"/>
      <c r="AD168" s="2135"/>
      <c r="AE168" s="2135"/>
      <c r="AF168" s="2135"/>
      <c r="AG168" s="2135"/>
      <c r="AH168" s="2149">
        <v>0</v>
      </c>
      <c r="AI168" s="2135"/>
      <c r="AJ168" s="2109">
        <v>0</v>
      </c>
      <c r="AK168" s="2109">
        <v>0</v>
      </c>
      <c r="AL168" s="2109">
        <f t="shared" si="287"/>
        <v>0</v>
      </c>
      <c r="AM168" s="2135"/>
      <c r="AN168" s="2135"/>
      <c r="AO168" s="2238"/>
      <c r="AP168" s="2135"/>
      <c r="AQ168" s="2135"/>
      <c r="AR168" s="2149">
        <v>0</v>
      </c>
      <c r="AS168" s="2135"/>
      <c r="AT168" s="2109">
        <v>0</v>
      </c>
      <c r="AU168" s="2109">
        <v>0</v>
      </c>
      <c r="AV168" s="2109">
        <f t="shared" si="291"/>
        <v>0</v>
      </c>
      <c r="AW168" s="2135"/>
      <c r="AX168" s="2135"/>
      <c r="AY168" s="2238"/>
      <c r="AZ168" s="2135"/>
      <c r="BA168" s="2135"/>
      <c r="BB168" s="2149">
        <v>0</v>
      </c>
      <c r="BC168" s="2135"/>
      <c r="BD168" s="2109">
        <v>0</v>
      </c>
      <c r="BE168" s="2109">
        <v>0</v>
      </c>
      <c r="BF168" s="2109">
        <f t="shared" si="295"/>
        <v>0</v>
      </c>
      <c r="BG168" s="2135"/>
      <c r="BH168" s="2135"/>
      <c r="BI168" s="2238"/>
      <c r="BJ168" s="2135"/>
      <c r="BK168" s="2135"/>
      <c r="BL168" s="2149">
        <v>0</v>
      </c>
      <c r="BM168" s="2135"/>
      <c r="BN168" s="2109">
        <v>0</v>
      </c>
      <c r="BO168" s="2109">
        <v>0</v>
      </c>
      <c r="BP168" s="2109">
        <f t="shared" si="299"/>
        <v>0</v>
      </c>
      <c r="BQ168" s="2135"/>
      <c r="BR168" s="2135"/>
      <c r="BS168" s="2135"/>
      <c r="BT168" s="2135"/>
      <c r="BU168" s="2135"/>
      <c r="BV168" s="2149">
        <v>0</v>
      </c>
      <c r="BW168" s="2135"/>
      <c r="BX168" s="2109">
        <v>0</v>
      </c>
      <c r="BY168" s="2109">
        <v>0</v>
      </c>
      <c r="BZ168" s="2109">
        <f t="shared" si="303"/>
        <v>0</v>
      </c>
      <c r="CA168" s="2135"/>
      <c r="CB168" s="2135"/>
      <c r="CC168" s="2135"/>
      <c r="CD168" s="2135"/>
      <c r="CE168" s="2135"/>
      <c r="CF168" s="2149">
        <v>0</v>
      </c>
      <c r="CG168" s="2135"/>
      <c r="CH168" s="2109">
        <v>0</v>
      </c>
      <c r="CI168" s="2109">
        <v>0</v>
      </c>
      <c r="CJ168" s="2109">
        <f t="shared" si="307"/>
        <v>0</v>
      </c>
      <c r="CK168" s="2135"/>
      <c r="CL168" s="2135"/>
      <c r="CM168" s="2238"/>
      <c r="CN168" s="2135"/>
      <c r="CO168" s="2135"/>
      <c r="CP168" s="2149">
        <v>0</v>
      </c>
      <c r="CQ168" s="2135"/>
      <c r="CR168" s="2109">
        <v>0</v>
      </c>
      <c r="CS168" s="2109">
        <v>0</v>
      </c>
      <c r="CT168" s="2109">
        <f t="shared" si="311"/>
        <v>0</v>
      </c>
      <c r="CU168" s="2135"/>
      <c r="CV168" s="2135"/>
      <c r="CW168" s="2238"/>
      <c r="CX168" s="2135"/>
      <c r="CY168" s="2135"/>
      <c r="CZ168" s="2149">
        <v>0</v>
      </c>
      <c r="DA168" s="2135"/>
      <c r="DB168" s="2109">
        <v>0</v>
      </c>
      <c r="DC168" s="2109">
        <v>0</v>
      </c>
      <c r="DD168" s="2109">
        <f t="shared" si="315"/>
        <v>0</v>
      </c>
      <c r="DE168" s="2135"/>
      <c r="DF168" s="2135"/>
      <c r="DG168" s="2238"/>
      <c r="DH168" s="2135"/>
      <c r="DI168" s="2135"/>
      <c r="DJ168" s="2149">
        <v>0</v>
      </c>
      <c r="DK168" s="2135"/>
      <c r="DL168" s="2109">
        <v>0</v>
      </c>
      <c r="DM168" s="2109">
        <v>0</v>
      </c>
      <c r="DN168" s="2109">
        <f t="shared" si="319"/>
        <v>0</v>
      </c>
      <c r="DO168" s="2135"/>
      <c r="DP168" s="2135"/>
      <c r="DQ168" s="2238"/>
      <c r="DR168" s="2135"/>
      <c r="DS168" s="2135"/>
      <c r="DT168" s="2149">
        <v>0</v>
      </c>
      <c r="DU168" s="2135"/>
      <c r="DV168" s="2109">
        <v>0</v>
      </c>
      <c r="DW168" s="2109">
        <v>0</v>
      </c>
      <c r="DX168" s="2109">
        <f t="shared" si="323"/>
        <v>0</v>
      </c>
      <c r="DY168" s="2135"/>
      <c r="DZ168" s="2135"/>
      <c r="EA168" s="2135"/>
      <c r="EB168" s="2135"/>
      <c r="EC168" s="2135"/>
      <c r="ED168" s="2135"/>
      <c r="EE168" s="2107"/>
      <c r="EF168" s="2106"/>
      <c r="EG168" s="2106"/>
      <c r="EH168" s="2106"/>
      <c r="EI168" s="2106"/>
      <c r="EJ168" s="2106"/>
      <c r="EK168" s="2106"/>
      <c r="EL168" s="2106"/>
      <c r="EM168" s="2106"/>
      <c r="EN168" s="2106"/>
      <c r="EO168" s="1915"/>
      <c r="EP168" s="2223"/>
      <c r="EQ168" s="2224"/>
      <c r="ER168" s="2277"/>
      <c r="EU168" s="2230"/>
    </row>
    <row r="169" spans="1:151">
      <c r="A169" s="2220"/>
      <c r="B169" s="2227" t="s">
        <v>1786</v>
      </c>
      <c r="C169" s="2146">
        <v>1497.01</v>
      </c>
      <c r="D169" s="2134">
        <v>1</v>
      </c>
      <c r="E169" s="1882"/>
      <c r="F169" s="2247">
        <v>0.5</v>
      </c>
      <c r="G169" s="2146">
        <v>1497.01</v>
      </c>
      <c r="H169" s="2248">
        <v>0</v>
      </c>
      <c r="I169" s="2249">
        <v>2</v>
      </c>
      <c r="J169" s="2149">
        <v>3934.1422799999991</v>
      </c>
      <c r="K169" s="2227"/>
      <c r="L169" s="2151"/>
      <c r="M169" s="2106">
        <f>J169*(1-K169)*(1-L169)</f>
        <v>3934.1422799999991</v>
      </c>
      <c r="N169" s="2149">
        <v>323.35415999999998</v>
      </c>
      <c r="O169" s="2135">
        <f>IFERROR(P169/N169*10,0)</f>
        <v>0</v>
      </c>
      <c r="P169" s="2109">
        <v>0</v>
      </c>
      <c r="Q169" s="2109">
        <v>3.2066524198964768</v>
      </c>
      <c r="R169" s="2109">
        <f t="shared" si="279"/>
        <v>103.68843996475925</v>
      </c>
      <c r="S169" s="2135"/>
      <c r="T169" s="2135"/>
      <c r="U169" s="2135"/>
      <c r="V169" s="2135">
        <f>IFERROR(W169/N169*10,0)</f>
        <v>3.2066524198964768</v>
      </c>
      <c r="W169" s="2135">
        <f>P169+R169</f>
        <v>103.68843996475925</v>
      </c>
      <c r="X169" s="2149">
        <v>334.132632</v>
      </c>
      <c r="Y169" s="2135">
        <f>IFERROR(Z169/X169*10,0)</f>
        <v>0</v>
      </c>
      <c r="Z169" s="2109">
        <v>0</v>
      </c>
      <c r="AA169" s="2109">
        <v>3.2066524198964768</v>
      </c>
      <c r="AB169" s="2109">
        <f t="shared" si="283"/>
        <v>107.14472129691789</v>
      </c>
      <c r="AC169" s="2135"/>
      <c r="AD169" s="2135"/>
      <c r="AE169" s="2135"/>
      <c r="AF169" s="2135">
        <f>IFERROR(AG169/X169*10,0)</f>
        <v>3.2066524198964768</v>
      </c>
      <c r="AG169" s="2135">
        <f>Z169+AB169</f>
        <v>107.14472129691789</v>
      </c>
      <c r="AH169" s="2149">
        <v>323.35415999999998</v>
      </c>
      <c r="AI169" s="2135">
        <f>IFERROR(AJ169/AH169*10,0)</f>
        <v>0</v>
      </c>
      <c r="AJ169" s="2109">
        <v>0</v>
      </c>
      <c r="AK169" s="2109">
        <v>3.2066524198964768</v>
      </c>
      <c r="AL169" s="2109">
        <f t="shared" si="287"/>
        <v>103.68843996475925</v>
      </c>
      <c r="AM169" s="2135"/>
      <c r="AN169" s="2135"/>
      <c r="AO169" s="2135"/>
      <c r="AP169" s="2135">
        <f>IFERROR(AQ169/AH169*10,0)</f>
        <v>3.2066524198964768</v>
      </c>
      <c r="AQ169" s="2135">
        <f>AL169+AJ169</f>
        <v>103.68843996475925</v>
      </c>
      <c r="AR169" s="2149">
        <v>334.132632</v>
      </c>
      <c r="AS169" s="2135">
        <f>IFERROR(AT169/AR169*10,0)</f>
        <v>0</v>
      </c>
      <c r="AT169" s="2109">
        <v>0</v>
      </c>
      <c r="AU169" s="2109">
        <v>3.2066524198964768</v>
      </c>
      <c r="AV169" s="2109">
        <f t="shared" si="291"/>
        <v>107.14472129691789</v>
      </c>
      <c r="AW169" s="2135"/>
      <c r="AX169" s="2135"/>
      <c r="AY169" s="2135"/>
      <c r="AZ169" s="2135">
        <f>IFERROR(BA169/AR169*10,0)</f>
        <v>3.2066524198964768</v>
      </c>
      <c r="BA169" s="2135">
        <f>AV169+AT169</f>
        <v>107.14472129691789</v>
      </c>
      <c r="BB169" s="2149">
        <v>334.132632</v>
      </c>
      <c r="BC169" s="2135">
        <f>IFERROR(BD169/BB169*10,0)</f>
        <v>0</v>
      </c>
      <c r="BD169" s="2109">
        <v>0</v>
      </c>
      <c r="BE169" s="2109">
        <v>3.2066524198964768</v>
      </c>
      <c r="BF169" s="2109">
        <f t="shared" si="295"/>
        <v>107.14472129691789</v>
      </c>
      <c r="BG169" s="2135"/>
      <c r="BH169" s="2135"/>
      <c r="BI169" s="2135"/>
      <c r="BJ169" s="2135">
        <f>IFERROR(BK169/BB169*10,0)</f>
        <v>3.2066524198964768</v>
      </c>
      <c r="BK169" s="2135">
        <f>BF169+BD169</f>
        <v>107.14472129691789</v>
      </c>
      <c r="BL169" s="2149">
        <v>323.35415999999998</v>
      </c>
      <c r="BM169" s="2135">
        <f>IFERROR(BN169/BL169*10,0)</f>
        <v>0</v>
      </c>
      <c r="BN169" s="2109">
        <v>0</v>
      </c>
      <c r="BO169" s="2109">
        <v>3.2066524198964768</v>
      </c>
      <c r="BP169" s="2109">
        <f t="shared" si="299"/>
        <v>103.68843996475925</v>
      </c>
      <c r="BQ169" s="2135"/>
      <c r="BR169" s="2135"/>
      <c r="BS169" s="2135"/>
      <c r="BT169" s="2135">
        <f>IFERROR(BU169/BL169*10,0)</f>
        <v>3.2066524198964768</v>
      </c>
      <c r="BU169" s="2135">
        <f>BP169+BN169</f>
        <v>103.68843996475925</v>
      </c>
      <c r="BV169" s="2149">
        <v>334.132632</v>
      </c>
      <c r="BW169" s="2135">
        <f>IFERROR(BX169/BV169*10,0)</f>
        <v>0</v>
      </c>
      <c r="BX169" s="2109">
        <v>0</v>
      </c>
      <c r="BY169" s="2109">
        <v>3.2066524198964768</v>
      </c>
      <c r="BZ169" s="2109">
        <f t="shared" si="303"/>
        <v>107.14472129691789</v>
      </c>
      <c r="CA169" s="2135"/>
      <c r="CB169" s="2135"/>
      <c r="CC169" s="2135"/>
      <c r="CD169" s="2135">
        <f>IFERROR(CE169/BV169*10,0)</f>
        <v>3.2066524198964768</v>
      </c>
      <c r="CE169" s="2135">
        <f>BZ169+BX169</f>
        <v>107.14472129691789</v>
      </c>
      <c r="CF169" s="2149">
        <v>323.35415999999998</v>
      </c>
      <c r="CG169" s="2135">
        <f>IFERROR(CH169/CF169*10,0)</f>
        <v>0</v>
      </c>
      <c r="CH169" s="2109">
        <v>0</v>
      </c>
      <c r="CI169" s="2109">
        <v>3.2066524198964768</v>
      </c>
      <c r="CJ169" s="2109">
        <f t="shared" si="307"/>
        <v>103.68843996475925</v>
      </c>
      <c r="CK169" s="2135"/>
      <c r="CL169" s="2135"/>
      <c r="CM169" s="2135"/>
      <c r="CN169" s="2135">
        <f>IFERROR(CO169/CF169*10,0)</f>
        <v>3.2066524198964768</v>
      </c>
      <c r="CO169" s="2135">
        <f>CJ169+CH169</f>
        <v>103.68843996475925</v>
      </c>
      <c r="CP169" s="2149">
        <v>334.132632</v>
      </c>
      <c r="CQ169" s="2135">
        <f>IFERROR(CR169/CP169*10,0)</f>
        <v>0</v>
      </c>
      <c r="CR169" s="2109">
        <v>0</v>
      </c>
      <c r="CS169" s="2109">
        <v>3.2066524198964768</v>
      </c>
      <c r="CT169" s="2109">
        <f t="shared" si="311"/>
        <v>107.14472129691789</v>
      </c>
      <c r="CU169" s="2135"/>
      <c r="CV169" s="2135"/>
      <c r="CW169" s="2135"/>
      <c r="CX169" s="2135">
        <f>IFERROR(CY169/CP169*10,0)</f>
        <v>3.2066524198964768</v>
      </c>
      <c r="CY169" s="2135">
        <f>CT169+CR169</f>
        <v>107.14472129691789</v>
      </c>
      <c r="CZ169" s="2149">
        <v>334.132632</v>
      </c>
      <c r="DA169" s="2135">
        <f>IFERROR(DB169/CZ169*10,0)</f>
        <v>0</v>
      </c>
      <c r="DB169" s="2109">
        <v>0</v>
      </c>
      <c r="DC169" s="2109">
        <v>3.2066524198964768</v>
      </c>
      <c r="DD169" s="2109">
        <f t="shared" si="315"/>
        <v>107.14472129691789</v>
      </c>
      <c r="DE169" s="2135"/>
      <c r="DF169" s="2135"/>
      <c r="DG169" s="2135"/>
      <c r="DH169" s="2135">
        <f>IFERROR(DI169/CZ169*10,0)</f>
        <v>3.2066524198964768</v>
      </c>
      <c r="DI169" s="2135">
        <f>DD169+DB169</f>
        <v>107.14472129691789</v>
      </c>
      <c r="DJ169" s="2149">
        <v>301.79721599999999</v>
      </c>
      <c r="DK169" s="2135">
        <f>IFERROR(DL169/DJ169*10,0)</f>
        <v>0</v>
      </c>
      <c r="DL169" s="2109">
        <v>0</v>
      </c>
      <c r="DM169" s="2109">
        <v>3.2066524198964768</v>
      </c>
      <c r="DN169" s="2109">
        <f t="shared" si="319"/>
        <v>96.775877300441977</v>
      </c>
      <c r="DO169" s="2135"/>
      <c r="DP169" s="2135"/>
      <c r="DQ169" s="2135"/>
      <c r="DR169" s="2135">
        <f>IFERROR(DS169/DJ169*10,0)</f>
        <v>3.2066524198964768</v>
      </c>
      <c r="DS169" s="2135">
        <f>DN169+DL169</f>
        <v>96.775877300441977</v>
      </c>
      <c r="DT169" s="2149">
        <v>334.132632</v>
      </c>
      <c r="DU169" s="2135">
        <f>IFERROR(DV169/DT169*10,0)</f>
        <v>0</v>
      </c>
      <c r="DV169" s="2109">
        <v>0</v>
      </c>
      <c r="DW169" s="2109">
        <v>3.2066524198964768</v>
      </c>
      <c r="DX169" s="2109">
        <f t="shared" si="323"/>
        <v>107.14472129691789</v>
      </c>
      <c r="DY169" s="2135"/>
      <c r="DZ169" s="2135"/>
      <c r="EA169" s="2135"/>
      <c r="EB169" s="2135">
        <f>IFERROR(EC169/DT169*10,0)</f>
        <v>3.2066524198964768</v>
      </c>
      <c r="EC169" s="2135">
        <f>DX169+DV169</f>
        <v>107.14472129691789</v>
      </c>
      <c r="ED169" s="2135"/>
      <c r="EE169" s="2106">
        <f>SUM(N169,X169,AH169,AR169,BB169,BL169,BV169,CF169,CP169,CZ169,DJ169,DT169)</f>
        <v>3934.1422799999991</v>
      </c>
      <c r="EF169" s="2106">
        <f>IFERROR((EG169/EE169)*10,0)</f>
        <v>0</v>
      </c>
      <c r="EG169" s="2106">
        <f>SUM(P169,Z169,AJ169,AT169,BD169,BN169,BX169,CR169,CH169,DB169,DL169,DV169)</f>
        <v>0</v>
      </c>
      <c r="EH169" s="2106">
        <f>IFERROR((EI169/EE169)*10,0)</f>
        <v>3.2066524198964776</v>
      </c>
      <c r="EI169" s="2106">
        <f>SUM(R169,AB169,AL169,AV169,BF169,BP169,BZ169,CJ169,CT169,DD169,DN169,DX169)</f>
        <v>1261.5426862379043</v>
      </c>
      <c r="EJ169" s="2106"/>
      <c r="EK169" s="2106"/>
      <c r="EL169" s="2106"/>
      <c r="EM169" s="2106">
        <f>IFERROR(EN169/EE169*10,0)</f>
        <v>3.2066524198964776</v>
      </c>
      <c r="EN169" s="2106">
        <f>EG169+EI169</f>
        <v>1261.5426862379043</v>
      </c>
      <c r="EO169" s="2106">
        <f>EN169/J169*10</f>
        <v>3.2066524198964776</v>
      </c>
      <c r="EP169" s="2114">
        <f>EN169/M169*10</f>
        <v>3.2066524198964776</v>
      </c>
      <c r="EQ169" s="2224"/>
      <c r="ER169" s="2277"/>
      <c r="EU169" s="2230"/>
    </row>
    <row r="170" spans="1:151">
      <c r="A170" s="2220"/>
      <c r="B170" s="2227" t="s">
        <v>1787</v>
      </c>
      <c r="C170" s="2146">
        <v>0</v>
      </c>
      <c r="D170" s="2134">
        <v>1</v>
      </c>
      <c r="E170" s="1882"/>
      <c r="F170" s="2247">
        <v>0.5</v>
      </c>
      <c r="G170" s="2146">
        <v>0</v>
      </c>
      <c r="H170" s="2248">
        <v>0</v>
      </c>
      <c r="I170" s="2249">
        <v>2</v>
      </c>
      <c r="J170" s="2149">
        <v>0</v>
      </c>
      <c r="K170" s="2227"/>
      <c r="L170" s="2151"/>
      <c r="M170" s="2106">
        <f>J170*(1-K170)*(1-L170)</f>
        <v>0</v>
      </c>
      <c r="N170" s="2149">
        <v>0</v>
      </c>
      <c r="O170" s="2135">
        <f>IFERROR(P170/N170*10,0)</f>
        <v>0</v>
      </c>
      <c r="P170" s="2109">
        <v>0</v>
      </c>
      <c r="Q170" s="2109">
        <v>3.2066524198964768</v>
      </c>
      <c r="R170" s="2109">
        <f t="shared" si="279"/>
        <v>0</v>
      </c>
      <c r="S170" s="2135"/>
      <c r="T170" s="2135"/>
      <c r="U170" s="2135"/>
      <c r="V170" s="2135">
        <f>IFERROR(W170/N170*10,0)</f>
        <v>0</v>
      </c>
      <c r="W170" s="2135">
        <f>P170+R170</f>
        <v>0</v>
      </c>
      <c r="X170" s="2149">
        <v>0</v>
      </c>
      <c r="Y170" s="2135">
        <f>IFERROR(Z170/X170*10,0)</f>
        <v>0</v>
      </c>
      <c r="Z170" s="2109">
        <v>0</v>
      </c>
      <c r="AA170" s="2109">
        <v>3.2066524198964768</v>
      </c>
      <c r="AB170" s="2109">
        <f t="shared" si="283"/>
        <v>0</v>
      </c>
      <c r="AC170" s="2135"/>
      <c r="AD170" s="2135"/>
      <c r="AE170" s="2135"/>
      <c r="AF170" s="2135">
        <f>IFERROR(AG170/X170*10,0)</f>
        <v>0</v>
      </c>
      <c r="AG170" s="2135">
        <f>Z170+AB170</f>
        <v>0</v>
      </c>
      <c r="AH170" s="2149">
        <v>0</v>
      </c>
      <c r="AI170" s="2135">
        <f>IFERROR(AJ170/AH170*10,0)</f>
        <v>0</v>
      </c>
      <c r="AJ170" s="2109">
        <v>0</v>
      </c>
      <c r="AK170" s="2109">
        <v>3.2066524198964768</v>
      </c>
      <c r="AL170" s="2109">
        <f t="shared" si="287"/>
        <v>0</v>
      </c>
      <c r="AM170" s="2135"/>
      <c r="AN170" s="2135"/>
      <c r="AO170" s="2135"/>
      <c r="AP170" s="2135">
        <f>IFERROR(AQ170/AH170*10,0)</f>
        <v>0</v>
      </c>
      <c r="AQ170" s="2135">
        <f>AL170+AJ170</f>
        <v>0</v>
      </c>
      <c r="AR170" s="2149">
        <v>0</v>
      </c>
      <c r="AS170" s="2135">
        <f>IFERROR(AT170/AR170*10,0)</f>
        <v>0</v>
      </c>
      <c r="AT170" s="2109">
        <v>0</v>
      </c>
      <c r="AU170" s="2109">
        <v>3.2066524198964768</v>
      </c>
      <c r="AV170" s="2109">
        <f t="shared" si="291"/>
        <v>0</v>
      </c>
      <c r="AW170" s="2135"/>
      <c r="AX170" s="2135"/>
      <c r="AY170" s="2135"/>
      <c r="AZ170" s="2135">
        <f>IFERROR(BA170/AR170*10,0)</f>
        <v>0</v>
      </c>
      <c r="BA170" s="2135">
        <f>AV170+AT170</f>
        <v>0</v>
      </c>
      <c r="BB170" s="2149">
        <v>0</v>
      </c>
      <c r="BC170" s="2135">
        <f>IFERROR(BD170/BB170*10,0)</f>
        <v>0</v>
      </c>
      <c r="BD170" s="2109">
        <v>0</v>
      </c>
      <c r="BE170" s="2109">
        <v>3.2066524198964768</v>
      </c>
      <c r="BF170" s="2109">
        <f t="shared" si="295"/>
        <v>0</v>
      </c>
      <c r="BG170" s="2135"/>
      <c r="BH170" s="2135"/>
      <c r="BI170" s="2135"/>
      <c r="BJ170" s="2135">
        <f>IFERROR(BK170/BB170*10,0)</f>
        <v>0</v>
      </c>
      <c r="BK170" s="2135">
        <f>BF170+BD170</f>
        <v>0</v>
      </c>
      <c r="BL170" s="2149">
        <v>0</v>
      </c>
      <c r="BM170" s="2135">
        <f>IFERROR(BN170/BL170*10,0)</f>
        <v>0</v>
      </c>
      <c r="BN170" s="2109">
        <v>0</v>
      </c>
      <c r="BO170" s="2109">
        <v>3.2066524198964768</v>
      </c>
      <c r="BP170" s="2109">
        <f t="shared" si="299"/>
        <v>0</v>
      </c>
      <c r="BQ170" s="2135"/>
      <c r="BR170" s="2135"/>
      <c r="BS170" s="2135"/>
      <c r="BT170" s="2135">
        <f>IFERROR(BU170/BL170*10,0)</f>
        <v>0</v>
      </c>
      <c r="BU170" s="2135">
        <f>BP170+BN170</f>
        <v>0</v>
      </c>
      <c r="BV170" s="2149">
        <v>0</v>
      </c>
      <c r="BW170" s="2135">
        <f>IFERROR(BX170/BV170*10,0)</f>
        <v>0</v>
      </c>
      <c r="BX170" s="2109">
        <v>0</v>
      </c>
      <c r="BY170" s="2109">
        <v>3.2066524198964768</v>
      </c>
      <c r="BZ170" s="2109">
        <f t="shared" si="303"/>
        <v>0</v>
      </c>
      <c r="CA170" s="2135"/>
      <c r="CB170" s="2135"/>
      <c r="CC170" s="2135"/>
      <c r="CD170" s="2135">
        <f>IFERROR(CE170/BV170*10,0)</f>
        <v>0</v>
      </c>
      <c r="CE170" s="2135">
        <f>BZ170+BX170</f>
        <v>0</v>
      </c>
      <c r="CF170" s="2149">
        <v>0</v>
      </c>
      <c r="CG170" s="2135">
        <f>IFERROR(CH170/CF170*10,0)</f>
        <v>0</v>
      </c>
      <c r="CH170" s="2109">
        <v>0</v>
      </c>
      <c r="CI170" s="2109">
        <v>3.2066524198964768</v>
      </c>
      <c r="CJ170" s="2109">
        <f t="shared" si="307"/>
        <v>0</v>
      </c>
      <c r="CK170" s="2135"/>
      <c r="CL170" s="2135"/>
      <c r="CM170" s="2135"/>
      <c r="CN170" s="2135">
        <f>IFERROR(CO170/CF170*10,0)</f>
        <v>0</v>
      </c>
      <c r="CO170" s="2135">
        <f>CJ170+CH170</f>
        <v>0</v>
      </c>
      <c r="CP170" s="2149">
        <v>0</v>
      </c>
      <c r="CQ170" s="2135">
        <f>IFERROR(CR170/CP170*10,0)</f>
        <v>0</v>
      </c>
      <c r="CR170" s="2109">
        <v>0</v>
      </c>
      <c r="CS170" s="2109">
        <v>3.2066524198964768</v>
      </c>
      <c r="CT170" s="2109">
        <f t="shared" si="311"/>
        <v>0</v>
      </c>
      <c r="CU170" s="2135"/>
      <c r="CV170" s="2135"/>
      <c r="CW170" s="2135"/>
      <c r="CX170" s="2135">
        <f>IFERROR(CY170/CP170*10,0)</f>
        <v>0</v>
      </c>
      <c r="CY170" s="2135">
        <f>CT170+CR170</f>
        <v>0</v>
      </c>
      <c r="CZ170" s="2149">
        <v>0</v>
      </c>
      <c r="DA170" s="2135">
        <f>IFERROR(DB170/CZ170*10,0)</f>
        <v>0</v>
      </c>
      <c r="DB170" s="2109">
        <v>0</v>
      </c>
      <c r="DC170" s="2109">
        <v>3.2066524198964768</v>
      </c>
      <c r="DD170" s="2109">
        <f t="shared" si="315"/>
        <v>0</v>
      </c>
      <c r="DE170" s="2135"/>
      <c r="DF170" s="2135"/>
      <c r="DG170" s="2135"/>
      <c r="DH170" s="2135">
        <f>IFERROR(DI170/CZ170*10,0)</f>
        <v>0</v>
      </c>
      <c r="DI170" s="2135">
        <f>DD170+DB170</f>
        <v>0</v>
      </c>
      <c r="DJ170" s="2149">
        <v>0</v>
      </c>
      <c r="DK170" s="2135">
        <f>IFERROR(DL170/DJ170*10,0)</f>
        <v>0</v>
      </c>
      <c r="DL170" s="2109">
        <v>0</v>
      </c>
      <c r="DM170" s="2109">
        <v>3.2066524198964768</v>
      </c>
      <c r="DN170" s="2109">
        <f t="shared" si="319"/>
        <v>0</v>
      </c>
      <c r="DO170" s="2135"/>
      <c r="DP170" s="2135"/>
      <c r="DQ170" s="2135"/>
      <c r="DR170" s="2135">
        <f>IFERROR(DS170/DJ170*10,0)</f>
        <v>0</v>
      </c>
      <c r="DS170" s="2135">
        <f>DN170+DL170</f>
        <v>0</v>
      </c>
      <c r="DT170" s="2149">
        <v>0</v>
      </c>
      <c r="DU170" s="2135">
        <f>IFERROR(DV170/DT170*10,0)</f>
        <v>0</v>
      </c>
      <c r="DV170" s="2109">
        <v>0</v>
      </c>
      <c r="DW170" s="2109">
        <v>3.2066524198964768</v>
      </c>
      <c r="DX170" s="2109">
        <f t="shared" si="323"/>
        <v>0</v>
      </c>
      <c r="DY170" s="2135"/>
      <c r="DZ170" s="2135"/>
      <c r="EA170" s="2135"/>
      <c r="EB170" s="2135">
        <f>IFERROR(EC170/DT170*10,0)</f>
        <v>0</v>
      </c>
      <c r="EC170" s="2135">
        <f>DX170+DV170</f>
        <v>0</v>
      </c>
      <c r="ED170" s="2135"/>
      <c r="EE170" s="2106">
        <f>SUM(N170,X170,AH170,AR170,BB170,BL170,BV170,CF170,CP170,CZ170,DJ170,DT170)</f>
        <v>0</v>
      </c>
      <c r="EF170" s="2106">
        <f>IFERROR((EG170/EE170)*10,0)</f>
        <v>0</v>
      </c>
      <c r="EG170" s="2106">
        <f>SUM(P170,Z170,AJ170,AT170,BD170,BN170,BX170,CR170,CH170,DB170,DL170,DV170)</f>
        <v>0</v>
      </c>
      <c r="EH170" s="2106">
        <f>IFERROR((EI170/EE170)*10,0)</f>
        <v>0</v>
      </c>
      <c r="EI170" s="2106">
        <f>SUM(R170,AB170,AL170,AV170,BF170,BP170,BZ170,CJ170,CT170,DD170,DN170,DX170)</f>
        <v>0</v>
      </c>
      <c r="EJ170" s="2106"/>
      <c r="EK170" s="2106"/>
      <c r="EL170" s="2106"/>
      <c r="EM170" s="2106">
        <f>IFERROR(EN170/EE170*10,0)</f>
        <v>0</v>
      </c>
      <c r="EN170" s="2106">
        <f>EG170+EI170</f>
        <v>0</v>
      </c>
      <c r="EO170" s="2106" t="e">
        <f>EN170/J170*10</f>
        <v>#DIV/0!</v>
      </c>
      <c r="EP170" s="2114" t="e">
        <f>EN170/M170*10</f>
        <v>#DIV/0!</v>
      </c>
      <c r="EQ170" s="2224"/>
      <c r="ER170" s="2277"/>
      <c r="EU170" s="2230"/>
    </row>
    <row r="171" spans="1:151">
      <c r="A171" s="2220"/>
      <c r="B171" s="2227" t="s">
        <v>211</v>
      </c>
      <c r="C171" s="2236">
        <f>SUM(C169:C170)</f>
        <v>1497.01</v>
      </c>
      <c r="D171" s="2135"/>
      <c r="E171" s="2135"/>
      <c r="F171" s="2279">
        <f>J171/(G171*8.76)</f>
        <v>0.29999999999999993</v>
      </c>
      <c r="G171" s="2107">
        <f>SUM(G169:G170)</f>
        <v>1497.01</v>
      </c>
      <c r="H171" s="2248"/>
      <c r="I171" s="2249"/>
      <c r="J171" s="2101">
        <f>SUM(J169:J170)</f>
        <v>3934.1422799999991</v>
      </c>
      <c r="K171" s="2135"/>
      <c r="L171" s="2135"/>
      <c r="M171" s="2104">
        <f>SUM(M169:M170)</f>
        <v>3934.1422799999991</v>
      </c>
      <c r="N171" s="2104">
        <f>SUM(N169:N170)</f>
        <v>323.35415999999998</v>
      </c>
      <c r="O171" s="2135"/>
      <c r="P171" s="2104">
        <f>SUM(P169:P170)</f>
        <v>0</v>
      </c>
      <c r="Q171" s="2109">
        <v>0</v>
      </c>
      <c r="R171" s="2104">
        <f>SUM(R169:R170)</f>
        <v>103.68843996475925</v>
      </c>
      <c r="S171" s="2135"/>
      <c r="T171" s="2135"/>
      <c r="U171" s="2135"/>
      <c r="V171" s="2135"/>
      <c r="W171" s="2236">
        <f>SUM(W169:W170)</f>
        <v>103.68843996475925</v>
      </c>
      <c r="X171" s="2236">
        <f>SUM(X169:X170)</f>
        <v>334.132632</v>
      </c>
      <c r="Y171" s="2135"/>
      <c r="Z171" s="2109">
        <v>0</v>
      </c>
      <c r="AA171" s="2109">
        <v>0</v>
      </c>
      <c r="AB171" s="2236">
        <f>SUM(AB169:AB170)</f>
        <v>107.14472129691789</v>
      </c>
      <c r="AC171" s="2135"/>
      <c r="AD171" s="2135"/>
      <c r="AE171" s="2135"/>
      <c r="AF171" s="2135">
        <f>IFERROR(AG171/X171*10,0)</f>
        <v>3.2066524198964768</v>
      </c>
      <c r="AG171" s="2236">
        <f>SUM(AG169:AG170)</f>
        <v>107.14472129691789</v>
      </c>
      <c r="AH171" s="2236">
        <f>SUM(AH169:AH170)</f>
        <v>323.35415999999998</v>
      </c>
      <c r="AI171" s="2135"/>
      <c r="AJ171" s="2236">
        <f>SUM(AJ169:AJ170)</f>
        <v>0</v>
      </c>
      <c r="AK171" s="2109">
        <v>0</v>
      </c>
      <c r="AL171" s="2236">
        <f>SUM(AL169:AL170)</f>
        <v>103.68843996475925</v>
      </c>
      <c r="AM171" s="2135"/>
      <c r="AN171" s="2135"/>
      <c r="AO171" s="2238"/>
      <c r="AP171" s="2135"/>
      <c r="AQ171" s="2236">
        <f>SUM(AQ169:AQ170)</f>
        <v>103.68843996475925</v>
      </c>
      <c r="AR171" s="2236">
        <f>SUM(AR169:AR170)</f>
        <v>334.132632</v>
      </c>
      <c r="AS171" s="2135"/>
      <c r="AT171" s="2236">
        <f>SUM(AT169:AT170)</f>
        <v>0</v>
      </c>
      <c r="AU171" s="2109">
        <v>0</v>
      </c>
      <c r="AV171" s="2236">
        <f>SUM(AV169:AV170)</f>
        <v>107.14472129691789</v>
      </c>
      <c r="AW171" s="2236">
        <f t="shared" ref="AW171:DH171" si="338">SUM(AW169:AW170)</f>
        <v>0</v>
      </c>
      <c r="AX171" s="2236">
        <f t="shared" si="338"/>
        <v>0</v>
      </c>
      <c r="AY171" s="2236">
        <f t="shared" si="338"/>
        <v>0</v>
      </c>
      <c r="AZ171" s="2236">
        <f t="shared" si="338"/>
        <v>3.2066524198964768</v>
      </c>
      <c r="BA171" s="2236">
        <f t="shared" si="338"/>
        <v>107.14472129691789</v>
      </c>
      <c r="BB171" s="2236">
        <f t="shared" si="338"/>
        <v>334.132632</v>
      </c>
      <c r="BC171" s="2135"/>
      <c r="BD171" s="2236">
        <f t="shared" si="338"/>
        <v>0</v>
      </c>
      <c r="BE171" s="2109">
        <v>0</v>
      </c>
      <c r="BF171" s="2236">
        <f t="shared" si="338"/>
        <v>107.14472129691789</v>
      </c>
      <c r="BG171" s="2236">
        <f t="shared" si="338"/>
        <v>0</v>
      </c>
      <c r="BH171" s="2236">
        <f t="shared" si="338"/>
        <v>0</v>
      </c>
      <c r="BI171" s="2236">
        <f t="shared" si="338"/>
        <v>0</v>
      </c>
      <c r="BJ171" s="2236">
        <f t="shared" si="338"/>
        <v>3.2066524198964768</v>
      </c>
      <c r="BK171" s="2236">
        <f t="shared" si="338"/>
        <v>107.14472129691789</v>
      </c>
      <c r="BL171" s="2236">
        <f t="shared" si="338"/>
        <v>323.35415999999998</v>
      </c>
      <c r="BM171" s="2135"/>
      <c r="BN171" s="2109">
        <v>0</v>
      </c>
      <c r="BO171" s="2109">
        <v>0</v>
      </c>
      <c r="BP171" s="2236">
        <f t="shared" si="338"/>
        <v>103.68843996475925</v>
      </c>
      <c r="BQ171" s="2236">
        <f t="shared" si="338"/>
        <v>0</v>
      </c>
      <c r="BR171" s="2236">
        <f t="shared" si="338"/>
        <v>0</v>
      </c>
      <c r="BS171" s="2236">
        <f t="shared" si="338"/>
        <v>0</v>
      </c>
      <c r="BT171" s="2236">
        <f t="shared" si="338"/>
        <v>3.2066524198964768</v>
      </c>
      <c r="BU171" s="2236">
        <f t="shared" si="338"/>
        <v>103.68843996475925</v>
      </c>
      <c r="BV171" s="2236">
        <f t="shared" si="338"/>
        <v>334.132632</v>
      </c>
      <c r="BW171" s="2135"/>
      <c r="BX171" s="2236">
        <f t="shared" si="338"/>
        <v>0</v>
      </c>
      <c r="BY171" s="2109">
        <v>0</v>
      </c>
      <c r="BZ171" s="2236">
        <f t="shared" si="338"/>
        <v>107.14472129691789</v>
      </c>
      <c r="CA171" s="2236">
        <f t="shared" si="338"/>
        <v>0</v>
      </c>
      <c r="CB171" s="2236">
        <f t="shared" si="338"/>
        <v>0</v>
      </c>
      <c r="CC171" s="2236">
        <f t="shared" si="338"/>
        <v>0</v>
      </c>
      <c r="CD171" s="2236">
        <f t="shared" si="338"/>
        <v>3.2066524198964768</v>
      </c>
      <c r="CE171" s="2236">
        <f t="shared" si="338"/>
        <v>107.14472129691789</v>
      </c>
      <c r="CF171" s="2236">
        <f t="shared" si="338"/>
        <v>323.35415999999998</v>
      </c>
      <c r="CG171" s="2135"/>
      <c r="CH171" s="2236">
        <f t="shared" si="338"/>
        <v>0</v>
      </c>
      <c r="CI171" s="2109">
        <v>0</v>
      </c>
      <c r="CJ171" s="2236">
        <f t="shared" si="338"/>
        <v>103.68843996475925</v>
      </c>
      <c r="CK171" s="2236">
        <f t="shared" si="338"/>
        <v>0</v>
      </c>
      <c r="CL171" s="2236">
        <f t="shared" si="338"/>
        <v>0</v>
      </c>
      <c r="CM171" s="2236">
        <f t="shared" si="338"/>
        <v>0</v>
      </c>
      <c r="CN171" s="2236">
        <f t="shared" si="338"/>
        <v>3.2066524198964768</v>
      </c>
      <c r="CO171" s="2236">
        <f t="shared" si="338"/>
        <v>103.68843996475925</v>
      </c>
      <c r="CP171" s="2236">
        <f t="shared" si="338"/>
        <v>334.132632</v>
      </c>
      <c r="CQ171" s="2135"/>
      <c r="CR171" s="2236">
        <f t="shared" si="338"/>
        <v>0</v>
      </c>
      <c r="CS171" s="2109">
        <v>0</v>
      </c>
      <c r="CT171" s="2236">
        <f t="shared" si="338"/>
        <v>107.14472129691789</v>
      </c>
      <c r="CU171" s="2236"/>
      <c r="CV171" s="2236"/>
      <c r="CW171" s="2236">
        <f t="shared" si="338"/>
        <v>0</v>
      </c>
      <c r="CX171" s="2236">
        <f t="shared" si="338"/>
        <v>3.2066524198964768</v>
      </c>
      <c r="CY171" s="2236">
        <f t="shared" si="338"/>
        <v>107.14472129691789</v>
      </c>
      <c r="CZ171" s="2236">
        <f t="shared" si="338"/>
        <v>334.132632</v>
      </c>
      <c r="DA171" s="2135"/>
      <c r="DB171" s="2236">
        <f t="shared" si="338"/>
        <v>0</v>
      </c>
      <c r="DC171" s="2109">
        <v>0</v>
      </c>
      <c r="DD171" s="2236">
        <f t="shared" si="338"/>
        <v>107.14472129691789</v>
      </c>
      <c r="DE171" s="2236">
        <f t="shared" si="338"/>
        <v>0</v>
      </c>
      <c r="DF171" s="2236">
        <f t="shared" si="338"/>
        <v>0</v>
      </c>
      <c r="DG171" s="2236">
        <f t="shared" si="338"/>
        <v>0</v>
      </c>
      <c r="DH171" s="2236">
        <f t="shared" si="338"/>
        <v>3.2066524198964768</v>
      </c>
      <c r="DI171" s="2236">
        <f t="shared" ref="DI171:EN171" si="339">SUM(DI169:DI170)</f>
        <v>107.14472129691789</v>
      </c>
      <c r="DJ171" s="2236">
        <f t="shared" si="339"/>
        <v>301.79721599999999</v>
      </c>
      <c r="DK171" s="2135"/>
      <c r="DL171" s="2236">
        <f t="shared" si="339"/>
        <v>0</v>
      </c>
      <c r="DM171" s="2109">
        <v>0</v>
      </c>
      <c r="DN171" s="2236">
        <f t="shared" si="339"/>
        <v>96.775877300441977</v>
      </c>
      <c r="DO171" s="2236">
        <f t="shared" si="339"/>
        <v>0</v>
      </c>
      <c r="DP171" s="2236">
        <f t="shared" si="339"/>
        <v>0</v>
      </c>
      <c r="DQ171" s="2236">
        <f t="shared" si="339"/>
        <v>0</v>
      </c>
      <c r="DR171" s="2236">
        <f t="shared" si="339"/>
        <v>3.2066524198964768</v>
      </c>
      <c r="DS171" s="2236">
        <f t="shared" si="339"/>
        <v>96.775877300441977</v>
      </c>
      <c r="DT171" s="2236">
        <f t="shared" si="339"/>
        <v>334.132632</v>
      </c>
      <c r="DU171" s="2135"/>
      <c r="DV171" s="2236">
        <f t="shared" si="339"/>
        <v>0</v>
      </c>
      <c r="DW171" s="2109">
        <v>0</v>
      </c>
      <c r="DX171" s="2236">
        <f t="shared" si="339"/>
        <v>107.14472129691789</v>
      </c>
      <c r="DY171" s="2236">
        <f t="shared" si="339"/>
        <v>0</v>
      </c>
      <c r="DZ171" s="2236">
        <f t="shared" si="339"/>
        <v>0</v>
      </c>
      <c r="EA171" s="2236">
        <f t="shared" si="339"/>
        <v>0</v>
      </c>
      <c r="EB171" s="2236"/>
      <c r="EC171" s="2236">
        <f t="shared" si="339"/>
        <v>107.14472129691789</v>
      </c>
      <c r="ED171" s="2236"/>
      <c r="EE171" s="2107">
        <f t="shared" si="339"/>
        <v>3934.1422799999991</v>
      </c>
      <c r="EF171" s="2106">
        <f>IFERROR((EG171/EE171)*10,0)</f>
        <v>0</v>
      </c>
      <c r="EG171" s="2107">
        <f t="shared" si="339"/>
        <v>0</v>
      </c>
      <c r="EH171" s="2106">
        <f>IFERROR((EI171/EE171)*10,0)</f>
        <v>3.2066524198964776</v>
      </c>
      <c r="EI171" s="2107">
        <f t="shared" si="339"/>
        <v>1261.5426862379043</v>
      </c>
      <c r="EJ171" s="2107">
        <f t="shared" si="339"/>
        <v>0</v>
      </c>
      <c r="EK171" s="2107">
        <f t="shared" si="339"/>
        <v>0</v>
      </c>
      <c r="EL171" s="2107">
        <f t="shared" si="339"/>
        <v>0</v>
      </c>
      <c r="EM171" s="2106">
        <f>IFERROR(EN171/EE171*10,0)</f>
        <v>3.2066524198964776</v>
      </c>
      <c r="EN171" s="2107">
        <f t="shared" si="339"/>
        <v>1261.5426862379043</v>
      </c>
      <c r="EO171" s="2106">
        <f>EN171/J171*10</f>
        <v>3.2066524198964776</v>
      </c>
      <c r="EP171" s="2114">
        <f>EN171/M171*10</f>
        <v>3.2066524198964776</v>
      </c>
      <c r="EQ171" s="2224"/>
      <c r="ER171" s="2277"/>
      <c r="EU171" s="2230"/>
    </row>
    <row r="172" spans="1:151">
      <c r="A172" s="2220"/>
      <c r="B172" s="2227"/>
      <c r="C172" s="2227"/>
      <c r="D172" s="2227"/>
      <c r="E172" s="2227"/>
      <c r="F172" s="2227"/>
      <c r="G172" s="1774"/>
      <c r="H172" s="2135"/>
      <c r="I172" s="2280"/>
      <c r="J172" s="2135"/>
      <c r="K172" s="2227"/>
      <c r="L172" s="2227"/>
      <c r="M172" s="2106"/>
      <c r="N172" s="2149">
        <v>0</v>
      </c>
      <c r="O172" s="2135"/>
      <c r="P172" s="2109">
        <v>0</v>
      </c>
      <c r="Q172" s="2109">
        <v>0</v>
      </c>
      <c r="R172" s="2109">
        <f t="shared" si="279"/>
        <v>0</v>
      </c>
      <c r="S172" s="2135"/>
      <c r="T172" s="2135"/>
      <c r="U172" s="2135"/>
      <c r="V172" s="2135"/>
      <c r="W172" s="2135"/>
      <c r="X172" s="2149">
        <v>0</v>
      </c>
      <c r="Y172" s="2135"/>
      <c r="Z172" s="2109">
        <v>0</v>
      </c>
      <c r="AA172" s="2109">
        <v>0</v>
      </c>
      <c r="AB172" s="2109">
        <f t="shared" si="283"/>
        <v>0</v>
      </c>
      <c r="AC172" s="2135"/>
      <c r="AD172" s="2135"/>
      <c r="AE172" s="2135"/>
      <c r="AF172" s="2135"/>
      <c r="AG172" s="2135"/>
      <c r="AH172" s="2149">
        <v>0</v>
      </c>
      <c r="AI172" s="2135"/>
      <c r="AJ172" s="2109">
        <v>0</v>
      </c>
      <c r="AK172" s="2109">
        <v>0</v>
      </c>
      <c r="AL172" s="2109">
        <f t="shared" si="287"/>
        <v>0</v>
      </c>
      <c r="AM172" s="2135"/>
      <c r="AN172" s="2135"/>
      <c r="AO172" s="2238"/>
      <c r="AP172" s="2135"/>
      <c r="AQ172" s="2135"/>
      <c r="AR172" s="2149">
        <v>0</v>
      </c>
      <c r="AS172" s="2135"/>
      <c r="AT172" s="2109">
        <v>0</v>
      </c>
      <c r="AU172" s="2109">
        <v>0</v>
      </c>
      <c r="AV172" s="2109">
        <f t="shared" si="291"/>
        <v>0</v>
      </c>
      <c r="AW172" s="2135"/>
      <c r="AX172" s="2135"/>
      <c r="AY172" s="2238"/>
      <c r="AZ172" s="2135"/>
      <c r="BA172" s="2135"/>
      <c r="BB172" s="2149">
        <v>0</v>
      </c>
      <c r="BC172" s="2135"/>
      <c r="BD172" s="2109">
        <v>0</v>
      </c>
      <c r="BE172" s="2109">
        <v>0</v>
      </c>
      <c r="BF172" s="2109">
        <f t="shared" si="295"/>
        <v>0</v>
      </c>
      <c r="BG172" s="2135"/>
      <c r="BH172" s="2135"/>
      <c r="BI172" s="2238"/>
      <c r="BJ172" s="2135"/>
      <c r="BK172" s="2135"/>
      <c r="BL172" s="2149">
        <v>0</v>
      </c>
      <c r="BM172" s="2135"/>
      <c r="BN172" s="2109">
        <v>0</v>
      </c>
      <c r="BO172" s="2109">
        <v>0</v>
      </c>
      <c r="BP172" s="2109">
        <f t="shared" si="299"/>
        <v>0</v>
      </c>
      <c r="BQ172" s="2135"/>
      <c r="BR172" s="2135"/>
      <c r="BS172" s="2135"/>
      <c r="BT172" s="2135"/>
      <c r="BU172" s="2135"/>
      <c r="BV172" s="2149">
        <v>0</v>
      </c>
      <c r="BW172" s="2135"/>
      <c r="BX172" s="2109">
        <v>0</v>
      </c>
      <c r="BY172" s="2109">
        <v>0</v>
      </c>
      <c r="BZ172" s="2109">
        <f t="shared" si="303"/>
        <v>0</v>
      </c>
      <c r="CA172" s="2135"/>
      <c r="CB172" s="2135"/>
      <c r="CC172" s="2135"/>
      <c r="CD172" s="2135"/>
      <c r="CE172" s="2135"/>
      <c r="CF172" s="2149">
        <v>0</v>
      </c>
      <c r="CG172" s="2135"/>
      <c r="CH172" s="2109">
        <v>0</v>
      </c>
      <c r="CI172" s="2109">
        <v>0</v>
      </c>
      <c r="CJ172" s="2109">
        <f t="shared" si="307"/>
        <v>0</v>
      </c>
      <c r="CK172" s="2135"/>
      <c r="CL172" s="2135"/>
      <c r="CM172" s="2238"/>
      <c r="CN172" s="2135"/>
      <c r="CO172" s="2135"/>
      <c r="CP172" s="2149">
        <v>0</v>
      </c>
      <c r="CQ172" s="2135"/>
      <c r="CR172" s="2109">
        <v>0</v>
      </c>
      <c r="CS172" s="2109">
        <v>0</v>
      </c>
      <c r="CT172" s="2109">
        <f t="shared" si="311"/>
        <v>0</v>
      </c>
      <c r="CU172" s="2135"/>
      <c r="CV172" s="2135"/>
      <c r="CW172" s="2238"/>
      <c r="CX172" s="2135"/>
      <c r="CY172" s="2135"/>
      <c r="CZ172" s="2149">
        <v>0</v>
      </c>
      <c r="DA172" s="2135"/>
      <c r="DB172" s="2109">
        <v>0</v>
      </c>
      <c r="DC172" s="2109">
        <v>0</v>
      </c>
      <c r="DD172" s="2109">
        <f t="shared" si="315"/>
        <v>0</v>
      </c>
      <c r="DE172" s="2135"/>
      <c r="DF172" s="2135"/>
      <c r="DG172" s="2238"/>
      <c r="DH172" s="2135"/>
      <c r="DI172" s="2135"/>
      <c r="DJ172" s="2149">
        <v>0</v>
      </c>
      <c r="DK172" s="2135"/>
      <c r="DL172" s="2109">
        <v>0</v>
      </c>
      <c r="DM172" s="2109">
        <v>0</v>
      </c>
      <c r="DN172" s="2109">
        <f t="shared" si="319"/>
        <v>0</v>
      </c>
      <c r="DO172" s="2135"/>
      <c r="DP172" s="2135"/>
      <c r="DQ172" s="2238"/>
      <c r="DR172" s="2135"/>
      <c r="DS172" s="2135"/>
      <c r="DT172" s="2149">
        <v>0</v>
      </c>
      <c r="DU172" s="2135"/>
      <c r="DV172" s="2109">
        <v>0</v>
      </c>
      <c r="DW172" s="2109">
        <v>0</v>
      </c>
      <c r="DX172" s="2109">
        <f t="shared" si="323"/>
        <v>0</v>
      </c>
      <c r="DY172" s="2135"/>
      <c r="DZ172" s="2135"/>
      <c r="EA172" s="2135"/>
      <c r="EB172" s="2135"/>
      <c r="EC172" s="2135"/>
      <c r="ED172" s="2135"/>
      <c r="EE172" s="2107"/>
      <c r="EF172" s="2106"/>
      <c r="EG172" s="2106"/>
      <c r="EH172" s="2106"/>
      <c r="EI172" s="2106"/>
      <c r="EJ172" s="2106"/>
      <c r="EK172" s="2106"/>
      <c r="EL172" s="2106"/>
      <c r="EM172" s="2106"/>
      <c r="EN172" s="2106"/>
      <c r="EO172" s="1915"/>
      <c r="EP172" s="2223"/>
      <c r="EQ172" s="2224"/>
      <c r="ER172" s="2277"/>
      <c r="EU172" s="2230"/>
    </row>
    <row r="173" spans="1:151">
      <c r="A173" s="2220" t="s">
        <v>69</v>
      </c>
      <c r="B173" s="2227" t="s">
        <v>1789</v>
      </c>
      <c r="C173" s="2227"/>
      <c r="D173" s="2227"/>
      <c r="E173" s="2227"/>
      <c r="F173" s="2227"/>
      <c r="G173" s="1774"/>
      <c r="H173" s="2135"/>
      <c r="I173" s="2280"/>
      <c r="J173" s="2135"/>
      <c r="K173" s="2227"/>
      <c r="L173" s="2227"/>
      <c r="M173" s="2106"/>
      <c r="N173" s="2149">
        <v>0</v>
      </c>
      <c r="O173" s="2135"/>
      <c r="P173" s="2109">
        <v>0</v>
      </c>
      <c r="Q173" s="2109">
        <v>0</v>
      </c>
      <c r="R173" s="2109">
        <f t="shared" si="279"/>
        <v>0</v>
      </c>
      <c r="S173" s="2135"/>
      <c r="T173" s="2135"/>
      <c r="U173" s="2135"/>
      <c r="V173" s="2135"/>
      <c r="W173" s="2135"/>
      <c r="X173" s="2149">
        <v>0</v>
      </c>
      <c r="Y173" s="2135"/>
      <c r="Z173" s="2109">
        <v>0</v>
      </c>
      <c r="AA173" s="2109">
        <v>0</v>
      </c>
      <c r="AB173" s="2109">
        <f t="shared" si="283"/>
        <v>0</v>
      </c>
      <c r="AC173" s="2135"/>
      <c r="AD173" s="2135"/>
      <c r="AE173" s="2135"/>
      <c r="AF173" s="2135"/>
      <c r="AG173" s="2135"/>
      <c r="AH173" s="2149">
        <v>0</v>
      </c>
      <c r="AI173" s="2135"/>
      <c r="AJ173" s="2109">
        <v>0</v>
      </c>
      <c r="AK173" s="2109">
        <v>0</v>
      </c>
      <c r="AL173" s="2109">
        <f t="shared" si="287"/>
        <v>0</v>
      </c>
      <c r="AM173" s="2135"/>
      <c r="AN173" s="2135"/>
      <c r="AO173" s="2238"/>
      <c r="AP173" s="2135"/>
      <c r="AQ173" s="2135"/>
      <c r="AR173" s="2149">
        <v>0</v>
      </c>
      <c r="AS173" s="2135"/>
      <c r="AT173" s="2109">
        <v>0</v>
      </c>
      <c r="AU173" s="2109">
        <v>0</v>
      </c>
      <c r="AV173" s="2109">
        <f t="shared" si="291"/>
        <v>0</v>
      </c>
      <c r="AW173" s="2135"/>
      <c r="AX173" s="2135"/>
      <c r="AY173" s="2238"/>
      <c r="AZ173" s="2135"/>
      <c r="BA173" s="2135"/>
      <c r="BB173" s="2149">
        <v>0</v>
      </c>
      <c r="BC173" s="2135"/>
      <c r="BD173" s="2109">
        <v>0</v>
      </c>
      <c r="BE173" s="2109">
        <v>0</v>
      </c>
      <c r="BF173" s="2109">
        <f t="shared" si="295"/>
        <v>0</v>
      </c>
      <c r="BG173" s="2135"/>
      <c r="BH173" s="2135"/>
      <c r="BI173" s="2238"/>
      <c r="BJ173" s="2135"/>
      <c r="BK173" s="2135"/>
      <c r="BL173" s="2149">
        <v>0</v>
      </c>
      <c r="BM173" s="2135"/>
      <c r="BN173" s="2109">
        <v>0</v>
      </c>
      <c r="BO173" s="2109">
        <v>0</v>
      </c>
      <c r="BP173" s="2109">
        <f t="shared" si="299"/>
        <v>0</v>
      </c>
      <c r="BQ173" s="2135"/>
      <c r="BR173" s="2135"/>
      <c r="BS173" s="2135"/>
      <c r="BT173" s="2135"/>
      <c r="BU173" s="2135"/>
      <c r="BV173" s="2149">
        <v>0</v>
      </c>
      <c r="BW173" s="2135"/>
      <c r="BX173" s="2109">
        <v>0</v>
      </c>
      <c r="BY173" s="2109">
        <v>0</v>
      </c>
      <c r="BZ173" s="2109">
        <f t="shared" si="303"/>
        <v>0</v>
      </c>
      <c r="CA173" s="2135"/>
      <c r="CB173" s="2135"/>
      <c r="CC173" s="2135"/>
      <c r="CD173" s="2135"/>
      <c r="CE173" s="2135"/>
      <c r="CF173" s="2149">
        <v>0</v>
      </c>
      <c r="CG173" s="2135"/>
      <c r="CH173" s="2109">
        <v>0</v>
      </c>
      <c r="CI173" s="2109">
        <v>0</v>
      </c>
      <c r="CJ173" s="2109">
        <f t="shared" si="307"/>
        <v>0</v>
      </c>
      <c r="CK173" s="2135"/>
      <c r="CL173" s="2135"/>
      <c r="CM173" s="2238"/>
      <c r="CN173" s="2135"/>
      <c r="CO173" s="2135"/>
      <c r="CP173" s="2149">
        <v>0</v>
      </c>
      <c r="CQ173" s="2135"/>
      <c r="CR173" s="2109">
        <v>0</v>
      </c>
      <c r="CS173" s="2109">
        <v>0</v>
      </c>
      <c r="CT173" s="2109">
        <f t="shared" si="311"/>
        <v>0</v>
      </c>
      <c r="CU173" s="2135"/>
      <c r="CV173" s="2135"/>
      <c r="CW173" s="2238"/>
      <c r="CX173" s="2135"/>
      <c r="CY173" s="2135"/>
      <c r="CZ173" s="2149">
        <v>0</v>
      </c>
      <c r="DA173" s="2135"/>
      <c r="DB173" s="2109">
        <v>0</v>
      </c>
      <c r="DC173" s="2109">
        <v>0</v>
      </c>
      <c r="DD173" s="2109">
        <f t="shared" si="315"/>
        <v>0</v>
      </c>
      <c r="DE173" s="2135"/>
      <c r="DF173" s="2135"/>
      <c r="DG173" s="2238"/>
      <c r="DH173" s="2135"/>
      <c r="DI173" s="2135"/>
      <c r="DJ173" s="2149">
        <v>0</v>
      </c>
      <c r="DK173" s="2135"/>
      <c r="DL173" s="2109">
        <v>0</v>
      </c>
      <c r="DM173" s="2109">
        <v>0</v>
      </c>
      <c r="DN173" s="2109">
        <f t="shared" si="319"/>
        <v>0</v>
      </c>
      <c r="DO173" s="2135"/>
      <c r="DP173" s="2135"/>
      <c r="DQ173" s="2238"/>
      <c r="DR173" s="2135"/>
      <c r="DS173" s="2135"/>
      <c r="DT173" s="2149">
        <v>0</v>
      </c>
      <c r="DU173" s="2135"/>
      <c r="DV173" s="2109">
        <v>0</v>
      </c>
      <c r="DW173" s="2109">
        <v>0</v>
      </c>
      <c r="DX173" s="2109">
        <f t="shared" si="323"/>
        <v>0</v>
      </c>
      <c r="DY173" s="2135"/>
      <c r="DZ173" s="2135"/>
      <c r="EA173" s="2135"/>
      <c r="EB173" s="2135"/>
      <c r="EC173" s="2135"/>
      <c r="ED173" s="2135"/>
      <c r="EE173" s="2107"/>
      <c r="EF173" s="2106"/>
      <c r="EG173" s="2106"/>
      <c r="EH173" s="2106"/>
      <c r="EI173" s="2106"/>
      <c r="EJ173" s="2106"/>
      <c r="EK173" s="2106"/>
      <c r="EL173" s="2106"/>
      <c r="EM173" s="2106"/>
      <c r="EN173" s="2106">
        <f>EG173+EI173+EK173+EL173</f>
        <v>0</v>
      </c>
      <c r="EO173" s="1915"/>
      <c r="EP173" s="2223"/>
      <c r="EQ173" s="2224"/>
      <c r="ER173" s="2277"/>
      <c r="EU173" s="2230"/>
    </row>
    <row r="174" spans="1:151">
      <c r="A174" s="2220"/>
      <c r="B174" s="2227"/>
      <c r="C174" s="2227"/>
      <c r="D174" s="2227"/>
      <c r="E174" s="2227"/>
      <c r="F174" s="2227"/>
      <c r="G174" s="1774"/>
      <c r="H174" s="2135"/>
      <c r="I174" s="2280"/>
      <c r="J174" s="2135"/>
      <c r="K174" s="2227"/>
      <c r="L174" s="2227"/>
      <c r="M174" s="2106"/>
      <c r="N174" s="2149">
        <v>0</v>
      </c>
      <c r="O174" s="2135"/>
      <c r="P174" s="2109">
        <v>0</v>
      </c>
      <c r="Q174" s="2109">
        <v>0</v>
      </c>
      <c r="R174" s="2109">
        <f t="shared" si="279"/>
        <v>0</v>
      </c>
      <c r="S174" s="2135"/>
      <c r="T174" s="2135"/>
      <c r="U174" s="2135"/>
      <c r="V174" s="2135"/>
      <c r="W174" s="2135"/>
      <c r="X174" s="2149">
        <v>0</v>
      </c>
      <c r="Y174" s="2135"/>
      <c r="Z174" s="2109">
        <v>0</v>
      </c>
      <c r="AA174" s="2109">
        <v>0</v>
      </c>
      <c r="AB174" s="2109">
        <f t="shared" si="283"/>
        <v>0</v>
      </c>
      <c r="AC174" s="2135"/>
      <c r="AD174" s="2135"/>
      <c r="AE174" s="2135"/>
      <c r="AF174" s="2135"/>
      <c r="AG174" s="2135"/>
      <c r="AH174" s="2149">
        <v>0</v>
      </c>
      <c r="AI174" s="2135"/>
      <c r="AJ174" s="2109">
        <v>0</v>
      </c>
      <c r="AK174" s="2109">
        <v>0</v>
      </c>
      <c r="AL174" s="2109">
        <f t="shared" si="287"/>
        <v>0</v>
      </c>
      <c r="AM174" s="2135"/>
      <c r="AN174" s="2135"/>
      <c r="AO174" s="2238"/>
      <c r="AP174" s="2135"/>
      <c r="AQ174" s="2135"/>
      <c r="AR174" s="2149">
        <v>0</v>
      </c>
      <c r="AS174" s="2135"/>
      <c r="AT174" s="2109">
        <v>0</v>
      </c>
      <c r="AU174" s="2109">
        <v>0</v>
      </c>
      <c r="AV174" s="2109">
        <f t="shared" si="291"/>
        <v>0</v>
      </c>
      <c r="AW174" s="2135"/>
      <c r="AX174" s="2135"/>
      <c r="AY174" s="2238"/>
      <c r="AZ174" s="2135"/>
      <c r="BA174" s="2135"/>
      <c r="BB174" s="2149">
        <v>0</v>
      </c>
      <c r="BC174" s="2135"/>
      <c r="BD174" s="2109">
        <v>0</v>
      </c>
      <c r="BE174" s="2109">
        <v>0</v>
      </c>
      <c r="BF174" s="2109">
        <f t="shared" si="295"/>
        <v>0</v>
      </c>
      <c r="BG174" s="2135"/>
      <c r="BH174" s="2135"/>
      <c r="BI174" s="2238"/>
      <c r="BJ174" s="2135"/>
      <c r="BK174" s="2135"/>
      <c r="BL174" s="2149">
        <v>0</v>
      </c>
      <c r="BM174" s="2135"/>
      <c r="BN174" s="2109">
        <v>0</v>
      </c>
      <c r="BO174" s="2109">
        <v>0</v>
      </c>
      <c r="BP174" s="2109">
        <f t="shared" si="299"/>
        <v>0</v>
      </c>
      <c r="BQ174" s="2135"/>
      <c r="BR174" s="2135"/>
      <c r="BS174" s="2135"/>
      <c r="BT174" s="2135"/>
      <c r="BU174" s="2135"/>
      <c r="BV174" s="2149">
        <v>0</v>
      </c>
      <c r="BW174" s="2135"/>
      <c r="BX174" s="2109">
        <v>0</v>
      </c>
      <c r="BY174" s="2109">
        <v>0</v>
      </c>
      <c r="BZ174" s="2109">
        <f t="shared" si="303"/>
        <v>0</v>
      </c>
      <c r="CA174" s="2135"/>
      <c r="CB174" s="2135"/>
      <c r="CC174" s="2135"/>
      <c r="CD174" s="2135"/>
      <c r="CE174" s="2135"/>
      <c r="CF174" s="2149">
        <v>0</v>
      </c>
      <c r="CG174" s="2135"/>
      <c r="CH174" s="2109">
        <v>0</v>
      </c>
      <c r="CI174" s="2109">
        <v>0</v>
      </c>
      <c r="CJ174" s="2109">
        <f t="shared" si="307"/>
        <v>0</v>
      </c>
      <c r="CK174" s="2135"/>
      <c r="CL174" s="2135"/>
      <c r="CM174" s="2238"/>
      <c r="CN174" s="2135"/>
      <c r="CO174" s="2135"/>
      <c r="CP174" s="2149">
        <v>0</v>
      </c>
      <c r="CQ174" s="2135"/>
      <c r="CR174" s="2109">
        <v>0</v>
      </c>
      <c r="CS174" s="2109">
        <v>0</v>
      </c>
      <c r="CT174" s="2109">
        <f t="shared" si="311"/>
        <v>0</v>
      </c>
      <c r="CU174" s="2135"/>
      <c r="CV174" s="2135"/>
      <c r="CW174" s="2238"/>
      <c r="CX174" s="2135"/>
      <c r="CY174" s="2135"/>
      <c r="CZ174" s="2149">
        <v>0</v>
      </c>
      <c r="DA174" s="2135"/>
      <c r="DB174" s="2109">
        <v>0</v>
      </c>
      <c r="DC174" s="2109">
        <v>0</v>
      </c>
      <c r="DD174" s="2109">
        <f t="shared" si="315"/>
        <v>0</v>
      </c>
      <c r="DE174" s="2135"/>
      <c r="DF174" s="2135"/>
      <c r="DG174" s="2238"/>
      <c r="DH174" s="2135"/>
      <c r="DI174" s="2135"/>
      <c r="DJ174" s="2149">
        <v>0</v>
      </c>
      <c r="DK174" s="2135"/>
      <c r="DL174" s="2109">
        <v>0</v>
      </c>
      <c r="DM174" s="2109">
        <v>0</v>
      </c>
      <c r="DN174" s="2109">
        <f t="shared" si="319"/>
        <v>0</v>
      </c>
      <c r="DO174" s="2135"/>
      <c r="DP174" s="2135"/>
      <c r="DQ174" s="2238"/>
      <c r="DR174" s="2135"/>
      <c r="DS174" s="2135"/>
      <c r="DT174" s="2149">
        <v>0</v>
      </c>
      <c r="DU174" s="2135"/>
      <c r="DV174" s="2109">
        <v>0</v>
      </c>
      <c r="DW174" s="2109">
        <v>0</v>
      </c>
      <c r="DX174" s="2109">
        <f t="shared" si="323"/>
        <v>0</v>
      </c>
      <c r="DY174" s="2135"/>
      <c r="DZ174" s="2135"/>
      <c r="EA174" s="2135"/>
      <c r="EB174" s="2135"/>
      <c r="EC174" s="2135"/>
      <c r="ED174" s="2135"/>
      <c r="EE174" s="2107"/>
      <c r="EF174" s="2106"/>
      <c r="EG174" s="2106"/>
      <c r="EH174" s="2106"/>
      <c r="EI174" s="2106"/>
      <c r="EJ174" s="2106"/>
      <c r="EK174" s="2106"/>
      <c r="EL174" s="2106"/>
      <c r="EM174" s="2106"/>
      <c r="EN174" s="2106"/>
      <c r="EO174" s="1915"/>
      <c r="EP174" s="2223"/>
      <c r="EQ174" s="2224"/>
      <c r="ER174" s="2277"/>
      <c r="EU174" s="2230"/>
    </row>
    <row r="175" spans="1:151">
      <c r="A175" s="2220">
        <v>1</v>
      </c>
      <c r="B175" s="2227" t="s">
        <v>1790</v>
      </c>
      <c r="C175" s="1882">
        <f>G175</f>
        <v>2343</v>
      </c>
      <c r="D175" s="2134">
        <v>1</v>
      </c>
      <c r="E175" s="1882"/>
      <c r="F175" s="2247">
        <v>0.18916666666666662</v>
      </c>
      <c r="G175" s="2146">
        <v>2343</v>
      </c>
      <c r="H175" s="2248">
        <v>0</v>
      </c>
      <c r="I175" s="2249">
        <v>1</v>
      </c>
      <c r="J175" s="2149">
        <v>3882.2572799999994</v>
      </c>
      <c r="K175" s="2247"/>
      <c r="L175" s="2151"/>
      <c r="M175" s="2106">
        <f t="shared" ref="M175:M181" si="340">J175*(1-K175)*(1-L175)</f>
        <v>3882.2572799999994</v>
      </c>
      <c r="N175" s="2149">
        <v>320.5224</v>
      </c>
      <c r="O175" s="2135">
        <f>IFERROR(P175/N175*10,0)</f>
        <v>0</v>
      </c>
      <c r="P175" s="2109">
        <v>0</v>
      </c>
      <c r="Q175" s="2109">
        <v>3.8852964378087265</v>
      </c>
      <c r="R175" s="2109">
        <f t="shared" si="279"/>
        <v>124.53245389579038</v>
      </c>
      <c r="S175" s="2135"/>
      <c r="T175" s="2135"/>
      <c r="U175" s="2135"/>
      <c r="V175" s="2135">
        <f t="shared" ref="V175:V181" si="341">IFERROR(W175/N175*10,0)</f>
        <v>3.8852964378087269</v>
      </c>
      <c r="W175" s="2135">
        <f t="shared" ref="W175:W181" si="342">P175+R175</f>
        <v>124.53245389579038</v>
      </c>
      <c r="X175" s="2149">
        <v>331.20648</v>
      </c>
      <c r="Y175" s="2135">
        <f>IFERROR(Z175/X175*10,0)</f>
        <v>0</v>
      </c>
      <c r="Z175" s="2109">
        <v>0</v>
      </c>
      <c r="AA175" s="2109">
        <v>3.8852964378087265</v>
      </c>
      <c r="AB175" s="2109">
        <f t="shared" si="283"/>
        <v>128.68353569231672</v>
      </c>
      <c r="AC175" s="2135"/>
      <c r="AD175" s="2135"/>
      <c r="AE175" s="2135"/>
      <c r="AF175" s="2135">
        <f t="shared" ref="AF175:AF181" si="343">IFERROR(AG175/X175*10,0)</f>
        <v>3.8852964378087269</v>
      </c>
      <c r="AG175" s="2135">
        <f>Z175+AB175</f>
        <v>128.68353569231672</v>
      </c>
      <c r="AH175" s="2149">
        <v>320.5224</v>
      </c>
      <c r="AI175" s="2135">
        <f>IFERROR(AJ175/AH175*10,0)</f>
        <v>0</v>
      </c>
      <c r="AJ175" s="2109">
        <v>0</v>
      </c>
      <c r="AK175" s="2109">
        <v>3.8852964378087265</v>
      </c>
      <c r="AL175" s="2109">
        <f t="shared" si="287"/>
        <v>124.53245389579038</v>
      </c>
      <c r="AM175" s="2135"/>
      <c r="AN175" s="2135"/>
      <c r="AO175" s="2135"/>
      <c r="AP175" s="2135">
        <f>IFERROR(AQ175/AH175*10,0)</f>
        <v>3.8852964378087269</v>
      </c>
      <c r="AQ175" s="2135">
        <f>AL175+AJ175</f>
        <v>124.53245389579038</v>
      </c>
      <c r="AR175" s="2149">
        <v>331.20648</v>
      </c>
      <c r="AS175" s="2135">
        <f>IFERROR(AT175/AR175*10,0)</f>
        <v>0</v>
      </c>
      <c r="AT175" s="2109">
        <v>0</v>
      </c>
      <c r="AU175" s="2109">
        <v>3.8852964378087265</v>
      </c>
      <c r="AV175" s="2109">
        <f t="shared" si="291"/>
        <v>128.68353569231672</v>
      </c>
      <c r="AW175" s="2135"/>
      <c r="AX175" s="2135"/>
      <c r="AY175" s="2135"/>
      <c r="AZ175" s="2135">
        <f>IFERROR(BA175/AR175*10,0)</f>
        <v>3.8852964378087269</v>
      </c>
      <c r="BA175" s="2135">
        <f>AV175+AT175</f>
        <v>128.68353569231672</v>
      </c>
      <c r="BB175" s="2149">
        <v>331.20648</v>
      </c>
      <c r="BC175" s="2135">
        <f>IFERROR(BD175/BB175*10,0)</f>
        <v>0</v>
      </c>
      <c r="BD175" s="2109">
        <v>0</v>
      </c>
      <c r="BE175" s="2109">
        <v>3.8852964378087265</v>
      </c>
      <c r="BF175" s="2109">
        <f t="shared" si="295"/>
        <v>128.68353569231672</v>
      </c>
      <c r="BG175" s="2135"/>
      <c r="BH175" s="2135"/>
      <c r="BI175" s="2135"/>
      <c r="BJ175" s="2135">
        <f>IFERROR(BK175/BB175*10,0)</f>
        <v>3.8852964378087269</v>
      </c>
      <c r="BK175" s="2135">
        <f>BF175+BD175</f>
        <v>128.68353569231672</v>
      </c>
      <c r="BL175" s="2149">
        <v>320.5224</v>
      </c>
      <c r="BM175" s="2135">
        <f>IFERROR(BN175/BL175*10,0)</f>
        <v>0</v>
      </c>
      <c r="BN175" s="2109">
        <v>0</v>
      </c>
      <c r="BO175" s="2109">
        <v>3.8852964378087265</v>
      </c>
      <c r="BP175" s="2109">
        <f t="shared" si="299"/>
        <v>124.53245389579038</v>
      </c>
      <c r="BQ175" s="2135"/>
      <c r="BR175" s="2135"/>
      <c r="BS175" s="2135"/>
      <c r="BT175" s="2135">
        <f>IFERROR(BU175/BL175*10,0)</f>
        <v>3.8852964378087269</v>
      </c>
      <c r="BU175" s="2135">
        <f>BP175+BN175</f>
        <v>124.53245389579038</v>
      </c>
      <c r="BV175" s="2149">
        <v>331.20648</v>
      </c>
      <c r="BW175" s="2135">
        <f>IFERROR(BX175/BV175*10,0)</f>
        <v>0</v>
      </c>
      <c r="BX175" s="2109">
        <v>0</v>
      </c>
      <c r="BY175" s="2109">
        <v>3.8852964378087265</v>
      </c>
      <c r="BZ175" s="2109">
        <f t="shared" si="303"/>
        <v>128.68353569231672</v>
      </c>
      <c r="CA175" s="2135"/>
      <c r="CB175" s="2135"/>
      <c r="CC175" s="2135"/>
      <c r="CD175" s="2135">
        <f>IFERROR(CE175/BV175*10,0)</f>
        <v>3.8852964378087269</v>
      </c>
      <c r="CE175" s="2135">
        <f>BZ175+BX175</f>
        <v>128.68353569231672</v>
      </c>
      <c r="CF175" s="2149">
        <v>320.5224</v>
      </c>
      <c r="CG175" s="2135">
        <f>IFERROR(CH175/CF175*10,0)</f>
        <v>0</v>
      </c>
      <c r="CH175" s="2109">
        <v>0</v>
      </c>
      <c r="CI175" s="2109">
        <v>3.8852964378087265</v>
      </c>
      <c r="CJ175" s="2109">
        <f t="shared" si="307"/>
        <v>124.53245389579038</v>
      </c>
      <c r="CK175" s="2135"/>
      <c r="CL175" s="2135"/>
      <c r="CM175" s="2135"/>
      <c r="CN175" s="2135">
        <f>IFERROR(CO175/CF175*10,0)</f>
        <v>3.8852964378087269</v>
      </c>
      <c r="CO175" s="2135">
        <f>CJ175+CH175</f>
        <v>124.53245389579038</v>
      </c>
      <c r="CP175" s="2149">
        <v>313.77456000000001</v>
      </c>
      <c r="CQ175" s="2135">
        <f>IFERROR(CR175/CP175*10,0)</f>
        <v>0</v>
      </c>
      <c r="CR175" s="2109">
        <v>0</v>
      </c>
      <c r="CS175" s="2109">
        <v>3.8852964378087265</v>
      </c>
      <c r="CT175" s="2109">
        <f t="shared" si="311"/>
        <v>121.91071802430005</v>
      </c>
      <c r="CU175" s="2135"/>
      <c r="CV175" s="2135"/>
      <c r="CW175" s="2135"/>
      <c r="CX175" s="2135">
        <f>IFERROR(CY175/CP175*10,0)</f>
        <v>3.8852964378087265</v>
      </c>
      <c r="CY175" s="2135">
        <f>CT175+CR175</f>
        <v>121.91071802430005</v>
      </c>
      <c r="CZ175" s="2149">
        <v>331.20648</v>
      </c>
      <c r="DA175" s="2135">
        <f>IFERROR(DB175/CZ175*10,0)</f>
        <v>0</v>
      </c>
      <c r="DB175" s="2109">
        <v>0</v>
      </c>
      <c r="DC175" s="2109">
        <v>3.8852964378087265</v>
      </c>
      <c r="DD175" s="2109">
        <f t="shared" si="315"/>
        <v>128.68353569231672</v>
      </c>
      <c r="DE175" s="2135"/>
      <c r="DF175" s="2135"/>
      <c r="DG175" s="2135"/>
      <c r="DH175" s="2135">
        <f>IFERROR(DI175/CZ175*10,0)</f>
        <v>3.8852964378087269</v>
      </c>
      <c r="DI175" s="2135">
        <f>DD175+DB175</f>
        <v>128.68353569231672</v>
      </c>
      <c r="DJ175" s="2149">
        <v>299.15424000000002</v>
      </c>
      <c r="DK175" s="2135">
        <f>IFERROR(DL175/DJ175*10,0)</f>
        <v>0</v>
      </c>
      <c r="DL175" s="2109">
        <v>0</v>
      </c>
      <c r="DM175" s="2109">
        <v>3.8852964378087265</v>
      </c>
      <c r="DN175" s="2109">
        <f t="shared" si="319"/>
        <v>116.2302903027377</v>
      </c>
      <c r="DO175" s="2135"/>
      <c r="DP175" s="2135"/>
      <c r="DQ175" s="2135"/>
      <c r="DR175" s="2135">
        <f>IFERROR(DS175/DJ175*10,0)</f>
        <v>3.8852964378087269</v>
      </c>
      <c r="DS175" s="2135">
        <f>DN175+DL175</f>
        <v>116.2302903027377</v>
      </c>
      <c r="DT175" s="2149">
        <v>331.20648</v>
      </c>
      <c r="DU175" s="2135">
        <f>IFERROR(DV175/DT175*10,0)</f>
        <v>0</v>
      </c>
      <c r="DV175" s="2109">
        <v>0</v>
      </c>
      <c r="DW175" s="2109">
        <v>3.8852964378087265</v>
      </c>
      <c r="DX175" s="2109">
        <f t="shared" si="323"/>
        <v>128.68353569231672</v>
      </c>
      <c r="DY175" s="2135"/>
      <c r="DZ175" s="2135"/>
      <c r="EA175" s="2135"/>
      <c r="EB175" s="2135">
        <f>IFERROR(EC175/DT175*10,0)</f>
        <v>3.8852964378087269</v>
      </c>
      <c r="EC175" s="2135">
        <f>DX175+DV175</f>
        <v>128.68353569231672</v>
      </c>
      <c r="ED175" s="2135"/>
      <c r="EE175" s="2106">
        <f>SUM(N175,X175,AH175,AR175,BB175,BL175,BV175,CF175,CP175,CZ175,DJ175,DT175)</f>
        <v>3882.2572799999994</v>
      </c>
      <c r="EF175" s="2106">
        <f>IFERROR((EG175/EE175)*10,0)</f>
        <v>0</v>
      </c>
      <c r="EG175" s="2106">
        <f>SUM(P175,Z175,AJ175,AT175,BD175,BN175,BX175,CR175,CH175,DB175,DL175,DV175)</f>
        <v>0</v>
      </c>
      <c r="EH175" s="2106">
        <f>IFERROR((EI175/EE175)*10,0)</f>
        <v>3.8852964378087278</v>
      </c>
      <c r="EI175" s="2106">
        <f>SUM(R175,AB175,AL175,AV175,BF175,BP175,BZ175,CJ175,CT175,DD175,DN175,DX175)</f>
        <v>1508.3720380640998</v>
      </c>
      <c r="EJ175" s="2106"/>
      <c r="EK175" s="2106"/>
      <c r="EL175" s="2106"/>
      <c r="EM175" s="2106">
        <f>IFERROR(EN175/EE175*10,0)</f>
        <v>3.8852964378087278</v>
      </c>
      <c r="EN175" s="2106">
        <f>EG175+EI175</f>
        <v>1508.3720380640998</v>
      </c>
      <c r="EO175" s="2106">
        <f t="shared" ref="EO175:EO182" si="344">EN175/J175*10</f>
        <v>3.8852964378087278</v>
      </c>
      <c r="EP175" s="2114">
        <f t="shared" ref="EP175:EP182" si="345">EN175/M175*10</f>
        <v>3.8852964378087278</v>
      </c>
      <c r="EQ175" s="2224"/>
      <c r="ER175" s="2277"/>
      <c r="EU175" s="2230"/>
    </row>
    <row r="176" spans="1:151">
      <c r="A176" s="2220">
        <v>2</v>
      </c>
      <c r="B176" s="2227" t="s">
        <v>2061</v>
      </c>
      <c r="C176" s="1882">
        <f>G176</f>
        <v>0</v>
      </c>
      <c r="D176" s="2134">
        <v>1</v>
      </c>
      <c r="E176" s="1882"/>
      <c r="F176" s="2247">
        <v>0.18999999999999997</v>
      </c>
      <c r="G176" s="2146">
        <v>0</v>
      </c>
      <c r="H176" s="2248" t="s">
        <v>1667</v>
      </c>
      <c r="I176" s="2249">
        <v>1</v>
      </c>
      <c r="J176" s="2149">
        <v>0</v>
      </c>
      <c r="K176" s="2247"/>
      <c r="L176" s="2151"/>
      <c r="M176" s="2106">
        <f t="shared" si="340"/>
        <v>0</v>
      </c>
      <c r="N176" s="2149">
        <v>0</v>
      </c>
      <c r="O176" s="2135">
        <f>IFERROR(P176/N176*10,0)</f>
        <v>0</v>
      </c>
      <c r="P176" s="2109">
        <v>0</v>
      </c>
      <c r="Q176" s="2109">
        <v>3</v>
      </c>
      <c r="R176" s="2109">
        <f t="shared" si="279"/>
        <v>0</v>
      </c>
      <c r="S176" s="2135"/>
      <c r="T176" s="2135"/>
      <c r="U176" s="2135"/>
      <c r="V176" s="2135">
        <f t="shared" si="341"/>
        <v>0</v>
      </c>
      <c r="W176" s="2135">
        <f t="shared" si="342"/>
        <v>0</v>
      </c>
      <c r="X176" s="2149">
        <v>0</v>
      </c>
      <c r="Y176" s="2135">
        <f>IFERROR(Z176/X176*10,0)</f>
        <v>0</v>
      </c>
      <c r="Z176" s="2109">
        <v>0</v>
      </c>
      <c r="AA176" s="2109">
        <v>3</v>
      </c>
      <c r="AB176" s="2109">
        <f t="shared" si="283"/>
        <v>0</v>
      </c>
      <c r="AC176" s="2135"/>
      <c r="AD176" s="2135"/>
      <c r="AE176" s="2135"/>
      <c r="AF176" s="2135">
        <f t="shared" si="343"/>
        <v>0</v>
      </c>
      <c r="AG176" s="2135">
        <f>Z176+AB176</f>
        <v>0</v>
      </c>
      <c r="AH176" s="2149">
        <v>0</v>
      </c>
      <c r="AI176" s="2135">
        <f>IFERROR(AJ176/AH176*10,0)</f>
        <v>0</v>
      </c>
      <c r="AJ176" s="2109">
        <v>0</v>
      </c>
      <c r="AK176" s="2109">
        <v>3</v>
      </c>
      <c r="AL176" s="2109">
        <f t="shared" si="287"/>
        <v>0</v>
      </c>
      <c r="AM176" s="2135"/>
      <c r="AN176" s="2135"/>
      <c r="AO176" s="2135"/>
      <c r="AP176" s="2135">
        <f>IFERROR(AQ176/AH176*10,0)</f>
        <v>0</v>
      </c>
      <c r="AQ176" s="2135">
        <f>AL176+AJ176</f>
        <v>0</v>
      </c>
      <c r="AR176" s="2149">
        <v>0</v>
      </c>
      <c r="AS176" s="2135">
        <f>IFERROR(AT176/AR176*10,0)</f>
        <v>0</v>
      </c>
      <c r="AT176" s="2109">
        <v>0</v>
      </c>
      <c r="AU176" s="2109">
        <v>3</v>
      </c>
      <c r="AV176" s="2109">
        <f t="shared" si="291"/>
        <v>0</v>
      </c>
      <c r="AW176" s="2135"/>
      <c r="AX176" s="2135"/>
      <c r="AY176" s="2135"/>
      <c r="AZ176" s="2135">
        <f>IFERROR(BA176/AR176*10,0)</f>
        <v>0</v>
      </c>
      <c r="BA176" s="2135">
        <f>AV176+AT176</f>
        <v>0</v>
      </c>
      <c r="BB176" s="2149">
        <v>0</v>
      </c>
      <c r="BC176" s="2135">
        <f>IFERROR(BD176/BB176*10,0)</f>
        <v>0</v>
      </c>
      <c r="BD176" s="2109">
        <v>0</v>
      </c>
      <c r="BE176" s="2109">
        <v>3</v>
      </c>
      <c r="BF176" s="2109">
        <f t="shared" si="295"/>
        <v>0</v>
      </c>
      <c r="BG176" s="2135"/>
      <c r="BH176" s="2135"/>
      <c r="BI176" s="2135"/>
      <c r="BJ176" s="2135">
        <f>IFERROR(BK176/BB176*10,0)</f>
        <v>0</v>
      </c>
      <c r="BK176" s="2135">
        <f>BF176+BD176</f>
        <v>0</v>
      </c>
      <c r="BL176" s="2149">
        <v>0</v>
      </c>
      <c r="BM176" s="2135">
        <f>IFERROR(BN176/BL176*10,0)</f>
        <v>0</v>
      </c>
      <c r="BN176" s="2109">
        <v>0</v>
      </c>
      <c r="BO176" s="2109">
        <v>3</v>
      </c>
      <c r="BP176" s="2109">
        <f t="shared" si="299"/>
        <v>0</v>
      </c>
      <c r="BQ176" s="2135"/>
      <c r="BR176" s="2135"/>
      <c r="BS176" s="2135"/>
      <c r="BT176" s="2135">
        <f>IFERROR(BU176/BL176*10,0)</f>
        <v>0</v>
      </c>
      <c r="BU176" s="2135">
        <f>BP176+BN176</f>
        <v>0</v>
      </c>
      <c r="BV176" s="2149">
        <v>0</v>
      </c>
      <c r="BW176" s="2135">
        <f>IFERROR(BX176/BV176*10,0)</f>
        <v>0</v>
      </c>
      <c r="BX176" s="2109">
        <v>0</v>
      </c>
      <c r="BY176" s="2109">
        <v>3</v>
      </c>
      <c r="BZ176" s="2109">
        <f t="shared" si="303"/>
        <v>0</v>
      </c>
      <c r="CA176" s="2135"/>
      <c r="CB176" s="2135"/>
      <c r="CC176" s="2135"/>
      <c r="CD176" s="2135">
        <f>IFERROR(CE176/BV176*10,0)</f>
        <v>0</v>
      </c>
      <c r="CE176" s="2135">
        <f>BZ176+BX176</f>
        <v>0</v>
      </c>
      <c r="CF176" s="2149">
        <v>0</v>
      </c>
      <c r="CG176" s="2135">
        <f>IFERROR(CH176/CF176*10,0)</f>
        <v>0</v>
      </c>
      <c r="CH176" s="2109">
        <v>0</v>
      </c>
      <c r="CI176" s="2109">
        <v>3</v>
      </c>
      <c r="CJ176" s="2109">
        <f t="shared" si="307"/>
        <v>0</v>
      </c>
      <c r="CK176" s="2135"/>
      <c r="CL176" s="2135"/>
      <c r="CM176" s="2135"/>
      <c r="CN176" s="2135">
        <f>IFERROR(CO176/CF176*10,0)</f>
        <v>0</v>
      </c>
      <c r="CO176" s="2135">
        <f>CJ176+CH176</f>
        <v>0</v>
      </c>
      <c r="CP176" s="2149">
        <v>0</v>
      </c>
      <c r="CQ176" s="2135">
        <f>IFERROR(CR176/CP176*10,0)</f>
        <v>0</v>
      </c>
      <c r="CR176" s="2109">
        <v>0</v>
      </c>
      <c r="CS176" s="2109">
        <v>3</v>
      </c>
      <c r="CT176" s="2109">
        <f t="shared" si="311"/>
        <v>0</v>
      </c>
      <c r="CU176" s="2135"/>
      <c r="CV176" s="2135"/>
      <c r="CW176" s="2135"/>
      <c r="CX176" s="2135">
        <f>IFERROR(CY176/CP176*10,0)</f>
        <v>0</v>
      </c>
      <c r="CY176" s="2135">
        <f>CT176+CR176</f>
        <v>0</v>
      </c>
      <c r="CZ176" s="2149">
        <v>0</v>
      </c>
      <c r="DA176" s="2135">
        <f>IFERROR(DB176/CZ176*10,0)</f>
        <v>0</v>
      </c>
      <c r="DB176" s="2109">
        <v>0</v>
      </c>
      <c r="DC176" s="2109">
        <v>3</v>
      </c>
      <c r="DD176" s="2109">
        <f t="shared" si="315"/>
        <v>0</v>
      </c>
      <c r="DE176" s="2135"/>
      <c r="DF176" s="2135"/>
      <c r="DG176" s="2135"/>
      <c r="DH176" s="2135">
        <f>IFERROR(DI176/CZ176*10,0)</f>
        <v>0</v>
      </c>
      <c r="DI176" s="2135">
        <f>DD176+DB176</f>
        <v>0</v>
      </c>
      <c r="DJ176" s="2149">
        <v>0</v>
      </c>
      <c r="DK176" s="2135">
        <f>IFERROR(DL176/DJ176*10,0)</f>
        <v>0</v>
      </c>
      <c r="DL176" s="2109">
        <v>0</v>
      </c>
      <c r="DM176" s="2109">
        <v>3</v>
      </c>
      <c r="DN176" s="2109">
        <f t="shared" si="319"/>
        <v>0</v>
      </c>
      <c r="DO176" s="2135"/>
      <c r="DP176" s="2135"/>
      <c r="DQ176" s="2135"/>
      <c r="DR176" s="2135">
        <f>IFERROR(DS176/DJ176*10,0)</f>
        <v>0</v>
      </c>
      <c r="DS176" s="2135">
        <f>DN176+DL176</f>
        <v>0</v>
      </c>
      <c r="DT176" s="2149">
        <v>0</v>
      </c>
      <c r="DU176" s="2135">
        <f>IFERROR(DV176/DT176*10,0)</f>
        <v>0</v>
      </c>
      <c r="DV176" s="2109">
        <v>0</v>
      </c>
      <c r="DW176" s="2109">
        <v>3</v>
      </c>
      <c r="DX176" s="2109">
        <f t="shared" si="323"/>
        <v>0</v>
      </c>
      <c r="DY176" s="2135"/>
      <c r="DZ176" s="2135"/>
      <c r="EA176" s="2135"/>
      <c r="EB176" s="2135">
        <f>IFERROR(EC176/DT176*10,0)</f>
        <v>0</v>
      </c>
      <c r="EC176" s="2135">
        <f>DX176+DV176</f>
        <v>0</v>
      </c>
      <c r="ED176" s="2135"/>
      <c r="EE176" s="2106">
        <f>SUM(N176,X176,AH176,AR176,BB176,BL176,BV176,CF176,CP176,CZ176,DJ176,DT176)</f>
        <v>0</v>
      </c>
      <c r="EF176" s="2106">
        <f>IFERROR((EG176/EE176)*10,0)</f>
        <v>0</v>
      </c>
      <c r="EG176" s="2106">
        <f>SUM(P176,Z176,AJ176,AT176,BD176,BN176,BX176,CR176,CH176,DB176,DL176,DV176)</f>
        <v>0</v>
      </c>
      <c r="EH176" s="2106">
        <f>IFERROR((EI176/EE176)*10,0)</f>
        <v>0</v>
      </c>
      <c r="EI176" s="2106">
        <f>SUM(R176,AB176,AL176,AV176,BF176,BP176,BZ176,CJ176,CT176,DD176,DN176,DX176)</f>
        <v>0</v>
      </c>
      <c r="EJ176" s="2106"/>
      <c r="EK176" s="2106"/>
      <c r="EL176" s="2106"/>
      <c r="EM176" s="2106">
        <f>IFERROR(EN176/EE176*10,0)</f>
        <v>0</v>
      </c>
      <c r="EN176" s="2106">
        <f>EG176+EI176</f>
        <v>0</v>
      </c>
      <c r="EO176" s="2106"/>
      <c r="EP176" s="2114" t="e">
        <f t="shared" si="345"/>
        <v>#DIV/0!</v>
      </c>
      <c r="EQ176" s="2224"/>
      <c r="ER176" s="2277"/>
      <c r="EU176" s="2230"/>
    </row>
    <row r="177" spans="1:151">
      <c r="A177" s="2220">
        <v>3</v>
      </c>
      <c r="B177" s="2227" t="s">
        <v>1792</v>
      </c>
      <c r="C177" s="1882">
        <f>G177</f>
        <v>0</v>
      </c>
      <c r="D177" s="2134">
        <v>1</v>
      </c>
      <c r="E177" s="1882"/>
      <c r="F177" s="2247">
        <v>0.18999999999999997</v>
      </c>
      <c r="G177" s="2146">
        <v>0</v>
      </c>
      <c r="H177" s="2248" t="s">
        <v>1667</v>
      </c>
      <c r="I177" s="2249">
        <v>1</v>
      </c>
      <c r="J177" s="2149">
        <v>0</v>
      </c>
      <c r="K177" s="2247"/>
      <c r="L177" s="2151"/>
      <c r="M177" s="2106">
        <f t="shared" si="340"/>
        <v>0</v>
      </c>
      <c r="N177" s="2149">
        <v>0</v>
      </c>
      <c r="O177" s="2135">
        <f>IFERROR(P177/N177*10,0)</f>
        <v>0</v>
      </c>
      <c r="P177" s="2109">
        <v>0</v>
      </c>
      <c r="Q177" s="2109">
        <v>3</v>
      </c>
      <c r="R177" s="2109">
        <f t="shared" si="279"/>
        <v>0</v>
      </c>
      <c r="S177" s="2135"/>
      <c r="T177" s="2135"/>
      <c r="U177" s="2135"/>
      <c r="V177" s="2135">
        <f t="shared" si="341"/>
        <v>0</v>
      </c>
      <c r="W177" s="2135">
        <f t="shared" si="342"/>
        <v>0</v>
      </c>
      <c r="X177" s="2149">
        <v>0</v>
      </c>
      <c r="Y177" s="2135">
        <f>IFERROR(Z177/X177*10,0)</f>
        <v>0</v>
      </c>
      <c r="Z177" s="2109">
        <v>0</v>
      </c>
      <c r="AA177" s="2109">
        <v>3</v>
      </c>
      <c r="AB177" s="2109">
        <f t="shared" si="283"/>
        <v>0</v>
      </c>
      <c r="AC177" s="2135"/>
      <c r="AD177" s="2135"/>
      <c r="AE177" s="2135"/>
      <c r="AF177" s="2135">
        <f t="shared" si="343"/>
        <v>0</v>
      </c>
      <c r="AG177" s="2135">
        <f>Z177+AB177</f>
        <v>0</v>
      </c>
      <c r="AH177" s="2149">
        <v>0</v>
      </c>
      <c r="AI177" s="2135">
        <f>IFERROR(AJ177/AH177*10,0)</f>
        <v>0</v>
      </c>
      <c r="AJ177" s="2109">
        <v>0</v>
      </c>
      <c r="AK177" s="2109">
        <v>3</v>
      </c>
      <c r="AL177" s="2109">
        <f t="shared" si="287"/>
        <v>0</v>
      </c>
      <c r="AM177" s="2135"/>
      <c r="AN177" s="2135"/>
      <c r="AO177" s="2135"/>
      <c r="AP177" s="2135">
        <f>IFERROR(AQ177/AH177*10,0)</f>
        <v>0</v>
      </c>
      <c r="AQ177" s="2135">
        <f>AL177+AJ177</f>
        <v>0</v>
      </c>
      <c r="AR177" s="2149">
        <v>0</v>
      </c>
      <c r="AS177" s="2135">
        <f>IFERROR(AT177/AR177*10,0)</f>
        <v>0</v>
      </c>
      <c r="AT177" s="2109">
        <v>0</v>
      </c>
      <c r="AU177" s="2109">
        <v>3</v>
      </c>
      <c r="AV177" s="2109">
        <f t="shared" si="291"/>
        <v>0</v>
      </c>
      <c r="AW177" s="2135"/>
      <c r="AX177" s="2135"/>
      <c r="AY177" s="2135"/>
      <c r="AZ177" s="2135">
        <f>IFERROR(BA177/AR177*10,0)</f>
        <v>0</v>
      </c>
      <c r="BA177" s="2135">
        <f>AV177+AT177</f>
        <v>0</v>
      </c>
      <c r="BB177" s="2149">
        <v>0</v>
      </c>
      <c r="BC177" s="2135">
        <f>IFERROR(BD177/BB177*10,0)</f>
        <v>0</v>
      </c>
      <c r="BD177" s="2109">
        <v>0</v>
      </c>
      <c r="BE177" s="2109">
        <v>3</v>
      </c>
      <c r="BF177" s="2109">
        <f t="shared" si="295"/>
        <v>0</v>
      </c>
      <c r="BG177" s="2135"/>
      <c r="BH177" s="2135"/>
      <c r="BI177" s="2135"/>
      <c r="BJ177" s="2135">
        <f>IFERROR(BK177/BB177*10,0)</f>
        <v>0</v>
      </c>
      <c r="BK177" s="2135">
        <f>BF177+BD177</f>
        <v>0</v>
      </c>
      <c r="BL177" s="2149">
        <v>0</v>
      </c>
      <c r="BM177" s="2135">
        <f>IFERROR(BN177/BL177*10,0)</f>
        <v>0</v>
      </c>
      <c r="BN177" s="2109">
        <v>0</v>
      </c>
      <c r="BO177" s="2109">
        <v>3</v>
      </c>
      <c r="BP177" s="2109">
        <f t="shared" si="299"/>
        <v>0</v>
      </c>
      <c r="BQ177" s="2135"/>
      <c r="BR177" s="2135"/>
      <c r="BS177" s="2135"/>
      <c r="BT177" s="2135">
        <f>IFERROR(BU177/BL177*10,0)</f>
        <v>0</v>
      </c>
      <c r="BU177" s="2135">
        <f>BP177+BN177</f>
        <v>0</v>
      </c>
      <c r="BV177" s="2149">
        <v>0</v>
      </c>
      <c r="BW177" s="2135">
        <f>IFERROR(BX177/BV177*10,0)</f>
        <v>0</v>
      </c>
      <c r="BX177" s="2109">
        <v>0</v>
      </c>
      <c r="BY177" s="2109">
        <v>3</v>
      </c>
      <c r="BZ177" s="2109">
        <f t="shared" si="303"/>
        <v>0</v>
      </c>
      <c r="CA177" s="2135"/>
      <c r="CB177" s="2135"/>
      <c r="CC177" s="2135"/>
      <c r="CD177" s="2135">
        <f>IFERROR(CE177/BV177*10,0)</f>
        <v>0</v>
      </c>
      <c r="CE177" s="2135">
        <f>BZ177+BX177</f>
        <v>0</v>
      </c>
      <c r="CF177" s="2149">
        <v>0</v>
      </c>
      <c r="CG177" s="2135">
        <f>IFERROR(CH177/CF177*10,0)</f>
        <v>0</v>
      </c>
      <c r="CH177" s="2109">
        <v>0</v>
      </c>
      <c r="CI177" s="2109">
        <v>3</v>
      </c>
      <c r="CJ177" s="2109">
        <f t="shared" si="307"/>
        <v>0</v>
      </c>
      <c r="CK177" s="2135"/>
      <c r="CL177" s="2135"/>
      <c r="CM177" s="2135"/>
      <c r="CN177" s="2135">
        <f>IFERROR(CO177/CF177*10,0)</f>
        <v>0</v>
      </c>
      <c r="CO177" s="2135">
        <f>CJ177+CH177</f>
        <v>0</v>
      </c>
      <c r="CP177" s="2149">
        <v>0</v>
      </c>
      <c r="CQ177" s="2135">
        <f>IFERROR(CR177/CP177*10,0)</f>
        <v>0</v>
      </c>
      <c r="CR177" s="2109">
        <v>0</v>
      </c>
      <c r="CS177" s="2109">
        <v>3</v>
      </c>
      <c r="CT177" s="2109">
        <f t="shared" si="311"/>
        <v>0</v>
      </c>
      <c r="CU177" s="2135"/>
      <c r="CV177" s="2135"/>
      <c r="CW177" s="2135"/>
      <c r="CX177" s="2135">
        <f>IFERROR(CY177/CP177*10,0)</f>
        <v>0</v>
      </c>
      <c r="CY177" s="2135">
        <f>CT177+CR177</f>
        <v>0</v>
      </c>
      <c r="CZ177" s="2149">
        <v>0</v>
      </c>
      <c r="DA177" s="2135">
        <f>IFERROR(DB177/CZ177*10,0)</f>
        <v>0</v>
      </c>
      <c r="DB177" s="2109">
        <v>0</v>
      </c>
      <c r="DC177" s="2109">
        <v>3</v>
      </c>
      <c r="DD177" s="2109">
        <f t="shared" si="315"/>
        <v>0</v>
      </c>
      <c r="DE177" s="2135"/>
      <c r="DF177" s="2135"/>
      <c r="DG177" s="2135"/>
      <c r="DH177" s="2135">
        <f>IFERROR(DI177/CZ177*10,0)</f>
        <v>0</v>
      </c>
      <c r="DI177" s="2135">
        <f>DD177+DB177</f>
        <v>0</v>
      </c>
      <c r="DJ177" s="2149">
        <v>0</v>
      </c>
      <c r="DK177" s="2135">
        <f>IFERROR(DL177/DJ177*10,0)</f>
        <v>0</v>
      </c>
      <c r="DL177" s="2109">
        <v>0</v>
      </c>
      <c r="DM177" s="2109">
        <v>3</v>
      </c>
      <c r="DN177" s="2109">
        <f t="shared" si="319"/>
        <v>0</v>
      </c>
      <c r="DO177" s="2135"/>
      <c r="DP177" s="2135"/>
      <c r="DQ177" s="2135"/>
      <c r="DR177" s="2135">
        <f>IFERROR(DS177/DJ177*10,0)</f>
        <v>0</v>
      </c>
      <c r="DS177" s="2135">
        <f>DN177+DL177</f>
        <v>0</v>
      </c>
      <c r="DT177" s="2149">
        <v>0</v>
      </c>
      <c r="DU177" s="2135">
        <f>IFERROR(DV177/DT177*10,0)</f>
        <v>0</v>
      </c>
      <c r="DV177" s="2109">
        <v>0</v>
      </c>
      <c r="DW177" s="2109">
        <v>3</v>
      </c>
      <c r="DX177" s="2109">
        <f t="shared" si="323"/>
        <v>0</v>
      </c>
      <c r="DY177" s="2135"/>
      <c r="DZ177" s="2135"/>
      <c r="EA177" s="2135"/>
      <c r="EB177" s="2135">
        <f>IFERROR(EC177/DT177*10,0)</f>
        <v>0</v>
      </c>
      <c r="EC177" s="2135">
        <f>DX177+DV177</f>
        <v>0</v>
      </c>
      <c r="ED177" s="2135"/>
      <c r="EE177" s="2106">
        <f>SUM(N177,X177,AH177,AR177,BB177,BL177,BV177,CF177,CP177,CZ177,DJ177,DT177)</f>
        <v>0</v>
      </c>
      <c r="EF177" s="2106">
        <f>IFERROR((EG177/EE177)*10,0)</f>
        <v>0</v>
      </c>
      <c r="EG177" s="2106">
        <f>SUM(P177,Z177,AJ177,AT177,BD177,BN177,BX177,CR177,CH177,DB177,DL177,DV177)</f>
        <v>0</v>
      </c>
      <c r="EH177" s="2106">
        <f>IFERROR((EI177/EE177)*10,0)</f>
        <v>0</v>
      </c>
      <c r="EI177" s="2106">
        <f>SUM(R177,AB177,AL177,AV177,BF177,BP177,BZ177,CJ177,CT177,DD177,DN177,DX177)</f>
        <v>0</v>
      </c>
      <c r="EJ177" s="2106"/>
      <c r="EK177" s="2106"/>
      <c r="EL177" s="2106"/>
      <c r="EM177" s="2106">
        <f>IFERROR(EN177/EE177*10,0)</f>
        <v>0</v>
      </c>
      <c r="EN177" s="2106">
        <f>EG177+EI177</f>
        <v>0</v>
      </c>
      <c r="EO177" s="2106" t="e">
        <f t="shared" si="344"/>
        <v>#DIV/0!</v>
      </c>
      <c r="EP177" s="2114" t="e">
        <f t="shared" si="345"/>
        <v>#DIV/0!</v>
      </c>
      <c r="EQ177" s="2224"/>
      <c r="ER177" s="2277"/>
      <c r="EU177" s="2230"/>
    </row>
    <row r="178" spans="1:151">
      <c r="A178" s="2220">
        <v>4</v>
      </c>
      <c r="B178" s="2227" t="s">
        <v>1793</v>
      </c>
      <c r="C178" s="1882">
        <f>G178</f>
        <v>432</v>
      </c>
      <c r="D178" s="2227"/>
      <c r="E178" s="2227"/>
      <c r="F178" s="2227"/>
      <c r="G178" s="2146">
        <v>432</v>
      </c>
      <c r="H178" s="2248" t="s">
        <v>1667</v>
      </c>
      <c r="I178" s="2249">
        <v>1</v>
      </c>
      <c r="J178" s="2149">
        <v>720.0040612430771</v>
      </c>
      <c r="K178" s="2227"/>
      <c r="L178" s="2227"/>
      <c r="M178" s="2106">
        <f t="shared" si="340"/>
        <v>720.0040612430771</v>
      </c>
      <c r="N178" s="2149">
        <v>59.097600000000007</v>
      </c>
      <c r="O178" s="2135">
        <f>IFERROR(P178/N178*10,0)</f>
        <v>0</v>
      </c>
      <c r="P178" s="2109">
        <v>0</v>
      </c>
      <c r="Q178" s="2109">
        <v>3</v>
      </c>
      <c r="R178" s="2109">
        <f t="shared" si="279"/>
        <v>17.729280000000003</v>
      </c>
      <c r="S178" s="2135"/>
      <c r="T178" s="2135"/>
      <c r="U178" s="2135"/>
      <c r="V178" s="2135">
        <f t="shared" si="341"/>
        <v>3</v>
      </c>
      <c r="W178" s="2135">
        <f t="shared" si="342"/>
        <v>17.729280000000003</v>
      </c>
      <c r="X178" s="2149">
        <v>62.050781243076933</v>
      </c>
      <c r="Y178" s="2135">
        <f>IFERROR(Z178/X178*10,0)</f>
        <v>0</v>
      </c>
      <c r="Z178" s="2109">
        <v>0</v>
      </c>
      <c r="AA178" s="2109">
        <v>3</v>
      </c>
      <c r="AB178" s="2109">
        <f t="shared" si="283"/>
        <v>18.61523437292308</v>
      </c>
      <c r="AC178" s="2135"/>
      <c r="AD178" s="2135"/>
      <c r="AE178" s="2135"/>
      <c r="AF178" s="2135">
        <f t="shared" si="343"/>
        <v>3</v>
      </c>
      <c r="AG178" s="2135">
        <f>Z178+AB178</f>
        <v>18.61523437292308</v>
      </c>
      <c r="AH178" s="2149">
        <v>59.097600000000007</v>
      </c>
      <c r="AI178" s="2135">
        <f>IFERROR(AJ178/AH178*10,0)</f>
        <v>0</v>
      </c>
      <c r="AJ178" s="2109">
        <v>0</v>
      </c>
      <c r="AK178" s="2109">
        <v>3</v>
      </c>
      <c r="AL178" s="2109">
        <f t="shared" si="287"/>
        <v>17.729280000000003</v>
      </c>
      <c r="AM178" s="2135"/>
      <c r="AN178" s="2135"/>
      <c r="AO178" s="2135"/>
      <c r="AP178" s="2135">
        <f>IFERROR(AQ178/AH178*10,0)</f>
        <v>3</v>
      </c>
      <c r="AQ178" s="2135">
        <f>AL178+AJ178</f>
        <v>17.729280000000003</v>
      </c>
      <c r="AR178" s="2149">
        <v>61.067520000000002</v>
      </c>
      <c r="AS178" s="2135">
        <f>IFERROR(AT178/AR178*10,0)</f>
        <v>0</v>
      </c>
      <c r="AT178" s="2109">
        <v>0</v>
      </c>
      <c r="AU178" s="2109">
        <v>3</v>
      </c>
      <c r="AV178" s="2109">
        <f t="shared" si="291"/>
        <v>18.320256000000001</v>
      </c>
      <c r="AW178" s="2135"/>
      <c r="AX178" s="2135"/>
      <c r="AY178" s="2135"/>
      <c r="AZ178" s="2135">
        <f>IFERROR(BA178/AR178*10,0)</f>
        <v>3</v>
      </c>
      <c r="BA178" s="2135">
        <f>AV178+AT178</f>
        <v>18.320256000000001</v>
      </c>
      <c r="BB178" s="2149">
        <v>61.067520000000002</v>
      </c>
      <c r="BC178" s="2135">
        <f>IFERROR(BD178/BB178*10,0)</f>
        <v>0</v>
      </c>
      <c r="BD178" s="2109">
        <v>0</v>
      </c>
      <c r="BE178" s="2109">
        <v>3</v>
      </c>
      <c r="BF178" s="2109">
        <f t="shared" si="295"/>
        <v>18.320256000000001</v>
      </c>
      <c r="BG178" s="2135"/>
      <c r="BH178" s="2135"/>
      <c r="BI178" s="2135"/>
      <c r="BJ178" s="2135">
        <f>IFERROR(BK178/BB178*10,0)</f>
        <v>3</v>
      </c>
      <c r="BK178" s="2135">
        <f>BF178+BD178</f>
        <v>18.320256000000001</v>
      </c>
      <c r="BL178" s="2149">
        <v>59.097600000000007</v>
      </c>
      <c r="BM178" s="2135">
        <f>IFERROR(BN178/BL178*10,0)</f>
        <v>0</v>
      </c>
      <c r="BN178" s="2109">
        <v>0</v>
      </c>
      <c r="BO178" s="2109">
        <v>3</v>
      </c>
      <c r="BP178" s="2109">
        <f t="shared" si="299"/>
        <v>17.729280000000003</v>
      </c>
      <c r="BQ178" s="2135"/>
      <c r="BR178" s="2135"/>
      <c r="BS178" s="2135"/>
      <c r="BT178" s="2135">
        <f>IFERROR(BU178/BL178*10,0)</f>
        <v>3</v>
      </c>
      <c r="BU178" s="2135">
        <f>BP178+BN178</f>
        <v>17.729280000000003</v>
      </c>
      <c r="BV178" s="2149">
        <v>61.067520000000002</v>
      </c>
      <c r="BW178" s="2135">
        <f>IFERROR(BX178/BV178*10,0)</f>
        <v>0</v>
      </c>
      <c r="BX178" s="2109">
        <v>0</v>
      </c>
      <c r="BY178" s="2109">
        <v>3</v>
      </c>
      <c r="BZ178" s="2109">
        <f t="shared" si="303"/>
        <v>18.320256000000001</v>
      </c>
      <c r="CA178" s="2135"/>
      <c r="CB178" s="2135"/>
      <c r="CC178" s="2135"/>
      <c r="CD178" s="2135">
        <f>IFERROR(CE178/BV178*10,0)</f>
        <v>3</v>
      </c>
      <c r="CE178" s="2135">
        <f>BZ178+BX178</f>
        <v>18.320256000000001</v>
      </c>
      <c r="CF178" s="2149">
        <v>59.097600000000007</v>
      </c>
      <c r="CG178" s="2135">
        <f>IFERROR(CH178/CF178*10,0)</f>
        <v>0</v>
      </c>
      <c r="CH178" s="2109">
        <v>0</v>
      </c>
      <c r="CI178" s="2109">
        <v>3</v>
      </c>
      <c r="CJ178" s="2109">
        <f t="shared" si="307"/>
        <v>17.729280000000003</v>
      </c>
      <c r="CK178" s="2135"/>
      <c r="CL178" s="2135"/>
      <c r="CM178" s="2135"/>
      <c r="CN178" s="2135">
        <f>IFERROR(CO178/CF178*10,0)</f>
        <v>3</v>
      </c>
      <c r="CO178" s="2135">
        <f>CJ178+CH178</f>
        <v>17.729280000000003</v>
      </c>
      <c r="CP178" s="2149">
        <v>61.067520000000002</v>
      </c>
      <c r="CQ178" s="2135">
        <f>IFERROR(CR178/CP178*10,0)</f>
        <v>0</v>
      </c>
      <c r="CR178" s="2109">
        <v>0</v>
      </c>
      <c r="CS178" s="2109">
        <v>3</v>
      </c>
      <c r="CT178" s="2109">
        <f t="shared" si="311"/>
        <v>18.320256000000001</v>
      </c>
      <c r="CU178" s="2135"/>
      <c r="CV178" s="2135"/>
      <c r="CW178" s="2135"/>
      <c r="CX178" s="2135">
        <f>IFERROR(CY178/CP178*10,0)</f>
        <v>3</v>
      </c>
      <c r="CY178" s="2135">
        <f>CT178+CR178</f>
        <v>18.320256000000001</v>
      </c>
      <c r="CZ178" s="2149">
        <v>61.067520000000002</v>
      </c>
      <c r="DA178" s="2135">
        <f>IFERROR(DB178/CZ178*10,0)</f>
        <v>0</v>
      </c>
      <c r="DB178" s="2109">
        <v>0</v>
      </c>
      <c r="DC178" s="2109">
        <v>3</v>
      </c>
      <c r="DD178" s="2109">
        <f t="shared" si="315"/>
        <v>18.320256000000001</v>
      </c>
      <c r="DE178" s="2135"/>
      <c r="DF178" s="2135"/>
      <c r="DG178" s="2135"/>
      <c r="DH178" s="2135">
        <f>IFERROR(DI178/CZ178*10,0)</f>
        <v>3</v>
      </c>
      <c r="DI178" s="2135">
        <f>DD178+DB178</f>
        <v>18.320256000000001</v>
      </c>
      <c r="DJ178" s="2149">
        <v>55.157760000000003</v>
      </c>
      <c r="DK178" s="2135">
        <f>IFERROR(DL178/DJ178*10,0)</f>
        <v>0</v>
      </c>
      <c r="DL178" s="2109">
        <v>0</v>
      </c>
      <c r="DM178" s="2109">
        <v>3</v>
      </c>
      <c r="DN178" s="2109">
        <f t="shared" si="319"/>
        <v>16.547328</v>
      </c>
      <c r="DO178" s="2135"/>
      <c r="DP178" s="2135"/>
      <c r="DQ178" s="2135"/>
      <c r="DR178" s="2135">
        <f>IFERROR(DS178/DJ178*10,0)</f>
        <v>3</v>
      </c>
      <c r="DS178" s="2135">
        <f>DN178+DL178</f>
        <v>16.547328</v>
      </c>
      <c r="DT178" s="2149">
        <v>61.067520000000002</v>
      </c>
      <c r="DU178" s="2135">
        <f>IFERROR(DV178/DT178*10,0)</f>
        <v>0</v>
      </c>
      <c r="DV178" s="2109">
        <v>0</v>
      </c>
      <c r="DW178" s="2109">
        <v>3</v>
      </c>
      <c r="DX178" s="2109">
        <f t="shared" si="323"/>
        <v>18.320256000000001</v>
      </c>
      <c r="DY178" s="2135"/>
      <c r="DZ178" s="2135"/>
      <c r="EA178" s="2135"/>
      <c r="EB178" s="2135">
        <f>IFERROR(EC178/DT178*10,0)</f>
        <v>3</v>
      </c>
      <c r="EC178" s="2135">
        <f>DX178+DV178</f>
        <v>18.320256000000001</v>
      </c>
      <c r="ED178" s="2135"/>
      <c r="EE178" s="2106">
        <f>SUM(N178,X178,AH178,AR178,BB178,BL178,BV178,CF178,CP178,CZ178,DJ178,DT178)</f>
        <v>720.0040612430771</v>
      </c>
      <c r="EF178" s="2106">
        <f>IFERROR((EG178/EE178)*10,0)</f>
        <v>0</v>
      </c>
      <c r="EG178" s="2106">
        <f>SUM(P178,Z178,AJ178,AT178,BD178,BN178,BX178,CR178,CH178,DB178,DL178,DV178)</f>
        <v>0</v>
      </c>
      <c r="EH178" s="2106">
        <f>IFERROR((EI178/EE178)*10,0)</f>
        <v>2.9999999999999991</v>
      </c>
      <c r="EI178" s="2106">
        <f>SUM(R178,AB178,AL178,AV178,BF178,BP178,BZ178,CJ178,CT178,DD178,DN178,DX178)</f>
        <v>216.00121837292309</v>
      </c>
      <c r="EJ178" s="2106"/>
      <c r="EK178" s="2106"/>
      <c r="EL178" s="2106"/>
      <c r="EM178" s="2106">
        <f>IFERROR(EN178/EE178*10,0)</f>
        <v>2.9999999999999991</v>
      </c>
      <c r="EN178" s="2106">
        <f>EG178+EI178</f>
        <v>216.00121837292309</v>
      </c>
      <c r="EO178" s="2106">
        <f t="shared" si="344"/>
        <v>2.9999999999999991</v>
      </c>
      <c r="EP178" s="2114">
        <f t="shared" si="345"/>
        <v>2.9999999999999991</v>
      </c>
      <c r="EQ178" s="2224"/>
      <c r="ER178" s="2277"/>
      <c r="EU178" s="2230"/>
    </row>
    <row r="179" spans="1:151">
      <c r="A179" s="2220">
        <v>5</v>
      </c>
      <c r="B179" s="2227" t="s">
        <v>1794</v>
      </c>
      <c r="C179" s="1882">
        <f>G179</f>
        <v>265</v>
      </c>
      <c r="D179" s="2227"/>
      <c r="E179" s="2227"/>
      <c r="F179" s="2227"/>
      <c r="G179" s="2146">
        <v>265</v>
      </c>
      <c r="H179" s="2248" t="s">
        <v>1667</v>
      </c>
      <c r="I179" s="2249">
        <v>1</v>
      </c>
      <c r="J179" s="2149">
        <v>253.05704270769232</v>
      </c>
      <c r="K179" s="2227"/>
      <c r="L179" s="2227"/>
      <c r="M179" s="2106">
        <f t="shared" si="340"/>
        <v>253.05704270769232</v>
      </c>
      <c r="N179" s="2149">
        <v>5.4719999999999995</v>
      </c>
      <c r="O179" s="2135">
        <f>IFERROR(P179/N179*10,0)</f>
        <v>0</v>
      </c>
      <c r="P179" s="2109">
        <v>0</v>
      </c>
      <c r="Q179" s="2109">
        <v>3</v>
      </c>
      <c r="R179" s="2109">
        <f t="shared" si="279"/>
        <v>1.6415999999999997</v>
      </c>
      <c r="S179" s="2135"/>
      <c r="T179" s="2135"/>
      <c r="U179" s="2135"/>
      <c r="V179" s="2135">
        <f t="shared" si="341"/>
        <v>3</v>
      </c>
      <c r="W179" s="2135">
        <f t="shared" si="342"/>
        <v>1.6415999999999997</v>
      </c>
      <c r="X179" s="2149">
        <v>5.7454427076923071</v>
      </c>
      <c r="Y179" s="2135">
        <f>IFERROR(Z179/X179*10,0)</f>
        <v>0</v>
      </c>
      <c r="Z179" s="2109">
        <v>0</v>
      </c>
      <c r="AA179" s="2109">
        <v>3</v>
      </c>
      <c r="AB179" s="2109">
        <f t="shared" si="283"/>
        <v>1.7236328123076923</v>
      </c>
      <c r="AC179" s="2135"/>
      <c r="AD179" s="2135"/>
      <c r="AE179" s="2135"/>
      <c r="AF179" s="2135">
        <f t="shared" si="343"/>
        <v>3.0000000000000004</v>
      </c>
      <c r="AG179" s="2135">
        <f>Z179+AB179</f>
        <v>1.7236328123076923</v>
      </c>
      <c r="AH179" s="2149">
        <v>5.4719999999999995</v>
      </c>
      <c r="AI179" s="2135">
        <f>IFERROR(AJ179/AH179*10,0)</f>
        <v>0</v>
      </c>
      <c r="AJ179" s="2109">
        <v>0</v>
      </c>
      <c r="AK179" s="2109">
        <v>3</v>
      </c>
      <c r="AL179" s="2109">
        <f t="shared" si="287"/>
        <v>1.6415999999999997</v>
      </c>
      <c r="AM179" s="2135"/>
      <c r="AN179" s="2135"/>
      <c r="AO179" s="2135"/>
      <c r="AP179" s="2135">
        <f>IFERROR(AQ179/AH179*10,0)</f>
        <v>3</v>
      </c>
      <c r="AQ179" s="2135">
        <f>AL179+AJ179</f>
        <v>1.6415999999999997</v>
      </c>
      <c r="AR179" s="2149">
        <v>5.6543999999999999</v>
      </c>
      <c r="AS179" s="2135">
        <f>IFERROR(AT179/AR179*10,0)</f>
        <v>0</v>
      </c>
      <c r="AT179" s="2109">
        <v>0</v>
      </c>
      <c r="AU179" s="2109">
        <v>3</v>
      </c>
      <c r="AV179" s="2109">
        <f t="shared" si="291"/>
        <v>1.6963200000000001</v>
      </c>
      <c r="AW179" s="2135"/>
      <c r="AX179" s="2135"/>
      <c r="AY179" s="2238"/>
      <c r="AZ179" s="2135">
        <f>IFERROR(BA179/AR179*10,0)</f>
        <v>3</v>
      </c>
      <c r="BA179" s="2135">
        <f>AV179+AT179</f>
        <v>1.6963200000000001</v>
      </c>
      <c r="BB179" s="2149">
        <v>5.6543999999999999</v>
      </c>
      <c r="BC179" s="2135">
        <f>IFERROR(BD179/BB179*10,0)</f>
        <v>0</v>
      </c>
      <c r="BD179" s="2109">
        <v>0</v>
      </c>
      <c r="BE179" s="2109">
        <v>3</v>
      </c>
      <c r="BF179" s="2109">
        <f t="shared" si="295"/>
        <v>1.6963200000000001</v>
      </c>
      <c r="BG179" s="2135"/>
      <c r="BH179" s="2135"/>
      <c r="BI179" s="2135"/>
      <c r="BJ179" s="2135">
        <f>IFERROR(BK179/BB179*10,0)</f>
        <v>3</v>
      </c>
      <c r="BK179" s="2135">
        <f>BF179+BD179</f>
        <v>1.6963200000000001</v>
      </c>
      <c r="BL179" s="2149">
        <v>25.992000000000004</v>
      </c>
      <c r="BM179" s="2135">
        <f>IFERROR(BN179/BL179*10,0)</f>
        <v>0</v>
      </c>
      <c r="BN179" s="2109">
        <v>0</v>
      </c>
      <c r="BO179" s="2109">
        <v>3</v>
      </c>
      <c r="BP179" s="2109">
        <f t="shared" si="299"/>
        <v>7.797600000000001</v>
      </c>
      <c r="BQ179" s="2135"/>
      <c r="BR179" s="2135"/>
      <c r="BS179" s="2135"/>
      <c r="BT179" s="2135">
        <f>IFERROR(BU179/BL179*10,0)</f>
        <v>3</v>
      </c>
      <c r="BU179" s="2135">
        <f>BP179+BN179</f>
        <v>7.797600000000001</v>
      </c>
      <c r="BV179" s="2149">
        <v>26.858400000000003</v>
      </c>
      <c r="BW179" s="2135">
        <f>IFERROR(BX179/BV179*10,0)</f>
        <v>0</v>
      </c>
      <c r="BX179" s="2109">
        <v>0</v>
      </c>
      <c r="BY179" s="2109">
        <v>3</v>
      </c>
      <c r="BZ179" s="2109">
        <f t="shared" si="303"/>
        <v>8.0575200000000002</v>
      </c>
      <c r="CA179" s="2135"/>
      <c r="CB179" s="2135"/>
      <c r="CC179" s="2135"/>
      <c r="CD179" s="2135">
        <f>IFERROR(CE179/BV179*10,0)</f>
        <v>3</v>
      </c>
      <c r="CE179" s="2135">
        <f>BZ179+BX179</f>
        <v>8.0575200000000002</v>
      </c>
      <c r="CF179" s="2149">
        <v>25.992000000000004</v>
      </c>
      <c r="CG179" s="2135">
        <f>IFERROR(CH179/CF179*10,0)</f>
        <v>0</v>
      </c>
      <c r="CH179" s="2109">
        <v>0</v>
      </c>
      <c r="CI179" s="2109">
        <v>3</v>
      </c>
      <c r="CJ179" s="2109">
        <f t="shared" si="307"/>
        <v>7.797600000000001</v>
      </c>
      <c r="CK179" s="2135"/>
      <c r="CL179" s="2135"/>
      <c r="CM179" s="2135"/>
      <c r="CN179" s="2135">
        <f>IFERROR(CO179/CF179*10,0)</f>
        <v>3</v>
      </c>
      <c r="CO179" s="2135">
        <f>CJ179+CH179</f>
        <v>7.797600000000001</v>
      </c>
      <c r="CP179" s="2149">
        <v>37.4604</v>
      </c>
      <c r="CQ179" s="2135">
        <f>IFERROR(CR179/CP179*10,0)</f>
        <v>0</v>
      </c>
      <c r="CR179" s="2109">
        <v>0</v>
      </c>
      <c r="CS179" s="2109">
        <v>3</v>
      </c>
      <c r="CT179" s="2109">
        <f t="shared" si="311"/>
        <v>11.23812</v>
      </c>
      <c r="CU179" s="2135"/>
      <c r="CV179" s="2135"/>
      <c r="CW179" s="2135"/>
      <c r="CX179" s="2135">
        <f>IFERROR(CY179/CP179*10,0)</f>
        <v>3</v>
      </c>
      <c r="CY179" s="2135">
        <f>CT179+CR179</f>
        <v>11.23812</v>
      </c>
      <c r="CZ179" s="2149">
        <v>37.4604</v>
      </c>
      <c r="DA179" s="2135">
        <f>IFERROR(DB179/CZ179*10,0)</f>
        <v>0</v>
      </c>
      <c r="DB179" s="2109">
        <v>0</v>
      </c>
      <c r="DC179" s="2109">
        <v>3</v>
      </c>
      <c r="DD179" s="2109">
        <f t="shared" si="315"/>
        <v>11.23812</v>
      </c>
      <c r="DE179" s="2135"/>
      <c r="DF179" s="2135"/>
      <c r="DG179" s="2135"/>
      <c r="DH179" s="2135">
        <f>IFERROR(DI179/CZ179*10,0)</f>
        <v>3</v>
      </c>
      <c r="DI179" s="2135">
        <f>DD179+DB179</f>
        <v>11.23812</v>
      </c>
      <c r="DJ179" s="2149">
        <v>33.835200000000007</v>
      </c>
      <c r="DK179" s="2135">
        <f>IFERROR(DL179/DJ179*10,0)</f>
        <v>0</v>
      </c>
      <c r="DL179" s="2109">
        <v>0</v>
      </c>
      <c r="DM179" s="2109">
        <v>3</v>
      </c>
      <c r="DN179" s="2109">
        <f t="shared" si="319"/>
        <v>10.150560000000002</v>
      </c>
      <c r="DO179" s="2135"/>
      <c r="DP179" s="2135"/>
      <c r="DQ179" s="2135"/>
      <c r="DR179" s="2135">
        <f>IFERROR(DS179/DJ179*10,0)</f>
        <v>3</v>
      </c>
      <c r="DS179" s="2135">
        <f>DN179+DL179</f>
        <v>10.150560000000002</v>
      </c>
      <c r="DT179" s="2149">
        <v>37.4604</v>
      </c>
      <c r="DU179" s="2135">
        <f>IFERROR(DV179/DT179*10,0)</f>
        <v>0</v>
      </c>
      <c r="DV179" s="2109">
        <v>0</v>
      </c>
      <c r="DW179" s="2109">
        <v>3</v>
      </c>
      <c r="DX179" s="2109">
        <f t="shared" si="323"/>
        <v>11.23812</v>
      </c>
      <c r="DY179" s="2135"/>
      <c r="DZ179" s="2135"/>
      <c r="EA179" s="2135"/>
      <c r="EB179" s="2135">
        <f>IFERROR(EC179/DT179*10,0)</f>
        <v>3</v>
      </c>
      <c r="EC179" s="2135">
        <f>DX179+DV179</f>
        <v>11.23812</v>
      </c>
      <c r="ED179" s="2135"/>
      <c r="EE179" s="2106">
        <f>SUM(N179,X179,AH179,AR179,BB179,BL179,BV179,CF179,CP179,CZ179,DJ179,DT179)</f>
        <v>253.05704270769232</v>
      </c>
      <c r="EF179" s="2106">
        <f>IFERROR((EG179/EE179)*10,0)</f>
        <v>0</v>
      </c>
      <c r="EG179" s="2107">
        <f>SUM(P179,Z179,AJ179,AT179,BD179,BN179,BX179,CH179,CR179,DB179,DL179,DV179)</f>
        <v>0</v>
      </c>
      <c r="EH179" s="2106">
        <f>IFERROR((EI179/EE179)*10,0)</f>
        <v>3</v>
      </c>
      <c r="EI179" s="2107">
        <f>SUM(R179,AB179,AL179,AV179,BF179,BP179,BZ179,CJ179,CT179,DD179,DN179,DX179)</f>
        <v>75.917112812307693</v>
      </c>
      <c r="EJ179" s="2106"/>
      <c r="EK179" s="2106"/>
      <c r="EL179" s="2106"/>
      <c r="EM179" s="2106">
        <f>IFERROR(EN179/EE179*10,0)</f>
        <v>3</v>
      </c>
      <c r="EN179" s="2106">
        <f>EG179+EI179+EK179+EL179</f>
        <v>75.917112812307693</v>
      </c>
      <c r="EO179" s="2106">
        <f t="shared" si="344"/>
        <v>3</v>
      </c>
      <c r="EP179" s="2114">
        <f t="shared" si="345"/>
        <v>3</v>
      </c>
      <c r="EQ179" s="2224"/>
      <c r="ER179" s="2277"/>
      <c r="EU179" s="2230"/>
    </row>
    <row r="180" spans="1:151">
      <c r="A180" s="2220">
        <v>6</v>
      </c>
      <c r="B180" s="2227" t="s">
        <v>2093</v>
      </c>
      <c r="C180" s="2227"/>
      <c r="D180" s="2227"/>
      <c r="E180" s="2227"/>
      <c r="F180" s="2227"/>
      <c r="G180" s="1774"/>
      <c r="H180" s="2248" t="s">
        <v>1667</v>
      </c>
      <c r="I180" s="2249">
        <v>0</v>
      </c>
      <c r="J180" s="2248"/>
      <c r="K180" s="2227"/>
      <c r="L180" s="2227"/>
      <c r="M180" s="2106">
        <f t="shared" si="340"/>
        <v>0</v>
      </c>
      <c r="N180" s="2149">
        <v>0</v>
      </c>
      <c r="O180" s="2135"/>
      <c r="P180" s="2109">
        <v>0</v>
      </c>
      <c r="Q180" s="2109">
        <v>0</v>
      </c>
      <c r="R180" s="2109">
        <f t="shared" si="279"/>
        <v>0</v>
      </c>
      <c r="S180" s="2135"/>
      <c r="T180" s="2135"/>
      <c r="U180" s="2135"/>
      <c r="V180" s="2135">
        <f t="shared" si="341"/>
        <v>0</v>
      </c>
      <c r="W180" s="2135">
        <f t="shared" si="342"/>
        <v>0</v>
      </c>
      <c r="X180" s="2149">
        <v>0</v>
      </c>
      <c r="Y180" s="2135"/>
      <c r="Z180" s="2109">
        <v>0</v>
      </c>
      <c r="AA180" s="2109">
        <v>0</v>
      </c>
      <c r="AB180" s="2109">
        <f t="shared" si="283"/>
        <v>0</v>
      </c>
      <c r="AC180" s="2135"/>
      <c r="AD180" s="2135"/>
      <c r="AE180" s="2135"/>
      <c r="AF180" s="2135">
        <f t="shared" si="343"/>
        <v>0</v>
      </c>
      <c r="AG180" s="2135"/>
      <c r="AH180" s="2149">
        <v>0</v>
      </c>
      <c r="AI180" s="2135"/>
      <c r="AJ180" s="2109">
        <v>0</v>
      </c>
      <c r="AK180" s="2109">
        <v>0</v>
      </c>
      <c r="AL180" s="2109">
        <f t="shared" si="287"/>
        <v>0</v>
      </c>
      <c r="AM180" s="2135"/>
      <c r="AN180" s="2135"/>
      <c r="AO180" s="2135"/>
      <c r="AP180" s="2135"/>
      <c r="AQ180" s="2135"/>
      <c r="AR180" s="2149">
        <v>0</v>
      </c>
      <c r="AS180" s="2135"/>
      <c r="AT180" s="2109">
        <v>0</v>
      </c>
      <c r="AU180" s="2109">
        <v>0</v>
      </c>
      <c r="AV180" s="2109">
        <f t="shared" si="291"/>
        <v>0</v>
      </c>
      <c r="AW180" s="2135"/>
      <c r="AX180" s="2135"/>
      <c r="AY180" s="2238"/>
      <c r="AZ180" s="2135"/>
      <c r="BA180" s="2135"/>
      <c r="BB180" s="2149">
        <v>0</v>
      </c>
      <c r="BC180" s="2135"/>
      <c r="BD180" s="2109">
        <v>0</v>
      </c>
      <c r="BE180" s="2109">
        <v>0</v>
      </c>
      <c r="BF180" s="2109">
        <f t="shared" si="295"/>
        <v>0</v>
      </c>
      <c r="BG180" s="2135"/>
      <c r="BH180" s="2135"/>
      <c r="BI180" s="2135"/>
      <c r="BJ180" s="2135"/>
      <c r="BK180" s="2135"/>
      <c r="BL180" s="2149">
        <v>0</v>
      </c>
      <c r="BM180" s="2135"/>
      <c r="BN180" s="2109">
        <v>0</v>
      </c>
      <c r="BO180" s="2109">
        <v>0</v>
      </c>
      <c r="BP180" s="2109">
        <f t="shared" si="299"/>
        <v>0</v>
      </c>
      <c r="BQ180" s="2135"/>
      <c r="BR180" s="2135"/>
      <c r="BS180" s="2135"/>
      <c r="BT180" s="2135"/>
      <c r="BU180" s="2135"/>
      <c r="BV180" s="2149">
        <v>0</v>
      </c>
      <c r="BW180" s="2135"/>
      <c r="BX180" s="2109">
        <v>0</v>
      </c>
      <c r="BY180" s="2109">
        <v>0</v>
      </c>
      <c r="BZ180" s="2109">
        <f t="shared" si="303"/>
        <v>0</v>
      </c>
      <c r="CA180" s="2135"/>
      <c r="CB180" s="2135"/>
      <c r="CC180" s="2135"/>
      <c r="CD180" s="2135"/>
      <c r="CE180" s="2135"/>
      <c r="CF180" s="2149">
        <v>0</v>
      </c>
      <c r="CG180" s="2135"/>
      <c r="CH180" s="2109">
        <v>0</v>
      </c>
      <c r="CI180" s="2109">
        <v>0</v>
      </c>
      <c r="CJ180" s="2109">
        <f t="shared" si="307"/>
        <v>0</v>
      </c>
      <c r="CK180" s="2135"/>
      <c r="CL180" s="2135"/>
      <c r="CM180" s="2135"/>
      <c r="CN180" s="2135"/>
      <c r="CO180" s="2135"/>
      <c r="CP180" s="2149">
        <v>0</v>
      </c>
      <c r="CQ180" s="2135"/>
      <c r="CR180" s="2109">
        <v>0</v>
      </c>
      <c r="CS180" s="2109">
        <v>0</v>
      </c>
      <c r="CT180" s="2109">
        <f t="shared" si="311"/>
        <v>0</v>
      </c>
      <c r="CU180" s="2135"/>
      <c r="CV180" s="2135"/>
      <c r="CW180" s="2135"/>
      <c r="CX180" s="2135"/>
      <c r="CY180" s="2135"/>
      <c r="CZ180" s="2149">
        <v>0</v>
      </c>
      <c r="DA180" s="2135"/>
      <c r="DB180" s="2109">
        <v>0</v>
      </c>
      <c r="DC180" s="2109">
        <v>0</v>
      </c>
      <c r="DD180" s="2109">
        <f t="shared" si="315"/>
        <v>0</v>
      </c>
      <c r="DE180" s="2135"/>
      <c r="DF180" s="2135"/>
      <c r="DG180" s="2135"/>
      <c r="DH180" s="2135"/>
      <c r="DI180" s="2135"/>
      <c r="DJ180" s="2149">
        <v>0</v>
      </c>
      <c r="DK180" s="2135"/>
      <c r="DL180" s="2109">
        <v>0</v>
      </c>
      <c r="DM180" s="2109">
        <v>0</v>
      </c>
      <c r="DN180" s="2109">
        <f t="shared" si="319"/>
        <v>0</v>
      </c>
      <c r="DO180" s="2135"/>
      <c r="DP180" s="2135"/>
      <c r="DQ180" s="2135"/>
      <c r="DR180" s="2135"/>
      <c r="DS180" s="2135"/>
      <c r="DT180" s="2149">
        <v>0</v>
      </c>
      <c r="DU180" s="2135"/>
      <c r="DV180" s="2109">
        <v>0</v>
      </c>
      <c r="DW180" s="2109">
        <v>0</v>
      </c>
      <c r="DX180" s="2109">
        <f t="shared" si="323"/>
        <v>0</v>
      </c>
      <c r="DY180" s="2135"/>
      <c r="DZ180" s="2135"/>
      <c r="EA180" s="2135"/>
      <c r="EB180" s="2135"/>
      <c r="EC180" s="2135"/>
      <c r="ED180" s="2135"/>
      <c r="EE180" s="2106"/>
      <c r="EF180" s="2106"/>
      <c r="EG180" s="2107"/>
      <c r="EH180" s="2106"/>
      <c r="EI180" s="2107"/>
      <c r="EJ180" s="2106"/>
      <c r="EK180" s="2106"/>
      <c r="EL180" s="2106"/>
      <c r="EM180" s="2106"/>
      <c r="EN180" s="2106"/>
      <c r="EO180" s="2106" t="e">
        <f t="shared" si="344"/>
        <v>#DIV/0!</v>
      </c>
      <c r="EP180" s="2114" t="e">
        <f t="shared" si="345"/>
        <v>#DIV/0!</v>
      </c>
      <c r="EQ180" s="2224"/>
      <c r="ER180" s="2277"/>
      <c r="EU180" s="2230"/>
    </row>
    <row r="181" spans="1:151">
      <c r="A181" s="2220">
        <v>7</v>
      </c>
      <c r="B181" s="2227" t="s">
        <v>1796</v>
      </c>
      <c r="C181" s="2227"/>
      <c r="D181" s="2227"/>
      <c r="E181" s="2227"/>
      <c r="F181" s="2227"/>
      <c r="G181" s="1774"/>
      <c r="H181" s="2248" t="s">
        <v>1667</v>
      </c>
      <c r="I181" s="2249">
        <v>0</v>
      </c>
      <c r="J181" s="2248"/>
      <c r="K181" s="2227"/>
      <c r="L181" s="2227"/>
      <c r="M181" s="2106">
        <f t="shared" si="340"/>
        <v>0</v>
      </c>
      <c r="N181" s="2149">
        <v>0</v>
      </c>
      <c r="O181" s="2135"/>
      <c r="P181" s="2109">
        <v>0</v>
      </c>
      <c r="Q181" s="2109">
        <v>0</v>
      </c>
      <c r="R181" s="2109">
        <f t="shared" si="279"/>
        <v>0</v>
      </c>
      <c r="S181" s="2135"/>
      <c r="T181" s="2135"/>
      <c r="U181" s="2135"/>
      <c r="V181" s="2135">
        <f t="shared" si="341"/>
        <v>0</v>
      </c>
      <c r="W181" s="2135">
        <f t="shared" si="342"/>
        <v>0</v>
      </c>
      <c r="X181" s="2149">
        <v>0</v>
      </c>
      <c r="Y181" s="2135"/>
      <c r="Z181" s="2109">
        <v>0</v>
      </c>
      <c r="AA181" s="2109">
        <v>0</v>
      </c>
      <c r="AB181" s="2109">
        <f t="shared" si="283"/>
        <v>0</v>
      </c>
      <c r="AC181" s="2135"/>
      <c r="AD181" s="2135"/>
      <c r="AE181" s="2135"/>
      <c r="AF181" s="2135">
        <f t="shared" si="343"/>
        <v>0</v>
      </c>
      <c r="AG181" s="2135"/>
      <c r="AH181" s="2149">
        <v>0</v>
      </c>
      <c r="AI181" s="2135"/>
      <c r="AJ181" s="2109">
        <v>0</v>
      </c>
      <c r="AK181" s="2109">
        <v>0</v>
      </c>
      <c r="AL181" s="2109">
        <f t="shared" si="287"/>
        <v>0</v>
      </c>
      <c r="AM181" s="2135"/>
      <c r="AN181" s="2135"/>
      <c r="AO181" s="2135"/>
      <c r="AP181" s="2135"/>
      <c r="AQ181" s="2135"/>
      <c r="AR181" s="2149">
        <v>0</v>
      </c>
      <c r="AS181" s="2135"/>
      <c r="AT181" s="2109">
        <v>0</v>
      </c>
      <c r="AU181" s="2109">
        <v>0</v>
      </c>
      <c r="AV181" s="2109">
        <f t="shared" si="291"/>
        <v>0</v>
      </c>
      <c r="AW181" s="2135"/>
      <c r="AX181" s="2135"/>
      <c r="AY181" s="2238"/>
      <c r="AZ181" s="2135"/>
      <c r="BA181" s="2135"/>
      <c r="BB181" s="2149">
        <v>0</v>
      </c>
      <c r="BC181" s="2135"/>
      <c r="BD181" s="2109">
        <v>0</v>
      </c>
      <c r="BE181" s="2109">
        <v>0</v>
      </c>
      <c r="BF181" s="2109">
        <f t="shared" si="295"/>
        <v>0</v>
      </c>
      <c r="BG181" s="2135"/>
      <c r="BH181" s="2135"/>
      <c r="BI181" s="2135"/>
      <c r="BJ181" s="2135"/>
      <c r="BK181" s="2135"/>
      <c r="BL181" s="2149">
        <v>0</v>
      </c>
      <c r="BM181" s="2135"/>
      <c r="BN181" s="2109">
        <v>0</v>
      </c>
      <c r="BO181" s="2109">
        <v>0</v>
      </c>
      <c r="BP181" s="2109">
        <f t="shared" si="299"/>
        <v>0</v>
      </c>
      <c r="BQ181" s="2135"/>
      <c r="BR181" s="2135"/>
      <c r="BS181" s="2135"/>
      <c r="BT181" s="2135"/>
      <c r="BU181" s="2135"/>
      <c r="BV181" s="2149">
        <v>0</v>
      </c>
      <c r="BW181" s="2135"/>
      <c r="BX181" s="2109">
        <v>0</v>
      </c>
      <c r="BY181" s="2109">
        <v>0</v>
      </c>
      <c r="BZ181" s="2109">
        <f t="shared" si="303"/>
        <v>0</v>
      </c>
      <c r="CA181" s="2135"/>
      <c r="CB181" s="2135"/>
      <c r="CC181" s="2135"/>
      <c r="CD181" s="2135"/>
      <c r="CE181" s="2135"/>
      <c r="CF181" s="2149">
        <v>0</v>
      </c>
      <c r="CG181" s="2135"/>
      <c r="CH181" s="2109">
        <v>0</v>
      </c>
      <c r="CI181" s="2109">
        <v>0</v>
      </c>
      <c r="CJ181" s="2109">
        <f t="shared" si="307"/>
        <v>0</v>
      </c>
      <c r="CK181" s="2135"/>
      <c r="CL181" s="2135"/>
      <c r="CM181" s="2135"/>
      <c r="CN181" s="2135"/>
      <c r="CO181" s="2135"/>
      <c r="CP181" s="2149">
        <v>0</v>
      </c>
      <c r="CQ181" s="2135"/>
      <c r="CR181" s="2109">
        <v>0</v>
      </c>
      <c r="CS181" s="2109">
        <v>0</v>
      </c>
      <c r="CT181" s="2109">
        <f t="shared" si="311"/>
        <v>0</v>
      </c>
      <c r="CU181" s="2135"/>
      <c r="CV181" s="2135"/>
      <c r="CW181" s="2135"/>
      <c r="CX181" s="2135"/>
      <c r="CY181" s="2135"/>
      <c r="CZ181" s="2149">
        <v>0</v>
      </c>
      <c r="DA181" s="2135"/>
      <c r="DB181" s="2109">
        <v>0</v>
      </c>
      <c r="DC181" s="2109">
        <v>0</v>
      </c>
      <c r="DD181" s="2109">
        <f t="shared" si="315"/>
        <v>0</v>
      </c>
      <c r="DE181" s="2135"/>
      <c r="DF181" s="2135"/>
      <c r="DG181" s="2135"/>
      <c r="DH181" s="2135"/>
      <c r="DI181" s="2135"/>
      <c r="DJ181" s="2149">
        <v>0</v>
      </c>
      <c r="DK181" s="2135"/>
      <c r="DL181" s="2109">
        <v>0</v>
      </c>
      <c r="DM181" s="2109">
        <v>0</v>
      </c>
      <c r="DN181" s="2109">
        <f t="shared" si="319"/>
        <v>0</v>
      </c>
      <c r="DO181" s="2135"/>
      <c r="DP181" s="2135"/>
      <c r="DQ181" s="2135"/>
      <c r="DR181" s="2135"/>
      <c r="DS181" s="2135"/>
      <c r="DT181" s="2149">
        <v>0</v>
      </c>
      <c r="DU181" s="2135"/>
      <c r="DV181" s="2109">
        <v>0</v>
      </c>
      <c r="DW181" s="2109">
        <v>0</v>
      </c>
      <c r="DX181" s="2109">
        <f t="shared" si="323"/>
        <v>0</v>
      </c>
      <c r="DY181" s="2135"/>
      <c r="DZ181" s="2135"/>
      <c r="EA181" s="2135"/>
      <c r="EB181" s="2135"/>
      <c r="EC181" s="2135"/>
      <c r="ED181" s="2135"/>
      <c r="EE181" s="2106"/>
      <c r="EF181" s="2106"/>
      <c r="EG181" s="2107"/>
      <c r="EH181" s="2106"/>
      <c r="EI181" s="2107"/>
      <c r="EJ181" s="2106"/>
      <c r="EK181" s="2106"/>
      <c r="EL181" s="2106"/>
      <c r="EM181" s="2106"/>
      <c r="EN181" s="2106"/>
      <c r="EO181" s="2106" t="e">
        <f t="shared" si="344"/>
        <v>#DIV/0!</v>
      </c>
      <c r="EP181" s="2114" t="e">
        <f t="shared" si="345"/>
        <v>#DIV/0!</v>
      </c>
      <c r="EQ181" s="2224"/>
      <c r="ER181" s="2277"/>
      <c r="EU181" s="2230"/>
    </row>
    <row r="182" spans="1:151">
      <c r="A182" s="2220"/>
      <c r="B182" s="2227" t="s">
        <v>211</v>
      </c>
      <c r="C182" s="2236">
        <f>SUM(C175:C181)</f>
        <v>3040</v>
      </c>
      <c r="D182" s="2135"/>
      <c r="E182" s="2135"/>
      <c r="F182" s="2279">
        <f>J182/(G182*8.76)</f>
        <v>0.18232239785924242</v>
      </c>
      <c r="G182" s="2107">
        <f>SUM(G175:G181)</f>
        <v>3040</v>
      </c>
      <c r="H182" s="2135"/>
      <c r="I182" s="2280"/>
      <c r="J182" s="2236">
        <f>SUM(J175:J181)</f>
        <v>4855.3183839507692</v>
      </c>
      <c r="K182" s="2135"/>
      <c r="L182" s="2135"/>
      <c r="M182" s="2107">
        <f>SUM(M175:M181)</f>
        <v>4855.3183839507692</v>
      </c>
      <c r="N182" s="2107">
        <f>SUM(N175:N181)</f>
        <v>385.09199999999998</v>
      </c>
      <c r="O182" s="2135"/>
      <c r="P182" s="2107">
        <f>SUM(P175:P181)</f>
        <v>0</v>
      </c>
      <c r="Q182" s="2109">
        <v>0</v>
      </c>
      <c r="R182" s="2107">
        <f>SUM(R175:R181)</f>
        <v>143.90333389579038</v>
      </c>
      <c r="S182" s="2135"/>
      <c r="T182" s="2135"/>
      <c r="U182" s="2135"/>
      <c r="V182" s="2135"/>
      <c r="W182" s="2236">
        <f>SUM(W175:W181)</f>
        <v>143.90333389579038</v>
      </c>
      <c r="X182" s="2236">
        <f>SUM(X175:X181)</f>
        <v>399.00270395076922</v>
      </c>
      <c r="Y182" s="2135"/>
      <c r="Z182" s="2236">
        <f>SUM(Z175:Z181)</f>
        <v>0</v>
      </c>
      <c r="AA182" s="2109">
        <v>0</v>
      </c>
      <c r="AB182" s="2236">
        <f>SUM(AB175:AB181)</f>
        <v>149.02240287754751</v>
      </c>
      <c r="AC182" s="2135"/>
      <c r="AD182" s="2135"/>
      <c r="AE182" s="2135"/>
      <c r="AF182" s="2135"/>
      <c r="AG182" s="2236">
        <f>SUM(AG175:AG181)</f>
        <v>149.02240287754751</v>
      </c>
      <c r="AH182" s="2236">
        <f>SUM(AH175:AH181)</f>
        <v>385.09199999999998</v>
      </c>
      <c r="AI182" s="2135"/>
      <c r="AJ182" s="2236">
        <f>SUM(AJ175:AJ181)</f>
        <v>0</v>
      </c>
      <c r="AK182" s="2109">
        <v>0</v>
      </c>
      <c r="AL182" s="2236">
        <f>SUM(AL175:AL181)</f>
        <v>143.90333389579038</v>
      </c>
      <c r="AM182" s="2135"/>
      <c r="AN182" s="2135"/>
      <c r="AO182" s="2238"/>
      <c r="AP182" s="2135"/>
      <c r="AQ182" s="2236">
        <f>SUM(AQ175:AQ181)</f>
        <v>143.90333389579038</v>
      </c>
      <c r="AR182" s="2236">
        <f>SUM(AR175:AR181)</f>
        <v>397.92840000000001</v>
      </c>
      <c r="AS182" s="2135"/>
      <c r="AT182" s="2236">
        <f>SUM(AT175:AT181)</f>
        <v>0</v>
      </c>
      <c r="AU182" s="2109">
        <v>0</v>
      </c>
      <c r="AV182" s="2236">
        <f>SUM(AV175:AV181)</f>
        <v>148.70011169231674</v>
      </c>
      <c r="AW182" s="2236">
        <f t="shared" ref="AW182:DG182" si="346">SUM(AW175:AW181)</f>
        <v>0</v>
      </c>
      <c r="AX182" s="2236">
        <f t="shared" si="346"/>
        <v>0</v>
      </c>
      <c r="AY182" s="2236">
        <f t="shared" si="346"/>
        <v>0</v>
      </c>
      <c r="AZ182" s="2236"/>
      <c r="BA182" s="2236">
        <f t="shared" si="346"/>
        <v>148.70011169231674</v>
      </c>
      <c r="BB182" s="2236">
        <f t="shared" si="346"/>
        <v>397.92840000000001</v>
      </c>
      <c r="BC182" s="2135"/>
      <c r="BD182" s="2236">
        <f t="shared" si="346"/>
        <v>0</v>
      </c>
      <c r="BE182" s="2109">
        <v>0</v>
      </c>
      <c r="BF182" s="2236">
        <f t="shared" si="346"/>
        <v>148.70011169231674</v>
      </c>
      <c r="BG182" s="2236">
        <f t="shared" si="346"/>
        <v>0</v>
      </c>
      <c r="BH182" s="2236">
        <f t="shared" si="346"/>
        <v>0</v>
      </c>
      <c r="BI182" s="2236">
        <f t="shared" si="346"/>
        <v>0</v>
      </c>
      <c r="BJ182" s="2236"/>
      <c r="BK182" s="2236">
        <f t="shared" si="346"/>
        <v>148.70011169231674</v>
      </c>
      <c r="BL182" s="2236">
        <f t="shared" si="346"/>
        <v>405.61200000000002</v>
      </c>
      <c r="BM182" s="2135"/>
      <c r="BN182" s="2236">
        <f t="shared" si="346"/>
        <v>0</v>
      </c>
      <c r="BO182" s="2109">
        <v>0</v>
      </c>
      <c r="BP182" s="2236">
        <f t="shared" si="346"/>
        <v>150.05933389579036</v>
      </c>
      <c r="BQ182" s="2236">
        <f t="shared" si="346"/>
        <v>0</v>
      </c>
      <c r="BR182" s="2236">
        <f t="shared" si="346"/>
        <v>0</v>
      </c>
      <c r="BS182" s="2236">
        <f t="shared" si="346"/>
        <v>0</v>
      </c>
      <c r="BT182" s="2236"/>
      <c r="BU182" s="2236">
        <f t="shared" si="346"/>
        <v>150.05933389579036</v>
      </c>
      <c r="BV182" s="2236">
        <f t="shared" si="346"/>
        <v>419.13240000000002</v>
      </c>
      <c r="BW182" s="2135"/>
      <c r="BX182" s="2236">
        <f t="shared" si="346"/>
        <v>0</v>
      </c>
      <c r="BY182" s="2109">
        <v>0</v>
      </c>
      <c r="BZ182" s="2236">
        <f t="shared" si="346"/>
        <v>155.06131169231674</v>
      </c>
      <c r="CA182" s="2236">
        <f t="shared" si="346"/>
        <v>0</v>
      </c>
      <c r="CB182" s="2236">
        <f t="shared" si="346"/>
        <v>0</v>
      </c>
      <c r="CC182" s="2236">
        <f t="shared" si="346"/>
        <v>0</v>
      </c>
      <c r="CD182" s="2236"/>
      <c r="CE182" s="2236">
        <f t="shared" si="346"/>
        <v>155.06131169231674</v>
      </c>
      <c r="CF182" s="2236">
        <f t="shared" si="346"/>
        <v>405.61200000000002</v>
      </c>
      <c r="CG182" s="2135"/>
      <c r="CH182" s="2236">
        <f t="shared" si="346"/>
        <v>0</v>
      </c>
      <c r="CI182" s="2109">
        <v>0</v>
      </c>
      <c r="CJ182" s="2236">
        <f t="shared" si="346"/>
        <v>150.05933389579036</v>
      </c>
      <c r="CK182" s="2236">
        <f t="shared" si="346"/>
        <v>0</v>
      </c>
      <c r="CL182" s="2236">
        <f t="shared" si="346"/>
        <v>0</v>
      </c>
      <c r="CM182" s="2236">
        <f t="shared" si="346"/>
        <v>0</v>
      </c>
      <c r="CN182" s="2236"/>
      <c r="CO182" s="2236">
        <f t="shared" si="346"/>
        <v>150.05933389579036</v>
      </c>
      <c r="CP182" s="2236">
        <f t="shared" si="346"/>
        <v>412.30248</v>
      </c>
      <c r="CQ182" s="2135"/>
      <c r="CR182" s="2236">
        <f t="shared" si="346"/>
        <v>0</v>
      </c>
      <c r="CS182" s="2109">
        <v>0</v>
      </c>
      <c r="CT182" s="2236">
        <f t="shared" si="346"/>
        <v>151.46909402430006</v>
      </c>
      <c r="CU182" s="2236"/>
      <c r="CV182" s="2236"/>
      <c r="CW182" s="2236">
        <f t="shared" si="346"/>
        <v>0</v>
      </c>
      <c r="CX182" s="2236"/>
      <c r="CY182" s="2236">
        <f t="shared" si="346"/>
        <v>151.46909402430006</v>
      </c>
      <c r="CZ182" s="2236">
        <f t="shared" si="346"/>
        <v>429.73439999999999</v>
      </c>
      <c r="DA182" s="2135"/>
      <c r="DB182" s="2236">
        <f t="shared" si="346"/>
        <v>0</v>
      </c>
      <c r="DC182" s="2109">
        <v>0</v>
      </c>
      <c r="DD182" s="2236">
        <f t="shared" si="346"/>
        <v>158.24191169231673</v>
      </c>
      <c r="DE182" s="2236">
        <f t="shared" si="346"/>
        <v>0</v>
      </c>
      <c r="DF182" s="2236">
        <f t="shared" si="346"/>
        <v>0</v>
      </c>
      <c r="DG182" s="2236">
        <f t="shared" si="346"/>
        <v>0</v>
      </c>
      <c r="DH182" s="2236"/>
      <c r="DI182" s="2236">
        <f t="shared" ref="DI182:EN182" si="347">SUM(DI175:DI181)</f>
        <v>158.24191169231673</v>
      </c>
      <c r="DJ182" s="2236">
        <f t="shared" si="347"/>
        <v>388.1472</v>
      </c>
      <c r="DK182" s="2135"/>
      <c r="DL182" s="2236">
        <f t="shared" si="347"/>
        <v>0</v>
      </c>
      <c r="DM182" s="2109">
        <v>0</v>
      </c>
      <c r="DN182" s="2236">
        <f t="shared" si="347"/>
        <v>142.92817830273771</v>
      </c>
      <c r="DO182" s="2236">
        <f t="shared" si="347"/>
        <v>0</v>
      </c>
      <c r="DP182" s="2236">
        <f t="shared" si="347"/>
        <v>0</v>
      </c>
      <c r="DQ182" s="2236">
        <f t="shared" si="347"/>
        <v>0</v>
      </c>
      <c r="DR182" s="2236"/>
      <c r="DS182" s="2236">
        <f t="shared" si="347"/>
        <v>142.92817830273771</v>
      </c>
      <c r="DT182" s="2236">
        <f t="shared" si="347"/>
        <v>429.73439999999999</v>
      </c>
      <c r="DU182" s="2135"/>
      <c r="DV182" s="2236">
        <f t="shared" si="347"/>
        <v>0</v>
      </c>
      <c r="DW182" s="2109">
        <v>0</v>
      </c>
      <c r="DX182" s="2236">
        <f t="shared" si="347"/>
        <v>158.24191169231673</v>
      </c>
      <c r="DY182" s="2236">
        <f t="shared" si="347"/>
        <v>0</v>
      </c>
      <c r="DZ182" s="2236">
        <f t="shared" si="347"/>
        <v>0</v>
      </c>
      <c r="EA182" s="2236">
        <f t="shared" si="347"/>
        <v>0</v>
      </c>
      <c r="EB182" s="2236"/>
      <c r="EC182" s="2236">
        <f t="shared" si="347"/>
        <v>158.24191169231673</v>
      </c>
      <c r="ED182" s="2236">
        <f t="shared" si="347"/>
        <v>0</v>
      </c>
      <c r="EE182" s="2107">
        <f t="shared" si="347"/>
        <v>4855.3183839507692</v>
      </c>
      <c r="EF182" s="2106">
        <f>IFERROR((EG182/EE182)*10,0)</f>
        <v>0</v>
      </c>
      <c r="EG182" s="2107">
        <f t="shared" si="347"/>
        <v>0</v>
      </c>
      <c r="EH182" s="2106">
        <f>IFERROR((EI182/EE182)*10,0)</f>
        <v>3.7078729485592161</v>
      </c>
      <c r="EI182" s="2107">
        <f t="shared" si="347"/>
        <v>1800.2903692493308</v>
      </c>
      <c r="EJ182" s="2107">
        <f t="shared" si="347"/>
        <v>0</v>
      </c>
      <c r="EK182" s="2107">
        <f t="shared" si="347"/>
        <v>0</v>
      </c>
      <c r="EL182" s="2107">
        <f t="shared" si="347"/>
        <v>0</v>
      </c>
      <c r="EM182" s="2106">
        <f>IFERROR(EN182/EE182*10,0)</f>
        <v>3.7078729485592161</v>
      </c>
      <c r="EN182" s="2107">
        <f t="shared" si="347"/>
        <v>1800.2903692493308</v>
      </c>
      <c r="EO182" s="2106">
        <f t="shared" si="344"/>
        <v>3.7078729485592161</v>
      </c>
      <c r="EP182" s="2114">
        <f t="shared" si="345"/>
        <v>3.7078729485592161</v>
      </c>
      <c r="EQ182" s="2224"/>
      <c r="ER182" s="2277"/>
      <c r="EU182" s="2230"/>
    </row>
    <row r="183" spans="1:151">
      <c r="A183" s="2220"/>
      <c r="B183" s="2227"/>
      <c r="C183" s="2227"/>
      <c r="D183" s="2227"/>
      <c r="E183" s="2227"/>
      <c r="F183" s="2227"/>
      <c r="G183" s="1774"/>
      <c r="H183" s="2135"/>
      <c r="I183" s="2280"/>
      <c r="J183" s="2135"/>
      <c r="K183" s="2227"/>
      <c r="L183" s="2227"/>
      <c r="M183" s="2106"/>
      <c r="N183" s="2149">
        <v>0</v>
      </c>
      <c r="O183" s="2135"/>
      <c r="P183" s="2109">
        <v>0</v>
      </c>
      <c r="Q183" s="2109">
        <v>0</v>
      </c>
      <c r="R183" s="2109">
        <f t="shared" si="279"/>
        <v>0</v>
      </c>
      <c r="S183" s="2135"/>
      <c r="T183" s="2135"/>
      <c r="U183" s="2135"/>
      <c r="V183" s="2135"/>
      <c r="W183" s="2135"/>
      <c r="X183" s="2149">
        <v>0</v>
      </c>
      <c r="Y183" s="2135"/>
      <c r="Z183" s="2109">
        <v>0</v>
      </c>
      <c r="AA183" s="2109">
        <v>0</v>
      </c>
      <c r="AB183" s="2109">
        <f t="shared" si="283"/>
        <v>0</v>
      </c>
      <c r="AC183" s="2135"/>
      <c r="AD183" s="2135"/>
      <c r="AE183" s="2135"/>
      <c r="AF183" s="2135"/>
      <c r="AG183" s="2135"/>
      <c r="AH183" s="2149">
        <v>0</v>
      </c>
      <c r="AI183" s="2135"/>
      <c r="AJ183" s="2109">
        <v>0</v>
      </c>
      <c r="AK183" s="2109">
        <v>0</v>
      </c>
      <c r="AL183" s="2109">
        <f t="shared" si="287"/>
        <v>0</v>
      </c>
      <c r="AM183" s="2135"/>
      <c r="AN183" s="2135"/>
      <c r="AO183" s="2238"/>
      <c r="AP183" s="2135"/>
      <c r="AQ183" s="2135"/>
      <c r="AR183" s="2149">
        <v>0</v>
      </c>
      <c r="AS183" s="2135"/>
      <c r="AT183" s="2109">
        <v>0</v>
      </c>
      <c r="AU183" s="2109">
        <v>0</v>
      </c>
      <c r="AV183" s="2109">
        <f t="shared" si="291"/>
        <v>0</v>
      </c>
      <c r="AW183" s="2135"/>
      <c r="AX183" s="2135"/>
      <c r="AY183" s="2238"/>
      <c r="AZ183" s="2135"/>
      <c r="BA183" s="2135"/>
      <c r="BB183" s="2149">
        <v>0</v>
      </c>
      <c r="BC183" s="2135"/>
      <c r="BD183" s="2109">
        <v>0</v>
      </c>
      <c r="BE183" s="2109">
        <v>0</v>
      </c>
      <c r="BF183" s="2109">
        <f t="shared" si="295"/>
        <v>0</v>
      </c>
      <c r="BG183" s="2135"/>
      <c r="BH183" s="2135"/>
      <c r="BI183" s="2238"/>
      <c r="BJ183" s="2135"/>
      <c r="BK183" s="2135"/>
      <c r="BL183" s="2149">
        <v>0</v>
      </c>
      <c r="BM183" s="2135"/>
      <c r="BN183" s="2109">
        <v>0</v>
      </c>
      <c r="BO183" s="2109">
        <v>0</v>
      </c>
      <c r="BP183" s="2109">
        <f t="shared" si="299"/>
        <v>0</v>
      </c>
      <c r="BQ183" s="2135"/>
      <c r="BR183" s="2135"/>
      <c r="BS183" s="2135"/>
      <c r="BT183" s="2135"/>
      <c r="BU183" s="2135"/>
      <c r="BV183" s="2149">
        <v>0</v>
      </c>
      <c r="BW183" s="2135"/>
      <c r="BX183" s="2109">
        <v>0</v>
      </c>
      <c r="BY183" s="2109">
        <v>0</v>
      </c>
      <c r="BZ183" s="2109">
        <f t="shared" si="303"/>
        <v>0</v>
      </c>
      <c r="CA183" s="2135"/>
      <c r="CB183" s="2135"/>
      <c r="CC183" s="2135"/>
      <c r="CD183" s="2135"/>
      <c r="CE183" s="2135"/>
      <c r="CF183" s="2149">
        <v>0</v>
      </c>
      <c r="CG183" s="2135"/>
      <c r="CH183" s="2109">
        <v>0</v>
      </c>
      <c r="CI183" s="2109">
        <v>0</v>
      </c>
      <c r="CJ183" s="2109">
        <f t="shared" si="307"/>
        <v>0</v>
      </c>
      <c r="CK183" s="2135"/>
      <c r="CL183" s="2135"/>
      <c r="CM183" s="2238"/>
      <c r="CN183" s="2135"/>
      <c r="CO183" s="2135"/>
      <c r="CP183" s="2149">
        <v>0</v>
      </c>
      <c r="CQ183" s="2135"/>
      <c r="CR183" s="2109">
        <v>0</v>
      </c>
      <c r="CS183" s="2109">
        <v>0</v>
      </c>
      <c r="CT183" s="2109">
        <f t="shared" si="311"/>
        <v>0</v>
      </c>
      <c r="CU183" s="2135"/>
      <c r="CV183" s="2135"/>
      <c r="CW183" s="2238"/>
      <c r="CX183" s="2135"/>
      <c r="CY183" s="2135"/>
      <c r="CZ183" s="2149">
        <v>0</v>
      </c>
      <c r="DA183" s="2135"/>
      <c r="DB183" s="2109">
        <v>0</v>
      </c>
      <c r="DC183" s="2109">
        <v>0</v>
      </c>
      <c r="DD183" s="2109">
        <f t="shared" si="315"/>
        <v>0</v>
      </c>
      <c r="DE183" s="2135"/>
      <c r="DF183" s="2135"/>
      <c r="DG183" s="2238"/>
      <c r="DH183" s="2135"/>
      <c r="DI183" s="2135"/>
      <c r="DJ183" s="2149">
        <v>0</v>
      </c>
      <c r="DK183" s="2135"/>
      <c r="DL183" s="2109">
        <v>0</v>
      </c>
      <c r="DM183" s="2109">
        <v>0</v>
      </c>
      <c r="DN183" s="2109">
        <f t="shared" si="319"/>
        <v>0</v>
      </c>
      <c r="DO183" s="2135"/>
      <c r="DP183" s="2135"/>
      <c r="DQ183" s="2238"/>
      <c r="DR183" s="2135"/>
      <c r="DS183" s="2135"/>
      <c r="DT183" s="2149">
        <v>0</v>
      </c>
      <c r="DU183" s="2135"/>
      <c r="DV183" s="2109">
        <v>0</v>
      </c>
      <c r="DW183" s="2109">
        <v>0</v>
      </c>
      <c r="DX183" s="2109">
        <f t="shared" si="323"/>
        <v>0</v>
      </c>
      <c r="DY183" s="2135"/>
      <c r="DZ183" s="2135"/>
      <c r="EA183" s="2135"/>
      <c r="EB183" s="2135"/>
      <c r="EC183" s="2135"/>
      <c r="ED183" s="2135"/>
      <c r="EE183" s="2107"/>
      <c r="EF183" s="2106"/>
      <c r="EG183" s="2106"/>
      <c r="EH183" s="2106"/>
      <c r="EI183" s="2106"/>
      <c r="EJ183" s="2106"/>
      <c r="EK183" s="2106"/>
      <c r="EL183" s="2106"/>
      <c r="EM183" s="2106"/>
      <c r="EN183" s="2106">
        <f>EG183+EI183+EK183+EL183</f>
        <v>0</v>
      </c>
      <c r="EO183" s="1915"/>
      <c r="EP183" s="2223"/>
      <c r="EQ183" s="2224"/>
      <c r="ER183" s="2277"/>
      <c r="EU183" s="2230"/>
    </row>
    <row r="184" spans="1:151">
      <c r="A184" s="2220" t="s">
        <v>138</v>
      </c>
      <c r="B184" s="2227" t="s">
        <v>1797</v>
      </c>
      <c r="C184" s="2227"/>
      <c r="D184" s="2227"/>
      <c r="E184" s="2227"/>
      <c r="F184" s="2227"/>
      <c r="G184" s="1774"/>
      <c r="H184" s="2135"/>
      <c r="I184" s="2280"/>
      <c r="J184" s="2135"/>
      <c r="K184" s="2227"/>
      <c r="L184" s="2227"/>
      <c r="M184" s="2106"/>
      <c r="N184" s="2149">
        <v>0</v>
      </c>
      <c r="O184" s="2135"/>
      <c r="P184" s="2109">
        <v>0</v>
      </c>
      <c r="Q184" s="2109">
        <v>0</v>
      </c>
      <c r="R184" s="2109">
        <f t="shared" si="279"/>
        <v>0</v>
      </c>
      <c r="S184" s="2135"/>
      <c r="T184" s="2135"/>
      <c r="U184" s="2135"/>
      <c r="V184" s="2135"/>
      <c r="W184" s="2135"/>
      <c r="X184" s="2149">
        <v>0</v>
      </c>
      <c r="Y184" s="2135"/>
      <c r="Z184" s="2109">
        <v>0</v>
      </c>
      <c r="AA184" s="2109">
        <v>0</v>
      </c>
      <c r="AB184" s="2109">
        <f t="shared" si="283"/>
        <v>0</v>
      </c>
      <c r="AC184" s="2135"/>
      <c r="AD184" s="2135"/>
      <c r="AE184" s="2135"/>
      <c r="AF184" s="2135"/>
      <c r="AG184" s="2135"/>
      <c r="AH184" s="2149">
        <v>0</v>
      </c>
      <c r="AI184" s="2135"/>
      <c r="AJ184" s="2109">
        <v>0</v>
      </c>
      <c r="AK184" s="2109">
        <v>0</v>
      </c>
      <c r="AL184" s="2109">
        <f t="shared" si="287"/>
        <v>0</v>
      </c>
      <c r="AM184" s="2135"/>
      <c r="AN184" s="2135"/>
      <c r="AO184" s="2238"/>
      <c r="AP184" s="2135"/>
      <c r="AQ184" s="2135"/>
      <c r="AR184" s="2149">
        <v>0</v>
      </c>
      <c r="AS184" s="2135"/>
      <c r="AT184" s="2109">
        <v>0</v>
      </c>
      <c r="AU184" s="2109">
        <v>0</v>
      </c>
      <c r="AV184" s="2109">
        <f t="shared" si="291"/>
        <v>0</v>
      </c>
      <c r="AW184" s="2135"/>
      <c r="AX184" s="2135"/>
      <c r="AY184" s="2238"/>
      <c r="AZ184" s="2135"/>
      <c r="BA184" s="2135"/>
      <c r="BB184" s="2149">
        <v>0</v>
      </c>
      <c r="BC184" s="2135"/>
      <c r="BD184" s="2109">
        <v>0</v>
      </c>
      <c r="BE184" s="2109">
        <v>0</v>
      </c>
      <c r="BF184" s="2109">
        <f t="shared" si="295"/>
        <v>0</v>
      </c>
      <c r="BG184" s="2135"/>
      <c r="BH184" s="2135"/>
      <c r="BI184" s="2238"/>
      <c r="BJ184" s="2135"/>
      <c r="BK184" s="2135"/>
      <c r="BL184" s="2149">
        <v>0</v>
      </c>
      <c r="BM184" s="2135"/>
      <c r="BN184" s="2109">
        <v>0</v>
      </c>
      <c r="BO184" s="2109">
        <v>0</v>
      </c>
      <c r="BP184" s="2109">
        <f t="shared" si="299"/>
        <v>0</v>
      </c>
      <c r="BQ184" s="2135"/>
      <c r="BR184" s="2135"/>
      <c r="BS184" s="2135"/>
      <c r="BT184" s="2135"/>
      <c r="BU184" s="2135"/>
      <c r="BV184" s="2149">
        <v>0</v>
      </c>
      <c r="BW184" s="2135"/>
      <c r="BX184" s="2109">
        <v>0</v>
      </c>
      <c r="BY184" s="2109">
        <v>0</v>
      </c>
      <c r="BZ184" s="2109">
        <f t="shared" si="303"/>
        <v>0</v>
      </c>
      <c r="CA184" s="2135"/>
      <c r="CB184" s="2135"/>
      <c r="CC184" s="2135"/>
      <c r="CD184" s="2135"/>
      <c r="CE184" s="2135"/>
      <c r="CF184" s="2149">
        <v>0</v>
      </c>
      <c r="CG184" s="2135"/>
      <c r="CH184" s="2109">
        <v>0</v>
      </c>
      <c r="CI184" s="2109">
        <v>0</v>
      </c>
      <c r="CJ184" s="2109">
        <f t="shared" si="307"/>
        <v>0</v>
      </c>
      <c r="CK184" s="2135"/>
      <c r="CL184" s="2135"/>
      <c r="CM184" s="2238"/>
      <c r="CN184" s="2135"/>
      <c r="CO184" s="2135"/>
      <c r="CP184" s="2149">
        <v>0</v>
      </c>
      <c r="CQ184" s="2135"/>
      <c r="CR184" s="2109">
        <v>0</v>
      </c>
      <c r="CS184" s="2109">
        <v>0</v>
      </c>
      <c r="CT184" s="2109">
        <f t="shared" si="311"/>
        <v>0</v>
      </c>
      <c r="CU184" s="2135"/>
      <c r="CV184" s="2135"/>
      <c r="CW184" s="2238"/>
      <c r="CX184" s="2135"/>
      <c r="CY184" s="2135"/>
      <c r="CZ184" s="2149">
        <v>0</v>
      </c>
      <c r="DA184" s="2135"/>
      <c r="DB184" s="2109">
        <v>0</v>
      </c>
      <c r="DC184" s="2109">
        <v>0</v>
      </c>
      <c r="DD184" s="2109">
        <f t="shared" si="315"/>
        <v>0</v>
      </c>
      <c r="DE184" s="2135"/>
      <c r="DF184" s="2135"/>
      <c r="DG184" s="2238"/>
      <c r="DH184" s="2135"/>
      <c r="DI184" s="2135"/>
      <c r="DJ184" s="2149">
        <v>0</v>
      </c>
      <c r="DK184" s="2135"/>
      <c r="DL184" s="2109">
        <v>0</v>
      </c>
      <c r="DM184" s="2109">
        <v>0</v>
      </c>
      <c r="DN184" s="2109">
        <f t="shared" si="319"/>
        <v>0</v>
      </c>
      <c r="DO184" s="2135"/>
      <c r="DP184" s="2135"/>
      <c r="DQ184" s="2238"/>
      <c r="DR184" s="2135"/>
      <c r="DS184" s="2135"/>
      <c r="DT184" s="2149">
        <v>0</v>
      </c>
      <c r="DU184" s="2135"/>
      <c r="DV184" s="2109">
        <v>0</v>
      </c>
      <c r="DW184" s="2109">
        <v>0</v>
      </c>
      <c r="DX184" s="2109">
        <f t="shared" si="323"/>
        <v>0</v>
      </c>
      <c r="DY184" s="2135"/>
      <c r="DZ184" s="2135"/>
      <c r="EA184" s="2135"/>
      <c r="EB184" s="2135"/>
      <c r="EC184" s="2135"/>
      <c r="ED184" s="2135"/>
      <c r="EE184" s="2107"/>
      <c r="EF184" s="2106"/>
      <c r="EG184" s="2106"/>
      <c r="EH184" s="2106"/>
      <c r="EI184" s="2106"/>
      <c r="EJ184" s="2106"/>
      <c r="EK184" s="2106"/>
      <c r="EL184" s="2106"/>
      <c r="EM184" s="2106"/>
      <c r="EN184" s="2106">
        <f>EG184+EI184+EK184+EL184</f>
        <v>0</v>
      </c>
      <c r="EO184" s="1915"/>
      <c r="EP184" s="2223"/>
      <c r="EQ184" s="2224"/>
      <c r="ER184" s="2277"/>
      <c r="EU184" s="2230"/>
    </row>
    <row r="185" spans="1:151">
      <c r="A185" s="2220">
        <v>1</v>
      </c>
      <c r="B185" s="2227" t="s">
        <v>1798</v>
      </c>
      <c r="C185" s="1882"/>
      <c r="D185" s="2134">
        <v>1</v>
      </c>
      <c r="E185" s="1882"/>
      <c r="F185" s="2247">
        <v>0.25</v>
      </c>
      <c r="G185" s="2146">
        <v>639.9</v>
      </c>
      <c r="H185" s="2248" t="s">
        <v>1667</v>
      </c>
      <c r="I185" s="2249">
        <v>1</v>
      </c>
      <c r="J185" s="2149">
        <v>1403.2973891004049</v>
      </c>
      <c r="K185" s="2227"/>
      <c r="L185" s="2151"/>
      <c r="M185" s="2106">
        <f>J185*(1-K185)*(1-L185)</f>
        <v>1403.2973891004049</v>
      </c>
      <c r="N185" s="2149">
        <v>115.18199999999999</v>
      </c>
      <c r="O185" s="2135">
        <f t="shared" ref="O185:O192" si="348">IFERROR(P185/N185*10,0)</f>
        <v>0</v>
      </c>
      <c r="P185" s="2109">
        <v>0</v>
      </c>
      <c r="Q185" s="2109">
        <v>3.3251407343487958</v>
      </c>
      <c r="R185" s="2109">
        <f t="shared" si="279"/>
        <v>38.299636006376296</v>
      </c>
      <c r="S185" s="2135"/>
      <c r="T185" s="2135"/>
      <c r="U185" s="2135"/>
      <c r="V185" s="2135">
        <f t="shared" ref="V185:V192" si="349">IFERROR(W185/N185*10,0)</f>
        <v>3.3251407343487962</v>
      </c>
      <c r="W185" s="2135">
        <f t="shared" ref="W185:W192" si="350">P185+R185</f>
        <v>38.299636006376296</v>
      </c>
      <c r="X185" s="2149">
        <v>120.93778910040487</v>
      </c>
      <c r="Y185" s="2135">
        <f t="shared" ref="Y185:Y192" si="351">IFERROR(Z185/X185*10,0)</f>
        <v>0</v>
      </c>
      <c r="Z185" s="2109">
        <v>0</v>
      </c>
      <c r="AA185" s="2109">
        <v>3.3251407343487958</v>
      </c>
      <c r="AB185" s="2109">
        <f t="shared" si="283"/>
        <v>40.213516885984006</v>
      </c>
      <c r="AC185" s="2135"/>
      <c r="AD185" s="2135"/>
      <c r="AE185" s="2135"/>
      <c r="AF185" s="2135">
        <f t="shared" ref="AF185:AF192" si="352">IFERROR(AG185/X185*10,0)</f>
        <v>3.3251407343487962</v>
      </c>
      <c r="AG185" s="2135">
        <f t="shared" ref="AG185:AG192" si="353">Z185+AB185</f>
        <v>40.213516885984006</v>
      </c>
      <c r="AH185" s="2149">
        <v>115.18199999999999</v>
      </c>
      <c r="AI185" s="2135">
        <f t="shared" ref="AI185:AI192" si="354">IFERROR(AJ185/AH185*10,0)</f>
        <v>0</v>
      </c>
      <c r="AJ185" s="2109">
        <v>0</v>
      </c>
      <c r="AK185" s="2109">
        <v>3.3251407343487958</v>
      </c>
      <c r="AL185" s="2109">
        <f t="shared" si="287"/>
        <v>38.299636006376296</v>
      </c>
      <c r="AM185" s="2135"/>
      <c r="AN185" s="2135"/>
      <c r="AO185" s="2135"/>
      <c r="AP185" s="2135">
        <f t="shared" ref="AP185:AP192" si="355">IFERROR(AQ185/AH185*10,0)</f>
        <v>3.3251407343487962</v>
      </c>
      <c r="AQ185" s="2135">
        <f t="shared" ref="AQ185:AQ192" si="356">AL185+AJ185</f>
        <v>38.299636006376296</v>
      </c>
      <c r="AR185" s="2149">
        <v>119.0214</v>
      </c>
      <c r="AS185" s="2135">
        <f t="shared" ref="AS185:AS192" si="357">IFERROR(AT185/AR185*10,0)</f>
        <v>0</v>
      </c>
      <c r="AT185" s="2109">
        <v>0</v>
      </c>
      <c r="AU185" s="2109">
        <v>3.3251407343487958</v>
      </c>
      <c r="AV185" s="2109">
        <f t="shared" si="291"/>
        <v>39.576290539922176</v>
      </c>
      <c r="AW185" s="2135"/>
      <c r="AX185" s="2135"/>
      <c r="AY185" s="2135"/>
      <c r="AZ185" s="2135">
        <f t="shared" ref="AZ185:AZ192" si="358">IFERROR(BA185/AR185*10,0)</f>
        <v>3.3251407343487962</v>
      </c>
      <c r="BA185" s="2135">
        <f t="shared" ref="BA185:BA192" si="359">AV185+AT185</f>
        <v>39.576290539922176</v>
      </c>
      <c r="BB185" s="2149">
        <v>119.0214</v>
      </c>
      <c r="BC185" s="2135">
        <f t="shared" ref="BC185:BC192" si="360">IFERROR(BD185/BB185*10,0)</f>
        <v>0</v>
      </c>
      <c r="BD185" s="2109">
        <v>0</v>
      </c>
      <c r="BE185" s="2109">
        <v>3.3251407343487958</v>
      </c>
      <c r="BF185" s="2109">
        <f t="shared" si="295"/>
        <v>39.576290539922176</v>
      </c>
      <c r="BG185" s="2135"/>
      <c r="BH185" s="2135"/>
      <c r="BI185" s="2135"/>
      <c r="BJ185" s="2135">
        <f t="shared" ref="BJ185:BJ192" si="361">IFERROR(BK185/BB185*10,0)</f>
        <v>3.3251407343487962</v>
      </c>
      <c r="BK185" s="2135">
        <f t="shared" ref="BK185:BK192" si="362">BF185+BD185</f>
        <v>39.576290539922176</v>
      </c>
      <c r="BL185" s="2149">
        <v>115.18199999999999</v>
      </c>
      <c r="BM185" s="2135">
        <f t="shared" ref="BM185:BM192" si="363">IFERROR(BN185/BL185*10,0)</f>
        <v>0</v>
      </c>
      <c r="BN185" s="2109">
        <v>0</v>
      </c>
      <c r="BO185" s="2109">
        <v>3.3251407343487958</v>
      </c>
      <c r="BP185" s="2109">
        <f t="shared" si="299"/>
        <v>38.299636006376296</v>
      </c>
      <c r="BQ185" s="2135"/>
      <c r="BR185" s="2135"/>
      <c r="BS185" s="2135"/>
      <c r="BT185" s="2135">
        <f t="shared" ref="BT185:BT192" si="364">IFERROR(BU185/BL185*10,0)</f>
        <v>3.3251407343487962</v>
      </c>
      <c r="BU185" s="2135">
        <f t="shared" ref="BU185:BU192" si="365">BP185+BN185</f>
        <v>38.299636006376296</v>
      </c>
      <c r="BV185" s="2149">
        <v>119.0214</v>
      </c>
      <c r="BW185" s="2135">
        <f t="shared" ref="BW185:BW192" si="366">IFERROR(BX185/BV185*10,0)</f>
        <v>0</v>
      </c>
      <c r="BX185" s="2109">
        <v>0</v>
      </c>
      <c r="BY185" s="2109">
        <v>3.3251407343487958</v>
      </c>
      <c r="BZ185" s="2109">
        <f t="shared" si="303"/>
        <v>39.576290539922176</v>
      </c>
      <c r="CA185" s="2135"/>
      <c r="CB185" s="2135"/>
      <c r="CC185" s="2135"/>
      <c r="CD185" s="2135">
        <f t="shared" ref="CD185:CD192" si="367">IFERROR(CE185/BV185*10,0)</f>
        <v>3.3251407343487962</v>
      </c>
      <c r="CE185" s="2135">
        <f t="shared" ref="CE185:CE192" si="368">BZ185+BX185</f>
        <v>39.576290539922176</v>
      </c>
      <c r="CF185" s="2149">
        <v>115.18199999999999</v>
      </c>
      <c r="CG185" s="2135">
        <f t="shared" ref="CG185:CG192" si="369">IFERROR(CH185/CF185*10,0)</f>
        <v>0</v>
      </c>
      <c r="CH185" s="2109">
        <v>0</v>
      </c>
      <c r="CI185" s="2109">
        <v>3.3251407343487958</v>
      </c>
      <c r="CJ185" s="2109">
        <f t="shared" si="307"/>
        <v>38.299636006376296</v>
      </c>
      <c r="CK185" s="2135"/>
      <c r="CL185" s="2135"/>
      <c r="CM185" s="2135"/>
      <c r="CN185" s="2135">
        <f t="shared" ref="CN185:CN192" si="370">IFERROR(CO185/CF185*10,0)</f>
        <v>3.3251407343487962</v>
      </c>
      <c r="CO185" s="2135">
        <f t="shared" ref="CO185:CO192" si="371">CJ185+CH185</f>
        <v>38.299636006376296</v>
      </c>
      <c r="CP185" s="2149">
        <v>119.0214</v>
      </c>
      <c r="CQ185" s="2135">
        <f t="shared" ref="CQ185:CQ192" si="372">IFERROR(CR185/CP185*10,0)</f>
        <v>0</v>
      </c>
      <c r="CR185" s="2109">
        <v>0</v>
      </c>
      <c r="CS185" s="2109">
        <v>3.3251407343487958</v>
      </c>
      <c r="CT185" s="2109">
        <f t="shared" si="311"/>
        <v>39.576290539922176</v>
      </c>
      <c r="CU185" s="2135"/>
      <c r="CV185" s="2135"/>
      <c r="CW185" s="2135"/>
      <c r="CX185" s="2135">
        <f t="shared" ref="CX185:CX192" si="373">IFERROR(CY185/CP185*10,0)</f>
        <v>3.3251407343487962</v>
      </c>
      <c r="CY185" s="2135">
        <f t="shared" ref="CY185:CY192" si="374">CT185+CR185</f>
        <v>39.576290539922176</v>
      </c>
      <c r="CZ185" s="2149">
        <v>119.0214</v>
      </c>
      <c r="DA185" s="2135">
        <f t="shared" ref="DA185:DA192" si="375">IFERROR(DB185/CZ185*10,0)</f>
        <v>0</v>
      </c>
      <c r="DB185" s="2109">
        <v>0</v>
      </c>
      <c r="DC185" s="2109">
        <v>3.3251407343487958</v>
      </c>
      <c r="DD185" s="2109">
        <f t="shared" si="315"/>
        <v>39.576290539922176</v>
      </c>
      <c r="DE185" s="2135"/>
      <c r="DF185" s="2135"/>
      <c r="DG185" s="2135"/>
      <c r="DH185" s="2135">
        <f t="shared" ref="DH185:DH192" si="376">IFERROR(DI185/CZ185*10,0)</f>
        <v>3.3251407343487962</v>
      </c>
      <c r="DI185" s="2135">
        <f t="shared" ref="DI185:DI192" si="377">DD185+DB185</f>
        <v>39.576290539922176</v>
      </c>
      <c r="DJ185" s="2149">
        <v>107.50319999999998</v>
      </c>
      <c r="DK185" s="2135">
        <f t="shared" ref="DK185:DK192" si="378">IFERROR(DL185/DJ185*10,0)</f>
        <v>0</v>
      </c>
      <c r="DL185" s="2109">
        <v>0</v>
      </c>
      <c r="DM185" s="2109">
        <v>3.3251407343487958</v>
      </c>
      <c r="DN185" s="2109">
        <f t="shared" si="319"/>
        <v>35.746326939284543</v>
      </c>
      <c r="DO185" s="2135"/>
      <c r="DP185" s="2135"/>
      <c r="DQ185" s="2135"/>
      <c r="DR185" s="2135">
        <f t="shared" ref="DR185:DR192" si="379">IFERROR(DS185/DJ185*10,0)</f>
        <v>3.3251407343487962</v>
      </c>
      <c r="DS185" s="2135">
        <f t="shared" ref="DS185:DS192" si="380">DN185+DL185</f>
        <v>35.746326939284543</v>
      </c>
      <c r="DT185" s="2149">
        <v>119.0214</v>
      </c>
      <c r="DU185" s="2135">
        <f t="shared" ref="DU185:DU192" si="381">IFERROR(DV185/DT185*10,0)</f>
        <v>0</v>
      </c>
      <c r="DV185" s="2109">
        <v>0</v>
      </c>
      <c r="DW185" s="2109">
        <v>3.3251407343487958</v>
      </c>
      <c r="DX185" s="2109">
        <f t="shared" si="323"/>
        <v>39.576290539922176</v>
      </c>
      <c r="DY185" s="2135"/>
      <c r="DZ185" s="2135"/>
      <c r="EA185" s="2135"/>
      <c r="EB185" s="2135">
        <f t="shared" ref="EB185:EB192" si="382">IFERROR(EC185/DT185*10,0)</f>
        <v>3.3251407343487962</v>
      </c>
      <c r="EC185" s="2135">
        <f t="shared" ref="EC185:EC192" si="383">DX185+DV185</f>
        <v>39.576290539922176</v>
      </c>
      <c r="ED185" s="2135"/>
      <c r="EE185" s="2106">
        <f t="shared" ref="EE185:EE192" si="384">SUM(N185,X185,AH185,AR185,BB185,BL185,BV185,CF185,CP185,CZ185,DJ185,DT185)</f>
        <v>1403.2973891004049</v>
      </c>
      <c r="EF185" s="2106">
        <f t="shared" ref="EF185:EF192" si="385">IFERROR((EG185/EE185)*10,0)</f>
        <v>0</v>
      </c>
      <c r="EG185" s="2106">
        <f t="shared" ref="EG185:EG192" si="386">SUM(P185,Z185,AJ185,AT185,BD185,BN185,BX185,CR185,CH185,DB185,DL185,DV185)</f>
        <v>0</v>
      </c>
      <c r="EH185" s="2106">
        <f t="shared" ref="EH185:EH193" si="387">IFERROR((EI185/EE185)*10,0)</f>
        <v>3.3251407343487953</v>
      </c>
      <c r="EI185" s="2106">
        <f t="shared" ref="EI185:EI191" si="388">SUM(R185,AB185,AL185,AV185,BF185,BP185,BZ185,CJ185,CT185,DD185,DN185,DX185)</f>
        <v>466.61613109030679</v>
      </c>
      <c r="EJ185" s="2106"/>
      <c r="EK185" s="2106"/>
      <c r="EL185" s="2106"/>
      <c r="EM185" s="2106">
        <f t="shared" ref="EM185:EM193" si="389">IFERROR(EN185/EE185*10,0)</f>
        <v>3.3251407343487953</v>
      </c>
      <c r="EN185" s="2106">
        <f t="shared" ref="EN185:EN191" si="390">EG185+EI185</f>
        <v>466.61613109030679</v>
      </c>
      <c r="EO185" s="2106">
        <f t="shared" ref="EO185:EO193" si="391">EN185/J185*10</f>
        <v>3.3251407343487953</v>
      </c>
      <c r="EP185" s="2114">
        <f t="shared" ref="EP185:EP193" si="392">EN185/M185*10</f>
        <v>3.3251407343487953</v>
      </c>
      <c r="EQ185" s="2224"/>
      <c r="ER185" s="2277"/>
      <c r="EU185" s="2230"/>
    </row>
    <row r="186" spans="1:151">
      <c r="A186" s="2220">
        <v>2</v>
      </c>
      <c r="B186" s="2227" t="s">
        <v>2094</v>
      </c>
      <c r="C186" s="1882"/>
      <c r="D186" s="2134">
        <v>1</v>
      </c>
      <c r="E186" s="1882"/>
      <c r="F186" s="2247">
        <v>0.25</v>
      </c>
      <c r="G186" s="2146"/>
      <c r="H186" s="2248" t="s">
        <v>1667</v>
      </c>
      <c r="I186" s="2249">
        <v>1</v>
      </c>
      <c r="J186" s="2149">
        <v>0</v>
      </c>
      <c r="K186" s="2227"/>
      <c r="L186" s="2151"/>
      <c r="M186" s="2106">
        <f t="shared" ref="M186:M192" si="393">J186*(1-K186)*(1-L186)</f>
        <v>0</v>
      </c>
      <c r="N186" s="2149">
        <v>0</v>
      </c>
      <c r="O186" s="2135">
        <f t="shared" si="348"/>
        <v>0</v>
      </c>
      <c r="P186" s="2109">
        <v>0</v>
      </c>
      <c r="Q186" s="2109">
        <v>0</v>
      </c>
      <c r="R186" s="2109">
        <f t="shared" si="279"/>
        <v>0</v>
      </c>
      <c r="S186" s="2135"/>
      <c r="T186" s="2135"/>
      <c r="U186" s="2135"/>
      <c r="V186" s="2135">
        <f t="shared" si="349"/>
        <v>0</v>
      </c>
      <c r="W186" s="2135">
        <f t="shared" si="350"/>
        <v>0</v>
      </c>
      <c r="X186" s="2149">
        <v>0</v>
      </c>
      <c r="Y186" s="2135">
        <f t="shared" si="351"/>
        <v>0</v>
      </c>
      <c r="Z186" s="2109">
        <v>0</v>
      </c>
      <c r="AA186" s="2109">
        <v>0</v>
      </c>
      <c r="AB186" s="2109">
        <f t="shared" si="283"/>
        <v>0</v>
      </c>
      <c r="AC186" s="2135"/>
      <c r="AD186" s="2135"/>
      <c r="AE186" s="2135"/>
      <c r="AF186" s="2135">
        <f t="shared" si="352"/>
        <v>0</v>
      </c>
      <c r="AG186" s="2135">
        <f t="shared" si="353"/>
        <v>0</v>
      </c>
      <c r="AH186" s="2149">
        <v>0</v>
      </c>
      <c r="AI186" s="2135">
        <f t="shared" si="354"/>
        <v>0</v>
      </c>
      <c r="AJ186" s="2109">
        <v>0</v>
      </c>
      <c r="AK186" s="2109">
        <v>0</v>
      </c>
      <c r="AL186" s="2109">
        <f t="shared" si="287"/>
        <v>0</v>
      </c>
      <c r="AM186" s="2135"/>
      <c r="AN186" s="2135"/>
      <c r="AO186" s="2135"/>
      <c r="AP186" s="2135">
        <f t="shared" si="355"/>
        <v>0</v>
      </c>
      <c r="AQ186" s="2135">
        <f t="shared" si="356"/>
        <v>0</v>
      </c>
      <c r="AR186" s="2149">
        <v>0</v>
      </c>
      <c r="AS186" s="2135">
        <f t="shared" si="357"/>
        <v>0</v>
      </c>
      <c r="AT186" s="2109">
        <v>0</v>
      </c>
      <c r="AU186" s="2109">
        <v>0</v>
      </c>
      <c r="AV186" s="2109">
        <f t="shared" si="291"/>
        <v>0</v>
      </c>
      <c r="AW186" s="2135"/>
      <c r="AX186" s="2135"/>
      <c r="AY186" s="2135"/>
      <c r="AZ186" s="2135">
        <f t="shared" si="358"/>
        <v>0</v>
      </c>
      <c r="BA186" s="2135">
        <f t="shared" si="359"/>
        <v>0</v>
      </c>
      <c r="BB186" s="2149">
        <v>0</v>
      </c>
      <c r="BC186" s="2135">
        <f t="shared" si="360"/>
        <v>0</v>
      </c>
      <c r="BD186" s="2109">
        <v>0</v>
      </c>
      <c r="BE186" s="2109">
        <v>0</v>
      </c>
      <c r="BF186" s="2109">
        <f t="shared" si="295"/>
        <v>0</v>
      </c>
      <c r="BG186" s="2135"/>
      <c r="BH186" s="2135"/>
      <c r="BI186" s="2135"/>
      <c r="BJ186" s="2135">
        <f t="shared" si="361"/>
        <v>0</v>
      </c>
      <c r="BK186" s="2135">
        <f t="shared" si="362"/>
        <v>0</v>
      </c>
      <c r="BL186" s="2149">
        <v>0</v>
      </c>
      <c r="BM186" s="2135">
        <f t="shared" si="363"/>
        <v>0</v>
      </c>
      <c r="BN186" s="2109">
        <v>0</v>
      </c>
      <c r="BO186" s="2109">
        <v>0</v>
      </c>
      <c r="BP186" s="2109">
        <f t="shared" si="299"/>
        <v>0</v>
      </c>
      <c r="BQ186" s="2135"/>
      <c r="BR186" s="2135"/>
      <c r="BS186" s="2135"/>
      <c r="BT186" s="2135">
        <f t="shared" si="364"/>
        <v>0</v>
      </c>
      <c r="BU186" s="2135">
        <f t="shared" si="365"/>
        <v>0</v>
      </c>
      <c r="BV186" s="2149">
        <v>0</v>
      </c>
      <c r="BW186" s="2135">
        <f t="shared" si="366"/>
        <v>0</v>
      </c>
      <c r="BX186" s="2109">
        <v>0</v>
      </c>
      <c r="BY186" s="2109">
        <v>0</v>
      </c>
      <c r="BZ186" s="2109">
        <f t="shared" si="303"/>
        <v>0</v>
      </c>
      <c r="CA186" s="2135"/>
      <c r="CB186" s="2135"/>
      <c r="CC186" s="2135"/>
      <c r="CD186" s="2135">
        <f t="shared" si="367"/>
        <v>0</v>
      </c>
      <c r="CE186" s="2135">
        <f t="shared" si="368"/>
        <v>0</v>
      </c>
      <c r="CF186" s="2149">
        <v>0</v>
      </c>
      <c r="CG186" s="2135">
        <f t="shared" si="369"/>
        <v>0</v>
      </c>
      <c r="CH186" s="2109">
        <v>0</v>
      </c>
      <c r="CI186" s="2109">
        <v>0</v>
      </c>
      <c r="CJ186" s="2109">
        <f t="shared" si="307"/>
        <v>0</v>
      </c>
      <c r="CK186" s="2135"/>
      <c r="CL186" s="2135"/>
      <c r="CM186" s="2135"/>
      <c r="CN186" s="2135">
        <f t="shared" si="370"/>
        <v>0</v>
      </c>
      <c r="CO186" s="2135">
        <f t="shared" si="371"/>
        <v>0</v>
      </c>
      <c r="CP186" s="2149">
        <v>0</v>
      </c>
      <c r="CQ186" s="2135">
        <f t="shared" si="372"/>
        <v>0</v>
      </c>
      <c r="CR186" s="2109">
        <v>0</v>
      </c>
      <c r="CS186" s="2109">
        <v>0</v>
      </c>
      <c r="CT186" s="2109">
        <f t="shared" si="311"/>
        <v>0</v>
      </c>
      <c r="CU186" s="2135"/>
      <c r="CV186" s="2135"/>
      <c r="CW186" s="2135"/>
      <c r="CX186" s="2135">
        <f t="shared" si="373"/>
        <v>0</v>
      </c>
      <c r="CY186" s="2135">
        <f t="shared" si="374"/>
        <v>0</v>
      </c>
      <c r="CZ186" s="2149">
        <v>0</v>
      </c>
      <c r="DA186" s="2135">
        <f t="shared" si="375"/>
        <v>0</v>
      </c>
      <c r="DB186" s="2109">
        <v>0</v>
      </c>
      <c r="DC186" s="2109">
        <v>0</v>
      </c>
      <c r="DD186" s="2109">
        <f t="shared" si="315"/>
        <v>0</v>
      </c>
      <c r="DE186" s="2135"/>
      <c r="DF186" s="2135"/>
      <c r="DG186" s="2135"/>
      <c r="DH186" s="2135">
        <f t="shared" si="376"/>
        <v>0</v>
      </c>
      <c r="DI186" s="2135">
        <f t="shared" si="377"/>
        <v>0</v>
      </c>
      <c r="DJ186" s="2149">
        <v>0</v>
      </c>
      <c r="DK186" s="2135">
        <f t="shared" si="378"/>
        <v>0</v>
      </c>
      <c r="DL186" s="2109">
        <v>0</v>
      </c>
      <c r="DM186" s="2109">
        <v>0</v>
      </c>
      <c r="DN186" s="2109">
        <f t="shared" si="319"/>
        <v>0</v>
      </c>
      <c r="DO186" s="2135"/>
      <c r="DP186" s="2135"/>
      <c r="DQ186" s="2135"/>
      <c r="DR186" s="2135">
        <f t="shared" si="379"/>
        <v>0</v>
      </c>
      <c r="DS186" s="2135">
        <f t="shared" si="380"/>
        <v>0</v>
      </c>
      <c r="DT186" s="2149">
        <v>0</v>
      </c>
      <c r="DU186" s="2135">
        <f t="shared" si="381"/>
        <v>0</v>
      </c>
      <c r="DV186" s="2109">
        <v>0</v>
      </c>
      <c r="DW186" s="2109">
        <v>0</v>
      </c>
      <c r="DX186" s="2109">
        <f t="shared" si="323"/>
        <v>0</v>
      </c>
      <c r="DY186" s="2135"/>
      <c r="DZ186" s="2135"/>
      <c r="EA186" s="2135"/>
      <c r="EB186" s="2135">
        <f t="shared" si="382"/>
        <v>0</v>
      </c>
      <c r="EC186" s="2135">
        <f t="shared" si="383"/>
        <v>0</v>
      </c>
      <c r="ED186" s="2135"/>
      <c r="EE186" s="2106">
        <f t="shared" si="384"/>
        <v>0</v>
      </c>
      <c r="EF186" s="2106">
        <f t="shared" si="385"/>
        <v>0</v>
      </c>
      <c r="EG186" s="2106">
        <f t="shared" si="386"/>
        <v>0</v>
      </c>
      <c r="EH186" s="2106">
        <f t="shared" si="387"/>
        <v>0</v>
      </c>
      <c r="EI186" s="2106">
        <f t="shared" si="388"/>
        <v>0</v>
      </c>
      <c r="EJ186" s="2106"/>
      <c r="EK186" s="2106"/>
      <c r="EL186" s="2106"/>
      <c r="EM186" s="2106">
        <f t="shared" si="389"/>
        <v>0</v>
      </c>
      <c r="EN186" s="2106">
        <f t="shared" si="390"/>
        <v>0</v>
      </c>
      <c r="EO186" s="2106" t="e">
        <f t="shared" si="391"/>
        <v>#DIV/0!</v>
      </c>
      <c r="EP186" s="2114" t="e">
        <f t="shared" si="392"/>
        <v>#DIV/0!</v>
      </c>
      <c r="EQ186" s="2224"/>
      <c r="ER186" s="2277"/>
      <c r="EU186" s="2230"/>
    </row>
    <row r="187" spans="1:151">
      <c r="A187" s="2220">
        <v>3</v>
      </c>
      <c r="B187" s="2227" t="s">
        <v>1800</v>
      </c>
      <c r="C187" s="1882"/>
      <c r="D187" s="2134">
        <v>1</v>
      </c>
      <c r="E187" s="1882"/>
      <c r="F187" s="2247">
        <v>0.25</v>
      </c>
      <c r="G187" s="2146">
        <v>0</v>
      </c>
      <c r="H187" s="2248" t="s">
        <v>1667</v>
      </c>
      <c r="I187" s="2249">
        <v>1</v>
      </c>
      <c r="J187" s="2149">
        <v>0</v>
      </c>
      <c r="K187" s="2227"/>
      <c r="L187" s="2151"/>
      <c r="M187" s="2106">
        <f t="shared" si="393"/>
        <v>0</v>
      </c>
      <c r="N187" s="2149">
        <v>0</v>
      </c>
      <c r="O187" s="2135">
        <f t="shared" si="348"/>
        <v>0</v>
      </c>
      <c r="P187" s="2109">
        <v>0</v>
      </c>
      <c r="Q187" s="2109">
        <v>3.3251407343487958</v>
      </c>
      <c r="R187" s="2109">
        <f t="shared" si="279"/>
        <v>0</v>
      </c>
      <c r="S187" s="2135"/>
      <c r="T187" s="2135"/>
      <c r="U187" s="2135"/>
      <c r="V187" s="2135">
        <f t="shared" si="349"/>
        <v>0</v>
      </c>
      <c r="W187" s="2135">
        <f t="shared" si="350"/>
        <v>0</v>
      </c>
      <c r="X187" s="2149">
        <v>0</v>
      </c>
      <c r="Y187" s="2135">
        <f t="shared" si="351"/>
        <v>0</v>
      </c>
      <c r="Z187" s="2109">
        <v>0</v>
      </c>
      <c r="AA187" s="2109">
        <v>3.3251407343487958</v>
      </c>
      <c r="AB187" s="2109">
        <f t="shared" si="283"/>
        <v>0</v>
      </c>
      <c r="AC187" s="2135"/>
      <c r="AD187" s="2135"/>
      <c r="AE187" s="2135"/>
      <c r="AF187" s="2135">
        <f t="shared" si="352"/>
        <v>0</v>
      </c>
      <c r="AG187" s="2135">
        <f t="shared" si="353"/>
        <v>0</v>
      </c>
      <c r="AH187" s="2149">
        <v>0</v>
      </c>
      <c r="AI187" s="2135">
        <f t="shared" si="354"/>
        <v>0</v>
      </c>
      <c r="AJ187" s="2109">
        <v>0</v>
      </c>
      <c r="AK187" s="2109">
        <v>3.3251407343487958</v>
      </c>
      <c r="AL187" s="2109">
        <f t="shared" si="287"/>
        <v>0</v>
      </c>
      <c r="AM187" s="2135"/>
      <c r="AN187" s="2135"/>
      <c r="AO187" s="2135"/>
      <c r="AP187" s="2135">
        <f t="shared" si="355"/>
        <v>0</v>
      </c>
      <c r="AQ187" s="2135">
        <f t="shared" si="356"/>
        <v>0</v>
      </c>
      <c r="AR187" s="2149">
        <v>0</v>
      </c>
      <c r="AS187" s="2135">
        <f t="shared" si="357"/>
        <v>0</v>
      </c>
      <c r="AT187" s="2109">
        <v>0</v>
      </c>
      <c r="AU187" s="2109">
        <v>3.3251407343487958</v>
      </c>
      <c r="AV187" s="2109">
        <f t="shared" si="291"/>
        <v>0</v>
      </c>
      <c r="AW187" s="2135"/>
      <c r="AX187" s="2135"/>
      <c r="AY187" s="2135"/>
      <c r="AZ187" s="2135">
        <f t="shared" si="358"/>
        <v>0</v>
      </c>
      <c r="BA187" s="2135">
        <f t="shared" si="359"/>
        <v>0</v>
      </c>
      <c r="BB187" s="2149">
        <v>0</v>
      </c>
      <c r="BC187" s="2135">
        <f t="shared" si="360"/>
        <v>0</v>
      </c>
      <c r="BD187" s="2109">
        <v>0</v>
      </c>
      <c r="BE187" s="2109">
        <v>3.3251407343487958</v>
      </c>
      <c r="BF187" s="2109">
        <f t="shared" si="295"/>
        <v>0</v>
      </c>
      <c r="BG187" s="2135"/>
      <c r="BH187" s="2135"/>
      <c r="BI187" s="2135"/>
      <c r="BJ187" s="2135">
        <f t="shared" si="361"/>
        <v>0</v>
      </c>
      <c r="BK187" s="2135">
        <f t="shared" si="362"/>
        <v>0</v>
      </c>
      <c r="BL187" s="2149">
        <v>0</v>
      </c>
      <c r="BM187" s="2135">
        <f t="shared" si="363"/>
        <v>0</v>
      </c>
      <c r="BN187" s="2109">
        <v>0</v>
      </c>
      <c r="BO187" s="2109">
        <v>3.3251407343487958</v>
      </c>
      <c r="BP187" s="2109">
        <f t="shared" si="299"/>
        <v>0</v>
      </c>
      <c r="BQ187" s="2135"/>
      <c r="BR187" s="2135"/>
      <c r="BS187" s="2135"/>
      <c r="BT187" s="2135">
        <f t="shared" si="364"/>
        <v>0</v>
      </c>
      <c r="BU187" s="2135">
        <f t="shared" si="365"/>
        <v>0</v>
      </c>
      <c r="BV187" s="2149">
        <v>0</v>
      </c>
      <c r="BW187" s="2135">
        <f t="shared" si="366"/>
        <v>0</v>
      </c>
      <c r="BX187" s="2109">
        <v>0</v>
      </c>
      <c r="BY187" s="2109">
        <v>3.3251407343487958</v>
      </c>
      <c r="BZ187" s="2109">
        <f t="shared" si="303"/>
        <v>0</v>
      </c>
      <c r="CA187" s="2135"/>
      <c r="CB187" s="2135"/>
      <c r="CC187" s="2135"/>
      <c r="CD187" s="2135">
        <f t="shared" si="367"/>
        <v>0</v>
      </c>
      <c r="CE187" s="2135">
        <f t="shared" si="368"/>
        <v>0</v>
      </c>
      <c r="CF187" s="2149">
        <v>0</v>
      </c>
      <c r="CG187" s="2135">
        <f t="shared" si="369"/>
        <v>0</v>
      </c>
      <c r="CH187" s="2109">
        <v>0</v>
      </c>
      <c r="CI187" s="2109">
        <v>3.3251407343487958</v>
      </c>
      <c r="CJ187" s="2109">
        <f t="shared" si="307"/>
        <v>0</v>
      </c>
      <c r="CK187" s="2135"/>
      <c r="CL187" s="2135"/>
      <c r="CM187" s="2135"/>
      <c r="CN187" s="2135">
        <f t="shared" si="370"/>
        <v>0</v>
      </c>
      <c r="CO187" s="2135">
        <f t="shared" si="371"/>
        <v>0</v>
      </c>
      <c r="CP187" s="2149">
        <v>0</v>
      </c>
      <c r="CQ187" s="2135">
        <f t="shared" si="372"/>
        <v>0</v>
      </c>
      <c r="CR187" s="2109">
        <v>0</v>
      </c>
      <c r="CS187" s="2109">
        <v>3.3251407343487958</v>
      </c>
      <c r="CT187" s="2109">
        <f t="shared" si="311"/>
        <v>0</v>
      </c>
      <c r="CU187" s="2135"/>
      <c r="CV187" s="2135"/>
      <c r="CW187" s="2135"/>
      <c r="CX187" s="2135">
        <f t="shared" si="373"/>
        <v>0</v>
      </c>
      <c r="CY187" s="2135">
        <f t="shared" si="374"/>
        <v>0</v>
      </c>
      <c r="CZ187" s="2149">
        <v>0</v>
      </c>
      <c r="DA187" s="2135">
        <f t="shared" si="375"/>
        <v>0</v>
      </c>
      <c r="DB187" s="2109">
        <v>0</v>
      </c>
      <c r="DC187" s="2109">
        <v>3.3251407343487958</v>
      </c>
      <c r="DD187" s="2109">
        <f t="shared" si="315"/>
        <v>0</v>
      </c>
      <c r="DE187" s="2135"/>
      <c r="DF187" s="2135"/>
      <c r="DG187" s="2135"/>
      <c r="DH187" s="2135">
        <f t="shared" si="376"/>
        <v>0</v>
      </c>
      <c r="DI187" s="2135">
        <f t="shared" si="377"/>
        <v>0</v>
      </c>
      <c r="DJ187" s="2149">
        <v>0</v>
      </c>
      <c r="DK187" s="2135">
        <f t="shared" si="378"/>
        <v>0</v>
      </c>
      <c r="DL187" s="2109">
        <v>0</v>
      </c>
      <c r="DM187" s="2109">
        <v>3.3251407343487958</v>
      </c>
      <c r="DN187" s="2109">
        <f t="shared" si="319"/>
        <v>0</v>
      </c>
      <c r="DO187" s="2135"/>
      <c r="DP187" s="2135"/>
      <c r="DQ187" s="2135"/>
      <c r="DR187" s="2135">
        <f t="shared" si="379"/>
        <v>0</v>
      </c>
      <c r="DS187" s="2135">
        <f t="shared" si="380"/>
        <v>0</v>
      </c>
      <c r="DT187" s="2149">
        <v>0</v>
      </c>
      <c r="DU187" s="2135">
        <f t="shared" si="381"/>
        <v>0</v>
      </c>
      <c r="DV187" s="2109">
        <v>0</v>
      </c>
      <c r="DW187" s="2109">
        <v>3.3251407343487958</v>
      </c>
      <c r="DX187" s="2109">
        <f t="shared" si="323"/>
        <v>0</v>
      </c>
      <c r="DY187" s="2135"/>
      <c r="DZ187" s="2135"/>
      <c r="EA187" s="2135"/>
      <c r="EB187" s="2135">
        <f t="shared" si="382"/>
        <v>0</v>
      </c>
      <c r="EC187" s="2135">
        <f t="shared" si="383"/>
        <v>0</v>
      </c>
      <c r="ED187" s="2135"/>
      <c r="EE187" s="2106">
        <f t="shared" si="384"/>
        <v>0</v>
      </c>
      <c r="EF187" s="2106">
        <f t="shared" si="385"/>
        <v>0</v>
      </c>
      <c r="EG187" s="2106">
        <f t="shared" si="386"/>
        <v>0</v>
      </c>
      <c r="EH187" s="2106">
        <f t="shared" si="387"/>
        <v>0</v>
      </c>
      <c r="EI187" s="2106">
        <f t="shared" si="388"/>
        <v>0</v>
      </c>
      <c r="EJ187" s="2106"/>
      <c r="EK187" s="2106"/>
      <c r="EL187" s="2106"/>
      <c r="EM187" s="2106">
        <f t="shared" si="389"/>
        <v>0</v>
      </c>
      <c r="EN187" s="2106">
        <f t="shared" si="390"/>
        <v>0</v>
      </c>
      <c r="EO187" s="2106" t="e">
        <f t="shared" si="391"/>
        <v>#DIV/0!</v>
      </c>
      <c r="EP187" s="2114" t="e">
        <f t="shared" si="392"/>
        <v>#DIV/0!</v>
      </c>
      <c r="EQ187" s="2224"/>
      <c r="ER187" s="2277"/>
      <c r="EU187" s="2230"/>
    </row>
    <row r="188" spans="1:151">
      <c r="A188" s="2220">
        <v>4</v>
      </c>
      <c r="B188" s="2227" t="s">
        <v>1801</v>
      </c>
      <c r="C188" s="1882"/>
      <c r="D188" s="2134">
        <v>1</v>
      </c>
      <c r="E188" s="1882"/>
      <c r="F188" s="2247">
        <v>0.25</v>
      </c>
      <c r="G188" s="2146">
        <v>809.4</v>
      </c>
      <c r="H188" s="2248" t="s">
        <v>1667</v>
      </c>
      <c r="I188" s="2249">
        <v>1</v>
      </c>
      <c r="J188" s="2149">
        <v>1775.0100120923073</v>
      </c>
      <c r="K188" s="2227"/>
      <c r="L188" s="2151"/>
      <c r="M188" s="2106">
        <f t="shared" si="393"/>
        <v>1775.0100120923073</v>
      </c>
      <c r="N188" s="2149">
        <v>145.69199999999998</v>
      </c>
      <c r="O188" s="2135">
        <f t="shared" si="348"/>
        <v>0</v>
      </c>
      <c r="P188" s="2109">
        <v>0</v>
      </c>
      <c r="Q188" s="2109">
        <v>3.3251407343487958</v>
      </c>
      <c r="R188" s="2109">
        <f t="shared" si="279"/>
        <v>48.444640386874468</v>
      </c>
      <c r="S188" s="2135"/>
      <c r="T188" s="2135"/>
      <c r="U188" s="2135"/>
      <c r="V188" s="2135">
        <f t="shared" si="349"/>
        <v>3.3251407343487962</v>
      </c>
      <c r="W188" s="2135">
        <f t="shared" si="350"/>
        <v>48.444640386874468</v>
      </c>
      <c r="X188" s="2149">
        <v>152.97241209230768</v>
      </c>
      <c r="Y188" s="2135">
        <f t="shared" si="351"/>
        <v>0</v>
      </c>
      <c r="Z188" s="2109">
        <v>0</v>
      </c>
      <c r="AA188" s="2109">
        <v>3.3251407343487958</v>
      </c>
      <c r="AB188" s="2109">
        <f t="shared" si="283"/>
        <v>50.865479867972255</v>
      </c>
      <c r="AC188" s="2135"/>
      <c r="AD188" s="2135"/>
      <c r="AE188" s="2135"/>
      <c r="AF188" s="2135">
        <f t="shared" si="352"/>
        <v>3.3251407343487953</v>
      </c>
      <c r="AG188" s="2135">
        <f t="shared" si="353"/>
        <v>50.865479867972255</v>
      </c>
      <c r="AH188" s="2149">
        <v>145.69199999999998</v>
      </c>
      <c r="AI188" s="2135">
        <f t="shared" si="354"/>
        <v>0</v>
      </c>
      <c r="AJ188" s="2109">
        <v>0</v>
      </c>
      <c r="AK188" s="2109">
        <v>3.3251407343487958</v>
      </c>
      <c r="AL188" s="2109">
        <f t="shared" si="287"/>
        <v>48.444640386874468</v>
      </c>
      <c r="AM188" s="2135"/>
      <c r="AN188" s="2135"/>
      <c r="AO188" s="2135"/>
      <c r="AP188" s="2135">
        <f t="shared" si="355"/>
        <v>3.3251407343487962</v>
      </c>
      <c r="AQ188" s="2135">
        <f t="shared" si="356"/>
        <v>48.444640386874468</v>
      </c>
      <c r="AR188" s="2149">
        <v>150.54839999999999</v>
      </c>
      <c r="AS188" s="2135">
        <f t="shared" si="357"/>
        <v>0</v>
      </c>
      <c r="AT188" s="2109">
        <v>0</v>
      </c>
      <c r="AU188" s="2109">
        <v>3.3251407343487958</v>
      </c>
      <c r="AV188" s="2109">
        <f t="shared" si="291"/>
        <v>50.059461733103618</v>
      </c>
      <c r="AW188" s="2135"/>
      <c r="AX188" s="2135"/>
      <c r="AY188" s="2135"/>
      <c r="AZ188" s="2135">
        <f t="shared" si="358"/>
        <v>3.3251407343487953</v>
      </c>
      <c r="BA188" s="2135">
        <f t="shared" si="359"/>
        <v>50.059461733103618</v>
      </c>
      <c r="BB188" s="2149">
        <v>150.54839999999999</v>
      </c>
      <c r="BC188" s="2135">
        <f t="shared" si="360"/>
        <v>0</v>
      </c>
      <c r="BD188" s="2109">
        <v>0</v>
      </c>
      <c r="BE188" s="2109">
        <v>3.3251407343487958</v>
      </c>
      <c r="BF188" s="2109">
        <f t="shared" si="295"/>
        <v>50.059461733103618</v>
      </c>
      <c r="BG188" s="2135"/>
      <c r="BH188" s="2135"/>
      <c r="BI188" s="2135"/>
      <c r="BJ188" s="2135">
        <f t="shared" si="361"/>
        <v>3.3251407343487953</v>
      </c>
      <c r="BK188" s="2135">
        <f t="shared" si="362"/>
        <v>50.059461733103618</v>
      </c>
      <c r="BL188" s="2149">
        <v>145.69199999999998</v>
      </c>
      <c r="BM188" s="2135">
        <f t="shared" si="363"/>
        <v>0</v>
      </c>
      <c r="BN188" s="2109">
        <v>0</v>
      </c>
      <c r="BO188" s="2109">
        <v>3.3251407343487958</v>
      </c>
      <c r="BP188" s="2109">
        <f t="shared" si="299"/>
        <v>48.444640386874468</v>
      </c>
      <c r="BQ188" s="2135"/>
      <c r="BR188" s="2135"/>
      <c r="BS188" s="2135"/>
      <c r="BT188" s="2135">
        <f t="shared" si="364"/>
        <v>3.3251407343487962</v>
      </c>
      <c r="BU188" s="2135">
        <f t="shared" si="365"/>
        <v>48.444640386874468</v>
      </c>
      <c r="BV188" s="2149">
        <v>150.54839999999999</v>
      </c>
      <c r="BW188" s="2135">
        <f t="shared" si="366"/>
        <v>0</v>
      </c>
      <c r="BX188" s="2109">
        <v>0</v>
      </c>
      <c r="BY188" s="2109">
        <v>3.3251407343487958</v>
      </c>
      <c r="BZ188" s="2109">
        <f t="shared" si="303"/>
        <v>50.059461733103618</v>
      </c>
      <c r="CA188" s="2135"/>
      <c r="CB188" s="2135"/>
      <c r="CC188" s="2135"/>
      <c r="CD188" s="2135">
        <f t="shared" si="367"/>
        <v>3.3251407343487953</v>
      </c>
      <c r="CE188" s="2135">
        <f t="shared" si="368"/>
        <v>50.059461733103618</v>
      </c>
      <c r="CF188" s="2149">
        <v>145.69199999999998</v>
      </c>
      <c r="CG188" s="2135">
        <f t="shared" si="369"/>
        <v>0</v>
      </c>
      <c r="CH188" s="2109">
        <v>0</v>
      </c>
      <c r="CI188" s="2109">
        <v>3.3251407343487958</v>
      </c>
      <c r="CJ188" s="2109">
        <f t="shared" si="307"/>
        <v>48.444640386874468</v>
      </c>
      <c r="CK188" s="2135"/>
      <c r="CL188" s="2135"/>
      <c r="CM188" s="2135"/>
      <c r="CN188" s="2135">
        <f t="shared" si="370"/>
        <v>3.3251407343487962</v>
      </c>
      <c r="CO188" s="2135">
        <f t="shared" si="371"/>
        <v>48.444640386874468</v>
      </c>
      <c r="CP188" s="2149">
        <v>150.54839999999999</v>
      </c>
      <c r="CQ188" s="2135">
        <f t="shared" si="372"/>
        <v>0</v>
      </c>
      <c r="CR188" s="2109">
        <v>0</v>
      </c>
      <c r="CS188" s="2109">
        <v>3.3251407343487958</v>
      </c>
      <c r="CT188" s="2109">
        <f t="shared" si="311"/>
        <v>50.059461733103618</v>
      </c>
      <c r="CU188" s="2135"/>
      <c r="CV188" s="2135"/>
      <c r="CW188" s="2135"/>
      <c r="CX188" s="2135">
        <f t="shared" si="373"/>
        <v>3.3251407343487953</v>
      </c>
      <c r="CY188" s="2135">
        <f t="shared" si="374"/>
        <v>50.059461733103618</v>
      </c>
      <c r="CZ188" s="2149">
        <v>150.54839999999999</v>
      </c>
      <c r="DA188" s="2135">
        <f t="shared" si="375"/>
        <v>0</v>
      </c>
      <c r="DB188" s="2109">
        <v>0</v>
      </c>
      <c r="DC188" s="2109">
        <v>3.3251407343487958</v>
      </c>
      <c r="DD188" s="2109">
        <f t="shared" si="315"/>
        <v>50.059461733103618</v>
      </c>
      <c r="DE188" s="2135"/>
      <c r="DF188" s="2135"/>
      <c r="DG188" s="2135"/>
      <c r="DH188" s="2135">
        <f t="shared" si="376"/>
        <v>3.3251407343487953</v>
      </c>
      <c r="DI188" s="2135">
        <f t="shared" si="377"/>
        <v>50.059461733103618</v>
      </c>
      <c r="DJ188" s="2149">
        <v>135.97919999999999</v>
      </c>
      <c r="DK188" s="2135">
        <f t="shared" si="378"/>
        <v>0</v>
      </c>
      <c r="DL188" s="2109">
        <v>0</v>
      </c>
      <c r="DM188" s="2109">
        <v>3.3251407343487958</v>
      </c>
      <c r="DN188" s="2109">
        <f t="shared" si="319"/>
        <v>45.214997694416169</v>
      </c>
      <c r="DO188" s="2135"/>
      <c r="DP188" s="2135"/>
      <c r="DQ188" s="2135"/>
      <c r="DR188" s="2135">
        <f t="shared" si="379"/>
        <v>3.3251407343487953</v>
      </c>
      <c r="DS188" s="2135">
        <f t="shared" si="380"/>
        <v>45.214997694416169</v>
      </c>
      <c r="DT188" s="2149">
        <v>150.54839999999999</v>
      </c>
      <c r="DU188" s="2135">
        <f t="shared" si="381"/>
        <v>0</v>
      </c>
      <c r="DV188" s="2109">
        <v>0</v>
      </c>
      <c r="DW188" s="2109">
        <v>3.3251407343487958</v>
      </c>
      <c r="DX188" s="2109">
        <f t="shared" si="323"/>
        <v>50.059461733103618</v>
      </c>
      <c r="DY188" s="2135"/>
      <c r="DZ188" s="2135"/>
      <c r="EA188" s="2135"/>
      <c r="EB188" s="2135">
        <f t="shared" si="382"/>
        <v>3.3251407343487953</v>
      </c>
      <c r="EC188" s="2135">
        <f t="shared" si="383"/>
        <v>50.059461733103618</v>
      </c>
      <c r="ED188" s="2135"/>
      <c r="EE188" s="2106">
        <f t="shared" si="384"/>
        <v>1775.0100120923073</v>
      </c>
      <c r="EF188" s="2106">
        <f t="shared" si="385"/>
        <v>0</v>
      </c>
      <c r="EG188" s="2106">
        <f t="shared" si="386"/>
        <v>0</v>
      </c>
      <c r="EH188" s="2106">
        <f t="shared" si="387"/>
        <v>3.3251407343487962</v>
      </c>
      <c r="EI188" s="2106">
        <f t="shared" si="388"/>
        <v>590.21580950850796</v>
      </c>
      <c r="EJ188" s="2106"/>
      <c r="EK188" s="2106"/>
      <c r="EL188" s="2106"/>
      <c r="EM188" s="2106">
        <f t="shared" si="389"/>
        <v>3.3251407343487962</v>
      </c>
      <c r="EN188" s="2106">
        <f t="shared" si="390"/>
        <v>590.21580950850796</v>
      </c>
      <c r="EO188" s="2106">
        <f t="shared" si="391"/>
        <v>3.3251407343487962</v>
      </c>
      <c r="EP188" s="2114">
        <f t="shared" si="392"/>
        <v>3.3251407343487962</v>
      </c>
      <c r="EQ188" s="2224"/>
      <c r="ER188" s="2277"/>
      <c r="EU188" s="2230"/>
    </row>
    <row r="189" spans="1:151">
      <c r="A189" s="2220">
        <v>5</v>
      </c>
      <c r="B189" s="2227" t="s">
        <v>2062</v>
      </c>
      <c r="C189" s="1882"/>
      <c r="D189" s="2134">
        <v>1</v>
      </c>
      <c r="E189" s="1882"/>
      <c r="F189" s="2247">
        <f>F188</f>
        <v>0.25</v>
      </c>
      <c r="G189" s="2146">
        <v>730.6</v>
      </c>
      <c r="H189" s="2248" t="s">
        <v>1667</v>
      </c>
      <c r="I189" s="2249">
        <v>1</v>
      </c>
      <c r="J189" s="2149">
        <v>1509.5499403238866</v>
      </c>
      <c r="K189" s="2227"/>
      <c r="L189" s="2151"/>
      <c r="M189" s="2106">
        <f t="shared" si="393"/>
        <v>1509.5499403238866</v>
      </c>
      <c r="N189" s="2149">
        <v>113.4</v>
      </c>
      <c r="O189" s="2135">
        <f>IFERROR(P189/N189*10,0)</f>
        <v>0</v>
      </c>
      <c r="P189" s="2109">
        <v>0</v>
      </c>
      <c r="Q189" s="2109">
        <v>3.3251407343487958</v>
      </c>
      <c r="R189" s="2109">
        <f>IFERROR(Q189*N189/10,0)</f>
        <v>37.707095927515347</v>
      </c>
      <c r="S189" s="2135"/>
      <c r="T189" s="2135"/>
      <c r="U189" s="2135"/>
      <c r="V189" s="2135">
        <f>IFERROR(W189/N189*10,0)</f>
        <v>3.3251407343487962</v>
      </c>
      <c r="W189" s="2135">
        <f>P189+R189</f>
        <v>37.707095927515347</v>
      </c>
      <c r="X189" s="2149">
        <v>119.06674032388665</v>
      </c>
      <c r="Y189" s="2135">
        <f>IFERROR(Z189/X189*10,0)</f>
        <v>0</v>
      </c>
      <c r="Z189" s="2109">
        <v>0</v>
      </c>
      <c r="AA189" s="2109">
        <v>3.3251407343487958</v>
      </c>
      <c r="AB189" s="2109">
        <f>IFERROR(AA189*X189/10,0)</f>
        <v>39.591366835708584</v>
      </c>
      <c r="AC189" s="2135"/>
      <c r="AD189" s="2135"/>
      <c r="AE189" s="2135"/>
      <c r="AF189" s="2135">
        <f>IFERROR(AG189/X189*10,0)</f>
        <v>3.3251407343487962</v>
      </c>
      <c r="AG189" s="2135">
        <f>Z189+AB189</f>
        <v>39.591366835708584</v>
      </c>
      <c r="AH189" s="2149">
        <v>113.4</v>
      </c>
      <c r="AI189" s="2135">
        <f>IFERROR(AJ189/AH189*10,0)</f>
        <v>0</v>
      </c>
      <c r="AJ189" s="2109">
        <v>0</v>
      </c>
      <c r="AK189" s="2109">
        <v>3.3251407343487958</v>
      </c>
      <c r="AL189" s="2109">
        <f>IFERROR(AK189*AH189/10,0)</f>
        <v>37.707095927515347</v>
      </c>
      <c r="AM189" s="2135"/>
      <c r="AN189" s="2135"/>
      <c r="AO189" s="2135"/>
      <c r="AP189" s="2135">
        <f>IFERROR(AQ189/AH189*10,0)</f>
        <v>3.3251407343487962</v>
      </c>
      <c r="AQ189" s="2135">
        <f>AL189+AJ189</f>
        <v>37.707095927515347</v>
      </c>
      <c r="AR189" s="2149">
        <v>117.17999999999999</v>
      </c>
      <c r="AS189" s="2135">
        <f>IFERROR(AT189/AR189*10,0)</f>
        <v>0</v>
      </c>
      <c r="AT189" s="2109">
        <v>0</v>
      </c>
      <c r="AU189" s="2109">
        <v>3.3251407343487958</v>
      </c>
      <c r="AV189" s="2109">
        <f>IFERROR(AU189*AR189/10,0)</f>
        <v>38.963999125099186</v>
      </c>
      <c r="AW189" s="2135"/>
      <c r="AX189" s="2135"/>
      <c r="AY189" s="2135"/>
      <c r="AZ189" s="2135">
        <f>IFERROR(BA189/AR189*10,0)</f>
        <v>3.3251407343487953</v>
      </c>
      <c r="BA189" s="2135">
        <f>AV189+AT189</f>
        <v>38.963999125099186</v>
      </c>
      <c r="BB189" s="2149">
        <v>117.17999999999999</v>
      </c>
      <c r="BC189" s="2135">
        <f>IFERROR(BD189/BB189*10,0)</f>
        <v>0</v>
      </c>
      <c r="BD189" s="2109">
        <v>0</v>
      </c>
      <c r="BE189" s="2109">
        <v>3.3251407343487958</v>
      </c>
      <c r="BF189" s="2109">
        <f>IFERROR(BE189*BB189/10,0)</f>
        <v>38.963999125099186</v>
      </c>
      <c r="BG189" s="2135"/>
      <c r="BH189" s="2135"/>
      <c r="BI189" s="2135"/>
      <c r="BJ189" s="2135">
        <f>IFERROR(BK189/BB189*10,0)</f>
        <v>3.3251407343487953</v>
      </c>
      <c r="BK189" s="2135">
        <f>BF189+BD189</f>
        <v>38.963999125099186</v>
      </c>
      <c r="BL189" s="2149">
        <v>131.50800000000001</v>
      </c>
      <c r="BM189" s="2135">
        <f>IFERROR(BN189/BL189*10,0)</f>
        <v>0</v>
      </c>
      <c r="BN189" s="2109">
        <v>0</v>
      </c>
      <c r="BO189" s="2109">
        <v>3.3251407343487958</v>
      </c>
      <c r="BP189" s="2109">
        <f>IFERROR(BO189*BL189/10,0)</f>
        <v>43.728260769274144</v>
      </c>
      <c r="BQ189" s="2135"/>
      <c r="BR189" s="2135"/>
      <c r="BS189" s="2135"/>
      <c r="BT189" s="2135">
        <f>IFERROR(BU189/BL189*10,0)</f>
        <v>3.3251407343487953</v>
      </c>
      <c r="BU189" s="2135">
        <f>BP189+BN189</f>
        <v>43.728260769274144</v>
      </c>
      <c r="BV189" s="2149">
        <v>135.89160000000001</v>
      </c>
      <c r="BW189" s="2135">
        <f>IFERROR(BX189/BV189*10,0)</f>
        <v>0</v>
      </c>
      <c r="BX189" s="2109">
        <v>0</v>
      </c>
      <c r="BY189" s="2109">
        <v>3.3251407343487958</v>
      </c>
      <c r="BZ189" s="2109">
        <f>IFERROR(BY189*BV189/10,0)</f>
        <v>45.185869461583287</v>
      </c>
      <c r="CA189" s="2135"/>
      <c r="CB189" s="2135"/>
      <c r="CC189" s="2135"/>
      <c r="CD189" s="2135">
        <f>IFERROR(CE189/BV189*10,0)</f>
        <v>3.3251407343487962</v>
      </c>
      <c r="CE189" s="2135">
        <f>BZ189+BX189</f>
        <v>45.185869461583287</v>
      </c>
      <c r="CF189" s="2149">
        <v>131.50800000000001</v>
      </c>
      <c r="CG189" s="2135">
        <f>IFERROR(CH189/CF189*10,0)</f>
        <v>0</v>
      </c>
      <c r="CH189" s="2109">
        <v>0</v>
      </c>
      <c r="CI189" s="2109">
        <v>3.3251407343487958</v>
      </c>
      <c r="CJ189" s="2109">
        <f>IFERROR(CI189*CF189/10,0)</f>
        <v>43.728260769274144</v>
      </c>
      <c r="CK189" s="2135"/>
      <c r="CL189" s="2135"/>
      <c r="CM189" s="2135"/>
      <c r="CN189" s="2135">
        <f>IFERROR(CO189/CF189*10,0)</f>
        <v>3.3251407343487953</v>
      </c>
      <c r="CO189" s="2135">
        <f>CJ189+CH189</f>
        <v>43.728260769274144</v>
      </c>
      <c r="CP189" s="2149">
        <v>135.89160000000001</v>
      </c>
      <c r="CQ189" s="2135">
        <f>IFERROR(CR189/CP189*10,0)</f>
        <v>0</v>
      </c>
      <c r="CR189" s="2109">
        <v>0</v>
      </c>
      <c r="CS189" s="2109">
        <v>3.3251407343487958</v>
      </c>
      <c r="CT189" s="2109">
        <f>IFERROR(CS189*CP189/10,0)</f>
        <v>45.185869461583287</v>
      </c>
      <c r="CU189" s="2135"/>
      <c r="CV189" s="2135"/>
      <c r="CW189" s="2135"/>
      <c r="CX189" s="2135">
        <f>IFERROR(CY189/CP189*10,0)</f>
        <v>3.3251407343487962</v>
      </c>
      <c r="CY189" s="2135">
        <f>CT189+CR189</f>
        <v>45.185869461583287</v>
      </c>
      <c r="CZ189" s="2149">
        <v>135.89160000000001</v>
      </c>
      <c r="DA189" s="2135">
        <f>IFERROR(DB189/CZ189*10,0)</f>
        <v>0</v>
      </c>
      <c r="DB189" s="2109">
        <v>0</v>
      </c>
      <c r="DC189" s="2109">
        <v>3.3251407343487958</v>
      </c>
      <c r="DD189" s="2109">
        <f>IFERROR(DC189*CZ189/10,0)</f>
        <v>45.185869461583287</v>
      </c>
      <c r="DE189" s="2135"/>
      <c r="DF189" s="2135"/>
      <c r="DG189" s="2135"/>
      <c r="DH189" s="2135">
        <f>IFERROR(DI189/CZ189*10,0)</f>
        <v>3.3251407343487962</v>
      </c>
      <c r="DI189" s="2135">
        <f>DD189+DB189</f>
        <v>45.185869461583287</v>
      </c>
      <c r="DJ189" s="2149">
        <v>122.74080000000002</v>
      </c>
      <c r="DK189" s="2135">
        <f>IFERROR(DL189/DJ189*10,0)</f>
        <v>0</v>
      </c>
      <c r="DL189" s="2109">
        <v>0</v>
      </c>
      <c r="DM189" s="2109">
        <v>3.3251407343487958</v>
      </c>
      <c r="DN189" s="2109">
        <f>IFERROR(DM189*DJ189/10,0)</f>
        <v>40.81304338465587</v>
      </c>
      <c r="DO189" s="2135"/>
      <c r="DP189" s="2135"/>
      <c r="DQ189" s="2135"/>
      <c r="DR189" s="2135">
        <f>IFERROR(DS189/DJ189*10,0)</f>
        <v>3.3251407343487953</v>
      </c>
      <c r="DS189" s="2135">
        <f>DN189+DL189</f>
        <v>40.81304338465587</v>
      </c>
      <c r="DT189" s="2149">
        <v>135.89160000000001</v>
      </c>
      <c r="DU189" s="2135">
        <f>IFERROR(DV189/DT189*10,0)</f>
        <v>0</v>
      </c>
      <c r="DV189" s="2109">
        <v>0</v>
      </c>
      <c r="DW189" s="2109">
        <v>3.3251407343487958</v>
      </c>
      <c r="DX189" s="2109">
        <f>IFERROR(DW189*DT189/10,0)</f>
        <v>45.185869461583287</v>
      </c>
      <c r="DY189" s="2135"/>
      <c r="DZ189" s="2135"/>
      <c r="EA189" s="2135"/>
      <c r="EB189" s="2135">
        <f>IFERROR(EC189/DT189*10,0)</f>
        <v>3.3251407343487962</v>
      </c>
      <c r="EC189" s="2135">
        <f>DX189+DV189</f>
        <v>45.185869461583287</v>
      </c>
      <c r="ED189" s="2135"/>
      <c r="EE189" s="2106">
        <f>SUM(N189,X189,AH189,AR189,BB189,BL189,BV189,CF189,CP189,CZ189,DJ189,DT189)</f>
        <v>1509.5499403238866</v>
      </c>
      <c r="EF189" s="2106">
        <f>IFERROR((EG189/EE189)*10,0)</f>
        <v>0</v>
      </c>
      <c r="EG189" s="2106">
        <f>SUM(P189,Z189,AJ189,AT189,BD189,BN189,BX189,CR189,CH189,DB189,DL189,DV189)</f>
        <v>0</v>
      </c>
      <c r="EH189" s="2106">
        <f>IFERROR((EI189/EE189)*10,0)</f>
        <v>3.3251407343487966</v>
      </c>
      <c r="EI189" s="2106">
        <f>SUM(R189,AB189,AL189,AV189,BF189,BP189,BZ189,CJ189,CT189,DD189,DN189,DX189)</f>
        <v>501.94659971047503</v>
      </c>
      <c r="EJ189" s="2106"/>
      <c r="EK189" s="2106"/>
      <c r="EL189" s="2106"/>
      <c r="EM189" s="2106">
        <f>IFERROR(EN189/EE189*10,0)</f>
        <v>3.3251407343487966</v>
      </c>
      <c r="EN189" s="2106">
        <f>EG189+EI189</f>
        <v>501.94659971047503</v>
      </c>
      <c r="EO189" s="2106"/>
      <c r="EP189" s="2114"/>
      <c r="EQ189" s="2224"/>
      <c r="ER189" s="2277"/>
      <c r="EU189" s="2230"/>
    </row>
    <row r="190" spans="1:151">
      <c r="A190" s="2220">
        <v>6</v>
      </c>
      <c r="B190" s="2227" t="s">
        <v>1802</v>
      </c>
      <c r="C190" s="1882"/>
      <c r="D190" s="2134">
        <v>1</v>
      </c>
      <c r="E190" s="1882"/>
      <c r="F190" s="2247">
        <v>0.5</v>
      </c>
      <c r="G190" s="2146">
        <v>33.5</v>
      </c>
      <c r="H190" s="2248" t="s">
        <v>1667</v>
      </c>
      <c r="I190" s="2249">
        <v>2</v>
      </c>
      <c r="J190" s="2149">
        <v>146.73000000000002</v>
      </c>
      <c r="K190" s="2227"/>
      <c r="L190" s="2151"/>
      <c r="M190" s="2106">
        <f t="shared" si="393"/>
        <v>146.73000000000002</v>
      </c>
      <c r="N190" s="2149">
        <v>12.06</v>
      </c>
      <c r="O190" s="2135">
        <f t="shared" si="348"/>
        <v>0</v>
      </c>
      <c r="P190" s="2109">
        <v>0</v>
      </c>
      <c r="Q190" s="2109">
        <v>6.505081071158501</v>
      </c>
      <c r="R190" s="2109">
        <f t="shared" si="279"/>
        <v>7.8451277718171522</v>
      </c>
      <c r="S190" s="2135"/>
      <c r="T190" s="2135"/>
      <c r="U190" s="2135"/>
      <c r="V190" s="2135">
        <f t="shared" si="349"/>
        <v>6.5050810711585001</v>
      </c>
      <c r="W190" s="2135">
        <f t="shared" si="350"/>
        <v>7.8451277718171522</v>
      </c>
      <c r="X190" s="2149">
        <v>12.462</v>
      </c>
      <c r="Y190" s="2135">
        <f t="shared" si="351"/>
        <v>0</v>
      </c>
      <c r="Z190" s="2109">
        <v>0</v>
      </c>
      <c r="AA190" s="2109">
        <v>6.505081071158501</v>
      </c>
      <c r="AB190" s="2109">
        <f t="shared" si="283"/>
        <v>8.1066320308777229</v>
      </c>
      <c r="AC190" s="2135"/>
      <c r="AD190" s="2135"/>
      <c r="AE190" s="2135"/>
      <c r="AF190" s="2135">
        <f t="shared" si="352"/>
        <v>6.5050810711585001</v>
      </c>
      <c r="AG190" s="2135">
        <f t="shared" si="353"/>
        <v>8.1066320308777229</v>
      </c>
      <c r="AH190" s="2149">
        <v>12.06</v>
      </c>
      <c r="AI190" s="2135">
        <f t="shared" si="354"/>
        <v>0</v>
      </c>
      <c r="AJ190" s="2109">
        <v>0</v>
      </c>
      <c r="AK190" s="2109">
        <v>6.505081071158501</v>
      </c>
      <c r="AL190" s="2109">
        <f t="shared" si="287"/>
        <v>7.8451277718171522</v>
      </c>
      <c r="AM190" s="2135"/>
      <c r="AN190" s="2135"/>
      <c r="AO190" s="2135"/>
      <c r="AP190" s="2135">
        <f t="shared" si="355"/>
        <v>6.5050810711585001</v>
      </c>
      <c r="AQ190" s="2135">
        <f t="shared" si="356"/>
        <v>7.8451277718171522</v>
      </c>
      <c r="AR190" s="2149">
        <v>12.462</v>
      </c>
      <c r="AS190" s="2135">
        <f t="shared" si="357"/>
        <v>0</v>
      </c>
      <c r="AT190" s="2109">
        <v>0</v>
      </c>
      <c r="AU190" s="2109">
        <v>6.505081071158501</v>
      </c>
      <c r="AV190" s="2109">
        <f t="shared" si="291"/>
        <v>8.1066320308777229</v>
      </c>
      <c r="AW190" s="2135"/>
      <c r="AX190" s="2135"/>
      <c r="AY190" s="2135"/>
      <c r="AZ190" s="2135">
        <f t="shared" si="358"/>
        <v>6.5050810711585001</v>
      </c>
      <c r="BA190" s="2135">
        <f t="shared" si="359"/>
        <v>8.1066320308777229</v>
      </c>
      <c r="BB190" s="2149">
        <v>12.462</v>
      </c>
      <c r="BC190" s="2135">
        <f t="shared" si="360"/>
        <v>0</v>
      </c>
      <c r="BD190" s="2109">
        <v>0</v>
      </c>
      <c r="BE190" s="2109">
        <v>6.505081071158501</v>
      </c>
      <c r="BF190" s="2109">
        <f t="shared" si="295"/>
        <v>8.1066320308777229</v>
      </c>
      <c r="BG190" s="2135"/>
      <c r="BH190" s="2135"/>
      <c r="BI190" s="2135"/>
      <c r="BJ190" s="2135">
        <f t="shared" si="361"/>
        <v>6.5050810711585001</v>
      </c>
      <c r="BK190" s="2135">
        <f t="shared" si="362"/>
        <v>8.1066320308777229</v>
      </c>
      <c r="BL190" s="2149">
        <v>12.06</v>
      </c>
      <c r="BM190" s="2135">
        <f t="shared" si="363"/>
        <v>0</v>
      </c>
      <c r="BN190" s="2109">
        <v>0</v>
      </c>
      <c r="BO190" s="2109">
        <v>6.505081071158501</v>
      </c>
      <c r="BP190" s="2109">
        <f t="shared" si="299"/>
        <v>7.8451277718171522</v>
      </c>
      <c r="BQ190" s="2135"/>
      <c r="BR190" s="2135"/>
      <c r="BS190" s="2135"/>
      <c r="BT190" s="2135">
        <f t="shared" si="364"/>
        <v>6.5050810711585001</v>
      </c>
      <c r="BU190" s="2135">
        <f t="shared" si="365"/>
        <v>7.8451277718171522</v>
      </c>
      <c r="BV190" s="2149">
        <v>12.462</v>
      </c>
      <c r="BW190" s="2135">
        <f t="shared" si="366"/>
        <v>0</v>
      </c>
      <c r="BX190" s="2109">
        <v>0</v>
      </c>
      <c r="BY190" s="2109">
        <v>6.505081071158501</v>
      </c>
      <c r="BZ190" s="2109">
        <f t="shared" si="303"/>
        <v>8.1066320308777229</v>
      </c>
      <c r="CA190" s="2135"/>
      <c r="CB190" s="2135"/>
      <c r="CC190" s="2135"/>
      <c r="CD190" s="2135">
        <f t="shared" si="367"/>
        <v>6.5050810711585001</v>
      </c>
      <c r="CE190" s="2135">
        <f t="shared" si="368"/>
        <v>8.1066320308777229</v>
      </c>
      <c r="CF190" s="2149">
        <v>12.06</v>
      </c>
      <c r="CG190" s="2135">
        <f t="shared" si="369"/>
        <v>0</v>
      </c>
      <c r="CH190" s="2109">
        <v>0</v>
      </c>
      <c r="CI190" s="2109">
        <v>6.505081071158501</v>
      </c>
      <c r="CJ190" s="2109">
        <f t="shared" si="307"/>
        <v>7.8451277718171522</v>
      </c>
      <c r="CK190" s="2135"/>
      <c r="CL190" s="2135"/>
      <c r="CM190" s="2135"/>
      <c r="CN190" s="2135">
        <f t="shared" si="370"/>
        <v>6.5050810711585001</v>
      </c>
      <c r="CO190" s="2135">
        <f t="shared" si="371"/>
        <v>7.8451277718171522</v>
      </c>
      <c r="CP190" s="2149">
        <v>12.462</v>
      </c>
      <c r="CQ190" s="2135">
        <f t="shared" si="372"/>
        <v>0</v>
      </c>
      <c r="CR190" s="2109">
        <v>0</v>
      </c>
      <c r="CS190" s="2109">
        <v>6.505081071158501</v>
      </c>
      <c r="CT190" s="2109">
        <f t="shared" si="311"/>
        <v>8.1066320308777229</v>
      </c>
      <c r="CU190" s="2135"/>
      <c r="CV190" s="2135"/>
      <c r="CW190" s="2135"/>
      <c r="CX190" s="2135">
        <f t="shared" si="373"/>
        <v>6.5050810711585001</v>
      </c>
      <c r="CY190" s="2135">
        <f t="shared" si="374"/>
        <v>8.1066320308777229</v>
      </c>
      <c r="CZ190" s="2149">
        <v>12.462</v>
      </c>
      <c r="DA190" s="2135">
        <f t="shared" si="375"/>
        <v>0</v>
      </c>
      <c r="DB190" s="2109">
        <v>0</v>
      </c>
      <c r="DC190" s="2109">
        <v>6.505081071158501</v>
      </c>
      <c r="DD190" s="2109">
        <f t="shared" si="315"/>
        <v>8.1066320308777229</v>
      </c>
      <c r="DE190" s="2135"/>
      <c r="DF190" s="2135"/>
      <c r="DG190" s="2135"/>
      <c r="DH190" s="2135">
        <f t="shared" si="376"/>
        <v>6.5050810711585001</v>
      </c>
      <c r="DI190" s="2135">
        <f t="shared" si="377"/>
        <v>8.1066320308777229</v>
      </c>
      <c r="DJ190" s="2149">
        <v>11.256</v>
      </c>
      <c r="DK190" s="2135">
        <f t="shared" si="378"/>
        <v>0</v>
      </c>
      <c r="DL190" s="2109">
        <v>0</v>
      </c>
      <c r="DM190" s="2109">
        <v>6.505081071158501</v>
      </c>
      <c r="DN190" s="2109">
        <f t="shared" si="319"/>
        <v>7.3221192536960089</v>
      </c>
      <c r="DO190" s="2135"/>
      <c r="DP190" s="2135"/>
      <c r="DQ190" s="2135"/>
      <c r="DR190" s="2135">
        <f t="shared" si="379"/>
        <v>6.5050810711585001</v>
      </c>
      <c r="DS190" s="2135">
        <f t="shared" si="380"/>
        <v>7.3221192536960089</v>
      </c>
      <c r="DT190" s="2149">
        <v>12.462</v>
      </c>
      <c r="DU190" s="2135">
        <f t="shared" si="381"/>
        <v>0</v>
      </c>
      <c r="DV190" s="2109">
        <v>0</v>
      </c>
      <c r="DW190" s="2109">
        <v>6.505081071158501</v>
      </c>
      <c r="DX190" s="2109">
        <f t="shared" si="323"/>
        <v>8.1066320308777229</v>
      </c>
      <c r="DY190" s="2135"/>
      <c r="DZ190" s="2135"/>
      <c r="EA190" s="2135"/>
      <c r="EB190" s="2135">
        <f t="shared" si="382"/>
        <v>6.5050810711585001</v>
      </c>
      <c r="EC190" s="2135">
        <f t="shared" si="383"/>
        <v>8.1066320308777229</v>
      </c>
      <c r="ED190" s="2135"/>
      <c r="EE190" s="2106">
        <f t="shared" si="384"/>
        <v>146.73000000000002</v>
      </c>
      <c r="EF190" s="2106">
        <f t="shared" si="385"/>
        <v>0</v>
      </c>
      <c r="EG190" s="2106">
        <f t="shared" si="386"/>
        <v>0</v>
      </c>
      <c r="EH190" s="2106">
        <f t="shared" si="387"/>
        <v>6.5050810711584992</v>
      </c>
      <c r="EI190" s="2106">
        <f t="shared" si="388"/>
        <v>95.449054557108681</v>
      </c>
      <c r="EJ190" s="2106"/>
      <c r="EK190" s="2106"/>
      <c r="EL190" s="2106"/>
      <c r="EM190" s="2106">
        <f t="shared" si="389"/>
        <v>6.5050810711584992</v>
      </c>
      <c r="EN190" s="2106">
        <f t="shared" si="390"/>
        <v>95.449054557108681</v>
      </c>
      <c r="EO190" s="2106">
        <f t="shared" si="391"/>
        <v>6.5050810711584992</v>
      </c>
      <c r="EP190" s="2114">
        <f t="shared" si="392"/>
        <v>6.5050810711584992</v>
      </c>
      <c r="EQ190" s="2224"/>
      <c r="ER190" s="2277"/>
      <c r="EU190" s="2230"/>
    </row>
    <row r="191" spans="1:151">
      <c r="A191" s="2220">
        <v>7</v>
      </c>
      <c r="B191" s="2227" t="s">
        <v>1803</v>
      </c>
      <c r="C191" s="1882"/>
      <c r="D191" s="2134">
        <v>1</v>
      </c>
      <c r="E191" s="1882"/>
      <c r="F191" s="2247">
        <v>0.5</v>
      </c>
      <c r="G191" s="2146">
        <v>0</v>
      </c>
      <c r="H191" s="2248" t="s">
        <v>1667</v>
      </c>
      <c r="I191" s="2249">
        <v>2</v>
      </c>
      <c r="J191" s="2149">
        <v>0</v>
      </c>
      <c r="K191" s="2227"/>
      <c r="L191" s="2151"/>
      <c r="M191" s="2106">
        <f t="shared" si="393"/>
        <v>0</v>
      </c>
      <c r="N191" s="2149">
        <v>0</v>
      </c>
      <c r="O191" s="2135">
        <f t="shared" si="348"/>
        <v>0</v>
      </c>
      <c r="P191" s="2109">
        <v>0</v>
      </c>
      <c r="Q191" s="2109">
        <v>6.505081071158501</v>
      </c>
      <c r="R191" s="2109">
        <f t="shared" si="279"/>
        <v>0</v>
      </c>
      <c r="S191" s="2135"/>
      <c r="T191" s="2135"/>
      <c r="U191" s="2135"/>
      <c r="V191" s="2135">
        <f t="shared" si="349"/>
        <v>0</v>
      </c>
      <c r="W191" s="2135">
        <f t="shared" si="350"/>
        <v>0</v>
      </c>
      <c r="X191" s="2149">
        <v>0</v>
      </c>
      <c r="Y191" s="2135">
        <f t="shared" si="351"/>
        <v>0</v>
      </c>
      <c r="Z191" s="2109">
        <v>0</v>
      </c>
      <c r="AA191" s="2109">
        <v>6.505081071158501</v>
      </c>
      <c r="AB191" s="2109">
        <f t="shared" si="283"/>
        <v>0</v>
      </c>
      <c r="AC191" s="2135"/>
      <c r="AD191" s="2135"/>
      <c r="AE191" s="2135"/>
      <c r="AF191" s="2135">
        <f t="shared" si="352"/>
        <v>0</v>
      </c>
      <c r="AG191" s="2135">
        <f t="shared" si="353"/>
        <v>0</v>
      </c>
      <c r="AH191" s="2149">
        <v>0</v>
      </c>
      <c r="AI191" s="2135">
        <f t="shared" si="354"/>
        <v>0</v>
      </c>
      <c r="AJ191" s="2109">
        <v>0</v>
      </c>
      <c r="AK191" s="2109">
        <v>6.505081071158501</v>
      </c>
      <c r="AL191" s="2109">
        <f t="shared" si="287"/>
        <v>0</v>
      </c>
      <c r="AM191" s="2135"/>
      <c r="AN191" s="2135"/>
      <c r="AO191" s="2135"/>
      <c r="AP191" s="2135">
        <f t="shared" si="355"/>
        <v>0</v>
      </c>
      <c r="AQ191" s="2135">
        <f t="shared" si="356"/>
        <v>0</v>
      </c>
      <c r="AR191" s="2149">
        <v>0</v>
      </c>
      <c r="AS191" s="2135">
        <f t="shared" si="357"/>
        <v>0</v>
      </c>
      <c r="AT191" s="2109">
        <v>0</v>
      </c>
      <c r="AU191" s="2109">
        <v>6.505081071158501</v>
      </c>
      <c r="AV191" s="2109">
        <f t="shared" si="291"/>
        <v>0</v>
      </c>
      <c r="AW191" s="2135"/>
      <c r="AX191" s="2135"/>
      <c r="AY191" s="2135"/>
      <c r="AZ191" s="2135">
        <f t="shared" si="358"/>
        <v>0</v>
      </c>
      <c r="BA191" s="2135">
        <f t="shared" si="359"/>
        <v>0</v>
      </c>
      <c r="BB191" s="2149">
        <v>0</v>
      </c>
      <c r="BC191" s="2135">
        <f t="shared" si="360"/>
        <v>0</v>
      </c>
      <c r="BD191" s="2109">
        <v>0</v>
      </c>
      <c r="BE191" s="2109">
        <v>6.505081071158501</v>
      </c>
      <c r="BF191" s="2109">
        <f t="shared" si="295"/>
        <v>0</v>
      </c>
      <c r="BG191" s="2135"/>
      <c r="BH191" s="2135"/>
      <c r="BI191" s="2135"/>
      <c r="BJ191" s="2135">
        <f t="shared" si="361"/>
        <v>0</v>
      </c>
      <c r="BK191" s="2135">
        <f t="shared" si="362"/>
        <v>0</v>
      </c>
      <c r="BL191" s="2149">
        <v>0</v>
      </c>
      <c r="BM191" s="2135">
        <f t="shared" si="363"/>
        <v>0</v>
      </c>
      <c r="BN191" s="2109">
        <v>0</v>
      </c>
      <c r="BO191" s="2109">
        <v>6.505081071158501</v>
      </c>
      <c r="BP191" s="2109">
        <f t="shared" si="299"/>
        <v>0</v>
      </c>
      <c r="BQ191" s="2135"/>
      <c r="BR191" s="2135"/>
      <c r="BS191" s="2135"/>
      <c r="BT191" s="2135">
        <f t="shared" si="364"/>
        <v>0</v>
      </c>
      <c r="BU191" s="2135">
        <f t="shared" si="365"/>
        <v>0</v>
      </c>
      <c r="BV191" s="2149">
        <v>0</v>
      </c>
      <c r="BW191" s="2135">
        <f t="shared" si="366"/>
        <v>0</v>
      </c>
      <c r="BX191" s="2109">
        <v>0</v>
      </c>
      <c r="BY191" s="2109">
        <v>6.505081071158501</v>
      </c>
      <c r="BZ191" s="2109">
        <f t="shared" si="303"/>
        <v>0</v>
      </c>
      <c r="CA191" s="2135"/>
      <c r="CB191" s="2135"/>
      <c r="CC191" s="2135"/>
      <c r="CD191" s="2135">
        <f t="shared" si="367"/>
        <v>0</v>
      </c>
      <c r="CE191" s="2135">
        <f t="shared" si="368"/>
        <v>0</v>
      </c>
      <c r="CF191" s="2149">
        <v>0</v>
      </c>
      <c r="CG191" s="2135">
        <f t="shared" si="369"/>
        <v>0</v>
      </c>
      <c r="CH191" s="2109">
        <v>0</v>
      </c>
      <c r="CI191" s="2109">
        <v>6.505081071158501</v>
      </c>
      <c r="CJ191" s="2109">
        <f t="shared" si="307"/>
        <v>0</v>
      </c>
      <c r="CK191" s="2135"/>
      <c r="CL191" s="2135"/>
      <c r="CM191" s="2135"/>
      <c r="CN191" s="2135">
        <f t="shared" si="370"/>
        <v>0</v>
      </c>
      <c r="CO191" s="2135">
        <f t="shared" si="371"/>
        <v>0</v>
      </c>
      <c r="CP191" s="2149">
        <v>0</v>
      </c>
      <c r="CQ191" s="2135">
        <f t="shared" si="372"/>
        <v>0</v>
      </c>
      <c r="CR191" s="2109">
        <v>0</v>
      </c>
      <c r="CS191" s="2109">
        <v>6.505081071158501</v>
      </c>
      <c r="CT191" s="2109">
        <f t="shared" si="311"/>
        <v>0</v>
      </c>
      <c r="CU191" s="2135"/>
      <c r="CV191" s="2135"/>
      <c r="CW191" s="2135"/>
      <c r="CX191" s="2135">
        <f t="shared" si="373"/>
        <v>0</v>
      </c>
      <c r="CY191" s="2135">
        <f t="shared" si="374"/>
        <v>0</v>
      </c>
      <c r="CZ191" s="2149">
        <v>0</v>
      </c>
      <c r="DA191" s="2135">
        <f t="shared" si="375"/>
        <v>0</v>
      </c>
      <c r="DB191" s="2109">
        <v>0</v>
      </c>
      <c r="DC191" s="2109">
        <v>6.505081071158501</v>
      </c>
      <c r="DD191" s="2109">
        <f t="shared" si="315"/>
        <v>0</v>
      </c>
      <c r="DE191" s="2135"/>
      <c r="DF191" s="2135"/>
      <c r="DG191" s="2135"/>
      <c r="DH191" s="2135">
        <f t="shared" si="376"/>
        <v>0</v>
      </c>
      <c r="DI191" s="2135">
        <f t="shared" si="377"/>
        <v>0</v>
      </c>
      <c r="DJ191" s="2149">
        <v>0</v>
      </c>
      <c r="DK191" s="2135">
        <f t="shared" si="378"/>
        <v>0</v>
      </c>
      <c r="DL191" s="2109">
        <v>0</v>
      </c>
      <c r="DM191" s="2109">
        <v>6.505081071158501</v>
      </c>
      <c r="DN191" s="2109">
        <f t="shared" si="319"/>
        <v>0</v>
      </c>
      <c r="DO191" s="2135"/>
      <c r="DP191" s="2135"/>
      <c r="DQ191" s="2135"/>
      <c r="DR191" s="2135">
        <f t="shared" si="379"/>
        <v>0</v>
      </c>
      <c r="DS191" s="2135">
        <f t="shared" si="380"/>
        <v>0</v>
      </c>
      <c r="DT191" s="2149">
        <v>0</v>
      </c>
      <c r="DU191" s="2135">
        <f t="shared" si="381"/>
        <v>0</v>
      </c>
      <c r="DV191" s="2109">
        <v>0</v>
      </c>
      <c r="DW191" s="2109">
        <v>6.505081071158501</v>
      </c>
      <c r="DX191" s="2109">
        <f t="shared" si="323"/>
        <v>0</v>
      </c>
      <c r="DY191" s="2135"/>
      <c r="DZ191" s="2135"/>
      <c r="EA191" s="2135"/>
      <c r="EB191" s="2135">
        <f t="shared" si="382"/>
        <v>0</v>
      </c>
      <c r="EC191" s="2135">
        <f t="shared" si="383"/>
        <v>0</v>
      </c>
      <c r="ED191" s="2135"/>
      <c r="EE191" s="2106">
        <f t="shared" si="384"/>
        <v>0</v>
      </c>
      <c r="EF191" s="2106">
        <f t="shared" si="385"/>
        <v>0</v>
      </c>
      <c r="EG191" s="2106">
        <f t="shared" si="386"/>
        <v>0</v>
      </c>
      <c r="EH191" s="2106">
        <f t="shared" si="387"/>
        <v>0</v>
      </c>
      <c r="EI191" s="2106">
        <f t="shared" si="388"/>
        <v>0</v>
      </c>
      <c r="EJ191" s="2106"/>
      <c r="EK191" s="2106"/>
      <c r="EL191" s="2106"/>
      <c r="EM191" s="2106">
        <f t="shared" si="389"/>
        <v>0</v>
      </c>
      <c r="EN191" s="2106">
        <f t="shared" si="390"/>
        <v>0</v>
      </c>
      <c r="EO191" s="2106"/>
      <c r="EP191" s="2114"/>
      <c r="EQ191" s="2224"/>
      <c r="ER191" s="2277"/>
      <c r="EU191" s="2230"/>
    </row>
    <row r="192" spans="1:151">
      <c r="A192" s="2220">
        <v>8</v>
      </c>
      <c r="B192" s="2227" t="s">
        <v>2063</v>
      </c>
      <c r="C192" s="1882"/>
      <c r="D192" s="2134">
        <v>1</v>
      </c>
      <c r="E192" s="1882"/>
      <c r="F192" s="2247">
        <v>0.75</v>
      </c>
      <c r="G192" s="2146">
        <v>29.5</v>
      </c>
      <c r="H192" s="2248" t="s">
        <v>1667</v>
      </c>
      <c r="I192" s="2249">
        <v>2</v>
      </c>
      <c r="J192" s="2149">
        <v>193.815</v>
      </c>
      <c r="K192" s="2227"/>
      <c r="L192" s="2151"/>
      <c r="M192" s="2106">
        <f t="shared" si="393"/>
        <v>193.815</v>
      </c>
      <c r="N192" s="2149">
        <v>15.93</v>
      </c>
      <c r="O192" s="2135">
        <f t="shared" si="348"/>
        <v>0</v>
      </c>
      <c r="P192" s="2109">
        <v>0</v>
      </c>
      <c r="Q192" s="2109">
        <v>7.61</v>
      </c>
      <c r="R192" s="2109">
        <f t="shared" si="279"/>
        <v>12.122730000000001</v>
      </c>
      <c r="S192" s="2135"/>
      <c r="T192" s="2135"/>
      <c r="U192" s="2135"/>
      <c r="V192" s="2135">
        <f t="shared" si="349"/>
        <v>7.61</v>
      </c>
      <c r="W192" s="2135">
        <f t="shared" si="350"/>
        <v>12.122730000000001</v>
      </c>
      <c r="X192" s="2149">
        <v>16.460999999999999</v>
      </c>
      <c r="Y192" s="2135">
        <f t="shared" si="351"/>
        <v>0</v>
      </c>
      <c r="Z192" s="2109">
        <v>0</v>
      </c>
      <c r="AA192" s="2109">
        <v>7.61</v>
      </c>
      <c r="AB192" s="2109">
        <f t="shared" si="283"/>
        <v>12.526821</v>
      </c>
      <c r="AC192" s="2135"/>
      <c r="AD192" s="2135"/>
      <c r="AE192" s="2135"/>
      <c r="AF192" s="2135">
        <f t="shared" si="352"/>
        <v>7.6100000000000012</v>
      </c>
      <c r="AG192" s="2135">
        <f t="shared" si="353"/>
        <v>12.526821</v>
      </c>
      <c r="AH192" s="2149">
        <v>15.93</v>
      </c>
      <c r="AI192" s="2135">
        <f t="shared" si="354"/>
        <v>0</v>
      </c>
      <c r="AJ192" s="2109">
        <v>0</v>
      </c>
      <c r="AK192" s="2109">
        <v>7.61</v>
      </c>
      <c r="AL192" s="2109">
        <f t="shared" si="287"/>
        <v>12.122730000000001</v>
      </c>
      <c r="AM192" s="2135"/>
      <c r="AN192" s="2135"/>
      <c r="AO192" s="2135"/>
      <c r="AP192" s="2135">
        <f t="shared" si="355"/>
        <v>7.61</v>
      </c>
      <c r="AQ192" s="2135">
        <f t="shared" si="356"/>
        <v>12.122730000000001</v>
      </c>
      <c r="AR192" s="2149">
        <v>16.460999999999999</v>
      </c>
      <c r="AS192" s="2135">
        <f t="shared" si="357"/>
        <v>0</v>
      </c>
      <c r="AT192" s="2109">
        <v>0</v>
      </c>
      <c r="AU192" s="2109">
        <v>7.61</v>
      </c>
      <c r="AV192" s="2109">
        <f t="shared" si="291"/>
        <v>12.526821</v>
      </c>
      <c r="AW192" s="2135"/>
      <c r="AX192" s="2135"/>
      <c r="AY192" s="2135"/>
      <c r="AZ192" s="2135">
        <f t="shared" si="358"/>
        <v>7.6100000000000012</v>
      </c>
      <c r="BA192" s="2135">
        <f t="shared" si="359"/>
        <v>12.526821</v>
      </c>
      <c r="BB192" s="2149">
        <v>16.460999999999999</v>
      </c>
      <c r="BC192" s="2135">
        <f t="shared" si="360"/>
        <v>0</v>
      </c>
      <c r="BD192" s="2109">
        <v>0</v>
      </c>
      <c r="BE192" s="2109">
        <v>7.61</v>
      </c>
      <c r="BF192" s="2109">
        <f t="shared" si="295"/>
        <v>12.526821</v>
      </c>
      <c r="BG192" s="2135"/>
      <c r="BH192" s="2135"/>
      <c r="BI192" s="2135"/>
      <c r="BJ192" s="2135">
        <f t="shared" si="361"/>
        <v>7.6100000000000012</v>
      </c>
      <c r="BK192" s="2135">
        <f t="shared" si="362"/>
        <v>12.526821</v>
      </c>
      <c r="BL192" s="2149">
        <v>15.93</v>
      </c>
      <c r="BM192" s="2135">
        <f t="shared" si="363"/>
        <v>0</v>
      </c>
      <c r="BN192" s="2109">
        <v>0</v>
      </c>
      <c r="BO192" s="2109">
        <v>7.61</v>
      </c>
      <c r="BP192" s="2109">
        <f t="shared" si="299"/>
        <v>12.122730000000001</v>
      </c>
      <c r="BQ192" s="2135"/>
      <c r="BR192" s="2135"/>
      <c r="BS192" s="2135"/>
      <c r="BT192" s="2135">
        <f t="shared" si="364"/>
        <v>7.61</v>
      </c>
      <c r="BU192" s="2135">
        <f t="shared" si="365"/>
        <v>12.122730000000001</v>
      </c>
      <c r="BV192" s="2149">
        <v>16.460999999999999</v>
      </c>
      <c r="BW192" s="2135">
        <f t="shared" si="366"/>
        <v>0</v>
      </c>
      <c r="BX192" s="2109">
        <v>0</v>
      </c>
      <c r="BY192" s="2109">
        <v>7.61</v>
      </c>
      <c r="BZ192" s="2109">
        <f t="shared" si="303"/>
        <v>12.526821</v>
      </c>
      <c r="CA192" s="2135"/>
      <c r="CB192" s="2135"/>
      <c r="CC192" s="2135"/>
      <c r="CD192" s="2135">
        <f t="shared" si="367"/>
        <v>7.6100000000000012</v>
      </c>
      <c r="CE192" s="2135">
        <f t="shared" si="368"/>
        <v>12.526821</v>
      </c>
      <c r="CF192" s="2149">
        <v>15.93</v>
      </c>
      <c r="CG192" s="2135">
        <f t="shared" si="369"/>
        <v>0</v>
      </c>
      <c r="CH192" s="2109">
        <v>0</v>
      </c>
      <c r="CI192" s="2109">
        <v>7.61</v>
      </c>
      <c r="CJ192" s="2109">
        <f t="shared" si="307"/>
        <v>12.122730000000001</v>
      </c>
      <c r="CK192" s="2135"/>
      <c r="CL192" s="2135"/>
      <c r="CM192" s="2135"/>
      <c r="CN192" s="2135">
        <f t="shared" si="370"/>
        <v>7.61</v>
      </c>
      <c r="CO192" s="2135">
        <f t="shared" si="371"/>
        <v>12.122730000000001</v>
      </c>
      <c r="CP192" s="2149">
        <v>16.460999999999999</v>
      </c>
      <c r="CQ192" s="2135">
        <f t="shared" si="372"/>
        <v>0</v>
      </c>
      <c r="CR192" s="2109">
        <v>0</v>
      </c>
      <c r="CS192" s="2109">
        <v>7.61</v>
      </c>
      <c r="CT192" s="2109">
        <f t="shared" si="311"/>
        <v>12.526821</v>
      </c>
      <c r="CU192" s="2135"/>
      <c r="CV192" s="2135"/>
      <c r="CW192" s="2135"/>
      <c r="CX192" s="2135">
        <f t="shared" si="373"/>
        <v>7.6100000000000012</v>
      </c>
      <c r="CY192" s="2135">
        <f t="shared" si="374"/>
        <v>12.526821</v>
      </c>
      <c r="CZ192" s="2149">
        <v>16.460999999999999</v>
      </c>
      <c r="DA192" s="2135">
        <f t="shared" si="375"/>
        <v>0</v>
      </c>
      <c r="DB192" s="2109">
        <v>0</v>
      </c>
      <c r="DC192" s="2109">
        <v>7.61</v>
      </c>
      <c r="DD192" s="2109">
        <f t="shared" si="315"/>
        <v>12.526821</v>
      </c>
      <c r="DE192" s="2135"/>
      <c r="DF192" s="2135"/>
      <c r="DG192" s="2135"/>
      <c r="DH192" s="2135">
        <f t="shared" si="376"/>
        <v>7.6100000000000012</v>
      </c>
      <c r="DI192" s="2135">
        <f t="shared" si="377"/>
        <v>12.526821</v>
      </c>
      <c r="DJ192" s="2149">
        <v>14.868</v>
      </c>
      <c r="DK192" s="2135">
        <f t="shared" si="378"/>
        <v>0</v>
      </c>
      <c r="DL192" s="2109">
        <v>0</v>
      </c>
      <c r="DM192" s="2109">
        <v>7.61</v>
      </c>
      <c r="DN192" s="2109">
        <f t="shared" si="319"/>
        <v>11.314548</v>
      </c>
      <c r="DO192" s="2135"/>
      <c r="DP192" s="2135"/>
      <c r="DQ192" s="2135"/>
      <c r="DR192" s="2135">
        <f t="shared" si="379"/>
        <v>7.61</v>
      </c>
      <c r="DS192" s="2135">
        <f t="shared" si="380"/>
        <v>11.314548</v>
      </c>
      <c r="DT192" s="2149">
        <v>16.460999999999999</v>
      </c>
      <c r="DU192" s="2135">
        <f t="shared" si="381"/>
        <v>0</v>
      </c>
      <c r="DV192" s="2109">
        <v>0</v>
      </c>
      <c r="DW192" s="2109">
        <v>7.61</v>
      </c>
      <c r="DX192" s="2109">
        <f t="shared" si="323"/>
        <v>12.526821</v>
      </c>
      <c r="DY192" s="2135"/>
      <c r="DZ192" s="2135"/>
      <c r="EA192" s="2135"/>
      <c r="EB192" s="2135">
        <f t="shared" si="382"/>
        <v>7.6100000000000012</v>
      </c>
      <c r="EC192" s="2135">
        <f t="shared" si="383"/>
        <v>12.526821</v>
      </c>
      <c r="ED192" s="2135"/>
      <c r="EE192" s="2106">
        <f t="shared" si="384"/>
        <v>193.815</v>
      </c>
      <c r="EF192" s="2106">
        <f t="shared" si="385"/>
        <v>0</v>
      </c>
      <c r="EG192" s="2106">
        <f t="shared" si="386"/>
        <v>0</v>
      </c>
      <c r="EH192" s="2106">
        <f t="shared" si="387"/>
        <v>7.6100000000000012</v>
      </c>
      <c r="EI192" s="2106">
        <f>SUM(R192,AB192,AL192,AV192,BF192,BP192,BZ192,CJ192,CT192,DD192,DN192,DX192)</f>
        <v>147.49321500000002</v>
      </c>
      <c r="EJ192" s="2106"/>
      <c r="EK192" s="2106"/>
      <c r="EL192" s="2106"/>
      <c r="EM192" s="2106">
        <f t="shared" si="389"/>
        <v>7.6100000000000012</v>
      </c>
      <c r="EN192" s="2106">
        <f>EG192+EI192</f>
        <v>147.49321500000002</v>
      </c>
      <c r="EO192" s="2106">
        <f t="shared" si="391"/>
        <v>7.6100000000000012</v>
      </c>
      <c r="EP192" s="2114">
        <f t="shared" si="392"/>
        <v>7.6100000000000012</v>
      </c>
      <c r="EQ192" s="2224"/>
      <c r="ER192" s="2277"/>
      <c r="EU192" s="2230"/>
    </row>
    <row r="193" spans="1:151">
      <c r="A193" s="2232"/>
      <c r="B193" s="2281" t="s">
        <v>211</v>
      </c>
      <c r="C193" s="2236">
        <f ca="1">SUM(C185:C196)</f>
        <v>0</v>
      </c>
      <c r="D193" s="2135"/>
      <c r="E193" s="2135"/>
      <c r="F193" s="2279"/>
      <c r="G193" s="2107"/>
      <c r="H193" s="2236"/>
      <c r="I193" s="2278"/>
      <c r="J193" s="2236">
        <f>SUM(J185:J192)</f>
        <v>5028.4023415165984</v>
      </c>
      <c r="K193" s="2135"/>
      <c r="L193" s="2135"/>
      <c r="M193" s="2107">
        <f>SUM(M185:M192)</f>
        <v>5028.4023415165984</v>
      </c>
      <c r="N193" s="2107">
        <f>SUM(N185:N192)</f>
        <v>402.26400000000001</v>
      </c>
      <c r="O193" s="2135"/>
      <c r="P193" s="2107">
        <f>SUM(P185:P192)</f>
        <v>0</v>
      </c>
      <c r="Q193" s="2109">
        <v>0</v>
      </c>
      <c r="R193" s="2107">
        <f>SUM(R185:R192)</f>
        <v>144.41923009258326</v>
      </c>
      <c r="S193" s="2135"/>
      <c r="T193" s="2135"/>
      <c r="U193" s="2135"/>
      <c r="V193" s="2135"/>
      <c r="W193" s="2107">
        <f>SUM(W185:W192)</f>
        <v>144.41923009258326</v>
      </c>
      <c r="X193" s="2107">
        <f>SUM(X185:X192)</f>
        <v>421.89994151659914</v>
      </c>
      <c r="Y193" s="2135"/>
      <c r="Z193" s="2109">
        <v>0</v>
      </c>
      <c r="AA193" s="2109">
        <v>0</v>
      </c>
      <c r="AB193" s="2107">
        <f>SUM(AB185:AB192)</f>
        <v>151.30381662054259</v>
      </c>
      <c r="AC193" s="2135"/>
      <c r="AD193" s="2135"/>
      <c r="AE193" s="2135"/>
      <c r="AF193" s="2135"/>
      <c r="AG193" s="2236">
        <f>SUM(AG185:AG192)</f>
        <v>151.30381662054259</v>
      </c>
      <c r="AH193" s="2236">
        <f>SUM(AH185:AH192)</f>
        <v>402.26400000000001</v>
      </c>
      <c r="AI193" s="2135"/>
      <c r="AJ193" s="2109">
        <v>0</v>
      </c>
      <c r="AK193" s="2109">
        <v>0</v>
      </c>
      <c r="AL193" s="2236">
        <f>SUM(AL185:AL192)</f>
        <v>144.41923009258326</v>
      </c>
      <c r="AM193" s="2135"/>
      <c r="AN193" s="2135"/>
      <c r="AO193" s="2238"/>
      <c r="AP193" s="2135"/>
      <c r="AQ193" s="2236">
        <f>SUM(AQ185:AQ192)</f>
        <v>144.41923009258326</v>
      </c>
      <c r="AR193" s="2236">
        <f>SUM(AR185:AR192)</f>
        <v>415.6728</v>
      </c>
      <c r="AS193" s="2135"/>
      <c r="AT193" s="2109">
        <v>0</v>
      </c>
      <c r="AU193" s="2109">
        <v>0</v>
      </c>
      <c r="AV193" s="2236">
        <f>SUM(AV185:AV192)</f>
        <v>149.23320442900271</v>
      </c>
      <c r="AW193" s="2236"/>
      <c r="AX193" s="2236"/>
      <c r="AY193" s="2236"/>
      <c r="AZ193" s="2236"/>
      <c r="BA193" s="2236">
        <f>SUM(BA185:BA192)</f>
        <v>149.23320442900271</v>
      </c>
      <c r="BB193" s="2236">
        <f>SUM(BB185:BB192)</f>
        <v>415.6728</v>
      </c>
      <c r="BC193" s="2135"/>
      <c r="BD193" s="2236">
        <f>SUM(BD185:BD192)</f>
        <v>0</v>
      </c>
      <c r="BE193" s="2109"/>
      <c r="BF193" s="2236">
        <f>SUM(BF185:BF192)</f>
        <v>149.23320442900271</v>
      </c>
      <c r="BG193" s="2236"/>
      <c r="BH193" s="2236"/>
      <c r="BI193" s="2236"/>
      <c r="BJ193" s="2236"/>
      <c r="BK193" s="2236">
        <f>SUM(BK185:BK192)</f>
        <v>149.23320442900271</v>
      </c>
      <c r="BL193" s="2236">
        <f>SUM(BL185:BL192)</f>
        <v>420.37199999999996</v>
      </c>
      <c r="BM193" s="2135"/>
      <c r="BN193" s="2236">
        <f>SUM(BN185:BN192)</f>
        <v>0</v>
      </c>
      <c r="BO193" s="2109">
        <v>0</v>
      </c>
      <c r="BP193" s="2236">
        <f>SUM(BP185:BP192)</f>
        <v>150.44039493434207</v>
      </c>
      <c r="BQ193" s="2236">
        <f>SUM(BQ185:BQ192)</f>
        <v>0</v>
      </c>
      <c r="BR193" s="2236">
        <f>SUM(BR185:BR192)</f>
        <v>0</v>
      </c>
      <c r="BS193" s="2236">
        <f>SUM(BS185:BS192)</f>
        <v>0</v>
      </c>
      <c r="BT193" s="2236"/>
      <c r="BU193" s="2236">
        <f>SUM(BU185:BU192)</f>
        <v>150.44039493434207</v>
      </c>
      <c r="BV193" s="2236">
        <f>SUM(BV185:BV192)</f>
        <v>434.38440000000003</v>
      </c>
      <c r="BW193" s="2135"/>
      <c r="BX193" s="2236">
        <f>SUM(BX185:BX192)</f>
        <v>0</v>
      </c>
      <c r="BY193" s="2109">
        <v>0</v>
      </c>
      <c r="BZ193" s="2236">
        <f>SUM(BZ185:BZ192)</f>
        <v>155.45507476548681</v>
      </c>
      <c r="CA193" s="2236">
        <f>SUM(CA185:CA192)</f>
        <v>0</v>
      </c>
      <c r="CB193" s="2236">
        <f>SUM(CB185:CB192)</f>
        <v>0</v>
      </c>
      <c r="CC193" s="2236">
        <f>SUM(CC185:CC192)</f>
        <v>0</v>
      </c>
      <c r="CD193" s="2236"/>
      <c r="CE193" s="2236">
        <f>SUM(CE185:CE192)</f>
        <v>155.45507476548681</v>
      </c>
      <c r="CF193" s="2236">
        <f>SUM(CF185:CF192)</f>
        <v>420.37199999999996</v>
      </c>
      <c r="CG193" s="2135"/>
      <c r="CH193" s="2236">
        <f>SUM(CH185:CH192)</f>
        <v>0</v>
      </c>
      <c r="CI193" s="2109">
        <v>0</v>
      </c>
      <c r="CJ193" s="2236">
        <f>SUM(CJ185:CJ192)</f>
        <v>150.44039493434207</v>
      </c>
      <c r="CK193" s="2236">
        <f>SUM(CK185:CK192)</f>
        <v>0</v>
      </c>
      <c r="CL193" s="2236">
        <f>SUM(CL185:CL192)</f>
        <v>0</v>
      </c>
      <c r="CM193" s="2236">
        <f>SUM(CM185:CM192)</f>
        <v>0</v>
      </c>
      <c r="CN193" s="2236"/>
      <c r="CO193" s="2236">
        <f>SUM(CO185:CO192)</f>
        <v>150.44039493434207</v>
      </c>
      <c r="CP193" s="2236">
        <f>SUM(CP185:CP192)</f>
        <v>434.38440000000003</v>
      </c>
      <c r="CQ193" s="2135"/>
      <c r="CR193" s="2236">
        <f>SUM(CR185:CR192)</f>
        <v>0</v>
      </c>
      <c r="CS193" s="2109">
        <v>0</v>
      </c>
      <c r="CT193" s="2236">
        <f>SUM(CT185:CT192)</f>
        <v>155.45507476548681</v>
      </c>
      <c r="CU193" s="2236"/>
      <c r="CV193" s="2236"/>
      <c r="CW193" s="2236">
        <f>SUM(CW185:CW192)</f>
        <v>0</v>
      </c>
      <c r="CX193" s="2236"/>
      <c r="CY193" s="2236">
        <f>SUM(CY185:CY192)</f>
        <v>155.45507476548681</v>
      </c>
      <c r="CZ193" s="2236">
        <f>SUM(CZ185:CZ192)</f>
        <v>434.38440000000003</v>
      </c>
      <c r="DA193" s="2135"/>
      <c r="DB193" s="2236">
        <f>SUM(DB185:DB192)</f>
        <v>0</v>
      </c>
      <c r="DC193" s="2109">
        <v>0</v>
      </c>
      <c r="DD193" s="2236">
        <f>SUM(DD185:DD192)</f>
        <v>155.45507476548681</v>
      </c>
      <c r="DE193" s="2236">
        <f>SUM(DE185:DE192)</f>
        <v>0</v>
      </c>
      <c r="DF193" s="2236">
        <f>SUM(DF185:DF192)</f>
        <v>0</v>
      </c>
      <c r="DG193" s="2236">
        <f>SUM(DG185:DG192)</f>
        <v>0</v>
      </c>
      <c r="DH193" s="2236"/>
      <c r="DI193" s="2236">
        <f>SUM(DI185:DI192)</f>
        <v>155.45507476548681</v>
      </c>
      <c r="DJ193" s="2236">
        <f>SUM(DJ185:DJ192)</f>
        <v>392.34719999999999</v>
      </c>
      <c r="DK193" s="2135"/>
      <c r="DL193" s="2236">
        <f>SUM(DL185:DL192)</f>
        <v>0</v>
      </c>
      <c r="DM193" s="2109"/>
      <c r="DN193" s="2236">
        <f>SUM(DN185:DN192)</f>
        <v>140.4110352720526</v>
      </c>
      <c r="DO193" s="2236"/>
      <c r="DP193" s="2236"/>
      <c r="DQ193" s="2236"/>
      <c r="DR193" s="2236"/>
      <c r="DS193" s="2236">
        <f>SUM(DS185:DS192)</f>
        <v>140.4110352720526</v>
      </c>
      <c r="DT193" s="2236">
        <f>SUM(DT185:DT192)</f>
        <v>434.38440000000003</v>
      </c>
      <c r="DU193" s="2135"/>
      <c r="DV193" s="2236">
        <f>SUM(DV185:DV192)</f>
        <v>0</v>
      </c>
      <c r="DW193" s="2109">
        <v>0</v>
      </c>
      <c r="DX193" s="2236">
        <f>SUM(DX185:DX192)</f>
        <v>155.45507476548681</v>
      </c>
      <c r="DY193" s="2236"/>
      <c r="DZ193" s="2236"/>
      <c r="EA193" s="2236"/>
      <c r="EB193" s="2135"/>
      <c r="EC193" s="2236">
        <f>SUM(EC185:EC192)</f>
        <v>155.45507476548681</v>
      </c>
      <c r="ED193" s="2236"/>
      <c r="EE193" s="2236">
        <f>SUM(EE185:EE192)</f>
        <v>5028.4023415165984</v>
      </c>
      <c r="EF193" s="2106">
        <f>IFERROR((EG193/EE193)*10,0)</f>
        <v>0</v>
      </c>
      <c r="EG193" s="2107">
        <f>SUM(EG185:EG192)</f>
        <v>0</v>
      </c>
      <c r="EH193" s="2106">
        <f t="shared" si="387"/>
        <v>3.5830880019099425</v>
      </c>
      <c r="EI193" s="2107">
        <f>SUM(EI185:EL192)</f>
        <v>1801.7208098663984</v>
      </c>
      <c r="EJ193" s="2107">
        <f>SUM(EJ185:EJ192)</f>
        <v>0</v>
      </c>
      <c r="EK193" s="2107">
        <f>SUM(EK185:EK192)</f>
        <v>0</v>
      </c>
      <c r="EL193" s="2107">
        <f>SUM(EL185:EL192)</f>
        <v>0</v>
      </c>
      <c r="EM193" s="2106">
        <f t="shared" si="389"/>
        <v>3.5830880019099425</v>
      </c>
      <c r="EN193" s="2107">
        <f>SUM(EN185:EN192)</f>
        <v>1801.7208098663984</v>
      </c>
      <c r="EO193" s="2106">
        <f t="shared" si="391"/>
        <v>3.5830880019099425</v>
      </c>
      <c r="EP193" s="2114">
        <f t="shared" si="392"/>
        <v>3.5830880019099425</v>
      </c>
      <c r="EQ193" s="2224"/>
      <c r="ER193" s="2277"/>
      <c r="EU193" s="2230"/>
    </row>
    <row r="194" spans="1:151">
      <c r="A194" s="2232"/>
      <c r="B194" s="2281"/>
      <c r="C194" s="2236"/>
      <c r="D194" s="2135"/>
      <c r="E194" s="2135"/>
      <c r="F194" s="2279"/>
      <c r="G194" s="2107"/>
      <c r="H194" s="2236"/>
      <c r="I194" s="2278"/>
      <c r="J194" s="2236"/>
      <c r="K194" s="2135"/>
      <c r="L194" s="2135"/>
      <c r="M194" s="2107"/>
      <c r="N194" s="2107"/>
      <c r="O194" s="2135"/>
      <c r="P194" s="2109"/>
      <c r="Q194" s="2109"/>
      <c r="R194" s="2107"/>
      <c r="S194" s="2135"/>
      <c r="T194" s="2135"/>
      <c r="U194" s="2135"/>
      <c r="V194" s="2135"/>
      <c r="W194" s="2107"/>
      <c r="X194" s="2107"/>
      <c r="Y194" s="2135"/>
      <c r="Z194" s="2109"/>
      <c r="AA194" s="2109"/>
      <c r="AB194" s="2107"/>
      <c r="AC194" s="2135"/>
      <c r="AD194" s="2135"/>
      <c r="AE194" s="2135"/>
      <c r="AF194" s="2135"/>
      <c r="AG194" s="2236"/>
      <c r="AH194" s="2236"/>
      <c r="AI194" s="2135"/>
      <c r="AJ194" s="2109"/>
      <c r="AK194" s="2109"/>
      <c r="AL194" s="2236"/>
      <c r="AM194" s="2135"/>
      <c r="AN194" s="2135"/>
      <c r="AO194" s="2238"/>
      <c r="AP194" s="2135"/>
      <c r="AQ194" s="2236"/>
      <c r="AR194" s="2236"/>
      <c r="AS194" s="2135"/>
      <c r="AT194" s="2109"/>
      <c r="AU194" s="2109"/>
      <c r="AV194" s="2236"/>
      <c r="AW194" s="2236"/>
      <c r="AX194" s="2236"/>
      <c r="AY194" s="2236"/>
      <c r="AZ194" s="2236"/>
      <c r="BA194" s="2236"/>
      <c r="BB194" s="2236"/>
      <c r="BC194" s="2135"/>
      <c r="BD194" s="2109"/>
      <c r="BE194" s="2109"/>
      <c r="BF194" s="2236"/>
      <c r="BG194" s="2236"/>
      <c r="BH194" s="2236"/>
      <c r="BI194" s="2236"/>
      <c r="BJ194" s="2236"/>
      <c r="BK194" s="2236"/>
      <c r="BL194" s="2236"/>
      <c r="BM194" s="2135"/>
      <c r="BN194" s="2109"/>
      <c r="BO194" s="2109"/>
      <c r="BP194" s="2236"/>
      <c r="BQ194" s="2236"/>
      <c r="BR194" s="2236"/>
      <c r="BS194" s="2236"/>
      <c r="BT194" s="2236"/>
      <c r="BU194" s="2236"/>
      <c r="BV194" s="2149"/>
      <c r="BW194" s="2135"/>
      <c r="BX194" s="2109"/>
      <c r="BY194" s="2109"/>
      <c r="BZ194" s="2236"/>
      <c r="CA194" s="2236"/>
      <c r="CB194" s="2236"/>
      <c r="CC194" s="2236"/>
      <c r="CD194" s="2236"/>
      <c r="CE194" s="2236"/>
      <c r="CF194" s="2149"/>
      <c r="CG194" s="2135"/>
      <c r="CH194" s="2109"/>
      <c r="CI194" s="2109"/>
      <c r="CJ194" s="2236"/>
      <c r="CK194" s="2236"/>
      <c r="CL194" s="2236"/>
      <c r="CM194" s="2236"/>
      <c r="CN194" s="2236"/>
      <c r="CO194" s="2236"/>
      <c r="CP194" s="2149"/>
      <c r="CQ194" s="2135"/>
      <c r="CR194" s="2109"/>
      <c r="CS194" s="2109"/>
      <c r="CT194" s="2236"/>
      <c r="CU194" s="2236"/>
      <c r="CV194" s="2236"/>
      <c r="CW194" s="2236"/>
      <c r="CX194" s="2236"/>
      <c r="CY194" s="2236"/>
      <c r="CZ194" s="2149"/>
      <c r="DA194" s="2135"/>
      <c r="DB194" s="2109"/>
      <c r="DC194" s="2109"/>
      <c r="DD194" s="2236"/>
      <c r="DE194" s="2236"/>
      <c r="DF194" s="2236"/>
      <c r="DG194" s="2236"/>
      <c r="DH194" s="2236"/>
      <c r="DI194" s="2236"/>
      <c r="DJ194" s="2149"/>
      <c r="DK194" s="2135"/>
      <c r="DL194" s="2109"/>
      <c r="DM194" s="2109"/>
      <c r="DN194" s="2236"/>
      <c r="DO194" s="2236"/>
      <c r="DP194" s="2236"/>
      <c r="DQ194" s="2236"/>
      <c r="DR194" s="2236"/>
      <c r="DS194" s="2236"/>
      <c r="DT194" s="2149"/>
      <c r="DU194" s="2135"/>
      <c r="DV194" s="2109"/>
      <c r="DW194" s="2109"/>
      <c r="DX194" s="2236"/>
      <c r="DY194" s="2236"/>
      <c r="DZ194" s="2236"/>
      <c r="EA194" s="2236"/>
      <c r="EB194" s="2135"/>
      <c r="EC194" s="2236"/>
      <c r="ED194" s="2236"/>
      <c r="EE194" s="2236"/>
      <c r="EF194" s="2106"/>
      <c r="EG194" s="2107"/>
      <c r="EH194" s="2106"/>
      <c r="EI194" s="2107"/>
      <c r="EJ194" s="2107"/>
      <c r="EK194" s="2107"/>
      <c r="EL194" s="2107"/>
      <c r="EM194" s="2106"/>
      <c r="EN194" s="2107"/>
      <c r="EO194" s="2106"/>
      <c r="EP194" s="2114"/>
      <c r="EQ194" s="2224"/>
      <c r="ER194" s="2277"/>
      <c r="EU194" s="2230"/>
    </row>
    <row r="195" spans="1:151">
      <c r="A195" s="2220"/>
      <c r="B195" s="2281" t="s">
        <v>60</v>
      </c>
      <c r="C195" s="2227"/>
      <c r="D195" s="2227"/>
      <c r="E195" s="2227"/>
      <c r="F195" s="2227"/>
      <c r="G195" s="1774"/>
      <c r="H195" s="2135"/>
      <c r="I195" s="2280"/>
      <c r="J195" s="2135"/>
      <c r="K195" s="2227"/>
      <c r="L195" s="2227"/>
      <c r="M195" s="2106"/>
      <c r="N195" s="2149">
        <v>0</v>
      </c>
      <c r="O195" s="2135"/>
      <c r="P195" s="2109">
        <v>0</v>
      </c>
      <c r="Q195" s="2109">
        <v>0</v>
      </c>
      <c r="R195" s="2109">
        <f t="shared" si="279"/>
        <v>0</v>
      </c>
      <c r="S195" s="2135"/>
      <c r="T195" s="2135"/>
      <c r="U195" s="2135"/>
      <c r="V195" s="2135"/>
      <c r="W195" s="2135"/>
      <c r="X195" s="2149">
        <v>0</v>
      </c>
      <c r="Y195" s="2135"/>
      <c r="Z195" s="2109">
        <v>0</v>
      </c>
      <c r="AA195" s="2109">
        <v>0</v>
      </c>
      <c r="AB195" s="2109">
        <f t="shared" si="283"/>
        <v>0</v>
      </c>
      <c r="AC195" s="2135"/>
      <c r="AD195" s="2135"/>
      <c r="AE195" s="2135"/>
      <c r="AF195" s="2135"/>
      <c r="AG195" s="2135"/>
      <c r="AH195" s="2149">
        <v>0</v>
      </c>
      <c r="AI195" s="2135"/>
      <c r="AJ195" s="2109">
        <v>0</v>
      </c>
      <c r="AK195" s="2109">
        <v>0</v>
      </c>
      <c r="AL195" s="2109">
        <f t="shared" si="287"/>
        <v>0</v>
      </c>
      <c r="AM195" s="2135"/>
      <c r="AN195" s="2135"/>
      <c r="AO195" s="2238"/>
      <c r="AP195" s="2135"/>
      <c r="AQ195" s="2135"/>
      <c r="AR195" s="2149">
        <v>0</v>
      </c>
      <c r="AS195" s="2135"/>
      <c r="AT195" s="2109">
        <v>0</v>
      </c>
      <c r="AU195" s="2109">
        <v>0</v>
      </c>
      <c r="AV195" s="2109">
        <f t="shared" si="291"/>
        <v>0</v>
      </c>
      <c r="AW195" s="2135"/>
      <c r="AX195" s="2135"/>
      <c r="AY195" s="2238"/>
      <c r="AZ195" s="2135"/>
      <c r="BA195" s="2135"/>
      <c r="BB195" s="2149">
        <v>0</v>
      </c>
      <c r="BC195" s="2135"/>
      <c r="BD195" s="2109">
        <v>0</v>
      </c>
      <c r="BE195" s="2109">
        <v>0</v>
      </c>
      <c r="BF195" s="2109">
        <f t="shared" si="295"/>
        <v>0</v>
      </c>
      <c r="BG195" s="2135"/>
      <c r="BH195" s="2135"/>
      <c r="BI195" s="2238"/>
      <c r="BJ195" s="2135"/>
      <c r="BK195" s="2135"/>
      <c r="BL195" s="2149">
        <v>0</v>
      </c>
      <c r="BM195" s="2135"/>
      <c r="BN195" s="2109">
        <v>0</v>
      </c>
      <c r="BO195" s="2109">
        <v>0</v>
      </c>
      <c r="BP195" s="2109">
        <f t="shared" si="299"/>
        <v>0</v>
      </c>
      <c r="BQ195" s="2135"/>
      <c r="BR195" s="2135"/>
      <c r="BS195" s="2135"/>
      <c r="BT195" s="2135"/>
      <c r="BU195" s="2135"/>
      <c r="BV195" s="2149">
        <v>0</v>
      </c>
      <c r="BW195" s="2135"/>
      <c r="BX195" s="2109">
        <v>0</v>
      </c>
      <c r="BY195" s="2109">
        <v>0</v>
      </c>
      <c r="BZ195" s="2109">
        <f t="shared" si="303"/>
        <v>0</v>
      </c>
      <c r="CA195" s="2135"/>
      <c r="CB195" s="2135"/>
      <c r="CC195" s="2135"/>
      <c r="CD195" s="2135"/>
      <c r="CE195" s="2135"/>
      <c r="CF195" s="2149">
        <v>0</v>
      </c>
      <c r="CG195" s="2135"/>
      <c r="CH195" s="2109">
        <v>0</v>
      </c>
      <c r="CI195" s="2109">
        <v>0</v>
      </c>
      <c r="CJ195" s="2109">
        <f t="shared" si="307"/>
        <v>0</v>
      </c>
      <c r="CK195" s="2135"/>
      <c r="CL195" s="2135"/>
      <c r="CM195" s="2238"/>
      <c r="CN195" s="2135"/>
      <c r="CO195" s="2135"/>
      <c r="CP195" s="2149">
        <v>0</v>
      </c>
      <c r="CQ195" s="2135"/>
      <c r="CR195" s="2109">
        <v>0</v>
      </c>
      <c r="CS195" s="2109">
        <v>0</v>
      </c>
      <c r="CT195" s="2109">
        <f t="shared" si="311"/>
        <v>0</v>
      </c>
      <c r="CU195" s="2135"/>
      <c r="CV195" s="2135"/>
      <c r="CW195" s="2238"/>
      <c r="CX195" s="2135"/>
      <c r="CY195" s="2135"/>
      <c r="CZ195" s="2149">
        <v>0</v>
      </c>
      <c r="DA195" s="2135"/>
      <c r="DB195" s="2109">
        <v>0</v>
      </c>
      <c r="DC195" s="2109">
        <v>0</v>
      </c>
      <c r="DD195" s="2109">
        <f t="shared" si="315"/>
        <v>0</v>
      </c>
      <c r="DE195" s="2135"/>
      <c r="DF195" s="2135"/>
      <c r="DG195" s="2238"/>
      <c r="DH195" s="2135"/>
      <c r="DI195" s="2135"/>
      <c r="DJ195" s="2149">
        <v>0</v>
      </c>
      <c r="DK195" s="2135"/>
      <c r="DL195" s="2109">
        <v>0</v>
      </c>
      <c r="DM195" s="2109">
        <v>0</v>
      </c>
      <c r="DN195" s="2109">
        <f t="shared" si="319"/>
        <v>0</v>
      </c>
      <c r="DO195" s="2135"/>
      <c r="DP195" s="2135"/>
      <c r="DQ195" s="2238"/>
      <c r="DR195" s="2135"/>
      <c r="DS195" s="2135"/>
      <c r="DT195" s="2149">
        <v>0</v>
      </c>
      <c r="DU195" s="2135"/>
      <c r="DV195" s="2109">
        <v>0</v>
      </c>
      <c r="DW195" s="2109">
        <v>0</v>
      </c>
      <c r="DX195" s="2109">
        <f t="shared" si="323"/>
        <v>0</v>
      </c>
      <c r="DY195" s="2135"/>
      <c r="DZ195" s="2135"/>
      <c r="EA195" s="2135"/>
      <c r="EB195" s="2135"/>
      <c r="EC195" s="2135"/>
      <c r="ED195" s="2135"/>
      <c r="EE195" s="2107"/>
      <c r="EF195" s="2106"/>
      <c r="EG195" s="2106"/>
      <c r="EH195" s="2106"/>
      <c r="EI195" s="2106"/>
      <c r="EJ195" s="2106"/>
      <c r="EK195" s="2106"/>
      <c r="EL195" s="2106"/>
      <c r="EM195" s="2106"/>
      <c r="EN195" s="2106"/>
      <c r="EO195" s="1915"/>
      <c r="EP195" s="2223"/>
      <c r="EQ195" s="2224"/>
      <c r="ER195" s="2277"/>
      <c r="EU195" s="2230"/>
    </row>
    <row r="196" spans="1:151">
      <c r="A196" s="2220">
        <v>1</v>
      </c>
      <c r="B196" s="2227" t="s">
        <v>2034</v>
      </c>
      <c r="C196" s="1882"/>
      <c r="D196" s="2134"/>
      <c r="E196" s="1882"/>
      <c r="F196" s="2247"/>
      <c r="G196" s="2146">
        <v>25</v>
      </c>
      <c r="H196" s="2248" t="s">
        <v>1667</v>
      </c>
      <c r="I196" s="2249">
        <v>2</v>
      </c>
      <c r="J196" s="2149">
        <v>186.15</v>
      </c>
      <c r="K196" s="2227"/>
      <c r="L196" s="2151"/>
      <c r="M196" s="2106">
        <f>J196*(1-K196)*(1-L196)</f>
        <v>186.15</v>
      </c>
      <c r="N196" s="2149">
        <v>15.3</v>
      </c>
      <c r="O196" s="2135">
        <f>IFERROR(P196/N196*10,0)</f>
        <v>1.4645624999999998</v>
      </c>
      <c r="P196" s="2109">
        <v>2.2407806249999997</v>
      </c>
      <c r="Q196" s="2109">
        <v>1.4444999999999999</v>
      </c>
      <c r="R196" s="2109">
        <f>IFERROR(Q196*N196/10,0)</f>
        <v>2.2100849999999999</v>
      </c>
      <c r="S196" s="2135"/>
      <c r="T196" s="2135"/>
      <c r="U196" s="2135"/>
      <c r="V196" s="2135">
        <f>IFERROR(W196/N196*10,0)</f>
        <v>2.9090624999999997</v>
      </c>
      <c r="W196" s="2135">
        <f>P196+R196</f>
        <v>4.4508656249999996</v>
      </c>
      <c r="X196" s="2149">
        <v>15.81</v>
      </c>
      <c r="Y196" s="2135">
        <f>IFERROR(Z196/X196*10,0)</f>
        <v>1.4173185483870965</v>
      </c>
      <c r="Z196" s="2109">
        <v>2.2407806249999997</v>
      </c>
      <c r="AA196" s="2109">
        <v>1.4444999999999999</v>
      </c>
      <c r="AB196" s="2109">
        <f>IFERROR(AA196*X196/10,0)</f>
        <v>2.2837544999999997</v>
      </c>
      <c r="AC196" s="2135"/>
      <c r="AD196" s="2135"/>
      <c r="AE196" s="2135"/>
      <c r="AF196" s="2135">
        <f>IFERROR(AG196/X196*10,0)</f>
        <v>2.8618185483870966</v>
      </c>
      <c r="AG196" s="2135">
        <f>Z196+AB196</f>
        <v>4.5245351249999999</v>
      </c>
      <c r="AH196" s="2149">
        <v>15.3</v>
      </c>
      <c r="AI196" s="2135">
        <f>IFERROR(AJ196/AH196*10,0)</f>
        <v>1.4645624999999998</v>
      </c>
      <c r="AJ196" s="2109">
        <v>2.2407806249999997</v>
      </c>
      <c r="AK196" s="2109">
        <v>1.4444999999999999</v>
      </c>
      <c r="AL196" s="2109">
        <f>IFERROR(AK196*AH196/10,0)</f>
        <v>2.2100849999999999</v>
      </c>
      <c r="AM196" s="2135"/>
      <c r="AN196" s="2135"/>
      <c r="AO196" s="2135"/>
      <c r="AP196" s="2135">
        <f>IFERROR(AQ196/AH196*10,0)</f>
        <v>2.9090624999999997</v>
      </c>
      <c r="AQ196" s="2135">
        <f>AL196+AJ196</f>
        <v>4.4508656249999996</v>
      </c>
      <c r="AR196" s="2149">
        <v>15.81</v>
      </c>
      <c r="AS196" s="2135">
        <f>IFERROR(AT196/AR196*10,0)</f>
        <v>1.4173185483870965</v>
      </c>
      <c r="AT196" s="2109">
        <v>2.2407806249999997</v>
      </c>
      <c r="AU196" s="2109">
        <v>1.4444999999999999</v>
      </c>
      <c r="AV196" s="2109">
        <f>IFERROR(AU196*AR196/10,0)</f>
        <v>2.2837544999999997</v>
      </c>
      <c r="AW196" s="2135"/>
      <c r="AX196" s="2135"/>
      <c r="AY196" s="2135"/>
      <c r="AZ196" s="2135">
        <f>IFERROR(BA196/AR196*10,0)</f>
        <v>2.8618185483870966</v>
      </c>
      <c r="BA196" s="2135">
        <f>AV196+AT196</f>
        <v>4.5245351249999999</v>
      </c>
      <c r="BB196" s="2149">
        <v>15.81</v>
      </c>
      <c r="BC196" s="2135">
        <f>IFERROR(BD196/BB196*10,0)</f>
        <v>1.4173185483870965</v>
      </c>
      <c r="BD196" s="2109">
        <v>2.2407806249999997</v>
      </c>
      <c r="BE196" s="2109">
        <v>1.4444999999999999</v>
      </c>
      <c r="BF196" s="2109">
        <f>IFERROR(BE196*BB196/10,0)</f>
        <v>2.2837544999999997</v>
      </c>
      <c r="BG196" s="2135"/>
      <c r="BH196" s="2135"/>
      <c r="BI196" s="2135"/>
      <c r="BJ196" s="2135">
        <f>IFERROR(BK196/BB196*10,0)</f>
        <v>2.8618185483870966</v>
      </c>
      <c r="BK196" s="2135">
        <f>BF196+BD196</f>
        <v>4.5245351249999999</v>
      </c>
      <c r="BL196" s="2149">
        <v>15.3</v>
      </c>
      <c r="BM196" s="2135">
        <f>IFERROR(BN196/BL196*10,0)</f>
        <v>1.4645624999999998</v>
      </c>
      <c r="BN196" s="2109">
        <v>2.2407806249999997</v>
      </c>
      <c r="BO196" s="2109">
        <v>1.4444999999999999</v>
      </c>
      <c r="BP196" s="2109">
        <f>IFERROR(BO196*BL196/10,0)</f>
        <v>2.2100849999999999</v>
      </c>
      <c r="BQ196" s="2135"/>
      <c r="BR196" s="2135"/>
      <c r="BS196" s="2135"/>
      <c r="BT196" s="2135">
        <f>IFERROR(BU196/BL196*10,0)</f>
        <v>2.9090624999999997</v>
      </c>
      <c r="BU196" s="2135">
        <f>BP196+BN196</f>
        <v>4.4508656249999996</v>
      </c>
      <c r="BV196" s="2149">
        <v>15.81</v>
      </c>
      <c r="BW196" s="2135">
        <f>IFERROR(BX196/BV196*10,0)</f>
        <v>1.4173185483870965</v>
      </c>
      <c r="BX196" s="2109">
        <v>2.2407806249999997</v>
      </c>
      <c r="BY196" s="2109">
        <v>1.4444999999999999</v>
      </c>
      <c r="BZ196" s="2109">
        <f>IFERROR(BY196*BV196/10,0)</f>
        <v>2.2837544999999997</v>
      </c>
      <c r="CA196" s="2135"/>
      <c r="CB196" s="2135"/>
      <c r="CC196" s="2135"/>
      <c r="CD196" s="2135">
        <f>IFERROR(CE196/BV196*10,0)</f>
        <v>2.8618185483870966</v>
      </c>
      <c r="CE196" s="2135">
        <f>BZ196+BX196</f>
        <v>4.5245351249999999</v>
      </c>
      <c r="CF196" s="2149">
        <v>15.3</v>
      </c>
      <c r="CG196" s="2135">
        <f>IFERROR(CH196/CF196*10,0)</f>
        <v>1.4645624999999998</v>
      </c>
      <c r="CH196" s="2109">
        <v>2.2407806249999997</v>
      </c>
      <c r="CI196" s="2109">
        <v>1.4444999999999999</v>
      </c>
      <c r="CJ196" s="2109">
        <f>IFERROR(CI196*CF196/10,0)</f>
        <v>2.2100849999999999</v>
      </c>
      <c r="CK196" s="2135"/>
      <c r="CL196" s="2135"/>
      <c r="CM196" s="2135"/>
      <c r="CN196" s="2135">
        <f>IFERROR(CO196/CF196*10,0)</f>
        <v>2.9090624999999997</v>
      </c>
      <c r="CO196" s="2135">
        <f>CJ196+CH196</f>
        <v>4.4508656249999996</v>
      </c>
      <c r="CP196" s="2149">
        <v>15.81</v>
      </c>
      <c r="CQ196" s="2135">
        <f>IFERROR(CR196/CP196*10,0)</f>
        <v>1.4173185483870965</v>
      </c>
      <c r="CR196" s="2109">
        <v>2.2407806249999997</v>
      </c>
      <c r="CS196" s="2109">
        <v>1.4444999999999999</v>
      </c>
      <c r="CT196" s="2109">
        <f>IFERROR(CS196*CP196/10,0)</f>
        <v>2.2837544999999997</v>
      </c>
      <c r="CU196" s="2135"/>
      <c r="CV196" s="2135"/>
      <c r="CW196" s="2135"/>
      <c r="CX196" s="2135">
        <f>IFERROR(CY196/CP196*10,0)</f>
        <v>2.8618185483870966</v>
      </c>
      <c r="CY196" s="2135">
        <f>CT196+CR196</f>
        <v>4.5245351249999999</v>
      </c>
      <c r="CZ196" s="2149">
        <v>15.81</v>
      </c>
      <c r="DA196" s="2135">
        <f>IFERROR(DB196/CZ196*10,0)</f>
        <v>1.4173185483870965</v>
      </c>
      <c r="DB196" s="2109">
        <v>2.2407806249999997</v>
      </c>
      <c r="DC196" s="2109">
        <v>1.4444999999999999</v>
      </c>
      <c r="DD196" s="2109">
        <f>IFERROR(DC196*CZ196/10,0)</f>
        <v>2.2837544999999997</v>
      </c>
      <c r="DE196" s="2135"/>
      <c r="DF196" s="2135"/>
      <c r="DG196" s="2135"/>
      <c r="DH196" s="2135">
        <f>IFERROR(DI196/CZ196*10,0)</f>
        <v>2.8618185483870966</v>
      </c>
      <c r="DI196" s="2135">
        <f>DD196+DB196</f>
        <v>4.5245351249999999</v>
      </c>
      <c r="DJ196" s="2149">
        <v>14.28</v>
      </c>
      <c r="DK196" s="2135">
        <f>IFERROR(DL196/DJ196*10,0)</f>
        <v>1.5691741071428569</v>
      </c>
      <c r="DL196" s="2109">
        <v>2.2407806249999997</v>
      </c>
      <c r="DM196" s="2109">
        <v>1.4444999999999999</v>
      </c>
      <c r="DN196" s="2109">
        <f>IFERROR(DM196*DJ196/10,0)</f>
        <v>2.0627459999999997</v>
      </c>
      <c r="DO196" s="2135"/>
      <c r="DP196" s="2135"/>
      <c r="DQ196" s="2135"/>
      <c r="DR196" s="2135">
        <f>IFERROR(DS196/DJ196*10,0)</f>
        <v>3.0136741071428572</v>
      </c>
      <c r="DS196" s="2135">
        <f>DN196+DL196</f>
        <v>4.3035266249999999</v>
      </c>
      <c r="DT196" s="2149">
        <v>15.81</v>
      </c>
      <c r="DU196" s="2135">
        <f>IFERROR(DV196/DT196*10,0)</f>
        <v>1.4173185483870965</v>
      </c>
      <c r="DV196" s="2109">
        <v>2.2407806249999997</v>
      </c>
      <c r="DW196" s="2109">
        <v>1.4444999999999999</v>
      </c>
      <c r="DX196" s="2109">
        <f>IFERROR(DW196*DT196/10,0)</f>
        <v>2.2837544999999997</v>
      </c>
      <c r="DY196" s="2135"/>
      <c r="DZ196" s="2135"/>
      <c r="EA196" s="2135"/>
      <c r="EB196" s="2135">
        <f>IFERROR(EC196/DT196*10,0)</f>
        <v>2.8618185483870966</v>
      </c>
      <c r="EC196" s="2135">
        <f>DX196+DV196</f>
        <v>4.5245351249999999</v>
      </c>
      <c r="ED196" s="2135"/>
      <c r="EE196" s="2106">
        <f>SUM(N196,X196,AH196,AR196,BB196,BL196,BV196,CF196,CP196,CZ196,DJ196,DT196)</f>
        <v>186.15</v>
      </c>
      <c r="EF196" s="2106">
        <f>IFERROR((EG196/EE196)*10,0)</f>
        <v>1.4444999999999997</v>
      </c>
      <c r="EG196" s="2106">
        <f>SUM(P196,Z196,AJ196,AT196,BD196,BN196,BX196,CR196,CH196,DB196,DL196,DV196)</f>
        <v>26.889367499999995</v>
      </c>
      <c r="EH196" s="2106">
        <f>IFERROR((EI196/EE196)*10,0)</f>
        <v>1.4444999999999999</v>
      </c>
      <c r="EI196" s="2106">
        <f>SUM(R196,AB196,AL196,AV196,BF196,BP196,BZ196,CJ196,CT196,DD196,DN196,DX196)</f>
        <v>26.889367500000002</v>
      </c>
      <c r="EJ196" s="2106"/>
      <c r="EK196" s="2106"/>
      <c r="EL196" s="2106"/>
      <c r="EM196" s="2106">
        <f>IFERROR(EN196/EE196*10,0)</f>
        <v>2.8889999999999998</v>
      </c>
      <c r="EN196" s="2106">
        <f>EG196+EI196</f>
        <v>53.778734999999998</v>
      </c>
      <c r="EO196" s="2106"/>
      <c r="EP196" s="2114"/>
      <c r="EQ196" s="2224"/>
      <c r="ER196" s="2277"/>
      <c r="EU196" s="2230"/>
    </row>
    <row r="197" spans="1:151">
      <c r="A197" s="2220"/>
      <c r="B197" s="2227"/>
      <c r="C197" s="1882"/>
      <c r="D197" s="2134"/>
      <c r="E197" s="1882"/>
      <c r="F197" s="2247"/>
      <c r="G197" s="2146"/>
      <c r="H197" s="2248"/>
      <c r="I197" s="2249"/>
      <c r="J197" s="2149"/>
      <c r="K197" s="2227"/>
      <c r="L197" s="2250"/>
      <c r="M197" s="2106"/>
      <c r="N197" s="2149"/>
      <c r="O197" s="2135"/>
      <c r="P197" s="2109"/>
      <c r="Q197" s="2109"/>
      <c r="R197" s="2109"/>
      <c r="S197" s="2135"/>
      <c r="T197" s="2135"/>
      <c r="U197" s="2135"/>
      <c r="V197" s="2135"/>
      <c r="W197" s="2135"/>
      <c r="X197" s="2149"/>
      <c r="Y197" s="2135"/>
      <c r="Z197" s="2109"/>
      <c r="AA197" s="2109"/>
      <c r="AB197" s="2109"/>
      <c r="AC197" s="2135"/>
      <c r="AD197" s="2135"/>
      <c r="AE197" s="2135"/>
      <c r="AF197" s="2135"/>
      <c r="AG197" s="2135"/>
      <c r="AH197" s="2149"/>
      <c r="AI197" s="2135"/>
      <c r="AJ197" s="2109"/>
      <c r="AK197" s="2109"/>
      <c r="AL197" s="2109"/>
      <c r="AM197" s="2135"/>
      <c r="AN197" s="2135"/>
      <c r="AO197" s="2135"/>
      <c r="AP197" s="2135"/>
      <c r="AQ197" s="2135"/>
      <c r="AR197" s="2149"/>
      <c r="AS197" s="2135"/>
      <c r="AT197" s="2109"/>
      <c r="AU197" s="2109"/>
      <c r="AV197" s="2109"/>
      <c r="AW197" s="2135"/>
      <c r="AX197" s="2135"/>
      <c r="AY197" s="2135"/>
      <c r="AZ197" s="2135"/>
      <c r="BA197" s="2135"/>
      <c r="BB197" s="2149"/>
      <c r="BC197" s="2135"/>
      <c r="BD197" s="2109"/>
      <c r="BE197" s="2109"/>
      <c r="BF197" s="2109"/>
      <c r="BG197" s="2135"/>
      <c r="BH197" s="2135"/>
      <c r="BI197" s="2135"/>
      <c r="BJ197" s="2135"/>
      <c r="BK197" s="2135"/>
      <c r="BL197" s="2149"/>
      <c r="BM197" s="2135"/>
      <c r="BN197" s="2109"/>
      <c r="BO197" s="2109"/>
      <c r="BP197" s="2109"/>
      <c r="BQ197" s="2135"/>
      <c r="BR197" s="2135"/>
      <c r="BS197" s="2135"/>
      <c r="BT197" s="2135"/>
      <c r="BU197" s="2135"/>
      <c r="BV197" s="2149"/>
      <c r="BW197" s="2135"/>
      <c r="BX197" s="2109"/>
      <c r="BY197" s="2109"/>
      <c r="BZ197" s="2109"/>
      <c r="CA197" s="2135"/>
      <c r="CB197" s="2135"/>
      <c r="CC197" s="2135"/>
      <c r="CD197" s="2135"/>
      <c r="CE197" s="2135"/>
      <c r="CF197" s="2149"/>
      <c r="CG197" s="2135"/>
      <c r="CH197" s="2109"/>
      <c r="CI197" s="2109"/>
      <c r="CJ197" s="2109"/>
      <c r="CK197" s="2135"/>
      <c r="CL197" s="2135"/>
      <c r="CM197" s="2135"/>
      <c r="CN197" s="2135"/>
      <c r="CO197" s="2135"/>
      <c r="CP197" s="2149"/>
      <c r="CQ197" s="2135"/>
      <c r="CR197" s="2109"/>
      <c r="CS197" s="2109"/>
      <c r="CT197" s="2109"/>
      <c r="CU197" s="2135"/>
      <c r="CV197" s="2135"/>
      <c r="CW197" s="2135"/>
      <c r="CX197" s="2135"/>
      <c r="CY197" s="2135"/>
      <c r="CZ197" s="2149"/>
      <c r="DA197" s="2135"/>
      <c r="DB197" s="2109"/>
      <c r="DC197" s="2109"/>
      <c r="DD197" s="2109"/>
      <c r="DE197" s="2135"/>
      <c r="DF197" s="2135"/>
      <c r="DG197" s="2135"/>
      <c r="DH197" s="2135"/>
      <c r="DI197" s="2135"/>
      <c r="DJ197" s="2149"/>
      <c r="DK197" s="2135"/>
      <c r="DL197" s="2109"/>
      <c r="DM197" s="2109"/>
      <c r="DN197" s="2109"/>
      <c r="DO197" s="2135"/>
      <c r="DP197" s="2135"/>
      <c r="DQ197" s="2135"/>
      <c r="DR197" s="2135"/>
      <c r="DS197" s="2135"/>
      <c r="DT197" s="2149"/>
      <c r="DU197" s="2135"/>
      <c r="DV197" s="2109"/>
      <c r="DW197" s="2109"/>
      <c r="DX197" s="2109"/>
      <c r="DY197" s="2135"/>
      <c r="DZ197" s="2135"/>
      <c r="EA197" s="2135"/>
      <c r="EB197" s="2135"/>
      <c r="EC197" s="2135"/>
      <c r="ED197" s="2135"/>
      <c r="EE197" s="2106"/>
      <c r="EF197" s="2106"/>
      <c r="EG197" s="2106"/>
      <c r="EH197" s="2106"/>
      <c r="EI197" s="2106"/>
      <c r="EJ197" s="2106"/>
      <c r="EK197" s="2106"/>
      <c r="EL197" s="2106"/>
      <c r="EM197" s="2106"/>
      <c r="EN197" s="2106"/>
      <c r="EO197" s="2106"/>
      <c r="EP197" s="2114"/>
      <c r="EQ197" s="2224"/>
      <c r="ER197" s="2277"/>
      <c r="EU197" s="2230"/>
    </row>
    <row r="198" spans="1:151">
      <c r="A198" s="2220" t="s">
        <v>139</v>
      </c>
      <c r="B198" s="2227" t="s">
        <v>2074</v>
      </c>
      <c r="C198" s="2227"/>
      <c r="D198" s="2227"/>
      <c r="E198" s="2227"/>
      <c r="F198" s="2227"/>
      <c r="G198" s="1774"/>
      <c r="H198" s="2248"/>
      <c r="I198" s="2249"/>
      <c r="J198" s="2248"/>
      <c r="K198" s="2227"/>
      <c r="L198" s="2227"/>
      <c r="M198" s="2106"/>
      <c r="N198" s="2149">
        <v>0</v>
      </c>
      <c r="O198" s="2135"/>
      <c r="P198" s="2109">
        <v>0</v>
      </c>
      <c r="Q198" s="2109">
        <v>0</v>
      </c>
      <c r="R198" s="2109">
        <f t="shared" si="279"/>
        <v>0</v>
      </c>
      <c r="S198" s="2135"/>
      <c r="T198" s="2135"/>
      <c r="U198" s="2135"/>
      <c r="V198" s="2135"/>
      <c r="W198" s="2135"/>
      <c r="X198" s="2149">
        <v>0</v>
      </c>
      <c r="Y198" s="2135"/>
      <c r="Z198" s="2109">
        <v>0</v>
      </c>
      <c r="AA198" s="2109">
        <v>0</v>
      </c>
      <c r="AB198" s="2109">
        <f t="shared" si="283"/>
        <v>0</v>
      </c>
      <c r="AC198" s="2135"/>
      <c r="AD198" s="2135"/>
      <c r="AE198" s="2135"/>
      <c r="AF198" s="2135"/>
      <c r="AG198" s="2135"/>
      <c r="AH198" s="2149">
        <v>0</v>
      </c>
      <c r="AI198" s="2135"/>
      <c r="AJ198" s="2109">
        <v>0</v>
      </c>
      <c r="AK198" s="2109">
        <v>0</v>
      </c>
      <c r="AL198" s="2109">
        <f t="shared" si="287"/>
        <v>0</v>
      </c>
      <c r="AM198" s="2135"/>
      <c r="AN198" s="2135"/>
      <c r="AO198" s="2238"/>
      <c r="AP198" s="2135"/>
      <c r="AQ198" s="2135"/>
      <c r="AR198" s="2149">
        <v>0</v>
      </c>
      <c r="AS198" s="2135"/>
      <c r="AT198" s="2109">
        <v>0</v>
      </c>
      <c r="AU198" s="2109">
        <v>0</v>
      </c>
      <c r="AV198" s="2109">
        <f t="shared" si="291"/>
        <v>0</v>
      </c>
      <c r="AW198" s="2135"/>
      <c r="AX198" s="2135"/>
      <c r="AY198" s="2238"/>
      <c r="AZ198" s="2135"/>
      <c r="BA198" s="2135"/>
      <c r="BB198" s="2149">
        <v>0</v>
      </c>
      <c r="BC198" s="2135"/>
      <c r="BD198" s="2109">
        <v>0</v>
      </c>
      <c r="BE198" s="2109">
        <v>0</v>
      </c>
      <c r="BF198" s="2109">
        <f t="shared" si="295"/>
        <v>0</v>
      </c>
      <c r="BG198" s="2135"/>
      <c r="BH198" s="2135"/>
      <c r="BI198" s="2135"/>
      <c r="BJ198" s="2135"/>
      <c r="BK198" s="2135"/>
      <c r="BL198" s="2149">
        <v>0</v>
      </c>
      <c r="BM198" s="2135"/>
      <c r="BN198" s="2109">
        <v>0</v>
      </c>
      <c r="BO198" s="2109">
        <v>0</v>
      </c>
      <c r="BP198" s="2109">
        <f t="shared" si="299"/>
        <v>0</v>
      </c>
      <c r="BQ198" s="2135"/>
      <c r="BR198" s="2135"/>
      <c r="BS198" s="2135"/>
      <c r="BT198" s="2135"/>
      <c r="BU198" s="2135"/>
      <c r="BV198" s="2149">
        <v>0</v>
      </c>
      <c r="BW198" s="2135"/>
      <c r="BX198" s="2109">
        <v>0</v>
      </c>
      <c r="BY198" s="2109">
        <v>0</v>
      </c>
      <c r="BZ198" s="2109">
        <f t="shared" si="303"/>
        <v>0</v>
      </c>
      <c r="CA198" s="2135"/>
      <c r="CB198" s="2135"/>
      <c r="CC198" s="2135"/>
      <c r="CD198" s="2135"/>
      <c r="CE198" s="2135"/>
      <c r="CF198" s="2149">
        <v>0</v>
      </c>
      <c r="CG198" s="2135"/>
      <c r="CH198" s="2109">
        <v>0</v>
      </c>
      <c r="CI198" s="2109">
        <v>0</v>
      </c>
      <c r="CJ198" s="2109">
        <f t="shared" si="307"/>
        <v>0</v>
      </c>
      <c r="CK198" s="2135"/>
      <c r="CL198" s="2135"/>
      <c r="CM198" s="2135"/>
      <c r="CN198" s="2135"/>
      <c r="CO198" s="2135"/>
      <c r="CP198" s="2149">
        <v>0</v>
      </c>
      <c r="CQ198" s="2135"/>
      <c r="CR198" s="2109">
        <v>0</v>
      </c>
      <c r="CS198" s="2109">
        <v>0</v>
      </c>
      <c r="CT198" s="2109">
        <f t="shared" si="311"/>
        <v>0</v>
      </c>
      <c r="CU198" s="2135"/>
      <c r="CV198" s="2135"/>
      <c r="CW198" s="2135"/>
      <c r="CX198" s="2135"/>
      <c r="CY198" s="2135"/>
      <c r="CZ198" s="2149">
        <v>0</v>
      </c>
      <c r="DA198" s="2135"/>
      <c r="DB198" s="2109">
        <v>0</v>
      </c>
      <c r="DC198" s="2109">
        <v>0</v>
      </c>
      <c r="DD198" s="2109">
        <f t="shared" si="315"/>
        <v>0</v>
      </c>
      <c r="DE198" s="2135"/>
      <c r="DF198" s="2135"/>
      <c r="DG198" s="2135"/>
      <c r="DH198" s="2135"/>
      <c r="DI198" s="2135"/>
      <c r="DJ198" s="2149">
        <v>0</v>
      </c>
      <c r="DK198" s="2135"/>
      <c r="DL198" s="2109">
        <v>0</v>
      </c>
      <c r="DM198" s="2109">
        <v>0</v>
      </c>
      <c r="DN198" s="2109">
        <f t="shared" si="319"/>
        <v>0</v>
      </c>
      <c r="DO198" s="2135"/>
      <c r="DP198" s="2135"/>
      <c r="DQ198" s="2135"/>
      <c r="DR198" s="2135"/>
      <c r="DS198" s="2135"/>
      <c r="DT198" s="2149">
        <v>0</v>
      </c>
      <c r="DU198" s="2135"/>
      <c r="DV198" s="2109">
        <v>0</v>
      </c>
      <c r="DW198" s="2109">
        <v>0</v>
      </c>
      <c r="DX198" s="2109">
        <f t="shared" si="323"/>
        <v>0</v>
      </c>
      <c r="DY198" s="2135"/>
      <c r="DZ198" s="2135"/>
      <c r="EA198" s="2135"/>
      <c r="EB198" s="2135"/>
      <c r="EC198" s="2135"/>
      <c r="ED198" s="2135"/>
      <c r="EE198" s="2106"/>
      <c r="EF198" s="2106"/>
      <c r="EG198" s="2106"/>
      <c r="EH198" s="2106"/>
      <c r="EI198" s="2107"/>
      <c r="EJ198" s="2106"/>
      <c r="EK198" s="2106"/>
      <c r="EL198" s="2106"/>
      <c r="EM198" s="2106"/>
      <c r="EN198" s="2106"/>
      <c r="EO198" s="1915"/>
      <c r="EP198" s="2223"/>
      <c r="EQ198" s="2224"/>
      <c r="ER198" s="2277"/>
      <c r="EU198" s="2230"/>
    </row>
    <row r="199" spans="1:151">
      <c r="A199" s="2220" t="s">
        <v>140</v>
      </c>
      <c r="B199" s="2227" t="s">
        <v>1808</v>
      </c>
      <c r="C199" s="2227"/>
      <c r="D199" s="2227"/>
      <c r="E199" s="2227"/>
      <c r="F199" s="2227"/>
      <c r="G199" s="1774"/>
      <c r="H199" s="2248"/>
      <c r="I199" s="2249"/>
      <c r="J199" s="2248"/>
      <c r="K199" s="2227"/>
      <c r="L199" s="2227"/>
      <c r="M199" s="2106"/>
      <c r="N199" s="2149"/>
      <c r="O199" s="2135"/>
      <c r="P199" s="2109"/>
      <c r="Q199" s="2109"/>
      <c r="R199" s="2109"/>
      <c r="S199" s="2135"/>
      <c r="T199" s="2135"/>
      <c r="U199" s="2135"/>
      <c r="V199" s="2135"/>
      <c r="W199" s="2135"/>
      <c r="X199" s="2149"/>
      <c r="Y199" s="2135"/>
      <c r="Z199" s="2109"/>
      <c r="AA199" s="2109"/>
      <c r="AB199" s="2109"/>
      <c r="AC199" s="2135"/>
      <c r="AD199" s="2135"/>
      <c r="AE199" s="2135"/>
      <c r="AF199" s="2135"/>
      <c r="AG199" s="2135"/>
      <c r="AH199" s="2149"/>
      <c r="AI199" s="2135"/>
      <c r="AJ199" s="2109"/>
      <c r="AK199" s="2109"/>
      <c r="AL199" s="2109"/>
      <c r="AM199" s="2135"/>
      <c r="AN199" s="2135"/>
      <c r="AO199" s="2238"/>
      <c r="AP199" s="2135"/>
      <c r="AQ199" s="2135"/>
      <c r="AR199" s="2149"/>
      <c r="AS199" s="2135"/>
      <c r="AT199" s="2109"/>
      <c r="AU199" s="2109"/>
      <c r="AV199" s="2109"/>
      <c r="AW199" s="2135"/>
      <c r="AX199" s="2135"/>
      <c r="AY199" s="2238"/>
      <c r="AZ199" s="2135"/>
      <c r="BA199" s="2135"/>
      <c r="BB199" s="2149"/>
      <c r="BC199" s="2135"/>
      <c r="BD199" s="2109"/>
      <c r="BE199" s="2109"/>
      <c r="BF199" s="2109"/>
      <c r="BG199" s="2135"/>
      <c r="BH199" s="2135"/>
      <c r="BI199" s="2135"/>
      <c r="BJ199" s="2135"/>
      <c r="BK199" s="2135"/>
      <c r="BL199" s="2149"/>
      <c r="BM199" s="2135"/>
      <c r="BN199" s="2109"/>
      <c r="BO199" s="2109"/>
      <c r="BP199" s="2109"/>
      <c r="BQ199" s="2135"/>
      <c r="BR199" s="2135"/>
      <c r="BS199" s="2135"/>
      <c r="BT199" s="2135"/>
      <c r="BU199" s="2135"/>
      <c r="BV199" s="2149"/>
      <c r="BW199" s="2135"/>
      <c r="BX199" s="2109"/>
      <c r="BY199" s="2109"/>
      <c r="BZ199" s="2109"/>
      <c r="CA199" s="2135"/>
      <c r="CB199" s="2135"/>
      <c r="CC199" s="2135"/>
      <c r="CD199" s="2135"/>
      <c r="CE199" s="2135"/>
      <c r="CF199" s="2149"/>
      <c r="CG199" s="2135"/>
      <c r="CH199" s="2109"/>
      <c r="CI199" s="2109"/>
      <c r="CJ199" s="2109"/>
      <c r="CK199" s="2135"/>
      <c r="CL199" s="2135"/>
      <c r="CM199" s="2135"/>
      <c r="CN199" s="2135"/>
      <c r="CO199" s="2135"/>
      <c r="CP199" s="2149"/>
      <c r="CQ199" s="2135"/>
      <c r="CR199" s="2109"/>
      <c r="CS199" s="2109"/>
      <c r="CT199" s="2109"/>
      <c r="CU199" s="2135"/>
      <c r="CV199" s="2135"/>
      <c r="CW199" s="2135"/>
      <c r="CX199" s="2135"/>
      <c r="CY199" s="2135"/>
      <c r="CZ199" s="2149"/>
      <c r="DA199" s="2135"/>
      <c r="DB199" s="2109"/>
      <c r="DC199" s="2109"/>
      <c r="DD199" s="2109"/>
      <c r="DE199" s="2135"/>
      <c r="DF199" s="2135"/>
      <c r="DG199" s="2135"/>
      <c r="DH199" s="2135"/>
      <c r="DI199" s="2135"/>
      <c r="DJ199" s="2149"/>
      <c r="DK199" s="2135"/>
      <c r="DL199" s="2109"/>
      <c r="DM199" s="2109"/>
      <c r="DN199" s="2109"/>
      <c r="DO199" s="2135"/>
      <c r="DP199" s="2135"/>
      <c r="DQ199" s="2135"/>
      <c r="DR199" s="2135"/>
      <c r="DS199" s="2135"/>
      <c r="DT199" s="2149"/>
      <c r="DU199" s="2135"/>
      <c r="DV199" s="2109"/>
      <c r="DW199" s="2109"/>
      <c r="DX199" s="2109"/>
      <c r="DY199" s="2135"/>
      <c r="DZ199" s="2135"/>
      <c r="EA199" s="2135"/>
      <c r="EB199" s="2135"/>
      <c r="EC199" s="2135"/>
      <c r="ED199" s="2135"/>
      <c r="EE199" s="2106"/>
      <c r="EF199" s="2106"/>
      <c r="EG199" s="2106"/>
      <c r="EH199" s="2106"/>
      <c r="EI199" s="2106"/>
      <c r="EJ199" s="2106"/>
      <c r="EK199" s="2106"/>
      <c r="EL199" s="2106"/>
      <c r="EM199" s="2106"/>
      <c r="EN199" s="2106"/>
      <c r="EO199" s="1915"/>
      <c r="EP199" s="2223"/>
      <c r="EQ199" s="2224"/>
      <c r="ER199" s="2277"/>
      <c r="EU199" s="2230"/>
    </row>
    <row r="200" spans="1:151">
      <c r="A200" s="2220" t="s">
        <v>220</v>
      </c>
      <c r="B200" s="2227" t="s">
        <v>1809</v>
      </c>
      <c r="C200" s="2227"/>
      <c r="D200" s="2227"/>
      <c r="E200" s="2227"/>
      <c r="F200" s="2227"/>
      <c r="G200" s="1774"/>
      <c r="H200" s="2135"/>
      <c r="I200" s="2280"/>
      <c r="J200" s="2135"/>
      <c r="K200" s="2227"/>
      <c r="L200" s="2227"/>
      <c r="M200" s="2106"/>
      <c r="N200" s="2149">
        <v>0</v>
      </c>
      <c r="O200" s="2135"/>
      <c r="P200" s="2109">
        <v>0</v>
      </c>
      <c r="Q200" s="2109">
        <v>0</v>
      </c>
      <c r="R200" s="2109">
        <f t="shared" si="279"/>
        <v>0</v>
      </c>
      <c r="S200" s="2135"/>
      <c r="T200" s="2135"/>
      <c r="U200" s="2135"/>
      <c r="V200" s="2135"/>
      <c r="W200" s="2135"/>
      <c r="X200" s="2149">
        <v>0</v>
      </c>
      <c r="Y200" s="2135"/>
      <c r="Z200" s="2109">
        <v>0</v>
      </c>
      <c r="AA200" s="2109">
        <v>0</v>
      </c>
      <c r="AB200" s="2109">
        <f t="shared" si="283"/>
        <v>0</v>
      </c>
      <c r="AC200" s="2135"/>
      <c r="AD200" s="2135"/>
      <c r="AE200" s="2135"/>
      <c r="AF200" s="2135"/>
      <c r="AG200" s="2135"/>
      <c r="AH200" s="2149">
        <v>0</v>
      </c>
      <c r="AI200" s="2135"/>
      <c r="AJ200" s="2109">
        <v>0</v>
      </c>
      <c r="AK200" s="2109">
        <v>0</v>
      </c>
      <c r="AL200" s="2109">
        <f t="shared" si="287"/>
        <v>0</v>
      </c>
      <c r="AM200" s="2135"/>
      <c r="AN200" s="2135"/>
      <c r="AO200" s="2238"/>
      <c r="AP200" s="2135"/>
      <c r="AQ200" s="2135"/>
      <c r="AR200" s="2149">
        <v>0</v>
      </c>
      <c r="AS200" s="2135"/>
      <c r="AT200" s="2109">
        <v>0</v>
      </c>
      <c r="AU200" s="2109">
        <v>0</v>
      </c>
      <c r="AV200" s="2109">
        <f t="shared" si="291"/>
        <v>0</v>
      </c>
      <c r="AW200" s="2135"/>
      <c r="AX200" s="2135"/>
      <c r="AY200" s="2238"/>
      <c r="AZ200" s="2135"/>
      <c r="BA200" s="2135"/>
      <c r="BB200" s="2149">
        <v>0</v>
      </c>
      <c r="BC200" s="2135"/>
      <c r="BD200" s="2109">
        <v>0</v>
      </c>
      <c r="BE200" s="2109">
        <v>0</v>
      </c>
      <c r="BF200" s="2109">
        <f t="shared" si="295"/>
        <v>0</v>
      </c>
      <c r="BG200" s="2135"/>
      <c r="BH200" s="2135"/>
      <c r="BI200" s="2135"/>
      <c r="BJ200" s="2135"/>
      <c r="BK200" s="2135">
        <f t="shared" ref="BK200:BK206" si="394">BF200+BD200</f>
        <v>0</v>
      </c>
      <c r="BL200" s="2149">
        <v>0</v>
      </c>
      <c r="BM200" s="2135"/>
      <c r="BN200" s="2109">
        <v>0</v>
      </c>
      <c r="BO200" s="2109">
        <v>0</v>
      </c>
      <c r="BP200" s="2109">
        <f t="shared" si="299"/>
        <v>0</v>
      </c>
      <c r="BQ200" s="2135"/>
      <c r="BR200" s="2135"/>
      <c r="BS200" s="2135"/>
      <c r="BT200" s="2135"/>
      <c r="BU200" s="2135">
        <f t="shared" ref="BU200:BU206" si="395">BP200+BN200</f>
        <v>0</v>
      </c>
      <c r="BV200" s="2149">
        <v>0</v>
      </c>
      <c r="BW200" s="2135"/>
      <c r="BX200" s="2109">
        <v>0</v>
      </c>
      <c r="BY200" s="2109">
        <v>0</v>
      </c>
      <c r="BZ200" s="2109">
        <f t="shared" si="303"/>
        <v>0</v>
      </c>
      <c r="CA200" s="2135"/>
      <c r="CB200" s="2135"/>
      <c r="CC200" s="2135"/>
      <c r="CD200" s="2135"/>
      <c r="CE200" s="2135">
        <f t="shared" ref="CE200:CE208" si="396">BZ200+BX200</f>
        <v>0</v>
      </c>
      <c r="CF200" s="2149">
        <v>0</v>
      </c>
      <c r="CG200" s="2135"/>
      <c r="CH200" s="2109">
        <v>0</v>
      </c>
      <c r="CI200" s="2109">
        <v>0</v>
      </c>
      <c r="CJ200" s="2109">
        <f t="shared" si="307"/>
        <v>0</v>
      </c>
      <c r="CK200" s="2135"/>
      <c r="CL200" s="2135"/>
      <c r="CM200" s="2135"/>
      <c r="CN200" s="2135"/>
      <c r="CO200" s="2135">
        <f t="shared" ref="CO200:CO208" si="397">CJ200+CH200</f>
        <v>0</v>
      </c>
      <c r="CP200" s="2149">
        <v>0</v>
      </c>
      <c r="CQ200" s="2135"/>
      <c r="CR200" s="2109">
        <v>0</v>
      </c>
      <c r="CS200" s="2109">
        <v>0</v>
      </c>
      <c r="CT200" s="2109">
        <f t="shared" si="311"/>
        <v>0</v>
      </c>
      <c r="CU200" s="2135"/>
      <c r="CV200" s="2135"/>
      <c r="CW200" s="2135"/>
      <c r="CX200" s="2135"/>
      <c r="CY200" s="2135"/>
      <c r="CZ200" s="2149">
        <v>0</v>
      </c>
      <c r="DA200" s="2135"/>
      <c r="DB200" s="2109">
        <v>0</v>
      </c>
      <c r="DC200" s="2109">
        <v>0</v>
      </c>
      <c r="DD200" s="2109">
        <f t="shared" si="315"/>
        <v>0</v>
      </c>
      <c r="DE200" s="2135"/>
      <c r="DF200" s="2135"/>
      <c r="DG200" s="2135"/>
      <c r="DH200" s="2135"/>
      <c r="DI200" s="2135"/>
      <c r="DJ200" s="2149">
        <v>0</v>
      </c>
      <c r="DK200" s="2135"/>
      <c r="DL200" s="2109">
        <v>0</v>
      </c>
      <c r="DM200" s="2109">
        <v>0</v>
      </c>
      <c r="DN200" s="2109">
        <f t="shared" si="319"/>
        <v>0</v>
      </c>
      <c r="DO200" s="2135"/>
      <c r="DP200" s="2135"/>
      <c r="DQ200" s="2135"/>
      <c r="DR200" s="2135">
        <f>IFERROR(DS200/DJ200*10,0)</f>
        <v>0</v>
      </c>
      <c r="DS200" s="2135"/>
      <c r="DT200" s="2149">
        <v>0</v>
      </c>
      <c r="DU200" s="2135"/>
      <c r="DV200" s="2109">
        <v>0</v>
      </c>
      <c r="DW200" s="2109">
        <v>0</v>
      </c>
      <c r="DX200" s="2109">
        <f t="shared" si="323"/>
        <v>0</v>
      </c>
      <c r="DY200" s="2135"/>
      <c r="DZ200" s="2135"/>
      <c r="EA200" s="2135"/>
      <c r="EB200" s="2135"/>
      <c r="EC200" s="2135"/>
      <c r="ED200" s="2135"/>
      <c r="EE200" s="2106"/>
      <c r="EF200" s="2106"/>
      <c r="EG200" s="2106"/>
      <c r="EH200" s="2106">
        <f>IFERROR((EI200/EE200)*10,0)</f>
        <v>0</v>
      </c>
      <c r="EI200" s="2107">
        <f t="shared" ref="EI200:EI209" si="398">SUM(R200,AB200,AL200,AV200,BF200,BP200,BZ200,CJ200,CT200,DD200,DN200,DX200)</f>
        <v>0</v>
      </c>
      <c r="EJ200" s="2106"/>
      <c r="EK200" s="2106"/>
      <c r="EL200" s="2106"/>
      <c r="EM200" s="2106">
        <f t="shared" ref="EM200:EM209" si="399">IFERROR(EN200/EE200*10,0)</f>
        <v>0</v>
      </c>
      <c r="EN200" s="2106">
        <f t="shared" ref="EN200:EN208" si="400">EG200+EI200+EK200+EL200</f>
        <v>0</v>
      </c>
      <c r="EO200" s="1915"/>
      <c r="EP200" s="2223"/>
      <c r="EQ200" s="2224"/>
      <c r="ER200" s="2277"/>
      <c r="EU200" s="2230"/>
    </row>
    <row r="201" spans="1:151">
      <c r="A201" s="2220" t="s">
        <v>479</v>
      </c>
      <c r="B201" s="2227" t="s">
        <v>1810</v>
      </c>
      <c r="C201" s="2227"/>
      <c r="D201" s="2227"/>
      <c r="E201" s="2227"/>
      <c r="F201" s="2227"/>
      <c r="G201" s="1774"/>
      <c r="H201" s="2135"/>
      <c r="I201" s="2280"/>
      <c r="J201" s="2135"/>
      <c r="K201" s="2227"/>
      <c r="L201" s="2227"/>
      <c r="M201" s="2106"/>
      <c r="N201" s="2149">
        <v>0</v>
      </c>
      <c r="O201" s="2135"/>
      <c r="P201" s="2109">
        <v>0</v>
      </c>
      <c r="Q201" s="2109">
        <v>0</v>
      </c>
      <c r="R201" s="2109">
        <f t="shared" si="279"/>
        <v>0</v>
      </c>
      <c r="S201" s="2135"/>
      <c r="T201" s="2135"/>
      <c r="U201" s="2135"/>
      <c r="V201" s="2135"/>
      <c r="W201" s="2135"/>
      <c r="X201" s="2149">
        <v>0</v>
      </c>
      <c r="Y201" s="2135"/>
      <c r="Z201" s="2109">
        <v>0</v>
      </c>
      <c r="AA201" s="2109">
        <v>0</v>
      </c>
      <c r="AB201" s="2109">
        <f t="shared" si="283"/>
        <v>0</v>
      </c>
      <c r="AC201" s="2135"/>
      <c r="AD201" s="2135"/>
      <c r="AE201" s="2135"/>
      <c r="AF201" s="2135"/>
      <c r="AG201" s="2135"/>
      <c r="AH201" s="2149">
        <v>0</v>
      </c>
      <c r="AI201" s="2135"/>
      <c r="AJ201" s="2109">
        <v>0</v>
      </c>
      <c r="AK201" s="2109">
        <v>0</v>
      </c>
      <c r="AL201" s="2109">
        <f t="shared" si="287"/>
        <v>0</v>
      </c>
      <c r="AM201" s="2135"/>
      <c r="AN201" s="2135"/>
      <c r="AO201" s="2238"/>
      <c r="AP201" s="2135"/>
      <c r="AQ201" s="2135"/>
      <c r="AR201" s="2149">
        <v>0</v>
      </c>
      <c r="AS201" s="2135"/>
      <c r="AT201" s="2109">
        <v>0</v>
      </c>
      <c r="AU201" s="2109">
        <v>0</v>
      </c>
      <c r="AV201" s="2109">
        <f t="shared" si="291"/>
        <v>0</v>
      </c>
      <c r="AW201" s="2135"/>
      <c r="AX201" s="2135"/>
      <c r="AY201" s="2238"/>
      <c r="AZ201" s="2135"/>
      <c r="BA201" s="2135"/>
      <c r="BB201" s="2149">
        <v>0</v>
      </c>
      <c r="BC201" s="2135"/>
      <c r="BD201" s="2109">
        <v>0</v>
      </c>
      <c r="BE201" s="2109">
        <v>0</v>
      </c>
      <c r="BF201" s="2109">
        <f t="shared" si="295"/>
        <v>0</v>
      </c>
      <c r="BG201" s="2135"/>
      <c r="BH201" s="2135"/>
      <c r="BI201" s="2135"/>
      <c r="BJ201" s="2135"/>
      <c r="BK201" s="2135">
        <f t="shared" si="394"/>
        <v>0</v>
      </c>
      <c r="BL201" s="2149">
        <v>0</v>
      </c>
      <c r="BM201" s="2135"/>
      <c r="BN201" s="2109">
        <v>0</v>
      </c>
      <c r="BO201" s="2109">
        <v>0</v>
      </c>
      <c r="BP201" s="2109">
        <f t="shared" si="299"/>
        <v>0</v>
      </c>
      <c r="BQ201" s="2135"/>
      <c r="BR201" s="2135"/>
      <c r="BS201" s="2135"/>
      <c r="BT201" s="2135"/>
      <c r="BU201" s="2135">
        <f t="shared" si="395"/>
        <v>0</v>
      </c>
      <c r="BV201" s="2149">
        <v>0</v>
      </c>
      <c r="BW201" s="2135"/>
      <c r="BX201" s="2109">
        <v>0</v>
      </c>
      <c r="BY201" s="2109">
        <v>0</v>
      </c>
      <c r="BZ201" s="2109">
        <f t="shared" si="303"/>
        <v>0</v>
      </c>
      <c r="CA201" s="2135"/>
      <c r="CB201" s="2135"/>
      <c r="CC201" s="2135"/>
      <c r="CD201" s="2135"/>
      <c r="CE201" s="2135">
        <f t="shared" si="396"/>
        <v>0</v>
      </c>
      <c r="CF201" s="2149">
        <v>0</v>
      </c>
      <c r="CG201" s="2135"/>
      <c r="CH201" s="2109">
        <v>0</v>
      </c>
      <c r="CI201" s="2109">
        <v>0</v>
      </c>
      <c r="CJ201" s="2109">
        <f t="shared" si="307"/>
        <v>0</v>
      </c>
      <c r="CK201" s="2135"/>
      <c r="CL201" s="2135"/>
      <c r="CM201" s="2135"/>
      <c r="CN201" s="2135"/>
      <c r="CO201" s="2135">
        <f t="shared" si="397"/>
        <v>0</v>
      </c>
      <c r="CP201" s="2149">
        <v>0</v>
      </c>
      <c r="CQ201" s="2135"/>
      <c r="CR201" s="2109">
        <v>0</v>
      </c>
      <c r="CS201" s="2109">
        <v>0</v>
      </c>
      <c r="CT201" s="2109">
        <f t="shared" si="311"/>
        <v>0</v>
      </c>
      <c r="CU201" s="2135"/>
      <c r="CV201" s="2135"/>
      <c r="CW201" s="2135"/>
      <c r="CX201" s="2135"/>
      <c r="CY201" s="2135">
        <f t="shared" ref="CY201:CY206" si="401">CT201+CR201</f>
        <v>0</v>
      </c>
      <c r="CZ201" s="2149">
        <v>0</v>
      </c>
      <c r="DA201" s="2135"/>
      <c r="DB201" s="2109">
        <v>0</v>
      </c>
      <c r="DC201" s="2109">
        <v>0</v>
      </c>
      <c r="DD201" s="2109">
        <f t="shared" si="315"/>
        <v>0</v>
      </c>
      <c r="DE201" s="2135"/>
      <c r="DF201" s="2135"/>
      <c r="DG201" s="2135"/>
      <c r="DH201" s="2135"/>
      <c r="DI201" s="2135">
        <f t="shared" ref="DI201:DI208" si="402">DD201+DB201</f>
        <v>0</v>
      </c>
      <c r="DJ201" s="2149">
        <v>0</v>
      </c>
      <c r="DK201" s="2135"/>
      <c r="DL201" s="2109">
        <v>0</v>
      </c>
      <c r="DM201" s="2109">
        <v>0</v>
      </c>
      <c r="DN201" s="2109">
        <f t="shared" si="319"/>
        <v>0</v>
      </c>
      <c r="DO201" s="2135"/>
      <c r="DP201" s="2135"/>
      <c r="DQ201" s="2135"/>
      <c r="DR201" s="2135"/>
      <c r="DS201" s="2135">
        <f t="shared" ref="DS201:DS208" si="403">DN201+DL201</f>
        <v>0</v>
      </c>
      <c r="DT201" s="2149">
        <v>0</v>
      </c>
      <c r="DU201" s="2135"/>
      <c r="DV201" s="2109">
        <v>0</v>
      </c>
      <c r="DW201" s="2109">
        <v>0</v>
      </c>
      <c r="DX201" s="2109">
        <f t="shared" si="323"/>
        <v>0</v>
      </c>
      <c r="DY201" s="2135"/>
      <c r="DZ201" s="2135"/>
      <c r="EA201" s="2135"/>
      <c r="EB201" s="2135"/>
      <c r="EC201" s="2135">
        <f t="shared" ref="EC201:EC207" si="404">DX201+DV201</f>
        <v>0</v>
      </c>
      <c r="ED201" s="2282"/>
      <c r="EE201" s="2106"/>
      <c r="EF201" s="2106"/>
      <c r="EG201" s="2106">
        <f>SUM(W201,AG201,AQ201,BA201,BK201,BU201,CE201,CO201,CY201,DI201,DS201,EC201)</f>
        <v>0</v>
      </c>
      <c r="EH201" s="2106">
        <f>SUM(Q201,AA201,AK201,AU201,BE201,BO201,BY201,CI201,CS201,DC201,DM201,DW201)</f>
        <v>0</v>
      </c>
      <c r="EI201" s="2107">
        <f t="shared" si="398"/>
        <v>0</v>
      </c>
      <c r="EJ201" s="2106"/>
      <c r="EK201" s="2106"/>
      <c r="EL201" s="2106"/>
      <c r="EM201" s="2106">
        <f t="shared" si="399"/>
        <v>0</v>
      </c>
      <c r="EN201" s="2106">
        <f t="shared" si="400"/>
        <v>0</v>
      </c>
      <c r="EO201" s="1915"/>
      <c r="EP201" s="2223"/>
      <c r="EQ201" s="2224"/>
      <c r="ER201" s="2277"/>
      <c r="EU201" s="2230"/>
    </row>
    <row r="202" spans="1:151">
      <c r="A202" s="2220" t="s">
        <v>480</v>
      </c>
      <c r="B202" s="2227" t="s">
        <v>2007</v>
      </c>
      <c r="C202" s="2227"/>
      <c r="D202" s="2227"/>
      <c r="E202" s="2227"/>
      <c r="F202" s="2227"/>
      <c r="G202" s="1774"/>
      <c r="H202" s="2135"/>
      <c r="I202" s="2280"/>
      <c r="J202" s="2135"/>
      <c r="K202" s="2227"/>
      <c r="L202" s="2227"/>
      <c r="M202" s="2106"/>
      <c r="N202" s="2149">
        <v>0</v>
      </c>
      <c r="O202" s="2135"/>
      <c r="P202" s="2109">
        <v>344.52906717862498</v>
      </c>
      <c r="Q202" s="2109">
        <v>0</v>
      </c>
      <c r="R202" s="2109">
        <f t="shared" si="279"/>
        <v>0</v>
      </c>
      <c r="S202" s="2135"/>
      <c r="T202" s="2135"/>
      <c r="U202" s="2135"/>
      <c r="V202" s="2135"/>
      <c r="W202" s="2135">
        <f>P202+R202</f>
        <v>344.52906717862498</v>
      </c>
      <c r="X202" s="2149">
        <v>0</v>
      </c>
      <c r="Y202" s="2135"/>
      <c r="Z202" s="2109">
        <v>344.52906717862498</v>
      </c>
      <c r="AA202" s="2109">
        <v>0</v>
      </c>
      <c r="AB202" s="2109">
        <f t="shared" si="283"/>
        <v>0</v>
      </c>
      <c r="AC202" s="2135"/>
      <c r="AD202" s="2135"/>
      <c r="AE202" s="2135"/>
      <c r="AF202" s="2135"/>
      <c r="AG202" s="2135">
        <f>Z202+AB202</f>
        <v>344.52906717862498</v>
      </c>
      <c r="AH202" s="2149">
        <v>0</v>
      </c>
      <c r="AI202" s="2135"/>
      <c r="AJ202" s="2109">
        <v>344.52906717862498</v>
      </c>
      <c r="AK202" s="2109">
        <v>0</v>
      </c>
      <c r="AL202" s="2109">
        <f t="shared" si="287"/>
        <v>0</v>
      </c>
      <c r="AM202" s="2135"/>
      <c r="AN202" s="2135"/>
      <c r="AO202" s="2238"/>
      <c r="AP202" s="2135"/>
      <c r="AQ202" s="2135">
        <f>AL202+AJ202</f>
        <v>344.52906717862498</v>
      </c>
      <c r="AR202" s="2149">
        <v>0</v>
      </c>
      <c r="AS202" s="2135"/>
      <c r="AT202" s="2109">
        <v>344.52906717862498</v>
      </c>
      <c r="AU202" s="2109">
        <v>0</v>
      </c>
      <c r="AV202" s="2109">
        <f t="shared" si="291"/>
        <v>0</v>
      </c>
      <c r="AW202" s="2135"/>
      <c r="AX202" s="2135"/>
      <c r="AY202" s="2135"/>
      <c r="AZ202" s="2135"/>
      <c r="BA202" s="2135">
        <f>AV202+AT202</f>
        <v>344.52906717862498</v>
      </c>
      <c r="BB202" s="2149">
        <v>0</v>
      </c>
      <c r="BC202" s="2135"/>
      <c r="BD202" s="2109">
        <v>344.52906717862498</v>
      </c>
      <c r="BE202" s="2109">
        <v>0</v>
      </c>
      <c r="BF202" s="2109">
        <f t="shared" si="295"/>
        <v>0</v>
      </c>
      <c r="BG202" s="2135"/>
      <c r="BH202" s="2135"/>
      <c r="BI202" s="2135"/>
      <c r="BJ202" s="2135"/>
      <c r="BK202" s="2135">
        <f t="shared" si="394"/>
        <v>344.52906717862498</v>
      </c>
      <c r="BL202" s="2149">
        <v>0</v>
      </c>
      <c r="BM202" s="2135"/>
      <c r="BN202" s="2109">
        <v>344.52906717862498</v>
      </c>
      <c r="BO202" s="2109">
        <v>0</v>
      </c>
      <c r="BP202" s="2109">
        <f t="shared" si="299"/>
        <v>0</v>
      </c>
      <c r="BQ202" s="2135"/>
      <c r="BR202" s="2135"/>
      <c r="BS202" s="2135"/>
      <c r="BT202" s="2135"/>
      <c r="BU202" s="2135">
        <f t="shared" si="395"/>
        <v>344.52906717862498</v>
      </c>
      <c r="BV202" s="2149">
        <v>0</v>
      </c>
      <c r="BW202" s="2135"/>
      <c r="BX202" s="2109">
        <v>344.52906717862498</v>
      </c>
      <c r="BY202" s="2109">
        <v>0</v>
      </c>
      <c r="BZ202" s="2109">
        <f t="shared" si="303"/>
        <v>0</v>
      </c>
      <c r="CA202" s="2135"/>
      <c r="CB202" s="2135"/>
      <c r="CC202" s="2135"/>
      <c r="CD202" s="2135"/>
      <c r="CE202" s="2135">
        <f t="shared" si="396"/>
        <v>344.52906717862498</v>
      </c>
      <c r="CF202" s="2149">
        <v>0</v>
      </c>
      <c r="CG202" s="2135"/>
      <c r="CH202" s="2109">
        <v>344.52906717862498</v>
      </c>
      <c r="CI202" s="2109">
        <v>0</v>
      </c>
      <c r="CJ202" s="2109">
        <f t="shared" si="307"/>
        <v>0</v>
      </c>
      <c r="CK202" s="2135"/>
      <c r="CL202" s="2135"/>
      <c r="CM202" s="2135"/>
      <c r="CN202" s="2135"/>
      <c r="CO202" s="2135">
        <f t="shared" si="397"/>
        <v>344.52906717862498</v>
      </c>
      <c r="CP202" s="2149">
        <v>0</v>
      </c>
      <c r="CQ202" s="2135"/>
      <c r="CR202" s="2109">
        <v>344.52906717862498</v>
      </c>
      <c r="CS202" s="2109">
        <v>0</v>
      </c>
      <c r="CT202" s="2109">
        <f t="shared" si="311"/>
        <v>0</v>
      </c>
      <c r="CU202" s="2135"/>
      <c r="CV202" s="2135"/>
      <c r="CW202" s="2135"/>
      <c r="CX202" s="2135"/>
      <c r="CY202" s="2135">
        <f t="shared" si="401"/>
        <v>344.52906717862498</v>
      </c>
      <c r="CZ202" s="2149">
        <v>0</v>
      </c>
      <c r="DA202" s="2135"/>
      <c r="DB202" s="2109">
        <v>344.52906717862498</v>
      </c>
      <c r="DC202" s="2109">
        <v>0</v>
      </c>
      <c r="DD202" s="2109">
        <f t="shared" si="315"/>
        <v>0</v>
      </c>
      <c r="DE202" s="2135"/>
      <c r="DF202" s="2135"/>
      <c r="DG202" s="2135"/>
      <c r="DH202" s="2135"/>
      <c r="DI202" s="2135">
        <f t="shared" si="402"/>
        <v>344.52906717862498</v>
      </c>
      <c r="DJ202" s="2149">
        <v>0</v>
      </c>
      <c r="DK202" s="2135"/>
      <c r="DL202" s="2109">
        <v>344.52906717862498</v>
      </c>
      <c r="DM202" s="2109">
        <v>0</v>
      </c>
      <c r="DN202" s="2109">
        <f t="shared" si="319"/>
        <v>0</v>
      </c>
      <c r="DO202" s="2135"/>
      <c r="DP202" s="2135"/>
      <c r="DQ202" s="2135"/>
      <c r="DR202" s="2135"/>
      <c r="DS202" s="2135">
        <f t="shared" si="403"/>
        <v>344.52906717862498</v>
      </c>
      <c r="DT202" s="2149">
        <v>0</v>
      </c>
      <c r="DU202" s="2135"/>
      <c r="DV202" s="2109">
        <v>344.52906717862498</v>
      </c>
      <c r="DW202" s="2109">
        <v>0</v>
      </c>
      <c r="DX202" s="2109">
        <f t="shared" si="323"/>
        <v>0</v>
      </c>
      <c r="DY202" s="2135"/>
      <c r="DZ202" s="2135"/>
      <c r="EA202" s="2135"/>
      <c r="EB202" s="2135"/>
      <c r="EC202" s="2135">
        <f t="shared" si="404"/>
        <v>344.52906717862498</v>
      </c>
      <c r="ED202" s="2282"/>
      <c r="EE202" s="2106"/>
      <c r="EF202" s="2106"/>
      <c r="EG202" s="2106">
        <f t="shared" ref="EG202:EG209" si="405">SUM(P202,Z202,AJ202,AT202,BD202,BN202,BX202,CO202,CH202,DB202,DL202,DV202)</f>
        <v>4134.348806143501</v>
      </c>
      <c r="EH202" s="2106">
        <f t="shared" ref="EH202:EH209" si="406">IFERROR((EI202/EE202)*10,0)</f>
        <v>0</v>
      </c>
      <c r="EI202" s="2106">
        <f t="shared" si="398"/>
        <v>0</v>
      </c>
      <c r="EJ202" s="2106"/>
      <c r="EK202" s="2106"/>
      <c r="EL202" s="2106"/>
      <c r="EM202" s="2106">
        <f t="shared" si="399"/>
        <v>0</v>
      </c>
      <c r="EN202" s="2106">
        <f t="shared" si="400"/>
        <v>4134.348806143501</v>
      </c>
      <c r="EO202" s="2106"/>
      <c r="EP202" s="2114"/>
      <c r="EQ202" s="2224"/>
      <c r="ER202" s="2277"/>
      <c r="EU202" s="2230"/>
    </row>
    <row r="203" spans="1:151">
      <c r="A203" s="2220" t="s">
        <v>1032</v>
      </c>
      <c r="B203" s="1739" t="s">
        <v>2030</v>
      </c>
      <c r="C203" s="2227"/>
      <c r="D203" s="2227"/>
      <c r="E203" s="2227"/>
      <c r="F203" s="2227"/>
      <c r="G203" s="1774"/>
      <c r="H203" s="2135"/>
      <c r="I203" s="2280"/>
      <c r="J203" s="2135"/>
      <c r="K203" s="2227"/>
      <c r="L203" s="2227"/>
      <c r="M203" s="2106"/>
      <c r="N203" s="2149">
        <v>0</v>
      </c>
      <c r="O203" s="2135"/>
      <c r="P203" s="2109">
        <v>76.634661101249989</v>
      </c>
      <c r="Q203" s="2109">
        <v>0</v>
      </c>
      <c r="R203" s="2109">
        <f t="shared" si="279"/>
        <v>0</v>
      </c>
      <c r="S203" s="2135"/>
      <c r="T203" s="2135"/>
      <c r="U203" s="2135"/>
      <c r="V203" s="2135"/>
      <c r="W203" s="2135">
        <f>P203+R203</f>
        <v>76.634661101249989</v>
      </c>
      <c r="X203" s="2149">
        <v>0</v>
      </c>
      <c r="Y203" s="2135"/>
      <c r="Z203" s="2109">
        <v>76.634661101249989</v>
      </c>
      <c r="AA203" s="2109">
        <v>0</v>
      </c>
      <c r="AB203" s="2109">
        <f t="shared" si="283"/>
        <v>0</v>
      </c>
      <c r="AC203" s="2135"/>
      <c r="AD203" s="2135"/>
      <c r="AE203" s="2135"/>
      <c r="AF203" s="2135"/>
      <c r="AG203" s="2135">
        <f>Z203+AB203</f>
        <v>76.634661101249989</v>
      </c>
      <c r="AH203" s="2149">
        <v>0</v>
      </c>
      <c r="AI203" s="2135"/>
      <c r="AJ203" s="2109">
        <v>76.634661101249989</v>
      </c>
      <c r="AK203" s="2109">
        <v>0</v>
      </c>
      <c r="AL203" s="2109">
        <f t="shared" si="287"/>
        <v>0</v>
      </c>
      <c r="AM203" s="2135"/>
      <c r="AN203" s="2135"/>
      <c r="AO203" s="2238"/>
      <c r="AP203" s="2135"/>
      <c r="AQ203" s="2135">
        <f>AL203+AJ203</f>
        <v>76.634661101249989</v>
      </c>
      <c r="AR203" s="2149">
        <v>0</v>
      </c>
      <c r="AS203" s="2135"/>
      <c r="AT203" s="2109">
        <v>76.634661101249989</v>
      </c>
      <c r="AU203" s="2109">
        <v>0</v>
      </c>
      <c r="AV203" s="2109">
        <f t="shared" si="291"/>
        <v>0</v>
      </c>
      <c r="AW203" s="2135"/>
      <c r="AX203" s="2135"/>
      <c r="AY203" s="2135"/>
      <c r="AZ203" s="2135"/>
      <c r="BA203" s="2135">
        <f>AV203+AT203</f>
        <v>76.634661101249989</v>
      </c>
      <c r="BB203" s="2149">
        <v>0</v>
      </c>
      <c r="BC203" s="2135"/>
      <c r="BD203" s="2109">
        <v>76.634661101249989</v>
      </c>
      <c r="BE203" s="2109">
        <v>0</v>
      </c>
      <c r="BF203" s="2109">
        <f t="shared" si="295"/>
        <v>0</v>
      </c>
      <c r="BG203" s="2135"/>
      <c r="BH203" s="2135"/>
      <c r="BI203" s="2135"/>
      <c r="BJ203" s="2135"/>
      <c r="BK203" s="2135">
        <f t="shared" si="394"/>
        <v>76.634661101249989</v>
      </c>
      <c r="BL203" s="2149">
        <v>0</v>
      </c>
      <c r="BM203" s="2135"/>
      <c r="BN203" s="2109">
        <v>76.634661101249989</v>
      </c>
      <c r="BO203" s="2109">
        <v>0</v>
      </c>
      <c r="BP203" s="2109">
        <f t="shared" si="299"/>
        <v>0</v>
      </c>
      <c r="BQ203" s="2135"/>
      <c r="BR203" s="2135"/>
      <c r="BS203" s="2135"/>
      <c r="BT203" s="2135"/>
      <c r="BU203" s="2135">
        <f t="shared" si="395"/>
        <v>76.634661101249989</v>
      </c>
      <c r="BV203" s="2149">
        <v>0</v>
      </c>
      <c r="BW203" s="2135"/>
      <c r="BX203" s="2109">
        <v>76.634661101249989</v>
      </c>
      <c r="BY203" s="2109">
        <v>0</v>
      </c>
      <c r="BZ203" s="2109">
        <f t="shared" si="303"/>
        <v>0</v>
      </c>
      <c r="CA203" s="2135"/>
      <c r="CB203" s="2135"/>
      <c r="CC203" s="2135"/>
      <c r="CD203" s="2135"/>
      <c r="CE203" s="2135">
        <f t="shared" si="396"/>
        <v>76.634661101249989</v>
      </c>
      <c r="CF203" s="2149">
        <v>0</v>
      </c>
      <c r="CG203" s="2135"/>
      <c r="CH203" s="2109">
        <v>76.634661101249989</v>
      </c>
      <c r="CI203" s="2109">
        <v>0</v>
      </c>
      <c r="CJ203" s="2109">
        <f t="shared" si="307"/>
        <v>0</v>
      </c>
      <c r="CK203" s="2135"/>
      <c r="CL203" s="2135"/>
      <c r="CM203" s="2135"/>
      <c r="CN203" s="2135"/>
      <c r="CO203" s="2135">
        <f t="shared" si="397"/>
        <v>76.634661101249989</v>
      </c>
      <c r="CP203" s="2149">
        <v>0</v>
      </c>
      <c r="CQ203" s="2135"/>
      <c r="CR203" s="2109">
        <v>76.634661101249989</v>
      </c>
      <c r="CS203" s="2109">
        <v>0</v>
      </c>
      <c r="CT203" s="2109">
        <f t="shared" si="311"/>
        <v>0</v>
      </c>
      <c r="CU203" s="2135"/>
      <c r="CV203" s="2135"/>
      <c r="CW203" s="2135"/>
      <c r="CX203" s="2135"/>
      <c r="CY203" s="2135">
        <f t="shared" si="401"/>
        <v>76.634661101249989</v>
      </c>
      <c r="CZ203" s="2149">
        <v>0</v>
      </c>
      <c r="DA203" s="2135"/>
      <c r="DB203" s="2109">
        <v>76.634661101249989</v>
      </c>
      <c r="DC203" s="2109">
        <v>0</v>
      </c>
      <c r="DD203" s="2109">
        <f t="shared" si="315"/>
        <v>0</v>
      </c>
      <c r="DE203" s="2135"/>
      <c r="DF203" s="2135"/>
      <c r="DG203" s="2135"/>
      <c r="DH203" s="2135"/>
      <c r="DI203" s="2135">
        <f t="shared" si="402"/>
        <v>76.634661101249989</v>
      </c>
      <c r="DJ203" s="2149">
        <v>0</v>
      </c>
      <c r="DK203" s="2135"/>
      <c r="DL203" s="2109">
        <v>76.634661101249989</v>
      </c>
      <c r="DM203" s="2109">
        <v>0</v>
      </c>
      <c r="DN203" s="2109">
        <f t="shared" si="319"/>
        <v>0</v>
      </c>
      <c r="DO203" s="2135"/>
      <c r="DP203" s="2135"/>
      <c r="DQ203" s="2135"/>
      <c r="DR203" s="2135"/>
      <c r="DS203" s="2135">
        <f t="shared" si="403"/>
        <v>76.634661101249989</v>
      </c>
      <c r="DT203" s="2149">
        <v>0</v>
      </c>
      <c r="DU203" s="2135"/>
      <c r="DV203" s="2109">
        <v>76.634661101249989</v>
      </c>
      <c r="DW203" s="2109">
        <v>0</v>
      </c>
      <c r="DX203" s="2109">
        <f t="shared" si="323"/>
        <v>0</v>
      </c>
      <c r="DY203" s="2135"/>
      <c r="DZ203" s="2135"/>
      <c r="EA203" s="2135"/>
      <c r="EB203" s="2135"/>
      <c r="EC203" s="2135">
        <f t="shared" si="404"/>
        <v>76.634661101249989</v>
      </c>
      <c r="ED203" s="2282"/>
      <c r="EE203" s="2106"/>
      <c r="EF203" s="2106"/>
      <c r="EG203" s="2106">
        <f t="shared" si="405"/>
        <v>919.61593321499993</v>
      </c>
      <c r="EH203" s="2106">
        <f t="shared" si="406"/>
        <v>0</v>
      </c>
      <c r="EI203" s="2106">
        <f t="shared" si="398"/>
        <v>0</v>
      </c>
      <c r="EJ203" s="2106"/>
      <c r="EK203" s="2106"/>
      <c r="EL203" s="2106"/>
      <c r="EM203" s="2106">
        <f t="shared" si="399"/>
        <v>0</v>
      </c>
      <c r="EN203" s="2106">
        <f t="shared" si="400"/>
        <v>919.61593321499993</v>
      </c>
      <c r="EO203" s="2106"/>
      <c r="EP203" s="2114"/>
      <c r="EQ203" s="2224"/>
      <c r="ER203" s="2277"/>
      <c r="EU203" s="2230"/>
    </row>
    <row r="204" spans="1:151">
      <c r="A204" s="2220" t="s">
        <v>2008</v>
      </c>
      <c r="B204" s="1739" t="s">
        <v>2012</v>
      </c>
      <c r="C204" s="2227"/>
      <c r="D204" s="2227"/>
      <c r="E204" s="2227"/>
      <c r="F204" s="2227"/>
      <c r="G204" s="1774"/>
      <c r="H204" s="2135"/>
      <c r="I204" s="2280"/>
      <c r="J204" s="2135"/>
      <c r="K204" s="2227"/>
      <c r="L204" s="2227"/>
      <c r="M204" s="2106"/>
      <c r="N204" s="2149">
        <v>0</v>
      </c>
      <c r="O204" s="2135"/>
      <c r="P204" s="2109">
        <v>26.41591290625</v>
      </c>
      <c r="Q204" s="2109">
        <v>0</v>
      </c>
      <c r="R204" s="2109">
        <f t="shared" si="279"/>
        <v>0</v>
      </c>
      <c r="S204" s="2135"/>
      <c r="T204" s="2135"/>
      <c r="U204" s="2135"/>
      <c r="V204" s="2135"/>
      <c r="W204" s="2135">
        <f>P204+R204</f>
        <v>26.41591290625</v>
      </c>
      <c r="X204" s="2149">
        <v>0</v>
      </c>
      <c r="Y204" s="2135"/>
      <c r="Z204" s="2109">
        <v>26.41591290625</v>
      </c>
      <c r="AA204" s="2109">
        <v>0</v>
      </c>
      <c r="AB204" s="2109">
        <f t="shared" si="283"/>
        <v>0</v>
      </c>
      <c r="AC204" s="2135"/>
      <c r="AD204" s="2135"/>
      <c r="AE204" s="2135"/>
      <c r="AF204" s="2135"/>
      <c r="AG204" s="2135">
        <f>Z204+AB204</f>
        <v>26.41591290625</v>
      </c>
      <c r="AH204" s="2149">
        <v>0</v>
      </c>
      <c r="AI204" s="2135"/>
      <c r="AJ204" s="2109">
        <v>26.41591290625</v>
      </c>
      <c r="AK204" s="2109">
        <v>0</v>
      </c>
      <c r="AL204" s="2109">
        <f t="shared" si="287"/>
        <v>0</v>
      </c>
      <c r="AM204" s="2135"/>
      <c r="AN204" s="2135"/>
      <c r="AO204" s="2238"/>
      <c r="AP204" s="2135"/>
      <c r="AQ204" s="2135">
        <f>AL204+AJ204</f>
        <v>26.41591290625</v>
      </c>
      <c r="AR204" s="2149">
        <v>0</v>
      </c>
      <c r="AS204" s="2135"/>
      <c r="AT204" s="2109">
        <v>26.41591290625</v>
      </c>
      <c r="AU204" s="2109">
        <v>0</v>
      </c>
      <c r="AV204" s="2109">
        <f t="shared" si="291"/>
        <v>0</v>
      </c>
      <c r="AW204" s="2135"/>
      <c r="AX204" s="2135"/>
      <c r="AY204" s="2135"/>
      <c r="AZ204" s="2135"/>
      <c r="BA204" s="2135">
        <f>AV204+AT204</f>
        <v>26.41591290625</v>
      </c>
      <c r="BB204" s="2149">
        <v>0</v>
      </c>
      <c r="BC204" s="2135"/>
      <c r="BD204" s="2109">
        <v>26.41591290625</v>
      </c>
      <c r="BE204" s="2109">
        <v>0</v>
      </c>
      <c r="BF204" s="2109">
        <f t="shared" si="295"/>
        <v>0</v>
      </c>
      <c r="BG204" s="2135"/>
      <c r="BH204" s="2135"/>
      <c r="BI204" s="2135"/>
      <c r="BJ204" s="2135"/>
      <c r="BK204" s="2135">
        <f t="shared" si="394"/>
        <v>26.41591290625</v>
      </c>
      <c r="BL204" s="2149">
        <v>0</v>
      </c>
      <c r="BM204" s="2135"/>
      <c r="BN204" s="2109">
        <v>26.41591290625</v>
      </c>
      <c r="BO204" s="2109">
        <v>0</v>
      </c>
      <c r="BP204" s="2109">
        <f t="shared" si="299"/>
        <v>0</v>
      </c>
      <c r="BQ204" s="2135"/>
      <c r="BR204" s="2135"/>
      <c r="BS204" s="2135"/>
      <c r="BT204" s="2135"/>
      <c r="BU204" s="2135">
        <f t="shared" si="395"/>
        <v>26.41591290625</v>
      </c>
      <c r="BV204" s="2149">
        <v>0</v>
      </c>
      <c r="BW204" s="2135"/>
      <c r="BX204" s="2109">
        <v>26.41591290625</v>
      </c>
      <c r="BY204" s="2109">
        <v>0</v>
      </c>
      <c r="BZ204" s="2109">
        <f t="shared" si="303"/>
        <v>0</v>
      </c>
      <c r="CA204" s="2135"/>
      <c r="CB204" s="2135"/>
      <c r="CC204" s="2135"/>
      <c r="CD204" s="2135"/>
      <c r="CE204" s="2135">
        <f t="shared" si="396"/>
        <v>26.41591290625</v>
      </c>
      <c r="CF204" s="2149">
        <v>0</v>
      </c>
      <c r="CG204" s="2135"/>
      <c r="CH204" s="2109">
        <v>26.41591290625</v>
      </c>
      <c r="CI204" s="2109">
        <v>0</v>
      </c>
      <c r="CJ204" s="2109">
        <f t="shared" si="307"/>
        <v>0</v>
      </c>
      <c r="CK204" s="2135"/>
      <c r="CL204" s="2135"/>
      <c r="CM204" s="2135"/>
      <c r="CN204" s="2135"/>
      <c r="CO204" s="2135">
        <f t="shared" si="397"/>
        <v>26.41591290625</v>
      </c>
      <c r="CP204" s="2149">
        <v>0</v>
      </c>
      <c r="CQ204" s="2135"/>
      <c r="CR204" s="2109">
        <v>26.41591290625</v>
      </c>
      <c r="CS204" s="2109">
        <v>0</v>
      </c>
      <c r="CT204" s="2109">
        <f t="shared" si="311"/>
        <v>0</v>
      </c>
      <c r="CU204" s="2135"/>
      <c r="CV204" s="2135"/>
      <c r="CW204" s="2135"/>
      <c r="CX204" s="2135"/>
      <c r="CY204" s="2135">
        <f t="shared" si="401"/>
        <v>26.41591290625</v>
      </c>
      <c r="CZ204" s="2149">
        <v>0</v>
      </c>
      <c r="DA204" s="2135"/>
      <c r="DB204" s="2109">
        <v>26.41591290625</v>
      </c>
      <c r="DC204" s="2109">
        <v>0</v>
      </c>
      <c r="DD204" s="2109">
        <f t="shared" si="315"/>
        <v>0</v>
      </c>
      <c r="DE204" s="2135"/>
      <c r="DF204" s="2135"/>
      <c r="DG204" s="2135"/>
      <c r="DH204" s="2135"/>
      <c r="DI204" s="2135">
        <f t="shared" si="402"/>
        <v>26.41591290625</v>
      </c>
      <c r="DJ204" s="2149">
        <v>0</v>
      </c>
      <c r="DK204" s="2135"/>
      <c r="DL204" s="2109">
        <v>26.41591290625</v>
      </c>
      <c r="DM204" s="2109">
        <v>0</v>
      </c>
      <c r="DN204" s="2109">
        <f t="shared" si="319"/>
        <v>0</v>
      </c>
      <c r="DO204" s="2135"/>
      <c r="DP204" s="2135"/>
      <c r="DQ204" s="2135"/>
      <c r="DR204" s="2135"/>
      <c r="DS204" s="2135">
        <f t="shared" si="403"/>
        <v>26.41591290625</v>
      </c>
      <c r="DT204" s="2149">
        <v>0</v>
      </c>
      <c r="DU204" s="2135"/>
      <c r="DV204" s="2109">
        <v>26.41591290625</v>
      </c>
      <c r="DW204" s="2109">
        <v>0</v>
      </c>
      <c r="DX204" s="2109">
        <f t="shared" si="323"/>
        <v>0</v>
      </c>
      <c r="DY204" s="2135"/>
      <c r="DZ204" s="2135"/>
      <c r="EA204" s="2135"/>
      <c r="EB204" s="2135"/>
      <c r="EC204" s="2135">
        <f t="shared" si="404"/>
        <v>26.41591290625</v>
      </c>
      <c r="ED204" s="2282"/>
      <c r="EE204" s="2106"/>
      <c r="EF204" s="2106"/>
      <c r="EG204" s="2106">
        <f t="shared" si="405"/>
        <v>316.99095487500011</v>
      </c>
      <c r="EH204" s="2106">
        <f t="shared" si="406"/>
        <v>0</v>
      </c>
      <c r="EI204" s="2106">
        <f t="shared" si="398"/>
        <v>0</v>
      </c>
      <c r="EJ204" s="2106"/>
      <c r="EK204" s="2106"/>
      <c r="EL204" s="2106"/>
      <c r="EM204" s="2106">
        <f t="shared" si="399"/>
        <v>0</v>
      </c>
      <c r="EN204" s="2106">
        <f>EG204+EI204+EK204+EL204</f>
        <v>316.99095487500011</v>
      </c>
      <c r="EO204" s="2106"/>
      <c r="EP204" s="2114"/>
      <c r="EQ204" s="2224"/>
      <c r="ER204" s="2277"/>
      <c r="EU204" s="2230"/>
    </row>
    <row r="205" spans="1:151">
      <c r="A205" s="2220" t="s">
        <v>1033</v>
      </c>
      <c r="B205" s="1739" t="s">
        <v>1815</v>
      </c>
      <c r="C205" s="2227"/>
      <c r="D205" s="2227"/>
      <c r="E205" s="2227"/>
      <c r="F205" s="2227"/>
      <c r="G205" s="1774"/>
      <c r="H205" s="2135"/>
      <c r="I205" s="2280"/>
      <c r="J205" s="2135"/>
      <c r="K205" s="2227"/>
      <c r="L205" s="2227"/>
      <c r="M205" s="2106"/>
      <c r="N205" s="2149">
        <v>0</v>
      </c>
      <c r="O205" s="2135"/>
      <c r="P205" s="2109">
        <v>0</v>
      </c>
      <c r="Q205" s="2109">
        <v>0</v>
      </c>
      <c r="R205" s="2109">
        <f t="shared" si="279"/>
        <v>0</v>
      </c>
      <c r="S205" s="2135"/>
      <c r="T205" s="2135"/>
      <c r="U205" s="2135"/>
      <c r="V205" s="2135"/>
      <c r="W205" s="2135">
        <f>P205+R205</f>
        <v>0</v>
      </c>
      <c r="X205" s="2149">
        <v>0</v>
      </c>
      <c r="Y205" s="2135"/>
      <c r="Z205" s="2109">
        <v>0</v>
      </c>
      <c r="AA205" s="2109">
        <v>0</v>
      </c>
      <c r="AB205" s="2109">
        <f t="shared" si="283"/>
        <v>0</v>
      </c>
      <c r="AC205" s="2135"/>
      <c r="AD205" s="2135"/>
      <c r="AE205" s="2135"/>
      <c r="AF205" s="2135"/>
      <c r="AG205" s="2135">
        <f>Z205+AB205</f>
        <v>0</v>
      </c>
      <c r="AH205" s="2149">
        <v>0</v>
      </c>
      <c r="AI205" s="2135"/>
      <c r="AJ205" s="2109">
        <v>0</v>
      </c>
      <c r="AK205" s="2109">
        <v>0</v>
      </c>
      <c r="AL205" s="2109">
        <f t="shared" si="287"/>
        <v>0</v>
      </c>
      <c r="AM205" s="2135"/>
      <c r="AN205" s="2135"/>
      <c r="AO205" s="2238"/>
      <c r="AP205" s="2135"/>
      <c r="AQ205" s="2135">
        <f>AL205+AJ205</f>
        <v>0</v>
      </c>
      <c r="AR205" s="2149">
        <v>0</v>
      </c>
      <c r="AS205" s="2135"/>
      <c r="AT205" s="2109">
        <v>0</v>
      </c>
      <c r="AU205" s="2109">
        <v>0</v>
      </c>
      <c r="AV205" s="2109">
        <f t="shared" si="291"/>
        <v>0</v>
      </c>
      <c r="AW205" s="2135"/>
      <c r="AX205" s="2135"/>
      <c r="AY205" s="2135"/>
      <c r="AZ205" s="2135"/>
      <c r="BA205" s="2135">
        <f>AV205+AT205</f>
        <v>0</v>
      </c>
      <c r="BB205" s="2149">
        <v>0</v>
      </c>
      <c r="BC205" s="2135"/>
      <c r="BD205" s="2109">
        <v>0</v>
      </c>
      <c r="BE205" s="2109">
        <v>0</v>
      </c>
      <c r="BF205" s="2109">
        <f t="shared" si="295"/>
        <v>0</v>
      </c>
      <c r="BG205" s="2135"/>
      <c r="BH205" s="2135"/>
      <c r="BI205" s="2135"/>
      <c r="BJ205" s="2135"/>
      <c r="BK205" s="2135">
        <f t="shared" si="394"/>
        <v>0</v>
      </c>
      <c r="BL205" s="2149">
        <v>0</v>
      </c>
      <c r="BM205" s="2135"/>
      <c r="BN205" s="2109">
        <v>0</v>
      </c>
      <c r="BO205" s="2109">
        <v>0</v>
      </c>
      <c r="BP205" s="2109">
        <f t="shared" si="299"/>
        <v>0</v>
      </c>
      <c r="BQ205" s="2135"/>
      <c r="BR205" s="2135"/>
      <c r="BS205" s="2135"/>
      <c r="BT205" s="2135"/>
      <c r="BU205" s="2135">
        <f t="shared" si="395"/>
        <v>0</v>
      </c>
      <c r="BV205" s="2149">
        <v>0</v>
      </c>
      <c r="BW205" s="2135"/>
      <c r="BX205" s="2109">
        <v>0</v>
      </c>
      <c r="BY205" s="2109">
        <v>0</v>
      </c>
      <c r="BZ205" s="2109">
        <f t="shared" si="303"/>
        <v>0</v>
      </c>
      <c r="CA205" s="2135"/>
      <c r="CB205" s="2135"/>
      <c r="CC205" s="2135"/>
      <c r="CD205" s="2135"/>
      <c r="CE205" s="2135">
        <f t="shared" si="396"/>
        <v>0</v>
      </c>
      <c r="CF205" s="2149">
        <v>0</v>
      </c>
      <c r="CG205" s="2135"/>
      <c r="CH205" s="2109">
        <v>0</v>
      </c>
      <c r="CI205" s="2109">
        <v>0</v>
      </c>
      <c r="CJ205" s="2109">
        <f t="shared" si="307"/>
        <v>0</v>
      </c>
      <c r="CK205" s="2135"/>
      <c r="CL205" s="2135"/>
      <c r="CM205" s="2135"/>
      <c r="CN205" s="2135"/>
      <c r="CO205" s="2135">
        <f t="shared" si="397"/>
        <v>0</v>
      </c>
      <c r="CP205" s="2149">
        <v>0</v>
      </c>
      <c r="CQ205" s="2135"/>
      <c r="CR205" s="2109">
        <v>0</v>
      </c>
      <c r="CS205" s="2109">
        <v>0</v>
      </c>
      <c r="CT205" s="2109">
        <f t="shared" si="311"/>
        <v>0</v>
      </c>
      <c r="CU205" s="2135"/>
      <c r="CV205" s="2135"/>
      <c r="CW205" s="2135"/>
      <c r="CX205" s="2135"/>
      <c r="CY205" s="2135">
        <f t="shared" si="401"/>
        <v>0</v>
      </c>
      <c r="CZ205" s="2149">
        <v>0</v>
      </c>
      <c r="DA205" s="2135"/>
      <c r="DB205" s="2109">
        <v>0</v>
      </c>
      <c r="DC205" s="2109">
        <v>0</v>
      </c>
      <c r="DD205" s="2109">
        <f t="shared" si="315"/>
        <v>0</v>
      </c>
      <c r="DE205" s="2135"/>
      <c r="DF205" s="2135"/>
      <c r="DG205" s="2135"/>
      <c r="DH205" s="2135"/>
      <c r="DI205" s="2135">
        <f t="shared" si="402"/>
        <v>0</v>
      </c>
      <c r="DJ205" s="2149">
        <v>0</v>
      </c>
      <c r="DK205" s="2135"/>
      <c r="DL205" s="2109">
        <v>0</v>
      </c>
      <c r="DM205" s="2109">
        <v>0</v>
      </c>
      <c r="DN205" s="2109">
        <f t="shared" si="319"/>
        <v>0</v>
      </c>
      <c r="DO205" s="2135"/>
      <c r="DP205" s="2135"/>
      <c r="DQ205" s="2135"/>
      <c r="DR205" s="2135"/>
      <c r="DS205" s="2135">
        <f t="shared" si="403"/>
        <v>0</v>
      </c>
      <c r="DT205" s="2149">
        <v>0</v>
      </c>
      <c r="DU205" s="2135"/>
      <c r="DV205" s="2109">
        <v>0</v>
      </c>
      <c r="DW205" s="2109">
        <v>0</v>
      </c>
      <c r="DX205" s="2109">
        <f t="shared" si="323"/>
        <v>0</v>
      </c>
      <c r="DY205" s="2135"/>
      <c r="DZ205" s="2135"/>
      <c r="EA205" s="2135"/>
      <c r="EB205" s="2135"/>
      <c r="EC205" s="2135">
        <f t="shared" si="404"/>
        <v>0</v>
      </c>
      <c r="ED205" s="2282"/>
      <c r="EE205" s="2106"/>
      <c r="EF205" s="2106"/>
      <c r="EG205" s="2106">
        <f t="shared" si="405"/>
        <v>0</v>
      </c>
      <c r="EH205" s="2106">
        <f t="shared" si="406"/>
        <v>0</v>
      </c>
      <c r="EI205" s="2106">
        <f t="shared" si="398"/>
        <v>0</v>
      </c>
      <c r="EJ205" s="2106"/>
      <c r="EK205" s="2106"/>
      <c r="EL205" s="2106"/>
      <c r="EM205" s="2106">
        <f t="shared" si="399"/>
        <v>0</v>
      </c>
      <c r="EN205" s="2106">
        <f t="shared" si="400"/>
        <v>0</v>
      </c>
      <c r="EO205" s="2106"/>
      <c r="EP205" s="2114"/>
      <c r="EQ205" s="2224"/>
      <c r="ER205" s="2277"/>
      <c r="EU205" s="2230"/>
    </row>
    <row r="206" spans="1:151">
      <c r="A206" s="2283" t="s">
        <v>2019</v>
      </c>
      <c r="B206" s="1739" t="s">
        <v>2031</v>
      </c>
      <c r="C206" s="2227"/>
      <c r="D206" s="2227"/>
      <c r="E206" s="2227"/>
      <c r="F206" s="2227"/>
      <c r="G206" s="1774"/>
      <c r="H206" s="2135"/>
      <c r="I206" s="2280"/>
      <c r="J206" s="2135"/>
      <c r="K206" s="2227"/>
      <c r="L206" s="2227"/>
      <c r="M206" s="2106"/>
      <c r="N206" s="2149">
        <v>0</v>
      </c>
      <c r="O206" s="2135"/>
      <c r="P206" s="2109">
        <v>70.026566093750006</v>
      </c>
      <c r="Q206" s="2109">
        <v>0</v>
      </c>
      <c r="R206" s="2109">
        <f t="shared" si="279"/>
        <v>0</v>
      </c>
      <c r="S206" s="2135"/>
      <c r="T206" s="2135"/>
      <c r="U206" s="2135"/>
      <c r="V206" s="2135"/>
      <c r="W206" s="2135">
        <f>P206+R206</f>
        <v>70.026566093750006</v>
      </c>
      <c r="X206" s="2149">
        <v>0</v>
      </c>
      <c r="Y206" s="2135"/>
      <c r="Z206" s="2109">
        <v>70.026566093750006</v>
      </c>
      <c r="AA206" s="2109">
        <v>0</v>
      </c>
      <c r="AB206" s="2109">
        <f t="shared" si="283"/>
        <v>0</v>
      </c>
      <c r="AC206" s="2135"/>
      <c r="AD206" s="2135"/>
      <c r="AE206" s="2135"/>
      <c r="AF206" s="2135"/>
      <c r="AG206" s="2135">
        <f>Z206+AB206</f>
        <v>70.026566093750006</v>
      </c>
      <c r="AH206" s="2149">
        <v>0</v>
      </c>
      <c r="AI206" s="2135"/>
      <c r="AJ206" s="2109">
        <v>70.026566093750006</v>
      </c>
      <c r="AK206" s="2109">
        <v>0</v>
      </c>
      <c r="AL206" s="2109">
        <f t="shared" si="287"/>
        <v>0</v>
      </c>
      <c r="AM206" s="2135"/>
      <c r="AN206" s="2135"/>
      <c r="AO206" s="2238"/>
      <c r="AP206" s="2135"/>
      <c r="AQ206" s="2135">
        <f>AL206+AJ206</f>
        <v>70.026566093750006</v>
      </c>
      <c r="AR206" s="2149">
        <v>0</v>
      </c>
      <c r="AS206" s="2135"/>
      <c r="AT206" s="2109">
        <v>70.026566093750006</v>
      </c>
      <c r="AU206" s="2109">
        <v>0</v>
      </c>
      <c r="AV206" s="2109">
        <f t="shared" si="291"/>
        <v>0</v>
      </c>
      <c r="AW206" s="2135"/>
      <c r="AX206" s="2135"/>
      <c r="AY206" s="2135"/>
      <c r="AZ206" s="2135"/>
      <c r="BA206" s="2135">
        <f>AV206+AT206</f>
        <v>70.026566093750006</v>
      </c>
      <c r="BB206" s="2149">
        <v>0</v>
      </c>
      <c r="BC206" s="2135"/>
      <c r="BD206" s="2109">
        <v>70.026566093750006</v>
      </c>
      <c r="BE206" s="2109">
        <v>0</v>
      </c>
      <c r="BF206" s="2109">
        <f t="shared" si="295"/>
        <v>0</v>
      </c>
      <c r="BG206" s="2135"/>
      <c r="BH206" s="2135"/>
      <c r="BI206" s="2135"/>
      <c r="BJ206" s="2135"/>
      <c r="BK206" s="2135">
        <f t="shared" si="394"/>
        <v>70.026566093750006</v>
      </c>
      <c r="BL206" s="2149">
        <v>0</v>
      </c>
      <c r="BM206" s="2135"/>
      <c r="BN206" s="2109">
        <v>70.026566093750006</v>
      </c>
      <c r="BO206" s="2109">
        <v>0</v>
      </c>
      <c r="BP206" s="2109">
        <f t="shared" si="299"/>
        <v>0</v>
      </c>
      <c r="BQ206" s="2135"/>
      <c r="BR206" s="2135"/>
      <c r="BS206" s="2135"/>
      <c r="BT206" s="2135"/>
      <c r="BU206" s="2135">
        <f t="shared" si="395"/>
        <v>70.026566093750006</v>
      </c>
      <c r="BV206" s="2149">
        <v>0</v>
      </c>
      <c r="BW206" s="2135"/>
      <c r="BX206" s="2109">
        <v>70.026566093750006</v>
      </c>
      <c r="BY206" s="2109">
        <v>0</v>
      </c>
      <c r="BZ206" s="2109">
        <f t="shared" si="303"/>
        <v>0</v>
      </c>
      <c r="CA206" s="2135"/>
      <c r="CB206" s="2135"/>
      <c r="CC206" s="2135"/>
      <c r="CD206" s="2135"/>
      <c r="CE206" s="2135">
        <f t="shared" si="396"/>
        <v>70.026566093750006</v>
      </c>
      <c r="CF206" s="2149">
        <v>0</v>
      </c>
      <c r="CG206" s="2135"/>
      <c r="CH206" s="2109">
        <v>70.026566093750006</v>
      </c>
      <c r="CI206" s="2109">
        <v>0</v>
      </c>
      <c r="CJ206" s="2109">
        <f t="shared" si="307"/>
        <v>0</v>
      </c>
      <c r="CK206" s="2135"/>
      <c r="CL206" s="2135"/>
      <c r="CM206" s="2135"/>
      <c r="CN206" s="2135"/>
      <c r="CO206" s="2135">
        <f t="shared" si="397"/>
        <v>70.026566093750006</v>
      </c>
      <c r="CP206" s="2149">
        <v>0</v>
      </c>
      <c r="CQ206" s="2135"/>
      <c r="CR206" s="2109">
        <v>70.026566093750006</v>
      </c>
      <c r="CS206" s="2109">
        <v>0</v>
      </c>
      <c r="CT206" s="2109">
        <f t="shared" si="311"/>
        <v>0</v>
      </c>
      <c r="CU206" s="2135"/>
      <c r="CV206" s="2135"/>
      <c r="CW206" s="2135"/>
      <c r="CX206" s="2135"/>
      <c r="CY206" s="2135">
        <f t="shared" si="401"/>
        <v>70.026566093750006</v>
      </c>
      <c r="CZ206" s="2149">
        <v>0</v>
      </c>
      <c r="DA206" s="2135"/>
      <c r="DB206" s="2109">
        <v>70.026566093750006</v>
      </c>
      <c r="DC206" s="2109">
        <v>0</v>
      </c>
      <c r="DD206" s="2109">
        <f t="shared" si="315"/>
        <v>0</v>
      </c>
      <c r="DE206" s="2135"/>
      <c r="DF206" s="2135"/>
      <c r="DG206" s="2135"/>
      <c r="DH206" s="2135"/>
      <c r="DI206" s="2135">
        <f t="shared" si="402"/>
        <v>70.026566093750006</v>
      </c>
      <c r="DJ206" s="2149">
        <v>0</v>
      </c>
      <c r="DK206" s="2135"/>
      <c r="DL206" s="2109">
        <v>70.026566093750006</v>
      </c>
      <c r="DM206" s="2109">
        <v>0</v>
      </c>
      <c r="DN206" s="2109">
        <f t="shared" si="319"/>
        <v>0</v>
      </c>
      <c r="DO206" s="2135"/>
      <c r="DP206" s="2135"/>
      <c r="DQ206" s="2135"/>
      <c r="DR206" s="2135"/>
      <c r="DS206" s="2135">
        <f t="shared" si="403"/>
        <v>70.026566093750006</v>
      </c>
      <c r="DT206" s="2149">
        <v>0</v>
      </c>
      <c r="DU206" s="2135"/>
      <c r="DV206" s="2109">
        <v>70.026566093750006</v>
      </c>
      <c r="DW206" s="2109">
        <v>0</v>
      </c>
      <c r="DX206" s="2109">
        <f t="shared" si="323"/>
        <v>0</v>
      </c>
      <c r="DY206" s="2135"/>
      <c r="DZ206" s="2135"/>
      <c r="EA206" s="2135"/>
      <c r="EB206" s="2135"/>
      <c r="EC206" s="2135">
        <f t="shared" si="404"/>
        <v>70.026566093750006</v>
      </c>
      <c r="ED206" s="2282"/>
      <c r="EE206" s="2106"/>
      <c r="EF206" s="2106"/>
      <c r="EG206" s="2106">
        <f t="shared" si="405"/>
        <v>840.3187931250003</v>
      </c>
      <c r="EH206" s="2106">
        <f t="shared" si="406"/>
        <v>0</v>
      </c>
      <c r="EI206" s="2106">
        <f t="shared" si="398"/>
        <v>0</v>
      </c>
      <c r="EJ206" s="2106"/>
      <c r="EK206" s="2106"/>
      <c r="EL206" s="2106"/>
      <c r="EM206" s="2106">
        <f t="shared" si="399"/>
        <v>0</v>
      </c>
      <c r="EN206" s="2106">
        <f t="shared" si="400"/>
        <v>840.3187931250003</v>
      </c>
      <c r="EO206" s="2106"/>
      <c r="EP206" s="2114"/>
      <c r="EQ206" s="2224"/>
      <c r="ER206" s="2277"/>
      <c r="EU206" s="2230"/>
    </row>
    <row r="207" spans="1:151">
      <c r="A207" s="2283" t="s">
        <v>1034</v>
      </c>
      <c r="B207" s="2227" t="s">
        <v>2009</v>
      </c>
      <c r="C207" s="2227"/>
      <c r="D207" s="2227"/>
      <c r="E207" s="2227"/>
      <c r="F207" s="2227"/>
      <c r="G207" s="1774"/>
      <c r="H207" s="2135"/>
      <c r="I207" s="2280"/>
      <c r="J207" s="2135"/>
      <c r="K207" s="2227"/>
      <c r="L207" s="2227"/>
      <c r="M207" s="2106"/>
      <c r="N207" s="2149">
        <v>0</v>
      </c>
      <c r="O207" s="2135"/>
      <c r="P207" s="2109">
        <v>0</v>
      </c>
      <c r="Q207" s="2109">
        <v>0</v>
      </c>
      <c r="R207" s="2109">
        <f t="shared" si="279"/>
        <v>0</v>
      </c>
      <c r="S207" s="2135"/>
      <c r="T207" s="2135"/>
      <c r="U207" s="2135"/>
      <c r="V207" s="2135"/>
      <c r="W207" s="2135"/>
      <c r="X207" s="2149">
        <v>0</v>
      </c>
      <c r="Y207" s="2135"/>
      <c r="Z207" s="2109">
        <v>0</v>
      </c>
      <c r="AA207" s="2109">
        <v>0</v>
      </c>
      <c r="AB207" s="2109">
        <f t="shared" si="283"/>
        <v>0</v>
      </c>
      <c r="AC207" s="2135"/>
      <c r="AD207" s="2135"/>
      <c r="AE207" s="2135"/>
      <c r="AF207" s="2135"/>
      <c r="AG207" s="2135"/>
      <c r="AH207" s="2149">
        <v>0</v>
      </c>
      <c r="AI207" s="2135"/>
      <c r="AJ207" s="2109">
        <v>0</v>
      </c>
      <c r="AK207" s="2109">
        <v>0</v>
      </c>
      <c r="AL207" s="2109">
        <f t="shared" si="287"/>
        <v>0</v>
      </c>
      <c r="AM207" s="2135"/>
      <c r="AN207" s="2135"/>
      <c r="AO207" s="2238"/>
      <c r="AP207" s="2135"/>
      <c r="AQ207" s="2135"/>
      <c r="AR207" s="2149">
        <v>0</v>
      </c>
      <c r="AS207" s="2135"/>
      <c r="AT207" s="2109">
        <v>0</v>
      </c>
      <c r="AU207" s="2109">
        <v>0</v>
      </c>
      <c r="AV207" s="2109">
        <f t="shared" si="291"/>
        <v>0</v>
      </c>
      <c r="AW207" s="2135"/>
      <c r="AX207" s="2135"/>
      <c r="AY207" s="2238"/>
      <c r="AZ207" s="2135"/>
      <c r="BA207" s="2135"/>
      <c r="BB207" s="2149">
        <v>0</v>
      </c>
      <c r="BC207" s="2135"/>
      <c r="BD207" s="2109">
        <v>0</v>
      </c>
      <c r="BE207" s="2109">
        <v>0</v>
      </c>
      <c r="BF207" s="2109">
        <f t="shared" si="295"/>
        <v>0</v>
      </c>
      <c r="BG207" s="2135"/>
      <c r="BH207" s="2135"/>
      <c r="BI207" s="2135"/>
      <c r="BJ207" s="2135"/>
      <c r="BK207" s="2135"/>
      <c r="BL207" s="2149">
        <v>0</v>
      </c>
      <c r="BM207" s="2135"/>
      <c r="BN207" s="2109">
        <v>0</v>
      </c>
      <c r="BO207" s="2109">
        <v>0</v>
      </c>
      <c r="BP207" s="2109">
        <f t="shared" si="299"/>
        <v>0</v>
      </c>
      <c r="BQ207" s="2135"/>
      <c r="BR207" s="2135"/>
      <c r="BS207" s="2135"/>
      <c r="BT207" s="2135"/>
      <c r="BU207" s="2135"/>
      <c r="BV207" s="2149">
        <v>0</v>
      </c>
      <c r="BW207" s="2135"/>
      <c r="BX207" s="2109">
        <v>0</v>
      </c>
      <c r="BY207" s="2109">
        <v>0</v>
      </c>
      <c r="BZ207" s="2109">
        <f t="shared" si="303"/>
        <v>0</v>
      </c>
      <c r="CA207" s="2135"/>
      <c r="CB207" s="2135"/>
      <c r="CC207" s="2135"/>
      <c r="CD207" s="2135"/>
      <c r="CE207" s="2135"/>
      <c r="CF207" s="2149">
        <v>0</v>
      </c>
      <c r="CG207" s="2135"/>
      <c r="CH207" s="2109">
        <v>0</v>
      </c>
      <c r="CI207" s="2109">
        <v>0</v>
      </c>
      <c r="CJ207" s="2109">
        <f t="shared" si="307"/>
        <v>0</v>
      </c>
      <c r="CK207" s="2135"/>
      <c r="CL207" s="2135"/>
      <c r="CM207" s="2135"/>
      <c r="CN207" s="2135"/>
      <c r="CO207" s="2135"/>
      <c r="CP207" s="2149">
        <v>0</v>
      </c>
      <c r="CQ207" s="2135"/>
      <c r="CR207" s="2109">
        <v>0</v>
      </c>
      <c r="CS207" s="2109">
        <v>0</v>
      </c>
      <c r="CT207" s="2109">
        <f t="shared" si="311"/>
        <v>0</v>
      </c>
      <c r="CU207" s="2135"/>
      <c r="CV207" s="2135"/>
      <c r="CW207" s="2135"/>
      <c r="CX207" s="2135"/>
      <c r="CY207" s="2135"/>
      <c r="CZ207" s="2149">
        <v>0</v>
      </c>
      <c r="DA207" s="2135"/>
      <c r="DB207" s="2109">
        <v>0</v>
      </c>
      <c r="DC207" s="2109">
        <v>0</v>
      </c>
      <c r="DD207" s="2109">
        <f t="shared" si="315"/>
        <v>0</v>
      </c>
      <c r="DE207" s="2135"/>
      <c r="DF207" s="2135"/>
      <c r="DG207" s="2135"/>
      <c r="DH207" s="2135"/>
      <c r="DI207" s="2135">
        <f t="shared" si="402"/>
        <v>0</v>
      </c>
      <c r="DJ207" s="2149">
        <v>0</v>
      </c>
      <c r="DK207" s="2135"/>
      <c r="DL207" s="2109">
        <v>0</v>
      </c>
      <c r="DM207" s="2109">
        <v>0</v>
      </c>
      <c r="DN207" s="2109">
        <f t="shared" si="319"/>
        <v>0</v>
      </c>
      <c r="DO207" s="2135"/>
      <c r="DP207" s="2135"/>
      <c r="DQ207" s="2135"/>
      <c r="DR207" s="2135"/>
      <c r="DS207" s="2135">
        <f t="shared" si="403"/>
        <v>0</v>
      </c>
      <c r="DT207" s="2149">
        <v>0</v>
      </c>
      <c r="DU207" s="2135"/>
      <c r="DV207" s="2109">
        <v>0</v>
      </c>
      <c r="DW207" s="2109">
        <v>0</v>
      </c>
      <c r="DX207" s="2109">
        <f t="shared" si="323"/>
        <v>0</v>
      </c>
      <c r="DY207" s="2135"/>
      <c r="DZ207" s="2135"/>
      <c r="EA207" s="2135"/>
      <c r="EB207" s="2135"/>
      <c r="EC207" s="2135">
        <f t="shared" si="404"/>
        <v>0</v>
      </c>
      <c r="ED207" s="2135"/>
      <c r="EE207" s="2106"/>
      <c r="EF207" s="2106"/>
      <c r="EG207" s="2106">
        <f t="shared" si="405"/>
        <v>0</v>
      </c>
      <c r="EH207" s="2106">
        <f t="shared" si="406"/>
        <v>0</v>
      </c>
      <c r="EI207" s="2106">
        <f t="shared" si="398"/>
        <v>0</v>
      </c>
      <c r="EJ207" s="2106"/>
      <c r="EK207" s="2106"/>
      <c r="EL207" s="2106"/>
      <c r="EM207" s="2106">
        <f t="shared" si="399"/>
        <v>0</v>
      </c>
      <c r="EN207" s="2106">
        <f t="shared" si="400"/>
        <v>0</v>
      </c>
      <c r="EO207" s="1915"/>
      <c r="EP207" s="2223"/>
      <c r="EQ207" s="2224"/>
      <c r="ER207" s="2277"/>
      <c r="EU207" s="2230"/>
    </row>
    <row r="208" spans="1:151">
      <c r="A208" s="2210"/>
      <c r="B208" s="2227" t="s">
        <v>783</v>
      </c>
      <c r="C208" s="2227"/>
      <c r="D208" s="2227"/>
      <c r="E208" s="2227"/>
      <c r="F208" s="2227"/>
      <c r="G208" s="1774"/>
      <c r="H208" s="2135"/>
      <c r="I208" s="2280"/>
      <c r="J208" s="2135"/>
      <c r="K208" s="2227"/>
      <c r="L208" s="2227"/>
      <c r="M208" s="2106"/>
      <c r="N208" s="2149">
        <v>0</v>
      </c>
      <c r="O208" s="2135"/>
      <c r="P208" s="2109">
        <v>0</v>
      </c>
      <c r="Q208" s="2109">
        <v>0</v>
      </c>
      <c r="R208" s="2109">
        <f t="shared" si="279"/>
        <v>0</v>
      </c>
      <c r="S208" s="2135"/>
      <c r="T208" s="2135"/>
      <c r="U208" s="2135"/>
      <c r="V208" s="2135"/>
      <c r="W208" s="2135"/>
      <c r="X208" s="2149">
        <v>0</v>
      </c>
      <c r="Y208" s="2135"/>
      <c r="Z208" s="2109">
        <v>0</v>
      </c>
      <c r="AA208" s="2109">
        <v>0</v>
      </c>
      <c r="AB208" s="2109">
        <f t="shared" si="283"/>
        <v>0</v>
      </c>
      <c r="AC208" s="2135"/>
      <c r="AD208" s="2135"/>
      <c r="AE208" s="2135"/>
      <c r="AF208" s="2135"/>
      <c r="AG208" s="2135"/>
      <c r="AH208" s="2149">
        <v>0</v>
      </c>
      <c r="AI208" s="2135"/>
      <c r="AJ208" s="2109">
        <v>0</v>
      </c>
      <c r="AK208" s="2109">
        <v>0</v>
      </c>
      <c r="AL208" s="2109">
        <f t="shared" si="287"/>
        <v>0</v>
      </c>
      <c r="AM208" s="2135"/>
      <c r="AN208" s="2135"/>
      <c r="AO208" s="2238"/>
      <c r="AP208" s="2135"/>
      <c r="AQ208" s="2135"/>
      <c r="AR208" s="2149">
        <v>0</v>
      </c>
      <c r="AS208" s="2135"/>
      <c r="AT208" s="2109">
        <v>0</v>
      </c>
      <c r="AU208" s="2109">
        <v>0</v>
      </c>
      <c r="AV208" s="2109">
        <f t="shared" si="291"/>
        <v>0</v>
      </c>
      <c r="AW208" s="2135"/>
      <c r="AX208" s="2135"/>
      <c r="AY208" s="2238"/>
      <c r="AZ208" s="2135"/>
      <c r="BA208" s="2135"/>
      <c r="BB208" s="2149">
        <v>0</v>
      </c>
      <c r="BC208" s="2135"/>
      <c r="BD208" s="2109">
        <v>0</v>
      </c>
      <c r="BE208" s="2109">
        <v>0</v>
      </c>
      <c r="BF208" s="2109">
        <f t="shared" si="295"/>
        <v>0</v>
      </c>
      <c r="BG208" s="2135"/>
      <c r="BH208" s="2135"/>
      <c r="BI208" s="2135"/>
      <c r="BJ208" s="2135"/>
      <c r="BK208" s="2135"/>
      <c r="BL208" s="2149">
        <v>0</v>
      </c>
      <c r="BM208" s="2135"/>
      <c r="BN208" s="2109">
        <v>0</v>
      </c>
      <c r="BO208" s="2109">
        <v>0</v>
      </c>
      <c r="BP208" s="2109">
        <f t="shared" si="299"/>
        <v>0</v>
      </c>
      <c r="BQ208" s="2135"/>
      <c r="BR208" s="2135"/>
      <c r="BS208" s="2135"/>
      <c r="BT208" s="2135"/>
      <c r="BU208" s="2135"/>
      <c r="BV208" s="2149">
        <v>0</v>
      </c>
      <c r="BW208" s="2135"/>
      <c r="BX208" s="2109">
        <v>0</v>
      </c>
      <c r="BY208" s="2109">
        <v>0</v>
      </c>
      <c r="BZ208" s="2109">
        <f t="shared" si="303"/>
        <v>0</v>
      </c>
      <c r="CA208" s="2135"/>
      <c r="CB208" s="2135"/>
      <c r="CC208" s="2135"/>
      <c r="CD208" s="2135"/>
      <c r="CE208" s="2135">
        <f t="shared" si="396"/>
        <v>0</v>
      </c>
      <c r="CF208" s="2149">
        <v>0</v>
      </c>
      <c r="CG208" s="2135"/>
      <c r="CH208" s="2109">
        <v>0</v>
      </c>
      <c r="CI208" s="2109">
        <v>0</v>
      </c>
      <c r="CJ208" s="2109">
        <f t="shared" si="307"/>
        <v>0</v>
      </c>
      <c r="CK208" s="2135"/>
      <c r="CL208" s="2135"/>
      <c r="CM208" s="2135"/>
      <c r="CN208" s="2135">
        <f>IFERROR(CO208/CF208*10,0)</f>
        <v>0</v>
      </c>
      <c r="CO208" s="2135">
        <f t="shared" si="397"/>
        <v>0</v>
      </c>
      <c r="CP208" s="2149">
        <v>0</v>
      </c>
      <c r="CQ208" s="2135"/>
      <c r="CR208" s="2109">
        <v>0</v>
      </c>
      <c r="CS208" s="2109">
        <v>0</v>
      </c>
      <c r="CT208" s="2109">
        <f t="shared" si="311"/>
        <v>0</v>
      </c>
      <c r="CU208" s="2135"/>
      <c r="CV208" s="2135"/>
      <c r="CW208" s="2135"/>
      <c r="CX208" s="2135">
        <f>IFERROR(CY208/CP208*10,0)</f>
        <v>0</v>
      </c>
      <c r="CY208" s="2135">
        <f>CT208+CR208</f>
        <v>0</v>
      </c>
      <c r="CZ208" s="2149">
        <v>0</v>
      </c>
      <c r="DA208" s="2135"/>
      <c r="DB208" s="2109">
        <v>0</v>
      </c>
      <c r="DC208" s="2109">
        <v>0</v>
      </c>
      <c r="DD208" s="2109">
        <f t="shared" si="315"/>
        <v>0</v>
      </c>
      <c r="DE208" s="2135"/>
      <c r="DF208" s="2135"/>
      <c r="DG208" s="2135"/>
      <c r="DH208" s="2135">
        <f>IFERROR(DI208/CZ208*10,0)</f>
        <v>0</v>
      </c>
      <c r="DI208" s="2135">
        <f t="shared" si="402"/>
        <v>0</v>
      </c>
      <c r="DJ208" s="2149">
        <v>0</v>
      </c>
      <c r="DK208" s="2135"/>
      <c r="DL208" s="2109">
        <v>0</v>
      </c>
      <c r="DM208" s="2109">
        <v>0</v>
      </c>
      <c r="DN208" s="2109">
        <f t="shared" si="319"/>
        <v>0</v>
      </c>
      <c r="DO208" s="2135"/>
      <c r="DP208" s="2135"/>
      <c r="DQ208" s="2135"/>
      <c r="DR208" s="2135">
        <f>IFERROR(DS208/DJ208*10,0)</f>
        <v>0</v>
      </c>
      <c r="DS208" s="2135">
        <f t="shared" si="403"/>
        <v>0</v>
      </c>
      <c r="DT208" s="2149">
        <v>0</v>
      </c>
      <c r="DU208" s="2135"/>
      <c r="DV208" s="2109">
        <v>0</v>
      </c>
      <c r="DW208" s="2109">
        <v>0</v>
      </c>
      <c r="DX208" s="2109">
        <f t="shared" si="323"/>
        <v>0</v>
      </c>
      <c r="DY208" s="2135"/>
      <c r="DZ208" s="2135"/>
      <c r="EA208" s="2135"/>
      <c r="EB208" s="2135"/>
      <c r="EC208" s="2135"/>
      <c r="ED208" s="2135"/>
      <c r="EE208" s="2106"/>
      <c r="EF208" s="2106"/>
      <c r="EG208" s="2106">
        <f t="shared" si="405"/>
        <v>0</v>
      </c>
      <c r="EH208" s="2106">
        <f t="shared" si="406"/>
        <v>0</v>
      </c>
      <c r="EI208" s="2106">
        <f t="shared" si="398"/>
        <v>0</v>
      </c>
      <c r="EJ208" s="2106"/>
      <c r="EK208" s="2106"/>
      <c r="EL208" s="2106"/>
      <c r="EM208" s="2106">
        <f t="shared" si="399"/>
        <v>0</v>
      </c>
      <c r="EN208" s="2106">
        <f t="shared" si="400"/>
        <v>0</v>
      </c>
      <c r="EO208" s="1915"/>
      <c r="EP208" s="2223"/>
      <c r="EQ208" s="2224"/>
      <c r="ER208" s="2277"/>
      <c r="EU208" s="2230"/>
    </row>
    <row r="209" spans="1:151">
      <c r="A209" s="2220"/>
      <c r="B209" s="2227" t="s">
        <v>1822</v>
      </c>
      <c r="C209" s="2227"/>
      <c r="D209" s="2227"/>
      <c r="E209" s="2227"/>
      <c r="F209" s="2227"/>
      <c r="G209" s="1774"/>
      <c r="H209" s="2135"/>
      <c r="I209" s="2280"/>
      <c r="J209" s="2135"/>
      <c r="K209" s="2227"/>
      <c r="L209" s="2227"/>
      <c r="M209" s="2106"/>
      <c r="N209" s="2149">
        <v>0</v>
      </c>
      <c r="O209" s="2135"/>
      <c r="P209" s="2109">
        <v>0</v>
      </c>
      <c r="Q209" s="2109">
        <v>0</v>
      </c>
      <c r="R209" s="2109">
        <f t="shared" si="279"/>
        <v>0</v>
      </c>
      <c r="S209" s="2135"/>
      <c r="T209" s="2135"/>
      <c r="U209" s="2135"/>
      <c r="V209" s="2135"/>
      <c r="W209" s="2135"/>
      <c r="X209" s="2149">
        <v>0</v>
      </c>
      <c r="Y209" s="2135"/>
      <c r="Z209" s="2109">
        <v>0</v>
      </c>
      <c r="AA209" s="2109">
        <v>0</v>
      </c>
      <c r="AB209" s="2109">
        <f t="shared" si="283"/>
        <v>0</v>
      </c>
      <c r="AC209" s="2135"/>
      <c r="AD209" s="2135"/>
      <c r="AE209" s="2135"/>
      <c r="AF209" s="2135"/>
      <c r="AG209" s="2135"/>
      <c r="AH209" s="2149">
        <v>0</v>
      </c>
      <c r="AI209" s="2135"/>
      <c r="AJ209" s="2109">
        <v>0</v>
      </c>
      <c r="AK209" s="2109">
        <v>0</v>
      </c>
      <c r="AL209" s="2109">
        <f t="shared" si="287"/>
        <v>0</v>
      </c>
      <c r="AM209" s="2135"/>
      <c r="AN209" s="2135"/>
      <c r="AO209" s="2238"/>
      <c r="AP209" s="2135"/>
      <c r="AQ209" s="2135"/>
      <c r="AR209" s="2149">
        <v>0</v>
      </c>
      <c r="AS209" s="2135"/>
      <c r="AT209" s="2109">
        <v>0</v>
      </c>
      <c r="AU209" s="2109">
        <v>0</v>
      </c>
      <c r="AV209" s="2109">
        <f t="shared" si="291"/>
        <v>0</v>
      </c>
      <c r="AW209" s="2135"/>
      <c r="AX209" s="2135"/>
      <c r="AY209" s="2238"/>
      <c r="AZ209" s="2135"/>
      <c r="BA209" s="2135"/>
      <c r="BB209" s="2149">
        <v>0</v>
      </c>
      <c r="BC209" s="2135"/>
      <c r="BD209" s="2109">
        <v>0</v>
      </c>
      <c r="BE209" s="2109">
        <v>0</v>
      </c>
      <c r="BF209" s="2109">
        <f t="shared" si="295"/>
        <v>0</v>
      </c>
      <c r="BG209" s="2135"/>
      <c r="BH209" s="2135"/>
      <c r="BI209" s="2238"/>
      <c r="BJ209" s="2135"/>
      <c r="BK209" s="2135"/>
      <c r="BL209" s="2149">
        <v>0</v>
      </c>
      <c r="BM209" s="2135"/>
      <c r="BN209" s="2109">
        <v>0</v>
      </c>
      <c r="BO209" s="2109">
        <v>0</v>
      </c>
      <c r="BP209" s="2109">
        <f t="shared" si="299"/>
        <v>0</v>
      </c>
      <c r="BQ209" s="2135"/>
      <c r="BR209" s="2135"/>
      <c r="BS209" s="2135"/>
      <c r="BT209" s="2135"/>
      <c r="BU209" s="2135"/>
      <c r="BV209" s="2149">
        <v>0</v>
      </c>
      <c r="BW209" s="2135"/>
      <c r="BX209" s="2109">
        <v>0</v>
      </c>
      <c r="BY209" s="2109">
        <v>0</v>
      </c>
      <c r="BZ209" s="2109">
        <f t="shared" si="303"/>
        <v>0</v>
      </c>
      <c r="CA209" s="2135"/>
      <c r="CB209" s="2135"/>
      <c r="CC209" s="2135"/>
      <c r="CD209" s="2135"/>
      <c r="CE209" s="2135"/>
      <c r="CF209" s="2149">
        <v>0</v>
      </c>
      <c r="CG209" s="2135"/>
      <c r="CH209" s="2109">
        <v>0</v>
      </c>
      <c r="CI209" s="2109">
        <v>0</v>
      </c>
      <c r="CJ209" s="2109">
        <f t="shared" si="307"/>
        <v>0</v>
      </c>
      <c r="CK209" s="2135"/>
      <c r="CL209" s="2135"/>
      <c r="CM209" s="2238"/>
      <c r="CN209" s="2135"/>
      <c r="CO209" s="2135"/>
      <c r="CP209" s="2149">
        <v>0</v>
      </c>
      <c r="CQ209" s="2135"/>
      <c r="CR209" s="2109">
        <v>0</v>
      </c>
      <c r="CS209" s="2109">
        <v>0</v>
      </c>
      <c r="CT209" s="2109">
        <f t="shared" si="311"/>
        <v>0</v>
      </c>
      <c r="CU209" s="2135"/>
      <c r="CV209" s="2135"/>
      <c r="CW209" s="2238"/>
      <c r="CX209" s="2135"/>
      <c r="CY209" s="2135"/>
      <c r="CZ209" s="2149">
        <v>0</v>
      </c>
      <c r="DA209" s="2135"/>
      <c r="DB209" s="2109">
        <v>0</v>
      </c>
      <c r="DC209" s="2109">
        <v>0</v>
      </c>
      <c r="DD209" s="2109">
        <f t="shared" si="315"/>
        <v>0</v>
      </c>
      <c r="DE209" s="2135"/>
      <c r="DF209" s="2135"/>
      <c r="DG209" s="2238"/>
      <c r="DH209" s="2135"/>
      <c r="DI209" s="2135"/>
      <c r="DJ209" s="2149">
        <v>0</v>
      </c>
      <c r="DK209" s="2135"/>
      <c r="DL209" s="2109">
        <v>0</v>
      </c>
      <c r="DM209" s="2109">
        <v>0</v>
      </c>
      <c r="DN209" s="2109">
        <f t="shared" si="319"/>
        <v>0</v>
      </c>
      <c r="DO209" s="2135"/>
      <c r="DP209" s="2135"/>
      <c r="DQ209" s="2238"/>
      <c r="DR209" s="2135"/>
      <c r="DS209" s="2135"/>
      <c r="DT209" s="2149">
        <v>0</v>
      </c>
      <c r="DU209" s="2135"/>
      <c r="DV209" s="2109">
        <v>0</v>
      </c>
      <c r="DW209" s="2109">
        <v>0</v>
      </c>
      <c r="DX209" s="2109">
        <f t="shared" si="323"/>
        <v>0</v>
      </c>
      <c r="DY209" s="2135"/>
      <c r="DZ209" s="2135"/>
      <c r="EA209" s="2135"/>
      <c r="EB209" s="2135"/>
      <c r="EC209" s="2135"/>
      <c r="ED209" s="2135"/>
      <c r="EE209" s="2106"/>
      <c r="EF209" s="2106"/>
      <c r="EG209" s="2106">
        <f t="shared" si="405"/>
        <v>0</v>
      </c>
      <c r="EH209" s="2106">
        <f t="shared" si="406"/>
        <v>0</v>
      </c>
      <c r="EI209" s="2106">
        <f t="shared" si="398"/>
        <v>0</v>
      </c>
      <c r="EJ209" s="2106"/>
      <c r="EK209" s="2106"/>
      <c r="EL209" s="2106"/>
      <c r="EM209" s="2106">
        <f t="shared" si="399"/>
        <v>0</v>
      </c>
      <c r="EN209" s="2106">
        <f>EG209+EI209</f>
        <v>0</v>
      </c>
      <c r="EO209" s="1915"/>
      <c r="EP209" s="2223"/>
      <c r="ER209" s="2277"/>
      <c r="EU209" s="2230"/>
    </row>
    <row r="210" spans="1:151">
      <c r="A210" s="2220"/>
      <c r="B210" s="2227" t="s">
        <v>1823</v>
      </c>
      <c r="C210" s="2227"/>
      <c r="D210" s="2227"/>
      <c r="E210" s="2227"/>
      <c r="F210" s="2227"/>
      <c r="G210" s="1774"/>
      <c r="H210" s="2135"/>
      <c r="I210" s="2280"/>
      <c r="J210" s="2135"/>
      <c r="K210" s="2227"/>
      <c r="L210" s="2227"/>
      <c r="M210" s="2106"/>
      <c r="N210" s="2149">
        <v>0</v>
      </c>
      <c r="O210" s="2135"/>
      <c r="P210" s="2109">
        <v>0</v>
      </c>
      <c r="Q210" s="2109">
        <v>0</v>
      </c>
      <c r="R210" s="2109">
        <f>IFERROR(Q210*N210/10,0)</f>
        <v>0</v>
      </c>
      <c r="S210" s="2135"/>
      <c r="T210" s="2135"/>
      <c r="U210" s="2135"/>
      <c r="V210" s="2135"/>
      <c r="W210" s="2135"/>
      <c r="X210" s="2149">
        <v>0</v>
      </c>
      <c r="Y210" s="2135"/>
      <c r="Z210" s="2109">
        <v>0</v>
      </c>
      <c r="AA210" s="2109">
        <v>0</v>
      </c>
      <c r="AB210" s="2109">
        <f>IFERROR(AA210*X210/10,0)</f>
        <v>0</v>
      </c>
      <c r="AC210" s="2135"/>
      <c r="AD210" s="2135"/>
      <c r="AE210" s="2135"/>
      <c r="AF210" s="2135"/>
      <c r="AG210" s="2135"/>
      <c r="AH210" s="2149">
        <v>0</v>
      </c>
      <c r="AI210" s="2135"/>
      <c r="AJ210" s="2109">
        <v>0</v>
      </c>
      <c r="AK210" s="2109">
        <v>0</v>
      </c>
      <c r="AL210" s="2109">
        <f>IFERROR(AK210*AH210/10,0)</f>
        <v>0</v>
      </c>
      <c r="AM210" s="2135"/>
      <c r="AN210" s="2135"/>
      <c r="AO210" s="2238"/>
      <c r="AP210" s="2135"/>
      <c r="AQ210" s="2135"/>
      <c r="AR210" s="2149">
        <v>0</v>
      </c>
      <c r="AS210" s="2135"/>
      <c r="AT210" s="2109">
        <v>0</v>
      </c>
      <c r="AU210" s="2109">
        <v>0</v>
      </c>
      <c r="AV210" s="2109">
        <f>IFERROR(AU210*AR210/10,0)</f>
        <v>0</v>
      </c>
      <c r="AW210" s="2135"/>
      <c r="AX210" s="2135"/>
      <c r="AY210" s="2238"/>
      <c r="AZ210" s="2135"/>
      <c r="BA210" s="2135"/>
      <c r="BB210" s="2149">
        <v>0</v>
      </c>
      <c r="BC210" s="2135"/>
      <c r="BD210" s="2109">
        <v>0</v>
      </c>
      <c r="BE210" s="2109">
        <v>0</v>
      </c>
      <c r="BF210" s="2109">
        <f>IFERROR(BE210*BB210/10,0)</f>
        <v>0</v>
      </c>
      <c r="BG210" s="2135"/>
      <c r="BH210" s="2135"/>
      <c r="BI210" s="2238"/>
      <c r="BJ210" s="2135"/>
      <c r="BK210" s="2135"/>
      <c r="BL210" s="2149">
        <v>0</v>
      </c>
      <c r="BM210" s="2135"/>
      <c r="BN210" s="2109">
        <v>0</v>
      </c>
      <c r="BO210" s="2109">
        <v>0</v>
      </c>
      <c r="BP210" s="2109">
        <f>IFERROR(BO210*BL210/10,0)</f>
        <v>0</v>
      </c>
      <c r="BQ210" s="2135"/>
      <c r="BR210" s="2135"/>
      <c r="BS210" s="2135"/>
      <c r="BT210" s="2135"/>
      <c r="BU210" s="2135"/>
      <c r="BV210" s="2149">
        <v>0</v>
      </c>
      <c r="BW210" s="2135"/>
      <c r="BX210" s="2109">
        <v>0</v>
      </c>
      <c r="BY210" s="2109">
        <v>0</v>
      </c>
      <c r="BZ210" s="2109">
        <f>IFERROR(BY210*BV210/10,0)</f>
        <v>0</v>
      </c>
      <c r="CA210" s="2135"/>
      <c r="CB210" s="2135"/>
      <c r="CC210" s="2135"/>
      <c r="CD210" s="2135"/>
      <c r="CE210" s="2135"/>
      <c r="CF210" s="2149">
        <v>0</v>
      </c>
      <c r="CG210" s="2135"/>
      <c r="CH210" s="2109">
        <v>0</v>
      </c>
      <c r="CI210" s="2109">
        <v>0</v>
      </c>
      <c r="CJ210" s="2109">
        <f>IFERROR(CI210*CF210/10,0)</f>
        <v>0</v>
      </c>
      <c r="CK210" s="2135"/>
      <c r="CL210" s="2135"/>
      <c r="CM210" s="2238"/>
      <c r="CN210" s="2135"/>
      <c r="CO210" s="2135"/>
      <c r="CP210" s="2149">
        <v>0</v>
      </c>
      <c r="CQ210" s="2135"/>
      <c r="CR210" s="2109">
        <v>0</v>
      </c>
      <c r="CS210" s="2109">
        <v>0</v>
      </c>
      <c r="CT210" s="2109">
        <f>IFERROR(CS210*CP210/10,0)</f>
        <v>0</v>
      </c>
      <c r="CU210" s="2135"/>
      <c r="CV210" s="2135"/>
      <c r="CW210" s="2238"/>
      <c r="CX210" s="2135"/>
      <c r="CY210" s="2135"/>
      <c r="CZ210" s="2149">
        <v>0</v>
      </c>
      <c r="DA210" s="2135"/>
      <c r="DB210" s="2109">
        <v>0</v>
      </c>
      <c r="DC210" s="2109">
        <v>0</v>
      </c>
      <c r="DD210" s="2109">
        <f>IFERROR(DC210*CZ210/10,0)</f>
        <v>0</v>
      </c>
      <c r="DE210" s="2135"/>
      <c r="DF210" s="2135"/>
      <c r="DG210" s="2238"/>
      <c r="DH210" s="2135"/>
      <c r="DI210" s="2135"/>
      <c r="DJ210" s="2149">
        <v>0</v>
      </c>
      <c r="DK210" s="2135"/>
      <c r="DL210" s="2109">
        <v>0</v>
      </c>
      <c r="DM210" s="2109">
        <v>0</v>
      </c>
      <c r="DN210" s="2109">
        <f>IFERROR(DM210*DJ210/10,0)</f>
        <v>0</v>
      </c>
      <c r="DO210" s="2135"/>
      <c r="DP210" s="2135"/>
      <c r="DQ210" s="2238"/>
      <c r="DR210" s="2135"/>
      <c r="DS210" s="2135"/>
      <c r="DT210" s="2149">
        <v>0</v>
      </c>
      <c r="DU210" s="2135"/>
      <c r="DV210" s="2109">
        <v>0</v>
      </c>
      <c r="DW210" s="2109">
        <v>0</v>
      </c>
      <c r="DX210" s="2109">
        <f>IFERROR(DW210*DT210/10,0)</f>
        <v>0</v>
      </c>
      <c r="DY210" s="2135"/>
      <c r="DZ210" s="2135"/>
      <c r="EA210" s="2135"/>
      <c r="EB210" s="2135"/>
      <c r="EC210" s="2135"/>
      <c r="ED210" s="2135"/>
      <c r="EE210" s="2106"/>
      <c r="EF210" s="2106"/>
      <c r="EG210" s="2106"/>
      <c r="EH210" s="2106"/>
      <c r="EI210" s="2106"/>
      <c r="EJ210" s="2106"/>
      <c r="EK210" s="2106"/>
      <c r="EL210" s="2106"/>
      <c r="EM210" s="2106"/>
      <c r="EN210" s="2106">
        <f>EG210+EI210+EK210+EL210</f>
        <v>0</v>
      </c>
      <c r="EO210" s="1915"/>
      <c r="EP210" s="2223"/>
      <c r="ER210" s="2277"/>
      <c r="EU210" s="2230"/>
    </row>
    <row r="211" spans="1:151">
      <c r="A211" s="2220"/>
      <c r="B211" s="2227" t="s">
        <v>126</v>
      </c>
      <c r="C211" s="2236">
        <f ca="1">SUM(C27,C38,C80,C88,C106,C113,C123,C128,C131,C159,C171,C182,C193,C198,C199)</f>
        <v>93005.099999999991</v>
      </c>
      <c r="D211" s="2135"/>
      <c r="E211" s="2135"/>
      <c r="F211" s="2135"/>
      <c r="G211" s="2107">
        <f>SUM(G27,G38,G80,G88,G106,G113,G123,G128,G131,G159,G171,G182,G193,G198,G199)</f>
        <v>36593.186799999996</v>
      </c>
      <c r="H211" s="2135"/>
      <c r="I211" s="2280"/>
      <c r="J211" s="2107">
        <f>SUM(J161,J165,J163,J171,J173,J182,J193)</f>
        <v>126259.2344448886</v>
      </c>
      <c r="K211" s="2135"/>
      <c r="L211" s="2135"/>
      <c r="M211" s="2236">
        <f>SUM(M161,M165,M163,M171,M173,M182,M193,M198:M208)-M209+M210+M196</f>
        <v>125091.62390461034</v>
      </c>
      <c r="N211" s="2236">
        <f>SUM(N161,N165,N163,N171,N173,N182,N193,N198:N208)-N209+N210+N196</f>
        <v>7140.9131844125332</v>
      </c>
      <c r="O211" s="2236"/>
      <c r="P211" s="2236">
        <f>SUM(P161,P165,P163,P171,P173,P182,P193,P198:P208)-P209+P210+P196</f>
        <v>2586.7308976041777</v>
      </c>
      <c r="Q211" s="2236"/>
      <c r="R211" s="2236">
        <f>SUM(R161,R165,R163,R171,R173,R182,R193,R198:R208)-R209+R210+R196</f>
        <v>1589.8102988768223</v>
      </c>
      <c r="S211" s="2135"/>
      <c r="T211" s="2135"/>
      <c r="U211" s="2135"/>
      <c r="V211" s="2135"/>
      <c r="W211" s="2236">
        <f>SUM(W161,W165,W163,W171,W173,W182,W193,W198:W208)-W209+W210+W196</f>
        <v>4176.541196481</v>
      </c>
      <c r="X211" s="2236">
        <f>SUM(X161,X165,X163,X171,X173,X182,X193,X198:X208)-X209+X210+X196</f>
        <v>14320.324156273387</v>
      </c>
      <c r="Y211" s="2236"/>
      <c r="Z211" s="2236">
        <f>SUM(Z161,Z165,Z163,Z171,Z173,Z182,Z193,Z198:Z208)-Z209+Z210+Z196</f>
        <v>2586.7308976041777</v>
      </c>
      <c r="AA211" s="2236"/>
      <c r="AB211" s="2236">
        <f>SUM(AB161,AB165,AB163,AB171,AB173,AB182,AB193,AB198:AB208)-AB209+AB210+AB196</f>
        <v>3872.7206682173078</v>
      </c>
      <c r="AC211" s="2135"/>
      <c r="AD211" s="2236">
        <f>SUM(AD161,AD165,AD163,AD171,AD173,AD182,AD193,AD198:AD208)-AD209+AD210</f>
        <v>0</v>
      </c>
      <c r="AE211" s="2135"/>
      <c r="AF211" s="2135"/>
      <c r="AG211" s="2236">
        <f>SUM(AG161,AG165,AG163,AG171,AG173,AG182,AG193,AG198:AG208)-AG209+AG210+AG196</f>
        <v>6459.4515658214841</v>
      </c>
      <c r="AH211" s="2236">
        <f>SUM(AH161,AH165,AH163,AH171,AH173,AH182,AH193,AH198:AH208)-AH209+AH210+AH196</f>
        <v>14780.011641216859</v>
      </c>
      <c r="AI211" s="2135"/>
      <c r="AJ211" s="2236">
        <f>SUM(AJ161,AJ165,AJ163,AJ171,AJ173,AJ182,AJ193,AJ198:AJ208)-AJ209+AJ210+AJ196</f>
        <v>2586.7308976041777</v>
      </c>
      <c r="AK211" s="2135"/>
      <c r="AL211" s="2236">
        <f>SUM(AL161,AL165,AL163,AL171,AL173,AL182,AL193,AL198:AL208)-AL209+AL210+AL196</f>
        <v>4060.2132195693462</v>
      </c>
      <c r="AM211" s="2135"/>
      <c r="AN211" s="2135"/>
      <c r="AO211" s="2238"/>
      <c r="AP211" s="2135"/>
      <c r="AQ211" s="2236">
        <f>SUM(AQ161,AQ165,AQ163,AQ171,AQ173,AQ182,AQ193,AQ198:AQ208)-AQ209+AQ210+AQ196</f>
        <v>6646.9441171735234</v>
      </c>
      <c r="AR211" s="2236">
        <f>SUM(AR161,AR165,AR163,AR171,AR173,AR182,AR193,AR198:AR208)-AR209+AR210+AR196</f>
        <v>15498.131356242468</v>
      </c>
      <c r="AS211" s="2135"/>
      <c r="AT211" s="2236">
        <f>SUM(AT161,AT165,AT163,AT171,AT173,AT182,AT193,AT198:AT208)-AT209+AT210+AT196</f>
        <v>2586.7308976041777</v>
      </c>
      <c r="AU211" s="2236"/>
      <c r="AV211" s="2236">
        <f>SUM(AV161,AV165,AV163,AV171,AV173,AV182,AV193,AV198:AV208)-AV209+AV210+AV196</f>
        <v>4126.6290710883914</v>
      </c>
      <c r="AW211" s="2236">
        <f>SUM(AW161,AW165,AW163,AW171,AW173,AW182,AW193,AW198:AW208)-AW209+AW210</f>
        <v>0</v>
      </c>
      <c r="AX211" s="2236">
        <f>SUM(AX161,AX165,AX163,AX171,AX173,AX182,AX193,AX198:AX208)-AX209+AX210</f>
        <v>0</v>
      </c>
      <c r="AY211" s="2236">
        <f>SUM(AY161,AY165,AY163,AY171,AY173,AY182,AY193,AY198:AY208)-AY209+AY210</f>
        <v>0</v>
      </c>
      <c r="AZ211" s="2236"/>
      <c r="BA211" s="2236">
        <f>SUM(BA161,BA165,BA163,BA171,BA173,BA182,BA193,BA198:BA208)-BA209+BA210+BA196</f>
        <v>6713.3599686925681</v>
      </c>
      <c r="BB211" s="2236">
        <f>SUM(BB161,BB165,BB163,BB171,BB173,BB182,BB193,BB198:BB208)-BB209+BB210+BB196</f>
        <v>16130.50253903902</v>
      </c>
      <c r="BC211" s="2236"/>
      <c r="BD211" s="2236">
        <f>SUM(BD161,BD165,BD163,BD171,BD173,BD182,BD193,BD198:BD208)-BD209+BD210+BD196</f>
        <v>2809.8664019166777</v>
      </c>
      <c r="BE211" s="2236"/>
      <c r="BF211" s="2236">
        <f>SUM(BF161,BF165,BF163,BF171,BF173,BF182,BF193,BF198:BF208)-BF209+BF210+BF196</f>
        <v>4239.9027714240392</v>
      </c>
      <c r="BG211" s="2236">
        <f>SUM(BG161,BG165,BG163,BG171,BG173,BG182,BG193,BG198:BG208)-BG209+BG210</f>
        <v>0</v>
      </c>
      <c r="BH211" s="2236">
        <f>SUM(BH161,BH165,BH163,BH171,BH173,BH182,BH193,BH198:BH208)-BH209+BH210</f>
        <v>0</v>
      </c>
      <c r="BI211" s="2236">
        <f>SUM(BI161,BI165,BI163,BI171,BI173,BI182,BI193,BI198:BI208)-BI209+BI210</f>
        <v>0</v>
      </c>
      <c r="BJ211" s="2236"/>
      <c r="BK211" s="2236">
        <f>SUM(BK161,BK165,BK163,BK171,BK173,BK182,BK193,BK198:BK208)-BK209+BK210+BK196</f>
        <v>7049.7691733407155</v>
      </c>
      <c r="BL211" s="2236">
        <f>SUM(BL161,BL165,BL163,BL171,BL173,BL182,BL193,BL198:BL208)-BL209+BL210+BL196</f>
        <v>15385.778983352084</v>
      </c>
      <c r="BM211" s="2236"/>
      <c r="BN211" s="2236">
        <f>SUM(BN161,BN165,BN163,BN171,BN173,BN182,BN193,BN198:BN208)-BN209+BN210+BN196</f>
        <v>2809.8664019166777</v>
      </c>
      <c r="BO211" s="2236"/>
      <c r="BP211" s="2236">
        <f>SUM(BP161,BP165,BP163,BP171,BP173,BP182,BP193,BP198:BP208)-BP209+BP210+BP196</f>
        <v>4004.538987301557</v>
      </c>
      <c r="BQ211" s="2236">
        <f>SUM(BQ161,BQ165,BQ163,BQ171,BQ173,BQ182,BQ193,BQ198:BQ208)-BQ209+BQ210</f>
        <v>0</v>
      </c>
      <c r="BR211" s="2236">
        <f>SUM(BR161,BR165,BR163,BR171,BR173,BR182,BR193,BR198:BR208)-BR209+BR210</f>
        <v>0</v>
      </c>
      <c r="BS211" s="2236">
        <f>SUM(BS161,BS165,BS163,BS171,BS173,BS182,BS193,BS198:BS208)-BS209+BS210</f>
        <v>0</v>
      </c>
      <c r="BT211" s="2236"/>
      <c r="BU211" s="2236">
        <f>SUM(BU161,BU165,BU163,BU171,BU173,BU182,BU193,BU198:BU208)-BU209+BU210+BU196</f>
        <v>6814.4053892182337</v>
      </c>
      <c r="BV211" s="2236">
        <f>SUM(BV161,BV165,BV163,BV171,BV173,BV182,BV193,BV198:BV208)-BV209+BV210+BV196</f>
        <v>7702.8588372905187</v>
      </c>
      <c r="BW211" s="2236">
        <f>SUM(BW161,BW165,BW163,BW171,BW173,BW182,BW193,BW198:BW208)-BW209+BW210</f>
        <v>0</v>
      </c>
      <c r="BX211" s="2236">
        <f>SUM(BX161,BX165,BX163,BX171,BX173,BX182,BX193,BX198:BX208)-BX209+BX210+BX196</f>
        <v>2809.8664019166777</v>
      </c>
      <c r="BY211" s="2236"/>
      <c r="BZ211" s="2236">
        <f>SUM(BZ161,BZ165,BZ163,BZ171,BZ173,BZ182,BZ193,BZ198:BZ208)-BZ209+BZ210+BZ196</f>
        <v>1697.7432776057135</v>
      </c>
      <c r="CA211" s="2236">
        <f>SUM(CA161,CA165,CA163,CA171,CA173,CA182,CA193,CA198:CA208)-CA209+CA210</f>
        <v>0</v>
      </c>
      <c r="CB211" s="2236">
        <f>SUM(CB161,CB165,CB163,CB171,CB173,CB182,CB193,CB198:CB208)-CB209+CB210</f>
        <v>0</v>
      </c>
      <c r="CC211" s="2236">
        <f>SUM(CC161,CC165,CC163,CC171,CC173,CC182,CC193,CC198:CC208)-CC209+CC210</f>
        <v>0</v>
      </c>
      <c r="CD211" s="2236"/>
      <c r="CE211" s="2236">
        <f>SUM(CE161,CE165,CE163,CE171,CE173,CE182,CE193,CE198:CE208)-CE209+CE210+CE196</f>
        <v>4507.6096795223903</v>
      </c>
      <c r="CF211" s="2236">
        <f>SUM(CF161,CF165,CF163,CF171,CF173,CF182,CF193,CF198:CF208)-CF209+CF210+CF196</f>
        <v>6387.6909439771716</v>
      </c>
      <c r="CG211" s="2236"/>
      <c r="CH211" s="2236">
        <f>SUM(CH161,CH165,CH163,CH171,CH173,CH182,CH193,CH198:CH208)-CH209+CH210+CH196</f>
        <v>2809.8664019166777</v>
      </c>
      <c r="CI211" s="2236"/>
      <c r="CJ211" s="2236">
        <f>SUM(CJ161,CJ165,CJ163,CJ171,CJ173,CJ182,CJ193,CJ198:CJ208)-CJ209+CJ210+CJ196</f>
        <v>1388.5835613051825</v>
      </c>
      <c r="CK211" s="2236">
        <f>SUM(CK161,CK165,CK163,CK171,CK173,CK182,CK193,CK198:CK208)-CK209+CK210</f>
        <v>0</v>
      </c>
      <c r="CL211" s="2236">
        <f>SUM(CL161,CL165,CL163,CL171,CL173,CL182,CL193,CL198:CL208)-CL209+CL210</f>
        <v>0</v>
      </c>
      <c r="CM211" s="2236">
        <f>SUM(CM161,CM165,CM163,CM171,CM173,CM182,CM193,CM198:CM208)-CM209+CM210</f>
        <v>0</v>
      </c>
      <c r="CN211" s="2236"/>
      <c r="CO211" s="2236">
        <f>SUM(CO161,CO165,CO163,CO171,CO173,CO182,CO193,CO198:CO208)-CO209+CO210+CO196</f>
        <v>4198.4499632218603</v>
      </c>
      <c r="CP211" s="2236">
        <f>SUM(CP161,CP165,CP163,CP171,CP173,CP182,CP193,CP198:CP208)-CP209+CP210+CP196</f>
        <v>7218.9200801693414</v>
      </c>
      <c r="CQ211" s="2236"/>
      <c r="CR211" s="2236">
        <f>SUM(CR161,CR165,CR163,CR171,CR173,CR182,CR193,CR198:CR208)-CR209+CR210+CR196</f>
        <v>2809.8664019166777</v>
      </c>
      <c r="CS211" s="2236"/>
      <c r="CT211" s="2236">
        <f>SUM(CT161,CT165,CT163,CT171,CT173,CT182,CT193,CT198:CT208)-CT209+CT210+CT196</f>
        <v>1583.7767000392616</v>
      </c>
      <c r="CU211" s="2236"/>
      <c r="CV211" s="2236"/>
      <c r="CW211" s="2236">
        <f>SUM(CW161,CW165,CW163,CW171,CW173,CW182,CW193,CW198:CW208)-CW209+CW210</f>
        <v>0</v>
      </c>
      <c r="CX211" s="2236"/>
      <c r="CY211" s="2236">
        <f>SUM(CY161,CY165,CY163,CY171,CY173,CY182,CY193,CY198:CY208)-CY209+CY210+CY196</f>
        <v>4393.6431019559386</v>
      </c>
      <c r="CZ211" s="2236">
        <f>SUM(CZ161,CZ165,CZ163,CZ171,CZ173,CZ182,CZ193,CZ198:CZ208)-CZ209+CZ210+CZ196</f>
        <v>7237.6822613727636</v>
      </c>
      <c r="DA211" s="2236"/>
      <c r="DB211" s="2236">
        <f>SUM(DB161,DB165,DB163,DB171,DB173,DB182,DB193,DB198:DB208)-DB209+DB210+DB196</f>
        <v>2809.8664019166777</v>
      </c>
      <c r="DC211" s="2236"/>
      <c r="DD211" s="2236">
        <f>SUM(DD161,DD165,DD163,DD171,DD173,DD182,DD193,DD198:DD208)-DD209+DD210+DD196</f>
        <v>1587.558087298881</v>
      </c>
      <c r="DE211" s="2236">
        <f>SUM(DE161,DE165,DE163,DE171,DE173,DE182,DE193,DE198:DE208)-DE209+DE210</f>
        <v>0</v>
      </c>
      <c r="DF211" s="2236">
        <f>SUM(DF161,DF165,DF163,DF171,DF173,DF182,DF193,DF198:DF208)-DF209+DF210</f>
        <v>0</v>
      </c>
      <c r="DG211" s="2236">
        <f>SUM(DG161,DG165,DG163,DG171,DG173,DG182,DG193,DG198:DG208)-DG209+DG210</f>
        <v>0</v>
      </c>
      <c r="DH211" s="2236"/>
      <c r="DI211" s="2236">
        <f>SUM(DI161,DI165,DI163,DI171,DI173,DI182,DI193,DI198:DI208)-DI209+DI210+DI196</f>
        <v>4397.4244892155584</v>
      </c>
      <c r="DJ211" s="2236">
        <f>SUM(DJ161,DJ165,DJ163,DJ171,DJ173,DJ182,DJ193,DJ198:DJ208)-DJ209+DJ210+DJ196</f>
        <v>7222.4205326836973</v>
      </c>
      <c r="DK211" s="2236"/>
      <c r="DL211" s="2236">
        <f>SUM(DL161,DL165,DL163,DL171,DL173,DL182,DL193,DL198:DL208)-DL209+DL210+DL196</f>
        <v>2809.8664019166777</v>
      </c>
      <c r="DM211" s="2236"/>
      <c r="DN211" s="2236">
        <f>SUM(DN161,DN165,DN163,DN171,DN173,DN182,DN193,DN198:DN208)-DN209+DN210+DN196</f>
        <v>1590.9623314245086</v>
      </c>
      <c r="DO211" s="2236">
        <f>SUM(DO161,DO165,DO163,DO171,DO173,DO182,DO193,DO198:DO208)-DO209+DO210</f>
        <v>0</v>
      </c>
      <c r="DP211" s="2236">
        <f>SUM(DP161,DP165,DP163,DP171,DP173,DP182,DP193,DP198:DP208)-DP209+DP210</f>
        <v>0</v>
      </c>
      <c r="DQ211" s="2236">
        <f>SUM(DQ161,DQ165,DQ163,DQ171,DQ173,DQ182,DQ193,DQ198:DQ208)-DQ209+DQ210</f>
        <v>0</v>
      </c>
      <c r="DR211" s="2236"/>
      <c r="DS211" s="2236">
        <f>SUM(DS161,DS165,DS163,DS171,DS173,DS182,DS193,DS198:DS208)-DS209+DS210+DS196</f>
        <v>4400.8287333411863</v>
      </c>
      <c r="DT211" s="2236">
        <f>SUM(DT161,DT165,DT163,DT171,DT173,DT182,DT193,DT198:DT208)-DT209+DT210+DT196</f>
        <v>7501.6548665200598</v>
      </c>
      <c r="DU211" s="2236"/>
      <c r="DV211" s="2236">
        <f>SUM(DV161,DV165,DV163,DV171,DV173,DV182,DV193,DV198:DV208)-DV209+DV210+DV196</f>
        <v>2908.2125069166782</v>
      </c>
      <c r="DW211" s="2109">
        <v>0</v>
      </c>
      <c r="DX211" s="2236">
        <f>SUM(DX161,DX165,DX163,DX171,DX173,DX182,DX193,DX198:DX208)-DX209+DX210+DX196</f>
        <v>1627.6093707665189</v>
      </c>
      <c r="DY211" s="2236">
        <f>SUM(DY161,DY165,DY163,DY171,DY173,DY182,DY193,DY198:DY208)-DY209+DY210</f>
        <v>0</v>
      </c>
      <c r="DZ211" s="2236">
        <f>SUM(DZ161,DZ165,DZ163,DZ171,DZ173,DZ182,DZ193,DZ198:DZ208)-DZ209+DZ210</f>
        <v>0</v>
      </c>
      <c r="EA211" s="2236">
        <f>SUM(EA161,EA165,EA163,EA171,EA173,EA182,EA193,EA198:EA208)-EA209+EA210</f>
        <v>0</v>
      </c>
      <c r="EB211" s="2236"/>
      <c r="EC211" s="2236">
        <f>SUM(EC161,EC165,EC163,EC171,EC173,EC182,EC193,EC198:EC208)-EC209+EC210+EC196</f>
        <v>4535.8218776831964</v>
      </c>
      <c r="ED211" s="2236">
        <f>SUM(ED161,ED165,ED163,ED171,ED173,ED182,ED193,ED198:ED208)-ED209+ED210</f>
        <v>0</v>
      </c>
      <c r="EE211" s="2236">
        <f>SUM(EE161,EE165,EE163,EE171,EE173,EE182,EE193,EE198:EE208)-EE209+EE210+EE196</f>
        <v>126526.88938254991</v>
      </c>
      <c r="EF211" s="2106">
        <f>IFERROR((EG211/EE211)*10,0)</f>
        <v>2.6021505050365139</v>
      </c>
      <c r="EG211" s="2107">
        <f>SUM(EG161,EG165,EG163,EG171,EG173,EG182,EG193,EG198:EG208,EG196)</f>
        <v>32924.200910750136</v>
      </c>
      <c r="EH211" s="2106">
        <f>IFERROR((EI211/EE211)*10,0)</f>
        <v>2.4793187043483869</v>
      </c>
      <c r="EI211" s="2107">
        <f>SUM(EI161,EI165,EI163,EI171,EI173,EI182,EI193,EI198:EI208)-EI209+EI210+EI196</f>
        <v>31370.04834491753</v>
      </c>
      <c r="EJ211" s="2107">
        <f>SUM(EJ161,EJ165,EJ163,EJ171,EJ173,EJ182,EJ193,EJ198:EJ208)-EJ209+EJ210</f>
        <v>0</v>
      </c>
      <c r="EK211" s="2107">
        <f>SUM(EK161,EK165,EK163,EK171,EK173,EK182,EK193,EK198:EK208)-EK209+EK210</f>
        <v>0</v>
      </c>
      <c r="EL211" s="2107">
        <f>SUM(EL161,EL165,EL163,EL171,EL173,EL182,EL193,EL198:EL208)-EL209+EL210</f>
        <v>0</v>
      </c>
      <c r="EM211" s="2106">
        <f>IFERROR(EN211/EE211*10,0)</f>
        <v>5.0814692093848999</v>
      </c>
      <c r="EN211" s="2107">
        <f>SUM(EN161,EN165,EN163,EN171,EN173,EN182,EN193,EN198:EN208)-EN209+EN210+EN196</f>
        <v>64294.249255667659</v>
      </c>
      <c r="EO211" s="2107">
        <f>EN211/J211*10</f>
        <v>5.0922413349283939</v>
      </c>
      <c r="EP211" s="2271">
        <f>EN211/M211*10</f>
        <v>5.1397725322277186</v>
      </c>
      <c r="EQ211" s="2284"/>
      <c r="ER211" s="2277"/>
      <c r="EU211" s="2230"/>
    </row>
    <row r="212" spans="1:151" ht="18.75" customHeight="1">
      <c r="A212" s="2283"/>
      <c r="B212" s="2285"/>
      <c r="C212" s="2286" t="s">
        <v>2095</v>
      </c>
      <c r="D212" s="2286" t="s">
        <v>2096</v>
      </c>
      <c r="E212" s="2286">
        <v>1</v>
      </c>
      <c r="F212" s="2287">
        <v>1</v>
      </c>
      <c r="G212" s="2288"/>
      <c r="H212" s="2289"/>
      <c r="EE212" s="2286"/>
      <c r="EN212" s="2292"/>
      <c r="EQ212" s="2293"/>
      <c r="ER212" s="2293"/>
    </row>
    <row r="213" spans="1:151" ht="36.75" customHeight="1">
      <c r="D213" s="2286" t="s">
        <v>2032</v>
      </c>
      <c r="E213" s="2286">
        <v>2</v>
      </c>
      <c r="F213" s="2295">
        <v>2</v>
      </c>
      <c r="G213" s="2101"/>
      <c r="J213" s="2296"/>
      <c r="N213" s="2286">
        <v>0</v>
      </c>
      <c r="P213" s="2286">
        <f>P211-P206-P204-P203-P202</f>
        <v>2069.1246903243027</v>
      </c>
      <c r="W213" s="2286">
        <f>W211-W206-W204-W203-W202</f>
        <v>3658.9349892011246</v>
      </c>
      <c r="X213" s="2286">
        <v>0</v>
      </c>
      <c r="AH213" s="2286">
        <v>0</v>
      </c>
      <c r="AR213" s="2286">
        <v>0</v>
      </c>
      <c r="BB213" s="2286">
        <v>0</v>
      </c>
      <c r="BL213" s="2286">
        <v>0</v>
      </c>
      <c r="BV213" s="2286">
        <v>0</v>
      </c>
      <c r="CF213" s="2286">
        <v>0</v>
      </c>
      <c r="CP213" s="2286">
        <v>0</v>
      </c>
      <c r="CZ213" s="2286">
        <v>0</v>
      </c>
      <c r="DJ213" s="2286">
        <v>0</v>
      </c>
      <c r="DT213" s="2286">
        <v>0</v>
      </c>
      <c r="EE213" s="2286">
        <v>0</v>
      </c>
      <c r="EF213" s="2286"/>
      <c r="EG213" s="2286"/>
      <c r="EH213" s="2286"/>
      <c r="EI213" s="2286"/>
      <c r="EJ213" s="2286"/>
      <c r="EK213" s="2286"/>
      <c r="EL213" s="2286"/>
      <c r="EM213" s="2286"/>
      <c r="EN213" s="2286"/>
      <c r="EO213" s="2286">
        <f>ED211+DT211+DJ211+CZ211+CP211+CF211+BV211+BL211+BB211+AR211+AH211+X211</f>
        <v>119385.97619813737</v>
      </c>
      <c r="EP213" s="2286">
        <f>EE211+DU211+DK211+DA211+CQ211+CG211+BW211+BM211+BC211+AS211+AI211+Y211</f>
        <v>126526.88938254991</v>
      </c>
      <c r="EQ213" s="2286"/>
    </row>
    <row r="214" spans="1:151" hidden="1">
      <c r="B214" s="2297" t="s">
        <v>1824</v>
      </c>
      <c r="C214" s="2298"/>
      <c r="D214" s="2298"/>
      <c r="EE214" s="2286"/>
      <c r="EF214" s="2286"/>
      <c r="EG214" s="2286"/>
      <c r="EH214" s="2286"/>
      <c r="EI214" s="2286"/>
      <c r="EJ214" s="2286"/>
      <c r="EK214" s="2286"/>
      <c r="EL214" s="2286"/>
      <c r="EM214" s="2286"/>
      <c r="EN214" s="2286"/>
      <c r="EO214" s="2286">
        <f>EO213-EO211</f>
        <v>119380.88395680244</v>
      </c>
      <c r="EP214" s="2286">
        <f>EP213-EP211</f>
        <v>126521.74961001768</v>
      </c>
      <c r="EQ214" s="2286"/>
    </row>
    <row r="215" spans="1:151" hidden="1">
      <c r="B215" s="2297" t="s">
        <v>1825</v>
      </c>
      <c r="C215" s="2298"/>
      <c r="D215" s="2298"/>
      <c r="R215" s="2286" t="s">
        <v>168</v>
      </c>
      <c r="EE215" s="2286"/>
    </row>
    <row r="216" spans="1:151" hidden="1">
      <c r="B216" s="2299" t="s">
        <v>1826</v>
      </c>
      <c r="C216" s="2300"/>
      <c r="D216" s="2300"/>
      <c r="EE216" s="2286"/>
    </row>
    <row r="217" spans="1:151" hidden="1">
      <c r="B217" s="2297" t="s">
        <v>1827</v>
      </c>
      <c r="C217" s="2298"/>
      <c r="D217" s="2298"/>
      <c r="EE217" s="2286"/>
    </row>
    <row r="218" spans="1:151" hidden="1">
      <c r="B218" s="2297" t="s">
        <v>1828</v>
      </c>
      <c r="C218" s="2298"/>
      <c r="D218" s="2298"/>
      <c r="EE218" s="2286"/>
    </row>
    <row r="219" spans="1:151" hidden="1">
      <c r="B219" s="2301"/>
      <c r="C219" s="2301"/>
      <c r="D219" s="2301"/>
      <c r="EE219" s="2286"/>
    </row>
    <row r="220" spans="1:151" hidden="1">
      <c r="B220" s="2296" t="s">
        <v>1829</v>
      </c>
      <c r="EE220" s="2286"/>
    </row>
    <row r="221" spans="1:151" hidden="1">
      <c r="B221" s="3253" t="s">
        <v>1830</v>
      </c>
      <c r="C221" s="3254"/>
      <c r="D221" s="3255"/>
      <c r="EE221" s="2286"/>
    </row>
    <row r="222" spans="1:151" ht="58" hidden="1">
      <c r="B222" s="2302" t="s">
        <v>1182</v>
      </c>
      <c r="C222" s="2303" t="s">
        <v>1831</v>
      </c>
      <c r="D222" s="2303" t="s">
        <v>1832</v>
      </c>
      <c r="EE222" s="2286"/>
    </row>
    <row r="223" spans="1:151" hidden="1">
      <c r="B223" s="2302" t="s">
        <v>1833</v>
      </c>
      <c r="C223" s="2304">
        <f>N211</f>
        <v>7140.9131844125332</v>
      </c>
      <c r="D223" s="2304">
        <f>W211</f>
        <v>4176.541196481</v>
      </c>
      <c r="EE223" s="2286"/>
    </row>
    <row r="224" spans="1:151" hidden="1">
      <c r="B224" s="2302" t="s">
        <v>246</v>
      </c>
      <c r="C224" s="2304">
        <f>X211</f>
        <v>14320.324156273387</v>
      </c>
      <c r="D224" s="2304">
        <f>AG211</f>
        <v>6459.4515658214841</v>
      </c>
      <c r="EE224" s="2286"/>
    </row>
    <row r="225" spans="2:135" hidden="1">
      <c r="B225" s="2302" t="s">
        <v>247</v>
      </c>
      <c r="C225" s="2304">
        <f>AH211</f>
        <v>14780.011641216859</v>
      </c>
      <c r="D225" s="2304">
        <f>AQ211</f>
        <v>6646.9441171735234</v>
      </c>
      <c r="EE225" s="2286"/>
    </row>
    <row r="226" spans="2:135" hidden="1">
      <c r="B226" s="2302" t="s">
        <v>248</v>
      </c>
      <c r="C226" s="2304">
        <f>AR211</f>
        <v>15498.131356242468</v>
      </c>
      <c r="D226" s="2304">
        <f>BA211</f>
        <v>6713.3599686925681</v>
      </c>
    </row>
    <row r="227" spans="2:135" hidden="1">
      <c r="B227" s="2302" t="s">
        <v>1834</v>
      </c>
      <c r="C227" s="2304">
        <f>BB211</f>
        <v>16130.50253903902</v>
      </c>
      <c r="D227" s="2304">
        <f>BK211</f>
        <v>7049.7691733407155</v>
      </c>
    </row>
    <row r="228" spans="2:135" hidden="1">
      <c r="B228" s="2302" t="s">
        <v>1835</v>
      </c>
      <c r="C228" s="2304">
        <f>BL211</f>
        <v>15385.778983352084</v>
      </c>
      <c r="D228" s="2304">
        <f>BU211</f>
        <v>6814.4053892182337</v>
      </c>
    </row>
    <row r="229" spans="2:135" hidden="1">
      <c r="B229" s="2302" t="s">
        <v>1836</v>
      </c>
      <c r="C229" s="2304">
        <f>BV211</f>
        <v>7702.8588372905187</v>
      </c>
      <c r="D229" s="2304">
        <f>CE211</f>
        <v>4507.6096795223903</v>
      </c>
    </row>
    <row r="230" spans="2:135" hidden="1">
      <c r="B230" s="2302" t="s">
        <v>1837</v>
      </c>
      <c r="C230" s="2304">
        <f>CF211</f>
        <v>6387.6909439771716</v>
      </c>
      <c r="D230" s="2304">
        <f>CO211</f>
        <v>4198.4499632218603</v>
      </c>
    </row>
    <row r="231" spans="2:135" hidden="1">
      <c r="B231" s="2302" t="s">
        <v>1838</v>
      </c>
      <c r="C231" s="2304">
        <f>CP211</f>
        <v>7218.9200801693414</v>
      </c>
      <c r="D231" s="2304">
        <f>CY211</f>
        <v>4393.6431019559386</v>
      </c>
    </row>
    <row r="232" spans="2:135" hidden="1">
      <c r="B232" s="2302" t="s">
        <v>1839</v>
      </c>
      <c r="C232" s="2304">
        <f>CZ211</f>
        <v>7237.6822613727636</v>
      </c>
      <c r="D232" s="2304">
        <f>DI211</f>
        <v>4397.4244892155584</v>
      </c>
    </row>
    <row r="233" spans="2:135" hidden="1">
      <c r="B233" s="2302" t="s">
        <v>1840</v>
      </c>
      <c r="C233" s="2304">
        <f>DJ211</f>
        <v>7222.4205326836973</v>
      </c>
      <c r="D233" s="2304">
        <f>DS211</f>
        <v>4400.8287333411863</v>
      </c>
    </row>
    <row r="234" spans="2:135" hidden="1">
      <c r="B234" s="2302" t="s">
        <v>1841</v>
      </c>
      <c r="C234" s="2304">
        <f>DT211</f>
        <v>7501.6548665200598</v>
      </c>
      <c r="D234" s="2304">
        <f>EC211</f>
        <v>4535.8218776831964</v>
      </c>
    </row>
    <row r="235" spans="2:135" hidden="1">
      <c r="B235" s="2302" t="s">
        <v>22</v>
      </c>
      <c r="C235" s="2305">
        <f>SUM(C223:C234)</f>
        <v>126526.88938254988</v>
      </c>
      <c r="D235" s="2305">
        <f>SUM(D223:D234)</f>
        <v>64294.249255667644</v>
      </c>
    </row>
    <row r="236" spans="2:135" hidden="1">
      <c r="B236" s="2236" t="s">
        <v>1842</v>
      </c>
      <c r="C236" s="2135"/>
      <c r="D236" s="2135"/>
      <c r="E236" s="2286">
        <f>IFERROR(D235/C235*10,0)</f>
        <v>5.0814692093848999</v>
      </c>
    </row>
    <row r="237" spans="2:135" hidden="1">
      <c r="B237" s="3256" t="s">
        <v>1843</v>
      </c>
      <c r="C237" s="3256"/>
      <c r="D237" s="3256"/>
    </row>
    <row r="238" spans="2:135" hidden="1"/>
  </sheetData>
  <mergeCells count="97">
    <mergeCell ref="EH6:EI6"/>
    <mergeCell ref="EJ6:EK6"/>
    <mergeCell ref="EM6:EN6"/>
    <mergeCell ref="B221:D221"/>
    <mergeCell ref="B237:D237"/>
    <mergeCell ref="DW6:DX6"/>
    <mergeCell ref="DY6:DZ6"/>
    <mergeCell ref="EB6:EC6"/>
    <mergeCell ref="ED6:ED7"/>
    <mergeCell ref="EE6:EE7"/>
    <mergeCell ref="EF6:EG6"/>
    <mergeCell ref="DK6:DL6"/>
    <mergeCell ref="DM6:DN6"/>
    <mergeCell ref="DO6:DP6"/>
    <mergeCell ref="DR6:DS6"/>
    <mergeCell ref="DT6:DT7"/>
    <mergeCell ref="DU6:DV6"/>
    <mergeCell ref="CZ6:CZ7"/>
    <mergeCell ref="DA6:DB6"/>
    <mergeCell ref="DC6:DD6"/>
    <mergeCell ref="DE6:DF6"/>
    <mergeCell ref="DH6:DI6"/>
    <mergeCell ref="DJ6:DJ7"/>
    <mergeCell ref="CX6:CY6"/>
    <mergeCell ref="CA6:CB6"/>
    <mergeCell ref="CD6:CE6"/>
    <mergeCell ref="CF6:CF7"/>
    <mergeCell ref="CG6:CH6"/>
    <mergeCell ref="CI6:CJ6"/>
    <mergeCell ref="CK6:CL6"/>
    <mergeCell ref="CN6:CO6"/>
    <mergeCell ref="CP6:CP7"/>
    <mergeCell ref="CQ6:CR6"/>
    <mergeCell ref="CS6:CT6"/>
    <mergeCell ref="CU6:CV6"/>
    <mergeCell ref="AU6:AV6"/>
    <mergeCell ref="AW6:AX6"/>
    <mergeCell ref="AZ6:BA6"/>
    <mergeCell ref="BY6:BZ6"/>
    <mergeCell ref="BC6:BD6"/>
    <mergeCell ref="BE6:BF6"/>
    <mergeCell ref="BG6:BH6"/>
    <mergeCell ref="BJ6:BK6"/>
    <mergeCell ref="BL6:BL7"/>
    <mergeCell ref="BM6:BN6"/>
    <mergeCell ref="BO6:BP6"/>
    <mergeCell ref="BQ6:BR6"/>
    <mergeCell ref="BT6:BU6"/>
    <mergeCell ref="BV6:BV7"/>
    <mergeCell ref="BW6:BX6"/>
    <mergeCell ref="AK6:AL6"/>
    <mergeCell ref="AM6:AN6"/>
    <mergeCell ref="AP6:AQ6"/>
    <mergeCell ref="AR6:AR7"/>
    <mergeCell ref="AS6:AT6"/>
    <mergeCell ref="ED5:EN5"/>
    <mergeCell ref="N6:N7"/>
    <mergeCell ref="O6:P6"/>
    <mergeCell ref="Q6:R6"/>
    <mergeCell ref="S6:T6"/>
    <mergeCell ref="V6:W6"/>
    <mergeCell ref="X6:X7"/>
    <mergeCell ref="Y6:Z6"/>
    <mergeCell ref="AA6:AB6"/>
    <mergeCell ref="AC6:AD6"/>
    <mergeCell ref="BV5:CE5"/>
    <mergeCell ref="CF5:CO5"/>
    <mergeCell ref="CP5:CY5"/>
    <mergeCell ref="CZ5:DI5"/>
    <mergeCell ref="DJ5:DS5"/>
    <mergeCell ref="DT5:EC5"/>
    <mergeCell ref="BL5:BU5"/>
    <mergeCell ref="H5:H7"/>
    <mergeCell ref="I5:I7"/>
    <mergeCell ref="J5:J7"/>
    <mergeCell ref="K5:K7"/>
    <mergeCell ref="L5:L7"/>
    <mergeCell ref="M5:M7"/>
    <mergeCell ref="N5:W5"/>
    <mergeCell ref="X5:AG5"/>
    <mergeCell ref="AH5:AQ5"/>
    <mergeCell ref="AR5:BA5"/>
    <mergeCell ref="BB5:BK5"/>
    <mergeCell ref="BB6:BB7"/>
    <mergeCell ref="AF6:AG6"/>
    <mergeCell ref="AH6:AH7"/>
    <mergeCell ref="AI6:AJ6"/>
    <mergeCell ref="I2:K2"/>
    <mergeCell ref="A4:R4"/>
    <mergeCell ref="S4:T4"/>
    <mergeCell ref="A5:A7"/>
    <mergeCell ref="B5:B7"/>
    <mergeCell ref="C5:C7"/>
    <mergeCell ref="D5:D7"/>
    <mergeCell ref="E5:E7"/>
    <mergeCell ref="F5:F7"/>
    <mergeCell ref="G5:G7"/>
  </mergeCells>
  <printOptions horizontalCentered="1" verticalCentered="1"/>
  <pageMargins left="0.23622047244094491" right="0.23622047244094491" top="0.74803149606299213" bottom="0.74803149606299213" header="0.31496062992125984" footer="0.31496062992125984"/>
  <pageSetup paperSize="9" scale="63" orientation="landscape" r:id="rId1"/>
  <headerFooter>
    <oddFooter>&amp;R&amp;P</oddFooter>
  </headerFooter>
  <rowBreaks count="2" manualBreakCount="2">
    <brk id="85" max="143" man="1"/>
    <brk id="128" max="143" man="1"/>
  </rowBreaks>
  <colBreaks count="13" manualBreakCount="13">
    <brk id="13" max="210" man="1"/>
    <brk id="23" max="210" man="1"/>
    <brk id="33" max="210" man="1"/>
    <brk id="43" max="210" man="1"/>
    <brk id="53" max="210" man="1"/>
    <brk id="63" max="210" man="1"/>
    <brk id="73" max="210" man="1"/>
    <brk id="83" max="210" man="1"/>
    <brk id="93" max="210" man="1"/>
    <brk id="103" max="210" man="1"/>
    <brk id="113" max="210" man="1"/>
    <brk id="123" max="210" man="1"/>
    <brk id="133" max="210"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1"/>
  <sheetViews>
    <sheetView showGridLines="0" view="pageBreakPreview" topLeftCell="A117" zoomScale="63" zoomScaleNormal="90" zoomScaleSheetLayoutView="70" workbookViewId="0">
      <selection activeCell="C105" sqref="C105"/>
    </sheetView>
  </sheetViews>
  <sheetFormatPr defaultColWidth="9.26953125" defaultRowHeight="14.5"/>
  <cols>
    <col min="1" max="1" width="35.54296875" style="559" customWidth="1"/>
    <col min="2" max="3" width="10.7265625" style="559" customWidth="1"/>
    <col min="4" max="4" width="15.7265625" style="2351" bestFit="1" customWidth="1"/>
    <col min="5" max="5" width="14.7265625" style="2352" customWidth="1"/>
    <col min="6" max="6" width="9.26953125" style="2352" customWidth="1"/>
    <col min="7" max="7" width="15.26953125" style="2352" customWidth="1"/>
    <col min="8" max="10" width="11.7265625" style="2352" customWidth="1"/>
    <col min="11" max="11" width="15.7265625" style="2352" customWidth="1"/>
    <col min="12" max="12" width="12.54296875" style="2352" customWidth="1"/>
    <col min="13" max="13" width="9.54296875" style="559" customWidth="1"/>
    <col min="14" max="14" width="23.453125" style="559" bestFit="1" customWidth="1"/>
    <col min="15" max="16" width="10.453125" style="559" bestFit="1" customWidth="1"/>
    <col min="17" max="16384" width="9.26953125" style="559"/>
  </cols>
  <sheetData>
    <row r="1" spans="1:21" s="2350" customFormat="1">
      <c r="A1" s="1578" t="s">
        <v>2182</v>
      </c>
      <c r="B1" s="2806"/>
      <c r="C1" s="2806"/>
      <c r="D1" s="2349"/>
      <c r="E1" s="2349"/>
      <c r="F1" s="2349"/>
      <c r="G1" s="2349"/>
      <c r="H1" s="2349"/>
      <c r="I1" s="2349"/>
      <c r="J1" s="2349"/>
      <c r="K1" s="2349"/>
      <c r="L1" s="2349"/>
    </row>
    <row r="2" spans="1:21">
      <c r="A2" s="2993" t="s">
        <v>174</v>
      </c>
      <c r="B2" s="2993"/>
      <c r="C2" s="2993"/>
    </row>
    <row r="3" spans="1:21" ht="15" thickBot="1">
      <c r="A3" s="2353" t="s">
        <v>1573</v>
      </c>
      <c r="B3" s="537"/>
      <c r="C3" s="537"/>
      <c r="D3" s="2354"/>
      <c r="E3" s="2354"/>
      <c r="F3" s="2354"/>
      <c r="G3" s="2354"/>
      <c r="H3" s="2354"/>
      <c r="I3" s="2354"/>
      <c r="J3" s="2354"/>
      <c r="K3" s="2354"/>
      <c r="L3" s="2354"/>
    </row>
    <row r="4" spans="1:21" s="2350" customFormat="1">
      <c r="A4" s="1578" t="s">
        <v>2183</v>
      </c>
      <c r="B4" s="2806"/>
      <c r="C4" s="2355"/>
      <c r="D4" s="2349"/>
      <c r="E4" s="2349"/>
      <c r="F4" s="2349"/>
      <c r="G4" s="2349"/>
      <c r="H4" s="2349"/>
      <c r="I4" s="2349"/>
      <c r="J4" s="2349"/>
      <c r="K4" s="2349"/>
      <c r="L4" s="2349"/>
    </row>
    <row r="5" spans="1:21">
      <c r="A5" s="3260" t="s">
        <v>2184</v>
      </c>
      <c r="B5" s="3261" t="s">
        <v>2185</v>
      </c>
      <c r="C5" s="3261" t="s">
        <v>2186</v>
      </c>
      <c r="D5" s="3260" t="s">
        <v>283</v>
      </c>
      <c r="E5" s="3260"/>
      <c r="F5" s="3260"/>
      <c r="G5" s="3260"/>
      <c r="H5" s="3260"/>
      <c r="I5" s="3260"/>
      <c r="J5" s="3260"/>
      <c r="K5" s="3260"/>
      <c r="L5" s="3260"/>
      <c r="N5" s="2356"/>
      <c r="O5" s="2357"/>
      <c r="P5" s="2357"/>
      <c r="Q5" s="2357"/>
      <c r="R5" s="2357"/>
      <c r="S5" s="2357"/>
      <c r="T5" s="2357"/>
    </row>
    <row r="6" spans="1:21" ht="54.75" customHeight="1">
      <c r="A6" s="3260"/>
      <c r="B6" s="3261"/>
      <c r="C6" s="3261"/>
      <c r="D6" s="2358" t="s">
        <v>1628</v>
      </c>
      <c r="E6" s="2359" t="s">
        <v>2187</v>
      </c>
      <c r="F6" s="2359" t="s">
        <v>2188</v>
      </c>
      <c r="G6" s="2359" t="s">
        <v>2189</v>
      </c>
      <c r="H6" s="2359" t="s">
        <v>2190</v>
      </c>
      <c r="I6" s="2359" t="s">
        <v>2191</v>
      </c>
      <c r="J6" s="2359" t="s">
        <v>2192</v>
      </c>
      <c r="K6" s="2359" t="s">
        <v>2193</v>
      </c>
      <c r="L6" s="2359" t="s">
        <v>2194</v>
      </c>
      <c r="M6" s="2360"/>
      <c r="N6" s="2361"/>
      <c r="O6" s="2362"/>
      <c r="P6" s="2362"/>
      <c r="Q6" s="2362"/>
      <c r="R6" s="2362"/>
      <c r="S6" s="2362"/>
      <c r="T6" s="2362"/>
    </row>
    <row r="7" spans="1:21">
      <c r="A7" s="3260"/>
      <c r="B7" s="3261"/>
      <c r="C7" s="3261"/>
      <c r="D7" s="2359"/>
      <c r="E7" s="2359"/>
      <c r="F7" s="2359"/>
      <c r="G7" s="2359"/>
      <c r="H7" s="2359"/>
      <c r="I7" s="2359"/>
      <c r="J7" s="2359"/>
      <c r="K7" s="2359"/>
      <c r="L7" s="2359"/>
      <c r="M7" s="2360"/>
      <c r="N7" s="2361"/>
      <c r="O7" s="2363"/>
      <c r="P7" s="2357"/>
      <c r="Q7" s="2363"/>
      <c r="R7" s="2363"/>
      <c r="S7" s="2363"/>
      <c r="T7" s="2363"/>
      <c r="U7" s="2364"/>
    </row>
    <row r="8" spans="1:21" s="2350" customFormat="1">
      <c r="A8" s="2365"/>
      <c r="B8" s="1225"/>
      <c r="C8" s="1225"/>
      <c r="D8" s="2366"/>
      <c r="E8" s="2366"/>
      <c r="F8" s="2366"/>
      <c r="G8" s="2366"/>
      <c r="H8" s="2366"/>
      <c r="I8" s="2366"/>
      <c r="J8" s="2366"/>
      <c r="K8" s="2366"/>
      <c r="L8" s="2366"/>
      <c r="M8" s="2367"/>
      <c r="N8" s="2368"/>
      <c r="O8" s="2369"/>
      <c r="Q8" s="2369"/>
      <c r="R8" s="2369"/>
      <c r="S8" s="2369"/>
      <c r="T8" s="2369"/>
      <c r="U8" s="2369"/>
    </row>
    <row r="9" spans="1:21" s="2350" customFormat="1">
      <c r="A9" s="2365" t="s">
        <v>1790</v>
      </c>
      <c r="B9" s="2365" t="s">
        <v>1717</v>
      </c>
      <c r="C9" s="1579">
        <v>1</v>
      </c>
      <c r="D9" s="2370">
        <f>VLOOKUP($A9,F13D!$A$10:$AZ$254,44,0)</f>
        <v>3882.2572799999994</v>
      </c>
      <c r="E9" s="2370">
        <f>VLOOKUP(A9,F13D!$A$10:$AZ$237,45,FALSE)</f>
        <v>0</v>
      </c>
      <c r="F9" s="2370">
        <f>IFERROR(E9/D9*10,0)</f>
        <v>0</v>
      </c>
      <c r="G9" s="2370">
        <f>VLOOKUP(A9,F13D!$A$10:$AZ$237,47,FALSE)</f>
        <v>1508.3720380640993</v>
      </c>
      <c r="H9" s="2371">
        <f>IFERROR(G9/D9*10,0)</f>
        <v>3.8852964378087269</v>
      </c>
      <c r="I9" s="2370"/>
      <c r="J9" s="2370"/>
      <c r="K9" s="2370">
        <f>E9+G9</f>
        <v>1508.3720380640993</v>
      </c>
      <c r="L9" s="2372">
        <f>IFERROR(K9/D9*10,0)</f>
        <v>3.8852964378087269</v>
      </c>
      <c r="M9" s="2367"/>
      <c r="N9" s="2373"/>
      <c r="O9" s="2369"/>
      <c r="Q9" s="2369"/>
      <c r="R9" s="2369"/>
      <c r="S9" s="2369"/>
      <c r="T9" s="2369"/>
      <c r="U9" s="2369"/>
    </row>
    <row r="10" spans="1:21" s="2350" customFormat="1">
      <c r="A10" s="2365" t="s">
        <v>2061</v>
      </c>
      <c r="B10" s="2365" t="s">
        <v>1717</v>
      </c>
      <c r="C10" s="1579">
        <v>1</v>
      </c>
      <c r="D10" s="2370">
        <f>VLOOKUP($A10,F13D!$A$10:$AZ$254,44,0)</f>
        <v>0</v>
      </c>
      <c r="E10" s="2370">
        <f>VLOOKUP(A10,F13D!$A$10:$AZ$237,45,FALSE)</f>
        <v>0</v>
      </c>
      <c r="F10" s="2370">
        <f t="shared" ref="F10:F74" si="0">IFERROR(E10/D10*10,0)</f>
        <v>0</v>
      </c>
      <c r="G10" s="2370">
        <f>VLOOKUP(A10,F13D!$A$10:$AZ$237,47,FALSE)</f>
        <v>0</v>
      </c>
      <c r="H10" s="2371">
        <f t="shared" ref="H10:H73" si="1">IFERROR(G10/D10*10,0)</f>
        <v>0</v>
      </c>
      <c r="I10" s="2370"/>
      <c r="J10" s="2370"/>
      <c r="K10" s="2370">
        <f t="shared" ref="K10:K74" si="2">E10+G10</f>
        <v>0</v>
      </c>
      <c r="L10" s="2372">
        <f t="shared" ref="L10:L74" si="3">IFERROR(K10/D10*10,0)</f>
        <v>0</v>
      </c>
      <c r="M10" s="2367"/>
      <c r="N10" s="2373"/>
      <c r="O10" s="2369"/>
      <c r="Q10" s="2369"/>
      <c r="R10" s="2369"/>
      <c r="S10" s="2369"/>
      <c r="T10" s="2369"/>
      <c r="U10" s="2369"/>
    </row>
    <row r="11" spans="1:21" s="2350" customFormat="1">
      <c r="A11" s="2365" t="s">
        <v>1792</v>
      </c>
      <c r="B11" s="2365" t="s">
        <v>1717</v>
      </c>
      <c r="C11" s="1579">
        <v>1</v>
      </c>
      <c r="D11" s="2370">
        <f>VLOOKUP($A11,F13D!$A$10:$AZ$254,44,0)</f>
        <v>0</v>
      </c>
      <c r="E11" s="2370">
        <f>VLOOKUP(A11,F13D!$A$10:$AZ$237,45,FALSE)</f>
        <v>0</v>
      </c>
      <c r="F11" s="2370">
        <f t="shared" si="0"/>
        <v>0</v>
      </c>
      <c r="G11" s="2370">
        <f>VLOOKUP(A11,F13D!$A$10:$AZ$237,47,FALSE)</f>
        <v>0</v>
      </c>
      <c r="H11" s="2371">
        <f t="shared" si="1"/>
        <v>0</v>
      </c>
      <c r="I11" s="2370"/>
      <c r="J11" s="2370"/>
      <c r="K11" s="2370">
        <f t="shared" si="2"/>
        <v>0</v>
      </c>
      <c r="L11" s="2372">
        <f t="shared" si="3"/>
        <v>0</v>
      </c>
      <c r="M11" s="2367"/>
      <c r="N11" s="2373"/>
      <c r="O11" s="2369"/>
      <c r="Q11" s="2369"/>
      <c r="R11" s="2369"/>
      <c r="S11" s="2369"/>
      <c r="T11" s="2369"/>
      <c r="U11" s="2369"/>
    </row>
    <row r="12" spans="1:21" s="2350" customFormat="1">
      <c r="A12" s="2365" t="s">
        <v>1793</v>
      </c>
      <c r="B12" s="2365" t="s">
        <v>1717</v>
      </c>
      <c r="C12" s="1579">
        <v>1</v>
      </c>
      <c r="D12" s="2370">
        <f>VLOOKUP($A12,F13D!$A$10:$AZ$254,44,0)</f>
        <v>720.0040612430771</v>
      </c>
      <c r="E12" s="2370">
        <f>VLOOKUP(A12,F13D!$A$10:$AZ$237,45,FALSE)</f>
        <v>0</v>
      </c>
      <c r="F12" s="2370">
        <f t="shared" si="0"/>
        <v>0</v>
      </c>
      <c r="G12" s="2370">
        <f>VLOOKUP(A12,F13D!$A$10:$AZ$237,47,FALSE)</f>
        <v>216.00121837292312</v>
      </c>
      <c r="H12" s="2371">
        <f t="shared" si="1"/>
        <v>3</v>
      </c>
      <c r="I12" s="2370"/>
      <c r="J12" s="2370"/>
      <c r="K12" s="2370">
        <f t="shared" si="2"/>
        <v>216.00121837292312</v>
      </c>
      <c r="L12" s="2372">
        <f t="shared" si="3"/>
        <v>3</v>
      </c>
      <c r="M12" s="2367"/>
      <c r="N12" s="2373"/>
      <c r="O12" s="2369"/>
      <c r="Q12" s="2369"/>
      <c r="R12" s="2369"/>
      <c r="S12" s="2369"/>
      <c r="T12" s="2369"/>
      <c r="U12" s="2369"/>
    </row>
    <row r="13" spans="1:21" s="2350" customFormat="1">
      <c r="A13" s="2365" t="s">
        <v>1794</v>
      </c>
      <c r="B13" s="2365" t="s">
        <v>1717</v>
      </c>
      <c r="C13" s="1579">
        <v>1</v>
      </c>
      <c r="D13" s="2370">
        <f>VLOOKUP($A13,F13D!$A$10:$AZ$254,44,0)</f>
        <v>253.05704270769232</v>
      </c>
      <c r="E13" s="2370">
        <f>VLOOKUP(A13,F13D!$A$10:$AZ$237,45,FALSE)</f>
        <v>0</v>
      </c>
      <c r="F13" s="2370">
        <f t="shared" si="0"/>
        <v>0</v>
      </c>
      <c r="G13" s="2370">
        <f>VLOOKUP(A13,F13D!$A$10:$AZ$237,47,FALSE)</f>
        <v>75.917112812307693</v>
      </c>
      <c r="H13" s="2371">
        <f t="shared" si="1"/>
        <v>3</v>
      </c>
      <c r="I13" s="2370"/>
      <c r="J13" s="2370"/>
      <c r="K13" s="2370">
        <f t="shared" si="2"/>
        <v>75.917112812307693</v>
      </c>
      <c r="L13" s="2372">
        <f t="shared" si="3"/>
        <v>3</v>
      </c>
      <c r="M13" s="2367"/>
      <c r="N13" s="2373"/>
      <c r="O13" s="2369"/>
      <c r="Q13" s="2369"/>
      <c r="R13" s="2369"/>
      <c r="S13" s="2369"/>
      <c r="T13" s="2369"/>
      <c r="U13" s="2369"/>
    </row>
    <row r="14" spans="1:21" s="2350" customFormat="1">
      <c r="A14" s="2365" t="s">
        <v>1799</v>
      </c>
      <c r="B14" s="2365" t="s">
        <v>1717</v>
      </c>
      <c r="C14" s="1579">
        <v>1</v>
      </c>
      <c r="D14" s="2370">
        <f>VLOOKUP($A14,F13D!$A$10:$AZ$254,44,0)</f>
        <v>1403.2973891004049</v>
      </c>
      <c r="E14" s="2370">
        <f>VLOOKUP(A14,F13D!$A$10:$AZ$237,45,FALSE)</f>
        <v>0</v>
      </c>
      <c r="F14" s="2370">
        <f t="shared" si="0"/>
        <v>0</v>
      </c>
      <c r="G14" s="2370">
        <f>VLOOKUP(A14,F13D!$A$10:$AZ$237,47,FALSE)</f>
        <v>466.61613109030679</v>
      </c>
      <c r="H14" s="2371">
        <f t="shared" si="1"/>
        <v>3.3251407343487953</v>
      </c>
      <c r="I14" s="2370"/>
      <c r="J14" s="2370"/>
      <c r="K14" s="2370">
        <f t="shared" si="2"/>
        <v>466.61613109030679</v>
      </c>
      <c r="L14" s="2372">
        <f t="shared" si="3"/>
        <v>3.3251407343487953</v>
      </c>
      <c r="M14" s="2367"/>
      <c r="N14" s="2373"/>
      <c r="O14" s="2369"/>
      <c r="Q14" s="2369"/>
      <c r="R14" s="2369"/>
      <c r="S14" s="2369"/>
      <c r="T14" s="2369"/>
      <c r="U14" s="2369"/>
    </row>
    <row r="15" spans="1:21" s="2350" customFormat="1">
      <c r="A15" s="2365" t="s">
        <v>2094</v>
      </c>
      <c r="B15" s="2365" t="s">
        <v>1717</v>
      </c>
      <c r="C15" s="1579">
        <v>1</v>
      </c>
      <c r="D15" s="2370">
        <f>VLOOKUP($A15,F13D!$A$10:$AZ$254,44,0)</f>
        <v>0</v>
      </c>
      <c r="E15" s="2370">
        <f>VLOOKUP(A15,F13D!$A$10:$AZ$237,45,FALSE)</f>
        <v>0</v>
      </c>
      <c r="F15" s="2370">
        <f t="shared" si="0"/>
        <v>0</v>
      </c>
      <c r="G15" s="2370">
        <f>VLOOKUP(A15,F13D!$A$10:$AZ$237,47,FALSE)</f>
        <v>0</v>
      </c>
      <c r="H15" s="2371">
        <f t="shared" si="1"/>
        <v>0</v>
      </c>
      <c r="I15" s="2370"/>
      <c r="J15" s="2370"/>
      <c r="K15" s="2370">
        <f t="shared" si="2"/>
        <v>0</v>
      </c>
      <c r="L15" s="2372">
        <f t="shared" si="3"/>
        <v>0</v>
      </c>
      <c r="M15" s="2367"/>
      <c r="N15" s="2373"/>
      <c r="O15" s="2369"/>
      <c r="Q15" s="2369"/>
      <c r="R15" s="2369"/>
      <c r="S15" s="2369"/>
      <c r="T15" s="2369"/>
      <c r="U15" s="2369"/>
    </row>
    <row r="16" spans="1:21" s="2350" customFormat="1">
      <c r="A16" s="2365" t="s">
        <v>1800</v>
      </c>
      <c r="B16" s="2365" t="s">
        <v>1717</v>
      </c>
      <c r="C16" s="1579">
        <v>1</v>
      </c>
      <c r="D16" s="2370">
        <f>VLOOKUP($A16,F13D!$A$10:$AZ$254,44,0)</f>
        <v>0</v>
      </c>
      <c r="E16" s="2370">
        <f>VLOOKUP(A16,F13D!$A$10:$AZ$237,45,FALSE)</f>
        <v>0</v>
      </c>
      <c r="F16" s="2370">
        <f t="shared" si="0"/>
        <v>0</v>
      </c>
      <c r="G16" s="2370">
        <f>VLOOKUP(A16,F13D!$A$10:$AZ$237,47,FALSE)</f>
        <v>0</v>
      </c>
      <c r="H16" s="2371">
        <f t="shared" si="1"/>
        <v>0</v>
      </c>
      <c r="I16" s="2370"/>
      <c r="J16" s="2370"/>
      <c r="K16" s="2370">
        <f t="shared" si="2"/>
        <v>0</v>
      </c>
      <c r="L16" s="2372">
        <f t="shared" si="3"/>
        <v>0</v>
      </c>
      <c r="M16" s="2367"/>
      <c r="N16" s="2373"/>
      <c r="O16" s="2369"/>
      <c r="Q16" s="2369"/>
      <c r="R16" s="2369"/>
      <c r="S16" s="2369"/>
      <c r="T16" s="2369"/>
      <c r="U16" s="2369"/>
    </row>
    <row r="17" spans="1:21" s="2350" customFormat="1">
      <c r="A17" s="2365" t="s">
        <v>1801</v>
      </c>
      <c r="B17" s="2365" t="s">
        <v>1717</v>
      </c>
      <c r="C17" s="1579">
        <v>1</v>
      </c>
      <c r="D17" s="2370">
        <f>VLOOKUP($A17,F13D!$A$10:$AZ$254,44,0)</f>
        <v>1775.0100120923073</v>
      </c>
      <c r="E17" s="2370">
        <f>VLOOKUP(A17,F13D!$A$10:$AZ$237,45,FALSE)</f>
        <v>0</v>
      </c>
      <c r="F17" s="2370">
        <f t="shared" si="0"/>
        <v>0</v>
      </c>
      <c r="G17" s="2370">
        <f>VLOOKUP(A17,F13D!$A$10:$AZ$237,47,FALSE)</f>
        <v>590.21580950850796</v>
      </c>
      <c r="H17" s="2371">
        <f t="shared" si="1"/>
        <v>3.3251407343487962</v>
      </c>
      <c r="I17" s="2370"/>
      <c r="J17" s="2370"/>
      <c r="K17" s="2370">
        <f t="shared" si="2"/>
        <v>590.21580950850796</v>
      </c>
      <c r="L17" s="2372">
        <f t="shared" si="3"/>
        <v>3.3251407343487962</v>
      </c>
      <c r="M17" s="2367"/>
      <c r="N17" s="2373"/>
      <c r="O17" s="2369"/>
      <c r="Q17" s="2369"/>
      <c r="R17" s="2369"/>
      <c r="S17" s="2369"/>
      <c r="T17" s="2369"/>
      <c r="U17" s="2369"/>
    </row>
    <row r="18" spans="1:21" s="2350" customFormat="1">
      <c r="A18" s="2365" t="s">
        <v>2062</v>
      </c>
      <c r="B18" s="2365" t="s">
        <v>1717</v>
      </c>
      <c r="C18" s="1579">
        <v>1</v>
      </c>
      <c r="D18" s="2370">
        <f>VLOOKUP($A18,F13D!$A$10:$AZ$254,44,0)</f>
        <v>1509.5499403238866</v>
      </c>
      <c r="E18" s="2370">
        <f>VLOOKUP(A18,F13D!$A$10:$AZ$237,45,FALSE)</f>
        <v>0</v>
      </c>
      <c r="F18" s="2370">
        <f>IFERROR(E18/D18*10,0)</f>
        <v>0</v>
      </c>
      <c r="G18" s="2370">
        <f>VLOOKUP(A18,F13D!$A$10:$AZ$237,47,FALSE)</f>
        <v>501.94659971047497</v>
      </c>
      <c r="H18" s="2371">
        <f>IFERROR(G18/D18*10,0)</f>
        <v>3.3251407343487962</v>
      </c>
      <c r="I18" s="2370"/>
      <c r="J18" s="2370"/>
      <c r="K18" s="2370">
        <f>E18+G18</f>
        <v>501.94659971047497</v>
      </c>
      <c r="L18" s="2372">
        <f>IFERROR(K18/D18*10,0)</f>
        <v>3.3251407343487962</v>
      </c>
      <c r="M18" s="2367"/>
      <c r="N18" s="2373"/>
      <c r="O18" s="2369"/>
      <c r="Q18" s="2369"/>
      <c r="R18" s="2369"/>
      <c r="S18" s="2369"/>
      <c r="T18" s="2369"/>
      <c r="U18" s="2369"/>
    </row>
    <row r="19" spans="1:21" s="2350" customFormat="1">
      <c r="A19" s="2365" t="s">
        <v>1802</v>
      </c>
      <c r="B19" s="2365" t="s">
        <v>1717</v>
      </c>
      <c r="C19" s="1579">
        <v>2</v>
      </c>
      <c r="D19" s="2370">
        <f>VLOOKUP($A19,F13D!$A$10:$AZ$254,44,0)</f>
        <v>146.73000000000002</v>
      </c>
      <c r="E19" s="2370">
        <f>VLOOKUP(A19,F13D!$A$10:$AZ$237,45,FALSE)</f>
        <v>0</v>
      </c>
      <c r="F19" s="2370">
        <f t="shared" si="0"/>
        <v>0</v>
      </c>
      <c r="G19" s="2370">
        <f>VLOOKUP(A19,F13D!$A$10:$AZ$237,47,FALSE)</f>
        <v>95.449054557108695</v>
      </c>
      <c r="H19" s="2371">
        <f t="shared" si="1"/>
        <v>6.5050810711585001</v>
      </c>
      <c r="I19" s="2370"/>
      <c r="J19" s="2370"/>
      <c r="K19" s="2370">
        <f t="shared" si="2"/>
        <v>95.449054557108695</v>
      </c>
      <c r="L19" s="2372">
        <f t="shared" si="3"/>
        <v>6.5050810711585001</v>
      </c>
      <c r="M19" s="2367"/>
      <c r="N19" s="2373"/>
      <c r="O19" s="2369"/>
      <c r="Q19" s="2369"/>
      <c r="R19" s="2369"/>
      <c r="S19" s="2369"/>
      <c r="T19" s="2369"/>
      <c r="U19" s="2369"/>
    </row>
    <row r="20" spans="1:21" s="2350" customFormat="1">
      <c r="A20" s="2365" t="s">
        <v>1803</v>
      </c>
      <c r="B20" s="2365" t="s">
        <v>1717</v>
      </c>
      <c r="C20" s="1579">
        <v>2</v>
      </c>
      <c r="D20" s="2370">
        <f>VLOOKUP($A20,F13D!$A$10:$AZ$254,44,0)</f>
        <v>0</v>
      </c>
      <c r="E20" s="2370">
        <f>VLOOKUP(A20,F13D!$A$10:$AZ$237,45,FALSE)</f>
        <v>0</v>
      </c>
      <c r="F20" s="2370">
        <f t="shared" si="0"/>
        <v>0</v>
      </c>
      <c r="G20" s="2370">
        <f>VLOOKUP(A20,F13D!$A$10:$AZ$237,47,FALSE)</f>
        <v>0</v>
      </c>
      <c r="H20" s="2371">
        <f t="shared" si="1"/>
        <v>0</v>
      </c>
      <c r="I20" s="2370"/>
      <c r="J20" s="2370"/>
      <c r="K20" s="2370">
        <f t="shared" si="2"/>
        <v>0</v>
      </c>
      <c r="L20" s="2372">
        <f t="shared" si="3"/>
        <v>0</v>
      </c>
      <c r="M20" s="2367"/>
      <c r="N20" s="2373"/>
      <c r="O20" s="2369"/>
      <c r="Q20" s="2369"/>
      <c r="R20" s="2369"/>
      <c r="S20" s="2369"/>
      <c r="T20" s="2369"/>
      <c r="U20" s="2369"/>
    </row>
    <row r="21" spans="1:21" s="2350" customFormat="1">
      <c r="A21" s="2365" t="s">
        <v>2063</v>
      </c>
      <c r="B21" s="2365" t="s">
        <v>1717</v>
      </c>
      <c r="C21" s="1579">
        <v>2</v>
      </c>
      <c r="D21" s="2370">
        <f>VLOOKUP($A21,F13D!$A$10:$AZ$254,44,0)</f>
        <v>193.815</v>
      </c>
      <c r="E21" s="2370">
        <f>VLOOKUP(A21,F13D!$A$10:$AZ$237,45,FALSE)</f>
        <v>0</v>
      </c>
      <c r="F21" s="2370">
        <f t="shared" si="0"/>
        <v>0</v>
      </c>
      <c r="G21" s="2370">
        <f>VLOOKUP(A21,F13D!$A$10:$AZ$237,47,FALSE)</f>
        <v>147.49321500000002</v>
      </c>
      <c r="H21" s="2371">
        <f t="shared" si="1"/>
        <v>7.6100000000000012</v>
      </c>
      <c r="I21" s="2370"/>
      <c r="J21" s="2370"/>
      <c r="K21" s="2370">
        <f t="shared" si="2"/>
        <v>147.49321500000002</v>
      </c>
      <c r="L21" s="2372">
        <f t="shared" si="3"/>
        <v>7.6100000000000012</v>
      </c>
      <c r="M21" s="2367"/>
      <c r="N21" s="2373"/>
      <c r="O21" s="2369"/>
      <c r="Q21" s="2369"/>
      <c r="R21" s="2369"/>
      <c r="S21" s="2369"/>
      <c r="T21" s="2369"/>
      <c r="U21" s="2369"/>
    </row>
    <row r="22" spans="1:21" s="2350" customFormat="1">
      <c r="A22" s="2365" t="s">
        <v>1716</v>
      </c>
      <c r="B22" s="2365" t="s">
        <v>1717</v>
      </c>
      <c r="C22" s="1579">
        <v>1</v>
      </c>
      <c r="D22" s="2370">
        <f>VLOOKUP($A22,F13D!$A$10:$AZ$254,44,0)</f>
        <v>5.6572429086021518</v>
      </c>
      <c r="E22" s="2370">
        <f>VLOOKUP(A22,F13D!$A$10:$AZ$237,45,FALSE)</f>
        <v>0</v>
      </c>
      <c r="F22" s="2370">
        <f t="shared" si="0"/>
        <v>0</v>
      </c>
      <c r="G22" s="2370">
        <f>VLOOKUP(A22,F13D!$A$10:$AZ$237,47,FALSE)</f>
        <v>1.3563167491116879</v>
      </c>
      <c r="H22" s="2371">
        <f t="shared" si="1"/>
        <v>2.3974872053829137</v>
      </c>
      <c r="I22" s="2370"/>
      <c r="J22" s="2370"/>
      <c r="K22" s="2370">
        <f t="shared" si="2"/>
        <v>1.3563167491116879</v>
      </c>
      <c r="L22" s="2372">
        <f t="shared" si="3"/>
        <v>2.3974872053829137</v>
      </c>
      <c r="M22" s="2367"/>
      <c r="N22" s="2373"/>
      <c r="O22" s="2369"/>
      <c r="Q22" s="2369"/>
      <c r="R22" s="2369"/>
      <c r="S22" s="2369"/>
      <c r="T22" s="2369"/>
      <c r="U22" s="2369"/>
    </row>
    <row r="23" spans="1:21" s="2350" customFormat="1">
      <c r="A23" s="2365" t="s">
        <v>1718</v>
      </c>
      <c r="B23" s="2365" t="s">
        <v>1717</v>
      </c>
      <c r="C23" s="1579">
        <v>2</v>
      </c>
      <c r="D23" s="2370">
        <f>VLOOKUP($A23,F13D!$A$10:$AZ$254,44,0)</f>
        <v>1119.9760653854837</v>
      </c>
      <c r="E23" s="2370">
        <f>VLOOKUP(A23,F13D!$A$10:$AZ$237,45,FALSE)</f>
        <v>0</v>
      </c>
      <c r="F23" s="2370">
        <f t="shared" si="0"/>
        <v>0</v>
      </c>
      <c r="G23" s="2370">
        <f>VLOOKUP(A23,F13D!$A$10:$AZ$237,47,FALSE)</f>
        <v>352.67967443829309</v>
      </c>
      <c r="H23" s="2371">
        <f t="shared" si="1"/>
        <v>3.1489929592102897</v>
      </c>
      <c r="I23" s="2370"/>
      <c r="J23" s="2370"/>
      <c r="K23" s="2370">
        <f t="shared" si="2"/>
        <v>352.67967443829309</v>
      </c>
      <c r="L23" s="2372">
        <f t="shared" si="3"/>
        <v>3.1489929592102897</v>
      </c>
      <c r="M23" s="2367"/>
      <c r="N23" s="2373"/>
      <c r="O23" s="2369"/>
      <c r="Q23" s="2369"/>
      <c r="R23" s="2369"/>
      <c r="S23" s="2369"/>
      <c r="T23" s="2369"/>
      <c r="U23" s="2369"/>
    </row>
    <row r="24" spans="1:21" s="2350" customFormat="1">
      <c r="A24" s="2365" t="s">
        <v>1719</v>
      </c>
      <c r="B24" s="2365" t="s">
        <v>1717</v>
      </c>
      <c r="C24" s="1579">
        <v>1</v>
      </c>
      <c r="D24" s="2370">
        <f>VLOOKUP($A24,F13D!$A$10:$AZ$254,44,0)</f>
        <v>21.534052639784946</v>
      </c>
      <c r="E24" s="2370">
        <f>VLOOKUP(A24,F13D!$A$10:$AZ$237,45,FALSE)</f>
        <v>0</v>
      </c>
      <c r="F24" s="2370">
        <f t="shared" si="0"/>
        <v>0</v>
      </c>
      <c r="G24" s="2370">
        <f>VLOOKUP(A24,F13D!$A$10:$AZ$237,47,FALSE)</f>
        <v>6.3579354407232058</v>
      </c>
      <c r="H24" s="2371">
        <f t="shared" si="1"/>
        <v>2.9525029714920863</v>
      </c>
      <c r="I24" s="2370"/>
      <c r="J24" s="2370"/>
      <c r="K24" s="2370">
        <f t="shared" si="2"/>
        <v>6.3579354407232058</v>
      </c>
      <c r="L24" s="2372">
        <f t="shared" si="3"/>
        <v>2.9525029714920863</v>
      </c>
      <c r="M24" s="2367"/>
      <c r="N24" s="2373"/>
      <c r="O24" s="2369"/>
      <c r="Q24" s="2369"/>
      <c r="R24" s="2369"/>
      <c r="S24" s="2369"/>
      <c r="T24" s="2369"/>
      <c r="U24" s="2369"/>
    </row>
    <row r="25" spans="1:21" s="2350" customFormat="1">
      <c r="A25" s="2365" t="s">
        <v>1720</v>
      </c>
      <c r="B25" s="2365" t="s">
        <v>1717</v>
      </c>
      <c r="C25" s="1579">
        <v>1</v>
      </c>
      <c r="D25" s="2370">
        <f>VLOOKUP($A25,F13D!$A$10:$AZ$254,44,0)</f>
        <v>520.65276701612902</v>
      </c>
      <c r="E25" s="2370">
        <f>VLOOKUP(A25,F13D!$A$10:$AZ$237,45,FALSE)</f>
        <v>0</v>
      </c>
      <c r="F25" s="2370">
        <f t="shared" si="0"/>
        <v>0</v>
      </c>
      <c r="G25" s="2370">
        <f>VLOOKUP(A25,F13D!$A$10:$AZ$237,47,FALSE)</f>
        <v>177.9253227112269</v>
      </c>
      <c r="H25" s="2371">
        <f t="shared" si="1"/>
        <v>3.4173509483281981</v>
      </c>
      <c r="I25" s="2370"/>
      <c r="J25" s="2370"/>
      <c r="K25" s="2370">
        <f t="shared" si="2"/>
        <v>177.9253227112269</v>
      </c>
      <c r="L25" s="2372">
        <f t="shared" si="3"/>
        <v>3.4173509483281981</v>
      </c>
      <c r="M25" s="2367"/>
      <c r="N25" s="2373"/>
      <c r="O25" s="2369"/>
      <c r="Q25" s="2369"/>
      <c r="R25" s="2369"/>
      <c r="S25" s="2369"/>
      <c r="T25" s="2369"/>
      <c r="U25" s="2369"/>
    </row>
    <row r="26" spans="1:21" s="2350" customFormat="1">
      <c r="A26" s="2365" t="s">
        <v>1721</v>
      </c>
      <c r="B26" s="2365" t="s">
        <v>1717</v>
      </c>
      <c r="C26" s="1579">
        <v>1</v>
      </c>
      <c r="D26" s="2370">
        <f>VLOOKUP($A26,F13D!$A$10:$AZ$254,44,0)</f>
        <v>680.53251599999999</v>
      </c>
      <c r="E26" s="2370">
        <f>VLOOKUP(A26,F13D!$A$10:$AZ$237,45,FALSE)</f>
        <v>0</v>
      </c>
      <c r="F26" s="2370">
        <f t="shared" si="0"/>
        <v>0</v>
      </c>
      <c r="G26" s="2370">
        <f>VLOOKUP(A26,F13D!$A$10:$AZ$237,47,FALSE)</f>
        <v>272.74742558304956</v>
      </c>
      <c r="H26" s="2371">
        <f t="shared" si="1"/>
        <v>4.0078529558909359</v>
      </c>
      <c r="I26" s="2370"/>
      <c r="J26" s="2370"/>
      <c r="K26" s="2370">
        <f t="shared" si="2"/>
        <v>272.74742558304956</v>
      </c>
      <c r="L26" s="2372">
        <f t="shared" si="3"/>
        <v>4.0078529558909359</v>
      </c>
      <c r="M26" s="2367"/>
      <c r="N26" s="2373"/>
      <c r="O26" s="2369"/>
      <c r="Q26" s="2369"/>
      <c r="R26" s="2369"/>
      <c r="S26" s="2369"/>
      <c r="T26" s="2369"/>
      <c r="U26" s="2369"/>
    </row>
    <row r="27" spans="1:21" s="2350" customFormat="1">
      <c r="A27" s="2365" t="s">
        <v>1786</v>
      </c>
      <c r="B27" s="2365" t="s">
        <v>1717</v>
      </c>
      <c r="C27" s="1579">
        <v>2</v>
      </c>
      <c r="D27" s="2370">
        <f>VLOOKUP($A27,F13D!$A$10:$AZ$254,44,0)</f>
        <v>3934.1422799999991</v>
      </c>
      <c r="E27" s="2370">
        <f>VLOOKUP(A27,F13D!$A$10:$AZ$237,45,FALSE)</f>
        <v>0</v>
      </c>
      <c r="F27" s="2370">
        <f t="shared" si="0"/>
        <v>0</v>
      </c>
      <c r="G27" s="2370">
        <f>VLOOKUP(A27,F13D!$A$10:$AZ$237,47,FALSE)</f>
        <v>1261.542686237904</v>
      </c>
      <c r="H27" s="2371">
        <f t="shared" si="1"/>
        <v>3.2066524198964768</v>
      </c>
      <c r="I27" s="2370"/>
      <c r="J27" s="2370"/>
      <c r="K27" s="2370">
        <f t="shared" si="2"/>
        <v>1261.542686237904</v>
      </c>
      <c r="L27" s="2372">
        <f t="shared" si="3"/>
        <v>3.2066524198964768</v>
      </c>
      <c r="M27" s="2367"/>
      <c r="N27" s="2373"/>
      <c r="O27" s="2369"/>
      <c r="Q27" s="2369"/>
      <c r="R27" s="2369"/>
      <c r="S27" s="2369"/>
      <c r="T27" s="2369"/>
      <c r="U27" s="2369"/>
    </row>
    <row r="28" spans="1:21" s="2350" customFormat="1">
      <c r="A28" s="2365" t="s">
        <v>1787</v>
      </c>
      <c r="B28" s="2365" t="s">
        <v>1717</v>
      </c>
      <c r="C28" s="1579">
        <v>2</v>
      </c>
      <c r="D28" s="2370">
        <f>VLOOKUP($A28,F13D!$A$10:$AZ$254,44,0)</f>
        <v>0</v>
      </c>
      <c r="E28" s="2370">
        <f>VLOOKUP(A28,F13D!$A$10:$AZ$237,45,FALSE)</f>
        <v>0</v>
      </c>
      <c r="F28" s="2370">
        <f t="shared" si="0"/>
        <v>0</v>
      </c>
      <c r="G28" s="2370">
        <f>VLOOKUP(A28,F13D!$A$10:$AZ$237,47,FALSE)</f>
        <v>0</v>
      </c>
      <c r="H28" s="2371">
        <f t="shared" si="1"/>
        <v>0</v>
      </c>
      <c r="I28" s="2370"/>
      <c r="J28" s="2370"/>
      <c r="K28" s="2370">
        <f t="shared" si="2"/>
        <v>0</v>
      </c>
      <c r="L28" s="2372">
        <f t="shared" si="3"/>
        <v>0</v>
      </c>
      <c r="M28" s="2367"/>
      <c r="N28" s="2373"/>
      <c r="O28" s="2369"/>
      <c r="Q28" s="2369"/>
      <c r="R28" s="2369"/>
      <c r="S28" s="2369"/>
      <c r="T28" s="2369"/>
      <c r="U28" s="2369"/>
    </row>
    <row r="29" spans="1:21" s="2350" customFormat="1">
      <c r="A29" s="2365" t="s">
        <v>1666</v>
      </c>
      <c r="B29" s="2365" t="s">
        <v>1717</v>
      </c>
      <c r="C29" s="1579">
        <v>2</v>
      </c>
      <c r="D29" s="2370">
        <f>VLOOKUP($A29,F13D!$A$10:$AZ$254,44,0)</f>
        <v>537.16551639569889</v>
      </c>
      <c r="E29" s="2370">
        <f>VLOOKUP(A29,F13D!$A$10:$AZ$237,45,FALSE)</f>
        <v>18.100556534182498</v>
      </c>
      <c r="F29" s="2370">
        <f t="shared" si="0"/>
        <v>0.33696423135339276</v>
      </c>
      <c r="G29" s="2370">
        <f>VLOOKUP(A29,F13D!$A$10:$AZ$237,47,FALSE)</f>
        <v>65.680284568002492</v>
      </c>
      <c r="H29" s="2371">
        <f t="shared" si="1"/>
        <v>1.2227196750958156</v>
      </c>
      <c r="I29" s="2370"/>
      <c r="J29" s="2370"/>
      <c r="K29" s="2370">
        <f t="shared" si="2"/>
        <v>83.780841102184993</v>
      </c>
      <c r="L29" s="2372">
        <f t="shared" si="3"/>
        <v>1.5596839064492085</v>
      </c>
      <c r="M29" s="2367"/>
      <c r="N29" s="2373"/>
      <c r="O29" s="2367"/>
      <c r="Q29" s="2369"/>
      <c r="R29" s="2369"/>
      <c r="S29" s="2369"/>
      <c r="T29" s="2369"/>
      <c r="U29" s="2369"/>
    </row>
    <row r="30" spans="1:21" s="2350" customFormat="1">
      <c r="A30" s="2365" t="s">
        <v>1668</v>
      </c>
      <c r="B30" s="2365" t="s">
        <v>1717</v>
      </c>
      <c r="C30" s="1579">
        <v>2</v>
      </c>
      <c r="D30" s="2370">
        <f>VLOOKUP($A30,F13D!$A$10:$AZ$254,44,0)</f>
        <v>268.49688302961289</v>
      </c>
      <c r="E30" s="2370">
        <f>VLOOKUP(A30,F13D!$A$10:$AZ$237,45,FALSE)</f>
        <v>9.6613520013675007</v>
      </c>
      <c r="F30" s="2370">
        <f t="shared" si="0"/>
        <v>0.35983106739834803</v>
      </c>
      <c r="G30" s="2370">
        <f>VLOOKUP(A30,F13D!$A$10:$AZ$237,47,FALSE)</f>
        <v>21.673743512369782</v>
      </c>
      <c r="H30" s="2371">
        <f t="shared" si="1"/>
        <v>0.8072251442106817</v>
      </c>
      <c r="I30" s="2370"/>
      <c r="J30" s="2370"/>
      <c r="K30" s="2370">
        <f t="shared" si="2"/>
        <v>31.335095513737283</v>
      </c>
      <c r="L30" s="2372">
        <f t="shared" si="3"/>
        <v>1.1670562116090297</v>
      </c>
      <c r="M30" s="2367"/>
      <c r="N30" s="2373"/>
      <c r="O30" s="2369"/>
      <c r="Q30" s="2369"/>
      <c r="R30" s="2369"/>
      <c r="S30" s="2369"/>
      <c r="T30" s="2369"/>
      <c r="U30" s="2369"/>
    </row>
    <row r="31" spans="1:21" s="2350" customFormat="1">
      <c r="A31" s="2365" t="s">
        <v>1669</v>
      </c>
      <c r="B31" s="2365" t="s">
        <v>1717</v>
      </c>
      <c r="C31" s="1579">
        <v>2</v>
      </c>
      <c r="D31" s="2370">
        <f>VLOOKUP($A31,F13D!$A$10:$AZ$254,44,0)</f>
        <v>61.694416131182791</v>
      </c>
      <c r="E31" s="2370">
        <f>VLOOKUP(A31,F13D!$A$10:$AZ$237,45,FALSE)</f>
        <v>3.0477828688649997</v>
      </c>
      <c r="F31" s="2370">
        <f t="shared" si="0"/>
        <v>0.49401275836445269</v>
      </c>
      <c r="G31" s="2370">
        <f>VLOOKUP(A31,F13D!$A$10:$AZ$237,47,FALSE)</f>
        <v>5.0744030037242016</v>
      </c>
      <c r="H31" s="2371">
        <f t="shared" si="1"/>
        <v>0.82250604218935108</v>
      </c>
      <c r="I31" s="2370"/>
      <c r="J31" s="2370"/>
      <c r="K31" s="2370">
        <f t="shared" si="2"/>
        <v>8.1221858725892009</v>
      </c>
      <c r="L31" s="2372">
        <f t="shared" si="3"/>
        <v>1.3165188005538035</v>
      </c>
      <c r="M31" s="2367"/>
      <c r="N31" s="2373"/>
      <c r="O31" s="2369"/>
      <c r="Q31" s="2369"/>
      <c r="R31" s="2369"/>
      <c r="S31" s="2369"/>
      <c r="T31" s="2369"/>
      <c r="U31" s="2369"/>
    </row>
    <row r="32" spans="1:21" s="2350" customFormat="1">
      <c r="A32" s="2365" t="s">
        <v>1670</v>
      </c>
      <c r="B32" s="2365" t="s">
        <v>1717</v>
      </c>
      <c r="C32" s="1579">
        <v>2</v>
      </c>
      <c r="D32" s="2370">
        <f>VLOOKUP($A32,F13D!$A$10:$AZ$254,44,0)</f>
        <v>257.84445449892473</v>
      </c>
      <c r="E32" s="2370">
        <f>VLOOKUP(A32,F13D!$A$10:$AZ$237,45,FALSE)</f>
        <v>13.5564697234575</v>
      </c>
      <c r="F32" s="2370">
        <f t="shared" si="0"/>
        <v>0.52576153905664214</v>
      </c>
      <c r="G32" s="2370">
        <f>VLOOKUP(A32,F13D!$A$10:$AZ$237,47,FALSE)</f>
        <v>12.998497536623105</v>
      </c>
      <c r="H32" s="2371">
        <f t="shared" si="1"/>
        <v>0.50412166365506661</v>
      </c>
      <c r="I32" s="2370"/>
      <c r="J32" s="2370"/>
      <c r="K32" s="2370">
        <f t="shared" si="2"/>
        <v>26.554967260080605</v>
      </c>
      <c r="L32" s="2372">
        <f t="shared" si="3"/>
        <v>1.0298832027117086</v>
      </c>
      <c r="M32" s="2367"/>
      <c r="N32" s="2373"/>
      <c r="O32" s="2369"/>
      <c r="Q32" s="2369"/>
      <c r="R32" s="2369"/>
      <c r="S32" s="2369"/>
      <c r="T32" s="2369"/>
      <c r="U32" s="2369"/>
    </row>
    <row r="33" spans="1:21" s="2350" customFormat="1">
      <c r="A33" s="2365" t="s">
        <v>1671</v>
      </c>
      <c r="B33" s="2365" t="s">
        <v>1717</v>
      </c>
      <c r="C33" s="1579">
        <v>2</v>
      </c>
      <c r="D33" s="2370">
        <f>VLOOKUP($A33,F13D!$A$10:$AZ$254,44,0)</f>
        <v>24.00201555333334</v>
      </c>
      <c r="E33" s="2370">
        <f>VLOOKUP(A33,F13D!$A$10:$AZ$237,45,FALSE)</f>
        <v>0</v>
      </c>
      <c r="F33" s="2370">
        <f t="shared" si="0"/>
        <v>0</v>
      </c>
      <c r="G33" s="2370">
        <f>VLOOKUP(A33,F13D!$A$10:$AZ$237,47,FALSE)</f>
        <v>7.0669908409709254</v>
      </c>
      <c r="H33" s="2371">
        <f t="shared" si="1"/>
        <v>2.9443322479596841</v>
      </c>
      <c r="I33" s="2370"/>
      <c r="J33" s="2370"/>
      <c r="K33" s="2370">
        <f t="shared" si="2"/>
        <v>7.0669908409709254</v>
      </c>
      <c r="L33" s="2372">
        <f t="shared" si="3"/>
        <v>2.9443322479596841</v>
      </c>
      <c r="M33" s="2367"/>
      <c r="N33" s="2373"/>
      <c r="O33" s="2369"/>
      <c r="Q33" s="2369"/>
      <c r="R33" s="2369"/>
      <c r="S33" s="2369"/>
      <c r="T33" s="2369"/>
      <c r="U33" s="2369"/>
    </row>
    <row r="34" spans="1:21" s="2350" customFormat="1">
      <c r="A34" s="2365" t="s">
        <v>1672</v>
      </c>
      <c r="B34" s="2365" t="s">
        <v>1717</v>
      </c>
      <c r="C34" s="1579">
        <v>2</v>
      </c>
      <c r="D34" s="2370">
        <f>VLOOKUP($A34,F13D!$A$10:$AZ$254,44,0)</f>
        <v>2.098316612903226</v>
      </c>
      <c r="E34" s="2370">
        <f>VLOOKUP(A34,F13D!$A$10:$AZ$237,45,FALSE)</f>
        <v>0</v>
      </c>
      <c r="F34" s="2370">
        <f t="shared" si="0"/>
        <v>0</v>
      </c>
      <c r="G34" s="2370">
        <f>VLOOKUP(A34,F13D!$A$10:$AZ$237,47,FALSE)</f>
        <v>0.4220069610790419</v>
      </c>
      <c r="H34" s="2371">
        <f t="shared" si="1"/>
        <v>2.0111691366497548</v>
      </c>
      <c r="I34" s="2370"/>
      <c r="J34" s="2370"/>
      <c r="K34" s="2370">
        <f t="shared" si="2"/>
        <v>0.4220069610790419</v>
      </c>
      <c r="L34" s="2372">
        <f t="shared" si="3"/>
        <v>2.0111691366497548</v>
      </c>
      <c r="M34" s="2367"/>
      <c r="N34" s="2373"/>
      <c r="O34" s="2369"/>
      <c r="Q34" s="2369"/>
      <c r="R34" s="2369"/>
      <c r="S34" s="2369"/>
      <c r="T34" s="2369"/>
      <c r="U34" s="2369"/>
    </row>
    <row r="35" spans="1:21" s="2350" customFormat="1">
      <c r="A35" s="2365" t="s">
        <v>1673</v>
      </c>
      <c r="B35" s="2365" t="s">
        <v>1717</v>
      </c>
      <c r="C35" s="1579">
        <v>2</v>
      </c>
      <c r="D35" s="2370">
        <f>VLOOKUP($A35,F13D!$A$10:$AZ$254,44,0)</f>
        <v>2.361906871612903</v>
      </c>
      <c r="E35" s="2370">
        <f>VLOOKUP(A35,F13D!$A$10:$AZ$237,45,FALSE)</f>
        <v>0</v>
      </c>
      <c r="F35" s="2370">
        <f t="shared" si="0"/>
        <v>0</v>
      </c>
      <c r="G35" s="2370">
        <f>VLOOKUP(A35,F13D!$A$10:$AZ$237,47,FALSE)</f>
        <v>0.43624755841751722</v>
      </c>
      <c r="H35" s="2371">
        <f t="shared" si="1"/>
        <v>1.8470142225362669</v>
      </c>
      <c r="I35" s="2370"/>
      <c r="J35" s="2370"/>
      <c r="K35" s="2370">
        <f t="shared" si="2"/>
        <v>0.43624755841751722</v>
      </c>
      <c r="L35" s="2372">
        <f t="shared" si="3"/>
        <v>1.8470142225362669</v>
      </c>
      <c r="M35" s="2367"/>
      <c r="N35" s="2373"/>
      <c r="O35" s="2369"/>
      <c r="Q35" s="2369"/>
      <c r="R35" s="2369"/>
      <c r="S35" s="2369"/>
      <c r="T35" s="2369"/>
      <c r="U35" s="2369"/>
    </row>
    <row r="36" spans="1:21" s="2350" customFormat="1">
      <c r="A36" s="2365" t="s">
        <v>1674</v>
      </c>
      <c r="B36" s="2365" t="s">
        <v>1717</v>
      </c>
      <c r="C36" s="1579">
        <v>2</v>
      </c>
      <c r="D36" s="2370">
        <f>VLOOKUP($A36,F13D!$A$10:$AZ$254,44,0)</f>
        <v>2.4014571774193545</v>
      </c>
      <c r="E36" s="2370">
        <f>VLOOKUP(A36,F13D!$A$10:$AZ$237,45,FALSE)</f>
        <v>0</v>
      </c>
      <c r="F36" s="2370">
        <f t="shared" si="0"/>
        <v>0</v>
      </c>
      <c r="G36" s="2370">
        <f>VLOOKUP(A36,F13D!$A$10:$AZ$237,47,FALSE)</f>
        <v>0.78563925936621004</v>
      </c>
      <c r="H36" s="2371">
        <f t="shared" si="1"/>
        <v>3.2715105926247285</v>
      </c>
      <c r="I36" s="2370"/>
      <c r="J36" s="2370"/>
      <c r="K36" s="2370">
        <f t="shared" si="2"/>
        <v>0.78563925936621004</v>
      </c>
      <c r="L36" s="2372">
        <f t="shared" si="3"/>
        <v>3.2715105926247285</v>
      </c>
      <c r="M36" s="2367"/>
      <c r="N36" s="2373"/>
      <c r="O36" s="2369"/>
      <c r="Q36" s="2369"/>
      <c r="R36" s="2369"/>
      <c r="S36" s="2369"/>
      <c r="T36" s="2369"/>
      <c r="U36" s="2369"/>
    </row>
    <row r="37" spans="1:21" s="2350" customFormat="1">
      <c r="A37" s="2365" t="s">
        <v>1723</v>
      </c>
      <c r="B37" s="2365" t="s">
        <v>1717</v>
      </c>
      <c r="C37" s="1579">
        <v>1</v>
      </c>
      <c r="D37" s="2370">
        <f>VLOOKUP($A37,F13D!$A$10:$AZ$254,44,0)</f>
        <v>232.3421711870968</v>
      </c>
      <c r="E37" s="2370">
        <f>VLOOKUP(A37,F13D!$A$10:$AZ$237,45,FALSE)</f>
        <v>19.891667281500006</v>
      </c>
      <c r="F37" s="2370">
        <f t="shared" si="0"/>
        <v>0.85613675639976528</v>
      </c>
      <c r="G37" s="2370">
        <f>VLOOKUP(A37,F13D!$A$10:$AZ$237,47,FALSE)</f>
        <v>16.049182360748667</v>
      </c>
      <c r="H37" s="2371">
        <f t="shared" si="1"/>
        <v>0.69075632196898251</v>
      </c>
      <c r="I37" s="2370"/>
      <c r="J37" s="2370"/>
      <c r="K37" s="2370">
        <f t="shared" si="2"/>
        <v>35.940849642248672</v>
      </c>
      <c r="L37" s="2372">
        <f t="shared" si="3"/>
        <v>1.5468930783687476</v>
      </c>
      <c r="M37" s="2367"/>
      <c r="N37" s="2373"/>
      <c r="O37" s="2369"/>
      <c r="Q37" s="2369"/>
      <c r="R37" s="2369"/>
      <c r="S37" s="2369"/>
      <c r="T37" s="2369"/>
      <c r="U37" s="2369"/>
    </row>
    <row r="38" spans="1:21" s="2350" customFormat="1">
      <c r="A38" s="2365" t="s">
        <v>1724</v>
      </c>
      <c r="B38" s="2365" t="s">
        <v>1717</v>
      </c>
      <c r="C38" s="1579">
        <v>1</v>
      </c>
      <c r="D38" s="2370">
        <f>VLOOKUP($A38,F13D!$A$10:$AZ$254,44,0)</f>
        <v>80.346378838709668</v>
      </c>
      <c r="E38" s="2370">
        <f>VLOOKUP(A38,F13D!$A$10:$AZ$237,45,FALSE)</f>
        <v>19.315562631750005</v>
      </c>
      <c r="F38" s="2370">
        <f t="shared" si="0"/>
        <v>2.4040364868869561</v>
      </c>
      <c r="G38" s="2370">
        <f>VLOOKUP(A38,F13D!$A$10:$AZ$237,47,FALSE)</f>
        <v>14.052016360723627</v>
      </c>
      <c r="H38" s="2371">
        <f t="shared" si="1"/>
        <v>1.7489296423591374</v>
      </c>
      <c r="I38" s="2370"/>
      <c r="J38" s="2370"/>
      <c r="K38" s="2370">
        <f t="shared" si="2"/>
        <v>33.367578992473632</v>
      </c>
      <c r="L38" s="2372">
        <f t="shared" si="3"/>
        <v>4.1529661292460931</v>
      </c>
      <c r="M38" s="2367"/>
      <c r="N38" s="2373"/>
      <c r="O38" s="2369"/>
      <c r="Q38" s="2369"/>
      <c r="R38" s="2369"/>
      <c r="S38" s="2369"/>
      <c r="T38" s="2369"/>
      <c r="U38" s="2369"/>
    </row>
    <row r="39" spans="1:21" s="2350" customFormat="1">
      <c r="A39" s="2365" t="s">
        <v>1725</v>
      </c>
      <c r="B39" s="2365" t="s">
        <v>1717</v>
      </c>
      <c r="C39" s="1579">
        <v>1</v>
      </c>
      <c r="D39" s="2370">
        <f>VLOOKUP($A39,F13D!$A$10:$AZ$254,44,0)</f>
        <v>465.34168273419351</v>
      </c>
      <c r="E39" s="2370">
        <f>VLOOKUP(A39,F13D!$A$10:$AZ$237,45,FALSE)</f>
        <v>43.080843487499997</v>
      </c>
      <c r="F39" s="2370">
        <f t="shared" si="0"/>
        <v>0.92578948084708923</v>
      </c>
      <c r="G39" s="2370">
        <f>VLOOKUP(A39,F13D!$A$10:$AZ$237,47,FALSE)</f>
        <v>57.461717960417865</v>
      </c>
      <c r="H39" s="2371">
        <f t="shared" si="1"/>
        <v>1.2348285161731452</v>
      </c>
      <c r="I39" s="2370"/>
      <c r="J39" s="2370"/>
      <c r="K39" s="2370">
        <f t="shared" si="2"/>
        <v>100.54256144791786</v>
      </c>
      <c r="L39" s="2372">
        <f t="shared" si="3"/>
        <v>2.1606179970202346</v>
      </c>
      <c r="M39" s="2367"/>
      <c r="N39" s="2373"/>
      <c r="O39" s="2369"/>
      <c r="Q39" s="2369"/>
      <c r="R39" s="2369"/>
      <c r="S39" s="2369"/>
      <c r="T39" s="2369"/>
      <c r="U39" s="2369"/>
    </row>
    <row r="40" spans="1:21" s="2350" customFormat="1">
      <c r="A40" s="2365" t="s">
        <v>1726</v>
      </c>
      <c r="B40" s="2365" t="s">
        <v>1717</v>
      </c>
      <c r="C40" s="1579">
        <v>1</v>
      </c>
      <c r="D40" s="2370">
        <f>VLOOKUP($A40,F13D!$A$10:$AZ$254,44,0)</f>
        <v>562.27590702580642</v>
      </c>
      <c r="E40" s="2370">
        <f>VLOOKUP(A40,F13D!$A$10:$AZ$237,45,FALSE)</f>
        <v>55.542382686000003</v>
      </c>
      <c r="F40" s="2370">
        <f t="shared" si="0"/>
        <v>0.98781366926772507</v>
      </c>
      <c r="G40" s="2370">
        <f>VLOOKUP(A40,F13D!$A$10:$AZ$237,47,FALSE)</f>
        <v>49.744029520726741</v>
      </c>
      <c r="H40" s="2371">
        <f t="shared" si="1"/>
        <v>0.88469075233635563</v>
      </c>
      <c r="I40" s="2370"/>
      <c r="J40" s="2370"/>
      <c r="K40" s="2370">
        <f t="shared" si="2"/>
        <v>105.28641220672674</v>
      </c>
      <c r="L40" s="2372">
        <f t="shared" si="3"/>
        <v>1.8725044216040803</v>
      </c>
      <c r="M40" s="2367"/>
      <c r="N40" s="2373"/>
      <c r="O40" s="2369"/>
      <c r="Q40" s="2369"/>
      <c r="R40" s="2369"/>
      <c r="S40" s="2369"/>
      <c r="T40" s="2369"/>
      <c r="U40" s="2369"/>
    </row>
    <row r="41" spans="1:21" s="2350" customFormat="1">
      <c r="A41" s="2365" t="s">
        <v>1727</v>
      </c>
      <c r="B41" s="2365" t="s">
        <v>1717</v>
      </c>
      <c r="C41" s="1579">
        <v>1</v>
      </c>
      <c r="D41" s="2370">
        <f>VLOOKUP($A41,F13D!$A$10:$AZ$254,44,0)</f>
        <v>308.32916085161287</v>
      </c>
      <c r="E41" s="2370">
        <f>VLOOKUP(A41,F13D!$A$10:$AZ$237,45,FALSE)</f>
        <v>24.1262039655</v>
      </c>
      <c r="F41" s="2370">
        <f t="shared" si="0"/>
        <v>0.7824820688014984</v>
      </c>
      <c r="G41" s="2370">
        <f>VLOOKUP(A41,F13D!$A$10:$AZ$237,47,FALSE)</f>
        <v>37.722565688205151</v>
      </c>
      <c r="H41" s="2371">
        <f t="shared" si="1"/>
        <v>1.2234511190577784</v>
      </c>
      <c r="I41" s="2370"/>
      <c r="J41" s="2370"/>
      <c r="K41" s="2370">
        <f t="shared" si="2"/>
        <v>61.848769653705148</v>
      </c>
      <c r="L41" s="2372">
        <f t="shared" si="3"/>
        <v>2.0059331878592763</v>
      </c>
      <c r="M41" s="2367"/>
      <c r="N41" s="2373"/>
      <c r="O41" s="2369"/>
      <c r="Q41" s="2369"/>
      <c r="R41" s="2369"/>
      <c r="S41" s="2369"/>
      <c r="T41" s="2369"/>
      <c r="U41" s="2369"/>
    </row>
    <row r="42" spans="1:21" s="2350" customFormat="1">
      <c r="A42" s="2365" t="s">
        <v>1728</v>
      </c>
      <c r="B42" s="2365" t="s">
        <v>1717</v>
      </c>
      <c r="C42" s="1579">
        <v>1</v>
      </c>
      <c r="D42" s="2370">
        <f>VLOOKUP($A42,F13D!$A$10:$AZ$254,44,0)</f>
        <v>250.42144920000004</v>
      </c>
      <c r="E42" s="2370">
        <f>VLOOKUP(A42,F13D!$A$10:$AZ$237,45,FALSE)</f>
        <v>40.527625808250008</v>
      </c>
      <c r="F42" s="2370">
        <f t="shared" si="0"/>
        <v>1.6183767779365601</v>
      </c>
      <c r="G42" s="2370">
        <f>VLOOKUP(A42,F13D!$A$10:$AZ$237,47,FALSE)</f>
        <v>34.11926122136947</v>
      </c>
      <c r="H42" s="2371">
        <f t="shared" si="1"/>
        <v>1.362473595227859</v>
      </c>
      <c r="I42" s="2370"/>
      <c r="J42" s="2370"/>
      <c r="K42" s="2370">
        <f t="shared" si="2"/>
        <v>74.646887029619478</v>
      </c>
      <c r="L42" s="2372">
        <f t="shared" si="3"/>
        <v>2.9808503731644191</v>
      </c>
      <c r="M42" s="2367"/>
      <c r="N42" s="2373"/>
      <c r="O42" s="2369"/>
      <c r="Q42" s="2369"/>
      <c r="R42" s="2369"/>
      <c r="S42" s="2369"/>
      <c r="T42" s="2369"/>
      <c r="U42" s="2369"/>
    </row>
    <row r="43" spans="1:21" s="2350" customFormat="1">
      <c r="A43" s="2365" t="s">
        <v>1729</v>
      </c>
      <c r="B43" s="2365" t="s">
        <v>1717</v>
      </c>
      <c r="C43" s="1579">
        <v>1</v>
      </c>
      <c r="D43" s="2370">
        <f>VLOOKUP($A43,F13D!$A$10:$AZ$254,44,0)</f>
        <v>504.29405360000004</v>
      </c>
      <c r="E43" s="2370">
        <f>VLOOKUP(A43,F13D!$A$10:$AZ$237,45,FALSE)</f>
        <v>156.05896099500001</v>
      </c>
      <c r="F43" s="2370">
        <f t="shared" si="0"/>
        <v>3.0946024423834291</v>
      </c>
      <c r="G43" s="2370">
        <f>VLOOKUP(A43,F13D!$A$10:$AZ$237,47,FALSE)</f>
        <v>137.87780089215238</v>
      </c>
      <c r="H43" s="2371">
        <f t="shared" si="1"/>
        <v>2.7340754844893604</v>
      </c>
      <c r="I43" s="2370"/>
      <c r="J43" s="2370"/>
      <c r="K43" s="2370">
        <f t="shared" si="2"/>
        <v>293.93676188715239</v>
      </c>
      <c r="L43" s="2372">
        <f t="shared" si="3"/>
        <v>5.8286779268727891</v>
      </c>
      <c r="M43" s="2367"/>
      <c r="N43" s="2373"/>
      <c r="O43" s="2369"/>
      <c r="Q43" s="2369"/>
      <c r="R43" s="2369"/>
      <c r="S43" s="2369"/>
      <c r="T43" s="2369"/>
      <c r="U43" s="2369"/>
    </row>
    <row r="44" spans="1:21" s="2350" customFormat="1">
      <c r="A44" s="2365" t="s">
        <v>1730</v>
      </c>
      <c r="B44" s="2365" t="s">
        <v>1717</v>
      </c>
      <c r="C44" s="1579">
        <v>1</v>
      </c>
      <c r="D44" s="2370">
        <f>VLOOKUP($A44,F13D!$A$10:$AZ$254,44,0)</f>
        <v>117.12940680000001</v>
      </c>
      <c r="E44" s="2370">
        <f>VLOOKUP(A44,F13D!$A$10:$AZ$237,45,FALSE)</f>
        <v>24.005912946750001</v>
      </c>
      <c r="F44" s="2370">
        <f t="shared" si="0"/>
        <v>2.0495205775045382</v>
      </c>
      <c r="G44" s="2370">
        <f>VLOOKUP(A44,F13D!$A$10:$AZ$237,47,FALSE)</f>
        <v>32.268908024452806</v>
      </c>
      <c r="H44" s="2371">
        <f t="shared" si="1"/>
        <v>2.7549792068487449</v>
      </c>
      <c r="I44" s="2370"/>
      <c r="J44" s="2370"/>
      <c r="K44" s="2370">
        <f t="shared" si="2"/>
        <v>56.274820971202807</v>
      </c>
      <c r="L44" s="2372">
        <f t="shared" si="3"/>
        <v>4.8044997843532835</v>
      </c>
      <c r="M44" s="2367"/>
      <c r="N44" s="2373"/>
      <c r="O44" s="2369"/>
      <c r="Q44" s="2369"/>
      <c r="R44" s="2369"/>
      <c r="S44" s="2369"/>
      <c r="T44" s="2369"/>
      <c r="U44" s="2369"/>
    </row>
    <row r="45" spans="1:21" s="2350" customFormat="1">
      <c r="A45" s="2365" t="s">
        <v>1731</v>
      </c>
      <c r="B45" s="2365" t="s">
        <v>1717</v>
      </c>
      <c r="C45" s="1579">
        <v>1</v>
      </c>
      <c r="D45" s="2370">
        <f>VLOOKUP($A45,F13D!$A$10:$AZ$254,44,0)</f>
        <v>219.28064616774193</v>
      </c>
      <c r="E45" s="2370">
        <f>VLOOKUP(A45,F13D!$A$10:$AZ$237,45,FALSE)</f>
        <v>60.075109347750015</v>
      </c>
      <c r="F45" s="2370">
        <f t="shared" si="0"/>
        <v>2.7396448522773271</v>
      </c>
      <c r="G45" s="2370">
        <f>VLOOKUP(A45,F13D!$A$10:$AZ$237,47,FALSE)</f>
        <v>47.420703685029473</v>
      </c>
      <c r="H45" s="2371">
        <f t="shared" si="1"/>
        <v>2.1625576408031155</v>
      </c>
      <c r="I45" s="2370"/>
      <c r="J45" s="2370"/>
      <c r="K45" s="2370">
        <f t="shared" si="2"/>
        <v>107.49581303277949</v>
      </c>
      <c r="L45" s="2372">
        <f t="shared" si="3"/>
        <v>4.9022024930804422</v>
      </c>
      <c r="M45" s="2367"/>
      <c r="N45" s="2373"/>
      <c r="O45" s="2369"/>
      <c r="Q45" s="2369"/>
      <c r="R45" s="2369"/>
      <c r="S45" s="2369"/>
      <c r="T45" s="2369"/>
      <c r="U45" s="2369"/>
    </row>
    <row r="46" spans="1:21" s="2350" customFormat="1">
      <c r="A46" s="2365" t="s">
        <v>1732</v>
      </c>
      <c r="B46" s="2365" t="s">
        <v>1717</v>
      </c>
      <c r="C46" s="1579">
        <v>1</v>
      </c>
      <c r="D46" s="2370">
        <f>VLOOKUP($A46,F13D!$A$10:$AZ$254,44,0)</f>
        <v>319.6263267290322</v>
      </c>
      <c r="E46" s="2370">
        <f>VLOOKUP(A46,F13D!$A$10:$AZ$237,45,FALSE)</f>
        <v>83.406360870000015</v>
      </c>
      <c r="F46" s="2370">
        <f t="shared" si="0"/>
        <v>2.609495961223149</v>
      </c>
      <c r="G46" s="2370">
        <f>VLOOKUP(A46,F13D!$A$10:$AZ$237,47,FALSE)</f>
        <v>65.851542324524843</v>
      </c>
      <c r="H46" s="2371">
        <f t="shared" si="1"/>
        <v>2.0602665305587116</v>
      </c>
      <c r="I46" s="2370"/>
      <c r="J46" s="2370"/>
      <c r="K46" s="2370">
        <f t="shared" si="2"/>
        <v>149.25790319452486</v>
      </c>
      <c r="L46" s="2372">
        <f t="shared" si="3"/>
        <v>4.669762491781861</v>
      </c>
      <c r="M46" s="2367"/>
      <c r="N46" s="2373"/>
      <c r="O46" s="2369"/>
      <c r="Q46" s="2369"/>
      <c r="R46" s="2369"/>
      <c r="S46" s="2369"/>
      <c r="T46" s="2369"/>
      <c r="U46" s="2369"/>
    </row>
    <row r="47" spans="1:21" s="2350" customFormat="1">
      <c r="A47" s="2365" t="s">
        <v>1733</v>
      </c>
      <c r="B47" s="2365" t="s">
        <v>1717</v>
      </c>
      <c r="C47" s="1579">
        <v>1</v>
      </c>
      <c r="D47" s="2370">
        <f>VLOOKUP($A47,F13D!$A$10:$AZ$254,44,0)</f>
        <v>160.93167825806449</v>
      </c>
      <c r="E47" s="2370">
        <f>VLOOKUP(A47,F13D!$A$10:$AZ$237,45,FALSE)</f>
        <v>74.499659167500013</v>
      </c>
      <c r="F47" s="2370">
        <f t="shared" si="0"/>
        <v>4.6292724946318478</v>
      </c>
      <c r="G47" s="2370">
        <f>VLOOKUP(A47,F13D!$A$10:$AZ$237,47,FALSE)</f>
        <v>29.095482051426323</v>
      </c>
      <c r="H47" s="2371">
        <f t="shared" si="1"/>
        <v>1.807940013200497</v>
      </c>
      <c r="I47" s="2370"/>
      <c r="J47" s="2370"/>
      <c r="K47" s="2370">
        <f t="shared" si="2"/>
        <v>103.59514121892633</v>
      </c>
      <c r="L47" s="2372">
        <f t="shared" si="3"/>
        <v>6.4372125078323439</v>
      </c>
      <c r="M47" s="2367"/>
      <c r="N47" s="2373"/>
      <c r="O47" s="2369"/>
      <c r="Q47" s="2369"/>
      <c r="R47" s="2369"/>
      <c r="S47" s="2369"/>
      <c r="T47" s="2369"/>
      <c r="U47" s="2369"/>
    </row>
    <row r="48" spans="1:21" s="2350" customFormat="1">
      <c r="A48" s="2365" t="s">
        <v>1734</v>
      </c>
      <c r="B48" s="2365" t="s">
        <v>1717</v>
      </c>
      <c r="C48" s="1579">
        <v>1</v>
      </c>
      <c r="D48" s="2370">
        <f>VLOOKUP($A48,F13D!$A$10:$AZ$254,44,0)</f>
        <v>463.52728057526883</v>
      </c>
      <c r="E48" s="2370">
        <f>VLOOKUP(A48,F13D!$A$10:$AZ$237,45,FALSE)</f>
        <v>106.04852144774999</v>
      </c>
      <c r="F48" s="2370">
        <f t="shared" si="0"/>
        <v>2.287859331949925</v>
      </c>
      <c r="G48" s="2370">
        <f>VLOOKUP(A48,F13D!$A$10:$AZ$237,47,FALSE)</f>
        <v>101.8139070205125</v>
      </c>
      <c r="H48" s="2371">
        <f t="shared" si="1"/>
        <v>2.1965030169131476</v>
      </c>
      <c r="I48" s="2370"/>
      <c r="J48" s="2370"/>
      <c r="K48" s="2370">
        <f t="shared" si="2"/>
        <v>207.86242846826249</v>
      </c>
      <c r="L48" s="2372">
        <f t="shared" si="3"/>
        <v>4.4843623488630726</v>
      </c>
      <c r="M48" s="2367"/>
      <c r="N48" s="2373"/>
      <c r="O48" s="2369"/>
      <c r="Q48" s="2369"/>
      <c r="R48" s="2369"/>
      <c r="S48" s="2369"/>
      <c r="T48" s="2369"/>
      <c r="U48" s="2369"/>
    </row>
    <row r="49" spans="1:21" s="2350" customFormat="1">
      <c r="A49" s="2365" t="s">
        <v>1735</v>
      </c>
      <c r="B49" s="2365" t="s">
        <v>1717</v>
      </c>
      <c r="C49" s="1579">
        <v>1</v>
      </c>
      <c r="D49" s="2370">
        <f>VLOOKUP($A49,F13D!$A$10:$AZ$254,44,0)</f>
        <v>675.08064000000002</v>
      </c>
      <c r="E49" s="2370">
        <f>VLOOKUP(A49,F13D!$A$10:$AZ$237,45,FALSE)</f>
        <v>61.582499999999996</v>
      </c>
      <c r="F49" s="2370">
        <f t="shared" si="0"/>
        <v>0.91222435293063642</v>
      </c>
      <c r="G49" s="2370">
        <f>VLOOKUP(A49,F13D!$A$10:$AZ$237,47,FALSE)</f>
        <v>158.02962701760001</v>
      </c>
      <c r="H49" s="2371">
        <f t="shared" si="1"/>
        <v>2.3409</v>
      </c>
      <c r="I49" s="2370"/>
      <c r="J49" s="2370"/>
      <c r="K49" s="2370">
        <f t="shared" si="2"/>
        <v>219.61212701760002</v>
      </c>
      <c r="L49" s="2372">
        <f t="shared" si="3"/>
        <v>3.2531243529306368</v>
      </c>
      <c r="M49" s="2367"/>
      <c r="N49" s="2373"/>
      <c r="O49" s="2369"/>
      <c r="Q49" s="2369"/>
      <c r="R49" s="2369"/>
      <c r="S49" s="2369"/>
      <c r="T49" s="2369"/>
      <c r="U49" s="2369"/>
    </row>
    <row r="50" spans="1:21" s="2350" customFormat="1">
      <c r="A50" s="2365" t="s">
        <v>1736</v>
      </c>
      <c r="B50" s="2365" t="s">
        <v>1717</v>
      </c>
      <c r="C50" s="1579">
        <v>1</v>
      </c>
      <c r="D50" s="2370">
        <f>VLOOKUP($A50,F13D!$A$10:$AZ$254,44,0)</f>
        <v>131.08586399999999</v>
      </c>
      <c r="E50" s="2370">
        <f>VLOOKUP(A50,F13D!$A$10:$AZ$237,45,FALSE)</f>
        <v>29.130191999999994</v>
      </c>
      <c r="F50" s="2370">
        <f t="shared" si="0"/>
        <v>2.2222222222222223</v>
      </c>
      <c r="G50" s="2370">
        <f>VLOOKUP(A50,F13D!$A$10:$AZ$237,47,FALSE)</f>
        <v>30.685889903759993</v>
      </c>
      <c r="H50" s="2371">
        <f t="shared" si="1"/>
        <v>2.3408999999999995</v>
      </c>
      <c r="I50" s="2370"/>
      <c r="J50" s="2370"/>
      <c r="K50" s="2370">
        <f t="shared" si="2"/>
        <v>59.816081903759986</v>
      </c>
      <c r="L50" s="2372">
        <f t="shared" si="3"/>
        <v>4.5631222222222219</v>
      </c>
      <c r="M50" s="2367"/>
      <c r="N50" s="2373"/>
      <c r="O50" s="2369"/>
      <c r="Q50" s="2369"/>
      <c r="R50" s="2369"/>
      <c r="S50" s="2369"/>
      <c r="T50" s="2369"/>
      <c r="U50" s="2369"/>
    </row>
    <row r="51" spans="1:21" s="2350" customFormat="1">
      <c r="A51" s="2365" t="s">
        <v>1737</v>
      </c>
      <c r="B51" s="2365" t="s">
        <v>1717</v>
      </c>
      <c r="C51" s="1579">
        <v>1</v>
      </c>
      <c r="D51" s="2370">
        <f>VLOOKUP($A51,F13D!$A$10:$AZ$254,44,0)</f>
        <v>0</v>
      </c>
      <c r="E51" s="2370">
        <f>VLOOKUP(A51,F13D!$A$10:$AZ$237,45,FALSE)</f>
        <v>0</v>
      </c>
      <c r="F51" s="2370">
        <f t="shared" si="0"/>
        <v>0</v>
      </c>
      <c r="G51" s="2370">
        <f>VLOOKUP(A51,F13D!$A$10:$AZ$237,47,FALSE)</f>
        <v>0</v>
      </c>
      <c r="H51" s="2371">
        <f t="shared" si="1"/>
        <v>0</v>
      </c>
      <c r="I51" s="2370"/>
      <c r="J51" s="2370"/>
      <c r="K51" s="2370">
        <f t="shared" si="2"/>
        <v>0</v>
      </c>
      <c r="L51" s="2372">
        <f t="shared" si="3"/>
        <v>0</v>
      </c>
      <c r="M51" s="2367"/>
      <c r="N51" s="2373"/>
      <c r="O51" s="2369"/>
      <c r="Q51" s="2369"/>
      <c r="R51" s="2369"/>
      <c r="S51" s="2369"/>
      <c r="T51" s="2369"/>
      <c r="U51" s="2369"/>
    </row>
    <row r="52" spans="1:21" s="2350" customFormat="1">
      <c r="A52" s="2365" t="s">
        <v>1746</v>
      </c>
      <c r="B52" s="2365" t="s">
        <v>1717</v>
      </c>
      <c r="C52" s="1579">
        <v>1</v>
      </c>
      <c r="D52" s="2370">
        <f>VLOOKUP($A52,F13D!$A$10:$AZ$254,44,0)</f>
        <v>1226.6328888483868</v>
      </c>
      <c r="E52" s="2370">
        <f>VLOOKUP(A52,F13D!$A$10:$AZ$237,45,FALSE)</f>
        <v>266.17396968225006</v>
      </c>
      <c r="F52" s="2370">
        <f t="shared" si="0"/>
        <v>2.1699562444648381</v>
      </c>
      <c r="G52" s="2370">
        <f>VLOOKUP(A52,F13D!$A$10:$AZ$237,47,FALSE)</f>
        <v>253.45294584159041</v>
      </c>
      <c r="H52" s="2371">
        <f t="shared" si="1"/>
        <v>2.0662493900643937</v>
      </c>
      <c r="I52" s="2370"/>
      <c r="J52" s="2370"/>
      <c r="K52" s="2370">
        <f t="shared" si="2"/>
        <v>519.62691552384047</v>
      </c>
      <c r="L52" s="2372">
        <f t="shared" si="3"/>
        <v>4.2362056345292318</v>
      </c>
      <c r="M52" s="2367"/>
      <c r="N52" s="2373"/>
      <c r="O52" s="2369"/>
      <c r="Q52" s="2369"/>
      <c r="R52" s="2369"/>
      <c r="S52" s="2369"/>
      <c r="T52" s="2369"/>
      <c r="U52" s="2369"/>
    </row>
    <row r="53" spans="1:21" s="2350" customFormat="1">
      <c r="A53" s="2365" t="s">
        <v>1747</v>
      </c>
      <c r="B53" s="2365" t="s">
        <v>1717</v>
      </c>
      <c r="C53" s="1579">
        <v>1</v>
      </c>
      <c r="D53" s="2370">
        <f>VLOOKUP($A53,F13D!$A$10:$AZ$254,44,0)</f>
        <v>498.95539750070969</v>
      </c>
      <c r="E53" s="2370">
        <f>VLOOKUP(A53,F13D!$A$10:$AZ$237,45,FALSE)</f>
        <v>125.51809395825003</v>
      </c>
      <c r="F53" s="2370">
        <f t="shared" si="0"/>
        <v>2.5156175198620137</v>
      </c>
      <c r="G53" s="2370">
        <f>VLOOKUP(A53,F13D!$A$10:$AZ$237,47,FALSE)</f>
        <v>116.03120230067825</v>
      </c>
      <c r="H53" s="2371">
        <f t="shared" si="1"/>
        <v>2.3254824555838822</v>
      </c>
      <c r="I53" s="2370"/>
      <c r="J53" s="2370"/>
      <c r="K53" s="2370">
        <f t="shared" si="2"/>
        <v>241.54929625892828</v>
      </c>
      <c r="L53" s="2372">
        <f t="shared" si="3"/>
        <v>4.8410999754458954</v>
      </c>
      <c r="M53" s="2367"/>
      <c r="N53" s="2373"/>
      <c r="O53" s="2369"/>
      <c r="Q53" s="2369"/>
      <c r="R53" s="2369"/>
      <c r="S53" s="2369"/>
      <c r="T53" s="2369"/>
      <c r="U53" s="2369"/>
    </row>
    <row r="54" spans="1:21" s="2350" customFormat="1">
      <c r="A54" s="2365" t="s">
        <v>1748</v>
      </c>
      <c r="B54" s="2365" t="s">
        <v>1717</v>
      </c>
      <c r="C54" s="1579">
        <v>2</v>
      </c>
      <c r="D54" s="2370">
        <f>VLOOKUP($A54,F13D!$A$10:$AZ$254,44,0)</f>
        <v>56.490610661290326</v>
      </c>
      <c r="E54" s="2370">
        <f>VLOOKUP(A54,F13D!$A$10:$AZ$237,45,FALSE)</f>
        <v>0</v>
      </c>
      <c r="F54" s="2370">
        <f t="shared" si="0"/>
        <v>0</v>
      </c>
      <c r="G54" s="2370">
        <f>VLOOKUP(A54,F13D!$A$10:$AZ$237,47,FALSE)</f>
        <v>28.909065653607598</v>
      </c>
      <c r="H54" s="2371">
        <f t="shared" si="1"/>
        <v>5.1174992295520125</v>
      </c>
      <c r="I54" s="2370"/>
      <c r="J54" s="2370"/>
      <c r="K54" s="2370">
        <f t="shared" si="2"/>
        <v>28.909065653607598</v>
      </c>
      <c r="L54" s="2372">
        <f t="shared" si="3"/>
        <v>5.1174992295520125</v>
      </c>
      <c r="M54" s="2367"/>
      <c r="N54" s="2373"/>
      <c r="O54" s="2369"/>
      <c r="Q54" s="2369"/>
      <c r="R54" s="2369"/>
      <c r="S54" s="2369"/>
      <c r="T54" s="2369"/>
      <c r="U54" s="2369"/>
    </row>
    <row r="55" spans="1:21" s="2350" customFormat="1">
      <c r="A55" s="2365" t="s">
        <v>1749</v>
      </c>
      <c r="B55" s="2365" t="s">
        <v>1717</v>
      </c>
      <c r="C55" s="1579">
        <v>1</v>
      </c>
      <c r="D55" s="2370">
        <f>VLOOKUP($A55,F13D!$A$10:$AZ$254,44,0)</f>
        <v>0</v>
      </c>
      <c r="E55" s="2370">
        <f>VLOOKUP(A55,F13D!$A$10:$AZ$237,45,FALSE)</f>
        <v>0</v>
      </c>
      <c r="F55" s="2370">
        <f t="shared" si="0"/>
        <v>0</v>
      </c>
      <c r="G55" s="2370">
        <f>VLOOKUP(A55,F13D!$A$10:$AZ$237,47,FALSE)</f>
        <v>0</v>
      </c>
      <c r="H55" s="2371">
        <f t="shared" si="1"/>
        <v>0</v>
      </c>
      <c r="I55" s="2370"/>
      <c r="J55" s="2370"/>
      <c r="K55" s="2370">
        <f t="shared" si="2"/>
        <v>0</v>
      </c>
      <c r="L55" s="2372">
        <f t="shared" si="3"/>
        <v>0</v>
      </c>
      <c r="M55" s="2367"/>
      <c r="N55" s="2373"/>
      <c r="O55" s="2369"/>
      <c r="Q55" s="2369"/>
      <c r="R55" s="2369"/>
      <c r="S55" s="2369"/>
      <c r="T55" s="2369"/>
      <c r="U55" s="2369"/>
    </row>
    <row r="56" spans="1:21" s="2350" customFormat="1">
      <c r="A56" s="2365" t="s">
        <v>1753</v>
      </c>
      <c r="B56" s="2365" t="s">
        <v>1717</v>
      </c>
      <c r="C56" s="1579">
        <v>1</v>
      </c>
      <c r="D56" s="2370">
        <f>VLOOKUP($A56,F13D!$A$10:$AZ$254,44,0)</f>
        <v>268.93086260000001</v>
      </c>
      <c r="E56" s="2370">
        <f>VLOOKUP(A56,F13D!$A$10:$AZ$237,45,FALSE)</f>
        <v>88.604917379999989</v>
      </c>
      <c r="F56" s="2370">
        <f t="shared" si="0"/>
        <v>3.2947098939621662</v>
      </c>
      <c r="G56" s="2370">
        <f>VLOOKUP(A56,F13D!$A$10:$AZ$237,47,FALSE)</f>
        <v>44.925297951700102</v>
      </c>
      <c r="H56" s="2371">
        <f t="shared" si="1"/>
        <v>1.670514775335425</v>
      </c>
      <c r="I56" s="2370"/>
      <c r="J56" s="2370"/>
      <c r="K56" s="2370">
        <f t="shared" si="2"/>
        <v>133.53021533170011</v>
      </c>
      <c r="L56" s="2372">
        <f t="shared" si="3"/>
        <v>4.9652246692975917</v>
      </c>
      <c r="M56" s="2367"/>
      <c r="N56" s="2373"/>
      <c r="O56" s="2369"/>
      <c r="Q56" s="2369"/>
      <c r="R56" s="2369"/>
      <c r="S56" s="2369"/>
      <c r="T56" s="2369"/>
      <c r="U56" s="2369"/>
    </row>
    <row r="57" spans="1:21" s="2350" customFormat="1">
      <c r="A57" s="2365" t="s">
        <v>1754</v>
      </c>
      <c r="B57" s="2365" t="s">
        <v>1717</v>
      </c>
      <c r="C57" s="1579">
        <v>1</v>
      </c>
      <c r="D57" s="2370">
        <f>VLOOKUP($A57,F13D!$A$10:$AZ$254,44,0)</f>
        <v>1034.5812841699999</v>
      </c>
      <c r="E57" s="2370">
        <f>VLOOKUP(A57,F13D!$A$10:$AZ$237,45,FALSE)</f>
        <v>268.97164259175003</v>
      </c>
      <c r="F57" s="2370">
        <f t="shared" si="0"/>
        <v>2.5998116021162554</v>
      </c>
      <c r="G57" s="2370">
        <f>VLOOKUP(A57,F13D!$A$10:$AZ$237,47,FALSE)</f>
        <v>87.918812091257024</v>
      </c>
      <c r="H57" s="2371">
        <f t="shared" si="1"/>
        <v>0.84980091401702196</v>
      </c>
      <c r="I57" s="2370"/>
      <c r="J57" s="2370"/>
      <c r="K57" s="2370">
        <f t="shared" si="2"/>
        <v>356.89045468300708</v>
      </c>
      <c r="L57" s="2372">
        <f t="shared" si="3"/>
        <v>3.4496125161332776</v>
      </c>
      <c r="M57" s="2367"/>
      <c r="N57" s="2373"/>
      <c r="O57" s="2369"/>
      <c r="Q57" s="2369"/>
      <c r="R57" s="2369"/>
      <c r="S57" s="2369"/>
      <c r="T57" s="2369"/>
      <c r="U57" s="2369"/>
    </row>
    <row r="58" spans="1:21" s="2350" customFormat="1">
      <c r="A58" s="2365" t="s">
        <v>1763</v>
      </c>
      <c r="B58" s="2365" t="s">
        <v>1717</v>
      </c>
      <c r="C58" s="1579">
        <v>1</v>
      </c>
      <c r="D58" s="2370">
        <f>VLOOKUP($A58,F13D!$A$10:$AZ$254,44,0)</f>
        <v>0</v>
      </c>
      <c r="E58" s="2370">
        <f>VLOOKUP(A58,F13D!$A$10:$AZ$237,45,FALSE)</f>
        <v>0</v>
      </c>
      <c r="F58" s="2370">
        <f t="shared" si="0"/>
        <v>0</v>
      </c>
      <c r="G58" s="2370">
        <f>VLOOKUP(A58,F13D!$A$10:$AZ$237,47,FALSE)</f>
        <v>0</v>
      </c>
      <c r="H58" s="2371">
        <f t="shared" si="1"/>
        <v>0</v>
      </c>
      <c r="I58" s="2370"/>
      <c r="J58" s="2370"/>
      <c r="K58" s="2370">
        <f t="shared" si="2"/>
        <v>0</v>
      </c>
      <c r="L58" s="2372">
        <f t="shared" si="3"/>
        <v>0</v>
      </c>
      <c r="M58" s="2367"/>
      <c r="N58" s="2373"/>
      <c r="O58" s="2369"/>
      <c r="Q58" s="2369"/>
      <c r="R58" s="2369"/>
      <c r="S58" s="2369"/>
      <c r="T58" s="2369"/>
      <c r="U58" s="2369"/>
    </row>
    <row r="59" spans="1:21" s="2350" customFormat="1">
      <c r="A59" s="2365" t="s">
        <v>1759</v>
      </c>
      <c r="B59" s="2365" t="s">
        <v>1717</v>
      </c>
      <c r="C59" s="1579">
        <v>1</v>
      </c>
      <c r="D59" s="2370">
        <f>VLOOKUP($A59,F13D!$A$10:$AZ$254,44,0)</f>
        <v>1551.6143259499997</v>
      </c>
      <c r="E59" s="2370">
        <f>VLOOKUP(A59,F13D!$A$10:$AZ$237,45,FALSE)</f>
        <v>24.560171999999994</v>
      </c>
      <c r="F59" s="2370">
        <f t="shared" si="0"/>
        <v>0.15828786567153311</v>
      </c>
      <c r="G59" s="2370">
        <f>VLOOKUP(A59,F13D!$A$10:$AZ$237,47,FALSE)</f>
        <v>166.53051558879608</v>
      </c>
      <c r="H59" s="2371">
        <f t="shared" si="1"/>
        <v>1.0732726090733611</v>
      </c>
      <c r="I59" s="2370"/>
      <c r="J59" s="2370"/>
      <c r="K59" s="2370">
        <f t="shared" si="2"/>
        <v>191.09068758879607</v>
      </c>
      <c r="L59" s="2372">
        <f t="shared" si="3"/>
        <v>1.2315604747448943</v>
      </c>
      <c r="M59" s="2367"/>
      <c r="N59" s="2373"/>
      <c r="O59" s="2369"/>
      <c r="Q59" s="2369"/>
      <c r="R59" s="2369"/>
      <c r="S59" s="2369"/>
      <c r="T59" s="2369"/>
      <c r="U59" s="2369"/>
    </row>
    <row r="60" spans="1:21" s="2350" customFormat="1">
      <c r="A60" s="2365" t="s">
        <v>1760</v>
      </c>
      <c r="B60" s="2365" t="s">
        <v>1717</v>
      </c>
      <c r="C60" s="1579">
        <v>1</v>
      </c>
      <c r="D60" s="2370">
        <f>VLOOKUP($A60,F13D!$A$10:$AZ$254,44,0)</f>
        <v>800.53265424193546</v>
      </c>
      <c r="E60" s="2370">
        <f>VLOOKUP(A60,F13D!$A$10:$AZ$237,45,FALSE)</f>
        <v>202.750070166</v>
      </c>
      <c r="F60" s="2370">
        <f t="shared" si="0"/>
        <v>2.532689567273108</v>
      </c>
      <c r="G60" s="2370">
        <f>VLOOKUP(A60,F13D!$A$10:$AZ$237,47,FALSE)</f>
        <v>111.66630033015983</v>
      </c>
      <c r="H60" s="2371">
        <f t="shared" si="1"/>
        <v>1.3949000048711599</v>
      </c>
      <c r="I60" s="2370"/>
      <c r="J60" s="2370"/>
      <c r="K60" s="2370">
        <f t="shared" si="2"/>
        <v>314.41637049615986</v>
      </c>
      <c r="L60" s="2372">
        <f t="shared" si="3"/>
        <v>3.9275895721442682</v>
      </c>
      <c r="M60" s="2367"/>
      <c r="N60" s="2373"/>
      <c r="O60" s="2369"/>
      <c r="Q60" s="2369"/>
      <c r="R60" s="2369"/>
      <c r="S60" s="2369"/>
      <c r="T60" s="2369"/>
      <c r="U60" s="2369"/>
    </row>
    <row r="61" spans="1:21" s="2350" customFormat="1">
      <c r="A61" s="2365" t="s">
        <v>1761</v>
      </c>
      <c r="B61" s="2365" t="s">
        <v>1717</v>
      </c>
      <c r="C61" s="1579">
        <v>1</v>
      </c>
      <c r="D61" s="2370">
        <f>VLOOKUP($A61,F13D!$A$10:$AZ$254,44,0)</f>
        <v>862.62301494623648</v>
      </c>
      <c r="E61" s="2370">
        <f>VLOOKUP(A61,F13D!$A$10:$AZ$237,45,FALSE)</f>
        <v>361.49727829950001</v>
      </c>
      <c r="F61" s="2370">
        <f t="shared" si="0"/>
        <v>4.1906750925493279</v>
      </c>
      <c r="G61" s="2370">
        <f>VLOOKUP(A61,F13D!$A$10:$AZ$237,47,FALSE)</f>
        <v>194.51279500478816</v>
      </c>
      <c r="H61" s="2371">
        <f t="shared" si="1"/>
        <v>2.2548992043402794</v>
      </c>
      <c r="I61" s="2370"/>
      <c r="J61" s="2370"/>
      <c r="K61" s="2370">
        <f t="shared" si="2"/>
        <v>556.0100733042882</v>
      </c>
      <c r="L61" s="2372">
        <f t="shared" si="3"/>
        <v>6.4455742968896077</v>
      </c>
      <c r="M61" s="2367"/>
      <c r="N61" s="2373"/>
      <c r="O61" s="2369"/>
      <c r="Q61" s="2369"/>
      <c r="R61" s="2369"/>
      <c r="S61" s="2369"/>
      <c r="T61" s="2369"/>
      <c r="U61" s="2369"/>
    </row>
    <row r="62" spans="1:21" s="2350" customFormat="1">
      <c r="A62" s="2365" t="s">
        <v>1762</v>
      </c>
      <c r="B62" s="2365" t="s">
        <v>1717</v>
      </c>
      <c r="C62" s="1579">
        <v>1</v>
      </c>
      <c r="D62" s="2370">
        <f>VLOOKUP($A62,F13D!$A$10:$AZ$254,44,0)</f>
        <v>1229.0681561161291</v>
      </c>
      <c r="E62" s="2370">
        <f>VLOOKUP(A62,F13D!$A$10:$AZ$237,45,FALSE)</f>
        <v>410.11083910125012</v>
      </c>
      <c r="F62" s="2370">
        <f t="shared" si="0"/>
        <v>3.3367623842538201</v>
      </c>
      <c r="G62" s="2370">
        <f>VLOOKUP(A62,F13D!$A$10:$AZ$237,47,FALSE)</f>
        <v>306.21437507551099</v>
      </c>
      <c r="H62" s="2371">
        <f t="shared" si="1"/>
        <v>2.4914352678630309</v>
      </c>
      <c r="I62" s="2370"/>
      <c r="J62" s="2370"/>
      <c r="K62" s="2370">
        <f t="shared" si="2"/>
        <v>716.32521417676116</v>
      </c>
      <c r="L62" s="2372">
        <f t="shared" si="3"/>
        <v>5.8281976521168524</v>
      </c>
      <c r="M62" s="2367"/>
      <c r="N62" s="2373"/>
      <c r="O62" s="2369"/>
      <c r="Q62" s="2369"/>
      <c r="R62" s="2369"/>
      <c r="S62" s="2369"/>
      <c r="T62" s="2369"/>
      <c r="U62" s="2369"/>
    </row>
    <row r="63" spans="1:21" s="2350" customFormat="1">
      <c r="A63" s="2365" t="s">
        <v>1740</v>
      </c>
      <c r="B63" s="2365" t="s">
        <v>1717</v>
      </c>
      <c r="C63" s="1579">
        <v>1</v>
      </c>
      <c r="D63" s="2370">
        <f>VLOOKUP($A63,F13D!$A$10:$AZ$254,44,0)</f>
        <v>601.23373971741933</v>
      </c>
      <c r="E63" s="2370">
        <f>VLOOKUP(A63,F13D!$A$10:$AZ$237,45,FALSE)</f>
        <v>186.03562531050005</v>
      </c>
      <c r="F63" s="2370">
        <f t="shared" si="0"/>
        <v>3.0942312951022517</v>
      </c>
      <c r="G63" s="2370">
        <f>VLOOKUP(A63,F13D!$A$10:$AZ$237,47,FALSE)</f>
        <v>164.1412869972269</v>
      </c>
      <c r="H63" s="2371">
        <f t="shared" si="1"/>
        <v>2.7300744478241281</v>
      </c>
      <c r="I63" s="2370"/>
      <c r="J63" s="2370"/>
      <c r="K63" s="2370">
        <f t="shared" si="2"/>
        <v>350.17691230772698</v>
      </c>
      <c r="L63" s="2372">
        <f t="shared" si="3"/>
        <v>5.8243057429263798</v>
      </c>
      <c r="M63" s="2367"/>
      <c r="N63" s="2373"/>
      <c r="O63" s="2369"/>
      <c r="Q63" s="2369"/>
      <c r="R63" s="2369"/>
      <c r="S63" s="2369"/>
      <c r="T63" s="2369"/>
      <c r="U63" s="2369"/>
    </row>
    <row r="64" spans="1:21" s="2350" customFormat="1">
      <c r="A64" s="2365" t="s">
        <v>1741</v>
      </c>
      <c r="B64" s="2365" t="s">
        <v>1717</v>
      </c>
      <c r="C64" s="1579">
        <v>1</v>
      </c>
      <c r="D64" s="2370">
        <f>VLOOKUP($A64,F13D!$A$10:$AZ$254,44,0)</f>
        <v>0</v>
      </c>
      <c r="E64" s="2370">
        <f>VLOOKUP(A64,F13D!$A$10:$AZ$237,45,FALSE)</f>
        <v>0</v>
      </c>
      <c r="F64" s="2370">
        <f t="shared" si="0"/>
        <v>0</v>
      </c>
      <c r="G64" s="2370">
        <f>VLOOKUP(A64,F13D!$A$10:$AZ$237,47,FALSE)</f>
        <v>0</v>
      </c>
      <c r="H64" s="2371">
        <f t="shared" si="1"/>
        <v>0</v>
      </c>
      <c r="I64" s="2370"/>
      <c r="J64" s="2370"/>
      <c r="K64" s="2370">
        <f t="shared" si="2"/>
        <v>0</v>
      </c>
      <c r="L64" s="2372">
        <f t="shared" si="3"/>
        <v>0</v>
      </c>
      <c r="M64" s="2367"/>
      <c r="N64" s="2373"/>
      <c r="O64" s="2369"/>
      <c r="Q64" s="2369"/>
      <c r="R64" s="2369"/>
      <c r="S64" s="2369"/>
      <c r="T64" s="2369"/>
      <c r="U64" s="2369"/>
    </row>
    <row r="65" spans="1:21" s="2350" customFormat="1">
      <c r="A65" s="2365" t="s">
        <v>1742</v>
      </c>
      <c r="B65" s="2365" t="s">
        <v>1717</v>
      </c>
      <c r="C65" s="1579">
        <v>1</v>
      </c>
      <c r="D65" s="2370">
        <f>VLOOKUP($A65,F13D!$A$10:$AZ$254,44,0)</f>
        <v>0</v>
      </c>
      <c r="E65" s="2370">
        <f>VLOOKUP(A65,F13D!$A$10:$AZ$237,45,FALSE)</f>
        <v>0</v>
      </c>
      <c r="F65" s="2370">
        <f t="shared" si="0"/>
        <v>0</v>
      </c>
      <c r="G65" s="2370">
        <f>VLOOKUP(A65,F13D!$A$10:$AZ$237,47,FALSE)</f>
        <v>0</v>
      </c>
      <c r="H65" s="2371">
        <f t="shared" si="1"/>
        <v>0</v>
      </c>
      <c r="I65" s="2370"/>
      <c r="J65" s="2370"/>
      <c r="K65" s="2370">
        <f t="shared" si="2"/>
        <v>0</v>
      </c>
      <c r="L65" s="2372">
        <f t="shared" si="3"/>
        <v>0</v>
      </c>
      <c r="M65" s="2367"/>
      <c r="N65" s="2373"/>
      <c r="O65" s="2369"/>
      <c r="Q65" s="2369"/>
      <c r="R65" s="2369"/>
      <c r="S65" s="2369"/>
      <c r="T65" s="2369"/>
      <c r="U65" s="2369"/>
    </row>
    <row r="66" spans="1:21" s="2350" customFormat="1">
      <c r="A66" s="2365" t="s">
        <v>1743</v>
      </c>
      <c r="B66" s="2365" t="s">
        <v>1717</v>
      </c>
      <c r="C66" s="1579">
        <v>1</v>
      </c>
      <c r="D66" s="2370">
        <f>VLOOKUP($A66,F13D!$A$10:$AZ$254,44,0)</f>
        <v>22.705199999999991</v>
      </c>
      <c r="E66" s="2370">
        <f>VLOOKUP(A66,F13D!$A$10:$AZ$237,45,FALSE)</f>
        <v>22.453922043000002</v>
      </c>
      <c r="F66" s="2370">
        <f t="shared" si="0"/>
        <v>9.8893302164261971</v>
      </c>
      <c r="G66" s="2370">
        <f>VLOOKUP(A66,F13D!$A$10:$AZ$237,47,FALSE)</f>
        <v>8.0091248565074267</v>
      </c>
      <c r="H66" s="2371">
        <f t="shared" si="1"/>
        <v>3.5274407873559492</v>
      </c>
      <c r="I66" s="2370"/>
      <c r="J66" s="2370"/>
      <c r="K66" s="2370">
        <f t="shared" si="2"/>
        <v>30.463046899507429</v>
      </c>
      <c r="L66" s="2372">
        <f t="shared" si="3"/>
        <v>13.416771003782147</v>
      </c>
      <c r="M66" s="2367"/>
      <c r="N66" s="2373"/>
      <c r="O66" s="2369"/>
      <c r="Q66" s="2369"/>
      <c r="R66" s="2369"/>
      <c r="S66" s="2369"/>
      <c r="T66" s="2369"/>
      <c r="U66" s="2369"/>
    </row>
    <row r="67" spans="1:21" s="2350" customFormat="1">
      <c r="A67" s="2365" t="s">
        <v>1758</v>
      </c>
      <c r="B67" s="2365" t="s">
        <v>1717</v>
      </c>
      <c r="C67" s="1579">
        <v>1</v>
      </c>
      <c r="D67" s="2370">
        <f>VLOOKUP($A67,F13D!$A$10:$AZ$254,44,0)</f>
        <v>133.82128677580644</v>
      </c>
      <c r="E67" s="2370">
        <f>VLOOKUP(A67,F13D!$A$10:$AZ$237,45,FALSE)</f>
        <v>0</v>
      </c>
      <c r="F67" s="2370">
        <f t="shared" si="0"/>
        <v>0</v>
      </c>
      <c r="G67" s="2370">
        <f>VLOOKUP(A67,F13D!$A$10:$AZ$237,47,FALSE)</f>
        <v>30.073176080069839</v>
      </c>
      <c r="H67" s="2371">
        <f t="shared" si="1"/>
        <v>2.2472640044518517</v>
      </c>
      <c r="I67" s="2370"/>
      <c r="J67" s="2370"/>
      <c r="K67" s="2370">
        <f t="shared" si="2"/>
        <v>30.073176080069839</v>
      </c>
      <c r="L67" s="2372">
        <f t="shared" si="3"/>
        <v>2.2472640044518517</v>
      </c>
      <c r="M67" s="2367"/>
      <c r="N67" s="2373"/>
      <c r="O67" s="2369"/>
      <c r="Q67" s="2369"/>
      <c r="R67" s="2369"/>
      <c r="S67" s="2369"/>
      <c r="T67" s="2369"/>
      <c r="U67" s="2369"/>
    </row>
    <row r="68" spans="1:21" s="2350" customFormat="1">
      <c r="A68" s="2365" t="s">
        <v>1756</v>
      </c>
      <c r="B68" s="2365" t="s">
        <v>1717</v>
      </c>
      <c r="C68" s="1579">
        <v>1</v>
      </c>
      <c r="D68" s="2370">
        <f>VLOOKUP($A68,F13D!$A$10:$AZ$254,44,0)</f>
        <v>224.18154000000001</v>
      </c>
      <c r="E68" s="2370">
        <f>VLOOKUP(A68,F13D!$A$10:$AZ$237,45,FALSE)</f>
        <v>0</v>
      </c>
      <c r="F68" s="2370">
        <f t="shared" si="0"/>
        <v>0</v>
      </c>
      <c r="G68" s="2370">
        <f>VLOOKUP(A68,F13D!$A$10:$AZ$237,47,FALSE)</f>
        <v>93.319603047090652</v>
      </c>
      <c r="H68" s="2371">
        <f t="shared" si="1"/>
        <v>4.1626800782566953</v>
      </c>
      <c r="I68" s="2370"/>
      <c r="J68" s="2370"/>
      <c r="K68" s="2370">
        <f t="shared" si="2"/>
        <v>93.319603047090652</v>
      </c>
      <c r="L68" s="2372">
        <f t="shared" si="3"/>
        <v>4.1626800782566953</v>
      </c>
      <c r="M68" s="2367"/>
      <c r="N68" s="2373"/>
      <c r="O68" s="2369"/>
      <c r="Q68" s="2369"/>
      <c r="R68" s="2369"/>
      <c r="S68" s="2369"/>
      <c r="T68" s="2369"/>
      <c r="U68" s="2369"/>
    </row>
    <row r="69" spans="1:21" s="2350" customFormat="1">
      <c r="A69" s="2365" t="s">
        <v>2059</v>
      </c>
      <c r="B69" s="2365" t="s">
        <v>1717</v>
      </c>
      <c r="C69" s="1579">
        <v>1</v>
      </c>
      <c r="D69" s="2370">
        <f>VLOOKUP($A69,F13D!$A$10:$AZ$254,44,0)</f>
        <v>1501.44</v>
      </c>
      <c r="E69" s="2370">
        <f>VLOOKUP(A69,F13D!$A$10:$AZ$237,45,FALSE)</f>
        <v>299.33</v>
      </c>
      <c r="F69" s="2370">
        <f t="shared" si="0"/>
        <v>1.9936194586530263</v>
      </c>
      <c r="G69" s="2370">
        <f>VLOOKUP(A69,F13D!$A$10:$AZ$237,47,FALSE)</f>
        <v>537.51551999999992</v>
      </c>
      <c r="H69" s="2371">
        <f t="shared" si="1"/>
        <v>3.5799999999999992</v>
      </c>
      <c r="I69" s="2370"/>
      <c r="J69" s="2370"/>
      <c r="K69" s="2370">
        <f t="shared" si="2"/>
        <v>836.84551999999985</v>
      </c>
      <c r="L69" s="2372">
        <f t="shared" si="3"/>
        <v>5.5736194586530257</v>
      </c>
      <c r="M69" s="2367"/>
      <c r="N69" s="2373"/>
      <c r="O69" s="2369"/>
      <c r="Q69" s="2369"/>
      <c r="R69" s="2369"/>
      <c r="S69" s="2369"/>
      <c r="T69" s="2369"/>
      <c r="U69" s="2369"/>
    </row>
    <row r="70" spans="1:21" s="2350" customFormat="1">
      <c r="A70" s="2365"/>
      <c r="B70" s="2365"/>
      <c r="C70" s="1579"/>
      <c r="D70" s="2370"/>
      <c r="E70" s="2370"/>
      <c r="F70" s="2370"/>
      <c r="G70" s="2370"/>
      <c r="H70" s="2371">
        <f t="shared" si="1"/>
        <v>0</v>
      </c>
      <c r="I70" s="2370"/>
      <c r="J70" s="2370"/>
      <c r="K70" s="2370"/>
      <c r="L70" s="2372"/>
      <c r="N70" s="2373"/>
      <c r="O70" s="2369"/>
      <c r="Q70" s="2369"/>
      <c r="R70" s="2369"/>
      <c r="S70" s="2369"/>
      <c r="T70" s="2369"/>
      <c r="U70" s="2369"/>
    </row>
    <row r="71" spans="1:21" s="2350" customFormat="1">
      <c r="A71" s="2365" t="s">
        <v>1648</v>
      </c>
      <c r="B71" s="2365" t="s">
        <v>1649</v>
      </c>
      <c r="C71" s="1579">
        <v>2</v>
      </c>
      <c r="D71" s="2370">
        <f>VLOOKUP($A71,F13D!$A$10:$AZ$254,44,0)</f>
        <v>3553.5516673129032</v>
      </c>
      <c r="E71" s="2370">
        <f>VLOOKUP(A71,F13D!$A$10:$AZ$237,45,FALSE)</f>
        <v>272.05857126000001</v>
      </c>
      <c r="F71" s="2370">
        <f t="shared" si="0"/>
        <v>0.76559621677239631</v>
      </c>
      <c r="G71" s="2370">
        <f>VLOOKUP(A71,F13D!$A$10:$AZ$237,47,FALSE)</f>
        <v>717.85573974859676</v>
      </c>
      <c r="H71" s="2371">
        <f t="shared" si="1"/>
        <v>2.0201077877992955</v>
      </c>
      <c r="I71" s="2370"/>
      <c r="J71" s="2370"/>
      <c r="K71" s="2370">
        <f t="shared" si="2"/>
        <v>989.91431100859677</v>
      </c>
      <c r="L71" s="2372">
        <f t="shared" si="3"/>
        <v>2.7857040045716919</v>
      </c>
      <c r="M71" s="2374"/>
      <c r="N71" s="2373"/>
      <c r="O71" s="2369"/>
      <c r="Q71" s="2369"/>
      <c r="R71" s="2369"/>
      <c r="S71" s="2369"/>
      <c r="T71" s="2369"/>
      <c r="U71" s="2369"/>
    </row>
    <row r="72" spans="1:21" s="2350" customFormat="1">
      <c r="A72" s="2365" t="s">
        <v>1650</v>
      </c>
      <c r="B72" s="2365" t="s">
        <v>1649</v>
      </c>
      <c r="C72" s="1579">
        <v>2</v>
      </c>
      <c r="D72" s="2370">
        <f>VLOOKUP($A72,F13D!$A$10:$AZ$254,44,0)</f>
        <v>6730.0913202161291</v>
      </c>
      <c r="E72" s="2370">
        <f>VLOOKUP(A72,F13D!$A$10:$AZ$237,45,FALSE)</f>
        <v>339.43770022050001</v>
      </c>
      <c r="F72" s="2370">
        <f t="shared" si="0"/>
        <v>0.50435823835091642</v>
      </c>
      <c r="G72" s="2370">
        <f>VLOOKUP(A72,F13D!$A$10:$AZ$237,47,FALSE)</f>
        <v>1241.100790194087</v>
      </c>
      <c r="H72" s="2371">
        <f t="shared" si="1"/>
        <v>1.8441069090192233</v>
      </c>
      <c r="I72" s="2370"/>
      <c r="J72" s="2370"/>
      <c r="K72" s="2370">
        <f t="shared" si="2"/>
        <v>1580.5384904145872</v>
      </c>
      <c r="L72" s="2372">
        <f t="shared" si="3"/>
        <v>2.3484651473701397</v>
      </c>
      <c r="M72" s="2374"/>
      <c r="N72" s="2373"/>
      <c r="O72" s="2369"/>
      <c r="Q72" s="2369"/>
      <c r="R72" s="2369"/>
      <c r="S72" s="2369"/>
      <c r="T72" s="2369"/>
      <c r="U72" s="2369"/>
    </row>
    <row r="73" spans="1:21" s="2350" customFormat="1">
      <c r="A73" s="2365" t="s">
        <v>1653</v>
      </c>
      <c r="B73" s="2365" t="s">
        <v>1649</v>
      </c>
      <c r="C73" s="1579">
        <v>2</v>
      </c>
      <c r="D73" s="2370">
        <f>VLOOKUP($A73,F13D!$A$10:$AZ$254,44,0)</f>
        <v>1192.92264</v>
      </c>
      <c r="E73" s="2370">
        <f>VLOOKUP(A73,F13D!$A$10:$AZ$237,45,FALSE)</f>
        <v>367.86015000000003</v>
      </c>
      <c r="F73" s="2370">
        <f t="shared" si="0"/>
        <v>3.0836882264217906</v>
      </c>
      <c r="G73" s="2370">
        <f>VLOOKUP(A73,F13D!$A$10:$AZ$237,47,FALSE)</f>
        <v>462.92990719575317</v>
      </c>
      <c r="H73" s="2371">
        <f t="shared" si="1"/>
        <v>3.880636444252187</v>
      </c>
      <c r="I73" s="2370"/>
      <c r="J73" s="2370"/>
      <c r="K73" s="2370">
        <f t="shared" si="2"/>
        <v>830.79005719575321</v>
      </c>
      <c r="L73" s="2372">
        <f t="shared" si="3"/>
        <v>6.9643246706739781</v>
      </c>
      <c r="M73" s="2374"/>
      <c r="N73" s="2373"/>
      <c r="O73" s="2369"/>
      <c r="Q73" s="2369"/>
      <c r="R73" s="2369"/>
      <c r="S73" s="2369"/>
      <c r="T73" s="2369"/>
      <c r="U73" s="2369"/>
    </row>
    <row r="74" spans="1:21" s="2350" customFormat="1">
      <c r="A74" s="2365" t="s">
        <v>1655</v>
      </c>
      <c r="B74" s="2365" t="s">
        <v>1649</v>
      </c>
      <c r="C74" s="1579">
        <v>2</v>
      </c>
      <c r="D74" s="2370">
        <f>VLOOKUP($A74,F13D!$A$10:$AZ$254,44,0)</f>
        <v>1841.4289831807464</v>
      </c>
      <c r="E74" s="2370">
        <f>VLOOKUP(A74,F13D!$A$10:$AZ$237,45,FALSE)</f>
        <v>367.64169657075007</v>
      </c>
      <c r="F74" s="2370">
        <f t="shared" si="0"/>
        <v>1.9965021726535082</v>
      </c>
      <c r="G74" s="2370">
        <f>VLOOKUP(A74,F13D!$A$10:$AZ$237,47,FALSE)</f>
        <v>468.0874168983654</v>
      </c>
      <c r="H74" s="2371">
        <f t="shared" ref="H74:H136" si="4">IFERROR(G74/D74*10,0)</f>
        <v>2.5419791975350918</v>
      </c>
      <c r="I74" s="2370"/>
      <c r="J74" s="2370"/>
      <c r="K74" s="2370">
        <f t="shared" si="2"/>
        <v>835.72911346911542</v>
      </c>
      <c r="L74" s="2372">
        <f t="shared" si="3"/>
        <v>4.5384813701885998</v>
      </c>
      <c r="M74" s="2374"/>
      <c r="N74" s="2373"/>
      <c r="O74" s="2369"/>
      <c r="Q74" s="2369"/>
      <c r="R74" s="2369"/>
      <c r="S74" s="2369"/>
      <c r="T74" s="2369"/>
      <c r="U74" s="2369"/>
    </row>
    <row r="75" spans="1:21" s="2350" customFormat="1">
      <c r="A75" s="2365" t="s">
        <v>1656</v>
      </c>
      <c r="B75" s="2365" t="s">
        <v>1649</v>
      </c>
      <c r="C75" s="1579">
        <v>2</v>
      </c>
      <c r="D75" s="2370">
        <f>VLOOKUP($A75,F13D!$A$10:$AZ$254,44,0)</f>
        <v>0</v>
      </c>
      <c r="E75" s="2370">
        <f>VLOOKUP(A75,F13D!$A$10:$AZ$237,45,FALSE)</f>
        <v>18.18135384975</v>
      </c>
      <c r="F75" s="2370">
        <f t="shared" ref="F75:F143" si="5">IFERROR(E75/D75*10,0)</f>
        <v>0</v>
      </c>
      <c r="G75" s="2370">
        <f>VLOOKUP(A75,F13D!$A$10:$AZ$237,47,FALSE)</f>
        <v>0</v>
      </c>
      <c r="H75" s="2371">
        <f t="shared" si="4"/>
        <v>0</v>
      </c>
      <c r="I75" s="2370"/>
      <c r="J75" s="2370"/>
      <c r="K75" s="2370">
        <f t="shared" ref="K75:K140" si="6">E75+G75</f>
        <v>18.18135384975</v>
      </c>
      <c r="L75" s="2372">
        <f t="shared" ref="L75:L143" si="7">IFERROR(K75/D75*10,0)</f>
        <v>0</v>
      </c>
      <c r="M75" s="2374"/>
      <c r="N75" s="2373"/>
      <c r="O75" s="2369"/>
      <c r="Q75" s="2369"/>
      <c r="R75" s="2369"/>
      <c r="S75" s="2369"/>
      <c r="T75" s="2369"/>
      <c r="U75" s="2369"/>
    </row>
    <row r="76" spans="1:21" s="2350" customFormat="1">
      <c r="A76" s="2365" t="s">
        <v>1657</v>
      </c>
      <c r="B76" s="2365" t="s">
        <v>1649</v>
      </c>
      <c r="C76" s="1579">
        <v>2</v>
      </c>
      <c r="D76" s="2370">
        <f>VLOOKUP($A76,F13D!$A$10:$AZ$254,44,0)</f>
        <v>1253.07</v>
      </c>
      <c r="E76" s="2370">
        <f>VLOOKUP(A76,F13D!$A$10:$AZ$237,45,FALSE)</f>
        <v>586.94895000000008</v>
      </c>
      <c r="F76" s="2370">
        <f t="shared" si="5"/>
        <v>4.6840874811463058</v>
      </c>
      <c r="G76" s="2370">
        <f>VLOOKUP(A76,F13D!$A$10:$AZ$237,47,FALSE)</f>
        <v>474.96062728431008</v>
      </c>
      <c r="H76" s="2371">
        <f t="shared" si="4"/>
        <v>3.7903758551741729</v>
      </c>
      <c r="I76" s="2370"/>
      <c r="J76" s="2370"/>
      <c r="K76" s="2370">
        <f t="shared" si="6"/>
        <v>1061.9095772843102</v>
      </c>
      <c r="L76" s="2372">
        <f t="shared" si="7"/>
        <v>8.4744633363204791</v>
      </c>
      <c r="M76" s="2374"/>
      <c r="N76" s="2373"/>
      <c r="O76" s="2369"/>
      <c r="Q76" s="2369"/>
      <c r="R76" s="2369"/>
      <c r="S76" s="2369"/>
      <c r="T76" s="2369"/>
      <c r="U76" s="2369"/>
    </row>
    <row r="77" spans="1:21" s="2350" customFormat="1">
      <c r="A77" s="2365" t="s">
        <v>1658</v>
      </c>
      <c r="B77" s="2365" t="s">
        <v>1649</v>
      </c>
      <c r="C77" s="1579">
        <v>2</v>
      </c>
      <c r="D77" s="2370">
        <f>VLOOKUP($A77,F13D!$A$10:$AZ$254,44,0)</f>
        <v>1183.9629296672711</v>
      </c>
      <c r="E77" s="2370">
        <f>VLOOKUP(A77,F13D!$A$10:$AZ$237,45,FALSE)</f>
        <v>549.91597477950017</v>
      </c>
      <c r="F77" s="2370">
        <f t="shared" si="5"/>
        <v>4.6447060207707933</v>
      </c>
      <c r="G77" s="2370">
        <f>VLOOKUP(A77,F13D!$A$10:$AZ$237,47,FALSE)</f>
        <v>460.34626253762156</v>
      </c>
      <c r="H77" s="2371">
        <f t="shared" si="4"/>
        <v>3.8881813864475689</v>
      </c>
      <c r="I77" s="2370"/>
      <c r="J77" s="2370"/>
      <c r="K77" s="2370">
        <f t="shared" si="6"/>
        <v>1010.2622373171217</v>
      </c>
      <c r="L77" s="2372">
        <f t="shared" si="7"/>
        <v>8.5328874072183627</v>
      </c>
      <c r="M77" s="2374"/>
      <c r="N77" s="2373"/>
      <c r="O77" s="2369"/>
      <c r="Q77" s="2369"/>
      <c r="R77" s="2369"/>
      <c r="S77" s="2369"/>
      <c r="T77" s="2369"/>
      <c r="U77" s="2369"/>
    </row>
    <row r="78" spans="1:21" s="2350" customFormat="1">
      <c r="A78" s="2365" t="s">
        <v>1659</v>
      </c>
      <c r="B78" s="2365" t="s">
        <v>1649</v>
      </c>
      <c r="C78" s="1579">
        <v>2</v>
      </c>
      <c r="D78" s="2370">
        <f>VLOOKUP($A78,F13D!$A$10:$AZ$254,44,0)</f>
        <v>5334.7510297532262</v>
      </c>
      <c r="E78" s="2370">
        <f>VLOOKUP(A78,F13D!$A$10:$AZ$237,45,FALSE)</f>
        <v>680.11653926475014</v>
      </c>
      <c r="F78" s="2370">
        <f t="shared" si="5"/>
        <v>1.2748796250688588</v>
      </c>
      <c r="G78" s="2370">
        <f>VLOOKUP(A78,F13D!$A$10:$AZ$237,47,FALSE)</f>
        <v>991.13492289963597</v>
      </c>
      <c r="H78" s="2371">
        <f t="shared" si="4"/>
        <v>1.8578841212492043</v>
      </c>
      <c r="I78" s="2370"/>
      <c r="J78" s="2370"/>
      <c r="K78" s="2370">
        <f t="shared" si="6"/>
        <v>1671.2514621643861</v>
      </c>
      <c r="L78" s="2372">
        <f t="shared" si="7"/>
        <v>3.1327637463180631</v>
      </c>
      <c r="M78" s="2374"/>
      <c r="N78" s="2373"/>
      <c r="O78" s="2369"/>
      <c r="Q78" s="2369"/>
      <c r="R78" s="2369"/>
      <c r="S78" s="2369"/>
      <c r="T78" s="2369"/>
      <c r="U78" s="2369"/>
    </row>
    <row r="79" spans="1:21" s="2350" customFormat="1">
      <c r="A79" s="2365" t="s">
        <v>1660</v>
      </c>
      <c r="B79" s="2365" t="s">
        <v>1649</v>
      </c>
      <c r="C79" s="1579">
        <v>2</v>
      </c>
      <c r="D79" s="2370">
        <f>VLOOKUP($A79,F13D!$A$10:$AZ$254,44,0)</f>
        <v>393.38441999999998</v>
      </c>
      <c r="E79" s="2370">
        <f>VLOOKUP(A79,F13D!$A$10:$AZ$237,45,FALSE)</f>
        <v>98.346104999999994</v>
      </c>
      <c r="F79" s="2370">
        <f t="shared" si="5"/>
        <v>2.5</v>
      </c>
      <c r="G79" s="2370">
        <f>VLOOKUP(A79,F13D!$A$10:$AZ$237,47,FALSE)</f>
        <v>85.948201619280013</v>
      </c>
      <c r="H79" s="2371">
        <f t="shared" si="4"/>
        <v>2.1848400000000003</v>
      </c>
      <c r="I79" s="2370"/>
      <c r="J79" s="2370"/>
      <c r="K79" s="2370">
        <f t="shared" si="6"/>
        <v>184.29430661928001</v>
      </c>
      <c r="L79" s="2372">
        <f t="shared" si="7"/>
        <v>4.6848400000000003</v>
      </c>
      <c r="M79" s="2374"/>
      <c r="N79" s="2373"/>
      <c r="O79" s="2369"/>
      <c r="Q79" s="2369"/>
      <c r="R79" s="2369"/>
      <c r="S79" s="2369"/>
      <c r="T79" s="2369"/>
      <c r="U79" s="2369"/>
    </row>
    <row r="80" spans="1:21" s="2350" customFormat="1">
      <c r="A80" s="2365" t="s">
        <v>1661</v>
      </c>
      <c r="B80" s="2365" t="s">
        <v>1649</v>
      </c>
      <c r="C80" s="1579">
        <v>2</v>
      </c>
      <c r="D80" s="2370">
        <f>VLOOKUP($A80,F13D!$A$10:$AZ$254,44,0)</f>
        <v>1941.5424599999999</v>
      </c>
      <c r="E80" s="2370">
        <f>VLOOKUP(A80,F13D!$A$10:$AZ$237,45,FALSE)</f>
        <v>972.67470299999991</v>
      </c>
      <c r="F80" s="2370">
        <f t="shared" si="5"/>
        <v>5.0098039215686274</v>
      </c>
      <c r="G80" s="2370">
        <f>VLOOKUP(A80,F13D!$A$10:$AZ$237,47,FALSE)</f>
        <v>646.39384812287994</v>
      </c>
      <c r="H80" s="2371">
        <f t="shared" si="4"/>
        <v>3.3292799999999998</v>
      </c>
      <c r="I80" s="2370"/>
      <c r="J80" s="2370"/>
      <c r="K80" s="2370">
        <f t="shared" si="6"/>
        <v>1619.0685511228799</v>
      </c>
      <c r="L80" s="2372">
        <f t="shared" si="7"/>
        <v>8.3390839215686281</v>
      </c>
      <c r="M80" s="2374"/>
      <c r="N80" s="2373"/>
      <c r="O80" s="2369"/>
      <c r="Q80" s="2369"/>
      <c r="R80" s="2369"/>
      <c r="S80" s="2369"/>
      <c r="T80" s="2369"/>
      <c r="U80" s="2369"/>
    </row>
    <row r="81" spans="1:21" s="2350" customFormat="1">
      <c r="A81" s="2365" t="s">
        <v>1662</v>
      </c>
      <c r="B81" s="2365" t="s">
        <v>1649</v>
      </c>
      <c r="C81" s="1579">
        <v>2</v>
      </c>
      <c r="D81" s="2370">
        <f>VLOOKUP($A81,F13D!$A$10:$AZ$254,44,0)</f>
        <v>3477.0106800000003</v>
      </c>
      <c r="E81" s="2370">
        <f>VLOOKUP(A81,F13D!$A$10:$AZ$237,45,FALSE)</f>
        <v>899.39099249999992</v>
      </c>
      <c r="F81" s="2370">
        <f t="shared" si="5"/>
        <v>2.586678832116788</v>
      </c>
      <c r="G81" s="2370">
        <f>VLOOKUP(A81,F13D!$A$10:$AZ$237,47,FALSE)</f>
        <v>701.79149082556808</v>
      </c>
      <c r="H81" s="2371">
        <f t="shared" si="4"/>
        <v>2.0183759999999999</v>
      </c>
      <c r="I81" s="2370"/>
      <c r="J81" s="2370"/>
      <c r="K81" s="2370">
        <f t="shared" si="6"/>
        <v>1601.182483325568</v>
      </c>
      <c r="L81" s="2372">
        <f t="shared" si="7"/>
        <v>4.6050548321167879</v>
      </c>
      <c r="M81" s="2374"/>
      <c r="N81" s="2373"/>
      <c r="O81" s="2369"/>
      <c r="Q81" s="2369"/>
      <c r="R81" s="2369"/>
      <c r="S81" s="2369"/>
      <c r="T81" s="2369"/>
      <c r="U81" s="2369"/>
    </row>
    <row r="82" spans="1:21" s="2350" customFormat="1">
      <c r="A82" s="2365" t="s">
        <v>1663</v>
      </c>
      <c r="B82" s="2365" t="s">
        <v>1649</v>
      </c>
      <c r="C82" s="1579">
        <v>2</v>
      </c>
      <c r="D82" s="2370">
        <f>VLOOKUP($A82,F13D!$A$10:$AZ$254,44,0)</f>
        <v>774.0790199999999</v>
      </c>
      <c r="E82" s="2370">
        <f>VLOOKUP(A82,F13D!$A$10:$AZ$237,45,FALSE)</f>
        <v>856.56284999999991</v>
      </c>
      <c r="F82" s="2370">
        <f t="shared" si="5"/>
        <v>11.065573770491802</v>
      </c>
      <c r="G82" s="2370">
        <f>VLOOKUP(A82,F13D!$A$10:$AZ$237,47,FALSE)</f>
        <v>215.83428572534399</v>
      </c>
      <c r="H82" s="2371">
        <f t="shared" si="4"/>
        <v>2.7882720000000001</v>
      </c>
      <c r="I82" s="2370"/>
      <c r="J82" s="2370"/>
      <c r="K82" s="2370">
        <f t="shared" si="6"/>
        <v>1072.397135725344</v>
      </c>
      <c r="L82" s="2372">
        <f t="shared" si="7"/>
        <v>13.853845770491805</v>
      </c>
      <c r="M82" s="2374"/>
      <c r="N82" s="2373"/>
      <c r="O82" s="2369"/>
      <c r="Q82" s="2369"/>
      <c r="R82" s="2369"/>
      <c r="S82" s="2369"/>
      <c r="T82" s="2369"/>
      <c r="U82" s="2369"/>
    </row>
    <row r="83" spans="1:21" s="2350" customFormat="1">
      <c r="A83" s="2365" t="s">
        <v>1677</v>
      </c>
      <c r="B83" s="2365" t="s">
        <v>1649</v>
      </c>
      <c r="C83" s="1579">
        <v>1</v>
      </c>
      <c r="D83" s="2370">
        <f>VLOOKUP($A83,F13D!$A$10:$AZ$254,44,0)</f>
        <v>42.120707937654032</v>
      </c>
      <c r="E83" s="2370">
        <f>VLOOKUP(A83,F13D!$A$10:$AZ$237,45,FALSE)</f>
        <v>55.230680027249996</v>
      </c>
      <c r="F83" s="2370">
        <f t="shared" si="5"/>
        <v>13.112476672757021</v>
      </c>
      <c r="G83" s="2370">
        <f>VLOOKUP(A83,F13D!$A$10:$AZ$237,47,FALSE)</f>
        <v>19.55723651621344</v>
      </c>
      <c r="H83" s="2371">
        <f t="shared" si="4"/>
        <v>4.6431405058911999</v>
      </c>
      <c r="I83" s="2370"/>
      <c r="J83" s="2370"/>
      <c r="K83" s="2370">
        <f t="shared" si="6"/>
        <v>74.787916543463439</v>
      </c>
      <c r="L83" s="2372">
        <f t="shared" si="7"/>
        <v>17.755617178648219</v>
      </c>
      <c r="M83" s="2374"/>
      <c r="N83" s="2373"/>
      <c r="O83" s="2369"/>
      <c r="Q83" s="2369"/>
      <c r="R83" s="2369"/>
      <c r="S83" s="2369"/>
      <c r="T83" s="2369"/>
      <c r="U83" s="2369"/>
    </row>
    <row r="84" spans="1:21" s="2350" customFormat="1">
      <c r="A84" s="2365" t="s">
        <v>1678</v>
      </c>
      <c r="B84" s="2365" t="s">
        <v>1649</v>
      </c>
      <c r="C84" s="1579">
        <v>2</v>
      </c>
      <c r="D84" s="2370">
        <f>VLOOKUP($A84,F13D!$A$10:$AZ$254,44,0)</f>
        <v>0</v>
      </c>
      <c r="E84" s="2370">
        <f>VLOOKUP(A84,F13D!$A$10:$AZ$237,45,FALSE)</f>
        <v>109.95806163825003</v>
      </c>
      <c r="F84" s="2370">
        <f t="shared" si="5"/>
        <v>0</v>
      </c>
      <c r="G84" s="2370">
        <f>VLOOKUP(A84,F13D!$A$10:$AZ$237,47,FALSE)</f>
        <v>0</v>
      </c>
      <c r="H84" s="2371">
        <f t="shared" si="4"/>
        <v>0</v>
      </c>
      <c r="I84" s="2370"/>
      <c r="J84" s="2370"/>
      <c r="K84" s="2370">
        <f t="shared" si="6"/>
        <v>109.95806163825003</v>
      </c>
      <c r="L84" s="2372">
        <f t="shared" si="7"/>
        <v>0</v>
      </c>
      <c r="M84" s="2374"/>
      <c r="N84" s="2373"/>
      <c r="O84" s="2369"/>
      <c r="Q84" s="2369"/>
      <c r="R84" s="2369"/>
      <c r="S84" s="2369"/>
      <c r="T84" s="2369"/>
      <c r="U84" s="2369"/>
    </row>
    <row r="85" spans="1:21" s="2350" customFormat="1">
      <c r="A85" s="2365" t="s">
        <v>1679</v>
      </c>
      <c r="B85" s="2365" t="s">
        <v>1649</v>
      </c>
      <c r="C85" s="1579">
        <v>2</v>
      </c>
      <c r="D85" s="2370">
        <f>VLOOKUP($A85,F13D!$A$10:$AZ$254,44,0)</f>
        <v>443.41176788999996</v>
      </c>
      <c r="E85" s="2370">
        <f>VLOOKUP(A85,F13D!$A$10:$AZ$237,45,FALSE)</f>
        <v>116.83909290375003</v>
      </c>
      <c r="F85" s="2370">
        <f t="shared" si="5"/>
        <v>2.6350020762808231</v>
      </c>
      <c r="G85" s="2370">
        <f>VLOOKUP(A85,F13D!$A$10:$AZ$237,47,FALSE)</f>
        <v>175.25962546739112</v>
      </c>
      <c r="H85" s="2371">
        <f t="shared" si="4"/>
        <v>3.9525253536092193</v>
      </c>
      <c r="I85" s="2370"/>
      <c r="J85" s="2370"/>
      <c r="K85" s="2370">
        <f t="shared" si="6"/>
        <v>292.09871837114116</v>
      </c>
      <c r="L85" s="2372">
        <f t="shared" si="7"/>
        <v>6.5875274298900424</v>
      </c>
      <c r="M85" s="2374"/>
      <c r="N85" s="2373"/>
      <c r="O85" s="2369"/>
      <c r="Q85" s="2369"/>
      <c r="R85" s="2369"/>
      <c r="S85" s="2369"/>
      <c r="T85" s="2369"/>
      <c r="U85" s="2369"/>
    </row>
    <row r="86" spans="1:21" s="2350" customFormat="1">
      <c r="A86" s="2365" t="s">
        <v>1680</v>
      </c>
      <c r="B86" s="2365" t="s">
        <v>1649</v>
      </c>
      <c r="C86" s="1579">
        <v>1</v>
      </c>
      <c r="D86" s="2370">
        <f>VLOOKUP($A86,F13D!$A$10:$AZ$254,44,0)</f>
        <v>0.14074020000000001</v>
      </c>
      <c r="E86" s="2370">
        <f>VLOOKUP(A86,F13D!$A$10:$AZ$237,45,FALSE)</f>
        <v>0.18888007950000002</v>
      </c>
      <c r="F86" s="2370">
        <f t="shared" si="5"/>
        <v>13.420478264205965</v>
      </c>
      <c r="G86" s="2370">
        <f>VLOOKUP(A86,F13D!$A$10:$AZ$237,47,FALSE)</f>
        <v>2.9519319447366393E-2</v>
      </c>
      <c r="H86" s="2371">
        <f t="shared" si="4"/>
        <v>2.0974333877148386</v>
      </c>
      <c r="I86" s="2370"/>
      <c r="J86" s="2370"/>
      <c r="K86" s="2370">
        <f t="shared" si="6"/>
        <v>0.2183993989473664</v>
      </c>
      <c r="L86" s="2372">
        <f t="shared" si="7"/>
        <v>15.517911651920802</v>
      </c>
      <c r="M86" s="2374"/>
      <c r="N86" s="2373"/>
      <c r="O86" s="2369"/>
      <c r="Q86" s="2369"/>
      <c r="R86" s="2369"/>
      <c r="S86" s="2369"/>
      <c r="T86" s="2369"/>
      <c r="U86" s="2369"/>
    </row>
    <row r="87" spans="1:21" s="2350" customFormat="1">
      <c r="A87" s="2365" t="s">
        <v>1681</v>
      </c>
      <c r="B87" s="2365" t="s">
        <v>1649</v>
      </c>
      <c r="C87" s="1579">
        <v>1</v>
      </c>
      <c r="D87" s="2370">
        <f>VLOOKUP($A87,F13D!$A$10:$AZ$254,44,0)</f>
        <v>0.14285270000000003</v>
      </c>
      <c r="E87" s="2370">
        <f>VLOOKUP(A87,F13D!$A$10:$AZ$237,45,FALSE)</f>
        <v>0.16558513649999998</v>
      </c>
      <c r="F87" s="2370">
        <f t="shared" si="5"/>
        <v>11.591320045053397</v>
      </c>
      <c r="G87" s="2370">
        <f>VLOOKUP(A87,F13D!$A$10:$AZ$237,47,FALSE)</f>
        <v>3.0123999235904891E-2</v>
      </c>
      <c r="H87" s="2371">
        <f t="shared" si="4"/>
        <v>2.1087455284992784</v>
      </c>
      <c r="I87" s="2370"/>
      <c r="J87" s="2370"/>
      <c r="K87" s="2370">
        <f t="shared" si="6"/>
        <v>0.19570913573590487</v>
      </c>
      <c r="L87" s="2372">
        <f t="shared" si="7"/>
        <v>13.700065573552676</v>
      </c>
      <c r="M87" s="2374"/>
      <c r="N87" s="2373"/>
      <c r="O87" s="2369"/>
      <c r="Q87" s="2369"/>
      <c r="R87" s="2369"/>
      <c r="S87" s="2369"/>
      <c r="T87" s="2369"/>
      <c r="U87" s="2369"/>
    </row>
    <row r="88" spans="1:21" s="2350" customFormat="1">
      <c r="A88" s="2365" t="s">
        <v>1682</v>
      </c>
      <c r="B88" s="2365" t="s">
        <v>1649</v>
      </c>
      <c r="C88" s="1579">
        <v>2</v>
      </c>
      <c r="D88" s="2370">
        <f>VLOOKUP($A88,F13D!$A$10:$AZ$254,44,0)</f>
        <v>921.97859845161292</v>
      </c>
      <c r="E88" s="2370">
        <f>VLOOKUP(A88,F13D!$A$10:$AZ$237,45,FALSE)</f>
        <v>370.39982225400007</v>
      </c>
      <c r="F88" s="2370">
        <f t="shared" si="5"/>
        <v>4.0174449046437308</v>
      </c>
      <c r="G88" s="2370">
        <f>VLOOKUP(A88,F13D!$A$10:$AZ$237,47,FALSE)</f>
        <v>333.04445765648506</v>
      </c>
      <c r="H88" s="2371">
        <f t="shared" si="4"/>
        <v>3.6122797016742663</v>
      </c>
      <c r="I88" s="2370"/>
      <c r="J88" s="2370"/>
      <c r="K88" s="2370">
        <f t="shared" si="6"/>
        <v>703.44427991048519</v>
      </c>
      <c r="L88" s="2372">
        <f t="shared" si="7"/>
        <v>7.629724606317998</v>
      </c>
      <c r="M88" s="2374"/>
      <c r="N88" s="2373"/>
      <c r="O88" s="2369"/>
      <c r="Q88" s="2369"/>
      <c r="R88" s="2369"/>
      <c r="S88" s="2369"/>
      <c r="T88" s="2369"/>
      <c r="U88" s="2369"/>
    </row>
    <row r="89" spans="1:21" s="2350" customFormat="1">
      <c r="A89" s="2365" t="s">
        <v>1683</v>
      </c>
      <c r="B89" s="2365" t="s">
        <v>1649</v>
      </c>
      <c r="C89" s="1579">
        <v>2</v>
      </c>
      <c r="D89" s="2370">
        <f>VLOOKUP($A89,F13D!$A$10:$AZ$254,44,0)</f>
        <v>530.68920810774205</v>
      </c>
      <c r="E89" s="2370">
        <f>VLOOKUP(A89,F13D!$A$10:$AZ$237,45,FALSE)</f>
        <v>187.05267406350004</v>
      </c>
      <c r="F89" s="2370">
        <f t="shared" si="5"/>
        <v>3.5247122271520559</v>
      </c>
      <c r="G89" s="2370">
        <f>VLOOKUP(A89,F13D!$A$10:$AZ$237,47,FALSE)</f>
        <v>174.66699580669487</v>
      </c>
      <c r="H89" s="2371">
        <f t="shared" si="4"/>
        <v>3.2913236813218463</v>
      </c>
      <c r="I89" s="2370"/>
      <c r="J89" s="2370"/>
      <c r="K89" s="2370">
        <f t="shared" si="6"/>
        <v>361.71966987019493</v>
      </c>
      <c r="L89" s="2372">
        <f t="shared" si="7"/>
        <v>6.8160359084739017</v>
      </c>
      <c r="M89" s="2374"/>
      <c r="N89" s="2373"/>
      <c r="O89" s="2369"/>
      <c r="Q89" s="2369"/>
      <c r="R89" s="2369"/>
      <c r="S89" s="2369"/>
      <c r="T89" s="2369"/>
      <c r="U89" s="2369"/>
    </row>
    <row r="90" spans="1:21" s="2350" customFormat="1">
      <c r="A90" s="2365" t="s">
        <v>1684</v>
      </c>
      <c r="B90" s="2365" t="s">
        <v>1649</v>
      </c>
      <c r="C90" s="1579">
        <v>2</v>
      </c>
      <c r="D90" s="2370">
        <f>VLOOKUP($A90,F13D!$A$10:$AZ$254,44,0)</f>
        <v>362.89505736000001</v>
      </c>
      <c r="E90" s="2370">
        <f>VLOOKUP(A90,F13D!$A$10:$AZ$237,45,FALSE)</f>
        <v>94.184799093000009</v>
      </c>
      <c r="F90" s="2370">
        <f t="shared" si="5"/>
        <v>2.595372882126818</v>
      </c>
      <c r="G90" s="2370">
        <f>VLOOKUP(A90,F13D!$A$10:$AZ$237,47,FALSE)</f>
        <v>121.73326767479455</v>
      </c>
      <c r="H90" s="2371">
        <f t="shared" si="4"/>
        <v>3.3545033255725065</v>
      </c>
      <c r="I90" s="2370"/>
      <c r="J90" s="2370"/>
      <c r="K90" s="2370">
        <f t="shared" si="6"/>
        <v>215.91806676779456</v>
      </c>
      <c r="L90" s="2372">
        <f t="shared" si="7"/>
        <v>5.9498762076993241</v>
      </c>
      <c r="M90" s="2374"/>
      <c r="N90" s="2373"/>
      <c r="O90" s="2369"/>
      <c r="Q90" s="2369"/>
      <c r="R90" s="2369"/>
      <c r="S90" s="2369"/>
      <c r="T90" s="2369"/>
      <c r="U90" s="2369"/>
    </row>
    <row r="91" spans="1:21" s="2350" customFormat="1">
      <c r="A91" s="2365" t="s">
        <v>1685</v>
      </c>
      <c r="B91" s="2365" t="s">
        <v>1649</v>
      </c>
      <c r="C91" s="1579">
        <v>2</v>
      </c>
      <c r="D91" s="2370">
        <f>VLOOKUP($A91,F13D!$A$10:$AZ$254,44,0)</f>
        <v>178.93839600000001</v>
      </c>
      <c r="E91" s="2370">
        <f>VLOOKUP(A91,F13D!$A$10:$AZ$237,45,FALSE)</f>
        <v>62.025115760999995</v>
      </c>
      <c r="F91" s="2370">
        <f t="shared" si="5"/>
        <v>3.4662832096136591</v>
      </c>
      <c r="G91" s="2370">
        <f>VLOOKUP(A91,F13D!$A$10:$AZ$237,47,FALSE)</f>
        <v>61.447946188870503</v>
      </c>
      <c r="H91" s="2371">
        <f t="shared" si="4"/>
        <v>3.4340279986007305</v>
      </c>
      <c r="I91" s="2370"/>
      <c r="J91" s="2370"/>
      <c r="K91" s="2370">
        <f t="shared" si="6"/>
        <v>123.4730619498705</v>
      </c>
      <c r="L91" s="2372">
        <f t="shared" si="7"/>
        <v>6.9003112082143891</v>
      </c>
      <c r="M91" s="2374"/>
      <c r="N91" s="2373"/>
      <c r="O91" s="2369"/>
      <c r="Q91" s="2369"/>
      <c r="R91" s="2369"/>
      <c r="S91" s="2369"/>
      <c r="T91" s="2369"/>
      <c r="U91" s="2369"/>
    </row>
    <row r="92" spans="1:21" s="2350" customFormat="1">
      <c r="A92" s="2365" t="s">
        <v>1686</v>
      </c>
      <c r="B92" s="2365" t="s">
        <v>1649</v>
      </c>
      <c r="C92" s="1579">
        <v>2</v>
      </c>
      <c r="D92" s="2370">
        <f>VLOOKUP($A92,F13D!$A$10:$AZ$254,44,0)</f>
        <v>613.97676000000001</v>
      </c>
      <c r="E92" s="2370">
        <f>VLOOKUP(A92,F13D!$A$10:$AZ$237,45,FALSE)</f>
        <v>254.22843422025005</v>
      </c>
      <c r="F92" s="2370">
        <f t="shared" si="5"/>
        <v>4.1406849702299811</v>
      </c>
      <c r="G92" s="2370">
        <f>VLOOKUP(A92,F13D!$A$10:$AZ$237,47,FALSE)</f>
        <v>203.69944235281258</v>
      </c>
      <c r="H92" s="2371">
        <f t="shared" si="4"/>
        <v>3.3177060700605763</v>
      </c>
      <c r="I92" s="2370"/>
      <c r="J92" s="2370"/>
      <c r="K92" s="2370">
        <f t="shared" si="6"/>
        <v>457.92787657306263</v>
      </c>
      <c r="L92" s="2372">
        <f t="shared" si="7"/>
        <v>7.4583910402905582</v>
      </c>
      <c r="M92" s="2374"/>
      <c r="N92" s="2373"/>
      <c r="O92" s="2369"/>
      <c r="Q92" s="2369"/>
      <c r="R92" s="2369"/>
      <c r="S92" s="2369"/>
      <c r="T92" s="2369"/>
      <c r="U92" s="2369"/>
    </row>
    <row r="93" spans="1:21" s="2350" customFormat="1">
      <c r="A93" s="2365" t="s">
        <v>1687</v>
      </c>
      <c r="B93" s="2365" t="s">
        <v>1649</v>
      </c>
      <c r="C93" s="1579">
        <v>1</v>
      </c>
      <c r="D93" s="2370">
        <f>VLOOKUP($A93,F13D!$A$10:$AZ$254,44,0)</f>
        <v>0</v>
      </c>
      <c r="E93" s="2370">
        <f>VLOOKUP(A93,F13D!$A$10:$AZ$237,45,FALSE)</f>
        <v>0</v>
      </c>
      <c r="F93" s="2370">
        <f t="shared" si="5"/>
        <v>0</v>
      </c>
      <c r="G93" s="2370">
        <f>VLOOKUP(A93,F13D!$A$10:$AZ$237,47,FALSE)</f>
        <v>0</v>
      </c>
      <c r="H93" s="2371">
        <f t="shared" si="4"/>
        <v>0</v>
      </c>
      <c r="I93" s="2370"/>
      <c r="J93" s="2370"/>
      <c r="K93" s="2370">
        <f t="shared" si="6"/>
        <v>0</v>
      </c>
      <c r="L93" s="2372">
        <f t="shared" si="7"/>
        <v>0</v>
      </c>
      <c r="M93" s="2374"/>
      <c r="N93" s="2373"/>
      <c r="O93" s="2369"/>
      <c r="Q93" s="2369"/>
      <c r="R93" s="2369"/>
      <c r="S93" s="2369"/>
      <c r="T93" s="2369"/>
      <c r="U93" s="2369"/>
    </row>
    <row r="94" spans="1:21" s="2350" customFormat="1">
      <c r="A94" s="2365" t="s">
        <v>1688</v>
      </c>
      <c r="B94" s="2365" t="s">
        <v>1649</v>
      </c>
      <c r="C94" s="1579">
        <v>1</v>
      </c>
      <c r="D94" s="2370">
        <f>VLOOKUP($A94,F13D!$A$10:$AZ$254,44,0)</f>
        <v>199.58186117683073</v>
      </c>
      <c r="E94" s="2370">
        <f>VLOOKUP(A94,F13D!$A$10:$AZ$237,45,FALSE)</f>
        <v>51.665261397750001</v>
      </c>
      <c r="F94" s="2370">
        <f t="shared" si="5"/>
        <v>2.5886751978915696</v>
      </c>
      <c r="G94" s="2370">
        <f>VLOOKUP(A94,F13D!$A$10:$AZ$237,47,FALSE)</f>
        <v>48.83701879150906</v>
      </c>
      <c r="H94" s="2371">
        <f t="shared" si="4"/>
        <v>2.4469667986630892</v>
      </c>
      <c r="I94" s="2370"/>
      <c r="J94" s="2370"/>
      <c r="K94" s="2370">
        <f t="shared" si="6"/>
        <v>100.50228018925907</v>
      </c>
      <c r="L94" s="2372">
        <f t="shared" si="7"/>
        <v>5.0356419965546593</v>
      </c>
      <c r="M94" s="2374"/>
      <c r="N94" s="2373"/>
      <c r="O94" s="2369"/>
      <c r="Q94" s="2369"/>
      <c r="R94" s="2369"/>
      <c r="S94" s="2369"/>
      <c r="T94" s="2369"/>
      <c r="U94" s="2369"/>
    </row>
    <row r="95" spans="1:21" s="2350" customFormat="1">
      <c r="A95" s="2365" t="s">
        <v>1689</v>
      </c>
      <c r="B95" s="2365" t="s">
        <v>1649</v>
      </c>
      <c r="C95" s="1579">
        <v>1</v>
      </c>
      <c r="D95" s="2370">
        <f>VLOOKUP($A95,F13D!$A$10:$AZ$254,44,0)</f>
        <v>626.63558598064515</v>
      </c>
      <c r="E95" s="2370">
        <f>VLOOKUP(A95,F13D!$A$10:$AZ$237,45,FALSE)</f>
        <v>152.99649426600004</v>
      </c>
      <c r="F95" s="2370">
        <f t="shared" si="5"/>
        <v>2.4415545125253328</v>
      </c>
      <c r="G95" s="2370">
        <f>VLOOKUP(A95,F13D!$A$10:$AZ$237,47,FALSE)</f>
        <v>149.73926646496241</v>
      </c>
      <c r="H95" s="2371">
        <f t="shared" si="4"/>
        <v>2.3895748951223368</v>
      </c>
      <c r="I95" s="2370"/>
      <c r="J95" s="2370"/>
      <c r="K95" s="2370">
        <f t="shared" si="6"/>
        <v>302.73576073096245</v>
      </c>
      <c r="L95" s="2372">
        <f t="shared" si="7"/>
        <v>4.8311294076476692</v>
      </c>
      <c r="M95" s="2374"/>
      <c r="N95" s="2373"/>
      <c r="O95" s="2369"/>
      <c r="Q95" s="2369"/>
      <c r="R95" s="2369"/>
      <c r="S95" s="2369"/>
      <c r="T95" s="2369"/>
      <c r="U95" s="2369"/>
    </row>
    <row r="96" spans="1:21" s="2350" customFormat="1">
      <c r="A96" s="2365" t="s">
        <v>1690</v>
      </c>
      <c r="B96" s="2365" t="s">
        <v>1649</v>
      </c>
      <c r="C96" s="1579">
        <v>1</v>
      </c>
      <c r="D96" s="2370">
        <f>VLOOKUP($A96,F13D!$A$10:$AZ$254,44,0)</f>
        <v>220.61885025999999</v>
      </c>
      <c r="E96" s="2370">
        <f>VLOOKUP(A96,F13D!$A$10:$AZ$237,45,FALSE)</f>
        <v>56.287445791500005</v>
      </c>
      <c r="F96" s="2370">
        <f t="shared" si="5"/>
        <v>2.5513434470882732</v>
      </c>
      <c r="G96" s="2370">
        <f>VLOOKUP(A96,F13D!$A$10:$AZ$237,47,FALSE)</f>
        <v>73.787611636918498</v>
      </c>
      <c r="H96" s="2371">
        <f t="shared" si="4"/>
        <v>3.3445742079590919</v>
      </c>
      <c r="I96" s="2370"/>
      <c r="J96" s="2370"/>
      <c r="K96" s="2370">
        <f t="shared" si="6"/>
        <v>130.07505742841852</v>
      </c>
      <c r="L96" s="2372">
        <f t="shared" si="7"/>
        <v>5.8959176550473664</v>
      </c>
      <c r="M96" s="2374"/>
      <c r="N96" s="2373"/>
      <c r="O96" s="2369"/>
      <c r="Q96" s="2369"/>
      <c r="R96" s="2369"/>
      <c r="S96" s="2369"/>
      <c r="T96" s="2369"/>
      <c r="U96" s="2369"/>
    </row>
    <row r="97" spans="1:21" s="2350" customFormat="1">
      <c r="A97" s="2365" t="s">
        <v>1691</v>
      </c>
      <c r="B97" s="2365" t="s">
        <v>1649</v>
      </c>
      <c r="C97" s="1579">
        <v>1</v>
      </c>
      <c r="D97" s="2370">
        <f>VLOOKUP($A97,F13D!$A$10:$AZ$254,44,0)</f>
        <v>128.0922791979269</v>
      </c>
      <c r="E97" s="2370">
        <f>VLOOKUP(A97,F13D!$A$10:$AZ$237,45,FALSE)</f>
        <v>118.55074829850001</v>
      </c>
      <c r="F97" s="2370">
        <f t="shared" si="5"/>
        <v>9.255104916613794</v>
      </c>
      <c r="G97" s="2370">
        <f>VLOOKUP(A97,F13D!$A$10:$AZ$237,47,FALSE)</f>
        <v>49.642991937762282</v>
      </c>
      <c r="H97" s="2371">
        <f t="shared" si="4"/>
        <v>3.8755647294755708</v>
      </c>
      <c r="I97" s="2370"/>
      <c r="J97" s="2370"/>
      <c r="K97" s="2370">
        <f t="shared" si="6"/>
        <v>168.1937402362623</v>
      </c>
      <c r="L97" s="2372">
        <f t="shared" si="7"/>
        <v>13.130669646089366</v>
      </c>
      <c r="M97" s="2374"/>
      <c r="N97" s="2373"/>
      <c r="O97" s="2369"/>
      <c r="Q97" s="2369"/>
      <c r="R97" s="2369"/>
      <c r="S97" s="2369"/>
      <c r="T97" s="2369"/>
      <c r="U97" s="2369"/>
    </row>
    <row r="98" spans="1:21" s="2350" customFormat="1">
      <c r="A98" s="2365" t="s">
        <v>1692</v>
      </c>
      <c r="B98" s="2365" t="s">
        <v>1649</v>
      </c>
      <c r="C98" s="1579">
        <v>2</v>
      </c>
      <c r="D98" s="2370">
        <f>VLOOKUP($A98,F13D!$A$10:$AZ$254,44,0)</f>
        <v>2247.3336537638711</v>
      </c>
      <c r="E98" s="2370">
        <f>VLOOKUP(A98,F13D!$A$10:$AZ$237,45,FALSE)</f>
        <v>190.09767785400004</v>
      </c>
      <c r="F98" s="2370">
        <f t="shared" si="5"/>
        <v>0.84588097337314083</v>
      </c>
      <c r="G98" s="2370">
        <f>VLOOKUP(A98,F13D!$A$10:$AZ$237,47,FALSE)</f>
        <v>353.02521493593321</v>
      </c>
      <c r="H98" s="2371">
        <f t="shared" si="4"/>
        <v>1.5708624945151373</v>
      </c>
      <c r="I98" s="2370"/>
      <c r="J98" s="2370"/>
      <c r="K98" s="2370">
        <f t="shared" si="6"/>
        <v>543.1228927899333</v>
      </c>
      <c r="L98" s="2372">
        <f t="shared" si="7"/>
        <v>2.4167434678882782</v>
      </c>
      <c r="M98" s="2374"/>
      <c r="N98" s="2373"/>
      <c r="O98" s="2369"/>
      <c r="Q98" s="2369"/>
      <c r="R98" s="2369"/>
      <c r="S98" s="2369"/>
      <c r="T98" s="2369"/>
      <c r="U98" s="2369"/>
    </row>
    <row r="99" spans="1:21" s="2350" customFormat="1">
      <c r="A99" s="2365" t="s">
        <v>1693</v>
      </c>
      <c r="B99" s="2365" t="s">
        <v>1649</v>
      </c>
      <c r="C99" s="1579">
        <v>2</v>
      </c>
      <c r="D99" s="2370">
        <f>VLOOKUP($A99,F13D!$A$10:$AZ$254,44,0)</f>
        <v>2075.442810648387</v>
      </c>
      <c r="E99" s="2370">
        <f>VLOOKUP(A99,F13D!$A$10:$AZ$237,45,FALSE)</f>
        <v>156.08453469524997</v>
      </c>
      <c r="F99" s="2370">
        <f t="shared" si="5"/>
        <v>0.75205413463784021</v>
      </c>
      <c r="G99" s="2370">
        <f>VLOOKUP(A99,F13D!$A$10:$AZ$237,47,FALSE)</f>
        <v>317.63067266761487</v>
      </c>
      <c r="H99" s="2371">
        <f t="shared" si="4"/>
        <v>1.5304236331541421</v>
      </c>
      <c r="I99" s="2370"/>
      <c r="J99" s="2370"/>
      <c r="K99" s="2370">
        <f t="shared" si="6"/>
        <v>473.71520736286482</v>
      </c>
      <c r="L99" s="2372">
        <f t="shared" si="7"/>
        <v>2.2824777677919825</v>
      </c>
      <c r="M99" s="2374"/>
      <c r="N99" s="2373"/>
      <c r="O99" s="2369"/>
      <c r="Q99" s="2369"/>
      <c r="R99" s="2369"/>
      <c r="S99" s="2369"/>
      <c r="T99" s="2369"/>
      <c r="U99" s="2369"/>
    </row>
    <row r="100" spans="1:21" s="2350" customFormat="1">
      <c r="A100" s="2365" t="s">
        <v>1694</v>
      </c>
      <c r="B100" s="2365" t="s">
        <v>1649</v>
      </c>
      <c r="C100" s="1579">
        <v>2</v>
      </c>
      <c r="D100" s="2370">
        <f>VLOOKUP($A100,F13D!$A$10:$AZ$254,44,0)</f>
        <v>2375.5634976193551</v>
      </c>
      <c r="E100" s="2370">
        <f>VLOOKUP(A100,F13D!$A$10:$AZ$237,45,FALSE)</f>
        <v>346.78891190475002</v>
      </c>
      <c r="F100" s="2370">
        <f t="shared" si="5"/>
        <v>1.4598174801569428</v>
      </c>
      <c r="G100" s="2370">
        <f>VLOOKUP(A100,F13D!$A$10:$AZ$237,47,FALSE)</f>
        <v>374.44655008793995</v>
      </c>
      <c r="H100" s="2371">
        <f t="shared" si="4"/>
        <v>1.5762430701734029</v>
      </c>
      <c r="I100" s="2370"/>
      <c r="J100" s="2370"/>
      <c r="K100" s="2370">
        <f t="shared" si="6"/>
        <v>721.23546199269003</v>
      </c>
      <c r="L100" s="2372">
        <f t="shared" si="7"/>
        <v>3.0360605503303457</v>
      </c>
      <c r="M100" s="2374"/>
      <c r="N100" s="2373"/>
      <c r="O100" s="2369"/>
      <c r="Q100" s="2369"/>
      <c r="R100" s="2369"/>
      <c r="S100" s="2369"/>
      <c r="T100" s="2369"/>
      <c r="U100" s="2369"/>
    </row>
    <row r="101" spans="1:21" s="2350" customFormat="1">
      <c r="A101" s="2365" t="s">
        <v>1695</v>
      </c>
      <c r="B101" s="2365" t="s">
        <v>1649</v>
      </c>
      <c r="C101" s="1579">
        <v>1</v>
      </c>
      <c r="D101" s="2370">
        <f>VLOOKUP($A101,F13D!$A$10:$AZ$254,44,0)</f>
        <v>5140.0067124290326</v>
      </c>
      <c r="E101" s="2370">
        <f>VLOOKUP(A101,F13D!$A$10:$AZ$237,45,FALSE)</f>
        <v>356.25662999325004</v>
      </c>
      <c r="F101" s="2370">
        <f t="shared" si="5"/>
        <v>0.69310537889335266</v>
      </c>
      <c r="G101" s="2370">
        <f>VLOOKUP(A101,F13D!$A$10:$AZ$237,47,FALSE)</f>
        <v>789.53631667708828</v>
      </c>
      <c r="H101" s="2371">
        <f t="shared" si="4"/>
        <v>1.536060866939946</v>
      </c>
      <c r="I101" s="2370"/>
      <c r="J101" s="2370"/>
      <c r="K101" s="2370">
        <f t="shared" si="6"/>
        <v>1145.7929466703383</v>
      </c>
      <c r="L101" s="2372">
        <f t="shared" si="7"/>
        <v>2.2291662458332988</v>
      </c>
      <c r="M101" s="2374"/>
      <c r="N101" s="2373"/>
      <c r="O101" s="2369"/>
      <c r="Q101" s="2369"/>
      <c r="R101" s="2369"/>
      <c r="S101" s="2369"/>
      <c r="T101" s="2369"/>
      <c r="U101" s="2369"/>
    </row>
    <row r="102" spans="1:21" s="2350" customFormat="1">
      <c r="A102" s="2365" t="s">
        <v>1696</v>
      </c>
      <c r="B102" s="2365" t="s">
        <v>1649</v>
      </c>
      <c r="C102" s="1579">
        <v>1</v>
      </c>
      <c r="D102" s="2370">
        <f>VLOOKUP($A102,F13D!$A$10:$AZ$254,44,0)</f>
        <v>19.946773255376346</v>
      </c>
      <c r="E102" s="2370">
        <f>VLOOKUP(A102,F13D!$A$10:$AZ$237,45,FALSE)</f>
        <v>1.2248946990000003</v>
      </c>
      <c r="F102" s="2370">
        <f t="shared" si="5"/>
        <v>0.61408162779904696</v>
      </c>
      <c r="G102" s="2370">
        <f>VLOOKUP(A102,F13D!$A$10:$AZ$237,47,FALSE)</f>
        <v>3.0000798152328612</v>
      </c>
      <c r="H102" s="2371">
        <f t="shared" si="4"/>
        <v>1.5040426723777169</v>
      </c>
      <c r="I102" s="2370"/>
      <c r="J102" s="2370"/>
      <c r="K102" s="2370">
        <f t="shared" si="6"/>
        <v>4.2249745142328612</v>
      </c>
      <c r="L102" s="2372">
        <f t="shared" si="7"/>
        <v>2.1181243001767638</v>
      </c>
      <c r="M102" s="2374"/>
      <c r="N102" s="2373"/>
      <c r="O102" s="2369"/>
      <c r="Q102" s="2369"/>
      <c r="R102" s="2369"/>
      <c r="S102" s="2369"/>
      <c r="T102" s="2369"/>
      <c r="U102" s="2369"/>
    </row>
    <row r="103" spans="1:21" s="2350" customFormat="1">
      <c r="A103" s="2365" t="s">
        <v>1697</v>
      </c>
      <c r="B103" s="2365" t="s">
        <v>1649</v>
      </c>
      <c r="C103" s="1579">
        <v>1</v>
      </c>
      <c r="D103" s="2370">
        <f>VLOOKUP($A103,F13D!$A$10:$AZ$254,44,0)</f>
        <v>9.5170316612903232</v>
      </c>
      <c r="E103" s="2370">
        <f>VLOOKUP(A103,F13D!$A$10:$AZ$237,45,FALSE)</f>
        <v>1.212011766</v>
      </c>
      <c r="F103" s="2370">
        <f t="shared" si="5"/>
        <v>1.2735186864300867</v>
      </c>
      <c r="G103" s="2370">
        <f>VLOOKUP(A103,F13D!$A$10:$AZ$237,47,FALSE)</f>
        <v>1.4584847452966023</v>
      </c>
      <c r="H103" s="2371">
        <f t="shared" si="4"/>
        <v>1.5324996250972442</v>
      </c>
      <c r="I103" s="2370"/>
      <c r="J103" s="2370"/>
      <c r="K103" s="2370">
        <f t="shared" si="6"/>
        <v>2.6704965112966024</v>
      </c>
      <c r="L103" s="2372">
        <f t="shared" si="7"/>
        <v>2.8060183115273314</v>
      </c>
      <c r="M103" s="2374"/>
      <c r="N103" s="2373"/>
      <c r="O103" s="2369"/>
      <c r="Q103" s="2369"/>
      <c r="R103" s="2369"/>
      <c r="S103" s="2369"/>
      <c r="T103" s="2369"/>
      <c r="U103" s="2369"/>
    </row>
    <row r="104" spans="1:21" s="2350" customFormat="1">
      <c r="A104" s="2365" t="s">
        <v>1698</v>
      </c>
      <c r="B104" s="2365" t="s">
        <v>1649</v>
      </c>
      <c r="C104" s="1579">
        <v>1</v>
      </c>
      <c r="D104" s="2370">
        <f>VLOOKUP($A104,F13D!$A$10:$AZ$254,44,0)</f>
        <v>7.6296986666666662</v>
      </c>
      <c r="E104" s="2370">
        <f>VLOOKUP(A104,F13D!$A$10:$AZ$237,45,FALSE)</f>
        <v>3.3724425420000004</v>
      </c>
      <c r="F104" s="2370">
        <f t="shared" si="5"/>
        <v>4.4201516853264984</v>
      </c>
      <c r="G104" s="2370">
        <f>VLOOKUP(A104,F13D!$A$10:$AZ$237,47,FALSE)</f>
        <v>2.529802316381601</v>
      </c>
      <c r="H104" s="2371">
        <f t="shared" si="4"/>
        <v>3.3157303150569177</v>
      </c>
      <c r="I104" s="2370"/>
      <c r="J104" s="2370"/>
      <c r="K104" s="2370">
        <f t="shared" si="6"/>
        <v>5.9022448583816018</v>
      </c>
      <c r="L104" s="2372">
        <f t="shared" si="7"/>
        <v>7.735882000383417</v>
      </c>
      <c r="M104" s="2374"/>
      <c r="N104" s="2373"/>
      <c r="O104" s="2369"/>
      <c r="Q104" s="2369"/>
      <c r="R104" s="2369"/>
      <c r="S104" s="2369"/>
      <c r="T104" s="2369"/>
      <c r="U104" s="2369"/>
    </row>
    <row r="105" spans="1:21" s="2350" customFormat="1">
      <c r="A105" s="2365" t="s">
        <v>1699</v>
      </c>
      <c r="B105" s="2365" t="s">
        <v>1649</v>
      </c>
      <c r="C105" s="1579">
        <v>1</v>
      </c>
      <c r="D105" s="2370">
        <f>VLOOKUP($A105,F13D!$A$10:$AZ$254,44,0)</f>
        <v>10.046416333333335</v>
      </c>
      <c r="E105" s="2370">
        <f>VLOOKUP(A105,F13D!$A$10:$AZ$237,45,FALSE)</f>
        <v>4.1634666675000007</v>
      </c>
      <c r="F105" s="2370">
        <f t="shared" si="5"/>
        <v>4.1442306682890475</v>
      </c>
      <c r="G105" s="2370">
        <f>VLOOKUP(A105,F13D!$A$10:$AZ$237,47,FALSE)</f>
        <v>3.3152214055403215</v>
      </c>
      <c r="H105" s="2371">
        <f t="shared" si="4"/>
        <v>3.2999044590065809</v>
      </c>
      <c r="I105" s="2370"/>
      <c r="J105" s="2370"/>
      <c r="K105" s="2370">
        <f t="shared" si="6"/>
        <v>7.4786880730403222</v>
      </c>
      <c r="L105" s="2372">
        <f t="shared" si="7"/>
        <v>7.4441351272956275</v>
      </c>
      <c r="M105" s="2374"/>
      <c r="N105" s="2373"/>
      <c r="O105" s="2369"/>
      <c r="Q105" s="2369"/>
      <c r="R105" s="2369"/>
      <c r="S105" s="2369"/>
      <c r="T105" s="2369"/>
      <c r="U105" s="2369"/>
    </row>
    <row r="106" spans="1:21" s="2350" customFormat="1">
      <c r="A106" s="2365" t="s">
        <v>1700</v>
      </c>
      <c r="B106" s="2365" t="s">
        <v>1649</v>
      </c>
      <c r="C106" s="1579">
        <v>1</v>
      </c>
      <c r="D106" s="2370">
        <f>VLOOKUP($A106,F13D!$A$10:$AZ$254,44,0)</f>
        <v>4.7131628440860212</v>
      </c>
      <c r="E106" s="2370">
        <f>VLOOKUP(A106,F13D!$A$10:$AZ$237,45,FALSE)</f>
        <v>4.1216893042500002</v>
      </c>
      <c r="F106" s="2370">
        <f t="shared" si="5"/>
        <v>8.7450602506166533</v>
      </c>
      <c r="G106" s="2370">
        <f>VLOOKUP(A106,F13D!$A$10:$AZ$237,47,FALSE)</f>
        <v>1.7892761086871682</v>
      </c>
      <c r="H106" s="2371">
        <f t="shared" si="4"/>
        <v>3.7963383992393025</v>
      </c>
      <c r="I106" s="2370"/>
      <c r="J106" s="2370"/>
      <c r="K106" s="2370">
        <f t="shared" si="6"/>
        <v>5.910965412937168</v>
      </c>
      <c r="L106" s="2372">
        <f t="shared" si="7"/>
        <v>12.541398649855955</v>
      </c>
      <c r="M106" s="2374"/>
      <c r="N106" s="2373"/>
      <c r="O106" s="2369"/>
      <c r="Q106" s="2369"/>
      <c r="R106" s="2369"/>
      <c r="S106" s="2369"/>
      <c r="T106" s="2369"/>
      <c r="U106" s="2369"/>
    </row>
    <row r="107" spans="1:21" s="2350" customFormat="1">
      <c r="A107" s="2365" t="s">
        <v>1701</v>
      </c>
      <c r="B107" s="2365" t="s">
        <v>1649</v>
      </c>
      <c r="C107" s="1579">
        <v>1</v>
      </c>
      <c r="D107" s="2370">
        <f>VLOOKUP($A107,F13D!$A$10:$AZ$254,44,0)</f>
        <v>38.394218056451614</v>
      </c>
      <c r="E107" s="2370">
        <f>VLOOKUP(A107,F13D!$A$10:$AZ$237,45,FALSE)</f>
        <v>4.5093203662500008</v>
      </c>
      <c r="F107" s="2370">
        <f t="shared" si="5"/>
        <v>1.1744790217162067</v>
      </c>
      <c r="G107" s="2370">
        <f>VLOOKUP(A107,F13D!$A$10:$AZ$237,47,FALSE)</f>
        <v>6.1267508998501352</v>
      </c>
      <c r="H107" s="2371">
        <f t="shared" si="4"/>
        <v>1.5957483209690269</v>
      </c>
      <c r="I107" s="2370"/>
      <c r="J107" s="2370"/>
      <c r="K107" s="2370">
        <f t="shared" si="6"/>
        <v>10.636071266100135</v>
      </c>
      <c r="L107" s="2372">
        <f t="shared" si="7"/>
        <v>2.7702273426852333</v>
      </c>
      <c r="M107" s="2374"/>
      <c r="N107" s="2373"/>
      <c r="O107" s="2369"/>
      <c r="Q107" s="2369"/>
      <c r="R107" s="2369"/>
      <c r="S107" s="2369"/>
      <c r="T107" s="2369"/>
      <c r="U107" s="2369"/>
    </row>
    <row r="108" spans="1:21" s="2350" customFormat="1">
      <c r="A108" s="2365" t="s">
        <v>1702</v>
      </c>
      <c r="B108" s="2365" t="s">
        <v>1649</v>
      </c>
      <c r="C108" s="1579">
        <v>1</v>
      </c>
      <c r="D108" s="2370">
        <f>VLOOKUP($A108,F13D!$A$10:$AZ$254,44,0)</f>
        <v>12.767714591397853</v>
      </c>
      <c r="E108" s="2370">
        <f>VLOOKUP(A108,F13D!$A$10:$AZ$237,45,FALSE)</f>
        <v>1.500575706</v>
      </c>
      <c r="F108" s="2370">
        <f t="shared" si="5"/>
        <v>1.1752891993771548</v>
      </c>
      <c r="G108" s="2370">
        <f>VLOOKUP(A108,F13D!$A$10:$AZ$237,47,FALSE)</f>
        <v>2.0782181799510218</v>
      </c>
      <c r="H108" s="2371">
        <f t="shared" si="4"/>
        <v>1.6277135309330966</v>
      </c>
      <c r="I108" s="2370"/>
      <c r="J108" s="2370"/>
      <c r="K108" s="2370">
        <f t="shared" si="6"/>
        <v>3.578793885951022</v>
      </c>
      <c r="L108" s="2372">
        <f t="shared" si="7"/>
        <v>2.8030027303102516</v>
      </c>
      <c r="M108" s="2374"/>
      <c r="N108" s="2373"/>
      <c r="O108" s="2369"/>
      <c r="Q108" s="2369"/>
      <c r="R108" s="2369"/>
      <c r="S108" s="2369"/>
      <c r="T108" s="2369"/>
      <c r="U108" s="2369"/>
    </row>
    <row r="109" spans="1:21" s="2350" customFormat="1">
      <c r="A109" s="2365" t="s">
        <v>1703</v>
      </c>
      <c r="B109" s="2365" t="s">
        <v>1649</v>
      </c>
      <c r="C109" s="1579">
        <v>1</v>
      </c>
      <c r="D109" s="2370">
        <f>VLOOKUP($A109,F13D!$A$10:$AZ$254,44,0)</f>
        <v>17.626664473333335</v>
      </c>
      <c r="E109" s="2370">
        <f>VLOOKUP(A109,F13D!$A$10:$AZ$237,45,FALSE)</f>
        <v>1.5772861125000002</v>
      </c>
      <c r="F109" s="2370">
        <f t="shared" si="5"/>
        <v>0.89482960028325964</v>
      </c>
      <c r="G109" s="2370">
        <f>VLOOKUP(A109,F13D!$A$10:$AZ$237,47,FALSE)</f>
        <v>3.1580681658594094</v>
      </c>
      <c r="H109" s="2371">
        <f t="shared" si="4"/>
        <v>1.7916425258091921</v>
      </c>
      <c r="I109" s="2370"/>
      <c r="J109" s="2370"/>
      <c r="K109" s="2370">
        <f t="shared" si="6"/>
        <v>4.7353542783594094</v>
      </c>
      <c r="L109" s="2372">
        <f t="shared" si="7"/>
        <v>2.6864721260924518</v>
      </c>
      <c r="M109" s="2374"/>
      <c r="N109" s="2373"/>
      <c r="O109" s="2369"/>
      <c r="Q109" s="2369"/>
      <c r="R109" s="2369"/>
      <c r="S109" s="2369"/>
      <c r="T109" s="2369"/>
      <c r="U109" s="2369"/>
    </row>
    <row r="110" spans="1:21" s="2350" customFormat="1">
      <c r="A110" s="2365" t="s">
        <v>1704</v>
      </c>
      <c r="B110" s="2365" t="s">
        <v>1649</v>
      </c>
      <c r="C110" s="1579">
        <v>1</v>
      </c>
      <c r="D110" s="2370">
        <f>VLOOKUP($A110,F13D!$A$10:$AZ$254,44,0)</f>
        <v>13.165676233870965</v>
      </c>
      <c r="E110" s="2370">
        <f>VLOOKUP(A110,F13D!$A$10:$AZ$237,45,FALSE)</f>
        <v>0.93254245875000008</v>
      </c>
      <c r="F110" s="2370">
        <f t="shared" si="5"/>
        <v>0.708313376528943</v>
      </c>
      <c r="G110" s="2370">
        <f>VLOOKUP(A110,F13D!$A$10:$AZ$237,47,FALSE)</f>
        <v>2.2663650037225591</v>
      </c>
      <c r="H110" s="2371">
        <f t="shared" si="4"/>
        <v>1.721419366133238</v>
      </c>
      <c r="I110" s="2370"/>
      <c r="J110" s="2370"/>
      <c r="K110" s="2370">
        <f t="shared" si="6"/>
        <v>3.1989074624725591</v>
      </c>
      <c r="L110" s="2372">
        <f t="shared" si="7"/>
        <v>2.4297327426621811</v>
      </c>
      <c r="M110" s="2374"/>
      <c r="N110" s="2373"/>
      <c r="O110" s="2369"/>
      <c r="Q110" s="2369"/>
      <c r="R110" s="2369"/>
      <c r="S110" s="2369"/>
      <c r="T110" s="2369"/>
      <c r="U110" s="2369"/>
    </row>
    <row r="111" spans="1:21" s="2350" customFormat="1">
      <c r="A111" s="2365" t="s">
        <v>1705</v>
      </c>
      <c r="B111" s="2365" t="s">
        <v>1649</v>
      </c>
      <c r="C111" s="1579">
        <v>1</v>
      </c>
      <c r="D111" s="2370">
        <f>VLOOKUP($A111,F13D!$A$10:$AZ$254,44,0)</f>
        <v>14.658314795698923</v>
      </c>
      <c r="E111" s="2370">
        <f>VLOOKUP(A111,F13D!$A$10:$AZ$237,45,FALSE)</f>
        <v>1.5164167567500002</v>
      </c>
      <c r="F111" s="2370">
        <f t="shared" si="5"/>
        <v>1.0345096130661287</v>
      </c>
      <c r="G111" s="2370">
        <f>VLOOKUP(A111,F13D!$A$10:$AZ$237,47,FALSE)</f>
        <v>2.5324190066179222</v>
      </c>
      <c r="H111" s="2371">
        <f t="shared" si="4"/>
        <v>1.7276331160257186</v>
      </c>
      <c r="I111" s="2370"/>
      <c r="J111" s="2370"/>
      <c r="K111" s="2370">
        <f t="shared" si="6"/>
        <v>4.0488357633679222</v>
      </c>
      <c r="L111" s="2372">
        <f t="shared" si="7"/>
        <v>2.7621427290918472</v>
      </c>
      <c r="M111" s="2374"/>
      <c r="N111" s="2373"/>
      <c r="O111" s="2369"/>
      <c r="Q111" s="2369"/>
      <c r="R111" s="2369"/>
      <c r="S111" s="2369"/>
      <c r="T111" s="2369"/>
      <c r="U111" s="2369"/>
    </row>
    <row r="112" spans="1:21" s="2350" customFormat="1">
      <c r="A112" s="2365" t="s">
        <v>1706</v>
      </c>
      <c r="B112" s="2365" t="s">
        <v>1649</v>
      </c>
      <c r="C112" s="1579">
        <v>1</v>
      </c>
      <c r="D112" s="2370">
        <f>VLOOKUP($A112,F13D!$A$10:$AZ$254,44,0)</f>
        <v>17.859387284946237</v>
      </c>
      <c r="E112" s="2370">
        <f>VLOOKUP(A112,F13D!$A$10:$AZ$237,45,FALSE)</f>
        <v>2.9221313782500009</v>
      </c>
      <c r="F112" s="2370">
        <f t="shared" si="5"/>
        <v>1.6361879227027454</v>
      </c>
      <c r="G112" s="2370">
        <f>VLOOKUP(A112,F13D!$A$10:$AZ$237,47,FALSE)</f>
        <v>3.1458895629148853</v>
      </c>
      <c r="H112" s="2371">
        <f t="shared" si="4"/>
        <v>1.7614767588172358</v>
      </c>
      <c r="I112" s="2370"/>
      <c r="J112" s="2370"/>
      <c r="K112" s="2370">
        <f t="shared" si="6"/>
        <v>6.0680209411648862</v>
      </c>
      <c r="L112" s="2372">
        <f t="shared" si="7"/>
        <v>3.3976646815199811</v>
      </c>
      <c r="M112" s="2374"/>
      <c r="N112" s="2373"/>
      <c r="O112" s="2369"/>
      <c r="Q112" s="2369"/>
      <c r="R112" s="2369"/>
      <c r="S112" s="2369"/>
      <c r="T112" s="2369"/>
      <c r="U112" s="2369"/>
    </row>
    <row r="113" spans="1:21" s="2350" customFormat="1">
      <c r="A113" s="2365" t="s">
        <v>1707</v>
      </c>
      <c r="B113" s="2365" t="s">
        <v>1649</v>
      </c>
      <c r="C113" s="1579">
        <v>1</v>
      </c>
      <c r="D113" s="2370">
        <f>VLOOKUP($A113,F13D!$A$10:$AZ$254,44,0)</f>
        <v>9.1743385133333337</v>
      </c>
      <c r="E113" s="2370">
        <f>VLOOKUP(A113,F13D!$A$10:$AZ$237,45,FALSE)</f>
        <v>1.6847216505000002</v>
      </c>
      <c r="F113" s="2370">
        <f t="shared" si="5"/>
        <v>1.8363412774136743</v>
      </c>
      <c r="G113" s="2370">
        <f>VLOOKUP(A113,F13D!$A$10:$AZ$237,47,FALSE)</f>
        <v>1.6564275715075039</v>
      </c>
      <c r="H113" s="2371">
        <f t="shared" si="4"/>
        <v>1.8055008206860577</v>
      </c>
      <c r="I113" s="2370"/>
      <c r="J113" s="2370"/>
      <c r="K113" s="2370">
        <f t="shared" si="6"/>
        <v>3.3411492220075041</v>
      </c>
      <c r="L113" s="2372">
        <f t="shared" si="7"/>
        <v>3.6418420980997319</v>
      </c>
      <c r="M113" s="2374"/>
      <c r="N113" s="2373"/>
      <c r="O113" s="2369"/>
      <c r="Q113" s="2369"/>
      <c r="R113" s="2369"/>
      <c r="S113" s="2369"/>
      <c r="T113" s="2369"/>
      <c r="U113" s="2369"/>
    </row>
    <row r="114" spans="1:21" s="2350" customFormat="1">
      <c r="A114" s="2365" t="s">
        <v>1708</v>
      </c>
      <c r="B114" s="2365" t="s">
        <v>1649</v>
      </c>
      <c r="C114" s="2375">
        <v>2</v>
      </c>
      <c r="D114" s="2370">
        <f>F13D!AR78</f>
        <v>2775.3961157208005</v>
      </c>
      <c r="E114" s="2370">
        <f>F13D!AS78</f>
        <v>524.10708349649997</v>
      </c>
      <c r="F114" s="2370">
        <f t="shared" si="5"/>
        <v>1.8884046155710055</v>
      </c>
      <c r="G114" s="2370">
        <f>F13D!AU78</f>
        <v>788.3310213630557</v>
      </c>
      <c r="H114" s="2371">
        <f t="shared" si="4"/>
        <v>2.8404270543497452</v>
      </c>
      <c r="I114" s="2370"/>
      <c r="J114" s="2370"/>
      <c r="K114" s="2370">
        <f t="shared" si="6"/>
        <v>1312.4381048595556</v>
      </c>
      <c r="L114" s="2372">
        <f t="shared" si="7"/>
        <v>4.7288316699207495</v>
      </c>
      <c r="M114" s="2374"/>
      <c r="N114" s="2373"/>
      <c r="O114" s="2369"/>
      <c r="Q114" s="2369"/>
      <c r="R114" s="2369"/>
      <c r="S114" s="2369"/>
      <c r="T114" s="2369"/>
      <c r="U114" s="2369"/>
    </row>
    <row r="115" spans="1:21" s="2350" customFormat="1">
      <c r="A115" s="2365" t="s">
        <v>1779</v>
      </c>
      <c r="B115" s="2365" t="s">
        <v>1649</v>
      </c>
      <c r="C115" s="1579">
        <v>1</v>
      </c>
      <c r="D115" s="2370">
        <f>VLOOKUP($A115,F13D!$A$10:$AZ$254,44,0)</f>
        <v>1466.8018735499998</v>
      </c>
      <c r="E115" s="2370">
        <f>VLOOKUP(A115,F13D!$A$10:$AZ$237,45,FALSE)</f>
        <v>156.03</v>
      </c>
      <c r="F115" s="2370">
        <f t="shared" si="5"/>
        <v>1.0637428463489165</v>
      </c>
      <c r="G115" s="2370">
        <f>VLOOKUP(A115,F13D!$A$10:$AZ$237,47,FALSE)</f>
        <v>320.05163047415306</v>
      </c>
      <c r="H115" s="2371">
        <f t="shared" si="4"/>
        <v>2.1819690596628032</v>
      </c>
      <c r="I115" s="2370"/>
      <c r="J115" s="2370"/>
      <c r="K115" s="2370">
        <f t="shared" si="6"/>
        <v>476.08163047415303</v>
      </c>
      <c r="L115" s="2372">
        <f t="shared" si="7"/>
        <v>3.245711906011719</v>
      </c>
      <c r="M115" s="2374"/>
      <c r="N115" s="2373"/>
      <c r="O115" s="2369"/>
      <c r="Q115" s="2369"/>
      <c r="R115" s="2369"/>
      <c r="S115" s="2369"/>
      <c r="T115" s="2369"/>
      <c r="U115" s="2369"/>
    </row>
    <row r="116" spans="1:21" s="2350" customFormat="1">
      <c r="A116" s="2365" t="s">
        <v>1711</v>
      </c>
      <c r="B116" s="2365" t="s">
        <v>1649</v>
      </c>
      <c r="C116" s="1579">
        <v>1</v>
      </c>
      <c r="D116" s="2370">
        <f>VLOOKUP($A116,F13D!$A$10:$AZ$254,44,0)</f>
        <v>0</v>
      </c>
      <c r="E116" s="2370">
        <f>VLOOKUP(A116,F13D!$A$10:$AZ$237,45,FALSE)</f>
        <v>3.3757395682500007</v>
      </c>
      <c r="F116" s="2370">
        <f>IFERROR(E116/D116*10,0)</f>
        <v>0</v>
      </c>
      <c r="G116" s="2370">
        <f>VLOOKUP(A116,F13D!$A$10:$AZ$237,47,FALSE)</f>
        <v>0</v>
      </c>
      <c r="H116" s="2371">
        <f>IFERROR(G116/D116*10,0)</f>
        <v>0</v>
      </c>
      <c r="I116" s="2370"/>
      <c r="J116" s="2370"/>
      <c r="K116" s="2370">
        <f>E116+G116</f>
        <v>3.3757395682500007</v>
      </c>
      <c r="L116" s="2372">
        <f>IFERROR(K116/D116*10,0)</f>
        <v>0</v>
      </c>
      <c r="M116" s="2374"/>
      <c r="N116" s="2373"/>
      <c r="O116" s="2369"/>
      <c r="Q116" s="2369"/>
      <c r="R116" s="2369"/>
      <c r="S116" s="2369"/>
      <c r="T116" s="2369"/>
      <c r="U116" s="2369"/>
    </row>
    <row r="117" spans="1:21" s="2350" customFormat="1">
      <c r="A117" s="2365" t="s">
        <v>1712</v>
      </c>
      <c r="B117" s="2365" t="s">
        <v>1649</v>
      </c>
      <c r="C117" s="1579">
        <v>1</v>
      </c>
      <c r="D117" s="2370">
        <f>VLOOKUP($A117,F13D!$A$10:$AZ$254,44,0)</f>
        <v>15.659622419999998</v>
      </c>
      <c r="E117" s="2370">
        <f>VLOOKUP(A117,F13D!$A$10:$AZ$237,45,FALSE)</f>
        <v>4.3394289750000006</v>
      </c>
      <c r="F117" s="2370">
        <f>IFERROR(E117/D117*10,0)</f>
        <v>2.7710942566902586</v>
      </c>
      <c r="G117" s="2370">
        <f>VLOOKUP(A117,F13D!$A$10:$AZ$237,47,FALSE)</f>
        <v>3.7536209139570125</v>
      </c>
      <c r="H117" s="2371">
        <f>IFERROR(G117/D117*10,0)</f>
        <v>2.3970060153960042</v>
      </c>
      <c r="I117" s="2370"/>
      <c r="J117" s="2370"/>
      <c r="K117" s="2370">
        <f>E117+G117</f>
        <v>8.0930498889570135</v>
      </c>
      <c r="L117" s="2372">
        <f>IFERROR(K117/D117*10,0)</f>
        <v>5.1681002720862637</v>
      </c>
      <c r="M117" s="2374"/>
      <c r="N117" s="2373"/>
      <c r="O117" s="2369"/>
      <c r="Q117" s="2369"/>
      <c r="R117" s="2369"/>
      <c r="S117" s="2369"/>
      <c r="T117" s="2369"/>
      <c r="U117" s="2369"/>
    </row>
    <row r="118" spans="1:21" s="2350" customFormat="1">
      <c r="A118" s="2365" t="s">
        <v>1713</v>
      </c>
      <c r="B118" s="2365" t="s">
        <v>1649</v>
      </c>
      <c r="C118" s="1579">
        <v>1</v>
      </c>
      <c r="D118" s="2370">
        <f>VLOOKUP($A118,F13D!$A$10:$AZ$254,44,0)</f>
        <v>9.3547045799999999</v>
      </c>
      <c r="E118" s="2370">
        <f>VLOOKUP(A118,F13D!$A$10:$AZ$237,45,FALSE)</f>
        <v>5.1955509847500005</v>
      </c>
      <c r="F118" s="2370">
        <f>IFERROR(E118/D118*10,0)</f>
        <v>5.5539444782231708</v>
      </c>
      <c r="G118" s="2370">
        <f>VLOOKUP(A118,F13D!$A$10:$AZ$237,47,FALSE)</f>
        <v>2.9435471390377339</v>
      </c>
      <c r="H118" s="2371">
        <f>IFERROR(G118/D118*10,0)</f>
        <v>3.1465955058922166</v>
      </c>
      <c r="I118" s="2370"/>
      <c r="J118" s="2370"/>
      <c r="K118" s="2370">
        <f>E118+G118</f>
        <v>8.1390981237877345</v>
      </c>
      <c r="L118" s="2372">
        <f>IFERROR(K118/D118*10,0)</f>
        <v>8.7005399841153874</v>
      </c>
      <c r="M118" s="2374"/>
      <c r="N118" s="2373"/>
      <c r="O118" s="2369"/>
      <c r="Q118" s="2369"/>
      <c r="R118" s="2369"/>
      <c r="S118" s="2369"/>
      <c r="T118" s="2369"/>
      <c r="U118" s="2369"/>
    </row>
    <row r="119" spans="1:21" s="2350" customFormat="1">
      <c r="A119" s="2365" t="s">
        <v>1751</v>
      </c>
      <c r="B119" s="2365" t="s">
        <v>1649</v>
      </c>
      <c r="C119" s="1579">
        <v>2</v>
      </c>
      <c r="D119" s="2370">
        <f>VLOOKUP($A119,F13D!$A$10:$AZ$254,44,0)</f>
        <v>0</v>
      </c>
      <c r="E119" s="2370">
        <f>VLOOKUP(A119,F13D!$A$10:$AZ$237,45,FALSE)</f>
        <v>0</v>
      </c>
      <c r="F119" s="2370">
        <f t="shared" si="5"/>
        <v>0</v>
      </c>
      <c r="G119" s="2370">
        <f>VLOOKUP(A119,F13D!$A$10:$AZ$237,47,FALSE)</f>
        <v>0</v>
      </c>
      <c r="H119" s="2371">
        <f t="shared" si="4"/>
        <v>0</v>
      </c>
      <c r="I119" s="2370"/>
      <c r="J119" s="2370"/>
      <c r="K119" s="2370">
        <f t="shared" si="6"/>
        <v>0</v>
      </c>
      <c r="L119" s="2372">
        <f t="shared" si="7"/>
        <v>0</v>
      </c>
      <c r="M119" s="2374"/>
      <c r="N119" s="2373"/>
      <c r="O119" s="2369"/>
      <c r="Q119" s="2369"/>
      <c r="R119" s="2369"/>
      <c r="S119" s="2369"/>
      <c r="T119" s="2369"/>
      <c r="U119" s="2369"/>
    </row>
    <row r="120" spans="1:21" s="2350" customFormat="1">
      <c r="A120" s="2365" t="s">
        <v>1764</v>
      </c>
      <c r="B120" s="2365" t="s">
        <v>1649</v>
      </c>
      <c r="C120" s="1579">
        <v>2</v>
      </c>
      <c r="D120" s="2370">
        <f>VLOOKUP($A120,F13D!$A$10:$AZ$254,44,0)</f>
        <v>3012.3325439999999</v>
      </c>
      <c r="E120" s="2370">
        <f>VLOOKUP(A120,F13D!$A$10:$AZ$237,45,FALSE)</f>
        <v>1037.7714807022501</v>
      </c>
      <c r="F120" s="2370">
        <f t="shared" si="5"/>
        <v>3.4450760848741475</v>
      </c>
      <c r="G120" s="2370">
        <f>VLOOKUP(A120,F13D!$A$10:$AZ$237,47,FALSE)</f>
        <v>784.98889735031867</v>
      </c>
      <c r="H120" s="2371">
        <f t="shared" si="4"/>
        <v>2.6059171286180502</v>
      </c>
      <c r="I120" s="2370"/>
      <c r="J120" s="2370"/>
      <c r="K120" s="2370">
        <f t="shared" si="6"/>
        <v>1822.7603780525687</v>
      </c>
      <c r="L120" s="2372">
        <f t="shared" si="7"/>
        <v>6.0509932134921982</v>
      </c>
      <c r="M120" s="2374"/>
      <c r="N120" s="2373"/>
      <c r="O120" s="2369"/>
      <c r="Q120" s="2369"/>
      <c r="R120" s="2369"/>
      <c r="S120" s="2369"/>
      <c r="T120" s="2369"/>
      <c r="U120" s="2369"/>
    </row>
    <row r="121" spans="1:21" s="2350" customFormat="1">
      <c r="A121" s="2365" t="s">
        <v>1765</v>
      </c>
      <c r="B121" s="2365" t="s">
        <v>1649</v>
      </c>
      <c r="C121" s="1579">
        <v>2</v>
      </c>
      <c r="D121" s="2370">
        <f>VLOOKUP($A121,F13D!$A$10:$AZ$254,44,0)</f>
        <v>7117.812300341935</v>
      </c>
      <c r="E121" s="2370">
        <f>VLOOKUP(A121,F13D!$A$10:$AZ$237,45,FALSE)</f>
        <v>620.12665795626003</v>
      </c>
      <c r="F121" s="2370">
        <f t="shared" si="5"/>
        <v>0.87123210305288556</v>
      </c>
      <c r="G121" s="2370">
        <f>VLOOKUP(A121,F13D!$A$10:$AZ$237,47,FALSE)</f>
        <v>1508.9761165985672</v>
      </c>
      <c r="H121" s="2371">
        <f t="shared" si="4"/>
        <v>2.1199998720478721</v>
      </c>
      <c r="I121" s="2370"/>
      <c r="J121" s="2370"/>
      <c r="K121" s="2370">
        <f t="shared" si="6"/>
        <v>2129.1027745548272</v>
      </c>
      <c r="L121" s="2372">
        <f t="shared" si="7"/>
        <v>2.9912319751007574</v>
      </c>
      <c r="M121" s="2374"/>
      <c r="N121" s="2373"/>
      <c r="O121" s="2369"/>
      <c r="Q121" s="2369"/>
      <c r="R121" s="2369"/>
      <c r="S121" s="2369"/>
      <c r="T121" s="2369"/>
      <c r="U121" s="2369"/>
    </row>
    <row r="122" spans="1:21" s="2350" customFormat="1">
      <c r="A122" s="2365" t="s">
        <v>1710</v>
      </c>
      <c r="B122" s="2365" t="s">
        <v>1649</v>
      </c>
      <c r="C122" s="1579">
        <v>1</v>
      </c>
      <c r="D122" s="2370">
        <f>VLOOKUP($A122,F13D!$A$10:$AZ$254,44,0)</f>
        <v>0</v>
      </c>
      <c r="E122" s="2370">
        <f>VLOOKUP(A122,F13D!$A$10:$AZ$237,45,FALSE)</f>
        <v>0</v>
      </c>
      <c r="F122" s="2370">
        <f t="shared" si="5"/>
        <v>0</v>
      </c>
      <c r="G122" s="2370">
        <f>VLOOKUP(A122,F13D!$A$10:$AZ$237,47,FALSE)</f>
        <v>0</v>
      </c>
      <c r="H122" s="2371">
        <f t="shared" si="4"/>
        <v>0</v>
      </c>
      <c r="I122" s="2370"/>
      <c r="J122" s="2370"/>
      <c r="K122" s="2370">
        <f t="shared" si="6"/>
        <v>0</v>
      </c>
      <c r="L122" s="2372">
        <f t="shared" si="7"/>
        <v>0</v>
      </c>
      <c r="M122" s="2374"/>
      <c r="N122" s="2373"/>
      <c r="O122" s="2369"/>
      <c r="Q122" s="2369"/>
      <c r="R122" s="2369"/>
      <c r="S122" s="2369"/>
      <c r="T122" s="2369"/>
      <c r="U122" s="2369"/>
    </row>
    <row r="123" spans="1:21" s="2350" customFormat="1">
      <c r="A123" s="2365" t="s">
        <v>1766</v>
      </c>
      <c r="B123" s="2365" t="s">
        <v>1649</v>
      </c>
      <c r="C123" s="1579">
        <v>2</v>
      </c>
      <c r="D123" s="2370">
        <f>VLOOKUP($A123,F13D!$A$10:$AZ$254,44,0)</f>
        <v>208.78073999999995</v>
      </c>
      <c r="E123" s="2370">
        <f>VLOOKUP(A123,F13D!$A$10:$AZ$237,45,FALSE)</f>
        <v>122.04675000000002</v>
      </c>
      <c r="F123" s="2370">
        <f t="shared" si="5"/>
        <v>5.8456900765846527</v>
      </c>
      <c r="G123" s="2370">
        <f>VLOOKUP(A123,F13D!$A$10:$AZ$237,47,FALSE)</f>
        <v>74.494356338606565</v>
      </c>
      <c r="H123" s="2371">
        <f t="shared" si="4"/>
        <v>3.5680664959136839</v>
      </c>
      <c r="I123" s="2370"/>
      <c r="J123" s="2370"/>
      <c r="K123" s="2370">
        <f t="shared" si="6"/>
        <v>196.5411063386066</v>
      </c>
      <c r="L123" s="2372">
        <f t="shared" si="7"/>
        <v>9.4137565724983361</v>
      </c>
      <c r="M123" s="2374"/>
      <c r="N123" s="2373"/>
      <c r="O123" s="2369"/>
      <c r="Q123" s="2369"/>
      <c r="R123" s="2369"/>
      <c r="S123" s="2369"/>
      <c r="T123" s="2369"/>
      <c r="U123" s="2369"/>
    </row>
    <row r="124" spans="1:21" s="2350" customFormat="1">
      <c r="A124" s="2365" t="s">
        <v>1767</v>
      </c>
      <c r="B124" s="2365" t="s">
        <v>1649</v>
      </c>
      <c r="C124" s="1579">
        <v>2</v>
      </c>
      <c r="D124" s="2370">
        <f>VLOOKUP($A124,F13D!$A$10:$AZ$254,44,0)</f>
        <v>208.78073999999995</v>
      </c>
      <c r="E124" s="2370">
        <f>VLOOKUP(A124,F13D!$A$10:$AZ$237,45,FALSE)</f>
        <v>123.33667500000001</v>
      </c>
      <c r="F124" s="2370">
        <f t="shared" si="5"/>
        <v>5.9074737928412375</v>
      </c>
      <c r="G124" s="2370">
        <f>VLOOKUP(A124,F13D!$A$10:$AZ$237,47,FALSE)</f>
        <v>74.518300725647933</v>
      </c>
      <c r="H124" s="2371">
        <f t="shared" si="4"/>
        <v>3.5692133635338181</v>
      </c>
      <c r="I124" s="2370"/>
      <c r="J124" s="2370"/>
      <c r="K124" s="2370">
        <f t="shared" si="6"/>
        <v>197.85497572564793</v>
      </c>
      <c r="L124" s="2372">
        <f t="shared" si="7"/>
        <v>9.4766871563750552</v>
      </c>
      <c r="M124" s="2374"/>
      <c r="N124" s="2373"/>
      <c r="O124" s="2369"/>
      <c r="Q124" s="2369"/>
      <c r="R124" s="2369"/>
      <c r="S124" s="2369"/>
      <c r="T124" s="2369"/>
      <c r="U124" s="2369"/>
    </row>
    <row r="125" spans="1:21" s="2350" customFormat="1">
      <c r="A125" s="2365" t="s">
        <v>1768</v>
      </c>
      <c r="B125" s="2365" t="s">
        <v>1649</v>
      </c>
      <c r="C125" s="1579">
        <v>2</v>
      </c>
      <c r="D125" s="2370">
        <f>VLOOKUP($A125,F13D!$A$10:$AZ$254,44,0)</f>
        <v>208.78073999999995</v>
      </c>
      <c r="E125" s="2370">
        <f>VLOOKUP(A125,F13D!$A$10:$AZ$237,45,FALSE)</f>
        <v>122.785425</v>
      </c>
      <c r="F125" s="2370">
        <f t="shared" si="5"/>
        <v>5.8810704952956883</v>
      </c>
      <c r="G125" s="2370">
        <f>VLOOKUP(A125,F13D!$A$10:$AZ$237,47,FALSE)</f>
        <v>68.527493947690687</v>
      </c>
      <c r="H125" s="2371">
        <f t="shared" si="4"/>
        <v>3.2822708621346348</v>
      </c>
      <c r="I125" s="2370"/>
      <c r="J125" s="2370"/>
      <c r="K125" s="2370">
        <f t="shared" si="6"/>
        <v>191.31291894769069</v>
      </c>
      <c r="L125" s="2372">
        <f t="shared" si="7"/>
        <v>9.1633413574303226</v>
      </c>
      <c r="M125" s="2374"/>
      <c r="N125" s="2373"/>
      <c r="O125" s="2369"/>
      <c r="Q125" s="2369"/>
      <c r="R125" s="2369"/>
      <c r="S125" s="2369"/>
      <c r="T125" s="2369"/>
      <c r="U125" s="2369"/>
    </row>
    <row r="126" spans="1:21" s="2350" customFormat="1">
      <c r="A126" s="2365" t="s">
        <v>1769</v>
      </c>
      <c r="B126" s="2365" t="s">
        <v>1649</v>
      </c>
      <c r="C126" s="1579">
        <v>2</v>
      </c>
      <c r="D126" s="2370">
        <f>VLOOKUP($A126,F13D!$A$10:$AZ$254,44,0)</f>
        <v>208.78073999999995</v>
      </c>
      <c r="E126" s="2370">
        <f>VLOOKUP(A126,F13D!$A$10:$AZ$237,45,FALSE)</f>
        <v>121.69395011025001</v>
      </c>
      <c r="F126" s="2370">
        <f t="shared" si="5"/>
        <v>5.8287919714361607</v>
      </c>
      <c r="G126" s="2370">
        <f>VLOOKUP(A126,F13D!$A$10:$AZ$237,47,FALSE)</f>
        <v>72.446775410900003</v>
      </c>
      <c r="H126" s="2371">
        <f t="shared" si="4"/>
        <v>3.4699932288246522</v>
      </c>
      <c r="I126" s="2370"/>
      <c r="J126" s="2370"/>
      <c r="K126" s="2370">
        <f t="shared" si="6"/>
        <v>194.14072552115002</v>
      </c>
      <c r="L126" s="2372">
        <f t="shared" si="7"/>
        <v>9.2987852002608129</v>
      </c>
      <c r="M126" s="2374"/>
      <c r="N126" s="2373"/>
      <c r="O126" s="2369"/>
      <c r="Q126" s="2369"/>
      <c r="R126" s="2369"/>
      <c r="S126" s="2369"/>
      <c r="T126" s="2369"/>
      <c r="U126" s="2369"/>
    </row>
    <row r="127" spans="1:21" s="2350" customFormat="1">
      <c r="A127" s="2365" t="s">
        <v>1770</v>
      </c>
      <c r="B127" s="2365" t="s">
        <v>1649</v>
      </c>
      <c r="C127" s="1579">
        <v>2</v>
      </c>
      <c r="D127" s="2370">
        <f>VLOOKUP($A127,F13D!$A$10:$AZ$254,44,0)</f>
        <v>208.78073999999995</v>
      </c>
      <c r="E127" s="2370">
        <f>VLOOKUP(A127,F13D!$A$10:$AZ$237,45,FALSE)</f>
        <v>126.291375</v>
      </c>
      <c r="F127" s="2370">
        <f t="shared" si="5"/>
        <v>6.0489954676853834</v>
      </c>
      <c r="G127" s="2370">
        <f>VLOOKUP(A127,F13D!$A$10:$AZ$237,47,FALSE)</f>
        <v>72.545827350879193</v>
      </c>
      <c r="H127" s="2371">
        <f t="shared" si="4"/>
        <v>3.4747375333030823</v>
      </c>
      <c r="I127" s="2370"/>
      <c r="J127" s="2370"/>
      <c r="K127" s="2370">
        <f t="shared" si="6"/>
        <v>198.83720235087918</v>
      </c>
      <c r="L127" s="2372">
        <f t="shared" si="7"/>
        <v>9.5237330009884644</v>
      </c>
      <c r="M127" s="2374"/>
      <c r="N127" s="2373"/>
      <c r="O127" s="2369"/>
      <c r="Q127" s="2369"/>
      <c r="R127" s="2369"/>
      <c r="S127" s="2369"/>
      <c r="T127" s="2369"/>
      <c r="U127" s="2369"/>
    </row>
    <row r="128" spans="1:21" s="2350" customFormat="1">
      <c r="A128" s="2365" t="s">
        <v>1771</v>
      </c>
      <c r="B128" s="2365" t="s">
        <v>1649</v>
      </c>
      <c r="C128" s="1579">
        <v>1</v>
      </c>
      <c r="D128" s="2370">
        <f>VLOOKUP($A128,F13D!$A$10:$AZ$254,44,0)</f>
        <v>2651.1840000000002</v>
      </c>
      <c r="E128" s="2370">
        <f>VLOOKUP(A128,F13D!$A$10:$AZ$237,45,FALSE)</f>
        <v>1641.8430000000001</v>
      </c>
      <c r="F128" s="2370">
        <f t="shared" si="5"/>
        <v>6.19286703601108</v>
      </c>
      <c r="G128" s="2370">
        <f>VLOOKUP(A128,F13D!$A$10:$AZ$237,47,FALSE)</f>
        <v>752.58646910495168</v>
      </c>
      <c r="H128" s="2371">
        <f t="shared" si="4"/>
        <v>2.8386806389332149</v>
      </c>
      <c r="I128" s="2370"/>
      <c r="J128" s="2370"/>
      <c r="K128" s="2370">
        <f t="shared" si="6"/>
        <v>2394.4294691049517</v>
      </c>
      <c r="L128" s="2372">
        <f t="shared" si="7"/>
        <v>9.031547674944294</v>
      </c>
      <c r="M128" s="2374"/>
      <c r="N128" s="2373"/>
      <c r="O128" s="2369"/>
      <c r="Q128" s="2369"/>
      <c r="R128" s="2369"/>
      <c r="S128" s="2369"/>
      <c r="T128" s="2369"/>
      <c r="U128" s="2369"/>
    </row>
    <row r="129" spans="1:21" s="2350" customFormat="1">
      <c r="A129" s="2365" t="s">
        <v>1772</v>
      </c>
      <c r="B129" s="2365" t="s">
        <v>1649</v>
      </c>
      <c r="C129" s="1579">
        <v>2</v>
      </c>
      <c r="D129" s="2370">
        <f>VLOOKUP($A129,F13D!$A$10:$AZ$254,44,0)</f>
        <v>5824.6273800000008</v>
      </c>
      <c r="E129" s="2370">
        <f>VLOOKUP(A129,F13D!$A$10:$AZ$237,45,FALSE)</f>
        <v>3366.1943753</v>
      </c>
      <c r="F129" s="2370">
        <f t="shared" si="5"/>
        <v>5.7792441570743014</v>
      </c>
      <c r="G129" s="2370">
        <f>VLOOKUP(A129,F13D!$A$10:$AZ$237,47,FALSE)</f>
        <v>1806.4123618447343</v>
      </c>
      <c r="H129" s="2371">
        <f t="shared" si="4"/>
        <v>3.1013354915155689</v>
      </c>
      <c r="I129" s="2370"/>
      <c r="J129" s="2370"/>
      <c r="K129" s="2370">
        <f t="shared" si="6"/>
        <v>5172.6067371447343</v>
      </c>
      <c r="L129" s="2372">
        <f t="shared" si="7"/>
        <v>8.8805796485898707</v>
      </c>
      <c r="M129" s="2374"/>
      <c r="N129" s="2373"/>
      <c r="O129" s="2369"/>
      <c r="Q129" s="2369"/>
      <c r="R129" s="2369"/>
      <c r="S129" s="2369"/>
      <c r="T129" s="2369"/>
      <c r="U129" s="2369"/>
    </row>
    <row r="130" spans="1:21" s="2350" customFormat="1">
      <c r="A130" s="2365" t="s">
        <v>1773</v>
      </c>
      <c r="B130" s="2365" t="s">
        <v>1649</v>
      </c>
      <c r="C130" s="1579">
        <v>1</v>
      </c>
      <c r="D130" s="2370">
        <f>VLOOKUP($A130,F13D!$A$10:$AZ$254,44,0)</f>
        <v>2466.8611073313782</v>
      </c>
      <c r="E130" s="2370">
        <f>VLOOKUP(A130,F13D!$A$10:$AZ$237,45,FALSE)</f>
        <v>716.39326210725005</v>
      </c>
      <c r="F130" s="2370">
        <f t="shared" si="5"/>
        <v>2.904068088706607</v>
      </c>
      <c r="G130" s="2370">
        <f>VLOOKUP(A130,F13D!$A$10:$AZ$237,47,FALSE)</f>
        <v>539.32986958227798</v>
      </c>
      <c r="H130" s="2371">
        <f t="shared" si="4"/>
        <v>2.1863001041259222</v>
      </c>
      <c r="I130" s="2370"/>
      <c r="J130" s="2370"/>
      <c r="K130" s="2370">
        <f t="shared" si="6"/>
        <v>1255.7231316895281</v>
      </c>
      <c r="L130" s="2372">
        <f t="shared" si="7"/>
        <v>5.0903681928325293</v>
      </c>
      <c r="M130" s="2374"/>
      <c r="N130" s="2373"/>
      <c r="O130" s="2369"/>
      <c r="Q130" s="2369"/>
      <c r="R130" s="2369"/>
      <c r="S130" s="2369"/>
      <c r="T130" s="2369"/>
      <c r="U130" s="2369"/>
    </row>
    <row r="131" spans="1:21" s="2350" customFormat="1">
      <c r="A131" s="2365" t="s">
        <v>1774</v>
      </c>
      <c r="B131" s="2365" t="s">
        <v>1649</v>
      </c>
      <c r="C131" s="1579">
        <v>2</v>
      </c>
      <c r="D131" s="2370">
        <f>VLOOKUP($A131,F13D!$A$10:$AZ$254,44,0)</f>
        <v>4449.9141002389479</v>
      </c>
      <c r="E131" s="2370">
        <f>VLOOKUP(A131,F13D!$A$10:$AZ$237,45,FALSE)</f>
        <v>1498.9851635377502</v>
      </c>
      <c r="F131" s="2370">
        <f t="shared" si="5"/>
        <v>3.3685710100724391</v>
      </c>
      <c r="G131" s="2370">
        <f>VLOOKUP(A131,F13D!$A$10:$AZ$237,47,FALSE)</f>
        <v>1120.350078360234</v>
      </c>
      <c r="H131" s="2371">
        <f t="shared" si="4"/>
        <v>2.5176892252820666</v>
      </c>
      <c r="I131" s="2370"/>
      <c r="J131" s="2370"/>
      <c r="K131" s="2370">
        <f t="shared" si="6"/>
        <v>2619.3352418979839</v>
      </c>
      <c r="L131" s="2372">
        <f t="shared" si="7"/>
        <v>5.8862602353545048</v>
      </c>
      <c r="M131" s="2374"/>
      <c r="N131" s="2373"/>
      <c r="O131" s="2369"/>
      <c r="Q131" s="2369"/>
      <c r="R131" s="2369"/>
      <c r="S131" s="2369"/>
      <c r="T131" s="2369"/>
      <c r="U131" s="2369"/>
    </row>
    <row r="132" spans="1:21" s="2350" customFormat="1">
      <c r="A132" s="2365" t="s">
        <v>1775</v>
      </c>
      <c r="B132" s="2365" t="s">
        <v>1649</v>
      </c>
      <c r="C132" s="1579">
        <v>1</v>
      </c>
      <c r="D132" s="2370">
        <f>VLOOKUP($A132,F13D!$A$10:$AZ$254,44,0)</f>
        <v>2085.6153454010987</v>
      </c>
      <c r="E132" s="2370">
        <f>VLOOKUP(A132,F13D!$A$10:$AZ$237,45,FALSE)</f>
        <v>665.96669672400003</v>
      </c>
      <c r="F132" s="2370">
        <f t="shared" si="5"/>
        <v>3.1931424852262174</v>
      </c>
      <c r="G132" s="2370">
        <f>VLOOKUP(A132,F13D!$A$10:$AZ$237,47,FALSE)</f>
        <v>408.79962309284087</v>
      </c>
      <c r="H132" s="2371">
        <f t="shared" si="4"/>
        <v>1.9600911740233762</v>
      </c>
      <c r="I132" s="2370"/>
      <c r="J132" s="2370"/>
      <c r="K132" s="2370">
        <f t="shared" si="6"/>
        <v>1074.7663198168409</v>
      </c>
      <c r="L132" s="2372">
        <f t="shared" si="7"/>
        <v>5.1532336592495938</v>
      </c>
      <c r="M132" s="2374"/>
      <c r="N132" s="2373"/>
      <c r="O132" s="2369"/>
      <c r="Q132" s="2369"/>
      <c r="R132" s="2369"/>
      <c r="S132" s="2369"/>
      <c r="T132" s="2369"/>
      <c r="U132" s="2369"/>
    </row>
    <row r="133" spans="1:21" s="2350" customFormat="1">
      <c r="A133" s="2365" t="s">
        <v>1776</v>
      </c>
      <c r="B133" s="2365" t="s">
        <v>1649</v>
      </c>
      <c r="C133" s="1579">
        <v>2</v>
      </c>
      <c r="D133" s="2370">
        <f>VLOOKUP($A133,F13D!$A$10:$AZ$254,44,0)</f>
        <v>3018.2921999999999</v>
      </c>
      <c r="E133" s="2370">
        <f>VLOOKUP(A133,F13D!$A$10:$AZ$237,45,FALSE)</f>
        <v>1282.9176933457502</v>
      </c>
      <c r="F133" s="2370">
        <f t="shared" si="5"/>
        <v>4.2504754620700744</v>
      </c>
      <c r="G133" s="2370">
        <f>VLOOKUP(A133,F13D!$A$10:$AZ$237,47,FALSE)</f>
        <v>806.81858391987453</v>
      </c>
      <c r="H133" s="2371">
        <f t="shared" si="4"/>
        <v>2.6730963420966152</v>
      </c>
      <c r="I133" s="2370"/>
      <c r="J133" s="2370"/>
      <c r="K133" s="2370">
        <f t="shared" si="6"/>
        <v>2089.7362772656247</v>
      </c>
      <c r="L133" s="2372">
        <f t="shared" si="7"/>
        <v>6.9235718041666905</v>
      </c>
      <c r="M133" s="2374"/>
      <c r="N133" s="2373"/>
      <c r="O133" s="2369"/>
      <c r="Q133" s="2369"/>
      <c r="R133" s="2369"/>
      <c r="S133" s="2369"/>
      <c r="T133" s="2369"/>
      <c r="U133" s="2369"/>
    </row>
    <row r="134" spans="1:21" s="2350" customFormat="1">
      <c r="A134" s="2365" t="s">
        <v>1777</v>
      </c>
      <c r="B134" s="2365" t="s">
        <v>1649</v>
      </c>
      <c r="C134" s="1579">
        <v>1</v>
      </c>
      <c r="D134" s="2370">
        <f>VLOOKUP($A134,F13D!$A$10:$AZ$254,44,0)</f>
        <v>3700.1023341548389</v>
      </c>
      <c r="E134" s="2370">
        <f>VLOOKUP(A134,F13D!$A$10:$AZ$237,45,FALSE)</f>
        <v>55.710586039500001</v>
      </c>
      <c r="F134" s="2370">
        <f t="shared" si="5"/>
        <v>0.15056498714980857</v>
      </c>
      <c r="G134" s="2370">
        <f>VLOOKUP(A134,F13D!$A$10:$AZ$237,47,FALSE)</f>
        <v>411.90963695479707</v>
      </c>
      <c r="H134" s="2371">
        <f t="shared" si="4"/>
        <v>1.1132384992505449</v>
      </c>
      <c r="I134" s="2370"/>
      <c r="J134" s="2370"/>
      <c r="K134" s="2370">
        <f t="shared" si="6"/>
        <v>467.62022299429708</v>
      </c>
      <c r="L134" s="2372">
        <f t="shared" si="7"/>
        <v>1.2638034864003533</v>
      </c>
      <c r="M134" s="2374"/>
      <c r="N134" s="2373"/>
      <c r="O134" s="2369"/>
      <c r="Q134" s="2369"/>
      <c r="R134" s="2369"/>
      <c r="S134" s="2369"/>
      <c r="T134" s="2369"/>
      <c r="U134" s="2369"/>
    </row>
    <row r="135" spans="1:21" s="2350" customFormat="1">
      <c r="A135" s="2365" t="s">
        <v>1778</v>
      </c>
      <c r="B135" s="2365" t="s">
        <v>1649</v>
      </c>
      <c r="C135" s="1579">
        <v>1</v>
      </c>
      <c r="D135" s="2370">
        <f>VLOOKUP($A135,F13D!$A$10:$AZ$254,44,0)</f>
        <v>2005.5675566241287</v>
      </c>
      <c r="E135" s="2370">
        <f>VLOOKUP(A135,F13D!$A$10:$AZ$237,45,FALSE)</f>
        <v>316.87462626749999</v>
      </c>
      <c r="F135" s="2370">
        <f t="shared" si="5"/>
        <v>1.5799748316674964</v>
      </c>
      <c r="G135" s="2370">
        <f>VLOOKUP(A135,F13D!$A$10:$AZ$237,47,FALSE)</f>
        <v>315.62277907915558</v>
      </c>
      <c r="H135" s="2371">
        <f t="shared" si="4"/>
        <v>1.573732971680234</v>
      </c>
      <c r="I135" s="2370"/>
      <c r="J135" s="2370"/>
      <c r="K135" s="2370">
        <f t="shared" si="6"/>
        <v>632.49740534665557</v>
      </c>
      <c r="L135" s="2372">
        <f t="shared" si="7"/>
        <v>3.1537078033477304</v>
      </c>
      <c r="M135" s="2374"/>
      <c r="N135" s="2373"/>
      <c r="O135" s="2369"/>
      <c r="Q135" s="2369"/>
      <c r="R135" s="2369"/>
      <c r="S135" s="2369"/>
      <c r="T135" s="2369"/>
      <c r="U135" s="2369"/>
    </row>
    <row r="136" spans="1:21" s="2350" customFormat="1">
      <c r="A136" s="2365" t="s">
        <v>2060</v>
      </c>
      <c r="B136" s="2365" t="s">
        <v>1649</v>
      </c>
      <c r="C136" s="1579">
        <v>2</v>
      </c>
      <c r="D136" s="2370">
        <f>VLOOKUP($A136,F13D!$A$10:$AZ$254,44,0)</f>
        <v>6193.3463884401526</v>
      </c>
      <c r="E136" s="2370">
        <f>VLOOKUP(A136,F13D!$A$10:$AZ$237,45,FALSE)</f>
        <v>2359.5134062499997</v>
      </c>
      <c r="F136" s="2370">
        <f t="shared" si="5"/>
        <v>3.8097552732623168</v>
      </c>
      <c r="G136" s="2370">
        <f>VLOOKUP(A136,F13D!$A$10:$AZ$237,47,FALSE)</f>
        <v>1424.0262257398228</v>
      </c>
      <c r="H136" s="2371">
        <f t="shared" si="4"/>
        <v>2.2992840000000001</v>
      </c>
      <c r="I136" s="2370"/>
      <c r="J136" s="2370"/>
      <c r="K136" s="2370">
        <f t="shared" si="6"/>
        <v>3783.5396319898227</v>
      </c>
      <c r="L136" s="2372">
        <f t="shared" si="7"/>
        <v>6.1090392732623178</v>
      </c>
      <c r="M136" s="2374"/>
      <c r="N136" s="2373"/>
      <c r="O136" s="2369"/>
      <c r="Q136" s="2369"/>
      <c r="R136" s="2369"/>
      <c r="S136" s="2369"/>
      <c r="T136" s="2369"/>
      <c r="U136" s="2369"/>
    </row>
    <row r="137" spans="1:21" s="2350" customFormat="1">
      <c r="A137" s="2365" t="s">
        <v>2034</v>
      </c>
      <c r="B137" s="2365" t="s">
        <v>1649</v>
      </c>
      <c r="C137" s="1579">
        <v>2</v>
      </c>
      <c r="D137" s="2370">
        <f>VLOOKUP($A137,F13D!$A$10:$AZ$254,44,0)</f>
        <v>186.15</v>
      </c>
      <c r="E137" s="2370">
        <f>VLOOKUP(A137,F13D!$A$10:$AZ$237,45,FALSE)</f>
        <v>26.889367499999999</v>
      </c>
      <c r="F137" s="2370">
        <f>IFERROR(E137/D137*10,0)</f>
        <v>1.4444999999999999</v>
      </c>
      <c r="G137" s="2370">
        <f>VLOOKUP(A137,F13D!$A$10:$AZ$237,47,FALSE)</f>
        <v>26.889367499999999</v>
      </c>
      <c r="H137" s="2371">
        <f>IFERROR(G137/D137*10,0)</f>
        <v>1.4444999999999999</v>
      </c>
      <c r="I137" s="2370"/>
      <c r="J137" s="2370"/>
      <c r="K137" s="2370">
        <f>E137+G137</f>
        <v>53.778734999999998</v>
      </c>
      <c r="L137" s="2372">
        <f>IFERROR(K137/D137*10,0)</f>
        <v>2.8889999999999998</v>
      </c>
      <c r="M137" s="2367"/>
      <c r="N137" s="2373"/>
      <c r="O137" s="2369"/>
      <c r="Q137" s="2369"/>
      <c r="R137" s="2369"/>
      <c r="S137" s="2369"/>
      <c r="T137" s="2369"/>
      <c r="U137" s="2369"/>
    </row>
    <row r="138" spans="1:21" s="2350" customFormat="1">
      <c r="A138" s="2365"/>
      <c r="B138" s="2365"/>
      <c r="C138" s="1579"/>
      <c r="D138" s="2370"/>
      <c r="E138" s="2370"/>
      <c r="F138" s="2370"/>
      <c r="G138" s="2370"/>
      <c r="H138" s="2371"/>
      <c r="I138" s="2370"/>
      <c r="J138" s="2370"/>
      <c r="K138" s="2370"/>
      <c r="L138" s="2372"/>
      <c r="M138" s="2374"/>
      <c r="N138" s="2373"/>
      <c r="O138" s="2369"/>
      <c r="Q138" s="2369"/>
      <c r="R138" s="2369"/>
      <c r="S138" s="2369"/>
      <c r="T138" s="2369"/>
      <c r="U138" s="2369"/>
    </row>
    <row r="139" spans="1:21" s="2350" customFormat="1">
      <c r="A139" s="2365"/>
      <c r="B139" s="2365"/>
      <c r="C139" s="1579"/>
      <c r="D139" s="2370"/>
      <c r="E139" s="2370"/>
      <c r="F139" s="2370"/>
      <c r="G139" s="2370"/>
      <c r="H139" s="2371"/>
      <c r="I139" s="2370"/>
      <c r="J139" s="2370"/>
      <c r="K139" s="2370"/>
      <c r="L139" s="2372"/>
      <c r="M139" s="2374"/>
      <c r="N139" s="2373"/>
      <c r="O139" s="2369"/>
      <c r="Q139" s="2369"/>
      <c r="R139" s="2369"/>
      <c r="S139" s="2369"/>
      <c r="T139" s="2369"/>
      <c r="U139" s="2369"/>
    </row>
    <row r="140" spans="1:21" s="2350" customFormat="1">
      <c r="A140" s="2365" t="s">
        <v>1808</v>
      </c>
      <c r="B140" s="2365" t="s">
        <v>1649</v>
      </c>
      <c r="C140" s="1579">
        <v>0</v>
      </c>
      <c r="D140" s="2370">
        <f>VLOOKUP(A140,F13D!$A$10:$AZ$237,44,FALSE)</f>
        <v>2720</v>
      </c>
      <c r="E140" s="2370">
        <f>VLOOKUP(A140,F13D!$A$10:$AZ$237,45,FALSE)</f>
        <v>0</v>
      </c>
      <c r="F140" s="2370">
        <f t="shared" si="5"/>
        <v>0</v>
      </c>
      <c r="G140" s="2370">
        <f>VLOOKUP(A140,F13D!$A$10:$AZ$237,47,FALSE)</f>
        <v>1496</v>
      </c>
      <c r="H140" s="2371">
        <f>IFERROR(G140/D140*10,0)</f>
        <v>5.5</v>
      </c>
      <c r="I140" s="2370"/>
      <c r="J140" s="2370"/>
      <c r="K140" s="2370">
        <f t="shared" si="6"/>
        <v>1496</v>
      </c>
      <c r="L140" s="2372">
        <f t="shared" si="7"/>
        <v>5.5</v>
      </c>
      <c r="M140" s="2374"/>
      <c r="N140" s="2373"/>
      <c r="O140" s="2369"/>
      <c r="Q140" s="2369"/>
      <c r="R140" s="2369"/>
      <c r="S140" s="2369"/>
      <c r="T140" s="2369"/>
      <c r="U140" s="2369"/>
    </row>
    <row r="141" spans="1:21" s="2350" customFormat="1">
      <c r="A141" s="1" t="s">
        <v>2195</v>
      </c>
      <c r="B141" s="2376"/>
      <c r="C141" s="2377"/>
      <c r="D141" s="2378">
        <f>SUM(D9:D140)</f>
        <v>126526.88938254987</v>
      </c>
      <c r="E141" s="2378">
        <f>SUM(E9:E140)</f>
        <v>26712.926423391629</v>
      </c>
      <c r="F141" s="2366">
        <f t="shared" si="5"/>
        <v>2.1112450131154321</v>
      </c>
      <c r="G141" s="2378">
        <f>SUM(G9:G140)</f>
        <v>31370.048345173407</v>
      </c>
      <c r="H141" s="2366">
        <f>IFERROR(G141/D141*10,0)</f>
        <v>2.4793187043686107</v>
      </c>
      <c r="I141" s="2378">
        <f>SUM(I9:I140)</f>
        <v>0</v>
      </c>
      <c r="J141" s="2366">
        <f>IFERROR(I141/D141*10,0)</f>
        <v>0</v>
      </c>
      <c r="K141" s="2378">
        <f>SUM(K9:K140)</f>
        <v>58082.974768565036</v>
      </c>
      <c r="L141" s="2366">
        <f t="shared" si="7"/>
        <v>4.5905637174840423</v>
      </c>
      <c r="M141" s="2367"/>
      <c r="N141" s="2368"/>
      <c r="O141" s="2369"/>
      <c r="Q141" s="2369"/>
      <c r="R141" s="2369"/>
      <c r="S141" s="2369"/>
      <c r="T141" s="2369"/>
      <c r="U141" s="2369"/>
    </row>
    <row r="142" spans="1:21" s="2350" customFormat="1">
      <c r="A142" s="2379" t="s">
        <v>1811</v>
      </c>
      <c r="B142" s="2376"/>
      <c r="C142" s="2377"/>
      <c r="D142" s="2378"/>
      <c r="E142" s="2378"/>
      <c r="F142" s="2378"/>
      <c r="G142" s="2378"/>
      <c r="H142" s="2378"/>
      <c r="I142" s="2378"/>
      <c r="J142" s="2378"/>
      <c r="K142" s="2370">
        <f>SUM(F13B_22_23_ARR!EN202:EN206)</f>
        <v>6211.2744873585016</v>
      </c>
      <c r="L142" s="2380"/>
      <c r="M142" s="2367"/>
      <c r="N142" s="2368"/>
      <c r="O142" s="2369"/>
      <c r="Q142" s="2369"/>
      <c r="R142" s="2369"/>
      <c r="S142" s="2369"/>
      <c r="T142" s="2369"/>
      <c r="U142" s="2369"/>
    </row>
    <row r="143" spans="1:21" s="2350" customFormat="1">
      <c r="A143" s="2379" t="s">
        <v>22</v>
      </c>
      <c r="B143" s="2376"/>
      <c r="C143" s="2377"/>
      <c r="D143" s="2378">
        <f>D141+D142</f>
        <v>126526.88938254987</v>
      </c>
      <c r="E143" s="2378">
        <f>E141+E142</f>
        <v>26712.926423391629</v>
      </c>
      <c r="F143" s="2366">
        <f t="shared" si="5"/>
        <v>2.1112450131154321</v>
      </c>
      <c r="G143" s="2378">
        <f>G141+G142</f>
        <v>31370.048345173407</v>
      </c>
      <c r="H143" s="2366">
        <f>IFERROR(G143/D143*10,0)</f>
        <v>2.4793187043686107</v>
      </c>
      <c r="I143" s="2378">
        <f>I141+I142</f>
        <v>0</v>
      </c>
      <c r="J143" s="2366">
        <f>IFERROR(I143/D143*10,0)</f>
        <v>0</v>
      </c>
      <c r="K143" s="2378">
        <f>K141+K142</f>
        <v>64294.24925592354</v>
      </c>
      <c r="L143" s="2366">
        <f t="shared" si="7"/>
        <v>5.0814692094051246</v>
      </c>
      <c r="M143" s="2367"/>
      <c r="N143" s="2368"/>
      <c r="O143" s="2369"/>
      <c r="Q143" s="2369"/>
      <c r="R143" s="2369"/>
      <c r="S143" s="2369"/>
      <c r="T143" s="2369"/>
      <c r="U143" s="2369"/>
    </row>
    <row r="144" spans="1:21">
      <c r="A144" s="3257" t="s">
        <v>2196</v>
      </c>
      <c r="B144" s="3258"/>
      <c r="C144" s="3258"/>
      <c r="D144" s="3258"/>
      <c r="E144" s="3258"/>
      <c r="F144" s="3258"/>
      <c r="G144" s="3258"/>
      <c r="H144" s="3258"/>
      <c r="I144" s="3258"/>
      <c r="J144" s="3258"/>
      <c r="K144" s="3258"/>
      <c r="L144" s="3259"/>
      <c r="M144" s="560"/>
      <c r="N144" s="2381"/>
      <c r="O144" s="2357"/>
      <c r="P144" s="2357"/>
      <c r="Q144" s="2357"/>
      <c r="R144" s="2357"/>
      <c r="S144" s="2357"/>
      <c r="T144" s="2357"/>
    </row>
    <row r="145" spans="1:20">
      <c r="A145" s="311" t="s">
        <v>2197</v>
      </c>
      <c r="B145" s="561"/>
      <c r="C145" s="561"/>
      <c r="D145" s="2382"/>
      <c r="E145" s="2383"/>
      <c r="F145" s="2383"/>
      <c r="G145" s="2383"/>
      <c r="H145" s="2383"/>
      <c r="I145" s="2383"/>
      <c r="J145" s="2383"/>
      <c r="K145" s="2383"/>
      <c r="L145" s="2383"/>
      <c r="M145" s="560"/>
      <c r="N145" s="2381"/>
      <c r="O145" s="2357"/>
      <c r="P145" s="2357"/>
      <c r="Q145" s="2357"/>
      <c r="R145" s="2357"/>
      <c r="S145" s="2357"/>
      <c r="T145" s="2357"/>
    </row>
    <row r="146" spans="1:20">
      <c r="A146" s="3257" t="s">
        <v>2198</v>
      </c>
      <c r="B146" s="3258"/>
      <c r="C146" s="3258"/>
      <c r="D146" s="3258"/>
      <c r="E146" s="3258"/>
      <c r="F146" s="3258"/>
      <c r="G146" s="3258"/>
      <c r="H146" s="3258"/>
      <c r="I146" s="3258"/>
      <c r="J146" s="3258"/>
      <c r="K146" s="3258"/>
      <c r="L146" s="3259"/>
      <c r="M146" s="560"/>
      <c r="N146" s="2381"/>
      <c r="O146" s="2357"/>
      <c r="P146" s="2357"/>
      <c r="Q146" s="2357"/>
      <c r="R146" s="2357"/>
      <c r="S146" s="2357"/>
      <c r="T146" s="2357"/>
    </row>
    <row r="147" spans="1:20">
      <c r="M147" s="560"/>
      <c r="N147" s="2381"/>
      <c r="O147" s="2357"/>
      <c r="P147" s="2357"/>
      <c r="Q147" s="2357"/>
      <c r="R147" s="2357"/>
      <c r="S147" s="2357"/>
      <c r="T147" s="2357"/>
    </row>
    <row r="148" spans="1:20">
      <c r="M148" s="560"/>
      <c r="N148" s="2381"/>
      <c r="O148" s="2357"/>
      <c r="P148" s="2357"/>
      <c r="Q148" s="2357"/>
      <c r="R148" s="2357"/>
      <c r="S148" s="2363"/>
      <c r="T148" s="2357"/>
    </row>
    <row r="176" spans="13:13">
      <c r="M176" s="2364"/>
    </row>
    <row r="177" spans="13:13">
      <c r="M177" s="544"/>
    </row>
    <row r="241" spans="13:13">
      <c r="M241" s="2364"/>
    </row>
  </sheetData>
  <dataConsolidate>
    <dataRefs count="1">
      <dataRef ref="C29:E61" sheet="Summary" r:id="rId1"/>
    </dataRefs>
  </dataConsolidate>
  <mergeCells count="7">
    <mergeCell ref="A146:L146"/>
    <mergeCell ref="A2:C2"/>
    <mergeCell ref="A5:A7"/>
    <mergeCell ref="B5:B7"/>
    <mergeCell ref="C5:C7"/>
    <mergeCell ref="D5:L5"/>
    <mergeCell ref="A144:L144"/>
  </mergeCells>
  <printOptions horizontalCentered="1" verticalCentered="1"/>
  <pageMargins left="0.23622047244094491" right="0.23622047244094491" top="0.74803149606299213" bottom="0.74803149606299213" header="0.31496062992125984" footer="0.31496062992125984"/>
  <pageSetup paperSize="9" scale="73" fitToWidth="5" fitToHeight="5" orientation="landscape" r:id="rId2"/>
  <headerFooter>
    <oddFooter>&amp;R&amp;P</oddFooter>
  </headerFooter>
  <rowBreaks count="1" manualBreakCount="1">
    <brk id="108" max="1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7"/>
  <sheetViews>
    <sheetView showGridLines="0" view="pageBreakPreview" zoomScale="72" zoomScaleNormal="90" zoomScaleSheetLayoutView="72" workbookViewId="0">
      <pane xSplit="1" ySplit="9" topLeftCell="AL218" activePane="bottomRight" state="frozen"/>
      <selection activeCell="C105" sqref="C105"/>
      <selection pane="topRight" activeCell="C105" sqref="C105"/>
      <selection pane="bottomLeft" activeCell="C105" sqref="C105"/>
      <selection pane="bottomRight" activeCell="C105" sqref="C105"/>
    </sheetView>
  </sheetViews>
  <sheetFormatPr defaultColWidth="9.26953125" defaultRowHeight="14.5"/>
  <cols>
    <col min="1" max="1" width="44.7265625" style="2340" customWidth="1"/>
    <col min="2" max="2" width="12.26953125" style="559" customWidth="1"/>
    <col min="3" max="3" width="10.7265625" style="559" customWidth="1"/>
    <col min="4" max="4" width="15.26953125" style="559" hidden="1" customWidth="1"/>
    <col min="5" max="11" width="10.7265625" style="559" hidden="1" customWidth="1"/>
    <col min="12" max="12" width="14.54296875" style="559" hidden="1" customWidth="1"/>
    <col min="13" max="13" width="10.7265625" style="559" hidden="1" customWidth="1"/>
    <col min="14" max="14" width="16" style="2388" hidden="1" customWidth="1"/>
    <col min="15" max="15" width="15.26953125" style="2388" hidden="1" customWidth="1"/>
    <col min="16" max="16" width="10.7265625" style="2388" hidden="1" customWidth="1"/>
    <col min="17" max="17" width="15.26953125" style="2388" hidden="1" customWidth="1"/>
    <col min="18" max="18" width="10.7265625" style="2388" hidden="1" customWidth="1"/>
    <col min="19" max="19" width="13.7265625" style="2388" hidden="1" customWidth="1"/>
    <col min="20" max="20" width="12" style="2388" hidden="1" customWidth="1"/>
    <col min="21" max="21" width="10.7265625" style="2388" hidden="1" customWidth="1"/>
    <col min="22" max="22" width="15" style="2388" hidden="1" customWidth="1"/>
    <col min="23" max="23" width="12" style="2388" hidden="1" customWidth="1"/>
    <col min="24" max="24" width="15.7265625" style="2351" customWidth="1"/>
    <col min="25" max="25" width="14.54296875" style="2351" customWidth="1"/>
    <col min="26" max="26" width="10.7265625" style="2351" customWidth="1"/>
    <col min="27" max="27" width="14.54296875" style="2351" customWidth="1"/>
    <col min="28" max="28" width="10.7265625" style="2351" customWidth="1"/>
    <col min="29" max="29" width="14.54296875" style="2351" customWidth="1"/>
    <col min="30" max="31" width="10.7265625" style="2351" customWidth="1"/>
    <col min="32" max="32" width="14.54296875" style="2351" customWidth="1"/>
    <col min="33" max="33" width="10.7265625" style="2351" customWidth="1"/>
    <col min="34" max="34" width="15" style="2351" customWidth="1"/>
    <col min="35" max="35" width="14.54296875" style="2351" customWidth="1"/>
    <col min="36" max="36" width="11.7265625" style="2351" customWidth="1"/>
    <col min="37" max="37" width="14.7265625" style="2351" customWidth="1"/>
    <col min="38" max="38" width="10.7265625" style="2351" customWidth="1"/>
    <col min="39" max="39" width="15.54296875" style="2351" bestFit="1" customWidth="1"/>
    <col min="40" max="41" width="10.7265625" style="2351" customWidth="1"/>
    <col min="42" max="42" width="14.26953125" style="2351" customWidth="1"/>
    <col min="43" max="43" width="10.7265625" style="2351" customWidth="1"/>
    <col min="44" max="44" width="15.26953125" style="2389" customWidth="1"/>
    <col min="45" max="45" width="14.26953125" style="2351" customWidth="1"/>
    <col min="46" max="46" width="10" style="2351" customWidth="1"/>
    <col min="47" max="47" width="14.54296875" style="2351" customWidth="1"/>
    <col min="48" max="50" width="11.7265625" style="2351" customWidth="1"/>
    <col min="51" max="51" width="14.54296875" style="2351" customWidth="1"/>
    <col min="52" max="52" width="12.54296875" style="2351" customWidth="1"/>
    <col min="53" max="16384" width="9.26953125" style="559"/>
  </cols>
  <sheetData>
    <row r="1" spans="1:52" s="2350" customFormat="1">
      <c r="A1" s="2384" t="s">
        <v>2199</v>
      </c>
      <c r="B1" s="810"/>
      <c r="C1" s="810"/>
      <c r="D1" s="810"/>
      <c r="E1" s="810"/>
      <c r="F1" s="810"/>
      <c r="G1" s="810"/>
      <c r="H1" s="810"/>
      <c r="I1" s="810"/>
      <c r="J1" s="810"/>
      <c r="K1" s="810"/>
      <c r="L1" s="810"/>
      <c r="M1" s="810"/>
      <c r="N1" s="2385"/>
      <c r="O1" s="2385"/>
      <c r="P1" s="2385"/>
      <c r="Q1" s="2385"/>
      <c r="R1" s="2385"/>
      <c r="S1" s="2385"/>
      <c r="T1" s="2385"/>
      <c r="U1" s="2385"/>
      <c r="V1" s="2385"/>
      <c r="W1" s="2385"/>
      <c r="X1" s="2386"/>
      <c r="Y1" s="2386"/>
      <c r="Z1" s="2386"/>
      <c r="AA1" s="2386"/>
      <c r="AB1" s="2386"/>
      <c r="AC1" s="2386"/>
      <c r="AD1" s="2386"/>
      <c r="AE1" s="2386"/>
      <c r="AF1" s="2386"/>
      <c r="AG1" s="2386"/>
      <c r="AH1" s="2386"/>
      <c r="AI1" s="2386"/>
      <c r="AJ1" s="2386"/>
      <c r="AK1" s="2386"/>
      <c r="AL1" s="2386"/>
      <c r="AM1" s="2386"/>
      <c r="AN1" s="2386"/>
      <c r="AO1" s="2386"/>
      <c r="AP1" s="2386"/>
      <c r="AQ1" s="2386"/>
      <c r="AR1" s="2387"/>
      <c r="AS1" s="2386"/>
      <c r="AT1" s="2386"/>
      <c r="AU1" s="2386"/>
      <c r="AV1" s="2386"/>
      <c r="AW1" s="2386"/>
      <c r="AX1" s="2386"/>
      <c r="AY1" s="2386"/>
      <c r="AZ1" s="2386"/>
    </row>
    <row r="2" spans="1:52">
      <c r="A2" s="3263" t="s">
        <v>174</v>
      </c>
      <c r="B2" s="3263"/>
      <c r="C2" s="3263"/>
      <c r="D2" s="3263"/>
      <c r="E2" s="3263"/>
      <c r="F2" s="3263"/>
      <c r="G2" s="3263"/>
      <c r="H2" s="3263"/>
      <c r="I2" s="3263"/>
      <c r="J2" s="3263"/>
      <c r="K2" s="3263"/>
      <c r="L2" s="3263"/>
      <c r="M2" s="3263"/>
    </row>
    <row r="3" spans="1:52">
      <c r="A3" s="2390" t="s">
        <v>1574</v>
      </c>
      <c r="B3" s="2391"/>
      <c r="C3" s="2391"/>
      <c r="D3" s="2391"/>
      <c r="E3" s="2391"/>
      <c r="F3" s="2391"/>
      <c r="G3" s="2391"/>
      <c r="H3" s="2391"/>
      <c r="I3" s="2391"/>
      <c r="J3" s="2391"/>
      <c r="K3" s="2391"/>
      <c r="L3" s="2391"/>
      <c r="M3" s="2391"/>
      <c r="N3" s="2392"/>
      <c r="O3" s="2392"/>
      <c r="P3" s="2392"/>
      <c r="Q3" s="2392"/>
      <c r="R3" s="2392"/>
      <c r="S3" s="2392"/>
      <c r="T3" s="2392"/>
      <c r="U3" s="2392"/>
      <c r="V3" s="2392"/>
      <c r="W3" s="2392"/>
      <c r="X3" s="2393"/>
      <c r="Y3" s="2393"/>
      <c r="Z3" s="2393"/>
      <c r="AA3" s="2393"/>
      <c r="AB3" s="2393"/>
      <c r="AC3" s="2393"/>
      <c r="AD3" s="2393"/>
      <c r="AE3" s="2393"/>
      <c r="AF3" s="2393"/>
      <c r="AG3" s="2393"/>
      <c r="AH3" s="2393"/>
      <c r="AI3" s="2393"/>
      <c r="AJ3" s="2393"/>
      <c r="AK3" s="2393"/>
      <c r="AL3" s="2393"/>
      <c r="AM3" s="2393"/>
      <c r="AN3" s="2393"/>
      <c r="AO3" s="2393"/>
      <c r="AP3" s="2393"/>
      <c r="AQ3" s="2393"/>
      <c r="AR3" s="2394"/>
      <c r="AS3" s="2393"/>
      <c r="AT3" s="2393"/>
      <c r="AU3" s="2393"/>
      <c r="AV3" s="2393"/>
      <c r="AW3" s="2393"/>
      <c r="AX3" s="2393"/>
      <c r="AY3" s="2393"/>
      <c r="AZ3" s="2393"/>
    </row>
    <row r="4" spans="1:52" s="2350" customFormat="1">
      <c r="A4" s="2395">
        <v>1</v>
      </c>
      <c r="B4" s="2396">
        <v>2</v>
      </c>
      <c r="C4" s="2395">
        <v>3</v>
      </c>
      <c r="D4" s="2396">
        <v>4</v>
      </c>
      <c r="E4" s="2395">
        <v>5</v>
      </c>
      <c r="F4" s="2396">
        <v>6</v>
      </c>
      <c r="G4" s="2395">
        <v>7</v>
      </c>
      <c r="H4" s="2396">
        <v>8</v>
      </c>
      <c r="I4" s="2395">
        <v>9</v>
      </c>
      <c r="J4" s="2396">
        <v>10</v>
      </c>
      <c r="K4" s="2395">
        <v>11</v>
      </c>
      <c r="L4" s="2396">
        <v>12</v>
      </c>
      <c r="M4" s="2395">
        <v>13</v>
      </c>
      <c r="N4" s="2396">
        <v>14</v>
      </c>
      <c r="O4" s="2395">
        <v>15</v>
      </c>
      <c r="P4" s="2396">
        <v>16</v>
      </c>
      <c r="Q4" s="2395">
        <v>17</v>
      </c>
      <c r="R4" s="2396">
        <v>18</v>
      </c>
      <c r="S4" s="2395">
        <v>19</v>
      </c>
      <c r="T4" s="2396">
        <v>20</v>
      </c>
      <c r="U4" s="2395">
        <v>21</v>
      </c>
      <c r="V4" s="2396">
        <v>22</v>
      </c>
      <c r="W4" s="2395">
        <v>23</v>
      </c>
      <c r="X4" s="2396">
        <v>24</v>
      </c>
      <c r="Y4" s="2395">
        <v>25</v>
      </c>
      <c r="Z4" s="2396">
        <v>26</v>
      </c>
      <c r="AA4" s="2395">
        <v>27</v>
      </c>
      <c r="AB4" s="2396">
        <v>28</v>
      </c>
      <c r="AC4" s="2395">
        <v>29</v>
      </c>
      <c r="AD4" s="2396">
        <v>30</v>
      </c>
      <c r="AE4" s="2395">
        <v>31</v>
      </c>
      <c r="AF4" s="2396">
        <v>32</v>
      </c>
      <c r="AG4" s="2395">
        <v>33</v>
      </c>
      <c r="AH4" s="2396">
        <v>34</v>
      </c>
      <c r="AI4" s="2395">
        <v>35</v>
      </c>
      <c r="AJ4" s="2396">
        <v>36</v>
      </c>
      <c r="AK4" s="2395">
        <v>37</v>
      </c>
      <c r="AL4" s="2396">
        <v>38</v>
      </c>
      <c r="AM4" s="2395">
        <v>39</v>
      </c>
      <c r="AN4" s="2396">
        <v>40</v>
      </c>
      <c r="AO4" s="2395">
        <v>41</v>
      </c>
      <c r="AP4" s="2396">
        <v>42</v>
      </c>
      <c r="AQ4" s="2395">
        <v>43</v>
      </c>
      <c r="AR4" s="2396">
        <v>44</v>
      </c>
      <c r="AS4" s="2395">
        <v>45</v>
      </c>
      <c r="AT4" s="2396">
        <v>46</v>
      </c>
      <c r="AU4" s="2395">
        <v>47</v>
      </c>
      <c r="AV4" s="2396">
        <v>48</v>
      </c>
      <c r="AW4" s="2395">
        <v>49</v>
      </c>
      <c r="AX4" s="2396">
        <v>50</v>
      </c>
      <c r="AY4" s="2395">
        <v>51</v>
      </c>
      <c r="AZ4" s="2396">
        <v>52</v>
      </c>
    </row>
    <row r="5" spans="1:52" s="2350" customFormat="1" hidden="1">
      <c r="A5" s="2384">
        <v>1</v>
      </c>
      <c r="B5" s="2397">
        <v>2</v>
      </c>
      <c r="C5" s="2397">
        <v>3</v>
      </c>
      <c r="D5" s="2397">
        <v>4</v>
      </c>
      <c r="E5" s="2397">
        <v>5</v>
      </c>
      <c r="F5" s="2397">
        <v>6</v>
      </c>
      <c r="G5" s="2397">
        <v>7</v>
      </c>
      <c r="H5" s="2397">
        <v>8</v>
      </c>
      <c r="I5" s="2397">
        <v>9</v>
      </c>
      <c r="J5" s="2397">
        <v>10</v>
      </c>
      <c r="K5" s="2397">
        <v>11</v>
      </c>
      <c r="L5" s="2397">
        <v>12</v>
      </c>
      <c r="M5" s="2397">
        <v>13</v>
      </c>
      <c r="N5" s="2385">
        <v>14</v>
      </c>
      <c r="O5" s="2385">
        <v>15</v>
      </c>
      <c r="P5" s="2385">
        <v>16</v>
      </c>
      <c r="Q5" s="2385">
        <v>17</v>
      </c>
      <c r="R5" s="2385">
        <v>18</v>
      </c>
      <c r="S5" s="2385">
        <v>19</v>
      </c>
      <c r="T5" s="2385">
        <v>20</v>
      </c>
      <c r="U5" s="2385">
        <v>21</v>
      </c>
      <c r="V5" s="2385">
        <v>22</v>
      </c>
      <c r="W5" s="2385">
        <v>23</v>
      </c>
      <c r="X5" s="2397">
        <v>24</v>
      </c>
      <c r="Y5" s="2397">
        <v>25</v>
      </c>
      <c r="Z5" s="2397">
        <v>26</v>
      </c>
      <c r="AA5" s="2397">
        <v>27</v>
      </c>
      <c r="AB5" s="2397">
        <v>28</v>
      </c>
      <c r="AC5" s="2397">
        <v>29</v>
      </c>
      <c r="AD5" s="2397">
        <v>30</v>
      </c>
      <c r="AE5" s="2397">
        <v>31</v>
      </c>
      <c r="AF5" s="2397">
        <v>32</v>
      </c>
      <c r="AG5" s="2397">
        <v>33</v>
      </c>
      <c r="AH5" s="2397">
        <v>34</v>
      </c>
      <c r="AI5" s="2397">
        <v>35</v>
      </c>
      <c r="AJ5" s="2397">
        <v>36</v>
      </c>
      <c r="AK5" s="2397">
        <v>37</v>
      </c>
      <c r="AL5" s="2397">
        <v>38</v>
      </c>
      <c r="AM5" s="2397">
        <v>39</v>
      </c>
      <c r="AN5" s="2397">
        <v>40</v>
      </c>
      <c r="AO5" s="2397">
        <v>41</v>
      </c>
      <c r="AP5" s="2397">
        <v>42</v>
      </c>
      <c r="AQ5" s="2397">
        <v>43</v>
      </c>
      <c r="AR5" s="2397">
        <v>44</v>
      </c>
      <c r="AS5" s="2397">
        <v>45</v>
      </c>
      <c r="AT5" s="2397"/>
      <c r="AU5" s="2397">
        <v>47</v>
      </c>
      <c r="AV5" s="2397">
        <v>48</v>
      </c>
      <c r="AW5" s="2397">
        <v>49</v>
      </c>
      <c r="AX5" s="2397">
        <v>50</v>
      </c>
      <c r="AY5" s="2397">
        <v>51</v>
      </c>
      <c r="AZ5" s="2397"/>
    </row>
    <row r="6" spans="1:52" ht="15" customHeight="1">
      <c r="A6" s="2398"/>
      <c r="B6" s="2398"/>
      <c r="C6" s="2398"/>
      <c r="D6" s="3264" t="s">
        <v>2200</v>
      </c>
      <c r="E6" s="3264"/>
      <c r="F6" s="3264"/>
      <c r="G6" s="3264"/>
      <c r="H6" s="3264"/>
      <c r="I6" s="3264"/>
      <c r="J6" s="3264"/>
      <c r="K6" s="3264"/>
      <c r="L6" s="3264"/>
      <c r="M6" s="3264"/>
      <c r="N6" s="3265" t="s">
        <v>553</v>
      </c>
      <c r="O6" s="3265"/>
      <c r="P6" s="3265"/>
      <c r="Q6" s="3265"/>
      <c r="R6" s="3265"/>
      <c r="S6" s="3265"/>
      <c r="T6" s="3265"/>
      <c r="U6" s="3265"/>
      <c r="V6" s="3265"/>
      <c r="W6" s="3265"/>
      <c r="X6" s="3266" t="s">
        <v>2201</v>
      </c>
      <c r="Y6" s="3267"/>
      <c r="Z6" s="3267"/>
      <c r="AA6" s="3267"/>
      <c r="AB6" s="3267"/>
      <c r="AC6" s="3267"/>
      <c r="AD6" s="3267"/>
      <c r="AE6" s="3267"/>
      <c r="AF6" s="3267"/>
      <c r="AG6" s="3268"/>
      <c r="AH6" s="3266" t="s">
        <v>546</v>
      </c>
      <c r="AI6" s="3267"/>
      <c r="AJ6" s="3267"/>
      <c r="AK6" s="3267"/>
      <c r="AL6" s="3267"/>
      <c r="AM6" s="3267"/>
      <c r="AN6" s="3267"/>
      <c r="AO6" s="3267"/>
      <c r="AP6" s="3267"/>
      <c r="AQ6" s="3268"/>
      <c r="AR6" s="3269" t="s">
        <v>547</v>
      </c>
      <c r="AS6" s="3269"/>
      <c r="AT6" s="3269"/>
      <c r="AU6" s="3269"/>
      <c r="AV6" s="3269"/>
      <c r="AW6" s="3269"/>
      <c r="AX6" s="3269"/>
      <c r="AY6" s="3269"/>
      <c r="AZ6" s="3269"/>
    </row>
    <row r="7" spans="1:52" s="481" customFormat="1" ht="70.5" customHeight="1">
      <c r="A7" s="2398" t="s">
        <v>2184</v>
      </c>
      <c r="B7" s="2398" t="s">
        <v>2185</v>
      </c>
      <c r="C7" s="2398" t="s">
        <v>2186</v>
      </c>
      <c r="D7" s="2398" t="s">
        <v>1628</v>
      </c>
      <c r="E7" s="2398" t="s">
        <v>2187</v>
      </c>
      <c r="F7" s="2398" t="s">
        <v>2188</v>
      </c>
      <c r="G7" s="2398" t="s">
        <v>2189</v>
      </c>
      <c r="H7" s="2398" t="s">
        <v>2190</v>
      </c>
      <c r="I7" s="2398" t="s">
        <v>2191</v>
      </c>
      <c r="J7" s="2398" t="s">
        <v>2192</v>
      </c>
      <c r="K7" s="2398" t="s">
        <v>2202</v>
      </c>
      <c r="L7" s="2398" t="s">
        <v>2193</v>
      </c>
      <c r="M7" s="2398" t="s">
        <v>2194</v>
      </c>
      <c r="N7" s="2398" t="s">
        <v>1628</v>
      </c>
      <c r="O7" s="2398" t="s">
        <v>2187</v>
      </c>
      <c r="P7" s="2398" t="s">
        <v>2188</v>
      </c>
      <c r="Q7" s="2398" t="s">
        <v>2189</v>
      </c>
      <c r="R7" s="2398" t="s">
        <v>2190</v>
      </c>
      <c r="S7" s="2398" t="s">
        <v>2191</v>
      </c>
      <c r="T7" s="2398" t="s">
        <v>2192</v>
      </c>
      <c r="U7" s="2398" t="s">
        <v>2202</v>
      </c>
      <c r="V7" s="2398" t="s">
        <v>2193</v>
      </c>
      <c r="W7" s="2398" t="s">
        <v>2194</v>
      </c>
      <c r="X7" s="2398" t="s">
        <v>1628</v>
      </c>
      <c r="Y7" s="2398" t="s">
        <v>2187</v>
      </c>
      <c r="Z7" s="2398" t="s">
        <v>2203</v>
      </c>
      <c r="AA7" s="2398" t="s">
        <v>2204</v>
      </c>
      <c r="AB7" s="2398" t="s">
        <v>2190</v>
      </c>
      <c r="AC7" s="2398" t="s">
        <v>2191</v>
      </c>
      <c r="AD7" s="2398" t="s">
        <v>2205</v>
      </c>
      <c r="AE7" s="2398" t="s">
        <v>2202</v>
      </c>
      <c r="AF7" s="2398" t="s">
        <v>2193</v>
      </c>
      <c r="AG7" s="2398" t="s">
        <v>2194</v>
      </c>
      <c r="AH7" s="2398" t="s">
        <v>1628</v>
      </c>
      <c r="AI7" s="2398" t="s">
        <v>2187</v>
      </c>
      <c r="AJ7" s="2398" t="s">
        <v>2206</v>
      </c>
      <c r="AK7" s="2398" t="s">
        <v>2189</v>
      </c>
      <c r="AL7" s="2398" t="s">
        <v>2190</v>
      </c>
      <c r="AM7" s="2398" t="s">
        <v>2191</v>
      </c>
      <c r="AN7" s="2398" t="s">
        <v>2205</v>
      </c>
      <c r="AO7" s="2398" t="s">
        <v>2202</v>
      </c>
      <c r="AP7" s="2398" t="s">
        <v>2193</v>
      </c>
      <c r="AQ7" s="2398" t="s">
        <v>2194</v>
      </c>
      <c r="AR7" s="2398" t="s">
        <v>1628</v>
      </c>
      <c r="AS7" s="2398" t="s">
        <v>2187</v>
      </c>
      <c r="AT7" s="2398" t="s">
        <v>2188</v>
      </c>
      <c r="AU7" s="2398" t="s">
        <v>2189</v>
      </c>
      <c r="AV7" s="2398" t="s">
        <v>2190</v>
      </c>
      <c r="AW7" s="2398" t="s">
        <v>2191</v>
      </c>
      <c r="AX7" s="2398" t="s">
        <v>2192</v>
      </c>
      <c r="AY7" s="2398" t="s">
        <v>2193</v>
      </c>
      <c r="AZ7" s="2398" t="s">
        <v>2194</v>
      </c>
    </row>
    <row r="8" spans="1:52" s="2357" customFormat="1" ht="15" customHeight="1">
      <c r="A8" s="2399"/>
      <c r="B8" s="2399"/>
      <c r="C8" s="2399"/>
      <c r="D8" s="2809"/>
      <c r="E8" s="2809"/>
      <c r="F8" s="2809"/>
      <c r="G8" s="2809"/>
      <c r="H8" s="2809"/>
      <c r="I8" s="2809"/>
      <c r="J8" s="2809"/>
      <c r="K8" s="2809"/>
      <c r="L8" s="2809"/>
      <c r="M8" s="2809"/>
      <c r="N8" s="2400"/>
      <c r="O8" s="2400"/>
      <c r="P8" s="2400"/>
      <c r="Q8" s="2400"/>
      <c r="R8" s="2400"/>
      <c r="S8" s="2400"/>
      <c r="T8" s="2400"/>
      <c r="U8" s="2400"/>
      <c r="V8" s="2400"/>
      <c r="W8" s="2400"/>
      <c r="X8" s="2401"/>
      <c r="Y8" s="2401"/>
      <c r="Z8" s="2401"/>
      <c r="AA8" s="2401"/>
      <c r="AB8" s="2401"/>
      <c r="AC8" s="2401"/>
      <c r="AD8" s="2401"/>
      <c r="AE8" s="2401"/>
      <c r="AF8" s="2401"/>
      <c r="AG8" s="2401"/>
      <c r="AH8" s="2789"/>
      <c r="AI8" s="2789"/>
      <c r="AJ8" s="2789"/>
      <c r="AK8" s="2789"/>
      <c r="AL8" s="2789"/>
      <c r="AM8" s="2789"/>
      <c r="AN8" s="2789"/>
      <c r="AO8" s="2789"/>
      <c r="AP8" s="2789"/>
      <c r="AQ8" s="2789"/>
      <c r="AR8" s="2402"/>
      <c r="AS8" s="2403"/>
      <c r="AT8" s="2403"/>
      <c r="AU8" s="2403"/>
      <c r="AV8" s="2403"/>
      <c r="AW8" s="2403"/>
      <c r="AX8" s="2403"/>
      <c r="AY8" s="2403"/>
      <c r="AZ8" s="2403"/>
    </row>
    <row r="9" spans="1:52" s="2350" customFormat="1">
      <c r="A9" s="2404"/>
      <c r="B9" s="2405"/>
      <c r="C9" s="2405"/>
      <c r="D9" s="2809"/>
      <c r="E9" s="2809"/>
      <c r="F9" s="2809"/>
      <c r="G9" s="2809"/>
      <c r="H9" s="2809"/>
      <c r="I9" s="2809"/>
      <c r="J9" s="2809"/>
      <c r="K9" s="2809"/>
      <c r="L9" s="2809"/>
      <c r="M9" s="2809"/>
      <c r="N9" s="2400"/>
      <c r="O9" s="2400"/>
      <c r="P9" s="2400"/>
      <c r="Q9" s="2400"/>
      <c r="R9" s="2400"/>
      <c r="S9" s="2400"/>
      <c r="T9" s="2400"/>
      <c r="U9" s="2400"/>
      <c r="V9" s="2400"/>
      <c r="W9" s="2400"/>
      <c r="X9" s="2401"/>
      <c r="Y9" s="2401"/>
      <c r="Z9" s="2401"/>
      <c r="AA9" s="2401"/>
      <c r="AB9" s="2401"/>
      <c r="AC9" s="2401"/>
      <c r="AD9" s="2401"/>
      <c r="AE9" s="2401"/>
      <c r="AF9" s="2401"/>
      <c r="AG9" s="2401"/>
      <c r="AH9" s="2401"/>
      <c r="AI9" s="2401"/>
      <c r="AJ9" s="2401"/>
      <c r="AK9" s="2401"/>
      <c r="AL9" s="2401"/>
      <c r="AM9" s="2401"/>
      <c r="AN9" s="2401"/>
      <c r="AO9" s="2401"/>
      <c r="AP9" s="2401"/>
      <c r="AQ9" s="2401"/>
      <c r="AR9" s="2406"/>
      <c r="AS9" s="2407"/>
      <c r="AT9" s="2407"/>
      <c r="AU9" s="2407"/>
      <c r="AV9" s="2407"/>
      <c r="AW9" s="2407"/>
      <c r="AX9" s="2407"/>
      <c r="AY9" s="2407"/>
      <c r="AZ9" s="2407"/>
    </row>
    <row r="10" spans="1:52" s="2350" customFormat="1">
      <c r="A10" s="2404" t="s">
        <v>1645</v>
      </c>
      <c r="B10" s="2405"/>
      <c r="C10" s="2405"/>
      <c r="D10" s="2809"/>
      <c r="E10" s="2809"/>
      <c r="F10" s="2809"/>
      <c r="G10" s="2809"/>
      <c r="H10" s="2809"/>
      <c r="I10" s="2809"/>
      <c r="J10" s="2809"/>
      <c r="K10" s="2809"/>
      <c r="L10" s="2809"/>
      <c r="M10" s="2809"/>
      <c r="N10" s="2400"/>
      <c r="O10" s="2400"/>
      <c r="P10" s="2400"/>
      <c r="Q10" s="2400"/>
      <c r="R10" s="2400"/>
      <c r="S10" s="2400"/>
      <c r="T10" s="2400"/>
      <c r="U10" s="2400"/>
      <c r="V10" s="2400"/>
      <c r="W10" s="2400"/>
      <c r="X10" s="2401"/>
      <c r="Y10" s="2401"/>
      <c r="Z10" s="2401"/>
      <c r="AA10" s="2401"/>
      <c r="AB10" s="2401"/>
      <c r="AC10" s="2401"/>
      <c r="AD10" s="2401"/>
      <c r="AE10" s="2401"/>
      <c r="AF10" s="2401"/>
      <c r="AG10" s="2401"/>
      <c r="AH10" s="2401"/>
      <c r="AI10" s="2401"/>
      <c r="AJ10" s="2401"/>
      <c r="AK10" s="2401"/>
      <c r="AL10" s="2401"/>
      <c r="AM10" s="2401"/>
      <c r="AN10" s="2401"/>
      <c r="AO10" s="2401"/>
      <c r="AP10" s="2401"/>
      <c r="AQ10" s="2401"/>
      <c r="AR10" s="2406"/>
      <c r="AS10" s="2407"/>
      <c r="AT10" s="2407"/>
      <c r="AU10" s="2407"/>
      <c r="AV10" s="2407"/>
      <c r="AW10" s="2407"/>
      <c r="AX10" s="2407"/>
      <c r="AY10" s="2407"/>
      <c r="AZ10" s="2407"/>
    </row>
    <row r="11" spans="1:52" s="2350" customFormat="1" ht="29">
      <c r="A11" s="2404" t="s">
        <v>1646</v>
      </c>
      <c r="B11" s="2405"/>
      <c r="C11" s="2405"/>
      <c r="D11" s="2809"/>
      <c r="E11" s="2809"/>
      <c r="F11" s="2809"/>
      <c r="G11" s="2809"/>
      <c r="H11" s="2809"/>
      <c r="I11" s="2809"/>
      <c r="J11" s="2809"/>
      <c r="K11" s="2809"/>
      <c r="L11" s="2809"/>
      <c r="M11" s="2809"/>
      <c r="N11" s="2400"/>
      <c r="O11" s="2400"/>
      <c r="P11" s="2400"/>
      <c r="Q11" s="2400"/>
      <c r="R11" s="2400"/>
      <c r="S11" s="2400"/>
      <c r="T11" s="2400"/>
      <c r="U11" s="2400"/>
      <c r="V11" s="2400"/>
      <c r="W11" s="2400"/>
      <c r="X11" s="2401"/>
      <c r="Y11" s="2401"/>
      <c r="Z11" s="2401"/>
      <c r="AA11" s="2401"/>
      <c r="AB11" s="2401"/>
      <c r="AC11" s="2401"/>
      <c r="AD11" s="2401"/>
      <c r="AE11" s="2401"/>
      <c r="AF11" s="2401"/>
      <c r="AG11" s="2401"/>
      <c r="AH11" s="2401"/>
      <c r="AI11" s="2401"/>
      <c r="AJ11" s="2401"/>
      <c r="AK11" s="2401"/>
      <c r="AL11" s="2401"/>
      <c r="AM11" s="2401"/>
      <c r="AN11" s="2401"/>
      <c r="AO11" s="2401"/>
      <c r="AP11" s="2401"/>
      <c r="AQ11" s="2401"/>
      <c r="AR11" s="2406"/>
      <c r="AS11" s="2407"/>
      <c r="AT11" s="2407"/>
      <c r="AU11" s="2407"/>
      <c r="AV11" s="2407"/>
      <c r="AW11" s="2407"/>
      <c r="AX11" s="2407"/>
      <c r="AY11" s="2407"/>
      <c r="AZ11" s="2407"/>
    </row>
    <row r="12" spans="1:52" s="2350" customFormat="1">
      <c r="A12" s="2404"/>
      <c r="B12" s="2405"/>
      <c r="C12" s="2405"/>
      <c r="D12" s="2809"/>
      <c r="E12" s="2809"/>
      <c r="F12" s="2809"/>
      <c r="G12" s="2809"/>
      <c r="H12" s="2809"/>
      <c r="I12" s="2809"/>
      <c r="J12" s="2809"/>
      <c r="K12" s="2809"/>
      <c r="L12" s="2809"/>
      <c r="M12" s="2809"/>
      <c r="N12" s="2400"/>
      <c r="O12" s="2400"/>
      <c r="P12" s="2400"/>
      <c r="Q12" s="2400"/>
      <c r="R12" s="2400"/>
      <c r="S12" s="2400"/>
      <c r="T12" s="2400"/>
      <c r="U12" s="2400"/>
      <c r="V12" s="2400"/>
      <c r="W12" s="2400"/>
      <c r="X12" s="2401"/>
      <c r="Y12" s="2401"/>
      <c r="Z12" s="2401"/>
      <c r="AA12" s="2401"/>
      <c r="AB12" s="2401"/>
      <c r="AC12" s="2401"/>
      <c r="AD12" s="2401"/>
      <c r="AE12" s="2401"/>
      <c r="AF12" s="2401"/>
      <c r="AG12" s="2401"/>
      <c r="AH12" s="2401"/>
      <c r="AI12" s="2401"/>
      <c r="AJ12" s="2401"/>
      <c r="AK12" s="2401"/>
      <c r="AL12" s="2401"/>
      <c r="AM12" s="2401"/>
      <c r="AN12" s="2401"/>
      <c r="AO12" s="2401"/>
      <c r="AP12" s="2401"/>
      <c r="AQ12" s="2401"/>
      <c r="AR12" s="2406"/>
      <c r="AS12" s="2407"/>
      <c r="AT12" s="2407"/>
      <c r="AU12" s="2407"/>
      <c r="AV12" s="2407"/>
      <c r="AW12" s="2407"/>
      <c r="AX12" s="2407"/>
      <c r="AY12" s="2407"/>
      <c r="AZ12" s="2407"/>
    </row>
    <row r="13" spans="1:52" s="2350" customFormat="1">
      <c r="A13" s="2404" t="s">
        <v>1647</v>
      </c>
      <c r="B13" s="2405"/>
      <c r="C13" s="2405"/>
      <c r="D13" s="2809"/>
      <c r="E13" s="2809"/>
      <c r="F13" s="2809"/>
      <c r="G13" s="2809"/>
      <c r="H13" s="2809"/>
      <c r="I13" s="2809"/>
      <c r="J13" s="2809"/>
      <c r="K13" s="2809"/>
      <c r="L13" s="2809"/>
      <c r="M13" s="2809"/>
      <c r="N13" s="2400"/>
      <c r="O13" s="2400"/>
      <c r="P13" s="2400"/>
      <c r="Q13" s="2400"/>
      <c r="R13" s="2400"/>
      <c r="S13" s="2400"/>
      <c r="T13" s="2400"/>
      <c r="U13" s="2400"/>
      <c r="V13" s="2400"/>
      <c r="W13" s="2400"/>
      <c r="X13" s="2401"/>
      <c r="Y13" s="2401"/>
      <c r="Z13" s="2401"/>
      <c r="AA13" s="2401"/>
      <c r="AB13" s="2401"/>
      <c r="AC13" s="2401"/>
      <c r="AD13" s="2401"/>
      <c r="AE13" s="2401"/>
      <c r="AF13" s="2401"/>
      <c r="AG13" s="2401"/>
      <c r="AH13" s="2401"/>
      <c r="AI13" s="2401"/>
      <c r="AJ13" s="2401"/>
      <c r="AK13" s="2401"/>
      <c r="AL13" s="2401"/>
      <c r="AM13" s="2401"/>
      <c r="AN13" s="2401"/>
      <c r="AO13" s="2401"/>
      <c r="AP13" s="2401"/>
      <c r="AQ13" s="2401"/>
      <c r="AR13" s="2406"/>
      <c r="AS13" s="2407"/>
      <c r="AT13" s="2407"/>
      <c r="AU13" s="2407"/>
      <c r="AV13" s="2407"/>
      <c r="AW13" s="2407"/>
      <c r="AX13" s="2407"/>
      <c r="AY13" s="2407"/>
      <c r="AZ13" s="2407"/>
    </row>
    <row r="14" spans="1:52" s="2350" customFormat="1">
      <c r="A14" s="2408" t="s">
        <v>1648</v>
      </c>
      <c r="B14" s="2405" t="s">
        <v>1649</v>
      </c>
      <c r="C14" s="2405">
        <v>2</v>
      </c>
      <c r="D14" s="2809"/>
      <c r="E14" s="2809"/>
      <c r="F14" s="2809"/>
      <c r="G14" s="2809"/>
      <c r="H14" s="2809"/>
      <c r="I14" s="2809"/>
      <c r="J14" s="2809"/>
      <c r="K14" s="2809"/>
      <c r="L14" s="2809"/>
      <c r="M14" s="2809"/>
      <c r="N14" s="2409">
        <v>3945.1792259999997</v>
      </c>
      <c r="O14" s="2410">
        <v>306.95999999999992</v>
      </c>
      <c r="P14" s="2409">
        <f>IFERROR(O14/N14*10,0)</f>
        <v>0.77806351097317661</v>
      </c>
      <c r="Q14" s="2410">
        <v>693.83844969999996</v>
      </c>
      <c r="R14" s="2410">
        <f>IFERROR(Q14/N14*10,0)</f>
        <v>1.7586994403888712</v>
      </c>
      <c r="S14" s="2410">
        <v>53.794900100000007</v>
      </c>
      <c r="T14" s="2410">
        <f>IFERROR(S14/N14*10,0)</f>
        <v>0.13635603610977751</v>
      </c>
      <c r="U14" s="2410"/>
      <c r="V14" s="2410">
        <f>SUM(O14,Q14,S14)</f>
        <v>1054.5933497999999</v>
      </c>
      <c r="W14" s="2410">
        <f>IFERROR(V14/N14*10,0)</f>
        <v>2.6731189874718253</v>
      </c>
      <c r="X14" s="2411">
        <v>3142.6094549999998</v>
      </c>
      <c r="Y14" s="2411">
        <v>246.76514400000002</v>
      </c>
      <c r="Z14" s="2411">
        <f>IFERROR(Y14/X14*10,0)</f>
        <v>0.78522370511992245</v>
      </c>
      <c r="AA14" s="2411">
        <v>610.18933430000004</v>
      </c>
      <c r="AB14" s="2411">
        <f>IFERROR(AA14/X14*10,0)</f>
        <v>1.9416645403684121</v>
      </c>
      <c r="AC14" s="2411">
        <v>0</v>
      </c>
      <c r="AD14" s="2412">
        <f>IFERROR(AC14/X14*10,0)</f>
        <v>0</v>
      </c>
      <c r="AE14" s="2411"/>
      <c r="AF14" s="2411">
        <f>Y14+AA14+AC14+AE14</f>
        <v>856.95447830000012</v>
      </c>
      <c r="AG14" s="2411">
        <f>IFERROR(AF14/X14*10,0)</f>
        <v>2.7268882454883347</v>
      </c>
      <c r="AH14" s="2412">
        <f>IFERROR(VLOOKUP($A14,F13_21_22!$B$14:$O$217,9,0),0)</f>
        <v>3419.9655534000003</v>
      </c>
      <c r="AI14" s="2412">
        <f>IFERROR(VLOOKUP($A14,F13_21_22!$B$14:$O$217,10,0),0)</f>
        <v>254.01669029999996</v>
      </c>
      <c r="AJ14" s="2412">
        <f>IFERROR(AI14/AH14*10,0)</f>
        <v>0.74274634154565145</v>
      </c>
      <c r="AK14" s="2412">
        <f>IFERROR(VLOOKUP($A14,F13_21_22!$B$14:$O$217,11,0),0)</f>
        <v>659.70334038657495</v>
      </c>
      <c r="AL14" s="2401">
        <f>IFERROR(AK14/AH14*10,0)</f>
        <v>1.9289765644882675</v>
      </c>
      <c r="AM14" s="2412">
        <f>IFERROR(VLOOKUP($A14,F13_21_22!$B$14:$O$217,12,0),0)</f>
        <v>0</v>
      </c>
      <c r="AN14" s="2412">
        <f>IFERROR(AM14/AH14*10,0)</f>
        <v>0</v>
      </c>
      <c r="AO14" s="2411"/>
      <c r="AP14" s="2411">
        <f>SUM(AK14,AI14,AM14,AO14)</f>
        <v>913.72003068657489</v>
      </c>
      <c r="AQ14" s="2411">
        <f>IFERROR(AP14/AH14*10,0)</f>
        <v>2.6717229060339194</v>
      </c>
      <c r="AR14" s="2406">
        <f>IFERROR(VLOOKUP($A14,F13_22_23!$B$14:$O$215,9,0),0)</f>
        <v>3553.5516673129032</v>
      </c>
      <c r="AS14" s="2406">
        <f>IFERROR(VLOOKUP($A14,F13_22_23!$B$14:$O$215,10,0),0)</f>
        <v>272.05857126000001</v>
      </c>
      <c r="AT14" s="2406">
        <f>IFERROR(AS14/AR14*10,0)</f>
        <v>0.76559621677239631</v>
      </c>
      <c r="AU14" s="2406">
        <f>IFERROR(VLOOKUP($A14,F13_22_23!$B$14:$O$215,11,0),0)</f>
        <v>717.85573974859676</v>
      </c>
      <c r="AV14" s="2406">
        <f>IFERROR(AU14/AR14*10,0)</f>
        <v>2.0201077877992955</v>
      </c>
      <c r="AW14" s="2406">
        <f>IFERROR(VLOOKUP($A14,F13_22_23!$B$14:$O$215,12,0),0)</f>
        <v>0</v>
      </c>
      <c r="AX14" s="2406"/>
      <c r="AY14" s="2406">
        <f>AS14+AU14</f>
        <v>989.91431100859677</v>
      </c>
      <c r="AZ14" s="2406">
        <f>IFERROR(AY14/AR14*10,0)</f>
        <v>2.7857040045716919</v>
      </c>
    </row>
    <row r="15" spans="1:52" s="2350" customFormat="1">
      <c r="A15" s="2408" t="s">
        <v>1650</v>
      </c>
      <c r="B15" s="2405" t="s">
        <v>1649</v>
      </c>
      <c r="C15" s="2405">
        <v>2</v>
      </c>
      <c r="D15" s="2809"/>
      <c r="E15" s="2809"/>
      <c r="F15" s="2809"/>
      <c r="G15" s="2809"/>
      <c r="H15" s="2809"/>
      <c r="I15" s="2809"/>
      <c r="J15" s="2809"/>
      <c r="K15" s="2809"/>
      <c r="L15" s="2809"/>
      <c r="M15" s="2809"/>
      <c r="N15" s="2409">
        <v>6954.7240630000006</v>
      </c>
      <c r="O15" s="2410">
        <v>307.88000039999997</v>
      </c>
      <c r="P15" s="2409">
        <f t="shared" ref="P15:P30" si="0">IFERROR(O15/N15*10,0)</f>
        <v>0.44269189921992735</v>
      </c>
      <c r="Q15" s="2410">
        <v>1119.9054074999999</v>
      </c>
      <c r="R15" s="2410">
        <f t="shared" ref="R15:R30" si="1">IFERROR(Q15/N15*10,0)</f>
        <v>1.6102801453447109</v>
      </c>
      <c r="S15" s="2410">
        <v>19.474898800000002</v>
      </c>
      <c r="T15" s="2410">
        <f t="shared" ref="T15:T30" si="2">IFERROR(S15/N15*10,0)</f>
        <v>2.8002403292474092E-2</v>
      </c>
      <c r="U15" s="2410"/>
      <c r="V15" s="2410">
        <f t="shared" ref="V15:V29" si="3">SUM(O15,Q15,S15)</f>
        <v>1447.2603066999998</v>
      </c>
      <c r="W15" s="2410">
        <f t="shared" ref="W15:W30" si="4">IFERROR(V15/N15*10,0)</f>
        <v>2.0809744478571122</v>
      </c>
      <c r="X15" s="2411">
        <v>6982.1569950000012</v>
      </c>
      <c r="Y15" s="2411">
        <v>307.88000019999998</v>
      </c>
      <c r="Z15" s="2411">
        <f t="shared" ref="Z15:Z29" si="5">IFERROR(Y15/X15*10,0)</f>
        <v>0.44095256010495931</v>
      </c>
      <c r="AA15" s="2411">
        <v>1237.5859240999998</v>
      </c>
      <c r="AB15" s="2411">
        <f t="shared" ref="AB15:AB29" si="6">IFERROR(AA15/X15*10,0)</f>
        <v>1.7724979902145548</v>
      </c>
      <c r="AC15" s="2411">
        <v>1.5515497</v>
      </c>
      <c r="AD15" s="2412">
        <f t="shared" ref="AD15:AD29" si="7">IFERROR(AC15/X15*10,0)</f>
        <v>2.2221638687171912E-3</v>
      </c>
      <c r="AE15" s="2411"/>
      <c r="AF15" s="2411">
        <f t="shared" ref="AF15:AF29" si="8">Y15+AA15+AC15+AE15</f>
        <v>1547.0174739999998</v>
      </c>
      <c r="AG15" s="2411">
        <f t="shared" ref="AG15:AG29" si="9">IFERROR(AF15/X15*10,0)</f>
        <v>2.2156727141882313</v>
      </c>
      <c r="AH15" s="2412">
        <f>IFERROR(VLOOKUP($A15,F13_21_22!$B$14:$O$217,9,0),0)</f>
        <v>6835.1432869999999</v>
      </c>
      <c r="AI15" s="2412">
        <f>IFERROR(VLOOKUP($A15,F13_21_22!$B$14:$O$217,10,0),0)</f>
        <v>311.72850035249996</v>
      </c>
      <c r="AJ15" s="2412">
        <f t="shared" ref="AJ15:AJ29" si="10">IFERROR(AI15/AH15*10,0)</f>
        <v>0.45606725018535804</v>
      </c>
      <c r="AK15" s="2412">
        <f>IFERROR(VLOOKUP($A15,F13_21_22!$B$14:$O$217,11,0),0)</f>
        <v>1232.1225798059152</v>
      </c>
      <c r="AL15" s="2401">
        <f t="shared" ref="AL15:AL29" si="11">IFERROR(AK15/AH15*10,0)</f>
        <v>1.8026287497869029</v>
      </c>
      <c r="AM15" s="2412">
        <f>IFERROR(VLOOKUP($A15,F13_21_22!$B$14:$O$217,12,0),0)</f>
        <v>0</v>
      </c>
      <c r="AN15" s="2412">
        <f t="shared" ref="AN15:AN29" si="12">IFERROR(AM15/AH15*10,0)</f>
        <v>0</v>
      </c>
      <c r="AO15" s="2411"/>
      <c r="AP15" s="2411">
        <f t="shared" ref="AP15:AP29" si="13">SUM(AK15,AI15,AM15,AO15)</f>
        <v>1543.8510801584152</v>
      </c>
      <c r="AQ15" s="2411">
        <f t="shared" ref="AQ15:AQ29" si="14">IFERROR(AP15/AH15*10,0)</f>
        <v>2.2586959999722609</v>
      </c>
      <c r="AR15" s="2406">
        <f>IFERROR(VLOOKUP($A15,F13_22_23!$B$14:$O$215,9,0),0)</f>
        <v>6730.0913202161291</v>
      </c>
      <c r="AS15" s="2406">
        <f>IFERROR(VLOOKUP($A15,F13_22_23!$B$14:$O$215,10,0),0)</f>
        <v>339.43770022050001</v>
      </c>
      <c r="AT15" s="2406">
        <f t="shared" ref="AT15:AT29" si="15">IFERROR(AS15/AR15*10,0)</f>
        <v>0.50435823835091642</v>
      </c>
      <c r="AU15" s="2406">
        <f>IFERROR(VLOOKUP($A15,F13_22_23!$B$14:$O$215,11,0),0)</f>
        <v>1241.100790194087</v>
      </c>
      <c r="AV15" s="2406">
        <f t="shared" ref="AV15:AV29" si="16">IFERROR(AU15/AR15*10,0)</f>
        <v>1.8441069090192233</v>
      </c>
      <c r="AW15" s="2406">
        <f>IFERROR(VLOOKUP($A15,F13_22_23!$B$14:$O$215,12,0),0)</f>
        <v>0</v>
      </c>
      <c r="AX15" s="2406"/>
      <c r="AY15" s="2406">
        <f t="shared" ref="AY15:AY29" si="17">AS15+AU15</f>
        <v>1580.5384904145872</v>
      </c>
      <c r="AZ15" s="2406">
        <f t="shared" ref="AZ15:AZ29" si="18">IFERROR(AY15/AR15*10,0)</f>
        <v>2.3484651473701397</v>
      </c>
    </row>
    <row r="16" spans="1:52" s="2350" customFormat="1">
      <c r="A16" s="2408" t="s">
        <v>1651</v>
      </c>
      <c r="B16" s="2405" t="s">
        <v>1649</v>
      </c>
      <c r="C16" s="2405">
        <v>2</v>
      </c>
      <c r="D16" s="2809"/>
      <c r="E16" s="2809"/>
      <c r="F16" s="2809"/>
      <c r="G16" s="2809"/>
      <c r="H16" s="2809"/>
      <c r="I16" s="2809"/>
      <c r="J16" s="2809"/>
      <c r="K16" s="2809"/>
      <c r="L16" s="2809"/>
      <c r="M16" s="2809"/>
      <c r="N16" s="2409">
        <v>0</v>
      </c>
      <c r="O16" s="2410">
        <v>0</v>
      </c>
      <c r="P16" s="2409">
        <f t="shared" si="0"/>
        <v>0</v>
      </c>
      <c r="Q16" s="2410">
        <v>0</v>
      </c>
      <c r="R16" s="2410">
        <f t="shared" si="1"/>
        <v>0</v>
      </c>
      <c r="S16" s="2410">
        <v>4.4939418000000009</v>
      </c>
      <c r="T16" s="2410">
        <f t="shared" si="2"/>
        <v>0</v>
      </c>
      <c r="U16" s="2410"/>
      <c r="V16" s="2410">
        <f t="shared" si="3"/>
        <v>4.4939418000000009</v>
      </c>
      <c r="W16" s="2410">
        <f t="shared" si="4"/>
        <v>0</v>
      </c>
      <c r="X16" s="2411">
        <v>0</v>
      </c>
      <c r="Y16" s="2411">
        <v>0</v>
      </c>
      <c r="Z16" s="2411">
        <f t="shared" si="5"/>
        <v>0</v>
      </c>
      <c r="AA16" s="2411">
        <v>0</v>
      </c>
      <c r="AB16" s="2411">
        <f t="shared" si="6"/>
        <v>0</v>
      </c>
      <c r="AC16" s="2411">
        <v>0</v>
      </c>
      <c r="AD16" s="2412">
        <f t="shared" si="7"/>
        <v>0</v>
      </c>
      <c r="AE16" s="2411"/>
      <c r="AF16" s="2411">
        <f t="shared" si="8"/>
        <v>0</v>
      </c>
      <c r="AG16" s="2411">
        <f t="shared" si="9"/>
        <v>0</v>
      </c>
      <c r="AH16" s="2412">
        <f>IFERROR(VLOOKUP($A16,F13_21_22!$B$14:$O$217,9,0),0)</f>
        <v>0</v>
      </c>
      <c r="AI16" s="2412">
        <f>IFERROR(VLOOKUP($A16,F13_21_22!$B$14:$O$217,10,0),0)</f>
        <v>0</v>
      </c>
      <c r="AJ16" s="2412">
        <f t="shared" si="10"/>
        <v>0</v>
      </c>
      <c r="AK16" s="2412">
        <f>IFERROR(VLOOKUP($A16,F13_21_22!$B$14:$O$217,11,0),0)</f>
        <v>0</v>
      </c>
      <c r="AL16" s="2401">
        <f t="shared" si="11"/>
        <v>0</v>
      </c>
      <c r="AM16" s="2412">
        <f>IFERROR(VLOOKUP($A16,F13_21_22!$B$14:$O$217,12,0),0)</f>
        <v>0</v>
      </c>
      <c r="AN16" s="2412">
        <f t="shared" si="12"/>
        <v>0</v>
      </c>
      <c r="AO16" s="2411"/>
      <c r="AP16" s="2411">
        <f t="shared" si="13"/>
        <v>0</v>
      </c>
      <c r="AQ16" s="2411">
        <f t="shared" si="14"/>
        <v>0</v>
      </c>
      <c r="AR16" s="2406">
        <f>IFERROR(VLOOKUP($A16,F13_22_23!$B$14:$O$215,9,0),0)</f>
        <v>0</v>
      </c>
      <c r="AS16" s="2406">
        <f>IFERROR(VLOOKUP($A16,F13_22_23!$B$14:$O$215,10,0),0)</f>
        <v>0</v>
      </c>
      <c r="AT16" s="2406">
        <f t="shared" si="15"/>
        <v>0</v>
      </c>
      <c r="AU16" s="2406">
        <f>IFERROR(VLOOKUP($A16,F13_22_23!$B$14:$O$215,11,0),0)</f>
        <v>0</v>
      </c>
      <c r="AV16" s="2406">
        <f t="shared" si="16"/>
        <v>0</v>
      </c>
      <c r="AW16" s="2406">
        <f>IFERROR(VLOOKUP($A16,F13_22_23!$B$14:$O$215,12,0),0)</f>
        <v>0</v>
      </c>
      <c r="AX16" s="2406"/>
      <c r="AY16" s="2406">
        <f t="shared" si="17"/>
        <v>0</v>
      </c>
      <c r="AZ16" s="2406">
        <f t="shared" si="18"/>
        <v>0</v>
      </c>
    </row>
    <row r="17" spans="1:52" s="2350" customFormat="1">
      <c r="A17" s="2408" t="s">
        <v>1652</v>
      </c>
      <c r="B17" s="2405" t="s">
        <v>1649</v>
      </c>
      <c r="C17" s="2405">
        <v>2</v>
      </c>
      <c r="D17" s="2809"/>
      <c r="E17" s="2809"/>
      <c r="F17" s="2809"/>
      <c r="G17" s="2809"/>
      <c r="H17" s="2809"/>
      <c r="I17" s="2809"/>
      <c r="J17" s="2809"/>
      <c r="K17" s="2809"/>
      <c r="L17" s="2809"/>
      <c r="M17" s="2809"/>
      <c r="N17" s="2409">
        <v>147.58902399999999</v>
      </c>
      <c r="O17" s="2410">
        <v>59.747480800000005</v>
      </c>
      <c r="P17" s="2409">
        <f t="shared" si="0"/>
        <v>4.0482333428805664</v>
      </c>
      <c r="Q17" s="2410">
        <v>49.442322700000005</v>
      </c>
      <c r="R17" s="2410">
        <f t="shared" si="1"/>
        <v>3.3499999769630575</v>
      </c>
      <c r="S17" s="2410">
        <v>14.8787349</v>
      </c>
      <c r="T17" s="2410">
        <f t="shared" si="2"/>
        <v>1.0081193368417423</v>
      </c>
      <c r="U17" s="2410"/>
      <c r="V17" s="2410">
        <f t="shared" si="3"/>
        <v>124.06853840000001</v>
      </c>
      <c r="W17" s="2410">
        <f t="shared" si="4"/>
        <v>8.4063526566853657</v>
      </c>
      <c r="X17" s="2411">
        <v>0</v>
      </c>
      <c r="Y17" s="2411">
        <v>0</v>
      </c>
      <c r="Z17" s="2411">
        <f t="shared" si="5"/>
        <v>0</v>
      </c>
      <c r="AA17" s="2411">
        <v>0</v>
      </c>
      <c r="AB17" s="2411">
        <f t="shared" si="6"/>
        <v>0</v>
      </c>
      <c r="AC17" s="2411">
        <v>0</v>
      </c>
      <c r="AD17" s="2412">
        <f t="shared" si="7"/>
        <v>0</v>
      </c>
      <c r="AE17" s="2411"/>
      <c r="AF17" s="2411">
        <f t="shared" si="8"/>
        <v>0</v>
      </c>
      <c r="AG17" s="2411">
        <f t="shared" si="9"/>
        <v>0</v>
      </c>
      <c r="AH17" s="2412">
        <f>IFERROR(VLOOKUP($A17,F13_21_22!$B$14:$O$217,9,0),0)</f>
        <v>0</v>
      </c>
      <c r="AI17" s="2412">
        <f>IFERROR(VLOOKUP($A17,F13_21_22!$B$14:$O$217,10,0),0)</f>
        <v>0</v>
      </c>
      <c r="AJ17" s="2412">
        <f t="shared" si="10"/>
        <v>0</v>
      </c>
      <c r="AK17" s="2412">
        <f>IFERROR(VLOOKUP($A17,F13_21_22!$B$14:$O$217,11,0),0)</f>
        <v>0</v>
      </c>
      <c r="AL17" s="2401">
        <f t="shared" si="11"/>
        <v>0</v>
      </c>
      <c r="AM17" s="2412">
        <f>IFERROR(VLOOKUP($A17,F13_21_22!$B$14:$O$217,12,0),0)</f>
        <v>0</v>
      </c>
      <c r="AN17" s="2412">
        <f t="shared" si="12"/>
        <v>0</v>
      </c>
      <c r="AO17" s="2411"/>
      <c r="AP17" s="2411">
        <f t="shared" si="13"/>
        <v>0</v>
      </c>
      <c r="AQ17" s="2411">
        <f t="shared" si="14"/>
        <v>0</v>
      </c>
      <c r="AR17" s="2406">
        <f>IFERROR(VLOOKUP($A17,F13_22_23!$B$14:$O$215,9,0),0)</f>
        <v>0</v>
      </c>
      <c r="AS17" s="2406">
        <f>IFERROR(VLOOKUP($A17,F13_22_23!$B$14:$O$215,10,0),0)</f>
        <v>0</v>
      </c>
      <c r="AT17" s="2406">
        <f t="shared" si="15"/>
        <v>0</v>
      </c>
      <c r="AU17" s="2406">
        <f>IFERROR(VLOOKUP($A17,F13_22_23!$B$14:$O$215,11,0),0)</f>
        <v>0</v>
      </c>
      <c r="AV17" s="2406">
        <f t="shared" si="16"/>
        <v>0</v>
      </c>
      <c r="AW17" s="2406">
        <f>IFERROR(VLOOKUP($A17,F13_22_23!$B$14:$O$215,12,0),0)</f>
        <v>0</v>
      </c>
      <c r="AX17" s="2406"/>
      <c r="AY17" s="2406">
        <f t="shared" si="17"/>
        <v>0</v>
      </c>
      <c r="AZ17" s="2406">
        <f t="shared" si="18"/>
        <v>0</v>
      </c>
    </row>
    <row r="18" spans="1:52" s="2350" customFormat="1">
      <c r="A18" s="2408" t="s">
        <v>1653</v>
      </c>
      <c r="B18" s="2405" t="s">
        <v>1649</v>
      </c>
      <c r="C18" s="2405">
        <v>2</v>
      </c>
      <c r="D18" s="2809"/>
      <c r="E18" s="2809"/>
      <c r="F18" s="2809"/>
      <c r="G18" s="2809"/>
      <c r="H18" s="2809"/>
      <c r="I18" s="2809"/>
      <c r="J18" s="2809"/>
      <c r="K18" s="2809"/>
      <c r="L18" s="2809"/>
      <c r="M18" s="2809"/>
      <c r="N18" s="2409">
        <v>1814.8719869999998</v>
      </c>
      <c r="O18" s="2410">
        <v>333.66</v>
      </c>
      <c r="P18" s="2409">
        <f t="shared" si="0"/>
        <v>1.8384767762686289</v>
      </c>
      <c r="Q18" s="2410">
        <v>576.93762690000005</v>
      </c>
      <c r="R18" s="2410">
        <f t="shared" si="1"/>
        <v>3.1789439201917666</v>
      </c>
      <c r="S18" s="2410">
        <v>8.0071156999999999</v>
      </c>
      <c r="T18" s="2410">
        <f t="shared" si="2"/>
        <v>4.4119451715356722E-2</v>
      </c>
      <c r="U18" s="2410"/>
      <c r="V18" s="2410">
        <f t="shared" si="3"/>
        <v>918.60474260000001</v>
      </c>
      <c r="W18" s="2410">
        <f t="shared" si="4"/>
        <v>5.0615401481757516</v>
      </c>
      <c r="X18" s="2411">
        <v>1241.703448</v>
      </c>
      <c r="Y18" s="2411">
        <v>333.66</v>
      </c>
      <c r="Z18" s="2411">
        <f t="shared" si="5"/>
        <v>2.6871150316722003</v>
      </c>
      <c r="AA18" s="2411">
        <v>463.14875560000007</v>
      </c>
      <c r="AB18" s="2411">
        <f t="shared" si="6"/>
        <v>3.7299466015495844</v>
      </c>
      <c r="AC18" s="2411">
        <v>0</v>
      </c>
      <c r="AD18" s="2412">
        <f t="shared" si="7"/>
        <v>0</v>
      </c>
      <c r="AE18" s="2411"/>
      <c r="AF18" s="2411">
        <f t="shared" si="8"/>
        <v>796.80875560000004</v>
      </c>
      <c r="AG18" s="2411">
        <f t="shared" si="9"/>
        <v>6.4170616332217847</v>
      </c>
      <c r="AH18" s="2412">
        <f>IFERROR(VLOOKUP($A18,F13_21_22!$B$14:$O$217,9,0),0)</f>
        <v>460.01592000000005</v>
      </c>
      <c r="AI18" s="2412">
        <f>IFERROR(VLOOKUP($A18,F13_21_22!$B$14:$O$217,10,0),0)</f>
        <v>87.585750000000004</v>
      </c>
      <c r="AJ18" s="2412">
        <f t="shared" si="10"/>
        <v>1.903972149485609</v>
      </c>
      <c r="AK18" s="2412">
        <f>IFERROR(VLOOKUP($A18,F13_21_22!$B$14:$O$217,11,0),0)</f>
        <v>175.01515138119595</v>
      </c>
      <c r="AL18" s="2401">
        <f t="shared" si="11"/>
        <v>3.8045455335805753</v>
      </c>
      <c r="AM18" s="2412">
        <f>IFERROR(VLOOKUP($A18,F13_21_22!$B$14:$O$217,12,0),0)</f>
        <v>0</v>
      </c>
      <c r="AN18" s="2412">
        <f t="shared" si="12"/>
        <v>0</v>
      </c>
      <c r="AO18" s="2411"/>
      <c r="AP18" s="2411">
        <f t="shared" si="13"/>
        <v>262.60090138119597</v>
      </c>
      <c r="AQ18" s="2411">
        <f t="shared" si="14"/>
        <v>5.7085176830661846</v>
      </c>
      <c r="AR18" s="2406">
        <f>IFERROR(VLOOKUP($A18,F13_22_23!$B$14:$O$215,9,0),0)</f>
        <v>1192.92264</v>
      </c>
      <c r="AS18" s="2406">
        <f>IFERROR(VLOOKUP($A18,F13_22_23!$B$14:$O$215,10,0),0)</f>
        <v>367.86015000000003</v>
      </c>
      <c r="AT18" s="2406">
        <f t="shared" si="15"/>
        <v>3.0836882264217906</v>
      </c>
      <c r="AU18" s="2406">
        <f>IFERROR(VLOOKUP($A18,F13_22_23!$B$14:$O$215,11,0),0)</f>
        <v>462.92990719575317</v>
      </c>
      <c r="AV18" s="2406">
        <f t="shared" si="16"/>
        <v>3.880636444252187</v>
      </c>
      <c r="AW18" s="2406">
        <f>IFERROR(VLOOKUP($A18,F13_22_23!$B$14:$O$215,12,0),0)</f>
        <v>0</v>
      </c>
      <c r="AX18" s="2406"/>
      <c r="AY18" s="2406">
        <f t="shared" si="17"/>
        <v>830.79005719575321</v>
      </c>
      <c r="AZ18" s="2406">
        <f t="shared" si="18"/>
        <v>6.9643246706739781</v>
      </c>
    </row>
    <row r="19" spans="1:52" s="2350" customFormat="1">
      <c r="A19" s="2408" t="s">
        <v>1654</v>
      </c>
      <c r="B19" s="2405" t="s">
        <v>1649</v>
      </c>
      <c r="C19" s="2405">
        <v>2</v>
      </c>
      <c r="D19" s="2809"/>
      <c r="E19" s="2809"/>
      <c r="F19" s="2809"/>
      <c r="G19" s="2809"/>
      <c r="H19" s="2809"/>
      <c r="I19" s="2809"/>
      <c r="J19" s="2809"/>
      <c r="K19" s="2809"/>
      <c r="L19" s="2809"/>
      <c r="M19" s="2809"/>
      <c r="N19" s="2409">
        <v>0</v>
      </c>
      <c r="O19" s="2410">
        <v>0</v>
      </c>
      <c r="P19" s="2409">
        <f t="shared" si="0"/>
        <v>0</v>
      </c>
      <c r="Q19" s="2410">
        <v>0</v>
      </c>
      <c r="R19" s="2410">
        <f t="shared" si="1"/>
        <v>0</v>
      </c>
      <c r="S19" s="2410">
        <v>4.7183536000000004</v>
      </c>
      <c r="T19" s="2410">
        <f t="shared" si="2"/>
        <v>0</v>
      </c>
      <c r="U19" s="2410"/>
      <c r="V19" s="2410">
        <f t="shared" si="3"/>
        <v>4.7183536000000004</v>
      </c>
      <c r="W19" s="2410">
        <f t="shared" si="4"/>
        <v>0</v>
      </c>
      <c r="X19" s="2411">
        <v>0</v>
      </c>
      <c r="Y19" s="2411">
        <v>0</v>
      </c>
      <c r="Z19" s="2411">
        <f t="shared" si="5"/>
        <v>0</v>
      </c>
      <c r="AA19" s="2411">
        <v>0</v>
      </c>
      <c r="AB19" s="2411">
        <f t="shared" si="6"/>
        <v>0</v>
      </c>
      <c r="AC19" s="2411">
        <v>0</v>
      </c>
      <c r="AD19" s="2412">
        <f t="shared" si="7"/>
        <v>0</v>
      </c>
      <c r="AE19" s="2411"/>
      <c r="AF19" s="2411">
        <f t="shared" si="8"/>
        <v>0</v>
      </c>
      <c r="AG19" s="2411">
        <f t="shared" si="9"/>
        <v>0</v>
      </c>
      <c r="AH19" s="2412">
        <f>IFERROR(VLOOKUP($A19,F13_21_22!$B$14:$O$217,9,0),0)</f>
        <v>0</v>
      </c>
      <c r="AI19" s="2412">
        <f>IFERROR(VLOOKUP($A19,F13_21_22!$B$14:$O$217,10,0),0)</f>
        <v>0</v>
      </c>
      <c r="AJ19" s="2412">
        <f t="shared" si="10"/>
        <v>0</v>
      </c>
      <c r="AK19" s="2412">
        <f>IFERROR(VLOOKUP($A19,F13_21_22!$B$14:$O$217,11,0),0)</f>
        <v>0</v>
      </c>
      <c r="AL19" s="2401">
        <f t="shared" si="11"/>
        <v>0</v>
      </c>
      <c r="AM19" s="2412">
        <f>IFERROR(VLOOKUP($A19,F13_21_22!$B$14:$O$217,12,0),0)</f>
        <v>0</v>
      </c>
      <c r="AN19" s="2412">
        <f t="shared" si="12"/>
        <v>0</v>
      </c>
      <c r="AO19" s="2411"/>
      <c r="AP19" s="2411">
        <f t="shared" si="13"/>
        <v>0</v>
      </c>
      <c r="AQ19" s="2411">
        <f t="shared" si="14"/>
        <v>0</v>
      </c>
      <c r="AR19" s="2406">
        <f>IFERROR(VLOOKUP($A19,F13_22_23!$B$14:$O$215,9,0),0)</f>
        <v>0</v>
      </c>
      <c r="AS19" s="2406">
        <f>IFERROR(VLOOKUP($A19,F13_22_23!$B$14:$O$215,10,0),0)</f>
        <v>0</v>
      </c>
      <c r="AT19" s="2406">
        <f t="shared" si="15"/>
        <v>0</v>
      </c>
      <c r="AU19" s="2406">
        <f>IFERROR(VLOOKUP($A19,F13_22_23!$B$14:$O$215,11,0),0)</f>
        <v>0</v>
      </c>
      <c r="AV19" s="2406">
        <f t="shared" si="16"/>
        <v>0</v>
      </c>
      <c r="AW19" s="2406">
        <f>IFERROR(VLOOKUP($A19,F13_22_23!$B$14:$O$215,12,0),0)</f>
        <v>0</v>
      </c>
      <c r="AX19" s="2406"/>
      <c r="AY19" s="2406">
        <f t="shared" si="17"/>
        <v>0</v>
      </c>
      <c r="AZ19" s="2406">
        <f t="shared" si="18"/>
        <v>0</v>
      </c>
    </row>
    <row r="20" spans="1:52" s="2350" customFormat="1">
      <c r="A20" s="2408" t="s">
        <v>1655</v>
      </c>
      <c r="B20" s="2405" t="s">
        <v>1649</v>
      </c>
      <c r="C20" s="2405">
        <v>2</v>
      </c>
      <c r="D20" s="2809"/>
      <c r="E20" s="2809"/>
      <c r="F20" s="2809"/>
      <c r="G20" s="2809"/>
      <c r="H20" s="2809"/>
      <c r="I20" s="2809"/>
      <c r="J20" s="2809"/>
      <c r="K20" s="2809"/>
      <c r="L20" s="2809"/>
      <c r="M20" s="2809"/>
      <c r="N20" s="2409">
        <v>3292.6561459999998</v>
      </c>
      <c r="O20" s="2410">
        <v>245.24465720000001</v>
      </c>
      <c r="P20" s="2409">
        <f t="shared" si="0"/>
        <v>0.74482316502416834</v>
      </c>
      <c r="Q20" s="2410">
        <v>614.31412530000011</v>
      </c>
      <c r="R20" s="2410">
        <f t="shared" si="1"/>
        <v>1.8657099255453204</v>
      </c>
      <c r="S20" s="2410">
        <v>25.482455699999999</v>
      </c>
      <c r="T20" s="2410">
        <f t="shared" si="2"/>
        <v>7.7391791216816608E-2</v>
      </c>
      <c r="U20" s="2410"/>
      <c r="V20" s="2410">
        <f t="shared" si="3"/>
        <v>885.04123820000007</v>
      </c>
      <c r="W20" s="2410">
        <f t="shared" si="4"/>
        <v>2.6879248817863051</v>
      </c>
      <c r="X20" s="2411">
        <v>4193.665798</v>
      </c>
      <c r="Y20" s="2411">
        <v>333.46185630000002</v>
      </c>
      <c r="Z20" s="2411">
        <f t="shared" si="5"/>
        <v>0.7951560099496513</v>
      </c>
      <c r="AA20" s="2411">
        <v>1024.6262226000001</v>
      </c>
      <c r="AB20" s="2411">
        <f t="shared" si="6"/>
        <v>2.4432710472271166</v>
      </c>
      <c r="AC20" s="2411">
        <v>0</v>
      </c>
      <c r="AD20" s="2412">
        <f t="shared" si="7"/>
        <v>0</v>
      </c>
      <c r="AE20" s="2411"/>
      <c r="AF20" s="2411">
        <f t="shared" si="8"/>
        <v>1358.0880789000003</v>
      </c>
      <c r="AG20" s="2411">
        <f t="shared" si="9"/>
        <v>3.2384270571767679</v>
      </c>
      <c r="AH20" s="2412">
        <f>IFERROR(VLOOKUP($A20,F13_21_22!$B$14:$O$217,9,0),0)</f>
        <v>4094.2690411999997</v>
      </c>
      <c r="AI20" s="2412">
        <f>IFERROR(VLOOKUP($A20,F13_21_22!$B$14:$O$217,10,0),0)</f>
        <v>327.31491897875003</v>
      </c>
      <c r="AJ20" s="2412">
        <f t="shared" si="10"/>
        <v>0.79944653290985601</v>
      </c>
      <c r="AK20" s="2412">
        <f>IFERROR(VLOOKUP($A20,F13_21_22!$B$14:$O$217,11,0),0)</f>
        <v>968.36786747621306</v>
      </c>
      <c r="AL20" s="2401">
        <f t="shared" si="11"/>
        <v>2.3651788823149533</v>
      </c>
      <c r="AM20" s="2412">
        <f>IFERROR(VLOOKUP($A20,F13_21_22!$B$14:$O$217,12,0),0)</f>
        <v>-2.4314835000000001</v>
      </c>
      <c r="AN20" s="2412">
        <f t="shared" si="12"/>
        <v>-5.9387487132192725E-3</v>
      </c>
      <c r="AO20" s="2411"/>
      <c r="AP20" s="2411">
        <f t="shared" si="13"/>
        <v>1293.2513029549632</v>
      </c>
      <c r="AQ20" s="2411">
        <f t="shared" si="14"/>
        <v>3.1586866665115902</v>
      </c>
      <c r="AR20" s="2406">
        <f>IFERROR(VLOOKUP($A20,F13_22_23!$B$14:$O$215,9,0),0)</f>
        <v>1841.4289831807464</v>
      </c>
      <c r="AS20" s="2406">
        <f>IFERROR(VLOOKUP($A20,F13_22_23!$B$14:$O$215,10,0),0)</f>
        <v>367.64169657075007</v>
      </c>
      <c r="AT20" s="2406">
        <f t="shared" si="15"/>
        <v>1.9965021726535082</v>
      </c>
      <c r="AU20" s="2406">
        <f>IFERROR(VLOOKUP($A20,F13_22_23!$B$14:$O$215,11,0),0)</f>
        <v>468.0874168983654</v>
      </c>
      <c r="AV20" s="2406">
        <f t="shared" si="16"/>
        <v>2.5419791975350918</v>
      </c>
      <c r="AW20" s="2406">
        <f>IFERROR(VLOOKUP($A20,F13_22_23!$B$14:$O$215,12,0),0)</f>
        <v>0</v>
      </c>
      <c r="AX20" s="2406"/>
      <c r="AY20" s="2406">
        <f t="shared" si="17"/>
        <v>835.72911346911542</v>
      </c>
      <c r="AZ20" s="2406">
        <f t="shared" si="18"/>
        <v>4.5384813701885998</v>
      </c>
    </row>
    <row r="21" spans="1:52" s="2350" customFormat="1">
      <c r="A21" s="2408" t="s">
        <v>1656</v>
      </c>
      <c r="B21" s="2405" t="s">
        <v>1649</v>
      </c>
      <c r="C21" s="2405">
        <v>2</v>
      </c>
      <c r="D21" s="2809"/>
      <c r="E21" s="2809"/>
      <c r="F21" s="2809"/>
      <c r="G21" s="2809"/>
      <c r="H21" s="2809"/>
      <c r="I21" s="2809"/>
      <c r="J21" s="2809"/>
      <c r="K21" s="2809"/>
      <c r="L21" s="2809"/>
      <c r="M21" s="2809"/>
      <c r="N21" s="2409">
        <v>208.55094699999998</v>
      </c>
      <c r="O21" s="2410">
        <v>78.980000400000009</v>
      </c>
      <c r="P21" s="2409">
        <f t="shared" si="0"/>
        <v>3.7870842370233886</v>
      </c>
      <c r="Q21" s="2410">
        <v>70.698771000000008</v>
      </c>
      <c r="R21" s="2410">
        <f t="shared" si="1"/>
        <v>3.3899999984176539</v>
      </c>
      <c r="S21" s="2410">
        <v>1.2979239</v>
      </c>
      <c r="T21" s="2410">
        <f t="shared" si="2"/>
        <v>6.223533954990864E-2</v>
      </c>
      <c r="U21" s="2410"/>
      <c r="V21" s="2410">
        <f t="shared" si="3"/>
        <v>150.97669530000002</v>
      </c>
      <c r="W21" s="2410">
        <f t="shared" si="4"/>
        <v>7.2393195749909509</v>
      </c>
      <c r="X21" s="2411">
        <v>0</v>
      </c>
      <c r="Y21" s="2411">
        <v>16.491023899999998</v>
      </c>
      <c r="Z21" s="2411">
        <f t="shared" si="5"/>
        <v>0</v>
      </c>
      <c r="AA21" s="2411">
        <v>0</v>
      </c>
      <c r="AB21" s="2411">
        <f t="shared" si="6"/>
        <v>0</v>
      </c>
      <c r="AC21" s="2411">
        <v>0</v>
      </c>
      <c r="AD21" s="2412">
        <f t="shared" si="7"/>
        <v>0</v>
      </c>
      <c r="AE21" s="2411"/>
      <c r="AF21" s="2411">
        <f t="shared" si="8"/>
        <v>16.491023899999998</v>
      </c>
      <c r="AG21" s="2411">
        <f t="shared" si="9"/>
        <v>0</v>
      </c>
      <c r="AH21" s="2412">
        <f>IFERROR(VLOOKUP($A21,F13_21_22!$B$14:$O$217,9,0),0)</f>
        <v>145.94841091666666</v>
      </c>
      <c r="AI21" s="2412">
        <f>IFERROR(VLOOKUP($A21,F13_21_22!$B$14:$O$217,10,0),0)</f>
        <v>76.922698973750002</v>
      </c>
      <c r="AJ21" s="2412">
        <f t="shared" si="10"/>
        <v>5.2705403567340774</v>
      </c>
      <c r="AK21" s="2412">
        <f>IFERROR(VLOOKUP($A21,F13_21_22!$B$14:$O$217,11,0),0)</f>
        <v>34.591462917931246</v>
      </c>
      <c r="AL21" s="2401">
        <f t="shared" si="11"/>
        <v>2.370115762184092</v>
      </c>
      <c r="AM21" s="2412">
        <f>IFERROR(VLOOKUP($A21,F13_21_22!$B$14:$O$217,12,0),0)</f>
        <v>0</v>
      </c>
      <c r="AN21" s="2412">
        <f t="shared" si="12"/>
        <v>0</v>
      </c>
      <c r="AO21" s="2411"/>
      <c r="AP21" s="2411">
        <f t="shared" si="13"/>
        <v>111.51416189168125</v>
      </c>
      <c r="AQ21" s="2411">
        <f t="shared" si="14"/>
        <v>7.6406561189181694</v>
      </c>
      <c r="AR21" s="2406">
        <f>IFERROR(VLOOKUP($A21,F13_22_23!$B$14:$O$215,9,0),0)</f>
        <v>0</v>
      </c>
      <c r="AS21" s="2406">
        <f>IFERROR(VLOOKUP($A21,F13_22_23!$B$14:$O$215,10,0),0)</f>
        <v>18.18135384975</v>
      </c>
      <c r="AT21" s="2406">
        <f t="shared" si="15"/>
        <v>0</v>
      </c>
      <c r="AU21" s="2406">
        <f>IFERROR(VLOOKUP($A21,F13_22_23!$B$14:$O$215,11,0),0)</f>
        <v>0</v>
      </c>
      <c r="AV21" s="2406">
        <f t="shared" si="16"/>
        <v>0</v>
      </c>
      <c r="AW21" s="2406">
        <f>IFERROR(VLOOKUP($A21,F13_22_23!$B$14:$O$215,12,0),0)</f>
        <v>0</v>
      </c>
      <c r="AX21" s="2406"/>
      <c r="AY21" s="2406">
        <f t="shared" si="17"/>
        <v>18.18135384975</v>
      </c>
      <c r="AZ21" s="2406">
        <f t="shared" si="18"/>
        <v>0</v>
      </c>
    </row>
    <row r="22" spans="1:52" s="2350" customFormat="1">
      <c r="A22" s="2408" t="s">
        <v>1657</v>
      </c>
      <c r="B22" s="2405" t="s">
        <v>1649</v>
      </c>
      <c r="C22" s="2405">
        <v>2</v>
      </c>
      <c r="D22" s="2809"/>
      <c r="E22" s="2809"/>
      <c r="F22" s="2809"/>
      <c r="G22" s="2809"/>
      <c r="H22" s="2809"/>
      <c r="I22" s="2809"/>
      <c r="J22" s="2809"/>
      <c r="K22" s="2809"/>
      <c r="L22" s="2809"/>
      <c r="M22" s="2809"/>
      <c r="N22" s="2409">
        <v>2661.5545480000001</v>
      </c>
      <c r="O22" s="2410">
        <v>532.38</v>
      </c>
      <c r="P22" s="2409">
        <f t="shared" si="0"/>
        <v>2.0002595866391388</v>
      </c>
      <c r="Q22" s="2410">
        <v>822.3120967000001</v>
      </c>
      <c r="R22" s="2410">
        <f t="shared" si="1"/>
        <v>3.0895932503728645</v>
      </c>
      <c r="S22" s="2410">
        <v>5.0785115999999997</v>
      </c>
      <c r="T22" s="2410">
        <f t="shared" si="2"/>
        <v>1.9080997621544894E-2</v>
      </c>
      <c r="U22" s="2410"/>
      <c r="V22" s="2410">
        <f t="shared" si="3"/>
        <v>1359.7706083</v>
      </c>
      <c r="W22" s="2410">
        <f t="shared" si="4"/>
        <v>5.1089338346335476</v>
      </c>
      <c r="X22" s="2411">
        <v>1958.2065299999999</v>
      </c>
      <c r="Y22" s="2411">
        <v>532.38</v>
      </c>
      <c r="Z22" s="2411">
        <f t="shared" si="5"/>
        <v>2.7187122085636188</v>
      </c>
      <c r="AA22" s="2411">
        <v>713.41202910000004</v>
      </c>
      <c r="AB22" s="2411">
        <f t="shared" si="6"/>
        <v>3.6431909411516465</v>
      </c>
      <c r="AC22" s="2411">
        <v>5.84</v>
      </c>
      <c r="AD22" s="2412">
        <f t="shared" si="7"/>
        <v>2.9823207667477241E-2</v>
      </c>
      <c r="AE22" s="2411"/>
      <c r="AF22" s="2411">
        <f t="shared" si="8"/>
        <v>1251.6320291</v>
      </c>
      <c r="AG22" s="2411">
        <f t="shared" si="9"/>
        <v>6.3917263573827423</v>
      </c>
      <c r="AH22" s="2412">
        <f>IFERROR(VLOOKUP($A22,F13_21_22!$B$14:$O$217,9,0),0)</f>
        <v>1465.3272059999999</v>
      </c>
      <c r="AI22" s="2412">
        <f>IFERROR(VLOOKUP($A22,F13_21_22!$B$14:$O$217,10,0),0)</f>
        <v>478.34343000000007</v>
      </c>
      <c r="AJ22" s="2412">
        <f t="shared" si="10"/>
        <v>3.2644137639794839</v>
      </c>
      <c r="AK22" s="2412">
        <f>IFERROR(VLOOKUP($A22,F13_21_22!$B$14:$O$217,11,0),0)</f>
        <v>539.68021105673643</v>
      </c>
      <c r="AL22" s="2401">
        <f t="shared" si="11"/>
        <v>3.6830013723005726</v>
      </c>
      <c r="AM22" s="2412">
        <f>IFERROR(VLOOKUP($A22,F13_21_22!$B$14:$O$217,12,0),0)</f>
        <v>0</v>
      </c>
      <c r="AN22" s="2412">
        <f t="shared" si="12"/>
        <v>0</v>
      </c>
      <c r="AO22" s="2411"/>
      <c r="AP22" s="2411">
        <f t="shared" si="13"/>
        <v>1018.0236410567366</v>
      </c>
      <c r="AQ22" s="2411">
        <f t="shared" si="14"/>
        <v>6.9474151362800569</v>
      </c>
      <c r="AR22" s="2406">
        <f>IFERROR(VLOOKUP($A22,F13_22_23!$B$14:$O$215,9,0),0)</f>
        <v>1253.07</v>
      </c>
      <c r="AS22" s="2406">
        <f>IFERROR(VLOOKUP($A22,F13_22_23!$B$14:$O$215,10,0),0)</f>
        <v>586.94895000000008</v>
      </c>
      <c r="AT22" s="2406">
        <f t="shared" si="15"/>
        <v>4.6840874811463058</v>
      </c>
      <c r="AU22" s="2406">
        <f>IFERROR(VLOOKUP($A22,F13_22_23!$B$14:$O$215,11,0),0)</f>
        <v>474.96062728431008</v>
      </c>
      <c r="AV22" s="2406">
        <f t="shared" si="16"/>
        <v>3.7903758551741729</v>
      </c>
      <c r="AW22" s="2406">
        <f>IFERROR(VLOOKUP($A22,F13_22_23!$B$14:$O$215,12,0),0)</f>
        <v>0</v>
      </c>
      <c r="AX22" s="2406"/>
      <c r="AY22" s="2406">
        <f t="shared" si="17"/>
        <v>1061.9095772843102</v>
      </c>
      <c r="AZ22" s="2406">
        <f t="shared" si="18"/>
        <v>8.4744633363204791</v>
      </c>
    </row>
    <row r="23" spans="1:52" s="2350" customFormat="1">
      <c r="A23" s="2408" t="s">
        <v>1658</v>
      </c>
      <c r="B23" s="2405" t="s">
        <v>1649</v>
      </c>
      <c r="C23" s="2405">
        <v>2</v>
      </c>
      <c r="D23" s="2809"/>
      <c r="E23" s="2809"/>
      <c r="F23" s="2809"/>
      <c r="G23" s="2809"/>
      <c r="H23" s="2809"/>
      <c r="I23" s="2809"/>
      <c r="J23" s="2809"/>
      <c r="K23" s="2809"/>
      <c r="L23" s="2809"/>
      <c r="M23" s="2809"/>
      <c r="N23" s="2409">
        <v>2547.5340760000004</v>
      </c>
      <c r="O23" s="2410">
        <v>498.78999960000004</v>
      </c>
      <c r="P23" s="2409">
        <f t="shared" si="0"/>
        <v>1.9579325917523074</v>
      </c>
      <c r="Q23" s="2410">
        <v>809.0228914999999</v>
      </c>
      <c r="R23" s="2410">
        <f t="shared" si="1"/>
        <v>3.175709793724462</v>
      </c>
      <c r="S23" s="2410">
        <v>9.6192326999999995</v>
      </c>
      <c r="T23" s="2410">
        <f t="shared" si="2"/>
        <v>3.7758995220600132E-2</v>
      </c>
      <c r="U23" s="2410"/>
      <c r="V23" s="2410">
        <f t="shared" si="3"/>
        <v>1317.4321238</v>
      </c>
      <c r="W23" s="2410">
        <f t="shared" si="4"/>
        <v>5.17140138069737</v>
      </c>
      <c r="X23" s="2411">
        <v>2071.46225</v>
      </c>
      <c r="Y23" s="2411">
        <v>498.78999980000003</v>
      </c>
      <c r="Z23" s="2411">
        <f t="shared" si="5"/>
        <v>2.4079125738352221</v>
      </c>
      <c r="AA23" s="2411">
        <v>774.14657469999997</v>
      </c>
      <c r="AB23" s="2411">
        <f t="shared" si="6"/>
        <v>3.7371985644440295</v>
      </c>
      <c r="AC23" s="2411">
        <v>0</v>
      </c>
      <c r="AD23" s="2412">
        <f t="shared" si="7"/>
        <v>0</v>
      </c>
      <c r="AE23" s="2411"/>
      <c r="AF23" s="2411">
        <f t="shared" si="8"/>
        <v>1272.9365745</v>
      </c>
      <c r="AG23" s="2411">
        <f t="shared" si="9"/>
        <v>6.1451111382792512</v>
      </c>
      <c r="AH23" s="2412">
        <f>IFERROR(VLOOKUP($A23,F13_21_22!$B$14:$O$217,9,0),0)</f>
        <v>1627.705976402528</v>
      </c>
      <c r="AI23" s="2412">
        <f>IFERROR(VLOOKUP($A23,F13_21_22!$B$14:$O$217,10,0),0)</f>
        <v>505.02487474750001</v>
      </c>
      <c r="AJ23" s="2412">
        <f t="shared" si="10"/>
        <v>3.1026787519922978</v>
      </c>
      <c r="AK23" s="2412">
        <f>IFERROR(VLOOKUP($A23,F13_21_22!$B$14:$O$217,11,0),0)</f>
        <v>601.89550747987653</v>
      </c>
      <c r="AL23" s="2401">
        <f t="shared" si="11"/>
        <v>3.6978146926151552</v>
      </c>
      <c r="AM23" s="2412">
        <f>IFERROR(VLOOKUP($A23,F13_21_22!$B$14:$O$217,12,0),0)</f>
        <v>0</v>
      </c>
      <c r="AN23" s="2412">
        <f t="shared" si="12"/>
        <v>0</v>
      </c>
      <c r="AO23" s="2411"/>
      <c r="AP23" s="2411">
        <f t="shared" si="13"/>
        <v>1106.9203822273766</v>
      </c>
      <c r="AQ23" s="2411">
        <f t="shared" si="14"/>
        <v>6.8004934446074543</v>
      </c>
      <c r="AR23" s="2406">
        <f>IFERROR(VLOOKUP($A23,F13_22_23!$B$14:$O$215,9,0),0)</f>
        <v>1183.9629296672711</v>
      </c>
      <c r="AS23" s="2406">
        <f>IFERROR(VLOOKUP($A23,F13_22_23!$B$14:$O$215,10,0),0)</f>
        <v>549.91597477950017</v>
      </c>
      <c r="AT23" s="2406">
        <f t="shared" si="15"/>
        <v>4.6447060207707933</v>
      </c>
      <c r="AU23" s="2406">
        <f>IFERROR(VLOOKUP($A23,F13_22_23!$B$14:$O$215,11,0),0)</f>
        <v>460.34626253762156</v>
      </c>
      <c r="AV23" s="2406">
        <f t="shared" si="16"/>
        <v>3.8881813864475689</v>
      </c>
      <c r="AW23" s="2406">
        <f>IFERROR(VLOOKUP($A23,F13_22_23!$B$14:$O$215,12,0),0)</f>
        <v>0</v>
      </c>
      <c r="AX23" s="2406"/>
      <c r="AY23" s="2406">
        <f t="shared" si="17"/>
        <v>1010.2622373171217</v>
      </c>
      <c r="AZ23" s="2406">
        <f t="shared" si="18"/>
        <v>8.5328874072183627</v>
      </c>
    </row>
    <row r="24" spans="1:52" s="2350" customFormat="1">
      <c r="A24" s="2408" t="s">
        <v>1659</v>
      </c>
      <c r="B24" s="2405" t="s">
        <v>1649</v>
      </c>
      <c r="C24" s="2405">
        <v>2</v>
      </c>
      <c r="D24" s="2809"/>
      <c r="E24" s="2809"/>
      <c r="F24" s="2809"/>
      <c r="G24" s="2809"/>
      <c r="H24" s="2809"/>
      <c r="I24" s="2809"/>
      <c r="J24" s="2809"/>
      <c r="K24" s="2809"/>
      <c r="L24" s="2809"/>
      <c r="M24" s="2809"/>
      <c r="N24" s="2409">
        <v>7581.4061409999995</v>
      </c>
      <c r="O24" s="2410">
        <v>1088.7500003999996</v>
      </c>
      <c r="P24" s="2409">
        <f t="shared" si="0"/>
        <v>1.4360792446035502</v>
      </c>
      <c r="Q24" s="2410">
        <v>1210.0882816999999</v>
      </c>
      <c r="R24" s="2410">
        <f t="shared" si="1"/>
        <v>1.5961264430299829</v>
      </c>
      <c r="S24" s="2410">
        <v>11.2473882</v>
      </c>
      <c r="T24" s="2410">
        <f t="shared" si="2"/>
        <v>1.4835490924532438E-2</v>
      </c>
      <c r="U24" s="2410"/>
      <c r="V24" s="2410">
        <f t="shared" si="3"/>
        <v>2310.0856702999995</v>
      </c>
      <c r="W24" s="2410">
        <f t="shared" si="4"/>
        <v>3.0470411785580658</v>
      </c>
      <c r="X24" s="2411">
        <v>3798.3529420000004</v>
      </c>
      <c r="Y24" s="2411">
        <v>616.88574990000006</v>
      </c>
      <c r="Z24" s="2411">
        <f t="shared" si="5"/>
        <v>1.6240874908669822</v>
      </c>
      <c r="AA24" s="2411">
        <v>678.28716050000003</v>
      </c>
      <c r="AB24" s="2411">
        <f t="shared" si="6"/>
        <v>1.7857402165025029</v>
      </c>
      <c r="AC24" s="2411">
        <v>0</v>
      </c>
      <c r="AD24" s="2412">
        <f t="shared" si="7"/>
        <v>0</v>
      </c>
      <c r="AE24" s="2411"/>
      <c r="AF24" s="2411">
        <f t="shared" si="8"/>
        <v>1295.1729104000001</v>
      </c>
      <c r="AG24" s="2411">
        <f t="shared" si="9"/>
        <v>3.4098277073694856</v>
      </c>
      <c r="AH24" s="2412">
        <f>IFERROR(VLOOKUP($A24,F13_21_22!$B$14:$O$217,9,0),0)</f>
        <v>5042.43500675</v>
      </c>
      <c r="AI24" s="2412">
        <f>IFERROR(VLOOKUP($A24,F13_21_22!$B$14:$O$217,10,0),0)</f>
        <v>780.72357174874992</v>
      </c>
      <c r="AJ24" s="2412">
        <f t="shared" si="10"/>
        <v>1.548306662760438</v>
      </c>
      <c r="AK24" s="2412">
        <f>IFERROR(VLOOKUP($A24,F13_21_22!$B$14:$O$217,11,0),0)</f>
        <v>887.38254714152629</v>
      </c>
      <c r="AL24" s="2401">
        <f t="shared" si="11"/>
        <v>1.7598294196229429</v>
      </c>
      <c r="AM24" s="2412">
        <f>IFERROR(VLOOKUP($A24,F13_21_22!$B$14:$O$217,12,0),0)</f>
        <v>0</v>
      </c>
      <c r="AN24" s="2412">
        <f t="shared" si="12"/>
        <v>0</v>
      </c>
      <c r="AO24" s="2411"/>
      <c r="AP24" s="2411">
        <f t="shared" si="13"/>
        <v>1668.1061188902763</v>
      </c>
      <c r="AQ24" s="2411">
        <f t="shared" si="14"/>
        <v>3.3081360823833812</v>
      </c>
      <c r="AR24" s="2406">
        <f>IFERROR(VLOOKUP($A24,F13_22_23!$B$14:$O$215,9,0),0)</f>
        <v>5334.7510297532262</v>
      </c>
      <c r="AS24" s="2406">
        <f>IFERROR(VLOOKUP($A24,F13_22_23!$B$14:$O$215,10,0),0)</f>
        <v>680.11653926475014</v>
      </c>
      <c r="AT24" s="2406">
        <f t="shared" si="15"/>
        <v>1.2748796250688588</v>
      </c>
      <c r="AU24" s="2406">
        <f>IFERROR(VLOOKUP($A24,F13_22_23!$B$14:$O$215,11,0),0)</f>
        <v>991.13492289963597</v>
      </c>
      <c r="AV24" s="2406">
        <f t="shared" si="16"/>
        <v>1.8578841212492043</v>
      </c>
      <c r="AW24" s="2406">
        <f>IFERROR(VLOOKUP($A24,F13_22_23!$B$14:$O$215,12,0),0)</f>
        <v>0</v>
      </c>
      <c r="AX24" s="2406"/>
      <c r="AY24" s="2406">
        <f t="shared" si="17"/>
        <v>1671.2514621643861</v>
      </c>
      <c r="AZ24" s="2406">
        <f t="shared" si="18"/>
        <v>3.1327637463180631</v>
      </c>
    </row>
    <row r="25" spans="1:52" s="2350" customFormat="1">
      <c r="A25" s="2408" t="s">
        <v>1660</v>
      </c>
      <c r="B25" s="2405" t="s">
        <v>1649</v>
      </c>
      <c r="C25" s="2405">
        <v>2</v>
      </c>
      <c r="D25" s="2809"/>
      <c r="E25" s="2809"/>
      <c r="F25" s="2809"/>
      <c r="G25" s="2809"/>
      <c r="H25" s="2809"/>
      <c r="I25" s="2809"/>
      <c r="J25" s="2809"/>
      <c r="K25" s="2809"/>
      <c r="L25" s="2809"/>
      <c r="M25" s="2809"/>
      <c r="N25" s="2409">
        <v>0</v>
      </c>
      <c r="O25" s="2410">
        <v>0</v>
      </c>
      <c r="P25" s="2409">
        <f t="shared" si="0"/>
        <v>0</v>
      </c>
      <c r="Q25" s="2410">
        <v>0</v>
      </c>
      <c r="R25" s="2410">
        <f t="shared" si="1"/>
        <v>0</v>
      </c>
      <c r="S25" s="2410">
        <v>0</v>
      </c>
      <c r="T25" s="2410">
        <f t="shared" si="2"/>
        <v>0</v>
      </c>
      <c r="U25" s="2410"/>
      <c r="V25" s="2410">
        <f t="shared" si="3"/>
        <v>0</v>
      </c>
      <c r="W25" s="2410">
        <f t="shared" si="4"/>
        <v>0</v>
      </c>
      <c r="X25" s="2411">
        <v>0</v>
      </c>
      <c r="Y25" s="2411">
        <v>0</v>
      </c>
      <c r="Z25" s="2411">
        <f t="shared" si="5"/>
        <v>0</v>
      </c>
      <c r="AA25" s="2411">
        <v>0</v>
      </c>
      <c r="AB25" s="2411">
        <f t="shared" si="6"/>
        <v>0</v>
      </c>
      <c r="AC25" s="2411">
        <v>0</v>
      </c>
      <c r="AD25" s="2412">
        <f t="shared" si="7"/>
        <v>0</v>
      </c>
      <c r="AE25" s="2411"/>
      <c r="AF25" s="2411">
        <f t="shared" si="8"/>
        <v>0</v>
      </c>
      <c r="AG25" s="2411">
        <f t="shared" si="9"/>
        <v>0</v>
      </c>
      <c r="AH25" s="2412">
        <f>IFERROR(VLOOKUP($A25,F13_21_22!$B$14:$O$217,9,0),0)</f>
        <v>1018.5447990000001</v>
      </c>
      <c r="AI25" s="2412">
        <f>IFERROR(VLOOKUP($A25,F13_21_22!$B$14:$O$217,10,0),0)</f>
        <v>250.24500000000003</v>
      </c>
      <c r="AJ25" s="2412">
        <f t="shared" si="10"/>
        <v>2.4568875148711058</v>
      </c>
      <c r="AK25" s="2412">
        <f>IFERROR(VLOOKUP($A25,F13_21_22!$B$14:$O$217,11,0),0)</f>
        <v>374.28384390000008</v>
      </c>
      <c r="AL25" s="2401">
        <f t="shared" si="11"/>
        <v>3.6746920142095787</v>
      </c>
      <c r="AM25" s="2412">
        <f>IFERROR(VLOOKUP($A25,F13_21_22!$B$14:$O$217,12,0),0)</f>
        <v>1.05548E-2</v>
      </c>
      <c r="AN25" s="2412">
        <f t="shared" si="12"/>
        <v>1.0362627162165694E-4</v>
      </c>
      <c r="AO25" s="2411"/>
      <c r="AP25" s="2411">
        <f t="shared" si="13"/>
        <v>624.53939870000011</v>
      </c>
      <c r="AQ25" s="2411">
        <f t="shared" si="14"/>
        <v>6.1316831553523059</v>
      </c>
      <c r="AR25" s="2406">
        <f>IFERROR(VLOOKUP($A25,F13_22_23!$B$14:$O$215,9,0),0)</f>
        <v>393.38441999999998</v>
      </c>
      <c r="AS25" s="2406">
        <f>IFERROR(VLOOKUP($A25,F13_22_23!$B$14:$O$215,10,0),0)</f>
        <v>98.346104999999994</v>
      </c>
      <c r="AT25" s="2406">
        <f t="shared" si="15"/>
        <v>2.5</v>
      </c>
      <c r="AU25" s="2406">
        <f>IFERROR(VLOOKUP($A25,F13_22_23!$B$14:$O$215,11,0),0)</f>
        <v>85.948201619280013</v>
      </c>
      <c r="AV25" s="2406">
        <f t="shared" si="16"/>
        <v>2.1848400000000003</v>
      </c>
      <c r="AW25" s="2406">
        <f>IFERROR(VLOOKUP($A25,F13_22_23!$B$14:$O$215,12,0),0)</f>
        <v>0</v>
      </c>
      <c r="AX25" s="2406"/>
      <c r="AY25" s="2406">
        <f t="shared" si="17"/>
        <v>184.29430661928001</v>
      </c>
      <c r="AZ25" s="2406">
        <f t="shared" si="18"/>
        <v>4.6848400000000003</v>
      </c>
    </row>
    <row r="26" spans="1:52" s="2350" customFormat="1">
      <c r="A26" s="2408" t="s">
        <v>1661</v>
      </c>
      <c r="B26" s="2405" t="s">
        <v>1649</v>
      </c>
      <c r="C26" s="2405">
        <v>2</v>
      </c>
      <c r="D26" s="2809"/>
      <c r="E26" s="2809"/>
      <c r="F26" s="2809"/>
      <c r="G26" s="2809"/>
      <c r="H26" s="2809"/>
      <c r="I26" s="2809"/>
      <c r="J26" s="2809"/>
      <c r="K26" s="2809"/>
      <c r="L26" s="2809"/>
      <c r="M26" s="2809"/>
      <c r="N26" s="2409">
        <v>0</v>
      </c>
      <c r="O26" s="2410">
        <v>0</v>
      </c>
      <c r="P26" s="2409">
        <f t="shared" si="0"/>
        <v>0</v>
      </c>
      <c r="Q26" s="2410">
        <v>0</v>
      </c>
      <c r="R26" s="2410">
        <f t="shared" si="1"/>
        <v>0</v>
      </c>
      <c r="S26" s="2410">
        <v>0</v>
      </c>
      <c r="T26" s="2410">
        <f t="shared" si="2"/>
        <v>0</v>
      </c>
      <c r="U26" s="2410"/>
      <c r="V26" s="2410">
        <f t="shared" si="3"/>
        <v>0</v>
      </c>
      <c r="W26" s="2410">
        <f t="shared" si="4"/>
        <v>0</v>
      </c>
      <c r="X26" s="2411">
        <v>0</v>
      </c>
      <c r="Y26" s="2411">
        <v>0</v>
      </c>
      <c r="Z26" s="2411">
        <f t="shared" si="5"/>
        <v>0</v>
      </c>
      <c r="AA26" s="2411">
        <v>0</v>
      </c>
      <c r="AB26" s="2411">
        <f t="shared" si="6"/>
        <v>0</v>
      </c>
      <c r="AC26" s="2411">
        <v>0</v>
      </c>
      <c r="AD26" s="2412">
        <f t="shared" si="7"/>
        <v>0</v>
      </c>
      <c r="AE26" s="2411"/>
      <c r="AF26" s="2411">
        <f t="shared" si="8"/>
        <v>0</v>
      </c>
      <c r="AG26" s="2411">
        <f t="shared" si="9"/>
        <v>0</v>
      </c>
      <c r="AH26" s="2412">
        <f>IFERROR(VLOOKUP($A26,F13_21_22!$B$14:$O$217,9,0),0)</f>
        <v>1142.0837999999999</v>
      </c>
      <c r="AI26" s="2412">
        <f>IFERROR(VLOOKUP($A26,F13_21_22!$B$14:$O$217,10,0),0)</f>
        <v>231.58921499999997</v>
      </c>
      <c r="AJ26" s="2412">
        <f t="shared" si="10"/>
        <v>2.0277777777777777</v>
      </c>
      <c r="AK26" s="2412">
        <f>IFERROR(VLOOKUP($A26,F13_21_22!$B$14:$O$217,11,0),0)</f>
        <v>372.77615232000005</v>
      </c>
      <c r="AL26" s="2401">
        <f t="shared" si="11"/>
        <v>3.2640000000000007</v>
      </c>
      <c r="AM26" s="2412">
        <f>IFERROR(VLOOKUP($A26,F13_21_22!$B$14:$O$217,12,0),0)</f>
        <v>0</v>
      </c>
      <c r="AN26" s="2412">
        <f t="shared" si="12"/>
        <v>0</v>
      </c>
      <c r="AO26" s="2411"/>
      <c r="AP26" s="2411">
        <f t="shared" si="13"/>
        <v>604.36536732000002</v>
      </c>
      <c r="AQ26" s="2411">
        <f t="shared" si="14"/>
        <v>5.2917777777777788</v>
      </c>
      <c r="AR26" s="2406">
        <f>IFERROR(VLOOKUP($A26,F13_22_23!$B$14:$O$215,9,0),0)</f>
        <v>1941.5424599999999</v>
      </c>
      <c r="AS26" s="2406">
        <f>IFERROR(VLOOKUP($A26,F13_22_23!$B$14:$O$215,10,0),0)</f>
        <v>972.67470299999991</v>
      </c>
      <c r="AT26" s="2406">
        <f t="shared" si="15"/>
        <v>5.0098039215686274</v>
      </c>
      <c r="AU26" s="2406">
        <f>IFERROR(VLOOKUP($A26,F13_22_23!$B$14:$O$215,11,0),0)</f>
        <v>646.39384812287994</v>
      </c>
      <c r="AV26" s="2406">
        <f t="shared" si="16"/>
        <v>3.3292799999999998</v>
      </c>
      <c r="AW26" s="2406">
        <f>IFERROR(VLOOKUP($A26,F13_22_23!$B$14:$O$215,12,0),0)</f>
        <v>0</v>
      </c>
      <c r="AX26" s="2406"/>
      <c r="AY26" s="2406">
        <f t="shared" si="17"/>
        <v>1619.0685511228799</v>
      </c>
      <c r="AZ26" s="2406">
        <f t="shared" si="18"/>
        <v>8.3390839215686281</v>
      </c>
    </row>
    <row r="27" spans="1:52" s="2350" customFormat="1">
      <c r="A27" s="2408" t="s">
        <v>1662</v>
      </c>
      <c r="B27" s="2405" t="s">
        <v>1649</v>
      </c>
      <c r="C27" s="2405">
        <v>2</v>
      </c>
      <c r="D27" s="2809"/>
      <c r="E27" s="2809"/>
      <c r="F27" s="2809"/>
      <c r="G27" s="2809"/>
      <c r="H27" s="2809"/>
      <c r="I27" s="2809"/>
      <c r="J27" s="2809"/>
      <c r="K27" s="2809"/>
      <c r="L27" s="2809"/>
      <c r="M27" s="2809"/>
      <c r="N27" s="2409">
        <v>0</v>
      </c>
      <c r="O27" s="2410">
        <v>0</v>
      </c>
      <c r="P27" s="2409">
        <f t="shared" si="0"/>
        <v>0</v>
      </c>
      <c r="Q27" s="2410">
        <v>0</v>
      </c>
      <c r="R27" s="2410">
        <f t="shared" si="1"/>
        <v>0</v>
      </c>
      <c r="S27" s="2410">
        <v>0</v>
      </c>
      <c r="T27" s="2410">
        <f t="shared" si="2"/>
        <v>0</v>
      </c>
      <c r="U27" s="2410"/>
      <c r="V27" s="2410">
        <f t="shared" si="3"/>
        <v>0</v>
      </c>
      <c r="W27" s="2410">
        <f t="shared" si="4"/>
        <v>0</v>
      </c>
      <c r="X27" s="2411">
        <v>0</v>
      </c>
      <c r="Y27" s="2411">
        <v>0</v>
      </c>
      <c r="Z27" s="2411">
        <f t="shared" si="5"/>
        <v>0</v>
      </c>
      <c r="AA27" s="2411">
        <v>0</v>
      </c>
      <c r="AB27" s="2411">
        <f t="shared" si="6"/>
        <v>0</v>
      </c>
      <c r="AC27" s="2411">
        <v>0</v>
      </c>
      <c r="AD27" s="2412">
        <f t="shared" si="7"/>
        <v>0</v>
      </c>
      <c r="AE27" s="2411"/>
      <c r="AF27" s="2411">
        <f t="shared" si="8"/>
        <v>0</v>
      </c>
      <c r="AG27" s="2411">
        <f t="shared" si="9"/>
        <v>0</v>
      </c>
      <c r="AH27" s="2412">
        <f>IFERROR(VLOOKUP($A27,F13_21_22!$B$14:$O$217,9,0),0)</f>
        <v>0</v>
      </c>
      <c r="AI27" s="2412">
        <f>IFERROR(VLOOKUP($A27,F13_21_22!$B$14:$O$217,10,0),0)</f>
        <v>0</v>
      </c>
      <c r="AJ27" s="2412">
        <f t="shared" si="10"/>
        <v>0</v>
      </c>
      <c r="AK27" s="2412">
        <f>IFERROR(VLOOKUP($A27,F13_21_22!$B$14:$O$217,11,0),0)</f>
        <v>0</v>
      </c>
      <c r="AL27" s="2401">
        <f t="shared" si="11"/>
        <v>0</v>
      </c>
      <c r="AM27" s="2412">
        <f>IFERROR(VLOOKUP($A27,F13_21_22!$B$14:$O$217,12,0),0)</f>
        <v>0</v>
      </c>
      <c r="AN27" s="2412">
        <f t="shared" si="12"/>
        <v>0</v>
      </c>
      <c r="AO27" s="2411"/>
      <c r="AP27" s="2411">
        <f t="shared" si="13"/>
        <v>0</v>
      </c>
      <c r="AQ27" s="2411">
        <f t="shared" si="14"/>
        <v>0</v>
      </c>
      <c r="AR27" s="2406">
        <f>IFERROR(VLOOKUP($A27,F13_22_23!$B$14:$O$215,9,0),0)</f>
        <v>3477.0106800000003</v>
      </c>
      <c r="AS27" s="2406">
        <f>IFERROR(VLOOKUP($A27,F13_22_23!$B$14:$O$215,10,0),0)</f>
        <v>899.39099249999992</v>
      </c>
      <c r="AT27" s="2406">
        <f t="shared" si="15"/>
        <v>2.586678832116788</v>
      </c>
      <c r="AU27" s="2406">
        <f>IFERROR(VLOOKUP($A27,F13_22_23!$B$14:$O$215,11,0),0)</f>
        <v>701.79149082556808</v>
      </c>
      <c r="AV27" s="2406">
        <f t="shared" si="16"/>
        <v>2.0183759999999999</v>
      </c>
      <c r="AW27" s="2406">
        <f>IFERROR(VLOOKUP($A27,F13_22_23!$B$14:$O$215,12,0),0)</f>
        <v>0</v>
      </c>
      <c r="AX27" s="2406"/>
      <c r="AY27" s="2406">
        <f t="shared" si="17"/>
        <v>1601.182483325568</v>
      </c>
      <c r="AZ27" s="2406">
        <f t="shared" si="18"/>
        <v>4.6050548321167879</v>
      </c>
    </row>
    <row r="28" spans="1:52" s="2350" customFormat="1">
      <c r="A28" s="2408" t="s">
        <v>1663</v>
      </c>
      <c r="B28" s="2405" t="s">
        <v>1649</v>
      </c>
      <c r="C28" s="2405">
        <v>2</v>
      </c>
      <c r="D28" s="2809"/>
      <c r="E28" s="2809"/>
      <c r="F28" s="2809"/>
      <c r="G28" s="2809"/>
      <c r="H28" s="2809"/>
      <c r="I28" s="2809"/>
      <c r="J28" s="2809"/>
      <c r="K28" s="2809"/>
      <c r="L28" s="2809"/>
      <c r="M28" s="2809"/>
      <c r="N28" s="2409"/>
      <c r="O28" s="2410"/>
      <c r="P28" s="2409"/>
      <c r="Q28" s="2410"/>
      <c r="R28" s="2410"/>
      <c r="S28" s="2410"/>
      <c r="T28" s="2410"/>
      <c r="U28" s="2410"/>
      <c r="V28" s="2410"/>
      <c r="W28" s="2410"/>
      <c r="X28" s="2411">
        <v>0</v>
      </c>
      <c r="Y28" s="2411">
        <v>0</v>
      </c>
      <c r="Z28" s="2411">
        <f t="shared" si="5"/>
        <v>0</v>
      </c>
      <c r="AA28" s="2411">
        <v>0</v>
      </c>
      <c r="AB28" s="2411">
        <f t="shared" si="6"/>
        <v>0</v>
      </c>
      <c r="AC28" s="2411">
        <v>0</v>
      </c>
      <c r="AD28" s="2412">
        <f t="shared" si="7"/>
        <v>0</v>
      </c>
      <c r="AE28" s="2411"/>
      <c r="AF28" s="2411">
        <f t="shared" si="8"/>
        <v>0</v>
      </c>
      <c r="AG28" s="2411">
        <f t="shared" si="9"/>
        <v>0</v>
      </c>
      <c r="AH28" s="2412">
        <f>IFERROR(VLOOKUP($A28,F13_21_22!$B$14:$O$217,9,0),0)</f>
        <v>0</v>
      </c>
      <c r="AI28" s="2412">
        <f>IFERROR(VLOOKUP($A28,F13_21_22!$B$14:$O$217,10,0),0)</f>
        <v>0</v>
      </c>
      <c r="AJ28" s="2412">
        <f t="shared" si="10"/>
        <v>0</v>
      </c>
      <c r="AK28" s="2412">
        <f>IFERROR(VLOOKUP($A28,F13_21_22!$B$14:$O$217,11,0),0)</f>
        <v>0</v>
      </c>
      <c r="AL28" s="2401">
        <f t="shared" si="11"/>
        <v>0</v>
      </c>
      <c r="AM28" s="2412">
        <f>IFERROR(VLOOKUP($A28,F13_21_22!$B$14:$O$217,12,0),0)</f>
        <v>0</v>
      </c>
      <c r="AN28" s="2412">
        <f t="shared" si="12"/>
        <v>0</v>
      </c>
      <c r="AO28" s="2411"/>
      <c r="AP28" s="2411">
        <f t="shared" si="13"/>
        <v>0</v>
      </c>
      <c r="AQ28" s="2411">
        <f t="shared" si="14"/>
        <v>0</v>
      </c>
      <c r="AR28" s="2406">
        <f>IFERROR(VLOOKUP($A28,F13_22_23!$B$14:$O$215,9,0),0)</f>
        <v>774.0790199999999</v>
      </c>
      <c r="AS28" s="2406">
        <f>IFERROR(VLOOKUP($A28,F13_22_23!$B$14:$O$215,10,0),0)</f>
        <v>856.56284999999991</v>
      </c>
      <c r="AT28" s="2406">
        <f t="shared" si="15"/>
        <v>11.065573770491802</v>
      </c>
      <c r="AU28" s="2406">
        <f>IFERROR(VLOOKUP($A28,F13_22_23!$B$14:$O$215,11,0),0)</f>
        <v>215.83428572534399</v>
      </c>
      <c r="AV28" s="2406">
        <f t="shared" si="16"/>
        <v>2.7882720000000001</v>
      </c>
      <c r="AW28" s="2406">
        <f>IFERROR(VLOOKUP($A28,F13_22_23!$B$14:$O$215,12,0),0)</f>
        <v>0</v>
      </c>
      <c r="AX28" s="2406"/>
      <c r="AY28" s="2406">
        <f t="shared" si="17"/>
        <v>1072.397135725344</v>
      </c>
      <c r="AZ28" s="2406">
        <f t="shared" si="18"/>
        <v>13.853845770491805</v>
      </c>
    </row>
    <row r="29" spans="1:52" s="2350" customFormat="1">
      <c r="A29" s="2413" t="s">
        <v>1664</v>
      </c>
      <c r="B29" s="2405"/>
      <c r="C29" s="2405"/>
      <c r="D29" s="2809"/>
      <c r="E29" s="2809"/>
      <c r="F29" s="2809"/>
      <c r="G29" s="2809"/>
      <c r="H29" s="2809"/>
      <c r="I29" s="2809"/>
      <c r="J29" s="2809"/>
      <c r="K29" s="2809"/>
      <c r="L29" s="2809"/>
      <c r="M29" s="2809"/>
      <c r="N29" s="2409">
        <v>0</v>
      </c>
      <c r="O29" s="2410">
        <v>0</v>
      </c>
      <c r="P29" s="2409">
        <f t="shared" si="0"/>
        <v>0</v>
      </c>
      <c r="Q29" s="2410">
        <v>0</v>
      </c>
      <c r="R29" s="2410">
        <f t="shared" si="1"/>
        <v>0</v>
      </c>
      <c r="S29" s="2410">
        <v>213.03271340000001</v>
      </c>
      <c r="T29" s="2410">
        <f t="shared" si="2"/>
        <v>0</v>
      </c>
      <c r="U29" s="2410"/>
      <c r="V29" s="2410">
        <f t="shared" si="3"/>
        <v>213.03271340000001</v>
      </c>
      <c r="W29" s="2410">
        <f t="shared" si="4"/>
        <v>0</v>
      </c>
      <c r="X29" s="2411">
        <v>0</v>
      </c>
      <c r="Y29" s="2411">
        <v>0</v>
      </c>
      <c r="Z29" s="2411">
        <f t="shared" si="5"/>
        <v>0</v>
      </c>
      <c r="AA29" s="2411">
        <v>0</v>
      </c>
      <c r="AB29" s="2411">
        <f t="shared" si="6"/>
        <v>0</v>
      </c>
      <c r="AC29" s="2411">
        <v>296.78001169999999</v>
      </c>
      <c r="AD29" s="2412">
        <f t="shared" si="7"/>
        <v>0</v>
      </c>
      <c r="AE29" s="2411"/>
      <c r="AF29" s="2411">
        <f t="shared" si="8"/>
        <v>296.78001169999999</v>
      </c>
      <c r="AG29" s="2411">
        <f t="shared" si="9"/>
        <v>0</v>
      </c>
      <c r="AH29" s="2412">
        <f>IFERROR(VLOOKUP($A29,F13_21_22!$B$14:$O$217,9,0),0)</f>
        <v>0</v>
      </c>
      <c r="AI29" s="2412">
        <f>IFERROR(VLOOKUP($A29,F13_21_22!$B$14:$O$217,10,0),0)</f>
        <v>0</v>
      </c>
      <c r="AJ29" s="2412">
        <f t="shared" si="10"/>
        <v>0</v>
      </c>
      <c r="AK29" s="2412">
        <f>IFERROR(VLOOKUP($A29,F13_21_22!$B$14:$O$217,11,0),0)</f>
        <v>0</v>
      </c>
      <c r="AL29" s="2401">
        <f t="shared" si="11"/>
        <v>0</v>
      </c>
      <c r="AM29" s="2412">
        <f>IFERROR(VLOOKUP($A29,F13_21_22!$B$14:$O$217,12,0),0)</f>
        <v>88.792862100000008</v>
      </c>
      <c r="AN29" s="2412">
        <f t="shared" si="12"/>
        <v>0</v>
      </c>
      <c r="AO29" s="2411"/>
      <c r="AP29" s="2411">
        <f t="shared" si="13"/>
        <v>88.792862100000008</v>
      </c>
      <c r="AQ29" s="2411">
        <f t="shared" si="14"/>
        <v>0</v>
      </c>
      <c r="AR29" s="2406">
        <f>IFERROR(VLOOKUP($A29,F13_22_23!$B$14:$O$215,9,0),0)</f>
        <v>0</v>
      </c>
      <c r="AS29" s="2406">
        <f>IFERROR(VLOOKUP($A29,F13_22_23!$B$14:$O$215,10,0),0)</f>
        <v>0</v>
      </c>
      <c r="AT29" s="2406">
        <f t="shared" si="15"/>
        <v>0</v>
      </c>
      <c r="AU29" s="2406">
        <f>IFERROR(VLOOKUP($A29,F13_22_23!$B$14:$O$215,11,0),0)</f>
        <v>0</v>
      </c>
      <c r="AV29" s="2406">
        <f t="shared" si="16"/>
        <v>0</v>
      </c>
      <c r="AW29" s="2406">
        <f>IFERROR(VLOOKUP($A29,F13_22_23!$B$14:$O$215,12,0),0)</f>
        <v>0</v>
      </c>
      <c r="AX29" s="2406"/>
      <c r="AY29" s="2406">
        <f t="shared" si="17"/>
        <v>0</v>
      </c>
      <c r="AZ29" s="2406">
        <f t="shared" si="18"/>
        <v>0</v>
      </c>
    </row>
    <row r="30" spans="1:52" s="2415" customFormat="1">
      <c r="A30" s="2414" t="s">
        <v>211</v>
      </c>
      <c r="B30" s="2809"/>
      <c r="C30" s="2809"/>
      <c r="D30" s="2809"/>
      <c r="E30" s="2809"/>
      <c r="F30" s="2809"/>
      <c r="G30" s="2809"/>
      <c r="H30" s="2809"/>
      <c r="I30" s="2809"/>
      <c r="J30" s="2809"/>
      <c r="K30" s="2809"/>
      <c r="L30" s="2809"/>
      <c r="M30" s="2809"/>
      <c r="N30" s="2400">
        <f>SUM(N14:N29)</f>
        <v>29154.066157999998</v>
      </c>
      <c r="O30" s="2400">
        <f>SUM(O14:O29)</f>
        <v>3452.3921387999999</v>
      </c>
      <c r="P30" s="2400">
        <f t="shared" si="0"/>
        <v>1.1841888949863171</v>
      </c>
      <c r="Q30" s="2400">
        <f>SUM(Q14:Q29)</f>
        <v>5966.5599729999994</v>
      </c>
      <c r="R30" s="2400">
        <f t="shared" si="1"/>
        <v>2.0465618554421612</v>
      </c>
      <c r="S30" s="2400">
        <f>SUM(S14:S29)</f>
        <v>371.12617039999998</v>
      </c>
      <c r="T30" s="2400">
        <f t="shared" si="2"/>
        <v>0.1272982534884457</v>
      </c>
      <c r="U30" s="2400"/>
      <c r="V30" s="2400">
        <f>SUM(V14:V29)</f>
        <v>9790.0782822000001</v>
      </c>
      <c r="W30" s="2400">
        <f t="shared" si="4"/>
        <v>3.358049003916924</v>
      </c>
      <c r="X30" s="2401">
        <f>SUM(X14:X29)</f>
        <v>23388.157418000003</v>
      </c>
      <c r="Y30" s="2401">
        <f>SUM(Y14:Y29)</f>
        <v>2886.3137741000005</v>
      </c>
      <c r="Z30" s="2401"/>
      <c r="AA30" s="2401">
        <f>SUM(AA14:AA29)</f>
        <v>5501.3960009000002</v>
      </c>
      <c r="AB30" s="2401"/>
      <c r="AC30" s="2401">
        <f>SUM(AC14:AC29)</f>
        <v>304.17156139999997</v>
      </c>
      <c r="AD30" s="2401">
        <f>IFERROR(AC30/X30*10,0)</f>
        <v>0.13005366603437657</v>
      </c>
      <c r="AE30" s="2401"/>
      <c r="AF30" s="2401">
        <f>SUM(AF14:AF29)</f>
        <v>8691.8813364000016</v>
      </c>
      <c r="AG30" s="2401">
        <f>IFERROR(AF30/X30*10,0)</f>
        <v>3.7163600283066991</v>
      </c>
      <c r="AH30" s="2401">
        <f>SUM(AH14:AH29)</f>
        <v>25251.439000669194</v>
      </c>
      <c r="AI30" s="2401">
        <f t="shared" ref="AI30:AP30" si="19">SUM(AI14:AI29)</f>
        <v>3303.49465010125</v>
      </c>
      <c r="AJ30" s="2401">
        <f>IFERROR(AI30/AH30*10,0)</f>
        <v>1.3082401561406871</v>
      </c>
      <c r="AK30" s="2401">
        <f t="shared" si="19"/>
        <v>5845.8186638659699</v>
      </c>
      <c r="AL30" s="2401">
        <f>IFERROR(AK30/AH30*10,0)</f>
        <v>2.3150437738265328</v>
      </c>
      <c r="AM30" s="2401">
        <f t="shared" si="19"/>
        <v>86.371933400000003</v>
      </c>
      <c r="AN30" s="2412">
        <f>IFERROR(AM30/AH30*10,0)</f>
        <v>3.4204756963637221E-2</v>
      </c>
      <c r="AO30" s="2401">
        <f t="shared" si="19"/>
        <v>0</v>
      </c>
      <c r="AP30" s="2401">
        <f t="shared" si="19"/>
        <v>9235.6852473672207</v>
      </c>
      <c r="AQ30" s="2401">
        <f>IFERROR(AP30/AH30*10,0)</f>
        <v>3.6574886869308569</v>
      </c>
      <c r="AR30" s="2401">
        <f>SUM(AR14:AR29)</f>
        <v>27675.795150130278</v>
      </c>
      <c r="AS30" s="2401">
        <f>SUM(AS14:AS29)</f>
        <v>6009.1355864452507</v>
      </c>
      <c r="AT30" s="2401"/>
      <c r="AU30" s="2401">
        <f>SUM(AU14:AU29)</f>
        <v>6466.3834930514413</v>
      </c>
      <c r="AV30" s="2401"/>
      <c r="AW30" s="2401">
        <f>SUM(AW14:AW28)</f>
        <v>0</v>
      </c>
      <c r="AX30" s="2401">
        <f>SUM(AX14:AX28)</f>
        <v>0</v>
      </c>
      <c r="AY30" s="2401">
        <f>SUM(AY14:AY29)</f>
        <v>12475.519079496695</v>
      </c>
      <c r="AZ30" s="2401"/>
    </row>
    <row r="31" spans="1:52" s="2350" customFormat="1">
      <c r="A31" s="2404"/>
      <c r="B31" s="2405"/>
      <c r="C31" s="2405"/>
      <c r="D31" s="2809"/>
      <c r="E31" s="2809"/>
      <c r="F31" s="2809"/>
      <c r="G31" s="2809"/>
      <c r="H31" s="2809"/>
      <c r="I31" s="2809"/>
      <c r="J31" s="2809"/>
      <c r="K31" s="2809"/>
      <c r="L31" s="2809"/>
      <c r="M31" s="2809"/>
      <c r="N31" s="2400"/>
      <c r="O31" s="2400"/>
      <c r="P31" s="2400"/>
      <c r="Q31" s="2400"/>
      <c r="R31" s="2400"/>
      <c r="S31" s="2400"/>
      <c r="T31" s="2400"/>
      <c r="U31" s="2400"/>
      <c r="V31" s="2400"/>
      <c r="W31" s="2400"/>
      <c r="X31" s="2401"/>
      <c r="Y31" s="2401"/>
      <c r="Z31" s="2401"/>
      <c r="AA31" s="2401"/>
      <c r="AB31" s="2401"/>
      <c r="AC31" s="2401"/>
      <c r="AD31" s="2412"/>
      <c r="AE31" s="2401"/>
      <c r="AF31" s="2401"/>
      <c r="AG31" s="2401"/>
      <c r="AH31" s="2412"/>
      <c r="AI31" s="2412"/>
      <c r="AJ31" s="2412"/>
      <c r="AK31" s="2412"/>
      <c r="AL31" s="2401"/>
      <c r="AM31" s="2416"/>
      <c r="AN31" s="2412"/>
      <c r="AO31" s="2411"/>
      <c r="AP31" s="2411"/>
      <c r="AQ31" s="2411"/>
      <c r="AR31" s="2406"/>
      <c r="AS31" s="2406"/>
      <c r="AT31" s="2406"/>
      <c r="AU31" s="2406"/>
      <c r="AV31" s="2406"/>
      <c r="AW31" s="2406"/>
      <c r="AX31" s="2406"/>
      <c r="AY31" s="2406"/>
      <c r="AZ31" s="2406"/>
    </row>
    <row r="32" spans="1:52" s="2350" customFormat="1">
      <c r="A32" s="2408" t="s">
        <v>1665</v>
      </c>
      <c r="B32" s="2405"/>
      <c r="C32" s="2405"/>
      <c r="D32" s="2809"/>
      <c r="E32" s="2809"/>
      <c r="F32" s="2809"/>
      <c r="G32" s="2809"/>
      <c r="H32" s="2809"/>
      <c r="I32" s="2809"/>
      <c r="J32" s="2809"/>
      <c r="K32" s="2809"/>
      <c r="L32" s="2809"/>
      <c r="M32" s="2809"/>
      <c r="N32" s="2400"/>
      <c r="O32" s="2400"/>
      <c r="P32" s="2400"/>
      <c r="Q32" s="2400"/>
      <c r="R32" s="2400"/>
      <c r="S32" s="2400"/>
      <c r="T32" s="2400"/>
      <c r="U32" s="2400"/>
      <c r="V32" s="2400"/>
      <c r="W32" s="2400"/>
      <c r="X32" s="2401"/>
      <c r="Y32" s="2401"/>
      <c r="Z32" s="2401"/>
      <c r="AA32" s="2401"/>
      <c r="AB32" s="2401"/>
      <c r="AC32" s="2401"/>
      <c r="AD32" s="2412"/>
      <c r="AE32" s="2401"/>
      <c r="AF32" s="2401"/>
      <c r="AG32" s="2401"/>
      <c r="AH32" s="2412"/>
      <c r="AI32" s="2412"/>
      <c r="AJ32" s="2412"/>
      <c r="AK32" s="2412"/>
      <c r="AL32" s="2401"/>
      <c r="AM32" s="2416"/>
      <c r="AN32" s="2412"/>
      <c r="AO32" s="2411"/>
      <c r="AP32" s="2411"/>
      <c r="AQ32" s="2411"/>
      <c r="AR32" s="2406"/>
      <c r="AS32" s="2406"/>
      <c r="AT32" s="2406"/>
      <c r="AU32" s="2406"/>
      <c r="AV32" s="2406"/>
      <c r="AW32" s="2406"/>
      <c r="AX32" s="2406"/>
      <c r="AY32" s="2406"/>
      <c r="AZ32" s="2406"/>
    </row>
    <row r="33" spans="1:52" s="2350" customFormat="1">
      <c r="A33" s="2408" t="s">
        <v>1666</v>
      </c>
      <c r="B33" s="2405" t="s">
        <v>1667</v>
      </c>
      <c r="C33" s="2405">
        <v>2</v>
      </c>
      <c r="D33" s="2809"/>
      <c r="E33" s="2809"/>
      <c r="F33" s="2809"/>
      <c r="G33" s="2809"/>
      <c r="H33" s="2809"/>
      <c r="I33" s="2809"/>
      <c r="J33" s="2809"/>
      <c r="K33" s="2809"/>
      <c r="L33" s="2809"/>
      <c r="M33" s="2809"/>
      <c r="N33" s="2409">
        <v>455.84871500000003</v>
      </c>
      <c r="O33" s="2410">
        <v>0</v>
      </c>
      <c r="P33" s="2409">
        <f t="shared" ref="P33:P40" si="20">IFERROR(O33/N33*10,0)</f>
        <v>0</v>
      </c>
      <c r="Q33" s="2410">
        <v>25.071678989999999</v>
      </c>
      <c r="R33" s="2410">
        <f t="shared" ref="R33:R40" si="21">IFERROR(Q33/N33*10,0)</f>
        <v>0.54999999265107058</v>
      </c>
      <c r="S33" s="2410">
        <v>0</v>
      </c>
      <c r="T33" s="2410">
        <f t="shared" ref="T33:T40" si="22">IFERROR(S33/N33*10,0)</f>
        <v>0</v>
      </c>
      <c r="U33" s="2410"/>
      <c r="V33" s="2410">
        <f t="shared" ref="V33:V40" si="23">SUM(O33,Q33,S33)</f>
        <v>25.071678989999999</v>
      </c>
      <c r="W33" s="2410">
        <f t="shared" ref="W33:W40" si="24">IFERROR(V33/N33*10,0)</f>
        <v>0.54999999265107058</v>
      </c>
      <c r="X33" s="2411">
        <v>645.770938</v>
      </c>
      <c r="Y33" s="2411">
        <v>16.417738352999997</v>
      </c>
      <c r="Z33" s="2411">
        <f t="shared" ref="Z33:Z40" si="25">IFERROR(Y33/X33*10,0)</f>
        <v>0.25423470439606555</v>
      </c>
      <c r="AA33" s="2411">
        <v>75.893582420000001</v>
      </c>
      <c r="AB33" s="2411">
        <f t="shared" ref="AB33:AB40" si="26">IFERROR(AA33/X33*10,0)</f>
        <v>1.1752399799075506</v>
      </c>
      <c r="AC33" s="2411">
        <v>1.59893</v>
      </c>
      <c r="AD33" s="2412">
        <f t="shared" ref="AD33:AD40" si="27">IFERROR(AC33/X33*10,0)</f>
        <v>2.4760017924498175E-2</v>
      </c>
      <c r="AE33" s="2411"/>
      <c r="AF33" s="2411">
        <f t="shared" ref="AF33:AF40" si="28">Y33+AA33+AC33+AE33</f>
        <v>93.910250773000001</v>
      </c>
      <c r="AG33" s="2411">
        <f t="shared" ref="AG33:AG40" si="29">IFERROR(AF33/X33*10,0)</f>
        <v>1.4542347022281144</v>
      </c>
      <c r="AH33" s="2412">
        <f>IFERROR(VLOOKUP($A33,F13_21_22!$B$14:$O$217,9,0),0)</f>
        <v>523.99139779999996</v>
      </c>
      <c r="AI33" s="2412">
        <f>IFERROR(VLOOKUP($A33,F13_21_22!$B$14:$O$217,10,0),0)</f>
        <v>20.403255117662503</v>
      </c>
      <c r="AJ33" s="2412">
        <f t="shared" ref="AJ33:AJ40" si="30">IFERROR(AI33/AH33*10,0)</f>
        <v>0.38938148991236177</v>
      </c>
      <c r="AK33" s="2412">
        <f>IFERROR(VLOOKUP($A33,F13_21_22!$B$14:$O$217,11,0),0)</f>
        <v>44.654276149388529</v>
      </c>
      <c r="AL33" s="2401">
        <f t="shared" ref="AL33:AL40" si="31">IFERROR(AK33/AH33*10,0)</f>
        <v>0.85219483252723993</v>
      </c>
      <c r="AM33" s="2412">
        <f>IFERROR(VLOOKUP($A33,F13_21_22!$B$14:$O$217,12,0),0)</f>
        <v>0</v>
      </c>
      <c r="AN33" s="2412">
        <f t="shared" ref="AN33:AN40" si="32">IFERROR(AM33/AH33*10,0)</f>
        <v>0</v>
      </c>
      <c r="AO33" s="2411"/>
      <c r="AP33" s="2411">
        <f t="shared" ref="AP33:AP40" si="33">SUM(AK33,AI33,AM33,AO33)</f>
        <v>65.057531267051033</v>
      </c>
      <c r="AQ33" s="2411">
        <f t="shared" ref="AQ33:AQ40" si="34">IFERROR(AP33/AH33*10,0)</f>
        <v>1.2415763224396017</v>
      </c>
      <c r="AR33" s="2406">
        <f>IFERROR(VLOOKUP($A33,F13_22_23!$B$14:$O$215,9,0),0)</f>
        <v>537.16551639569889</v>
      </c>
      <c r="AS33" s="2406">
        <f>IFERROR(VLOOKUP($A33,F13_22_23!$B$14:$O$215,10,0),0)</f>
        <v>18.100556534182498</v>
      </c>
      <c r="AT33" s="2406">
        <f t="shared" ref="AT33:AT40" si="35">IFERROR(AS33/AR33*10,0)</f>
        <v>0.33696423135339276</v>
      </c>
      <c r="AU33" s="2406">
        <f>IFERROR(VLOOKUP($A33,F13_22_23!$B$14:$O$215,11,0),0)</f>
        <v>65.680284568002492</v>
      </c>
      <c r="AV33" s="2406">
        <f t="shared" ref="AV33:AV40" si="36">IFERROR(AU33/AR33*10,0)</f>
        <v>1.2227196750958156</v>
      </c>
      <c r="AW33" s="2406">
        <f>IFERROR(VLOOKUP($A33,F13_22_23!$B$14:$O$215,12,0),0)</f>
        <v>0</v>
      </c>
      <c r="AX33" s="2406"/>
      <c r="AY33" s="2406">
        <f t="shared" ref="AY33:AY40" si="37">AS33+AU33</f>
        <v>83.780841102184993</v>
      </c>
      <c r="AZ33" s="2406">
        <f t="shared" ref="AZ33:AZ40" si="38">IFERROR(AY33/AR33*10,0)</f>
        <v>1.5596839064492085</v>
      </c>
    </row>
    <row r="34" spans="1:52" s="2350" customFormat="1">
      <c r="A34" s="2408" t="s">
        <v>1668</v>
      </c>
      <c r="B34" s="2405" t="s">
        <v>1667</v>
      </c>
      <c r="C34" s="2405">
        <v>2</v>
      </c>
      <c r="D34" s="2809"/>
      <c r="E34" s="2809"/>
      <c r="F34" s="2809"/>
      <c r="G34" s="2809"/>
      <c r="H34" s="2809"/>
      <c r="I34" s="2809"/>
      <c r="J34" s="2809"/>
      <c r="K34" s="2809"/>
      <c r="L34" s="2809"/>
      <c r="M34" s="2809"/>
      <c r="N34" s="2409">
        <v>225.47944280000004</v>
      </c>
      <c r="O34" s="2410">
        <v>0</v>
      </c>
      <c r="P34" s="2409">
        <f t="shared" si="20"/>
        <v>0</v>
      </c>
      <c r="Q34" s="2410">
        <v>18.365424183400002</v>
      </c>
      <c r="R34" s="2410">
        <f t="shared" si="21"/>
        <v>0.81450548020424673</v>
      </c>
      <c r="S34" s="2410">
        <v>-1.0348961000000001</v>
      </c>
      <c r="T34" s="2410">
        <f t="shared" si="22"/>
        <v>-4.589758104546815E-2</v>
      </c>
      <c r="U34" s="2410"/>
      <c r="V34" s="2410">
        <f t="shared" si="23"/>
        <v>17.330528083400001</v>
      </c>
      <c r="W34" s="2410">
        <f t="shared" si="24"/>
        <v>0.76860789915877858</v>
      </c>
      <c r="X34" s="2411">
        <v>334.53100128999995</v>
      </c>
      <c r="Y34" s="2411">
        <v>8.7631310669999998</v>
      </c>
      <c r="Z34" s="2411">
        <f t="shared" si="25"/>
        <v>0.26195273482003456</v>
      </c>
      <c r="AA34" s="2411">
        <v>25.955578215999996</v>
      </c>
      <c r="AB34" s="2411">
        <f t="shared" si="26"/>
        <v>0.77587960804563783</v>
      </c>
      <c r="AC34" s="2411">
        <v>0.50582380000000005</v>
      </c>
      <c r="AD34" s="2412">
        <f t="shared" si="27"/>
        <v>1.5120386393173438E-2</v>
      </c>
      <c r="AE34" s="2411"/>
      <c r="AF34" s="2411">
        <f t="shared" si="28"/>
        <v>35.224533082999997</v>
      </c>
      <c r="AG34" s="2411">
        <f t="shared" si="29"/>
        <v>1.0529527292588461</v>
      </c>
      <c r="AH34" s="2412">
        <f>IFERROR(VLOOKUP($A34,F13_21_22!$B$14:$O$217,9,0),0)</f>
        <v>301.76694725800002</v>
      </c>
      <c r="AI34" s="2412">
        <f>IFERROR(VLOOKUP($A34,F13_21_22!$B$14:$O$217,10,0),0)</f>
        <v>9.0126742050874995</v>
      </c>
      <c r="AJ34" s="2412">
        <f t="shared" si="30"/>
        <v>0.29866339859222496</v>
      </c>
      <c r="AK34" s="2412">
        <f>IFERROR(VLOOKUP($A34,F13_21_22!$B$14:$O$217,11,0),0)</f>
        <v>15.118438192118152</v>
      </c>
      <c r="AL34" s="2401">
        <f t="shared" si="31"/>
        <v>0.50099715457546201</v>
      </c>
      <c r="AM34" s="2412">
        <f>IFERROR(VLOOKUP($A34,F13_21_22!$B$14:$O$217,12,0),0)</f>
        <v>0</v>
      </c>
      <c r="AN34" s="2412">
        <f t="shared" si="32"/>
        <v>0</v>
      </c>
      <c r="AO34" s="2411"/>
      <c r="AP34" s="2411">
        <f t="shared" si="33"/>
        <v>24.131112397205651</v>
      </c>
      <c r="AQ34" s="2411">
        <f t="shared" si="34"/>
        <v>0.79966055316768703</v>
      </c>
      <c r="AR34" s="2406">
        <f>IFERROR(VLOOKUP($A34,F13_22_23!$B$14:$O$215,9,0),0)</f>
        <v>268.49688302961289</v>
      </c>
      <c r="AS34" s="2406">
        <f>IFERROR(VLOOKUP($A34,F13_22_23!$B$14:$O$215,10,0),0)</f>
        <v>9.6613520013675007</v>
      </c>
      <c r="AT34" s="2406">
        <f t="shared" si="35"/>
        <v>0.35983106739834803</v>
      </c>
      <c r="AU34" s="2406">
        <f>IFERROR(VLOOKUP($A34,F13_22_23!$B$14:$O$215,11,0),0)</f>
        <v>21.673743512369782</v>
      </c>
      <c r="AV34" s="2406">
        <f t="shared" si="36"/>
        <v>0.8072251442106817</v>
      </c>
      <c r="AW34" s="2406">
        <f>IFERROR(VLOOKUP($A34,F13_22_23!$B$14:$O$215,12,0),0)</f>
        <v>0</v>
      </c>
      <c r="AX34" s="2406"/>
      <c r="AY34" s="2406">
        <f t="shared" si="37"/>
        <v>31.335095513737283</v>
      </c>
      <c r="AZ34" s="2406">
        <f t="shared" si="38"/>
        <v>1.1670562116090297</v>
      </c>
    </row>
    <row r="35" spans="1:52" s="2350" customFormat="1">
      <c r="A35" s="2408" t="s">
        <v>1669</v>
      </c>
      <c r="B35" s="2405" t="s">
        <v>1667</v>
      </c>
      <c r="C35" s="2405">
        <v>2</v>
      </c>
      <c r="D35" s="2809"/>
      <c r="E35" s="2809"/>
      <c r="F35" s="2809"/>
      <c r="G35" s="2809"/>
      <c r="H35" s="2809"/>
      <c r="I35" s="2809"/>
      <c r="J35" s="2809"/>
      <c r="K35" s="2809"/>
      <c r="L35" s="2809"/>
      <c r="M35" s="2809"/>
      <c r="N35" s="2409">
        <v>64.057845999999998</v>
      </c>
      <c r="O35" s="2410">
        <v>0</v>
      </c>
      <c r="P35" s="2409">
        <f t="shared" si="20"/>
        <v>0</v>
      </c>
      <c r="Q35" s="2410">
        <v>4.1637600500000005</v>
      </c>
      <c r="R35" s="2410">
        <f t="shared" si="21"/>
        <v>0.65000000936653424</v>
      </c>
      <c r="S35" s="2410">
        <v>0</v>
      </c>
      <c r="T35" s="2410">
        <f t="shared" si="22"/>
        <v>0</v>
      </c>
      <c r="U35" s="2410"/>
      <c r="V35" s="2410">
        <f t="shared" si="23"/>
        <v>4.1637600500000005</v>
      </c>
      <c r="W35" s="2410">
        <f t="shared" si="24"/>
        <v>0.65000000936653424</v>
      </c>
      <c r="X35" s="2411">
        <v>74.251864999999995</v>
      </c>
      <c r="Y35" s="2411">
        <v>2.7644289059999996</v>
      </c>
      <c r="Z35" s="2411">
        <f t="shared" si="25"/>
        <v>0.37230430589184521</v>
      </c>
      <c r="AA35" s="2411">
        <v>5.8701083820000006</v>
      </c>
      <c r="AB35" s="2411">
        <f t="shared" si="26"/>
        <v>0.79056713013201774</v>
      </c>
      <c r="AC35" s="2411">
        <v>3.2142E-3</v>
      </c>
      <c r="AD35" s="2412">
        <f t="shared" si="27"/>
        <v>4.3287801592592999E-4</v>
      </c>
      <c r="AE35" s="2411"/>
      <c r="AF35" s="2411">
        <f t="shared" si="28"/>
        <v>8.637751488000001</v>
      </c>
      <c r="AG35" s="2411">
        <f t="shared" si="29"/>
        <v>1.163304314039789</v>
      </c>
      <c r="AH35" s="2412">
        <f>IFERROR(VLOOKUP($A35,F13_21_22!$B$14:$O$217,9,0),0)</f>
        <v>55.095445199999993</v>
      </c>
      <c r="AI35" s="2412">
        <f>IFERROR(VLOOKUP($A35,F13_21_22!$B$14:$O$217,10,0),0)</f>
        <v>2.2467486878249998</v>
      </c>
      <c r="AJ35" s="2412">
        <f t="shared" si="30"/>
        <v>0.40779209237154879</v>
      </c>
      <c r="AK35" s="2412">
        <f>IFERROR(VLOOKUP($A35,F13_21_22!$B$14:$O$217,11,0),0)</f>
        <v>3.5887964431383397</v>
      </c>
      <c r="AL35" s="2401">
        <f t="shared" si="31"/>
        <v>0.65137806403247644</v>
      </c>
      <c r="AM35" s="2412">
        <f>IFERROR(VLOOKUP($A35,F13_21_22!$B$14:$O$217,12,0),0)</f>
        <v>0</v>
      </c>
      <c r="AN35" s="2412">
        <f t="shared" si="32"/>
        <v>0</v>
      </c>
      <c r="AO35" s="2411"/>
      <c r="AP35" s="2411">
        <f t="shared" si="33"/>
        <v>5.8355451309633395</v>
      </c>
      <c r="AQ35" s="2411">
        <f t="shared" si="34"/>
        <v>1.0591701564040252</v>
      </c>
      <c r="AR35" s="2406">
        <f>IFERROR(VLOOKUP($A35,F13_22_23!$B$14:$O$215,9,0),0)</f>
        <v>61.694416131182791</v>
      </c>
      <c r="AS35" s="2406">
        <f>IFERROR(VLOOKUP($A35,F13_22_23!$B$14:$O$215,10,0),0)</f>
        <v>3.0477828688649997</v>
      </c>
      <c r="AT35" s="2406">
        <f t="shared" si="35"/>
        <v>0.49401275836445269</v>
      </c>
      <c r="AU35" s="2406">
        <f>IFERROR(VLOOKUP($A35,F13_22_23!$B$14:$O$215,11,0),0)</f>
        <v>5.0744030037242016</v>
      </c>
      <c r="AV35" s="2406">
        <f t="shared" si="36"/>
        <v>0.82250604218935108</v>
      </c>
      <c r="AW35" s="2406">
        <f>IFERROR(VLOOKUP($A35,F13_22_23!$B$14:$O$215,12,0),0)</f>
        <v>0</v>
      </c>
      <c r="AX35" s="2406"/>
      <c r="AY35" s="2406">
        <f t="shared" si="37"/>
        <v>8.1221858725892009</v>
      </c>
      <c r="AZ35" s="2406">
        <f t="shared" si="38"/>
        <v>1.3165188005538035</v>
      </c>
    </row>
    <row r="36" spans="1:52" s="2350" customFormat="1">
      <c r="A36" s="2408" t="s">
        <v>1670</v>
      </c>
      <c r="B36" s="2405" t="s">
        <v>1667</v>
      </c>
      <c r="C36" s="2405">
        <v>2</v>
      </c>
      <c r="D36" s="2809"/>
      <c r="E36" s="2809"/>
      <c r="F36" s="2809"/>
      <c r="G36" s="2809"/>
      <c r="H36" s="2809"/>
      <c r="I36" s="2809"/>
      <c r="J36" s="2809"/>
      <c r="K36" s="2809"/>
      <c r="L36" s="2809"/>
      <c r="M36" s="2809"/>
      <c r="N36" s="2409">
        <v>227.06404349999994</v>
      </c>
      <c r="O36" s="2410">
        <v>0</v>
      </c>
      <c r="P36" s="2409">
        <f t="shared" si="20"/>
        <v>0</v>
      </c>
      <c r="Q36" s="2410">
        <v>16.907165947999999</v>
      </c>
      <c r="R36" s="2410">
        <f t="shared" si="21"/>
        <v>0.7445989989163565</v>
      </c>
      <c r="S36" s="2410">
        <v>17.5511406</v>
      </c>
      <c r="T36" s="2410">
        <f t="shared" si="22"/>
        <v>0.77295992485045328</v>
      </c>
      <c r="U36" s="2410"/>
      <c r="V36" s="2410">
        <f t="shared" si="23"/>
        <v>34.458306547999996</v>
      </c>
      <c r="W36" s="2410">
        <f t="shared" si="24"/>
        <v>1.5175589237668097</v>
      </c>
      <c r="X36" s="2411">
        <v>255.86646449999995</v>
      </c>
      <c r="Y36" s="2411">
        <v>12.296117663</v>
      </c>
      <c r="Z36" s="2411">
        <f t="shared" si="25"/>
        <v>0.48056777143610402</v>
      </c>
      <c r="AA36" s="2411">
        <v>12.39790732</v>
      </c>
      <c r="AB36" s="2411">
        <f t="shared" si="26"/>
        <v>0.48454600505100592</v>
      </c>
      <c r="AC36" s="2411">
        <v>0.34424260000000001</v>
      </c>
      <c r="AD36" s="2412">
        <f t="shared" si="27"/>
        <v>1.3453994476091261E-2</v>
      </c>
      <c r="AE36" s="2411"/>
      <c r="AF36" s="2411">
        <f t="shared" si="28"/>
        <v>25.038267583</v>
      </c>
      <c r="AG36" s="2411">
        <f t="shared" si="29"/>
        <v>0.97856777096320124</v>
      </c>
      <c r="AH36" s="2412">
        <f>IFERROR(VLOOKUP($A36,F13_21_22!$B$14:$O$217,9,0),0)</f>
        <v>262.81315190000004</v>
      </c>
      <c r="AI36" s="2412">
        <f>IFERROR(VLOOKUP($A36,F13_21_22!$B$14:$O$217,10,0),0)</f>
        <v>13.7026356865375</v>
      </c>
      <c r="AJ36" s="2412">
        <f t="shared" si="30"/>
        <v>0.52138317993124372</v>
      </c>
      <c r="AK36" s="2412">
        <f>IFERROR(VLOOKUP($A36,F13_21_22!$B$14:$O$217,11,0),0)</f>
        <v>11.677949836802339</v>
      </c>
      <c r="AL36" s="2401">
        <f t="shared" si="31"/>
        <v>0.44434419481585835</v>
      </c>
      <c r="AM36" s="2412">
        <f>IFERROR(VLOOKUP($A36,F13_21_22!$B$14:$O$217,12,0),0)</f>
        <v>0</v>
      </c>
      <c r="AN36" s="2412">
        <f t="shared" si="32"/>
        <v>0</v>
      </c>
      <c r="AO36" s="2411"/>
      <c r="AP36" s="2411">
        <f t="shared" si="33"/>
        <v>25.380585523339839</v>
      </c>
      <c r="AQ36" s="2411">
        <f t="shared" si="34"/>
        <v>0.96572737474710202</v>
      </c>
      <c r="AR36" s="2406">
        <f>IFERROR(VLOOKUP($A36,F13_22_23!$B$14:$O$215,9,0),0)</f>
        <v>257.84445449892473</v>
      </c>
      <c r="AS36" s="2406">
        <f>IFERROR(VLOOKUP($A36,F13_22_23!$B$14:$O$215,10,0),0)</f>
        <v>13.5564697234575</v>
      </c>
      <c r="AT36" s="2406">
        <f t="shared" si="35"/>
        <v>0.52576153905664214</v>
      </c>
      <c r="AU36" s="2406">
        <f>IFERROR(VLOOKUP($A36,F13_22_23!$B$14:$O$215,11,0),0)</f>
        <v>12.998497536623105</v>
      </c>
      <c r="AV36" s="2406">
        <f t="shared" si="36"/>
        <v>0.50412166365506661</v>
      </c>
      <c r="AW36" s="2406">
        <f>IFERROR(VLOOKUP($A36,F13_22_23!$B$14:$O$215,12,0),0)</f>
        <v>0</v>
      </c>
      <c r="AX36" s="2406"/>
      <c r="AY36" s="2406">
        <f t="shared" si="37"/>
        <v>26.554967260080605</v>
      </c>
      <c r="AZ36" s="2406">
        <f t="shared" si="38"/>
        <v>1.0298832027117086</v>
      </c>
    </row>
    <row r="37" spans="1:52" s="2350" customFormat="1">
      <c r="A37" s="2408" t="s">
        <v>1671</v>
      </c>
      <c r="B37" s="2405" t="s">
        <v>1667</v>
      </c>
      <c r="C37" s="2405">
        <v>2</v>
      </c>
      <c r="D37" s="2809"/>
      <c r="E37" s="2809"/>
      <c r="F37" s="2809"/>
      <c r="G37" s="2809"/>
      <c r="H37" s="2809"/>
      <c r="I37" s="2809"/>
      <c r="J37" s="2809"/>
      <c r="K37" s="2809"/>
      <c r="L37" s="2809"/>
      <c r="M37" s="2809"/>
      <c r="N37" s="2409">
        <v>15.435329000000003</v>
      </c>
      <c r="O37" s="2410">
        <v>0</v>
      </c>
      <c r="P37" s="2409">
        <f t="shared" si="20"/>
        <v>0</v>
      </c>
      <c r="Q37" s="2410">
        <v>4.0589842200000001</v>
      </c>
      <c r="R37" s="2410">
        <f t="shared" si="21"/>
        <v>2.629671333860133</v>
      </c>
      <c r="S37" s="2410">
        <v>3.5756560999999998</v>
      </c>
      <c r="T37" s="2410">
        <f t="shared" si="22"/>
        <v>2.3165402564467521</v>
      </c>
      <c r="U37" s="2410"/>
      <c r="V37" s="2410">
        <f t="shared" si="23"/>
        <v>7.6346403199999999</v>
      </c>
      <c r="W37" s="2410">
        <f t="shared" si="24"/>
        <v>4.9462115903068851</v>
      </c>
      <c r="X37" s="2411">
        <v>26.253392099999999</v>
      </c>
      <c r="Y37" s="2411">
        <v>0</v>
      </c>
      <c r="Z37" s="2411">
        <f t="shared" si="25"/>
        <v>0</v>
      </c>
      <c r="AA37" s="2411">
        <v>7.42971059</v>
      </c>
      <c r="AB37" s="2411">
        <f t="shared" si="26"/>
        <v>2.8300002383311069</v>
      </c>
      <c r="AC37" s="2411">
        <v>0</v>
      </c>
      <c r="AD37" s="2412">
        <f t="shared" si="27"/>
        <v>0</v>
      </c>
      <c r="AE37" s="2411"/>
      <c r="AF37" s="2411">
        <f t="shared" si="28"/>
        <v>7.42971059</v>
      </c>
      <c r="AG37" s="2411">
        <f t="shared" si="29"/>
        <v>2.8300002383311069</v>
      </c>
      <c r="AH37" s="2412">
        <f>IFERROR(VLOOKUP($A37,F13_21_22!$B$14:$O$217,9,0),0)</f>
        <v>26.404618620000004</v>
      </c>
      <c r="AI37" s="2412">
        <f>IFERROR(VLOOKUP($A37,F13_21_22!$B$14:$O$217,10,0),0)</f>
        <v>0</v>
      </c>
      <c r="AJ37" s="2412">
        <f t="shared" si="30"/>
        <v>0</v>
      </c>
      <c r="AK37" s="2412">
        <f>IFERROR(VLOOKUP($A37,F13_21_22!$B$14:$O$217,11,0),0)</f>
        <v>7.5201301997906249</v>
      </c>
      <c r="AL37" s="2401">
        <f t="shared" si="31"/>
        <v>2.8480359091778555</v>
      </c>
      <c r="AM37" s="2412">
        <f>IFERROR(VLOOKUP($A37,F13_21_22!$B$14:$O$217,12,0),0)</f>
        <v>0</v>
      </c>
      <c r="AN37" s="2412">
        <f t="shared" si="32"/>
        <v>0</v>
      </c>
      <c r="AO37" s="2411"/>
      <c r="AP37" s="2411">
        <f t="shared" si="33"/>
        <v>7.5201301997906249</v>
      </c>
      <c r="AQ37" s="2411">
        <f t="shared" si="34"/>
        <v>2.8480359091778555</v>
      </c>
      <c r="AR37" s="2406">
        <f>IFERROR(VLOOKUP($A37,F13_22_23!$B$14:$O$215,9,0),0)</f>
        <v>24.00201555333334</v>
      </c>
      <c r="AS37" s="2406">
        <f>IFERROR(VLOOKUP($A37,F13_22_23!$B$14:$O$215,10,0),0)</f>
        <v>0</v>
      </c>
      <c r="AT37" s="2406">
        <f t="shared" si="35"/>
        <v>0</v>
      </c>
      <c r="AU37" s="2406">
        <f>IFERROR(VLOOKUP($A37,F13_22_23!$B$14:$O$215,11,0),0)</f>
        <v>7.0669908409709254</v>
      </c>
      <c r="AV37" s="2406">
        <f t="shared" si="36"/>
        <v>2.9443322479596841</v>
      </c>
      <c r="AW37" s="2406">
        <f>IFERROR(VLOOKUP($A37,F13_22_23!$B$14:$O$215,12,0),0)</f>
        <v>0</v>
      </c>
      <c r="AX37" s="2406"/>
      <c r="AY37" s="2406">
        <f t="shared" si="37"/>
        <v>7.0669908409709254</v>
      </c>
      <c r="AZ37" s="2406">
        <f t="shared" si="38"/>
        <v>2.9443322479596841</v>
      </c>
    </row>
    <row r="38" spans="1:52" s="2350" customFormat="1">
      <c r="A38" s="2408" t="s">
        <v>1672</v>
      </c>
      <c r="B38" s="2405" t="s">
        <v>1667</v>
      </c>
      <c r="C38" s="2405">
        <v>2</v>
      </c>
      <c r="D38" s="2809"/>
      <c r="E38" s="2809"/>
      <c r="F38" s="2809"/>
      <c r="G38" s="2809"/>
      <c r="H38" s="2809"/>
      <c r="I38" s="2809"/>
      <c r="J38" s="2809"/>
      <c r="K38" s="2809"/>
      <c r="L38" s="2809"/>
      <c r="M38" s="2809"/>
      <c r="N38" s="2409">
        <v>1.3364500000000001</v>
      </c>
      <c r="O38" s="2410">
        <v>0</v>
      </c>
      <c r="P38" s="2409">
        <f t="shared" si="20"/>
        <v>0</v>
      </c>
      <c r="Q38" s="2410">
        <v>0.22147354999999999</v>
      </c>
      <c r="R38" s="2410">
        <f t="shared" si="21"/>
        <v>1.6571779714916379</v>
      </c>
      <c r="S38" s="2410">
        <v>-0.50771500000000003</v>
      </c>
      <c r="T38" s="2410">
        <f t="shared" si="22"/>
        <v>-3.7989823786898125</v>
      </c>
      <c r="U38" s="2410"/>
      <c r="V38" s="2410">
        <f t="shared" si="23"/>
        <v>-0.28624145000000001</v>
      </c>
      <c r="W38" s="2410">
        <f t="shared" si="24"/>
        <v>-2.1418044071981739</v>
      </c>
      <c r="X38" s="2411">
        <v>2.3750499999999999</v>
      </c>
      <c r="Y38" s="2411">
        <v>0</v>
      </c>
      <c r="Z38" s="2411">
        <f t="shared" si="25"/>
        <v>0</v>
      </c>
      <c r="AA38" s="2411">
        <v>0.45911450000000004</v>
      </c>
      <c r="AB38" s="2411">
        <f t="shared" si="26"/>
        <v>1.9330729879370965</v>
      </c>
      <c r="AC38" s="2411">
        <v>0</v>
      </c>
      <c r="AD38" s="2412">
        <f t="shared" si="27"/>
        <v>0</v>
      </c>
      <c r="AE38" s="2411"/>
      <c r="AF38" s="2411">
        <f t="shared" si="28"/>
        <v>0.45911450000000004</v>
      </c>
      <c r="AG38" s="2411">
        <f t="shared" si="29"/>
        <v>1.9330729879370965</v>
      </c>
      <c r="AH38" s="2412">
        <f>IFERROR(VLOOKUP($A38,F13_21_22!$B$14:$O$217,9,0),0)</f>
        <v>1.5666525</v>
      </c>
      <c r="AI38" s="2412">
        <f>IFERROR(VLOOKUP($A38,F13_21_22!$B$14:$O$217,10,0),0)</f>
        <v>0</v>
      </c>
      <c r="AJ38" s="2412">
        <f t="shared" si="30"/>
        <v>0</v>
      </c>
      <c r="AK38" s="2412">
        <f>IFERROR(VLOOKUP($A38,F13_21_22!$B$14:$O$217,11,0),0)</f>
        <v>0.28497122974610006</v>
      </c>
      <c r="AL38" s="2401">
        <f t="shared" si="31"/>
        <v>1.8189817444908816</v>
      </c>
      <c r="AM38" s="2412">
        <f>IFERROR(VLOOKUP($A38,F13_21_22!$B$14:$O$217,12,0),0)</f>
        <v>0</v>
      </c>
      <c r="AN38" s="2412">
        <f t="shared" si="32"/>
        <v>0</v>
      </c>
      <c r="AO38" s="2411"/>
      <c r="AP38" s="2411">
        <f t="shared" si="33"/>
        <v>0.28497122974610006</v>
      </c>
      <c r="AQ38" s="2411">
        <f t="shared" si="34"/>
        <v>1.8189817444908816</v>
      </c>
      <c r="AR38" s="2406">
        <f>IFERROR(VLOOKUP($A38,F13_22_23!$B$14:$O$215,9,0),0)</f>
        <v>2.098316612903226</v>
      </c>
      <c r="AS38" s="2406">
        <f>IFERROR(VLOOKUP($A38,F13_22_23!$B$14:$O$215,10,0),0)</f>
        <v>0</v>
      </c>
      <c r="AT38" s="2406">
        <f t="shared" si="35"/>
        <v>0</v>
      </c>
      <c r="AU38" s="2406">
        <f>IFERROR(VLOOKUP($A38,F13_22_23!$B$14:$O$215,11,0),0)</f>
        <v>0.4220069610790419</v>
      </c>
      <c r="AV38" s="2406">
        <f t="shared" si="36"/>
        <v>2.0111691366497548</v>
      </c>
      <c r="AW38" s="2406">
        <f>IFERROR(VLOOKUP($A38,F13_22_23!$B$14:$O$215,12,0),0)</f>
        <v>0</v>
      </c>
      <c r="AX38" s="2406"/>
      <c r="AY38" s="2406">
        <f t="shared" si="37"/>
        <v>0.4220069610790419</v>
      </c>
      <c r="AZ38" s="2406">
        <f t="shared" si="38"/>
        <v>2.0111691366497548</v>
      </c>
    </row>
    <row r="39" spans="1:52" s="2350" customFormat="1">
      <c r="A39" s="2408" t="s">
        <v>1673</v>
      </c>
      <c r="B39" s="2405" t="s">
        <v>1667</v>
      </c>
      <c r="C39" s="2405">
        <v>2</v>
      </c>
      <c r="D39" s="2809"/>
      <c r="E39" s="2809"/>
      <c r="F39" s="2809"/>
      <c r="G39" s="2809"/>
      <c r="H39" s="2809"/>
      <c r="I39" s="2809"/>
      <c r="J39" s="2809"/>
      <c r="K39" s="2809"/>
      <c r="L39" s="2809"/>
      <c r="M39" s="2809"/>
      <c r="N39" s="2409">
        <v>1.6117330000000001</v>
      </c>
      <c r="O39" s="2410">
        <v>0</v>
      </c>
      <c r="P39" s="2409">
        <f t="shared" si="20"/>
        <v>0</v>
      </c>
      <c r="Q39" s="2410">
        <v>0.349868075</v>
      </c>
      <c r="R39" s="2410">
        <f t="shared" si="21"/>
        <v>2.1707570360599431</v>
      </c>
      <c r="S39" s="2410">
        <v>0.84073319999999996</v>
      </c>
      <c r="T39" s="2410">
        <f t="shared" si="22"/>
        <v>5.2163304964283785</v>
      </c>
      <c r="U39" s="2410"/>
      <c r="V39" s="2410">
        <f t="shared" si="23"/>
        <v>1.1906012749999999</v>
      </c>
      <c r="W39" s="2410">
        <f t="shared" si="24"/>
        <v>7.3870875324883203</v>
      </c>
      <c r="X39" s="2411">
        <v>3.1814320000000005</v>
      </c>
      <c r="Y39" s="2411">
        <v>0</v>
      </c>
      <c r="Z39" s="2411">
        <f t="shared" si="25"/>
        <v>0</v>
      </c>
      <c r="AA39" s="2411">
        <v>0.56479720800000011</v>
      </c>
      <c r="AB39" s="2411">
        <f t="shared" si="26"/>
        <v>1.7752924092044087</v>
      </c>
      <c r="AC39" s="2411">
        <v>0</v>
      </c>
      <c r="AD39" s="2412">
        <f t="shared" si="27"/>
        <v>0</v>
      </c>
      <c r="AE39" s="2411"/>
      <c r="AF39" s="2411">
        <f t="shared" si="28"/>
        <v>0.56479720800000011</v>
      </c>
      <c r="AG39" s="2411">
        <f t="shared" si="29"/>
        <v>1.7752924092044087</v>
      </c>
      <c r="AH39" s="2412">
        <f>IFERROR(VLOOKUP($A39,F13_21_22!$B$14:$O$217,9,0),0)</f>
        <v>3.2320471</v>
      </c>
      <c r="AI39" s="2412">
        <f>IFERROR(VLOOKUP($A39,F13_21_22!$B$14:$O$217,10,0),0)</f>
        <v>0</v>
      </c>
      <c r="AJ39" s="2412">
        <f t="shared" si="30"/>
        <v>0</v>
      </c>
      <c r="AK39" s="2412">
        <f>IFERROR(VLOOKUP($A39,F13_21_22!$B$14:$O$217,11,0),0)</f>
        <v>0.6879367121007226</v>
      </c>
      <c r="AL39" s="2401">
        <f t="shared" si="31"/>
        <v>2.1284860362979323</v>
      </c>
      <c r="AM39" s="2412">
        <f>IFERROR(VLOOKUP($A39,F13_21_22!$B$14:$O$217,12,0),0)</f>
        <v>0</v>
      </c>
      <c r="AN39" s="2412">
        <f t="shared" si="32"/>
        <v>0</v>
      </c>
      <c r="AO39" s="2411"/>
      <c r="AP39" s="2411">
        <f t="shared" si="33"/>
        <v>0.6879367121007226</v>
      </c>
      <c r="AQ39" s="2411">
        <f t="shared" si="34"/>
        <v>2.1284860362979323</v>
      </c>
      <c r="AR39" s="2406">
        <f>IFERROR(VLOOKUP($A39,F13_22_23!$B$14:$O$215,9,0),0)</f>
        <v>2.361906871612903</v>
      </c>
      <c r="AS39" s="2406">
        <f>IFERROR(VLOOKUP($A39,F13_22_23!$B$14:$O$215,10,0),0)</f>
        <v>0</v>
      </c>
      <c r="AT39" s="2406">
        <f t="shared" si="35"/>
        <v>0</v>
      </c>
      <c r="AU39" s="2406">
        <f>IFERROR(VLOOKUP($A39,F13_22_23!$B$14:$O$215,11,0),0)</f>
        <v>0.43624755841751722</v>
      </c>
      <c r="AV39" s="2406">
        <f t="shared" si="36"/>
        <v>1.8470142225362669</v>
      </c>
      <c r="AW39" s="2406">
        <f>IFERROR(VLOOKUP($A39,F13_22_23!$B$14:$O$215,12,0),0)</f>
        <v>0</v>
      </c>
      <c r="AX39" s="2406"/>
      <c r="AY39" s="2406">
        <f t="shared" si="37"/>
        <v>0.43624755841751722</v>
      </c>
      <c r="AZ39" s="2406">
        <f t="shared" si="38"/>
        <v>1.8470142225362669</v>
      </c>
    </row>
    <row r="40" spans="1:52" s="2350" customFormat="1">
      <c r="A40" s="2408" t="s">
        <v>1674</v>
      </c>
      <c r="B40" s="2405" t="s">
        <v>1667</v>
      </c>
      <c r="C40" s="2405">
        <v>2</v>
      </c>
      <c r="D40" s="2809"/>
      <c r="E40" s="2809"/>
      <c r="F40" s="2809"/>
      <c r="G40" s="2809"/>
      <c r="H40" s="2809"/>
      <c r="I40" s="2809"/>
      <c r="J40" s="2809"/>
      <c r="K40" s="2809"/>
      <c r="L40" s="2809"/>
      <c r="M40" s="2809"/>
      <c r="N40" s="2409">
        <v>-3.09E-2</v>
      </c>
      <c r="O40" s="2410">
        <v>0</v>
      </c>
      <c r="P40" s="2409">
        <f t="shared" si="20"/>
        <v>0</v>
      </c>
      <c r="Q40" s="2410">
        <v>-8.2879249999999998E-3</v>
      </c>
      <c r="R40" s="2410">
        <f t="shared" si="21"/>
        <v>2.6821763754045307</v>
      </c>
      <c r="S40" s="2410">
        <v>4.2185550000000003</v>
      </c>
      <c r="T40" s="2410">
        <f t="shared" si="22"/>
        <v>-1365.2281553398057</v>
      </c>
      <c r="U40" s="2410"/>
      <c r="V40" s="2410">
        <f t="shared" si="23"/>
        <v>4.210267075</v>
      </c>
      <c r="W40" s="2410">
        <f t="shared" si="24"/>
        <v>-1362.5459789644012</v>
      </c>
      <c r="X40" s="2411">
        <v>0.518625</v>
      </c>
      <c r="Y40" s="2411">
        <v>0</v>
      </c>
      <c r="Z40" s="2411">
        <f t="shared" si="25"/>
        <v>0</v>
      </c>
      <c r="AA40" s="2411">
        <v>0.163080275</v>
      </c>
      <c r="AB40" s="2411">
        <f t="shared" si="26"/>
        <v>3.1444738491202702</v>
      </c>
      <c r="AC40" s="2411">
        <v>0.23129669999999999</v>
      </c>
      <c r="AD40" s="2412">
        <f t="shared" si="27"/>
        <v>4.4598062183658707</v>
      </c>
      <c r="AE40" s="2411"/>
      <c r="AF40" s="2411">
        <f t="shared" si="28"/>
        <v>0.39437697500000002</v>
      </c>
      <c r="AG40" s="2411">
        <f t="shared" si="29"/>
        <v>7.6042800674861413</v>
      </c>
      <c r="AH40" s="2412">
        <f>IFERROR(VLOOKUP($A40,F13_21_22!$B$14:$O$217,9,0),0)</f>
        <v>4.4366250000000003</v>
      </c>
      <c r="AI40" s="2412">
        <f>IFERROR(VLOOKUP($A40,F13_21_22!$B$14:$O$217,10,0),0)</f>
        <v>0</v>
      </c>
      <c r="AJ40" s="2412">
        <f t="shared" si="30"/>
        <v>0</v>
      </c>
      <c r="AK40" s="2412">
        <f>IFERROR(VLOOKUP($A40,F13_21_22!$B$14:$O$217,11,0),0)</f>
        <v>1.2562203015672453</v>
      </c>
      <c r="AL40" s="2401">
        <f t="shared" si="31"/>
        <v>2.8314773089166771</v>
      </c>
      <c r="AM40" s="2412">
        <f>IFERROR(VLOOKUP($A40,F13_21_22!$B$14:$O$217,12,0),0)</f>
        <v>0</v>
      </c>
      <c r="AN40" s="2412">
        <f t="shared" si="32"/>
        <v>0</v>
      </c>
      <c r="AO40" s="2411"/>
      <c r="AP40" s="2411">
        <f t="shared" si="33"/>
        <v>1.2562203015672453</v>
      </c>
      <c r="AQ40" s="2411">
        <f t="shared" si="34"/>
        <v>2.8314773089166771</v>
      </c>
      <c r="AR40" s="2406">
        <f>IFERROR(VLOOKUP($A40,F13_22_23!$B$14:$O$215,9,0),0)</f>
        <v>2.4014571774193545</v>
      </c>
      <c r="AS40" s="2406">
        <f>IFERROR(VLOOKUP($A40,F13_22_23!$B$14:$O$215,10,0),0)</f>
        <v>0</v>
      </c>
      <c r="AT40" s="2406">
        <f t="shared" si="35"/>
        <v>0</v>
      </c>
      <c r="AU40" s="2406">
        <f>IFERROR(VLOOKUP($A40,F13_22_23!$B$14:$O$215,11,0),0)</f>
        <v>0.78563925936621004</v>
      </c>
      <c r="AV40" s="2406">
        <f t="shared" si="36"/>
        <v>3.2715105926247285</v>
      </c>
      <c r="AW40" s="2406">
        <f>IFERROR(VLOOKUP($A40,F13_22_23!$B$14:$O$215,12,0),0)</f>
        <v>0</v>
      </c>
      <c r="AX40" s="2406"/>
      <c r="AY40" s="2406">
        <f t="shared" si="37"/>
        <v>0.78563925936621004</v>
      </c>
      <c r="AZ40" s="2406">
        <f t="shared" si="38"/>
        <v>3.2715105926247285</v>
      </c>
    </row>
    <row r="41" spans="1:52" s="2350" customFormat="1">
      <c r="A41" s="1644" t="s">
        <v>1853</v>
      </c>
      <c r="B41" s="2405"/>
      <c r="C41" s="2405"/>
      <c r="D41" s="2809"/>
      <c r="E41" s="2809"/>
      <c r="F41" s="2809"/>
      <c r="G41" s="2809"/>
      <c r="H41" s="2809"/>
      <c r="I41" s="2809"/>
      <c r="J41" s="2809"/>
      <c r="K41" s="2809"/>
      <c r="L41" s="2809"/>
      <c r="M41" s="2809"/>
      <c r="N41" s="2409"/>
      <c r="O41" s="2410"/>
      <c r="P41" s="2409"/>
      <c r="Q41" s="2410"/>
      <c r="R41" s="2410"/>
      <c r="S41" s="2410"/>
      <c r="T41" s="2410"/>
      <c r="U41" s="2410"/>
      <c r="V41" s="2410"/>
      <c r="W41" s="2410"/>
      <c r="X41" s="2411">
        <v>-0.42720999999999998</v>
      </c>
      <c r="Y41" s="2411">
        <v>0</v>
      </c>
      <c r="Z41" s="2411">
        <f>IFERROR(Y41/X41*10,0)</f>
        <v>0</v>
      </c>
      <c r="AA41" s="2411">
        <v>0</v>
      </c>
      <c r="AB41" s="2411">
        <f>IFERROR(AA41/X41*10,0)</f>
        <v>0</v>
      </c>
      <c r="AC41" s="2411">
        <v>-4.9782100000000003E-2</v>
      </c>
      <c r="AD41" s="2412">
        <f>IFERROR(AC41/X41*10,0)</f>
        <v>1.1652840523395989</v>
      </c>
      <c r="AE41" s="2411"/>
      <c r="AF41" s="2411">
        <f>Y41+AA41+AC41+AE41</f>
        <v>-4.9782100000000003E-2</v>
      </c>
      <c r="AG41" s="2411">
        <f>IFERROR(AF41/X41*10,0)</f>
        <v>1.1652840523395989</v>
      </c>
      <c r="AH41" s="2412"/>
      <c r="AI41" s="2412"/>
      <c r="AJ41" s="2412"/>
      <c r="AK41" s="2412"/>
      <c r="AL41" s="2401"/>
      <c r="AM41" s="2412"/>
      <c r="AN41" s="2412"/>
      <c r="AO41" s="2411"/>
      <c r="AP41" s="2411"/>
      <c r="AQ41" s="2411"/>
      <c r="AR41" s="2406"/>
      <c r="AS41" s="2406"/>
      <c r="AT41" s="2406"/>
      <c r="AU41" s="2406"/>
      <c r="AV41" s="2406"/>
      <c r="AW41" s="2406"/>
      <c r="AX41" s="2406"/>
      <c r="AY41" s="2406"/>
      <c r="AZ41" s="2406"/>
    </row>
    <row r="42" spans="1:52" s="2415" customFormat="1" ht="14.25" customHeight="1">
      <c r="A42" s="2414" t="s">
        <v>211</v>
      </c>
      <c r="B42" s="2809"/>
      <c r="C42" s="2809"/>
      <c r="D42" s="2809"/>
      <c r="E42" s="2809"/>
      <c r="F42" s="2809"/>
      <c r="G42" s="2809"/>
      <c r="H42" s="2809"/>
      <c r="I42" s="2809"/>
      <c r="J42" s="2809"/>
      <c r="K42" s="2809"/>
      <c r="L42" s="2809"/>
      <c r="M42" s="2809"/>
      <c r="N42" s="2400">
        <f>SUM(N33:N40)</f>
        <v>990.80265930000007</v>
      </c>
      <c r="O42" s="2400">
        <f>SUM(O33:O40)</f>
        <v>0</v>
      </c>
      <c r="P42" s="2400"/>
      <c r="Q42" s="2400">
        <f>SUM(Q33:Q40)</f>
        <v>69.130067091400008</v>
      </c>
      <c r="R42" s="2400"/>
      <c r="S42" s="2400">
        <f>SUM(S33:S40)</f>
        <v>24.643473799999995</v>
      </c>
      <c r="T42" s="2400"/>
      <c r="U42" s="2400"/>
      <c r="V42" s="2400">
        <f>SUM(V33:V40)</f>
        <v>93.773540891400003</v>
      </c>
      <c r="W42" s="2400"/>
      <c r="X42" s="2401">
        <f>SUM(X33:X41)</f>
        <v>1342.3215578899999</v>
      </c>
      <c r="Y42" s="2401">
        <f>SUM(Y33:Y41)</f>
        <v>40.241415988999997</v>
      </c>
      <c r="Z42" s="2401"/>
      <c r="AA42" s="2401">
        <f>SUM(AA33:AA41)</f>
        <v>128.73387891099998</v>
      </c>
      <c r="AB42" s="2401"/>
      <c r="AC42" s="2401">
        <f>SUM(AC33:AC41)</f>
        <v>2.6337252000000002</v>
      </c>
      <c r="AD42" s="2401">
        <f>IFERROR(AC42/X42*10,0)</f>
        <v>1.9620672740591028E-2</v>
      </c>
      <c r="AE42" s="2401"/>
      <c r="AF42" s="2401">
        <f>SUM(AF33:AF41)</f>
        <v>171.60902010000001</v>
      </c>
      <c r="AG42" s="2401">
        <f>IFERROR(AF42/X42*10,0)</f>
        <v>1.2784494079775701</v>
      </c>
      <c r="AH42" s="2401">
        <f>SUM(AH33:AH40)</f>
        <v>1179.3068853780001</v>
      </c>
      <c r="AI42" s="2401">
        <f>SUM(AI33:AI40)</f>
        <v>45.365313697112505</v>
      </c>
      <c r="AJ42" s="2401">
        <f>IFERROR(AI42/AH42*10,0)</f>
        <v>0.38467776504647211</v>
      </c>
      <c r="AK42" s="2401">
        <f>SUM(AK33:AK40)</f>
        <v>84.788719064652057</v>
      </c>
      <c r="AL42" s="2401">
        <f>IFERROR(AK42/AH42*10,0)</f>
        <v>0.71897077949710231</v>
      </c>
      <c r="AM42" s="2401">
        <f>SUM(AM33:AM40)</f>
        <v>0</v>
      </c>
      <c r="AN42" s="2412">
        <f>IFERROR(AM42/AH42*10,0)</f>
        <v>0</v>
      </c>
      <c r="AO42" s="2401">
        <f>SUM(AO33:AO40)</f>
        <v>0</v>
      </c>
      <c r="AP42" s="2401">
        <f>SUM(AK42,AI42,AM42,AO42)</f>
        <v>130.15403276176457</v>
      </c>
      <c r="AQ42" s="2401">
        <f>IFERROR(AP42/AH42*10,0)</f>
        <v>1.1036485445435744</v>
      </c>
      <c r="AR42" s="2401">
        <f>SUM(AR33:AR40)</f>
        <v>1156.0649662706885</v>
      </c>
      <c r="AS42" s="2401">
        <f>SUM(AS33:AS40)</f>
        <v>44.366161127872502</v>
      </c>
      <c r="AT42" s="2407">
        <f>IFERROR(AS42/AR42*10,0)</f>
        <v>0.38376875367992358</v>
      </c>
      <c r="AU42" s="2401">
        <f>SUM(AU33:AU40)</f>
        <v>114.13781324055329</v>
      </c>
      <c r="AV42" s="2407"/>
      <c r="AW42" s="2407"/>
      <c r="AX42" s="2407"/>
      <c r="AY42" s="2401">
        <f>SUM(AY33:AY40)</f>
        <v>158.50397436842576</v>
      </c>
      <c r="AZ42" s="2407">
        <f>IFERROR(AY42/AR42*10,0)</f>
        <v>1.3710645940577066</v>
      </c>
    </row>
    <row r="43" spans="1:52" s="2350" customFormat="1">
      <c r="A43" s="2404"/>
      <c r="B43" s="2405"/>
      <c r="C43" s="2405"/>
      <c r="D43" s="2809"/>
      <c r="E43" s="2809"/>
      <c r="F43" s="2809"/>
      <c r="G43" s="2809"/>
      <c r="H43" s="2809"/>
      <c r="I43" s="2809"/>
      <c r="J43" s="2809"/>
      <c r="K43" s="2809"/>
      <c r="L43" s="2809"/>
      <c r="M43" s="2809"/>
      <c r="N43" s="2400"/>
      <c r="O43" s="2400"/>
      <c r="P43" s="2400"/>
      <c r="Q43" s="2400"/>
      <c r="R43" s="2400"/>
      <c r="S43" s="2400"/>
      <c r="T43" s="2400"/>
      <c r="U43" s="2400"/>
      <c r="V43" s="2400"/>
      <c r="W43" s="2400"/>
      <c r="X43" s="2401"/>
      <c r="Y43" s="2401"/>
      <c r="Z43" s="2401"/>
      <c r="AA43" s="2401"/>
      <c r="AB43" s="2401"/>
      <c r="AC43" s="2401"/>
      <c r="AD43" s="2412"/>
      <c r="AE43" s="2401"/>
      <c r="AF43" s="2401"/>
      <c r="AG43" s="2401"/>
      <c r="AH43" s="2412"/>
      <c r="AI43" s="2412"/>
      <c r="AJ43" s="2412"/>
      <c r="AK43" s="2412"/>
      <c r="AL43" s="2401"/>
      <c r="AM43" s="2416"/>
      <c r="AN43" s="2412"/>
      <c r="AO43" s="2411"/>
      <c r="AP43" s="2411"/>
      <c r="AQ43" s="2411"/>
      <c r="AR43" s="2406"/>
      <c r="AS43" s="2406"/>
      <c r="AT43" s="2406"/>
      <c r="AU43" s="2406"/>
      <c r="AV43" s="2406"/>
      <c r="AW43" s="2406"/>
      <c r="AX43" s="2406"/>
      <c r="AY43" s="2406"/>
      <c r="AZ43" s="2406"/>
    </row>
    <row r="44" spans="1:52" s="2350" customFormat="1">
      <c r="A44" s="2404"/>
      <c r="B44" s="2405"/>
      <c r="C44" s="2405"/>
      <c r="D44" s="2809"/>
      <c r="E44" s="2809"/>
      <c r="F44" s="2809"/>
      <c r="G44" s="2809"/>
      <c r="H44" s="2809"/>
      <c r="I44" s="2809"/>
      <c r="J44" s="2809"/>
      <c r="K44" s="2809"/>
      <c r="L44" s="2809"/>
      <c r="M44" s="2809"/>
      <c r="N44" s="2400"/>
      <c r="O44" s="2400"/>
      <c r="P44" s="2400"/>
      <c r="Q44" s="2400"/>
      <c r="R44" s="2400"/>
      <c r="S44" s="2400"/>
      <c r="T44" s="2400"/>
      <c r="U44" s="2400"/>
      <c r="V44" s="2400"/>
      <c r="W44" s="2400"/>
      <c r="X44" s="2401"/>
      <c r="Y44" s="2401"/>
      <c r="Z44" s="2401"/>
      <c r="AA44" s="2401"/>
      <c r="AB44" s="2401"/>
      <c r="AC44" s="2401"/>
      <c r="AD44" s="2412"/>
      <c r="AE44" s="2401"/>
      <c r="AF44" s="2401"/>
      <c r="AG44" s="2401"/>
      <c r="AH44" s="2412"/>
      <c r="AI44" s="2412"/>
      <c r="AJ44" s="2412"/>
      <c r="AK44" s="2412"/>
      <c r="AL44" s="2401"/>
      <c r="AM44" s="2416"/>
      <c r="AN44" s="2412"/>
      <c r="AO44" s="2411"/>
      <c r="AP44" s="2411"/>
      <c r="AQ44" s="2411"/>
      <c r="AR44" s="2406"/>
      <c r="AS44" s="2406"/>
      <c r="AT44" s="2406"/>
      <c r="AU44" s="2406"/>
      <c r="AV44" s="2406"/>
      <c r="AW44" s="2406"/>
      <c r="AX44" s="2406"/>
      <c r="AY44" s="2406"/>
      <c r="AZ44" s="2406"/>
    </row>
    <row r="45" spans="1:52" s="2350" customFormat="1">
      <c r="A45" s="2417" t="s">
        <v>1675</v>
      </c>
      <c r="B45" s="2405"/>
      <c r="C45" s="2405"/>
      <c r="D45" s="2809"/>
      <c r="E45" s="2809"/>
      <c r="F45" s="2809"/>
      <c r="G45" s="2809"/>
      <c r="H45" s="2809"/>
      <c r="I45" s="2809"/>
      <c r="J45" s="2809"/>
      <c r="K45" s="2809"/>
      <c r="L45" s="2809"/>
      <c r="M45" s="2809"/>
      <c r="N45" s="2400"/>
      <c r="O45" s="2400"/>
      <c r="P45" s="2400"/>
      <c r="Q45" s="2400"/>
      <c r="R45" s="2400"/>
      <c r="S45" s="2400"/>
      <c r="T45" s="2400"/>
      <c r="U45" s="2400"/>
      <c r="V45" s="2400"/>
      <c r="W45" s="2400"/>
      <c r="X45" s="2401"/>
      <c r="Y45" s="2401"/>
      <c r="Z45" s="2401"/>
      <c r="AA45" s="2401"/>
      <c r="AB45" s="2401"/>
      <c r="AC45" s="2401"/>
      <c r="AD45" s="2412"/>
      <c r="AE45" s="2401"/>
      <c r="AF45" s="2401"/>
      <c r="AG45" s="2401"/>
      <c r="AH45" s="2412"/>
      <c r="AI45" s="2412"/>
      <c r="AJ45" s="2412"/>
      <c r="AK45" s="2412"/>
      <c r="AL45" s="2401"/>
      <c r="AM45" s="2416"/>
      <c r="AN45" s="2412"/>
      <c r="AO45" s="2411"/>
      <c r="AP45" s="2411"/>
      <c r="AQ45" s="2411"/>
      <c r="AR45" s="2406"/>
      <c r="AS45" s="2406"/>
      <c r="AT45" s="2406"/>
      <c r="AU45" s="2406"/>
      <c r="AV45" s="2406"/>
      <c r="AW45" s="2406"/>
      <c r="AX45" s="2406"/>
      <c r="AY45" s="2406"/>
      <c r="AZ45" s="2406"/>
    </row>
    <row r="46" spans="1:52" s="2350" customFormat="1">
      <c r="A46" s="2404" t="s">
        <v>1676</v>
      </c>
      <c r="B46" s="2405"/>
      <c r="C46" s="2405"/>
      <c r="D46" s="2809"/>
      <c r="E46" s="2809"/>
      <c r="F46" s="2809"/>
      <c r="G46" s="2809"/>
      <c r="H46" s="2809"/>
      <c r="I46" s="2809"/>
      <c r="J46" s="2809"/>
      <c r="K46" s="2809"/>
      <c r="L46" s="2809"/>
      <c r="M46" s="2809"/>
      <c r="N46" s="2400"/>
      <c r="O46" s="2400"/>
      <c r="P46" s="2400"/>
      <c r="Q46" s="2400"/>
      <c r="R46" s="2400"/>
      <c r="S46" s="2400"/>
      <c r="T46" s="2400"/>
      <c r="U46" s="2400"/>
      <c r="V46" s="2400"/>
      <c r="W46" s="2400"/>
      <c r="X46" s="2401"/>
      <c r="Y46" s="2401"/>
      <c r="Z46" s="2401"/>
      <c r="AA46" s="2401"/>
      <c r="AB46" s="2401"/>
      <c r="AC46" s="2401"/>
      <c r="AD46" s="2412"/>
      <c r="AE46" s="2401"/>
      <c r="AF46" s="2401"/>
      <c r="AG46" s="2401"/>
      <c r="AH46" s="2412"/>
      <c r="AI46" s="2412"/>
      <c r="AJ46" s="2412"/>
      <c r="AK46" s="2412"/>
      <c r="AL46" s="2401"/>
      <c r="AM46" s="2416"/>
      <c r="AN46" s="2412"/>
      <c r="AO46" s="2411"/>
      <c r="AP46" s="2411"/>
      <c r="AQ46" s="2411"/>
      <c r="AR46" s="2406"/>
      <c r="AS46" s="2406"/>
      <c r="AT46" s="2406"/>
      <c r="AU46" s="2406"/>
      <c r="AV46" s="2406"/>
      <c r="AW46" s="2406"/>
      <c r="AX46" s="2406"/>
      <c r="AY46" s="2406"/>
      <c r="AZ46" s="2406"/>
    </row>
    <row r="47" spans="1:52" s="2350" customFormat="1">
      <c r="A47" s="2404" t="s">
        <v>1677</v>
      </c>
      <c r="B47" s="2405" t="s">
        <v>1649</v>
      </c>
      <c r="C47" s="2405">
        <v>1</v>
      </c>
      <c r="D47" s="2809"/>
      <c r="E47" s="2809"/>
      <c r="F47" s="2809"/>
      <c r="G47" s="2809"/>
      <c r="H47" s="2809"/>
      <c r="I47" s="2809"/>
      <c r="J47" s="2809"/>
      <c r="K47" s="2809"/>
      <c r="L47" s="2809"/>
      <c r="M47" s="2809"/>
      <c r="N47" s="2409">
        <v>56.787333000000004</v>
      </c>
      <c r="O47" s="2410">
        <v>58.405383899999997</v>
      </c>
      <c r="P47" s="2409">
        <f t="shared" ref="P47:P84" si="39">IFERROR(O47/N47*10,0)</f>
        <v>10.284931658966974</v>
      </c>
      <c r="Q47" s="2410">
        <v>14.080298899999999</v>
      </c>
      <c r="R47" s="2410">
        <f t="shared" ref="R47:R84" si="40">IFERROR(Q47/N47*10,0)</f>
        <v>2.4794788126429528</v>
      </c>
      <c r="S47" s="2410">
        <v>1.0863139000000002</v>
      </c>
      <c r="T47" s="2410">
        <f t="shared" ref="T47:T84" si="41">IFERROR(S47/N47*10,0)</f>
        <v>0.19129510801290844</v>
      </c>
      <c r="U47" s="2410"/>
      <c r="V47" s="2410">
        <f t="shared" ref="V47:V84" si="42">SUM(O47,Q47,S47)</f>
        <v>73.571996699999985</v>
      </c>
      <c r="W47" s="2410">
        <f t="shared" ref="W47:W87" si="43">IFERROR(V47/N47*10,0)</f>
        <v>12.955705579622832</v>
      </c>
      <c r="X47" s="2411">
        <v>232.158852</v>
      </c>
      <c r="Y47" s="2411">
        <v>50.095854899999992</v>
      </c>
      <c r="Z47" s="2411">
        <f t="shared" ref="Z47:Z86" si="44">IFERROR(Y47/X47*10,0)</f>
        <v>2.1578266117546101</v>
      </c>
      <c r="AA47" s="2411">
        <v>103.6088206</v>
      </c>
      <c r="AB47" s="2411">
        <f t="shared" ref="AB47:AB86" si="45">IFERROR(AA47/X47*10,0)</f>
        <v>4.4628417011641668</v>
      </c>
      <c r="AC47" s="2411">
        <v>0.42326570000000002</v>
      </c>
      <c r="AD47" s="2412">
        <f t="shared" ref="AD47:AD86" si="46">IFERROR(AC47/X47*10,0)</f>
        <v>1.8231727817124115E-2</v>
      </c>
      <c r="AE47" s="2411"/>
      <c r="AF47" s="2411">
        <f t="shared" ref="AF47:AF86" si="47">Y47+AA47+AC47+AE47</f>
        <v>154.12794120000001</v>
      </c>
      <c r="AG47" s="2411">
        <f t="shared" ref="AG47:AG86" si="48">IFERROR(AF47/X47*10,0)</f>
        <v>6.6389000407359013</v>
      </c>
      <c r="AH47" s="2412">
        <f>IFERROR(VLOOKUP($A47,F13_21_22!$B$14:$O$217,9,0),0)</f>
        <v>23.437690250000003</v>
      </c>
      <c r="AI47" s="2412">
        <f>IFERROR(VLOOKUP($A47,F13_21_22!$B$14:$O$217,10,0),0)</f>
        <v>51.576656111249996</v>
      </c>
      <c r="AJ47" s="2412">
        <f t="shared" ref="AJ47:AJ86" si="49">IFERROR(AI47/AH47*10,0)</f>
        <v>22.005861311888442</v>
      </c>
      <c r="AK47" s="2412">
        <f>IFERROR(VLOOKUP($A47,F13_21_22!$B$14:$O$217,11,0),0)</f>
        <v>14.064497003714209</v>
      </c>
      <c r="AL47" s="2401">
        <f t="shared" ref="AL47:AL86" si="50">IFERROR(AK47/AH47*10,0)</f>
        <v>6.0008033443970472</v>
      </c>
      <c r="AM47" s="2412">
        <f>IFERROR(VLOOKUP($A47,F13_21_22!$B$14:$O$217,12,0),0)</f>
        <v>-0.62966429999999995</v>
      </c>
      <c r="AN47" s="2412">
        <f t="shared" ref="AN47:AN86" si="51">IFERROR(AM47/AH47*10,0)</f>
        <v>-0.26865458724116381</v>
      </c>
      <c r="AO47" s="2411"/>
      <c r="AP47" s="2411">
        <f t="shared" ref="AP47:AP86" si="52">SUM(AK47,AI47,AM47,AO47)</f>
        <v>65.011488814964196</v>
      </c>
      <c r="AQ47" s="2411">
        <f t="shared" ref="AQ47:AQ86" si="53">IFERROR(AP47/AH47*10,0)</f>
        <v>27.738010069044318</v>
      </c>
      <c r="AR47" s="2406">
        <f>IFERROR(VLOOKUP($A47,F13_22_23!$B$14:$O$215,9,0),0)</f>
        <v>42.120707937654032</v>
      </c>
      <c r="AS47" s="2406">
        <f>IFERROR(VLOOKUP($A47,F13_22_23!$B$14:$O$215,10,0),0)</f>
        <v>55.230680027249996</v>
      </c>
      <c r="AT47" s="2406">
        <f t="shared" ref="AT47:AT86" si="54">IFERROR(AS47/AR47*10,0)</f>
        <v>13.112476672757021</v>
      </c>
      <c r="AU47" s="2406">
        <f>IFERROR(VLOOKUP($A47,F13_22_23!$B$14:$O$215,11,0),0)</f>
        <v>19.55723651621344</v>
      </c>
      <c r="AV47" s="2406">
        <f t="shared" ref="AV47:AV86" si="55">IFERROR(AU47/AR47*10,0)</f>
        <v>4.6431405058911999</v>
      </c>
      <c r="AW47" s="2406">
        <f>IFERROR(VLOOKUP($A47,F13_22_23!$B$14:$O$215,12,0),0)</f>
        <v>0</v>
      </c>
      <c r="AX47" s="2406"/>
      <c r="AY47" s="2406">
        <f t="shared" ref="AY47:AY86" si="56">AS47+AU47</f>
        <v>74.787916543463439</v>
      </c>
      <c r="AZ47" s="2406">
        <f t="shared" ref="AZ47:AZ86" si="57">IFERROR(AY47/AR47*10,0)</f>
        <v>17.755617178648219</v>
      </c>
    </row>
    <row r="48" spans="1:52" s="2350" customFormat="1">
      <c r="A48" s="2404" t="s">
        <v>1678</v>
      </c>
      <c r="B48" s="2405" t="s">
        <v>1649</v>
      </c>
      <c r="C48" s="2405">
        <v>2</v>
      </c>
      <c r="D48" s="2809"/>
      <c r="E48" s="2809"/>
      <c r="F48" s="2809"/>
      <c r="G48" s="2809"/>
      <c r="H48" s="2809"/>
      <c r="I48" s="2809"/>
      <c r="J48" s="2809"/>
      <c r="K48" s="2809"/>
      <c r="L48" s="2809"/>
      <c r="M48" s="2809"/>
      <c r="N48" s="2409">
        <v>23.155097699999999</v>
      </c>
      <c r="O48" s="2410">
        <v>114.42900920000002</v>
      </c>
      <c r="P48" s="2409">
        <f t="shared" si="39"/>
        <v>49.418495522046548</v>
      </c>
      <c r="Q48" s="2410">
        <v>14.767256</v>
      </c>
      <c r="R48" s="2410">
        <f t="shared" si="40"/>
        <v>6.3775399228827272</v>
      </c>
      <c r="S48" s="2410">
        <v>3.9856578000000003</v>
      </c>
      <c r="T48" s="2410">
        <f t="shared" si="41"/>
        <v>1.7212874035940693</v>
      </c>
      <c r="U48" s="2410"/>
      <c r="V48" s="2410">
        <f t="shared" si="42"/>
        <v>133.18192300000004</v>
      </c>
      <c r="W48" s="2410">
        <f t="shared" si="43"/>
        <v>57.517322848523349</v>
      </c>
      <c r="X48" s="2411">
        <v>351.87758200000007</v>
      </c>
      <c r="Y48" s="2411">
        <v>99.735203300000023</v>
      </c>
      <c r="Z48" s="2411">
        <f t="shared" si="44"/>
        <v>2.8343721908376645</v>
      </c>
      <c r="AA48" s="2411">
        <v>172.12599729999997</v>
      </c>
      <c r="AB48" s="2411">
        <f t="shared" si="45"/>
        <v>4.8916443133907839</v>
      </c>
      <c r="AC48" s="2411">
        <v>6.6632166000000002</v>
      </c>
      <c r="AD48" s="2412">
        <f t="shared" si="46"/>
        <v>0.1893617820756765</v>
      </c>
      <c r="AE48" s="2411"/>
      <c r="AF48" s="2411">
        <f t="shared" si="47"/>
        <v>278.52441719999996</v>
      </c>
      <c r="AG48" s="2411">
        <f t="shared" si="48"/>
        <v>7.915378286304124</v>
      </c>
      <c r="AH48" s="2412">
        <f>IFERROR(VLOOKUP($A48,F13_21_22!$B$14:$O$217,9,0),0)</f>
        <v>62.950860999999996</v>
      </c>
      <c r="AI48" s="2412">
        <f>IFERROR(VLOOKUP($A48,F13_21_22!$B$14:$O$217,10,0),0)</f>
        <v>101.66664696625003</v>
      </c>
      <c r="AJ48" s="2412">
        <f t="shared" si="49"/>
        <v>16.150159878869651</v>
      </c>
      <c r="AK48" s="2412">
        <f>IFERROR(VLOOKUP($A48,F13_21_22!$B$14:$O$217,11,0),0)</f>
        <v>46.60106018645763</v>
      </c>
      <c r="AL48" s="2401">
        <f t="shared" si="50"/>
        <v>7.4027677217087842</v>
      </c>
      <c r="AM48" s="2412">
        <f>IFERROR(VLOOKUP($A48,F13_21_22!$B$14:$O$217,12,0),0)</f>
        <v>-0.78826079999999998</v>
      </c>
      <c r="AN48" s="2412">
        <f t="shared" si="51"/>
        <v>-0.12521843029279617</v>
      </c>
      <c r="AO48" s="2411"/>
      <c r="AP48" s="2411">
        <f t="shared" si="52"/>
        <v>147.47944635270767</v>
      </c>
      <c r="AQ48" s="2411">
        <f t="shared" si="53"/>
        <v>23.427709170285638</v>
      </c>
      <c r="AR48" s="2406">
        <f>IFERROR(VLOOKUP($A48,F13_22_23!$B$14:$O$215,9,0),0)</f>
        <v>0</v>
      </c>
      <c r="AS48" s="2406">
        <f>IFERROR(VLOOKUP($A48,F13_22_23!$B$14:$O$215,10,0),0)</f>
        <v>109.95806163825003</v>
      </c>
      <c r="AT48" s="2406">
        <f t="shared" si="54"/>
        <v>0</v>
      </c>
      <c r="AU48" s="2406">
        <f>IFERROR(VLOOKUP($A48,F13_22_23!$B$14:$O$215,11,0),0)</f>
        <v>0</v>
      </c>
      <c r="AV48" s="2406">
        <f t="shared" si="55"/>
        <v>0</v>
      </c>
      <c r="AW48" s="2406">
        <f>IFERROR(VLOOKUP($A48,F13_22_23!$B$14:$O$215,12,0),0)</f>
        <v>0</v>
      </c>
      <c r="AX48" s="2406"/>
      <c r="AY48" s="2406">
        <f t="shared" si="56"/>
        <v>109.95806163825003</v>
      </c>
      <c r="AZ48" s="2406">
        <f t="shared" si="57"/>
        <v>0</v>
      </c>
    </row>
    <row r="49" spans="1:52" s="2350" customFormat="1">
      <c r="A49" s="2404" t="s">
        <v>1679</v>
      </c>
      <c r="B49" s="2405" t="s">
        <v>1649</v>
      </c>
      <c r="C49" s="2405">
        <v>2</v>
      </c>
      <c r="D49" s="2809"/>
      <c r="E49" s="2809"/>
      <c r="F49" s="2809"/>
      <c r="G49" s="2809"/>
      <c r="H49" s="2809"/>
      <c r="I49" s="2809"/>
      <c r="J49" s="2809"/>
      <c r="K49" s="2809"/>
      <c r="L49" s="2809"/>
      <c r="M49" s="2809"/>
      <c r="N49" s="2409">
        <v>279.37978449999997</v>
      </c>
      <c r="O49" s="2410">
        <v>121.94647329999999</v>
      </c>
      <c r="P49" s="2409">
        <f t="shared" si="39"/>
        <v>4.3648996837135154</v>
      </c>
      <c r="Q49" s="2410">
        <v>97.113023099999992</v>
      </c>
      <c r="R49" s="2410">
        <f t="shared" si="40"/>
        <v>3.4760218343571667</v>
      </c>
      <c r="S49" s="2410">
        <v>9.871012799999999</v>
      </c>
      <c r="T49" s="2410">
        <f t="shared" si="41"/>
        <v>0.35331879211181799</v>
      </c>
      <c r="U49" s="2410"/>
      <c r="V49" s="2410">
        <f t="shared" si="42"/>
        <v>228.93050919999999</v>
      </c>
      <c r="W49" s="2410">
        <f t="shared" si="43"/>
        <v>8.1942403101825008</v>
      </c>
      <c r="X49" s="2411">
        <v>788.90837699999997</v>
      </c>
      <c r="Y49" s="2411">
        <v>105.97650150000001</v>
      </c>
      <c r="Z49" s="2411">
        <f t="shared" si="44"/>
        <v>1.3433309188957949</v>
      </c>
      <c r="AA49" s="2411">
        <v>299.70976179999997</v>
      </c>
      <c r="AB49" s="2411">
        <f t="shared" si="45"/>
        <v>3.7990439769408098</v>
      </c>
      <c r="AC49" s="2411">
        <v>7.5569190000000006</v>
      </c>
      <c r="AD49" s="2412">
        <f t="shared" si="46"/>
        <v>9.5789564673363845E-2</v>
      </c>
      <c r="AE49" s="2411"/>
      <c r="AF49" s="2411">
        <f t="shared" si="47"/>
        <v>413.24318229999994</v>
      </c>
      <c r="AG49" s="2411">
        <f t="shared" si="48"/>
        <v>5.2381644605099691</v>
      </c>
      <c r="AH49" s="2412">
        <f>IFERROR(VLOOKUP($A49,F13_21_22!$B$14:$O$217,9,0),0)</f>
        <v>353.98535880000003</v>
      </c>
      <c r="AI49" s="2412">
        <f>IFERROR(VLOOKUP($A49,F13_21_22!$B$14:$O$217,10,0),0)</f>
        <v>106.04040314375</v>
      </c>
      <c r="AJ49" s="2412">
        <f t="shared" si="49"/>
        <v>2.9956155108568288</v>
      </c>
      <c r="AK49" s="2412">
        <f>IFERROR(VLOOKUP($A49,F13_21_22!$B$14:$O$217,11,0),0)</f>
        <v>278.92082739496362</v>
      </c>
      <c r="AL49" s="2401">
        <f t="shared" si="50"/>
        <v>7.8794453064527028</v>
      </c>
      <c r="AM49" s="2412">
        <f>IFERROR(VLOOKUP($A49,F13_21_22!$B$14:$O$217,12,0),0)</f>
        <v>26.043212400000002</v>
      </c>
      <c r="AN49" s="2412">
        <f t="shared" si="51"/>
        <v>0.73571439475027223</v>
      </c>
      <c r="AO49" s="2411"/>
      <c r="AP49" s="2411">
        <f t="shared" si="52"/>
        <v>411.00444293871362</v>
      </c>
      <c r="AQ49" s="2411">
        <f t="shared" si="53"/>
        <v>11.610775212059805</v>
      </c>
      <c r="AR49" s="2406">
        <f>IFERROR(VLOOKUP($A49,F13_22_23!$B$14:$O$215,9,0),0)</f>
        <v>443.41176788999996</v>
      </c>
      <c r="AS49" s="2406">
        <f>IFERROR(VLOOKUP($A49,F13_22_23!$B$14:$O$215,10,0),0)</f>
        <v>116.83909290375003</v>
      </c>
      <c r="AT49" s="2406">
        <f t="shared" si="54"/>
        <v>2.6350020762808231</v>
      </c>
      <c r="AU49" s="2406">
        <f>IFERROR(VLOOKUP($A49,F13_22_23!$B$14:$O$215,11,0),0)</f>
        <v>175.25962546739112</v>
      </c>
      <c r="AV49" s="2406">
        <f t="shared" si="55"/>
        <v>3.9525253536092193</v>
      </c>
      <c r="AW49" s="2406">
        <f>IFERROR(VLOOKUP($A49,F13_22_23!$B$14:$O$215,12,0),0)</f>
        <v>0</v>
      </c>
      <c r="AX49" s="2406"/>
      <c r="AY49" s="2406">
        <f t="shared" si="56"/>
        <v>292.09871837114116</v>
      </c>
      <c r="AZ49" s="2406">
        <f t="shared" si="57"/>
        <v>6.5875274298900424</v>
      </c>
    </row>
    <row r="50" spans="1:52" s="2350" customFormat="1">
      <c r="A50" s="2404" t="s">
        <v>1680</v>
      </c>
      <c r="B50" s="2405" t="s">
        <v>1649</v>
      </c>
      <c r="C50" s="2405">
        <v>1</v>
      </c>
      <c r="D50" s="2809"/>
      <c r="E50" s="2809"/>
      <c r="F50" s="2809"/>
      <c r="G50" s="2809"/>
      <c r="H50" s="2809"/>
      <c r="I50" s="2809"/>
      <c r="J50" s="2809"/>
      <c r="K50" s="2809"/>
      <c r="L50" s="2809"/>
      <c r="M50" s="2809"/>
      <c r="N50" s="2409">
        <v>2.2123889999999999</v>
      </c>
      <c r="O50" s="2410">
        <v>0.2397242</v>
      </c>
      <c r="P50" s="2409">
        <f t="shared" si="39"/>
        <v>1.0835535703712142</v>
      </c>
      <c r="Q50" s="2410">
        <v>0.53888460000000005</v>
      </c>
      <c r="R50" s="2410">
        <f t="shared" si="40"/>
        <v>2.4357588109505155</v>
      </c>
      <c r="S50" s="2410">
        <v>3.6390000000000006E-4</v>
      </c>
      <c r="T50" s="2410">
        <f t="shared" si="41"/>
        <v>1.6448282829104651E-3</v>
      </c>
      <c r="U50" s="2410"/>
      <c r="V50" s="2410">
        <f t="shared" si="42"/>
        <v>0.77897269999999996</v>
      </c>
      <c r="W50" s="2410">
        <f t="shared" si="43"/>
        <v>3.52095720960464</v>
      </c>
      <c r="X50" s="2411">
        <v>1.7922760000000002</v>
      </c>
      <c r="Y50" s="2411">
        <v>0.17131980000000002</v>
      </c>
      <c r="Z50" s="2411">
        <f t="shared" si="44"/>
        <v>0.95587844729271609</v>
      </c>
      <c r="AA50" s="2411">
        <v>0.36132060000000005</v>
      </c>
      <c r="AB50" s="2411">
        <f t="shared" si="45"/>
        <v>2.0159874929977302</v>
      </c>
      <c r="AC50" s="2411">
        <v>-4.9999999999999998E-7</v>
      </c>
      <c r="AD50" s="2412">
        <f t="shared" si="46"/>
        <v>-2.7897489002809834E-6</v>
      </c>
      <c r="AE50" s="2411"/>
      <c r="AF50" s="2411">
        <f t="shared" si="47"/>
        <v>0.53263990000000005</v>
      </c>
      <c r="AG50" s="2411">
        <f t="shared" si="48"/>
        <v>2.9718631505415463</v>
      </c>
      <c r="AH50" s="2412">
        <f>IFERROR(VLOOKUP($A50,F13_21_22!$B$14:$O$217,9,0),0)</f>
        <v>4.1548800000000004E-2</v>
      </c>
      <c r="AI50" s="2412">
        <f>IFERROR(VLOOKUP($A50,F13_21_22!$B$14:$O$217,10,0),0)</f>
        <v>5.2752047500000003E-2</v>
      </c>
      <c r="AJ50" s="2412">
        <f t="shared" si="49"/>
        <v>12.696406996110596</v>
      </c>
      <c r="AK50" s="2412">
        <f>IFERROR(VLOOKUP($A50,F13_21_22!$B$14:$O$217,11,0),0)</f>
        <v>1.0789762189824338E-2</v>
      </c>
      <c r="AL50" s="2401">
        <f t="shared" si="50"/>
        <v>2.5968890051756821</v>
      </c>
      <c r="AM50" s="2412">
        <f>IFERROR(VLOOKUP($A50,F13_21_22!$B$14:$O$217,12,0),0)</f>
        <v>3.7439999999999999E-4</v>
      </c>
      <c r="AN50" s="2412">
        <f t="shared" si="51"/>
        <v>9.0110905730129393E-2</v>
      </c>
      <c r="AO50" s="2411"/>
      <c r="AP50" s="2411">
        <f t="shared" si="52"/>
        <v>6.3916209689824338E-2</v>
      </c>
      <c r="AQ50" s="2411">
        <f t="shared" si="53"/>
        <v>15.383406907016408</v>
      </c>
      <c r="AR50" s="2406">
        <f>IFERROR(VLOOKUP($A50,F13_22_23!$B$14:$O$215,9,0),0)</f>
        <v>0.14074020000000001</v>
      </c>
      <c r="AS50" s="2406">
        <f>IFERROR(VLOOKUP($A50,F13_22_23!$B$14:$O$215,10,0),0)</f>
        <v>0.18888007950000002</v>
      </c>
      <c r="AT50" s="2406">
        <f t="shared" si="54"/>
        <v>13.420478264205965</v>
      </c>
      <c r="AU50" s="2406">
        <f>IFERROR(VLOOKUP($A50,F13_22_23!$B$14:$O$215,11,0),0)</f>
        <v>2.9519319447366393E-2</v>
      </c>
      <c r="AV50" s="2406">
        <f t="shared" si="55"/>
        <v>2.0974333877148386</v>
      </c>
      <c r="AW50" s="2406">
        <f>IFERROR(VLOOKUP($A50,F13_22_23!$B$14:$O$215,12,0),0)</f>
        <v>0</v>
      </c>
      <c r="AX50" s="2406"/>
      <c r="AY50" s="2406">
        <f t="shared" si="56"/>
        <v>0.2183993989473664</v>
      </c>
      <c r="AZ50" s="2406">
        <f t="shared" si="57"/>
        <v>15.517911651920802</v>
      </c>
    </row>
    <row r="51" spans="1:52" s="2350" customFormat="1">
      <c r="A51" s="2404" t="s">
        <v>1681</v>
      </c>
      <c r="B51" s="2405" t="s">
        <v>1649</v>
      </c>
      <c r="C51" s="2405">
        <v>1</v>
      </c>
      <c r="D51" s="2809"/>
      <c r="E51" s="2809"/>
      <c r="F51" s="2809"/>
      <c r="G51" s="2809"/>
      <c r="H51" s="2809"/>
      <c r="I51" s="2809"/>
      <c r="J51" s="2809"/>
      <c r="K51" s="2809"/>
      <c r="L51" s="2809"/>
      <c r="M51" s="2809"/>
      <c r="N51" s="2409">
        <v>2.8208769999999999</v>
      </c>
      <c r="O51" s="2410">
        <v>0.22403589999999612</v>
      </c>
      <c r="P51" s="2409">
        <f t="shared" si="39"/>
        <v>0.7942065534938112</v>
      </c>
      <c r="Q51" s="2410">
        <v>0.68853730000000002</v>
      </c>
      <c r="R51" s="2410">
        <f t="shared" si="40"/>
        <v>2.4408625402667328</v>
      </c>
      <c r="S51" s="2410">
        <v>3.8991200000000004E-2</v>
      </c>
      <c r="T51" s="2410">
        <f t="shared" si="41"/>
        <v>0.13822368008247082</v>
      </c>
      <c r="U51" s="2410"/>
      <c r="V51" s="2410">
        <f t="shared" si="42"/>
        <v>0.9515643999999962</v>
      </c>
      <c r="W51" s="2410">
        <f t="shared" si="43"/>
        <v>3.3732927738430152</v>
      </c>
      <c r="X51" s="2411">
        <v>1.9958400000000001</v>
      </c>
      <c r="Y51" s="2411">
        <v>0.15019059999999995</v>
      </c>
      <c r="Z51" s="2411">
        <f t="shared" si="44"/>
        <v>0.75251823793490435</v>
      </c>
      <c r="AA51" s="2411">
        <v>0.40452889999999991</v>
      </c>
      <c r="AB51" s="2411">
        <f t="shared" si="45"/>
        <v>2.0268603695687024</v>
      </c>
      <c r="AC51" s="2411">
        <v>-1.2299999999999999E-5</v>
      </c>
      <c r="AD51" s="2412">
        <f t="shared" si="46"/>
        <v>-6.1628186628186619E-5</v>
      </c>
      <c r="AE51" s="2411"/>
      <c r="AF51" s="2411">
        <f t="shared" si="47"/>
        <v>0.55470719999999984</v>
      </c>
      <c r="AG51" s="2411">
        <f t="shared" si="48"/>
        <v>2.7793169793169787</v>
      </c>
      <c r="AH51" s="2412">
        <f>IFERROR(VLOOKUP($A51,F13_21_22!$B$14:$O$217,9,0),0)</f>
        <v>4.0038800000000006E-2</v>
      </c>
      <c r="AI51" s="2412">
        <f>IFERROR(VLOOKUP($A51,F13_21_22!$B$14:$O$217,10,0),0)</f>
        <v>4.4909332499999989E-2</v>
      </c>
      <c r="AJ51" s="2412">
        <f t="shared" si="49"/>
        <v>11.216453165429529</v>
      </c>
      <c r="AK51" s="2412">
        <f>IFERROR(VLOOKUP($A51,F13_21_22!$B$14:$O$217,11,0),0)</f>
        <v>9.9758956302922076E-3</v>
      </c>
      <c r="AL51" s="2401">
        <f t="shared" si="50"/>
        <v>2.4915570971887786</v>
      </c>
      <c r="AM51" s="2412">
        <f>IFERROR(VLOOKUP($A51,F13_21_22!$B$14:$O$217,12,0),0)</f>
        <v>-2.7100000000000001E-5</v>
      </c>
      <c r="AN51" s="2412">
        <f t="shared" si="51"/>
        <v>-6.7684346184201322E-3</v>
      </c>
      <c r="AO51" s="2411"/>
      <c r="AP51" s="2411">
        <f t="shared" si="52"/>
        <v>5.4858128130292193E-2</v>
      </c>
      <c r="AQ51" s="2411">
        <f t="shared" si="53"/>
        <v>13.701241827999887</v>
      </c>
      <c r="AR51" s="2406">
        <f>IFERROR(VLOOKUP($A51,F13_22_23!$B$14:$O$215,9,0),0)</f>
        <v>0.14285270000000003</v>
      </c>
      <c r="AS51" s="2406">
        <f>IFERROR(VLOOKUP($A51,F13_22_23!$B$14:$O$215,10,0),0)</f>
        <v>0.16558513649999998</v>
      </c>
      <c r="AT51" s="2406">
        <f t="shared" si="54"/>
        <v>11.591320045053397</v>
      </c>
      <c r="AU51" s="2406">
        <f>IFERROR(VLOOKUP($A51,F13_22_23!$B$14:$O$215,11,0),0)</f>
        <v>3.0123999235904891E-2</v>
      </c>
      <c r="AV51" s="2406">
        <f t="shared" si="55"/>
        <v>2.1087455284992784</v>
      </c>
      <c r="AW51" s="2406">
        <f>IFERROR(VLOOKUP($A51,F13_22_23!$B$14:$O$215,12,0),0)</f>
        <v>0</v>
      </c>
      <c r="AX51" s="2406"/>
      <c r="AY51" s="2406">
        <f t="shared" si="56"/>
        <v>0.19570913573590487</v>
      </c>
      <c r="AZ51" s="2406">
        <f t="shared" si="57"/>
        <v>13.700065573552676</v>
      </c>
    </row>
    <row r="52" spans="1:52" s="2350" customFormat="1">
      <c r="A52" s="2404" t="s">
        <v>1682</v>
      </c>
      <c r="B52" s="2405" t="s">
        <v>1649</v>
      </c>
      <c r="C52" s="2405">
        <v>2</v>
      </c>
      <c r="D52" s="2809"/>
      <c r="E52" s="2809"/>
      <c r="F52" s="2809"/>
      <c r="G52" s="2809"/>
      <c r="H52" s="2809"/>
      <c r="I52" s="2809"/>
      <c r="J52" s="2809"/>
      <c r="K52" s="2809"/>
      <c r="L52" s="2809"/>
      <c r="M52" s="2809"/>
      <c r="N52" s="2409">
        <v>2091.0097000000001</v>
      </c>
      <c r="O52" s="2410">
        <v>369.9726</v>
      </c>
      <c r="P52" s="2409">
        <f t="shared" si="39"/>
        <v>1.7693490374530543</v>
      </c>
      <c r="Q52" s="2410">
        <v>583.72544099999982</v>
      </c>
      <c r="R52" s="2410">
        <f t="shared" si="40"/>
        <v>2.7915960456807056</v>
      </c>
      <c r="S52" s="2410">
        <v>14.377340199999997</v>
      </c>
      <c r="T52" s="2410">
        <f t="shared" si="41"/>
        <v>6.8757883810868961E-2</v>
      </c>
      <c r="U52" s="2410"/>
      <c r="V52" s="2410">
        <f t="shared" si="42"/>
        <v>968.07538119999992</v>
      </c>
      <c r="W52" s="2410">
        <f t="shared" si="43"/>
        <v>4.6297029669446292</v>
      </c>
      <c r="X52" s="2411">
        <v>1400.130502</v>
      </c>
      <c r="Y52" s="2411">
        <v>335.9635576</v>
      </c>
      <c r="Z52" s="2411">
        <f t="shared" si="44"/>
        <v>2.3995160245426894</v>
      </c>
      <c r="AA52" s="2411">
        <v>486.12677739999998</v>
      </c>
      <c r="AB52" s="2411">
        <f t="shared" si="45"/>
        <v>3.4720104783489676</v>
      </c>
      <c r="AC52" s="2411">
        <v>18.6726524</v>
      </c>
      <c r="AD52" s="2412">
        <f t="shared" si="46"/>
        <v>0.13336365698288316</v>
      </c>
      <c r="AE52" s="2411"/>
      <c r="AF52" s="2411">
        <f t="shared" si="47"/>
        <v>840.76298739999993</v>
      </c>
      <c r="AG52" s="2411">
        <f t="shared" si="48"/>
        <v>6.0048901598745399</v>
      </c>
      <c r="AH52" s="2412">
        <f>IFERROR(VLOOKUP($A52,F13_21_22!$B$14:$O$217,9,0),0)</f>
        <v>932.98086960000023</v>
      </c>
      <c r="AI52" s="2412">
        <f>IFERROR(VLOOKUP($A52,F13_21_22!$B$14:$O$217,10,0),0)</f>
        <v>332.52756667000006</v>
      </c>
      <c r="AJ52" s="2412">
        <f t="shared" si="49"/>
        <v>3.5641413184877586</v>
      </c>
      <c r="AK52" s="2412">
        <f>IFERROR(VLOOKUP($A52,F13_21_22!$B$14:$O$217,11,0),0)</f>
        <v>328.0587526036287</v>
      </c>
      <c r="AL52" s="2401">
        <f t="shared" si="50"/>
        <v>3.5162430794993509</v>
      </c>
      <c r="AM52" s="2412">
        <f>IFERROR(VLOOKUP($A52,F13_21_22!$B$14:$O$217,12,0),0)</f>
        <v>11.696509900000001</v>
      </c>
      <c r="AN52" s="2412">
        <f t="shared" si="51"/>
        <v>0.12536709252157208</v>
      </c>
      <c r="AO52" s="2411"/>
      <c r="AP52" s="2411">
        <f t="shared" si="52"/>
        <v>672.28282917362878</v>
      </c>
      <c r="AQ52" s="2411">
        <f t="shared" si="53"/>
        <v>7.2057514905086819</v>
      </c>
      <c r="AR52" s="2406">
        <f>IFERROR(VLOOKUP($A52,F13_22_23!$B$14:$O$215,9,0),0)</f>
        <v>921.97859845161292</v>
      </c>
      <c r="AS52" s="2406">
        <f>IFERROR(VLOOKUP($A52,F13_22_23!$B$14:$O$215,10,0),0)</f>
        <v>370.39982225400007</v>
      </c>
      <c r="AT52" s="2406">
        <f t="shared" si="54"/>
        <v>4.0174449046437308</v>
      </c>
      <c r="AU52" s="2406">
        <f>IFERROR(VLOOKUP($A52,F13_22_23!$B$14:$O$215,11,0),0)</f>
        <v>333.04445765648506</v>
      </c>
      <c r="AV52" s="2406">
        <f t="shared" si="55"/>
        <v>3.6122797016742663</v>
      </c>
      <c r="AW52" s="2406">
        <f>IFERROR(VLOOKUP($A52,F13_22_23!$B$14:$O$215,12,0),0)</f>
        <v>0</v>
      </c>
      <c r="AX52" s="2406"/>
      <c r="AY52" s="2406">
        <f t="shared" si="56"/>
        <v>703.44427991048519</v>
      </c>
      <c r="AZ52" s="2406">
        <f t="shared" si="57"/>
        <v>7.629724606317998</v>
      </c>
    </row>
    <row r="53" spans="1:52" s="2350" customFormat="1">
      <c r="A53" s="2404" t="s">
        <v>1683</v>
      </c>
      <c r="B53" s="2405" t="s">
        <v>1649</v>
      </c>
      <c r="C53" s="2405">
        <v>2</v>
      </c>
      <c r="D53" s="2809"/>
      <c r="E53" s="2809"/>
      <c r="F53" s="2809"/>
      <c r="G53" s="2809"/>
      <c r="H53" s="2809"/>
      <c r="I53" s="2809"/>
      <c r="J53" s="2809"/>
      <c r="K53" s="2809"/>
      <c r="L53" s="2809"/>
      <c r="M53" s="2809"/>
      <c r="N53" s="2409">
        <v>1134.4090201000001</v>
      </c>
      <c r="O53" s="2410">
        <v>187.75968560000001</v>
      </c>
      <c r="P53" s="2409">
        <f t="shared" si="39"/>
        <v>1.6551321637362215</v>
      </c>
      <c r="Q53" s="2410">
        <v>334.17113969999997</v>
      </c>
      <c r="R53" s="2410">
        <f t="shared" si="40"/>
        <v>2.9457729423778929</v>
      </c>
      <c r="S53" s="2410">
        <v>15.3267349</v>
      </c>
      <c r="T53" s="2410">
        <f t="shared" si="41"/>
        <v>0.13510766071525879</v>
      </c>
      <c r="U53" s="2410"/>
      <c r="V53" s="2410">
        <f t="shared" si="42"/>
        <v>537.25756019999994</v>
      </c>
      <c r="W53" s="2410">
        <f t="shared" si="43"/>
        <v>4.736012766829373</v>
      </c>
      <c r="X53" s="2411">
        <v>853.55389500000001</v>
      </c>
      <c r="Y53" s="2411">
        <v>169.66228940000002</v>
      </c>
      <c r="Z53" s="2411">
        <f t="shared" si="44"/>
        <v>1.9877161875056526</v>
      </c>
      <c r="AA53" s="2411">
        <v>270.02327449999996</v>
      </c>
      <c r="AB53" s="2411">
        <f t="shared" si="45"/>
        <v>3.163517571435837</v>
      </c>
      <c r="AC53" s="2411">
        <v>19.6092844</v>
      </c>
      <c r="AD53" s="2412">
        <f t="shared" si="46"/>
        <v>0.2297369212989181</v>
      </c>
      <c r="AE53" s="2411"/>
      <c r="AF53" s="2411">
        <f t="shared" si="47"/>
        <v>459.29484829999996</v>
      </c>
      <c r="AG53" s="2411">
        <f t="shared" si="48"/>
        <v>5.3809706802404076</v>
      </c>
      <c r="AH53" s="2412">
        <f>IFERROR(VLOOKUP($A53,F13_21_22!$B$14:$O$217,9,0),0)</f>
        <v>816.0421308</v>
      </c>
      <c r="AI53" s="2412">
        <f>IFERROR(VLOOKUP($A53,F13_21_22!$B$14:$O$217,10,0),0)</f>
        <v>160.4855665675</v>
      </c>
      <c r="AJ53" s="2412">
        <f t="shared" si="49"/>
        <v>1.9666333453907501</v>
      </c>
      <c r="AK53" s="2412">
        <f>IFERROR(VLOOKUP($A53,F13_21_22!$B$14:$O$217,11,0),0)</f>
        <v>264.46120368679885</v>
      </c>
      <c r="AL53" s="2401">
        <f t="shared" si="50"/>
        <v>3.2407787993438104</v>
      </c>
      <c r="AM53" s="2412">
        <f>IFERROR(VLOOKUP($A53,F13_21_22!$B$14:$O$217,12,0),0)</f>
        <v>10.828232</v>
      </c>
      <c r="AN53" s="2412">
        <f t="shared" si="51"/>
        <v>0.1326920705599432</v>
      </c>
      <c r="AO53" s="2411"/>
      <c r="AP53" s="2411">
        <f t="shared" si="52"/>
        <v>435.77500225429884</v>
      </c>
      <c r="AQ53" s="2411">
        <f t="shared" si="53"/>
        <v>5.3401042152945033</v>
      </c>
      <c r="AR53" s="2406">
        <f>IFERROR(VLOOKUP($A53,F13_22_23!$B$14:$O$215,9,0),0)</f>
        <v>530.68920810774205</v>
      </c>
      <c r="AS53" s="2406">
        <f>IFERROR(VLOOKUP($A53,F13_22_23!$B$14:$O$215,10,0),0)</f>
        <v>187.05267406350004</v>
      </c>
      <c r="AT53" s="2406">
        <f t="shared" si="54"/>
        <v>3.5247122271520559</v>
      </c>
      <c r="AU53" s="2406">
        <f>IFERROR(VLOOKUP($A53,F13_22_23!$B$14:$O$215,11,0),0)</f>
        <v>174.66699580669487</v>
      </c>
      <c r="AV53" s="2406">
        <f t="shared" si="55"/>
        <v>3.2913236813218463</v>
      </c>
      <c r="AW53" s="2406">
        <f>IFERROR(VLOOKUP($A53,F13_22_23!$B$14:$O$215,12,0),0)</f>
        <v>0</v>
      </c>
      <c r="AX53" s="2406"/>
      <c r="AY53" s="2406">
        <f t="shared" si="56"/>
        <v>361.71966987019493</v>
      </c>
      <c r="AZ53" s="2406">
        <f t="shared" si="57"/>
        <v>6.8160359084739017</v>
      </c>
    </row>
    <row r="54" spans="1:52" s="2350" customFormat="1">
      <c r="A54" s="2404" t="s">
        <v>1684</v>
      </c>
      <c r="B54" s="2405" t="s">
        <v>1649</v>
      </c>
      <c r="C54" s="2405">
        <v>2</v>
      </c>
      <c r="D54" s="2809"/>
      <c r="E54" s="2809"/>
      <c r="F54" s="2809"/>
      <c r="G54" s="2809"/>
      <c r="H54" s="2809"/>
      <c r="I54" s="2809"/>
      <c r="J54" s="2809"/>
      <c r="K54" s="2809"/>
      <c r="L54" s="2809"/>
      <c r="M54" s="2809"/>
      <c r="N54" s="2409">
        <v>582.20904920000009</v>
      </c>
      <c r="O54" s="2410">
        <v>94.346293599999996</v>
      </c>
      <c r="P54" s="2409">
        <f t="shared" si="39"/>
        <v>1.620488271861096</v>
      </c>
      <c r="Q54" s="2410">
        <v>171.67161530000001</v>
      </c>
      <c r="R54" s="2410">
        <f t="shared" si="40"/>
        <v>2.9486249919318497</v>
      </c>
      <c r="S54" s="2410">
        <v>9.9353494999999974</v>
      </c>
      <c r="T54" s="2410">
        <f t="shared" si="41"/>
        <v>0.17064917684896738</v>
      </c>
      <c r="U54" s="2410"/>
      <c r="V54" s="2410">
        <f t="shared" si="42"/>
        <v>275.95325839999998</v>
      </c>
      <c r="W54" s="2410">
        <f t="shared" si="43"/>
        <v>4.739762440641913</v>
      </c>
      <c r="X54" s="2411">
        <v>416.03122399999995</v>
      </c>
      <c r="Y54" s="2411">
        <v>85.428389199999998</v>
      </c>
      <c r="Z54" s="2411">
        <f t="shared" si="44"/>
        <v>2.0534129236415199</v>
      </c>
      <c r="AA54" s="2411">
        <v>134.13861249999999</v>
      </c>
      <c r="AB54" s="2411">
        <f t="shared" si="45"/>
        <v>3.2242438730992946</v>
      </c>
      <c r="AC54" s="2411">
        <v>12.260284299999999</v>
      </c>
      <c r="AD54" s="2412">
        <f t="shared" si="46"/>
        <v>0.29469625337544375</v>
      </c>
      <c r="AE54" s="2411"/>
      <c r="AF54" s="2411">
        <f t="shared" si="47"/>
        <v>231.82728599999999</v>
      </c>
      <c r="AG54" s="2411">
        <f t="shared" si="48"/>
        <v>5.5723530501162575</v>
      </c>
      <c r="AH54" s="2412">
        <f>IFERROR(VLOOKUP($A54,F13_21_22!$B$14:$O$217,9,0),0)</f>
        <v>522.21555080000007</v>
      </c>
      <c r="AI54" s="2412">
        <f>IFERROR(VLOOKUP($A54,F13_21_22!$B$14:$O$217,10,0),0)</f>
        <v>85.553052565000002</v>
      </c>
      <c r="AJ54" s="2412">
        <f t="shared" si="49"/>
        <v>1.6382708717489993</v>
      </c>
      <c r="AK54" s="2412">
        <f>IFERROR(VLOOKUP($A54,F13_21_22!$B$14:$O$217,11,0),0)</f>
        <v>171.88989481625984</v>
      </c>
      <c r="AL54" s="2401">
        <f t="shared" si="50"/>
        <v>3.2915506739111033</v>
      </c>
      <c r="AM54" s="2412">
        <f>IFERROR(VLOOKUP($A54,F13_21_22!$B$14:$O$217,12,0),0)</f>
        <v>37.052028499999999</v>
      </c>
      <c r="AN54" s="2412">
        <f t="shared" si="51"/>
        <v>0.70951599283550093</v>
      </c>
      <c r="AO54" s="2411"/>
      <c r="AP54" s="2411">
        <f t="shared" si="52"/>
        <v>294.49497588125985</v>
      </c>
      <c r="AQ54" s="2411">
        <f t="shared" si="53"/>
        <v>5.639337538495603</v>
      </c>
      <c r="AR54" s="2406">
        <f>IFERROR(VLOOKUP($A54,F13_22_23!$B$14:$O$215,9,0),0)</f>
        <v>362.89505736000001</v>
      </c>
      <c r="AS54" s="2406">
        <f>IFERROR(VLOOKUP($A54,F13_22_23!$B$14:$O$215,10,0),0)</f>
        <v>94.184799093000009</v>
      </c>
      <c r="AT54" s="2406">
        <f t="shared" si="54"/>
        <v>2.595372882126818</v>
      </c>
      <c r="AU54" s="2406">
        <f>IFERROR(VLOOKUP($A54,F13_22_23!$B$14:$O$215,11,0),0)</f>
        <v>121.73326767479455</v>
      </c>
      <c r="AV54" s="2406">
        <f t="shared" si="55"/>
        <v>3.3545033255725065</v>
      </c>
      <c r="AW54" s="2406">
        <f>IFERROR(VLOOKUP($A54,F13_22_23!$B$14:$O$215,12,0),0)</f>
        <v>0</v>
      </c>
      <c r="AX54" s="2406"/>
      <c r="AY54" s="2406">
        <f t="shared" si="56"/>
        <v>215.91806676779456</v>
      </c>
      <c r="AZ54" s="2406">
        <f t="shared" si="57"/>
        <v>5.9498762076993241</v>
      </c>
    </row>
    <row r="55" spans="1:52" s="2350" customFormat="1">
      <c r="A55" s="2404" t="s">
        <v>1685</v>
      </c>
      <c r="B55" s="2405" t="s">
        <v>1649</v>
      </c>
      <c r="C55" s="2405">
        <v>2</v>
      </c>
      <c r="D55" s="2809"/>
      <c r="E55" s="2809"/>
      <c r="F55" s="2809"/>
      <c r="G55" s="2809"/>
      <c r="H55" s="2809"/>
      <c r="I55" s="2809"/>
      <c r="J55" s="2809"/>
      <c r="K55" s="2809"/>
      <c r="L55" s="2809"/>
      <c r="M55" s="2809"/>
      <c r="N55" s="2409">
        <v>289.09506159999995</v>
      </c>
      <c r="O55" s="2410">
        <v>62.135934399999982</v>
      </c>
      <c r="P55" s="2409">
        <f t="shared" si="39"/>
        <v>2.1493253484202719</v>
      </c>
      <c r="Q55" s="2410">
        <v>85.758549400000007</v>
      </c>
      <c r="R55" s="2410">
        <f t="shared" si="40"/>
        <v>2.9664480923806975</v>
      </c>
      <c r="S55" s="2410">
        <v>2.6567078000000004</v>
      </c>
      <c r="T55" s="2410">
        <f t="shared" si="41"/>
        <v>9.1897377468034919E-2</v>
      </c>
      <c r="U55" s="2410"/>
      <c r="V55" s="2410">
        <f t="shared" si="42"/>
        <v>150.55119159999998</v>
      </c>
      <c r="W55" s="2410">
        <f t="shared" si="43"/>
        <v>5.207670818269003</v>
      </c>
      <c r="X55" s="2411">
        <v>252.00286500000001</v>
      </c>
      <c r="Y55" s="2411">
        <v>56.258608399999993</v>
      </c>
      <c r="Z55" s="2411">
        <f t="shared" si="44"/>
        <v>2.232459079383879</v>
      </c>
      <c r="AA55" s="2411">
        <v>83.178094400000006</v>
      </c>
      <c r="AB55" s="2411">
        <f t="shared" si="45"/>
        <v>3.3006805061521822</v>
      </c>
      <c r="AC55" s="2411">
        <v>9.7681916999999991</v>
      </c>
      <c r="AD55" s="2412">
        <f t="shared" si="46"/>
        <v>0.38762224786611055</v>
      </c>
      <c r="AE55" s="2411"/>
      <c r="AF55" s="2411">
        <f t="shared" si="47"/>
        <v>149.20489449999999</v>
      </c>
      <c r="AG55" s="2411">
        <f t="shared" si="48"/>
        <v>5.9207618334021719</v>
      </c>
      <c r="AH55" s="2412">
        <f>IFERROR(VLOOKUP($A55,F13_21_22!$B$14:$O$217,9,0),0)</f>
        <v>283.963796</v>
      </c>
      <c r="AI55" s="2412">
        <f>IFERROR(VLOOKUP($A55,F13_21_22!$B$14:$O$217,10,0),0)</f>
        <v>57.066159804999998</v>
      </c>
      <c r="AJ55" s="2412">
        <f t="shared" si="49"/>
        <v>2.0096280092339658</v>
      </c>
      <c r="AK55" s="2412">
        <f>IFERROR(VLOOKUP($A55,F13_21_22!$B$14:$O$217,11,0),0)</f>
        <v>93.550525828760385</v>
      </c>
      <c r="AL55" s="2401">
        <f t="shared" si="50"/>
        <v>3.294452572706148</v>
      </c>
      <c r="AM55" s="2412">
        <f>IFERROR(VLOOKUP($A55,F13_21_22!$B$14:$O$217,12,0),0)</f>
        <v>5.3256883999999998</v>
      </c>
      <c r="AN55" s="2412">
        <f t="shared" si="51"/>
        <v>0.18754814786318744</v>
      </c>
      <c r="AO55" s="2411"/>
      <c r="AP55" s="2411">
        <f t="shared" si="52"/>
        <v>155.94237403376036</v>
      </c>
      <c r="AQ55" s="2411">
        <f t="shared" si="53"/>
        <v>5.4916287298033009</v>
      </c>
      <c r="AR55" s="2406">
        <f>IFERROR(VLOOKUP($A55,F13_22_23!$B$14:$O$215,9,0),0)</f>
        <v>178.93839600000001</v>
      </c>
      <c r="AS55" s="2406">
        <f>IFERROR(VLOOKUP($A55,F13_22_23!$B$14:$O$215,10,0),0)</f>
        <v>62.025115760999995</v>
      </c>
      <c r="AT55" s="2406">
        <f t="shared" si="54"/>
        <v>3.4662832096136591</v>
      </c>
      <c r="AU55" s="2406">
        <f>IFERROR(VLOOKUP($A55,F13_22_23!$B$14:$O$215,11,0),0)</f>
        <v>61.447946188870503</v>
      </c>
      <c r="AV55" s="2406">
        <f t="shared" si="55"/>
        <v>3.4340279986007305</v>
      </c>
      <c r="AW55" s="2406">
        <f>IFERROR(VLOOKUP($A55,F13_22_23!$B$14:$O$215,12,0),0)</f>
        <v>0</v>
      </c>
      <c r="AX55" s="2406"/>
      <c r="AY55" s="2406">
        <f t="shared" si="56"/>
        <v>123.4730619498705</v>
      </c>
      <c r="AZ55" s="2406">
        <f t="shared" si="57"/>
        <v>6.9003112082143891</v>
      </c>
    </row>
    <row r="56" spans="1:52" s="2350" customFormat="1">
      <c r="A56" s="2404" t="s">
        <v>1686</v>
      </c>
      <c r="B56" s="2405" t="s">
        <v>1649</v>
      </c>
      <c r="C56" s="2405">
        <v>2</v>
      </c>
      <c r="D56" s="2809"/>
      <c r="E56" s="2809"/>
      <c r="F56" s="2809"/>
      <c r="G56" s="2809"/>
      <c r="H56" s="2809"/>
      <c r="I56" s="2809"/>
      <c r="J56" s="2809"/>
      <c r="K56" s="2809"/>
      <c r="L56" s="2809"/>
      <c r="M56" s="2809"/>
      <c r="N56" s="2409">
        <v>249.26486299999999</v>
      </c>
      <c r="O56" s="2410">
        <v>67.542056500000001</v>
      </c>
      <c r="P56" s="2409">
        <f t="shared" si="39"/>
        <v>2.7096501162299802</v>
      </c>
      <c r="Q56" s="2410">
        <v>69.722679100000008</v>
      </c>
      <c r="R56" s="2410">
        <f t="shared" si="40"/>
        <v>2.7971322656896098</v>
      </c>
      <c r="S56" s="2410">
        <v>0.13535809999999998</v>
      </c>
      <c r="T56" s="2410">
        <f t="shared" si="41"/>
        <v>5.4302920343811149E-3</v>
      </c>
      <c r="U56" s="2410"/>
      <c r="V56" s="2410">
        <f t="shared" si="42"/>
        <v>137.40009369999999</v>
      </c>
      <c r="W56" s="2410">
        <f t="shared" si="43"/>
        <v>5.5122126739539699</v>
      </c>
      <c r="X56" s="2411">
        <v>932.97655400000008</v>
      </c>
      <c r="Y56" s="2411">
        <v>230.59268410000004</v>
      </c>
      <c r="Z56" s="2411">
        <f t="shared" si="44"/>
        <v>2.4715806963354838</v>
      </c>
      <c r="AA56" s="2411">
        <v>297.51460750000001</v>
      </c>
      <c r="AB56" s="2411">
        <f t="shared" si="45"/>
        <v>3.1888754998659912</v>
      </c>
      <c r="AC56" s="2411">
        <v>20.142690199999997</v>
      </c>
      <c r="AD56" s="2412">
        <f t="shared" si="46"/>
        <v>0.21589706744120385</v>
      </c>
      <c r="AE56" s="2411"/>
      <c r="AF56" s="2411">
        <f t="shared" si="47"/>
        <v>548.2499818</v>
      </c>
      <c r="AG56" s="2411">
        <f t="shared" si="48"/>
        <v>5.8763532636426783</v>
      </c>
      <c r="AH56" s="2412">
        <f>IFERROR(VLOOKUP($A56,F13_21_22!$B$14:$O$217,9,0),0)</f>
        <v>1010.9828050000001</v>
      </c>
      <c r="AI56" s="2412">
        <f>IFERROR(VLOOKUP($A56,F13_21_22!$B$14:$O$217,10,0),0)</f>
        <v>230.25039607624996</v>
      </c>
      <c r="AJ56" s="2412">
        <f t="shared" si="49"/>
        <v>2.2774907242487661</v>
      </c>
      <c r="AK56" s="2412">
        <f>IFERROR(VLOOKUP($A56,F13_21_22!$B$14:$O$217,11,0),0)</f>
        <v>315.78284314706605</v>
      </c>
      <c r="AL56" s="2401">
        <f t="shared" si="50"/>
        <v>3.1235233832395992</v>
      </c>
      <c r="AM56" s="2412">
        <f>IFERROR(VLOOKUP($A56,F13_21_22!$B$14:$O$217,12,0),0)</f>
        <v>11.0597592</v>
      </c>
      <c r="AN56" s="2412">
        <f t="shared" si="51"/>
        <v>0.10939611579249361</v>
      </c>
      <c r="AO56" s="2411"/>
      <c r="AP56" s="2411">
        <f t="shared" si="52"/>
        <v>557.09299842331609</v>
      </c>
      <c r="AQ56" s="2411">
        <f t="shared" si="53"/>
        <v>5.5104102232808607</v>
      </c>
      <c r="AR56" s="2406">
        <f>IFERROR(VLOOKUP($A56,F13_22_23!$B$14:$O$215,9,0),0)</f>
        <v>613.97676000000001</v>
      </c>
      <c r="AS56" s="2406">
        <f>IFERROR(VLOOKUP($A56,F13_22_23!$B$14:$O$215,10,0),0)</f>
        <v>254.22843422025005</v>
      </c>
      <c r="AT56" s="2406">
        <f t="shared" si="54"/>
        <v>4.1406849702299811</v>
      </c>
      <c r="AU56" s="2406">
        <f>IFERROR(VLOOKUP($A56,F13_22_23!$B$14:$O$215,11,0),0)</f>
        <v>203.69944235281258</v>
      </c>
      <c r="AV56" s="2406">
        <f t="shared" si="55"/>
        <v>3.3177060700605763</v>
      </c>
      <c r="AW56" s="2406">
        <f>IFERROR(VLOOKUP($A56,F13_22_23!$B$14:$O$215,12,0),0)</f>
        <v>0</v>
      </c>
      <c r="AX56" s="2406"/>
      <c r="AY56" s="2406">
        <f t="shared" si="56"/>
        <v>457.92787657306263</v>
      </c>
      <c r="AZ56" s="2406">
        <f t="shared" si="57"/>
        <v>7.4583910402905582</v>
      </c>
    </row>
    <row r="57" spans="1:52" s="2350" customFormat="1">
      <c r="A57" s="2404" t="s">
        <v>1687</v>
      </c>
      <c r="B57" s="2405" t="s">
        <v>1649</v>
      </c>
      <c r="C57" s="2405">
        <v>1</v>
      </c>
      <c r="D57" s="2809"/>
      <c r="E57" s="2809"/>
      <c r="F57" s="2809"/>
      <c r="G57" s="2809"/>
      <c r="H57" s="2809"/>
      <c r="I57" s="2809"/>
      <c r="J57" s="2809"/>
      <c r="K57" s="2809"/>
      <c r="L57" s="2809"/>
      <c r="M57" s="2809"/>
      <c r="N57" s="2409">
        <v>153.756767</v>
      </c>
      <c r="O57" s="2410">
        <v>19.344850999999998</v>
      </c>
      <c r="P57" s="2409">
        <f t="shared" si="39"/>
        <v>1.2581463162528643</v>
      </c>
      <c r="Q57" s="2410">
        <v>36.1297031</v>
      </c>
      <c r="R57" s="2410">
        <f t="shared" si="40"/>
        <v>2.3497959670288853</v>
      </c>
      <c r="S57" s="2410">
        <v>3.8178899999999613E-2</v>
      </c>
      <c r="T57" s="2410">
        <f t="shared" si="41"/>
        <v>2.4830712003719234E-3</v>
      </c>
      <c r="U57" s="2410"/>
      <c r="V57" s="2410">
        <f t="shared" si="42"/>
        <v>55.512732999999997</v>
      </c>
      <c r="W57" s="2410">
        <f t="shared" si="43"/>
        <v>3.6104253544821221</v>
      </c>
      <c r="X57" s="2411">
        <v>221.54300899999996</v>
      </c>
      <c r="Y57" s="2411">
        <v>17.456770100000004</v>
      </c>
      <c r="Z57" s="2411">
        <f t="shared" si="44"/>
        <v>0.78796303159356329</v>
      </c>
      <c r="AA57" s="2411">
        <v>61.248013700000001</v>
      </c>
      <c r="AB57" s="2411">
        <f t="shared" si="45"/>
        <v>2.7646105366385094</v>
      </c>
      <c r="AC57" s="2411">
        <v>-3.4448599999999996E-2</v>
      </c>
      <c r="AD57" s="2412">
        <f t="shared" si="46"/>
        <v>-1.5549396099427358E-3</v>
      </c>
      <c r="AE57" s="2411"/>
      <c r="AF57" s="2411">
        <f t="shared" si="47"/>
        <v>78.670335199999997</v>
      </c>
      <c r="AG57" s="2411">
        <f t="shared" si="48"/>
        <v>3.5510186286221295</v>
      </c>
      <c r="AH57" s="2412">
        <f>IFERROR(VLOOKUP($A57,F13_21_22!$B$14:$O$217,9,0),0)</f>
        <v>105.99092899999999</v>
      </c>
      <c r="AI57" s="2412">
        <f>IFERROR(VLOOKUP($A57,F13_21_22!$B$14:$O$217,10,0),0)</f>
        <v>12.357369899999998</v>
      </c>
      <c r="AJ57" s="2412">
        <f t="shared" si="49"/>
        <v>1.1658893847415943</v>
      </c>
      <c r="AK57" s="2412">
        <f>IFERROR(VLOOKUP($A57,F13_21_22!$B$14:$O$217,11,0),0)</f>
        <v>31.823539599999997</v>
      </c>
      <c r="AL57" s="2401">
        <f t="shared" si="50"/>
        <v>3.0024776554227577</v>
      </c>
      <c r="AM57" s="2412">
        <f>IFERROR(VLOOKUP($A57,F13_21_22!$B$14:$O$217,12,0),0)</f>
        <v>4.1361524000000003</v>
      </c>
      <c r="AN57" s="2412">
        <f t="shared" si="51"/>
        <v>0.39023645127216505</v>
      </c>
      <c r="AO57" s="2411"/>
      <c r="AP57" s="2411">
        <f t="shared" si="52"/>
        <v>48.317061899999999</v>
      </c>
      <c r="AQ57" s="2411">
        <f t="shared" si="53"/>
        <v>4.5586034914365179</v>
      </c>
      <c r="AR57" s="2406">
        <f>IFERROR(VLOOKUP($A57,F13_22_23!$B$14:$O$215,9,0),0)</f>
        <v>0</v>
      </c>
      <c r="AS57" s="2406">
        <f>IFERROR(VLOOKUP($A57,F13_22_23!$B$14:$O$215,10,0),0)</f>
        <v>0</v>
      </c>
      <c r="AT57" s="2406">
        <f t="shared" si="54"/>
        <v>0</v>
      </c>
      <c r="AU57" s="2406">
        <f>IFERROR(VLOOKUP($A57,F13_22_23!$B$14:$O$215,11,0),0)</f>
        <v>0</v>
      </c>
      <c r="AV57" s="2406">
        <f t="shared" si="55"/>
        <v>0</v>
      </c>
      <c r="AW57" s="2406">
        <f>IFERROR(VLOOKUP($A57,F13_22_23!$B$14:$O$215,12,0),0)</f>
        <v>0</v>
      </c>
      <c r="AX57" s="2406"/>
      <c r="AY57" s="2406">
        <f t="shared" si="56"/>
        <v>0</v>
      </c>
      <c r="AZ57" s="2406">
        <f t="shared" si="57"/>
        <v>0</v>
      </c>
    </row>
    <row r="58" spans="1:52" s="2350" customFormat="1">
      <c r="A58" s="2404" t="s">
        <v>1688</v>
      </c>
      <c r="B58" s="2405" t="s">
        <v>1649</v>
      </c>
      <c r="C58" s="2405">
        <v>1</v>
      </c>
      <c r="D58" s="2809"/>
      <c r="E58" s="2809"/>
      <c r="F58" s="2809"/>
      <c r="G58" s="2809"/>
      <c r="H58" s="2809"/>
      <c r="I58" s="2809"/>
      <c r="J58" s="2809"/>
      <c r="K58" s="2809"/>
      <c r="L58" s="2809"/>
      <c r="M58" s="2809"/>
      <c r="N58" s="2409">
        <v>362.47790399999997</v>
      </c>
      <c r="O58" s="2410">
        <v>55.298693500000006</v>
      </c>
      <c r="P58" s="2409">
        <f t="shared" si="39"/>
        <v>1.5255741905856972</v>
      </c>
      <c r="Q58" s="2410">
        <v>81.419017599999989</v>
      </c>
      <c r="R58" s="2410">
        <f t="shared" si="40"/>
        <v>2.2461787794932735</v>
      </c>
      <c r="S58" s="2410">
        <v>3.2851400000000003E-2</v>
      </c>
      <c r="T58" s="2410">
        <f t="shared" si="41"/>
        <v>9.0630076033544941E-4</v>
      </c>
      <c r="U58" s="2410"/>
      <c r="V58" s="2410">
        <f t="shared" si="42"/>
        <v>136.7505625</v>
      </c>
      <c r="W58" s="2410">
        <f t="shared" si="43"/>
        <v>3.7726592708393065</v>
      </c>
      <c r="X58" s="2411">
        <v>349.51149199999998</v>
      </c>
      <c r="Y58" s="2411">
        <v>46.861915099999997</v>
      </c>
      <c r="Z58" s="2411">
        <f t="shared" si="44"/>
        <v>1.3407832409699423</v>
      </c>
      <c r="AA58" s="2411">
        <v>82.20328880000001</v>
      </c>
      <c r="AB58" s="2411">
        <f t="shared" si="45"/>
        <v>2.3519480956008167</v>
      </c>
      <c r="AC58" s="2411">
        <v>0.3394259</v>
      </c>
      <c r="AD58" s="2412">
        <f t="shared" si="46"/>
        <v>9.7114374711318521E-3</v>
      </c>
      <c r="AE58" s="2411"/>
      <c r="AF58" s="2411">
        <f t="shared" si="47"/>
        <v>129.40462980000001</v>
      </c>
      <c r="AG58" s="2411">
        <f t="shared" si="48"/>
        <v>3.7024427740418906</v>
      </c>
      <c r="AH58" s="2412">
        <f>IFERROR(VLOOKUP($A58,F13_21_22!$B$14:$O$217,9,0),0)</f>
        <v>305.95344259999996</v>
      </c>
      <c r="AI58" s="2412">
        <f>IFERROR(VLOOKUP($A58,F13_21_22!$B$14:$O$217,10,0),0)</f>
        <v>48.567461613749991</v>
      </c>
      <c r="AJ58" s="2412">
        <f t="shared" si="49"/>
        <v>1.5874134705274925</v>
      </c>
      <c r="AK58" s="2412">
        <f>IFERROR(VLOOKUP($A58,F13_21_22!$B$14:$O$217,11,0),0)</f>
        <v>76.971330413306703</v>
      </c>
      <c r="AL58" s="2401">
        <f t="shared" si="50"/>
        <v>2.5157857273708846</v>
      </c>
      <c r="AM58" s="2412">
        <f>IFERROR(VLOOKUP($A58,F13_21_22!$B$14:$O$217,12,0),0)</f>
        <v>0.43900139999999999</v>
      </c>
      <c r="AN58" s="2412">
        <f t="shared" si="51"/>
        <v>1.4348634101625238E-2</v>
      </c>
      <c r="AO58" s="2411"/>
      <c r="AP58" s="2411">
        <f t="shared" si="52"/>
        <v>125.9777934270567</v>
      </c>
      <c r="AQ58" s="2411">
        <f t="shared" si="53"/>
        <v>4.1175478320000023</v>
      </c>
      <c r="AR58" s="2406">
        <f>IFERROR(VLOOKUP($A58,F13_22_23!$B$14:$O$215,9,0),0)</f>
        <v>199.58186117683073</v>
      </c>
      <c r="AS58" s="2406">
        <f>IFERROR(VLOOKUP($A58,F13_22_23!$B$14:$O$215,10,0),0)</f>
        <v>51.665261397750001</v>
      </c>
      <c r="AT58" s="2406">
        <f t="shared" si="54"/>
        <v>2.5886751978915696</v>
      </c>
      <c r="AU58" s="2406">
        <f>IFERROR(VLOOKUP($A58,F13_22_23!$B$14:$O$215,11,0),0)</f>
        <v>48.83701879150906</v>
      </c>
      <c r="AV58" s="2406">
        <f t="shared" si="55"/>
        <v>2.4469667986630892</v>
      </c>
      <c r="AW58" s="2406">
        <f>IFERROR(VLOOKUP($A58,F13_22_23!$B$14:$O$215,12,0),0)</f>
        <v>0</v>
      </c>
      <c r="AX58" s="2406"/>
      <c r="AY58" s="2406">
        <f t="shared" si="56"/>
        <v>100.50228018925907</v>
      </c>
      <c r="AZ58" s="2406">
        <f t="shared" si="57"/>
        <v>5.0356419965546593</v>
      </c>
    </row>
    <row r="59" spans="1:52" s="2350" customFormat="1">
      <c r="A59" s="2404" t="s">
        <v>1689</v>
      </c>
      <c r="B59" s="2405" t="s">
        <v>1649</v>
      </c>
      <c r="C59" s="2405">
        <v>1</v>
      </c>
      <c r="D59" s="2809"/>
      <c r="E59" s="2809"/>
      <c r="F59" s="2809"/>
      <c r="G59" s="2809"/>
      <c r="H59" s="2809"/>
      <c r="I59" s="2809"/>
      <c r="J59" s="2809"/>
      <c r="K59" s="2809"/>
      <c r="L59" s="2809"/>
      <c r="M59" s="2809"/>
      <c r="N59" s="2409">
        <v>1235.4208709999998</v>
      </c>
      <c r="O59" s="2410">
        <v>193.36945549999999</v>
      </c>
      <c r="P59" s="2409">
        <f t="shared" si="39"/>
        <v>1.5652111765238264</v>
      </c>
      <c r="Q59" s="2410">
        <v>266.24387310000003</v>
      </c>
      <c r="R59" s="2410">
        <f t="shared" si="40"/>
        <v>2.155086411034091</v>
      </c>
      <c r="S59" s="2410">
        <v>0.28668890000000002</v>
      </c>
      <c r="T59" s="2410">
        <f t="shared" si="41"/>
        <v>2.3205767907089215E-3</v>
      </c>
      <c r="U59" s="2410"/>
      <c r="V59" s="2410">
        <f t="shared" si="42"/>
        <v>459.90001750000005</v>
      </c>
      <c r="W59" s="2410">
        <f t="shared" si="43"/>
        <v>3.722618164348626</v>
      </c>
      <c r="X59" s="2411">
        <v>1034.3308240000001</v>
      </c>
      <c r="Y59" s="2411">
        <v>138.77233040000002</v>
      </c>
      <c r="Z59" s="2411">
        <f t="shared" si="44"/>
        <v>1.3416629107439226</v>
      </c>
      <c r="AA59" s="2411">
        <v>237.56353039999999</v>
      </c>
      <c r="AB59" s="2411">
        <f t="shared" si="45"/>
        <v>2.2967847896216225</v>
      </c>
      <c r="AC59" s="2411">
        <v>2.0442247</v>
      </c>
      <c r="AD59" s="2412">
        <f t="shared" si="46"/>
        <v>1.9763741470011531E-2</v>
      </c>
      <c r="AE59" s="2411"/>
      <c r="AF59" s="2411">
        <f t="shared" si="47"/>
        <v>378.38008549999995</v>
      </c>
      <c r="AG59" s="2411">
        <f t="shared" si="48"/>
        <v>3.6582114418355567</v>
      </c>
      <c r="AH59" s="2412">
        <f>IFERROR(VLOOKUP($A59,F13_21_22!$B$14:$O$217,9,0),0)</f>
        <v>1080.901398</v>
      </c>
      <c r="AI59" s="2412">
        <f>IFERROR(VLOOKUP($A59,F13_21_22!$B$14:$O$217,10,0),0)</f>
        <v>163.61612313000001</v>
      </c>
      <c r="AJ59" s="2412">
        <f t="shared" si="49"/>
        <v>1.5137007263820748</v>
      </c>
      <c r="AK59" s="2412">
        <f>IFERROR(VLOOKUP($A59,F13_21_22!$B$14:$O$217,11,0),0)</f>
        <v>261.21466677000672</v>
      </c>
      <c r="AL59" s="2401">
        <f t="shared" si="50"/>
        <v>2.4166373293006576</v>
      </c>
      <c r="AM59" s="2412">
        <f>IFERROR(VLOOKUP($A59,F13_21_22!$B$14:$O$217,12,0),0)</f>
        <v>-1.6734238000000001</v>
      </c>
      <c r="AN59" s="2412">
        <f t="shared" si="51"/>
        <v>-1.5481743321790024E-2</v>
      </c>
      <c r="AO59" s="2411"/>
      <c r="AP59" s="2411">
        <f t="shared" si="52"/>
        <v>423.1573661000067</v>
      </c>
      <c r="AQ59" s="2411">
        <f t="shared" si="53"/>
        <v>3.9148563123609419</v>
      </c>
      <c r="AR59" s="2406">
        <f>IFERROR(VLOOKUP($A59,F13_22_23!$B$14:$O$215,9,0),0)</f>
        <v>626.63558598064515</v>
      </c>
      <c r="AS59" s="2406">
        <f>IFERROR(VLOOKUP($A59,F13_22_23!$B$14:$O$215,10,0),0)</f>
        <v>152.99649426600004</v>
      </c>
      <c r="AT59" s="2406">
        <f t="shared" si="54"/>
        <v>2.4415545125253328</v>
      </c>
      <c r="AU59" s="2406">
        <f>IFERROR(VLOOKUP($A59,F13_22_23!$B$14:$O$215,11,0),0)</f>
        <v>149.73926646496241</v>
      </c>
      <c r="AV59" s="2406">
        <f t="shared" si="55"/>
        <v>2.3895748951223368</v>
      </c>
      <c r="AW59" s="2406">
        <f>IFERROR(VLOOKUP($A59,F13_22_23!$B$14:$O$215,12,0),0)</f>
        <v>0</v>
      </c>
      <c r="AX59" s="2406"/>
      <c r="AY59" s="2406">
        <f t="shared" si="56"/>
        <v>302.73576073096245</v>
      </c>
      <c r="AZ59" s="2406">
        <f t="shared" si="57"/>
        <v>4.8311294076476692</v>
      </c>
    </row>
    <row r="60" spans="1:52" s="2350" customFormat="1">
      <c r="A60" s="2404" t="s">
        <v>1690</v>
      </c>
      <c r="B60" s="2405" t="s">
        <v>1649</v>
      </c>
      <c r="C60" s="2405">
        <v>1</v>
      </c>
      <c r="D60" s="2809"/>
      <c r="E60" s="2809"/>
      <c r="F60" s="2809"/>
      <c r="G60" s="2809"/>
      <c r="H60" s="2809"/>
      <c r="I60" s="2809"/>
      <c r="J60" s="2809"/>
      <c r="K60" s="2809"/>
      <c r="L60" s="2809"/>
      <c r="M60" s="2809"/>
      <c r="N60" s="2409">
        <v>339.11150279999998</v>
      </c>
      <c r="O60" s="2410">
        <v>56.478359900000008</v>
      </c>
      <c r="P60" s="2409">
        <f t="shared" si="39"/>
        <v>1.6654805110904665</v>
      </c>
      <c r="Q60" s="2410">
        <v>121.5218287</v>
      </c>
      <c r="R60" s="2410">
        <f t="shared" si="40"/>
        <v>3.583536025661469</v>
      </c>
      <c r="S60" s="2410">
        <v>-0.29939950000000004</v>
      </c>
      <c r="T60" s="2410">
        <f t="shared" si="41"/>
        <v>-8.8289396711080867E-3</v>
      </c>
      <c r="U60" s="2410"/>
      <c r="V60" s="2410">
        <f t="shared" si="42"/>
        <v>177.70078910000001</v>
      </c>
      <c r="W60" s="2410">
        <f t="shared" si="43"/>
        <v>5.240187597080828</v>
      </c>
      <c r="X60" s="2411">
        <v>474.45778499999994</v>
      </c>
      <c r="Y60" s="2411">
        <v>51.054372600000001</v>
      </c>
      <c r="Z60" s="2411">
        <f t="shared" si="44"/>
        <v>1.0760572218242768</v>
      </c>
      <c r="AA60" s="2411">
        <v>152.52395910000001</v>
      </c>
      <c r="AB60" s="2411">
        <f t="shared" si="45"/>
        <v>3.2147003152240412</v>
      </c>
      <c r="AC60" s="2411">
        <v>0.61210890000000007</v>
      </c>
      <c r="AD60" s="2412">
        <f t="shared" si="46"/>
        <v>1.2901229979817913E-2</v>
      </c>
      <c r="AE60" s="2411"/>
      <c r="AF60" s="2411">
        <f t="shared" si="47"/>
        <v>204.19044060000002</v>
      </c>
      <c r="AG60" s="2411">
        <f t="shared" si="48"/>
        <v>4.3036587670281357</v>
      </c>
      <c r="AH60" s="2412">
        <f>IFERROR(VLOOKUP($A60,F13_21_22!$B$14:$O$217,9,0),0)</f>
        <v>777.49301920000005</v>
      </c>
      <c r="AI60" s="2412">
        <f>IFERROR(VLOOKUP($A60,F13_21_22!$B$14:$O$217,10,0),0)</f>
        <v>50.532225707499997</v>
      </c>
      <c r="AJ60" s="2412">
        <f t="shared" si="49"/>
        <v>0.64993799892242166</v>
      </c>
      <c r="AK60" s="2412">
        <f>IFERROR(VLOOKUP($A60,F13_21_22!$B$14:$O$217,11,0),0)</f>
        <v>242.64500099961111</v>
      </c>
      <c r="AL60" s="2401">
        <f t="shared" si="50"/>
        <v>3.1208640464615387</v>
      </c>
      <c r="AM60" s="2412">
        <f>IFERROR(VLOOKUP($A60,F13_21_22!$B$14:$O$217,12,0),0)</f>
        <v>1.9158565999999999</v>
      </c>
      <c r="AN60" s="2412">
        <f t="shared" si="51"/>
        <v>2.4641463687626635E-2</v>
      </c>
      <c r="AO60" s="2411"/>
      <c r="AP60" s="2411">
        <f t="shared" si="52"/>
        <v>295.0930833071111</v>
      </c>
      <c r="AQ60" s="2411">
        <f t="shared" si="53"/>
        <v>3.7954435090715872</v>
      </c>
      <c r="AR60" s="2406">
        <f>IFERROR(VLOOKUP($A60,F13_22_23!$B$14:$O$215,9,0),0)</f>
        <v>220.61885025999999</v>
      </c>
      <c r="AS60" s="2406">
        <f>IFERROR(VLOOKUP($A60,F13_22_23!$B$14:$O$215,10,0),0)</f>
        <v>56.287445791500005</v>
      </c>
      <c r="AT60" s="2406">
        <f t="shared" si="54"/>
        <v>2.5513434470882732</v>
      </c>
      <c r="AU60" s="2406">
        <f>IFERROR(VLOOKUP($A60,F13_22_23!$B$14:$O$215,11,0),0)</f>
        <v>73.787611636918498</v>
      </c>
      <c r="AV60" s="2406">
        <f t="shared" si="55"/>
        <v>3.3445742079590919</v>
      </c>
      <c r="AW60" s="2406">
        <f>IFERROR(VLOOKUP($A60,F13_22_23!$B$14:$O$215,12,0),0)</f>
        <v>0</v>
      </c>
      <c r="AX60" s="2406"/>
      <c r="AY60" s="2406">
        <f t="shared" si="56"/>
        <v>130.07505742841852</v>
      </c>
      <c r="AZ60" s="2406">
        <f t="shared" si="57"/>
        <v>5.8959176550473664</v>
      </c>
    </row>
    <row r="61" spans="1:52" s="2350" customFormat="1">
      <c r="A61" s="2404" t="s">
        <v>1691</v>
      </c>
      <c r="B61" s="2405" t="s">
        <v>1649</v>
      </c>
      <c r="C61" s="2405">
        <v>1</v>
      </c>
      <c r="D61" s="2809"/>
      <c r="E61" s="2809"/>
      <c r="F61" s="2809"/>
      <c r="G61" s="2809"/>
      <c r="H61" s="2809"/>
      <c r="I61" s="2809"/>
      <c r="J61" s="2809"/>
      <c r="K61" s="2809"/>
      <c r="L61" s="2809"/>
      <c r="M61" s="2809"/>
      <c r="N61" s="2409">
        <v>332.07706189999999</v>
      </c>
      <c r="O61" s="2410">
        <v>118.93814100000003</v>
      </c>
      <c r="P61" s="2409">
        <f t="shared" si="39"/>
        <v>3.5816427765136174</v>
      </c>
      <c r="Q61" s="2410">
        <v>111.5858708</v>
      </c>
      <c r="R61" s="2410">
        <f t="shared" si="40"/>
        <v>3.3602402454886331</v>
      </c>
      <c r="S61" s="2410">
        <v>5.0197198000000007</v>
      </c>
      <c r="T61" s="2410">
        <f t="shared" si="41"/>
        <v>0.15116129284206972</v>
      </c>
      <c r="U61" s="2410"/>
      <c r="V61" s="2410">
        <f t="shared" si="42"/>
        <v>235.54373160000003</v>
      </c>
      <c r="W61" s="2410">
        <f t="shared" si="43"/>
        <v>7.0930443148443203</v>
      </c>
      <c r="X61" s="2411">
        <v>272.36242600000003</v>
      </c>
      <c r="Y61" s="2411">
        <v>107.5290234</v>
      </c>
      <c r="Z61" s="2411">
        <f t="shared" si="44"/>
        <v>3.9480123958067548</v>
      </c>
      <c r="AA61" s="2411">
        <v>101.45696000000001</v>
      </c>
      <c r="AB61" s="2411">
        <f t="shared" si="45"/>
        <v>3.7250718276389563</v>
      </c>
      <c r="AC61" s="2411">
        <v>7.5154098999999999</v>
      </c>
      <c r="AD61" s="2412">
        <f t="shared" si="46"/>
        <v>0.27593416648447677</v>
      </c>
      <c r="AE61" s="2411"/>
      <c r="AF61" s="2411">
        <f t="shared" si="47"/>
        <v>216.50139330000002</v>
      </c>
      <c r="AG61" s="2411">
        <f t="shared" si="48"/>
        <v>7.9490183899301883</v>
      </c>
      <c r="AH61" s="2412">
        <f>IFERROR(VLOOKUP($A61,F13_21_22!$B$14:$O$217,9,0),0)</f>
        <v>295.9019078</v>
      </c>
      <c r="AI61" s="2412">
        <f>IFERROR(VLOOKUP($A61,F13_21_22!$B$14:$O$217,10,0),0)</f>
        <v>107.47397074250001</v>
      </c>
      <c r="AJ61" s="2412">
        <f t="shared" si="49"/>
        <v>3.6320810346089969</v>
      </c>
      <c r="AK61" s="2412">
        <f>IFERROR(VLOOKUP($A61,F13_21_22!$B$14:$O$217,11,0),0)</f>
        <v>94.277770813670159</v>
      </c>
      <c r="AL61" s="2401">
        <f t="shared" si="50"/>
        <v>3.1861156798418637</v>
      </c>
      <c r="AM61" s="2412">
        <f>IFERROR(VLOOKUP($A61,F13_21_22!$B$14:$O$217,12,0),0)</f>
        <v>2.8396282000000004</v>
      </c>
      <c r="AN61" s="2412">
        <f t="shared" si="51"/>
        <v>9.5965187284946601E-2</v>
      </c>
      <c r="AO61" s="2411"/>
      <c r="AP61" s="2411">
        <f t="shared" si="52"/>
        <v>204.59136975617017</v>
      </c>
      <c r="AQ61" s="2411">
        <f t="shared" si="53"/>
        <v>6.9141619017358078</v>
      </c>
      <c r="AR61" s="2406">
        <f>IFERROR(VLOOKUP($A61,F13_22_23!$B$14:$O$215,9,0),0)</f>
        <v>128.0922791979269</v>
      </c>
      <c r="AS61" s="2406">
        <f>IFERROR(VLOOKUP($A61,F13_22_23!$B$14:$O$215,10,0),0)</f>
        <v>118.55074829850001</v>
      </c>
      <c r="AT61" s="2406">
        <f t="shared" si="54"/>
        <v>9.255104916613794</v>
      </c>
      <c r="AU61" s="2406">
        <f>IFERROR(VLOOKUP($A61,F13_22_23!$B$14:$O$215,11,0),0)</f>
        <v>49.642991937762282</v>
      </c>
      <c r="AV61" s="2406">
        <f t="shared" si="55"/>
        <v>3.8755647294755708</v>
      </c>
      <c r="AW61" s="2406">
        <f>IFERROR(VLOOKUP($A61,F13_22_23!$B$14:$O$215,12,0),0)</f>
        <v>0</v>
      </c>
      <c r="AX61" s="2406"/>
      <c r="AY61" s="2406">
        <f t="shared" si="56"/>
        <v>168.1937402362623</v>
      </c>
      <c r="AZ61" s="2406">
        <f t="shared" si="57"/>
        <v>13.130669646089366</v>
      </c>
    </row>
    <row r="62" spans="1:52" s="2350" customFormat="1">
      <c r="A62" s="2404" t="s">
        <v>1692</v>
      </c>
      <c r="B62" s="2405" t="s">
        <v>1649</v>
      </c>
      <c r="C62" s="2405">
        <v>2</v>
      </c>
      <c r="D62" s="2809"/>
      <c r="E62" s="2809"/>
      <c r="F62" s="2809"/>
      <c r="G62" s="2809"/>
      <c r="H62" s="2809"/>
      <c r="I62" s="2809"/>
      <c r="J62" s="2809"/>
      <c r="K62" s="2809"/>
      <c r="L62" s="2809"/>
      <c r="M62" s="2809"/>
      <c r="N62" s="2409">
        <v>2302.1789405</v>
      </c>
      <c r="O62" s="2410">
        <v>201.88326419999999</v>
      </c>
      <c r="P62" s="2409">
        <f t="shared" si="39"/>
        <v>0.87692255648969608</v>
      </c>
      <c r="Q62" s="2410">
        <v>307.60273700000005</v>
      </c>
      <c r="R62" s="2410">
        <f t="shared" si="40"/>
        <v>1.3361373939646637</v>
      </c>
      <c r="S62" s="2410">
        <v>0.33275575999999996</v>
      </c>
      <c r="T62" s="2410">
        <f t="shared" si="41"/>
        <v>1.4453948567861117E-3</v>
      </c>
      <c r="U62" s="2410"/>
      <c r="V62" s="2410">
        <f t="shared" si="42"/>
        <v>509.81875696000003</v>
      </c>
      <c r="W62" s="2410">
        <f t="shared" si="43"/>
        <v>2.2145053453111458</v>
      </c>
      <c r="X62" s="2411">
        <v>2072.1736190000001</v>
      </c>
      <c r="Y62" s="2411">
        <v>172.42419760000001</v>
      </c>
      <c r="Z62" s="2411">
        <f t="shared" si="44"/>
        <v>0.83209339226705026</v>
      </c>
      <c r="AA62" s="2411">
        <v>312.87003270000002</v>
      </c>
      <c r="AB62" s="2411">
        <f t="shared" si="45"/>
        <v>1.5098639893455763</v>
      </c>
      <c r="AC62" s="2411">
        <v>0.50966259999999997</v>
      </c>
      <c r="AD62" s="2412">
        <f t="shared" si="46"/>
        <v>2.4595554895923996E-3</v>
      </c>
      <c r="AE62" s="2411"/>
      <c r="AF62" s="2411">
        <f t="shared" si="47"/>
        <v>485.80389290000005</v>
      </c>
      <c r="AG62" s="2411">
        <f t="shared" si="48"/>
        <v>2.3444169371022188</v>
      </c>
      <c r="AH62" s="2412">
        <f>IFERROR(VLOOKUP($A62,F13_21_22!$B$14:$O$217,9,0),0)</f>
        <v>2125.4564831999996</v>
      </c>
      <c r="AI62" s="2412">
        <f>IFERROR(VLOOKUP($A62,F13_21_22!$B$14:$O$217,10,0),0)</f>
        <v>176.12711667000002</v>
      </c>
      <c r="AJ62" s="2412">
        <f t="shared" si="49"/>
        <v>0.82865548206769346</v>
      </c>
      <c r="AK62" s="2412">
        <f>IFERROR(VLOOKUP($A62,F13_21_22!$B$14:$O$217,11,0),0)</f>
        <v>310.03390608702705</v>
      </c>
      <c r="AL62" s="2401">
        <f t="shared" si="50"/>
        <v>1.4586697424181219</v>
      </c>
      <c r="AM62" s="2412">
        <f>IFERROR(VLOOKUP($A62,F13_21_22!$B$14:$O$217,12,0),0)</f>
        <v>1.8835774999999999</v>
      </c>
      <c r="AN62" s="2412">
        <f t="shared" si="51"/>
        <v>8.8619904236484914E-3</v>
      </c>
      <c r="AO62" s="2411"/>
      <c r="AP62" s="2411">
        <f t="shared" si="52"/>
        <v>488.04460025702707</v>
      </c>
      <c r="AQ62" s="2411">
        <f t="shared" si="53"/>
        <v>2.2961872149094638</v>
      </c>
      <c r="AR62" s="2406">
        <f>IFERROR(VLOOKUP($A62,F13_22_23!$B$14:$O$215,9,0),0)</f>
        <v>2247.3336537638711</v>
      </c>
      <c r="AS62" s="2406">
        <f>IFERROR(VLOOKUP($A62,F13_22_23!$B$14:$O$215,10,0),0)</f>
        <v>190.09767785400004</v>
      </c>
      <c r="AT62" s="2406">
        <f t="shared" si="54"/>
        <v>0.84588097337314083</v>
      </c>
      <c r="AU62" s="2406">
        <f>IFERROR(VLOOKUP($A62,F13_22_23!$B$14:$O$215,11,0),0)</f>
        <v>353.02521493593321</v>
      </c>
      <c r="AV62" s="2406">
        <f t="shared" si="55"/>
        <v>1.5708624945151373</v>
      </c>
      <c r="AW62" s="2406">
        <f>IFERROR(VLOOKUP($A62,F13_22_23!$B$14:$O$215,12,0),0)</f>
        <v>0</v>
      </c>
      <c r="AX62" s="2406"/>
      <c r="AY62" s="2406">
        <f t="shared" si="56"/>
        <v>543.1228927899333</v>
      </c>
      <c r="AZ62" s="2406">
        <f t="shared" si="57"/>
        <v>2.4167434678882782</v>
      </c>
    </row>
    <row r="63" spans="1:52" s="2350" customFormat="1">
      <c r="A63" s="2404" t="s">
        <v>1693</v>
      </c>
      <c r="B63" s="2405" t="s">
        <v>1649</v>
      </c>
      <c r="C63" s="2405">
        <v>2</v>
      </c>
      <c r="D63" s="2809"/>
      <c r="E63" s="2809"/>
      <c r="F63" s="2809"/>
      <c r="G63" s="2809"/>
      <c r="H63" s="2809"/>
      <c r="I63" s="2809"/>
      <c r="J63" s="2809"/>
      <c r="K63" s="2809"/>
      <c r="L63" s="2809"/>
      <c r="M63" s="2809"/>
      <c r="N63" s="2409">
        <v>2250.8589796000006</v>
      </c>
      <c r="O63" s="2410">
        <v>157.00975460000001</v>
      </c>
      <c r="P63" s="2409">
        <f t="shared" si="39"/>
        <v>0.69755482694834203</v>
      </c>
      <c r="Q63" s="2410">
        <v>300.42462280000001</v>
      </c>
      <c r="R63" s="2410">
        <f t="shared" si="40"/>
        <v>1.3347109948815559</v>
      </c>
      <c r="S63" s="2410">
        <v>2.1839679999999997</v>
      </c>
      <c r="T63" s="2410">
        <f t="shared" si="41"/>
        <v>9.7028202112782388E-3</v>
      </c>
      <c r="U63" s="2410"/>
      <c r="V63" s="2410">
        <f t="shared" si="42"/>
        <v>459.61834540000001</v>
      </c>
      <c r="W63" s="2410">
        <f t="shared" si="43"/>
        <v>2.041968642041176</v>
      </c>
      <c r="X63" s="2411">
        <v>2305.7879990000006</v>
      </c>
      <c r="Y63" s="2411">
        <v>141.57327409999996</v>
      </c>
      <c r="Z63" s="2411">
        <f t="shared" si="44"/>
        <v>0.61399085328485969</v>
      </c>
      <c r="AA63" s="2411">
        <v>339.1803582</v>
      </c>
      <c r="AB63" s="2411">
        <f t="shared" si="45"/>
        <v>1.4709954182565763</v>
      </c>
      <c r="AC63" s="2411">
        <v>6.6781627999999991</v>
      </c>
      <c r="AD63" s="2412">
        <f t="shared" si="46"/>
        <v>2.8962605421210701E-2</v>
      </c>
      <c r="AE63" s="2411"/>
      <c r="AF63" s="2411">
        <f t="shared" si="47"/>
        <v>487.43179509999993</v>
      </c>
      <c r="AG63" s="2411">
        <f t="shared" si="48"/>
        <v>2.1139488769626467</v>
      </c>
      <c r="AH63" s="2412">
        <f>IFERROR(VLOOKUP($A63,F13_21_22!$B$14:$O$217,9,0),0)</f>
        <v>1707.5502910000002</v>
      </c>
      <c r="AI63" s="2412">
        <f>IFERROR(VLOOKUP($A63,F13_21_22!$B$14:$O$217,10,0),0)</f>
        <v>129.48171435124999</v>
      </c>
      <c r="AJ63" s="2412">
        <f t="shared" si="49"/>
        <v>0.75828931676982136</v>
      </c>
      <c r="AK63" s="2412">
        <f>IFERROR(VLOOKUP($A63,F13_21_22!$B$14:$O$217,11,0),0)</f>
        <v>248.68748550993467</v>
      </c>
      <c r="AL63" s="2401">
        <f t="shared" si="50"/>
        <v>1.456399186722019</v>
      </c>
      <c r="AM63" s="2412">
        <f>IFERROR(VLOOKUP($A63,F13_21_22!$B$14:$O$217,12,0),0)</f>
        <v>1.4286083999999999</v>
      </c>
      <c r="AN63" s="2412">
        <f t="shared" si="51"/>
        <v>8.3664206409016367E-3</v>
      </c>
      <c r="AO63" s="2411"/>
      <c r="AP63" s="2411">
        <f t="shared" si="52"/>
        <v>379.59780826118464</v>
      </c>
      <c r="AQ63" s="2411">
        <f t="shared" si="53"/>
        <v>2.2230549241327417</v>
      </c>
      <c r="AR63" s="2406">
        <f>IFERROR(VLOOKUP($A63,F13_22_23!$B$14:$O$215,9,0),0)</f>
        <v>2075.442810648387</v>
      </c>
      <c r="AS63" s="2406">
        <f>IFERROR(VLOOKUP($A63,F13_22_23!$B$14:$O$215,10,0),0)</f>
        <v>156.08453469524997</v>
      </c>
      <c r="AT63" s="2406">
        <f t="shared" si="54"/>
        <v>0.75205413463784021</v>
      </c>
      <c r="AU63" s="2406">
        <f>IFERROR(VLOOKUP($A63,F13_22_23!$B$14:$O$215,11,0),0)</f>
        <v>317.63067266761487</v>
      </c>
      <c r="AV63" s="2406">
        <f t="shared" si="55"/>
        <v>1.5304236331541421</v>
      </c>
      <c r="AW63" s="2406">
        <f>IFERROR(VLOOKUP($A63,F13_22_23!$B$14:$O$215,12,0),0)</f>
        <v>0</v>
      </c>
      <c r="AX63" s="2406"/>
      <c r="AY63" s="2406">
        <f t="shared" si="56"/>
        <v>473.71520736286482</v>
      </c>
      <c r="AZ63" s="2406">
        <f t="shared" si="57"/>
        <v>2.2824777677919825</v>
      </c>
    </row>
    <row r="64" spans="1:52" s="2350" customFormat="1">
      <c r="A64" s="2404" t="s">
        <v>1694</v>
      </c>
      <c r="B64" s="2405" t="s">
        <v>1649</v>
      </c>
      <c r="C64" s="2405">
        <v>2</v>
      </c>
      <c r="D64" s="2809"/>
      <c r="E64" s="2809"/>
      <c r="F64" s="2809"/>
      <c r="G64" s="2809"/>
      <c r="H64" s="2809"/>
      <c r="I64" s="2809"/>
      <c r="J64" s="2809"/>
      <c r="K64" s="2809"/>
      <c r="L64" s="2809"/>
      <c r="M64" s="2809"/>
      <c r="N64" s="2409">
        <v>2394.9010226999994</v>
      </c>
      <c r="O64" s="2410">
        <v>348.00520810000006</v>
      </c>
      <c r="P64" s="2409">
        <f t="shared" si="39"/>
        <v>1.4531089377032405</v>
      </c>
      <c r="Q64" s="2410">
        <v>323.60359349999999</v>
      </c>
      <c r="R64" s="2410">
        <f t="shared" si="40"/>
        <v>1.3512190709876224</v>
      </c>
      <c r="S64" s="2410">
        <v>0.47023699999999991</v>
      </c>
      <c r="T64" s="2410">
        <f t="shared" si="41"/>
        <v>1.9634924180284372E-3</v>
      </c>
      <c r="U64" s="2410"/>
      <c r="V64" s="2410">
        <f t="shared" si="42"/>
        <v>672.0790386000001</v>
      </c>
      <c r="W64" s="2410">
        <f t="shared" si="43"/>
        <v>2.806291501108892</v>
      </c>
      <c r="X64" s="2411">
        <v>2463.3404980000005</v>
      </c>
      <c r="Y64" s="2411">
        <v>314.5477659</v>
      </c>
      <c r="Z64" s="2411">
        <f t="shared" si="44"/>
        <v>1.2769154981026092</v>
      </c>
      <c r="AA64" s="2411">
        <v>373.20486249999999</v>
      </c>
      <c r="AB64" s="2411">
        <f t="shared" si="45"/>
        <v>1.5150356306933899</v>
      </c>
      <c r="AC64" s="2411">
        <v>3.4119065499999999</v>
      </c>
      <c r="AD64" s="2412">
        <f t="shared" si="46"/>
        <v>1.3850730553775028E-2</v>
      </c>
      <c r="AE64" s="2411"/>
      <c r="AF64" s="2411">
        <f t="shared" si="47"/>
        <v>691.16453495000007</v>
      </c>
      <c r="AG64" s="2411">
        <f t="shared" si="48"/>
        <v>2.8058018593497747</v>
      </c>
      <c r="AH64" s="2412">
        <f>IFERROR(VLOOKUP($A64,F13_21_22!$B$14:$O$217,9,0),0)</f>
        <v>2302.2204376</v>
      </c>
      <c r="AI64" s="2412">
        <f>IFERROR(VLOOKUP($A64,F13_21_22!$B$14:$O$217,10,0),0)</f>
        <v>312.48037784874998</v>
      </c>
      <c r="AJ64" s="2412">
        <f t="shared" si="49"/>
        <v>1.3572999906755323</v>
      </c>
      <c r="AK64" s="2412">
        <f>IFERROR(VLOOKUP($A64,F13_21_22!$B$14:$O$217,11,0),0)</f>
        <v>332.06253275661487</v>
      </c>
      <c r="AL64" s="2401">
        <f t="shared" si="50"/>
        <v>1.4423576792793167</v>
      </c>
      <c r="AM64" s="2412">
        <f>IFERROR(VLOOKUP($A64,F13_21_22!$B$14:$O$217,12,0),0)</f>
        <v>6.0185811999999999</v>
      </c>
      <c r="AN64" s="2412">
        <f t="shared" si="51"/>
        <v>2.6142506172320328E-2</v>
      </c>
      <c r="AO64" s="2411"/>
      <c r="AP64" s="2411">
        <f t="shared" si="52"/>
        <v>650.56149180536477</v>
      </c>
      <c r="AQ64" s="2411">
        <f t="shared" si="53"/>
        <v>2.8258001761271689</v>
      </c>
      <c r="AR64" s="2406">
        <f>IFERROR(VLOOKUP($A64,F13_22_23!$B$14:$O$215,9,0),0)</f>
        <v>2375.5634976193551</v>
      </c>
      <c r="AS64" s="2406">
        <f>IFERROR(VLOOKUP($A64,F13_22_23!$B$14:$O$215,10,0),0)</f>
        <v>346.78891190475002</v>
      </c>
      <c r="AT64" s="2406">
        <f t="shared" si="54"/>
        <v>1.4598174801569428</v>
      </c>
      <c r="AU64" s="2406">
        <f>IFERROR(VLOOKUP($A64,F13_22_23!$B$14:$O$215,11,0),0)</f>
        <v>374.44655008793995</v>
      </c>
      <c r="AV64" s="2406">
        <f t="shared" si="55"/>
        <v>1.5762430701734029</v>
      </c>
      <c r="AW64" s="2406">
        <f>IFERROR(VLOOKUP($A64,F13_22_23!$B$14:$O$215,12,0),0)</f>
        <v>0</v>
      </c>
      <c r="AX64" s="2406"/>
      <c r="AY64" s="2406">
        <f t="shared" si="56"/>
        <v>721.23546199269003</v>
      </c>
      <c r="AZ64" s="2406">
        <f t="shared" si="57"/>
        <v>3.0360605503303457</v>
      </c>
    </row>
    <row r="65" spans="1:52" s="2350" customFormat="1">
      <c r="A65" s="2404" t="s">
        <v>1695</v>
      </c>
      <c r="B65" s="2405" t="s">
        <v>1649</v>
      </c>
      <c r="C65" s="2405">
        <v>1</v>
      </c>
      <c r="D65" s="2809"/>
      <c r="E65" s="2809"/>
      <c r="F65" s="2809"/>
      <c r="G65" s="2809"/>
      <c r="H65" s="2809"/>
      <c r="I65" s="2809"/>
      <c r="J65" s="2809"/>
      <c r="K65" s="2809"/>
      <c r="L65" s="2809"/>
      <c r="M65" s="2809"/>
      <c r="N65" s="2409">
        <v>5186.5786558</v>
      </c>
      <c r="O65" s="2410">
        <v>359.17098599999997</v>
      </c>
      <c r="P65" s="2409">
        <f t="shared" si="39"/>
        <v>0.69250079837958212</v>
      </c>
      <c r="Q65" s="2410">
        <v>707.82799990000001</v>
      </c>
      <c r="R65" s="2410">
        <f t="shared" si="40"/>
        <v>1.3647300983442265</v>
      </c>
      <c r="S65" s="2410">
        <v>0.76516910000000005</v>
      </c>
      <c r="T65" s="2410">
        <f t="shared" si="41"/>
        <v>1.475286794589211E-3</v>
      </c>
      <c r="U65" s="2410"/>
      <c r="V65" s="2410">
        <f t="shared" si="42"/>
        <v>1067.7641550000001</v>
      </c>
      <c r="W65" s="2410">
        <f t="shared" si="43"/>
        <v>2.0587061835183982</v>
      </c>
      <c r="X65" s="2411">
        <v>4967.570380000001</v>
      </c>
      <c r="Y65" s="2411">
        <v>323.13526530000001</v>
      </c>
      <c r="Z65" s="2411">
        <f t="shared" si="44"/>
        <v>0.65048955642577122</v>
      </c>
      <c r="AA65" s="2411">
        <v>733.41892199999995</v>
      </c>
      <c r="AB65" s="2411">
        <f t="shared" si="45"/>
        <v>1.4764137513840314</v>
      </c>
      <c r="AC65" s="2411">
        <v>0</v>
      </c>
      <c r="AD65" s="2412">
        <f t="shared" si="46"/>
        <v>0</v>
      </c>
      <c r="AE65" s="2411"/>
      <c r="AF65" s="2411">
        <f t="shared" si="47"/>
        <v>1056.5541873</v>
      </c>
      <c r="AG65" s="2411">
        <f t="shared" si="48"/>
        <v>2.1269033078098025</v>
      </c>
      <c r="AH65" s="2412">
        <f>IFERROR(VLOOKUP($A65,F13_21_22!$B$14:$O$217,9,0),0)</f>
        <v>4425.6181987999998</v>
      </c>
      <c r="AI65" s="2412">
        <f>IFERROR(VLOOKUP($A65,F13_21_22!$B$14:$O$217,10,0),0)</f>
        <v>310.03707714125005</v>
      </c>
      <c r="AJ65" s="2412">
        <f t="shared" si="49"/>
        <v>0.70055089077796218</v>
      </c>
      <c r="AK65" s="2412">
        <f>IFERROR(VLOOKUP($A65,F13_21_22!$B$14:$O$217,11,0),0)</f>
        <v>676.51111852873646</v>
      </c>
      <c r="AL65" s="2401">
        <f t="shared" si="50"/>
        <v>1.5286251279248886</v>
      </c>
      <c r="AM65" s="2412">
        <f>IFERROR(VLOOKUP($A65,F13_21_22!$B$14:$O$217,12,0),0)</f>
        <v>-0.36830029999999997</v>
      </c>
      <c r="AN65" s="2412">
        <f t="shared" si="51"/>
        <v>-8.3220079874911964E-4</v>
      </c>
      <c r="AO65" s="2411"/>
      <c r="AP65" s="2411">
        <f t="shared" si="52"/>
        <v>986.17989536998653</v>
      </c>
      <c r="AQ65" s="2411">
        <f t="shared" si="53"/>
        <v>2.228343817904102</v>
      </c>
      <c r="AR65" s="2406">
        <f>IFERROR(VLOOKUP($A65,F13_22_23!$B$14:$O$215,9,0),0)</f>
        <v>5140.0067124290326</v>
      </c>
      <c r="AS65" s="2406">
        <f>IFERROR(VLOOKUP($A65,F13_22_23!$B$14:$O$215,10,0),0)</f>
        <v>356.25662999325004</v>
      </c>
      <c r="AT65" s="2406">
        <f t="shared" si="54"/>
        <v>0.69310537889335266</v>
      </c>
      <c r="AU65" s="2406">
        <f>IFERROR(VLOOKUP($A65,F13_22_23!$B$14:$O$215,11,0),0)</f>
        <v>789.53631667708828</v>
      </c>
      <c r="AV65" s="2406">
        <f t="shared" si="55"/>
        <v>1.536060866939946</v>
      </c>
      <c r="AW65" s="2406">
        <f>IFERROR(VLOOKUP($A65,F13_22_23!$B$14:$O$215,12,0),0)</f>
        <v>0</v>
      </c>
      <c r="AX65" s="2406"/>
      <c r="AY65" s="2406">
        <f t="shared" si="56"/>
        <v>1145.7929466703383</v>
      </c>
      <c r="AZ65" s="2406">
        <f t="shared" si="57"/>
        <v>2.2291662458332988</v>
      </c>
    </row>
    <row r="66" spans="1:52" s="2350" customFormat="1">
      <c r="A66" s="2404" t="s">
        <v>1696</v>
      </c>
      <c r="B66" s="2405" t="s">
        <v>1649</v>
      </c>
      <c r="C66" s="2405">
        <v>1</v>
      </c>
      <c r="D66" s="2809"/>
      <c r="E66" s="2809"/>
      <c r="F66" s="2809"/>
      <c r="G66" s="2809"/>
      <c r="H66" s="2809"/>
      <c r="I66" s="2809"/>
      <c r="J66" s="2809"/>
      <c r="K66" s="2809"/>
      <c r="L66" s="2809"/>
      <c r="M66" s="2809"/>
      <c r="N66" s="2409">
        <v>17.835153999999999</v>
      </c>
      <c r="O66" s="2410">
        <v>1.238416</v>
      </c>
      <c r="P66" s="2409">
        <f t="shared" si="39"/>
        <v>0.69436798807568467</v>
      </c>
      <c r="Q66" s="2410">
        <v>2.2890077999999998</v>
      </c>
      <c r="R66" s="2410">
        <f t="shared" si="40"/>
        <v>1.2834247464305606</v>
      </c>
      <c r="S66" s="2410">
        <v>-1.2866000000000006E-3</v>
      </c>
      <c r="T66" s="2410">
        <f t="shared" si="41"/>
        <v>-7.2138429530801951E-4</v>
      </c>
      <c r="U66" s="2410"/>
      <c r="V66" s="2410">
        <f t="shared" si="42"/>
        <v>3.5261372</v>
      </c>
      <c r="W66" s="2410">
        <f t="shared" si="43"/>
        <v>1.9770713502109374</v>
      </c>
      <c r="X66" s="2411">
        <v>17.933887000000002</v>
      </c>
      <c r="Y66" s="2411">
        <v>1.1110156</v>
      </c>
      <c r="Z66" s="2411">
        <f t="shared" si="44"/>
        <v>0.61950630111587068</v>
      </c>
      <c r="AA66" s="2411">
        <v>2.5925924</v>
      </c>
      <c r="AB66" s="2411">
        <f t="shared" si="45"/>
        <v>1.4456388623392127</v>
      </c>
      <c r="AC66" s="2411">
        <v>1.5969899999999999E-2</v>
      </c>
      <c r="AD66" s="2412">
        <f t="shared" si="46"/>
        <v>8.9048737733208629E-3</v>
      </c>
      <c r="AE66" s="2411"/>
      <c r="AF66" s="2411">
        <f t="shared" si="47"/>
        <v>3.7195779</v>
      </c>
      <c r="AG66" s="2411">
        <f t="shared" si="48"/>
        <v>2.0740500372284041</v>
      </c>
      <c r="AH66" s="2412">
        <f>IFERROR(VLOOKUP($A66,F13_21_22!$B$14:$O$217,9,0),0)</f>
        <v>16.775720333333332</v>
      </c>
      <c r="AI66" s="2412">
        <f>IFERROR(VLOOKUP($A66,F13_21_22!$B$14:$O$217,10,0),0)</f>
        <v>1.0696946950000001</v>
      </c>
      <c r="AJ66" s="2412">
        <f t="shared" si="49"/>
        <v>0.63764456830775751</v>
      </c>
      <c r="AK66" s="2412">
        <f>IFERROR(VLOOKUP($A66,F13_21_22!$B$14:$O$217,11,0),0)</f>
        <v>2.3703967313280083</v>
      </c>
      <c r="AL66" s="2401">
        <f t="shared" si="50"/>
        <v>1.4129925178938716</v>
      </c>
      <c r="AM66" s="2412">
        <f>IFERROR(VLOOKUP($A66,F13_21_22!$B$14:$O$217,12,0),0)</f>
        <v>4.4470399999999993E-2</v>
      </c>
      <c r="AN66" s="2412">
        <f t="shared" si="51"/>
        <v>2.6508787173590016E-2</v>
      </c>
      <c r="AO66" s="2411"/>
      <c r="AP66" s="2411">
        <f t="shared" si="52"/>
        <v>3.484561826328008</v>
      </c>
      <c r="AQ66" s="2411">
        <f t="shared" si="53"/>
        <v>2.0771458733752186</v>
      </c>
      <c r="AR66" s="2406">
        <f>IFERROR(VLOOKUP($A66,F13_22_23!$B$14:$O$215,9,0),0)</f>
        <v>19.946773255376346</v>
      </c>
      <c r="AS66" s="2406">
        <f>IFERROR(VLOOKUP($A66,F13_22_23!$B$14:$O$215,10,0),0)</f>
        <v>1.2248946990000003</v>
      </c>
      <c r="AT66" s="2406">
        <f t="shared" si="54"/>
        <v>0.61408162779904696</v>
      </c>
      <c r="AU66" s="2406">
        <f>IFERROR(VLOOKUP($A66,F13_22_23!$B$14:$O$215,11,0),0)</f>
        <v>3.0000798152328612</v>
      </c>
      <c r="AV66" s="2406">
        <f t="shared" si="55"/>
        <v>1.5040426723777169</v>
      </c>
      <c r="AW66" s="2406">
        <f>IFERROR(VLOOKUP($A66,F13_22_23!$B$14:$O$215,12,0),0)</f>
        <v>0</v>
      </c>
      <c r="AX66" s="2406"/>
      <c r="AY66" s="2406">
        <f t="shared" si="56"/>
        <v>4.2249745142328612</v>
      </c>
      <c r="AZ66" s="2406">
        <f t="shared" si="57"/>
        <v>2.1181243001767638</v>
      </c>
    </row>
    <row r="67" spans="1:52" s="2350" customFormat="1">
      <c r="A67" s="2404" t="s">
        <v>1697</v>
      </c>
      <c r="B67" s="2405" t="s">
        <v>1649</v>
      </c>
      <c r="C67" s="2405">
        <v>1</v>
      </c>
      <c r="D67" s="2809"/>
      <c r="E67" s="2809"/>
      <c r="F67" s="2809"/>
      <c r="G67" s="2809"/>
      <c r="H67" s="2809"/>
      <c r="I67" s="2809"/>
      <c r="J67" s="2809"/>
      <c r="K67" s="2809"/>
      <c r="L67" s="2809"/>
      <c r="M67" s="2809"/>
      <c r="N67" s="2409">
        <v>10.363088000000001</v>
      </c>
      <c r="O67" s="2410">
        <v>1.2399858000000001</v>
      </c>
      <c r="P67" s="2409">
        <f t="shared" si="39"/>
        <v>1.1965408380204818</v>
      </c>
      <c r="Q67" s="2410">
        <v>1.1830429000000002</v>
      </c>
      <c r="R67" s="2410">
        <f t="shared" si="40"/>
        <v>1.1415930270977146</v>
      </c>
      <c r="S67" s="2410">
        <v>2.3472200000000002E-2</v>
      </c>
      <c r="T67" s="2410">
        <f t="shared" si="41"/>
        <v>2.2649812488323946E-2</v>
      </c>
      <c r="U67" s="2410"/>
      <c r="V67" s="2410">
        <f t="shared" si="42"/>
        <v>2.4465009000000006</v>
      </c>
      <c r="W67" s="2410">
        <f t="shared" si="43"/>
        <v>2.3607836776065207</v>
      </c>
      <c r="X67" s="2411">
        <v>9.2936099999999993</v>
      </c>
      <c r="Y67" s="2411">
        <v>1.0993303999999999</v>
      </c>
      <c r="Z67" s="2411">
        <f t="shared" si="44"/>
        <v>1.1828884577682945</v>
      </c>
      <c r="AA67" s="2411">
        <v>1.3689402000000002</v>
      </c>
      <c r="AB67" s="2411">
        <f t="shared" si="45"/>
        <v>1.4729907969023881</v>
      </c>
      <c r="AC67" s="2411">
        <v>3.1356799999999997E-2</v>
      </c>
      <c r="AD67" s="2412">
        <f t="shared" si="46"/>
        <v>3.3740172010661089E-2</v>
      </c>
      <c r="AE67" s="2411"/>
      <c r="AF67" s="2411">
        <f t="shared" si="47"/>
        <v>2.4996274000000005</v>
      </c>
      <c r="AG67" s="2411">
        <f t="shared" si="48"/>
        <v>2.689619426681344</v>
      </c>
      <c r="AH67" s="2412">
        <f>IFERROR(VLOOKUP($A67,F13_21_22!$B$14:$O$217,9,0),0)</f>
        <v>8.3446203333333333</v>
      </c>
      <c r="AI67" s="2412">
        <f>IFERROR(VLOOKUP($A67,F13_21_22!$B$14:$O$217,10,0),0)</f>
        <v>1.02888263</v>
      </c>
      <c r="AJ67" s="2412">
        <f t="shared" si="49"/>
        <v>1.2329891461808469</v>
      </c>
      <c r="AK67" s="2412">
        <f>IFERROR(VLOOKUP($A67,F13_21_22!$B$14:$O$217,11,0),0)</f>
        <v>1.1718317175991992</v>
      </c>
      <c r="AL67" s="2401">
        <f t="shared" si="50"/>
        <v>1.4042960264090296</v>
      </c>
      <c r="AM67" s="2412">
        <f>IFERROR(VLOOKUP($A67,F13_21_22!$B$14:$O$217,12,0),0)</f>
        <v>2.6206500000000001E-2</v>
      </c>
      <c r="AN67" s="2412">
        <f t="shared" si="51"/>
        <v>3.1405263454966054E-2</v>
      </c>
      <c r="AO67" s="2411"/>
      <c r="AP67" s="2411">
        <f t="shared" si="52"/>
        <v>2.2269208475991991</v>
      </c>
      <c r="AQ67" s="2411">
        <f t="shared" si="53"/>
        <v>2.6686904360448422</v>
      </c>
      <c r="AR67" s="2406">
        <f>IFERROR(VLOOKUP($A67,F13_22_23!$B$14:$O$215,9,0),0)</f>
        <v>9.5170316612903232</v>
      </c>
      <c r="AS67" s="2406">
        <f>IFERROR(VLOOKUP($A67,F13_22_23!$B$14:$O$215,10,0),0)</f>
        <v>1.212011766</v>
      </c>
      <c r="AT67" s="2406">
        <f t="shared" si="54"/>
        <v>1.2735186864300867</v>
      </c>
      <c r="AU67" s="2406">
        <f>IFERROR(VLOOKUP($A67,F13_22_23!$B$14:$O$215,11,0),0)</f>
        <v>1.4584847452966023</v>
      </c>
      <c r="AV67" s="2406">
        <f t="shared" si="55"/>
        <v>1.5324996250972442</v>
      </c>
      <c r="AW67" s="2406">
        <f>IFERROR(VLOOKUP($A67,F13_22_23!$B$14:$O$215,12,0),0)</f>
        <v>0</v>
      </c>
      <c r="AX67" s="2406"/>
      <c r="AY67" s="2406">
        <f t="shared" si="56"/>
        <v>2.6704965112966024</v>
      </c>
      <c r="AZ67" s="2406">
        <f t="shared" si="57"/>
        <v>2.8060183115273314</v>
      </c>
    </row>
    <row r="68" spans="1:52" s="2350" customFormat="1">
      <c r="A68" s="2404" t="s">
        <v>1698</v>
      </c>
      <c r="B68" s="2405" t="s">
        <v>1649</v>
      </c>
      <c r="C68" s="2405">
        <v>1</v>
      </c>
      <c r="D68" s="2809"/>
      <c r="E68" s="2809"/>
      <c r="F68" s="2809"/>
      <c r="G68" s="2809"/>
      <c r="H68" s="2809"/>
      <c r="I68" s="2809"/>
      <c r="J68" s="2809"/>
      <c r="K68" s="2809"/>
      <c r="L68" s="2809"/>
      <c r="M68" s="2809"/>
      <c r="N68" s="2409">
        <v>26.446915999999998</v>
      </c>
      <c r="O68" s="2410">
        <v>6.3929552999999997</v>
      </c>
      <c r="P68" s="2409">
        <f t="shared" si="39"/>
        <v>2.417278180941778</v>
      </c>
      <c r="Q68" s="2410">
        <v>7.2876753000000001</v>
      </c>
      <c r="R68" s="2410">
        <f t="shared" si="40"/>
        <v>2.755586057746771</v>
      </c>
      <c r="S68" s="2410">
        <v>0.18219199999999999</v>
      </c>
      <c r="T68" s="2410">
        <f t="shared" si="41"/>
        <v>6.8889695872289991E-2</v>
      </c>
      <c r="U68" s="2410"/>
      <c r="V68" s="2410">
        <f t="shared" si="42"/>
        <v>13.862822600000001</v>
      </c>
      <c r="W68" s="2410">
        <f t="shared" si="43"/>
        <v>5.2417539345608404</v>
      </c>
      <c r="X68" s="2411">
        <v>5.1232329999999999</v>
      </c>
      <c r="Y68" s="2411">
        <v>3.0589048000000001</v>
      </c>
      <c r="Z68" s="2411">
        <f t="shared" si="44"/>
        <v>5.9706532964633858</v>
      </c>
      <c r="AA68" s="2411">
        <v>1.6327623</v>
      </c>
      <c r="AB68" s="2411">
        <f t="shared" si="45"/>
        <v>3.1869764658370991</v>
      </c>
      <c r="AC68" s="2411">
        <v>9.8741099999999998E-2</v>
      </c>
      <c r="AD68" s="2412">
        <f t="shared" si="46"/>
        <v>0.19273201121245118</v>
      </c>
      <c r="AE68" s="2411"/>
      <c r="AF68" s="2411">
        <f t="shared" si="47"/>
        <v>4.7904081999999999</v>
      </c>
      <c r="AG68" s="2411">
        <f t="shared" si="48"/>
        <v>9.3503617735129367</v>
      </c>
      <c r="AH68" s="2412">
        <f>IFERROR(VLOOKUP($A68,F13_21_22!$B$14:$O$217,9,0),0)</f>
        <v>20.400881666666663</v>
      </c>
      <c r="AI68" s="2412">
        <f>IFERROR(VLOOKUP($A68,F13_21_22!$B$14:$O$217,10,0),0)</f>
        <v>4.9213123100000002</v>
      </c>
      <c r="AJ68" s="2412">
        <f t="shared" si="49"/>
        <v>2.4123037378531604</v>
      </c>
      <c r="AK68" s="2412">
        <f>IFERROR(VLOOKUP($A68,F13_21_22!$B$14:$O$217,11,0),0)</f>
        <v>6.6430471075447022</v>
      </c>
      <c r="AL68" s="2401">
        <f t="shared" si="50"/>
        <v>3.2562549090213522</v>
      </c>
      <c r="AM68" s="2412">
        <f>IFERROR(VLOOKUP($A68,F13_21_22!$B$14:$O$217,12,0),0)</f>
        <v>0.16001309999999999</v>
      </c>
      <c r="AN68" s="2412">
        <f t="shared" si="51"/>
        <v>7.8434404264717664E-2</v>
      </c>
      <c r="AO68" s="2411"/>
      <c r="AP68" s="2411">
        <f t="shared" si="52"/>
        <v>11.724372517544703</v>
      </c>
      <c r="AQ68" s="2411">
        <f t="shared" si="53"/>
        <v>5.7469930511392295</v>
      </c>
      <c r="AR68" s="2406">
        <f>IFERROR(VLOOKUP($A68,F13_22_23!$B$14:$O$215,9,0),0)</f>
        <v>7.6296986666666662</v>
      </c>
      <c r="AS68" s="2406">
        <f>IFERROR(VLOOKUP($A68,F13_22_23!$B$14:$O$215,10,0),0)</f>
        <v>3.3724425420000004</v>
      </c>
      <c r="AT68" s="2406">
        <f t="shared" si="54"/>
        <v>4.4201516853264984</v>
      </c>
      <c r="AU68" s="2406">
        <f>IFERROR(VLOOKUP($A68,F13_22_23!$B$14:$O$215,11,0),0)</f>
        <v>2.529802316381601</v>
      </c>
      <c r="AV68" s="2406">
        <f t="shared" si="55"/>
        <v>3.3157303150569177</v>
      </c>
      <c r="AW68" s="2406">
        <f>IFERROR(VLOOKUP($A68,F13_22_23!$B$14:$O$215,12,0),0)</f>
        <v>0</v>
      </c>
      <c r="AX68" s="2406"/>
      <c r="AY68" s="2406">
        <f t="shared" si="56"/>
        <v>5.9022448583816018</v>
      </c>
      <c r="AZ68" s="2406">
        <f t="shared" si="57"/>
        <v>7.735882000383417</v>
      </c>
    </row>
    <row r="69" spans="1:52" s="2350" customFormat="1">
      <c r="A69" s="2404" t="s">
        <v>1699</v>
      </c>
      <c r="B69" s="2405" t="s">
        <v>1649</v>
      </c>
      <c r="C69" s="2405">
        <v>1</v>
      </c>
      <c r="D69" s="2809"/>
      <c r="E69" s="2809"/>
      <c r="F69" s="2809"/>
      <c r="G69" s="2809"/>
      <c r="H69" s="2809"/>
      <c r="I69" s="2809"/>
      <c r="J69" s="2809"/>
      <c r="K69" s="2809"/>
      <c r="L69" s="2809"/>
      <c r="M69" s="2809"/>
      <c r="N69" s="2409">
        <v>32.607390000000002</v>
      </c>
      <c r="O69" s="2410">
        <v>5.9738553999999997</v>
      </c>
      <c r="P69" s="2409">
        <f t="shared" si="39"/>
        <v>1.8320556781760207</v>
      </c>
      <c r="Q69" s="2410">
        <v>8.9726081999999998</v>
      </c>
      <c r="R69" s="2410">
        <f t="shared" si="40"/>
        <v>2.7517100264694596</v>
      </c>
      <c r="S69" s="2410">
        <v>4.6244100000000003E-2</v>
      </c>
      <c r="T69" s="2410">
        <f t="shared" si="41"/>
        <v>1.4182091850957713E-2</v>
      </c>
      <c r="U69" s="2410"/>
      <c r="V69" s="2410">
        <f t="shared" si="42"/>
        <v>14.992707699999999</v>
      </c>
      <c r="W69" s="2410">
        <f t="shared" si="43"/>
        <v>4.5979477964964381</v>
      </c>
      <c r="X69" s="2411">
        <v>10.485182999999999</v>
      </c>
      <c r="Y69" s="2411">
        <v>3.7763870000000002</v>
      </c>
      <c r="Z69" s="2411">
        <f t="shared" si="44"/>
        <v>3.6016414782650914</v>
      </c>
      <c r="AA69" s="2411">
        <v>3.3256537999999995</v>
      </c>
      <c r="AB69" s="2411">
        <f t="shared" si="45"/>
        <v>3.1717651470651487</v>
      </c>
      <c r="AC69" s="2411">
        <v>4.6625400000000004E-2</v>
      </c>
      <c r="AD69" s="2412">
        <f t="shared" si="46"/>
        <v>4.446789340729676E-2</v>
      </c>
      <c r="AE69" s="2411"/>
      <c r="AF69" s="2411">
        <f t="shared" si="47"/>
        <v>7.1486661999999992</v>
      </c>
      <c r="AG69" s="2411">
        <f t="shared" si="48"/>
        <v>6.8178745187375362</v>
      </c>
      <c r="AH69" s="2412">
        <f>IFERROR(VLOOKUP($A69,F13_21_22!$B$14:$O$217,9,0),0)</f>
        <v>49.092392333333329</v>
      </c>
      <c r="AI69" s="2412">
        <f>IFERROR(VLOOKUP($A69,F13_21_22!$B$14:$O$217,10,0),0)</f>
        <v>8.0521869874999989</v>
      </c>
      <c r="AJ69" s="2412">
        <f t="shared" si="49"/>
        <v>1.6402107546167863</v>
      </c>
      <c r="AK69" s="2412">
        <f>IFERROR(VLOOKUP($A69,F13_21_22!$B$14:$O$217,11,0),0)</f>
        <v>16.877307883417615</v>
      </c>
      <c r="AL69" s="2401">
        <f t="shared" si="50"/>
        <v>3.4378662520298615</v>
      </c>
      <c r="AM69" s="2412">
        <f>IFERROR(VLOOKUP($A69,F13_21_22!$B$14:$O$217,12,0),0)</f>
        <v>1.7387999999999995E-3</v>
      </c>
      <c r="AN69" s="2412">
        <f t="shared" si="51"/>
        <v>3.541892984545731E-4</v>
      </c>
      <c r="AO69" s="2411"/>
      <c r="AP69" s="2411">
        <f t="shared" si="52"/>
        <v>24.931233670917614</v>
      </c>
      <c r="AQ69" s="2411">
        <f t="shared" si="53"/>
        <v>5.0784311959451021</v>
      </c>
      <c r="AR69" s="2406">
        <f>IFERROR(VLOOKUP($A69,F13_22_23!$B$14:$O$215,9,0),0)</f>
        <v>10.046416333333335</v>
      </c>
      <c r="AS69" s="2406">
        <f>IFERROR(VLOOKUP($A69,F13_22_23!$B$14:$O$215,10,0),0)</f>
        <v>4.1634666675000007</v>
      </c>
      <c r="AT69" s="2406">
        <f t="shared" si="54"/>
        <v>4.1442306682890475</v>
      </c>
      <c r="AU69" s="2406">
        <f>IFERROR(VLOOKUP($A69,F13_22_23!$B$14:$O$215,11,0),0)</f>
        <v>3.3152214055403215</v>
      </c>
      <c r="AV69" s="2406">
        <f t="shared" si="55"/>
        <v>3.2999044590065809</v>
      </c>
      <c r="AW69" s="2406">
        <f>IFERROR(VLOOKUP($A69,F13_22_23!$B$14:$O$215,12,0),0)</f>
        <v>0</v>
      </c>
      <c r="AX69" s="2406"/>
      <c r="AY69" s="2406">
        <f t="shared" si="56"/>
        <v>7.4786880730403222</v>
      </c>
      <c r="AZ69" s="2406">
        <f t="shared" si="57"/>
        <v>7.4441351272956275</v>
      </c>
    </row>
    <row r="70" spans="1:52" s="2350" customFormat="1">
      <c r="A70" s="2404" t="s">
        <v>1700</v>
      </c>
      <c r="B70" s="2405" t="s">
        <v>1649</v>
      </c>
      <c r="C70" s="2405">
        <v>1</v>
      </c>
      <c r="D70" s="2809"/>
      <c r="E70" s="2809"/>
      <c r="F70" s="2809"/>
      <c r="G70" s="2809"/>
      <c r="H70" s="2809"/>
      <c r="I70" s="2809"/>
      <c r="J70" s="2809"/>
      <c r="K70" s="2809"/>
      <c r="L70" s="2809"/>
      <c r="M70" s="2809"/>
      <c r="N70" s="2409">
        <v>8.9991299999999992</v>
      </c>
      <c r="O70" s="2410">
        <v>3.8043140000000002</v>
      </c>
      <c r="P70" s="2409">
        <f t="shared" si="39"/>
        <v>4.2274242065621905</v>
      </c>
      <c r="Q70" s="2410">
        <v>3.9902731</v>
      </c>
      <c r="R70" s="2410">
        <f t="shared" si="40"/>
        <v>4.434065404100175</v>
      </c>
      <c r="S70" s="2410">
        <v>1.98827E-2</v>
      </c>
      <c r="T70" s="2410">
        <f t="shared" si="41"/>
        <v>2.2094024644604537E-2</v>
      </c>
      <c r="U70" s="2410"/>
      <c r="V70" s="2410">
        <f t="shared" si="42"/>
        <v>7.8144698000000004</v>
      </c>
      <c r="W70" s="2410">
        <f t="shared" si="43"/>
        <v>8.6835836353069702</v>
      </c>
      <c r="X70" s="2411">
        <v>5.0984759999999998</v>
      </c>
      <c r="Y70" s="2411">
        <v>3.7384937000000003</v>
      </c>
      <c r="Z70" s="2411">
        <f t="shared" si="44"/>
        <v>7.3325709486521076</v>
      </c>
      <c r="AA70" s="2411">
        <v>1.8603941000000002</v>
      </c>
      <c r="AB70" s="2411">
        <f t="shared" si="45"/>
        <v>3.6489219523638052</v>
      </c>
      <c r="AC70" s="2411">
        <v>-1.3284000000000004E-3</v>
      </c>
      <c r="AD70" s="2412">
        <f t="shared" si="46"/>
        <v>-2.6054844624158291E-3</v>
      </c>
      <c r="AE70" s="2411"/>
      <c r="AF70" s="2411">
        <f t="shared" si="47"/>
        <v>5.5975593999999997</v>
      </c>
      <c r="AG70" s="2411">
        <f t="shared" si="48"/>
        <v>10.978887416553496</v>
      </c>
      <c r="AH70" s="2412">
        <f>IFERROR(VLOOKUP($A70,F13_21_22!$B$14:$O$217,9,0),0)</f>
        <v>14.959400999999998</v>
      </c>
      <c r="AI70" s="2412">
        <f>IFERROR(VLOOKUP($A70,F13_21_22!$B$14:$O$217,10,0),0)</f>
        <v>5.18062699625</v>
      </c>
      <c r="AJ70" s="2412">
        <f t="shared" si="49"/>
        <v>3.4631246239404909</v>
      </c>
      <c r="AK70" s="2412">
        <f>IFERROR(VLOOKUP($A70,F13_21_22!$B$14:$O$217,11,0),0)</f>
        <v>5.3068119140539771</v>
      </c>
      <c r="AL70" s="2401">
        <f t="shared" si="50"/>
        <v>3.5474762084751776</v>
      </c>
      <c r="AM70" s="2412">
        <f>IFERROR(VLOOKUP($A70,F13_21_22!$B$14:$O$217,12,0),0)</f>
        <v>-2.0408699999999998E-2</v>
      </c>
      <c r="AN70" s="2412">
        <f t="shared" si="51"/>
        <v>-1.3642725400569182E-2</v>
      </c>
      <c r="AO70" s="2411"/>
      <c r="AP70" s="2411">
        <f t="shared" si="52"/>
        <v>10.467030210303976</v>
      </c>
      <c r="AQ70" s="2411">
        <f t="shared" si="53"/>
        <v>6.9969581070150983</v>
      </c>
      <c r="AR70" s="2406">
        <f>IFERROR(VLOOKUP($A70,F13_22_23!$B$14:$O$215,9,0),0)</f>
        <v>4.7131628440860212</v>
      </c>
      <c r="AS70" s="2406">
        <f>IFERROR(VLOOKUP($A70,F13_22_23!$B$14:$O$215,10,0),0)</f>
        <v>4.1216893042500002</v>
      </c>
      <c r="AT70" s="2406">
        <f t="shared" si="54"/>
        <v>8.7450602506166533</v>
      </c>
      <c r="AU70" s="2406">
        <f>IFERROR(VLOOKUP($A70,F13_22_23!$B$14:$O$215,11,0),0)</f>
        <v>1.7892761086871682</v>
      </c>
      <c r="AV70" s="2406">
        <f t="shared" si="55"/>
        <v>3.7963383992393025</v>
      </c>
      <c r="AW70" s="2406">
        <f>IFERROR(VLOOKUP($A70,F13_22_23!$B$14:$O$215,12,0),0)</f>
        <v>0</v>
      </c>
      <c r="AX70" s="2406"/>
      <c r="AY70" s="2406">
        <f t="shared" si="56"/>
        <v>5.910965412937168</v>
      </c>
      <c r="AZ70" s="2406">
        <f t="shared" si="57"/>
        <v>12.541398649855955</v>
      </c>
    </row>
    <row r="71" spans="1:52" s="2350" customFormat="1">
      <c r="A71" s="2404" t="s">
        <v>1701</v>
      </c>
      <c r="B71" s="2405" t="s">
        <v>1649</v>
      </c>
      <c r="C71" s="2405">
        <v>1</v>
      </c>
      <c r="D71" s="2809"/>
      <c r="E71" s="2809"/>
      <c r="F71" s="2809"/>
      <c r="G71" s="2809"/>
      <c r="H71" s="2809"/>
      <c r="I71" s="2809"/>
      <c r="J71" s="2809"/>
      <c r="K71" s="2809"/>
      <c r="L71" s="2809"/>
      <c r="M71" s="2809"/>
      <c r="N71" s="2409">
        <v>43.755889000000003</v>
      </c>
      <c r="O71" s="2410">
        <v>4.5929349999999998</v>
      </c>
      <c r="P71" s="2409">
        <f t="shared" si="39"/>
        <v>1.0496724223795337</v>
      </c>
      <c r="Q71" s="2410">
        <v>4.5240323</v>
      </c>
      <c r="R71" s="2410">
        <f t="shared" si="40"/>
        <v>1.033925353453566</v>
      </c>
      <c r="S71" s="2410">
        <v>0.12971770000000002</v>
      </c>
      <c r="T71" s="2410">
        <f t="shared" si="41"/>
        <v>2.9645769510019557E-2</v>
      </c>
      <c r="U71" s="2410"/>
      <c r="V71" s="2410">
        <f t="shared" si="42"/>
        <v>9.2466849999999994</v>
      </c>
      <c r="W71" s="2410">
        <f t="shared" si="43"/>
        <v>2.1132435453431193</v>
      </c>
      <c r="X71" s="2411">
        <v>35.161560999999992</v>
      </c>
      <c r="Y71" s="2411">
        <v>4.0900865</v>
      </c>
      <c r="Z71" s="2411">
        <f t="shared" si="44"/>
        <v>1.1632266553808577</v>
      </c>
      <c r="AA71" s="2411">
        <v>5.3930221000000005</v>
      </c>
      <c r="AB71" s="2411">
        <f t="shared" si="45"/>
        <v>1.5337834688283611</v>
      </c>
      <c r="AC71" s="2411">
        <v>7.5576150000000009E-2</v>
      </c>
      <c r="AD71" s="2412">
        <f t="shared" si="46"/>
        <v>2.1493968939547373E-2</v>
      </c>
      <c r="AE71" s="2411"/>
      <c r="AF71" s="2411">
        <f t="shared" si="47"/>
        <v>9.5586847500000012</v>
      </c>
      <c r="AG71" s="2411">
        <f t="shared" si="48"/>
        <v>2.7185040931487663</v>
      </c>
      <c r="AH71" s="2412">
        <f>IFERROR(VLOOKUP($A71,F13_21_22!$B$14:$O$217,9,0),0)</f>
        <v>28.817831999999999</v>
      </c>
      <c r="AI71" s="2412">
        <f>IFERROR(VLOOKUP($A71,F13_21_22!$B$14:$O$217,10,0),0)</f>
        <v>3.8025570062500003</v>
      </c>
      <c r="AJ71" s="2412">
        <f t="shared" si="49"/>
        <v>1.3195152939506347</v>
      </c>
      <c r="AK71" s="2412">
        <f>IFERROR(VLOOKUP($A71,F13_21_22!$B$14:$O$217,11,0),0)</f>
        <v>4.3958806647043485</v>
      </c>
      <c r="AL71" s="2401">
        <f t="shared" si="50"/>
        <v>1.5254029743473931</v>
      </c>
      <c r="AM71" s="2412">
        <f>IFERROR(VLOOKUP($A71,F13_21_22!$B$14:$O$217,12,0),0)</f>
        <v>1.826005E-2</v>
      </c>
      <c r="AN71" s="2412">
        <f t="shared" si="51"/>
        <v>6.3363718686402226E-3</v>
      </c>
      <c r="AO71" s="2411"/>
      <c r="AP71" s="2411">
        <f t="shared" si="52"/>
        <v>8.2166977209543486</v>
      </c>
      <c r="AQ71" s="2411">
        <f t="shared" si="53"/>
        <v>2.8512546401666676</v>
      </c>
      <c r="AR71" s="2406">
        <f>IFERROR(VLOOKUP($A71,F13_22_23!$B$14:$O$215,9,0),0)</f>
        <v>38.394218056451614</v>
      </c>
      <c r="AS71" s="2406">
        <f>IFERROR(VLOOKUP($A71,F13_22_23!$B$14:$O$215,10,0),0)</f>
        <v>4.5093203662500008</v>
      </c>
      <c r="AT71" s="2406">
        <f t="shared" si="54"/>
        <v>1.1744790217162067</v>
      </c>
      <c r="AU71" s="2406">
        <f>IFERROR(VLOOKUP($A71,F13_22_23!$B$14:$O$215,11,0),0)</f>
        <v>6.1267508998501352</v>
      </c>
      <c r="AV71" s="2406">
        <f t="shared" si="55"/>
        <v>1.5957483209690269</v>
      </c>
      <c r="AW71" s="2406">
        <f>IFERROR(VLOOKUP($A71,F13_22_23!$B$14:$O$215,12,0),0)</f>
        <v>0</v>
      </c>
      <c r="AX71" s="2406"/>
      <c r="AY71" s="2406">
        <f t="shared" si="56"/>
        <v>10.636071266100135</v>
      </c>
      <c r="AZ71" s="2406">
        <f t="shared" si="57"/>
        <v>2.7702273426852333</v>
      </c>
    </row>
    <row r="72" spans="1:52" s="2350" customFormat="1">
      <c r="A72" s="2404" t="s">
        <v>1702</v>
      </c>
      <c r="B72" s="2405" t="s">
        <v>1649</v>
      </c>
      <c r="C72" s="2405">
        <v>1</v>
      </c>
      <c r="D72" s="2809"/>
      <c r="E72" s="2809"/>
      <c r="F72" s="2809"/>
      <c r="G72" s="2809"/>
      <c r="H72" s="2809"/>
      <c r="I72" s="2809"/>
      <c r="J72" s="2809"/>
      <c r="K72" s="2809"/>
      <c r="L72" s="2809"/>
      <c r="M72" s="2809"/>
      <c r="N72" s="2409">
        <v>12.167482999999999</v>
      </c>
      <c r="O72" s="2410">
        <v>1.4754318</v>
      </c>
      <c r="P72" s="2409">
        <f t="shared" si="39"/>
        <v>1.2126023106011325</v>
      </c>
      <c r="Q72" s="2410">
        <v>1.5222302999999999</v>
      </c>
      <c r="R72" s="2410">
        <f t="shared" si="40"/>
        <v>1.2510642505109726</v>
      </c>
      <c r="S72" s="2410">
        <v>1.1778100000000003E-2</v>
      </c>
      <c r="T72" s="2410">
        <f t="shared" si="41"/>
        <v>9.6799806500654281E-3</v>
      </c>
      <c r="U72" s="2410"/>
      <c r="V72" s="2410">
        <f t="shared" si="42"/>
        <v>3.0094401999999998</v>
      </c>
      <c r="W72" s="2410">
        <f t="shared" si="43"/>
        <v>2.4733465417621705</v>
      </c>
      <c r="X72" s="2411">
        <v>11.487226999999999</v>
      </c>
      <c r="Y72" s="2411">
        <v>1.3610663999999999</v>
      </c>
      <c r="Z72" s="2411">
        <f t="shared" si="44"/>
        <v>1.1848520099759499</v>
      </c>
      <c r="AA72" s="2411">
        <v>1.7971852000000001</v>
      </c>
      <c r="AB72" s="2411">
        <f t="shared" si="45"/>
        <v>1.5645074307315423</v>
      </c>
      <c r="AC72" s="2411">
        <v>7.9763000000000039E-3</v>
      </c>
      <c r="AD72" s="2412">
        <f t="shared" si="46"/>
        <v>6.9436252979069744E-3</v>
      </c>
      <c r="AE72" s="2411"/>
      <c r="AF72" s="2411">
        <f t="shared" si="47"/>
        <v>3.1662279</v>
      </c>
      <c r="AG72" s="2411">
        <f t="shared" si="48"/>
        <v>2.7563030660053989</v>
      </c>
      <c r="AH72" s="2412">
        <f>IFERROR(VLOOKUP($A72,F13_21_22!$B$14:$O$217,9,0),0)</f>
        <v>10.342226333333334</v>
      </c>
      <c r="AI72" s="2412">
        <f>IFERROR(VLOOKUP($A72,F13_21_22!$B$14:$O$217,10,0),0)</f>
        <v>1.27493813</v>
      </c>
      <c r="AJ72" s="2412">
        <f t="shared" si="49"/>
        <v>1.2327501728431842</v>
      </c>
      <c r="AK72" s="2412">
        <f>IFERROR(VLOOKUP($A72,F13_21_22!$B$14:$O$217,11,0),0)</f>
        <v>1.5977548882804842</v>
      </c>
      <c r="AL72" s="2401">
        <f t="shared" si="50"/>
        <v>1.5448848601687124</v>
      </c>
      <c r="AM72" s="2412">
        <f>IFERROR(VLOOKUP($A72,F13_21_22!$B$14:$O$217,12,0),0)</f>
        <v>2.07589E-2</v>
      </c>
      <c r="AN72" s="2412">
        <f t="shared" si="51"/>
        <v>2.0071983856216127E-2</v>
      </c>
      <c r="AO72" s="2411"/>
      <c r="AP72" s="2411">
        <f t="shared" si="52"/>
        <v>2.8934519182804843</v>
      </c>
      <c r="AQ72" s="2411">
        <f t="shared" si="53"/>
        <v>2.7977070168681131</v>
      </c>
      <c r="AR72" s="2406">
        <f>IFERROR(VLOOKUP($A72,F13_22_23!$B$14:$O$215,9,0),0)</f>
        <v>12.767714591397853</v>
      </c>
      <c r="AS72" s="2406">
        <f>IFERROR(VLOOKUP($A72,F13_22_23!$B$14:$O$215,10,0),0)</f>
        <v>1.500575706</v>
      </c>
      <c r="AT72" s="2406">
        <f t="shared" si="54"/>
        <v>1.1752891993771548</v>
      </c>
      <c r="AU72" s="2406">
        <f>IFERROR(VLOOKUP($A72,F13_22_23!$B$14:$O$215,11,0),0)</f>
        <v>2.0782181799510218</v>
      </c>
      <c r="AV72" s="2406">
        <f t="shared" si="55"/>
        <v>1.6277135309330966</v>
      </c>
      <c r="AW72" s="2406">
        <f>IFERROR(VLOOKUP($A72,F13_22_23!$B$14:$O$215,12,0),0)</f>
        <v>0</v>
      </c>
      <c r="AX72" s="2406"/>
      <c r="AY72" s="2406">
        <f t="shared" si="56"/>
        <v>3.578793885951022</v>
      </c>
      <c r="AZ72" s="2406">
        <f t="shared" si="57"/>
        <v>2.8030027303102516</v>
      </c>
    </row>
    <row r="73" spans="1:52" s="2350" customFormat="1">
      <c r="A73" s="2404" t="s">
        <v>1703</v>
      </c>
      <c r="B73" s="2405" t="s">
        <v>1649</v>
      </c>
      <c r="C73" s="2405">
        <v>1</v>
      </c>
      <c r="D73" s="2809"/>
      <c r="E73" s="2809"/>
      <c r="F73" s="2809"/>
      <c r="G73" s="2809"/>
      <c r="H73" s="2809"/>
      <c r="I73" s="2809"/>
      <c r="J73" s="2809"/>
      <c r="K73" s="2809"/>
      <c r="L73" s="2809"/>
      <c r="M73" s="2809"/>
      <c r="N73" s="2409">
        <v>15.414463</v>
      </c>
      <c r="O73" s="2410">
        <v>1.3783012999999997</v>
      </c>
      <c r="P73" s="2409">
        <f t="shared" si="39"/>
        <v>0.89416108754485957</v>
      </c>
      <c r="Q73" s="2410">
        <v>2.3990205000000002</v>
      </c>
      <c r="R73" s="2410">
        <f t="shared" si="40"/>
        <v>1.5563438700394561</v>
      </c>
      <c r="S73" s="2410">
        <v>1.2365E-3</v>
      </c>
      <c r="T73" s="2410">
        <f t="shared" si="41"/>
        <v>8.0216871648399303E-4</v>
      </c>
      <c r="U73" s="2410"/>
      <c r="V73" s="2410">
        <f t="shared" si="42"/>
        <v>3.7785583000000003</v>
      </c>
      <c r="W73" s="2410">
        <f t="shared" si="43"/>
        <v>2.4513071263007995</v>
      </c>
      <c r="X73" s="2411">
        <v>17.011768000000004</v>
      </c>
      <c r="Y73" s="2411">
        <v>1.4306450000000002</v>
      </c>
      <c r="Z73" s="2411">
        <f t="shared" si="44"/>
        <v>0.84097373065515579</v>
      </c>
      <c r="AA73" s="2411">
        <v>2.9295470000000003</v>
      </c>
      <c r="AB73" s="2411">
        <f t="shared" si="45"/>
        <v>1.7220708629461676</v>
      </c>
      <c r="AC73" s="2411">
        <v>0</v>
      </c>
      <c r="AD73" s="2412">
        <f t="shared" si="46"/>
        <v>0</v>
      </c>
      <c r="AE73" s="2411"/>
      <c r="AF73" s="2411">
        <f t="shared" si="47"/>
        <v>4.3601920000000005</v>
      </c>
      <c r="AG73" s="2411">
        <f t="shared" si="48"/>
        <v>2.5630445936013233</v>
      </c>
      <c r="AH73" s="2412">
        <f>IFERROR(VLOOKUP($A73,F13_21_22!$B$14:$O$217,9,0),0)</f>
        <v>15.360166333333334</v>
      </c>
      <c r="AI73" s="2412">
        <f>IFERROR(VLOOKUP($A73,F13_21_22!$B$14:$O$217,10,0),0)</f>
        <v>1.3980198124999998</v>
      </c>
      <c r="AJ73" s="2412">
        <f t="shared" si="49"/>
        <v>0.91015929265436113</v>
      </c>
      <c r="AK73" s="2412">
        <f>IFERROR(VLOOKUP($A73,F13_21_22!$B$14:$O$217,11,0),0)</f>
        <v>2.5718508888234721</v>
      </c>
      <c r="AL73" s="2401">
        <f t="shared" si="50"/>
        <v>1.6743639574021141</v>
      </c>
      <c r="AM73" s="2412">
        <f>IFERROR(VLOOKUP($A73,F13_21_22!$B$14:$O$217,12,0),0)</f>
        <v>7.6447000000000008E-3</v>
      </c>
      <c r="AN73" s="2412">
        <f t="shared" si="51"/>
        <v>4.9769643336544604E-3</v>
      </c>
      <c r="AO73" s="2411"/>
      <c r="AP73" s="2411">
        <f t="shared" si="52"/>
        <v>3.9775154013234721</v>
      </c>
      <c r="AQ73" s="2411">
        <f t="shared" si="53"/>
        <v>2.5895002143901298</v>
      </c>
      <c r="AR73" s="2406">
        <f>IFERROR(VLOOKUP($A73,F13_22_23!$B$14:$O$215,9,0),0)</f>
        <v>17.626664473333335</v>
      </c>
      <c r="AS73" s="2406">
        <f>IFERROR(VLOOKUP($A73,F13_22_23!$B$14:$O$215,10,0),0)</f>
        <v>1.5772861125000002</v>
      </c>
      <c r="AT73" s="2406">
        <f t="shared" si="54"/>
        <v>0.89482960028325964</v>
      </c>
      <c r="AU73" s="2406">
        <f>IFERROR(VLOOKUP($A73,F13_22_23!$B$14:$O$215,11,0),0)</f>
        <v>3.1580681658594094</v>
      </c>
      <c r="AV73" s="2406">
        <f t="shared" si="55"/>
        <v>1.7916425258091921</v>
      </c>
      <c r="AW73" s="2406">
        <f>IFERROR(VLOOKUP($A73,F13_22_23!$B$14:$O$215,12,0),0)</f>
        <v>0</v>
      </c>
      <c r="AX73" s="2406"/>
      <c r="AY73" s="2406">
        <f t="shared" si="56"/>
        <v>4.7353542783594094</v>
      </c>
      <c r="AZ73" s="2406">
        <f t="shared" si="57"/>
        <v>2.6864721260924518</v>
      </c>
    </row>
    <row r="74" spans="1:52" s="2350" customFormat="1">
      <c r="A74" s="2404" t="s">
        <v>1704</v>
      </c>
      <c r="B74" s="2405" t="s">
        <v>1649</v>
      </c>
      <c r="C74" s="2405">
        <v>1</v>
      </c>
      <c r="D74" s="2809"/>
      <c r="E74" s="2809"/>
      <c r="F74" s="2809"/>
      <c r="G74" s="2809"/>
      <c r="H74" s="2809"/>
      <c r="I74" s="2809"/>
      <c r="J74" s="2809"/>
      <c r="K74" s="2809"/>
      <c r="L74" s="2809"/>
      <c r="M74" s="2809"/>
      <c r="N74" s="2409">
        <v>11.710984</v>
      </c>
      <c r="O74" s="2410">
        <v>0.84265030000000074</v>
      </c>
      <c r="P74" s="2409">
        <f t="shared" si="39"/>
        <v>0.71953842648918376</v>
      </c>
      <c r="Q74" s="2410">
        <v>1.7105646999999999</v>
      </c>
      <c r="R74" s="2410">
        <f t="shared" si="40"/>
        <v>1.4606498480400965</v>
      </c>
      <c r="S74" s="2410">
        <v>9.8229999999999997E-4</v>
      </c>
      <c r="T74" s="2410">
        <f t="shared" si="41"/>
        <v>8.3878519516378811E-4</v>
      </c>
      <c r="U74" s="2410"/>
      <c r="V74" s="2410">
        <f t="shared" si="42"/>
        <v>2.5541973000000007</v>
      </c>
      <c r="W74" s="2410">
        <f t="shared" si="43"/>
        <v>2.1810270597244439</v>
      </c>
      <c r="X74" s="2411">
        <v>12.598735999999999</v>
      </c>
      <c r="Y74" s="2411">
        <v>0.84584349999999997</v>
      </c>
      <c r="Z74" s="2411">
        <f t="shared" si="44"/>
        <v>0.67137171538478146</v>
      </c>
      <c r="AA74" s="2411">
        <v>2.0845548000000003</v>
      </c>
      <c r="AB74" s="2411">
        <f t="shared" si="45"/>
        <v>1.6545745541457495</v>
      </c>
      <c r="AC74" s="2411">
        <v>2.7922999999999993E-3</v>
      </c>
      <c r="AD74" s="2412">
        <f t="shared" si="46"/>
        <v>2.2163334480538362E-3</v>
      </c>
      <c r="AE74" s="2411"/>
      <c r="AF74" s="2411">
        <f t="shared" si="47"/>
        <v>2.9331906000000001</v>
      </c>
      <c r="AG74" s="2411">
        <f t="shared" si="48"/>
        <v>2.3281626029785847</v>
      </c>
      <c r="AH74" s="2412">
        <f>IFERROR(VLOOKUP($A74,F13_21_22!$B$14:$O$217,9,0),0)</f>
        <v>9.1287286666666674</v>
      </c>
      <c r="AI74" s="2412">
        <f>IFERROR(VLOOKUP($A74,F13_21_22!$B$14:$O$217,10,0),0)</f>
        <v>0.72456941874999992</v>
      </c>
      <c r="AJ74" s="2412">
        <f t="shared" si="49"/>
        <v>0.79372434564272654</v>
      </c>
      <c r="AK74" s="2412">
        <f>IFERROR(VLOOKUP($A74,F13_21_22!$B$14:$O$217,11,0),0)</f>
        <v>1.4739996743620134</v>
      </c>
      <c r="AL74" s="2401">
        <f t="shared" si="50"/>
        <v>1.6146823157799484</v>
      </c>
      <c r="AM74" s="2412">
        <f>IFERROR(VLOOKUP($A74,F13_21_22!$B$14:$O$217,12,0),0)</f>
        <v>2.0351399999999999E-2</v>
      </c>
      <c r="AN74" s="2412">
        <f t="shared" si="51"/>
        <v>2.2293794396926973E-2</v>
      </c>
      <c r="AO74" s="2411"/>
      <c r="AP74" s="2411">
        <f t="shared" si="52"/>
        <v>2.2189204931120132</v>
      </c>
      <c r="AQ74" s="2411">
        <f t="shared" si="53"/>
        <v>2.4307004558196015</v>
      </c>
      <c r="AR74" s="2406">
        <f>IFERROR(VLOOKUP($A74,F13_22_23!$B$14:$O$215,9,0),0)</f>
        <v>13.165676233870965</v>
      </c>
      <c r="AS74" s="2406">
        <f>IFERROR(VLOOKUP($A74,F13_22_23!$B$14:$O$215,10,0),0)</f>
        <v>0.93254245875000008</v>
      </c>
      <c r="AT74" s="2406">
        <f t="shared" si="54"/>
        <v>0.708313376528943</v>
      </c>
      <c r="AU74" s="2406">
        <f>IFERROR(VLOOKUP($A74,F13_22_23!$B$14:$O$215,11,0),0)</f>
        <v>2.2663650037225591</v>
      </c>
      <c r="AV74" s="2406">
        <f t="shared" si="55"/>
        <v>1.721419366133238</v>
      </c>
      <c r="AW74" s="2406">
        <f>IFERROR(VLOOKUP($A74,F13_22_23!$B$14:$O$215,12,0),0)</f>
        <v>0</v>
      </c>
      <c r="AX74" s="2406"/>
      <c r="AY74" s="2406">
        <f t="shared" si="56"/>
        <v>3.1989074624725591</v>
      </c>
      <c r="AZ74" s="2406">
        <f t="shared" si="57"/>
        <v>2.4297327426621811</v>
      </c>
    </row>
    <row r="75" spans="1:52" s="2350" customFormat="1">
      <c r="A75" s="2404" t="s">
        <v>1705</v>
      </c>
      <c r="B75" s="2405" t="s">
        <v>1649</v>
      </c>
      <c r="C75" s="2405">
        <v>1</v>
      </c>
      <c r="D75" s="2809"/>
      <c r="E75" s="2809"/>
      <c r="F75" s="2809"/>
      <c r="G75" s="2809"/>
      <c r="H75" s="2809"/>
      <c r="I75" s="2809"/>
      <c r="J75" s="2809"/>
      <c r="K75" s="2809"/>
      <c r="L75" s="2809"/>
      <c r="M75" s="2809"/>
      <c r="N75" s="2409">
        <v>12.390331</v>
      </c>
      <c r="O75" s="2410">
        <v>1.1873437</v>
      </c>
      <c r="P75" s="2409">
        <f t="shared" si="39"/>
        <v>0.95828247041987824</v>
      </c>
      <c r="Q75" s="2410">
        <v>1.8092301000000002</v>
      </c>
      <c r="R75" s="2410">
        <f t="shared" si="40"/>
        <v>1.4601951311873751</v>
      </c>
      <c r="S75" s="2410">
        <v>1.8983000000000021E-3</v>
      </c>
      <c r="T75" s="2410">
        <f t="shared" si="41"/>
        <v>1.5320817498741576E-3</v>
      </c>
      <c r="U75" s="2410"/>
      <c r="V75" s="2410">
        <f t="shared" si="42"/>
        <v>2.9984721000000003</v>
      </c>
      <c r="W75" s="2410">
        <f t="shared" si="43"/>
        <v>2.4200096833571276</v>
      </c>
      <c r="X75" s="2411">
        <v>14.285893000000002</v>
      </c>
      <c r="Y75" s="2411">
        <v>1.3754347</v>
      </c>
      <c r="Z75" s="2411">
        <f t="shared" si="44"/>
        <v>0.9627922454690091</v>
      </c>
      <c r="AA75" s="2411">
        <v>2.3722396999999997</v>
      </c>
      <c r="AB75" s="2411">
        <f t="shared" si="45"/>
        <v>1.6605470165568226</v>
      </c>
      <c r="AC75" s="2411">
        <v>6.9118000000000027E-3</v>
      </c>
      <c r="AD75" s="2412">
        <f t="shared" si="46"/>
        <v>4.8381994741245804E-3</v>
      </c>
      <c r="AE75" s="2411"/>
      <c r="AF75" s="2411">
        <f t="shared" si="47"/>
        <v>3.7545861999999999</v>
      </c>
      <c r="AG75" s="2411">
        <f t="shared" si="48"/>
        <v>2.6281774614999565</v>
      </c>
      <c r="AH75" s="2412">
        <f>IFERROR(VLOOKUP($A75,F13_21_22!$B$14:$O$217,9,0),0)</f>
        <v>10.012395666666666</v>
      </c>
      <c r="AI75" s="2412">
        <f>IFERROR(VLOOKUP($A75,F13_21_22!$B$14:$O$217,10,0),0)</f>
        <v>1.1699649087499999</v>
      </c>
      <c r="AJ75" s="2412">
        <f t="shared" si="49"/>
        <v>1.1685164547032982</v>
      </c>
      <c r="AK75" s="2412">
        <f>IFERROR(VLOOKUP($A75,F13_21_22!$B$14:$O$217,11,0),0)</f>
        <v>1.6071670893458319</v>
      </c>
      <c r="AL75" s="2401">
        <f t="shared" si="50"/>
        <v>1.6051773649901024</v>
      </c>
      <c r="AM75" s="2412">
        <f>IFERROR(VLOOKUP($A75,F13_21_22!$B$14:$O$217,12,0),0)</f>
        <v>3.1881999999999995E-3</v>
      </c>
      <c r="AN75" s="2412">
        <f t="shared" si="51"/>
        <v>3.184252906239189E-3</v>
      </c>
      <c r="AO75" s="2411"/>
      <c r="AP75" s="2411">
        <f t="shared" si="52"/>
        <v>2.7803201980958314</v>
      </c>
      <c r="AQ75" s="2411">
        <f t="shared" si="53"/>
        <v>2.7768780725996396</v>
      </c>
      <c r="AR75" s="2406">
        <f>IFERROR(VLOOKUP($A75,F13_22_23!$B$14:$O$215,9,0),0)</f>
        <v>14.658314795698923</v>
      </c>
      <c r="AS75" s="2406">
        <f>IFERROR(VLOOKUP($A75,F13_22_23!$B$14:$O$215,10,0),0)</f>
        <v>1.5164167567500002</v>
      </c>
      <c r="AT75" s="2406">
        <f t="shared" si="54"/>
        <v>1.0345096130661287</v>
      </c>
      <c r="AU75" s="2406">
        <f>IFERROR(VLOOKUP($A75,F13_22_23!$B$14:$O$215,11,0),0)</f>
        <v>2.5324190066179222</v>
      </c>
      <c r="AV75" s="2406">
        <f t="shared" si="55"/>
        <v>1.7276331160257186</v>
      </c>
      <c r="AW75" s="2406">
        <f>IFERROR(VLOOKUP($A75,F13_22_23!$B$14:$O$215,12,0),0)</f>
        <v>0</v>
      </c>
      <c r="AX75" s="2406"/>
      <c r="AY75" s="2406">
        <f t="shared" si="56"/>
        <v>4.0488357633679222</v>
      </c>
      <c r="AZ75" s="2406">
        <f t="shared" si="57"/>
        <v>2.7621427290918472</v>
      </c>
    </row>
    <row r="76" spans="1:52" s="2350" customFormat="1">
      <c r="A76" s="2404" t="s">
        <v>1706</v>
      </c>
      <c r="B76" s="2405" t="s">
        <v>1649</v>
      </c>
      <c r="C76" s="2405">
        <v>1</v>
      </c>
      <c r="D76" s="2809"/>
      <c r="E76" s="2809"/>
      <c r="F76" s="2809"/>
      <c r="G76" s="2809"/>
      <c r="H76" s="2809"/>
      <c r="I76" s="2809"/>
      <c r="J76" s="2809"/>
      <c r="K76" s="2809"/>
      <c r="L76" s="2809"/>
      <c r="M76" s="2809"/>
      <c r="N76" s="2409">
        <v>17.91958</v>
      </c>
      <c r="O76" s="2410">
        <v>2.7434218000000001</v>
      </c>
      <c r="P76" s="2409">
        <f t="shared" si="39"/>
        <v>1.5309632257006025</v>
      </c>
      <c r="Q76" s="2410">
        <v>2.6172595000000003</v>
      </c>
      <c r="R76" s="2410">
        <f t="shared" si="40"/>
        <v>1.4605585063935653</v>
      </c>
      <c r="S76" s="2410">
        <v>1.9061399999999999E-2</v>
      </c>
      <c r="T76" s="2410">
        <f t="shared" si="41"/>
        <v>1.0637191273456185E-2</v>
      </c>
      <c r="U76" s="2410"/>
      <c r="V76" s="2410">
        <f t="shared" si="42"/>
        <v>5.3797427000000004</v>
      </c>
      <c r="W76" s="2410">
        <f t="shared" si="43"/>
        <v>3.0021589233676238</v>
      </c>
      <c r="X76" s="2411">
        <v>16.118005</v>
      </c>
      <c r="Y76" s="2411">
        <v>2.6504593000000005</v>
      </c>
      <c r="Z76" s="2411">
        <f t="shared" si="44"/>
        <v>1.644409032011096</v>
      </c>
      <c r="AA76" s="2411">
        <v>2.7289015000000001</v>
      </c>
      <c r="AB76" s="2411">
        <f t="shared" si="45"/>
        <v>1.6930764694513991</v>
      </c>
      <c r="AC76" s="2411">
        <v>9.7313999999999994E-3</v>
      </c>
      <c r="AD76" s="2412">
        <f t="shared" si="46"/>
        <v>6.0375958439025171E-3</v>
      </c>
      <c r="AE76" s="2411"/>
      <c r="AF76" s="2411">
        <f t="shared" si="47"/>
        <v>5.3890922000000003</v>
      </c>
      <c r="AG76" s="2411">
        <f t="shared" si="48"/>
        <v>3.3435230973063979</v>
      </c>
      <c r="AH76" s="2412">
        <f>IFERROR(VLOOKUP($A76,F13_21_22!$B$14:$O$217,9,0),0)</f>
        <v>14.107248333333335</v>
      </c>
      <c r="AI76" s="2412">
        <f>IFERROR(VLOOKUP($A76,F13_21_22!$B$14:$O$217,10,0),0)</f>
        <v>2.36913296625</v>
      </c>
      <c r="AJ76" s="2412">
        <f t="shared" si="49"/>
        <v>1.6793728374739745</v>
      </c>
      <c r="AK76" s="2412">
        <f>IFERROR(VLOOKUP($A76,F13_21_22!$B$14:$O$217,11,0),0)</f>
        <v>2.2602225504483218</v>
      </c>
      <c r="AL76" s="2401">
        <f t="shared" si="50"/>
        <v>1.6021710946334953</v>
      </c>
      <c r="AM76" s="2412">
        <f>IFERROR(VLOOKUP($A76,F13_21_22!$B$14:$O$217,12,0),0)</f>
        <v>6.4708999999999999E-3</v>
      </c>
      <c r="AN76" s="2412">
        <f t="shared" si="51"/>
        <v>4.5869327930594533E-3</v>
      </c>
      <c r="AO76" s="2411"/>
      <c r="AP76" s="2411">
        <f t="shared" si="52"/>
        <v>4.6358264166983219</v>
      </c>
      <c r="AQ76" s="2411">
        <f t="shared" si="53"/>
        <v>3.286130864900529</v>
      </c>
      <c r="AR76" s="2406">
        <f>IFERROR(VLOOKUP($A76,F13_22_23!$B$14:$O$215,9,0),0)</f>
        <v>17.859387284946237</v>
      </c>
      <c r="AS76" s="2406">
        <f>IFERROR(VLOOKUP($A76,F13_22_23!$B$14:$O$215,10,0),0)</f>
        <v>2.9221313782500009</v>
      </c>
      <c r="AT76" s="2406">
        <f t="shared" si="54"/>
        <v>1.6361879227027454</v>
      </c>
      <c r="AU76" s="2406">
        <f>IFERROR(VLOOKUP($A76,F13_22_23!$B$14:$O$215,11,0),0)</f>
        <v>3.1458895629148853</v>
      </c>
      <c r="AV76" s="2406">
        <f t="shared" si="55"/>
        <v>1.7614767588172358</v>
      </c>
      <c r="AW76" s="2406">
        <f>IFERROR(VLOOKUP($A76,F13_22_23!$B$14:$O$215,12,0),0)</f>
        <v>0</v>
      </c>
      <c r="AX76" s="2406"/>
      <c r="AY76" s="2406">
        <f t="shared" si="56"/>
        <v>6.0680209411648862</v>
      </c>
      <c r="AZ76" s="2406">
        <f t="shared" si="57"/>
        <v>3.3976646815199811</v>
      </c>
    </row>
    <row r="77" spans="1:52" s="2350" customFormat="1">
      <c r="A77" s="2404" t="s">
        <v>1707</v>
      </c>
      <c r="B77" s="2405" t="s">
        <v>1649</v>
      </c>
      <c r="C77" s="2405">
        <v>1</v>
      </c>
      <c r="D77" s="2809"/>
      <c r="E77" s="2809"/>
      <c r="F77" s="2809"/>
      <c r="G77" s="2809"/>
      <c r="H77" s="2809"/>
      <c r="I77" s="2809"/>
      <c r="J77" s="2809"/>
      <c r="K77" s="2809"/>
      <c r="L77" s="2809"/>
      <c r="M77" s="2809"/>
      <c r="N77" s="2409">
        <v>8.3450664999999997</v>
      </c>
      <c r="O77" s="2410">
        <v>1.3064157999999999</v>
      </c>
      <c r="P77" s="2409">
        <f t="shared" si="39"/>
        <v>1.5654947746671641</v>
      </c>
      <c r="Q77" s="2410">
        <v>1.2259045999999998</v>
      </c>
      <c r="R77" s="2410">
        <f t="shared" si="40"/>
        <v>1.4690171732004771</v>
      </c>
      <c r="S77" s="2410">
        <v>-3.1474000000000003E-3</v>
      </c>
      <c r="T77" s="2410">
        <f t="shared" si="41"/>
        <v>-3.7715697052863512E-3</v>
      </c>
      <c r="U77" s="2410"/>
      <c r="V77" s="2410">
        <f t="shared" si="42"/>
        <v>2.5291729999999997</v>
      </c>
      <c r="W77" s="2410">
        <f t="shared" si="43"/>
        <v>3.030740378162355</v>
      </c>
      <c r="X77" s="2411">
        <v>9.3614359999999994</v>
      </c>
      <c r="Y77" s="2411">
        <v>1.5280922000000001</v>
      </c>
      <c r="Z77" s="2411">
        <f t="shared" si="44"/>
        <v>1.6323267071419387</v>
      </c>
      <c r="AA77" s="2411">
        <v>1.6245752</v>
      </c>
      <c r="AB77" s="2411">
        <f t="shared" si="45"/>
        <v>1.7353910233430001</v>
      </c>
      <c r="AC77" s="2411">
        <v>0</v>
      </c>
      <c r="AD77" s="2412">
        <f t="shared" si="46"/>
        <v>0</v>
      </c>
      <c r="AE77" s="2411"/>
      <c r="AF77" s="2411">
        <f t="shared" si="47"/>
        <v>3.1526674000000003</v>
      </c>
      <c r="AG77" s="2411">
        <f t="shared" si="48"/>
        <v>3.3677177304849386</v>
      </c>
      <c r="AH77" s="2412">
        <f>IFERROR(VLOOKUP($A77,F13_21_22!$B$14:$O$217,9,0),0)</f>
        <v>7.8932241666666672</v>
      </c>
      <c r="AI77" s="2412">
        <f>IFERROR(VLOOKUP($A77,F13_21_22!$B$14:$O$217,10,0),0)</f>
        <v>1.3931060024999999</v>
      </c>
      <c r="AJ77" s="2412">
        <f t="shared" si="49"/>
        <v>1.7649391086384323</v>
      </c>
      <c r="AK77" s="2412">
        <f>IFERROR(VLOOKUP($A77,F13_21_22!$B$14:$O$217,11,0),0)</f>
        <v>1.2964621689684657</v>
      </c>
      <c r="AL77" s="2401">
        <f t="shared" si="50"/>
        <v>1.6425001261758989</v>
      </c>
      <c r="AM77" s="2412">
        <f>IFERROR(VLOOKUP($A77,F13_21_22!$B$14:$O$217,12,0),0)</f>
        <v>4.1039000000000023E-3</v>
      </c>
      <c r="AN77" s="2412">
        <f t="shared" si="51"/>
        <v>5.1992695422624635E-3</v>
      </c>
      <c r="AO77" s="2411"/>
      <c r="AP77" s="2411">
        <f t="shared" si="52"/>
        <v>2.6936720714684657</v>
      </c>
      <c r="AQ77" s="2411">
        <f t="shared" si="53"/>
        <v>3.4126385043565937</v>
      </c>
      <c r="AR77" s="2406">
        <f>IFERROR(VLOOKUP($A77,F13_22_23!$B$14:$O$215,9,0),0)</f>
        <v>9.1743385133333337</v>
      </c>
      <c r="AS77" s="2406">
        <f>IFERROR(VLOOKUP($A77,F13_22_23!$B$14:$O$215,10,0),0)</f>
        <v>1.6847216505000002</v>
      </c>
      <c r="AT77" s="2406">
        <f t="shared" si="54"/>
        <v>1.8363412774136743</v>
      </c>
      <c r="AU77" s="2406">
        <f>IFERROR(VLOOKUP($A77,F13_22_23!$B$14:$O$215,11,0),0)</f>
        <v>1.6564275715075039</v>
      </c>
      <c r="AV77" s="2406">
        <f t="shared" si="55"/>
        <v>1.8055008206860577</v>
      </c>
      <c r="AW77" s="2406">
        <f>IFERROR(VLOOKUP($A77,F13_22_23!$B$14:$O$215,12,0),0)</f>
        <v>0</v>
      </c>
      <c r="AX77" s="2406"/>
      <c r="AY77" s="2406">
        <f t="shared" si="56"/>
        <v>3.3411492220075041</v>
      </c>
      <c r="AZ77" s="2406">
        <f t="shared" si="57"/>
        <v>3.6418420980997319</v>
      </c>
    </row>
    <row r="78" spans="1:52" s="2350" customFormat="1">
      <c r="A78" s="2404" t="s">
        <v>1854</v>
      </c>
      <c r="B78" s="2405" t="s">
        <v>1649</v>
      </c>
      <c r="C78" s="2405">
        <v>2</v>
      </c>
      <c r="D78" s="2809"/>
      <c r="E78" s="2809"/>
      <c r="F78" s="2809"/>
      <c r="G78" s="2809"/>
      <c r="H78" s="2809"/>
      <c r="I78" s="2809"/>
      <c r="J78" s="2809"/>
      <c r="K78" s="2809"/>
      <c r="L78" s="2809"/>
      <c r="M78" s="2809"/>
      <c r="N78" s="2409">
        <v>126.8799758</v>
      </c>
      <c r="O78" s="2409">
        <v>40.015249500000003</v>
      </c>
      <c r="P78" s="2409">
        <f t="shared" si="39"/>
        <v>3.153787604994168</v>
      </c>
      <c r="Q78" s="2409">
        <v>43.043370199999998</v>
      </c>
      <c r="R78" s="2410">
        <f t="shared" si="40"/>
        <v>3.3924478570084968</v>
      </c>
      <c r="S78" s="2409">
        <v>51.919747999999998</v>
      </c>
      <c r="T78" s="2410">
        <f t="shared" si="41"/>
        <v>4.0920364046916848</v>
      </c>
      <c r="U78" s="2410"/>
      <c r="V78" s="2410">
        <f t="shared" si="42"/>
        <v>134.97836770000001</v>
      </c>
      <c r="W78" s="2410">
        <f t="shared" si="43"/>
        <v>10.638271866694351</v>
      </c>
      <c r="X78" s="2411">
        <v>2599.8820249999999</v>
      </c>
      <c r="Y78" s="2411">
        <v>475.38057459999993</v>
      </c>
      <c r="Z78" s="2411">
        <f t="shared" si="44"/>
        <v>1.8284697922014366</v>
      </c>
      <c r="AA78" s="2411">
        <v>709.80154189999996</v>
      </c>
      <c r="AB78" s="2411">
        <f t="shared" si="45"/>
        <v>2.7301298100247449</v>
      </c>
      <c r="AC78" s="2411">
        <v>11.3758993</v>
      </c>
      <c r="AD78" s="2412">
        <f t="shared" si="46"/>
        <v>4.3755444249436663E-2</v>
      </c>
      <c r="AE78" s="2411"/>
      <c r="AF78" s="2411">
        <f t="shared" si="47"/>
        <v>1196.5580157999998</v>
      </c>
      <c r="AG78" s="2411">
        <f t="shared" si="48"/>
        <v>4.6023550464756182</v>
      </c>
      <c r="AH78" s="2412">
        <f>F13_21_22!J77</f>
        <v>4328.9423394240002</v>
      </c>
      <c r="AI78" s="2412">
        <f>F13_21_22!K77</f>
        <v>711.42612343249982</v>
      </c>
      <c r="AJ78" s="2412">
        <f t="shared" si="49"/>
        <v>1.6434178782043114</v>
      </c>
      <c r="AK78" s="2412">
        <f>F13_21_22!L77</f>
        <v>1175.1138690093746</v>
      </c>
      <c r="AL78" s="2401">
        <f t="shared" si="50"/>
        <v>2.7145519086903169</v>
      </c>
      <c r="AM78" s="2412">
        <f>F13_21_22!M77</f>
        <v>20.137275200000001</v>
      </c>
      <c r="AN78" s="2412">
        <f t="shared" si="51"/>
        <v>4.6517771827562442E-2</v>
      </c>
      <c r="AO78" s="2411"/>
      <c r="AP78" s="2411">
        <f t="shared" si="52"/>
        <v>1906.6772676418743</v>
      </c>
      <c r="AQ78" s="2411">
        <f t="shared" si="53"/>
        <v>4.4044875587221908</v>
      </c>
      <c r="AR78" s="2406">
        <f>F13_22_23!J77</f>
        <v>2775.3961157208005</v>
      </c>
      <c r="AS78" s="2406">
        <f>F13_22_23!K77</f>
        <v>524.10708349649997</v>
      </c>
      <c r="AT78" s="2406">
        <f t="shared" si="54"/>
        <v>1.8884046155710055</v>
      </c>
      <c r="AU78" s="2406">
        <f>F13_22_23!L77</f>
        <v>788.3310213630557</v>
      </c>
      <c r="AV78" s="2406">
        <f t="shared" si="55"/>
        <v>2.8404270543497452</v>
      </c>
      <c r="AW78" s="2406">
        <f>IFERROR(VLOOKUP($A78,F13_22_23!$B$14:$O$215,12,0),0)</f>
        <v>0</v>
      </c>
      <c r="AX78" s="2406"/>
      <c r="AY78" s="2406">
        <f t="shared" si="56"/>
        <v>1312.4381048595556</v>
      </c>
      <c r="AZ78" s="2406">
        <f t="shared" si="57"/>
        <v>4.7288316699207495</v>
      </c>
    </row>
    <row r="79" spans="1:52" s="2418" customFormat="1">
      <c r="A79" s="2404" t="s">
        <v>1710</v>
      </c>
      <c r="B79" s="2405" t="s">
        <v>1649</v>
      </c>
      <c r="C79" s="2405">
        <v>1</v>
      </c>
      <c r="D79" s="2809"/>
      <c r="E79" s="2809"/>
      <c r="F79" s="2809"/>
      <c r="G79" s="2809"/>
      <c r="H79" s="2809"/>
      <c r="I79" s="2809"/>
      <c r="J79" s="2809"/>
      <c r="K79" s="2809"/>
      <c r="L79" s="2809"/>
      <c r="M79" s="2809"/>
      <c r="N79" s="2409"/>
      <c r="O79" s="2410"/>
      <c r="P79" s="2409"/>
      <c r="Q79" s="2410"/>
      <c r="R79" s="2410"/>
      <c r="S79" s="2410"/>
      <c r="T79" s="2410"/>
      <c r="U79" s="2410"/>
      <c r="V79" s="2410"/>
      <c r="W79" s="2410"/>
      <c r="X79" s="2411">
        <v>0</v>
      </c>
      <c r="Y79" s="2411">
        <v>0</v>
      </c>
      <c r="Z79" s="2411">
        <f t="shared" si="44"/>
        <v>0</v>
      </c>
      <c r="AA79" s="2411">
        <v>0</v>
      </c>
      <c r="AB79" s="2411">
        <f t="shared" si="45"/>
        <v>0</v>
      </c>
      <c r="AC79" s="2411">
        <v>0</v>
      </c>
      <c r="AD79" s="2412">
        <f t="shared" si="46"/>
        <v>0</v>
      </c>
      <c r="AE79" s="2411"/>
      <c r="AF79" s="2411">
        <f t="shared" si="47"/>
        <v>0</v>
      </c>
      <c r="AG79" s="2411">
        <f t="shared" si="48"/>
        <v>0</v>
      </c>
      <c r="AH79" s="2412">
        <f>IFERROR(VLOOKUP($A79,F13_21_22!$B$14:$O$217,9,0),0)</f>
        <v>0</v>
      </c>
      <c r="AI79" s="2412">
        <f>IFERROR(VLOOKUP($A79,F13_21_22!$B$14:$O$217,10,0),0)</f>
        <v>0</v>
      </c>
      <c r="AJ79" s="2412">
        <f t="shared" si="49"/>
        <v>0</v>
      </c>
      <c r="AK79" s="2412">
        <f>IFERROR(VLOOKUP($A79,F13_21_22!$B$14:$O$217,11,0),0)</f>
        <v>0</v>
      </c>
      <c r="AL79" s="2401">
        <f t="shared" si="50"/>
        <v>0</v>
      </c>
      <c r="AM79" s="2412">
        <f>IFERROR(VLOOKUP($A79,F13_21_22!$B$14:$O$217,12,0),0)</f>
        <v>0</v>
      </c>
      <c r="AN79" s="2412">
        <f t="shared" si="51"/>
        <v>0</v>
      </c>
      <c r="AO79" s="2411"/>
      <c r="AP79" s="2411">
        <f t="shared" si="52"/>
        <v>0</v>
      </c>
      <c r="AQ79" s="2411">
        <f t="shared" si="53"/>
        <v>0</v>
      </c>
      <c r="AR79" s="2406">
        <f>IFERROR(VLOOKUP($A79,F13_22_23!$B$14:$O$215,9,0),0)</f>
        <v>0</v>
      </c>
      <c r="AS79" s="2406">
        <f>IFERROR(VLOOKUP($A79,F13_22_23!$B$14:$O$215,10,0),0)</f>
        <v>0</v>
      </c>
      <c r="AT79" s="2406">
        <f t="shared" si="54"/>
        <v>0</v>
      </c>
      <c r="AU79" s="2406">
        <f>IFERROR(VLOOKUP($A79,F13_22_23!$B$14:$O$215,11,0),0)</f>
        <v>0</v>
      </c>
      <c r="AV79" s="2406">
        <f t="shared" si="55"/>
        <v>0</v>
      </c>
      <c r="AW79" s="2406">
        <f>IFERROR(VLOOKUP($A79,F13_22_23!$B$14:$O$215,12,0),0)</f>
        <v>0</v>
      </c>
      <c r="AX79" s="2406"/>
      <c r="AY79" s="2406">
        <f t="shared" si="56"/>
        <v>0</v>
      </c>
      <c r="AZ79" s="2406">
        <f t="shared" si="57"/>
        <v>0</v>
      </c>
    </row>
    <row r="80" spans="1:52" s="2418" customFormat="1">
      <c r="A80" s="2419" t="s">
        <v>2134</v>
      </c>
      <c r="B80" s="2405" t="s">
        <v>1649</v>
      </c>
      <c r="C80" s="2405">
        <v>1</v>
      </c>
      <c r="D80" s="2809"/>
      <c r="E80" s="2809"/>
      <c r="F80" s="2809"/>
      <c r="G80" s="2809"/>
      <c r="H80" s="2809"/>
      <c r="I80" s="2809"/>
      <c r="J80" s="2809"/>
      <c r="K80" s="2809"/>
      <c r="L80" s="2809"/>
      <c r="M80" s="2809"/>
      <c r="N80" s="2409"/>
      <c r="O80" s="2410"/>
      <c r="P80" s="2409"/>
      <c r="Q80" s="2410"/>
      <c r="R80" s="2410"/>
      <c r="S80" s="2410"/>
      <c r="T80" s="2410"/>
      <c r="U80" s="2410"/>
      <c r="V80" s="2410"/>
      <c r="W80" s="2410"/>
      <c r="X80" s="2411">
        <v>0</v>
      </c>
      <c r="Y80" s="2411">
        <v>0</v>
      </c>
      <c r="Z80" s="2411">
        <f t="shared" si="44"/>
        <v>0</v>
      </c>
      <c r="AA80" s="2411">
        <v>0</v>
      </c>
      <c r="AB80" s="2411">
        <f t="shared" si="45"/>
        <v>0</v>
      </c>
      <c r="AC80" s="2411">
        <v>0</v>
      </c>
      <c r="AD80" s="2412">
        <f t="shared" si="46"/>
        <v>0</v>
      </c>
      <c r="AE80" s="2411"/>
      <c r="AF80" s="2411">
        <f t="shared" si="47"/>
        <v>0</v>
      </c>
      <c r="AG80" s="2411">
        <f t="shared" si="48"/>
        <v>0</v>
      </c>
      <c r="AH80" s="2412">
        <f>IFERROR(VLOOKUP($A80,F13_21_22!$B$14:$O$217,9,0),0)</f>
        <v>0</v>
      </c>
      <c r="AI80" s="2412">
        <f>IFERROR(VLOOKUP($A80,F13_21_22!$B$14:$O$217,10,0),0)</f>
        <v>0</v>
      </c>
      <c r="AJ80" s="2412">
        <f t="shared" si="49"/>
        <v>0</v>
      </c>
      <c r="AK80" s="2412">
        <f>IFERROR(VLOOKUP($A80,F13_21_22!$B$14:$O$217,11,0),0)</f>
        <v>0</v>
      </c>
      <c r="AL80" s="2401">
        <f t="shared" si="50"/>
        <v>0</v>
      </c>
      <c r="AM80" s="2412">
        <f>IFERROR(VLOOKUP($A80,F13_21_22!$B$14:$O$217,12,0),0)</f>
        <v>0</v>
      </c>
      <c r="AN80" s="2412">
        <f t="shared" si="51"/>
        <v>0</v>
      </c>
      <c r="AO80" s="2411"/>
      <c r="AP80" s="2411">
        <f t="shared" si="52"/>
        <v>0</v>
      </c>
      <c r="AQ80" s="2411">
        <f t="shared" si="53"/>
        <v>0</v>
      </c>
      <c r="AR80" s="2406">
        <f>IFERROR(VLOOKUP($A80,F13_22_23!$B$14:$O$215,9,0),0)</f>
        <v>0</v>
      </c>
      <c r="AS80" s="2406">
        <f>IFERROR(VLOOKUP($A80,F13_22_23!$B$14:$O$215,10,0),0)</f>
        <v>0</v>
      </c>
      <c r="AT80" s="2406">
        <f t="shared" si="54"/>
        <v>0</v>
      </c>
      <c r="AU80" s="2406">
        <f>IFERROR(VLOOKUP($A80,F13_22_23!$B$14:$O$215,11,0),0)</f>
        <v>0</v>
      </c>
      <c r="AV80" s="2406">
        <f t="shared" si="55"/>
        <v>0</v>
      </c>
      <c r="AW80" s="2406">
        <f>IFERROR(VLOOKUP($A80,F13_22_23!$B$14:$O$215,12,0),0)</f>
        <v>0</v>
      </c>
      <c r="AX80" s="2406"/>
      <c r="AY80" s="2406">
        <f t="shared" si="56"/>
        <v>0</v>
      </c>
      <c r="AZ80" s="2406">
        <f t="shared" si="57"/>
        <v>0</v>
      </c>
    </row>
    <row r="81" spans="1:52" s="2418" customFormat="1">
      <c r="A81" s="2404" t="s">
        <v>1709</v>
      </c>
      <c r="B81" s="2405" t="s">
        <v>1649</v>
      </c>
      <c r="C81" s="2405">
        <v>1</v>
      </c>
      <c r="D81" s="2809"/>
      <c r="E81" s="2809"/>
      <c r="F81" s="2809"/>
      <c r="G81" s="2809"/>
      <c r="H81" s="2809"/>
      <c r="I81" s="2809"/>
      <c r="J81" s="2809"/>
      <c r="K81" s="2809"/>
      <c r="L81" s="2809"/>
      <c r="M81" s="2809"/>
      <c r="N81" s="2409"/>
      <c r="O81" s="2410"/>
      <c r="P81" s="2409"/>
      <c r="Q81" s="2410"/>
      <c r="R81" s="2410"/>
      <c r="S81" s="2410"/>
      <c r="T81" s="2410"/>
      <c r="U81" s="2410"/>
      <c r="V81" s="2410"/>
      <c r="W81" s="2410"/>
      <c r="X81" s="2411">
        <v>0</v>
      </c>
      <c r="Y81" s="2411">
        <v>0</v>
      </c>
      <c r="Z81" s="2411">
        <f t="shared" si="44"/>
        <v>0</v>
      </c>
      <c r="AA81" s="2411">
        <v>0</v>
      </c>
      <c r="AB81" s="2411">
        <f t="shared" si="45"/>
        <v>0</v>
      </c>
      <c r="AC81" s="2411">
        <v>0</v>
      </c>
      <c r="AD81" s="2412">
        <f t="shared" si="46"/>
        <v>0</v>
      </c>
      <c r="AE81" s="2411"/>
      <c r="AF81" s="2411">
        <f t="shared" si="47"/>
        <v>0</v>
      </c>
      <c r="AG81" s="2411">
        <f t="shared" si="48"/>
        <v>0</v>
      </c>
      <c r="AH81" s="2412">
        <f>IFERROR(VLOOKUP($A81,F13_21_22!$B$14:$O$217,9,0),0)</f>
        <v>0</v>
      </c>
      <c r="AI81" s="2412">
        <f>IFERROR(VLOOKUP($A81,F13_21_22!$B$14:$O$217,10,0),0)</f>
        <v>0</v>
      </c>
      <c r="AJ81" s="2412">
        <f t="shared" si="49"/>
        <v>0</v>
      </c>
      <c r="AK81" s="2412">
        <f>IFERROR(VLOOKUP($A81,F13_21_22!$B$14:$O$217,11,0),0)</f>
        <v>0</v>
      </c>
      <c r="AL81" s="2401">
        <f t="shared" si="50"/>
        <v>0</v>
      </c>
      <c r="AM81" s="2412">
        <f>IFERROR(VLOOKUP($A81,F13_21_22!$B$14:$O$217,12,0),0)</f>
        <v>0</v>
      </c>
      <c r="AN81" s="2412">
        <f t="shared" si="51"/>
        <v>0</v>
      </c>
      <c r="AO81" s="2411"/>
      <c r="AP81" s="2411">
        <f t="shared" si="52"/>
        <v>0</v>
      </c>
      <c r="AQ81" s="2411">
        <f t="shared" si="53"/>
        <v>0</v>
      </c>
      <c r="AR81" s="2406">
        <f>IFERROR(VLOOKUP($A81,F13_22_23!$B$14:$O$215,9,0),0)</f>
        <v>0</v>
      </c>
      <c r="AS81" s="2406">
        <f>IFERROR(VLOOKUP($A81,F13_22_23!$B$14:$O$215,10,0),0)</f>
        <v>0</v>
      </c>
      <c r="AT81" s="2406">
        <f t="shared" si="54"/>
        <v>0</v>
      </c>
      <c r="AU81" s="2406">
        <f>IFERROR(VLOOKUP($A81,F13_22_23!$B$14:$O$215,11,0),0)</f>
        <v>0</v>
      </c>
      <c r="AV81" s="2406">
        <f t="shared" si="55"/>
        <v>0</v>
      </c>
      <c r="AW81" s="2406">
        <f>IFERROR(VLOOKUP($A81,F13_22_23!$B$14:$O$215,12,0),0)</f>
        <v>0</v>
      </c>
      <c r="AX81" s="2406"/>
      <c r="AY81" s="2406">
        <f t="shared" si="56"/>
        <v>0</v>
      </c>
      <c r="AZ81" s="2406">
        <f t="shared" si="57"/>
        <v>0</v>
      </c>
    </row>
    <row r="82" spans="1:52" s="2418" customFormat="1">
      <c r="A82" s="2404" t="s">
        <v>1710</v>
      </c>
      <c r="B82" s="2405" t="s">
        <v>1649</v>
      </c>
      <c r="C82" s="2405">
        <v>1</v>
      </c>
      <c r="D82" s="2809"/>
      <c r="E82" s="2809"/>
      <c r="F82" s="2809"/>
      <c r="G82" s="2809"/>
      <c r="H82" s="2809"/>
      <c r="I82" s="2809"/>
      <c r="J82" s="2809"/>
      <c r="K82" s="2809"/>
      <c r="L82" s="2809"/>
      <c r="M82" s="2809"/>
      <c r="N82" s="2409"/>
      <c r="O82" s="2410"/>
      <c r="P82" s="2409"/>
      <c r="Q82" s="2410"/>
      <c r="R82" s="2410"/>
      <c r="S82" s="2410"/>
      <c r="T82" s="2410"/>
      <c r="U82" s="2410"/>
      <c r="V82" s="2410"/>
      <c r="W82" s="2410"/>
      <c r="X82" s="2411">
        <v>0</v>
      </c>
      <c r="Y82" s="2411">
        <v>0</v>
      </c>
      <c r="Z82" s="2411">
        <f t="shared" si="44"/>
        <v>0</v>
      </c>
      <c r="AA82" s="2411">
        <v>0</v>
      </c>
      <c r="AB82" s="2411">
        <f t="shared" si="45"/>
        <v>0</v>
      </c>
      <c r="AC82" s="2411">
        <v>0</v>
      </c>
      <c r="AD82" s="2412">
        <f t="shared" si="46"/>
        <v>0</v>
      </c>
      <c r="AE82" s="2411"/>
      <c r="AF82" s="2411">
        <f t="shared" si="47"/>
        <v>0</v>
      </c>
      <c r="AG82" s="2411">
        <f t="shared" si="48"/>
        <v>0</v>
      </c>
      <c r="AH82" s="2412">
        <f>IFERROR(VLOOKUP($A82,F13_21_22!$B$14:$O$217,9,0),0)</f>
        <v>0</v>
      </c>
      <c r="AI82" s="2412">
        <f>IFERROR(VLOOKUP($A82,F13_21_22!$B$14:$O$217,10,0),0)</f>
        <v>0</v>
      </c>
      <c r="AJ82" s="2412">
        <f t="shared" si="49"/>
        <v>0</v>
      </c>
      <c r="AK82" s="2412">
        <f>IFERROR(VLOOKUP($A82,F13_21_22!$B$14:$O$217,11,0),0)</f>
        <v>0</v>
      </c>
      <c r="AL82" s="2401">
        <f t="shared" si="50"/>
        <v>0</v>
      </c>
      <c r="AM82" s="2412">
        <f>IFERROR(VLOOKUP($A82,F13_21_22!$B$14:$O$217,12,0),0)</f>
        <v>0</v>
      </c>
      <c r="AN82" s="2412">
        <f t="shared" si="51"/>
        <v>0</v>
      </c>
      <c r="AO82" s="2411"/>
      <c r="AP82" s="2411">
        <f t="shared" si="52"/>
        <v>0</v>
      </c>
      <c r="AQ82" s="2411">
        <f t="shared" si="53"/>
        <v>0</v>
      </c>
      <c r="AR82" s="2406">
        <f>IFERROR(VLOOKUP($A82,F13_22_23!$B$14:$O$215,9,0),0)</f>
        <v>0</v>
      </c>
      <c r="AS82" s="2406">
        <f>IFERROR(VLOOKUP($A82,F13_22_23!$B$14:$O$215,10,0),0)</f>
        <v>0</v>
      </c>
      <c r="AT82" s="2406">
        <f t="shared" si="54"/>
        <v>0</v>
      </c>
      <c r="AU82" s="2406">
        <f>IFERROR(VLOOKUP($A82,F13_22_23!$B$14:$O$215,11,0),0)</f>
        <v>0</v>
      </c>
      <c r="AV82" s="2406">
        <f t="shared" si="55"/>
        <v>0</v>
      </c>
      <c r="AW82" s="2406">
        <f>IFERROR(VLOOKUP($A82,F13_22_23!$B$14:$O$215,12,0),0)</f>
        <v>0</v>
      </c>
      <c r="AX82" s="2406"/>
      <c r="AY82" s="2406">
        <f t="shared" si="56"/>
        <v>0</v>
      </c>
      <c r="AZ82" s="2406">
        <f t="shared" si="57"/>
        <v>0</v>
      </c>
    </row>
    <row r="83" spans="1:52" s="2418" customFormat="1">
      <c r="A83" s="2404" t="s">
        <v>1711</v>
      </c>
      <c r="B83" s="2405" t="s">
        <v>1649</v>
      </c>
      <c r="C83" s="2405">
        <v>1</v>
      </c>
      <c r="D83" s="2809"/>
      <c r="E83" s="2809"/>
      <c r="F83" s="2809"/>
      <c r="G83" s="2809"/>
      <c r="H83" s="2809"/>
      <c r="I83" s="2809"/>
      <c r="J83" s="2809"/>
      <c r="K83" s="2809"/>
      <c r="L83" s="2809"/>
      <c r="M83" s="2809"/>
      <c r="N83" s="2409"/>
      <c r="O83" s="2410"/>
      <c r="P83" s="2409"/>
      <c r="Q83" s="2410"/>
      <c r="R83" s="2410"/>
      <c r="S83" s="2410"/>
      <c r="T83" s="2410"/>
      <c r="U83" s="2410"/>
      <c r="V83" s="2410"/>
      <c r="W83" s="2410"/>
      <c r="X83" s="2411">
        <v>8.8735459999999993</v>
      </c>
      <c r="Y83" s="2411">
        <v>3.0618953000000002</v>
      </c>
      <c r="Z83" s="2411">
        <f t="shared" si="44"/>
        <v>3.4505881865040204</v>
      </c>
      <c r="AA83" s="2411">
        <v>2.6385728000000004</v>
      </c>
      <c r="AB83" s="2411">
        <f t="shared" si="45"/>
        <v>2.9735269304965573</v>
      </c>
      <c r="AC83" s="2411">
        <v>-9.2835000000000001E-3</v>
      </c>
      <c r="AD83" s="2412">
        <f t="shared" si="46"/>
        <v>-1.0461995689209254E-2</v>
      </c>
      <c r="AE83" s="2411"/>
      <c r="AF83" s="2411">
        <f t="shared" si="47"/>
        <v>5.6911845999999997</v>
      </c>
      <c r="AG83" s="2411">
        <f t="shared" si="48"/>
        <v>6.4136531213113681</v>
      </c>
      <c r="AH83" s="2412">
        <f>IFERROR(VLOOKUP($A83,F13_21_22!$B$14:$O$217,9,0),0)</f>
        <v>12.9370349</v>
      </c>
      <c r="AI83" s="2412">
        <f>IFERROR(VLOOKUP($A83,F13_21_22!$B$14:$O$217,10,0),0)</f>
        <v>4.8626544992499987</v>
      </c>
      <c r="AJ83" s="2412">
        <f t="shared" si="49"/>
        <v>3.758708650658428</v>
      </c>
      <c r="AK83" s="2412">
        <f>IFERROR(VLOOKUP($A83,F13_21_22!$B$14:$O$217,11,0),0)</f>
        <v>3.785780433419927</v>
      </c>
      <c r="AL83" s="2401">
        <f t="shared" si="50"/>
        <v>2.9263122985158887</v>
      </c>
      <c r="AM83" s="2412">
        <f>IFERROR(VLOOKUP($A83,F13_21_22!$B$14:$O$217,12,0),0)</f>
        <v>-5.4061399999999996E-2</v>
      </c>
      <c r="AN83" s="2412">
        <f t="shared" si="51"/>
        <v>-4.1788091643781521E-2</v>
      </c>
      <c r="AO83" s="2411"/>
      <c r="AP83" s="2411">
        <f t="shared" si="52"/>
        <v>8.5943735326699251</v>
      </c>
      <c r="AQ83" s="2411">
        <f t="shared" si="53"/>
        <v>6.6432328575305348</v>
      </c>
      <c r="AR83" s="2406">
        <f>IFERROR(VLOOKUP($A83,F13_22_23!$B$14:$O$215,9,0),0)</f>
        <v>0</v>
      </c>
      <c r="AS83" s="2406">
        <f>IFERROR(VLOOKUP($A83,F13_22_23!$B$14:$O$215,10,0),0)</f>
        <v>3.3757395682500007</v>
      </c>
      <c r="AT83" s="2406">
        <f t="shared" si="54"/>
        <v>0</v>
      </c>
      <c r="AU83" s="2406">
        <f>IFERROR(VLOOKUP($A83,F13_22_23!$B$14:$O$215,11,0),0)</f>
        <v>0</v>
      </c>
      <c r="AV83" s="2406">
        <f t="shared" si="55"/>
        <v>0</v>
      </c>
      <c r="AW83" s="2406">
        <f>IFERROR(VLOOKUP($A83,F13_22_23!$B$14:$O$215,12,0),0)</f>
        <v>0</v>
      </c>
      <c r="AX83" s="2406"/>
      <c r="AY83" s="2406">
        <f t="shared" si="56"/>
        <v>3.3757395682500007</v>
      </c>
      <c r="AZ83" s="2406">
        <f t="shared" si="57"/>
        <v>0</v>
      </c>
    </row>
    <row r="84" spans="1:52" s="2418" customFormat="1">
      <c r="A84" s="2404" t="s">
        <v>1712</v>
      </c>
      <c r="B84" s="2405"/>
      <c r="C84" s="2405"/>
      <c r="D84" s="2809"/>
      <c r="E84" s="2809"/>
      <c r="F84" s="2809"/>
      <c r="G84" s="2809"/>
      <c r="H84" s="2809"/>
      <c r="I84" s="2809"/>
      <c r="J84" s="2809"/>
      <c r="K84" s="2809"/>
      <c r="L84" s="2809"/>
      <c r="M84" s="2809"/>
      <c r="N84" s="2409" t="e">
        <v>#N/A</v>
      </c>
      <c r="O84" s="2410" t="e">
        <v>#N/A</v>
      </c>
      <c r="P84" s="2409">
        <f t="shared" si="39"/>
        <v>0</v>
      </c>
      <c r="Q84" s="2410" t="e">
        <v>#N/A</v>
      </c>
      <c r="R84" s="2410">
        <f t="shared" si="40"/>
        <v>0</v>
      </c>
      <c r="S84" s="2410" t="e">
        <v>#N/A</v>
      </c>
      <c r="T84" s="2410">
        <f t="shared" si="41"/>
        <v>0</v>
      </c>
      <c r="U84" s="2410"/>
      <c r="V84" s="2410" t="e">
        <f t="shared" si="42"/>
        <v>#N/A</v>
      </c>
      <c r="W84" s="2410">
        <f t="shared" si="43"/>
        <v>0</v>
      </c>
      <c r="X84" s="2411">
        <v>17.176924000000003</v>
      </c>
      <c r="Y84" s="2411">
        <v>3.9359900000000003</v>
      </c>
      <c r="Z84" s="2411">
        <f t="shared" si="44"/>
        <v>2.2914405396449329</v>
      </c>
      <c r="AA84" s="2411">
        <v>3.9574385000000003</v>
      </c>
      <c r="AB84" s="2411">
        <f t="shared" si="45"/>
        <v>2.3039273504382969</v>
      </c>
      <c r="AC84" s="2411">
        <v>-1.9200000000000033E-5</v>
      </c>
      <c r="AD84" s="2412">
        <f t="shared" si="46"/>
        <v>-1.1177787128824713E-5</v>
      </c>
      <c r="AE84" s="2411"/>
      <c r="AF84" s="2411">
        <f t="shared" si="47"/>
        <v>7.893409300000001</v>
      </c>
      <c r="AG84" s="2411">
        <f t="shared" si="48"/>
        <v>4.595356712296101</v>
      </c>
      <c r="AH84" s="2412">
        <f>IFERROR(VLOOKUP($A84,F13_21_22!$B$14:$O$217,9,0),0)</f>
        <v>22.095973800000003</v>
      </c>
      <c r="AI84" s="2412">
        <f>IFERROR(VLOOKUP($A84,F13_21_22!$B$14:$O$217,10,0),0)</f>
        <v>4.3463036749999988</v>
      </c>
      <c r="AJ84" s="2412">
        <f t="shared" si="49"/>
        <v>1.967011598737503</v>
      </c>
      <c r="AK84" s="2412">
        <f>IFERROR(VLOOKUP($A84,F13_21_22!$B$14:$O$217,11,0),0)</f>
        <v>4.9914254921760577</v>
      </c>
      <c r="AL84" s="2401">
        <f t="shared" si="50"/>
        <v>2.2589751134553109</v>
      </c>
      <c r="AM84" s="2412">
        <f>IFERROR(VLOOKUP($A84,F13_21_22!$B$14:$O$217,12,0),0)</f>
        <v>-9.4883000000000016E-3</v>
      </c>
      <c r="AN84" s="2412">
        <f t="shared" si="51"/>
        <v>-4.2941307252998282E-3</v>
      </c>
      <c r="AO84" s="2411"/>
      <c r="AP84" s="2411">
        <f t="shared" si="52"/>
        <v>9.3282408671760582</v>
      </c>
      <c r="AQ84" s="2411">
        <f t="shared" si="53"/>
        <v>4.2216925814675141</v>
      </c>
      <c r="AR84" s="2406">
        <f>IFERROR(VLOOKUP($A84,F13_22_23!$B$14:$O$215,9,0),0)</f>
        <v>15.659622419999998</v>
      </c>
      <c r="AS84" s="2406">
        <f>IFERROR(VLOOKUP($A84,F13_22_23!$B$14:$O$215,10,0),0)</f>
        <v>4.3394289750000006</v>
      </c>
      <c r="AT84" s="2406">
        <f t="shared" si="54"/>
        <v>2.7710942566902586</v>
      </c>
      <c r="AU84" s="2406">
        <f>IFERROR(VLOOKUP($A84,F13_22_23!$B$14:$O$215,11,0),0)</f>
        <v>3.7536209139570125</v>
      </c>
      <c r="AV84" s="2406">
        <f t="shared" si="55"/>
        <v>2.3970060153960042</v>
      </c>
      <c r="AW84" s="2406">
        <f>IFERROR(VLOOKUP($A84,F13_22_23!$B$14:$O$215,12,0),0)</f>
        <v>0</v>
      </c>
      <c r="AX84" s="2406"/>
      <c r="AY84" s="2406">
        <f t="shared" si="56"/>
        <v>8.0930498889570135</v>
      </c>
      <c r="AZ84" s="2406">
        <f t="shared" si="57"/>
        <v>5.1681002720862637</v>
      </c>
    </row>
    <row r="85" spans="1:52" s="2418" customFormat="1">
      <c r="A85" s="2404" t="s">
        <v>1713</v>
      </c>
      <c r="B85" s="2405"/>
      <c r="C85" s="2405"/>
      <c r="D85" s="2809"/>
      <c r="E85" s="2809"/>
      <c r="F85" s="2809"/>
      <c r="G85" s="2809"/>
      <c r="H85" s="2809"/>
      <c r="I85" s="2809"/>
      <c r="J85" s="2809"/>
      <c r="K85" s="2809"/>
      <c r="L85" s="2809"/>
      <c r="M85" s="2809"/>
      <c r="N85" s="2409"/>
      <c r="O85" s="2410"/>
      <c r="P85" s="2409"/>
      <c r="Q85" s="2410"/>
      <c r="R85" s="2410"/>
      <c r="S85" s="2410"/>
      <c r="T85" s="2410"/>
      <c r="U85" s="2410"/>
      <c r="V85" s="2410"/>
      <c r="W85" s="2410"/>
      <c r="X85" s="2411">
        <v>11.553884000000004</v>
      </c>
      <c r="Y85" s="2411">
        <v>4.7125178999999999</v>
      </c>
      <c r="Z85" s="2411">
        <f t="shared" si="44"/>
        <v>4.0787304944380596</v>
      </c>
      <c r="AA85" s="2411">
        <v>3.4943675000000001</v>
      </c>
      <c r="AB85" s="2411">
        <f t="shared" si="45"/>
        <v>3.0244093674473445</v>
      </c>
      <c r="AC85" s="2411">
        <v>-2.1916200000000004E-2</v>
      </c>
      <c r="AD85" s="2412">
        <f t="shared" si="46"/>
        <v>-1.8968686201107782E-2</v>
      </c>
      <c r="AE85" s="2411"/>
      <c r="AF85" s="2411">
        <f t="shared" si="47"/>
        <v>8.1849692000000012</v>
      </c>
      <c r="AG85" s="2411">
        <f t="shared" si="48"/>
        <v>7.0841711756842969</v>
      </c>
      <c r="AH85" s="2412">
        <f>IFERROR(VLOOKUP($A85,F13_21_22!$B$14:$O$217,9,0),0)</f>
        <v>15.650159400000001</v>
      </c>
      <c r="AI85" s="2412">
        <f>IFERROR(VLOOKUP($A85,F13_21_22!$B$14:$O$217,10,0),0)</f>
        <v>4.7871246487499999</v>
      </c>
      <c r="AJ85" s="2412">
        <f t="shared" si="49"/>
        <v>3.0588344350984693</v>
      </c>
      <c r="AK85" s="2412">
        <f>IFERROR(VLOOKUP($A85,F13_21_22!$B$14:$O$217,11,0),0)</f>
        <v>4.6687860696872745</v>
      </c>
      <c r="AL85" s="2401">
        <f t="shared" si="50"/>
        <v>2.9832194997881452</v>
      </c>
      <c r="AM85" s="2412">
        <f>IFERROR(VLOOKUP($A85,F13_21_22!$B$14:$O$217,12,0),0)</f>
        <v>-3.5773100000000002E-2</v>
      </c>
      <c r="AN85" s="2412">
        <f t="shared" si="51"/>
        <v>-2.2857978047175674E-2</v>
      </c>
      <c r="AO85" s="2411"/>
      <c r="AP85" s="2411">
        <f t="shared" si="52"/>
        <v>9.4201376184372734</v>
      </c>
      <c r="AQ85" s="2411">
        <f t="shared" si="53"/>
        <v>6.0191959568394378</v>
      </c>
      <c r="AR85" s="2406">
        <f>IFERROR(VLOOKUP($A85,F13_22_23!$B$14:$O$215,9,0),0)</f>
        <v>9.3547045799999999</v>
      </c>
      <c r="AS85" s="2406">
        <f>IFERROR(VLOOKUP($A85,F13_22_23!$B$14:$O$215,10,0),0)</f>
        <v>5.1955509847500005</v>
      </c>
      <c r="AT85" s="2406">
        <f t="shared" si="54"/>
        <v>5.5539444782231708</v>
      </c>
      <c r="AU85" s="2406">
        <f>IFERROR(VLOOKUP($A85,F13_22_23!$B$14:$O$215,11,0),0)</f>
        <v>2.9435471390377339</v>
      </c>
      <c r="AV85" s="2406">
        <f t="shared" si="55"/>
        <v>3.1465955058922166</v>
      </c>
      <c r="AW85" s="2406">
        <f>IFERROR(VLOOKUP($A85,F13_22_23!$B$14:$O$215,12,0),0)</f>
        <v>0</v>
      </c>
      <c r="AX85" s="2406"/>
      <c r="AY85" s="2406">
        <f t="shared" si="56"/>
        <v>8.1390981237877345</v>
      </c>
      <c r="AZ85" s="2406">
        <f t="shared" si="57"/>
        <v>8.7005399841153874</v>
      </c>
    </row>
    <row r="86" spans="1:52" s="2418" customFormat="1">
      <c r="A86" s="2404" t="s">
        <v>2207</v>
      </c>
      <c r="B86" s="2405"/>
      <c r="C86" s="2405"/>
      <c r="D86" s="2809"/>
      <c r="E86" s="2809"/>
      <c r="F86" s="2809"/>
      <c r="G86" s="2809"/>
      <c r="H86" s="2809"/>
      <c r="I86" s="2809"/>
      <c r="J86" s="2809"/>
      <c r="K86" s="2809"/>
      <c r="L86" s="2809"/>
      <c r="M86" s="2809"/>
      <c r="N86" s="2409"/>
      <c r="O86" s="2410"/>
      <c r="P86" s="2409"/>
      <c r="Q86" s="2410"/>
      <c r="R86" s="2410"/>
      <c r="S86" s="2410"/>
      <c r="T86" s="2410"/>
      <c r="U86" s="2410"/>
      <c r="V86" s="2410"/>
      <c r="W86" s="2410"/>
      <c r="X86" s="2411">
        <v>0</v>
      </c>
      <c r="Y86" s="2411">
        <v>0</v>
      </c>
      <c r="Z86" s="2411">
        <f t="shared" si="44"/>
        <v>0</v>
      </c>
      <c r="AA86" s="2411">
        <v>0</v>
      </c>
      <c r="AB86" s="2411">
        <f t="shared" si="45"/>
        <v>0</v>
      </c>
      <c r="AC86" s="2411">
        <v>-196.90717161300051</v>
      </c>
      <c r="AD86" s="2412">
        <f t="shared" si="46"/>
        <v>0</v>
      </c>
      <c r="AE86" s="2411"/>
      <c r="AF86" s="2411">
        <f t="shared" si="47"/>
        <v>-196.90717161300051</v>
      </c>
      <c r="AG86" s="2411">
        <f t="shared" si="48"/>
        <v>0</v>
      </c>
      <c r="AH86" s="2412">
        <f>IFERROR(VLOOKUP($A86,F13_21_22!$B$14:$O$217,9,0),0)</f>
        <v>2292.8802719999999</v>
      </c>
      <c r="AI86" s="2412">
        <f>IFERROR(VLOOKUP($A86,F13_21_22!$B$14:$O$217,10,0),0)</f>
        <v>0</v>
      </c>
      <c r="AJ86" s="2412">
        <f t="shared" si="49"/>
        <v>0</v>
      </c>
      <c r="AK86" s="2412">
        <f>IFERROR(VLOOKUP($A86,F13_21_22!$B$14:$O$217,11,0),0)</f>
        <v>0</v>
      </c>
      <c r="AL86" s="2401">
        <f t="shared" si="50"/>
        <v>0</v>
      </c>
      <c r="AM86" s="2412">
        <f>IFERROR(VLOOKUP($A86,F13_21_22!$B$14:$O$217,12,0),0)</f>
        <v>1011.9404616000002</v>
      </c>
      <c r="AN86" s="2412">
        <f t="shared" si="51"/>
        <v>4.4134029759753641</v>
      </c>
      <c r="AO86" s="2411"/>
      <c r="AP86" s="2411">
        <f t="shared" si="52"/>
        <v>1011.9404616000002</v>
      </c>
      <c r="AQ86" s="2411">
        <f t="shared" si="53"/>
        <v>4.4134029759753641</v>
      </c>
      <c r="AR86" s="2406">
        <f>IFERROR(VLOOKUP($A86,F13_22_23!$B$14:$O$215,9,0),0)</f>
        <v>0</v>
      </c>
      <c r="AS86" s="2406">
        <f>IFERROR(VLOOKUP($A86,F13_22_23!$B$14:$O$215,10,0),0)</f>
        <v>0</v>
      </c>
      <c r="AT86" s="2406">
        <f t="shared" si="54"/>
        <v>0</v>
      </c>
      <c r="AU86" s="2406">
        <f>IFERROR(VLOOKUP($A86,F13_22_23!$B$14:$O$215,11,0),0)</f>
        <v>0</v>
      </c>
      <c r="AV86" s="2406">
        <f t="shared" si="55"/>
        <v>0</v>
      </c>
      <c r="AW86" s="2406">
        <f>IFERROR(VLOOKUP($A86,F13_22_23!$B$14:$O$215,12,0),0)</f>
        <v>0</v>
      </c>
      <c r="AX86" s="2406"/>
      <c r="AY86" s="2406">
        <f t="shared" si="56"/>
        <v>0</v>
      </c>
      <c r="AZ86" s="2406">
        <f t="shared" si="57"/>
        <v>0</v>
      </c>
    </row>
    <row r="87" spans="1:52" s="2415" customFormat="1">
      <c r="A87" s="2417" t="s">
        <v>211</v>
      </c>
      <c r="B87" s="2809"/>
      <c r="C87" s="2809"/>
      <c r="D87" s="2809"/>
      <c r="E87" s="2809"/>
      <c r="F87" s="2809"/>
      <c r="G87" s="2809"/>
      <c r="H87" s="2809"/>
      <c r="I87" s="2809"/>
      <c r="J87" s="2809"/>
      <c r="K87" s="2809"/>
      <c r="L87" s="2809"/>
      <c r="M87" s="2809"/>
      <c r="N87" s="2400" t="e">
        <f>SUM(N47:N84)</f>
        <v>#N/A</v>
      </c>
      <c r="O87" s="2400" t="e">
        <f>SUM(O47:O84)</f>
        <v>#N/A</v>
      </c>
      <c r="P87" s="2400"/>
      <c r="Q87" s="2400" t="e">
        <f>SUM(Q47:Q84)</f>
        <v>#N/A</v>
      </c>
      <c r="R87" s="2400"/>
      <c r="S87" s="2400" t="e">
        <f>SUM(S47:S84)</f>
        <v>#N/A</v>
      </c>
      <c r="T87" s="2400"/>
      <c r="U87" s="2400"/>
      <c r="V87" s="2400" t="e">
        <f>SUM(V47:V84)</f>
        <v>#N/A</v>
      </c>
      <c r="W87" s="2410">
        <f t="shared" si="43"/>
        <v>0</v>
      </c>
      <c r="X87" s="2401">
        <f>SUM(X47:X86)</f>
        <v>22193.951392999999</v>
      </c>
      <c r="Y87" s="2401">
        <f>SUM(Y47:Y86)</f>
        <v>2960.5462501999991</v>
      </c>
      <c r="Z87" s="2401">
        <f>IFERROR(Y87/X87*10,0)</f>
        <v>1.3339428377471165</v>
      </c>
      <c r="AA87" s="2401">
        <f>SUM(AA47:AA86)</f>
        <v>4990.4640118999987</v>
      </c>
      <c r="AB87" s="2401">
        <f>IFERROR(AA87/X87*10,0)</f>
        <v>2.2485694068312672</v>
      </c>
      <c r="AC87" s="2401">
        <f>SUM(AC47:AC86)</f>
        <v>-69.095194213000539</v>
      </c>
      <c r="AD87" s="2401">
        <f>IFERROR(AC87/X87*10,0)</f>
        <v>-3.1132443695804996E-2</v>
      </c>
      <c r="AE87" s="2401">
        <f>SUM(AE47:AE86)</f>
        <v>0</v>
      </c>
      <c r="AF87" s="2401">
        <f>SUM(AF47:AF86)</f>
        <v>7881.9150678869983</v>
      </c>
      <c r="AG87" s="2401">
        <f>IFERROR(AF87/X87*10,0)</f>
        <v>3.5513798008825792</v>
      </c>
      <c r="AH87" s="2401">
        <f>SUM(AH47:AH86)</f>
        <v>24011.467373740667</v>
      </c>
      <c r="AI87" s="2401">
        <f>SUM(AI47:AI86)</f>
        <v>3193.7447445092507</v>
      </c>
      <c r="AJ87" s="2401">
        <f>IFERROR(AI87/AH87*10,0)</f>
        <v>1.3300914495554663</v>
      </c>
      <c r="AK87" s="2401">
        <f>SUM(AK47:AK86)</f>
        <v>5023.7103160879105</v>
      </c>
      <c r="AL87" s="2401">
        <f>IFERROR(AK87/AH87*10,0)</f>
        <v>2.0922129572064065</v>
      </c>
      <c r="AM87" s="2401">
        <f>SUM(AM47:AM86)</f>
        <v>1149.4787463500002</v>
      </c>
      <c r="AN87" s="2412">
        <f>IFERROR(AM87/AH87*10,0)</f>
        <v>0.47872074141003518</v>
      </c>
      <c r="AO87" s="2401">
        <f>SUM(AO47:AO84)</f>
        <v>0</v>
      </c>
      <c r="AP87" s="2401">
        <f>SUM(AP47:AP86)</f>
        <v>9366.9338069471632</v>
      </c>
      <c r="AQ87" s="2401">
        <f>IFERROR(AP87/AH87*10,0)</f>
        <v>3.9010251481719087</v>
      </c>
      <c r="AR87" s="2401">
        <f>SUM(AR47:AR86)</f>
        <v>19083.479179153648</v>
      </c>
      <c r="AS87" s="2401">
        <f>SUM(AS47:AS86)</f>
        <v>3244.7561518102498</v>
      </c>
      <c r="AT87" s="2401"/>
      <c r="AU87" s="2401">
        <f>SUM(AU47:AU86)</f>
        <v>4074.1994503792866</v>
      </c>
      <c r="AV87" s="2401"/>
      <c r="AW87" s="2401">
        <f>SUM(AW47:AW80)</f>
        <v>0</v>
      </c>
      <c r="AX87" s="2401">
        <f>SUM(AX47:AX80)</f>
        <v>0</v>
      </c>
      <c r="AY87" s="2401">
        <f>SUM(AY47:AY86)</f>
        <v>7318.9556021895369</v>
      </c>
      <c r="AZ87" s="2401">
        <f>SUM(AZ47:AZ80)</f>
        <v>185.03874205181239</v>
      </c>
    </row>
    <row r="88" spans="1:52" s="2350" customFormat="1">
      <c r="A88" s="2404"/>
      <c r="B88" s="2405"/>
      <c r="C88" s="2405"/>
      <c r="D88" s="2809"/>
      <c r="E88" s="2809"/>
      <c r="F88" s="2809"/>
      <c r="G88" s="2809"/>
      <c r="H88" s="2809"/>
      <c r="I88" s="2809"/>
      <c r="J88" s="2809"/>
      <c r="K88" s="2809"/>
      <c r="L88" s="2809"/>
      <c r="M88" s="2809"/>
      <c r="N88" s="2400"/>
      <c r="O88" s="2400"/>
      <c r="P88" s="2400"/>
      <c r="Q88" s="2400"/>
      <c r="R88" s="2400"/>
      <c r="S88" s="2400"/>
      <c r="T88" s="2400"/>
      <c r="U88" s="2400"/>
      <c r="V88" s="2400"/>
      <c r="W88" s="2400"/>
      <c r="X88" s="2401"/>
      <c r="Y88" s="2401"/>
      <c r="Z88" s="2401"/>
      <c r="AA88" s="2401"/>
      <c r="AB88" s="2401"/>
      <c r="AC88" s="2401"/>
      <c r="AD88" s="2412"/>
      <c r="AE88" s="2401"/>
      <c r="AF88" s="2401"/>
      <c r="AG88" s="2401"/>
      <c r="AH88" s="2412"/>
      <c r="AI88" s="2412"/>
      <c r="AJ88" s="2412"/>
      <c r="AK88" s="2412"/>
      <c r="AL88" s="2401"/>
      <c r="AM88" s="2416"/>
      <c r="AN88" s="2412"/>
      <c r="AO88" s="2411"/>
      <c r="AP88" s="2411"/>
      <c r="AQ88" s="2411"/>
      <c r="AR88" s="2406"/>
      <c r="AS88" s="2406"/>
      <c r="AT88" s="2406"/>
      <c r="AU88" s="2406"/>
      <c r="AV88" s="2406"/>
      <c r="AW88" s="2406"/>
      <c r="AX88" s="2406"/>
      <c r="AY88" s="2406"/>
      <c r="AZ88" s="2406"/>
    </row>
    <row r="89" spans="1:52" s="2350" customFormat="1">
      <c r="A89" s="2417" t="s">
        <v>1715</v>
      </c>
      <c r="B89" s="2405"/>
      <c r="C89" s="2405"/>
      <c r="D89" s="2809"/>
      <c r="E89" s="2809"/>
      <c r="F89" s="2809"/>
      <c r="G89" s="2809"/>
      <c r="H89" s="2809"/>
      <c r="I89" s="2809"/>
      <c r="J89" s="2809"/>
      <c r="K89" s="2809"/>
      <c r="L89" s="2809"/>
      <c r="M89" s="2809"/>
      <c r="N89" s="2400"/>
      <c r="O89" s="2400"/>
      <c r="P89" s="2400"/>
      <c r="Q89" s="2400"/>
      <c r="R89" s="2400"/>
      <c r="S89" s="2400"/>
      <c r="T89" s="2400"/>
      <c r="U89" s="2400"/>
      <c r="V89" s="2400"/>
      <c r="W89" s="2400"/>
      <c r="X89" s="2401"/>
      <c r="Y89" s="2401"/>
      <c r="Z89" s="2401"/>
      <c r="AA89" s="2401"/>
      <c r="AB89" s="2401"/>
      <c r="AC89" s="2401"/>
      <c r="AD89" s="2412"/>
      <c r="AE89" s="2401"/>
      <c r="AF89" s="2401"/>
      <c r="AG89" s="2401"/>
      <c r="AH89" s="2412"/>
      <c r="AI89" s="2412"/>
      <c r="AJ89" s="2412"/>
      <c r="AK89" s="2412"/>
      <c r="AL89" s="2401"/>
      <c r="AM89" s="2416"/>
      <c r="AN89" s="2412"/>
      <c r="AO89" s="2411"/>
      <c r="AP89" s="2411"/>
      <c r="AQ89" s="2411"/>
      <c r="AR89" s="2406"/>
      <c r="AS89" s="2406"/>
      <c r="AT89" s="2406"/>
      <c r="AU89" s="2406"/>
      <c r="AV89" s="2406"/>
      <c r="AW89" s="2406"/>
      <c r="AX89" s="2406"/>
      <c r="AY89" s="2406"/>
      <c r="AZ89" s="2406"/>
    </row>
    <row r="90" spans="1:52" s="2350" customFormat="1">
      <c r="A90" s="2404" t="s">
        <v>1716</v>
      </c>
      <c r="B90" s="2405" t="s">
        <v>1717</v>
      </c>
      <c r="C90" s="2405">
        <v>1</v>
      </c>
      <c r="D90" s="2809"/>
      <c r="E90" s="2809"/>
      <c r="F90" s="2809"/>
      <c r="G90" s="2809"/>
      <c r="H90" s="2809"/>
      <c r="I90" s="2809"/>
      <c r="J90" s="2809"/>
      <c r="K90" s="2809"/>
      <c r="L90" s="2809"/>
      <c r="M90" s="2809"/>
      <c r="N90" s="2409">
        <v>3.1931589999999996</v>
      </c>
      <c r="O90" s="2410">
        <v>0</v>
      </c>
      <c r="P90" s="2409">
        <f>IFERROR(O90/N90*10,0)</f>
        <v>0</v>
      </c>
      <c r="Q90" s="2410">
        <v>0.78998780000000002</v>
      </c>
      <c r="R90" s="2410">
        <f>IFERROR(Q90/N90*10,0)</f>
        <v>2.4740008248884573</v>
      </c>
      <c r="S90" s="2410">
        <v>1.2529800000000001E-2</v>
      </c>
      <c r="T90" s="2410">
        <f>IFERROR(S90/N90*10,0)</f>
        <v>3.9239511718646022E-2</v>
      </c>
      <c r="U90" s="2410"/>
      <c r="V90" s="2410">
        <f>SUM(O90,Q90,S90)</f>
        <v>0.80251760000000005</v>
      </c>
      <c r="W90" s="2410">
        <f>IFERROR(V90/N90*10,0)</f>
        <v>2.5132403366071032</v>
      </c>
      <c r="X90" s="2411">
        <v>5.2561869999999997</v>
      </c>
      <c r="Y90" s="2411">
        <v>0</v>
      </c>
      <c r="Z90" s="2411">
        <f>IFERROR(Y90/X90*10,0)</f>
        <v>0</v>
      </c>
      <c r="AA90" s="2411">
        <v>1.2112304</v>
      </c>
      <c r="AB90" s="2411">
        <f>IFERROR(AA90/X90*10,0)</f>
        <v>2.3043898552315585</v>
      </c>
      <c r="AC90" s="2411">
        <v>-5.8226928999999997E-2</v>
      </c>
      <c r="AD90" s="2412">
        <f>IFERROR(AC90/X90*10,0)</f>
        <v>-0.11077788708811159</v>
      </c>
      <c r="AE90" s="2411"/>
      <c r="AF90" s="2411">
        <f>Y90+AA90+AC90+AE90</f>
        <v>1.1530034710000001</v>
      </c>
      <c r="AG90" s="2411">
        <f t="shared" ref="AG90:AG95" si="58">IFERROR(AF90/X90*10,0)</f>
        <v>2.1936119681434474</v>
      </c>
      <c r="AH90" s="2412">
        <f>IFERROR(VLOOKUP($A90,F13_21_22!$B$14:$O$217,9,0),0)</f>
        <v>3.061061</v>
      </c>
      <c r="AI90" s="2412">
        <f>IFERROR(VLOOKUP($A90,F13_21_22!$B$14:$O$217,10,0),0)</f>
        <v>0</v>
      </c>
      <c r="AJ90" s="2412">
        <f>IFERROR(AI90/AH90*10,0)</f>
        <v>0</v>
      </c>
      <c r="AK90" s="2412">
        <f>IFERROR(VLOOKUP($A90,F13_21_22!$B$14:$O$217,11,0),0)</f>
        <v>0.6996043999999999</v>
      </c>
      <c r="AL90" s="2401">
        <f>IFERROR(AK90/AH90*10,0)</f>
        <v>2.2854964340795556</v>
      </c>
      <c r="AM90" s="2412">
        <f>IFERROR(VLOOKUP($A90,F13_21_22!$B$14:$O$217,12,0),0)</f>
        <v>-1.74448E-2</v>
      </c>
      <c r="AN90" s="2412">
        <f>IFERROR(AM90/AH90*10,0)</f>
        <v>-5.698939028003689E-2</v>
      </c>
      <c r="AO90" s="2411"/>
      <c r="AP90" s="2411">
        <f>SUM(AK90,AI90,AM90,AO90)</f>
        <v>0.68215959999999987</v>
      </c>
      <c r="AQ90" s="2411">
        <f t="shared" ref="AQ90:AQ95" si="59">IFERROR(AP90/AH90*10,0)</f>
        <v>2.2285070437995187</v>
      </c>
      <c r="AR90" s="2406">
        <f>IFERROR(VLOOKUP($A90,F13_22_23!$B$14:$O$215,9,0),0)</f>
        <v>5.6572429086021518</v>
      </c>
      <c r="AS90" s="2406">
        <f>IFERROR(VLOOKUP($A90,F13_22_23!$B$14:$O$215,10,0),0)</f>
        <v>0</v>
      </c>
      <c r="AT90" s="2406">
        <f>IFERROR(AS90/AR90*10,0)</f>
        <v>0</v>
      </c>
      <c r="AU90" s="2406">
        <f>IFERROR(VLOOKUP($A90,F13_22_23!$B$14:$O$215,11,0),0)</f>
        <v>1.3563167491116879</v>
      </c>
      <c r="AV90" s="2406">
        <f>IFERROR(AU90/AR90*10,0)</f>
        <v>2.3974872053829137</v>
      </c>
      <c r="AW90" s="2406">
        <f>IFERROR(VLOOKUP($A90,F13_22_23!$B$14:$O$215,12,0),0)</f>
        <v>0</v>
      </c>
      <c r="AX90" s="2406"/>
      <c r="AY90" s="2406">
        <f>AS90+AU90</f>
        <v>1.3563167491116879</v>
      </c>
      <c r="AZ90" s="2406">
        <f>IFERROR(AY90/AR90*10,0)</f>
        <v>2.3974872053829137</v>
      </c>
    </row>
    <row r="91" spans="1:52" s="2350" customFormat="1">
      <c r="A91" s="2404" t="s">
        <v>1718</v>
      </c>
      <c r="B91" s="2405" t="s">
        <v>1717</v>
      </c>
      <c r="C91" s="2405">
        <v>1</v>
      </c>
      <c r="D91" s="2809"/>
      <c r="E91" s="2809"/>
      <c r="F91" s="2809"/>
      <c r="G91" s="2809"/>
      <c r="H91" s="2809"/>
      <c r="I91" s="2809"/>
      <c r="J91" s="2809"/>
      <c r="K91" s="2809"/>
      <c r="L91" s="2809"/>
      <c r="M91" s="2809"/>
      <c r="N91" s="2409">
        <v>1028.8235410000002</v>
      </c>
      <c r="O91" s="2410">
        <v>0</v>
      </c>
      <c r="P91" s="2409">
        <f>IFERROR(O91/N91*10,0)</f>
        <v>0</v>
      </c>
      <c r="Q91" s="2410">
        <v>329.72219879999994</v>
      </c>
      <c r="R91" s="2410">
        <f>IFERROR(Q91/N91*10,0)</f>
        <v>3.2048469505228776</v>
      </c>
      <c r="S91" s="2410">
        <v>6.6260346999999999</v>
      </c>
      <c r="T91" s="2410">
        <f>IFERROR(S91/N91*10,0)</f>
        <v>6.4403995786873211E-2</v>
      </c>
      <c r="U91" s="2410"/>
      <c r="V91" s="2410">
        <f>SUM(O91,Q91,S91)</f>
        <v>336.34823349999994</v>
      </c>
      <c r="W91" s="2410">
        <f>IFERROR(V91/N91*10,0)</f>
        <v>3.269250946309751</v>
      </c>
      <c r="X91" s="2411">
        <v>1021.676246</v>
      </c>
      <c r="Y91" s="2411">
        <v>0</v>
      </c>
      <c r="Z91" s="2411">
        <f>IFERROR(Y91/X91*10,0)</f>
        <v>0</v>
      </c>
      <c r="AA91" s="2411">
        <v>309.23215160000001</v>
      </c>
      <c r="AB91" s="2411">
        <f>IFERROR(AA91/X91*10,0)</f>
        <v>3.0267137247311515</v>
      </c>
      <c r="AC91" s="2411">
        <v>-0.70553630000000001</v>
      </c>
      <c r="AD91" s="2412">
        <f>IFERROR(AC91/X91*10,0)</f>
        <v>-6.9056739134561425E-3</v>
      </c>
      <c r="AE91" s="2411"/>
      <c r="AF91" s="2411">
        <f>Y91+AA91+AC91+AE91</f>
        <v>308.5266153</v>
      </c>
      <c r="AG91" s="2411">
        <f t="shared" si="58"/>
        <v>3.0198080508176952</v>
      </c>
      <c r="AH91" s="2412">
        <f>IFERROR(VLOOKUP($A91,F13_21_22!$B$14:$O$217,9,0),0)</f>
        <v>1141.1608279999998</v>
      </c>
      <c r="AI91" s="2412">
        <f>IFERROR(VLOOKUP($A91,F13_21_22!$B$14:$O$217,10,0),0)</f>
        <v>0</v>
      </c>
      <c r="AJ91" s="2412">
        <f>IFERROR(AI91/AH91*10,0)</f>
        <v>0</v>
      </c>
      <c r="AK91" s="2412">
        <f>IFERROR(VLOOKUP($A91,F13_21_22!$B$14:$O$217,11,0),0)</f>
        <v>345.72133639087804</v>
      </c>
      <c r="AL91" s="2401">
        <f>IFERROR(AK91/AH91*10,0)</f>
        <v>3.0295583927183145</v>
      </c>
      <c r="AM91" s="2412">
        <f>IFERROR(VLOOKUP($A91,F13_21_22!$B$14:$O$217,12,0),0)</f>
        <v>30.225994400000001</v>
      </c>
      <c r="AN91" s="2412">
        <f>IFERROR(AM91/AH91*10,0)</f>
        <v>0.26487059193027263</v>
      </c>
      <c r="AO91" s="2411"/>
      <c r="AP91" s="2411">
        <f>SUM(AK91,AI91,AM91,AO91)</f>
        <v>375.94733079087803</v>
      </c>
      <c r="AQ91" s="2411">
        <f t="shared" si="59"/>
        <v>3.294428984648587</v>
      </c>
      <c r="AR91" s="2406">
        <f>IFERROR(VLOOKUP($A91,F13_22_23!$B$14:$O$215,9,0),0)</f>
        <v>1119.9760653854837</v>
      </c>
      <c r="AS91" s="2406">
        <f>IFERROR(VLOOKUP($A91,F13_22_23!$B$14:$O$215,10,0),0)</f>
        <v>0</v>
      </c>
      <c r="AT91" s="2406">
        <f>IFERROR(AS91/AR91*10,0)</f>
        <v>0</v>
      </c>
      <c r="AU91" s="2406">
        <f>IFERROR(VLOOKUP($A91,F13_22_23!$B$14:$O$215,11,0),0)</f>
        <v>352.67967443829309</v>
      </c>
      <c r="AV91" s="2406">
        <f>IFERROR(AU91/AR91*10,0)</f>
        <v>3.1489929592102897</v>
      </c>
      <c r="AW91" s="2406">
        <f>IFERROR(VLOOKUP($A91,F13_22_23!$B$14:$O$215,12,0),0)</f>
        <v>0</v>
      </c>
      <c r="AX91" s="2406"/>
      <c r="AY91" s="2406">
        <f>AS91+AU91</f>
        <v>352.67967443829309</v>
      </c>
      <c r="AZ91" s="2406">
        <f>IFERROR(AY91/AR91*10,0)</f>
        <v>3.1489929592102897</v>
      </c>
    </row>
    <row r="92" spans="1:52" s="2350" customFormat="1">
      <c r="A92" s="2404" t="s">
        <v>1719</v>
      </c>
      <c r="B92" s="2405" t="s">
        <v>1717</v>
      </c>
      <c r="C92" s="2405">
        <v>1</v>
      </c>
      <c r="D92" s="2809"/>
      <c r="E92" s="2809"/>
      <c r="F92" s="2809"/>
      <c r="G92" s="2809"/>
      <c r="H92" s="2809"/>
      <c r="I92" s="2809"/>
      <c r="J92" s="2809"/>
      <c r="K92" s="2809"/>
      <c r="L92" s="2809"/>
      <c r="M92" s="2809"/>
      <c r="N92" s="2409">
        <v>24.503112999999999</v>
      </c>
      <c r="O92" s="2410">
        <v>0</v>
      </c>
      <c r="P92" s="2409">
        <f>IFERROR(O92/N92*10,0)</f>
        <v>0</v>
      </c>
      <c r="Q92" s="2410">
        <v>7.4998981000000002</v>
      </c>
      <c r="R92" s="2410">
        <f>IFERROR(Q92/N92*10,0)</f>
        <v>3.0607939897269381</v>
      </c>
      <c r="S92" s="2410">
        <v>0.10849869999999999</v>
      </c>
      <c r="T92" s="2410">
        <f>IFERROR(S92/N92*10,0)</f>
        <v>4.4279557458678821E-2</v>
      </c>
      <c r="U92" s="2410"/>
      <c r="V92" s="2410">
        <f>SUM(O92,Q92,S92)</f>
        <v>7.6083968000000004</v>
      </c>
      <c r="W92" s="2410">
        <f>IFERROR(V92/N92*10,0)</f>
        <v>3.1050735471856172</v>
      </c>
      <c r="X92" s="2411">
        <v>17.862372999999998</v>
      </c>
      <c r="Y92" s="2411">
        <v>0</v>
      </c>
      <c r="Z92" s="2411">
        <f>IFERROR(Y92/X92*10,0)</f>
        <v>0</v>
      </c>
      <c r="AA92" s="2411">
        <v>5.069080099999999</v>
      </c>
      <c r="AB92" s="2411">
        <f>IFERROR(AA92/X92*10,0)</f>
        <v>2.8378536827105783</v>
      </c>
      <c r="AC92" s="2411">
        <v>-0.20212050000000001</v>
      </c>
      <c r="AD92" s="2412">
        <f>IFERROR(AC92/X92*10,0)</f>
        <v>-0.11315433845211945</v>
      </c>
      <c r="AE92" s="2411"/>
      <c r="AF92" s="2411">
        <f>Y92+AA92+AC92+AE92</f>
        <v>4.8669595999999986</v>
      </c>
      <c r="AG92" s="2411">
        <f t="shared" si="58"/>
        <v>2.7246993442584584</v>
      </c>
      <c r="AH92" s="2412">
        <f>IFERROR(VLOOKUP($A92,F13_21_22!$B$14:$O$217,9,0),0)</f>
        <v>11.487476999999998</v>
      </c>
      <c r="AI92" s="2412">
        <f>IFERROR(VLOOKUP($A92,F13_21_22!$B$14:$O$217,10,0),0)</f>
        <v>0</v>
      </c>
      <c r="AJ92" s="2412">
        <f>IFERROR(AI92/AH92*10,0)</f>
        <v>0</v>
      </c>
      <c r="AK92" s="2412">
        <f>IFERROR(VLOOKUP($A92,F13_21_22!$B$14:$O$217,11,0),0)</f>
        <v>3.8798742000000002</v>
      </c>
      <c r="AL92" s="2401">
        <f>IFERROR(AK92/AH92*10,0)</f>
        <v>3.3774815827705256</v>
      </c>
      <c r="AM92" s="2412">
        <f>IFERROR(VLOOKUP($A92,F13_21_22!$B$14:$O$217,12,0),0)</f>
        <v>3.0878999999999998E-3</v>
      </c>
      <c r="AN92" s="2412">
        <f>IFERROR(AM92/AH92*10,0)</f>
        <v>2.6880576126507155E-3</v>
      </c>
      <c r="AO92" s="2411"/>
      <c r="AP92" s="2411">
        <f>SUM(AK92,AI92,AM92,AO92)</f>
        <v>3.8829621000000003</v>
      </c>
      <c r="AQ92" s="2411">
        <f t="shared" si="59"/>
        <v>3.3801696403831762</v>
      </c>
      <c r="AR92" s="2406">
        <f>IFERROR(VLOOKUP($A92,F13_22_23!$B$14:$O$215,9,0),0)</f>
        <v>21.534052639784946</v>
      </c>
      <c r="AS92" s="2406">
        <f>IFERROR(VLOOKUP($A92,F13_22_23!$B$14:$O$215,10,0),0)</f>
        <v>0</v>
      </c>
      <c r="AT92" s="2406">
        <f>IFERROR(AS92/AR92*10,0)</f>
        <v>0</v>
      </c>
      <c r="AU92" s="2406">
        <f>IFERROR(VLOOKUP($A92,F13_22_23!$B$14:$O$215,11,0),0)</f>
        <v>6.3579354407232058</v>
      </c>
      <c r="AV92" s="2406">
        <f>IFERROR(AU92/AR92*10,0)</f>
        <v>2.9525029714920863</v>
      </c>
      <c r="AW92" s="2406">
        <f>IFERROR(VLOOKUP($A92,F13_22_23!$B$14:$O$215,12,0),0)</f>
        <v>0</v>
      </c>
      <c r="AX92" s="2406"/>
      <c r="AY92" s="2406">
        <f>AS92+AU92</f>
        <v>6.3579354407232058</v>
      </c>
      <c r="AZ92" s="2406">
        <f>IFERROR(AY92/AR92*10,0)</f>
        <v>2.9525029714920863</v>
      </c>
    </row>
    <row r="93" spans="1:52" s="2350" customFormat="1">
      <c r="A93" s="2404" t="s">
        <v>1720</v>
      </c>
      <c r="B93" s="2405" t="s">
        <v>1717</v>
      </c>
      <c r="C93" s="2405">
        <v>1</v>
      </c>
      <c r="D93" s="2809"/>
      <c r="E93" s="2809"/>
      <c r="F93" s="2809"/>
      <c r="G93" s="2809"/>
      <c r="H93" s="2809"/>
      <c r="I93" s="2809"/>
      <c r="J93" s="2809"/>
      <c r="K93" s="2809"/>
      <c r="L93" s="2809"/>
      <c r="M93" s="2809"/>
      <c r="N93" s="2409">
        <v>522.73906399999998</v>
      </c>
      <c r="O93" s="2410">
        <v>0</v>
      </c>
      <c r="P93" s="2409">
        <f>IFERROR(O93/N93*10,0)</f>
        <v>0</v>
      </c>
      <c r="Q93" s="2410">
        <v>182.93099619999998</v>
      </c>
      <c r="R93" s="2410">
        <f>IFERROR(Q93/N93*10,0)</f>
        <v>3.4994705542036932</v>
      </c>
      <c r="S93" s="2410">
        <v>15.999775899999999</v>
      </c>
      <c r="T93" s="2410">
        <f>IFERROR(S93/N93*10,0)</f>
        <v>0.30607576517373108</v>
      </c>
      <c r="U93" s="2410"/>
      <c r="V93" s="2410">
        <f>SUM(O93,Q93,S93)</f>
        <v>198.93077209999998</v>
      </c>
      <c r="W93" s="2410">
        <f>IFERROR(V93/N93*10,0)</f>
        <v>3.8055463193774242</v>
      </c>
      <c r="X93" s="2411">
        <v>539.52935400000001</v>
      </c>
      <c r="Y93" s="2411">
        <v>0</v>
      </c>
      <c r="Z93" s="2411">
        <f>IFERROR(Y93/X93*10,0)</f>
        <v>0</v>
      </c>
      <c r="AA93" s="2411">
        <v>177.21656569999999</v>
      </c>
      <c r="AB93" s="2411">
        <f>IFERROR(AA93/X93*10,0)</f>
        <v>3.2846510460670872</v>
      </c>
      <c r="AC93" s="2411">
        <v>-0.37252958500000011</v>
      </c>
      <c r="AD93" s="2412">
        <f>IFERROR(AC93/X93*10,0)</f>
        <v>-6.9047139370289039E-3</v>
      </c>
      <c r="AE93" s="2411"/>
      <c r="AF93" s="2411">
        <f>Y93+AA93+AC93+AE93</f>
        <v>176.84403611499999</v>
      </c>
      <c r="AG93" s="2411">
        <f t="shared" si="58"/>
        <v>3.2777463321300586</v>
      </c>
      <c r="AH93" s="2412">
        <f>IFERROR(VLOOKUP($A93,F13_21_22!$B$14:$O$217,9,0),0)</f>
        <v>493.274337</v>
      </c>
      <c r="AI93" s="2412">
        <f>IFERROR(VLOOKUP($A93,F13_21_22!$B$14:$O$217,10,0),0)</f>
        <v>0</v>
      </c>
      <c r="AJ93" s="2412">
        <f>IFERROR(AI93/AH93*10,0)</f>
        <v>0</v>
      </c>
      <c r="AK93" s="2412">
        <f>IFERROR(VLOOKUP($A93,F13_21_22!$B$14:$O$217,11,0),0)</f>
        <v>164.04405163432276</v>
      </c>
      <c r="AL93" s="2401">
        <f>IFERROR(AK93/AH93*10,0)</f>
        <v>3.3256149637138481</v>
      </c>
      <c r="AM93" s="2412">
        <f>IFERROR(VLOOKUP($A93,F13_21_22!$B$14:$O$217,12,0),0)</f>
        <v>-2.9551940999999999</v>
      </c>
      <c r="AN93" s="2412">
        <f>IFERROR(AM93/AH93*10,0)</f>
        <v>-5.9909747544802841E-2</v>
      </c>
      <c r="AO93" s="2411"/>
      <c r="AP93" s="2411">
        <f>SUM(AK93,AI93,AM93,AO93)</f>
        <v>161.08885753432276</v>
      </c>
      <c r="AQ93" s="2411">
        <f t="shared" si="59"/>
        <v>3.2657052161690454</v>
      </c>
      <c r="AR93" s="2406">
        <f>IFERROR(VLOOKUP($A93,F13_22_23!$B$14:$O$215,9,0),0)</f>
        <v>520.65276701612902</v>
      </c>
      <c r="AS93" s="2406">
        <f>IFERROR(VLOOKUP($A93,F13_22_23!$B$14:$O$215,10,0),0)</f>
        <v>0</v>
      </c>
      <c r="AT93" s="2406">
        <f>IFERROR(AS93/AR93*10,0)</f>
        <v>0</v>
      </c>
      <c r="AU93" s="2406">
        <f>IFERROR(VLOOKUP($A93,F13_22_23!$B$14:$O$215,11,0),0)</f>
        <v>177.9253227112269</v>
      </c>
      <c r="AV93" s="2406">
        <f>IFERROR(AU93/AR93*10,0)</f>
        <v>3.4173509483281981</v>
      </c>
      <c r="AW93" s="2406">
        <f>IFERROR(VLOOKUP($A93,F13_22_23!$B$14:$O$215,12,0),0)</f>
        <v>0</v>
      </c>
      <c r="AX93" s="2406"/>
      <c r="AY93" s="2406">
        <f>AS93+AU93</f>
        <v>177.9253227112269</v>
      </c>
      <c r="AZ93" s="2406">
        <f>IFERROR(AY93/AR93*10,0)</f>
        <v>3.4173509483281981</v>
      </c>
    </row>
    <row r="94" spans="1:52" s="2350" customFormat="1">
      <c r="A94" s="2404" t="s">
        <v>1721</v>
      </c>
      <c r="B94" s="2405" t="s">
        <v>1717</v>
      </c>
      <c r="C94" s="2405">
        <v>1</v>
      </c>
      <c r="D94" s="2809"/>
      <c r="E94" s="2809"/>
      <c r="F94" s="2809"/>
      <c r="G94" s="2809"/>
      <c r="H94" s="2809"/>
      <c r="I94" s="2809"/>
      <c r="J94" s="2809"/>
      <c r="K94" s="2809"/>
      <c r="L94" s="2809"/>
      <c r="M94" s="2809"/>
      <c r="N94" s="2409">
        <v>866.13411399999995</v>
      </c>
      <c r="O94" s="2410">
        <v>0</v>
      </c>
      <c r="P94" s="2409">
        <f>IFERROR(O94/N94*10,0)</f>
        <v>0</v>
      </c>
      <c r="Q94" s="2410">
        <v>351.03434570000002</v>
      </c>
      <c r="R94" s="2410">
        <f>IFERROR(Q94/N94*10,0)</f>
        <v>4.0528867299643165</v>
      </c>
      <c r="S94" s="2410">
        <v>0</v>
      </c>
      <c r="T94" s="2410">
        <f>IFERROR(S94/N94*10,0)</f>
        <v>0</v>
      </c>
      <c r="U94" s="2410"/>
      <c r="V94" s="2410">
        <f>SUM(O94,Q94,S94)</f>
        <v>351.03434570000002</v>
      </c>
      <c r="W94" s="2410">
        <f>IFERROR(V94/N94*10,0)</f>
        <v>4.0528867299643165</v>
      </c>
      <c r="X94" s="2411">
        <v>753.37351699999999</v>
      </c>
      <c r="Y94" s="2411">
        <v>0</v>
      </c>
      <c r="Z94" s="2411">
        <f>IFERROR(Y94/X94*10,0)</f>
        <v>0</v>
      </c>
      <c r="AA94" s="2411">
        <v>290.21628959999998</v>
      </c>
      <c r="AB94" s="2411">
        <f>IFERROR(AA94/X94*10,0)</f>
        <v>3.8522231409947478</v>
      </c>
      <c r="AC94" s="2411">
        <v>-203.50287117500014</v>
      </c>
      <c r="AD94" s="2412">
        <f>IFERROR(AC94/X94*10,0)</f>
        <v>-2.7012214603105056</v>
      </c>
      <c r="AE94" s="2411"/>
      <c r="AF94" s="2411">
        <f>Y94+AA94+AC94+AE94</f>
        <v>86.713418424999844</v>
      </c>
      <c r="AG94" s="2411">
        <f t="shared" si="58"/>
        <v>1.1510016806842422</v>
      </c>
      <c r="AH94" s="2412">
        <f>IFERROR(VLOOKUP($A94,F13_21_22!$B$14:$O$217,9,0),0)</f>
        <v>855.96708150000006</v>
      </c>
      <c r="AI94" s="2412">
        <f>IFERROR(VLOOKUP($A94,F13_21_22!$B$14:$O$217,10,0),0)</f>
        <v>0</v>
      </c>
      <c r="AJ94" s="2412">
        <f>IFERROR(AI94/AH94*10,0)</f>
        <v>0</v>
      </c>
      <c r="AK94" s="2412">
        <f>IFERROR(VLOOKUP($A94,F13_21_22!$B$14:$O$217,11,0),0)</f>
        <v>333.88233645677894</v>
      </c>
      <c r="AL94" s="2401">
        <f>IFERROR(AK94/AH94*10,0)</f>
        <v>3.9006445887110779</v>
      </c>
      <c r="AM94" s="2412">
        <f>IFERROR(VLOOKUP($A94,F13_21_22!$B$14:$O$217,12,0),0)</f>
        <v>-5.6842597999999986</v>
      </c>
      <c r="AN94" s="2412">
        <f>IFERROR(AM94/AH94*10,0)</f>
        <v>-6.640745798353459E-2</v>
      </c>
      <c r="AO94" s="2411"/>
      <c r="AP94" s="2411">
        <f>SUM(AK94,AI94,AM94,AO94)</f>
        <v>328.19807665677894</v>
      </c>
      <c r="AQ94" s="2411">
        <f t="shared" si="59"/>
        <v>3.8342371307275429</v>
      </c>
      <c r="AR94" s="2406">
        <f>IFERROR(VLOOKUP($A94,F13_22_23!$B$14:$O$215,9,0),0)</f>
        <v>680.53251599999999</v>
      </c>
      <c r="AS94" s="2406">
        <f>IFERROR(VLOOKUP($A94,F13_22_23!$B$14:$O$215,10,0),0)</f>
        <v>0</v>
      </c>
      <c r="AT94" s="2406">
        <f>IFERROR(AS94/AR94*10,0)</f>
        <v>0</v>
      </c>
      <c r="AU94" s="2406">
        <f>IFERROR(VLOOKUP($A94,F13_22_23!$B$14:$O$215,11,0),0)</f>
        <v>272.74742558304956</v>
      </c>
      <c r="AV94" s="2406">
        <f>IFERROR(AU94/AR94*10,0)</f>
        <v>4.0078529558909359</v>
      </c>
      <c r="AW94" s="2406">
        <f>IFERROR(VLOOKUP($A94,F13_22_23!$B$14:$O$215,12,0),0)</f>
        <v>0</v>
      </c>
      <c r="AX94" s="2406"/>
      <c r="AY94" s="2406">
        <f>AS94+AU94</f>
        <v>272.74742558304956</v>
      </c>
      <c r="AZ94" s="2406">
        <f>IFERROR(AY94/AR94*10,0)</f>
        <v>4.0078529558909359</v>
      </c>
    </row>
    <row r="95" spans="1:52" s="2415" customFormat="1">
      <c r="A95" s="2417" t="s">
        <v>211</v>
      </c>
      <c r="B95" s="2809"/>
      <c r="C95" s="2809"/>
      <c r="D95" s="2809"/>
      <c r="E95" s="2809"/>
      <c r="F95" s="2809"/>
      <c r="G95" s="2809"/>
      <c r="H95" s="2809"/>
      <c r="I95" s="2809"/>
      <c r="J95" s="2809"/>
      <c r="K95" s="2809"/>
      <c r="L95" s="2809"/>
      <c r="M95" s="2809"/>
      <c r="N95" s="2400">
        <f>SUM(N90:N94)</f>
        <v>2445.3929910000002</v>
      </c>
      <c r="O95" s="2400">
        <f>SUM(O90:O94)</f>
        <v>0</v>
      </c>
      <c r="P95" s="2400"/>
      <c r="Q95" s="2400">
        <f>SUM(Q90:Q94)</f>
        <v>871.97742659999994</v>
      </c>
      <c r="R95" s="2400"/>
      <c r="S95" s="2400">
        <f>SUM(S90:S94)</f>
        <v>22.746839099999999</v>
      </c>
      <c r="T95" s="2400"/>
      <c r="U95" s="2400"/>
      <c r="V95" s="2400">
        <f>SUM(V90:V94)</f>
        <v>894.72426569999993</v>
      </c>
      <c r="W95" s="2400"/>
      <c r="X95" s="2401">
        <f>SUM(X90:X94)</f>
        <v>2337.6976770000001</v>
      </c>
      <c r="Y95" s="2401">
        <f>SUM(Y90:Y94)</f>
        <v>0</v>
      </c>
      <c r="Z95" s="2401"/>
      <c r="AA95" s="2401">
        <f>SUM(AA90:AA94)</f>
        <v>782.94531740000002</v>
      </c>
      <c r="AB95" s="2401"/>
      <c r="AC95" s="2401">
        <f>SUM(AC90:AC94)</f>
        <v>-204.84128448900015</v>
      </c>
      <c r="AD95" s="2412">
        <f>SUM(AD90:AD94)</f>
        <v>-2.9389640737012215</v>
      </c>
      <c r="AE95" s="2401"/>
      <c r="AF95" s="2401">
        <f>SUM(AF90:AF94)</f>
        <v>578.10403291099976</v>
      </c>
      <c r="AG95" s="2401">
        <f t="shared" si="58"/>
        <v>2.4729632004977167</v>
      </c>
      <c r="AH95" s="2401">
        <f>SUM(AH90:AH94)</f>
        <v>2504.9507844999998</v>
      </c>
      <c r="AI95" s="2401">
        <f t="shared" ref="AI95:AY95" si="60">SUM(AI90:AI94)</f>
        <v>0</v>
      </c>
      <c r="AJ95" s="2401"/>
      <c r="AK95" s="2401">
        <f t="shared" si="60"/>
        <v>848.22720308197972</v>
      </c>
      <c r="AL95" s="2401"/>
      <c r="AM95" s="2401">
        <f t="shared" si="60"/>
        <v>21.572183600000002</v>
      </c>
      <c r="AN95" s="2412">
        <f t="shared" si="60"/>
        <v>8.4252053734549026E-2</v>
      </c>
      <c r="AO95" s="2401">
        <f t="shared" si="60"/>
        <v>0</v>
      </c>
      <c r="AP95" s="2401">
        <f t="shared" si="60"/>
        <v>869.79938668197974</v>
      </c>
      <c r="AQ95" s="2401">
        <f t="shared" si="59"/>
        <v>3.4723212610166945</v>
      </c>
      <c r="AR95" s="2401">
        <f t="shared" si="60"/>
        <v>2348.3526439500001</v>
      </c>
      <c r="AS95" s="2401">
        <f t="shared" si="60"/>
        <v>0</v>
      </c>
      <c r="AT95" s="2401">
        <f t="shared" si="60"/>
        <v>0</v>
      </c>
      <c r="AU95" s="2401">
        <f t="shared" si="60"/>
        <v>811.06667492240445</v>
      </c>
      <c r="AV95" s="2401"/>
      <c r="AW95" s="2401">
        <f t="shared" si="60"/>
        <v>0</v>
      </c>
      <c r="AX95" s="2401">
        <f t="shared" si="60"/>
        <v>0</v>
      </c>
      <c r="AY95" s="2401">
        <f t="shared" si="60"/>
        <v>811.06667492240445</v>
      </c>
      <c r="AZ95" s="2401"/>
    </row>
    <row r="96" spans="1:52" s="2350" customFormat="1">
      <c r="A96" s="2417"/>
      <c r="B96" s="2405"/>
      <c r="C96" s="2405"/>
      <c r="D96" s="2809"/>
      <c r="E96" s="2809"/>
      <c r="F96" s="2809"/>
      <c r="G96" s="2809"/>
      <c r="H96" s="2809"/>
      <c r="I96" s="2809"/>
      <c r="J96" s="2809"/>
      <c r="K96" s="2809"/>
      <c r="L96" s="2809"/>
      <c r="M96" s="2809"/>
      <c r="N96" s="2400"/>
      <c r="O96" s="2400"/>
      <c r="P96" s="2400"/>
      <c r="Q96" s="2400"/>
      <c r="R96" s="2400"/>
      <c r="S96" s="2400"/>
      <c r="T96" s="2400"/>
      <c r="U96" s="2400"/>
      <c r="V96" s="2400"/>
      <c r="W96" s="2400"/>
      <c r="X96" s="2401"/>
      <c r="Y96" s="2401"/>
      <c r="Z96" s="2401"/>
      <c r="AA96" s="2401"/>
      <c r="AB96" s="2401"/>
      <c r="AC96" s="2401"/>
      <c r="AD96" s="2412"/>
      <c r="AE96" s="2401"/>
      <c r="AF96" s="2401"/>
      <c r="AG96" s="2401"/>
      <c r="AH96" s="2412"/>
      <c r="AI96" s="2412"/>
      <c r="AJ96" s="2412"/>
      <c r="AK96" s="2412"/>
      <c r="AL96" s="2401"/>
      <c r="AM96" s="2416"/>
      <c r="AN96" s="2412"/>
      <c r="AO96" s="2411"/>
      <c r="AP96" s="2411"/>
      <c r="AQ96" s="2411"/>
      <c r="AR96" s="2406"/>
      <c r="AS96" s="2406"/>
      <c r="AT96" s="2406"/>
      <c r="AU96" s="2406"/>
      <c r="AV96" s="2406"/>
      <c r="AW96" s="2406"/>
      <c r="AX96" s="2406"/>
      <c r="AY96" s="2406"/>
      <c r="AZ96" s="2406"/>
    </row>
    <row r="97" spans="1:52" s="2350" customFormat="1">
      <c r="A97" s="2417" t="s">
        <v>1722</v>
      </c>
      <c r="B97" s="2405"/>
      <c r="C97" s="2405"/>
      <c r="D97" s="2809"/>
      <c r="E97" s="2809"/>
      <c r="F97" s="2809"/>
      <c r="G97" s="2809"/>
      <c r="H97" s="2809"/>
      <c r="I97" s="2809"/>
      <c r="J97" s="2809"/>
      <c r="K97" s="2809"/>
      <c r="L97" s="2809"/>
      <c r="M97" s="2809"/>
      <c r="N97" s="2400"/>
      <c r="O97" s="2400"/>
      <c r="P97" s="2400"/>
      <c r="Q97" s="2400"/>
      <c r="R97" s="2400"/>
      <c r="S97" s="2400"/>
      <c r="T97" s="2400"/>
      <c r="U97" s="2400"/>
      <c r="V97" s="2400"/>
      <c r="W97" s="2400"/>
      <c r="X97" s="2401"/>
      <c r="Y97" s="2401"/>
      <c r="Z97" s="2401"/>
      <c r="AA97" s="2401"/>
      <c r="AB97" s="2401"/>
      <c r="AC97" s="2401"/>
      <c r="AD97" s="2412"/>
      <c r="AE97" s="2401"/>
      <c r="AF97" s="2401"/>
      <c r="AG97" s="2401"/>
      <c r="AH97" s="2412"/>
      <c r="AI97" s="2412"/>
      <c r="AJ97" s="2412"/>
      <c r="AK97" s="2412"/>
      <c r="AL97" s="2401"/>
      <c r="AM97" s="2416"/>
      <c r="AN97" s="2412"/>
      <c r="AO97" s="2411"/>
      <c r="AP97" s="2411"/>
      <c r="AQ97" s="2411"/>
      <c r="AR97" s="2406"/>
      <c r="AS97" s="2406"/>
      <c r="AT97" s="2406"/>
      <c r="AU97" s="2406"/>
      <c r="AV97" s="2406"/>
      <c r="AW97" s="2406"/>
      <c r="AX97" s="2406"/>
      <c r="AY97" s="2406"/>
      <c r="AZ97" s="2406"/>
    </row>
    <row r="98" spans="1:52" s="2350" customFormat="1">
      <c r="A98" s="2404" t="s">
        <v>1723</v>
      </c>
      <c r="B98" s="2405" t="s">
        <v>1717</v>
      </c>
      <c r="C98" s="2405">
        <v>1</v>
      </c>
      <c r="D98" s="2809"/>
      <c r="E98" s="2809"/>
      <c r="F98" s="2809"/>
      <c r="G98" s="2809"/>
      <c r="H98" s="2809"/>
      <c r="I98" s="2809"/>
      <c r="J98" s="2809"/>
      <c r="K98" s="2809"/>
      <c r="L98" s="2809"/>
      <c r="M98" s="2809"/>
      <c r="N98" s="2409">
        <v>224.12470500000006</v>
      </c>
      <c r="O98" s="2410">
        <v>18.289278399999997</v>
      </c>
      <c r="P98" s="2409">
        <f t="shared" ref="P98:P113" si="61">IFERROR(O98/N98*10,0)</f>
        <v>0.81603134290795798</v>
      </c>
      <c r="Q98" s="2410">
        <v>13.806081900000001</v>
      </c>
      <c r="R98" s="2410">
        <f t="shared" ref="R98:R113" si="62">IFERROR(Q98/N98*10,0)</f>
        <v>0.61600000321249704</v>
      </c>
      <c r="S98" s="2410">
        <v>3.7186000000000011E-2</v>
      </c>
      <c r="T98" s="2410">
        <f t="shared" ref="T98:T113" si="63">IFERROR(S98/N98*10,0)</f>
        <v>1.6591655971170158E-3</v>
      </c>
      <c r="U98" s="2410"/>
      <c r="V98" s="2410">
        <f t="shared" ref="V98:V113" si="64">SUM(O98,Q98,S98)</f>
        <v>32.132546299999994</v>
      </c>
      <c r="W98" s="2410">
        <f t="shared" ref="W98:W113" si="65">IFERROR(V98/N98*10,0)</f>
        <v>1.4336905117175718</v>
      </c>
      <c r="X98" s="2411">
        <v>238.16405999999998</v>
      </c>
      <c r="Y98" s="2411">
        <v>18.042328600000005</v>
      </c>
      <c r="Z98" s="2411">
        <f t="shared" ref="Z98:Z113" si="66">IFERROR(Y98/X98*10,0)</f>
        <v>0.75755882730584989</v>
      </c>
      <c r="AA98" s="2411">
        <v>15.812507700000001</v>
      </c>
      <c r="AB98" s="2411">
        <f t="shared" ref="AB98:AB113" si="67">IFERROR(AA98/X98*10,0)</f>
        <v>0.66393341211936019</v>
      </c>
      <c r="AC98" s="2411">
        <v>39.493636600000002</v>
      </c>
      <c r="AD98" s="2412">
        <f t="shared" ref="AD98:AD113" si="68">IFERROR(AC98/X98*10,0)</f>
        <v>1.6582534157336757</v>
      </c>
      <c r="AE98" s="2411"/>
      <c r="AF98" s="2411">
        <f t="shared" ref="AF98:AF113" si="69">Y98+AA98+AC98+AE98</f>
        <v>73.348472900000004</v>
      </c>
      <c r="AG98" s="2411">
        <f t="shared" ref="AG98:AG113" si="70">IFERROR(AF98/X98*10,0)</f>
        <v>3.0797456551588853</v>
      </c>
      <c r="AH98" s="2412">
        <f>IFERROR(VLOOKUP($A98,F13_21_22!$B$14:$O$217,9,0),0)</f>
        <v>226.95560999999998</v>
      </c>
      <c r="AI98" s="2412">
        <f>IFERROR(VLOOKUP($A98,F13_21_22!$B$14:$O$217,10,0),0)</f>
        <v>19.1976733455</v>
      </c>
      <c r="AJ98" s="2412">
        <f t="shared" ref="AJ98:AJ113" si="71">IFERROR(AI98/AH98*10,0)</f>
        <v>0.84587789416177039</v>
      </c>
      <c r="AK98" s="2412">
        <f>IFERROR(VLOOKUP($A98,F13_21_22!$B$14:$O$217,11,0),0)</f>
        <v>17.101829152701487</v>
      </c>
      <c r="AL98" s="2401">
        <f t="shared" ref="AL98:AL113" si="72">IFERROR(AK98/AH98*10,0)</f>
        <v>0.75353189783242147</v>
      </c>
      <c r="AM98" s="2412">
        <f>IFERROR(VLOOKUP($A98,F13_21_22!$B$14:$O$217,12,0),0)</f>
        <v>12.284728600000001</v>
      </c>
      <c r="AN98" s="2412">
        <f t="shared" ref="AN98:AN113" si="73">IFERROR(AM98/AH98*10,0)</f>
        <v>0.5412833196764778</v>
      </c>
      <c r="AO98" s="2411"/>
      <c r="AP98" s="2411">
        <f t="shared" ref="AP98:AP113" si="74">SUM(AK98,AI98,AM98,AO98)</f>
        <v>48.584231098201492</v>
      </c>
      <c r="AQ98" s="2411">
        <f t="shared" ref="AQ98:AQ113" si="75">IFERROR(AP98/AH98*10,0)</f>
        <v>2.1406931116706698</v>
      </c>
      <c r="AR98" s="2406">
        <f>IFERROR(VLOOKUP($A98,F13_22_23!$B$14:$O$215,9,0),0)</f>
        <v>232.3421711870968</v>
      </c>
      <c r="AS98" s="2406">
        <f>IFERROR(VLOOKUP($A98,F13_22_23!$B$14:$O$215,10,0),0)</f>
        <v>19.891667281500006</v>
      </c>
      <c r="AT98" s="2406">
        <f t="shared" ref="AT98:AT113" si="76">IFERROR(AS98/AR98*10,0)</f>
        <v>0.85613675639976528</v>
      </c>
      <c r="AU98" s="2406">
        <f>IFERROR(VLOOKUP($A98,F13_22_23!$B$14:$O$215,11,0),0)</f>
        <v>16.049182360748667</v>
      </c>
      <c r="AV98" s="2406">
        <f t="shared" ref="AV98:AV113" si="77">IFERROR(AU98/AR98*10,0)</f>
        <v>0.69075632196898251</v>
      </c>
      <c r="AW98" s="2406">
        <f>IFERROR(VLOOKUP($A98,F13_22_23!$B$14:$O$215,12,0),0)</f>
        <v>0</v>
      </c>
      <c r="AX98" s="2406"/>
      <c r="AY98" s="2406">
        <f t="shared" ref="AY98:AY113" si="78">AS98+AU98</f>
        <v>35.940849642248672</v>
      </c>
      <c r="AZ98" s="2406">
        <f t="shared" ref="AZ98:AZ113" si="79">IFERROR(AY98/AR98*10,0)</f>
        <v>1.5468930783687476</v>
      </c>
    </row>
    <row r="99" spans="1:52" s="2350" customFormat="1">
      <c r="A99" s="2404" t="s">
        <v>1724</v>
      </c>
      <c r="B99" s="2405" t="s">
        <v>1717</v>
      </c>
      <c r="C99" s="2405">
        <v>1</v>
      </c>
      <c r="D99" s="2809"/>
      <c r="E99" s="2809"/>
      <c r="F99" s="2809"/>
      <c r="G99" s="2809"/>
      <c r="H99" s="2809"/>
      <c r="I99" s="2809"/>
      <c r="J99" s="2809"/>
      <c r="K99" s="2809"/>
      <c r="L99" s="2809"/>
      <c r="M99" s="2809"/>
      <c r="N99" s="2409">
        <v>75.089151999999999</v>
      </c>
      <c r="O99" s="2410">
        <v>20.351868400000001</v>
      </c>
      <c r="P99" s="2409">
        <f t="shared" si="61"/>
        <v>2.7103606656791119</v>
      </c>
      <c r="Q99" s="2410">
        <v>12.548596299999998</v>
      </c>
      <c r="R99" s="2410">
        <f t="shared" si="62"/>
        <v>1.6711596769663877</v>
      </c>
      <c r="S99" s="2410">
        <v>-1.3365735000000001</v>
      </c>
      <c r="T99" s="2410">
        <f t="shared" si="63"/>
        <v>-0.17799821470883037</v>
      </c>
      <c r="U99" s="2410"/>
      <c r="V99" s="2410">
        <f t="shared" si="64"/>
        <v>31.5638912</v>
      </c>
      <c r="W99" s="2410">
        <f t="shared" si="65"/>
        <v>4.2035221279366688</v>
      </c>
      <c r="X99" s="2411">
        <v>78.683905999999993</v>
      </c>
      <c r="Y99" s="2411">
        <v>17.519784700000002</v>
      </c>
      <c r="Z99" s="2411">
        <f t="shared" si="66"/>
        <v>2.2266033285129492</v>
      </c>
      <c r="AA99" s="2411">
        <v>13.226895000000001</v>
      </c>
      <c r="AB99" s="2411">
        <f t="shared" si="67"/>
        <v>1.6810165728173181</v>
      </c>
      <c r="AC99" s="2411">
        <v>9.5008999999999996E-3</v>
      </c>
      <c r="AD99" s="2412">
        <f t="shared" si="68"/>
        <v>1.2074769140210198E-3</v>
      </c>
      <c r="AE99" s="2411"/>
      <c r="AF99" s="2411">
        <f t="shared" si="69"/>
        <v>30.7561806</v>
      </c>
      <c r="AG99" s="2411">
        <f t="shared" si="70"/>
        <v>3.9088273782442884</v>
      </c>
      <c r="AH99" s="2412">
        <f>IFERROR(VLOOKUP($A99,F13_21_22!$B$14:$O$217,9,0),0)</f>
        <v>91.4495474</v>
      </c>
      <c r="AI99" s="2412">
        <f>IFERROR(VLOOKUP($A99,F13_21_22!$B$14:$O$217,10,0),0)</f>
        <v>20.753912085749999</v>
      </c>
      <c r="AJ99" s="2412">
        <f t="shared" si="71"/>
        <v>2.2694384691673171</v>
      </c>
      <c r="AK99" s="2412">
        <f>IFERROR(VLOOKUP($A99,F13_21_22!$B$14:$O$217,11,0),0)</f>
        <v>15.102171282577675</v>
      </c>
      <c r="AL99" s="2401">
        <f t="shared" si="72"/>
        <v>1.651421107260469</v>
      </c>
      <c r="AM99" s="2412">
        <f>IFERROR(VLOOKUP($A99,F13_21_22!$B$14:$O$217,12,0),0)</f>
        <v>8.615900000000001E-3</v>
      </c>
      <c r="AN99" s="2412">
        <f t="shared" si="73"/>
        <v>9.4214791051005261E-4</v>
      </c>
      <c r="AO99" s="2411"/>
      <c r="AP99" s="2411">
        <f t="shared" si="74"/>
        <v>35.864699268327676</v>
      </c>
      <c r="AQ99" s="2411">
        <f t="shared" si="75"/>
        <v>3.9218017243382963</v>
      </c>
      <c r="AR99" s="2406">
        <f>IFERROR(VLOOKUP($A99,F13_22_23!$B$14:$O$215,9,0),0)</f>
        <v>80.346378838709668</v>
      </c>
      <c r="AS99" s="2406">
        <f>IFERROR(VLOOKUP($A99,F13_22_23!$B$14:$O$215,10,0),0)</f>
        <v>19.315562631750005</v>
      </c>
      <c r="AT99" s="2406">
        <f t="shared" si="76"/>
        <v>2.4040364868869561</v>
      </c>
      <c r="AU99" s="2406">
        <f>IFERROR(VLOOKUP($A99,F13_22_23!$B$14:$O$215,11,0),0)</f>
        <v>14.052016360723627</v>
      </c>
      <c r="AV99" s="2406">
        <f t="shared" si="77"/>
        <v>1.7489296423591374</v>
      </c>
      <c r="AW99" s="2406">
        <f>IFERROR(VLOOKUP($A99,F13_22_23!$B$14:$O$215,12,0),0)</f>
        <v>0</v>
      </c>
      <c r="AX99" s="2406"/>
      <c r="AY99" s="2406">
        <f t="shared" si="78"/>
        <v>33.367578992473632</v>
      </c>
      <c r="AZ99" s="2406">
        <f t="shared" si="79"/>
        <v>4.1529661292460931</v>
      </c>
    </row>
    <row r="100" spans="1:52" s="2350" customFormat="1">
      <c r="A100" s="2404" t="s">
        <v>1725</v>
      </c>
      <c r="B100" s="2405" t="s">
        <v>1717</v>
      </c>
      <c r="C100" s="2405">
        <v>1</v>
      </c>
      <c r="D100" s="2809"/>
      <c r="E100" s="2809"/>
      <c r="F100" s="2809"/>
      <c r="G100" s="2809"/>
      <c r="H100" s="2809"/>
      <c r="I100" s="2809"/>
      <c r="J100" s="2809"/>
      <c r="K100" s="2809"/>
      <c r="L100" s="2809"/>
      <c r="M100" s="2809"/>
      <c r="N100" s="2409">
        <v>491.59207399999997</v>
      </c>
      <c r="O100" s="2410">
        <v>42.051928599999997</v>
      </c>
      <c r="P100" s="2409">
        <f t="shared" si="61"/>
        <v>0.85542324264568992</v>
      </c>
      <c r="Q100" s="2410">
        <v>52.2982534</v>
      </c>
      <c r="R100" s="2410">
        <f t="shared" si="62"/>
        <v>1.0638546910339324</v>
      </c>
      <c r="S100" s="2410">
        <v>5.2421000000000009E-2</v>
      </c>
      <c r="T100" s="2410">
        <f t="shared" si="63"/>
        <v>1.0663516108683237E-3</v>
      </c>
      <c r="U100" s="2410"/>
      <c r="V100" s="2410">
        <f t="shared" si="64"/>
        <v>94.402602999999985</v>
      </c>
      <c r="W100" s="2410">
        <f t="shared" si="65"/>
        <v>1.9203442852904906</v>
      </c>
      <c r="X100" s="2411">
        <v>453.15109900000004</v>
      </c>
      <c r="Y100" s="2411">
        <v>39.075594999999993</v>
      </c>
      <c r="Z100" s="2411">
        <f t="shared" si="66"/>
        <v>0.86230829156612043</v>
      </c>
      <c r="AA100" s="2411">
        <v>53.783535099999995</v>
      </c>
      <c r="AB100" s="2411">
        <f t="shared" si="67"/>
        <v>1.1868786199280517</v>
      </c>
      <c r="AC100" s="2411">
        <v>-7.289770000000001E-2</v>
      </c>
      <c r="AD100" s="2412">
        <f t="shared" si="68"/>
        <v>-1.6086841709281611E-3</v>
      </c>
      <c r="AE100" s="2411"/>
      <c r="AF100" s="2411">
        <f t="shared" si="69"/>
        <v>92.786232399999989</v>
      </c>
      <c r="AG100" s="2411">
        <f t="shared" si="70"/>
        <v>2.0475782273232439</v>
      </c>
      <c r="AH100" s="2412">
        <f>IFERROR(VLOOKUP($A100,F13_21_22!$B$14:$O$217,9,0),0)</f>
        <v>388.04408916000006</v>
      </c>
      <c r="AI100" s="2412">
        <f>IFERROR(VLOOKUP($A100,F13_21_22!$B$14:$O$217,10,0),0)</f>
        <v>39.375096405500003</v>
      </c>
      <c r="AJ100" s="2412">
        <f t="shared" si="71"/>
        <v>1.014706769293545</v>
      </c>
      <c r="AK100" s="2412">
        <f>IFERROR(VLOOKUP($A100,F13_21_22!$B$14:$O$217,11,0),0)</f>
        <v>44.672096377460164</v>
      </c>
      <c r="AL100" s="2401">
        <f t="shared" si="72"/>
        <v>1.1512118757990093</v>
      </c>
      <c r="AM100" s="2412">
        <f>IFERROR(VLOOKUP($A100,F13_21_22!$B$14:$O$217,12,0),0)</f>
        <v>0.19663589999999997</v>
      </c>
      <c r="AN100" s="2412">
        <f t="shared" si="73"/>
        <v>5.0673597535181684E-3</v>
      </c>
      <c r="AO100" s="2411"/>
      <c r="AP100" s="2411">
        <f t="shared" si="74"/>
        <v>84.243828682960171</v>
      </c>
      <c r="AQ100" s="2411">
        <f t="shared" si="75"/>
        <v>2.170986004846073</v>
      </c>
      <c r="AR100" s="2406">
        <f>IFERROR(VLOOKUP($A100,F13_22_23!$B$14:$O$215,9,0),0)</f>
        <v>465.34168273419351</v>
      </c>
      <c r="AS100" s="2406">
        <f>IFERROR(VLOOKUP($A100,F13_22_23!$B$14:$O$215,10,0),0)</f>
        <v>43.080843487499997</v>
      </c>
      <c r="AT100" s="2406">
        <f t="shared" si="76"/>
        <v>0.92578948084708923</v>
      </c>
      <c r="AU100" s="2406">
        <f>IFERROR(VLOOKUP($A100,F13_22_23!$B$14:$O$215,11,0),0)</f>
        <v>57.461717960417865</v>
      </c>
      <c r="AV100" s="2406">
        <f t="shared" si="77"/>
        <v>1.2348285161731452</v>
      </c>
      <c r="AW100" s="2406">
        <f>IFERROR(VLOOKUP($A100,F13_22_23!$B$14:$O$215,12,0),0)</f>
        <v>0</v>
      </c>
      <c r="AX100" s="2406"/>
      <c r="AY100" s="2406">
        <f t="shared" si="78"/>
        <v>100.54256144791786</v>
      </c>
      <c r="AZ100" s="2406">
        <f t="shared" si="79"/>
        <v>2.1606179970202346</v>
      </c>
    </row>
    <row r="101" spans="1:52" s="2350" customFormat="1">
      <c r="A101" s="2404" t="s">
        <v>1726</v>
      </c>
      <c r="B101" s="2405" t="s">
        <v>1717</v>
      </c>
      <c r="C101" s="2405">
        <v>1</v>
      </c>
      <c r="D101" s="2809"/>
      <c r="E101" s="2809"/>
      <c r="F101" s="2809"/>
      <c r="G101" s="2809"/>
      <c r="H101" s="2809"/>
      <c r="I101" s="2809"/>
      <c r="J101" s="2809"/>
      <c r="K101" s="2809"/>
      <c r="L101" s="2809"/>
      <c r="M101" s="2809"/>
      <c r="N101" s="2409">
        <v>584.78788200000008</v>
      </c>
      <c r="O101" s="2410">
        <v>53.740331300000001</v>
      </c>
      <c r="P101" s="2409">
        <f t="shared" si="61"/>
        <v>0.91897135618141956</v>
      </c>
      <c r="Q101" s="2410">
        <v>48.069564000000007</v>
      </c>
      <c r="R101" s="2410">
        <f t="shared" si="62"/>
        <v>0.82200000170318166</v>
      </c>
      <c r="S101" s="2410">
        <v>5.1247200000000027E-2</v>
      </c>
      <c r="T101" s="2410">
        <f t="shared" si="63"/>
        <v>8.7633826858265877E-4</v>
      </c>
      <c r="U101" s="2410"/>
      <c r="V101" s="2410">
        <f t="shared" si="64"/>
        <v>101.86114250000001</v>
      </c>
      <c r="W101" s="2410">
        <f t="shared" si="65"/>
        <v>1.7418476961531839</v>
      </c>
      <c r="X101" s="2411">
        <v>576.22707800000012</v>
      </c>
      <c r="Y101" s="2411">
        <v>50.378578400000002</v>
      </c>
      <c r="Z101" s="2411">
        <f t="shared" si="66"/>
        <v>0.87428342615999022</v>
      </c>
      <c r="AA101" s="2411">
        <v>48.998728100000001</v>
      </c>
      <c r="AB101" s="2411">
        <f t="shared" si="67"/>
        <v>0.85033713219565144</v>
      </c>
      <c r="AC101" s="2411">
        <v>4.6484297999999997</v>
      </c>
      <c r="AD101" s="2412">
        <f t="shared" si="68"/>
        <v>8.0670103462232634E-2</v>
      </c>
      <c r="AE101" s="2411"/>
      <c r="AF101" s="2411">
        <f t="shared" si="69"/>
        <v>104.02573630000001</v>
      </c>
      <c r="AG101" s="2411">
        <f t="shared" si="70"/>
        <v>1.8052906618178743</v>
      </c>
      <c r="AH101" s="2412">
        <f>IFERROR(VLOOKUP($A101,F13_21_22!$B$14:$O$217,9,0),0)</f>
        <v>593.87209679999989</v>
      </c>
      <c r="AI101" s="2412">
        <f>IFERROR(VLOOKUP($A101,F13_21_22!$B$14:$O$217,10,0),0)</f>
        <v>54.492025474999998</v>
      </c>
      <c r="AJ101" s="2412">
        <f t="shared" si="71"/>
        <v>0.91757174261297947</v>
      </c>
      <c r="AK101" s="2412">
        <f>IFERROR(VLOOKUP($A101,F13_21_22!$B$14:$O$217,11,0),0)</f>
        <v>53.85443560737707</v>
      </c>
      <c r="AL101" s="2401">
        <f t="shared" si="72"/>
        <v>0.9068355946939497</v>
      </c>
      <c r="AM101" s="2412">
        <f>IFERROR(VLOOKUP($A101,F13_21_22!$B$14:$O$217,12,0),0)</f>
        <v>11.083337299999998</v>
      </c>
      <c r="AN101" s="2412">
        <f t="shared" si="73"/>
        <v>0.18662835583151782</v>
      </c>
      <c r="AO101" s="2411"/>
      <c r="AP101" s="2411">
        <f t="shared" si="74"/>
        <v>119.42979838237706</v>
      </c>
      <c r="AQ101" s="2411">
        <f t="shared" si="75"/>
        <v>2.0110356931384468</v>
      </c>
      <c r="AR101" s="2406">
        <f>IFERROR(VLOOKUP($A101,F13_22_23!$B$14:$O$215,9,0),0)</f>
        <v>562.27590702580642</v>
      </c>
      <c r="AS101" s="2406">
        <f>IFERROR(VLOOKUP($A101,F13_22_23!$B$14:$O$215,10,0),0)</f>
        <v>55.542382686000003</v>
      </c>
      <c r="AT101" s="2406">
        <f t="shared" si="76"/>
        <v>0.98781366926772507</v>
      </c>
      <c r="AU101" s="2406">
        <f>IFERROR(VLOOKUP($A101,F13_22_23!$B$14:$O$215,11,0),0)</f>
        <v>49.744029520726741</v>
      </c>
      <c r="AV101" s="2406">
        <f t="shared" si="77"/>
        <v>0.88469075233635563</v>
      </c>
      <c r="AW101" s="2406">
        <f>IFERROR(VLOOKUP($A101,F13_22_23!$B$14:$O$215,12,0),0)</f>
        <v>0</v>
      </c>
      <c r="AX101" s="2406"/>
      <c r="AY101" s="2406">
        <f t="shared" si="78"/>
        <v>105.28641220672674</v>
      </c>
      <c r="AZ101" s="2406">
        <f t="shared" si="79"/>
        <v>1.8725044216040803</v>
      </c>
    </row>
    <row r="102" spans="1:52" s="2350" customFormat="1">
      <c r="A102" s="2404" t="s">
        <v>1727</v>
      </c>
      <c r="B102" s="2405" t="s">
        <v>1717</v>
      </c>
      <c r="C102" s="2405">
        <v>1</v>
      </c>
      <c r="D102" s="2809"/>
      <c r="E102" s="2809"/>
      <c r="F102" s="2809"/>
      <c r="G102" s="2809"/>
      <c r="H102" s="2809"/>
      <c r="I102" s="2809"/>
      <c r="J102" s="2809"/>
      <c r="K102" s="2809"/>
      <c r="L102" s="2809"/>
      <c r="M102" s="2809"/>
      <c r="N102" s="2409">
        <v>395.26169700000003</v>
      </c>
      <c r="O102" s="2410">
        <v>41.468512400000002</v>
      </c>
      <c r="P102" s="2409">
        <f t="shared" si="61"/>
        <v>1.0491406760316571</v>
      </c>
      <c r="Q102" s="2410">
        <v>39.723800500000003</v>
      </c>
      <c r="R102" s="2410">
        <f t="shared" si="62"/>
        <v>1.0049999987729648</v>
      </c>
      <c r="S102" s="2410">
        <v>0.10464239999999998</v>
      </c>
      <c r="T102" s="2410">
        <f t="shared" si="63"/>
        <v>2.6474207036559878E-3</v>
      </c>
      <c r="U102" s="2410"/>
      <c r="V102" s="2410">
        <f t="shared" si="64"/>
        <v>81.296955300000008</v>
      </c>
      <c r="W102" s="2410">
        <f t="shared" si="65"/>
        <v>2.0567880955082778</v>
      </c>
      <c r="X102" s="2411">
        <v>164.109891</v>
      </c>
      <c r="Y102" s="2411">
        <v>21.8831782</v>
      </c>
      <c r="Z102" s="2411">
        <f t="shared" si="66"/>
        <v>1.333446635462088</v>
      </c>
      <c r="AA102" s="2411">
        <v>19.298388100000004</v>
      </c>
      <c r="AB102" s="2411">
        <f t="shared" si="67"/>
        <v>1.1759430210090143</v>
      </c>
      <c r="AC102" s="2411">
        <v>1.1151707</v>
      </c>
      <c r="AD102" s="2412">
        <f t="shared" si="68"/>
        <v>6.7952680560856626E-2</v>
      </c>
      <c r="AE102" s="2411"/>
      <c r="AF102" s="2411">
        <f t="shared" si="69"/>
        <v>42.296737</v>
      </c>
      <c r="AG102" s="2411">
        <f t="shared" si="70"/>
        <v>2.5773423370319586</v>
      </c>
      <c r="AH102" s="2412">
        <f>IFERROR(VLOOKUP($A102,F13_21_22!$B$14:$O$217,9,0),0)</f>
        <v>370.88523760000004</v>
      </c>
      <c r="AI102" s="2412">
        <f>IFERROR(VLOOKUP($A102,F13_21_22!$B$14:$O$217,10,0),0)</f>
        <v>39.385600181499996</v>
      </c>
      <c r="AJ102" s="2412">
        <f t="shared" si="71"/>
        <v>1.0619349650140939</v>
      </c>
      <c r="AK102" s="2412">
        <f>IFERROR(VLOOKUP($A102,F13_21_22!$B$14:$O$217,11,0),0)</f>
        <v>37.912072865788133</v>
      </c>
      <c r="AL102" s="2401">
        <f t="shared" si="72"/>
        <v>1.0222049578224608</v>
      </c>
      <c r="AM102" s="2412">
        <f>IFERROR(VLOOKUP($A102,F13_21_22!$B$14:$O$217,12,0),0)</f>
        <v>3.8446800000000003E-2</v>
      </c>
      <c r="AN102" s="2412">
        <f t="shared" si="73"/>
        <v>1.0366225479555189E-3</v>
      </c>
      <c r="AO102" s="2411"/>
      <c r="AP102" s="2411">
        <f t="shared" si="74"/>
        <v>77.336119847288131</v>
      </c>
      <c r="AQ102" s="2411">
        <f t="shared" si="75"/>
        <v>2.0851765453845101</v>
      </c>
      <c r="AR102" s="2406">
        <f>IFERROR(VLOOKUP($A102,F13_22_23!$B$14:$O$215,9,0),0)</f>
        <v>308.32916085161287</v>
      </c>
      <c r="AS102" s="2406">
        <f>IFERROR(VLOOKUP($A102,F13_22_23!$B$14:$O$215,10,0),0)</f>
        <v>24.1262039655</v>
      </c>
      <c r="AT102" s="2406">
        <f t="shared" si="76"/>
        <v>0.7824820688014984</v>
      </c>
      <c r="AU102" s="2406">
        <f>IFERROR(VLOOKUP($A102,F13_22_23!$B$14:$O$215,11,0),0)</f>
        <v>37.722565688205151</v>
      </c>
      <c r="AV102" s="2406">
        <f t="shared" si="77"/>
        <v>1.2234511190577784</v>
      </c>
      <c r="AW102" s="2406">
        <f>IFERROR(VLOOKUP($A102,F13_22_23!$B$14:$O$215,12,0),0)</f>
        <v>0</v>
      </c>
      <c r="AX102" s="2406"/>
      <c r="AY102" s="2406">
        <f t="shared" si="78"/>
        <v>61.848769653705148</v>
      </c>
      <c r="AZ102" s="2406">
        <f t="shared" si="79"/>
        <v>2.0059331878592763</v>
      </c>
    </row>
    <row r="103" spans="1:52" s="2350" customFormat="1">
      <c r="A103" s="2404" t="s">
        <v>1728</v>
      </c>
      <c r="B103" s="2405" t="s">
        <v>1717</v>
      </c>
      <c r="C103" s="2405">
        <v>1</v>
      </c>
      <c r="D103" s="2809"/>
      <c r="E103" s="2809"/>
      <c r="F103" s="2809"/>
      <c r="G103" s="2809"/>
      <c r="H103" s="2809"/>
      <c r="I103" s="2809"/>
      <c r="J103" s="2809"/>
      <c r="K103" s="2809"/>
      <c r="L103" s="2809"/>
      <c r="M103" s="2809"/>
      <c r="N103" s="2409">
        <v>271.32629500000002</v>
      </c>
      <c r="O103" s="2410">
        <v>34.546710000000004</v>
      </c>
      <c r="P103" s="2409">
        <f t="shared" si="61"/>
        <v>1.2732532982105549</v>
      </c>
      <c r="Q103" s="2410">
        <v>32.966144700000001</v>
      </c>
      <c r="R103" s="2410">
        <f t="shared" si="62"/>
        <v>1.214999994748021</v>
      </c>
      <c r="S103" s="2410">
        <v>7.8555900000000789E-2</v>
      </c>
      <c r="T103" s="2410">
        <f t="shared" si="63"/>
        <v>2.8952556920441783E-3</v>
      </c>
      <c r="U103" s="2410"/>
      <c r="V103" s="2410">
        <f t="shared" si="64"/>
        <v>67.591410600000003</v>
      </c>
      <c r="W103" s="2410">
        <f t="shared" si="65"/>
        <v>2.49114854865062</v>
      </c>
      <c r="X103" s="2411">
        <v>280.67973700000005</v>
      </c>
      <c r="Y103" s="2411">
        <v>36.759751300000005</v>
      </c>
      <c r="Z103" s="2411">
        <f t="shared" si="66"/>
        <v>1.3096688664775256</v>
      </c>
      <c r="AA103" s="2411">
        <v>36.756894500000001</v>
      </c>
      <c r="AB103" s="2411">
        <f t="shared" si="67"/>
        <v>1.3095670849940977</v>
      </c>
      <c r="AC103" s="2411">
        <v>-5.717209999999999E-2</v>
      </c>
      <c r="AD103" s="2412">
        <f t="shared" si="68"/>
        <v>-2.036915831939802E-3</v>
      </c>
      <c r="AE103" s="2411"/>
      <c r="AF103" s="2411">
        <f t="shared" si="69"/>
        <v>73.459473700000004</v>
      </c>
      <c r="AG103" s="2411">
        <f t="shared" si="70"/>
        <v>2.6171990356396835</v>
      </c>
      <c r="AH103" s="2412">
        <f>IFERROR(VLOOKUP($A103,F13_21_22!$B$14:$O$217,9,0),0)</f>
        <v>299.69803059999998</v>
      </c>
      <c r="AI103" s="2412">
        <f>IFERROR(VLOOKUP($A103,F13_21_22!$B$14:$O$217,10,0),0)</f>
        <v>44.045246844250002</v>
      </c>
      <c r="AJ103" s="2412">
        <f t="shared" si="71"/>
        <v>1.4696541967950458</v>
      </c>
      <c r="AK103" s="2412">
        <f>IFERROR(VLOOKUP($A103,F13_21_22!$B$14:$O$217,11,0),0)</f>
        <v>36.638235012775937</v>
      </c>
      <c r="AL103" s="2401">
        <f t="shared" si="72"/>
        <v>1.2225050307946848</v>
      </c>
      <c r="AM103" s="2412">
        <f>IFERROR(VLOOKUP($A103,F13_21_22!$B$14:$O$217,12,0),0)</f>
        <v>0.18104320000000002</v>
      </c>
      <c r="AN103" s="2412">
        <f t="shared" si="73"/>
        <v>6.0408538433685665E-3</v>
      </c>
      <c r="AO103" s="2411"/>
      <c r="AP103" s="2411">
        <f t="shared" si="74"/>
        <v>80.864525057025944</v>
      </c>
      <c r="AQ103" s="2411">
        <f t="shared" si="75"/>
        <v>2.6982000814330993</v>
      </c>
      <c r="AR103" s="2406">
        <f>IFERROR(VLOOKUP($A103,F13_22_23!$B$14:$O$215,9,0),0)</f>
        <v>250.42144920000004</v>
      </c>
      <c r="AS103" s="2406">
        <f>IFERROR(VLOOKUP($A103,F13_22_23!$B$14:$O$215,10,0),0)</f>
        <v>40.527625808250008</v>
      </c>
      <c r="AT103" s="2406">
        <f t="shared" si="76"/>
        <v>1.6183767779365601</v>
      </c>
      <c r="AU103" s="2406">
        <f>IFERROR(VLOOKUP($A103,F13_22_23!$B$14:$O$215,11,0),0)</f>
        <v>34.11926122136947</v>
      </c>
      <c r="AV103" s="2406">
        <f t="shared" si="77"/>
        <v>1.362473595227859</v>
      </c>
      <c r="AW103" s="2406">
        <f>IFERROR(VLOOKUP($A103,F13_22_23!$B$14:$O$215,12,0),0)</f>
        <v>0</v>
      </c>
      <c r="AX103" s="2406"/>
      <c r="AY103" s="2406">
        <f t="shared" si="78"/>
        <v>74.646887029619478</v>
      </c>
      <c r="AZ103" s="2406">
        <f t="shared" si="79"/>
        <v>2.9808503731644191</v>
      </c>
    </row>
    <row r="104" spans="1:52" s="2350" customFormat="1">
      <c r="A104" s="2404" t="s">
        <v>1729</v>
      </c>
      <c r="B104" s="2405" t="s">
        <v>1717</v>
      </c>
      <c r="C104" s="2405">
        <v>1</v>
      </c>
      <c r="D104" s="2809"/>
      <c r="E104" s="2809"/>
      <c r="F104" s="2809"/>
      <c r="G104" s="2809"/>
      <c r="H104" s="2809"/>
      <c r="I104" s="2809"/>
      <c r="J104" s="2809"/>
      <c r="K104" s="2809"/>
      <c r="L104" s="2809"/>
      <c r="M104" s="2809"/>
      <c r="N104" s="2409">
        <v>595.36626399999989</v>
      </c>
      <c r="O104" s="2410">
        <v>138.05030049999999</v>
      </c>
      <c r="P104" s="2409">
        <f t="shared" si="61"/>
        <v>2.3187457678992711</v>
      </c>
      <c r="Q104" s="2410">
        <v>147.86843910000002</v>
      </c>
      <c r="R104" s="2410">
        <f t="shared" si="62"/>
        <v>2.4836549875456169</v>
      </c>
      <c r="S104" s="2410">
        <v>8.0625599999999992E-2</v>
      </c>
      <c r="T104" s="2410">
        <f t="shared" si="63"/>
        <v>1.3542184849089805E-3</v>
      </c>
      <c r="U104" s="2410"/>
      <c r="V104" s="2410">
        <f t="shared" si="64"/>
        <v>285.9993652</v>
      </c>
      <c r="W104" s="2410">
        <f t="shared" si="65"/>
        <v>4.8037549739297969</v>
      </c>
      <c r="X104" s="2411">
        <v>579.13949700000001</v>
      </c>
      <c r="Y104" s="2411">
        <v>141.55007799999998</v>
      </c>
      <c r="Z104" s="2411">
        <f t="shared" si="66"/>
        <v>2.4441447826170277</v>
      </c>
      <c r="AA104" s="2411">
        <v>152.19253179999995</v>
      </c>
      <c r="AB104" s="2411">
        <f t="shared" si="67"/>
        <v>2.6279080012392928</v>
      </c>
      <c r="AC104" s="2411">
        <v>6.8754429000000004</v>
      </c>
      <c r="AD104" s="2412">
        <f t="shared" si="68"/>
        <v>0.11871825243512964</v>
      </c>
      <c r="AE104" s="2411"/>
      <c r="AF104" s="2411">
        <f t="shared" si="69"/>
        <v>300.61805269999996</v>
      </c>
      <c r="AG104" s="2411">
        <f t="shared" si="70"/>
        <v>5.1907710362914505</v>
      </c>
      <c r="AH104" s="2412">
        <f>IFERROR(VLOOKUP($A104,F13_21_22!$B$14:$O$217,9,0),0)</f>
        <v>584.93629099999987</v>
      </c>
      <c r="AI104" s="2412">
        <f>IFERROR(VLOOKUP($A104,F13_21_22!$B$14:$O$217,10,0),0)</f>
        <v>159.751849967</v>
      </c>
      <c r="AJ104" s="2412">
        <f t="shared" si="71"/>
        <v>2.7310982824110672</v>
      </c>
      <c r="AK104" s="2412">
        <f>IFERROR(VLOOKUP($A104,F13_21_22!$B$14:$O$217,11,0),0)</f>
        <v>165.27658302631218</v>
      </c>
      <c r="AL104" s="2401">
        <f t="shared" si="72"/>
        <v>2.8255484497936925</v>
      </c>
      <c r="AM104" s="2412">
        <f>IFERROR(VLOOKUP($A104,F13_21_22!$B$14:$O$217,12,0),0)</f>
        <v>17.020217300000002</v>
      </c>
      <c r="AN104" s="2412">
        <f t="shared" si="73"/>
        <v>0.29097557395357448</v>
      </c>
      <c r="AO104" s="2411"/>
      <c r="AP104" s="2411">
        <f t="shared" si="74"/>
        <v>342.04865029331222</v>
      </c>
      <c r="AQ104" s="2411">
        <f t="shared" si="75"/>
        <v>5.8476223061583354</v>
      </c>
      <c r="AR104" s="2406">
        <f>IFERROR(VLOOKUP($A104,F13_22_23!$B$14:$O$215,9,0),0)</f>
        <v>504.29405360000004</v>
      </c>
      <c r="AS104" s="2406">
        <f>IFERROR(VLOOKUP($A104,F13_22_23!$B$14:$O$215,10,0),0)</f>
        <v>156.05896099500001</v>
      </c>
      <c r="AT104" s="2406">
        <f t="shared" si="76"/>
        <v>3.0946024423834291</v>
      </c>
      <c r="AU104" s="2406">
        <f>IFERROR(VLOOKUP($A104,F13_22_23!$B$14:$O$215,11,0),0)</f>
        <v>137.87780089215238</v>
      </c>
      <c r="AV104" s="2406">
        <f t="shared" si="77"/>
        <v>2.7340754844893604</v>
      </c>
      <c r="AW104" s="2406">
        <f>IFERROR(VLOOKUP($A104,F13_22_23!$B$14:$O$215,12,0),0)</f>
        <v>0</v>
      </c>
      <c r="AX104" s="2406"/>
      <c r="AY104" s="2406">
        <f t="shared" si="78"/>
        <v>293.93676188715239</v>
      </c>
      <c r="AZ104" s="2406">
        <f t="shared" si="79"/>
        <v>5.8286779268727891</v>
      </c>
    </row>
    <row r="105" spans="1:52" s="2350" customFormat="1">
      <c r="A105" s="2404" t="s">
        <v>1730</v>
      </c>
      <c r="B105" s="2405" t="s">
        <v>1717</v>
      </c>
      <c r="C105" s="2405">
        <v>1</v>
      </c>
      <c r="D105" s="2809"/>
      <c r="E105" s="2809"/>
      <c r="F105" s="2809"/>
      <c r="G105" s="2809"/>
      <c r="H105" s="2809"/>
      <c r="I105" s="2809"/>
      <c r="J105" s="2809"/>
      <c r="K105" s="2809"/>
      <c r="L105" s="2809"/>
      <c r="M105" s="2809"/>
      <c r="N105" s="2409">
        <v>132.96791400000001</v>
      </c>
      <c r="O105" s="2410">
        <v>38.153539199999997</v>
      </c>
      <c r="P105" s="2409">
        <f t="shared" si="61"/>
        <v>2.8693793902790707</v>
      </c>
      <c r="Q105" s="2410">
        <v>28.774256399999999</v>
      </c>
      <c r="R105" s="2410">
        <f t="shared" si="62"/>
        <v>2.1639999857409205</v>
      </c>
      <c r="S105" s="2410">
        <v>2.1408400000000001E-2</v>
      </c>
      <c r="T105" s="2410">
        <f t="shared" si="63"/>
        <v>1.6100425550783625E-3</v>
      </c>
      <c r="U105" s="2410"/>
      <c r="V105" s="2410">
        <f t="shared" si="64"/>
        <v>66.949203999999995</v>
      </c>
      <c r="W105" s="2410">
        <f t="shared" si="65"/>
        <v>5.0349894185750701</v>
      </c>
      <c r="X105" s="2411">
        <v>96.007766000000018</v>
      </c>
      <c r="Y105" s="2411">
        <v>21.774070699999999</v>
      </c>
      <c r="Z105" s="2411">
        <f t="shared" si="66"/>
        <v>2.2679488969673551</v>
      </c>
      <c r="AA105" s="2411">
        <v>25.422856500000002</v>
      </c>
      <c r="AB105" s="2411">
        <f t="shared" si="67"/>
        <v>2.6480000065828007</v>
      </c>
      <c r="AC105" s="2411">
        <v>1.3477551999999999</v>
      </c>
      <c r="AD105" s="2412">
        <f t="shared" si="68"/>
        <v>0.14037981052491105</v>
      </c>
      <c r="AE105" s="2411"/>
      <c r="AF105" s="2411">
        <f t="shared" si="69"/>
        <v>48.544682400000006</v>
      </c>
      <c r="AG105" s="2411">
        <f t="shared" si="70"/>
        <v>5.0563287140750681</v>
      </c>
      <c r="AH105" s="2412">
        <f>IFERROR(VLOOKUP($A105,F13_21_22!$B$14:$O$217,9,0),0)</f>
        <v>32.251864600000005</v>
      </c>
      <c r="AI105" s="2412">
        <f>IFERROR(VLOOKUP($A105,F13_21_22!$B$14:$O$217,10,0),0)</f>
        <v>5.71569355875</v>
      </c>
      <c r="AJ105" s="2412">
        <f t="shared" si="71"/>
        <v>1.772205616524261</v>
      </c>
      <c r="AK105" s="2412">
        <f>IFERROR(VLOOKUP($A105,F13_21_22!$B$14:$O$217,11,0),0)</f>
        <v>8.7110996426569756</v>
      </c>
      <c r="AL105" s="2401">
        <f t="shared" si="72"/>
        <v>2.7009600067144568</v>
      </c>
      <c r="AM105" s="2412">
        <f>IFERROR(VLOOKUP($A105,F13_21_22!$B$14:$O$217,12,0),0)</f>
        <v>5.20616E-2</v>
      </c>
      <c r="AN105" s="2412">
        <f t="shared" si="73"/>
        <v>1.6142198488579784E-2</v>
      </c>
      <c r="AO105" s="2411"/>
      <c r="AP105" s="2411">
        <f t="shared" si="74"/>
        <v>14.478854801406976</v>
      </c>
      <c r="AQ105" s="2411">
        <f t="shared" si="75"/>
        <v>4.4893078217272979</v>
      </c>
      <c r="AR105" s="2406">
        <f>IFERROR(VLOOKUP($A105,F13_22_23!$B$14:$O$215,9,0),0)</f>
        <v>117.12940680000001</v>
      </c>
      <c r="AS105" s="2406">
        <f>IFERROR(VLOOKUP($A105,F13_22_23!$B$14:$O$215,10,0),0)</f>
        <v>24.005912946750001</v>
      </c>
      <c r="AT105" s="2406">
        <f t="shared" si="76"/>
        <v>2.0495205775045382</v>
      </c>
      <c r="AU105" s="2406">
        <f>IFERROR(VLOOKUP($A105,F13_22_23!$B$14:$O$215,11,0),0)</f>
        <v>32.268908024452806</v>
      </c>
      <c r="AV105" s="2406">
        <f t="shared" si="77"/>
        <v>2.7549792068487449</v>
      </c>
      <c r="AW105" s="2406">
        <f>IFERROR(VLOOKUP($A105,F13_22_23!$B$14:$O$215,12,0),0)</f>
        <v>0</v>
      </c>
      <c r="AX105" s="2406"/>
      <c r="AY105" s="2406">
        <f t="shared" si="78"/>
        <v>56.274820971202807</v>
      </c>
      <c r="AZ105" s="2406">
        <f t="shared" si="79"/>
        <v>4.8044997843532835</v>
      </c>
    </row>
    <row r="106" spans="1:52" s="2350" customFormat="1">
      <c r="A106" s="2404" t="s">
        <v>1731</v>
      </c>
      <c r="B106" s="2405" t="s">
        <v>1717</v>
      </c>
      <c r="C106" s="2405">
        <v>1</v>
      </c>
      <c r="D106" s="2809"/>
      <c r="E106" s="2809"/>
      <c r="F106" s="2809"/>
      <c r="G106" s="2809"/>
      <c r="H106" s="2809"/>
      <c r="I106" s="2809"/>
      <c r="J106" s="2809"/>
      <c r="K106" s="2809"/>
      <c r="L106" s="2809"/>
      <c r="M106" s="2809"/>
      <c r="N106" s="2409">
        <v>256.23389200000003</v>
      </c>
      <c r="O106" s="2410">
        <v>62.464449399999999</v>
      </c>
      <c r="P106" s="2409">
        <f t="shared" si="61"/>
        <v>2.4377902904429205</v>
      </c>
      <c r="Q106" s="2410">
        <v>54.3984551</v>
      </c>
      <c r="R106" s="2410">
        <f t="shared" si="62"/>
        <v>2.1229999933029933</v>
      </c>
      <c r="S106" s="2410">
        <v>5.7929300000000003E-2</v>
      </c>
      <c r="T106" s="2410">
        <f t="shared" si="63"/>
        <v>2.2607977246038944E-3</v>
      </c>
      <c r="U106" s="2410"/>
      <c r="V106" s="2410">
        <f t="shared" si="64"/>
        <v>116.9208338</v>
      </c>
      <c r="W106" s="2410">
        <f t="shared" si="65"/>
        <v>4.5630510814705181</v>
      </c>
      <c r="X106" s="2411">
        <v>241.08163399999998</v>
      </c>
      <c r="Y106" s="2411">
        <v>54.489895100000012</v>
      </c>
      <c r="Z106" s="2411">
        <f t="shared" si="66"/>
        <v>2.2602258909527722</v>
      </c>
      <c r="AA106" s="2411">
        <v>50.110816</v>
      </c>
      <c r="AB106" s="2411">
        <f t="shared" si="67"/>
        <v>2.0785828919676232</v>
      </c>
      <c r="AC106" s="2411">
        <v>2.8584100000000005E-2</v>
      </c>
      <c r="AD106" s="2412">
        <f t="shared" si="68"/>
        <v>1.1856606214971982E-3</v>
      </c>
      <c r="AE106" s="2411"/>
      <c r="AF106" s="2411">
        <f t="shared" si="69"/>
        <v>104.62929520000002</v>
      </c>
      <c r="AG106" s="2411">
        <f t="shared" si="70"/>
        <v>4.339994443541892</v>
      </c>
      <c r="AH106" s="2412">
        <f>IFERROR(VLOOKUP($A106,F13_21_22!$B$14:$O$217,9,0),0)</f>
        <v>249.46104820000002</v>
      </c>
      <c r="AI106" s="2412">
        <f>IFERROR(VLOOKUP($A106,F13_21_22!$B$14:$O$217,10,0),0)</f>
        <v>63.18155927374999</v>
      </c>
      <c r="AJ106" s="2412">
        <f t="shared" si="71"/>
        <v>2.5327224322049484</v>
      </c>
      <c r="AK106" s="2412">
        <f>IFERROR(VLOOKUP($A106,F13_21_22!$B$14:$O$217,11,0),0)</f>
        <v>49.379715428162477</v>
      </c>
      <c r="AL106" s="2401">
        <f t="shared" si="72"/>
        <v>1.979455942499422</v>
      </c>
      <c r="AM106" s="2412">
        <f>IFERROR(VLOOKUP($A106,F13_21_22!$B$14:$O$217,12,0),0)</f>
        <v>0.1351704</v>
      </c>
      <c r="AN106" s="2412">
        <f t="shared" si="73"/>
        <v>5.418497235353154E-3</v>
      </c>
      <c r="AO106" s="2411"/>
      <c r="AP106" s="2411">
        <f t="shared" si="74"/>
        <v>112.69644510191247</v>
      </c>
      <c r="AQ106" s="2411">
        <f t="shared" si="75"/>
        <v>4.5175968719397233</v>
      </c>
      <c r="AR106" s="2406">
        <f>IFERROR(VLOOKUP($A106,F13_22_23!$B$14:$O$215,9,0),0)</f>
        <v>219.28064616774193</v>
      </c>
      <c r="AS106" s="2406">
        <f>IFERROR(VLOOKUP($A106,F13_22_23!$B$14:$O$215,10,0),0)</f>
        <v>60.075109347750015</v>
      </c>
      <c r="AT106" s="2406">
        <f t="shared" si="76"/>
        <v>2.7396448522773271</v>
      </c>
      <c r="AU106" s="2406">
        <f>IFERROR(VLOOKUP($A106,F13_22_23!$B$14:$O$215,11,0),0)</f>
        <v>47.420703685029473</v>
      </c>
      <c r="AV106" s="2406">
        <f t="shared" si="77"/>
        <v>2.1625576408031155</v>
      </c>
      <c r="AW106" s="2406">
        <f>IFERROR(VLOOKUP($A106,F13_22_23!$B$14:$O$215,12,0),0)</f>
        <v>0</v>
      </c>
      <c r="AX106" s="2406"/>
      <c r="AY106" s="2406">
        <f t="shared" si="78"/>
        <v>107.49581303277949</v>
      </c>
      <c r="AZ106" s="2406">
        <f t="shared" si="79"/>
        <v>4.9022024930804422</v>
      </c>
    </row>
    <row r="107" spans="1:52" s="2350" customFormat="1">
      <c r="A107" s="2404" t="s">
        <v>1732</v>
      </c>
      <c r="B107" s="2405" t="s">
        <v>1717</v>
      </c>
      <c r="C107" s="2405">
        <v>1</v>
      </c>
      <c r="D107" s="2809"/>
      <c r="E107" s="2809"/>
      <c r="F107" s="2809"/>
      <c r="G107" s="2809"/>
      <c r="H107" s="2809"/>
      <c r="I107" s="2809"/>
      <c r="J107" s="2809"/>
      <c r="K107" s="2809"/>
      <c r="L107" s="2809"/>
      <c r="M107" s="2809"/>
      <c r="N107" s="2409">
        <v>373.46428500000002</v>
      </c>
      <c r="O107" s="2410">
        <v>103.53386169999997</v>
      </c>
      <c r="P107" s="2409">
        <f t="shared" si="61"/>
        <v>2.7722560324610419</v>
      </c>
      <c r="Q107" s="2410">
        <v>73.41086</v>
      </c>
      <c r="R107" s="2410">
        <f t="shared" si="62"/>
        <v>1.965672835355595</v>
      </c>
      <c r="S107" s="2410">
        <v>-1.419591</v>
      </c>
      <c r="T107" s="2410">
        <f t="shared" si="63"/>
        <v>-3.8011425911851249E-2</v>
      </c>
      <c r="U107" s="2410"/>
      <c r="V107" s="2410">
        <f t="shared" si="64"/>
        <v>175.52513069999998</v>
      </c>
      <c r="W107" s="2410">
        <f t="shared" si="65"/>
        <v>4.6999174419047849</v>
      </c>
      <c r="X107" s="2411">
        <v>362.49852800000002</v>
      </c>
      <c r="Y107" s="2411">
        <v>75.652028000000001</v>
      </c>
      <c r="Z107" s="2411">
        <f t="shared" si="66"/>
        <v>2.0869609710525499</v>
      </c>
      <c r="AA107" s="2411">
        <v>71.784273799999994</v>
      </c>
      <c r="AB107" s="2411">
        <f t="shared" si="67"/>
        <v>1.980263870202529</v>
      </c>
      <c r="AC107" s="2411">
        <v>5.4559329999999999</v>
      </c>
      <c r="AD107" s="2412">
        <f t="shared" si="68"/>
        <v>0.15050910772250087</v>
      </c>
      <c r="AE107" s="2411"/>
      <c r="AF107" s="2411">
        <f t="shared" si="69"/>
        <v>152.89223479999998</v>
      </c>
      <c r="AG107" s="2411">
        <f t="shared" si="70"/>
        <v>4.2177339489775791</v>
      </c>
      <c r="AH107" s="2412">
        <f>IFERROR(VLOOKUP($A107,F13_21_22!$B$14:$O$217,9,0),0)</f>
        <v>401.88302859999999</v>
      </c>
      <c r="AI107" s="2412">
        <f>IFERROR(VLOOKUP($A107,F13_21_22!$B$14:$O$217,10,0),0)</f>
        <v>85.1707581</v>
      </c>
      <c r="AJ107" s="2412">
        <f t="shared" si="71"/>
        <v>2.1192922327847712</v>
      </c>
      <c r="AK107" s="2412">
        <f>IFERROR(VLOOKUP($A107,F13_21_22!$B$14:$O$217,11,0),0)</f>
        <v>87.696086531061255</v>
      </c>
      <c r="AL107" s="2401">
        <f t="shared" si="72"/>
        <v>2.1821296320115682</v>
      </c>
      <c r="AM107" s="2412">
        <f>IFERROR(VLOOKUP($A107,F13_21_22!$B$14:$O$217,12,0),0)</f>
        <v>14.771598399999998</v>
      </c>
      <c r="AN107" s="2412">
        <f t="shared" si="73"/>
        <v>0.36755964668272628</v>
      </c>
      <c r="AO107" s="2411"/>
      <c r="AP107" s="2411">
        <f t="shared" si="74"/>
        <v>187.63844303106126</v>
      </c>
      <c r="AQ107" s="2411">
        <f t="shared" si="75"/>
        <v>4.6689815114790658</v>
      </c>
      <c r="AR107" s="2406">
        <f>IFERROR(VLOOKUP($A107,F13_22_23!$B$14:$O$215,9,0),0)</f>
        <v>319.6263267290322</v>
      </c>
      <c r="AS107" s="2406">
        <f>IFERROR(VLOOKUP($A107,F13_22_23!$B$14:$O$215,10,0),0)</f>
        <v>83.406360870000015</v>
      </c>
      <c r="AT107" s="2406">
        <f t="shared" si="76"/>
        <v>2.609495961223149</v>
      </c>
      <c r="AU107" s="2406">
        <f>IFERROR(VLOOKUP($A107,F13_22_23!$B$14:$O$215,11,0),0)</f>
        <v>65.851542324524843</v>
      </c>
      <c r="AV107" s="2406">
        <f t="shared" si="77"/>
        <v>2.0602665305587116</v>
      </c>
      <c r="AW107" s="2406">
        <f>IFERROR(VLOOKUP($A107,F13_22_23!$B$14:$O$215,12,0),0)</f>
        <v>0</v>
      </c>
      <c r="AX107" s="2406"/>
      <c r="AY107" s="2406">
        <f t="shared" si="78"/>
        <v>149.25790319452486</v>
      </c>
      <c r="AZ107" s="2406">
        <f t="shared" si="79"/>
        <v>4.669762491781861</v>
      </c>
    </row>
    <row r="108" spans="1:52" s="2350" customFormat="1">
      <c r="A108" s="2404" t="s">
        <v>1733</v>
      </c>
      <c r="B108" s="2405" t="s">
        <v>1717</v>
      </c>
      <c r="C108" s="2405">
        <v>1</v>
      </c>
      <c r="D108" s="2809"/>
      <c r="E108" s="2809"/>
      <c r="F108" s="2809"/>
      <c r="G108" s="2809"/>
      <c r="H108" s="2809"/>
      <c r="I108" s="2809"/>
      <c r="J108" s="2809"/>
      <c r="K108" s="2809"/>
      <c r="L108" s="2809"/>
      <c r="M108" s="2809"/>
      <c r="N108" s="2409">
        <v>155.70443200000003</v>
      </c>
      <c r="O108" s="2410">
        <v>36.278093199999994</v>
      </c>
      <c r="P108" s="2409">
        <f t="shared" si="61"/>
        <v>2.3299332417204406</v>
      </c>
      <c r="Q108" s="2410">
        <v>42.631873499999998</v>
      </c>
      <c r="R108" s="2410">
        <f t="shared" si="62"/>
        <v>2.7380000011817258</v>
      </c>
      <c r="S108" s="2410">
        <v>8.316620000000001E-2</v>
      </c>
      <c r="T108" s="2410">
        <f t="shared" si="63"/>
        <v>5.3412866243910118E-3</v>
      </c>
      <c r="U108" s="2410"/>
      <c r="V108" s="2410">
        <f t="shared" si="64"/>
        <v>78.993132899999978</v>
      </c>
      <c r="W108" s="2410">
        <f t="shared" si="65"/>
        <v>5.0732745295265556</v>
      </c>
      <c r="X108" s="2411">
        <v>152.66092</v>
      </c>
      <c r="Y108" s="2411">
        <v>67.573386999999997</v>
      </c>
      <c r="Z108" s="2411">
        <f t="shared" si="66"/>
        <v>4.4263710057557617</v>
      </c>
      <c r="AA108" s="2411">
        <v>26.528430000000004</v>
      </c>
      <c r="AB108" s="2411">
        <f t="shared" si="67"/>
        <v>1.737735499039309</v>
      </c>
      <c r="AC108" s="2411">
        <v>6.4345099999999988E-2</v>
      </c>
      <c r="AD108" s="2412">
        <f t="shared" si="68"/>
        <v>4.2149031985396126E-3</v>
      </c>
      <c r="AE108" s="2411"/>
      <c r="AF108" s="2411">
        <f t="shared" si="69"/>
        <v>94.166162099999994</v>
      </c>
      <c r="AG108" s="2411">
        <f t="shared" si="70"/>
        <v>6.1683214079936102</v>
      </c>
      <c r="AH108" s="2412">
        <f>IFERROR(VLOOKUP($A108,F13_21_22!$B$14:$O$217,9,0),0)</f>
        <v>154.780078</v>
      </c>
      <c r="AI108" s="2412">
        <f>IFERROR(VLOOKUP($A108,F13_21_22!$B$14:$O$217,10,0),0)</f>
        <v>71.45270627650001</v>
      </c>
      <c r="AJ108" s="2412">
        <f t="shared" si="71"/>
        <v>4.6164020072725389</v>
      </c>
      <c r="AK108" s="2412">
        <f>IFERROR(VLOOKUP($A108,F13_21_22!$B$14:$O$217,11,0),0)</f>
        <v>24.008215283964589</v>
      </c>
      <c r="AL108" s="2401">
        <f t="shared" si="72"/>
        <v>1.5511179212588708</v>
      </c>
      <c r="AM108" s="2412">
        <f>IFERROR(VLOOKUP($A108,F13_21_22!$B$14:$O$217,12,0),0)</f>
        <v>6.2786800000000004E-2</v>
      </c>
      <c r="AN108" s="2412">
        <f t="shared" si="73"/>
        <v>4.0565168858488366E-3</v>
      </c>
      <c r="AO108" s="2411"/>
      <c r="AP108" s="2411">
        <f t="shared" si="74"/>
        <v>95.523708360464596</v>
      </c>
      <c r="AQ108" s="2411">
        <f t="shared" si="75"/>
        <v>6.1715764454172586</v>
      </c>
      <c r="AR108" s="2406">
        <f>IFERROR(VLOOKUP($A108,F13_22_23!$B$14:$O$215,9,0),0)</f>
        <v>160.93167825806449</v>
      </c>
      <c r="AS108" s="2406">
        <f>IFERROR(VLOOKUP($A108,F13_22_23!$B$14:$O$215,10,0),0)</f>
        <v>74.499659167500013</v>
      </c>
      <c r="AT108" s="2406">
        <f t="shared" si="76"/>
        <v>4.6292724946318478</v>
      </c>
      <c r="AU108" s="2406">
        <f>IFERROR(VLOOKUP($A108,F13_22_23!$B$14:$O$215,11,0),0)</f>
        <v>29.095482051426323</v>
      </c>
      <c r="AV108" s="2406">
        <f t="shared" si="77"/>
        <v>1.807940013200497</v>
      </c>
      <c r="AW108" s="2406">
        <f>IFERROR(VLOOKUP($A108,F13_22_23!$B$14:$O$215,12,0),0)</f>
        <v>0</v>
      </c>
      <c r="AX108" s="2406"/>
      <c r="AY108" s="2406">
        <f t="shared" si="78"/>
        <v>103.59514121892633</v>
      </c>
      <c r="AZ108" s="2406">
        <f t="shared" si="79"/>
        <v>6.4372125078323439</v>
      </c>
    </row>
    <row r="109" spans="1:52" s="2350" customFormat="1">
      <c r="A109" s="2404" t="s">
        <v>1734</v>
      </c>
      <c r="B109" s="2405" t="s">
        <v>1717</v>
      </c>
      <c r="C109" s="2405">
        <v>1</v>
      </c>
      <c r="D109" s="2809"/>
      <c r="E109" s="2809"/>
      <c r="F109" s="2809"/>
      <c r="G109" s="2809"/>
      <c r="H109" s="2809"/>
      <c r="I109" s="2809"/>
      <c r="J109" s="2809"/>
      <c r="K109" s="2809"/>
      <c r="L109" s="2809"/>
      <c r="M109" s="2809"/>
      <c r="N109" s="2409">
        <v>212.85720800000001</v>
      </c>
      <c r="O109" s="2410">
        <v>45.065557899999995</v>
      </c>
      <c r="P109" s="2409">
        <f t="shared" si="61"/>
        <v>2.1171732131335665</v>
      </c>
      <c r="Q109" s="2410">
        <v>41.932870000000001</v>
      </c>
      <c r="R109" s="2410">
        <f t="shared" si="62"/>
        <v>1.9700000011275163</v>
      </c>
      <c r="S109" s="2410">
        <v>2.0951194000000002</v>
      </c>
      <c r="T109" s="2410">
        <f t="shared" si="63"/>
        <v>9.8428398064866085E-2</v>
      </c>
      <c r="U109" s="2410"/>
      <c r="V109" s="2410">
        <f t="shared" si="64"/>
        <v>89.093547299999997</v>
      </c>
      <c r="W109" s="2410">
        <f t="shared" si="65"/>
        <v>4.1856016123259492</v>
      </c>
      <c r="X109" s="2411">
        <v>499.65899799999988</v>
      </c>
      <c r="Y109" s="2411">
        <v>96.189135099999987</v>
      </c>
      <c r="Z109" s="2411">
        <f t="shared" si="66"/>
        <v>1.9250956249165756</v>
      </c>
      <c r="AA109" s="2411">
        <v>105.48851370000001</v>
      </c>
      <c r="AB109" s="2411">
        <f t="shared" si="67"/>
        <v>2.1112101277519684</v>
      </c>
      <c r="AC109" s="2411">
        <v>1.4568871999999999</v>
      </c>
      <c r="AD109" s="2412">
        <f t="shared" si="68"/>
        <v>2.9157629620031388E-2</v>
      </c>
      <c r="AE109" s="2411"/>
      <c r="AF109" s="2411">
        <f t="shared" si="69"/>
        <v>203.134536</v>
      </c>
      <c r="AG109" s="2411">
        <f t="shared" si="70"/>
        <v>4.0654633822885753</v>
      </c>
      <c r="AH109" s="2412">
        <f>IFERROR(VLOOKUP($A109,F13_21_22!$B$14:$O$217,9,0),0)</f>
        <v>641.42692466666654</v>
      </c>
      <c r="AI109" s="2412">
        <f>IFERROR(VLOOKUP($A109,F13_21_22!$B$14:$O$217,10,0),0)</f>
        <v>137.89897213774998</v>
      </c>
      <c r="AJ109" s="2412">
        <f t="shared" si="71"/>
        <v>2.1498781363038759</v>
      </c>
      <c r="AK109" s="2412">
        <f>IFERROR(VLOOKUP($A109,F13_21_22!$B$14:$O$217,11,0),0)</f>
        <v>128.80232128281253</v>
      </c>
      <c r="AL109" s="2401">
        <f t="shared" si="72"/>
        <v>2.0080591619964796</v>
      </c>
      <c r="AM109" s="2412">
        <f>IFERROR(VLOOKUP($A109,F13_21_22!$B$14:$O$217,12,0),0)</f>
        <v>4.7256262099999997</v>
      </c>
      <c r="AN109" s="2412">
        <f t="shared" si="73"/>
        <v>7.3673648989022233E-2</v>
      </c>
      <c r="AO109" s="2411"/>
      <c r="AP109" s="2411">
        <f t="shared" si="74"/>
        <v>271.42691963056245</v>
      </c>
      <c r="AQ109" s="2411">
        <f t="shared" si="75"/>
        <v>4.2316109472893775</v>
      </c>
      <c r="AR109" s="2406">
        <f>IFERROR(VLOOKUP($A109,F13_22_23!$B$14:$O$215,9,0),0)</f>
        <v>463.52728057526883</v>
      </c>
      <c r="AS109" s="2406">
        <f>IFERROR(VLOOKUP($A109,F13_22_23!$B$14:$O$215,10,0),0)</f>
        <v>106.04852144774999</v>
      </c>
      <c r="AT109" s="2406">
        <f t="shared" si="76"/>
        <v>2.287859331949925</v>
      </c>
      <c r="AU109" s="2406">
        <f>IFERROR(VLOOKUP($A109,F13_22_23!$B$14:$O$215,11,0),0)</f>
        <v>101.8139070205125</v>
      </c>
      <c r="AV109" s="2406">
        <f t="shared" si="77"/>
        <v>2.1965030169131476</v>
      </c>
      <c r="AW109" s="2406">
        <f>IFERROR(VLOOKUP($A109,F13_22_23!$B$14:$O$215,12,0),0)</f>
        <v>0</v>
      </c>
      <c r="AX109" s="2406"/>
      <c r="AY109" s="2406">
        <f t="shared" si="78"/>
        <v>207.86242846826249</v>
      </c>
      <c r="AZ109" s="2406">
        <f t="shared" si="79"/>
        <v>4.4843623488630726</v>
      </c>
    </row>
    <row r="110" spans="1:52" s="2350" customFormat="1">
      <c r="A110" s="2404" t="s">
        <v>1735</v>
      </c>
      <c r="B110" s="2405" t="s">
        <v>1717</v>
      </c>
      <c r="C110" s="2405">
        <v>1</v>
      </c>
      <c r="D110" s="2809"/>
      <c r="E110" s="2809"/>
      <c r="F110" s="2809"/>
      <c r="G110" s="2809"/>
      <c r="H110" s="2809"/>
      <c r="I110" s="2809"/>
      <c r="J110" s="2809"/>
      <c r="K110" s="2809"/>
      <c r="L110" s="2809"/>
      <c r="M110" s="2809"/>
      <c r="N110" s="2409">
        <v>0</v>
      </c>
      <c r="O110" s="2410">
        <v>0</v>
      </c>
      <c r="P110" s="2409">
        <f t="shared" si="61"/>
        <v>0</v>
      </c>
      <c r="Q110" s="2410">
        <v>0</v>
      </c>
      <c r="R110" s="2410">
        <f t="shared" si="62"/>
        <v>0</v>
      </c>
      <c r="S110" s="2410">
        <v>0</v>
      </c>
      <c r="T110" s="2410">
        <f t="shared" si="63"/>
        <v>0</v>
      </c>
      <c r="U110" s="2410"/>
      <c r="V110" s="2410">
        <f t="shared" si="64"/>
        <v>0</v>
      </c>
      <c r="W110" s="2410">
        <f t="shared" si="65"/>
        <v>0</v>
      </c>
      <c r="X110" s="2411">
        <v>0</v>
      </c>
      <c r="Y110" s="2411">
        <v>0</v>
      </c>
      <c r="Z110" s="2411">
        <f t="shared" si="66"/>
        <v>0</v>
      </c>
      <c r="AA110" s="2411">
        <v>0</v>
      </c>
      <c r="AB110" s="2411">
        <f t="shared" si="67"/>
        <v>0</v>
      </c>
      <c r="AC110" s="2411">
        <v>0</v>
      </c>
      <c r="AD110" s="2412">
        <f t="shared" si="68"/>
        <v>0</v>
      </c>
      <c r="AE110" s="2411"/>
      <c r="AF110" s="2411">
        <f t="shared" si="69"/>
        <v>0</v>
      </c>
      <c r="AG110" s="2411">
        <f t="shared" si="70"/>
        <v>0</v>
      </c>
      <c r="AH110" s="2412">
        <f>IFERROR(VLOOKUP($A110,F13_21_22!$B$14:$O$217,9,0),0)</f>
        <v>57.335615999999995</v>
      </c>
      <c r="AI110" s="2412">
        <f>IFERROR(VLOOKUP($A110,F13_21_22!$B$14:$O$217,10,0),0)</f>
        <v>4.8875000000000002</v>
      </c>
      <c r="AJ110" s="2412">
        <f t="shared" si="71"/>
        <v>0.85243699134583306</v>
      </c>
      <c r="AK110" s="2412">
        <f>IFERROR(VLOOKUP($A110,F13_21_22!$B$14:$O$217,11,0),0)</f>
        <v>13.158523871999998</v>
      </c>
      <c r="AL110" s="2401">
        <f t="shared" si="72"/>
        <v>2.2949999999999999</v>
      </c>
      <c r="AM110" s="2412">
        <f>IFERROR(VLOOKUP($A110,F13_21_22!$B$14:$O$217,12,0),0)</f>
        <v>0</v>
      </c>
      <c r="AN110" s="2412">
        <f t="shared" si="73"/>
        <v>0</v>
      </c>
      <c r="AO110" s="2411"/>
      <c r="AP110" s="2411">
        <f t="shared" si="74"/>
        <v>18.046023871999999</v>
      </c>
      <c r="AQ110" s="2411">
        <f t="shared" si="75"/>
        <v>3.1474369913458333</v>
      </c>
      <c r="AR110" s="2406">
        <f>IFERROR(VLOOKUP($A110,F13_22_23!$B$14:$O$215,9,0),0)</f>
        <v>675.08064000000002</v>
      </c>
      <c r="AS110" s="2406">
        <f>IFERROR(VLOOKUP($A110,F13_22_23!$B$14:$O$215,10,0),0)</f>
        <v>61.582499999999996</v>
      </c>
      <c r="AT110" s="2406">
        <f t="shared" si="76"/>
        <v>0.91222435293063642</v>
      </c>
      <c r="AU110" s="2406">
        <f>IFERROR(VLOOKUP($A110,F13_22_23!$B$14:$O$215,11,0),0)</f>
        <v>158.02962701760001</v>
      </c>
      <c r="AV110" s="2406">
        <f t="shared" si="77"/>
        <v>2.3409</v>
      </c>
      <c r="AW110" s="2406">
        <f>IFERROR(VLOOKUP($A110,F13_22_23!$B$14:$O$215,12,0),0)</f>
        <v>0</v>
      </c>
      <c r="AX110" s="2406"/>
      <c r="AY110" s="2406">
        <f t="shared" si="78"/>
        <v>219.61212701760002</v>
      </c>
      <c r="AZ110" s="2406">
        <f t="shared" si="79"/>
        <v>3.2531243529306368</v>
      </c>
    </row>
    <row r="111" spans="1:52" s="2350" customFormat="1">
      <c r="A111" s="2404" t="s">
        <v>1736</v>
      </c>
      <c r="B111" s="2405" t="s">
        <v>1717</v>
      </c>
      <c r="C111" s="2405">
        <v>1</v>
      </c>
      <c r="D111" s="2809"/>
      <c r="E111" s="2809"/>
      <c r="F111" s="2809"/>
      <c r="G111" s="2809"/>
      <c r="H111" s="2809"/>
      <c r="I111" s="2809"/>
      <c r="J111" s="2809"/>
      <c r="K111" s="2809"/>
      <c r="L111" s="2809"/>
      <c r="M111" s="2809"/>
      <c r="N111" s="2409">
        <v>0</v>
      </c>
      <c r="O111" s="2410">
        <v>0</v>
      </c>
      <c r="P111" s="2409">
        <f t="shared" si="61"/>
        <v>0</v>
      </c>
      <c r="Q111" s="2410">
        <v>0</v>
      </c>
      <c r="R111" s="2410">
        <f t="shared" si="62"/>
        <v>0</v>
      </c>
      <c r="S111" s="2410">
        <v>0</v>
      </c>
      <c r="T111" s="2410">
        <f t="shared" si="63"/>
        <v>0</v>
      </c>
      <c r="U111" s="2410"/>
      <c r="V111" s="2410">
        <f t="shared" si="64"/>
        <v>0</v>
      </c>
      <c r="W111" s="2410">
        <f t="shared" si="65"/>
        <v>0</v>
      </c>
      <c r="X111" s="2411">
        <v>0</v>
      </c>
      <c r="Y111" s="2411">
        <v>0</v>
      </c>
      <c r="Z111" s="2411">
        <f t="shared" si="66"/>
        <v>0</v>
      </c>
      <c r="AA111" s="2411">
        <v>0</v>
      </c>
      <c r="AB111" s="2411">
        <f t="shared" si="67"/>
        <v>0</v>
      </c>
      <c r="AC111" s="2411">
        <v>0</v>
      </c>
      <c r="AD111" s="2412">
        <f t="shared" si="68"/>
        <v>0</v>
      </c>
      <c r="AE111" s="2411"/>
      <c r="AF111" s="2411">
        <f t="shared" si="69"/>
        <v>0</v>
      </c>
      <c r="AG111" s="2411">
        <f t="shared" si="70"/>
        <v>0</v>
      </c>
      <c r="AH111" s="2412">
        <f>IFERROR(VLOOKUP($A111,F13_21_22!$B$14:$O$217,9,0),0)</f>
        <v>0</v>
      </c>
      <c r="AI111" s="2412">
        <f>IFERROR(VLOOKUP($A111,F13_21_22!$B$14:$O$217,10,0),0)</f>
        <v>0</v>
      </c>
      <c r="AJ111" s="2412">
        <f t="shared" si="71"/>
        <v>0</v>
      </c>
      <c r="AK111" s="2412">
        <f>IFERROR(VLOOKUP($A111,F13_21_22!$B$14:$O$217,11,0),0)</f>
        <v>0</v>
      </c>
      <c r="AL111" s="2401">
        <f t="shared" si="72"/>
        <v>0</v>
      </c>
      <c r="AM111" s="2412">
        <f>IFERROR(VLOOKUP($A111,F13_21_22!$B$14:$O$217,12,0),0)</f>
        <v>0</v>
      </c>
      <c r="AN111" s="2412">
        <f t="shared" si="73"/>
        <v>0</v>
      </c>
      <c r="AO111" s="2411"/>
      <c r="AP111" s="2411">
        <f t="shared" si="74"/>
        <v>0</v>
      </c>
      <c r="AQ111" s="2411">
        <f t="shared" si="75"/>
        <v>0</v>
      </c>
      <c r="AR111" s="2406">
        <f>IFERROR(VLOOKUP($A111,F13_22_23!$B$14:$O$215,9,0),0)</f>
        <v>131.08586399999999</v>
      </c>
      <c r="AS111" s="2406">
        <f>IFERROR(VLOOKUP($A111,F13_22_23!$B$14:$O$215,10,0),0)</f>
        <v>29.130191999999994</v>
      </c>
      <c r="AT111" s="2406">
        <f t="shared" si="76"/>
        <v>2.2222222222222223</v>
      </c>
      <c r="AU111" s="2406">
        <f>IFERROR(VLOOKUP($A111,F13_22_23!$B$14:$O$215,11,0),0)</f>
        <v>30.685889903759993</v>
      </c>
      <c r="AV111" s="2406">
        <f t="shared" si="77"/>
        <v>2.3408999999999995</v>
      </c>
      <c r="AW111" s="2406">
        <f>IFERROR(VLOOKUP($A111,F13_22_23!$B$14:$O$215,12,0),0)</f>
        <v>0</v>
      </c>
      <c r="AX111" s="2406"/>
      <c r="AY111" s="2406">
        <f t="shared" si="78"/>
        <v>59.816081903759986</v>
      </c>
      <c r="AZ111" s="2406">
        <f t="shared" si="79"/>
        <v>4.5631222222222219</v>
      </c>
    </row>
    <row r="112" spans="1:52" s="2350" customFormat="1">
      <c r="A112" s="2404" t="s">
        <v>1737</v>
      </c>
      <c r="B112" s="2405" t="s">
        <v>1717</v>
      </c>
      <c r="C112" s="2405">
        <v>1</v>
      </c>
      <c r="D112" s="2809"/>
      <c r="E112" s="2809"/>
      <c r="F112" s="2809"/>
      <c r="G112" s="2809"/>
      <c r="H112" s="2809"/>
      <c r="I112" s="2809"/>
      <c r="J112" s="2809"/>
      <c r="K112" s="2809"/>
      <c r="L112" s="2809"/>
      <c r="M112" s="2809"/>
      <c r="N112" s="2409">
        <v>0</v>
      </c>
      <c r="O112" s="2410">
        <v>0</v>
      </c>
      <c r="P112" s="2409">
        <f t="shared" si="61"/>
        <v>0</v>
      </c>
      <c r="Q112" s="2410">
        <v>0</v>
      </c>
      <c r="R112" s="2410">
        <f t="shared" si="62"/>
        <v>0</v>
      </c>
      <c r="S112" s="2410">
        <v>0</v>
      </c>
      <c r="T112" s="2410">
        <f t="shared" si="63"/>
        <v>0</v>
      </c>
      <c r="U112" s="2410"/>
      <c r="V112" s="2410">
        <f t="shared" si="64"/>
        <v>0</v>
      </c>
      <c r="W112" s="2410">
        <f t="shared" si="65"/>
        <v>0</v>
      </c>
      <c r="X112" s="2411">
        <v>0</v>
      </c>
      <c r="Y112" s="2411">
        <v>0</v>
      </c>
      <c r="Z112" s="2411">
        <f t="shared" si="66"/>
        <v>0</v>
      </c>
      <c r="AA112" s="2411">
        <v>0</v>
      </c>
      <c r="AB112" s="2411">
        <f t="shared" si="67"/>
        <v>0</v>
      </c>
      <c r="AC112" s="2411">
        <v>0</v>
      </c>
      <c r="AD112" s="2412">
        <f t="shared" si="68"/>
        <v>0</v>
      </c>
      <c r="AE112" s="2411"/>
      <c r="AF112" s="2411">
        <f t="shared" si="69"/>
        <v>0</v>
      </c>
      <c r="AG112" s="2411">
        <f t="shared" si="70"/>
        <v>0</v>
      </c>
      <c r="AH112" s="2412">
        <f>IFERROR(VLOOKUP($A112,F13_21_22!$B$14:$O$217,9,0),0)</f>
        <v>0</v>
      </c>
      <c r="AI112" s="2412">
        <f>IFERROR(VLOOKUP($A112,F13_21_22!$B$14:$O$217,10,0),0)</f>
        <v>0</v>
      </c>
      <c r="AJ112" s="2412">
        <f t="shared" si="71"/>
        <v>0</v>
      </c>
      <c r="AK112" s="2412">
        <f>IFERROR(VLOOKUP($A112,F13_21_22!$B$14:$O$217,11,0),0)</f>
        <v>0</v>
      </c>
      <c r="AL112" s="2401">
        <f t="shared" si="72"/>
        <v>0</v>
      </c>
      <c r="AM112" s="2412">
        <f>IFERROR(VLOOKUP($A112,F13_21_22!$B$14:$O$217,12,0),0)</f>
        <v>0</v>
      </c>
      <c r="AN112" s="2412">
        <f t="shared" si="73"/>
        <v>0</v>
      </c>
      <c r="AO112" s="2411"/>
      <c r="AP112" s="2411">
        <f t="shared" si="74"/>
        <v>0</v>
      </c>
      <c r="AQ112" s="2411">
        <f t="shared" si="75"/>
        <v>0</v>
      </c>
      <c r="AR112" s="2406">
        <f>IFERROR(VLOOKUP($A112,F13_22_23!$B$14:$O$215,9,0),0)</f>
        <v>0</v>
      </c>
      <c r="AS112" s="2406">
        <f>IFERROR(VLOOKUP($A112,F13_22_23!$B$14:$O$215,10,0),0)</f>
        <v>0</v>
      </c>
      <c r="AT112" s="2406">
        <f t="shared" si="76"/>
        <v>0</v>
      </c>
      <c r="AU112" s="2406">
        <f>IFERROR(VLOOKUP($A112,F13_22_23!$B$14:$O$215,11,0),0)</f>
        <v>0</v>
      </c>
      <c r="AV112" s="2406">
        <f t="shared" si="77"/>
        <v>0</v>
      </c>
      <c r="AW112" s="2406">
        <f>IFERROR(VLOOKUP($A112,F13_22_23!$B$14:$O$215,12,0),0)</f>
        <v>0</v>
      </c>
      <c r="AX112" s="2406"/>
      <c r="AY112" s="2406">
        <f t="shared" si="78"/>
        <v>0</v>
      </c>
      <c r="AZ112" s="2406">
        <f t="shared" si="79"/>
        <v>0</v>
      </c>
    </row>
    <row r="113" spans="1:52" s="2350" customFormat="1">
      <c r="A113" s="2404" t="s">
        <v>2058</v>
      </c>
      <c r="B113" s="2405"/>
      <c r="C113" s="2405"/>
      <c r="D113" s="2809"/>
      <c r="E113" s="2809"/>
      <c r="F113" s="2809"/>
      <c r="G113" s="2809"/>
      <c r="H113" s="2809"/>
      <c r="I113" s="2809"/>
      <c r="J113" s="2809"/>
      <c r="K113" s="2809"/>
      <c r="L113" s="2809"/>
      <c r="M113" s="2809"/>
      <c r="N113" s="2409">
        <v>0</v>
      </c>
      <c r="O113" s="2410">
        <v>0</v>
      </c>
      <c r="P113" s="2409">
        <f t="shared" si="61"/>
        <v>0</v>
      </c>
      <c r="Q113" s="2410">
        <v>0</v>
      </c>
      <c r="R113" s="2410">
        <f t="shared" si="62"/>
        <v>0</v>
      </c>
      <c r="S113" s="2410">
        <v>175.68134199999997</v>
      </c>
      <c r="T113" s="2410">
        <f t="shared" si="63"/>
        <v>0</v>
      </c>
      <c r="U113" s="2410"/>
      <c r="V113" s="2410">
        <f t="shared" si="64"/>
        <v>175.68134199999997</v>
      </c>
      <c r="W113" s="2410">
        <f t="shared" si="65"/>
        <v>0</v>
      </c>
      <c r="X113" s="2411">
        <v>0</v>
      </c>
      <c r="Y113" s="2411">
        <v>0</v>
      </c>
      <c r="Z113" s="2411">
        <f t="shared" si="66"/>
        <v>0</v>
      </c>
      <c r="AA113" s="2411">
        <v>0</v>
      </c>
      <c r="AB113" s="2411">
        <f t="shared" si="67"/>
        <v>0</v>
      </c>
      <c r="AC113" s="2411">
        <v>60.551112799999999</v>
      </c>
      <c r="AD113" s="2412">
        <f t="shared" si="68"/>
        <v>0</v>
      </c>
      <c r="AE113" s="2411"/>
      <c r="AF113" s="2411">
        <f t="shared" si="69"/>
        <v>60.551112799999999</v>
      </c>
      <c r="AG113" s="2411">
        <f t="shared" si="70"/>
        <v>0</v>
      </c>
      <c r="AH113" s="2412">
        <f>IFERROR(VLOOKUP($A113,F13_21_22!$B$14:$O$217,9,0),0)</f>
        <v>0</v>
      </c>
      <c r="AI113" s="2412">
        <f>IFERROR(VLOOKUP($A113,F13_21_22!$B$14:$O$217,10,0),0)</f>
        <v>0</v>
      </c>
      <c r="AJ113" s="2412">
        <f t="shared" si="71"/>
        <v>0</v>
      </c>
      <c r="AK113" s="2412">
        <f>IFERROR(VLOOKUP($A113,F13_21_22!$B$14:$O$217,11,0),0)</f>
        <v>0</v>
      </c>
      <c r="AL113" s="2401">
        <f t="shared" si="72"/>
        <v>0</v>
      </c>
      <c r="AM113" s="2412">
        <f>IFERROR(VLOOKUP($A113,F13_21_22!$B$14:$O$217,12,0),0)</f>
        <v>0</v>
      </c>
      <c r="AN113" s="2412">
        <f t="shared" si="73"/>
        <v>0</v>
      </c>
      <c r="AO113" s="2411"/>
      <c r="AP113" s="2411">
        <f t="shared" si="74"/>
        <v>0</v>
      </c>
      <c r="AQ113" s="2411">
        <f t="shared" si="75"/>
        <v>0</v>
      </c>
      <c r="AR113" s="2406">
        <f>IFERROR(VLOOKUP($A113,F13_22_23!$B$14:$O$215,9,0),0)</f>
        <v>0</v>
      </c>
      <c r="AS113" s="2406">
        <f>IFERROR(VLOOKUP($A113,F13_22_23!$B$14:$O$215,10,0),0)</f>
        <v>0</v>
      </c>
      <c r="AT113" s="2406">
        <f t="shared" si="76"/>
        <v>0</v>
      </c>
      <c r="AU113" s="2406">
        <f>IFERROR(VLOOKUP($A113,F13_22_23!$B$14:$O$215,11,0),0)</f>
        <v>0</v>
      </c>
      <c r="AV113" s="2406">
        <f t="shared" si="77"/>
        <v>0</v>
      </c>
      <c r="AW113" s="2406">
        <f>IFERROR(VLOOKUP($A113,F13_22_23!$B$14:$O$215,12,0),0)</f>
        <v>0</v>
      </c>
      <c r="AX113" s="2406"/>
      <c r="AY113" s="2406">
        <f t="shared" si="78"/>
        <v>0</v>
      </c>
      <c r="AZ113" s="2406">
        <f t="shared" si="79"/>
        <v>0</v>
      </c>
    </row>
    <row r="114" spans="1:52" s="2350" customFormat="1">
      <c r="A114" s="2417" t="s">
        <v>211</v>
      </c>
      <c r="B114" s="2405"/>
      <c r="C114" s="2405"/>
      <c r="D114" s="2809"/>
      <c r="E114" s="2809"/>
      <c r="F114" s="2809"/>
      <c r="G114" s="2809"/>
      <c r="H114" s="2809"/>
      <c r="I114" s="2809"/>
      <c r="J114" s="2809"/>
      <c r="K114" s="2809"/>
      <c r="L114" s="2809"/>
      <c r="M114" s="2809"/>
      <c r="N114" s="2400">
        <f>SUM(N98:N113)</f>
        <v>3768.7758000000003</v>
      </c>
      <c r="O114" s="2400">
        <f>SUM(O98:O113)</f>
        <v>633.99443099999996</v>
      </c>
      <c r="P114" s="2400"/>
      <c r="Q114" s="2400">
        <f>SUM(Q98:Q113)</f>
        <v>588.42919490000008</v>
      </c>
      <c r="R114" s="2400"/>
      <c r="S114" s="2400">
        <f>SUM(S98:S113)</f>
        <v>175.58747889999998</v>
      </c>
      <c r="T114" s="2400"/>
      <c r="U114" s="2400"/>
      <c r="V114" s="2400">
        <f>SUM(V98:V113)</f>
        <v>1398.0111047999999</v>
      </c>
      <c r="W114" s="2400"/>
      <c r="X114" s="2401">
        <f>SUM(X98:X113)</f>
        <v>3722.0631140000005</v>
      </c>
      <c r="Y114" s="2401">
        <f>SUM(Y98:Y113)</f>
        <v>640.88781010000002</v>
      </c>
      <c r="Z114" s="2401"/>
      <c r="AA114" s="2401">
        <f>SUM(AA98:AA113)</f>
        <v>619.40437029999998</v>
      </c>
      <c r="AB114" s="2401"/>
      <c r="AC114" s="2401">
        <f>SUM(AC98:AC113)</f>
        <v>120.9167285</v>
      </c>
      <c r="AD114" s="2401">
        <f>IFERROR(AC114/X114*10,0)</f>
        <v>0.32486479889389641</v>
      </c>
      <c r="AE114" s="2401"/>
      <c r="AF114" s="2401">
        <f>SUM(AF98:AF113)</f>
        <v>1381.2089089000001</v>
      </c>
      <c r="AG114" s="2401">
        <f>IFERROR(AF114/X114*10,0)</f>
        <v>3.7108691244508538</v>
      </c>
      <c r="AH114" s="2401">
        <f>SUM(AH98:AH113)</f>
        <v>4092.9794626266653</v>
      </c>
      <c r="AI114" s="2401">
        <f>SUM(AI98:AI113)</f>
        <v>745.30859365125002</v>
      </c>
      <c r="AJ114" s="2401">
        <f>IFERROR(AI114/AH114*10,0)</f>
        <v>1.8209438880813464</v>
      </c>
      <c r="AK114" s="2401">
        <f>SUM(AK98:AK113)</f>
        <v>682.31338536565045</v>
      </c>
      <c r="AL114" s="2401">
        <f>IFERROR(AK114/AH114*10,0)</f>
        <v>1.6670334938054552</v>
      </c>
      <c r="AM114" s="2401">
        <f>SUM(AM98:AM113)</f>
        <v>60.560268410000006</v>
      </c>
      <c r="AN114" s="2412">
        <f>IFERROR(AM114/AH114*10,0)</f>
        <v>0.14796132979161231</v>
      </c>
      <c r="AO114" s="2401">
        <f>SUM(AO98:AO113)</f>
        <v>0</v>
      </c>
      <c r="AP114" s="2401">
        <f>SUM(AP98:AP113)</f>
        <v>1488.1822474269004</v>
      </c>
      <c r="AQ114" s="2401">
        <f>IFERROR(AP114/AH114*10,0)</f>
        <v>3.6359387116784134</v>
      </c>
      <c r="AR114" s="2401">
        <f>SUM(AR98:AR112)</f>
        <v>4490.0126459675266</v>
      </c>
      <c r="AS114" s="2401">
        <f>SUM(AS98:AS112)</f>
        <v>797.29150263524991</v>
      </c>
      <c r="AT114" s="2401"/>
      <c r="AU114" s="2401">
        <f>SUM(AU98:AU112)</f>
        <v>812.19263403164973</v>
      </c>
      <c r="AV114" s="2401"/>
      <c r="AW114" s="2401">
        <f>SUM(AW98:AW112)</f>
        <v>0</v>
      </c>
      <c r="AX114" s="2401">
        <f>SUM(AX98:AX112)</f>
        <v>0</v>
      </c>
      <c r="AY114" s="2401">
        <f>SUM(AY98:AY112)</f>
        <v>1609.4841366669</v>
      </c>
      <c r="AZ114" s="2401"/>
    </row>
    <row r="115" spans="1:52" s="2350" customFormat="1">
      <c r="A115" s="2404"/>
      <c r="B115" s="2405"/>
      <c r="C115" s="2405"/>
      <c r="D115" s="2809"/>
      <c r="E115" s="2809"/>
      <c r="F115" s="2809"/>
      <c r="G115" s="2809"/>
      <c r="H115" s="2809"/>
      <c r="I115" s="2809"/>
      <c r="J115" s="2809"/>
      <c r="K115" s="2809"/>
      <c r="L115" s="2809"/>
      <c r="M115" s="2809"/>
      <c r="N115" s="2400"/>
      <c r="O115" s="2400"/>
      <c r="P115" s="2400"/>
      <c r="Q115" s="2400"/>
      <c r="R115" s="2400"/>
      <c r="S115" s="2400"/>
      <c r="T115" s="2400"/>
      <c r="U115" s="2400"/>
      <c r="V115" s="2400"/>
      <c r="W115" s="2400"/>
      <c r="X115" s="2401"/>
      <c r="Y115" s="2401"/>
      <c r="Z115" s="2401"/>
      <c r="AA115" s="2401"/>
      <c r="AB115" s="2401"/>
      <c r="AC115" s="2401"/>
      <c r="AD115" s="2412"/>
      <c r="AE115" s="2401"/>
      <c r="AF115" s="2401"/>
      <c r="AG115" s="2401"/>
      <c r="AH115" s="2412"/>
      <c r="AI115" s="2412"/>
      <c r="AJ115" s="2412"/>
      <c r="AK115" s="2412"/>
      <c r="AL115" s="2401"/>
      <c r="AM115" s="2416"/>
      <c r="AN115" s="2412"/>
      <c r="AO115" s="2411"/>
      <c r="AP115" s="2411"/>
      <c r="AQ115" s="2411"/>
      <c r="AR115" s="2406"/>
      <c r="AS115" s="2406"/>
      <c r="AT115" s="2406"/>
      <c r="AU115" s="2406"/>
      <c r="AV115" s="2406"/>
      <c r="AW115" s="2406"/>
      <c r="AX115" s="2406"/>
      <c r="AY115" s="2406"/>
      <c r="AZ115" s="2406"/>
    </row>
    <row r="116" spans="1:52" s="2350" customFormat="1">
      <c r="A116" s="2417" t="s">
        <v>1739</v>
      </c>
      <c r="B116" s="2405"/>
      <c r="C116" s="2405"/>
      <c r="D116" s="2809"/>
      <c r="E116" s="2809"/>
      <c r="F116" s="2809"/>
      <c r="G116" s="2809"/>
      <c r="H116" s="2809"/>
      <c r="I116" s="2809"/>
      <c r="J116" s="2809"/>
      <c r="K116" s="2809"/>
      <c r="L116" s="2809"/>
      <c r="M116" s="2809"/>
      <c r="N116" s="2400"/>
      <c r="O116" s="2400"/>
      <c r="P116" s="2400"/>
      <c r="Q116" s="2400"/>
      <c r="R116" s="2400"/>
      <c r="S116" s="2400"/>
      <c r="T116" s="2400"/>
      <c r="U116" s="2400"/>
      <c r="V116" s="2400"/>
      <c r="W116" s="2400"/>
      <c r="X116" s="2401"/>
      <c r="Y116" s="2401"/>
      <c r="Z116" s="2401"/>
      <c r="AA116" s="2401"/>
      <c r="AB116" s="2401"/>
      <c r="AC116" s="2401"/>
      <c r="AD116" s="2412"/>
      <c r="AE116" s="2401"/>
      <c r="AF116" s="2401"/>
      <c r="AG116" s="2401"/>
      <c r="AH116" s="2412"/>
      <c r="AI116" s="2412"/>
      <c r="AJ116" s="2412"/>
      <c r="AK116" s="2412"/>
      <c r="AL116" s="2401"/>
      <c r="AM116" s="2416"/>
      <c r="AN116" s="2412"/>
      <c r="AO116" s="2411"/>
      <c r="AP116" s="2411"/>
      <c r="AQ116" s="2411"/>
      <c r="AR116" s="2406"/>
      <c r="AS116" s="2406"/>
      <c r="AT116" s="2406"/>
      <c r="AU116" s="2406"/>
      <c r="AV116" s="2406"/>
      <c r="AW116" s="2406"/>
      <c r="AX116" s="2406"/>
      <c r="AY116" s="2406"/>
      <c r="AZ116" s="2406"/>
    </row>
    <row r="117" spans="1:52" s="2350" customFormat="1">
      <c r="A117" s="2404" t="s">
        <v>1740</v>
      </c>
      <c r="B117" s="2405" t="s">
        <v>1717</v>
      </c>
      <c r="C117" s="2405">
        <v>1</v>
      </c>
      <c r="D117" s="2809"/>
      <c r="E117" s="2809"/>
      <c r="F117" s="2809"/>
      <c r="G117" s="2809"/>
      <c r="H117" s="2809"/>
      <c r="I117" s="2809"/>
      <c r="J117" s="2809"/>
      <c r="K117" s="2809"/>
      <c r="L117" s="2809"/>
      <c r="M117" s="2809"/>
      <c r="N117" s="2409">
        <v>634.00752940000007</v>
      </c>
      <c r="O117" s="2410">
        <v>191.5188493</v>
      </c>
      <c r="P117" s="2409">
        <f>IFERROR(O117/N117*10,0)</f>
        <v>3.0207661647369699</v>
      </c>
      <c r="Q117" s="2410">
        <v>157.86787420000005</v>
      </c>
      <c r="R117" s="2410">
        <f>IFERROR(Q117/N117*10,0)</f>
        <v>2.4899999902114729</v>
      </c>
      <c r="S117" s="2410">
        <v>20.811561600000005</v>
      </c>
      <c r="T117" s="2410">
        <f>IFERROR(S117/N117*10,0)</f>
        <v>0.32825417104581156</v>
      </c>
      <c r="U117" s="2410"/>
      <c r="V117" s="2410">
        <f>SUM(O117,Q117,S117)</f>
        <v>370.19828510000002</v>
      </c>
      <c r="W117" s="2410">
        <f>IFERROR(V117/N117*10,0)</f>
        <v>5.8390203259942544</v>
      </c>
      <c r="X117" s="2411">
        <v>670.8800020000001</v>
      </c>
      <c r="Y117" s="2411">
        <v>168.73979620000003</v>
      </c>
      <c r="Z117" s="2411">
        <f>IFERROR(Y117/X117*10,0)</f>
        <v>2.5152008659813951</v>
      </c>
      <c r="AA117" s="2411">
        <v>176.04309409999996</v>
      </c>
      <c r="AB117" s="2411">
        <f>IFERROR(AA117/X117*10,0)</f>
        <v>2.6240623297040822</v>
      </c>
      <c r="AC117" s="2411">
        <v>0</v>
      </c>
      <c r="AD117" s="2412">
        <f>IFERROR(AC117/X117*10,0)</f>
        <v>0</v>
      </c>
      <c r="AE117" s="2411"/>
      <c r="AF117" s="2411">
        <f>Y117+AA117+AC117+AE117</f>
        <v>344.78289029999996</v>
      </c>
      <c r="AG117" s="2411">
        <f>IFERROR(AF117/X117*10,0)</f>
        <v>5.1392631956854773</v>
      </c>
      <c r="AH117" s="2412">
        <f>IFERROR(VLOOKUP($A117,F13_21_22!$B$14:$O$217,9,0),0)</f>
        <v>670.76159379999979</v>
      </c>
      <c r="AI117" s="2412">
        <f>IFERROR(VLOOKUP($A117,F13_21_22!$B$14:$O$217,10,0),0)</f>
        <v>173.74828950250003</v>
      </c>
      <c r="AJ117" s="2412">
        <f>IFERROR(AI117/AH117*10,0)</f>
        <v>2.5903136242219964</v>
      </c>
      <c r="AK117" s="2412">
        <f>IFERROR(VLOOKUP($A117,F13_21_22!$B$14:$O$217,11,0),0)</f>
        <v>166.35521041176256</v>
      </c>
      <c r="AL117" s="2401">
        <f>IFERROR(AK117/AH117*10,0)</f>
        <v>2.4800944471093929</v>
      </c>
      <c r="AM117" s="2412">
        <f>IFERROR(VLOOKUP($A117,F13_21_22!$B$14:$O$217,12,0),0)</f>
        <v>9.9427000000000005E-3</v>
      </c>
      <c r="AN117" s="2412">
        <f>IFERROR(AM117/AH117*10,0)</f>
        <v>1.482300133445715E-4</v>
      </c>
      <c r="AO117" s="2411"/>
      <c r="AP117" s="2411">
        <f>SUM(AK117,AI117,AM117,AO117)</f>
        <v>340.11344261426257</v>
      </c>
      <c r="AQ117" s="2411">
        <f>IFERROR(AP117/AH117*10,0)</f>
        <v>5.0705563013447339</v>
      </c>
      <c r="AR117" s="2406">
        <f>IFERROR(VLOOKUP($A117,F13_22_23!$B$14:$O$215,9,0),0)</f>
        <v>601.23373971741933</v>
      </c>
      <c r="AS117" s="2406">
        <f>IFERROR(VLOOKUP($A117,F13_22_23!$B$14:$O$215,10,0),0)</f>
        <v>186.03562531050005</v>
      </c>
      <c r="AT117" s="2406">
        <f>IFERROR(AS117/AR117*10,0)</f>
        <v>3.0942312951022517</v>
      </c>
      <c r="AU117" s="2406">
        <f>IFERROR(VLOOKUP($A117,F13_22_23!$B$14:$O$215,11,0),0)</f>
        <v>164.1412869972269</v>
      </c>
      <c r="AV117" s="2406">
        <f>IFERROR(AU117/AR117*10,0)</f>
        <v>2.7300744478241281</v>
      </c>
      <c r="AW117" s="2406">
        <f>IFERROR(VLOOKUP($A117,F13_22_23!$B$14:$O$215,12,0),0)</f>
        <v>0</v>
      </c>
      <c r="AX117" s="2406"/>
      <c r="AY117" s="2406">
        <f>AS117+AU117</f>
        <v>350.17691230772698</v>
      </c>
      <c r="AZ117" s="2406">
        <f>IFERROR(AY117/AR117*10,0)</f>
        <v>5.8243057429263798</v>
      </c>
    </row>
    <row r="118" spans="1:52" s="2350" customFormat="1">
      <c r="A118" s="2404" t="s">
        <v>1741</v>
      </c>
      <c r="B118" s="2405" t="s">
        <v>1717</v>
      </c>
      <c r="C118" s="2405">
        <v>1</v>
      </c>
      <c r="D118" s="2809"/>
      <c r="E118" s="2809"/>
      <c r="F118" s="2809"/>
      <c r="G118" s="2809"/>
      <c r="H118" s="2809"/>
      <c r="I118" s="2809"/>
      <c r="J118" s="2809"/>
      <c r="K118" s="2809"/>
      <c r="L118" s="2809"/>
      <c r="M118" s="2809"/>
      <c r="N118" s="2409">
        <v>0</v>
      </c>
      <c r="O118" s="2410">
        <v>0</v>
      </c>
      <c r="P118" s="2409">
        <f>IFERROR(O118/N118*10,0)</f>
        <v>0</v>
      </c>
      <c r="Q118" s="2410">
        <v>0</v>
      </c>
      <c r="R118" s="2410">
        <f>IFERROR(Q118/N118*10,0)</f>
        <v>0</v>
      </c>
      <c r="S118" s="2410">
        <v>0</v>
      </c>
      <c r="T118" s="2410">
        <f>IFERROR(S118/N118*10,0)</f>
        <v>0</v>
      </c>
      <c r="U118" s="2410"/>
      <c r="V118" s="2410">
        <f>SUM(O118,Q118,S118)</f>
        <v>0</v>
      </c>
      <c r="W118" s="2410">
        <f>IFERROR(V118/N118*10,0)</f>
        <v>0</v>
      </c>
      <c r="X118" s="2411">
        <v>0</v>
      </c>
      <c r="Y118" s="2411">
        <v>0</v>
      </c>
      <c r="Z118" s="2411">
        <f>IFERROR(Y118/X118*10,0)</f>
        <v>0</v>
      </c>
      <c r="AA118" s="2411">
        <v>0</v>
      </c>
      <c r="AB118" s="2411">
        <f>IFERROR(AA118/X118*10,0)</f>
        <v>0</v>
      </c>
      <c r="AC118" s="2411">
        <v>0</v>
      </c>
      <c r="AD118" s="2412">
        <f>IFERROR(AC118/X118*10,0)</f>
        <v>0</v>
      </c>
      <c r="AE118" s="2411"/>
      <c r="AF118" s="2411">
        <f>Y118+AA118+AC118+AE118</f>
        <v>0</v>
      </c>
      <c r="AG118" s="2411">
        <f>IFERROR(AF118/X118*10,0)</f>
        <v>0</v>
      </c>
      <c r="AH118" s="2412">
        <f>IFERROR(VLOOKUP($A118,F13_21_22!$B$14:$O$217,9,0),0)</f>
        <v>0</v>
      </c>
      <c r="AI118" s="2412">
        <f>IFERROR(VLOOKUP($A118,F13_21_22!$B$14:$O$217,10,0),0)</f>
        <v>0</v>
      </c>
      <c r="AJ118" s="2412">
        <f>IFERROR(AI118/AH118*10,0)</f>
        <v>0</v>
      </c>
      <c r="AK118" s="2412">
        <f>IFERROR(VLOOKUP($A118,F13_21_22!$B$14:$O$217,11,0),0)</f>
        <v>0</v>
      </c>
      <c r="AL118" s="2401">
        <f>IFERROR(AK118/AH118*10,0)</f>
        <v>0</v>
      </c>
      <c r="AM118" s="2412">
        <f>IFERROR(VLOOKUP($A118,F13_21_22!$B$14:$O$217,12,0),0)</f>
        <v>0</v>
      </c>
      <c r="AN118" s="2412">
        <f>IFERROR(AM118/AH118*10,0)</f>
        <v>0</v>
      </c>
      <c r="AO118" s="2411"/>
      <c r="AP118" s="2411">
        <f>SUM(AK118,AI118,AM118,AO118)</f>
        <v>0</v>
      </c>
      <c r="AQ118" s="2411">
        <f>IFERROR(AP118/AH118*10,0)</f>
        <v>0</v>
      </c>
      <c r="AR118" s="2406">
        <f>IFERROR(VLOOKUP($A118,F13_22_23!$B$14:$O$215,9,0),0)</f>
        <v>0</v>
      </c>
      <c r="AS118" s="2406">
        <f>IFERROR(VLOOKUP($A118,F13_22_23!$B$14:$O$215,10,0),0)</f>
        <v>0</v>
      </c>
      <c r="AT118" s="2406">
        <f>IFERROR(AS118/AR118*10,0)</f>
        <v>0</v>
      </c>
      <c r="AU118" s="2406">
        <f>IFERROR(VLOOKUP($A118,F13_22_23!$B$14:$O$215,11,0),0)</f>
        <v>0</v>
      </c>
      <c r="AV118" s="2406">
        <f>IFERROR(AU118/AR118*10,0)</f>
        <v>0</v>
      </c>
      <c r="AW118" s="2406">
        <f>IFERROR(VLOOKUP($A118,F13_22_23!$B$14:$O$215,12,0),0)</f>
        <v>0</v>
      </c>
      <c r="AX118" s="2406"/>
      <c r="AY118" s="2406">
        <f>AS118+AU118</f>
        <v>0</v>
      </c>
      <c r="AZ118" s="2406">
        <f>IFERROR(AY118/AR118*10,0)</f>
        <v>0</v>
      </c>
    </row>
    <row r="119" spans="1:52" s="2350" customFormat="1">
      <c r="A119" s="2404" t="s">
        <v>1742</v>
      </c>
      <c r="B119" s="2405" t="s">
        <v>1717</v>
      </c>
      <c r="C119" s="2405">
        <v>1</v>
      </c>
      <c r="D119" s="2809"/>
      <c r="E119" s="2809"/>
      <c r="F119" s="2809"/>
      <c r="G119" s="2809"/>
      <c r="H119" s="2809"/>
      <c r="I119" s="2809"/>
      <c r="J119" s="2809"/>
      <c r="K119" s="2809"/>
      <c r="L119" s="2809"/>
      <c r="M119" s="2809"/>
      <c r="N119" s="2409">
        <v>0</v>
      </c>
      <c r="O119" s="2410">
        <v>0</v>
      </c>
      <c r="P119" s="2409">
        <f>IFERROR(O119/N119*10,0)</f>
        <v>0</v>
      </c>
      <c r="Q119" s="2410">
        <v>0</v>
      </c>
      <c r="R119" s="2410">
        <f>IFERROR(Q119/N119*10,0)</f>
        <v>0</v>
      </c>
      <c r="S119" s="2410">
        <v>0</v>
      </c>
      <c r="T119" s="2410">
        <f>IFERROR(S119/N119*10,0)</f>
        <v>0</v>
      </c>
      <c r="U119" s="2410"/>
      <c r="V119" s="2410">
        <f>SUM(O119,Q119,S119)</f>
        <v>0</v>
      </c>
      <c r="W119" s="2410">
        <f>IFERROR(V119/N119*10,0)</f>
        <v>0</v>
      </c>
      <c r="X119" s="2411">
        <v>0</v>
      </c>
      <c r="Y119" s="2411">
        <v>0</v>
      </c>
      <c r="Z119" s="2411">
        <f>IFERROR(Y119/X119*10,0)</f>
        <v>0</v>
      </c>
      <c r="AA119" s="2411">
        <v>0</v>
      </c>
      <c r="AB119" s="2411">
        <f>IFERROR(AA119/X119*10,0)</f>
        <v>0</v>
      </c>
      <c r="AC119" s="2411">
        <v>0</v>
      </c>
      <c r="AD119" s="2412">
        <f>IFERROR(AC119/X119*10,0)</f>
        <v>0</v>
      </c>
      <c r="AE119" s="2411"/>
      <c r="AF119" s="2411">
        <f>Y119+AA119+AC119+AE119</f>
        <v>0</v>
      </c>
      <c r="AG119" s="2411">
        <f>IFERROR(AF119/X119*10,0)</f>
        <v>0</v>
      </c>
      <c r="AH119" s="2412">
        <f>IFERROR(VLOOKUP($A119,F13_21_22!$B$14:$O$217,9,0),0)</f>
        <v>0</v>
      </c>
      <c r="AI119" s="2412">
        <f>IFERROR(VLOOKUP($A119,F13_21_22!$B$14:$O$217,10,0),0)</f>
        <v>0</v>
      </c>
      <c r="AJ119" s="2412">
        <f>IFERROR(AI119/AH119*10,0)</f>
        <v>0</v>
      </c>
      <c r="AK119" s="2412">
        <f>IFERROR(VLOOKUP($A119,F13_21_22!$B$14:$O$217,11,0),0)</f>
        <v>0</v>
      </c>
      <c r="AL119" s="2401">
        <f>IFERROR(AK119/AH119*10,0)</f>
        <v>0</v>
      </c>
      <c r="AM119" s="2412">
        <f>IFERROR(VLOOKUP($A119,F13_21_22!$B$14:$O$217,12,0),0)</f>
        <v>0</v>
      </c>
      <c r="AN119" s="2412">
        <f>IFERROR(AM119/AH119*10,0)</f>
        <v>0</v>
      </c>
      <c r="AO119" s="2411"/>
      <c r="AP119" s="2411">
        <f>SUM(AK119,AI119,AM119,AO119)</f>
        <v>0</v>
      </c>
      <c r="AQ119" s="2411">
        <f>IFERROR(AP119/AH119*10,0)</f>
        <v>0</v>
      </c>
      <c r="AR119" s="2406">
        <f>IFERROR(VLOOKUP($A119,F13_22_23!$B$14:$O$215,9,0),0)</f>
        <v>0</v>
      </c>
      <c r="AS119" s="2406">
        <f>IFERROR(VLOOKUP($A119,F13_22_23!$B$14:$O$215,10,0),0)</f>
        <v>0</v>
      </c>
      <c r="AT119" s="2406">
        <f>IFERROR(AS119/AR119*10,0)</f>
        <v>0</v>
      </c>
      <c r="AU119" s="2406">
        <f>IFERROR(VLOOKUP($A119,F13_22_23!$B$14:$O$215,11,0),0)</f>
        <v>0</v>
      </c>
      <c r="AV119" s="2406">
        <f>IFERROR(AU119/AR119*10,0)</f>
        <v>0</v>
      </c>
      <c r="AW119" s="2406">
        <f>IFERROR(VLOOKUP($A119,F13_22_23!$B$14:$O$215,12,0),0)</f>
        <v>0</v>
      </c>
      <c r="AX119" s="2406"/>
      <c r="AY119" s="2406">
        <f>AS119+AU119</f>
        <v>0</v>
      </c>
      <c r="AZ119" s="2406">
        <f>IFERROR(AY119/AR119*10,0)</f>
        <v>0</v>
      </c>
    </row>
    <row r="120" spans="1:52" s="2350" customFormat="1">
      <c r="A120" s="2404" t="s">
        <v>1743</v>
      </c>
      <c r="B120" s="2405" t="s">
        <v>1717</v>
      </c>
      <c r="C120" s="2405">
        <v>1</v>
      </c>
      <c r="D120" s="2809"/>
      <c r="E120" s="2809"/>
      <c r="F120" s="2809"/>
      <c r="G120" s="2809"/>
      <c r="H120" s="2809"/>
      <c r="I120" s="2809"/>
      <c r="J120" s="2809"/>
      <c r="K120" s="2809"/>
      <c r="L120" s="2809"/>
      <c r="M120" s="2809"/>
      <c r="N120" s="2409">
        <v>6.1980374999999999</v>
      </c>
      <c r="O120" s="2410">
        <v>0</v>
      </c>
      <c r="P120" s="2409">
        <f>IFERROR(O120/N120*10,0)</f>
        <v>0</v>
      </c>
      <c r="Q120" s="2410">
        <v>3.1238106000000001</v>
      </c>
      <c r="R120" s="2410">
        <f>IFERROR(Q120/N120*10,0)</f>
        <v>5.0399995159758237</v>
      </c>
      <c r="S120" s="2410">
        <v>1.8166E-3</v>
      </c>
      <c r="T120" s="2410">
        <f>IFERROR(S120/N120*10,0)</f>
        <v>2.9309277331736059E-3</v>
      </c>
      <c r="U120" s="2410"/>
      <c r="V120" s="2410">
        <f>SUM(O120,Q120,S120)</f>
        <v>3.1256272000000003</v>
      </c>
      <c r="W120" s="2410">
        <f>IFERROR(V120/N120*10,0)</f>
        <v>5.0429304437089968</v>
      </c>
      <c r="X120" s="2411">
        <v>25.486516000000002</v>
      </c>
      <c r="Y120" s="2411">
        <v>20.366369200000001</v>
      </c>
      <c r="Z120" s="2411">
        <f>IFERROR(Y120/X120*10,0)</f>
        <v>7.9910369859889832</v>
      </c>
      <c r="AA120" s="2411">
        <v>8.6411165000000008</v>
      </c>
      <c r="AB120" s="2411">
        <f>IFERROR(AA120/X120*10,0)</f>
        <v>3.3904659624720774</v>
      </c>
      <c r="AC120" s="2411">
        <v>6.2971700000000005E-2</v>
      </c>
      <c r="AD120" s="2412">
        <f>IFERROR(AC120/X120*10,0)</f>
        <v>2.4707849436933632E-2</v>
      </c>
      <c r="AE120" s="2411"/>
      <c r="AF120" s="2411">
        <f>Y120+AA120+AC120+AE120</f>
        <v>29.070457400000002</v>
      </c>
      <c r="AG120" s="2411">
        <f>IFERROR(AF120/X120*10,0)</f>
        <v>11.406210797897995</v>
      </c>
      <c r="AH120" s="2412">
        <f>IFERROR(VLOOKUP($A120,F13_21_22!$B$14:$O$217,9,0),0)</f>
        <v>11.028905999999999</v>
      </c>
      <c r="AI120" s="2412">
        <f>IFERROR(VLOOKUP($A120,F13_21_22!$B$14:$O$217,10,0),0)</f>
        <v>5.3461719150000002</v>
      </c>
      <c r="AJ120" s="2412">
        <f>IFERROR(AI120/AH120*10,0)</f>
        <v>4.8474181528068154</v>
      </c>
      <c r="AK120" s="2412">
        <f>IFERROR(VLOOKUP($A120,F13_21_22!$B$14:$O$217,11,0),0)</f>
        <v>4.687354725172213</v>
      </c>
      <c r="AL120" s="2401">
        <f>IFERROR(AK120/AH120*10,0)</f>
        <v>4.2500631750530955</v>
      </c>
      <c r="AM120" s="2412">
        <f>IFERROR(VLOOKUP($A120,F13_21_22!$B$14:$O$217,12,0),0)</f>
        <v>2.2230000000000001E-4</v>
      </c>
      <c r="AN120" s="2412">
        <f>IFERROR(AM120/AH120*10,0)</f>
        <v>2.0156124279234952E-4</v>
      </c>
      <c r="AO120" s="2411"/>
      <c r="AP120" s="2411">
        <f>SUM(AK120,AI120,AM120,AO120)</f>
        <v>10.033748940172213</v>
      </c>
      <c r="AQ120" s="2411">
        <f>IFERROR(AP120/AH120*10,0)</f>
        <v>9.0976828891027033</v>
      </c>
      <c r="AR120" s="2406">
        <f>IFERROR(VLOOKUP($A120,F13_22_23!$B$14:$O$215,9,0),0)</f>
        <v>22.705199999999991</v>
      </c>
      <c r="AS120" s="2406">
        <f>IFERROR(VLOOKUP($A120,F13_22_23!$B$14:$O$215,10,0),0)</f>
        <v>22.453922043000002</v>
      </c>
      <c r="AT120" s="2406">
        <f>IFERROR(AS120/AR120*10,0)</f>
        <v>9.8893302164261971</v>
      </c>
      <c r="AU120" s="2406">
        <f>IFERROR(VLOOKUP($A120,F13_22_23!$B$14:$O$215,11,0),0)</f>
        <v>8.0091248565074267</v>
      </c>
      <c r="AV120" s="2406">
        <f>IFERROR(AU120/AR120*10,0)</f>
        <v>3.5274407873559492</v>
      </c>
      <c r="AW120" s="2406">
        <f>IFERROR(VLOOKUP($A120,F13_22_23!$B$14:$O$215,12,0),0)</f>
        <v>0</v>
      </c>
      <c r="AX120" s="2406"/>
      <c r="AY120" s="2406">
        <f>AS120+AU120</f>
        <v>30.463046899507429</v>
      </c>
      <c r="AZ120" s="2406">
        <f>IFERROR(AY120/AR120*10,0)</f>
        <v>13.416771003782147</v>
      </c>
    </row>
    <row r="121" spans="1:52" s="2415" customFormat="1">
      <c r="A121" s="2417" t="s">
        <v>211</v>
      </c>
      <c r="B121" s="2809"/>
      <c r="C121" s="2809"/>
      <c r="D121" s="2809"/>
      <c r="E121" s="2809"/>
      <c r="F121" s="2809"/>
      <c r="G121" s="2809"/>
      <c r="H121" s="2809"/>
      <c r="I121" s="2809"/>
      <c r="J121" s="2809"/>
      <c r="K121" s="2809"/>
      <c r="L121" s="2809"/>
      <c r="M121" s="2809"/>
      <c r="N121" s="2400">
        <f>SUM(N117:N120)</f>
        <v>640.20556690000012</v>
      </c>
      <c r="O121" s="2400">
        <f>SUM(O117:O120)</f>
        <v>191.5188493</v>
      </c>
      <c r="P121" s="2400"/>
      <c r="Q121" s="2400">
        <f>SUM(Q117:Q120)</f>
        <v>160.99168480000006</v>
      </c>
      <c r="R121" s="2400"/>
      <c r="S121" s="2400">
        <f>SUM(S117:S120)</f>
        <v>20.813378200000006</v>
      </c>
      <c r="T121" s="2400"/>
      <c r="U121" s="2400"/>
      <c r="V121" s="2400">
        <f>SUM(V117:V120)</f>
        <v>373.32391230000002</v>
      </c>
      <c r="W121" s="2400"/>
      <c r="X121" s="2401">
        <f>SUM(X117:X120)</f>
        <v>696.36651800000016</v>
      </c>
      <c r="Y121" s="2401">
        <f>SUM(Y117:Y120)</f>
        <v>189.10616540000004</v>
      </c>
      <c r="Z121" s="2401"/>
      <c r="AA121" s="2401">
        <f>SUM(AA117:AA120)</f>
        <v>184.68421059999997</v>
      </c>
      <c r="AB121" s="2401"/>
      <c r="AC121" s="2401">
        <f>SUM(AC117:AC120)</f>
        <v>6.2971700000000005E-2</v>
      </c>
      <c r="AD121" s="2401">
        <f>SUM(AD117:AD120)</f>
        <v>2.4707849436933632E-2</v>
      </c>
      <c r="AE121" s="2401"/>
      <c r="AF121" s="2401">
        <f>SUM(AF117:AF120)</f>
        <v>373.85334769999997</v>
      </c>
      <c r="AG121" s="2401">
        <f>IFERROR(AF121/X121*10,0)</f>
        <v>5.3686289911485936</v>
      </c>
      <c r="AH121" s="2401">
        <f>SUM(AH117:AH120)</f>
        <v>681.79049979999979</v>
      </c>
      <c r="AI121" s="2401">
        <f>SUM(AI117:AI120)</f>
        <v>179.09446141750004</v>
      </c>
      <c r="AJ121" s="2401">
        <f>IFERROR(AI121/AH121*10,0)</f>
        <v>2.6268254173391474</v>
      </c>
      <c r="AK121" s="2401">
        <f t="shared" ref="AK121:AY121" si="80">SUM(AK117:AK120)</f>
        <v>171.04256513693477</v>
      </c>
      <c r="AL121" s="2401">
        <f>IFERROR(AK121/AH121*10,0)</f>
        <v>2.5087261436923707</v>
      </c>
      <c r="AM121" s="2401">
        <f t="shared" si="80"/>
        <v>1.0165E-2</v>
      </c>
      <c r="AN121" s="2412">
        <f t="shared" si="80"/>
        <v>3.4979125613692104E-4</v>
      </c>
      <c r="AO121" s="2401">
        <f t="shared" si="80"/>
        <v>0</v>
      </c>
      <c r="AP121" s="2401">
        <f t="shared" si="80"/>
        <v>350.14719155443476</v>
      </c>
      <c r="AQ121" s="2401">
        <f>IFERROR(AP121/AH121*10,0)</f>
        <v>5.1357006537513925</v>
      </c>
      <c r="AR121" s="2401">
        <f t="shared" si="80"/>
        <v>623.93893971741932</v>
      </c>
      <c r="AS121" s="2401">
        <f t="shared" si="80"/>
        <v>208.48954735350006</v>
      </c>
      <c r="AT121" s="2401"/>
      <c r="AU121" s="2401">
        <f t="shared" si="80"/>
        <v>172.15041185373434</v>
      </c>
      <c r="AV121" s="2401"/>
      <c r="AW121" s="2401">
        <f t="shared" si="80"/>
        <v>0</v>
      </c>
      <c r="AX121" s="2401">
        <f t="shared" si="80"/>
        <v>0</v>
      </c>
      <c r="AY121" s="2401">
        <f t="shared" si="80"/>
        <v>380.63995920723443</v>
      </c>
      <c r="AZ121" s="2401"/>
    </row>
    <row r="122" spans="1:52" s="2350" customFormat="1" ht="16.5" customHeight="1">
      <c r="A122" s="2404"/>
      <c r="B122" s="2405"/>
      <c r="C122" s="2405"/>
      <c r="D122" s="2809"/>
      <c r="E122" s="2809"/>
      <c r="F122" s="2809"/>
      <c r="G122" s="2809"/>
      <c r="H122" s="2809"/>
      <c r="I122" s="2809"/>
      <c r="J122" s="2809"/>
      <c r="K122" s="2809"/>
      <c r="L122" s="2809"/>
      <c r="M122" s="2809"/>
      <c r="N122" s="2400"/>
      <c r="O122" s="2400"/>
      <c r="P122" s="2400"/>
      <c r="Q122" s="2400"/>
      <c r="R122" s="2400"/>
      <c r="S122" s="2400"/>
      <c r="T122" s="2400"/>
      <c r="U122" s="2400"/>
      <c r="V122" s="2400"/>
      <c r="W122" s="2400"/>
      <c r="X122" s="2401"/>
      <c r="Y122" s="2401"/>
      <c r="Z122" s="2401"/>
      <c r="AA122" s="2401"/>
      <c r="AB122" s="2401"/>
      <c r="AC122" s="2401"/>
      <c r="AD122" s="2412"/>
      <c r="AE122" s="2401"/>
      <c r="AF122" s="2401"/>
      <c r="AG122" s="2401"/>
      <c r="AH122" s="2412"/>
      <c r="AI122" s="2412"/>
      <c r="AJ122" s="2412"/>
      <c r="AK122" s="2412"/>
      <c r="AL122" s="2401"/>
      <c r="AM122" s="2416"/>
      <c r="AN122" s="2412"/>
      <c r="AO122" s="2411"/>
      <c r="AP122" s="2411"/>
      <c r="AQ122" s="2411"/>
      <c r="AR122" s="2406"/>
      <c r="AS122" s="2406"/>
      <c r="AT122" s="2406"/>
      <c r="AU122" s="2406"/>
      <c r="AV122" s="2406"/>
      <c r="AW122" s="2406"/>
      <c r="AX122" s="2406"/>
      <c r="AY122" s="2406"/>
      <c r="AZ122" s="2406"/>
    </row>
    <row r="123" spans="1:52" s="2350" customFormat="1">
      <c r="A123" s="2404"/>
      <c r="B123" s="2405"/>
      <c r="C123" s="2405"/>
      <c r="D123" s="2809"/>
      <c r="E123" s="2809"/>
      <c r="F123" s="2809"/>
      <c r="G123" s="2809"/>
      <c r="H123" s="2809"/>
      <c r="I123" s="2809"/>
      <c r="J123" s="2809"/>
      <c r="K123" s="2809"/>
      <c r="L123" s="2809"/>
      <c r="M123" s="2809"/>
      <c r="N123" s="2400"/>
      <c r="O123" s="2400"/>
      <c r="P123" s="2400"/>
      <c r="Q123" s="2400"/>
      <c r="R123" s="2400"/>
      <c r="S123" s="2400"/>
      <c r="T123" s="2400"/>
      <c r="U123" s="2400"/>
      <c r="V123" s="2400"/>
      <c r="W123" s="2400"/>
      <c r="X123" s="2401"/>
      <c r="Y123" s="2401"/>
      <c r="Z123" s="2401"/>
      <c r="AA123" s="2401"/>
      <c r="AB123" s="2401"/>
      <c r="AC123" s="2401"/>
      <c r="AD123" s="2412"/>
      <c r="AE123" s="2401"/>
      <c r="AF123" s="2401"/>
      <c r="AG123" s="2401"/>
      <c r="AH123" s="2412"/>
      <c r="AI123" s="2412"/>
      <c r="AJ123" s="2412"/>
      <c r="AK123" s="2412"/>
      <c r="AL123" s="2401"/>
      <c r="AM123" s="2416"/>
      <c r="AN123" s="2412"/>
      <c r="AO123" s="2411"/>
      <c r="AP123" s="2411"/>
      <c r="AQ123" s="2411"/>
      <c r="AR123" s="2406"/>
      <c r="AS123" s="2406"/>
      <c r="AT123" s="2406"/>
      <c r="AU123" s="2406"/>
      <c r="AV123" s="2406"/>
      <c r="AW123" s="2406"/>
      <c r="AX123" s="2406"/>
      <c r="AY123" s="2406"/>
      <c r="AZ123" s="2406"/>
    </row>
    <row r="124" spans="1:52" s="2350" customFormat="1">
      <c r="A124" s="2417" t="s">
        <v>1745</v>
      </c>
      <c r="B124" s="2405"/>
      <c r="C124" s="2405"/>
      <c r="D124" s="2809"/>
      <c r="E124" s="2809"/>
      <c r="F124" s="2809"/>
      <c r="G124" s="2809"/>
      <c r="H124" s="2809"/>
      <c r="I124" s="2809"/>
      <c r="J124" s="2809"/>
      <c r="K124" s="2809"/>
      <c r="L124" s="2809"/>
      <c r="M124" s="2809"/>
      <c r="N124" s="2400"/>
      <c r="O124" s="2400"/>
      <c r="P124" s="2400"/>
      <c r="Q124" s="2400"/>
      <c r="R124" s="2400"/>
      <c r="S124" s="2400"/>
      <c r="T124" s="2400"/>
      <c r="U124" s="2400"/>
      <c r="V124" s="2400"/>
      <c r="W124" s="2400"/>
      <c r="X124" s="2401"/>
      <c r="Y124" s="2401"/>
      <c r="Z124" s="2401"/>
      <c r="AA124" s="2401"/>
      <c r="AB124" s="2401"/>
      <c r="AC124" s="2401"/>
      <c r="AD124" s="2412"/>
      <c r="AE124" s="2401"/>
      <c r="AF124" s="2401"/>
      <c r="AG124" s="2401"/>
      <c r="AH124" s="2412"/>
      <c r="AI124" s="2412"/>
      <c r="AJ124" s="2412"/>
      <c r="AK124" s="2412"/>
      <c r="AL124" s="2401"/>
      <c r="AM124" s="2416"/>
      <c r="AN124" s="2412"/>
      <c r="AO124" s="2411"/>
      <c r="AP124" s="2411"/>
      <c r="AQ124" s="2411"/>
      <c r="AR124" s="2406"/>
      <c r="AS124" s="2406"/>
      <c r="AT124" s="2406"/>
      <c r="AU124" s="2406"/>
      <c r="AV124" s="2406"/>
      <c r="AW124" s="2406"/>
      <c r="AX124" s="2406"/>
      <c r="AY124" s="2406"/>
      <c r="AZ124" s="2406"/>
    </row>
    <row r="125" spans="1:52" s="2350" customFormat="1">
      <c r="A125" s="2404" t="s">
        <v>1746</v>
      </c>
      <c r="B125" s="2405" t="s">
        <v>1717</v>
      </c>
      <c r="C125" s="2405">
        <v>1</v>
      </c>
      <c r="D125" s="2809"/>
      <c r="E125" s="2809"/>
      <c r="F125" s="2809"/>
      <c r="G125" s="2809"/>
      <c r="H125" s="2809"/>
      <c r="I125" s="2809"/>
      <c r="J125" s="2809"/>
      <c r="K125" s="2809"/>
      <c r="L125" s="2809"/>
      <c r="M125" s="2809"/>
      <c r="N125" s="2409">
        <v>1279.1432279999999</v>
      </c>
      <c r="O125" s="2410">
        <v>328.15381969999999</v>
      </c>
      <c r="P125" s="2409">
        <f>IFERROR(O125/N125*10,0)</f>
        <v>2.5654188875555697</v>
      </c>
      <c r="Q125" s="2410">
        <v>313.54379003680003</v>
      </c>
      <c r="R125" s="2410">
        <f>IFERROR(Q125/N125*10,0)</f>
        <v>2.4512015790994757</v>
      </c>
      <c r="S125" s="2410">
        <v>0.10098309999999633</v>
      </c>
      <c r="T125" s="2410">
        <f>IFERROR(S125/N125*10,0)</f>
        <v>7.8945889552875254E-4</v>
      </c>
      <c r="U125" s="2410"/>
      <c r="V125" s="2410">
        <f>SUM(O125,Q125,S125)</f>
        <v>641.79859283680003</v>
      </c>
      <c r="W125" s="2410">
        <f>IFERROR(V125/N125*10,0)</f>
        <v>5.0174099255505737</v>
      </c>
      <c r="X125" s="2411">
        <v>1201.794817</v>
      </c>
      <c r="Y125" s="2411">
        <v>241.42763690000001</v>
      </c>
      <c r="Z125" s="2411">
        <f t="shared" ref="Z125:Z130" si="81">IFERROR(Y125/X125*10,0)</f>
        <v>2.0088923124387215</v>
      </c>
      <c r="AA125" s="2411">
        <v>238.67818220000001</v>
      </c>
      <c r="AB125" s="2411">
        <f t="shared" ref="AB125:AB130" si="82">IFERROR(AA125/X125*10,0)</f>
        <v>1.9860144079819244</v>
      </c>
      <c r="AC125" s="2411">
        <v>-10.707219999999996</v>
      </c>
      <c r="AD125" s="2412">
        <f t="shared" ref="AD125:AD130" si="83">IFERROR(AC125/X125*10,0)</f>
        <v>-8.9093577776679631E-2</v>
      </c>
      <c r="AE125" s="2411"/>
      <c r="AF125" s="2411">
        <f t="shared" ref="AF125:AF130" si="84">Y125+AA125+AC125+AE125</f>
        <v>469.39859910000001</v>
      </c>
      <c r="AG125" s="2411">
        <f t="shared" ref="AG125:AG130" si="85">IFERROR(AF125/X125*10,0)</f>
        <v>3.9058131426439662</v>
      </c>
      <c r="AH125" s="2412">
        <f>IFERROR(VLOOKUP($A125,F13_21_22!$B$14:$O$217,9,0),0)</f>
        <v>1248.5579671999999</v>
      </c>
      <c r="AI125" s="2412">
        <f>IFERROR(VLOOKUP($A125,F13_21_22!$B$14:$O$217,10,0),0)</f>
        <v>217.78614888625</v>
      </c>
      <c r="AJ125" s="2412">
        <f t="shared" ref="AJ125:AJ130" si="86">IFERROR(AI125/AH125*10,0)</f>
        <v>1.7443014630282199</v>
      </c>
      <c r="AK125" s="2412">
        <f>IFERROR(VLOOKUP($A125,F13_21_22!$B$14:$O$217,11,0),0)</f>
        <v>283.75896240994535</v>
      </c>
      <c r="AL125" s="2401">
        <f t="shared" ref="AL125:AL130" si="87">IFERROR(AK125/AH125*10,0)</f>
        <v>2.272693538180687</v>
      </c>
      <c r="AM125" s="2412">
        <f>IFERROR(VLOOKUP($A125,F13_21_22!$B$14:$O$217,12,0),0)</f>
        <v>6.5821915000000004</v>
      </c>
      <c r="AN125" s="2412">
        <f t="shared" ref="AN125:AN130" si="88">IFERROR(AM125/AH125*10,0)</f>
        <v>5.2718349271048577E-2</v>
      </c>
      <c r="AO125" s="2411"/>
      <c r="AP125" s="2411">
        <f t="shared" ref="AP125:AP130" si="89">SUM(AK125,AI125,AM125,AO125)</f>
        <v>508.12730279619541</v>
      </c>
      <c r="AQ125" s="2411">
        <f t="shared" ref="AQ125:AQ130" si="90">IFERROR(AP125/AH125*10,0)</f>
        <v>4.0697133504799554</v>
      </c>
      <c r="AR125" s="2406">
        <f>IFERROR(VLOOKUP($A125,F13_22_23!$B$14:$O$215,9,0),0)</f>
        <v>1226.6328888483868</v>
      </c>
      <c r="AS125" s="2406">
        <f>IFERROR(VLOOKUP($A125,F13_22_23!$B$14:$O$215,10,0),0)</f>
        <v>266.17396968225006</v>
      </c>
      <c r="AT125" s="2406">
        <f t="shared" ref="AT125:AT130" si="91">IFERROR(AS125/AR125*10,0)</f>
        <v>2.1699562444648381</v>
      </c>
      <c r="AU125" s="2406">
        <f>IFERROR(VLOOKUP($A125,F13_22_23!$B$14:$O$215,11,0),0)</f>
        <v>253.45294584159041</v>
      </c>
      <c r="AV125" s="2406">
        <f t="shared" ref="AV125:AV130" si="92">IFERROR(AU125/AR125*10,0)</f>
        <v>2.0662493900643937</v>
      </c>
      <c r="AW125" s="2406">
        <f>IFERROR(VLOOKUP($A125,F13_22_23!$B$14:$O$215,12,0),0)</f>
        <v>0</v>
      </c>
      <c r="AX125" s="2406"/>
      <c r="AY125" s="2406">
        <f t="shared" ref="AY125:AY130" si="93">AS125+AU125</f>
        <v>519.62691552384047</v>
      </c>
      <c r="AZ125" s="2406">
        <f t="shared" ref="AZ125:AZ130" si="94">IFERROR(AY125/AR125*10,0)</f>
        <v>4.2362056345292318</v>
      </c>
    </row>
    <row r="126" spans="1:52" s="2350" customFormat="1">
      <c r="A126" s="2404" t="s">
        <v>1747</v>
      </c>
      <c r="B126" s="2405" t="s">
        <v>1717</v>
      </c>
      <c r="C126" s="2405">
        <v>1</v>
      </c>
      <c r="D126" s="2809"/>
      <c r="E126" s="2809"/>
      <c r="F126" s="2809"/>
      <c r="G126" s="2809"/>
      <c r="H126" s="2809"/>
      <c r="I126" s="2809"/>
      <c r="J126" s="2809"/>
      <c r="K126" s="2809"/>
      <c r="L126" s="2809"/>
      <c r="M126" s="2809"/>
      <c r="N126" s="2409">
        <v>526.8246302</v>
      </c>
      <c r="O126" s="2410">
        <v>104.2362928</v>
      </c>
      <c r="P126" s="2409">
        <f>IFERROR(O126/N126*10,0)</f>
        <v>1.9785766804492129</v>
      </c>
      <c r="Q126" s="2410">
        <v>103.28772111260001</v>
      </c>
      <c r="R126" s="2410">
        <f>IFERROR(Q126/N126*10,0)</f>
        <v>1.9605712260147856</v>
      </c>
      <c r="S126" s="2410">
        <v>463.85867735060015</v>
      </c>
      <c r="T126" s="2410">
        <f>IFERROR(S126/N126*10,0)</f>
        <v>8.804802409760228</v>
      </c>
      <c r="U126" s="2410"/>
      <c r="V126" s="2410">
        <f>SUM(O126,Q126,S126)</f>
        <v>671.38269126320017</v>
      </c>
      <c r="W126" s="2410">
        <f>IFERROR(V126/N126*10,0)</f>
        <v>12.743950316224229</v>
      </c>
      <c r="X126" s="2411">
        <v>493.90234886000002</v>
      </c>
      <c r="Y126" s="2411">
        <v>113.84861130000002</v>
      </c>
      <c r="Z126" s="2411">
        <f t="shared" si="81"/>
        <v>2.3050834150268678</v>
      </c>
      <c r="AA126" s="2411">
        <v>110.39612140000001</v>
      </c>
      <c r="AB126" s="2411">
        <f t="shared" si="82"/>
        <v>2.2351811376238775</v>
      </c>
      <c r="AC126" s="2411">
        <v>-188.6953177</v>
      </c>
      <c r="AD126" s="2412">
        <f t="shared" si="83"/>
        <v>-3.8204984879204726</v>
      </c>
      <c r="AE126" s="2411"/>
      <c r="AF126" s="2411">
        <f t="shared" si="84"/>
        <v>35.549415000000039</v>
      </c>
      <c r="AG126" s="2411">
        <f t="shared" si="85"/>
        <v>0.71976606473027238</v>
      </c>
      <c r="AH126" s="2412">
        <f>IFERROR(VLOOKUP($A126,F13_21_22!$B$14:$O$217,9,0),0)</f>
        <v>494.85617557199998</v>
      </c>
      <c r="AI126" s="2412">
        <f>IFERROR(VLOOKUP($A126,F13_21_22!$B$14:$O$217,10,0),0)</f>
        <v>100.75768296625002</v>
      </c>
      <c r="AJ126" s="2412">
        <f t="shared" si="86"/>
        <v>2.0361003447069259</v>
      </c>
      <c r="AK126" s="2412">
        <f>IFERROR(VLOOKUP($A126,F13_21_22!$B$14:$O$217,11,0),0)</f>
        <v>124.25893699230215</v>
      </c>
      <c r="AL126" s="2401">
        <f t="shared" si="87"/>
        <v>2.5110111407354334</v>
      </c>
      <c r="AM126" s="2412">
        <f>IFERROR(VLOOKUP($A126,F13_21_22!$B$14:$O$217,12,0),0)</f>
        <v>7.2298799999999996E-2</v>
      </c>
      <c r="AN126" s="2412">
        <f t="shared" si="88"/>
        <v>1.461006319996521E-3</v>
      </c>
      <c r="AO126" s="2411"/>
      <c r="AP126" s="2411">
        <f t="shared" si="89"/>
        <v>225.08891875855215</v>
      </c>
      <c r="AQ126" s="2411">
        <f t="shared" si="90"/>
        <v>4.5485724917623553</v>
      </c>
      <c r="AR126" s="2406">
        <f>IFERROR(VLOOKUP($A126,F13_22_23!$B$14:$O$215,9,0),0)</f>
        <v>498.95539750070969</v>
      </c>
      <c r="AS126" s="2406">
        <f>IFERROR(VLOOKUP($A126,F13_22_23!$B$14:$O$215,10,0),0)</f>
        <v>125.51809395825003</v>
      </c>
      <c r="AT126" s="2406">
        <f t="shared" si="91"/>
        <v>2.5156175198620137</v>
      </c>
      <c r="AU126" s="2406">
        <f>IFERROR(VLOOKUP($A126,F13_22_23!$B$14:$O$215,11,0),0)</f>
        <v>116.03120230067825</v>
      </c>
      <c r="AV126" s="2406">
        <f t="shared" si="92"/>
        <v>2.3254824555838822</v>
      </c>
      <c r="AW126" s="2406">
        <f>IFERROR(VLOOKUP($A126,F13_22_23!$B$14:$O$215,12,0),0)</f>
        <v>0</v>
      </c>
      <c r="AX126" s="2406"/>
      <c r="AY126" s="2406">
        <f t="shared" si="93"/>
        <v>241.54929625892828</v>
      </c>
      <c r="AZ126" s="2406">
        <f t="shared" si="94"/>
        <v>4.8410999754458954</v>
      </c>
    </row>
    <row r="127" spans="1:52" s="2350" customFormat="1">
      <c r="A127" s="2404" t="s">
        <v>1748</v>
      </c>
      <c r="B127" s="2405" t="s">
        <v>1717</v>
      </c>
      <c r="C127" s="2405">
        <v>1</v>
      </c>
      <c r="D127" s="2809"/>
      <c r="E127" s="2809"/>
      <c r="F127" s="2809"/>
      <c r="G127" s="2809"/>
      <c r="H127" s="2809"/>
      <c r="I127" s="2809"/>
      <c r="J127" s="2809"/>
      <c r="K127" s="2809"/>
      <c r="L127" s="2809"/>
      <c r="M127" s="2809"/>
      <c r="N127" s="2409">
        <v>0</v>
      </c>
      <c r="O127" s="2410">
        <v>0</v>
      </c>
      <c r="P127" s="2409">
        <f>IFERROR(O127/N127*10,0)</f>
        <v>0</v>
      </c>
      <c r="Q127" s="2410">
        <v>0</v>
      </c>
      <c r="R127" s="2410">
        <f>IFERROR(Q127/N127*10,0)</f>
        <v>0</v>
      </c>
      <c r="S127" s="2410">
        <v>0</v>
      </c>
      <c r="T127" s="2410">
        <f>IFERROR(S127/N127*10,0)</f>
        <v>0</v>
      </c>
      <c r="U127" s="2410"/>
      <c r="V127" s="2410">
        <f>SUM(O127,Q127,S127)</f>
        <v>0</v>
      </c>
      <c r="W127" s="2410">
        <f>IFERROR(V127/N127*10,0)</f>
        <v>0</v>
      </c>
      <c r="X127" s="2411">
        <v>70.896285000000006</v>
      </c>
      <c r="Y127" s="2411">
        <v>0</v>
      </c>
      <c r="Z127" s="2411">
        <f t="shared" si="81"/>
        <v>0</v>
      </c>
      <c r="AA127" s="2411">
        <v>34.872326400000006</v>
      </c>
      <c r="AB127" s="2411">
        <f t="shared" si="82"/>
        <v>4.918780497454839</v>
      </c>
      <c r="AC127" s="2411">
        <v>0</v>
      </c>
      <c r="AD127" s="2412">
        <f t="shared" si="83"/>
        <v>0</v>
      </c>
      <c r="AE127" s="2411"/>
      <c r="AF127" s="2411">
        <f t="shared" si="84"/>
        <v>34.872326400000006</v>
      </c>
      <c r="AG127" s="2411">
        <f t="shared" si="85"/>
        <v>4.918780497454839</v>
      </c>
      <c r="AH127" s="2412">
        <f>IFERROR(VLOOKUP($A127,F13_21_22!$B$14:$O$217,9,0),0)</f>
        <v>44.857373000000003</v>
      </c>
      <c r="AI127" s="2412">
        <f>IFERROR(VLOOKUP($A127,F13_21_22!$B$14:$O$217,10,0),0)</f>
        <v>0</v>
      </c>
      <c r="AJ127" s="2412">
        <f t="shared" si="86"/>
        <v>0</v>
      </c>
      <c r="AK127" s="2412">
        <f>IFERROR(VLOOKUP($A127,F13_21_22!$B$14:$O$217,11,0),0)</f>
        <v>19.292627007</v>
      </c>
      <c r="AL127" s="2401">
        <f t="shared" si="87"/>
        <v>4.3008820438504056</v>
      </c>
      <c r="AM127" s="2412">
        <f>IFERROR(VLOOKUP($A127,F13_21_22!$B$14:$O$217,12,0),0)</f>
        <v>0.16108854</v>
      </c>
      <c r="AN127" s="2412">
        <f t="shared" si="88"/>
        <v>3.5911273716363191E-2</v>
      </c>
      <c r="AO127" s="2411"/>
      <c r="AP127" s="2411">
        <f t="shared" si="89"/>
        <v>19.453715547000002</v>
      </c>
      <c r="AQ127" s="2411">
        <f t="shared" si="90"/>
        <v>4.3367933175667686</v>
      </c>
      <c r="AR127" s="2406">
        <f>F13_22_23!J126</f>
        <v>56.490610661290326</v>
      </c>
      <c r="AS127" s="2406">
        <f>F13_22_23!K126</f>
        <v>0</v>
      </c>
      <c r="AT127" s="2406">
        <f t="shared" si="91"/>
        <v>0</v>
      </c>
      <c r="AU127" s="2406">
        <f>F13_22_23!L126</f>
        <v>28.909065653607598</v>
      </c>
      <c r="AV127" s="2406">
        <f t="shared" si="92"/>
        <v>5.1174992295520125</v>
      </c>
      <c r="AW127" s="2406">
        <f>F13_22_23!M126</f>
        <v>0</v>
      </c>
      <c r="AX127" s="2406"/>
      <c r="AY127" s="2406">
        <f t="shared" si="93"/>
        <v>28.909065653607598</v>
      </c>
      <c r="AZ127" s="2406">
        <f t="shared" si="94"/>
        <v>5.1174992295520125</v>
      </c>
    </row>
    <row r="128" spans="1:52" s="2350" customFormat="1">
      <c r="A128" s="2404" t="s">
        <v>1749</v>
      </c>
      <c r="B128" s="2405" t="s">
        <v>1717</v>
      </c>
      <c r="C128" s="2405">
        <v>1</v>
      </c>
      <c r="D128" s="2809"/>
      <c r="E128" s="2809"/>
      <c r="F128" s="2809"/>
      <c r="G128" s="2809"/>
      <c r="H128" s="2809"/>
      <c r="I128" s="2809"/>
      <c r="J128" s="2809"/>
      <c r="K128" s="2809"/>
      <c r="L128" s="2809"/>
      <c r="M128" s="2809"/>
      <c r="N128" s="2409">
        <v>0</v>
      </c>
      <c r="O128" s="2410">
        <v>0</v>
      </c>
      <c r="P128" s="2409">
        <f>IFERROR(O128/N128*10,0)</f>
        <v>0</v>
      </c>
      <c r="Q128" s="2410">
        <v>0</v>
      </c>
      <c r="R128" s="2410">
        <f>IFERROR(Q128/N128*10,0)</f>
        <v>0</v>
      </c>
      <c r="S128" s="2410">
        <v>0</v>
      </c>
      <c r="T128" s="2410">
        <f>IFERROR(S128/N128*10,0)</f>
        <v>0</v>
      </c>
      <c r="U128" s="2410"/>
      <c r="V128" s="2410">
        <f>SUM(O128,Q128,S128)</f>
        <v>0</v>
      </c>
      <c r="W128" s="2410">
        <f>IFERROR(V128/N128*10,0)</f>
        <v>0</v>
      </c>
      <c r="X128" s="2411">
        <v>0</v>
      </c>
      <c r="Y128" s="2411">
        <v>0</v>
      </c>
      <c r="Z128" s="2411">
        <f t="shared" si="81"/>
        <v>0</v>
      </c>
      <c r="AA128" s="2411">
        <v>0</v>
      </c>
      <c r="AB128" s="2411">
        <f t="shared" si="82"/>
        <v>0</v>
      </c>
      <c r="AC128" s="2411">
        <v>0</v>
      </c>
      <c r="AD128" s="2412">
        <f t="shared" si="83"/>
        <v>0</v>
      </c>
      <c r="AE128" s="2411"/>
      <c r="AF128" s="2411">
        <f t="shared" si="84"/>
        <v>0</v>
      </c>
      <c r="AG128" s="2411">
        <f t="shared" si="85"/>
        <v>0</v>
      </c>
      <c r="AH128" s="2412">
        <f>IFERROR(VLOOKUP($A128,F13_21_22!$B$14:$O$217,9,0),0)</f>
        <v>0</v>
      </c>
      <c r="AI128" s="2412">
        <f>IFERROR(VLOOKUP($A128,F13_21_22!$B$14:$O$217,10,0),0)</f>
        <v>0</v>
      </c>
      <c r="AJ128" s="2412">
        <f t="shared" si="86"/>
        <v>0</v>
      </c>
      <c r="AK128" s="2412">
        <f>IFERROR(VLOOKUP($A128,F13_21_22!$B$14:$O$217,11,0),0)</f>
        <v>0</v>
      </c>
      <c r="AL128" s="2401">
        <f t="shared" si="87"/>
        <v>0</v>
      </c>
      <c r="AM128" s="2412">
        <f>IFERROR(VLOOKUP($A128,F13_21_22!$B$14:$O$217,12,0),0)</f>
        <v>0</v>
      </c>
      <c r="AN128" s="2412">
        <f t="shared" si="88"/>
        <v>0</v>
      </c>
      <c r="AO128" s="2411"/>
      <c r="AP128" s="2411">
        <f t="shared" si="89"/>
        <v>0</v>
      </c>
      <c r="AQ128" s="2411">
        <f t="shared" si="90"/>
        <v>0</v>
      </c>
      <c r="AR128" s="2406">
        <f>IFERROR(VLOOKUP($A128,F13_22_23!$B$14:$O$215,9,0),0)</f>
        <v>0</v>
      </c>
      <c r="AS128" s="2406">
        <f>IFERROR(VLOOKUP($A128,F13_22_23!$B$14:$O$215,10,0),0)</f>
        <v>0</v>
      </c>
      <c r="AT128" s="2406">
        <f t="shared" si="91"/>
        <v>0</v>
      </c>
      <c r="AU128" s="2406">
        <f>IFERROR(VLOOKUP($A128,F13_22_23!$B$14:$O$215,11,0),0)</f>
        <v>0</v>
      </c>
      <c r="AV128" s="2406">
        <f t="shared" si="92"/>
        <v>0</v>
      </c>
      <c r="AW128" s="2406">
        <f>IFERROR(VLOOKUP($A128,F13_22_23!$B$14:$O$215,12,0),0)</f>
        <v>0</v>
      </c>
      <c r="AX128" s="2406"/>
      <c r="AY128" s="2406">
        <f t="shared" si="93"/>
        <v>0</v>
      </c>
      <c r="AZ128" s="2406">
        <f t="shared" si="94"/>
        <v>0</v>
      </c>
    </row>
    <row r="129" spans="1:52" s="2350" customFormat="1">
      <c r="A129" s="2404" t="s">
        <v>2092</v>
      </c>
      <c r="B129" s="2405"/>
      <c r="C129" s="2405"/>
      <c r="D129" s="2809"/>
      <c r="E129" s="2809"/>
      <c r="F129" s="2809"/>
      <c r="G129" s="2809"/>
      <c r="H129" s="2809"/>
      <c r="I129" s="2809"/>
      <c r="J129" s="2809"/>
      <c r="K129" s="2809"/>
      <c r="L129" s="2809"/>
      <c r="M129" s="2809"/>
      <c r="N129" s="2400"/>
      <c r="O129" s="2400"/>
      <c r="P129" s="2400"/>
      <c r="Q129" s="2400"/>
      <c r="R129" s="2400"/>
      <c r="S129" s="2400"/>
      <c r="T129" s="2400"/>
      <c r="U129" s="2400"/>
      <c r="V129" s="2400"/>
      <c r="W129" s="2400"/>
      <c r="X129" s="2411">
        <v>0</v>
      </c>
      <c r="Y129" s="2411">
        <v>0</v>
      </c>
      <c r="Z129" s="2411">
        <f t="shared" si="81"/>
        <v>0</v>
      </c>
      <c r="AA129" s="2411">
        <v>0</v>
      </c>
      <c r="AB129" s="2411">
        <f t="shared" si="82"/>
        <v>0</v>
      </c>
      <c r="AC129" s="2411">
        <v>0</v>
      </c>
      <c r="AD129" s="2412">
        <f t="shared" si="83"/>
        <v>0</v>
      </c>
      <c r="AE129" s="2411"/>
      <c r="AF129" s="2411">
        <f t="shared" si="84"/>
        <v>0</v>
      </c>
      <c r="AG129" s="2411">
        <f t="shared" si="85"/>
        <v>0</v>
      </c>
      <c r="AH129" s="2412">
        <f>IFERROR(VLOOKUP($A129,F13_21_22!$B$14:$O$217,9,0),0)</f>
        <v>0</v>
      </c>
      <c r="AI129" s="2412">
        <f>IFERROR(VLOOKUP($A129,F13_21_22!$B$14:$O$217,10,0),0)</f>
        <v>0</v>
      </c>
      <c r="AJ129" s="2412">
        <f t="shared" si="86"/>
        <v>0</v>
      </c>
      <c r="AK129" s="2412">
        <f>IFERROR(VLOOKUP($A129,F13_21_22!$B$14:$O$217,11,0),0)</f>
        <v>0</v>
      </c>
      <c r="AL129" s="2401">
        <f t="shared" si="87"/>
        <v>0</v>
      </c>
      <c r="AM129" s="2412">
        <f>IFERROR(VLOOKUP($A129,F13_21_22!$B$14:$O$217,12,0),0)</f>
        <v>0</v>
      </c>
      <c r="AN129" s="2412">
        <f t="shared" si="88"/>
        <v>0</v>
      </c>
      <c r="AO129" s="2411"/>
      <c r="AP129" s="2411">
        <f t="shared" si="89"/>
        <v>0</v>
      </c>
      <c r="AQ129" s="2411">
        <f t="shared" si="90"/>
        <v>0</v>
      </c>
      <c r="AR129" s="2406">
        <f>IFERROR(VLOOKUP($A129,F13_22_23!$B$14:$O$215,9,0),0)</f>
        <v>0</v>
      </c>
      <c r="AS129" s="2406">
        <f>IFERROR(VLOOKUP($A129,F13_22_23!$B$14:$O$215,10,0),0)</f>
        <v>0</v>
      </c>
      <c r="AT129" s="2406">
        <f t="shared" si="91"/>
        <v>0</v>
      </c>
      <c r="AU129" s="2406">
        <f>IFERROR(VLOOKUP($A129,F13_22_23!$B$14:$O$215,11,0),0)</f>
        <v>0</v>
      </c>
      <c r="AV129" s="2406">
        <f t="shared" si="92"/>
        <v>0</v>
      </c>
      <c r="AW129" s="2406">
        <f>IFERROR(VLOOKUP($A129,F13_22_23!$B$14:$O$215,12,0),0)</f>
        <v>0</v>
      </c>
      <c r="AX129" s="2406"/>
      <c r="AY129" s="2406">
        <f t="shared" si="93"/>
        <v>0</v>
      </c>
      <c r="AZ129" s="2406">
        <f t="shared" si="94"/>
        <v>0</v>
      </c>
    </row>
    <row r="130" spans="1:52" s="2350" customFormat="1">
      <c r="A130" s="2404" t="s">
        <v>1751</v>
      </c>
      <c r="B130" s="2405" t="s">
        <v>1649</v>
      </c>
      <c r="C130" s="2405">
        <v>2</v>
      </c>
      <c r="D130" s="2809"/>
      <c r="E130" s="2809"/>
      <c r="F130" s="2809"/>
      <c r="G130" s="2809"/>
      <c r="H130" s="2809"/>
      <c r="I130" s="2809"/>
      <c r="J130" s="2809"/>
      <c r="K130" s="2809"/>
      <c r="L130" s="2809"/>
      <c r="M130" s="2809"/>
      <c r="N130" s="2409">
        <v>0</v>
      </c>
      <c r="O130" s="2410">
        <v>0</v>
      </c>
      <c r="P130" s="2409">
        <f>IFERROR(O130/N130*10,0)</f>
        <v>0</v>
      </c>
      <c r="Q130" s="2410">
        <v>0</v>
      </c>
      <c r="R130" s="2410">
        <f>IFERROR(Q130/N130*10,0)</f>
        <v>0</v>
      </c>
      <c r="S130" s="2410">
        <v>0</v>
      </c>
      <c r="T130" s="2410">
        <f>IFERROR(S130/N130*10,0)</f>
        <v>0</v>
      </c>
      <c r="U130" s="2410"/>
      <c r="V130" s="2410">
        <f>SUM(O130,Q130,S130)</f>
        <v>0</v>
      </c>
      <c r="W130" s="2410">
        <f>IFERROR(V130/N130*10,0)</f>
        <v>0</v>
      </c>
      <c r="X130" s="2411">
        <v>0</v>
      </c>
      <c r="Y130" s="2411">
        <v>0</v>
      </c>
      <c r="Z130" s="2411">
        <f t="shared" si="81"/>
        <v>0</v>
      </c>
      <c r="AA130" s="2411">
        <v>0</v>
      </c>
      <c r="AB130" s="2411">
        <f t="shared" si="82"/>
        <v>0</v>
      </c>
      <c r="AC130" s="2411">
        <v>0</v>
      </c>
      <c r="AD130" s="2412">
        <f t="shared" si="83"/>
        <v>0</v>
      </c>
      <c r="AE130" s="2411"/>
      <c r="AF130" s="2411">
        <f t="shared" si="84"/>
        <v>0</v>
      </c>
      <c r="AG130" s="2411">
        <f t="shared" si="85"/>
        <v>0</v>
      </c>
      <c r="AH130" s="2412">
        <f>IFERROR(VLOOKUP($A130,F13_21_22!$B$14:$O$217,9,0),0)</f>
        <v>0</v>
      </c>
      <c r="AI130" s="2412">
        <f>IFERROR(VLOOKUP($A130,F13_21_22!$B$14:$O$217,10,0),0)</f>
        <v>0</v>
      </c>
      <c r="AJ130" s="2412">
        <f t="shared" si="86"/>
        <v>0</v>
      </c>
      <c r="AK130" s="2412">
        <f>IFERROR(VLOOKUP($A130,F13_21_22!$B$14:$O$217,11,0),0)</f>
        <v>0</v>
      </c>
      <c r="AL130" s="2401">
        <f t="shared" si="87"/>
        <v>0</v>
      </c>
      <c r="AM130" s="2412">
        <f>IFERROR(VLOOKUP($A130,F13_21_22!$B$14:$O$217,12,0),0)</f>
        <v>0</v>
      </c>
      <c r="AN130" s="2412">
        <f t="shared" si="88"/>
        <v>0</v>
      </c>
      <c r="AO130" s="2411"/>
      <c r="AP130" s="2411">
        <f t="shared" si="89"/>
        <v>0</v>
      </c>
      <c r="AQ130" s="2411">
        <f t="shared" si="90"/>
        <v>0</v>
      </c>
      <c r="AR130" s="2406">
        <f>IFERROR(VLOOKUP($A130,F13_22_23!$B$14:$O$215,9,0),0)</f>
        <v>0</v>
      </c>
      <c r="AS130" s="2406">
        <f>IFERROR(VLOOKUP($A130,F13_22_23!$B$14:$O$215,10,0),0)</f>
        <v>0</v>
      </c>
      <c r="AT130" s="2406">
        <f t="shared" si="91"/>
        <v>0</v>
      </c>
      <c r="AU130" s="2406">
        <f>IFERROR(VLOOKUP($A130,F13_22_23!$B$14:$O$215,11,0),0)</f>
        <v>0</v>
      </c>
      <c r="AV130" s="2406">
        <f t="shared" si="92"/>
        <v>0</v>
      </c>
      <c r="AW130" s="2406">
        <f>IFERROR(VLOOKUP($A130,F13_22_23!$B$14:$O$215,12,0),0)</f>
        <v>0</v>
      </c>
      <c r="AX130" s="2406"/>
      <c r="AY130" s="2406">
        <f t="shared" si="93"/>
        <v>0</v>
      </c>
      <c r="AZ130" s="2406">
        <f t="shared" si="94"/>
        <v>0</v>
      </c>
    </row>
    <row r="131" spans="1:52" s="2350" customFormat="1">
      <c r="A131" s="2404" t="s">
        <v>211</v>
      </c>
      <c r="B131" s="2405"/>
      <c r="C131" s="2405"/>
      <c r="D131" s="2809"/>
      <c r="E131" s="2809"/>
      <c r="F131" s="2809"/>
      <c r="G131" s="2809"/>
      <c r="H131" s="2809"/>
      <c r="I131" s="2809"/>
      <c r="J131" s="2809"/>
      <c r="K131" s="2809"/>
      <c r="L131" s="2809"/>
      <c r="M131" s="2809"/>
      <c r="N131" s="2400">
        <f>SUM(N125:N130)</f>
        <v>1805.9678581999999</v>
      </c>
      <c r="O131" s="2400">
        <f>SUM(O125:O130)</f>
        <v>432.39011249999999</v>
      </c>
      <c r="P131" s="2400"/>
      <c r="Q131" s="2400">
        <f>SUM(Q125:Q130)</f>
        <v>416.83151114940006</v>
      </c>
      <c r="R131" s="2400"/>
      <c r="S131" s="2400">
        <f>SUM(S125:S130)</f>
        <v>463.95966045060015</v>
      </c>
      <c r="T131" s="2400"/>
      <c r="U131" s="2400"/>
      <c r="V131" s="2400">
        <f>SUM(V125:V130)</f>
        <v>1313.1812841000001</v>
      </c>
      <c r="W131" s="2400"/>
      <c r="X131" s="2401">
        <f>SUM(X125:X130)</f>
        <v>1766.5934508600001</v>
      </c>
      <c r="Y131" s="2401">
        <f>SUM(Y125:Y130)</f>
        <v>355.27624820000005</v>
      </c>
      <c r="Z131" s="2401"/>
      <c r="AA131" s="2401">
        <f>SUM(AA125:AA130)</f>
        <v>383.94663000000003</v>
      </c>
      <c r="AB131" s="2401"/>
      <c r="AC131" s="2401">
        <f>SUM(AC125:AC130)</f>
        <v>-199.40253770000001</v>
      </c>
      <c r="AD131" s="2401">
        <f>SUM(AD125:AD130)</f>
        <v>-3.9095920656971521</v>
      </c>
      <c r="AE131" s="2401"/>
      <c r="AF131" s="2401">
        <f>SUM(AF125:AF130)</f>
        <v>539.82034050000004</v>
      </c>
      <c r="AG131" s="2411">
        <f>IFERROR(AF131/X131*10,0)</f>
        <v>3.0557134706754896</v>
      </c>
      <c r="AH131" s="2401">
        <f>SUM(AH125:AH130)</f>
        <v>1788.2715157719999</v>
      </c>
      <c r="AI131" s="2401">
        <f t="shared" ref="AI131:AY131" si="95">SUM(AI125:AI130)</f>
        <v>318.54383185250003</v>
      </c>
      <c r="AJ131" s="2401"/>
      <c r="AK131" s="2401">
        <f t="shared" si="95"/>
        <v>427.31052640924753</v>
      </c>
      <c r="AL131" s="2401"/>
      <c r="AM131" s="2401">
        <f t="shared" si="95"/>
        <v>6.8155788400000006</v>
      </c>
      <c r="AN131" s="2412">
        <f t="shared" si="95"/>
        <v>9.0090629307408299E-2</v>
      </c>
      <c r="AO131" s="2401">
        <f t="shared" si="95"/>
        <v>0</v>
      </c>
      <c r="AP131" s="2401">
        <f t="shared" si="95"/>
        <v>752.66993710174756</v>
      </c>
      <c r="AQ131" s="2411">
        <f>IFERROR(AP131/AH131*10,0)</f>
        <v>4.2089242626940724</v>
      </c>
      <c r="AR131" s="2401">
        <f t="shared" si="95"/>
        <v>1782.0788970103868</v>
      </c>
      <c r="AS131" s="2401">
        <f t="shared" si="95"/>
        <v>391.69206364050012</v>
      </c>
      <c r="AT131" s="2401"/>
      <c r="AU131" s="2401">
        <f t="shared" si="95"/>
        <v>398.39321379587625</v>
      </c>
      <c r="AV131" s="2401"/>
      <c r="AW131" s="2401">
        <f t="shared" si="95"/>
        <v>0</v>
      </c>
      <c r="AX131" s="2401">
        <f t="shared" si="95"/>
        <v>0</v>
      </c>
      <c r="AY131" s="2401">
        <f t="shared" si="95"/>
        <v>790.08527743637637</v>
      </c>
      <c r="AZ131" s="2401"/>
    </row>
    <row r="132" spans="1:52" s="2350" customFormat="1">
      <c r="A132" s="2404"/>
      <c r="B132" s="2405"/>
      <c r="C132" s="2405"/>
      <c r="D132" s="2809"/>
      <c r="E132" s="2809"/>
      <c r="F132" s="2809"/>
      <c r="G132" s="2809"/>
      <c r="H132" s="2809"/>
      <c r="I132" s="2809"/>
      <c r="J132" s="2809"/>
      <c r="K132" s="2809"/>
      <c r="L132" s="2809"/>
      <c r="M132" s="2809"/>
      <c r="N132" s="2400"/>
      <c r="O132" s="2400"/>
      <c r="P132" s="2400"/>
      <c r="Q132" s="2400"/>
      <c r="R132" s="2400"/>
      <c r="S132" s="2400"/>
      <c r="T132" s="2400"/>
      <c r="U132" s="2400"/>
      <c r="V132" s="2400"/>
      <c r="W132" s="2400"/>
      <c r="X132" s="2401"/>
      <c r="Y132" s="2401"/>
      <c r="Z132" s="2401"/>
      <c r="AA132" s="2401"/>
      <c r="AB132" s="2401"/>
      <c r="AC132" s="2401"/>
      <c r="AD132" s="2412"/>
      <c r="AE132" s="2401"/>
      <c r="AF132" s="2401"/>
      <c r="AG132" s="2401"/>
      <c r="AH132" s="2412"/>
      <c r="AI132" s="2412"/>
      <c r="AJ132" s="2412"/>
      <c r="AK132" s="2412"/>
      <c r="AL132" s="2401"/>
      <c r="AM132" s="2416"/>
      <c r="AN132" s="2412"/>
      <c r="AO132" s="2411"/>
      <c r="AP132" s="2411"/>
      <c r="AQ132" s="2411"/>
      <c r="AR132" s="2406"/>
      <c r="AS132" s="2406"/>
      <c r="AT132" s="2406"/>
      <c r="AU132" s="2406"/>
      <c r="AV132" s="2406"/>
      <c r="AW132" s="2406"/>
      <c r="AX132" s="2406"/>
      <c r="AY132" s="2406"/>
      <c r="AZ132" s="2406"/>
    </row>
    <row r="133" spans="1:52" s="2350" customFormat="1">
      <c r="A133" s="2417" t="s">
        <v>1752</v>
      </c>
      <c r="B133" s="2405"/>
      <c r="C133" s="2405"/>
      <c r="D133" s="2809"/>
      <c r="E133" s="2809"/>
      <c r="F133" s="2809"/>
      <c r="G133" s="2809"/>
      <c r="H133" s="2809"/>
      <c r="I133" s="2809"/>
      <c r="J133" s="2809"/>
      <c r="K133" s="2809"/>
      <c r="L133" s="2809"/>
      <c r="M133" s="2809"/>
      <c r="N133" s="2400"/>
      <c r="O133" s="2400"/>
      <c r="P133" s="2400"/>
      <c r="Q133" s="2400"/>
      <c r="R133" s="2400"/>
      <c r="S133" s="2400"/>
      <c r="T133" s="2400"/>
      <c r="U133" s="2400"/>
      <c r="V133" s="2400"/>
      <c r="W133" s="2400"/>
      <c r="X133" s="2401"/>
      <c r="Y133" s="2401"/>
      <c r="Z133" s="2401"/>
      <c r="AA133" s="2401"/>
      <c r="AB133" s="2401"/>
      <c r="AC133" s="2401"/>
      <c r="AD133" s="2412"/>
      <c r="AE133" s="2401"/>
      <c r="AF133" s="2401"/>
      <c r="AG133" s="2401"/>
      <c r="AH133" s="2412"/>
      <c r="AI133" s="2412"/>
      <c r="AJ133" s="2412"/>
      <c r="AK133" s="2412"/>
      <c r="AL133" s="2401"/>
      <c r="AM133" s="2416"/>
      <c r="AN133" s="2412"/>
      <c r="AO133" s="2411"/>
      <c r="AP133" s="2411"/>
      <c r="AQ133" s="2411"/>
      <c r="AR133" s="2406"/>
      <c r="AS133" s="2406"/>
      <c r="AT133" s="2406"/>
      <c r="AU133" s="2406"/>
      <c r="AV133" s="2406"/>
      <c r="AW133" s="2406"/>
      <c r="AX133" s="2406"/>
      <c r="AY133" s="2406"/>
      <c r="AZ133" s="2406"/>
    </row>
    <row r="134" spans="1:52" s="2350" customFormat="1">
      <c r="A134" s="2404" t="s">
        <v>1753</v>
      </c>
      <c r="B134" s="2405" t="s">
        <v>1717</v>
      </c>
      <c r="C134" s="2405">
        <v>1</v>
      </c>
      <c r="D134" s="2809"/>
      <c r="E134" s="2809"/>
      <c r="F134" s="2809"/>
      <c r="G134" s="2809"/>
      <c r="H134" s="2809"/>
      <c r="I134" s="2809"/>
      <c r="J134" s="2809"/>
      <c r="K134" s="2809"/>
      <c r="L134" s="2809"/>
      <c r="M134" s="2809"/>
      <c r="N134" s="2409">
        <v>301.52566500000006</v>
      </c>
      <c r="O134" s="2410">
        <v>62.986006500000009</v>
      </c>
      <c r="P134" s="2409">
        <f>IFERROR(O134/N134*10,0)</f>
        <v>2.088910292263181</v>
      </c>
      <c r="Q134" s="2410">
        <v>48.636090299999999</v>
      </c>
      <c r="R134" s="2410">
        <f>IFERROR(Q134/N134*10,0)</f>
        <v>1.6130000177596817</v>
      </c>
      <c r="S134" s="2410">
        <v>153.16708919999999</v>
      </c>
      <c r="T134" s="2410">
        <f>IFERROR(S134/N134*10,0)</f>
        <v>5.0797363866190279</v>
      </c>
      <c r="U134" s="2410"/>
      <c r="V134" s="2410">
        <f>SUM(O134,Q134,S134)</f>
        <v>264.78918599999997</v>
      </c>
      <c r="W134" s="2410">
        <f>IFERROR(V134/N134*10,0)</f>
        <v>8.7816466966418911</v>
      </c>
      <c r="X134" s="2411">
        <v>321.2581179</v>
      </c>
      <c r="Y134" s="2411">
        <v>80.367271999999986</v>
      </c>
      <c r="Z134" s="2411">
        <f>IFERROR(Y134/X134*10,0)</f>
        <v>2.5016417491749237</v>
      </c>
      <c r="AA134" s="2411">
        <v>51.582702100000006</v>
      </c>
      <c r="AB134" s="2411">
        <f>IFERROR(AA134/X134*10,0)</f>
        <v>1.6056466506491975</v>
      </c>
      <c r="AC134" s="2411">
        <v>15.8445334</v>
      </c>
      <c r="AD134" s="2412">
        <f>IFERROR(AC134/X134*10,0)</f>
        <v>0.49320258437584524</v>
      </c>
      <c r="AE134" s="2411"/>
      <c r="AF134" s="2411">
        <f>Y134+AA134+AC134+AE134</f>
        <v>147.79450749999998</v>
      </c>
      <c r="AG134" s="2411">
        <f>IFERROR(AF134/X134*10,0)</f>
        <v>4.6004909841999666</v>
      </c>
      <c r="AH134" s="2412">
        <f>IFERROR(VLOOKUP($A134,F13_21_22!$B$14:$O$217,9,0),0)</f>
        <v>326.52439150000004</v>
      </c>
      <c r="AI134" s="2412">
        <f>IFERROR(VLOOKUP($A134,F13_21_22!$B$14:$O$217,10,0),0)</f>
        <v>87.980045900000007</v>
      </c>
      <c r="AJ134" s="2412">
        <f>IFERROR(AI134/AH134*10,0)</f>
        <v>2.6944402375526666</v>
      </c>
      <c r="AK134" s="2412">
        <f>IFERROR(VLOOKUP($A134,F13_21_22!$B$14:$O$217,11,0),0)</f>
        <v>69.015324519523716</v>
      </c>
      <c r="AL134" s="2401">
        <f>IFERROR(AK134/AH134*10,0)</f>
        <v>2.1136345803288545</v>
      </c>
      <c r="AM134" s="2412">
        <f>IFERROR(VLOOKUP($A134,F13_21_22!$B$14:$O$217,12,0),0)</f>
        <v>16.091782299999995</v>
      </c>
      <c r="AN134" s="2412">
        <f>IFERROR(AM134/AH134*10,0)</f>
        <v>0.49282022167094347</v>
      </c>
      <c r="AO134" s="2411"/>
      <c r="AP134" s="2411">
        <f>SUM(AK134,AI134,AM134,AO134)</f>
        <v>173.08715271952374</v>
      </c>
      <c r="AQ134" s="2411">
        <f>IFERROR(AP134/AH134*10,0)</f>
        <v>5.3008950395524659</v>
      </c>
      <c r="AR134" s="2406">
        <f>IFERROR(VLOOKUP($A134,F13_22_23!$B$14:$O$215,9,0),0)</f>
        <v>268.93086260000001</v>
      </c>
      <c r="AS134" s="2406">
        <f>IFERROR(VLOOKUP($A134,F13_22_23!$B$14:$O$215,10,0),0)</f>
        <v>88.604917379999989</v>
      </c>
      <c r="AT134" s="2406">
        <f>IFERROR(AS134/AR134*10,0)</f>
        <v>3.2947098939621662</v>
      </c>
      <c r="AU134" s="2406">
        <f>IFERROR(VLOOKUP($A134,F13_22_23!$B$14:$O$215,11,0),0)</f>
        <v>44.925297951700102</v>
      </c>
      <c r="AV134" s="2406">
        <f>IFERROR(AU134/AR134*10,0)</f>
        <v>1.670514775335425</v>
      </c>
      <c r="AW134" s="2406">
        <f>IFERROR(VLOOKUP($A134,F13_22_23!$B$14:$O$215,12,0),0)</f>
        <v>0</v>
      </c>
      <c r="AX134" s="2406"/>
      <c r="AY134" s="2406">
        <f>AS134+AU134</f>
        <v>133.53021533170011</v>
      </c>
      <c r="AZ134" s="2406">
        <f>IFERROR(AY134/AR134*10,0)</f>
        <v>4.9652246692975917</v>
      </c>
    </row>
    <row r="135" spans="1:52" s="2350" customFormat="1">
      <c r="A135" s="2404" t="s">
        <v>1754</v>
      </c>
      <c r="B135" s="2405" t="s">
        <v>1717</v>
      </c>
      <c r="C135" s="2405">
        <v>1</v>
      </c>
      <c r="D135" s="2809"/>
      <c r="E135" s="2809"/>
      <c r="F135" s="2809"/>
      <c r="G135" s="2809"/>
      <c r="H135" s="2809"/>
      <c r="I135" s="2809"/>
      <c r="J135" s="2809"/>
      <c r="K135" s="2809"/>
      <c r="L135" s="2809"/>
      <c r="M135" s="2809"/>
      <c r="N135" s="2409">
        <v>1150.6373170000002</v>
      </c>
      <c r="O135" s="2410">
        <v>163.37095119999998</v>
      </c>
      <c r="P135" s="2409">
        <f>IFERROR(O135/N135*10,0)</f>
        <v>1.4198301131580626</v>
      </c>
      <c r="Q135" s="2410">
        <v>139.6873707</v>
      </c>
      <c r="R135" s="2410">
        <f>IFERROR(Q135/N135*10,0)</f>
        <v>1.2140000036171257</v>
      </c>
      <c r="S135" s="2410">
        <v>78.3189414</v>
      </c>
      <c r="T135" s="2410">
        <f>IFERROR(S135/N135*10,0)</f>
        <v>0.68065706059488074</v>
      </c>
      <c r="U135" s="2410"/>
      <c r="V135" s="2410">
        <f>SUM(O135,Q135,S135)</f>
        <v>381.37726329999998</v>
      </c>
      <c r="W135" s="2410">
        <f>IFERROR(V135/N135*10,0)</f>
        <v>3.314487177370069</v>
      </c>
      <c r="X135" s="2411">
        <v>1248.3013473999999</v>
      </c>
      <c r="Y135" s="2411">
        <v>163.59793669999999</v>
      </c>
      <c r="Z135" s="2411">
        <f>IFERROR(Y135/X135*10,0)</f>
        <v>1.3105644485664201</v>
      </c>
      <c r="AA135" s="2411">
        <v>101.96151729999998</v>
      </c>
      <c r="AB135" s="2411">
        <f>IFERROR(AA135/X135*10,0)</f>
        <v>0.81680210882066684</v>
      </c>
      <c r="AC135" s="2411">
        <v>2.9253909999999994</v>
      </c>
      <c r="AD135" s="2412">
        <f>IFERROR(AC135/X135*10,0)</f>
        <v>2.3434974304025972E-2</v>
      </c>
      <c r="AE135" s="2411"/>
      <c r="AF135" s="2411">
        <f>Y135+AA135+AC135+AE135</f>
        <v>268.48484499999995</v>
      </c>
      <c r="AG135" s="2411">
        <f>IFERROR(AF135/X135*10,0)</f>
        <v>2.1508015316911124</v>
      </c>
      <c r="AH135" s="2412">
        <f>IFERROR(VLOOKUP($A135,F13_21_22!$B$14:$O$217,9,0),0)</f>
        <v>1277.73410472</v>
      </c>
      <c r="AI135" s="2412">
        <f>IFERROR(VLOOKUP($A135,F13_21_22!$B$14:$O$217,10,0),0)</f>
        <v>191.55868428375001</v>
      </c>
      <c r="AJ135" s="2412">
        <f>IFERROR(AI135/AH135*10,0)</f>
        <v>1.4992061617211649</v>
      </c>
      <c r="AK135" s="2412">
        <f>IFERROR(VLOOKUP($A135,F13_21_22!$B$14:$O$217,11,0),0)</f>
        <v>143.46659756015669</v>
      </c>
      <c r="AL135" s="2401">
        <f>IFERROR(AK135/AH135*10,0)</f>
        <v>1.1228204446463894</v>
      </c>
      <c r="AM135" s="2412">
        <f>IFERROR(VLOOKUP($A135,F13_21_22!$B$14:$O$217,12,0),0)</f>
        <v>4.2914525000000001</v>
      </c>
      <c r="AN135" s="2412">
        <f>IFERROR(AM135/AH135*10,0)</f>
        <v>3.3586428382456145E-2</v>
      </c>
      <c r="AO135" s="2411"/>
      <c r="AP135" s="2411">
        <f>SUM(AK135,AI135,AM135,AO135)</f>
        <v>339.31673434390666</v>
      </c>
      <c r="AQ135" s="2411">
        <f>IFERROR(AP135/AH135*10,0)</f>
        <v>2.6556130347500102</v>
      </c>
      <c r="AR135" s="2406">
        <f>IFERROR(VLOOKUP($A135,F13_22_23!$B$14:$O$215,9,0),0)</f>
        <v>1034.5812841699999</v>
      </c>
      <c r="AS135" s="2406">
        <f>IFERROR(VLOOKUP($A135,F13_22_23!$B$14:$O$215,10,0),0)</f>
        <v>268.97164259175003</v>
      </c>
      <c r="AT135" s="2406">
        <f>IFERROR(AS135/AR135*10,0)</f>
        <v>2.5998116021162554</v>
      </c>
      <c r="AU135" s="2406">
        <f>IFERROR(VLOOKUP($A135,F13_22_23!$B$14:$O$215,11,0),0)</f>
        <v>87.918812091257024</v>
      </c>
      <c r="AV135" s="2406">
        <f>IFERROR(AU135/AR135*10,0)</f>
        <v>0.84980091401702196</v>
      </c>
      <c r="AW135" s="2406">
        <f>IFERROR(VLOOKUP($A135,F13_22_23!$B$14:$O$215,12,0),0)</f>
        <v>0</v>
      </c>
      <c r="AX135" s="2406"/>
      <c r="AY135" s="2406">
        <f>AS135+AU135</f>
        <v>356.89045468300708</v>
      </c>
      <c r="AZ135" s="2406">
        <f>IFERROR(AY135/AR135*10,0)</f>
        <v>3.4496125161332776</v>
      </c>
    </row>
    <row r="136" spans="1:52" s="2415" customFormat="1">
      <c r="A136" s="2417" t="s">
        <v>211</v>
      </c>
      <c r="B136" s="2809"/>
      <c r="C136" s="2809"/>
      <c r="D136" s="2809"/>
      <c r="E136" s="2809"/>
      <c r="F136" s="2809"/>
      <c r="G136" s="2809"/>
      <c r="H136" s="2809"/>
      <c r="I136" s="2809"/>
      <c r="J136" s="2809"/>
      <c r="K136" s="2809"/>
      <c r="L136" s="2809"/>
      <c r="M136" s="2809"/>
      <c r="N136" s="2400">
        <f>SUM(N134:N135)</f>
        <v>1452.1629820000003</v>
      </c>
      <c r="O136" s="2400">
        <f>SUM(O134:O135)</f>
        <v>226.35695769999998</v>
      </c>
      <c r="P136" s="2400"/>
      <c r="Q136" s="2400">
        <f>SUM(Q134:Q135)</f>
        <v>188.32346100000001</v>
      </c>
      <c r="R136" s="2400"/>
      <c r="S136" s="2400">
        <f>SUM(S134:S135)</f>
        <v>231.48603059999999</v>
      </c>
      <c r="T136" s="2400"/>
      <c r="U136" s="2400"/>
      <c r="V136" s="2400">
        <f>SUM(V134:V135)</f>
        <v>646.16644929999995</v>
      </c>
      <c r="W136" s="2400">
        <f>IFERROR(V136/N136*10,0)</f>
        <v>4.4496826961534532</v>
      </c>
      <c r="X136" s="2401">
        <f>SUM(X134:X135)</f>
        <v>1569.5594652999998</v>
      </c>
      <c r="Y136" s="2401">
        <f>SUM(Y134:Y135)</f>
        <v>243.96520869999998</v>
      </c>
      <c r="Z136" s="2401"/>
      <c r="AA136" s="2401">
        <f>SUM(AA134:AA135)</f>
        <v>153.54421939999997</v>
      </c>
      <c r="AB136" s="2401"/>
      <c r="AC136" s="2401">
        <f>SUM(AC134:AC135)</f>
        <v>18.769924400000001</v>
      </c>
      <c r="AD136" s="2401">
        <f>SUM(AD134:AD135)</f>
        <v>0.51663755867987127</v>
      </c>
      <c r="AE136" s="2401"/>
      <c r="AF136" s="2401">
        <f>SUM(AF134:AF135)</f>
        <v>416.27935249999996</v>
      </c>
      <c r="AG136" s="2401">
        <f>IFERROR(AF136/X136*10,0)</f>
        <v>2.6522050403514585</v>
      </c>
      <c r="AH136" s="2401">
        <f>SUM(AH134:AH135)</f>
        <v>1604.2584962200001</v>
      </c>
      <c r="AI136" s="2401">
        <f t="shared" ref="AI136:AY136" si="96">SUM(AI134:AI135)</f>
        <v>279.53873018375003</v>
      </c>
      <c r="AJ136" s="2401"/>
      <c r="AK136" s="2401">
        <f t="shared" si="96"/>
        <v>212.4819220796804</v>
      </c>
      <c r="AL136" s="2401"/>
      <c r="AM136" s="2401">
        <f t="shared" si="96"/>
        <v>20.383234799999997</v>
      </c>
      <c r="AN136" s="2412">
        <f t="shared" si="96"/>
        <v>0.52640665005339959</v>
      </c>
      <c r="AO136" s="2401">
        <f t="shared" si="96"/>
        <v>0</v>
      </c>
      <c r="AP136" s="2401">
        <f t="shared" si="96"/>
        <v>512.40388706343037</v>
      </c>
      <c r="AQ136" s="2401">
        <f>IFERROR(AP136/AH136*10,0)</f>
        <v>3.1940232092943321</v>
      </c>
      <c r="AR136" s="2401">
        <f t="shared" si="96"/>
        <v>1303.5121467699998</v>
      </c>
      <c r="AS136" s="2401">
        <f t="shared" si="96"/>
        <v>357.57655997175004</v>
      </c>
      <c r="AT136" s="2401"/>
      <c r="AU136" s="2401">
        <f t="shared" si="96"/>
        <v>132.84411004295714</v>
      </c>
      <c r="AV136" s="2401"/>
      <c r="AW136" s="2401">
        <f t="shared" si="96"/>
        <v>0</v>
      </c>
      <c r="AX136" s="2401">
        <f t="shared" si="96"/>
        <v>0</v>
      </c>
      <c r="AY136" s="2401">
        <f t="shared" si="96"/>
        <v>490.42067001470718</v>
      </c>
      <c r="AZ136" s="2401"/>
    </row>
    <row r="137" spans="1:52" s="2350" customFormat="1">
      <c r="A137" s="2404"/>
      <c r="B137" s="2405"/>
      <c r="C137" s="2405"/>
      <c r="D137" s="2809"/>
      <c r="E137" s="2809"/>
      <c r="F137" s="2809"/>
      <c r="G137" s="2809"/>
      <c r="H137" s="2809"/>
      <c r="I137" s="2809"/>
      <c r="J137" s="2809"/>
      <c r="K137" s="2809"/>
      <c r="L137" s="2809"/>
      <c r="M137" s="2809"/>
      <c r="N137" s="2400"/>
      <c r="O137" s="2400"/>
      <c r="P137" s="2400"/>
      <c r="Q137" s="2400"/>
      <c r="R137" s="2400"/>
      <c r="S137" s="2400"/>
      <c r="T137" s="2400"/>
      <c r="U137" s="2400"/>
      <c r="V137" s="2400"/>
      <c r="W137" s="2400"/>
      <c r="X137" s="2401"/>
      <c r="Y137" s="2401"/>
      <c r="Z137" s="2401"/>
      <c r="AA137" s="2401"/>
      <c r="AB137" s="2401"/>
      <c r="AC137" s="2401"/>
      <c r="AD137" s="2412"/>
      <c r="AE137" s="2401"/>
      <c r="AF137" s="2401"/>
      <c r="AG137" s="2401"/>
      <c r="AH137" s="2412"/>
      <c r="AI137" s="2412"/>
      <c r="AJ137" s="2412"/>
      <c r="AK137" s="2412"/>
      <c r="AL137" s="2401"/>
      <c r="AM137" s="2416"/>
      <c r="AN137" s="2412"/>
      <c r="AO137" s="2411"/>
      <c r="AP137" s="2411"/>
      <c r="AQ137" s="2411"/>
      <c r="AR137" s="2406"/>
      <c r="AS137" s="2406"/>
      <c r="AT137" s="2406"/>
      <c r="AU137" s="2406"/>
      <c r="AV137" s="2406"/>
      <c r="AW137" s="2406"/>
      <c r="AX137" s="2406"/>
      <c r="AY137" s="2406"/>
      <c r="AZ137" s="2406"/>
    </row>
    <row r="138" spans="1:52" s="2350" customFormat="1">
      <c r="A138" s="2417" t="s">
        <v>1755</v>
      </c>
      <c r="B138" s="2405"/>
      <c r="C138" s="2405"/>
      <c r="D138" s="2809"/>
      <c r="E138" s="2809"/>
      <c r="F138" s="2809"/>
      <c r="G138" s="2809"/>
      <c r="H138" s="2809"/>
      <c r="I138" s="2809"/>
      <c r="J138" s="2809"/>
      <c r="K138" s="2809"/>
      <c r="L138" s="2809"/>
      <c r="M138" s="2809"/>
      <c r="N138" s="2400"/>
      <c r="O138" s="2400"/>
      <c r="P138" s="2400"/>
      <c r="Q138" s="2400"/>
      <c r="R138" s="2400"/>
      <c r="S138" s="2400"/>
      <c r="T138" s="2400"/>
      <c r="U138" s="2400"/>
      <c r="V138" s="2400"/>
      <c r="W138" s="2400"/>
      <c r="X138" s="2401"/>
      <c r="Y138" s="2401"/>
      <c r="Z138" s="2401"/>
      <c r="AA138" s="2401"/>
      <c r="AB138" s="2401"/>
      <c r="AC138" s="2401"/>
      <c r="AD138" s="2412"/>
      <c r="AE138" s="2401"/>
      <c r="AF138" s="2401"/>
      <c r="AG138" s="2401"/>
      <c r="AH138" s="2412"/>
      <c r="AI138" s="2412"/>
      <c r="AJ138" s="2412"/>
      <c r="AK138" s="2412"/>
      <c r="AL138" s="2401"/>
      <c r="AM138" s="2416"/>
      <c r="AN138" s="2412"/>
      <c r="AO138" s="2411"/>
      <c r="AP138" s="2411"/>
      <c r="AQ138" s="2411"/>
      <c r="AR138" s="2406"/>
      <c r="AS138" s="2406"/>
      <c r="AT138" s="2406"/>
      <c r="AU138" s="2406"/>
      <c r="AV138" s="2406"/>
      <c r="AW138" s="2406"/>
      <c r="AX138" s="2406"/>
      <c r="AY138" s="2406"/>
      <c r="AZ138" s="2406"/>
    </row>
    <row r="139" spans="1:52" s="2350" customFormat="1">
      <c r="A139" s="2404" t="s">
        <v>1756</v>
      </c>
      <c r="B139" s="2405" t="s">
        <v>1717</v>
      </c>
      <c r="C139" s="2405">
        <v>1</v>
      </c>
      <c r="D139" s="2809"/>
      <c r="E139" s="2809"/>
      <c r="F139" s="2809"/>
      <c r="G139" s="2809"/>
      <c r="H139" s="2809"/>
      <c r="I139" s="2809"/>
      <c r="J139" s="2809"/>
      <c r="K139" s="2809"/>
      <c r="L139" s="2809"/>
      <c r="M139" s="2809"/>
      <c r="N139" s="2409">
        <v>0</v>
      </c>
      <c r="O139" s="2410">
        <v>0</v>
      </c>
      <c r="P139" s="2409">
        <f>IFERROR(O139/N139*10,0)</f>
        <v>0</v>
      </c>
      <c r="Q139" s="2410">
        <v>0</v>
      </c>
      <c r="R139" s="2410">
        <f>IFERROR(Q139/N139*10,0)</f>
        <v>0</v>
      </c>
      <c r="S139" s="2410">
        <v>0</v>
      </c>
      <c r="T139" s="2410">
        <f>IFERROR(S139/N139*10,0)</f>
        <v>0</v>
      </c>
      <c r="U139" s="2410"/>
      <c r="V139" s="2410">
        <f>SUM(O139,Q139,S139)</f>
        <v>0</v>
      </c>
      <c r="W139" s="2410">
        <f>IFERROR(V139/N139*10,0)</f>
        <v>0</v>
      </c>
      <c r="X139" s="2411">
        <v>128.1637546</v>
      </c>
      <c r="Y139" s="2411">
        <v>0</v>
      </c>
      <c r="Z139" s="2411">
        <f>IFERROR(Y139/X139*10,0)</f>
        <v>0</v>
      </c>
      <c r="AA139" s="2411">
        <v>51.278807000000008</v>
      </c>
      <c r="AB139" s="2411">
        <f>IFERROR(AA139/X139*10,0)</f>
        <v>4.0010381375016308</v>
      </c>
      <c r="AC139" s="2411">
        <v>-1.5147733999999999</v>
      </c>
      <c r="AD139" s="2412">
        <f>IFERROR(AC139/X139*10,0)</f>
        <v>-0.11819046693252851</v>
      </c>
      <c r="AE139" s="2411"/>
      <c r="AF139" s="2411">
        <f>Y139+AA139+AC139+AE139</f>
        <v>49.764033600000005</v>
      </c>
      <c r="AG139" s="2411">
        <f>IFERROR(AF139/X139*10,0)</f>
        <v>3.8828476705691015</v>
      </c>
      <c r="AH139" s="2412">
        <f>IFERROR(VLOOKUP($A139,F13_21_22!$B$14:$O$217,9,0),0)</f>
        <v>253.730391</v>
      </c>
      <c r="AI139" s="2412">
        <f>IFERROR(VLOOKUP($A139,F13_21_22!$B$14:$O$217,10,0),0)</f>
        <v>0</v>
      </c>
      <c r="AJ139" s="2412">
        <f>IFERROR(AI139/AH139*10,0)</f>
        <v>0</v>
      </c>
      <c r="AK139" s="2412">
        <f>IFERROR(VLOOKUP($A139,F13_21_22!$B$14:$O$217,11,0),0)</f>
        <v>101.94023077069072</v>
      </c>
      <c r="AL139" s="2401">
        <f>IFERROR(AK139/AH139*10,0)</f>
        <v>4.0176594679464595</v>
      </c>
      <c r="AM139" s="2412">
        <f>IFERROR(VLOOKUP($A139,F13_21_22!$B$14:$O$217,12,0),0)</f>
        <v>0.1269064</v>
      </c>
      <c r="AN139" s="2412">
        <f>IFERROR(AM139/AH139*10,0)</f>
        <v>5.0016239481536929E-3</v>
      </c>
      <c r="AO139" s="2411"/>
      <c r="AP139" s="2411">
        <f>SUM(AK139,AI139,AM139,AO139)</f>
        <v>102.06713717069071</v>
      </c>
      <c r="AQ139" s="2411">
        <f>IFERROR(AP139/AH139*10,0)</f>
        <v>4.0226610918946131</v>
      </c>
      <c r="AR139" s="2406">
        <f>IFERROR(VLOOKUP($A139,F13_22_23!$B$14:$O$215,9,0),0)</f>
        <v>224.18154000000001</v>
      </c>
      <c r="AS139" s="2406">
        <f>IFERROR(VLOOKUP($A139,F13_22_23!$B$14:$O$215,10,0),0)</f>
        <v>0</v>
      </c>
      <c r="AT139" s="2406">
        <f>IFERROR(AS139/AR139*10,0)</f>
        <v>0</v>
      </c>
      <c r="AU139" s="2406">
        <f>IFERROR(VLOOKUP($A139,F13_22_23!$B$14:$O$215,11,0),0)</f>
        <v>93.319603047090652</v>
      </c>
      <c r="AV139" s="2406">
        <f>IFERROR(AU139/AR139*10,0)</f>
        <v>4.1626800782566953</v>
      </c>
      <c r="AW139" s="2406">
        <f>IFERROR(VLOOKUP($A139,F13_22_23!$B$14:$O$215,12,0),0)</f>
        <v>0</v>
      </c>
      <c r="AX139" s="2406"/>
      <c r="AY139" s="2406">
        <f>AS139+AU139</f>
        <v>93.319603047090652</v>
      </c>
      <c r="AZ139" s="2406">
        <f>IFERROR(AY139/AR139*10,0)</f>
        <v>4.1626800782566953</v>
      </c>
    </row>
    <row r="140" spans="1:52" s="2350" customFormat="1">
      <c r="A140" s="2404"/>
      <c r="B140" s="2405"/>
      <c r="C140" s="2405"/>
      <c r="D140" s="2809"/>
      <c r="E140" s="2809"/>
      <c r="F140" s="2809"/>
      <c r="G140" s="2809"/>
      <c r="H140" s="2809"/>
      <c r="I140" s="2809"/>
      <c r="J140" s="2809"/>
      <c r="K140" s="2809"/>
      <c r="L140" s="2809"/>
      <c r="M140" s="2809"/>
      <c r="N140" s="2400"/>
      <c r="O140" s="2400"/>
      <c r="P140" s="2400"/>
      <c r="Q140" s="2400"/>
      <c r="R140" s="2400"/>
      <c r="S140" s="2400"/>
      <c r="T140" s="2400"/>
      <c r="U140" s="2400"/>
      <c r="V140" s="2400"/>
      <c r="W140" s="2400"/>
      <c r="X140" s="2401"/>
      <c r="Y140" s="2401"/>
      <c r="Z140" s="2401"/>
      <c r="AA140" s="2401"/>
      <c r="AB140" s="2401"/>
      <c r="AC140" s="2401"/>
      <c r="AD140" s="2412"/>
      <c r="AE140" s="2401"/>
      <c r="AF140" s="2401"/>
      <c r="AG140" s="2401"/>
      <c r="AH140" s="2412"/>
      <c r="AI140" s="2412"/>
      <c r="AJ140" s="2412"/>
      <c r="AK140" s="2412"/>
      <c r="AL140" s="2401"/>
      <c r="AM140" s="2416"/>
      <c r="AN140" s="2412"/>
      <c r="AO140" s="2411"/>
      <c r="AP140" s="2411"/>
      <c r="AQ140" s="2411"/>
      <c r="AR140" s="2406"/>
      <c r="AS140" s="2406"/>
      <c r="AT140" s="2406"/>
      <c r="AU140" s="2406"/>
      <c r="AV140" s="2406"/>
      <c r="AW140" s="2406"/>
      <c r="AX140" s="2406"/>
      <c r="AY140" s="2406"/>
      <c r="AZ140" s="2406"/>
    </row>
    <row r="141" spans="1:52" s="2350" customFormat="1">
      <c r="A141" s="2417" t="s">
        <v>1757</v>
      </c>
      <c r="B141" s="2405"/>
      <c r="C141" s="2405"/>
      <c r="D141" s="2809"/>
      <c r="E141" s="2809"/>
      <c r="F141" s="2809"/>
      <c r="G141" s="2809"/>
      <c r="H141" s="2809"/>
      <c r="I141" s="2809"/>
      <c r="J141" s="2809"/>
      <c r="K141" s="2809"/>
      <c r="L141" s="2809"/>
      <c r="M141" s="2809"/>
      <c r="N141" s="2400"/>
      <c r="O141" s="2400"/>
      <c r="P141" s="2400"/>
      <c r="Q141" s="2400"/>
      <c r="R141" s="2400"/>
      <c r="S141" s="2400"/>
      <c r="T141" s="2400"/>
      <c r="U141" s="2400"/>
      <c r="V141" s="2400"/>
      <c r="W141" s="2400"/>
      <c r="X141" s="2401"/>
      <c r="Y141" s="2401"/>
      <c r="Z141" s="2401"/>
      <c r="AA141" s="2401"/>
      <c r="AB141" s="2401"/>
      <c r="AC141" s="2401"/>
      <c r="AD141" s="2412"/>
      <c r="AE141" s="2401"/>
      <c r="AF141" s="2401"/>
      <c r="AG141" s="2401"/>
      <c r="AH141" s="2412"/>
      <c r="AI141" s="2412"/>
      <c r="AJ141" s="2412"/>
      <c r="AK141" s="2412"/>
      <c r="AL141" s="2401"/>
      <c r="AM141" s="2416"/>
      <c r="AN141" s="2412"/>
      <c r="AO141" s="2411"/>
      <c r="AP141" s="2411"/>
      <c r="AQ141" s="2411"/>
      <c r="AR141" s="2406"/>
      <c r="AS141" s="2406"/>
      <c r="AT141" s="2406"/>
      <c r="AU141" s="2406"/>
      <c r="AV141" s="2406"/>
      <c r="AW141" s="2406"/>
      <c r="AX141" s="2406"/>
      <c r="AY141" s="2406"/>
      <c r="AZ141" s="2406"/>
    </row>
    <row r="142" spans="1:52" s="2350" customFormat="1">
      <c r="A142" s="2417" t="s">
        <v>1745</v>
      </c>
      <c r="B142" s="2405"/>
      <c r="C142" s="2405"/>
      <c r="D142" s="2809"/>
      <c r="E142" s="2809"/>
      <c r="F142" s="2809"/>
      <c r="G142" s="2809"/>
      <c r="H142" s="2809"/>
      <c r="I142" s="2809"/>
      <c r="J142" s="2809"/>
      <c r="K142" s="2809"/>
      <c r="L142" s="2809"/>
      <c r="M142" s="2809"/>
      <c r="N142" s="2400"/>
      <c r="O142" s="2400"/>
      <c r="P142" s="2400"/>
      <c r="Q142" s="2400"/>
      <c r="R142" s="2400"/>
      <c r="S142" s="2400"/>
      <c r="T142" s="2400"/>
      <c r="U142" s="2400"/>
      <c r="V142" s="2400"/>
      <c r="W142" s="2400"/>
      <c r="X142" s="2401"/>
      <c r="Y142" s="2401"/>
      <c r="Z142" s="2401"/>
      <c r="AA142" s="2401"/>
      <c r="AB142" s="2401"/>
      <c r="AC142" s="2401"/>
      <c r="AD142" s="2412"/>
      <c r="AE142" s="2401"/>
      <c r="AF142" s="2401"/>
      <c r="AG142" s="2401"/>
      <c r="AH142" s="2412"/>
      <c r="AI142" s="2412"/>
      <c r="AJ142" s="2412"/>
      <c r="AK142" s="2412"/>
      <c r="AL142" s="2401"/>
      <c r="AM142" s="2416"/>
      <c r="AN142" s="2412"/>
      <c r="AO142" s="2411"/>
      <c r="AP142" s="2411"/>
      <c r="AQ142" s="2411"/>
      <c r="AR142" s="2406"/>
      <c r="AS142" s="2406"/>
      <c r="AT142" s="2406"/>
      <c r="AU142" s="2406"/>
      <c r="AV142" s="2406"/>
      <c r="AW142" s="2406"/>
      <c r="AX142" s="2406"/>
      <c r="AY142" s="2406"/>
      <c r="AZ142" s="2406"/>
    </row>
    <row r="143" spans="1:52" s="2350" customFormat="1">
      <c r="A143" s="2404" t="s">
        <v>1758</v>
      </c>
      <c r="B143" s="2405" t="s">
        <v>1717</v>
      </c>
      <c r="C143" s="2405">
        <v>1</v>
      </c>
      <c r="D143" s="2809"/>
      <c r="E143" s="2809"/>
      <c r="F143" s="2809"/>
      <c r="G143" s="2809"/>
      <c r="H143" s="2809"/>
      <c r="I143" s="2809"/>
      <c r="J143" s="2809"/>
      <c r="K143" s="2809"/>
      <c r="L143" s="2809"/>
      <c r="M143" s="2809"/>
      <c r="N143" s="2409">
        <v>112.02773699999999</v>
      </c>
      <c r="O143" s="2410">
        <v>0</v>
      </c>
      <c r="P143" s="2409">
        <f t="shared" ref="P143:P148" si="97">IFERROR(O143/N143*10,0)</f>
        <v>0</v>
      </c>
      <c r="Q143" s="2410">
        <v>26.807676484000002</v>
      </c>
      <c r="R143" s="2410">
        <f t="shared" ref="R143:R148" si="98">IFERROR(Q143/N143*10,0)</f>
        <v>2.3929499248922617</v>
      </c>
      <c r="S143" s="2410">
        <v>0</v>
      </c>
      <c r="T143" s="2410">
        <f t="shared" ref="T143:T148" si="99">IFERROR(S143/N143*10,0)</f>
        <v>0</v>
      </c>
      <c r="U143" s="2410"/>
      <c r="V143" s="2410">
        <f t="shared" ref="V143:V148" si="100">SUM(O143,Q143,S143)</f>
        <v>26.807676484000002</v>
      </c>
      <c r="W143" s="2410">
        <f t="shared" ref="W143:W148" si="101">IFERROR(V143/N143*10,0)</f>
        <v>2.3929499248922617</v>
      </c>
      <c r="X143" s="2411">
        <v>149.568321</v>
      </c>
      <c r="Y143" s="2411">
        <v>0</v>
      </c>
      <c r="Z143" s="2411">
        <f t="shared" ref="Z143:Z149" si="102">IFERROR(Y143/X143*10,0)</f>
        <v>0</v>
      </c>
      <c r="AA143" s="2411">
        <v>32.306757400000002</v>
      </c>
      <c r="AB143" s="2411">
        <f t="shared" ref="AB143:AB149" si="103">IFERROR(AA143/X143*10,0)</f>
        <v>2.1600000042789809</v>
      </c>
      <c r="AC143" s="2411">
        <v>0</v>
      </c>
      <c r="AD143" s="2412">
        <f t="shared" ref="AD143:AD149" si="104">IFERROR(AC143/X143*10,0)</f>
        <v>0</v>
      </c>
      <c r="AE143" s="2411"/>
      <c r="AF143" s="2411">
        <f t="shared" ref="AF143:AF149" si="105">Y143+AA143+AC143+AE143</f>
        <v>32.306757400000002</v>
      </c>
      <c r="AG143" s="2411">
        <f t="shared" ref="AG143:AG149" si="106">IFERROR(AF143/X143*10,0)</f>
        <v>2.1600000042789809</v>
      </c>
      <c r="AH143" s="2412">
        <f>IFERROR(VLOOKUP($A143,F13_21_22!$B$14:$O$217,9,0),0)</f>
        <v>123.0426585</v>
      </c>
      <c r="AI143" s="2412">
        <f>IFERROR(VLOOKUP($A143,F13_21_22!$B$14:$O$217,10,0),0)</f>
        <v>0</v>
      </c>
      <c r="AJ143" s="2412">
        <f t="shared" ref="AJ143:AJ149" si="107">IFERROR(AI143/AH143*10,0)</f>
        <v>0</v>
      </c>
      <c r="AK143" s="2412">
        <f>IFERROR(VLOOKUP($A143,F13_21_22!$B$14:$O$217,11,0),0)</f>
        <v>26.584981886599898</v>
      </c>
      <c r="AL143" s="2401">
        <f t="shared" ref="AL143:AL149" si="108">IFERROR(AK143/AH143*10,0)</f>
        <v>2.1606312973642305</v>
      </c>
      <c r="AM143" s="2412">
        <f>IFERROR(VLOOKUP($A143,F13_21_22!$B$14:$O$217,12,0),0)</f>
        <v>8.8003999999999999E-3</v>
      </c>
      <c r="AN143" s="2412">
        <f t="shared" ref="AN143:AN149" si="109">IFERROR(AM143/AH143*10,0)</f>
        <v>7.1523162025957036E-4</v>
      </c>
      <c r="AO143" s="2411"/>
      <c r="AP143" s="2411">
        <f t="shared" ref="AP143:AP149" si="110">SUM(AK143,AI143,AM143,AO143)</f>
        <v>26.593782286599897</v>
      </c>
      <c r="AQ143" s="2411">
        <f t="shared" ref="AQ143:AQ149" si="111">IFERROR(AP143/AH143*10,0)</f>
        <v>2.16134652898449</v>
      </c>
      <c r="AR143" s="2406">
        <f>IFERROR(VLOOKUP($A143,F13_22_23!$B$14:$O$215,9,0),0)</f>
        <v>133.82128677580644</v>
      </c>
      <c r="AS143" s="2406">
        <f>IFERROR(VLOOKUP($A143,F13_22_23!$B$14:$O$215,10,0),0)</f>
        <v>0</v>
      </c>
      <c r="AT143" s="2406">
        <f t="shared" ref="AT143:AT149" si="112">IFERROR(AS143/AR143*10,0)</f>
        <v>0</v>
      </c>
      <c r="AU143" s="2406">
        <f>IFERROR(VLOOKUP($A143,F13_22_23!$B$14:$O$215,11,0),0)</f>
        <v>30.073176080069839</v>
      </c>
      <c r="AV143" s="2406">
        <f t="shared" ref="AV143:AV149" si="113">IFERROR(AU143/AR143*10,0)</f>
        <v>2.2472640044518517</v>
      </c>
      <c r="AW143" s="2406">
        <f>IFERROR(VLOOKUP($A143,F13_22_23!$B$14:$O$215,12,0),0)</f>
        <v>0</v>
      </c>
      <c r="AX143" s="2406"/>
      <c r="AY143" s="2406">
        <f t="shared" ref="AY143:AY149" si="114">AS143+AU143</f>
        <v>30.073176080069839</v>
      </c>
      <c r="AZ143" s="2406">
        <f t="shared" ref="AZ143:AZ149" si="115">IFERROR(AY143/AR143*10,0)</f>
        <v>2.2472640044518517</v>
      </c>
    </row>
    <row r="144" spans="1:52" s="2350" customFormat="1">
      <c r="A144" s="2404" t="s">
        <v>1759</v>
      </c>
      <c r="B144" s="2405" t="s">
        <v>1717</v>
      </c>
      <c r="C144" s="2405">
        <v>1</v>
      </c>
      <c r="D144" s="2809"/>
      <c r="E144" s="2809"/>
      <c r="F144" s="2809"/>
      <c r="G144" s="2809"/>
      <c r="H144" s="2809"/>
      <c r="I144" s="2809"/>
      <c r="J144" s="2809"/>
      <c r="K144" s="2809"/>
      <c r="L144" s="2809"/>
      <c r="M144" s="2809"/>
      <c r="N144" s="2409">
        <v>1664.0503740000001</v>
      </c>
      <c r="O144" s="2410">
        <v>18.359999999999996</v>
      </c>
      <c r="P144" s="2409">
        <f t="shared" si="97"/>
        <v>0.11033319836265962</v>
      </c>
      <c r="Q144" s="2410">
        <v>118.52708020000001</v>
      </c>
      <c r="R144" s="2410">
        <f t="shared" si="98"/>
        <v>0.71228060190923048</v>
      </c>
      <c r="S144" s="2410">
        <v>93.337741499999993</v>
      </c>
      <c r="T144" s="2410">
        <f t="shared" si="99"/>
        <v>0.56090694703933275</v>
      </c>
      <c r="U144" s="2410"/>
      <c r="V144" s="2410">
        <f t="shared" si="100"/>
        <v>230.22482170000001</v>
      </c>
      <c r="W144" s="2410">
        <f t="shared" si="101"/>
        <v>1.383520747311223</v>
      </c>
      <c r="X144" s="2411">
        <v>1588.2653979999998</v>
      </c>
      <c r="Y144" s="2411">
        <v>22.276799999999994</v>
      </c>
      <c r="Z144" s="2411">
        <f t="shared" si="102"/>
        <v>0.14025867482885249</v>
      </c>
      <c r="AA144" s="2411">
        <v>163.84484309999999</v>
      </c>
      <c r="AB144" s="2411">
        <f t="shared" si="103"/>
        <v>1.031596125599155</v>
      </c>
      <c r="AC144" s="2411">
        <v>-4.2541520000000048</v>
      </c>
      <c r="AD144" s="2412">
        <f t="shared" si="104"/>
        <v>-2.6784893792668307E-2</v>
      </c>
      <c r="AE144" s="2411"/>
      <c r="AF144" s="2411">
        <f t="shared" si="105"/>
        <v>181.86749109999997</v>
      </c>
      <c r="AG144" s="2411">
        <f t="shared" si="106"/>
        <v>1.1450699066353391</v>
      </c>
      <c r="AH144" s="2412">
        <f>IFERROR(VLOOKUP($A144,F13_21_22!$B$14:$O$217,9,0),0)</f>
        <v>1605.7923174</v>
      </c>
      <c r="AI144" s="2412">
        <f>IFERROR(VLOOKUP($A144,F13_21_22!$B$14:$O$217,10,0),0)</f>
        <v>26.410859999999996</v>
      </c>
      <c r="AJ144" s="2412">
        <f t="shared" si="107"/>
        <v>0.16447245209618908</v>
      </c>
      <c r="AK144" s="2412">
        <f>IFERROR(VLOOKUP($A144,F13_21_22!$B$14:$O$217,11,0),0)</f>
        <v>163.20484042274072</v>
      </c>
      <c r="AL144" s="2401">
        <f t="shared" si="108"/>
        <v>1.016350860907044</v>
      </c>
      <c r="AM144" s="2412">
        <f>IFERROR(VLOOKUP($A144,F13_21_22!$B$14:$O$217,12,0),0)</f>
        <v>-51.75</v>
      </c>
      <c r="AN144" s="2412">
        <f t="shared" si="109"/>
        <v>-0.32227081571663269</v>
      </c>
      <c r="AO144" s="2411"/>
      <c r="AP144" s="2411">
        <f t="shared" si="110"/>
        <v>137.8657004227407</v>
      </c>
      <c r="AQ144" s="2411">
        <f t="shared" si="111"/>
        <v>0.85855249728660032</v>
      </c>
      <c r="AR144" s="2406">
        <f>IFERROR(VLOOKUP($A144,F13_22_23!$B$14:$O$215,9,0),0)</f>
        <v>1551.6143259499997</v>
      </c>
      <c r="AS144" s="2406">
        <f>IFERROR(VLOOKUP($A144,F13_22_23!$B$14:$O$215,10,0),0)</f>
        <v>24.560171999999994</v>
      </c>
      <c r="AT144" s="2406">
        <f t="shared" si="112"/>
        <v>0.15828786567153311</v>
      </c>
      <c r="AU144" s="2406">
        <f>IFERROR(VLOOKUP($A144,F13_22_23!$B$14:$O$215,11,0),0)</f>
        <v>166.53051558879608</v>
      </c>
      <c r="AV144" s="2406">
        <f t="shared" si="113"/>
        <v>1.0732726090733611</v>
      </c>
      <c r="AW144" s="2406">
        <f>IFERROR(VLOOKUP($A144,F13_22_23!$B$14:$O$215,12,0),0)</f>
        <v>0</v>
      </c>
      <c r="AX144" s="2406"/>
      <c r="AY144" s="2406">
        <f t="shared" si="114"/>
        <v>191.09068758879607</v>
      </c>
      <c r="AZ144" s="2406">
        <f t="shared" si="115"/>
        <v>1.2315604747448943</v>
      </c>
    </row>
    <row r="145" spans="1:52" s="2350" customFormat="1">
      <c r="A145" s="2404" t="s">
        <v>1760</v>
      </c>
      <c r="B145" s="2405" t="s">
        <v>1717</v>
      </c>
      <c r="C145" s="2405">
        <v>1</v>
      </c>
      <c r="D145" s="2809"/>
      <c r="E145" s="2809"/>
      <c r="F145" s="2809"/>
      <c r="G145" s="2809"/>
      <c r="H145" s="2809"/>
      <c r="I145" s="2809"/>
      <c r="J145" s="2809"/>
      <c r="K145" s="2809"/>
      <c r="L145" s="2809"/>
      <c r="M145" s="2809"/>
      <c r="N145" s="2409">
        <v>749.36766</v>
      </c>
      <c r="O145" s="2410">
        <v>154.24043239999997</v>
      </c>
      <c r="P145" s="2409">
        <f t="shared" si="97"/>
        <v>2.0582744710386884</v>
      </c>
      <c r="Q145" s="2410">
        <v>130.61478310000001</v>
      </c>
      <c r="R145" s="2410">
        <f t="shared" si="98"/>
        <v>1.742999999492906</v>
      </c>
      <c r="S145" s="2410">
        <v>97.059194999999988</v>
      </c>
      <c r="T145" s="2410">
        <f t="shared" si="99"/>
        <v>1.2952146213515536</v>
      </c>
      <c r="U145" s="2410"/>
      <c r="V145" s="2410">
        <f t="shared" si="100"/>
        <v>381.91441049999997</v>
      </c>
      <c r="W145" s="2410">
        <f t="shared" si="101"/>
        <v>5.0964890918831482</v>
      </c>
      <c r="X145" s="2411">
        <v>858.74822900000015</v>
      </c>
      <c r="Y145" s="2411">
        <v>183.90029039999999</v>
      </c>
      <c r="Z145" s="2411">
        <f t="shared" si="102"/>
        <v>2.1414925142162939</v>
      </c>
      <c r="AA145" s="2411">
        <v>115.13532379999999</v>
      </c>
      <c r="AB145" s="2411">
        <f t="shared" si="103"/>
        <v>1.3407343376308725</v>
      </c>
      <c r="AC145" s="2411">
        <v>65.319866459999986</v>
      </c>
      <c r="AD145" s="2412">
        <f t="shared" si="104"/>
        <v>0.76064047941110768</v>
      </c>
      <c r="AE145" s="2411"/>
      <c r="AF145" s="2411">
        <f t="shared" si="105"/>
        <v>364.35548066000001</v>
      </c>
      <c r="AG145" s="2411">
        <f t="shared" si="106"/>
        <v>4.2428673312582745</v>
      </c>
      <c r="AH145" s="2412">
        <f>IFERROR(VLOOKUP($A145,F13_21_22!$B$14:$O$217,9,0),0)</f>
        <v>817.3210585999999</v>
      </c>
      <c r="AI145" s="2412">
        <f>IFERROR(VLOOKUP($A145,F13_21_22!$B$14:$O$217,10,0),0)</f>
        <v>169.37633303000004</v>
      </c>
      <c r="AJ145" s="2412">
        <f t="shared" si="107"/>
        <v>2.0723353601108361</v>
      </c>
      <c r="AK145" s="2412">
        <f>IFERROR(VLOOKUP($A145,F13_21_22!$B$14:$O$217,11,0),0)</f>
        <v>131.23500647947768</v>
      </c>
      <c r="AL145" s="2401">
        <f t="shared" si="108"/>
        <v>1.605672643554197</v>
      </c>
      <c r="AM145" s="2412">
        <f>IFERROR(VLOOKUP($A145,F13_21_22!$B$14:$O$217,12,0),0)</f>
        <v>1.9536351999999999</v>
      </c>
      <c r="AN145" s="2412">
        <f t="shared" si="109"/>
        <v>2.3902910361154862E-2</v>
      </c>
      <c r="AO145" s="2411"/>
      <c r="AP145" s="2411">
        <f t="shared" si="110"/>
        <v>302.56497470947772</v>
      </c>
      <c r="AQ145" s="2411">
        <f t="shared" si="111"/>
        <v>3.7019109140261879</v>
      </c>
      <c r="AR145" s="2406">
        <f>IFERROR(VLOOKUP($A145,F13_22_23!$B$14:$O$215,9,0),0)</f>
        <v>800.53265424193546</v>
      </c>
      <c r="AS145" s="2406">
        <f>IFERROR(VLOOKUP($A145,F13_22_23!$B$14:$O$215,10,0),0)</f>
        <v>202.750070166</v>
      </c>
      <c r="AT145" s="2406">
        <f t="shared" si="112"/>
        <v>2.532689567273108</v>
      </c>
      <c r="AU145" s="2406">
        <f>IFERROR(VLOOKUP($A145,F13_22_23!$B$14:$O$215,11,0),0)</f>
        <v>111.66630033015983</v>
      </c>
      <c r="AV145" s="2406">
        <f t="shared" si="113"/>
        <v>1.3949000048711599</v>
      </c>
      <c r="AW145" s="2406">
        <f>IFERROR(VLOOKUP($A145,F13_22_23!$B$14:$O$215,12,0),0)</f>
        <v>0</v>
      </c>
      <c r="AX145" s="2406"/>
      <c r="AY145" s="2406">
        <f t="shared" si="114"/>
        <v>314.41637049615986</v>
      </c>
      <c r="AZ145" s="2406">
        <f t="shared" si="115"/>
        <v>3.9275895721442682</v>
      </c>
    </row>
    <row r="146" spans="1:52" s="2350" customFormat="1">
      <c r="A146" s="2404" t="s">
        <v>1761</v>
      </c>
      <c r="B146" s="2405" t="s">
        <v>1717</v>
      </c>
      <c r="C146" s="2405">
        <v>1</v>
      </c>
      <c r="D146" s="2809"/>
      <c r="E146" s="2809"/>
      <c r="F146" s="2809"/>
      <c r="G146" s="2809"/>
      <c r="H146" s="2809"/>
      <c r="I146" s="2809"/>
      <c r="J146" s="2809"/>
      <c r="K146" s="2809"/>
      <c r="L146" s="2809"/>
      <c r="M146" s="2809"/>
      <c r="N146" s="2409">
        <v>740.86783200000002</v>
      </c>
      <c r="O146" s="2410">
        <v>187.35405759999998</v>
      </c>
      <c r="P146" s="2409">
        <f t="shared" si="97"/>
        <v>2.5288458954174158</v>
      </c>
      <c r="Q146" s="2410">
        <v>170.0229478</v>
      </c>
      <c r="R146" s="2410">
        <f t="shared" si="98"/>
        <v>2.2949160492097058</v>
      </c>
      <c r="S146" s="2410">
        <v>2.7669571000000004</v>
      </c>
      <c r="T146" s="2410">
        <f t="shared" si="99"/>
        <v>3.7347513017679516E-2</v>
      </c>
      <c r="U146" s="2410"/>
      <c r="V146" s="2410">
        <f t="shared" si="100"/>
        <v>360.14396249999999</v>
      </c>
      <c r="W146" s="2410">
        <f t="shared" si="101"/>
        <v>4.8611094576448011</v>
      </c>
      <c r="X146" s="2411">
        <v>880.09080000000006</v>
      </c>
      <c r="Y146" s="2411">
        <v>327.88868779999996</v>
      </c>
      <c r="Z146" s="2411">
        <f t="shared" si="102"/>
        <v>3.7256233993128882</v>
      </c>
      <c r="AA146" s="2411">
        <v>190.74548679999998</v>
      </c>
      <c r="AB146" s="2411">
        <f t="shared" si="103"/>
        <v>2.1673387200502487</v>
      </c>
      <c r="AC146" s="2411">
        <v>31.716519349999999</v>
      </c>
      <c r="AD146" s="2412">
        <f t="shared" si="104"/>
        <v>0.36037780817615633</v>
      </c>
      <c r="AE146" s="2411"/>
      <c r="AF146" s="2411">
        <f t="shared" si="105"/>
        <v>550.35069394999994</v>
      </c>
      <c r="AG146" s="2411">
        <f t="shared" si="106"/>
        <v>6.2533399275392929</v>
      </c>
      <c r="AH146" s="2412">
        <f>IFERROR(VLOOKUP($A146,F13_21_22!$B$14:$O$217,9,0),0)</f>
        <v>903.32359966666672</v>
      </c>
      <c r="AI146" s="2412">
        <f>IFERROR(VLOOKUP($A146,F13_21_22!$B$14:$O$217,10,0),0)</f>
        <v>300.6370695475</v>
      </c>
      <c r="AJ146" s="2412">
        <f t="shared" si="107"/>
        <v>3.3281215021774853</v>
      </c>
      <c r="AK146" s="2412">
        <f>IFERROR(VLOOKUP($A146,F13_21_22!$B$14:$O$217,11,0),0)</f>
        <v>244.85969175132652</v>
      </c>
      <c r="AL146" s="2401">
        <f t="shared" si="108"/>
        <v>2.7106531019634783</v>
      </c>
      <c r="AM146" s="2412">
        <f>IFERROR(VLOOKUP($A146,F13_21_22!$B$14:$O$217,12,0),0)</f>
        <v>4.3905834000000006</v>
      </c>
      <c r="AN146" s="2412">
        <f t="shared" si="109"/>
        <v>4.8604768010269625E-2</v>
      </c>
      <c r="AO146" s="2411"/>
      <c r="AP146" s="2411">
        <f t="shared" si="110"/>
        <v>549.8873446988265</v>
      </c>
      <c r="AQ146" s="2411">
        <f t="shared" si="111"/>
        <v>6.0873793721512328</v>
      </c>
      <c r="AR146" s="2406">
        <f>IFERROR(VLOOKUP($A146,F13_22_23!$B$14:$O$215,9,0),0)</f>
        <v>862.62301494623648</v>
      </c>
      <c r="AS146" s="2406">
        <f>IFERROR(VLOOKUP($A146,F13_22_23!$B$14:$O$215,10,0),0)</f>
        <v>361.49727829950001</v>
      </c>
      <c r="AT146" s="2406">
        <f t="shared" si="112"/>
        <v>4.1906750925493279</v>
      </c>
      <c r="AU146" s="2406">
        <f>IFERROR(VLOOKUP($A146,F13_22_23!$B$14:$O$215,11,0),0)</f>
        <v>194.51279500478816</v>
      </c>
      <c r="AV146" s="2406">
        <f t="shared" si="113"/>
        <v>2.2548992043402794</v>
      </c>
      <c r="AW146" s="2406">
        <f>IFERROR(VLOOKUP($A146,F13_22_23!$B$14:$O$215,12,0),0)</f>
        <v>0</v>
      </c>
      <c r="AX146" s="2406"/>
      <c r="AY146" s="2406">
        <f t="shared" si="114"/>
        <v>556.0100733042882</v>
      </c>
      <c r="AZ146" s="2406">
        <f t="shared" si="115"/>
        <v>6.4455742968896077</v>
      </c>
    </row>
    <row r="147" spans="1:52" s="2350" customFormat="1">
      <c r="A147" s="2404" t="s">
        <v>1762</v>
      </c>
      <c r="B147" s="2405"/>
      <c r="C147" s="2405"/>
      <c r="D147" s="2809"/>
      <c r="E147" s="2809"/>
      <c r="F147" s="2809"/>
      <c r="G147" s="2809"/>
      <c r="H147" s="2809"/>
      <c r="I147" s="2809"/>
      <c r="J147" s="2809"/>
      <c r="K147" s="2809"/>
      <c r="L147" s="2809"/>
      <c r="M147" s="2809"/>
      <c r="N147" s="2409">
        <v>1206.5196100000001</v>
      </c>
      <c r="O147" s="2410">
        <v>350.24665809999999</v>
      </c>
      <c r="P147" s="2409">
        <f t="shared" si="97"/>
        <v>2.9029503971344486</v>
      </c>
      <c r="Q147" s="2410">
        <v>279.91256349999998</v>
      </c>
      <c r="R147" s="2410">
        <f t="shared" si="98"/>
        <v>2.3200001158704744</v>
      </c>
      <c r="S147" s="2410">
        <v>114.7956825</v>
      </c>
      <c r="T147" s="2410">
        <f t="shared" si="99"/>
        <v>0.95146138984015349</v>
      </c>
      <c r="U147" s="2410"/>
      <c r="V147" s="2410">
        <f t="shared" si="100"/>
        <v>744.95490409999991</v>
      </c>
      <c r="W147" s="2410">
        <f t="shared" si="101"/>
        <v>6.1744119028450761</v>
      </c>
      <c r="X147" s="2411">
        <v>1263.5205699999999</v>
      </c>
      <c r="Y147" s="2411">
        <v>371.98262050000005</v>
      </c>
      <c r="Z147" s="2411">
        <f t="shared" si="102"/>
        <v>2.9440171322260316</v>
      </c>
      <c r="AA147" s="2411">
        <v>302.57398210000002</v>
      </c>
      <c r="AB147" s="2411">
        <f t="shared" si="103"/>
        <v>2.3946897999452439</v>
      </c>
      <c r="AC147" s="2411">
        <v>157.8397617</v>
      </c>
      <c r="AD147" s="2412">
        <f t="shared" si="104"/>
        <v>1.2492061106690175</v>
      </c>
      <c r="AE147" s="2411"/>
      <c r="AF147" s="2411">
        <f t="shared" si="105"/>
        <v>832.39636430000019</v>
      </c>
      <c r="AG147" s="2411">
        <f t="shared" si="106"/>
        <v>6.5879130428402943</v>
      </c>
      <c r="AH147" s="2412">
        <f>IFERROR(VLOOKUP($A147,F13_21_22!$B$14:$O$217,9,0),0)</f>
        <v>1214.1372620000002</v>
      </c>
      <c r="AI147" s="2412">
        <f>IFERROR(VLOOKUP($A147,F13_21_22!$B$14:$O$217,10,0),0)</f>
        <v>506.50140298125007</v>
      </c>
      <c r="AJ147" s="2412">
        <f t="shared" si="107"/>
        <v>4.1716980347585277</v>
      </c>
      <c r="AK147" s="2412">
        <f>IFERROR(VLOOKUP($A147,F13_21_22!$B$14:$O$217,11,0),0)</f>
        <v>387.15990022781818</v>
      </c>
      <c r="AL147" s="2401">
        <f t="shared" si="108"/>
        <v>3.1887654908973389</v>
      </c>
      <c r="AM147" s="2412">
        <f>IFERROR(VLOOKUP($A147,F13_21_22!$B$14:$O$217,12,0),0)</f>
        <v>0</v>
      </c>
      <c r="AN147" s="2412">
        <f t="shared" si="109"/>
        <v>0</v>
      </c>
      <c r="AO147" s="2411"/>
      <c r="AP147" s="2411">
        <f t="shared" si="110"/>
        <v>893.66130320906825</v>
      </c>
      <c r="AQ147" s="2411">
        <f t="shared" si="111"/>
        <v>7.3604635256558666</v>
      </c>
      <c r="AR147" s="2406">
        <f>IFERROR(VLOOKUP($A147,F13_22_23!$B$14:$O$215,9,0),0)</f>
        <v>1229.0681561161291</v>
      </c>
      <c r="AS147" s="2406">
        <f>IFERROR(VLOOKUP($A147,F13_22_23!$B$14:$O$215,10,0),0)</f>
        <v>410.11083910125012</v>
      </c>
      <c r="AT147" s="2406">
        <f t="shared" si="112"/>
        <v>3.3367623842538201</v>
      </c>
      <c r="AU147" s="2406">
        <f>IFERROR(VLOOKUP($A147,F13_22_23!$B$14:$O$215,11,0),0)</f>
        <v>306.21437507551099</v>
      </c>
      <c r="AV147" s="2406">
        <f t="shared" si="113"/>
        <v>2.4914352678630309</v>
      </c>
      <c r="AW147" s="2406">
        <f>IFERROR(VLOOKUP($A147,F13_22_23!$B$14:$O$215,12,0),0)</f>
        <v>0</v>
      </c>
      <c r="AX147" s="2406"/>
      <c r="AY147" s="2406">
        <f t="shared" si="114"/>
        <v>716.32521417676116</v>
      </c>
      <c r="AZ147" s="2406">
        <f t="shared" si="115"/>
        <v>5.8281976521168524</v>
      </c>
    </row>
    <row r="148" spans="1:52" s="2350" customFormat="1">
      <c r="A148" s="2404" t="s">
        <v>1763</v>
      </c>
      <c r="B148" s="2405" t="s">
        <v>1649</v>
      </c>
      <c r="C148" s="2405">
        <v>2</v>
      </c>
      <c r="D148" s="2809"/>
      <c r="E148" s="2809"/>
      <c r="F148" s="2809"/>
      <c r="G148" s="2809"/>
      <c r="H148" s="2809"/>
      <c r="I148" s="2809"/>
      <c r="J148" s="2809"/>
      <c r="K148" s="2809"/>
      <c r="L148" s="2809"/>
      <c r="M148" s="2809"/>
      <c r="N148" s="2409">
        <v>0</v>
      </c>
      <c r="O148" s="2410">
        <v>0</v>
      </c>
      <c r="P148" s="2409">
        <f t="shared" si="97"/>
        <v>0</v>
      </c>
      <c r="Q148" s="2410">
        <v>0</v>
      </c>
      <c r="R148" s="2410">
        <f t="shared" si="98"/>
        <v>0</v>
      </c>
      <c r="S148" s="2410">
        <v>0</v>
      </c>
      <c r="T148" s="2410">
        <f t="shared" si="99"/>
        <v>0</v>
      </c>
      <c r="U148" s="2410"/>
      <c r="V148" s="2410">
        <f t="shared" si="100"/>
        <v>0</v>
      </c>
      <c r="W148" s="2410">
        <f t="shared" si="101"/>
        <v>0</v>
      </c>
      <c r="X148" s="2411">
        <v>0</v>
      </c>
      <c r="Y148" s="2411">
        <v>0</v>
      </c>
      <c r="Z148" s="2411">
        <f t="shared" si="102"/>
        <v>0</v>
      </c>
      <c r="AA148" s="2411">
        <v>0</v>
      </c>
      <c r="AB148" s="2411">
        <f t="shared" si="103"/>
        <v>0</v>
      </c>
      <c r="AC148" s="2411">
        <v>0</v>
      </c>
      <c r="AD148" s="2412">
        <f t="shared" si="104"/>
        <v>0</v>
      </c>
      <c r="AE148" s="2411"/>
      <c r="AF148" s="2411">
        <f t="shared" si="105"/>
        <v>0</v>
      </c>
      <c r="AG148" s="2411">
        <f t="shared" si="106"/>
        <v>0</v>
      </c>
      <c r="AH148" s="2412">
        <f>IFERROR(VLOOKUP($A148,F13_21_22!$B$14:$O$217,9,0),0)</f>
        <v>0</v>
      </c>
      <c r="AI148" s="2412">
        <f>IFERROR(VLOOKUP($A148,F13_21_22!$B$14:$O$217,10,0),0)</f>
        <v>0</v>
      </c>
      <c r="AJ148" s="2412">
        <f t="shared" si="107"/>
        <v>0</v>
      </c>
      <c r="AK148" s="2412">
        <f>IFERROR(VLOOKUP($A148,F13_21_22!$B$14:$O$217,11,0),0)</f>
        <v>0</v>
      </c>
      <c r="AL148" s="2401">
        <f t="shared" si="108"/>
        <v>0</v>
      </c>
      <c r="AM148" s="2412">
        <f>IFERROR(VLOOKUP($A148,F13_21_22!$B$14:$O$217,12,0),0)</f>
        <v>0</v>
      </c>
      <c r="AN148" s="2412">
        <f t="shared" si="109"/>
        <v>0</v>
      </c>
      <c r="AO148" s="2411"/>
      <c r="AP148" s="2411">
        <f t="shared" si="110"/>
        <v>0</v>
      </c>
      <c r="AQ148" s="2411">
        <f t="shared" si="111"/>
        <v>0</v>
      </c>
      <c r="AR148" s="2406">
        <f>IFERROR(VLOOKUP($A148,F13_22_23!$B$14:$O$215,9,0),0)</f>
        <v>0</v>
      </c>
      <c r="AS148" s="2406">
        <f>IFERROR(VLOOKUP($A148,F13_22_23!$B$14:$O$215,10,0),0)</f>
        <v>0</v>
      </c>
      <c r="AT148" s="2406">
        <f t="shared" si="112"/>
        <v>0</v>
      </c>
      <c r="AU148" s="2406">
        <f>IFERROR(VLOOKUP($A148,F13_22_23!$B$14:$O$215,11,0),0)</f>
        <v>0</v>
      </c>
      <c r="AV148" s="2406">
        <f t="shared" si="113"/>
        <v>0</v>
      </c>
      <c r="AW148" s="2406">
        <f>IFERROR(VLOOKUP($A148,F13_22_23!$B$14:$O$215,12,0),0)</f>
        <v>0</v>
      </c>
      <c r="AX148" s="2406"/>
      <c r="AY148" s="2406">
        <f t="shared" si="114"/>
        <v>0</v>
      </c>
      <c r="AZ148" s="2406">
        <f t="shared" si="115"/>
        <v>0</v>
      </c>
    </row>
    <row r="149" spans="1:52" s="2350" customFormat="1">
      <c r="A149" s="2404" t="s">
        <v>2059</v>
      </c>
      <c r="B149" s="2405" t="s">
        <v>1649</v>
      </c>
      <c r="C149" s="2405">
        <v>2</v>
      </c>
      <c r="D149" s="2809"/>
      <c r="E149" s="2809"/>
      <c r="F149" s="2809"/>
      <c r="G149" s="2809"/>
      <c r="H149" s="2809"/>
      <c r="I149" s="2809"/>
      <c r="J149" s="2809"/>
      <c r="K149" s="2809"/>
      <c r="L149" s="2809"/>
      <c r="M149" s="2809"/>
      <c r="N149" s="2409"/>
      <c r="O149" s="2410"/>
      <c r="P149" s="2409"/>
      <c r="Q149" s="2410"/>
      <c r="R149" s="2410"/>
      <c r="S149" s="2410"/>
      <c r="T149" s="2410"/>
      <c r="U149" s="2410"/>
      <c r="V149" s="2410"/>
      <c r="W149" s="2410"/>
      <c r="X149" s="2411">
        <v>0</v>
      </c>
      <c r="Y149" s="2411">
        <v>0</v>
      </c>
      <c r="Z149" s="2411">
        <f t="shared" si="102"/>
        <v>0</v>
      </c>
      <c r="AA149" s="2411">
        <v>0</v>
      </c>
      <c r="AB149" s="2411">
        <f t="shared" si="103"/>
        <v>0</v>
      </c>
      <c r="AC149" s="2411">
        <v>0</v>
      </c>
      <c r="AD149" s="2412">
        <f t="shared" si="104"/>
        <v>0</v>
      </c>
      <c r="AE149" s="2411"/>
      <c r="AF149" s="2411">
        <f t="shared" si="105"/>
        <v>0</v>
      </c>
      <c r="AG149" s="2411">
        <f t="shared" si="106"/>
        <v>0</v>
      </c>
      <c r="AH149" s="2412">
        <f>IFERROR(VLOOKUP($A149,F13_21_22!$B$14:$O$217,9,0),0)</f>
        <v>67.006839999999997</v>
      </c>
      <c r="AI149" s="2412">
        <f>IFERROR(VLOOKUP($A149,F13_21_22!$B$14:$O$217,10,0),0)</f>
        <v>0</v>
      </c>
      <c r="AJ149" s="2412">
        <f t="shared" si="107"/>
        <v>0</v>
      </c>
      <c r="AK149" s="2412">
        <f>IFERROR(VLOOKUP($A149,F13_21_22!$B$14:$O$217,11,0),0)</f>
        <v>19.288889999999999</v>
      </c>
      <c r="AL149" s="2401">
        <f t="shared" si="108"/>
        <v>2.8786449263985587</v>
      </c>
      <c r="AM149" s="2412">
        <f>IFERROR(VLOOKUP($A149,F13_21_22!$B$14:$O$217,12,0),0)</f>
        <v>0</v>
      </c>
      <c r="AN149" s="2412">
        <f t="shared" si="109"/>
        <v>0</v>
      </c>
      <c r="AO149" s="2411"/>
      <c r="AP149" s="2411">
        <f t="shared" si="110"/>
        <v>19.288889999999999</v>
      </c>
      <c r="AQ149" s="2411">
        <f t="shared" si="111"/>
        <v>2.8786449263985587</v>
      </c>
      <c r="AR149" s="2406">
        <f>IFERROR(VLOOKUP($A149,F13_22_23!$B$14:$O$215,9,0),0)</f>
        <v>1501.44</v>
      </c>
      <c r="AS149" s="2406">
        <f>IFERROR(VLOOKUP($A149,F13_22_23!$B$14:$O$215,10,0),0)</f>
        <v>299.33</v>
      </c>
      <c r="AT149" s="2406">
        <f t="shared" si="112"/>
        <v>1.9936194586530263</v>
      </c>
      <c r="AU149" s="2406">
        <f>IFERROR(VLOOKUP($A149,F13_22_23!$B$14:$O$215,11,0),0)</f>
        <v>537.51551999999992</v>
      </c>
      <c r="AV149" s="2406">
        <f t="shared" si="113"/>
        <v>3.5799999999999992</v>
      </c>
      <c r="AW149" s="2406">
        <f>IFERROR(VLOOKUP($A149,F13_22_23!$B$14:$O$215,12,0),0)</f>
        <v>0</v>
      </c>
      <c r="AX149" s="2406"/>
      <c r="AY149" s="2406">
        <f t="shared" si="114"/>
        <v>836.84551999999985</v>
      </c>
      <c r="AZ149" s="2406">
        <f t="shared" si="115"/>
        <v>5.5736194586530257</v>
      </c>
    </row>
    <row r="150" spans="1:52" s="2350" customFormat="1">
      <c r="A150" s="2417" t="s">
        <v>1750</v>
      </c>
      <c r="B150" s="2405"/>
      <c r="C150" s="2405"/>
      <c r="D150" s="2809"/>
      <c r="E150" s="2809"/>
      <c r="F150" s="2809"/>
      <c r="G150" s="2809"/>
      <c r="H150" s="2809"/>
      <c r="I150" s="2809"/>
      <c r="J150" s="2809"/>
      <c r="K150" s="2809"/>
      <c r="L150" s="2809"/>
      <c r="M150" s="2809"/>
      <c r="N150" s="2400"/>
      <c r="O150" s="2400"/>
      <c r="P150" s="2400"/>
      <c r="Q150" s="2400"/>
      <c r="R150" s="2400"/>
      <c r="S150" s="2400"/>
      <c r="T150" s="2400"/>
      <c r="U150" s="2400"/>
      <c r="V150" s="2400"/>
      <c r="W150" s="2400"/>
      <c r="X150" s="2401"/>
      <c r="Y150" s="2401"/>
      <c r="Z150" s="2401"/>
      <c r="AA150" s="2401"/>
      <c r="AB150" s="2401"/>
      <c r="AC150" s="2401"/>
      <c r="AD150" s="2412"/>
      <c r="AE150" s="2401"/>
      <c r="AF150" s="2401"/>
      <c r="AG150" s="2401"/>
      <c r="AH150" s="2412"/>
      <c r="AI150" s="2412"/>
      <c r="AJ150" s="2412"/>
      <c r="AK150" s="2412"/>
      <c r="AL150" s="2401"/>
      <c r="AM150" s="2416"/>
      <c r="AN150" s="2412"/>
      <c r="AO150" s="2411"/>
      <c r="AP150" s="2411"/>
      <c r="AQ150" s="2411"/>
      <c r="AR150" s="2406"/>
      <c r="AS150" s="2406"/>
      <c r="AT150" s="2406"/>
      <c r="AU150" s="2406"/>
      <c r="AV150" s="2406"/>
      <c r="AW150" s="2406"/>
      <c r="AX150" s="2406"/>
      <c r="AY150" s="2406"/>
      <c r="AZ150" s="2406"/>
    </row>
    <row r="151" spans="1:52" s="2350" customFormat="1">
      <c r="A151" s="2404" t="s">
        <v>1764</v>
      </c>
      <c r="B151" s="2405" t="s">
        <v>1649</v>
      </c>
      <c r="C151" s="2405">
        <v>2</v>
      </c>
      <c r="D151" s="2809"/>
      <c r="E151" s="2809"/>
      <c r="F151" s="2809"/>
      <c r="G151" s="2809"/>
      <c r="H151" s="2809"/>
      <c r="I151" s="2809"/>
      <c r="J151" s="2809"/>
      <c r="K151" s="2809"/>
      <c r="L151" s="2809"/>
      <c r="M151" s="2809"/>
      <c r="N151" s="2409">
        <v>0</v>
      </c>
      <c r="O151" s="2410">
        <v>0</v>
      </c>
      <c r="P151" s="2409">
        <f t="shared" ref="P151:P170" si="116">IFERROR(O151/N151*10,0)</f>
        <v>0</v>
      </c>
      <c r="Q151" s="2410">
        <v>0</v>
      </c>
      <c r="R151" s="2410">
        <f t="shared" ref="R151:R170" si="117">IFERROR(Q151/N151*10,0)</f>
        <v>0</v>
      </c>
      <c r="S151" s="2410">
        <v>0</v>
      </c>
      <c r="T151" s="2410">
        <f t="shared" ref="T151:T170" si="118">IFERROR(S151/N151*10,0)</f>
        <v>0</v>
      </c>
      <c r="U151" s="2410"/>
      <c r="V151" s="2410">
        <f t="shared" ref="V151:V165" si="119">SUM(O151,Q151,S151)</f>
        <v>0</v>
      </c>
      <c r="W151" s="2410">
        <f t="shared" ref="W151:W170" si="120">IFERROR(V151/N151*10,0)</f>
        <v>0</v>
      </c>
      <c r="X151" s="2411">
        <v>3137.985044</v>
      </c>
      <c r="Y151" s="2411">
        <v>941.2893249</v>
      </c>
      <c r="Z151" s="2411">
        <f t="shared" ref="Z151:Z169" si="121">IFERROR(Y151/X151*10,0)</f>
        <v>2.9996616035496948</v>
      </c>
      <c r="AA151" s="2411">
        <v>785.97933251699999</v>
      </c>
      <c r="AB151" s="2411">
        <f t="shared" ref="AB151:AB169" si="122">IFERROR(AA151/X151*10,0)</f>
        <v>2.5047261905210023</v>
      </c>
      <c r="AC151" s="2411">
        <v>5.1409858850002266</v>
      </c>
      <c r="AD151" s="2412">
        <f t="shared" ref="AD151:AD169" si="123">IFERROR(AC151/X151*10,0)</f>
        <v>1.6383079628853155E-2</v>
      </c>
      <c r="AE151" s="2411"/>
      <c r="AF151" s="2411">
        <f t="shared" ref="AF151:AF169" si="124">Y151+AA151+AC151+AE151</f>
        <v>1732.4096433020002</v>
      </c>
      <c r="AG151" s="2411">
        <f t="shared" ref="AG151:AG169" si="125">IFERROR(AF151/X151*10,0)</f>
        <v>5.5207708736995498</v>
      </c>
      <c r="AH151" s="2412">
        <f>IFERROR(VLOOKUP($A151,F13_21_22!$B$14:$O$217,9,0),0)</f>
        <v>6323.9517460000006</v>
      </c>
      <c r="AI151" s="2412">
        <f>IFERROR(VLOOKUP($A151,F13_21_22!$B$14:$O$217,10,0),0)</f>
        <v>1340.0977095862499</v>
      </c>
      <c r="AJ151" s="2412">
        <f t="shared" ref="AJ151:AJ169" si="126">IFERROR(AI151/AH151*10,0)</f>
        <v>2.1190827561799201</v>
      </c>
      <c r="AK151" s="2412">
        <f>IFERROR(VLOOKUP($A151,F13_21_22!$B$14:$O$217,11,0),0)</f>
        <v>1605.3392594509337</v>
      </c>
      <c r="AL151" s="2401">
        <f t="shared" ref="AL151:AL169" si="127">IFERROR(AK151/AH151*10,0)</f>
        <v>2.5385064970907409</v>
      </c>
      <c r="AM151" s="2412">
        <f>IFERROR(VLOOKUP($A151,F13_21_22!$B$14:$O$217,12,0),0)</f>
        <v>12.984521199999998</v>
      </c>
      <c r="AN151" s="2412">
        <f t="shared" ref="AN151:AN169" si="128">IFERROR(AM151/AH151*10,0)</f>
        <v>2.0532290127313058E-2</v>
      </c>
      <c r="AO151" s="2411"/>
      <c r="AP151" s="2411">
        <f t="shared" ref="AP151:AP169" si="129">SUM(AK151,AI151,AM151,AO151)</f>
        <v>2958.4214902371837</v>
      </c>
      <c r="AQ151" s="2411">
        <f t="shared" ref="AQ151:AQ169" si="130">IFERROR(AP151/AH151*10,0)</f>
        <v>4.6781215433979737</v>
      </c>
      <c r="AR151" s="2406">
        <f>IFERROR(VLOOKUP($A151,F13_22_23!$B$14:$O$215,9,0),0)</f>
        <v>3012.3325439999999</v>
      </c>
      <c r="AS151" s="2406">
        <f>IFERROR(VLOOKUP($A151,F13_22_23!$B$14:$O$215,10,0),0)</f>
        <v>1037.7714807022501</v>
      </c>
      <c r="AT151" s="2406">
        <f t="shared" ref="AT151:AT169" si="131">IFERROR(AS151/AR151*10,0)</f>
        <v>3.4450760848741475</v>
      </c>
      <c r="AU151" s="2406">
        <f>IFERROR(VLOOKUP($A151,F13_22_23!$B$14:$O$215,11,0),0)</f>
        <v>784.98889735031867</v>
      </c>
      <c r="AV151" s="2406">
        <f t="shared" ref="AV151:AV169" si="132">IFERROR(AU151/AR151*10,0)</f>
        <v>2.6059171286180502</v>
      </c>
      <c r="AW151" s="2406">
        <f>IFERROR(VLOOKUP($A151,F13_22_23!$B$14:$O$215,12,0),0)</f>
        <v>0</v>
      </c>
      <c r="AX151" s="2406"/>
      <c r="AY151" s="2406">
        <f t="shared" ref="AY151:AY169" si="133">AS151+AU151</f>
        <v>1822.7603780525687</v>
      </c>
      <c r="AZ151" s="2406">
        <f t="shared" ref="AZ151:AZ169" si="134">IFERROR(AY151/AR151*10,0)</f>
        <v>6.0509932134921982</v>
      </c>
    </row>
    <row r="152" spans="1:52" s="2350" customFormat="1">
      <c r="A152" s="2404" t="s">
        <v>1765</v>
      </c>
      <c r="B152" s="2405" t="s">
        <v>1649</v>
      </c>
      <c r="C152" s="2405">
        <v>2</v>
      </c>
      <c r="D152" s="2809"/>
      <c r="E152" s="2809"/>
      <c r="F152" s="2809"/>
      <c r="G152" s="2809"/>
      <c r="H152" s="2809"/>
      <c r="I152" s="2809"/>
      <c r="J152" s="2809"/>
      <c r="K152" s="2809"/>
      <c r="L152" s="2809"/>
      <c r="M152" s="2809"/>
      <c r="N152" s="2409">
        <v>7082.5071929999995</v>
      </c>
      <c r="O152" s="2410">
        <v>653.16523542699997</v>
      </c>
      <c r="P152" s="2409">
        <f t="shared" si="116"/>
        <v>0.92222318682931415</v>
      </c>
      <c r="Q152" s="2410">
        <v>1272.8600555999999</v>
      </c>
      <c r="R152" s="2410">
        <f t="shared" si="117"/>
        <v>1.7971885109527765</v>
      </c>
      <c r="S152" s="2410">
        <v>1364.1512395</v>
      </c>
      <c r="T152" s="2410">
        <f t="shared" si="118"/>
        <v>1.9260852157668964</v>
      </c>
      <c r="U152" s="2410"/>
      <c r="V152" s="2410">
        <f t="shared" si="119"/>
        <v>3290.1765305270001</v>
      </c>
      <c r="W152" s="2410">
        <f t="shared" si="120"/>
        <v>4.6454969135489872</v>
      </c>
      <c r="X152" s="2411">
        <v>7545.458963</v>
      </c>
      <c r="Y152" s="2411">
        <v>562.47315914399996</v>
      </c>
      <c r="Z152" s="2411">
        <f t="shared" si="121"/>
        <v>0.74544591906489699</v>
      </c>
      <c r="AA152" s="2411">
        <v>1537.5213414170003</v>
      </c>
      <c r="AB152" s="2411">
        <f t="shared" si="122"/>
        <v>2.0376776932409384</v>
      </c>
      <c r="AC152" s="2411">
        <v>4.7739837499999993</v>
      </c>
      <c r="AD152" s="2412">
        <f t="shared" si="123"/>
        <v>6.3269627114927816E-3</v>
      </c>
      <c r="AE152" s="2411"/>
      <c r="AF152" s="2411">
        <f t="shared" si="124"/>
        <v>2104.7684843110001</v>
      </c>
      <c r="AG152" s="2411">
        <f t="shared" si="125"/>
        <v>2.7894505750173275</v>
      </c>
      <c r="AH152" s="2412">
        <f>IFERROR(VLOOKUP($A152,F13_21_22!$B$14:$O$217,9,0),0)</f>
        <v>6845.2515270000013</v>
      </c>
      <c r="AI152" s="2412">
        <f>IFERROR(VLOOKUP($A152,F13_21_22!$B$14:$O$217,10,0),0)</f>
        <v>584.99825487930002</v>
      </c>
      <c r="AJ152" s="2412">
        <f t="shared" si="126"/>
        <v>0.85460446934910705</v>
      </c>
      <c r="AK152" s="2412">
        <f>IFERROR(VLOOKUP($A152,F13_21_22!$B$14:$O$217,11,0),0)</f>
        <v>1341.8870594116268</v>
      </c>
      <c r="AL152" s="2401">
        <f t="shared" si="127"/>
        <v>1.9603181185070668</v>
      </c>
      <c r="AM152" s="2412">
        <f>IFERROR(VLOOKUP($A152,F13_21_22!$B$14:$O$217,12,0),0)</f>
        <v>65.030563430000001</v>
      </c>
      <c r="AN152" s="2412">
        <f t="shared" si="128"/>
        <v>9.5000984512398606E-2</v>
      </c>
      <c r="AO152" s="2411"/>
      <c r="AP152" s="2411">
        <f t="shared" si="129"/>
        <v>1991.9158777209268</v>
      </c>
      <c r="AQ152" s="2411">
        <f t="shared" si="130"/>
        <v>2.9099235723685721</v>
      </c>
      <c r="AR152" s="2406">
        <f>IFERROR(VLOOKUP($A152,F13_22_23!$B$14:$O$215,9,0),0)</f>
        <v>7117.812300341935</v>
      </c>
      <c r="AS152" s="2406">
        <f>IFERROR(VLOOKUP($A152,F13_22_23!$B$14:$O$215,10,0),0)</f>
        <v>620.12665795626003</v>
      </c>
      <c r="AT152" s="2406">
        <f t="shared" si="131"/>
        <v>0.87123210305288556</v>
      </c>
      <c r="AU152" s="2406">
        <f>IFERROR(VLOOKUP($A152,F13_22_23!$B$14:$O$215,11,0),0)</f>
        <v>1508.9761165985672</v>
      </c>
      <c r="AV152" s="2406">
        <f t="shared" si="132"/>
        <v>2.1199998720478721</v>
      </c>
      <c r="AW152" s="2406">
        <f>IFERROR(VLOOKUP($A152,F13_22_23!$B$14:$O$215,12,0),0)</f>
        <v>0</v>
      </c>
      <c r="AX152" s="2406"/>
      <c r="AY152" s="2406">
        <f t="shared" si="133"/>
        <v>2129.1027745548272</v>
      </c>
      <c r="AZ152" s="2406">
        <f t="shared" si="134"/>
        <v>2.9912319751007574</v>
      </c>
    </row>
    <row r="153" spans="1:52" s="2350" customFormat="1">
      <c r="A153" s="2404" t="s">
        <v>1766</v>
      </c>
      <c r="B153" s="2405" t="s">
        <v>1649</v>
      </c>
      <c r="C153" s="2405">
        <v>2</v>
      </c>
      <c r="D153" s="2809"/>
      <c r="E153" s="2809"/>
      <c r="F153" s="2809"/>
      <c r="G153" s="2809"/>
      <c r="H153" s="2809"/>
      <c r="I153" s="2809"/>
      <c r="J153" s="2809"/>
      <c r="K153" s="2809"/>
      <c r="L153" s="2809"/>
      <c r="M153" s="2809"/>
      <c r="N153" s="2409">
        <v>136.30316700000003</v>
      </c>
      <c r="O153" s="2410">
        <v>110.69999999999997</v>
      </c>
      <c r="P153" s="2409">
        <f t="shared" si="116"/>
        <v>8.1216014591942649</v>
      </c>
      <c r="Q153" s="2410">
        <v>49.386289399999995</v>
      </c>
      <c r="R153" s="2410">
        <f t="shared" si="117"/>
        <v>3.6232679318448984</v>
      </c>
      <c r="S153" s="2410">
        <v>0.68109259999998151</v>
      </c>
      <c r="T153" s="2410">
        <f t="shared" si="118"/>
        <v>4.9968948997346579E-2</v>
      </c>
      <c r="U153" s="2410"/>
      <c r="V153" s="2410">
        <f t="shared" si="119"/>
        <v>160.76738199999994</v>
      </c>
      <c r="W153" s="2410">
        <f t="shared" si="120"/>
        <v>11.79483834003651</v>
      </c>
      <c r="X153" s="2411">
        <v>169.64584100000002</v>
      </c>
      <c r="Y153" s="2411">
        <v>110.69999999999997</v>
      </c>
      <c r="Z153" s="2411">
        <f t="shared" si="121"/>
        <v>6.5253589093292277</v>
      </c>
      <c r="AA153" s="2411">
        <v>58.180280800000006</v>
      </c>
      <c r="AB153" s="2411">
        <f t="shared" si="122"/>
        <v>3.4295141252534451</v>
      </c>
      <c r="AC153" s="2411">
        <v>-82.2316936</v>
      </c>
      <c r="AD153" s="2412">
        <f t="shared" si="123"/>
        <v>-4.8472566798734542</v>
      </c>
      <c r="AE153" s="2411"/>
      <c r="AF153" s="2411">
        <f t="shared" si="124"/>
        <v>86.64858719999998</v>
      </c>
      <c r="AG153" s="2411">
        <f t="shared" si="125"/>
        <v>5.1076163547092186</v>
      </c>
      <c r="AH153" s="2412">
        <f>IFERROR(VLOOKUP($A153,F13_21_22!$B$14:$O$217,9,0),0)</f>
        <v>270.38826399999999</v>
      </c>
      <c r="AI153" s="2412">
        <f>IFERROR(VLOOKUP($A153,F13_21_22!$B$14:$O$217,10,0),0)</f>
        <v>93.633750000000006</v>
      </c>
      <c r="AJ153" s="2412">
        <f t="shared" si="126"/>
        <v>3.4629369120843205</v>
      </c>
      <c r="AK153" s="2412">
        <f>IFERROR(VLOOKUP($A153,F13_21_22!$B$14:$O$217,11,0),0)</f>
        <v>98.769031314651997</v>
      </c>
      <c r="AL153" s="2401">
        <f t="shared" si="127"/>
        <v>3.6528594049722511</v>
      </c>
      <c r="AM153" s="2412">
        <f>IFERROR(VLOOKUP($A153,F13_21_22!$B$14:$O$217,12,0),0)</f>
        <v>15.846447399999999</v>
      </c>
      <c r="AN153" s="2412">
        <f t="shared" si="128"/>
        <v>0.58606269242514164</v>
      </c>
      <c r="AO153" s="2411"/>
      <c r="AP153" s="2411">
        <f t="shared" si="129"/>
        <v>208.24922871465199</v>
      </c>
      <c r="AQ153" s="2411">
        <f t="shared" si="130"/>
        <v>7.701859009481713</v>
      </c>
      <c r="AR153" s="2406">
        <f>IFERROR(VLOOKUP($A153,F13_22_23!$B$14:$O$215,9,0),0)</f>
        <v>208.78073999999995</v>
      </c>
      <c r="AS153" s="2406">
        <f>IFERROR(VLOOKUP($A153,F13_22_23!$B$14:$O$215,10,0),0)</f>
        <v>122.04675000000002</v>
      </c>
      <c r="AT153" s="2406">
        <f t="shared" si="131"/>
        <v>5.8456900765846527</v>
      </c>
      <c r="AU153" s="2406">
        <f>IFERROR(VLOOKUP($A153,F13_22_23!$B$14:$O$215,11,0),0)</f>
        <v>74.494356338606565</v>
      </c>
      <c r="AV153" s="2406">
        <f t="shared" si="132"/>
        <v>3.5680664959136839</v>
      </c>
      <c r="AW153" s="2406">
        <f>IFERROR(VLOOKUP($A153,F13_22_23!$B$14:$O$215,12,0),0)</f>
        <v>0</v>
      </c>
      <c r="AX153" s="2406"/>
      <c r="AY153" s="2406">
        <f t="shared" si="133"/>
        <v>196.5411063386066</v>
      </c>
      <c r="AZ153" s="2406">
        <f t="shared" si="134"/>
        <v>9.4137565724983361</v>
      </c>
    </row>
    <row r="154" spans="1:52" s="2350" customFormat="1">
      <c r="A154" s="2404" t="s">
        <v>1767</v>
      </c>
      <c r="B154" s="2405" t="s">
        <v>1649</v>
      </c>
      <c r="C154" s="2405">
        <v>2</v>
      </c>
      <c r="D154" s="2809"/>
      <c r="E154" s="2809"/>
      <c r="F154" s="2809"/>
      <c r="G154" s="2809"/>
      <c r="H154" s="2809"/>
      <c r="I154" s="2809"/>
      <c r="J154" s="2809"/>
      <c r="K154" s="2809"/>
      <c r="L154" s="2809"/>
      <c r="M154" s="2809"/>
      <c r="N154" s="2409">
        <v>128.52032500000001</v>
      </c>
      <c r="O154" s="2410">
        <v>111.87000000000002</v>
      </c>
      <c r="P154" s="2409">
        <f t="shared" si="116"/>
        <v>8.7044597809723872</v>
      </c>
      <c r="Q154" s="2410">
        <v>47.151028199999999</v>
      </c>
      <c r="R154" s="2410">
        <f t="shared" si="117"/>
        <v>3.6687604236917388</v>
      </c>
      <c r="S154" s="2410">
        <v>0</v>
      </c>
      <c r="T154" s="2410">
        <f t="shared" si="118"/>
        <v>0</v>
      </c>
      <c r="U154" s="2410"/>
      <c r="V154" s="2410">
        <f t="shared" si="119"/>
        <v>159.02102820000002</v>
      </c>
      <c r="W154" s="2410">
        <f t="shared" si="120"/>
        <v>12.373220204664126</v>
      </c>
      <c r="X154" s="2411">
        <v>172.27494100000004</v>
      </c>
      <c r="Y154" s="2411">
        <v>111.87000000000002</v>
      </c>
      <c r="Z154" s="2411">
        <f t="shared" si="121"/>
        <v>6.4936896423026491</v>
      </c>
      <c r="AA154" s="2411">
        <v>59.100924800000008</v>
      </c>
      <c r="AB154" s="2411">
        <f t="shared" si="122"/>
        <v>3.4306164586061301</v>
      </c>
      <c r="AC154" s="2411">
        <v>0</v>
      </c>
      <c r="AD154" s="2412">
        <f t="shared" si="123"/>
        <v>0</v>
      </c>
      <c r="AE154" s="2411"/>
      <c r="AF154" s="2411">
        <f t="shared" si="124"/>
        <v>170.97092480000003</v>
      </c>
      <c r="AG154" s="2411">
        <f t="shared" si="125"/>
        <v>9.9243061009087779</v>
      </c>
      <c r="AH154" s="2412">
        <f>IFERROR(VLOOKUP($A154,F13_21_22!$B$14:$O$217,9,0),0)</f>
        <v>267.3182927646875</v>
      </c>
      <c r="AI154" s="2412">
        <f>IFERROR(VLOOKUP($A154,F13_21_22!$B$14:$O$217,10,0),0)</f>
        <v>94.623374999999982</v>
      </c>
      <c r="AJ154" s="2412">
        <f t="shared" si="126"/>
        <v>3.5397268934114501</v>
      </c>
      <c r="AK154" s="2412">
        <f>IFERROR(VLOOKUP($A154,F13_21_22!$B$14:$O$217,11,0),0)</f>
        <v>97.845396354183961</v>
      </c>
      <c r="AL154" s="2401">
        <f t="shared" si="127"/>
        <v>3.6602581642369838</v>
      </c>
      <c r="AM154" s="2412">
        <f>IFERROR(VLOOKUP($A154,F13_21_22!$B$14:$O$217,12,0),0)</f>
        <v>0</v>
      </c>
      <c r="AN154" s="2412">
        <f t="shared" si="128"/>
        <v>0</v>
      </c>
      <c r="AO154" s="2411"/>
      <c r="AP154" s="2411">
        <f t="shared" si="129"/>
        <v>192.46877135418396</v>
      </c>
      <c r="AQ154" s="2411">
        <f t="shared" si="130"/>
        <v>7.1999850576484352</v>
      </c>
      <c r="AR154" s="2406">
        <f>IFERROR(VLOOKUP($A154,F13_22_23!$B$14:$O$215,9,0),0)</f>
        <v>208.78073999999995</v>
      </c>
      <c r="AS154" s="2406">
        <f>IFERROR(VLOOKUP($A154,F13_22_23!$B$14:$O$215,10,0),0)</f>
        <v>123.33667500000001</v>
      </c>
      <c r="AT154" s="2406">
        <f t="shared" si="131"/>
        <v>5.9074737928412375</v>
      </c>
      <c r="AU154" s="2406">
        <f>IFERROR(VLOOKUP($A154,F13_22_23!$B$14:$O$215,11,0),0)</f>
        <v>74.518300725647933</v>
      </c>
      <c r="AV154" s="2406">
        <f t="shared" si="132"/>
        <v>3.5692133635338181</v>
      </c>
      <c r="AW154" s="2406">
        <f>IFERROR(VLOOKUP($A154,F13_22_23!$B$14:$O$215,12,0),0)</f>
        <v>0</v>
      </c>
      <c r="AX154" s="2406"/>
      <c r="AY154" s="2406">
        <f t="shared" si="133"/>
        <v>197.85497572564793</v>
      </c>
      <c r="AZ154" s="2406">
        <f t="shared" si="134"/>
        <v>9.4766871563750552</v>
      </c>
    </row>
    <row r="155" spans="1:52" s="2350" customFormat="1">
      <c r="A155" s="2404" t="s">
        <v>1768</v>
      </c>
      <c r="B155" s="2405" t="s">
        <v>1649</v>
      </c>
      <c r="C155" s="2405">
        <v>2</v>
      </c>
      <c r="D155" s="2809"/>
      <c r="E155" s="2809"/>
      <c r="F155" s="2809"/>
      <c r="G155" s="2809"/>
      <c r="H155" s="2809"/>
      <c r="I155" s="2809"/>
      <c r="J155" s="2809"/>
      <c r="K155" s="2809"/>
      <c r="L155" s="2809"/>
      <c r="M155" s="2809"/>
      <c r="N155" s="2409">
        <v>186.20404500000001</v>
      </c>
      <c r="O155" s="2410">
        <v>111.36999959999999</v>
      </c>
      <c r="P155" s="2409">
        <f t="shared" si="116"/>
        <v>5.981073053488176</v>
      </c>
      <c r="Q155" s="2410">
        <v>62.716888400000009</v>
      </c>
      <c r="R155" s="2410">
        <f t="shared" si="117"/>
        <v>3.3681807717979488</v>
      </c>
      <c r="S155" s="2410">
        <v>0</v>
      </c>
      <c r="T155" s="2410">
        <f t="shared" si="118"/>
        <v>0</v>
      </c>
      <c r="U155" s="2410"/>
      <c r="V155" s="2410">
        <f t="shared" si="119"/>
        <v>174.08688799999999</v>
      </c>
      <c r="W155" s="2410">
        <f t="shared" si="120"/>
        <v>9.3492538252861266</v>
      </c>
      <c r="X155" s="2411">
        <v>226.78894</v>
      </c>
      <c r="Y155" s="2411">
        <v>111.37</v>
      </c>
      <c r="Z155" s="2411">
        <f t="shared" si="121"/>
        <v>4.9107333011918488</v>
      </c>
      <c r="AA155" s="2411">
        <v>71.547744099999989</v>
      </c>
      <c r="AB155" s="2411">
        <f t="shared" si="122"/>
        <v>3.1548162842508982</v>
      </c>
      <c r="AC155" s="2411">
        <v>0</v>
      </c>
      <c r="AD155" s="2412">
        <f t="shared" si="123"/>
        <v>0</v>
      </c>
      <c r="AE155" s="2411"/>
      <c r="AF155" s="2411">
        <f t="shared" si="124"/>
        <v>182.91774409999999</v>
      </c>
      <c r="AG155" s="2411">
        <f t="shared" si="125"/>
        <v>8.0655495854427475</v>
      </c>
      <c r="AH155" s="2412">
        <f>IFERROR(VLOOKUP($A155,F13_21_22!$B$14:$O$217,9,0),0)</f>
        <v>328.46656099999996</v>
      </c>
      <c r="AI155" s="2412">
        <f>IFERROR(VLOOKUP($A155,F13_21_22!$B$14:$O$217,10,0),0)</f>
        <v>94.200458400000002</v>
      </c>
      <c r="AJ155" s="2412">
        <f t="shared" si="126"/>
        <v>2.8678857937079325</v>
      </c>
      <c r="AK155" s="2412">
        <f>IFERROR(VLOOKUP($A155,F13_21_22!$B$14:$O$217,11,0),0)</f>
        <v>108.10374080339716</v>
      </c>
      <c r="AL155" s="2401">
        <f t="shared" si="127"/>
        <v>3.2911642656799138</v>
      </c>
      <c r="AM155" s="2412">
        <f>IFERROR(VLOOKUP($A155,F13_21_22!$B$14:$O$217,12,0),0)</f>
        <v>0</v>
      </c>
      <c r="AN155" s="2412">
        <f t="shared" si="128"/>
        <v>0</v>
      </c>
      <c r="AO155" s="2411"/>
      <c r="AP155" s="2411">
        <f t="shared" si="129"/>
        <v>202.30419920339716</v>
      </c>
      <c r="AQ155" s="2411">
        <f t="shared" si="130"/>
        <v>6.1590500593878472</v>
      </c>
      <c r="AR155" s="2406">
        <f>IFERROR(VLOOKUP($A155,F13_22_23!$B$14:$O$215,9,0),0)</f>
        <v>208.78073999999995</v>
      </c>
      <c r="AS155" s="2406">
        <f>IFERROR(VLOOKUP($A155,F13_22_23!$B$14:$O$215,10,0),0)</f>
        <v>122.785425</v>
      </c>
      <c r="AT155" s="2406">
        <f t="shared" si="131"/>
        <v>5.8810704952956883</v>
      </c>
      <c r="AU155" s="2406">
        <f>IFERROR(VLOOKUP($A155,F13_22_23!$B$14:$O$215,11,0),0)</f>
        <v>68.527493947690687</v>
      </c>
      <c r="AV155" s="2406">
        <f t="shared" si="132"/>
        <v>3.2822708621346348</v>
      </c>
      <c r="AW155" s="2406">
        <f>IFERROR(VLOOKUP($A155,F13_22_23!$B$14:$O$215,12,0),0)</f>
        <v>0</v>
      </c>
      <c r="AX155" s="2406"/>
      <c r="AY155" s="2406">
        <f t="shared" si="133"/>
        <v>191.31291894769069</v>
      </c>
      <c r="AZ155" s="2406">
        <f t="shared" si="134"/>
        <v>9.1633413574303226</v>
      </c>
    </row>
    <row r="156" spans="1:52" s="2350" customFormat="1">
      <c r="A156" s="2404" t="s">
        <v>1769</v>
      </c>
      <c r="B156" s="2405" t="s">
        <v>1649</v>
      </c>
      <c r="C156" s="2405">
        <v>1</v>
      </c>
      <c r="D156" s="2809"/>
      <c r="E156" s="2809"/>
      <c r="F156" s="2809"/>
      <c r="G156" s="2809"/>
      <c r="H156" s="2809"/>
      <c r="I156" s="2809"/>
      <c r="J156" s="2809"/>
      <c r="K156" s="2809"/>
      <c r="L156" s="2809"/>
      <c r="M156" s="2809"/>
      <c r="N156" s="2409">
        <v>128.34471300000001</v>
      </c>
      <c r="O156" s="2410">
        <v>110.3799996</v>
      </c>
      <c r="P156" s="2409">
        <f t="shared" si="116"/>
        <v>8.6002763199135437</v>
      </c>
      <c r="Q156" s="2410">
        <v>46.356585899999999</v>
      </c>
      <c r="R156" s="2410">
        <f t="shared" si="117"/>
        <v>3.6118812233426394</v>
      </c>
      <c r="S156" s="2410">
        <v>0</v>
      </c>
      <c r="T156" s="2410">
        <f t="shared" si="118"/>
        <v>0</v>
      </c>
      <c r="U156" s="2410"/>
      <c r="V156" s="2410">
        <f t="shared" si="119"/>
        <v>156.73658549999999</v>
      </c>
      <c r="W156" s="2410">
        <f t="shared" si="120"/>
        <v>12.212157543256181</v>
      </c>
      <c r="X156" s="2411">
        <v>179.556183</v>
      </c>
      <c r="Y156" s="2411">
        <v>110.38000009999999</v>
      </c>
      <c r="Z156" s="2411">
        <f t="shared" si="121"/>
        <v>6.1473795140766594</v>
      </c>
      <c r="AA156" s="2411">
        <v>59.886460900000003</v>
      </c>
      <c r="AB156" s="2411">
        <f t="shared" si="122"/>
        <v>3.3352491626534517</v>
      </c>
      <c r="AC156" s="2411">
        <v>0</v>
      </c>
      <c r="AD156" s="2412">
        <f t="shared" si="123"/>
        <v>0</v>
      </c>
      <c r="AE156" s="2411"/>
      <c r="AF156" s="2411">
        <f t="shared" si="124"/>
        <v>170.26646099999999</v>
      </c>
      <c r="AG156" s="2411">
        <f t="shared" si="125"/>
        <v>9.482628676730112</v>
      </c>
      <c r="AH156" s="2412">
        <f>IFERROR(VLOOKUP($A156,F13_21_22!$B$14:$O$217,9,0),0)</f>
        <v>265.17248000000001</v>
      </c>
      <c r="AI156" s="2412">
        <f>IFERROR(VLOOKUP($A156,F13_21_22!$B$14:$O$217,10,0),0)</f>
        <v>93.36308342625</v>
      </c>
      <c r="AJ156" s="2412">
        <f t="shared" si="126"/>
        <v>3.5208436194528936</v>
      </c>
      <c r="AK156" s="2412">
        <f>IFERROR(VLOOKUP($A156,F13_21_22!$B$14:$O$217,11,0),0)</f>
        <v>93.996985795790081</v>
      </c>
      <c r="AL156" s="2401">
        <f t="shared" si="127"/>
        <v>3.5447489044032805</v>
      </c>
      <c r="AM156" s="2412">
        <f>IFERROR(VLOOKUP($A156,F13_21_22!$B$14:$O$217,12,0),0)</f>
        <v>0</v>
      </c>
      <c r="AN156" s="2412">
        <f t="shared" si="128"/>
        <v>0</v>
      </c>
      <c r="AO156" s="2411"/>
      <c r="AP156" s="2411">
        <f t="shared" si="129"/>
        <v>187.36006922204007</v>
      </c>
      <c r="AQ156" s="2411">
        <f t="shared" si="130"/>
        <v>7.0655925238561732</v>
      </c>
      <c r="AR156" s="2406">
        <f>IFERROR(VLOOKUP($A156,F13_22_23!$B$14:$O$215,9,0),0)</f>
        <v>208.78073999999995</v>
      </c>
      <c r="AS156" s="2406">
        <f>IFERROR(VLOOKUP($A156,F13_22_23!$B$14:$O$215,10,0),0)</f>
        <v>121.69395011025001</v>
      </c>
      <c r="AT156" s="2406">
        <f t="shared" si="131"/>
        <v>5.8287919714361607</v>
      </c>
      <c r="AU156" s="2406">
        <f>IFERROR(VLOOKUP($A156,F13_22_23!$B$14:$O$215,11,0),0)</f>
        <v>72.446775410900003</v>
      </c>
      <c r="AV156" s="2406">
        <f t="shared" si="132"/>
        <v>3.4699932288246522</v>
      </c>
      <c r="AW156" s="2406">
        <f>IFERROR(VLOOKUP($A156,F13_22_23!$B$14:$O$215,12,0),0)</f>
        <v>0</v>
      </c>
      <c r="AX156" s="2406"/>
      <c r="AY156" s="2406">
        <f t="shared" si="133"/>
        <v>194.14072552115002</v>
      </c>
      <c r="AZ156" s="2406">
        <f t="shared" si="134"/>
        <v>9.2987852002608129</v>
      </c>
    </row>
    <row r="157" spans="1:52" s="2350" customFormat="1">
      <c r="A157" s="2404" t="s">
        <v>1770</v>
      </c>
      <c r="B157" s="2405" t="s">
        <v>1649</v>
      </c>
      <c r="C157" s="2405">
        <v>2</v>
      </c>
      <c r="D157" s="2809"/>
      <c r="E157" s="2809"/>
      <c r="F157" s="2809"/>
      <c r="G157" s="2809"/>
      <c r="H157" s="2809"/>
      <c r="I157" s="2809"/>
      <c r="J157" s="2809"/>
      <c r="K157" s="2809"/>
      <c r="L157" s="2809"/>
      <c r="M157" s="2809"/>
      <c r="N157" s="2409">
        <v>178.97260699999998</v>
      </c>
      <c r="O157" s="2410">
        <v>114.54999959999999</v>
      </c>
      <c r="P157" s="2409">
        <f t="shared" si="116"/>
        <v>6.4004207973569951</v>
      </c>
      <c r="Q157" s="2410">
        <v>61.236187999999999</v>
      </c>
      <c r="R157" s="2410">
        <f t="shared" si="117"/>
        <v>3.4215396996480028</v>
      </c>
      <c r="S157" s="2410">
        <v>0</v>
      </c>
      <c r="T157" s="2410">
        <f t="shared" si="118"/>
        <v>0</v>
      </c>
      <c r="U157" s="2410"/>
      <c r="V157" s="2410">
        <f t="shared" si="119"/>
        <v>175.78618760000001</v>
      </c>
      <c r="W157" s="2410">
        <f t="shared" si="120"/>
        <v>9.8219604970049978</v>
      </c>
      <c r="X157" s="2411">
        <v>239.18694500000001</v>
      </c>
      <c r="Y157" s="2411">
        <v>114.54999999999998</v>
      </c>
      <c r="Z157" s="2411">
        <f t="shared" si="121"/>
        <v>4.7891409792453334</v>
      </c>
      <c r="AA157" s="2411">
        <v>79.88387689999999</v>
      </c>
      <c r="AB157" s="2411">
        <f t="shared" si="122"/>
        <v>3.3398092400068071</v>
      </c>
      <c r="AC157" s="2411">
        <v>0</v>
      </c>
      <c r="AD157" s="2412">
        <f t="shared" si="123"/>
        <v>0</v>
      </c>
      <c r="AE157" s="2411"/>
      <c r="AF157" s="2411">
        <f t="shared" si="124"/>
        <v>194.43387689999997</v>
      </c>
      <c r="AG157" s="2411">
        <f t="shared" si="125"/>
        <v>8.1289502192521397</v>
      </c>
      <c r="AH157" s="2412">
        <f>IFERROR(VLOOKUP($A157,F13_21_22!$B$14:$O$217,9,0),0)</f>
        <v>304.750315</v>
      </c>
      <c r="AI157" s="2412">
        <f>IFERROR(VLOOKUP($A157,F13_21_22!$B$14:$O$217,10,0),0)</f>
        <v>96.890208399999977</v>
      </c>
      <c r="AJ157" s="2412">
        <f t="shared" si="126"/>
        <v>3.1793308696005766</v>
      </c>
      <c r="AK157" s="2412">
        <f>IFERROR(VLOOKUP($A157,F13_21_22!$B$14:$O$217,11,0),0)</f>
        <v>105.85109447524754</v>
      </c>
      <c r="AL157" s="2401">
        <f t="shared" si="127"/>
        <v>3.4733711259739808</v>
      </c>
      <c r="AM157" s="2412">
        <f>IFERROR(VLOOKUP($A157,F13_21_22!$B$14:$O$217,12,0),0)</f>
        <v>0</v>
      </c>
      <c r="AN157" s="2412">
        <f t="shared" si="128"/>
        <v>0</v>
      </c>
      <c r="AO157" s="2411"/>
      <c r="AP157" s="2411">
        <f t="shared" si="129"/>
        <v>202.74130287524753</v>
      </c>
      <c r="AQ157" s="2411">
        <f t="shared" si="130"/>
        <v>6.6527019955745583</v>
      </c>
      <c r="AR157" s="2406">
        <f>IFERROR(VLOOKUP($A157,F13_22_23!$B$14:$O$215,9,0),0)</f>
        <v>208.78073999999995</v>
      </c>
      <c r="AS157" s="2406">
        <f>IFERROR(VLOOKUP($A157,F13_22_23!$B$14:$O$215,10,0),0)</f>
        <v>126.291375</v>
      </c>
      <c r="AT157" s="2406">
        <f t="shared" si="131"/>
        <v>6.0489954676853834</v>
      </c>
      <c r="AU157" s="2406">
        <f>IFERROR(VLOOKUP($A157,F13_22_23!$B$14:$O$215,11,0),0)</f>
        <v>72.545827350879193</v>
      </c>
      <c r="AV157" s="2406">
        <f t="shared" si="132"/>
        <v>3.4747375333030823</v>
      </c>
      <c r="AW157" s="2406">
        <f>IFERROR(VLOOKUP($A157,F13_22_23!$B$14:$O$215,12,0),0)</f>
        <v>0</v>
      </c>
      <c r="AX157" s="2406"/>
      <c r="AY157" s="2406">
        <f t="shared" si="133"/>
        <v>198.83720235087918</v>
      </c>
      <c r="AZ157" s="2406">
        <f t="shared" si="134"/>
        <v>9.5237330009884644</v>
      </c>
    </row>
    <row r="158" spans="1:52" s="2350" customFormat="1">
      <c r="A158" s="2404" t="s">
        <v>1771</v>
      </c>
      <c r="B158" s="2405" t="s">
        <v>1649</v>
      </c>
      <c r="C158" s="2405">
        <v>1</v>
      </c>
      <c r="D158" s="2809"/>
      <c r="E158" s="2809"/>
      <c r="F158" s="2809"/>
      <c r="G158" s="2809"/>
      <c r="H158" s="2809"/>
      <c r="I158" s="2809"/>
      <c r="J158" s="2809"/>
      <c r="K158" s="2809"/>
      <c r="L158" s="2809"/>
      <c r="M158" s="2809"/>
      <c r="N158" s="2409">
        <v>3885.0523560000006</v>
      </c>
      <c r="O158" s="2410">
        <v>801.70072190000008</v>
      </c>
      <c r="P158" s="2409">
        <f t="shared" si="116"/>
        <v>2.0635519124005337</v>
      </c>
      <c r="Q158" s="2410">
        <v>1050.8651464</v>
      </c>
      <c r="R158" s="2410">
        <f t="shared" si="117"/>
        <v>2.7048931394117863</v>
      </c>
      <c r="S158" s="2410">
        <v>606.2917463</v>
      </c>
      <c r="T158" s="2410">
        <f t="shared" si="118"/>
        <v>1.5605754845585404</v>
      </c>
      <c r="U158" s="2410"/>
      <c r="V158" s="2410">
        <f t="shared" si="119"/>
        <v>2458.8576146</v>
      </c>
      <c r="W158" s="2410">
        <f t="shared" si="120"/>
        <v>6.3290205363708605</v>
      </c>
      <c r="X158" s="2411">
        <v>5191.52225</v>
      </c>
      <c r="Y158" s="2411">
        <v>1489.2</v>
      </c>
      <c r="Z158" s="2411">
        <f t="shared" si="121"/>
        <v>2.8685228113969847</v>
      </c>
      <c r="AA158" s="2411">
        <v>1416.4815165</v>
      </c>
      <c r="AB158" s="2411">
        <f t="shared" si="122"/>
        <v>2.7284512100473037</v>
      </c>
      <c r="AC158" s="2411">
        <v>-49.063130900000012</v>
      </c>
      <c r="AD158" s="2412">
        <f t="shared" si="123"/>
        <v>-9.4506251803120001E-2</v>
      </c>
      <c r="AE158" s="2411"/>
      <c r="AF158" s="2411">
        <f t="shared" si="124"/>
        <v>2856.6183855999998</v>
      </c>
      <c r="AG158" s="2411">
        <f t="shared" si="125"/>
        <v>5.5024677696411679</v>
      </c>
      <c r="AH158" s="2412">
        <f>IFERROR(VLOOKUP($A158,F13_21_22!$B$14:$O$217,9,0),0)</f>
        <v>4096.1165718000002</v>
      </c>
      <c r="AI158" s="2412">
        <f>IFERROR(VLOOKUP($A158,F13_21_22!$B$14:$O$217,10,0),0)</f>
        <v>1363.5840500000002</v>
      </c>
      <c r="AJ158" s="2412">
        <f t="shared" si="126"/>
        <v>3.3289678799370348</v>
      </c>
      <c r="AK158" s="2412">
        <f>IFERROR(VLOOKUP($A158,F13_21_22!$B$14:$O$217,11,0),0)</f>
        <v>1085.2732407335573</v>
      </c>
      <c r="AL158" s="2401">
        <f t="shared" si="127"/>
        <v>2.6495174678503943</v>
      </c>
      <c r="AM158" s="2412">
        <f>IFERROR(VLOOKUP($A158,F13_21_22!$B$14:$O$217,12,0),0)</f>
        <v>-54.994905199999991</v>
      </c>
      <c r="AN158" s="2412">
        <f t="shared" si="128"/>
        <v>-0.134261084214781</v>
      </c>
      <c r="AO158" s="2411"/>
      <c r="AP158" s="2411">
        <f t="shared" si="129"/>
        <v>2393.8623855335572</v>
      </c>
      <c r="AQ158" s="2411">
        <f t="shared" si="130"/>
        <v>5.8442242635726469</v>
      </c>
      <c r="AR158" s="2406">
        <f>IFERROR(VLOOKUP($A158,F13_22_23!$B$14:$O$215,9,0),0)</f>
        <v>2651.1840000000002</v>
      </c>
      <c r="AS158" s="2406">
        <f>IFERROR(VLOOKUP($A158,F13_22_23!$B$14:$O$215,10,0),0)</f>
        <v>1641.8430000000001</v>
      </c>
      <c r="AT158" s="2406">
        <f t="shared" si="131"/>
        <v>6.19286703601108</v>
      </c>
      <c r="AU158" s="2406">
        <f>IFERROR(VLOOKUP($A158,F13_22_23!$B$14:$O$215,11,0),0)</f>
        <v>752.58646910495168</v>
      </c>
      <c r="AV158" s="2406">
        <f t="shared" si="132"/>
        <v>2.8386806389332149</v>
      </c>
      <c r="AW158" s="2406">
        <f>IFERROR(VLOOKUP($A158,F13_22_23!$B$14:$O$215,12,0),0)</f>
        <v>0</v>
      </c>
      <c r="AX158" s="2406"/>
      <c r="AY158" s="2406">
        <f t="shared" si="133"/>
        <v>2394.4294691049517</v>
      </c>
      <c r="AZ158" s="2406">
        <f t="shared" si="134"/>
        <v>9.031547674944294</v>
      </c>
    </row>
    <row r="159" spans="1:52" s="2350" customFormat="1">
      <c r="A159" s="2404" t="s">
        <v>1772</v>
      </c>
      <c r="B159" s="2405" t="s">
        <v>1649</v>
      </c>
      <c r="C159" s="2405">
        <v>2</v>
      </c>
      <c r="D159" s="2809"/>
      <c r="E159" s="2809"/>
      <c r="F159" s="2809"/>
      <c r="G159" s="2809"/>
      <c r="H159" s="2809"/>
      <c r="I159" s="2809"/>
      <c r="J159" s="2809"/>
      <c r="K159" s="2809"/>
      <c r="L159" s="2809"/>
      <c r="M159" s="2809"/>
      <c r="N159" s="2409">
        <v>5178.2839305000007</v>
      </c>
      <c r="O159" s="2410">
        <v>2703.1578310999994</v>
      </c>
      <c r="P159" s="2409">
        <f t="shared" si="116"/>
        <v>5.220180792286123</v>
      </c>
      <c r="Q159" s="2410">
        <v>1565.1573442999997</v>
      </c>
      <c r="R159" s="2410">
        <f t="shared" si="117"/>
        <v>3.0225406047769043</v>
      </c>
      <c r="S159" s="2410">
        <v>645.52573409999854</v>
      </c>
      <c r="T159" s="2410">
        <f t="shared" si="118"/>
        <v>1.2466016594761506</v>
      </c>
      <c r="U159" s="2410"/>
      <c r="V159" s="2410">
        <f t="shared" si="119"/>
        <v>4913.8409094999979</v>
      </c>
      <c r="W159" s="2410">
        <f t="shared" si="120"/>
        <v>9.4893230565391775</v>
      </c>
      <c r="X159" s="2411">
        <v>7063.8579765000004</v>
      </c>
      <c r="Y159" s="2411">
        <v>3366.1943752999991</v>
      </c>
      <c r="Z159" s="2411">
        <f t="shared" si="121"/>
        <v>4.7653766348341575</v>
      </c>
      <c r="AA159" s="2411">
        <v>2105.6702661999998</v>
      </c>
      <c r="AB159" s="2411">
        <f t="shared" si="122"/>
        <v>2.9809068545901276</v>
      </c>
      <c r="AC159" s="2411">
        <v>1415.7619896000001</v>
      </c>
      <c r="AD159" s="2412">
        <f t="shared" si="123"/>
        <v>2.0042333726271795</v>
      </c>
      <c r="AE159" s="2411"/>
      <c r="AF159" s="2411">
        <f t="shared" si="124"/>
        <v>6887.6266310999981</v>
      </c>
      <c r="AG159" s="2411">
        <f t="shared" si="125"/>
        <v>9.7505168620514624</v>
      </c>
      <c r="AH159" s="2412">
        <f>IFERROR(VLOOKUP($A159,F13_21_22!$B$14:$O$217,9,0),0)</f>
        <v>9932.1953069999981</v>
      </c>
      <c r="AI159" s="2412">
        <f>IFERROR(VLOOKUP($A159,F13_21_22!$B$14:$O$217,10,0),0)</f>
        <v>5157.6336451250008</v>
      </c>
      <c r="AJ159" s="2412">
        <f t="shared" si="126"/>
        <v>5.192843561473274</v>
      </c>
      <c r="AK159" s="2412">
        <f>IFERROR(VLOOKUP($A159,F13_21_22!$B$14:$O$217,11,0),0)</f>
        <v>3007.3977275485208</v>
      </c>
      <c r="AL159" s="2401">
        <f t="shared" si="127"/>
        <v>3.027928503811208</v>
      </c>
      <c r="AM159" s="2412">
        <f>IFERROR(VLOOKUP($A159,F13_21_22!$B$14:$O$217,12,0),0)</f>
        <v>49.7354123</v>
      </c>
      <c r="AN159" s="2412">
        <f t="shared" si="128"/>
        <v>5.0074943919948441E-2</v>
      </c>
      <c r="AO159" s="2411"/>
      <c r="AP159" s="2411">
        <f t="shared" si="129"/>
        <v>8214.7667849735226</v>
      </c>
      <c r="AQ159" s="2411">
        <f t="shared" si="130"/>
        <v>8.2708470092044308</v>
      </c>
      <c r="AR159" s="2406">
        <f>IFERROR(VLOOKUP($A159,F13_22_23!$B$14:$O$215,9,0),0)</f>
        <v>5824.6273800000008</v>
      </c>
      <c r="AS159" s="2406">
        <f>IFERROR(VLOOKUP($A159,F13_22_23!$B$14:$O$215,10,0),0)</f>
        <v>3366.1943753</v>
      </c>
      <c r="AT159" s="2406">
        <f t="shared" si="131"/>
        <v>5.7792441570743014</v>
      </c>
      <c r="AU159" s="2406">
        <f>IFERROR(VLOOKUP($A159,F13_22_23!$B$14:$O$215,11,0),0)</f>
        <v>1806.4123618447343</v>
      </c>
      <c r="AV159" s="2406">
        <f t="shared" si="132"/>
        <v>3.1013354915155689</v>
      </c>
      <c r="AW159" s="2406">
        <f>IFERROR(VLOOKUP($A159,F13_22_23!$B$14:$O$215,12,0),0)</f>
        <v>0</v>
      </c>
      <c r="AX159" s="2406"/>
      <c r="AY159" s="2406">
        <f t="shared" si="133"/>
        <v>5172.6067371447343</v>
      </c>
      <c r="AZ159" s="2406">
        <f t="shared" si="134"/>
        <v>8.8805796485898707</v>
      </c>
    </row>
    <row r="160" spans="1:52" s="2350" customFormat="1">
      <c r="A160" s="2404" t="s">
        <v>1773</v>
      </c>
      <c r="B160" s="2405" t="s">
        <v>1649</v>
      </c>
      <c r="C160" s="2405">
        <v>1</v>
      </c>
      <c r="D160" s="2809"/>
      <c r="E160" s="2809"/>
      <c r="F160" s="2809"/>
      <c r="G160" s="2809"/>
      <c r="H160" s="2809"/>
      <c r="I160" s="2809"/>
      <c r="J160" s="2809"/>
      <c r="K160" s="2809"/>
      <c r="L160" s="2809"/>
      <c r="M160" s="2809"/>
      <c r="N160" s="2409">
        <v>2426.1320500000002</v>
      </c>
      <c r="O160" s="2410">
        <v>688.02120579999996</v>
      </c>
      <c r="P160" s="2409">
        <f t="shared" si="116"/>
        <v>2.8358769911143127</v>
      </c>
      <c r="Q160" s="2410">
        <v>409.95458580000007</v>
      </c>
      <c r="R160" s="2410">
        <f t="shared" si="117"/>
        <v>1.6897455593977253</v>
      </c>
      <c r="S160" s="2410">
        <v>274.75900680000001</v>
      </c>
      <c r="T160" s="2410">
        <f t="shared" si="118"/>
        <v>1.1324981540060854</v>
      </c>
      <c r="U160" s="2410"/>
      <c r="V160" s="2410">
        <f t="shared" si="119"/>
        <v>1372.7347984</v>
      </c>
      <c r="W160" s="2410">
        <f t="shared" si="120"/>
        <v>5.6581207045181241</v>
      </c>
      <c r="X160" s="2411">
        <v>2071.08275</v>
      </c>
      <c r="Y160" s="2411">
        <v>649.78980690000003</v>
      </c>
      <c r="Z160" s="2411">
        <f t="shared" si="121"/>
        <v>3.1374400993876272</v>
      </c>
      <c r="AA160" s="2411">
        <v>435.21803459999995</v>
      </c>
      <c r="AB160" s="2411">
        <f t="shared" si="122"/>
        <v>2.1014034065031924</v>
      </c>
      <c r="AC160" s="2411">
        <v>-4.945837852000011</v>
      </c>
      <c r="AD160" s="2412">
        <f t="shared" si="123"/>
        <v>-2.3880445395047644E-2</v>
      </c>
      <c r="AE160" s="2411"/>
      <c r="AF160" s="2411">
        <f t="shared" si="124"/>
        <v>1080.062003648</v>
      </c>
      <c r="AG160" s="2411">
        <f t="shared" si="125"/>
        <v>5.214963060495772</v>
      </c>
      <c r="AH160" s="2412">
        <f>IFERROR(VLOOKUP($A160,F13_21_22!$B$14:$O$217,9,0),0)</f>
        <v>2324.5831055882354</v>
      </c>
      <c r="AI160" s="2412">
        <f>IFERROR(VLOOKUP($A160,F13_21_22!$B$14:$O$217,10,0),0)</f>
        <v>645.00214671124991</v>
      </c>
      <c r="AJ160" s="2412">
        <f t="shared" si="126"/>
        <v>2.7747003114695361</v>
      </c>
      <c r="AK160" s="2412">
        <f>IFERROR(VLOOKUP($A160,F13_21_22!$B$14:$O$217,11,0),0)</f>
        <v>529.21660227264192</v>
      </c>
      <c r="AL160" s="2401">
        <f t="shared" si="127"/>
        <v>2.2766086572702839</v>
      </c>
      <c r="AM160" s="2412">
        <f>IFERROR(VLOOKUP($A160,F13_21_22!$B$14:$O$217,12,0),0)</f>
        <v>8.5387167000000002</v>
      </c>
      <c r="AN160" s="2412">
        <f t="shared" si="128"/>
        <v>3.6732249664351228E-2</v>
      </c>
      <c r="AO160" s="2411"/>
      <c r="AP160" s="2411">
        <f t="shared" si="129"/>
        <v>1182.7574656838917</v>
      </c>
      <c r="AQ160" s="2411">
        <f t="shared" si="130"/>
        <v>5.0880412184041717</v>
      </c>
      <c r="AR160" s="2406">
        <f>IFERROR(VLOOKUP($A160,F13_22_23!$B$14:$O$215,9,0),0)</f>
        <v>2466.8611073313782</v>
      </c>
      <c r="AS160" s="2406">
        <f>IFERROR(VLOOKUP($A160,F13_22_23!$B$14:$O$215,10,0),0)</f>
        <v>716.39326210725005</v>
      </c>
      <c r="AT160" s="2406">
        <f t="shared" si="131"/>
        <v>2.904068088706607</v>
      </c>
      <c r="AU160" s="2406">
        <f>IFERROR(VLOOKUP($A160,F13_22_23!$B$14:$O$215,11,0),0)</f>
        <v>539.32986958227798</v>
      </c>
      <c r="AV160" s="2406">
        <f t="shared" si="132"/>
        <v>2.1863001041259222</v>
      </c>
      <c r="AW160" s="2406">
        <f>IFERROR(VLOOKUP($A160,F13_22_23!$B$14:$O$215,12,0),0)</f>
        <v>0</v>
      </c>
      <c r="AX160" s="2406"/>
      <c r="AY160" s="2406">
        <f t="shared" si="133"/>
        <v>1255.7231316895281</v>
      </c>
      <c r="AZ160" s="2406">
        <f t="shared" si="134"/>
        <v>5.0903681928325293</v>
      </c>
    </row>
    <row r="161" spans="1:52" s="2350" customFormat="1">
      <c r="A161" s="2404" t="s">
        <v>1774</v>
      </c>
      <c r="B161" s="2405" t="s">
        <v>1649</v>
      </c>
      <c r="C161" s="2405">
        <v>2</v>
      </c>
      <c r="D161" s="2809"/>
      <c r="E161" s="2809"/>
      <c r="F161" s="2809"/>
      <c r="G161" s="2809"/>
      <c r="H161" s="2809"/>
      <c r="I161" s="2809"/>
      <c r="J161" s="2809"/>
      <c r="K161" s="2809"/>
      <c r="L161" s="2809"/>
      <c r="M161" s="2809"/>
      <c r="N161" s="2409">
        <v>7114.5572490000013</v>
      </c>
      <c r="O161" s="2410">
        <v>1025.3122366</v>
      </c>
      <c r="P161" s="2409">
        <f t="shared" si="116"/>
        <v>1.4411469339769731</v>
      </c>
      <c r="Q161" s="2410">
        <v>1656.2185456999998</v>
      </c>
      <c r="R161" s="2410">
        <f t="shared" si="117"/>
        <v>2.3279291848172172</v>
      </c>
      <c r="S161" s="2410">
        <v>76.702937299999988</v>
      </c>
      <c r="T161" s="2410">
        <f t="shared" si="118"/>
        <v>0.10781125882539086</v>
      </c>
      <c r="U161" s="2410"/>
      <c r="V161" s="2410">
        <f t="shared" si="119"/>
        <v>2758.2337195999999</v>
      </c>
      <c r="W161" s="2410">
        <f t="shared" si="120"/>
        <v>3.8768873776195818</v>
      </c>
      <c r="X161" s="2411">
        <v>9787.9252894999991</v>
      </c>
      <c r="Y161" s="2411">
        <v>1359.6237311</v>
      </c>
      <c r="Z161" s="2411">
        <f t="shared" si="121"/>
        <v>1.3890826614282978</v>
      </c>
      <c r="AA161" s="2411">
        <v>2368.6038100000001</v>
      </c>
      <c r="AB161" s="2411">
        <f t="shared" si="122"/>
        <v>2.4199242842003716</v>
      </c>
      <c r="AC161" s="2411">
        <v>13.593791400000001</v>
      </c>
      <c r="AD161" s="2412">
        <f t="shared" si="123"/>
        <v>1.3888327707795998E-2</v>
      </c>
      <c r="AE161" s="2411"/>
      <c r="AF161" s="2411">
        <f t="shared" si="124"/>
        <v>3741.8213325000002</v>
      </c>
      <c r="AG161" s="2411">
        <f t="shared" si="125"/>
        <v>3.8228952733364654</v>
      </c>
      <c r="AH161" s="2412">
        <f>IFERROR(VLOOKUP($A161,F13_21_22!$B$14:$O$217,9,0),0)</f>
        <v>9690.8091991000001</v>
      </c>
      <c r="AI161" s="2412">
        <f>IFERROR(VLOOKUP($A161,F13_21_22!$B$14:$O$217,10,0),0)</f>
        <v>1326.9219398137502</v>
      </c>
      <c r="AJ161" s="2412">
        <f t="shared" si="126"/>
        <v>1.3692581419691798</v>
      </c>
      <c r="AK161" s="2412">
        <f>IFERROR(VLOOKUP($A161,F13_21_22!$B$14:$O$217,11,0),0)</f>
        <v>2249.0748259733946</v>
      </c>
      <c r="AL161" s="2401">
        <f t="shared" si="127"/>
        <v>2.3208328425063507</v>
      </c>
      <c r="AM161" s="2412">
        <f>IFERROR(VLOOKUP($A161,F13_21_22!$B$14:$O$217,12,0),0)</f>
        <v>13.1887208</v>
      </c>
      <c r="AN161" s="2412">
        <f t="shared" si="128"/>
        <v>1.3609514467816429E-2</v>
      </c>
      <c r="AO161" s="2411"/>
      <c r="AP161" s="2411">
        <f t="shared" si="129"/>
        <v>3589.1854865871446</v>
      </c>
      <c r="AQ161" s="2411">
        <f t="shared" si="130"/>
        <v>3.7037004989433471</v>
      </c>
      <c r="AR161" s="2406">
        <f>IFERROR(VLOOKUP($A161,F13_22_23!$B$14:$O$215,9,0),0)</f>
        <v>4449.9141002389479</v>
      </c>
      <c r="AS161" s="2406">
        <f>IFERROR(VLOOKUP($A161,F13_22_23!$B$14:$O$215,10,0),0)</f>
        <v>1498.9851635377502</v>
      </c>
      <c r="AT161" s="2406">
        <f t="shared" si="131"/>
        <v>3.3685710100724391</v>
      </c>
      <c r="AU161" s="2406">
        <f>IFERROR(VLOOKUP($A161,F13_22_23!$B$14:$O$215,11,0),0)</f>
        <v>1120.350078360234</v>
      </c>
      <c r="AV161" s="2406">
        <f t="shared" si="132"/>
        <v>2.5176892252820666</v>
      </c>
      <c r="AW161" s="2406">
        <f>IFERROR(VLOOKUP($A161,F13_22_23!$B$14:$O$215,12,0),0)</f>
        <v>0</v>
      </c>
      <c r="AX161" s="2406"/>
      <c r="AY161" s="2406">
        <f t="shared" si="133"/>
        <v>2619.3352418979839</v>
      </c>
      <c r="AZ161" s="2406">
        <f t="shared" si="134"/>
        <v>5.8862602353545048</v>
      </c>
    </row>
    <row r="162" spans="1:52" s="2350" customFormat="1">
      <c r="A162" s="2404" t="s">
        <v>1775</v>
      </c>
      <c r="B162" s="2405" t="s">
        <v>1649</v>
      </c>
      <c r="C162" s="2405">
        <v>1</v>
      </c>
      <c r="D162" s="2809"/>
      <c r="E162" s="2809"/>
      <c r="F162" s="2809"/>
      <c r="G162" s="2809"/>
      <c r="H162" s="2809"/>
      <c r="I162" s="2809"/>
      <c r="J162" s="2809"/>
      <c r="K162" s="2809"/>
      <c r="L162" s="2809"/>
      <c r="M162" s="2809"/>
      <c r="N162" s="2409">
        <v>1708.7466719999998</v>
      </c>
      <c r="O162" s="2410">
        <v>420.88679199999996</v>
      </c>
      <c r="P162" s="2409">
        <f t="shared" si="116"/>
        <v>2.463131597543208</v>
      </c>
      <c r="Q162" s="2410">
        <v>281.4790797</v>
      </c>
      <c r="R162" s="2410">
        <f t="shared" si="117"/>
        <v>1.6472838502769007</v>
      </c>
      <c r="S162" s="2410">
        <v>122.1326181</v>
      </c>
      <c r="T162" s="2410">
        <f t="shared" si="118"/>
        <v>0.71474970574222141</v>
      </c>
      <c r="U162" s="2410"/>
      <c r="V162" s="2410">
        <f t="shared" si="119"/>
        <v>824.49848980000002</v>
      </c>
      <c r="W162" s="2410">
        <f t="shared" si="120"/>
        <v>4.825165153562331</v>
      </c>
      <c r="X162" s="2411">
        <v>2451.1637999999998</v>
      </c>
      <c r="Y162" s="2411">
        <v>604.05142560000002</v>
      </c>
      <c r="Z162" s="2411">
        <f t="shared" si="121"/>
        <v>2.4643454084953444</v>
      </c>
      <c r="AA162" s="2411">
        <v>461.79397639999996</v>
      </c>
      <c r="AB162" s="2411">
        <f t="shared" si="122"/>
        <v>1.8839784448513806</v>
      </c>
      <c r="AC162" s="2411">
        <v>-8.5061082000000034</v>
      </c>
      <c r="AD162" s="2412">
        <f t="shared" si="123"/>
        <v>-3.4702324667164247E-2</v>
      </c>
      <c r="AE162" s="2411"/>
      <c r="AF162" s="2411">
        <f t="shared" si="124"/>
        <v>1057.3392938</v>
      </c>
      <c r="AG162" s="2411">
        <f t="shared" si="125"/>
        <v>4.3136215286795601</v>
      </c>
      <c r="AH162" s="2412">
        <f>IFERROR(VLOOKUP($A162,F13_21_22!$B$14:$O$217,9,0),0)</f>
        <v>2337.998621555701</v>
      </c>
      <c r="AI162" s="2412">
        <f>IFERROR(VLOOKUP($A162,F13_21_22!$B$14:$O$217,10,0),0)</f>
        <v>612.83578902000011</v>
      </c>
      <c r="AJ162" s="2412">
        <f t="shared" si="126"/>
        <v>2.62119824780829</v>
      </c>
      <c r="AK162" s="2412">
        <f>IFERROR(VLOOKUP($A162,F13_21_22!$B$14:$O$217,11,0),0)</f>
        <v>449.09187374791537</v>
      </c>
      <c r="AL162" s="2401">
        <f t="shared" si="127"/>
        <v>1.9208389158462815</v>
      </c>
      <c r="AM162" s="2412">
        <f>IFERROR(VLOOKUP($A162,F13_21_22!$B$14:$O$217,12,0),0)</f>
        <v>0.77446499999999996</v>
      </c>
      <c r="AN162" s="2412">
        <f t="shared" si="128"/>
        <v>3.3125126458999881E-3</v>
      </c>
      <c r="AO162" s="2411"/>
      <c r="AP162" s="2411">
        <f t="shared" si="129"/>
        <v>1062.7021277679155</v>
      </c>
      <c r="AQ162" s="2411">
        <f t="shared" si="130"/>
        <v>4.5453496763004715</v>
      </c>
      <c r="AR162" s="2406">
        <f>IFERROR(VLOOKUP($A162,F13_22_23!$B$14:$O$215,9,0),0)</f>
        <v>2085.6153454010987</v>
      </c>
      <c r="AS162" s="2406">
        <f>IFERROR(VLOOKUP($A162,F13_22_23!$B$14:$O$215,10,0),0)</f>
        <v>665.96669672400003</v>
      </c>
      <c r="AT162" s="2406">
        <f t="shared" si="131"/>
        <v>3.1931424852262174</v>
      </c>
      <c r="AU162" s="2406">
        <f>IFERROR(VLOOKUP($A162,F13_22_23!$B$14:$O$215,11,0),0)</f>
        <v>408.79962309284087</v>
      </c>
      <c r="AV162" s="2406">
        <f t="shared" si="132"/>
        <v>1.9600911740233762</v>
      </c>
      <c r="AW162" s="2406">
        <f>IFERROR(VLOOKUP($A162,F13_22_23!$B$14:$O$215,12,0),0)</f>
        <v>0</v>
      </c>
      <c r="AX162" s="2406"/>
      <c r="AY162" s="2406">
        <f t="shared" si="133"/>
        <v>1074.7663198168409</v>
      </c>
      <c r="AZ162" s="2406">
        <f t="shared" si="134"/>
        <v>5.1532336592495938</v>
      </c>
    </row>
    <row r="163" spans="1:52" s="2350" customFormat="1">
      <c r="A163" s="2404" t="s">
        <v>1776</v>
      </c>
      <c r="B163" s="2405" t="s">
        <v>1649</v>
      </c>
      <c r="C163" s="2405">
        <v>1</v>
      </c>
      <c r="D163" s="2809"/>
      <c r="E163" s="2809"/>
      <c r="F163" s="2809"/>
      <c r="G163" s="2809"/>
      <c r="H163" s="2809"/>
      <c r="I163" s="2809"/>
      <c r="J163" s="2809"/>
      <c r="K163" s="2809"/>
      <c r="L163" s="2809"/>
      <c r="M163" s="2809"/>
      <c r="N163" s="2409">
        <v>4029.2193264999996</v>
      </c>
      <c r="O163" s="2410">
        <v>1269.4299997999999</v>
      </c>
      <c r="P163" s="2409">
        <f t="shared" si="116"/>
        <v>3.1505606841777367</v>
      </c>
      <c r="Q163" s="2410">
        <v>1205.0264683</v>
      </c>
      <c r="R163" s="2410">
        <f t="shared" si="117"/>
        <v>2.9907194685943095</v>
      </c>
      <c r="S163" s="2410">
        <v>360.2879018000001</v>
      </c>
      <c r="T163" s="2410">
        <f t="shared" si="118"/>
        <v>0.8941878627216997</v>
      </c>
      <c r="U163" s="2410"/>
      <c r="V163" s="2410">
        <f t="shared" si="119"/>
        <v>2834.7443699000005</v>
      </c>
      <c r="W163" s="2410">
        <f t="shared" si="120"/>
        <v>7.0354680154937475</v>
      </c>
      <c r="X163" s="2411">
        <v>6303.1742170000007</v>
      </c>
      <c r="Y163" s="2411">
        <v>1163.6441663000001</v>
      </c>
      <c r="Z163" s="2411">
        <f t="shared" si="121"/>
        <v>1.8461240737430182</v>
      </c>
      <c r="AA163" s="2411">
        <v>1619.4725051</v>
      </c>
      <c r="AB163" s="2411">
        <f t="shared" si="122"/>
        <v>2.5692967532647208</v>
      </c>
      <c r="AC163" s="2411">
        <v>352.85527949999999</v>
      </c>
      <c r="AD163" s="2412">
        <f t="shared" si="123"/>
        <v>0.55980569051753371</v>
      </c>
      <c r="AE163" s="2411"/>
      <c r="AF163" s="2411">
        <f t="shared" si="124"/>
        <v>3135.9719509000001</v>
      </c>
      <c r="AG163" s="2411">
        <f t="shared" si="125"/>
        <v>4.9752265175252735</v>
      </c>
      <c r="AH163" s="2412">
        <f>IFERROR(VLOOKUP($A163,F13_21_22!$B$14:$O$217,9,0),0)</f>
        <v>4534.0530720000006</v>
      </c>
      <c r="AI163" s="2412">
        <f>IFERROR(VLOOKUP($A163,F13_21_22!$B$14:$O$217,10,0),0)</f>
        <v>1257.5290934537502</v>
      </c>
      <c r="AJ163" s="2412">
        <f t="shared" si="126"/>
        <v>2.7735208950676133</v>
      </c>
      <c r="AK163" s="2412">
        <f>IFERROR(VLOOKUP($A163,F13_21_22!$B$14:$O$217,11,0),0)</f>
        <v>1344.1448357215129</v>
      </c>
      <c r="AL163" s="2401">
        <f t="shared" si="127"/>
        <v>2.9645547027719328</v>
      </c>
      <c r="AM163" s="2412">
        <f>IFERROR(VLOOKUP($A163,F13_21_22!$B$14:$O$217,12,0),0)</f>
        <v>-35.190138600000004</v>
      </c>
      <c r="AN163" s="2412">
        <f t="shared" si="128"/>
        <v>-7.7612983441495989E-2</v>
      </c>
      <c r="AO163" s="2411"/>
      <c r="AP163" s="2411">
        <f t="shared" si="129"/>
        <v>2566.4837905752629</v>
      </c>
      <c r="AQ163" s="2411">
        <f t="shared" si="130"/>
        <v>5.6604626143980488</v>
      </c>
      <c r="AR163" s="2406">
        <f>IFERROR(VLOOKUP($A163,F13_22_23!$B$14:$O$215,9,0),0)</f>
        <v>3018.2921999999999</v>
      </c>
      <c r="AS163" s="2406">
        <f>IFERROR(VLOOKUP($A163,F13_22_23!$B$14:$O$215,10,0),0)</f>
        <v>1282.9176933457502</v>
      </c>
      <c r="AT163" s="2406">
        <f t="shared" si="131"/>
        <v>4.2504754620700744</v>
      </c>
      <c r="AU163" s="2406">
        <f>IFERROR(VLOOKUP($A163,F13_22_23!$B$14:$O$215,11,0),0)</f>
        <v>806.81858391987453</v>
      </c>
      <c r="AV163" s="2406">
        <f t="shared" si="132"/>
        <v>2.6730963420966152</v>
      </c>
      <c r="AW163" s="2406">
        <f>IFERROR(VLOOKUP($A163,F13_22_23!$B$14:$O$215,12,0),0)</f>
        <v>0</v>
      </c>
      <c r="AX163" s="2406"/>
      <c r="AY163" s="2406">
        <f t="shared" si="133"/>
        <v>2089.7362772656247</v>
      </c>
      <c r="AZ163" s="2406">
        <f t="shared" si="134"/>
        <v>6.9235718041666905</v>
      </c>
    </row>
    <row r="164" spans="1:52" s="2350" customFormat="1">
      <c r="A164" s="2404" t="s">
        <v>1777</v>
      </c>
      <c r="B164" s="2405" t="s">
        <v>1649</v>
      </c>
      <c r="C164" s="2405">
        <v>2</v>
      </c>
      <c r="D164" s="2809"/>
      <c r="E164" s="2809"/>
      <c r="F164" s="2809"/>
      <c r="G164" s="2809"/>
      <c r="H164" s="2809"/>
      <c r="I164" s="2809"/>
      <c r="J164" s="2809"/>
      <c r="K164" s="2809"/>
      <c r="L164" s="2809"/>
      <c r="M164" s="2809"/>
      <c r="N164" s="2409">
        <v>3708.0525790000002</v>
      </c>
      <c r="O164" s="2410">
        <v>55.505885000000006</v>
      </c>
      <c r="P164" s="2409">
        <f t="shared" si="116"/>
        <v>0.1496901239058725</v>
      </c>
      <c r="Q164" s="2410">
        <v>426.32532830000002</v>
      </c>
      <c r="R164" s="2410">
        <f t="shared" si="117"/>
        <v>1.1497283795662165</v>
      </c>
      <c r="S164" s="2410">
        <v>44.639328800000001</v>
      </c>
      <c r="T164" s="2410">
        <f t="shared" si="118"/>
        <v>0.12038483233168847</v>
      </c>
      <c r="U164" s="2410"/>
      <c r="V164" s="2410">
        <f t="shared" si="119"/>
        <v>526.4705421000001</v>
      </c>
      <c r="W164" s="2410">
        <f t="shared" si="120"/>
        <v>1.4198033358037776</v>
      </c>
      <c r="X164" s="2411">
        <v>3769.7254659999999</v>
      </c>
      <c r="Y164" s="2411">
        <v>50.531143799999995</v>
      </c>
      <c r="Z164" s="2411">
        <f t="shared" si="121"/>
        <v>0.13404462541304857</v>
      </c>
      <c r="AA164" s="2411">
        <v>403.36442909999994</v>
      </c>
      <c r="AB164" s="2411">
        <f t="shared" si="122"/>
        <v>1.0700100915518498</v>
      </c>
      <c r="AC164" s="2411">
        <v>74.038256873999998</v>
      </c>
      <c r="AD164" s="2412">
        <f t="shared" si="123"/>
        <v>0.1964022514153024</v>
      </c>
      <c r="AE164" s="2411"/>
      <c r="AF164" s="2411">
        <f t="shared" si="124"/>
        <v>527.93382977399995</v>
      </c>
      <c r="AG164" s="2411">
        <f t="shared" si="125"/>
        <v>1.4004569683802006</v>
      </c>
      <c r="AH164" s="2412">
        <f>IFERROR(VLOOKUP($A164,F13_21_22!$B$14:$O$217,9,0),0)</f>
        <v>3666.7426077999999</v>
      </c>
      <c r="AI164" s="2412">
        <f>IFERROR(VLOOKUP($A164,F13_21_22!$B$14:$O$217,10,0),0)</f>
        <v>54.634625947500005</v>
      </c>
      <c r="AJ164" s="2412">
        <f t="shared" si="126"/>
        <v>0.14900043933075549</v>
      </c>
      <c r="AK164" s="2412">
        <f>IFERROR(VLOOKUP($A164,F13_21_22!$B$14:$O$217,11,0),0)</f>
        <v>416.31285124059889</v>
      </c>
      <c r="AL164" s="2401">
        <f t="shared" si="127"/>
        <v>1.1353751701987651</v>
      </c>
      <c r="AM164" s="2412">
        <f>IFERROR(VLOOKUP($A164,F13_21_22!$B$14:$O$217,12,0),0)</f>
        <v>16.939232399999998</v>
      </c>
      <c r="AN164" s="2412">
        <f t="shared" si="128"/>
        <v>4.619694975034893E-2</v>
      </c>
      <c r="AO164" s="2411"/>
      <c r="AP164" s="2411">
        <f t="shared" si="129"/>
        <v>487.88670958809888</v>
      </c>
      <c r="AQ164" s="2411">
        <f t="shared" si="130"/>
        <v>1.3305725592798696</v>
      </c>
      <c r="AR164" s="2406">
        <f>IFERROR(VLOOKUP($A164,F13_22_23!$B$14:$O$215,9,0),0)</f>
        <v>3700.1023341548389</v>
      </c>
      <c r="AS164" s="2406">
        <f>IFERROR(VLOOKUP($A164,F13_22_23!$B$14:$O$215,10,0),0)</f>
        <v>55.710586039500001</v>
      </c>
      <c r="AT164" s="2406">
        <f t="shared" si="131"/>
        <v>0.15056498714980857</v>
      </c>
      <c r="AU164" s="2406">
        <f>IFERROR(VLOOKUP($A164,F13_22_23!$B$14:$O$215,11,0),0)</f>
        <v>411.90963695479707</v>
      </c>
      <c r="AV164" s="2406">
        <f t="shared" si="132"/>
        <v>1.1132384992505449</v>
      </c>
      <c r="AW164" s="2406">
        <f>IFERROR(VLOOKUP($A164,F13_22_23!$B$14:$O$215,12,0),0)</f>
        <v>0</v>
      </c>
      <c r="AX164" s="2406"/>
      <c r="AY164" s="2406">
        <f t="shared" si="133"/>
        <v>467.62022299429708</v>
      </c>
      <c r="AZ164" s="2406">
        <f t="shared" si="134"/>
        <v>1.2638034864003533</v>
      </c>
    </row>
    <row r="165" spans="1:52" s="2350" customFormat="1">
      <c r="A165" s="2404" t="s">
        <v>1778</v>
      </c>
      <c r="B165" s="2405" t="s">
        <v>1649</v>
      </c>
      <c r="C165" s="2405">
        <v>1</v>
      </c>
      <c r="D165" s="2809"/>
      <c r="E165" s="2809"/>
      <c r="F165" s="2809"/>
      <c r="G165" s="2809"/>
      <c r="H165" s="2809"/>
      <c r="I165" s="2809"/>
      <c r="J165" s="2809"/>
      <c r="K165" s="2809"/>
      <c r="L165" s="2809"/>
      <c r="M165" s="2809"/>
      <c r="N165" s="2409">
        <v>2401.5489819999998</v>
      </c>
      <c r="O165" s="2410">
        <v>430.03298599999999</v>
      </c>
      <c r="P165" s="2409">
        <f t="shared" si="116"/>
        <v>1.7906484074368967</v>
      </c>
      <c r="Q165" s="2410">
        <v>348.77946109999999</v>
      </c>
      <c r="R165" s="2410">
        <f t="shared" si="117"/>
        <v>1.452310420125339</v>
      </c>
      <c r="S165" s="2410">
        <v>152.60594179999998</v>
      </c>
      <c r="T165" s="2410">
        <f t="shared" si="118"/>
        <v>0.63544796689056238</v>
      </c>
      <c r="U165" s="2410"/>
      <c r="V165" s="2410">
        <f t="shared" si="119"/>
        <v>931.41838889999997</v>
      </c>
      <c r="W165" s="2410">
        <f t="shared" si="120"/>
        <v>3.8784067944527982</v>
      </c>
      <c r="X165" s="2411">
        <v>1621.6438750000002</v>
      </c>
      <c r="Y165" s="2411">
        <v>287.41462699999994</v>
      </c>
      <c r="Z165" s="2411">
        <f t="shared" si="121"/>
        <v>1.7723658778040887</v>
      </c>
      <c r="AA165" s="2411">
        <v>245.2935827</v>
      </c>
      <c r="AB165" s="2411">
        <f t="shared" si="122"/>
        <v>1.5126230023839233</v>
      </c>
      <c r="AC165" s="2411">
        <v>-7.4827583999999998</v>
      </c>
      <c r="AD165" s="2412">
        <f t="shared" si="123"/>
        <v>-4.6143043582858159E-2</v>
      </c>
      <c r="AE165" s="2411"/>
      <c r="AF165" s="2411">
        <f t="shared" si="124"/>
        <v>525.22545130000003</v>
      </c>
      <c r="AG165" s="2411">
        <f t="shared" si="125"/>
        <v>3.2388458366051549</v>
      </c>
      <c r="AH165" s="2412">
        <f>IFERROR(VLOOKUP($A165,F13_21_22!$B$14:$O$217,9,0),0)</f>
        <v>978.22909615384606</v>
      </c>
      <c r="AI165" s="2412">
        <f>IFERROR(VLOOKUP($A165,F13_21_22!$B$14:$O$217,10,0),0)</f>
        <v>154.90116308749998</v>
      </c>
      <c r="AJ165" s="2412">
        <f t="shared" si="126"/>
        <v>1.5834855423594829</v>
      </c>
      <c r="AK165" s="2412">
        <f>IFERROR(VLOOKUP($A165,F13_21_22!$B$14:$O$217,11,0),0)</f>
        <v>157.36743494483648</v>
      </c>
      <c r="AL165" s="2401">
        <f t="shared" si="127"/>
        <v>1.6086971402053585</v>
      </c>
      <c r="AM165" s="2412">
        <f>IFERROR(VLOOKUP($A165,F13_21_22!$B$14:$O$217,12,0),0)</f>
        <v>-30.964892500000001</v>
      </c>
      <c r="AN165" s="2412">
        <f t="shared" si="128"/>
        <v>-0.31654029328861993</v>
      </c>
      <c r="AO165" s="2411"/>
      <c r="AP165" s="2411">
        <f t="shared" si="129"/>
        <v>281.30370553233644</v>
      </c>
      <c r="AQ165" s="2411">
        <f t="shared" si="130"/>
        <v>2.8756423892762211</v>
      </c>
      <c r="AR165" s="2406">
        <f>IFERROR(VLOOKUP($A165,F13_22_23!$B$14:$O$215,9,0),0)</f>
        <v>2005.5675566241287</v>
      </c>
      <c r="AS165" s="2406">
        <f>IFERROR(VLOOKUP($A165,F13_22_23!$B$14:$O$215,10,0),0)</f>
        <v>316.87462626749999</v>
      </c>
      <c r="AT165" s="2406">
        <f t="shared" si="131"/>
        <v>1.5799748316674964</v>
      </c>
      <c r="AU165" s="2406">
        <f>IFERROR(VLOOKUP($A165,F13_22_23!$B$14:$O$215,11,0),0)</f>
        <v>315.62277907915558</v>
      </c>
      <c r="AV165" s="2406">
        <f t="shared" si="132"/>
        <v>1.573732971680234</v>
      </c>
      <c r="AW165" s="2406">
        <f>IFERROR(VLOOKUP($A165,F13_22_23!$B$14:$O$215,12,0),0)</f>
        <v>0</v>
      </c>
      <c r="AX165" s="2406"/>
      <c r="AY165" s="2406">
        <f t="shared" si="133"/>
        <v>632.49740534665557</v>
      </c>
      <c r="AZ165" s="2406">
        <f t="shared" si="134"/>
        <v>3.1537078033477304</v>
      </c>
    </row>
    <row r="166" spans="1:52" s="2350" customFormat="1">
      <c r="A166" s="2404" t="s">
        <v>1779</v>
      </c>
      <c r="B166" s="2405" t="s">
        <v>1649</v>
      </c>
      <c r="C166" s="2405">
        <v>1</v>
      </c>
      <c r="D166" s="2809"/>
      <c r="E166" s="2809"/>
      <c r="F166" s="2809"/>
      <c r="G166" s="2809"/>
      <c r="H166" s="2809"/>
      <c r="I166" s="2809"/>
      <c r="J166" s="2809"/>
      <c r="K166" s="2809"/>
      <c r="L166" s="2809"/>
      <c r="M166" s="2809"/>
      <c r="N166" s="2409"/>
      <c r="O166" s="2410"/>
      <c r="P166" s="2409"/>
      <c r="Q166" s="2410"/>
      <c r="R166" s="2410"/>
      <c r="S166" s="2410"/>
      <c r="T166" s="2410"/>
      <c r="U166" s="2410"/>
      <c r="V166" s="2410"/>
      <c r="W166" s="2410"/>
      <c r="X166" s="2411">
        <v>389.97267300000004</v>
      </c>
      <c r="Y166" s="2411">
        <v>133.51260600000003</v>
      </c>
      <c r="Z166" s="2411">
        <f t="shared" si="121"/>
        <v>3.4236400456705853</v>
      </c>
      <c r="AA166" s="2411">
        <v>81.786650000000009</v>
      </c>
      <c r="AB166" s="2411">
        <f t="shared" si="122"/>
        <v>2.0972405417750899</v>
      </c>
      <c r="AC166" s="2411">
        <v>-8.9819240999999987</v>
      </c>
      <c r="AD166" s="2412">
        <f t="shared" si="123"/>
        <v>-0.23032188463113151</v>
      </c>
      <c r="AE166" s="2411"/>
      <c r="AF166" s="2411">
        <f t="shared" si="124"/>
        <v>206.31733190000006</v>
      </c>
      <c r="AG166" s="2411">
        <f t="shared" si="125"/>
        <v>5.2905587028145442</v>
      </c>
      <c r="AH166" s="2412">
        <f>IFERROR(VLOOKUP($A166,F13_21_22!$B$14:$O$217,9,0),0)</f>
        <v>820.16168530000004</v>
      </c>
      <c r="AI166" s="2412">
        <f>IFERROR(VLOOKUP($A166,F13_21_22!$B$14:$O$217,10,0),0)</f>
        <v>188.37791709999996</v>
      </c>
      <c r="AJ166" s="2412">
        <f t="shared" si="126"/>
        <v>2.2968387877214087</v>
      </c>
      <c r="AK166" s="2412">
        <f>IFERROR(VLOOKUP($A166,F13_21_22!$B$14:$O$217,11,0),0)</f>
        <v>176.99737496361479</v>
      </c>
      <c r="AL166" s="2401">
        <f t="shared" si="127"/>
        <v>2.1580790487533248</v>
      </c>
      <c r="AM166" s="2412">
        <f>IFERROR(VLOOKUP($A166,F13_21_22!$B$14:$O$217,12,0),0)</f>
        <v>7.9048642999999998</v>
      </c>
      <c r="AN166" s="2412">
        <f t="shared" si="128"/>
        <v>9.6381779857328334E-2</v>
      </c>
      <c r="AO166" s="2411"/>
      <c r="AP166" s="2411">
        <f t="shared" si="129"/>
        <v>373.28015636361476</v>
      </c>
      <c r="AQ166" s="2411">
        <f t="shared" si="130"/>
        <v>4.551299616332062</v>
      </c>
      <c r="AR166" s="2406">
        <f>IFERROR(VLOOKUP($A166,F13_22_23!$B$14:$O$215,9,0),0)</f>
        <v>1466.8018735499998</v>
      </c>
      <c r="AS166" s="2406">
        <f>IFERROR(VLOOKUP($A166,F13_22_23!$B$14:$O$215,10,0),0)</f>
        <v>156.03</v>
      </c>
      <c r="AT166" s="2406">
        <f t="shared" si="131"/>
        <v>1.0637428463489165</v>
      </c>
      <c r="AU166" s="2406">
        <f>IFERROR(VLOOKUP($A166,F13_22_23!$B$14:$O$215,11,0),0)</f>
        <v>320.05163047415306</v>
      </c>
      <c r="AV166" s="2406">
        <f t="shared" si="132"/>
        <v>2.1819690596628032</v>
      </c>
      <c r="AW166" s="2406">
        <f>IFERROR(VLOOKUP($A166,F13_22_23!$B$14:$O$215,12,0),0)</f>
        <v>0</v>
      </c>
      <c r="AX166" s="2406"/>
      <c r="AY166" s="2406">
        <f t="shared" si="133"/>
        <v>476.08163047415303</v>
      </c>
      <c r="AZ166" s="2406">
        <f t="shared" si="134"/>
        <v>3.245711906011719</v>
      </c>
    </row>
    <row r="167" spans="1:52" s="2350" customFormat="1">
      <c r="A167" s="2404" t="s">
        <v>2070</v>
      </c>
      <c r="B167" s="2405" t="s">
        <v>1649</v>
      </c>
      <c r="C167" s="2405">
        <v>1</v>
      </c>
      <c r="D167" s="2809"/>
      <c r="E167" s="2809"/>
      <c r="F167" s="2809"/>
      <c r="G167" s="2809"/>
      <c r="H167" s="2809"/>
      <c r="I167" s="2809"/>
      <c r="J167" s="2809"/>
      <c r="K167" s="2809"/>
      <c r="L167" s="2809"/>
      <c r="M167" s="2809"/>
      <c r="N167" s="2409"/>
      <c r="O167" s="2410"/>
      <c r="P167" s="2409"/>
      <c r="Q167" s="2410"/>
      <c r="R167" s="2410"/>
      <c r="S167" s="2410"/>
      <c r="T167" s="2410"/>
      <c r="U167" s="2410"/>
      <c r="V167" s="2410"/>
      <c r="W167" s="2410"/>
      <c r="X167" s="2411">
        <v>0</v>
      </c>
      <c r="Y167" s="2411">
        <v>0</v>
      </c>
      <c r="Z167" s="2411">
        <f>IFERROR(Y167/X167*10,0)</f>
        <v>0</v>
      </c>
      <c r="AA167" s="2411">
        <v>0</v>
      </c>
      <c r="AB167" s="2411">
        <f>IFERROR(AA167/X167*10,0)</f>
        <v>0</v>
      </c>
      <c r="AC167" s="2411">
        <v>0</v>
      </c>
      <c r="AD167" s="2412">
        <f>IFERROR(AC167/X167*10,0)</f>
        <v>0</v>
      </c>
      <c r="AE167" s="2411"/>
      <c r="AF167" s="2411">
        <f>Y167+AA167+AC167+AE167</f>
        <v>0</v>
      </c>
      <c r="AG167" s="2411">
        <f>IFERROR(AF167/X167*10,0)</f>
        <v>0</v>
      </c>
      <c r="AH167" s="2412">
        <f>IFERROR(VLOOKUP($A167,F13_21_22!$B$14:$O$217,9,0),0)</f>
        <v>0</v>
      </c>
      <c r="AI167" s="2412">
        <f>IFERROR(VLOOKUP($A167,F13_21_22!$B$14:$O$217,10,0),0)</f>
        <v>0</v>
      </c>
      <c r="AJ167" s="2412">
        <f>IFERROR(AI167/AH167*10,0)</f>
        <v>0</v>
      </c>
      <c r="AK167" s="2412">
        <f>IFERROR(VLOOKUP($A167,F13_21_22!$B$14:$O$217,11,0),0)</f>
        <v>0</v>
      </c>
      <c r="AL167" s="2401">
        <f>IFERROR(AK167/AH167*10,0)</f>
        <v>0</v>
      </c>
      <c r="AM167" s="2412">
        <f>IFERROR(VLOOKUP($A167,F13_21_22!$B$14:$O$217,12,0),0)</f>
        <v>0</v>
      </c>
      <c r="AN167" s="2412">
        <f>IFERROR(AM167/AH167*10,0)</f>
        <v>0</v>
      </c>
      <c r="AO167" s="2411"/>
      <c r="AP167" s="2411">
        <f>SUM(AK167,AI167,AM167,AO167)</f>
        <v>0</v>
      </c>
      <c r="AQ167" s="2411">
        <f>IFERROR(AP167/AH167*10,0)</f>
        <v>0</v>
      </c>
      <c r="AR167" s="2406">
        <f>IFERROR(VLOOKUP($A167,F13_22_23!$B$14:$O$215,9,0),0)</f>
        <v>0</v>
      </c>
      <c r="AS167" s="2406">
        <f>IFERROR(VLOOKUP($A167,F13_22_23!$B$14:$O$215,10,0),0)</f>
        <v>0</v>
      </c>
      <c r="AT167" s="2406">
        <f>IFERROR(AS167/AR167*10,0)</f>
        <v>0</v>
      </c>
      <c r="AU167" s="2406">
        <f>IFERROR(VLOOKUP($A167,F13_22_23!$B$14:$O$215,11,0),0)</f>
        <v>0</v>
      </c>
      <c r="AV167" s="2406">
        <f>IFERROR(AU167/AR167*10,0)</f>
        <v>0</v>
      </c>
      <c r="AW167" s="2406">
        <f>IFERROR(VLOOKUP($A167,F13_22_23!$B$14:$O$215,12,0),0)</f>
        <v>0</v>
      </c>
      <c r="AX167" s="2406"/>
      <c r="AY167" s="2406">
        <f>AS167+AU167</f>
        <v>0</v>
      </c>
      <c r="AZ167" s="2406">
        <f>IFERROR(AY167/AR167*10,0)</f>
        <v>0</v>
      </c>
    </row>
    <row r="168" spans="1:52" s="2350" customFormat="1">
      <c r="A168" s="2404" t="s">
        <v>1780</v>
      </c>
      <c r="B168" s="2405" t="s">
        <v>1649</v>
      </c>
      <c r="C168" s="2405">
        <v>1</v>
      </c>
      <c r="D168" s="2809"/>
      <c r="E168" s="2809"/>
      <c r="F168" s="2809"/>
      <c r="G168" s="2809"/>
      <c r="H168" s="2809"/>
      <c r="I168" s="2809"/>
      <c r="J168" s="2809"/>
      <c r="K168" s="2809"/>
      <c r="L168" s="2809"/>
      <c r="M168" s="2809"/>
      <c r="N168" s="2409"/>
      <c r="O168" s="2410"/>
      <c r="P168" s="2409"/>
      <c r="Q168" s="2410"/>
      <c r="R168" s="2410"/>
      <c r="S168" s="2410"/>
      <c r="T168" s="2410"/>
      <c r="U168" s="2410"/>
      <c r="V168" s="2410"/>
      <c r="W168" s="2410"/>
      <c r="X168" s="2411">
        <v>235.69391729999998</v>
      </c>
      <c r="Y168" s="2411">
        <v>29.9398117</v>
      </c>
      <c r="Z168" s="2411">
        <f t="shared" si="121"/>
        <v>1.2702835967502502</v>
      </c>
      <c r="AA168" s="2411">
        <v>78.423751899999999</v>
      </c>
      <c r="AB168" s="2411">
        <f t="shared" si="122"/>
        <v>3.3273557840773349</v>
      </c>
      <c r="AC168" s="2411">
        <v>28.554812699999999</v>
      </c>
      <c r="AD168" s="2412">
        <f t="shared" si="123"/>
        <v>1.2115209856542193</v>
      </c>
      <c r="AE168" s="2411"/>
      <c r="AF168" s="2411">
        <f t="shared" si="124"/>
        <v>136.91837629999998</v>
      </c>
      <c r="AG168" s="2411">
        <f t="shared" si="125"/>
        <v>5.8091603664818035</v>
      </c>
      <c r="AH168" s="2412">
        <f>IFERROR(VLOOKUP($A168,F13_21_22!$B$14:$O$217,9,0),0)</f>
        <v>0</v>
      </c>
      <c r="AI168" s="2412">
        <f>IFERROR(VLOOKUP($A168,F13_21_22!$B$14:$O$217,10,0),0)</f>
        <v>0</v>
      </c>
      <c r="AJ168" s="2412">
        <f t="shared" si="126"/>
        <v>0</v>
      </c>
      <c r="AK168" s="2412">
        <f>IFERROR(VLOOKUP($A168,F13_21_22!$B$14:$O$217,11,0),0)</f>
        <v>0</v>
      </c>
      <c r="AL168" s="2401">
        <f t="shared" si="127"/>
        <v>0</v>
      </c>
      <c r="AM168" s="2412">
        <f>IFERROR(VLOOKUP($A168,F13_21_22!$B$14:$O$217,12,0),0)</f>
        <v>0</v>
      </c>
      <c r="AN168" s="2412">
        <f t="shared" si="128"/>
        <v>0</v>
      </c>
      <c r="AO168" s="2411"/>
      <c r="AP168" s="2411">
        <f t="shared" si="129"/>
        <v>0</v>
      </c>
      <c r="AQ168" s="2411">
        <f t="shared" si="130"/>
        <v>0</v>
      </c>
      <c r="AR168" s="2406">
        <f>IFERROR(VLOOKUP($A168,F13_22_23!$B$14:$O$215,9,0),0)</f>
        <v>0</v>
      </c>
      <c r="AS168" s="2406">
        <f>IFERROR(VLOOKUP($A168,F13_22_23!$B$14:$O$215,10,0),0)</f>
        <v>0</v>
      </c>
      <c r="AT168" s="2406">
        <f t="shared" si="131"/>
        <v>0</v>
      </c>
      <c r="AU168" s="2406">
        <f>IFERROR(VLOOKUP($A168,F13_22_23!$B$14:$O$215,11,0),0)</f>
        <v>0</v>
      </c>
      <c r="AV168" s="2406">
        <f t="shared" si="132"/>
        <v>0</v>
      </c>
      <c r="AW168" s="2406">
        <f>IFERROR(VLOOKUP($A168,F13_22_23!$B$14:$O$215,12,0),0)</f>
        <v>0</v>
      </c>
      <c r="AX168" s="2406"/>
      <c r="AY168" s="2406">
        <f t="shared" si="133"/>
        <v>0</v>
      </c>
      <c r="AZ168" s="2406">
        <f t="shared" si="134"/>
        <v>0</v>
      </c>
    </row>
    <row r="169" spans="1:52" s="2350" customFormat="1">
      <c r="A169" s="2404" t="s">
        <v>2060</v>
      </c>
      <c r="B169" s="2405" t="s">
        <v>1649</v>
      </c>
      <c r="C169" s="2405">
        <v>2</v>
      </c>
      <c r="D169" s="2809"/>
      <c r="E169" s="2809"/>
      <c r="F169" s="2809"/>
      <c r="G169" s="2809"/>
      <c r="H169" s="2809"/>
      <c r="I169" s="2809"/>
      <c r="J169" s="2809"/>
      <c r="K169" s="2809"/>
      <c r="L169" s="2809"/>
      <c r="M169" s="2809"/>
      <c r="N169" s="2409"/>
      <c r="O169" s="2410"/>
      <c r="P169" s="2409"/>
      <c r="Q169" s="2410"/>
      <c r="R169" s="2410"/>
      <c r="S169" s="2410"/>
      <c r="T169" s="2410"/>
      <c r="U169" s="2410"/>
      <c r="V169" s="2410"/>
      <c r="W169" s="2410"/>
      <c r="X169" s="2411">
        <v>0</v>
      </c>
      <c r="Y169" s="2411">
        <v>0</v>
      </c>
      <c r="Z169" s="2411">
        <f t="shared" si="121"/>
        <v>0</v>
      </c>
      <c r="AA169" s="2411">
        <v>0</v>
      </c>
      <c r="AB169" s="2411">
        <f t="shared" si="122"/>
        <v>0</v>
      </c>
      <c r="AC169" s="2411">
        <v>0</v>
      </c>
      <c r="AD169" s="2412">
        <f t="shared" si="123"/>
        <v>0</v>
      </c>
      <c r="AE169" s="2411"/>
      <c r="AF169" s="2411">
        <f t="shared" si="124"/>
        <v>0</v>
      </c>
      <c r="AG169" s="2411">
        <f t="shared" si="125"/>
        <v>0</v>
      </c>
      <c r="AH169" s="2412">
        <f>IFERROR(VLOOKUP($A169,F13_21_22!$B$14:$O$217,9,0),0)</f>
        <v>334.37675699999994</v>
      </c>
      <c r="AI169" s="2412">
        <f>IFERROR(VLOOKUP($A169,F13_21_22!$B$14:$O$217,10,0),0)</f>
        <v>196.62611718749997</v>
      </c>
      <c r="AJ169" s="2412">
        <f t="shared" si="126"/>
        <v>5.8803763440860211</v>
      </c>
      <c r="AK169" s="2412">
        <f>IFERROR(VLOOKUP($A169,F13_21_22!$B$14:$O$217,11,0),0)</f>
        <v>75.375208562939989</v>
      </c>
      <c r="AL169" s="2401">
        <f t="shared" si="127"/>
        <v>2.2542</v>
      </c>
      <c r="AM169" s="2412">
        <f>IFERROR(VLOOKUP($A169,F13_21_22!$B$14:$O$217,12,0),0)</f>
        <v>0</v>
      </c>
      <c r="AN169" s="2412">
        <f t="shared" si="128"/>
        <v>0</v>
      </c>
      <c r="AO169" s="2411"/>
      <c r="AP169" s="2411">
        <f t="shared" si="129"/>
        <v>272.00132575043995</v>
      </c>
      <c r="AQ169" s="2411">
        <f t="shared" si="130"/>
        <v>8.134576344086021</v>
      </c>
      <c r="AR169" s="2406">
        <f>IFERROR(VLOOKUP($A169,F13_22_23!$B$14:$O$215,9,0),0)</f>
        <v>6193.3463884401526</v>
      </c>
      <c r="AS169" s="2406">
        <f>IFERROR(VLOOKUP($A169,F13_22_23!$B$14:$O$215,10,0),0)</f>
        <v>2359.5134062499997</v>
      </c>
      <c r="AT169" s="2406">
        <f t="shared" si="131"/>
        <v>3.8097552732623168</v>
      </c>
      <c r="AU169" s="2406">
        <f>IFERROR(VLOOKUP($A169,F13_22_23!$B$14:$O$215,11,0),0)</f>
        <v>1424.0262257398228</v>
      </c>
      <c r="AV169" s="2406">
        <f t="shared" si="132"/>
        <v>2.2992840000000001</v>
      </c>
      <c r="AW169" s="2406">
        <f>IFERROR(VLOOKUP($A169,F13_22_23!$B$14:$O$215,12,0),0)</f>
        <v>0</v>
      </c>
      <c r="AX169" s="2406"/>
      <c r="AY169" s="2406">
        <f t="shared" si="133"/>
        <v>3783.5396319898227</v>
      </c>
      <c r="AZ169" s="2406">
        <f t="shared" si="134"/>
        <v>6.1090392732623178</v>
      </c>
    </row>
    <row r="170" spans="1:52" s="2415" customFormat="1">
      <c r="A170" s="2417" t="s">
        <v>211</v>
      </c>
      <c r="B170" s="2809"/>
      <c r="C170" s="2809"/>
      <c r="D170" s="2809"/>
      <c r="E170" s="2809"/>
      <c r="F170" s="2809"/>
      <c r="G170" s="2809"/>
      <c r="H170" s="2809"/>
      <c r="I170" s="2809"/>
      <c r="J170" s="2809"/>
      <c r="K170" s="2809"/>
      <c r="L170" s="2809"/>
      <c r="M170" s="2809"/>
      <c r="N170" s="2400">
        <f>SUM(N151:N169,N143:N149)</f>
        <v>42765.278408000013</v>
      </c>
      <c r="O170" s="2400">
        <f>SUM(O151:O169,O143:O149)</f>
        <v>9316.2840405269999</v>
      </c>
      <c r="P170" s="2400">
        <f t="shared" si="116"/>
        <v>2.1784691664217535</v>
      </c>
      <c r="Q170" s="2400">
        <f>SUM(Q151:Q169,Q143:Q149)</f>
        <v>9209.3980461840001</v>
      </c>
      <c r="R170" s="2400">
        <f t="shared" si="117"/>
        <v>2.1534755271138879</v>
      </c>
      <c r="S170" s="2400">
        <f>SUM(S151:S169,S143:S149)</f>
        <v>3955.7371231999991</v>
      </c>
      <c r="T170" s="2400">
        <f t="shared" si="118"/>
        <v>0.92498804414658209</v>
      </c>
      <c r="U170" s="2400"/>
      <c r="V170" s="2400">
        <f>SUM(V151:V169,V143:V149)</f>
        <v>22481.419209911001</v>
      </c>
      <c r="W170" s="2400">
        <f t="shared" si="120"/>
        <v>5.2569327376822237</v>
      </c>
      <c r="X170" s="2401">
        <f>SUM(X151:X169,X143:X149)</f>
        <v>55296.852389299995</v>
      </c>
      <c r="Y170" s="2401">
        <f>SUM(Y151:Y169,Y143:Y149)</f>
        <v>12102.582576544002</v>
      </c>
      <c r="Z170" s="2401">
        <f>IFERROR(Y170/X170*10,0)</f>
        <v>2.1886566872449804</v>
      </c>
      <c r="AA170" s="2401">
        <f>SUM(AA151:AA169,AA143:AA149)</f>
        <v>12672.814877134</v>
      </c>
      <c r="AB170" s="2401">
        <f>IFERROR(AA170/X170*10,0)</f>
        <v>2.2917787052172618</v>
      </c>
      <c r="AC170" s="2401">
        <f>SUM(AC151:AC169,AC143:AC149)</f>
        <v>1984.1296421670004</v>
      </c>
      <c r="AD170" s="2401">
        <f>IFERROR(AC170/X170*10,0)</f>
        <v>0.3588142102914581</v>
      </c>
      <c r="AE170" s="2401"/>
      <c r="AF170" s="2401">
        <f>SUM(AF151:AF169,AF143:AF149)</f>
        <v>26759.527095845002</v>
      </c>
      <c r="AG170" s="2401">
        <f>IFERROR(AF170/X170*10,0)</f>
        <v>4.8392496027537009</v>
      </c>
      <c r="AH170" s="2401">
        <f>SUM(AH151:AH169,AH143:AH149)</f>
        <v>58051.188945229151</v>
      </c>
      <c r="AI170" s="2401">
        <f>SUM(AI151:AI169,AI143:AI149)</f>
        <v>14358.7789926968</v>
      </c>
      <c r="AJ170" s="2412">
        <f>IFERROR(AI170/AH170*10,0)</f>
        <v>2.4734685462246429</v>
      </c>
      <c r="AK170" s="2401">
        <f>SUM(AK151:AK169,AK143:AK149)</f>
        <v>13914.377854083321</v>
      </c>
      <c r="AL170" s="2412">
        <f>IFERROR(AK170/AH170*10,0)</f>
        <v>2.3969152237711149</v>
      </c>
      <c r="AM170" s="2401">
        <f>SUM(AM151:AM169,AM143:AM149)</f>
        <v>24.396026229999986</v>
      </c>
      <c r="AN170" s="2412">
        <f>IFERROR(AM170/AH170*10,0)</f>
        <v>4.2025024247164776E-3</v>
      </c>
      <c r="AO170" s="2401">
        <v>0</v>
      </c>
      <c r="AP170" s="2401">
        <f>SUM(AP151:AP169,AP143:AP149)</f>
        <v>28297.552873010129</v>
      </c>
      <c r="AQ170" s="2401">
        <f>IFERROR(AP170/AH170*10,0)</f>
        <v>4.8745862724204763</v>
      </c>
      <c r="AR170" s="2401">
        <f>SUM(AR151:AR169,AR143:AR149)</f>
        <v>51115.460268112583</v>
      </c>
      <c r="AS170" s="2401">
        <f>SUM(AS151:AS169,AS143:AS149)</f>
        <v>15632.729482907258</v>
      </c>
      <c r="AT170" s="2407"/>
      <c r="AU170" s="2401">
        <f>SUM(AU151:AU169,AU143:AU149)</f>
        <v>11908.917707954777</v>
      </c>
      <c r="AV170" s="2407"/>
      <c r="AW170" s="2407"/>
      <c r="AX170" s="2407"/>
      <c r="AY170" s="2401">
        <f>SUM(AY151:AY169,AY143:AY149)</f>
        <v>27541.647190862033</v>
      </c>
      <c r="AZ170" s="2407"/>
    </row>
    <row r="171" spans="1:52" s="2350" customFormat="1">
      <c r="A171" s="2404"/>
      <c r="B171" s="2405"/>
      <c r="C171" s="2405"/>
      <c r="D171" s="2809"/>
      <c r="E171" s="2809"/>
      <c r="F171" s="2809"/>
      <c r="G171" s="2809"/>
      <c r="H171" s="2809"/>
      <c r="I171" s="2809"/>
      <c r="J171" s="2809"/>
      <c r="K171" s="2809"/>
      <c r="L171" s="2809"/>
      <c r="M171" s="2809"/>
      <c r="N171" s="2400"/>
      <c r="O171" s="2400"/>
      <c r="P171" s="2400"/>
      <c r="Q171" s="2400"/>
      <c r="R171" s="2400"/>
      <c r="S171" s="2400"/>
      <c r="T171" s="2400"/>
      <c r="U171" s="2400"/>
      <c r="V171" s="2400"/>
      <c r="W171" s="2400"/>
      <c r="X171" s="2401"/>
      <c r="Y171" s="2401"/>
      <c r="Z171" s="2401"/>
      <c r="AA171" s="2401"/>
      <c r="AB171" s="2401"/>
      <c r="AC171" s="2401"/>
      <c r="AD171" s="2412"/>
      <c r="AE171" s="2401"/>
      <c r="AF171" s="2401"/>
      <c r="AG171" s="2401"/>
      <c r="AH171" s="2412"/>
      <c r="AI171" s="2412"/>
      <c r="AJ171" s="2412"/>
      <c r="AK171" s="2412"/>
      <c r="AL171" s="2401"/>
      <c r="AM171" s="2416"/>
      <c r="AN171" s="2412"/>
      <c r="AO171" s="2411"/>
      <c r="AP171" s="2411"/>
      <c r="AQ171" s="2411"/>
      <c r="AR171" s="2406"/>
      <c r="AS171" s="2406"/>
      <c r="AT171" s="2406"/>
      <c r="AU171" s="2406"/>
      <c r="AV171" s="2406"/>
      <c r="AW171" s="2406"/>
      <c r="AX171" s="2406"/>
      <c r="AY171" s="2406"/>
      <c r="AZ171" s="2406"/>
    </row>
    <row r="172" spans="1:52" s="2350" customFormat="1">
      <c r="A172" s="2404"/>
      <c r="B172" s="2405"/>
      <c r="C172" s="2405"/>
      <c r="D172" s="2809"/>
      <c r="E172" s="2809"/>
      <c r="F172" s="2809"/>
      <c r="G172" s="2809"/>
      <c r="H172" s="2809"/>
      <c r="I172" s="2809"/>
      <c r="J172" s="2809"/>
      <c r="K172" s="2809"/>
      <c r="L172" s="2809"/>
      <c r="M172" s="2809"/>
      <c r="N172" s="2400"/>
      <c r="O172" s="2400"/>
      <c r="P172" s="2400"/>
      <c r="Q172" s="2400"/>
      <c r="R172" s="2400"/>
      <c r="S172" s="2400"/>
      <c r="T172" s="2400"/>
      <c r="U172" s="2400"/>
      <c r="V172" s="2400"/>
      <c r="W172" s="2400"/>
      <c r="X172" s="2401"/>
      <c r="Y172" s="2401"/>
      <c r="Z172" s="2401"/>
      <c r="AA172" s="2401"/>
      <c r="AB172" s="2401"/>
      <c r="AC172" s="2401"/>
      <c r="AD172" s="2412"/>
      <c r="AE172" s="2401"/>
      <c r="AF172" s="2401"/>
      <c r="AG172" s="2401"/>
      <c r="AH172" s="2412"/>
      <c r="AI172" s="2412"/>
      <c r="AJ172" s="2412"/>
      <c r="AK172" s="2412"/>
      <c r="AL172" s="2412"/>
      <c r="AM172" s="2412"/>
      <c r="AN172" s="2412"/>
      <c r="AO172" s="2412"/>
      <c r="AP172" s="2412"/>
      <c r="AQ172" s="2412"/>
      <c r="AR172" s="2412"/>
      <c r="AS172" s="2412"/>
      <c r="AT172" s="2412"/>
      <c r="AU172" s="2412"/>
      <c r="AV172" s="2412"/>
      <c r="AW172" s="2412"/>
      <c r="AX172" s="2412"/>
      <c r="AY172" s="2412"/>
      <c r="AZ172" s="2412"/>
    </row>
    <row r="173" spans="1:52" s="2415" customFormat="1">
      <c r="A173" s="2420" t="s">
        <v>1781</v>
      </c>
      <c r="B173" s="2809"/>
      <c r="C173" s="2809"/>
      <c r="D173" s="2809"/>
      <c r="E173" s="2809"/>
      <c r="F173" s="2809"/>
      <c r="G173" s="2809"/>
      <c r="H173" s="2809"/>
      <c r="I173" s="2809"/>
      <c r="J173" s="2809"/>
      <c r="K173" s="2809"/>
      <c r="L173" s="2809"/>
      <c r="M173" s="2809"/>
      <c r="N173" s="2400" t="e">
        <f>SUM(N170,N30,N42,N87,N95,N114,N121,N131,N136,N139)</f>
        <v>#N/A</v>
      </c>
      <c r="O173" s="2400" t="e">
        <f>SUM(O170,O30,O42,O87,O95,O114,O121,O131,O136,O139)</f>
        <v>#N/A</v>
      </c>
      <c r="P173" s="2400">
        <f>IFERROR(O173/N173*10,0)</f>
        <v>0</v>
      </c>
      <c r="Q173" s="2400" t="e">
        <f>SUM(Q170,Q30,Q42,Q87,Q95,Q114,Q121,Q131,Q136,Q139)</f>
        <v>#N/A</v>
      </c>
      <c r="R173" s="2400">
        <f>IFERROR(Q173/N173*10,0)</f>
        <v>0</v>
      </c>
      <c r="S173" s="2400" t="e">
        <f>SUM(S170,S30,S42,S87,S95,S114,S121,S131,S136,S139)</f>
        <v>#N/A</v>
      </c>
      <c r="T173" s="2400">
        <f>IFERROR(S173/N173*10,0)</f>
        <v>0</v>
      </c>
      <c r="U173" s="2400"/>
      <c r="V173" s="2400" t="e">
        <f>SUM(V170,V30,V42,V87,V95,V114,V121,V131,V136,V139)</f>
        <v>#N/A</v>
      </c>
      <c r="W173" s="2400">
        <f>IFERROR(V173/N173*10,0)</f>
        <v>0</v>
      </c>
      <c r="X173" s="2401">
        <f>SUM(X170,X30,X42,X87,X95,X114,X121,X131,X136,X139)</f>
        <v>112441.72673795</v>
      </c>
      <c r="Y173" s="2401">
        <f>SUM(Y170,Y30,Y42,Y87,Y95,Y114,Y121,Y131,Y136,Y139)</f>
        <v>19418.919449233003</v>
      </c>
      <c r="Z173" s="2401"/>
      <c r="AA173" s="2401">
        <f>SUM(AA170,AA30,AA42,AA87,AA95,AA114,AA121,AA131,AA136,AA139)</f>
        <v>25469.212323544994</v>
      </c>
      <c r="AB173" s="2401"/>
      <c r="AC173" s="2401">
        <f>SUM(AC170,AC30,AC42,AC87,AC95,AC114,AC121,AC131,AC136,AC139)</f>
        <v>1955.8307635649999</v>
      </c>
      <c r="AD173" s="2401">
        <f>IFERROR(AC173/X173*10,0)</f>
        <v>0.17394172255315349</v>
      </c>
      <c r="AE173" s="2401"/>
      <c r="AF173" s="2401">
        <f>SUM(AF170,AF30,AF42,AF87,AF95,AF114,AF121,AF131,AF136,AF139)</f>
        <v>46843.962536343002</v>
      </c>
      <c r="AG173" s="2401">
        <f>IFERROR(AF173/X173*10,0)</f>
        <v>4.1660657387016791</v>
      </c>
      <c r="AH173" s="2401">
        <f>SUM(AH170,AH30,AH42,AH87,AH95,AH114,AH121,AH131,AH136,AH139)</f>
        <v>119419.38335493569</v>
      </c>
      <c r="AI173" s="2401">
        <f>SUM(AI170,AI30,AI42,AI87,AI95,AI114,AI121,AI131,AI136,AI139)</f>
        <v>22423.869318109413</v>
      </c>
      <c r="AJ173" s="2401">
        <f>IFERROR(AI173/AH173*10,0)</f>
        <v>1.8777411746853254</v>
      </c>
      <c r="AK173" s="2401">
        <f>SUM(AK170,AK30,AK42,AK87,AK95,AK114,AK121,AK131,AK136,AK139)</f>
        <v>27312.01138594604</v>
      </c>
      <c r="AL173" s="2401">
        <f>IFERROR(AK173/AH173*10,0)</f>
        <v>2.2870668578793336</v>
      </c>
      <c r="AM173" s="2401">
        <f>SUM(AM170,AM30,AM42,AM87,AM95,AM114,AM121,AM131,AM136,AM139)</f>
        <v>1369.7150430300001</v>
      </c>
      <c r="AN173" s="2412">
        <f>IFERROR(AM173/AH173*10,0)</f>
        <v>0.11469788275149294</v>
      </c>
      <c r="AO173" s="2401">
        <f>SUM(AO170,AO30,AO42,AO87,AO95,AO114,AO121,AO131,AO136,AO139)</f>
        <v>0</v>
      </c>
      <c r="AP173" s="2401">
        <f>SUM(AP170,AP30,AP42,AP87,AP95,AP114,AP121,AP131,AP136,AP139)</f>
        <v>51105.595747085456</v>
      </c>
      <c r="AQ173" s="2401">
        <f>IFERROR(AP173/AH173*10,0)</f>
        <v>4.2795059153161521</v>
      </c>
      <c r="AR173" s="2401">
        <f>SUM(AR170,AR30,AR42,AR87,AR95,AR114,AR121,AR131,AR136,AR139)</f>
        <v>109802.87637708252</v>
      </c>
      <c r="AS173" s="2401">
        <f>SUM(AS170,AS30,AS42,AS87,AS95,AS114,AS121,AS131,AS136,AS139)</f>
        <v>26686.037055891629</v>
      </c>
      <c r="AT173" s="2407">
        <f>IFERROR(AS173/AR173*10,0)</f>
        <v>2.4303586514662014</v>
      </c>
      <c r="AU173" s="2401">
        <f>SUM(AU170,AU30,AU42,AU87,AU95,AU114,AU121,AU131,AU136,AU139)</f>
        <v>24983.605112319765</v>
      </c>
      <c r="AV173" s="2407">
        <f>IFERROR(AU173/AR173*10,0)</f>
        <v>2.2753142664971402</v>
      </c>
      <c r="AW173" s="2401">
        <f>SUM(AW170,AW30,AW42,AW87,AW95,AW114,AW121,AW131,AW136,AW139)</f>
        <v>0</v>
      </c>
      <c r="AX173" s="2401">
        <f>SUM(AX170,AX30,AX42,AX87,AX95,AX114,AX121,AX131,AX136,AX139)</f>
        <v>0</v>
      </c>
      <c r="AY173" s="2401">
        <f>SUM(AY170,AY30,AY42,AY87,AY95,AY114,AY121,AY131,AY136,AY139)</f>
        <v>51669.642168211401</v>
      </c>
      <c r="AZ173" s="2407">
        <f>IFERROR(AY173/AR173*10,0)</f>
        <v>4.7056729179633425</v>
      </c>
    </row>
    <row r="174" spans="1:52" s="2350" customFormat="1">
      <c r="A174" s="2421"/>
      <c r="B174" s="2405"/>
      <c r="C174" s="2405"/>
      <c r="D174" s="2809"/>
      <c r="E174" s="2809"/>
      <c r="F174" s="2809"/>
      <c r="G174" s="2809"/>
      <c r="H174" s="2809"/>
      <c r="I174" s="2809"/>
      <c r="J174" s="2809"/>
      <c r="K174" s="2809"/>
      <c r="L174" s="2809"/>
      <c r="M174" s="2809"/>
      <c r="N174" s="2400"/>
      <c r="O174" s="2400"/>
      <c r="P174" s="2400"/>
      <c r="Q174" s="2400"/>
      <c r="R174" s="2400"/>
      <c r="S174" s="2400"/>
      <c r="T174" s="2400"/>
      <c r="U174" s="2400"/>
      <c r="V174" s="2400"/>
      <c r="W174" s="2400"/>
      <c r="X174" s="2401"/>
      <c r="Y174" s="2401"/>
      <c r="Z174" s="2401"/>
      <c r="AA174" s="2401"/>
      <c r="AB174" s="2401"/>
      <c r="AC174" s="2401"/>
      <c r="AD174" s="2412"/>
      <c r="AE174" s="2401"/>
      <c r="AF174" s="2401"/>
      <c r="AG174" s="2401"/>
      <c r="AH174" s="2412"/>
      <c r="AI174" s="2412"/>
      <c r="AJ174" s="2412"/>
      <c r="AK174" s="2412"/>
      <c r="AL174" s="2412"/>
      <c r="AM174" s="2412"/>
      <c r="AN174" s="2412"/>
      <c r="AO174" s="2412"/>
      <c r="AP174" s="2412"/>
      <c r="AQ174" s="2412"/>
      <c r="AR174" s="2412"/>
      <c r="AS174" s="2412"/>
      <c r="AT174" s="2412"/>
      <c r="AU174" s="2412"/>
      <c r="AV174" s="2412"/>
      <c r="AW174" s="2412"/>
      <c r="AX174" s="2412"/>
      <c r="AY174" s="2412"/>
      <c r="AZ174" s="2412"/>
    </row>
    <row r="175" spans="1:52" s="2350" customFormat="1">
      <c r="A175" s="2421" t="s">
        <v>1782</v>
      </c>
      <c r="B175" s="2405"/>
      <c r="C175" s="2405"/>
      <c r="D175" s="2809"/>
      <c r="E175" s="2809"/>
      <c r="F175" s="2809"/>
      <c r="G175" s="2809"/>
      <c r="H175" s="2809"/>
      <c r="I175" s="2809"/>
      <c r="J175" s="2809"/>
      <c r="K175" s="2809"/>
      <c r="L175" s="2809"/>
      <c r="M175" s="2809"/>
      <c r="N175" s="2400"/>
      <c r="O175" s="2400"/>
      <c r="P175" s="2400"/>
      <c r="Q175" s="2400"/>
      <c r="R175" s="2400"/>
      <c r="S175" s="2400"/>
      <c r="T175" s="2400"/>
      <c r="U175" s="2400"/>
      <c r="V175" s="2400"/>
      <c r="W175" s="2400"/>
      <c r="X175" s="2401"/>
      <c r="Y175" s="2401"/>
      <c r="Z175" s="2401"/>
      <c r="AA175" s="2401"/>
      <c r="AB175" s="2401"/>
      <c r="AC175" s="2401"/>
      <c r="AD175" s="2412"/>
      <c r="AE175" s="2401"/>
      <c r="AF175" s="2401"/>
      <c r="AG175" s="2401"/>
      <c r="AH175" s="2412"/>
      <c r="AI175" s="2412"/>
      <c r="AJ175" s="2412"/>
      <c r="AK175" s="2412"/>
      <c r="AL175" s="2401"/>
      <c r="AM175" s="2416"/>
      <c r="AN175" s="2412"/>
      <c r="AO175" s="2411"/>
      <c r="AP175" s="2411"/>
      <c r="AQ175" s="2411"/>
      <c r="AR175" s="2406"/>
      <c r="AS175" s="2406"/>
      <c r="AT175" s="2406"/>
      <c r="AU175" s="2406"/>
      <c r="AV175" s="2406"/>
      <c r="AW175" s="2406"/>
      <c r="AX175" s="2406"/>
      <c r="AY175" s="2406"/>
      <c r="AZ175" s="2406"/>
    </row>
    <row r="176" spans="1:52" s="2350" customFormat="1">
      <c r="A176" s="2421"/>
      <c r="B176" s="2405"/>
      <c r="C176" s="2405"/>
      <c r="D176" s="2809"/>
      <c r="E176" s="2809"/>
      <c r="F176" s="2809"/>
      <c r="G176" s="2809"/>
      <c r="H176" s="2809"/>
      <c r="I176" s="2809"/>
      <c r="J176" s="2809"/>
      <c r="K176" s="2809"/>
      <c r="L176" s="2809"/>
      <c r="M176" s="2809"/>
      <c r="N176" s="2400"/>
      <c r="O176" s="2400"/>
      <c r="P176" s="2400"/>
      <c r="Q176" s="2400"/>
      <c r="R176" s="2400"/>
      <c r="S176" s="2400"/>
      <c r="T176" s="2400"/>
      <c r="U176" s="2400"/>
      <c r="V176" s="2400"/>
      <c r="W176" s="2400"/>
      <c r="X176" s="2401"/>
      <c r="Y176" s="2401"/>
      <c r="Z176" s="2401"/>
      <c r="AA176" s="2401"/>
      <c r="AB176" s="2401"/>
      <c r="AC176" s="2401"/>
      <c r="AD176" s="2412"/>
      <c r="AE176" s="2401"/>
      <c r="AF176" s="2401"/>
      <c r="AG176" s="2401"/>
      <c r="AH176" s="2412"/>
      <c r="AI176" s="2412"/>
      <c r="AJ176" s="2412"/>
      <c r="AK176" s="2412"/>
      <c r="AL176" s="2401"/>
      <c r="AM176" s="2416"/>
      <c r="AN176" s="2412"/>
      <c r="AO176" s="2411"/>
      <c r="AP176" s="2411"/>
      <c r="AQ176" s="2411"/>
      <c r="AR176" s="2406"/>
      <c r="AS176" s="2406"/>
      <c r="AT176" s="2406"/>
      <c r="AU176" s="2406"/>
      <c r="AV176" s="2406"/>
      <c r="AW176" s="2406"/>
      <c r="AX176" s="2406"/>
      <c r="AY176" s="2406"/>
      <c r="AZ176" s="2406"/>
    </row>
    <row r="177" spans="1:52" s="2350" customFormat="1">
      <c r="A177" s="2421" t="s">
        <v>1783</v>
      </c>
      <c r="B177" s="2405"/>
      <c r="C177" s="2405"/>
      <c r="D177" s="2809"/>
      <c r="E177" s="2809"/>
      <c r="F177" s="2809"/>
      <c r="G177" s="2809"/>
      <c r="H177" s="2809"/>
      <c r="I177" s="2809"/>
      <c r="J177" s="2809"/>
      <c r="K177" s="2809"/>
      <c r="L177" s="2809"/>
      <c r="M177" s="2809"/>
      <c r="N177" s="2400">
        <v>-362.85430400000007</v>
      </c>
      <c r="O177" s="2400">
        <v>0</v>
      </c>
      <c r="P177" s="2409">
        <f>IFERROR(O177/N177*10,0)</f>
        <v>0</v>
      </c>
      <c r="Q177" s="2400">
        <v>-67.615855929999981</v>
      </c>
      <c r="R177" s="2410">
        <f>IFERROR(Q177/N177*10,0)</f>
        <v>1.8634436793121232</v>
      </c>
      <c r="S177" s="2400">
        <v>6.2001199999999999E-2</v>
      </c>
      <c r="T177" s="2410">
        <f>IFERROR(S177/N177*10,0)</f>
        <v>-1.7087078564734343E-3</v>
      </c>
      <c r="U177" s="2400"/>
      <c r="V177" s="2410">
        <f>SUM(O177,Q177,S177)</f>
        <v>-67.553854729999983</v>
      </c>
      <c r="W177" s="2410">
        <f>IFERROR(V177/N177*10,0)</f>
        <v>1.8617349714556499</v>
      </c>
      <c r="X177" s="2411">
        <v>0</v>
      </c>
      <c r="Y177" s="2411">
        <v>0</v>
      </c>
      <c r="Z177" s="2411">
        <f>IFERROR(Y177/X177*10,0)</f>
        <v>0</v>
      </c>
      <c r="AA177" s="2411">
        <v>0</v>
      </c>
      <c r="AB177" s="2411">
        <f>IFERROR(AA177/X177*10,0)</f>
        <v>0</v>
      </c>
      <c r="AC177" s="2411">
        <v>0</v>
      </c>
      <c r="AD177" s="2412">
        <f>IFERROR(AC177/X177*10,0)</f>
        <v>0</v>
      </c>
      <c r="AE177" s="2411"/>
      <c r="AF177" s="2411">
        <f>Y177+AA177+AC177+AE177</f>
        <v>0</v>
      </c>
      <c r="AG177" s="2411">
        <f>IFERROR(AF177/X177*10,0)</f>
        <v>0</v>
      </c>
      <c r="AH177" s="2412">
        <f>IFERROR(VLOOKUP($A177,F13_21_22!$B$14:$O$217,9,0),0)</f>
        <v>420.04451168565527</v>
      </c>
      <c r="AI177" s="2412">
        <f>IFERROR(VLOOKUP($A177,F13_21_22!$B$14:$O$217,10,0),0)</f>
        <v>0</v>
      </c>
      <c r="AJ177" s="2412">
        <f>IFERROR(AI177/AH177*10,0)</f>
        <v>0</v>
      </c>
      <c r="AK177" s="2412">
        <f>IFERROR(VLOOKUP($A177,F13_21_22!$B$14:$O$217,11,0),0)</f>
        <v>231.0244814271104</v>
      </c>
      <c r="AL177" s="2401">
        <f>IFERROR(AK177/AH177*10,0)</f>
        <v>5.5</v>
      </c>
      <c r="AM177" s="2412">
        <f>IFERROR(VLOOKUP($A177,F13_21_22!$B$14:$O$217,12,0),0)</f>
        <v>0</v>
      </c>
      <c r="AN177" s="2412">
        <f>IFERROR(AM177/AH177*10,0)</f>
        <v>0</v>
      </c>
      <c r="AO177" s="2411"/>
      <c r="AP177" s="2411">
        <f>SUM(AK177,AI177,AM177,AO177)</f>
        <v>231.0244814271104</v>
      </c>
      <c r="AQ177" s="2411">
        <f>IFERROR(AP177/AH177*10,0)</f>
        <v>5.5</v>
      </c>
      <c r="AR177" s="2406">
        <f>IFERROR(VLOOKUP($A177,F13_22_23!$B$14:$O$215,9,0),0)</f>
        <v>2720</v>
      </c>
      <c r="AS177" s="2406">
        <f>IFERROR(VLOOKUP($A177,F13_22_23!$B$14:$O$215,10,0),0)</f>
        <v>0</v>
      </c>
      <c r="AT177" s="2406">
        <f>IFERROR(AS177/AR177*10,0)</f>
        <v>0</v>
      </c>
      <c r="AU177" s="2406">
        <f>IFERROR(VLOOKUP($A177,F13_22_23!$B$14:$O$215,11,0),0)</f>
        <v>1496</v>
      </c>
      <c r="AV177" s="2406">
        <f>IFERROR(AU177/AR177*10,0)</f>
        <v>5.5</v>
      </c>
      <c r="AW177" s="2406">
        <f>IFERROR(VLOOKUP($A177,F13_22_23!$B$14:$O$215,12,0),0)</f>
        <v>0</v>
      </c>
      <c r="AX177" s="2406"/>
      <c r="AY177" s="2406">
        <f>AS177+AU177</f>
        <v>1496</v>
      </c>
      <c r="AZ177" s="2406">
        <f>IFERROR(AY177/AR177*10,0)</f>
        <v>5.5</v>
      </c>
    </row>
    <row r="178" spans="1:52" s="2350" customFormat="1">
      <c r="A178" s="2421" t="s">
        <v>1784</v>
      </c>
      <c r="B178" s="2405"/>
      <c r="C178" s="2405"/>
      <c r="D178" s="2809"/>
      <c r="E178" s="2809"/>
      <c r="F178" s="2809"/>
      <c r="G178" s="2809"/>
      <c r="H178" s="2809"/>
      <c r="I178" s="2809"/>
      <c r="J178" s="2809"/>
      <c r="K178" s="2809"/>
      <c r="L178" s="2809"/>
      <c r="M178" s="2809"/>
      <c r="N178" s="2400"/>
      <c r="O178" s="2400"/>
      <c r="P178" s="2400"/>
      <c r="Q178" s="2400"/>
      <c r="R178" s="2400"/>
      <c r="S178" s="2400"/>
      <c r="T178" s="2400"/>
      <c r="U178" s="2400"/>
      <c r="V178" s="2400"/>
      <c r="W178" s="2400"/>
      <c r="X178" s="2411">
        <v>0</v>
      </c>
      <c r="Y178" s="2411">
        <v>0</v>
      </c>
      <c r="Z178" s="2411">
        <f>IFERROR(Y178/X178*10,0)</f>
        <v>0</v>
      </c>
      <c r="AA178" s="2411">
        <v>0</v>
      </c>
      <c r="AB178" s="2411">
        <f>IFERROR(AA178/X178*10,0)</f>
        <v>0</v>
      </c>
      <c r="AC178" s="2411">
        <v>0</v>
      </c>
      <c r="AD178" s="2412">
        <f>IFERROR(AC178/X178*10,0)</f>
        <v>0</v>
      </c>
      <c r="AE178" s="2411"/>
      <c r="AF178" s="2411">
        <f>Y178+AA178+AC178+AE178</f>
        <v>0</v>
      </c>
      <c r="AG178" s="2411">
        <f>IFERROR(AF178/X178*10,0)</f>
        <v>0</v>
      </c>
      <c r="AH178" s="2401">
        <f>AH177</f>
        <v>420.04451168565527</v>
      </c>
      <c r="AI178" s="2412">
        <f>AI177</f>
        <v>0</v>
      </c>
      <c r="AJ178" s="2412">
        <f>IFERROR(AI178/AH178*10,0)</f>
        <v>0</v>
      </c>
      <c r="AK178" s="2412">
        <f>IFERROR(VLOOKUP($A178,F13_21_22!$B$14:$O$217,11,0),0)</f>
        <v>231.0244814271104</v>
      </c>
      <c r="AL178" s="2401">
        <f>IFERROR(AK178/AH178*10,0)</f>
        <v>5.5</v>
      </c>
      <c r="AM178" s="2412">
        <f>IFERROR(VLOOKUP($A178,F13_21_22!$B$14:$O$217,12,0),0)</f>
        <v>0</v>
      </c>
      <c r="AN178" s="2412">
        <f>IFERROR(AM178/AH178*10,0)</f>
        <v>0</v>
      </c>
      <c r="AO178" s="2411"/>
      <c r="AP178" s="2411">
        <f>SUM(AK178,AI178,AM178,AO178)</f>
        <v>231.0244814271104</v>
      </c>
      <c r="AQ178" s="2411">
        <f>IFERROR(AP178/AH178*10,0)</f>
        <v>5.5</v>
      </c>
      <c r="AR178" s="2406">
        <f>AR177</f>
        <v>2720</v>
      </c>
      <c r="AS178" s="2406">
        <f>AS177</f>
        <v>0</v>
      </c>
      <c r="AT178" s="2406">
        <f>AT177</f>
        <v>0</v>
      </c>
      <c r="AU178" s="2406">
        <f>AU177</f>
        <v>1496</v>
      </c>
      <c r="AV178" s="2406">
        <f>IFERROR(AU178/AR178*10,0)</f>
        <v>5.5</v>
      </c>
      <c r="AW178" s="2406">
        <f>IFERROR(VLOOKUP($A178,F13_22_23!$B$14:$O$215,12,0),0)</f>
        <v>0</v>
      </c>
      <c r="AX178" s="2406"/>
      <c r="AY178" s="2406">
        <f>AS178+AU178</f>
        <v>1496</v>
      </c>
      <c r="AZ178" s="2406">
        <f>IFERROR(AY178/AR178*10,0)</f>
        <v>5.5</v>
      </c>
    </row>
    <row r="179" spans="1:52" s="2350" customFormat="1">
      <c r="A179" s="2421"/>
      <c r="B179" s="2405"/>
      <c r="C179" s="2405"/>
      <c r="D179" s="2809"/>
      <c r="E179" s="2809"/>
      <c r="F179" s="2809"/>
      <c r="G179" s="2809"/>
      <c r="H179" s="2809"/>
      <c r="I179" s="2809"/>
      <c r="J179" s="2809"/>
      <c r="K179" s="2809"/>
      <c r="L179" s="2809"/>
      <c r="M179" s="2809"/>
      <c r="N179" s="2400"/>
      <c r="O179" s="2400"/>
      <c r="P179" s="2400"/>
      <c r="Q179" s="2400"/>
      <c r="R179" s="2400"/>
      <c r="S179" s="2400"/>
      <c r="T179" s="2400"/>
      <c r="U179" s="2400"/>
      <c r="V179" s="2400"/>
      <c r="W179" s="2400"/>
      <c r="X179" s="2401"/>
      <c r="Y179" s="2401"/>
      <c r="Z179" s="2401"/>
      <c r="AA179" s="2401"/>
      <c r="AB179" s="2401"/>
      <c r="AC179" s="2401"/>
      <c r="AD179" s="2412"/>
      <c r="AE179" s="2401"/>
      <c r="AF179" s="2401"/>
      <c r="AG179" s="2401"/>
      <c r="AH179" s="2412"/>
      <c r="AI179" s="2412"/>
      <c r="AJ179" s="2412"/>
      <c r="AK179" s="2412"/>
      <c r="AL179" s="2401"/>
      <c r="AM179" s="2416"/>
      <c r="AN179" s="2412"/>
      <c r="AO179" s="2411"/>
      <c r="AP179" s="2411"/>
      <c r="AQ179" s="2411"/>
      <c r="AR179" s="2406"/>
      <c r="AS179" s="2406"/>
      <c r="AT179" s="2406"/>
      <c r="AU179" s="2406"/>
      <c r="AV179" s="2406"/>
      <c r="AW179" s="2406"/>
      <c r="AX179" s="2406"/>
      <c r="AY179" s="2406"/>
      <c r="AZ179" s="2406"/>
    </row>
    <row r="180" spans="1:52" s="2350" customFormat="1">
      <c r="A180" s="2421" t="s">
        <v>1785</v>
      </c>
      <c r="B180" s="2405"/>
      <c r="C180" s="2405"/>
      <c r="D180" s="2809"/>
      <c r="E180" s="2809"/>
      <c r="F180" s="2809"/>
      <c r="G180" s="2809"/>
      <c r="H180" s="2809"/>
      <c r="I180" s="2809"/>
      <c r="J180" s="2809"/>
      <c r="K180" s="2809"/>
      <c r="L180" s="2809"/>
      <c r="M180" s="2809"/>
      <c r="N180" s="2400"/>
      <c r="O180" s="2400"/>
      <c r="P180" s="2400"/>
      <c r="Q180" s="2400"/>
      <c r="R180" s="2400"/>
      <c r="S180" s="2400"/>
      <c r="T180" s="2400"/>
      <c r="U180" s="2400"/>
      <c r="V180" s="2400"/>
      <c r="W180" s="2400"/>
      <c r="X180" s="2401"/>
      <c r="Y180" s="2401"/>
      <c r="Z180" s="2401"/>
      <c r="AA180" s="2401"/>
      <c r="AB180" s="2401"/>
      <c r="AC180" s="2401"/>
      <c r="AD180" s="2412"/>
      <c r="AE180" s="2401"/>
      <c r="AF180" s="2401"/>
      <c r="AG180" s="2401"/>
      <c r="AH180" s="2412"/>
      <c r="AI180" s="2412"/>
      <c r="AJ180" s="2412"/>
      <c r="AK180" s="2412"/>
      <c r="AL180" s="2401"/>
      <c r="AM180" s="2416"/>
      <c r="AN180" s="2412"/>
      <c r="AO180" s="2411"/>
      <c r="AP180" s="2411"/>
      <c r="AQ180" s="2411"/>
      <c r="AR180" s="2406"/>
      <c r="AS180" s="2406"/>
      <c r="AT180" s="2406"/>
      <c r="AU180" s="2406"/>
      <c r="AV180" s="2406"/>
      <c r="AW180" s="2406"/>
      <c r="AX180" s="2406"/>
      <c r="AY180" s="2406"/>
      <c r="AZ180" s="2406"/>
    </row>
    <row r="181" spans="1:52" s="2350" customFormat="1">
      <c r="A181" s="2421" t="s">
        <v>1786</v>
      </c>
      <c r="B181" s="2405" t="s">
        <v>1717</v>
      </c>
      <c r="C181" s="2405">
        <v>2</v>
      </c>
      <c r="D181" s="2809"/>
      <c r="E181" s="2809"/>
      <c r="F181" s="2809"/>
      <c r="G181" s="2809"/>
      <c r="H181" s="2809"/>
      <c r="I181" s="2809"/>
      <c r="J181" s="2809"/>
      <c r="K181" s="2809"/>
      <c r="L181" s="2809"/>
      <c r="M181" s="2809"/>
      <c r="N181" s="2400"/>
      <c r="O181" s="2400"/>
      <c r="P181" s="2400"/>
      <c r="Q181" s="2400"/>
      <c r="R181" s="2400"/>
      <c r="S181" s="2400"/>
      <c r="T181" s="2400"/>
      <c r="U181" s="2400"/>
      <c r="V181" s="2400"/>
      <c r="W181" s="2400"/>
      <c r="X181" s="2411">
        <v>3563.0984422000001</v>
      </c>
      <c r="Y181" s="2411">
        <v>0</v>
      </c>
      <c r="Z181" s="2411">
        <f>IFERROR(Y181/X181*10,0)</f>
        <v>0</v>
      </c>
      <c r="AA181" s="2411">
        <v>1142.5618242010005</v>
      </c>
      <c r="AB181" s="2411">
        <f>IFERROR(AA181/X181*10,0)</f>
        <v>3.206652419896479</v>
      </c>
      <c r="AC181" s="2411">
        <v>61.283011966999993</v>
      </c>
      <c r="AD181" s="2412">
        <f>IFERROR(AC181/X181*10,0)</f>
        <v>0.17199359759805399</v>
      </c>
      <c r="AE181" s="2411"/>
      <c r="AF181" s="2411">
        <f>Y181+AA181+AC181+AE181</f>
        <v>1203.8448361680005</v>
      </c>
      <c r="AG181" s="2411">
        <f>IFERROR(AF181/X181*10,0)</f>
        <v>3.3786460174945332</v>
      </c>
      <c r="AH181" s="2412">
        <f>IFERROR(VLOOKUP($A181,F13_21_22!$B$14:$O$217,9,0),0)</f>
        <v>1958.725561</v>
      </c>
      <c r="AI181" s="2412">
        <f>IFERROR(VLOOKUP($A181,F13_21_22!$B$14:$O$217,10,0),0)</f>
        <v>110.755068794</v>
      </c>
      <c r="AJ181" s="2412">
        <f>IFERROR(AI181/AH181*10,0)</f>
        <v>0.56544454720576343</v>
      </c>
      <c r="AK181" s="2412">
        <f>IFERROR(VLOOKUP($A181,F13_21_22!$B$14:$O$217,11,0),0)</f>
        <v>565.83048354627772</v>
      </c>
      <c r="AL181" s="2401">
        <f>IFERROR(AK181/AH181*10,0)</f>
        <v>2.8887685687697919</v>
      </c>
      <c r="AM181" s="2412">
        <f>IFERROR(VLOOKUP($A181,F13_21_22!$B$14:$O$217,12,0),0)</f>
        <v>0.95335763100000004</v>
      </c>
      <c r="AN181" s="2412">
        <f>IFERROR(AM181/AH181*10,0)</f>
        <v>4.8672343383994879E-3</v>
      </c>
      <c r="AO181" s="2411"/>
      <c r="AP181" s="2411">
        <f>SUM(AK181,AI181,AM181,AO181)</f>
        <v>677.53890997127769</v>
      </c>
      <c r="AQ181" s="2411">
        <f>IFERROR(AP181/AH181*10,0)</f>
        <v>3.4590803503139544</v>
      </c>
      <c r="AR181" s="2406">
        <f>IFERROR(VLOOKUP($A181,F13_22_23!$B$14:$O$215,9,0),0)</f>
        <v>3934.1422799999991</v>
      </c>
      <c r="AS181" s="2406">
        <f>IFERROR(VLOOKUP($A181,F13_22_23!$B$14:$O$215,10,0),0)</f>
        <v>0</v>
      </c>
      <c r="AT181" s="2406">
        <f>IFERROR(AS181/AR181*10,0)</f>
        <v>0</v>
      </c>
      <c r="AU181" s="2406">
        <f>IFERROR(VLOOKUP($A181,F13_22_23!$B$14:$O$215,11,0),0)</f>
        <v>1261.542686237904</v>
      </c>
      <c r="AV181" s="2406">
        <f>IFERROR(AU181/AR181*10,0)</f>
        <v>3.2066524198964768</v>
      </c>
      <c r="AW181" s="2406">
        <f>IFERROR(VLOOKUP($A181,F13_22_23!$B$14:$O$215,12,0),0)</f>
        <v>0</v>
      </c>
      <c r="AX181" s="2406"/>
      <c r="AY181" s="2406">
        <f>AS181+AU181</f>
        <v>1261.542686237904</v>
      </c>
      <c r="AZ181" s="2406">
        <f>IFERROR(AY181/AR181*10,0)</f>
        <v>3.2066524198964768</v>
      </c>
    </row>
    <row r="182" spans="1:52" s="2350" customFormat="1">
      <c r="A182" s="2421" t="s">
        <v>1787</v>
      </c>
      <c r="B182" s="2405" t="s">
        <v>1717</v>
      </c>
      <c r="C182" s="2405">
        <v>2</v>
      </c>
      <c r="D182" s="2809"/>
      <c r="E182" s="2809"/>
      <c r="F182" s="2809"/>
      <c r="G182" s="2809"/>
      <c r="H182" s="2809"/>
      <c r="I182" s="2809"/>
      <c r="J182" s="2809"/>
      <c r="K182" s="2809"/>
      <c r="L182" s="2809"/>
      <c r="M182" s="2809"/>
      <c r="N182" s="2400"/>
      <c r="O182" s="2400"/>
      <c r="P182" s="2400"/>
      <c r="Q182" s="2400"/>
      <c r="R182" s="2400"/>
      <c r="S182" s="2400"/>
      <c r="T182" s="2400"/>
      <c r="U182" s="2400"/>
      <c r="V182" s="2400"/>
      <c r="W182" s="2400"/>
      <c r="X182" s="2411">
        <v>0</v>
      </c>
      <c r="Y182" s="2411">
        <v>0</v>
      </c>
      <c r="Z182" s="2411">
        <f>IFERROR(Y182/X182*10,0)</f>
        <v>0</v>
      </c>
      <c r="AA182" s="2411">
        <v>0</v>
      </c>
      <c r="AB182" s="2411">
        <f>IFERROR(AA182/X182*10,0)</f>
        <v>0</v>
      </c>
      <c r="AC182" s="2411">
        <v>0</v>
      </c>
      <c r="AD182" s="2412">
        <f>IFERROR(AC182/X182*10,0)</f>
        <v>0</v>
      </c>
      <c r="AE182" s="2411"/>
      <c r="AF182" s="2411">
        <f>Y182+AA182+AC182+AE182</f>
        <v>0</v>
      </c>
      <c r="AG182" s="2411">
        <f>IFERROR(AF182/X182*10,0)</f>
        <v>0</v>
      </c>
      <c r="AH182" s="2412">
        <f>IFERROR(VLOOKUP($A182,F13_21_22!$B$14:$O$217,9,0),0)</f>
        <v>0</v>
      </c>
      <c r="AI182" s="2412">
        <f>IFERROR(VLOOKUP($A182,F13_21_22!$B$14:$O$217,10,0),0)</f>
        <v>0</v>
      </c>
      <c r="AJ182" s="2412">
        <f>IFERROR(AI182/AH182*10,0)</f>
        <v>0</v>
      </c>
      <c r="AK182" s="2412">
        <f>IFERROR(VLOOKUP($A182,F13_21_22!$B$14:$O$217,11,0),0)</f>
        <v>0</v>
      </c>
      <c r="AL182" s="2401">
        <f>IFERROR(AK182/AH182*10,0)</f>
        <v>0</v>
      </c>
      <c r="AM182" s="2412">
        <f>IFERROR(VLOOKUP($A182,F13_21_22!$B$14:$O$217,12,0),0)</f>
        <v>0</v>
      </c>
      <c r="AN182" s="2412">
        <f>IFERROR(AM182/AH182*10,0)</f>
        <v>0</v>
      </c>
      <c r="AO182" s="2411"/>
      <c r="AP182" s="2411">
        <f>SUM(AK182,AI182,AM182,AO182)</f>
        <v>0</v>
      </c>
      <c r="AQ182" s="2411">
        <f>IFERROR(AP182/AH182*10,0)</f>
        <v>0</v>
      </c>
      <c r="AR182" s="2406">
        <f>IFERROR(VLOOKUP($A182,F13_22_23!$B$14:$O$215,9,0),0)</f>
        <v>0</v>
      </c>
      <c r="AS182" s="2406">
        <f>IFERROR(VLOOKUP($A182,F13_22_23!$B$14:$O$215,10,0),0)</f>
        <v>0</v>
      </c>
      <c r="AT182" s="2406">
        <f>IFERROR(AS182/AR182*10,0)</f>
        <v>0</v>
      </c>
      <c r="AU182" s="2406">
        <f>IFERROR(VLOOKUP($A182,F13_22_23!$B$14:$O$215,11,0),0)</f>
        <v>0</v>
      </c>
      <c r="AV182" s="2406">
        <f>IFERROR(AU182/AR182*10,0)</f>
        <v>0</v>
      </c>
      <c r="AW182" s="2406">
        <f>IFERROR(VLOOKUP($A182,F13_22_23!$B$14:$O$215,12,0),0)</f>
        <v>0</v>
      </c>
      <c r="AX182" s="2406"/>
      <c r="AY182" s="2406">
        <f>AS182+AU182</f>
        <v>0</v>
      </c>
      <c r="AZ182" s="2406">
        <f>IFERROR(AY182/AR182*10,0)</f>
        <v>0</v>
      </c>
    </row>
    <row r="183" spans="1:52" s="2415" customFormat="1">
      <c r="A183" s="2421" t="s">
        <v>1785</v>
      </c>
      <c r="B183" s="2809"/>
      <c r="C183" s="2809"/>
      <c r="D183" s="2809"/>
      <c r="E183" s="2809"/>
      <c r="F183" s="2809"/>
      <c r="G183" s="2809"/>
      <c r="H183" s="2809"/>
      <c r="I183" s="2809"/>
      <c r="J183" s="2809"/>
      <c r="K183" s="2809"/>
      <c r="L183" s="2809"/>
      <c r="M183" s="2809"/>
      <c r="N183" s="2400">
        <v>4573.0630173299996</v>
      </c>
      <c r="O183" s="2400">
        <v>0</v>
      </c>
      <c r="P183" s="2409">
        <f>IFERROR(O183/N183*10,0)</f>
        <v>0</v>
      </c>
      <c r="Q183" s="2400">
        <v>2287.3474016</v>
      </c>
      <c r="R183" s="2410">
        <f>IFERROR(Q183/N183*10,0)</f>
        <v>5.0017841279070687</v>
      </c>
      <c r="S183" s="2400">
        <v>9.4574829999999999</v>
      </c>
      <c r="T183" s="2410">
        <f>IFERROR(S183/N183*10,0)</f>
        <v>2.0680849933972238E-2</v>
      </c>
      <c r="U183" s="2400"/>
      <c r="V183" s="2410">
        <f>SUM(O183,Q183,S183)</f>
        <v>2296.8048846000002</v>
      </c>
      <c r="W183" s="2410">
        <f>IFERROR(V183/N183*10,0)</f>
        <v>5.0224649778410413</v>
      </c>
      <c r="X183" s="2411">
        <f>SUM(X181:X182)</f>
        <v>3563.0984422000001</v>
      </c>
      <c r="Y183" s="2411">
        <f t="shared" ref="Y183:AM183" si="135">SUM(Y181:Y182)</f>
        <v>0</v>
      </c>
      <c r="Z183" s="2411">
        <f t="shared" si="135"/>
        <v>0</v>
      </c>
      <c r="AA183" s="2411">
        <f t="shared" si="135"/>
        <v>1142.5618242010005</v>
      </c>
      <c r="AB183" s="2411">
        <f t="shared" si="135"/>
        <v>3.206652419896479</v>
      </c>
      <c r="AC183" s="2411">
        <f t="shared" si="135"/>
        <v>61.283011966999993</v>
      </c>
      <c r="AD183" s="2412">
        <f>IFERROR(AC183/X183*10,0)</f>
        <v>0.17199359759805399</v>
      </c>
      <c r="AE183" s="2411">
        <f t="shared" si="135"/>
        <v>0</v>
      </c>
      <c r="AF183" s="2411">
        <f t="shared" si="135"/>
        <v>1203.8448361680005</v>
      </c>
      <c r="AG183" s="2411">
        <f t="shared" si="135"/>
        <v>3.3786460174945332</v>
      </c>
      <c r="AH183" s="2401">
        <f t="shared" si="135"/>
        <v>1958.725561</v>
      </c>
      <c r="AI183" s="2411">
        <f t="shared" si="135"/>
        <v>110.755068794</v>
      </c>
      <c r="AJ183" s="2412">
        <f>IFERROR(AI183/AH183*10,0)</f>
        <v>0.56544454720576343</v>
      </c>
      <c r="AK183" s="2401">
        <f>SUM(AK181:AK182)</f>
        <v>565.83048354627772</v>
      </c>
      <c r="AL183" s="2401">
        <f>IFERROR(AK183/AH183*10,0)</f>
        <v>2.8887685687697919</v>
      </c>
      <c r="AM183" s="2411">
        <f t="shared" si="135"/>
        <v>0.95335763100000004</v>
      </c>
      <c r="AN183" s="2412">
        <f>IFERROR(AM183/AH183*10,0)</f>
        <v>4.8672343383994879E-3</v>
      </c>
      <c r="AO183" s="2411"/>
      <c r="AP183" s="2411">
        <f>SUM(AK183,AI183,AM183,AO183)</f>
        <v>677.53890997127769</v>
      </c>
      <c r="AQ183" s="2411">
        <f>IFERROR(AP183/AH183*10,0)</f>
        <v>3.4590803503139544</v>
      </c>
      <c r="AR183" s="2412">
        <f t="shared" ref="AR183:AY183" si="136">SUM(AR181:AR182)</f>
        <v>3934.1422799999991</v>
      </c>
      <c r="AS183" s="2401">
        <f t="shared" si="136"/>
        <v>0</v>
      </c>
      <c r="AT183" s="2401"/>
      <c r="AU183" s="2401">
        <f t="shared" si="136"/>
        <v>1261.542686237904</v>
      </c>
      <c r="AV183" s="2401"/>
      <c r="AW183" s="2401">
        <f t="shared" si="136"/>
        <v>0</v>
      </c>
      <c r="AX183" s="2401"/>
      <c r="AY183" s="2401">
        <f t="shared" si="136"/>
        <v>1261.542686237904</v>
      </c>
      <c r="AZ183" s="2401"/>
    </row>
    <row r="184" spans="1:52" s="2350" customFormat="1">
      <c r="A184" s="2421"/>
      <c r="B184" s="2405"/>
      <c r="C184" s="2405"/>
      <c r="D184" s="2809"/>
      <c r="E184" s="2809"/>
      <c r="F184" s="2809"/>
      <c r="G184" s="2809"/>
      <c r="H184" s="2809"/>
      <c r="I184" s="2809"/>
      <c r="J184" s="2809"/>
      <c r="K184" s="2809"/>
      <c r="L184" s="2809"/>
      <c r="M184" s="2809"/>
      <c r="N184" s="2400"/>
      <c r="O184" s="2400"/>
      <c r="P184" s="2400"/>
      <c r="Q184" s="2400"/>
      <c r="R184" s="2400"/>
      <c r="S184" s="2400"/>
      <c r="T184" s="2400"/>
      <c r="U184" s="2400"/>
      <c r="V184" s="2400"/>
      <c r="W184" s="2400"/>
      <c r="X184" s="2401"/>
      <c r="Y184" s="2401"/>
      <c r="Z184" s="2401"/>
      <c r="AA184" s="2401"/>
      <c r="AB184" s="2401"/>
      <c r="AC184" s="2401"/>
      <c r="AD184" s="2412"/>
      <c r="AE184" s="2401"/>
      <c r="AF184" s="2401"/>
      <c r="AG184" s="2401"/>
      <c r="AH184" s="2412"/>
      <c r="AI184" s="2412"/>
      <c r="AJ184" s="2412"/>
      <c r="AK184" s="2412"/>
      <c r="AL184" s="2401"/>
      <c r="AM184" s="2416"/>
      <c r="AN184" s="2412"/>
      <c r="AO184" s="2411"/>
      <c r="AP184" s="2411"/>
      <c r="AQ184" s="2411"/>
      <c r="AR184" s="2406"/>
      <c r="AS184" s="2406"/>
      <c r="AT184" s="2406"/>
      <c r="AU184" s="2406"/>
      <c r="AV184" s="2406"/>
      <c r="AW184" s="2406"/>
      <c r="AX184" s="2406"/>
      <c r="AY184" s="2406"/>
      <c r="AZ184" s="2406"/>
    </row>
    <row r="185" spans="1:52" s="2350" customFormat="1" ht="29">
      <c r="A185" s="2421" t="s">
        <v>1789</v>
      </c>
      <c r="B185" s="2405"/>
      <c r="C185" s="2405"/>
      <c r="D185" s="2809"/>
      <c r="E185" s="2809"/>
      <c r="F185" s="2809"/>
      <c r="G185" s="2809"/>
      <c r="H185" s="2809"/>
      <c r="I185" s="2809"/>
      <c r="J185" s="2809"/>
      <c r="K185" s="2809"/>
      <c r="L185" s="2809"/>
      <c r="M185" s="2809"/>
      <c r="N185" s="2400"/>
      <c r="O185" s="2400"/>
      <c r="P185" s="2400"/>
      <c r="Q185" s="2400"/>
      <c r="R185" s="2400"/>
      <c r="S185" s="2400"/>
      <c r="T185" s="2400"/>
      <c r="U185" s="2400"/>
      <c r="V185" s="2400"/>
      <c r="W185" s="2400"/>
      <c r="X185" s="2401"/>
      <c r="Y185" s="2401"/>
      <c r="Z185" s="2401"/>
      <c r="AA185" s="2401"/>
      <c r="AB185" s="2401"/>
      <c r="AC185" s="2401"/>
      <c r="AD185" s="2412">
        <f t="shared" ref="AD185:AD194" si="137">IFERROR(AC185/X185*10,0)</f>
        <v>0</v>
      </c>
      <c r="AE185" s="2401"/>
      <c r="AF185" s="2401"/>
      <c r="AG185" s="2401"/>
      <c r="AH185" s="2401">
        <f>IFERROR(VLOOKUP($A185,F13_21_22!$B$14:$O$217,9,0),0)</f>
        <v>-3866.2321510000002</v>
      </c>
      <c r="AI185" s="2412">
        <f>IFERROR(VLOOKUP($A185,F13_21_22!$B$14:$O$217,10,0),0)</f>
        <v>-359.29311712499998</v>
      </c>
      <c r="AJ185" s="2412">
        <f>IFERROR(AI185/AH185*10,0)</f>
        <v>0.92931076844950677</v>
      </c>
      <c r="AK185" s="2401">
        <f>IFERROR(VLOOKUP($A185,F13_21_22!$B$14:$O$217,11,0),0)</f>
        <v>-916.6471235730429</v>
      </c>
      <c r="AL185" s="2401">
        <f>IFERROR(AK185/AH185*10,0)</f>
        <v>2.3709055425860868</v>
      </c>
      <c r="AM185" s="2412">
        <f>IFERROR(VLOOKUP($A185,F13_21_22!$B$14:$O$217,12,0),0)</f>
        <v>8.2383477000000003</v>
      </c>
      <c r="AN185" s="2412">
        <f>IFERROR(AM185/AH185*10,0)</f>
        <v>-2.1308466171306224E-2</v>
      </c>
      <c r="AO185" s="2411"/>
      <c r="AP185" s="2411">
        <f>SUM(AK185,AI185,AM185,AO185)</f>
        <v>-1267.7018929980429</v>
      </c>
      <c r="AQ185" s="2411">
        <f>IFERROR(AP185/AH185*10,0)</f>
        <v>3.2789078448642877</v>
      </c>
      <c r="AR185" s="2406">
        <f>IFERROR(VLOOKUP($A185,F13_22_23!$B$14:$O$215,9,0),0)</f>
        <v>0</v>
      </c>
      <c r="AS185" s="2406">
        <f>IFERROR(VLOOKUP($A185,F13_22_23!$B$14:$O$215,10,0),0)</f>
        <v>0</v>
      </c>
      <c r="AT185" s="2406">
        <f>IFERROR(AS185/AR185*10,0)</f>
        <v>0</v>
      </c>
      <c r="AU185" s="2406">
        <f>IFERROR(VLOOKUP($A185,F13_22_23!$B$14:$O$215,11,0),0)</f>
        <v>0</v>
      </c>
      <c r="AV185" s="2406">
        <f>IFERROR(AU185/AR185*10,0)</f>
        <v>0</v>
      </c>
      <c r="AW185" s="2406">
        <f>IFERROR(VLOOKUP($A185,F13_22_23!$B$14:$O$215,12,0),0)</f>
        <v>0</v>
      </c>
      <c r="AX185" s="2406"/>
      <c r="AY185" s="2406">
        <f>AS185+AU185</f>
        <v>0</v>
      </c>
      <c r="AZ185" s="2406">
        <f>IFERROR(AY185/AR185*10,0)</f>
        <v>0</v>
      </c>
    </row>
    <row r="186" spans="1:52" s="2350" customFormat="1">
      <c r="A186" s="2421"/>
      <c r="B186" s="2405"/>
      <c r="C186" s="2405"/>
      <c r="D186" s="2809"/>
      <c r="E186" s="2809"/>
      <c r="F186" s="2809"/>
      <c r="G186" s="2809"/>
      <c r="H186" s="2809"/>
      <c r="I186" s="2809"/>
      <c r="J186" s="2809"/>
      <c r="K186" s="2809"/>
      <c r="L186" s="2809"/>
      <c r="M186" s="2809"/>
      <c r="N186" s="2400"/>
      <c r="O186" s="2400"/>
      <c r="P186" s="2400"/>
      <c r="Q186" s="2400"/>
      <c r="R186" s="2400"/>
      <c r="S186" s="2400"/>
      <c r="T186" s="2400"/>
      <c r="U186" s="2400"/>
      <c r="V186" s="2400"/>
      <c r="W186" s="2400"/>
      <c r="X186" s="2401"/>
      <c r="Y186" s="2401"/>
      <c r="Z186" s="2401"/>
      <c r="AA186" s="2401"/>
      <c r="AB186" s="2401"/>
      <c r="AC186" s="2401"/>
      <c r="AD186" s="2412">
        <f t="shared" si="137"/>
        <v>0</v>
      </c>
      <c r="AE186" s="2401"/>
      <c r="AF186" s="2401"/>
      <c r="AG186" s="2401"/>
      <c r="AH186" s="2412"/>
      <c r="AI186" s="2412"/>
      <c r="AJ186" s="2412"/>
      <c r="AK186" s="2412"/>
      <c r="AL186" s="2401"/>
      <c r="AM186" s="2412">
        <v>0</v>
      </c>
      <c r="AN186" s="2412">
        <f t="shared" ref="AN186:AN194" si="138">IFERROR(AM186/AH186*10,0)</f>
        <v>0</v>
      </c>
      <c r="AO186" s="2411"/>
      <c r="AP186" s="2411"/>
      <c r="AQ186" s="2411"/>
      <c r="AR186" s="2406"/>
      <c r="AS186" s="2406"/>
      <c r="AT186" s="2406"/>
      <c r="AU186" s="2406"/>
      <c r="AV186" s="2406"/>
      <c r="AW186" s="2406"/>
      <c r="AX186" s="2406"/>
      <c r="AY186" s="2406"/>
      <c r="AZ186" s="2406"/>
    </row>
    <row r="187" spans="1:52" s="2350" customFormat="1">
      <c r="A187" s="2421" t="s">
        <v>1790</v>
      </c>
      <c r="B187" s="2405" t="s">
        <v>1667</v>
      </c>
      <c r="C187" s="2405">
        <v>1</v>
      </c>
      <c r="D187" s="2809"/>
      <c r="E187" s="2809"/>
      <c r="F187" s="2809"/>
      <c r="G187" s="2809"/>
      <c r="H187" s="2809"/>
      <c r="I187" s="2809"/>
      <c r="J187" s="2809"/>
      <c r="K187" s="2809"/>
      <c r="L187" s="2809"/>
      <c r="M187" s="2809"/>
      <c r="N187" s="2400"/>
      <c r="O187" s="2400"/>
      <c r="P187" s="2400"/>
      <c r="Q187" s="2400"/>
      <c r="R187" s="2400"/>
      <c r="S187" s="2400"/>
      <c r="T187" s="2400"/>
      <c r="U187" s="2400"/>
      <c r="V187" s="2400"/>
      <c r="W187" s="2400"/>
      <c r="X187" s="2411">
        <v>3706.221840880009</v>
      </c>
      <c r="Y187" s="2411">
        <v>0</v>
      </c>
      <c r="Z187" s="2411">
        <f t="shared" ref="Z187:Z193" si="139">IFERROR(Y187/X187*10,0)</f>
        <v>0</v>
      </c>
      <c r="AA187" s="2411">
        <v>1428.7422514022678</v>
      </c>
      <c r="AB187" s="2411">
        <f t="shared" ref="AB187:AB193" si="140">IFERROR(AA187/X187*10,0)</f>
        <v>3.8549830872051247</v>
      </c>
      <c r="AC187" s="2411">
        <v>11.2348002077325</v>
      </c>
      <c r="AD187" s="2412">
        <f t="shared" si="137"/>
        <v>3.0313350603602553E-2</v>
      </c>
      <c r="AE187" s="2411"/>
      <c r="AF187" s="2411">
        <f t="shared" ref="AF187:AF193" si="141">Y187+AA187+AC187+AE187</f>
        <v>1439.9770516100002</v>
      </c>
      <c r="AG187" s="2411">
        <f t="shared" ref="AG187:AG193" si="142">IFERROR(AF187/X187*10,0)</f>
        <v>3.8852964378087274</v>
      </c>
      <c r="AH187" s="2412">
        <f>IFERROR(VLOOKUP($A187,F13_21_22!$B$14:$O$217,9,0),0)</f>
        <v>4518.8924514999999</v>
      </c>
      <c r="AI187" s="2412">
        <f>IFERROR(VLOOKUP($A187,F13_21_22!$B$14:$O$217,10,0),0)</f>
        <v>0</v>
      </c>
      <c r="AJ187" s="2412">
        <f t="shared" ref="AJ187:AJ193" si="143">IFERROR(AI187/AH187*10,0)</f>
        <v>0</v>
      </c>
      <c r="AK187" s="2412">
        <f>IFERROR(VLOOKUP($A187,F13_21_22!$B$14:$O$217,11,0),0)</f>
        <v>1703.3514351483714</v>
      </c>
      <c r="AL187" s="2401">
        <f t="shared" ref="AL187:AL193" si="144">IFERROR(AK187/AH187*10,0)</f>
        <v>3.7694002533363271</v>
      </c>
      <c r="AM187" s="2412">
        <f>IFERROR(VLOOKUP($A187,F13_21_22!$B$14:$O$217,12,0),0)</f>
        <v>-0.88893721699999995</v>
      </c>
      <c r="AN187" s="2412">
        <f t="shared" si="138"/>
        <v>-1.9671572770113754E-3</v>
      </c>
      <c r="AO187" s="2411"/>
      <c r="AP187" s="2411">
        <f t="shared" ref="AP187:AP193" si="145">SUM(AK187,AI187,AM187,AO187)</f>
        <v>1702.4624979313714</v>
      </c>
      <c r="AQ187" s="2411">
        <f t="shared" ref="AQ187:AQ193" si="146">IFERROR(AP187/AH187*10,0)</f>
        <v>3.7674330960593156</v>
      </c>
      <c r="AR187" s="2406">
        <f>IFERROR(VLOOKUP($A187,F13_22_23!$B$14:$O$215,9,0),0)</f>
        <v>3882.2572799999994</v>
      </c>
      <c r="AS187" s="2406">
        <f>IFERROR(VLOOKUP($A187,F13_22_23!$B$14:$O$215,10,0),0)</f>
        <v>0</v>
      </c>
      <c r="AT187" s="2406">
        <f t="shared" ref="AT187:AT193" si="147">IFERROR(AS187/AR187*10,0)</f>
        <v>0</v>
      </c>
      <c r="AU187" s="2406">
        <f>IFERROR(VLOOKUP($A187,F13_22_23!$B$14:$O$215,11,0),0)</f>
        <v>1508.3720380640993</v>
      </c>
      <c r="AV187" s="2406">
        <f t="shared" ref="AV187:AV193" si="148">IFERROR(AU187/AR187*10,0)</f>
        <v>3.8852964378087269</v>
      </c>
      <c r="AW187" s="2406">
        <f>IFERROR(VLOOKUP($A187,F13_22_23!$B$14:$O$215,12,0),0)</f>
        <v>0</v>
      </c>
      <c r="AX187" s="2406"/>
      <c r="AY187" s="2406">
        <f t="shared" ref="AY187:AY193" si="149">AS187+AU187</f>
        <v>1508.3720380640993</v>
      </c>
      <c r="AZ187" s="2406">
        <f t="shared" ref="AZ187:AZ193" si="150">IFERROR(AY187/AR187*10,0)</f>
        <v>3.8852964378087269</v>
      </c>
    </row>
    <row r="188" spans="1:52" s="2350" customFormat="1">
      <c r="A188" s="2421" t="s">
        <v>2061</v>
      </c>
      <c r="B188" s="2405" t="s">
        <v>1667</v>
      </c>
      <c r="C188" s="2405">
        <v>1</v>
      </c>
      <c r="D188" s="2809"/>
      <c r="E188" s="2809"/>
      <c r="F188" s="2809"/>
      <c r="G188" s="2809"/>
      <c r="H188" s="2809"/>
      <c r="I188" s="2809"/>
      <c r="J188" s="2809"/>
      <c r="K188" s="2809"/>
      <c r="L188" s="2809"/>
      <c r="M188" s="2809"/>
      <c r="N188" s="2400"/>
      <c r="O188" s="2400"/>
      <c r="P188" s="2400"/>
      <c r="Q188" s="2400"/>
      <c r="R188" s="2400"/>
      <c r="S188" s="2400"/>
      <c r="T188" s="2400"/>
      <c r="U188" s="2400"/>
      <c r="V188" s="2400"/>
      <c r="W188" s="2400"/>
      <c r="X188" s="2411">
        <v>0</v>
      </c>
      <c r="Y188" s="2411">
        <v>0</v>
      </c>
      <c r="Z188" s="2411">
        <f t="shared" si="139"/>
        <v>0</v>
      </c>
      <c r="AA188" s="2411">
        <v>0</v>
      </c>
      <c r="AB188" s="2411">
        <f t="shared" si="140"/>
        <v>0</v>
      </c>
      <c r="AC188" s="2411">
        <v>0</v>
      </c>
      <c r="AD188" s="2412">
        <f t="shared" si="137"/>
        <v>0</v>
      </c>
      <c r="AE188" s="2411"/>
      <c r="AF188" s="2411">
        <f t="shared" si="141"/>
        <v>0</v>
      </c>
      <c r="AG188" s="2411">
        <f t="shared" si="142"/>
        <v>0</v>
      </c>
      <c r="AH188" s="2412">
        <f>IFERROR(VLOOKUP($A188,F13_21_22!$B$14:$O$217,9,0),0)</f>
        <v>0</v>
      </c>
      <c r="AI188" s="2412">
        <f>IFERROR(VLOOKUP($A188,F13_21_22!$B$14:$O$217,10,0),0)</f>
        <v>0</v>
      </c>
      <c r="AJ188" s="2412">
        <f t="shared" si="143"/>
        <v>0</v>
      </c>
      <c r="AK188" s="2412">
        <f>IFERROR(VLOOKUP($A188,F13_21_22!$B$14:$O$217,11,0),0)</f>
        <v>0</v>
      </c>
      <c r="AL188" s="2401">
        <f t="shared" si="144"/>
        <v>0</v>
      </c>
      <c r="AM188" s="2412">
        <f>IFERROR(VLOOKUP($A188,F13_21_22!$B$14:$O$217,12,0),0)</f>
        <v>0</v>
      </c>
      <c r="AN188" s="2412">
        <f t="shared" si="138"/>
        <v>0</v>
      </c>
      <c r="AO188" s="2411"/>
      <c r="AP188" s="2411">
        <f t="shared" si="145"/>
        <v>0</v>
      </c>
      <c r="AQ188" s="2411">
        <f t="shared" si="146"/>
        <v>0</v>
      </c>
      <c r="AR188" s="2406">
        <f>IFERROR(VLOOKUP($A188,F13_22_23!$B$14:$O$215,9,0),0)</f>
        <v>0</v>
      </c>
      <c r="AS188" s="2406">
        <f>IFERROR(VLOOKUP($A188,F13_22_23!$B$14:$O$215,10,0),0)</f>
        <v>0</v>
      </c>
      <c r="AT188" s="2406">
        <f t="shared" si="147"/>
        <v>0</v>
      </c>
      <c r="AU188" s="2406">
        <f>IFERROR(VLOOKUP($A188,F13_22_23!$B$14:$O$215,11,0),0)</f>
        <v>0</v>
      </c>
      <c r="AV188" s="2406">
        <f t="shared" si="148"/>
        <v>0</v>
      </c>
      <c r="AW188" s="2406">
        <f>IFERROR(VLOOKUP($A188,F13_22_23!$B$14:$O$215,12,0),0)</f>
        <v>0</v>
      </c>
      <c r="AX188" s="2406"/>
      <c r="AY188" s="2406">
        <f t="shared" si="149"/>
        <v>0</v>
      </c>
      <c r="AZ188" s="2406">
        <f t="shared" si="150"/>
        <v>0</v>
      </c>
    </row>
    <row r="189" spans="1:52" s="2350" customFormat="1">
      <c r="A189" s="2421" t="s">
        <v>1792</v>
      </c>
      <c r="B189" s="2405" t="s">
        <v>1667</v>
      </c>
      <c r="C189" s="2405">
        <v>1</v>
      </c>
      <c r="D189" s="2809"/>
      <c r="E189" s="2809"/>
      <c r="F189" s="2809"/>
      <c r="G189" s="2809"/>
      <c r="H189" s="2809"/>
      <c r="I189" s="2809"/>
      <c r="J189" s="2809"/>
      <c r="K189" s="2809"/>
      <c r="L189" s="2809"/>
      <c r="M189" s="2809"/>
      <c r="N189" s="2400"/>
      <c r="O189" s="2400"/>
      <c r="P189" s="2400"/>
      <c r="Q189" s="2400"/>
      <c r="R189" s="2400"/>
      <c r="S189" s="2400"/>
      <c r="T189" s="2400"/>
      <c r="U189" s="2400"/>
      <c r="V189" s="2400"/>
      <c r="W189" s="2400"/>
      <c r="X189" s="2411">
        <v>0</v>
      </c>
      <c r="Y189" s="2411">
        <v>0</v>
      </c>
      <c r="Z189" s="2411">
        <f t="shared" si="139"/>
        <v>0</v>
      </c>
      <c r="AA189" s="2411">
        <v>0</v>
      </c>
      <c r="AB189" s="2411">
        <f t="shared" si="140"/>
        <v>0</v>
      </c>
      <c r="AC189" s="2411">
        <v>0</v>
      </c>
      <c r="AD189" s="2412">
        <f t="shared" si="137"/>
        <v>0</v>
      </c>
      <c r="AE189" s="2411"/>
      <c r="AF189" s="2411">
        <f t="shared" si="141"/>
        <v>0</v>
      </c>
      <c r="AG189" s="2411">
        <f t="shared" si="142"/>
        <v>0</v>
      </c>
      <c r="AH189" s="2412">
        <f>IFERROR(VLOOKUP($A189,F13_21_22!$B$14:$O$217,9,0),0)</f>
        <v>0</v>
      </c>
      <c r="AI189" s="2412">
        <f>IFERROR(VLOOKUP($A189,F13_21_22!$B$14:$O$217,10,0),0)</f>
        <v>0</v>
      </c>
      <c r="AJ189" s="2412">
        <f t="shared" si="143"/>
        <v>0</v>
      </c>
      <c r="AK189" s="2412">
        <f>IFERROR(VLOOKUP($A189,F13_21_22!$B$14:$O$217,11,0),0)</f>
        <v>0</v>
      </c>
      <c r="AL189" s="2401">
        <f t="shared" si="144"/>
        <v>0</v>
      </c>
      <c r="AM189" s="2412">
        <f>IFERROR(VLOOKUP($A189,F13_21_22!$B$14:$O$217,12,0),0)</f>
        <v>0</v>
      </c>
      <c r="AN189" s="2412">
        <f t="shared" si="138"/>
        <v>0</v>
      </c>
      <c r="AO189" s="2411"/>
      <c r="AP189" s="2411">
        <f t="shared" si="145"/>
        <v>0</v>
      </c>
      <c r="AQ189" s="2411">
        <f t="shared" si="146"/>
        <v>0</v>
      </c>
      <c r="AR189" s="2406">
        <f>IFERROR(VLOOKUP($A189,F13_22_23!$B$14:$O$215,9,0),0)</f>
        <v>0</v>
      </c>
      <c r="AS189" s="2406">
        <f>IFERROR(VLOOKUP($A189,F13_22_23!$B$14:$O$215,10,0),0)</f>
        <v>0</v>
      </c>
      <c r="AT189" s="2406">
        <f t="shared" si="147"/>
        <v>0</v>
      </c>
      <c r="AU189" s="2406">
        <f>IFERROR(VLOOKUP($A189,F13_22_23!$B$14:$O$215,11,0),0)</f>
        <v>0</v>
      </c>
      <c r="AV189" s="2406">
        <f t="shared" si="148"/>
        <v>0</v>
      </c>
      <c r="AW189" s="2406">
        <f>IFERROR(VLOOKUP($A189,F13_22_23!$B$14:$O$215,12,0),0)</f>
        <v>0</v>
      </c>
      <c r="AX189" s="2406"/>
      <c r="AY189" s="2406">
        <f t="shared" si="149"/>
        <v>0</v>
      </c>
      <c r="AZ189" s="2406">
        <f t="shared" si="150"/>
        <v>0</v>
      </c>
    </row>
    <row r="190" spans="1:52" s="2350" customFormat="1">
      <c r="A190" s="2421" t="s">
        <v>1793</v>
      </c>
      <c r="B190" s="2405" t="s">
        <v>1667</v>
      </c>
      <c r="C190" s="2405">
        <v>1</v>
      </c>
      <c r="D190" s="2809"/>
      <c r="E190" s="2809"/>
      <c r="F190" s="2809"/>
      <c r="G190" s="2809"/>
      <c r="H190" s="2809"/>
      <c r="I190" s="2809"/>
      <c r="J190" s="2809"/>
      <c r="K190" s="2809"/>
      <c r="L190" s="2809"/>
      <c r="M190" s="2809"/>
      <c r="N190" s="2400"/>
      <c r="O190" s="2400"/>
      <c r="P190" s="2400"/>
      <c r="Q190" s="2400"/>
      <c r="R190" s="2400"/>
      <c r="S190" s="2400"/>
      <c r="T190" s="2400"/>
      <c r="U190" s="2400"/>
      <c r="V190" s="2400"/>
      <c r="W190" s="2400"/>
      <c r="X190" s="2411">
        <v>0</v>
      </c>
      <c r="Y190" s="2411">
        <v>0</v>
      </c>
      <c r="Z190" s="2411">
        <f t="shared" si="139"/>
        <v>0</v>
      </c>
      <c r="AA190" s="2411">
        <v>0</v>
      </c>
      <c r="AB190" s="2411">
        <f t="shared" si="140"/>
        <v>0</v>
      </c>
      <c r="AC190" s="2411">
        <v>0</v>
      </c>
      <c r="AD190" s="2412">
        <f t="shared" si="137"/>
        <v>0</v>
      </c>
      <c r="AE190" s="2411"/>
      <c r="AF190" s="2411">
        <f t="shared" si="141"/>
        <v>0</v>
      </c>
      <c r="AG190" s="2411">
        <f t="shared" si="142"/>
        <v>0</v>
      </c>
      <c r="AH190" s="2412">
        <f>IFERROR(VLOOKUP($A190,F13_21_22!$B$14:$O$217,9,0),0)</f>
        <v>156.08879999999999</v>
      </c>
      <c r="AI190" s="2412">
        <f>IFERROR(VLOOKUP($A190,F13_21_22!$B$14:$O$217,10,0),0)</f>
        <v>0</v>
      </c>
      <c r="AJ190" s="2412">
        <f t="shared" si="143"/>
        <v>0</v>
      </c>
      <c r="AK190" s="2412">
        <f>IFERROR(VLOOKUP($A190,F13_21_22!$B$14:$O$217,11,0),0)</f>
        <v>46.826639999999998</v>
      </c>
      <c r="AL190" s="2401">
        <f t="shared" si="144"/>
        <v>3</v>
      </c>
      <c r="AM190" s="2412">
        <f>IFERROR(VLOOKUP($A190,F13_21_22!$B$14:$O$217,12,0),0)</f>
        <v>0</v>
      </c>
      <c r="AN190" s="2412">
        <f t="shared" si="138"/>
        <v>0</v>
      </c>
      <c r="AO190" s="2411"/>
      <c r="AP190" s="2411">
        <f t="shared" si="145"/>
        <v>46.826639999999998</v>
      </c>
      <c r="AQ190" s="2411">
        <f t="shared" si="146"/>
        <v>3</v>
      </c>
      <c r="AR190" s="2406">
        <f>IFERROR(VLOOKUP($A190,F13_22_23!$B$14:$O$215,9,0),0)</f>
        <v>720.0040612430771</v>
      </c>
      <c r="AS190" s="2406">
        <f>IFERROR(VLOOKUP($A190,F13_22_23!$B$14:$O$215,10,0),0)</f>
        <v>0</v>
      </c>
      <c r="AT190" s="2406">
        <f t="shared" si="147"/>
        <v>0</v>
      </c>
      <c r="AU190" s="2406">
        <f>IFERROR(VLOOKUP($A190,F13_22_23!$B$14:$O$215,11,0),0)</f>
        <v>216.00121837292312</v>
      </c>
      <c r="AV190" s="2406">
        <f t="shared" si="148"/>
        <v>3</v>
      </c>
      <c r="AW190" s="2406">
        <f>IFERROR(VLOOKUP($A190,F13_22_23!$B$14:$O$215,12,0),0)</f>
        <v>0</v>
      </c>
      <c r="AX190" s="2406"/>
      <c r="AY190" s="2406">
        <f t="shared" si="149"/>
        <v>216.00121837292312</v>
      </c>
      <c r="AZ190" s="2406">
        <f t="shared" si="150"/>
        <v>3</v>
      </c>
    </row>
    <row r="191" spans="1:52" s="2350" customFormat="1">
      <c r="A191" s="2421" t="s">
        <v>1794</v>
      </c>
      <c r="B191" s="2405" t="s">
        <v>1667</v>
      </c>
      <c r="C191" s="2405">
        <v>1</v>
      </c>
      <c r="D191" s="2809"/>
      <c r="E191" s="2809"/>
      <c r="F191" s="2809"/>
      <c r="G191" s="2809"/>
      <c r="H191" s="2809"/>
      <c r="I191" s="2809"/>
      <c r="J191" s="2809"/>
      <c r="K191" s="2809"/>
      <c r="L191" s="2809"/>
      <c r="M191" s="2809"/>
      <c r="N191" s="2400"/>
      <c r="O191" s="2400"/>
      <c r="P191" s="2400"/>
      <c r="Q191" s="2400"/>
      <c r="R191" s="2400"/>
      <c r="S191" s="2400"/>
      <c r="T191" s="2400"/>
      <c r="U191" s="2400"/>
      <c r="V191" s="2400"/>
      <c r="W191" s="2400"/>
      <c r="X191" s="2411">
        <v>0</v>
      </c>
      <c r="Y191" s="2411">
        <v>0</v>
      </c>
      <c r="Z191" s="2411">
        <f t="shared" si="139"/>
        <v>0</v>
      </c>
      <c r="AA191" s="2411">
        <v>0</v>
      </c>
      <c r="AB191" s="2411">
        <f t="shared" si="140"/>
        <v>0</v>
      </c>
      <c r="AC191" s="2411">
        <v>0</v>
      </c>
      <c r="AD191" s="2412">
        <f t="shared" si="137"/>
        <v>0</v>
      </c>
      <c r="AE191" s="2411"/>
      <c r="AF191" s="2411">
        <f t="shared" si="141"/>
        <v>0</v>
      </c>
      <c r="AG191" s="2411">
        <f t="shared" si="142"/>
        <v>0</v>
      </c>
      <c r="AH191" s="2412">
        <f>IFERROR(VLOOKUP($A191,F13_21_22!$B$14:$O$217,9,0),0)</f>
        <v>0</v>
      </c>
      <c r="AI191" s="2412">
        <f>IFERROR(VLOOKUP($A191,F13_21_22!$B$14:$O$217,10,0),0)</f>
        <v>0</v>
      </c>
      <c r="AJ191" s="2412">
        <f t="shared" si="143"/>
        <v>0</v>
      </c>
      <c r="AK191" s="2412">
        <f>IFERROR(VLOOKUP($A191,F13_21_22!$B$14:$O$217,11,0),0)</f>
        <v>0</v>
      </c>
      <c r="AL191" s="2401">
        <f t="shared" si="144"/>
        <v>0</v>
      </c>
      <c r="AM191" s="2412">
        <f>IFERROR(VLOOKUP($A191,F13_21_22!$B$14:$O$217,12,0),0)</f>
        <v>0</v>
      </c>
      <c r="AN191" s="2412">
        <f t="shared" si="138"/>
        <v>0</v>
      </c>
      <c r="AO191" s="2411"/>
      <c r="AP191" s="2411">
        <f t="shared" si="145"/>
        <v>0</v>
      </c>
      <c r="AQ191" s="2411">
        <f t="shared" si="146"/>
        <v>0</v>
      </c>
      <c r="AR191" s="2406">
        <f>IFERROR(VLOOKUP($A191,F13_22_23!$B$14:$O$215,9,0),0)</f>
        <v>253.05704270769232</v>
      </c>
      <c r="AS191" s="2406">
        <f>IFERROR(VLOOKUP($A191,F13_22_23!$B$14:$O$215,10,0),0)</f>
        <v>0</v>
      </c>
      <c r="AT191" s="2406">
        <f t="shared" si="147"/>
        <v>0</v>
      </c>
      <c r="AU191" s="2406">
        <f>IFERROR(VLOOKUP($A191,F13_22_23!$B$14:$O$215,11,0),0)</f>
        <v>75.917112812307693</v>
      </c>
      <c r="AV191" s="2406">
        <f t="shared" si="148"/>
        <v>3</v>
      </c>
      <c r="AW191" s="2406">
        <f>IFERROR(VLOOKUP($A191,F13_22_23!$B$14:$O$215,12,0),0)</f>
        <v>0</v>
      </c>
      <c r="AX191" s="2406"/>
      <c r="AY191" s="2406">
        <f t="shared" si="149"/>
        <v>75.917112812307693</v>
      </c>
      <c r="AZ191" s="2406">
        <f t="shared" si="150"/>
        <v>3</v>
      </c>
    </row>
    <row r="192" spans="1:52" s="2350" customFormat="1">
      <c r="A192" s="2421" t="s">
        <v>2093</v>
      </c>
      <c r="B192" s="2405" t="s">
        <v>1667</v>
      </c>
      <c r="C192" s="2405">
        <v>1</v>
      </c>
      <c r="D192" s="2809"/>
      <c r="E192" s="2809"/>
      <c r="F192" s="2809"/>
      <c r="G192" s="2809"/>
      <c r="H192" s="2809"/>
      <c r="I192" s="2809"/>
      <c r="J192" s="2809"/>
      <c r="K192" s="2809"/>
      <c r="L192" s="2809"/>
      <c r="M192" s="2809"/>
      <c r="N192" s="2400"/>
      <c r="O192" s="2400"/>
      <c r="P192" s="2400"/>
      <c r="Q192" s="2400"/>
      <c r="R192" s="2400"/>
      <c r="S192" s="2400"/>
      <c r="T192" s="2400"/>
      <c r="U192" s="2400"/>
      <c r="V192" s="2400"/>
      <c r="W192" s="2400"/>
      <c r="X192" s="2411">
        <v>0</v>
      </c>
      <c r="Y192" s="2411">
        <v>0</v>
      </c>
      <c r="Z192" s="2411">
        <f t="shared" si="139"/>
        <v>0</v>
      </c>
      <c r="AA192" s="2411">
        <v>0</v>
      </c>
      <c r="AB192" s="2411">
        <f t="shared" si="140"/>
        <v>0</v>
      </c>
      <c r="AC192" s="2411">
        <v>0</v>
      </c>
      <c r="AD192" s="2412">
        <f t="shared" si="137"/>
        <v>0</v>
      </c>
      <c r="AE192" s="2411"/>
      <c r="AF192" s="2411">
        <f t="shared" si="141"/>
        <v>0</v>
      </c>
      <c r="AG192" s="2411">
        <f t="shared" si="142"/>
        <v>0</v>
      </c>
      <c r="AH192" s="2412">
        <f>IFERROR(VLOOKUP($A192,F13_21_22!$B$14:$O$217,9,0),0)</f>
        <v>0</v>
      </c>
      <c r="AI192" s="2412">
        <f>IFERROR(VLOOKUP($A192,F13_21_22!$B$14:$O$217,10,0),0)</f>
        <v>0</v>
      </c>
      <c r="AJ192" s="2412">
        <f t="shared" si="143"/>
        <v>0</v>
      </c>
      <c r="AK192" s="2412">
        <f>IFERROR(VLOOKUP($A192,F13_21_22!$B$14:$O$217,11,0),0)</f>
        <v>0</v>
      </c>
      <c r="AL192" s="2401">
        <f t="shared" si="144"/>
        <v>0</v>
      </c>
      <c r="AM192" s="2412">
        <f>IFERROR(VLOOKUP($A192,F13_21_22!$B$14:$O$217,12,0),0)</f>
        <v>0</v>
      </c>
      <c r="AN192" s="2412">
        <f t="shared" si="138"/>
        <v>0</v>
      </c>
      <c r="AO192" s="2411"/>
      <c r="AP192" s="2411">
        <f t="shared" si="145"/>
        <v>0</v>
      </c>
      <c r="AQ192" s="2411">
        <f t="shared" si="146"/>
        <v>0</v>
      </c>
      <c r="AR192" s="2406">
        <f>IFERROR(VLOOKUP($A192,F13_22_23!$B$14:$O$215,9,0),0)</f>
        <v>0</v>
      </c>
      <c r="AS192" s="2406">
        <f>IFERROR(VLOOKUP($A192,F13_22_23!$B$14:$O$215,10,0),0)</f>
        <v>0</v>
      </c>
      <c r="AT192" s="2406">
        <f t="shared" si="147"/>
        <v>0</v>
      </c>
      <c r="AU192" s="2406">
        <f>IFERROR(VLOOKUP($A192,F13_22_23!$B$14:$O$215,11,0),0)</f>
        <v>0</v>
      </c>
      <c r="AV192" s="2406">
        <f t="shared" si="148"/>
        <v>0</v>
      </c>
      <c r="AW192" s="2406">
        <f>IFERROR(VLOOKUP($A192,F13_22_23!$B$14:$O$215,12,0),0)</f>
        <v>0</v>
      </c>
      <c r="AX192" s="2406"/>
      <c r="AY192" s="2406">
        <f t="shared" si="149"/>
        <v>0</v>
      </c>
      <c r="AZ192" s="2406">
        <f t="shared" si="150"/>
        <v>0</v>
      </c>
    </row>
    <row r="193" spans="1:52" s="2350" customFormat="1">
      <c r="A193" s="2421" t="s">
        <v>1796</v>
      </c>
      <c r="B193" s="2405" t="s">
        <v>1667</v>
      </c>
      <c r="C193" s="2405">
        <v>1</v>
      </c>
      <c r="D193" s="2809"/>
      <c r="E193" s="2809"/>
      <c r="F193" s="2809"/>
      <c r="G193" s="2809"/>
      <c r="H193" s="2809"/>
      <c r="I193" s="2809"/>
      <c r="J193" s="2809"/>
      <c r="K193" s="2809"/>
      <c r="L193" s="2809"/>
      <c r="M193" s="2809"/>
      <c r="N193" s="2410"/>
      <c r="O193" s="2410"/>
      <c r="P193" s="2410"/>
      <c r="Q193" s="2410"/>
      <c r="R193" s="2410"/>
      <c r="S193" s="2410"/>
      <c r="T193" s="2410"/>
      <c r="U193" s="2410"/>
      <c r="V193" s="2410"/>
      <c r="W193" s="2400"/>
      <c r="X193" s="2411">
        <v>0</v>
      </c>
      <c r="Y193" s="2411">
        <v>0</v>
      </c>
      <c r="Z193" s="2411">
        <f t="shared" si="139"/>
        <v>0</v>
      </c>
      <c r="AA193" s="2411">
        <v>0</v>
      </c>
      <c r="AB193" s="2411">
        <f t="shared" si="140"/>
        <v>0</v>
      </c>
      <c r="AC193" s="2411">
        <v>0</v>
      </c>
      <c r="AD193" s="2412">
        <f t="shared" si="137"/>
        <v>0</v>
      </c>
      <c r="AE193" s="2411"/>
      <c r="AF193" s="2411">
        <f t="shared" si="141"/>
        <v>0</v>
      </c>
      <c r="AG193" s="2411">
        <f t="shared" si="142"/>
        <v>0</v>
      </c>
      <c r="AH193" s="2412">
        <f>IFERROR(VLOOKUP($A193,F13_21_22!$B$14:$O$217,9,0),0)</f>
        <v>0</v>
      </c>
      <c r="AI193" s="2412">
        <f>IFERROR(VLOOKUP($A193,F13_21_22!$B$14:$O$217,10,0),0)</f>
        <v>0</v>
      </c>
      <c r="AJ193" s="2412">
        <f t="shared" si="143"/>
        <v>0</v>
      </c>
      <c r="AK193" s="2412">
        <f>IFERROR(VLOOKUP($A193,F13_21_22!$B$14:$O$217,11,0),0)</f>
        <v>0</v>
      </c>
      <c r="AL193" s="2401">
        <f t="shared" si="144"/>
        <v>0</v>
      </c>
      <c r="AM193" s="2412">
        <f>IFERROR(VLOOKUP($A193,F13_21_22!$B$14:$O$217,12,0),0)</f>
        <v>0</v>
      </c>
      <c r="AN193" s="2412">
        <f t="shared" si="138"/>
        <v>0</v>
      </c>
      <c r="AO193" s="2411"/>
      <c r="AP193" s="2411">
        <f t="shared" si="145"/>
        <v>0</v>
      </c>
      <c r="AQ193" s="2411">
        <f t="shared" si="146"/>
        <v>0</v>
      </c>
      <c r="AR193" s="2406">
        <f>IFERROR(VLOOKUP($A193,F13_22_23!$B$14:$O$215,9,0),0)</f>
        <v>0</v>
      </c>
      <c r="AS193" s="2406">
        <f>IFERROR(VLOOKUP($A193,F13_22_23!$B$14:$O$215,10,0),0)</f>
        <v>0</v>
      </c>
      <c r="AT193" s="2406">
        <f t="shared" si="147"/>
        <v>0</v>
      </c>
      <c r="AU193" s="2406">
        <f>IFERROR(VLOOKUP($A193,F13_22_23!$B$14:$O$215,11,0),0)</f>
        <v>0</v>
      </c>
      <c r="AV193" s="2406">
        <f t="shared" si="148"/>
        <v>0</v>
      </c>
      <c r="AW193" s="2406">
        <f>IFERROR(VLOOKUP($A193,F13_22_23!$B$14:$O$215,12,0),0)</f>
        <v>0</v>
      </c>
      <c r="AX193" s="2406"/>
      <c r="AY193" s="2406">
        <f t="shared" si="149"/>
        <v>0</v>
      </c>
      <c r="AZ193" s="2406">
        <f t="shared" si="150"/>
        <v>0</v>
      </c>
    </row>
    <row r="194" spans="1:52" s="2350" customFormat="1">
      <c r="A194" s="2420">
        <v>0</v>
      </c>
      <c r="B194" s="2405"/>
      <c r="C194" s="2405"/>
      <c r="D194" s="2809"/>
      <c r="E194" s="2809"/>
      <c r="F194" s="2809"/>
      <c r="G194" s="2809"/>
      <c r="H194" s="2809"/>
      <c r="I194" s="2809"/>
      <c r="J194" s="2809"/>
      <c r="K194" s="2809"/>
      <c r="L194" s="2809"/>
      <c r="M194" s="2809"/>
      <c r="N194" s="2410">
        <v>956.16341999999997</v>
      </c>
      <c r="O194" s="2410">
        <v>0</v>
      </c>
      <c r="P194" s="2409">
        <f>IFERROR(O194/N194*10,0)</f>
        <v>0</v>
      </c>
      <c r="Q194" s="2410">
        <v>645.47447920599996</v>
      </c>
      <c r="R194" s="2410">
        <f>IFERROR(Q194/N194*10,0)</f>
        <v>6.7506711269711612</v>
      </c>
      <c r="S194" s="2410">
        <v>0</v>
      </c>
      <c r="T194" s="2410"/>
      <c r="U194" s="2410"/>
      <c r="V194" s="2409">
        <f>SUM(O194,Q194,S194)</f>
        <v>645.47447920599996</v>
      </c>
      <c r="W194" s="2410">
        <f>IFERROR(V194/N194*10,0)</f>
        <v>6.7506711269711612</v>
      </c>
      <c r="X194" s="2401">
        <f>SUM(X187:X193)</f>
        <v>3706.221840880009</v>
      </c>
      <c r="Y194" s="2401">
        <f>SUM(Y187:Y193)</f>
        <v>0</v>
      </c>
      <c r="Z194" s="2401">
        <f>IFERROR(Y194/X194*10,0)</f>
        <v>0</v>
      </c>
      <c r="AA194" s="2401">
        <f>SUM(AA187:AA193)</f>
        <v>1428.7422514022678</v>
      </c>
      <c r="AB194" s="2401">
        <f>IFERROR(AA194/X194*10,0)</f>
        <v>3.8549830872051247</v>
      </c>
      <c r="AC194" s="2412">
        <f>SUM(AC187:AC193)</f>
        <v>11.2348002077325</v>
      </c>
      <c r="AD194" s="2412">
        <f t="shared" si="137"/>
        <v>3.0313350603602553E-2</v>
      </c>
      <c r="AE194" s="2401"/>
      <c r="AF194" s="2401">
        <f>Y194+AA194+AC194+AE194</f>
        <v>1439.9770516100002</v>
      </c>
      <c r="AG194" s="2401">
        <f>IFERROR(AF194/X194*10,0)</f>
        <v>3.8852964378087274</v>
      </c>
      <c r="AH194" s="2401">
        <f>SUM(AH187:AH193)</f>
        <v>4674.9812514999994</v>
      </c>
      <c r="AI194" s="2412">
        <v>0</v>
      </c>
      <c r="AJ194" s="2412">
        <f>IFERROR(AI194/AH194*10,0)</f>
        <v>0</v>
      </c>
      <c r="AK194" s="2401">
        <f>SUM(AK187:AK193)</f>
        <v>1750.1780751483714</v>
      </c>
      <c r="AL194" s="2401">
        <f>IFERROR(AK194/AH194*10,0)</f>
        <v>3.7437114311138995</v>
      </c>
      <c r="AM194" s="2401">
        <f>SUM(AM187:AM193)</f>
        <v>-0.88893721699999995</v>
      </c>
      <c r="AN194" s="2412">
        <f t="shared" si="138"/>
        <v>-1.9014776085246941E-3</v>
      </c>
      <c r="AO194" s="2411"/>
      <c r="AP194" s="2411">
        <f>SUM(AK194,AI194,AM194,AO194)</f>
        <v>1749.2891379313714</v>
      </c>
      <c r="AQ194" s="2411">
        <f>IFERROR(AP194/AH194*10,0)</f>
        <v>3.7418099535053755</v>
      </c>
      <c r="AR194" s="2401">
        <f t="shared" ref="AR194:AY194" si="151">SUM(AR187:AR193)</f>
        <v>4855.3183839507692</v>
      </c>
      <c r="AS194" s="2401">
        <f t="shared" si="151"/>
        <v>0</v>
      </c>
      <c r="AT194" s="2401">
        <f t="shared" si="151"/>
        <v>0</v>
      </c>
      <c r="AU194" s="2401">
        <f t="shared" si="151"/>
        <v>1800.2903692493303</v>
      </c>
      <c r="AV194" s="2401"/>
      <c r="AW194" s="2401">
        <f t="shared" si="151"/>
        <v>0</v>
      </c>
      <c r="AX194" s="2401">
        <f t="shared" si="151"/>
        <v>0</v>
      </c>
      <c r="AY194" s="2401">
        <f t="shared" si="151"/>
        <v>1800.2903692493303</v>
      </c>
      <c r="AZ194" s="2401"/>
    </row>
    <row r="195" spans="1:52" s="2350" customFormat="1">
      <c r="A195" s="2421"/>
      <c r="B195" s="2405"/>
      <c r="C195" s="2405"/>
      <c r="D195" s="2809"/>
      <c r="E195" s="2809"/>
      <c r="F195" s="2809"/>
      <c r="G195" s="2809"/>
      <c r="H195" s="2809"/>
      <c r="I195" s="2809"/>
      <c r="J195" s="2809"/>
      <c r="K195" s="2809"/>
      <c r="L195" s="2809"/>
      <c r="M195" s="2809"/>
      <c r="N195" s="2410"/>
      <c r="O195" s="2410"/>
      <c r="P195" s="2410"/>
      <c r="Q195" s="2410"/>
      <c r="R195" s="2410"/>
      <c r="S195" s="2410"/>
      <c r="T195" s="2410"/>
      <c r="U195" s="2410"/>
      <c r="V195" s="2410"/>
      <c r="W195" s="2400"/>
      <c r="X195" s="2401"/>
      <c r="Y195" s="2401"/>
      <c r="Z195" s="2401"/>
      <c r="AA195" s="2401"/>
      <c r="AB195" s="2401"/>
      <c r="AC195" s="2401"/>
      <c r="AD195" s="2412"/>
      <c r="AE195" s="2401"/>
      <c r="AF195" s="2401"/>
      <c r="AG195" s="2401"/>
      <c r="AH195" s="2412"/>
      <c r="AI195" s="2412"/>
      <c r="AJ195" s="2412"/>
      <c r="AK195" s="2412"/>
      <c r="AL195" s="2401"/>
      <c r="AM195" s="2416"/>
      <c r="AN195" s="2412"/>
      <c r="AO195" s="2411"/>
      <c r="AP195" s="2411"/>
      <c r="AQ195" s="2411"/>
      <c r="AR195" s="2406"/>
      <c r="AS195" s="2406"/>
      <c r="AT195" s="2406"/>
      <c r="AU195" s="2406"/>
      <c r="AV195" s="2406"/>
      <c r="AW195" s="2406"/>
      <c r="AX195" s="2406"/>
      <c r="AY195" s="2406"/>
      <c r="AZ195" s="2406"/>
    </row>
    <row r="196" spans="1:52" s="2350" customFormat="1">
      <c r="A196" s="2420" t="s">
        <v>1797</v>
      </c>
      <c r="B196" s="2405"/>
      <c r="C196" s="2405"/>
      <c r="D196" s="2809"/>
      <c r="E196" s="2809"/>
      <c r="F196" s="2809"/>
      <c r="G196" s="2809"/>
      <c r="H196" s="2809"/>
      <c r="I196" s="2809"/>
      <c r="J196" s="2809"/>
      <c r="K196" s="2809"/>
      <c r="L196" s="2809"/>
      <c r="M196" s="2809"/>
      <c r="N196" s="2410"/>
      <c r="O196" s="2410"/>
      <c r="P196" s="2410"/>
      <c r="Q196" s="2410"/>
      <c r="R196" s="2410"/>
      <c r="S196" s="2410"/>
      <c r="T196" s="2410"/>
      <c r="U196" s="2410"/>
      <c r="V196" s="2410"/>
      <c r="W196" s="2400"/>
      <c r="X196" s="2401"/>
      <c r="Y196" s="2401"/>
      <c r="Z196" s="2401"/>
      <c r="AA196" s="2401"/>
      <c r="AB196" s="2401"/>
      <c r="AC196" s="2401"/>
      <c r="AD196" s="2422"/>
      <c r="AE196" s="2401"/>
      <c r="AF196" s="2401"/>
      <c r="AG196" s="2401"/>
      <c r="AH196" s="2423"/>
      <c r="AI196" s="2423"/>
      <c r="AJ196" s="2423"/>
      <c r="AK196" s="2423"/>
      <c r="AL196" s="2423"/>
      <c r="AM196" s="2423"/>
      <c r="AN196" s="2422"/>
      <c r="AO196" s="2423"/>
      <c r="AP196" s="2423"/>
      <c r="AQ196" s="2423"/>
      <c r="AR196" s="2406"/>
      <c r="AS196" s="2416"/>
      <c r="AT196" s="2416"/>
      <c r="AU196" s="2416"/>
      <c r="AV196" s="2416"/>
      <c r="AW196" s="2416"/>
      <c r="AX196" s="2416"/>
      <c r="AY196" s="2416"/>
      <c r="AZ196" s="2416"/>
    </row>
    <row r="197" spans="1:52" s="2350" customFormat="1">
      <c r="A197" s="2421" t="s">
        <v>1799</v>
      </c>
      <c r="B197" s="2405" t="s">
        <v>1667</v>
      </c>
      <c r="C197" s="2405">
        <v>1</v>
      </c>
      <c r="D197" s="2809"/>
      <c r="E197" s="2809"/>
      <c r="F197" s="2809"/>
      <c r="G197" s="2809"/>
      <c r="H197" s="2809"/>
      <c r="I197" s="2809"/>
      <c r="J197" s="2809"/>
      <c r="K197" s="2809"/>
      <c r="L197" s="2809"/>
      <c r="M197" s="2809"/>
      <c r="N197" s="2410">
        <v>230.42080499999997</v>
      </c>
      <c r="O197" s="2410">
        <v>0</v>
      </c>
      <c r="P197" s="2409">
        <f>IFERROR(O197/N197*10,0)</f>
        <v>0</v>
      </c>
      <c r="Q197" s="2410">
        <v>81.338544999999996</v>
      </c>
      <c r="R197" s="2410">
        <f>IFERROR(Q197/N197*10,0)</f>
        <v>3.5300000362380475</v>
      </c>
      <c r="S197" s="2410">
        <v>0</v>
      </c>
      <c r="T197" s="2410"/>
      <c r="U197" s="2410"/>
      <c r="V197" s="2409">
        <f>SUM(O197,Q197,S197)</f>
        <v>81.338544999999996</v>
      </c>
      <c r="W197" s="2410">
        <f>IFERROR(V197/N197*10,0)</f>
        <v>3.5300000362380475</v>
      </c>
      <c r="X197" s="2411">
        <v>1359.4622005000001</v>
      </c>
      <c r="Y197" s="2411">
        <v>0</v>
      </c>
      <c r="Z197" s="2411">
        <f t="shared" ref="Z197:Z204" si="152">IFERROR(Y197/X197*10,0)</f>
        <v>0</v>
      </c>
      <c r="AA197" s="2411">
        <v>451.97908796899998</v>
      </c>
      <c r="AB197" s="2411">
        <f t="shared" ref="AB197:AB204" si="153">IFERROR(AA197/X197*10,0)</f>
        <v>3.3246903650779362</v>
      </c>
      <c r="AC197" s="2411">
        <v>6.1225999999999996E-2</v>
      </c>
      <c r="AD197" s="2412">
        <f t="shared" ref="AD197:AD204" si="154">IFERROR(AC197/X197*10,0)</f>
        <v>4.5036927085932607E-4</v>
      </c>
      <c r="AE197" s="2411"/>
      <c r="AF197" s="2411">
        <f t="shared" ref="AF197:AF204" si="155">Y197+AA197+AC197+AE197</f>
        <v>452.04031396899995</v>
      </c>
      <c r="AG197" s="2411">
        <f t="shared" ref="AG197:AG204" si="156">IFERROR(AF197/X197*10,0)</f>
        <v>3.3251407343487953</v>
      </c>
      <c r="AH197" s="2412">
        <f>IFERROR(VLOOKUP($A197,F13_21_22!$B$14:$O$217,9,0),0)</f>
        <v>2127.3337259999998</v>
      </c>
      <c r="AI197" s="2412">
        <f>IFERROR(VLOOKUP($A197,F13_21_22!$B$14:$O$217,10,0),0)</f>
        <v>0</v>
      </c>
      <c r="AJ197" s="2412">
        <f t="shared" ref="AJ197:AJ204" si="157">IFERROR(AI197/AH197*10,0)</f>
        <v>0</v>
      </c>
      <c r="AK197" s="2412">
        <f>IFERROR(VLOOKUP($A197,F13_21_22!$B$14:$O$217,11,0),0)</f>
        <v>649.27042079512887</v>
      </c>
      <c r="AL197" s="2401">
        <f t="shared" ref="AL197:AL204" si="158">IFERROR(AK197/AH197*10,0)</f>
        <v>3.0520383936936133</v>
      </c>
      <c r="AM197" s="2412">
        <f>IFERROR(VLOOKUP($A197,F13_21_22!$B$14:$O$217,12,0),0)</f>
        <v>0.1202284</v>
      </c>
      <c r="AN197" s="2412">
        <f t="shared" ref="AN197:AN204" si="159">IFERROR(AM197/AH197*10,0)</f>
        <v>5.6516003356964597E-4</v>
      </c>
      <c r="AO197" s="2411"/>
      <c r="AP197" s="2411">
        <f t="shared" ref="AP197:AP204" si="160">SUM(AK197,AI197,AM197,AO197)</f>
        <v>649.39064919512884</v>
      </c>
      <c r="AQ197" s="2411">
        <f t="shared" ref="AQ197:AQ204" si="161">IFERROR(AP197/AH197*10,0)</f>
        <v>3.0526035537271827</v>
      </c>
      <c r="AR197" s="2406">
        <f>F13_22_23!J190</f>
        <v>1403.2973891004049</v>
      </c>
      <c r="AS197" s="2406">
        <f>F13_22_23!K190</f>
        <v>0</v>
      </c>
      <c r="AT197" s="2406">
        <f t="shared" ref="AT197:AT204" si="162">IFERROR(AS197/AR197*10,0)</f>
        <v>0</v>
      </c>
      <c r="AU197" s="2406">
        <f>F13_22_23!L190</f>
        <v>466.61613109030679</v>
      </c>
      <c r="AV197" s="2406">
        <f t="shared" ref="AV197:AV204" si="163">IFERROR(AU197/AR197*10,0)</f>
        <v>3.3251407343487953</v>
      </c>
      <c r="AW197" s="2406">
        <f>IFERROR(VLOOKUP($A197,F13_22_23!$B$14:$O$215,12,0),0)</f>
        <v>0</v>
      </c>
      <c r="AX197" s="2406"/>
      <c r="AY197" s="2406">
        <f t="shared" ref="AY197:AY204" si="164">AS197+AU197</f>
        <v>466.61613109030679</v>
      </c>
      <c r="AZ197" s="2406">
        <f t="shared" ref="AZ197:AZ204" si="165">IFERROR(AY197/AR197*10,0)</f>
        <v>3.3251407343487953</v>
      </c>
    </row>
    <row r="198" spans="1:52" s="2350" customFormat="1">
      <c r="A198" s="2421" t="s">
        <v>2094</v>
      </c>
      <c r="B198" s="2405" t="s">
        <v>1667</v>
      </c>
      <c r="C198" s="2405">
        <v>1</v>
      </c>
      <c r="D198" s="2809"/>
      <c r="E198" s="2809"/>
      <c r="F198" s="2809"/>
      <c r="G198" s="2809"/>
      <c r="H198" s="2809"/>
      <c r="I198" s="2809"/>
      <c r="J198" s="2809"/>
      <c r="K198" s="2809"/>
      <c r="L198" s="2809"/>
      <c r="M198" s="2809"/>
      <c r="N198" s="2410"/>
      <c r="O198" s="2410"/>
      <c r="P198" s="2410"/>
      <c r="Q198" s="2410"/>
      <c r="R198" s="2410"/>
      <c r="S198" s="2410"/>
      <c r="T198" s="2410"/>
      <c r="U198" s="2410"/>
      <c r="V198" s="2410"/>
      <c r="W198" s="2400"/>
      <c r="X198" s="2411">
        <v>0</v>
      </c>
      <c r="Y198" s="2411">
        <v>0</v>
      </c>
      <c r="Z198" s="2411">
        <f t="shared" si="152"/>
        <v>0</v>
      </c>
      <c r="AA198" s="2411">
        <v>0</v>
      </c>
      <c r="AB198" s="2411">
        <f t="shared" si="153"/>
        <v>0</v>
      </c>
      <c r="AC198" s="2411">
        <v>0</v>
      </c>
      <c r="AD198" s="2412">
        <f t="shared" si="154"/>
        <v>0</v>
      </c>
      <c r="AE198" s="2411"/>
      <c r="AF198" s="2411">
        <f t="shared" si="155"/>
        <v>0</v>
      </c>
      <c r="AG198" s="2411">
        <f t="shared" si="156"/>
        <v>0</v>
      </c>
      <c r="AH198" s="2412">
        <f>IFERROR(VLOOKUP($A198,F13_21_22!$B$14:$O$217,9,0),0)</f>
        <v>0</v>
      </c>
      <c r="AI198" s="2412">
        <f>IFERROR(VLOOKUP($A198,F13_21_22!$B$14:$O$217,10,0),0)</f>
        <v>0</v>
      </c>
      <c r="AJ198" s="2412">
        <f t="shared" si="157"/>
        <v>0</v>
      </c>
      <c r="AK198" s="2412">
        <f>IFERROR(VLOOKUP($A198,F13_21_22!$B$14:$O$217,11,0),0)</f>
        <v>0</v>
      </c>
      <c r="AL198" s="2401">
        <f t="shared" si="158"/>
        <v>0</v>
      </c>
      <c r="AM198" s="2412">
        <f>IFERROR(VLOOKUP($A198,F13_21_22!$B$14:$O$217,12,0),0)</f>
        <v>0</v>
      </c>
      <c r="AN198" s="2412">
        <f t="shared" si="159"/>
        <v>0</v>
      </c>
      <c r="AO198" s="2411"/>
      <c r="AP198" s="2411">
        <f t="shared" si="160"/>
        <v>0</v>
      </c>
      <c r="AQ198" s="2411">
        <f t="shared" si="161"/>
        <v>0</v>
      </c>
      <c r="AR198" s="2406">
        <f>IFERROR(VLOOKUP($A198,F13_22_23!$B$14:$O$215,9,0),0)</f>
        <v>0</v>
      </c>
      <c r="AS198" s="2406">
        <f>IFERROR(VLOOKUP($A198,F13_22_23!$B$14:$O$215,10,0),0)</f>
        <v>0</v>
      </c>
      <c r="AT198" s="2406">
        <f t="shared" si="162"/>
        <v>0</v>
      </c>
      <c r="AU198" s="2406">
        <f>IFERROR(VLOOKUP($A198,F13_22_23!$B$14:$O$215,11,0),0)</f>
        <v>0</v>
      </c>
      <c r="AV198" s="2406">
        <f t="shared" si="163"/>
        <v>0</v>
      </c>
      <c r="AW198" s="2406">
        <f>IFERROR(VLOOKUP($A198,F13_22_23!$B$14:$O$215,12,0),0)</f>
        <v>0</v>
      </c>
      <c r="AX198" s="2406"/>
      <c r="AY198" s="2406">
        <f t="shared" si="164"/>
        <v>0</v>
      </c>
      <c r="AZ198" s="2406">
        <f t="shared" si="165"/>
        <v>0</v>
      </c>
    </row>
    <row r="199" spans="1:52" s="2350" customFormat="1">
      <c r="A199" s="2421" t="s">
        <v>1800</v>
      </c>
      <c r="B199" s="2405" t="s">
        <v>1667</v>
      </c>
      <c r="C199" s="2405">
        <v>2</v>
      </c>
      <c r="D199" s="2809"/>
      <c r="E199" s="2809"/>
      <c r="F199" s="2809"/>
      <c r="G199" s="2809"/>
      <c r="H199" s="2809"/>
      <c r="I199" s="2809"/>
      <c r="J199" s="2809"/>
      <c r="K199" s="2809"/>
      <c r="L199" s="2809"/>
      <c r="M199" s="2809"/>
      <c r="N199" s="2410"/>
      <c r="O199" s="2410"/>
      <c r="P199" s="2410"/>
      <c r="Q199" s="2410"/>
      <c r="R199" s="2410"/>
      <c r="S199" s="2410"/>
      <c r="T199" s="2410"/>
      <c r="U199" s="2410"/>
      <c r="V199" s="2410"/>
      <c r="W199" s="2410"/>
      <c r="X199" s="2411">
        <v>0</v>
      </c>
      <c r="Y199" s="2411">
        <v>0</v>
      </c>
      <c r="Z199" s="2411">
        <f t="shared" si="152"/>
        <v>0</v>
      </c>
      <c r="AA199" s="2411">
        <v>0</v>
      </c>
      <c r="AB199" s="2411">
        <f t="shared" si="153"/>
        <v>0</v>
      </c>
      <c r="AC199" s="2411">
        <v>0</v>
      </c>
      <c r="AD199" s="2412">
        <f t="shared" si="154"/>
        <v>0</v>
      </c>
      <c r="AE199" s="2411"/>
      <c r="AF199" s="2411">
        <f t="shared" si="155"/>
        <v>0</v>
      </c>
      <c r="AG199" s="2411">
        <f t="shared" si="156"/>
        <v>0</v>
      </c>
      <c r="AH199" s="2412">
        <f>IFERROR(VLOOKUP($A199,F13_21_22!$B$14:$O$217,9,0),0)</f>
        <v>0</v>
      </c>
      <c r="AI199" s="2412">
        <f>IFERROR(VLOOKUP($A199,F13_21_22!$B$14:$O$217,10,0),0)</f>
        <v>0</v>
      </c>
      <c r="AJ199" s="2412">
        <f t="shared" si="157"/>
        <v>0</v>
      </c>
      <c r="AK199" s="2412">
        <f>IFERROR(VLOOKUP($A199,F13_21_22!$B$14:$O$217,11,0),0)</f>
        <v>0</v>
      </c>
      <c r="AL199" s="2401">
        <f t="shared" si="158"/>
        <v>0</v>
      </c>
      <c r="AM199" s="2412">
        <f>IFERROR(VLOOKUP($A199,F13_21_22!$B$14:$O$217,12,0),0)</f>
        <v>0</v>
      </c>
      <c r="AN199" s="2412">
        <f t="shared" si="159"/>
        <v>0</v>
      </c>
      <c r="AO199" s="2411"/>
      <c r="AP199" s="2411">
        <f t="shared" si="160"/>
        <v>0</v>
      </c>
      <c r="AQ199" s="2411">
        <f t="shared" si="161"/>
        <v>0</v>
      </c>
      <c r="AR199" s="2406">
        <f>IFERROR(VLOOKUP($A199,F13_22_23!$B$14:$O$215,9,0),0)</f>
        <v>0</v>
      </c>
      <c r="AS199" s="2406">
        <f>IFERROR(VLOOKUP($A199,F13_22_23!$B$14:$O$215,10,0),0)</f>
        <v>0</v>
      </c>
      <c r="AT199" s="2406">
        <f t="shared" si="162"/>
        <v>0</v>
      </c>
      <c r="AU199" s="2406">
        <f>IFERROR(VLOOKUP($A199,F13_22_23!$B$14:$O$215,11,0),0)</f>
        <v>0</v>
      </c>
      <c r="AV199" s="2406">
        <f t="shared" si="163"/>
        <v>0</v>
      </c>
      <c r="AW199" s="2406">
        <f>IFERROR(VLOOKUP($A199,F13_22_23!$B$14:$O$215,12,0),0)</f>
        <v>0</v>
      </c>
      <c r="AX199" s="2406"/>
      <c r="AY199" s="2406">
        <f t="shared" si="164"/>
        <v>0</v>
      </c>
      <c r="AZ199" s="2406">
        <f t="shared" si="165"/>
        <v>0</v>
      </c>
    </row>
    <row r="200" spans="1:52" s="2350" customFormat="1">
      <c r="A200" s="2421" t="s">
        <v>1801</v>
      </c>
      <c r="B200" s="2405" t="s">
        <v>1667</v>
      </c>
      <c r="C200" s="2405">
        <v>2</v>
      </c>
      <c r="D200" s="2809"/>
      <c r="E200" s="2809"/>
      <c r="F200" s="2809"/>
      <c r="G200" s="2809"/>
      <c r="H200" s="2809"/>
      <c r="I200" s="2809"/>
      <c r="J200" s="2809"/>
      <c r="K200" s="2809"/>
      <c r="L200" s="2809"/>
      <c r="M200" s="2809"/>
      <c r="N200" s="2410"/>
      <c r="O200" s="2410"/>
      <c r="P200" s="2410"/>
      <c r="Q200" s="2410"/>
      <c r="R200" s="2410"/>
      <c r="S200" s="2410"/>
      <c r="T200" s="2410"/>
      <c r="U200" s="2410"/>
      <c r="V200" s="2410"/>
      <c r="W200" s="2410"/>
      <c r="X200" s="2411">
        <v>0</v>
      </c>
      <c r="Y200" s="2411">
        <v>0</v>
      </c>
      <c r="Z200" s="2411">
        <f t="shared" si="152"/>
        <v>0</v>
      </c>
      <c r="AA200" s="2411">
        <v>0</v>
      </c>
      <c r="AB200" s="2411">
        <f t="shared" si="153"/>
        <v>0</v>
      </c>
      <c r="AC200" s="2411">
        <v>0</v>
      </c>
      <c r="AD200" s="2412">
        <f t="shared" si="154"/>
        <v>0</v>
      </c>
      <c r="AE200" s="2411"/>
      <c r="AF200" s="2411">
        <f t="shared" si="155"/>
        <v>0</v>
      </c>
      <c r="AG200" s="2411">
        <f t="shared" si="156"/>
        <v>0</v>
      </c>
      <c r="AH200" s="2412">
        <f>IFERROR(VLOOKUP($A200,F13_21_22!$B$14:$O$217,9,0),0)</f>
        <v>437.07600000000002</v>
      </c>
      <c r="AI200" s="2412">
        <f>IFERROR(VLOOKUP($A200,F13_21_22!$B$14:$O$217,10,0),0)</f>
        <v>0</v>
      </c>
      <c r="AJ200" s="2412">
        <f t="shared" si="157"/>
        <v>0</v>
      </c>
      <c r="AK200" s="2412">
        <f>IFERROR(VLOOKUP($A200,F13_21_22!$B$14:$O$217,11,0),0)</f>
        <v>145.33392116062339</v>
      </c>
      <c r="AL200" s="2401">
        <f t="shared" si="158"/>
        <v>3.3251407343487949</v>
      </c>
      <c r="AM200" s="2412">
        <f>IFERROR(VLOOKUP($A200,F13_21_22!$B$14:$O$217,12,0),0)</f>
        <v>0</v>
      </c>
      <c r="AN200" s="2412">
        <f t="shared" si="159"/>
        <v>0</v>
      </c>
      <c r="AO200" s="2411"/>
      <c r="AP200" s="2411">
        <f t="shared" si="160"/>
        <v>145.33392116062339</v>
      </c>
      <c r="AQ200" s="2411">
        <f t="shared" si="161"/>
        <v>3.3251407343487949</v>
      </c>
      <c r="AR200" s="2406">
        <f>IFERROR(VLOOKUP($A200,F13_22_23!$B$14:$O$215,9,0),0)</f>
        <v>1775.0100120923073</v>
      </c>
      <c r="AS200" s="2406">
        <f>IFERROR(VLOOKUP($A200,F13_22_23!$B$14:$O$215,10,0),0)</f>
        <v>0</v>
      </c>
      <c r="AT200" s="2406">
        <f t="shared" si="162"/>
        <v>0</v>
      </c>
      <c r="AU200" s="2406">
        <f>IFERROR(VLOOKUP($A200,F13_22_23!$B$14:$O$215,11,0),0)</f>
        <v>590.21580950850796</v>
      </c>
      <c r="AV200" s="2406">
        <f t="shared" si="163"/>
        <v>3.3251407343487962</v>
      </c>
      <c r="AW200" s="2406">
        <f>IFERROR(VLOOKUP($A200,F13_22_23!$B$14:$O$215,12,0),0)</f>
        <v>0</v>
      </c>
      <c r="AX200" s="2406"/>
      <c r="AY200" s="2406">
        <f t="shared" si="164"/>
        <v>590.21580950850796</v>
      </c>
      <c r="AZ200" s="2406">
        <f t="shared" si="165"/>
        <v>3.3251407343487962</v>
      </c>
    </row>
    <row r="201" spans="1:52" s="2350" customFormat="1">
      <c r="A201" s="2421" t="s">
        <v>2062</v>
      </c>
      <c r="B201" s="2405" t="s">
        <v>1667</v>
      </c>
      <c r="C201" s="2405">
        <v>2</v>
      </c>
      <c r="D201" s="2809"/>
      <c r="E201" s="2809"/>
      <c r="F201" s="2809"/>
      <c r="G201" s="2809"/>
      <c r="H201" s="2809"/>
      <c r="I201" s="2809"/>
      <c r="J201" s="2809"/>
      <c r="K201" s="2809"/>
      <c r="L201" s="2809"/>
      <c r="M201" s="2809"/>
      <c r="N201" s="2410"/>
      <c r="O201" s="2410"/>
      <c r="P201" s="2410"/>
      <c r="Q201" s="2410"/>
      <c r="R201" s="2410"/>
      <c r="S201" s="2410"/>
      <c r="T201" s="2410"/>
      <c r="U201" s="2410"/>
      <c r="V201" s="2410"/>
      <c r="W201" s="2410"/>
      <c r="X201" s="2411"/>
      <c r="Y201" s="2411"/>
      <c r="Z201" s="2411"/>
      <c r="AA201" s="2411"/>
      <c r="AB201" s="2411"/>
      <c r="AC201" s="2411"/>
      <c r="AD201" s="2412"/>
      <c r="AE201" s="2411"/>
      <c r="AF201" s="2411"/>
      <c r="AG201" s="2411"/>
      <c r="AH201" s="2412">
        <f>IFERROR(VLOOKUP($A201,F13_21_22!$B$14:$O$217,9,0),0)</f>
        <v>0</v>
      </c>
      <c r="AI201" s="2412"/>
      <c r="AJ201" s="2412">
        <f>IFERROR(AI201/AH201*10,0)</f>
        <v>0</v>
      </c>
      <c r="AK201" s="2412">
        <f>IFERROR(VLOOKUP($A201,F13_21_22!$B$14:$O$217,11,0),0)</f>
        <v>0</v>
      </c>
      <c r="AL201" s="2401"/>
      <c r="AM201" s="2412"/>
      <c r="AN201" s="2412"/>
      <c r="AO201" s="2411"/>
      <c r="AP201" s="2411">
        <f>SUM(AK201,AI201,AM201,AO201)</f>
        <v>0</v>
      </c>
      <c r="AQ201" s="2411">
        <f>IFERROR(AP201/AH201*10,0)</f>
        <v>0</v>
      </c>
      <c r="AR201" s="2406">
        <f>IFERROR(VLOOKUP($A201,F13_22_23!$B$14:$O$215,9,0),0)</f>
        <v>1509.5499403238866</v>
      </c>
      <c r="AS201" s="2406">
        <f>IFERROR(VLOOKUP($A201,F13_22_23!$B$14:$O$215,10,0),0)</f>
        <v>0</v>
      </c>
      <c r="AT201" s="2406">
        <f>IFERROR(AS201/AR201*10,0)</f>
        <v>0</v>
      </c>
      <c r="AU201" s="2406">
        <f>IFERROR(VLOOKUP($A201,F13_22_23!$B$14:$O$215,11,0),0)</f>
        <v>501.94659971047497</v>
      </c>
      <c r="AV201" s="2406">
        <f>IFERROR(AU201/AR201*10,0)</f>
        <v>3.3251407343487962</v>
      </c>
      <c r="AW201" s="2406">
        <f>IFERROR(VLOOKUP($A201,F13_22_23!$B$14:$O$215,12,0),0)</f>
        <v>0</v>
      </c>
      <c r="AX201" s="2406"/>
      <c r="AY201" s="2406">
        <f>AS201+AU201</f>
        <v>501.94659971047497</v>
      </c>
      <c r="AZ201" s="2406">
        <f>IFERROR(AY201/AR201*10,0)</f>
        <v>3.3251407343487962</v>
      </c>
    </row>
    <row r="202" spans="1:52" s="2350" customFormat="1">
      <c r="A202" s="2421" t="s">
        <v>1802</v>
      </c>
      <c r="B202" s="2405" t="s">
        <v>1667</v>
      </c>
      <c r="C202" s="2405">
        <v>2</v>
      </c>
      <c r="D202" s="2809"/>
      <c r="E202" s="2809"/>
      <c r="F202" s="2809"/>
      <c r="G202" s="2809"/>
      <c r="H202" s="2809"/>
      <c r="I202" s="2809"/>
      <c r="J202" s="2809"/>
      <c r="K202" s="2809"/>
      <c r="L202" s="2809"/>
      <c r="M202" s="2809"/>
      <c r="N202" s="2410"/>
      <c r="O202" s="2410"/>
      <c r="P202" s="2410"/>
      <c r="Q202" s="2410"/>
      <c r="R202" s="2410"/>
      <c r="S202" s="2410"/>
      <c r="T202" s="2410"/>
      <c r="U202" s="2410"/>
      <c r="V202" s="2410"/>
      <c r="W202" s="2410"/>
      <c r="X202" s="2411">
        <v>0</v>
      </c>
      <c r="Y202" s="2411">
        <v>0</v>
      </c>
      <c r="Z202" s="2411">
        <f t="shared" si="152"/>
        <v>0</v>
      </c>
      <c r="AA202" s="2411">
        <v>0</v>
      </c>
      <c r="AB202" s="2411">
        <f t="shared" si="153"/>
        <v>0</v>
      </c>
      <c r="AC202" s="2411">
        <v>0</v>
      </c>
      <c r="AD202" s="2412">
        <f t="shared" si="154"/>
        <v>0</v>
      </c>
      <c r="AE202" s="2411"/>
      <c r="AF202" s="2411">
        <f t="shared" si="155"/>
        <v>0</v>
      </c>
      <c r="AG202" s="2411">
        <f t="shared" si="156"/>
        <v>0</v>
      </c>
      <c r="AH202" s="2412">
        <f>IFERROR(VLOOKUP($A202,F13_21_22!$B$14:$O$217,9,0),0)</f>
        <v>36.18</v>
      </c>
      <c r="AI202" s="2412">
        <f>IFERROR(VLOOKUP($A202,F13_21_22!$B$14:$O$217,10,0),0)</f>
        <v>0</v>
      </c>
      <c r="AJ202" s="2412">
        <f t="shared" si="157"/>
        <v>0</v>
      </c>
      <c r="AK202" s="2412">
        <f>IFERROR(VLOOKUP($A202,F13_21_22!$B$14:$O$217,11,0),0)</f>
        <v>23.073905211226919</v>
      </c>
      <c r="AL202" s="2401">
        <f t="shared" si="158"/>
        <v>6.3775304619200988</v>
      </c>
      <c r="AM202" s="2412">
        <f>IFERROR(VLOOKUP($A202,F13_21_22!$B$14:$O$217,12,0),0)</f>
        <v>0</v>
      </c>
      <c r="AN202" s="2412">
        <f t="shared" si="159"/>
        <v>0</v>
      </c>
      <c r="AO202" s="2411"/>
      <c r="AP202" s="2411">
        <f t="shared" si="160"/>
        <v>23.073905211226919</v>
      </c>
      <c r="AQ202" s="2411">
        <f t="shared" si="161"/>
        <v>6.3775304619200988</v>
      </c>
      <c r="AR202" s="2406">
        <f>IFERROR(VLOOKUP($A202,F13_22_23!$B$14:$O$215,9,0),0)</f>
        <v>146.73000000000002</v>
      </c>
      <c r="AS202" s="2406">
        <f>IFERROR(VLOOKUP($A202,F13_22_23!$B$14:$O$215,10,0),0)</f>
        <v>0</v>
      </c>
      <c r="AT202" s="2406">
        <f t="shared" si="162"/>
        <v>0</v>
      </c>
      <c r="AU202" s="2406">
        <f>IFERROR(VLOOKUP($A202,F13_22_23!$B$14:$O$215,11,0),0)</f>
        <v>95.449054557108695</v>
      </c>
      <c r="AV202" s="2406">
        <f t="shared" si="163"/>
        <v>6.5050810711585001</v>
      </c>
      <c r="AW202" s="2406">
        <f>IFERROR(VLOOKUP($A202,F13_22_23!$B$14:$O$215,12,0),0)</f>
        <v>0</v>
      </c>
      <c r="AX202" s="2406"/>
      <c r="AY202" s="2406">
        <f t="shared" si="164"/>
        <v>95.449054557108695</v>
      </c>
      <c r="AZ202" s="2406">
        <f t="shared" si="165"/>
        <v>6.5050810711585001</v>
      </c>
    </row>
    <row r="203" spans="1:52" s="2350" customFormat="1">
      <c r="A203" s="2421" t="s">
        <v>1803</v>
      </c>
      <c r="B203" s="2405"/>
      <c r="C203" s="2405"/>
      <c r="D203" s="2809"/>
      <c r="E203" s="2809"/>
      <c r="F203" s="2809"/>
      <c r="G203" s="2809"/>
      <c r="H203" s="2809"/>
      <c r="I203" s="2809"/>
      <c r="J203" s="2809"/>
      <c r="K203" s="2809"/>
      <c r="L203" s="2809"/>
      <c r="M203" s="2809"/>
      <c r="N203" s="2410"/>
      <c r="O203" s="2410"/>
      <c r="P203" s="2410"/>
      <c r="Q203" s="2410"/>
      <c r="R203" s="2410"/>
      <c r="S203" s="2410"/>
      <c r="T203" s="2410"/>
      <c r="U203" s="2410"/>
      <c r="V203" s="2410"/>
      <c r="W203" s="2410"/>
      <c r="X203" s="2411">
        <v>0</v>
      </c>
      <c r="Y203" s="2411">
        <v>0</v>
      </c>
      <c r="Z203" s="2411">
        <f t="shared" si="152"/>
        <v>0</v>
      </c>
      <c r="AA203" s="2411">
        <v>0</v>
      </c>
      <c r="AB203" s="2411">
        <f t="shared" si="153"/>
        <v>0</v>
      </c>
      <c r="AC203" s="2411">
        <v>0</v>
      </c>
      <c r="AD203" s="2412">
        <f t="shared" si="154"/>
        <v>0</v>
      </c>
      <c r="AE203" s="2411"/>
      <c r="AF203" s="2411">
        <f t="shared" si="155"/>
        <v>0</v>
      </c>
      <c r="AG203" s="2411">
        <f t="shared" si="156"/>
        <v>0</v>
      </c>
      <c r="AH203" s="2412">
        <f>IFERROR(VLOOKUP($A203,F13_21_22!$B$14:$O$217,9,0),0)</f>
        <v>0</v>
      </c>
      <c r="AI203" s="2412">
        <f>IFERROR(VLOOKUP($A203,F13_21_22!$B$14:$O$217,10,0),0)</f>
        <v>0</v>
      </c>
      <c r="AJ203" s="2412">
        <f t="shared" si="157"/>
        <v>0</v>
      </c>
      <c r="AK203" s="2412">
        <f>IFERROR(VLOOKUP($A203,F13_21_22!$B$14:$O$217,11,0),0)</f>
        <v>0</v>
      </c>
      <c r="AL203" s="2401">
        <f t="shared" si="158"/>
        <v>0</v>
      </c>
      <c r="AM203" s="2412">
        <f>IFERROR(VLOOKUP($A203,F13_21_22!$B$14:$O$217,12,0),0)</f>
        <v>0</v>
      </c>
      <c r="AN203" s="2412">
        <f t="shared" si="159"/>
        <v>0</v>
      </c>
      <c r="AO203" s="2411"/>
      <c r="AP203" s="2411">
        <f t="shared" si="160"/>
        <v>0</v>
      </c>
      <c r="AQ203" s="2411">
        <f t="shared" si="161"/>
        <v>0</v>
      </c>
      <c r="AR203" s="2406">
        <f>IFERROR(VLOOKUP($A203,F13_22_23!$B$14:$O$215,9,0),0)</f>
        <v>0</v>
      </c>
      <c r="AS203" s="2406">
        <f>IFERROR(VLOOKUP($A203,F13_22_23!$B$14:$O$215,10,0),0)</f>
        <v>0</v>
      </c>
      <c r="AT203" s="2406">
        <f t="shared" si="162"/>
        <v>0</v>
      </c>
      <c r="AU203" s="2406">
        <f>IFERROR(VLOOKUP($A203,F13_22_23!$B$14:$O$215,11,0),0)</f>
        <v>0</v>
      </c>
      <c r="AV203" s="2406">
        <f t="shared" si="163"/>
        <v>0</v>
      </c>
      <c r="AW203" s="2406">
        <f>IFERROR(VLOOKUP($A203,F13_22_23!$B$14:$O$215,12,0),0)</f>
        <v>0</v>
      </c>
      <c r="AX203" s="2406"/>
      <c r="AY203" s="2406">
        <f t="shared" si="164"/>
        <v>0</v>
      </c>
      <c r="AZ203" s="2406">
        <f t="shared" si="165"/>
        <v>0</v>
      </c>
    </row>
    <row r="204" spans="1:52" s="2350" customFormat="1">
      <c r="A204" s="2421" t="s">
        <v>2063</v>
      </c>
      <c r="B204" s="2405"/>
      <c r="C204" s="2405"/>
      <c r="D204" s="2809"/>
      <c r="E204" s="2809"/>
      <c r="F204" s="2809"/>
      <c r="G204" s="2809"/>
      <c r="H204" s="2809"/>
      <c r="I204" s="2809"/>
      <c r="J204" s="2809"/>
      <c r="K204" s="2809"/>
      <c r="L204" s="2809"/>
      <c r="M204" s="2809"/>
      <c r="N204" s="2410"/>
      <c r="O204" s="2410"/>
      <c r="P204" s="2410"/>
      <c r="Q204" s="2410"/>
      <c r="R204" s="2410"/>
      <c r="S204" s="2410"/>
      <c r="T204" s="2410"/>
      <c r="U204" s="2410"/>
      <c r="V204" s="2410"/>
      <c r="W204" s="2410"/>
      <c r="X204" s="2411">
        <v>0</v>
      </c>
      <c r="Y204" s="2411">
        <v>0</v>
      </c>
      <c r="Z204" s="2411">
        <f t="shared" si="152"/>
        <v>0</v>
      </c>
      <c r="AA204" s="2411">
        <v>0</v>
      </c>
      <c r="AB204" s="2411">
        <f t="shared" si="153"/>
        <v>0</v>
      </c>
      <c r="AC204" s="2411">
        <v>0</v>
      </c>
      <c r="AD204" s="2412">
        <f t="shared" si="154"/>
        <v>0</v>
      </c>
      <c r="AE204" s="2411"/>
      <c r="AF204" s="2411">
        <f t="shared" si="155"/>
        <v>0</v>
      </c>
      <c r="AG204" s="2411">
        <f t="shared" si="156"/>
        <v>0</v>
      </c>
      <c r="AH204" s="2412">
        <f>IFERROR(VLOOKUP($A204,F13_21_22!$B$14:$O$217,9,0),0)</f>
        <v>47.79</v>
      </c>
      <c r="AI204" s="2412">
        <f>IFERROR(VLOOKUP($A204,F13_21_22!$B$14:$O$217,10,0),0)</f>
        <v>0</v>
      </c>
      <c r="AJ204" s="2412">
        <f t="shared" si="157"/>
        <v>0</v>
      </c>
      <c r="AK204" s="2412">
        <f>IFERROR(VLOOKUP($A204,F13_21_22!$B$14:$O$217,11,0),0)</f>
        <v>35.746920000000003</v>
      </c>
      <c r="AL204" s="2401">
        <f t="shared" si="158"/>
        <v>7.4800000000000013</v>
      </c>
      <c r="AM204" s="2412">
        <f>IFERROR(VLOOKUP($A204,F13_21_22!$B$14:$O$217,12,0),0)</f>
        <v>0</v>
      </c>
      <c r="AN204" s="2412">
        <f t="shared" si="159"/>
        <v>0</v>
      </c>
      <c r="AO204" s="2411"/>
      <c r="AP204" s="2411">
        <f t="shared" si="160"/>
        <v>35.746920000000003</v>
      </c>
      <c r="AQ204" s="2411">
        <f t="shared" si="161"/>
        <v>7.4800000000000013</v>
      </c>
      <c r="AR204" s="2406">
        <f>IFERROR(VLOOKUP($A204,F13_22_23!$B$14:$O$215,9,0),0)</f>
        <v>193.815</v>
      </c>
      <c r="AS204" s="2406">
        <f>IFERROR(VLOOKUP($A204,F13_22_23!$B$14:$O$215,10,0),0)</f>
        <v>0</v>
      </c>
      <c r="AT204" s="2406">
        <f t="shared" si="162"/>
        <v>0</v>
      </c>
      <c r="AU204" s="2406">
        <f>IFERROR(VLOOKUP($A204,F13_22_23!$B$14:$O$215,11,0),0)</f>
        <v>147.49321500000002</v>
      </c>
      <c r="AV204" s="2406">
        <f t="shared" si="163"/>
        <v>7.6100000000000012</v>
      </c>
      <c r="AW204" s="2406">
        <f>IFERROR(VLOOKUP($A204,F13_22_23!$B$14:$O$215,12,0),0)</f>
        <v>0</v>
      </c>
      <c r="AX204" s="2406"/>
      <c r="AY204" s="2406">
        <f t="shared" si="164"/>
        <v>147.49321500000002</v>
      </c>
      <c r="AZ204" s="2406">
        <f t="shared" si="165"/>
        <v>7.6100000000000012</v>
      </c>
    </row>
    <row r="205" spans="1:52" s="2350" customFormat="1">
      <c r="A205" s="2420" t="s">
        <v>211</v>
      </c>
      <c r="B205" s="2405"/>
      <c r="C205" s="2405"/>
      <c r="D205" s="2809"/>
      <c r="E205" s="2809"/>
      <c r="F205" s="2809"/>
      <c r="G205" s="2809"/>
      <c r="H205" s="2809"/>
      <c r="I205" s="2809"/>
      <c r="J205" s="2809"/>
      <c r="K205" s="2809"/>
      <c r="L205" s="2809"/>
      <c r="M205" s="2809"/>
      <c r="N205" s="2400">
        <f>SUM(N197:N204)</f>
        <v>230.42080499999997</v>
      </c>
      <c r="O205" s="2400">
        <f>SUM(O197:O204)</f>
        <v>0</v>
      </c>
      <c r="P205" s="2410"/>
      <c r="Q205" s="2400">
        <f>SUM(Q197:Q204)</f>
        <v>81.338544999999996</v>
      </c>
      <c r="R205" s="2410"/>
      <c r="S205" s="2410"/>
      <c r="T205" s="2410"/>
      <c r="U205" s="2410"/>
      <c r="V205" s="2400">
        <f>SUM(V197:V204)</f>
        <v>81.338544999999996</v>
      </c>
      <c r="W205" s="2410">
        <f>IFERROR(V205/N205*10,0)</f>
        <v>3.5300000362380475</v>
      </c>
      <c r="X205" s="2401">
        <f>SUM(X197:X204)</f>
        <v>1359.4622005000001</v>
      </c>
      <c r="Y205" s="2401">
        <f>SUM(Y197:Y204)</f>
        <v>0</v>
      </c>
      <c r="Z205" s="2401"/>
      <c r="AA205" s="2401">
        <f>SUM(AA197:AA204)</f>
        <v>451.97908796899998</v>
      </c>
      <c r="AB205" s="2401"/>
      <c r="AC205" s="2401">
        <f>SUM(AC197:AC204)</f>
        <v>6.1225999999999996E-2</v>
      </c>
      <c r="AD205" s="2412">
        <f>IFERROR(AC205/X205*10,0)</f>
        <v>4.5036927085932607E-4</v>
      </c>
      <c r="AE205" s="2401"/>
      <c r="AF205" s="2401">
        <f>SUM(AF197:AF204)</f>
        <v>452.04031396899995</v>
      </c>
      <c r="AG205" s="2401"/>
      <c r="AH205" s="2401">
        <f>SUM(AH197:AH204)</f>
        <v>2648.3797259999997</v>
      </c>
      <c r="AI205" s="2401">
        <f>SUM(AI197:AI204)</f>
        <v>0</v>
      </c>
      <c r="AJ205" s="2401">
        <f>SUM(AJ197:AJ204)</f>
        <v>0</v>
      </c>
      <c r="AK205" s="2401">
        <f>SUM(AK197:AK204)</f>
        <v>853.42516716697924</v>
      </c>
      <c r="AL205" s="2401"/>
      <c r="AM205" s="2401">
        <f>SUM(AM197:AM204)</f>
        <v>0.1202284</v>
      </c>
      <c r="AN205" s="2412">
        <f>IFERROR(AM205/AH205*10,0)</f>
        <v>4.5396964347551428E-4</v>
      </c>
      <c r="AO205" s="2401">
        <f ca="1">SUM(AO197:AO208)</f>
        <v>0</v>
      </c>
      <c r="AP205" s="2401">
        <f>SUM(AP197:AP204)</f>
        <v>853.54539556697921</v>
      </c>
      <c r="AQ205" s="2401">
        <f>IFERROR(AP205/AH205*10,0)</f>
        <v>3.2228965778111358</v>
      </c>
      <c r="AR205" s="2401">
        <f>SUM(AR197:AR204)</f>
        <v>5028.4023415165984</v>
      </c>
      <c r="AS205" s="2401">
        <f>SUM(AS197:AS204)</f>
        <v>0</v>
      </c>
      <c r="AT205" s="2401">
        <f>SUM(AT197:AT204)</f>
        <v>0</v>
      </c>
      <c r="AU205" s="2401">
        <f>SUM(AU197:AU204)</f>
        <v>1801.7208098663984</v>
      </c>
      <c r="AV205" s="2401"/>
      <c r="AW205" s="2401">
        <f>SUM(AW197:AW204)</f>
        <v>0</v>
      </c>
      <c r="AX205" s="2401">
        <f>SUM(AX197:AX204)</f>
        <v>0</v>
      </c>
      <c r="AY205" s="2401">
        <f>SUM(AY197:AY204)</f>
        <v>1801.7208098663984</v>
      </c>
      <c r="AZ205" s="2401"/>
    </row>
    <row r="206" spans="1:52" s="2350" customFormat="1">
      <c r="A206" s="2421"/>
      <c r="B206" s="2405"/>
      <c r="C206" s="2405"/>
      <c r="D206" s="2809"/>
      <c r="E206" s="2809"/>
      <c r="F206" s="2809"/>
      <c r="G206" s="2809"/>
      <c r="H206" s="2809"/>
      <c r="I206" s="2809"/>
      <c r="J206" s="2809"/>
      <c r="K206" s="2809"/>
      <c r="L206" s="2809"/>
      <c r="M206" s="2809"/>
      <c r="N206" s="2410"/>
      <c r="O206" s="2410"/>
      <c r="P206" s="2410"/>
      <c r="Q206" s="2410"/>
      <c r="R206" s="2410"/>
      <c r="S206" s="2410"/>
      <c r="T206" s="2410"/>
      <c r="U206" s="2410"/>
      <c r="V206" s="2410"/>
      <c r="W206" s="2410"/>
      <c r="X206" s="2401"/>
      <c r="Y206" s="2401"/>
      <c r="Z206" s="2401"/>
      <c r="AA206" s="2401"/>
      <c r="AB206" s="2401"/>
      <c r="AC206" s="2401"/>
      <c r="AD206" s="2412"/>
      <c r="AE206" s="2401"/>
      <c r="AF206" s="2401"/>
      <c r="AG206" s="2401"/>
      <c r="AH206" s="2412"/>
      <c r="AI206" s="2412"/>
      <c r="AJ206" s="2412"/>
      <c r="AK206" s="2412"/>
      <c r="AL206" s="2401"/>
      <c r="AM206" s="2416"/>
      <c r="AN206" s="2412"/>
      <c r="AO206" s="2411"/>
      <c r="AP206" s="2411"/>
      <c r="AQ206" s="2411"/>
      <c r="AR206" s="2406"/>
      <c r="AS206" s="2406"/>
      <c r="AT206" s="2406"/>
      <c r="AU206" s="2406"/>
      <c r="AV206" s="2406"/>
      <c r="AW206" s="2406"/>
      <c r="AX206" s="2406"/>
      <c r="AY206" s="2406"/>
      <c r="AZ206" s="2406"/>
    </row>
    <row r="207" spans="1:52" s="2350" customFormat="1">
      <c r="A207" s="2420" t="s">
        <v>60</v>
      </c>
      <c r="B207" s="2405"/>
      <c r="C207" s="2405"/>
      <c r="D207" s="2809"/>
      <c r="E207" s="2809"/>
      <c r="F207" s="2809"/>
      <c r="G207" s="2809"/>
      <c r="H207" s="2809"/>
      <c r="I207" s="2809"/>
      <c r="J207" s="2809"/>
      <c r="K207" s="2809"/>
      <c r="L207" s="2809"/>
      <c r="M207" s="2809"/>
      <c r="N207" s="2410"/>
      <c r="O207" s="2410"/>
      <c r="P207" s="2410"/>
      <c r="Q207" s="2410"/>
      <c r="R207" s="2410"/>
      <c r="S207" s="2410"/>
      <c r="T207" s="2410"/>
      <c r="U207" s="2410"/>
      <c r="V207" s="2410"/>
      <c r="W207" s="2410"/>
      <c r="X207" s="2401"/>
      <c r="Y207" s="2401"/>
      <c r="Z207" s="2401"/>
      <c r="AA207" s="2401"/>
      <c r="AB207" s="2401"/>
      <c r="AC207" s="2401"/>
      <c r="AD207" s="2412"/>
      <c r="AE207" s="2401"/>
      <c r="AF207" s="2401"/>
      <c r="AG207" s="2401"/>
      <c r="AH207" s="2412"/>
      <c r="AI207" s="2412"/>
      <c r="AJ207" s="2412"/>
      <c r="AK207" s="2412"/>
      <c r="AL207" s="2401"/>
      <c r="AM207" s="2416"/>
      <c r="AN207" s="2412"/>
      <c r="AO207" s="2411"/>
      <c r="AP207" s="2411"/>
      <c r="AQ207" s="2411"/>
      <c r="AR207" s="2406"/>
      <c r="AS207" s="2406"/>
      <c r="AT207" s="2406"/>
      <c r="AU207" s="2406"/>
      <c r="AV207" s="2406"/>
      <c r="AW207" s="2406"/>
      <c r="AX207" s="2406"/>
      <c r="AY207" s="2406"/>
      <c r="AZ207" s="2406"/>
    </row>
    <row r="208" spans="1:52" s="2424" customFormat="1">
      <c r="A208" s="2421" t="s">
        <v>2208</v>
      </c>
      <c r="B208" s="2405" t="s">
        <v>1649</v>
      </c>
      <c r="C208" s="2405">
        <v>2</v>
      </c>
      <c r="D208" s="2809"/>
      <c r="E208" s="2809"/>
      <c r="F208" s="2809"/>
      <c r="G208" s="2809"/>
      <c r="H208" s="2809"/>
      <c r="I208" s="2809"/>
      <c r="J208" s="2809"/>
      <c r="K208" s="2809"/>
      <c r="L208" s="2809"/>
      <c r="M208" s="2809"/>
      <c r="N208" s="2410"/>
      <c r="O208" s="2410"/>
      <c r="P208" s="2410"/>
      <c r="Q208" s="2410"/>
      <c r="R208" s="2410"/>
      <c r="S208" s="2410"/>
      <c r="T208" s="2410"/>
      <c r="U208" s="2410"/>
      <c r="V208" s="2410"/>
      <c r="W208" s="2410"/>
      <c r="X208" s="2411">
        <v>0</v>
      </c>
      <c r="Y208" s="2411">
        <v>0</v>
      </c>
      <c r="Z208" s="2411">
        <f>IFERROR(Y208/X208*10,0)</f>
        <v>0</v>
      </c>
      <c r="AA208" s="2411">
        <v>0</v>
      </c>
      <c r="AB208" s="2411">
        <f>IFERROR(AA208/X208*10,0)</f>
        <v>0</v>
      </c>
      <c r="AC208" s="2411">
        <v>0</v>
      </c>
      <c r="AD208" s="2412">
        <f>IFERROR(AC208/X208*10,0)</f>
        <v>0</v>
      </c>
      <c r="AE208" s="2411"/>
      <c r="AF208" s="2411">
        <f>Y208+AA208+AC208+AE208</f>
        <v>0</v>
      </c>
      <c r="AG208" s="2411">
        <f>IFERROR(AF208/X208*10,0)</f>
        <v>0</v>
      </c>
      <c r="AH208" s="2412">
        <f>IFERROR(VLOOKUP($A208,F13_21_22!$B$14:$O$217,9,0),0)</f>
        <v>45.9</v>
      </c>
      <c r="AI208" s="2412">
        <f>IFERROR(VLOOKUP($A208,F13_21_22!$B$14:$O$217,10,0),0)</f>
        <v>6.630255</v>
      </c>
      <c r="AJ208" s="2412">
        <f>IFERROR(AI208/AH208*10,0)</f>
        <v>1.4444999999999999</v>
      </c>
      <c r="AK208" s="2412">
        <f>IFERROR(VLOOKUP($A208,F13_21_22!$B$14:$O$217,11,0),0)</f>
        <v>6.6302549999999991</v>
      </c>
      <c r="AL208" s="2401">
        <f>IFERROR(AK208/AH208*10,0)</f>
        <v>1.4444999999999999</v>
      </c>
      <c r="AM208" s="2412">
        <f>IFERROR(VLOOKUP($A208,F13_21_22!$B$14:$O$217,12,0),0)</f>
        <v>0</v>
      </c>
      <c r="AN208" s="2412">
        <f>IFERROR(AM208/AH208*10,0)</f>
        <v>0</v>
      </c>
      <c r="AO208" s="2411"/>
      <c r="AP208" s="2411">
        <f>SUM(AK208,AI208,AM208,AO208)</f>
        <v>13.26051</v>
      </c>
      <c r="AQ208" s="2411">
        <f>IFERROR(AP208/AH208*10,0)</f>
        <v>2.8889999999999998</v>
      </c>
      <c r="AR208" s="2406">
        <f>IFERROR(VLOOKUP($A208,F13_22_23!$B$14:$O$215,9,0),0)</f>
        <v>186.15</v>
      </c>
      <c r="AS208" s="2406">
        <f>IFERROR(VLOOKUP($A208,F13_22_23!$B$14:$O$215,10,0),0)</f>
        <v>26.889367499999999</v>
      </c>
      <c r="AT208" s="2406">
        <f>IFERROR(AS208/AR208*10,0)</f>
        <v>1.4444999999999999</v>
      </c>
      <c r="AU208" s="2406">
        <f>IFERROR(VLOOKUP($A208,F13_22_23!$B$14:$O$215,11,0),0)</f>
        <v>26.889367499999999</v>
      </c>
      <c r="AV208" s="2406">
        <f>IFERROR(AU208/AR208*10,0)</f>
        <v>1.4444999999999999</v>
      </c>
      <c r="AW208" s="2406">
        <f>IFERROR(VLOOKUP($A208,F13_22_23!$B$14:$O$215,12,0),0)</f>
        <v>0</v>
      </c>
      <c r="AX208" s="2406"/>
      <c r="AY208" s="2406">
        <f>AS208+AU208</f>
        <v>53.778734999999998</v>
      </c>
      <c r="AZ208" s="2406">
        <f>IFERROR(AY208/AR208*10,0)</f>
        <v>2.8889999999999998</v>
      </c>
    </row>
    <row r="209" spans="1:52" s="2350" customFormat="1">
      <c r="A209" s="2421"/>
      <c r="B209" s="2405"/>
      <c r="C209" s="2405"/>
      <c r="D209" s="2809"/>
      <c r="E209" s="2809"/>
      <c r="F209" s="2809"/>
      <c r="G209" s="2809"/>
      <c r="H209" s="2809"/>
      <c r="I209" s="2809"/>
      <c r="J209" s="2809"/>
      <c r="K209" s="2809"/>
      <c r="L209" s="2809"/>
      <c r="M209" s="2809"/>
      <c r="N209" s="2410"/>
      <c r="O209" s="2410"/>
      <c r="P209" s="2410"/>
      <c r="Q209" s="2410"/>
      <c r="R209" s="2410"/>
      <c r="S209" s="2410"/>
      <c r="T209" s="2410"/>
      <c r="U209" s="2410"/>
      <c r="V209" s="2410"/>
      <c r="W209" s="2410"/>
      <c r="X209" s="2401"/>
      <c r="Y209" s="2401"/>
      <c r="Z209" s="2401"/>
      <c r="AA209" s="2401"/>
      <c r="AB209" s="2401"/>
      <c r="AC209" s="2401"/>
      <c r="AD209" s="2412"/>
      <c r="AE209" s="2401"/>
      <c r="AF209" s="2401"/>
      <c r="AG209" s="2401"/>
      <c r="AH209" s="2412"/>
      <c r="AI209" s="2412"/>
      <c r="AJ209" s="2412"/>
      <c r="AK209" s="2412"/>
      <c r="AL209" s="2401"/>
      <c r="AM209" s="2416"/>
      <c r="AN209" s="2412"/>
      <c r="AO209" s="2411"/>
      <c r="AP209" s="2411"/>
      <c r="AQ209" s="2411"/>
      <c r="AR209" s="2406"/>
      <c r="AS209" s="2406"/>
      <c r="AT209" s="2406"/>
      <c r="AU209" s="2406"/>
      <c r="AV209" s="2406"/>
      <c r="AW209" s="2406"/>
      <c r="AX209" s="2406"/>
      <c r="AY209" s="2406"/>
      <c r="AZ209" s="2406"/>
    </row>
    <row r="210" spans="1:52" s="2350" customFormat="1">
      <c r="A210" s="2421" t="s">
        <v>1806</v>
      </c>
      <c r="B210" s="2405"/>
      <c r="C210" s="2405"/>
      <c r="D210" s="2809"/>
      <c r="E210" s="2809"/>
      <c r="F210" s="2809"/>
      <c r="G210" s="2809"/>
      <c r="H210" s="2809"/>
      <c r="I210" s="2809"/>
      <c r="J210" s="2809"/>
      <c r="K210" s="2809"/>
      <c r="L210" s="2809"/>
      <c r="M210" s="2809"/>
      <c r="N210" s="2410">
        <v>609.47956599999998</v>
      </c>
      <c r="O210" s="2410">
        <v>0</v>
      </c>
      <c r="P210" s="2409">
        <f>IFERROR(O210/N210*10,0)</f>
        <v>0</v>
      </c>
      <c r="Q210" s="2410">
        <v>245.89658639999999</v>
      </c>
      <c r="R210" s="2410">
        <f>IFERROR(Q210/N210*10,0)</f>
        <v>4.0345337254506086</v>
      </c>
      <c r="S210" s="2410">
        <v>21.083320000000001</v>
      </c>
      <c r="T210" s="2410"/>
      <c r="U210" s="2410"/>
      <c r="V210" s="2409">
        <f>SUM(O210,Q210,S210)</f>
        <v>266.9799064</v>
      </c>
      <c r="W210" s="2410">
        <f>IFERROR(V210/N210*10,0)</f>
        <v>4.3804570537480494</v>
      </c>
      <c r="X210" s="2411">
        <v>772.88140699999997</v>
      </c>
      <c r="Y210" s="2411">
        <v>0</v>
      </c>
      <c r="Z210" s="2411">
        <f>IFERROR(Y210/X210*10,0)</f>
        <v>0</v>
      </c>
      <c r="AA210" s="2411">
        <v>250.6390178</v>
      </c>
      <c r="AB210" s="2411">
        <f>IFERROR(AA210/X210*10,0)</f>
        <v>3.2429169019976181</v>
      </c>
      <c r="AC210" s="2411">
        <v>-3.0020440000000002</v>
      </c>
      <c r="AD210" s="2412">
        <f>IFERROR(AC210/X210*10,0)</f>
        <v>-3.8842233398428745E-2</v>
      </c>
      <c r="AE210" s="2411"/>
      <c r="AF210" s="2411">
        <f>Y210+AA210+AC210+AE210</f>
        <v>247.63697379999999</v>
      </c>
      <c r="AG210" s="2411">
        <f>IFERROR(AF210/X210*10,0)</f>
        <v>3.2040746685991888</v>
      </c>
      <c r="AH210" s="2412">
        <f>IFERROR(VLOOKUP($A210,F13_21_22!$B$14:$O$217,9,0),0)</f>
        <v>633.77933299999995</v>
      </c>
      <c r="AI210" s="2412">
        <f>IFERROR(VLOOKUP($A210,F13_21_22!$B$14:$O$217,10,0),0)</f>
        <v>0</v>
      </c>
      <c r="AJ210" s="2412">
        <f>IFERROR(AI210/AH210*10,0)</f>
        <v>0</v>
      </c>
      <c r="AK210" s="2412">
        <f>IFERROR(VLOOKUP($A210,F13_21_22!$B$14:$O$217,11,0),0)</f>
        <v>203.09551780000004</v>
      </c>
      <c r="AL210" s="2401">
        <f>IFERROR(AK210/AH210*10,0)</f>
        <v>3.204514682399719</v>
      </c>
      <c r="AM210" s="2412">
        <f>IFERROR(VLOOKUP($A210,F13_21_22!$B$14:$O$217,12,0),0)</f>
        <v>2.6583999999999999</v>
      </c>
      <c r="AN210" s="2412">
        <f>IFERROR(AM210/AH210*10,0)</f>
        <v>4.1945198613789446E-2</v>
      </c>
      <c r="AO210" s="2411"/>
      <c r="AP210" s="2411">
        <f>SUM(AK210,AI210,AM210,AO210)</f>
        <v>205.75391780000004</v>
      </c>
      <c r="AQ210" s="2411">
        <f>IFERROR(AP210/AH210*10,0)</f>
        <v>3.2464598810135081</v>
      </c>
      <c r="AR210" s="2406">
        <f>IFERROR(VLOOKUP($A210,F13_22_23!$B$14:$O$215,9,0),0)</f>
        <v>0</v>
      </c>
      <c r="AS210" s="2406">
        <f>IFERROR(VLOOKUP($A210,F13_22_23!$B$14:$O$215,10,0),0)</f>
        <v>0</v>
      </c>
      <c r="AT210" s="2406">
        <f>IFERROR(AS210/AR210*10,0)</f>
        <v>0</v>
      </c>
      <c r="AU210" s="2406">
        <f>IFERROR(VLOOKUP($A210,F13_22_23!$B$14:$O$215,11,0),0)</f>
        <v>0</v>
      </c>
      <c r="AV210" s="2406">
        <f>IFERROR(AU210/AR210*10,0)</f>
        <v>0</v>
      </c>
      <c r="AW210" s="2406">
        <f>IFERROR(VLOOKUP($A210,F13_22_23!$B$14:$O$215,12,0),0)</f>
        <v>0</v>
      </c>
      <c r="AX210" s="2406"/>
      <c r="AY210" s="2406">
        <f>AS210+AU210</f>
        <v>0</v>
      </c>
      <c r="AZ210" s="2406">
        <f>IFERROR(AY210/AR210*10,0)</f>
        <v>0</v>
      </c>
    </row>
    <row r="211" spans="1:52" s="2350" customFormat="1">
      <c r="A211" s="2421" t="s">
        <v>1807</v>
      </c>
      <c r="B211" s="2405"/>
      <c r="C211" s="2405"/>
      <c r="D211" s="2809"/>
      <c r="E211" s="2809"/>
      <c r="F211" s="2809"/>
      <c r="G211" s="2809"/>
      <c r="H211" s="2809"/>
      <c r="I211" s="2809"/>
      <c r="J211" s="2809"/>
      <c r="K211" s="2809"/>
      <c r="L211" s="2809"/>
      <c r="M211" s="2809"/>
      <c r="N211" s="2410">
        <v>331.52454399999999</v>
      </c>
      <c r="O211" s="2410">
        <v>0</v>
      </c>
      <c r="P211" s="2409">
        <f>IFERROR(O211/N211*10,0)</f>
        <v>0</v>
      </c>
      <c r="Q211" s="2410">
        <v>250.06401940000001</v>
      </c>
      <c r="R211" s="2410">
        <f>IFERROR(Q211/N211*10,0)</f>
        <v>7.5428508665711345</v>
      </c>
      <c r="S211" s="2410">
        <v>2.4195425000000004</v>
      </c>
      <c r="T211" s="2410"/>
      <c r="U211" s="2410"/>
      <c r="V211" s="2409">
        <f>SUM(O211,Q211,S211)</f>
        <v>252.48356190000001</v>
      </c>
      <c r="W211" s="2410">
        <f>IFERROR(V211/N211*10,0)</f>
        <v>7.6158331704092479</v>
      </c>
      <c r="X211" s="2411">
        <v>342.70474800000005</v>
      </c>
      <c r="Y211" s="2411">
        <v>0</v>
      </c>
      <c r="Z211" s="2411">
        <f>IFERROR(Y211/X211*10,0)</f>
        <v>0</v>
      </c>
      <c r="AA211" s="2411">
        <v>213.71646290000001</v>
      </c>
      <c r="AB211" s="2411">
        <f>IFERROR(AA211/X211*10,0)</f>
        <v>6.2361687180359695</v>
      </c>
      <c r="AC211" s="2411">
        <v>16.626928700000001</v>
      </c>
      <c r="AD211" s="2412">
        <f>IFERROR(AC211/X211*10,0)</f>
        <v>0.4851677368648537</v>
      </c>
      <c r="AE211" s="2411"/>
      <c r="AF211" s="2411">
        <f>Y211+AA211+AC211+AE211</f>
        <v>230.34339160000002</v>
      </c>
      <c r="AG211" s="2411">
        <f>IFERROR(AF211/X211*10,0)</f>
        <v>6.7213364549008228</v>
      </c>
      <c r="AH211" s="2412">
        <f>IFERROR(VLOOKUP($A211,F13_21_22!$B$14:$O$217,9,0),0)</f>
        <v>184.44894499999998</v>
      </c>
      <c r="AI211" s="2412">
        <f>IFERROR(VLOOKUP($A211,F13_21_22!$B$14:$O$217,10,0),0)</f>
        <v>0</v>
      </c>
      <c r="AJ211" s="2412">
        <f>IFERROR(AI211/AH211*10,0)</f>
        <v>0</v>
      </c>
      <c r="AK211" s="2412">
        <f>IFERROR(VLOOKUP($A211,F13_21_22!$B$14:$O$217,11,0),0)</f>
        <v>144.24996759999999</v>
      </c>
      <c r="AL211" s="2401">
        <f>IFERROR(AK211/AH211*10,0)</f>
        <v>7.8205905487830254</v>
      </c>
      <c r="AM211" s="2412">
        <f>IFERROR(VLOOKUP($A211,F13_21_22!$B$14:$O$217,12,0),0)</f>
        <v>6.8527845999999997</v>
      </c>
      <c r="AN211" s="2412">
        <f>IFERROR(AM211/AH211*10,0)</f>
        <v>0.37152744896426493</v>
      </c>
      <c r="AO211" s="2411"/>
      <c r="AP211" s="2411">
        <f>SUM(AK211,AI211,AM211,AO211)</f>
        <v>151.1027522</v>
      </c>
      <c r="AQ211" s="2411">
        <f>IFERROR(AP211/AH211*10,0)</f>
        <v>8.1921179977472907</v>
      </c>
      <c r="AR211" s="2406">
        <f>IFERROR(VLOOKUP($A211,F13_22_23!$B$14:$O$215,9,0),0)</f>
        <v>0</v>
      </c>
      <c r="AS211" s="2406">
        <f>IFERROR(VLOOKUP($A211,F13_22_23!$B$14:$O$215,10,0),0)</f>
        <v>0</v>
      </c>
      <c r="AT211" s="2406">
        <f>IFERROR(AS211/AR211*10,0)</f>
        <v>0</v>
      </c>
      <c r="AU211" s="2406">
        <f>IFERROR(VLOOKUP($A211,F13_22_23!$B$14:$O$215,11,0),0)</f>
        <v>0</v>
      </c>
      <c r="AV211" s="2406">
        <f>IFERROR(AU211/AR211*10,0)</f>
        <v>0</v>
      </c>
      <c r="AW211" s="2406">
        <f>IFERROR(VLOOKUP($A211,F13_22_23!$B$14:$O$215,12,0),0)</f>
        <v>0</v>
      </c>
      <c r="AX211" s="2406"/>
      <c r="AY211" s="2406">
        <f>AS211+AU211</f>
        <v>0</v>
      </c>
      <c r="AZ211" s="2406">
        <f>IFERROR(AY211/AR211*10,0)</f>
        <v>0</v>
      </c>
    </row>
    <row r="212" spans="1:52" s="2350" customFormat="1">
      <c r="A212" s="2421"/>
      <c r="B212" s="2405"/>
      <c r="C212" s="2405"/>
      <c r="D212" s="2809"/>
      <c r="E212" s="2809"/>
      <c r="F212" s="2809"/>
      <c r="G212" s="2809"/>
      <c r="H212" s="2809"/>
      <c r="I212" s="2809"/>
      <c r="J212" s="2809"/>
      <c r="K212" s="2809"/>
      <c r="L212" s="2809"/>
      <c r="M212" s="2809"/>
      <c r="N212" s="2410"/>
      <c r="O212" s="2410"/>
      <c r="P212" s="2409"/>
      <c r="Q212" s="2410"/>
      <c r="R212" s="2410"/>
      <c r="S212" s="2410"/>
      <c r="T212" s="2410"/>
      <c r="U212" s="2410"/>
      <c r="V212" s="2409"/>
      <c r="W212" s="2410"/>
      <c r="X212" s="2411"/>
      <c r="Y212" s="2411"/>
      <c r="Z212" s="2411"/>
      <c r="AA212" s="2411"/>
      <c r="AB212" s="2411"/>
      <c r="AC212" s="2411"/>
      <c r="AD212" s="2412"/>
      <c r="AE212" s="2411"/>
      <c r="AF212" s="2411"/>
      <c r="AG212" s="2411"/>
      <c r="AH212" s="2412"/>
      <c r="AI212" s="2412"/>
      <c r="AJ212" s="2412"/>
      <c r="AK212" s="2412"/>
      <c r="AL212" s="2401"/>
      <c r="AM212" s="2412"/>
      <c r="AN212" s="2412"/>
      <c r="AO212" s="2411"/>
      <c r="AP212" s="2411"/>
      <c r="AQ212" s="2411"/>
      <c r="AR212" s="2406"/>
      <c r="AS212" s="2406"/>
      <c r="AT212" s="2406"/>
      <c r="AU212" s="2406"/>
      <c r="AV212" s="2406"/>
      <c r="AW212" s="2406"/>
      <c r="AX212" s="2406"/>
      <c r="AY212" s="2406"/>
      <c r="AZ212" s="2406"/>
    </row>
    <row r="213" spans="1:52" s="2350" customFormat="1" ht="15">
      <c r="A213" s="1601" t="s">
        <v>1813</v>
      </c>
      <c r="B213" s="2405"/>
      <c r="C213" s="2405"/>
      <c r="D213" s="2809"/>
      <c r="E213" s="2809"/>
      <c r="F213" s="2809"/>
      <c r="G213" s="2809"/>
      <c r="H213" s="2809"/>
      <c r="I213" s="2809"/>
      <c r="J213" s="2809"/>
      <c r="K213" s="2809"/>
      <c r="L213" s="2809"/>
      <c r="M213" s="2809"/>
      <c r="N213" s="2410"/>
      <c r="O213" s="2410"/>
      <c r="P213" s="2409"/>
      <c r="Q213" s="2410"/>
      <c r="R213" s="2410"/>
      <c r="S213" s="2410"/>
      <c r="T213" s="2410"/>
      <c r="U213" s="2410"/>
      <c r="V213" s="2409"/>
      <c r="W213" s="2410"/>
      <c r="X213" s="2411"/>
      <c r="Y213" s="2411"/>
      <c r="Z213" s="2411"/>
      <c r="AA213" s="2411"/>
      <c r="AB213" s="2411"/>
      <c r="AC213" s="2411"/>
      <c r="AD213" s="2412"/>
      <c r="AE213" s="2411"/>
      <c r="AF213" s="2411"/>
      <c r="AG213" s="2411"/>
      <c r="AH213" s="2412"/>
      <c r="AI213" s="2412"/>
      <c r="AJ213" s="2412"/>
      <c r="AK213" s="2412"/>
      <c r="AL213" s="2401"/>
      <c r="AM213" s="2412"/>
      <c r="AN213" s="2412"/>
      <c r="AO213" s="2411"/>
      <c r="AP213" s="2411"/>
      <c r="AQ213" s="2411"/>
      <c r="AR213" s="2406"/>
      <c r="AS213" s="2406"/>
      <c r="AT213" s="2406"/>
      <c r="AU213" s="2406"/>
      <c r="AV213" s="2406"/>
      <c r="AW213" s="2406"/>
      <c r="AX213" s="2406"/>
      <c r="AY213" s="2406"/>
      <c r="AZ213" s="2406"/>
    </row>
    <row r="214" spans="1:52" s="2350" customFormat="1" ht="15.5">
      <c r="A214" s="2425" t="s">
        <v>1814</v>
      </c>
      <c r="B214" s="2405"/>
      <c r="C214" s="2405"/>
      <c r="D214" s="2809"/>
      <c r="E214" s="2809"/>
      <c r="F214" s="2809"/>
      <c r="G214" s="2809"/>
      <c r="H214" s="2809"/>
      <c r="I214" s="2809"/>
      <c r="J214" s="2809"/>
      <c r="K214" s="2809"/>
      <c r="L214" s="2809"/>
      <c r="M214" s="2809"/>
      <c r="N214" s="2410"/>
      <c r="O214" s="2410"/>
      <c r="P214" s="2409"/>
      <c r="Q214" s="2410"/>
      <c r="R214" s="2410"/>
      <c r="S214" s="2410"/>
      <c r="T214" s="2410"/>
      <c r="U214" s="2410"/>
      <c r="V214" s="2409"/>
      <c r="W214" s="2410"/>
      <c r="X214" s="2411">
        <v>-225.22538699999998</v>
      </c>
      <c r="Y214" s="2411">
        <v>0</v>
      </c>
      <c r="Z214" s="2411">
        <f t="shared" ref="Z214:Z219" si="166">IFERROR(Y214/X214*10,0)</f>
        <v>0</v>
      </c>
      <c r="AA214" s="2411">
        <v>-39.891336390999996</v>
      </c>
      <c r="AB214" s="2411">
        <f t="shared" ref="AB214:AB219" si="167">IFERROR(AA214/X214*10,0)</f>
        <v>1.7711740635614937</v>
      </c>
      <c r="AC214" s="2411">
        <v>0</v>
      </c>
      <c r="AD214" s="2412">
        <f t="shared" ref="AD214:AD219" si="168">IFERROR(AC214/X214*10,0)</f>
        <v>0</v>
      </c>
      <c r="AE214" s="2411"/>
      <c r="AF214" s="2411">
        <f t="shared" ref="AF214:AF219" si="169">Y214+AA214+AC214+AE214</f>
        <v>-39.891336390999996</v>
      </c>
      <c r="AG214" s="2411">
        <f t="shared" ref="AG214:AG219" si="170">IFERROR(AF214/X214*10,0)</f>
        <v>1.7711740635614937</v>
      </c>
      <c r="AH214" s="2412">
        <f>IFERROR(VLOOKUP($A214,F13_21_22!$B$14:$O$217,9,0),0)</f>
        <v>0</v>
      </c>
      <c r="AI214" s="2412">
        <f>IFERROR(VLOOKUP($A214,F13_21_22!$B$14:$O$217,10,0),0)</f>
        <v>0</v>
      </c>
      <c r="AJ214" s="2412">
        <f t="shared" ref="AJ214:AJ219" si="171">IFERROR(AI214/AH214*10,0)</f>
        <v>0</v>
      </c>
      <c r="AK214" s="2412">
        <f>IFERROR(VLOOKUP($A214,F13_21_22!$B$14:$O$217,11,0),0)</f>
        <v>0</v>
      </c>
      <c r="AL214" s="2401">
        <f t="shared" ref="AL214:AL219" si="172">IFERROR(AK214/AH214*10,0)</f>
        <v>0</v>
      </c>
      <c r="AM214" s="2412">
        <f>IFERROR(VLOOKUP($A214,F13_21_22!$B$14:$O$217,12,0),0)</f>
        <v>0</v>
      </c>
      <c r="AN214" s="2412">
        <f t="shared" ref="AN214:AN219" si="173">IFERROR(AM214/AH214*10,0)</f>
        <v>0</v>
      </c>
      <c r="AO214" s="2411"/>
      <c r="AP214" s="2411">
        <f t="shared" ref="AP214:AP219" si="174">SUM(AK214,AI214,AM214,AO214)</f>
        <v>0</v>
      </c>
      <c r="AQ214" s="2411">
        <f t="shared" ref="AQ214:AQ220" si="175">IFERROR(AP214/AH214*10,0)</f>
        <v>0</v>
      </c>
      <c r="AR214" s="2406">
        <f>IFERROR(VLOOKUP($A214,F13_22_23!$B$14:$O$215,9,0),0)</f>
        <v>0</v>
      </c>
      <c r="AS214" s="2406">
        <f>IFERROR(VLOOKUP($A214,F13_22_23!$B$14:$O$215,10,0),0)</f>
        <v>0</v>
      </c>
      <c r="AT214" s="2406">
        <f t="shared" ref="AT214:AT219" si="176">IFERROR(AS214/AR214*10,0)</f>
        <v>0</v>
      </c>
      <c r="AU214" s="2406">
        <f>IFERROR(VLOOKUP($A214,F13_22_23!$B$14:$O$215,11,0),0)</f>
        <v>0</v>
      </c>
      <c r="AV214" s="2406">
        <f t="shared" ref="AV214:AV219" si="177">IFERROR(AU214/AR214*10,0)</f>
        <v>0</v>
      </c>
      <c r="AW214" s="2406">
        <f>IFERROR(VLOOKUP($A214,F13_22_23!$B$14:$O$215,12,0),0)</f>
        <v>0</v>
      </c>
      <c r="AX214" s="2406"/>
      <c r="AY214" s="2406">
        <f t="shared" ref="AY214:AY219" si="178">AS214+AU214</f>
        <v>0</v>
      </c>
      <c r="AZ214" s="2406">
        <f t="shared" ref="AZ214:AZ219" si="179">IFERROR(AY214/AR214*10,0)</f>
        <v>0</v>
      </c>
    </row>
    <row r="215" spans="1:52" s="2350" customFormat="1" ht="15.5">
      <c r="A215" s="2425" t="s">
        <v>1815</v>
      </c>
      <c r="B215" s="2405"/>
      <c r="C215" s="2405"/>
      <c r="D215" s="2809"/>
      <c r="E215" s="2809"/>
      <c r="F215" s="2809"/>
      <c r="G215" s="2809"/>
      <c r="H215" s="2809"/>
      <c r="I215" s="2809"/>
      <c r="J215" s="2809"/>
      <c r="K215" s="2809"/>
      <c r="L215" s="2809"/>
      <c r="M215" s="2809"/>
      <c r="N215" s="2410"/>
      <c r="O215" s="2410"/>
      <c r="P215" s="2409"/>
      <c r="Q215" s="2410"/>
      <c r="R215" s="2410"/>
      <c r="S215" s="2410"/>
      <c r="T215" s="2410"/>
      <c r="U215" s="2410"/>
      <c r="V215" s="2409"/>
      <c r="W215" s="2410"/>
      <c r="X215" s="2411">
        <v>0</v>
      </c>
      <c r="Y215" s="2411">
        <v>0</v>
      </c>
      <c r="Z215" s="2411">
        <f t="shared" si="166"/>
        <v>0</v>
      </c>
      <c r="AA215" s="2411">
        <v>0</v>
      </c>
      <c r="AB215" s="2411">
        <f t="shared" si="167"/>
        <v>0</v>
      </c>
      <c r="AC215" s="2411">
        <v>6.8750640459999994</v>
      </c>
      <c r="AD215" s="2412">
        <f t="shared" si="168"/>
        <v>0</v>
      </c>
      <c r="AE215" s="2411"/>
      <c r="AF215" s="2411">
        <f t="shared" si="169"/>
        <v>6.8750640459999994</v>
      </c>
      <c r="AG215" s="2411">
        <f t="shared" si="170"/>
        <v>0</v>
      </c>
      <c r="AH215" s="2412">
        <f>IFERROR(VLOOKUP($A215,F13_21_22!$B$14:$O$217,9,0),0)</f>
        <v>0</v>
      </c>
      <c r="AI215" s="2412">
        <f>IFERROR(VLOOKUP($A215,F13_21_22!$B$14:$O$217,10,0),0)</f>
        <v>0</v>
      </c>
      <c r="AJ215" s="2412">
        <f t="shared" si="171"/>
        <v>0</v>
      </c>
      <c r="AK215" s="2412">
        <f>IFERROR(VLOOKUP($A215,F13_21_22!$B$14:$O$217,11,0),0)</f>
        <v>0</v>
      </c>
      <c r="AL215" s="2401">
        <f t="shared" si="172"/>
        <v>0</v>
      </c>
      <c r="AM215" s="2412">
        <f>F13_21_22!M205</f>
        <v>0</v>
      </c>
      <c r="AN215" s="2412">
        <f t="shared" si="173"/>
        <v>0</v>
      </c>
      <c r="AO215" s="2411"/>
      <c r="AP215" s="2411">
        <f t="shared" si="174"/>
        <v>0</v>
      </c>
      <c r="AQ215" s="2411">
        <f t="shared" si="175"/>
        <v>0</v>
      </c>
      <c r="AR215" s="2406">
        <f>IFERROR(VLOOKUP($A215,F13_22_23!$B$14:$O$215,9,0),0)</f>
        <v>0</v>
      </c>
      <c r="AS215" s="2406">
        <f>IFERROR(VLOOKUP($A215,F13_22_23!$B$14:$O$215,10,0),0)</f>
        <v>0</v>
      </c>
      <c r="AT215" s="2406">
        <f t="shared" si="176"/>
        <v>0</v>
      </c>
      <c r="AU215" s="2406">
        <f>IFERROR(VLOOKUP($A215,F13_22_23!$B$14:$O$215,11,0),0)</f>
        <v>0</v>
      </c>
      <c r="AV215" s="2406">
        <f t="shared" si="177"/>
        <v>0</v>
      </c>
      <c r="AW215" s="2406">
        <f>IFERROR(VLOOKUP($A215,F13_22_23!$B$14:$O$215,12,0),0)</f>
        <v>0</v>
      </c>
      <c r="AX215" s="2406"/>
      <c r="AY215" s="2406">
        <f t="shared" si="178"/>
        <v>0</v>
      </c>
      <c r="AZ215" s="2406">
        <f t="shared" si="179"/>
        <v>0</v>
      </c>
    </row>
    <row r="216" spans="1:52" s="2350" customFormat="1" ht="15.5">
      <c r="A216" s="2425" t="s">
        <v>1816</v>
      </c>
      <c r="B216" s="2405"/>
      <c r="C216" s="2405"/>
      <c r="D216" s="2809"/>
      <c r="E216" s="2809"/>
      <c r="F216" s="2809"/>
      <c r="G216" s="2809"/>
      <c r="H216" s="2809"/>
      <c r="I216" s="2809"/>
      <c r="J216" s="2809"/>
      <c r="K216" s="2809"/>
      <c r="L216" s="2809"/>
      <c r="M216" s="2809"/>
      <c r="N216" s="2410"/>
      <c r="O216" s="2410"/>
      <c r="P216" s="2409"/>
      <c r="Q216" s="2410"/>
      <c r="R216" s="2410"/>
      <c r="S216" s="2410"/>
      <c r="T216" s="2410"/>
      <c r="U216" s="2410"/>
      <c r="V216" s="2409"/>
      <c r="W216" s="2410"/>
      <c r="X216" s="2411">
        <v>1556.0279380000002</v>
      </c>
      <c r="Y216" s="2411">
        <v>0</v>
      </c>
      <c r="Z216" s="2411">
        <f t="shared" si="166"/>
        <v>0</v>
      </c>
      <c r="AA216" s="2411">
        <v>548.62024710000014</v>
      </c>
      <c r="AB216" s="2411">
        <f t="shared" si="167"/>
        <v>3.5257737583115301</v>
      </c>
      <c r="AC216" s="2411">
        <v>64.791938759999795</v>
      </c>
      <c r="AD216" s="2412">
        <f t="shared" si="168"/>
        <v>0.41639315835985841</v>
      </c>
      <c r="AE216" s="2411"/>
      <c r="AF216" s="2411">
        <f t="shared" si="169"/>
        <v>613.41218585999991</v>
      </c>
      <c r="AG216" s="2411">
        <f t="shared" si="170"/>
        <v>3.9421669166713884</v>
      </c>
      <c r="AH216" s="2412">
        <f>IFERROR(VLOOKUP($A216,F13_21_22!$B$14:$O$217,9,0),0)</f>
        <v>0</v>
      </c>
      <c r="AI216" s="2412">
        <f>IFERROR(VLOOKUP($A216,F13_21_22!$B$14:$O$217,10,0),0)</f>
        <v>0</v>
      </c>
      <c r="AJ216" s="2412">
        <f t="shared" si="171"/>
        <v>0</v>
      </c>
      <c r="AK216" s="2412">
        <f>IFERROR(VLOOKUP($A216,F13_21_22!$B$14:$O$217,11,0),0)</f>
        <v>0</v>
      </c>
      <c r="AL216" s="2401">
        <f t="shared" si="172"/>
        <v>0</v>
      </c>
      <c r="AM216" s="2412">
        <f>IFERROR(VLOOKUP($A216,F13_21_22!$B$14:$O$217,12,0),0)</f>
        <v>0</v>
      </c>
      <c r="AN216" s="2412">
        <f t="shared" si="173"/>
        <v>0</v>
      </c>
      <c r="AO216" s="2411"/>
      <c r="AP216" s="2411">
        <f t="shared" si="174"/>
        <v>0</v>
      </c>
      <c r="AQ216" s="2411">
        <f t="shared" si="175"/>
        <v>0</v>
      </c>
      <c r="AR216" s="2406">
        <f>IFERROR(VLOOKUP($A216,F13_22_23!$B$14:$O$215,9,0),0)</f>
        <v>0</v>
      </c>
      <c r="AS216" s="2406">
        <f>IFERROR(VLOOKUP($A216,F13_22_23!$B$14:$O$215,10,0),0)</f>
        <v>0</v>
      </c>
      <c r="AT216" s="2406">
        <f t="shared" si="176"/>
        <v>0</v>
      </c>
      <c r="AU216" s="2406">
        <f>IFERROR(VLOOKUP($A216,F13_22_23!$B$14:$O$215,11,0),0)</f>
        <v>0</v>
      </c>
      <c r="AV216" s="2406">
        <f t="shared" si="177"/>
        <v>0</v>
      </c>
      <c r="AW216" s="2406">
        <f>IFERROR(VLOOKUP($A216,F13_22_23!$B$14:$O$215,12,0),0)</f>
        <v>0</v>
      </c>
      <c r="AX216" s="2406"/>
      <c r="AY216" s="2406">
        <f t="shared" si="178"/>
        <v>0</v>
      </c>
      <c r="AZ216" s="2406">
        <f t="shared" si="179"/>
        <v>0</v>
      </c>
    </row>
    <row r="217" spans="1:52" s="2350" customFormat="1" ht="15.5">
      <c r="A217" s="2425" t="s">
        <v>1817</v>
      </c>
      <c r="B217" s="2405"/>
      <c r="C217" s="2405"/>
      <c r="D217" s="2809"/>
      <c r="E217" s="2809"/>
      <c r="F217" s="2809"/>
      <c r="G217" s="2809"/>
      <c r="H217" s="2809"/>
      <c r="I217" s="2809"/>
      <c r="J217" s="2809"/>
      <c r="K217" s="2809"/>
      <c r="L217" s="2809"/>
      <c r="M217" s="2809"/>
      <c r="N217" s="2410"/>
      <c r="O217" s="2410"/>
      <c r="P217" s="2409"/>
      <c r="Q217" s="2410"/>
      <c r="R217" s="2410"/>
      <c r="S217" s="2410"/>
      <c r="T217" s="2410"/>
      <c r="U217" s="2410"/>
      <c r="V217" s="2409"/>
      <c r="W217" s="2410"/>
      <c r="X217" s="2411">
        <v>0</v>
      </c>
      <c r="Y217" s="2411">
        <v>0</v>
      </c>
      <c r="Z217" s="2411">
        <f t="shared" si="166"/>
        <v>0</v>
      </c>
      <c r="AA217" s="2411">
        <v>0</v>
      </c>
      <c r="AB217" s="2411">
        <f t="shared" si="167"/>
        <v>0</v>
      </c>
      <c r="AC217" s="2411">
        <v>0</v>
      </c>
      <c r="AD217" s="2412">
        <f t="shared" si="168"/>
        <v>0</v>
      </c>
      <c r="AE217" s="2411"/>
      <c r="AF217" s="2411">
        <f t="shared" si="169"/>
        <v>0</v>
      </c>
      <c r="AG217" s="2411">
        <f t="shared" si="170"/>
        <v>0</v>
      </c>
      <c r="AH217" s="2412">
        <f>IFERROR(VLOOKUP($A217,F13_21_22!$B$14:$O$217,9,0),0)</f>
        <v>0</v>
      </c>
      <c r="AI217" s="2412">
        <f>IFERROR(VLOOKUP($A217,F13_21_22!$B$14:$O$217,10,0),0)</f>
        <v>0</v>
      </c>
      <c r="AJ217" s="2412">
        <f t="shared" si="171"/>
        <v>0</v>
      </c>
      <c r="AK217" s="2412">
        <f>IFERROR(VLOOKUP($A217,F13_21_22!$B$14:$O$217,11,0),0)</f>
        <v>0</v>
      </c>
      <c r="AL217" s="2401">
        <f t="shared" si="172"/>
        <v>0</v>
      </c>
      <c r="AM217" s="2412">
        <f>IFERROR(VLOOKUP($A217,F13_21_22!$B$14:$O$217,12,0),0)</f>
        <v>0</v>
      </c>
      <c r="AN217" s="2412">
        <f t="shared" si="173"/>
        <v>0</v>
      </c>
      <c r="AO217" s="2411"/>
      <c r="AP217" s="2411">
        <f t="shared" si="174"/>
        <v>0</v>
      </c>
      <c r="AQ217" s="2411">
        <f t="shared" si="175"/>
        <v>0</v>
      </c>
      <c r="AR217" s="2406">
        <f>IFERROR(VLOOKUP($A217,F13_22_23!$B$14:$O$215,9,0),0)</f>
        <v>0</v>
      </c>
      <c r="AS217" s="2406">
        <f>IFERROR(VLOOKUP($A217,F13_22_23!$B$14:$O$215,10,0),0)</f>
        <v>0</v>
      </c>
      <c r="AT217" s="2406">
        <f t="shared" si="176"/>
        <v>0</v>
      </c>
      <c r="AU217" s="2406">
        <f>IFERROR(VLOOKUP($A217,F13_22_23!$B$14:$O$215,11,0),0)</f>
        <v>0</v>
      </c>
      <c r="AV217" s="2406">
        <f t="shared" si="177"/>
        <v>0</v>
      </c>
      <c r="AW217" s="2406">
        <f>IFERROR(VLOOKUP($A217,F13_22_23!$B$14:$O$215,12,0),0)</f>
        <v>0</v>
      </c>
      <c r="AX217" s="2406"/>
      <c r="AY217" s="2406">
        <f t="shared" si="178"/>
        <v>0</v>
      </c>
      <c r="AZ217" s="2406">
        <f t="shared" si="179"/>
        <v>0</v>
      </c>
    </row>
    <row r="218" spans="1:52" s="2350" customFormat="1" ht="15.5">
      <c r="A218" s="2425" t="s">
        <v>1818</v>
      </c>
      <c r="B218" s="2405"/>
      <c r="C218" s="2405"/>
      <c r="D218" s="2809"/>
      <c r="E218" s="2809"/>
      <c r="F218" s="2809"/>
      <c r="G218" s="2809"/>
      <c r="H218" s="2809"/>
      <c r="I218" s="2809"/>
      <c r="J218" s="2809"/>
      <c r="K218" s="2809"/>
      <c r="L218" s="2809"/>
      <c r="M218" s="2809"/>
      <c r="N218" s="2410"/>
      <c r="O218" s="2410"/>
      <c r="P218" s="2409"/>
      <c r="Q218" s="2410"/>
      <c r="R218" s="2410"/>
      <c r="S218" s="2410"/>
      <c r="T218" s="2410"/>
      <c r="U218" s="2410"/>
      <c r="V218" s="2409"/>
      <c r="W218" s="2410"/>
      <c r="X218" s="2411">
        <v>1490.082394</v>
      </c>
      <c r="Y218" s="2411">
        <v>0</v>
      </c>
      <c r="Z218" s="2411">
        <f t="shared" si="166"/>
        <v>0</v>
      </c>
      <c r="AA218" s="2411">
        <v>560.431945993</v>
      </c>
      <c r="AB218" s="2411">
        <f t="shared" si="167"/>
        <v>3.7610802479758716</v>
      </c>
      <c r="AC218" s="2411">
        <v>1.5E-3</v>
      </c>
      <c r="AD218" s="2412">
        <f t="shared" si="168"/>
        <v>1.006655743360189E-5</v>
      </c>
      <c r="AE218" s="2411"/>
      <c r="AF218" s="2411">
        <f t="shared" si="169"/>
        <v>560.43344599299996</v>
      </c>
      <c r="AG218" s="2411">
        <f t="shared" si="170"/>
        <v>3.7610903145333046</v>
      </c>
      <c r="AH218" s="2412">
        <f>IFERROR(VLOOKUP($A218,F13_21_22!$B$14:$O$217,9,0),0)</f>
        <v>0</v>
      </c>
      <c r="AI218" s="2412">
        <f>IFERROR(VLOOKUP($A218,F13_21_22!$B$14:$O$217,10,0),0)</f>
        <v>0</v>
      </c>
      <c r="AJ218" s="2412">
        <f t="shared" si="171"/>
        <v>0</v>
      </c>
      <c r="AK218" s="2412">
        <f>IFERROR(VLOOKUP($A218,F13_21_22!$B$14:$O$217,11,0),0)</f>
        <v>0</v>
      </c>
      <c r="AL218" s="2401">
        <f t="shared" si="172"/>
        <v>0</v>
      </c>
      <c r="AM218" s="2412">
        <f>IFERROR(VLOOKUP($A218,F13_21_22!$B$14:$O$217,12,0),0)</f>
        <v>0</v>
      </c>
      <c r="AN218" s="2412">
        <f t="shared" si="173"/>
        <v>0</v>
      </c>
      <c r="AO218" s="2411"/>
      <c r="AP218" s="2411">
        <f t="shared" si="174"/>
        <v>0</v>
      </c>
      <c r="AQ218" s="2411">
        <f t="shared" si="175"/>
        <v>0</v>
      </c>
      <c r="AR218" s="2406">
        <f>IFERROR(VLOOKUP($A218,F13_22_23!$B$14:$O$215,9,0),0)</f>
        <v>0</v>
      </c>
      <c r="AS218" s="2406">
        <f>IFERROR(VLOOKUP($A218,F13_22_23!$B$14:$O$215,10,0),0)</f>
        <v>0</v>
      </c>
      <c r="AT218" s="2406">
        <f t="shared" si="176"/>
        <v>0</v>
      </c>
      <c r="AU218" s="2406">
        <f>IFERROR(VLOOKUP($A218,F13_22_23!$B$14:$O$215,11,0),0)</f>
        <v>0</v>
      </c>
      <c r="AV218" s="2406">
        <f t="shared" si="177"/>
        <v>0</v>
      </c>
      <c r="AW218" s="2406">
        <f>IFERROR(VLOOKUP($A218,F13_22_23!$B$14:$O$215,12,0),0)</f>
        <v>0</v>
      </c>
      <c r="AX218" s="2406"/>
      <c r="AY218" s="2406">
        <f t="shared" si="178"/>
        <v>0</v>
      </c>
      <c r="AZ218" s="2406">
        <f t="shared" si="179"/>
        <v>0</v>
      </c>
    </row>
    <row r="219" spans="1:52" s="2350" customFormat="1" ht="15.5">
      <c r="A219" s="2425" t="s">
        <v>1819</v>
      </c>
      <c r="B219" s="2405"/>
      <c r="C219" s="2405"/>
      <c r="D219" s="2809"/>
      <c r="E219" s="2809"/>
      <c r="F219" s="2809"/>
      <c r="G219" s="2809"/>
      <c r="H219" s="2809"/>
      <c r="I219" s="2809"/>
      <c r="J219" s="2809"/>
      <c r="K219" s="2809"/>
      <c r="L219" s="2809"/>
      <c r="M219" s="2809"/>
      <c r="N219" s="2410"/>
      <c r="O219" s="2410"/>
      <c r="P219" s="2409"/>
      <c r="Q219" s="2410"/>
      <c r="R219" s="2410"/>
      <c r="S219" s="2410"/>
      <c r="T219" s="2410"/>
      <c r="U219" s="2410"/>
      <c r="V219" s="2409"/>
      <c r="W219" s="2410"/>
      <c r="X219" s="2411">
        <v>4677.8984015000005</v>
      </c>
      <c r="Y219" s="2411">
        <v>0</v>
      </c>
      <c r="Z219" s="2411">
        <f t="shared" si="166"/>
        <v>0</v>
      </c>
      <c r="AA219" s="2411">
        <v>1408.546485498</v>
      </c>
      <c r="AB219" s="2411">
        <f t="shared" si="167"/>
        <v>3.0110668608072801</v>
      </c>
      <c r="AC219" s="2411">
        <v>0</v>
      </c>
      <c r="AD219" s="2412">
        <f t="shared" si="168"/>
        <v>0</v>
      </c>
      <c r="AE219" s="2411"/>
      <c r="AF219" s="2411">
        <f t="shared" si="169"/>
        <v>1408.546485498</v>
      </c>
      <c r="AG219" s="2411">
        <f t="shared" si="170"/>
        <v>3.0110668608072801</v>
      </c>
      <c r="AH219" s="2412">
        <f>IFERROR(VLOOKUP($A219,F13_21_22!$B$14:$O$217,9,0),0)</f>
        <v>0</v>
      </c>
      <c r="AI219" s="2412">
        <f>IFERROR(VLOOKUP($A219,F13_21_22!$B$14:$O$217,10,0),0)</f>
        <v>0</v>
      </c>
      <c r="AJ219" s="2412">
        <f t="shared" si="171"/>
        <v>0</v>
      </c>
      <c r="AK219" s="2412">
        <f>IFERROR(VLOOKUP($A219,F13_21_22!$B$14:$O$217,11,0),0)</f>
        <v>0</v>
      </c>
      <c r="AL219" s="2401">
        <f t="shared" si="172"/>
        <v>0</v>
      </c>
      <c r="AM219" s="2412">
        <f>IFERROR(VLOOKUP($A219,F13_21_22!$B$14:$O$217,12,0),0)</f>
        <v>0</v>
      </c>
      <c r="AN219" s="2412">
        <f t="shared" si="173"/>
        <v>0</v>
      </c>
      <c r="AO219" s="2411"/>
      <c r="AP219" s="2411">
        <f t="shared" si="174"/>
        <v>0</v>
      </c>
      <c r="AQ219" s="2411">
        <f t="shared" si="175"/>
        <v>0</v>
      </c>
      <c r="AR219" s="2406">
        <f>IFERROR(VLOOKUP($A219,F13_22_23!$B$14:$O$215,9,0),0)</f>
        <v>0</v>
      </c>
      <c r="AS219" s="2406">
        <f>IFERROR(VLOOKUP($A219,F13_22_23!$B$14:$O$215,10,0),0)</f>
        <v>0</v>
      </c>
      <c r="AT219" s="2406">
        <f t="shared" si="176"/>
        <v>0</v>
      </c>
      <c r="AU219" s="2406">
        <f>IFERROR(VLOOKUP($A219,F13_22_23!$B$14:$O$215,11,0),0)</f>
        <v>0</v>
      </c>
      <c r="AV219" s="2406">
        <f t="shared" si="177"/>
        <v>0</v>
      </c>
      <c r="AW219" s="2406">
        <f>IFERROR(VLOOKUP($A219,F13_22_23!$B$14:$O$215,12,0),0)</f>
        <v>0</v>
      </c>
      <c r="AX219" s="2406"/>
      <c r="AY219" s="2406">
        <f t="shared" si="178"/>
        <v>0</v>
      </c>
      <c r="AZ219" s="2406">
        <f t="shared" si="179"/>
        <v>0</v>
      </c>
    </row>
    <row r="220" spans="1:52" s="2350" customFormat="1" ht="15">
      <c r="A220" s="1601" t="s">
        <v>1820</v>
      </c>
      <c r="B220" s="2405"/>
      <c r="C220" s="2405"/>
      <c r="D220" s="2809"/>
      <c r="E220" s="2809"/>
      <c r="F220" s="2809"/>
      <c r="G220" s="2809"/>
      <c r="H220" s="2809"/>
      <c r="I220" s="2809"/>
      <c r="J220" s="2809"/>
      <c r="K220" s="2809"/>
      <c r="L220" s="2809"/>
      <c r="M220" s="2809"/>
      <c r="N220" s="2410"/>
      <c r="O220" s="2410"/>
      <c r="P220" s="2409"/>
      <c r="Q220" s="2410"/>
      <c r="R220" s="2410"/>
      <c r="S220" s="2410"/>
      <c r="T220" s="2410"/>
      <c r="U220" s="2410"/>
      <c r="V220" s="2409"/>
      <c r="W220" s="2410"/>
      <c r="X220" s="2401">
        <f>SUM(X214:X218)-X219</f>
        <v>-1857.0134565000003</v>
      </c>
      <c r="Y220" s="2401">
        <f>SUM(Y214:Y218)-Y219</f>
        <v>0</v>
      </c>
      <c r="Z220" s="2411"/>
      <c r="AA220" s="2401">
        <f>SUM(AA214:AA218)-AA219</f>
        <v>-339.38562879599976</v>
      </c>
      <c r="AB220" s="2411"/>
      <c r="AC220" s="2401">
        <f>SUM(AC214:AC218)-AC219</f>
        <v>71.668502805999793</v>
      </c>
      <c r="AD220" s="2401"/>
      <c r="AE220" s="2411"/>
      <c r="AF220" s="2401">
        <f>SUM(AF214:AF218)-AF219</f>
        <v>-267.71712599000011</v>
      </c>
      <c r="AG220" s="2401">
        <f>IFERROR(AF220/X220*10,0)</f>
        <v>1.4416542058590089</v>
      </c>
      <c r="AH220" s="2401">
        <f>SUM(AH214:AH218)-AH219</f>
        <v>0</v>
      </c>
      <c r="AI220" s="2401">
        <f>SUM(AI214:AI218)-AI219</f>
        <v>0</v>
      </c>
      <c r="AJ220" s="2411"/>
      <c r="AK220" s="2401">
        <f>SUM(AK214:AK218)-AK219</f>
        <v>0</v>
      </c>
      <c r="AL220" s="2411"/>
      <c r="AM220" s="2401">
        <f>SUM(AM214:AM218)-AM219</f>
        <v>0</v>
      </c>
      <c r="AN220" s="2401"/>
      <c r="AO220" s="2411"/>
      <c r="AP220" s="2401">
        <f>SUM(AP214:AP218)-AP219</f>
        <v>0</v>
      </c>
      <c r="AQ220" s="2401">
        <f t="shared" si="175"/>
        <v>0</v>
      </c>
      <c r="AR220" s="2406"/>
      <c r="AS220" s="2406"/>
      <c r="AT220" s="2406"/>
      <c r="AU220" s="2406"/>
      <c r="AV220" s="2406"/>
      <c r="AW220" s="2406"/>
      <c r="AX220" s="2406"/>
      <c r="AY220" s="2406"/>
      <c r="AZ220" s="2406"/>
    </row>
    <row r="221" spans="1:52" s="2350" customFormat="1" ht="15">
      <c r="A221" s="1601"/>
      <c r="B221" s="2405"/>
      <c r="C221" s="2405"/>
      <c r="D221" s="2809"/>
      <c r="E221" s="2809"/>
      <c r="F221" s="2809"/>
      <c r="G221" s="2809"/>
      <c r="H221" s="2809"/>
      <c r="I221" s="2809"/>
      <c r="J221" s="2809"/>
      <c r="K221" s="2809"/>
      <c r="L221" s="2809"/>
      <c r="M221" s="2809"/>
      <c r="N221" s="2410"/>
      <c r="O221" s="2410"/>
      <c r="P221" s="2409"/>
      <c r="Q221" s="2410"/>
      <c r="R221" s="2410"/>
      <c r="S221" s="2410"/>
      <c r="T221" s="2410"/>
      <c r="U221" s="2410"/>
      <c r="V221" s="2409"/>
      <c r="W221" s="2410"/>
      <c r="X221" s="2401"/>
      <c r="Y221" s="2401"/>
      <c r="Z221" s="2411"/>
      <c r="AA221" s="2401"/>
      <c r="AB221" s="2411"/>
      <c r="AC221" s="2401"/>
      <c r="AD221" s="2412"/>
      <c r="AE221" s="2411"/>
      <c r="AF221" s="2401"/>
      <c r="AG221" s="2401"/>
      <c r="AH221" s="2412"/>
      <c r="AI221" s="2412"/>
      <c r="AJ221" s="2412"/>
      <c r="AK221" s="2412"/>
      <c r="AL221" s="2401"/>
      <c r="AM221" s="2412"/>
      <c r="AN221" s="2412"/>
      <c r="AO221" s="2411"/>
      <c r="AP221" s="2411"/>
      <c r="AQ221" s="2411"/>
      <c r="AR221" s="2406"/>
      <c r="AS221" s="2406"/>
      <c r="AT221" s="2406"/>
      <c r="AU221" s="2406"/>
      <c r="AV221" s="2406"/>
      <c r="AW221" s="2406"/>
      <c r="AX221" s="2406"/>
      <c r="AY221" s="2406"/>
      <c r="AZ221" s="2406"/>
    </row>
    <row r="222" spans="1:52" s="2350" customFormat="1" ht="15">
      <c r="A222" s="1604" t="s">
        <v>1821</v>
      </c>
      <c r="B222" s="2405"/>
      <c r="C222" s="2405"/>
      <c r="D222" s="2809"/>
      <c r="E222" s="2809"/>
      <c r="F222" s="2809"/>
      <c r="G222" s="2809"/>
      <c r="H222" s="2809"/>
      <c r="I222" s="2809"/>
      <c r="J222" s="2809"/>
      <c r="K222" s="2809"/>
      <c r="L222" s="2809"/>
      <c r="M222" s="2809"/>
      <c r="N222" s="2410"/>
      <c r="O222" s="2410"/>
      <c r="P222" s="2409"/>
      <c r="Q222" s="2410"/>
      <c r="R222" s="2410"/>
      <c r="S222" s="2410"/>
      <c r="T222" s="2410"/>
      <c r="U222" s="2410"/>
      <c r="V222" s="2409"/>
      <c r="W222" s="2410"/>
      <c r="X222" s="2401"/>
      <c r="Y222" s="2401"/>
      <c r="Z222" s="2411"/>
      <c r="AA222" s="2401"/>
      <c r="AB222" s="2411"/>
      <c r="AC222" s="2401"/>
      <c r="AD222" s="2412"/>
      <c r="AE222" s="2411"/>
      <c r="AF222" s="2401">
        <f t="shared" ref="AF222:AF236" si="180">Y222+AA222+AC222+AE222</f>
        <v>0</v>
      </c>
      <c r="AG222" s="2401"/>
      <c r="AH222" s="2412"/>
      <c r="AI222" s="2412"/>
      <c r="AJ222" s="2412"/>
      <c r="AK222" s="2412"/>
      <c r="AL222" s="2401"/>
      <c r="AM222" s="2412"/>
      <c r="AN222" s="2412"/>
      <c r="AO222" s="2411"/>
      <c r="AP222" s="2411"/>
      <c r="AQ222" s="2411"/>
      <c r="AR222" s="2406"/>
      <c r="AS222" s="2406"/>
      <c r="AT222" s="2406"/>
      <c r="AU222" s="2406"/>
      <c r="AV222" s="2406"/>
      <c r="AW222" s="2406"/>
      <c r="AX222" s="2406"/>
      <c r="AY222" s="2406"/>
      <c r="AZ222" s="2406"/>
    </row>
    <row r="223" spans="1:52">
      <c r="A223" s="2421" t="s">
        <v>1809</v>
      </c>
      <c r="B223" s="2405"/>
      <c r="C223" s="2426"/>
      <c r="D223" s="2426"/>
      <c r="E223" s="2426"/>
      <c r="F223" s="2426"/>
      <c r="G223" s="2426"/>
      <c r="H223" s="2426"/>
      <c r="I223" s="2426"/>
      <c r="J223" s="2426"/>
      <c r="K223" s="2426"/>
      <c r="L223" s="2426"/>
      <c r="M223" s="2426"/>
      <c r="N223" s="2427"/>
      <c r="O223" s="2427"/>
      <c r="P223" s="2427"/>
      <c r="Q223" s="2427"/>
      <c r="R223" s="2427"/>
      <c r="S223" s="2427"/>
      <c r="T223" s="2427"/>
      <c r="U223" s="2427"/>
      <c r="V223" s="2427"/>
      <c r="W223" s="2427"/>
      <c r="X223" s="2411">
        <v>0</v>
      </c>
      <c r="Y223" s="2411">
        <v>0</v>
      </c>
      <c r="Z223" s="2411">
        <f t="shared" ref="Z223:Z236" si="181">IFERROR(Y223/X223*10,0)</f>
        <v>0</v>
      </c>
      <c r="AA223" s="2411">
        <v>0</v>
      </c>
      <c r="AB223" s="2411">
        <f t="shared" ref="AB223:AB236" si="182">IFERROR(AA223/X223*10,0)</f>
        <v>0</v>
      </c>
      <c r="AC223" s="2411">
        <v>0</v>
      </c>
      <c r="AD223" s="2412">
        <f t="shared" ref="AD223:AD236" si="183">IFERROR(AC223/X223*10,0)</f>
        <v>0</v>
      </c>
      <c r="AE223" s="2411"/>
      <c r="AF223" s="2411">
        <f t="shared" si="180"/>
        <v>0</v>
      </c>
      <c r="AG223" s="2411">
        <f t="shared" ref="AG223:AG236" si="184">IFERROR(AF223/X223*10,0)</f>
        <v>0</v>
      </c>
      <c r="AH223" s="2412">
        <f>IFERROR(VLOOKUP($A223,F13_21_22!$B$14:$O$217,9,0),0)</f>
        <v>0</v>
      </c>
      <c r="AI223" s="2412">
        <f>IFERROR(VLOOKUP($A223,F13_21_22!$B$14:$O$217,10,0),0)</f>
        <v>0</v>
      </c>
      <c r="AJ223" s="2412">
        <f t="shared" ref="AJ223:AJ236" si="185">IFERROR(AI223/AH223*10,0)</f>
        <v>0</v>
      </c>
      <c r="AK223" s="2412">
        <f>IFERROR(VLOOKUP($A223,F13_21_22!$B$14:$O$217,11,0),0)</f>
        <v>0</v>
      </c>
      <c r="AL223" s="2401">
        <f t="shared" ref="AL223:AL236" si="186">IFERROR(AK223/AH223*10,0)</f>
        <v>0</v>
      </c>
      <c r="AM223" s="2412">
        <f>IFERROR(VLOOKUP($A223,F13_21_22!$B$14:$O$217,12,0),0)</f>
        <v>0</v>
      </c>
      <c r="AN223" s="2412">
        <f t="shared" ref="AN223:AN236" si="187">IFERROR(AM223/AH223*10,0)</f>
        <v>0</v>
      </c>
      <c r="AO223" s="2411"/>
      <c r="AP223" s="2411">
        <f t="shared" ref="AP223:AP236" si="188">SUM(AK223,AI223,AM223,AO223)</f>
        <v>0</v>
      </c>
      <c r="AQ223" s="2411">
        <f t="shared" ref="AQ223:AQ236" si="189">IFERROR(AP223/AH223*10,0)</f>
        <v>0</v>
      </c>
      <c r="AR223" s="2406">
        <f>IFERROR(VLOOKUP($A223,F13_22_23!$B$14:$O$215,9,0),0)</f>
        <v>0</v>
      </c>
      <c r="AS223" s="2406">
        <f>IFERROR(VLOOKUP($A223,F13_22_23!$B$14:$O$215,10,0),0)</f>
        <v>0</v>
      </c>
      <c r="AT223" s="2406">
        <f t="shared" ref="AT223:AT236" si="190">IFERROR(AS223/AR223*10,0)</f>
        <v>0</v>
      </c>
      <c r="AU223" s="2406">
        <f>IFERROR(VLOOKUP($A223,F13_22_23!$B$14:$O$215,11,0),0)</f>
        <v>0</v>
      </c>
      <c r="AV223" s="2406">
        <f t="shared" ref="AV223:AV236" si="191">IFERROR(AU223/AR223*10,0)</f>
        <v>0</v>
      </c>
      <c r="AW223" s="2406">
        <f>IFERROR(VLOOKUP($A223,F13_22_23!$B$14:$O$215,12,0),0)</f>
        <v>0</v>
      </c>
      <c r="AX223" s="2406"/>
      <c r="AY223" s="2406">
        <f t="shared" ref="AY223:AY236" si="192">AS223+AU223</f>
        <v>0</v>
      </c>
      <c r="AZ223" s="2406">
        <f t="shared" ref="AZ223:AZ236" si="193">IFERROR(AY223/AR223*10,0)</f>
        <v>0</v>
      </c>
    </row>
    <row r="224" spans="1:52">
      <c r="A224" s="2421" t="s">
        <v>2004</v>
      </c>
      <c r="B224" s="2405"/>
      <c r="C224" s="2426"/>
      <c r="D224" s="2426"/>
      <c r="E224" s="2426"/>
      <c r="F224" s="2426"/>
      <c r="G224" s="2426"/>
      <c r="H224" s="2426"/>
      <c r="I224" s="2426"/>
      <c r="J224" s="2426"/>
      <c r="K224" s="2426"/>
      <c r="L224" s="2426"/>
      <c r="M224" s="2426"/>
      <c r="N224" s="2427">
        <v>275.15272116999995</v>
      </c>
      <c r="O224" s="2427">
        <v>33.425382599999999</v>
      </c>
      <c r="P224" s="2427"/>
      <c r="Q224" s="2427">
        <v>155.70608155300005</v>
      </c>
      <c r="R224" s="2427"/>
      <c r="S224" s="2427">
        <v>-33.47</v>
      </c>
      <c r="T224" s="2427"/>
      <c r="U224" s="2427"/>
      <c r="V224" s="2409">
        <f t="shared" ref="V224:V236" si="194">SUM(O224,Q224,S224)</f>
        <v>155.66146415300005</v>
      </c>
      <c r="W224" s="2410">
        <f t="shared" ref="W224:W232" si="195">IFERROR(V224/N224*10,0)</f>
        <v>5.6572751122031031</v>
      </c>
      <c r="X224" s="2411">
        <v>0</v>
      </c>
      <c r="Y224" s="2411">
        <v>0</v>
      </c>
      <c r="Z224" s="2411">
        <f t="shared" si="181"/>
        <v>0</v>
      </c>
      <c r="AA224" s="2411">
        <v>0</v>
      </c>
      <c r="AB224" s="2411">
        <f t="shared" si="182"/>
        <v>0</v>
      </c>
      <c r="AC224" s="2411">
        <v>0</v>
      </c>
      <c r="AD224" s="2412">
        <f t="shared" si="183"/>
        <v>0</v>
      </c>
      <c r="AE224" s="2411"/>
      <c r="AF224" s="2411">
        <f t="shared" si="180"/>
        <v>0</v>
      </c>
      <c r="AG224" s="2411">
        <f t="shared" si="184"/>
        <v>0</v>
      </c>
      <c r="AH224" s="2412">
        <f>IFERROR(VLOOKUP($A224,F13_21_22!$B$14:$O$217,9,0),0)</f>
        <v>0</v>
      </c>
      <c r="AI224" s="2412">
        <f>IFERROR(VLOOKUP($A224,F13_21_22!$B$14:$O$217,10,0),0)</f>
        <v>0</v>
      </c>
      <c r="AJ224" s="2412">
        <f t="shared" si="185"/>
        <v>0</v>
      </c>
      <c r="AK224" s="2412">
        <f>IFERROR(VLOOKUP($A224,F13_21_22!$B$14:$O$217,11,0),0)</f>
        <v>0</v>
      </c>
      <c r="AL224" s="2401">
        <f t="shared" si="186"/>
        <v>0</v>
      </c>
      <c r="AM224" s="2412">
        <f>IFERROR(VLOOKUP($A224,F13_21_22!$B$14:$O$217,12,0),0)</f>
        <v>0</v>
      </c>
      <c r="AN224" s="2412">
        <f t="shared" si="187"/>
        <v>0</v>
      </c>
      <c r="AO224" s="2411"/>
      <c r="AP224" s="2411">
        <f t="shared" si="188"/>
        <v>0</v>
      </c>
      <c r="AQ224" s="2411">
        <f t="shared" si="189"/>
        <v>0</v>
      </c>
      <c r="AR224" s="2406">
        <f>IFERROR(VLOOKUP($A224,F13_22_23!$B$14:$O$215,9,0),0)</f>
        <v>0</v>
      </c>
      <c r="AS224" s="2406">
        <f>IFERROR(VLOOKUP($A224,F13_22_23!$B$14:$O$215,10,0),0)</f>
        <v>0</v>
      </c>
      <c r="AT224" s="2406">
        <f t="shared" si="190"/>
        <v>0</v>
      </c>
      <c r="AU224" s="2406">
        <f>IFERROR(VLOOKUP($A224,F13_22_23!$B$14:$O$215,11,0),0)</f>
        <v>0</v>
      </c>
      <c r="AV224" s="2406">
        <f t="shared" si="191"/>
        <v>0</v>
      </c>
      <c r="AW224" s="2406">
        <f>IFERROR(VLOOKUP($A224,F13_22_23!$B$14:$O$215,12,0),0)</f>
        <v>0</v>
      </c>
      <c r="AX224" s="2406"/>
      <c r="AY224" s="2406">
        <f t="shared" si="192"/>
        <v>0</v>
      </c>
      <c r="AZ224" s="2406">
        <f t="shared" si="193"/>
        <v>0</v>
      </c>
    </row>
    <row r="225" spans="1:52">
      <c r="A225" s="2421" t="s">
        <v>2209</v>
      </c>
      <c r="B225" s="2405"/>
      <c r="C225" s="2426"/>
      <c r="D225" s="2426"/>
      <c r="E225" s="2426"/>
      <c r="F225" s="2426"/>
      <c r="G225" s="2426"/>
      <c r="H225" s="2426"/>
      <c r="I225" s="2426"/>
      <c r="J225" s="2426"/>
      <c r="K225" s="2426"/>
      <c r="L225" s="2426"/>
      <c r="M225" s="2426"/>
      <c r="N225" s="2427">
        <v>5688.1100143999965</v>
      </c>
      <c r="O225" s="2427">
        <v>0</v>
      </c>
      <c r="P225" s="2427"/>
      <c r="Q225" s="2427">
        <v>2435.498582397604</v>
      </c>
      <c r="R225" s="2427"/>
      <c r="S225" s="2427">
        <v>0</v>
      </c>
      <c r="T225" s="2427"/>
      <c r="U225" s="2427"/>
      <c r="V225" s="2409">
        <f t="shared" si="194"/>
        <v>2435.498582397604</v>
      </c>
      <c r="W225" s="2410">
        <f t="shared" si="195"/>
        <v>4.2817360709126682</v>
      </c>
      <c r="X225" s="2411">
        <v>0</v>
      </c>
      <c r="Y225" s="2411">
        <v>0</v>
      </c>
      <c r="Z225" s="2411">
        <f t="shared" si="181"/>
        <v>0</v>
      </c>
      <c r="AA225" s="2411">
        <v>0</v>
      </c>
      <c r="AB225" s="2411">
        <f t="shared" si="182"/>
        <v>0</v>
      </c>
      <c r="AC225" s="2411">
        <v>0</v>
      </c>
      <c r="AD225" s="2412">
        <f t="shared" si="183"/>
        <v>0</v>
      </c>
      <c r="AE225" s="2411"/>
      <c r="AF225" s="2411">
        <f t="shared" si="180"/>
        <v>0</v>
      </c>
      <c r="AG225" s="2411">
        <f t="shared" si="184"/>
        <v>0</v>
      </c>
      <c r="AH225" s="2412">
        <f>IFERROR(VLOOKUP($A225,F13_21_22!$B$14:$O$217,9,0),0)</f>
        <v>0</v>
      </c>
      <c r="AI225" s="2412">
        <f>IFERROR(VLOOKUP($A225,F13_21_22!$B$14:$O$217,10,0),0)</f>
        <v>0</v>
      </c>
      <c r="AJ225" s="2412">
        <f t="shared" si="185"/>
        <v>0</v>
      </c>
      <c r="AK225" s="2412">
        <f>IFERROR(VLOOKUP($A225,F13_21_22!$B$14:$O$217,11,0),0)</f>
        <v>0</v>
      </c>
      <c r="AL225" s="2401">
        <f t="shared" si="186"/>
        <v>0</v>
      </c>
      <c r="AM225" s="2412">
        <f>IFERROR(VLOOKUP($A225,F13_21_22!$B$14:$O$217,12,0),0)</f>
        <v>0</v>
      </c>
      <c r="AN225" s="2412">
        <f t="shared" si="187"/>
        <v>0</v>
      </c>
      <c r="AO225" s="2411"/>
      <c r="AP225" s="2411">
        <f t="shared" si="188"/>
        <v>0</v>
      </c>
      <c r="AQ225" s="2411">
        <f t="shared" si="189"/>
        <v>0</v>
      </c>
      <c r="AR225" s="2406">
        <f>IFERROR(VLOOKUP($A225,F13_22_23!$B$14:$O$215,9,0),0)</f>
        <v>0</v>
      </c>
      <c r="AS225" s="2406">
        <f>IFERROR(VLOOKUP($A225,F13_22_23!$B$14:$O$215,10,0),0)</f>
        <v>0</v>
      </c>
      <c r="AT225" s="2406">
        <f t="shared" si="190"/>
        <v>0</v>
      </c>
      <c r="AU225" s="2406">
        <f>IFERROR(VLOOKUP($A225,F13_22_23!$B$14:$O$215,11,0),0)</f>
        <v>0</v>
      </c>
      <c r="AV225" s="2406">
        <f t="shared" si="191"/>
        <v>0</v>
      </c>
      <c r="AW225" s="2406">
        <f>IFERROR(VLOOKUP($A225,F13_22_23!$B$14:$O$215,12,0),0)</f>
        <v>0</v>
      </c>
      <c r="AX225" s="2406"/>
      <c r="AY225" s="2406">
        <f t="shared" si="192"/>
        <v>0</v>
      </c>
      <c r="AZ225" s="2406">
        <f t="shared" si="193"/>
        <v>0</v>
      </c>
    </row>
    <row r="226" spans="1:52">
      <c r="A226" s="2421" t="s">
        <v>1810</v>
      </c>
      <c r="B226" s="2405"/>
      <c r="C226" s="2426"/>
      <c r="D226" s="2426"/>
      <c r="E226" s="2426"/>
      <c r="F226" s="2426"/>
      <c r="G226" s="2426"/>
      <c r="H226" s="2426"/>
      <c r="I226" s="2426"/>
      <c r="J226" s="2426"/>
      <c r="K226" s="2426"/>
      <c r="L226" s="2426"/>
      <c r="M226" s="2426"/>
      <c r="N226" s="2427">
        <v>84.485924999999995</v>
      </c>
      <c r="O226" s="2427">
        <v>0</v>
      </c>
      <c r="P226" s="2427"/>
      <c r="Q226" s="2427">
        <v>19.2381584</v>
      </c>
      <c r="R226" s="2427"/>
      <c r="S226" s="2427">
        <v>0</v>
      </c>
      <c r="T226" s="2427"/>
      <c r="U226" s="2427"/>
      <c r="V226" s="2409">
        <f t="shared" si="194"/>
        <v>19.2381584</v>
      </c>
      <c r="W226" s="2410">
        <f t="shared" si="195"/>
        <v>2.2770844256010694</v>
      </c>
      <c r="X226" s="2411">
        <v>251.25438</v>
      </c>
      <c r="Y226" s="2411">
        <v>0</v>
      </c>
      <c r="Z226" s="2411">
        <f t="shared" si="181"/>
        <v>0</v>
      </c>
      <c r="AA226" s="2411">
        <v>0</v>
      </c>
      <c r="AB226" s="2411">
        <f t="shared" si="182"/>
        <v>0</v>
      </c>
      <c r="AC226" s="2411">
        <v>33.296717999999998</v>
      </c>
      <c r="AD226" s="2412">
        <f t="shared" si="183"/>
        <v>1.3252194051303703</v>
      </c>
      <c r="AE226" s="2411"/>
      <c r="AF226" s="2411">
        <f>Y226+AA226+AC226+AE226</f>
        <v>33.296717999999998</v>
      </c>
      <c r="AG226" s="2411">
        <f t="shared" si="184"/>
        <v>1.3252194051303703</v>
      </c>
      <c r="AH226" s="2412">
        <f>IFERROR(VLOOKUP($A226,F13_21_22!$B$14:$O$217,9,0),0)</f>
        <v>0</v>
      </c>
      <c r="AI226" s="2412">
        <f>IFERROR(VLOOKUP($A226,F13_21_22!$B$14:$O$217,10,0),0)</f>
        <v>0</v>
      </c>
      <c r="AJ226" s="2412">
        <f t="shared" si="185"/>
        <v>0</v>
      </c>
      <c r="AK226" s="2412">
        <f>IFERROR(VLOOKUP($A226,F13_21_22!$B$14:$O$217,11,0),0)</f>
        <v>0</v>
      </c>
      <c r="AL226" s="2401">
        <f t="shared" si="186"/>
        <v>0</v>
      </c>
      <c r="AM226" s="2412">
        <f>IFERROR(VLOOKUP($A226,F13_21_22!$B$14:$O$217,12,0),0)</f>
        <v>0.22590000000000002</v>
      </c>
      <c r="AN226" s="2412">
        <f t="shared" si="187"/>
        <v>0</v>
      </c>
      <c r="AO226" s="2411"/>
      <c r="AP226" s="2411">
        <f t="shared" si="188"/>
        <v>0.22590000000000002</v>
      </c>
      <c r="AQ226" s="2411">
        <f t="shared" si="189"/>
        <v>0</v>
      </c>
      <c r="AR226" s="2406">
        <f>IFERROR(VLOOKUP($A226,F13_22_23!$B$14:$O$215,9,0),0)</f>
        <v>0</v>
      </c>
      <c r="AS226" s="2406">
        <f>IFERROR(VLOOKUP($A226,F13_22_23!$B$14:$O$215,10,0),0)</f>
        <v>0</v>
      </c>
      <c r="AT226" s="2406">
        <f t="shared" si="190"/>
        <v>0</v>
      </c>
      <c r="AU226" s="2406">
        <f>IFERROR(VLOOKUP($A226,F13_22_23!$B$14:$O$215,11,0),0)</f>
        <v>0</v>
      </c>
      <c r="AV226" s="2406">
        <f t="shared" si="191"/>
        <v>0</v>
      </c>
      <c r="AW226" s="2406">
        <f>IFERROR(VLOOKUP($A226,F13_22_23!$B$14:$O$215,12,0),0)</f>
        <v>0</v>
      </c>
      <c r="AX226" s="2406"/>
      <c r="AY226" s="2406">
        <f t="shared" si="192"/>
        <v>0</v>
      </c>
      <c r="AZ226" s="2406">
        <f t="shared" si="193"/>
        <v>0</v>
      </c>
    </row>
    <row r="227" spans="1:52">
      <c r="A227" s="2421" t="s">
        <v>2007</v>
      </c>
      <c r="B227" s="2405"/>
      <c r="C227" s="2428"/>
      <c r="D227" s="2426"/>
      <c r="E227" s="2426"/>
      <c r="F227" s="2426"/>
      <c r="G227" s="2426"/>
      <c r="H227" s="2426"/>
      <c r="I227" s="2426"/>
      <c r="J227" s="2426"/>
      <c r="K227" s="2426"/>
      <c r="L227" s="2426"/>
      <c r="M227" s="2426"/>
      <c r="N227" s="2427">
        <v>0</v>
      </c>
      <c r="O227" s="2427">
        <v>0</v>
      </c>
      <c r="P227" s="2427"/>
      <c r="Q227" s="2427">
        <v>0</v>
      </c>
      <c r="R227" s="2427"/>
      <c r="S227" s="2427">
        <v>2930.9020123999999</v>
      </c>
      <c r="T227" s="2427"/>
      <c r="U227" s="2427"/>
      <c r="V227" s="2409">
        <f t="shared" si="194"/>
        <v>2930.9020123999999</v>
      </c>
      <c r="W227" s="2410">
        <f t="shared" si="195"/>
        <v>0</v>
      </c>
      <c r="X227" s="2411">
        <v>0</v>
      </c>
      <c r="Y227" s="2411">
        <v>0</v>
      </c>
      <c r="Z227" s="2411">
        <f t="shared" si="181"/>
        <v>0</v>
      </c>
      <c r="AA227" s="2411">
        <v>0</v>
      </c>
      <c r="AB227" s="2411">
        <f t="shared" si="182"/>
        <v>0</v>
      </c>
      <c r="AC227" s="2411">
        <v>3737.2817961999999</v>
      </c>
      <c r="AD227" s="2412">
        <f t="shared" si="183"/>
        <v>0</v>
      </c>
      <c r="AE227" s="2411"/>
      <c r="AF227" s="2411">
        <f t="shared" si="180"/>
        <v>3737.2817961999999</v>
      </c>
      <c r="AG227" s="2411">
        <f t="shared" si="184"/>
        <v>0</v>
      </c>
      <c r="AH227" s="2412">
        <f>IFERROR(VLOOKUP($A227,F13_21_22!$B$14:$O$217,9,0),0)</f>
        <v>0</v>
      </c>
      <c r="AI227" s="2412">
        <f>IFERROR(VLOOKUP($A227,F13_21_22!$B$14:$O$217,10,0),0)</f>
        <v>0</v>
      </c>
      <c r="AJ227" s="2412">
        <f t="shared" si="185"/>
        <v>0</v>
      </c>
      <c r="AK227" s="2412">
        <f>IFERROR(VLOOKUP($A227,F13_21_22!$B$14:$O$217,11,0),0)</f>
        <v>0</v>
      </c>
      <c r="AL227" s="2401">
        <f t="shared" si="186"/>
        <v>0</v>
      </c>
      <c r="AM227" s="2412">
        <f>IFERROR(VLOOKUP($A227,F13_21_22!$B$14:$O$217,12,0),0)</f>
        <v>0</v>
      </c>
      <c r="AN227" s="2412">
        <f t="shared" si="187"/>
        <v>0</v>
      </c>
      <c r="AO227" s="2411"/>
      <c r="AP227" s="2411">
        <f t="shared" si="188"/>
        <v>0</v>
      </c>
      <c r="AQ227" s="2411">
        <f t="shared" si="189"/>
        <v>0</v>
      </c>
      <c r="AR227" s="2406">
        <f>IFERROR(VLOOKUP($A227,F13_22_23!$B$14:$O$215,9,0),0)</f>
        <v>0</v>
      </c>
      <c r="AS227" s="2406">
        <f>IFERROR(VLOOKUP($A227,F13_22_23!$B$14:$O$215,10,0),0)</f>
        <v>4134.3488061435</v>
      </c>
      <c r="AT227" s="2406">
        <f t="shared" si="190"/>
        <v>0</v>
      </c>
      <c r="AU227" s="2406">
        <f>IFERROR(VLOOKUP($A227,F13_22_23!$B$14:$O$215,11,0),0)</f>
        <v>0</v>
      </c>
      <c r="AV227" s="2406">
        <f t="shared" si="191"/>
        <v>0</v>
      </c>
      <c r="AW227" s="2406">
        <f>IFERROR(VLOOKUP($A227,F13_22_23!$B$14:$O$215,12,0),0)</f>
        <v>0</v>
      </c>
      <c r="AX227" s="2406"/>
      <c r="AY227" s="2406">
        <f t="shared" si="192"/>
        <v>4134.3488061435</v>
      </c>
      <c r="AZ227" s="2406">
        <f t="shared" si="193"/>
        <v>0</v>
      </c>
    </row>
    <row r="228" spans="1:52">
      <c r="A228" s="2421" t="s">
        <v>2030</v>
      </c>
      <c r="B228" s="2405"/>
      <c r="C228" s="2429"/>
      <c r="D228" s="2426"/>
      <c r="E228" s="2426"/>
      <c r="F228" s="2426"/>
      <c r="G228" s="2426"/>
      <c r="H228" s="2426"/>
      <c r="I228" s="2426"/>
      <c r="J228" s="2426"/>
      <c r="K228" s="2426"/>
      <c r="L228" s="2426"/>
      <c r="M228" s="2426"/>
      <c r="N228" s="2427">
        <v>0</v>
      </c>
      <c r="O228" s="2427">
        <v>0</v>
      </c>
      <c r="P228" s="2427"/>
      <c r="Q228" s="2427">
        <v>0</v>
      </c>
      <c r="R228" s="2427"/>
      <c r="S228" s="2427">
        <v>923.38410620000013</v>
      </c>
      <c r="T228" s="2427"/>
      <c r="U228" s="2427"/>
      <c r="V228" s="2409">
        <f t="shared" si="194"/>
        <v>923.38410620000013</v>
      </c>
      <c r="W228" s="2410">
        <f t="shared" si="195"/>
        <v>0</v>
      </c>
      <c r="X228" s="2411">
        <v>0</v>
      </c>
      <c r="Y228" s="2411">
        <v>0</v>
      </c>
      <c r="Z228" s="2411">
        <f t="shared" si="181"/>
        <v>0</v>
      </c>
      <c r="AA228" s="2411">
        <v>0</v>
      </c>
      <c r="AB228" s="2411">
        <f t="shared" si="182"/>
        <v>0</v>
      </c>
      <c r="AC228" s="2411">
        <v>875.82469829999991</v>
      </c>
      <c r="AD228" s="2412">
        <f t="shared" si="183"/>
        <v>0</v>
      </c>
      <c r="AE228" s="2411"/>
      <c r="AF228" s="2411">
        <f t="shared" si="180"/>
        <v>875.82469829999991</v>
      </c>
      <c r="AG228" s="2411">
        <f t="shared" si="184"/>
        <v>0</v>
      </c>
      <c r="AH228" s="2412">
        <f>IFERROR(VLOOKUP($A228,F13_21_22!$B$14:$O$217,9,0),0)</f>
        <v>0</v>
      </c>
      <c r="AI228" s="2412">
        <f>IFERROR(VLOOKUP($A228,F13_21_22!$B$14:$O$217,10,0),0)</f>
        <v>0</v>
      </c>
      <c r="AJ228" s="2412">
        <f t="shared" si="185"/>
        <v>0</v>
      </c>
      <c r="AK228" s="2412">
        <f>IFERROR(VLOOKUP($A228,F13_21_22!$B$14:$O$217,11,0),0)</f>
        <v>0</v>
      </c>
      <c r="AL228" s="2401">
        <f t="shared" si="186"/>
        <v>0</v>
      </c>
      <c r="AM228" s="2412">
        <f>IFERROR(VLOOKUP($A228,F13_21_22!$B$14:$O$217,12,0),0)</f>
        <v>0</v>
      </c>
      <c r="AN228" s="2412">
        <f t="shared" si="187"/>
        <v>0</v>
      </c>
      <c r="AO228" s="2411"/>
      <c r="AP228" s="2411">
        <f t="shared" si="188"/>
        <v>0</v>
      </c>
      <c r="AQ228" s="2411">
        <f t="shared" si="189"/>
        <v>0</v>
      </c>
      <c r="AR228" s="2406">
        <f>IFERROR(VLOOKUP($A228,F13_22_23!$B$14:$O$215,9,0),0)</f>
        <v>0</v>
      </c>
      <c r="AS228" s="2406">
        <f>IFERROR(VLOOKUP($A228,F13_22_23!$B$14:$O$215,10,0),0)</f>
        <v>919.61593321499993</v>
      </c>
      <c r="AT228" s="2406">
        <f t="shared" si="190"/>
        <v>0</v>
      </c>
      <c r="AU228" s="2406">
        <f>IFERROR(VLOOKUP($A228,F13_22_23!$B$14:$O$215,11,0),0)</f>
        <v>0</v>
      </c>
      <c r="AV228" s="2406">
        <f t="shared" si="191"/>
        <v>0</v>
      </c>
      <c r="AW228" s="2406">
        <f>IFERROR(VLOOKUP($A228,F13_22_23!$B$14:$O$215,12,0),0)</f>
        <v>0</v>
      </c>
      <c r="AX228" s="2406"/>
      <c r="AY228" s="2406">
        <f t="shared" si="192"/>
        <v>919.61593321499993</v>
      </c>
      <c r="AZ228" s="2406">
        <f t="shared" si="193"/>
        <v>0</v>
      </c>
    </row>
    <row r="229" spans="1:52">
      <c r="A229" s="2421" t="s">
        <v>2012</v>
      </c>
      <c r="B229" s="2405"/>
      <c r="C229" s="734"/>
      <c r="D229" s="733"/>
      <c r="E229" s="733"/>
      <c r="F229" s="733"/>
      <c r="G229" s="733"/>
      <c r="H229" s="733"/>
      <c r="I229" s="733"/>
      <c r="J229" s="733"/>
      <c r="K229" s="733"/>
      <c r="L229" s="733"/>
      <c r="M229" s="733"/>
      <c r="N229" s="2427">
        <v>0</v>
      </c>
      <c r="O229" s="2427">
        <v>0</v>
      </c>
      <c r="P229" s="2427"/>
      <c r="Q229" s="2427">
        <v>0</v>
      </c>
      <c r="R229" s="2427"/>
      <c r="S229" s="2427">
        <v>294.43755959999999</v>
      </c>
      <c r="T229" s="2427"/>
      <c r="U229" s="2427"/>
      <c r="V229" s="2409">
        <f t="shared" si="194"/>
        <v>294.43755959999999</v>
      </c>
      <c r="W229" s="2410">
        <f t="shared" si="195"/>
        <v>0</v>
      </c>
      <c r="X229" s="2411">
        <v>0</v>
      </c>
      <c r="Y229" s="2411">
        <v>0</v>
      </c>
      <c r="Z229" s="2411">
        <f t="shared" si="181"/>
        <v>0</v>
      </c>
      <c r="AA229" s="2411">
        <v>0</v>
      </c>
      <c r="AB229" s="2411">
        <f t="shared" si="182"/>
        <v>0</v>
      </c>
      <c r="AC229" s="2411">
        <v>301.89614749999998</v>
      </c>
      <c r="AD229" s="2412">
        <f t="shared" si="183"/>
        <v>0</v>
      </c>
      <c r="AE229" s="2411"/>
      <c r="AF229" s="2411">
        <f t="shared" si="180"/>
        <v>301.89614749999998</v>
      </c>
      <c r="AG229" s="2411">
        <f t="shared" si="184"/>
        <v>0</v>
      </c>
      <c r="AH229" s="2412">
        <f>IFERROR(VLOOKUP($A229,F13_21_22!$B$14:$O$217,9,0),0)</f>
        <v>0</v>
      </c>
      <c r="AI229" s="2412">
        <f>IFERROR(VLOOKUP($A229,F13_21_22!$B$14:$O$217,10,0),0)</f>
        <v>0</v>
      </c>
      <c r="AJ229" s="2412">
        <f t="shared" si="185"/>
        <v>0</v>
      </c>
      <c r="AK229" s="2412">
        <f>IFERROR(VLOOKUP($A229,F13_21_22!$B$14:$O$217,11,0),0)</f>
        <v>0</v>
      </c>
      <c r="AL229" s="2401">
        <f t="shared" si="186"/>
        <v>0</v>
      </c>
      <c r="AM229" s="2412">
        <f>IFERROR(VLOOKUP($A229,F13_21_22!$B$14:$O$217,12,0),0)</f>
        <v>0</v>
      </c>
      <c r="AN229" s="2412">
        <f t="shared" si="187"/>
        <v>0</v>
      </c>
      <c r="AO229" s="2411"/>
      <c r="AP229" s="2411">
        <f t="shared" si="188"/>
        <v>0</v>
      </c>
      <c r="AQ229" s="2411">
        <f t="shared" si="189"/>
        <v>0</v>
      </c>
      <c r="AR229" s="2406">
        <f>IFERROR(VLOOKUP($A229,F13_22_23!$B$14:$O$215,9,0),0)</f>
        <v>0</v>
      </c>
      <c r="AS229" s="2406">
        <f>IFERROR(VLOOKUP($A229,F13_22_23!$B$14:$O$215,10,0),0)</f>
        <v>316.990954875</v>
      </c>
      <c r="AT229" s="2406">
        <f t="shared" si="190"/>
        <v>0</v>
      </c>
      <c r="AU229" s="2406">
        <f>IFERROR(VLOOKUP($A229,F13_22_23!$B$14:$O$215,11,0),0)</f>
        <v>0</v>
      </c>
      <c r="AV229" s="2406">
        <f t="shared" si="191"/>
        <v>0</v>
      </c>
      <c r="AW229" s="2406">
        <f>IFERROR(VLOOKUP($A229,F13_22_23!$B$14:$O$215,12,0),0)</f>
        <v>0</v>
      </c>
      <c r="AX229" s="2406"/>
      <c r="AY229" s="2406">
        <f t="shared" si="192"/>
        <v>316.990954875</v>
      </c>
      <c r="AZ229" s="2406">
        <f t="shared" si="193"/>
        <v>0</v>
      </c>
    </row>
    <row r="230" spans="1:52">
      <c r="A230" s="2421" t="s">
        <v>1815</v>
      </c>
      <c r="B230" s="2405"/>
      <c r="C230" s="2430"/>
      <c r="D230" s="733"/>
      <c r="E230" s="733"/>
      <c r="F230" s="733"/>
      <c r="G230" s="733"/>
      <c r="H230" s="733"/>
      <c r="I230" s="733"/>
      <c r="J230" s="733"/>
      <c r="K230" s="733"/>
      <c r="L230" s="733"/>
      <c r="M230" s="733"/>
      <c r="N230" s="2431">
        <v>0</v>
      </c>
      <c r="O230" s="2431">
        <v>0</v>
      </c>
      <c r="P230" s="2431"/>
      <c r="Q230" s="2431">
        <v>0</v>
      </c>
      <c r="R230" s="2431"/>
      <c r="S230" s="2431">
        <v>-2.3148291140000001</v>
      </c>
      <c r="T230" s="2431"/>
      <c r="U230" s="2431"/>
      <c r="V230" s="2409">
        <f t="shared" si="194"/>
        <v>-2.3148291140000001</v>
      </c>
      <c r="W230" s="2431"/>
      <c r="X230" s="2411">
        <v>0</v>
      </c>
      <c r="Y230" s="2411">
        <v>0</v>
      </c>
      <c r="Z230" s="2411">
        <f t="shared" si="181"/>
        <v>0</v>
      </c>
      <c r="AA230" s="2411">
        <v>0</v>
      </c>
      <c r="AB230" s="2411">
        <f t="shared" si="182"/>
        <v>0</v>
      </c>
      <c r="AC230" s="2411">
        <v>0</v>
      </c>
      <c r="AD230" s="2412">
        <f t="shared" si="183"/>
        <v>0</v>
      </c>
      <c r="AE230" s="2411"/>
      <c r="AF230" s="2411">
        <f t="shared" si="180"/>
        <v>0</v>
      </c>
      <c r="AG230" s="2411">
        <f t="shared" si="184"/>
        <v>0</v>
      </c>
      <c r="AH230" s="2412">
        <f>IFERROR(VLOOKUP($A230,F13_21_22!$B$14:$O$217,9,0),0)</f>
        <v>0</v>
      </c>
      <c r="AI230" s="2412">
        <f>IFERROR(VLOOKUP($A230,F13_21_22!$B$14:$O$217,10,0),0)</f>
        <v>0</v>
      </c>
      <c r="AJ230" s="2412">
        <f t="shared" si="185"/>
        <v>0</v>
      </c>
      <c r="AK230" s="2412">
        <f>IFERROR(VLOOKUP($A230,F13_21_22!$B$14:$O$217,11,0),0)</f>
        <v>0</v>
      </c>
      <c r="AL230" s="2401">
        <f t="shared" si="186"/>
        <v>0</v>
      </c>
      <c r="AM230" s="2412">
        <f>IFERROR(VLOOKUP($A230,F13_21_22!$B$14:$O$217,12,0),0)</f>
        <v>0</v>
      </c>
      <c r="AN230" s="2412">
        <f t="shared" si="187"/>
        <v>0</v>
      </c>
      <c r="AO230" s="2411"/>
      <c r="AP230" s="2411">
        <f t="shared" si="188"/>
        <v>0</v>
      </c>
      <c r="AQ230" s="2411">
        <f t="shared" si="189"/>
        <v>0</v>
      </c>
      <c r="AR230" s="2406">
        <f>IFERROR(VLOOKUP($A230,F13_22_23!$B$14:$O$215,9,0),0)</f>
        <v>0</v>
      </c>
      <c r="AS230" s="2406">
        <f>IFERROR(VLOOKUP($A230,F13_22_23!$B$14:$O$215,10,0),0)</f>
        <v>0</v>
      </c>
      <c r="AT230" s="2406">
        <f t="shared" si="190"/>
        <v>0</v>
      </c>
      <c r="AU230" s="2406">
        <f>IFERROR(VLOOKUP($A230,F13_22_23!$B$14:$O$215,11,0),0)</f>
        <v>0</v>
      </c>
      <c r="AV230" s="2406">
        <f t="shared" si="191"/>
        <v>0</v>
      </c>
      <c r="AW230" s="2406">
        <f>IFERROR(VLOOKUP($A230,F13_22_23!$B$14:$O$215,12,0),0)</f>
        <v>0</v>
      </c>
      <c r="AX230" s="2406"/>
      <c r="AY230" s="2406">
        <f t="shared" si="192"/>
        <v>0</v>
      </c>
      <c r="AZ230" s="2406">
        <f t="shared" si="193"/>
        <v>0</v>
      </c>
    </row>
    <row r="231" spans="1:52">
      <c r="A231" s="2421" t="s">
        <v>2031</v>
      </c>
      <c r="B231" s="2405"/>
      <c r="C231" s="2432"/>
      <c r="D231" s="2433"/>
      <c r="E231" s="2433"/>
      <c r="F231" s="2433"/>
      <c r="G231" s="2433"/>
      <c r="H231" s="2433"/>
      <c r="I231" s="2433"/>
      <c r="J231" s="2433"/>
      <c r="K231" s="2433"/>
      <c r="L231" s="2433"/>
      <c r="M231" s="2433"/>
      <c r="N231" s="2427">
        <v>0</v>
      </c>
      <c r="O231" s="2427">
        <v>0</v>
      </c>
      <c r="P231" s="2434"/>
      <c r="Q231" s="2427">
        <v>0</v>
      </c>
      <c r="R231" s="2434"/>
      <c r="S231" s="2427">
        <v>695.50760079999998</v>
      </c>
      <c r="T231" s="2434"/>
      <c r="U231" s="2434"/>
      <c r="V231" s="2409">
        <f t="shared" si="194"/>
        <v>695.50760079999998</v>
      </c>
      <c r="W231" s="2410">
        <f t="shared" si="195"/>
        <v>0</v>
      </c>
      <c r="X231" s="2411">
        <v>0</v>
      </c>
      <c r="Y231" s="2411">
        <v>0</v>
      </c>
      <c r="Z231" s="2411">
        <f t="shared" si="181"/>
        <v>0</v>
      </c>
      <c r="AA231" s="2411">
        <v>0</v>
      </c>
      <c r="AB231" s="2411">
        <f t="shared" si="182"/>
        <v>0</v>
      </c>
      <c r="AC231" s="2411">
        <v>800.30361249999999</v>
      </c>
      <c r="AD231" s="2412">
        <f t="shared" si="183"/>
        <v>0</v>
      </c>
      <c r="AE231" s="2411"/>
      <c r="AF231" s="2411">
        <f t="shared" si="180"/>
        <v>800.30361249999999</v>
      </c>
      <c r="AG231" s="2411">
        <f t="shared" si="184"/>
        <v>0</v>
      </c>
      <c r="AH231" s="2412">
        <f>IFERROR(VLOOKUP($A231,F13_21_22!$B$14:$O$217,9,0),0)</f>
        <v>0</v>
      </c>
      <c r="AI231" s="2412">
        <f>IFERROR(VLOOKUP($A231,F13_21_22!$B$14:$O$217,10,0),0)</f>
        <v>0</v>
      </c>
      <c r="AJ231" s="2412">
        <f t="shared" si="185"/>
        <v>0</v>
      </c>
      <c r="AK231" s="2412">
        <f>IFERROR(VLOOKUP($A231,F13_21_22!$B$14:$O$217,11,0),0)</f>
        <v>0</v>
      </c>
      <c r="AL231" s="2401">
        <f t="shared" si="186"/>
        <v>0</v>
      </c>
      <c r="AM231" s="2412">
        <f>IFERROR(VLOOKUP($A231,F13_21_22!$B$14:$O$217,12,0),0)</f>
        <v>0</v>
      </c>
      <c r="AN231" s="2412">
        <f t="shared" si="187"/>
        <v>0</v>
      </c>
      <c r="AO231" s="2411"/>
      <c r="AP231" s="2411">
        <f t="shared" si="188"/>
        <v>0</v>
      </c>
      <c r="AQ231" s="2411">
        <f t="shared" si="189"/>
        <v>0</v>
      </c>
      <c r="AR231" s="2406">
        <f>IFERROR(VLOOKUP($A231,F13_22_23!$B$14:$O$215,9,0),0)</f>
        <v>0</v>
      </c>
      <c r="AS231" s="2406">
        <f>IFERROR(VLOOKUP($A231,F13_22_23!$B$14:$O$215,10,0),0)</f>
        <v>840.31879312500007</v>
      </c>
      <c r="AT231" s="2406">
        <f t="shared" si="190"/>
        <v>0</v>
      </c>
      <c r="AU231" s="2406">
        <f>IFERROR(VLOOKUP($A231,F13_22_23!$B$14:$O$215,11,0),0)</f>
        <v>0</v>
      </c>
      <c r="AV231" s="2406">
        <f t="shared" si="191"/>
        <v>0</v>
      </c>
      <c r="AW231" s="2406">
        <f>IFERROR(VLOOKUP($A231,F13_22_23!$B$14:$O$215,12,0),0)</f>
        <v>0</v>
      </c>
      <c r="AX231" s="2406"/>
      <c r="AY231" s="2406">
        <f t="shared" si="192"/>
        <v>840.31879312500007</v>
      </c>
      <c r="AZ231" s="2406">
        <f t="shared" si="193"/>
        <v>0</v>
      </c>
    </row>
    <row r="232" spans="1:52">
      <c r="A232" s="2421" t="s">
        <v>2210</v>
      </c>
      <c r="B232" s="2405"/>
      <c r="C232" s="2432"/>
      <c r="D232" s="2433"/>
      <c r="E232" s="2433"/>
      <c r="F232" s="2433"/>
      <c r="G232" s="2433"/>
      <c r="H232" s="2433"/>
      <c r="I232" s="2433"/>
      <c r="J232" s="2433"/>
      <c r="K232" s="2433"/>
      <c r="L232" s="2433"/>
      <c r="M232" s="2433"/>
      <c r="N232" s="2427">
        <v>0</v>
      </c>
      <c r="O232" s="2427">
        <v>0</v>
      </c>
      <c r="P232" s="2434"/>
      <c r="Q232" s="2427">
        <v>0</v>
      </c>
      <c r="R232" s="2434"/>
      <c r="S232" s="2427">
        <v>-3.4673770000000004</v>
      </c>
      <c r="T232" s="2434"/>
      <c r="U232" s="2434"/>
      <c r="V232" s="2409">
        <f t="shared" si="194"/>
        <v>-3.4673770000000004</v>
      </c>
      <c r="W232" s="2410">
        <f t="shared" si="195"/>
        <v>0</v>
      </c>
      <c r="X232" s="2411">
        <v>0</v>
      </c>
      <c r="Y232" s="2411">
        <v>0</v>
      </c>
      <c r="Z232" s="2411">
        <f t="shared" si="181"/>
        <v>0</v>
      </c>
      <c r="AA232" s="2411">
        <v>0</v>
      </c>
      <c r="AB232" s="2411">
        <f t="shared" si="182"/>
        <v>0</v>
      </c>
      <c r="AC232" s="2411">
        <v>-11.660676899999995</v>
      </c>
      <c r="AD232" s="2412">
        <f t="shared" si="183"/>
        <v>0</v>
      </c>
      <c r="AE232" s="2411"/>
      <c r="AF232" s="2411">
        <f t="shared" si="180"/>
        <v>-11.660676899999995</v>
      </c>
      <c r="AG232" s="2411">
        <f t="shared" si="184"/>
        <v>0</v>
      </c>
      <c r="AH232" s="2412">
        <f>IFERROR(VLOOKUP($A232,F13_21_22!$B$14:$O$217,9,0),0)</f>
        <v>0</v>
      </c>
      <c r="AI232" s="2412">
        <f>IFERROR(VLOOKUP($A232,F13_21_22!$B$14:$O$217,10,0),0)</f>
        <v>0</v>
      </c>
      <c r="AJ232" s="2412">
        <f t="shared" si="185"/>
        <v>0</v>
      </c>
      <c r="AK232" s="2412">
        <f>IFERROR(VLOOKUP($A232,F13_21_22!$B$14:$O$217,11,0),0)</f>
        <v>0</v>
      </c>
      <c r="AL232" s="2401">
        <f t="shared" si="186"/>
        <v>0</v>
      </c>
      <c r="AM232" s="2412">
        <f>F13_21_22!M210</f>
        <v>-39.6523234</v>
      </c>
      <c r="AN232" s="2412">
        <f t="shared" si="187"/>
        <v>0</v>
      </c>
      <c r="AO232" s="2411"/>
      <c r="AP232" s="2411">
        <f t="shared" si="188"/>
        <v>-39.6523234</v>
      </c>
      <c r="AQ232" s="2411">
        <f t="shared" si="189"/>
        <v>0</v>
      </c>
      <c r="AR232" s="2406">
        <f>IFERROR(VLOOKUP($A232,F13_22_23!$B$14:$O$215,9,0),0)</f>
        <v>0</v>
      </c>
      <c r="AS232" s="2406">
        <f>IFERROR(VLOOKUP($A232,F13_22_23!$B$14:$O$215,10,0),0)</f>
        <v>0</v>
      </c>
      <c r="AT232" s="2406">
        <f t="shared" si="190"/>
        <v>0</v>
      </c>
      <c r="AU232" s="2406">
        <f>IFERROR(VLOOKUP($A232,F13_22_23!$B$14:$O$215,11,0),0)</f>
        <v>0</v>
      </c>
      <c r="AV232" s="2406">
        <f t="shared" si="191"/>
        <v>0</v>
      </c>
      <c r="AW232" s="2406">
        <f>IFERROR(VLOOKUP($A232,F13_22_23!$B$14:$O$215,12,0),0)</f>
        <v>0</v>
      </c>
      <c r="AX232" s="2406"/>
      <c r="AY232" s="2406">
        <f t="shared" si="192"/>
        <v>0</v>
      </c>
      <c r="AZ232" s="2406">
        <f t="shared" si="193"/>
        <v>0</v>
      </c>
    </row>
    <row r="233" spans="1:52">
      <c r="A233" s="2421" t="s">
        <v>2009</v>
      </c>
      <c r="B233" s="2405"/>
      <c r="C233" s="2432"/>
      <c r="D233" s="2433"/>
      <c r="E233" s="2433"/>
      <c r="F233" s="2433"/>
      <c r="G233" s="2433"/>
      <c r="H233" s="2433"/>
      <c r="I233" s="2433"/>
      <c r="J233" s="2433"/>
      <c r="K233" s="2433"/>
      <c r="L233" s="2433"/>
      <c r="M233" s="2433"/>
      <c r="N233" s="2434"/>
      <c r="O233" s="2434"/>
      <c r="P233" s="2434"/>
      <c r="Q233" s="2434"/>
      <c r="R233" s="2434"/>
      <c r="S233" s="2434"/>
      <c r="T233" s="2434"/>
      <c r="U233" s="2434"/>
      <c r="V233" s="2409">
        <f t="shared" si="194"/>
        <v>0</v>
      </c>
      <c r="W233" s="2435"/>
      <c r="X233" s="2411">
        <v>0</v>
      </c>
      <c r="Y233" s="2411">
        <v>0</v>
      </c>
      <c r="Z233" s="2411">
        <f t="shared" si="181"/>
        <v>0</v>
      </c>
      <c r="AA233" s="2411">
        <v>0</v>
      </c>
      <c r="AB233" s="2411">
        <f t="shared" si="182"/>
        <v>0</v>
      </c>
      <c r="AC233" s="2411">
        <v>0</v>
      </c>
      <c r="AD233" s="2412">
        <f t="shared" si="183"/>
        <v>0</v>
      </c>
      <c r="AE233" s="2411"/>
      <c r="AF233" s="2411">
        <f t="shared" si="180"/>
        <v>0</v>
      </c>
      <c r="AG233" s="2411">
        <f t="shared" si="184"/>
        <v>0</v>
      </c>
      <c r="AH233" s="2412">
        <f>IFERROR(VLOOKUP($A233,F13_21_22!$B$14:$O$217,9,0),0)</f>
        <v>0</v>
      </c>
      <c r="AI233" s="2412">
        <f>IFERROR(VLOOKUP($A233,F13_21_22!$B$14:$O$217,10,0),0)</f>
        <v>0</v>
      </c>
      <c r="AJ233" s="2412">
        <f t="shared" si="185"/>
        <v>0</v>
      </c>
      <c r="AK233" s="2412">
        <f>IFERROR(VLOOKUP($A233,F13_21_22!$B$14:$O$217,11,0),0)</f>
        <v>0</v>
      </c>
      <c r="AL233" s="2401">
        <f t="shared" si="186"/>
        <v>0</v>
      </c>
      <c r="AM233" s="2412">
        <f>IFERROR(VLOOKUP($A233,F13_21_22!$B$14:$O$217,12,0),0)</f>
        <v>0</v>
      </c>
      <c r="AN233" s="2412">
        <f t="shared" si="187"/>
        <v>0</v>
      </c>
      <c r="AO233" s="2411"/>
      <c r="AP233" s="2411">
        <f t="shared" si="188"/>
        <v>0</v>
      </c>
      <c r="AQ233" s="2411">
        <f t="shared" si="189"/>
        <v>0</v>
      </c>
      <c r="AR233" s="2406">
        <f>IFERROR(VLOOKUP($A233,F13_22_23!$B$14:$O$215,9,0),0)</f>
        <v>0</v>
      </c>
      <c r="AS233" s="2406">
        <f>IFERROR(VLOOKUP($A233,F13_22_23!$B$14:$O$215,10,0),0)</f>
        <v>0</v>
      </c>
      <c r="AT233" s="2406">
        <f t="shared" si="190"/>
        <v>0</v>
      </c>
      <c r="AU233" s="2406">
        <f>IFERROR(VLOOKUP($A233,F13_22_23!$B$14:$O$215,11,0),0)</f>
        <v>0</v>
      </c>
      <c r="AV233" s="2406">
        <f t="shared" si="191"/>
        <v>0</v>
      </c>
      <c r="AW233" s="2406">
        <f>IFERROR(VLOOKUP($A233,F13_22_23!$B$14:$O$215,12,0),0)</f>
        <v>0</v>
      </c>
      <c r="AX233" s="2406"/>
      <c r="AY233" s="2406">
        <f t="shared" si="192"/>
        <v>0</v>
      </c>
      <c r="AZ233" s="2406">
        <f t="shared" si="193"/>
        <v>0</v>
      </c>
    </row>
    <row r="234" spans="1:52">
      <c r="A234" s="2421" t="s">
        <v>1811</v>
      </c>
      <c r="B234" s="2405"/>
      <c r="C234" s="2432"/>
      <c r="D234" s="2433"/>
      <c r="E234" s="2433"/>
      <c r="F234" s="2433"/>
      <c r="G234" s="2433"/>
      <c r="H234" s="2433"/>
      <c r="I234" s="2433"/>
      <c r="J234" s="2433"/>
      <c r="K234" s="2433"/>
      <c r="L234" s="2433"/>
      <c r="M234" s="2433"/>
      <c r="N234" s="2434"/>
      <c r="O234" s="2434"/>
      <c r="P234" s="2434"/>
      <c r="Q234" s="2434"/>
      <c r="R234" s="2434"/>
      <c r="S234" s="2434"/>
      <c r="T234" s="2434"/>
      <c r="U234" s="2434"/>
      <c r="V234" s="2409">
        <f t="shared" si="194"/>
        <v>0</v>
      </c>
      <c r="W234" s="2435"/>
      <c r="X234" s="2411">
        <v>0</v>
      </c>
      <c r="Y234" s="2411">
        <v>0</v>
      </c>
      <c r="Z234" s="2411">
        <f t="shared" si="181"/>
        <v>0</v>
      </c>
      <c r="AA234" s="2411">
        <v>0</v>
      </c>
      <c r="AB234" s="2411">
        <f t="shared" si="182"/>
        <v>0</v>
      </c>
      <c r="AC234" s="2411">
        <v>0</v>
      </c>
      <c r="AD234" s="2412">
        <f t="shared" si="183"/>
        <v>0</v>
      </c>
      <c r="AE234" s="2411"/>
      <c r="AF234" s="2411">
        <f t="shared" si="180"/>
        <v>0</v>
      </c>
      <c r="AG234" s="2411">
        <f t="shared" si="184"/>
        <v>0</v>
      </c>
      <c r="AH234" s="2412">
        <f>IFERROR(VLOOKUP($A234,F13_21_22!$B$14:$O$217,9,0),0)</f>
        <v>0</v>
      </c>
      <c r="AI234" s="2412">
        <f>IFERROR(VLOOKUP($A234,F13_21_22!$B$14:$O$217,10,0),0)</f>
        <v>0</v>
      </c>
      <c r="AJ234" s="2412">
        <f t="shared" si="185"/>
        <v>0</v>
      </c>
      <c r="AK234" s="2412">
        <f>IFERROR(VLOOKUP($A234,F13_21_22!$B$14:$O$217,11,0),0)</f>
        <v>0</v>
      </c>
      <c r="AL234" s="2401">
        <f t="shared" si="186"/>
        <v>0</v>
      </c>
      <c r="AM234" s="2412">
        <f>IFERROR(VLOOKUP($A234,F13_21_22!$B$14:$O$217,12,0),0)</f>
        <v>6014.4007346850003</v>
      </c>
      <c r="AN234" s="2412">
        <f t="shared" si="187"/>
        <v>0</v>
      </c>
      <c r="AO234" s="2411"/>
      <c r="AP234" s="2411">
        <f t="shared" si="188"/>
        <v>6014.4007346850003</v>
      </c>
      <c r="AQ234" s="2411">
        <f t="shared" si="189"/>
        <v>0</v>
      </c>
      <c r="AR234" s="2406">
        <f>IFERROR(VLOOKUP($A234,F13_22_23!$B$14:$O$215,9,0),0)</f>
        <v>0</v>
      </c>
      <c r="AS234" s="2406">
        <f>IFERROR(VLOOKUP($A234,F13_22_23!$B$14:$O$215,10,0),0)</f>
        <v>0</v>
      </c>
      <c r="AT234" s="2406">
        <f t="shared" si="190"/>
        <v>0</v>
      </c>
      <c r="AU234" s="2406">
        <f>IFERROR(VLOOKUP($A234,F13_22_23!$B$14:$O$215,11,0),0)</f>
        <v>0</v>
      </c>
      <c r="AV234" s="2406">
        <f t="shared" si="191"/>
        <v>0</v>
      </c>
      <c r="AW234" s="2406">
        <f>IFERROR(VLOOKUP($A234,F13_22_23!$B$14:$O$215,12,0),0)</f>
        <v>0</v>
      </c>
      <c r="AX234" s="2406"/>
      <c r="AY234" s="2406">
        <f t="shared" si="192"/>
        <v>0</v>
      </c>
      <c r="AZ234" s="2406">
        <f t="shared" si="193"/>
        <v>0</v>
      </c>
    </row>
    <row r="235" spans="1:52">
      <c r="A235" s="2421" t="s">
        <v>1822</v>
      </c>
      <c r="B235" s="2405"/>
      <c r="C235" s="2432"/>
      <c r="D235" s="2433"/>
      <c r="E235" s="2433"/>
      <c r="F235" s="2433"/>
      <c r="G235" s="2433"/>
      <c r="H235" s="2433"/>
      <c r="I235" s="2433"/>
      <c r="J235" s="2433"/>
      <c r="K235" s="2433"/>
      <c r="L235" s="2433"/>
      <c r="M235" s="2433"/>
      <c r="N235" s="2434"/>
      <c r="O235" s="2434"/>
      <c r="P235" s="2434"/>
      <c r="Q235" s="2434"/>
      <c r="R235" s="2434"/>
      <c r="S235" s="2434"/>
      <c r="T235" s="2434"/>
      <c r="U235" s="2434"/>
      <c r="V235" s="2434"/>
      <c r="W235" s="2435"/>
      <c r="X235" s="2411">
        <v>0</v>
      </c>
      <c r="Y235" s="2411">
        <v>0</v>
      </c>
      <c r="Z235" s="2411">
        <f t="shared" si="181"/>
        <v>0</v>
      </c>
      <c r="AA235" s="2411">
        <v>0</v>
      </c>
      <c r="AB235" s="2411">
        <f t="shared" si="182"/>
        <v>0</v>
      </c>
      <c r="AC235" s="2411">
        <v>0</v>
      </c>
      <c r="AD235" s="2412">
        <f t="shared" si="183"/>
        <v>0</v>
      </c>
      <c r="AE235" s="2411"/>
      <c r="AF235" s="2411">
        <f t="shared" si="180"/>
        <v>0</v>
      </c>
      <c r="AG235" s="2411">
        <f t="shared" si="184"/>
        <v>0</v>
      </c>
      <c r="AH235" s="2412">
        <f>IFERROR(VLOOKUP($A235,F13_21_22!$B$14:$O$217,9,0),0)</f>
        <v>0</v>
      </c>
      <c r="AI235" s="2412">
        <f>IFERROR(VLOOKUP($A235,F13_21_22!$B$14:$O$217,10,0),0)</f>
        <v>0</v>
      </c>
      <c r="AJ235" s="2412">
        <f t="shared" si="185"/>
        <v>0</v>
      </c>
      <c r="AK235" s="2412">
        <f>IFERROR(VLOOKUP($A235,F13_21_22!$B$14:$O$217,11,0),0)</f>
        <v>0</v>
      </c>
      <c r="AL235" s="2401">
        <f t="shared" si="186"/>
        <v>0</v>
      </c>
      <c r="AM235" s="2412">
        <f>IFERROR(VLOOKUP($A235,F13_21_22!$B$14:$O$217,12,0),0)</f>
        <v>0</v>
      </c>
      <c r="AN235" s="2412">
        <f t="shared" si="187"/>
        <v>0</v>
      </c>
      <c r="AO235" s="2411"/>
      <c r="AP235" s="2411">
        <f t="shared" si="188"/>
        <v>0</v>
      </c>
      <c r="AQ235" s="2411">
        <f t="shared" si="189"/>
        <v>0</v>
      </c>
      <c r="AR235" s="2406">
        <f>IFERROR(VLOOKUP($A235,F13_22_23!$B$14:$O$215,9,0),0)</f>
        <v>0</v>
      </c>
      <c r="AS235" s="2406">
        <f>IFERROR(VLOOKUP($A235,F13_22_23!$B$14:$O$215,10,0),0)</f>
        <v>0</v>
      </c>
      <c r="AT235" s="2406">
        <f t="shared" si="190"/>
        <v>0</v>
      </c>
      <c r="AU235" s="2406">
        <f>IFERROR(VLOOKUP($A235,F13_22_23!$B$14:$O$215,11,0),0)</f>
        <v>0</v>
      </c>
      <c r="AV235" s="2406">
        <f t="shared" si="191"/>
        <v>0</v>
      </c>
      <c r="AW235" s="2406">
        <f>IFERROR(VLOOKUP($A235,F13_22_23!$B$14:$O$215,12,0),0)</f>
        <v>0</v>
      </c>
      <c r="AX235" s="2406"/>
      <c r="AY235" s="2406">
        <f t="shared" si="192"/>
        <v>0</v>
      </c>
      <c r="AZ235" s="2406">
        <f t="shared" si="193"/>
        <v>0</v>
      </c>
    </row>
    <row r="236" spans="1:52">
      <c r="A236" s="2421" t="s">
        <v>1823</v>
      </c>
      <c r="B236" s="2405"/>
      <c r="C236" s="2432"/>
      <c r="D236" s="2433"/>
      <c r="E236" s="2433"/>
      <c r="F236" s="2433"/>
      <c r="G236" s="2433"/>
      <c r="H236" s="2433"/>
      <c r="I236" s="2433"/>
      <c r="J236" s="2433"/>
      <c r="K236" s="2433"/>
      <c r="L236" s="2433"/>
      <c r="M236" s="2433"/>
      <c r="N236" s="2434"/>
      <c r="O236" s="2434"/>
      <c r="P236" s="2434"/>
      <c r="Q236" s="2434"/>
      <c r="R236" s="2434"/>
      <c r="S236" s="2434">
        <v>1133.6702978999999</v>
      </c>
      <c r="T236" s="2434"/>
      <c r="U236" s="2434"/>
      <c r="V236" s="2409">
        <f t="shared" si="194"/>
        <v>1133.6702978999999</v>
      </c>
      <c r="W236" s="2434"/>
      <c r="X236" s="2411">
        <v>0</v>
      </c>
      <c r="Y236" s="2411">
        <v>0</v>
      </c>
      <c r="Z236" s="2411">
        <f t="shared" si="181"/>
        <v>0</v>
      </c>
      <c r="AA236" s="2411">
        <v>0</v>
      </c>
      <c r="AB236" s="2411">
        <f t="shared" si="182"/>
        <v>0</v>
      </c>
      <c r="AC236" s="2411">
        <v>4095.9651160000003</v>
      </c>
      <c r="AD236" s="2412">
        <f t="shared" si="183"/>
        <v>0</v>
      </c>
      <c r="AE236" s="2411"/>
      <c r="AF236" s="2411">
        <f t="shared" si="180"/>
        <v>4095.9651160000003</v>
      </c>
      <c r="AG236" s="2411">
        <f t="shared" si="184"/>
        <v>0</v>
      </c>
      <c r="AH236" s="2412">
        <f>IFERROR(VLOOKUP($A236,F13_21_22!$B$14:$O$217,9,0),0)</f>
        <v>0</v>
      </c>
      <c r="AI236" s="2412">
        <f>IFERROR(VLOOKUP($A236,F13_21_22!$B$14:$O$217,10,0),0)</f>
        <v>0</v>
      </c>
      <c r="AJ236" s="2412">
        <f t="shared" si="185"/>
        <v>0</v>
      </c>
      <c r="AK236" s="2412">
        <f>IFERROR(VLOOKUP($A236,F13_21_22!$B$14:$O$217,11,0),0)</f>
        <v>0</v>
      </c>
      <c r="AL236" s="2401">
        <f t="shared" si="186"/>
        <v>0</v>
      </c>
      <c r="AM236" s="2412">
        <f>IFERROR(VLOOKUP($A236,F13_21_22!$B$14:$O$217,12,0),0)</f>
        <v>0</v>
      </c>
      <c r="AN236" s="2412">
        <f t="shared" si="187"/>
        <v>0</v>
      </c>
      <c r="AO236" s="2411"/>
      <c r="AP236" s="2411">
        <f t="shared" si="188"/>
        <v>0</v>
      </c>
      <c r="AQ236" s="2411">
        <f t="shared" si="189"/>
        <v>0</v>
      </c>
      <c r="AR236" s="2406">
        <f>IFERROR(VLOOKUP($A236,F13_22_23!$B$14:$O$215,9,0),0)</f>
        <v>0</v>
      </c>
      <c r="AS236" s="2406">
        <f>IFERROR(VLOOKUP($A236,F13_22_23!$B$14:$O$215,10,0),0)</f>
        <v>0</v>
      </c>
      <c r="AT236" s="2406">
        <f t="shared" si="190"/>
        <v>0</v>
      </c>
      <c r="AU236" s="2406">
        <f>IFERROR(VLOOKUP($A236,F13_22_23!$B$14:$O$215,11,0),0)</f>
        <v>0</v>
      </c>
      <c r="AV236" s="2406">
        <f t="shared" si="191"/>
        <v>0</v>
      </c>
      <c r="AW236" s="2406">
        <f>IFERROR(VLOOKUP($A236,F13_22_23!$B$14:$O$215,12,0),0)</f>
        <v>0</v>
      </c>
      <c r="AX236" s="2406"/>
      <c r="AY236" s="2406">
        <f t="shared" si="192"/>
        <v>0</v>
      </c>
      <c r="AZ236" s="2406">
        <f t="shared" si="193"/>
        <v>0</v>
      </c>
    </row>
    <row r="237" spans="1:52" s="202" customFormat="1">
      <c r="A237" s="2420" t="s">
        <v>126</v>
      </c>
      <c r="B237" s="2809"/>
      <c r="C237" s="2436"/>
      <c r="D237" s="2437">
        <v>120301.24</v>
      </c>
      <c r="E237" s="2438"/>
      <c r="F237" s="2438"/>
      <c r="G237" s="2438"/>
      <c r="H237" s="2438"/>
      <c r="I237" s="2438"/>
      <c r="J237" s="2438"/>
      <c r="K237" s="2438"/>
      <c r="L237" s="2437">
        <v>46424.92</v>
      </c>
      <c r="M237" s="2437">
        <f>L237/D237*10</f>
        <v>3.8590558168810229</v>
      </c>
      <c r="N237" s="2439" t="e">
        <f>SUM(N173,N183,N194,N205,N227:N236,N177,N206:N225)</f>
        <v>#N/A</v>
      </c>
      <c r="O237" s="2439" t="e">
        <f>SUM(O173,O183,O194,O205,O210:O236,O178)</f>
        <v>#N/A</v>
      </c>
      <c r="P237" s="2440"/>
      <c r="Q237" s="2439" t="e">
        <f>SUM(Q173,Q183,Q194,Q205,Q210:Q236,Q177)</f>
        <v>#N/A</v>
      </c>
      <c r="R237" s="2440"/>
      <c r="S237" s="2439" t="e">
        <f>SUM(S173,S183,S194,S205,S210:S236,S177)</f>
        <v>#N/A</v>
      </c>
      <c r="T237" s="2440"/>
      <c r="U237" s="2440"/>
      <c r="V237" s="2439" t="e">
        <f>SUM(V173,V183,V194,V205,V210:V236,V177)</f>
        <v>#N/A</v>
      </c>
      <c r="W237" s="2440" t="e">
        <f>V237/N237*10</f>
        <v>#N/A</v>
      </c>
      <c r="X237" s="2401">
        <f>SUM(X173,X183,X194,X205,X210, X211, X220,X222, X234,X226)</f>
        <v>120580.33630003</v>
      </c>
      <c r="Y237" s="2401">
        <f>SUM(Y173,Y183,Y194,Y205,Y210, Y211, Y220,Y222, Y234,Y226)</f>
        <v>19418.919449233003</v>
      </c>
      <c r="Z237" s="2401">
        <f>IFERROR(Y237/X237*10,0)</f>
        <v>1.6104549087435389</v>
      </c>
      <c r="AA237" s="2401">
        <f>SUM(AA173,AA183,AA194,AA205,AA210, AA211, AA220,AA222, AA234,AA226)</f>
        <v>28617.465339021262</v>
      </c>
      <c r="AB237" s="2401">
        <f>IFERROR(AA237/X237*10,0)</f>
        <v>2.373311123284215</v>
      </c>
      <c r="AC237" s="2401">
        <f>SUM(AC173,AC183,AC194,AC205,AC210, AC211, AC220,AC222, AC234,AC226,AC230,AC232,AC227,AC228,AC229,AC231,AC236)</f>
        <v>11946.610600845732</v>
      </c>
      <c r="AD237" s="2401">
        <f>IFERROR(AC237/X237*10,0)</f>
        <v>0.99075943619198203</v>
      </c>
      <c r="AE237" s="2401">
        <f>SUM(AE173,AE183,AE194,AE205,AE210, AE211, AE220,AE222, AE234)</f>
        <v>0</v>
      </c>
      <c r="AF237" s="2401">
        <f>SUM(AF173,AF178,AF183,AF194,AF205,AF210:AF211,AF227:AF230,AF234,AF226,AF223,AF185,AF208,AF231,AF232,AF220,AF236)</f>
        <v>59982.995389100004</v>
      </c>
      <c r="AG237" s="2401">
        <f>IFERROR(AF237/X237*10,0)</f>
        <v>4.9745254682197366</v>
      </c>
      <c r="AH237" s="2401">
        <f>SUM(AH173,AH178,AH183,AH194,AH205,AH210:AH211,AH227:AH230,AH234,AH185,AH208,AH220)</f>
        <v>126119.41053212133</v>
      </c>
      <c r="AI237" s="2401">
        <f>SUM(AI173,AI178,AI183,AI194,AI205,AI210:AI211,AI227:AI230,AI234,AI185,AI208,AI220)</f>
        <v>22181.961524778413</v>
      </c>
      <c r="AJ237" s="2401">
        <f>IFERROR(AI237/AH237*10,0)</f>
        <v>1.758806311509749</v>
      </c>
      <c r="AK237" s="2401">
        <f>SUM(AK173,AK178,AK183,AK194,AK205,AK210:AK211,AK227:AK230,AK234,AK185,AK208,AK220)</f>
        <v>30149.798210061737</v>
      </c>
      <c r="AL237" s="2401">
        <f>AK237/AH237*10</f>
        <v>2.3905755730108562</v>
      </c>
      <c r="AM237" s="2401">
        <f>SUM(AM173,AM178,AM183,AM194,AM205,AM210:AM211,AM227:AM230,AM234,AM226,AM223,AM208,AM220,AM232,AM185)</f>
        <v>7362.6235354290011</v>
      </c>
      <c r="AN237" s="2412">
        <f>SUM(AN173,AN183,AN194,AN205,AN227:AN230)</f>
        <v>0.11811760912484325</v>
      </c>
      <c r="AO237" s="2401">
        <f ca="1">SUM(AO173,AO178,AO183,AO194,AO205,AO210:AO211,AO227:AO230,AO234)</f>
        <v>0</v>
      </c>
      <c r="AP237" s="2401">
        <f>SUM(AP173,AP178,AP183,AP194,AP205,AP210:AP211,AP227:AP230,AP234,AP226,AP223,AP185,AP208,AP220,AP232)</f>
        <v>59694.383270269158</v>
      </c>
      <c r="AQ237" s="2401">
        <f>AP237/AH237*10</f>
        <v>4.7331638340527773</v>
      </c>
      <c r="AR237" s="2401">
        <f>SUM(AR173,AR183,AR194,AR205,AR227:AR230,AR178,AR208)</f>
        <v>126526.88938254988</v>
      </c>
      <c r="AS237" s="2401">
        <f>SUM(AS173,AS183,AS194,AS205,AS211:AS231,AS208)</f>
        <v>32924.200910750129</v>
      </c>
      <c r="AT237" s="2401">
        <f>AS237/AR237*10</f>
        <v>2.6021505050365139</v>
      </c>
      <c r="AU237" s="2401">
        <f>SUM(AU173,AU183,AU194,AU205,AU211:AU231,AU178,AU208)</f>
        <v>31370.048345173396</v>
      </c>
      <c r="AV237" s="2401">
        <f>AU237/AR237*10</f>
        <v>2.4793187043686098</v>
      </c>
      <c r="AW237" s="2401">
        <f>SUM(AW173,AW183,AW194,AW205,AW227:AW230)</f>
        <v>0</v>
      </c>
      <c r="AX237" s="2401"/>
      <c r="AY237" s="2401">
        <f>SUM(AY173,AY183,AY194,AY205,AY227:AY231,AY178,AY208)</f>
        <v>64294.249255923525</v>
      </c>
      <c r="AZ237" s="2401">
        <f>AY237/AR237*10</f>
        <v>5.0814692094051237</v>
      </c>
    </row>
    <row r="238" spans="1:52">
      <c r="A238" s="2421"/>
      <c r="B238" s="2405"/>
      <c r="C238" s="734"/>
      <c r="D238" s="2441"/>
      <c r="E238" s="733"/>
      <c r="F238" s="733"/>
      <c r="G238" s="733"/>
      <c r="H238" s="733"/>
      <c r="I238" s="733"/>
      <c r="J238" s="733"/>
      <c r="K238" s="733"/>
      <c r="L238" s="2441"/>
      <c r="M238" s="2441"/>
      <c r="N238" s="2400"/>
      <c r="O238" s="2400"/>
      <c r="P238" s="2440"/>
      <c r="Q238" s="2400"/>
      <c r="R238" s="2440"/>
      <c r="S238" s="2400"/>
      <c r="T238" s="2440"/>
      <c r="U238" s="2440"/>
      <c r="V238" s="2400"/>
      <c r="W238" s="2440"/>
      <c r="X238" s="2412"/>
      <c r="Y238" s="2412"/>
      <c r="Z238" s="2412"/>
      <c r="AA238" s="2412"/>
      <c r="AB238" s="2412"/>
      <c r="AC238" s="2412"/>
      <c r="AD238" s="2412"/>
      <c r="AE238" s="2412"/>
      <c r="AF238" s="2412"/>
      <c r="AG238" s="2401"/>
      <c r="AH238" s="2412"/>
      <c r="AI238" s="2412"/>
      <c r="AJ238" s="2412"/>
      <c r="AK238" s="2412"/>
      <c r="AL238" s="2412"/>
      <c r="AM238" s="2412"/>
      <c r="AN238" s="2412"/>
      <c r="AO238" s="2412"/>
      <c r="AP238" s="2412"/>
      <c r="AQ238" s="2412"/>
      <c r="AR238" s="2442"/>
      <c r="AS238" s="2442"/>
      <c r="AT238" s="2443"/>
      <c r="AU238" s="2443"/>
      <c r="AV238" s="2443"/>
      <c r="AW238" s="2442"/>
      <c r="AX238" s="2442"/>
      <c r="AY238" s="2442"/>
      <c r="AZ238" s="2442"/>
    </row>
    <row r="239" spans="1:52" s="2350" customFormat="1">
      <c r="A239" s="2444"/>
      <c r="B239" s="2445"/>
      <c r="C239" s="2365"/>
      <c r="D239" s="1742"/>
      <c r="E239" s="1579"/>
      <c r="F239" s="1579"/>
      <c r="G239" s="1579"/>
      <c r="H239" s="1579"/>
      <c r="I239" s="1579"/>
      <c r="J239" s="1579"/>
      <c r="K239" s="1579"/>
      <c r="L239" s="1742"/>
      <c r="M239" s="1742"/>
      <c r="N239" s="2446"/>
      <c r="O239" s="2446"/>
      <c r="P239" s="2447"/>
      <c r="Q239" s="2446"/>
      <c r="R239" s="2447"/>
      <c r="S239" s="2446"/>
      <c r="T239" s="2447"/>
      <c r="U239" s="2447"/>
      <c r="V239" s="2446"/>
      <c r="W239" s="2447"/>
      <c r="X239" s="1746"/>
      <c r="Y239" s="1746"/>
      <c r="Z239" s="1746"/>
      <c r="AA239" s="1746"/>
      <c r="AB239" s="1746"/>
      <c r="AC239" s="1746"/>
      <c r="AD239" s="1742"/>
      <c r="AE239" s="1742"/>
      <c r="AF239" s="1746"/>
      <c r="AG239" s="1746"/>
      <c r="AH239" s="2448"/>
      <c r="AI239" s="2449"/>
      <c r="AJ239" s="2450"/>
      <c r="AK239" s="2449"/>
      <c r="AL239" s="2448"/>
      <c r="AM239" s="2448"/>
      <c r="AN239" s="2448"/>
      <c r="AO239" s="2448"/>
      <c r="AP239" s="2448"/>
      <c r="AQ239" s="2448"/>
      <c r="AR239" s="2451"/>
      <c r="AS239" s="2451"/>
      <c r="AT239" s="2452"/>
      <c r="AU239" s="2451"/>
      <c r="AV239" s="2452"/>
      <c r="AW239" s="2451"/>
      <c r="AX239" s="2451"/>
      <c r="AY239" s="2451"/>
      <c r="AZ239" s="2451"/>
    </row>
    <row r="240" spans="1:52" s="2350" customFormat="1" hidden="1">
      <c r="A240" s="2444" t="s">
        <v>2211</v>
      </c>
      <c r="B240" s="2445"/>
      <c r="C240" s="2365"/>
      <c r="D240" s="1742"/>
      <c r="E240" s="1579"/>
      <c r="F240" s="1579"/>
      <c r="G240" s="1579"/>
      <c r="H240" s="1579"/>
      <c r="I240" s="1579"/>
      <c r="J240" s="1579"/>
      <c r="K240" s="1579"/>
      <c r="L240" s="2371"/>
      <c r="M240" s="1742"/>
      <c r="N240" s="2446"/>
      <c r="O240" s="2446"/>
      <c r="P240" s="2447"/>
      <c r="Q240" s="2446"/>
      <c r="R240" s="2447"/>
      <c r="S240" s="2446"/>
      <c r="T240" s="2447"/>
      <c r="U240" s="2447"/>
      <c r="V240" s="2453">
        <v>70.717834300000007</v>
      </c>
      <c r="W240" s="2447"/>
      <c r="X240" s="1746"/>
      <c r="Y240" s="1746"/>
      <c r="Z240" s="1746"/>
      <c r="AA240" s="1746"/>
      <c r="AB240" s="1746"/>
      <c r="AC240" s="1746"/>
      <c r="AD240" s="1742"/>
      <c r="AE240" s="1742"/>
      <c r="AF240" s="1746"/>
      <c r="AG240" s="1746"/>
      <c r="AH240" s="2448">
        <f>AH237-F13_21_22!J219</f>
        <v>0</v>
      </c>
      <c r="AI240" s="1746">
        <f>AI237-F13_21_22!K219</f>
        <v>0</v>
      </c>
      <c r="AJ240" s="2448"/>
      <c r="AK240" s="1746">
        <f>AK237-F13_21_22!L219</f>
        <v>0</v>
      </c>
      <c r="AL240" s="2448"/>
      <c r="AM240" s="2448">
        <f>AM237-F13_21_22!M219</f>
        <v>0</v>
      </c>
      <c r="AN240" s="2448"/>
      <c r="AO240" s="2448"/>
      <c r="AP240" s="2448">
        <f>AP237-F13_21_22!N219</f>
        <v>0</v>
      </c>
      <c r="AQ240" s="2448"/>
      <c r="AR240" s="2451"/>
      <c r="AS240" s="2451"/>
      <c r="AT240" s="2452"/>
      <c r="AU240" s="2452"/>
      <c r="AV240" s="2452"/>
      <c r="AW240" s="2451"/>
      <c r="AX240" s="2451"/>
      <c r="AY240" s="2451"/>
      <c r="AZ240" s="2451"/>
    </row>
    <row r="241" spans="1:52" s="2350" customFormat="1" hidden="1">
      <c r="A241" s="2444" t="s">
        <v>2212</v>
      </c>
      <c r="B241" s="2445"/>
      <c r="C241" s="2365"/>
      <c r="D241" s="1742"/>
      <c r="E241" s="1579"/>
      <c r="F241" s="1579"/>
      <c r="G241" s="1579"/>
      <c r="H241" s="1579"/>
      <c r="I241" s="1579"/>
      <c r="J241" s="1579"/>
      <c r="K241" s="1579"/>
      <c r="L241" s="2371"/>
      <c r="M241" s="1742"/>
      <c r="N241" s="2453">
        <v>216.36844600000001</v>
      </c>
      <c r="O241" s="2446"/>
      <c r="P241" s="2447"/>
      <c r="Q241" s="2446"/>
      <c r="R241" s="2447"/>
      <c r="S241" s="2446"/>
      <c r="T241" s="2447"/>
      <c r="U241" s="2447"/>
      <c r="V241" s="2453">
        <v>12.960051099999999</v>
      </c>
      <c r="W241" s="2447"/>
      <c r="X241" s="1746"/>
      <c r="Y241" s="1746"/>
      <c r="Z241" s="1746"/>
      <c r="AA241" s="1746"/>
      <c r="AB241" s="1746"/>
      <c r="AC241" s="1746"/>
      <c r="AD241" s="1742"/>
      <c r="AE241" s="1742"/>
      <c r="AF241" s="1746"/>
      <c r="AG241" s="1746"/>
      <c r="AH241" s="2448"/>
      <c r="AI241" s="1746"/>
      <c r="AJ241" s="2448"/>
      <c r="AK241" s="1746"/>
      <c r="AL241" s="2448"/>
      <c r="AM241" s="2448"/>
      <c r="AN241" s="2448"/>
      <c r="AO241" s="2448"/>
      <c r="AP241" s="2448"/>
      <c r="AQ241" s="2448"/>
      <c r="AR241" s="2451"/>
      <c r="AS241" s="2451"/>
      <c r="AT241" s="2452"/>
      <c r="AU241" s="2452"/>
      <c r="AV241" s="2452"/>
      <c r="AW241" s="2451"/>
      <c r="AX241" s="2451"/>
      <c r="AY241" s="2451">
        <f>AY237-F13B_22_23_ARR!EN211</f>
        <v>2.5586632546037436E-7</v>
      </c>
      <c r="AZ241" s="2451"/>
    </row>
    <row r="242" spans="1:52" s="2350" customFormat="1" hidden="1">
      <c r="A242" s="2444" t="s">
        <v>2213</v>
      </c>
      <c r="B242" s="2445"/>
      <c r="C242" s="2365"/>
      <c r="D242" s="1742"/>
      <c r="E242" s="1579"/>
      <c r="F242" s="1579"/>
      <c r="G242" s="1579"/>
      <c r="H242" s="1579"/>
      <c r="I242" s="1579"/>
      <c r="J242" s="1579"/>
      <c r="K242" s="1579"/>
      <c r="L242" s="2371"/>
      <c r="M242" s="1742"/>
      <c r="N242" s="2446"/>
      <c r="O242" s="2446"/>
      <c r="P242" s="2447"/>
      <c r="Q242" s="2446"/>
      <c r="R242" s="2447"/>
      <c r="S242" s="2446"/>
      <c r="T242" s="2447"/>
      <c r="U242" s="2447"/>
      <c r="V242" s="2453">
        <v>17.9063795</v>
      </c>
      <c r="W242" s="2447"/>
      <c r="X242" s="1746"/>
      <c r="Y242" s="1746"/>
      <c r="Z242" s="1746"/>
      <c r="AA242" s="1746"/>
      <c r="AB242" s="1746"/>
      <c r="AC242" s="1746"/>
      <c r="AD242" s="1742"/>
      <c r="AE242" s="1742"/>
      <c r="AF242" s="1746"/>
      <c r="AG242" s="1746"/>
      <c r="AH242" s="2448"/>
      <c r="AI242" s="1746"/>
      <c r="AJ242" s="2448"/>
      <c r="AK242" s="1746"/>
      <c r="AL242" s="2448"/>
      <c r="AM242" s="2448"/>
      <c r="AN242" s="2448"/>
      <c r="AO242" s="2448"/>
      <c r="AP242" s="2448"/>
      <c r="AQ242" s="2448"/>
      <c r="AR242" s="2451"/>
      <c r="AS242" s="2451"/>
      <c r="AT242" s="2452"/>
      <c r="AU242" s="2452"/>
      <c r="AV242" s="2452"/>
      <c r="AW242" s="2451"/>
      <c r="AX242" s="2451"/>
      <c r="AY242" s="2451"/>
      <c r="AZ242" s="2451"/>
    </row>
    <row r="243" spans="1:52" s="2350" customFormat="1" hidden="1">
      <c r="A243" s="2444" t="s">
        <v>2214</v>
      </c>
      <c r="B243" s="2445"/>
      <c r="C243" s="2365"/>
      <c r="D243" s="1742"/>
      <c r="E243" s="1579"/>
      <c r="F243" s="1579"/>
      <c r="G243" s="1579"/>
      <c r="H243" s="1579"/>
      <c r="I243" s="1579"/>
      <c r="J243" s="1579"/>
      <c r="K243" s="1579"/>
      <c r="L243" s="2371"/>
      <c r="M243" s="1742"/>
      <c r="N243" s="2446"/>
      <c r="O243" s="2446"/>
      <c r="P243" s="2447"/>
      <c r="Q243" s="2446"/>
      <c r="R243" s="2447"/>
      <c r="S243" s="2446"/>
      <c r="T243" s="2447"/>
      <c r="U243" s="2447"/>
      <c r="V243" s="2453">
        <v>105.98201640000001</v>
      </c>
      <c r="W243" s="2447"/>
      <c r="X243" s="1746"/>
      <c r="Y243" s="1746"/>
      <c r="Z243" s="1746"/>
      <c r="AA243" s="1746"/>
      <c r="AB243" s="1746"/>
      <c r="AC243" s="1746"/>
      <c r="AD243" s="1742"/>
      <c r="AE243" s="1742"/>
      <c r="AF243" s="1746"/>
      <c r="AG243" s="1746"/>
      <c r="AH243" s="2448"/>
      <c r="AI243" s="1746"/>
      <c r="AJ243" s="2448"/>
      <c r="AK243" s="1746"/>
      <c r="AL243" s="2448"/>
      <c r="AM243" s="2448"/>
      <c r="AN243" s="2448"/>
      <c r="AO243" s="2448"/>
      <c r="AP243" s="2448"/>
      <c r="AQ243" s="2448"/>
      <c r="AR243" s="2451"/>
      <c r="AS243" s="2451"/>
      <c r="AT243" s="2452"/>
      <c r="AU243" s="2452"/>
      <c r="AV243" s="2452"/>
      <c r="AW243" s="2451"/>
      <c r="AX243" s="2451"/>
      <c r="AY243" s="2451"/>
      <c r="AZ243" s="2451"/>
    </row>
    <row r="244" spans="1:52" s="2350" customFormat="1" hidden="1">
      <c r="A244" s="2444" t="s">
        <v>2215</v>
      </c>
      <c r="B244" s="2445"/>
      <c r="C244" s="2365"/>
      <c r="D244" s="1742"/>
      <c r="E244" s="1579"/>
      <c r="F244" s="1579"/>
      <c r="G244" s="1579"/>
      <c r="H244" s="1579"/>
      <c r="I244" s="1579"/>
      <c r="J244" s="1579"/>
      <c r="K244" s="1579"/>
      <c r="L244" s="2371"/>
      <c r="M244" s="1742"/>
      <c r="N244" s="2446"/>
      <c r="O244" s="2446"/>
      <c r="P244" s="2447"/>
      <c r="Q244" s="2446"/>
      <c r="R244" s="2447"/>
      <c r="S244" s="2446"/>
      <c r="T244" s="2447"/>
      <c r="U244" s="2447"/>
      <c r="V244" s="2453">
        <v>238.15450200000001</v>
      </c>
      <c r="W244" s="2447"/>
      <c r="X244" s="1746"/>
      <c r="Y244" s="1746"/>
      <c r="Z244" s="1746"/>
      <c r="AA244" s="1746"/>
      <c r="AB244" s="1746"/>
      <c r="AC244" s="1746"/>
      <c r="AD244" s="1742"/>
      <c r="AE244" s="1742"/>
      <c r="AF244" s="1746"/>
      <c r="AG244" s="1746"/>
      <c r="AH244" s="2448"/>
      <c r="AI244" s="1746"/>
      <c r="AJ244" s="2448"/>
      <c r="AK244" s="1746"/>
      <c r="AL244" s="2448"/>
      <c r="AM244" s="2448"/>
      <c r="AN244" s="2448"/>
      <c r="AO244" s="2448"/>
      <c r="AP244" s="2448"/>
      <c r="AQ244" s="2448"/>
      <c r="AR244" s="2451"/>
      <c r="AS244" s="2451"/>
      <c r="AT244" s="2452"/>
      <c r="AU244" s="2452"/>
      <c r="AV244" s="2452"/>
      <c r="AW244" s="2451"/>
      <c r="AX244" s="2451"/>
      <c r="AY244" s="2451"/>
      <c r="AZ244" s="2451"/>
    </row>
    <row r="245" spans="1:52" s="2350" customFormat="1" hidden="1">
      <c r="A245" s="2444" t="s">
        <v>2216</v>
      </c>
      <c r="B245" s="2445"/>
      <c r="C245" s="2365"/>
      <c r="D245" s="1742"/>
      <c r="E245" s="1579"/>
      <c r="F245" s="1579"/>
      <c r="G245" s="1579"/>
      <c r="H245" s="1579"/>
      <c r="I245" s="1579"/>
      <c r="J245" s="1579"/>
      <c r="K245" s="1579"/>
      <c r="L245" s="2371"/>
      <c r="M245" s="1742"/>
      <c r="N245" s="2446"/>
      <c r="O245" s="2446"/>
      <c r="P245" s="2447"/>
      <c r="Q245" s="2446"/>
      <c r="R245" s="2447"/>
      <c r="S245" s="2446"/>
      <c r="T245" s="2447"/>
      <c r="U245" s="2447"/>
      <c r="V245" s="2453">
        <v>32.106204900000002</v>
      </c>
      <c r="W245" s="2447"/>
      <c r="X245" s="1746"/>
      <c r="Y245" s="1746"/>
      <c r="Z245" s="1746"/>
      <c r="AA245" s="1746"/>
      <c r="AB245" s="1746"/>
      <c r="AC245" s="1746"/>
      <c r="AD245" s="1742"/>
      <c r="AE245" s="1742"/>
      <c r="AF245" s="1746"/>
      <c r="AG245" s="1746"/>
      <c r="AH245" s="2448"/>
      <c r="AI245" s="1746"/>
      <c r="AJ245" s="2448"/>
      <c r="AK245" s="1746"/>
      <c r="AL245" s="2448"/>
      <c r="AM245" s="2448"/>
      <c r="AN245" s="2448"/>
      <c r="AO245" s="2448"/>
      <c r="AP245" s="2448"/>
      <c r="AQ245" s="2448"/>
      <c r="AR245" s="2451"/>
      <c r="AS245" s="2451"/>
      <c r="AT245" s="2452"/>
      <c r="AU245" s="2452"/>
      <c r="AV245" s="2452"/>
      <c r="AW245" s="2451"/>
      <c r="AX245" s="2451"/>
      <c r="AY245" s="2451"/>
      <c r="AZ245" s="2451"/>
    </row>
    <row r="246" spans="1:52" s="2350" customFormat="1" hidden="1">
      <c r="A246" s="2444" t="s">
        <v>2217</v>
      </c>
      <c r="B246" s="2445"/>
      <c r="C246" s="2365"/>
      <c r="D246" s="1742"/>
      <c r="E246" s="1579"/>
      <c r="F246" s="1579"/>
      <c r="G246" s="1579"/>
      <c r="H246" s="1579"/>
      <c r="I246" s="1579"/>
      <c r="J246" s="1579"/>
      <c r="K246" s="1579"/>
      <c r="L246" s="2371"/>
      <c r="M246" s="1742"/>
      <c r="N246" s="2446"/>
      <c r="O246" s="2446"/>
      <c r="P246" s="2447"/>
      <c r="Q246" s="2446"/>
      <c r="R246" s="2447"/>
      <c r="S246" s="2446"/>
      <c r="T246" s="2447"/>
      <c r="U246" s="2447"/>
      <c r="V246" s="2453">
        <v>-3.3116810000000001</v>
      </c>
      <c r="W246" s="2447"/>
      <c r="X246" s="1746"/>
      <c r="Y246" s="1746"/>
      <c r="Z246" s="1746"/>
      <c r="AA246" s="1746"/>
      <c r="AB246" s="1746"/>
      <c r="AC246" s="1746"/>
      <c r="AD246" s="1742"/>
      <c r="AE246" s="1742"/>
      <c r="AF246" s="1746"/>
      <c r="AG246" s="1746"/>
      <c r="AH246" s="2448"/>
      <c r="AI246" s="1746"/>
      <c r="AJ246" s="2448"/>
      <c r="AK246" s="1746"/>
      <c r="AL246" s="2448"/>
      <c r="AM246" s="2448"/>
      <c r="AN246" s="2448"/>
      <c r="AO246" s="2448"/>
      <c r="AP246" s="2448"/>
      <c r="AQ246" s="2448"/>
      <c r="AR246" s="2451"/>
      <c r="AS246" s="2451"/>
      <c r="AT246" s="2452"/>
      <c r="AU246" s="2452"/>
      <c r="AV246" s="2452"/>
      <c r="AW246" s="2451"/>
      <c r="AX246" s="2451"/>
      <c r="AY246" s="2451"/>
      <c r="AZ246" s="2451"/>
    </row>
    <row r="247" spans="1:52" s="2350" customFormat="1" hidden="1">
      <c r="A247" s="2444" t="s">
        <v>2218</v>
      </c>
      <c r="B247" s="2445"/>
      <c r="C247" s="2365"/>
      <c r="D247" s="1742"/>
      <c r="E247" s="1579"/>
      <c r="F247" s="1579"/>
      <c r="G247" s="1579"/>
      <c r="H247" s="1579"/>
      <c r="I247" s="1579"/>
      <c r="J247" s="1579"/>
      <c r="K247" s="1579"/>
      <c r="L247" s="2371"/>
      <c r="M247" s="1742"/>
      <c r="N247" s="2446"/>
      <c r="O247" s="2446"/>
      <c r="P247" s="2447"/>
      <c r="Q247" s="2446"/>
      <c r="R247" s="2447"/>
      <c r="S247" s="2446"/>
      <c r="T247" s="2447"/>
      <c r="U247" s="2447"/>
      <c r="V247" s="2453">
        <v>55.649207799999999</v>
      </c>
      <c r="W247" s="2447"/>
      <c r="X247" s="1746"/>
      <c r="Y247" s="1746"/>
      <c r="Z247" s="1746"/>
      <c r="AA247" s="1746"/>
      <c r="AB247" s="1746"/>
      <c r="AC247" s="1746"/>
      <c r="AD247" s="1742"/>
      <c r="AE247" s="1742"/>
      <c r="AF247" s="1746"/>
      <c r="AG247" s="1746"/>
      <c r="AH247" s="2448"/>
      <c r="AI247" s="1746"/>
      <c r="AJ247" s="2448"/>
      <c r="AK247" s="1746"/>
      <c r="AL247" s="2448"/>
      <c r="AM247" s="2448"/>
      <c r="AN247" s="2448"/>
      <c r="AO247" s="2448"/>
      <c r="AP247" s="2448"/>
      <c r="AQ247" s="2448"/>
      <c r="AR247" s="2451"/>
      <c r="AS247" s="2451"/>
      <c r="AT247" s="2452"/>
      <c r="AU247" s="2452"/>
      <c r="AV247" s="2452"/>
      <c r="AW247" s="2451"/>
      <c r="AX247" s="2451"/>
      <c r="AY247" s="2451"/>
      <c r="AZ247" s="2451"/>
    </row>
    <row r="248" spans="1:52" s="2350" customFormat="1" hidden="1">
      <c r="A248" s="2444" t="s">
        <v>211</v>
      </c>
      <c r="B248" s="2445"/>
      <c r="C248" s="2365"/>
      <c r="D248" s="1742"/>
      <c r="E248" s="1579"/>
      <c r="F248" s="1579"/>
      <c r="G248" s="1579"/>
      <c r="H248" s="1579"/>
      <c r="I248" s="1579"/>
      <c r="J248" s="1579"/>
      <c r="K248" s="1579"/>
      <c r="L248" s="1742"/>
      <c r="M248" s="1742"/>
      <c r="N248" s="2454">
        <f>SUM(N241:N246)</f>
        <v>216.36844600000001</v>
      </c>
      <c r="O248" s="2446"/>
      <c r="P248" s="2447"/>
      <c r="Q248" s="2446"/>
      <c r="R248" s="2447"/>
      <c r="S248" s="2446"/>
      <c r="T248" s="2447"/>
      <c r="U248" s="2447"/>
      <c r="V248" s="2454">
        <f>SUM(V240:V247)</f>
        <v>530.16451499999994</v>
      </c>
      <c r="W248" s="2447"/>
      <c r="X248" s="1746"/>
      <c r="Y248" s="1746"/>
      <c r="Z248" s="1746"/>
      <c r="AA248" s="1746"/>
      <c r="AB248" s="1746"/>
      <c r="AC248" s="1746"/>
      <c r="AD248" s="1742"/>
      <c r="AE248" s="1742"/>
      <c r="AF248" s="1746"/>
      <c r="AG248" s="1746"/>
      <c r="AH248" s="2448"/>
      <c r="AI248" s="1746"/>
      <c r="AJ248" s="2448"/>
      <c r="AK248" s="1746"/>
      <c r="AL248" s="2448"/>
      <c r="AM248" s="2448"/>
      <c r="AN248" s="2448"/>
      <c r="AO248" s="2448"/>
      <c r="AP248" s="2448"/>
      <c r="AQ248" s="2448"/>
      <c r="AR248" s="2451"/>
      <c r="AS248" s="2451"/>
      <c r="AT248" s="2452"/>
      <c r="AU248" s="2452"/>
      <c r="AV248" s="2452"/>
      <c r="AW248" s="2451"/>
      <c r="AX248" s="2451"/>
      <c r="AY248" s="2451"/>
      <c r="AZ248" s="2451"/>
    </row>
    <row r="249" spans="1:52" s="2350" customFormat="1" hidden="1">
      <c r="A249" s="2455" t="s">
        <v>126</v>
      </c>
      <c r="B249" s="2456"/>
      <c r="C249" s="2457"/>
      <c r="D249" s="2458"/>
      <c r="E249" s="2459"/>
      <c r="F249" s="2459"/>
      <c r="G249" s="2459"/>
      <c r="H249" s="2459"/>
      <c r="I249" s="2459"/>
      <c r="J249" s="2459"/>
      <c r="K249" s="2459"/>
      <c r="L249" s="2458"/>
      <c r="M249" s="2458"/>
      <c r="N249" s="2460" t="e">
        <f>N237+N248</f>
        <v>#N/A</v>
      </c>
      <c r="O249" s="2460" t="e">
        <f t="shared" ref="O249:U249" si="196">O237+O248</f>
        <v>#N/A</v>
      </c>
      <c r="P249" s="2460">
        <f t="shared" si="196"/>
        <v>0</v>
      </c>
      <c r="Q249" s="2460" t="e">
        <f t="shared" si="196"/>
        <v>#N/A</v>
      </c>
      <c r="R249" s="2460">
        <f t="shared" si="196"/>
        <v>0</v>
      </c>
      <c r="S249" s="2460" t="e">
        <f t="shared" si="196"/>
        <v>#N/A</v>
      </c>
      <c r="T249" s="2460">
        <f t="shared" si="196"/>
        <v>0</v>
      </c>
      <c r="U249" s="2460">
        <f t="shared" si="196"/>
        <v>0</v>
      </c>
      <c r="V249" s="2460" t="e">
        <f>V237-V248</f>
        <v>#N/A</v>
      </c>
      <c r="W249" s="2461" t="e">
        <f>V249/N249*10</f>
        <v>#N/A</v>
      </c>
      <c r="X249" s="2462">
        <v>0</v>
      </c>
      <c r="Y249" s="2462">
        <v>0</v>
      </c>
      <c r="Z249" s="2462"/>
      <c r="AA249" s="2462">
        <v>0</v>
      </c>
      <c r="AB249" s="2462"/>
      <c r="AC249" s="2462">
        <v>0</v>
      </c>
      <c r="AD249" s="2458"/>
      <c r="AE249" s="2458"/>
      <c r="AF249" s="2462">
        <v>0</v>
      </c>
      <c r="AG249" s="2462"/>
      <c r="AH249" s="2463"/>
      <c r="AI249" s="2462"/>
      <c r="AJ249" s="2463"/>
      <c r="AK249" s="2462"/>
      <c r="AL249" s="2463"/>
      <c r="AM249" s="2463"/>
      <c r="AN249" s="2463"/>
      <c r="AO249" s="2463"/>
      <c r="AP249" s="2463"/>
      <c r="AQ249" s="2463"/>
      <c r="AR249" s="2464"/>
      <c r="AS249" s="2464"/>
      <c r="AT249" s="1736"/>
      <c r="AU249" s="1736"/>
      <c r="AV249" s="1736"/>
      <c r="AW249" s="2464"/>
      <c r="AX249" s="2464"/>
      <c r="AY249" s="2464"/>
      <c r="AZ249" s="2464"/>
    </row>
    <row r="250" spans="1:52" hidden="1">
      <c r="A250" s="2465"/>
      <c r="B250" s="2466"/>
      <c r="C250" s="2381"/>
      <c r="D250" s="2467"/>
      <c r="E250" s="2467"/>
      <c r="F250" s="2467"/>
      <c r="G250" s="2467"/>
      <c r="H250" s="2467"/>
      <c r="I250" s="2467"/>
      <c r="J250" s="2467"/>
      <c r="K250" s="2467"/>
      <c r="L250" s="2467"/>
      <c r="M250" s="2467"/>
      <c r="N250" s="2468"/>
      <c r="O250" s="2468"/>
      <c r="P250" s="2468"/>
      <c r="Q250" s="2468"/>
      <c r="R250" s="2468"/>
      <c r="S250" s="2468"/>
      <c r="T250" s="2468"/>
      <c r="U250" s="2468"/>
      <c r="V250" s="2468"/>
      <c r="W250" s="2468"/>
      <c r="X250" s="2469"/>
      <c r="Y250" s="2469"/>
      <c r="Z250" s="2469"/>
      <c r="AA250" s="2469"/>
      <c r="AB250" s="2469"/>
      <c r="AC250" s="2469"/>
      <c r="AD250" s="2469"/>
      <c r="AE250" s="2469"/>
      <c r="AF250" s="2469"/>
      <c r="AG250" s="2469"/>
      <c r="AH250" s="2470"/>
      <c r="AI250" s="2470"/>
      <c r="AJ250" s="2470"/>
      <c r="AK250" s="2470"/>
      <c r="AL250" s="2471"/>
      <c r="AM250" s="2472"/>
      <c r="AN250" s="2473"/>
      <c r="AO250" s="2473"/>
      <c r="AP250" s="2473"/>
      <c r="AQ250" s="2473"/>
      <c r="AR250" s="2474"/>
      <c r="AS250" s="2474"/>
      <c r="AT250" s="2474"/>
      <c r="AU250" s="2474"/>
      <c r="AV250" s="2474"/>
      <c r="AW250" s="2474"/>
      <c r="AX250" s="2474"/>
      <c r="AY250" s="2474"/>
      <c r="AZ250" s="2474"/>
    </row>
    <row r="251" spans="1:52" hidden="1">
      <c r="A251" s="2475" t="s">
        <v>2219</v>
      </c>
      <c r="B251" s="2466"/>
      <c r="C251" s="2381"/>
      <c r="D251" s="2467"/>
      <c r="E251" s="2467"/>
      <c r="F251" s="2467"/>
      <c r="G251" s="2467"/>
      <c r="H251" s="2467"/>
      <c r="I251" s="2467"/>
      <c r="J251" s="2467"/>
      <c r="K251" s="2467"/>
      <c r="L251" s="2467"/>
      <c r="M251" s="2467"/>
      <c r="N251" s="2468"/>
      <c r="O251" s="2468"/>
      <c r="P251" s="2468"/>
      <c r="Q251" s="2468"/>
      <c r="R251" s="2468"/>
      <c r="S251" s="2468"/>
      <c r="T251" s="2468"/>
      <c r="U251" s="2468"/>
      <c r="V251" s="2468"/>
      <c r="W251" s="2468"/>
      <c r="X251" s="2476"/>
      <c r="Y251" s="560"/>
      <c r="Z251" s="560"/>
      <c r="AA251" s="560"/>
      <c r="AB251" s="560"/>
      <c r="AC251" s="2476"/>
      <c r="AD251" s="560"/>
      <c r="AE251" s="560"/>
      <c r="AF251" s="560"/>
      <c r="AG251" s="560"/>
      <c r="AH251" s="2476"/>
      <c r="AI251" s="560"/>
      <c r="AJ251" s="560"/>
      <c r="AK251" s="560"/>
      <c r="AL251" s="560"/>
      <c r="AM251" s="560"/>
      <c r="AN251" s="560"/>
      <c r="AO251" s="560"/>
      <c r="AP251" s="560"/>
      <c r="AQ251" s="560"/>
      <c r="AR251" s="2476">
        <f>AR237-F13C!D141</f>
        <v>0</v>
      </c>
      <c r="AS251" s="560"/>
      <c r="AT251" s="560"/>
      <c r="AU251" s="560"/>
      <c r="AV251" s="560"/>
      <c r="AW251" s="560"/>
      <c r="AX251" s="560"/>
      <c r="AY251" s="560"/>
      <c r="AZ251" s="560"/>
    </row>
    <row r="252" spans="1:52" hidden="1">
      <c r="A252" s="2802" t="s">
        <v>2220</v>
      </c>
      <c r="B252" s="2477"/>
      <c r="C252" s="2477"/>
      <c r="D252" s="2477"/>
      <c r="E252" s="2477"/>
      <c r="F252" s="2477"/>
      <c r="G252" s="2477"/>
      <c r="H252" s="2477"/>
      <c r="I252" s="2477"/>
      <c r="J252" s="2477"/>
      <c r="K252" s="2477"/>
      <c r="L252" s="2477"/>
      <c r="M252" s="2477"/>
      <c r="N252" s="2478"/>
      <c r="O252" s="2478"/>
      <c r="P252" s="2478"/>
      <c r="Q252" s="2478"/>
      <c r="R252" s="2478"/>
      <c r="S252" s="2478"/>
      <c r="T252" s="2478"/>
      <c r="U252" s="2478"/>
      <c r="V252" s="2478"/>
      <c r="W252" s="2478"/>
      <c r="X252" s="2479"/>
      <c r="Y252" s="2479"/>
      <c r="Z252" s="2479"/>
      <c r="AA252" s="2479"/>
      <c r="AB252" s="2479"/>
      <c r="AC252" s="2479"/>
      <c r="AD252" s="2479"/>
      <c r="AE252" s="2479"/>
      <c r="AF252" s="2479"/>
      <c r="AG252" s="2479"/>
      <c r="AH252" s="2479">
        <f>AH237-F13_21_22!J219</f>
        <v>0</v>
      </c>
      <c r="AI252" s="2479">
        <f>AI237-F13_21_22!K219</f>
        <v>0</v>
      </c>
      <c r="AJ252" s="2479"/>
      <c r="AK252" s="2479"/>
      <c r="AL252" s="2479"/>
      <c r="AM252" s="2479"/>
      <c r="AN252" s="2479"/>
      <c r="AO252" s="2479"/>
      <c r="AP252" s="2479"/>
      <c r="AQ252" s="2479"/>
      <c r="AR252" s="2479"/>
      <c r="AS252" s="2479"/>
      <c r="AT252" s="2479"/>
      <c r="AU252" s="2479"/>
      <c r="AV252" s="2479"/>
      <c r="AW252" s="2479"/>
      <c r="AX252" s="2479"/>
      <c r="AY252" s="2479"/>
      <c r="AZ252" s="2479"/>
    </row>
    <row r="253" spans="1:52" hidden="1">
      <c r="A253" s="2802" t="s">
        <v>2197</v>
      </c>
      <c r="B253" s="2802"/>
      <c r="C253" s="2802"/>
      <c r="D253" s="2802"/>
      <c r="E253" s="2802"/>
      <c r="F253" s="2802"/>
      <c r="G253" s="2802"/>
      <c r="H253" s="2802"/>
      <c r="I253" s="2802"/>
      <c r="J253" s="2802"/>
      <c r="K253" s="2802"/>
      <c r="L253" s="2802"/>
      <c r="M253" s="2802"/>
      <c r="N253" s="2478"/>
      <c r="O253" s="2478"/>
      <c r="P253" s="2478"/>
      <c r="Q253" s="2478"/>
      <c r="R253" s="2478"/>
      <c r="S253" s="2478"/>
      <c r="T253" s="2478"/>
      <c r="U253" s="2478"/>
      <c r="V253" s="2478"/>
      <c r="W253" s="2478"/>
      <c r="X253" s="2480"/>
      <c r="Y253" s="2480"/>
      <c r="Z253" s="2480"/>
      <c r="AA253" s="2480"/>
      <c r="AB253" s="2480"/>
      <c r="AC253" s="2480"/>
      <c r="AD253" s="2480"/>
      <c r="AE253" s="2480"/>
      <c r="AF253" s="2480"/>
      <c r="AG253" s="2480"/>
      <c r="AH253" s="2480"/>
      <c r="AI253" s="2480"/>
      <c r="AJ253" s="2480"/>
      <c r="AK253" s="2480"/>
      <c r="AL253" s="2480"/>
      <c r="AM253" s="2480"/>
      <c r="AN253" s="2480"/>
      <c r="AO253" s="2480"/>
      <c r="AP253" s="2480"/>
      <c r="AQ253" s="2480"/>
      <c r="AR253" s="2480"/>
      <c r="AS253" s="2480"/>
      <c r="AT253" s="2480"/>
      <c r="AU253" s="2480"/>
      <c r="AV253" s="2480"/>
      <c r="AW253" s="2480"/>
      <c r="AX253" s="2480"/>
      <c r="AY253" s="2480"/>
      <c r="AZ253" s="2480"/>
    </row>
    <row r="254" spans="1:52" hidden="1">
      <c r="A254" s="3262" t="s">
        <v>2198</v>
      </c>
      <c r="B254" s="3262"/>
      <c r="C254" s="3262"/>
      <c r="D254" s="3262"/>
      <c r="E254" s="3262"/>
      <c r="F254" s="3262"/>
      <c r="G254" s="3262"/>
      <c r="H254" s="3262"/>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62"/>
      <c r="AD254" s="3262"/>
      <c r="AE254" s="3262"/>
      <c r="AF254" s="3262"/>
      <c r="AG254" s="3262"/>
      <c r="AH254" s="3262"/>
      <c r="AI254" s="3262"/>
      <c r="AJ254" s="3262"/>
      <c r="AK254" s="3262"/>
      <c r="AL254" s="3262"/>
      <c r="AM254" s="3262"/>
      <c r="AN254" s="3262"/>
      <c r="AO254" s="3262"/>
      <c r="AP254" s="3262"/>
      <c r="AQ254" s="3262"/>
      <c r="AR254" s="3262"/>
      <c r="AS254" s="3262"/>
      <c r="AT254" s="3262"/>
      <c r="AU254" s="3262"/>
      <c r="AV254" s="3262"/>
      <c r="AW254" s="3262"/>
      <c r="AX254" s="3262"/>
      <c r="AY254" s="3262"/>
      <c r="AZ254" s="3262"/>
    </row>
    <row r="255" spans="1:52" hidden="1"/>
    <row r="256" spans="1:52" hidden="1"/>
    <row r="257" spans="24:52" hidden="1">
      <c r="X257" s="2481">
        <v>118140.92794730818</v>
      </c>
      <c r="Y257" s="2481">
        <v>17953.139855586</v>
      </c>
      <c r="Z257" s="2481"/>
      <c r="AA257" s="2481">
        <v>28936.727870542501</v>
      </c>
      <c r="AB257" s="2481"/>
      <c r="AC257" s="2481">
        <v>7443.8122232639989</v>
      </c>
      <c r="AD257" s="2481"/>
      <c r="AE257" s="2481"/>
      <c r="AF257" s="2481">
        <v>54333.679949392499</v>
      </c>
      <c r="AG257" s="2481"/>
      <c r="AH257" s="2442">
        <f>AH237-AH250</f>
        <v>126119.41053212133</v>
      </c>
      <c r="AI257" s="2442">
        <f>AI237-AI250</f>
        <v>22181.961524778413</v>
      </c>
      <c r="AJ257" s="2442"/>
      <c r="AK257" s="2442">
        <f>AK237-AK250</f>
        <v>30149.798210061737</v>
      </c>
      <c r="AL257" s="2442"/>
      <c r="AM257" s="2442">
        <f>AM237-AM250</f>
        <v>7362.6235354290011</v>
      </c>
      <c r="AN257" s="2442"/>
      <c r="AO257" s="2442"/>
      <c r="AP257" s="2442">
        <f>AP237-AP250</f>
        <v>59694.383270269158</v>
      </c>
      <c r="AQ257" s="2442"/>
      <c r="AR257" s="2442">
        <f>AR237-AR250</f>
        <v>126526.88938254988</v>
      </c>
      <c r="AS257" s="2442">
        <f>AS237-AS250</f>
        <v>32924.200910750129</v>
      </c>
      <c r="AT257" s="2442"/>
      <c r="AU257" s="2442">
        <f>AU237-AU250</f>
        <v>31370.048345173396</v>
      </c>
      <c r="AV257" s="2442"/>
      <c r="AW257" s="2442">
        <f>AW237-AW250</f>
        <v>0</v>
      </c>
      <c r="AX257" s="2442"/>
      <c r="AY257" s="2442">
        <f>AY237-AY250</f>
        <v>64294.249255923525</v>
      </c>
      <c r="AZ257" s="2442"/>
    </row>
    <row r="258" spans="24:52" hidden="1"/>
    <row r="259" spans="24:52" hidden="1"/>
    <row r="260" spans="24:52" hidden="1"/>
    <row r="261" spans="24:52" hidden="1"/>
    <row r="262" spans="24:52" hidden="1"/>
    <row r="263" spans="24:52" hidden="1"/>
    <row r="264" spans="24:52" hidden="1"/>
    <row r="265" spans="24:52" hidden="1"/>
    <row r="266" spans="24:52" hidden="1"/>
    <row r="267" spans="24:52" hidden="1"/>
    <row r="268" spans="24:52" hidden="1"/>
    <row r="269" spans="24:52" hidden="1"/>
    <row r="270" spans="24:52" hidden="1"/>
    <row r="271" spans="24:52" hidden="1"/>
    <row r="272" spans="24:5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sheetData>
  <dataConsolidate>
    <dataRefs count="1">
      <dataRef ref="C29:E61" sheet="Summary" r:id="rId1"/>
    </dataRefs>
  </dataConsolidate>
  <mergeCells count="7">
    <mergeCell ref="A254:AZ254"/>
    <mergeCell ref="A2:M2"/>
    <mergeCell ref="D6:M6"/>
    <mergeCell ref="N6:W6"/>
    <mergeCell ref="X6:AG6"/>
    <mergeCell ref="AH6:AQ6"/>
    <mergeCell ref="AR6:AZ6"/>
  </mergeCells>
  <printOptions horizontalCentered="1" verticalCentered="1"/>
  <pageMargins left="0.19685039370078741" right="0.23622047244094491" top="0.74803149606299213" bottom="0.74803149606299213" header="0.31496062992125984" footer="0.31496062992125984"/>
  <pageSetup paperSize="9" scale="73" orientation="landscape" r:id="rId2"/>
  <headerFooter>
    <oddFooter>&amp;R&amp;P</oddFooter>
  </headerFooter>
  <colBreaks count="2" manualBreakCount="2">
    <brk id="33" max="1048575" man="1"/>
    <brk id="43"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92"/>
  <sheetViews>
    <sheetView view="pageBreakPreview" zoomScale="60" zoomScaleNormal="85" workbookViewId="0">
      <selection activeCell="C105" sqref="C105"/>
    </sheetView>
  </sheetViews>
  <sheetFormatPr defaultColWidth="9.1796875" defaultRowHeight="14.5"/>
  <cols>
    <col min="1" max="1" width="82" style="2585" bestFit="1" customWidth="1"/>
    <col min="2" max="2" width="36.26953125" style="1741" bestFit="1" customWidth="1"/>
    <col min="3" max="3" width="20" style="1741" customWidth="1"/>
    <col min="4" max="4" width="17.7265625" style="1741" customWidth="1"/>
    <col min="5" max="5" width="13.81640625" style="1741" customWidth="1"/>
    <col min="6" max="6" width="15" style="1741" customWidth="1"/>
    <col min="7" max="7" width="14.81640625" style="1741" customWidth="1"/>
    <col min="8" max="8" width="13.81640625" style="2580" customWidth="1"/>
    <col min="9" max="9" width="17" style="2580" customWidth="1"/>
    <col min="10" max="16384" width="9.1796875" style="442"/>
  </cols>
  <sheetData>
    <row r="1" spans="1:10" ht="15" customHeight="1">
      <c r="A1" s="3271" t="s">
        <v>2296</v>
      </c>
      <c r="B1" s="3271"/>
    </row>
    <row r="2" spans="1:10" ht="15" customHeight="1">
      <c r="A2" s="3272" t="s">
        <v>174</v>
      </c>
      <c r="B2" s="3272"/>
      <c r="C2" s="3273"/>
      <c r="D2" s="3272"/>
      <c r="E2" s="3272"/>
      <c r="F2" s="3272"/>
      <c r="G2" s="3272"/>
      <c r="H2" s="3274"/>
      <c r="I2" s="3274"/>
      <c r="J2" s="3272"/>
    </row>
    <row r="3" spans="1:10" ht="15" customHeight="1">
      <c r="A3" s="2581" t="s">
        <v>762</v>
      </c>
      <c r="B3" s="2582"/>
      <c r="C3" s="2582"/>
      <c r="D3" s="2582"/>
      <c r="E3" s="2582"/>
      <c r="F3" s="2582"/>
      <c r="G3" s="2582"/>
      <c r="H3" s="2583"/>
      <c r="I3" s="2583"/>
      <c r="J3" s="2584"/>
    </row>
    <row r="4" spans="1:10" ht="15" customHeight="1">
      <c r="C4" s="2586"/>
      <c r="D4" s="2586"/>
      <c r="E4" s="2586"/>
      <c r="F4" s="2586"/>
      <c r="G4" s="2586"/>
    </row>
    <row r="5" spans="1:10" ht="79.5" customHeight="1">
      <c r="A5" s="1225" t="s">
        <v>2297</v>
      </c>
      <c r="B5" s="1225" t="s">
        <v>2298</v>
      </c>
      <c r="C5" s="1225" t="s">
        <v>2299</v>
      </c>
      <c r="D5" s="1225" t="s">
        <v>2300</v>
      </c>
      <c r="E5" s="1225" t="s">
        <v>2301</v>
      </c>
      <c r="F5" s="1225" t="s">
        <v>2302</v>
      </c>
      <c r="G5" s="1225" t="s">
        <v>2303</v>
      </c>
      <c r="H5" s="2587" t="s">
        <v>2304</v>
      </c>
      <c r="I5" s="2587" t="s">
        <v>2305</v>
      </c>
    </row>
    <row r="6" spans="1:10" s="511" customFormat="1">
      <c r="A6" s="1365"/>
      <c r="B6" s="1740"/>
      <c r="C6" s="1740"/>
      <c r="D6" s="1740"/>
      <c r="E6" s="1740"/>
      <c r="F6" s="1740"/>
      <c r="G6" s="1740"/>
      <c r="H6" s="3275"/>
      <c r="I6" s="3275"/>
    </row>
    <row r="7" spans="1:10" ht="27" customHeight="1">
      <c r="A7" s="2588" t="s">
        <v>2306</v>
      </c>
      <c r="B7" s="2589" t="s">
        <v>2307</v>
      </c>
      <c r="C7" s="2590" t="s">
        <v>2308</v>
      </c>
      <c r="D7" s="2591" t="s">
        <v>2309</v>
      </c>
      <c r="E7" s="2592">
        <v>11</v>
      </c>
      <c r="F7" s="2591">
        <v>20</v>
      </c>
      <c r="G7" s="2590"/>
      <c r="H7" s="2589"/>
      <c r="I7" s="2589"/>
    </row>
    <row r="8" spans="1:10" ht="27" customHeight="1">
      <c r="A8" s="2593" t="s">
        <v>2310</v>
      </c>
      <c r="B8" s="2589" t="s">
        <v>2311</v>
      </c>
      <c r="C8" s="2590" t="s">
        <v>2308</v>
      </c>
      <c r="D8" s="2591" t="s">
        <v>2312</v>
      </c>
      <c r="E8" s="2592">
        <v>22.25</v>
      </c>
      <c r="F8" s="2591">
        <v>20</v>
      </c>
      <c r="G8" s="2590"/>
      <c r="H8" s="2589"/>
      <c r="I8" s="2589"/>
    </row>
    <row r="9" spans="1:10" ht="27" customHeight="1">
      <c r="A9" s="2593" t="s">
        <v>2313</v>
      </c>
      <c r="B9" s="2589" t="s">
        <v>2314</v>
      </c>
      <c r="C9" s="2590" t="s">
        <v>2308</v>
      </c>
      <c r="D9" s="2591" t="s">
        <v>2315</v>
      </c>
      <c r="E9" s="2592">
        <v>12</v>
      </c>
      <c r="F9" s="2591">
        <v>20</v>
      </c>
      <c r="G9" s="2590"/>
      <c r="H9" s="2589"/>
      <c r="I9" s="2589"/>
    </row>
    <row r="10" spans="1:10" ht="27" customHeight="1">
      <c r="A10" s="2593" t="s">
        <v>2316</v>
      </c>
      <c r="B10" s="2589" t="s">
        <v>2317</v>
      </c>
      <c r="C10" s="2590" t="s">
        <v>2308</v>
      </c>
      <c r="D10" s="2591" t="s">
        <v>2318</v>
      </c>
      <c r="E10" s="2594">
        <v>48.5</v>
      </c>
      <c r="F10" s="2591">
        <v>20</v>
      </c>
      <c r="G10" s="2590"/>
      <c r="H10" s="2589"/>
      <c r="I10" s="2589"/>
    </row>
    <row r="11" spans="1:10" ht="27" customHeight="1">
      <c r="A11" s="2593" t="s">
        <v>1895</v>
      </c>
      <c r="B11" s="2589" t="s">
        <v>2319</v>
      </c>
      <c r="C11" s="2590" t="s">
        <v>2308</v>
      </c>
      <c r="D11" s="2591" t="s">
        <v>2320</v>
      </c>
      <c r="E11" s="2592">
        <v>17.95</v>
      </c>
      <c r="F11" s="2591">
        <v>20</v>
      </c>
      <c r="G11" s="2590"/>
      <c r="H11" s="2589"/>
      <c r="I11" s="3276"/>
    </row>
    <row r="12" spans="1:10" ht="33.75" customHeight="1">
      <c r="A12" s="2593" t="s">
        <v>2321</v>
      </c>
      <c r="B12" s="2589" t="s">
        <v>2319</v>
      </c>
      <c r="C12" s="2590" t="s">
        <v>2308</v>
      </c>
      <c r="D12" s="2591" t="s">
        <v>2322</v>
      </c>
      <c r="E12" s="2592">
        <v>3</v>
      </c>
      <c r="F12" s="2591">
        <v>20</v>
      </c>
      <c r="G12" s="2590"/>
      <c r="H12" s="2589"/>
      <c r="I12" s="3277"/>
    </row>
    <row r="13" spans="1:10" ht="27" customHeight="1">
      <c r="A13" s="2593" t="s">
        <v>2323</v>
      </c>
      <c r="B13" s="2589" t="s">
        <v>2324</v>
      </c>
      <c r="C13" s="2590" t="s">
        <v>2308</v>
      </c>
      <c r="D13" s="2595" t="s">
        <v>2325</v>
      </c>
      <c r="E13" s="2591">
        <v>28</v>
      </c>
      <c r="F13" s="2591">
        <v>20</v>
      </c>
      <c r="G13" s="2590"/>
      <c r="H13" s="2589"/>
      <c r="I13" s="3276"/>
    </row>
    <row r="14" spans="1:10" ht="27" customHeight="1">
      <c r="A14" s="2593" t="s">
        <v>2326</v>
      </c>
      <c r="B14" s="2589" t="s">
        <v>2324</v>
      </c>
      <c r="C14" s="2590" t="s">
        <v>2308</v>
      </c>
      <c r="D14" s="2595" t="s">
        <v>2327</v>
      </c>
      <c r="E14" s="2591">
        <v>12</v>
      </c>
      <c r="F14" s="2591">
        <v>20</v>
      </c>
      <c r="G14" s="2590"/>
      <c r="H14" s="2589"/>
      <c r="I14" s="3277"/>
    </row>
    <row r="15" spans="1:10" ht="27" customHeight="1">
      <c r="A15" s="2593" t="s">
        <v>1903</v>
      </c>
      <c r="B15" s="2589" t="s">
        <v>2328</v>
      </c>
      <c r="C15" s="2590" t="s">
        <v>2308</v>
      </c>
      <c r="D15" s="2595" t="s">
        <v>2329</v>
      </c>
      <c r="E15" s="2592">
        <v>30</v>
      </c>
      <c r="F15" s="2591">
        <v>20</v>
      </c>
      <c r="G15" s="2590"/>
      <c r="H15" s="2589"/>
      <c r="I15" s="2589"/>
    </row>
    <row r="16" spans="1:10" ht="27" customHeight="1">
      <c r="A16" s="2593" t="s">
        <v>1915</v>
      </c>
      <c r="B16" s="2589" t="s">
        <v>2330</v>
      </c>
      <c r="C16" s="2590" t="s">
        <v>2308</v>
      </c>
      <c r="D16" s="2595" t="s">
        <v>2331</v>
      </c>
      <c r="E16" s="2592">
        <v>23</v>
      </c>
      <c r="F16" s="2591">
        <v>20</v>
      </c>
      <c r="G16" s="2590"/>
      <c r="H16" s="2589"/>
      <c r="I16" s="2589"/>
    </row>
    <row r="17" spans="1:9" ht="27" customHeight="1">
      <c r="A17" s="2593" t="s">
        <v>2332</v>
      </c>
      <c r="B17" s="2589" t="s">
        <v>2333</v>
      </c>
      <c r="C17" s="2590" t="s">
        <v>2308</v>
      </c>
      <c r="D17" s="2595" t="s">
        <v>2334</v>
      </c>
      <c r="E17" s="2594">
        <v>16.170000000000002</v>
      </c>
      <c r="F17" s="2591">
        <v>20</v>
      </c>
      <c r="G17" s="2590"/>
      <c r="H17" s="2589"/>
      <c r="I17" s="2589"/>
    </row>
    <row r="18" spans="1:9" ht="27" customHeight="1">
      <c r="A18" s="2593" t="s">
        <v>2335</v>
      </c>
      <c r="B18" s="2589" t="s">
        <v>2336</v>
      </c>
      <c r="C18" s="2590" t="s">
        <v>2308</v>
      </c>
      <c r="D18" s="2591" t="s">
        <v>2309</v>
      </c>
      <c r="E18" s="2594">
        <v>17</v>
      </c>
      <c r="F18" s="2591">
        <v>20</v>
      </c>
      <c r="G18" s="2590"/>
      <c r="H18" s="2589"/>
      <c r="I18" s="3276"/>
    </row>
    <row r="19" spans="1:9" ht="27" customHeight="1">
      <c r="A19" s="2593" t="s">
        <v>2332</v>
      </c>
      <c r="B19" s="2589" t="s">
        <v>2337</v>
      </c>
      <c r="C19" s="2590" t="s">
        <v>2308</v>
      </c>
      <c r="D19" s="2591" t="s">
        <v>2338</v>
      </c>
      <c r="E19" s="2594">
        <v>17</v>
      </c>
      <c r="F19" s="2591">
        <v>20</v>
      </c>
      <c r="G19" s="2590"/>
      <c r="H19" s="2589"/>
      <c r="I19" s="3277"/>
    </row>
    <row r="20" spans="1:9" ht="27" customHeight="1">
      <c r="A20" s="2593" t="s">
        <v>1901</v>
      </c>
      <c r="B20" s="2589" t="s">
        <v>2339</v>
      </c>
      <c r="C20" s="2590" t="s">
        <v>2308</v>
      </c>
      <c r="D20" s="2591" t="s">
        <v>2340</v>
      </c>
      <c r="E20" s="2592">
        <v>11</v>
      </c>
      <c r="F20" s="2591">
        <v>20</v>
      </c>
      <c r="G20" s="2590"/>
      <c r="H20" s="2589"/>
      <c r="I20" s="3276"/>
    </row>
    <row r="21" spans="1:9" ht="27" customHeight="1">
      <c r="A21" s="2593" t="s">
        <v>2341</v>
      </c>
      <c r="B21" s="2589" t="s">
        <v>2339</v>
      </c>
      <c r="C21" s="2590" t="s">
        <v>2308</v>
      </c>
      <c r="D21" s="2591" t="s">
        <v>2342</v>
      </c>
      <c r="E21" s="2592">
        <v>12</v>
      </c>
      <c r="F21" s="2591">
        <v>20</v>
      </c>
      <c r="G21" s="2590"/>
      <c r="H21" s="2589"/>
      <c r="I21" s="3277"/>
    </row>
    <row r="22" spans="1:9" ht="27" customHeight="1">
      <c r="A22" s="2593" t="s">
        <v>1894</v>
      </c>
      <c r="B22" s="2589" t="s">
        <v>2339</v>
      </c>
      <c r="C22" s="2590" t="s">
        <v>2308</v>
      </c>
      <c r="D22" s="2591" t="s">
        <v>2343</v>
      </c>
      <c r="E22" s="2592">
        <v>20</v>
      </c>
      <c r="F22" s="2591">
        <v>20</v>
      </c>
      <c r="G22" s="2590"/>
      <c r="H22" s="2589"/>
      <c r="I22" s="2589"/>
    </row>
    <row r="23" spans="1:9" ht="27" customHeight="1">
      <c r="A23" s="2596" t="s">
        <v>1936</v>
      </c>
      <c r="B23" s="2589" t="s">
        <v>2344</v>
      </c>
      <c r="C23" s="2590" t="s">
        <v>2308</v>
      </c>
      <c r="D23" s="2591"/>
      <c r="E23" s="2594">
        <v>23</v>
      </c>
      <c r="F23" s="2591">
        <v>20</v>
      </c>
      <c r="G23" s="2590"/>
      <c r="H23" s="2589"/>
      <c r="I23" s="2589"/>
    </row>
    <row r="24" spans="1:9" ht="27" customHeight="1">
      <c r="A24" s="2593" t="s">
        <v>1904</v>
      </c>
      <c r="B24" s="2589" t="s">
        <v>2345</v>
      </c>
      <c r="C24" s="2590" t="s">
        <v>2308</v>
      </c>
      <c r="D24" s="2591" t="s">
        <v>2346</v>
      </c>
      <c r="E24" s="2592">
        <v>19</v>
      </c>
      <c r="F24" s="2591">
        <v>20</v>
      </c>
      <c r="G24" s="2590"/>
      <c r="H24" s="2589"/>
      <c r="I24" s="2589"/>
    </row>
    <row r="25" spans="1:9" ht="27" customHeight="1">
      <c r="A25" s="2593" t="s">
        <v>1905</v>
      </c>
      <c r="B25" s="2589" t="s">
        <v>2347</v>
      </c>
      <c r="C25" s="2590" t="s">
        <v>2308</v>
      </c>
      <c r="D25" s="2591" t="s">
        <v>2348</v>
      </c>
      <c r="E25" s="2592">
        <v>11</v>
      </c>
      <c r="F25" s="2591">
        <v>20</v>
      </c>
      <c r="G25" s="2590"/>
      <c r="H25" s="2589"/>
      <c r="I25" s="2589"/>
    </row>
    <row r="26" spans="1:9" ht="27" customHeight="1">
      <c r="A26" s="2593" t="s">
        <v>1906</v>
      </c>
      <c r="B26" s="2589" t="s">
        <v>2349</v>
      </c>
      <c r="C26" s="2590" t="s">
        <v>2308</v>
      </c>
      <c r="D26" s="2591" t="s">
        <v>2348</v>
      </c>
      <c r="E26" s="2592">
        <v>17</v>
      </c>
      <c r="F26" s="2591">
        <v>20</v>
      </c>
      <c r="G26" s="2590"/>
      <c r="H26" s="2589"/>
      <c r="I26" s="2589"/>
    </row>
    <row r="27" spans="1:9" ht="27" customHeight="1">
      <c r="A27" s="2593" t="s">
        <v>1918</v>
      </c>
      <c r="B27" s="2589" t="s">
        <v>2350</v>
      </c>
      <c r="C27" s="2590" t="s">
        <v>2308</v>
      </c>
      <c r="D27" s="2591" t="s">
        <v>2351</v>
      </c>
      <c r="E27" s="2592">
        <v>26</v>
      </c>
      <c r="F27" s="2591">
        <v>20</v>
      </c>
      <c r="G27" s="2590"/>
      <c r="H27" s="2589"/>
      <c r="I27" s="2589"/>
    </row>
    <row r="28" spans="1:9" ht="27" customHeight="1">
      <c r="A28" s="2593" t="s">
        <v>2352</v>
      </c>
      <c r="B28" s="2589" t="s">
        <v>2353</v>
      </c>
      <c r="C28" s="2590" t="s">
        <v>2308</v>
      </c>
      <c r="D28" s="2591" t="s">
        <v>2354</v>
      </c>
      <c r="E28" s="2592">
        <v>19</v>
      </c>
      <c r="F28" s="2591">
        <v>20</v>
      </c>
      <c r="G28" s="2590"/>
      <c r="H28" s="2597"/>
      <c r="I28" s="3278"/>
    </row>
    <row r="29" spans="1:9" ht="27" customHeight="1">
      <c r="A29" s="2593" t="s">
        <v>2355</v>
      </c>
      <c r="B29" s="2589" t="s">
        <v>2356</v>
      </c>
      <c r="C29" s="2590" t="s">
        <v>2308</v>
      </c>
      <c r="D29" s="2591" t="s">
        <v>2357</v>
      </c>
      <c r="E29" s="2592">
        <v>16</v>
      </c>
      <c r="F29" s="2591">
        <v>20</v>
      </c>
      <c r="G29" s="2590"/>
      <c r="H29" s="2598"/>
      <c r="I29" s="3278"/>
    </row>
    <row r="30" spans="1:9" ht="27" customHeight="1">
      <c r="A30" s="2593" t="s">
        <v>1923</v>
      </c>
      <c r="B30" s="2589" t="s">
        <v>2358</v>
      </c>
      <c r="C30" s="2590" t="s">
        <v>2308</v>
      </c>
      <c r="D30" s="2591" t="s">
        <v>2309</v>
      </c>
      <c r="E30" s="2592">
        <v>10</v>
      </c>
      <c r="F30" s="2591">
        <v>20</v>
      </c>
      <c r="G30" s="2590"/>
      <c r="H30" s="2589"/>
      <c r="I30" s="2589"/>
    </row>
    <row r="31" spans="1:9" ht="27" customHeight="1">
      <c r="A31" s="2593" t="s">
        <v>2359</v>
      </c>
      <c r="B31" s="2589" t="s">
        <v>2360</v>
      </c>
      <c r="C31" s="2590" t="s">
        <v>2308</v>
      </c>
      <c r="D31" s="2591" t="s">
        <v>2361</v>
      </c>
      <c r="E31" s="2592">
        <v>20.399999999999999</v>
      </c>
      <c r="F31" s="2591">
        <v>20</v>
      </c>
      <c r="G31" s="2590"/>
      <c r="H31" s="2589"/>
      <c r="I31" s="2589"/>
    </row>
    <row r="32" spans="1:9" ht="27" customHeight="1">
      <c r="A32" s="2593" t="s">
        <v>2362</v>
      </c>
      <c r="B32" s="2589" t="s">
        <v>2363</v>
      </c>
      <c r="C32" s="2590" t="s">
        <v>2308</v>
      </c>
      <c r="D32" s="2591" t="s">
        <v>2364</v>
      </c>
      <c r="E32" s="2592">
        <v>27</v>
      </c>
      <c r="F32" s="2591">
        <v>20</v>
      </c>
      <c r="G32" s="2590"/>
      <c r="H32" s="2589"/>
      <c r="I32" s="2589"/>
    </row>
    <row r="33" spans="1:9" ht="27" customHeight="1">
      <c r="A33" s="2593" t="s">
        <v>2365</v>
      </c>
      <c r="B33" s="2589" t="s">
        <v>2366</v>
      </c>
      <c r="C33" s="2590" t="s">
        <v>2308</v>
      </c>
      <c r="D33" s="2591" t="s">
        <v>2364</v>
      </c>
      <c r="E33" s="2592">
        <v>29</v>
      </c>
      <c r="F33" s="2591">
        <v>20</v>
      </c>
      <c r="G33" s="2590"/>
      <c r="H33" s="2589"/>
      <c r="I33" s="2589"/>
    </row>
    <row r="34" spans="1:9" ht="27" customHeight="1">
      <c r="A34" s="2593" t="s">
        <v>2367</v>
      </c>
      <c r="B34" s="2589" t="s">
        <v>2368</v>
      </c>
      <c r="C34" s="2590" t="s">
        <v>2308</v>
      </c>
      <c r="D34" s="2591" t="s">
        <v>2369</v>
      </c>
      <c r="E34" s="2592">
        <v>18</v>
      </c>
      <c r="F34" s="2591">
        <v>20</v>
      </c>
      <c r="G34" s="2590"/>
      <c r="H34" s="2589"/>
      <c r="I34" s="2589"/>
    </row>
    <row r="35" spans="1:9" ht="27" customHeight="1">
      <c r="A35" s="2596" t="s">
        <v>1933</v>
      </c>
      <c r="B35" s="2589" t="s">
        <v>2370</v>
      </c>
      <c r="C35" s="2590" t="s">
        <v>2308</v>
      </c>
      <c r="D35" s="2591" t="s">
        <v>2371</v>
      </c>
      <c r="E35" s="2592">
        <v>26</v>
      </c>
      <c r="F35" s="2591">
        <v>20</v>
      </c>
      <c r="G35" s="2590"/>
      <c r="H35" s="2589"/>
      <c r="I35" s="2589"/>
    </row>
    <row r="36" spans="1:9" ht="27" customHeight="1">
      <c r="A36" s="2596" t="s">
        <v>2372</v>
      </c>
      <c r="B36" s="2589" t="s">
        <v>2373</v>
      </c>
      <c r="C36" s="2590" t="s">
        <v>2308</v>
      </c>
      <c r="D36" s="2591" t="s">
        <v>2371</v>
      </c>
      <c r="E36" s="2592">
        <v>25</v>
      </c>
      <c r="F36" s="2591">
        <v>20</v>
      </c>
      <c r="G36" s="2590"/>
      <c r="H36" s="2589"/>
      <c r="I36" s="2589"/>
    </row>
    <row r="37" spans="1:9" ht="27" customHeight="1">
      <c r="A37" s="2593" t="s">
        <v>2374</v>
      </c>
      <c r="B37" s="2589" t="s">
        <v>2375</v>
      </c>
      <c r="C37" s="2590" t="s">
        <v>2308</v>
      </c>
      <c r="D37" s="2591" t="s">
        <v>2371</v>
      </c>
      <c r="E37" s="2591">
        <v>6.5</v>
      </c>
      <c r="F37" s="2591">
        <v>20</v>
      </c>
      <c r="G37" s="2590"/>
      <c r="H37" s="2589"/>
      <c r="I37" s="2589"/>
    </row>
    <row r="38" spans="1:9" ht="27" customHeight="1">
      <c r="A38" s="2593" t="s">
        <v>2376</v>
      </c>
      <c r="B38" s="2589" t="s">
        <v>2377</v>
      </c>
      <c r="C38" s="2590" t="s">
        <v>2308</v>
      </c>
      <c r="D38" s="2591" t="s">
        <v>2378</v>
      </c>
      <c r="E38" s="2591">
        <v>15</v>
      </c>
      <c r="F38" s="2591">
        <v>20</v>
      </c>
      <c r="G38" s="2590"/>
      <c r="H38" s="2589"/>
      <c r="I38" s="2589"/>
    </row>
    <row r="39" spans="1:9" ht="27" customHeight="1">
      <c r="A39" s="2593" t="s">
        <v>2379</v>
      </c>
      <c r="B39" s="2589" t="s">
        <v>2380</v>
      </c>
      <c r="C39" s="2590" t="s">
        <v>2308</v>
      </c>
      <c r="D39" s="2591" t="s">
        <v>2378</v>
      </c>
      <c r="E39" s="2591">
        <v>15</v>
      </c>
      <c r="F39" s="2591">
        <v>20</v>
      </c>
      <c r="G39" s="2590"/>
      <c r="H39" s="2589"/>
      <c r="I39" s="2589"/>
    </row>
    <row r="40" spans="1:9" ht="27" customHeight="1">
      <c r="A40" s="2593" t="s">
        <v>1877</v>
      </c>
      <c r="B40" s="2589" t="s">
        <v>2381</v>
      </c>
      <c r="C40" s="2590" t="s">
        <v>2308</v>
      </c>
      <c r="D40" s="2591" t="s">
        <v>2382</v>
      </c>
      <c r="E40" s="2591">
        <v>10</v>
      </c>
      <c r="F40" s="2591">
        <v>20</v>
      </c>
      <c r="G40" s="2590"/>
      <c r="H40" s="2589"/>
      <c r="I40" s="2589"/>
    </row>
    <row r="41" spans="1:9" ht="27" customHeight="1">
      <c r="A41" s="2593" t="s">
        <v>1916</v>
      </c>
      <c r="B41" s="2589" t="s">
        <v>2383</v>
      </c>
      <c r="C41" s="2590" t="s">
        <v>2308</v>
      </c>
      <c r="D41" s="2591" t="s">
        <v>2382</v>
      </c>
      <c r="E41" s="2591">
        <v>14</v>
      </c>
      <c r="F41" s="2591">
        <v>20</v>
      </c>
      <c r="G41" s="2590"/>
      <c r="H41" s="2589"/>
      <c r="I41" s="2589"/>
    </row>
    <row r="42" spans="1:9" ht="27" customHeight="1">
      <c r="A42" s="2593" t="s">
        <v>1867</v>
      </c>
      <c r="B42" s="2589" t="s">
        <v>2384</v>
      </c>
      <c r="C42" s="2590" t="s">
        <v>2308</v>
      </c>
      <c r="D42" s="2591" t="s">
        <v>2385</v>
      </c>
      <c r="E42" s="2591">
        <v>10</v>
      </c>
      <c r="F42" s="2591">
        <v>20</v>
      </c>
      <c r="G42" s="2590"/>
      <c r="H42" s="2589"/>
      <c r="I42" s="2589"/>
    </row>
    <row r="43" spans="1:9" ht="27" customHeight="1">
      <c r="A43" s="2593" t="s">
        <v>1864</v>
      </c>
      <c r="B43" s="2589" t="s">
        <v>2386</v>
      </c>
      <c r="C43" s="2590" t="s">
        <v>2308</v>
      </c>
      <c r="D43" s="2591" t="s">
        <v>2385</v>
      </c>
      <c r="E43" s="2591">
        <v>12</v>
      </c>
      <c r="F43" s="2591">
        <v>20</v>
      </c>
      <c r="G43" s="2590"/>
      <c r="H43" s="2589"/>
      <c r="I43" s="2589"/>
    </row>
    <row r="44" spans="1:9" ht="27" customHeight="1">
      <c r="A44" s="2593" t="s">
        <v>1868</v>
      </c>
      <c r="B44" s="2589" t="s">
        <v>2387</v>
      </c>
      <c r="C44" s="2590" t="s">
        <v>2308</v>
      </c>
      <c r="D44" s="2591" t="s">
        <v>2385</v>
      </c>
      <c r="E44" s="2591">
        <v>12</v>
      </c>
      <c r="F44" s="2591">
        <v>20</v>
      </c>
      <c r="G44" s="2590"/>
      <c r="H44" s="2589"/>
      <c r="I44" s="2589"/>
    </row>
    <row r="45" spans="1:9" ht="27" customHeight="1">
      <c r="A45" s="2593" t="s">
        <v>1871</v>
      </c>
      <c r="B45" s="2589" t="s">
        <v>2388</v>
      </c>
      <c r="C45" s="2590" t="s">
        <v>2308</v>
      </c>
      <c r="D45" s="2591" t="s">
        <v>2371</v>
      </c>
      <c r="E45" s="2591">
        <v>12</v>
      </c>
      <c r="F45" s="2591">
        <v>20</v>
      </c>
      <c r="G45" s="2590"/>
      <c r="H45" s="2589"/>
      <c r="I45" s="2589"/>
    </row>
    <row r="46" spans="1:9" ht="27" customHeight="1">
      <c r="A46" s="2593" t="s">
        <v>1873</v>
      </c>
      <c r="B46" s="2589" t="s">
        <v>2389</v>
      </c>
      <c r="C46" s="2590" t="s">
        <v>2308</v>
      </c>
      <c r="D46" s="2591" t="s">
        <v>2385</v>
      </c>
      <c r="E46" s="2591">
        <v>10</v>
      </c>
      <c r="F46" s="2591">
        <v>20</v>
      </c>
      <c r="G46" s="2590"/>
      <c r="H46" s="2589"/>
      <c r="I46" s="2589"/>
    </row>
    <row r="47" spans="1:9" ht="27" customHeight="1">
      <c r="A47" s="2593" t="s">
        <v>1865</v>
      </c>
      <c r="B47" s="2589" t="s">
        <v>2390</v>
      </c>
      <c r="C47" s="2590" t="s">
        <v>2308</v>
      </c>
      <c r="D47" s="2591" t="s">
        <v>2385</v>
      </c>
      <c r="E47" s="2591">
        <v>10</v>
      </c>
      <c r="F47" s="2591">
        <v>20</v>
      </c>
      <c r="G47" s="2590"/>
      <c r="H47" s="2589"/>
      <c r="I47" s="2589"/>
    </row>
    <row r="48" spans="1:9" ht="27" customHeight="1">
      <c r="A48" s="2593" t="s">
        <v>1872</v>
      </c>
      <c r="B48" s="2589" t="s">
        <v>2391</v>
      </c>
      <c r="C48" s="2590" t="s">
        <v>2308</v>
      </c>
      <c r="D48" s="2591" t="s">
        <v>2385</v>
      </c>
      <c r="E48" s="2591">
        <v>12</v>
      </c>
      <c r="F48" s="2591">
        <v>20</v>
      </c>
      <c r="G48" s="2590"/>
      <c r="H48" s="2589"/>
      <c r="I48" s="2589"/>
    </row>
    <row r="49" spans="1:9" ht="27" customHeight="1">
      <c r="A49" s="2596" t="s">
        <v>1869</v>
      </c>
      <c r="B49" s="2589" t="s">
        <v>2392</v>
      </c>
      <c r="C49" s="2590" t="s">
        <v>2308</v>
      </c>
      <c r="D49" s="2591" t="s">
        <v>2385</v>
      </c>
      <c r="E49" s="2591">
        <v>10</v>
      </c>
      <c r="F49" s="2591">
        <v>20</v>
      </c>
      <c r="G49" s="2590"/>
      <c r="H49" s="2589"/>
      <c r="I49" s="2589"/>
    </row>
    <row r="50" spans="1:9" ht="27" customHeight="1">
      <c r="A50" s="2596" t="s">
        <v>1874</v>
      </c>
      <c r="B50" s="2589" t="s">
        <v>2393</v>
      </c>
      <c r="C50" s="2590" t="s">
        <v>2308</v>
      </c>
      <c r="D50" s="2591" t="s">
        <v>2394</v>
      </c>
      <c r="E50" s="2591">
        <v>12</v>
      </c>
      <c r="F50" s="2591">
        <v>20</v>
      </c>
      <c r="G50" s="2590"/>
      <c r="H50" s="2589"/>
      <c r="I50" s="2589"/>
    </row>
    <row r="51" spans="1:9" ht="27" customHeight="1">
      <c r="A51" s="2593" t="s">
        <v>1866</v>
      </c>
      <c r="B51" s="2589" t="s">
        <v>2395</v>
      </c>
      <c r="C51" s="2590" t="s">
        <v>2308</v>
      </c>
      <c r="D51" s="2591" t="s">
        <v>2385</v>
      </c>
      <c r="E51" s="2591">
        <v>20</v>
      </c>
      <c r="F51" s="2591">
        <v>20</v>
      </c>
      <c r="G51" s="2590"/>
      <c r="H51" s="2589"/>
      <c r="I51" s="2589"/>
    </row>
    <row r="52" spans="1:9" ht="27" customHeight="1">
      <c r="A52" s="2596" t="s">
        <v>1870</v>
      </c>
      <c r="B52" s="2589" t="s">
        <v>2396</v>
      </c>
      <c r="C52" s="2590" t="s">
        <v>2308</v>
      </c>
      <c r="D52" s="2591" t="s">
        <v>2397</v>
      </c>
      <c r="E52" s="2591">
        <v>30</v>
      </c>
      <c r="F52" s="2591">
        <v>20</v>
      </c>
      <c r="G52" s="2590"/>
      <c r="H52" s="2589"/>
      <c r="I52" s="2589"/>
    </row>
    <row r="53" spans="1:9" ht="27" customHeight="1">
      <c r="A53" s="2596" t="s">
        <v>1889</v>
      </c>
      <c r="B53" s="2589" t="s">
        <v>2398</v>
      </c>
      <c r="C53" s="2590" t="s">
        <v>2308</v>
      </c>
      <c r="D53" s="2591" t="s">
        <v>2399</v>
      </c>
      <c r="E53" s="2594">
        <v>30</v>
      </c>
      <c r="F53" s="2591">
        <v>20</v>
      </c>
      <c r="G53" s="2590"/>
      <c r="H53" s="2589"/>
      <c r="I53" s="3279"/>
    </row>
    <row r="54" spans="1:9" ht="27" customHeight="1">
      <c r="A54" s="2596" t="s">
        <v>1889</v>
      </c>
      <c r="B54" s="2589" t="s">
        <v>2398</v>
      </c>
      <c r="C54" s="2590" t="s">
        <v>2308</v>
      </c>
      <c r="D54" s="2591" t="s">
        <v>2400</v>
      </c>
      <c r="E54" s="2594">
        <v>10</v>
      </c>
      <c r="F54" s="2591">
        <v>20</v>
      </c>
      <c r="G54" s="2590"/>
      <c r="H54" s="2597"/>
      <c r="I54" s="3280"/>
    </row>
    <row r="55" spans="1:9" ht="27" customHeight="1">
      <c r="A55" s="2596" t="s">
        <v>1886</v>
      </c>
      <c r="B55" s="2589" t="s">
        <v>2401</v>
      </c>
      <c r="C55" s="2590" t="s">
        <v>2308</v>
      </c>
      <c r="D55" s="2591" t="s">
        <v>2402</v>
      </c>
      <c r="E55" s="2594">
        <v>50</v>
      </c>
      <c r="F55" s="2591">
        <v>20</v>
      </c>
      <c r="G55" s="2590"/>
      <c r="H55" s="2589"/>
      <c r="I55" s="3276"/>
    </row>
    <row r="56" spans="1:9" ht="27" customHeight="1">
      <c r="A56" s="2596" t="s">
        <v>2403</v>
      </c>
      <c r="B56" s="2589" t="s">
        <v>2401</v>
      </c>
      <c r="C56" s="2590" t="s">
        <v>2308</v>
      </c>
      <c r="D56" s="2591" t="s">
        <v>2400</v>
      </c>
      <c r="E56" s="2594">
        <v>10</v>
      </c>
      <c r="F56" s="2591">
        <v>20</v>
      </c>
      <c r="G56" s="2590"/>
      <c r="H56" s="2589"/>
      <c r="I56" s="3277"/>
    </row>
    <row r="57" spans="1:9" ht="27" customHeight="1">
      <c r="A57" s="2596" t="s">
        <v>1888</v>
      </c>
      <c r="B57" s="2589" t="s">
        <v>2404</v>
      </c>
      <c r="C57" s="2590" t="s">
        <v>2308</v>
      </c>
      <c r="D57" s="2591" t="s">
        <v>2399</v>
      </c>
      <c r="E57" s="2592">
        <v>40</v>
      </c>
      <c r="F57" s="2591">
        <v>20</v>
      </c>
      <c r="G57" s="2590"/>
      <c r="H57" s="2589"/>
      <c r="I57" s="2589"/>
    </row>
    <row r="58" spans="1:9" ht="27" customHeight="1">
      <c r="A58" s="2596" t="s">
        <v>1910</v>
      </c>
      <c r="B58" s="2589" t="s">
        <v>2405</v>
      </c>
      <c r="C58" s="2590" t="s">
        <v>2308</v>
      </c>
      <c r="D58" s="2591" t="s">
        <v>2406</v>
      </c>
      <c r="E58" s="2594">
        <v>9.8000000000000007</v>
      </c>
      <c r="F58" s="2591">
        <v>20</v>
      </c>
      <c r="G58" s="2590"/>
      <c r="H58" s="2589"/>
      <c r="I58" s="3276"/>
    </row>
    <row r="59" spans="1:9" ht="27" customHeight="1">
      <c r="A59" s="2596" t="s">
        <v>2407</v>
      </c>
      <c r="B59" s="2589" t="s">
        <v>2405</v>
      </c>
      <c r="C59" s="2590" t="s">
        <v>2308</v>
      </c>
      <c r="D59" s="2591" t="s">
        <v>2408</v>
      </c>
      <c r="E59" s="2594">
        <v>10</v>
      </c>
      <c r="F59" s="2591">
        <v>20</v>
      </c>
      <c r="G59" s="2590"/>
      <c r="H59" s="2589"/>
      <c r="I59" s="3277"/>
    </row>
    <row r="60" spans="1:9" ht="27" customHeight="1">
      <c r="A60" s="2588" t="s">
        <v>2409</v>
      </c>
      <c r="B60" s="2589" t="s">
        <v>2410</v>
      </c>
      <c r="C60" s="2590" t="s">
        <v>2308</v>
      </c>
      <c r="D60" s="2591" t="s">
        <v>2399</v>
      </c>
      <c r="E60" s="2594">
        <v>20</v>
      </c>
      <c r="F60" s="2591">
        <v>20</v>
      </c>
      <c r="G60" s="2590"/>
      <c r="H60" s="2589"/>
      <c r="I60" s="2589"/>
    </row>
    <row r="61" spans="1:9" ht="27" customHeight="1">
      <c r="A61" s="2596" t="s">
        <v>1937</v>
      </c>
      <c r="B61" s="2589" t="s">
        <v>2411</v>
      </c>
      <c r="C61" s="2590" t="s">
        <v>2308</v>
      </c>
      <c r="D61" s="2591" t="s">
        <v>2412</v>
      </c>
      <c r="E61" s="2594">
        <v>25</v>
      </c>
      <c r="F61" s="2591">
        <v>20</v>
      </c>
      <c r="G61" s="2590"/>
      <c r="H61" s="2589"/>
      <c r="I61" s="2589"/>
    </row>
    <row r="62" spans="1:9" ht="27" customHeight="1">
      <c r="A62" s="2596" t="s">
        <v>1885</v>
      </c>
      <c r="B62" s="2589" t="s">
        <v>2413</v>
      </c>
      <c r="C62" s="2590" t="s">
        <v>2308</v>
      </c>
      <c r="D62" s="2591" t="s">
        <v>2414</v>
      </c>
      <c r="E62" s="2594">
        <v>12.5</v>
      </c>
      <c r="F62" s="2591">
        <v>20</v>
      </c>
      <c r="G62" s="2590"/>
      <c r="H62" s="2589"/>
      <c r="I62" s="2589"/>
    </row>
    <row r="63" spans="1:9" ht="27" customHeight="1">
      <c r="A63" s="2596" t="s">
        <v>1887</v>
      </c>
      <c r="B63" s="2589" t="s">
        <v>2358</v>
      </c>
      <c r="C63" s="2590" t="s">
        <v>2308</v>
      </c>
      <c r="D63" s="2591" t="s">
        <v>2399</v>
      </c>
      <c r="E63" s="2594">
        <v>20</v>
      </c>
      <c r="F63" s="2591">
        <v>20</v>
      </c>
      <c r="G63" s="2590"/>
      <c r="H63" s="2589"/>
      <c r="I63" s="2589"/>
    </row>
    <row r="64" spans="1:9" ht="27" customHeight="1">
      <c r="A64" s="2593" t="s">
        <v>1908</v>
      </c>
      <c r="B64" s="2589" t="s">
        <v>2324</v>
      </c>
      <c r="C64" s="2590" t="s">
        <v>2308</v>
      </c>
      <c r="D64" s="2591"/>
      <c r="E64" s="2592">
        <v>7</v>
      </c>
      <c r="F64" s="2591">
        <v>20</v>
      </c>
      <c r="G64" s="2590"/>
      <c r="H64" s="2589"/>
      <c r="I64" s="2589"/>
    </row>
    <row r="65" spans="1:9" ht="27" customHeight="1">
      <c r="A65" s="2596" t="s">
        <v>1899</v>
      </c>
      <c r="B65" s="2589" t="s">
        <v>2415</v>
      </c>
      <c r="C65" s="2590" t="s">
        <v>2308</v>
      </c>
      <c r="D65" s="2591" t="s">
        <v>2416</v>
      </c>
      <c r="E65" s="2594">
        <v>32</v>
      </c>
      <c r="F65" s="2591">
        <v>20</v>
      </c>
      <c r="G65" s="2590"/>
      <c r="H65" s="2589"/>
      <c r="I65" s="2589"/>
    </row>
    <row r="66" spans="1:9" ht="27" customHeight="1">
      <c r="A66" s="2596" t="s">
        <v>2417</v>
      </c>
      <c r="B66" s="2589" t="s">
        <v>2418</v>
      </c>
      <c r="C66" s="2590" t="s">
        <v>2308</v>
      </c>
      <c r="D66" s="2591" t="s">
        <v>2419</v>
      </c>
      <c r="E66" s="2594">
        <v>20</v>
      </c>
      <c r="F66" s="2591">
        <v>20</v>
      </c>
      <c r="G66" s="2590"/>
      <c r="H66" s="2589"/>
      <c r="I66" s="2589"/>
    </row>
    <row r="67" spans="1:9" ht="27" customHeight="1">
      <c r="A67" s="2588" t="s">
        <v>2420</v>
      </c>
      <c r="B67" s="2589" t="s">
        <v>2401</v>
      </c>
      <c r="C67" s="2590" t="s">
        <v>2308</v>
      </c>
      <c r="D67" s="2591" t="s">
        <v>2361</v>
      </c>
      <c r="E67" s="2591">
        <v>13.5</v>
      </c>
      <c r="F67" s="2591">
        <v>20</v>
      </c>
      <c r="G67" s="2590"/>
      <c r="H67" s="2589"/>
      <c r="I67" s="2589"/>
    </row>
    <row r="68" spans="1:9" ht="27" customHeight="1">
      <c r="A68" s="2593" t="s">
        <v>2332</v>
      </c>
      <c r="B68" s="2589" t="s">
        <v>2421</v>
      </c>
      <c r="C68" s="2590" t="s">
        <v>2308</v>
      </c>
      <c r="D68" s="2591" t="s">
        <v>2422</v>
      </c>
      <c r="E68" s="2591">
        <v>3</v>
      </c>
      <c r="F68" s="2591">
        <v>20</v>
      </c>
      <c r="G68" s="2590"/>
      <c r="H68" s="2589"/>
      <c r="I68" s="2589"/>
    </row>
    <row r="69" spans="1:9" ht="27" customHeight="1">
      <c r="A69" s="2593" t="s">
        <v>2332</v>
      </c>
      <c r="B69" s="2589" t="s">
        <v>2423</v>
      </c>
      <c r="C69" s="2590" t="s">
        <v>2308</v>
      </c>
      <c r="D69" s="2591" t="s">
        <v>2422</v>
      </c>
      <c r="E69" s="2591">
        <v>5</v>
      </c>
      <c r="F69" s="2591">
        <v>20</v>
      </c>
      <c r="G69" s="2590"/>
      <c r="H69" s="2589"/>
      <c r="I69" s="2589"/>
    </row>
    <row r="70" spans="1:9" ht="27" customHeight="1">
      <c r="A70" s="2593" t="s">
        <v>2332</v>
      </c>
      <c r="B70" s="2589" t="s">
        <v>2424</v>
      </c>
      <c r="C70" s="2590" t="s">
        <v>2308</v>
      </c>
      <c r="D70" s="2591" t="s">
        <v>2425</v>
      </c>
      <c r="E70" s="2591">
        <v>6</v>
      </c>
      <c r="F70" s="2591">
        <v>20</v>
      </c>
      <c r="G70" s="2590"/>
      <c r="H70" s="2589"/>
      <c r="I70" s="2589"/>
    </row>
    <row r="71" spans="1:9" ht="27" customHeight="1">
      <c r="A71" s="2588" t="s">
        <v>2426</v>
      </c>
      <c r="B71" s="2589"/>
      <c r="C71" s="2590" t="s">
        <v>2308</v>
      </c>
      <c r="D71" s="2591" t="s">
        <v>2427</v>
      </c>
      <c r="E71" s="2594">
        <v>10</v>
      </c>
      <c r="F71" s="2591">
        <v>20</v>
      </c>
      <c r="G71" s="2590"/>
      <c r="H71" s="2589"/>
      <c r="I71" s="2589"/>
    </row>
    <row r="72" spans="1:9" ht="27" customHeight="1">
      <c r="A72" s="2588" t="s">
        <v>2428</v>
      </c>
      <c r="B72" s="2589" t="s">
        <v>2429</v>
      </c>
      <c r="C72" s="2590" t="s">
        <v>2308</v>
      </c>
      <c r="D72" s="2591" t="s">
        <v>2430</v>
      </c>
      <c r="E72" s="2592">
        <v>20</v>
      </c>
      <c r="F72" s="2591">
        <v>20</v>
      </c>
      <c r="G72" s="2590"/>
      <c r="H72" s="2589"/>
      <c r="I72" s="2589"/>
    </row>
    <row r="73" spans="1:9" ht="27" customHeight="1">
      <c r="A73" s="2593" t="s">
        <v>2431</v>
      </c>
      <c r="B73" s="2589" t="s">
        <v>1663</v>
      </c>
      <c r="C73" s="2590" t="s">
        <v>2308</v>
      </c>
      <c r="D73" s="2591" t="s">
        <v>2432</v>
      </c>
      <c r="E73" s="2592">
        <v>25</v>
      </c>
      <c r="F73" s="2591">
        <v>20</v>
      </c>
      <c r="G73" s="2590"/>
      <c r="H73" s="2589"/>
      <c r="I73" s="2589"/>
    </row>
    <row r="74" spans="1:9" ht="27" customHeight="1">
      <c r="A74" s="2593" t="s">
        <v>2431</v>
      </c>
      <c r="B74" s="2589" t="s">
        <v>2433</v>
      </c>
      <c r="C74" s="2590" t="s">
        <v>2308</v>
      </c>
      <c r="D74" s="2591" t="s">
        <v>2434</v>
      </c>
      <c r="E74" s="2592">
        <v>25</v>
      </c>
      <c r="F74" s="2591">
        <v>20</v>
      </c>
      <c r="G74" s="2590"/>
      <c r="H74" s="2589"/>
      <c r="I74" s="2589"/>
    </row>
    <row r="75" spans="1:9" ht="27" customHeight="1">
      <c r="A75" s="2593" t="s">
        <v>2435</v>
      </c>
      <c r="B75" s="2589" t="s">
        <v>2436</v>
      </c>
      <c r="C75" s="2590" t="s">
        <v>2308</v>
      </c>
      <c r="D75" s="2591" t="s">
        <v>2437</v>
      </c>
      <c r="E75" s="2594">
        <v>7.5</v>
      </c>
      <c r="F75" s="2591">
        <v>20</v>
      </c>
      <c r="G75" s="2590"/>
      <c r="H75" s="2597"/>
      <c r="I75" s="2597"/>
    </row>
    <row r="76" spans="1:9" ht="27" customHeight="1">
      <c r="A76" s="2593" t="s">
        <v>2435</v>
      </c>
      <c r="B76" s="2589" t="s">
        <v>2438</v>
      </c>
      <c r="C76" s="2590" t="s">
        <v>2308</v>
      </c>
      <c r="D76" s="2591" t="s">
        <v>2439</v>
      </c>
      <c r="E76" s="2592">
        <v>24</v>
      </c>
      <c r="F76" s="2591">
        <v>20</v>
      </c>
      <c r="G76" s="2590"/>
      <c r="H76" s="2589"/>
      <c r="I76" s="2589"/>
    </row>
    <row r="77" spans="1:9" ht="27" customHeight="1">
      <c r="A77" s="2593" t="s">
        <v>2435</v>
      </c>
      <c r="B77" s="2589" t="s">
        <v>2440</v>
      </c>
      <c r="C77" s="2590" t="s">
        <v>2308</v>
      </c>
      <c r="D77" s="2591" t="s">
        <v>2441</v>
      </c>
      <c r="E77" s="2592">
        <v>24</v>
      </c>
      <c r="F77" s="2591">
        <v>20</v>
      </c>
      <c r="G77" s="2590"/>
      <c r="H77" s="2589"/>
      <c r="I77" s="2589"/>
    </row>
    <row r="78" spans="1:9" ht="27" customHeight="1">
      <c r="A78" s="2588" t="s">
        <v>2442</v>
      </c>
      <c r="B78" s="2589" t="s">
        <v>2339</v>
      </c>
      <c r="C78" s="2590" t="s">
        <v>2308</v>
      </c>
      <c r="D78" s="2591" t="s">
        <v>2443</v>
      </c>
      <c r="E78" s="2592">
        <v>22</v>
      </c>
      <c r="F78" s="2591">
        <v>20</v>
      </c>
      <c r="G78" s="2590"/>
      <c r="H78" s="2589"/>
      <c r="I78" s="2589"/>
    </row>
    <row r="79" spans="1:9" ht="27" customHeight="1">
      <c r="A79" s="2596" t="s">
        <v>2444</v>
      </c>
      <c r="B79" s="2589" t="s">
        <v>2445</v>
      </c>
      <c r="C79" s="2590" t="s">
        <v>2308</v>
      </c>
      <c r="D79" s="2591" t="s">
        <v>2446</v>
      </c>
      <c r="E79" s="2594">
        <v>24</v>
      </c>
      <c r="F79" s="2591">
        <v>20</v>
      </c>
      <c r="G79" s="2590"/>
      <c r="H79" s="2589"/>
      <c r="I79" s="2589"/>
    </row>
    <row r="80" spans="1:9" ht="27" customHeight="1">
      <c r="A80" s="2593" t="s">
        <v>2447</v>
      </c>
      <c r="B80" s="2589" t="s">
        <v>2448</v>
      </c>
      <c r="C80" s="2590" t="s">
        <v>2308</v>
      </c>
      <c r="D80" s="2591" t="s">
        <v>2449</v>
      </c>
      <c r="E80" s="2592">
        <v>13</v>
      </c>
      <c r="F80" s="2591">
        <v>20</v>
      </c>
      <c r="G80" s="2590"/>
      <c r="H80" s="2589"/>
      <c r="I80" s="2589"/>
    </row>
    <row r="81" spans="1:9" ht="27" customHeight="1">
      <c r="A81" s="2593" t="s">
        <v>2450</v>
      </c>
      <c r="B81" s="2589" t="s">
        <v>2451</v>
      </c>
      <c r="C81" s="2590" t="s">
        <v>2308</v>
      </c>
      <c r="D81" s="2591" t="s">
        <v>2452</v>
      </c>
      <c r="E81" s="2592">
        <v>28</v>
      </c>
      <c r="F81" s="2591">
        <v>20</v>
      </c>
      <c r="G81" s="2590"/>
      <c r="H81" s="2589"/>
      <c r="I81" s="2589"/>
    </row>
    <row r="82" spans="1:9" ht="27" customHeight="1">
      <c r="A82" s="2588" t="s">
        <v>2453</v>
      </c>
      <c r="B82" s="2589" t="s">
        <v>2454</v>
      </c>
      <c r="C82" s="2590" t="s">
        <v>2308</v>
      </c>
      <c r="D82" s="2591" t="s">
        <v>2455</v>
      </c>
      <c r="E82" s="2592">
        <v>13</v>
      </c>
      <c r="F82" s="2591">
        <v>20</v>
      </c>
      <c r="G82" s="2590"/>
      <c r="H82" s="2589"/>
      <c r="I82" s="2589"/>
    </row>
    <row r="83" spans="1:9" ht="27" customHeight="1">
      <c r="A83" s="2588" t="s">
        <v>2456</v>
      </c>
      <c r="B83" s="2589" t="s">
        <v>2358</v>
      </c>
      <c r="C83" s="2590" t="s">
        <v>2308</v>
      </c>
      <c r="D83" s="2591" t="s">
        <v>2457</v>
      </c>
      <c r="E83" s="2592">
        <v>6</v>
      </c>
      <c r="F83" s="2591">
        <v>10</v>
      </c>
      <c r="G83" s="2590"/>
      <c r="H83" s="2589"/>
      <c r="I83" s="2589"/>
    </row>
    <row r="84" spans="1:9" ht="27" customHeight="1">
      <c r="A84" s="2588" t="s">
        <v>2458</v>
      </c>
      <c r="B84" s="2589" t="s">
        <v>2459</v>
      </c>
      <c r="C84" s="2590" t="s">
        <v>2308</v>
      </c>
      <c r="D84" s="2591" t="s">
        <v>2457</v>
      </c>
      <c r="E84" s="2591">
        <v>21</v>
      </c>
      <c r="F84" s="2591">
        <v>10</v>
      </c>
      <c r="G84" s="2590"/>
      <c r="H84" s="2589"/>
      <c r="I84" s="2589"/>
    </row>
    <row r="85" spans="1:9" ht="27" customHeight="1">
      <c r="A85" s="2588" t="s">
        <v>2460</v>
      </c>
      <c r="B85" s="2589" t="s">
        <v>2461</v>
      </c>
      <c r="C85" s="2590" t="s">
        <v>2308</v>
      </c>
      <c r="D85" s="2591" t="s">
        <v>2462</v>
      </c>
      <c r="E85" s="2591">
        <v>3</v>
      </c>
      <c r="F85" s="2591">
        <v>10</v>
      </c>
      <c r="G85" s="2590"/>
      <c r="H85" s="2589"/>
      <c r="I85" s="2589"/>
    </row>
    <row r="86" spans="1:9" ht="27" customHeight="1">
      <c r="A86" s="2588" t="s">
        <v>2463</v>
      </c>
      <c r="B86" s="2589" t="s">
        <v>2383</v>
      </c>
      <c r="C86" s="2590" t="s">
        <v>2308</v>
      </c>
      <c r="D86" s="2591" t="s">
        <v>2464</v>
      </c>
      <c r="E86" s="2591">
        <v>24.5</v>
      </c>
      <c r="F86" s="2591">
        <v>10</v>
      </c>
      <c r="G86" s="2590"/>
      <c r="H86" s="2589"/>
      <c r="I86" s="2589"/>
    </row>
    <row r="87" spans="1:9" ht="27" customHeight="1">
      <c r="A87" s="2588" t="s">
        <v>2465</v>
      </c>
      <c r="B87" s="2589" t="s">
        <v>2466</v>
      </c>
      <c r="C87" s="2590" t="s">
        <v>2308</v>
      </c>
      <c r="D87" s="2591" t="s">
        <v>2464</v>
      </c>
      <c r="E87" s="2591">
        <v>20.75</v>
      </c>
      <c r="F87" s="2591">
        <v>10</v>
      </c>
      <c r="G87" s="2590"/>
      <c r="H87" s="2589"/>
      <c r="I87" s="2589"/>
    </row>
    <row r="88" spans="1:9" ht="27" customHeight="1">
      <c r="A88" s="2588" t="s">
        <v>2467</v>
      </c>
      <c r="B88" s="2589" t="s">
        <v>2468</v>
      </c>
      <c r="C88" s="2590" t="s">
        <v>2308</v>
      </c>
      <c r="D88" s="2591" t="s">
        <v>2464</v>
      </c>
      <c r="E88" s="2591">
        <v>20.75</v>
      </c>
      <c r="F88" s="2591">
        <v>10</v>
      </c>
      <c r="G88" s="2590"/>
      <c r="H88" s="2589"/>
      <c r="I88" s="2589"/>
    </row>
    <row r="89" spans="1:9" ht="27" customHeight="1">
      <c r="A89" s="2593" t="s">
        <v>2469</v>
      </c>
      <c r="B89" s="2589" t="s">
        <v>2470</v>
      </c>
      <c r="C89" s="2590" t="s">
        <v>2308</v>
      </c>
      <c r="D89" s="2591" t="s">
        <v>2471</v>
      </c>
      <c r="E89" s="2592">
        <v>25</v>
      </c>
      <c r="F89" s="2591">
        <v>20</v>
      </c>
      <c r="G89" s="2590"/>
      <c r="H89" s="2589"/>
      <c r="I89" s="2589"/>
    </row>
    <row r="90" spans="1:9" ht="27" customHeight="1">
      <c r="A90" s="2588" t="s">
        <v>2472</v>
      </c>
      <c r="B90" s="2589" t="s">
        <v>2413</v>
      </c>
      <c r="C90" s="2590" t="s">
        <v>2308</v>
      </c>
      <c r="D90" s="2591" t="s">
        <v>2473</v>
      </c>
      <c r="E90" s="2591">
        <v>4</v>
      </c>
      <c r="F90" s="2591">
        <v>10</v>
      </c>
      <c r="G90" s="2599"/>
      <c r="H90" s="2600"/>
      <c r="I90" s="2600"/>
    </row>
    <row r="91" spans="1:9" ht="27" customHeight="1">
      <c r="A91" s="2588" t="s">
        <v>2474</v>
      </c>
      <c r="B91" s="2597" t="s">
        <v>2475</v>
      </c>
      <c r="C91" s="2590" t="s">
        <v>2308</v>
      </c>
      <c r="D91" s="2591" t="s">
        <v>2476</v>
      </c>
      <c r="E91" s="2591">
        <v>5</v>
      </c>
      <c r="F91" s="2591">
        <v>10</v>
      </c>
      <c r="G91" s="2590"/>
      <c r="H91" s="2600"/>
      <c r="I91" s="2600"/>
    </row>
    <row r="92" spans="1:9" ht="27" customHeight="1">
      <c r="A92" s="2588" t="s">
        <v>2477</v>
      </c>
      <c r="B92" s="2597" t="s">
        <v>2339</v>
      </c>
      <c r="C92" s="2590" t="s">
        <v>2308</v>
      </c>
      <c r="D92" s="2591" t="s">
        <v>2478</v>
      </c>
      <c r="E92" s="2591">
        <v>2.94</v>
      </c>
      <c r="F92" s="2591">
        <v>10</v>
      </c>
      <c r="G92" s="2590"/>
      <c r="H92" s="2600"/>
      <c r="I92" s="2600"/>
    </row>
    <row r="93" spans="1:9" ht="27" customHeight="1">
      <c r="A93" s="2588" t="s">
        <v>2479</v>
      </c>
      <c r="B93" s="2597" t="s">
        <v>2373</v>
      </c>
      <c r="C93" s="2590" t="s">
        <v>2308</v>
      </c>
      <c r="D93" s="2591" t="s">
        <v>2480</v>
      </c>
      <c r="E93" s="2591">
        <v>5</v>
      </c>
      <c r="F93" s="2591">
        <v>10</v>
      </c>
      <c r="G93" s="2590"/>
      <c r="H93" s="2600"/>
      <c r="I93" s="2600"/>
    </row>
    <row r="94" spans="1:9" ht="27" customHeight="1">
      <c r="A94" s="2588" t="s">
        <v>2481</v>
      </c>
      <c r="B94" s="2597" t="s">
        <v>2311</v>
      </c>
      <c r="C94" s="2590" t="s">
        <v>2308</v>
      </c>
      <c r="D94" s="2591" t="s">
        <v>2476</v>
      </c>
      <c r="E94" s="2591">
        <v>2</v>
      </c>
      <c r="F94" s="2591">
        <v>10</v>
      </c>
      <c r="G94" s="2590"/>
      <c r="H94" s="2600"/>
      <c r="I94" s="2600"/>
    </row>
    <row r="95" spans="1:9" ht="27" customHeight="1">
      <c r="A95" s="2588" t="s">
        <v>2482</v>
      </c>
      <c r="B95" s="2589" t="s">
        <v>2483</v>
      </c>
      <c r="C95" s="2590" t="s">
        <v>1804</v>
      </c>
      <c r="D95" s="2595" t="s">
        <v>2484</v>
      </c>
      <c r="E95" s="2591">
        <v>14</v>
      </c>
      <c r="F95" s="2591">
        <v>20</v>
      </c>
      <c r="G95" s="2590"/>
      <c r="H95" s="2600"/>
      <c r="I95" s="2600"/>
    </row>
    <row r="96" spans="1:9" ht="27" customHeight="1">
      <c r="A96" s="2593" t="s">
        <v>2485</v>
      </c>
      <c r="B96" s="2589" t="s">
        <v>2486</v>
      </c>
      <c r="C96" s="2590" t="s">
        <v>1804</v>
      </c>
      <c r="D96" s="2591" t="s">
        <v>2487</v>
      </c>
      <c r="E96" s="2592">
        <v>13.5</v>
      </c>
      <c r="F96" s="2591">
        <v>20</v>
      </c>
      <c r="G96" s="2590"/>
      <c r="H96" s="2600"/>
      <c r="I96" s="2600"/>
    </row>
    <row r="97" spans="1:9" ht="27" customHeight="1">
      <c r="A97" s="2601" t="s">
        <v>2488</v>
      </c>
      <c r="B97" s="2589" t="s">
        <v>2489</v>
      </c>
      <c r="C97" s="2590" t="s">
        <v>1804</v>
      </c>
      <c r="D97" s="2589" t="s">
        <v>2490</v>
      </c>
      <c r="E97" s="2589">
        <v>2</v>
      </c>
      <c r="F97" s="2590">
        <v>20</v>
      </c>
      <c r="G97" s="2590"/>
      <c r="H97" s="2600"/>
      <c r="I97" s="2600"/>
    </row>
    <row r="98" spans="1:9" ht="27" customHeight="1">
      <c r="A98" s="2588" t="s">
        <v>1920</v>
      </c>
      <c r="B98" s="2589" t="s">
        <v>2491</v>
      </c>
      <c r="C98" s="2590" t="s">
        <v>2492</v>
      </c>
      <c r="D98" s="2591" t="s">
        <v>2493</v>
      </c>
      <c r="E98" s="2591">
        <v>13</v>
      </c>
      <c r="F98" s="2591">
        <v>20</v>
      </c>
      <c r="G98" s="2590"/>
      <c r="H98" s="2600"/>
      <c r="I98" s="2600"/>
    </row>
    <row r="99" spans="1:9" ht="27" customHeight="1">
      <c r="A99" s="2588" t="s">
        <v>2494</v>
      </c>
      <c r="B99" s="2589" t="s">
        <v>2466</v>
      </c>
      <c r="C99" s="2590" t="s">
        <v>2492</v>
      </c>
      <c r="D99" s="2591" t="s">
        <v>2495</v>
      </c>
      <c r="E99" s="2591">
        <v>8</v>
      </c>
      <c r="F99" s="2591">
        <v>20</v>
      </c>
      <c r="G99" s="2590"/>
      <c r="H99" s="2600"/>
      <c r="I99" s="2600"/>
    </row>
    <row r="100" spans="1:9" ht="27" customHeight="1">
      <c r="A100" s="2588" t="s">
        <v>2496</v>
      </c>
      <c r="B100" s="2589" t="s">
        <v>2466</v>
      </c>
      <c r="C100" s="2590" t="s">
        <v>2492</v>
      </c>
      <c r="D100" s="2591" t="s">
        <v>2497</v>
      </c>
      <c r="E100" s="2592">
        <v>12.5</v>
      </c>
      <c r="F100" s="2591">
        <v>20</v>
      </c>
      <c r="G100" s="2590"/>
      <c r="H100" s="2600"/>
      <c r="I100" s="2600"/>
    </row>
    <row r="101" spans="1:9" ht="27" customHeight="1">
      <c r="A101" s="2602" t="s">
        <v>2498</v>
      </c>
      <c r="B101" s="2589"/>
      <c r="C101" s="2589" t="s">
        <v>2036</v>
      </c>
      <c r="D101" s="2591" t="s">
        <v>2499</v>
      </c>
      <c r="E101" s="1401">
        <v>2</v>
      </c>
      <c r="F101" s="2597">
        <v>10</v>
      </c>
      <c r="G101" s="2590"/>
      <c r="H101" s="2600"/>
      <c r="I101" s="2600"/>
    </row>
    <row r="102" spans="1:9" ht="27" customHeight="1">
      <c r="A102" s="2602" t="s">
        <v>2500</v>
      </c>
      <c r="B102" s="2589"/>
      <c r="C102" s="2589" t="s">
        <v>2036</v>
      </c>
      <c r="D102" s="2591" t="s">
        <v>2501</v>
      </c>
      <c r="E102" s="1401">
        <v>2</v>
      </c>
      <c r="F102" s="2597">
        <v>10</v>
      </c>
      <c r="G102" s="2590"/>
      <c r="H102" s="2600"/>
      <c r="I102" s="2600"/>
    </row>
    <row r="103" spans="1:9" ht="27" customHeight="1">
      <c r="A103" s="2602" t="s">
        <v>2502</v>
      </c>
      <c r="B103" s="2589"/>
      <c r="C103" s="2589" t="s">
        <v>2036</v>
      </c>
      <c r="D103" s="2591" t="s">
        <v>2503</v>
      </c>
      <c r="E103" s="1401">
        <v>3.5</v>
      </c>
      <c r="F103" s="2597">
        <v>10</v>
      </c>
      <c r="G103" s="2590"/>
      <c r="H103" s="2600"/>
      <c r="I103" s="2600"/>
    </row>
    <row r="104" spans="1:9" ht="27" customHeight="1">
      <c r="A104" s="2602" t="s">
        <v>2504</v>
      </c>
      <c r="B104" s="2589"/>
      <c r="C104" s="2589" t="s">
        <v>2036</v>
      </c>
      <c r="D104" s="2591" t="s">
        <v>2503</v>
      </c>
      <c r="E104" s="1401">
        <v>2</v>
      </c>
      <c r="F104" s="2597">
        <v>10</v>
      </c>
      <c r="G104" s="2590"/>
      <c r="H104" s="2600"/>
      <c r="I104" s="2600"/>
    </row>
    <row r="105" spans="1:9" ht="27" customHeight="1">
      <c r="A105" s="2602" t="s">
        <v>2505</v>
      </c>
      <c r="B105" s="2589"/>
      <c r="C105" s="2589" t="s">
        <v>2036</v>
      </c>
      <c r="D105" s="2591" t="s">
        <v>2506</v>
      </c>
      <c r="E105" s="1401">
        <v>2</v>
      </c>
      <c r="F105" s="2597">
        <v>10</v>
      </c>
      <c r="G105" s="2590"/>
      <c r="H105" s="2600"/>
      <c r="I105" s="2600"/>
    </row>
    <row r="106" spans="1:9" ht="27" customHeight="1">
      <c r="A106" s="2602" t="s">
        <v>2507</v>
      </c>
      <c r="B106" s="2589"/>
      <c r="C106" s="2589" t="s">
        <v>2036</v>
      </c>
      <c r="D106" s="2591" t="s">
        <v>2508</v>
      </c>
      <c r="E106" s="1401">
        <v>2</v>
      </c>
      <c r="F106" s="2597">
        <v>10</v>
      </c>
      <c r="G106" s="2590"/>
      <c r="H106" s="2600"/>
      <c r="I106" s="2600"/>
    </row>
    <row r="107" spans="1:9" ht="27" customHeight="1">
      <c r="A107" s="2602" t="s">
        <v>2509</v>
      </c>
      <c r="B107" s="2589"/>
      <c r="C107" s="2589" t="s">
        <v>2036</v>
      </c>
      <c r="D107" s="2591" t="s">
        <v>2510</v>
      </c>
      <c r="E107" s="1401">
        <v>3.5</v>
      </c>
      <c r="F107" s="2597">
        <v>10</v>
      </c>
      <c r="G107" s="2590"/>
      <c r="H107" s="2600"/>
      <c r="I107" s="2600"/>
    </row>
    <row r="108" spans="1:9" ht="27" customHeight="1">
      <c r="A108" s="2602" t="s">
        <v>2511</v>
      </c>
      <c r="B108" s="2589"/>
      <c r="C108" s="2589" t="s">
        <v>2036</v>
      </c>
      <c r="D108" s="2591" t="s">
        <v>2506</v>
      </c>
      <c r="E108" s="1401">
        <v>4</v>
      </c>
      <c r="F108" s="2597">
        <v>10</v>
      </c>
      <c r="G108" s="2590"/>
      <c r="H108" s="2600"/>
      <c r="I108" s="2600"/>
    </row>
    <row r="109" spans="1:9" ht="27" customHeight="1">
      <c r="A109" s="2588" t="s">
        <v>2512</v>
      </c>
      <c r="B109" s="2589"/>
      <c r="C109" s="2590" t="s">
        <v>2513</v>
      </c>
      <c r="D109" s="2603" t="s">
        <v>2514</v>
      </c>
      <c r="E109" s="2604">
        <v>100</v>
      </c>
      <c r="F109" s="2591">
        <v>25</v>
      </c>
      <c r="G109" s="2590"/>
      <c r="H109" s="2600"/>
      <c r="I109" s="2600"/>
    </row>
    <row r="110" spans="1:9" ht="27" customHeight="1">
      <c r="A110" s="2588" t="s">
        <v>2515</v>
      </c>
      <c r="B110" s="2589"/>
      <c r="C110" s="2590" t="s">
        <v>2513</v>
      </c>
      <c r="D110" s="2603" t="s">
        <v>2514</v>
      </c>
      <c r="E110" s="2604">
        <v>99.9</v>
      </c>
      <c r="F110" s="2591">
        <v>25</v>
      </c>
      <c r="G110" s="2590"/>
      <c r="H110" s="2600"/>
      <c r="I110" s="2600"/>
    </row>
    <row r="111" spans="1:9" ht="27" customHeight="1">
      <c r="A111" s="2588" t="s">
        <v>2516</v>
      </c>
      <c r="B111" s="2589"/>
      <c r="C111" s="2590" t="s">
        <v>2513</v>
      </c>
      <c r="D111" s="2603" t="s">
        <v>2514</v>
      </c>
      <c r="E111" s="2604">
        <v>100</v>
      </c>
      <c r="F111" s="2591">
        <v>25</v>
      </c>
      <c r="G111" s="2590"/>
      <c r="H111" s="2600"/>
      <c r="I111" s="2600"/>
    </row>
    <row r="112" spans="1:9" ht="27" customHeight="1">
      <c r="A112" s="2588" t="s">
        <v>2517</v>
      </c>
      <c r="B112" s="2589"/>
      <c r="C112" s="2590" t="s">
        <v>2513</v>
      </c>
      <c r="D112" s="2591" t="s">
        <v>2514</v>
      </c>
      <c r="E112" s="2604">
        <v>100</v>
      </c>
      <c r="F112" s="2591">
        <v>25</v>
      </c>
      <c r="G112" s="2590"/>
      <c r="H112" s="2600"/>
      <c r="I112" s="2600"/>
    </row>
    <row r="113" spans="1:9" ht="27" customHeight="1">
      <c r="A113" s="2605" t="s">
        <v>2518</v>
      </c>
      <c r="B113" s="2589"/>
      <c r="C113" s="2590" t="s">
        <v>2513</v>
      </c>
      <c r="D113" s="2606" t="s">
        <v>2514</v>
      </c>
      <c r="E113" s="2604">
        <v>40</v>
      </c>
      <c r="F113" s="2591">
        <v>25</v>
      </c>
      <c r="G113" s="2590"/>
      <c r="H113" s="2600"/>
      <c r="I113" s="2600"/>
    </row>
    <row r="114" spans="1:9" ht="27" customHeight="1">
      <c r="A114" s="2605" t="s">
        <v>2519</v>
      </c>
      <c r="B114" s="2589"/>
      <c r="C114" s="2590" t="s">
        <v>2513</v>
      </c>
      <c r="D114" s="2606" t="s">
        <v>2520</v>
      </c>
      <c r="E114" s="2604">
        <v>100</v>
      </c>
      <c r="F114" s="2591">
        <v>25</v>
      </c>
      <c r="G114" s="2590"/>
      <c r="H114" s="2600"/>
      <c r="I114" s="2600"/>
    </row>
    <row r="115" spans="1:9" ht="27" customHeight="1">
      <c r="A115" s="2588" t="s">
        <v>2521</v>
      </c>
      <c r="B115" s="2589"/>
      <c r="C115" s="2590" t="s">
        <v>2513</v>
      </c>
      <c r="D115" s="2603" t="s">
        <v>2520</v>
      </c>
      <c r="E115" s="2591">
        <v>100</v>
      </c>
      <c r="F115" s="2591">
        <v>25</v>
      </c>
      <c r="G115" s="2590"/>
      <c r="H115" s="2600"/>
      <c r="I115" s="2600"/>
    </row>
    <row r="116" spans="1:9" ht="27" customHeight="1">
      <c r="A116" s="2607" t="s">
        <v>2522</v>
      </c>
      <c r="B116" s="2608"/>
      <c r="C116" s="2590" t="s">
        <v>2513</v>
      </c>
      <c r="D116" s="2603" t="s">
        <v>2523</v>
      </c>
      <c r="E116" s="2591">
        <v>700</v>
      </c>
      <c r="F116" s="2591">
        <v>25</v>
      </c>
      <c r="G116" s="2590"/>
      <c r="H116" s="2600"/>
      <c r="I116" s="2600"/>
    </row>
    <row r="117" spans="1:9" ht="27" customHeight="1">
      <c r="A117" s="2607" t="s">
        <v>2522</v>
      </c>
      <c r="B117" s="2608"/>
      <c r="C117" s="2590" t="s">
        <v>2513</v>
      </c>
      <c r="D117" s="2603" t="s">
        <v>2524</v>
      </c>
      <c r="E117" s="2591">
        <v>460</v>
      </c>
      <c r="F117" s="2591">
        <v>25</v>
      </c>
      <c r="G117" s="2590"/>
      <c r="H117" s="2600"/>
      <c r="I117" s="2600"/>
    </row>
    <row r="118" spans="1:9" ht="27" customHeight="1">
      <c r="A118" s="2607" t="s">
        <v>2522</v>
      </c>
      <c r="B118" s="2608"/>
      <c r="C118" s="2590" t="s">
        <v>2513</v>
      </c>
      <c r="D118" s="2603" t="s">
        <v>2525</v>
      </c>
      <c r="E118" s="2591">
        <v>380</v>
      </c>
      <c r="F118" s="2591">
        <v>25</v>
      </c>
      <c r="G118" s="2590"/>
      <c r="H118" s="2600"/>
      <c r="I118" s="2600"/>
    </row>
    <row r="119" spans="1:9" ht="27" customHeight="1">
      <c r="A119" s="2588" t="s">
        <v>2526</v>
      </c>
      <c r="B119" s="2591" t="s">
        <v>2489</v>
      </c>
      <c r="C119" s="2590" t="s">
        <v>2035</v>
      </c>
      <c r="D119" s="2591" t="s">
        <v>2527</v>
      </c>
      <c r="E119" s="2591">
        <v>2</v>
      </c>
      <c r="F119" s="2591">
        <v>12</v>
      </c>
      <c r="G119" s="2590"/>
      <c r="H119" s="2600"/>
      <c r="I119" s="2600"/>
    </row>
    <row r="120" spans="1:9" ht="27" customHeight="1">
      <c r="A120" s="2588" t="s">
        <v>2528</v>
      </c>
      <c r="B120" s="2591" t="s">
        <v>2529</v>
      </c>
      <c r="C120" s="2590" t="s">
        <v>2035</v>
      </c>
      <c r="D120" s="2591" t="s">
        <v>2527</v>
      </c>
      <c r="E120" s="2591">
        <v>1</v>
      </c>
      <c r="F120" s="2591">
        <v>12</v>
      </c>
      <c r="G120" s="2590"/>
      <c r="H120" s="2600"/>
      <c r="I120" s="2600"/>
    </row>
    <row r="121" spans="1:9" ht="27" customHeight="1">
      <c r="A121" s="2588" t="s">
        <v>2530</v>
      </c>
      <c r="B121" s="2591" t="s">
        <v>2531</v>
      </c>
      <c r="C121" s="2590" t="s">
        <v>2035</v>
      </c>
      <c r="D121" s="2591" t="s">
        <v>2527</v>
      </c>
      <c r="E121" s="2591">
        <v>2</v>
      </c>
      <c r="F121" s="2591">
        <v>12</v>
      </c>
      <c r="G121" s="2590"/>
      <c r="H121" s="2600"/>
      <c r="I121" s="2600"/>
    </row>
    <row r="122" spans="1:9" ht="27" customHeight="1">
      <c r="A122" s="2588" t="s">
        <v>2532</v>
      </c>
      <c r="B122" s="2591" t="s">
        <v>2533</v>
      </c>
      <c r="C122" s="2590" t="s">
        <v>2035</v>
      </c>
      <c r="D122" s="2591" t="s">
        <v>2527</v>
      </c>
      <c r="E122" s="2591">
        <v>2</v>
      </c>
      <c r="F122" s="2591">
        <v>12</v>
      </c>
      <c r="G122" s="2590"/>
      <c r="H122" s="2600"/>
      <c r="I122" s="2600"/>
    </row>
    <row r="123" spans="1:9" ht="27" customHeight="1">
      <c r="A123" s="2588" t="s">
        <v>2534</v>
      </c>
      <c r="B123" s="2591" t="s">
        <v>2535</v>
      </c>
      <c r="C123" s="2590" t="s">
        <v>2035</v>
      </c>
      <c r="D123" s="2591" t="s">
        <v>2536</v>
      </c>
      <c r="E123" s="2591">
        <v>5</v>
      </c>
      <c r="F123" s="2591">
        <v>12</v>
      </c>
      <c r="G123" s="2590"/>
      <c r="H123" s="2600"/>
      <c r="I123" s="2600"/>
    </row>
    <row r="124" spans="1:9" ht="27" customHeight="1">
      <c r="A124" s="2609" t="s">
        <v>2537</v>
      </c>
      <c r="B124" s="2603" t="s">
        <v>2538</v>
      </c>
      <c r="C124" s="2590" t="s">
        <v>2035</v>
      </c>
      <c r="D124" s="2603" t="s">
        <v>2539</v>
      </c>
      <c r="E124" s="2603">
        <v>10</v>
      </c>
      <c r="F124" s="2591">
        <v>12</v>
      </c>
      <c r="G124" s="2590"/>
      <c r="H124" s="2600"/>
      <c r="I124" s="2600"/>
    </row>
    <row r="125" spans="1:9" ht="27" customHeight="1">
      <c r="A125" s="2610" t="s">
        <v>2540</v>
      </c>
      <c r="B125" s="2589"/>
      <c r="C125" s="2590" t="s">
        <v>2035</v>
      </c>
      <c r="D125" s="2591" t="s">
        <v>2539</v>
      </c>
      <c r="E125" s="2611">
        <v>10</v>
      </c>
      <c r="F125" s="2590">
        <v>12</v>
      </c>
      <c r="G125" s="2590"/>
      <c r="H125" s="2600"/>
      <c r="I125" s="2600"/>
    </row>
    <row r="126" spans="1:9" ht="27" customHeight="1">
      <c r="A126" s="2609" t="s">
        <v>2541</v>
      </c>
      <c r="B126" s="2591" t="s">
        <v>2542</v>
      </c>
      <c r="C126" s="2590" t="s">
        <v>2035</v>
      </c>
      <c r="D126" s="2591" t="s">
        <v>2539</v>
      </c>
      <c r="E126" s="2591">
        <v>20</v>
      </c>
      <c r="F126" s="2591">
        <v>12</v>
      </c>
      <c r="G126" s="2590"/>
      <c r="H126" s="2600"/>
      <c r="I126" s="2600"/>
    </row>
    <row r="127" spans="1:9" ht="27" customHeight="1">
      <c r="A127" s="2609" t="s">
        <v>2543</v>
      </c>
      <c r="B127" s="2591"/>
      <c r="C127" s="2590" t="s">
        <v>2035</v>
      </c>
      <c r="D127" s="2591" t="s">
        <v>2539</v>
      </c>
      <c r="E127" s="2591">
        <v>10</v>
      </c>
      <c r="F127" s="2591">
        <v>12</v>
      </c>
      <c r="G127" s="2590"/>
      <c r="H127" s="2600"/>
      <c r="I127" s="2600"/>
    </row>
    <row r="128" spans="1:9" ht="27" customHeight="1">
      <c r="A128" s="2609" t="s">
        <v>2544</v>
      </c>
      <c r="B128" s="2603" t="s">
        <v>2545</v>
      </c>
      <c r="C128" s="2590" t="s">
        <v>2035</v>
      </c>
      <c r="D128" s="2591" t="s">
        <v>2539</v>
      </c>
      <c r="E128" s="2603">
        <v>10</v>
      </c>
      <c r="F128" s="2591">
        <v>12</v>
      </c>
      <c r="G128" s="2590"/>
      <c r="H128" s="2600"/>
      <c r="I128" s="2600"/>
    </row>
    <row r="129" spans="1:9" ht="27" customHeight="1">
      <c r="A129" s="2609" t="s">
        <v>2546</v>
      </c>
      <c r="B129" s="2591" t="s">
        <v>2547</v>
      </c>
      <c r="C129" s="2590" t="s">
        <v>2035</v>
      </c>
      <c r="D129" s="2591" t="s">
        <v>2539</v>
      </c>
      <c r="E129" s="2591">
        <v>50</v>
      </c>
      <c r="F129" s="2591">
        <v>12</v>
      </c>
      <c r="G129" s="2590"/>
      <c r="H129" s="2600"/>
      <c r="I129" s="3270"/>
    </row>
    <row r="130" spans="1:9" ht="27" customHeight="1">
      <c r="A130" s="2609" t="s">
        <v>2548</v>
      </c>
      <c r="B130" s="2603" t="s">
        <v>2549</v>
      </c>
      <c r="C130" s="2590" t="s">
        <v>2035</v>
      </c>
      <c r="D130" s="2603" t="s">
        <v>2550</v>
      </c>
      <c r="E130" s="2603">
        <v>30</v>
      </c>
      <c r="F130" s="2591">
        <v>12</v>
      </c>
      <c r="G130" s="2590"/>
      <c r="H130" s="2600"/>
      <c r="I130" s="3270"/>
    </row>
    <row r="131" spans="1:9" ht="27" customHeight="1">
      <c r="A131" s="2609" t="s">
        <v>2551</v>
      </c>
      <c r="B131" s="2603" t="s">
        <v>2549</v>
      </c>
      <c r="C131" s="2590" t="s">
        <v>2035</v>
      </c>
      <c r="D131" s="2603" t="s">
        <v>2550</v>
      </c>
      <c r="E131" s="2603">
        <v>30</v>
      </c>
      <c r="F131" s="2591">
        <v>12</v>
      </c>
      <c r="G131" s="2590"/>
      <c r="H131" s="2600"/>
      <c r="I131" s="2600"/>
    </row>
    <row r="132" spans="1:9" ht="27" customHeight="1">
      <c r="A132" s="2609" t="s">
        <v>2552</v>
      </c>
      <c r="B132" s="2603" t="s">
        <v>2553</v>
      </c>
      <c r="C132" s="2590" t="s">
        <v>2035</v>
      </c>
      <c r="D132" s="2603" t="s">
        <v>2550</v>
      </c>
      <c r="E132" s="2603">
        <v>30</v>
      </c>
      <c r="F132" s="2591">
        <v>12</v>
      </c>
      <c r="G132" s="2590"/>
      <c r="H132" s="2600"/>
      <c r="I132" s="2600"/>
    </row>
    <row r="133" spans="1:9" ht="27" customHeight="1">
      <c r="A133" s="2609" t="s">
        <v>2554</v>
      </c>
      <c r="B133" s="2603" t="s">
        <v>2553</v>
      </c>
      <c r="C133" s="2590" t="s">
        <v>2035</v>
      </c>
      <c r="D133" s="2603" t="s">
        <v>2550</v>
      </c>
      <c r="E133" s="2603">
        <v>5</v>
      </c>
      <c r="F133" s="2591">
        <v>12</v>
      </c>
      <c r="G133" s="2590"/>
      <c r="H133" s="2600"/>
      <c r="I133" s="2600"/>
    </row>
    <row r="134" spans="1:9" ht="27" customHeight="1">
      <c r="A134" s="2609" t="s">
        <v>2555</v>
      </c>
      <c r="B134" s="2603" t="s">
        <v>2556</v>
      </c>
      <c r="C134" s="2590" t="s">
        <v>2035</v>
      </c>
      <c r="D134" s="2603" t="s">
        <v>2550</v>
      </c>
      <c r="E134" s="2603">
        <v>10</v>
      </c>
      <c r="F134" s="2591">
        <v>12</v>
      </c>
      <c r="G134" s="2590"/>
      <c r="H134" s="2600"/>
      <c r="I134" s="2600"/>
    </row>
    <row r="135" spans="1:9" ht="38.25" customHeight="1">
      <c r="A135" s="2609" t="s">
        <v>2546</v>
      </c>
      <c r="B135" s="2603"/>
      <c r="C135" s="2590" t="s">
        <v>2035</v>
      </c>
      <c r="D135" s="2603" t="s">
        <v>2557</v>
      </c>
      <c r="E135" s="2603">
        <v>50</v>
      </c>
      <c r="F135" s="2591">
        <v>12</v>
      </c>
      <c r="G135" s="2590"/>
      <c r="H135" s="2600"/>
      <c r="I135" s="2600"/>
    </row>
    <row r="136" spans="1:9" ht="27" customHeight="1">
      <c r="A136" s="2609" t="s">
        <v>2558</v>
      </c>
      <c r="B136" s="2603"/>
      <c r="C136" s="2590" t="s">
        <v>2035</v>
      </c>
      <c r="D136" s="2603" t="s">
        <v>2557</v>
      </c>
      <c r="E136" s="2603">
        <v>10</v>
      </c>
      <c r="F136" s="2591">
        <v>12</v>
      </c>
      <c r="G136" s="2590"/>
      <c r="H136" s="2600"/>
      <c r="I136" s="2600"/>
    </row>
    <row r="137" spans="1:9" ht="27" customHeight="1">
      <c r="A137" s="2609" t="s">
        <v>2559</v>
      </c>
      <c r="B137" s="2603"/>
      <c r="C137" s="2590" t="s">
        <v>2035</v>
      </c>
      <c r="D137" s="2603" t="s">
        <v>2557</v>
      </c>
      <c r="E137" s="2603">
        <v>5</v>
      </c>
      <c r="F137" s="2591">
        <v>12</v>
      </c>
      <c r="G137" s="2590"/>
      <c r="H137" s="2600"/>
      <c r="I137" s="2600"/>
    </row>
    <row r="138" spans="1:9" ht="27" customHeight="1">
      <c r="A138" s="2609" t="s">
        <v>2558</v>
      </c>
      <c r="B138" s="2603"/>
      <c r="C138" s="2590" t="s">
        <v>2035</v>
      </c>
      <c r="D138" s="2603" t="s">
        <v>2557</v>
      </c>
      <c r="E138" s="2603">
        <v>20</v>
      </c>
      <c r="F138" s="2591">
        <v>12</v>
      </c>
      <c r="G138" s="2590"/>
      <c r="H138" s="2600"/>
      <c r="I138" s="2600"/>
    </row>
    <row r="139" spans="1:9" ht="27" customHeight="1">
      <c r="A139" s="2609" t="s">
        <v>2560</v>
      </c>
      <c r="B139" s="2603"/>
      <c r="C139" s="2590" t="s">
        <v>2035</v>
      </c>
      <c r="D139" s="2603" t="s">
        <v>2557</v>
      </c>
      <c r="E139" s="2603">
        <v>5</v>
      </c>
      <c r="F139" s="2591">
        <v>12</v>
      </c>
      <c r="G139" s="2590"/>
      <c r="H139" s="2600"/>
      <c r="I139" s="2600"/>
    </row>
    <row r="140" spans="1:9" ht="27" customHeight="1">
      <c r="A140" s="2609" t="s">
        <v>2561</v>
      </c>
      <c r="B140" s="2603"/>
      <c r="C140" s="2590" t="s">
        <v>2035</v>
      </c>
      <c r="D140" s="2603" t="s">
        <v>2557</v>
      </c>
      <c r="E140" s="2603">
        <v>15</v>
      </c>
      <c r="F140" s="2591">
        <v>12</v>
      </c>
      <c r="G140" s="2590"/>
      <c r="H140" s="2600"/>
      <c r="I140" s="2600"/>
    </row>
    <row r="141" spans="1:9" ht="27" customHeight="1">
      <c r="A141" s="2609" t="s">
        <v>2562</v>
      </c>
      <c r="B141" s="2603"/>
      <c r="C141" s="2590" t="s">
        <v>2035</v>
      </c>
      <c r="D141" s="2603" t="s">
        <v>2557</v>
      </c>
      <c r="E141" s="2603">
        <v>5</v>
      </c>
      <c r="F141" s="2591">
        <v>12</v>
      </c>
      <c r="G141" s="2590"/>
      <c r="H141" s="2600"/>
      <c r="I141" s="2600"/>
    </row>
    <row r="142" spans="1:9" ht="27" customHeight="1">
      <c r="A142" s="2609" t="s">
        <v>2563</v>
      </c>
      <c r="B142" s="2603"/>
      <c r="C142" s="2590" t="s">
        <v>2035</v>
      </c>
      <c r="D142" s="2603" t="s">
        <v>2557</v>
      </c>
      <c r="E142" s="2603">
        <v>5</v>
      </c>
      <c r="F142" s="2591">
        <v>12</v>
      </c>
      <c r="G142" s="2590"/>
      <c r="H142" s="2600"/>
      <c r="I142" s="2600"/>
    </row>
    <row r="143" spans="1:9" ht="27" customHeight="1">
      <c r="A143" s="2609" t="s">
        <v>2564</v>
      </c>
      <c r="B143" s="2603" t="s">
        <v>2542</v>
      </c>
      <c r="C143" s="2590" t="s">
        <v>2035</v>
      </c>
      <c r="D143" s="2603" t="s">
        <v>2557</v>
      </c>
      <c r="E143" s="2603">
        <v>20</v>
      </c>
      <c r="F143" s="2591">
        <v>12</v>
      </c>
      <c r="G143" s="2590"/>
      <c r="H143" s="2600"/>
      <c r="I143" s="2600"/>
    </row>
    <row r="144" spans="1:9" ht="27" customHeight="1">
      <c r="A144" s="2609" t="s">
        <v>2565</v>
      </c>
      <c r="B144" s="2603"/>
      <c r="C144" s="2590" t="s">
        <v>2035</v>
      </c>
      <c r="D144" s="2603" t="s">
        <v>2557</v>
      </c>
      <c r="E144" s="2603">
        <v>5</v>
      </c>
      <c r="F144" s="2591">
        <v>12</v>
      </c>
      <c r="G144" s="2590"/>
      <c r="H144" s="2600"/>
      <c r="I144" s="2600"/>
    </row>
    <row r="145" spans="1:9" ht="27" customHeight="1">
      <c r="A145" s="2588" t="s">
        <v>2566</v>
      </c>
      <c r="B145" s="2589"/>
      <c r="C145" s="2590" t="s">
        <v>2035</v>
      </c>
      <c r="D145" s="2603" t="s">
        <v>2557</v>
      </c>
      <c r="E145" s="2591">
        <v>10</v>
      </c>
      <c r="F145" s="2591">
        <v>12</v>
      </c>
      <c r="G145" s="2590"/>
      <c r="H145" s="2600"/>
      <c r="I145" s="2600"/>
    </row>
    <row r="146" spans="1:9" ht="27" customHeight="1">
      <c r="A146" s="2588" t="s">
        <v>2567</v>
      </c>
      <c r="B146" s="2589"/>
      <c r="C146" s="2590" t="s">
        <v>2035</v>
      </c>
      <c r="D146" s="2603" t="s">
        <v>2557</v>
      </c>
      <c r="E146" s="2591">
        <v>50</v>
      </c>
      <c r="F146" s="2591">
        <v>12</v>
      </c>
      <c r="G146" s="2590"/>
      <c r="H146" s="2600"/>
      <c r="I146" s="2600"/>
    </row>
    <row r="147" spans="1:9" ht="27" customHeight="1">
      <c r="A147" s="2588" t="s">
        <v>2568</v>
      </c>
      <c r="B147" s="2589"/>
      <c r="C147" s="2590" t="s">
        <v>2035</v>
      </c>
      <c r="D147" s="2603" t="s">
        <v>2557</v>
      </c>
      <c r="E147" s="2591">
        <v>5</v>
      </c>
      <c r="F147" s="2591">
        <v>12</v>
      </c>
      <c r="G147" s="2590"/>
      <c r="H147" s="2600"/>
      <c r="I147" s="2600"/>
    </row>
    <row r="148" spans="1:9" ht="27" customHeight="1">
      <c r="A148" s="2588" t="s">
        <v>2569</v>
      </c>
      <c r="B148" s="2589"/>
      <c r="C148" s="2590" t="s">
        <v>2035</v>
      </c>
      <c r="D148" s="2603" t="s">
        <v>2570</v>
      </c>
      <c r="E148" s="2603">
        <v>100</v>
      </c>
      <c r="F148" s="2591">
        <v>12</v>
      </c>
      <c r="G148" s="2589"/>
      <c r="H148" s="2600"/>
      <c r="I148" s="2600"/>
    </row>
    <row r="149" spans="1:9" ht="27" customHeight="1">
      <c r="A149" s="2588" t="s">
        <v>2571</v>
      </c>
      <c r="B149" s="2589"/>
      <c r="C149" s="2590" t="s">
        <v>2035</v>
      </c>
      <c r="D149" s="2603" t="s">
        <v>2570</v>
      </c>
      <c r="E149" s="2603">
        <v>20</v>
      </c>
      <c r="F149" s="2591">
        <v>12</v>
      </c>
      <c r="G149" s="2599"/>
      <c r="H149" s="2600"/>
      <c r="I149" s="2600"/>
    </row>
    <row r="150" spans="1:9" ht="27" customHeight="1">
      <c r="A150" s="2588" t="s">
        <v>2572</v>
      </c>
      <c r="B150" s="2589"/>
      <c r="C150" s="2590" t="s">
        <v>2035</v>
      </c>
      <c r="D150" s="2603" t="s">
        <v>2573</v>
      </c>
      <c r="E150" s="2603">
        <v>50</v>
      </c>
      <c r="F150" s="2591">
        <v>12</v>
      </c>
      <c r="G150" s="2599"/>
      <c r="H150" s="2600"/>
      <c r="I150" s="2600"/>
    </row>
    <row r="151" spans="1:9" ht="27" customHeight="1">
      <c r="A151" s="2588" t="s">
        <v>2574</v>
      </c>
      <c r="B151" s="2589"/>
      <c r="C151" s="2590" t="s">
        <v>2035</v>
      </c>
      <c r="D151" s="2603" t="s">
        <v>2573</v>
      </c>
      <c r="E151" s="2603">
        <v>75</v>
      </c>
      <c r="F151" s="2591">
        <v>12</v>
      </c>
      <c r="G151" s="2599"/>
      <c r="H151" s="2600"/>
      <c r="I151" s="2600"/>
    </row>
    <row r="152" spans="1:9" ht="27" customHeight="1">
      <c r="A152" s="2588" t="s">
        <v>2571</v>
      </c>
      <c r="B152" s="2589"/>
      <c r="C152" s="2590" t="s">
        <v>2035</v>
      </c>
      <c r="D152" s="2603" t="s">
        <v>2570</v>
      </c>
      <c r="E152" s="2603">
        <v>5</v>
      </c>
      <c r="F152" s="2591">
        <v>12</v>
      </c>
      <c r="G152" s="2599"/>
      <c r="H152" s="2600"/>
      <c r="I152" s="2600"/>
    </row>
    <row r="153" spans="1:9" ht="27" customHeight="1">
      <c r="A153" s="2588" t="s">
        <v>2575</v>
      </c>
      <c r="B153" s="2589"/>
      <c r="C153" s="2590" t="s">
        <v>2035</v>
      </c>
      <c r="D153" s="2603" t="s">
        <v>2576</v>
      </c>
      <c r="E153" s="2603">
        <v>40</v>
      </c>
      <c r="F153" s="2591">
        <v>12</v>
      </c>
      <c r="G153" s="2599"/>
      <c r="H153" s="2600"/>
      <c r="I153" s="2600"/>
    </row>
    <row r="154" spans="1:9" ht="27" customHeight="1">
      <c r="A154" s="2588" t="s">
        <v>2577</v>
      </c>
      <c r="B154" s="2589"/>
      <c r="C154" s="2590" t="s">
        <v>2035</v>
      </c>
      <c r="D154" s="2603" t="s">
        <v>2576</v>
      </c>
      <c r="E154" s="2603">
        <v>40</v>
      </c>
      <c r="F154" s="2591">
        <v>12</v>
      </c>
      <c r="G154" s="2599"/>
      <c r="H154" s="2600"/>
      <c r="I154" s="2600"/>
    </row>
    <row r="155" spans="1:9" ht="27" customHeight="1">
      <c r="A155" s="2588" t="s">
        <v>2578</v>
      </c>
      <c r="B155" s="2589"/>
      <c r="C155" s="2590" t="s">
        <v>2035</v>
      </c>
      <c r="D155" s="2603" t="s">
        <v>2576</v>
      </c>
      <c r="E155" s="2603">
        <v>40</v>
      </c>
      <c r="F155" s="2591">
        <v>12</v>
      </c>
      <c r="G155" s="2599"/>
      <c r="H155" s="2600"/>
      <c r="I155" s="2600"/>
    </row>
    <row r="156" spans="1:9" ht="27" customHeight="1">
      <c r="A156" s="2588" t="s">
        <v>2579</v>
      </c>
      <c r="B156" s="2589"/>
      <c r="C156" s="2590" t="s">
        <v>2035</v>
      </c>
      <c r="D156" s="2603" t="s">
        <v>2576</v>
      </c>
      <c r="E156" s="2603">
        <v>40</v>
      </c>
      <c r="F156" s="2591">
        <v>12</v>
      </c>
      <c r="G156" s="2590"/>
      <c r="H156" s="2589"/>
      <c r="I156" s="2589"/>
    </row>
    <row r="157" spans="1:9" ht="27" customHeight="1">
      <c r="A157" s="2588" t="s">
        <v>2580</v>
      </c>
      <c r="B157" s="2589"/>
      <c r="C157" s="2590" t="s">
        <v>2035</v>
      </c>
      <c r="D157" s="2603" t="s">
        <v>2576</v>
      </c>
      <c r="E157" s="2603">
        <v>40</v>
      </c>
      <c r="F157" s="2591">
        <v>12</v>
      </c>
      <c r="G157" s="2590"/>
      <c r="H157" s="2589"/>
      <c r="I157" s="2589"/>
    </row>
    <row r="158" spans="1:9" ht="27" customHeight="1">
      <c r="A158" s="2588" t="s">
        <v>2581</v>
      </c>
      <c r="B158" s="2589"/>
      <c r="C158" s="2590" t="s">
        <v>2035</v>
      </c>
      <c r="D158" s="2591" t="s">
        <v>2582</v>
      </c>
      <c r="E158" s="2591">
        <v>20</v>
      </c>
      <c r="F158" s="2603">
        <v>25</v>
      </c>
      <c r="G158" s="2590"/>
      <c r="H158" s="2589"/>
      <c r="I158" s="2589"/>
    </row>
    <row r="159" spans="1:9" ht="27" customHeight="1">
      <c r="A159" s="2588" t="s">
        <v>2581</v>
      </c>
      <c r="B159" s="2589"/>
      <c r="C159" s="2590" t="s">
        <v>2035</v>
      </c>
      <c r="D159" s="2591" t="s">
        <v>2582</v>
      </c>
      <c r="E159" s="2591">
        <v>20</v>
      </c>
      <c r="F159" s="2603">
        <v>25</v>
      </c>
      <c r="G159" s="2590"/>
      <c r="H159" s="2589"/>
      <c r="I159" s="2589"/>
    </row>
    <row r="160" spans="1:9" ht="27" customHeight="1">
      <c r="A160" s="2588" t="s">
        <v>2583</v>
      </c>
      <c r="B160" s="2589"/>
      <c r="C160" s="2590" t="s">
        <v>2035</v>
      </c>
      <c r="D160" s="2591" t="s">
        <v>2582</v>
      </c>
      <c r="E160" s="2591">
        <v>140</v>
      </c>
      <c r="F160" s="2603">
        <v>25</v>
      </c>
      <c r="G160" s="2590"/>
      <c r="H160" s="2589"/>
      <c r="I160" s="2589"/>
    </row>
    <row r="161" spans="1:9" ht="27" customHeight="1">
      <c r="A161" s="2612" t="s">
        <v>2584</v>
      </c>
      <c r="B161" s="2589"/>
      <c r="C161" s="2590" t="s">
        <v>2035</v>
      </c>
      <c r="D161" s="2591" t="s">
        <v>2582</v>
      </c>
      <c r="E161" s="2591">
        <v>20</v>
      </c>
      <c r="F161" s="2603">
        <v>25</v>
      </c>
      <c r="G161" s="2590"/>
      <c r="H161" s="2589"/>
      <c r="I161" s="2589"/>
    </row>
    <row r="162" spans="1:9" ht="27" customHeight="1">
      <c r="A162" s="2588" t="s">
        <v>2585</v>
      </c>
      <c r="B162" s="2589" t="s">
        <v>2586</v>
      </c>
      <c r="C162" s="2590" t="s">
        <v>2035</v>
      </c>
      <c r="D162" s="2591" t="s">
        <v>2582</v>
      </c>
      <c r="E162" s="2591">
        <v>50</v>
      </c>
      <c r="F162" s="2603">
        <v>25</v>
      </c>
      <c r="G162" s="2590"/>
      <c r="H162" s="2589"/>
      <c r="I162" s="2589"/>
    </row>
    <row r="163" spans="1:9" ht="27" customHeight="1">
      <c r="A163" s="2588" t="s">
        <v>2587</v>
      </c>
      <c r="B163" s="2589" t="s">
        <v>2588</v>
      </c>
      <c r="C163" s="2590" t="s">
        <v>2035</v>
      </c>
      <c r="D163" s="2591" t="s">
        <v>2582</v>
      </c>
      <c r="E163" s="2591">
        <v>50</v>
      </c>
      <c r="F163" s="2603">
        <v>25</v>
      </c>
      <c r="G163" s="2590"/>
      <c r="H163" s="2589"/>
      <c r="I163" s="2589"/>
    </row>
    <row r="164" spans="1:9" ht="27" customHeight="1">
      <c r="A164" s="2588" t="s">
        <v>2589</v>
      </c>
      <c r="B164" s="2589"/>
      <c r="C164" s="2590" t="s">
        <v>2035</v>
      </c>
      <c r="D164" s="2591" t="s">
        <v>2590</v>
      </c>
      <c r="E164" s="2591">
        <v>50</v>
      </c>
      <c r="F164" s="2603">
        <v>25</v>
      </c>
      <c r="G164" s="2590"/>
      <c r="H164" s="2589"/>
      <c r="I164" s="2589"/>
    </row>
    <row r="165" spans="1:9" ht="27" customHeight="1">
      <c r="A165" s="2588" t="s">
        <v>2589</v>
      </c>
      <c r="B165" s="2589"/>
      <c r="C165" s="2590" t="s">
        <v>2035</v>
      </c>
      <c r="D165" s="2591" t="s">
        <v>2590</v>
      </c>
      <c r="E165" s="2591">
        <v>50</v>
      </c>
      <c r="F165" s="2603">
        <v>25</v>
      </c>
      <c r="G165" s="2613"/>
      <c r="H165" s="2614"/>
      <c r="I165" s="2614"/>
    </row>
    <row r="166" spans="1:9" ht="27" customHeight="1">
      <c r="A166" s="2588" t="s">
        <v>2591</v>
      </c>
      <c r="B166" s="2589"/>
      <c r="C166" s="2590" t="s">
        <v>2035</v>
      </c>
      <c r="D166" s="2591" t="s">
        <v>2592</v>
      </c>
      <c r="E166" s="2591">
        <v>50</v>
      </c>
      <c r="F166" s="2603">
        <v>25</v>
      </c>
      <c r="G166" s="2613"/>
      <c r="H166" s="2614"/>
      <c r="I166" s="2614"/>
    </row>
    <row r="167" spans="1:9" ht="27" customHeight="1">
      <c r="A167" s="2588" t="s">
        <v>2593</v>
      </c>
      <c r="B167" s="2589" t="s">
        <v>2594</v>
      </c>
      <c r="C167" s="2590" t="s">
        <v>2035</v>
      </c>
      <c r="D167" s="2591" t="s">
        <v>2595</v>
      </c>
      <c r="E167" s="2591">
        <v>85</v>
      </c>
      <c r="F167" s="2603">
        <v>25</v>
      </c>
      <c r="G167" s="2613"/>
      <c r="H167" s="2614"/>
      <c r="I167" s="2614"/>
    </row>
    <row r="168" spans="1:9" ht="40.5" customHeight="1">
      <c r="A168" s="2601" t="s">
        <v>2596</v>
      </c>
      <c r="B168" s="2589"/>
      <c r="C168" s="2590" t="s">
        <v>2035</v>
      </c>
      <c r="D168" s="2591" t="s">
        <v>2597</v>
      </c>
      <c r="E168" s="2591">
        <v>50</v>
      </c>
      <c r="F168" s="2603">
        <v>25</v>
      </c>
      <c r="G168" s="2590"/>
      <c r="H168" s="2589"/>
      <c r="I168" s="2589"/>
    </row>
    <row r="169" spans="1:9" ht="27" customHeight="1">
      <c r="A169" s="2601" t="s">
        <v>2598</v>
      </c>
      <c r="B169" s="2589" t="s">
        <v>2599</v>
      </c>
      <c r="C169" s="2590" t="s">
        <v>2035</v>
      </c>
      <c r="D169" s="2591" t="s">
        <v>2597</v>
      </c>
      <c r="E169" s="2591">
        <v>50</v>
      </c>
      <c r="F169" s="2603">
        <v>25</v>
      </c>
      <c r="G169" s="2590"/>
      <c r="H169" s="2589"/>
      <c r="I169" s="2589"/>
    </row>
    <row r="170" spans="1:9" ht="36" customHeight="1">
      <c r="A170" s="2601" t="s">
        <v>2600</v>
      </c>
      <c r="B170" s="2589" t="s">
        <v>2344</v>
      </c>
      <c r="C170" s="2590" t="s">
        <v>2035</v>
      </c>
      <c r="D170" s="2591" t="s">
        <v>2597</v>
      </c>
      <c r="E170" s="2591">
        <v>50</v>
      </c>
      <c r="F170" s="2603">
        <v>25</v>
      </c>
      <c r="G170" s="2590"/>
      <c r="H170" s="2589"/>
      <c r="I170" s="2589"/>
    </row>
    <row r="171" spans="1:9" ht="27" customHeight="1">
      <c r="A171" s="2601" t="s">
        <v>2598</v>
      </c>
      <c r="B171" s="2589" t="s">
        <v>2599</v>
      </c>
      <c r="C171" s="2590" t="s">
        <v>2035</v>
      </c>
      <c r="D171" s="2591" t="s">
        <v>2597</v>
      </c>
      <c r="E171" s="2591">
        <v>25</v>
      </c>
      <c r="F171" s="2603">
        <v>25</v>
      </c>
      <c r="G171" s="2590"/>
      <c r="H171" s="2589"/>
      <c r="I171" s="2589"/>
    </row>
    <row r="172" spans="1:9" ht="27" customHeight="1">
      <c r="A172" s="2601" t="s">
        <v>2601</v>
      </c>
      <c r="B172" s="2589" t="s">
        <v>2602</v>
      </c>
      <c r="C172" s="2590" t="s">
        <v>2035</v>
      </c>
      <c r="D172" s="2591" t="s">
        <v>2603</v>
      </c>
      <c r="E172" s="2591">
        <v>150</v>
      </c>
      <c r="F172" s="2603">
        <v>25</v>
      </c>
      <c r="G172" s="2590"/>
      <c r="H172" s="2589"/>
      <c r="I172" s="2589"/>
    </row>
    <row r="173" spans="1:9" ht="27" customHeight="1">
      <c r="A173" s="2588" t="s">
        <v>2604</v>
      </c>
      <c r="B173" s="2589"/>
      <c r="C173" s="2590" t="s">
        <v>2035</v>
      </c>
      <c r="D173" s="2591" t="s">
        <v>2536</v>
      </c>
      <c r="E173" s="2591">
        <v>55</v>
      </c>
      <c r="F173" s="2606">
        <v>20</v>
      </c>
      <c r="G173" s="2590"/>
      <c r="H173" s="2589"/>
      <c r="I173" s="2589"/>
    </row>
    <row r="174" spans="1:9" ht="27" customHeight="1">
      <c r="A174" s="2588" t="s">
        <v>2605</v>
      </c>
      <c r="B174" s="2589"/>
      <c r="C174" s="2590" t="s">
        <v>2035</v>
      </c>
      <c r="D174" s="2591" t="s">
        <v>2606</v>
      </c>
      <c r="E174" s="2591">
        <v>750</v>
      </c>
      <c r="F174" s="2603">
        <v>25</v>
      </c>
      <c r="G174" s="2590"/>
      <c r="H174" s="2589"/>
      <c r="I174" s="2589"/>
    </row>
    <row r="175" spans="1:9" ht="27" customHeight="1">
      <c r="A175" s="2588" t="s">
        <v>2607</v>
      </c>
      <c r="B175" s="2589"/>
      <c r="C175" s="2590" t="s">
        <v>2035</v>
      </c>
      <c r="D175" s="2591" t="s">
        <v>2608</v>
      </c>
      <c r="E175" s="2591">
        <v>200</v>
      </c>
      <c r="F175" s="2603">
        <v>25</v>
      </c>
      <c r="G175" s="2590"/>
      <c r="H175" s="2589"/>
      <c r="I175" s="2589"/>
    </row>
    <row r="176" spans="1:9" ht="27" customHeight="1">
      <c r="A176" s="2601" t="s">
        <v>2609</v>
      </c>
      <c r="B176" s="2589"/>
      <c r="C176" s="2590" t="s">
        <v>2035</v>
      </c>
      <c r="D176" s="2591" t="s">
        <v>2610</v>
      </c>
      <c r="E176" s="2589">
        <v>20</v>
      </c>
      <c r="F176" s="2590">
        <v>25</v>
      </c>
      <c r="G176" s="2590"/>
      <c r="H176" s="2589"/>
      <c r="I176" s="2589"/>
    </row>
    <row r="177" spans="1:9" ht="27" customHeight="1">
      <c r="A177" s="2593" t="s">
        <v>2609</v>
      </c>
      <c r="B177" s="2589"/>
      <c r="C177" s="2590" t="s">
        <v>2035</v>
      </c>
      <c r="D177" s="2591" t="s">
        <v>2610</v>
      </c>
      <c r="E177" s="2592">
        <v>20</v>
      </c>
      <c r="F177" s="2590">
        <v>25</v>
      </c>
      <c r="G177" s="2590"/>
      <c r="H177" s="2600"/>
      <c r="I177" s="2589"/>
    </row>
    <row r="178" spans="1:9" ht="27" customHeight="1">
      <c r="A178" s="2593" t="s">
        <v>2611</v>
      </c>
      <c r="B178" s="2589"/>
      <c r="C178" s="2590" t="s">
        <v>2035</v>
      </c>
      <c r="D178" s="2591" t="s">
        <v>2610</v>
      </c>
      <c r="E178" s="2592">
        <v>32</v>
      </c>
      <c r="F178" s="2590">
        <v>25</v>
      </c>
      <c r="G178" s="2590"/>
      <c r="H178" s="2600"/>
      <c r="I178" s="2589"/>
    </row>
    <row r="179" spans="1:9" ht="27" customHeight="1">
      <c r="A179" s="2593" t="s">
        <v>2612</v>
      </c>
      <c r="B179" s="2589"/>
      <c r="C179" s="2590" t="s">
        <v>2035</v>
      </c>
      <c r="D179" s="2591" t="s">
        <v>2613</v>
      </c>
      <c r="E179" s="2592">
        <v>75</v>
      </c>
      <c r="F179" s="2590">
        <v>25</v>
      </c>
      <c r="G179" s="2590"/>
      <c r="H179" s="2600"/>
      <c r="I179" s="2589"/>
    </row>
    <row r="180" spans="1:9" ht="27" customHeight="1">
      <c r="A180" s="2593" t="s">
        <v>2614</v>
      </c>
      <c r="B180" s="2589"/>
      <c r="C180" s="2590" t="s">
        <v>2035</v>
      </c>
      <c r="D180" s="2591" t="s">
        <v>2615</v>
      </c>
      <c r="E180" s="2592">
        <v>75</v>
      </c>
      <c r="F180" s="2591"/>
      <c r="G180" s="2590"/>
      <c r="H180" s="2600"/>
      <c r="I180" s="2589"/>
    </row>
    <row r="181" spans="1:9" ht="27" customHeight="1">
      <c r="A181" s="2593" t="s">
        <v>2616</v>
      </c>
      <c r="B181" s="2589"/>
      <c r="C181" s="2590" t="s">
        <v>2035</v>
      </c>
      <c r="D181" s="2591" t="s">
        <v>2615</v>
      </c>
      <c r="E181" s="2592">
        <v>75</v>
      </c>
      <c r="F181" s="2591"/>
      <c r="G181" s="2590"/>
      <c r="H181" s="2600"/>
      <c r="I181" s="2589"/>
    </row>
    <row r="182" spans="1:9" ht="22.9" customHeight="1">
      <c r="A182" s="2588" t="s">
        <v>2617</v>
      </c>
      <c r="B182" s="2589" t="s">
        <v>2529</v>
      </c>
      <c r="C182" s="2590" t="s">
        <v>2618</v>
      </c>
      <c r="D182" s="2615" t="s">
        <v>2619</v>
      </c>
      <c r="E182" s="2616">
        <v>24</v>
      </c>
      <c r="F182" s="2616">
        <v>35</v>
      </c>
      <c r="G182" s="2597"/>
      <c r="H182" s="2597"/>
      <c r="I182" s="2597"/>
    </row>
    <row r="183" spans="1:9" ht="22.9" customHeight="1">
      <c r="A183" s="2588" t="s">
        <v>2620</v>
      </c>
      <c r="B183" s="2589" t="s">
        <v>2345</v>
      </c>
      <c r="C183" s="2590" t="s">
        <v>2618</v>
      </c>
      <c r="D183" s="2603" t="s">
        <v>2621</v>
      </c>
      <c r="E183" s="2591">
        <f>4.95-0.45</f>
        <v>4.5</v>
      </c>
      <c r="F183" s="2591">
        <v>35</v>
      </c>
      <c r="G183" s="2597"/>
      <c r="H183" s="2597"/>
      <c r="I183" s="2597"/>
    </row>
    <row r="184" spans="1:9" ht="22.9" customHeight="1">
      <c r="A184" s="2588" t="s">
        <v>2622</v>
      </c>
      <c r="B184" s="2597" t="s">
        <v>2358</v>
      </c>
      <c r="C184" s="2590" t="s">
        <v>2618</v>
      </c>
      <c r="D184" s="2603" t="s">
        <v>2621</v>
      </c>
      <c r="E184" s="2591">
        <f>7.7-0.7</f>
        <v>7</v>
      </c>
      <c r="F184" s="2591">
        <v>35</v>
      </c>
      <c r="G184" s="2597"/>
      <c r="H184" s="2597"/>
      <c r="I184" s="2597"/>
    </row>
    <row r="185" spans="1:9" ht="22.9" customHeight="1">
      <c r="A185" s="2588" t="s">
        <v>2623</v>
      </c>
      <c r="B185" s="2597" t="s">
        <v>2373</v>
      </c>
      <c r="C185" s="2590" t="s">
        <v>2618</v>
      </c>
      <c r="D185" s="2603" t="s">
        <v>2624</v>
      </c>
      <c r="E185" s="2591">
        <v>3</v>
      </c>
      <c r="F185" s="2591">
        <v>15</v>
      </c>
      <c r="G185" s="2597"/>
      <c r="H185" s="2597"/>
      <c r="I185" s="2597"/>
    </row>
    <row r="186" spans="1:9" ht="22.9" customHeight="1">
      <c r="A186" s="2588" t="s">
        <v>2625</v>
      </c>
      <c r="B186" s="2589" t="s">
        <v>2373</v>
      </c>
      <c r="C186" s="2590" t="s">
        <v>2618</v>
      </c>
      <c r="D186" s="2603" t="s">
        <v>2624</v>
      </c>
      <c r="E186" s="2591">
        <v>3</v>
      </c>
      <c r="F186" s="2591">
        <v>15</v>
      </c>
      <c r="G186" s="2597"/>
      <c r="H186" s="2597"/>
      <c r="I186" s="2597"/>
    </row>
    <row r="187" spans="1:9" ht="22.9" customHeight="1">
      <c r="A187" s="2588" t="s">
        <v>2626</v>
      </c>
      <c r="B187" s="2589" t="s">
        <v>2627</v>
      </c>
      <c r="C187" s="2590" t="s">
        <v>2618</v>
      </c>
      <c r="D187" s="2595" t="s">
        <v>2624</v>
      </c>
      <c r="E187" s="2591">
        <v>3.6</v>
      </c>
      <c r="F187" s="2591">
        <v>15</v>
      </c>
      <c r="G187" s="2597"/>
      <c r="H187" s="2617"/>
      <c r="I187" s="2617"/>
    </row>
    <row r="188" spans="1:9" ht="22.9" customHeight="1">
      <c r="A188" s="2588" t="s">
        <v>2628</v>
      </c>
      <c r="B188" s="2589" t="s">
        <v>2345</v>
      </c>
      <c r="C188" s="2590" t="s">
        <v>2618</v>
      </c>
      <c r="D188" s="2595" t="s">
        <v>2624</v>
      </c>
      <c r="E188" s="2591">
        <v>2.7</v>
      </c>
      <c r="F188" s="2591">
        <v>15</v>
      </c>
      <c r="G188" s="2597"/>
      <c r="H188" s="2617"/>
      <c r="I188" s="2617"/>
    </row>
    <row r="189" spans="1:9" ht="22.9" customHeight="1">
      <c r="A189" s="2588" t="s">
        <v>2629</v>
      </c>
      <c r="B189" s="2589" t="s">
        <v>2358</v>
      </c>
      <c r="C189" s="2590" t="s">
        <v>2618</v>
      </c>
      <c r="D189" s="2595" t="s">
        <v>2624</v>
      </c>
      <c r="E189" s="2591">
        <v>3</v>
      </c>
      <c r="F189" s="2591">
        <v>15</v>
      </c>
      <c r="G189" s="2597"/>
      <c r="H189" s="2617"/>
      <c r="I189" s="2617"/>
    </row>
    <row r="190" spans="1:9" ht="22.9" customHeight="1">
      <c r="A190" s="2588" t="s">
        <v>2630</v>
      </c>
      <c r="B190" s="2589" t="s">
        <v>2358</v>
      </c>
      <c r="C190" s="2590" t="s">
        <v>2618</v>
      </c>
      <c r="D190" s="2595" t="s">
        <v>2624</v>
      </c>
      <c r="E190" s="2591">
        <v>5</v>
      </c>
      <c r="F190" s="2591">
        <v>15</v>
      </c>
      <c r="G190" s="2597"/>
      <c r="H190" s="2617"/>
      <c r="I190" s="2617"/>
    </row>
    <row r="191" spans="1:9" ht="22.9" customHeight="1">
      <c r="A191" s="2588" t="s">
        <v>2631</v>
      </c>
      <c r="B191" s="2589" t="s">
        <v>2345</v>
      </c>
      <c r="C191" s="2590" t="s">
        <v>2618</v>
      </c>
      <c r="D191" s="2595" t="s">
        <v>2624</v>
      </c>
      <c r="E191" s="2591">
        <v>3</v>
      </c>
      <c r="F191" s="2591">
        <v>15</v>
      </c>
      <c r="G191" s="2597"/>
      <c r="H191" s="2617"/>
      <c r="I191" s="2617"/>
    </row>
    <row r="192" spans="1:9" ht="22.9" customHeight="1">
      <c r="A192" s="2588" t="s">
        <v>2632</v>
      </c>
      <c r="B192" s="2589"/>
      <c r="C192" s="2590" t="s">
        <v>2618</v>
      </c>
      <c r="D192" s="2595" t="s">
        <v>2633</v>
      </c>
      <c r="E192" s="2591">
        <v>8</v>
      </c>
      <c r="F192" s="2591">
        <v>15</v>
      </c>
      <c r="G192" s="2597"/>
      <c r="H192" s="2617"/>
      <c r="I192" s="2617"/>
    </row>
  </sheetData>
  <mergeCells count="12">
    <mergeCell ref="I129:I130"/>
    <mergeCell ref="A1:B1"/>
    <mergeCell ref="A2:J2"/>
    <mergeCell ref="H6:I6"/>
    <mergeCell ref="I11:I12"/>
    <mergeCell ref="I13:I14"/>
    <mergeCell ref="I18:I19"/>
    <mergeCell ref="I20:I21"/>
    <mergeCell ref="I28:I29"/>
    <mergeCell ref="I53:I54"/>
    <mergeCell ref="I55:I56"/>
    <mergeCell ref="I58:I59"/>
  </mergeCells>
  <pageMargins left="0.70866141732283472" right="0.70866141732283472" top="0.74803149606299213" bottom="0.74803149606299213" header="0.31496062992125984" footer="0.31496062992125984"/>
  <pageSetup scale="52" orientation="landscape" r:id="rId1"/>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1"/>
  <sheetViews>
    <sheetView view="pageBreakPreview" zoomScale="60" zoomScaleNormal="100" workbookViewId="0">
      <selection activeCell="C105" sqref="C105"/>
    </sheetView>
  </sheetViews>
  <sheetFormatPr defaultRowHeight="12"/>
  <cols>
    <col min="1" max="1" width="15.81640625" style="2306" bestFit="1" customWidth="1"/>
    <col min="2" max="2" width="15.81640625" style="2306" customWidth="1"/>
    <col min="3" max="3" width="44.1796875" style="2306" customWidth="1"/>
    <col min="4" max="4" width="19.26953125" style="2306" customWidth="1"/>
    <col min="5" max="5" width="16" style="2306" customWidth="1"/>
    <col min="6" max="6" width="16.453125" style="2306" customWidth="1"/>
    <col min="7" max="7" width="16.453125" style="2306" bestFit="1" customWidth="1"/>
    <col min="8" max="8" width="16.453125" style="2306" customWidth="1"/>
    <col min="9" max="10" width="12.7265625" style="2306" customWidth="1"/>
    <col min="11" max="11" width="11.1796875" style="2306" customWidth="1"/>
    <col min="12" max="12" width="13.26953125" style="2306" customWidth="1"/>
    <col min="13" max="252" width="9.1796875" style="2306"/>
    <col min="253" max="253" width="14.1796875" style="2306" customWidth="1"/>
    <col min="254" max="254" width="8.453125" style="2306" bestFit="1" customWidth="1"/>
    <col min="255" max="255" width="5.54296875" style="2306" customWidth="1"/>
    <col min="256" max="256" width="4.81640625" style="2306" customWidth="1"/>
    <col min="257" max="257" width="12.54296875" style="2306" customWidth="1"/>
    <col min="258" max="258" width="10.7265625" style="2306" customWidth="1"/>
    <col min="259" max="259" width="9.54296875" style="2306" bestFit="1" customWidth="1"/>
    <col min="260" max="260" width="12.453125" style="2306" customWidth="1"/>
    <col min="261" max="261" width="18.26953125" style="2306" customWidth="1"/>
    <col min="262" max="262" width="8.26953125" style="2306" customWidth="1"/>
    <col min="263" max="263" width="8.81640625" style="2306" customWidth="1"/>
    <col min="264" max="265" width="9" style="2306" customWidth="1"/>
    <col min="266" max="266" width="7.26953125" style="2306" customWidth="1"/>
    <col min="267" max="267" width="8.81640625" style="2306" customWidth="1"/>
    <col min="268" max="268" width="8.26953125" style="2306" customWidth="1"/>
    <col min="269" max="508" width="9.1796875" style="2306"/>
    <col min="509" max="509" width="14.1796875" style="2306" customWidth="1"/>
    <col min="510" max="510" width="8.453125" style="2306" bestFit="1" customWidth="1"/>
    <col min="511" max="511" width="5.54296875" style="2306" customWidth="1"/>
    <col min="512" max="512" width="4.81640625" style="2306" customWidth="1"/>
    <col min="513" max="513" width="12.54296875" style="2306" customWidth="1"/>
    <col min="514" max="514" width="10.7265625" style="2306" customWidth="1"/>
    <col min="515" max="515" width="9.54296875" style="2306" bestFit="1" customWidth="1"/>
    <col min="516" max="516" width="12.453125" style="2306" customWidth="1"/>
    <col min="517" max="517" width="18.26953125" style="2306" customWidth="1"/>
    <col min="518" max="518" width="8.26953125" style="2306" customWidth="1"/>
    <col min="519" max="519" width="8.81640625" style="2306" customWidth="1"/>
    <col min="520" max="521" width="9" style="2306" customWidth="1"/>
    <col min="522" max="522" width="7.26953125" style="2306" customWidth="1"/>
    <col min="523" max="523" width="8.81640625" style="2306" customWidth="1"/>
    <col min="524" max="524" width="8.26953125" style="2306" customWidth="1"/>
    <col min="525" max="764" width="9.1796875" style="2306"/>
    <col min="765" max="765" width="14.1796875" style="2306" customWidth="1"/>
    <col min="766" max="766" width="8.453125" style="2306" bestFit="1" customWidth="1"/>
    <col min="767" max="767" width="5.54296875" style="2306" customWidth="1"/>
    <col min="768" max="768" width="4.81640625" style="2306" customWidth="1"/>
    <col min="769" max="769" width="12.54296875" style="2306" customWidth="1"/>
    <col min="770" max="770" width="10.7265625" style="2306" customWidth="1"/>
    <col min="771" max="771" width="9.54296875" style="2306" bestFit="1" customWidth="1"/>
    <col min="772" max="772" width="12.453125" style="2306" customWidth="1"/>
    <col min="773" max="773" width="18.26953125" style="2306" customWidth="1"/>
    <col min="774" max="774" width="8.26953125" style="2306" customWidth="1"/>
    <col min="775" max="775" width="8.81640625" style="2306" customWidth="1"/>
    <col min="776" max="777" width="9" style="2306" customWidth="1"/>
    <col min="778" max="778" width="7.26953125" style="2306" customWidth="1"/>
    <col min="779" max="779" width="8.81640625" style="2306" customWidth="1"/>
    <col min="780" max="780" width="8.26953125" style="2306" customWidth="1"/>
    <col min="781" max="1020" width="9.1796875" style="2306"/>
    <col min="1021" max="1021" width="14.1796875" style="2306" customWidth="1"/>
    <col min="1022" max="1022" width="8.453125" style="2306" bestFit="1" customWidth="1"/>
    <col min="1023" max="1023" width="5.54296875" style="2306" customWidth="1"/>
    <col min="1024" max="1024" width="4.81640625" style="2306" customWidth="1"/>
    <col min="1025" max="1025" width="12.54296875" style="2306" customWidth="1"/>
    <col min="1026" max="1026" width="10.7265625" style="2306" customWidth="1"/>
    <col min="1027" max="1027" width="9.54296875" style="2306" bestFit="1" customWidth="1"/>
    <col min="1028" max="1028" width="12.453125" style="2306" customWidth="1"/>
    <col min="1029" max="1029" width="18.26953125" style="2306" customWidth="1"/>
    <col min="1030" max="1030" width="8.26953125" style="2306" customWidth="1"/>
    <col min="1031" max="1031" width="8.81640625" style="2306" customWidth="1"/>
    <col min="1032" max="1033" width="9" style="2306" customWidth="1"/>
    <col min="1034" max="1034" width="7.26953125" style="2306" customWidth="1"/>
    <col min="1035" max="1035" width="8.81640625" style="2306" customWidth="1"/>
    <col min="1036" max="1036" width="8.26953125" style="2306" customWidth="1"/>
    <col min="1037" max="1276" width="9.1796875" style="2306"/>
    <col min="1277" max="1277" width="14.1796875" style="2306" customWidth="1"/>
    <col min="1278" max="1278" width="8.453125" style="2306" bestFit="1" customWidth="1"/>
    <col min="1279" max="1279" width="5.54296875" style="2306" customWidth="1"/>
    <col min="1280" max="1280" width="4.81640625" style="2306" customWidth="1"/>
    <col min="1281" max="1281" width="12.54296875" style="2306" customWidth="1"/>
    <col min="1282" max="1282" width="10.7265625" style="2306" customWidth="1"/>
    <col min="1283" max="1283" width="9.54296875" style="2306" bestFit="1" customWidth="1"/>
    <col min="1284" max="1284" width="12.453125" style="2306" customWidth="1"/>
    <col min="1285" max="1285" width="18.26953125" style="2306" customWidth="1"/>
    <col min="1286" max="1286" width="8.26953125" style="2306" customWidth="1"/>
    <col min="1287" max="1287" width="8.81640625" style="2306" customWidth="1"/>
    <col min="1288" max="1289" width="9" style="2306" customWidth="1"/>
    <col min="1290" max="1290" width="7.26953125" style="2306" customWidth="1"/>
    <col min="1291" max="1291" width="8.81640625" style="2306" customWidth="1"/>
    <col min="1292" max="1292" width="8.26953125" style="2306" customWidth="1"/>
    <col min="1293" max="1532" width="9.1796875" style="2306"/>
    <col min="1533" max="1533" width="14.1796875" style="2306" customWidth="1"/>
    <col min="1534" max="1534" width="8.453125" style="2306" bestFit="1" customWidth="1"/>
    <col min="1535" max="1535" width="5.54296875" style="2306" customWidth="1"/>
    <col min="1536" max="1536" width="4.81640625" style="2306" customWidth="1"/>
    <col min="1537" max="1537" width="12.54296875" style="2306" customWidth="1"/>
    <col min="1538" max="1538" width="10.7265625" style="2306" customWidth="1"/>
    <col min="1539" max="1539" width="9.54296875" style="2306" bestFit="1" customWidth="1"/>
    <col min="1540" max="1540" width="12.453125" style="2306" customWidth="1"/>
    <col min="1541" max="1541" width="18.26953125" style="2306" customWidth="1"/>
    <col min="1542" max="1542" width="8.26953125" style="2306" customWidth="1"/>
    <col min="1543" max="1543" width="8.81640625" style="2306" customWidth="1"/>
    <col min="1544" max="1545" width="9" style="2306" customWidth="1"/>
    <col min="1546" max="1546" width="7.26953125" style="2306" customWidth="1"/>
    <col min="1547" max="1547" width="8.81640625" style="2306" customWidth="1"/>
    <col min="1548" max="1548" width="8.26953125" style="2306" customWidth="1"/>
    <col min="1549" max="1788" width="9.1796875" style="2306"/>
    <col min="1789" max="1789" width="14.1796875" style="2306" customWidth="1"/>
    <col min="1790" max="1790" width="8.453125" style="2306" bestFit="1" customWidth="1"/>
    <col min="1791" max="1791" width="5.54296875" style="2306" customWidth="1"/>
    <col min="1792" max="1792" width="4.81640625" style="2306" customWidth="1"/>
    <col min="1793" max="1793" width="12.54296875" style="2306" customWidth="1"/>
    <col min="1794" max="1794" width="10.7265625" style="2306" customWidth="1"/>
    <col min="1795" max="1795" width="9.54296875" style="2306" bestFit="1" customWidth="1"/>
    <col min="1796" max="1796" width="12.453125" style="2306" customWidth="1"/>
    <col min="1797" max="1797" width="18.26953125" style="2306" customWidth="1"/>
    <col min="1798" max="1798" width="8.26953125" style="2306" customWidth="1"/>
    <col min="1799" max="1799" width="8.81640625" style="2306" customWidth="1"/>
    <col min="1800" max="1801" width="9" style="2306" customWidth="1"/>
    <col min="1802" max="1802" width="7.26953125" style="2306" customWidth="1"/>
    <col min="1803" max="1803" width="8.81640625" style="2306" customWidth="1"/>
    <col min="1804" max="1804" width="8.26953125" style="2306" customWidth="1"/>
    <col min="1805" max="2044" width="9.1796875" style="2306"/>
    <col min="2045" max="2045" width="14.1796875" style="2306" customWidth="1"/>
    <col min="2046" max="2046" width="8.453125" style="2306" bestFit="1" customWidth="1"/>
    <col min="2047" max="2047" width="5.54296875" style="2306" customWidth="1"/>
    <col min="2048" max="2048" width="4.81640625" style="2306" customWidth="1"/>
    <col min="2049" max="2049" width="12.54296875" style="2306" customWidth="1"/>
    <col min="2050" max="2050" width="10.7265625" style="2306" customWidth="1"/>
    <col min="2051" max="2051" width="9.54296875" style="2306" bestFit="1" customWidth="1"/>
    <col min="2052" max="2052" width="12.453125" style="2306" customWidth="1"/>
    <col min="2053" max="2053" width="18.26953125" style="2306" customWidth="1"/>
    <col min="2054" max="2054" width="8.26953125" style="2306" customWidth="1"/>
    <col min="2055" max="2055" width="8.81640625" style="2306" customWidth="1"/>
    <col min="2056" max="2057" width="9" style="2306" customWidth="1"/>
    <col min="2058" max="2058" width="7.26953125" style="2306" customWidth="1"/>
    <col min="2059" max="2059" width="8.81640625" style="2306" customWidth="1"/>
    <col min="2060" max="2060" width="8.26953125" style="2306" customWidth="1"/>
    <col min="2061" max="2300" width="9.1796875" style="2306"/>
    <col min="2301" max="2301" width="14.1796875" style="2306" customWidth="1"/>
    <col min="2302" max="2302" width="8.453125" style="2306" bestFit="1" customWidth="1"/>
    <col min="2303" max="2303" width="5.54296875" style="2306" customWidth="1"/>
    <col min="2304" max="2304" width="4.81640625" style="2306" customWidth="1"/>
    <col min="2305" max="2305" width="12.54296875" style="2306" customWidth="1"/>
    <col min="2306" max="2306" width="10.7265625" style="2306" customWidth="1"/>
    <col min="2307" max="2307" width="9.54296875" style="2306" bestFit="1" customWidth="1"/>
    <col min="2308" max="2308" width="12.453125" style="2306" customWidth="1"/>
    <col min="2309" max="2309" width="18.26953125" style="2306" customWidth="1"/>
    <col min="2310" max="2310" width="8.26953125" style="2306" customWidth="1"/>
    <col min="2311" max="2311" width="8.81640625" style="2306" customWidth="1"/>
    <col min="2312" max="2313" width="9" style="2306" customWidth="1"/>
    <col min="2314" max="2314" width="7.26953125" style="2306" customWidth="1"/>
    <col min="2315" max="2315" width="8.81640625" style="2306" customWidth="1"/>
    <col min="2316" max="2316" width="8.26953125" style="2306" customWidth="1"/>
    <col min="2317" max="2556" width="9.1796875" style="2306"/>
    <col min="2557" max="2557" width="14.1796875" style="2306" customWidth="1"/>
    <col min="2558" max="2558" width="8.453125" style="2306" bestFit="1" customWidth="1"/>
    <col min="2559" max="2559" width="5.54296875" style="2306" customWidth="1"/>
    <col min="2560" max="2560" width="4.81640625" style="2306" customWidth="1"/>
    <col min="2561" max="2561" width="12.54296875" style="2306" customWidth="1"/>
    <col min="2562" max="2562" width="10.7265625" style="2306" customWidth="1"/>
    <col min="2563" max="2563" width="9.54296875" style="2306" bestFit="1" customWidth="1"/>
    <col min="2564" max="2564" width="12.453125" style="2306" customWidth="1"/>
    <col min="2565" max="2565" width="18.26953125" style="2306" customWidth="1"/>
    <col min="2566" max="2566" width="8.26953125" style="2306" customWidth="1"/>
    <col min="2567" max="2567" width="8.81640625" style="2306" customWidth="1"/>
    <col min="2568" max="2569" width="9" style="2306" customWidth="1"/>
    <col min="2570" max="2570" width="7.26953125" style="2306" customWidth="1"/>
    <col min="2571" max="2571" width="8.81640625" style="2306" customWidth="1"/>
    <col min="2572" max="2572" width="8.26953125" style="2306" customWidth="1"/>
    <col min="2573" max="2812" width="9.1796875" style="2306"/>
    <col min="2813" max="2813" width="14.1796875" style="2306" customWidth="1"/>
    <col min="2814" max="2814" width="8.453125" style="2306" bestFit="1" customWidth="1"/>
    <col min="2815" max="2815" width="5.54296875" style="2306" customWidth="1"/>
    <col min="2816" max="2816" width="4.81640625" style="2306" customWidth="1"/>
    <col min="2817" max="2817" width="12.54296875" style="2306" customWidth="1"/>
    <col min="2818" max="2818" width="10.7265625" style="2306" customWidth="1"/>
    <col min="2819" max="2819" width="9.54296875" style="2306" bestFit="1" customWidth="1"/>
    <col min="2820" max="2820" width="12.453125" style="2306" customWidth="1"/>
    <col min="2821" max="2821" width="18.26953125" style="2306" customWidth="1"/>
    <col min="2822" max="2822" width="8.26953125" style="2306" customWidth="1"/>
    <col min="2823" max="2823" width="8.81640625" style="2306" customWidth="1"/>
    <col min="2824" max="2825" width="9" style="2306" customWidth="1"/>
    <col min="2826" max="2826" width="7.26953125" style="2306" customWidth="1"/>
    <col min="2827" max="2827" width="8.81640625" style="2306" customWidth="1"/>
    <col min="2828" max="2828" width="8.26953125" style="2306" customWidth="1"/>
    <col min="2829" max="3068" width="9.1796875" style="2306"/>
    <col min="3069" max="3069" width="14.1796875" style="2306" customWidth="1"/>
    <col min="3070" max="3070" width="8.453125" style="2306" bestFit="1" customWidth="1"/>
    <col min="3071" max="3071" width="5.54296875" style="2306" customWidth="1"/>
    <col min="3072" max="3072" width="4.81640625" style="2306" customWidth="1"/>
    <col min="3073" max="3073" width="12.54296875" style="2306" customWidth="1"/>
    <col min="3074" max="3074" width="10.7265625" style="2306" customWidth="1"/>
    <col min="3075" max="3075" width="9.54296875" style="2306" bestFit="1" customWidth="1"/>
    <col min="3076" max="3076" width="12.453125" style="2306" customWidth="1"/>
    <col min="3077" max="3077" width="18.26953125" style="2306" customWidth="1"/>
    <col min="3078" max="3078" width="8.26953125" style="2306" customWidth="1"/>
    <col min="3079" max="3079" width="8.81640625" style="2306" customWidth="1"/>
    <col min="3080" max="3081" width="9" style="2306" customWidth="1"/>
    <col min="3082" max="3082" width="7.26953125" style="2306" customWidth="1"/>
    <col min="3083" max="3083" width="8.81640625" style="2306" customWidth="1"/>
    <col min="3084" max="3084" width="8.26953125" style="2306" customWidth="1"/>
    <col min="3085" max="3324" width="9.1796875" style="2306"/>
    <col min="3325" max="3325" width="14.1796875" style="2306" customWidth="1"/>
    <col min="3326" max="3326" width="8.453125" style="2306" bestFit="1" customWidth="1"/>
    <col min="3327" max="3327" width="5.54296875" style="2306" customWidth="1"/>
    <col min="3328" max="3328" width="4.81640625" style="2306" customWidth="1"/>
    <col min="3329" max="3329" width="12.54296875" style="2306" customWidth="1"/>
    <col min="3330" max="3330" width="10.7265625" style="2306" customWidth="1"/>
    <col min="3331" max="3331" width="9.54296875" style="2306" bestFit="1" customWidth="1"/>
    <col min="3332" max="3332" width="12.453125" style="2306" customWidth="1"/>
    <col min="3333" max="3333" width="18.26953125" style="2306" customWidth="1"/>
    <col min="3334" max="3334" width="8.26953125" style="2306" customWidth="1"/>
    <col min="3335" max="3335" width="8.81640625" style="2306" customWidth="1"/>
    <col min="3336" max="3337" width="9" style="2306" customWidth="1"/>
    <col min="3338" max="3338" width="7.26953125" style="2306" customWidth="1"/>
    <col min="3339" max="3339" width="8.81640625" style="2306" customWidth="1"/>
    <col min="3340" max="3340" width="8.26953125" style="2306" customWidth="1"/>
    <col min="3341" max="3580" width="9.1796875" style="2306"/>
    <col min="3581" max="3581" width="14.1796875" style="2306" customWidth="1"/>
    <col min="3582" max="3582" width="8.453125" style="2306" bestFit="1" customWidth="1"/>
    <col min="3583" max="3583" width="5.54296875" style="2306" customWidth="1"/>
    <col min="3584" max="3584" width="4.81640625" style="2306" customWidth="1"/>
    <col min="3585" max="3585" width="12.54296875" style="2306" customWidth="1"/>
    <col min="3586" max="3586" width="10.7265625" style="2306" customWidth="1"/>
    <col min="3587" max="3587" width="9.54296875" style="2306" bestFit="1" customWidth="1"/>
    <col min="3588" max="3588" width="12.453125" style="2306" customWidth="1"/>
    <col min="3589" max="3589" width="18.26953125" style="2306" customWidth="1"/>
    <col min="3590" max="3590" width="8.26953125" style="2306" customWidth="1"/>
    <col min="3591" max="3591" width="8.81640625" style="2306" customWidth="1"/>
    <col min="3592" max="3593" width="9" style="2306" customWidth="1"/>
    <col min="3594" max="3594" width="7.26953125" style="2306" customWidth="1"/>
    <col min="3595" max="3595" width="8.81640625" style="2306" customWidth="1"/>
    <col min="3596" max="3596" width="8.26953125" style="2306" customWidth="1"/>
    <col min="3597" max="3836" width="9.1796875" style="2306"/>
    <col min="3837" max="3837" width="14.1796875" style="2306" customWidth="1"/>
    <col min="3838" max="3838" width="8.453125" style="2306" bestFit="1" customWidth="1"/>
    <col min="3839" max="3839" width="5.54296875" style="2306" customWidth="1"/>
    <col min="3840" max="3840" width="4.81640625" style="2306" customWidth="1"/>
    <col min="3841" max="3841" width="12.54296875" style="2306" customWidth="1"/>
    <col min="3842" max="3842" width="10.7265625" style="2306" customWidth="1"/>
    <col min="3843" max="3843" width="9.54296875" style="2306" bestFit="1" customWidth="1"/>
    <col min="3844" max="3844" width="12.453125" style="2306" customWidth="1"/>
    <col min="3845" max="3845" width="18.26953125" style="2306" customWidth="1"/>
    <col min="3846" max="3846" width="8.26953125" style="2306" customWidth="1"/>
    <col min="3847" max="3847" width="8.81640625" style="2306" customWidth="1"/>
    <col min="3848" max="3849" width="9" style="2306" customWidth="1"/>
    <col min="3850" max="3850" width="7.26953125" style="2306" customWidth="1"/>
    <col min="3851" max="3851" width="8.81640625" style="2306" customWidth="1"/>
    <col min="3852" max="3852" width="8.26953125" style="2306" customWidth="1"/>
    <col min="3853" max="4092" width="9.1796875" style="2306"/>
    <col min="4093" max="4093" width="14.1796875" style="2306" customWidth="1"/>
    <col min="4094" max="4094" width="8.453125" style="2306" bestFit="1" customWidth="1"/>
    <col min="4095" max="4095" width="5.54296875" style="2306" customWidth="1"/>
    <col min="4096" max="4096" width="4.81640625" style="2306" customWidth="1"/>
    <col min="4097" max="4097" width="12.54296875" style="2306" customWidth="1"/>
    <col min="4098" max="4098" width="10.7265625" style="2306" customWidth="1"/>
    <col min="4099" max="4099" width="9.54296875" style="2306" bestFit="1" customWidth="1"/>
    <col min="4100" max="4100" width="12.453125" style="2306" customWidth="1"/>
    <col min="4101" max="4101" width="18.26953125" style="2306" customWidth="1"/>
    <col min="4102" max="4102" width="8.26953125" style="2306" customWidth="1"/>
    <col min="4103" max="4103" width="8.81640625" style="2306" customWidth="1"/>
    <col min="4104" max="4105" width="9" style="2306" customWidth="1"/>
    <col min="4106" max="4106" width="7.26953125" style="2306" customWidth="1"/>
    <col min="4107" max="4107" width="8.81640625" style="2306" customWidth="1"/>
    <col min="4108" max="4108" width="8.26953125" style="2306" customWidth="1"/>
    <col min="4109" max="4348" width="9.1796875" style="2306"/>
    <col min="4349" max="4349" width="14.1796875" style="2306" customWidth="1"/>
    <col min="4350" max="4350" width="8.453125" style="2306" bestFit="1" customWidth="1"/>
    <col min="4351" max="4351" width="5.54296875" style="2306" customWidth="1"/>
    <col min="4352" max="4352" width="4.81640625" style="2306" customWidth="1"/>
    <col min="4353" max="4353" width="12.54296875" style="2306" customWidth="1"/>
    <col min="4354" max="4354" width="10.7265625" style="2306" customWidth="1"/>
    <col min="4355" max="4355" width="9.54296875" style="2306" bestFit="1" customWidth="1"/>
    <col min="4356" max="4356" width="12.453125" style="2306" customWidth="1"/>
    <col min="4357" max="4357" width="18.26953125" style="2306" customWidth="1"/>
    <col min="4358" max="4358" width="8.26953125" style="2306" customWidth="1"/>
    <col min="4359" max="4359" width="8.81640625" style="2306" customWidth="1"/>
    <col min="4360" max="4361" width="9" style="2306" customWidth="1"/>
    <col min="4362" max="4362" width="7.26953125" style="2306" customWidth="1"/>
    <col min="4363" max="4363" width="8.81640625" style="2306" customWidth="1"/>
    <col min="4364" max="4364" width="8.26953125" style="2306" customWidth="1"/>
    <col min="4365" max="4604" width="9.1796875" style="2306"/>
    <col min="4605" max="4605" width="14.1796875" style="2306" customWidth="1"/>
    <col min="4606" max="4606" width="8.453125" style="2306" bestFit="1" customWidth="1"/>
    <col min="4607" max="4607" width="5.54296875" style="2306" customWidth="1"/>
    <col min="4608" max="4608" width="4.81640625" style="2306" customWidth="1"/>
    <col min="4609" max="4609" width="12.54296875" style="2306" customWidth="1"/>
    <col min="4610" max="4610" width="10.7265625" style="2306" customWidth="1"/>
    <col min="4611" max="4611" width="9.54296875" style="2306" bestFit="1" customWidth="1"/>
    <col min="4612" max="4612" width="12.453125" style="2306" customWidth="1"/>
    <col min="4613" max="4613" width="18.26953125" style="2306" customWidth="1"/>
    <col min="4614" max="4614" width="8.26953125" style="2306" customWidth="1"/>
    <col min="4615" max="4615" width="8.81640625" style="2306" customWidth="1"/>
    <col min="4616" max="4617" width="9" style="2306" customWidth="1"/>
    <col min="4618" max="4618" width="7.26953125" style="2306" customWidth="1"/>
    <col min="4619" max="4619" width="8.81640625" style="2306" customWidth="1"/>
    <col min="4620" max="4620" width="8.26953125" style="2306" customWidth="1"/>
    <col min="4621" max="4860" width="9.1796875" style="2306"/>
    <col min="4861" max="4861" width="14.1796875" style="2306" customWidth="1"/>
    <col min="4862" max="4862" width="8.453125" style="2306" bestFit="1" customWidth="1"/>
    <col min="4863" max="4863" width="5.54296875" style="2306" customWidth="1"/>
    <col min="4864" max="4864" width="4.81640625" style="2306" customWidth="1"/>
    <col min="4865" max="4865" width="12.54296875" style="2306" customWidth="1"/>
    <col min="4866" max="4866" width="10.7265625" style="2306" customWidth="1"/>
    <col min="4867" max="4867" width="9.54296875" style="2306" bestFit="1" customWidth="1"/>
    <col min="4868" max="4868" width="12.453125" style="2306" customWidth="1"/>
    <col min="4869" max="4869" width="18.26953125" style="2306" customWidth="1"/>
    <col min="4870" max="4870" width="8.26953125" style="2306" customWidth="1"/>
    <col min="4871" max="4871" width="8.81640625" style="2306" customWidth="1"/>
    <col min="4872" max="4873" width="9" style="2306" customWidth="1"/>
    <col min="4874" max="4874" width="7.26953125" style="2306" customWidth="1"/>
    <col min="4875" max="4875" width="8.81640625" style="2306" customWidth="1"/>
    <col min="4876" max="4876" width="8.26953125" style="2306" customWidth="1"/>
    <col min="4877" max="5116" width="9.1796875" style="2306"/>
    <col min="5117" max="5117" width="14.1796875" style="2306" customWidth="1"/>
    <col min="5118" max="5118" width="8.453125" style="2306" bestFit="1" customWidth="1"/>
    <col min="5119" max="5119" width="5.54296875" style="2306" customWidth="1"/>
    <col min="5120" max="5120" width="4.81640625" style="2306" customWidth="1"/>
    <col min="5121" max="5121" width="12.54296875" style="2306" customWidth="1"/>
    <col min="5122" max="5122" width="10.7265625" style="2306" customWidth="1"/>
    <col min="5123" max="5123" width="9.54296875" style="2306" bestFit="1" customWidth="1"/>
    <col min="5124" max="5124" width="12.453125" style="2306" customWidth="1"/>
    <col min="5125" max="5125" width="18.26953125" style="2306" customWidth="1"/>
    <col min="5126" max="5126" width="8.26953125" style="2306" customWidth="1"/>
    <col min="5127" max="5127" width="8.81640625" style="2306" customWidth="1"/>
    <col min="5128" max="5129" width="9" style="2306" customWidth="1"/>
    <col min="5130" max="5130" width="7.26953125" style="2306" customWidth="1"/>
    <col min="5131" max="5131" width="8.81640625" style="2306" customWidth="1"/>
    <col min="5132" max="5132" width="8.26953125" style="2306" customWidth="1"/>
    <col min="5133" max="5372" width="9.1796875" style="2306"/>
    <col min="5373" max="5373" width="14.1796875" style="2306" customWidth="1"/>
    <col min="5374" max="5374" width="8.453125" style="2306" bestFit="1" customWidth="1"/>
    <col min="5375" max="5375" width="5.54296875" style="2306" customWidth="1"/>
    <col min="5376" max="5376" width="4.81640625" style="2306" customWidth="1"/>
    <col min="5377" max="5377" width="12.54296875" style="2306" customWidth="1"/>
    <col min="5378" max="5378" width="10.7265625" style="2306" customWidth="1"/>
    <col min="5379" max="5379" width="9.54296875" style="2306" bestFit="1" customWidth="1"/>
    <col min="5380" max="5380" width="12.453125" style="2306" customWidth="1"/>
    <col min="5381" max="5381" width="18.26953125" style="2306" customWidth="1"/>
    <col min="5382" max="5382" width="8.26953125" style="2306" customWidth="1"/>
    <col min="5383" max="5383" width="8.81640625" style="2306" customWidth="1"/>
    <col min="5384" max="5385" width="9" style="2306" customWidth="1"/>
    <col min="5386" max="5386" width="7.26953125" style="2306" customWidth="1"/>
    <col min="5387" max="5387" width="8.81640625" style="2306" customWidth="1"/>
    <col min="5388" max="5388" width="8.26953125" style="2306" customWidth="1"/>
    <col min="5389" max="5628" width="9.1796875" style="2306"/>
    <col min="5629" max="5629" width="14.1796875" style="2306" customWidth="1"/>
    <col min="5630" max="5630" width="8.453125" style="2306" bestFit="1" customWidth="1"/>
    <col min="5631" max="5631" width="5.54296875" style="2306" customWidth="1"/>
    <col min="5632" max="5632" width="4.81640625" style="2306" customWidth="1"/>
    <col min="5633" max="5633" width="12.54296875" style="2306" customWidth="1"/>
    <col min="5634" max="5634" width="10.7265625" style="2306" customWidth="1"/>
    <col min="5635" max="5635" width="9.54296875" style="2306" bestFit="1" customWidth="1"/>
    <col min="5636" max="5636" width="12.453125" style="2306" customWidth="1"/>
    <col min="5637" max="5637" width="18.26953125" style="2306" customWidth="1"/>
    <col min="5638" max="5638" width="8.26953125" style="2306" customWidth="1"/>
    <col min="5639" max="5639" width="8.81640625" style="2306" customWidth="1"/>
    <col min="5640" max="5641" width="9" style="2306" customWidth="1"/>
    <col min="5642" max="5642" width="7.26953125" style="2306" customWidth="1"/>
    <col min="5643" max="5643" width="8.81640625" style="2306" customWidth="1"/>
    <col min="5644" max="5644" width="8.26953125" style="2306" customWidth="1"/>
    <col min="5645" max="5884" width="9.1796875" style="2306"/>
    <col min="5885" max="5885" width="14.1796875" style="2306" customWidth="1"/>
    <col min="5886" max="5886" width="8.453125" style="2306" bestFit="1" customWidth="1"/>
    <col min="5887" max="5887" width="5.54296875" style="2306" customWidth="1"/>
    <col min="5888" max="5888" width="4.81640625" style="2306" customWidth="1"/>
    <col min="5889" max="5889" width="12.54296875" style="2306" customWidth="1"/>
    <col min="5890" max="5890" width="10.7265625" style="2306" customWidth="1"/>
    <col min="5891" max="5891" width="9.54296875" style="2306" bestFit="1" customWidth="1"/>
    <col min="5892" max="5892" width="12.453125" style="2306" customWidth="1"/>
    <col min="5893" max="5893" width="18.26953125" style="2306" customWidth="1"/>
    <col min="5894" max="5894" width="8.26953125" style="2306" customWidth="1"/>
    <col min="5895" max="5895" width="8.81640625" style="2306" customWidth="1"/>
    <col min="5896" max="5897" width="9" style="2306" customWidth="1"/>
    <col min="5898" max="5898" width="7.26953125" style="2306" customWidth="1"/>
    <col min="5899" max="5899" width="8.81640625" style="2306" customWidth="1"/>
    <col min="5900" max="5900" width="8.26953125" style="2306" customWidth="1"/>
    <col min="5901" max="6140" width="9.1796875" style="2306"/>
    <col min="6141" max="6141" width="14.1796875" style="2306" customWidth="1"/>
    <col min="6142" max="6142" width="8.453125" style="2306" bestFit="1" customWidth="1"/>
    <col min="6143" max="6143" width="5.54296875" style="2306" customWidth="1"/>
    <col min="6144" max="6144" width="4.81640625" style="2306" customWidth="1"/>
    <col min="6145" max="6145" width="12.54296875" style="2306" customWidth="1"/>
    <col min="6146" max="6146" width="10.7265625" style="2306" customWidth="1"/>
    <col min="6147" max="6147" width="9.54296875" style="2306" bestFit="1" customWidth="1"/>
    <col min="6148" max="6148" width="12.453125" style="2306" customWidth="1"/>
    <col min="6149" max="6149" width="18.26953125" style="2306" customWidth="1"/>
    <col min="6150" max="6150" width="8.26953125" style="2306" customWidth="1"/>
    <col min="6151" max="6151" width="8.81640625" style="2306" customWidth="1"/>
    <col min="6152" max="6153" width="9" style="2306" customWidth="1"/>
    <col min="6154" max="6154" width="7.26953125" style="2306" customWidth="1"/>
    <col min="6155" max="6155" width="8.81640625" style="2306" customWidth="1"/>
    <col min="6156" max="6156" width="8.26953125" style="2306" customWidth="1"/>
    <col min="6157" max="6396" width="9.1796875" style="2306"/>
    <col min="6397" max="6397" width="14.1796875" style="2306" customWidth="1"/>
    <col min="6398" max="6398" width="8.453125" style="2306" bestFit="1" customWidth="1"/>
    <col min="6399" max="6399" width="5.54296875" style="2306" customWidth="1"/>
    <col min="6400" max="6400" width="4.81640625" style="2306" customWidth="1"/>
    <col min="6401" max="6401" width="12.54296875" style="2306" customWidth="1"/>
    <col min="6402" max="6402" width="10.7265625" style="2306" customWidth="1"/>
    <col min="6403" max="6403" width="9.54296875" style="2306" bestFit="1" customWidth="1"/>
    <col min="6404" max="6404" width="12.453125" style="2306" customWidth="1"/>
    <col min="6405" max="6405" width="18.26953125" style="2306" customWidth="1"/>
    <col min="6406" max="6406" width="8.26953125" style="2306" customWidth="1"/>
    <col min="6407" max="6407" width="8.81640625" style="2306" customWidth="1"/>
    <col min="6408" max="6409" width="9" style="2306" customWidth="1"/>
    <col min="6410" max="6410" width="7.26953125" style="2306" customWidth="1"/>
    <col min="6411" max="6411" width="8.81640625" style="2306" customWidth="1"/>
    <col min="6412" max="6412" width="8.26953125" style="2306" customWidth="1"/>
    <col min="6413" max="6652" width="9.1796875" style="2306"/>
    <col min="6653" max="6653" width="14.1796875" style="2306" customWidth="1"/>
    <col min="6654" max="6654" width="8.453125" style="2306" bestFit="1" customWidth="1"/>
    <col min="6655" max="6655" width="5.54296875" style="2306" customWidth="1"/>
    <col min="6656" max="6656" width="4.81640625" style="2306" customWidth="1"/>
    <col min="6657" max="6657" width="12.54296875" style="2306" customWidth="1"/>
    <col min="6658" max="6658" width="10.7265625" style="2306" customWidth="1"/>
    <col min="6659" max="6659" width="9.54296875" style="2306" bestFit="1" customWidth="1"/>
    <col min="6660" max="6660" width="12.453125" style="2306" customWidth="1"/>
    <col min="6661" max="6661" width="18.26953125" style="2306" customWidth="1"/>
    <col min="6662" max="6662" width="8.26953125" style="2306" customWidth="1"/>
    <col min="6663" max="6663" width="8.81640625" style="2306" customWidth="1"/>
    <col min="6664" max="6665" width="9" style="2306" customWidth="1"/>
    <col min="6666" max="6666" width="7.26953125" style="2306" customWidth="1"/>
    <col min="6667" max="6667" width="8.81640625" style="2306" customWidth="1"/>
    <col min="6668" max="6668" width="8.26953125" style="2306" customWidth="1"/>
    <col min="6669" max="6908" width="9.1796875" style="2306"/>
    <col min="6909" max="6909" width="14.1796875" style="2306" customWidth="1"/>
    <col min="6910" max="6910" width="8.453125" style="2306" bestFit="1" customWidth="1"/>
    <col min="6911" max="6911" width="5.54296875" style="2306" customWidth="1"/>
    <col min="6912" max="6912" width="4.81640625" style="2306" customWidth="1"/>
    <col min="6913" max="6913" width="12.54296875" style="2306" customWidth="1"/>
    <col min="6914" max="6914" width="10.7265625" style="2306" customWidth="1"/>
    <col min="6915" max="6915" width="9.54296875" style="2306" bestFit="1" customWidth="1"/>
    <col min="6916" max="6916" width="12.453125" style="2306" customWidth="1"/>
    <col min="6917" max="6917" width="18.26953125" style="2306" customWidth="1"/>
    <col min="6918" max="6918" width="8.26953125" style="2306" customWidth="1"/>
    <col min="6919" max="6919" width="8.81640625" style="2306" customWidth="1"/>
    <col min="6920" max="6921" width="9" style="2306" customWidth="1"/>
    <col min="6922" max="6922" width="7.26953125" style="2306" customWidth="1"/>
    <col min="6923" max="6923" width="8.81640625" style="2306" customWidth="1"/>
    <col min="6924" max="6924" width="8.26953125" style="2306" customWidth="1"/>
    <col min="6925" max="7164" width="9.1796875" style="2306"/>
    <col min="7165" max="7165" width="14.1796875" style="2306" customWidth="1"/>
    <col min="7166" max="7166" width="8.453125" style="2306" bestFit="1" customWidth="1"/>
    <col min="7167" max="7167" width="5.54296875" style="2306" customWidth="1"/>
    <col min="7168" max="7168" width="4.81640625" style="2306" customWidth="1"/>
    <col min="7169" max="7169" width="12.54296875" style="2306" customWidth="1"/>
    <col min="7170" max="7170" width="10.7265625" style="2306" customWidth="1"/>
    <col min="7171" max="7171" width="9.54296875" style="2306" bestFit="1" customWidth="1"/>
    <col min="7172" max="7172" width="12.453125" style="2306" customWidth="1"/>
    <col min="7173" max="7173" width="18.26953125" style="2306" customWidth="1"/>
    <col min="7174" max="7174" width="8.26953125" style="2306" customWidth="1"/>
    <col min="7175" max="7175" width="8.81640625" style="2306" customWidth="1"/>
    <col min="7176" max="7177" width="9" style="2306" customWidth="1"/>
    <col min="7178" max="7178" width="7.26953125" style="2306" customWidth="1"/>
    <col min="7179" max="7179" width="8.81640625" style="2306" customWidth="1"/>
    <col min="7180" max="7180" width="8.26953125" style="2306" customWidth="1"/>
    <col min="7181" max="7420" width="9.1796875" style="2306"/>
    <col min="7421" max="7421" width="14.1796875" style="2306" customWidth="1"/>
    <col min="7422" max="7422" width="8.453125" style="2306" bestFit="1" customWidth="1"/>
    <col min="7423" max="7423" width="5.54296875" style="2306" customWidth="1"/>
    <col min="7424" max="7424" width="4.81640625" style="2306" customWidth="1"/>
    <col min="7425" max="7425" width="12.54296875" style="2306" customWidth="1"/>
    <col min="7426" max="7426" width="10.7265625" style="2306" customWidth="1"/>
    <col min="7427" max="7427" width="9.54296875" style="2306" bestFit="1" customWidth="1"/>
    <col min="7428" max="7428" width="12.453125" style="2306" customWidth="1"/>
    <col min="7429" max="7429" width="18.26953125" style="2306" customWidth="1"/>
    <col min="7430" max="7430" width="8.26953125" style="2306" customWidth="1"/>
    <col min="7431" max="7431" width="8.81640625" style="2306" customWidth="1"/>
    <col min="7432" max="7433" width="9" style="2306" customWidth="1"/>
    <col min="7434" max="7434" width="7.26953125" style="2306" customWidth="1"/>
    <col min="7435" max="7435" width="8.81640625" style="2306" customWidth="1"/>
    <col min="7436" max="7436" width="8.26953125" style="2306" customWidth="1"/>
    <col min="7437" max="7676" width="9.1796875" style="2306"/>
    <col min="7677" max="7677" width="14.1796875" style="2306" customWidth="1"/>
    <col min="7678" max="7678" width="8.453125" style="2306" bestFit="1" customWidth="1"/>
    <col min="7679" max="7679" width="5.54296875" style="2306" customWidth="1"/>
    <col min="7680" max="7680" width="4.81640625" style="2306" customWidth="1"/>
    <col min="7681" max="7681" width="12.54296875" style="2306" customWidth="1"/>
    <col min="7682" max="7682" width="10.7265625" style="2306" customWidth="1"/>
    <col min="7683" max="7683" width="9.54296875" style="2306" bestFit="1" customWidth="1"/>
    <col min="7684" max="7684" width="12.453125" style="2306" customWidth="1"/>
    <col min="7685" max="7685" width="18.26953125" style="2306" customWidth="1"/>
    <col min="7686" max="7686" width="8.26953125" style="2306" customWidth="1"/>
    <col min="7687" max="7687" width="8.81640625" style="2306" customWidth="1"/>
    <col min="7688" max="7689" width="9" style="2306" customWidth="1"/>
    <col min="7690" max="7690" width="7.26953125" style="2306" customWidth="1"/>
    <col min="7691" max="7691" width="8.81640625" style="2306" customWidth="1"/>
    <col min="7692" max="7692" width="8.26953125" style="2306" customWidth="1"/>
    <col min="7693" max="7932" width="9.1796875" style="2306"/>
    <col min="7933" max="7933" width="14.1796875" style="2306" customWidth="1"/>
    <col min="7934" max="7934" width="8.453125" style="2306" bestFit="1" customWidth="1"/>
    <col min="7935" max="7935" width="5.54296875" style="2306" customWidth="1"/>
    <col min="7936" max="7936" width="4.81640625" style="2306" customWidth="1"/>
    <col min="7937" max="7937" width="12.54296875" style="2306" customWidth="1"/>
    <col min="7938" max="7938" width="10.7265625" style="2306" customWidth="1"/>
    <col min="7939" max="7939" width="9.54296875" style="2306" bestFit="1" customWidth="1"/>
    <col min="7940" max="7940" width="12.453125" style="2306" customWidth="1"/>
    <col min="7941" max="7941" width="18.26953125" style="2306" customWidth="1"/>
    <col min="7942" max="7942" width="8.26953125" style="2306" customWidth="1"/>
    <col min="7943" max="7943" width="8.81640625" style="2306" customWidth="1"/>
    <col min="7944" max="7945" width="9" style="2306" customWidth="1"/>
    <col min="7946" max="7946" width="7.26953125" style="2306" customWidth="1"/>
    <col min="7947" max="7947" width="8.81640625" style="2306" customWidth="1"/>
    <col min="7948" max="7948" width="8.26953125" style="2306" customWidth="1"/>
    <col min="7949" max="8188" width="9.1796875" style="2306"/>
    <col min="8189" max="8189" width="14.1796875" style="2306" customWidth="1"/>
    <col min="8190" max="8190" width="8.453125" style="2306" bestFit="1" customWidth="1"/>
    <col min="8191" max="8191" width="5.54296875" style="2306" customWidth="1"/>
    <col min="8192" max="8192" width="4.81640625" style="2306" customWidth="1"/>
    <col min="8193" max="8193" width="12.54296875" style="2306" customWidth="1"/>
    <col min="8194" max="8194" width="10.7265625" style="2306" customWidth="1"/>
    <col min="8195" max="8195" width="9.54296875" style="2306" bestFit="1" customWidth="1"/>
    <col min="8196" max="8196" width="12.453125" style="2306" customWidth="1"/>
    <col min="8197" max="8197" width="18.26953125" style="2306" customWidth="1"/>
    <col min="8198" max="8198" width="8.26953125" style="2306" customWidth="1"/>
    <col min="8199" max="8199" width="8.81640625" style="2306" customWidth="1"/>
    <col min="8200" max="8201" width="9" style="2306" customWidth="1"/>
    <col min="8202" max="8202" width="7.26953125" style="2306" customWidth="1"/>
    <col min="8203" max="8203" width="8.81640625" style="2306" customWidth="1"/>
    <col min="8204" max="8204" width="8.26953125" style="2306" customWidth="1"/>
    <col min="8205" max="8444" width="9.1796875" style="2306"/>
    <col min="8445" max="8445" width="14.1796875" style="2306" customWidth="1"/>
    <col min="8446" max="8446" width="8.453125" style="2306" bestFit="1" customWidth="1"/>
    <col min="8447" max="8447" width="5.54296875" style="2306" customWidth="1"/>
    <col min="8448" max="8448" width="4.81640625" style="2306" customWidth="1"/>
    <col min="8449" max="8449" width="12.54296875" style="2306" customWidth="1"/>
    <col min="8450" max="8450" width="10.7265625" style="2306" customWidth="1"/>
    <col min="8451" max="8451" width="9.54296875" style="2306" bestFit="1" customWidth="1"/>
    <col min="8452" max="8452" width="12.453125" style="2306" customWidth="1"/>
    <col min="8453" max="8453" width="18.26953125" style="2306" customWidth="1"/>
    <col min="8454" max="8454" width="8.26953125" style="2306" customWidth="1"/>
    <col min="8455" max="8455" width="8.81640625" style="2306" customWidth="1"/>
    <col min="8456" max="8457" width="9" style="2306" customWidth="1"/>
    <col min="8458" max="8458" width="7.26953125" style="2306" customWidth="1"/>
    <col min="8459" max="8459" width="8.81640625" style="2306" customWidth="1"/>
    <col min="8460" max="8460" width="8.26953125" style="2306" customWidth="1"/>
    <col min="8461" max="8700" width="9.1796875" style="2306"/>
    <col min="8701" max="8701" width="14.1796875" style="2306" customWidth="1"/>
    <col min="8702" max="8702" width="8.453125" style="2306" bestFit="1" customWidth="1"/>
    <col min="8703" max="8703" width="5.54296875" style="2306" customWidth="1"/>
    <col min="8704" max="8704" width="4.81640625" style="2306" customWidth="1"/>
    <col min="8705" max="8705" width="12.54296875" style="2306" customWidth="1"/>
    <col min="8706" max="8706" width="10.7265625" style="2306" customWidth="1"/>
    <col min="8707" max="8707" width="9.54296875" style="2306" bestFit="1" customWidth="1"/>
    <col min="8708" max="8708" width="12.453125" style="2306" customWidth="1"/>
    <col min="8709" max="8709" width="18.26953125" style="2306" customWidth="1"/>
    <col min="8710" max="8710" width="8.26953125" style="2306" customWidth="1"/>
    <col min="8711" max="8711" width="8.81640625" style="2306" customWidth="1"/>
    <col min="8712" max="8713" width="9" style="2306" customWidth="1"/>
    <col min="8714" max="8714" width="7.26953125" style="2306" customWidth="1"/>
    <col min="8715" max="8715" width="8.81640625" style="2306" customWidth="1"/>
    <col min="8716" max="8716" width="8.26953125" style="2306" customWidth="1"/>
    <col min="8717" max="8956" width="9.1796875" style="2306"/>
    <col min="8957" max="8957" width="14.1796875" style="2306" customWidth="1"/>
    <col min="8958" max="8958" width="8.453125" style="2306" bestFit="1" customWidth="1"/>
    <col min="8959" max="8959" width="5.54296875" style="2306" customWidth="1"/>
    <col min="8960" max="8960" width="4.81640625" style="2306" customWidth="1"/>
    <col min="8961" max="8961" width="12.54296875" style="2306" customWidth="1"/>
    <col min="8962" max="8962" width="10.7265625" style="2306" customWidth="1"/>
    <col min="8963" max="8963" width="9.54296875" style="2306" bestFit="1" customWidth="1"/>
    <col min="8964" max="8964" width="12.453125" style="2306" customWidth="1"/>
    <col min="8965" max="8965" width="18.26953125" style="2306" customWidth="1"/>
    <col min="8966" max="8966" width="8.26953125" style="2306" customWidth="1"/>
    <col min="8967" max="8967" width="8.81640625" style="2306" customWidth="1"/>
    <col min="8968" max="8969" width="9" style="2306" customWidth="1"/>
    <col min="8970" max="8970" width="7.26953125" style="2306" customWidth="1"/>
    <col min="8971" max="8971" width="8.81640625" style="2306" customWidth="1"/>
    <col min="8972" max="8972" width="8.26953125" style="2306" customWidth="1"/>
    <col min="8973" max="9212" width="9.1796875" style="2306"/>
    <col min="9213" max="9213" width="14.1796875" style="2306" customWidth="1"/>
    <col min="9214" max="9214" width="8.453125" style="2306" bestFit="1" customWidth="1"/>
    <col min="9215" max="9215" width="5.54296875" style="2306" customWidth="1"/>
    <col min="9216" max="9216" width="4.81640625" style="2306" customWidth="1"/>
    <col min="9217" max="9217" width="12.54296875" style="2306" customWidth="1"/>
    <col min="9218" max="9218" width="10.7265625" style="2306" customWidth="1"/>
    <col min="9219" max="9219" width="9.54296875" style="2306" bestFit="1" customWidth="1"/>
    <col min="9220" max="9220" width="12.453125" style="2306" customWidth="1"/>
    <col min="9221" max="9221" width="18.26953125" style="2306" customWidth="1"/>
    <col min="9222" max="9222" width="8.26953125" style="2306" customWidth="1"/>
    <col min="9223" max="9223" width="8.81640625" style="2306" customWidth="1"/>
    <col min="9224" max="9225" width="9" style="2306" customWidth="1"/>
    <col min="9226" max="9226" width="7.26953125" style="2306" customWidth="1"/>
    <col min="9227" max="9227" width="8.81640625" style="2306" customWidth="1"/>
    <col min="9228" max="9228" width="8.26953125" style="2306" customWidth="1"/>
    <col min="9229" max="9468" width="9.1796875" style="2306"/>
    <col min="9469" max="9469" width="14.1796875" style="2306" customWidth="1"/>
    <col min="9470" max="9470" width="8.453125" style="2306" bestFit="1" customWidth="1"/>
    <col min="9471" max="9471" width="5.54296875" style="2306" customWidth="1"/>
    <col min="9472" max="9472" width="4.81640625" style="2306" customWidth="1"/>
    <col min="9473" max="9473" width="12.54296875" style="2306" customWidth="1"/>
    <col min="9474" max="9474" width="10.7265625" style="2306" customWidth="1"/>
    <col min="9475" max="9475" width="9.54296875" style="2306" bestFit="1" customWidth="1"/>
    <col min="9476" max="9476" width="12.453125" style="2306" customWidth="1"/>
    <col min="9477" max="9477" width="18.26953125" style="2306" customWidth="1"/>
    <col min="9478" max="9478" width="8.26953125" style="2306" customWidth="1"/>
    <col min="9479" max="9479" width="8.81640625" style="2306" customWidth="1"/>
    <col min="9480" max="9481" width="9" style="2306" customWidth="1"/>
    <col min="9482" max="9482" width="7.26953125" style="2306" customWidth="1"/>
    <col min="9483" max="9483" width="8.81640625" style="2306" customWidth="1"/>
    <col min="9484" max="9484" width="8.26953125" style="2306" customWidth="1"/>
    <col min="9485" max="9724" width="9.1796875" style="2306"/>
    <col min="9725" max="9725" width="14.1796875" style="2306" customWidth="1"/>
    <col min="9726" max="9726" width="8.453125" style="2306" bestFit="1" customWidth="1"/>
    <col min="9727" max="9727" width="5.54296875" style="2306" customWidth="1"/>
    <col min="9728" max="9728" width="4.81640625" style="2306" customWidth="1"/>
    <col min="9729" max="9729" width="12.54296875" style="2306" customWidth="1"/>
    <col min="9730" max="9730" width="10.7265625" style="2306" customWidth="1"/>
    <col min="9731" max="9731" width="9.54296875" style="2306" bestFit="1" customWidth="1"/>
    <col min="9732" max="9732" width="12.453125" style="2306" customWidth="1"/>
    <col min="9733" max="9733" width="18.26953125" style="2306" customWidth="1"/>
    <col min="9734" max="9734" width="8.26953125" style="2306" customWidth="1"/>
    <col min="9735" max="9735" width="8.81640625" style="2306" customWidth="1"/>
    <col min="9736" max="9737" width="9" style="2306" customWidth="1"/>
    <col min="9738" max="9738" width="7.26953125" style="2306" customWidth="1"/>
    <col min="9739" max="9739" width="8.81640625" style="2306" customWidth="1"/>
    <col min="9740" max="9740" width="8.26953125" style="2306" customWidth="1"/>
    <col min="9741" max="9980" width="9.1796875" style="2306"/>
    <col min="9981" max="9981" width="14.1796875" style="2306" customWidth="1"/>
    <col min="9982" max="9982" width="8.453125" style="2306" bestFit="1" customWidth="1"/>
    <col min="9983" max="9983" width="5.54296875" style="2306" customWidth="1"/>
    <col min="9984" max="9984" width="4.81640625" style="2306" customWidth="1"/>
    <col min="9985" max="9985" width="12.54296875" style="2306" customWidth="1"/>
    <col min="9986" max="9986" width="10.7265625" style="2306" customWidth="1"/>
    <col min="9987" max="9987" width="9.54296875" style="2306" bestFit="1" customWidth="1"/>
    <col min="9988" max="9988" width="12.453125" style="2306" customWidth="1"/>
    <col min="9989" max="9989" width="18.26953125" style="2306" customWidth="1"/>
    <col min="9990" max="9990" width="8.26953125" style="2306" customWidth="1"/>
    <col min="9991" max="9991" width="8.81640625" style="2306" customWidth="1"/>
    <col min="9992" max="9993" width="9" style="2306" customWidth="1"/>
    <col min="9994" max="9994" width="7.26953125" style="2306" customWidth="1"/>
    <col min="9995" max="9995" width="8.81640625" style="2306" customWidth="1"/>
    <col min="9996" max="9996" width="8.26953125" style="2306" customWidth="1"/>
    <col min="9997" max="10236" width="9.1796875" style="2306"/>
    <col min="10237" max="10237" width="14.1796875" style="2306" customWidth="1"/>
    <col min="10238" max="10238" width="8.453125" style="2306" bestFit="1" customWidth="1"/>
    <col min="10239" max="10239" width="5.54296875" style="2306" customWidth="1"/>
    <col min="10240" max="10240" width="4.81640625" style="2306" customWidth="1"/>
    <col min="10241" max="10241" width="12.54296875" style="2306" customWidth="1"/>
    <col min="10242" max="10242" width="10.7265625" style="2306" customWidth="1"/>
    <col min="10243" max="10243" width="9.54296875" style="2306" bestFit="1" customWidth="1"/>
    <col min="10244" max="10244" width="12.453125" style="2306" customWidth="1"/>
    <col min="10245" max="10245" width="18.26953125" style="2306" customWidth="1"/>
    <col min="10246" max="10246" width="8.26953125" style="2306" customWidth="1"/>
    <col min="10247" max="10247" width="8.81640625" style="2306" customWidth="1"/>
    <col min="10248" max="10249" width="9" style="2306" customWidth="1"/>
    <col min="10250" max="10250" width="7.26953125" style="2306" customWidth="1"/>
    <col min="10251" max="10251" width="8.81640625" style="2306" customWidth="1"/>
    <col min="10252" max="10252" width="8.26953125" style="2306" customWidth="1"/>
    <col min="10253" max="10492" width="9.1796875" style="2306"/>
    <col min="10493" max="10493" width="14.1796875" style="2306" customWidth="1"/>
    <col min="10494" max="10494" width="8.453125" style="2306" bestFit="1" customWidth="1"/>
    <col min="10495" max="10495" width="5.54296875" style="2306" customWidth="1"/>
    <col min="10496" max="10496" width="4.81640625" style="2306" customWidth="1"/>
    <col min="10497" max="10497" width="12.54296875" style="2306" customWidth="1"/>
    <col min="10498" max="10498" width="10.7265625" style="2306" customWidth="1"/>
    <col min="10499" max="10499" width="9.54296875" style="2306" bestFit="1" customWidth="1"/>
    <col min="10500" max="10500" width="12.453125" style="2306" customWidth="1"/>
    <col min="10501" max="10501" width="18.26953125" style="2306" customWidth="1"/>
    <col min="10502" max="10502" width="8.26953125" style="2306" customWidth="1"/>
    <col min="10503" max="10503" width="8.81640625" style="2306" customWidth="1"/>
    <col min="10504" max="10505" width="9" style="2306" customWidth="1"/>
    <col min="10506" max="10506" width="7.26953125" style="2306" customWidth="1"/>
    <col min="10507" max="10507" width="8.81640625" style="2306" customWidth="1"/>
    <col min="10508" max="10508" width="8.26953125" style="2306" customWidth="1"/>
    <col min="10509" max="10748" width="9.1796875" style="2306"/>
    <col min="10749" max="10749" width="14.1796875" style="2306" customWidth="1"/>
    <col min="10750" max="10750" width="8.453125" style="2306" bestFit="1" customWidth="1"/>
    <col min="10751" max="10751" width="5.54296875" style="2306" customWidth="1"/>
    <col min="10752" max="10752" width="4.81640625" style="2306" customWidth="1"/>
    <col min="10753" max="10753" width="12.54296875" style="2306" customWidth="1"/>
    <col min="10754" max="10754" width="10.7265625" style="2306" customWidth="1"/>
    <col min="10755" max="10755" width="9.54296875" style="2306" bestFit="1" customWidth="1"/>
    <col min="10756" max="10756" width="12.453125" style="2306" customWidth="1"/>
    <col min="10757" max="10757" width="18.26953125" style="2306" customWidth="1"/>
    <col min="10758" max="10758" width="8.26953125" style="2306" customWidth="1"/>
    <col min="10759" max="10759" width="8.81640625" style="2306" customWidth="1"/>
    <col min="10760" max="10761" width="9" style="2306" customWidth="1"/>
    <col min="10762" max="10762" width="7.26953125" style="2306" customWidth="1"/>
    <col min="10763" max="10763" width="8.81640625" style="2306" customWidth="1"/>
    <col min="10764" max="10764" width="8.26953125" style="2306" customWidth="1"/>
    <col min="10765" max="11004" width="9.1796875" style="2306"/>
    <col min="11005" max="11005" width="14.1796875" style="2306" customWidth="1"/>
    <col min="11006" max="11006" width="8.453125" style="2306" bestFit="1" customWidth="1"/>
    <col min="11007" max="11007" width="5.54296875" style="2306" customWidth="1"/>
    <col min="11008" max="11008" width="4.81640625" style="2306" customWidth="1"/>
    <col min="11009" max="11009" width="12.54296875" style="2306" customWidth="1"/>
    <col min="11010" max="11010" width="10.7265625" style="2306" customWidth="1"/>
    <col min="11011" max="11011" width="9.54296875" style="2306" bestFit="1" customWidth="1"/>
    <col min="11012" max="11012" width="12.453125" style="2306" customWidth="1"/>
    <col min="11013" max="11013" width="18.26953125" style="2306" customWidth="1"/>
    <col min="11014" max="11014" width="8.26953125" style="2306" customWidth="1"/>
    <col min="11015" max="11015" width="8.81640625" style="2306" customWidth="1"/>
    <col min="11016" max="11017" width="9" style="2306" customWidth="1"/>
    <col min="11018" max="11018" width="7.26953125" style="2306" customWidth="1"/>
    <col min="11019" max="11019" width="8.81640625" style="2306" customWidth="1"/>
    <col min="11020" max="11020" width="8.26953125" style="2306" customWidth="1"/>
    <col min="11021" max="11260" width="9.1796875" style="2306"/>
    <col min="11261" max="11261" width="14.1796875" style="2306" customWidth="1"/>
    <col min="11262" max="11262" width="8.453125" style="2306" bestFit="1" customWidth="1"/>
    <col min="11263" max="11263" width="5.54296875" style="2306" customWidth="1"/>
    <col min="11264" max="11264" width="4.81640625" style="2306" customWidth="1"/>
    <col min="11265" max="11265" width="12.54296875" style="2306" customWidth="1"/>
    <col min="11266" max="11266" width="10.7265625" style="2306" customWidth="1"/>
    <col min="11267" max="11267" width="9.54296875" style="2306" bestFit="1" customWidth="1"/>
    <col min="11268" max="11268" width="12.453125" style="2306" customWidth="1"/>
    <col min="11269" max="11269" width="18.26953125" style="2306" customWidth="1"/>
    <col min="11270" max="11270" width="8.26953125" style="2306" customWidth="1"/>
    <col min="11271" max="11271" width="8.81640625" style="2306" customWidth="1"/>
    <col min="11272" max="11273" width="9" style="2306" customWidth="1"/>
    <col min="11274" max="11274" width="7.26953125" style="2306" customWidth="1"/>
    <col min="11275" max="11275" width="8.81640625" style="2306" customWidth="1"/>
    <col min="11276" max="11276" width="8.26953125" style="2306" customWidth="1"/>
    <col min="11277" max="11516" width="9.1796875" style="2306"/>
    <col min="11517" max="11517" width="14.1796875" style="2306" customWidth="1"/>
    <col min="11518" max="11518" width="8.453125" style="2306" bestFit="1" customWidth="1"/>
    <col min="11519" max="11519" width="5.54296875" style="2306" customWidth="1"/>
    <col min="11520" max="11520" width="4.81640625" style="2306" customWidth="1"/>
    <col min="11521" max="11521" width="12.54296875" style="2306" customWidth="1"/>
    <col min="11522" max="11522" width="10.7265625" style="2306" customWidth="1"/>
    <col min="11523" max="11523" width="9.54296875" style="2306" bestFit="1" customWidth="1"/>
    <col min="11524" max="11524" width="12.453125" style="2306" customWidth="1"/>
    <col min="11525" max="11525" width="18.26953125" style="2306" customWidth="1"/>
    <col min="11526" max="11526" width="8.26953125" style="2306" customWidth="1"/>
    <col min="11527" max="11527" width="8.81640625" style="2306" customWidth="1"/>
    <col min="11528" max="11529" width="9" style="2306" customWidth="1"/>
    <col min="11530" max="11530" width="7.26953125" style="2306" customWidth="1"/>
    <col min="11531" max="11531" width="8.81640625" style="2306" customWidth="1"/>
    <col min="11532" max="11532" width="8.26953125" style="2306" customWidth="1"/>
    <col min="11533" max="11772" width="9.1796875" style="2306"/>
    <col min="11773" max="11773" width="14.1796875" style="2306" customWidth="1"/>
    <col min="11774" max="11774" width="8.453125" style="2306" bestFit="1" customWidth="1"/>
    <col min="11775" max="11775" width="5.54296875" style="2306" customWidth="1"/>
    <col min="11776" max="11776" width="4.81640625" style="2306" customWidth="1"/>
    <col min="11777" max="11777" width="12.54296875" style="2306" customWidth="1"/>
    <col min="11778" max="11778" width="10.7265625" style="2306" customWidth="1"/>
    <col min="11779" max="11779" width="9.54296875" style="2306" bestFit="1" customWidth="1"/>
    <col min="11780" max="11780" width="12.453125" style="2306" customWidth="1"/>
    <col min="11781" max="11781" width="18.26953125" style="2306" customWidth="1"/>
    <col min="11782" max="11782" width="8.26953125" style="2306" customWidth="1"/>
    <col min="11783" max="11783" width="8.81640625" style="2306" customWidth="1"/>
    <col min="11784" max="11785" width="9" style="2306" customWidth="1"/>
    <col min="11786" max="11786" width="7.26953125" style="2306" customWidth="1"/>
    <col min="11787" max="11787" width="8.81640625" style="2306" customWidth="1"/>
    <col min="11788" max="11788" width="8.26953125" style="2306" customWidth="1"/>
    <col min="11789" max="12028" width="9.1796875" style="2306"/>
    <col min="12029" max="12029" width="14.1796875" style="2306" customWidth="1"/>
    <col min="12030" max="12030" width="8.453125" style="2306" bestFit="1" customWidth="1"/>
    <col min="12031" max="12031" width="5.54296875" style="2306" customWidth="1"/>
    <col min="12032" max="12032" width="4.81640625" style="2306" customWidth="1"/>
    <col min="12033" max="12033" width="12.54296875" style="2306" customWidth="1"/>
    <col min="12034" max="12034" width="10.7265625" style="2306" customWidth="1"/>
    <col min="12035" max="12035" width="9.54296875" style="2306" bestFit="1" customWidth="1"/>
    <col min="12036" max="12036" width="12.453125" style="2306" customWidth="1"/>
    <col min="12037" max="12037" width="18.26953125" style="2306" customWidth="1"/>
    <col min="12038" max="12038" width="8.26953125" style="2306" customWidth="1"/>
    <col min="12039" max="12039" width="8.81640625" style="2306" customWidth="1"/>
    <col min="12040" max="12041" width="9" style="2306" customWidth="1"/>
    <col min="12042" max="12042" width="7.26953125" style="2306" customWidth="1"/>
    <col min="12043" max="12043" width="8.81640625" style="2306" customWidth="1"/>
    <col min="12044" max="12044" width="8.26953125" style="2306" customWidth="1"/>
    <col min="12045" max="12284" width="9.1796875" style="2306"/>
    <col min="12285" max="12285" width="14.1796875" style="2306" customWidth="1"/>
    <col min="12286" max="12286" width="8.453125" style="2306" bestFit="1" customWidth="1"/>
    <col min="12287" max="12287" width="5.54296875" style="2306" customWidth="1"/>
    <col min="12288" max="12288" width="4.81640625" style="2306" customWidth="1"/>
    <col min="12289" max="12289" width="12.54296875" style="2306" customWidth="1"/>
    <col min="12290" max="12290" width="10.7265625" style="2306" customWidth="1"/>
    <col min="12291" max="12291" width="9.54296875" style="2306" bestFit="1" customWidth="1"/>
    <col min="12292" max="12292" width="12.453125" style="2306" customWidth="1"/>
    <col min="12293" max="12293" width="18.26953125" style="2306" customWidth="1"/>
    <col min="12294" max="12294" width="8.26953125" style="2306" customWidth="1"/>
    <col min="12295" max="12295" width="8.81640625" style="2306" customWidth="1"/>
    <col min="12296" max="12297" width="9" style="2306" customWidth="1"/>
    <col min="12298" max="12298" width="7.26953125" style="2306" customWidth="1"/>
    <col min="12299" max="12299" width="8.81640625" style="2306" customWidth="1"/>
    <col min="12300" max="12300" width="8.26953125" style="2306" customWidth="1"/>
    <col min="12301" max="12540" width="9.1796875" style="2306"/>
    <col min="12541" max="12541" width="14.1796875" style="2306" customWidth="1"/>
    <col min="12542" max="12542" width="8.453125" style="2306" bestFit="1" customWidth="1"/>
    <col min="12543" max="12543" width="5.54296875" style="2306" customWidth="1"/>
    <col min="12544" max="12544" width="4.81640625" style="2306" customWidth="1"/>
    <col min="12545" max="12545" width="12.54296875" style="2306" customWidth="1"/>
    <col min="12546" max="12546" width="10.7265625" style="2306" customWidth="1"/>
    <col min="12547" max="12547" width="9.54296875" style="2306" bestFit="1" customWidth="1"/>
    <col min="12548" max="12548" width="12.453125" style="2306" customWidth="1"/>
    <col min="12549" max="12549" width="18.26953125" style="2306" customWidth="1"/>
    <col min="12550" max="12550" width="8.26953125" style="2306" customWidth="1"/>
    <col min="12551" max="12551" width="8.81640625" style="2306" customWidth="1"/>
    <col min="12552" max="12553" width="9" style="2306" customWidth="1"/>
    <col min="12554" max="12554" width="7.26953125" style="2306" customWidth="1"/>
    <col min="12555" max="12555" width="8.81640625" style="2306" customWidth="1"/>
    <col min="12556" max="12556" width="8.26953125" style="2306" customWidth="1"/>
    <col min="12557" max="12796" width="9.1796875" style="2306"/>
    <col min="12797" max="12797" width="14.1796875" style="2306" customWidth="1"/>
    <col min="12798" max="12798" width="8.453125" style="2306" bestFit="1" customWidth="1"/>
    <col min="12799" max="12799" width="5.54296875" style="2306" customWidth="1"/>
    <col min="12800" max="12800" width="4.81640625" style="2306" customWidth="1"/>
    <col min="12801" max="12801" width="12.54296875" style="2306" customWidth="1"/>
    <col min="12802" max="12802" width="10.7265625" style="2306" customWidth="1"/>
    <col min="12803" max="12803" width="9.54296875" style="2306" bestFit="1" customWidth="1"/>
    <col min="12804" max="12804" width="12.453125" style="2306" customWidth="1"/>
    <col min="12805" max="12805" width="18.26953125" style="2306" customWidth="1"/>
    <col min="12806" max="12806" width="8.26953125" style="2306" customWidth="1"/>
    <col min="12807" max="12807" width="8.81640625" style="2306" customWidth="1"/>
    <col min="12808" max="12809" width="9" style="2306" customWidth="1"/>
    <col min="12810" max="12810" width="7.26953125" style="2306" customWidth="1"/>
    <col min="12811" max="12811" width="8.81640625" style="2306" customWidth="1"/>
    <col min="12812" max="12812" width="8.26953125" style="2306" customWidth="1"/>
    <col min="12813" max="13052" width="9.1796875" style="2306"/>
    <col min="13053" max="13053" width="14.1796875" style="2306" customWidth="1"/>
    <col min="13054" max="13054" width="8.453125" style="2306" bestFit="1" customWidth="1"/>
    <col min="13055" max="13055" width="5.54296875" style="2306" customWidth="1"/>
    <col min="13056" max="13056" width="4.81640625" style="2306" customWidth="1"/>
    <col min="13057" max="13057" width="12.54296875" style="2306" customWidth="1"/>
    <col min="13058" max="13058" width="10.7265625" style="2306" customWidth="1"/>
    <col min="13059" max="13059" width="9.54296875" style="2306" bestFit="1" customWidth="1"/>
    <col min="13060" max="13060" width="12.453125" style="2306" customWidth="1"/>
    <col min="13061" max="13061" width="18.26953125" style="2306" customWidth="1"/>
    <col min="13062" max="13062" width="8.26953125" style="2306" customWidth="1"/>
    <col min="13063" max="13063" width="8.81640625" style="2306" customWidth="1"/>
    <col min="13064" max="13065" width="9" style="2306" customWidth="1"/>
    <col min="13066" max="13066" width="7.26953125" style="2306" customWidth="1"/>
    <col min="13067" max="13067" width="8.81640625" style="2306" customWidth="1"/>
    <col min="13068" max="13068" width="8.26953125" style="2306" customWidth="1"/>
    <col min="13069" max="13308" width="9.1796875" style="2306"/>
    <col min="13309" max="13309" width="14.1796875" style="2306" customWidth="1"/>
    <col min="13310" max="13310" width="8.453125" style="2306" bestFit="1" customWidth="1"/>
    <col min="13311" max="13311" width="5.54296875" style="2306" customWidth="1"/>
    <col min="13312" max="13312" width="4.81640625" style="2306" customWidth="1"/>
    <col min="13313" max="13313" width="12.54296875" style="2306" customWidth="1"/>
    <col min="13314" max="13314" width="10.7265625" style="2306" customWidth="1"/>
    <col min="13315" max="13315" width="9.54296875" style="2306" bestFit="1" customWidth="1"/>
    <col min="13316" max="13316" width="12.453125" style="2306" customWidth="1"/>
    <col min="13317" max="13317" width="18.26953125" style="2306" customWidth="1"/>
    <col min="13318" max="13318" width="8.26953125" style="2306" customWidth="1"/>
    <col min="13319" max="13319" width="8.81640625" style="2306" customWidth="1"/>
    <col min="13320" max="13321" width="9" style="2306" customWidth="1"/>
    <col min="13322" max="13322" width="7.26953125" style="2306" customWidth="1"/>
    <col min="13323" max="13323" width="8.81640625" style="2306" customWidth="1"/>
    <col min="13324" max="13324" width="8.26953125" style="2306" customWidth="1"/>
    <col min="13325" max="13564" width="9.1796875" style="2306"/>
    <col min="13565" max="13565" width="14.1796875" style="2306" customWidth="1"/>
    <col min="13566" max="13566" width="8.453125" style="2306" bestFit="1" customWidth="1"/>
    <col min="13567" max="13567" width="5.54296875" style="2306" customWidth="1"/>
    <col min="13568" max="13568" width="4.81640625" style="2306" customWidth="1"/>
    <col min="13569" max="13569" width="12.54296875" style="2306" customWidth="1"/>
    <col min="13570" max="13570" width="10.7265625" style="2306" customWidth="1"/>
    <col min="13571" max="13571" width="9.54296875" style="2306" bestFit="1" customWidth="1"/>
    <col min="13572" max="13572" width="12.453125" style="2306" customWidth="1"/>
    <col min="13573" max="13573" width="18.26953125" style="2306" customWidth="1"/>
    <col min="13574" max="13574" width="8.26953125" style="2306" customWidth="1"/>
    <col min="13575" max="13575" width="8.81640625" style="2306" customWidth="1"/>
    <col min="13576" max="13577" width="9" style="2306" customWidth="1"/>
    <col min="13578" max="13578" width="7.26953125" style="2306" customWidth="1"/>
    <col min="13579" max="13579" width="8.81640625" style="2306" customWidth="1"/>
    <col min="13580" max="13580" width="8.26953125" style="2306" customWidth="1"/>
    <col min="13581" max="13820" width="9.1796875" style="2306"/>
    <col min="13821" max="13821" width="14.1796875" style="2306" customWidth="1"/>
    <col min="13822" max="13822" width="8.453125" style="2306" bestFit="1" customWidth="1"/>
    <col min="13823" max="13823" width="5.54296875" style="2306" customWidth="1"/>
    <col min="13824" max="13824" width="4.81640625" style="2306" customWidth="1"/>
    <col min="13825" max="13825" width="12.54296875" style="2306" customWidth="1"/>
    <col min="13826" max="13826" width="10.7265625" style="2306" customWidth="1"/>
    <col min="13827" max="13827" width="9.54296875" style="2306" bestFit="1" customWidth="1"/>
    <col min="13828" max="13828" width="12.453125" style="2306" customWidth="1"/>
    <col min="13829" max="13829" width="18.26953125" style="2306" customWidth="1"/>
    <col min="13830" max="13830" width="8.26953125" style="2306" customWidth="1"/>
    <col min="13831" max="13831" width="8.81640625" style="2306" customWidth="1"/>
    <col min="13832" max="13833" width="9" style="2306" customWidth="1"/>
    <col min="13834" max="13834" width="7.26953125" style="2306" customWidth="1"/>
    <col min="13835" max="13835" width="8.81640625" style="2306" customWidth="1"/>
    <col min="13836" max="13836" width="8.26953125" style="2306" customWidth="1"/>
    <col min="13837" max="14076" width="9.1796875" style="2306"/>
    <col min="14077" max="14077" width="14.1796875" style="2306" customWidth="1"/>
    <col min="14078" max="14078" width="8.453125" style="2306" bestFit="1" customWidth="1"/>
    <col min="14079" max="14079" width="5.54296875" style="2306" customWidth="1"/>
    <col min="14080" max="14080" width="4.81640625" style="2306" customWidth="1"/>
    <col min="14081" max="14081" width="12.54296875" style="2306" customWidth="1"/>
    <col min="14082" max="14082" width="10.7265625" style="2306" customWidth="1"/>
    <col min="14083" max="14083" width="9.54296875" style="2306" bestFit="1" customWidth="1"/>
    <col min="14084" max="14084" width="12.453125" style="2306" customWidth="1"/>
    <col min="14085" max="14085" width="18.26953125" style="2306" customWidth="1"/>
    <col min="14086" max="14086" width="8.26953125" style="2306" customWidth="1"/>
    <col min="14087" max="14087" width="8.81640625" style="2306" customWidth="1"/>
    <col min="14088" max="14089" width="9" style="2306" customWidth="1"/>
    <col min="14090" max="14090" width="7.26953125" style="2306" customWidth="1"/>
    <col min="14091" max="14091" width="8.81640625" style="2306" customWidth="1"/>
    <col min="14092" max="14092" width="8.26953125" style="2306" customWidth="1"/>
    <col min="14093" max="14332" width="9.1796875" style="2306"/>
    <col min="14333" max="14333" width="14.1796875" style="2306" customWidth="1"/>
    <col min="14334" max="14334" width="8.453125" style="2306" bestFit="1" customWidth="1"/>
    <col min="14335" max="14335" width="5.54296875" style="2306" customWidth="1"/>
    <col min="14336" max="14336" width="4.81640625" style="2306" customWidth="1"/>
    <col min="14337" max="14337" width="12.54296875" style="2306" customWidth="1"/>
    <col min="14338" max="14338" width="10.7265625" style="2306" customWidth="1"/>
    <col min="14339" max="14339" width="9.54296875" style="2306" bestFit="1" customWidth="1"/>
    <col min="14340" max="14340" width="12.453125" style="2306" customWidth="1"/>
    <col min="14341" max="14341" width="18.26953125" style="2306" customWidth="1"/>
    <col min="14342" max="14342" width="8.26953125" style="2306" customWidth="1"/>
    <col min="14343" max="14343" width="8.81640625" style="2306" customWidth="1"/>
    <col min="14344" max="14345" width="9" style="2306" customWidth="1"/>
    <col min="14346" max="14346" width="7.26953125" style="2306" customWidth="1"/>
    <col min="14347" max="14347" width="8.81640625" style="2306" customWidth="1"/>
    <col min="14348" max="14348" width="8.26953125" style="2306" customWidth="1"/>
    <col min="14349" max="14588" width="9.1796875" style="2306"/>
    <col min="14589" max="14589" width="14.1796875" style="2306" customWidth="1"/>
    <col min="14590" max="14590" width="8.453125" style="2306" bestFit="1" customWidth="1"/>
    <col min="14591" max="14591" width="5.54296875" style="2306" customWidth="1"/>
    <col min="14592" max="14592" width="4.81640625" style="2306" customWidth="1"/>
    <col min="14593" max="14593" width="12.54296875" style="2306" customWidth="1"/>
    <col min="14594" max="14594" width="10.7265625" style="2306" customWidth="1"/>
    <col min="14595" max="14595" width="9.54296875" style="2306" bestFit="1" customWidth="1"/>
    <col min="14596" max="14596" width="12.453125" style="2306" customWidth="1"/>
    <col min="14597" max="14597" width="18.26953125" style="2306" customWidth="1"/>
    <col min="14598" max="14598" width="8.26953125" style="2306" customWidth="1"/>
    <col min="14599" max="14599" width="8.81640625" style="2306" customWidth="1"/>
    <col min="14600" max="14601" width="9" style="2306" customWidth="1"/>
    <col min="14602" max="14602" width="7.26953125" style="2306" customWidth="1"/>
    <col min="14603" max="14603" width="8.81640625" style="2306" customWidth="1"/>
    <col min="14604" max="14604" width="8.26953125" style="2306" customWidth="1"/>
    <col min="14605" max="14844" width="9.1796875" style="2306"/>
    <col min="14845" max="14845" width="14.1796875" style="2306" customWidth="1"/>
    <col min="14846" max="14846" width="8.453125" style="2306" bestFit="1" customWidth="1"/>
    <col min="14847" max="14847" width="5.54296875" style="2306" customWidth="1"/>
    <col min="14848" max="14848" width="4.81640625" style="2306" customWidth="1"/>
    <col min="14849" max="14849" width="12.54296875" style="2306" customWidth="1"/>
    <col min="14850" max="14850" width="10.7265625" style="2306" customWidth="1"/>
    <col min="14851" max="14851" width="9.54296875" style="2306" bestFit="1" customWidth="1"/>
    <col min="14852" max="14852" width="12.453125" style="2306" customWidth="1"/>
    <col min="14853" max="14853" width="18.26953125" style="2306" customWidth="1"/>
    <col min="14854" max="14854" width="8.26953125" style="2306" customWidth="1"/>
    <col min="14855" max="14855" width="8.81640625" style="2306" customWidth="1"/>
    <col min="14856" max="14857" width="9" style="2306" customWidth="1"/>
    <col min="14858" max="14858" width="7.26953125" style="2306" customWidth="1"/>
    <col min="14859" max="14859" width="8.81640625" style="2306" customWidth="1"/>
    <col min="14860" max="14860" width="8.26953125" style="2306" customWidth="1"/>
    <col min="14861" max="15100" width="9.1796875" style="2306"/>
    <col min="15101" max="15101" width="14.1796875" style="2306" customWidth="1"/>
    <col min="15102" max="15102" width="8.453125" style="2306" bestFit="1" customWidth="1"/>
    <col min="15103" max="15103" width="5.54296875" style="2306" customWidth="1"/>
    <col min="15104" max="15104" width="4.81640625" style="2306" customWidth="1"/>
    <col min="15105" max="15105" width="12.54296875" style="2306" customWidth="1"/>
    <col min="15106" max="15106" width="10.7265625" style="2306" customWidth="1"/>
    <col min="15107" max="15107" width="9.54296875" style="2306" bestFit="1" customWidth="1"/>
    <col min="15108" max="15108" width="12.453125" style="2306" customWidth="1"/>
    <col min="15109" max="15109" width="18.26953125" style="2306" customWidth="1"/>
    <col min="15110" max="15110" width="8.26953125" style="2306" customWidth="1"/>
    <col min="15111" max="15111" width="8.81640625" style="2306" customWidth="1"/>
    <col min="15112" max="15113" width="9" style="2306" customWidth="1"/>
    <col min="15114" max="15114" width="7.26953125" style="2306" customWidth="1"/>
    <col min="15115" max="15115" width="8.81640625" style="2306" customWidth="1"/>
    <col min="15116" max="15116" width="8.26953125" style="2306" customWidth="1"/>
    <col min="15117" max="15356" width="9.1796875" style="2306"/>
    <col min="15357" max="15357" width="14.1796875" style="2306" customWidth="1"/>
    <col min="15358" max="15358" width="8.453125" style="2306" bestFit="1" customWidth="1"/>
    <col min="15359" max="15359" width="5.54296875" style="2306" customWidth="1"/>
    <col min="15360" max="15360" width="4.81640625" style="2306" customWidth="1"/>
    <col min="15361" max="15361" width="12.54296875" style="2306" customWidth="1"/>
    <col min="15362" max="15362" width="10.7265625" style="2306" customWidth="1"/>
    <col min="15363" max="15363" width="9.54296875" style="2306" bestFit="1" customWidth="1"/>
    <col min="15364" max="15364" width="12.453125" style="2306" customWidth="1"/>
    <col min="15365" max="15365" width="18.26953125" style="2306" customWidth="1"/>
    <col min="15366" max="15366" width="8.26953125" style="2306" customWidth="1"/>
    <col min="15367" max="15367" width="8.81640625" style="2306" customWidth="1"/>
    <col min="15368" max="15369" width="9" style="2306" customWidth="1"/>
    <col min="15370" max="15370" width="7.26953125" style="2306" customWidth="1"/>
    <col min="15371" max="15371" width="8.81640625" style="2306" customWidth="1"/>
    <col min="15372" max="15372" width="8.26953125" style="2306" customWidth="1"/>
    <col min="15373" max="15612" width="9.1796875" style="2306"/>
    <col min="15613" max="15613" width="14.1796875" style="2306" customWidth="1"/>
    <col min="15614" max="15614" width="8.453125" style="2306" bestFit="1" customWidth="1"/>
    <col min="15615" max="15615" width="5.54296875" style="2306" customWidth="1"/>
    <col min="15616" max="15616" width="4.81640625" style="2306" customWidth="1"/>
    <col min="15617" max="15617" width="12.54296875" style="2306" customWidth="1"/>
    <col min="15618" max="15618" width="10.7265625" style="2306" customWidth="1"/>
    <col min="15619" max="15619" width="9.54296875" style="2306" bestFit="1" customWidth="1"/>
    <col min="15620" max="15620" width="12.453125" style="2306" customWidth="1"/>
    <col min="15621" max="15621" width="18.26953125" style="2306" customWidth="1"/>
    <col min="15622" max="15622" width="8.26953125" style="2306" customWidth="1"/>
    <col min="15623" max="15623" width="8.81640625" style="2306" customWidth="1"/>
    <col min="15624" max="15625" width="9" style="2306" customWidth="1"/>
    <col min="15626" max="15626" width="7.26953125" style="2306" customWidth="1"/>
    <col min="15627" max="15627" width="8.81640625" style="2306" customWidth="1"/>
    <col min="15628" max="15628" width="8.26953125" style="2306" customWidth="1"/>
    <col min="15629" max="15868" width="9.1796875" style="2306"/>
    <col min="15869" max="15869" width="14.1796875" style="2306" customWidth="1"/>
    <col min="15870" max="15870" width="8.453125" style="2306" bestFit="1" customWidth="1"/>
    <col min="15871" max="15871" width="5.54296875" style="2306" customWidth="1"/>
    <col min="15872" max="15872" width="4.81640625" style="2306" customWidth="1"/>
    <col min="15873" max="15873" width="12.54296875" style="2306" customWidth="1"/>
    <col min="15874" max="15874" width="10.7265625" style="2306" customWidth="1"/>
    <col min="15875" max="15875" width="9.54296875" style="2306" bestFit="1" customWidth="1"/>
    <col min="15876" max="15876" width="12.453125" style="2306" customWidth="1"/>
    <col min="15877" max="15877" width="18.26953125" style="2306" customWidth="1"/>
    <col min="15878" max="15878" width="8.26953125" style="2306" customWidth="1"/>
    <col min="15879" max="15879" width="8.81640625" style="2306" customWidth="1"/>
    <col min="15880" max="15881" width="9" style="2306" customWidth="1"/>
    <col min="15882" max="15882" width="7.26953125" style="2306" customWidth="1"/>
    <col min="15883" max="15883" width="8.81640625" style="2306" customWidth="1"/>
    <col min="15884" max="15884" width="8.26953125" style="2306" customWidth="1"/>
    <col min="15885" max="16124" width="9.1796875" style="2306"/>
    <col min="16125" max="16125" width="14.1796875" style="2306" customWidth="1"/>
    <col min="16126" max="16126" width="8.453125" style="2306" bestFit="1" customWidth="1"/>
    <col min="16127" max="16127" width="5.54296875" style="2306" customWidth="1"/>
    <col min="16128" max="16128" width="4.81640625" style="2306" customWidth="1"/>
    <col min="16129" max="16129" width="12.54296875" style="2306" customWidth="1"/>
    <col min="16130" max="16130" width="10.7265625" style="2306" customWidth="1"/>
    <col min="16131" max="16131" width="9.54296875" style="2306" bestFit="1" customWidth="1"/>
    <col min="16132" max="16132" width="12.453125" style="2306" customWidth="1"/>
    <col min="16133" max="16133" width="18.26953125" style="2306" customWidth="1"/>
    <col min="16134" max="16134" width="8.26953125" style="2306" customWidth="1"/>
    <col min="16135" max="16135" width="8.81640625" style="2306" customWidth="1"/>
    <col min="16136" max="16137" width="9" style="2306" customWidth="1"/>
    <col min="16138" max="16138" width="7.26953125" style="2306" customWidth="1"/>
    <col min="16139" max="16139" width="8.81640625" style="2306" customWidth="1"/>
    <col min="16140" max="16140" width="8.26953125" style="2306" customWidth="1"/>
    <col min="16141" max="16384" width="9.1796875" style="2306"/>
  </cols>
  <sheetData>
    <row r="1" spans="1:12" ht="14.5">
      <c r="A1" s="3281" t="s">
        <v>2097</v>
      </c>
      <c r="B1" s="3281"/>
      <c r="C1" s="3281"/>
      <c r="D1" s="2796"/>
    </row>
    <row r="2" spans="1:12" ht="14.5">
      <c r="A2" s="3282" t="s">
        <v>174</v>
      </c>
      <c r="B2" s="3282"/>
      <c r="C2" s="3282"/>
      <c r="D2" s="3282"/>
      <c r="E2" s="3282"/>
      <c r="F2" s="3282"/>
      <c r="G2" s="3282"/>
      <c r="H2" s="3282"/>
      <c r="I2" s="2307"/>
      <c r="J2" s="2307"/>
      <c r="K2" s="2307"/>
      <c r="L2" s="2307"/>
    </row>
    <row r="3" spans="1:12" ht="14.5">
      <c r="A3" s="2308" t="s">
        <v>2098</v>
      </c>
      <c r="B3" s="2308"/>
      <c r="C3" s="2308"/>
      <c r="D3" s="2308"/>
      <c r="E3" s="2308"/>
      <c r="F3" s="2308"/>
      <c r="G3" s="2308"/>
      <c r="H3" s="2308"/>
      <c r="I3" s="2309"/>
      <c r="J3" s="2309"/>
      <c r="K3" s="2309"/>
      <c r="L3" s="2309"/>
    </row>
    <row r="4" spans="1:12" ht="15" thickBot="1">
      <c r="C4" s="2310"/>
      <c r="D4" s="2310"/>
      <c r="I4" s="2310"/>
    </row>
    <row r="5" spans="1:12" ht="14.5">
      <c r="A5" s="3283" t="s">
        <v>2099</v>
      </c>
      <c r="B5" s="3284"/>
      <c r="C5" s="2311" t="s">
        <v>2100</v>
      </c>
      <c r="D5" s="2311" t="s">
        <v>2101</v>
      </c>
      <c r="E5" s="2312" t="s">
        <v>566</v>
      </c>
      <c r="F5" s="2312" t="s">
        <v>545</v>
      </c>
      <c r="G5" s="2312" t="s">
        <v>546</v>
      </c>
      <c r="H5" s="2312" t="s">
        <v>547</v>
      </c>
      <c r="I5" s="2313"/>
      <c r="J5" s="2313"/>
      <c r="K5" s="2313"/>
      <c r="L5" s="2313"/>
    </row>
    <row r="6" spans="1:12" ht="14.5">
      <c r="A6" s="3285" t="s">
        <v>2035</v>
      </c>
      <c r="B6" s="3285"/>
      <c r="C6" s="2314" t="s">
        <v>2102</v>
      </c>
      <c r="D6" s="2315" t="s">
        <v>57</v>
      </c>
      <c r="E6" s="2316" t="s">
        <v>305</v>
      </c>
      <c r="F6" s="2317">
        <v>123715.52717889003</v>
      </c>
      <c r="G6" s="2317">
        <v>124127.77096506816</v>
      </c>
      <c r="H6" s="2317">
        <v>124918.14505011027</v>
      </c>
      <c r="I6" s="2313"/>
      <c r="J6" s="2313"/>
      <c r="K6" s="2313"/>
      <c r="L6" s="2313"/>
    </row>
    <row r="7" spans="1:12" ht="14.5">
      <c r="A7" s="3285"/>
      <c r="B7" s="3285"/>
      <c r="C7" s="2314" t="s">
        <v>2103</v>
      </c>
      <c r="D7" s="2315" t="s">
        <v>58</v>
      </c>
      <c r="E7" s="2316" t="s">
        <v>305</v>
      </c>
      <c r="F7" s="2318">
        <v>13328.005522839638</v>
      </c>
      <c r="G7" s="2318">
        <v>13609.838513225259</v>
      </c>
      <c r="H7" s="2317">
        <v>12759.055607815146</v>
      </c>
      <c r="I7" s="2319"/>
      <c r="J7" s="2313"/>
      <c r="K7" s="2313"/>
      <c r="L7" s="2313"/>
    </row>
    <row r="8" spans="1:12" ht="14.5">
      <c r="A8" s="3285"/>
      <c r="B8" s="3285"/>
      <c r="C8" s="2320" t="s">
        <v>2104</v>
      </c>
      <c r="D8" s="2321" t="s">
        <v>2105</v>
      </c>
      <c r="E8" s="2322" t="s">
        <v>305</v>
      </c>
      <c r="F8" s="2318">
        <f>F6-F7</f>
        <v>110387.52165605039</v>
      </c>
      <c r="G8" s="2318">
        <f>G6-G7</f>
        <v>110517.93245184291</v>
      </c>
      <c r="H8" s="2318">
        <f>H6-H7</f>
        <v>112159.08944229512</v>
      </c>
      <c r="I8" s="2313"/>
      <c r="J8" s="2313"/>
      <c r="K8" s="2313"/>
      <c r="L8" s="2313"/>
    </row>
    <row r="9" spans="1:12" ht="14.5">
      <c r="A9" s="3285"/>
      <c r="B9" s="3285"/>
      <c r="C9" s="2320" t="s">
        <v>2106</v>
      </c>
      <c r="D9" s="2321" t="s">
        <v>68</v>
      </c>
      <c r="E9" s="2322" t="s">
        <v>62</v>
      </c>
      <c r="F9" s="2323">
        <v>0.03</v>
      </c>
      <c r="G9" s="2323">
        <v>0.04</v>
      </c>
      <c r="H9" s="2323">
        <v>0.05</v>
      </c>
      <c r="I9" s="2313"/>
      <c r="J9" s="2313"/>
      <c r="K9" s="2313"/>
      <c r="L9" s="2313"/>
    </row>
    <row r="10" spans="1:12" ht="14.5">
      <c r="A10" s="3285"/>
      <c r="B10" s="3285"/>
      <c r="C10" s="2320" t="s">
        <v>2106</v>
      </c>
      <c r="D10" s="2321" t="s">
        <v>2107</v>
      </c>
      <c r="E10" s="2322" t="s">
        <v>305</v>
      </c>
      <c r="F10" s="2324">
        <f>F8*F9</f>
        <v>3311.6256496815117</v>
      </c>
      <c r="G10" s="2324">
        <f>G8*G9</f>
        <v>4420.7172980737159</v>
      </c>
      <c r="H10" s="2324">
        <f>H8*H9</f>
        <v>5607.9544721147568</v>
      </c>
      <c r="I10" s="2313"/>
      <c r="J10" s="2313"/>
      <c r="K10" s="2313"/>
      <c r="L10" s="2313"/>
    </row>
    <row r="11" spans="1:12" ht="14.5">
      <c r="A11" s="3285"/>
      <c r="B11" s="3285"/>
      <c r="C11" s="2320" t="s">
        <v>2108</v>
      </c>
      <c r="D11" s="2321" t="s">
        <v>70</v>
      </c>
      <c r="E11" s="2322" t="s">
        <v>305</v>
      </c>
      <c r="F11" s="2318">
        <v>3706.221840880009</v>
      </c>
      <c r="G11" s="2318">
        <v>4674.9812514999994</v>
      </c>
      <c r="H11" s="2317">
        <v>4855.3183839507692</v>
      </c>
      <c r="I11" s="2313"/>
      <c r="J11" s="2325"/>
      <c r="K11" s="2313"/>
      <c r="L11" s="2313"/>
    </row>
    <row r="12" spans="1:12" ht="14.5">
      <c r="A12" s="3285"/>
      <c r="B12" s="3285"/>
      <c r="C12" s="2320" t="s">
        <v>2109</v>
      </c>
      <c r="D12" s="2321" t="s">
        <v>2110</v>
      </c>
      <c r="E12" s="2322" t="s">
        <v>62</v>
      </c>
      <c r="F12" s="2326">
        <f>F11/F10</f>
        <v>1.1191548299658951</v>
      </c>
      <c r="G12" s="2326">
        <f>G11/G10</f>
        <v>1.0575164472826788</v>
      </c>
      <c r="H12" s="2326">
        <f>H11/H10</f>
        <v>0.86579133409402143</v>
      </c>
      <c r="I12" s="2313"/>
      <c r="J12" s="2313"/>
      <c r="K12" s="2313"/>
      <c r="L12" s="2313"/>
    </row>
    <row r="13" spans="1:12" ht="14.5">
      <c r="A13" s="3285"/>
      <c r="B13" s="3285"/>
      <c r="C13" s="2320" t="s">
        <v>2111</v>
      </c>
      <c r="D13" s="2321" t="s">
        <v>139</v>
      </c>
      <c r="E13" s="2322" t="s">
        <v>305</v>
      </c>
      <c r="F13" s="2327">
        <f>IF(F11&gt;F10,F11-F10,0)</f>
        <v>394.59619119849731</v>
      </c>
      <c r="G13" s="2327">
        <f>IF(G11&gt;G10,G11-G10,0)</f>
        <v>254.26395342628348</v>
      </c>
      <c r="H13" s="2327">
        <f>IF(H11&gt;H10,H11-H10,0)</f>
        <v>0</v>
      </c>
      <c r="I13" s="2328"/>
      <c r="J13" s="2313"/>
      <c r="K13" s="2313"/>
      <c r="L13" s="2313"/>
    </row>
    <row r="14" spans="1:12" ht="14.5">
      <c r="A14" s="3285"/>
      <c r="B14" s="3285"/>
      <c r="C14" s="2320" t="s">
        <v>2112</v>
      </c>
      <c r="D14" s="2321" t="s">
        <v>140</v>
      </c>
      <c r="E14" s="2322" t="s">
        <v>305</v>
      </c>
      <c r="F14" s="2327">
        <f>IF(F11&lt;F10,F10-F11,0)</f>
        <v>0</v>
      </c>
      <c r="G14" s="2327">
        <f>IF(G11&lt;G10,G10-G11,0)</f>
        <v>0</v>
      </c>
      <c r="H14" s="2327">
        <f>IF(H11&lt;H10,H10-H11,0)</f>
        <v>752.63608816398755</v>
      </c>
      <c r="I14" s="2313"/>
      <c r="J14" s="2313"/>
      <c r="K14" s="2313"/>
      <c r="L14" s="2313"/>
    </row>
    <row r="15" spans="1:12" ht="14.5">
      <c r="A15" s="3285"/>
      <c r="B15" s="3285"/>
      <c r="C15" s="2320" t="s">
        <v>2113</v>
      </c>
      <c r="D15" s="2321" t="s">
        <v>220</v>
      </c>
      <c r="E15" s="2322" t="s">
        <v>305</v>
      </c>
      <c r="F15" s="2324"/>
      <c r="G15" s="2324"/>
      <c r="H15" s="2324"/>
    </row>
    <row r="16" spans="1:12" ht="14.5">
      <c r="A16" s="3285"/>
      <c r="B16" s="3285"/>
      <c r="C16" s="2320" t="s">
        <v>2114</v>
      </c>
      <c r="D16" s="2321" t="s">
        <v>2115</v>
      </c>
      <c r="E16" s="2322" t="s">
        <v>305</v>
      </c>
      <c r="F16" s="2324">
        <f>F11+F13-F14+F15</f>
        <v>4100.8180320785068</v>
      </c>
      <c r="G16" s="2324">
        <f>G11+G13-G14+G15</f>
        <v>4929.2452049262829</v>
      </c>
      <c r="H16" s="2324">
        <f>H11+H13-H14+H15</f>
        <v>4102.6822957867817</v>
      </c>
    </row>
    <row r="17" spans="1:14" ht="14.5">
      <c r="A17" s="3285"/>
      <c r="B17" s="3285"/>
      <c r="C17" s="2320" t="s">
        <v>2116</v>
      </c>
      <c r="D17" s="2321" t="s">
        <v>480</v>
      </c>
      <c r="E17" s="2322" t="s">
        <v>957</v>
      </c>
      <c r="F17" s="2327"/>
      <c r="G17" s="2327"/>
      <c r="H17" s="2327"/>
    </row>
    <row r="18" spans="1:14" ht="14.5">
      <c r="A18" s="3285" t="s">
        <v>2117</v>
      </c>
      <c r="B18" s="3285" t="s">
        <v>2118</v>
      </c>
      <c r="C18" s="2320" t="s">
        <v>2102</v>
      </c>
      <c r="D18" s="2321" t="s">
        <v>57</v>
      </c>
      <c r="E18" s="2322" t="s">
        <v>305</v>
      </c>
      <c r="F18" s="2324">
        <f t="shared" ref="F18:H19" si="0">F6</f>
        <v>123715.52717889003</v>
      </c>
      <c r="G18" s="2324">
        <f t="shared" si="0"/>
        <v>124127.77096506816</v>
      </c>
      <c r="H18" s="2324">
        <f t="shared" si="0"/>
        <v>124918.14505011027</v>
      </c>
    </row>
    <row r="19" spans="1:14" ht="14.5">
      <c r="A19" s="3285"/>
      <c r="B19" s="3285"/>
      <c r="C19" s="2320" t="s">
        <v>2103</v>
      </c>
      <c r="D19" s="2321" t="s">
        <v>58</v>
      </c>
      <c r="E19" s="2322" t="s">
        <v>305</v>
      </c>
      <c r="F19" s="2324">
        <f t="shared" si="0"/>
        <v>13328.005522839638</v>
      </c>
      <c r="G19" s="2324">
        <f t="shared" si="0"/>
        <v>13609.838513225259</v>
      </c>
      <c r="H19" s="2324">
        <f t="shared" si="0"/>
        <v>12759.055607815146</v>
      </c>
    </row>
    <row r="20" spans="1:14" ht="14.5">
      <c r="A20" s="3285"/>
      <c r="B20" s="3285"/>
      <c r="C20" s="2320" t="s">
        <v>2104</v>
      </c>
      <c r="D20" s="2321" t="s">
        <v>2105</v>
      </c>
      <c r="E20" s="2322" t="s">
        <v>305</v>
      </c>
      <c r="F20" s="2324">
        <f>F18-F19</f>
        <v>110387.52165605039</v>
      </c>
      <c r="G20" s="2324">
        <f>G18-G19</f>
        <v>110517.93245184291</v>
      </c>
      <c r="H20" s="2324">
        <f>H18-H19</f>
        <v>112159.08944229512</v>
      </c>
    </row>
    <row r="21" spans="1:14" ht="14.5">
      <c r="A21" s="3285"/>
      <c r="B21" s="3285"/>
      <c r="C21" s="2320" t="s">
        <v>2119</v>
      </c>
      <c r="D21" s="2321" t="s">
        <v>68</v>
      </c>
      <c r="E21" s="2322" t="s">
        <v>62</v>
      </c>
      <c r="F21" s="2329">
        <v>0.06</v>
      </c>
      <c r="G21" s="2329">
        <v>0.06</v>
      </c>
      <c r="H21" s="2329">
        <v>0.06</v>
      </c>
    </row>
    <row r="22" spans="1:14" ht="14.5">
      <c r="A22" s="3285"/>
      <c r="B22" s="3285"/>
      <c r="C22" s="2320" t="s">
        <v>2119</v>
      </c>
      <c r="D22" s="2321" t="s">
        <v>2107</v>
      </c>
      <c r="E22" s="2322" t="s">
        <v>305</v>
      </c>
      <c r="F22" s="2324">
        <f>F20*F21</f>
        <v>6623.2512993630235</v>
      </c>
      <c r="G22" s="2324">
        <f>G20*G21</f>
        <v>6631.0759471105739</v>
      </c>
      <c r="H22" s="2324">
        <f>H20*H21</f>
        <v>6729.5453665377072</v>
      </c>
    </row>
    <row r="23" spans="1:14" ht="14.5">
      <c r="A23" s="3285"/>
      <c r="B23" s="3285"/>
      <c r="C23" s="2320" t="s">
        <v>2120</v>
      </c>
      <c r="D23" s="2321" t="s">
        <v>70</v>
      </c>
      <c r="E23" s="2322" t="s">
        <v>305</v>
      </c>
      <c r="F23" s="2330">
        <v>3806</v>
      </c>
      <c r="G23" s="2330">
        <v>4753.3442089629298</v>
      </c>
      <c r="H23" s="2330">
        <v>9133.5105867566454</v>
      </c>
    </row>
    <row r="24" spans="1:14" ht="14.5">
      <c r="A24" s="3285"/>
      <c r="B24" s="3285"/>
      <c r="C24" s="2320" t="s">
        <v>2109</v>
      </c>
      <c r="D24" s="2321" t="s">
        <v>2110</v>
      </c>
      <c r="E24" s="2322" t="s">
        <v>62</v>
      </c>
      <c r="F24" s="2326">
        <f>F23/F22</f>
        <v>0.57464224562429533</v>
      </c>
      <c r="G24" s="2326">
        <f>G23/G22</f>
        <v>0.71682849764888501</v>
      </c>
      <c r="H24" s="2326">
        <f>H23/H22</f>
        <v>1.3572255017660662</v>
      </c>
    </row>
    <row r="25" spans="1:14" ht="14.5">
      <c r="A25" s="3285"/>
      <c r="B25" s="3285"/>
      <c r="C25" s="2320" t="s">
        <v>2111</v>
      </c>
      <c r="D25" s="2321" t="s">
        <v>139</v>
      </c>
      <c r="E25" s="2322" t="s">
        <v>305</v>
      </c>
      <c r="F25" s="2327">
        <f>IF(F23&gt;F22,F23-F22,0)</f>
        <v>0</v>
      </c>
      <c r="G25" s="2327">
        <f>IF(G23&gt;G22,G23-G22,0)</f>
        <v>0</v>
      </c>
      <c r="H25" s="2327">
        <f>IF(H23&gt;H22,H23-H22,0)</f>
        <v>2403.9652202189382</v>
      </c>
      <c r="I25" s="2331"/>
      <c r="J25" s="2331"/>
      <c r="M25" s="2331"/>
    </row>
    <row r="26" spans="1:14" ht="14.5">
      <c r="A26" s="3285"/>
      <c r="B26" s="3285"/>
      <c r="C26" s="2320" t="s">
        <v>2112</v>
      </c>
      <c r="D26" s="2321" t="s">
        <v>140</v>
      </c>
      <c r="E26" s="2322" t="s">
        <v>305</v>
      </c>
      <c r="F26" s="2327">
        <f>IF(F23&lt;F22,F22-F23,0)</f>
        <v>2817.2512993630235</v>
      </c>
      <c r="G26" s="2327">
        <f>IF(G23&lt;G22,G22-G23,0)</f>
        <v>1877.7317381476441</v>
      </c>
      <c r="H26" s="2327">
        <f>IF(H23&lt;H22,H22-H23,0)</f>
        <v>0</v>
      </c>
    </row>
    <row r="27" spans="1:14" ht="14.5">
      <c r="A27" s="3285"/>
      <c r="B27" s="3285"/>
      <c r="C27" s="2320" t="s">
        <v>2113</v>
      </c>
      <c r="D27" s="2321" t="s">
        <v>220</v>
      </c>
      <c r="E27" s="2322" t="s">
        <v>305</v>
      </c>
      <c r="F27" s="2324"/>
      <c r="G27" s="2324"/>
      <c r="H27" s="2324"/>
    </row>
    <row r="28" spans="1:14" ht="14.5">
      <c r="A28" s="3285"/>
      <c r="B28" s="3285"/>
      <c r="C28" s="2320" t="s">
        <v>2114</v>
      </c>
      <c r="D28" s="2321" t="s">
        <v>2121</v>
      </c>
      <c r="E28" s="2322" t="s">
        <v>305</v>
      </c>
      <c r="F28" s="2324">
        <f>F23+F25-F26+F27</f>
        <v>988.74870063697654</v>
      </c>
      <c r="G28" s="2324">
        <f>G23+G25-G26+G27</f>
        <v>2875.6124708152856</v>
      </c>
      <c r="H28" s="2324">
        <f>H23+H25-H26+H27</f>
        <v>11537.475806975584</v>
      </c>
    </row>
    <row r="29" spans="1:14" ht="14.5">
      <c r="A29" s="3285"/>
      <c r="B29" s="3285"/>
      <c r="C29" s="2320" t="s">
        <v>2116</v>
      </c>
      <c r="D29" s="2321" t="s">
        <v>480</v>
      </c>
      <c r="E29" s="2322" t="s">
        <v>957</v>
      </c>
      <c r="F29" s="2332"/>
      <c r="G29" s="2332"/>
      <c r="H29" s="2332"/>
    </row>
    <row r="30" spans="1:14" ht="14.5">
      <c r="A30" s="3285"/>
      <c r="B30" s="3285" t="s">
        <v>2122</v>
      </c>
      <c r="C30" s="2320" t="s">
        <v>2123</v>
      </c>
      <c r="D30" s="2321" t="s">
        <v>57</v>
      </c>
      <c r="E30" s="2322" t="s">
        <v>305</v>
      </c>
      <c r="F30" s="2324">
        <f>F8</f>
        <v>110387.52165605039</v>
      </c>
      <c r="G30" s="2324">
        <f>G8</f>
        <v>110517.93245184291</v>
      </c>
      <c r="H30" s="2324">
        <f>H8</f>
        <v>112159.08944229512</v>
      </c>
    </row>
    <row r="31" spans="1:14" ht="14.5">
      <c r="A31" s="3285"/>
      <c r="B31" s="3285"/>
      <c r="C31" s="2320" t="s">
        <v>2124</v>
      </c>
      <c r="D31" s="2321" t="s">
        <v>58</v>
      </c>
      <c r="E31" s="2322" t="s">
        <v>62</v>
      </c>
      <c r="F31" s="2329">
        <v>0.02</v>
      </c>
      <c r="G31" s="2329">
        <v>0.03</v>
      </c>
      <c r="H31" s="2329">
        <v>0.03</v>
      </c>
    </row>
    <row r="32" spans="1:14" ht="14.5">
      <c r="A32" s="3285"/>
      <c r="B32" s="3285"/>
      <c r="C32" s="2320" t="s">
        <v>2124</v>
      </c>
      <c r="D32" s="2321" t="s">
        <v>2125</v>
      </c>
      <c r="E32" s="2322" t="s">
        <v>305</v>
      </c>
      <c r="F32" s="2327">
        <f>F30*F31</f>
        <v>2207.750433121008</v>
      </c>
      <c r="G32" s="2327">
        <f>G30*G31</f>
        <v>3315.537973555287</v>
      </c>
      <c r="H32" s="2327">
        <f>H30*H31</f>
        <v>3364.7726832688536</v>
      </c>
      <c r="J32" s="2331"/>
      <c r="K32" s="2331"/>
      <c r="L32" s="2331"/>
      <c r="M32" s="2331"/>
      <c r="N32" s="2331"/>
    </row>
    <row r="33" spans="1:14" ht="14.5">
      <c r="A33" s="3285"/>
      <c r="B33" s="3285"/>
      <c r="C33" s="2320" t="s">
        <v>2126</v>
      </c>
      <c r="D33" s="2321" t="s">
        <v>68</v>
      </c>
      <c r="E33" s="2322" t="s">
        <v>305</v>
      </c>
      <c r="F33" s="2317">
        <v>128</v>
      </c>
      <c r="G33" s="2317">
        <v>120.02729453658461</v>
      </c>
      <c r="H33" s="2317">
        <v>2227.5236829015694</v>
      </c>
      <c r="I33" s="2333"/>
    </row>
    <row r="34" spans="1:14" ht="14.5">
      <c r="A34" s="3285"/>
      <c r="B34" s="3285"/>
      <c r="C34" s="2320" t="s">
        <v>2127</v>
      </c>
      <c r="D34" s="2321" t="s">
        <v>2128</v>
      </c>
      <c r="E34" s="2322" t="s">
        <v>62</v>
      </c>
      <c r="F34" s="2326">
        <f>F33/F32</f>
        <v>5.7977567608967266E-2</v>
      </c>
      <c r="G34" s="2326">
        <f>G33/G32</f>
        <v>3.6201453729054429E-2</v>
      </c>
      <c r="H34" s="2326">
        <f>H33/H32</f>
        <v>0.66201312616980279</v>
      </c>
    </row>
    <row r="35" spans="1:14" ht="14.5">
      <c r="A35" s="3285"/>
      <c r="B35" s="3285"/>
      <c r="C35" s="2320" t="s">
        <v>2129</v>
      </c>
      <c r="D35" s="2321" t="s">
        <v>70</v>
      </c>
      <c r="E35" s="2322" t="s">
        <v>305</v>
      </c>
      <c r="F35" s="2327">
        <f>IF(F33&gt;F32,F33-F32,0)</f>
        <v>0</v>
      </c>
      <c r="G35" s="2327">
        <f>IF(G33&gt;G32,G33-G32,0)</f>
        <v>0</v>
      </c>
      <c r="H35" s="2327">
        <f>IF(H33&gt;H32,H33-H32,0)</f>
        <v>0</v>
      </c>
      <c r="J35" s="2331"/>
      <c r="K35" s="2331"/>
      <c r="L35" s="2331"/>
      <c r="M35" s="2331"/>
      <c r="N35" s="2331"/>
    </row>
    <row r="36" spans="1:14" ht="14.5">
      <c r="A36" s="3285"/>
      <c r="B36" s="3285"/>
      <c r="C36" s="2320" t="s">
        <v>2130</v>
      </c>
      <c r="D36" s="2321" t="s">
        <v>138</v>
      </c>
      <c r="E36" s="2322" t="s">
        <v>305</v>
      </c>
      <c r="F36" s="2327">
        <f>IF(F33&lt;F32,F32-F33,0)</f>
        <v>2079.750433121008</v>
      </c>
      <c r="G36" s="2327">
        <f>IF(G33&lt;G32,G32-G33,0)</f>
        <v>3195.5106790187024</v>
      </c>
      <c r="H36" s="2327">
        <f>IF(H33&lt;H32,H32-H33,0)</f>
        <v>1137.2490003672842</v>
      </c>
    </row>
    <row r="37" spans="1:14" ht="14.5">
      <c r="A37" s="3285"/>
      <c r="B37" s="3285"/>
      <c r="C37" s="2320" t="s">
        <v>2113</v>
      </c>
      <c r="D37" s="2321" t="s">
        <v>139</v>
      </c>
      <c r="E37" s="2322" t="s">
        <v>305</v>
      </c>
      <c r="F37" s="2332"/>
      <c r="G37" s="2332"/>
      <c r="H37" s="2332"/>
    </row>
    <row r="38" spans="1:14" ht="14.5">
      <c r="A38" s="3285"/>
      <c r="B38" s="3285"/>
      <c r="C38" s="2320" t="s">
        <v>2114</v>
      </c>
      <c r="D38" s="2321" t="s">
        <v>2131</v>
      </c>
      <c r="E38" s="2322" t="s">
        <v>305</v>
      </c>
      <c r="F38" s="2324">
        <f>F33+F35-F36+F37</f>
        <v>-1951.750433121008</v>
      </c>
      <c r="G38" s="2324">
        <f>G33+G35-G36+G37</f>
        <v>-3075.4833844821178</v>
      </c>
      <c r="H38" s="2324">
        <f>H33+H35-H36+H37</f>
        <v>1090.2746825342851</v>
      </c>
    </row>
    <row r="39" spans="1:14" ht="14.5">
      <c r="A39" s="3285"/>
      <c r="B39" s="3285"/>
      <c r="C39" s="2320" t="s">
        <v>2116</v>
      </c>
      <c r="D39" s="2321" t="s">
        <v>220</v>
      </c>
      <c r="E39" s="2322" t="s">
        <v>957</v>
      </c>
      <c r="F39" s="2332"/>
      <c r="G39" s="2332"/>
      <c r="H39" s="2332"/>
    </row>
    <row r="40" spans="1:14">
      <c r="A40" s="2306" t="s">
        <v>2132</v>
      </c>
    </row>
    <row r="41" spans="1:14">
      <c r="A41" s="2306" t="s">
        <v>2133</v>
      </c>
    </row>
  </sheetData>
  <mergeCells count="7">
    <mergeCell ref="A1:C1"/>
    <mergeCell ref="A2:H2"/>
    <mergeCell ref="A5:B5"/>
    <mergeCell ref="A6:B17"/>
    <mergeCell ref="A18:A39"/>
    <mergeCell ref="B18:B29"/>
    <mergeCell ref="B30:B39"/>
  </mergeCells>
  <dataValidations count="1">
    <dataValidation type="decimal" allowBlank="1" showInputMessage="1" showErrorMessage="1" sqref="F33:H33 F31:H31 F6:H9 F21:H21 F23:H23 F11:H11">
      <formula1>0</formula1>
      <formula2>9999999.99</formula2>
    </dataValidation>
  </dataValidations>
  <pageMargins left="0.7" right="0.7" top="0.75" bottom="0.75" header="0.3" footer="0.3"/>
  <pageSetup scale="75"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view="pageBreakPreview" topLeftCell="A17" zoomScale="52" zoomScaleNormal="80" zoomScaleSheetLayoutView="113" workbookViewId="0">
      <selection activeCell="C105" sqref="C105"/>
    </sheetView>
  </sheetViews>
  <sheetFormatPr defaultRowHeight="14.5"/>
  <cols>
    <col min="1" max="1" width="35.54296875" style="2779" customWidth="1"/>
    <col min="2" max="2" width="12.7265625" style="2779" customWidth="1"/>
    <col min="3" max="3" width="12.26953125" style="2779" customWidth="1"/>
    <col min="4" max="4" width="12.7265625" style="2779" customWidth="1"/>
    <col min="5" max="5" width="13.1796875" style="2779" customWidth="1"/>
    <col min="6" max="6" width="12.1796875" style="2779" customWidth="1"/>
    <col min="7" max="7" width="18.7265625" style="2618" bestFit="1" customWidth="1"/>
    <col min="8" max="8" width="15.1796875" style="2619" customWidth="1"/>
    <col min="9" max="9" width="15.1796875" style="2779" bestFit="1" customWidth="1"/>
    <col min="10" max="10" width="20.54296875" style="2779" customWidth="1"/>
    <col min="11" max="11" width="20.1796875" style="2779" customWidth="1"/>
    <col min="12" max="12" width="20.26953125" style="2779" customWidth="1"/>
    <col min="13" max="14" width="11.54296875" style="2779" customWidth="1"/>
    <col min="15" max="15" width="10.1796875" style="2779" customWidth="1"/>
    <col min="16" max="16" width="12" style="2779" customWidth="1"/>
    <col min="17" max="256" width="9.1796875" style="2779"/>
    <col min="257" max="257" width="12.81640625" style="2779" customWidth="1"/>
    <col min="258" max="258" width="7.54296875" style="2779" bestFit="1" customWidth="1"/>
    <col min="259" max="259" width="5.1796875" style="2779" customWidth="1"/>
    <col min="260" max="260" width="4.453125" style="2779" customWidth="1"/>
    <col min="261" max="261" width="11.453125" style="2779" customWidth="1"/>
    <col min="262" max="262" width="9.54296875" style="2779" customWidth="1"/>
    <col min="263" max="263" width="8.54296875" style="2779" bestFit="1" customWidth="1"/>
    <col min="264" max="264" width="11.453125" style="2779" customWidth="1"/>
    <col min="265" max="265" width="16.54296875" style="2779" customWidth="1"/>
    <col min="266" max="266" width="7.54296875" style="2779" customWidth="1"/>
    <col min="267" max="267" width="8" style="2779" customWidth="1"/>
    <col min="268" max="269" width="8.1796875" style="2779" customWidth="1"/>
    <col min="270" max="270" width="6.54296875" style="2779" customWidth="1"/>
    <col min="271" max="271" width="8" style="2779" customWidth="1"/>
    <col min="272" max="272" width="7.54296875" style="2779" customWidth="1"/>
    <col min="273" max="512" width="9.1796875" style="2779"/>
    <col min="513" max="513" width="12.81640625" style="2779" customWidth="1"/>
    <col min="514" max="514" width="7.54296875" style="2779" bestFit="1" customWidth="1"/>
    <col min="515" max="515" width="5.1796875" style="2779" customWidth="1"/>
    <col min="516" max="516" width="4.453125" style="2779" customWidth="1"/>
    <col min="517" max="517" width="11.453125" style="2779" customWidth="1"/>
    <col min="518" max="518" width="9.54296875" style="2779" customWidth="1"/>
    <col min="519" max="519" width="8.54296875" style="2779" bestFit="1" customWidth="1"/>
    <col min="520" max="520" width="11.453125" style="2779" customWidth="1"/>
    <col min="521" max="521" width="16.54296875" style="2779" customWidth="1"/>
    <col min="522" max="522" width="7.54296875" style="2779" customWidth="1"/>
    <col min="523" max="523" width="8" style="2779" customWidth="1"/>
    <col min="524" max="525" width="8.1796875" style="2779" customWidth="1"/>
    <col min="526" max="526" width="6.54296875" style="2779" customWidth="1"/>
    <col min="527" max="527" width="8" style="2779" customWidth="1"/>
    <col min="528" max="528" width="7.54296875" style="2779" customWidth="1"/>
    <col min="529" max="768" width="9.1796875" style="2779"/>
    <col min="769" max="769" width="12.81640625" style="2779" customWidth="1"/>
    <col min="770" max="770" width="7.54296875" style="2779" bestFit="1" customWidth="1"/>
    <col min="771" max="771" width="5.1796875" style="2779" customWidth="1"/>
    <col min="772" max="772" width="4.453125" style="2779" customWidth="1"/>
    <col min="773" max="773" width="11.453125" style="2779" customWidth="1"/>
    <col min="774" max="774" width="9.54296875" style="2779" customWidth="1"/>
    <col min="775" max="775" width="8.54296875" style="2779" bestFit="1" customWidth="1"/>
    <col min="776" max="776" width="11.453125" style="2779" customWidth="1"/>
    <col min="777" max="777" width="16.54296875" style="2779" customWidth="1"/>
    <col min="778" max="778" width="7.54296875" style="2779" customWidth="1"/>
    <col min="779" max="779" width="8" style="2779" customWidth="1"/>
    <col min="780" max="781" width="8.1796875" style="2779" customWidth="1"/>
    <col min="782" max="782" width="6.54296875" style="2779" customWidth="1"/>
    <col min="783" max="783" width="8" style="2779" customWidth="1"/>
    <col min="784" max="784" width="7.54296875" style="2779" customWidth="1"/>
    <col min="785" max="1024" width="9.1796875" style="2779"/>
    <col min="1025" max="1025" width="12.81640625" style="2779" customWidth="1"/>
    <col min="1026" max="1026" width="7.54296875" style="2779" bestFit="1" customWidth="1"/>
    <col min="1027" max="1027" width="5.1796875" style="2779" customWidth="1"/>
    <col min="1028" max="1028" width="4.453125" style="2779" customWidth="1"/>
    <col min="1029" max="1029" width="11.453125" style="2779" customWidth="1"/>
    <col min="1030" max="1030" width="9.54296875" style="2779" customWidth="1"/>
    <col min="1031" max="1031" width="8.54296875" style="2779" bestFit="1" customWidth="1"/>
    <col min="1032" max="1032" width="11.453125" style="2779" customWidth="1"/>
    <col min="1033" max="1033" width="16.54296875" style="2779" customWidth="1"/>
    <col min="1034" max="1034" width="7.54296875" style="2779" customWidth="1"/>
    <col min="1035" max="1035" width="8" style="2779" customWidth="1"/>
    <col min="1036" max="1037" width="8.1796875" style="2779" customWidth="1"/>
    <col min="1038" max="1038" width="6.54296875" style="2779" customWidth="1"/>
    <col min="1039" max="1039" width="8" style="2779" customWidth="1"/>
    <col min="1040" max="1040" width="7.54296875" style="2779" customWidth="1"/>
    <col min="1041" max="1280" width="9.1796875" style="2779"/>
    <col min="1281" max="1281" width="12.81640625" style="2779" customWidth="1"/>
    <col min="1282" max="1282" width="7.54296875" style="2779" bestFit="1" customWidth="1"/>
    <col min="1283" max="1283" width="5.1796875" style="2779" customWidth="1"/>
    <col min="1284" max="1284" width="4.453125" style="2779" customWidth="1"/>
    <col min="1285" max="1285" width="11.453125" style="2779" customWidth="1"/>
    <col min="1286" max="1286" width="9.54296875" style="2779" customWidth="1"/>
    <col min="1287" max="1287" width="8.54296875" style="2779" bestFit="1" customWidth="1"/>
    <col min="1288" max="1288" width="11.453125" style="2779" customWidth="1"/>
    <col min="1289" max="1289" width="16.54296875" style="2779" customWidth="1"/>
    <col min="1290" max="1290" width="7.54296875" style="2779" customWidth="1"/>
    <col min="1291" max="1291" width="8" style="2779" customWidth="1"/>
    <col min="1292" max="1293" width="8.1796875" style="2779" customWidth="1"/>
    <col min="1294" max="1294" width="6.54296875" style="2779" customWidth="1"/>
    <col min="1295" max="1295" width="8" style="2779" customWidth="1"/>
    <col min="1296" max="1296" width="7.54296875" style="2779" customWidth="1"/>
    <col min="1297" max="1536" width="9.1796875" style="2779"/>
    <col min="1537" max="1537" width="12.81640625" style="2779" customWidth="1"/>
    <col min="1538" max="1538" width="7.54296875" style="2779" bestFit="1" customWidth="1"/>
    <col min="1539" max="1539" width="5.1796875" style="2779" customWidth="1"/>
    <col min="1540" max="1540" width="4.453125" style="2779" customWidth="1"/>
    <col min="1541" max="1541" width="11.453125" style="2779" customWidth="1"/>
    <col min="1542" max="1542" width="9.54296875" style="2779" customWidth="1"/>
    <col min="1543" max="1543" width="8.54296875" style="2779" bestFit="1" customWidth="1"/>
    <col min="1544" max="1544" width="11.453125" style="2779" customWidth="1"/>
    <col min="1545" max="1545" width="16.54296875" style="2779" customWidth="1"/>
    <col min="1546" max="1546" width="7.54296875" style="2779" customWidth="1"/>
    <col min="1547" max="1547" width="8" style="2779" customWidth="1"/>
    <col min="1548" max="1549" width="8.1796875" style="2779" customWidth="1"/>
    <col min="1550" max="1550" width="6.54296875" style="2779" customWidth="1"/>
    <col min="1551" max="1551" width="8" style="2779" customWidth="1"/>
    <col min="1552" max="1552" width="7.54296875" style="2779" customWidth="1"/>
    <col min="1553" max="1792" width="9.1796875" style="2779"/>
    <col min="1793" max="1793" width="12.81640625" style="2779" customWidth="1"/>
    <col min="1794" max="1794" width="7.54296875" style="2779" bestFit="1" customWidth="1"/>
    <col min="1795" max="1795" width="5.1796875" style="2779" customWidth="1"/>
    <col min="1796" max="1796" width="4.453125" style="2779" customWidth="1"/>
    <col min="1797" max="1797" width="11.453125" style="2779" customWidth="1"/>
    <col min="1798" max="1798" width="9.54296875" style="2779" customWidth="1"/>
    <col min="1799" max="1799" width="8.54296875" style="2779" bestFit="1" customWidth="1"/>
    <col min="1800" max="1800" width="11.453125" style="2779" customWidth="1"/>
    <col min="1801" max="1801" width="16.54296875" style="2779" customWidth="1"/>
    <col min="1802" max="1802" width="7.54296875" style="2779" customWidth="1"/>
    <col min="1803" max="1803" width="8" style="2779" customWidth="1"/>
    <col min="1804" max="1805" width="8.1796875" style="2779" customWidth="1"/>
    <col min="1806" max="1806" width="6.54296875" style="2779" customWidth="1"/>
    <col min="1807" max="1807" width="8" style="2779" customWidth="1"/>
    <col min="1808" max="1808" width="7.54296875" style="2779" customWidth="1"/>
    <col min="1809" max="2048" width="9.1796875" style="2779"/>
    <col min="2049" max="2049" width="12.81640625" style="2779" customWidth="1"/>
    <col min="2050" max="2050" width="7.54296875" style="2779" bestFit="1" customWidth="1"/>
    <col min="2051" max="2051" width="5.1796875" style="2779" customWidth="1"/>
    <col min="2052" max="2052" width="4.453125" style="2779" customWidth="1"/>
    <col min="2053" max="2053" width="11.453125" style="2779" customWidth="1"/>
    <col min="2054" max="2054" width="9.54296875" style="2779" customWidth="1"/>
    <col min="2055" max="2055" width="8.54296875" style="2779" bestFit="1" customWidth="1"/>
    <col min="2056" max="2056" width="11.453125" style="2779" customWidth="1"/>
    <col min="2057" max="2057" width="16.54296875" style="2779" customWidth="1"/>
    <col min="2058" max="2058" width="7.54296875" style="2779" customWidth="1"/>
    <col min="2059" max="2059" width="8" style="2779" customWidth="1"/>
    <col min="2060" max="2061" width="8.1796875" style="2779" customWidth="1"/>
    <col min="2062" max="2062" width="6.54296875" style="2779" customWidth="1"/>
    <col min="2063" max="2063" width="8" style="2779" customWidth="1"/>
    <col min="2064" max="2064" width="7.54296875" style="2779" customWidth="1"/>
    <col min="2065" max="2304" width="9.1796875" style="2779"/>
    <col min="2305" max="2305" width="12.81640625" style="2779" customWidth="1"/>
    <col min="2306" max="2306" width="7.54296875" style="2779" bestFit="1" customWidth="1"/>
    <col min="2307" max="2307" width="5.1796875" style="2779" customWidth="1"/>
    <col min="2308" max="2308" width="4.453125" style="2779" customWidth="1"/>
    <col min="2309" max="2309" width="11.453125" style="2779" customWidth="1"/>
    <col min="2310" max="2310" width="9.54296875" style="2779" customWidth="1"/>
    <col min="2311" max="2311" width="8.54296875" style="2779" bestFit="1" customWidth="1"/>
    <col min="2312" max="2312" width="11.453125" style="2779" customWidth="1"/>
    <col min="2313" max="2313" width="16.54296875" style="2779" customWidth="1"/>
    <col min="2314" max="2314" width="7.54296875" style="2779" customWidth="1"/>
    <col min="2315" max="2315" width="8" style="2779" customWidth="1"/>
    <col min="2316" max="2317" width="8.1796875" style="2779" customWidth="1"/>
    <col min="2318" max="2318" width="6.54296875" style="2779" customWidth="1"/>
    <col min="2319" max="2319" width="8" style="2779" customWidth="1"/>
    <col min="2320" max="2320" width="7.54296875" style="2779" customWidth="1"/>
    <col min="2321" max="2560" width="9.1796875" style="2779"/>
    <col min="2561" max="2561" width="12.81640625" style="2779" customWidth="1"/>
    <col min="2562" max="2562" width="7.54296875" style="2779" bestFit="1" customWidth="1"/>
    <col min="2563" max="2563" width="5.1796875" style="2779" customWidth="1"/>
    <col min="2564" max="2564" width="4.453125" style="2779" customWidth="1"/>
    <col min="2565" max="2565" width="11.453125" style="2779" customWidth="1"/>
    <col min="2566" max="2566" width="9.54296875" style="2779" customWidth="1"/>
    <col min="2567" max="2567" width="8.54296875" style="2779" bestFit="1" customWidth="1"/>
    <col min="2568" max="2568" width="11.453125" style="2779" customWidth="1"/>
    <col min="2569" max="2569" width="16.54296875" style="2779" customWidth="1"/>
    <col min="2570" max="2570" width="7.54296875" style="2779" customWidth="1"/>
    <col min="2571" max="2571" width="8" style="2779" customWidth="1"/>
    <col min="2572" max="2573" width="8.1796875" style="2779" customWidth="1"/>
    <col min="2574" max="2574" width="6.54296875" style="2779" customWidth="1"/>
    <col min="2575" max="2575" width="8" style="2779" customWidth="1"/>
    <col min="2576" max="2576" width="7.54296875" style="2779" customWidth="1"/>
    <col min="2577" max="2816" width="9.1796875" style="2779"/>
    <col min="2817" max="2817" width="12.81640625" style="2779" customWidth="1"/>
    <col min="2818" max="2818" width="7.54296875" style="2779" bestFit="1" customWidth="1"/>
    <col min="2819" max="2819" width="5.1796875" style="2779" customWidth="1"/>
    <col min="2820" max="2820" width="4.453125" style="2779" customWidth="1"/>
    <col min="2821" max="2821" width="11.453125" style="2779" customWidth="1"/>
    <col min="2822" max="2822" width="9.54296875" style="2779" customWidth="1"/>
    <col min="2823" max="2823" width="8.54296875" style="2779" bestFit="1" customWidth="1"/>
    <col min="2824" max="2824" width="11.453125" style="2779" customWidth="1"/>
    <col min="2825" max="2825" width="16.54296875" style="2779" customWidth="1"/>
    <col min="2826" max="2826" width="7.54296875" style="2779" customWidth="1"/>
    <col min="2827" max="2827" width="8" style="2779" customWidth="1"/>
    <col min="2828" max="2829" width="8.1796875" style="2779" customWidth="1"/>
    <col min="2830" max="2830" width="6.54296875" style="2779" customWidth="1"/>
    <col min="2831" max="2831" width="8" style="2779" customWidth="1"/>
    <col min="2832" max="2832" width="7.54296875" style="2779" customWidth="1"/>
    <col min="2833" max="3072" width="9.1796875" style="2779"/>
    <col min="3073" max="3073" width="12.81640625" style="2779" customWidth="1"/>
    <col min="3074" max="3074" width="7.54296875" style="2779" bestFit="1" customWidth="1"/>
    <col min="3075" max="3075" width="5.1796875" style="2779" customWidth="1"/>
    <col min="3076" max="3076" width="4.453125" style="2779" customWidth="1"/>
    <col min="3077" max="3077" width="11.453125" style="2779" customWidth="1"/>
    <col min="3078" max="3078" width="9.54296875" style="2779" customWidth="1"/>
    <col min="3079" max="3079" width="8.54296875" style="2779" bestFit="1" customWidth="1"/>
    <col min="3080" max="3080" width="11.453125" style="2779" customWidth="1"/>
    <col min="3081" max="3081" width="16.54296875" style="2779" customWidth="1"/>
    <col min="3082" max="3082" width="7.54296875" style="2779" customWidth="1"/>
    <col min="3083" max="3083" width="8" style="2779" customWidth="1"/>
    <col min="3084" max="3085" width="8.1796875" style="2779" customWidth="1"/>
    <col min="3086" max="3086" width="6.54296875" style="2779" customWidth="1"/>
    <col min="3087" max="3087" width="8" style="2779" customWidth="1"/>
    <col min="3088" max="3088" width="7.54296875" style="2779" customWidth="1"/>
    <col min="3089" max="3328" width="9.1796875" style="2779"/>
    <col min="3329" max="3329" width="12.81640625" style="2779" customWidth="1"/>
    <col min="3330" max="3330" width="7.54296875" style="2779" bestFit="1" customWidth="1"/>
    <col min="3331" max="3331" width="5.1796875" style="2779" customWidth="1"/>
    <col min="3332" max="3332" width="4.453125" style="2779" customWidth="1"/>
    <col min="3333" max="3333" width="11.453125" style="2779" customWidth="1"/>
    <col min="3334" max="3334" width="9.54296875" style="2779" customWidth="1"/>
    <col min="3335" max="3335" width="8.54296875" style="2779" bestFit="1" customWidth="1"/>
    <col min="3336" max="3336" width="11.453125" style="2779" customWidth="1"/>
    <col min="3337" max="3337" width="16.54296875" style="2779" customWidth="1"/>
    <col min="3338" max="3338" width="7.54296875" style="2779" customWidth="1"/>
    <col min="3339" max="3339" width="8" style="2779" customWidth="1"/>
    <col min="3340" max="3341" width="8.1796875" style="2779" customWidth="1"/>
    <col min="3342" max="3342" width="6.54296875" style="2779" customWidth="1"/>
    <col min="3343" max="3343" width="8" style="2779" customWidth="1"/>
    <col min="3344" max="3344" width="7.54296875" style="2779" customWidth="1"/>
    <col min="3345" max="3584" width="9.1796875" style="2779"/>
    <col min="3585" max="3585" width="12.81640625" style="2779" customWidth="1"/>
    <col min="3586" max="3586" width="7.54296875" style="2779" bestFit="1" customWidth="1"/>
    <col min="3587" max="3587" width="5.1796875" style="2779" customWidth="1"/>
    <col min="3588" max="3588" width="4.453125" style="2779" customWidth="1"/>
    <col min="3589" max="3589" width="11.453125" style="2779" customWidth="1"/>
    <col min="3590" max="3590" width="9.54296875" style="2779" customWidth="1"/>
    <col min="3591" max="3591" width="8.54296875" style="2779" bestFit="1" customWidth="1"/>
    <col min="3592" max="3592" width="11.453125" style="2779" customWidth="1"/>
    <col min="3593" max="3593" width="16.54296875" style="2779" customWidth="1"/>
    <col min="3594" max="3594" width="7.54296875" style="2779" customWidth="1"/>
    <col min="3595" max="3595" width="8" style="2779" customWidth="1"/>
    <col min="3596" max="3597" width="8.1796875" style="2779" customWidth="1"/>
    <col min="3598" max="3598" width="6.54296875" style="2779" customWidth="1"/>
    <col min="3599" max="3599" width="8" style="2779" customWidth="1"/>
    <col min="3600" max="3600" width="7.54296875" style="2779" customWidth="1"/>
    <col min="3601" max="3840" width="9.1796875" style="2779"/>
    <col min="3841" max="3841" width="12.81640625" style="2779" customWidth="1"/>
    <col min="3842" max="3842" width="7.54296875" style="2779" bestFit="1" customWidth="1"/>
    <col min="3843" max="3843" width="5.1796875" style="2779" customWidth="1"/>
    <col min="3844" max="3844" width="4.453125" style="2779" customWidth="1"/>
    <col min="3845" max="3845" width="11.453125" style="2779" customWidth="1"/>
    <col min="3846" max="3846" width="9.54296875" style="2779" customWidth="1"/>
    <col min="3847" max="3847" width="8.54296875" style="2779" bestFit="1" customWidth="1"/>
    <col min="3848" max="3848" width="11.453125" style="2779" customWidth="1"/>
    <col min="3849" max="3849" width="16.54296875" style="2779" customWidth="1"/>
    <col min="3850" max="3850" width="7.54296875" style="2779" customWidth="1"/>
    <col min="3851" max="3851" width="8" style="2779" customWidth="1"/>
    <col min="3852" max="3853" width="8.1796875" style="2779" customWidth="1"/>
    <col min="3854" max="3854" width="6.54296875" style="2779" customWidth="1"/>
    <col min="3855" max="3855" width="8" style="2779" customWidth="1"/>
    <col min="3856" max="3856" width="7.54296875" style="2779" customWidth="1"/>
    <col min="3857" max="4096" width="9.1796875" style="2779"/>
    <col min="4097" max="4097" width="12.81640625" style="2779" customWidth="1"/>
    <col min="4098" max="4098" width="7.54296875" style="2779" bestFit="1" customWidth="1"/>
    <col min="4099" max="4099" width="5.1796875" style="2779" customWidth="1"/>
    <col min="4100" max="4100" width="4.453125" style="2779" customWidth="1"/>
    <col min="4101" max="4101" width="11.453125" style="2779" customWidth="1"/>
    <col min="4102" max="4102" width="9.54296875" style="2779" customWidth="1"/>
    <col min="4103" max="4103" width="8.54296875" style="2779" bestFit="1" customWidth="1"/>
    <col min="4104" max="4104" width="11.453125" style="2779" customWidth="1"/>
    <col min="4105" max="4105" width="16.54296875" style="2779" customWidth="1"/>
    <col min="4106" max="4106" width="7.54296875" style="2779" customWidth="1"/>
    <col min="4107" max="4107" width="8" style="2779" customWidth="1"/>
    <col min="4108" max="4109" width="8.1796875" style="2779" customWidth="1"/>
    <col min="4110" max="4110" width="6.54296875" style="2779" customWidth="1"/>
    <col min="4111" max="4111" width="8" style="2779" customWidth="1"/>
    <col min="4112" max="4112" width="7.54296875" style="2779" customWidth="1"/>
    <col min="4113" max="4352" width="9.1796875" style="2779"/>
    <col min="4353" max="4353" width="12.81640625" style="2779" customWidth="1"/>
    <col min="4354" max="4354" width="7.54296875" style="2779" bestFit="1" customWidth="1"/>
    <col min="4355" max="4355" width="5.1796875" style="2779" customWidth="1"/>
    <col min="4356" max="4356" width="4.453125" style="2779" customWidth="1"/>
    <col min="4357" max="4357" width="11.453125" style="2779" customWidth="1"/>
    <col min="4358" max="4358" width="9.54296875" style="2779" customWidth="1"/>
    <col min="4359" max="4359" width="8.54296875" style="2779" bestFit="1" customWidth="1"/>
    <col min="4360" max="4360" width="11.453125" style="2779" customWidth="1"/>
    <col min="4361" max="4361" width="16.54296875" style="2779" customWidth="1"/>
    <col min="4362" max="4362" width="7.54296875" style="2779" customWidth="1"/>
    <col min="4363" max="4363" width="8" style="2779" customWidth="1"/>
    <col min="4364" max="4365" width="8.1796875" style="2779" customWidth="1"/>
    <col min="4366" max="4366" width="6.54296875" style="2779" customWidth="1"/>
    <col min="4367" max="4367" width="8" style="2779" customWidth="1"/>
    <col min="4368" max="4368" width="7.54296875" style="2779" customWidth="1"/>
    <col min="4369" max="4608" width="9.1796875" style="2779"/>
    <col min="4609" max="4609" width="12.81640625" style="2779" customWidth="1"/>
    <col min="4610" max="4610" width="7.54296875" style="2779" bestFit="1" customWidth="1"/>
    <col min="4611" max="4611" width="5.1796875" style="2779" customWidth="1"/>
    <col min="4612" max="4612" width="4.453125" style="2779" customWidth="1"/>
    <col min="4613" max="4613" width="11.453125" style="2779" customWidth="1"/>
    <col min="4614" max="4614" width="9.54296875" style="2779" customWidth="1"/>
    <col min="4615" max="4615" width="8.54296875" style="2779" bestFit="1" customWidth="1"/>
    <col min="4616" max="4616" width="11.453125" style="2779" customWidth="1"/>
    <col min="4617" max="4617" width="16.54296875" style="2779" customWidth="1"/>
    <col min="4618" max="4618" width="7.54296875" style="2779" customWidth="1"/>
    <col min="4619" max="4619" width="8" style="2779" customWidth="1"/>
    <col min="4620" max="4621" width="8.1796875" style="2779" customWidth="1"/>
    <col min="4622" max="4622" width="6.54296875" style="2779" customWidth="1"/>
    <col min="4623" max="4623" width="8" style="2779" customWidth="1"/>
    <col min="4624" max="4624" width="7.54296875" style="2779" customWidth="1"/>
    <col min="4625" max="4864" width="9.1796875" style="2779"/>
    <col min="4865" max="4865" width="12.81640625" style="2779" customWidth="1"/>
    <col min="4866" max="4866" width="7.54296875" style="2779" bestFit="1" customWidth="1"/>
    <col min="4867" max="4867" width="5.1796875" style="2779" customWidth="1"/>
    <col min="4868" max="4868" width="4.453125" style="2779" customWidth="1"/>
    <col min="4869" max="4869" width="11.453125" style="2779" customWidth="1"/>
    <col min="4870" max="4870" width="9.54296875" style="2779" customWidth="1"/>
    <col min="4871" max="4871" width="8.54296875" style="2779" bestFit="1" customWidth="1"/>
    <col min="4872" max="4872" width="11.453125" style="2779" customWidth="1"/>
    <col min="4873" max="4873" width="16.54296875" style="2779" customWidth="1"/>
    <col min="4874" max="4874" width="7.54296875" style="2779" customWidth="1"/>
    <col min="4875" max="4875" width="8" style="2779" customWidth="1"/>
    <col min="4876" max="4877" width="8.1796875" style="2779" customWidth="1"/>
    <col min="4878" max="4878" width="6.54296875" style="2779" customWidth="1"/>
    <col min="4879" max="4879" width="8" style="2779" customWidth="1"/>
    <col min="4880" max="4880" width="7.54296875" style="2779" customWidth="1"/>
    <col min="4881" max="5120" width="9.1796875" style="2779"/>
    <col min="5121" max="5121" width="12.81640625" style="2779" customWidth="1"/>
    <col min="5122" max="5122" width="7.54296875" style="2779" bestFit="1" customWidth="1"/>
    <col min="5123" max="5123" width="5.1796875" style="2779" customWidth="1"/>
    <col min="5124" max="5124" width="4.453125" style="2779" customWidth="1"/>
    <col min="5125" max="5125" width="11.453125" style="2779" customWidth="1"/>
    <col min="5126" max="5126" width="9.54296875" style="2779" customWidth="1"/>
    <col min="5127" max="5127" width="8.54296875" style="2779" bestFit="1" customWidth="1"/>
    <col min="5128" max="5128" width="11.453125" style="2779" customWidth="1"/>
    <col min="5129" max="5129" width="16.54296875" style="2779" customWidth="1"/>
    <col min="5130" max="5130" width="7.54296875" style="2779" customWidth="1"/>
    <col min="5131" max="5131" width="8" style="2779" customWidth="1"/>
    <col min="5132" max="5133" width="8.1796875" style="2779" customWidth="1"/>
    <col min="5134" max="5134" width="6.54296875" style="2779" customWidth="1"/>
    <col min="5135" max="5135" width="8" style="2779" customWidth="1"/>
    <col min="5136" max="5136" width="7.54296875" style="2779" customWidth="1"/>
    <col min="5137" max="5376" width="9.1796875" style="2779"/>
    <col min="5377" max="5377" width="12.81640625" style="2779" customWidth="1"/>
    <col min="5378" max="5378" width="7.54296875" style="2779" bestFit="1" customWidth="1"/>
    <col min="5379" max="5379" width="5.1796875" style="2779" customWidth="1"/>
    <col min="5380" max="5380" width="4.453125" style="2779" customWidth="1"/>
    <col min="5381" max="5381" width="11.453125" style="2779" customWidth="1"/>
    <col min="5382" max="5382" width="9.54296875" style="2779" customWidth="1"/>
    <col min="5383" max="5383" width="8.54296875" style="2779" bestFit="1" customWidth="1"/>
    <col min="5384" max="5384" width="11.453125" style="2779" customWidth="1"/>
    <col min="5385" max="5385" width="16.54296875" style="2779" customWidth="1"/>
    <col min="5386" max="5386" width="7.54296875" style="2779" customWidth="1"/>
    <col min="5387" max="5387" width="8" style="2779" customWidth="1"/>
    <col min="5388" max="5389" width="8.1796875" style="2779" customWidth="1"/>
    <col min="5390" max="5390" width="6.54296875" style="2779" customWidth="1"/>
    <col min="5391" max="5391" width="8" style="2779" customWidth="1"/>
    <col min="5392" max="5392" width="7.54296875" style="2779" customWidth="1"/>
    <col min="5393" max="5632" width="9.1796875" style="2779"/>
    <col min="5633" max="5633" width="12.81640625" style="2779" customWidth="1"/>
    <col min="5634" max="5634" width="7.54296875" style="2779" bestFit="1" customWidth="1"/>
    <col min="5635" max="5635" width="5.1796875" style="2779" customWidth="1"/>
    <col min="5636" max="5636" width="4.453125" style="2779" customWidth="1"/>
    <col min="5637" max="5637" width="11.453125" style="2779" customWidth="1"/>
    <col min="5638" max="5638" width="9.54296875" style="2779" customWidth="1"/>
    <col min="5639" max="5639" width="8.54296875" style="2779" bestFit="1" customWidth="1"/>
    <col min="5640" max="5640" width="11.453125" style="2779" customWidth="1"/>
    <col min="5641" max="5641" width="16.54296875" style="2779" customWidth="1"/>
    <col min="5642" max="5642" width="7.54296875" style="2779" customWidth="1"/>
    <col min="5643" max="5643" width="8" style="2779" customWidth="1"/>
    <col min="5644" max="5645" width="8.1796875" style="2779" customWidth="1"/>
    <col min="5646" max="5646" width="6.54296875" style="2779" customWidth="1"/>
    <col min="5647" max="5647" width="8" style="2779" customWidth="1"/>
    <col min="5648" max="5648" width="7.54296875" style="2779" customWidth="1"/>
    <col min="5649" max="5888" width="9.1796875" style="2779"/>
    <col min="5889" max="5889" width="12.81640625" style="2779" customWidth="1"/>
    <col min="5890" max="5890" width="7.54296875" style="2779" bestFit="1" customWidth="1"/>
    <col min="5891" max="5891" width="5.1796875" style="2779" customWidth="1"/>
    <col min="5892" max="5892" width="4.453125" style="2779" customWidth="1"/>
    <col min="5893" max="5893" width="11.453125" style="2779" customWidth="1"/>
    <col min="5894" max="5894" width="9.54296875" style="2779" customWidth="1"/>
    <col min="5895" max="5895" width="8.54296875" style="2779" bestFit="1" customWidth="1"/>
    <col min="5896" max="5896" width="11.453125" style="2779" customWidth="1"/>
    <col min="5897" max="5897" width="16.54296875" style="2779" customWidth="1"/>
    <col min="5898" max="5898" width="7.54296875" style="2779" customWidth="1"/>
    <col min="5899" max="5899" width="8" style="2779" customWidth="1"/>
    <col min="5900" max="5901" width="8.1796875" style="2779" customWidth="1"/>
    <col min="5902" max="5902" width="6.54296875" style="2779" customWidth="1"/>
    <col min="5903" max="5903" width="8" style="2779" customWidth="1"/>
    <col min="5904" max="5904" width="7.54296875" style="2779" customWidth="1"/>
    <col min="5905" max="6144" width="9.1796875" style="2779"/>
    <col min="6145" max="6145" width="12.81640625" style="2779" customWidth="1"/>
    <col min="6146" max="6146" width="7.54296875" style="2779" bestFit="1" customWidth="1"/>
    <col min="6147" max="6147" width="5.1796875" style="2779" customWidth="1"/>
    <col min="6148" max="6148" width="4.453125" style="2779" customWidth="1"/>
    <col min="6149" max="6149" width="11.453125" style="2779" customWidth="1"/>
    <col min="6150" max="6150" width="9.54296875" style="2779" customWidth="1"/>
    <col min="6151" max="6151" width="8.54296875" style="2779" bestFit="1" customWidth="1"/>
    <col min="6152" max="6152" width="11.453125" style="2779" customWidth="1"/>
    <col min="6153" max="6153" width="16.54296875" style="2779" customWidth="1"/>
    <col min="6154" max="6154" width="7.54296875" style="2779" customWidth="1"/>
    <col min="6155" max="6155" width="8" style="2779" customWidth="1"/>
    <col min="6156" max="6157" width="8.1796875" style="2779" customWidth="1"/>
    <col min="6158" max="6158" width="6.54296875" style="2779" customWidth="1"/>
    <col min="6159" max="6159" width="8" style="2779" customWidth="1"/>
    <col min="6160" max="6160" width="7.54296875" style="2779" customWidth="1"/>
    <col min="6161" max="6400" width="9.1796875" style="2779"/>
    <col min="6401" max="6401" width="12.81640625" style="2779" customWidth="1"/>
    <col min="6402" max="6402" width="7.54296875" style="2779" bestFit="1" customWidth="1"/>
    <col min="6403" max="6403" width="5.1796875" style="2779" customWidth="1"/>
    <col min="6404" max="6404" width="4.453125" style="2779" customWidth="1"/>
    <col min="6405" max="6405" width="11.453125" style="2779" customWidth="1"/>
    <col min="6406" max="6406" width="9.54296875" style="2779" customWidth="1"/>
    <col min="6407" max="6407" width="8.54296875" style="2779" bestFit="1" customWidth="1"/>
    <col min="6408" max="6408" width="11.453125" style="2779" customWidth="1"/>
    <col min="6409" max="6409" width="16.54296875" style="2779" customWidth="1"/>
    <col min="6410" max="6410" width="7.54296875" style="2779" customWidth="1"/>
    <col min="6411" max="6411" width="8" style="2779" customWidth="1"/>
    <col min="6412" max="6413" width="8.1796875" style="2779" customWidth="1"/>
    <col min="6414" max="6414" width="6.54296875" style="2779" customWidth="1"/>
    <col min="6415" max="6415" width="8" style="2779" customWidth="1"/>
    <col min="6416" max="6416" width="7.54296875" style="2779" customWidth="1"/>
    <col min="6417" max="6656" width="9.1796875" style="2779"/>
    <col min="6657" max="6657" width="12.81640625" style="2779" customWidth="1"/>
    <col min="6658" max="6658" width="7.54296875" style="2779" bestFit="1" customWidth="1"/>
    <col min="6659" max="6659" width="5.1796875" style="2779" customWidth="1"/>
    <col min="6660" max="6660" width="4.453125" style="2779" customWidth="1"/>
    <col min="6661" max="6661" width="11.453125" style="2779" customWidth="1"/>
    <col min="6662" max="6662" width="9.54296875" style="2779" customWidth="1"/>
    <col min="6663" max="6663" width="8.54296875" style="2779" bestFit="1" customWidth="1"/>
    <col min="6664" max="6664" width="11.453125" style="2779" customWidth="1"/>
    <col min="6665" max="6665" width="16.54296875" style="2779" customWidth="1"/>
    <col min="6666" max="6666" width="7.54296875" style="2779" customWidth="1"/>
    <col min="6667" max="6667" width="8" style="2779" customWidth="1"/>
    <col min="6668" max="6669" width="8.1796875" style="2779" customWidth="1"/>
    <col min="6670" max="6670" width="6.54296875" style="2779" customWidth="1"/>
    <col min="6671" max="6671" width="8" style="2779" customWidth="1"/>
    <col min="6672" max="6672" width="7.54296875" style="2779" customWidth="1"/>
    <col min="6673" max="6912" width="9.1796875" style="2779"/>
    <col min="6913" max="6913" width="12.81640625" style="2779" customWidth="1"/>
    <col min="6914" max="6914" width="7.54296875" style="2779" bestFit="1" customWidth="1"/>
    <col min="6915" max="6915" width="5.1796875" style="2779" customWidth="1"/>
    <col min="6916" max="6916" width="4.453125" style="2779" customWidth="1"/>
    <col min="6917" max="6917" width="11.453125" style="2779" customWidth="1"/>
    <col min="6918" max="6918" width="9.54296875" style="2779" customWidth="1"/>
    <col min="6919" max="6919" width="8.54296875" style="2779" bestFit="1" customWidth="1"/>
    <col min="6920" max="6920" width="11.453125" style="2779" customWidth="1"/>
    <col min="6921" max="6921" width="16.54296875" style="2779" customWidth="1"/>
    <col min="6922" max="6922" width="7.54296875" style="2779" customWidth="1"/>
    <col min="6923" max="6923" width="8" style="2779" customWidth="1"/>
    <col min="6924" max="6925" width="8.1796875" style="2779" customWidth="1"/>
    <col min="6926" max="6926" width="6.54296875" style="2779" customWidth="1"/>
    <col min="6927" max="6927" width="8" style="2779" customWidth="1"/>
    <col min="6928" max="6928" width="7.54296875" style="2779" customWidth="1"/>
    <col min="6929" max="7168" width="9.1796875" style="2779"/>
    <col min="7169" max="7169" width="12.81640625" style="2779" customWidth="1"/>
    <col min="7170" max="7170" width="7.54296875" style="2779" bestFit="1" customWidth="1"/>
    <col min="7171" max="7171" width="5.1796875" style="2779" customWidth="1"/>
    <col min="7172" max="7172" width="4.453125" style="2779" customWidth="1"/>
    <col min="7173" max="7173" width="11.453125" style="2779" customWidth="1"/>
    <col min="7174" max="7174" width="9.54296875" style="2779" customWidth="1"/>
    <col min="7175" max="7175" width="8.54296875" style="2779" bestFit="1" customWidth="1"/>
    <col min="7176" max="7176" width="11.453125" style="2779" customWidth="1"/>
    <col min="7177" max="7177" width="16.54296875" style="2779" customWidth="1"/>
    <col min="7178" max="7178" width="7.54296875" style="2779" customWidth="1"/>
    <col min="7179" max="7179" width="8" style="2779" customWidth="1"/>
    <col min="7180" max="7181" width="8.1796875" style="2779" customWidth="1"/>
    <col min="7182" max="7182" width="6.54296875" style="2779" customWidth="1"/>
    <col min="7183" max="7183" width="8" style="2779" customWidth="1"/>
    <col min="7184" max="7184" width="7.54296875" style="2779" customWidth="1"/>
    <col min="7185" max="7424" width="9.1796875" style="2779"/>
    <col min="7425" max="7425" width="12.81640625" style="2779" customWidth="1"/>
    <col min="7426" max="7426" width="7.54296875" style="2779" bestFit="1" customWidth="1"/>
    <col min="7427" max="7427" width="5.1796875" style="2779" customWidth="1"/>
    <col min="7428" max="7428" width="4.453125" style="2779" customWidth="1"/>
    <col min="7429" max="7429" width="11.453125" style="2779" customWidth="1"/>
    <col min="7430" max="7430" width="9.54296875" style="2779" customWidth="1"/>
    <col min="7431" max="7431" width="8.54296875" style="2779" bestFit="1" customWidth="1"/>
    <col min="7432" max="7432" width="11.453125" style="2779" customWidth="1"/>
    <col min="7433" max="7433" width="16.54296875" style="2779" customWidth="1"/>
    <col min="7434" max="7434" width="7.54296875" style="2779" customWidth="1"/>
    <col min="7435" max="7435" width="8" style="2779" customWidth="1"/>
    <col min="7436" max="7437" width="8.1796875" style="2779" customWidth="1"/>
    <col min="7438" max="7438" width="6.54296875" style="2779" customWidth="1"/>
    <col min="7439" max="7439" width="8" style="2779" customWidth="1"/>
    <col min="7440" max="7440" width="7.54296875" style="2779" customWidth="1"/>
    <col min="7441" max="7680" width="9.1796875" style="2779"/>
    <col min="7681" max="7681" width="12.81640625" style="2779" customWidth="1"/>
    <col min="7682" max="7682" width="7.54296875" style="2779" bestFit="1" customWidth="1"/>
    <col min="7683" max="7683" width="5.1796875" style="2779" customWidth="1"/>
    <col min="7684" max="7684" width="4.453125" style="2779" customWidth="1"/>
    <col min="7685" max="7685" width="11.453125" style="2779" customWidth="1"/>
    <col min="7686" max="7686" width="9.54296875" style="2779" customWidth="1"/>
    <col min="7687" max="7687" width="8.54296875" style="2779" bestFit="1" customWidth="1"/>
    <col min="7688" max="7688" width="11.453125" style="2779" customWidth="1"/>
    <col min="7689" max="7689" width="16.54296875" style="2779" customWidth="1"/>
    <col min="7690" max="7690" width="7.54296875" style="2779" customWidth="1"/>
    <col min="7691" max="7691" width="8" style="2779" customWidth="1"/>
    <col min="7692" max="7693" width="8.1796875" style="2779" customWidth="1"/>
    <col min="7694" max="7694" width="6.54296875" style="2779" customWidth="1"/>
    <col min="7695" max="7695" width="8" style="2779" customWidth="1"/>
    <col min="7696" max="7696" width="7.54296875" style="2779" customWidth="1"/>
    <col min="7697" max="7936" width="9.1796875" style="2779"/>
    <col min="7937" max="7937" width="12.81640625" style="2779" customWidth="1"/>
    <col min="7938" max="7938" width="7.54296875" style="2779" bestFit="1" customWidth="1"/>
    <col min="7939" max="7939" width="5.1796875" style="2779" customWidth="1"/>
    <col min="7940" max="7940" width="4.453125" style="2779" customWidth="1"/>
    <col min="7941" max="7941" width="11.453125" style="2779" customWidth="1"/>
    <col min="7942" max="7942" width="9.54296875" style="2779" customWidth="1"/>
    <col min="7943" max="7943" width="8.54296875" style="2779" bestFit="1" customWidth="1"/>
    <col min="7944" max="7944" width="11.453125" style="2779" customWidth="1"/>
    <col min="7945" max="7945" width="16.54296875" style="2779" customWidth="1"/>
    <col min="7946" max="7946" width="7.54296875" style="2779" customWidth="1"/>
    <col min="7947" max="7947" width="8" style="2779" customWidth="1"/>
    <col min="7948" max="7949" width="8.1796875" style="2779" customWidth="1"/>
    <col min="7950" max="7950" width="6.54296875" style="2779" customWidth="1"/>
    <col min="7951" max="7951" width="8" style="2779" customWidth="1"/>
    <col min="7952" max="7952" width="7.54296875" style="2779" customWidth="1"/>
    <col min="7953" max="8192" width="9.1796875" style="2779"/>
    <col min="8193" max="8193" width="12.81640625" style="2779" customWidth="1"/>
    <col min="8194" max="8194" width="7.54296875" style="2779" bestFit="1" customWidth="1"/>
    <col min="8195" max="8195" width="5.1796875" style="2779" customWidth="1"/>
    <col min="8196" max="8196" width="4.453125" style="2779" customWidth="1"/>
    <col min="8197" max="8197" width="11.453125" style="2779" customWidth="1"/>
    <col min="8198" max="8198" width="9.54296875" style="2779" customWidth="1"/>
    <col min="8199" max="8199" width="8.54296875" style="2779" bestFit="1" customWidth="1"/>
    <col min="8200" max="8200" width="11.453125" style="2779" customWidth="1"/>
    <col min="8201" max="8201" width="16.54296875" style="2779" customWidth="1"/>
    <col min="8202" max="8202" width="7.54296875" style="2779" customWidth="1"/>
    <col min="8203" max="8203" width="8" style="2779" customWidth="1"/>
    <col min="8204" max="8205" width="8.1796875" style="2779" customWidth="1"/>
    <col min="8206" max="8206" width="6.54296875" style="2779" customWidth="1"/>
    <col min="8207" max="8207" width="8" style="2779" customWidth="1"/>
    <col min="8208" max="8208" width="7.54296875" style="2779" customWidth="1"/>
    <col min="8209" max="8448" width="9.1796875" style="2779"/>
    <col min="8449" max="8449" width="12.81640625" style="2779" customWidth="1"/>
    <col min="8450" max="8450" width="7.54296875" style="2779" bestFit="1" customWidth="1"/>
    <col min="8451" max="8451" width="5.1796875" style="2779" customWidth="1"/>
    <col min="8452" max="8452" width="4.453125" style="2779" customWidth="1"/>
    <col min="8453" max="8453" width="11.453125" style="2779" customWidth="1"/>
    <col min="8454" max="8454" width="9.54296875" style="2779" customWidth="1"/>
    <col min="8455" max="8455" width="8.54296875" style="2779" bestFit="1" customWidth="1"/>
    <col min="8456" max="8456" width="11.453125" style="2779" customWidth="1"/>
    <col min="8457" max="8457" width="16.54296875" style="2779" customWidth="1"/>
    <col min="8458" max="8458" width="7.54296875" style="2779" customWidth="1"/>
    <col min="8459" max="8459" width="8" style="2779" customWidth="1"/>
    <col min="8460" max="8461" width="8.1796875" style="2779" customWidth="1"/>
    <col min="8462" max="8462" width="6.54296875" style="2779" customWidth="1"/>
    <col min="8463" max="8463" width="8" style="2779" customWidth="1"/>
    <col min="8464" max="8464" width="7.54296875" style="2779" customWidth="1"/>
    <col min="8465" max="8704" width="9.1796875" style="2779"/>
    <col min="8705" max="8705" width="12.81640625" style="2779" customWidth="1"/>
    <col min="8706" max="8706" width="7.54296875" style="2779" bestFit="1" customWidth="1"/>
    <col min="8707" max="8707" width="5.1796875" style="2779" customWidth="1"/>
    <col min="8708" max="8708" width="4.453125" style="2779" customWidth="1"/>
    <col min="8709" max="8709" width="11.453125" style="2779" customWidth="1"/>
    <col min="8710" max="8710" width="9.54296875" style="2779" customWidth="1"/>
    <col min="8711" max="8711" width="8.54296875" style="2779" bestFit="1" customWidth="1"/>
    <col min="8712" max="8712" width="11.453125" style="2779" customWidth="1"/>
    <col min="8713" max="8713" width="16.54296875" style="2779" customWidth="1"/>
    <col min="8714" max="8714" width="7.54296875" style="2779" customWidth="1"/>
    <col min="8715" max="8715" width="8" style="2779" customWidth="1"/>
    <col min="8716" max="8717" width="8.1796875" style="2779" customWidth="1"/>
    <col min="8718" max="8718" width="6.54296875" style="2779" customWidth="1"/>
    <col min="8719" max="8719" width="8" style="2779" customWidth="1"/>
    <col min="8720" max="8720" width="7.54296875" style="2779" customWidth="1"/>
    <col min="8721" max="8960" width="9.1796875" style="2779"/>
    <col min="8961" max="8961" width="12.81640625" style="2779" customWidth="1"/>
    <col min="8962" max="8962" width="7.54296875" style="2779" bestFit="1" customWidth="1"/>
    <col min="8963" max="8963" width="5.1796875" style="2779" customWidth="1"/>
    <col min="8964" max="8964" width="4.453125" style="2779" customWidth="1"/>
    <col min="8965" max="8965" width="11.453125" style="2779" customWidth="1"/>
    <col min="8966" max="8966" width="9.54296875" style="2779" customWidth="1"/>
    <col min="8967" max="8967" width="8.54296875" style="2779" bestFit="1" customWidth="1"/>
    <col min="8968" max="8968" width="11.453125" style="2779" customWidth="1"/>
    <col min="8969" max="8969" width="16.54296875" style="2779" customWidth="1"/>
    <col min="8970" max="8970" width="7.54296875" style="2779" customWidth="1"/>
    <col min="8971" max="8971" width="8" style="2779" customWidth="1"/>
    <col min="8972" max="8973" width="8.1796875" style="2779" customWidth="1"/>
    <col min="8974" max="8974" width="6.54296875" style="2779" customWidth="1"/>
    <col min="8975" max="8975" width="8" style="2779" customWidth="1"/>
    <col min="8976" max="8976" width="7.54296875" style="2779" customWidth="1"/>
    <col min="8977" max="9216" width="9.1796875" style="2779"/>
    <col min="9217" max="9217" width="12.81640625" style="2779" customWidth="1"/>
    <col min="9218" max="9218" width="7.54296875" style="2779" bestFit="1" customWidth="1"/>
    <col min="9219" max="9219" width="5.1796875" style="2779" customWidth="1"/>
    <col min="9220" max="9220" width="4.453125" style="2779" customWidth="1"/>
    <col min="9221" max="9221" width="11.453125" style="2779" customWidth="1"/>
    <col min="9222" max="9222" width="9.54296875" style="2779" customWidth="1"/>
    <col min="9223" max="9223" width="8.54296875" style="2779" bestFit="1" customWidth="1"/>
    <col min="9224" max="9224" width="11.453125" style="2779" customWidth="1"/>
    <col min="9225" max="9225" width="16.54296875" style="2779" customWidth="1"/>
    <col min="9226" max="9226" width="7.54296875" style="2779" customWidth="1"/>
    <col min="9227" max="9227" width="8" style="2779" customWidth="1"/>
    <col min="9228" max="9229" width="8.1796875" style="2779" customWidth="1"/>
    <col min="9230" max="9230" width="6.54296875" style="2779" customWidth="1"/>
    <col min="9231" max="9231" width="8" style="2779" customWidth="1"/>
    <col min="9232" max="9232" width="7.54296875" style="2779" customWidth="1"/>
    <col min="9233" max="9472" width="9.1796875" style="2779"/>
    <col min="9473" max="9473" width="12.81640625" style="2779" customWidth="1"/>
    <col min="9474" max="9474" width="7.54296875" style="2779" bestFit="1" customWidth="1"/>
    <col min="9475" max="9475" width="5.1796875" style="2779" customWidth="1"/>
    <col min="9476" max="9476" width="4.453125" style="2779" customWidth="1"/>
    <col min="9477" max="9477" width="11.453125" style="2779" customWidth="1"/>
    <col min="9478" max="9478" width="9.54296875" style="2779" customWidth="1"/>
    <col min="9479" max="9479" width="8.54296875" style="2779" bestFit="1" customWidth="1"/>
    <col min="9480" max="9480" width="11.453125" style="2779" customWidth="1"/>
    <col min="9481" max="9481" width="16.54296875" style="2779" customWidth="1"/>
    <col min="9482" max="9482" width="7.54296875" style="2779" customWidth="1"/>
    <col min="9483" max="9483" width="8" style="2779" customWidth="1"/>
    <col min="9484" max="9485" width="8.1796875" style="2779" customWidth="1"/>
    <col min="9486" max="9486" width="6.54296875" style="2779" customWidth="1"/>
    <col min="9487" max="9487" width="8" style="2779" customWidth="1"/>
    <col min="9488" max="9488" width="7.54296875" style="2779" customWidth="1"/>
    <col min="9489" max="9728" width="9.1796875" style="2779"/>
    <col min="9729" max="9729" width="12.81640625" style="2779" customWidth="1"/>
    <col min="9730" max="9730" width="7.54296875" style="2779" bestFit="1" customWidth="1"/>
    <col min="9731" max="9731" width="5.1796875" style="2779" customWidth="1"/>
    <col min="9732" max="9732" width="4.453125" style="2779" customWidth="1"/>
    <col min="9733" max="9733" width="11.453125" style="2779" customWidth="1"/>
    <col min="9734" max="9734" width="9.54296875" style="2779" customWidth="1"/>
    <col min="9735" max="9735" width="8.54296875" style="2779" bestFit="1" customWidth="1"/>
    <col min="9736" max="9736" width="11.453125" style="2779" customWidth="1"/>
    <col min="9737" max="9737" width="16.54296875" style="2779" customWidth="1"/>
    <col min="9738" max="9738" width="7.54296875" style="2779" customWidth="1"/>
    <col min="9739" max="9739" width="8" style="2779" customWidth="1"/>
    <col min="9740" max="9741" width="8.1796875" style="2779" customWidth="1"/>
    <col min="9742" max="9742" width="6.54296875" style="2779" customWidth="1"/>
    <col min="9743" max="9743" width="8" style="2779" customWidth="1"/>
    <col min="9744" max="9744" width="7.54296875" style="2779" customWidth="1"/>
    <col min="9745" max="9984" width="9.1796875" style="2779"/>
    <col min="9985" max="9985" width="12.81640625" style="2779" customWidth="1"/>
    <col min="9986" max="9986" width="7.54296875" style="2779" bestFit="1" customWidth="1"/>
    <col min="9987" max="9987" width="5.1796875" style="2779" customWidth="1"/>
    <col min="9988" max="9988" width="4.453125" style="2779" customWidth="1"/>
    <col min="9989" max="9989" width="11.453125" style="2779" customWidth="1"/>
    <col min="9990" max="9990" width="9.54296875" style="2779" customWidth="1"/>
    <col min="9991" max="9991" width="8.54296875" style="2779" bestFit="1" customWidth="1"/>
    <col min="9992" max="9992" width="11.453125" style="2779" customWidth="1"/>
    <col min="9993" max="9993" width="16.54296875" style="2779" customWidth="1"/>
    <col min="9994" max="9994" width="7.54296875" style="2779" customWidth="1"/>
    <col min="9995" max="9995" width="8" style="2779" customWidth="1"/>
    <col min="9996" max="9997" width="8.1796875" style="2779" customWidth="1"/>
    <col min="9998" max="9998" width="6.54296875" style="2779" customWidth="1"/>
    <col min="9999" max="9999" width="8" style="2779" customWidth="1"/>
    <col min="10000" max="10000" width="7.54296875" style="2779" customWidth="1"/>
    <col min="10001" max="10240" width="9.1796875" style="2779"/>
    <col min="10241" max="10241" width="12.81640625" style="2779" customWidth="1"/>
    <col min="10242" max="10242" width="7.54296875" style="2779" bestFit="1" customWidth="1"/>
    <col min="10243" max="10243" width="5.1796875" style="2779" customWidth="1"/>
    <col min="10244" max="10244" width="4.453125" style="2779" customWidth="1"/>
    <col min="10245" max="10245" width="11.453125" style="2779" customWidth="1"/>
    <col min="10246" max="10246" width="9.54296875" style="2779" customWidth="1"/>
    <col min="10247" max="10247" width="8.54296875" style="2779" bestFit="1" customWidth="1"/>
    <col min="10248" max="10248" width="11.453125" style="2779" customWidth="1"/>
    <col min="10249" max="10249" width="16.54296875" style="2779" customWidth="1"/>
    <col min="10250" max="10250" width="7.54296875" style="2779" customWidth="1"/>
    <col min="10251" max="10251" width="8" style="2779" customWidth="1"/>
    <col min="10252" max="10253" width="8.1796875" style="2779" customWidth="1"/>
    <col min="10254" max="10254" width="6.54296875" style="2779" customWidth="1"/>
    <col min="10255" max="10255" width="8" style="2779" customWidth="1"/>
    <col min="10256" max="10256" width="7.54296875" style="2779" customWidth="1"/>
    <col min="10257" max="10496" width="9.1796875" style="2779"/>
    <col min="10497" max="10497" width="12.81640625" style="2779" customWidth="1"/>
    <col min="10498" max="10498" width="7.54296875" style="2779" bestFit="1" customWidth="1"/>
    <col min="10499" max="10499" width="5.1796875" style="2779" customWidth="1"/>
    <col min="10500" max="10500" width="4.453125" style="2779" customWidth="1"/>
    <col min="10501" max="10501" width="11.453125" style="2779" customWidth="1"/>
    <col min="10502" max="10502" width="9.54296875" style="2779" customWidth="1"/>
    <col min="10503" max="10503" width="8.54296875" style="2779" bestFit="1" customWidth="1"/>
    <col min="10504" max="10504" width="11.453125" style="2779" customWidth="1"/>
    <col min="10505" max="10505" width="16.54296875" style="2779" customWidth="1"/>
    <col min="10506" max="10506" width="7.54296875" style="2779" customWidth="1"/>
    <col min="10507" max="10507" width="8" style="2779" customWidth="1"/>
    <col min="10508" max="10509" width="8.1796875" style="2779" customWidth="1"/>
    <col min="10510" max="10510" width="6.54296875" style="2779" customWidth="1"/>
    <col min="10511" max="10511" width="8" style="2779" customWidth="1"/>
    <col min="10512" max="10512" width="7.54296875" style="2779" customWidth="1"/>
    <col min="10513" max="10752" width="9.1796875" style="2779"/>
    <col min="10753" max="10753" width="12.81640625" style="2779" customWidth="1"/>
    <col min="10754" max="10754" width="7.54296875" style="2779" bestFit="1" customWidth="1"/>
    <col min="10755" max="10755" width="5.1796875" style="2779" customWidth="1"/>
    <col min="10756" max="10756" width="4.453125" style="2779" customWidth="1"/>
    <col min="10757" max="10757" width="11.453125" style="2779" customWidth="1"/>
    <col min="10758" max="10758" width="9.54296875" style="2779" customWidth="1"/>
    <col min="10759" max="10759" width="8.54296875" style="2779" bestFit="1" customWidth="1"/>
    <col min="10760" max="10760" width="11.453125" style="2779" customWidth="1"/>
    <col min="10761" max="10761" width="16.54296875" style="2779" customWidth="1"/>
    <col min="10762" max="10762" width="7.54296875" style="2779" customWidth="1"/>
    <col min="10763" max="10763" width="8" style="2779" customWidth="1"/>
    <col min="10764" max="10765" width="8.1796875" style="2779" customWidth="1"/>
    <col min="10766" max="10766" width="6.54296875" style="2779" customWidth="1"/>
    <col min="10767" max="10767" width="8" style="2779" customWidth="1"/>
    <col min="10768" max="10768" width="7.54296875" style="2779" customWidth="1"/>
    <col min="10769" max="11008" width="9.1796875" style="2779"/>
    <col min="11009" max="11009" width="12.81640625" style="2779" customWidth="1"/>
    <col min="11010" max="11010" width="7.54296875" style="2779" bestFit="1" customWidth="1"/>
    <col min="11011" max="11011" width="5.1796875" style="2779" customWidth="1"/>
    <col min="11012" max="11012" width="4.453125" style="2779" customWidth="1"/>
    <col min="11013" max="11013" width="11.453125" style="2779" customWidth="1"/>
    <col min="11014" max="11014" width="9.54296875" style="2779" customWidth="1"/>
    <col min="11015" max="11015" width="8.54296875" style="2779" bestFit="1" customWidth="1"/>
    <col min="11016" max="11016" width="11.453125" style="2779" customWidth="1"/>
    <col min="11017" max="11017" width="16.54296875" style="2779" customWidth="1"/>
    <col min="11018" max="11018" width="7.54296875" style="2779" customWidth="1"/>
    <col min="11019" max="11019" width="8" style="2779" customWidth="1"/>
    <col min="11020" max="11021" width="8.1796875" style="2779" customWidth="1"/>
    <col min="11022" max="11022" width="6.54296875" style="2779" customWidth="1"/>
    <col min="11023" max="11023" width="8" style="2779" customWidth="1"/>
    <col min="11024" max="11024" width="7.54296875" style="2779" customWidth="1"/>
    <col min="11025" max="11264" width="9.1796875" style="2779"/>
    <col min="11265" max="11265" width="12.81640625" style="2779" customWidth="1"/>
    <col min="11266" max="11266" width="7.54296875" style="2779" bestFit="1" customWidth="1"/>
    <col min="11267" max="11267" width="5.1796875" style="2779" customWidth="1"/>
    <col min="11268" max="11268" width="4.453125" style="2779" customWidth="1"/>
    <col min="11269" max="11269" width="11.453125" style="2779" customWidth="1"/>
    <col min="11270" max="11270" width="9.54296875" style="2779" customWidth="1"/>
    <col min="11271" max="11271" width="8.54296875" style="2779" bestFit="1" customWidth="1"/>
    <col min="11272" max="11272" width="11.453125" style="2779" customWidth="1"/>
    <col min="11273" max="11273" width="16.54296875" style="2779" customWidth="1"/>
    <col min="11274" max="11274" width="7.54296875" style="2779" customWidth="1"/>
    <col min="11275" max="11275" width="8" style="2779" customWidth="1"/>
    <col min="11276" max="11277" width="8.1796875" style="2779" customWidth="1"/>
    <col min="11278" max="11278" width="6.54296875" style="2779" customWidth="1"/>
    <col min="11279" max="11279" width="8" style="2779" customWidth="1"/>
    <col min="11280" max="11280" width="7.54296875" style="2779" customWidth="1"/>
    <col min="11281" max="11520" width="9.1796875" style="2779"/>
    <col min="11521" max="11521" width="12.81640625" style="2779" customWidth="1"/>
    <col min="11522" max="11522" width="7.54296875" style="2779" bestFit="1" customWidth="1"/>
    <col min="11523" max="11523" width="5.1796875" style="2779" customWidth="1"/>
    <col min="11524" max="11524" width="4.453125" style="2779" customWidth="1"/>
    <col min="11525" max="11525" width="11.453125" style="2779" customWidth="1"/>
    <col min="11526" max="11526" width="9.54296875" style="2779" customWidth="1"/>
    <col min="11527" max="11527" width="8.54296875" style="2779" bestFit="1" customWidth="1"/>
    <col min="11528" max="11528" width="11.453125" style="2779" customWidth="1"/>
    <col min="11529" max="11529" width="16.54296875" style="2779" customWidth="1"/>
    <col min="11530" max="11530" width="7.54296875" style="2779" customWidth="1"/>
    <col min="11531" max="11531" width="8" style="2779" customWidth="1"/>
    <col min="11532" max="11533" width="8.1796875" style="2779" customWidth="1"/>
    <col min="11534" max="11534" width="6.54296875" style="2779" customWidth="1"/>
    <col min="11535" max="11535" width="8" style="2779" customWidth="1"/>
    <col min="11536" max="11536" width="7.54296875" style="2779" customWidth="1"/>
    <col min="11537" max="11776" width="9.1796875" style="2779"/>
    <col min="11777" max="11777" width="12.81640625" style="2779" customWidth="1"/>
    <col min="11778" max="11778" width="7.54296875" style="2779" bestFit="1" customWidth="1"/>
    <col min="11779" max="11779" width="5.1796875" style="2779" customWidth="1"/>
    <col min="11780" max="11780" width="4.453125" style="2779" customWidth="1"/>
    <col min="11781" max="11781" width="11.453125" style="2779" customWidth="1"/>
    <col min="11782" max="11782" width="9.54296875" style="2779" customWidth="1"/>
    <col min="11783" max="11783" width="8.54296875" style="2779" bestFit="1" customWidth="1"/>
    <col min="11784" max="11784" width="11.453125" style="2779" customWidth="1"/>
    <col min="11785" max="11785" width="16.54296875" style="2779" customWidth="1"/>
    <col min="11786" max="11786" width="7.54296875" style="2779" customWidth="1"/>
    <col min="11787" max="11787" width="8" style="2779" customWidth="1"/>
    <col min="11788" max="11789" width="8.1796875" style="2779" customWidth="1"/>
    <col min="11790" max="11790" width="6.54296875" style="2779" customWidth="1"/>
    <col min="11791" max="11791" width="8" style="2779" customWidth="1"/>
    <col min="11792" max="11792" width="7.54296875" style="2779" customWidth="1"/>
    <col min="11793" max="12032" width="9.1796875" style="2779"/>
    <col min="12033" max="12033" width="12.81640625" style="2779" customWidth="1"/>
    <col min="12034" max="12034" width="7.54296875" style="2779" bestFit="1" customWidth="1"/>
    <col min="12035" max="12035" width="5.1796875" style="2779" customWidth="1"/>
    <col min="12036" max="12036" width="4.453125" style="2779" customWidth="1"/>
    <col min="12037" max="12037" width="11.453125" style="2779" customWidth="1"/>
    <col min="12038" max="12038" width="9.54296875" style="2779" customWidth="1"/>
    <col min="12039" max="12039" width="8.54296875" style="2779" bestFit="1" customWidth="1"/>
    <col min="12040" max="12040" width="11.453125" style="2779" customWidth="1"/>
    <col min="12041" max="12041" width="16.54296875" style="2779" customWidth="1"/>
    <col min="12042" max="12042" width="7.54296875" style="2779" customWidth="1"/>
    <col min="12043" max="12043" width="8" style="2779" customWidth="1"/>
    <col min="12044" max="12045" width="8.1796875" style="2779" customWidth="1"/>
    <col min="12046" max="12046" width="6.54296875" style="2779" customWidth="1"/>
    <col min="12047" max="12047" width="8" style="2779" customWidth="1"/>
    <col min="12048" max="12048" width="7.54296875" style="2779" customWidth="1"/>
    <col min="12049" max="12288" width="9.1796875" style="2779"/>
    <col min="12289" max="12289" width="12.81640625" style="2779" customWidth="1"/>
    <col min="12290" max="12290" width="7.54296875" style="2779" bestFit="1" customWidth="1"/>
    <col min="12291" max="12291" width="5.1796875" style="2779" customWidth="1"/>
    <col min="12292" max="12292" width="4.453125" style="2779" customWidth="1"/>
    <col min="12293" max="12293" width="11.453125" style="2779" customWidth="1"/>
    <col min="12294" max="12294" width="9.54296875" style="2779" customWidth="1"/>
    <col min="12295" max="12295" width="8.54296875" style="2779" bestFit="1" customWidth="1"/>
    <col min="12296" max="12296" width="11.453125" style="2779" customWidth="1"/>
    <col min="12297" max="12297" width="16.54296875" style="2779" customWidth="1"/>
    <col min="12298" max="12298" width="7.54296875" style="2779" customWidth="1"/>
    <col min="12299" max="12299" width="8" style="2779" customWidth="1"/>
    <col min="12300" max="12301" width="8.1796875" style="2779" customWidth="1"/>
    <col min="12302" max="12302" width="6.54296875" style="2779" customWidth="1"/>
    <col min="12303" max="12303" width="8" style="2779" customWidth="1"/>
    <col min="12304" max="12304" width="7.54296875" style="2779" customWidth="1"/>
    <col min="12305" max="12544" width="9.1796875" style="2779"/>
    <col min="12545" max="12545" width="12.81640625" style="2779" customWidth="1"/>
    <col min="12546" max="12546" width="7.54296875" style="2779" bestFit="1" customWidth="1"/>
    <col min="12547" max="12547" width="5.1796875" style="2779" customWidth="1"/>
    <col min="12548" max="12548" width="4.453125" style="2779" customWidth="1"/>
    <col min="12549" max="12549" width="11.453125" style="2779" customWidth="1"/>
    <col min="12550" max="12550" width="9.54296875" style="2779" customWidth="1"/>
    <col min="12551" max="12551" width="8.54296875" style="2779" bestFit="1" customWidth="1"/>
    <col min="12552" max="12552" width="11.453125" style="2779" customWidth="1"/>
    <col min="12553" max="12553" width="16.54296875" style="2779" customWidth="1"/>
    <col min="12554" max="12554" width="7.54296875" style="2779" customWidth="1"/>
    <col min="12555" max="12555" width="8" style="2779" customWidth="1"/>
    <col min="12556" max="12557" width="8.1796875" style="2779" customWidth="1"/>
    <col min="12558" max="12558" width="6.54296875" style="2779" customWidth="1"/>
    <col min="12559" max="12559" width="8" style="2779" customWidth="1"/>
    <col min="12560" max="12560" width="7.54296875" style="2779" customWidth="1"/>
    <col min="12561" max="12800" width="9.1796875" style="2779"/>
    <col min="12801" max="12801" width="12.81640625" style="2779" customWidth="1"/>
    <col min="12802" max="12802" width="7.54296875" style="2779" bestFit="1" customWidth="1"/>
    <col min="12803" max="12803" width="5.1796875" style="2779" customWidth="1"/>
    <col min="12804" max="12804" width="4.453125" style="2779" customWidth="1"/>
    <col min="12805" max="12805" width="11.453125" style="2779" customWidth="1"/>
    <col min="12806" max="12806" width="9.54296875" style="2779" customWidth="1"/>
    <col min="12807" max="12807" width="8.54296875" style="2779" bestFit="1" customWidth="1"/>
    <col min="12808" max="12808" width="11.453125" style="2779" customWidth="1"/>
    <col min="12809" max="12809" width="16.54296875" style="2779" customWidth="1"/>
    <col min="12810" max="12810" width="7.54296875" style="2779" customWidth="1"/>
    <col min="12811" max="12811" width="8" style="2779" customWidth="1"/>
    <col min="12812" max="12813" width="8.1796875" style="2779" customWidth="1"/>
    <col min="12814" max="12814" width="6.54296875" style="2779" customWidth="1"/>
    <col min="12815" max="12815" width="8" style="2779" customWidth="1"/>
    <col min="12816" max="12816" width="7.54296875" style="2779" customWidth="1"/>
    <col min="12817" max="13056" width="9.1796875" style="2779"/>
    <col min="13057" max="13057" width="12.81640625" style="2779" customWidth="1"/>
    <col min="13058" max="13058" width="7.54296875" style="2779" bestFit="1" customWidth="1"/>
    <col min="13059" max="13059" width="5.1796875" style="2779" customWidth="1"/>
    <col min="13060" max="13060" width="4.453125" style="2779" customWidth="1"/>
    <col min="13061" max="13061" width="11.453125" style="2779" customWidth="1"/>
    <col min="13062" max="13062" width="9.54296875" style="2779" customWidth="1"/>
    <col min="13063" max="13063" width="8.54296875" style="2779" bestFit="1" customWidth="1"/>
    <col min="13064" max="13064" width="11.453125" style="2779" customWidth="1"/>
    <col min="13065" max="13065" width="16.54296875" style="2779" customWidth="1"/>
    <col min="13066" max="13066" width="7.54296875" style="2779" customWidth="1"/>
    <col min="13067" max="13067" width="8" style="2779" customWidth="1"/>
    <col min="13068" max="13069" width="8.1796875" style="2779" customWidth="1"/>
    <col min="13070" max="13070" width="6.54296875" style="2779" customWidth="1"/>
    <col min="13071" max="13071" width="8" style="2779" customWidth="1"/>
    <col min="13072" max="13072" width="7.54296875" style="2779" customWidth="1"/>
    <col min="13073" max="13312" width="9.1796875" style="2779"/>
    <col min="13313" max="13313" width="12.81640625" style="2779" customWidth="1"/>
    <col min="13314" max="13314" width="7.54296875" style="2779" bestFit="1" customWidth="1"/>
    <col min="13315" max="13315" width="5.1796875" style="2779" customWidth="1"/>
    <col min="13316" max="13316" width="4.453125" style="2779" customWidth="1"/>
    <col min="13317" max="13317" width="11.453125" style="2779" customWidth="1"/>
    <col min="13318" max="13318" width="9.54296875" style="2779" customWidth="1"/>
    <col min="13319" max="13319" width="8.54296875" style="2779" bestFit="1" customWidth="1"/>
    <col min="13320" max="13320" width="11.453125" style="2779" customWidth="1"/>
    <col min="13321" max="13321" width="16.54296875" style="2779" customWidth="1"/>
    <col min="13322" max="13322" width="7.54296875" style="2779" customWidth="1"/>
    <col min="13323" max="13323" width="8" style="2779" customWidth="1"/>
    <col min="13324" max="13325" width="8.1796875" style="2779" customWidth="1"/>
    <col min="13326" max="13326" width="6.54296875" style="2779" customWidth="1"/>
    <col min="13327" max="13327" width="8" style="2779" customWidth="1"/>
    <col min="13328" max="13328" width="7.54296875" style="2779" customWidth="1"/>
    <col min="13329" max="13568" width="9.1796875" style="2779"/>
    <col min="13569" max="13569" width="12.81640625" style="2779" customWidth="1"/>
    <col min="13570" max="13570" width="7.54296875" style="2779" bestFit="1" customWidth="1"/>
    <col min="13571" max="13571" width="5.1796875" style="2779" customWidth="1"/>
    <col min="13572" max="13572" width="4.453125" style="2779" customWidth="1"/>
    <col min="13573" max="13573" width="11.453125" style="2779" customWidth="1"/>
    <col min="13574" max="13574" width="9.54296875" style="2779" customWidth="1"/>
    <col min="13575" max="13575" width="8.54296875" style="2779" bestFit="1" customWidth="1"/>
    <col min="13576" max="13576" width="11.453125" style="2779" customWidth="1"/>
    <col min="13577" max="13577" width="16.54296875" style="2779" customWidth="1"/>
    <col min="13578" max="13578" width="7.54296875" style="2779" customWidth="1"/>
    <col min="13579" max="13579" width="8" style="2779" customWidth="1"/>
    <col min="13580" max="13581" width="8.1796875" style="2779" customWidth="1"/>
    <col min="13582" max="13582" width="6.54296875" style="2779" customWidth="1"/>
    <col min="13583" max="13583" width="8" style="2779" customWidth="1"/>
    <col min="13584" max="13584" width="7.54296875" style="2779" customWidth="1"/>
    <col min="13585" max="13824" width="9.1796875" style="2779"/>
    <col min="13825" max="13825" width="12.81640625" style="2779" customWidth="1"/>
    <col min="13826" max="13826" width="7.54296875" style="2779" bestFit="1" customWidth="1"/>
    <col min="13827" max="13827" width="5.1796875" style="2779" customWidth="1"/>
    <col min="13828" max="13828" width="4.453125" style="2779" customWidth="1"/>
    <col min="13829" max="13829" width="11.453125" style="2779" customWidth="1"/>
    <col min="13830" max="13830" width="9.54296875" style="2779" customWidth="1"/>
    <col min="13831" max="13831" width="8.54296875" style="2779" bestFit="1" customWidth="1"/>
    <col min="13832" max="13832" width="11.453125" style="2779" customWidth="1"/>
    <col min="13833" max="13833" width="16.54296875" style="2779" customWidth="1"/>
    <col min="13834" max="13834" width="7.54296875" style="2779" customWidth="1"/>
    <col min="13835" max="13835" width="8" style="2779" customWidth="1"/>
    <col min="13836" max="13837" width="8.1796875" style="2779" customWidth="1"/>
    <col min="13838" max="13838" width="6.54296875" style="2779" customWidth="1"/>
    <col min="13839" max="13839" width="8" style="2779" customWidth="1"/>
    <col min="13840" max="13840" width="7.54296875" style="2779" customWidth="1"/>
    <col min="13841" max="14080" width="9.1796875" style="2779"/>
    <col min="14081" max="14081" width="12.81640625" style="2779" customWidth="1"/>
    <col min="14082" max="14082" width="7.54296875" style="2779" bestFit="1" customWidth="1"/>
    <col min="14083" max="14083" width="5.1796875" style="2779" customWidth="1"/>
    <col min="14084" max="14084" width="4.453125" style="2779" customWidth="1"/>
    <col min="14085" max="14085" width="11.453125" style="2779" customWidth="1"/>
    <col min="14086" max="14086" width="9.54296875" style="2779" customWidth="1"/>
    <col min="14087" max="14087" width="8.54296875" style="2779" bestFit="1" customWidth="1"/>
    <col min="14088" max="14088" width="11.453125" style="2779" customWidth="1"/>
    <col min="14089" max="14089" width="16.54296875" style="2779" customWidth="1"/>
    <col min="14090" max="14090" width="7.54296875" style="2779" customWidth="1"/>
    <col min="14091" max="14091" width="8" style="2779" customWidth="1"/>
    <col min="14092" max="14093" width="8.1796875" style="2779" customWidth="1"/>
    <col min="14094" max="14094" width="6.54296875" style="2779" customWidth="1"/>
    <col min="14095" max="14095" width="8" style="2779" customWidth="1"/>
    <col min="14096" max="14096" width="7.54296875" style="2779" customWidth="1"/>
    <col min="14097" max="14336" width="9.1796875" style="2779"/>
    <col min="14337" max="14337" width="12.81640625" style="2779" customWidth="1"/>
    <col min="14338" max="14338" width="7.54296875" style="2779" bestFit="1" customWidth="1"/>
    <col min="14339" max="14339" width="5.1796875" style="2779" customWidth="1"/>
    <col min="14340" max="14340" width="4.453125" style="2779" customWidth="1"/>
    <col min="14341" max="14341" width="11.453125" style="2779" customWidth="1"/>
    <col min="14342" max="14342" width="9.54296875" style="2779" customWidth="1"/>
    <col min="14343" max="14343" width="8.54296875" style="2779" bestFit="1" customWidth="1"/>
    <col min="14344" max="14344" width="11.453125" style="2779" customWidth="1"/>
    <col min="14345" max="14345" width="16.54296875" style="2779" customWidth="1"/>
    <col min="14346" max="14346" width="7.54296875" style="2779" customWidth="1"/>
    <col min="14347" max="14347" width="8" style="2779" customWidth="1"/>
    <col min="14348" max="14349" width="8.1796875" style="2779" customWidth="1"/>
    <col min="14350" max="14350" width="6.54296875" style="2779" customWidth="1"/>
    <col min="14351" max="14351" width="8" style="2779" customWidth="1"/>
    <col min="14352" max="14352" width="7.54296875" style="2779" customWidth="1"/>
    <col min="14353" max="14592" width="9.1796875" style="2779"/>
    <col min="14593" max="14593" width="12.81640625" style="2779" customWidth="1"/>
    <col min="14594" max="14594" width="7.54296875" style="2779" bestFit="1" customWidth="1"/>
    <col min="14595" max="14595" width="5.1796875" style="2779" customWidth="1"/>
    <col min="14596" max="14596" width="4.453125" style="2779" customWidth="1"/>
    <col min="14597" max="14597" width="11.453125" style="2779" customWidth="1"/>
    <col min="14598" max="14598" width="9.54296875" style="2779" customWidth="1"/>
    <col min="14599" max="14599" width="8.54296875" style="2779" bestFit="1" customWidth="1"/>
    <col min="14600" max="14600" width="11.453125" style="2779" customWidth="1"/>
    <col min="14601" max="14601" width="16.54296875" style="2779" customWidth="1"/>
    <col min="14602" max="14602" width="7.54296875" style="2779" customWidth="1"/>
    <col min="14603" max="14603" width="8" style="2779" customWidth="1"/>
    <col min="14604" max="14605" width="8.1796875" style="2779" customWidth="1"/>
    <col min="14606" max="14606" width="6.54296875" style="2779" customWidth="1"/>
    <col min="14607" max="14607" width="8" style="2779" customWidth="1"/>
    <col min="14608" max="14608" width="7.54296875" style="2779" customWidth="1"/>
    <col min="14609" max="14848" width="9.1796875" style="2779"/>
    <col min="14849" max="14849" width="12.81640625" style="2779" customWidth="1"/>
    <col min="14850" max="14850" width="7.54296875" style="2779" bestFit="1" customWidth="1"/>
    <col min="14851" max="14851" width="5.1796875" style="2779" customWidth="1"/>
    <col min="14852" max="14852" width="4.453125" style="2779" customWidth="1"/>
    <col min="14853" max="14853" width="11.453125" style="2779" customWidth="1"/>
    <col min="14854" max="14854" width="9.54296875" style="2779" customWidth="1"/>
    <col min="14855" max="14855" width="8.54296875" style="2779" bestFit="1" customWidth="1"/>
    <col min="14856" max="14856" width="11.453125" style="2779" customWidth="1"/>
    <col min="14857" max="14857" width="16.54296875" style="2779" customWidth="1"/>
    <col min="14858" max="14858" width="7.54296875" style="2779" customWidth="1"/>
    <col min="14859" max="14859" width="8" style="2779" customWidth="1"/>
    <col min="14860" max="14861" width="8.1796875" style="2779" customWidth="1"/>
    <col min="14862" max="14862" width="6.54296875" style="2779" customWidth="1"/>
    <col min="14863" max="14863" width="8" style="2779" customWidth="1"/>
    <col min="14864" max="14864" width="7.54296875" style="2779" customWidth="1"/>
    <col min="14865" max="15104" width="9.1796875" style="2779"/>
    <col min="15105" max="15105" width="12.81640625" style="2779" customWidth="1"/>
    <col min="15106" max="15106" width="7.54296875" style="2779" bestFit="1" customWidth="1"/>
    <col min="15107" max="15107" width="5.1796875" style="2779" customWidth="1"/>
    <col min="15108" max="15108" width="4.453125" style="2779" customWidth="1"/>
    <col min="15109" max="15109" width="11.453125" style="2779" customWidth="1"/>
    <col min="15110" max="15110" width="9.54296875" style="2779" customWidth="1"/>
    <col min="15111" max="15111" width="8.54296875" style="2779" bestFit="1" customWidth="1"/>
    <col min="15112" max="15112" width="11.453125" style="2779" customWidth="1"/>
    <col min="15113" max="15113" width="16.54296875" style="2779" customWidth="1"/>
    <col min="15114" max="15114" width="7.54296875" style="2779" customWidth="1"/>
    <col min="15115" max="15115" width="8" style="2779" customWidth="1"/>
    <col min="15116" max="15117" width="8.1796875" style="2779" customWidth="1"/>
    <col min="15118" max="15118" width="6.54296875" style="2779" customWidth="1"/>
    <col min="15119" max="15119" width="8" style="2779" customWidth="1"/>
    <col min="15120" max="15120" width="7.54296875" style="2779" customWidth="1"/>
    <col min="15121" max="15360" width="9.1796875" style="2779"/>
    <col min="15361" max="15361" width="12.81640625" style="2779" customWidth="1"/>
    <col min="15362" max="15362" width="7.54296875" style="2779" bestFit="1" customWidth="1"/>
    <col min="15363" max="15363" width="5.1796875" style="2779" customWidth="1"/>
    <col min="15364" max="15364" width="4.453125" style="2779" customWidth="1"/>
    <col min="15365" max="15365" width="11.453125" style="2779" customWidth="1"/>
    <col min="15366" max="15366" width="9.54296875" style="2779" customWidth="1"/>
    <col min="15367" max="15367" width="8.54296875" style="2779" bestFit="1" customWidth="1"/>
    <col min="15368" max="15368" width="11.453125" style="2779" customWidth="1"/>
    <col min="15369" max="15369" width="16.54296875" style="2779" customWidth="1"/>
    <col min="15370" max="15370" width="7.54296875" style="2779" customWidth="1"/>
    <col min="15371" max="15371" width="8" style="2779" customWidth="1"/>
    <col min="15372" max="15373" width="8.1796875" style="2779" customWidth="1"/>
    <col min="15374" max="15374" width="6.54296875" style="2779" customWidth="1"/>
    <col min="15375" max="15375" width="8" style="2779" customWidth="1"/>
    <col min="15376" max="15376" width="7.54296875" style="2779" customWidth="1"/>
    <col min="15377" max="15616" width="9.1796875" style="2779"/>
    <col min="15617" max="15617" width="12.81640625" style="2779" customWidth="1"/>
    <col min="15618" max="15618" width="7.54296875" style="2779" bestFit="1" customWidth="1"/>
    <col min="15619" max="15619" width="5.1796875" style="2779" customWidth="1"/>
    <col min="15620" max="15620" width="4.453125" style="2779" customWidth="1"/>
    <col min="15621" max="15621" width="11.453125" style="2779" customWidth="1"/>
    <col min="15622" max="15622" width="9.54296875" style="2779" customWidth="1"/>
    <col min="15623" max="15623" width="8.54296875" style="2779" bestFit="1" customWidth="1"/>
    <col min="15624" max="15624" width="11.453125" style="2779" customWidth="1"/>
    <col min="15625" max="15625" width="16.54296875" style="2779" customWidth="1"/>
    <col min="15626" max="15626" width="7.54296875" style="2779" customWidth="1"/>
    <col min="15627" max="15627" width="8" style="2779" customWidth="1"/>
    <col min="15628" max="15629" width="8.1796875" style="2779" customWidth="1"/>
    <col min="15630" max="15630" width="6.54296875" style="2779" customWidth="1"/>
    <col min="15631" max="15631" width="8" style="2779" customWidth="1"/>
    <col min="15632" max="15632" width="7.54296875" style="2779" customWidth="1"/>
    <col min="15633" max="15872" width="9.1796875" style="2779"/>
    <col min="15873" max="15873" width="12.81640625" style="2779" customWidth="1"/>
    <col min="15874" max="15874" width="7.54296875" style="2779" bestFit="1" customWidth="1"/>
    <col min="15875" max="15875" width="5.1796875" style="2779" customWidth="1"/>
    <col min="15876" max="15876" width="4.453125" style="2779" customWidth="1"/>
    <col min="15877" max="15877" width="11.453125" style="2779" customWidth="1"/>
    <col min="15878" max="15878" width="9.54296875" style="2779" customWidth="1"/>
    <col min="15879" max="15879" width="8.54296875" style="2779" bestFit="1" customWidth="1"/>
    <col min="15880" max="15880" width="11.453125" style="2779" customWidth="1"/>
    <col min="15881" max="15881" width="16.54296875" style="2779" customWidth="1"/>
    <col min="15882" max="15882" width="7.54296875" style="2779" customWidth="1"/>
    <col min="15883" max="15883" width="8" style="2779" customWidth="1"/>
    <col min="15884" max="15885" width="8.1796875" style="2779" customWidth="1"/>
    <col min="15886" max="15886" width="6.54296875" style="2779" customWidth="1"/>
    <col min="15887" max="15887" width="8" style="2779" customWidth="1"/>
    <col min="15888" max="15888" width="7.54296875" style="2779" customWidth="1"/>
    <col min="15889" max="16128" width="9.1796875" style="2779"/>
    <col min="16129" max="16129" width="12.81640625" style="2779" customWidth="1"/>
    <col min="16130" max="16130" width="7.54296875" style="2779" bestFit="1" customWidth="1"/>
    <col min="16131" max="16131" width="5.1796875" style="2779" customWidth="1"/>
    <col min="16132" max="16132" width="4.453125" style="2779" customWidth="1"/>
    <col min="16133" max="16133" width="11.453125" style="2779" customWidth="1"/>
    <col min="16134" max="16134" width="9.54296875" style="2779" customWidth="1"/>
    <col min="16135" max="16135" width="8.54296875" style="2779" bestFit="1" customWidth="1"/>
    <col min="16136" max="16136" width="11.453125" style="2779" customWidth="1"/>
    <col min="16137" max="16137" width="16.54296875" style="2779" customWidth="1"/>
    <col min="16138" max="16138" width="7.54296875" style="2779" customWidth="1"/>
    <col min="16139" max="16139" width="8" style="2779" customWidth="1"/>
    <col min="16140" max="16141" width="8.1796875" style="2779" customWidth="1"/>
    <col min="16142" max="16142" width="6.54296875" style="2779" customWidth="1"/>
    <col min="16143" max="16143" width="8" style="2779" customWidth="1"/>
    <col min="16144" max="16144" width="7.54296875" style="2779" customWidth="1"/>
    <col min="16145" max="16384" width="9.1796875" style="2779"/>
  </cols>
  <sheetData>
    <row r="1" spans="1:16">
      <c r="A1" s="3286" t="s">
        <v>2634</v>
      </c>
      <c r="B1" s="3286"/>
    </row>
    <row r="2" spans="1:16">
      <c r="A2" s="3287" t="s">
        <v>2635</v>
      </c>
      <c r="B2" s="3287"/>
      <c r="C2" s="3287"/>
      <c r="D2" s="3287"/>
      <c r="E2" s="3287"/>
      <c r="F2" s="3287"/>
      <c r="G2" s="3287"/>
      <c r="H2" s="3287"/>
      <c r="I2" s="3287"/>
      <c r="J2" s="3287"/>
      <c r="K2" s="3287"/>
      <c r="L2" s="3287"/>
      <c r="M2" s="3287"/>
      <c r="N2" s="2620"/>
      <c r="O2" s="2620"/>
      <c r="P2" s="2620"/>
    </row>
    <row r="3" spans="1:16">
      <c r="A3" s="2621" t="s">
        <v>764</v>
      </c>
      <c r="B3" s="2621"/>
      <c r="C3" s="2621"/>
      <c r="D3" s="2621"/>
      <c r="E3" s="2621"/>
      <c r="F3" s="2621"/>
      <c r="G3" s="2622"/>
      <c r="H3" s="2623"/>
      <c r="I3" s="2621"/>
      <c r="J3" s="2621"/>
      <c r="K3" s="2621"/>
      <c r="L3" s="2621"/>
      <c r="M3" s="2807"/>
      <c r="N3" s="2807"/>
      <c r="O3" s="2807"/>
      <c r="P3" s="2807"/>
    </row>
    <row r="4" spans="1:16">
      <c r="B4" s="2808"/>
      <c r="M4" s="2808"/>
    </row>
    <row r="5" spans="1:16">
      <c r="A5" s="2624" t="s">
        <v>765</v>
      </c>
      <c r="B5" s="2624" t="s">
        <v>2636</v>
      </c>
      <c r="C5" s="2624" t="s">
        <v>2637</v>
      </c>
      <c r="D5" s="2624" t="s">
        <v>2638</v>
      </c>
      <c r="E5" s="2624" t="s">
        <v>2639</v>
      </c>
      <c r="F5" s="2624" t="s">
        <v>2640</v>
      </c>
      <c r="G5" s="2801" t="s">
        <v>2641</v>
      </c>
      <c r="H5" s="2624" t="s">
        <v>2642</v>
      </c>
      <c r="I5" s="2624" t="s">
        <v>127</v>
      </c>
      <c r="J5" s="2624" t="s">
        <v>2643</v>
      </c>
      <c r="K5" s="2624" t="s">
        <v>2644</v>
      </c>
      <c r="L5" s="2624" t="s">
        <v>2645</v>
      </c>
    </row>
    <row r="6" spans="1:16" ht="87">
      <c r="A6" s="2625" t="s">
        <v>2646</v>
      </c>
      <c r="B6" s="2626" t="s">
        <v>2647</v>
      </c>
      <c r="C6" s="2627" t="s">
        <v>2648</v>
      </c>
      <c r="D6" s="2627" t="s">
        <v>2649</v>
      </c>
      <c r="E6" s="2627" t="s">
        <v>2650</v>
      </c>
      <c r="F6" s="2627" t="s">
        <v>2651</v>
      </c>
      <c r="G6" s="2628" t="s">
        <v>2652</v>
      </c>
      <c r="H6" s="2629" t="s">
        <v>2653</v>
      </c>
      <c r="I6" s="2602"/>
      <c r="J6" s="2630" t="s">
        <v>2654</v>
      </c>
      <c r="K6" s="2625" t="s">
        <v>2655</v>
      </c>
      <c r="L6" s="2625" t="s">
        <v>2656</v>
      </c>
    </row>
    <row r="7" spans="1:16">
      <c r="A7" s="2625" t="s">
        <v>2657</v>
      </c>
      <c r="B7" s="2627">
        <v>75.84</v>
      </c>
      <c r="C7" s="2627">
        <v>216.67</v>
      </c>
      <c r="D7" s="2627">
        <v>84.5</v>
      </c>
      <c r="E7" s="2627">
        <v>78.215999999999994</v>
      </c>
      <c r="F7" s="2627">
        <f>1648*20%</f>
        <v>329.6</v>
      </c>
      <c r="G7" s="2631" t="s">
        <v>2658</v>
      </c>
      <c r="H7" s="2629" t="s">
        <v>2659</v>
      </c>
      <c r="I7" s="2602"/>
      <c r="J7" s="2630" t="s">
        <v>2660</v>
      </c>
      <c r="K7" s="2630" t="s">
        <v>2661</v>
      </c>
      <c r="L7" s="2630" t="s">
        <v>2662</v>
      </c>
    </row>
    <row r="8" spans="1:16" ht="72.5">
      <c r="A8" s="2625" t="s">
        <v>2663</v>
      </c>
      <c r="B8" s="2627" t="s">
        <v>2664</v>
      </c>
      <c r="C8" s="2627" t="s">
        <v>2665</v>
      </c>
      <c r="D8" s="2627" t="s">
        <v>2666</v>
      </c>
      <c r="E8" s="2627" t="s">
        <v>2667</v>
      </c>
      <c r="F8" s="2627" t="s">
        <v>2668</v>
      </c>
      <c r="G8" s="2631" t="s">
        <v>2669</v>
      </c>
      <c r="H8" s="2629" t="s">
        <v>2670</v>
      </c>
      <c r="I8" s="2602"/>
      <c r="J8" s="2625" t="s">
        <v>2671</v>
      </c>
      <c r="K8" s="2625" t="s">
        <v>2672</v>
      </c>
      <c r="L8" s="2625" t="s">
        <v>2673</v>
      </c>
    </row>
    <row r="9" spans="1:16" ht="29">
      <c r="A9" s="2625" t="s">
        <v>2674</v>
      </c>
      <c r="B9" s="2632">
        <v>42444</v>
      </c>
      <c r="C9" s="2632">
        <v>41696</v>
      </c>
      <c r="D9" s="2632" t="s">
        <v>2675</v>
      </c>
      <c r="E9" s="2632">
        <v>41657</v>
      </c>
      <c r="F9" s="2632">
        <v>39773</v>
      </c>
      <c r="G9" s="2633">
        <v>39301</v>
      </c>
      <c r="H9" s="2629" t="s">
        <v>2676</v>
      </c>
      <c r="I9" s="2602"/>
      <c r="J9" s="2634">
        <v>44333</v>
      </c>
      <c r="K9" s="2634">
        <v>44333</v>
      </c>
      <c r="L9" s="2634">
        <v>44333</v>
      </c>
    </row>
    <row r="10" spans="1:16" ht="29">
      <c r="A10" s="2625" t="s">
        <v>2677</v>
      </c>
      <c r="B10" s="2627">
        <v>25</v>
      </c>
      <c r="C10" s="2627">
        <v>25</v>
      </c>
      <c r="D10" s="2627">
        <v>25</v>
      </c>
      <c r="E10" s="2627">
        <v>25</v>
      </c>
      <c r="F10" s="2627">
        <v>25</v>
      </c>
      <c r="G10" s="2631" t="s">
        <v>2678</v>
      </c>
      <c r="H10" s="2629" t="s">
        <v>2679</v>
      </c>
      <c r="I10" s="2602"/>
      <c r="J10" s="2635" t="s">
        <v>2678</v>
      </c>
      <c r="K10" s="2635" t="s">
        <v>2678</v>
      </c>
      <c r="L10" s="2635" t="s">
        <v>2678</v>
      </c>
    </row>
    <row r="11" spans="1:16" ht="107.25" customHeight="1">
      <c r="A11" s="2625" t="s">
        <v>2680</v>
      </c>
      <c r="B11" s="2632">
        <v>42673</v>
      </c>
      <c r="C11" s="2632">
        <v>42673</v>
      </c>
      <c r="D11" s="2632">
        <v>42673</v>
      </c>
      <c r="E11" s="2632">
        <v>42673</v>
      </c>
      <c r="F11" s="2627" t="s">
        <v>2681</v>
      </c>
      <c r="G11" s="2631" t="s">
        <v>2682</v>
      </c>
      <c r="H11" s="2629" t="s">
        <v>2683</v>
      </c>
      <c r="I11" s="2602"/>
      <c r="J11" s="2625" t="s">
        <v>2684</v>
      </c>
      <c r="K11" s="2625" t="s">
        <v>2685</v>
      </c>
      <c r="L11" s="2625" t="s">
        <v>2685</v>
      </c>
    </row>
    <row r="12" spans="1:16" ht="101.5">
      <c r="A12" s="2625" t="s">
        <v>2686</v>
      </c>
      <c r="B12" s="2627" t="s">
        <v>1391</v>
      </c>
      <c r="C12" s="2627" t="s">
        <v>1391</v>
      </c>
      <c r="D12" s="2627" t="s">
        <v>1391</v>
      </c>
      <c r="E12" s="2627" t="s">
        <v>1391</v>
      </c>
      <c r="F12" s="2627" t="s">
        <v>2687</v>
      </c>
      <c r="G12" s="2631" t="s">
        <v>2688</v>
      </c>
      <c r="H12" s="2629" t="s">
        <v>2683</v>
      </c>
      <c r="I12" s="2602"/>
      <c r="J12" s="2636">
        <v>42794</v>
      </c>
      <c r="K12" s="2637" t="s">
        <v>2689</v>
      </c>
      <c r="L12" s="2637" t="s">
        <v>2689</v>
      </c>
    </row>
    <row r="13" spans="1:16" ht="43.5">
      <c r="A13" s="2625" t="s">
        <v>2690</v>
      </c>
      <c r="B13" s="2627" t="s">
        <v>2691</v>
      </c>
      <c r="C13" s="2627" t="s">
        <v>2691</v>
      </c>
      <c r="D13" s="2627" t="s">
        <v>2691</v>
      </c>
      <c r="E13" s="2627" t="s">
        <v>2691</v>
      </c>
      <c r="F13" s="2627" t="s">
        <v>2692</v>
      </c>
      <c r="G13" s="2631" t="s">
        <v>2693</v>
      </c>
      <c r="H13" s="2629" t="s">
        <v>2694</v>
      </c>
      <c r="I13" s="2602"/>
      <c r="J13" s="2625" t="s">
        <v>2695</v>
      </c>
      <c r="K13" s="2625" t="s">
        <v>2695</v>
      </c>
      <c r="L13" s="2625" t="s">
        <v>2695</v>
      </c>
    </row>
    <row r="14" spans="1:16">
      <c r="A14" s="2625" t="s">
        <v>2696</v>
      </c>
      <c r="B14" s="2627" t="s">
        <v>2697</v>
      </c>
      <c r="C14" s="2627" t="s">
        <v>2697</v>
      </c>
      <c r="D14" s="2627" t="s">
        <v>2697</v>
      </c>
      <c r="E14" s="2627" t="s">
        <v>2697</v>
      </c>
      <c r="F14" s="2627" t="s">
        <v>2697</v>
      </c>
      <c r="G14" s="2631" t="s">
        <v>2697</v>
      </c>
      <c r="H14" s="2629" t="s">
        <v>2697</v>
      </c>
      <c r="I14" s="2602"/>
      <c r="J14" s="2630" t="s">
        <v>2698</v>
      </c>
      <c r="K14" s="2630" t="s">
        <v>2698</v>
      </c>
      <c r="L14" s="2630" t="s">
        <v>2698</v>
      </c>
    </row>
    <row r="15" spans="1:16" ht="74.5">
      <c r="A15" s="2625" t="s">
        <v>2699</v>
      </c>
      <c r="B15" s="2627" t="s">
        <v>2700</v>
      </c>
      <c r="C15" s="2627" t="s">
        <v>2701</v>
      </c>
      <c r="D15" s="2627" t="s">
        <v>2701</v>
      </c>
      <c r="E15" s="2627" t="s">
        <v>2701</v>
      </c>
      <c r="F15" s="2627" t="s">
        <v>2702</v>
      </c>
      <c r="G15" s="2631" t="s">
        <v>2703</v>
      </c>
      <c r="H15" s="2629" t="s">
        <v>2704</v>
      </c>
      <c r="I15" s="2602"/>
      <c r="J15" s="2625" t="s">
        <v>2705</v>
      </c>
      <c r="K15" s="2625" t="s">
        <v>2705</v>
      </c>
      <c r="L15" s="2625" t="s">
        <v>2705</v>
      </c>
    </row>
    <row r="16" spans="1:16" ht="29">
      <c r="A16" s="2625" t="s">
        <v>2706</v>
      </c>
      <c r="B16" s="2638">
        <v>1248.1099999999999</v>
      </c>
      <c r="C16" s="2638">
        <v>3149.11</v>
      </c>
      <c r="D16" s="2638">
        <v>1096.3599999999999</v>
      </c>
      <c r="E16" s="2639">
        <v>1474.27</v>
      </c>
      <c r="F16" s="2639">
        <v>5002.38</v>
      </c>
      <c r="G16" s="2640">
        <v>2147.6999999999998</v>
      </c>
      <c r="H16" s="2641">
        <v>3593.15</v>
      </c>
      <c r="I16" s="2642" t="s">
        <v>2707</v>
      </c>
      <c r="J16" s="2625" t="s">
        <v>1594</v>
      </c>
      <c r="K16" s="2630" t="s">
        <v>1594</v>
      </c>
      <c r="L16" s="2630" t="s">
        <v>1594</v>
      </c>
    </row>
    <row r="17" spans="1:12" ht="323.25" customHeight="1">
      <c r="A17" s="2625" t="s">
        <v>2708</v>
      </c>
      <c r="B17" s="2627">
        <v>85</v>
      </c>
      <c r="C17" s="2627">
        <v>85</v>
      </c>
      <c r="D17" s="2627">
        <v>85</v>
      </c>
      <c r="E17" s="2627">
        <v>85</v>
      </c>
      <c r="F17" s="2627">
        <v>80</v>
      </c>
      <c r="G17" s="2631" t="s">
        <v>2709</v>
      </c>
      <c r="H17" s="2643">
        <v>0.8</v>
      </c>
      <c r="I17" s="2602"/>
      <c r="J17" s="2625" t="s">
        <v>2710</v>
      </c>
      <c r="K17" s="2625" t="s">
        <v>2710</v>
      </c>
      <c r="L17" s="2625" t="s">
        <v>2710</v>
      </c>
    </row>
    <row r="18" spans="1:12" ht="29">
      <c r="A18" s="2625" t="s">
        <v>2711</v>
      </c>
      <c r="B18" s="2627">
        <v>73.8</v>
      </c>
      <c r="C18" s="2627">
        <v>66.819999999999993</v>
      </c>
      <c r="D18" s="2627">
        <v>57.367400000000004</v>
      </c>
      <c r="E18" s="2644">
        <v>92.085030000000003</v>
      </c>
      <c r="F18" s="2644">
        <v>64.602999999999994</v>
      </c>
      <c r="G18" s="2645">
        <v>91.14</v>
      </c>
      <c r="H18" s="2642">
        <v>87.4</v>
      </c>
      <c r="I18" s="2642" t="s">
        <v>2712</v>
      </c>
      <c r="J18" s="2630" t="s">
        <v>1594</v>
      </c>
      <c r="K18" s="2630" t="s">
        <v>1594</v>
      </c>
      <c r="L18" s="2630" t="s">
        <v>1594</v>
      </c>
    </row>
    <row r="19" spans="1:12" ht="29">
      <c r="A19" s="2625" t="s">
        <v>2713</v>
      </c>
      <c r="B19" s="2627">
        <v>5.0880000000000001</v>
      </c>
      <c r="C19" s="2627">
        <v>5.5880000000000001</v>
      </c>
      <c r="D19" s="2627">
        <v>4.8860000000000001</v>
      </c>
      <c r="E19" s="2627">
        <v>5.73</v>
      </c>
      <c r="F19" s="2627">
        <v>3.02</v>
      </c>
      <c r="G19" s="2631" t="s">
        <v>2714</v>
      </c>
      <c r="H19" s="2629">
        <v>0.88</v>
      </c>
      <c r="I19" s="2602"/>
      <c r="J19" s="2630">
        <v>5.41</v>
      </c>
      <c r="K19" s="2630">
        <v>5.4089999999999998</v>
      </c>
      <c r="L19" s="2630">
        <v>5.41</v>
      </c>
    </row>
    <row r="20" spans="1:12" ht="58">
      <c r="A20" s="2646" t="s">
        <v>2715</v>
      </c>
      <c r="B20" s="2647">
        <v>2.411</v>
      </c>
      <c r="C20" s="2647">
        <v>2</v>
      </c>
      <c r="D20" s="2647">
        <v>1.8280000000000001</v>
      </c>
      <c r="E20" s="2647">
        <v>2.7109999999999999</v>
      </c>
      <c r="F20" s="2627">
        <v>1.026</v>
      </c>
      <c r="G20" s="2631">
        <v>0.122</v>
      </c>
      <c r="H20" s="2629"/>
      <c r="I20" s="2642" t="s">
        <v>2716</v>
      </c>
      <c r="J20" s="2630">
        <v>2.2999999999999998</v>
      </c>
      <c r="K20" s="2630">
        <v>2.3130000000000002</v>
      </c>
      <c r="L20" s="2630">
        <v>2.2999999999999998</v>
      </c>
    </row>
    <row r="21" spans="1:12" ht="29">
      <c r="A21" s="2625" t="s">
        <v>2717</v>
      </c>
      <c r="B21" s="2627">
        <v>0.40100000000000002</v>
      </c>
      <c r="C21" s="2627">
        <v>0</v>
      </c>
      <c r="D21" s="2627">
        <v>0.20799999999999999</v>
      </c>
      <c r="E21" s="2627">
        <v>0.23599999999999999</v>
      </c>
      <c r="F21" s="2627">
        <v>0.16600000000000001</v>
      </c>
      <c r="G21" s="2631">
        <v>1E-3</v>
      </c>
      <c r="H21" s="2629">
        <v>0.01</v>
      </c>
      <c r="I21" s="2642"/>
      <c r="J21" s="2630" t="s">
        <v>1594</v>
      </c>
      <c r="K21" s="2630" t="s">
        <v>1594</v>
      </c>
      <c r="L21" s="2630" t="s">
        <v>1594</v>
      </c>
    </row>
    <row r="22" spans="1:12" ht="29">
      <c r="A22" s="2625" t="s">
        <v>2718</v>
      </c>
      <c r="B22" s="2627">
        <v>2.0099999999999998</v>
      </c>
      <c r="C22" s="2627">
        <v>2</v>
      </c>
      <c r="D22" s="2627">
        <v>1.62</v>
      </c>
      <c r="E22" s="2627">
        <v>2.4750000000000001</v>
      </c>
      <c r="F22" s="2627">
        <v>0.86</v>
      </c>
      <c r="G22" s="2631">
        <v>0.121</v>
      </c>
      <c r="H22" s="2629" t="s">
        <v>2719</v>
      </c>
      <c r="I22" s="2642"/>
      <c r="J22" s="2630" t="s">
        <v>1594</v>
      </c>
      <c r="K22" s="2630" t="s">
        <v>1594</v>
      </c>
      <c r="L22" s="2630" t="s">
        <v>1594</v>
      </c>
    </row>
    <row r="23" spans="1:12" ht="87">
      <c r="A23" s="2646" t="s">
        <v>2720</v>
      </c>
      <c r="B23" s="2647">
        <v>1.165</v>
      </c>
      <c r="C23" s="2647">
        <v>2.0609999999999999</v>
      </c>
      <c r="D23" s="2647">
        <v>1.0780000000000001</v>
      </c>
      <c r="E23" s="2647">
        <v>1.2310000000000001</v>
      </c>
      <c r="F23" s="2627" t="s">
        <v>2721</v>
      </c>
      <c r="G23" s="2631">
        <v>0.57599999999999996</v>
      </c>
      <c r="H23" s="2629" t="s">
        <v>2722</v>
      </c>
      <c r="I23" s="2642" t="s">
        <v>2723</v>
      </c>
      <c r="J23" s="2630">
        <v>2.2999999999999998</v>
      </c>
      <c r="K23" s="2630">
        <v>2.3130000000000002</v>
      </c>
      <c r="L23" s="2630">
        <v>2.2999999999999998</v>
      </c>
    </row>
    <row r="24" spans="1:12" ht="29">
      <c r="A24" s="2625" t="s">
        <v>2724</v>
      </c>
      <c r="B24" s="2627">
        <v>1.002</v>
      </c>
      <c r="C24" s="2627">
        <v>0.23799999999999999</v>
      </c>
      <c r="D24" s="2627">
        <v>0.99</v>
      </c>
      <c r="E24" s="2627">
        <v>0.96199999999999997</v>
      </c>
      <c r="F24" s="2644" t="s">
        <v>1391</v>
      </c>
      <c r="G24" s="2631">
        <v>1E-3</v>
      </c>
      <c r="H24" s="2629" t="s">
        <v>1391</v>
      </c>
      <c r="I24" s="2602"/>
      <c r="J24" s="2630" t="s">
        <v>1594</v>
      </c>
      <c r="K24" s="2630" t="s">
        <v>1594</v>
      </c>
      <c r="L24" s="2630" t="s">
        <v>1594</v>
      </c>
    </row>
    <row r="25" spans="1:12" ht="29">
      <c r="A25" s="2625" t="s">
        <v>2725</v>
      </c>
      <c r="B25" s="2627" t="s">
        <v>1391</v>
      </c>
      <c r="C25" s="2627" t="s">
        <v>1391</v>
      </c>
      <c r="D25" s="2627" t="s">
        <v>1391</v>
      </c>
      <c r="E25" s="2627" t="s">
        <v>1391</v>
      </c>
      <c r="F25" s="2627" t="s">
        <v>1391</v>
      </c>
      <c r="G25" s="2631"/>
      <c r="H25" s="2629" t="s">
        <v>1391</v>
      </c>
      <c r="I25" s="2602"/>
      <c r="J25" s="2630" t="s">
        <v>1594</v>
      </c>
      <c r="K25" s="2630" t="s">
        <v>1594</v>
      </c>
      <c r="L25" s="2630" t="s">
        <v>1594</v>
      </c>
    </row>
    <row r="26" spans="1:12" ht="29">
      <c r="A26" s="2625" t="s">
        <v>2726</v>
      </c>
      <c r="B26" s="2627">
        <v>0</v>
      </c>
      <c r="C26" s="2627">
        <v>1.548</v>
      </c>
      <c r="D26" s="2627">
        <v>0</v>
      </c>
      <c r="E26" s="2627">
        <v>0</v>
      </c>
      <c r="F26" s="2644" t="s">
        <v>1391</v>
      </c>
      <c r="G26" s="2631">
        <v>0.57499999999999996</v>
      </c>
      <c r="H26" s="2629" t="s">
        <v>1391</v>
      </c>
      <c r="I26" s="2602"/>
      <c r="J26" s="2630" t="s">
        <v>1594</v>
      </c>
      <c r="K26" s="2630" t="s">
        <v>1594</v>
      </c>
      <c r="L26" s="2630" t="s">
        <v>1594</v>
      </c>
    </row>
    <row r="27" spans="1:12" ht="29">
      <c r="A27" s="2625" t="s">
        <v>2727</v>
      </c>
      <c r="B27" s="2627" t="s">
        <v>1391</v>
      </c>
      <c r="C27" s="2627" t="s">
        <v>1391</v>
      </c>
      <c r="D27" s="2627" t="s">
        <v>1391</v>
      </c>
      <c r="E27" s="2627" t="s">
        <v>1391</v>
      </c>
      <c r="F27" s="2627" t="s">
        <v>1391</v>
      </c>
      <c r="G27" s="2631"/>
      <c r="H27" s="2629" t="s">
        <v>1391</v>
      </c>
      <c r="I27" s="2602"/>
      <c r="J27" s="2630" t="s">
        <v>1594</v>
      </c>
      <c r="K27" s="2630" t="s">
        <v>1594</v>
      </c>
      <c r="L27" s="2630" t="s">
        <v>1594</v>
      </c>
    </row>
    <row r="28" spans="1:12" ht="29">
      <c r="A28" s="2625" t="s">
        <v>2728</v>
      </c>
      <c r="B28" s="2627">
        <v>0</v>
      </c>
      <c r="C28" s="2627">
        <v>0</v>
      </c>
      <c r="D28" s="2627">
        <v>0</v>
      </c>
      <c r="E28" s="2627">
        <v>0</v>
      </c>
      <c r="F28" s="2644" t="s">
        <v>1391</v>
      </c>
      <c r="G28" s="2631"/>
      <c r="H28" s="2629" t="s">
        <v>1391</v>
      </c>
      <c r="I28" s="2602"/>
      <c r="J28" s="2630" t="s">
        <v>1594</v>
      </c>
      <c r="K28" s="2630" t="s">
        <v>1594</v>
      </c>
      <c r="L28" s="2630" t="s">
        <v>1594</v>
      </c>
    </row>
    <row r="29" spans="1:12" ht="29">
      <c r="A29" s="2625" t="s">
        <v>2729</v>
      </c>
      <c r="B29" s="2627" t="s">
        <v>1391</v>
      </c>
      <c r="C29" s="2627" t="s">
        <v>1391</v>
      </c>
      <c r="D29" s="2627" t="s">
        <v>1391</v>
      </c>
      <c r="E29" s="2627" t="s">
        <v>1391</v>
      </c>
      <c r="F29" s="2627" t="s">
        <v>1391</v>
      </c>
      <c r="G29" s="2631"/>
      <c r="H29" s="2629" t="s">
        <v>1391</v>
      </c>
      <c r="I29" s="2602"/>
      <c r="J29" s="2630" t="s">
        <v>1594</v>
      </c>
      <c r="K29" s="2630" t="s">
        <v>1594</v>
      </c>
      <c r="L29" s="2630" t="s">
        <v>1594</v>
      </c>
    </row>
    <row r="30" spans="1:12" ht="29">
      <c r="A30" s="2625" t="s">
        <v>2730</v>
      </c>
      <c r="B30" s="2627">
        <v>0</v>
      </c>
      <c r="C30" s="2627">
        <v>0</v>
      </c>
      <c r="D30" s="2627">
        <v>0</v>
      </c>
      <c r="E30" s="2627">
        <v>0</v>
      </c>
      <c r="F30" s="2644" t="s">
        <v>1391</v>
      </c>
      <c r="G30" s="2631"/>
      <c r="H30" s="2629" t="s">
        <v>1391</v>
      </c>
      <c r="I30" s="2602"/>
      <c r="J30" s="2630" t="s">
        <v>1594</v>
      </c>
      <c r="K30" s="2630" t="s">
        <v>1594</v>
      </c>
      <c r="L30" s="2630" t="s">
        <v>1594</v>
      </c>
    </row>
    <row r="31" spans="1:12" ht="29">
      <c r="A31" s="2625" t="s">
        <v>2731</v>
      </c>
      <c r="B31" s="2627" t="s">
        <v>1391</v>
      </c>
      <c r="C31" s="2627" t="s">
        <v>1391</v>
      </c>
      <c r="D31" s="2627" t="s">
        <v>1391</v>
      </c>
      <c r="E31" s="2627" t="s">
        <v>1391</v>
      </c>
      <c r="F31" s="2627" t="s">
        <v>1391</v>
      </c>
      <c r="G31" s="2631"/>
      <c r="H31" s="2629" t="s">
        <v>1391</v>
      </c>
      <c r="I31" s="2602"/>
      <c r="J31" s="2630" t="s">
        <v>1594</v>
      </c>
      <c r="K31" s="2630" t="s">
        <v>1594</v>
      </c>
      <c r="L31" s="2630" t="s">
        <v>1594</v>
      </c>
    </row>
    <row r="32" spans="1:12" ht="29">
      <c r="A32" s="2625" t="s">
        <v>2732</v>
      </c>
      <c r="B32" s="2627">
        <v>0.16300000000000001</v>
      </c>
      <c r="C32" s="2627">
        <v>0.27500000000000002</v>
      </c>
      <c r="D32" s="2627">
        <v>8.7999999999999995E-2</v>
      </c>
      <c r="E32" s="2627">
        <v>0.26900000000000002</v>
      </c>
      <c r="F32" s="2644" t="s">
        <v>1391</v>
      </c>
      <c r="G32" s="2631"/>
      <c r="H32" s="2629" t="s">
        <v>1391</v>
      </c>
      <c r="I32" s="2602"/>
      <c r="J32" s="2630" t="s">
        <v>1594</v>
      </c>
      <c r="K32" s="2630" t="s">
        <v>1594</v>
      </c>
      <c r="L32" s="2630" t="s">
        <v>1594</v>
      </c>
    </row>
    <row r="33" spans="1:12" ht="29">
      <c r="A33" s="2625" t="s">
        <v>2733</v>
      </c>
      <c r="B33" s="2627" t="s">
        <v>1391</v>
      </c>
      <c r="C33" s="2627" t="s">
        <v>1391</v>
      </c>
      <c r="D33" s="2627" t="s">
        <v>1391</v>
      </c>
      <c r="E33" s="2627" t="s">
        <v>1391</v>
      </c>
      <c r="F33" s="2627" t="s">
        <v>1391</v>
      </c>
      <c r="G33" s="2631"/>
      <c r="H33" s="2629" t="s">
        <v>1391</v>
      </c>
      <c r="I33" s="2602"/>
      <c r="J33" s="2630" t="s">
        <v>1594</v>
      </c>
      <c r="K33" s="2630" t="s">
        <v>1594</v>
      </c>
      <c r="L33" s="2630" t="s">
        <v>1594</v>
      </c>
    </row>
    <row r="34" spans="1:12" ht="29">
      <c r="A34" s="2625" t="s">
        <v>2734</v>
      </c>
      <c r="B34" s="2627">
        <v>0</v>
      </c>
      <c r="C34" s="2627">
        <v>0</v>
      </c>
      <c r="D34" s="2627">
        <v>0</v>
      </c>
      <c r="E34" s="2627">
        <v>0</v>
      </c>
      <c r="F34" s="2644" t="s">
        <v>1391</v>
      </c>
      <c r="G34" s="2631"/>
      <c r="H34" s="2629" t="s">
        <v>1391</v>
      </c>
      <c r="I34" s="2602"/>
      <c r="J34" s="2630" t="s">
        <v>1594</v>
      </c>
      <c r="K34" s="2630" t="s">
        <v>1594</v>
      </c>
      <c r="L34" s="2630" t="s">
        <v>1594</v>
      </c>
    </row>
    <row r="35" spans="1:12" ht="29">
      <c r="A35" s="2625" t="s">
        <v>2735</v>
      </c>
      <c r="B35" s="2627" t="s">
        <v>1391</v>
      </c>
      <c r="C35" s="2627" t="s">
        <v>1391</v>
      </c>
      <c r="D35" s="2627" t="s">
        <v>1391</v>
      </c>
      <c r="E35" s="2627" t="s">
        <v>1391</v>
      </c>
      <c r="F35" s="2627" t="s">
        <v>1391</v>
      </c>
      <c r="G35" s="2631"/>
      <c r="H35" s="2629" t="s">
        <v>1391</v>
      </c>
      <c r="I35" s="2602"/>
      <c r="J35" s="2630" t="s">
        <v>1594</v>
      </c>
      <c r="K35" s="2630" t="s">
        <v>1594</v>
      </c>
      <c r="L35" s="2630" t="s">
        <v>1594</v>
      </c>
    </row>
    <row r="36" spans="1:12">
      <c r="A36" s="2646" t="s">
        <v>2736</v>
      </c>
      <c r="B36" s="2627">
        <v>0.66</v>
      </c>
      <c r="C36" s="2627">
        <v>0.68</v>
      </c>
      <c r="D36" s="2627">
        <v>0.65</v>
      </c>
      <c r="E36" s="2627">
        <v>0.59</v>
      </c>
      <c r="F36" s="2627" t="s">
        <v>1391</v>
      </c>
      <c r="G36" s="2631"/>
      <c r="H36" s="2629" t="s">
        <v>2737</v>
      </c>
      <c r="I36" s="2602"/>
      <c r="J36" s="2630">
        <v>0.97</v>
      </c>
      <c r="K36" s="2630">
        <v>0.94399999999999995</v>
      </c>
      <c r="L36" s="2630">
        <v>0.97</v>
      </c>
    </row>
    <row r="37" spans="1:12">
      <c r="A37" s="2625" t="s">
        <v>2738</v>
      </c>
      <c r="B37" s="2627" t="s">
        <v>1391</v>
      </c>
      <c r="C37" s="2627" t="s">
        <v>1391</v>
      </c>
      <c r="D37" s="2627" t="s">
        <v>1391</v>
      </c>
      <c r="E37" s="2627" t="s">
        <v>1391</v>
      </c>
      <c r="F37" s="2627" t="s">
        <v>1391</v>
      </c>
      <c r="G37" s="2631"/>
      <c r="H37" s="2629" t="s">
        <v>1391</v>
      </c>
      <c r="I37" s="2602"/>
      <c r="J37" s="2630" t="s">
        <v>1594</v>
      </c>
      <c r="K37" s="2630" t="s">
        <v>1594</v>
      </c>
      <c r="L37" s="2630" t="s">
        <v>1594</v>
      </c>
    </row>
    <row r="38" spans="1:12">
      <c r="A38" s="2625" t="s">
        <v>2739</v>
      </c>
      <c r="B38" s="2627" t="s">
        <v>1391</v>
      </c>
      <c r="C38" s="2627" t="s">
        <v>1391</v>
      </c>
      <c r="D38" s="2627" t="s">
        <v>1391</v>
      </c>
      <c r="E38" s="2627" t="s">
        <v>1391</v>
      </c>
      <c r="F38" s="2627" t="s">
        <v>1391</v>
      </c>
      <c r="G38" s="2631"/>
      <c r="H38" s="2629" t="s">
        <v>1391</v>
      </c>
      <c r="I38" s="2602"/>
      <c r="J38" s="2630" t="s">
        <v>1594</v>
      </c>
      <c r="K38" s="2630" t="s">
        <v>1594</v>
      </c>
      <c r="L38" s="2630" t="s">
        <v>1594</v>
      </c>
    </row>
    <row r="39" spans="1:12" ht="43.5">
      <c r="A39" s="2625" t="s">
        <v>2740</v>
      </c>
      <c r="B39" s="2627">
        <v>4.3041</v>
      </c>
      <c r="C39" s="2627">
        <v>4.4730999999999996</v>
      </c>
      <c r="D39" s="2627">
        <v>3.3689999999999998</v>
      </c>
      <c r="E39" s="2644">
        <v>4.4047000000000001</v>
      </c>
      <c r="F39" s="2644">
        <v>3.5660000000000003</v>
      </c>
      <c r="G39" s="2645">
        <v>1.3201000000000001</v>
      </c>
      <c r="H39" s="2642">
        <v>2.81</v>
      </c>
      <c r="I39" s="2642" t="s">
        <v>2741</v>
      </c>
      <c r="J39" s="2630">
        <v>5.57</v>
      </c>
      <c r="K39" s="2630">
        <v>5.57</v>
      </c>
      <c r="L39" s="2630">
        <v>5.57</v>
      </c>
    </row>
    <row r="40" spans="1:12" ht="87">
      <c r="A40" s="2625" t="s">
        <v>2742</v>
      </c>
      <c r="B40" s="2627"/>
      <c r="C40" s="2627"/>
      <c r="D40" s="2627"/>
      <c r="E40" s="2644"/>
      <c r="F40" s="2644"/>
      <c r="G40" s="2645"/>
      <c r="H40" s="2629" t="s">
        <v>2743</v>
      </c>
      <c r="I40" s="2602"/>
      <c r="J40" s="2630" t="s">
        <v>1594</v>
      </c>
      <c r="K40" s="2630" t="s">
        <v>1594</v>
      </c>
      <c r="L40" s="2630" t="s">
        <v>1594</v>
      </c>
    </row>
    <row r="41" spans="1:12" ht="43.5">
      <c r="A41" s="2625" t="s">
        <v>2744</v>
      </c>
      <c r="B41" s="2627"/>
      <c r="C41" s="2627"/>
      <c r="D41" s="2627"/>
      <c r="E41" s="2644"/>
      <c r="F41" s="2644"/>
      <c r="G41" s="2645"/>
      <c r="H41" s="2629" t="s">
        <v>2745</v>
      </c>
      <c r="I41" s="2602"/>
      <c r="J41" s="2630" t="s">
        <v>1594</v>
      </c>
      <c r="K41" s="2630" t="s">
        <v>1594</v>
      </c>
      <c r="L41" s="2630" t="s">
        <v>1594</v>
      </c>
    </row>
    <row r="42" spans="1:12">
      <c r="A42" s="2625" t="s">
        <v>2746</v>
      </c>
      <c r="B42" s="2627"/>
      <c r="C42" s="2627"/>
      <c r="D42" s="2627"/>
      <c r="E42" s="2644"/>
      <c r="F42" s="2644"/>
      <c r="G42" s="2645"/>
      <c r="H42" s="2629"/>
      <c r="I42" s="2602"/>
      <c r="J42" s="2630" t="s">
        <v>1594</v>
      </c>
      <c r="K42" s="2630" t="s">
        <v>1594</v>
      </c>
      <c r="L42" s="2630" t="s">
        <v>1594</v>
      </c>
    </row>
    <row r="43" spans="1:12" ht="29">
      <c r="A43" s="2625" t="s">
        <v>2747</v>
      </c>
      <c r="B43" s="2627">
        <v>541.95000000000005</v>
      </c>
      <c r="C43" s="2627">
        <v>1481.18</v>
      </c>
      <c r="D43" s="2627">
        <v>395.43</v>
      </c>
      <c r="E43" s="2644">
        <v>711.85</v>
      </c>
      <c r="F43" s="2644">
        <v>1800.12</v>
      </c>
      <c r="G43" s="2645">
        <v>324.42</v>
      </c>
      <c r="H43" s="2642" t="s">
        <v>2748</v>
      </c>
      <c r="I43" s="2642" t="s">
        <v>2749</v>
      </c>
      <c r="J43" s="2630" t="s">
        <v>1594</v>
      </c>
      <c r="K43" s="2630" t="s">
        <v>1594</v>
      </c>
      <c r="L43" s="2630" t="s">
        <v>1594</v>
      </c>
    </row>
  </sheetData>
  <mergeCells count="2">
    <mergeCell ref="A1:B1"/>
    <mergeCell ref="A2:M2"/>
  </mergeCells>
  <pageMargins left="0.70866141732283472" right="0.70866141732283472" top="0.74803149606299213" bottom="0.74803149606299213" header="0.31496062992125984" footer="0.31496062992125984"/>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view="pageBreakPreview" topLeftCell="A26" zoomScale="112" zoomScaleSheetLayoutView="112" workbookViewId="0">
      <selection activeCell="C105" sqref="C105"/>
    </sheetView>
  </sheetViews>
  <sheetFormatPr defaultColWidth="9.1796875" defaultRowHeight="18" customHeight="1"/>
  <cols>
    <col min="1" max="1" width="13.54296875" style="278" bestFit="1" customWidth="1"/>
    <col min="2" max="2" width="42.7265625" style="277" customWidth="1"/>
    <col min="3" max="3" width="15.26953125" style="265" customWidth="1"/>
    <col min="4" max="4" width="15" style="266" customWidth="1"/>
    <col min="5" max="16384" width="9.1796875" style="278"/>
  </cols>
  <sheetData>
    <row r="1" spans="1:4" ht="18" customHeight="1">
      <c r="A1" s="264" t="s">
        <v>221</v>
      </c>
    </row>
    <row r="2" spans="1:4" ht="10.5" customHeight="1">
      <c r="A2" s="2993" t="str">
        <f>'S1'!A2:C2</f>
        <v>Name of Distribution Licensee: PUVVNL</v>
      </c>
      <c r="B2" s="2993"/>
      <c r="C2" s="2993"/>
    </row>
    <row r="3" spans="1:4" ht="18" customHeight="1">
      <c r="A3" s="304" t="s">
        <v>191</v>
      </c>
      <c r="B3" s="304"/>
      <c r="C3" s="304"/>
      <c r="D3" s="221"/>
    </row>
    <row r="4" spans="1:4" ht="12" customHeight="1">
      <c r="A4" s="229"/>
      <c r="B4" s="192"/>
      <c r="C4" s="57"/>
      <c r="D4" s="227" t="s">
        <v>141</v>
      </c>
    </row>
    <row r="5" spans="1:4" ht="18" customHeight="1">
      <c r="A5" s="2990" t="s">
        <v>106</v>
      </c>
      <c r="B5" s="2994" t="s">
        <v>14</v>
      </c>
      <c r="C5" s="226" t="s">
        <v>729</v>
      </c>
      <c r="D5" s="226" t="s">
        <v>728</v>
      </c>
    </row>
    <row r="6" spans="1:4" ht="18" customHeight="1">
      <c r="A6" s="2990"/>
      <c r="B6" s="2994"/>
      <c r="C6" s="646" t="s">
        <v>551</v>
      </c>
      <c r="D6" s="646" t="s">
        <v>545</v>
      </c>
    </row>
    <row r="7" spans="1:4" ht="18" customHeight="1">
      <c r="A7" s="2996" t="s">
        <v>576</v>
      </c>
      <c r="B7" s="2997"/>
      <c r="C7" s="288"/>
      <c r="D7" s="289"/>
    </row>
    <row r="8" spans="1:4" ht="18" customHeight="1">
      <c r="A8" s="279" t="s">
        <v>577</v>
      </c>
      <c r="B8" s="90" t="s">
        <v>578</v>
      </c>
      <c r="C8" s="1341">
        <v>17942.973699999999</v>
      </c>
      <c r="D8" s="1341">
        <v>18608.212434769001</v>
      </c>
    </row>
    <row r="9" spans="1:4" ht="18" customHeight="1">
      <c r="A9" s="280"/>
      <c r="B9" s="157" t="s">
        <v>579</v>
      </c>
      <c r="C9" s="937">
        <v>15329.354299999999</v>
      </c>
      <c r="D9" s="937">
        <v>16089.1393825</v>
      </c>
    </row>
    <row r="10" spans="1:4" ht="18" customHeight="1">
      <c r="A10" s="280"/>
      <c r="B10" s="157" t="s">
        <v>580</v>
      </c>
      <c r="C10" s="937">
        <v>2613.6194</v>
      </c>
      <c r="D10" s="937">
        <v>2519.0730522690001</v>
      </c>
    </row>
    <row r="11" spans="1:4" ht="14.5">
      <c r="A11" s="280"/>
      <c r="B11" s="157" t="s">
        <v>581</v>
      </c>
      <c r="C11" s="937"/>
      <c r="D11" s="738"/>
    </row>
    <row r="12" spans="1:4" ht="14.5">
      <c r="A12" s="280"/>
      <c r="B12" s="157" t="s">
        <v>582</v>
      </c>
      <c r="C12" s="937"/>
      <c r="D12" s="738"/>
    </row>
    <row r="13" spans="1:4" ht="18" customHeight="1">
      <c r="A13" s="280"/>
      <c r="B13" s="157" t="s">
        <v>618</v>
      </c>
      <c r="C13" s="937"/>
      <c r="D13" s="738"/>
    </row>
    <row r="14" spans="1:4" ht="18" customHeight="1">
      <c r="A14" s="280"/>
      <c r="B14" s="157" t="s">
        <v>583</v>
      </c>
      <c r="C14" s="937"/>
      <c r="D14" s="738"/>
    </row>
    <row r="15" spans="1:4" ht="14.25" customHeight="1">
      <c r="A15" s="280"/>
      <c r="B15" s="281" t="s">
        <v>584</v>
      </c>
      <c r="C15" s="937"/>
      <c r="D15" s="738"/>
    </row>
    <row r="16" spans="1:4" ht="18" customHeight="1">
      <c r="A16" s="280"/>
      <c r="B16" s="157" t="s">
        <v>585</v>
      </c>
      <c r="C16" s="937"/>
      <c r="D16" s="738"/>
    </row>
    <row r="17" spans="1:4" ht="18" customHeight="1">
      <c r="A17" s="280"/>
      <c r="B17" s="157" t="s">
        <v>586</v>
      </c>
      <c r="C17" s="937"/>
      <c r="D17" s="738"/>
    </row>
    <row r="18" spans="1:4" ht="18" customHeight="1">
      <c r="A18" s="280"/>
      <c r="B18" s="157" t="s">
        <v>587</v>
      </c>
      <c r="C18" s="937"/>
      <c r="D18" s="1333"/>
    </row>
    <row r="19" spans="1:4" ht="14.5">
      <c r="A19" s="280"/>
      <c r="B19" s="157" t="s">
        <v>588</v>
      </c>
      <c r="C19" s="933"/>
      <c r="D19" s="739"/>
    </row>
    <row r="20" spans="1:4" ht="14.5">
      <c r="A20" s="280"/>
      <c r="B20" s="157" t="s">
        <v>589</v>
      </c>
      <c r="C20" s="933"/>
      <c r="D20" s="740"/>
    </row>
    <row r="21" spans="1:4" ht="14.5">
      <c r="A21" s="280"/>
      <c r="B21" s="157" t="s">
        <v>590</v>
      </c>
      <c r="C21" s="933"/>
      <c r="D21" s="740"/>
    </row>
    <row r="22" spans="1:4" ht="18" customHeight="1">
      <c r="A22" s="280"/>
      <c r="B22" s="157" t="s">
        <v>617</v>
      </c>
      <c r="C22" s="933"/>
      <c r="D22" s="740"/>
    </row>
    <row r="23" spans="1:4" ht="11.5" customHeight="1">
      <c r="A23" s="282"/>
      <c r="B23" s="143"/>
      <c r="C23" s="933"/>
      <c r="D23" s="740"/>
    </row>
    <row r="24" spans="1:4" ht="18" customHeight="1">
      <c r="A24" s="279" t="s">
        <v>591</v>
      </c>
      <c r="B24" s="90" t="s">
        <v>592</v>
      </c>
      <c r="C24" s="937">
        <v>31857.779800000004</v>
      </c>
      <c r="D24" s="937">
        <v>41400.715971600002</v>
      </c>
    </row>
    <row r="25" spans="1:4" ht="18" customHeight="1">
      <c r="A25" s="280"/>
      <c r="B25" s="157" t="s">
        <v>593</v>
      </c>
      <c r="C25" s="937">
        <v>835.8048</v>
      </c>
      <c r="D25" s="937">
        <v>727.80283640000005</v>
      </c>
    </row>
    <row r="26" spans="1:4" ht="14.5">
      <c r="A26" s="280"/>
      <c r="B26" s="157" t="s">
        <v>594</v>
      </c>
      <c r="C26" s="938"/>
      <c r="D26" s="737"/>
    </row>
    <row r="27" spans="1:4" ht="14.5">
      <c r="A27" s="280"/>
      <c r="B27" s="157" t="s">
        <v>586</v>
      </c>
      <c r="C27" s="938"/>
      <c r="D27" s="737"/>
    </row>
    <row r="28" spans="1:4" ht="14.5">
      <c r="A28" s="280"/>
      <c r="B28" s="157" t="s">
        <v>595</v>
      </c>
      <c r="C28" s="937">
        <v>27225.551600000003</v>
      </c>
      <c r="D28" s="937">
        <v>29050.8688831</v>
      </c>
    </row>
    <row r="29" spans="1:4" ht="18" customHeight="1">
      <c r="A29" s="280"/>
      <c r="B29" s="157" t="s">
        <v>596</v>
      </c>
      <c r="C29" s="937">
        <v>913.39660000000003</v>
      </c>
      <c r="D29" s="937">
        <v>803.4280569</v>
      </c>
    </row>
    <row r="30" spans="1:4" ht="29">
      <c r="A30" s="280"/>
      <c r="B30" s="281" t="s">
        <v>597</v>
      </c>
      <c r="C30" s="937">
        <v>0.71</v>
      </c>
      <c r="D30" s="937">
        <v>0.67788139999999997</v>
      </c>
    </row>
    <row r="31" spans="1:4" ht="14.5">
      <c r="A31" s="280"/>
      <c r="B31" s="157" t="s">
        <v>598</v>
      </c>
      <c r="C31" s="937">
        <v>1494.0081</v>
      </c>
      <c r="D31" s="937">
        <v>0</v>
      </c>
    </row>
    <row r="32" spans="1:4" ht="14.5">
      <c r="A32" s="280"/>
      <c r="B32" s="157" t="s">
        <v>599</v>
      </c>
      <c r="C32" s="937">
        <v>0</v>
      </c>
      <c r="D32" s="937">
        <v>9547.4552304000008</v>
      </c>
    </row>
    <row r="33" spans="1:4" ht="14.5">
      <c r="A33" s="283"/>
      <c r="B33" s="284" t="s">
        <v>600</v>
      </c>
      <c r="C33" s="937">
        <v>0</v>
      </c>
      <c r="D33" s="937">
        <v>0</v>
      </c>
    </row>
    <row r="34" spans="1:4" ht="14.5">
      <c r="A34" s="280"/>
      <c r="B34" s="157" t="s">
        <v>619</v>
      </c>
      <c r="C34" s="937">
        <v>1388.3087</v>
      </c>
      <c r="D34" s="937">
        <v>1270.4830833999999</v>
      </c>
    </row>
    <row r="35" spans="1:4" ht="14.5">
      <c r="A35" s="280"/>
      <c r="B35" s="287"/>
      <c r="C35" s="937">
        <v>0</v>
      </c>
      <c r="D35" s="937">
        <v>0</v>
      </c>
    </row>
    <row r="36" spans="1:4" ht="14.5">
      <c r="A36" s="2995" t="s">
        <v>626</v>
      </c>
      <c r="B36" s="2995"/>
      <c r="C36" s="937">
        <v>49800.753500000006</v>
      </c>
      <c r="D36" s="937">
        <v>60008.928406368999</v>
      </c>
    </row>
    <row r="37" spans="1:4" ht="14.5">
      <c r="A37" s="235"/>
      <c r="B37" s="16" t="s">
        <v>622</v>
      </c>
      <c r="C37" s="937">
        <v>0</v>
      </c>
      <c r="D37" s="937">
        <v>0</v>
      </c>
    </row>
    <row r="38" spans="1:4" ht="29">
      <c r="A38" s="235"/>
      <c r="B38" s="16" t="s">
        <v>623</v>
      </c>
      <c r="C38" s="937">
        <v>49800.753500000006</v>
      </c>
      <c r="D38" s="937">
        <v>60008.928406368999</v>
      </c>
    </row>
    <row r="39" spans="1:4" ht="14.5">
      <c r="A39" s="235"/>
      <c r="B39" s="235"/>
      <c r="C39" s="937">
        <v>0</v>
      </c>
      <c r="D39" s="937">
        <v>0</v>
      </c>
    </row>
    <row r="40" spans="1:4" ht="14.5">
      <c r="A40" s="2998" t="s">
        <v>601</v>
      </c>
      <c r="B40" s="2999"/>
      <c r="C40" s="937">
        <v>0</v>
      </c>
      <c r="D40" s="937">
        <v>0</v>
      </c>
    </row>
    <row r="41" spans="1:4" ht="14.5">
      <c r="A41" s="280"/>
      <c r="B41" s="90" t="s">
        <v>602</v>
      </c>
      <c r="C41" s="937">
        <v>7622.8080000000027</v>
      </c>
      <c r="D41" s="937">
        <v>12828.687276031</v>
      </c>
    </row>
    <row r="42" spans="1:4" ht="18" customHeight="1">
      <c r="A42" s="280"/>
      <c r="B42" s="157" t="s">
        <v>603</v>
      </c>
      <c r="C42" s="937">
        <v>19212.789700000001</v>
      </c>
      <c r="D42" s="937">
        <v>19981.4827</v>
      </c>
    </row>
    <row r="43" spans="1:4" ht="18" customHeight="1">
      <c r="A43" s="280"/>
      <c r="B43" s="157" t="s">
        <v>604</v>
      </c>
      <c r="C43" s="937">
        <v>-11589.981699999998</v>
      </c>
      <c r="D43" s="937">
        <v>-7152.7954239690007</v>
      </c>
    </row>
    <row r="44" spans="1:4" ht="18" customHeight="1">
      <c r="A44" s="280"/>
      <c r="B44" s="157"/>
      <c r="C44" s="937">
        <v>0</v>
      </c>
      <c r="D44" s="937">
        <v>0</v>
      </c>
    </row>
    <row r="45" spans="1:4" ht="18" customHeight="1">
      <c r="A45" s="283"/>
      <c r="B45" s="285" t="s">
        <v>605</v>
      </c>
      <c r="C45" s="937">
        <v>42177.945500000002</v>
      </c>
      <c r="D45" s="937">
        <v>47180.241067299998</v>
      </c>
    </row>
    <row r="46" spans="1:4" ht="18" customHeight="1">
      <c r="A46" s="280" t="s">
        <v>577</v>
      </c>
      <c r="B46" s="90" t="s">
        <v>606</v>
      </c>
      <c r="C46" s="937">
        <v>14379.4154</v>
      </c>
      <c r="D46" s="937">
        <v>26168.368212699999</v>
      </c>
    </row>
    <row r="47" spans="1:4" ht="18" customHeight="1">
      <c r="A47" s="280"/>
      <c r="B47" s="157" t="s">
        <v>607</v>
      </c>
      <c r="C47" s="937">
        <v>0</v>
      </c>
      <c r="D47" s="937">
        <v>0</v>
      </c>
    </row>
    <row r="48" spans="1:4" ht="14.5">
      <c r="A48" s="283"/>
      <c r="B48" s="157" t="s">
        <v>608</v>
      </c>
      <c r="C48" s="937">
        <v>13692.828100000001</v>
      </c>
      <c r="D48" s="937">
        <v>25177.978915299998</v>
      </c>
    </row>
    <row r="49" spans="1:4" ht="14.5">
      <c r="A49" s="283"/>
      <c r="B49" s="157" t="s">
        <v>609</v>
      </c>
      <c r="C49" s="937">
        <v>0</v>
      </c>
      <c r="D49" s="937">
        <v>0</v>
      </c>
    </row>
    <row r="50" spans="1:4" ht="14.5">
      <c r="A50" s="280"/>
      <c r="B50" s="286" t="s">
        <v>621</v>
      </c>
      <c r="C50" s="937">
        <v>686.58729999999991</v>
      </c>
      <c r="D50" s="937">
        <v>990.38929740000003</v>
      </c>
    </row>
    <row r="51" spans="1:4" ht="18" customHeight="1">
      <c r="A51" s="280"/>
      <c r="B51" s="157" t="s">
        <v>610</v>
      </c>
      <c r="C51" s="937">
        <v>0</v>
      </c>
      <c r="D51" s="937">
        <v>0</v>
      </c>
    </row>
    <row r="52" spans="1:4" ht="18" customHeight="1">
      <c r="A52" s="280"/>
      <c r="B52" s="157" t="s">
        <v>611</v>
      </c>
      <c r="C52" s="937">
        <v>0</v>
      </c>
      <c r="D52" s="937">
        <v>0</v>
      </c>
    </row>
    <row r="53" spans="1:4" ht="18" customHeight="1">
      <c r="A53" s="280"/>
      <c r="B53" s="157" t="s">
        <v>624</v>
      </c>
      <c r="C53" s="937">
        <v>0</v>
      </c>
      <c r="D53" s="937">
        <v>0</v>
      </c>
    </row>
    <row r="54" spans="1:4" ht="14.5">
      <c r="A54" s="280"/>
      <c r="B54" s="157" t="s">
        <v>620</v>
      </c>
      <c r="C54" s="937">
        <v>0</v>
      </c>
      <c r="D54" s="937">
        <v>0</v>
      </c>
    </row>
    <row r="55" spans="1:4" ht="14.5">
      <c r="A55" s="280" t="s">
        <v>591</v>
      </c>
      <c r="B55" s="90" t="s">
        <v>612</v>
      </c>
      <c r="C55" s="937">
        <v>27798.5301</v>
      </c>
      <c r="D55" s="937">
        <v>21011.872854599998</v>
      </c>
    </row>
    <row r="56" spans="1:4" ht="14.5">
      <c r="A56" s="280"/>
      <c r="B56" s="157" t="s">
        <v>607</v>
      </c>
      <c r="C56" s="937">
        <v>0</v>
      </c>
      <c r="D56" s="937">
        <v>0</v>
      </c>
    </row>
    <row r="57" spans="1:4" ht="14.5">
      <c r="A57" s="283"/>
      <c r="B57" s="157" t="s">
        <v>608</v>
      </c>
      <c r="C57" s="937">
        <v>42.994499999999995</v>
      </c>
      <c r="D57" s="937">
        <v>0</v>
      </c>
    </row>
    <row r="58" spans="1:4" ht="14.5">
      <c r="A58" s="283"/>
      <c r="B58" s="157" t="s">
        <v>609</v>
      </c>
      <c r="C58" s="937">
        <v>19293.5262</v>
      </c>
      <c r="D58" s="937">
        <v>11423.581979799999</v>
      </c>
    </row>
    <row r="59" spans="1:4" ht="14.5">
      <c r="A59" s="280"/>
      <c r="B59" s="286" t="s">
        <v>613</v>
      </c>
      <c r="C59" s="937">
        <v>8462.009399999999</v>
      </c>
      <c r="D59" s="937">
        <v>9588.2908748000009</v>
      </c>
    </row>
    <row r="60" spans="1:4" ht="14.5">
      <c r="A60" s="280"/>
      <c r="B60" s="157" t="s">
        <v>614</v>
      </c>
      <c r="C60" s="937">
        <v>0</v>
      </c>
      <c r="D60" s="937">
        <v>0</v>
      </c>
    </row>
    <row r="61" spans="1:4" ht="14.5">
      <c r="A61" s="280"/>
      <c r="B61" s="157" t="s">
        <v>615</v>
      </c>
      <c r="C61" s="937">
        <v>0</v>
      </c>
      <c r="D61" s="937">
        <v>0</v>
      </c>
    </row>
    <row r="62" spans="1:4" ht="14.5">
      <c r="A62" s="280"/>
      <c r="B62" s="157" t="s">
        <v>616</v>
      </c>
      <c r="C62" s="937">
        <v>0</v>
      </c>
      <c r="D62" s="937">
        <v>0</v>
      </c>
    </row>
    <row r="63" spans="1:4" ht="14.5">
      <c r="A63" s="280"/>
      <c r="B63" s="157"/>
      <c r="C63" s="937">
        <v>0</v>
      </c>
      <c r="D63" s="937">
        <v>0</v>
      </c>
    </row>
    <row r="64" spans="1:4" ht="14.5">
      <c r="A64" s="2992" t="s">
        <v>625</v>
      </c>
      <c r="B64" s="2992"/>
      <c r="C64" s="937">
        <v>49800.753500000006</v>
      </c>
      <c r="D64" s="937">
        <v>60008.928343330997</v>
      </c>
    </row>
    <row r="65" spans="1:4" ht="14.5">
      <c r="A65" s="266" t="s">
        <v>120</v>
      </c>
      <c r="B65" s="266" t="s">
        <v>732</v>
      </c>
      <c r="C65" s="742"/>
      <c r="D65" s="743"/>
    </row>
    <row r="66" spans="1:4" ht="14.5">
      <c r="A66" s="266" t="s">
        <v>731</v>
      </c>
      <c r="B66" s="266" t="s">
        <v>730</v>
      </c>
      <c r="C66" s="742"/>
      <c r="D66" s="743"/>
    </row>
    <row r="67" spans="1:4" ht="18" customHeight="1">
      <c r="C67" s="742"/>
      <c r="D67" s="743"/>
    </row>
    <row r="68" spans="1:4" ht="18" customHeight="1">
      <c r="C68" s="742"/>
      <c r="D68" s="743"/>
    </row>
    <row r="69" spans="1:4" ht="18" customHeight="1">
      <c r="C69" s="742"/>
      <c r="D69" s="743"/>
    </row>
    <row r="70" spans="1:4" ht="18" customHeight="1">
      <c r="C70" s="742"/>
      <c r="D70" s="743"/>
    </row>
  </sheetData>
  <mergeCells count="7">
    <mergeCell ref="A64:B64"/>
    <mergeCell ref="A2:C2"/>
    <mergeCell ref="B5:B6"/>
    <mergeCell ref="A5:A6"/>
    <mergeCell ref="A36:B36"/>
    <mergeCell ref="A7:B7"/>
    <mergeCell ref="A40:B40"/>
  </mergeCells>
  <printOptions horizontalCentered="1"/>
  <pageMargins left="0.19685039370078741" right="0.19685039370078741" top="0.19685039370078741" bottom="0.19685039370078741" header="0.19685039370078741" footer="0.19685039370078741"/>
  <pageSetup paperSize="9"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8"/>
  <sheetViews>
    <sheetView view="pageBreakPreview" zoomScale="70" zoomScaleNormal="100" zoomScaleSheetLayoutView="70" workbookViewId="0">
      <selection activeCell="C105" sqref="C105"/>
    </sheetView>
  </sheetViews>
  <sheetFormatPr defaultRowHeight="14.5"/>
  <cols>
    <col min="1" max="1" width="8.26953125" style="2810" customWidth="1"/>
    <col min="2" max="2" width="26.453125" style="2810" bestFit="1" customWidth="1"/>
    <col min="3" max="4" width="13.26953125" style="2810" customWidth="1"/>
    <col min="5" max="5" width="18.26953125" style="2810" customWidth="1"/>
    <col min="6" max="7" width="13.26953125" style="2810" customWidth="1"/>
    <col min="8" max="8" width="15.54296875" style="2810" customWidth="1"/>
    <col min="9" max="9" width="13.26953125" style="2529" customWidth="1"/>
    <col min="10" max="10" width="13.26953125" style="2810" customWidth="1"/>
    <col min="11" max="11" width="9.1796875" style="2810"/>
    <col min="12" max="12" width="20.7265625" style="2810" bestFit="1" customWidth="1"/>
    <col min="13" max="256" width="9.1796875" style="2810"/>
    <col min="257" max="257" width="4.7265625" style="2810" customWidth="1"/>
    <col min="258" max="258" width="15.54296875" style="2810" customWidth="1"/>
    <col min="259" max="259" width="15.453125" style="2810" customWidth="1"/>
    <col min="260" max="260" width="15" style="2810" customWidth="1"/>
    <col min="261" max="261" width="18.7265625" style="2810" customWidth="1"/>
    <col min="262" max="262" width="14.7265625" style="2810" customWidth="1"/>
    <col min="263" max="265" width="11.26953125" style="2810" customWidth="1"/>
    <col min="266" max="266" width="9.7265625" style="2810" customWidth="1"/>
    <col min="267" max="512" width="9.1796875" style="2810"/>
    <col min="513" max="513" width="4.7265625" style="2810" customWidth="1"/>
    <col min="514" max="514" width="15.54296875" style="2810" customWidth="1"/>
    <col min="515" max="515" width="15.453125" style="2810" customWidth="1"/>
    <col min="516" max="516" width="15" style="2810" customWidth="1"/>
    <col min="517" max="517" width="18.7265625" style="2810" customWidth="1"/>
    <col min="518" max="518" width="14.7265625" style="2810" customWidth="1"/>
    <col min="519" max="521" width="11.26953125" style="2810" customWidth="1"/>
    <col min="522" max="522" width="9.7265625" style="2810" customWidth="1"/>
    <col min="523" max="768" width="9.1796875" style="2810"/>
    <col min="769" max="769" width="4.7265625" style="2810" customWidth="1"/>
    <col min="770" max="770" width="15.54296875" style="2810" customWidth="1"/>
    <col min="771" max="771" width="15.453125" style="2810" customWidth="1"/>
    <col min="772" max="772" width="15" style="2810" customWidth="1"/>
    <col min="773" max="773" width="18.7265625" style="2810" customWidth="1"/>
    <col min="774" max="774" width="14.7265625" style="2810" customWidth="1"/>
    <col min="775" max="777" width="11.26953125" style="2810" customWidth="1"/>
    <col min="778" max="778" width="9.7265625" style="2810" customWidth="1"/>
    <col min="779" max="1024" width="9.1796875" style="2810"/>
    <col min="1025" max="1025" width="4.7265625" style="2810" customWidth="1"/>
    <col min="1026" max="1026" width="15.54296875" style="2810" customWidth="1"/>
    <col min="1027" max="1027" width="15.453125" style="2810" customWidth="1"/>
    <col min="1028" max="1028" width="15" style="2810" customWidth="1"/>
    <col min="1029" max="1029" width="18.7265625" style="2810" customWidth="1"/>
    <col min="1030" max="1030" width="14.7265625" style="2810" customWidth="1"/>
    <col min="1031" max="1033" width="11.26953125" style="2810" customWidth="1"/>
    <col min="1034" max="1034" width="9.7265625" style="2810" customWidth="1"/>
    <col min="1035" max="1280" width="9.1796875" style="2810"/>
    <col min="1281" max="1281" width="4.7265625" style="2810" customWidth="1"/>
    <col min="1282" max="1282" width="15.54296875" style="2810" customWidth="1"/>
    <col min="1283" max="1283" width="15.453125" style="2810" customWidth="1"/>
    <col min="1284" max="1284" width="15" style="2810" customWidth="1"/>
    <col min="1285" max="1285" width="18.7265625" style="2810" customWidth="1"/>
    <col min="1286" max="1286" width="14.7265625" style="2810" customWidth="1"/>
    <col min="1287" max="1289" width="11.26953125" style="2810" customWidth="1"/>
    <col min="1290" max="1290" width="9.7265625" style="2810" customWidth="1"/>
    <col min="1291" max="1536" width="9.1796875" style="2810"/>
    <col min="1537" max="1537" width="4.7265625" style="2810" customWidth="1"/>
    <col min="1538" max="1538" width="15.54296875" style="2810" customWidth="1"/>
    <col min="1539" max="1539" width="15.453125" style="2810" customWidth="1"/>
    <col min="1540" max="1540" width="15" style="2810" customWidth="1"/>
    <col min="1541" max="1541" width="18.7265625" style="2810" customWidth="1"/>
    <col min="1542" max="1542" width="14.7265625" style="2810" customWidth="1"/>
    <col min="1543" max="1545" width="11.26953125" style="2810" customWidth="1"/>
    <col min="1546" max="1546" width="9.7265625" style="2810" customWidth="1"/>
    <col min="1547" max="1792" width="9.1796875" style="2810"/>
    <col min="1793" max="1793" width="4.7265625" style="2810" customWidth="1"/>
    <col min="1794" max="1794" width="15.54296875" style="2810" customWidth="1"/>
    <col min="1795" max="1795" width="15.453125" style="2810" customWidth="1"/>
    <col min="1796" max="1796" width="15" style="2810" customWidth="1"/>
    <col min="1797" max="1797" width="18.7265625" style="2810" customWidth="1"/>
    <col min="1798" max="1798" width="14.7265625" style="2810" customWidth="1"/>
    <col min="1799" max="1801" width="11.26953125" style="2810" customWidth="1"/>
    <col min="1802" max="1802" width="9.7265625" style="2810" customWidth="1"/>
    <col min="1803" max="2048" width="9.1796875" style="2810"/>
    <col min="2049" max="2049" width="4.7265625" style="2810" customWidth="1"/>
    <col min="2050" max="2050" width="15.54296875" style="2810" customWidth="1"/>
    <col min="2051" max="2051" width="15.453125" style="2810" customWidth="1"/>
    <col min="2052" max="2052" width="15" style="2810" customWidth="1"/>
    <col min="2053" max="2053" width="18.7265625" style="2810" customWidth="1"/>
    <col min="2054" max="2054" width="14.7265625" style="2810" customWidth="1"/>
    <col min="2055" max="2057" width="11.26953125" style="2810" customWidth="1"/>
    <col min="2058" max="2058" width="9.7265625" style="2810" customWidth="1"/>
    <col min="2059" max="2304" width="9.1796875" style="2810"/>
    <col min="2305" max="2305" width="4.7265625" style="2810" customWidth="1"/>
    <col min="2306" max="2306" width="15.54296875" style="2810" customWidth="1"/>
    <col min="2307" max="2307" width="15.453125" style="2810" customWidth="1"/>
    <col min="2308" max="2308" width="15" style="2810" customWidth="1"/>
    <col min="2309" max="2309" width="18.7265625" style="2810" customWidth="1"/>
    <col min="2310" max="2310" width="14.7265625" style="2810" customWidth="1"/>
    <col min="2311" max="2313" width="11.26953125" style="2810" customWidth="1"/>
    <col min="2314" max="2314" width="9.7265625" style="2810" customWidth="1"/>
    <col min="2315" max="2560" width="9.1796875" style="2810"/>
    <col min="2561" max="2561" width="4.7265625" style="2810" customWidth="1"/>
    <col min="2562" max="2562" width="15.54296875" style="2810" customWidth="1"/>
    <col min="2563" max="2563" width="15.453125" style="2810" customWidth="1"/>
    <col min="2564" max="2564" width="15" style="2810" customWidth="1"/>
    <col min="2565" max="2565" width="18.7265625" style="2810" customWidth="1"/>
    <col min="2566" max="2566" width="14.7265625" style="2810" customWidth="1"/>
    <col min="2567" max="2569" width="11.26953125" style="2810" customWidth="1"/>
    <col min="2570" max="2570" width="9.7265625" style="2810" customWidth="1"/>
    <col min="2571" max="2816" width="9.1796875" style="2810"/>
    <col min="2817" max="2817" width="4.7265625" style="2810" customWidth="1"/>
    <col min="2818" max="2818" width="15.54296875" style="2810" customWidth="1"/>
    <col min="2819" max="2819" width="15.453125" style="2810" customWidth="1"/>
    <col min="2820" max="2820" width="15" style="2810" customWidth="1"/>
    <col min="2821" max="2821" width="18.7265625" style="2810" customWidth="1"/>
    <col min="2822" max="2822" width="14.7265625" style="2810" customWidth="1"/>
    <col min="2823" max="2825" width="11.26953125" style="2810" customWidth="1"/>
    <col min="2826" max="2826" width="9.7265625" style="2810" customWidth="1"/>
    <col min="2827" max="3072" width="9.1796875" style="2810"/>
    <col min="3073" max="3073" width="4.7265625" style="2810" customWidth="1"/>
    <col min="3074" max="3074" width="15.54296875" style="2810" customWidth="1"/>
    <col min="3075" max="3075" width="15.453125" style="2810" customWidth="1"/>
    <col min="3076" max="3076" width="15" style="2810" customWidth="1"/>
    <col min="3077" max="3077" width="18.7265625" style="2810" customWidth="1"/>
    <col min="3078" max="3078" width="14.7265625" style="2810" customWidth="1"/>
    <col min="3079" max="3081" width="11.26953125" style="2810" customWidth="1"/>
    <col min="3082" max="3082" width="9.7265625" style="2810" customWidth="1"/>
    <col min="3083" max="3328" width="9.1796875" style="2810"/>
    <col min="3329" max="3329" width="4.7265625" style="2810" customWidth="1"/>
    <col min="3330" max="3330" width="15.54296875" style="2810" customWidth="1"/>
    <col min="3331" max="3331" width="15.453125" style="2810" customWidth="1"/>
    <col min="3332" max="3332" width="15" style="2810" customWidth="1"/>
    <col min="3333" max="3333" width="18.7265625" style="2810" customWidth="1"/>
    <col min="3334" max="3334" width="14.7265625" style="2810" customWidth="1"/>
    <col min="3335" max="3337" width="11.26953125" style="2810" customWidth="1"/>
    <col min="3338" max="3338" width="9.7265625" style="2810" customWidth="1"/>
    <col min="3339" max="3584" width="9.1796875" style="2810"/>
    <col min="3585" max="3585" width="4.7265625" style="2810" customWidth="1"/>
    <col min="3586" max="3586" width="15.54296875" style="2810" customWidth="1"/>
    <col min="3587" max="3587" width="15.453125" style="2810" customWidth="1"/>
    <col min="3588" max="3588" width="15" style="2810" customWidth="1"/>
    <col min="3589" max="3589" width="18.7265625" style="2810" customWidth="1"/>
    <col min="3590" max="3590" width="14.7265625" style="2810" customWidth="1"/>
    <col min="3591" max="3593" width="11.26953125" style="2810" customWidth="1"/>
    <col min="3594" max="3594" width="9.7265625" style="2810" customWidth="1"/>
    <col min="3595" max="3840" width="9.1796875" style="2810"/>
    <col min="3841" max="3841" width="4.7265625" style="2810" customWidth="1"/>
    <col min="3842" max="3842" width="15.54296875" style="2810" customWidth="1"/>
    <col min="3843" max="3843" width="15.453125" style="2810" customWidth="1"/>
    <col min="3844" max="3844" width="15" style="2810" customWidth="1"/>
    <col min="3845" max="3845" width="18.7265625" style="2810" customWidth="1"/>
    <col min="3846" max="3846" width="14.7265625" style="2810" customWidth="1"/>
    <col min="3847" max="3849" width="11.26953125" style="2810" customWidth="1"/>
    <col min="3850" max="3850" width="9.7265625" style="2810" customWidth="1"/>
    <col min="3851" max="4096" width="9.1796875" style="2810"/>
    <col min="4097" max="4097" width="4.7265625" style="2810" customWidth="1"/>
    <col min="4098" max="4098" width="15.54296875" style="2810" customWidth="1"/>
    <col min="4099" max="4099" width="15.453125" style="2810" customWidth="1"/>
    <col min="4100" max="4100" width="15" style="2810" customWidth="1"/>
    <col min="4101" max="4101" width="18.7265625" style="2810" customWidth="1"/>
    <col min="4102" max="4102" width="14.7265625" style="2810" customWidth="1"/>
    <col min="4103" max="4105" width="11.26953125" style="2810" customWidth="1"/>
    <col min="4106" max="4106" width="9.7265625" style="2810" customWidth="1"/>
    <col min="4107" max="4352" width="9.1796875" style="2810"/>
    <col min="4353" max="4353" width="4.7265625" style="2810" customWidth="1"/>
    <col min="4354" max="4354" width="15.54296875" style="2810" customWidth="1"/>
    <col min="4355" max="4355" width="15.453125" style="2810" customWidth="1"/>
    <col min="4356" max="4356" width="15" style="2810" customWidth="1"/>
    <col min="4357" max="4357" width="18.7265625" style="2810" customWidth="1"/>
    <col min="4358" max="4358" width="14.7265625" style="2810" customWidth="1"/>
    <col min="4359" max="4361" width="11.26953125" style="2810" customWidth="1"/>
    <col min="4362" max="4362" width="9.7265625" style="2810" customWidth="1"/>
    <col min="4363" max="4608" width="9.1796875" style="2810"/>
    <col min="4609" max="4609" width="4.7265625" style="2810" customWidth="1"/>
    <col min="4610" max="4610" width="15.54296875" style="2810" customWidth="1"/>
    <col min="4611" max="4611" width="15.453125" style="2810" customWidth="1"/>
    <col min="4612" max="4612" width="15" style="2810" customWidth="1"/>
    <col min="4613" max="4613" width="18.7265625" style="2810" customWidth="1"/>
    <col min="4614" max="4614" width="14.7265625" style="2810" customWidth="1"/>
    <col min="4615" max="4617" width="11.26953125" style="2810" customWidth="1"/>
    <col min="4618" max="4618" width="9.7265625" style="2810" customWidth="1"/>
    <col min="4619" max="4864" width="9.1796875" style="2810"/>
    <col min="4865" max="4865" width="4.7265625" style="2810" customWidth="1"/>
    <col min="4866" max="4866" width="15.54296875" style="2810" customWidth="1"/>
    <col min="4867" max="4867" width="15.453125" style="2810" customWidth="1"/>
    <col min="4868" max="4868" width="15" style="2810" customWidth="1"/>
    <col min="4869" max="4869" width="18.7265625" style="2810" customWidth="1"/>
    <col min="4870" max="4870" width="14.7265625" style="2810" customWidth="1"/>
    <col min="4871" max="4873" width="11.26953125" style="2810" customWidth="1"/>
    <col min="4874" max="4874" width="9.7265625" style="2810" customWidth="1"/>
    <col min="4875" max="5120" width="9.1796875" style="2810"/>
    <col min="5121" max="5121" width="4.7265625" style="2810" customWidth="1"/>
    <col min="5122" max="5122" width="15.54296875" style="2810" customWidth="1"/>
    <col min="5123" max="5123" width="15.453125" style="2810" customWidth="1"/>
    <col min="5124" max="5124" width="15" style="2810" customWidth="1"/>
    <col min="5125" max="5125" width="18.7265625" style="2810" customWidth="1"/>
    <col min="5126" max="5126" width="14.7265625" style="2810" customWidth="1"/>
    <col min="5127" max="5129" width="11.26953125" style="2810" customWidth="1"/>
    <col min="5130" max="5130" width="9.7265625" style="2810" customWidth="1"/>
    <col min="5131" max="5376" width="9.1796875" style="2810"/>
    <col min="5377" max="5377" width="4.7265625" style="2810" customWidth="1"/>
    <col min="5378" max="5378" width="15.54296875" style="2810" customWidth="1"/>
    <col min="5379" max="5379" width="15.453125" style="2810" customWidth="1"/>
    <col min="5380" max="5380" width="15" style="2810" customWidth="1"/>
    <col min="5381" max="5381" width="18.7265625" style="2810" customWidth="1"/>
    <col min="5382" max="5382" width="14.7265625" style="2810" customWidth="1"/>
    <col min="5383" max="5385" width="11.26953125" style="2810" customWidth="1"/>
    <col min="5386" max="5386" width="9.7265625" style="2810" customWidth="1"/>
    <col min="5387" max="5632" width="9.1796875" style="2810"/>
    <col min="5633" max="5633" width="4.7265625" style="2810" customWidth="1"/>
    <col min="5634" max="5634" width="15.54296875" style="2810" customWidth="1"/>
    <col min="5635" max="5635" width="15.453125" style="2810" customWidth="1"/>
    <col min="5636" max="5636" width="15" style="2810" customWidth="1"/>
    <col min="5637" max="5637" width="18.7265625" style="2810" customWidth="1"/>
    <col min="5638" max="5638" width="14.7265625" style="2810" customWidth="1"/>
    <col min="5639" max="5641" width="11.26953125" style="2810" customWidth="1"/>
    <col min="5642" max="5642" width="9.7265625" style="2810" customWidth="1"/>
    <col min="5643" max="5888" width="9.1796875" style="2810"/>
    <col min="5889" max="5889" width="4.7265625" style="2810" customWidth="1"/>
    <col min="5890" max="5890" width="15.54296875" style="2810" customWidth="1"/>
    <col min="5891" max="5891" width="15.453125" style="2810" customWidth="1"/>
    <col min="5892" max="5892" width="15" style="2810" customWidth="1"/>
    <col min="5893" max="5893" width="18.7265625" style="2810" customWidth="1"/>
    <col min="5894" max="5894" width="14.7265625" style="2810" customWidth="1"/>
    <col min="5895" max="5897" width="11.26953125" style="2810" customWidth="1"/>
    <col min="5898" max="5898" width="9.7265625" style="2810" customWidth="1"/>
    <col min="5899" max="6144" width="9.1796875" style="2810"/>
    <col min="6145" max="6145" width="4.7265625" style="2810" customWidth="1"/>
    <col min="6146" max="6146" width="15.54296875" style="2810" customWidth="1"/>
    <col min="6147" max="6147" width="15.453125" style="2810" customWidth="1"/>
    <col min="6148" max="6148" width="15" style="2810" customWidth="1"/>
    <col min="6149" max="6149" width="18.7265625" style="2810" customWidth="1"/>
    <col min="6150" max="6150" width="14.7265625" style="2810" customWidth="1"/>
    <col min="6151" max="6153" width="11.26953125" style="2810" customWidth="1"/>
    <col min="6154" max="6154" width="9.7265625" style="2810" customWidth="1"/>
    <col min="6155" max="6400" width="9.1796875" style="2810"/>
    <col min="6401" max="6401" width="4.7265625" style="2810" customWidth="1"/>
    <col min="6402" max="6402" width="15.54296875" style="2810" customWidth="1"/>
    <col min="6403" max="6403" width="15.453125" style="2810" customWidth="1"/>
    <col min="6404" max="6404" width="15" style="2810" customWidth="1"/>
    <col min="6405" max="6405" width="18.7265625" style="2810" customWidth="1"/>
    <col min="6406" max="6406" width="14.7265625" style="2810" customWidth="1"/>
    <col min="6407" max="6409" width="11.26953125" style="2810" customWidth="1"/>
    <col min="6410" max="6410" width="9.7265625" style="2810" customWidth="1"/>
    <col min="6411" max="6656" width="9.1796875" style="2810"/>
    <col min="6657" max="6657" width="4.7265625" style="2810" customWidth="1"/>
    <col min="6658" max="6658" width="15.54296875" style="2810" customWidth="1"/>
    <col min="6659" max="6659" width="15.453125" style="2810" customWidth="1"/>
    <col min="6660" max="6660" width="15" style="2810" customWidth="1"/>
    <col min="6661" max="6661" width="18.7265625" style="2810" customWidth="1"/>
    <col min="6662" max="6662" width="14.7265625" style="2810" customWidth="1"/>
    <col min="6663" max="6665" width="11.26953125" style="2810" customWidth="1"/>
    <col min="6666" max="6666" width="9.7265625" style="2810" customWidth="1"/>
    <col min="6667" max="6912" width="9.1796875" style="2810"/>
    <col min="6913" max="6913" width="4.7265625" style="2810" customWidth="1"/>
    <col min="6914" max="6914" width="15.54296875" style="2810" customWidth="1"/>
    <col min="6915" max="6915" width="15.453125" style="2810" customWidth="1"/>
    <col min="6916" max="6916" width="15" style="2810" customWidth="1"/>
    <col min="6917" max="6917" width="18.7265625" style="2810" customWidth="1"/>
    <col min="6918" max="6918" width="14.7265625" style="2810" customWidth="1"/>
    <col min="6919" max="6921" width="11.26953125" style="2810" customWidth="1"/>
    <col min="6922" max="6922" width="9.7265625" style="2810" customWidth="1"/>
    <col min="6923" max="7168" width="9.1796875" style="2810"/>
    <col min="7169" max="7169" width="4.7265625" style="2810" customWidth="1"/>
    <col min="7170" max="7170" width="15.54296875" style="2810" customWidth="1"/>
    <col min="7171" max="7171" width="15.453125" style="2810" customWidth="1"/>
    <col min="7172" max="7172" width="15" style="2810" customWidth="1"/>
    <col min="7173" max="7173" width="18.7265625" style="2810" customWidth="1"/>
    <col min="7174" max="7174" width="14.7265625" style="2810" customWidth="1"/>
    <col min="7175" max="7177" width="11.26953125" style="2810" customWidth="1"/>
    <col min="7178" max="7178" width="9.7265625" style="2810" customWidth="1"/>
    <col min="7179" max="7424" width="9.1796875" style="2810"/>
    <col min="7425" max="7425" width="4.7265625" style="2810" customWidth="1"/>
    <col min="7426" max="7426" width="15.54296875" style="2810" customWidth="1"/>
    <col min="7427" max="7427" width="15.453125" style="2810" customWidth="1"/>
    <col min="7428" max="7428" width="15" style="2810" customWidth="1"/>
    <col min="7429" max="7429" width="18.7265625" style="2810" customWidth="1"/>
    <col min="7430" max="7430" width="14.7265625" style="2810" customWidth="1"/>
    <col min="7431" max="7433" width="11.26953125" style="2810" customWidth="1"/>
    <col min="7434" max="7434" width="9.7265625" style="2810" customWidth="1"/>
    <col min="7435" max="7680" width="9.1796875" style="2810"/>
    <col min="7681" max="7681" width="4.7265625" style="2810" customWidth="1"/>
    <col min="7682" max="7682" width="15.54296875" style="2810" customWidth="1"/>
    <col min="7683" max="7683" width="15.453125" style="2810" customWidth="1"/>
    <col min="7684" max="7684" width="15" style="2810" customWidth="1"/>
    <col min="7685" max="7685" width="18.7265625" style="2810" customWidth="1"/>
    <col min="7686" max="7686" width="14.7265625" style="2810" customWidth="1"/>
    <col min="7687" max="7689" width="11.26953125" style="2810" customWidth="1"/>
    <col min="7690" max="7690" width="9.7265625" style="2810" customWidth="1"/>
    <col min="7691" max="7936" width="9.1796875" style="2810"/>
    <col min="7937" max="7937" width="4.7265625" style="2810" customWidth="1"/>
    <col min="7938" max="7938" width="15.54296875" style="2810" customWidth="1"/>
    <col min="7939" max="7939" width="15.453125" style="2810" customWidth="1"/>
    <col min="7940" max="7940" width="15" style="2810" customWidth="1"/>
    <col min="7941" max="7941" width="18.7265625" style="2810" customWidth="1"/>
    <col min="7942" max="7942" width="14.7265625" style="2810" customWidth="1"/>
    <col min="7943" max="7945" width="11.26953125" style="2810" customWidth="1"/>
    <col min="7946" max="7946" width="9.7265625" style="2810" customWidth="1"/>
    <col min="7947" max="8192" width="9.1796875" style="2810"/>
    <col min="8193" max="8193" width="4.7265625" style="2810" customWidth="1"/>
    <col min="8194" max="8194" width="15.54296875" style="2810" customWidth="1"/>
    <col min="8195" max="8195" width="15.453125" style="2810" customWidth="1"/>
    <col min="8196" max="8196" width="15" style="2810" customWidth="1"/>
    <col min="8197" max="8197" width="18.7265625" style="2810" customWidth="1"/>
    <col min="8198" max="8198" width="14.7265625" style="2810" customWidth="1"/>
    <col min="8199" max="8201" width="11.26953125" style="2810" customWidth="1"/>
    <col min="8202" max="8202" width="9.7265625" style="2810" customWidth="1"/>
    <col min="8203" max="8448" width="9.1796875" style="2810"/>
    <col min="8449" max="8449" width="4.7265625" style="2810" customWidth="1"/>
    <col min="8450" max="8450" width="15.54296875" style="2810" customWidth="1"/>
    <col min="8451" max="8451" width="15.453125" style="2810" customWidth="1"/>
    <col min="8452" max="8452" width="15" style="2810" customWidth="1"/>
    <col min="8453" max="8453" width="18.7265625" style="2810" customWidth="1"/>
    <col min="8454" max="8454" width="14.7265625" style="2810" customWidth="1"/>
    <col min="8455" max="8457" width="11.26953125" style="2810" customWidth="1"/>
    <col min="8458" max="8458" width="9.7265625" style="2810" customWidth="1"/>
    <col min="8459" max="8704" width="9.1796875" style="2810"/>
    <col min="8705" max="8705" width="4.7265625" style="2810" customWidth="1"/>
    <col min="8706" max="8706" width="15.54296875" style="2810" customWidth="1"/>
    <col min="8707" max="8707" width="15.453125" style="2810" customWidth="1"/>
    <col min="8708" max="8708" width="15" style="2810" customWidth="1"/>
    <col min="8709" max="8709" width="18.7265625" style="2810" customWidth="1"/>
    <col min="8710" max="8710" width="14.7265625" style="2810" customWidth="1"/>
    <col min="8711" max="8713" width="11.26953125" style="2810" customWidth="1"/>
    <col min="8714" max="8714" width="9.7265625" style="2810" customWidth="1"/>
    <col min="8715" max="8960" width="9.1796875" style="2810"/>
    <col min="8961" max="8961" width="4.7265625" style="2810" customWidth="1"/>
    <col min="8962" max="8962" width="15.54296875" style="2810" customWidth="1"/>
    <col min="8963" max="8963" width="15.453125" style="2810" customWidth="1"/>
    <col min="8964" max="8964" width="15" style="2810" customWidth="1"/>
    <col min="8965" max="8965" width="18.7265625" style="2810" customWidth="1"/>
    <col min="8966" max="8966" width="14.7265625" style="2810" customWidth="1"/>
    <col min="8967" max="8969" width="11.26953125" style="2810" customWidth="1"/>
    <col min="8970" max="8970" width="9.7265625" style="2810" customWidth="1"/>
    <col min="8971" max="9216" width="9.1796875" style="2810"/>
    <col min="9217" max="9217" width="4.7265625" style="2810" customWidth="1"/>
    <col min="9218" max="9218" width="15.54296875" style="2810" customWidth="1"/>
    <col min="9219" max="9219" width="15.453125" style="2810" customWidth="1"/>
    <col min="9220" max="9220" width="15" style="2810" customWidth="1"/>
    <col min="9221" max="9221" width="18.7265625" style="2810" customWidth="1"/>
    <col min="9222" max="9222" width="14.7265625" style="2810" customWidth="1"/>
    <col min="9223" max="9225" width="11.26953125" style="2810" customWidth="1"/>
    <col min="9226" max="9226" width="9.7265625" style="2810" customWidth="1"/>
    <col min="9227" max="9472" width="9.1796875" style="2810"/>
    <col min="9473" max="9473" width="4.7265625" style="2810" customWidth="1"/>
    <col min="9474" max="9474" width="15.54296875" style="2810" customWidth="1"/>
    <col min="9475" max="9475" width="15.453125" style="2810" customWidth="1"/>
    <col min="9476" max="9476" width="15" style="2810" customWidth="1"/>
    <col min="9477" max="9477" width="18.7265625" style="2810" customWidth="1"/>
    <col min="9478" max="9478" width="14.7265625" style="2810" customWidth="1"/>
    <col min="9479" max="9481" width="11.26953125" style="2810" customWidth="1"/>
    <col min="9482" max="9482" width="9.7265625" style="2810" customWidth="1"/>
    <col min="9483" max="9728" width="9.1796875" style="2810"/>
    <col min="9729" max="9729" width="4.7265625" style="2810" customWidth="1"/>
    <col min="9730" max="9730" width="15.54296875" style="2810" customWidth="1"/>
    <col min="9731" max="9731" width="15.453125" style="2810" customWidth="1"/>
    <col min="9732" max="9732" width="15" style="2810" customWidth="1"/>
    <col min="9733" max="9733" width="18.7265625" style="2810" customWidth="1"/>
    <col min="9734" max="9734" width="14.7265625" style="2810" customWidth="1"/>
    <col min="9735" max="9737" width="11.26953125" style="2810" customWidth="1"/>
    <col min="9738" max="9738" width="9.7265625" style="2810" customWidth="1"/>
    <col min="9739" max="9984" width="9.1796875" style="2810"/>
    <col min="9985" max="9985" width="4.7265625" style="2810" customWidth="1"/>
    <col min="9986" max="9986" width="15.54296875" style="2810" customWidth="1"/>
    <col min="9987" max="9987" width="15.453125" style="2810" customWidth="1"/>
    <col min="9988" max="9988" width="15" style="2810" customWidth="1"/>
    <col min="9989" max="9989" width="18.7265625" style="2810" customWidth="1"/>
    <col min="9990" max="9990" width="14.7265625" style="2810" customWidth="1"/>
    <col min="9991" max="9993" width="11.26953125" style="2810" customWidth="1"/>
    <col min="9994" max="9994" width="9.7265625" style="2810" customWidth="1"/>
    <col min="9995" max="10240" width="9.1796875" style="2810"/>
    <col min="10241" max="10241" width="4.7265625" style="2810" customWidth="1"/>
    <col min="10242" max="10242" width="15.54296875" style="2810" customWidth="1"/>
    <col min="10243" max="10243" width="15.453125" style="2810" customWidth="1"/>
    <col min="10244" max="10244" width="15" style="2810" customWidth="1"/>
    <col min="10245" max="10245" width="18.7265625" style="2810" customWidth="1"/>
    <col min="10246" max="10246" width="14.7265625" style="2810" customWidth="1"/>
    <col min="10247" max="10249" width="11.26953125" style="2810" customWidth="1"/>
    <col min="10250" max="10250" width="9.7265625" style="2810" customWidth="1"/>
    <col min="10251" max="10496" width="9.1796875" style="2810"/>
    <col min="10497" max="10497" width="4.7265625" style="2810" customWidth="1"/>
    <col min="10498" max="10498" width="15.54296875" style="2810" customWidth="1"/>
    <col min="10499" max="10499" width="15.453125" style="2810" customWidth="1"/>
    <col min="10500" max="10500" width="15" style="2810" customWidth="1"/>
    <col min="10501" max="10501" width="18.7265625" style="2810" customWidth="1"/>
    <col min="10502" max="10502" width="14.7265625" style="2810" customWidth="1"/>
    <col min="10503" max="10505" width="11.26953125" style="2810" customWidth="1"/>
    <col min="10506" max="10506" width="9.7265625" style="2810" customWidth="1"/>
    <col min="10507" max="10752" width="9.1796875" style="2810"/>
    <col min="10753" max="10753" width="4.7265625" style="2810" customWidth="1"/>
    <col min="10754" max="10754" width="15.54296875" style="2810" customWidth="1"/>
    <col min="10755" max="10755" width="15.453125" style="2810" customWidth="1"/>
    <col min="10756" max="10756" width="15" style="2810" customWidth="1"/>
    <col min="10757" max="10757" width="18.7265625" style="2810" customWidth="1"/>
    <col min="10758" max="10758" width="14.7265625" style="2810" customWidth="1"/>
    <col min="10759" max="10761" width="11.26953125" style="2810" customWidth="1"/>
    <col min="10762" max="10762" width="9.7265625" style="2810" customWidth="1"/>
    <col min="10763" max="11008" width="9.1796875" style="2810"/>
    <col min="11009" max="11009" width="4.7265625" style="2810" customWidth="1"/>
    <col min="11010" max="11010" width="15.54296875" style="2810" customWidth="1"/>
    <col min="11011" max="11011" width="15.453125" style="2810" customWidth="1"/>
    <col min="11012" max="11012" width="15" style="2810" customWidth="1"/>
    <col min="11013" max="11013" width="18.7265625" style="2810" customWidth="1"/>
    <col min="11014" max="11014" width="14.7265625" style="2810" customWidth="1"/>
    <col min="11015" max="11017" width="11.26953125" style="2810" customWidth="1"/>
    <col min="11018" max="11018" width="9.7265625" style="2810" customWidth="1"/>
    <col min="11019" max="11264" width="9.1796875" style="2810"/>
    <col min="11265" max="11265" width="4.7265625" style="2810" customWidth="1"/>
    <col min="11266" max="11266" width="15.54296875" style="2810" customWidth="1"/>
    <col min="11267" max="11267" width="15.453125" style="2810" customWidth="1"/>
    <col min="11268" max="11268" width="15" style="2810" customWidth="1"/>
    <col min="11269" max="11269" width="18.7265625" style="2810" customWidth="1"/>
    <col min="11270" max="11270" width="14.7265625" style="2810" customWidth="1"/>
    <col min="11271" max="11273" width="11.26953125" style="2810" customWidth="1"/>
    <col min="11274" max="11274" width="9.7265625" style="2810" customWidth="1"/>
    <col min="11275" max="11520" width="9.1796875" style="2810"/>
    <col min="11521" max="11521" width="4.7265625" style="2810" customWidth="1"/>
    <col min="11522" max="11522" width="15.54296875" style="2810" customWidth="1"/>
    <col min="11523" max="11523" width="15.453125" style="2810" customWidth="1"/>
    <col min="11524" max="11524" width="15" style="2810" customWidth="1"/>
    <col min="11525" max="11525" width="18.7265625" style="2810" customWidth="1"/>
    <col min="11526" max="11526" width="14.7265625" style="2810" customWidth="1"/>
    <col min="11527" max="11529" width="11.26953125" style="2810" customWidth="1"/>
    <col min="11530" max="11530" width="9.7265625" style="2810" customWidth="1"/>
    <col min="11531" max="11776" width="9.1796875" style="2810"/>
    <col min="11777" max="11777" width="4.7265625" style="2810" customWidth="1"/>
    <col min="11778" max="11778" width="15.54296875" style="2810" customWidth="1"/>
    <col min="11779" max="11779" width="15.453125" style="2810" customWidth="1"/>
    <col min="11780" max="11780" width="15" style="2810" customWidth="1"/>
    <col min="11781" max="11781" width="18.7265625" style="2810" customWidth="1"/>
    <col min="11782" max="11782" width="14.7265625" style="2810" customWidth="1"/>
    <col min="11783" max="11785" width="11.26953125" style="2810" customWidth="1"/>
    <col min="11786" max="11786" width="9.7265625" style="2810" customWidth="1"/>
    <col min="11787" max="12032" width="9.1796875" style="2810"/>
    <col min="12033" max="12033" width="4.7265625" style="2810" customWidth="1"/>
    <col min="12034" max="12034" width="15.54296875" style="2810" customWidth="1"/>
    <col min="12035" max="12035" width="15.453125" style="2810" customWidth="1"/>
    <col min="12036" max="12036" width="15" style="2810" customWidth="1"/>
    <col min="12037" max="12037" width="18.7265625" style="2810" customWidth="1"/>
    <col min="12038" max="12038" width="14.7265625" style="2810" customWidth="1"/>
    <col min="12039" max="12041" width="11.26953125" style="2810" customWidth="1"/>
    <col min="12042" max="12042" width="9.7265625" style="2810" customWidth="1"/>
    <col min="12043" max="12288" width="9.1796875" style="2810"/>
    <col min="12289" max="12289" width="4.7265625" style="2810" customWidth="1"/>
    <col min="12290" max="12290" width="15.54296875" style="2810" customWidth="1"/>
    <col min="12291" max="12291" width="15.453125" style="2810" customWidth="1"/>
    <col min="12292" max="12292" width="15" style="2810" customWidth="1"/>
    <col min="12293" max="12293" width="18.7265625" style="2810" customWidth="1"/>
    <col min="12294" max="12294" width="14.7265625" style="2810" customWidth="1"/>
    <col min="12295" max="12297" width="11.26953125" style="2810" customWidth="1"/>
    <col min="12298" max="12298" width="9.7265625" style="2810" customWidth="1"/>
    <col min="12299" max="12544" width="9.1796875" style="2810"/>
    <col min="12545" max="12545" width="4.7265625" style="2810" customWidth="1"/>
    <col min="12546" max="12546" width="15.54296875" style="2810" customWidth="1"/>
    <col min="12547" max="12547" width="15.453125" style="2810" customWidth="1"/>
    <col min="12548" max="12548" width="15" style="2810" customWidth="1"/>
    <col min="12549" max="12549" width="18.7265625" style="2810" customWidth="1"/>
    <col min="12550" max="12550" width="14.7265625" style="2810" customWidth="1"/>
    <col min="12551" max="12553" width="11.26953125" style="2810" customWidth="1"/>
    <col min="12554" max="12554" width="9.7265625" style="2810" customWidth="1"/>
    <col min="12555" max="12800" width="9.1796875" style="2810"/>
    <col min="12801" max="12801" width="4.7265625" style="2810" customWidth="1"/>
    <col min="12802" max="12802" width="15.54296875" style="2810" customWidth="1"/>
    <col min="12803" max="12803" width="15.453125" style="2810" customWidth="1"/>
    <col min="12804" max="12804" width="15" style="2810" customWidth="1"/>
    <col min="12805" max="12805" width="18.7265625" style="2810" customWidth="1"/>
    <col min="12806" max="12806" width="14.7265625" style="2810" customWidth="1"/>
    <col min="12807" max="12809" width="11.26953125" style="2810" customWidth="1"/>
    <col min="12810" max="12810" width="9.7265625" style="2810" customWidth="1"/>
    <col min="12811" max="13056" width="9.1796875" style="2810"/>
    <col min="13057" max="13057" width="4.7265625" style="2810" customWidth="1"/>
    <col min="13058" max="13058" width="15.54296875" style="2810" customWidth="1"/>
    <col min="13059" max="13059" width="15.453125" style="2810" customWidth="1"/>
    <col min="13060" max="13060" width="15" style="2810" customWidth="1"/>
    <col min="13061" max="13061" width="18.7265625" style="2810" customWidth="1"/>
    <col min="13062" max="13062" width="14.7265625" style="2810" customWidth="1"/>
    <col min="13063" max="13065" width="11.26953125" style="2810" customWidth="1"/>
    <col min="13066" max="13066" width="9.7265625" style="2810" customWidth="1"/>
    <col min="13067" max="13312" width="9.1796875" style="2810"/>
    <col min="13313" max="13313" width="4.7265625" style="2810" customWidth="1"/>
    <col min="13314" max="13314" width="15.54296875" style="2810" customWidth="1"/>
    <col min="13315" max="13315" width="15.453125" style="2810" customWidth="1"/>
    <col min="13316" max="13316" width="15" style="2810" customWidth="1"/>
    <col min="13317" max="13317" width="18.7265625" style="2810" customWidth="1"/>
    <col min="13318" max="13318" width="14.7265625" style="2810" customWidth="1"/>
    <col min="13319" max="13321" width="11.26953125" style="2810" customWidth="1"/>
    <col min="13322" max="13322" width="9.7265625" style="2810" customWidth="1"/>
    <col min="13323" max="13568" width="9.1796875" style="2810"/>
    <col min="13569" max="13569" width="4.7265625" style="2810" customWidth="1"/>
    <col min="13570" max="13570" width="15.54296875" style="2810" customWidth="1"/>
    <col min="13571" max="13571" width="15.453125" style="2810" customWidth="1"/>
    <col min="13572" max="13572" width="15" style="2810" customWidth="1"/>
    <col min="13573" max="13573" width="18.7265625" style="2810" customWidth="1"/>
    <col min="13574" max="13574" width="14.7265625" style="2810" customWidth="1"/>
    <col min="13575" max="13577" width="11.26953125" style="2810" customWidth="1"/>
    <col min="13578" max="13578" width="9.7265625" style="2810" customWidth="1"/>
    <col min="13579" max="13824" width="9.1796875" style="2810"/>
    <col min="13825" max="13825" width="4.7265625" style="2810" customWidth="1"/>
    <col min="13826" max="13826" width="15.54296875" style="2810" customWidth="1"/>
    <col min="13827" max="13827" width="15.453125" style="2810" customWidth="1"/>
    <col min="13828" max="13828" width="15" style="2810" customWidth="1"/>
    <col min="13829" max="13829" width="18.7265625" style="2810" customWidth="1"/>
    <col min="13830" max="13830" width="14.7265625" style="2810" customWidth="1"/>
    <col min="13831" max="13833" width="11.26953125" style="2810" customWidth="1"/>
    <col min="13834" max="13834" width="9.7265625" style="2810" customWidth="1"/>
    <col min="13835" max="14080" width="9.1796875" style="2810"/>
    <col min="14081" max="14081" width="4.7265625" style="2810" customWidth="1"/>
    <col min="14082" max="14082" width="15.54296875" style="2810" customWidth="1"/>
    <col min="14083" max="14083" width="15.453125" style="2810" customWidth="1"/>
    <col min="14084" max="14084" width="15" style="2810" customWidth="1"/>
    <col min="14085" max="14085" width="18.7265625" style="2810" customWidth="1"/>
    <col min="14086" max="14086" width="14.7265625" style="2810" customWidth="1"/>
    <col min="14087" max="14089" width="11.26953125" style="2810" customWidth="1"/>
    <col min="14090" max="14090" width="9.7265625" style="2810" customWidth="1"/>
    <col min="14091" max="14336" width="9.1796875" style="2810"/>
    <col min="14337" max="14337" width="4.7265625" style="2810" customWidth="1"/>
    <col min="14338" max="14338" width="15.54296875" style="2810" customWidth="1"/>
    <col min="14339" max="14339" width="15.453125" style="2810" customWidth="1"/>
    <col min="14340" max="14340" width="15" style="2810" customWidth="1"/>
    <col min="14341" max="14341" width="18.7265625" style="2810" customWidth="1"/>
    <col min="14342" max="14342" width="14.7265625" style="2810" customWidth="1"/>
    <col min="14343" max="14345" width="11.26953125" style="2810" customWidth="1"/>
    <col min="14346" max="14346" width="9.7265625" style="2810" customWidth="1"/>
    <col min="14347" max="14592" width="9.1796875" style="2810"/>
    <col min="14593" max="14593" width="4.7265625" style="2810" customWidth="1"/>
    <col min="14594" max="14594" width="15.54296875" style="2810" customWidth="1"/>
    <col min="14595" max="14595" width="15.453125" style="2810" customWidth="1"/>
    <col min="14596" max="14596" width="15" style="2810" customWidth="1"/>
    <col min="14597" max="14597" width="18.7265625" style="2810" customWidth="1"/>
    <col min="14598" max="14598" width="14.7265625" style="2810" customWidth="1"/>
    <col min="14599" max="14601" width="11.26953125" style="2810" customWidth="1"/>
    <col min="14602" max="14602" width="9.7265625" style="2810" customWidth="1"/>
    <col min="14603" max="14848" width="9.1796875" style="2810"/>
    <col min="14849" max="14849" width="4.7265625" style="2810" customWidth="1"/>
    <col min="14850" max="14850" width="15.54296875" style="2810" customWidth="1"/>
    <col min="14851" max="14851" width="15.453125" style="2810" customWidth="1"/>
    <col min="14852" max="14852" width="15" style="2810" customWidth="1"/>
    <col min="14853" max="14853" width="18.7265625" style="2810" customWidth="1"/>
    <col min="14854" max="14854" width="14.7265625" style="2810" customWidth="1"/>
    <col min="14855" max="14857" width="11.26953125" style="2810" customWidth="1"/>
    <col min="14858" max="14858" width="9.7265625" style="2810" customWidth="1"/>
    <col min="14859" max="15104" width="9.1796875" style="2810"/>
    <col min="15105" max="15105" width="4.7265625" style="2810" customWidth="1"/>
    <col min="15106" max="15106" width="15.54296875" style="2810" customWidth="1"/>
    <col min="15107" max="15107" width="15.453125" style="2810" customWidth="1"/>
    <col min="15108" max="15108" width="15" style="2810" customWidth="1"/>
    <col min="15109" max="15109" width="18.7265625" style="2810" customWidth="1"/>
    <col min="15110" max="15110" width="14.7265625" style="2810" customWidth="1"/>
    <col min="15111" max="15113" width="11.26953125" style="2810" customWidth="1"/>
    <col min="15114" max="15114" width="9.7265625" style="2810" customWidth="1"/>
    <col min="15115" max="15360" width="9.1796875" style="2810"/>
    <col min="15361" max="15361" width="4.7265625" style="2810" customWidth="1"/>
    <col min="15362" max="15362" width="15.54296875" style="2810" customWidth="1"/>
    <col min="15363" max="15363" width="15.453125" style="2810" customWidth="1"/>
    <col min="15364" max="15364" width="15" style="2810" customWidth="1"/>
    <col min="15365" max="15365" width="18.7265625" style="2810" customWidth="1"/>
    <col min="15366" max="15366" width="14.7265625" style="2810" customWidth="1"/>
    <col min="15367" max="15369" width="11.26953125" style="2810" customWidth="1"/>
    <col min="15370" max="15370" width="9.7265625" style="2810" customWidth="1"/>
    <col min="15371" max="15616" width="9.1796875" style="2810"/>
    <col min="15617" max="15617" width="4.7265625" style="2810" customWidth="1"/>
    <col min="15618" max="15618" width="15.54296875" style="2810" customWidth="1"/>
    <col min="15619" max="15619" width="15.453125" style="2810" customWidth="1"/>
    <col min="15620" max="15620" width="15" style="2810" customWidth="1"/>
    <col min="15621" max="15621" width="18.7265625" style="2810" customWidth="1"/>
    <col min="15622" max="15622" width="14.7265625" style="2810" customWidth="1"/>
    <col min="15623" max="15625" width="11.26953125" style="2810" customWidth="1"/>
    <col min="15626" max="15626" width="9.7265625" style="2810" customWidth="1"/>
    <col min="15627" max="15872" width="9.1796875" style="2810"/>
    <col min="15873" max="15873" width="4.7265625" style="2810" customWidth="1"/>
    <col min="15874" max="15874" width="15.54296875" style="2810" customWidth="1"/>
    <col min="15875" max="15875" width="15.453125" style="2810" customWidth="1"/>
    <col min="15876" max="15876" width="15" style="2810" customWidth="1"/>
    <col min="15877" max="15877" width="18.7265625" style="2810" customWidth="1"/>
    <col min="15878" max="15878" width="14.7265625" style="2810" customWidth="1"/>
    <col min="15879" max="15881" width="11.26953125" style="2810" customWidth="1"/>
    <col min="15882" max="15882" width="9.7265625" style="2810" customWidth="1"/>
    <col min="15883" max="16128" width="9.1796875" style="2810"/>
    <col min="16129" max="16129" width="4.7265625" style="2810" customWidth="1"/>
    <col min="16130" max="16130" width="15.54296875" style="2810" customWidth="1"/>
    <col min="16131" max="16131" width="15.453125" style="2810" customWidth="1"/>
    <col min="16132" max="16132" width="15" style="2810" customWidth="1"/>
    <col min="16133" max="16133" width="18.7265625" style="2810" customWidth="1"/>
    <col min="16134" max="16134" width="14.7265625" style="2810" customWidth="1"/>
    <col min="16135" max="16137" width="11.26953125" style="2810" customWidth="1"/>
    <col min="16138" max="16138" width="9.7265625" style="2810" customWidth="1"/>
    <col min="16139" max="16384" width="9.1796875" style="2810"/>
  </cols>
  <sheetData>
    <row r="1" spans="1:10">
      <c r="A1" s="2991" t="s">
        <v>2221</v>
      </c>
      <c r="B1" s="2991"/>
      <c r="E1" s="1356"/>
      <c r="F1" s="1356"/>
      <c r="G1" s="3239"/>
      <c r="H1" s="3239"/>
      <c r="I1" s="3239"/>
      <c r="J1" s="1356"/>
    </row>
    <row r="2" spans="1:10">
      <c r="A2" s="2770"/>
      <c r="B2" s="2770"/>
      <c r="E2" s="1356"/>
      <c r="F2" s="2482"/>
      <c r="G2" s="3239"/>
      <c r="H2" s="3239"/>
      <c r="I2" s="3239"/>
      <c r="J2" s="1356"/>
    </row>
    <row r="3" spans="1:10">
      <c r="A3" s="3017" t="s">
        <v>174</v>
      </c>
      <c r="B3" s="3017"/>
      <c r="C3" s="3017"/>
      <c r="D3" s="3017"/>
      <c r="E3" s="3017"/>
      <c r="F3" s="3017"/>
      <c r="G3" s="3017"/>
      <c r="H3" s="3017"/>
      <c r="I3" s="3017"/>
      <c r="J3" s="3017"/>
    </row>
    <row r="4" spans="1:10">
      <c r="A4" s="304" t="s">
        <v>2222</v>
      </c>
      <c r="B4" s="304"/>
      <c r="C4" s="304"/>
      <c r="D4" s="304"/>
      <c r="E4" s="304"/>
      <c r="F4" s="304"/>
      <c r="G4" s="304"/>
      <c r="H4" s="304"/>
      <c r="I4" s="3060"/>
      <c r="J4" s="3060"/>
    </row>
    <row r="6" spans="1:10" s="2776" customFormat="1" ht="87.75" customHeight="1">
      <c r="A6" s="2772" t="s">
        <v>106</v>
      </c>
      <c r="B6" s="2772" t="s">
        <v>2223</v>
      </c>
      <c r="C6" s="2772" t="s">
        <v>2224</v>
      </c>
      <c r="D6" s="2772" t="s">
        <v>2225</v>
      </c>
      <c r="E6" s="2772" t="s">
        <v>2226</v>
      </c>
      <c r="F6" s="2772" t="s">
        <v>2227</v>
      </c>
      <c r="G6" s="2772" t="s">
        <v>2228</v>
      </c>
      <c r="H6" s="2772" t="s">
        <v>2229</v>
      </c>
      <c r="I6" s="2483" t="s">
        <v>2230</v>
      </c>
      <c r="J6" s="2772" t="s">
        <v>2231</v>
      </c>
    </row>
    <row r="7" spans="1:10" s="2776" customFormat="1" ht="12.75" customHeight="1">
      <c r="A7" s="2777"/>
      <c r="B7" s="2484"/>
      <c r="C7" s="2485" t="s">
        <v>2232</v>
      </c>
      <c r="D7" s="2486" t="s">
        <v>2233</v>
      </c>
      <c r="E7" s="2485" t="s">
        <v>2234</v>
      </c>
      <c r="F7" s="2485" t="s">
        <v>2234</v>
      </c>
      <c r="G7" s="2485" t="s">
        <v>2235</v>
      </c>
      <c r="H7" s="2485" t="s">
        <v>2235</v>
      </c>
      <c r="I7" s="2487" t="s">
        <v>2235</v>
      </c>
      <c r="J7" s="2487" t="s">
        <v>2236</v>
      </c>
    </row>
    <row r="8" spans="1:10" s="2776" customFormat="1" ht="12.75" hidden="1" customHeight="1">
      <c r="A8" s="2811"/>
      <c r="B8" s="3288" t="s">
        <v>2237</v>
      </c>
      <c r="C8" s="3289"/>
      <c r="D8" s="3289"/>
      <c r="E8" s="3289"/>
      <c r="F8" s="3289"/>
      <c r="G8" s="3289"/>
      <c r="H8" s="3289"/>
      <c r="I8" s="3289"/>
      <c r="J8" s="3290"/>
    </row>
    <row r="9" spans="1:10" hidden="1">
      <c r="A9" s="253">
        <v>1</v>
      </c>
      <c r="B9" s="2488"/>
      <c r="C9" s="2489"/>
      <c r="D9" s="2490"/>
      <c r="E9" s="2490"/>
      <c r="F9" s="2490"/>
      <c r="G9" s="2491"/>
      <c r="H9" s="2491"/>
      <c r="I9" s="2492">
        <f>SUM(G9:H9)</f>
        <v>0</v>
      </c>
      <c r="J9" s="2493">
        <f t="shared" ref="J9:J14" si="0">IFERROR(I9*10^7/F9,0)</f>
        <v>0</v>
      </c>
    </row>
    <row r="10" spans="1:10" hidden="1">
      <c r="A10" s="253">
        <v>2</v>
      </c>
      <c r="B10" s="2494"/>
      <c r="C10" s="2495"/>
      <c r="D10" s="2490"/>
      <c r="E10" s="2490"/>
      <c r="F10" s="2490"/>
      <c r="G10" s="2491"/>
      <c r="H10" s="2491"/>
      <c r="I10" s="2492">
        <f>SUM(G10:H10)</f>
        <v>0</v>
      </c>
      <c r="J10" s="2493">
        <f t="shared" si="0"/>
        <v>0</v>
      </c>
    </row>
    <row r="11" spans="1:10" hidden="1">
      <c r="A11" s="253">
        <v>3</v>
      </c>
      <c r="B11" s="2494"/>
      <c r="C11" s="2495"/>
      <c r="D11" s="2490"/>
      <c r="E11" s="2490"/>
      <c r="F11" s="2490"/>
      <c r="G11" s="2491"/>
      <c r="H11" s="2491"/>
      <c r="I11" s="2492">
        <f>SUM(G11:H11)</f>
        <v>0</v>
      </c>
      <c r="J11" s="2493">
        <f t="shared" si="0"/>
        <v>0</v>
      </c>
    </row>
    <row r="12" spans="1:10" hidden="1">
      <c r="A12" s="253">
        <v>4</v>
      </c>
      <c r="B12" s="2494"/>
      <c r="C12" s="2495"/>
      <c r="D12" s="2490"/>
      <c r="E12" s="2490"/>
      <c r="F12" s="2490"/>
      <c r="G12" s="2491"/>
      <c r="H12" s="2491"/>
      <c r="I12" s="2492">
        <f>SUM(G12:H12)</f>
        <v>0</v>
      </c>
      <c r="J12" s="2493">
        <f t="shared" si="0"/>
        <v>0</v>
      </c>
    </row>
    <row r="13" spans="1:10" hidden="1">
      <c r="A13" s="253" t="s">
        <v>861</v>
      </c>
      <c r="B13" s="561"/>
      <c r="C13" s="2496"/>
      <c r="D13" s="2497"/>
      <c r="E13" s="2497"/>
      <c r="F13" s="2497"/>
      <c r="G13" s="2497"/>
      <c r="H13" s="2497"/>
      <c r="I13" s="2492">
        <f>SUM(G13:H13)</f>
        <v>0</v>
      </c>
      <c r="J13" s="2493">
        <f t="shared" si="0"/>
        <v>0</v>
      </c>
    </row>
    <row r="14" spans="1:10" hidden="1">
      <c r="A14" s="2498"/>
      <c r="B14" s="2499" t="s">
        <v>22</v>
      </c>
      <c r="C14" s="2500">
        <f t="shared" ref="C14:I14" si="1">SUM(C9:C13)</f>
        <v>0</v>
      </c>
      <c r="D14" s="2500">
        <f t="shared" si="1"/>
        <v>0</v>
      </c>
      <c r="E14" s="2500">
        <f t="shared" si="1"/>
        <v>0</v>
      </c>
      <c r="F14" s="2500">
        <f t="shared" si="1"/>
        <v>0</v>
      </c>
      <c r="G14" s="2500">
        <f t="shared" si="1"/>
        <v>0</v>
      </c>
      <c r="H14" s="2500">
        <f t="shared" si="1"/>
        <v>0</v>
      </c>
      <c r="I14" s="2501">
        <f t="shared" si="1"/>
        <v>0</v>
      </c>
      <c r="J14" s="2493">
        <f t="shared" si="0"/>
        <v>0</v>
      </c>
    </row>
    <row r="15" spans="1:10" hidden="1">
      <c r="A15" s="253"/>
      <c r="B15" s="253"/>
      <c r="C15" s="253"/>
      <c r="D15" s="253"/>
      <c r="E15" s="253"/>
      <c r="F15" s="253"/>
      <c r="G15" s="253"/>
      <c r="H15" s="253"/>
      <c r="I15" s="2502"/>
      <c r="J15" s="253"/>
    </row>
    <row r="16" spans="1:10" hidden="1">
      <c r="A16" s="253"/>
      <c r="B16" s="3288" t="s">
        <v>2238</v>
      </c>
      <c r="C16" s="3289"/>
      <c r="D16" s="3289"/>
      <c r="E16" s="3289"/>
      <c r="F16" s="3289"/>
      <c r="G16" s="3289"/>
      <c r="H16" s="3289"/>
      <c r="I16" s="3289"/>
      <c r="J16" s="3290"/>
    </row>
    <row r="17" spans="1:10" hidden="1">
      <c r="A17" s="253">
        <v>1</v>
      </c>
      <c r="B17" s="2488" t="s">
        <v>2007</v>
      </c>
      <c r="C17" s="2489"/>
      <c r="D17" s="2490"/>
      <c r="E17" s="2490"/>
      <c r="F17" s="2490"/>
      <c r="G17" s="2491"/>
      <c r="H17" s="2491"/>
      <c r="I17" s="2492">
        <f>SUM(G17:H17)</f>
        <v>0</v>
      </c>
      <c r="J17" s="2493">
        <f t="shared" ref="J17:J22" si="2">IFERROR(I17*10^7/F17,0)</f>
        <v>0</v>
      </c>
    </row>
    <row r="18" spans="1:10" hidden="1">
      <c r="A18" s="253">
        <v>2</v>
      </c>
      <c r="B18" s="2488" t="s">
        <v>2030</v>
      </c>
      <c r="C18" s="2495"/>
      <c r="D18" s="2490"/>
      <c r="E18" s="2490"/>
      <c r="F18" s="2490"/>
      <c r="G18" s="2491"/>
      <c r="H18" s="2491"/>
      <c r="I18" s="2492">
        <f>SUM(G18:H18)</f>
        <v>0</v>
      </c>
      <c r="J18" s="2493">
        <f t="shared" si="2"/>
        <v>0</v>
      </c>
    </row>
    <row r="19" spans="1:10" hidden="1">
      <c r="A19" s="253">
        <v>3</v>
      </c>
      <c r="B19" s="2488" t="s">
        <v>2012</v>
      </c>
      <c r="C19" s="2495"/>
      <c r="D19" s="2490"/>
      <c r="E19" s="2490"/>
      <c r="F19" s="2490"/>
      <c r="G19" s="2491"/>
      <c r="H19" s="2491"/>
      <c r="I19" s="2492">
        <f>SUM(G19:H19)</f>
        <v>0</v>
      </c>
      <c r="J19" s="2493">
        <f t="shared" si="2"/>
        <v>0</v>
      </c>
    </row>
    <row r="20" spans="1:10" hidden="1">
      <c r="A20" s="253">
        <v>4</v>
      </c>
      <c r="B20" s="2503" t="s">
        <v>2239</v>
      </c>
      <c r="C20" s="2495"/>
      <c r="D20" s="2490"/>
      <c r="E20" s="2490"/>
      <c r="F20" s="2490"/>
      <c r="G20" s="2491"/>
      <c r="H20" s="2491"/>
      <c r="I20" s="2492">
        <f>SUM(G20:H20)</f>
        <v>0</v>
      </c>
      <c r="J20" s="2493">
        <f t="shared" si="2"/>
        <v>0</v>
      </c>
    </row>
    <row r="21" spans="1:10" hidden="1">
      <c r="A21" s="253" t="s">
        <v>861</v>
      </c>
      <c r="B21" s="561"/>
      <c r="C21" s="2496"/>
      <c r="D21" s="2497"/>
      <c r="E21" s="2497"/>
      <c r="F21" s="2497"/>
      <c r="G21" s="2497"/>
      <c r="H21" s="2497"/>
      <c r="I21" s="2492">
        <f>SUM(G21:H21)</f>
        <v>0</v>
      </c>
      <c r="J21" s="2493">
        <f t="shared" si="2"/>
        <v>0</v>
      </c>
    </row>
    <row r="22" spans="1:10" hidden="1">
      <c r="A22" s="2498"/>
      <c r="B22" s="2499" t="s">
        <v>22</v>
      </c>
      <c r="C22" s="2500">
        <f t="shared" ref="C22:I22" si="3">SUM(C17:C21)</f>
        <v>0</v>
      </c>
      <c r="D22" s="2500">
        <f t="shared" si="3"/>
        <v>0</v>
      </c>
      <c r="E22" s="2500">
        <f t="shared" si="3"/>
        <v>0</v>
      </c>
      <c r="F22" s="2500">
        <f t="shared" si="3"/>
        <v>0</v>
      </c>
      <c r="G22" s="2500">
        <f t="shared" si="3"/>
        <v>0</v>
      </c>
      <c r="H22" s="2500">
        <f t="shared" si="3"/>
        <v>0</v>
      </c>
      <c r="I22" s="2501">
        <f t="shared" si="3"/>
        <v>0</v>
      </c>
      <c r="J22" s="2493">
        <f t="shared" si="2"/>
        <v>0</v>
      </c>
    </row>
    <row r="23" spans="1:10">
      <c r="A23" s="253"/>
      <c r="B23" s="253"/>
      <c r="C23" s="253"/>
      <c r="D23" s="253"/>
      <c r="E23" s="253"/>
      <c r="F23" s="253"/>
      <c r="G23" s="253"/>
      <c r="H23" s="253"/>
      <c r="I23" s="2502"/>
      <c r="J23" s="253"/>
    </row>
    <row r="24" spans="1:10">
      <c r="A24" s="1066"/>
      <c r="B24" s="3291" t="s">
        <v>545</v>
      </c>
      <c r="C24" s="3292"/>
      <c r="D24" s="3292"/>
      <c r="E24" s="3292"/>
      <c r="F24" s="3292"/>
      <c r="G24" s="3292"/>
      <c r="H24" s="3292"/>
      <c r="I24" s="3292"/>
      <c r="J24" s="3293"/>
    </row>
    <row r="25" spans="1:10">
      <c r="A25" s="1066">
        <v>1</v>
      </c>
      <c r="B25" s="2504" t="s">
        <v>2007</v>
      </c>
      <c r="C25" s="2505"/>
      <c r="D25" s="2482"/>
      <c r="E25" s="2482"/>
      <c r="F25" s="2482"/>
      <c r="G25" s="2482"/>
      <c r="H25" s="2482"/>
      <c r="I25" s="2506">
        <v>3737.2817961999999</v>
      </c>
      <c r="J25" s="2482">
        <f>IFERROR(I25*10^7/F25,0)</f>
        <v>0</v>
      </c>
    </row>
    <row r="26" spans="1:10">
      <c r="A26" s="1066">
        <v>2</v>
      </c>
      <c r="B26" s="2504" t="s">
        <v>2030</v>
      </c>
      <c r="C26" s="2507"/>
      <c r="D26" s="2482"/>
      <c r="E26" s="2482"/>
      <c r="F26" s="2482"/>
      <c r="G26" s="2482"/>
      <c r="H26" s="2482"/>
      <c r="I26" s="2506">
        <v>875.82469829999991</v>
      </c>
      <c r="J26" s="2482">
        <f>IFERROR(I26*10^7/F26,0)</f>
        <v>0</v>
      </c>
    </row>
    <row r="27" spans="1:10">
      <c r="A27" s="1066">
        <v>3</v>
      </c>
      <c r="B27" s="2504" t="s">
        <v>2012</v>
      </c>
      <c r="C27" s="2507"/>
      <c r="D27" s="2482"/>
      <c r="E27" s="2482"/>
      <c r="F27" s="2482"/>
      <c r="G27" s="2482"/>
      <c r="H27" s="2482"/>
      <c r="I27" s="2506">
        <v>301.89614749999998</v>
      </c>
      <c r="J27" s="2482">
        <f>IFERROR(I27*10^7/F27,0)</f>
        <v>0</v>
      </c>
    </row>
    <row r="28" spans="1:10">
      <c r="A28" s="1066">
        <v>4</v>
      </c>
      <c r="B28" s="1364" t="s">
        <v>2239</v>
      </c>
      <c r="C28" s="2507"/>
      <c r="D28" s="2482"/>
      <c r="E28" s="2482"/>
      <c r="F28" s="2482"/>
      <c r="G28" s="2482"/>
      <c r="H28" s="2482"/>
      <c r="I28" s="2506"/>
      <c r="J28" s="2482">
        <f>IFERROR(I28*10^7/F28,0)</f>
        <v>0</v>
      </c>
    </row>
    <row r="29" spans="1:10">
      <c r="A29" s="2508"/>
      <c r="B29" s="1364" t="s">
        <v>22</v>
      </c>
      <c r="C29" s="2507">
        <f t="shared" ref="C29:I29" si="4">SUM(C25:C28)</f>
        <v>0</v>
      </c>
      <c r="D29" s="2507">
        <f t="shared" si="4"/>
        <v>0</v>
      </c>
      <c r="E29" s="2507">
        <f t="shared" si="4"/>
        <v>0</v>
      </c>
      <c r="F29" s="2507">
        <f t="shared" si="4"/>
        <v>0</v>
      </c>
      <c r="G29" s="2507">
        <f t="shared" si="4"/>
        <v>0</v>
      </c>
      <c r="H29" s="2507">
        <f t="shared" si="4"/>
        <v>0</v>
      </c>
      <c r="I29" s="2509">
        <f t="shared" si="4"/>
        <v>4915.0026419999995</v>
      </c>
      <c r="J29" s="2482">
        <f>IFERROR(I29*10^7/F29,0)</f>
        <v>0</v>
      </c>
    </row>
    <row r="30" spans="1:10">
      <c r="A30" s="1066"/>
      <c r="B30" s="1066"/>
      <c r="C30" s="1066"/>
      <c r="D30" s="1066"/>
      <c r="E30" s="1066"/>
      <c r="F30" s="1066"/>
      <c r="G30" s="1066"/>
      <c r="H30" s="1066"/>
      <c r="I30" s="2510"/>
      <c r="J30" s="1066"/>
    </row>
    <row r="31" spans="1:10">
      <c r="A31" s="1066"/>
      <c r="B31" s="3294" t="s">
        <v>546</v>
      </c>
      <c r="C31" s="3295"/>
      <c r="D31" s="3295"/>
      <c r="E31" s="3295"/>
      <c r="F31" s="3295"/>
      <c r="G31" s="3295"/>
      <c r="H31" s="3295"/>
      <c r="I31" s="3295"/>
      <c r="J31" s="3296"/>
    </row>
    <row r="32" spans="1:10">
      <c r="A32" s="1066">
        <v>1</v>
      </c>
      <c r="B32" s="2511" t="s">
        <v>2007</v>
      </c>
      <c r="C32" s="2512"/>
      <c r="D32" s="2513"/>
      <c r="E32" s="2513"/>
      <c r="F32" s="2513"/>
      <c r="G32" s="2513"/>
      <c r="H32" s="2513"/>
      <c r="I32" s="2514">
        <v>3937.4750534699997</v>
      </c>
      <c r="J32" s="2513">
        <f>IFERROR(I32*10^7/F32,0)</f>
        <v>0</v>
      </c>
    </row>
    <row r="33" spans="1:10">
      <c r="A33" s="1066">
        <v>2</v>
      </c>
      <c r="B33" s="2511" t="s">
        <v>2030</v>
      </c>
      <c r="C33" s="2515"/>
      <c r="D33" s="2513"/>
      <c r="E33" s="2513"/>
      <c r="F33" s="2513"/>
      <c r="G33" s="2513"/>
      <c r="H33" s="2513"/>
      <c r="I33" s="2514">
        <v>919.61593321499993</v>
      </c>
      <c r="J33" s="2513">
        <f>IFERROR(I33*10^7/F33,0)</f>
        <v>0</v>
      </c>
    </row>
    <row r="34" spans="1:10">
      <c r="A34" s="1066">
        <v>3</v>
      </c>
      <c r="B34" s="2511" t="s">
        <v>2012</v>
      </c>
      <c r="C34" s="2515"/>
      <c r="D34" s="2513"/>
      <c r="E34" s="2513"/>
      <c r="F34" s="2513"/>
      <c r="G34" s="2513"/>
      <c r="H34" s="2513"/>
      <c r="I34" s="2514">
        <v>316.990954875</v>
      </c>
      <c r="J34" s="2513">
        <f>IFERROR(I34*10^7/F34,0)</f>
        <v>0</v>
      </c>
    </row>
    <row r="35" spans="1:10">
      <c r="A35" s="1066">
        <v>4</v>
      </c>
      <c r="B35" s="953" t="s">
        <v>2239</v>
      </c>
      <c r="C35" s="2515"/>
      <c r="D35" s="2513"/>
      <c r="E35" s="2513"/>
      <c r="F35" s="2513"/>
      <c r="G35" s="2513"/>
      <c r="H35" s="2513"/>
      <c r="I35" s="2514">
        <v>840.31879312500007</v>
      </c>
      <c r="J35" s="2513">
        <f>IFERROR(#REF!*10^7/F35,0)</f>
        <v>0</v>
      </c>
    </row>
    <row r="36" spans="1:10">
      <c r="A36" s="2508"/>
      <c r="B36" s="953" t="s">
        <v>22</v>
      </c>
      <c r="C36" s="2515">
        <f t="shared" ref="C36:I36" si="5">SUM(C32:C35)</f>
        <v>0</v>
      </c>
      <c r="D36" s="2515">
        <f t="shared" si="5"/>
        <v>0</v>
      </c>
      <c r="E36" s="2515">
        <f t="shared" si="5"/>
        <v>0</v>
      </c>
      <c r="F36" s="2515">
        <f t="shared" si="5"/>
        <v>0</v>
      </c>
      <c r="G36" s="2515">
        <f t="shared" si="5"/>
        <v>0</v>
      </c>
      <c r="H36" s="2515">
        <f t="shared" si="5"/>
        <v>0</v>
      </c>
      <c r="I36" s="2516">
        <f t="shared" si="5"/>
        <v>6014.4007346850003</v>
      </c>
      <c r="J36" s="2513">
        <f>IFERROR(I36*10^7/F36,0)</f>
        <v>0</v>
      </c>
    </row>
    <row r="37" spans="1:10">
      <c r="A37" s="1066"/>
      <c r="B37" s="716"/>
      <c r="C37" s="716"/>
      <c r="D37" s="716"/>
      <c r="E37" s="716"/>
      <c r="F37" s="716"/>
      <c r="G37" s="716"/>
      <c r="H37" s="716"/>
      <c r="I37" s="2517"/>
      <c r="J37" s="716"/>
    </row>
    <row r="38" spans="1:10">
      <c r="A38" s="1066"/>
      <c r="B38" s="3294" t="s">
        <v>547</v>
      </c>
      <c r="C38" s="3295"/>
      <c r="D38" s="3295"/>
      <c r="E38" s="3295"/>
      <c r="F38" s="3295"/>
      <c r="G38" s="3295"/>
      <c r="H38" s="3295"/>
      <c r="I38" s="3295"/>
      <c r="J38" s="3296"/>
    </row>
    <row r="39" spans="1:10">
      <c r="A39" s="1066">
        <v>1</v>
      </c>
      <c r="B39" s="2511" t="s">
        <v>2007</v>
      </c>
      <c r="C39" s="2512"/>
      <c r="D39" s="2513"/>
      <c r="E39" s="2513"/>
      <c r="F39" s="2513"/>
      <c r="G39" s="2513"/>
      <c r="H39" s="2513"/>
      <c r="I39" s="2518">
        <v>4134.3488061435</v>
      </c>
      <c r="J39" s="2513">
        <f>IFERROR(I39*10^7/F39,0)</f>
        <v>0</v>
      </c>
    </row>
    <row r="40" spans="1:10">
      <c r="A40" s="1066">
        <v>2</v>
      </c>
      <c r="B40" s="2511" t="s">
        <v>2030</v>
      </c>
      <c r="C40" s="2515"/>
      <c r="D40" s="2513"/>
      <c r="E40" s="2513"/>
      <c r="F40" s="2513"/>
      <c r="G40" s="2513"/>
      <c r="H40" s="2513"/>
      <c r="I40" s="2518">
        <v>919.61593321499993</v>
      </c>
      <c r="J40" s="2513">
        <f>IFERROR(I40*10^7/F40,0)</f>
        <v>0</v>
      </c>
    </row>
    <row r="41" spans="1:10">
      <c r="A41" s="1066">
        <v>3</v>
      </c>
      <c r="B41" s="2511" t="s">
        <v>2012</v>
      </c>
      <c r="C41" s="2515"/>
      <c r="D41" s="2513"/>
      <c r="E41" s="2513"/>
      <c r="F41" s="2513"/>
      <c r="G41" s="2513"/>
      <c r="H41" s="2513"/>
      <c r="I41" s="2518">
        <v>316.990954875</v>
      </c>
      <c r="J41" s="2513">
        <f>IFERROR(I41*10^7/F41,0)</f>
        <v>0</v>
      </c>
    </row>
    <row r="42" spans="1:10">
      <c r="A42" s="1066">
        <v>4</v>
      </c>
      <c r="B42" s="953" t="s">
        <v>2239</v>
      </c>
      <c r="C42" s="2515"/>
      <c r="D42" s="2513"/>
      <c r="E42" s="2513"/>
      <c r="F42" s="2513"/>
      <c r="G42" s="2513"/>
      <c r="H42" s="2513"/>
      <c r="I42" s="2518">
        <v>840.31879312500007</v>
      </c>
      <c r="J42" s="2513">
        <f>IFERROR(I42*10^7/F42,0)</f>
        <v>0</v>
      </c>
    </row>
    <row r="43" spans="1:10">
      <c r="A43" s="2508"/>
      <c r="B43" s="953" t="s">
        <v>22</v>
      </c>
      <c r="C43" s="2515">
        <f t="shared" ref="C43:I43" si="6">SUM(C39:C42)</f>
        <v>0</v>
      </c>
      <c r="D43" s="2515">
        <f t="shared" si="6"/>
        <v>0</v>
      </c>
      <c r="E43" s="2515">
        <f t="shared" si="6"/>
        <v>0</v>
      </c>
      <c r="F43" s="2515">
        <f t="shared" si="6"/>
        <v>0</v>
      </c>
      <c r="G43" s="2515">
        <f t="shared" si="6"/>
        <v>0</v>
      </c>
      <c r="H43" s="2515">
        <f t="shared" si="6"/>
        <v>0</v>
      </c>
      <c r="I43" s="2516">
        <f t="shared" si="6"/>
        <v>6211.2744873585007</v>
      </c>
      <c r="J43" s="2513">
        <f>IFERROR(I43*10^7/F43,0)</f>
        <v>0</v>
      </c>
    </row>
    <row r="44" spans="1:10">
      <c r="A44" s="1066"/>
      <c r="B44" s="1066"/>
      <c r="C44" s="1066"/>
      <c r="D44" s="1066"/>
      <c r="E44" s="1066"/>
      <c r="F44" s="1066"/>
      <c r="G44" s="1066"/>
      <c r="H44" s="1066"/>
      <c r="I44" s="2510"/>
      <c r="J44" s="1066"/>
    </row>
    <row r="45" spans="1:10" hidden="1">
      <c r="A45" s="1066"/>
      <c r="B45" s="3291" t="s">
        <v>547</v>
      </c>
      <c r="C45" s="3292"/>
      <c r="D45" s="3292"/>
      <c r="E45" s="3292"/>
      <c r="F45" s="3292"/>
      <c r="G45" s="3292"/>
      <c r="H45" s="3292"/>
      <c r="I45" s="3292"/>
      <c r="J45" s="3293"/>
    </row>
    <row r="46" spans="1:10" hidden="1">
      <c r="A46" s="1066">
        <v>1</v>
      </c>
      <c r="B46" s="2504" t="s">
        <v>2007</v>
      </c>
      <c r="C46" s="2519"/>
      <c r="D46" s="2520"/>
      <c r="E46" s="2520"/>
      <c r="F46" s="2520"/>
      <c r="G46" s="2520"/>
      <c r="H46" s="2520"/>
      <c r="I46" s="2521">
        <v>3476.8440000000005</v>
      </c>
      <c r="J46" s="2520">
        <f>IFERROR(I46*10^7/F46,0)</f>
        <v>0</v>
      </c>
    </row>
    <row r="47" spans="1:10" hidden="1">
      <c r="A47" s="1066">
        <v>2</v>
      </c>
      <c r="B47" s="2504" t="s">
        <v>2030</v>
      </c>
      <c r="C47" s="2522"/>
      <c r="D47" s="2520"/>
      <c r="E47" s="2520"/>
      <c r="F47" s="2520"/>
      <c r="G47" s="2520"/>
      <c r="H47" s="2520"/>
      <c r="I47" s="2521">
        <v>875.68</v>
      </c>
      <c r="J47" s="2520">
        <f>IFERROR(I47*10^7/F47,0)</f>
        <v>0</v>
      </c>
    </row>
    <row r="48" spans="1:10" hidden="1">
      <c r="A48" s="1066">
        <v>3</v>
      </c>
      <c r="B48" s="2504" t="s">
        <v>2012</v>
      </c>
      <c r="C48" s="2522"/>
      <c r="D48" s="2520"/>
      <c r="E48" s="2520"/>
      <c r="F48" s="2520"/>
      <c r="G48" s="2520"/>
      <c r="H48" s="2520"/>
      <c r="I48" s="2521">
        <v>277.5</v>
      </c>
      <c r="J48" s="2520">
        <f>IFERROR(I48*10^7/F48,0)</f>
        <v>0</v>
      </c>
    </row>
    <row r="49" spans="1:10" hidden="1">
      <c r="A49" s="1066">
        <v>4</v>
      </c>
      <c r="B49" s="1364" t="s">
        <v>2239</v>
      </c>
      <c r="C49" s="2522"/>
      <c r="D49" s="2520"/>
      <c r="E49" s="2520"/>
      <c r="F49" s="2520"/>
      <c r="G49" s="2520"/>
      <c r="H49" s="2520"/>
      <c r="I49" s="2523">
        <v>2419.9434000000001</v>
      </c>
      <c r="J49" s="2520">
        <f>IFERROR(I49*10^7/F49,0)</f>
        <v>0</v>
      </c>
    </row>
    <row r="50" spans="1:10" hidden="1">
      <c r="A50" s="2508"/>
      <c r="B50" s="1364" t="s">
        <v>22</v>
      </c>
      <c r="C50" s="2522">
        <f t="shared" ref="C50:I50" si="7">SUM(C46:C49)</f>
        <v>0</v>
      </c>
      <c r="D50" s="2522">
        <f t="shared" si="7"/>
        <v>0</v>
      </c>
      <c r="E50" s="2522">
        <f t="shared" si="7"/>
        <v>0</v>
      </c>
      <c r="F50" s="2522">
        <f t="shared" si="7"/>
        <v>0</v>
      </c>
      <c r="G50" s="2522">
        <f t="shared" si="7"/>
        <v>0</v>
      </c>
      <c r="H50" s="2522">
        <f t="shared" si="7"/>
        <v>0</v>
      </c>
      <c r="I50" s="2524">
        <f t="shared" si="7"/>
        <v>7049.9674000000005</v>
      </c>
      <c r="J50" s="2520">
        <f>IFERROR(I50*10^7/F50,0)</f>
        <v>0</v>
      </c>
    </row>
    <row r="51" spans="1:10" hidden="1">
      <c r="A51" s="1066"/>
      <c r="B51" s="1066"/>
      <c r="C51" s="1066"/>
      <c r="D51" s="1066"/>
      <c r="E51" s="1066"/>
      <c r="F51" s="1066"/>
      <c r="G51" s="1066"/>
      <c r="H51" s="1066"/>
      <c r="I51" s="2510"/>
      <c r="J51" s="1066"/>
    </row>
    <row r="52" spans="1:10" hidden="1">
      <c r="A52" s="1066"/>
      <c r="B52" s="3291" t="s">
        <v>548</v>
      </c>
      <c r="C52" s="3292"/>
      <c r="D52" s="3292"/>
      <c r="E52" s="3292"/>
      <c r="F52" s="3292"/>
      <c r="G52" s="3292"/>
      <c r="H52" s="3292"/>
      <c r="I52" s="3292"/>
      <c r="J52" s="3293"/>
    </row>
    <row r="53" spans="1:10" hidden="1">
      <c r="A53" s="1066">
        <v>1</v>
      </c>
      <c r="B53" s="2504" t="s">
        <v>2007</v>
      </c>
      <c r="C53" s="2519"/>
      <c r="D53" s="2520"/>
      <c r="E53" s="2520"/>
      <c r="F53" s="2520"/>
      <c r="G53" s="2520"/>
      <c r="H53" s="2520"/>
      <c r="I53" s="2521">
        <v>3650.6862000000006</v>
      </c>
      <c r="J53" s="2520">
        <f>IFERROR(I53*10^7/F53,0)</f>
        <v>0</v>
      </c>
    </row>
    <row r="54" spans="1:10" hidden="1">
      <c r="A54" s="1066">
        <v>2</v>
      </c>
      <c r="B54" s="2504" t="s">
        <v>2030</v>
      </c>
      <c r="C54" s="2522"/>
      <c r="D54" s="2520"/>
      <c r="E54" s="2520"/>
      <c r="F54" s="2520"/>
      <c r="G54" s="2520"/>
      <c r="H54" s="2520"/>
      <c r="I54" s="2521">
        <v>875.68</v>
      </c>
      <c r="J54" s="2520">
        <f>IFERROR(I54*10^7/F54,0)</f>
        <v>0</v>
      </c>
    </row>
    <row r="55" spans="1:10" hidden="1">
      <c r="A55" s="1066">
        <v>3</v>
      </c>
      <c r="B55" s="2504" t="s">
        <v>2012</v>
      </c>
      <c r="C55" s="2522"/>
      <c r="D55" s="2520"/>
      <c r="E55" s="2520"/>
      <c r="F55" s="2520"/>
      <c r="G55" s="2520"/>
      <c r="H55" s="2520"/>
      <c r="I55" s="2521">
        <v>277.5</v>
      </c>
      <c r="J55" s="2520">
        <f>IFERROR(I55*10^7/F55,0)</f>
        <v>0</v>
      </c>
    </row>
    <row r="56" spans="1:10" hidden="1">
      <c r="A56" s="1066">
        <v>4</v>
      </c>
      <c r="B56" s="1364" t="s">
        <v>2239</v>
      </c>
      <c r="C56" s="2522"/>
      <c r="D56" s="2520"/>
      <c r="E56" s="2520"/>
      <c r="F56" s="2520"/>
      <c r="G56" s="2520"/>
      <c r="H56" s="2520"/>
      <c r="I56" s="2523">
        <v>2540.9405700000002</v>
      </c>
      <c r="J56" s="2520">
        <f>IFERROR(I56*10^7/F56,0)</f>
        <v>0</v>
      </c>
    </row>
    <row r="57" spans="1:10" hidden="1">
      <c r="A57" s="2508"/>
      <c r="B57" s="1364" t="s">
        <v>22</v>
      </c>
      <c r="C57" s="2522">
        <f t="shared" ref="C57:I57" si="8">SUM(C53:C56)</f>
        <v>0</v>
      </c>
      <c r="D57" s="2522">
        <f t="shared" si="8"/>
        <v>0</v>
      </c>
      <c r="E57" s="2522">
        <f t="shared" si="8"/>
        <v>0</v>
      </c>
      <c r="F57" s="2522">
        <f t="shared" si="8"/>
        <v>0</v>
      </c>
      <c r="G57" s="2522">
        <f t="shared" si="8"/>
        <v>0</v>
      </c>
      <c r="H57" s="2522">
        <f t="shared" si="8"/>
        <v>0</v>
      </c>
      <c r="I57" s="2524">
        <f t="shared" si="8"/>
        <v>7344.8067700000011</v>
      </c>
      <c r="J57" s="2520">
        <f>IFERROR(I57*10^7/F57,0)</f>
        <v>0</v>
      </c>
    </row>
    <row r="58" spans="1:10" hidden="1">
      <c r="A58" s="1907"/>
      <c r="B58" s="1907"/>
      <c r="C58" s="1907"/>
      <c r="D58" s="1907"/>
      <c r="E58" s="1907"/>
      <c r="F58" s="1907"/>
      <c r="G58" s="1907"/>
      <c r="H58" s="1907"/>
      <c r="I58" s="2525"/>
      <c r="J58" s="1907"/>
    </row>
    <row r="59" spans="1:10" hidden="1">
      <c r="A59" s="1356"/>
      <c r="B59" s="3291" t="s">
        <v>549</v>
      </c>
      <c r="C59" s="3292"/>
      <c r="D59" s="3292"/>
      <c r="E59" s="3292"/>
      <c r="F59" s="3292"/>
      <c r="G59" s="3292"/>
      <c r="H59" s="3292"/>
      <c r="I59" s="3292"/>
      <c r="J59" s="3293"/>
    </row>
    <row r="60" spans="1:10" hidden="1">
      <c r="A60" s="1066">
        <v>1</v>
      </c>
      <c r="B60" s="2504" t="s">
        <v>2007</v>
      </c>
      <c r="C60" s="2519"/>
      <c r="D60" s="2520"/>
      <c r="E60" s="2520"/>
      <c r="F60" s="2520"/>
      <c r="G60" s="2526"/>
      <c r="H60" s="2526"/>
      <c r="I60" s="2521">
        <v>3833.2205100000006</v>
      </c>
      <c r="J60" s="2526">
        <f>IFERROR(I60*10^7/F60,0)</f>
        <v>0</v>
      </c>
    </row>
    <row r="61" spans="1:10" hidden="1">
      <c r="A61" s="1066">
        <v>2</v>
      </c>
      <c r="B61" s="2504" t="s">
        <v>2030</v>
      </c>
      <c r="C61" s="2522"/>
      <c r="D61" s="2520"/>
      <c r="E61" s="2520"/>
      <c r="F61" s="2520"/>
      <c r="G61" s="2526"/>
      <c r="H61" s="2526"/>
      <c r="I61" s="2521">
        <v>875.68</v>
      </c>
      <c r="J61" s="2526">
        <f>IFERROR(I61*10^7/F61,0)</f>
        <v>0</v>
      </c>
    </row>
    <row r="62" spans="1:10" hidden="1">
      <c r="A62" s="1066">
        <v>3</v>
      </c>
      <c r="B62" s="2504" t="s">
        <v>2012</v>
      </c>
      <c r="C62" s="2522"/>
      <c r="D62" s="2520"/>
      <c r="E62" s="2520"/>
      <c r="F62" s="2520"/>
      <c r="G62" s="2526"/>
      <c r="H62" s="2526"/>
      <c r="I62" s="2521">
        <v>277.5</v>
      </c>
      <c r="J62" s="2526">
        <f>IFERROR(I62*10^7/F62,0)</f>
        <v>0</v>
      </c>
    </row>
    <row r="63" spans="1:10" hidden="1">
      <c r="A63" s="1066">
        <v>4</v>
      </c>
      <c r="B63" s="1364" t="s">
        <v>2239</v>
      </c>
      <c r="C63" s="2522"/>
      <c r="D63" s="2520"/>
      <c r="E63" s="2520"/>
      <c r="F63" s="2520"/>
      <c r="G63" s="2526"/>
      <c r="H63" s="2526"/>
      <c r="I63" s="2523">
        <v>2667.9875985000003</v>
      </c>
      <c r="J63" s="2526">
        <f>IFERROR(I63*10^7/F63,0)</f>
        <v>0</v>
      </c>
    </row>
    <row r="64" spans="1:10" hidden="1">
      <c r="A64" s="2508"/>
      <c r="B64" s="1364" t="s">
        <v>22</v>
      </c>
      <c r="C64" s="2522">
        <f t="shared" ref="C64:I64" si="9">SUM(C60:C63)</f>
        <v>0</v>
      </c>
      <c r="D64" s="2522">
        <f t="shared" si="9"/>
        <v>0</v>
      </c>
      <c r="E64" s="2522">
        <f t="shared" si="9"/>
        <v>0</v>
      </c>
      <c r="F64" s="2522">
        <f t="shared" si="9"/>
        <v>0</v>
      </c>
      <c r="G64" s="2522">
        <f t="shared" si="9"/>
        <v>0</v>
      </c>
      <c r="H64" s="2522">
        <f t="shared" si="9"/>
        <v>0</v>
      </c>
      <c r="I64" s="2524">
        <f t="shared" si="9"/>
        <v>7654.3881085000012</v>
      </c>
      <c r="J64" s="2520">
        <f>IFERROR(I64*10^7/F64,0)</f>
        <v>0</v>
      </c>
    </row>
    <row r="65" spans="1:10">
      <c r="A65" s="1356"/>
      <c r="B65" s="1869"/>
      <c r="C65" s="1894"/>
      <c r="D65" s="1894"/>
      <c r="E65" s="1894"/>
      <c r="F65" s="1894"/>
      <c r="G65" s="1894"/>
      <c r="H65" s="1894"/>
      <c r="I65" s="2509"/>
      <c r="J65" s="1894"/>
    </row>
    <row r="66" spans="1:10">
      <c r="A66" s="303" t="s">
        <v>2240</v>
      </c>
      <c r="B66" s="1356"/>
      <c r="C66" s="303"/>
      <c r="D66" s="1356"/>
      <c r="E66" s="1356"/>
      <c r="F66" s="1356"/>
      <c r="G66" s="1356"/>
      <c r="H66" s="1356"/>
      <c r="I66" s="2527"/>
      <c r="J66" s="1356"/>
    </row>
    <row r="68" spans="1:10">
      <c r="H68" s="1231"/>
      <c r="I68" s="2528"/>
      <c r="J68" s="1231"/>
    </row>
  </sheetData>
  <mergeCells count="13">
    <mergeCell ref="B59:J59"/>
    <mergeCell ref="B16:J16"/>
    <mergeCell ref="B24:J24"/>
    <mergeCell ref="B31:J31"/>
    <mergeCell ref="B38:J38"/>
    <mergeCell ref="B45:J45"/>
    <mergeCell ref="B52:J52"/>
    <mergeCell ref="B8:J8"/>
    <mergeCell ref="A1:B1"/>
    <mergeCell ref="G1:I1"/>
    <mergeCell ref="G2:I2"/>
    <mergeCell ref="A3:J3"/>
    <mergeCell ref="I4:J4"/>
  </mergeCells>
  <printOptions horizontalCentered="1" verticalCentered="1"/>
  <pageMargins left="0.23622047244094491" right="0.23622047244094491" top="0.74803149606299213" bottom="0.74803149606299213" header="0.31496062992125984" footer="0.31496062992125984"/>
  <pageSetup paperSize="9" scale="92" orientation="landscape" r:id="rId1"/>
  <headerFooter>
    <oddFooter>&amp;R&amp;P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view="pageBreakPreview" zoomScale="70" zoomScaleNormal="55" zoomScaleSheetLayoutView="70" workbookViewId="0">
      <selection activeCell="C105" sqref="C105"/>
    </sheetView>
  </sheetViews>
  <sheetFormatPr defaultRowHeight="14.5"/>
  <cols>
    <col min="1" max="1" width="6.7265625" style="2810" customWidth="1"/>
    <col min="2" max="2" width="39.7265625" style="2810" bestFit="1" customWidth="1"/>
    <col min="3" max="3" width="13.54296875" style="2810" hidden="1" customWidth="1"/>
    <col min="4" max="4" width="16.26953125" style="2813" hidden="1" customWidth="1"/>
    <col min="5" max="5" width="13.26953125" style="2810" hidden="1" customWidth="1"/>
    <col min="6" max="7" width="19.7265625" style="2810" hidden="1" customWidth="1"/>
    <col min="8" max="8" width="17.7265625" style="2810" customWidth="1"/>
    <col min="9" max="9" width="17.1796875" style="2810" customWidth="1"/>
    <col min="10" max="12" width="15.54296875" style="2810" hidden="1" customWidth="1"/>
    <col min="13" max="227" width="9.1796875" style="2810"/>
    <col min="228" max="228" width="6.7265625" style="2810" customWidth="1"/>
    <col min="229" max="229" width="13.26953125" style="2810" customWidth="1"/>
    <col min="230" max="230" width="14.26953125" style="2810" customWidth="1"/>
    <col min="231" max="231" width="11.7265625" style="2810" bestFit="1" customWidth="1"/>
    <col min="232" max="232" width="16.7265625" style="2810" bestFit="1" customWidth="1"/>
    <col min="233" max="238" width="16.7265625" style="2810" customWidth="1"/>
    <col min="239" max="239" width="13.7265625" style="2810" customWidth="1"/>
    <col min="240" max="240" width="11.26953125" style="2810" customWidth="1"/>
    <col min="241" max="241" width="16.26953125" style="2810" customWidth="1"/>
    <col min="242" max="242" width="9.1796875" style="2810"/>
    <col min="243" max="243" width="11" style="2810" customWidth="1"/>
    <col min="244" max="244" width="16" style="2810" customWidth="1"/>
    <col min="245" max="245" width="13.26953125" style="2810" customWidth="1"/>
    <col min="246" max="246" width="10.7265625" style="2810" customWidth="1"/>
    <col min="247" max="247" width="16.26953125" style="2810" customWidth="1"/>
    <col min="248" max="248" width="14.26953125" style="2810" customWidth="1"/>
    <col min="249" max="249" width="10.7265625" style="2810" customWidth="1"/>
    <col min="250" max="250" width="16" style="2810" customWidth="1"/>
    <col min="251" max="251" width="13.54296875" style="2810" customWidth="1"/>
    <col min="252" max="252" width="10.7265625" style="2810" bestFit="1" customWidth="1"/>
    <col min="253" max="253" width="16" style="2810" bestFit="1" customWidth="1"/>
    <col min="254" max="483" width="9.1796875" style="2810"/>
    <col min="484" max="484" width="6.7265625" style="2810" customWidth="1"/>
    <col min="485" max="485" width="13.26953125" style="2810" customWidth="1"/>
    <col min="486" max="486" width="14.26953125" style="2810" customWidth="1"/>
    <col min="487" max="487" width="11.7265625" style="2810" bestFit="1" customWidth="1"/>
    <col min="488" max="488" width="16.7265625" style="2810" bestFit="1" customWidth="1"/>
    <col min="489" max="494" width="16.7265625" style="2810" customWidth="1"/>
    <col min="495" max="495" width="13.7265625" style="2810" customWidth="1"/>
    <col min="496" max="496" width="11.26953125" style="2810" customWidth="1"/>
    <col min="497" max="497" width="16.26953125" style="2810" customWidth="1"/>
    <col min="498" max="498" width="9.1796875" style="2810"/>
    <col min="499" max="499" width="11" style="2810" customWidth="1"/>
    <col min="500" max="500" width="16" style="2810" customWidth="1"/>
    <col min="501" max="501" width="13.26953125" style="2810" customWidth="1"/>
    <col min="502" max="502" width="10.7265625" style="2810" customWidth="1"/>
    <col min="503" max="503" width="16.26953125" style="2810" customWidth="1"/>
    <col min="504" max="504" width="14.26953125" style="2810" customWidth="1"/>
    <col min="505" max="505" width="10.7265625" style="2810" customWidth="1"/>
    <col min="506" max="506" width="16" style="2810" customWidth="1"/>
    <col min="507" max="507" width="13.54296875" style="2810" customWidth="1"/>
    <col min="508" max="508" width="10.7265625" style="2810" bestFit="1" customWidth="1"/>
    <col min="509" max="509" width="16" style="2810" bestFit="1" customWidth="1"/>
    <col min="510" max="739" width="9.1796875" style="2810"/>
    <col min="740" max="740" width="6.7265625" style="2810" customWidth="1"/>
    <col min="741" max="741" width="13.26953125" style="2810" customWidth="1"/>
    <col min="742" max="742" width="14.26953125" style="2810" customWidth="1"/>
    <col min="743" max="743" width="11.7265625" style="2810" bestFit="1" customWidth="1"/>
    <col min="744" max="744" width="16.7265625" style="2810" bestFit="1" customWidth="1"/>
    <col min="745" max="750" width="16.7265625" style="2810" customWidth="1"/>
    <col min="751" max="751" width="13.7265625" style="2810" customWidth="1"/>
    <col min="752" max="752" width="11.26953125" style="2810" customWidth="1"/>
    <col min="753" max="753" width="16.26953125" style="2810" customWidth="1"/>
    <col min="754" max="754" width="9.1796875" style="2810"/>
    <col min="755" max="755" width="11" style="2810" customWidth="1"/>
    <col min="756" max="756" width="16" style="2810" customWidth="1"/>
    <col min="757" max="757" width="13.26953125" style="2810" customWidth="1"/>
    <col min="758" max="758" width="10.7265625" style="2810" customWidth="1"/>
    <col min="759" max="759" width="16.26953125" style="2810" customWidth="1"/>
    <col min="760" max="760" width="14.26953125" style="2810" customWidth="1"/>
    <col min="761" max="761" width="10.7265625" style="2810" customWidth="1"/>
    <col min="762" max="762" width="16" style="2810" customWidth="1"/>
    <col min="763" max="763" width="13.54296875" style="2810" customWidth="1"/>
    <col min="764" max="764" width="10.7265625" style="2810" bestFit="1" customWidth="1"/>
    <col min="765" max="765" width="16" style="2810" bestFit="1" customWidth="1"/>
    <col min="766" max="995" width="9.1796875" style="2810"/>
    <col min="996" max="996" width="6.7265625" style="2810" customWidth="1"/>
    <col min="997" max="997" width="13.26953125" style="2810" customWidth="1"/>
    <col min="998" max="998" width="14.26953125" style="2810" customWidth="1"/>
    <col min="999" max="999" width="11.7265625" style="2810" bestFit="1" customWidth="1"/>
    <col min="1000" max="1000" width="16.7265625" style="2810" bestFit="1" customWidth="1"/>
    <col min="1001" max="1006" width="16.7265625" style="2810" customWidth="1"/>
    <col min="1007" max="1007" width="13.7265625" style="2810" customWidth="1"/>
    <col min="1008" max="1008" width="11.26953125" style="2810" customWidth="1"/>
    <col min="1009" max="1009" width="16.26953125" style="2810" customWidth="1"/>
    <col min="1010" max="1010" width="9.1796875" style="2810"/>
    <col min="1011" max="1011" width="11" style="2810" customWidth="1"/>
    <col min="1012" max="1012" width="16" style="2810" customWidth="1"/>
    <col min="1013" max="1013" width="13.26953125" style="2810" customWidth="1"/>
    <col min="1014" max="1014" width="10.7265625" style="2810" customWidth="1"/>
    <col min="1015" max="1015" width="16.26953125" style="2810" customWidth="1"/>
    <col min="1016" max="1016" width="14.26953125" style="2810" customWidth="1"/>
    <col min="1017" max="1017" width="10.7265625" style="2810" customWidth="1"/>
    <col min="1018" max="1018" width="16" style="2810" customWidth="1"/>
    <col min="1019" max="1019" width="13.54296875" style="2810" customWidth="1"/>
    <col min="1020" max="1020" width="10.7265625" style="2810" bestFit="1" customWidth="1"/>
    <col min="1021" max="1021" width="16" style="2810" bestFit="1" customWidth="1"/>
    <col min="1022" max="1251" width="9.1796875" style="2810"/>
    <col min="1252" max="1252" width="6.7265625" style="2810" customWidth="1"/>
    <col min="1253" max="1253" width="13.26953125" style="2810" customWidth="1"/>
    <col min="1254" max="1254" width="14.26953125" style="2810" customWidth="1"/>
    <col min="1255" max="1255" width="11.7265625" style="2810" bestFit="1" customWidth="1"/>
    <col min="1256" max="1256" width="16.7265625" style="2810" bestFit="1" customWidth="1"/>
    <col min="1257" max="1262" width="16.7265625" style="2810" customWidth="1"/>
    <col min="1263" max="1263" width="13.7265625" style="2810" customWidth="1"/>
    <col min="1264" max="1264" width="11.26953125" style="2810" customWidth="1"/>
    <col min="1265" max="1265" width="16.26953125" style="2810" customWidth="1"/>
    <col min="1266" max="1266" width="9.1796875" style="2810"/>
    <col min="1267" max="1267" width="11" style="2810" customWidth="1"/>
    <col min="1268" max="1268" width="16" style="2810" customWidth="1"/>
    <col min="1269" max="1269" width="13.26953125" style="2810" customWidth="1"/>
    <col min="1270" max="1270" width="10.7265625" style="2810" customWidth="1"/>
    <col min="1271" max="1271" width="16.26953125" style="2810" customWidth="1"/>
    <col min="1272" max="1272" width="14.26953125" style="2810" customWidth="1"/>
    <col min="1273" max="1273" width="10.7265625" style="2810" customWidth="1"/>
    <col min="1274" max="1274" width="16" style="2810" customWidth="1"/>
    <col min="1275" max="1275" width="13.54296875" style="2810" customWidth="1"/>
    <col min="1276" max="1276" width="10.7265625" style="2810" bestFit="1" customWidth="1"/>
    <col min="1277" max="1277" width="16" style="2810" bestFit="1" customWidth="1"/>
    <col min="1278" max="1507" width="9.1796875" style="2810"/>
    <col min="1508" max="1508" width="6.7265625" style="2810" customWidth="1"/>
    <col min="1509" max="1509" width="13.26953125" style="2810" customWidth="1"/>
    <col min="1510" max="1510" width="14.26953125" style="2810" customWidth="1"/>
    <col min="1511" max="1511" width="11.7265625" style="2810" bestFit="1" customWidth="1"/>
    <col min="1512" max="1512" width="16.7265625" style="2810" bestFit="1" customWidth="1"/>
    <col min="1513" max="1518" width="16.7265625" style="2810" customWidth="1"/>
    <col min="1519" max="1519" width="13.7265625" style="2810" customWidth="1"/>
    <col min="1520" max="1520" width="11.26953125" style="2810" customWidth="1"/>
    <col min="1521" max="1521" width="16.26953125" style="2810" customWidth="1"/>
    <col min="1522" max="1522" width="9.1796875" style="2810"/>
    <col min="1523" max="1523" width="11" style="2810" customWidth="1"/>
    <col min="1524" max="1524" width="16" style="2810" customWidth="1"/>
    <col min="1525" max="1525" width="13.26953125" style="2810" customWidth="1"/>
    <col min="1526" max="1526" width="10.7265625" style="2810" customWidth="1"/>
    <col min="1527" max="1527" width="16.26953125" style="2810" customWidth="1"/>
    <col min="1528" max="1528" width="14.26953125" style="2810" customWidth="1"/>
    <col min="1529" max="1529" width="10.7265625" style="2810" customWidth="1"/>
    <col min="1530" max="1530" width="16" style="2810" customWidth="1"/>
    <col min="1531" max="1531" width="13.54296875" style="2810" customWidth="1"/>
    <col min="1532" max="1532" width="10.7265625" style="2810" bestFit="1" customWidth="1"/>
    <col min="1533" max="1533" width="16" style="2810" bestFit="1" customWidth="1"/>
    <col min="1534" max="1763" width="9.1796875" style="2810"/>
    <col min="1764" max="1764" width="6.7265625" style="2810" customWidth="1"/>
    <col min="1765" max="1765" width="13.26953125" style="2810" customWidth="1"/>
    <col min="1766" max="1766" width="14.26953125" style="2810" customWidth="1"/>
    <col min="1767" max="1767" width="11.7265625" style="2810" bestFit="1" customWidth="1"/>
    <col min="1768" max="1768" width="16.7265625" style="2810" bestFit="1" customWidth="1"/>
    <col min="1769" max="1774" width="16.7265625" style="2810" customWidth="1"/>
    <col min="1775" max="1775" width="13.7265625" style="2810" customWidth="1"/>
    <col min="1776" max="1776" width="11.26953125" style="2810" customWidth="1"/>
    <col min="1777" max="1777" width="16.26953125" style="2810" customWidth="1"/>
    <col min="1778" max="1778" width="9.1796875" style="2810"/>
    <col min="1779" max="1779" width="11" style="2810" customWidth="1"/>
    <col min="1780" max="1780" width="16" style="2810" customWidth="1"/>
    <col min="1781" max="1781" width="13.26953125" style="2810" customWidth="1"/>
    <col min="1782" max="1782" width="10.7265625" style="2810" customWidth="1"/>
    <col min="1783" max="1783" width="16.26953125" style="2810" customWidth="1"/>
    <col min="1784" max="1784" width="14.26953125" style="2810" customWidth="1"/>
    <col min="1785" max="1785" width="10.7265625" style="2810" customWidth="1"/>
    <col min="1786" max="1786" width="16" style="2810" customWidth="1"/>
    <col min="1787" max="1787" width="13.54296875" style="2810" customWidth="1"/>
    <col min="1788" max="1788" width="10.7265625" style="2810" bestFit="1" customWidth="1"/>
    <col min="1789" max="1789" width="16" style="2810" bestFit="1" customWidth="1"/>
    <col min="1790" max="2019" width="9.1796875" style="2810"/>
    <col min="2020" max="2020" width="6.7265625" style="2810" customWidth="1"/>
    <col min="2021" max="2021" width="13.26953125" style="2810" customWidth="1"/>
    <col min="2022" max="2022" width="14.26953125" style="2810" customWidth="1"/>
    <col min="2023" max="2023" width="11.7265625" style="2810" bestFit="1" customWidth="1"/>
    <col min="2024" max="2024" width="16.7265625" style="2810" bestFit="1" customWidth="1"/>
    <col min="2025" max="2030" width="16.7265625" style="2810" customWidth="1"/>
    <col min="2031" max="2031" width="13.7265625" style="2810" customWidth="1"/>
    <col min="2032" max="2032" width="11.26953125" style="2810" customWidth="1"/>
    <col min="2033" max="2033" width="16.26953125" style="2810" customWidth="1"/>
    <col min="2034" max="2034" width="9.1796875" style="2810"/>
    <col min="2035" max="2035" width="11" style="2810" customWidth="1"/>
    <col min="2036" max="2036" width="16" style="2810" customWidth="1"/>
    <col min="2037" max="2037" width="13.26953125" style="2810" customWidth="1"/>
    <col min="2038" max="2038" width="10.7265625" style="2810" customWidth="1"/>
    <col min="2039" max="2039" width="16.26953125" style="2810" customWidth="1"/>
    <col min="2040" max="2040" width="14.26953125" style="2810" customWidth="1"/>
    <col min="2041" max="2041" width="10.7265625" style="2810" customWidth="1"/>
    <col min="2042" max="2042" width="16" style="2810" customWidth="1"/>
    <col min="2043" max="2043" width="13.54296875" style="2810" customWidth="1"/>
    <col min="2044" max="2044" width="10.7265625" style="2810" bestFit="1" customWidth="1"/>
    <col min="2045" max="2045" width="16" style="2810" bestFit="1" customWidth="1"/>
    <col min="2046" max="2275" width="9.1796875" style="2810"/>
    <col min="2276" max="2276" width="6.7265625" style="2810" customWidth="1"/>
    <col min="2277" max="2277" width="13.26953125" style="2810" customWidth="1"/>
    <col min="2278" max="2278" width="14.26953125" style="2810" customWidth="1"/>
    <col min="2279" max="2279" width="11.7265625" style="2810" bestFit="1" customWidth="1"/>
    <col min="2280" max="2280" width="16.7265625" style="2810" bestFit="1" customWidth="1"/>
    <col min="2281" max="2286" width="16.7265625" style="2810" customWidth="1"/>
    <col min="2287" max="2287" width="13.7265625" style="2810" customWidth="1"/>
    <col min="2288" max="2288" width="11.26953125" style="2810" customWidth="1"/>
    <col min="2289" max="2289" width="16.26953125" style="2810" customWidth="1"/>
    <col min="2290" max="2290" width="9.1796875" style="2810"/>
    <col min="2291" max="2291" width="11" style="2810" customWidth="1"/>
    <col min="2292" max="2292" width="16" style="2810" customWidth="1"/>
    <col min="2293" max="2293" width="13.26953125" style="2810" customWidth="1"/>
    <col min="2294" max="2294" width="10.7265625" style="2810" customWidth="1"/>
    <col min="2295" max="2295" width="16.26953125" style="2810" customWidth="1"/>
    <col min="2296" max="2296" width="14.26953125" style="2810" customWidth="1"/>
    <col min="2297" max="2297" width="10.7265625" style="2810" customWidth="1"/>
    <col min="2298" max="2298" width="16" style="2810" customWidth="1"/>
    <col min="2299" max="2299" width="13.54296875" style="2810" customWidth="1"/>
    <col min="2300" max="2300" width="10.7265625" style="2810" bestFit="1" customWidth="1"/>
    <col min="2301" max="2301" width="16" style="2810" bestFit="1" customWidth="1"/>
    <col min="2302" max="2531" width="9.1796875" style="2810"/>
    <col min="2532" max="2532" width="6.7265625" style="2810" customWidth="1"/>
    <col min="2533" max="2533" width="13.26953125" style="2810" customWidth="1"/>
    <col min="2534" max="2534" width="14.26953125" style="2810" customWidth="1"/>
    <col min="2535" max="2535" width="11.7265625" style="2810" bestFit="1" customWidth="1"/>
    <col min="2536" max="2536" width="16.7265625" style="2810" bestFit="1" customWidth="1"/>
    <col min="2537" max="2542" width="16.7265625" style="2810" customWidth="1"/>
    <col min="2543" max="2543" width="13.7265625" style="2810" customWidth="1"/>
    <col min="2544" max="2544" width="11.26953125" style="2810" customWidth="1"/>
    <col min="2545" max="2545" width="16.26953125" style="2810" customWidth="1"/>
    <col min="2546" max="2546" width="9.1796875" style="2810"/>
    <col min="2547" max="2547" width="11" style="2810" customWidth="1"/>
    <col min="2548" max="2548" width="16" style="2810" customWidth="1"/>
    <col min="2549" max="2549" width="13.26953125" style="2810" customWidth="1"/>
    <col min="2550" max="2550" width="10.7265625" style="2810" customWidth="1"/>
    <col min="2551" max="2551" width="16.26953125" style="2810" customWidth="1"/>
    <col min="2552" max="2552" width="14.26953125" style="2810" customWidth="1"/>
    <col min="2553" max="2553" width="10.7265625" style="2810" customWidth="1"/>
    <col min="2554" max="2554" width="16" style="2810" customWidth="1"/>
    <col min="2555" max="2555" width="13.54296875" style="2810" customWidth="1"/>
    <col min="2556" max="2556" width="10.7265625" style="2810" bestFit="1" customWidth="1"/>
    <col min="2557" max="2557" width="16" style="2810" bestFit="1" customWidth="1"/>
    <col min="2558" max="2787" width="9.1796875" style="2810"/>
    <col min="2788" max="2788" width="6.7265625" style="2810" customWidth="1"/>
    <col min="2789" max="2789" width="13.26953125" style="2810" customWidth="1"/>
    <col min="2790" max="2790" width="14.26953125" style="2810" customWidth="1"/>
    <col min="2791" max="2791" width="11.7265625" style="2810" bestFit="1" customWidth="1"/>
    <col min="2792" max="2792" width="16.7265625" style="2810" bestFit="1" customWidth="1"/>
    <col min="2793" max="2798" width="16.7265625" style="2810" customWidth="1"/>
    <col min="2799" max="2799" width="13.7265625" style="2810" customWidth="1"/>
    <col min="2800" max="2800" width="11.26953125" style="2810" customWidth="1"/>
    <col min="2801" max="2801" width="16.26953125" style="2810" customWidth="1"/>
    <col min="2802" max="2802" width="9.1796875" style="2810"/>
    <col min="2803" max="2803" width="11" style="2810" customWidth="1"/>
    <col min="2804" max="2804" width="16" style="2810" customWidth="1"/>
    <col min="2805" max="2805" width="13.26953125" style="2810" customWidth="1"/>
    <col min="2806" max="2806" width="10.7265625" style="2810" customWidth="1"/>
    <col min="2807" max="2807" width="16.26953125" style="2810" customWidth="1"/>
    <col min="2808" max="2808" width="14.26953125" style="2810" customWidth="1"/>
    <col min="2809" max="2809" width="10.7265625" style="2810" customWidth="1"/>
    <col min="2810" max="2810" width="16" style="2810" customWidth="1"/>
    <col min="2811" max="2811" width="13.54296875" style="2810" customWidth="1"/>
    <col min="2812" max="2812" width="10.7265625" style="2810" bestFit="1" customWidth="1"/>
    <col min="2813" max="2813" width="16" style="2810" bestFit="1" customWidth="1"/>
    <col min="2814" max="3043" width="9.1796875" style="2810"/>
    <col min="3044" max="3044" width="6.7265625" style="2810" customWidth="1"/>
    <col min="3045" max="3045" width="13.26953125" style="2810" customWidth="1"/>
    <col min="3046" max="3046" width="14.26953125" style="2810" customWidth="1"/>
    <col min="3047" max="3047" width="11.7265625" style="2810" bestFit="1" customWidth="1"/>
    <col min="3048" max="3048" width="16.7265625" style="2810" bestFit="1" customWidth="1"/>
    <col min="3049" max="3054" width="16.7265625" style="2810" customWidth="1"/>
    <col min="3055" max="3055" width="13.7265625" style="2810" customWidth="1"/>
    <col min="3056" max="3056" width="11.26953125" style="2810" customWidth="1"/>
    <col min="3057" max="3057" width="16.26953125" style="2810" customWidth="1"/>
    <col min="3058" max="3058" width="9.1796875" style="2810"/>
    <col min="3059" max="3059" width="11" style="2810" customWidth="1"/>
    <col min="3060" max="3060" width="16" style="2810" customWidth="1"/>
    <col min="3061" max="3061" width="13.26953125" style="2810" customWidth="1"/>
    <col min="3062" max="3062" width="10.7265625" style="2810" customWidth="1"/>
    <col min="3063" max="3063" width="16.26953125" style="2810" customWidth="1"/>
    <col min="3064" max="3064" width="14.26953125" style="2810" customWidth="1"/>
    <col min="3065" max="3065" width="10.7265625" style="2810" customWidth="1"/>
    <col min="3066" max="3066" width="16" style="2810" customWidth="1"/>
    <col min="3067" max="3067" width="13.54296875" style="2810" customWidth="1"/>
    <col min="3068" max="3068" width="10.7265625" style="2810" bestFit="1" customWidth="1"/>
    <col min="3069" max="3069" width="16" style="2810" bestFit="1" customWidth="1"/>
    <col min="3070" max="3299" width="9.1796875" style="2810"/>
    <col min="3300" max="3300" width="6.7265625" style="2810" customWidth="1"/>
    <col min="3301" max="3301" width="13.26953125" style="2810" customWidth="1"/>
    <col min="3302" max="3302" width="14.26953125" style="2810" customWidth="1"/>
    <col min="3303" max="3303" width="11.7265625" style="2810" bestFit="1" customWidth="1"/>
    <col min="3304" max="3304" width="16.7265625" style="2810" bestFit="1" customWidth="1"/>
    <col min="3305" max="3310" width="16.7265625" style="2810" customWidth="1"/>
    <col min="3311" max="3311" width="13.7265625" style="2810" customWidth="1"/>
    <col min="3312" max="3312" width="11.26953125" style="2810" customWidth="1"/>
    <col min="3313" max="3313" width="16.26953125" style="2810" customWidth="1"/>
    <col min="3314" max="3314" width="9.1796875" style="2810"/>
    <col min="3315" max="3315" width="11" style="2810" customWidth="1"/>
    <col min="3316" max="3316" width="16" style="2810" customWidth="1"/>
    <col min="3317" max="3317" width="13.26953125" style="2810" customWidth="1"/>
    <col min="3318" max="3318" width="10.7265625" style="2810" customWidth="1"/>
    <col min="3319" max="3319" width="16.26953125" style="2810" customWidth="1"/>
    <col min="3320" max="3320" width="14.26953125" style="2810" customWidth="1"/>
    <col min="3321" max="3321" width="10.7265625" style="2810" customWidth="1"/>
    <col min="3322" max="3322" width="16" style="2810" customWidth="1"/>
    <col min="3323" max="3323" width="13.54296875" style="2810" customWidth="1"/>
    <col min="3324" max="3324" width="10.7265625" style="2810" bestFit="1" customWidth="1"/>
    <col min="3325" max="3325" width="16" style="2810" bestFit="1" customWidth="1"/>
    <col min="3326" max="3555" width="9.1796875" style="2810"/>
    <col min="3556" max="3556" width="6.7265625" style="2810" customWidth="1"/>
    <col min="3557" max="3557" width="13.26953125" style="2810" customWidth="1"/>
    <col min="3558" max="3558" width="14.26953125" style="2810" customWidth="1"/>
    <col min="3559" max="3559" width="11.7265625" style="2810" bestFit="1" customWidth="1"/>
    <col min="3560" max="3560" width="16.7265625" style="2810" bestFit="1" customWidth="1"/>
    <col min="3561" max="3566" width="16.7265625" style="2810" customWidth="1"/>
    <col min="3567" max="3567" width="13.7265625" style="2810" customWidth="1"/>
    <col min="3568" max="3568" width="11.26953125" style="2810" customWidth="1"/>
    <col min="3569" max="3569" width="16.26953125" style="2810" customWidth="1"/>
    <col min="3570" max="3570" width="9.1796875" style="2810"/>
    <col min="3571" max="3571" width="11" style="2810" customWidth="1"/>
    <col min="3572" max="3572" width="16" style="2810" customWidth="1"/>
    <col min="3573" max="3573" width="13.26953125" style="2810" customWidth="1"/>
    <col min="3574" max="3574" width="10.7265625" style="2810" customWidth="1"/>
    <col min="3575" max="3575" width="16.26953125" style="2810" customWidth="1"/>
    <col min="3576" max="3576" width="14.26953125" style="2810" customWidth="1"/>
    <col min="3577" max="3577" width="10.7265625" style="2810" customWidth="1"/>
    <col min="3578" max="3578" width="16" style="2810" customWidth="1"/>
    <col min="3579" max="3579" width="13.54296875" style="2810" customWidth="1"/>
    <col min="3580" max="3580" width="10.7265625" style="2810" bestFit="1" customWidth="1"/>
    <col min="3581" max="3581" width="16" style="2810" bestFit="1" customWidth="1"/>
    <col min="3582" max="3811" width="9.1796875" style="2810"/>
    <col min="3812" max="3812" width="6.7265625" style="2810" customWidth="1"/>
    <col min="3813" max="3813" width="13.26953125" style="2810" customWidth="1"/>
    <col min="3814" max="3814" width="14.26953125" style="2810" customWidth="1"/>
    <col min="3815" max="3815" width="11.7265625" style="2810" bestFit="1" customWidth="1"/>
    <col min="3816" max="3816" width="16.7265625" style="2810" bestFit="1" customWidth="1"/>
    <col min="3817" max="3822" width="16.7265625" style="2810" customWidth="1"/>
    <col min="3823" max="3823" width="13.7265625" style="2810" customWidth="1"/>
    <col min="3824" max="3824" width="11.26953125" style="2810" customWidth="1"/>
    <col min="3825" max="3825" width="16.26953125" style="2810" customWidth="1"/>
    <col min="3826" max="3826" width="9.1796875" style="2810"/>
    <col min="3827" max="3827" width="11" style="2810" customWidth="1"/>
    <col min="3828" max="3828" width="16" style="2810" customWidth="1"/>
    <col min="3829" max="3829" width="13.26953125" style="2810" customWidth="1"/>
    <col min="3830" max="3830" width="10.7265625" style="2810" customWidth="1"/>
    <col min="3831" max="3831" width="16.26953125" style="2810" customWidth="1"/>
    <col min="3832" max="3832" width="14.26953125" style="2810" customWidth="1"/>
    <col min="3833" max="3833" width="10.7265625" style="2810" customWidth="1"/>
    <col min="3834" max="3834" width="16" style="2810" customWidth="1"/>
    <col min="3835" max="3835" width="13.54296875" style="2810" customWidth="1"/>
    <col min="3836" max="3836" width="10.7265625" style="2810" bestFit="1" customWidth="1"/>
    <col min="3837" max="3837" width="16" style="2810" bestFit="1" customWidth="1"/>
    <col min="3838" max="4067" width="9.1796875" style="2810"/>
    <col min="4068" max="4068" width="6.7265625" style="2810" customWidth="1"/>
    <col min="4069" max="4069" width="13.26953125" style="2810" customWidth="1"/>
    <col min="4070" max="4070" width="14.26953125" style="2810" customWidth="1"/>
    <col min="4071" max="4071" width="11.7265625" style="2810" bestFit="1" customWidth="1"/>
    <col min="4072" max="4072" width="16.7265625" style="2810" bestFit="1" customWidth="1"/>
    <col min="4073" max="4078" width="16.7265625" style="2810" customWidth="1"/>
    <col min="4079" max="4079" width="13.7265625" style="2810" customWidth="1"/>
    <col min="4080" max="4080" width="11.26953125" style="2810" customWidth="1"/>
    <col min="4081" max="4081" width="16.26953125" style="2810" customWidth="1"/>
    <col min="4082" max="4082" width="9.1796875" style="2810"/>
    <col min="4083" max="4083" width="11" style="2810" customWidth="1"/>
    <col min="4084" max="4084" width="16" style="2810" customWidth="1"/>
    <col min="4085" max="4085" width="13.26953125" style="2810" customWidth="1"/>
    <col min="4086" max="4086" width="10.7265625" style="2810" customWidth="1"/>
    <col min="4087" max="4087" width="16.26953125" style="2810" customWidth="1"/>
    <col min="4088" max="4088" width="14.26953125" style="2810" customWidth="1"/>
    <col min="4089" max="4089" width="10.7265625" style="2810" customWidth="1"/>
    <col min="4090" max="4090" width="16" style="2810" customWidth="1"/>
    <col min="4091" max="4091" width="13.54296875" style="2810" customWidth="1"/>
    <col min="4092" max="4092" width="10.7265625" style="2810" bestFit="1" customWidth="1"/>
    <col min="4093" max="4093" width="16" style="2810" bestFit="1" customWidth="1"/>
    <col min="4094" max="4323" width="9.1796875" style="2810"/>
    <col min="4324" max="4324" width="6.7265625" style="2810" customWidth="1"/>
    <col min="4325" max="4325" width="13.26953125" style="2810" customWidth="1"/>
    <col min="4326" max="4326" width="14.26953125" style="2810" customWidth="1"/>
    <col min="4327" max="4327" width="11.7265625" style="2810" bestFit="1" customWidth="1"/>
    <col min="4328" max="4328" width="16.7265625" style="2810" bestFit="1" customWidth="1"/>
    <col min="4329" max="4334" width="16.7265625" style="2810" customWidth="1"/>
    <col min="4335" max="4335" width="13.7265625" style="2810" customWidth="1"/>
    <col min="4336" max="4336" width="11.26953125" style="2810" customWidth="1"/>
    <col min="4337" max="4337" width="16.26953125" style="2810" customWidth="1"/>
    <col min="4338" max="4338" width="9.1796875" style="2810"/>
    <col min="4339" max="4339" width="11" style="2810" customWidth="1"/>
    <col min="4340" max="4340" width="16" style="2810" customWidth="1"/>
    <col min="4341" max="4341" width="13.26953125" style="2810" customWidth="1"/>
    <col min="4342" max="4342" width="10.7265625" style="2810" customWidth="1"/>
    <col min="4343" max="4343" width="16.26953125" style="2810" customWidth="1"/>
    <col min="4344" max="4344" width="14.26953125" style="2810" customWidth="1"/>
    <col min="4345" max="4345" width="10.7265625" style="2810" customWidth="1"/>
    <col min="4346" max="4346" width="16" style="2810" customWidth="1"/>
    <col min="4347" max="4347" width="13.54296875" style="2810" customWidth="1"/>
    <col min="4348" max="4348" width="10.7265625" style="2810" bestFit="1" customWidth="1"/>
    <col min="4349" max="4349" width="16" style="2810" bestFit="1" customWidth="1"/>
    <col min="4350" max="4579" width="9.1796875" style="2810"/>
    <col min="4580" max="4580" width="6.7265625" style="2810" customWidth="1"/>
    <col min="4581" max="4581" width="13.26953125" style="2810" customWidth="1"/>
    <col min="4582" max="4582" width="14.26953125" style="2810" customWidth="1"/>
    <col min="4583" max="4583" width="11.7265625" style="2810" bestFit="1" customWidth="1"/>
    <col min="4584" max="4584" width="16.7265625" style="2810" bestFit="1" customWidth="1"/>
    <col min="4585" max="4590" width="16.7265625" style="2810" customWidth="1"/>
    <col min="4591" max="4591" width="13.7265625" style="2810" customWidth="1"/>
    <col min="4592" max="4592" width="11.26953125" style="2810" customWidth="1"/>
    <col min="4593" max="4593" width="16.26953125" style="2810" customWidth="1"/>
    <col min="4594" max="4594" width="9.1796875" style="2810"/>
    <col min="4595" max="4595" width="11" style="2810" customWidth="1"/>
    <col min="4596" max="4596" width="16" style="2810" customWidth="1"/>
    <col min="4597" max="4597" width="13.26953125" style="2810" customWidth="1"/>
    <col min="4598" max="4598" width="10.7265625" style="2810" customWidth="1"/>
    <col min="4599" max="4599" width="16.26953125" style="2810" customWidth="1"/>
    <col min="4600" max="4600" width="14.26953125" style="2810" customWidth="1"/>
    <col min="4601" max="4601" width="10.7265625" style="2810" customWidth="1"/>
    <col min="4602" max="4602" width="16" style="2810" customWidth="1"/>
    <col min="4603" max="4603" width="13.54296875" style="2810" customWidth="1"/>
    <col min="4604" max="4604" width="10.7265625" style="2810" bestFit="1" customWidth="1"/>
    <col min="4605" max="4605" width="16" style="2810" bestFit="1" customWidth="1"/>
    <col min="4606" max="4835" width="9.1796875" style="2810"/>
    <col min="4836" max="4836" width="6.7265625" style="2810" customWidth="1"/>
    <col min="4837" max="4837" width="13.26953125" style="2810" customWidth="1"/>
    <col min="4838" max="4838" width="14.26953125" style="2810" customWidth="1"/>
    <col min="4839" max="4839" width="11.7265625" style="2810" bestFit="1" customWidth="1"/>
    <col min="4840" max="4840" width="16.7265625" style="2810" bestFit="1" customWidth="1"/>
    <col min="4841" max="4846" width="16.7265625" style="2810" customWidth="1"/>
    <col min="4847" max="4847" width="13.7265625" style="2810" customWidth="1"/>
    <col min="4848" max="4848" width="11.26953125" style="2810" customWidth="1"/>
    <col min="4849" max="4849" width="16.26953125" style="2810" customWidth="1"/>
    <col min="4850" max="4850" width="9.1796875" style="2810"/>
    <col min="4851" max="4851" width="11" style="2810" customWidth="1"/>
    <col min="4852" max="4852" width="16" style="2810" customWidth="1"/>
    <col min="4853" max="4853" width="13.26953125" style="2810" customWidth="1"/>
    <col min="4854" max="4854" width="10.7265625" style="2810" customWidth="1"/>
    <col min="4855" max="4855" width="16.26953125" style="2810" customWidth="1"/>
    <col min="4856" max="4856" width="14.26953125" style="2810" customWidth="1"/>
    <col min="4857" max="4857" width="10.7265625" style="2810" customWidth="1"/>
    <col min="4858" max="4858" width="16" style="2810" customWidth="1"/>
    <col min="4859" max="4859" width="13.54296875" style="2810" customWidth="1"/>
    <col min="4860" max="4860" width="10.7265625" style="2810" bestFit="1" customWidth="1"/>
    <col min="4861" max="4861" width="16" style="2810" bestFit="1" customWidth="1"/>
    <col min="4862" max="5091" width="9.1796875" style="2810"/>
    <col min="5092" max="5092" width="6.7265625" style="2810" customWidth="1"/>
    <col min="5093" max="5093" width="13.26953125" style="2810" customWidth="1"/>
    <col min="5094" max="5094" width="14.26953125" style="2810" customWidth="1"/>
    <col min="5095" max="5095" width="11.7265625" style="2810" bestFit="1" customWidth="1"/>
    <col min="5096" max="5096" width="16.7265625" style="2810" bestFit="1" customWidth="1"/>
    <col min="5097" max="5102" width="16.7265625" style="2810" customWidth="1"/>
    <col min="5103" max="5103" width="13.7265625" style="2810" customWidth="1"/>
    <col min="5104" max="5104" width="11.26953125" style="2810" customWidth="1"/>
    <col min="5105" max="5105" width="16.26953125" style="2810" customWidth="1"/>
    <col min="5106" max="5106" width="9.1796875" style="2810"/>
    <col min="5107" max="5107" width="11" style="2810" customWidth="1"/>
    <col min="5108" max="5108" width="16" style="2810" customWidth="1"/>
    <col min="5109" max="5109" width="13.26953125" style="2810" customWidth="1"/>
    <col min="5110" max="5110" width="10.7265625" style="2810" customWidth="1"/>
    <col min="5111" max="5111" width="16.26953125" style="2810" customWidth="1"/>
    <col min="5112" max="5112" width="14.26953125" style="2810" customWidth="1"/>
    <col min="5113" max="5113" width="10.7265625" style="2810" customWidth="1"/>
    <col min="5114" max="5114" width="16" style="2810" customWidth="1"/>
    <col min="5115" max="5115" width="13.54296875" style="2810" customWidth="1"/>
    <col min="5116" max="5116" width="10.7265625" style="2810" bestFit="1" customWidth="1"/>
    <col min="5117" max="5117" width="16" style="2810" bestFit="1" customWidth="1"/>
    <col min="5118" max="5347" width="9.1796875" style="2810"/>
    <col min="5348" max="5348" width="6.7265625" style="2810" customWidth="1"/>
    <col min="5349" max="5349" width="13.26953125" style="2810" customWidth="1"/>
    <col min="5350" max="5350" width="14.26953125" style="2810" customWidth="1"/>
    <col min="5351" max="5351" width="11.7265625" style="2810" bestFit="1" customWidth="1"/>
    <col min="5352" max="5352" width="16.7265625" style="2810" bestFit="1" customWidth="1"/>
    <col min="5353" max="5358" width="16.7265625" style="2810" customWidth="1"/>
    <col min="5359" max="5359" width="13.7265625" style="2810" customWidth="1"/>
    <col min="5360" max="5360" width="11.26953125" style="2810" customWidth="1"/>
    <col min="5361" max="5361" width="16.26953125" style="2810" customWidth="1"/>
    <col min="5362" max="5362" width="9.1796875" style="2810"/>
    <col min="5363" max="5363" width="11" style="2810" customWidth="1"/>
    <col min="5364" max="5364" width="16" style="2810" customWidth="1"/>
    <col min="5365" max="5365" width="13.26953125" style="2810" customWidth="1"/>
    <col min="5366" max="5366" width="10.7265625" style="2810" customWidth="1"/>
    <col min="5367" max="5367" width="16.26953125" style="2810" customWidth="1"/>
    <col min="5368" max="5368" width="14.26953125" style="2810" customWidth="1"/>
    <col min="5369" max="5369" width="10.7265625" style="2810" customWidth="1"/>
    <col min="5370" max="5370" width="16" style="2810" customWidth="1"/>
    <col min="5371" max="5371" width="13.54296875" style="2810" customWidth="1"/>
    <col min="5372" max="5372" width="10.7265625" style="2810" bestFit="1" customWidth="1"/>
    <col min="5373" max="5373" width="16" style="2810" bestFit="1" customWidth="1"/>
    <col min="5374" max="5603" width="9.1796875" style="2810"/>
    <col min="5604" max="5604" width="6.7265625" style="2810" customWidth="1"/>
    <col min="5605" max="5605" width="13.26953125" style="2810" customWidth="1"/>
    <col min="5606" max="5606" width="14.26953125" style="2810" customWidth="1"/>
    <col min="5607" max="5607" width="11.7265625" style="2810" bestFit="1" customWidth="1"/>
    <col min="5608" max="5608" width="16.7265625" style="2810" bestFit="1" customWidth="1"/>
    <col min="5609" max="5614" width="16.7265625" style="2810" customWidth="1"/>
    <col min="5615" max="5615" width="13.7265625" style="2810" customWidth="1"/>
    <col min="5616" max="5616" width="11.26953125" style="2810" customWidth="1"/>
    <col min="5617" max="5617" width="16.26953125" style="2810" customWidth="1"/>
    <col min="5618" max="5618" width="9.1796875" style="2810"/>
    <col min="5619" max="5619" width="11" style="2810" customWidth="1"/>
    <col min="5620" max="5620" width="16" style="2810" customWidth="1"/>
    <col min="5621" max="5621" width="13.26953125" style="2810" customWidth="1"/>
    <col min="5622" max="5622" width="10.7265625" style="2810" customWidth="1"/>
    <col min="5623" max="5623" width="16.26953125" style="2810" customWidth="1"/>
    <col min="5624" max="5624" width="14.26953125" style="2810" customWidth="1"/>
    <col min="5625" max="5625" width="10.7265625" style="2810" customWidth="1"/>
    <col min="5626" max="5626" width="16" style="2810" customWidth="1"/>
    <col min="5627" max="5627" width="13.54296875" style="2810" customWidth="1"/>
    <col min="5628" max="5628" width="10.7265625" style="2810" bestFit="1" customWidth="1"/>
    <col min="5629" max="5629" width="16" style="2810" bestFit="1" customWidth="1"/>
    <col min="5630" max="5859" width="9.1796875" style="2810"/>
    <col min="5860" max="5860" width="6.7265625" style="2810" customWidth="1"/>
    <col min="5861" max="5861" width="13.26953125" style="2810" customWidth="1"/>
    <col min="5862" max="5862" width="14.26953125" style="2810" customWidth="1"/>
    <col min="5863" max="5863" width="11.7265625" style="2810" bestFit="1" customWidth="1"/>
    <col min="5864" max="5864" width="16.7265625" style="2810" bestFit="1" customWidth="1"/>
    <col min="5865" max="5870" width="16.7265625" style="2810" customWidth="1"/>
    <col min="5871" max="5871" width="13.7265625" style="2810" customWidth="1"/>
    <col min="5872" max="5872" width="11.26953125" style="2810" customWidth="1"/>
    <col min="5873" max="5873" width="16.26953125" style="2810" customWidth="1"/>
    <col min="5874" max="5874" width="9.1796875" style="2810"/>
    <col min="5875" max="5875" width="11" style="2810" customWidth="1"/>
    <col min="5876" max="5876" width="16" style="2810" customWidth="1"/>
    <col min="5877" max="5877" width="13.26953125" style="2810" customWidth="1"/>
    <col min="5878" max="5878" width="10.7265625" style="2810" customWidth="1"/>
    <col min="5879" max="5879" width="16.26953125" style="2810" customWidth="1"/>
    <col min="5880" max="5880" width="14.26953125" style="2810" customWidth="1"/>
    <col min="5881" max="5881" width="10.7265625" style="2810" customWidth="1"/>
    <col min="5882" max="5882" width="16" style="2810" customWidth="1"/>
    <col min="5883" max="5883" width="13.54296875" style="2810" customWidth="1"/>
    <col min="5884" max="5884" width="10.7265625" style="2810" bestFit="1" customWidth="1"/>
    <col min="5885" max="5885" width="16" style="2810" bestFit="1" customWidth="1"/>
    <col min="5886" max="6115" width="9.1796875" style="2810"/>
    <col min="6116" max="6116" width="6.7265625" style="2810" customWidth="1"/>
    <col min="6117" max="6117" width="13.26953125" style="2810" customWidth="1"/>
    <col min="6118" max="6118" width="14.26953125" style="2810" customWidth="1"/>
    <col min="6119" max="6119" width="11.7265625" style="2810" bestFit="1" customWidth="1"/>
    <col min="6120" max="6120" width="16.7265625" style="2810" bestFit="1" customWidth="1"/>
    <col min="6121" max="6126" width="16.7265625" style="2810" customWidth="1"/>
    <col min="6127" max="6127" width="13.7265625" style="2810" customWidth="1"/>
    <col min="6128" max="6128" width="11.26953125" style="2810" customWidth="1"/>
    <col min="6129" max="6129" width="16.26953125" style="2810" customWidth="1"/>
    <col min="6130" max="6130" width="9.1796875" style="2810"/>
    <col min="6131" max="6131" width="11" style="2810" customWidth="1"/>
    <col min="6132" max="6132" width="16" style="2810" customWidth="1"/>
    <col min="6133" max="6133" width="13.26953125" style="2810" customWidth="1"/>
    <col min="6134" max="6134" width="10.7265625" style="2810" customWidth="1"/>
    <col min="6135" max="6135" width="16.26953125" style="2810" customWidth="1"/>
    <col min="6136" max="6136" width="14.26953125" style="2810" customWidth="1"/>
    <col min="6137" max="6137" width="10.7265625" style="2810" customWidth="1"/>
    <col min="6138" max="6138" width="16" style="2810" customWidth="1"/>
    <col min="6139" max="6139" width="13.54296875" style="2810" customWidth="1"/>
    <col min="6140" max="6140" width="10.7265625" style="2810" bestFit="1" customWidth="1"/>
    <col min="6141" max="6141" width="16" style="2810" bestFit="1" customWidth="1"/>
    <col min="6142" max="6371" width="9.1796875" style="2810"/>
    <col min="6372" max="6372" width="6.7265625" style="2810" customWidth="1"/>
    <col min="6373" max="6373" width="13.26953125" style="2810" customWidth="1"/>
    <col min="6374" max="6374" width="14.26953125" style="2810" customWidth="1"/>
    <col min="6375" max="6375" width="11.7265625" style="2810" bestFit="1" customWidth="1"/>
    <col min="6376" max="6376" width="16.7265625" style="2810" bestFit="1" customWidth="1"/>
    <col min="6377" max="6382" width="16.7265625" style="2810" customWidth="1"/>
    <col min="6383" max="6383" width="13.7265625" style="2810" customWidth="1"/>
    <col min="6384" max="6384" width="11.26953125" style="2810" customWidth="1"/>
    <col min="6385" max="6385" width="16.26953125" style="2810" customWidth="1"/>
    <col min="6386" max="6386" width="9.1796875" style="2810"/>
    <col min="6387" max="6387" width="11" style="2810" customWidth="1"/>
    <col min="6388" max="6388" width="16" style="2810" customWidth="1"/>
    <col min="6389" max="6389" width="13.26953125" style="2810" customWidth="1"/>
    <col min="6390" max="6390" width="10.7265625" style="2810" customWidth="1"/>
    <col min="6391" max="6391" width="16.26953125" style="2810" customWidth="1"/>
    <col min="6392" max="6392" width="14.26953125" style="2810" customWidth="1"/>
    <col min="6393" max="6393" width="10.7265625" style="2810" customWidth="1"/>
    <col min="6394" max="6394" width="16" style="2810" customWidth="1"/>
    <col min="6395" max="6395" width="13.54296875" style="2810" customWidth="1"/>
    <col min="6396" max="6396" width="10.7265625" style="2810" bestFit="1" customWidth="1"/>
    <col min="6397" max="6397" width="16" style="2810" bestFit="1" customWidth="1"/>
    <col min="6398" max="6627" width="9.1796875" style="2810"/>
    <col min="6628" max="6628" width="6.7265625" style="2810" customWidth="1"/>
    <col min="6629" max="6629" width="13.26953125" style="2810" customWidth="1"/>
    <col min="6630" max="6630" width="14.26953125" style="2810" customWidth="1"/>
    <col min="6631" max="6631" width="11.7265625" style="2810" bestFit="1" customWidth="1"/>
    <col min="6632" max="6632" width="16.7265625" style="2810" bestFit="1" customWidth="1"/>
    <col min="6633" max="6638" width="16.7265625" style="2810" customWidth="1"/>
    <col min="6639" max="6639" width="13.7265625" style="2810" customWidth="1"/>
    <col min="6640" max="6640" width="11.26953125" style="2810" customWidth="1"/>
    <col min="6641" max="6641" width="16.26953125" style="2810" customWidth="1"/>
    <col min="6642" max="6642" width="9.1796875" style="2810"/>
    <col min="6643" max="6643" width="11" style="2810" customWidth="1"/>
    <col min="6644" max="6644" width="16" style="2810" customWidth="1"/>
    <col min="6645" max="6645" width="13.26953125" style="2810" customWidth="1"/>
    <col min="6646" max="6646" width="10.7265625" style="2810" customWidth="1"/>
    <col min="6647" max="6647" width="16.26953125" style="2810" customWidth="1"/>
    <col min="6648" max="6648" width="14.26953125" style="2810" customWidth="1"/>
    <col min="6649" max="6649" width="10.7265625" style="2810" customWidth="1"/>
    <col min="6650" max="6650" width="16" style="2810" customWidth="1"/>
    <col min="6651" max="6651" width="13.54296875" style="2810" customWidth="1"/>
    <col min="6652" max="6652" width="10.7265625" style="2810" bestFit="1" customWidth="1"/>
    <col min="6653" max="6653" width="16" style="2810" bestFit="1" customWidth="1"/>
    <col min="6654" max="6883" width="9.1796875" style="2810"/>
    <col min="6884" max="6884" width="6.7265625" style="2810" customWidth="1"/>
    <col min="6885" max="6885" width="13.26953125" style="2810" customWidth="1"/>
    <col min="6886" max="6886" width="14.26953125" style="2810" customWidth="1"/>
    <col min="6887" max="6887" width="11.7265625" style="2810" bestFit="1" customWidth="1"/>
    <col min="6888" max="6888" width="16.7265625" style="2810" bestFit="1" customWidth="1"/>
    <col min="6889" max="6894" width="16.7265625" style="2810" customWidth="1"/>
    <col min="6895" max="6895" width="13.7265625" style="2810" customWidth="1"/>
    <col min="6896" max="6896" width="11.26953125" style="2810" customWidth="1"/>
    <col min="6897" max="6897" width="16.26953125" style="2810" customWidth="1"/>
    <col min="6898" max="6898" width="9.1796875" style="2810"/>
    <col min="6899" max="6899" width="11" style="2810" customWidth="1"/>
    <col min="6900" max="6900" width="16" style="2810" customWidth="1"/>
    <col min="6901" max="6901" width="13.26953125" style="2810" customWidth="1"/>
    <col min="6902" max="6902" width="10.7265625" style="2810" customWidth="1"/>
    <col min="6903" max="6903" width="16.26953125" style="2810" customWidth="1"/>
    <col min="6904" max="6904" width="14.26953125" style="2810" customWidth="1"/>
    <col min="6905" max="6905" width="10.7265625" style="2810" customWidth="1"/>
    <col min="6906" max="6906" width="16" style="2810" customWidth="1"/>
    <col min="6907" max="6907" width="13.54296875" style="2810" customWidth="1"/>
    <col min="6908" max="6908" width="10.7265625" style="2810" bestFit="1" customWidth="1"/>
    <col min="6909" max="6909" width="16" style="2810" bestFit="1" customWidth="1"/>
    <col min="6910" max="7139" width="9.1796875" style="2810"/>
    <col min="7140" max="7140" width="6.7265625" style="2810" customWidth="1"/>
    <col min="7141" max="7141" width="13.26953125" style="2810" customWidth="1"/>
    <col min="7142" max="7142" width="14.26953125" style="2810" customWidth="1"/>
    <col min="7143" max="7143" width="11.7265625" style="2810" bestFit="1" customWidth="1"/>
    <col min="7144" max="7144" width="16.7265625" style="2810" bestFit="1" customWidth="1"/>
    <col min="7145" max="7150" width="16.7265625" style="2810" customWidth="1"/>
    <col min="7151" max="7151" width="13.7265625" style="2810" customWidth="1"/>
    <col min="7152" max="7152" width="11.26953125" style="2810" customWidth="1"/>
    <col min="7153" max="7153" width="16.26953125" style="2810" customWidth="1"/>
    <col min="7154" max="7154" width="9.1796875" style="2810"/>
    <col min="7155" max="7155" width="11" style="2810" customWidth="1"/>
    <col min="7156" max="7156" width="16" style="2810" customWidth="1"/>
    <col min="7157" max="7157" width="13.26953125" style="2810" customWidth="1"/>
    <col min="7158" max="7158" width="10.7265625" style="2810" customWidth="1"/>
    <col min="7159" max="7159" width="16.26953125" style="2810" customWidth="1"/>
    <col min="7160" max="7160" width="14.26953125" style="2810" customWidth="1"/>
    <col min="7161" max="7161" width="10.7265625" style="2810" customWidth="1"/>
    <col min="7162" max="7162" width="16" style="2810" customWidth="1"/>
    <col min="7163" max="7163" width="13.54296875" style="2810" customWidth="1"/>
    <col min="7164" max="7164" width="10.7265625" style="2810" bestFit="1" customWidth="1"/>
    <col min="7165" max="7165" width="16" style="2810" bestFit="1" customWidth="1"/>
    <col min="7166" max="7395" width="9.1796875" style="2810"/>
    <col min="7396" max="7396" width="6.7265625" style="2810" customWidth="1"/>
    <col min="7397" max="7397" width="13.26953125" style="2810" customWidth="1"/>
    <col min="7398" max="7398" width="14.26953125" style="2810" customWidth="1"/>
    <col min="7399" max="7399" width="11.7265625" style="2810" bestFit="1" customWidth="1"/>
    <col min="7400" max="7400" width="16.7265625" style="2810" bestFit="1" customWidth="1"/>
    <col min="7401" max="7406" width="16.7265625" style="2810" customWidth="1"/>
    <col min="7407" max="7407" width="13.7265625" style="2810" customWidth="1"/>
    <col min="7408" max="7408" width="11.26953125" style="2810" customWidth="1"/>
    <col min="7409" max="7409" width="16.26953125" style="2810" customWidth="1"/>
    <col min="7410" max="7410" width="9.1796875" style="2810"/>
    <col min="7411" max="7411" width="11" style="2810" customWidth="1"/>
    <col min="7412" max="7412" width="16" style="2810" customWidth="1"/>
    <col min="7413" max="7413" width="13.26953125" style="2810" customWidth="1"/>
    <col min="7414" max="7414" width="10.7265625" style="2810" customWidth="1"/>
    <col min="7415" max="7415" width="16.26953125" style="2810" customWidth="1"/>
    <col min="7416" max="7416" width="14.26953125" style="2810" customWidth="1"/>
    <col min="7417" max="7417" width="10.7265625" style="2810" customWidth="1"/>
    <col min="7418" max="7418" width="16" style="2810" customWidth="1"/>
    <col min="7419" max="7419" width="13.54296875" style="2810" customWidth="1"/>
    <col min="7420" max="7420" width="10.7265625" style="2810" bestFit="1" customWidth="1"/>
    <col min="7421" max="7421" width="16" style="2810" bestFit="1" customWidth="1"/>
    <col min="7422" max="7651" width="9.1796875" style="2810"/>
    <col min="7652" max="7652" width="6.7265625" style="2810" customWidth="1"/>
    <col min="7653" max="7653" width="13.26953125" style="2810" customWidth="1"/>
    <col min="7654" max="7654" width="14.26953125" style="2810" customWidth="1"/>
    <col min="7655" max="7655" width="11.7265625" style="2810" bestFit="1" customWidth="1"/>
    <col min="7656" max="7656" width="16.7265625" style="2810" bestFit="1" customWidth="1"/>
    <col min="7657" max="7662" width="16.7265625" style="2810" customWidth="1"/>
    <col min="7663" max="7663" width="13.7265625" style="2810" customWidth="1"/>
    <col min="7664" max="7664" width="11.26953125" style="2810" customWidth="1"/>
    <col min="7665" max="7665" width="16.26953125" style="2810" customWidth="1"/>
    <col min="7666" max="7666" width="9.1796875" style="2810"/>
    <col min="7667" max="7667" width="11" style="2810" customWidth="1"/>
    <col min="7668" max="7668" width="16" style="2810" customWidth="1"/>
    <col min="7669" max="7669" width="13.26953125" style="2810" customWidth="1"/>
    <col min="7670" max="7670" width="10.7265625" style="2810" customWidth="1"/>
    <col min="7671" max="7671" width="16.26953125" style="2810" customWidth="1"/>
    <col min="7672" max="7672" width="14.26953125" style="2810" customWidth="1"/>
    <col min="7673" max="7673" width="10.7265625" style="2810" customWidth="1"/>
    <col min="7674" max="7674" width="16" style="2810" customWidth="1"/>
    <col min="7675" max="7675" width="13.54296875" style="2810" customWidth="1"/>
    <col min="7676" max="7676" width="10.7265625" style="2810" bestFit="1" customWidth="1"/>
    <col min="7677" max="7677" width="16" style="2810" bestFit="1" customWidth="1"/>
    <col min="7678" max="7907" width="9.1796875" style="2810"/>
    <col min="7908" max="7908" width="6.7265625" style="2810" customWidth="1"/>
    <col min="7909" max="7909" width="13.26953125" style="2810" customWidth="1"/>
    <col min="7910" max="7910" width="14.26953125" style="2810" customWidth="1"/>
    <col min="7911" max="7911" width="11.7265625" style="2810" bestFit="1" customWidth="1"/>
    <col min="7912" max="7912" width="16.7265625" style="2810" bestFit="1" customWidth="1"/>
    <col min="7913" max="7918" width="16.7265625" style="2810" customWidth="1"/>
    <col min="7919" max="7919" width="13.7265625" style="2810" customWidth="1"/>
    <col min="7920" max="7920" width="11.26953125" style="2810" customWidth="1"/>
    <col min="7921" max="7921" width="16.26953125" style="2810" customWidth="1"/>
    <col min="7922" max="7922" width="9.1796875" style="2810"/>
    <col min="7923" max="7923" width="11" style="2810" customWidth="1"/>
    <col min="7924" max="7924" width="16" style="2810" customWidth="1"/>
    <col min="7925" max="7925" width="13.26953125" style="2810" customWidth="1"/>
    <col min="7926" max="7926" width="10.7265625" style="2810" customWidth="1"/>
    <col min="7927" max="7927" width="16.26953125" style="2810" customWidth="1"/>
    <col min="7928" max="7928" width="14.26953125" style="2810" customWidth="1"/>
    <col min="7929" max="7929" width="10.7265625" style="2810" customWidth="1"/>
    <col min="7930" max="7930" width="16" style="2810" customWidth="1"/>
    <col min="7931" max="7931" width="13.54296875" style="2810" customWidth="1"/>
    <col min="7932" max="7932" width="10.7265625" style="2810" bestFit="1" customWidth="1"/>
    <col min="7933" max="7933" width="16" style="2810" bestFit="1" customWidth="1"/>
    <col min="7934" max="8163" width="9.1796875" style="2810"/>
    <col min="8164" max="8164" width="6.7265625" style="2810" customWidth="1"/>
    <col min="8165" max="8165" width="13.26953125" style="2810" customWidth="1"/>
    <col min="8166" max="8166" width="14.26953125" style="2810" customWidth="1"/>
    <col min="8167" max="8167" width="11.7265625" style="2810" bestFit="1" customWidth="1"/>
    <col min="8168" max="8168" width="16.7265625" style="2810" bestFit="1" customWidth="1"/>
    <col min="8169" max="8174" width="16.7265625" style="2810" customWidth="1"/>
    <col min="8175" max="8175" width="13.7265625" style="2810" customWidth="1"/>
    <col min="8176" max="8176" width="11.26953125" style="2810" customWidth="1"/>
    <col min="8177" max="8177" width="16.26953125" style="2810" customWidth="1"/>
    <col min="8178" max="8178" width="9.1796875" style="2810"/>
    <col min="8179" max="8179" width="11" style="2810" customWidth="1"/>
    <col min="8180" max="8180" width="16" style="2810" customWidth="1"/>
    <col min="8181" max="8181" width="13.26953125" style="2810" customWidth="1"/>
    <col min="8182" max="8182" width="10.7265625" style="2810" customWidth="1"/>
    <col min="8183" max="8183" width="16.26953125" style="2810" customWidth="1"/>
    <col min="8184" max="8184" width="14.26953125" style="2810" customWidth="1"/>
    <col min="8185" max="8185" width="10.7265625" style="2810" customWidth="1"/>
    <col min="8186" max="8186" width="16" style="2810" customWidth="1"/>
    <col min="8187" max="8187" width="13.54296875" style="2810" customWidth="1"/>
    <col min="8188" max="8188" width="10.7265625" style="2810" bestFit="1" customWidth="1"/>
    <col min="8189" max="8189" width="16" style="2810" bestFit="1" customWidth="1"/>
    <col min="8190" max="8419" width="9.1796875" style="2810"/>
    <col min="8420" max="8420" width="6.7265625" style="2810" customWidth="1"/>
    <col min="8421" max="8421" width="13.26953125" style="2810" customWidth="1"/>
    <col min="8422" max="8422" width="14.26953125" style="2810" customWidth="1"/>
    <col min="8423" max="8423" width="11.7265625" style="2810" bestFit="1" customWidth="1"/>
    <col min="8424" max="8424" width="16.7265625" style="2810" bestFit="1" customWidth="1"/>
    <col min="8425" max="8430" width="16.7265625" style="2810" customWidth="1"/>
    <col min="8431" max="8431" width="13.7265625" style="2810" customWidth="1"/>
    <col min="8432" max="8432" width="11.26953125" style="2810" customWidth="1"/>
    <col min="8433" max="8433" width="16.26953125" style="2810" customWidth="1"/>
    <col min="8434" max="8434" width="9.1796875" style="2810"/>
    <col min="8435" max="8435" width="11" style="2810" customWidth="1"/>
    <col min="8436" max="8436" width="16" style="2810" customWidth="1"/>
    <col min="8437" max="8437" width="13.26953125" style="2810" customWidth="1"/>
    <col min="8438" max="8438" width="10.7265625" style="2810" customWidth="1"/>
    <col min="8439" max="8439" width="16.26953125" style="2810" customWidth="1"/>
    <col min="8440" max="8440" width="14.26953125" style="2810" customWidth="1"/>
    <col min="8441" max="8441" width="10.7265625" style="2810" customWidth="1"/>
    <col min="8442" max="8442" width="16" style="2810" customWidth="1"/>
    <col min="8443" max="8443" width="13.54296875" style="2810" customWidth="1"/>
    <col min="8444" max="8444" width="10.7265625" style="2810" bestFit="1" customWidth="1"/>
    <col min="8445" max="8445" width="16" style="2810" bestFit="1" customWidth="1"/>
    <col min="8446" max="8675" width="9.1796875" style="2810"/>
    <col min="8676" max="8676" width="6.7265625" style="2810" customWidth="1"/>
    <col min="8677" max="8677" width="13.26953125" style="2810" customWidth="1"/>
    <col min="8678" max="8678" width="14.26953125" style="2810" customWidth="1"/>
    <col min="8679" max="8679" width="11.7265625" style="2810" bestFit="1" customWidth="1"/>
    <col min="8680" max="8680" width="16.7265625" style="2810" bestFit="1" customWidth="1"/>
    <col min="8681" max="8686" width="16.7265625" style="2810" customWidth="1"/>
    <col min="8687" max="8687" width="13.7265625" style="2810" customWidth="1"/>
    <col min="8688" max="8688" width="11.26953125" style="2810" customWidth="1"/>
    <col min="8689" max="8689" width="16.26953125" style="2810" customWidth="1"/>
    <col min="8690" max="8690" width="9.1796875" style="2810"/>
    <col min="8691" max="8691" width="11" style="2810" customWidth="1"/>
    <col min="8692" max="8692" width="16" style="2810" customWidth="1"/>
    <col min="8693" max="8693" width="13.26953125" style="2810" customWidth="1"/>
    <col min="8694" max="8694" width="10.7265625" style="2810" customWidth="1"/>
    <col min="8695" max="8695" width="16.26953125" style="2810" customWidth="1"/>
    <col min="8696" max="8696" width="14.26953125" style="2810" customWidth="1"/>
    <col min="8697" max="8697" width="10.7265625" style="2810" customWidth="1"/>
    <col min="8698" max="8698" width="16" style="2810" customWidth="1"/>
    <col min="8699" max="8699" width="13.54296875" style="2810" customWidth="1"/>
    <col min="8700" max="8700" width="10.7265625" style="2810" bestFit="1" customWidth="1"/>
    <col min="8701" max="8701" width="16" style="2810" bestFit="1" customWidth="1"/>
    <col min="8702" max="8931" width="9.1796875" style="2810"/>
    <col min="8932" max="8932" width="6.7265625" style="2810" customWidth="1"/>
    <col min="8933" max="8933" width="13.26953125" style="2810" customWidth="1"/>
    <col min="8934" max="8934" width="14.26953125" style="2810" customWidth="1"/>
    <col min="8935" max="8935" width="11.7265625" style="2810" bestFit="1" customWidth="1"/>
    <col min="8936" max="8936" width="16.7265625" style="2810" bestFit="1" customWidth="1"/>
    <col min="8937" max="8942" width="16.7265625" style="2810" customWidth="1"/>
    <col min="8943" max="8943" width="13.7265625" style="2810" customWidth="1"/>
    <col min="8944" max="8944" width="11.26953125" style="2810" customWidth="1"/>
    <col min="8945" max="8945" width="16.26953125" style="2810" customWidth="1"/>
    <col min="8946" max="8946" width="9.1796875" style="2810"/>
    <col min="8947" max="8947" width="11" style="2810" customWidth="1"/>
    <col min="8948" max="8948" width="16" style="2810" customWidth="1"/>
    <col min="8949" max="8949" width="13.26953125" style="2810" customWidth="1"/>
    <col min="8950" max="8950" width="10.7265625" style="2810" customWidth="1"/>
    <col min="8951" max="8951" width="16.26953125" style="2810" customWidth="1"/>
    <col min="8952" max="8952" width="14.26953125" style="2810" customWidth="1"/>
    <col min="8953" max="8953" width="10.7265625" style="2810" customWidth="1"/>
    <col min="8954" max="8954" width="16" style="2810" customWidth="1"/>
    <col min="8955" max="8955" width="13.54296875" style="2810" customWidth="1"/>
    <col min="8956" max="8956" width="10.7265625" style="2810" bestFit="1" customWidth="1"/>
    <col min="8957" max="8957" width="16" style="2810" bestFit="1" customWidth="1"/>
    <col min="8958" max="9187" width="9.1796875" style="2810"/>
    <col min="9188" max="9188" width="6.7265625" style="2810" customWidth="1"/>
    <col min="9189" max="9189" width="13.26953125" style="2810" customWidth="1"/>
    <col min="9190" max="9190" width="14.26953125" style="2810" customWidth="1"/>
    <col min="9191" max="9191" width="11.7265625" style="2810" bestFit="1" customWidth="1"/>
    <col min="9192" max="9192" width="16.7265625" style="2810" bestFit="1" customWidth="1"/>
    <col min="9193" max="9198" width="16.7265625" style="2810" customWidth="1"/>
    <col min="9199" max="9199" width="13.7265625" style="2810" customWidth="1"/>
    <col min="9200" max="9200" width="11.26953125" style="2810" customWidth="1"/>
    <col min="9201" max="9201" width="16.26953125" style="2810" customWidth="1"/>
    <col min="9202" max="9202" width="9.1796875" style="2810"/>
    <col min="9203" max="9203" width="11" style="2810" customWidth="1"/>
    <col min="9204" max="9204" width="16" style="2810" customWidth="1"/>
    <col min="9205" max="9205" width="13.26953125" style="2810" customWidth="1"/>
    <col min="9206" max="9206" width="10.7265625" style="2810" customWidth="1"/>
    <col min="9207" max="9207" width="16.26953125" style="2810" customWidth="1"/>
    <col min="9208" max="9208" width="14.26953125" style="2810" customWidth="1"/>
    <col min="9209" max="9209" width="10.7265625" style="2810" customWidth="1"/>
    <col min="9210" max="9210" width="16" style="2810" customWidth="1"/>
    <col min="9211" max="9211" width="13.54296875" style="2810" customWidth="1"/>
    <col min="9212" max="9212" width="10.7265625" style="2810" bestFit="1" customWidth="1"/>
    <col min="9213" max="9213" width="16" style="2810" bestFit="1" customWidth="1"/>
    <col min="9214" max="9443" width="9.1796875" style="2810"/>
    <col min="9444" max="9444" width="6.7265625" style="2810" customWidth="1"/>
    <col min="9445" max="9445" width="13.26953125" style="2810" customWidth="1"/>
    <col min="9446" max="9446" width="14.26953125" style="2810" customWidth="1"/>
    <col min="9447" max="9447" width="11.7265625" style="2810" bestFit="1" customWidth="1"/>
    <col min="9448" max="9448" width="16.7265625" style="2810" bestFit="1" customWidth="1"/>
    <col min="9449" max="9454" width="16.7265625" style="2810" customWidth="1"/>
    <col min="9455" max="9455" width="13.7265625" style="2810" customWidth="1"/>
    <col min="9456" max="9456" width="11.26953125" style="2810" customWidth="1"/>
    <col min="9457" max="9457" width="16.26953125" style="2810" customWidth="1"/>
    <col min="9458" max="9458" width="9.1796875" style="2810"/>
    <col min="9459" max="9459" width="11" style="2810" customWidth="1"/>
    <col min="9460" max="9460" width="16" style="2810" customWidth="1"/>
    <col min="9461" max="9461" width="13.26953125" style="2810" customWidth="1"/>
    <col min="9462" max="9462" width="10.7265625" style="2810" customWidth="1"/>
    <col min="9463" max="9463" width="16.26953125" style="2810" customWidth="1"/>
    <col min="9464" max="9464" width="14.26953125" style="2810" customWidth="1"/>
    <col min="9465" max="9465" width="10.7265625" style="2810" customWidth="1"/>
    <col min="9466" max="9466" width="16" style="2810" customWidth="1"/>
    <col min="9467" max="9467" width="13.54296875" style="2810" customWidth="1"/>
    <col min="9468" max="9468" width="10.7265625" style="2810" bestFit="1" customWidth="1"/>
    <col min="9469" max="9469" width="16" style="2810" bestFit="1" customWidth="1"/>
    <col min="9470" max="9699" width="9.1796875" style="2810"/>
    <col min="9700" max="9700" width="6.7265625" style="2810" customWidth="1"/>
    <col min="9701" max="9701" width="13.26953125" style="2810" customWidth="1"/>
    <col min="9702" max="9702" width="14.26953125" style="2810" customWidth="1"/>
    <col min="9703" max="9703" width="11.7265625" style="2810" bestFit="1" customWidth="1"/>
    <col min="9704" max="9704" width="16.7265625" style="2810" bestFit="1" customWidth="1"/>
    <col min="9705" max="9710" width="16.7265625" style="2810" customWidth="1"/>
    <col min="9711" max="9711" width="13.7265625" style="2810" customWidth="1"/>
    <col min="9712" max="9712" width="11.26953125" style="2810" customWidth="1"/>
    <col min="9713" max="9713" width="16.26953125" style="2810" customWidth="1"/>
    <col min="9714" max="9714" width="9.1796875" style="2810"/>
    <col min="9715" max="9715" width="11" style="2810" customWidth="1"/>
    <col min="9716" max="9716" width="16" style="2810" customWidth="1"/>
    <col min="9717" max="9717" width="13.26953125" style="2810" customWidth="1"/>
    <col min="9718" max="9718" width="10.7265625" style="2810" customWidth="1"/>
    <col min="9719" max="9719" width="16.26953125" style="2810" customWidth="1"/>
    <col min="9720" max="9720" width="14.26953125" style="2810" customWidth="1"/>
    <col min="9721" max="9721" width="10.7265625" style="2810" customWidth="1"/>
    <col min="9722" max="9722" width="16" style="2810" customWidth="1"/>
    <col min="9723" max="9723" width="13.54296875" style="2810" customWidth="1"/>
    <col min="9724" max="9724" width="10.7265625" style="2810" bestFit="1" customWidth="1"/>
    <col min="9725" max="9725" width="16" style="2810" bestFit="1" customWidth="1"/>
    <col min="9726" max="9955" width="9.1796875" style="2810"/>
    <col min="9956" max="9956" width="6.7265625" style="2810" customWidth="1"/>
    <col min="9957" max="9957" width="13.26953125" style="2810" customWidth="1"/>
    <col min="9958" max="9958" width="14.26953125" style="2810" customWidth="1"/>
    <col min="9959" max="9959" width="11.7265625" style="2810" bestFit="1" customWidth="1"/>
    <col min="9960" max="9960" width="16.7265625" style="2810" bestFit="1" customWidth="1"/>
    <col min="9961" max="9966" width="16.7265625" style="2810" customWidth="1"/>
    <col min="9967" max="9967" width="13.7265625" style="2810" customWidth="1"/>
    <col min="9968" max="9968" width="11.26953125" style="2810" customWidth="1"/>
    <col min="9969" max="9969" width="16.26953125" style="2810" customWidth="1"/>
    <col min="9970" max="9970" width="9.1796875" style="2810"/>
    <col min="9971" max="9971" width="11" style="2810" customWidth="1"/>
    <col min="9972" max="9972" width="16" style="2810" customWidth="1"/>
    <col min="9973" max="9973" width="13.26953125" style="2810" customWidth="1"/>
    <col min="9974" max="9974" width="10.7265625" style="2810" customWidth="1"/>
    <col min="9975" max="9975" width="16.26953125" style="2810" customWidth="1"/>
    <col min="9976" max="9976" width="14.26953125" style="2810" customWidth="1"/>
    <col min="9977" max="9977" width="10.7265625" style="2810" customWidth="1"/>
    <col min="9978" max="9978" width="16" style="2810" customWidth="1"/>
    <col min="9979" max="9979" width="13.54296875" style="2810" customWidth="1"/>
    <col min="9980" max="9980" width="10.7265625" style="2810" bestFit="1" customWidth="1"/>
    <col min="9981" max="9981" width="16" style="2810" bestFit="1" customWidth="1"/>
    <col min="9982" max="10211" width="9.1796875" style="2810"/>
    <col min="10212" max="10212" width="6.7265625" style="2810" customWidth="1"/>
    <col min="10213" max="10213" width="13.26953125" style="2810" customWidth="1"/>
    <col min="10214" max="10214" width="14.26953125" style="2810" customWidth="1"/>
    <col min="10215" max="10215" width="11.7265625" style="2810" bestFit="1" customWidth="1"/>
    <col min="10216" max="10216" width="16.7265625" style="2810" bestFit="1" customWidth="1"/>
    <col min="10217" max="10222" width="16.7265625" style="2810" customWidth="1"/>
    <col min="10223" max="10223" width="13.7265625" style="2810" customWidth="1"/>
    <col min="10224" max="10224" width="11.26953125" style="2810" customWidth="1"/>
    <col min="10225" max="10225" width="16.26953125" style="2810" customWidth="1"/>
    <col min="10226" max="10226" width="9.1796875" style="2810"/>
    <col min="10227" max="10227" width="11" style="2810" customWidth="1"/>
    <col min="10228" max="10228" width="16" style="2810" customWidth="1"/>
    <col min="10229" max="10229" width="13.26953125" style="2810" customWidth="1"/>
    <col min="10230" max="10230" width="10.7265625" style="2810" customWidth="1"/>
    <col min="10231" max="10231" width="16.26953125" style="2810" customWidth="1"/>
    <col min="10232" max="10232" width="14.26953125" style="2810" customWidth="1"/>
    <col min="10233" max="10233" width="10.7265625" style="2810" customWidth="1"/>
    <col min="10234" max="10234" width="16" style="2810" customWidth="1"/>
    <col min="10235" max="10235" width="13.54296875" style="2810" customWidth="1"/>
    <col min="10236" max="10236" width="10.7265625" style="2810" bestFit="1" customWidth="1"/>
    <col min="10237" max="10237" width="16" style="2810" bestFit="1" customWidth="1"/>
    <col min="10238" max="10467" width="9.1796875" style="2810"/>
    <col min="10468" max="10468" width="6.7265625" style="2810" customWidth="1"/>
    <col min="10469" max="10469" width="13.26953125" style="2810" customWidth="1"/>
    <col min="10470" max="10470" width="14.26953125" style="2810" customWidth="1"/>
    <col min="10471" max="10471" width="11.7265625" style="2810" bestFit="1" customWidth="1"/>
    <col min="10472" max="10472" width="16.7265625" style="2810" bestFit="1" customWidth="1"/>
    <col min="10473" max="10478" width="16.7265625" style="2810" customWidth="1"/>
    <col min="10479" max="10479" width="13.7265625" style="2810" customWidth="1"/>
    <col min="10480" max="10480" width="11.26953125" style="2810" customWidth="1"/>
    <col min="10481" max="10481" width="16.26953125" style="2810" customWidth="1"/>
    <col min="10482" max="10482" width="9.1796875" style="2810"/>
    <col min="10483" max="10483" width="11" style="2810" customWidth="1"/>
    <col min="10484" max="10484" width="16" style="2810" customWidth="1"/>
    <col min="10485" max="10485" width="13.26953125" style="2810" customWidth="1"/>
    <col min="10486" max="10486" width="10.7265625" style="2810" customWidth="1"/>
    <col min="10487" max="10487" width="16.26953125" style="2810" customWidth="1"/>
    <col min="10488" max="10488" width="14.26953125" style="2810" customWidth="1"/>
    <col min="10489" max="10489" width="10.7265625" style="2810" customWidth="1"/>
    <col min="10490" max="10490" width="16" style="2810" customWidth="1"/>
    <col min="10491" max="10491" width="13.54296875" style="2810" customWidth="1"/>
    <col min="10492" max="10492" width="10.7265625" style="2810" bestFit="1" customWidth="1"/>
    <col min="10493" max="10493" width="16" style="2810" bestFit="1" customWidth="1"/>
    <col min="10494" max="10723" width="9.1796875" style="2810"/>
    <col min="10724" max="10724" width="6.7265625" style="2810" customWidth="1"/>
    <col min="10725" max="10725" width="13.26953125" style="2810" customWidth="1"/>
    <col min="10726" max="10726" width="14.26953125" style="2810" customWidth="1"/>
    <col min="10727" max="10727" width="11.7265625" style="2810" bestFit="1" customWidth="1"/>
    <col min="10728" max="10728" width="16.7265625" style="2810" bestFit="1" customWidth="1"/>
    <col min="10729" max="10734" width="16.7265625" style="2810" customWidth="1"/>
    <col min="10735" max="10735" width="13.7265625" style="2810" customWidth="1"/>
    <col min="10736" max="10736" width="11.26953125" style="2810" customWidth="1"/>
    <col min="10737" max="10737" width="16.26953125" style="2810" customWidth="1"/>
    <col min="10738" max="10738" width="9.1796875" style="2810"/>
    <col min="10739" max="10739" width="11" style="2810" customWidth="1"/>
    <col min="10740" max="10740" width="16" style="2810" customWidth="1"/>
    <col min="10741" max="10741" width="13.26953125" style="2810" customWidth="1"/>
    <col min="10742" max="10742" width="10.7265625" style="2810" customWidth="1"/>
    <col min="10743" max="10743" width="16.26953125" style="2810" customWidth="1"/>
    <col min="10744" max="10744" width="14.26953125" style="2810" customWidth="1"/>
    <col min="10745" max="10745" width="10.7265625" style="2810" customWidth="1"/>
    <col min="10746" max="10746" width="16" style="2810" customWidth="1"/>
    <col min="10747" max="10747" width="13.54296875" style="2810" customWidth="1"/>
    <col min="10748" max="10748" width="10.7265625" style="2810" bestFit="1" customWidth="1"/>
    <col min="10749" max="10749" width="16" style="2810" bestFit="1" customWidth="1"/>
    <col min="10750" max="10979" width="9.1796875" style="2810"/>
    <col min="10980" max="10980" width="6.7265625" style="2810" customWidth="1"/>
    <col min="10981" max="10981" width="13.26953125" style="2810" customWidth="1"/>
    <col min="10982" max="10982" width="14.26953125" style="2810" customWidth="1"/>
    <col min="10983" max="10983" width="11.7265625" style="2810" bestFit="1" customWidth="1"/>
    <col min="10984" max="10984" width="16.7265625" style="2810" bestFit="1" customWidth="1"/>
    <col min="10985" max="10990" width="16.7265625" style="2810" customWidth="1"/>
    <col min="10991" max="10991" width="13.7265625" style="2810" customWidth="1"/>
    <col min="10992" max="10992" width="11.26953125" style="2810" customWidth="1"/>
    <col min="10993" max="10993" width="16.26953125" style="2810" customWidth="1"/>
    <col min="10994" max="10994" width="9.1796875" style="2810"/>
    <col min="10995" max="10995" width="11" style="2810" customWidth="1"/>
    <col min="10996" max="10996" width="16" style="2810" customWidth="1"/>
    <col min="10997" max="10997" width="13.26953125" style="2810" customWidth="1"/>
    <col min="10998" max="10998" width="10.7265625" style="2810" customWidth="1"/>
    <col min="10999" max="10999" width="16.26953125" style="2810" customWidth="1"/>
    <col min="11000" max="11000" width="14.26953125" style="2810" customWidth="1"/>
    <col min="11001" max="11001" width="10.7265625" style="2810" customWidth="1"/>
    <col min="11002" max="11002" width="16" style="2810" customWidth="1"/>
    <col min="11003" max="11003" width="13.54296875" style="2810" customWidth="1"/>
    <col min="11004" max="11004" width="10.7265625" style="2810" bestFit="1" customWidth="1"/>
    <col min="11005" max="11005" width="16" style="2810" bestFit="1" customWidth="1"/>
    <col min="11006" max="11235" width="9.1796875" style="2810"/>
    <col min="11236" max="11236" width="6.7265625" style="2810" customWidth="1"/>
    <col min="11237" max="11237" width="13.26953125" style="2810" customWidth="1"/>
    <col min="11238" max="11238" width="14.26953125" style="2810" customWidth="1"/>
    <col min="11239" max="11239" width="11.7265625" style="2810" bestFit="1" customWidth="1"/>
    <col min="11240" max="11240" width="16.7265625" style="2810" bestFit="1" customWidth="1"/>
    <col min="11241" max="11246" width="16.7265625" style="2810" customWidth="1"/>
    <col min="11247" max="11247" width="13.7265625" style="2810" customWidth="1"/>
    <col min="11248" max="11248" width="11.26953125" style="2810" customWidth="1"/>
    <col min="11249" max="11249" width="16.26953125" style="2810" customWidth="1"/>
    <col min="11250" max="11250" width="9.1796875" style="2810"/>
    <col min="11251" max="11251" width="11" style="2810" customWidth="1"/>
    <col min="11252" max="11252" width="16" style="2810" customWidth="1"/>
    <col min="11253" max="11253" width="13.26953125" style="2810" customWidth="1"/>
    <col min="11254" max="11254" width="10.7265625" style="2810" customWidth="1"/>
    <col min="11255" max="11255" width="16.26953125" style="2810" customWidth="1"/>
    <col min="11256" max="11256" width="14.26953125" style="2810" customWidth="1"/>
    <col min="11257" max="11257" width="10.7265625" style="2810" customWidth="1"/>
    <col min="11258" max="11258" width="16" style="2810" customWidth="1"/>
    <col min="11259" max="11259" width="13.54296875" style="2810" customWidth="1"/>
    <col min="11260" max="11260" width="10.7265625" style="2810" bestFit="1" customWidth="1"/>
    <col min="11261" max="11261" width="16" style="2810" bestFit="1" customWidth="1"/>
    <col min="11262" max="11491" width="9.1796875" style="2810"/>
    <col min="11492" max="11492" width="6.7265625" style="2810" customWidth="1"/>
    <col min="11493" max="11493" width="13.26953125" style="2810" customWidth="1"/>
    <col min="11494" max="11494" width="14.26953125" style="2810" customWidth="1"/>
    <col min="11495" max="11495" width="11.7265625" style="2810" bestFit="1" customWidth="1"/>
    <col min="11496" max="11496" width="16.7265625" style="2810" bestFit="1" customWidth="1"/>
    <col min="11497" max="11502" width="16.7265625" style="2810" customWidth="1"/>
    <col min="11503" max="11503" width="13.7265625" style="2810" customWidth="1"/>
    <col min="11504" max="11504" width="11.26953125" style="2810" customWidth="1"/>
    <col min="11505" max="11505" width="16.26953125" style="2810" customWidth="1"/>
    <col min="11506" max="11506" width="9.1796875" style="2810"/>
    <col min="11507" max="11507" width="11" style="2810" customWidth="1"/>
    <col min="11508" max="11508" width="16" style="2810" customWidth="1"/>
    <col min="11509" max="11509" width="13.26953125" style="2810" customWidth="1"/>
    <col min="11510" max="11510" width="10.7265625" style="2810" customWidth="1"/>
    <col min="11511" max="11511" width="16.26953125" style="2810" customWidth="1"/>
    <col min="11512" max="11512" width="14.26953125" style="2810" customWidth="1"/>
    <col min="11513" max="11513" width="10.7265625" style="2810" customWidth="1"/>
    <col min="11514" max="11514" width="16" style="2810" customWidth="1"/>
    <col min="11515" max="11515" width="13.54296875" style="2810" customWidth="1"/>
    <col min="11516" max="11516" width="10.7265625" style="2810" bestFit="1" customWidth="1"/>
    <col min="11517" max="11517" width="16" style="2810" bestFit="1" customWidth="1"/>
    <col min="11518" max="11747" width="9.1796875" style="2810"/>
    <col min="11748" max="11748" width="6.7265625" style="2810" customWidth="1"/>
    <col min="11749" max="11749" width="13.26953125" style="2810" customWidth="1"/>
    <col min="11750" max="11750" width="14.26953125" style="2810" customWidth="1"/>
    <col min="11751" max="11751" width="11.7265625" style="2810" bestFit="1" customWidth="1"/>
    <col min="11752" max="11752" width="16.7265625" style="2810" bestFit="1" customWidth="1"/>
    <col min="11753" max="11758" width="16.7265625" style="2810" customWidth="1"/>
    <col min="11759" max="11759" width="13.7265625" style="2810" customWidth="1"/>
    <col min="11760" max="11760" width="11.26953125" style="2810" customWidth="1"/>
    <col min="11761" max="11761" width="16.26953125" style="2810" customWidth="1"/>
    <col min="11762" max="11762" width="9.1796875" style="2810"/>
    <col min="11763" max="11763" width="11" style="2810" customWidth="1"/>
    <col min="11764" max="11764" width="16" style="2810" customWidth="1"/>
    <col min="11765" max="11765" width="13.26953125" style="2810" customWidth="1"/>
    <col min="11766" max="11766" width="10.7265625" style="2810" customWidth="1"/>
    <col min="11767" max="11767" width="16.26953125" style="2810" customWidth="1"/>
    <col min="11768" max="11768" width="14.26953125" style="2810" customWidth="1"/>
    <col min="11769" max="11769" width="10.7265625" style="2810" customWidth="1"/>
    <col min="11770" max="11770" width="16" style="2810" customWidth="1"/>
    <col min="11771" max="11771" width="13.54296875" style="2810" customWidth="1"/>
    <col min="11772" max="11772" width="10.7265625" style="2810" bestFit="1" customWidth="1"/>
    <col min="11773" max="11773" width="16" style="2810" bestFit="1" customWidth="1"/>
    <col min="11774" max="12003" width="9.1796875" style="2810"/>
    <col min="12004" max="12004" width="6.7265625" style="2810" customWidth="1"/>
    <col min="12005" max="12005" width="13.26953125" style="2810" customWidth="1"/>
    <col min="12006" max="12006" width="14.26953125" style="2810" customWidth="1"/>
    <col min="12007" max="12007" width="11.7265625" style="2810" bestFit="1" customWidth="1"/>
    <col min="12008" max="12008" width="16.7265625" style="2810" bestFit="1" customWidth="1"/>
    <col min="12009" max="12014" width="16.7265625" style="2810" customWidth="1"/>
    <col min="12015" max="12015" width="13.7265625" style="2810" customWidth="1"/>
    <col min="12016" max="12016" width="11.26953125" style="2810" customWidth="1"/>
    <col min="12017" max="12017" width="16.26953125" style="2810" customWidth="1"/>
    <col min="12018" max="12018" width="9.1796875" style="2810"/>
    <col min="12019" max="12019" width="11" style="2810" customWidth="1"/>
    <col min="12020" max="12020" width="16" style="2810" customWidth="1"/>
    <col min="12021" max="12021" width="13.26953125" style="2810" customWidth="1"/>
    <col min="12022" max="12022" width="10.7265625" style="2810" customWidth="1"/>
    <col min="12023" max="12023" width="16.26953125" style="2810" customWidth="1"/>
    <col min="12024" max="12024" width="14.26953125" style="2810" customWidth="1"/>
    <col min="12025" max="12025" width="10.7265625" style="2810" customWidth="1"/>
    <col min="12026" max="12026" width="16" style="2810" customWidth="1"/>
    <col min="12027" max="12027" width="13.54296875" style="2810" customWidth="1"/>
    <col min="12028" max="12028" width="10.7265625" style="2810" bestFit="1" customWidth="1"/>
    <col min="12029" max="12029" width="16" style="2810" bestFit="1" customWidth="1"/>
    <col min="12030" max="12259" width="9.1796875" style="2810"/>
    <col min="12260" max="12260" width="6.7265625" style="2810" customWidth="1"/>
    <col min="12261" max="12261" width="13.26953125" style="2810" customWidth="1"/>
    <col min="12262" max="12262" width="14.26953125" style="2810" customWidth="1"/>
    <col min="12263" max="12263" width="11.7265625" style="2810" bestFit="1" customWidth="1"/>
    <col min="12264" max="12264" width="16.7265625" style="2810" bestFit="1" customWidth="1"/>
    <col min="12265" max="12270" width="16.7265625" style="2810" customWidth="1"/>
    <col min="12271" max="12271" width="13.7265625" style="2810" customWidth="1"/>
    <col min="12272" max="12272" width="11.26953125" style="2810" customWidth="1"/>
    <col min="12273" max="12273" width="16.26953125" style="2810" customWidth="1"/>
    <col min="12274" max="12274" width="9.1796875" style="2810"/>
    <col min="12275" max="12275" width="11" style="2810" customWidth="1"/>
    <col min="12276" max="12276" width="16" style="2810" customWidth="1"/>
    <col min="12277" max="12277" width="13.26953125" style="2810" customWidth="1"/>
    <col min="12278" max="12278" width="10.7265625" style="2810" customWidth="1"/>
    <col min="12279" max="12279" width="16.26953125" style="2810" customWidth="1"/>
    <col min="12280" max="12280" width="14.26953125" style="2810" customWidth="1"/>
    <col min="12281" max="12281" width="10.7265625" style="2810" customWidth="1"/>
    <col min="12282" max="12282" width="16" style="2810" customWidth="1"/>
    <col min="12283" max="12283" width="13.54296875" style="2810" customWidth="1"/>
    <col min="12284" max="12284" width="10.7265625" style="2810" bestFit="1" customWidth="1"/>
    <col min="12285" max="12285" width="16" style="2810" bestFit="1" customWidth="1"/>
    <col min="12286" max="12515" width="9.1796875" style="2810"/>
    <col min="12516" max="12516" width="6.7265625" style="2810" customWidth="1"/>
    <col min="12517" max="12517" width="13.26953125" style="2810" customWidth="1"/>
    <col min="12518" max="12518" width="14.26953125" style="2810" customWidth="1"/>
    <col min="12519" max="12519" width="11.7265625" style="2810" bestFit="1" customWidth="1"/>
    <col min="12520" max="12520" width="16.7265625" style="2810" bestFit="1" customWidth="1"/>
    <col min="12521" max="12526" width="16.7265625" style="2810" customWidth="1"/>
    <col min="12527" max="12527" width="13.7265625" style="2810" customWidth="1"/>
    <col min="12528" max="12528" width="11.26953125" style="2810" customWidth="1"/>
    <col min="12529" max="12529" width="16.26953125" style="2810" customWidth="1"/>
    <col min="12530" max="12530" width="9.1796875" style="2810"/>
    <col min="12531" max="12531" width="11" style="2810" customWidth="1"/>
    <col min="12532" max="12532" width="16" style="2810" customWidth="1"/>
    <col min="12533" max="12533" width="13.26953125" style="2810" customWidth="1"/>
    <col min="12534" max="12534" width="10.7265625" style="2810" customWidth="1"/>
    <col min="12535" max="12535" width="16.26953125" style="2810" customWidth="1"/>
    <col min="12536" max="12536" width="14.26953125" style="2810" customWidth="1"/>
    <col min="12537" max="12537" width="10.7265625" style="2810" customWidth="1"/>
    <col min="12538" max="12538" width="16" style="2810" customWidth="1"/>
    <col min="12539" max="12539" width="13.54296875" style="2810" customWidth="1"/>
    <col min="12540" max="12540" width="10.7265625" style="2810" bestFit="1" customWidth="1"/>
    <col min="12541" max="12541" width="16" style="2810" bestFit="1" customWidth="1"/>
    <col min="12542" max="12771" width="9.1796875" style="2810"/>
    <col min="12772" max="12772" width="6.7265625" style="2810" customWidth="1"/>
    <col min="12773" max="12773" width="13.26953125" style="2810" customWidth="1"/>
    <col min="12774" max="12774" width="14.26953125" style="2810" customWidth="1"/>
    <col min="12775" max="12775" width="11.7265625" style="2810" bestFit="1" customWidth="1"/>
    <col min="12776" max="12776" width="16.7265625" style="2810" bestFit="1" customWidth="1"/>
    <col min="12777" max="12782" width="16.7265625" style="2810" customWidth="1"/>
    <col min="12783" max="12783" width="13.7265625" style="2810" customWidth="1"/>
    <col min="12784" max="12784" width="11.26953125" style="2810" customWidth="1"/>
    <col min="12785" max="12785" width="16.26953125" style="2810" customWidth="1"/>
    <col min="12786" max="12786" width="9.1796875" style="2810"/>
    <col min="12787" max="12787" width="11" style="2810" customWidth="1"/>
    <col min="12788" max="12788" width="16" style="2810" customWidth="1"/>
    <col min="12789" max="12789" width="13.26953125" style="2810" customWidth="1"/>
    <col min="12790" max="12790" width="10.7265625" style="2810" customWidth="1"/>
    <col min="12791" max="12791" width="16.26953125" style="2810" customWidth="1"/>
    <col min="12792" max="12792" width="14.26953125" style="2810" customWidth="1"/>
    <col min="12793" max="12793" width="10.7265625" style="2810" customWidth="1"/>
    <col min="12794" max="12794" width="16" style="2810" customWidth="1"/>
    <col min="12795" max="12795" width="13.54296875" style="2810" customWidth="1"/>
    <col min="12796" max="12796" width="10.7265625" style="2810" bestFit="1" customWidth="1"/>
    <col min="12797" max="12797" width="16" style="2810" bestFit="1" customWidth="1"/>
    <col min="12798" max="13027" width="9.1796875" style="2810"/>
    <col min="13028" max="13028" width="6.7265625" style="2810" customWidth="1"/>
    <col min="13029" max="13029" width="13.26953125" style="2810" customWidth="1"/>
    <col min="13030" max="13030" width="14.26953125" style="2810" customWidth="1"/>
    <col min="13031" max="13031" width="11.7265625" style="2810" bestFit="1" customWidth="1"/>
    <col min="13032" max="13032" width="16.7265625" style="2810" bestFit="1" customWidth="1"/>
    <col min="13033" max="13038" width="16.7265625" style="2810" customWidth="1"/>
    <col min="13039" max="13039" width="13.7265625" style="2810" customWidth="1"/>
    <col min="13040" max="13040" width="11.26953125" style="2810" customWidth="1"/>
    <col min="13041" max="13041" width="16.26953125" style="2810" customWidth="1"/>
    <col min="13042" max="13042" width="9.1796875" style="2810"/>
    <col min="13043" max="13043" width="11" style="2810" customWidth="1"/>
    <col min="13044" max="13044" width="16" style="2810" customWidth="1"/>
    <col min="13045" max="13045" width="13.26953125" style="2810" customWidth="1"/>
    <col min="13046" max="13046" width="10.7265625" style="2810" customWidth="1"/>
    <col min="13047" max="13047" width="16.26953125" style="2810" customWidth="1"/>
    <col min="13048" max="13048" width="14.26953125" style="2810" customWidth="1"/>
    <col min="13049" max="13049" width="10.7265625" style="2810" customWidth="1"/>
    <col min="13050" max="13050" width="16" style="2810" customWidth="1"/>
    <col min="13051" max="13051" width="13.54296875" style="2810" customWidth="1"/>
    <col min="13052" max="13052" width="10.7265625" style="2810" bestFit="1" customWidth="1"/>
    <col min="13053" max="13053" width="16" style="2810" bestFit="1" customWidth="1"/>
    <col min="13054" max="13283" width="9.1796875" style="2810"/>
    <col min="13284" max="13284" width="6.7265625" style="2810" customWidth="1"/>
    <col min="13285" max="13285" width="13.26953125" style="2810" customWidth="1"/>
    <col min="13286" max="13286" width="14.26953125" style="2810" customWidth="1"/>
    <col min="13287" max="13287" width="11.7265625" style="2810" bestFit="1" customWidth="1"/>
    <col min="13288" max="13288" width="16.7265625" style="2810" bestFit="1" customWidth="1"/>
    <col min="13289" max="13294" width="16.7265625" style="2810" customWidth="1"/>
    <col min="13295" max="13295" width="13.7265625" style="2810" customWidth="1"/>
    <col min="13296" max="13296" width="11.26953125" style="2810" customWidth="1"/>
    <col min="13297" max="13297" width="16.26953125" style="2810" customWidth="1"/>
    <col min="13298" max="13298" width="9.1796875" style="2810"/>
    <col min="13299" max="13299" width="11" style="2810" customWidth="1"/>
    <col min="13300" max="13300" width="16" style="2810" customWidth="1"/>
    <col min="13301" max="13301" width="13.26953125" style="2810" customWidth="1"/>
    <col min="13302" max="13302" width="10.7265625" style="2810" customWidth="1"/>
    <col min="13303" max="13303" width="16.26953125" style="2810" customWidth="1"/>
    <col min="13304" max="13304" width="14.26953125" style="2810" customWidth="1"/>
    <col min="13305" max="13305" width="10.7265625" style="2810" customWidth="1"/>
    <col min="13306" max="13306" width="16" style="2810" customWidth="1"/>
    <col min="13307" max="13307" width="13.54296875" style="2810" customWidth="1"/>
    <col min="13308" max="13308" width="10.7265625" style="2810" bestFit="1" customWidth="1"/>
    <col min="13309" max="13309" width="16" style="2810" bestFit="1" customWidth="1"/>
    <col min="13310" max="13539" width="9.1796875" style="2810"/>
    <col min="13540" max="13540" width="6.7265625" style="2810" customWidth="1"/>
    <col min="13541" max="13541" width="13.26953125" style="2810" customWidth="1"/>
    <col min="13542" max="13542" width="14.26953125" style="2810" customWidth="1"/>
    <col min="13543" max="13543" width="11.7265625" style="2810" bestFit="1" customWidth="1"/>
    <col min="13544" max="13544" width="16.7265625" style="2810" bestFit="1" customWidth="1"/>
    <col min="13545" max="13550" width="16.7265625" style="2810" customWidth="1"/>
    <col min="13551" max="13551" width="13.7265625" style="2810" customWidth="1"/>
    <col min="13552" max="13552" width="11.26953125" style="2810" customWidth="1"/>
    <col min="13553" max="13553" width="16.26953125" style="2810" customWidth="1"/>
    <col min="13554" max="13554" width="9.1796875" style="2810"/>
    <col min="13555" max="13555" width="11" style="2810" customWidth="1"/>
    <col min="13556" max="13556" width="16" style="2810" customWidth="1"/>
    <col min="13557" max="13557" width="13.26953125" style="2810" customWidth="1"/>
    <col min="13558" max="13558" width="10.7265625" style="2810" customWidth="1"/>
    <col min="13559" max="13559" width="16.26953125" style="2810" customWidth="1"/>
    <col min="13560" max="13560" width="14.26953125" style="2810" customWidth="1"/>
    <col min="13561" max="13561" width="10.7265625" style="2810" customWidth="1"/>
    <col min="13562" max="13562" width="16" style="2810" customWidth="1"/>
    <col min="13563" max="13563" width="13.54296875" style="2810" customWidth="1"/>
    <col min="13564" max="13564" width="10.7265625" style="2810" bestFit="1" customWidth="1"/>
    <col min="13565" max="13565" width="16" style="2810" bestFit="1" customWidth="1"/>
    <col min="13566" max="13795" width="9.1796875" style="2810"/>
    <col min="13796" max="13796" width="6.7265625" style="2810" customWidth="1"/>
    <col min="13797" max="13797" width="13.26953125" style="2810" customWidth="1"/>
    <col min="13798" max="13798" width="14.26953125" style="2810" customWidth="1"/>
    <col min="13799" max="13799" width="11.7265625" style="2810" bestFit="1" customWidth="1"/>
    <col min="13800" max="13800" width="16.7265625" style="2810" bestFit="1" customWidth="1"/>
    <col min="13801" max="13806" width="16.7265625" style="2810" customWidth="1"/>
    <col min="13807" max="13807" width="13.7265625" style="2810" customWidth="1"/>
    <col min="13808" max="13808" width="11.26953125" style="2810" customWidth="1"/>
    <col min="13809" max="13809" width="16.26953125" style="2810" customWidth="1"/>
    <col min="13810" max="13810" width="9.1796875" style="2810"/>
    <col min="13811" max="13811" width="11" style="2810" customWidth="1"/>
    <col min="13812" max="13812" width="16" style="2810" customWidth="1"/>
    <col min="13813" max="13813" width="13.26953125" style="2810" customWidth="1"/>
    <col min="13814" max="13814" width="10.7265625" style="2810" customWidth="1"/>
    <col min="13815" max="13815" width="16.26953125" style="2810" customWidth="1"/>
    <col min="13816" max="13816" width="14.26953125" style="2810" customWidth="1"/>
    <col min="13817" max="13817" width="10.7265625" style="2810" customWidth="1"/>
    <col min="13818" max="13818" width="16" style="2810" customWidth="1"/>
    <col min="13819" max="13819" width="13.54296875" style="2810" customWidth="1"/>
    <col min="13820" max="13820" width="10.7265625" style="2810" bestFit="1" customWidth="1"/>
    <col min="13821" max="13821" width="16" style="2810" bestFit="1" customWidth="1"/>
    <col min="13822" max="14051" width="9.1796875" style="2810"/>
    <col min="14052" max="14052" width="6.7265625" style="2810" customWidth="1"/>
    <col min="14053" max="14053" width="13.26953125" style="2810" customWidth="1"/>
    <col min="14054" max="14054" width="14.26953125" style="2810" customWidth="1"/>
    <col min="14055" max="14055" width="11.7265625" style="2810" bestFit="1" customWidth="1"/>
    <col min="14056" max="14056" width="16.7265625" style="2810" bestFit="1" customWidth="1"/>
    <col min="14057" max="14062" width="16.7265625" style="2810" customWidth="1"/>
    <col min="14063" max="14063" width="13.7265625" style="2810" customWidth="1"/>
    <col min="14064" max="14064" width="11.26953125" style="2810" customWidth="1"/>
    <col min="14065" max="14065" width="16.26953125" style="2810" customWidth="1"/>
    <col min="14066" max="14066" width="9.1796875" style="2810"/>
    <col min="14067" max="14067" width="11" style="2810" customWidth="1"/>
    <col min="14068" max="14068" width="16" style="2810" customWidth="1"/>
    <col min="14069" max="14069" width="13.26953125" style="2810" customWidth="1"/>
    <col min="14070" max="14070" width="10.7265625" style="2810" customWidth="1"/>
    <col min="14071" max="14071" width="16.26953125" style="2810" customWidth="1"/>
    <col min="14072" max="14072" width="14.26953125" style="2810" customWidth="1"/>
    <col min="14073" max="14073" width="10.7265625" style="2810" customWidth="1"/>
    <col min="14074" max="14074" width="16" style="2810" customWidth="1"/>
    <col min="14075" max="14075" width="13.54296875" style="2810" customWidth="1"/>
    <col min="14076" max="14076" width="10.7265625" style="2810" bestFit="1" customWidth="1"/>
    <col min="14077" max="14077" width="16" style="2810" bestFit="1" customWidth="1"/>
    <col min="14078" max="14307" width="9.1796875" style="2810"/>
    <col min="14308" max="14308" width="6.7265625" style="2810" customWidth="1"/>
    <col min="14309" max="14309" width="13.26953125" style="2810" customWidth="1"/>
    <col min="14310" max="14310" width="14.26953125" style="2810" customWidth="1"/>
    <col min="14311" max="14311" width="11.7265625" style="2810" bestFit="1" customWidth="1"/>
    <col min="14312" max="14312" width="16.7265625" style="2810" bestFit="1" customWidth="1"/>
    <col min="14313" max="14318" width="16.7265625" style="2810" customWidth="1"/>
    <col min="14319" max="14319" width="13.7265625" style="2810" customWidth="1"/>
    <col min="14320" max="14320" width="11.26953125" style="2810" customWidth="1"/>
    <col min="14321" max="14321" width="16.26953125" style="2810" customWidth="1"/>
    <col min="14322" max="14322" width="9.1796875" style="2810"/>
    <col min="14323" max="14323" width="11" style="2810" customWidth="1"/>
    <col min="14324" max="14324" width="16" style="2810" customWidth="1"/>
    <col min="14325" max="14325" width="13.26953125" style="2810" customWidth="1"/>
    <col min="14326" max="14326" width="10.7265625" style="2810" customWidth="1"/>
    <col min="14327" max="14327" width="16.26953125" style="2810" customWidth="1"/>
    <col min="14328" max="14328" width="14.26953125" style="2810" customWidth="1"/>
    <col min="14329" max="14329" width="10.7265625" style="2810" customWidth="1"/>
    <col min="14330" max="14330" width="16" style="2810" customWidth="1"/>
    <col min="14331" max="14331" width="13.54296875" style="2810" customWidth="1"/>
    <col min="14332" max="14332" width="10.7265625" style="2810" bestFit="1" customWidth="1"/>
    <col min="14333" max="14333" width="16" style="2810" bestFit="1" customWidth="1"/>
    <col min="14334" max="14563" width="9.1796875" style="2810"/>
    <col min="14564" max="14564" width="6.7265625" style="2810" customWidth="1"/>
    <col min="14565" max="14565" width="13.26953125" style="2810" customWidth="1"/>
    <col min="14566" max="14566" width="14.26953125" style="2810" customWidth="1"/>
    <col min="14567" max="14567" width="11.7265625" style="2810" bestFit="1" customWidth="1"/>
    <col min="14568" max="14568" width="16.7265625" style="2810" bestFit="1" customWidth="1"/>
    <col min="14569" max="14574" width="16.7265625" style="2810" customWidth="1"/>
    <col min="14575" max="14575" width="13.7265625" style="2810" customWidth="1"/>
    <col min="14576" max="14576" width="11.26953125" style="2810" customWidth="1"/>
    <col min="14577" max="14577" width="16.26953125" style="2810" customWidth="1"/>
    <col min="14578" max="14578" width="9.1796875" style="2810"/>
    <col min="14579" max="14579" width="11" style="2810" customWidth="1"/>
    <col min="14580" max="14580" width="16" style="2810" customWidth="1"/>
    <col min="14581" max="14581" width="13.26953125" style="2810" customWidth="1"/>
    <col min="14582" max="14582" width="10.7265625" style="2810" customWidth="1"/>
    <col min="14583" max="14583" width="16.26953125" style="2810" customWidth="1"/>
    <col min="14584" max="14584" width="14.26953125" style="2810" customWidth="1"/>
    <col min="14585" max="14585" width="10.7265625" style="2810" customWidth="1"/>
    <col min="14586" max="14586" width="16" style="2810" customWidth="1"/>
    <col min="14587" max="14587" width="13.54296875" style="2810" customWidth="1"/>
    <col min="14588" max="14588" width="10.7265625" style="2810" bestFit="1" customWidth="1"/>
    <col min="14589" max="14589" width="16" style="2810" bestFit="1" customWidth="1"/>
    <col min="14590" max="14819" width="9.1796875" style="2810"/>
    <col min="14820" max="14820" width="6.7265625" style="2810" customWidth="1"/>
    <col min="14821" max="14821" width="13.26953125" style="2810" customWidth="1"/>
    <col min="14822" max="14822" width="14.26953125" style="2810" customWidth="1"/>
    <col min="14823" max="14823" width="11.7265625" style="2810" bestFit="1" customWidth="1"/>
    <col min="14824" max="14824" width="16.7265625" style="2810" bestFit="1" customWidth="1"/>
    <col min="14825" max="14830" width="16.7265625" style="2810" customWidth="1"/>
    <col min="14831" max="14831" width="13.7265625" style="2810" customWidth="1"/>
    <col min="14832" max="14832" width="11.26953125" style="2810" customWidth="1"/>
    <col min="14833" max="14833" width="16.26953125" style="2810" customWidth="1"/>
    <col min="14834" max="14834" width="9.1796875" style="2810"/>
    <col min="14835" max="14835" width="11" style="2810" customWidth="1"/>
    <col min="14836" max="14836" width="16" style="2810" customWidth="1"/>
    <col min="14837" max="14837" width="13.26953125" style="2810" customWidth="1"/>
    <col min="14838" max="14838" width="10.7265625" style="2810" customWidth="1"/>
    <col min="14839" max="14839" width="16.26953125" style="2810" customWidth="1"/>
    <col min="14840" max="14840" width="14.26953125" style="2810" customWidth="1"/>
    <col min="14841" max="14841" width="10.7265625" style="2810" customWidth="1"/>
    <col min="14842" max="14842" width="16" style="2810" customWidth="1"/>
    <col min="14843" max="14843" width="13.54296875" style="2810" customWidth="1"/>
    <col min="14844" max="14844" width="10.7265625" style="2810" bestFit="1" customWidth="1"/>
    <col min="14845" max="14845" width="16" style="2810" bestFit="1" customWidth="1"/>
    <col min="14846" max="15075" width="9.1796875" style="2810"/>
    <col min="15076" max="15076" width="6.7265625" style="2810" customWidth="1"/>
    <col min="15077" max="15077" width="13.26953125" style="2810" customWidth="1"/>
    <col min="15078" max="15078" width="14.26953125" style="2810" customWidth="1"/>
    <col min="15079" max="15079" width="11.7265625" style="2810" bestFit="1" customWidth="1"/>
    <col min="15080" max="15080" width="16.7265625" style="2810" bestFit="1" customWidth="1"/>
    <col min="15081" max="15086" width="16.7265625" style="2810" customWidth="1"/>
    <col min="15087" max="15087" width="13.7265625" style="2810" customWidth="1"/>
    <col min="15088" max="15088" width="11.26953125" style="2810" customWidth="1"/>
    <col min="15089" max="15089" width="16.26953125" style="2810" customWidth="1"/>
    <col min="15090" max="15090" width="9.1796875" style="2810"/>
    <col min="15091" max="15091" width="11" style="2810" customWidth="1"/>
    <col min="15092" max="15092" width="16" style="2810" customWidth="1"/>
    <col min="15093" max="15093" width="13.26953125" style="2810" customWidth="1"/>
    <col min="15094" max="15094" width="10.7265625" style="2810" customWidth="1"/>
    <col min="15095" max="15095" width="16.26953125" style="2810" customWidth="1"/>
    <col min="15096" max="15096" width="14.26953125" style="2810" customWidth="1"/>
    <col min="15097" max="15097" width="10.7265625" style="2810" customWidth="1"/>
    <col min="15098" max="15098" width="16" style="2810" customWidth="1"/>
    <col min="15099" max="15099" width="13.54296875" style="2810" customWidth="1"/>
    <col min="15100" max="15100" width="10.7265625" style="2810" bestFit="1" customWidth="1"/>
    <col min="15101" max="15101" width="16" style="2810" bestFit="1" customWidth="1"/>
    <col min="15102" max="15331" width="9.1796875" style="2810"/>
    <col min="15332" max="15332" width="6.7265625" style="2810" customWidth="1"/>
    <col min="15333" max="15333" width="13.26953125" style="2810" customWidth="1"/>
    <col min="15334" max="15334" width="14.26953125" style="2810" customWidth="1"/>
    <col min="15335" max="15335" width="11.7265625" style="2810" bestFit="1" customWidth="1"/>
    <col min="15336" max="15336" width="16.7265625" style="2810" bestFit="1" customWidth="1"/>
    <col min="15337" max="15342" width="16.7265625" style="2810" customWidth="1"/>
    <col min="15343" max="15343" width="13.7265625" style="2810" customWidth="1"/>
    <col min="15344" max="15344" width="11.26953125" style="2810" customWidth="1"/>
    <col min="15345" max="15345" width="16.26953125" style="2810" customWidth="1"/>
    <col min="15346" max="15346" width="9.1796875" style="2810"/>
    <col min="15347" max="15347" width="11" style="2810" customWidth="1"/>
    <col min="15348" max="15348" width="16" style="2810" customWidth="1"/>
    <col min="15349" max="15349" width="13.26953125" style="2810" customWidth="1"/>
    <col min="15350" max="15350" width="10.7265625" style="2810" customWidth="1"/>
    <col min="15351" max="15351" width="16.26953125" style="2810" customWidth="1"/>
    <col min="15352" max="15352" width="14.26953125" style="2810" customWidth="1"/>
    <col min="15353" max="15353" width="10.7265625" style="2810" customWidth="1"/>
    <col min="15354" max="15354" width="16" style="2810" customWidth="1"/>
    <col min="15355" max="15355" width="13.54296875" style="2810" customWidth="1"/>
    <col min="15356" max="15356" width="10.7265625" style="2810" bestFit="1" customWidth="1"/>
    <col min="15357" max="15357" width="16" style="2810" bestFit="1" customWidth="1"/>
    <col min="15358" max="15587" width="9.1796875" style="2810"/>
    <col min="15588" max="15588" width="6.7265625" style="2810" customWidth="1"/>
    <col min="15589" max="15589" width="13.26953125" style="2810" customWidth="1"/>
    <col min="15590" max="15590" width="14.26953125" style="2810" customWidth="1"/>
    <col min="15591" max="15591" width="11.7265625" style="2810" bestFit="1" customWidth="1"/>
    <col min="15592" max="15592" width="16.7265625" style="2810" bestFit="1" customWidth="1"/>
    <col min="15593" max="15598" width="16.7265625" style="2810" customWidth="1"/>
    <col min="15599" max="15599" width="13.7265625" style="2810" customWidth="1"/>
    <col min="15600" max="15600" width="11.26953125" style="2810" customWidth="1"/>
    <col min="15601" max="15601" width="16.26953125" style="2810" customWidth="1"/>
    <col min="15602" max="15602" width="9.1796875" style="2810"/>
    <col min="15603" max="15603" width="11" style="2810" customWidth="1"/>
    <col min="15604" max="15604" width="16" style="2810" customWidth="1"/>
    <col min="15605" max="15605" width="13.26953125" style="2810" customWidth="1"/>
    <col min="15606" max="15606" width="10.7265625" style="2810" customWidth="1"/>
    <col min="15607" max="15607" width="16.26953125" style="2810" customWidth="1"/>
    <col min="15608" max="15608" width="14.26953125" style="2810" customWidth="1"/>
    <col min="15609" max="15609" width="10.7265625" style="2810" customWidth="1"/>
    <col min="15610" max="15610" width="16" style="2810" customWidth="1"/>
    <col min="15611" max="15611" width="13.54296875" style="2810" customWidth="1"/>
    <col min="15612" max="15612" width="10.7265625" style="2810" bestFit="1" customWidth="1"/>
    <col min="15613" max="15613" width="16" style="2810" bestFit="1" customWidth="1"/>
    <col min="15614" max="15843" width="9.1796875" style="2810"/>
    <col min="15844" max="15844" width="6.7265625" style="2810" customWidth="1"/>
    <col min="15845" max="15845" width="13.26953125" style="2810" customWidth="1"/>
    <col min="15846" max="15846" width="14.26953125" style="2810" customWidth="1"/>
    <col min="15847" max="15847" width="11.7265625" style="2810" bestFit="1" customWidth="1"/>
    <col min="15848" max="15848" width="16.7265625" style="2810" bestFit="1" customWidth="1"/>
    <col min="15849" max="15854" width="16.7265625" style="2810" customWidth="1"/>
    <col min="15855" max="15855" width="13.7265625" style="2810" customWidth="1"/>
    <col min="15856" max="15856" width="11.26953125" style="2810" customWidth="1"/>
    <col min="15857" max="15857" width="16.26953125" style="2810" customWidth="1"/>
    <col min="15858" max="15858" width="9.1796875" style="2810"/>
    <col min="15859" max="15859" width="11" style="2810" customWidth="1"/>
    <col min="15860" max="15860" width="16" style="2810" customWidth="1"/>
    <col min="15861" max="15861" width="13.26953125" style="2810" customWidth="1"/>
    <col min="15862" max="15862" width="10.7265625" style="2810" customWidth="1"/>
    <col min="15863" max="15863" width="16.26953125" style="2810" customWidth="1"/>
    <col min="15864" max="15864" width="14.26953125" style="2810" customWidth="1"/>
    <col min="15865" max="15865" width="10.7265625" style="2810" customWidth="1"/>
    <col min="15866" max="15866" width="16" style="2810" customWidth="1"/>
    <col min="15867" max="15867" width="13.54296875" style="2810" customWidth="1"/>
    <col min="15868" max="15868" width="10.7265625" style="2810" bestFit="1" customWidth="1"/>
    <col min="15869" max="15869" width="16" style="2810" bestFit="1" customWidth="1"/>
    <col min="15870" max="16099" width="9.1796875" style="2810"/>
    <col min="16100" max="16100" width="6.7265625" style="2810" customWidth="1"/>
    <col min="16101" max="16101" width="13.26953125" style="2810" customWidth="1"/>
    <col min="16102" max="16102" width="14.26953125" style="2810" customWidth="1"/>
    <col min="16103" max="16103" width="11.7265625" style="2810" bestFit="1" customWidth="1"/>
    <col min="16104" max="16104" width="16.7265625" style="2810" bestFit="1" customWidth="1"/>
    <col min="16105" max="16110" width="16.7265625" style="2810" customWidth="1"/>
    <col min="16111" max="16111" width="13.7265625" style="2810" customWidth="1"/>
    <col min="16112" max="16112" width="11.26953125" style="2810" customWidth="1"/>
    <col min="16113" max="16113" width="16.26953125" style="2810" customWidth="1"/>
    <col min="16114" max="16114" width="9.1796875" style="2810"/>
    <col min="16115" max="16115" width="11" style="2810" customWidth="1"/>
    <col min="16116" max="16116" width="16" style="2810" customWidth="1"/>
    <col min="16117" max="16117" width="13.26953125" style="2810" customWidth="1"/>
    <col min="16118" max="16118" width="10.7265625" style="2810" customWidth="1"/>
    <col min="16119" max="16119" width="16.26953125" style="2810" customWidth="1"/>
    <col min="16120" max="16120" width="14.26953125" style="2810" customWidth="1"/>
    <col min="16121" max="16121" width="10.7265625" style="2810" customWidth="1"/>
    <col min="16122" max="16122" width="16" style="2810" customWidth="1"/>
    <col min="16123" max="16123" width="13.54296875" style="2810" customWidth="1"/>
    <col min="16124" max="16124" width="10.7265625" style="2810" bestFit="1" customWidth="1"/>
    <col min="16125" max="16125" width="16" style="2810" bestFit="1" customWidth="1"/>
    <col min="16126" max="16384" width="9.1796875" style="2810"/>
  </cols>
  <sheetData>
    <row r="1" spans="1:12">
      <c r="A1" s="2991" t="s">
        <v>2241</v>
      </c>
      <c r="B1" s="2991"/>
    </row>
    <row r="2" spans="1:12">
      <c r="A2" s="3175" t="str">
        <f>F13I!A3</f>
        <v>Name of Distribution Licensee</v>
      </c>
      <c r="B2" s="3175"/>
      <c r="C2" s="3175"/>
      <c r="D2" s="3175"/>
      <c r="E2" s="3175"/>
      <c r="F2" s="2781"/>
      <c r="G2" s="2781"/>
    </row>
    <row r="3" spans="1:12">
      <c r="A3" s="1836" t="s">
        <v>1577</v>
      </c>
      <c r="B3" s="1836"/>
      <c r="C3" s="1836"/>
      <c r="D3" s="2530"/>
      <c r="E3" s="2531"/>
      <c r="F3" s="1838"/>
      <c r="G3" s="1838"/>
      <c r="H3" s="1839"/>
      <c r="I3" s="1839"/>
      <c r="J3" s="1839"/>
      <c r="K3" s="1839"/>
      <c r="L3" s="2531"/>
    </row>
    <row r="5" spans="1:12">
      <c r="A5" s="3029" t="s">
        <v>106</v>
      </c>
      <c r="B5" s="3029" t="s">
        <v>2242</v>
      </c>
      <c r="C5" s="2775" t="s">
        <v>561</v>
      </c>
      <c r="D5" s="3039" t="s">
        <v>575</v>
      </c>
      <c r="E5" s="3040"/>
      <c r="F5" s="3039" t="s">
        <v>550</v>
      </c>
      <c r="G5" s="3040"/>
      <c r="H5" s="2775" t="s">
        <v>550</v>
      </c>
      <c r="I5" s="2774" t="s">
        <v>952</v>
      </c>
      <c r="J5" s="2532"/>
      <c r="K5" s="2532"/>
      <c r="L5" s="2532"/>
    </row>
    <row r="6" spans="1:12">
      <c r="A6" s="3030"/>
      <c r="B6" s="3030"/>
      <c r="C6" s="2775" t="s">
        <v>555</v>
      </c>
      <c r="D6" s="3039" t="s">
        <v>553</v>
      </c>
      <c r="E6" s="3040"/>
      <c r="F6" s="3039" t="s">
        <v>551</v>
      </c>
      <c r="G6" s="3040"/>
      <c r="H6" s="2775" t="s">
        <v>546</v>
      </c>
      <c r="I6" s="2775" t="s">
        <v>547</v>
      </c>
      <c r="J6" s="2775" t="s">
        <v>547</v>
      </c>
      <c r="K6" s="2775" t="s">
        <v>548</v>
      </c>
      <c r="L6" s="2775" t="s">
        <v>549</v>
      </c>
    </row>
    <row r="7" spans="1:12" ht="29">
      <c r="A7" s="3297"/>
      <c r="B7" s="3030"/>
      <c r="C7" s="2769" t="s">
        <v>560</v>
      </c>
      <c r="D7" s="2773" t="s">
        <v>543</v>
      </c>
      <c r="E7" s="2775" t="s">
        <v>544</v>
      </c>
      <c r="F7" s="2773" t="s">
        <v>1329</v>
      </c>
      <c r="G7" s="2775" t="s">
        <v>544</v>
      </c>
      <c r="H7" s="2775" t="s">
        <v>283</v>
      </c>
      <c r="I7" s="2775" t="s">
        <v>283</v>
      </c>
      <c r="J7" s="2775" t="s">
        <v>283</v>
      </c>
      <c r="K7" s="2775" t="s">
        <v>283</v>
      </c>
      <c r="L7" s="2775" t="s">
        <v>283</v>
      </c>
    </row>
    <row r="8" spans="1:12" ht="12.75" customHeight="1">
      <c r="A8" s="3297"/>
      <c r="B8" s="3030"/>
      <c r="C8" s="2994" t="s">
        <v>2243</v>
      </c>
      <c r="D8" s="2994" t="s">
        <v>2243</v>
      </c>
      <c r="E8" s="2994" t="s">
        <v>2243</v>
      </c>
      <c r="F8" s="2994" t="s">
        <v>2243</v>
      </c>
      <c r="G8" s="2994" t="s">
        <v>2243</v>
      </c>
      <c r="H8" s="2994" t="s">
        <v>2243</v>
      </c>
      <c r="I8" s="2994" t="s">
        <v>2243</v>
      </c>
      <c r="J8" s="2994" t="s">
        <v>2243</v>
      </c>
      <c r="K8" s="2994" t="s">
        <v>2243</v>
      </c>
      <c r="L8" s="2994" t="s">
        <v>2243</v>
      </c>
    </row>
    <row r="9" spans="1:12" ht="84.75" customHeight="1">
      <c r="A9" s="3298"/>
      <c r="B9" s="3089"/>
      <c r="C9" s="2994"/>
      <c r="D9" s="2994"/>
      <c r="E9" s="2994"/>
      <c r="F9" s="2994"/>
      <c r="G9" s="2994"/>
      <c r="H9" s="2994"/>
      <c r="I9" s="2994"/>
      <c r="J9" s="2994"/>
      <c r="K9" s="2994"/>
      <c r="L9" s="2994"/>
    </row>
    <row r="10" spans="1:12">
      <c r="A10" s="2811"/>
      <c r="B10" s="65"/>
      <c r="C10" s="2533"/>
      <c r="D10" s="2534"/>
      <c r="E10" s="2533"/>
      <c r="F10" s="2533"/>
      <c r="G10" s="2533"/>
      <c r="H10" s="2533"/>
      <c r="I10" s="2533"/>
      <c r="J10" s="2533"/>
      <c r="K10" s="2533"/>
      <c r="L10" s="2533"/>
    </row>
    <row r="11" spans="1:12">
      <c r="A11" s="2811" t="s">
        <v>57</v>
      </c>
      <c r="B11" s="156" t="s">
        <v>2007</v>
      </c>
      <c r="C11" s="2535"/>
      <c r="D11" s="2536"/>
      <c r="E11" s="2535"/>
      <c r="F11" s="2537">
        <v>2663.21</v>
      </c>
      <c r="G11" s="2537">
        <f>F13I!I25</f>
        <v>3737.2817961999999</v>
      </c>
      <c r="H11" s="2538">
        <f>F13I!I32</f>
        <v>3937.4750534699997</v>
      </c>
      <c r="I11" s="2538">
        <f>F13I!I39</f>
        <v>4134.3488061435</v>
      </c>
      <c r="J11" s="2539">
        <v>3476.8440000000005</v>
      </c>
      <c r="K11" s="2539">
        <v>3650.6862000000006</v>
      </c>
      <c r="L11" s="2539">
        <v>3833.2205100000006</v>
      </c>
    </row>
    <row r="12" spans="1:12">
      <c r="A12" s="253"/>
      <c r="B12" s="1425" t="s">
        <v>22</v>
      </c>
      <c r="C12" s="2540">
        <f t="shared" ref="C12:L12" si="0">SUM(C11)</f>
        <v>0</v>
      </c>
      <c r="D12" s="2541">
        <f t="shared" si="0"/>
        <v>0</v>
      </c>
      <c r="E12" s="2540">
        <f t="shared" si="0"/>
        <v>0</v>
      </c>
      <c r="F12" s="2542">
        <f t="shared" si="0"/>
        <v>2663.21</v>
      </c>
      <c r="G12" s="2542">
        <f t="shared" si="0"/>
        <v>3737.2817961999999</v>
      </c>
      <c r="H12" s="2543">
        <f t="shared" si="0"/>
        <v>3937.4750534699997</v>
      </c>
      <c r="I12" s="2543">
        <f t="shared" si="0"/>
        <v>4134.3488061435</v>
      </c>
      <c r="J12" s="2540">
        <f t="shared" si="0"/>
        <v>3476.8440000000005</v>
      </c>
      <c r="K12" s="2540">
        <f t="shared" si="0"/>
        <v>3650.6862000000006</v>
      </c>
      <c r="L12" s="2540">
        <f t="shared" si="0"/>
        <v>3833.2205100000006</v>
      </c>
    </row>
    <row r="13" spans="1:12" ht="12" customHeight="1">
      <c r="A13" s="253"/>
      <c r="B13" s="1425"/>
      <c r="C13" s="2544"/>
      <c r="D13" s="2545"/>
      <c r="E13" s="2544"/>
      <c r="F13" s="2546"/>
      <c r="G13" s="2546"/>
      <c r="H13" s="2547"/>
      <c r="I13" s="2547"/>
      <c r="J13" s="2544"/>
      <c r="K13" s="2544"/>
      <c r="L13" s="2544"/>
    </row>
    <row r="14" spans="1:12">
      <c r="A14" s="2811" t="s">
        <v>58</v>
      </c>
      <c r="B14" s="1425" t="s">
        <v>2244</v>
      </c>
      <c r="C14" s="2544"/>
      <c r="D14" s="2545"/>
      <c r="E14" s="2544"/>
      <c r="F14" s="2546"/>
      <c r="G14" s="2546"/>
      <c r="H14" s="2547"/>
      <c r="I14" s="2547"/>
      <c r="J14" s="2544"/>
      <c r="K14" s="2544"/>
      <c r="L14" s="2544"/>
    </row>
    <row r="15" spans="1:12">
      <c r="A15" s="253">
        <v>1</v>
      </c>
      <c r="B15" s="2800" t="s">
        <v>2245</v>
      </c>
      <c r="C15" s="2544"/>
      <c r="D15" s="2545"/>
      <c r="E15" s="2544"/>
      <c r="F15" s="2546">
        <v>2189.59</v>
      </c>
      <c r="G15" s="2546">
        <f>F13I!I28</f>
        <v>0</v>
      </c>
      <c r="H15" s="2538">
        <f>F13I!I35</f>
        <v>840.31879312500007</v>
      </c>
      <c r="I15" s="2538">
        <f>F13I!I42</f>
        <v>840.31879312500007</v>
      </c>
      <c r="J15" s="2540">
        <v>2419.9434000000001</v>
      </c>
      <c r="K15" s="2540">
        <v>2540.9405700000002</v>
      </c>
      <c r="L15" s="2540">
        <v>2667.9875985000003</v>
      </c>
    </row>
    <row r="16" spans="1:12">
      <c r="A16" s="253">
        <v>2</v>
      </c>
      <c r="B16" s="2800" t="s">
        <v>2030</v>
      </c>
      <c r="C16" s="2544"/>
      <c r="D16" s="2545"/>
      <c r="E16" s="2544"/>
      <c r="F16" s="2544"/>
      <c r="G16" s="2544"/>
      <c r="H16" s="2547">
        <f>F13I!I33</f>
        <v>919.61593321499993</v>
      </c>
      <c r="I16" s="2547">
        <f>F13I!I40</f>
        <v>919.61593321499993</v>
      </c>
      <c r="J16" s="2544"/>
      <c r="K16" s="2544"/>
      <c r="L16" s="2544"/>
    </row>
    <row r="17" spans="1:13">
      <c r="A17" s="253">
        <v>3</v>
      </c>
      <c r="B17" s="2800" t="s">
        <v>2012</v>
      </c>
      <c r="C17" s="2544"/>
      <c r="D17" s="2545"/>
      <c r="E17" s="2544"/>
      <c r="F17" s="2544"/>
      <c r="G17" s="2544"/>
      <c r="H17" s="2547">
        <f>F13I!I34</f>
        <v>316.990954875</v>
      </c>
      <c r="I17" s="2547">
        <f>F13I!I41</f>
        <v>316.990954875</v>
      </c>
      <c r="J17" s="2544"/>
      <c r="K17" s="2544"/>
      <c r="L17" s="2544"/>
    </row>
    <row r="18" spans="1:13">
      <c r="A18" s="253">
        <v>4</v>
      </c>
      <c r="B18" s="1425"/>
      <c r="C18" s="2544"/>
      <c r="D18" s="2545"/>
      <c r="E18" s="2544"/>
      <c r="F18" s="2544"/>
      <c r="G18" s="2544"/>
      <c r="H18" s="2547"/>
      <c r="I18" s="2547"/>
      <c r="J18" s="2544"/>
      <c r="K18" s="2544"/>
      <c r="L18" s="2544"/>
    </row>
    <row r="19" spans="1:13">
      <c r="A19" s="253" t="s">
        <v>2246</v>
      </c>
      <c r="B19" s="1425"/>
      <c r="C19" s="2544"/>
      <c r="D19" s="2545"/>
      <c r="E19" s="2544"/>
      <c r="F19" s="2544"/>
      <c r="G19" s="2544"/>
      <c r="H19" s="2547"/>
      <c r="I19" s="2547"/>
      <c r="J19" s="2544"/>
      <c r="K19" s="2544"/>
      <c r="L19" s="2544"/>
    </row>
    <row r="20" spans="1:13">
      <c r="A20" s="253"/>
      <c r="B20" s="1425" t="s">
        <v>22</v>
      </c>
      <c r="C20" s="2540">
        <f>SUM(C15:C19)</f>
        <v>0</v>
      </c>
      <c r="D20" s="2541">
        <f>SUM(D15:D19)</f>
        <v>0</v>
      </c>
      <c r="E20" s="2540">
        <f>SUM(E15:E19)</f>
        <v>0</v>
      </c>
      <c r="F20" s="2540">
        <v>2189.59</v>
      </c>
      <c r="G20" s="2540">
        <f t="shared" ref="G20:L20" si="1">SUM(G15:G19)</f>
        <v>0</v>
      </c>
      <c r="H20" s="2543">
        <f t="shared" si="1"/>
        <v>2076.9256812150002</v>
      </c>
      <c r="I20" s="2543">
        <f t="shared" si="1"/>
        <v>2076.9256812150002</v>
      </c>
      <c r="J20" s="2540">
        <f t="shared" si="1"/>
        <v>2419.9434000000001</v>
      </c>
      <c r="K20" s="2540">
        <f t="shared" si="1"/>
        <v>2540.9405700000002</v>
      </c>
      <c r="L20" s="2540">
        <f t="shared" si="1"/>
        <v>2667.9875985000003</v>
      </c>
    </row>
    <row r="21" spans="1:13" ht="14.25" customHeight="1">
      <c r="A21" s="253"/>
      <c r="B21" s="1425"/>
      <c r="C21" s="2544"/>
      <c r="D21" s="2545"/>
      <c r="E21" s="2544"/>
      <c r="F21" s="2544"/>
      <c r="G21" s="2544"/>
      <c r="H21" s="2547"/>
      <c r="I21" s="2547"/>
      <c r="J21" s="2544"/>
      <c r="K21" s="2544"/>
      <c r="L21" s="2544"/>
    </row>
    <row r="22" spans="1:13">
      <c r="A22" s="2811"/>
      <c r="B22" s="2548" t="s">
        <v>2247</v>
      </c>
      <c r="C22" s="2549">
        <f>C20+C12</f>
        <v>0</v>
      </c>
      <c r="D22" s="2550">
        <f>D20+D12</f>
        <v>0</v>
      </c>
      <c r="E22" s="2549">
        <f>E20+E12</f>
        <v>0</v>
      </c>
      <c r="F22" s="2549">
        <f>F20+F12</f>
        <v>4852.8</v>
      </c>
      <c r="G22" s="2549">
        <f>G20+G12</f>
        <v>3737.2817961999999</v>
      </c>
      <c r="H22" s="2551">
        <f>H20+H11</f>
        <v>6014.4007346849994</v>
      </c>
      <c r="I22" s="2551">
        <f>I20+I11</f>
        <v>6211.2744873584998</v>
      </c>
      <c r="J22" s="2549">
        <f>J20+J11</f>
        <v>5896.7874000000011</v>
      </c>
      <c r="K22" s="2549">
        <f>K20+K11</f>
        <v>6191.6267700000008</v>
      </c>
      <c r="L22" s="2549">
        <f>L20+L11</f>
        <v>6501.2081085000009</v>
      </c>
    </row>
    <row r="23" spans="1:13">
      <c r="A23" s="3299" t="s">
        <v>2248</v>
      </c>
      <c r="B23" s="3299"/>
      <c r="C23" s="3299"/>
      <c r="D23" s="3299"/>
      <c r="E23" s="3299"/>
      <c r="F23" s="3299"/>
      <c r="G23" s="3299"/>
      <c r="H23" s="3299"/>
      <c r="I23" s="3299"/>
      <c r="J23" s="3299"/>
      <c r="K23" s="3299"/>
      <c r="L23" s="3299"/>
      <c r="M23" s="3299"/>
    </row>
    <row r="24" spans="1:13">
      <c r="A24" s="3299"/>
      <c r="B24" s="3299"/>
      <c r="C24" s="3299"/>
      <c r="D24" s="3299"/>
      <c r="E24" s="3299"/>
      <c r="F24" s="3299"/>
      <c r="G24" s="3299"/>
      <c r="H24" s="3299"/>
      <c r="I24" s="3299"/>
      <c r="J24" s="3299"/>
      <c r="K24" s="3299"/>
      <c r="L24" s="3299"/>
      <c r="M24" s="3299"/>
    </row>
    <row r="25" spans="1:13">
      <c r="E25" s="1231"/>
      <c r="F25" s="1231"/>
      <c r="G25" s="1231"/>
    </row>
  </sheetData>
  <mergeCells count="19">
    <mergeCell ref="K8:K9"/>
    <mergeCell ref="L8:L9"/>
    <mergeCell ref="A23:M24"/>
    <mergeCell ref="E8:E9"/>
    <mergeCell ref="F8:F9"/>
    <mergeCell ref="G8:G9"/>
    <mergeCell ref="H8:H9"/>
    <mergeCell ref="I8:I9"/>
    <mergeCell ref="J8:J9"/>
    <mergeCell ref="A1:B1"/>
    <mergeCell ref="A2:E2"/>
    <mergeCell ref="A5:A9"/>
    <mergeCell ref="B5:B9"/>
    <mergeCell ref="D5:E5"/>
    <mergeCell ref="F5:G5"/>
    <mergeCell ref="D6:E6"/>
    <mergeCell ref="F6:G6"/>
    <mergeCell ref="C8:C9"/>
    <mergeCell ref="D8:D9"/>
  </mergeCells>
  <printOptions horizontalCentered="1" verticalCentered="1"/>
  <pageMargins left="0.23622047244094491" right="0.23622047244094491" top="0.74803149606299213" bottom="0.74803149606299213" header="0.31496062992125984" footer="0.31496062992125984"/>
  <pageSetup paperSize="9" orientation="landscape" r:id="rId1"/>
  <headerFooter>
    <oddFooter>&amp;R&amp;P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7"/>
  <sheetViews>
    <sheetView view="pageBreakPreview" zoomScale="74" zoomScaleNormal="85" zoomScaleSheetLayoutView="55" workbookViewId="0">
      <selection activeCell="C105" sqref="C105"/>
    </sheetView>
  </sheetViews>
  <sheetFormatPr defaultRowHeight="14.5"/>
  <cols>
    <col min="1" max="1" width="35.453125" style="2776" bestFit="1" customWidth="1"/>
    <col min="2" max="2" width="11" style="2810" hidden="1" customWidth="1"/>
    <col min="3" max="3" width="9.7265625" style="2810" hidden="1" customWidth="1"/>
    <col min="4" max="4" width="7.7265625" style="2810" hidden="1" customWidth="1"/>
    <col min="5" max="5" width="7.453125" style="2810" hidden="1" customWidth="1"/>
    <col min="6" max="6" width="9.7265625" style="2810" hidden="1" customWidth="1"/>
    <col min="7" max="10" width="7.7265625" style="2810" hidden="1" customWidth="1"/>
    <col min="11" max="11" width="10.453125" style="2810" hidden="1" customWidth="1"/>
    <col min="12" max="12" width="7.81640625" style="2810" hidden="1" customWidth="1"/>
    <col min="13" max="13" width="10.26953125" style="2810" hidden="1" customWidth="1"/>
    <col min="14" max="14" width="12.81640625" style="2810" hidden="1" customWidth="1"/>
    <col min="15" max="15" width="9.7265625" style="2810" hidden="1" customWidth="1"/>
    <col min="16" max="16" width="7.7265625" style="2810" hidden="1" customWidth="1"/>
    <col min="17" max="17" width="11" style="2810" customWidth="1"/>
    <col min="18" max="18" width="9.7265625" style="2810" customWidth="1"/>
    <col min="19" max="19" width="7.7265625" style="2810" customWidth="1"/>
    <col min="20" max="20" width="11" style="2810" bestFit="1" customWidth="1"/>
    <col min="21" max="21" width="9.7265625" style="2810" bestFit="1" customWidth="1"/>
    <col min="22" max="22" width="7.7265625" style="2810" bestFit="1" customWidth="1"/>
    <col min="23" max="23" width="10.54296875" style="2810" hidden="1" customWidth="1"/>
    <col min="24" max="24" width="9.7265625" style="2810" hidden="1" customWidth="1"/>
    <col min="25" max="25" width="7.7265625" style="2810" hidden="1" customWidth="1"/>
    <col min="26" max="26" width="11" style="2810" hidden="1" customWidth="1"/>
    <col min="27" max="27" width="9.7265625" style="2810" hidden="1" customWidth="1"/>
    <col min="28" max="28" width="7.7265625" style="2810" hidden="1" customWidth="1"/>
    <col min="29" max="29" width="11" style="2810" hidden="1" customWidth="1"/>
    <col min="30" max="30" width="9.7265625" style="2810" hidden="1" customWidth="1"/>
    <col min="31" max="31" width="7.7265625" style="2810" hidden="1" customWidth="1"/>
    <col min="32" max="32" width="11" style="2810" hidden="1" customWidth="1"/>
    <col min="33" max="33" width="9.7265625" style="2810" hidden="1" customWidth="1"/>
    <col min="34" max="34" width="7.7265625" style="2810" hidden="1" customWidth="1"/>
    <col min="35" max="265" width="9.1796875" style="2810"/>
    <col min="266" max="266" width="13" style="2810" customWidth="1"/>
    <col min="267" max="267" width="6.7265625" style="2810" customWidth="1"/>
    <col min="268" max="268" width="7" style="2810" customWidth="1"/>
    <col min="269" max="269" width="6.453125" style="2810" customWidth="1"/>
    <col min="270" max="270" width="8.26953125" style="2810" customWidth="1"/>
    <col min="271" max="271" width="6.54296875" style="2810" customWidth="1"/>
    <col min="272" max="272" width="7.453125" style="2810" customWidth="1"/>
    <col min="273" max="273" width="7.26953125" style="2810" customWidth="1"/>
    <col min="274" max="274" width="8" style="2810" customWidth="1"/>
    <col min="275" max="275" width="6.26953125" style="2810" customWidth="1"/>
    <col min="276" max="276" width="7.453125" style="2810" customWidth="1"/>
    <col min="277" max="277" width="6.7265625" style="2810" customWidth="1"/>
    <col min="278" max="278" width="8.26953125" style="2810" customWidth="1"/>
    <col min="279" max="521" width="9.1796875" style="2810"/>
    <col min="522" max="522" width="13" style="2810" customWidth="1"/>
    <col min="523" max="523" width="6.7265625" style="2810" customWidth="1"/>
    <col min="524" max="524" width="7" style="2810" customWidth="1"/>
    <col min="525" max="525" width="6.453125" style="2810" customWidth="1"/>
    <col min="526" max="526" width="8.26953125" style="2810" customWidth="1"/>
    <col min="527" max="527" width="6.54296875" style="2810" customWidth="1"/>
    <col min="528" max="528" width="7.453125" style="2810" customWidth="1"/>
    <col min="529" max="529" width="7.26953125" style="2810" customWidth="1"/>
    <col min="530" max="530" width="8" style="2810" customWidth="1"/>
    <col min="531" max="531" width="6.26953125" style="2810" customWidth="1"/>
    <col min="532" max="532" width="7.453125" style="2810" customWidth="1"/>
    <col min="533" max="533" width="6.7265625" style="2810" customWidth="1"/>
    <col min="534" max="534" width="8.26953125" style="2810" customWidth="1"/>
    <col min="535" max="777" width="9.1796875" style="2810"/>
    <col min="778" max="778" width="13" style="2810" customWidth="1"/>
    <col min="779" max="779" width="6.7265625" style="2810" customWidth="1"/>
    <col min="780" max="780" width="7" style="2810" customWidth="1"/>
    <col min="781" max="781" width="6.453125" style="2810" customWidth="1"/>
    <col min="782" max="782" width="8.26953125" style="2810" customWidth="1"/>
    <col min="783" max="783" width="6.54296875" style="2810" customWidth="1"/>
    <col min="784" max="784" width="7.453125" style="2810" customWidth="1"/>
    <col min="785" max="785" width="7.26953125" style="2810" customWidth="1"/>
    <col min="786" max="786" width="8" style="2810" customWidth="1"/>
    <col min="787" max="787" width="6.26953125" style="2810" customWidth="1"/>
    <col min="788" max="788" width="7.453125" style="2810" customWidth="1"/>
    <col min="789" max="789" width="6.7265625" style="2810" customWidth="1"/>
    <col min="790" max="790" width="8.26953125" style="2810" customWidth="1"/>
    <col min="791" max="1033" width="9.1796875" style="2810"/>
    <col min="1034" max="1034" width="13" style="2810" customWidth="1"/>
    <col min="1035" max="1035" width="6.7265625" style="2810" customWidth="1"/>
    <col min="1036" max="1036" width="7" style="2810" customWidth="1"/>
    <col min="1037" max="1037" width="6.453125" style="2810" customWidth="1"/>
    <col min="1038" max="1038" width="8.26953125" style="2810" customWidth="1"/>
    <col min="1039" max="1039" width="6.54296875" style="2810" customWidth="1"/>
    <col min="1040" max="1040" width="7.453125" style="2810" customWidth="1"/>
    <col min="1041" max="1041" width="7.26953125" style="2810" customWidth="1"/>
    <col min="1042" max="1042" width="8" style="2810" customWidth="1"/>
    <col min="1043" max="1043" width="6.26953125" style="2810" customWidth="1"/>
    <col min="1044" max="1044" width="7.453125" style="2810" customWidth="1"/>
    <col min="1045" max="1045" width="6.7265625" style="2810" customWidth="1"/>
    <col min="1046" max="1046" width="8.26953125" style="2810" customWidth="1"/>
    <col min="1047" max="1289" width="9.1796875" style="2810"/>
    <col min="1290" max="1290" width="13" style="2810" customWidth="1"/>
    <col min="1291" max="1291" width="6.7265625" style="2810" customWidth="1"/>
    <col min="1292" max="1292" width="7" style="2810" customWidth="1"/>
    <col min="1293" max="1293" width="6.453125" style="2810" customWidth="1"/>
    <col min="1294" max="1294" width="8.26953125" style="2810" customWidth="1"/>
    <col min="1295" max="1295" width="6.54296875" style="2810" customWidth="1"/>
    <col min="1296" max="1296" width="7.453125" style="2810" customWidth="1"/>
    <col min="1297" max="1297" width="7.26953125" style="2810" customWidth="1"/>
    <col min="1298" max="1298" width="8" style="2810" customWidth="1"/>
    <col min="1299" max="1299" width="6.26953125" style="2810" customWidth="1"/>
    <col min="1300" max="1300" width="7.453125" style="2810" customWidth="1"/>
    <col min="1301" max="1301" width="6.7265625" style="2810" customWidth="1"/>
    <col min="1302" max="1302" width="8.26953125" style="2810" customWidth="1"/>
    <col min="1303" max="1545" width="9.1796875" style="2810"/>
    <col min="1546" max="1546" width="13" style="2810" customWidth="1"/>
    <col min="1547" max="1547" width="6.7265625" style="2810" customWidth="1"/>
    <col min="1548" max="1548" width="7" style="2810" customWidth="1"/>
    <col min="1549" max="1549" width="6.453125" style="2810" customWidth="1"/>
    <col min="1550" max="1550" width="8.26953125" style="2810" customWidth="1"/>
    <col min="1551" max="1551" width="6.54296875" style="2810" customWidth="1"/>
    <col min="1552" max="1552" width="7.453125" style="2810" customWidth="1"/>
    <col min="1553" max="1553" width="7.26953125" style="2810" customWidth="1"/>
    <col min="1554" max="1554" width="8" style="2810" customWidth="1"/>
    <col min="1555" max="1555" width="6.26953125" style="2810" customWidth="1"/>
    <col min="1556" max="1556" width="7.453125" style="2810" customWidth="1"/>
    <col min="1557" max="1557" width="6.7265625" style="2810" customWidth="1"/>
    <col min="1558" max="1558" width="8.26953125" style="2810" customWidth="1"/>
    <col min="1559" max="1801" width="9.1796875" style="2810"/>
    <col min="1802" max="1802" width="13" style="2810" customWidth="1"/>
    <col min="1803" max="1803" width="6.7265625" style="2810" customWidth="1"/>
    <col min="1804" max="1804" width="7" style="2810" customWidth="1"/>
    <col min="1805" max="1805" width="6.453125" style="2810" customWidth="1"/>
    <col min="1806" max="1806" width="8.26953125" style="2810" customWidth="1"/>
    <col min="1807" max="1807" width="6.54296875" style="2810" customWidth="1"/>
    <col min="1808" max="1808" width="7.453125" style="2810" customWidth="1"/>
    <col min="1809" max="1809" width="7.26953125" style="2810" customWidth="1"/>
    <col min="1810" max="1810" width="8" style="2810" customWidth="1"/>
    <col min="1811" max="1811" width="6.26953125" style="2810" customWidth="1"/>
    <col min="1812" max="1812" width="7.453125" style="2810" customWidth="1"/>
    <col min="1813" max="1813" width="6.7265625" style="2810" customWidth="1"/>
    <col min="1814" max="1814" width="8.26953125" style="2810" customWidth="1"/>
    <col min="1815" max="2057" width="9.1796875" style="2810"/>
    <col min="2058" max="2058" width="13" style="2810" customWidth="1"/>
    <col min="2059" max="2059" width="6.7265625" style="2810" customWidth="1"/>
    <col min="2060" max="2060" width="7" style="2810" customWidth="1"/>
    <col min="2061" max="2061" width="6.453125" style="2810" customWidth="1"/>
    <col min="2062" max="2062" width="8.26953125" style="2810" customWidth="1"/>
    <col min="2063" max="2063" width="6.54296875" style="2810" customWidth="1"/>
    <col min="2064" max="2064" width="7.453125" style="2810" customWidth="1"/>
    <col min="2065" max="2065" width="7.26953125" style="2810" customWidth="1"/>
    <col min="2066" max="2066" width="8" style="2810" customWidth="1"/>
    <col min="2067" max="2067" width="6.26953125" style="2810" customWidth="1"/>
    <col min="2068" max="2068" width="7.453125" style="2810" customWidth="1"/>
    <col min="2069" max="2069" width="6.7265625" style="2810" customWidth="1"/>
    <col min="2070" max="2070" width="8.26953125" style="2810" customWidth="1"/>
    <col min="2071" max="2313" width="9.1796875" style="2810"/>
    <col min="2314" max="2314" width="13" style="2810" customWidth="1"/>
    <col min="2315" max="2315" width="6.7265625" style="2810" customWidth="1"/>
    <col min="2316" max="2316" width="7" style="2810" customWidth="1"/>
    <col min="2317" max="2317" width="6.453125" style="2810" customWidth="1"/>
    <col min="2318" max="2318" width="8.26953125" style="2810" customWidth="1"/>
    <col min="2319" max="2319" width="6.54296875" style="2810" customWidth="1"/>
    <col min="2320" max="2320" width="7.453125" style="2810" customWidth="1"/>
    <col min="2321" max="2321" width="7.26953125" style="2810" customWidth="1"/>
    <col min="2322" max="2322" width="8" style="2810" customWidth="1"/>
    <col min="2323" max="2323" width="6.26953125" style="2810" customWidth="1"/>
    <col min="2324" max="2324" width="7.453125" style="2810" customWidth="1"/>
    <col min="2325" max="2325" width="6.7265625" style="2810" customWidth="1"/>
    <col min="2326" max="2326" width="8.26953125" style="2810" customWidth="1"/>
    <col min="2327" max="2569" width="9.1796875" style="2810"/>
    <col min="2570" max="2570" width="13" style="2810" customWidth="1"/>
    <col min="2571" max="2571" width="6.7265625" style="2810" customWidth="1"/>
    <col min="2572" max="2572" width="7" style="2810" customWidth="1"/>
    <col min="2573" max="2573" width="6.453125" style="2810" customWidth="1"/>
    <col min="2574" max="2574" width="8.26953125" style="2810" customWidth="1"/>
    <col min="2575" max="2575" width="6.54296875" style="2810" customWidth="1"/>
    <col min="2576" max="2576" width="7.453125" style="2810" customWidth="1"/>
    <col min="2577" max="2577" width="7.26953125" style="2810" customWidth="1"/>
    <col min="2578" max="2578" width="8" style="2810" customWidth="1"/>
    <col min="2579" max="2579" width="6.26953125" style="2810" customWidth="1"/>
    <col min="2580" max="2580" width="7.453125" style="2810" customWidth="1"/>
    <col min="2581" max="2581" width="6.7265625" style="2810" customWidth="1"/>
    <col min="2582" max="2582" width="8.26953125" style="2810" customWidth="1"/>
    <col min="2583" max="2825" width="9.1796875" style="2810"/>
    <col min="2826" max="2826" width="13" style="2810" customWidth="1"/>
    <col min="2827" max="2827" width="6.7265625" style="2810" customWidth="1"/>
    <col min="2828" max="2828" width="7" style="2810" customWidth="1"/>
    <col min="2829" max="2829" width="6.453125" style="2810" customWidth="1"/>
    <col min="2830" max="2830" width="8.26953125" style="2810" customWidth="1"/>
    <col min="2831" max="2831" width="6.54296875" style="2810" customWidth="1"/>
    <col min="2832" max="2832" width="7.453125" style="2810" customWidth="1"/>
    <col min="2833" max="2833" width="7.26953125" style="2810" customWidth="1"/>
    <col min="2834" max="2834" width="8" style="2810" customWidth="1"/>
    <col min="2835" max="2835" width="6.26953125" style="2810" customWidth="1"/>
    <col min="2836" max="2836" width="7.453125" style="2810" customWidth="1"/>
    <col min="2837" max="2837" width="6.7265625" style="2810" customWidth="1"/>
    <col min="2838" max="2838" width="8.26953125" style="2810" customWidth="1"/>
    <col min="2839" max="3081" width="9.1796875" style="2810"/>
    <col min="3082" max="3082" width="13" style="2810" customWidth="1"/>
    <col min="3083" max="3083" width="6.7265625" style="2810" customWidth="1"/>
    <col min="3084" max="3084" width="7" style="2810" customWidth="1"/>
    <col min="3085" max="3085" width="6.453125" style="2810" customWidth="1"/>
    <col min="3086" max="3086" width="8.26953125" style="2810" customWidth="1"/>
    <col min="3087" max="3087" width="6.54296875" style="2810" customWidth="1"/>
    <col min="3088" max="3088" width="7.453125" style="2810" customWidth="1"/>
    <col min="3089" max="3089" width="7.26953125" style="2810" customWidth="1"/>
    <col min="3090" max="3090" width="8" style="2810" customWidth="1"/>
    <col min="3091" max="3091" width="6.26953125" style="2810" customWidth="1"/>
    <col min="3092" max="3092" width="7.453125" style="2810" customWidth="1"/>
    <col min="3093" max="3093" width="6.7265625" style="2810" customWidth="1"/>
    <col min="3094" max="3094" width="8.26953125" style="2810" customWidth="1"/>
    <col min="3095" max="3337" width="9.1796875" style="2810"/>
    <col min="3338" max="3338" width="13" style="2810" customWidth="1"/>
    <col min="3339" max="3339" width="6.7265625" style="2810" customWidth="1"/>
    <col min="3340" max="3340" width="7" style="2810" customWidth="1"/>
    <col min="3341" max="3341" width="6.453125" style="2810" customWidth="1"/>
    <col min="3342" max="3342" width="8.26953125" style="2810" customWidth="1"/>
    <col min="3343" max="3343" width="6.54296875" style="2810" customWidth="1"/>
    <col min="3344" max="3344" width="7.453125" style="2810" customWidth="1"/>
    <col min="3345" max="3345" width="7.26953125" style="2810" customWidth="1"/>
    <col min="3346" max="3346" width="8" style="2810" customWidth="1"/>
    <col min="3347" max="3347" width="6.26953125" style="2810" customWidth="1"/>
    <col min="3348" max="3348" width="7.453125" style="2810" customWidth="1"/>
    <col min="3349" max="3349" width="6.7265625" style="2810" customWidth="1"/>
    <col min="3350" max="3350" width="8.26953125" style="2810" customWidth="1"/>
    <col min="3351" max="3593" width="9.1796875" style="2810"/>
    <col min="3594" max="3594" width="13" style="2810" customWidth="1"/>
    <col min="3595" max="3595" width="6.7265625" style="2810" customWidth="1"/>
    <col min="3596" max="3596" width="7" style="2810" customWidth="1"/>
    <col min="3597" max="3597" width="6.453125" style="2810" customWidth="1"/>
    <col min="3598" max="3598" width="8.26953125" style="2810" customWidth="1"/>
    <col min="3599" max="3599" width="6.54296875" style="2810" customWidth="1"/>
    <col min="3600" max="3600" width="7.453125" style="2810" customWidth="1"/>
    <col min="3601" max="3601" width="7.26953125" style="2810" customWidth="1"/>
    <col min="3602" max="3602" width="8" style="2810" customWidth="1"/>
    <col min="3603" max="3603" width="6.26953125" style="2810" customWidth="1"/>
    <col min="3604" max="3604" width="7.453125" style="2810" customWidth="1"/>
    <col min="3605" max="3605" width="6.7265625" style="2810" customWidth="1"/>
    <col min="3606" max="3606" width="8.26953125" style="2810" customWidth="1"/>
    <col min="3607" max="3849" width="9.1796875" style="2810"/>
    <col min="3850" max="3850" width="13" style="2810" customWidth="1"/>
    <col min="3851" max="3851" width="6.7265625" style="2810" customWidth="1"/>
    <col min="3852" max="3852" width="7" style="2810" customWidth="1"/>
    <col min="3853" max="3853" width="6.453125" style="2810" customWidth="1"/>
    <col min="3854" max="3854" width="8.26953125" style="2810" customWidth="1"/>
    <col min="3855" max="3855" width="6.54296875" style="2810" customWidth="1"/>
    <col min="3856" max="3856" width="7.453125" style="2810" customWidth="1"/>
    <col min="3857" max="3857" width="7.26953125" style="2810" customWidth="1"/>
    <col min="3858" max="3858" width="8" style="2810" customWidth="1"/>
    <col min="3859" max="3859" width="6.26953125" style="2810" customWidth="1"/>
    <col min="3860" max="3860" width="7.453125" style="2810" customWidth="1"/>
    <col min="3861" max="3861" width="6.7265625" style="2810" customWidth="1"/>
    <col min="3862" max="3862" width="8.26953125" style="2810" customWidth="1"/>
    <col min="3863" max="4105" width="9.1796875" style="2810"/>
    <col min="4106" max="4106" width="13" style="2810" customWidth="1"/>
    <col min="4107" max="4107" width="6.7265625" style="2810" customWidth="1"/>
    <col min="4108" max="4108" width="7" style="2810" customWidth="1"/>
    <col min="4109" max="4109" width="6.453125" style="2810" customWidth="1"/>
    <col min="4110" max="4110" width="8.26953125" style="2810" customWidth="1"/>
    <col min="4111" max="4111" width="6.54296875" style="2810" customWidth="1"/>
    <col min="4112" max="4112" width="7.453125" style="2810" customWidth="1"/>
    <col min="4113" max="4113" width="7.26953125" style="2810" customWidth="1"/>
    <col min="4114" max="4114" width="8" style="2810" customWidth="1"/>
    <col min="4115" max="4115" width="6.26953125" style="2810" customWidth="1"/>
    <col min="4116" max="4116" width="7.453125" style="2810" customWidth="1"/>
    <col min="4117" max="4117" width="6.7265625" style="2810" customWidth="1"/>
    <col min="4118" max="4118" width="8.26953125" style="2810" customWidth="1"/>
    <col min="4119" max="4361" width="9.1796875" style="2810"/>
    <col min="4362" max="4362" width="13" style="2810" customWidth="1"/>
    <col min="4363" max="4363" width="6.7265625" style="2810" customWidth="1"/>
    <col min="4364" max="4364" width="7" style="2810" customWidth="1"/>
    <col min="4365" max="4365" width="6.453125" style="2810" customWidth="1"/>
    <col min="4366" max="4366" width="8.26953125" style="2810" customWidth="1"/>
    <col min="4367" max="4367" width="6.54296875" style="2810" customWidth="1"/>
    <col min="4368" max="4368" width="7.453125" style="2810" customWidth="1"/>
    <col min="4369" max="4369" width="7.26953125" style="2810" customWidth="1"/>
    <col min="4370" max="4370" width="8" style="2810" customWidth="1"/>
    <col min="4371" max="4371" width="6.26953125" style="2810" customWidth="1"/>
    <col min="4372" max="4372" width="7.453125" style="2810" customWidth="1"/>
    <col min="4373" max="4373" width="6.7265625" style="2810" customWidth="1"/>
    <col min="4374" max="4374" width="8.26953125" style="2810" customWidth="1"/>
    <col min="4375" max="4617" width="9.1796875" style="2810"/>
    <col min="4618" max="4618" width="13" style="2810" customWidth="1"/>
    <col min="4619" max="4619" width="6.7265625" style="2810" customWidth="1"/>
    <col min="4620" max="4620" width="7" style="2810" customWidth="1"/>
    <col min="4621" max="4621" width="6.453125" style="2810" customWidth="1"/>
    <col min="4622" max="4622" width="8.26953125" style="2810" customWidth="1"/>
    <col min="4623" max="4623" width="6.54296875" style="2810" customWidth="1"/>
    <col min="4624" max="4624" width="7.453125" style="2810" customWidth="1"/>
    <col min="4625" max="4625" width="7.26953125" style="2810" customWidth="1"/>
    <col min="4626" max="4626" width="8" style="2810" customWidth="1"/>
    <col min="4627" max="4627" width="6.26953125" style="2810" customWidth="1"/>
    <col min="4628" max="4628" width="7.453125" style="2810" customWidth="1"/>
    <col min="4629" max="4629" width="6.7265625" style="2810" customWidth="1"/>
    <col min="4630" max="4630" width="8.26953125" style="2810" customWidth="1"/>
    <col min="4631" max="4873" width="9.1796875" style="2810"/>
    <col min="4874" max="4874" width="13" style="2810" customWidth="1"/>
    <col min="4875" max="4875" width="6.7265625" style="2810" customWidth="1"/>
    <col min="4876" max="4876" width="7" style="2810" customWidth="1"/>
    <col min="4877" max="4877" width="6.453125" style="2810" customWidth="1"/>
    <col min="4878" max="4878" width="8.26953125" style="2810" customWidth="1"/>
    <col min="4879" max="4879" width="6.54296875" style="2810" customWidth="1"/>
    <col min="4880" max="4880" width="7.453125" style="2810" customWidth="1"/>
    <col min="4881" max="4881" width="7.26953125" style="2810" customWidth="1"/>
    <col min="4882" max="4882" width="8" style="2810" customWidth="1"/>
    <col min="4883" max="4883" width="6.26953125" style="2810" customWidth="1"/>
    <col min="4884" max="4884" width="7.453125" style="2810" customWidth="1"/>
    <col min="4885" max="4885" width="6.7265625" style="2810" customWidth="1"/>
    <col min="4886" max="4886" width="8.26953125" style="2810" customWidth="1"/>
    <col min="4887" max="5129" width="9.1796875" style="2810"/>
    <col min="5130" max="5130" width="13" style="2810" customWidth="1"/>
    <col min="5131" max="5131" width="6.7265625" style="2810" customWidth="1"/>
    <col min="5132" max="5132" width="7" style="2810" customWidth="1"/>
    <col min="5133" max="5133" width="6.453125" style="2810" customWidth="1"/>
    <col min="5134" max="5134" width="8.26953125" style="2810" customWidth="1"/>
    <col min="5135" max="5135" width="6.54296875" style="2810" customWidth="1"/>
    <col min="5136" max="5136" width="7.453125" style="2810" customWidth="1"/>
    <col min="5137" max="5137" width="7.26953125" style="2810" customWidth="1"/>
    <col min="5138" max="5138" width="8" style="2810" customWidth="1"/>
    <col min="5139" max="5139" width="6.26953125" style="2810" customWidth="1"/>
    <col min="5140" max="5140" width="7.453125" style="2810" customWidth="1"/>
    <col min="5141" max="5141" width="6.7265625" style="2810" customWidth="1"/>
    <col min="5142" max="5142" width="8.26953125" style="2810" customWidth="1"/>
    <col min="5143" max="5385" width="9.1796875" style="2810"/>
    <col min="5386" max="5386" width="13" style="2810" customWidth="1"/>
    <col min="5387" max="5387" width="6.7265625" style="2810" customWidth="1"/>
    <col min="5388" max="5388" width="7" style="2810" customWidth="1"/>
    <col min="5389" max="5389" width="6.453125" style="2810" customWidth="1"/>
    <col min="5390" max="5390" width="8.26953125" style="2810" customWidth="1"/>
    <col min="5391" max="5391" width="6.54296875" style="2810" customWidth="1"/>
    <col min="5392" max="5392" width="7.453125" style="2810" customWidth="1"/>
    <col min="5393" max="5393" width="7.26953125" style="2810" customWidth="1"/>
    <col min="5394" max="5394" width="8" style="2810" customWidth="1"/>
    <col min="5395" max="5395" width="6.26953125" style="2810" customWidth="1"/>
    <col min="5396" max="5396" width="7.453125" style="2810" customWidth="1"/>
    <col min="5397" max="5397" width="6.7265625" style="2810" customWidth="1"/>
    <col min="5398" max="5398" width="8.26953125" style="2810" customWidth="1"/>
    <col min="5399" max="5641" width="9.1796875" style="2810"/>
    <col min="5642" max="5642" width="13" style="2810" customWidth="1"/>
    <col min="5643" max="5643" width="6.7265625" style="2810" customWidth="1"/>
    <col min="5644" max="5644" width="7" style="2810" customWidth="1"/>
    <col min="5645" max="5645" width="6.453125" style="2810" customWidth="1"/>
    <col min="5646" max="5646" width="8.26953125" style="2810" customWidth="1"/>
    <col min="5647" max="5647" width="6.54296875" style="2810" customWidth="1"/>
    <col min="5648" max="5648" width="7.453125" style="2810" customWidth="1"/>
    <col min="5649" max="5649" width="7.26953125" style="2810" customWidth="1"/>
    <col min="5650" max="5650" width="8" style="2810" customWidth="1"/>
    <col min="5651" max="5651" width="6.26953125" style="2810" customWidth="1"/>
    <col min="5652" max="5652" width="7.453125" style="2810" customWidth="1"/>
    <col min="5653" max="5653" width="6.7265625" style="2810" customWidth="1"/>
    <col min="5654" max="5654" width="8.26953125" style="2810" customWidth="1"/>
    <col min="5655" max="5897" width="9.1796875" style="2810"/>
    <col min="5898" max="5898" width="13" style="2810" customWidth="1"/>
    <col min="5899" max="5899" width="6.7265625" style="2810" customWidth="1"/>
    <col min="5900" max="5900" width="7" style="2810" customWidth="1"/>
    <col min="5901" max="5901" width="6.453125" style="2810" customWidth="1"/>
    <col min="5902" max="5902" width="8.26953125" style="2810" customWidth="1"/>
    <col min="5903" max="5903" width="6.54296875" style="2810" customWidth="1"/>
    <col min="5904" max="5904" width="7.453125" style="2810" customWidth="1"/>
    <col min="5905" max="5905" width="7.26953125" style="2810" customWidth="1"/>
    <col min="5906" max="5906" width="8" style="2810" customWidth="1"/>
    <col min="5907" max="5907" width="6.26953125" style="2810" customWidth="1"/>
    <col min="5908" max="5908" width="7.453125" style="2810" customWidth="1"/>
    <col min="5909" max="5909" width="6.7265625" style="2810" customWidth="1"/>
    <col min="5910" max="5910" width="8.26953125" style="2810" customWidth="1"/>
    <col min="5911" max="6153" width="9.1796875" style="2810"/>
    <col min="6154" max="6154" width="13" style="2810" customWidth="1"/>
    <col min="6155" max="6155" width="6.7265625" style="2810" customWidth="1"/>
    <col min="6156" max="6156" width="7" style="2810" customWidth="1"/>
    <col min="6157" max="6157" width="6.453125" style="2810" customWidth="1"/>
    <col min="6158" max="6158" width="8.26953125" style="2810" customWidth="1"/>
    <col min="6159" max="6159" width="6.54296875" style="2810" customWidth="1"/>
    <col min="6160" max="6160" width="7.453125" style="2810" customWidth="1"/>
    <col min="6161" max="6161" width="7.26953125" style="2810" customWidth="1"/>
    <col min="6162" max="6162" width="8" style="2810" customWidth="1"/>
    <col min="6163" max="6163" width="6.26953125" style="2810" customWidth="1"/>
    <col min="6164" max="6164" width="7.453125" style="2810" customWidth="1"/>
    <col min="6165" max="6165" width="6.7265625" style="2810" customWidth="1"/>
    <col min="6166" max="6166" width="8.26953125" style="2810" customWidth="1"/>
    <col min="6167" max="6409" width="9.1796875" style="2810"/>
    <col min="6410" max="6410" width="13" style="2810" customWidth="1"/>
    <col min="6411" max="6411" width="6.7265625" style="2810" customWidth="1"/>
    <col min="6412" max="6412" width="7" style="2810" customWidth="1"/>
    <col min="6413" max="6413" width="6.453125" style="2810" customWidth="1"/>
    <col min="6414" max="6414" width="8.26953125" style="2810" customWidth="1"/>
    <col min="6415" max="6415" width="6.54296875" style="2810" customWidth="1"/>
    <col min="6416" max="6416" width="7.453125" style="2810" customWidth="1"/>
    <col min="6417" max="6417" width="7.26953125" style="2810" customWidth="1"/>
    <col min="6418" max="6418" width="8" style="2810" customWidth="1"/>
    <col min="6419" max="6419" width="6.26953125" style="2810" customWidth="1"/>
    <col min="6420" max="6420" width="7.453125" style="2810" customWidth="1"/>
    <col min="6421" max="6421" width="6.7265625" style="2810" customWidth="1"/>
    <col min="6422" max="6422" width="8.26953125" style="2810" customWidth="1"/>
    <col min="6423" max="6665" width="9.1796875" style="2810"/>
    <col min="6666" max="6666" width="13" style="2810" customWidth="1"/>
    <col min="6667" max="6667" width="6.7265625" style="2810" customWidth="1"/>
    <col min="6668" max="6668" width="7" style="2810" customWidth="1"/>
    <col min="6669" max="6669" width="6.453125" style="2810" customWidth="1"/>
    <col min="6670" max="6670" width="8.26953125" style="2810" customWidth="1"/>
    <col min="6671" max="6671" width="6.54296875" style="2810" customWidth="1"/>
    <col min="6672" max="6672" width="7.453125" style="2810" customWidth="1"/>
    <col min="6673" max="6673" width="7.26953125" style="2810" customWidth="1"/>
    <col min="6674" max="6674" width="8" style="2810" customWidth="1"/>
    <col min="6675" max="6675" width="6.26953125" style="2810" customWidth="1"/>
    <col min="6676" max="6676" width="7.453125" style="2810" customWidth="1"/>
    <col min="6677" max="6677" width="6.7265625" style="2810" customWidth="1"/>
    <col min="6678" max="6678" width="8.26953125" style="2810" customWidth="1"/>
    <col min="6679" max="6921" width="9.1796875" style="2810"/>
    <col min="6922" max="6922" width="13" style="2810" customWidth="1"/>
    <col min="6923" max="6923" width="6.7265625" style="2810" customWidth="1"/>
    <col min="6924" max="6924" width="7" style="2810" customWidth="1"/>
    <col min="6925" max="6925" width="6.453125" style="2810" customWidth="1"/>
    <col min="6926" max="6926" width="8.26953125" style="2810" customWidth="1"/>
    <col min="6927" max="6927" width="6.54296875" style="2810" customWidth="1"/>
    <col min="6928" max="6928" width="7.453125" style="2810" customWidth="1"/>
    <col min="6929" max="6929" width="7.26953125" style="2810" customWidth="1"/>
    <col min="6930" max="6930" width="8" style="2810" customWidth="1"/>
    <col min="6931" max="6931" width="6.26953125" style="2810" customWidth="1"/>
    <col min="6932" max="6932" width="7.453125" style="2810" customWidth="1"/>
    <col min="6933" max="6933" width="6.7265625" style="2810" customWidth="1"/>
    <col min="6934" max="6934" width="8.26953125" style="2810" customWidth="1"/>
    <col min="6935" max="7177" width="9.1796875" style="2810"/>
    <col min="7178" max="7178" width="13" style="2810" customWidth="1"/>
    <col min="7179" max="7179" width="6.7265625" style="2810" customWidth="1"/>
    <col min="7180" max="7180" width="7" style="2810" customWidth="1"/>
    <col min="7181" max="7181" width="6.453125" style="2810" customWidth="1"/>
    <col min="7182" max="7182" width="8.26953125" style="2810" customWidth="1"/>
    <col min="7183" max="7183" width="6.54296875" style="2810" customWidth="1"/>
    <col min="7184" max="7184" width="7.453125" style="2810" customWidth="1"/>
    <col min="7185" max="7185" width="7.26953125" style="2810" customWidth="1"/>
    <col min="7186" max="7186" width="8" style="2810" customWidth="1"/>
    <col min="7187" max="7187" width="6.26953125" style="2810" customWidth="1"/>
    <col min="7188" max="7188" width="7.453125" style="2810" customWidth="1"/>
    <col min="7189" max="7189" width="6.7265625" style="2810" customWidth="1"/>
    <col min="7190" max="7190" width="8.26953125" style="2810" customWidth="1"/>
    <col min="7191" max="7433" width="9.1796875" style="2810"/>
    <col min="7434" max="7434" width="13" style="2810" customWidth="1"/>
    <col min="7435" max="7435" width="6.7265625" style="2810" customWidth="1"/>
    <col min="7436" max="7436" width="7" style="2810" customWidth="1"/>
    <col min="7437" max="7437" width="6.453125" style="2810" customWidth="1"/>
    <col min="7438" max="7438" width="8.26953125" style="2810" customWidth="1"/>
    <col min="7439" max="7439" width="6.54296875" style="2810" customWidth="1"/>
    <col min="7440" max="7440" width="7.453125" style="2810" customWidth="1"/>
    <col min="7441" max="7441" width="7.26953125" style="2810" customWidth="1"/>
    <col min="7442" max="7442" width="8" style="2810" customWidth="1"/>
    <col min="7443" max="7443" width="6.26953125" style="2810" customWidth="1"/>
    <col min="7444" max="7444" width="7.453125" style="2810" customWidth="1"/>
    <col min="7445" max="7445" width="6.7265625" style="2810" customWidth="1"/>
    <col min="7446" max="7446" width="8.26953125" style="2810" customWidth="1"/>
    <col min="7447" max="7689" width="9.1796875" style="2810"/>
    <col min="7690" max="7690" width="13" style="2810" customWidth="1"/>
    <col min="7691" max="7691" width="6.7265625" style="2810" customWidth="1"/>
    <col min="7692" max="7692" width="7" style="2810" customWidth="1"/>
    <col min="7693" max="7693" width="6.453125" style="2810" customWidth="1"/>
    <col min="7694" max="7694" width="8.26953125" style="2810" customWidth="1"/>
    <col min="7695" max="7695" width="6.54296875" style="2810" customWidth="1"/>
    <col min="7696" max="7696" width="7.453125" style="2810" customWidth="1"/>
    <col min="7697" max="7697" width="7.26953125" style="2810" customWidth="1"/>
    <col min="7698" max="7698" width="8" style="2810" customWidth="1"/>
    <col min="7699" max="7699" width="6.26953125" style="2810" customWidth="1"/>
    <col min="7700" max="7700" width="7.453125" style="2810" customWidth="1"/>
    <col min="7701" max="7701" width="6.7265625" style="2810" customWidth="1"/>
    <col min="7702" max="7702" width="8.26953125" style="2810" customWidth="1"/>
    <col min="7703" max="7945" width="9.1796875" style="2810"/>
    <col min="7946" max="7946" width="13" style="2810" customWidth="1"/>
    <col min="7947" max="7947" width="6.7265625" style="2810" customWidth="1"/>
    <col min="7948" max="7948" width="7" style="2810" customWidth="1"/>
    <col min="7949" max="7949" width="6.453125" style="2810" customWidth="1"/>
    <col min="7950" max="7950" width="8.26953125" style="2810" customWidth="1"/>
    <col min="7951" max="7951" width="6.54296875" style="2810" customWidth="1"/>
    <col min="7952" max="7952" width="7.453125" style="2810" customWidth="1"/>
    <col min="7953" max="7953" width="7.26953125" style="2810" customWidth="1"/>
    <col min="7954" max="7954" width="8" style="2810" customWidth="1"/>
    <col min="7955" max="7955" width="6.26953125" style="2810" customWidth="1"/>
    <col min="7956" max="7956" width="7.453125" style="2810" customWidth="1"/>
    <col min="7957" max="7957" width="6.7265625" style="2810" customWidth="1"/>
    <col min="7958" max="7958" width="8.26953125" style="2810" customWidth="1"/>
    <col min="7959" max="8201" width="9.1796875" style="2810"/>
    <col min="8202" max="8202" width="13" style="2810" customWidth="1"/>
    <col min="8203" max="8203" width="6.7265625" style="2810" customWidth="1"/>
    <col min="8204" max="8204" width="7" style="2810" customWidth="1"/>
    <col min="8205" max="8205" width="6.453125" style="2810" customWidth="1"/>
    <col min="8206" max="8206" width="8.26953125" style="2810" customWidth="1"/>
    <col min="8207" max="8207" width="6.54296875" style="2810" customWidth="1"/>
    <col min="8208" max="8208" width="7.453125" style="2810" customWidth="1"/>
    <col min="8209" max="8209" width="7.26953125" style="2810" customWidth="1"/>
    <col min="8210" max="8210" width="8" style="2810" customWidth="1"/>
    <col min="8211" max="8211" width="6.26953125" style="2810" customWidth="1"/>
    <col min="8212" max="8212" width="7.453125" style="2810" customWidth="1"/>
    <col min="8213" max="8213" width="6.7265625" style="2810" customWidth="1"/>
    <col min="8214" max="8214" width="8.26953125" style="2810" customWidth="1"/>
    <col min="8215" max="8457" width="9.1796875" style="2810"/>
    <col min="8458" max="8458" width="13" style="2810" customWidth="1"/>
    <col min="8459" max="8459" width="6.7265625" style="2810" customWidth="1"/>
    <col min="8460" max="8460" width="7" style="2810" customWidth="1"/>
    <col min="8461" max="8461" width="6.453125" style="2810" customWidth="1"/>
    <col min="8462" max="8462" width="8.26953125" style="2810" customWidth="1"/>
    <col min="8463" max="8463" width="6.54296875" style="2810" customWidth="1"/>
    <col min="8464" max="8464" width="7.453125" style="2810" customWidth="1"/>
    <col min="8465" max="8465" width="7.26953125" style="2810" customWidth="1"/>
    <col min="8466" max="8466" width="8" style="2810" customWidth="1"/>
    <col min="8467" max="8467" width="6.26953125" style="2810" customWidth="1"/>
    <col min="8468" max="8468" width="7.453125" style="2810" customWidth="1"/>
    <col min="8469" max="8469" width="6.7265625" style="2810" customWidth="1"/>
    <col min="8470" max="8470" width="8.26953125" style="2810" customWidth="1"/>
    <col min="8471" max="8713" width="9.1796875" style="2810"/>
    <col min="8714" max="8714" width="13" style="2810" customWidth="1"/>
    <col min="8715" max="8715" width="6.7265625" style="2810" customWidth="1"/>
    <col min="8716" max="8716" width="7" style="2810" customWidth="1"/>
    <col min="8717" max="8717" width="6.453125" style="2810" customWidth="1"/>
    <col min="8718" max="8718" width="8.26953125" style="2810" customWidth="1"/>
    <col min="8719" max="8719" width="6.54296875" style="2810" customWidth="1"/>
    <col min="8720" max="8720" width="7.453125" style="2810" customWidth="1"/>
    <col min="8721" max="8721" width="7.26953125" style="2810" customWidth="1"/>
    <col min="8722" max="8722" width="8" style="2810" customWidth="1"/>
    <col min="8723" max="8723" width="6.26953125" style="2810" customWidth="1"/>
    <col min="8724" max="8724" width="7.453125" style="2810" customWidth="1"/>
    <col min="8725" max="8725" width="6.7265625" style="2810" customWidth="1"/>
    <col min="8726" max="8726" width="8.26953125" style="2810" customWidth="1"/>
    <col min="8727" max="8969" width="9.1796875" style="2810"/>
    <col min="8970" max="8970" width="13" style="2810" customWidth="1"/>
    <col min="8971" max="8971" width="6.7265625" style="2810" customWidth="1"/>
    <col min="8972" max="8972" width="7" style="2810" customWidth="1"/>
    <col min="8973" max="8973" width="6.453125" style="2810" customWidth="1"/>
    <col min="8974" max="8974" width="8.26953125" style="2810" customWidth="1"/>
    <col min="8975" max="8975" width="6.54296875" style="2810" customWidth="1"/>
    <col min="8976" max="8976" width="7.453125" style="2810" customWidth="1"/>
    <col min="8977" max="8977" width="7.26953125" style="2810" customWidth="1"/>
    <col min="8978" max="8978" width="8" style="2810" customWidth="1"/>
    <col min="8979" max="8979" width="6.26953125" style="2810" customWidth="1"/>
    <col min="8980" max="8980" width="7.453125" style="2810" customWidth="1"/>
    <col min="8981" max="8981" width="6.7265625" style="2810" customWidth="1"/>
    <col min="8982" max="8982" width="8.26953125" style="2810" customWidth="1"/>
    <col min="8983" max="9225" width="9.1796875" style="2810"/>
    <col min="9226" max="9226" width="13" style="2810" customWidth="1"/>
    <col min="9227" max="9227" width="6.7265625" style="2810" customWidth="1"/>
    <col min="9228" max="9228" width="7" style="2810" customWidth="1"/>
    <col min="9229" max="9229" width="6.453125" style="2810" customWidth="1"/>
    <col min="9230" max="9230" width="8.26953125" style="2810" customWidth="1"/>
    <col min="9231" max="9231" width="6.54296875" style="2810" customWidth="1"/>
    <col min="9232" max="9232" width="7.453125" style="2810" customWidth="1"/>
    <col min="9233" max="9233" width="7.26953125" style="2810" customWidth="1"/>
    <col min="9234" max="9234" width="8" style="2810" customWidth="1"/>
    <col min="9235" max="9235" width="6.26953125" style="2810" customWidth="1"/>
    <col min="9236" max="9236" width="7.453125" style="2810" customWidth="1"/>
    <col min="9237" max="9237" width="6.7265625" style="2810" customWidth="1"/>
    <col min="9238" max="9238" width="8.26953125" style="2810" customWidth="1"/>
    <col min="9239" max="9481" width="9.1796875" style="2810"/>
    <col min="9482" max="9482" width="13" style="2810" customWidth="1"/>
    <col min="9483" max="9483" width="6.7265625" style="2810" customWidth="1"/>
    <col min="9484" max="9484" width="7" style="2810" customWidth="1"/>
    <col min="9485" max="9485" width="6.453125" style="2810" customWidth="1"/>
    <col min="9486" max="9486" width="8.26953125" style="2810" customWidth="1"/>
    <col min="9487" max="9487" width="6.54296875" style="2810" customWidth="1"/>
    <col min="9488" max="9488" width="7.453125" style="2810" customWidth="1"/>
    <col min="9489" max="9489" width="7.26953125" style="2810" customWidth="1"/>
    <col min="9490" max="9490" width="8" style="2810" customWidth="1"/>
    <col min="9491" max="9491" width="6.26953125" style="2810" customWidth="1"/>
    <col min="9492" max="9492" width="7.453125" style="2810" customWidth="1"/>
    <col min="9493" max="9493" width="6.7265625" style="2810" customWidth="1"/>
    <col min="9494" max="9494" width="8.26953125" style="2810" customWidth="1"/>
    <col min="9495" max="9737" width="9.1796875" style="2810"/>
    <col min="9738" max="9738" width="13" style="2810" customWidth="1"/>
    <col min="9739" max="9739" width="6.7265625" style="2810" customWidth="1"/>
    <col min="9740" max="9740" width="7" style="2810" customWidth="1"/>
    <col min="9741" max="9741" width="6.453125" style="2810" customWidth="1"/>
    <col min="9742" max="9742" width="8.26953125" style="2810" customWidth="1"/>
    <col min="9743" max="9743" width="6.54296875" style="2810" customWidth="1"/>
    <col min="9744" max="9744" width="7.453125" style="2810" customWidth="1"/>
    <col min="9745" max="9745" width="7.26953125" style="2810" customWidth="1"/>
    <col min="9746" max="9746" width="8" style="2810" customWidth="1"/>
    <col min="9747" max="9747" width="6.26953125" style="2810" customWidth="1"/>
    <col min="9748" max="9748" width="7.453125" style="2810" customWidth="1"/>
    <col min="9749" max="9749" width="6.7265625" style="2810" customWidth="1"/>
    <col min="9750" max="9750" width="8.26953125" style="2810" customWidth="1"/>
    <col min="9751" max="9993" width="9.1796875" style="2810"/>
    <col min="9994" max="9994" width="13" style="2810" customWidth="1"/>
    <col min="9995" max="9995" width="6.7265625" style="2810" customWidth="1"/>
    <col min="9996" max="9996" width="7" style="2810" customWidth="1"/>
    <col min="9997" max="9997" width="6.453125" style="2810" customWidth="1"/>
    <col min="9998" max="9998" width="8.26953125" style="2810" customWidth="1"/>
    <col min="9999" max="9999" width="6.54296875" style="2810" customWidth="1"/>
    <col min="10000" max="10000" width="7.453125" style="2810" customWidth="1"/>
    <col min="10001" max="10001" width="7.26953125" style="2810" customWidth="1"/>
    <col min="10002" max="10002" width="8" style="2810" customWidth="1"/>
    <col min="10003" max="10003" width="6.26953125" style="2810" customWidth="1"/>
    <col min="10004" max="10004" width="7.453125" style="2810" customWidth="1"/>
    <col min="10005" max="10005" width="6.7265625" style="2810" customWidth="1"/>
    <col min="10006" max="10006" width="8.26953125" style="2810" customWidth="1"/>
    <col min="10007" max="10249" width="9.1796875" style="2810"/>
    <col min="10250" max="10250" width="13" style="2810" customWidth="1"/>
    <col min="10251" max="10251" width="6.7265625" style="2810" customWidth="1"/>
    <col min="10252" max="10252" width="7" style="2810" customWidth="1"/>
    <col min="10253" max="10253" width="6.453125" style="2810" customWidth="1"/>
    <col min="10254" max="10254" width="8.26953125" style="2810" customWidth="1"/>
    <col min="10255" max="10255" width="6.54296875" style="2810" customWidth="1"/>
    <col min="10256" max="10256" width="7.453125" style="2810" customWidth="1"/>
    <col min="10257" max="10257" width="7.26953125" style="2810" customWidth="1"/>
    <col min="10258" max="10258" width="8" style="2810" customWidth="1"/>
    <col min="10259" max="10259" width="6.26953125" style="2810" customWidth="1"/>
    <col min="10260" max="10260" width="7.453125" style="2810" customWidth="1"/>
    <col min="10261" max="10261" width="6.7265625" style="2810" customWidth="1"/>
    <col min="10262" max="10262" width="8.26953125" style="2810" customWidth="1"/>
    <col min="10263" max="10505" width="9.1796875" style="2810"/>
    <col min="10506" max="10506" width="13" style="2810" customWidth="1"/>
    <col min="10507" max="10507" width="6.7265625" style="2810" customWidth="1"/>
    <col min="10508" max="10508" width="7" style="2810" customWidth="1"/>
    <col min="10509" max="10509" width="6.453125" style="2810" customWidth="1"/>
    <col min="10510" max="10510" width="8.26953125" style="2810" customWidth="1"/>
    <col min="10511" max="10511" width="6.54296875" style="2810" customWidth="1"/>
    <col min="10512" max="10512" width="7.453125" style="2810" customWidth="1"/>
    <col min="10513" max="10513" width="7.26953125" style="2810" customWidth="1"/>
    <col min="10514" max="10514" width="8" style="2810" customWidth="1"/>
    <col min="10515" max="10515" width="6.26953125" style="2810" customWidth="1"/>
    <col min="10516" max="10516" width="7.453125" style="2810" customWidth="1"/>
    <col min="10517" max="10517" width="6.7265625" style="2810" customWidth="1"/>
    <col min="10518" max="10518" width="8.26953125" style="2810" customWidth="1"/>
    <col min="10519" max="10761" width="9.1796875" style="2810"/>
    <col min="10762" max="10762" width="13" style="2810" customWidth="1"/>
    <col min="10763" max="10763" width="6.7265625" style="2810" customWidth="1"/>
    <col min="10764" max="10764" width="7" style="2810" customWidth="1"/>
    <col min="10765" max="10765" width="6.453125" style="2810" customWidth="1"/>
    <col min="10766" max="10766" width="8.26953125" style="2810" customWidth="1"/>
    <col min="10767" max="10767" width="6.54296875" style="2810" customWidth="1"/>
    <col min="10768" max="10768" width="7.453125" style="2810" customWidth="1"/>
    <col min="10769" max="10769" width="7.26953125" style="2810" customWidth="1"/>
    <col min="10770" max="10770" width="8" style="2810" customWidth="1"/>
    <col min="10771" max="10771" width="6.26953125" style="2810" customWidth="1"/>
    <col min="10772" max="10772" width="7.453125" style="2810" customWidth="1"/>
    <col min="10773" max="10773" width="6.7265625" style="2810" customWidth="1"/>
    <col min="10774" max="10774" width="8.26953125" style="2810" customWidth="1"/>
    <col min="10775" max="11017" width="9.1796875" style="2810"/>
    <col min="11018" max="11018" width="13" style="2810" customWidth="1"/>
    <col min="11019" max="11019" width="6.7265625" style="2810" customWidth="1"/>
    <col min="11020" max="11020" width="7" style="2810" customWidth="1"/>
    <col min="11021" max="11021" width="6.453125" style="2810" customWidth="1"/>
    <col min="11022" max="11022" width="8.26953125" style="2810" customWidth="1"/>
    <col min="11023" max="11023" width="6.54296875" style="2810" customWidth="1"/>
    <col min="11024" max="11024" width="7.453125" style="2810" customWidth="1"/>
    <col min="11025" max="11025" width="7.26953125" style="2810" customWidth="1"/>
    <col min="11026" max="11026" width="8" style="2810" customWidth="1"/>
    <col min="11027" max="11027" width="6.26953125" style="2810" customWidth="1"/>
    <col min="11028" max="11028" width="7.453125" style="2810" customWidth="1"/>
    <col min="11029" max="11029" width="6.7265625" style="2810" customWidth="1"/>
    <col min="11030" max="11030" width="8.26953125" style="2810" customWidth="1"/>
    <col min="11031" max="11273" width="9.1796875" style="2810"/>
    <col min="11274" max="11274" width="13" style="2810" customWidth="1"/>
    <col min="11275" max="11275" width="6.7265625" style="2810" customWidth="1"/>
    <col min="11276" max="11276" width="7" style="2810" customWidth="1"/>
    <col min="11277" max="11277" width="6.453125" style="2810" customWidth="1"/>
    <col min="11278" max="11278" width="8.26953125" style="2810" customWidth="1"/>
    <col min="11279" max="11279" width="6.54296875" style="2810" customWidth="1"/>
    <col min="11280" max="11280" width="7.453125" style="2810" customWidth="1"/>
    <col min="11281" max="11281" width="7.26953125" style="2810" customWidth="1"/>
    <col min="11282" max="11282" width="8" style="2810" customWidth="1"/>
    <col min="11283" max="11283" width="6.26953125" style="2810" customWidth="1"/>
    <col min="11284" max="11284" width="7.453125" style="2810" customWidth="1"/>
    <col min="11285" max="11285" width="6.7265625" style="2810" customWidth="1"/>
    <col min="11286" max="11286" width="8.26953125" style="2810" customWidth="1"/>
    <col min="11287" max="11529" width="9.1796875" style="2810"/>
    <col min="11530" max="11530" width="13" style="2810" customWidth="1"/>
    <col min="11531" max="11531" width="6.7265625" style="2810" customWidth="1"/>
    <col min="11532" max="11532" width="7" style="2810" customWidth="1"/>
    <col min="11533" max="11533" width="6.453125" style="2810" customWidth="1"/>
    <col min="11534" max="11534" width="8.26953125" style="2810" customWidth="1"/>
    <col min="11535" max="11535" width="6.54296875" style="2810" customWidth="1"/>
    <col min="11536" max="11536" width="7.453125" style="2810" customWidth="1"/>
    <col min="11537" max="11537" width="7.26953125" style="2810" customWidth="1"/>
    <col min="11538" max="11538" width="8" style="2810" customWidth="1"/>
    <col min="11539" max="11539" width="6.26953125" style="2810" customWidth="1"/>
    <col min="11540" max="11540" width="7.453125" style="2810" customWidth="1"/>
    <col min="11541" max="11541" width="6.7265625" style="2810" customWidth="1"/>
    <col min="11542" max="11542" width="8.26953125" style="2810" customWidth="1"/>
    <col min="11543" max="11785" width="9.1796875" style="2810"/>
    <col min="11786" max="11786" width="13" style="2810" customWidth="1"/>
    <col min="11787" max="11787" width="6.7265625" style="2810" customWidth="1"/>
    <col min="11788" max="11788" width="7" style="2810" customWidth="1"/>
    <col min="11789" max="11789" width="6.453125" style="2810" customWidth="1"/>
    <col min="11790" max="11790" width="8.26953125" style="2810" customWidth="1"/>
    <col min="11791" max="11791" width="6.54296875" style="2810" customWidth="1"/>
    <col min="11792" max="11792" width="7.453125" style="2810" customWidth="1"/>
    <col min="11793" max="11793" width="7.26953125" style="2810" customWidth="1"/>
    <col min="11794" max="11794" width="8" style="2810" customWidth="1"/>
    <col min="11795" max="11795" width="6.26953125" style="2810" customWidth="1"/>
    <col min="11796" max="11796" width="7.453125" style="2810" customWidth="1"/>
    <col min="11797" max="11797" width="6.7265625" style="2810" customWidth="1"/>
    <col min="11798" max="11798" width="8.26953125" style="2810" customWidth="1"/>
    <col min="11799" max="12041" width="9.1796875" style="2810"/>
    <col min="12042" max="12042" width="13" style="2810" customWidth="1"/>
    <col min="12043" max="12043" width="6.7265625" style="2810" customWidth="1"/>
    <col min="12044" max="12044" width="7" style="2810" customWidth="1"/>
    <col min="12045" max="12045" width="6.453125" style="2810" customWidth="1"/>
    <col min="12046" max="12046" width="8.26953125" style="2810" customWidth="1"/>
    <col min="12047" max="12047" width="6.54296875" style="2810" customWidth="1"/>
    <col min="12048" max="12048" width="7.453125" style="2810" customWidth="1"/>
    <col min="12049" max="12049" width="7.26953125" style="2810" customWidth="1"/>
    <col min="12050" max="12050" width="8" style="2810" customWidth="1"/>
    <col min="12051" max="12051" width="6.26953125" style="2810" customWidth="1"/>
    <col min="12052" max="12052" width="7.453125" style="2810" customWidth="1"/>
    <col min="12053" max="12053" width="6.7265625" style="2810" customWidth="1"/>
    <col min="12054" max="12054" width="8.26953125" style="2810" customWidth="1"/>
    <col min="12055" max="12297" width="9.1796875" style="2810"/>
    <col min="12298" max="12298" width="13" style="2810" customWidth="1"/>
    <col min="12299" max="12299" width="6.7265625" style="2810" customWidth="1"/>
    <col min="12300" max="12300" width="7" style="2810" customWidth="1"/>
    <col min="12301" max="12301" width="6.453125" style="2810" customWidth="1"/>
    <col min="12302" max="12302" width="8.26953125" style="2810" customWidth="1"/>
    <col min="12303" max="12303" width="6.54296875" style="2810" customWidth="1"/>
    <col min="12304" max="12304" width="7.453125" style="2810" customWidth="1"/>
    <col min="12305" max="12305" width="7.26953125" style="2810" customWidth="1"/>
    <col min="12306" max="12306" width="8" style="2810" customWidth="1"/>
    <col min="12307" max="12307" width="6.26953125" style="2810" customWidth="1"/>
    <col min="12308" max="12308" width="7.453125" style="2810" customWidth="1"/>
    <col min="12309" max="12309" width="6.7265625" style="2810" customWidth="1"/>
    <col min="12310" max="12310" width="8.26953125" style="2810" customWidth="1"/>
    <col min="12311" max="12553" width="9.1796875" style="2810"/>
    <col min="12554" max="12554" width="13" style="2810" customWidth="1"/>
    <col min="12555" max="12555" width="6.7265625" style="2810" customWidth="1"/>
    <col min="12556" max="12556" width="7" style="2810" customWidth="1"/>
    <col min="12557" max="12557" width="6.453125" style="2810" customWidth="1"/>
    <col min="12558" max="12558" width="8.26953125" style="2810" customWidth="1"/>
    <col min="12559" max="12559" width="6.54296875" style="2810" customWidth="1"/>
    <col min="12560" max="12560" width="7.453125" style="2810" customWidth="1"/>
    <col min="12561" max="12561" width="7.26953125" style="2810" customWidth="1"/>
    <col min="12562" max="12562" width="8" style="2810" customWidth="1"/>
    <col min="12563" max="12563" width="6.26953125" style="2810" customWidth="1"/>
    <col min="12564" max="12564" width="7.453125" style="2810" customWidth="1"/>
    <col min="12565" max="12565" width="6.7265625" style="2810" customWidth="1"/>
    <col min="12566" max="12566" width="8.26953125" style="2810" customWidth="1"/>
    <col min="12567" max="12809" width="9.1796875" style="2810"/>
    <col min="12810" max="12810" width="13" style="2810" customWidth="1"/>
    <col min="12811" max="12811" width="6.7265625" style="2810" customWidth="1"/>
    <col min="12812" max="12812" width="7" style="2810" customWidth="1"/>
    <col min="12813" max="12813" width="6.453125" style="2810" customWidth="1"/>
    <col min="12814" max="12814" width="8.26953125" style="2810" customWidth="1"/>
    <col min="12815" max="12815" width="6.54296875" style="2810" customWidth="1"/>
    <col min="12816" max="12816" width="7.453125" style="2810" customWidth="1"/>
    <col min="12817" max="12817" width="7.26953125" style="2810" customWidth="1"/>
    <col min="12818" max="12818" width="8" style="2810" customWidth="1"/>
    <col min="12819" max="12819" width="6.26953125" style="2810" customWidth="1"/>
    <col min="12820" max="12820" width="7.453125" style="2810" customWidth="1"/>
    <col min="12821" max="12821" width="6.7265625" style="2810" customWidth="1"/>
    <col min="12822" max="12822" width="8.26953125" style="2810" customWidth="1"/>
    <col min="12823" max="13065" width="9.1796875" style="2810"/>
    <col min="13066" max="13066" width="13" style="2810" customWidth="1"/>
    <col min="13067" max="13067" width="6.7265625" style="2810" customWidth="1"/>
    <col min="13068" max="13068" width="7" style="2810" customWidth="1"/>
    <col min="13069" max="13069" width="6.453125" style="2810" customWidth="1"/>
    <col min="13070" max="13070" width="8.26953125" style="2810" customWidth="1"/>
    <col min="13071" max="13071" width="6.54296875" style="2810" customWidth="1"/>
    <col min="13072" max="13072" width="7.453125" style="2810" customWidth="1"/>
    <col min="13073" max="13073" width="7.26953125" style="2810" customWidth="1"/>
    <col min="13074" max="13074" width="8" style="2810" customWidth="1"/>
    <col min="13075" max="13075" width="6.26953125" style="2810" customWidth="1"/>
    <col min="13076" max="13076" width="7.453125" style="2810" customWidth="1"/>
    <col min="13077" max="13077" width="6.7265625" style="2810" customWidth="1"/>
    <col min="13078" max="13078" width="8.26953125" style="2810" customWidth="1"/>
    <col min="13079" max="13321" width="9.1796875" style="2810"/>
    <col min="13322" max="13322" width="13" style="2810" customWidth="1"/>
    <col min="13323" max="13323" width="6.7265625" style="2810" customWidth="1"/>
    <col min="13324" max="13324" width="7" style="2810" customWidth="1"/>
    <col min="13325" max="13325" width="6.453125" style="2810" customWidth="1"/>
    <col min="13326" max="13326" width="8.26953125" style="2810" customWidth="1"/>
    <col min="13327" max="13327" width="6.54296875" style="2810" customWidth="1"/>
    <col min="13328" max="13328" width="7.453125" style="2810" customWidth="1"/>
    <col min="13329" max="13329" width="7.26953125" style="2810" customWidth="1"/>
    <col min="13330" max="13330" width="8" style="2810" customWidth="1"/>
    <col min="13331" max="13331" width="6.26953125" style="2810" customWidth="1"/>
    <col min="13332" max="13332" width="7.453125" style="2810" customWidth="1"/>
    <col min="13333" max="13333" width="6.7265625" style="2810" customWidth="1"/>
    <col min="13334" max="13334" width="8.26953125" style="2810" customWidth="1"/>
    <col min="13335" max="13577" width="9.1796875" style="2810"/>
    <col min="13578" max="13578" width="13" style="2810" customWidth="1"/>
    <col min="13579" max="13579" width="6.7265625" style="2810" customWidth="1"/>
    <col min="13580" max="13580" width="7" style="2810" customWidth="1"/>
    <col min="13581" max="13581" width="6.453125" style="2810" customWidth="1"/>
    <col min="13582" max="13582" width="8.26953125" style="2810" customWidth="1"/>
    <col min="13583" max="13583" width="6.54296875" style="2810" customWidth="1"/>
    <col min="13584" max="13584" width="7.453125" style="2810" customWidth="1"/>
    <col min="13585" max="13585" width="7.26953125" style="2810" customWidth="1"/>
    <col min="13586" max="13586" width="8" style="2810" customWidth="1"/>
    <col min="13587" max="13587" width="6.26953125" style="2810" customWidth="1"/>
    <col min="13588" max="13588" width="7.453125" style="2810" customWidth="1"/>
    <col min="13589" max="13589" width="6.7265625" style="2810" customWidth="1"/>
    <col min="13590" max="13590" width="8.26953125" style="2810" customWidth="1"/>
    <col min="13591" max="13833" width="9.1796875" style="2810"/>
    <col min="13834" max="13834" width="13" style="2810" customWidth="1"/>
    <col min="13835" max="13835" width="6.7265625" style="2810" customWidth="1"/>
    <col min="13836" max="13836" width="7" style="2810" customWidth="1"/>
    <col min="13837" max="13837" width="6.453125" style="2810" customWidth="1"/>
    <col min="13838" max="13838" width="8.26953125" style="2810" customWidth="1"/>
    <col min="13839" max="13839" width="6.54296875" style="2810" customWidth="1"/>
    <col min="13840" max="13840" width="7.453125" style="2810" customWidth="1"/>
    <col min="13841" max="13841" width="7.26953125" style="2810" customWidth="1"/>
    <col min="13842" max="13842" width="8" style="2810" customWidth="1"/>
    <col min="13843" max="13843" width="6.26953125" style="2810" customWidth="1"/>
    <col min="13844" max="13844" width="7.453125" style="2810" customWidth="1"/>
    <col min="13845" max="13845" width="6.7265625" style="2810" customWidth="1"/>
    <col min="13846" max="13846" width="8.26953125" style="2810" customWidth="1"/>
    <col min="13847" max="14089" width="9.1796875" style="2810"/>
    <col min="14090" max="14090" width="13" style="2810" customWidth="1"/>
    <col min="14091" max="14091" width="6.7265625" style="2810" customWidth="1"/>
    <col min="14092" max="14092" width="7" style="2810" customWidth="1"/>
    <col min="14093" max="14093" width="6.453125" style="2810" customWidth="1"/>
    <col min="14094" max="14094" width="8.26953125" style="2810" customWidth="1"/>
    <col min="14095" max="14095" width="6.54296875" style="2810" customWidth="1"/>
    <col min="14096" max="14096" width="7.453125" style="2810" customWidth="1"/>
    <col min="14097" max="14097" width="7.26953125" style="2810" customWidth="1"/>
    <col min="14098" max="14098" width="8" style="2810" customWidth="1"/>
    <col min="14099" max="14099" width="6.26953125" style="2810" customWidth="1"/>
    <col min="14100" max="14100" width="7.453125" style="2810" customWidth="1"/>
    <col min="14101" max="14101" width="6.7265625" style="2810" customWidth="1"/>
    <col min="14102" max="14102" width="8.26953125" style="2810" customWidth="1"/>
    <col min="14103" max="14345" width="9.1796875" style="2810"/>
    <col min="14346" max="14346" width="13" style="2810" customWidth="1"/>
    <col min="14347" max="14347" width="6.7265625" style="2810" customWidth="1"/>
    <col min="14348" max="14348" width="7" style="2810" customWidth="1"/>
    <col min="14349" max="14349" width="6.453125" style="2810" customWidth="1"/>
    <col min="14350" max="14350" width="8.26953125" style="2810" customWidth="1"/>
    <col min="14351" max="14351" width="6.54296875" style="2810" customWidth="1"/>
    <col min="14352" max="14352" width="7.453125" style="2810" customWidth="1"/>
    <col min="14353" max="14353" width="7.26953125" style="2810" customWidth="1"/>
    <col min="14354" max="14354" width="8" style="2810" customWidth="1"/>
    <col min="14355" max="14355" width="6.26953125" style="2810" customWidth="1"/>
    <col min="14356" max="14356" width="7.453125" style="2810" customWidth="1"/>
    <col min="14357" max="14357" width="6.7265625" style="2810" customWidth="1"/>
    <col min="14358" max="14358" width="8.26953125" style="2810" customWidth="1"/>
    <col min="14359" max="14601" width="9.1796875" style="2810"/>
    <col min="14602" max="14602" width="13" style="2810" customWidth="1"/>
    <col min="14603" max="14603" width="6.7265625" style="2810" customWidth="1"/>
    <col min="14604" max="14604" width="7" style="2810" customWidth="1"/>
    <col min="14605" max="14605" width="6.453125" style="2810" customWidth="1"/>
    <col min="14606" max="14606" width="8.26953125" style="2810" customWidth="1"/>
    <col min="14607" max="14607" width="6.54296875" style="2810" customWidth="1"/>
    <col min="14608" max="14608" width="7.453125" style="2810" customWidth="1"/>
    <col min="14609" max="14609" width="7.26953125" style="2810" customWidth="1"/>
    <col min="14610" max="14610" width="8" style="2810" customWidth="1"/>
    <col min="14611" max="14611" width="6.26953125" style="2810" customWidth="1"/>
    <col min="14612" max="14612" width="7.453125" style="2810" customWidth="1"/>
    <col min="14613" max="14613" width="6.7265625" style="2810" customWidth="1"/>
    <col min="14614" max="14614" width="8.26953125" style="2810" customWidth="1"/>
    <col min="14615" max="14857" width="9.1796875" style="2810"/>
    <col min="14858" max="14858" width="13" style="2810" customWidth="1"/>
    <col min="14859" max="14859" width="6.7265625" style="2810" customWidth="1"/>
    <col min="14860" max="14860" width="7" style="2810" customWidth="1"/>
    <col min="14861" max="14861" width="6.453125" style="2810" customWidth="1"/>
    <col min="14862" max="14862" width="8.26953125" style="2810" customWidth="1"/>
    <col min="14863" max="14863" width="6.54296875" style="2810" customWidth="1"/>
    <col min="14864" max="14864" width="7.453125" style="2810" customWidth="1"/>
    <col min="14865" max="14865" width="7.26953125" style="2810" customWidth="1"/>
    <col min="14866" max="14866" width="8" style="2810" customWidth="1"/>
    <col min="14867" max="14867" width="6.26953125" style="2810" customWidth="1"/>
    <col min="14868" max="14868" width="7.453125" style="2810" customWidth="1"/>
    <col min="14869" max="14869" width="6.7265625" style="2810" customWidth="1"/>
    <col min="14870" max="14870" width="8.26953125" style="2810" customWidth="1"/>
    <col min="14871" max="15113" width="9.1796875" style="2810"/>
    <col min="15114" max="15114" width="13" style="2810" customWidth="1"/>
    <col min="15115" max="15115" width="6.7265625" style="2810" customWidth="1"/>
    <col min="15116" max="15116" width="7" style="2810" customWidth="1"/>
    <col min="15117" max="15117" width="6.453125" style="2810" customWidth="1"/>
    <col min="15118" max="15118" width="8.26953125" style="2810" customWidth="1"/>
    <col min="15119" max="15119" width="6.54296875" style="2810" customWidth="1"/>
    <col min="15120" max="15120" width="7.453125" style="2810" customWidth="1"/>
    <col min="15121" max="15121" width="7.26953125" style="2810" customWidth="1"/>
    <col min="15122" max="15122" width="8" style="2810" customWidth="1"/>
    <col min="15123" max="15123" width="6.26953125" style="2810" customWidth="1"/>
    <col min="15124" max="15124" width="7.453125" style="2810" customWidth="1"/>
    <col min="15125" max="15125" width="6.7265625" style="2810" customWidth="1"/>
    <col min="15126" max="15126" width="8.26953125" style="2810" customWidth="1"/>
    <col min="15127" max="15369" width="9.1796875" style="2810"/>
    <col min="15370" max="15370" width="13" style="2810" customWidth="1"/>
    <col min="15371" max="15371" width="6.7265625" style="2810" customWidth="1"/>
    <col min="15372" max="15372" width="7" style="2810" customWidth="1"/>
    <col min="15373" max="15373" width="6.453125" style="2810" customWidth="1"/>
    <col min="15374" max="15374" width="8.26953125" style="2810" customWidth="1"/>
    <col min="15375" max="15375" width="6.54296875" style="2810" customWidth="1"/>
    <col min="15376" max="15376" width="7.453125" style="2810" customWidth="1"/>
    <col min="15377" max="15377" width="7.26953125" style="2810" customWidth="1"/>
    <col min="15378" max="15378" width="8" style="2810" customWidth="1"/>
    <col min="15379" max="15379" width="6.26953125" style="2810" customWidth="1"/>
    <col min="15380" max="15380" width="7.453125" style="2810" customWidth="1"/>
    <col min="15381" max="15381" width="6.7265625" style="2810" customWidth="1"/>
    <col min="15382" max="15382" width="8.26953125" style="2810" customWidth="1"/>
    <col min="15383" max="15625" width="9.1796875" style="2810"/>
    <col min="15626" max="15626" width="13" style="2810" customWidth="1"/>
    <col min="15627" max="15627" width="6.7265625" style="2810" customWidth="1"/>
    <col min="15628" max="15628" width="7" style="2810" customWidth="1"/>
    <col min="15629" max="15629" width="6.453125" style="2810" customWidth="1"/>
    <col min="15630" max="15630" width="8.26953125" style="2810" customWidth="1"/>
    <col min="15631" max="15631" width="6.54296875" style="2810" customWidth="1"/>
    <col min="15632" max="15632" width="7.453125" style="2810" customWidth="1"/>
    <col min="15633" max="15633" width="7.26953125" style="2810" customWidth="1"/>
    <col min="15634" max="15634" width="8" style="2810" customWidth="1"/>
    <col min="15635" max="15635" width="6.26953125" style="2810" customWidth="1"/>
    <col min="15636" max="15636" width="7.453125" style="2810" customWidth="1"/>
    <col min="15637" max="15637" width="6.7265625" style="2810" customWidth="1"/>
    <col min="15638" max="15638" width="8.26953125" style="2810" customWidth="1"/>
    <col min="15639" max="15881" width="9.1796875" style="2810"/>
    <col min="15882" max="15882" width="13" style="2810" customWidth="1"/>
    <col min="15883" max="15883" width="6.7265625" style="2810" customWidth="1"/>
    <col min="15884" max="15884" width="7" style="2810" customWidth="1"/>
    <col min="15885" max="15885" width="6.453125" style="2810" customWidth="1"/>
    <col min="15886" max="15886" width="8.26953125" style="2810" customWidth="1"/>
    <col min="15887" max="15887" width="6.54296875" style="2810" customWidth="1"/>
    <col min="15888" max="15888" width="7.453125" style="2810" customWidth="1"/>
    <col min="15889" max="15889" width="7.26953125" style="2810" customWidth="1"/>
    <col min="15890" max="15890" width="8" style="2810" customWidth="1"/>
    <col min="15891" max="15891" width="6.26953125" style="2810" customWidth="1"/>
    <col min="15892" max="15892" width="7.453125" style="2810" customWidth="1"/>
    <col min="15893" max="15893" width="6.7265625" style="2810" customWidth="1"/>
    <col min="15894" max="15894" width="8.26953125" style="2810" customWidth="1"/>
    <col min="15895" max="16137" width="9.1796875" style="2810"/>
    <col min="16138" max="16138" width="13" style="2810" customWidth="1"/>
    <col min="16139" max="16139" width="6.7265625" style="2810" customWidth="1"/>
    <col min="16140" max="16140" width="7" style="2810" customWidth="1"/>
    <col min="16141" max="16141" width="6.453125" style="2810" customWidth="1"/>
    <col min="16142" max="16142" width="8.26953125" style="2810" customWidth="1"/>
    <col min="16143" max="16143" width="6.54296875" style="2810" customWidth="1"/>
    <col min="16144" max="16144" width="7.453125" style="2810" customWidth="1"/>
    <col min="16145" max="16145" width="7.26953125" style="2810" customWidth="1"/>
    <col min="16146" max="16146" width="8" style="2810" customWidth="1"/>
    <col min="16147" max="16147" width="6.26953125" style="2810" customWidth="1"/>
    <col min="16148" max="16148" width="7.453125" style="2810" customWidth="1"/>
    <col min="16149" max="16149" width="6.7265625" style="2810" customWidth="1"/>
    <col min="16150" max="16150" width="8.26953125" style="2810" customWidth="1"/>
    <col min="16151" max="16384" width="9.1796875" style="2810"/>
  </cols>
  <sheetData>
    <row r="1" spans="1:34">
      <c r="A1" s="2991" t="s">
        <v>2249</v>
      </c>
      <c r="B1" s="2991"/>
      <c r="C1" s="2770"/>
    </row>
    <row r="2" spans="1:34">
      <c r="A2" s="2993" t="s">
        <v>174</v>
      </c>
      <c r="B2" s="2993"/>
      <c r="C2" s="2993"/>
      <c r="D2" s="2993"/>
      <c r="E2" s="2993"/>
      <c r="F2" s="2993"/>
      <c r="G2" s="2993"/>
      <c r="H2" s="2993"/>
      <c r="I2" s="2993"/>
      <c r="J2" s="2993"/>
      <c r="K2" s="2993"/>
      <c r="L2" s="2993"/>
      <c r="M2" s="2993"/>
      <c r="N2" s="2993"/>
      <c r="O2" s="2993"/>
      <c r="P2" s="2993"/>
    </row>
    <row r="3" spans="1:34">
      <c r="A3" s="304" t="s">
        <v>519</v>
      </c>
      <c r="B3" s="304"/>
      <c r="C3" s="304"/>
      <c r="D3" s="304"/>
      <c r="E3" s="304"/>
      <c r="F3" s="304"/>
      <c r="G3" s="304"/>
      <c r="H3" s="304"/>
      <c r="I3" s="304"/>
      <c r="J3" s="304"/>
      <c r="K3" s="304"/>
      <c r="L3" s="304"/>
      <c r="M3" s="304"/>
      <c r="N3" s="108"/>
      <c r="O3" s="108"/>
      <c r="P3" s="108"/>
      <c r="Q3" s="108"/>
      <c r="R3" s="108"/>
      <c r="S3" s="108"/>
      <c r="T3" s="108"/>
      <c r="U3" s="108"/>
      <c r="V3" s="108"/>
      <c r="W3" s="108"/>
      <c r="X3" s="108"/>
      <c r="Y3" s="108"/>
      <c r="Z3" s="108"/>
      <c r="AA3" s="108"/>
      <c r="AB3" s="108"/>
      <c r="AC3" s="108"/>
      <c r="AD3" s="108"/>
      <c r="AE3" s="108"/>
      <c r="AF3" s="3060"/>
      <c r="AG3" s="3060"/>
      <c r="AH3" s="3060"/>
    </row>
    <row r="4" spans="1:34">
      <c r="A4" s="2771"/>
      <c r="B4" s="2771"/>
      <c r="C4" s="2771"/>
      <c r="D4" s="2771"/>
      <c r="E4" s="2771"/>
      <c r="F4" s="2771"/>
      <c r="G4" s="2771"/>
      <c r="H4" s="2771"/>
      <c r="I4" s="2771"/>
      <c r="J4" s="2771"/>
      <c r="K4" s="2771"/>
      <c r="L4" s="2771"/>
      <c r="M4" s="2771"/>
      <c r="N4" s="2771"/>
      <c r="O4" s="2771"/>
      <c r="P4" s="2771"/>
    </row>
    <row r="5" spans="1:34" ht="15" customHeight="1">
      <c r="A5" s="3300" t="s">
        <v>2250</v>
      </c>
      <c r="B5" s="3301" t="s">
        <v>574</v>
      </c>
      <c r="C5" s="3302"/>
      <c r="D5" s="3303"/>
      <c r="E5" s="3304" t="s">
        <v>575</v>
      </c>
      <c r="F5" s="3305"/>
      <c r="G5" s="3305"/>
      <c r="H5" s="3305"/>
      <c r="I5" s="3305"/>
      <c r="J5" s="3306"/>
      <c r="K5" s="3304" t="s">
        <v>550</v>
      </c>
      <c r="L5" s="3305"/>
      <c r="M5" s="3306"/>
      <c r="N5" s="3304" t="s">
        <v>575</v>
      </c>
      <c r="O5" s="3305"/>
      <c r="P5" s="3306"/>
      <c r="Q5" s="3304" t="s">
        <v>550</v>
      </c>
      <c r="R5" s="3305"/>
      <c r="S5" s="3306"/>
      <c r="T5" s="3304" t="s">
        <v>550</v>
      </c>
      <c r="U5" s="3305"/>
      <c r="V5" s="3306"/>
      <c r="W5" s="3304" t="s">
        <v>952</v>
      </c>
      <c r="X5" s="3305"/>
      <c r="Y5" s="3306"/>
      <c r="Z5" s="2552"/>
      <c r="AA5" s="2552"/>
      <c r="AB5" s="2552"/>
      <c r="AC5" s="2552"/>
      <c r="AD5" s="2552"/>
      <c r="AE5" s="2552"/>
      <c r="AF5" s="2552"/>
      <c r="AG5" s="2552"/>
      <c r="AH5" s="2552"/>
    </row>
    <row r="6" spans="1:34" ht="15" customHeight="1">
      <c r="A6" s="3300"/>
      <c r="B6" s="3301" t="s">
        <v>555</v>
      </c>
      <c r="C6" s="3302"/>
      <c r="D6" s="3303"/>
      <c r="E6" s="3307" t="s">
        <v>553</v>
      </c>
      <c r="F6" s="3302"/>
      <c r="G6" s="3302"/>
      <c r="H6" s="3302"/>
      <c r="I6" s="3302"/>
      <c r="J6" s="3303"/>
      <c r="K6" s="3307" t="s">
        <v>551</v>
      </c>
      <c r="L6" s="3302"/>
      <c r="M6" s="3303"/>
      <c r="N6" s="3307" t="s">
        <v>545</v>
      </c>
      <c r="O6" s="3302"/>
      <c r="P6" s="3303"/>
      <c r="Q6" s="3307" t="s">
        <v>546</v>
      </c>
      <c r="R6" s="3302"/>
      <c r="S6" s="3303"/>
      <c r="T6" s="3307" t="s">
        <v>547</v>
      </c>
      <c r="U6" s="3302"/>
      <c r="V6" s="3303"/>
      <c r="W6" s="3307" t="s">
        <v>546</v>
      </c>
      <c r="X6" s="3302"/>
      <c r="Y6" s="3303"/>
      <c r="Z6" s="3307" t="s">
        <v>2037</v>
      </c>
      <c r="AA6" s="3302"/>
      <c r="AB6" s="3303"/>
      <c r="AC6" s="3307" t="s">
        <v>2251</v>
      </c>
      <c r="AD6" s="3302"/>
      <c r="AE6" s="3303"/>
      <c r="AF6" s="3307" t="s">
        <v>2252</v>
      </c>
      <c r="AG6" s="3302"/>
      <c r="AH6" s="3303"/>
    </row>
    <row r="7" spans="1:34" ht="15" customHeight="1">
      <c r="A7" s="3300" t="s">
        <v>2250</v>
      </c>
      <c r="B7" s="3301" t="s">
        <v>554</v>
      </c>
      <c r="C7" s="3302"/>
      <c r="D7" s="3303"/>
      <c r="E7" s="3304" t="s">
        <v>543</v>
      </c>
      <c r="F7" s="3305"/>
      <c r="G7" s="3306"/>
      <c r="H7" s="3304" t="s">
        <v>544</v>
      </c>
      <c r="I7" s="3305"/>
      <c r="J7" s="3306"/>
      <c r="K7" s="3304" t="s">
        <v>552</v>
      </c>
      <c r="L7" s="3305"/>
      <c r="M7" s="3306"/>
      <c r="N7" s="3304" t="s">
        <v>544</v>
      </c>
      <c r="O7" s="3305"/>
      <c r="P7" s="3306"/>
      <c r="Q7" s="3304" t="s">
        <v>552</v>
      </c>
      <c r="R7" s="3305"/>
      <c r="S7" s="3306"/>
      <c r="T7" s="3308" t="s">
        <v>552</v>
      </c>
      <c r="U7" s="3308"/>
      <c r="V7" s="3308"/>
      <c r="W7" s="3308" t="s">
        <v>283</v>
      </c>
      <c r="X7" s="3308"/>
      <c r="Y7" s="3308"/>
      <c r="Z7" s="3308" t="s">
        <v>283</v>
      </c>
      <c r="AA7" s="3308"/>
      <c r="AB7" s="3308"/>
      <c r="AC7" s="3308" t="s">
        <v>283</v>
      </c>
      <c r="AD7" s="3308"/>
      <c r="AE7" s="3308"/>
      <c r="AF7" s="3308" t="s">
        <v>283</v>
      </c>
      <c r="AG7" s="3308"/>
      <c r="AH7" s="3308"/>
    </row>
    <row r="8" spans="1:34" ht="29">
      <c r="A8" s="3300"/>
      <c r="B8" s="2803" t="s">
        <v>517</v>
      </c>
      <c r="C8" s="2803" t="s">
        <v>791</v>
      </c>
      <c r="D8" s="2553" t="s">
        <v>518</v>
      </c>
      <c r="E8" s="2553" t="s">
        <v>517</v>
      </c>
      <c r="F8" s="2803" t="s">
        <v>791</v>
      </c>
      <c r="G8" s="2553" t="s">
        <v>518</v>
      </c>
      <c r="H8" s="2553" t="s">
        <v>517</v>
      </c>
      <c r="I8" s="2803" t="s">
        <v>791</v>
      </c>
      <c r="J8" s="2553" t="s">
        <v>518</v>
      </c>
      <c r="K8" s="2553" t="s">
        <v>517</v>
      </c>
      <c r="L8" s="2803" t="s">
        <v>791</v>
      </c>
      <c r="M8" s="2553" t="s">
        <v>518</v>
      </c>
      <c r="N8" s="2553" t="s">
        <v>517</v>
      </c>
      <c r="O8" s="2803" t="s">
        <v>791</v>
      </c>
      <c r="P8" s="2553" t="s">
        <v>518</v>
      </c>
      <c r="Q8" s="2553" t="s">
        <v>517</v>
      </c>
      <c r="R8" s="2803" t="s">
        <v>791</v>
      </c>
      <c r="S8" s="2553" t="s">
        <v>518</v>
      </c>
      <c r="T8" s="2553" t="s">
        <v>517</v>
      </c>
      <c r="U8" s="2803" t="s">
        <v>791</v>
      </c>
      <c r="V8" s="2553" t="s">
        <v>518</v>
      </c>
      <c r="W8" s="2553" t="s">
        <v>517</v>
      </c>
      <c r="X8" s="2803" t="s">
        <v>791</v>
      </c>
      <c r="Y8" s="2553" t="s">
        <v>518</v>
      </c>
      <c r="Z8" s="2553" t="s">
        <v>517</v>
      </c>
      <c r="AA8" s="2803" t="s">
        <v>791</v>
      </c>
      <c r="AB8" s="2553" t="s">
        <v>518</v>
      </c>
      <c r="AC8" s="2553" t="s">
        <v>517</v>
      </c>
      <c r="AD8" s="2803" t="s">
        <v>791</v>
      </c>
      <c r="AE8" s="2553" t="s">
        <v>518</v>
      </c>
      <c r="AF8" s="2553" t="s">
        <v>517</v>
      </c>
      <c r="AG8" s="2803" t="s">
        <v>791</v>
      </c>
      <c r="AH8" s="2553" t="s">
        <v>518</v>
      </c>
    </row>
    <row r="9" spans="1:34">
      <c r="A9" s="2554" t="s">
        <v>245</v>
      </c>
      <c r="B9" s="2555">
        <v>12942.363521615651</v>
      </c>
      <c r="C9" s="2555">
        <v>0</v>
      </c>
      <c r="D9" s="2555">
        <v>382.63647838434827</v>
      </c>
      <c r="E9" s="2556"/>
      <c r="F9" s="2557"/>
      <c r="G9" s="2556"/>
      <c r="H9" s="2555">
        <v>12712.109629147693</v>
      </c>
      <c r="I9" s="2555">
        <v>0</v>
      </c>
      <c r="J9" s="2555">
        <v>133.72370418564304</v>
      </c>
      <c r="K9" s="2555">
        <v>13678.195973420608</v>
      </c>
      <c r="L9" s="2555">
        <v>0</v>
      </c>
      <c r="M9" s="2555">
        <v>363.47069324605775</v>
      </c>
      <c r="N9" s="2555">
        <f>K9*1.07</f>
        <v>14635.669691560051</v>
      </c>
      <c r="O9" s="2555">
        <f t="shared" ref="O9:Q21" si="0">L9*1.07</f>
        <v>0</v>
      </c>
      <c r="P9" s="2555">
        <f>M9*1.07</f>
        <v>388.91364177328182</v>
      </c>
      <c r="Q9" s="2555">
        <f>N9*1.07</f>
        <v>15660.166569969257</v>
      </c>
      <c r="R9" s="2555">
        <f t="shared" ref="R9:T20" si="1">O9*1.07</f>
        <v>0</v>
      </c>
      <c r="S9" s="2555">
        <f t="shared" si="1"/>
        <v>416.1375966974116</v>
      </c>
      <c r="T9" s="2555">
        <f>Q9*1.07</f>
        <v>16756.378229867107</v>
      </c>
      <c r="U9" s="2555">
        <f t="shared" ref="U9:AH21" si="2">R9*1.07</f>
        <v>0</v>
      </c>
      <c r="V9" s="2555">
        <f t="shared" si="2"/>
        <v>445.26722846623045</v>
      </c>
      <c r="W9" s="2555">
        <f t="shared" si="2"/>
        <v>17929.324705957806</v>
      </c>
      <c r="X9" s="2555">
        <f t="shared" si="2"/>
        <v>0</v>
      </c>
      <c r="Y9" s="2555">
        <f t="shared" si="2"/>
        <v>476.4359344588666</v>
      </c>
      <c r="Z9" s="2555">
        <f t="shared" si="2"/>
        <v>19184.377435374852</v>
      </c>
      <c r="AA9" s="2555">
        <f t="shared" si="2"/>
        <v>0</v>
      </c>
      <c r="AB9" s="2555">
        <f t="shared" si="2"/>
        <v>509.78644987098727</v>
      </c>
      <c r="AC9" s="2555">
        <f t="shared" si="2"/>
        <v>20527.283855851092</v>
      </c>
      <c r="AD9" s="2555">
        <f t="shared" si="2"/>
        <v>0</v>
      </c>
      <c r="AE9" s="2555">
        <f t="shared" si="2"/>
        <v>545.47150136195637</v>
      </c>
      <c r="AF9" s="2555">
        <f t="shared" si="2"/>
        <v>21964.19372576067</v>
      </c>
      <c r="AG9" s="2555">
        <f t="shared" si="2"/>
        <v>0</v>
      </c>
      <c r="AH9" s="2555">
        <f t="shared" si="2"/>
        <v>583.65450645729334</v>
      </c>
    </row>
    <row r="10" spans="1:34">
      <c r="A10" s="2558" t="s">
        <v>246</v>
      </c>
      <c r="B10" s="2555">
        <v>14100.172413793103</v>
      </c>
      <c r="C10" s="2555">
        <v>0</v>
      </c>
      <c r="D10" s="2555">
        <v>599.82758620689663</v>
      </c>
      <c r="E10" s="2556"/>
      <c r="F10" s="2556"/>
      <c r="G10" s="2556"/>
      <c r="H10" s="2555">
        <v>13853.814713896458</v>
      </c>
      <c r="I10" s="2555">
        <v>0</v>
      </c>
      <c r="J10" s="2555">
        <v>1396.1852861035422</v>
      </c>
      <c r="K10" s="2555">
        <v>16057.486224196069</v>
      </c>
      <c r="L10" s="2555">
        <v>0</v>
      </c>
      <c r="M10" s="2555">
        <v>988.34710913726474</v>
      </c>
      <c r="N10" s="2555">
        <f t="shared" ref="N10:N20" si="3">K10*1.07</f>
        <v>17181.510259889794</v>
      </c>
      <c r="O10" s="2555">
        <f t="shared" si="0"/>
        <v>0</v>
      </c>
      <c r="P10" s="2555">
        <f t="shared" si="0"/>
        <v>1057.5314067768734</v>
      </c>
      <c r="Q10" s="2555">
        <f t="shared" si="0"/>
        <v>18384.21597808208</v>
      </c>
      <c r="R10" s="2555">
        <f t="shared" si="1"/>
        <v>0</v>
      </c>
      <c r="S10" s="2555">
        <f t="shared" si="1"/>
        <v>1131.5586052512547</v>
      </c>
      <c r="T10" s="2555">
        <f t="shared" si="1"/>
        <v>19671.111096547826</v>
      </c>
      <c r="U10" s="2555">
        <f t="shared" si="2"/>
        <v>0</v>
      </c>
      <c r="V10" s="2555">
        <f t="shared" si="2"/>
        <v>1210.7677076188427</v>
      </c>
      <c r="W10" s="2555">
        <f t="shared" si="2"/>
        <v>21048.088873306173</v>
      </c>
      <c r="X10" s="2555">
        <f t="shared" si="2"/>
        <v>0</v>
      </c>
      <c r="Y10" s="2555">
        <f t="shared" si="2"/>
        <v>1295.5214471521617</v>
      </c>
      <c r="Z10" s="2555">
        <f t="shared" si="2"/>
        <v>22521.455094437606</v>
      </c>
      <c r="AA10" s="2555">
        <f t="shared" si="2"/>
        <v>0</v>
      </c>
      <c r="AB10" s="2555">
        <f t="shared" si="2"/>
        <v>1386.2079484528131</v>
      </c>
      <c r="AC10" s="2555">
        <f t="shared" si="2"/>
        <v>24097.95695104824</v>
      </c>
      <c r="AD10" s="2555">
        <f t="shared" si="2"/>
        <v>0</v>
      </c>
      <c r="AE10" s="2555">
        <f t="shared" si="2"/>
        <v>1483.24250484451</v>
      </c>
      <c r="AF10" s="2555">
        <f t="shared" si="2"/>
        <v>25784.813937621617</v>
      </c>
      <c r="AG10" s="2555">
        <f t="shared" si="2"/>
        <v>0</v>
      </c>
      <c r="AH10" s="2555">
        <f t="shared" si="2"/>
        <v>1587.0694801836257</v>
      </c>
    </row>
    <row r="11" spans="1:34">
      <c r="A11" s="2558" t="s">
        <v>247</v>
      </c>
      <c r="B11" s="2555">
        <v>14569.058878071395</v>
      </c>
      <c r="C11" s="2555">
        <v>0</v>
      </c>
      <c r="D11" s="2555">
        <v>647.60778859527113</v>
      </c>
      <c r="E11" s="2556"/>
      <c r="F11" s="2556"/>
      <c r="G11" s="2556"/>
      <c r="H11" s="2555">
        <v>14651.373033992897</v>
      </c>
      <c r="I11" s="2555">
        <v>0</v>
      </c>
      <c r="J11" s="2555">
        <v>1836.126966007103</v>
      </c>
      <c r="K11" s="2555">
        <v>16970.498915401302</v>
      </c>
      <c r="L11" s="2555">
        <v>0</v>
      </c>
      <c r="M11" s="2555">
        <v>729.50108459869853</v>
      </c>
      <c r="N11" s="2555">
        <f t="shared" si="3"/>
        <v>18158.433839479396</v>
      </c>
      <c r="O11" s="2555">
        <f t="shared" si="0"/>
        <v>0</v>
      </c>
      <c r="P11" s="2555">
        <f t="shared" si="0"/>
        <v>780.56616052060747</v>
      </c>
      <c r="Q11" s="2555">
        <f t="shared" si="0"/>
        <v>19429.524208242954</v>
      </c>
      <c r="R11" s="2555">
        <f t="shared" si="1"/>
        <v>0</v>
      </c>
      <c r="S11" s="2555">
        <f t="shared" si="1"/>
        <v>835.20579175705006</v>
      </c>
      <c r="T11" s="2555">
        <f t="shared" si="1"/>
        <v>20789.59090281996</v>
      </c>
      <c r="U11" s="2555">
        <f t="shared" si="2"/>
        <v>0</v>
      </c>
      <c r="V11" s="2555">
        <f t="shared" si="2"/>
        <v>893.6701971800436</v>
      </c>
      <c r="W11" s="2555">
        <f t="shared" si="2"/>
        <v>22244.862266017361</v>
      </c>
      <c r="X11" s="2555">
        <f t="shared" si="2"/>
        <v>0</v>
      </c>
      <c r="Y11" s="2555">
        <f t="shared" si="2"/>
        <v>956.22711098264676</v>
      </c>
      <c r="Z11" s="2555">
        <f t="shared" si="2"/>
        <v>23802.002624638579</v>
      </c>
      <c r="AA11" s="2555">
        <f t="shared" si="2"/>
        <v>0</v>
      </c>
      <c r="AB11" s="2555">
        <f t="shared" si="2"/>
        <v>1023.1630087514321</v>
      </c>
      <c r="AC11" s="2555">
        <f t="shared" si="2"/>
        <v>25468.142808363282</v>
      </c>
      <c r="AD11" s="2555">
        <f t="shared" si="2"/>
        <v>0</v>
      </c>
      <c r="AE11" s="2555">
        <f t="shared" si="2"/>
        <v>1094.7844193640324</v>
      </c>
      <c r="AF11" s="2555">
        <f t="shared" si="2"/>
        <v>27250.912804948712</v>
      </c>
      <c r="AG11" s="2555">
        <f t="shared" si="2"/>
        <v>0</v>
      </c>
      <c r="AH11" s="2555">
        <f t="shared" si="2"/>
        <v>1171.4193287195146</v>
      </c>
    </row>
    <row r="12" spans="1:34">
      <c r="A12" s="2558" t="s">
        <v>248</v>
      </c>
      <c r="B12" s="2555">
        <v>13693.504573019187</v>
      </c>
      <c r="C12" s="2555">
        <v>0</v>
      </c>
      <c r="D12" s="2555">
        <v>552.32876031414651</v>
      </c>
      <c r="E12" s="2556"/>
      <c r="F12" s="2556"/>
      <c r="G12" s="2556"/>
      <c r="H12" s="2555">
        <v>13586.349755700325</v>
      </c>
      <c r="I12" s="2555">
        <v>0</v>
      </c>
      <c r="J12" s="2555">
        <v>1876.1502442996743</v>
      </c>
      <c r="K12" s="2555">
        <v>15473.469253101081</v>
      </c>
      <c r="L12" s="2555">
        <v>0</v>
      </c>
      <c r="M12" s="2555">
        <v>584.86408023225124</v>
      </c>
      <c r="N12" s="2555">
        <f t="shared" si="3"/>
        <v>16556.612100818158</v>
      </c>
      <c r="O12" s="2555">
        <f t="shared" si="0"/>
        <v>0</v>
      </c>
      <c r="P12" s="2555">
        <f t="shared" si="0"/>
        <v>625.8045658485089</v>
      </c>
      <c r="Q12" s="2555">
        <f t="shared" si="0"/>
        <v>17715.57494787543</v>
      </c>
      <c r="R12" s="2555">
        <f t="shared" si="1"/>
        <v>0</v>
      </c>
      <c r="S12" s="2555">
        <f t="shared" si="1"/>
        <v>669.6108854579046</v>
      </c>
      <c r="T12" s="2555">
        <f t="shared" si="1"/>
        <v>18955.665194226713</v>
      </c>
      <c r="U12" s="2555">
        <f t="shared" si="2"/>
        <v>0</v>
      </c>
      <c r="V12" s="2555">
        <f t="shared" si="2"/>
        <v>716.48364743995796</v>
      </c>
      <c r="W12" s="2555">
        <f t="shared" si="2"/>
        <v>20282.561757822583</v>
      </c>
      <c r="X12" s="2555">
        <f t="shared" si="2"/>
        <v>0</v>
      </c>
      <c r="Y12" s="2555">
        <f t="shared" si="2"/>
        <v>766.63750276075507</v>
      </c>
      <c r="Z12" s="2555">
        <f t="shared" si="2"/>
        <v>21702.341080870166</v>
      </c>
      <c r="AA12" s="2555">
        <f t="shared" si="2"/>
        <v>0</v>
      </c>
      <c r="AB12" s="2555">
        <f t="shared" si="2"/>
        <v>820.30212795400791</v>
      </c>
      <c r="AC12" s="2555">
        <f t="shared" si="2"/>
        <v>23221.50495653108</v>
      </c>
      <c r="AD12" s="2555">
        <f t="shared" si="2"/>
        <v>0</v>
      </c>
      <c r="AE12" s="2555">
        <f t="shared" si="2"/>
        <v>877.72327691078851</v>
      </c>
      <c r="AF12" s="2555">
        <f t="shared" si="2"/>
        <v>24847.010303488256</v>
      </c>
      <c r="AG12" s="2555">
        <f t="shared" si="2"/>
        <v>0</v>
      </c>
      <c r="AH12" s="2555">
        <f t="shared" si="2"/>
        <v>939.16390629454372</v>
      </c>
    </row>
    <row r="13" spans="1:34">
      <c r="A13" s="2558" t="s">
        <v>249</v>
      </c>
      <c r="B13" s="2555">
        <v>14163.118424793858</v>
      </c>
      <c r="C13" s="2555">
        <v>0</v>
      </c>
      <c r="D13" s="2555">
        <v>899.38157520614163</v>
      </c>
      <c r="E13" s="2556"/>
      <c r="F13" s="2556"/>
      <c r="G13" s="2556"/>
      <c r="H13" s="2555">
        <v>13121.124750214101</v>
      </c>
      <c r="I13" s="2555">
        <v>0</v>
      </c>
      <c r="J13" s="2555">
        <v>1512.2085831192312</v>
      </c>
      <c r="K13" s="2555">
        <v>15757.279693486587</v>
      </c>
      <c r="L13" s="2555">
        <v>0</v>
      </c>
      <c r="M13" s="2555">
        <v>759.38697318007655</v>
      </c>
      <c r="N13" s="2555">
        <f t="shared" si="3"/>
        <v>16860.289272030648</v>
      </c>
      <c r="O13" s="2555">
        <f t="shared" si="0"/>
        <v>0</v>
      </c>
      <c r="P13" s="2555">
        <f t="shared" si="0"/>
        <v>812.54406130268194</v>
      </c>
      <c r="Q13" s="2555">
        <f t="shared" si="0"/>
        <v>18040.509521072796</v>
      </c>
      <c r="R13" s="2555">
        <f t="shared" si="1"/>
        <v>0</v>
      </c>
      <c r="S13" s="2555">
        <f t="shared" si="1"/>
        <v>869.42214559386969</v>
      </c>
      <c r="T13" s="2555">
        <f t="shared" si="1"/>
        <v>19303.345187547893</v>
      </c>
      <c r="U13" s="2555">
        <f t="shared" si="2"/>
        <v>0</v>
      </c>
      <c r="V13" s="2555">
        <f t="shared" si="2"/>
        <v>930.28169578544066</v>
      </c>
      <c r="W13" s="2555">
        <f t="shared" si="2"/>
        <v>20654.579350676246</v>
      </c>
      <c r="X13" s="2555">
        <f t="shared" si="2"/>
        <v>0</v>
      </c>
      <c r="Y13" s="2555">
        <f t="shared" si="2"/>
        <v>995.40141449042153</v>
      </c>
      <c r="Z13" s="2555">
        <f t="shared" si="2"/>
        <v>22100.399905223585</v>
      </c>
      <c r="AA13" s="2555">
        <f t="shared" si="2"/>
        <v>0</v>
      </c>
      <c r="AB13" s="2555">
        <f t="shared" si="2"/>
        <v>1065.079513504751</v>
      </c>
      <c r="AC13" s="2555">
        <f t="shared" si="2"/>
        <v>23647.427898589238</v>
      </c>
      <c r="AD13" s="2555">
        <f t="shared" si="2"/>
        <v>0</v>
      </c>
      <c r="AE13" s="2555">
        <f t="shared" si="2"/>
        <v>1139.6350794500836</v>
      </c>
      <c r="AF13" s="2555">
        <f t="shared" si="2"/>
        <v>25302.747851490487</v>
      </c>
      <c r="AG13" s="2555">
        <f t="shared" si="2"/>
        <v>0</v>
      </c>
      <c r="AH13" s="2555">
        <f t="shared" si="2"/>
        <v>1219.4095350115895</v>
      </c>
    </row>
    <row r="14" spans="1:34">
      <c r="A14" s="2558" t="s">
        <v>250</v>
      </c>
      <c r="B14" s="2555">
        <v>13697.633716045924</v>
      </c>
      <c r="C14" s="2555">
        <v>0</v>
      </c>
      <c r="D14" s="2555">
        <v>1427.3662839540743</v>
      </c>
      <c r="E14" s="2556"/>
      <c r="F14" s="2556"/>
      <c r="G14" s="2556"/>
      <c r="H14" s="2555">
        <v>12211.145371396897</v>
      </c>
      <c r="I14" s="2555">
        <v>0</v>
      </c>
      <c r="J14" s="2555">
        <v>1851.3546286031042</v>
      </c>
      <c r="K14" s="2555">
        <v>14677.879714576962</v>
      </c>
      <c r="L14" s="2555">
        <v>0</v>
      </c>
      <c r="M14" s="2555">
        <v>905.45361875637104</v>
      </c>
      <c r="N14" s="2555">
        <f t="shared" si="3"/>
        <v>15705.33129459735</v>
      </c>
      <c r="O14" s="2555">
        <f t="shared" si="0"/>
        <v>0</v>
      </c>
      <c r="P14" s="2555">
        <f t="shared" si="0"/>
        <v>968.83537206931703</v>
      </c>
      <c r="Q14" s="2555">
        <f t="shared" si="0"/>
        <v>16804.704485219165</v>
      </c>
      <c r="R14" s="2555">
        <f t="shared" si="1"/>
        <v>0</v>
      </c>
      <c r="S14" s="2555">
        <f t="shared" si="1"/>
        <v>1036.6538481141693</v>
      </c>
      <c r="T14" s="2555">
        <f t="shared" si="1"/>
        <v>17981.033799184508</v>
      </c>
      <c r="U14" s="2555">
        <f t="shared" si="2"/>
        <v>0</v>
      </c>
      <c r="V14" s="2555">
        <f t="shared" si="2"/>
        <v>1109.2196174821611</v>
      </c>
      <c r="W14" s="2555">
        <f t="shared" si="2"/>
        <v>19239.706165127423</v>
      </c>
      <c r="X14" s="2555">
        <f t="shared" si="2"/>
        <v>0</v>
      </c>
      <c r="Y14" s="2555">
        <f t="shared" si="2"/>
        <v>1186.8649907059125</v>
      </c>
      <c r="Z14" s="2555">
        <f t="shared" si="2"/>
        <v>20586.485596686343</v>
      </c>
      <c r="AA14" s="2555">
        <f t="shared" si="2"/>
        <v>0</v>
      </c>
      <c r="AB14" s="2555">
        <f t="shared" si="2"/>
        <v>1269.9455400553265</v>
      </c>
      <c r="AC14" s="2555">
        <f t="shared" si="2"/>
        <v>22027.53958845439</v>
      </c>
      <c r="AD14" s="2555">
        <f t="shared" si="2"/>
        <v>0</v>
      </c>
      <c r="AE14" s="2555">
        <f t="shared" si="2"/>
        <v>1358.8417278591994</v>
      </c>
      <c r="AF14" s="2555">
        <f t="shared" si="2"/>
        <v>23569.467359646198</v>
      </c>
      <c r="AG14" s="2555">
        <f t="shared" si="2"/>
        <v>0</v>
      </c>
      <c r="AH14" s="2555">
        <f t="shared" si="2"/>
        <v>1453.9606488093434</v>
      </c>
    </row>
    <row r="15" spans="1:34">
      <c r="A15" s="2558" t="s">
        <v>255</v>
      </c>
      <c r="B15" s="2555">
        <v>13363.517220359645</v>
      </c>
      <c r="C15" s="2555">
        <v>0</v>
      </c>
      <c r="D15" s="2555">
        <v>582.31611297368693</v>
      </c>
      <c r="E15" s="2556"/>
      <c r="F15" s="2556"/>
      <c r="G15" s="2556"/>
      <c r="H15" s="2555">
        <v>13299.346302688002</v>
      </c>
      <c r="I15" s="2555">
        <v>0</v>
      </c>
      <c r="J15" s="2555">
        <v>83.98703064532998</v>
      </c>
      <c r="K15" s="2555">
        <v>12103.366722314968</v>
      </c>
      <c r="L15" s="2555">
        <v>0</v>
      </c>
      <c r="M15" s="2555">
        <v>500.79994435169715</v>
      </c>
      <c r="N15" s="2555">
        <f t="shared" si="3"/>
        <v>12950.602392877016</v>
      </c>
      <c r="O15" s="2555">
        <f t="shared" si="0"/>
        <v>0</v>
      </c>
      <c r="P15" s="2555">
        <f t="shared" si="0"/>
        <v>535.85594045631603</v>
      </c>
      <c r="Q15" s="2555">
        <f t="shared" si="0"/>
        <v>13857.144560378407</v>
      </c>
      <c r="R15" s="2555">
        <f t="shared" si="1"/>
        <v>0</v>
      </c>
      <c r="S15" s="2555">
        <f t="shared" si="1"/>
        <v>573.36585628825821</v>
      </c>
      <c r="T15" s="2555">
        <f t="shared" si="1"/>
        <v>14827.144679604897</v>
      </c>
      <c r="U15" s="2555">
        <f t="shared" si="2"/>
        <v>0</v>
      </c>
      <c r="V15" s="2555">
        <f t="shared" si="2"/>
        <v>613.50146622843636</v>
      </c>
      <c r="W15" s="2555">
        <f t="shared" si="2"/>
        <v>15865.044807177241</v>
      </c>
      <c r="X15" s="2555">
        <f t="shared" si="2"/>
        <v>0</v>
      </c>
      <c r="Y15" s="2555">
        <f t="shared" si="2"/>
        <v>656.44656886442692</v>
      </c>
      <c r="Z15" s="2555">
        <f t="shared" si="2"/>
        <v>16975.597943679648</v>
      </c>
      <c r="AA15" s="2555">
        <f t="shared" si="2"/>
        <v>0</v>
      </c>
      <c r="AB15" s="2555">
        <f t="shared" si="2"/>
        <v>702.39782868493683</v>
      </c>
      <c r="AC15" s="2555">
        <f t="shared" si="2"/>
        <v>18163.889799737226</v>
      </c>
      <c r="AD15" s="2555">
        <f t="shared" si="2"/>
        <v>0</v>
      </c>
      <c r="AE15" s="2555">
        <f t="shared" si="2"/>
        <v>751.56567669288245</v>
      </c>
      <c r="AF15" s="2555">
        <f t="shared" si="2"/>
        <v>19435.362085718833</v>
      </c>
      <c r="AG15" s="2555">
        <f t="shared" si="2"/>
        <v>0</v>
      </c>
      <c r="AH15" s="2555">
        <f t="shared" si="2"/>
        <v>804.17527406138424</v>
      </c>
    </row>
    <row r="16" spans="1:34">
      <c r="A16" s="2558" t="s">
        <v>251</v>
      </c>
      <c r="B16" s="2555">
        <v>11458.333333333332</v>
      </c>
      <c r="C16" s="2555">
        <v>0</v>
      </c>
      <c r="D16" s="2555">
        <v>0</v>
      </c>
      <c r="E16" s="2556"/>
      <c r="F16" s="2556"/>
      <c r="G16" s="2556"/>
      <c r="H16" s="2555">
        <v>11287.499999999998</v>
      </c>
      <c r="I16" s="2555">
        <v>0</v>
      </c>
      <c r="J16" s="2555">
        <v>0</v>
      </c>
      <c r="K16" s="2555">
        <v>11054.166666666666</v>
      </c>
      <c r="L16" s="2555">
        <v>0</v>
      </c>
      <c r="M16" s="2555">
        <v>0</v>
      </c>
      <c r="N16" s="2555">
        <f t="shared" si="3"/>
        <v>11827.958333333334</v>
      </c>
      <c r="O16" s="2555">
        <f t="shared" si="0"/>
        <v>0</v>
      </c>
      <c r="P16" s="2555">
        <f t="shared" si="0"/>
        <v>0</v>
      </c>
      <c r="Q16" s="2555">
        <f t="shared" si="0"/>
        <v>12655.915416666669</v>
      </c>
      <c r="R16" s="2555">
        <f t="shared" si="1"/>
        <v>0</v>
      </c>
      <c r="S16" s="2555">
        <f t="shared" si="1"/>
        <v>0</v>
      </c>
      <c r="T16" s="2555">
        <f t="shared" si="1"/>
        <v>13541.829495833335</v>
      </c>
      <c r="U16" s="2555">
        <f t="shared" si="2"/>
        <v>0</v>
      </c>
      <c r="V16" s="2555">
        <f>S16*1.07</f>
        <v>0</v>
      </c>
      <c r="W16" s="2555">
        <f t="shared" si="2"/>
        <v>14489.75756054167</v>
      </c>
      <c r="X16" s="2555">
        <f t="shared" si="2"/>
        <v>0</v>
      </c>
      <c r="Y16" s="2555">
        <f t="shared" si="2"/>
        <v>0</v>
      </c>
      <c r="Z16" s="2555">
        <f t="shared" si="2"/>
        <v>15504.040589779588</v>
      </c>
      <c r="AA16" s="2555">
        <f t="shared" si="2"/>
        <v>0</v>
      </c>
      <c r="AB16" s="2555">
        <f t="shared" si="2"/>
        <v>0</v>
      </c>
      <c r="AC16" s="2555">
        <f t="shared" si="2"/>
        <v>16589.32343106416</v>
      </c>
      <c r="AD16" s="2555">
        <f t="shared" si="2"/>
        <v>0</v>
      </c>
      <c r="AE16" s="2555">
        <f t="shared" si="2"/>
        <v>0</v>
      </c>
      <c r="AF16" s="2555">
        <f t="shared" si="2"/>
        <v>17750.576071238651</v>
      </c>
      <c r="AG16" s="2555">
        <f t="shared" si="2"/>
        <v>0</v>
      </c>
      <c r="AH16" s="2555">
        <f t="shared" si="2"/>
        <v>0</v>
      </c>
    </row>
    <row r="17" spans="1:34">
      <c r="A17" s="2558" t="s">
        <v>252</v>
      </c>
      <c r="B17" s="2555">
        <v>11195.107249750583</v>
      </c>
      <c r="C17" s="2555">
        <v>0</v>
      </c>
      <c r="D17" s="2555">
        <v>409.05941691608467</v>
      </c>
      <c r="E17" s="2556"/>
      <c r="F17" s="2556"/>
      <c r="G17" s="2556"/>
      <c r="H17" s="2555">
        <v>11316.666666666668</v>
      </c>
      <c r="I17" s="2555">
        <v>0</v>
      </c>
      <c r="J17" s="2555">
        <v>0</v>
      </c>
      <c r="K17" s="2555">
        <v>10883.333333333332</v>
      </c>
      <c r="L17" s="2555">
        <v>0</v>
      </c>
      <c r="M17" s="2555">
        <v>0</v>
      </c>
      <c r="N17" s="2555">
        <f t="shared" si="3"/>
        <v>11645.166666666666</v>
      </c>
      <c r="O17" s="2555">
        <f t="shared" si="0"/>
        <v>0</v>
      </c>
      <c r="P17" s="2555">
        <f t="shared" si="0"/>
        <v>0</v>
      </c>
      <c r="Q17" s="2555">
        <f t="shared" si="0"/>
        <v>12460.328333333333</v>
      </c>
      <c r="R17" s="2555">
        <f t="shared" si="1"/>
        <v>0</v>
      </c>
      <c r="S17" s="2555">
        <f t="shared" si="1"/>
        <v>0</v>
      </c>
      <c r="T17" s="2555">
        <f t="shared" si="1"/>
        <v>13332.551316666668</v>
      </c>
      <c r="U17" s="2555">
        <f t="shared" si="2"/>
        <v>0</v>
      </c>
      <c r="V17" s="2555">
        <f>S17*1.07</f>
        <v>0</v>
      </c>
      <c r="W17" s="2555">
        <f t="shared" si="2"/>
        <v>14265.829908833335</v>
      </c>
      <c r="X17" s="2555">
        <f t="shared" si="2"/>
        <v>0</v>
      </c>
      <c r="Y17" s="2555">
        <f t="shared" si="2"/>
        <v>0</v>
      </c>
      <c r="Z17" s="2555">
        <f t="shared" si="2"/>
        <v>15264.438002451669</v>
      </c>
      <c r="AA17" s="2555">
        <f t="shared" si="2"/>
        <v>0</v>
      </c>
      <c r="AB17" s="2555">
        <f t="shared" si="2"/>
        <v>0</v>
      </c>
      <c r="AC17" s="2555">
        <f t="shared" si="2"/>
        <v>16332.948662623287</v>
      </c>
      <c r="AD17" s="2555">
        <f t="shared" si="2"/>
        <v>0</v>
      </c>
      <c r="AE17" s="2555">
        <f t="shared" si="2"/>
        <v>0</v>
      </c>
      <c r="AF17" s="2555">
        <f t="shared" si="2"/>
        <v>17476.255069006918</v>
      </c>
      <c r="AG17" s="2555">
        <f t="shared" si="2"/>
        <v>0</v>
      </c>
      <c r="AH17" s="2555">
        <f t="shared" si="2"/>
        <v>0</v>
      </c>
    </row>
    <row r="18" spans="1:34">
      <c r="A18" s="2558" t="s">
        <v>254</v>
      </c>
      <c r="B18" s="2555">
        <v>12395.833333333332</v>
      </c>
      <c r="C18" s="2555">
        <v>0</v>
      </c>
      <c r="D18" s="2555">
        <v>0</v>
      </c>
      <c r="E18" s="2556"/>
      <c r="F18" s="2556"/>
      <c r="G18" s="2556"/>
      <c r="H18" s="2555">
        <v>11562.5</v>
      </c>
      <c r="I18" s="2555">
        <v>0</v>
      </c>
      <c r="J18" s="2555">
        <v>0</v>
      </c>
      <c r="K18" s="2555">
        <v>11825</v>
      </c>
      <c r="L18" s="2555">
        <v>0</v>
      </c>
      <c r="M18" s="2555">
        <v>0</v>
      </c>
      <c r="N18" s="2555">
        <f t="shared" si="3"/>
        <v>12652.75</v>
      </c>
      <c r="O18" s="2555">
        <f t="shared" si="0"/>
        <v>0</v>
      </c>
      <c r="P18" s="2555">
        <f t="shared" si="0"/>
        <v>0</v>
      </c>
      <c r="Q18" s="2555">
        <f t="shared" si="0"/>
        <v>13538.442500000001</v>
      </c>
      <c r="R18" s="2555">
        <f t="shared" si="1"/>
        <v>0</v>
      </c>
      <c r="S18" s="2555">
        <f t="shared" si="1"/>
        <v>0</v>
      </c>
      <c r="T18" s="2555">
        <f t="shared" si="1"/>
        <v>14486.133475000002</v>
      </c>
      <c r="U18" s="2555">
        <f t="shared" si="2"/>
        <v>0</v>
      </c>
      <c r="V18" s="2555">
        <f>S18*1.07</f>
        <v>0</v>
      </c>
      <c r="W18" s="2555">
        <f t="shared" si="2"/>
        <v>15500.162818250003</v>
      </c>
      <c r="X18" s="2555">
        <f t="shared" si="2"/>
        <v>0</v>
      </c>
      <c r="Y18" s="2555">
        <f t="shared" si="2"/>
        <v>0</v>
      </c>
      <c r="Z18" s="2555">
        <f t="shared" si="2"/>
        <v>16585.174215527502</v>
      </c>
      <c r="AA18" s="2555">
        <f t="shared" si="2"/>
        <v>0</v>
      </c>
      <c r="AB18" s="2555">
        <f t="shared" si="2"/>
        <v>0</v>
      </c>
      <c r="AC18" s="2555">
        <f t="shared" si="2"/>
        <v>17746.136410614428</v>
      </c>
      <c r="AD18" s="2555">
        <f t="shared" si="2"/>
        <v>0</v>
      </c>
      <c r="AE18" s="2555">
        <f t="shared" si="2"/>
        <v>0</v>
      </c>
      <c r="AF18" s="2555">
        <f t="shared" si="2"/>
        <v>18988.365959357441</v>
      </c>
      <c r="AG18" s="2555">
        <f t="shared" si="2"/>
        <v>0</v>
      </c>
      <c r="AH18" s="2555">
        <f t="shared" si="2"/>
        <v>0</v>
      </c>
    </row>
    <row r="19" spans="1:34">
      <c r="A19" s="2558" t="s">
        <v>253</v>
      </c>
      <c r="B19" s="2555">
        <v>12000</v>
      </c>
      <c r="C19" s="2555">
        <v>0</v>
      </c>
      <c r="D19" s="2555">
        <v>0</v>
      </c>
      <c r="E19" s="2556"/>
      <c r="F19" s="2556"/>
      <c r="G19" s="2556"/>
      <c r="H19" s="2555">
        <v>10695.833333333332</v>
      </c>
      <c r="I19" s="2555">
        <v>0</v>
      </c>
      <c r="J19" s="2555">
        <v>0</v>
      </c>
      <c r="K19" s="2559">
        <f t="shared" ref="K19:M20" si="4">H19*1.07</f>
        <v>11444.541666666666</v>
      </c>
      <c r="L19" s="2559">
        <f t="shared" si="4"/>
        <v>0</v>
      </c>
      <c r="M19" s="2559">
        <f t="shared" si="4"/>
        <v>0</v>
      </c>
      <c r="N19" s="2555">
        <f t="shared" si="3"/>
        <v>12245.659583333334</v>
      </c>
      <c r="O19" s="2555">
        <f t="shared" si="0"/>
        <v>0</v>
      </c>
      <c r="P19" s="2555">
        <f t="shared" si="0"/>
        <v>0</v>
      </c>
      <c r="Q19" s="2555">
        <f t="shared" si="0"/>
        <v>13102.855754166669</v>
      </c>
      <c r="R19" s="2555">
        <f t="shared" si="1"/>
        <v>0</v>
      </c>
      <c r="S19" s="2555">
        <f t="shared" si="1"/>
        <v>0</v>
      </c>
      <c r="T19" s="2555">
        <f t="shared" si="1"/>
        <v>14020.055656958337</v>
      </c>
      <c r="U19" s="2555">
        <f t="shared" si="2"/>
        <v>0</v>
      </c>
      <c r="V19" s="2555">
        <f>S19*1.07</f>
        <v>0</v>
      </c>
      <c r="W19" s="2555">
        <f t="shared" si="2"/>
        <v>15001.459552945422</v>
      </c>
      <c r="X19" s="2555">
        <f t="shared" si="2"/>
        <v>0</v>
      </c>
      <c r="Y19" s="2555">
        <f t="shared" si="2"/>
        <v>0</v>
      </c>
      <c r="Z19" s="2555">
        <f t="shared" si="2"/>
        <v>16051.561721651602</v>
      </c>
      <c r="AA19" s="2555">
        <f t="shared" si="2"/>
        <v>0</v>
      </c>
      <c r="AB19" s="2555">
        <f t="shared" si="2"/>
        <v>0</v>
      </c>
      <c r="AC19" s="2555">
        <f t="shared" si="2"/>
        <v>17175.171042167214</v>
      </c>
      <c r="AD19" s="2555">
        <f t="shared" si="2"/>
        <v>0</v>
      </c>
      <c r="AE19" s="2555">
        <f t="shared" si="2"/>
        <v>0</v>
      </c>
      <c r="AF19" s="2555">
        <f t="shared" si="2"/>
        <v>18377.433015118921</v>
      </c>
      <c r="AG19" s="2555">
        <f t="shared" si="2"/>
        <v>0</v>
      </c>
      <c r="AH19" s="2555">
        <f t="shared" si="2"/>
        <v>0</v>
      </c>
    </row>
    <row r="20" spans="1:34">
      <c r="A20" s="2558" t="s">
        <v>256</v>
      </c>
      <c r="B20" s="2555">
        <v>12154.166666666666</v>
      </c>
      <c r="C20" s="2555">
        <v>0</v>
      </c>
      <c r="D20" s="2555">
        <v>0</v>
      </c>
      <c r="E20" s="2556"/>
      <c r="F20" s="2556"/>
      <c r="G20" s="2556"/>
      <c r="H20" s="2555">
        <v>11658.333333333334</v>
      </c>
      <c r="I20" s="2555">
        <v>0</v>
      </c>
      <c r="J20" s="2555">
        <v>0</v>
      </c>
      <c r="K20" s="2559">
        <f t="shared" si="4"/>
        <v>12474.416666666668</v>
      </c>
      <c r="L20" s="2559">
        <f t="shared" si="4"/>
        <v>0</v>
      </c>
      <c r="M20" s="2559">
        <f t="shared" si="4"/>
        <v>0</v>
      </c>
      <c r="N20" s="2555">
        <f t="shared" si="3"/>
        <v>13347.625833333335</v>
      </c>
      <c r="O20" s="2555">
        <f t="shared" si="0"/>
        <v>0</v>
      </c>
      <c r="P20" s="2555">
        <f t="shared" si="0"/>
        <v>0</v>
      </c>
      <c r="Q20" s="2555">
        <f t="shared" si="0"/>
        <v>14281.95964166667</v>
      </c>
      <c r="R20" s="2555">
        <f t="shared" si="1"/>
        <v>0</v>
      </c>
      <c r="S20" s="2555">
        <f t="shared" si="1"/>
        <v>0</v>
      </c>
      <c r="T20" s="2555">
        <f t="shared" si="1"/>
        <v>15281.696816583339</v>
      </c>
      <c r="U20" s="2555">
        <f t="shared" si="2"/>
        <v>0</v>
      </c>
      <c r="V20" s="2555">
        <f>S20*1.07</f>
        <v>0</v>
      </c>
      <c r="W20" s="2555">
        <f t="shared" si="2"/>
        <v>16351.415593744174</v>
      </c>
      <c r="X20" s="2555">
        <f t="shared" si="2"/>
        <v>0</v>
      </c>
      <c r="Y20" s="2555">
        <f t="shared" si="2"/>
        <v>0</v>
      </c>
      <c r="Z20" s="2555">
        <f t="shared" si="2"/>
        <v>17496.014685306265</v>
      </c>
      <c r="AA20" s="2555">
        <f t="shared" si="2"/>
        <v>0</v>
      </c>
      <c r="AB20" s="2555">
        <f t="shared" si="2"/>
        <v>0</v>
      </c>
      <c r="AC20" s="2555">
        <f t="shared" si="2"/>
        <v>18720.735713277703</v>
      </c>
      <c r="AD20" s="2555">
        <f t="shared" si="2"/>
        <v>0</v>
      </c>
      <c r="AE20" s="2555">
        <f t="shared" si="2"/>
        <v>0</v>
      </c>
      <c r="AF20" s="2555">
        <f t="shared" si="2"/>
        <v>20031.187213207144</v>
      </c>
      <c r="AG20" s="2555">
        <f t="shared" si="2"/>
        <v>0</v>
      </c>
      <c r="AH20" s="2555">
        <f t="shared" si="2"/>
        <v>0</v>
      </c>
    </row>
    <row r="21" spans="1:34" hidden="1">
      <c r="A21" s="787" t="s">
        <v>22</v>
      </c>
      <c r="B21" s="2560">
        <v>13095.761381475668</v>
      </c>
      <c r="C21" s="2560">
        <v>0</v>
      </c>
      <c r="D21" s="2560">
        <v>341.73861852433282</v>
      </c>
      <c r="E21" s="2561"/>
      <c r="F21" s="2561"/>
      <c r="G21" s="2561"/>
      <c r="H21" s="2560">
        <v>12659.314580031696</v>
      </c>
      <c r="I21" s="2560">
        <v>0</v>
      </c>
      <c r="J21" s="2560">
        <v>561.51875330163762</v>
      </c>
      <c r="K21" s="2560">
        <v>13949.367088607594</v>
      </c>
      <c r="L21" s="2560">
        <v>0</v>
      </c>
      <c r="M21" s="2560">
        <v>383.96624472573842</v>
      </c>
      <c r="N21" s="2562">
        <f>K21*1.07</f>
        <v>14925.822784810127</v>
      </c>
      <c r="O21" s="2562">
        <f t="shared" si="0"/>
        <v>0</v>
      </c>
      <c r="P21" s="2562">
        <f t="shared" si="0"/>
        <v>410.84388185654012</v>
      </c>
      <c r="Q21" s="2562"/>
      <c r="R21" s="2562"/>
      <c r="S21" s="2562"/>
      <c r="T21" s="2562"/>
      <c r="U21" s="2562"/>
      <c r="V21" s="2562"/>
      <c r="W21" s="2562">
        <f t="shared" si="2"/>
        <v>0</v>
      </c>
      <c r="X21" s="2562">
        <f t="shared" si="2"/>
        <v>0</v>
      </c>
      <c r="Y21" s="2562">
        <f t="shared" si="2"/>
        <v>0</v>
      </c>
      <c r="Z21" s="2562">
        <f t="shared" si="2"/>
        <v>0</v>
      </c>
      <c r="AA21" s="2562">
        <f t="shared" si="2"/>
        <v>0</v>
      </c>
      <c r="AB21" s="2562">
        <f t="shared" si="2"/>
        <v>0</v>
      </c>
      <c r="AC21" s="2562">
        <f t="shared" si="2"/>
        <v>0</v>
      </c>
      <c r="AD21" s="2562">
        <f t="shared" si="2"/>
        <v>0</v>
      </c>
      <c r="AE21" s="2562">
        <f t="shared" si="2"/>
        <v>0</v>
      </c>
      <c r="AF21" s="2562">
        <f t="shared" si="2"/>
        <v>0</v>
      </c>
      <c r="AG21" s="2562">
        <f t="shared" si="2"/>
        <v>0</v>
      </c>
      <c r="AH21" s="2562">
        <f t="shared" si="2"/>
        <v>0</v>
      </c>
    </row>
    <row r="22" spans="1:34" hidden="1">
      <c r="B22" s="1231"/>
      <c r="C22" s="1231"/>
      <c r="D22" s="1231"/>
      <c r="E22" s="1231"/>
      <c r="F22" s="1231"/>
      <c r="N22" s="1231"/>
      <c r="O22" s="1231"/>
    </row>
    <row r="23" spans="1:34" hidden="1"/>
    <row r="24" spans="1:34" hidden="1">
      <c r="N24" s="3087"/>
      <c r="O24" s="3087"/>
      <c r="P24" s="3087"/>
    </row>
    <row r="25" spans="1:34">
      <c r="N25" s="1231"/>
      <c r="O25" s="1231"/>
      <c r="P25" s="1231"/>
    </row>
    <row r="26" spans="1:34">
      <c r="E26" s="143"/>
      <c r="F26" s="143"/>
    </row>
    <row r="27" spans="1:34">
      <c r="N27" s="2563"/>
      <c r="O27" s="2563"/>
    </row>
  </sheetData>
  <mergeCells count="33">
    <mergeCell ref="AF7:AH7"/>
    <mergeCell ref="N24:P24"/>
    <mergeCell ref="Q7:S7"/>
    <mergeCell ref="T7:V7"/>
    <mergeCell ref="W7:Y7"/>
    <mergeCell ref="Z7:AB7"/>
    <mergeCell ref="AC7:AE7"/>
    <mergeCell ref="B7:D7"/>
    <mergeCell ref="E7:G7"/>
    <mergeCell ref="H7:J7"/>
    <mergeCell ref="K7:M7"/>
    <mergeCell ref="N7:P7"/>
    <mergeCell ref="T6:V6"/>
    <mergeCell ref="W6:Y6"/>
    <mergeCell ref="Z6:AB6"/>
    <mergeCell ref="AC6:AE6"/>
    <mergeCell ref="AF6:AH6"/>
    <mergeCell ref="A1:B1"/>
    <mergeCell ref="A2:P2"/>
    <mergeCell ref="AF3:AH3"/>
    <mergeCell ref="A5:A8"/>
    <mergeCell ref="B5:D5"/>
    <mergeCell ref="E5:J5"/>
    <mergeCell ref="K5:M5"/>
    <mergeCell ref="N5:P5"/>
    <mergeCell ref="Q5:S5"/>
    <mergeCell ref="T5:V5"/>
    <mergeCell ref="W5:Y5"/>
    <mergeCell ref="B6:D6"/>
    <mergeCell ref="E6:J6"/>
    <mergeCell ref="K6:M6"/>
    <mergeCell ref="N6:P6"/>
    <mergeCell ref="Q6:S6"/>
  </mergeCells>
  <printOptions horizontalCentered="1" verticalCentered="1"/>
  <pageMargins left="0.7" right="0.7" top="0.75" bottom="0.75" header="0.3" footer="0.3"/>
  <pageSetup paperSize="9" orientation="landscape" r:id="rId1"/>
  <headerFooter>
    <oddFooter>&amp;R&amp;P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view="pageBreakPreview" zoomScaleNormal="100" zoomScaleSheetLayoutView="100" workbookViewId="0">
      <pane xSplit="2" ySplit="2" topLeftCell="C23"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9.1796875" style="2779"/>
    <col min="2" max="2" width="39.1796875" style="2779" customWidth="1"/>
    <col min="3" max="3" width="17.26953125" style="2779" customWidth="1"/>
    <col min="4" max="9" width="14.81640625" style="2779" customWidth="1"/>
    <col min="10" max="11" width="9.1796875" style="2779" customWidth="1"/>
    <col min="12" max="12" width="9.1796875" style="2779"/>
    <col min="13" max="13" width="9.81640625" style="2779" bestFit="1" customWidth="1"/>
    <col min="14" max="16384" width="9.1796875" style="2779"/>
  </cols>
  <sheetData>
    <row r="1" spans="1:13">
      <c r="B1" s="2808" t="s">
        <v>2253</v>
      </c>
    </row>
    <row r="2" spans="1:13">
      <c r="A2" s="2564" t="s">
        <v>117</v>
      </c>
      <c r="B2" s="2565" t="s">
        <v>14</v>
      </c>
      <c r="C2" s="2565" t="s">
        <v>565</v>
      </c>
      <c r="D2" s="2565" t="s">
        <v>2254</v>
      </c>
      <c r="E2" s="2565" t="s">
        <v>2255</v>
      </c>
      <c r="F2" s="2565" t="s">
        <v>2256</v>
      </c>
      <c r="G2" s="2565" t="s">
        <v>1579</v>
      </c>
      <c r="H2" s="2565" t="s">
        <v>2257</v>
      </c>
      <c r="I2" s="2565" t="s">
        <v>22</v>
      </c>
      <c r="J2" s="2566"/>
      <c r="K2" s="2566"/>
    </row>
    <row r="3" spans="1:13" s="1738" customFormat="1">
      <c r="A3" s="2804">
        <v>1</v>
      </c>
      <c r="B3" s="2805" t="s">
        <v>2258</v>
      </c>
      <c r="C3" s="2804" t="s">
        <v>57</v>
      </c>
      <c r="D3" s="2567">
        <v>12564.592944100001</v>
      </c>
      <c r="E3" s="2567">
        <v>19450.1964419</v>
      </c>
      <c r="F3" s="2567">
        <v>14145.1106296</v>
      </c>
      <c r="G3" s="2567">
        <v>14013.471299999999</v>
      </c>
      <c r="H3" s="2567">
        <v>2516.6444999999999</v>
      </c>
      <c r="I3" s="2567">
        <f>SUM(D3:H3)</f>
        <v>62690.015815599996</v>
      </c>
      <c r="J3" s="2568" t="s">
        <v>706</v>
      </c>
      <c r="K3" s="2568"/>
      <c r="L3" s="2569"/>
    </row>
    <row r="4" spans="1:13" s="1738" customFormat="1">
      <c r="A4" s="2804">
        <v>2</v>
      </c>
      <c r="B4" s="2805" t="s">
        <v>2259</v>
      </c>
      <c r="C4" s="2804" t="s">
        <v>58</v>
      </c>
      <c r="D4" s="2567">
        <v>19183.120999999999</v>
      </c>
      <c r="E4" s="2567">
        <v>27491.596999999991</v>
      </c>
      <c r="F4" s="2567">
        <v>21903.081000000006</v>
      </c>
      <c r="G4" s="2567">
        <v>18765.236000000001</v>
      </c>
      <c r="H4" s="2567">
        <v>3028.9989999999998</v>
      </c>
      <c r="I4" s="2567">
        <f>SUM(D4:H4)</f>
        <v>90372.034</v>
      </c>
      <c r="J4" s="2568" t="s">
        <v>706</v>
      </c>
      <c r="K4" s="2568"/>
      <c r="L4" s="2569"/>
    </row>
    <row r="5" spans="1:13">
      <c r="A5" s="2570">
        <v>3</v>
      </c>
      <c r="B5" s="3309" t="s">
        <v>2260</v>
      </c>
      <c r="C5" s="3309"/>
      <c r="D5" s="3309"/>
      <c r="E5" s="3309"/>
      <c r="F5" s="3309"/>
      <c r="G5" s="3309"/>
      <c r="H5" s="3309"/>
      <c r="I5" s="3309"/>
      <c r="J5" s="2566"/>
      <c r="K5" s="2566"/>
    </row>
    <row r="6" spans="1:13" ht="26">
      <c r="A6" s="2804" t="s">
        <v>2261</v>
      </c>
      <c r="B6" s="2805" t="s">
        <v>2262</v>
      </c>
      <c r="C6" s="2804"/>
      <c r="D6" s="2571"/>
      <c r="E6" s="2571"/>
      <c r="F6" s="2571"/>
      <c r="G6" s="2571"/>
      <c r="H6" s="2571"/>
      <c r="I6" s="2572">
        <f>I8-I7</f>
        <v>55432.715535200005</v>
      </c>
      <c r="J6" s="2566"/>
      <c r="K6" s="2566"/>
    </row>
    <row r="7" spans="1:13">
      <c r="A7" s="2804" t="s">
        <v>2263</v>
      </c>
      <c r="B7" s="2573" t="s">
        <v>2264</v>
      </c>
      <c r="C7" s="2804"/>
      <c r="D7" s="2574"/>
      <c r="E7" s="2574"/>
      <c r="F7" s="2574"/>
      <c r="G7" s="2574"/>
      <c r="H7" s="2574"/>
      <c r="I7" s="2574">
        <v>4550.2798538999996</v>
      </c>
      <c r="J7" s="2566"/>
      <c r="K7" s="2566"/>
    </row>
    <row r="8" spans="1:13" ht="26">
      <c r="A8" s="2804" t="s">
        <v>2265</v>
      </c>
      <c r="B8" s="2573" t="s">
        <v>2266</v>
      </c>
      <c r="C8" s="2804" t="s">
        <v>67</v>
      </c>
      <c r="D8" s="2571"/>
      <c r="E8" s="2571"/>
      <c r="F8" s="2571"/>
      <c r="G8" s="2571"/>
      <c r="H8" s="2571"/>
      <c r="I8" s="2574">
        <v>59982.995389100004</v>
      </c>
      <c r="J8" s="2566"/>
      <c r="K8" s="2566"/>
    </row>
    <row r="9" spans="1:13" ht="26">
      <c r="A9" s="2804">
        <v>4</v>
      </c>
      <c r="B9" s="2573" t="s">
        <v>2267</v>
      </c>
      <c r="C9" s="2804" t="s">
        <v>68</v>
      </c>
      <c r="D9" s="2571">
        <v>2318.7295832059167</v>
      </c>
      <c r="E9" s="2571">
        <v>4481.8935973950493</v>
      </c>
      <c r="F9" s="2571">
        <v>2453.0272668535172</v>
      </c>
      <c r="G9" s="2571">
        <v>2453.0272668535172</v>
      </c>
      <c r="H9" s="2571">
        <v>187.09106662500002</v>
      </c>
      <c r="I9" s="2567">
        <f>SUM(D9:H9)</f>
        <v>11893.768780933</v>
      </c>
      <c r="J9" s="2566"/>
      <c r="K9" s="2566"/>
    </row>
    <row r="10" spans="1:13" s="442" customFormat="1" ht="26">
      <c r="A10" s="2804">
        <v>5</v>
      </c>
      <c r="B10" s="2805" t="s">
        <v>2268</v>
      </c>
      <c r="C10" s="2804" t="s">
        <v>69</v>
      </c>
      <c r="D10" s="2567">
        <v>25888.184244459793</v>
      </c>
      <c r="E10" s="2567">
        <v>33463.671831319698</v>
      </c>
      <c r="F10" s="2567">
        <v>27604.006481911987</v>
      </c>
      <c r="G10" s="2567">
        <v>23520.985548076544</v>
      </c>
      <c r="H10" s="2567">
        <v>3382.4533607008061</v>
      </c>
      <c r="I10" s="2567">
        <f>SUM(D10:H10)</f>
        <v>113859.30146646882</v>
      </c>
      <c r="J10" s="2575"/>
      <c r="K10" s="2575"/>
      <c r="M10" s="2567">
        <v>121361.51812799371</v>
      </c>
    </row>
    <row r="11" spans="1:13" ht="26">
      <c r="A11" s="2804">
        <v>6</v>
      </c>
      <c r="B11" s="2805" t="s">
        <v>2269</v>
      </c>
      <c r="C11" s="2804" t="s">
        <v>70</v>
      </c>
      <c r="D11" s="2571">
        <v>6131.1813716312154</v>
      </c>
      <c r="E11" s="2571">
        <v>12417.105796898411</v>
      </c>
      <c r="F11" s="2571">
        <v>6240.3673943212443</v>
      </c>
      <c r="G11" s="2571">
        <v>6240.3673943212443</v>
      </c>
      <c r="H11" s="2571">
        <v>475.3021217177249</v>
      </c>
      <c r="I11" s="2567">
        <f>SUM(D11:H11)</f>
        <v>31504.324078889844</v>
      </c>
      <c r="J11" s="2566"/>
      <c r="K11" s="2566"/>
    </row>
    <row r="12" spans="1:13" s="442" customFormat="1" ht="26">
      <c r="A12" s="2804">
        <v>7</v>
      </c>
      <c r="B12" s="2805" t="s">
        <v>2270</v>
      </c>
      <c r="C12" s="2804" t="s">
        <v>138</v>
      </c>
      <c r="D12" s="2567">
        <v>0</v>
      </c>
      <c r="E12" s="2567">
        <v>0</v>
      </c>
      <c r="F12" s="2567">
        <v>0</v>
      </c>
      <c r="G12" s="2567">
        <v>0</v>
      </c>
      <c r="H12" s="2567">
        <v>0</v>
      </c>
      <c r="I12" s="2567">
        <f>SUM(D12:H12)</f>
        <v>0</v>
      </c>
      <c r="J12" s="2576">
        <f>I12+I8</f>
        <v>59982.995389100004</v>
      </c>
      <c r="K12" s="2567">
        <v>0</v>
      </c>
      <c r="L12" s="442" t="s">
        <v>2271</v>
      </c>
      <c r="M12" s="2567">
        <v>14993.764523990307</v>
      </c>
    </row>
    <row r="13" spans="1:13">
      <c r="A13" s="2804">
        <v>8</v>
      </c>
      <c r="B13" s="2805" t="s">
        <v>2272</v>
      </c>
      <c r="C13" s="2804" t="s">
        <v>2273</v>
      </c>
      <c r="D13" s="2567">
        <f t="shared" ref="D13:I13" si="0">D3/D4*10</f>
        <v>6.5498168645758952</v>
      </c>
      <c r="E13" s="2567">
        <f t="shared" si="0"/>
        <v>7.0749605568203275</v>
      </c>
      <c r="F13" s="2567">
        <f t="shared" si="0"/>
        <v>6.4580460756183102</v>
      </c>
      <c r="G13" s="2567">
        <f t="shared" si="0"/>
        <v>7.4677831389916962</v>
      </c>
      <c r="H13" s="2567">
        <f t="shared" si="0"/>
        <v>8.3085022477722834</v>
      </c>
      <c r="I13" s="2567">
        <f t="shared" si="0"/>
        <v>6.9368822456292172</v>
      </c>
      <c r="J13" s="2566"/>
      <c r="K13" s="2566"/>
    </row>
    <row r="14" spans="1:13">
      <c r="A14" s="2804">
        <v>9</v>
      </c>
      <c r="B14" s="2805" t="s">
        <v>2274</v>
      </c>
      <c r="C14" s="2804" t="s">
        <v>2275</v>
      </c>
      <c r="D14" s="2567">
        <f t="shared" ref="D14:I14" si="1">D12/D4*10</f>
        <v>0</v>
      </c>
      <c r="E14" s="2567">
        <f t="shared" si="1"/>
        <v>0</v>
      </c>
      <c r="F14" s="2567">
        <f t="shared" si="1"/>
        <v>0</v>
      </c>
      <c r="G14" s="2567">
        <f t="shared" si="1"/>
        <v>0</v>
      </c>
      <c r="H14" s="2567">
        <f t="shared" si="1"/>
        <v>0</v>
      </c>
      <c r="I14" s="2567">
        <f t="shared" si="1"/>
        <v>0</v>
      </c>
      <c r="J14" s="2566"/>
      <c r="K14" s="2566"/>
    </row>
    <row r="15" spans="1:13">
      <c r="A15" s="2804">
        <v>10</v>
      </c>
      <c r="B15" s="2805" t="s">
        <v>2276</v>
      </c>
      <c r="C15" s="2805"/>
      <c r="D15" s="2805"/>
      <c r="E15" s="2805"/>
      <c r="F15" s="2805"/>
      <c r="G15" s="2805"/>
      <c r="H15" s="2805"/>
      <c r="I15" s="2805"/>
      <c r="J15" s="2566"/>
      <c r="K15" s="2566"/>
    </row>
    <row r="16" spans="1:13">
      <c r="A16" s="2804" t="s">
        <v>57</v>
      </c>
      <c r="B16" s="2805" t="s">
        <v>2277</v>
      </c>
      <c r="C16" s="2804" t="s">
        <v>2278</v>
      </c>
      <c r="D16" s="2567">
        <f t="shared" ref="D16:I16" si="2">D9/D4*10</f>
        <v>1.2087342738472624</v>
      </c>
      <c r="E16" s="2567">
        <f t="shared" si="2"/>
        <v>1.6302776435268751</v>
      </c>
      <c r="F16" s="2567">
        <f t="shared" si="2"/>
        <v>1.1199462152623718</v>
      </c>
      <c r="G16" s="2567">
        <f t="shared" si="2"/>
        <v>1.3072189802747576</v>
      </c>
      <c r="H16" s="2567">
        <f t="shared" si="2"/>
        <v>0.61766632021007617</v>
      </c>
      <c r="I16" s="2567">
        <f t="shared" si="2"/>
        <v>1.3160895306321203</v>
      </c>
      <c r="J16" s="2566"/>
      <c r="K16" s="2566"/>
    </row>
    <row r="17" spans="1:11" ht="21" customHeight="1">
      <c r="A17" s="3310" t="s">
        <v>58</v>
      </c>
      <c r="B17" s="3311" t="s">
        <v>2279</v>
      </c>
      <c r="C17" s="3312" t="s">
        <v>2280</v>
      </c>
      <c r="D17" s="3313">
        <f>(I8-I9)/I4*10</f>
        <v>5.3212508869908799</v>
      </c>
      <c r="E17" s="3313"/>
      <c r="F17" s="3313"/>
      <c r="G17" s="3313"/>
      <c r="H17" s="3313"/>
      <c r="I17" s="3313"/>
      <c r="J17" s="2566"/>
      <c r="K17" s="2566"/>
    </row>
    <row r="18" spans="1:11" ht="18" customHeight="1">
      <c r="A18" s="3310"/>
      <c r="B18" s="3311"/>
      <c r="C18" s="3312"/>
      <c r="D18" s="3313"/>
      <c r="E18" s="3313"/>
      <c r="F18" s="3313"/>
      <c r="G18" s="3313"/>
      <c r="H18" s="3313"/>
      <c r="I18" s="3313"/>
      <c r="J18" s="2566"/>
      <c r="K18" s="2566"/>
    </row>
    <row r="19" spans="1:11" ht="26">
      <c r="A19" s="2804">
        <v>11</v>
      </c>
      <c r="B19" s="2805" t="s">
        <v>2281</v>
      </c>
      <c r="C19" s="2804" t="s">
        <v>2282</v>
      </c>
      <c r="D19" s="2567">
        <f t="shared" ref="D19:I19" si="3">D13-D14-D16</f>
        <v>5.3410825907286323</v>
      </c>
      <c r="E19" s="2567">
        <f t="shared" si="3"/>
        <v>5.4446829132934527</v>
      </c>
      <c r="F19" s="2567">
        <f t="shared" si="3"/>
        <v>5.3380998603559382</v>
      </c>
      <c r="G19" s="2567">
        <f t="shared" si="3"/>
        <v>6.1605641587169391</v>
      </c>
      <c r="H19" s="2567">
        <f t="shared" si="3"/>
        <v>7.6908359275622074</v>
      </c>
      <c r="I19" s="2567">
        <f t="shared" si="3"/>
        <v>5.6207927149970969</v>
      </c>
      <c r="J19" s="2566"/>
      <c r="K19" s="2566"/>
    </row>
    <row r="20" spans="1:11" ht="26">
      <c r="A20" s="2804">
        <v>12</v>
      </c>
      <c r="B20" s="2805" t="s">
        <v>2283</v>
      </c>
      <c r="C20" s="2804" t="s">
        <v>1032</v>
      </c>
      <c r="D20" s="2567">
        <f t="shared" ref="D20:I20" si="4">$D$17/$I$19*D19</f>
        <v>5.0564470021415762</v>
      </c>
      <c r="E20" s="2567">
        <f t="shared" si="4"/>
        <v>5.1545262831778063</v>
      </c>
      <c r="F20" s="2567">
        <f t="shared" si="4"/>
        <v>5.0536232266625403</v>
      </c>
      <c r="G20" s="2567">
        <f t="shared" si="4"/>
        <v>5.8322569708841625</v>
      </c>
      <c r="H20" s="2567">
        <f t="shared" si="4"/>
        <v>7.2809778933936125</v>
      </c>
      <c r="I20" s="2567">
        <f t="shared" si="4"/>
        <v>5.3212508869908799</v>
      </c>
      <c r="J20" s="2566"/>
      <c r="K20" s="2566"/>
    </row>
    <row r="21" spans="1:11" ht="26">
      <c r="A21" s="2804">
        <v>13</v>
      </c>
      <c r="B21" s="2805" t="s">
        <v>2284</v>
      </c>
      <c r="C21" s="2804" t="s">
        <v>2285</v>
      </c>
      <c r="D21" s="2567">
        <f t="shared" ref="D21:I21" si="5">D16+D20</f>
        <v>6.265181275988839</v>
      </c>
      <c r="E21" s="2567">
        <f t="shared" si="5"/>
        <v>6.7848039267046811</v>
      </c>
      <c r="F21" s="2567">
        <f t="shared" si="5"/>
        <v>6.1735694419249123</v>
      </c>
      <c r="G21" s="2567">
        <f t="shared" si="5"/>
        <v>7.1394759511589196</v>
      </c>
      <c r="H21" s="2567">
        <f t="shared" si="5"/>
        <v>7.8986442136036885</v>
      </c>
      <c r="I21" s="2567">
        <f t="shared" si="5"/>
        <v>6.6373404176230002</v>
      </c>
      <c r="J21" s="2566"/>
      <c r="K21" s="2566"/>
    </row>
    <row r="22" spans="1:11">
      <c r="A22" s="2804">
        <v>14</v>
      </c>
      <c r="B22" s="2805" t="s">
        <v>2286</v>
      </c>
      <c r="C22" s="2804" t="s">
        <v>2287</v>
      </c>
      <c r="D22" s="2567">
        <f t="shared" ref="D22:I22" si="6">D21*D4/10</f>
        <v>12018.573050422829</v>
      </c>
      <c r="E22" s="2567">
        <f t="shared" si="6"/>
        <v>18652.509527698257</v>
      </c>
      <c r="F22" s="2567">
        <f t="shared" si="6"/>
        <v>13522.019154560618</v>
      </c>
      <c r="G22" s="2567">
        <f t="shared" si="6"/>
        <v>13397.395113982162</v>
      </c>
      <c r="H22" s="2567">
        <f t="shared" si="6"/>
        <v>2392.4985424361357</v>
      </c>
      <c r="I22" s="2567">
        <f t="shared" si="6"/>
        <v>59982.995389100004</v>
      </c>
      <c r="J22" s="2566"/>
      <c r="K22" s="2566"/>
    </row>
    <row r="23" spans="1:11">
      <c r="A23" s="2566"/>
      <c r="B23" s="2577" t="s">
        <v>2288</v>
      </c>
      <c r="C23" s="2577"/>
      <c r="D23" s="2577"/>
      <c r="E23" s="2577"/>
      <c r="F23" s="2577"/>
      <c r="G23" s="2577"/>
      <c r="H23" s="2577"/>
      <c r="I23" s="2577"/>
      <c r="J23" s="2566"/>
      <c r="K23" s="2566"/>
    </row>
    <row r="24" spans="1:11">
      <c r="A24" s="2804">
        <v>15</v>
      </c>
      <c r="B24" s="2805" t="s">
        <v>2289</v>
      </c>
      <c r="C24" s="2804" t="s">
        <v>2019</v>
      </c>
      <c r="D24" s="2567">
        <f t="shared" ref="D24:I24" si="7">D9/D11*10</f>
        <v>3.7818642813840189</v>
      </c>
      <c r="E24" s="2567">
        <f t="shared" si="7"/>
        <v>3.6094510836128597</v>
      </c>
      <c r="F24" s="2567">
        <f t="shared" si="7"/>
        <v>3.9309019995934542</v>
      </c>
      <c r="G24" s="2567">
        <f t="shared" si="7"/>
        <v>3.9309019995934542</v>
      </c>
      <c r="H24" s="2567">
        <f t="shared" si="7"/>
        <v>3.9362556587978101</v>
      </c>
      <c r="I24" s="2567">
        <f t="shared" si="7"/>
        <v>3.7752813712650566</v>
      </c>
      <c r="J24" s="2566"/>
      <c r="K24" s="2566"/>
    </row>
    <row r="25" spans="1:11">
      <c r="A25" s="2804">
        <v>16</v>
      </c>
      <c r="B25" s="2805" t="s">
        <v>2290</v>
      </c>
      <c r="C25" s="2804" t="s">
        <v>2291</v>
      </c>
      <c r="D25" s="2567">
        <f t="shared" ref="D25:I25" si="8">D20*D4/(D10-D11)</f>
        <v>4.9095723322270297</v>
      </c>
      <c r="E25" s="2567">
        <f t="shared" si="8"/>
        <v>6.7329824291180884</v>
      </c>
      <c r="F25" s="2567">
        <f t="shared" si="8"/>
        <v>5.1812295846809269</v>
      </c>
      <c r="G25" s="2567">
        <f t="shared" si="8"/>
        <v>6.3333196473358182</v>
      </c>
      <c r="H25" s="2567">
        <f t="shared" si="8"/>
        <v>7.5861463491750953</v>
      </c>
      <c r="I25" s="2567">
        <f t="shared" si="8"/>
        <v>5.8392617099327806</v>
      </c>
      <c r="J25" s="2566"/>
      <c r="K25" s="2566"/>
    </row>
    <row r="26" spans="1:11">
      <c r="A26" s="2804">
        <v>17</v>
      </c>
      <c r="B26" s="2805" t="s">
        <v>2292</v>
      </c>
      <c r="C26" s="2804" t="s">
        <v>2293</v>
      </c>
      <c r="D26" s="2567">
        <f t="shared" ref="D26:I26" si="9">D22/D10*10</f>
        <v>4.6424936322039914</v>
      </c>
      <c r="E26" s="2567">
        <f t="shared" si="9"/>
        <v>5.573957819608065</v>
      </c>
      <c r="F26" s="2567">
        <f t="shared" si="9"/>
        <v>4.8985712140812456</v>
      </c>
      <c r="G26" s="2567">
        <f t="shared" si="9"/>
        <v>5.6959327178693622</v>
      </c>
      <c r="H26" s="2567">
        <f t="shared" si="9"/>
        <v>7.073263951643777</v>
      </c>
      <c r="I26" s="2567">
        <f t="shared" si="9"/>
        <v>5.268168223108658</v>
      </c>
      <c r="J26" s="2566"/>
      <c r="K26" s="2566"/>
    </row>
  </sheetData>
  <mergeCells count="5">
    <mergeCell ref="B5:I5"/>
    <mergeCell ref="A17:A18"/>
    <mergeCell ref="B17:B18"/>
    <mergeCell ref="C17:C18"/>
    <mergeCell ref="D17:I18"/>
  </mergeCells>
  <pageMargins left="0.7" right="0.7" top="0.75" bottom="0.75" header="0.3" footer="0.3"/>
  <pageSetup scale="7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view="pageBreakPreview" zoomScale="90" zoomScaleNormal="100" zoomScaleSheetLayoutView="90" workbookViewId="0">
      <pane xSplit="2" ySplit="2" topLeftCell="C11"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9.1796875" style="2779"/>
    <col min="2" max="2" width="39.1796875" style="2779" customWidth="1"/>
    <col min="3" max="3" width="17.26953125" style="2779" customWidth="1"/>
    <col min="4" max="4" width="8.81640625" style="2779" bestFit="1" customWidth="1"/>
    <col min="5" max="9" width="14.81640625" style="2779" customWidth="1"/>
    <col min="10" max="11" width="9.1796875" style="2779" customWidth="1"/>
    <col min="12" max="12" width="9.1796875" style="2779"/>
    <col min="13" max="13" width="9.81640625" style="2779" bestFit="1" customWidth="1"/>
    <col min="14" max="16384" width="9.1796875" style="2779"/>
  </cols>
  <sheetData>
    <row r="1" spans="1:13">
      <c r="B1" s="2808" t="s">
        <v>2294</v>
      </c>
    </row>
    <row r="2" spans="1:13">
      <c r="A2" s="2564" t="s">
        <v>117</v>
      </c>
      <c r="B2" s="2565" t="s">
        <v>14</v>
      </c>
      <c r="C2" s="2565" t="s">
        <v>565</v>
      </c>
      <c r="D2" s="2565" t="s">
        <v>2254</v>
      </c>
      <c r="E2" s="2565" t="s">
        <v>2255</v>
      </c>
      <c r="F2" s="2565" t="s">
        <v>2256</v>
      </c>
      <c r="G2" s="2565" t="s">
        <v>1579</v>
      </c>
      <c r="H2" s="2565" t="s">
        <v>2257</v>
      </c>
      <c r="I2" s="2565" t="s">
        <v>22</v>
      </c>
      <c r="J2" s="2566"/>
      <c r="K2" s="2566"/>
    </row>
    <row r="3" spans="1:13" s="1738" customFormat="1">
      <c r="A3" s="2804">
        <v>1</v>
      </c>
      <c r="B3" s="2805" t="s">
        <v>2258</v>
      </c>
      <c r="C3" s="2804" t="s">
        <v>57</v>
      </c>
      <c r="D3" s="2567">
        <v>15435.567533833966</v>
      </c>
      <c r="E3" s="2567">
        <v>25359.368153941734</v>
      </c>
      <c r="F3" s="2567">
        <v>16452.179915205073</v>
      </c>
      <c r="G3" s="2567">
        <v>15425.2122891121</v>
      </c>
      <c r="H3" s="2567">
        <v>2809.4375059384342</v>
      </c>
      <c r="I3" s="2567">
        <f>SUM(D3:H3)</f>
        <v>75481.765398031304</v>
      </c>
      <c r="J3" s="2568" t="s">
        <v>706</v>
      </c>
      <c r="K3" s="2568"/>
      <c r="L3" s="2569"/>
    </row>
    <row r="4" spans="1:13" s="1738" customFormat="1">
      <c r="A4" s="2804">
        <v>2</v>
      </c>
      <c r="B4" s="2805" t="s">
        <v>2259</v>
      </c>
      <c r="C4" s="2804" t="s">
        <v>58</v>
      </c>
      <c r="D4" s="2567">
        <v>20926.500272610348</v>
      </c>
      <c r="E4" s="2567">
        <v>29513.956053991769</v>
      </c>
      <c r="F4" s="2567">
        <v>22028.439146115656</v>
      </c>
      <c r="G4" s="2567">
        <v>20586.027206035553</v>
      </c>
      <c r="H4" s="2567">
        <v>3490.5194999999994</v>
      </c>
      <c r="I4" s="2567">
        <f>SUM(D4:H4)</f>
        <v>96545.442178753307</v>
      </c>
      <c r="J4" s="2568" t="s">
        <v>706</v>
      </c>
      <c r="K4" s="2568"/>
      <c r="L4" s="2569"/>
    </row>
    <row r="5" spans="1:13">
      <c r="A5" s="2570">
        <v>3</v>
      </c>
      <c r="B5" s="3309" t="s">
        <v>2260</v>
      </c>
      <c r="C5" s="3309"/>
      <c r="D5" s="3309"/>
      <c r="E5" s="3309"/>
      <c r="F5" s="3309"/>
      <c r="G5" s="3309"/>
      <c r="H5" s="3309"/>
      <c r="I5" s="3309"/>
      <c r="J5" s="2566"/>
      <c r="K5" s="2566"/>
    </row>
    <row r="6" spans="1:13" ht="26">
      <c r="A6" s="2804" t="s">
        <v>2261</v>
      </c>
      <c r="B6" s="2805" t="s">
        <v>2262</v>
      </c>
      <c r="C6" s="2804"/>
      <c r="D6" s="2571"/>
      <c r="E6" s="2571"/>
      <c r="F6" s="2571"/>
      <c r="G6" s="2571"/>
      <c r="H6" s="2571"/>
      <c r="I6" s="2572">
        <f>I8-I7</f>
        <v>54916.589423674151</v>
      </c>
      <c r="J6" s="2566"/>
      <c r="K6" s="2566"/>
    </row>
    <row r="7" spans="1:13">
      <c r="A7" s="2804" t="s">
        <v>2263</v>
      </c>
      <c r="B7" s="2805" t="s">
        <v>2264</v>
      </c>
      <c r="C7" s="2804"/>
      <c r="D7" s="2571"/>
      <c r="E7" s="2571"/>
      <c r="F7" s="2571"/>
      <c r="G7" s="2571"/>
      <c r="H7" s="2571"/>
      <c r="I7" s="2571">
        <v>4777.7938465950001</v>
      </c>
      <c r="J7" s="2566"/>
      <c r="K7" s="2566"/>
    </row>
    <row r="8" spans="1:13" ht="26">
      <c r="A8" s="2804" t="s">
        <v>2265</v>
      </c>
      <c r="B8" s="2573" t="s">
        <v>2266</v>
      </c>
      <c r="C8" s="2804" t="s">
        <v>67</v>
      </c>
      <c r="D8" s="2571"/>
      <c r="E8" s="2571"/>
      <c r="F8" s="2571"/>
      <c r="G8" s="2571"/>
      <c r="H8" s="2571"/>
      <c r="I8" s="2574">
        <f>F13_21_22!N219</f>
        <v>59694.383270269151</v>
      </c>
      <c r="J8" s="2566"/>
      <c r="K8" s="2566"/>
    </row>
    <row r="9" spans="1:13" ht="26">
      <c r="A9" s="2804">
        <v>4</v>
      </c>
      <c r="B9" s="2573" t="s">
        <v>2267</v>
      </c>
      <c r="C9" s="2804" t="s">
        <v>68</v>
      </c>
      <c r="D9" s="2571">
        <v>2137.8517628907275</v>
      </c>
      <c r="E9" s="2571">
        <v>4154.5468786712363</v>
      </c>
      <c r="F9" s="2571">
        <v>2268.5223662612748</v>
      </c>
      <c r="G9" s="2571">
        <v>2268.5223662612748</v>
      </c>
      <c r="H9" s="2571">
        <v>179.45927432935724</v>
      </c>
      <c r="I9" s="2567">
        <f>SUM(D9:H9)</f>
        <v>11008.902648413872</v>
      </c>
      <c r="J9" s="2566"/>
      <c r="K9" s="2566"/>
    </row>
    <row r="10" spans="1:13" s="442" customFormat="1" ht="26">
      <c r="A10" s="2804">
        <v>5</v>
      </c>
      <c r="B10" s="2805" t="s">
        <v>2268</v>
      </c>
      <c r="C10" s="2804" t="s">
        <v>69</v>
      </c>
      <c r="D10" s="2567">
        <v>27746.319919790487</v>
      </c>
      <c r="E10" s="2567">
        <v>35531.702380701419</v>
      </c>
      <c r="F10" s="2567">
        <v>27398.300622483668</v>
      </c>
      <c r="G10" s="2567">
        <v>25473.972662671749</v>
      </c>
      <c r="H10" s="2567">
        <v>3844.0206062840721</v>
      </c>
      <c r="I10" s="2567">
        <f>SUM(D10:H10)</f>
        <v>119994.3161919314</v>
      </c>
      <c r="J10" s="2575"/>
      <c r="K10" s="2575"/>
      <c r="M10" s="2567">
        <v>129362.07015723137</v>
      </c>
    </row>
    <row r="11" spans="1:13" ht="26">
      <c r="A11" s="2804">
        <v>6</v>
      </c>
      <c r="B11" s="2805" t="s">
        <v>2269</v>
      </c>
      <c r="C11" s="2804" t="s">
        <v>70</v>
      </c>
      <c r="D11" s="2571">
        <v>5627.4233915141413</v>
      </c>
      <c r="E11" s="2571">
        <v>11560.772457865394</v>
      </c>
      <c r="F11" s="2571">
        <v>5741.8951572657243</v>
      </c>
      <c r="G11" s="2571">
        <v>5741.8951572657243</v>
      </c>
      <c r="H11" s="2571">
        <v>470.5861597079242</v>
      </c>
      <c r="I11" s="2567">
        <f>SUM(D11:H11)</f>
        <v>29142.572323618908</v>
      </c>
      <c r="J11" s="2566"/>
      <c r="K11" s="2566"/>
    </row>
    <row r="12" spans="1:13" s="442" customFormat="1" ht="26">
      <c r="A12" s="2804">
        <v>7</v>
      </c>
      <c r="B12" s="2805" t="s">
        <v>2270</v>
      </c>
      <c r="C12" s="2804" t="s">
        <v>138</v>
      </c>
      <c r="D12" s="2567">
        <v>3513.8089269971988</v>
      </c>
      <c r="E12" s="2567">
        <v>4338.031349605284</v>
      </c>
      <c r="F12" s="2567">
        <v>4905.8130440132045</v>
      </c>
      <c r="G12" s="2567">
        <v>3900.108323866958</v>
      </c>
      <c r="H12" s="2567">
        <v>587.50240725018386</v>
      </c>
      <c r="I12" s="2567">
        <f>SUM(D12:H12)</f>
        <v>17245.264051732829</v>
      </c>
      <c r="J12" s="2576">
        <f>I12+I8</f>
        <v>76939.647322001983</v>
      </c>
      <c r="K12" s="2567"/>
      <c r="L12" s="442" t="s">
        <v>2271</v>
      </c>
      <c r="M12" s="2567">
        <v>17559.017742075397</v>
      </c>
    </row>
    <row r="13" spans="1:13">
      <c r="A13" s="2804">
        <v>8</v>
      </c>
      <c r="B13" s="2805" t="s">
        <v>2272</v>
      </c>
      <c r="C13" s="2804" t="s">
        <v>2273</v>
      </c>
      <c r="D13" s="2567">
        <f t="shared" ref="D13:I13" si="0">D3/D4*10</f>
        <v>7.3760864610681267</v>
      </c>
      <c r="E13" s="2567">
        <f t="shared" si="0"/>
        <v>8.5923310679023235</v>
      </c>
      <c r="F13" s="2567">
        <f t="shared" si="0"/>
        <v>7.4686090131384262</v>
      </c>
      <c r="G13" s="2567">
        <f t="shared" si="0"/>
        <v>7.4930495985109893</v>
      </c>
      <c r="H13" s="2567">
        <f t="shared" si="0"/>
        <v>8.0487661104269286</v>
      </c>
      <c r="I13" s="2567">
        <f t="shared" si="0"/>
        <v>7.8182629541721163</v>
      </c>
      <c r="J13" s="2566"/>
      <c r="K13" s="2566"/>
    </row>
    <row r="14" spans="1:13">
      <c r="A14" s="2804">
        <v>9</v>
      </c>
      <c r="B14" s="2805" t="s">
        <v>2274</v>
      </c>
      <c r="C14" s="2804" t="s">
        <v>2275</v>
      </c>
      <c r="D14" s="2567">
        <f t="shared" ref="D14:I14" si="1">D12/D4*10</f>
        <v>1.6791192417378302</v>
      </c>
      <c r="E14" s="2567">
        <f t="shared" si="1"/>
        <v>1.4698237476770126</v>
      </c>
      <c r="F14" s="2567">
        <f t="shared" si="1"/>
        <v>2.2270361560674905</v>
      </c>
      <c r="G14" s="2567">
        <f t="shared" si="1"/>
        <v>1.8945415182991197</v>
      </c>
      <c r="H14" s="2567">
        <f t="shared" si="1"/>
        <v>1.6831374448708394</v>
      </c>
      <c r="I14" s="2567">
        <f t="shared" si="1"/>
        <v>1.786232851862994</v>
      </c>
      <c r="J14" s="2566"/>
      <c r="K14" s="2566"/>
    </row>
    <row r="15" spans="1:13">
      <c r="A15" s="2804">
        <v>10</v>
      </c>
      <c r="B15" s="2805" t="s">
        <v>2276</v>
      </c>
      <c r="C15" s="2805"/>
      <c r="D15" s="2805"/>
      <c r="E15" s="2805"/>
      <c r="F15" s="2805"/>
      <c r="G15" s="2805"/>
      <c r="H15" s="2805"/>
      <c r="I15" s="2805"/>
      <c r="J15" s="2566"/>
      <c r="K15" s="2566"/>
    </row>
    <row r="16" spans="1:13">
      <c r="A16" s="2804" t="s">
        <v>57</v>
      </c>
      <c r="B16" s="2805" t="s">
        <v>2277</v>
      </c>
      <c r="C16" s="2804" t="s">
        <v>2278</v>
      </c>
      <c r="D16" s="2567">
        <f t="shared" ref="D16:I16" si="2">D9/D4*10</f>
        <v>1.021600236561703</v>
      </c>
      <c r="E16" s="2567">
        <f t="shared" si="2"/>
        <v>1.4076550331209607</v>
      </c>
      <c r="F16" s="2567">
        <f t="shared" si="2"/>
        <v>1.0298152997650269</v>
      </c>
      <c r="G16" s="2567">
        <f t="shared" si="2"/>
        <v>1.1019719072343273</v>
      </c>
      <c r="H16" s="2567">
        <f t="shared" si="2"/>
        <v>0.5141334243494623</v>
      </c>
      <c r="I16" s="2567">
        <f t="shared" si="2"/>
        <v>1.1402819646349494</v>
      </c>
      <c r="J16" s="2566"/>
      <c r="K16" s="2566"/>
    </row>
    <row r="17" spans="1:11" ht="21" customHeight="1">
      <c r="A17" s="3310" t="s">
        <v>58</v>
      </c>
      <c r="B17" s="3311" t="s">
        <v>2279</v>
      </c>
      <c r="C17" s="3312" t="s">
        <v>2280</v>
      </c>
      <c r="D17" s="3313">
        <f>(I8-I9)/I4*10</f>
        <v>5.0427528760720168</v>
      </c>
      <c r="E17" s="3313"/>
      <c r="F17" s="3313"/>
      <c r="G17" s="3313"/>
      <c r="H17" s="3313"/>
      <c r="I17" s="3313"/>
      <c r="J17" s="2566"/>
      <c r="K17" s="2566"/>
    </row>
    <row r="18" spans="1:11" ht="18" customHeight="1">
      <c r="A18" s="3310"/>
      <c r="B18" s="3311"/>
      <c r="C18" s="3312"/>
      <c r="D18" s="3313"/>
      <c r="E18" s="3313"/>
      <c r="F18" s="3313"/>
      <c r="G18" s="3313"/>
      <c r="H18" s="3313"/>
      <c r="I18" s="3313"/>
      <c r="J18" s="2566"/>
      <c r="K18" s="2566"/>
    </row>
    <row r="19" spans="1:11" ht="26">
      <c r="A19" s="2804">
        <v>11</v>
      </c>
      <c r="B19" s="2805" t="s">
        <v>2281</v>
      </c>
      <c r="C19" s="2804" t="s">
        <v>2282</v>
      </c>
      <c r="D19" s="2567">
        <f t="shared" ref="D19:I19" si="3">D13-D14-D16</f>
        <v>4.675366982768594</v>
      </c>
      <c r="E19" s="2567">
        <f t="shared" si="3"/>
        <v>5.7148522871043497</v>
      </c>
      <c r="F19" s="2567">
        <f t="shared" si="3"/>
        <v>4.2117575573059085</v>
      </c>
      <c r="G19" s="2567">
        <f t="shared" si="3"/>
        <v>4.4965361729775424</v>
      </c>
      <c r="H19" s="2567">
        <f t="shared" si="3"/>
        <v>5.851495241206627</v>
      </c>
      <c r="I19" s="2567">
        <f t="shared" si="3"/>
        <v>4.8917481376741723</v>
      </c>
      <c r="J19" s="2566"/>
      <c r="K19" s="2566"/>
    </row>
    <row r="20" spans="1:11" ht="26">
      <c r="A20" s="2804">
        <v>12</v>
      </c>
      <c r="B20" s="2805" t="s">
        <v>2283</v>
      </c>
      <c r="C20" s="2804" t="s">
        <v>1032</v>
      </c>
      <c r="D20" s="2567">
        <f t="shared" ref="D20:I20" si="4">$D$17/$I$19*D19</f>
        <v>4.8196921909103541</v>
      </c>
      <c r="E20" s="2567">
        <f t="shared" si="4"/>
        <v>5.8912656571939275</v>
      </c>
      <c r="F20" s="2567">
        <f t="shared" si="4"/>
        <v>4.3417714767139746</v>
      </c>
      <c r="G20" s="2567">
        <f t="shared" si="4"/>
        <v>4.635341002945701</v>
      </c>
      <c r="H20" s="2567">
        <f t="shared" si="4"/>
        <v>6.0321266807792213</v>
      </c>
      <c r="I20" s="2567">
        <f t="shared" si="4"/>
        <v>5.0427528760720168</v>
      </c>
      <c r="J20" s="2566"/>
      <c r="K20" s="2566"/>
    </row>
    <row r="21" spans="1:11" ht="26">
      <c r="A21" s="2804">
        <v>13</v>
      </c>
      <c r="B21" s="2805" t="s">
        <v>2284</v>
      </c>
      <c r="C21" s="2804" t="s">
        <v>2285</v>
      </c>
      <c r="D21" s="2567">
        <f t="shared" ref="D21:I21" si="5">D16+D20</f>
        <v>5.841292427472057</v>
      </c>
      <c r="E21" s="2567">
        <f t="shared" si="5"/>
        <v>7.2989206903148887</v>
      </c>
      <c r="F21" s="2567">
        <f t="shared" si="5"/>
        <v>5.3715867764790017</v>
      </c>
      <c r="G21" s="2567">
        <f t="shared" si="5"/>
        <v>5.7373129101800284</v>
      </c>
      <c r="H21" s="2567">
        <f t="shared" si="5"/>
        <v>6.5462601051286837</v>
      </c>
      <c r="I21" s="2567">
        <f t="shared" si="5"/>
        <v>6.1830348407069664</v>
      </c>
      <c r="J21" s="2566"/>
      <c r="K21" s="2566"/>
    </row>
    <row r="22" spans="1:11">
      <c r="A22" s="2804">
        <v>14</v>
      </c>
      <c r="B22" s="2805" t="s">
        <v>2286</v>
      </c>
      <c r="C22" s="2804" t="s">
        <v>2287</v>
      </c>
      <c r="D22" s="2567">
        <f t="shared" ref="D22:I22" si="6">D21*D4/10</f>
        <v>12223.780757589077</v>
      </c>
      <c r="E22" s="2567">
        <f t="shared" si="6"/>
        <v>21542.002449552489</v>
      </c>
      <c r="F22" s="2567">
        <f t="shared" si="6"/>
        <v>11832.767242374724</v>
      </c>
      <c r="G22" s="2567">
        <f t="shared" si="6"/>
        <v>11810.847965850508</v>
      </c>
      <c r="H22" s="2567">
        <f t="shared" si="6"/>
        <v>2284.9848549023718</v>
      </c>
      <c r="I22" s="2567">
        <f t="shared" si="6"/>
        <v>59694.383270269158</v>
      </c>
      <c r="J22" s="2566"/>
      <c r="K22" s="2566"/>
    </row>
    <row r="23" spans="1:11">
      <c r="A23" s="2566"/>
      <c r="B23" s="2577" t="s">
        <v>2288</v>
      </c>
      <c r="C23" s="2577"/>
      <c r="D23" s="2577"/>
      <c r="E23" s="2577"/>
      <c r="F23" s="2577"/>
      <c r="G23" s="2577"/>
      <c r="H23" s="2577"/>
      <c r="I23" s="2577"/>
      <c r="J23" s="2566"/>
      <c r="K23" s="2566"/>
    </row>
    <row r="24" spans="1:11">
      <c r="A24" s="2804">
        <v>15</v>
      </c>
      <c r="B24" s="2805" t="s">
        <v>2289</v>
      </c>
      <c r="C24" s="2804" t="s">
        <v>2019</v>
      </c>
      <c r="D24" s="2567">
        <f t="shared" ref="D24:I24" si="7">D9/D11*10</f>
        <v>3.7989886563618009</v>
      </c>
      <c r="E24" s="2567">
        <f t="shared" si="7"/>
        <v>3.5936585499048395</v>
      </c>
      <c r="F24" s="2567">
        <f t="shared" si="7"/>
        <v>3.9508251267714534</v>
      </c>
      <c r="G24" s="2567">
        <f t="shared" si="7"/>
        <v>3.9508251267714534</v>
      </c>
      <c r="H24" s="2567">
        <f t="shared" si="7"/>
        <v>3.8135263995171709</v>
      </c>
      <c r="I24" s="2567">
        <f t="shared" si="7"/>
        <v>3.7776015535497498</v>
      </c>
      <c r="J24" s="2566"/>
      <c r="K24" s="2566"/>
    </row>
    <row r="25" spans="1:11">
      <c r="A25" s="2804">
        <v>16</v>
      </c>
      <c r="B25" s="2805" t="s">
        <v>2290</v>
      </c>
      <c r="C25" s="2804" t="s">
        <v>2291</v>
      </c>
      <c r="D25" s="2567">
        <f t="shared" ref="D25:I25" si="8">D20*D4/(D10-D11)</f>
        <v>4.5598698749753197</v>
      </c>
      <c r="E25" s="2567">
        <f t="shared" si="8"/>
        <v>7.253559051256083</v>
      </c>
      <c r="F25" s="2567">
        <f t="shared" si="8"/>
        <v>4.4163584263669486</v>
      </c>
      <c r="G25" s="2567">
        <f t="shared" si="8"/>
        <v>4.835945732006631</v>
      </c>
      <c r="H25" s="2567">
        <f t="shared" si="8"/>
        <v>6.2414895380878326</v>
      </c>
      <c r="I25" s="2567">
        <f t="shared" si="8"/>
        <v>5.358783282401685</v>
      </c>
      <c r="J25" s="2566"/>
      <c r="K25" s="2566"/>
    </row>
    <row r="26" spans="1:11">
      <c r="A26" s="2804">
        <v>17</v>
      </c>
      <c r="B26" s="2805" t="s">
        <v>2292</v>
      </c>
      <c r="C26" s="2804" t="s">
        <v>2293</v>
      </c>
      <c r="D26" s="2567">
        <v>4.4040400000000002</v>
      </c>
      <c r="E26" s="2567">
        <f>E22/E10*10</f>
        <v>6.0627555130183532</v>
      </c>
      <c r="F26" s="2567">
        <f>F22/F10*10</f>
        <v>4.3187960470309195</v>
      </c>
      <c r="G26" s="2567">
        <f>G22/G10*10</f>
        <v>4.6364374030900635</v>
      </c>
      <c r="H26" s="2567">
        <f>H22/H10*10</f>
        <v>5.9442575598241012</v>
      </c>
      <c r="I26" s="2980">
        <f>I22/I10*10</f>
        <v>4.974767569389515</v>
      </c>
      <c r="J26" s="2566"/>
      <c r="K26" s="2566"/>
    </row>
    <row r="27" spans="1:11">
      <c r="D27" s="2567"/>
    </row>
  </sheetData>
  <mergeCells count="5">
    <mergeCell ref="B5:I5"/>
    <mergeCell ref="A17:A18"/>
    <mergeCell ref="B17:B18"/>
    <mergeCell ref="C17:C18"/>
    <mergeCell ref="D17:I18"/>
  </mergeCells>
  <pageMargins left="0.7" right="0.7" top="0.75" bottom="0.75" header="0.3" footer="0.3"/>
  <pageSetup scale="7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view="pageBreakPreview" zoomScaleNormal="100" zoomScaleSheetLayoutView="100" workbookViewId="0">
      <pane xSplit="2" ySplit="2" topLeftCell="C17"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9.1796875" style="2779"/>
    <col min="2" max="2" width="39.1796875" style="2779" customWidth="1"/>
    <col min="3" max="3" width="17.26953125" style="2779" customWidth="1"/>
    <col min="4" max="9" width="14.81640625" style="2779" customWidth="1"/>
    <col min="10" max="11" width="9.1796875" style="2779" hidden="1" customWidth="1"/>
    <col min="12" max="12" width="0" style="2779" hidden="1" customWidth="1"/>
    <col min="13" max="13" width="9.81640625" style="2779" hidden="1" customWidth="1"/>
    <col min="14" max="16384" width="9.1796875" style="2779"/>
  </cols>
  <sheetData>
    <row r="1" spans="1:14">
      <c r="B1" s="2808" t="s">
        <v>2295</v>
      </c>
    </row>
    <row r="2" spans="1:14">
      <c r="A2" s="2564" t="s">
        <v>117</v>
      </c>
      <c r="B2" s="2565" t="s">
        <v>14</v>
      </c>
      <c r="C2" s="2565" t="s">
        <v>565</v>
      </c>
      <c r="D2" s="2565" t="s">
        <v>2254</v>
      </c>
      <c r="E2" s="2565" t="s">
        <v>2255</v>
      </c>
      <c r="F2" s="2565" t="s">
        <v>2256</v>
      </c>
      <c r="G2" s="2565" t="s">
        <v>1579</v>
      </c>
      <c r="H2" s="2565" t="s">
        <v>2257</v>
      </c>
      <c r="I2" s="2565" t="s">
        <v>22</v>
      </c>
      <c r="J2" s="2566"/>
      <c r="K2" s="2566"/>
    </row>
    <row r="3" spans="1:14" s="1738" customFormat="1">
      <c r="A3" s="2804">
        <v>1</v>
      </c>
      <c r="B3" s="2805" t="s">
        <v>2258</v>
      </c>
      <c r="C3" s="2804" t="s">
        <v>57</v>
      </c>
      <c r="D3" s="2567">
        <v>15931.290450182025</v>
      </c>
      <c r="E3" s="2567">
        <v>26191.050672691759</v>
      </c>
      <c r="F3" s="2567">
        <v>17135.329283624284</v>
      </c>
      <c r="G3" s="2567">
        <v>15597.370405773159</v>
      </c>
      <c r="H3" s="2567">
        <v>2885.7584454746261</v>
      </c>
      <c r="I3" s="2567">
        <f>SUM(D3:H3)</f>
        <v>77740.79925774585</v>
      </c>
      <c r="J3" s="2568" t="s">
        <v>706</v>
      </c>
      <c r="K3" s="2568"/>
      <c r="L3" s="2569"/>
    </row>
    <row r="4" spans="1:14" s="1738" customFormat="1">
      <c r="A4" s="2804">
        <v>2</v>
      </c>
      <c r="B4" s="2805" t="s">
        <v>2259</v>
      </c>
      <c r="C4" s="2804" t="s">
        <v>58</v>
      </c>
      <c r="D4" s="2567">
        <v>21929.482319688683</v>
      </c>
      <c r="E4" s="2567">
        <v>31018.04527790095</v>
      </c>
      <c r="F4" s="2567">
        <v>22660.994932223985</v>
      </c>
      <c r="G4" s="2567">
        <v>21027.819014184402</v>
      </c>
      <c r="H4" s="2567">
        <v>3600.256472403938</v>
      </c>
      <c r="I4" s="2567">
        <f>SUM(D4:H4)</f>
        <v>100236.59801640196</v>
      </c>
      <c r="J4" s="2568" t="s">
        <v>706</v>
      </c>
      <c r="K4" s="2568"/>
      <c r="L4" s="2569"/>
    </row>
    <row r="5" spans="1:14">
      <c r="A5" s="2570">
        <v>3</v>
      </c>
      <c r="B5" s="3309" t="s">
        <v>2260</v>
      </c>
      <c r="C5" s="3309"/>
      <c r="D5" s="3309"/>
      <c r="E5" s="3309"/>
      <c r="F5" s="3309"/>
      <c r="G5" s="3309"/>
      <c r="H5" s="3309"/>
      <c r="I5" s="3309"/>
      <c r="J5" s="2566"/>
      <c r="K5" s="2566"/>
    </row>
    <row r="6" spans="1:14" ht="26">
      <c r="A6" s="2804" t="s">
        <v>2261</v>
      </c>
      <c r="B6" s="2805" t="s">
        <v>2262</v>
      </c>
      <c r="C6" s="2804"/>
      <c r="D6" s="2571"/>
      <c r="E6" s="2571"/>
      <c r="F6" s="2571"/>
      <c r="G6" s="2571"/>
      <c r="H6" s="2571"/>
      <c r="I6" s="2572">
        <f>I8-I7</f>
        <v>59319.581656655027</v>
      </c>
      <c r="J6" s="2566"/>
      <c r="K6" s="2566"/>
    </row>
    <row r="7" spans="1:14">
      <c r="A7" s="2804" t="s">
        <v>2263</v>
      </c>
      <c r="B7" s="2805" t="s">
        <v>2264</v>
      </c>
      <c r="C7" s="2804"/>
      <c r="D7" s="2574"/>
      <c r="E7" s="2574"/>
      <c r="F7" s="2574"/>
      <c r="G7" s="2574"/>
      <c r="H7" s="2574"/>
      <c r="I7" s="2574">
        <v>4974.6675992685005</v>
      </c>
      <c r="J7" s="2566"/>
      <c r="K7" s="2566"/>
      <c r="N7" s="2779">
        <f>I7/I10*10</f>
        <v>0.41169666851767756</v>
      </c>
    </row>
    <row r="8" spans="1:14" ht="26">
      <c r="A8" s="2804" t="s">
        <v>2265</v>
      </c>
      <c r="B8" s="2573" t="s">
        <v>2266</v>
      </c>
      <c r="C8" s="2804" t="s">
        <v>67</v>
      </c>
      <c r="D8" s="2571"/>
      <c r="E8" s="2571"/>
      <c r="F8" s="2571"/>
      <c r="G8" s="2571"/>
      <c r="H8" s="2571"/>
      <c r="I8" s="2574">
        <f>F13_22_23!N215</f>
        <v>64294.249255923525</v>
      </c>
      <c r="J8" s="2566"/>
      <c r="K8" s="2566"/>
    </row>
    <row r="9" spans="1:14" ht="26">
      <c r="A9" s="2804">
        <v>4</v>
      </c>
      <c r="B9" s="2573" t="s">
        <v>2267</v>
      </c>
      <c r="C9" s="2804" t="s">
        <v>68</v>
      </c>
      <c r="D9" s="2571">
        <v>2289.8199986613313</v>
      </c>
      <c r="E9" s="2571">
        <v>4241.4838477352532</v>
      </c>
      <c r="F9" s="2571">
        <v>2374.0247384568006</v>
      </c>
      <c r="G9" s="2571">
        <v>2374.0247384568006</v>
      </c>
      <c r="H9" s="2571">
        <v>130.9667620948992</v>
      </c>
      <c r="I9" s="2567">
        <f>SUM(D9:H9)</f>
        <v>11410.320085405085</v>
      </c>
      <c r="J9" s="2566"/>
      <c r="K9" s="2566"/>
    </row>
    <row r="10" spans="1:14" s="442" customFormat="1" ht="26">
      <c r="A10" s="2804">
        <v>5</v>
      </c>
      <c r="B10" s="2805" t="s">
        <v>2268</v>
      </c>
      <c r="C10" s="2804" t="s">
        <v>69</v>
      </c>
      <c r="D10" s="2567">
        <v>27428.99602212468</v>
      </c>
      <c r="E10" s="2567">
        <v>36574.363045977319</v>
      </c>
      <c r="F10" s="2567">
        <v>27494.709943633785</v>
      </c>
      <c r="G10" s="2567">
        <v>25399.485657724239</v>
      </c>
      <c r="H10" s="2567">
        <v>3935.7670375116404</v>
      </c>
      <c r="I10" s="2567">
        <f>SUM(D10:H10)</f>
        <v>120833.32170697166</v>
      </c>
      <c r="J10" s="2575"/>
      <c r="K10" s="2575"/>
      <c r="M10" s="2567">
        <v>121361.51812799371</v>
      </c>
    </row>
    <row r="11" spans="1:14" ht="26">
      <c r="A11" s="2804">
        <v>6</v>
      </c>
      <c r="B11" s="2805" t="s">
        <v>2269</v>
      </c>
      <c r="C11" s="2804" t="s">
        <v>70</v>
      </c>
      <c r="D11" s="2571">
        <v>5118.5641046106302</v>
      </c>
      <c r="E11" s="2571">
        <v>9945.0931157228824</v>
      </c>
      <c r="F11" s="2571">
        <v>4975.2978530596392</v>
      </c>
      <c r="G11" s="2571">
        <v>4975.2978530596392</v>
      </c>
      <c r="H11" s="2571">
        <v>216.08804223037106</v>
      </c>
      <c r="I11" s="2567">
        <f>SUM(D11:H11)</f>
        <v>25230.340968683162</v>
      </c>
      <c r="J11" s="2566"/>
      <c r="K11" s="2566"/>
    </row>
    <row r="12" spans="1:14" s="442" customFormat="1" ht="26">
      <c r="A12" s="2804">
        <v>7</v>
      </c>
      <c r="B12" s="2805" t="s">
        <v>2270</v>
      </c>
      <c r="C12" s="2804" t="s">
        <v>138</v>
      </c>
      <c r="D12" s="2567">
        <v>3530.3626437965931</v>
      </c>
      <c r="E12" s="2567">
        <v>4377.7880758578021</v>
      </c>
      <c r="F12" s="2567">
        <v>4891.6479050112703</v>
      </c>
      <c r="G12" s="2567">
        <v>4111.3121064185043</v>
      </c>
      <c r="H12" s="2567">
        <v>587.49852231155319</v>
      </c>
      <c r="I12" s="2567">
        <f>SUM(D12:H12)</f>
        <v>17498.609253395723</v>
      </c>
      <c r="J12" s="2576">
        <f>I12+I8</f>
        <v>81792.858509319252</v>
      </c>
      <c r="K12" s="2567">
        <v>0</v>
      </c>
      <c r="L12" s="442" t="s">
        <v>2271</v>
      </c>
      <c r="M12" s="2567">
        <v>14993.764523990307</v>
      </c>
    </row>
    <row r="13" spans="1:14">
      <c r="A13" s="2804">
        <v>8</v>
      </c>
      <c r="B13" s="2805" t="s">
        <v>2272</v>
      </c>
      <c r="C13" s="2804" t="s">
        <v>2273</v>
      </c>
      <c r="D13" s="2567">
        <f t="shared" ref="D13:I13" si="0">D3/D4*10</f>
        <v>7.264781821082309</v>
      </c>
      <c r="E13" s="2567">
        <f t="shared" si="0"/>
        <v>8.443810832706399</v>
      </c>
      <c r="F13" s="2567">
        <f t="shared" si="0"/>
        <v>7.5615961853721645</v>
      </c>
      <c r="G13" s="2567">
        <f t="shared" si="0"/>
        <v>7.4174931766589243</v>
      </c>
      <c r="H13" s="2567">
        <f t="shared" si="0"/>
        <v>8.0154246443108761</v>
      </c>
      <c r="I13" s="2567">
        <f t="shared" si="0"/>
        <v>7.7557300223841334</v>
      </c>
      <c r="J13" s="2566"/>
      <c r="K13" s="2566"/>
    </row>
    <row r="14" spans="1:14">
      <c r="A14" s="2804">
        <v>9</v>
      </c>
      <c r="B14" s="2805" t="s">
        <v>2274</v>
      </c>
      <c r="C14" s="2804" t="s">
        <v>2275</v>
      </c>
      <c r="D14" s="2567">
        <f t="shared" ref="D14:I14" si="1">D12/D4*10</f>
        <v>1.6098704895678133</v>
      </c>
      <c r="E14" s="2567">
        <f t="shared" si="1"/>
        <v>1.4113681363979411</v>
      </c>
      <c r="F14" s="2567">
        <f t="shared" si="1"/>
        <v>2.1586200957378692</v>
      </c>
      <c r="G14" s="2567">
        <f t="shared" si="1"/>
        <v>1.9551776166825487</v>
      </c>
      <c r="H14" s="2567">
        <f t="shared" si="1"/>
        <v>1.6318240847971388</v>
      </c>
      <c r="I14" s="2567">
        <f t="shared" si="1"/>
        <v>1.7457305614594365</v>
      </c>
      <c r="J14" s="2566"/>
      <c r="K14" s="2566"/>
    </row>
    <row r="15" spans="1:14">
      <c r="A15" s="2804">
        <v>10</v>
      </c>
      <c r="B15" s="2805" t="s">
        <v>2276</v>
      </c>
      <c r="C15" s="2805"/>
      <c r="D15" s="2805"/>
      <c r="E15" s="2805"/>
      <c r="F15" s="2805"/>
      <c r="G15" s="2805"/>
      <c r="H15" s="2805"/>
      <c r="I15" s="2805"/>
      <c r="J15" s="2566"/>
      <c r="K15" s="2566"/>
    </row>
    <row r="16" spans="1:14">
      <c r="A16" s="2804" t="s">
        <v>57</v>
      </c>
      <c r="B16" s="2805" t="s">
        <v>2277</v>
      </c>
      <c r="C16" s="2804" t="s">
        <v>2278</v>
      </c>
      <c r="D16" s="2567">
        <f t="shared" ref="D16:I16" si="2">D9/D4*10</f>
        <v>1.0441742150043778</v>
      </c>
      <c r="E16" s="2567">
        <f t="shared" si="2"/>
        <v>1.3674246103306618</v>
      </c>
      <c r="F16" s="2567">
        <f t="shared" si="2"/>
        <v>1.0476259959270067</v>
      </c>
      <c r="G16" s="2567">
        <f t="shared" si="2"/>
        <v>1.1289923776000699</v>
      </c>
      <c r="H16" s="2567">
        <f t="shared" si="2"/>
        <v>0.36377064550473814</v>
      </c>
      <c r="I16" s="2567">
        <f t="shared" si="2"/>
        <v>1.1383387217050192</v>
      </c>
      <c r="J16" s="2566"/>
      <c r="K16" s="2566"/>
    </row>
    <row r="17" spans="1:11" ht="21" customHeight="1">
      <c r="A17" s="3310" t="s">
        <v>58</v>
      </c>
      <c r="B17" s="3311" t="s">
        <v>2279</v>
      </c>
      <c r="C17" s="3312" t="s">
        <v>2280</v>
      </c>
      <c r="D17" s="3313">
        <f>(I8-I9)/I4*10</f>
        <v>5.2759102181286046</v>
      </c>
      <c r="E17" s="3313"/>
      <c r="F17" s="3313"/>
      <c r="G17" s="3313"/>
      <c r="H17" s="3313"/>
      <c r="I17" s="3313"/>
      <c r="J17" s="2566"/>
      <c r="K17" s="2566"/>
    </row>
    <row r="18" spans="1:11" ht="18" customHeight="1">
      <c r="A18" s="3310"/>
      <c r="B18" s="3311"/>
      <c r="C18" s="3312"/>
      <c r="D18" s="3313"/>
      <c r="E18" s="3313"/>
      <c r="F18" s="3313"/>
      <c r="G18" s="3313"/>
      <c r="H18" s="3313"/>
      <c r="I18" s="3313"/>
      <c r="J18" s="2566"/>
      <c r="K18" s="2566"/>
    </row>
    <row r="19" spans="1:11" ht="26">
      <c r="A19" s="2804">
        <v>11</v>
      </c>
      <c r="B19" s="2805" t="s">
        <v>2281</v>
      </c>
      <c r="C19" s="2804" t="s">
        <v>2282</v>
      </c>
      <c r="D19" s="2567">
        <f t="shared" ref="D19:I19" si="3">D13-D14-D16</f>
        <v>4.6107371165101183</v>
      </c>
      <c r="E19" s="2567">
        <f t="shared" si="3"/>
        <v>5.6650180859777954</v>
      </c>
      <c r="F19" s="2567">
        <f t="shared" si="3"/>
        <v>4.3553500937072887</v>
      </c>
      <c r="G19" s="2567">
        <f t="shared" si="3"/>
        <v>4.3333231823763061</v>
      </c>
      <c r="H19" s="2567">
        <f t="shared" si="3"/>
        <v>6.0198299140089988</v>
      </c>
      <c r="I19" s="2567">
        <f t="shared" si="3"/>
        <v>4.8716607392196778</v>
      </c>
      <c r="J19" s="2566"/>
      <c r="K19" s="2566"/>
    </row>
    <row r="20" spans="1:11" ht="26">
      <c r="A20" s="2804">
        <v>12</v>
      </c>
      <c r="B20" s="2805" t="s">
        <v>2283</v>
      </c>
      <c r="C20" s="2804" t="s">
        <v>1032</v>
      </c>
      <c r="D20" s="2567">
        <f t="shared" ref="D20:I20" si="4">$D$17/$I$19*D19</f>
        <v>4.9933352029757643</v>
      </c>
      <c r="E20" s="2567">
        <f t="shared" si="4"/>
        <v>6.1351002061939477</v>
      </c>
      <c r="F20" s="2567">
        <f t="shared" si="4"/>
        <v>4.7167562137338512</v>
      </c>
      <c r="G20" s="2567">
        <f t="shared" si="4"/>
        <v>4.6929015135020862</v>
      </c>
      <c r="H20" s="2567">
        <f t="shared" si="4"/>
        <v>6.5193542520375738</v>
      </c>
      <c r="I20" s="2567">
        <f t="shared" si="4"/>
        <v>5.2759102181286046</v>
      </c>
      <c r="J20" s="2566"/>
      <c r="K20" s="2566"/>
    </row>
    <row r="21" spans="1:11" ht="26">
      <c r="A21" s="2804">
        <v>13</v>
      </c>
      <c r="B21" s="2805" t="s">
        <v>2284</v>
      </c>
      <c r="C21" s="2804" t="s">
        <v>2285</v>
      </c>
      <c r="D21" s="2567">
        <f t="shared" ref="D21:I21" si="5">D16+D20</f>
        <v>6.0375094179801421</v>
      </c>
      <c r="E21" s="2567">
        <f t="shared" si="5"/>
        <v>7.502524816524609</v>
      </c>
      <c r="F21" s="2567">
        <f t="shared" si="5"/>
        <v>5.7643822096608579</v>
      </c>
      <c r="G21" s="2567">
        <f t="shared" si="5"/>
        <v>5.8218938911021558</v>
      </c>
      <c r="H21" s="2567">
        <f t="shared" si="5"/>
        <v>6.883124897542312</v>
      </c>
      <c r="I21" s="2567">
        <f t="shared" si="5"/>
        <v>6.414248939833624</v>
      </c>
      <c r="J21" s="2566"/>
      <c r="K21" s="2566"/>
    </row>
    <row r="22" spans="1:11">
      <c r="A22" s="2804">
        <v>14</v>
      </c>
      <c r="B22" s="2805" t="s">
        <v>2286</v>
      </c>
      <c r="C22" s="2804" t="s">
        <v>2287</v>
      </c>
      <c r="D22" s="2567">
        <f t="shared" ref="D22:I22" si="6">D21*D4/10</f>
        <v>13239.945603654944</v>
      </c>
      <c r="E22" s="2567">
        <f t="shared" si="6"/>
        <v>23271.365445753581</v>
      </c>
      <c r="F22" s="2567">
        <f t="shared" si="6"/>
        <v>13062.663604052679</v>
      </c>
      <c r="G22" s="2567">
        <f t="shared" si="6"/>
        <v>12242.173106188193</v>
      </c>
      <c r="H22" s="2567">
        <f t="shared" si="6"/>
        <v>2478.1014962741401</v>
      </c>
      <c r="I22" s="2567">
        <f t="shared" si="6"/>
        <v>64294.24925592354</v>
      </c>
      <c r="J22" s="2566"/>
      <c r="K22" s="2566"/>
    </row>
    <row r="23" spans="1:11">
      <c r="A23" s="2566"/>
      <c r="B23" s="2577" t="s">
        <v>2288</v>
      </c>
      <c r="C23" s="2577"/>
      <c r="D23" s="2577"/>
      <c r="E23" s="2577"/>
      <c r="F23" s="2577"/>
      <c r="G23" s="2577"/>
      <c r="H23" s="2577"/>
      <c r="I23" s="2577"/>
      <c r="J23" s="2566"/>
      <c r="K23" s="2566"/>
    </row>
    <row r="24" spans="1:11">
      <c r="A24" s="2804">
        <v>15</v>
      </c>
      <c r="B24" s="2805" t="s">
        <v>2289</v>
      </c>
      <c r="C24" s="2804" t="s">
        <v>2019</v>
      </c>
      <c r="D24" s="2567">
        <f t="shared" ref="D24:I24" si="7">D9/D11*10</f>
        <v>4.473559287064</v>
      </c>
      <c r="E24" s="2567">
        <f t="shared" si="7"/>
        <v>4.2649010907998433</v>
      </c>
      <c r="F24" s="2567">
        <f t="shared" si="7"/>
        <v>4.7716233451166268</v>
      </c>
      <c r="G24" s="2567">
        <f t="shared" si="7"/>
        <v>4.7716233451166268</v>
      </c>
      <c r="H24" s="2567">
        <f t="shared" si="7"/>
        <v>6.0608056208531789</v>
      </c>
      <c r="I24" s="2567">
        <f t="shared" si="7"/>
        <v>4.5224597240156204</v>
      </c>
      <c r="J24" s="2566"/>
      <c r="K24" s="2566"/>
    </row>
    <row r="25" spans="1:11">
      <c r="A25" s="2804">
        <v>16</v>
      </c>
      <c r="B25" s="2805" t="s">
        <v>2290</v>
      </c>
      <c r="C25" s="2804" t="s">
        <v>2291</v>
      </c>
      <c r="D25" s="2567">
        <f t="shared" ref="D25:I25" si="8">D20*D4/(D10-D11)</f>
        <v>4.9080742342767412</v>
      </c>
      <c r="E25" s="2567">
        <f t="shared" si="8"/>
        <v>7.1462273084692525</v>
      </c>
      <c r="F25" s="2567">
        <f t="shared" si="8"/>
        <v>4.7464111507910012</v>
      </c>
      <c r="G25" s="2567">
        <f t="shared" si="8"/>
        <v>4.8315989169849116</v>
      </c>
      <c r="H25" s="2567">
        <f t="shared" si="8"/>
        <v>6.3100464775502996</v>
      </c>
      <c r="I25" s="2567">
        <f t="shared" si="8"/>
        <v>5.5316192823827626</v>
      </c>
      <c r="J25" s="2566"/>
      <c r="K25" s="2566"/>
    </row>
    <row r="26" spans="1:11">
      <c r="A26" s="2804">
        <v>17</v>
      </c>
      <c r="B26" s="2805" t="s">
        <v>2292</v>
      </c>
      <c r="C26" s="2804" t="s">
        <v>2293</v>
      </c>
      <c r="D26" s="2567">
        <f t="shared" ref="D26:I26" si="9">D22/D10*10</f>
        <v>4.8269887796751236</v>
      </c>
      <c r="E26" s="2567">
        <f t="shared" si="9"/>
        <v>6.362753444673622</v>
      </c>
      <c r="F26" s="2567">
        <f t="shared" si="9"/>
        <v>4.750973416643463</v>
      </c>
      <c r="G26" s="2567">
        <f t="shared" si="9"/>
        <v>4.8198507919254752</v>
      </c>
      <c r="H26" s="2567">
        <f t="shared" si="9"/>
        <v>6.2963622405885626</v>
      </c>
      <c r="I26" s="2567">
        <f t="shared" si="9"/>
        <v>5.3209038986647332</v>
      </c>
      <c r="J26" s="2566"/>
      <c r="K26" s="2566"/>
    </row>
  </sheetData>
  <mergeCells count="5">
    <mergeCell ref="B5:I5"/>
    <mergeCell ref="A17:A18"/>
    <mergeCell ref="B17:B18"/>
    <mergeCell ref="C17:C18"/>
    <mergeCell ref="D17:I18"/>
  </mergeCells>
  <pageMargins left="0.7" right="0.7" top="0.75" bottom="0.75" header="0.3" footer="0.3"/>
  <pageSetup scale="7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view="pageBreakPreview" topLeftCell="A2" zoomScale="85" zoomScaleNormal="85" zoomScaleSheetLayoutView="85" workbookViewId="0">
      <selection activeCell="C105" sqref="C105"/>
    </sheetView>
  </sheetViews>
  <sheetFormatPr defaultColWidth="9.1796875" defaultRowHeight="14.5"/>
  <cols>
    <col min="2" max="2" width="47.26953125" bestFit="1" customWidth="1"/>
    <col min="3" max="3" width="12.7265625" customWidth="1"/>
    <col min="4" max="5" width="10.453125" bestFit="1" customWidth="1"/>
    <col min="6" max="6" width="10.54296875" customWidth="1"/>
    <col min="7" max="7" width="8.26953125" bestFit="1" customWidth="1"/>
    <col min="8" max="8" width="9.7265625" style="331" customWidth="1"/>
    <col min="9" max="9" width="9.54296875" bestFit="1" customWidth="1"/>
    <col min="10" max="14" width="10.453125" bestFit="1" customWidth="1"/>
  </cols>
  <sheetData>
    <row r="1" spans="1:14" s="220" customFormat="1">
      <c r="A1" s="3314" t="s">
        <v>537</v>
      </c>
      <c r="B1" s="3314"/>
      <c r="H1" s="331"/>
      <c r="K1"/>
      <c r="L1"/>
      <c r="M1"/>
      <c r="N1"/>
    </row>
    <row r="2" spans="1:14">
      <c r="A2" s="3091" t="s">
        <v>1604</v>
      </c>
      <c r="B2" s="3078"/>
      <c r="C2" s="3078"/>
      <c r="D2" s="3078"/>
      <c r="E2" s="3078"/>
      <c r="F2" s="3078"/>
      <c r="G2" s="3078"/>
    </row>
    <row r="3" spans="1:14">
      <c r="A3" s="573" t="s">
        <v>793</v>
      </c>
      <c r="B3" s="573"/>
      <c r="C3" s="199"/>
      <c r="D3" s="199"/>
      <c r="E3" s="199"/>
      <c r="F3" s="199"/>
      <c r="G3" s="199"/>
      <c r="H3" s="199"/>
      <c r="I3" s="199"/>
      <c r="J3" s="199"/>
    </row>
    <row r="4" spans="1:14">
      <c r="A4" s="15"/>
      <c r="B4" s="15"/>
      <c r="C4" s="3087"/>
      <c r="D4" s="3315"/>
      <c r="E4" s="3315"/>
      <c r="F4" s="3315"/>
      <c r="G4" s="3315"/>
      <c r="H4" s="332"/>
    </row>
    <row r="5" spans="1:14">
      <c r="A5" s="3316" t="s">
        <v>117</v>
      </c>
      <c r="B5" s="3317" t="s">
        <v>14</v>
      </c>
      <c r="C5" s="3317" t="s">
        <v>726</v>
      </c>
      <c r="D5" s="2994" t="s">
        <v>803</v>
      </c>
      <c r="E5" s="2994"/>
      <c r="F5" s="3074" t="s">
        <v>542</v>
      </c>
      <c r="G5" s="3074"/>
      <c r="H5" s="3057" t="s">
        <v>550</v>
      </c>
      <c r="I5" s="3059"/>
      <c r="J5" s="1327" t="s">
        <v>952</v>
      </c>
    </row>
    <row r="6" spans="1:14" ht="15" customHeight="1">
      <c r="A6" s="3316"/>
      <c r="B6" s="3317"/>
      <c r="C6" s="3317"/>
      <c r="D6" s="193" t="s">
        <v>553</v>
      </c>
      <c r="E6" s="193" t="s">
        <v>551</v>
      </c>
      <c r="F6" s="3018" t="s">
        <v>545</v>
      </c>
      <c r="G6" s="3022"/>
      <c r="H6" s="3018" t="s">
        <v>546</v>
      </c>
      <c r="I6" s="3022"/>
      <c r="J6" s="193" t="s">
        <v>547</v>
      </c>
    </row>
    <row r="7" spans="1:14" ht="29">
      <c r="A7" s="3316"/>
      <c r="B7" s="3317"/>
      <c r="C7" s="3317"/>
      <c r="D7" s="193" t="s">
        <v>554</v>
      </c>
      <c r="E7" s="193" t="s">
        <v>554</v>
      </c>
      <c r="F7" s="196" t="s">
        <v>543</v>
      </c>
      <c r="G7" s="599" t="s">
        <v>544</v>
      </c>
      <c r="H7" s="200" t="s">
        <v>543</v>
      </c>
      <c r="I7" s="200" t="s">
        <v>552</v>
      </c>
      <c r="J7" s="599" t="s">
        <v>283</v>
      </c>
    </row>
    <row r="8" spans="1:14">
      <c r="A8" s="31"/>
      <c r="B8" s="10"/>
      <c r="C8" s="8"/>
      <c r="D8" s="6"/>
      <c r="E8" s="6"/>
      <c r="F8" s="6"/>
      <c r="G8" s="6"/>
      <c r="H8" s="236"/>
      <c r="I8" s="1"/>
      <c r="J8" s="1"/>
    </row>
    <row r="9" spans="1:14">
      <c r="A9" s="8">
        <v>1</v>
      </c>
      <c r="B9" s="1443" t="s">
        <v>307</v>
      </c>
      <c r="C9" s="1044" t="s">
        <v>62</v>
      </c>
      <c r="D9" s="1046">
        <v>0.16</v>
      </c>
      <c r="E9" s="1046">
        <v>0.16</v>
      </c>
      <c r="F9" s="1032">
        <f>'F32'!H12</f>
        <v>0.15</v>
      </c>
      <c r="G9" s="1032">
        <f>'F32'!J12</f>
        <v>0.15</v>
      </c>
      <c r="H9" s="1032">
        <f>'F32'!K12</f>
        <v>0.15</v>
      </c>
      <c r="I9" s="1032">
        <f>'F32'!L12</f>
        <v>0.15</v>
      </c>
      <c r="J9" s="1032">
        <f>'F32'!M12</f>
        <v>0.15</v>
      </c>
    </row>
    <row r="10" spans="1:14">
      <c r="A10" s="8">
        <f>A9+1</f>
        <v>2</v>
      </c>
      <c r="B10" s="1443" t="s">
        <v>63</v>
      </c>
      <c r="C10" s="1044" t="s">
        <v>62</v>
      </c>
      <c r="D10" s="1047">
        <v>0.34943999999999997</v>
      </c>
      <c r="E10" s="1047">
        <v>0.34943999999999997</v>
      </c>
      <c r="F10" s="1047"/>
      <c r="G10" s="1047"/>
      <c r="H10" s="1047"/>
      <c r="I10" s="1047"/>
      <c r="J10" s="1047"/>
    </row>
    <row r="11" spans="1:14">
      <c r="A11" s="8">
        <f>A10+1</f>
        <v>3</v>
      </c>
      <c r="B11" s="1443" t="s">
        <v>308</v>
      </c>
      <c r="C11" s="1044" t="s">
        <v>62</v>
      </c>
      <c r="D11" s="1048"/>
      <c r="E11" s="1033"/>
      <c r="F11" s="1033"/>
      <c r="G11" s="1033"/>
      <c r="H11" s="1033"/>
      <c r="I11" s="1033"/>
      <c r="J11" s="1034"/>
    </row>
    <row r="12" spans="1:14">
      <c r="A12" s="8" t="s">
        <v>422</v>
      </c>
      <c r="B12" s="1444" t="s">
        <v>316</v>
      </c>
      <c r="C12" s="1044" t="s">
        <v>62</v>
      </c>
      <c r="D12" s="1048"/>
      <c r="E12" s="1033"/>
      <c r="F12" s="1033"/>
      <c r="G12" s="1033"/>
      <c r="H12" s="1033"/>
      <c r="I12" s="1033"/>
      <c r="J12" s="1034"/>
    </row>
    <row r="13" spans="1:14">
      <c r="A13" s="8" t="s">
        <v>423</v>
      </c>
      <c r="B13" s="1445" t="s">
        <v>317</v>
      </c>
      <c r="C13" s="1044" t="s">
        <v>62</v>
      </c>
      <c r="D13" s="1048"/>
      <c r="E13" s="1033"/>
      <c r="F13" s="1033"/>
      <c r="G13" s="1033"/>
      <c r="H13" s="1033"/>
      <c r="I13" s="1033"/>
      <c r="J13" s="1034"/>
    </row>
    <row r="14" spans="1:14">
      <c r="A14" s="8">
        <v>4</v>
      </c>
      <c r="B14" s="524" t="s">
        <v>319</v>
      </c>
      <c r="C14" s="1044" t="s">
        <v>141</v>
      </c>
      <c r="D14" s="1504">
        <v>0.24</v>
      </c>
      <c r="E14" s="1504">
        <v>0.26100000000000001</v>
      </c>
      <c r="F14" s="1035"/>
      <c r="G14" s="1035"/>
      <c r="H14" s="1035"/>
      <c r="I14" s="1035"/>
      <c r="J14" s="1034"/>
    </row>
    <row r="15" spans="1:14">
      <c r="A15" s="8">
        <v>5</v>
      </c>
      <c r="B15" s="1443" t="s">
        <v>320</v>
      </c>
      <c r="C15" s="1044" t="s">
        <v>141</v>
      </c>
      <c r="D15" s="1505">
        <v>4.4999999999999997E-3</v>
      </c>
      <c r="E15" s="1505">
        <v>5.0000000000000001E-3</v>
      </c>
      <c r="F15" s="1036"/>
      <c r="G15" s="1036"/>
      <c r="H15" s="1037"/>
      <c r="I15" s="1037"/>
      <c r="J15" s="1034"/>
    </row>
    <row r="16" spans="1:14">
      <c r="A16" s="8">
        <v>6</v>
      </c>
      <c r="B16" s="1443" t="s">
        <v>318</v>
      </c>
      <c r="C16" s="1044" t="s">
        <v>141</v>
      </c>
      <c r="D16" s="1506">
        <v>5.62E-2</v>
      </c>
      <c r="E16" s="1506">
        <v>5.8999999999999997E-2</v>
      </c>
      <c r="F16" s="1038"/>
      <c r="G16" s="1038"/>
      <c r="H16" s="1038"/>
      <c r="I16" s="1038"/>
      <c r="J16" s="1034"/>
    </row>
    <row r="17" spans="1:10">
      <c r="A17" s="8">
        <v>7</v>
      </c>
      <c r="B17" s="1443" t="s">
        <v>309</v>
      </c>
      <c r="C17" s="1044" t="s">
        <v>310</v>
      </c>
      <c r="D17" s="1049">
        <v>5.2400000000000002E-2</v>
      </c>
      <c r="E17" s="1049">
        <v>5.4800000000000001E-2</v>
      </c>
      <c r="F17" s="1039"/>
      <c r="G17" s="1039"/>
      <c r="H17" s="1039"/>
      <c r="I17" s="1039"/>
      <c r="J17" s="1034"/>
    </row>
    <row r="18" spans="1:10" ht="50">
      <c r="A18" s="8">
        <v>8</v>
      </c>
      <c r="B18" s="1443" t="s">
        <v>311</v>
      </c>
      <c r="C18" s="1044" t="s">
        <v>312</v>
      </c>
      <c r="D18" s="1472" t="s">
        <v>1477</v>
      </c>
      <c r="E18" s="1472" t="s">
        <v>1477</v>
      </c>
      <c r="F18" s="1472" t="s">
        <v>1477</v>
      </c>
      <c r="G18" s="1473"/>
      <c r="H18" s="1472" t="s">
        <v>1477</v>
      </c>
      <c r="I18" s="1473"/>
      <c r="J18" s="1473"/>
    </row>
    <row r="19" spans="1:10">
      <c r="A19" s="8">
        <v>9</v>
      </c>
      <c r="B19" s="1443" t="s">
        <v>313</v>
      </c>
      <c r="C19" s="1044" t="s">
        <v>314</v>
      </c>
      <c r="D19" s="1050">
        <v>2</v>
      </c>
      <c r="E19" s="1050">
        <v>2</v>
      </c>
      <c r="F19" s="1040">
        <v>1.5</v>
      </c>
      <c r="G19" s="1040">
        <v>1.5</v>
      </c>
      <c r="H19" s="1040">
        <v>1.5</v>
      </c>
      <c r="I19" s="1040">
        <v>1.5</v>
      </c>
      <c r="J19" s="1040">
        <v>1.5</v>
      </c>
    </row>
    <row r="20" spans="1:10">
      <c r="A20" s="8">
        <v>10</v>
      </c>
      <c r="B20" s="1443" t="s">
        <v>315</v>
      </c>
      <c r="C20" s="1044" t="s">
        <v>62</v>
      </c>
      <c r="D20" s="1051"/>
      <c r="E20" s="1043"/>
      <c r="F20" s="1043"/>
      <c r="G20" s="1052" t="s">
        <v>1478</v>
      </c>
      <c r="H20" s="1044"/>
      <c r="I20" s="1045">
        <v>4.2500000000000003E-2</v>
      </c>
      <c r="J20" s="1052" t="s">
        <v>1478</v>
      </c>
    </row>
    <row r="21" spans="1:10">
      <c r="A21" s="66"/>
      <c r="B21" s="67"/>
      <c r="C21" s="66"/>
      <c r="D21" s="66"/>
      <c r="E21" s="66"/>
      <c r="F21" s="66"/>
      <c r="G21" s="66"/>
      <c r="H21" s="66"/>
    </row>
    <row r="22" spans="1:10">
      <c r="A22" s="61"/>
      <c r="B22" s="67"/>
      <c r="C22" s="66"/>
      <c r="D22" s="66"/>
      <c r="E22" s="66"/>
      <c r="F22" s="66"/>
      <c r="G22" s="66"/>
      <c r="H22" s="66"/>
    </row>
    <row r="23" spans="1:10" ht="15" customHeight="1">
      <c r="A23" s="64"/>
      <c r="B23" s="67"/>
      <c r="C23" s="68"/>
      <c r="D23" s="68"/>
      <c r="E23" s="68"/>
      <c r="F23" s="2"/>
      <c r="G23" s="2"/>
      <c r="H23" s="2"/>
    </row>
    <row r="24" spans="1:10" ht="15" customHeight="1">
      <c r="A24" s="64"/>
      <c r="B24" s="67"/>
      <c r="C24" s="68"/>
      <c r="D24" s="68"/>
      <c r="E24" s="68"/>
      <c r="F24" s="11"/>
      <c r="G24" s="69"/>
      <c r="H24" s="337"/>
    </row>
    <row r="25" spans="1:10" ht="15" customHeight="1">
      <c r="A25" s="64"/>
      <c r="B25" s="67"/>
      <c r="C25" s="68"/>
      <c r="D25" s="68"/>
      <c r="E25" s="68"/>
      <c r="F25" s="11"/>
      <c r="G25" s="69"/>
      <c r="H25" s="337"/>
    </row>
    <row r="26" spans="1:10">
      <c r="A26" s="11"/>
      <c r="B26" s="11"/>
      <c r="C26" s="11"/>
      <c r="D26" s="11"/>
      <c r="E26" s="11"/>
      <c r="F26" s="11"/>
      <c r="G26" s="11"/>
      <c r="H26" s="336"/>
    </row>
    <row r="27" spans="1:10">
      <c r="A27" s="11"/>
      <c r="B27" s="11"/>
      <c r="C27" s="11"/>
      <c r="D27" s="11"/>
      <c r="E27" s="11"/>
      <c r="F27" s="11"/>
      <c r="G27" s="11"/>
      <c r="H27" s="336"/>
    </row>
    <row r="28" spans="1:10">
      <c r="A28" s="11"/>
      <c r="B28" s="11"/>
      <c r="C28" s="11"/>
      <c r="D28" s="11"/>
      <c r="E28" s="11"/>
      <c r="F28" s="11"/>
      <c r="G28" s="11"/>
      <c r="H28" s="336"/>
    </row>
    <row r="29" spans="1:10">
      <c r="A29" s="11"/>
      <c r="B29" s="11"/>
      <c r="C29" s="11"/>
      <c r="D29" s="11"/>
      <c r="E29" s="11"/>
      <c r="F29" s="11"/>
      <c r="G29" s="11"/>
      <c r="H29" s="336"/>
    </row>
    <row r="30" spans="1:10">
      <c r="A30" s="11"/>
      <c r="B30" s="11"/>
      <c r="C30" s="11"/>
      <c r="D30" s="11"/>
      <c r="E30" s="11"/>
      <c r="F30" s="11"/>
      <c r="G30" s="11"/>
      <c r="H30" s="336"/>
    </row>
  </sheetData>
  <mergeCells count="11">
    <mergeCell ref="H6:I6"/>
    <mergeCell ref="H5:I5"/>
    <mergeCell ref="A1:B1"/>
    <mergeCell ref="A2:G2"/>
    <mergeCell ref="C4:G4"/>
    <mergeCell ref="A5:A7"/>
    <mergeCell ref="B5:B7"/>
    <mergeCell ref="C5:C7"/>
    <mergeCell ref="F5:G5"/>
    <mergeCell ref="D5:E5"/>
    <mergeCell ref="F6:G6"/>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view="pageBreakPreview" topLeftCell="A2" zoomScale="110" zoomScaleNormal="85" zoomScaleSheetLayoutView="110" workbookViewId="0">
      <selection activeCell="C105" sqref="C105"/>
    </sheetView>
  </sheetViews>
  <sheetFormatPr defaultRowHeight="14.5"/>
  <cols>
    <col min="1" max="1" width="4.54296875" customWidth="1"/>
    <col min="2" max="2" width="35.54296875" style="72" customWidth="1"/>
    <col min="3" max="3" width="17" customWidth="1"/>
    <col min="4" max="5" width="10.1796875" bestFit="1" customWidth="1"/>
    <col min="6" max="6" width="16.54296875" bestFit="1" customWidth="1"/>
    <col min="7" max="8" width="11.1796875" bestFit="1" customWidth="1"/>
    <col min="9" max="9" width="17.453125" bestFit="1" customWidth="1"/>
    <col min="10" max="10" width="11.1796875" bestFit="1" customWidth="1"/>
    <col min="246" max="246" width="3.453125" bestFit="1" customWidth="1"/>
    <col min="247" max="247" width="57.1796875" bestFit="1" customWidth="1"/>
    <col min="249" max="251" width="12.453125" bestFit="1" customWidth="1"/>
    <col min="502" max="502" width="3.453125" bestFit="1" customWidth="1"/>
    <col min="503" max="503" width="57.1796875" bestFit="1" customWidth="1"/>
    <col min="505" max="507" width="12.453125" bestFit="1" customWidth="1"/>
    <col min="758" max="758" width="3.453125" bestFit="1" customWidth="1"/>
    <col min="759" max="759" width="57.1796875" bestFit="1" customWidth="1"/>
    <col min="761" max="763" width="12.453125" bestFit="1" customWidth="1"/>
    <col min="1014" max="1014" width="3.453125" bestFit="1" customWidth="1"/>
    <col min="1015" max="1015" width="57.1796875" bestFit="1" customWidth="1"/>
    <col min="1017" max="1019" width="12.453125" bestFit="1" customWidth="1"/>
    <col min="1270" max="1270" width="3.453125" bestFit="1" customWidth="1"/>
    <col min="1271" max="1271" width="57.1796875" bestFit="1" customWidth="1"/>
    <col min="1273" max="1275" width="12.453125" bestFit="1" customWidth="1"/>
    <col min="1526" max="1526" width="3.453125" bestFit="1" customWidth="1"/>
    <col min="1527" max="1527" width="57.1796875" bestFit="1" customWidth="1"/>
    <col min="1529" max="1531" width="12.453125" bestFit="1" customWidth="1"/>
    <col min="1782" max="1782" width="3.453125" bestFit="1" customWidth="1"/>
    <col min="1783" max="1783" width="57.1796875" bestFit="1" customWidth="1"/>
    <col min="1785" max="1787" width="12.453125" bestFit="1" customWidth="1"/>
    <col min="2038" max="2038" width="3.453125" bestFit="1" customWidth="1"/>
    <col min="2039" max="2039" width="57.1796875" bestFit="1" customWidth="1"/>
    <col min="2041" max="2043" width="12.453125" bestFit="1" customWidth="1"/>
    <col min="2294" max="2294" width="3.453125" bestFit="1" customWidth="1"/>
    <col min="2295" max="2295" width="57.1796875" bestFit="1" customWidth="1"/>
    <col min="2297" max="2299" width="12.453125" bestFit="1" customWidth="1"/>
    <col min="2550" max="2550" width="3.453125" bestFit="1" customWidth="1"/>
    <col min="2551" max="2551" width="57.1796875" bestFit="1" customWidth="1"/>
    <col min="2553" max="2555" width="12.453125" bestFit="1" customWidth="1"/>
    <col min="2806" max="2806" width="3.453125" bestFit="1" customWidth="1"/>
    <col min="2807" max="2807" width="57.1796875" bestFit="1" customWidth="1"/>
    <col min="2809" max="2811" width="12.453125" bestFit="1" customWidth="1"/>
    <col min="3062" max="3062" width="3.453125" bestFit="1" customWidth="1"/>
    <col min="3063" max="3063" width="57.1796875" bestFit="1" customWidth="1"/>
    <col min="3065" max="3067" width="12.453125" bestFit="1" customWidth="1"/>
    <col min="3318" max="3318" width="3.453125" bestFit="1" customWidth="1"/>
    <col min="3319" max="3319" width="57.1796875" bestFit="1" customWidth="1"/>
    <col min="3321" max="3323" width="12.453125" bestFit="1" customWidth="1"/>
    <col min="3574" max="3574" width="3.453125" bestFit="1" customWidth="1"/>
    <col min="3575" max="3575" width="57.1796875" bestFit="1" customWidth="1"/>
    <col min="3577" max="3579" width="12.453125" bestFit="1" customWidth="1"/>
    <col min="3830" max="3830" width="3.453125" bestFit="1" customWidth="1"/>
    <col min="3831" max="3831" width="57.1796875" bestFit="1" customWidth="1"/>
    <col min="3833" max="3835" width="12.453125" bestFit="1" customWidth="1"/>
    <col min="4086" max="4086" width="3.453125" bestFit="1" customWidth="1"/>
    <col min="4087" max="4087" width="57.1796875" bestFit="1" customWidth="1"/>
    <col min="4089" max="4091" width="12.453125" bestFit="1" customWidth="1"/>
    <col min="4342" max="4342" width="3.453125" bestFit="1" customWidth="1"/>
    <col min="4343" max="4343" width="57.1796875" bestFit="1" customWidth="1"/>
    <col min="4345" max="4347" width="12.453125" bestFit="1" customWidth="1"/>
    <col min="4598" max="4598" width="3.453125" bestFit="1" customWidth="1"/>
    <col min="4599" max="4599" width="57.1796875" bestFit="1" customWidth="1"/>
    <col min="4601" max="4603" width="12.453125" bestFit="1" customWidth="1"/>
    <col min="4854" max="4854" width="3.453125" bestFit="1" customWidth="1"/>
    <col min="4855" max="4855" width="57.1796875" bestFit="1" customWidth="1"/>
    <col min="4857" max="4859" width="12.453125" bestFit="1" customWidth="1"/>
    <col min="5110" max="5110" width="3.453125" bestFit="1" customWidth="1"/>
    <col min="5111" max="5111" width="57.1796875" bestFit="1" customWidth="1"/>
    <col min="5113" max="5115" width="12.453125" bestFit="1" customWidth="1"/>
    <col min="5366" max="5366" width="3.453125" bestFit="1" customWidth="1"/>
    <col min="5367" max="5367" width="57.1796875" bestFit="1" customWidth="1"/>
    <col min="5369" max="5371" width="12.453125" bestFit="1" customWidth="1"/>
    <col min="5622" max="5622" width="3.453125" bestFit="1" customWidth="1"/>
    <col min="5623" max="5623" width="57.1796875" bestFit="1" customWidth="1"/>
    <col min="5625" max="5627" width="12.453125" bestFit="1" customWidth="1"/>
    <col min="5878" max="5878" width="3.453125" bestFit="1" customWidth="1"/>
    <col min="5879" max="5879" width="57.1796875" bestFit="1" customWidth="1"/>
    <col min="5881" max="5883" width="12.453125" bestFit="1" customWidth="1"/>
    <col min="6134" max="6134" width="3.453125" bestFit="1" customWidth="1"/>
    <col min="6135" max="6135" width="57.1796875" bestFit="1" customWidth="1"/>
    <col min="6137" max="6139" width="12.453125" bestFit="1" customWidth="1"/>
    <col min="6390" max="6390" width="3.453125" bestFit="1" customWidth="1"/>
    <col min="6391" max="6391" width="57.1796875" bestFit="1" customWidth="1"/>
    <col min="6393" max="6395" width="12.453125" bestFit="1" customWidth="1"/>
    <col min="6646" max="6646" width="3.453125" bestFit="1" customWidth="1"/>
    <col min="6647" max="6647" width="57.1796875" bestFit="1" customWidth="1"/>
    <col min="6649" max="6651" width="12.453125" bestFit="1" customWidth="1"/>
    <col min="6902" max="6902" width="3.453125" bestFit="1" customWidth="1"/>
    <col min="6903" max="6903" width="57.1796875" bestFit="1" customWidth="1"/>
    <col min="6905" max="6907" width="12.453125" bestFit="1" customWidth="1"/>
    <col min="7158" max="7158" width="3.453125" bestFit="1" customWidth="1"/>
    <col min="7159" max="7159" width="57.1796875" bestFit="1" customWidth="1"/>
    <col min="7161" max="7163" width="12.453125" bestFit="1" customWidth="1"/>
    <col min="7414" max="7414" width="3.453125" bestFit="1" customWidth="1"/>
    <col min="7415" max="7415" width="57.1796875" bestFit="1" customWidth="1"/>
    <col min="7417" max="7419" width="12.453125" bestFit="1" customWidth="1"/>
    <col min="7670" max="7670" width="3.453125" bestFit="1" customWidth="1"/>
    <col min="7671" max="7671" width="57.1796875" bestFit="1" customWidth="1"/>
    <col min="7673" max="7675" width="12.453125" bestFit="1" customWidth="1"/>
    <col min="7926" max="7926" width="3.453125" bestFit="1" customWidth="1"/>
    <col min="7927" max="7927" width="57.1796875" bestFit="1" customWidth="1"/>
    <col min="7929" max="7931" width="12.453125" bestFit="1" customWidth="1"/>
    <col min="8182" max="8182" width="3.453125" bestFit="1" customWidth="1"/>
    <col min="8183" max="8183" width="57.1796875" bestFit="1" customWidth="1"/>
    <col min="8185" max="8187" width="12.453125" bestFit="1" customWidth="1"/>
    <col min="8438" max="8438" width="3.453125" bestFit="1" customWidth="1"/>
    <col min="8439" max="8439" width="57.1796875" bestFit="1" customWidth="1"/>
    <col min="8441" max="8443" width="12.453125" bestFit="1" customWidth="1"/>
    <col min="8694" max="8694" width="3.453125" bestFit="1" customWidth="1"/>
    <col min="8695" max="8695" width="57.1796875" bestFit="1" customWidth="1"/>
    <col min="8697" max="8699" width="12.453125" bestFit="1" customWidth="1"/>
    <col min="8950" max="8950" width="3.453125" bestFit="1" customWidth="1"/>
    <col min="8951" max="8951" width="57.1796875" bestFit="1" customWidth="1"/>
    <col min="8953" max="8955" width="12.453125" bestFit="1" customWidth="1"/>
    <col min="9206" max="9206" width="3.453125" bestFit="1" customWidth="1"/>
    <col min="9207" max="9207" width="57.1796875" bestFit="1" customWidth="1"/>
    <col min="9209" max="9211" width="12.453125" bestFit="1" customWidth="1"/>
    <col min="9462" max="9462" width="3.453125" bestFit="1" customWidth="1"/>
    <col min="9463" max="9463" width="57.1796875" bestFit="1" customWidth="1"/>
    <col min="9465" max="9467" width="12.453125" bestFit="1" customWidth="1"/>
    <col min="9718" max="9718" width="3.453125" bestFit="1" customWidth="1"/>
    <col min="9719" max="9719" width="57.1796875" bestFit="1" customWidth="1"/>
    <col min="9721" max="9723" width="12.453125" bestFit="1" customWidth="1"/>
    <col min="9974" max="9974" width="3.453125" bestFit="1" customWidth="1"/>
    <col min="9975" max="9975" width="57.1796875" bestFit="1" customWidth="1"/>
    <col min="9977" max="9979" width="12.453125" bestFit="1" customWidth="1"/>
    <col min="10230" max="10230" width="3.453125" bestFit="1" customWidth="1"/>
    <col min="10231" max="10231" width="57.1796875" bestFit="1" customWidth="1"/>
    <col min="10233" max="10235" width="12.453125" bestFit="1" customWidth="1"/>
    <col min="10486" max="10486" width="3.453125" bestFit="1" customWidth="1"/>
    <col min="10487" max="10487" width="57.1796875" bestFit="1" customWidth="1"/>
    <col min="10489" max="10491" width="12.453125" bestFit="1" customWidth="1"/>
    <col min="10742" max="10742" width="3.453125" bestFit="1" customWidth="1"/>
    <col min="10743" max="10743" width="57.1796875" bestFit="1" customWidth="1"/>
    <col min="10745" max="10747" width="12.453125" bestFit="1" customWidth="1"/>
    <col min="10998" max="10998" width="3.453125" bestFit="1" customWidth="1"/>
    <col min="10999" max="10999" width="57.1796875" bestFit="1" customWidth="1"/>
    <col min="11001" max="11003" width="12.453125" bestFit="1" customWidth="1"/>
    <col min="11254" max="11254" width="3.453125" bestFit="1" customWidth="1"/>
    <col min="11255" max="11255" width="57.1796875" bestFit="1" customWidth="1"/>
    <col min="11257" max="11259" width="12.453125" bestFit="1" customWidth="1"/>
    <col min="11510" max="11510" width="3.453125" bestFit="1" customWidth="1"/>
    <col min="11511" max="11511" width="57.1796875" bestFit="1" customWidth="1"/>
    <col min="11513" max="11515" width="12.453125" bestFit="1" customWidth="1"/>
    <col min="11766" max="11766" width="3.453125" bestFit="1" customWidth="1"/>
    <col min="11767" max="11767" width="57.1796875" bestFit="1" customWidth="1"/>
    <col min="11769" max="11771" width="12.453125" bestFit="1" customWidth="1"/>
    <col min="12022" max="12022" width="3.453125" bestFit="1" customWidth="1"/>
    <col min="12023" max="12023" width="57.1796875" bestFit="1" customWidth="1"/>
    <col min="12025" max="12027" width="12.453125" bestFit="1" customWidth="1"/>
    <col min="12278" max="12278" width="3.453125" bestFit="1" customWidth="1"/>
    <col min="12279" max="12279" width="57.1796875" bestFit="1" customWidth="1"/>
    <col min="12281" max="12283" width="12.453125" bestFit="1" customWidth="1"/>
    <col min="12534" max="12534" width="3.453125" bestFit="1" customWidth="1"/>
    <col min="12535" max="12535" width="57.1796875" bestFit="1" customWidth="1"/>
    <col min="12537" max="12539" width="12.453125" bestFit="1" customWidth="1"/>
    <col min="12790" max="12790" width="3.453125" bestFit="1" customWidth="1"/>
    <col min="12791" max="12791" width="57.1796875" bestFit="1" customWidth="1"/>
    <col min="12793" max="12795" width="12.453125" bestFit="1" customWidth="1"/>
    <col min="13046" max="13046" width="3.453125" bestFit="1" customWidth="1"/>
    <col min="13047" max="13047" width="57.1796875" bestFit="1" customWidth="1"/>
    <col min="13049" max="13051" width="12.453125" bestFit="1" customWidth="1"/>
    <col min="13302" max="13302" width="3.453125" bestFit="1" customWidth="1"/>
    <col min="13303" max="13303" width="57.1796875" bestFit="1" customWidth="1"/>
    <col min="13305" max="13307" width="12.453125" bestFit="1" customWidth="1"/>
    <col min="13558" max="13558" width="3.453125" bestFit="1" customWidth="1"/>
    <col min="13559" max="13559" width="57.1796875" bestFit="1" customWidth="1"/>
    <col min="13561" max="13563" width="12.453125" bestFit="1" customWidth="1"/>
    <col min="13814" max="13814" width="3.453125" bestFit="1" customWidth="1"/>
    <col min="13815" max="13815" width="57.1796875" bestFit="1" customWidth="1"/>
    <col min="13817" max="13819" width="12.453125" bestFit="1" customWidth="1"/>
    <col min="14070" max="14070" width="3.453125" bestFit="1" customWidth="1"/>
    <col min="14071" max="14071" width="57.1796875" bestFit="1" customWidth="1"/>
    <col min="14073" max="14075" width="12.453125" bestFit="1" customWidth="1"/>
    <col min="14326" max="14326" width="3.453125" bestFit="1" customWidth="1"/>
    <col min="14327" max="14327" width="57.1796875" bestFit="1" customWidth="1"/>
    <col min="14329" max="14331" width="12.453125" bestFit="1" customWidth="1"/>
    <col min="14582" max="14582" width="3.453125" bestFit="1" customWidth="1"/>
    <col min="14583" max="14583" width="57.1796875" bestFit="1" customWidth="1"/>
    <col min="14585" max="14587" width="12.453125" bestFit="1" customWidth="1"/>
    <col min="14838" max="14838" width="3.453125" bestFit="1" customWidth="1"/>
    <col min="14839" max="14839" width="57.1796875" bestFit="1" customWidth="1"/>
    <col min="14841" max="14843" width="12.453125" bestFit="1" customWidth="1"/>
    <col min="15094" max="15094" width="3.453125" bestFit="1" customWidth="1"/>
    <col min="15095" max="15095" width="57.1796875" bestFit="1" customWidth="1"/>
    <col min="15097" max="15099" width="12.453125" bestFit="1" customWidth="1"/>
    <col min="15350" max="15350" width="3.453125" bestFit="1" customWidth="1"/>
    <col min="15351" max="15351" width="57.1796875" bestFit="1" customWidth="1"/>
    <col min="15353" max="15355" width="12.453125" bestFit="1" customWidth="1"/>
    <col min="15606" max="15606" width="3.453125" bestFit="1" customWidth="1"/>
    <col min="15607" max="15607" width="57.1796875" bestFit="1" customWidth="1"/>
    <col min="15609" max="15611" width="12.453125" bestFit="1" customWidth="1"/>
    <col min="15862" max="15862" width="3.453125" bestFit="1" customWidth="1"/>
    <col min="15863" max="15863" width="57.1796875" bestFit="1" customWidth="1"/>
    <col min="15865" max="15867" width="12.453125" bestFit="1" customWidth="1"/>
    <col min="16118" max="16118" width="3.453125" bestFit="1" customWidth="1"/>
    <col min="16119" max="16119" width="57.1796875" bestFit="1" customWidth="1"/>
    <col min="16121" max="16123" width="12.453125" bestFit="1" customWidth="1"/>
  </cols>
  <sheetData>
    <row r="1" spans="1:10" s="220" customFormat="1">
      <c r="A1" s="3314" t="s">
        <v>538</v>
      </c>
      <c r="B1" s="3314"/>
    </row>
    <row r="2" spans="1:10">
      <c r="A2" s="3263" t="str">
        <f>'F14'!A2:G2</f>
        <v>Name of Distribution Licensee: PUVVNL</v>
      </c>
      <c r="B2" s="3263"/>
      <c r="C2" s="3263"/>
      <c r="D2" s="3263"/>
      <c r="E2" s="3263"/>
      <c r="F2" s="3263"/>
      <c r="G2" s="3263"/>
      <c r="H2" s="3263"/>
    </row>
    <row r="3" spans="1:10">
      <c r="A3" s="573" t="s">
        <v>322</v>
      </c>
      <c r="B3" s="573"/>
      <c r="C3" s="573"/>
      <c r="D3" s="573"/>
      <c r="E3" s="573"/>
      <c r="F3" s="573"/>
      <c r="G3" s="199"/>
      <c r="H3" s="199"/>
      <c r="I3" s="199"/>
      <c r="J3" s="199"/>
    </row>
    <row r="4" spans="1:10">
      <c r="A4" s="100"/>
      <c r="B4" s="101"/>
      <c r="C4" s="100"/>
      <c r="D4" s="102"/>
      <c r="E4" s="103"/>
      <c r="G4" s="3318"/>
      <c r="H4" s="3318"/>
    </row>
    <row r="5" spans="1:10">
      <c r="A5" s="3319" t="s">
        <v>117</v>
      </c>
      <c r="B5" s="3029" t="s">
        <v>14</v>
      </c>
      <c r="C5" s="3029" t="s">
        <v>1581</v>
      </c>
      <c r="D5" s="2994" t="s">
        <v>558</v>
      </c>
      <c r="E5" s="2994"/>
      <c r="F5" s="3074" t="s">
        <v>542</v>
      </c>
      <c r="G5" s="3074"/>
      <c r="H5" s="3074"/>
      <c r="I5" s="1327" t="s">
        <v>550</v>
      </c>
      <c r="J5" s="1327" t="s">
        <v>952</v>
      </c>
    </row>
    <row r="6" spans="1:10">
      <c r="A6" s="3320"/>
      <c r="B6" s="3030"/>
      <c r="C6" s="3030"/>
      <c r="D6" s="193" t="s">
        <v>553</v>
      </c>
      <c r="E6" s="193" t="s">
        <v>551</v>
      </c>
      <c r="F6" s="3018" t="s">
        <v>545</v>
      </c>
      <c r="G6" s="3019"/>
      <c r="H6" s="3022"/>
      <c r="I6" s="193" t="s">
        <v>546</v>
      </c>
      <c r="J6" s="650" t="s">
        <v>547</v>
      </c>
    </row>
    <row r="7" spans="1:10">
      <c r="A7" s="3321"/>
      <c r="B7" s="3089"/>
      <c r="C7" s="3089"/>
      <c r="D7" s="193" t="s">
        <v>554</v>
      </c>
      <c r="E7" s="193" t="s">
        <v>554</v>
      </c>
      <c r="F7" s="194" t="s">
        <v>543</v>
      </c>
      <c r="G7" s="194" t="s">
        <v>281</v>
      </c>
      <c r="H7" s="194" t="s">
        <v>544</v>
      </c>
      <c r="I7" s="194" t="s">
        <v>552</v>
      </c>
      <c r="J7" s="194" t="s">
        <v>283</v>
      </c>
    </row>
    <row r="8" spans="1:10">
      <c r="A8" s="92">
        <v>1</v>
      </c>
      <c r="B8" s="87" t="s">
        <v>323</v>
      </c>
      <c r="C8" s="693"/>
      <c r="D8" s="1507">
        <v>8702.2100000000009</v>
      </c>
      <c r="E8" s="1507">
        <v>8702.2100000000009</v>
      </c>
      <c r="F8" s="1507">
        <v>8702.2100000000009</v>
      </c>
      <c r="G8" s="1507">
        <v>8702.2100000000009</v>
      </c>
      <c r="H8" s="1507">
        <v>17300.59</v>
      </c>
      <c r="I8" s="1507">
        <v>18788.303859</v>
      </c>
      <c r="J8" s="1507">
        <v>20173.995559232517</v>
      </c>
    </row>
    <row r="9" spans="1:10" ht="21.75" customHeight="1">
      <c r="A9" s="8">
        <v>2</v>
      </c>
      <c r="B9" s="30" t="s">
        <v>324</v>
      </c>
      <c r="C9" s="694"/>
      <c r="D9" s="1507">
        <v>0</v>
      </c>
      <c r="E9" s="1507">
        <v>0</v>
      </c>
      <c r="F9" s="1507">
        <v>0</v>
      </c>
      <c r="G9" s="1507">
        <v>0</v>
      </c>
      <c r="H9" s="1507">
        <v>0</v>
      </c>
      <c r="I9" s="1507">
        <v>0</v>
      </c>
      <c r="J9" s="1507">
        <v>0</v>
      </c>
    </row>
    <row r="10" spans="1:10" ht="18.75" customHeight="1">
      <c r="A10" s="92">
        <v>3</v>
      </c>
      <c r="B10" s="104" t="s">
        <v>1345</v>
      </c>
      <c r="C10" s="695"/>
      <c r="D10" s="1507">
        <v>2238.73</v>
      </c>
      <c r="E10" s="1507">
        <v>2238.73</v>
      </c>
      <c r="F10" s="1507">
        <v>2238.73</v>
      </c>
      <c r="G10" s="1507">
        <v>2238.73</v>
      </c>
      <c r="H10" s="1507">
        <v>134.6936748</v>
      </c>
      <c r="I10" s="1507">
        <v>134.6936748</v>
      </c>
      <c r="J10" s="1507">
        <v>134.6936748</v>
      </c>
    </row>
    <row r="11" spans="1:10">
      <c r="A11" s="92">
        <v>4</v>
      </c>
      <c r="B11" s="104" t="s">
        <v>325</v>
      </c>
      <c r="C11" s="695"/>
      <c r="D11" s="1507">
        <v>0</v>
      </c>
      <c r="E11" s="1507">
        <v>0</v>
      </c>
      <c r="F11" s="1507">
        <v>0</v>
      </c>
      <c r="G11" s="1507">
        <v>0</v>
      </c>
      <c r="H11" s="1507">
        <v>0</v>
      </c>
      <c r="I11" s="1507">
        <v>0</v>
      </c>
      <c r="J11" s="1507">
        <v>0</v>
      </c>
    </row>
    <row r="12" spans="1:10">
      <c r="A12" s="92">
        <v>5</v>
      </c>
      <c r="B12" s="87" t="s">
        <v>326</v>
      </c>
      <c r="C12" s="693"/>
      <c r="D12" s="1508">
        <f t="shared" ref="D12:J12" si="0">D8-D9-D10-D11</f>
        <v>6463.4800000000014</v>
      </c>
      <c r="E12" s="1508">
        <f t="shared" si="0"/>
        <v>6463.4800000000014</v>
      </c>
      <c r="F12" s="1508">
        <f t="shared" si="0"/>
        <v>6463.4800000000014</v>
      </c>
      <c r="G12" s="1508">
        <f t="shared" si="0"/>
        <v>6463.4800000000014</v>
      </c>
      <c r="H12" s="1508">
        <f t="shared" si="0"/>
        <v>17165.896325199999</v>
      </c>
      <c r="I12" s="1508">
        <f t="shared" si="0"/>
        <v>18653.610184199999</v>
      </c>
      <c r="J12" s="1508">
        <f t="shared" si="0"/>
        <v>20039.301884432516</v>
      </c>
    </row>
    <row r="13" spans="1:10" s="766" customFormat="1">
      <c r="A13" s="92">
        <v>6</v>
      </c>
      <c r="B13" s="87" t="s">
        <v>1343</v>
      </c>
      <c r="C13" s="693"/>
      <c r="D13" s="1507">
        <v>701.34</v>
      </c>
      <c r="E13" s="1507">
        <v>701.34</v>
      </c>
      <c r="F13" s="1507">
        <v>701.34</v>
      </c>
      <c r="G13" s="1507">
        <v>701.34</v>
      </c>
      <c r="H13" s="1507">
        <v>728.28653689999999</v>
      </c>
      <c r="I13" s="1507">
        <v>0</v>
      </c>
      <c r="J13" s="1507">
        <v>0</v>
      </c>
    </row>
    <row r="14" spans="1:10">
      <c r="A14" s="92">
        <v>7</v>
      </c>
      <c r="B14" s="87" t="s">
        <v>327</v>
      </c>
      <c r="C14" s="693"/>
      <c r="D14" s="1507">
        <v>3014.71</v>
      </c>
      <c r="E14" s="1507">
        <v>3014.71</v>
      </c>
      <c r="F14" s="1507">
        <v>3014.71</v>
      </c>
      <c r="G14" s="1507">
        <v>3014.71</v>
      </c>
      <c r="H14" s="1507">
        <v>2350.6940706999999</v>
      </c>
      <c r="I14" s="1507">
        <v>1520.3853750325188</v>
      </c>
      <c r="J14" s="1507">
        <v>1727.8032128531909</v>
      </c>
    </row>
    <row r="15" spans="1:10">
      <c r="A15" s="92">
        <v>8</v>
      </c>
      <c r="B15" s="87" t="s">
        <v>328</v>
      </c>
      <c r="C15" s="693"/>
      <c r="D15" s="1507">
        <v>0</v>
      </c>
      <c r="E15" s="1507">
        <v>0</v>
      </c>
      <c r="F15" s="1507">
        <v>0</v>
      </c>
      <c r="G15" s="1507">
        <v>0</v>
      </c>
      <c r="H15" s="1507">
        <v>0</v>
      </c>
      <c r="I15" s="1507">
        <v>0</v>
      </c>
      <c r="J15" s="1507">
        <v>0</v>
      </c>
    </row>
    <row r="16" spans="1:10" ht="20.25" customHeight="1">
      <c r="A16" s="92">
        <v>9</v>
      </c>
      <c r="B16" s="104" t="s">
        <v>329</v>
      </c>
      <c r="C16" s="695"/>
      <c r="D16" s="1507">
        <v>0</v>
      </c>
      <c r="E16" s="1507">
        <v>0</v>
      </c>
      <c r="F16" s="1507">
        <v>0</v>
      </c>
      <c r="G16" s="1507">
        <v>0</v>
      </c>
      <c r="H16" s="1507">
        <v>0</v>
      </c>
      <c r="I16" s="1507">
        <v>0</v>
      </c>
      <c r="J16" s="1507">
        <v>0</v>
      </c>
    </row>
    <row r="17" spans="1:10" ht="18" customHeight="1">
      <c r="A17" s="92">
        <v>10</v>
      </c>
      <c r="B17" s="104" t="s">
        <v>330</v>
      </c>
      <c r="C17" s="695"/>
      <c r="D17" s="1507">
        <v>0</v>
      </c>
      <c r="E17" s="1507">
        <v>0</v>
      </c>
      <c r="F17" s="1507">
        <v>0</v>
      </c>
      <c r="G17" s="1507">
        <v>0</v>
      </c>
      <c r="H17" s="1507">
        <v>0</v>
      </c>
      <c r="I17" s="1507">
        <v>0</v>
      </c>
      <c r="J17" s="1507">
        <v>0</v>
      </c>
    </row>
    <row r="18" spans="1:10">
      <c r="A18" s="92">
        <v>11</v>
      </c>
      <c r="B18" s="104" t="s">
        <v>331</v>
      </c>
      <c r="C18" s="695"/>
      <c r="D18" s="1509">
        <f>D12+D14-D13</f>
        <v>8776.8500000000022</v>
      </c>
      <c r="E18" s="1509">
        <f>E12+E14-E13</f>
        <v>8776.8500000000022</v>
      </c>
      <c r="F18" s="1509">
        <f t="shared" ref="F18:J18" si="1">F12+F14-F13</f>
        <v>8776.8500000000022</v>
      </c>
      <c r="G18" s="1509">
        <f t="shared" si="1"/>
        <v>8776.8500000000022</v>
      </c>
      <c r="H18" s="1509">
        <f t="shared" si="1"/>
        <v>18788.303859</v>
      </c>
      <c r="I18" s="1509">
        <f t="shared" si="1"/>
        <v>20173.995559232517</v>
      </c>
      <c r="J18" s="1509">
        <f t="shared" si="1"/>
        <v>21767.105097285708</v>
      </c>
    </row>
    <row r="19" spans="1:10">
      <c r="A19" s="105"/>
      <c r="B19" s="106"/>
      <c r="C19" s="106"/>
      <c r="D19" s="106"/>
      <c r="E19" s="103"/>
    </row>
    <row r="20" spans="1:10">
      <c r="A20" s="26"/>
      <c r="B20" s="27"/>
      <c r="C20" s="27"/>
      <c r="D20" s="71"/>
    </row>
  </sheetData>
  <mergeCells count="9">
    <mergeCell ref="A1:B1"/>
    <mergeCell ref="F6:H6"/>
    <mergeCell ref="A2:H2"/>
    <mergeCell ref="G4:H4"/>
    <mergeCell ref="F5:H5"/>
    <mergeCell ref="C5:C7"/>
    <mergeCell ref="B5:B7"/>
    <mergeCell ref="A5:A7"/>
    <mergeCell ref="D5:E5"/>
  </mergeCells>
  <printOptions horizontalCentered="1"/>
  <pageMargins left="0.19685039370078741" right="0.19685039370078741" top="0.19685039370078741" bottom="0.19685039370078741" header="0.19685039370078741" footer="0.19685039370078741"/>
  <pageSetup paperSize="9" scale="9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view="pageBreakPreview" zoomScale="85" zoomScaleNormal="85" zoomScaleSheetLayoutView="85" workbookViewId="0">
      <selection activeCell="C105" sqref="C105"/>
    </sheetView>
  </sheetViews>
  <sheetFormatPr defaultColWidth="9.1796875" defaultRowHeight="14.5"/>
  <cols>
    <col min="1" max="1" width="4.54296875" style="11" customWidth="1"/>
    <col min="2" max="2" width="32.54296875" style="11" customWidth="1"/>
    <col min="3" max="4" width="10.453125" style="11" bestFit="1" customWidth="1"/>
    <col min="5" max="5" width="16.26953125" style="11" bestFit="1" customWidth="1"/>
    <col min="6" max="6" width="10.54296875" style="11" bestFit="1" customWidth="1"/>
    <col min="7" max="7" width="10.81640625" style="11" bestFit="1" customWidth="1"/>
    <col min="8" max="8" width="16.26953125" style="336" bestFit="1" customWidth="1"/>
    <col min="9" max="9" width="17.26953125" style="11" bestFit="1" customWidth="1"/>
    <col min="10" max="10" width="10.81640625" style="11" bestFit="1" customWidth="1"/>
    <col min="11" max="16384" width="9.1796875" style="11"/>
  </cols>
  <sheetData>
    <row r="1" spans="1:10" s="233" customFormat="1">
      <c r="A1" s="3314" t="s">
        <v>484</v>
      </c>
      <c r="B1" s="3314"/>
      <c r="H1" s="336"/>
    </row>
    <row r="2" spans="1:10">
      <c r="A2" s="3091" t="s">
        <v>1604</v>
      </c>
      <c r="B2" s="3323"/>
      <c r="C2" s="3323"/>
      <c r="D2" s="3323"/>
      <c r="E2" s="3323"/>
      <c r="F2" s="3323"/>
      <c r="G2" s="3323"/>
    </row>
    <row r="3" spans="1:10">
      <c r="A3" s="573" t="s">
        <v>31</v>
      </c>
      <c r="B3" s="573"/>
      <c r="C3" s="573"/>
      <c r="D3" s="573"/>
      <c r="E3" s="573"/>
      <c r="F3" s="199"/>
      <c r="G3" s="199"/>
      <c r="H3" s="199"/>
      <c r="I3" s="199"/>
      <c r="J3" s="199"/>
    </row>
    <row r="4" spans="1:10">
      <c r="F4" s="3324"/>
      <c r="G4" s="3324"/>
      <c r="H4" s="335"/>
      <c r="J4" s="990" t="s">
        <v>141</v>
      </c>
    </row>
    <row r="5" spans="1:10">
      <c r="A5" s="3325" t="s">
        <v>117</v>
      </c>
      <c r="B5" s="3322" t="s">
        <v>14</v>
      </c>
      <c r="C5" s="3022" t="s">
        <v>558</v>
      </c>
      <c r="D5" s="2994"/>
      <c r="E5" s="3026" t="s">
        <v>542</v>
      </c>
      <c r="F5" s="3026"/>
      <c r="G5" s="3026"/>
      <c r="H5" s="3024" t="s">
        <v>550</v>
      </c>
      <c r="I5" s="3025"/>
      <c r="J5" s="922" t="s">
        <v>952</v>
      </c>
    </row>
    <row r="6" spans="1:10" ht="17.25" customHeight="1">
      <c r="A6" s="3325"/>
      <c r="B6" s="3322"/>
      <c r="C6" s="921" t="s">
        <v>553</v>
      </c>
      <c r="D6" s="921" t="s">
        <v>551</v>
      </c>
      <c r="E6" s="3018" t="s">
        <v>545</v>
      </c>
      <c r="F6" s="3019"/>
      <c r="G6" s="3022"/>
      <c r="H6" s="3018" t="s">
        <v>546</v>
      </c>
      <c r="I6" s="3022"/>
      <c r="J6" s="193" t="s">
        <v>547</v>
      </c>
    </row>
    <row r="7" spans="1:10">
      <c r="A7" s="3325"/>
      <c r="B7" s="3322"/>
      <c r="C7" s="203" t="s">
        <v>554</v>
      </c>
      <c r="D7" s="193" t="s">
        <v>554</v>
      </c>
      <c r="E7" s="194" t="s">
        <v>543</v>
      </c>
      <c r="F7" s="194" t="s">
        <v>281</v>
      </c>
      <c r="G7" s="194" t="s">
        <v>544</v>
      </c>
      <c r="H7" s="323" t="s">
        <v>543</v>
      </c>
      <c r="I7" s="194" t="s">
        <v>552</v>
      </c>
      <c r="J7" s="194" t="s">
        <v>283</v>
      </c>
    </row>
    <row r="8" spans="1:10" s="658" customFormat="1">
      <c r="A8" s="691" t="s">
        <v>57</v>
      </c>
      <c r="B8" s="692" t="s">
        <v>332</v>
      </c>
      <c r="C8" s="1054">
        <f>'F15'!D8</f>
        <v>8702.2100000000009</v>
      </c>
      <c r="D8" s="1054">
        <f>'F15'!E8</f>
        <v>8702.2100000000009</v>
      </c>
      <c r="E8" s="1054">
        <f>'F15'!F8</f>
        <v>8702.2100000000009</v>
      </c>
      <c r="F8" s="1054">
        <f>'F15'!G8</f>
        <v>8702.2100000000009</v>
      </c>
      <c r="G8" s="1054">
        <f>'F15'!H8</f>
        <v>17300.59</v>
      </c>
      <c r="H8" s="936"/>
      <c r="I8" s="1054">
        <f>'F15'!I8</f>
        <v>18788.303859</v>
      </c>
      <c r="J8" s="1054">
        <f>'F15'!J8</f>
        <v>20173.995559232517</v>
      </c>
    </row>
    <row r="9" spans="1:10" ht="29">
      <c r="A9" s="112" t="s">
        <v>58</v>
      </c>
      <c r="B9" s="96" t="s">
        <v>526</v>
      </c>
      <c r="C9" s="1056"/>
      <c r="D9" s="1056"/>
      <c r="E9" s="527"/>
      <c r="F9" s="527"/>
      <c r="G9" s="527"/>
      <c r="H9" s="527"/>
      <c r="I9" s="527"/>
      <c r="J9" s="527"/>
    </row>
    <row r="10" spans="1:10" ht="29">
      <c r="A10" s="112" t="s">
        <v>67</v>
      </c>
      <c r="B10" s="113" t="s">
        <v>333</v>
      </c>
      <c r="C10" s="1056"/>
      <c r="D10" s="1056"/>
      <c r="E10" s="527"/>
      <c r="F10" s="527"/>
      <c r="G10" s="527"/>
      <c r="H10" s="527"/>
      <c r="I10" s="527"/>
      <c r="J10" s="527"/>
    </row>
    <row r="11" spans="1:10" ht="29">
      <c r="A11" s="112" t="s">
        <v>68</v>
      </c>
      <c r="B11" s="642" t="s">
        <v>1325</v>
      </c>
      <c r="C11" s="247"/>
      <c r="D11" s="1057">
        <f>+D8+D9-D10</f>
        <v>8702.2100000000009</v>
      </c>
      <c r="E11" s="1057">
        <f t="shared" ref="E11:J11" si="0">+E8+E9-E10</f>
        <v>8702.2100000000009</v>
      </c>
      <c r="F11" s="1057">
        <f t="shared" si="0"/>
        <v>8702.2100000000009</v>
      </c>
      <c r="G11" s="1057">
        <f t="shared" si="0"/>
        <v>17300.59</v>
      </c>
      <c r="H11" s="1057">
        <f t="shared" si="0"/>
        <v>0</v>
      </c>
      <c r="I11" s="1057">
        <f t="shared" si="0"/>
        <v>18788.303859</v>
      </c>
      <c r="J11" s="1057">
        <f t="shared" si="0"/>
        <v>20173.995559232517</v>
      </c>
    </row>
    <row r="12" spans="1:10">
      <c r="E12" s="714"/>
      <c r="F12" s="714"/>
      <c r="G12" s="714"/>
      <c r="H12" s="327"/>
    </row>
    <row r="13" spans="1:10">
      <c r="F13" s="69"/>
      <c r="G13" s="69"/>
      <c r="H13" s="337"/>
    </row>
    <row r="14" spans="1:10">
      <c r="F14" s="69"/>
      <c r="G14" s="69"/>
      <c r="H14" s="337"/>
    </row>
  </sheetData>
  <mergeCells count="10">
    <mergeCell ref="H5:I5"/>
    <mergeCell ref="H6:I6"/>
    <mergeCell ref="A1:B1"/>
    <mergeCell ref="B5:B7"/>
    <mergeCell ref="E6:G6"/>
    <mergeCell ref="A2:G2"/>
    <mergeCell ref="F4:G4"/>
    <mergeCell ref="E5:G5"/>
    <mergeCell ref="C5:D5"/>
    <mergeCell ref="A5:A7"/>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view="pageBreakPreview" zoomScaleSheetLayoutView="100" workbookViewId="0">
      <selection activeCell="C105" sqref="C105"/>
    </sheetView>
  </sheetViews>
  <sheetFormatPr defaultColWidth="9.1796875" defaultRowHeight="14.5"/>
  <cols>
    <col min="1" max="1" width="7.81640625" customWidth="1"/>
    <col min="2" max="2" width="32.54296875" customWidth="1"/>
    <col min="3" max="6" width="13.1796875" customWidth="1"/>
  </cols>
  <sheetData>
    <row r="1" spans="1:7" s="220" customFormat="1">
      <c r="A1" s="3326" t="s">
        <v>752</v>
      </c>
      <c r="B1" s="3326"/>
    </row>
    <row r="2" spans="1:7">
      <c r="A2" s="3091" t="s">
        <v>1604</v>
      </c>
      <c r="B2" s="3078"/>
      <c r="C2" s="3078"/>
      <c r="D2" s="3078"/>
      <c r="E2" s="3078"/>
      <c r="F2" s="3078"/>
      <c r="G2" s="76"/>
    </row>
    <row r="3" spans="1:7">
      <c r="A3" s="573" t="s">
        <v>334</v>
      </c>
      <c r="B3" s="573"/>
      <c r="C3" s="573"/>
      <c r="D3" s="573"/>
      <c r="E3" s="3330"/>
      <c r="F3" s="3330"/>
      <c r="G3" s="76"/>
    </row>
    <row r="4" spans="1:7">
      <c r="A4" s="4"/>
      <c r="B4" s="11"/>
      <c r="C4" s="11"/>
      <c r="D4" s="11"/>
      <c r="E4" s="3331" t="s">
        <v>141</v>
      </c>
      <c r="F4" s="3331"/>
      <c r="G4" s="76"/>
    </row>
    <row r="5" spans="1:7">
      <c r="A5" s="3288" t="s">
        <v>1024</v>
      </c>
      <c r="B5" s="3289"/>
      <c r="C5" s="3289"/>
      <c r="D5" s="3289"/>
      <c r="E5" s="3289"/>
      <c r="F5" s="3290"/>
      <c r="G5" s="76"/>
    </row>
    <row r="6" spans="1:7" ht="58">
      <c r="A6" s="214" t="s">
        <v>66</v>
      </c>
      <c r="B6" s="204" t="s">
        <v>335</v>
      </c>
      <c r="C6" s="204" t="s">
        <v>336</v>
      </c>
      <c r="D6" s="204" t="s">
        <v>337</v>
      </c>
      <c r="E6" s="204" t="s">
        <v>338</v>
      </c>
      <c r="F6" s="204" t="s">
        <v>339</v>
      </c>
      <c r="G6" s="76"/>
    </row>
    <row r="7" spans="1:7" ht="15" customHeight="1">
      <c r="A7" s="769"/>
      <c r="B7" s="769"/>
      <c r="C7" s="769"/>
      <c r="D7" s="769"/>
      <c r="E7" s="769"/>
      <c r="F7" s="769"/>
      <c r="G7" s="76"/>
    </row>
    <row r="8" spans="1:7" ht="15" customHeight="1">
      <c r="A8" s="769"/>
      <c r="B8" s="769"/>
      <c r="C8" s="769"/>
      <c r="D8" s="769"/>
      <c r="E8" s="769"/>
      <c r="F8" s="769"/>
      <c r="G8" s="76"/>
    </row>
    <row r="9" spans="1:7" ht="15" customHeight="1">
      <c r="A9" s="769"/>
      <c r="B9" s="769"/>
      <c r="C9" s="769"/>
      <c r="D9" s="769"/>
      <c r="E9" s="769"/>
      <c r="F9" s="769"/>
      <c r="G9" s="76"/>
    </row>
    <row r="10" spans="1:7" ht="15" customHeight="1">
      <c r="A10" s="769"/>
      <c r="B10" s="769"/>
      <c r="C10" s="769"/>
      <c r="D10" s="769"/>
      <c r="E10" s="769"/>
      <c r="F10" s="769"/>
      <c r="G10" s="76"/>
    </row>
    <row r="11" spans="1:7" ht="15" customHeight="1">
      <c r="A11" s="769"/>
      <c r="B11" s="769"/>
      <c r="C11" s="769"/>
      <c r="D11" s="769"/>
      <c r="E11" s="769"/>
      <c r="F11" s="769"/>
      <c r="G11" s="76"/>
    </row>
    <row r="12" spans="1:7" ht="15" customHeight="1">
      <c r="A12" s="769"/>
      <c r="B12" s="769"/>
      <c r="C12" s="769"/>
      <c r="D12" s="769"/>
      <c r="E12" s="769"/>
      <c r="F12" s="769"/>
      <c r="G12" s="76"/>
    </row>
    <row r="13" spans="1:7" ht="15" customHeight="1">
      <c r="A13" s="769"/>
      <c r="B13" s="769"/>
      <c r="C13" s="769"/>
      <c r="D13" s="769"/>
      <c r="E13" s="769"/>
      <c r="F13" s="769"/>
      <c r="G13" s="76"/>
    </row>
    <row r="14" spans="1:7" ht="15" customHeight="1">
      <c r="A14" s="769"/>
      <c r="B14" s="769"/>
      <c r="C14" s="769"/>
      <c r="D14" s="769"/>
      <c r="E14" s="769"/>
      <c r="F14" s="769"/>
      <c r="G14" s="76"/>
    </row>
    <row r="15" spans="1:7">
      <c r="A15" s="3328" t="s">
        <v>792</v>
      </c>
      <c r="B15" s="3329"/>
      <c r="C15" s="3329"/>
      <c r="D15" s="3329"/>
      <c r="E15" s="3329"/>
      <c r="F15" s="3329"/>
      <c r="G15" s="76"/>
    </row>
    <row r="16" spans="1:7">
      <c r="A16" s="11"/>
      <c r="B16" s="11"/>
      <c r="C16" s="11"/>
      <c r="D16" s="11"/>
      <c r="E16" s="11"/>
      <c r="F16" s="11"/>
      <c r="G16" s="76"/>
    </row>
    <row r="17" spans="1:7">
      <c r="A17" s="11"/>
      <c r="B17" s="11"/>
      <c r="C17" s="11"/>
      <c r="D17" s="11"/>
      <c r="G17" s="76"/>
    </row>
    <row r="18" spans="1:7">
      <c r="A18" s="11"/>
      <c r="B18" s="11"/>
      <c r="C18" s="11"/>
      <c r="D18" s="11"/>
      <c r="E18" s="69"/>
      <c r="F18" s="69"/>
      <c r="G18" s="76"/>
    </row>
    <row r="19" spans="1:7">
      <c r="A19" s="11"/>
      <c r="B19" s="11"/>
      <c r="C19" s="11"/>
      <c r="D19" s="3327"/>
      <c r="E19" s="3327"/>
      <c r="F19" s="3327"/>
      <c r="G19" s="76"/>
    </row>
    <row r="20" spans="1:7">
      <c r="A20" s="11"/>
      <c r="B20" s="11"/>
      <c r="C20" s="11"/>
      <c r="D20" s="11"/>
      <c r="E20" s="11"/>
      <c r="F20" s="11"/>
    </row>
    <row r="21" spans="1:7">
      <c r="A21" s="11"/>
      <c r="B21" s="11"/>
      <c r="C21" s="11"/>
      <c r="D21" s="11"/>
      <c r="E21" s="11"/>
      <c r="F21" s="11"/>
    </row>
    <row r="22" spans="1:7">
      <c r="A22" s="11"/>
      <c r="B22" s="11"/>
      <c r="C22" s="11"/>
      <c r="D22" s="11"/>
      <c r="E22" s="11"/>
      <c r="F22" s="11"/>
    </row>
    <row r="23" spans="1:7">
      <c r="A23" s="11"/>
      <c r="B23" s="11"/>
      <c r="C23" s="11"/>
      <c r="D23" s="11"/>
      <c r="E23" s="11"/>
      <c r="F23" s="11"/>
    </row>
    <row r="24" spans="1:7">
      <c r="A24" s="11"/>
      <c r="B24" s="11"/>
      <c r="C24" s="11"/>
      <c r="D24" s="11"/>
      <c r="E24" s="11"/>
      <c r="F24" s="11"/>
    </row>
    <row r="25" spans="1:7">
      <c r="A25" s="11"/>
      <c r="B25" s="11"/>
      <c r="C25" s="11"/>
      <c r="D25" s="11"/>
      <c r="E25" s="11"/>
      <c r="F25" s="11"/>
    </row>
    <row r="26" spans="1:7">
      <c r="A26" s="11"/>
      <c r="B26" s="11"/>
      <c r="C26" s="11"/>
      <c r="D26" s="11"/>
      <c r="E26" s="11"/>
      <c r="F26" s="11"/>
    </row>
  </sheetData>
  <mergeCells count="7">
    <mergeCell ref="A1:B1"/>
    <mergeCell ref="A5:F5"/>
    <mergeCell ref="D19:F19"/>
    <mergeCell ref="A2:F2"/>
    <mergeCell ref="A15:F15"/>
    <mergeCell ref="E3:F3"/>
    <mergeCell ref="E4:F4"/>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view="pageBreakPreview" topLeftCell="A5" zoomScaleNormal="85" zoomScaleSheetLayoutView="100" workbookViewId="0">
      <selection activeCell="C105" sqref="C105"/>
    </sheetView>
  </sheetViews>
  <sheetFormatPr defaultRowHeight="18" customHeight="1"/>
  <cols>
    <col min="1" max="1" width="4.26953125" style="278" customWidth="1"/>
    <col min="2" max="2" width="5.54296875" style="278" customWidth="1"/>
    <col min="3" max="3" width="72.81640625" style="277" customWidth="1"/>
    <col min="4" max="4" width="12" style="278" customWidth="1"/>
    <col min="5" max="5" width="14" style="278" customWidth="1"/>
    <col min="6" max="246" width="9.1796875" style="278"/>
    <col min="247" max="247" width="4.26953125" style="278" customWidth="1"/>
    <col min="248" max="248" width="2.26953125" style="278" bestFit="1" customWidth="1"/>
    <col min="249" max="249" width="50.1796875" style="278" customWidth="1"/>
    <col min="250" max="250" width="9.81640625" style="278" customWidth="1"/>
    <col min="251" max="251" width="11.81640625" style="278" customWidth="1"/>
    <col min="252" max="252" width="13" style="278" customWidth="1"/>
    <col min="253" max="502" width="9.1796875" style="278"/>
    <col min="503" max="503" width="4.26953125" style="278" customWidth="1"/>
    <col min="504" max="504" width="2.26953125" style="278" bestFit="1" customWidth="1"/>
    <col min="505" max="505" width="50.1796875" style="278" customWidth="1"/>
    <col min="506" max="506" width="9.81640625" style="278" customWidth="1"/>
    <col min="507" max="507" width="11.81640625" style="278" customWidth="1"/>
    <col min="508" max="508" width="13" style="278" customWidth="1"/>
    <col min="509" max="758" width="9.1796875" style="278"/>
    <col min="759" max="759" width="4.26953125" style="278" customWidth="1"/>
    <col min="760" max="760" width="2.26953125" style="278" bestFit="1" customWidth="1"/>
    <col min="761" max="761" width="50.1796875" style="278" customWidth="1"/>
    <col min="762" max="762" width="9.81640625" style="278" customWidth="1"/>
    <col min="763" max="763" width="11.81640625" style="278" customWidth="1"/>
    <col min="764" max="764" width="13" style="278" customWidth="1"/>
    <col min="765" max="1014" width="9.1796875" style="278"/>
    <col min="1015" max="1015" width="4.26953125" style="278" customWidth="1"/>
    <col min="1016" max="1016" width="2.26953125" style="278" bestFit="1" customWidth="1"/>
    <col min="1017" max="1017" width="50.1796875" style="278" customWidth="1"/>
    <col min="1018" max="1018" width="9.81640625" style="278" customWidth="1"/>
    <col min="1019" max="1019" width="11.81640625" style="278" customWidth="1"/>
    <col min="1020" max="1020" width="13" style="278" customWidth="1"/>
    <col min="1021" max="1270" width="9.1796875" style="278"/>
    <col min="1271" max="1271" width="4.26953125" style="278" customWidth="1"/>
    <col min="1272" max="1272" width="2.26953125" style="278" bestFit="1" customWidth="1"/>
    <col min="1273" max="1273" width="50.1796875" style="278" customWidth="1"/>
    <col min="1274" max="1274" width="9.81640625" style="278" customWidth="1"/>
    <col min="1275" max="1275" width="11.81640625" style="278" customWidth="1"/>
    <col min="1276" max="1276" width="13" style="278" customWidth="1"/>
    <col min="1277" max="1526" width="9.1796875" style="278"/>
    <col min="1527" max="1527" width="4.26953125" style="278" customWidth="1"/>
    <col min="1528" max="1528" width="2.26953125" style="278" bestFit="1" customWidth="1"/>
    <col min="1529" max="1529" width="50.1796875" style="278" customWidth="1"/>
    <col min="1530" max="1530" width="9.81640625" style="278" customWidth="1"/>
    <col min="1531" max="1531" width="11.81640625" style="278" customWidth="1"/>
    <col min="1532" max="1532" width="13" style="278" customWidth="1"/>
    <col min="1533" max="1782" width="9.1796875" style="278"/>
    <col min="1783" max="1783" width="4.26953125" style="278" customWidth="1"/>
    <col min="1784" max="1784" width="2.26953125" style="278" bestFit="1" customWidth="1"/>
    <col min="1785" max="1785" width="50.1796875" style="278" customWidth="1"/>
    <col min="1786" max="1786" width="9.81640625" style="278" customWidth="1"/>
    <col min="1787" max="1787" width="11.81640625" style="278" customWidth="1"/>
    <col min="1788" max="1788" width="13" style="278" customWidth="1"/>
    <col min="1789" max="2038" width="9.1796875" style="278"/>
    <col min="2039" max="2039" width="4.26953125" style="278" customWidth="1"/>
    <col min="2040" max="2040" width="2.26953125" style="278" bestFit="1" customWidth="1"/>
    <col min="2041" max="2041" width="50.1796875" style="278" customWidth="1"/>
    <col min="2042" max="2042" width="9.81640625" style="278" customWidth="1"/>
    <col min="2043" max="2043" width="11.81640625" style="278" customWidth="1"/>
    <col min="2044" max="2044" width="13" style="278" customWidth="1"/>
    <col min="2045" max="2294" width="9.1796875" style="278"/>
    <col min="2295" max="2295" width="4.26953125" style="278" customWidth="1"/>
    <col min="2296" max="2296" width="2.26953125" style="278" bestFit="1" customWidth="1"/>
    <col min="2297" max="2297" width="50.1796875" style="278" customWidth="1"/>
    <col min="2298" max="2298" width="9.81640625" style="278" customWidth="1"/>
    <col min="2299" max="2299" width="11.81640625" style="278" customWidth="1"/>
    <col min="2300" max="2300" width="13" style="278" customWidth="1"/>
    <col min="2301" max="2550" width="9.1796875" style="278"/>
    <col min="2551" max="2551" width="4.26953125" style="278" customWidth="1"/>
    <col min="2552" max="2552" width="2.26953125" style="278" bestFit="1" customWidth="1"/>
    <col min="2553" max="2553" width="50.1796875" style="278" customWidth="1"/>
    <col min="2554" max="2554" width="9.81640625" style="278" customWidth="1"/>
    <col min="2555" max="2555" width="11.81640625" style="278" customWidth="1"/>
    <col min="2556" max="2556" width="13" style="278" customWidth="1"/>
    <col min="2557" max="2806" width="9.1796875" style="278"/>
    <col min="2807" max="2807" width="4.26953125" style="278" customWidth="1"/>
    <col min="2808" max="2808" width="2.26953125" style="278" bestFit="1" customWidth="1"/>
    <col min="2809" max="2809" width="50.1796875" style="278" customWidth="1"/>
    <col min="2810" max="2810" width="9.81640625" style="278" customWidth="1"/>
    <col min="2811" max="2811" width="11.81640625" style="278" customWidth="1"/>
    <col min="2812" max="2812" width="13" style="278" customWidth="1"/>
    <col min="2813" max="3062" width="9.1796875" style="278"/>
    <col min="3063" max="3063" width="4.26953125" style="278" customWidth="1"/>
    <col min="3064" max="3064" width="2.26953125" style="278" bestFit="1" customWidth="1"/>
    <col min="3065" max="3065" width="50.1796875" style="278" customWidth="1"/>
    <col min="3066" max="3066" width="9.81640625" style="278" customWidth="1"/>
    <col min="3067" max="3067" width="11.81640625" style="278" customWidth="1"/>
    <col min="3068" max="3068" width="13" style="278" customWidth="1"/>
    <col min="3069" max="3318" width="9.1796875" style="278"/>
    <col min="3319" max="3319" width="4.26953125" style="278" customWidth="1"/>
    <col min="3320" max="3320" width="2.26953125" style="278" bestFit="1" customWidth="1"/>
    <col min="3321" max="3321" width="50.1796875" style="278" customWidth="1"/>
    <col min="3322" max="3322" width="9.81640625" style="278" customWidth="1"/>
    <col min="3323" max="3323" width="11.81640625" style="278" customWidth="1"/>
    <col min="3324" max="3324" width="13" style="278" customWidth="1"/>
    <col min="3325" max="3574" width="9.1796875" style="278"/>
    <col min="3575" max="3575" width="4.26953125" style="278" customWidth="1"/>
    <col min="3576" max="3576" width="2.26953125" style="278" bestFit="1" customWidth="1"/>
    <col min="3577" max="3577" width="50.1796875" style="278" customWidth="1"/>
    <col min="3578" max="3578" width="9.81640625" style="278" customWidth="1"/>
    <col min="3579" max="3579" width="11.81640625" style="278" customWidth="1"/>
    <col min="3580" max="3580" width="13" style="278" customWidth="1"/>
    <col min="3581" max="3830" width="9.1796875" style="278"/>
    <col min="3831" max="3831" width="4.26953125" style="278" customWidth="1"/>
    <col min="3832" max="3832" width="2.26953125" style="278" bestFit="1" customWidth="1"/>
    <col min="3833" max="3833" width="50.1796875" style="278" customWidth="1"/>
    <col min="3834" max="3834" width="9.81640625" style="278" customWidth="1"/>
    <col min="3835" max="3835" width="11.81640625" style="278" customWidth="1"/>
    <col min="3836" max="3836" width="13" style="278" customWidth="1"/>
    <col min="3837" max="4086" width="9.1796875" style="278"/>
    <col min="4087" max="4087" width="4.26953125" style="278" customWidth="1"/>
    <col min="4088" max="4088" width="2.26953125" style="278" bestFit="1" customWidth="1"/>
    <col min="4089" max="4089" width="50.1796875" style="278" customWidth="1"/>
    <col min="4090" max="4090" width="9.81640625" style="278" customWidth="1"/>
    <col min="4091" max="4091" width="11.81640625" style="278" customWidth="1"/>
    <col min="4092" max="4092" width="13" style="278" customWidth="1"/>
    <col min="4093" max="4342" width="9.1796875" style="278"/>
    <col min="4343" max="4343" width="4.26953125" style="278" customWidth="1"/>
    <col min="4344" max="4344" width="2.26953125" style="278" bestFit="1" customWidth="1"/>
    <col min="4345" max="4345" width="50.1796875" style="278" customWidth="1"/>
    <col min="4346" max="4346" width="9.81640625" style="278" customWidth="1"/>
    <col min="4347" max="4347" width="11.81640625" style="278" customWidth="1"/>
    <col min="4348" max="4348" width="13" style="278" customWidth="1"/>
    <col min="4349" max="4598" width="9.1796875" style="278"/>
    <col min="4599" max="4599" width="4.26953125" style="278" customWidth="1"/>
    <col min="4600" max="4600" width="2.26953125" style="278" bestFit="1" customWidth="1"/>
    <col min="4601" max="4601" width="50.1796875" style="278" customWidth="1"/>
    <col min="4602" max="4602" width="9.81640625" style="278" customWidth="1"/>
    <col min="4603" max="4603" width="11.81640625" style="278" customWidth="1"/>
    <col min="4604" max="4604" width="13" style="278" customWidth="1"/>
    <col min="4605" max="4854" width="9.1796875" style="278"/>
    <col min="4855" max="4855" width="4.26953125" style="278" customWidth="1"/>
    <col min="4856" max="4856" width="2.26953125" style="278" bestFit="1" customWidth="1"/>
    <col min="4857" max="4857" width="50.1796875" style="278" customWidth="1"/>
    <col min="4858" max="4858" width="9.81640625" style="278" customWidth="1"/>
    <col min="4859" max="4859" width="11.81640625" style="278" customWidth="1"/>
    <col min="4860" max="4860" width="13" style="278" customWidth="1"/>
    <col min="4861" max="5110" width="9.1796875" style="278"/>
    <col min="5111" max="5111" width="4.26953125" style="278" customWidth="1"/>
    <col min="5112" max="5112" width="2.26953125" style="278" bestFit="1" customWidth="1"/>
    <col min="5113" max="5113" width="50.1796875" style="278" customWidth="1"/>
    <col min="5114" max="5114" width="9.81640625" style="278" customWidth="1"/>
    <col min="5115" max="5115" width="11.81640625" style="278" customWidth="1"/>
    <col min="5116" max="5116" width="13" style="278" customWidth="1"/>
    <col min="5117" max="5366" width="9.1796875" style="278"/>
    <col min="5367" max="5367" width="4.26953125" style="278" customWidth="1"/>
    <col min="5368" max="5368" width="2.26953125" style="278" bestFit="1" customWidth="1"/>
    <col min="5369" max="5369" width="50.1796875" style="278" customWidth="1"/>
    <col min="5370" max="5370" width="9.81640625" style="278" customWidth="1"/>
    <col min="5371" max="5371" width="11.81640625" style="278" customWidth="1"/>
    <col min="5372" max="5372" width="13" style="278" customWidth="1"/>
    <col min="5373" max="5622" width="9.1796875" style="278"/>
    <col min="5623" max="5623" width="4.26953125" style="278" customWidth="1"/>
    <col min="5624" max="5624" width="2.26953125" style="278" bestFit="1" customWidth="1"/>
    <col min="5625" max="5625" width="50.1796875" style="278" customWidth="1"/>
    <col min="5626" max="5626" width="9.81640625" style="278" customWidth="1"/>
    <col min="5627" max="5627" width="11.81640625" style="278" customWidth="1"/>
    <col min="5628" max="5628" width="13" style="278" customWidth="1"/>
    <col min="5629" max="5878" width="9.1796875" style="278"/>
    <col min="5879" max="5879" width="4.26953125" style="278" customWidth="1"/>
    <col min="5880" max="5880" width="2.26953125" style="278" bestFit="1" customWidth="1"/>
    <col min="5881" max="5881" width="50.1796875" style="278" customWidth="1"/>
    <col min="5882" max="5882" width="9.81640625" style="278" customWidth="1"/>
    <col min="5883" max="5883" width="11.81640625" style="278" customWidth="1"/>
    <col min="5884" max="5884" width="13" style="278" customWidth="1"/>
    <col min="5885" max="6134" width="9.1796875" style="278"/>
    <col min="6135" max="6135" width="4.26953125" style="278" customWidth="1"/>
    <col min="6136" max="6136" width="2.26953125" style="278" bestFit="1" customWidth="1"/>
    <col min="6137" max="6137" width="50.1796875" style="278" customWidth="1"/>
    <col min="6138" max="6138" width="9.81640625" style="278" customWidth="1"/>
    <col min="6139" max="6139" width="11.81640625" style="278" customWidth="1"/>
    <col min="6140" max="6140" width="13" style="278" customWidth="1"/>
    <col min="6141" max="6390" width="9.1796875" style="278"/>
    <col min="6391" max="6391" width="4.26953125" style="278" customWidth="1"/>
    <col min="6392" max="6392" width="2.26953125" style="278" bestFit="1" customWidth="1"/>
    <col min="6393" max="6393" width="50.1796875" style="278" customWidth="1"/>
    <col min="6394" max="6394" width="9.81640625" style="278" customWidth="1"/>
    <col min="6395" max="6395" width="11.81640625" style="278" customWidth="1"/>
    <col min="6396" max="6396" width="13" style="278" customWidth="1"/>
    <col min="6397" max="6646" width="9.1796875" style="278"/>
    <col min="6647" max="6647" width="4.26953125" style="278" customWidth="1"/>
    <col min="6648" max="6648" width="2.26953125" style="278" bestFit="1" customWidth="1"/>
    <col min="6649" max="6649" width="50.1796875" style="278" customWidth="1"/>
    <col min="6650" max="6650" width="9.81640625" style="278" customWidth="1"/>
    <col min="6651" max="6651" width="11.81640625" style="278" customWidth="1"/>
    <col min="6652" max="6652" width="13" style="278" customWidth="1"/>
    <col min="6653" max="6902" width="9.1796875" style="278"/>
    <col min="6903" max="6903" width="4.26953125" style="278" customWidth="1"/>
    <col min="6904" max="6904" width="2.26953125" style="278" bestFit="1" customWidth="1"/>
    <col min="6905" max="6905" width="50.1796875" style="278" customWidth="1"/>
    <col min="6906" max="6906" width="9.81640625" style="278" customWidth="1"/>
    <col min="6907" max="6907" width="11.81640625" style="278" customWidth="1"/>
    <col min="6908" max="6908" width="13" style="278" customWidth="1"/>
    <col min="6909" max="7158" width="9.1796875" style="278"/>
    <col min="7159" max="7159" width="4.26953125" style="278" customWidth="1"/>
    <col min="7160" max="7160" width="2.26953125" style="278" bestFit="1" customWidth="1"/>
    <col min="7161" max="7161" width="50.1796875" style="278" customWidth="1"/>
    <col min="7162" max="7162" width="9.81640625" style="278" customWidth="1"/>
    <col min="7163" max="7163" width="11.81640625" style="278" customWidth="1"/>
    <col min="7164" max="7164" width="13" style="278" customWidth="1"/>
    <col min="7165" max="7414" width="9.1796875" style="278"/>
    <col min="7415" max="7415" width="4.26953125" style="278" customWidth="1"/>
    <col min="7416" max="7416" width="2.26953125" style="278" bestFit="1" customWidth="1"/>
    <col min="7417" max="7417" width="50.1796875" style="278" customWidth="1"/>
    <col min="7418" max="7418" width="9.81640625" style="278" customWidth="1"/>
    <col min="7419" max="7419" width="11.81640625" style="278" customWidth="1"/>
    <col min="7420" max="7420" width="13" style="278" customWidth="1"/>
    <col min="7421" max="7670" width="9.1796875" style="278"/>
    <col min="7671" max="7671" width="4.26953125" style="278" customWidth="1"/>
    <col min="7672" max="7672" width="2.26953125" style="278" bestFit="1" customWidth="1"/>
    <col min="7673" max="7673" width="50.1796875" style="278" customWidth="1"/>
    <col min="7674" max="7674" width="9.81640625" style="278" customWidth="1"/>
    <col min="7675" max="7675" width="11.81640625" style="278" customWidth="1"/>
    <col min="7676" max="7676" width="13" style="278" customWidth="1"/>
    <col min="7677" max="7926" width="9.1796875" style="278"/>
    <col min="7927" max="7927" width="4.26953125" style="278" customWidth="1"/>
    <col min="7928" max="7928" width="2.26953125" style="278" bestFit="1" customWidth="1"/>
    <col min="7929" max="7929" width="50.1796875" style="278" customWidth="1"/>
    <col min="7930" max="7930" width="9.81640625" style="278" customWidth="1"/>
    <col min="7931" max="7931" width="11.81640625" style="278" customWidth="1"/>
    <col min="7932" max="7932" width="13" style="278" customWidth="1"/>
    <col min="7933" max="8182" width="9.1796875" style="278"/>
    <col min="8183" max="8183" width="4.26953125" style="278" customWidth="1"/>
    <col min="8184" max="8184" width="2.26953125" style="278" bestFit="1" customWidth="1"/>
    <col min="8185" max="8185" width="50.1796875" style="278" customWidth="1"/>
    <col min="8186" max="8186" width="9.81640625" style="278" customWidth="1"/>
    <col min="8187" max="8187" width="11.81640625" style="278" customWidth="1"/>
    <col min="8188" max="8188" width="13" style="278" customWidth="1"/>
    <col min="8189" max="8438" width="9.1796875" style="278"/>
    <col min="8439" max="8439" width="4.26953125" style="278" customWidth="1"/>
    <col min="8440" max="8440" width="2.26953125" style="278" bestFit="1" customWidth="1"/>
    <col min="8441" max="8441" width="50.1796875" style="278" customWidth="1"/>
    <col min="8442" max="8442" width="9.81640625" style="278" customWidth="1"/>
    <col min="8443" max="8443" width="11.81640625" style="278" customWidth="1"/>
    <col min="8444" max="8444" width="13" style="278" customWidth="1"/>
    <col min="8445" max="8694" width="9.1796875" style="278"/>
    <col min="8695" max="8695" width="4.26953125" style="278" customWidth="1"/>
    <col min="8696" max="8696" width="2.26953125" style="278" bestFit="1" customWidth="1"/>
    <col min="8697" max="8697" width="50.1796875" style="278" customWidth="1"/>
    <col min="8698" max="8698" width="9.81640625" style="278" customWidth="1"/>
    <col min="8699" max="8699" width="11.81640625" style="278" customWidth="1"/>
    <col min="8700" max="8700" width="13" style="278" customWidth="1"/>
    <col min="8701" max="8950" width="9.1796875" style="278"/>
    <col min="8951" max="8951" width="4.26953125" style="278" customWidth="1"/>
    <col min="8952" max="8952" width="2.26953125" style="278" bestFit="1" customWidth="1"/>
    <col min="8953" max="8953" width="50.1796875" style="278" customWidth="1"/>
    <col min="8954" max="8954" width="9.81640625" style="278" customWidth="1"/>
    <col min="8955" max="8955" width="11.81640625" style="278" customWidth="1"/>
    <col min="8956" max="8956" width="13" style="278" customWidth="1"/>
    <col min="8957" max="9206" width="9.1796875" style="278"/>
    <col min="9207" max="9207" width="4.26953125" style="278" customWidth="1"/>
    <col min="9208" max="9208" width="2.26953125" style="278" bestFit="1" customWidth="1"/>
    <col min="9209" max="9209" width="50.1796875" style="278" customWidth="1"/>
    <col min="9210" max="9210" width="9.81640625" style="278" customWidth="1"/>
    <col min="9211" max="9211" width="11.81640625" style="278" customWidth="1"/>
    <col min="9212" max="9212" width="13" style="278" customWidth="1"/>
    <col min="9213" max="9462" width="9.1796875" style="278"/>
    <col min="9463" max="9463" width="4.26953125" style="278" customWidth="1"/>
    <col min="9464" max="9464" width="2.26953125" style="278" bestFit="1" customWidth="1"/>
    <col min="9465" max="9465" width="50.1796875" style="278" customWidth="1"/>
    <col min="9466" max="9466" width="9.81640625" style="278" customWidth="1"/>
    <col min="9467" max="9467" width="11.81640625" style="278" customWidth="1"/>
    <col min="9468" max="9468" width="13" style="278" customWidth="1"/>
    <col min="9469" max="9718" width="9.1796875" style="278"/>
    <col min="9719" max="9719" width="4.26953125" style="278" customWidth="1"/>
    <col min="9720" max="9720" width="2.26953125" style="278" bestFit="1" customWidth="1"/>
    <col min="9721" max="9721" width="50.1796875" style="278" customWidth="1"/>
    <col min="9722" max="9722" width="9.81640625" style="278" customWidth="1"/>
    <col min="9723" max="9723" width="11.81640625" style="278" customWidth="1"/>
    <col min="9724" max="9724" width="13" style="278" customWidth="1"/>
    <col min="9725" max="9974" width="9.1796875" style="278"/>
    <col min="9975" max="9975" width="4.26953125" style="278" customWidth="1"/>
    <col min="9976" max="9976" width="2.26953125" style="278" bestFit="1" customWidth="1"/>
    <col min="9977" max="9977" width="50.1796875" style="278" customWidth="1"/>
    <col min="9978" max="9978" width="9.81640625" style="278" customWidth="1"/>
    <col min="9979" max="9979" width="11.81640625" style="278" customWidth="1"/>
    <col min="9980" max="9980" width="13" style="278" customWidth="1"/>
    <col min="9981" max="10230" width="9.1796875" style="278"/>
    <col min="10231" max="10231" width="4.26953125" style="278" customWidth="1"/>
    <col min="10232" max="10232" width="2.26953125" style="278" bestFit="1" customWidth="1"/>
    <col min="10233" max="10233" width="50.1796875" style="278" customWidth="1"/>
    <col min="10234" max="10234" width="9.81640625" style="278" customWidth="1"/>
    <col min="10235" max="10235" width="11.81640625" style="278" customWidth="1"/>
    <col min="10236" max="10236" width="13" style="278" customWidth="1"/>
    <col min="10237" max="10486" width="9.1796875" style="278"/>
    <col min="10487" max="10487" width="4.26953125" style="278" customWidth="1"/>
    <col min="10488" max="10488" width="2.26953125" style="278" bestFit="1" customWidth="1"/>
    <col min="10489" max="10489" width="50.1796875" style="278" customWidth="1"/>
    <col min="10490" max="10490" width="9.81640625" style="278" customWidth="1"/>
    <col min="10491" max="10491" width="11.81640625" style="278" customWidth="1"/>
    <col min="10492" max="10492" width="13" style="278" customWidth="1"/>
    <col min="10493" max="10742" width="9.1796875" style="278"/>
    <col min="10743" max="10743" width="4.26953125" style="278" customWidth="1"/>
    <col min="10744" max="10744" width="2.26953125" style="278" bestFit="1" customWidth="1"/>
    <col min="10745" max="10745" width="50.1796875" style="278" customWidth="1"/>
    <col min="10746" max="10746" width="9.81640625" style="278" customWidth="1"/>
    <col min="10747" max="10747" width="11.81640625" style="278" customWidth="1"/>
    <col min="10748" max="10748" width="13" style="278" customWidth="1"/>
    <col min="10749" max="10998" width="9.1796875" style="278"/>
    <col min="10999" max="10999" width="4.26953125" style="278" customWidth="1"/>
    <col min="11000" max="11000" width="2.26953125" style="278" bestFit="1" customWidth="1"/>
    <col min="11001" max="11001" width="50.1796875" style="278" customWidth="1"/>
    <col min="11002" max="11002" width="9.81640625" style="278" customWidth="1"/>
    <col min="11003" max="11003" width="11.81640625" style="278" customWidth="1"/>
    <col min="11004" max="11004" width="13" style="278" customWidth="1"/>
    <col min="11005" max="11254" width="9.1796875" style="278"/>
    <col min="11255" max="11255" width="4.26953125" style="278" customWidth="1"/>
    <col min="11256" max="11256" width="2.26953125" style="278" bestFit="1" customWidth="1"/>
    <col min="11257" max="11257" width="50.1796875" style="278" customWidth="1"/>
    <col min="11258" max="11258" width="9.81640625" style="278" customWidth="1"/>
    <col min="11259" max="11259" width="11.81640625" style="278" customWidth="1"/>
    <col min="11260" max="11260" width="13" style="278" customWidth="1"/>
    <col min="11261" max="11510" width="9.1796875" style="278"/>
    <col min="11511" max="11511" width="4.26953125" style="278" customWidth="1"/>
    <col min="11512" max="11512" width="2.26953125" style="278" bestFit="1" customWidth="1"/>
    <col min="11513" max="11513" width="50.1796875" style="278" customWidth="1"/>
    <col min="11514" max="11514" width="9.81640625" style="278" customWidth="1"/>
    <col min="11515" max="11515" width="11.81640625" style="278" customWidth="1"/>
    <col min="11516" max="11516" width="13" style="278" customWidth="1"/>
    <col min="11517" max="11766" width="9.1796875" style="278"/>
    <col min="11767" max="11767" width="4.26953125" style="278" customWidth="1"/>
    <col min="11768" max="11768" width="2.26953125" style="278" bestFit="1" customWidth="1"/>
    <col min="11769" max="11769" width="50.1796875" style="278" customWidth="1"/>
    <col min="11770" max="11770" width="9.81640625" style="278" customWidth="1"/>
    <col min="11771" max="11771" width="11.81640625" style="278" customWidth="1"/>
    <col min="11772" max="11772" width="13" style="278" customWidth="1"/>
    <col min="11773" max="12022" width="9.1796875" style="278"/>
    <col min="12023" max="12023" width="4.26953125" style="278" customWidth="1"/>
    <col min="12024" max="12024" width="2.26953125" style="278" bestFit="1" customWidth="1"/>
    <col min="12025" max="12025" width="50.1796875" style="278" customWidth="1"/>
    <col min="12026" max="12026" width="9.81640625" style="278" customWidth="1"/>
    <col min="12027" max="12027" width="11.81640625" style="278" customWidth="1"/>
    <col min="12028" max="12028" width="13" style="278" customWidth="1"/>
    <col min="12029" max="12278" width="9.1796875" style="278"/>
    <col min="12279" max="12279" width="4.26953125" style="278" customWidth="1"/>
    <col min="12280" max="12280" width="2.26953125" style="278" bestFit="1" customWidth="1"/>
    <col min="12281" max="12281" width="50.1796875" style="278" customWidth="1"/>
    <col min="12282" max="12282" width="9.81640625" style="278" customWidth="1"/>
    <col min="12283" max="12283" width="11.81640625" style="278" customWidth="1"/>
    <col min="12284" max="12284" width="13" style="278" customWidth="1"/>
    <col min="12285" max="12534" width="9.1796875" style="278"/>
    <col min="12535" max="12535" width="4.26953125" style="278" customWidth="1"/>
    <col min="12536" max="12536" width="2.26953125" style="278" bestFit="1" customWidth="1"/>
    <col min="12537" max="12537" width="50.1796875" style="278" customWidth="1"/>
    <col min="12538" max="12538" width="9.81640625" style="278" customWidth="1"/>
    <col min="12539" max="12539" width="11.81640625" style="278" customWidth="1"/>
    <col min="12540" max="12540" width="13" style="278" customWidth="1"/>
    <col min="12541" max="12790" width="9.1796875" style="278"/>
    <col min="12791" max="12791" width="4.26953125" style="278" customWidth="1"/>
    <col min="12792" max="12792" width="2.26953125" style="278" bestFit="1" customWidth="1"/>
    <col min="12793" max="12793" width="50.1796875" style="278" customWidth="1"/>
    <col min="12794" max="12794" width="9.81640625" style="278" customWidth="1"/>
    <col min="12795" max="12795" width="11.81640625" style="278" customWidth="1"/>
    <col min="12796" max="12796" width="13" style="278" customWidth="1"/>
    <col min="12797" max="13046" width="9.1796875" style="278"/>
    <col min="13047" max="13047" width="4.26953125" style="278" customWidth="1"/>
    <col min="13048" max="13048" width="2.26953125" style="278" bestFit="1" customWidth="1"/>
    <col min="13049" max="13049" width="50.1796875" style="278" customWidth="1"/>
    <col min="13050" max="13050" width="9.81640625" style="278" customWidth="1"/>
    <col min="13051" max="13051" width="11.81640625" style="278" customWidth="1"/>
    <col min="13052" max="13052" width="13" style="278" customWidth="1"/>
    <col min="13053" max="13302" width="9.1796875" style="278"/>
    <col min="13303" max="13303" width="4.26953125" style="278" customWidth="1"/>
    <col min="13304" max="13304" width="2.26953125" style="278" bestFit="1" customWidth="1"/>
    <col min="13305" max="13305" width="50.1796875" style="278" customWidth="1"/>
    <col min="13306" max="13306" width="9.81640625" style="278" customWidth="1"/>
    <col min="13307" max="13307" width="11.81640625" style="278" customWidth="1"/>
    <col min="13308" max="13308" width="13" style="278" customWidth="1"/>
    <col min="13309" max="13558" width="9.1796875" style="278"/>
    <col min="13559" max="13559" width="4.26953125" style="278" customWidth="1"/>
    <col min="13560" max="13560" width="2.26953125" style="278" bestFit="1" customWidth="1"/>
    <col min="13561" max="13561" width="50.1796875" style="278" customWidth="1"/>
    <col min="13562" max="13562" width="9.81640625" style="278" customWidth="1"/>
    <col min="13563" max="13563" width="11.81640625" style="278" customWidth="1"/>
    <col min="13564" max="13564" width="13" style="278" customWidth="1"/>
    <col min="13565" max="13814" width="9.1796875" style="278"/>
    <col min="13815" max="13815" width="4.26953125" style="278" customWidth="1"/>
    <col min="13816" max="13816" width="2.26953125" style="278" bestFit="1" customWidth="1"/>
    <col min="13817" max="13817" width="50.1796875" style="278" customWidth="1"/>
    <col min="13818" max="13818" width="9.81640625" style="278" customWidth="1"/>
    <col min="13819" max="13819" width="11.81640625" style="278" customWidth="1"/>
    <col min="13820" max="13820" width="13" style="278" customWidth="1"/>
    <col min="13821" max="14070" width="9.1796875" style="278"/>
    <col min="14071" max="14071" width="4.26953125" style="278" customWidth="1"/>
    <col min="14072" max="14072" width="2.26953125" style="278" bestFit="1" customWidth="1"/>
    <col min="14073" max="14073" width="50.1796875" style="278" customWidth="1"/>
    <col min="14074" max="14074" width="9.81640625" style="278" customWidth="1"/>
    <col min="14075" max="14075" width="11.81640625" style="278" customWidth="1"/>
    <col min="14076" max="14076" width="13" style="278" customWidth="1"/>
    <col min="14077" max="14326" width="9.1796875" style="278"/>
    <col min="14327" max="14327" width="4.26953125" style="278" customWidth="1"/>
    <col min="14328" max="14328" width="2.26953125" style="278" bestFit="1" customWidth="1"/>
    <col min="14329" max="14329" width="50.1796875" style="278" customWidth="1"/>
    <col min="14330" max="14330" width="9.81640625" style="278" customWidth="1"/>
    <col min="14331" max="14331" width="11.81640625" style="278" customWidth="1"/>
    <col min="14332" max="14332" width="13" style="278" customWidth="1"/>
    <col min="14333" max="14582" width="9.1796875" style="278"/>
    <col min="14583" max="14583" width="4.26953125" style="278" customWidth="1"/>
    <col min="14584" max="14584" width="2.26953125" style="278" bestFit="1" customWidth="1"/>
    <col min="14585" max="14585" width="50.1796875" style="278" customWidth="1"/>
    <col min="14586" max="14586" width="9.81640625" style="278" customWidth="1"/>
    <col min="14587" max="14587" width="11.81640625" style="278" customWidth="1"/>
    <col min="14588" max="14588" width="13" style="278" customWidth="1"/>
    <col min="14589" max="14838" width="9.1796875" style="278"/>
    <col min="14839" max="14839" width="4.26953125" style="278" customWidth="1"/>
    <col min="14840" max="14840" width="2.26953125" style="278" bestFit="1" customWidth="1"/>
    <col min="14841" max="14841" width="50.1796875" style="278" customWidth="1"/>
    <col min="14842" max="14842" width="9.81640625" style="278" customWidth="1"/>
    <col min="14843" max="14843" width="11.81640625" style="278" customWidth="1"/>
    <col min="14844" max="14844" width="13" style="278" customWidth="1"/>
    <col min="14845" max="15094" width="9.1796875" style="278"/>
    <col min="15095" max="15095" width="4.26953125" style="278" customWidth="1"/>
    <col min="15096" max="15096" width="2.26953125" style="278" bestFit="1" customWidth="1"/>
    <col min="15097" max="15097" width="50.1796875" style="278" customWidth="1"/>
    <col min="15098" max="15098" width="9.81640625" style="278" customWidth="1"/>
    <col min="15099" max="15099" width="11.81640625" style="278" customWidth="1"/>
    <col min="15100" max="15100" width="13" style="278" customWidth="1"/>
    <col min="15101" max="15350" width="9.1796875" style="278"/>
    <col min="15351" max="15351" width="4.26953125" style="278" customWidth="1"/>
    <col min="15352" max="15352" width="2.26953125" style="278" bestFit="1" customWidth="1"/>
    <col min="15353" max="15353" width="50.1796875" style="278" customWidth="1"/>
    <col min="15354" max="15354" width="9.81640625" style="278" customWidth="1"/>
    <col min="15355" max="15355" width="11.81640625" style="278" customWidth="1"/>
    <col min="15356" max="15356" width="13" style="278" customWidth="1"/>
    <col min="15357" max="15606" width="9.1796875" style="278"/>
    <col min="15607" max="15607" width="4.26953125" style="278" customWidth="1"/>
    <col min="15608" max="15608" width="2.26953125" style="278" bestFit="1" customWidth="1"/>
    <col min="15609" max="15609" width="50.1796875" style="278" customWidth="1"/>
    <col min="15610" max="15610" width="9.81640625" style="278" customWidth="1"/>
    <col min="15611" max="15611" width="11.81640625" style="278" customWidth="1"/>
    <col min="15612" max="15612" width="13" style="278" customWidth="1"/>
    <col min="15613" max="15862" width="9.1796875" style="278"/>
    <col min="15863" max="15863" width="4.26953125" style="278" customWidth="1"/>
    <col min="15864" max="15864" width="2.26953125" style="278" bestFit="1" customWidth="1"/>
    <col min="15865" max="15865" width="50.1796875" style="278" customWidth="1"/>
    <col min="15866" max="15866" width="9.81640625" style="278" customWidth="1"/>
    <col min="15867" max="15867" width="11.81640625" style="278" customWidth="1"/>
    <col min="15868" max="15868" width="13" style="278" customWidth="1"/>
    <col min="15869" max="16118" width="9.1796875" style="278"/>
    <col min="16119" max="16119" width="4.26953125" style="278" customWidth="1"/>
    <col min="16120" max="16120" width="2.26953125" style="278" bestFit="1" customWidth="1"/>
    <col min="16121" max="16121" width="50.1796875" style="278" customWidth="1"/>
    <col min="16122" max="16122" width="9.81640625" style="278" customWidth="1"/>
    <col min="16123" max="16123" width="11.81640625" style="278" customWidth="1"/>
    <col min="16124" max="16124" width="13" style="278" customWidth="1"/>
    <col min="16125" max="16384" width="9.1796875" style="278"/>
  </cols>
  <sheetData>
    <row r="1" spans="1:5" ht="18" customHeight="1">
      <c r="A1" s="2991" t="s">
        <v>218</v>
      </c>
      <c r="B1" s="2991"/>
      <c r="C1" s="2991"/>
    </row>
    <row r="2" spans="1:5" ht="18" customHeight="1">
      <c r="A2" s="2993" t="s">
        <v>1604</v>
      </c>
      <c r="B2" s="2993"/>
      <c r="C2" s="2993"/>
      <c r="D2" s="2993"/>
    </row>
    <row r="3" spans="1:5" ht="18" customHeight="1">
      <c r="A3" s="304" t="s">
        <v>217</v>
      </c>
      <c r="B3" s="304"/>
      <c r="C3" s="304"/>
      <c r="D3" s="304"/>
      <c r="E3" s="221"/>
    </row>
    <row r="4" spans="1:5" ht="18" customHeight="1">
      <c r="A4" s="225"/>
      <c r="B4" s="225"/>
      <c r="C4" s="56"/>
      <c r="D4" s="223"/>
      <c r="E4" s="227" t="s">
        <v>141</v>
      </c>
    </row>
    <row r="5" spans="1:5" ht="29">
      <c r="A5" s="3011" t="s">
        <v>106</v>
      </c>
      <c r="B5" s="3012"/>
      <c r="C5" s="2994" t="s">
        <v>14</v>
      </c>
      <c r="D5" s="200" t="s">
        <v>729</v>
      </c>
      <c r="E5" s="1308" t="s">
        <v>728</v>
      </c>
    </row>
    <row r="6" spans="1:5" ht="18" customHeight="1">
      <c r="A6" s="3013"/>
      <c r="B6" s="3014"/>
      <c r="C6" s="2994"/>
      <c r="D6" s="646" t="s">
        <v>551</v>
      </c>
      <c r="E6" s="1305" t="s">
        <v>545</v>
      </c>
    </row>
    <row r="7" spans="1:5" ht="15.75" customHeight="1">
      <c r="A7" s="3003" t="s">
        <v>57</v>
      </c>
      <c r="B7" s="3000" t="s">
        <v>671</v>
      </c>
      <c r="C7" s="3002"/>
      <c r="D7" s="146"/>
      <c r="E7" s="295"/>
    </row>
    <row r="8" spans="1:5" ht="14.5">
      <c r="A8" s="3004"/>
      <c r="B8" s="3015" t="s">
        <v>696</v>
      </c>
      <c r="C8" s="3016"/>
      <c r="D8" s="1343">
        <v>-1222.9906000000001</v>
      </c>
      <c r="E8" s="1343">
        <v>-3648.0614164609979</v>
      </c>
    </row>
    <row r="9" spans="1:5" ht="14.5">
      <c r="A9" s="3004"/>
      <c r="B9" s="3015" t="s">
        <v>672</v>
      </c>
      <c r="C9" s="3016"/>
      <c r="D9" s="699"/>
      <c r="E9" s="665"/>
    </row>
    <row r="10" spans="1:5" ht="14.5">
      <c r="A10" s="3004"/>
      <c r="B10" s="296" t="s">
        <v>19</v>
      </c>
      <c r="C10" s="297" t="s">
        <v>25</v>
      </c>
      <c r="D10" s="939">
        <v>549.40510000000006</v>
      </c>
      <c r="E10" s="939">
        <v>963.01802420000013</v>
      </c>
    </row>
    <row r="11" spans="1:5" ht="14.5">
      <c r="A11" s="3004"/>
      <c r="B11" s="296" t="s">
        <v>20</v>
      </c>
      <c r="C11" s="297" t="s">
        <v>697</v>
      </c>
      <c r="D11" s="935">
        <v>0</v>
      </c>
      <c r="E11" s="935">
        <v>0</v>
      </c>
    </row>
    <row r="12" spans="1:5" ht="15" customHeight="1">
      <c r="A12" s="3004"/>
      <c r="B12" s="296" t="s">
        <v>21</v>
      </c>
      <c r="C12" s="298" t="s">
        <v>698</v>
      </c>
      <c r="D12" s="935">
        <v>0</v>
      </c>
      <c r="E12" s="935">
        <v>0</v>
      </c>
    </row>
    <row r="13" spans="1:5" ht="15" customHeight="1">
      <c r="A13" s="3004"/>
      <c r="B13" s="296" t="s">
        <v>24</v>
      </c>
      <c r="C13" s="298" t="s">
        <v>699</v>
      </c>
      <c r="D13" s="935">
        <v>0</v>
      </c>
      <c r="E13" s="935">
        <v>0</v>
      </c>
    </row>
    <row r="14" spans="1:5" ht="15" customHeight="1">
      <c r="A14" s="3004"/>
      <c r="B14" s="296" t="s">
        <v>26</v>
      </c>
      <c r="C14" s="298" t="s">
        <v>700</v>
      </c>
      <c r="D14" s="935">
        <v>0</v>
      </c>
      <c r="E14" s="935">
        <v>0</v>
      </c>
    </row>
    <row r="15" spans="1:5" ht="18" customHeight="1">
      <c r="A15" s="3004"/>
      <c r="B15" s="296" t="s">
        <v>27</v>
      </c>
      <c r="C15" s="297" t="s">
        <v>673</v>
      </c>
      <c r="D15" s="935">
        <v>1498.8398000000002</v>
      </c>
      <c r="E15" s="935">
        <v>1830.3473295609999</v>
      </c>
    </row>
    <row r="16" spans="1:5" ht="14.5">
      <c r="A16" s="3004"/>
      <c r="B16" s="296" t="s">
        <v>28</v>
      </c>
      <c r="C16" s="297" t="s">
        <v>701</v>
      </c>
      <c r="D16" s="935">
        <v>0</v>
      </c>
      <c r="E16" s="935">
        <v>0</v>
      </c>
    </row>
    <row r="17" spans="1:5" ht="14.5">
      <c r="A17" s="3004"/>
      <c r="B17" s="296" t="s">
        <v>30</v>
      </c>
      <c r="C17" s="297" t="s">
        <v>702</v>
      </c>
      <c r="D17" s="935">
        <v>0</v>
      </c>
      <c r="E17" s="935">
        <v>0</v>
      </c>
    </row>
    <row r="18" spans="1:5" ht="14.5">
      <c r="A18" s="3004"/>
      <c r="B18" s="296" t="s">
        <v>129</v>
      </c>
      <c r="C18" s="297" t="s">
        <v>674</v>
      </c>
      <c r="D18" s="935">
        <v>0</v>
      </c>
      <c r="E18" s="935">
        <v>0</v>
      </c>
    </row>
    <row r="19" spans="1:5" ht="14.5">
      <c r="A19" s="3004"/>
      <c r="B19" s="296" t="s">
        <v>136</v>
      </c>
      <c r="C19" s="297" t="s">
        <v>675</v>
      </c>
      <c r="D19" s="935">
        <v>0</v>
      </c>
      <c r="E19" s="935">
        <v>0</v>
      </c>
    </row>
    <row r="20" spans="1:5" ht="14.5">
      <c r="A20" s="3004"/>
      <c r="B20" s="3000" t="s">
        <v>676</v>
      </c>
      <c r="C20" s="3002"/>
      <c r="D20" s="935">
        <v>2048.2449000000001</v>
      </c>
      <c r="E20" s="935">
        <v>2793.3653537609998</v>
      </c>
    </row>
    <row r="21" spans="1:5" ht="14.5">
      <c r="A21" s="3004"/>
      <c r="B21" s="3000" t="s">
        <v>677</v>
      </c>
      <c r="C21" s="3002"/>
      <c r="D21" s="935">
        <v>825.25430000000006</v>
      </c>
      <c r="E21" s="935">
        <v>-854.69606269999804</v>
      </c>
    </row>
    <row r="22" spans="1:5" ht="14.5">
      <c r="A22" s="3004"/>
      <c r="B22" s="3015" t="s">
        <v>672</v>
      </c>
      <c r="C22" s="3016"/>
      <c r="D22" s="935">
        <v>0</v>
      </c>
      <c r="E22" s="935">
        <v>0</v>
      </c>
    </row>
    <row r="23" spans="1:5" ht="18" customHeight="1">
      <c r="A23" s="3004"/>
      <c r="B23" s="296" t="s">
        <v>19</v>
      </c>
      <c r="C23" s="299" t="s">
        <v>678</v>
      </c>
      <c r="D23" s="935">
        <v>-10.0791</v>
      </c>
      <c r="E23" s="935">
        <v>108.00193209999999</v>
      </c>
    </row>
    <row r="24" spans="1:5" ht="14.5">
      <c r="A24" s="3004"/>
      <c r="B24" s="296" t="s">
        <v>20</v>
      </c>
      <c r="C24" s="297" t="s">
        <v>679</v>
      </c>
      <c r="D24" s="935">
        <v>-3127.5149999999999</v>
      </c>
      <c r="E24" s="935">
        <v>-1825.3172242000001</v>
      </c>
    </row>
    <row r="25" spans="1:5" ht="14.5">
      <c r="A25" s="3004"/>
      <c r="B25" s="296" t="s">
        <v>21</v>
      </c>
      <c r="C25" s="297" t="s">
        <v>176</v>
      </c>
      <c r="D25" s="935">
        <v>636.00660000000005</v>
      </c>
      <c r="E25" s="935">
        <v>-7938.9630728259999</v>
      </c>
    </row>
    <row r="26" spans="1:5" ht="14.5">
      <c r="A26" s="3004"/>
      <c r="B26" s="296" t="s">
        <v>24</v>
      </c>
      <c r="C26" s="297" t="s">
        <v>703</v>
      </c>
      <c r="D26" s="935">
        <v>0</v>
      </c>
      <c r="E26" s="935">
        <v>0</v>
      </c>
    </row>
    <row r="27" spans="1:5" ht="14.5">
      <c r="A27" s="3004"/>
      <c r="B27" s="296" t="s">
        <v>26</v>
      </c>
      <c r="C27" s="297" t="s">
        <v>680</v>
      </c>
      <c r="D27" s="935">
        <v>0</v>
      </c>
      <c r="E27" s="935">
        <v>0</v>
      </c>
    </row>
    <row r="28" spans="1:5" ht="14.5">
      <c r="A28" s="3004"/>
      <c r="B28" s="296" t="s">
        <v>27</v>
      </c>
      <c r="C28" s="297" t="s">
        <v>681</v>
      </c>
      <c r="D28" s="935">
        <v>0</v>
      </c>
      <c r="E28" s="935">
        <v>0</v>
      </c>
    </row>
    <row r="29" spans="1:5" ht="14.5">
      <c r="A29" s="3004"/>
      <c r="B29" s="296" t="s">
        <v>28</v>
      </c>
      <c r="C29" s="297" t="s">
        <v>704</v>
      </c>
      <c r="D29" s="935">
        <v>0</v>
      </c>
      <c r="E29" s="935">
        <v>0</v>
      </c>
    </row>
    <row r="30" spans="1:5" ht="14.5">
      <c r="A30" s="3004"/>
      <c r="B30" s="296" t="s">
        <v>30</v>
      </c>
      <c r="C30" s="297" t="s">
        <v>694</v>
      </c>
      <c r="D30" s="935">
        <v>314.0489</v>
      </c>
      <c r="E30" s="935">
        <v>1058.4227355</v>
      </c>
    </row>
    <row r="31" spans="1:5" ht="14.5">
      <c r="A31" s="3004"/>
      <c r="B31" s="296" t="s">
        <v>129</v>
      </c>
      <c r="C31" s="297" t="s">
        <v>695</v>
      </c>
      <c r="D31" s="935">
        <v>0</v>
      </c>
      <c r="E31" s="935">
        <v>0</v>
      </c>
    </row>
    <row r="32" spans="1:5" ht="14.5">
      <c r="A32" s="3004"/>
      <c r="B32" s="296" t="s">
        <v>136</v>
      </c>
      <c r="C32" s="297" t="s">
        <v>682</v>
      </c>
      <c r="D32" s="935">
        <v>0</v>
      </c>
      <c r="E32" s="935">
        <v>0</v>
      </c>
    </row>
    <row r="33" spans="1:5" ht="14.5">
      <c r="A33" s="3004"/>
      <c r="B33" s="296" t="s">
        <v>706</v>
      </c>
      <c r="C33" s="297" t="s">
        <v>683</v>
      </c>
      <c r="D33" s="935">
        <v>3821.4485999999997</v>
      </c>
      <c r="E33" s="935">
        <v>-7869.9442651999998</v>
      </c>
    </row>
    <row r="34" spans="1:5" ht="14.5">
      <c r="A34" s="3004"/>
      <c r="B34" s="300" t="s">
        <v>707</v>
      </c>
      <c r="C34" s="301" t="s">
        <v>705</v>
      </c>
      <c r="D34" s="935">
        <v>0</v>
      </c>
      <c r="E34" s="935">
        <v>0</v>
      </c>
    </row>
    <row r="35" spans="1:5" ht="14.5">
      <c r="A35" s="3004"/>
      <c r="B35" s="3000" t="s">
        <v>708</v>
      </c>
      <c r="C35" s="3002"/>
      <c r="D35" s="935">
        <v>1633.9099999999999</v>
      </c>
      <c r="E35" s="935">
        <v>-16467.799894625998</v>
      </c>
    </row>
    <row r="36" spans="1:5" ht="14.5">
      <c r="A36" s="3004"/>
      <c r="B36" s="3000" t="s">
        <v>709</v>
      </c>
      <c r="C36" s="3002"/>
      <c r="D36" s="935">
        <v>0</v>
      </c>
      <c r="E36" s="935">
        <v>0</v>
      </c>
    </row>
    <row r="37" spans="1:5" ht="14.5">
      <c r="A37" s="3005"/>
      <c r="B37" s="3000" t="s">
        <v>717</v>
      </c>
      <c r="C37" s="3002"/>
      <c r="D37" s="935">
        <v>2459.1642999999999</v>
      </c>
      <c r="E37" s="935">
        <v>-17322.495957325995</v>
      </c>
    </row>
    <row r="38" spans="1:5" ht="14.5">
      <c r="A38" s="3003" t="s">
        <v>58</v>
      </c>
      <c r="B38" s="3009" t="s">
        <v>718</v>
      </c>
      <c r="C38" s="3010"/>
      <c r="D38" s="935">
        <v>0</v>
      </c>
      <c r="E38" s="935">
        <v>0</v>
      </c>
    </row>
    <row r="39" spans="1:5" ht="15" customHeight="1">
      <c r="A39" s="3004"/>
      <c r="B39" s="296" t="s">
        <v>19</v>
      </c>
      <c r="C39" s="299" t="s">
        <v>710</v>
      </c>
      <c r="D39" s="935">
        <v>-3497.3271999999997</v>
      </c>
      <c r="E39" s="935">
        <v>-1622.3203472000032</v>
      </c>
    </row>
    <row r="40" spans="1:5" ht="14.5">
      <c r="A40" s="3004"/>
      <c r="B40" s="296" t="s">
        <v>20</v>
      </c>
      <c r="C40" s="299" t="s">
        <v>711</v>
      </c>
      <c r="D40" s="935">
        <v>1247.4223</v>
      </c>
      <c r="E40" s="935">
        <v>0</v>
      </c>
    </row>
    <row r="41" spans="1:5" ht="14.5">
      <c r="A41" s="3004"/>
      <c r="B41" s="296" t="s">
        <v>21</v>
      </c>
      <c r="C41" s="297" t="s">
        <v>712</v>
      </c>
      <c r="D41" s="935">
        <v>0</v>
      </c>
      <c r="E41" s="935">
        <v>0</v>
      </c>
    </row>
    <row r="42" spans="1:5" ht="14.5">
      <c r="A42" s="3004"/>
      <c r="B42" s="296" t="s">
        <v>24</v>
      </c>
      <c r="C42" s="297" t="s">
        <v>713</v>
      </c>
      <c r="D42" s="935">
        <v>-1247.4223</v>
      </c>
      <c r="E42" s="935">
        <v>297.86523980000004</v>
      </c>
    </row>
    <row r="43" spans="1:5" ht="15.75" customHeight="1">
      <c r="A43" s="3004"/>
      <c r="B43" s="296" t="s">
        <v>26</v>
      </c>
      <c r="C43" s="297" t="s">
        <v>714</v>
      </c>
      <c r="D43" s="935">
        <v>0</v>
      </c>
      <c r="E43" s="935">
        <v>0</v>
      </c>
    </row>
    <row r="44" spans="1:5" ht="18" customHeight="1">
      <c r="A44" s="3004"/>
      <c r="B44" s="296" t="s">
        <v>27</v>
      </c>
      <c r="C44" s="297" t="s">
        <v>715</v>
      </c>
      <c r="D44" s="935">
        <v>0</v>
      </c>
      <c r="E44" s="935">
        <v>0</v>
      </c>
    </row>
    <row r="45" spans="1:5" ht="14.5">
      <c r="A45" s="3004"/>
      <c r="B45" s="296" t="s">
        <v>28</v>
      </c>
      <c r="C45" s="297" t="s">
        <v>716</v>
      </c>
      <c r="D45" s="935">
        <v>0</v>
      </c>
      <c r="E45" s="935">
        <v>0</v>
      </c>
    </row>
    <row r="46" spans="1:5" ht="14.5">
      <c r="A46" s="3005"/>
      <c r="B46" s="3000" t="s">
        <v>719</v>
      </c>
      <c r="C46" s="3002"/>
      <c r="D46" s="935">
        <v>-3497.3271999999997</v>
      </c>
      <c r="E46" s="935">
        <v>-1324.4551074000033</v>
      </c>
    </row>
    <row r="47" spans="1:5" ht="14.5">
      <c r="A47" s="3003" t="s">
        <v>67</v>
      </c>
      <c r="B47" s="3000" t="s">
        <v>684</v>
      </c>
      <c r="C47" s="3002"/>
      <c r="D47" s="935">
        <v>0</v>
      </c>
      <c r="E47" s="935">
        <v>0</v>
      </c>
    </row>
    <row r="48" spans="1:5" ht="14.5">
      <c r="A48" s="3004"/>
      <c r="B48" s="3006" t="s">
        <v>19</v>
      </c>
      <c r="C48" s="297" t="s">
        <v>685</v>
      </c>
      <c r="D48" s="935">
        <v>0</v>
      </c>
      <c r="E48" s="935">
        <v>0</v>
      </c>
    </row>
    <row r="49" spans="1:5" ht="14.5">
      <c r="A49" s="3004"/>
      <c r="B49" s="3007"/>
      <c r="C49" s="297" t="s">
        <v>686</v>
      </c>
      <c r="D49" s="935">
        <v>-1157.2571</v>
      </c>
      <c r="E49" s="935">
        <v>-1830.3473295609999</v>
      </c>
    </row>
    <row r="50" spans="1:5" ht="14.5">
      <c r="A50" s="3004"/>
      <c r="B50" s="3008"/>
      <c r="C50" s="297" t="s">
        <v>687</v>
      </c>
      <c r="D50" s="935">
        <v>-1498.8398000000002</v>
      </c>
      <c r="E50" s="935">
        <v>11442.1563818</v>
      </c>
    </row>
    <row r="51" spans="1:5" ht="18" customHeight="1">
      <c r="A51" s="3004"/>
      <c r="B51" s="296" t="s">
        <v>20</v>
      </c>
      <c r="C51" s="297" t="s">
        <v>688</v>
      </c>
      <c r="D51" s="935">
        <v>0</v>
      </c>
      <c r="E51" s="935">
        <v>0</v>
      </c>
    </row>
    <row r="52" spans="1:5" ht="14.5">
      <c r="A52" s="3004"/>
      <c r="B52" s="296" t="s">
        <v>21</v>
      </c>
      <c r="C52" s="297" t="s">
        <v>689</v>
      </c>
      <c r="D52" s="935">
        <v>859.01030000000003</v>
      </c>
      <c r="E52" s="935">
        <v>1194.4002582000001</v>
      </c>
    </row>
    <row r="53" spans="1:5" ht="14.5">
      <c r="A53" s="3004"/>
      <c r="B53" s="296" t="s">
        <v>24</v>
      </c>
      <c r="C53" s="299" t="s">
        <v>690</v>
      </c>
      <c r="D53" s="935">
        <v>1341.8589000000002</v>
      </c>
      <c r="E53" s="935">
        <v>-6313.8750761000001</v>
      </c>
    </row>
    <row r="54" spans="1:5" ht="14.5">
      <c r="A54" s="3004"/>
      <c r="B54" s="296" t="s">
        <v>26</v>
      </c>
      <c r="C54" s="299" t="s">
        <v>691</v>
      </c>
      <c r="D54" s="935">
        <v>0</v>
      </c>
      <c r="E54" s="935">
        <v>14044.6157998</v>
      </c>
    </row>
    <row r="55" spans="1:5" ht="14.5">
      <c r="A55" s="3004"/>
      <c r="B55" s="296" t="s">
        <v>27</v>
      </c>
      <c r="C55" s="299" t="s">
        <v>673</v>
      </c>
      <c r="D55" s="935">
        <v>0</v>
      </c>
      <c r="E55" s="935">
        <v>0</v>
      </c>
    </row>
    <row r="56" spans="1:5" ht="14.5">
      <c r="A56" s="3004"/>
      <c r="B56" s="302" t="s">
        <v>28</v>
      </c>
      <c r="C56" s="299" t="s">
        <v>692</v>
      </c>
      <c r="D56" s="935">
        <v>0</v>
      </c>
      <c r="E56" s="935">
        <v>0</v>
      </c>
    </row>
    <row r="57" spans="1:5" ht="14.5">
      <c r="A57" s="3004"/>
      <c r="B57" s="302" t="s">
        <v>30</v>
      </c>
      <c r="C57" s="299" t="s">
        <v>720</v>
      </c>
      <c r="D57" s="935">
        <v>0</v>
      </c>
      <c r="E57" s="935">
        <v>0</v>
      </c>
    </row>
    <row r="58" spans="1:5" ht="14.5">
      <c r="A58" s="3004"/>
      <c r="B58" s="302" t="s">
        <v>129</v>
      </c>
      <c r="C58" s="299" t="s">
        <v>721</v>
      </c>
      <c r="D58" s="935">
        <v>0</v>
      </c>
      <c r="E58" s="935">
        <v>0</v>
      </c>
    </row>
    <row r="59" spans="1:5" ht="14.5">
      <c r="A59" s="3005"/>
      <c r="B59" s="3000" t="s">
        <v>722</v>
      </c>
      <c r="C59" s="3002"/>
      <c r="D59" s="935">
        <v>-455.22770000000037</v>
      </c>
      <c r="E59" s="935">
        <v>18536.950034138998</v>
      </c>
    </row>
    <row r="60" spans="1:5" ht="14.5">
      <c r="A60" s="3000" t="s">
        <v>693</v>
      </c>
      <c r="B60" s="3001"/>
      <c r="C60" s="3002"/>
      <c r="D60" s="935">
        <v>-1493.3906000000002</v>
      </c>
      <c r="E60" s="935">
        <v>-109.9687</v>
      </c>
    </row>
    <row r="61" spans="1:5" ht="14.5">
      <c r="A61" s="3000" t="s">
        <v>723</v>
      </c>
      <c r="B61" s="3001"/>
      <c r="C61" s="3002"/>
      <c r="D61" s="935">
        <v>0</v>
      </c>
      <c r="E61" s="935">
        <v>913.39660000000003</v>
      </c>
    </row>
    <row r="62" spans="1:5" ht="14.5">
      <c r="A62" s="3000" t="s">
        <v>724</v>
      </c>
      <c r="B62" s="3001"/>
      <c r="C62" s="3002"/>
      <c r="D62" s="935">
        <v>-1493.3906000000002</v>
      </c>
      <c r="E62" s="935">
        <v>803.42790000000002</v>
      </c>
    </row>
    <row r="63" spans="1:5" ht="18" customHeight="1">
      <c r="A63" s="266" t="s">
        <v>120</v>
      </c>
      <c r="B63" s="266" t="s">
        <v>732</v>
      </c>
      <c r="D63" s="671"/>
      <c r="E63" s="671"/>
    </row>
    <row r="64" spans="1:5" ht="18" customHeight="1">
      <c r="A64" s="266" t="s">
        <v>731</v>
      </c>
      <c r="B64" s="266" t="s">
        <v>730</v>
      </c>
      <c r="E64" s="671"/>
    </row>
  </sheetData>
  <mergeCells count="24">
    <mergeCell ref="B22:C22"/>
    <mergeCell ref="B35:C35"/>
    <mergeCell ref="B37:C37"/>
    <mergeCell ref="B7:C7"/>
    <mergeCell ref="B8:C8"/>
    <mergeCell ref="B9:C9"/>
    <mergeCell ref="B20:C20"/>
    <mergeCell ref="B21:C21"/>
    <mergeCell ref="A1:C1"/>
    <mergeCell ref="A62:C62"/>
    <mergeCell ref="A47:A59"/>
    <mergeCell ref="B47:C47"/>
    <mergeCell ref="B48:B50"/>
    <mergeCell ref="B59:C59"/>
    <mergeCell ref="A60:C60"/>
    <mergeCell ref="A38:A46"/>
    <mergeCell ref="B38:C38"/>
    <mergeCell ref="B46:C46"/>
    <mergeCell ref="B36:C36"/>
    <mergeCell ref="A61:C61"/>
    <mergeCell ref="A2:D2"/>
    <mergeCell ref="C5:C6"/>
    <mergeCell ref="A5:B6"/>
    <mergeCell ref="A7:A37"/>
  </mergeCells>
  <printOptions horizontalCentered="1"/>
  <pageMargins left="0.19685039370078741" right="0.19685039370078741" top="0.19685039370078741" bottom="0.19685039370078741" header="0.19685039370078741" footer="0.19685039370078741"/>
  <pageSetup paperSize="9" scale="7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4"/>
  <sheetViews>
    <sheetView view="pageBreakPreview" zoomScale="85" zoomScaleNormal="85" zoomScaleSheetLayoutView="85" workbookViewId="0">
      <pane xSplit="2" ySplit="8" topLeftCell="J9"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3.26953125" style="79" customWidth="1"/>
    <col min="2" max="2" width="30" style="79" customWidth="1"/>
    <col min="3" max="3" width="11.54296875" style="79" bestFit="1" customWidth="1"/>
    <col min="4" max="4" width="12" style="79" bestFit="1" customWidth="1"/>
    <col min="5" max="5" width="12" style="79" customWidth="1"/>
    <col min="6" max="7" width="12" style="79" bestFit="1" customWidth="1"/>
    <col min="8" max="8" width="12" style="79" customWidth="1"/>
    <col min="9" max="10" width="12" style="79" bestFit="1" customWidth="1"/>
    <col min="11" max="11" width="14.26953125" style="79" customWidth="1"/>
    <col min="12" max="13" width="12" style="79" bestFit="1" customWidth="1"/>
    <col min="14" max="14" width="12" style="79" customWidth="1"/>
    <col min="15" max="16" width="12" style="79" bestFit="1" customWidth="1"/>
    <col min="17" max="17" width="12" style="79" customWidth="1"/>
    <col min="18" max="18" width="12" style="79" bestFit="1" customWidth="1"/>
    <col min="19" max="19" width="12" bestFit="1" customWidth="1"/>
    <col min="20" max="20" width="12" style="610" customWidth="1"/>
    <col min="21" max="21" width="12" bestFit="1" customWidth="1"/>
    <col min="22" max="22" width="14.1796875" bestFit="1" customWidth="1"/>
    <col min="23" max="23" width="9.1796875" style="610"/>
    <col min="24" max="24" width="14" bestFit="1" customWidth="1"/>
  </cols>
  <sheetData>
    <row r="1" spans="1:24" s="220" customFormat="1">
      <c r="A1" s="3314" t="s">
        <v>344</v>
      </c>
      <c r="B1" s="3314"/>
      <c r="C1" s="79"/>
      <c r="D1" s="79"/>
      <c r="E1" s="79"/>
      <c r="F1" s="79"/>
      <c r="G1" s="79"/>
      <c r="H1" s="79"/>
      <c r="I1" s="79"/>
      <c r="J1" s="79"/>
      <c r="K1" s="79"/>
      <c r="L1" s="79"/>
      <c r="M1" s="79"/>
      <c r="N1" s="79"/>
      <c r="O1" s="79"/>
      <c r="P1" s="79"/>
      <c r="Q1" s="79"/>
      <c r="R1" s="79"/>
      <c r="T1" s="610"/>
      <c r="W1" s="610"/>
    </row>
    <row r="2" spans="1:24" ht="15" customHeight="1">
      <c r="A2" s="3333" t="str">
        <f>'F17'!A2:F2</f>
        <v>Name of Distribution Licensee: PUVVNL</v>
      </c>
      <c r="B2" s="3334"/>
      <c r="C2" s="3334"/>
      <c r="D2" s="3334"/>
      <c r="E2" s="3334"/>
      <c r="F2" s="3334"/>
      <c r="G2" s="3334"/>
      <c r="H2" s="3334"/>
      <c r="I2" s="3334"/>
      <c r="J2" s="3334"/>
      <c r="K2" s="3334"/>
      <c r="L2" s="3334"/>
      <c r="M2" s="3334"/>
      <c r="N2" s="3334"/>
      <c r="O2" s="3334"/>
      <c r="P2" s="3334"/>
      <c r="Q2" s="3334"/>
      <c r="R2" s="3334"/>
    </row>
    <row r="3" spans="1:24" ht="15" customHeight="1">
      <c r="A3" s="573" t="s">
        <v>5</v>
      </c>
      <c r="B3" s="573"/>
      <c r="C3" s="573"/>
      <c r="D3" s="573"/>
      <c r="E3" s="573"/>
      <c r="F3" s="573"/>
      <c r="G3" s="573"/>
      <c r="H3" s="573"/>
      <c r="I3" s="573"/>
      <c r="J3" s="573"/>
      <c r="K3" s="573"/>
      <c r="L3" s="573"/>
      <c r="M3" s="573"/>
      <c r="N3" s="573"/>
      <c r="O3" s="573"/>
      <c r="P3" s="573"/>
      <c r="Q3" s="199"/>
      <c r="R3" s="199"/>
      <c r="S3" s="199"/>
      <c r="T3" s="199"/>
      <c r="U3" s="199"/>
      <c r="V3" s="199"/>
      <c r="W3" s="199"/>
      <c r="X3" s="199"/>
    </row>
    <row r="4" spans="1:24">
      <c r="A4" s="77"/>
      <c r="B4" s="77"/>
      <c r="C4" s="77"/>
      <c r="D4" s="77"/>
      <c r="E4" s="77"/>
      <c r="F4" s="77"/>
      <c r="G4" s="77"/>
      <c r="H4" s="77"/>
      <c r="I4" s="77"/>
      <c r="J4" s="77"/>
      <c r="K4" s="77"/>
      <c r="L4" s="77"/>
      <c r="M4" s="77"/>
      <c r="N4" s="77"/>
      <c r="O4" s="77"/>
      <c r="P4" s="3331"/>
      <c r="Q4" s="3331"/>
      <c r="R4" s="3335"/>
      <c r="W4" s="991" t="s">
        <v>141</v>
      </c>
    </row>
    <row r="5" spans="1:24">
      <c r="A5" s="3316" t="s">
        <v>117</v>
      </c>
      <c r="B5" s="3316" t="s">
        <v>14</v>
      </c>
      <c r="C5" s="3024" t="s">
        <v>563</v>
      </c>
      <c r="D5" s="3073"/>
      <c r="E5" s="3073"/>
      <c r="F5" s="3073"/>
      <c r="G5" s="3073"/>
      <c r="H5" s="3073"/>
      <c r="I5" s="3073"/>
      <c r="J5" s="3024" t="s">
        <v>560</v>
      </c>
      <c r="K5" s="3073"/>
      <c r="L5" s="3073"/>
      <c r="M5" s="3073"/>
      <c r="N5" s="3073"/>
      <c r="O5" s="3073"/>
      <c r="P5" s="3073"/>
      <c r="Q5" s="3073"/>
      <c r="R5" s="3025"/>
      <c r="S5" s="3024" t="s">
        <v>550</v>
      </c>
      <c r="T5" s="3073"/>
      <c r="U5" s="3025"/>
      <c r="V5" s="3024" t="s">
        <v>952</v>
      </c>
      <c r="W5" s="3073"/>
      <c r="X5" s="3025"/>
    </row>
    <row r="6" spans="1:24">
      <c r="A6" s="3316"/>
      <c r="B6" s="3316"/>
      <c r="C6" s="3062" t="s">
        <v>553</v>
      </c>
      <c r="D6" s="3063"/>
      <c r="E6" s="3063"/>
      <c r="F6" s="3064"/>
      <c r="G6" s="3018" t="s">
        <v>551</v>
      </c>
      <c r="H6" s="3019"/>
      <c r="I6" s="3022"/>
      <c r="J6" s="3024" t="s">
        <v>545</v>
      </c>
      <c r="K6" s="3073"/>
      <c r="L6" s="3073"/>
      <c r="M6" s="3073"/>
      <c r="N6" s="3073"/>
      <c r="O6" s="3073"/>
      <c r="P6" s="3073"/>
      <c r="Q6" s="3073"/>
      <c r="R6" s="3025"/>
      <c r="S6" s="3024" t="s">
        <v>546</v>
      </c>
      <c r="T6" s="3073"/>
      <c r="U6" s="3025"/>
      <c r="V6" s="3024" t="s">
        <v>547</v>
      </c>
      <c r="W6" s="3073"/>
      <c r="X6" s="3025"/>
    </row>
    <row r="7" spans="1:24">
      <c r="A7" s="3316"/>
      <c r="B7" s="3316"/>
      <c r="C7" s="3062" t="s">
        <v>1291</v>
      </c>
      <c r="D7" s="3063"/>
      <c r="E7" s="3063"/>
      <c r="F7" s="3064"/>
      <c r="G7" s="3018" t="s">
        <v>1290</v>
      </c>
      <c r="H7" s="3019"/>
      <c r="I7" s="3022"/>
      <c r="J7" s="3024" t="s">
        <v>543</v>
      </c>
      <c r="K7" s="3073"/>
      <c r="L7" s="3025"/>
      <c r="M7" s="3024" t="s">
        <v>281</v>
      </c>
      <c r="N7" s="3073"/>
      <c r="O7" s="3025"/>
      <c r="P7" s="3024" t="s">
        <v>544</v>
      </c>
      <c r="Q7" s="3073"/>
      <c r="R7" s="3025"/>
      <c r="S7" s="3024" t="s">
        <v>552</v>
      </c>
      <c r="T7" s="3073"/>
      <c r="U7" s="3025"/>
      <c r="V7" s="3026" t="s">
        <v>283</v>
      </c>
      <c r="W7" s="3026"/>
      <c r="X7" s="3026"/>
    </row>
    <row r="8" spans="1:24" ht="43.5">
      <c r="A8" s="3316"/>
      <c r="B8" s="3316"/>
      <c r="C8" s="212" t="s">
        <v>340</v>
      </c>
      <c r="D8" s="212" t="s">
        <v>341</v>
      </c>
      <c r="E8" s="615" t="s">
        <v>1292</v>
      </c>
      <c r="F8" s="212" t="s">
        <v>342</v>
      </c>
      <c r="G8" s="212" t="s">
        <v>341</v>
      </c>
      <c r="H8" s="615" t="s">
        <v>1292</v>
      </c>
      <c r="I8" s="212" t="s">
        <v>342</v>
      </c>
      <c r="J8" s="212" t="s">
        <v>341</v>
      </c>
      <c r="K8" s="615" t="s">
        <v>1292</v>
      </c>
      <c r="L8" s="212" t="s">
        <v>342</v>
      </c>
      <c r="M8" s="212" t="s">
        <v>341</v>
      </c>
      <c r="N8" s="615" t="s">
        <v>1292</v>
      </c>
      <c r="O8" s="212" t="s">
        <v>342</v>
      </c>
      <c r="P8" s="212" t="s">
        <v>341</v>
      </c>
      <c r="Q8" s="615" t="s">
        <v>1292</v>
      </c>
      <c r="R8" s="212" t="s">
        <v>342</v>
      </c>
      <c r="S8" s="212" t="s">
        <v>341</v>
      </c>
      <c r="T8" s="615" t="s">
        <v>1292</v>
      </c>
      <c r="U8" s="212" t="s">
        <v>342</v>
      </c>
      <c r="V8" s="212" t="s">
        <v>341</v>
      </c>
      <c r="W8" s="615" t="s">
        <v>1292</v>
      </c>
      <c r="X8" s="212" t="s">
        <v>342</v>
      </c>
    </row>
    <row r="9" spans="1:24" ht="29">
      <c r="A9" s="80">
        <v>1</v>
      </c>
      <c r="B9" s="58" t="s">
        <v>1318</v>
      </c>
      <c r="C9" s="1058">
        <v>1528.01</v>
      </c>
      <c r="D9" s="1058">
        <v>2729.81</v>
      </c>
      <c r="E9" s="1058">
        <v>2729.81</v>
      </c>
      <c r="F9" s="1054">
        <f>C9+D9-E9</f>
        <v>1528.0099999999998</v>
      </c>
      <c r="G9" s="1058">
        <v>2729.81</v>
      </c>
      <c r="H9" s="1058">
        <v>257.69</v>
      </c>
      <c r="I9" s="1054">
        <f t="shared" ref="I9:I12" si="0">F9+G9-H9</f>
        <v>4000.1299999999997</v>
      </c>
      <c r="J9" s="1054">
        <v>2645.4</v>
      </c>
      <c r="K9" s="1054">
        <v>112.27</v>
      </c>
      <c r="L9" s="1054">
        <v>6904.21</v>
      </c>
      <c r="M9" s="3332">
        <v>281.58780150000001</v>
      </c>
      <c r="N9" s="3332">
        <v>150.17121650000001</v>
      </c>
      <c r="O9" s="3332">
        <f>I9+M9-N9+M10-N10-N11</f>
        <v>4131.5465850000001</v>
      </c>
      <c r="P9" s="1054">
        <f>M9</f>
        <v>281.58780150000001</v>
      </c>
      <c r="Q9" s="1054">
        <f>N9</f>
        <v>150.17121650000001</v>
      </c>
      <c r="R9" s="3332">
        <f>I9+P9-Q9+P10-Q10-Q11</f>
        <v>4131.5465850000001</v>
      </c>
      <c r="S9" s="1054"/>
      <c r="T9" s="1054">
        <v>134.6936748</v>
      </c>
      <c r="U9" s="3332">
        <f>R9+S9-T9+S10-T10-T11</f>
        <v>3996.8529102000002</v>
      </c>
      <c r="V9" s="1054">
        <f>S9</f>
        <v>0</v>
      </c>
      <c r="W9" s="1054">
        <f>T9</f>
        <v>134.6936748</v>
      </c>
      <c r="X9" s="3332">
        <f>U9+V9-W9+V10-W10-W11</f>
        <v>3862.1592354000004</v>
      </c>
    </row>
    <row r="10" spans="1:24" ht="29">
      <c r="A10" s="80">
        <v>2</v>
      </c>
      <c r="B10" s="58" t="s">
        <v>754</v>
      </c>
      <c r="C10" s="1058"/>
      <c r="D10" s="1058"/>
      <c r="E10" s="1058"/>
      <c r="F10" s="1054">
        <f t="shared" ref="F10:F12" si="1">C10+D10-E10</f>
        <v>0</v>
      </c>
      <c r="G10" s="1054"/>
      <c r="H10" s="1054"/>
      <c r="I10" s="1054">
        <f t="shared" si="0"/>
        <v>0</v>
      </c>
      <c r="J10" s="1054"/>
      <c r="K10" s="1054"/>
      <c r="L10" s="1054"/>
      <c r="M10" s="3332"/>
      <c r="N10" s="3332"/>
      <c r="O10" s="3332"/>
      <c r="P10" s="1054"/>
      <c r="Q10" s="1054"/>
      <c r="R10" s="3332"/>
      <c r="S10" s="1054"/>
      <c r="T10" s="1054"/>
      <c r="U10" s="3332"/>
      <c r="V10" s="1054"/>
      <c r="W10" s="1054"/>
      <c r="X10" s="3332"/>
    </row>
    <row r="11" spans="1:24" ht="29">
      <c r="A11" s="80">
        <v>3</v>
      </c>
      <c r="B11" s="58" t="s">
        <v>753</v>
      </c>
      <c r="C11" s="1058"/>
      <c r="D11" s="1058"/>
      <c r="E11" s="1058"/>
      <c r="F11" s="1054">
        <f t="shared" si="1"/>
        <v>0</v>
      </c>
      <c r="G11" s="1054"/>
      <c r="H11" s="1054"/>
      <c r="I11" s="1054">
        <f t="shared" si="0"/>
        <v>0</v>
      </c>
      <c r="J11" s="1054"/>
      <c r="K11" s="1054"/>
      <c r="L11" s="1054"/>
      <c r="M11" s="3332"/>
      <c r="N11" s="3332"/>
      <c r="O11" s="3332"/>
      <c r="P11" s="1054"/>
      <c r="Q11" s="1054"/>
      <c r="R11" s="3332"/>
      <c r="S11" s="1054"/>
      <c r="T11" s="1054"/>
      <c r="U11" s="3332"/>
      <c r="V11" s="1054"/>
      <c r="W11" s="1054"/>
      <c r="X11" s="3332"/>
    </row>
    <row r="12" spans="1:24" ht="29">
      <c r="A12" s="80">
        <v>4</v>
      </c>
      <c r="B12" s="58" t="s">
        <v>755</v>
      </c>
      <c r="C12" s="1058"/>
      <c r="D12" s="1058"/>
      <c r="E12" s="1058"/>
      <c r="F12" s="1054">
        <f t="shared" si="1"/>
        <v>0</v>
      </c>
      <c r="G12" s="1054"/>
      <c r="H12" s="1054"/>
      <c r="I12" s="1054">
        <f t="shared" si="0"/>
        <v>0</v>
      </c>
      <c r="J12" s="1054"/>
      <c r="K12" s="1054"/>
      <c r="L12" s="1054"/>
      <c r="M12" s="3332"/>
      <c r="N12" s="3332"/>
      <c r="O12" s="3332"/>
      <c r="P12" s="1054"/>
      <c r="Q12" s="1054"/>
      <c r="R12" s="3332"/>
      <c r="S12" s="1054"/>
      <c r="T12" s="1054"/>
      <c r="U12" s="3332"/>
      <c r="V12" s="1054"/>
      <c r="W12" s="1054"/>
      <c r="X12" s="3332"/>
    </row>
    <row r="13" spans="1:24" s="657" customFormat="1">
      <c r="A13" s="97"/>
      <c r="B13" s="97" t="s">
        <v>343</v>
      </c>
      <c r="C13" s="247">
        <f>SUM(C9:C12)</f>
        <v>1528.01</v>
      </c>
      <c r="D13" s="247">
        <f>SUM(D9:D12)</f>
        <v>2729.81</v>
      </c>
      <c r="E13" s="247">
        <f>SUM(E9:E12)</f>
        <v>2729.81</v>
      </c>
      <c r="F13" s="247">
        <f>SUM(F9:F12)</f>
        <v>1528.0099999999998</v>
      </c>
      <c r="G13" s="247">
        <f t="shared" ref="G13:O13" si="2">SUM(G9:G12)</f>
        <v>2729.81</v>
      </c>
      <c r="H13" s="247">
        <f t="shared" si="2"/>
        <v>257.69</v>
      </c>
      <c r="I13" s="247">
        <f t="shared" si="2"/>
        <v>4000.1299999999997</v>
      </c>
      <c r="J13" s="247">
        <f t="shared" si="2"/>
        <v>2645.4</v>
      </c>
      <c r="K13" s="247">
        <f t="shared" si="2"/>
        <v>112.27</v>
      </c>
      <c r="L13" s="247">
        <f t="shared" si="2"/>
        <v>6904.21</v>
      </c>
      <c r="M13" s="247">
        <f t="shared" si="2"/>
        <v>281.58780150000001</v>
      </c>
      <c r="N13" s="247">
        <f t="shared" si="2"/>
        <v>150.17121650000001</v>
      </c>
      <c r="O13" s="247">
        <f t="shared" si="2"/>
        <v>4131.5465850000001</v>
      </c>
      <c r="P13" s="247">
        <f>SUM(P9:P12)</f>
        <v>281.58780150000001</v>
      </c>
      <c r="Q13" s="247">
        <f t="shared" ref="Q13:X13" si="3">SUM(Q9:Q12)</f>
        <v>150.17121650000001</v>
      </c>
      <c r="R13" s="247">
        <f t="shared" si="3"/>
        <v>4131.5465850000001</v>
      </c>
      <c r="S13" s="247">
        <f t="shared" si="3"/>
        <v>0</v>
      </c>
      <c r="T13" s="247">
        <f t="shared" si="3"/>
        <v>134.6936748</v>
      </c>
      <c r="U13" s="247">
        <f t="shared" si="3"/>
        <v>3996.8529102000002</v>
      </c>
      <c r="V13" s="247">
        <f t="shared" si="3"/>
        <v>0</v>
      </c>
      <c r="W13" s="247">
        <f t="shared" si="3"/>
        <v>134.6936748</v>
      </c>
      <c r="X13" s="247">
        <f t="shared" si="3"/>
        <v>3862.1592354000004</v>
      </c>
    </row>
    <row r="14" spans="1:24">
      <c r="A14" s="82"/>
      <c r="B14" s="89"/>
      <c r="C14" s="114"/>
      <c r="D14" s="114"/>
      <c r="E14" s="114"/>
      <c r="F14" s="114"/>
      <c r="G14" s="114"/>
      <c r="H14" s="114"/>
      <c r="I14" s="114"/>
      <c r="J14" s="114"/>
      <c r="K14" s="114"/>
      <c r="L14" s="114"/>
      <c r="M14" s="114"/>
      <c r="N14" s="114"/>
      <c r="O14" s="114"/>
      <c r="P14" s="114"/>
      <c r="Q14" s="114"/>
      <c r="R14" s="114"/>
      <c r="S14" s="71"/>
      <c r="T14" s="614"/>
    </row>
    <row r="15" spans="1:24">
      <c r="A15" s="78"/>
      <c r="B15" s="78"/>
      <c r="C15" s="78"/>
      <c r="D15" s="78"/>
      <c r="E15" s="78"/>
      <c r="F15" s="78"/>
      <c r="G15" s="78"/>
      <c r="H15" s="78"/>
      <c r="I15" s="78"/>
      <c r="J15" s="78"/>
      <c r="K15" s="78"/>
      <c r="L15" s="78"/>
      <c r="M15" s="78"/>
      <c r="N15" s="78"/>
      <c r="O15" s="78"/>
      <c r="P15" s="78"/>
      <c r="Q15" s="78"/>
      <c r="R15"/>
    </row>
    <row r="16" spans="1:24">
      <c r="A16" s="78"/>
      <c r="B16" s="78"/>
      <c r="C16" s="78"/>
      <c r="D16" s="78"/>
      <c r="E16" s="78"/>
      <c r="F16" s="78"/>
      <c r="G16" s="78"/>
      <c r="H16" s="78"/>
      <c r="I16" s="78"/>
      <c r="J16" s="78"/>
      <c r="K16" s="78"/>
      <c r="L16" s="78"/>
      <c r="M16" s="78"/>
      <c r="N16" s="78"/>
    </row>
    <row r="17" spans="1:18">
      <c r="A17" s="78"/>
      <c r="B17" s="78"/>
      <c r="C17" s="78"/>
      <c r="D17" s="78"/>
      <c r="E17" s="78"/>
      <c r="F17" s="78"/>
      <c r="G17" s="78"/>
      <c r="H17" s="78"/>
      <c r="I17" s="78"/>
      <c r="J17" s="78"/>
      <c r="K17" s="78"/>
      <c r="L17" s="78"/>
      <c r="M17" s="2"/>
      <c r="N17" s="618"/>
      <c r="O17" s="2"/>
      <c r="P17" s="2"/>
      <c r="Q17" s="618"/>
      <c r="R17" s="2"/>
    </row>
    <row r="18" spans="1:18">
      <c r="A18" s="78"/>
      <c r="B18" s="78"/>
      <c r="C18" s="78"/>
      <c r="D18" s="78"/>
      <c r="E18" s="78"/>
      <c r="F18" s="78"/>
      <c r="G18" s="78"/>
      <c r="H18" s="78"/>
      <c r="I18" s="78"/>
      <c r="J18" s="78"/>
      <c r="K18" s="78"/>
      <c r="L18" s="78"/>
      <c r="M18" s="78"/>
      <c r="N18" s="78"/>
      <c r="O18" s="78"/>
      <c r="P18" s="78"/>
      <c r="Q18" s="78"/>
      <c r="R18" s="78"/>
    </row>
    <row r="19" spans="1:18">
      <c r="A19" s="78"/>
      <c r="B19" s="78"/>
      <c r="C19" s="78"/>
      <c r="D19" s="78"/>
      <c r="E19" s="78"/>
      <c r="F19" s="78"/>
      <c r="G19" s="78"/>
      <c r="H19" s="78"/>
      <c r="I19" s="78"/>
      <c r="J19" s="78"/>
      <c r="K19" s="78"/>
      <c r="L19" s="78"/>
      <c r="M19" s="78"/>
      <c r="N19" s="78"/>
      <c r="O19" s="78"/>
      <c r="P19" s="78"/>
      <c r="Q19" s="78"/>
      <c r="R19" s="78"/>
    </row>
    <row r="20" spans="1:18">
      <c r="A20" s="78"/>
      <c r="B20" s="78"/>
      <c r="C20" s="78"/>
      <c r="D20" s="78"/>
      <c r="E20" s="78"/>
      <c r="F20" s="78"/>
      <c r="G20" s="78"/>
      <c r="H20" s="78"/>
      <c r="I20" s="78"/>
      <c r="J20" s="78"/>
      <c r="K20" s="78"/>
      <c r="L20" s="78"/>
      <c r="M20" s="78"/>
      <c r="N20" s="78"/>
      <c r="O20" s="78"/>
      <c r="P20" s="78"/>
      <c r="Q20" s="78"/>
      <c r="R20" s="78"/>
    </row>
    <row r="21" spans="1:18">
      <c r="A21" s="78"/>
      <c r="B21" s="78"/>
      <c r="C21" s="78"/>
      <c r="D21" s="78"/>
      <c r="E21" s="78"/>
      <c r="F21" s="78"/>
      <c r="G21" s="78"/>
      <c r="H21" s="78"/>
      <c r="I21" s="78"/>
      <c r="J21" s="78"/>
      <c r="K21" s="78"/>
      <c r="L21" s="78"/>
      <c r="M21" s="78"/>
      <c r="N21" s="78"/>
      <c r="O21" s="78"/>
      <c r="P21" s="78"/>
      <c r="Q21" s="78"/>
      <c r="R21" s="78"/>
    </row>
    <row r="22" spans="1:18">
      <c r="A22" s="78"/>
      <c r="B22" s="78"/>
      <c r="C22" s="78"/>
      <c r="D22" s="78"/>
      <c r="E22" s="78"/>
      <c r="F22" s="78"/>
      <c r="G22" s="78"/>
      <c r="H22" s="78"/>
      <c r="I22" s="78"/>
      <c r="J22" s="78"/>
      <c r="K22" s="78"/>
      <c r="L22" s="78"/>
      <c r="M22" s="78"/>
      <c r="N22" s="78"/>
      <c r="O22" s="78"/>
      <c r="P22" s="78"/>
      <c r="Q22" s="78"/>
      <c r="R22" s="78"/>
    </row>
    <row r="23" spans="1:18">
      <c r="A23" s="78"/>
      <c r="B23" s="78"/>
      <c r="C23" s="78"/>
      <c r="D23" s="78"/>
      <c r="E23" s="78"/>
      <c r="F23" s="78"/>
      <c r="G23" s="78"/>
      <c r="H23" s="78"/>
      <c r="I23" s="78"/>
      <c r="J23" s="78"/>
      <c r="K23" s="78"/>
      <c r="L23" s="78"/>
      <c r="M23" s="78"/>
      <c r="N23" s="78"/>
      <c r="O23" s="78"/>
      <c r="P23" s="78"/>
      <c r="Q23" s="78"/>
      <c r="R23" s="78"/>
    </row>
    <row r="24" spans="1:18" ht="108.75" customHeight="1">
      <c r="A24" s="78"/>
      <c r="B24" s="78"/>
      <c r="C24" s="78"/>
      <c r="D24" s="78"/>
      <c r="E24" s="78"/>
      <c r="F24" s="78"/>
      <c r="G24" s="78"/>
      <c r="H24" s="78"/>
      <c r="I24" s="78"/>
      <c r="J24" s="78"/>
      <c r="K24" s="78"/>
      <c r="L24" s="78"/>
      <c r="M24" s="78"/>
      <c r="N24" s="78"/>
      <c r="O24" s="78"/>
      <c r="P24" s="78"/>
      <c r="Q24" s="78"/>
      <c r="R24" s="78"/>
    </row>
  </sheetData>
  <mergeCells count="27">
    <mergeCell ref="B5:B8"/>
    <mergeCell ref="J5:R5"/>
    <mergeCell ref="C7:F7"/>
    <mergeCell ref="G7:I7"/>
    <mergeCell ref="G6:I6"/>
    <mergeCell ref="A1:B1"/>
    <mergeCell ref="C5:I5"/>
    <mergeCell ref="S5:U5"/>
    <mergeCell ref="V5:X5"/>
    <mergeCell ref="S7:U7"/>
    <mergeCell ref="V7:X7"/>
    <mergeCell ref="J7:L7"/>
    <mergeCell ref="J6:R6"/>
    <mergeCell ref="S6:U6"/>
    <mergeCell ref="V6:X6"/>
    <mergeCell ref="C6:F6"/>
    <mergeCell ref="M7:O7"/>
    <mergeCell ref="P7:R7"/>
    <mergeCell ref="A2:R2"/>
    <mergeCell ref="P4:R4"/>
    <mergeCell ref="A5:A8"/>
    <mergeCell ref="M9:M12"/>
    <mergeCell ref="N9:N12"/>
    <mergeCell ref="O9:O12"/>
    <mergeCell ref="R9:R12"/>
    <mergeCell ref="X9:X12"/>
    <mergeCell ref="U9:U12"/>
  </mergeCells>
  <printOptions horizontalCentered="1"/>
  <pageMargins left="0.19685039370078741" right="0.19685039370078741" top="0.19685039370078741" bottom="0.19685039370078741" header="0.19685039370078741" footer="0.19685039370078741"/>
  <pageSetup paperSize="9" scale="4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1"/>
  <sheetViews>
    <sheetView view="pageBreakPreview" zoomScale="96" zoomScaleSheetLayoutView="96" workbookViewId="0">
      <selection activeCell="C105" sqref="C105"/>
    </sheetView>
  </sheetViews>
  <sheetFormatPr defaultRowHeight="14.5"/>
  <cols>
    <col min="1" max="1" width="12.7265625" style="4" customWidth="1"/>
    <col min="2" max="2" width="12.7265625" style="333" customWidth="1"/>
    <col min="3" max="3" width="17.1796875" style="4" customWidth="1"/>
    <col min="4" max="4" width="17.7265625" style="4" customWidth="1"/>
    <col min="5" max="5" width="16" style="4" customWidth="1"/>
    <col min="6" max="6" width="13.7265625" style="4" customWidth="1"/>
    <col min="7" max="7" width="14" style="4" customWidth="1"/>
    <col min="8" max="8" width="16.81640625" style="4" customWidth="1"/>
    <col min="9" max="9" width="21.7265625" style="4" customWidth="1"/>
    <col min="10" max="10" width="10.54296875" style="4" customWidth="1"/>
    <col min="11" max="11" width="7.1796875" style="107" customWidth="1"/>
    <col min="12" max="12" width="7.453125" style="107" customWidth="1"/>
    <col min="13" max="13" width="7.54296875" style="107" customWidth="1"/>
    <col min="14" max="14" width="7.453125" style="107" customWidth="1"/>
    <col min="15" max="15" width="8.453125" style="107" customWidth="1"/>
    <col min="16" max="16" width="10.1796875" style="107" customWidth="1"/>
    <col min="17" max="17" width="14.1796875" style="4" customWidth="1"/>
    <col min="18" max="18" width="13" style="4" customWidth="1"/>
    <col min="19" max="256" width="9.1796875" style="4"/>
    <col min="257" max="257" width="3.7265625" style="4" customWidth="1"/>
    <col min="258" max="258" width="12.7265625" style="4" customWidth="1"/>
    <col min="259" max="259" width="17.1796875" style="4" customWidth="1"/>
    <col min="260" max="260" width="17.7265625" style="4" customWidth="1"/>
    <col min="261" max="261" width="12.7265625" style="4" customWidth="1"/>
    <col min="262" max="262" width="13.7265625" style="4" customWidth="1"/>
    <col min="263" max="263" width="14" style="4" customWidth="1"/>
    <col min="264" max="264" width="16.81640625" style="4" customWidth="1"/>
    <col min="265" max="265" width="21.7265625" style="4" customWidth="1"/>
    <col min="266" max="266" width="10.54296875" style="4" customWidth="1"/>
    <col min="267" max="272" width="0" style="4" hidden="1" customWidth="1"/>
    <col min="273" max="273" width="14.1796875" style="4" customWidth="1"/>
    <col min="274" max="274" width="13" style="4" customWidth="1"/>
    <col min="275" max="512" width="9.1796875" style="4"/>
    <col min="513" max="513" width="3.7265625" style="4" customWidth="1"/>
    <col min="514" max="514" width="12.7265625" style="4" customWidth="1"/>
    <col min="515" max="515" width="17.1796875" style="4" customWidth="1"/>
    <col min="516" max="516" width="17.7265625" style="4" customWidth="1"/>
    <col min="517" max="517" width="12.7265625" style="4" customWidth="1"/>
    <col min="518" max="518" width="13.7265625" style="4" customWidth="1"/>
    <col min="519" max="519" width="14" style="4" customWidth="1"/>
    <col min="520" max="520" width="16.81640625" style="4" customWidth="1"/>
    <col min="521" max="521" width="21.7265625" style="4" customWidth="1"/>
    <col min="522" max="522" width="10.54296875" style="4" customWidth="1"/>
    <col min="523" max="528" width="0" style="4" hidden="1" customWidth="1"/>
    <col min="529" max="529" width="14.1796875" style="4" customWidth="1"/>
    <col min="530" max="530" width="13" style="4" customWidth="1"/>
    <col min="531" max="768" width="9.1796875" style="4"/>
    <col min="769" max="769" width="3.7265625" style="4" customWidth="1"/>
    <col min="770" max="770" width="12.7265625" style="4" customWidth="1"/>
    <col min="771" max="771" width="17.1796875" style="4" customWidth="1"/>
    <col min="772" max="772" width="17.7265625" style="4" customWidth="1"/>
    <col min="773" max="773" width="12.7265625" style="4" customWidth="1"/>
    <col min="774" max="774" width="13.7265625" style="4" customWidth="1"/>
    <col min="775" max="775" width="14" style="4" customWidth="1"/>
    <col min="776" max="776" width="16.81640625" style="4" customWidth="1"/>
    <col min="777" max="777" width="21.7265625" style="4" customWidth="1"/>
    <col min="778" max="778" width="10.54296875" style="4" customWidth="1"/>
    <col min="779" max="784" width="0" style="4" hidden="1" customWidth="1"/>
    <col min="785" max="785" width="14.1796875" style="4" customWidth="1"/>
    <col min="786" max="786" width="13" style="4" customWidth="1"/>
    <col min="787" max="1024" width="9.1796875" style="4"/>
    <col min="1025" max="1025" width="3.7265625" style="4" customWidth="1"/>
    <col min="1026" max="1026" width="12.7265625" style="4" customWidth="1"/>
    <col min="1027" max="1027" width="17.1796875" style="4" customWidth="1"/>
    <col min="1028" max="1028" width="17.7265625" style="4" customWidth="1"/>
    <col min="1029" max="1029" width="12.7265625" style="4" customWidth="1"/>
    <col min="1030" max="1030" width="13.7265625" style="4" customWidth="1"/>
    <col min="1031" max="1031" width="14" style="4" customWidth="1"/>
    <col min="1032" max="1032" width="16.81640625" style="4" customWidth="1"/>
    <col min="1033" max="1033" width="21.7265625" style="4" customWidth="1"/>
    <col min="1034" max="1034" width="10.54296875" style="4" customWidth="1"/>
    <col min="1035" max="1040" width="0" style="4" hidden="1" customWidth="1"/>
    <col min="1041" max="1041" width="14.1796875" style="4" customWidth="1"/>
    <col min="1042" max="1042" width="13" style="4" customWidth="1"/>
    <col min="1043" max="1280" width="9.1796875" style="4"/>
    <col min="1281" max="1281" width="3.7265625" style="4" customWidth="1"/>
    <col min="1282" max="1282" width="12.7265625" style="4" customWidth="1"/>
    <col min="1283" max="1283" width="17.1796875" style="4" customWidth="1"/>
    <col min="1284" max="1284" width="17.7265625" style="4" customWidth="1"/>
    <col min="1285" max="1285" width="12.7265625" style="4" customWidth="1"/>
    <col min="1286" max="1286" width="13.7265625" style="4" customWidth="1"/>
    <col min="1287" max="1287" width="14" style="4" customWidth="1"/>
    <col min="1288" max="1288" width="16.81640625" style="4" customWidth="1"/>
    <col min="1289" max="1289" width="21.7265625" style="4" customWidth="1"/>
    <col min="1290" max="1290" width="10.54296875" style="4" customWidth="1"/>
    <col min="1291" max="1296" width="0" style="4" hidden="1" customWidth="1"/>
    <col min="1297" max="1297" width="14.1796875" style="4" customWidth="1"/>
    <col min="1298" max="1298" width="13" style="4" customWidth="1"/>
    <col min="1299" max="1536" width="9.1796875" style="4"/>
    <col min="1537" max="1537" width="3.7265625" style="4" customWidth="1"/>
    <col min="1538" max="1538" width="12.7265625" style="4" customWidth="1"/>
    <col min="1539" max="1539" width="17.1796875" style="4" customWidth="1"/>
    <col min="1540" max="1540" width="17.7265625" style="4" customWidth="1"/>
    <col min="1541" max="1541" width="12.7265625" style="4" customWidth="1"/>
    <col min="1542" max="1542" width="13.7265625" style="4" customWidth="1"/>
    <col min="1543" max="1543" width="14" style="4" customWidth="1"/>
    <col min="1544" max="1544" width="16.81640625" style="4" customWidth="1"/>
    <col min="1545" max="1545" width="21.7265625" style="4" customWidth="1"/>
    <col min="1546" max="1546" width="10.54296875" style="4" customWidth="1"/>
    <col min="1547" max="1552" width="0" style="4" hidden="1" customWidth="1"/>
    <col min="1553" max="1553" width="14.1796875" style="4" customWidth="1"/>
    <col min="1554" max="1554" width="13" style="4" customWidth="1"/>
    <col min="1555" max="1792" width="9.1796875" style="4"/>
    <col min="1793" max="1793" width="3.7265625" style="4" customWidth="1"/>
    <col min="1794" max="1794" width="12.7265625" style="4" customWidth="1"/>
    <col min="1795" max="1795" width="17.1796875" style="4" customWidth="1"/>
    <col min="1796" max="1796" width="17.7265625" style="4" customWidth="1"/>
    <col min="1797" max="1797" width="12.7265625" style="4" customWidth="1"/>
    <col min="1798" max="1798" width="13.7265625" style="4" customWidth="1"/>
    <col min="1799" max="1799" width="14" style="4" customWidth="1"/>
    <col min="1800" max="1800" width="16.81640625" style="4" customWidth="1"/>
    <col min="1801" max="1801" width="21.7265625" style="4" customWidth="1"/>
    <col min="1802" max="1802" width="10.54296875" style="4" customWidth="1"/>
    <col min="1803" max="1808" width="0" style="4" hidden="1" customWidth="1"/>
    <col min="1809" max="1809" width="14.1796875" style="4" customWidth="1"/>
    <col min="1810" max="1810" width="13" style="4" customWidth="1"/>
    <col min="1811" max="2048" width="9.1796875" style="4"/>
    <col min="2049" max="2049" width="3.7265625" style="4" customWidth="1"/>
    <col min="2050" max="2050" width="12.7265625" style="4" customWidth="1"/>
    <col min="2051" max="2051" width="17.1796875" style="4" customWidth="1"/>
    <col min="2052" max="2052" width="17.7265625" style="4" customWidth="1"/>
    <col min="2053" max="2053" width="12.7265625" style="4" customWidth="1"/>
    <col min="2054" max="2054" width="13.7265625" style="4" customWidth="1"/>
    <col min="2055" max="2055" width="14" style="4" customWidth="1"/>
    <col min="2056" max="2056" width="16.81640625" style="4" customWidth="1"/>
    <col min="2057" max="2057" width="21.7265625" style="4" customWidth="1"/>
    <col min="2058" max="2058" width="10.54296875" style="4" customWidth="1"/>
    <col min="2059" max="2064" width="0" style="4" hidden="1" customWidth="1"/>
    <col min="2065" max="2065" width="14.1796875" style="4" customWidth="1"/>
    <col min="2066" max="2066" width="13" style="4" customWidth="1"/>
    <col min="2067" max="2304" width="9.1796875" style="4"/>
    <col min="2305" max="2305" width="3.7265625" style="4" customWidth="1"/>
    <col min="2306" max="2306" width="12.7265625" style="4" customWidth="1"/>
    <col min="2307" max="2307" width="17.1796875" style="4" customWidth="1"/>
    <col min="2308" max="2308" width="17.7265625" style="4" customWidth="1"/>
    <col min="2309" max="2309" width="12.7265625" style="4" customWidth="1"/>
    <col min="2310" max="2310" width="13.7265625" style="4" customWidth="1"/>
    <col min="2311" max="2311" width="14" style="4" customWidth="1"/>
    <col min="2312" max="2312" width="16.81640625" style="4" customWidth="1"/>
    <col min="2313" max="2313" width="21.7265625" style="4" customWidth="1"/>
    <col min="2314" max="2314" width="10.54296875" style="4" customWidth="1"/>
    <col min="2315" max="2320" width="0" style="4" hidden="1" customWidth="1"/>
    <col min="2321" max="2321" width="14.1796875" style="4" customWidth="1"/>
    <col min="2322" max="2322" width="13" style="4" customWidth="1"/>
    <col min="2323" max="2560" width="9.1796875" style="4"/>
    <col min="2561" max="2561" width="3.7265625" style="4" customWidth="1"/>
    <col min="2562" max="2562" width="12.7265625" style="4" customWidth="1"/>
    <col min="2563" max="2563" width="17.1796875" style="4" customWidth="1"/>
    <col min="2564" max="2564" width="17.7265625" style="4" customWidth="1"/>
    <col min="2565" max="2565" width="12.7265625" style="4" customWidth="1"/>
    <col min="2566" max="2566" width="13.7265625" style="4" customWidth="1"/>
    <col min="2567" max="2567" width="14" style="4" customWidth="1"/>
    <col min="2568" max="2568" width="16.81640625" style="4" customWidth="1"/>
    <col min="2569" max="2569" width="21.7265625" style="4" customWidth="1"/>
    <col min="2570" max="2570" width="10.54296875" style="4" customWidth="1"/>
    <col min="2571" max="2576" width="0" style="4" hidden="1" customWidth="1"/>
    <col min="2577" max="2577" width="14.1796875" style="4" customWidth="1"/>
    <col min="2578" max="2578" width="13" style="4" customWidth="1"/>
    <col min="2579" max="2816" width="9.1796875" style="4"/>
    <col min="2817" max="2817" width="3.7265625" style="4" customWidth="1"/>
    <col min="2818" max="2818" width="12.7265625" style="4" customWidth="1"/>
    <col min="2819" max="2819" width="17.1796875" style="4" customWidth="1"/>
    <col min="2820" max="2820" width="17.7265625" style="4" customWidth="1"/>
    <col min="2821" max="2821" width="12.7265625" style="4" customWidth="1"/>
    <col min="2822" max="2822" width="13.7265625" style="4" customWidth="1"/>
    <col min="2823" max="2823" width="14" style="4" customWidth="1"/>
    <col min="2824" max="2824" width="16.81640625" style="4" customWidth="1"/>
    <col min="2825" max="2825" width="21.7265625" style="4" customWidth="1"/>
    <col min="2826" max="2826" width="10.54296875" style="4" customWidth="1"/>
    <col min="2827" max="2832" width="0" style="4" hidden="1" customWidth="1"/>
    <col min="2833" max="2833" width="14.1796875" style="4" customWidth="1"/>
    <col min="2834" max="2834" width="13" style="4" customWidth="1"/>
    <col min="2835" max="3072" width="9.1796875" style="4"/>
    <col min="3073" max="3073" width="3.7265625" style="4" customWidth="1"/>
    <col min="3074" max="3074" width="12.7265625" style="4" customWidth="1"/>
    <col min="3075" max="3075" width="17.1796875" style="4" customWidth="1"/>
    <col min="3076" max="3076" width="17.7265625" style="4" customWidth="1"/>
    <col min="3077" max="3077" width="12.7265625" style="4" customWidth="1"/>
    <col min="3078" max="3078" width="13.7265625" style="4" customWidth="1"/>
    <col min="3079" max="3079" width="14" style="4" customWidth="1"/>
    <col min="3080" max="3080" width="16.81640625" style="4" customWidth="1"/>
    <col min="3081" max="3081" width="21.7265625" style="4" customWidth="1"/>
    <col min="3082" max="3082" width="10.54296875" style="4" customWidth="1"/>
    <col min="3083" max="3088" width="0" style="4" hidden="1" customWidth="1"/>
    <col min="3089" max="3089" width="14.1796875" style="4" customWidth="1"/>
    <col min="3090" max="3090" width="13" style="4" customWidth="1"/>
    <col min="3091" max="3328" width="9.1796875" style="4"/>
    <col min="3329" max="3329" width="3.7265625" style="4" customWidth="1"/>
    <col min="3330" max="3330" width="12.7265625" style="4" customWidth="1"/>
    <col min="3331" max="3331" width="17.1796875" style="4" customWidth="1"/>
    <col min="3332" max="3332" width="17.7265625" style="4" customWidth="1"/>
    <col min="3333" max="3333" width="12.7265625" style="4" customWidth="1"/>
    <col min="3334" max="3334" width="13.7265625" style="4" customWidth="1"/>
    <col min="3335" max="3335" width="14" style="4" customWidth="1"/>
    <col min="3336" max="3336" width="16.81640625" style="4" customWidth="1"/>
    <col min="3337" max="3337" width="21.7265625" style="4" customWidth="1"/>
    <col min="3338" max="3338" width="10.54296875" style="4" customWidth="1"/>
    <col min="3339" max="3344" width="0" style="4" hidden="1" customWidth="1"/>
    <col min="3345" max="3345" width="14.1796875" style="4" customWidth="1"/>
    <col min="3346" max="3346" width="13" style="4" customWidth="1"/>
    <col min="3347" max="3584" width="9.1796875" style="4"/>
    <col min="3585" max="3585" width="3.7265625" style="4" customWidth="1"/>
    <col min="3586" max="3586" width="12.7265625" style="4" customWidth="1"/>
    <col min="3587" max="3587" width="17.1796875" style="4" customWidth="1"/>
    <col min="3588" max="3588" width="17.7265625" style="4" customWidth="1"/>
    <col min="3589" max="3589" width="12.7265625" style="4" customWidth="1"/>
    <col min="3590" max="3590" width="13.7265625" style="4" customWidth="1"/>
    <col min="3591" max="3591" width="14" style="4" customWidth="1"/>
    <col min="3592" max="3592" width="16.81640625" style="4" customWidth="1"/>
    <col min="3593" max="3593" width="21.7265625" style="4" customWidth="1"/>
    <col min="3594" max="3594" width="10.54296875" style="4" customWidth="1"/>
    <col min="3595" max="3600" width="0" style="4" hidden="1" customWidth="1"/>
    <col min="3601" max="3601" width="14.1796875" style="4" customWidth="1"/>
    <col min="3602" max="3602" width="13" style="4" customWidth="1"/>
    <col min="3603" max="3840" width="9.1796875" style="4"/>
    <col min="3841" max="3841" width="3.7265625" style="4" customWidth="1"/>
    <col min="3842" max="3842" width="12.7265625" style="4" customWidth="1"/>
    <col min="3843" max="3843" width="17.1796875" style="4" customWidth="1"/>
    <col min="3844" max="3844" width="17.7265625" style="4" customWidth="1"/>
    <col min="3845" max="3845" width="12.7265625" style="4" customWidth="1"/>
    <col min="3846" max="3846" width="13.7265625" style="4" customWidth="1"/>
    <col min="3847" max="3847" width="14" style="4" customWidth="1"/>
    <col min="3848" max="3848" width="16.81640625" style="4" customWidth="1"/>
    <col min="3849" max="3849" width="21.7265625" style="4" customWidth="1"/>
    <col min="3850" max="3850" width="10.54296875" style="4" customWidth="1"/>
    <col min="3851" max="3856" width="0" style="4" hidden="1" customWidth="1"/>
    <col min="3857" max="3857" width="14.1796875" style="4" customWidth="1"/>
    <col min="3858" max="3858" width="13" style="4" customWidth="1"/>
    <col min="3859" max="4096" width="9.1796875" style="4"/>
    <col min="4097" max="4097" width="3.7265625" style="4" customWidth="1"/>
    <col min="4098" max="4098" width="12.7265625" style="4" customWidth="1"/>
    <col min="4099" max="4099" width="17.1796875" style="4" customWidth="1"/>
    <col min="4100" max="4100" width="17.7265625" style="4" customWidth="1"/>
    <col min="4101" max="4101" width="12.7265625" style="4" customWidth="1"/>
    <col min="4102" max="4102" width="13.7265625" style="4" customWidth="1"/>
    <col min="4103" max="4103" width="14" style="4" customWidth="1"/>
    <col min="4104" max="4104" width="16.81640625" style="4" customWidth="1"/>
    <col min="4105" max="4105" width="21.7265625" style="4" customWidth="1"/>
    <col min="4106" max="4106" width="10.54296875" style="4" customWidth="1"/>
    <col min="4107" max="4112" width="0" style="4" hidden="1" customWidth="1"/>
    <col min="4113" max="4113" width="14.1796875" style="4" customWidth="1"/>
    <col min="4114" max="4114" width="13" style="4" customWidth="1"/>
    <col min="4115" max="4352" width="9.1796875" style="4"/>
    <col min="4353" max="4353" width="3.7265625" style="4" customWidth="1"/>
    <col min="4354" max="4354" width="12.7265625" style="4" customWidth="1"/>
    <col min="4355" max="4355" width="17.1796875" style="4" customWidth="1"/>
    <col min="4356" max="4356" width="17.7265625" style="4" customWidth="1"/>
    <col min="4357" max="4357" width="12.7265625" style="4" customWidth="1"/>
    <col min="4358" max="4358" width="13.7265625" style="4" customWidth="1"/>
    <col min="4359" max="4359" width="14" style="4" customWidth="1"/>
    <col min="4360" max="4360" width="16.81640625" style="4" customWidth="1"/>
    <col min="4361" max="4361" width="21.7265625" style="4" customWidth="1"/>
    <col min="4362" max="4362" width="10.54296875" style="4" customWidth="1"/>
    <col min="4363" max="4368" width="0" style="4" hidden="1" customWidth="1"/>
    <col min="4369" max="4369" width="14.1796875" style="4" customWidth="1"/>
    <col min="4370" max="4370" width="13" style="4" customWidth="1"/>
    <col min="4371" max="4608" width="9.1796875" style="4"/>
    <col min="4609" max="4609" width="3.7265625" style="4" customWidth="1"/>
    <col min="4610" max="4610" width="12.7265625" style="4" customWidth="1"/>
    <col min="4611" max="4611" width="17.1796875" style="4" customWidth="1"/>
    <col min="4612" max="4612" width="17.7265625" style="4" customWidth="1"/>
    <col min="4613" max="4613" width="12.7265625" style="4" customWidth="1"/>
    <col min="4614" max="4614" width="13.7265625" style="4" customWidth="1"/>
    <col min="4615" max="4615" width="14" style="4" customWidth="1"/>
    <col min="4616" max="4616" width="16.81640625" style="4" customWidth="1"/>
    <col min="4617" max="4617" width="21.7265625" style="4" customWidth="1"/>
    <col min="4618" max="4618" width="10.54296875" style="4" customWidth="1"/>
    <col min="4619" max="4624" width="0" style="4" hidden="1" customWidth="1"/>
    <col min="4625" max="4625" width="14.1796875" style="4" customWidth="1"/>
    <col min="4626" max="4626" width="13" style="4" customWidth="1"/>
    <col min="4627" max="4864" width="9.1796875" style="4"/>
    <col min="4865" max="4865" width="3.7265625" style="4" customWidth="1"/>
    <col min="4866" max="4866" width="12.7265625" style="4" customWidth="1"/>
    <col min="4867" max="4867" width="17.1796875" style="4" customWidth="1"/>
    <col min="4868" max="4868" width="17.7265625" style="4" customWidth="1"/>
    <col min="4869" max="4869" width="12.7265625" style="4" customWidth="1"/>
    <col min="4870" max="4870" width="13.7265625" style="4" customWidth="1"/>
    <col min="4871" max="4871" width="14" style="4" customWidth="1"/>
    <col min="4872" max="4872" width="16.81640625" style="4" customWidth="1"/>
    <col min="4873" max="4873" width="21.7265625" style="4" customWidth="1"/>
    <col min="4874" max="4874" width="10.54296875" style="4" customWidth="1"/>
    <col min="4875" max="4880" width="0" style="4" hidden="1" customWidth="1"/>
    <col min="4881" max="4881" width="14.1796875" style="4" customWidth="1"/>
    <col min="4882" max="4882" width="13" style="4" customWidth="1"/>
    <col min="4883" max="5120" width="9.1796875" style="4"/>
    <col min="5121" max="5121" width="3.7265625" style="4" customWidth="1"/>
    <col min="5122" max="5122" width="12.7265625" style="4" customWidth="1"/>
    <col min="5123" max="5123" width="17.1796875" style="4" customWidth="1"/>
    <col min="5124" max="5124" width="17.7265625" style="4" customWidth="1"/>
    <col min="5125" max="5125" width="12.7265625" style="4" customWidth="1"/>
    <col min="5126" max="5126" width="13.7265625" style="4" customWidth="1"/>
    <col min="5127" max="5127" width="14" style="4" customWidth="1"/>
    <col min="5128" max="5128" width="16.81640625" style="4" customWidth="1"/>
    <col min="5129" max="5129" width="21.7265625" style="4" customWidth="1"/>
    <col min="5130" max="5130" width="10.54296875" style="4" customWidth="1"/>
    <col min="5131" max="5136" width="0" style="4" hidden="1" customWidth="1"/>
    <col min="5137" max="5137" width="14.1796875" style="4" customWidth="1"/>
    <col min="5138" max="5138" width="13" style="4" customWidth="1"/>
    <col min="5139" max="5376" width="9.1796875" style="4"/>
    <col min="5377" max="5377" width="3.7265625" style="4" customWidth="1"/>
    <col min="5378" max="5378" width="12.7265625" style="4" customWidth="1"/>
    <col min="5379" max="5379" width="17.1796875" style="4" customWidth="1"/>
    <col min="5380" max="5380" width="17.7265625" style="4" customWidth="1"/>
    <col min="5381" max="5381" width="12.7265625" style="4" customWidth="1"/>
    <col min="5382" max="5382" width="13.7265625" style="4" customWidth="1"/>
    <col min="5383" max="5383" width="14" style="4" customWidth="1"/>
    <col min="5384" max="5384" width="16.81640625" style="4" customWidth="1"/>
    <col min="5385" max="5385" width="21.7265625" style="4" customWidth="1"/>
    <col min="5386" max="5386" width="10.54296875" style="4" customWidth="1"/>
    <col min="5387" max="5392" width="0" style="4" hidden="1" customWidth="1"/>
    <col min="5393" max="5393" width="14.1796875" style="4" customWidth="1"/>
    <col min="5394" max="5394" width="13" style="4" customWidth="1"/>
    <col min="5395" max="5632" width="9.1796875" style="4"/>
    <col min="5633" max="5633" width="3.7265625" style="4" customWidth="1"/>
    <col min="5634" max="5634" width="12.7265625" style="4" customWidth="1"/>
    <col min="5635" max="5635" width="17.1796875" style="4" customWidth="1"/>
    <col min="5636" max="5636" width="17.7265625" style="4" customWidth="1"/>
    <col min="5637" max="5637" width="12.7265625" style="4" customWidth="1"/>
    <col min="5638" max="5638" width="13.7265625" style="4" customWidth="1"/>
    <col min="5639" max="5639" width="14" style="4" customWidth="1"/>
    <col min="5640" max="5640" width="16.81640625" style="4" customWidth="1"/>
    <col min="5641" max="5641" width="21.7265625" style="4" customWidth="1"/>
    <col min="5642" max="5642" width="10.54296875" style="4" customWidth="1"/>
    <col min="5643" max="5648" width="0" style="4" hidden="1" customWidth="1"/>
    <col min="5649" max="5649" width="14.1796875" style="4" customWidth="1"/>
    <col min="5650" max="5650" width="13" style="4" customWidth="1"/>
    <col min="5651" max="5888" width="9.1796875" style="4"/>
    <col min="5889" max="5889" width="3.7265625" style="4" customWidth="1"/>
    <col min="5890" max="5890" width="12.7265625" style="4" customWidth="1"/>
    <col min="5891" max="5891" width="17.1796875" style="4" customWidth="1"/>
    <col min="5892" max="5892" width="17.7265625" style="4" customWidth="1"/>
    <col min="5893" max="5893" width="12.7265625" style="4" customWidth="1"/>
    <col min="5894" max="5894" width="13.7265625" style="4" customWidth="1"/>
    <col min="5895" max="5895" width="14" style="4" customWidth="1"/>
    <col min="5896" max="5896" width="16.81640625" style="4" customWidth="1"/>
    <col min="5897" max="5897" width="21.7265625" style="4" customWidth="1"/>
    <col min="5898" max="5898" width="10.54296875" style="4" customWidth="1"/>
    <col min="5899" max="5904" width="0" style="4" hidden="1" customWidth="1"/>
    <col min="5905" max="5905" width="14.1796875" style="4" customWidth="1"/>
    <col min="5906" max="5906" width="13" style="4" customWidth="1"/>
    <col min="5907" max="6144" width="9.1796875" style="4"/>
    <col min="6145" max="6145" width="3.7265625" style="4" customWidth="1"/>
    <col min="6146" max="6146" width="12.7265625" style="4" customWidth="1"/>
    <col min="6147" max="6147" width="17.1796875" style="4" customWidth="1"/>
    <col min="6148" max="6148" width="17.7265625" style="4" customWidth="1"/>
    <col min="6149" max="6149" width="12.7265625" style="4" customWidth="1"/>
    <col min="6150" max="6150" width="13.7265625" style="4" customWidth="1"/>
    <col min="6151" max="6151" width="14" style="4" customWidth="1"/>
    <col min="6152" max="6152" width="16.81640625" style="4" customWidth="1"/>
    <col min="6153" max="6153" width="21.7265625" style="4" customWidth="1"/>
    <col min="6154" max="6154" width="10.54296875" style="4" customWidth="1"/>
    <col min="6155" max="6160" width="0" style="4" hidden="1" customWidth="1"/>
    <col min="6161" max="6161" width="14.1796875" style="4" customWidth="1"/>
    <col min="6162" max="6162" width="13" style="4" customWidth="1"/>
    <col min="6163" max="6400" width="9.1796875" style="4"/>
    <col min="6401" max="6401" width="3.7265625" style="4" customWidth="1"/>
    <col min="6402" max="6402" width="12.7265625" style="4" customWidth="1"/>
    <col min="6403" max="6403" width="17.1796875" style="4" customWidth="1"/>
    <col min="6404" max="6404" width="17.7265625" style="4" customWidth="1"/>
    <col min="6405" max="6405" width="12.7265625" style="4" customWidth="1"/>
    <col min="6406" max="6406" width="13.7265625" style="4" customWidth="1"/>
    <col min="6407" max="6407" width="14" style="4" customWidth="1"/>
    <col min="6408" max="6408" width="16.81640625" style="4" customWidth="1"/>
    <col min="6409" max="6409" width="21.7265625" style="4" customWidth="1"/>
    <col min="6410" max="6410" width="10.54296875" style="4" customWidth="1"/>
    <col min="6411" max="6416" width="0" style="4" hidden="1" customWidth="1"/>
    <col min="6417" max="6417" width="14.1796875" style="4" customWidth="1"/>
    <col min="6418" max="6418" width="13" style="4" customWidth="1"/>
    <col min="6419" max="6656" width="9.1796875" style="4"/>
    <col min="6657" max="6657" width="3.7265625" style="4" customWidth="1"/>
    <col min="6658" max="6658" width="12.7265625" style="4" customWidth="1"/>
    <col min="6659" max="6659" width="17.1796875" style="4" customWidth="1"/>
    <col min="6660" max="6660" width="17.7265625" style="4" customWidth="1"/>
    <col min="6661" max="6661" width="12.7265625" style="4" customWidth="1"/>
    <col min="6662" max="6662" width="13.7265625" style="4" customWidth="1"/>
    <col min="6663" max="6663" width="14" style="4" customWidth="1"/>
    <col min="6664" max="6664" width="16.81640625" style="4" customWidth="1"/>
    <col min="6665" max="6665" width="21.7265625" style="4" customWidth="1"/>
    <col min="6666" max="6666" width="10.54296875" style="4" customWidth="1"/>
    <col min="6667" max="6672" width="0" style="4" hidden="1" customWidth="1"/>
    <col min="6673" max="6673" width="14.1796875" style="4" customWidth="1"/>
    <col min="6674" max="6674" width="13" style="4" customWidth="1"/>
    <col min="6675" max="6912" width="9.1796875" style="4"/>
    <col min="6913" max="6913" width="3.7265625" style="4" customWidth="1"/>
    <col min="6914" max="6914" width="12.7265625" style="4" customWidth="1"/>
    <col min="6915" max="6915" width="17.1796875" style="4" customWidth="1"/>
    <col min="6916" max="6916" width="17.7265625" style="4" customWidth="1"/>
    <col min="6917" max="6917" width="12.7265625" style="4" customWidth="1"/>
    <col min="6918" max="6918" width="13.7265625" style="4" customWidth="1"/>
    <col min="6919" max="6919" width="14" style="4" customWidth="1"/>
    <col min="6920" max="6920" width="16.81640625" style="4" customWidth="1"/>
    <col min="6921" max="6921" width="21.7265625" style="4" customWidth="1"/>
    <col min="6922" max="6922" width="10.54296875" style="4" customWidth="1"/>
    <col min="6923" max="6928" width="0" style="4" hidden="1" customWidth="1"/>
    <col min="6929" max="6929" width="14.1796875" style="4" customWidth="1"/>
    <col min="6930" max="6930" width="13" style="4" customWidth="1"/>
    <col min="6931" max="7168" width="9.1796875" style="4"/>
    <col min="7169" max="7169" width="3.7265625" style="4" customWidth="1"/>
    <col min="7170" max="7170" width="12.7265625" style="4" customWidth="1"/>
    <col min="7171" max="7171" width="17.1796875" style="4" customWidth="1"/>
    <col min="7172" max="7172" width="17.7265625" style="4" customWidth="1"/>
    <col min="7173" max="7173" width="12.7265625" style="4" customWidth="1"/>
    <col min="7174" max="7174" width="13.7265625" style="4" customWidth="1"/>
    <col min="7175" max="7175" width="14" style="4" customWidth="1"/>
    <col min="7176" max="7176" width="16.81640625" style="4" customWidth="1"/>
    <col min="7177" max="7177" width="21.7265625" style="4" customWidth="1"/>
    <col min="7178" max="7178" width="10.54296875" style="4" customWidth="1"/>
    <col min="7179" max="7184" width="0" style="4" hidden="1" customWidth="1"/>
    <col min="7185" max="7185" width="14.1796875" style="4" customWidth="1"/>
    <col min="7186" max="7186" width="13" style="4" customWidth="1"/>
    <col min="7187" max="7424" width="9.1796875" style="4"/>
    <col min="7425" max="7425" width="3.7265625" style="4" customWidth="1"/>
    <col min="7426" max="7426" width="12.7265625" style="4" customWidth="1"/>
    <col min="7427" max="7427" width="17.1796875" style="4" customWidth="1"/>
    <col min="7428" max="7428" width="17.7265625" style="4" customWidth="1"/>
    <col min="7429" max="7429" width="12.7265625" style="4" customWidth="1"/>
    <col min="7430" max="7430" width="13.7265625" style="4" customWidth="1"/>
    <col min="7431" max="7431" width="14" style="4" customWidth="1"/>
    <col min="7432" max="7432" width="16.81640625" style="4" customWidth="1"/>
    <col min="7433" max="7433" width="21.7265625" style="4" customWidth="1"/>
    <col min="7434" max="7434" width="10.54296875" style="4" customWidth="1"/>
    <col min="7435" max="7440" width="0" style="4" hidden="1" customWidth="1"/>
    <col min="7441" max="7441" width="14.1796875" style="4" customWidth="1"/>
    <col min="7442" max="7442" width="13" style="4" customWidth="1"/>
    <col min="7443" max="7680" width="9.1796875" style="4"/>
    <col min="7681" max="7681" width="3.7265625" style="4" customWidth="1"/>
    <col min="7682" max="7682" width="12.7265625" style="4" customWidth="1"/>
    <col min="7683" max="7683" width="17.1796875" style="4" customWidth="1"/>
    <col min="7684" max="7684" width="17.7265625" style="4" customWidth="1"/>
    <col min="7685" max="7685" width="12.7265625" style="4" customWidth="1"/>
    <col min="7686" max="7686" width="13.7265625" style="4" customWidth="1"/>
    <col min="7687" max="7687" width="14" style="4" customWidth="1"/>
    <col min="7688" max="7688" width="16.81640625" style="4" customWidth="1"/>
    <col min="7689" max="7689" width="21.7265625" style="4" customWidth="1"/>
    <col min="7690" max="7690" width="10.54296875" style="4" customWidth="1"/>
    <col min="7691" max="7696" width="0" style="4" hidden="1" customWidth="1"/>
    <col min="7697" max="7697" width="14.1796875" style="4" customWidth="1"/>
    <col min="7698" max="7698" width="13" style="4" customWidth="1"/>
    <col min="7699" max="7936" width="9.1796875" style="4"/>
    <col min="7937" max="7937" width="3.7265625" style="4" customWidth="1"/>
    <col min="7938" max="7938" width="12.7265625" style="4" customWidth="1"/>
    <col min="7939" max="7939" width="17.1796875" style="4" customWidth="1"/>
    <col min="7940" max="7940" width="17.7265625" style="4" customWidth="1"/>
    <col min="7941" max="7941" width="12.7265625" style="4" customWidth="1"/>
    <col min="7942" max="7942" width="13.7265625" style="4" customWidth="1"/>
    <col min="7943" max="7943" width="14" style="4" customWidth="1"/>
    <col min="7944" max="7944" width="16.81640625" style="4" customWidth="1"/>
    <col min="7945" max="7945" width="21.7265625" style="4" customWidth="1"/>
    <col min="7946" max="7946" width="10.54296875" style="4" customWidth="1"/>
    <col min="7947" max="7952" width="0" style="4" hidden="1" customWidth="1"/>
    <col min="7953" max="7953" width="14.1796875" style="4" customWidth="1"/>
    <col min="7954" max="7954" width="13" style="4" customWidth="1"/>
    <col min="7955" max="8192" width="9.1796875" style="4"/>
    <col min="8193" max="8193" width="3.7265625" style="4" customWidth="1"/>
    <col min="8194" max="8194" width="12.7265625" style="4" customWidth="1"/>
    <col min="8195" max="8195" width="17.1796875" style="4" customWidth="1"/>
    <col min="8196" max="8196" width="17.7265625" style="4" customWidth="1"/>
    <col min="8197" max="8197" width="12.7265625" style="4" customWidth="1"/>
    <col min="8198" max="8198" width="13.7265625" style="4" customWidth="1"/>
    <col min="8199" max="8199" width="14" style="4" customWidth="1"/>
    <col min="8200" max="8200" width="16.81640625" style="4" customWidth="1"/>
    <col min="8201" max="8201" width="21.7265625" style="4" customWidth="1"/>
    <col min="8202" max="8202" width="10.54296875" style="4" customWidth="1"/>
    <col min="8203" max="8208" width="0" style="4" hidden="1" customWidth="1"/>
    <col min="8209" max="8209" width="14.1796875" style="4" customWidth="1"/>
    <col min="8210" max="8210" width="13" style="4" customWidth="1"/>
    <col min="8211" max="8448" width="9.1796875" style="4"/>
    <col min="8449" max="8449" width="3.7265625" style="4" customWidth="1"/>
    <col min="8450" max="8450" width="12.7265625" style="4" customWidth="1"/>
    <col min="8451" max="8451" width="17.1796875" style="4" customWidth="1"/>
    <col min="8452" max="8452" width="17.7265625" style="4" customWidth="1"/>
    <col min="8453" max="8453" width="12.7265625" style="4" customWidth="1"/>
    <col min="8454" max="8454" width="13.7265625" style="4" customWidth="1"/>
    <col min="8455" max="8455" width="14" style="4" customWidth="1"/>
    <col min="8456" max="8456" width="16.81640625" style="4" customWidth="1"/>
    <col min="8457" max="8457" width="21.7265625" style="4" customWidth="1"/>
    <col min="8458" max="8458" width="10.54296875" style="4" customWidth="1"/>
    <col min="8459" max="8464" width="0" style="4" hidden="1" customWidth="1"/>
    <col min="8465" max="8465" width="14.1796875" style="4" customWidth="1"/>
    <col min="8466" max="8466" width="13" style="4" customWidth="1"/>
    <col min="8467" max="8704" width="9.1796875" style="4"/>
    <col min="8705" max="8705" width="3.7265625" style="4" customWidth="1"/>
    <col min="8706" max="8706" width="12.7265625" style="4" customWidth="1"/>
    <col min="8707" max="8707" width="17.1796875" style="4" customWidth="1"/>
    <col min="8708" max="8708" width="17.7265625" style="4" customWidth="1"/>
    <col min="8709" max="8709" width="12.7265625" style="4" customWidth="1"/>
    <col min="8710" max="8710" width="13.7265625" style="4" customWidth="1"/>
    <col min="8711" max="8711" width="14" style="4" customWidth="1"/>
    <col min="8712" max="8712" width="16.81640625" style="4" customWidth="1"/>
    <col min="8713" max="8713" width="21.7265625" style="4" customWidth="1"/>
    <col min="8714" max="8714" width="10.54296875" style="4" customWidth="1"/>
    <col min="8715" max="8720" width="0" style="4" hidden="1" customWidth="1"/>
    <col min="8721" max="8721" width="14.1796875" style="4" customWidth="1"/>
    <col min="8722" max="8722" width="13" style="4" customWidth="1"/>
    <col min="8723" max="8960" width="9.1796875" style="4"/>
    <col min="8961" max="8961" width="3.7265625" style="4" customWidth="1"/>
    <col min="8962" max="8962" width="12.7265625" style="4" customWidth="1"/>
    <col min="8963" max="8963" width="17.1796875" style="4" customWidth="1"/>
    <col min="8964" max="8964" width="17.7265625" style="4" customWidth="1"/>
    <col min="8965" max="8965" width="12.7265625" style="4" customWidth="1"/>
    <col min="8966" max="8966" width="13.7265625" style="4" customWidth="1"/>
    <col min="8967" max="8967" width="14" style="4" customWidth="1"/>
    <col min="8968" max="8968" width="16.81640625" style="4" customWidth="1"/>
    <col min="8969" max="8969" width="21.7265625" style="4" customWidth="1"/>
    <col min="8970" max="8970" width="10.54296875" style="4" customWidth="1"/>
    <col min="8971" max="8976" width="0" style="4" hidden="1" customWidth="1"/>
    <col min="8977" max="8977" width="14.1796875" style="4" customWidth="1"/>
    <col min="8978" max="8978" width="13" style="4" customWidth="1"/>
    <col min="8979" max="9216" width="9.1796875" style="4"/>
    <col min="9217" max="9217" width="3.7265625" style="4" customWidth="1"/>
    <col min="9218" max="9218" width="12.7265625" style="4" customWidth="1"/>
    <col min="9219" max="9219" width="17.1796875" style="4" customWidth="1"/>
    <col min="9220" max="9220" width="17.7265625" style="4" customWidth="1"/>
    <col min="9221" max="9221" width="12.7265625" style="4" customWidth="1"/>
    <col min="9222" max="9222" width="13.7265625" style="4" customWidth="1"/>
    <col min="9223" max="9223" width="14" style="4" customWidth="1"/>
    <col min="9224" max="9224" width="16.81640625" style="4" customWidth="1"/>
    <col min="9225" max="9225" width="21.7265625" style="4" customWidth="1"/>
    <col min="9226" max="9226" width="10.54296875" style="4" customWidth="1"/>
    <col min="9227" max="9232" width="0" style="4" hidden="1" customWidth="1"/>
    <col min="9233" max="9233" width="14.1796875" style="4" customWidth="1"/>
    <col min="9234" max="9234" width="13" style="4" customWidth="1"/>
    <col min="9235" max="9472" width="9.1796875" style="4"/>
    <col min="9473" max="9473" width="3.7265625" style="4" customWidth="1"/>
    <col min="9474" max="9474" width="12.7265625" style="4" customWidth="1"/>
    <col min="9475" max="9475" width="17.1796875" style="4" customWidth="1"/>
    <col min="9476" max="9476" width="17.7265625" style="4" customWidth="1"/>
    <col min="9477" max="9477" width="12.7265625" style="4" customWidth="1"/>
    <col min="9478" max="9478" width="13.7265625" style="4" customWidth="1"/>
    <col min="9479" max="9479" width="14" style="4" customWidth="1"/>
    <col min="9480" max="9480" width="16.81640625" style="4" customWidth="1"/>
    <col min="9481" max="9481" width="21.7265625" style="4" customWidth="1"/>
    <col min="9482" max="9482" width="10.54296875" style="4" customWidth="1"/>
    <col min="9483" max="9488" width="0" style="4" hidden="1" customWidth="1"/>
    <col min="9489" max="9489" width="14.1796875" style="4" customWidth="1"/>
    <col min="9490" max="9490" width="13" style="4" customWidth="1"/>
    <col min="9491" max="9728" width="9.1796875" style="4"/>
    <col min="9729" max="9729" width="3.7265625" style="4" customWidth="1"/>
    <col min="9730" max="9730" width="12.7265625" style="4" customWidth="1"/>
    <col min="9731" max="9731" width="17.1796875" style="4" customWidth="1"/>
    <col min="9732" max="9732" width="17.7265625" style="4" customWidth="1"/>
    <col min="9733" max="9733" width="12.7265625" style="4" customWidth="1"/>
    <col min="9734" max="9734" width="13.7265625" style="4" customWidth="1"/>
    <col min="9735" max="9735" width="14" style="4" customWidth="1"/>
    <col min="9736" max="9736" width="16.81640625" style="4" customWidth="1"/>
    <col min="9737" max="9737" width="21.7265625" style="4" customWidth="1"/>
    <col min="9738" max="9738" width="10.54296875" style="4" customWidth="1"/>
    <col min="9739" max="9744" width="0" style="4" hidden="1" customWidth="1"/>
    <col min="9745" max="9745" width="14.1796875" style="4" customWidth="1"/>
    <col min="9746" max="9746" width="13" style="4" customWidth="1"/>
    <col min="9747" max="9984" width="9.1796875" style="4"/>
    <col min="9985" max="9985" width="3.7265625" style="4" customWidth="1"/>
    <col min="9986" max="9986" width="12.7265625" style="4" customWidth="1"/>
    <col min="9987" max="9987" width="17.1796875" style="4" customWidth="1"/>
    <col min="9988" max="9988" width="17.7265625" style="4" customWidth="1"/>
    <col min="9989" max="9989" width="12.7265625" style="4" customWidth="1"/>
    <col min="9990" max="9990" width="13.7265625" style="4" customWidth="1"/>
    <col min="9991" max="9991" width="14" style="4" customWidth="1"/>
    <col min="9992" max="9992" width="16.81640625" style="4" customWidth="1"/>
    <col min="9993" max="9993" width="21.7265625" style="4" customWidth="1"/>
    <col min="9994" max="9994" width="10.54296875" style="4" customWidth="1"/>
    <col min="9995" max="10000" width="0" style="4" hidden="1" customWidth="1"/>
    <col min="10001" max="10001" width="14.1796875" style="4" customWidth="1"/>
    <col min="10002" max="10002" width="13" style="4" customWidth="1"/>
    <col min="10003" max="10240" width="9.1796875" style="4"/>
    <col min="10241" max="10241" width="3.7265625" style="4" customWidth="1"/>
    <col min="10242" max="10242" width="12.7265625" style="4" customWidth="1"/>
    <col min="10243" max="10243" width="17.1796875" style="4" customWidth="1"/>
    <col min="10244" max="10244" width="17.7265625" style="4" customWidth="1"/>
    <col min="10245" max="10245" width="12.7265625" style="4" customWidth="1"/>
    <col min="10246" max="10246" width="13.7265625" style="4" customWidth="1"/>
    <col min="10247" max="10247" width="14" style="4" customWidth="1"/>
    <col min="10248" max="10248" width="16.81640625" style="4" customWidth="1"/>
    <col min="10249" max="10249" width="21.7265625" style="4" customWidth="1"/>
    <col min="10250" max="10250" width="10.54296875" style="4" customWidth="1"/>
    <col min="10251" max="10256" width="0" style="4" hidden="1" customWidth="1"/>
    <col min="10257" max="10257" width="14.1796875" style="4" customWidth="1"/>
    <col min="10258" max="10258" width="13" style="4" customWidth="1"/>
    <col min="10259" max="10496" width="9.1796875" style="4"/>
    <col min="10497" max="10497" width="3.7265625" style="4" customWidth="1"/>
    <col min="10498" max="10498" width="12.7265625" style="4" customWidth="1"/>
    <col min="10499" max="10499" width="17.1796875" style="4" customWidth="1"/>
    <col min="10500" max="10500" width="17.7265625" style="4" customWidth="1"/>
    <col min="10501" max="10501" width="12.7265625" style="4" customWidth="1"/>
    <col min="10502" max="10502" width="13.7265625" style="4" customWidth="1"/>
    <col min="10503" max="10503" width="14" style="4" customWidth="1"/>
    <col min="10504" max="10504" width="16.81640625" style="4" customWidth="1"/>
    <col min="10505" max="10505" width="21.7265625" style="4" customWidth="1"/>
    <col min="10506" max="10506" width="10.54296875" style="4" customWidth="1"/>
    <col min="10507" max="10512" width="0" style="4" hidden="1" customWidth="1"/>
    <col min="10513" max="10513" width="14.1796875" style="4" customWidth="1"/>
    <col min="10514" max="10514" width="13" style="4" customWidth="1"/>
    <col min="10515" max="10752" width="9.1796875" style="4"/>
    <col min="10753" max="10753" width="3.7265625" style="4" customWidth="1"/>
    <col min="10754" max="10754" width="12.7265625" style="4" customWidth="1"/>
    <col min="10755" max="10755" width="17.1796875" style="4" customWidth="1"/>
    <col min="10756" max="10756" width="17.7265625" style="4" customWidth="1"/>
    <col min="10757" max="10757" width="12.7265625" style="4" customWidth="1"/>
    <col min="10758" max="10758" width="13.7265625" style="4" customWidth="1"/>
    <col min="10759" max="10759" width="14" style="4" customWidth="1"/>
    <col min="10760" max="10760" width="16.81640625" style="4" customWidth="1"/>
    <col min="10761" max="10761" width="21.7265625" style="4" customWidth="1"/>
    <col min="10762" max="10762" width="10.54296875" style="4" customWidth="1"/>
    <col min="10763" max="10768" width="0" style="4" hidden="1" customWidth="1"/>
    <col min="10769" max="10769" width="14.1796875" style="4" customWidth="1"/>
    <col min="10770" max="10770" width="13" style="4" customWidth="1"/>
    <col min="10771" max="11008" width="9.1796875" style="4"/>
    <col min="11009" max="11009" width="3.7265625" style="4" customWidth="1"/>
    <col min="11010" max="11010" width="12.7265625" style="4" customWidth="1"/>
    <col min="11011" max="11011" width="17.1796875" style="4" customWidth="1"/>
    <col min="11012" max="11012" width="17.7265625" style="4" customWidth="1"/>
    <col min="11013" max="11013" width="12.7265625" style="4" customWidth="1"/>
    <col min="11014" max="11014" width="13.7265625" style="4" customWidth="1"/>
    <col min="11015" max="11015" width="14" style="4" customWidth="1"/>
    <col min="11016" max="11016" width="16.81640625" style="4" customWidth="1"/>
    <col min="11017" max="11017" width="21.7265625" style="4" customWidth="1"/>
    <col min="11018" max="11018" width="10.54296875" style="4" customWidth="1"/>
    <col min="11019" max="11024" width="0" style="4" hidden="1" customWidth="1"/>
    <col min="11025" max="11025" width="14.1796875" style="4" customWidth="1"/>
    <col min="11026" max="11026" width="13" style="4" customWidth="1"/>
    <col min="11027" max="11264" width="9.1796875" style="4"/>
    <col min="11265" max="11265" width="3.7265625" style="4" customWidth="1"/>
    <col min="11266" max="11266" width="12.7265625" style="4" customWidth="1"/>
    <col min="11267" max="11267" width="17.1796875" style="4" customWidth="1"/>
    <col min="11268" max="11268" width="17.7265625" style="4" customWidth="1"/>
    <col min="11269" max="11269" width="12.7265625" style="4" customWidth="1"/>
    <col min="11270" max="11270" width="13.7265625" style="4" customWidth="1"/>
    <col min="11271" max="11271" width="14" style="4" customWidth="1"/>
    <col min="11272" max="11272" width="16.81640625" style="4" customWidth="1"/>
    <col min="11273" max="11273" width="21.7265625" style="4" customWidth="1"/>
    <col min="11274" max="11274" width="10.54296875" style="4" customWidth="1"/>
    <col min="11275" max="11280" width="0" style="4" hidden="1" customWidth="1"/>
    <col min="11281" max="11281" width="14.1796875" style="4" customWidth="1"/>
    <col min="11282" max="11282" width="13" style="4" customWidth="1"/>
    <col min="11283" max="11520" width="9.1796875" style="4"/>
    <col min="11521" max="11521" width="3.7265625" style="4" customWidth="1"/>
    <col min="11522" max="11522" width="12.7265625" style="4" customWidth="1"/>
    <col min="11523" max="11523" width="17.1796875" style="4" customWidth="1"/>
    <col min="11524" max="11524" width="17.7265625" style="4" customWidth="1"/>
    <col min="11525" max="11525" width="12.7265625" style="4" customWidth="1"/>
    <col min="11526" max="11526" width="13.7265625" style="4" customWidth="1"/>
    <col min="11527" max="11527" width="14" style="4" customWidth="1"/>
    <col min="11528" max="11528" width="16.81640625" style="4" customWidth="1"/>
    <col min="11529" max="11529" width="21.7265625" style="4" customWidth="1"/>
    <col min="11530" max="11530" width="10.54296875" style="4" customWidth="1"/>
    <col min="11531" max="11536" width="0" style="4" hidden="1" customWidth="1"/>
    <col min="11537" max="11537" width="14.1796875" style="4" customWidth="1"/>
    <col min="11538" max="11538" width="13" style="4" customWidth="1"/>
    <col min="11539" max="11776" width="9.1796875" style="4"/>
    <col min="11777" max="11777" width="3.7265625" style="4" customWidth="1"/>
    <col min="11778" max="11778" width="12.7265625" style="4" customWidth="1"/>
    <col min="11779" max="11779" width="17.1796875" style="4" customWidth="1"/>
    <col min="11780" max="11780" width="17.7265625" style="4" customWidth="1"/>
    <col min="11781" max="11781" width="12.7265625" style="4" customWidth="1"/>
    <col min="11782" max="11782" width="13.7265625" style="4" customWidth="1"/>
    <col min="11783" max="11783" width="14" style="4" customWidth="1"/>
    <col min="11784" max="11784" width="16.81640625" style="4" customWidth="1"/>
    <col min="11785" max="11785" width="21.7265625" style="4" customWidth="1"/>
    <col min="11786" max="11786" width="10.54296875" style="4" customWidth="1"/>
    <col min="11787" max="11792" width="0" style="4" hidden="1" customWidth="1"/>
    <col min="11793" max="11793" width="14.1796875" style="4" customWidth="1"/>
    <col min="11794" max="11794" width="13" style="4" customWidth="1"/>
    <col min="11795" max="12032" width="9.1796875" style="4"/>
    <col min="12033" max="12033" width="3.7265625" style="4" customWidth="1"/>
    <col min="12034" max="12034" width="12.7265625" style="4" customWidth="1"/>
    <col min="12035" max="12035" width="17.1796875" style="4" customWidth="1"/>
    <col min="12036" max="12036" width="17.7265625" style="4" customWidth="1"/>
    <col min="12037" max="12037" width="12.7265625" style="4" customWidth="1"/>
    <col min="12038" max="12038" width="13.7265625" style="4" customWidth="1"/>
    <col min="12039" max="12039" width="14" style="4" customWidth="1"/>
    <col min="12040" max="12040" width="16.81640625" style="4" customWidth="1"/>
    <col min="12041" max="12041" width="21.7265625" style="4" customWidth="1"/>
    <col min="12042" max="12042" width="10.54296875" style="4" customWidth="1"/>
    <col min="12043" max="12048" width="0" style="4" hidden="1" customWidth="1"/>
    <col min="12049" max="12049" width="14.1796875" style="4" customWidth="1"/>
    <col min="12050" max="12050" width="13" style="4" customWidth="1"/>
    <col min="12051" max="12288" width="9.1796875" style="4"/>
    <col min="12289" max="12289" width="3.7265625" style="4" customWidth="1"/>
    <col min="12290" max="12290" width="12.7265625" style="4" customWidth="1"/>
    <col min="12291" max="12291" width="17.1796875" style="4" customWidth="1"/>
    <col min="12292" max="12292" width="17.7265625" style="4" customWidth="1"/>
    <col min="12293" max="12293" width="12.7265625" style="4" customWidth="1"/>
    <col min="12294" max="12294" width="13.7265625" style="4" customWidth="1"/>
    <col min="12295" max="12295" width="14" style="4" customWidth="1"/>
    <col min="12296" max="12296" width="16.81640625" style="4" customWidth="1"/>
    <col min="12297" max="12297" width="21.7265625" style="4" customWidth="1"/>
    <col min="12298" max="12298" width="10.54296875" style="4" customWidth="1"/>
    <col min="12299" max="12304" width="0" style="4" hidden="1" customWidth="1"/>
    <col min="12305" max="12305" width="14.1796875" style="4" customWidth="1"/>
    <col min="12306" max="12306" width="13" style="4" customWidth="1"/>
    <col min="12307" max="12544" width="9.1796875" style="4"/>
    <col min="12545" max="12545" width="3.7265625" style="4" customWidth="1"/>
    <col min="12546" max="12546" width="12.7265625" style="4" customWidth="1"/>
    <col min="12547" max="12547" width="17.1796875" style="4" customWidth="1"/>
    <col min="12548" max="12548" width="17.7265625" style="4" customWidth="1"/>
    <col min="12549" max="12549" width="12.7265625" style="4" customWidth="1"/>
    <col min="12550" max="12550" width="13.7265625" style="4" customWidth="1"/>
    <col min="12551" max="12551" width="14" style="4" customWidth="1"/>
    <col min="12552" max="12552" width="16.81640625" style="4" customWidth="1"/>
    <col min="12553" max="12553" width="21.7265625" style="4" customWidth="1"/>
    <col min="12554" max="12554" width="10.54296875" style="4" customWidth="1"/>
    <col min="12555" max="12560" width="0" style="4" hidden="1" customWidth="1"/>
    <col min="12561" max="12561" width="14.1796875" style="4" customWidth="1"/>
    <col min="12562" max="12562" width="13" style="4" customWidth="1"/>
    <col min="12563" max="12800" width="9.1796875" style="4"/>
    <col min="12801" max="12801" width="3.7265625" style="4" customWidth="1"/>
    <col min="12802" max="12802" width="12.7265625" style="4" customWidth="1"/>
    <col min="12803" max="12803" width="17.1796875" style="4" customWidth="1"/>
    <col min="12804" max="12804" width="17.7265625" style="4" customWidth="1"/>
    <col min="12805" max="12805" width="12.7265625" style="4" customWidth="1"/>
    <col min="12806" max="12806" width="13.7265625" style="4" customWidth="1"/>
    <col min="12807" max="12807" width="14" style="4" customWidth="1"/>
    <col min="12808" max="12808" width="16.81640625" style="4" customWidth="1"/>
    <col min="12809" max="12809" width="21.7265625" style="4" customWidth="1"/>
    <col min="12810" max="12810" width="10.54296875" style="4" customWidth="1"/>
    <col min="12811" max="12816" width="0" style="4" hidden="1" customWidth="1"/>
    <col min="12817" max="12817" width="14.1796875" style="4" customWidth="1"/>
    <col min="12818" max="12818" width="13" style="4" customWidth="1"/>
    <col min="12819" max="13056" width="9.1796875" style="4"/>
    <col min="13057" max="13057" width="3.7265625" style="4" customWidth="1"/>
    <col min="13058" max="13058" width="12.7265625" style="4" customWidth="1"/>
    <col min="13059" max="13059" width="17.1796875" style="4" customWidth="1"/>
    <col min="13060" max="13060" width="17.7265625" style="4" customWidth="1"/>
    <col min="13061" max="13061" width="12.7265625" style="4" customWidth="1"/>
    <col min="13062" max="13062" width="13.7265625" style="4" customWidth="1"/>
    <col min="13063" max="13063" width="14" style="4" customWidth="1"/>
    <col min="13064" max="13064" width="16.81640625" style="4" customWidth="1"/>
    <col min="13065" max="13065" width="21.7265625" style="4" customWidth="1"/>
    <col min="13066" max="13066" width="10.54296875" style="4" customWidth="1"/>
    <col min="13067" max="13072" width="0" style="4" hidden="1" customWidth="1"/>
    <col min="13073" max="13073" width="14.1796875" style="4" customWidth="1"/>
    <col min="13074" max="13074" width="13" style="4" customWidth="1"/>
    <col min="13075" max="13312" width="9.1796875" style="4"/>
    <col min="13313" max="13313" width="3.7265625" style="4" customWidth="1"/>
    <col min="13314" max="13314" width="12.7265625" style="4" customWidth="1"/>
    <col min="13315" max="13315" width="17.1796875" style="4" customWidth="1"/>
    <col min="13316" max="13316" width="17.7265625" style="4" customWidth="1"/>
    <col min="13317" max="13317" width="12.7265625" style="4" customWidth="1"/>
    <col min="13318" max="13318" width="13.7265625" style="4" customWidth="1"/>
    <col min="13319" max="13319" width="14" style="4" customWidth="1"/>
    <col min="13320" max="13320" width="16.81640625" style="4" customWidth="1"/>
    <col min="13321" max="13321" width="21.7265625" style="4" customWidth="1"/>
    <col min="13322" max="13322" width="10.54296875" style="4" customWidth="1"/>
    <col min="13323" max="13328" width="0" style="4" hidden="1" customWidth="1"/>
    <col min="13329" max="13329" width="14.1796875" style="4" customWidth="1"/>
    <col min="13330" max="13330" width="13" style="4" customWidth="1"/>
    <col min="13331" max="13568" width="9.1796875" style="4"/>
    <col min="13569" max="13569" width="3.7265625" style="4" customWidth="1"/>
    <col min="13570" max="13570" width="12.7265625" style="4" customWidth="1"/>
    <col min="13571" max="13571" width="17.1796875" style="4" customWidth="1"/>
    <col min="13572" max="13572" width="17.7265625" style="4" customWidth="1"/>
    <col min="13573" max="13573" width="12.7265625" style="4" customWidth="1"/>
    <col min="13574" max="13574" width="13.7265625" style="4" customWidth="1"/>
    <col min="13575" max="13575" width="14" style="4" customWidth="1"/>
    <col min="13576" max="13576" width="16.81640625" style="4" customWidth="1"/>
    <col min="13577" max="13577" width="21.7265625" style="4" customWidth="1"/>
    <col min="13578" max="13578" width="10.54296875" style="4" customWidth="1"/>
    <col min="13579" max="13584" width="0" style="4" hidden="1" customWidth="1"/>
    <col min="13585" max="13585" width="14.1796875" style="4" customWidth="1"/>
    <col min="13586" max="13586" width="13" style="4" customWidth="1"/>
    <col min="13587" max="13824" width="9.1796875" style="4"/>
    <col min="13825" max="13825" width="3.7265625" style="4" customWidth="1"/>
    <col min="13826" max="13826" width="12.7265625" style="4" customWidth="1"/>
    <col min="13827" max="13827" width="17.1796875" style="4" customWidth="1"/>
    <col min="13828" max="13828" width="17.7265625" style="4" customWidth="1"/>
    <col min="13829" max="13829" width="12.7265625" style="4" customWidth="1"/>
    <col min="13830" max="13830" width="13.7265625" style="4" customWidth="1"/>
    <col min="13831" max="13831" width="14" style="4" customWidth="1"/>
    <col min="13832" max="13832" width="16.81640625" style="4" customWidth="1"/>
    <col min="13833" max="13833" width="21.7265625" style="4" customWidth="1"/>
    <col min="13834" max="13834" width="10.54296875" style="4" customWidth="1"/>
    <col min="13835" max="13840" width="0" style="4" hidden="1" customWidth="1"/>
    <col min="13841" max="13841" width="14.1796875" style="4" customWidth="1"/>
    <col min="13842" max="13842" width="13" style="4" customWidth="1"/>
    <col min="13843" max="14080" width="9.1796875" style="4"/>
    <col min="14081" max="14081" width="3.7265625" style="4" customWidth="1"/>
    <col min="14082" max="14082" width="12.7265625" style="4" customWidth="1"/>
    <col min="14083" max="14083" width="17.1796875" style="4" customWidth="1"/>
    <col min="14084" max="14084" width="17.7265625" style="4" customWidth="1"/>
    <col min="14085" max="14085" width="12.7265625" style="4" customWidth="1"/>
    <col min="14086" max="14086" width="13.7265625" style="4" customWidth="1"/>
    <col min="14087" max="14087" width="14" style="4" customWidth="1"/>
    <col min="14088" max="14088" width="16.81640625" style="4" customWidth="1"/>
    <col min="14089" max="14089" width="21.7265625" style="4" customWidth="1"/>
    <col min="14090" max="14090" width="10.54296875" style="4" customWidth="1"/>
    <col min="14091" max="14096" width="0" style="4" hidden="1" customWidth="1"/>
    <col min="14097" max="14097" width="14.1796875" style="4" customWidth="1"/>
    <col min="14098" max="14098" width="13" style="4" customWidth="1"/>
    <col min="14099" max="14336" width="9.1796875" style="4"/>
    <col min="14337" max="14337" width="3.7265625" style="4" customWidth="1"/>
    <col min="14338" max="14338" width="12.7265625" style="4" customWidth="1"/>
    <col min="14339" max="14339" width="17.1796875" style="4" customWidth="1"/>
    <col min="14340" max="14340" width="17.7265625" style="4" customWidth="1"/>
    <col min="14341" max="14341" width="12.7265625" style="4" customWidth="1"/>
    <col min="14342" max="14342" width="13.7265625" style="4" customWidth="1"/>
    <col min="14343" max="14343" width="14" style="4" customWidth="1"/>
    <col min="14344" max="14344" width="16.81640625" style="4" customWidth="1"/>
    <col min="14345" max="14345" width="21.7265625" style="4" customWidth="1"/>
    <col min="14346" max="14346" width="10.54296875" style="4" customWidth="1"/>
    <col min="14347" max="14352" width="0" style="4" hidden="1" customWidth="1"/>
    <col min="14353" max="14353" width="14.1796875" style="4" customWidth="1"/>
    <col min="14354" max="14354" width="13" style="4" customWidth="1"/>
    <col min="14355" max="14592" width="9.1796875" style="4"/>
    <col min="14593" max="14593" width="3.7265625" style="4" customWidth="1"/>
    <col min="14594" max="14594" width="12.7265625" style="4" customWidth="1"/>
    <col min="14595" max="14595" width="17.1796875" style="4" customWidth="1"/>
    <col min="14596" max="14596" width="17.7265625" style="4" customWidth="1"/>
    <col min="14597" max="14597" width="12.7265625" style="4" customWidth="1"/>
    <col min="14598" max="14598" width="13.7265625" style="4" customWidth="1"/>
    <col min="14599" max="14599" width="14" style="4" customWidth="1"/>
    <col min="14600" max="14600" width="16.81640625" style="4" customWidth="1"/>
    <col min="14601" max="14601" width="21.7265625" style="4" customWidth="1"/>
    <col min="14602" max="14602" width="10.54296875" style="4" customWidth="1"/>
    <col min="14603" max="14608" width="0" style="4" hidden="1" customWidth="1"/>
    <col min="14609" max="14609" width="14.1796875" style="4" customWidth="1"/>
    <col min="14610" max="14610" width="13" style="4" customWidth="1"/>
    <col min="14611" max="14848" width="9.1796875" style="4"/>
    <col min="14849" max="14849" width="3.7265625" style="4" customWidth="1"/>
    <col min="14850" max="14850" width="12.7265625" style="4" customWidth="1"/>
    <col min="14851" max="14851" width="17.1796875" style="4" customWidth="1"/>
    <col min="14852" max="14852" width="17.7265625" style="4" customWidth="1"/>
    <col min="14853" max="14853" width="12.7265625" style="4" customWidth="1"/>
    <col min="14854" max="14854" width="13.7265625" style="4" customWidth="1"/>
    <col min="14855" max="14855" width="14" style="4" customWidth="1"/>
    <col min="14856" max="14856" width="16.81640625" style="4" customWidth="1"/>
    <col min="14857" max="14857" width="21.7265625" style="4" customWidth="1"/>
    <col min="14858" max="14858" width="10.54296875" style="4" customWidth="1"/>
    <col min="14859" max="14864" width="0" style="4" hidden="1" customWidth="1"/>
    <col min="14865" max="14865" width="14.1796875" style="4" customWidth="1"/>
    <col min="14866" max="14866" width="13" style="4" customWidth="1"/>
    <col min="14867" max="15104" width="9.1796875" style="4"/>
    <col min="15105" max="15105" width="3.7265625" style="4" customWidth="1"/>
    <col min="15106" max="15106" width="12.7265625" style="4" customWidth="1"/>
    <col min="15107" max="15107" width="17.1796875" style="4" customWidth="1"/>
    <col min="15108" max="15108" width="17.7265625" style="4" customWidth="1"/>
    <col min="15109" max="15109" width="12.7265625" style="4" customWidth="1"/>
    <col min="15110" max="15110" width="13.7265625" style="4" customWidth="1"/>
    <col min="15111" max="15111" width="14" style="4" customWidth="1"/>
    <col min="15112" max="15112" width="16.81640625" style="4" customWidth="1"/>
    <col min="15113" max="15113" width="21.7265625" style="4" customWidth="1"/>
    <col min="15114" max="15114" width="10.54296875" style="4" customWidth="1"/>
    <col min="15115" max="15120" width="0" style="4" hidden="1" customWidth="1"/>
    <col min="15121" max="15121" width="14.1796875" style="4" customWidth="1"/>
    <col min="15122" max="15122" width="13" style="4" customWidth="1"/>
    <col min="15123" max="15360" width="9.1796875" style="4"/>
    <col min="15361" max="15361" width="3.7265625" style="4" customWidth="1"/>
    <col min="15362" max="15362" width="12.7265625" style="4" customWidth="1"/>
    <col min="15363" max="15363" width="17.1796875" style="4" customWidth="1"/>
    <col min="15364" max="15364" width="17.7265625" style="4" customWidth="1"/>
    <col min="15365" max="15365" width="12.7265625" style="4" customWidth="1"/>
    <col min="15366" max="15366" width="13.7265625" style="4" customWidth="1"/>
    <col min="15367" max="15367" width="14" style="4" customWidth="1"/>
    <col min="15368" max="15368" width="16.81640625" style="4" customWidth="1"/>
    <col min="15369" max="15369" width="21.7265625" style="4" customWidth="1"/>
    <col min="15370" max="15370" width="10.54296875" style="4" customWidth="1"/>
    <col min="15371" max="15376" width="0" style="4" hidden="1" customWidth="1"/>
    <col min="15377" max="15377" width="14.1796875" style="4" customWidth="1"/>
    <col min="15378" max="15378" width="13" style="4" customWidth="1"/>
    <col min="15379" max="15616" width="9.1796875" style="4"/>
    <col min="15617" max="15617" width="3.7265625" style="4" customWidth="1"/>
    <col min="15618" max="15618" width="12.7265625" style="4" customWidth="1"/>
    <col min="15619" max="15619" width="17.1796875" style="4" customWidth="1"/>
    <col min="15620" max="15620" width="17.7265625" style="4" customWidth="1"/>
    <col min="15621" max="15621" width="12.7265625" style="4" customWidth="1"/>
    <col min="15622" max="15622" width="13.7265625" style="4" customWidth="1"/>
    <col min="15623" max="15623" width="14" style="4" customWidth="1"/>
    <col min="15624" max="15624" width="16.81640625" style="4" customWidth="1"/>
    <col min="15625" max="15625" width="21.7265625" style="4" customWidth="1"/>
    <col min="15626" max="15626" width="10.54296875" style="4" customWidth="1"/>
    <col min="15627" max="15632" width="0" style="4" hidden="1" customWidth="1"/>
    <col min="15633" max="15633" width="14.1796875" style="4" customWidth="1"/>
    <col min="15634" max="15634" width="13" style="4" customWidth="1"/>
    <col min="15635" max="15872" width="9.1796875" style="4"/>
    <col min="15873" max="15873" width="3.7265625" style="4" customWidth="1"/>
    <col min="15874" max="15874" width="12.7265625" style="4" customWidth="1"/>
    <col min="15875" max="15875" width="17.1796875" style="4" customWidth="1"/>
    <col min="15876" max="15876" width="17.7265625" style="4" customWidth="1"/>
    <col min="15877" max="15877" width="12.7265625" style="4" customWidth="1"/>
    <col min="15878" max="15878" width="13.7265625" style="4" customWidth="1"/>
    <col min="15879" max="15879" width="14" style="4" customWidth="1"/>
    <col min="15880" max="15880" width="16.81640625" style="4" customWidth="1"/>
    <col min="15881" max="15881" width="21.7265625" style="4" customWidth="1"/>
    <col min="15882" max="15882" width="10.54296875" style="4" customWidth="1"/>
    <col min="15883" max="15888" width="0" style="4" hidden="1" customWidth="1"/>
    <col min="15889" max="15889" width="14.1796875" style="4" customWidth="1"/>
    <col min="15890" max="15890" width="13" style="4" customWidth="1"/>
    <col min="15891" max="16128" width="9.1796875" style="4"/>
    <col min="16129" max="16129" width="3.7265625" style="4" customWidth="1"/>
    <col min="16130" max="16130" width="12.7265625" style="4" customWidth="1"/>
    <col min="16131" max="16131" width="17.1796875" style="4" customWidth="1"/>
    <col min="16132" max="16132" width="17.7265625" style="4" customWidth="1"/>
    <col min="16133" max="16133" width="12.7265625" style="4" customWidth="1"/>
    <col min="16134" max="16134" width="13.7265625" style="4" customWidth="1"/>
    <col min="16135" max="16135" width="14" style="4" customWidth="1"/>
    <col min="16136" max="16136" width="16.81640625" style="4" customWidth="1"/>
    <col min="16137" max="16137" width="21.7265625" style="4" customWidth="1"/>
    <col min="16138" max="16138" width="10.54296875" style="4" customWidth="1"/>
    <col min="16139" max="16144" width="0" style="4" hidden="1" customWidth="1"/>
    <col min="16145" max="16145" width="14.1796875" style="4" customWidth="1"/>
    <col min="16146" max="16146" width="13" style="4" customWidth="1"/>
    <col min="16147" max="16384" width="9.1796875" style="4"/>
  </cols>
  <sheetData>
    <row r="1" spans="1:19" s="229" customFormat="1">
      <c r="A1" s="2991" t="s">
        <v>345</v>
      </c>
      <c r="B1" s="2991"/>
      <c r="C1" s="2991"/>
      <c r="K1" s="1321"/>
      <c r="L1" s="1321"/>
      <c r="M1" s="1321"/>
      <c r="N1" s="1321"/>
      <c r="O1" s="1321"/>
      <c r="P1" s="1321"/>
      <c r="Q1" s="1321"/>
    </row>
    <row r="2" spans="1:19">
      <c r="A2" s="3017" t="s">
        <v>1604</v>
      </c>
      <c r="B2" s="3017"/>
      <c r="C2" s="3017"/>
      <c r="D2" s="3017"/>
      <c r="E2" s="3017"/>
      <c r="F2" s="3017"/>
      <c r="G2" s="3017"/>
      <c r="H2" s="3017"/>
      <c r="I2" s="3017"/>
      <c r="J2" s="3017"/>
      <c r="K2" s="3017"/>
      <c r="L2" s="3017"/>
      <c r="M2" s="3017"/>
      <c r="N2" s="3017"/>
      <c r="O2" s="3017"/>
      <c r="P2" s="3017"/>
      <c r="Q2" s="3017"/>
      <c r="R2" s="3017"/>
      <c r="S2" s="3017"/>
    </row>
    <row r="3" spans="1:19">
      <c r="A3" s="304" t="s">
        <v>424</v>
      </c>
      <c r="B3" s="304"/>
      <c r="C3" s="304"/>
      <c r="D3" s="304"/>
      <c r="E3" s="304"/>
      <c r="F3" s="304"/>
      <c r="G3" s="304"/>
      <c r="H3" s="304"/>
      <c r="I3" s="304"/>
      <c r="J3" s="304"/>
      <c r="K3" s="304"/>
      <c r="L3" s="304"/>
      <c r="M3" s="304"/>
      <c r="N3" s="304"/>
      <c r="O3" s="304"/>
      <c r="P3" s="304"/>
      <c r="Q3" s="304"/>
      <c r="R3" s="3060"/>
      <c r="S3" s="3060"/>
    </row>
    <row r="4" spans="1:19">
      <c r="A4" s="49"/>
      <c r="B4" s="324"/>
      <c r="C4" s="49"/>
      <c r="D4" s="49"/>
      <c r="E4" s="49"/>
      <c r="F4" s="49"/>
      <c r="G4" s="49"/>
      <c r="H4" s="49"/>
      <c r="I4" s="49"/>
      <c r="J4" s="49"/>
      <c r="K4" s="49"/>
      <c r="L4" s="49"/>
      <c r="M4" s="49"/>
      <c r="N4" s="49"/>
      <c r="O4" s="49"/>
      <c r="P4" s="49"/>
      <c r="Q4" s="49"/>
      <c r="R4" s="15"/>
      <c r="S4" s="15"/>
    </row>
    <row r="5" spans="1:19">
      <c r="A5" s="3337" t="s">
        <v>727</v>
      </c>
      <c r="B5" s="3337"/>
      <c r="C5" s="3337"/>
      <c r="D5" s="3337"/>
      <c r="E5" s="3337"/>
      <c r="F5" s="3337"/>
      <c r="G5" s="3337"/>
      <c r="H5" s="3337"/>
      <c r="I5" s="3337"/>
      <c r="J5" s="3337"/>
      <c r="K5" s="3337"/>
      <c r="L5" s="3337"/>
      <c r="M5" s="3337"/>
      <c r="N5" s="3337"/>
      <c r="O5" s="3337"/>
      <c r="P5" s="3337"/>
      <c r="Q5" s="3337"/>
      <c r="R5" s="3337"/>
      <c r="S5" s="3337"/>
    </row>
    <row r="6" spans="1:19">
      <c r="A6" s="24"/>
      <c r="B6" s="24"/>
      <c r="C6" s="24"/>
      <c r="E6" s="24"/>
      <c r="F6" s="109"/>
      <c r="G6" s="109"/>
      <c r="K6" s="4"/>
      <c r="L6" s="4"/>
      <c r="M6" s="4"/>
      <c r="N6" s="4"/>
      <c r="O6" s="4"/>
      <c r="P6" s="4"/>
    </row>
    <row r="7" spans="1:19" ht="11.25" customHeight="1">
      <c r="A7" s="2994" t="s">
        <v>425</v>
      </c>
      <c r="B7" s="2994"/>
      <c r="C7" s="2994"/>
      <c r="D7" s="2994"/>
      <c r="E7" s="2994"/>
      <c r="F7" s="2994"/>
      <c r="G7" s="2994"/>
      <c r="H7" s="345"/>
      <c r="I7" s="2994" t="s">
        <v>426</v>
      </c>
      <c r="J7" s="2994"/>
      <c r="K7" s="2994"/>
      <c r="L7" s="2994"/>
      <c r="M7" s="2994"/>
      <c r="N7" s="2994"/>
      <c r="O7" s="2994"/>
      <c r="P7" s="2994"/>
      <c r="Q7" s="2994"/>
      <c r="R7" s="2994"/>
      <c r="S7" s="2994"/>
    </row>
    <row r="8" spans="1:19" ht="11.25" customHeight="1">
      <c r="A8" s="3029" t="s">
        <v>455</v>
      </c>
      <c r="B8" s="3029" t="s">
        <v>794</v>
      </c>
      <c r="C8" s="3029" t="s">
        <v>435</v>
      </c>
      <c r="D8" s="3029" t="s">
        <v>428</v>
      </c>
      <c r="E8" s="3029" t="s">
        <v>457</v>
      </c>
      <c r="F8" s="3339" t="s">
        <v>429</v>
      </c>
      <c r="G8" s="3340" t="s">
        <v>430</v>
      </c>
      <c r="H8" s="3029" t="s">
        <v>458</v>
      </c>
      <c r="I8" s="3046" t="s">
        <v>431</v>
      </c>
      <c r="J8" s="3048"/>
      <c r="K8" s="3049" t="s">
        <v>432</v>
      </c>
      <c r="L8" s="3050"/>
      <c r="M8" s="3050"/>
      <c r="N8" s="3050"/>
      <c r="O8" s="3050"/>
      <c r="P8" s="3051"/>
      <c r="Q8" s="3030" t="s">
        <v>798</v>
      </c>
      <c r="R8" s="3030" t="s">
        <v>799</v>
      </c>
      <c r="S8" s="3029" t="s">
        <v>796</v>
      </c>
    </row>
    <row r="9" spans="1:19" ht="8.25" customHeight="1">
      <c r="A9" s="3030"/>
      <c r="B9" s="3030"/>
      <c r="C9" s="3030"/>
      <c r="D9" s="3030"/>
      <c r="E9" s="3030"/>
      <c r="F9" s="3339"/>
      <c r="G9" s="3341"/>
      <c r="H9" s="3030"/>
      <c r="I9" s="3049"/>
      <c r="J9" s="3051"/>
      <c r="K9" s="3018" t="s">
        <v>433</v>
      </c>
      <c r="L9" s="3019"/>
      <c r="M9" s="3022"/>
      <c r="N9" s="3018" t="s">
        <v>434</v>
      </c>
      <c r="O9" s="3019"/>
      <c r="P9" s="3022"/>
      <c r="Q9" s="3030"/>
      <c r="R9" s="3030"/>
      <c r="S9" s="3030"/>
    </row>
    <row r="10" spans="1:19" ht="52.5" customHeight="1">
      <c r="A10" s="3089"/>
      <c r="B10" s="3089"/>
      <c r="C10" s="3089"/>
      <c r="D10" s="3089"/>
      <c r="E10" s="3089"/>
      <c r="F10" s="3339"/>
      <c r="G10" s="3342"/>
      <c r="H10" s="3089"/>
      <c r="I10" s="193" t="s">
        <v>800</v>
      </c>
      <c r="J10" s="193" t="s">
        <v>797</v>
      </c>
      <c r="K10" s="193" t="s">
        <v>80</v>
      </c>
      <c r="L10" s="193" t="s">
        <v>436</v>
      </c>
      <c r="M10" s="193" t="s">
        <v>437</v>
      </c>
      <c r="N10" s="193" t="s">
        <v>438</v>
      </c>
      <c r="O10" s="193" t="s">
        <v>436</v>
      </c>
      <c r="P10" s="193" t="s">
        <v>437</v>
      </c>
      <c r="Q10" s="3089"/>
      <c r="R10" s="3089"/>
      <c r="S10" s="3089"/>
    </row>
    <row r="11" spans="1:19">
      <c r="A11" s="17"/>
      <c r="B11" s="17"/>
      <c r="C11" s="17"/>
      <c r="D11" s="17"/>
      <c r="E11" s="29"/>
      <c r="F11" s="110"/>
      <c r="G11" s="111"/>
      <c r="H11" s="42"/>
      <c r="I11" s="42"/>
      <c r="J11" s="42"/>
      <c r="K11" s="42"/>
      <c r="L11" s="42"/>
      <c r="M11" s="42"/>
      <c r="N11" s="42"/>
      <c r="O11" s="42"/>
      <c r="P11" s="42"/>
      <c r="Q11" s="42"/>
      <c r="R11" s="42"/>
      <c r="S11" s="9"/>
    </row>
    <row r="12" spans="1:19">
      <c r="A12" s="42"/>
      <c r="B12" s="321"/>
      <c r="C12" s="29"/>
      <c r="D12" s="29"/>
      <c r="E12" s="29"/>
      <c r="F12" s="110"/>
      <c r="G12" s="111"/>
      <c r="H12" s="42"/>
      <c r="I12" s="42"/>
      <c r="J12" s="42"/>
      <c r="K12" s="42"/>
      <c r="L12" s="42"/>
      <c r="M12" s="42"/>
      <c r="N12" s="42"/>
      <c r="O12" s="42"/>
      <c r="P12" s="42"/>
      <c r="Q12" s="42"/>
      <c r="R12" s="42"/>
      <c r="S12" s="9"/>
    </row>
    <row r="13" spans="1:19">
      <c r="A13" s="42"/>
      <c r="B13" s="321"/>
      <c r="C13" s="29"/>
      <c r="D13" s="29"/>
      <c r="E13" s="29"/>
      <c r="F13" s="110"/>
      <c r="G13" s="111"/>
      <c r="H13" s="42"/>
      <c r="I13" s="42"/>
      <c r="J13" s="42"/>
      <c r="K13" s="42"/>
      <c r="L13" s="42"/>
      <c r="M13" s="42"/>
      <c r="N13" s="42"/>
      <c r="O13" s="42"/>
      <c r="P13" s="42"/>
      <c r="Q13" s="42"/>
      <c r="R13" s="42"/>
      <c r="S13" s="9"/>
    </row>
    <row r="14" spans="1:19">
      <c r="A14" s="42"/>
      <c r="B14" s="321"/>
      <c r="C14" s="29"/>
      <c r="D14" s="29"/>
      <c r="E14" s="29"/>
      <c r="F14" s="110"/>
      <c r="G14" s="111"/>
      <c r="H14" s="42"/>
      <c r="I14" s="42"/>
      <c r="J14" s="42"/>
      <c r="K14" s="42"/>
      <c r="L14" s="42"/>
      <c r="M14" s="42"/>
      <c r="N14" s="42"/>
      <c r="O14" s="42"/>
      <c r="P14" s="42"/>
      <c r="Q14" s="42"/>
      <c r="R14" s="42"/>
      <c r="S14" s="9"/>
    </row>
    <row r="15" spans="1:19">
      <c r="A15" s="42"/>
      <c r="B15" s="321"/>
      <c r="C15" s="29"/>
      <c r="D15" s="29"/>
      <c r="E15" s="29"/>
      <c r="F15" s="110"/>
      <c r="G15" s="111"/>
      <c r="H15" s="42"/>
      <c r="I15" s="42"/>
      <c r="J15" s="42"/>
      <c r="K15" s="42"/>
      <c r="L15" s="42"/>
      <c r="M15" s="42"/>
      <c r="N15" s="42"/>
      <c r="O15" s="42"/>
      <c r="P15" s="42"/>
      <c r="Q15" s="42"/>
      <c r="R15" s="42"/>
      <c r="S15" s="9"/>
    </row>
    <row r="16" spans="1:19">
      <c r="A16" s="42"/>
      <c r="B16" s="321"/>
      <c r="C16" s="29"/>
      <c r="D16" s="29"/>
      <c r="E16" s="29"/>
      <c r="F16" s="110"/>
      <c r="G16" s="111"/>
      <c r="H16" s="42"/>
      <c r="I16" s="42"/>
      <c r="J16" s="42"/>
      <c r="K16" s="42"/>
      <c r="L16" s="42"/>
      <c r="M16" s="42"/>
      <c r="N16" s="42"/>
      <c r="O16" s="42"/>
      <c r="P16" s="42"/>
      <c r="Q16" s="42"/>
      <c r="R16" s="42"/>
      <c r="S16" s="9"/>
    </row>
    <row r="17" spans="1:19">
      <c r="A17" s="42"/>
      <c r="B17" s="321"/>
      <c r="C17" s="29"/>
      <c r="D17" s="29"/>
      <c r="E17" s="29"/>
      <c r="F17" s="110"/>
      <c r="G17" s="111"/>
      <c r="H17" s="42"/>
      <c r="I17" s="42"/>
      <c r="J17" s="42"/>
      <c r="K17" s="42"/>
      <c r="L17" s="42"/>
      <c r="M17" s="42"/>
      <c r="N17" s="42"/>
      <c r="O17" s="42"/>
      <c r="P17" s="42"/>
      <c r="Q17" s="42"/>
      <c r="R17" s="42"/>
      <c r="S17" s="9"/>
    </row>
    <row r="18" spans="1:19">
      <c r="A18" s="42"/>
      <c r="B18" s="321"/>
      <c r="C18" s="29"/>
      <c r="D18" s="29"/>
      <c r="E18" s="42"/>
      <c r="F18" s="110"/>
      <c r="G18" s="111"/>
      <c r="H18" s="42"/>
      <c r="I18" s="42"/>
      <c r="J18" s="42"/>
      <c r="K18" s="42"/>
      <c r="L18" s="42"/>
      <c r="M18" s="42"/>
      <c r="N18" s="42"/>
      <c r="O18" s="42"/>
      <c r="P18" s="42"/>
      <c r="Q18" s="42"/>
      <c r="R18" s="42"/>
      <c r="S18" s="9"/>
    </row>
    <row r="19" spans="1:19">
      <c r="A19" s="42"/>
      <c r="B19" s="321"/>
      <c r="C19" s="29"/>
      <c r="D19" s="42"/>
      <c r="E19" s="42"/>
      <c r="F19" s="110"/>
      <c r="G19" s="111"/>
      <c r="H19" s="42"/>
      <c r="I19" s="42"/>
      <c r="J19" s="42"/>
      <c r="K19" s="42"/>
      <c r="L19" s="42"/>
      <c r="M19" s="42"/>
      <c r="N19" s="42"/>
      <c r="O19" s="42"/>
      <c r="P19" s="42"/>
      <c r="Q19" s="42"/>
      <c r="R19" s="42"/>
      <c r="S19" s="9"/>
    </row>
    <row r="20" spans="1:19">
      <c r="A20" s="972"/>
      <c r="B20" s="972"/>
      <c r="C20" s="1447"/>
      <c r="D20" s="972"/>
      <c r="E20" s="972"/>
      <c r="F20" s="1448"/>
      <c r="G20" s="1449"/>
      <c r="H20" s="972"/>
      <c r="I20" s="972"/>
      <c r="J20" s="972"/>
      <c r="K20" s="972"/>
      <c r="L20" s="972"/>
      <c r="M20" s="972"/>
      <c r="N20" s="972"/>
      <c r="O20" s="972"/>
      <c r="P20" s="972"/>
      <c r="Q20" s="972"/>
      <c r="R20" s="972"/>
      <c r="S20" s="1065"/>
    </row>
    <row r="21" spans="1:19">
      <c r="A21" s="1450"/>
      <c r="B21" s="1450"/>
      <c r="C21" s="1451"/>
      <c r="D21" s="1450"/>
      <c r="E21" s="1450"/>
      <c r="F21" s="1452"/>
      <c r="G21" s="1453"/>
      <c r="H21" s="1450"/>
      <c r="I21" s="1450"/>
      <c r="J21" s="1450"/>
      <c r="K21" s="1450"/>
      <c r="L21" s="1450"/>
      <c r="M21" s="1450"/>
      <c r="N21" s="1450"/>
      <c r="O21" s="1450"/>
      <c r="P21" s="1450"/>
      <c r="Q21" s="1450"/>
      <c r="R21" s="1450"/>
      <c r="S21" s="1356"/>
    </row>
    <row r="22" spans="1:19">
      <c r="A22" s="3336" t="s">
        <v>1346</v>
      </c>
      <c r="B22" s="3336"/>
      <c r="C22" s="3336"/>
      <c r="D22" s="3336"/>
      <c r="E22" s="3336"/>
      <c r="F22" s="3336"/>
      <c r="G22" s="3336"/>
      <c r="H22" s="3336"/>
      <c r="I22" s="3336"/>
      <c r="J22" s="3336"/>
      <c r="K22" s="3336"/>
      <c r="L22" s="3336"/>
      <c r="M22" s="3336"/>
      <c r="N22" s="3336"/>
      <c r="O22" s="3336"/>
      <c r="P22" s="3336"/>
      <c r="Q22" s="3336"/>
      <c r="R22" s="3336"/>
      <c r="S22" s="3336"/>
    </row>
    <row r="23" spans="1:19">
      <c r="A23" s="1454" t="s">
        <v>185</v>
      </c>
      <c r="B23" s="1454"/>
      <c r="C23" s="1454"/>
      <c r="D23" s="1356"/>
      <c r="E23" s="1356"/>
      <c r="F23" s="1455"/>
      <c r="G23" s="1456"/>
      <c r="H23" s="1356"/>
      <c r="I23" s="1356"/>
      <c r="J23" s="1356"/>
      <c r="K23" s="1356"/>
      <c r="L23" s="1356"/>
      <c r="M23" s="1356"/>
      <c r="N23" s="1356"/>
      <c r="O23" s="1356"/>
      <c r="P23" s="1356"/>
      <c r="Q23" s="1356"/>
      <c r="R23" s="1356"/>
      <c r="S23" s="1356"/>
    </row>
    <row r="24" spans="1:19">
      <c r="A24" s="303" t="s">
        <v>795</v>
      </c>
      <c r="B24" s="303"/>
      <c r="C24" s="303"/>
      <c r="D24" s="1356"/>
      <c r="E24" s="1356"/>
      <c r="F24" s="1455"/>
      <c r="G24" s="1456"/>
      <c r="H24" s="1356"/>
      <c r="I24" s="1356"/>
      <c r="J24" s="1356"/>
      <c r="K24" s="1356"/>
      <c r="L24" s="1356"/>
      <c r="M24" s="1356"/>
      <c r="N24" s="1356"/>
      <c r="O24" s="1356"/>
      <c r="P24" s="1356"/>
      <c r="Q24" s="1356"/>
      <c r="R24" s="1356"/>
      <c r="S24" s="1356"/>
    </row>
    <row r="25" spans="1:19">
      <c r="A25" s="303" t="s">
        <v>456</v>
      </c>
      <c r="B25" s="303"/>
      <c r="C25" s="303"/>
      <c r="D25" s="1356"/>
      <c r="E25" s="303"/>
      <c r="F25" s="303"/>
      <c r="G25" s="1356"/>
      <c r="H25" s="1356"/>
      <c r="I25" s="1356"/>
      <c r="J25" s="1356"/>
      <c r="K25" s="1356"/>
      <c r="L25" s="1356"/>
      <c r="M25" s="1356"/>
      <c r="N25" s="1356"/>
      <c r="O25" s="1356"/>
      <c r="P25" s="1356"/>
      <c r="Q25" s="3338"/>
      <c r="R25" s="3338"/>
      <c r="S25" s="3338"/>
    </row>
    <row r="26" spans="1:19">
      <c r="A26" s="1356" t="s">
        <v>449</v>
      </c>
      <c r="B26" s="1356"/>
      <c r="C26" s="1356"/>
      <c r="D26" s="1356"/>
      <c r="E26" s="1356"/>
      <c r="F26" s="1356"/>
      <c r="G26" s="1356"/>
      <c r="H26" s="1356"/>
      <c r="I26" s="1356"/>
      <c r="J26" s="1356"/>
      <c r="K26" s="1356"/>
      <c r="L26" s="1356"/>
      <c r="M26" s="1356"/>
      <c r="N26" s="1356"/>
      <c r="O26" s="1356"/>
      <c r="P26" s="1356"/>
      <c r="Q26" s="1356"/>
      <c r="R26" s="1356"/>
      <c r="S26" s="1356"/>
    </row>
    <row r="27" spans="1:19">
      <c r="A27" s="1356" t="s">
        <v>450</v>
      </c>
      <c r="B27" s="1356"/>
      <c r="C27" s="1356"/>
      <c r="D27" s="1356"/>
      <c r="E27" s="1356"/>
      <c r="F27" s="1356"/>
      <c r="G27" s="1356"/>
      <c r="H27" s="1356"/>
      <c r="I27" s="1356"/>
      <c r="J27" s="1356"/>
      <c r="K27" s="1356"/>
      <c r="L27" s="1356"/>
      <c r="M27" s="1356"/>
      <c r="N27" s="1356"/>
      <c r="O27" s="1356"/>
      <c r="P27" s="1356"/>
      <c r="Q27" s="1356"/>
      <c r="R27" s="1356"/>
      <c r="S27" s="1356"/>
    </row>
    <row r="28" spans="1:19">
      <c r="A28" s="1356" t="s">
        <v>446</v>
      </c>
      <c r="B28" s="1356"/>
      <c r="C28" s="1356"/>
      <c r="D28" s="1356"/>
      <c r="E28" s="1356"/>
      <c r="F28" s="1356"/>
      <c r="G28" s="1356"/>
      <c r="H28" s="1356"/>
      <c r="I28" s="1356"/>
      <c r="J28" s="1356"/>
      <c r="K28" s="1356"/>
      <c r="L28" s="1356"/>
      <c r="M28" s="1356"/>
      <c r="N28" s="1356"/>
      <c r="O28" s="1356"/>
      <c r="P28" s="1356"/>
      <c r="Q28" s="1356"/>
      <c r="R28" s="1356"/>
      <c r="S28" s="1356"/>
    </row>
    <row r="29" spans="1:19">
      <c r="A29" s="1356" t="s">
        <v>447</v>
      </c>
      <c r="B29" s="1356"/>
      <c r="C29" s="1356"/>
      <c r="D29" s="1356"/>
      <c r="E29" s="1356"/>
      <c r="F29" s="1356"/>
      <c r="G29" s="1356"/>
      <c r="H29" s="1356"/>
      <c r="I29" s="1356"/>
      <c r="J29" s="1356"/>
      <c r="K29" s="1356"/>
      <c r="L29" s="1356"/>
      <c r="M29" s="1356"/>
      <c r="N29" s="1356"/>
      <c r="O29" s="1356"/>
      <c r="P29" s="1356"/>
      <c r="Q29" s="1356"/>
      <c r="R29" s="1356"/>
      <c r="S29" s="1356"/>
    </row>
    <row r="30" spans="1:19">
      <c r="A30" s="1356" t="s">
        <v>448</v>
      </c>
      <c r="B30" s="1356"/>
      <c r="C30" s="1356"/>
      <c r="D30" s="1356"/>
      <c r="E30" s="1356"/>
      <c r="F30" s="1356"/>
      <c r="G30" s="1356"/>
      <c r="H30" s="1356"/>
      <c r="I30" s="1356"/>
      <c r="J30" s="1356"/>
      <c r="K30" s="1356"/>
      <c r="L30" s="1356"/>
      <c r="M30" s="1356"/>
      <c r="N30" s="1356"/>
      <c r="O30" s="1356"/>
      <c r="P30" s="1356"/>
      <c r="Q30" s="1356"/>
      <c r="R30" s="1356"/>
      <c r="S30" s="1356"/>
    </row>
    <row r="31" spans="1:19">
      <c r="A31" s="1356" t="s">
        <v>451</v>
      </c>
      <c r="B31" s="1356"/>
      <c r="C31" s="1356"/>
      <c r="D31" s="1356"/>
      <c r="E31" s="1356"/>
      <c r="F31" s="1356"/>
      <c r="G31" s="1356"/>
      <c r="H31" s="1356"/>
      <c r="I31" s="1356"/>
      <c r="J31" s="1356"/>
      <c r="K31" s="1356"/>
      <c r="L31" s="1356"/>
      <c r="M31" s="1356"/>
      <c r="N31" s="1356"/>
      <c r="O31" s="1356"/>
      <c r="P31" s="1356"/>
      <c r="Q31" s="1356"/>
      <c r="R31" s="1356"/>
      <c r="S31" s="1356"/>
    </row>
    <row r="32" spans="1:19">
      <c r="A32" s="1356" t="s">
        <v>452</v>
      </c>
      <c r="B32" s="1356"/>
      <c r="C32" s="1356"/>
      <c r="D32" s="1356"/>
      <c r="E32" s="1356"/>
      <c r="F32" s="1356"/>
      <c r="G32" s="1356"/>
      <c r="H32" s="1356"/>
      <c r="I32" s="1356"/>
      <c r="J32" s="1356"/>
      <c r="K32" s="1356"/>
      <c r="L32" s="1356"/>
      <c r="M32" s="1356"/>
      <c r="N32" s="1356"/>
      <c r="O32" s="1356"/>
      <c r="P32" s="1356"/>
      <c r="Q32" s="1356"/>
      <c r="R32" s="1356"/>
      <c r="S32" s="1356"/>
    </row>
    <row r="33" spans="1:19">
      <c r="A33" s="1356" t="s">
        <v>453</v>
      </c>
      <c r="B33" s="1356"/>
      <c r="C33" s="1356"/>
      <c r="D33" s="1356"/>
      <c r="E33" s="1356"/>
      <c r="F33" s="1356"/>
      <c r="G33" s="1356"/>
      <c r="H33" s="1356"/>
      <c r="I33" s="1356"/>
      <c r="J33" s="1356"/>
      <c r="K33" s="1356"/>
      <c r="L33" s="1356"/>
      <c r="M33" s="1356"/>
      <c r="N33" s="1356"/>
      <c r="O33" s="1356"/>
      <c r="P33" s="1356"/>
      <c r="Q33" s="1356"/>
      <c r="R33" s="1356"/>
      <c r="S33" s="1356"/>
    </row>
    <row r="34" spans="1:19">
      <c r="A34" s="1356" t="s">
        <v>454</v>
      </c>
      <c r="B34" s="1356"/>
      <c r="C34" s="1356"/>
      <c r="D34" s="1356"/>
      <c r="E34" s="1356"/>
      <c r="F34" s="1356"/>
      <c r="G34" s="1356"/>
      <c r="H34" s="1356"/>
      <c r="I34" s="1356"/>
      <c r="J34" s="1356"/>
      <c r="K34" s="1356"/>
      <c r="L34" s="1356"/>
      <c r="M34" s="1356"/>
      <c r="N34" s="1356"/>
      <c r="O34" s="1356"/>
      <c r="P34" s="1356"/>
      <c r="Q34" s="1356"/>
      <c r="R34" s="1356"/>
      <c r="S34" s="1356"/>
    </row>
    <row r="45" spans="1:19" hidden="1"/>
    <row r="46" spans="1:19" hidden="1"/>
    <row r="47" spans="1:19" hidden="1"/>
    <row r="48" spans="1: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sheetData>
  <mergeCells count="23">
    <mergeCell ref="Q25:S25"/>
    <mergeCell ref="A7:G7"/>
    <mergeCell ref="A8:A10"/>
    <mergeCell ref="D8:D10"/>
    <mergeCell ref="E8:E10"/>
    <mergeCell ref="F8:F10"/>
    <mergeCell ref="G8:G10"/>
    <mergeCell ref="I7:S7"/>
    <mergeCell ref="Q8:Q10"/>
    <mergeCell ref="R8:R10"/>
    <mergeCell ref="K9:M9"/>
    <mergeCell ref="N9:P9"/>
    <mergeCell ref="S8:S10"/>
    <mergeCell ref="I8:J9"/>
    <mergeCell ref="K8:P8"/>
    <mergeCell ref="A1:C1"/>
    <mergeCell ref="A22:S22"/>
    <mergeCell ref="A2:S2"/>
    <mergeCell ref="R3:S3"/>
    <mergeCell ref="C8:C10"/>
    <mergeCell ref="A5:S5"/>
    <mergeCell ref="H8:H10"/>
    <mergeCell ref="B8:B10"/>
  </mergeCells>
  <dataValidations count="2">
    <dataValidation type="list" allowBlank="1" showInputMessage="1" showErrorMessage="1" sqref="WVK983052:WVK983060 IY12:IY21 SU12:SU21 ACQ12:ACQ21 AMM12:AMM21 AWI12:AWI21 BGE12:BGE21 BQA12:BQA21 BZW12:BZW21 CJS12:CJS21 CTO12:CTO21 DDK12:DDK21 DNG12:DNG21 DXC12:DXC21 EGY12:EGY21 EQU12:EQU21 FAQ12:FAQ21 FKM12:FKM21 FUI12:FUI21 GEE12:GEE21 GOA12:GOA21 GXW12:GXW21 HHS12:HHS21 HRO12:HRO21 IBK12:IBK21 ILG12:ILG21 IVC12:IVC21 JEY12:JEY21 JOU12:JOU21 JYQ12:JYQ21 KIM12:KIM21 KSI12:KSI21 LCE12:LCE21 LMA12:LMA21 LVW12:LVW21 MFS12:MFS21 MPO12:MPO21 MZK12:MZK21 NJG12:NJG21 NTC12:NTC21 OCY12:OCY21 OMU12:OMU21 OWQ12:OWQ21 PGM12:PGM21 PQI12:PQI21 QAE12:QAE21 QKA12:QKA21 QTW12:QTW21 RDS12:RDS21 RNO12:RNO21 RXK12:RXK21 SHG12:SHG21 SRC12:SRC21 TAY12:TAY21 TKU12:TKU21 TUQ12:TUQ21 UEM12:UEM21 UOI12:UOI21 UYE12:UYE21 VIA12:VIA21 VRW12:VRW21 WBS12:WBS21 WLO12:WLO21 WVK12:WVK21 C65549:C65557 IY65548:IY65556 SU65548:SU65556 ACQ65548:ACQ65556 AMM65548:AMM65556 AWI65548:AWI65556 BGE65548:BGE65556 BQA65548:BQA65556 BZW65548:BZW65556 CJS65548:CJS65556 CTO65548:CTO65556 DDK65548:DDK65556 DNG65548:DNG65556 DXC65548:DXC65556 EGY65548:EGY65556 EQU65548:EQU65556 FAQ65548:FAQ65556 FKM65548:FKM65556 FUI65548:FUI65556 GEE65548:GEE65556 GOA65548:GOA65556 GXW65548:GXW65556 HHS65548:HHS65556 HRO65548:HRO65556 IBK65548:IBK65556 ILG65548:ILG65556 IVC65548:IVC65556 JEY65548:JEY65556 JOU65548:JOU65556 JYQ65548:JYQ65556 KIM65548:KIM65556 KSI65548:KSI65556 LCE65548:LCE65556 LMA65548:LMA65556 LVW65548:LVW65556 MFS65548:MFS65556 MPO65548:MPO65556 MZK65548:MZK65556 NJG65548:NJG65556 NTC65548:NTC65556 OCY65548:OCY65556 OMU65548:OMU65556 OWQ65548:OWQ65556 PGM65548:PGM65556 PQI65548:PQI65556 QAE65548:QAE65556 QKA65548:QKA65556 QTW65548:QTW65556 RDS65548:RDS65556 RNO65548:RNO65556 RXK65548:RXK65556 SHG65548:SHG65556 SRC65548:SRC65556 TAY65548:TAY65556 TKU65548:TKU65556 TUQ65548:TUQ65556 UEM65548:UEM65556 UOI65548:UOI65556 UYE65548:UYE65556 VIA65548:VIA65556 VRW65548:VRW65556 WBS65548:WBS65556 WLO65548:WLO65556 WVK65548:WVK65556 C131085:C131093 IY131084:IY131092 SU131084:SU131092 ACQ131084:ACQ131092 AMM131084:AMM131092 AWI131084:AWI131092 BGE131084:BGE131092 BQA131084:BQA131092 BZW131084:BZW131092 CJS131084:CJS131092 CTO131084:CTO131092 DDK131084:DDK131092 DNG131084:DNG131092 DXC131084:DXC131092 EGY131084:EGY131092 EQU131084:EQU131092 FAQ131084:FAQ131092 FKM131084:FKM131092 FUI131084:FUI131092 GEE131084:GEE131092 GOA131084:GOA131092 GXW131084:GXW131092 HHS131084:HHS131092 HRO131084:HRO131092 IBK131084:IBK131092 ILG131084:ILG131092 IVC131084:IVC131092 JEY131084:JEY131092 JOU131084:JOU131092 JYQ131084:JYQ131092 KIM131084:KIM131092 KSI131084:KSI131092 LCE131084:LCE131092 LMA131084:LMA131092 LVW131084:LVW131092 MFS131084:MFS131092 MPO131084:MPO131092 MZK131084:MZK131092 NJG131084:NJG131092 NTC131084:NTC131092 OCY131084:OCY131092 OMU131084:OMU131092 OWQ131084:OWQ131092 PGM131084:PGM131092 PQI131084:PQI131092 QAE131084:QAE131092 QKA131084:QKA131092 QTW131084:QTW131092 RDS131084:RDS131092 RNO131084:RNO131092 RXK131084:RXK131092 SHG131084:SHG131092 SRC131084:SRC131092 TAY131084:TAY131092 TKU131084:TKU131092 TUQ131084:TUQ131092 UEM131084:UEM131092 UOI131084:UOI131092 UYE131084:UYE131092 VIA131084:VIA131092 VRW131084:VRW131092 WBS131084:WBS131092 WLO131084:WLO131092 WVK131084:WVK131092 C196621:C196629 IY196620:IY196628 SU196620:SU196628 ACQ196620:ACQ196628 AMM196620:AMM196628 AWI196620:AWI196628 BGE196620:BGE196628 BQA196620:BQA196628 BZW196620:BZW196628 CJS196620:CJS196628 CTO196620:CTO196628 DDK196620:DDK196628 DNG196620:DNG196628 DXC196620:DXC196628 EGY196620:EGY196628 EQU196620:EQU196628 FAQ196620:FAQ196628 FKM196620:FKM196628 FUI196620:FUI196628 GEE196620:GEE196628 GOA196620:GOA196628 GXW196620:GXW196628 HHS196620:HHS196628 HRO196620:HRO196628 IBK196620:IBK196628 ILG196620:ILG196628 IVC196620:IVC196628 JEY196620:JEY196628 JOU196620:JOU196628 JYQ196620:JYQ196628 KIM196620:KIM196628 KSI196620:KSI196628 LCE196620:LCE196628 LMA196620:LMA196628 LVW196620:LVW196628 MFS196620:MFS196628 MPO196620:MPO196628 MZK196620:MZK196628 NJG196620:NJG196628 NTC196620:NTC196628 OCY196620:OCY196628 OMU196620:OMU196628 OWQ196620:OWQ196628 PGM196620:PGM196628 PQI196620:PQI196628 QAE196620:QAE196628 QKA196620:QKA196628 QTW196620:QTW196628 RDS196620:RDS196628 RNO196620:RNO196628 RXK196620:RXK196628 SHG196620:SHG196628 SRC196620:SRC196628 TAY196620:TAY196628 TKU196620:TKU196628 TUQ196620:TUQ196628 UEM196620:UEM196628 UOI196620:UOI196628 UYE196620:UYE196628 VIA196620:VIA196628 VRW196620:VRW196628 WBS196620:WBS196628 WLO196620:WLO196628 WVK196620:WVK196628 C262157:C262165 IY262156:IY262164 SU262156:SU262164 ACQ262156:ACQ262164 AMM262156:AMM262164 AWI262156:AWI262164 BGE262156:BGE262164 BQA262156:BQA262164 BZW262156:BZW262164 CJS262156:CJS262164 CTO262156:CTO262164 DDK262156:DDK262164 DNG262156:DNG262164 DXC262156:DXC262164 EGY262156:EGY262164 EQU262156:EQU262164 FAQ262156:FAQ262164 FKM262156:FKM262164 FUI262156:FUI262164 GEE262156:GEE262164 GOA262156:GOA262164 GXW262156:GXW262164 HHS262156:HHS262164 HRO262156:HRO262164 IBK262156:IBK262164 ILG262156:ILG262164 IVC262156:IVC262164 JEY262156:JEY262164 JOU262156:JOU262164 JYQ262156:JYQ262164 KIM262156:KIM262164 KSI262156:KSI262164 LCE262156:LCE262164 LMA262156:LMA262164 LVW262156:LVW262164 MFS262156:MFS262164 MPO262156:MPO262164 MZK262156:MZK262164 NJG262156:NJG262164 NTC262156:NTC262164 OCY262156:OCY262164 OMU262156:OMU262164 OWQ262156:OWQ262164 PGM262156:PGM262164 PQI262156:PQI262164 QAE262156:QAE262164 QKA262156:QKA262164 QTW262156:QTW262164 RDS262156:RDS262164 RNO262156:RNO262164 RXK262156:RXK262164 SHG262156:SHG262164 SRC262156:SRC262164 TAY262156:TAY262164 TKU262156:TKU262164 TUQ262156:TUQ262164 UEM262156:UEM262164 UOI262156:UOI262164 UYE262156:UYE262164 VIA262156:VIA262164 VRW262156:VRW262164 WBS262156:WBS262164 WLO262156:WLO262164 WVK262156:WVK262164 C327693:C327701 IY327692:IY327700 SU327692:SU327700 ACQ327692:ACQ327700 AMM327692:AMM327700 AWI327692:AWI327700 BGE327692:BGE327700 BQA327692:BQA327700 BZW327692:BZW327700 CJS327692:CJS327700 CTO327692:CTO327700 DDK327692:DDK327700 DNG327692:DNG327700 DXC327692:DXC327700 EGY327692:EGY327700 EQU327692:EQU327700 FAQ327692:FAQ327700 FKM327692:FKM327700 FUI327692:FUI327700 GEE327692:GEE327700 GOA327692:GOA327700 GXW327692:GXW327700 HHS327692:HHS327700 HRO327692:HRO327700 IBK327692:IBK327700 ILG327692:ILG327700 IVC327692:IVC327700 JEY327692:JEY327700 JOU327692:JOU327700 JYQ327692:JYQ327700 KIM327692:KIM327700 KSI327692:KSI327700 LCE327692:LCE327700 LMA327692:LMA327700 LVW327692:LVW327700 MFS327692:MFS327700 MPO327692:MPO327700 MZK327692:MZK327700 NJG327692:NJG327700 NTC327692:NTC327700 OCY327692:OCY327700 OMU327692:OMU327700 OWQ327692:OWQ327700 PGM327692:PGM327700 PQI327692:PQI327700 QAE327692:QAE327700 QKA327692:QKA327700 QTW327692:QTW327700 RDS327692:RDS327700 RNO327692:RNO327700 RXK327692:RXK327700 SHG327692:SHG327700 SRC327692:SRC327700 TAY327692:TAY327700 TKU327692:TKU327700 TUQ327692:TUQ327700 UEM327692:UEM327700 UOI327692:UOI327700 UYE327692:UYE327700 VIA327692:VIA327700 VRW327692:VRW327700 WBS327692:WBS327700 WLO327692:WLO327700 WVK327692:WVK327700 C393229:C393237 IY393228:IY393236 SU393228:SU393236 ACQ393228:ACQ393236 AMM393228:AMM393236 AWI393228:AWI393236 BGE393228:BGE393236 BQA393228:BQA393236 BZW393228:BZW393236 CJS393228:CJS393236 CTO393228:CTO393236 DDK393228:DDK393236 DNG393228:DNG393236 DXC393228:DXC393236 EGY393228:EGY393236 EQU393228:EQU393236 FAQ393228:FAQ393236 FKM393228:FKM393236 FUI393228:FUI393236 GEE393228:GEE393236 GOA393228:GOA393236 GXW393228:GXW393236 HHS393228:HHS393236 HRO393228:HRO393236 IBK393228:IBK393236 ILG393228:ILG393236 IVC393228:IVC393236 JEY393228:JEY393236 JOU393228:JOU393236 JYQ393228:JYQ393236 KIM393228:KIM393236 KSI393228:KSI393236 LCE393228:LCE393236 LMA393228:LMA393236 LVW393228:LVW393236 MFS393228:MFS393236 MPO393228:MPO393236 MZK393228:MZK393236 NJG393228:NJG393236 NTC393228:NTC393236 OCY393228:OCY393236 OMU393228:OMU393236 OWQ393228:OWQ393236 PGM393228:PGM393236 PQI393228:PQI393236 QAE393228:QAE393236 QKA393228:QKA393236 QTW393228:QTW393236 RDS393228:RDS393236 RNO393228:RNO393236 RXK393228:RXK393236 SHG393228:SHG393236 SRC393228:SRC393236 TAY393228:TAY393236 TKU393228:TKU393236 TUQ393228:TUQ393236 UEM393228:UEM393236 UOI393228:UOI393236 UYE393228:UYE393236 VIA393228:VIA393236 VRW393228:VRW393236 WBS393228:WBS393236 WLO393228:WLO393236 WVK393228:WVK393236 C458765:C458773 IY458764:IY458772 SU458764:SU458772 ACQ458764:ACQ458772 AMM458764:AMM458772 AWI458764:AWI458772 BGE458764:BGE458772 BQA458764:BQA458772 BZW458764:BZW458772 CJS458764:CJS458772 CTO458764:CTO458772 DDK458764:DDK458772 DNG458764:DNG458772 DXC458764:DXC458772 EGY458764:EGY458772 EQU458764:EQU458772 FAQ458764:FAQ458772 FKM458764:FKM458772 FUI458764:FUI458772 GEE458764:GEE458772 GOA458764:GOA458772 GXW458764:GXW458772 HHS458764:HHS458772 HRO458764:HRO458772 IBK458764:IBK458772 ILG458764:ILG458772 IVC458764:IVC458772 JEY458764:JEY458772 JOU458764:JOU458772 JYQ458764:JYQ458772 KIM458764:KIM458772 KSI458764:KSI458772 LCE458764:LCE458772 LMA458764:LMA458772 LVW458764:LVW458772 MFS458764:MFS458772 MPO458764:MPO458772 MZK458764:MZK458772 NJG458764:NJG458772 NTC458764:NTC458772 OCY458764:OCY458772 OMU458764:OMU458772 OWQ458764:OWQ458772 PGM458764:PGM458772 PQI458764:PQI458772 QAE458764:QAE458772 QKA458764:QKA458772 QTW458764:QTW458772 RDS458764:RDS458772 RNO458764:RNO458772 RXK458764:RXK458772 SHG458764:SHG458772 SRC458764:SRC458772 TAY458764:TAY458772 TKU458764:TKU458772 TUQ458764:TUQ458772 UEM458764:UEM458772 UOI458764:UOI458772 UYE458764:UYE458772 VIA458764:VIA458772 VRW458764:VRW458772 WBS458764:WBS458772 WLO458764:WLO458772 WVK458764:WVK458772 C524301:C524309 IY524300:IY524308 SU524300:SU524308 ACQ524300:ACQ524308 AMM524300:AMM524308 AWI524300:AWI524308 BGE524300:BGE524308 BQA524300:BQA524308 BZW524300:BZW524308 CJS524300:CJS524308 CTO524300:CTO524308 DDK524300:DDK524308 DNG524300:DNG524308 DXC524300:DXC524308 EGY524300:EGY524308 EQU524300:EQU524308 FAQ524300:FAQ524308 FKM524300:FKM524308 FUI524300:FUI524308 GEE524300:GEE524308 GOA524300:GOA524308 GXW524300:GXW524308 HHS524300:HHS524308 HRO524300:HRO524308 IBK524300:IBK524308 ILG524300:ILG524308 IVC524300:IVC524308 JEY524300:JEY524308 JOU524300:JOU524308 JYQ524300:JYQ524308 KIM524300:KIM524308 KSI524300:KSI524308 LCE524300:LCE524308 LMA524300:LMA524308 LVW524300:LVW524308 MFS524300:MFS524308 MPO524300:MPO524308 MZK524300:MZK524308 NJG524300:NJG524308 NTC524300:NTC524308 OCY524300:OCY524308 OMU524300:OMU524308 OWQ524300:OWQ524308 PGM524300:PGM524308 PQI524300:PQI524308 QAE524300:QAE524308 QKA524300:QKA524308 QTW524300:QTW524308 RDS524300:RDS524308 RNO524300:RNO524308 RXK524300:RXK524308 SHG524300:SHG524308 SRC524300:SRC524308 TAY524300:TAY524308 TKU524300:TKU524308 TUQ524300:TUQ524308 UEM524300:UEM524308 UOI524300:UOI524308 UYE524300:UYE524308 VIA524300:VIA524308 VRW524300:VRW524308 WBS524300:WBS524308 WLO524300:WLO524308 WVK524300:WVK524308 C589837:C589845 IY589836:IY589844 SU589836:SU589844 ACQ589836:ACQ589844 AMM589836:AMM589844 AWI589836:AWI589844 BGE589836:BGE589844 BQA589836:BQA589844 BZW589836:BZW589844 CJS589836:CJS589844 CTO589836:CTO589844 DDK589836:DDK589844 DNG589836:DNG589844 DXC589836:DXC589844 EGY589836:EGY589844 EQU589836:EQU589844 FAQ589836:FAQ589844 FKM589836:FKM589844 FUI589836:FUI589844 GEE589836:GEE589844 GOA589836:GOA589844 GXW589836:GXW589844 HHS589836:HHS589844 HRO589836:HRO589844 IBK589836:IBK589844 ILG589836:ILG589844 IVC589836:IVC589844 JEY589836:JEY589844 JOU589836:JOU589844 JYQ589836:JYQ589844 KIM589836:KIM589844 KSI589836:KSI589844 LCE589836:LCE589844 LMA589836:LMA589844 LVW589836:LVW589844 MFS589836:MFS589844 MPO589836:MPO589844 MZK589836:MZK589844 NJG589836:NJG589844 NTC589836:NTC589844 OCY589836:OCY589844 OMU589836:OMU589844 OWQ589836:OWQ589844 PGM589836:PGM589844 PQI589836:PQI589844 QAE589836:QAE589844 QKA589836:QKA589844 QTW589836:QTW589844 RDS589836:RDS589844 RNO589836:RNO589844 RXK589836:RXK589844 SHG589836:SHG589844 SRC589836:SRC589844 TAY589836:TAY589844 TKU589836:TKU589844 TUQ589836:TUQ589844 UEM589836:UEM589844 UOI589836:UOI589844 UYE589836:UYE589844 VIA589836:VIA589844 VRW589836:VRW589844 WBS589836:WBS589844 WLO589836:WLO589844 WVK589836:WVK589844 C655373:C655381 IY655372:IY655380 SU655372:SU655380 ACQ655372:ACQ655380 AMM655372:AMM655380 AWI655372:AWI655380 BGE655372:BGE655380 BQA655372:BQA655380 BZW655372:BZW655380 CJS655372:CJS655380 CTO655372:CTO655380 DDK655372:DDK655380 DNG655372:DNG655380 DXC655372:DXC655380 EGY655372:EGY655380 EQU655372:EQU655380 FAQ655372:FAQ655380 FKM655372:FKM655380 FUI655372:FUI655380 GEE655372:GEE655380 GOA655372:GOA655380 GXW655372:GXW655380 HHS655372:HHS655380 HRO655372:HRO655380 IBK655372:IBK655380 ILG655372:ILG655380 IVC655372:IVC655380 JEY655372:JEY655380 JOU655372:JOU655380 JYQ655372:JYQ655380 KIM655372:KIM655380 KSI655372:KSI655380 LCE655372:LCE655380 LMA655372:LMA655380 LVW655372:LVW655380 MFS655372:MFS655380 MPO655372:MPO655380 MZK655372:MZK655380 NJG655372:NJG655380 NTC655372:NTC655380 OCY655372:OCY655380 OMU655372:OMU655380 OWQ655372:OWQ655380 PGM655372:PGM655380 PQI655372:PQI655380 QAE655372:QAE655380 QKA655372:QKA655380 QTW655372:QTW655380 RDS655372:RDS655380 RNO655372:RNO655380 RXK655372:RXK655380 SHG655372:SHG655380 SRC655372:SRC655380 TAY655372:TAY655380 TKU655372:TKU655380 TUQ655372:TUQ655380 UEM655372:UEM655380 UOI655372:UOI655380 UYE655372:UYE655380 VIA655372:VIA655380 VRW655372:VRW655380 WBS655372:WBS655380 WLO655372:WLO655380 WVK655372:WVK655380 C720909:C720917 IY720908:IY720916 SU720908:SU720916 ACQ720908:ACQ720916 AMM720908:AMM720916 AWI720908:AWI720916 BGE720908:BGE720916 BQA720908:BQA720916 BZW720908:BZW720916 CJS720908:CJS720916 CTO720908:CTO720916 DDK720908:DDK720916 DNG720908:DNG720916 DXC720908:DXC720916 EGY720908:EGY720916 EQU720908:EQU720916 FAQ720908:FAQ720916 FKM720908:FKM720916 FUI720908:FUI720916 GEE720908:GEE720916 GOA720908:GOA720916 GXW720908:GXW720916 HHS720908:HHS720916 HRO720908:HRO720916 IBK720908:IBK720916 ILG720908:ILG720916 IVC720908:IVC720916 JEY720908:JEY720916 JOU720908:JOU720916 JYQ720908:JYQ720916 KIM720908:KIM720916 KSI720908:KSI720916 LCE720908:LCE720916 LMA720908:LMA720916 LVW720908:LVW720916 MFS720908:MFS720916 MPO720908:MPO720916 MZK720908:MZK720916 NJG720908:NJG720916 NTC720908:NTC720916 OCY720908:OCY720916 OMU720908:OMU720916 OWQ720908:OWQ720916 PGM720908:PGM720916 PQI720908:PQI720916 QAE720908:QAE720916 QKA720908:QKA720916 QTW720908:QTW720916 RDS720908:RDS720916 RNO720908:RNO720916 RXK720908:RXK720916 SHG720908:SHG720916 SRC720908:SRC720916 TAY720908:TAY720916 TKU720908:TKU720916 TUQ720908:TUQ720916 UEM720908:UEM720916 UOI720908:UOI720916 UYE720908:UYE720916 VIA720908:VIA720916 VRW720908:VRW720916 WBS720908:WBS720916 WLO720908:WLO720916 WVK720908:WVK720916 C786445:C786453 IY786444:IY786452 SU786444:SU786452 ACQ786444:ACQ786452 AMM786444:AMM786452 AWI786444:AWI786452 BGE786444:BGE786452 BQA786444:BQA786452 BZW786444:BZW786452 CJS786444:CJS786452 CTO786444:CTO786452 DDK786444:DDK786452 DNG786444:DNG786452 DXC786444:DXC786452 EGY786444:EGY786452 EQU786444:EQU786452 FAQ786444:FAQ786452 FKM786444:FKM786452 FUI786444:FUI786452 GEE786444:GEE786452 GOA786444:GOA786452 GXW786444:GXW786452 HHS786444:HHS786452 HRO786444:HRO786452 IBK786444:IBK786452 ILG786444:ILG786452 IVC786444:IVC786452 JEY786444:JEY786452 JOU786444:JOU786452 JYQ786444:JYQ786452 KIM786444:KIM786452 KSI786444:KSI786452 LCE786444:LCE786452 LMA786444:LMA786452 LVW786444:LVW786452 MFS786444:MFS786452 MPO786444:MPO786452 MZK786444:MZK786452 NJG786444:NJG786452 NTC786444:NTC786452 OCY786444:OCY786452 OMU786444:OMU786452 OWQ786444:OWQ786452 PGM786444:PGM786452 PQI786444:PQI786452 QAE786444:QAE786452 QKA786444:QKA786452 QTW786444:QTW786452 RDS786444:RDS786452 RNO786444:RNO786452 RXK786444:RXK786452 SHG786444:SHG786452 SRC786444:SRC786452 TAY786444:TAY786452 TKU786444:TKU786452 TUQ786444:TUQ786452 UEM786444:UEM786452 UOI786444:UOI786452 UYE786444:UYE786452 VIA786444:VIA786452 VRW786444:VRW786452 WBS786444:WBS786452 WLO786444:WLO786452 WVK786444:WVK786452 C851981:C851989 IY851980:IY851988 SU851980:SU851988 ACQ851980:ACQ851988 AMM851980:AMM851988 AWI851980:AWI851988 BGE851980:BGE851988 BQA851980:BQA851988 BZW851980:BZW851988 CJS851980:CJS851988 CTO851980:CTO851988 DDK851980:DDK851988 DNG851980:DNG851988 DXC851980:DXC851988 EGY851980:EGY851988 EQU851980:EQU851988 FAQ851980:FAQ851988 FKM851980:FKM851988 FUI851980:FUI851988 GEE851980:GEE851988 GOA851980:GOA851988 GXW851980:GXW851988 HHS851980:HHS851988 HRO851980:HRO851988 IBK851980:IBK851988 ILG851980:ILG851988 IVC851980:IVC851988 JEY851980:JEY851988 JOU851980:JOU851988 JYQ851980:JYQ851988 KIM851980:KIM851988 KSI851980:KSI851988 LCE851980:LCE851988 LMA851980:LMA851988 LVW851980:LVW851988 MFS851980:MFS851988 MPO851980:MPO851988 MZK851980:MZK851988 NJG851980:NJG851988 NTC851980:NTC851988 OCY851980:OCY851988 OMU851980:OMU851988 OWQ851980:OWQ851988 PGM851980:PGM851988 PQI851980:PQI851988 QAE851980:QAE851988 QKA851980:QKA851988 QTW851980:QTW851988 RDS851980:RDS851988 RNO851980:RNO851988 RXK851980:RXK851988 SHG851980:SHG851988 SRC851980:SRC851988 TAY851980:TAY851988 TKU851980:TKU851988 TUQ851980:TUQ851988 UEM851980:UEM851988 UOI851980:UOI851988 UYE851980:UYE851988 VIA851980:VIA851988 VRW851980:VRW851988 WBS851980:WBS851988 WLO851980:WLO851988 WVK851980:WVK851988 C917517:C917525 IY917516:IY917524 SU917516:SU917524 ACQ917516:ACQ917524 AMM917516:AMM917524 AWI917516:AWI917524 BGE917516:BGE917524 BQA917516:BQA917524 BZW917516:BZW917524 CJS917516:CJS917524 CTO917516:CTO917524 DDK917516:DDK917524 DNG917516:DNG917524 DXC917516:DXC917524 EGY917516:EGY917524 EQU917516:EQU917524 FAQ917516:FAQ917524 FKM917516:FKM917524 FUI917516:FUI917524 GEE917516:GEE917524 GOA917516:GOA917524 GXW917516:GXW917524 HHS917516:HHS917524 HRO917516:HRO917524 IBK917516:IBK917524 ILG917516:ILG917524 IVC917516:IVC917524 JEY917516:JEY917524 JOU917516:JOU917524 JYQ917516:JYQ917524 KIM917516:KIM917524 KSI917516:KSI917524 LCE917516:LCE917524 LMA917516:LMA917524 LVW917516:LVW917524 MFS917516:MFS917524 MPO917516:MPO917524 MZK917516:MZK917524 NJG917516:NJG917524 NTC917516:NTC917524 OCY917516:OCY917524 OMU917516:OMU917524 OWQ917516:OWQ917524 PGM917516:PGM917524 PQI917516:PQI917524 QAE917516:QAE917524 QKA917516:QKA917524 QTW917516:QTW917524 RDS917516:RDS917524 RNO917516:RNO917524 RXK917516:RXK917524 SHG917516:SHG917524 SRC917516:SRC917524 TAY917516:TAY917524 TKU917516:TKU917524 TUQ917516:TUQ917524 UEM917516:UEM917524 UOI917516:UOI917524 UYE917516:UYE917524 VIA917516:VIA917524 VRW917516:VRW917524 WBS917516:WBS917524 WLO917516:WLO917524 WVK917516:WVK917524 C983053:C983061 IY983052:IY983060 SU983052:SU983060 ACQ983052:ACQ983060 AMM983052:AMM983060 AWI983052:AWI983060 BGE983052:BGE983060 BQA983052:BQA983060 BZW983052:BZW983060 CJS983052:CJS983060 CTO983052:CTO983060 DDK983052:DDK983060 DNG983052:DNG983060 DXC983052:DXC983060 EGY983052:EGY983060 EQU983052:EQU983060 FAQ983052:FAQ983060 FKM983052:FKM983060 FUI983052:FUI983060 GEE983052:GEE983060 GOA983052:GOA983060 GXW983052:GXW983060 HHS983052:HHS983060 HRO983052:HRO983060 IBK983052:IBK983060 ILG983052:ILG983060 IVC983052:IVC983060 JEY983052:JEY983060 JOU983052:JOU983060 JYQ983052:JYQ983060 KIM983052:KIM983060 KSI983052:KSI983060 LCE983052:LCE983060 LMA983052:LMA983060 LVW983052:LVW983060 MFS983052:MFS983060 MPO983052:MPO983060 MZK983052:MZK983060 NJG983052:NJG983060 NTC983052:NTC983060 OCY983052:OCY983060 OMU983052:OMU983060 OWQ983052:OWQ983060 PGM983052:PGM983060 PQI983052:PQI983060 QAE983052:QAE983060 QKA983052:QKA983060 QTW983052:QTW983060 RDS983052:RDS983060 RNO983052:RNO983060 RXK983052:RXK983060 SHG983052:SHG983060 SRC983052:SRC983060 TAY983052:TAY983060 TKU983052:TKU983060 TUQ983052:TUQ983060 UEM983052:UEM983060 UOI983052:UOI983060 UYE983052:UYE983060 VIA983052:VIA983060 VRW983052:VRW983060 WBS983052:WBS983060 WLO983052:WLO983060 C12:C21">
      <formula1>$C$494:$C$501</formula1>
    </dataValidation>
    <dataValidation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1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7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3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9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5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1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7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3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9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5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1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7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3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9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5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4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90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6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2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8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4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70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6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2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8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4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50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6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2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8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ataValidations>
  <printOptions horizontalCentered="1"/>
  <pageMargins left="0.19685039370078741" right="0.19685039370078741" top="0.19685039370078741" bottom="0.19685039370078741" header="0.19685039370078741" footer="0.19685039370078741"/>
  <pageSetup paperSize="9" scale="6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view="pageBreakPreview" zoomScale="85" zoomScaleSheetLayoutView="85" workbookViewId="0">
      <selection activeCell="C105" sqref="C105"/>
    </sheetView>
  </sheetViews>
  <sheetFormatPr defaultRowHeight="14.5"/>
  <cols>
    <col min="1" max="1" width="21.54296875" style="4" customWidth="1"/>
    <col min="2" max="4" width="17.26953125" style="4" customWidth="1"/>
    <col min="5" max="255" width="9.1796875" style="4"/>
    <col min="256" max="256" width="3.7265625" style="4" customWidth="1"/>
    <col min="257" max="257" width="11.81640625" style="4" customWidth="1"/>
    <col min="258" max="260" width="17.26953125" style="4" customWidth="1"/>
    <col min="261" max="511" width="9.1796875" style="4"/>
    <col min="512" max="512" width="3.7265625" style="4" customWidth="1"/>
    <col min="513" max="513" width="11.81640625" style="4" customWidth="1"/>
    <col min="514" max="516" width="17.26953125" style="4" customWidth="1"/>
    <col min="517" max="767" width="9.1796875" style="4"/>
    <col min="768" max="768" width="3.7265625" style="4" customWidth="1"/>
    <col min="769" max="769" width="11.81640625" style="4" customWidth="1"/>
    <col min="770" max="772" width="17.26953125" style="4" customWidth="1"/>
    <col min="773" max="1023" width="9.1796875" style="4"/>
    <col min="1024" max="1024" width="3.7265625" style="4" customWidth="1"/>
    <col min="1025" max="1025" width="11.81640625" style="4" customWidth="1"/>
    <col min="1026" max="1028" width="17.26953125" style="4" customWidth="1"/>
    <col min="1029" max="1279" width="9.1796875" style="4"/>
    <col min="1280" max="1280" width="3.7265625" style="4" customWidth="1"/>
    <col min="1281" max="1281" width="11.81640625" style="4" customWidth="1"/>
    <col min="1282" max="1284" width="17.26953125" style="4" customWidth="1"/>
    <col min="1285" max="1535" width="9.1796875" style="4"/>
    <col min="1536" max="1536" width="3.7265625" style="4" customWidth="1"/>
    <col min="1537" max="1537" width="11.81640625" style="4" customWidth="1"/>
    <col min="1538" max="1540" width="17.26953125" style="4" customWidth="1"/>
    <col min="1541" max="1791" width="9.1796875" style="4"/>
    <col min="1792" max="1792" width="3.7265625" style="4" customWidth="1"/>
    <col min="1793" max="1793" width="11.81640625" style="4" customWidth="1"/>
    <col min="1794" max="1796" width="17.26953125" style="4" customWidth="1"/>
    <col min="1797" max="2047" width="9.1796875" style="4"/>
    <col min="2048" max="2048" width="3.7265625" style="4" customWidth="1"/>
    <col min="2049" max="2049" width="11.81640625" style="4" customWidth="1"/>
    <col min="2050" max="2052" width="17.26953125" style="4" customWidth="1"/>
    <col min="2053" max="2303" width="9.1796875" style="4"/>
    <col min="2304" max="2304" width="3.7265625" style="4" customWidth="1"/>
    <col min="2305" max="2305" width="11.81640625" style="4" customWidth="1"/>
    <col min="2306" max="2308" width="17.26953125" style="4" customWidth="1"/>
    <col min="2309" max="2559" width="9.1796875" style="4"/>
    <col min="2560" max="2560" width="3.7265625" style="4" customWidth="1"/>
    <col min="2561" max="2561" width="11.81640625" style="4" customWidth="1"/>
    <col min="2562" max="2564" width="17.26953125" style="4" customWidth="1"/>
    <col min="2565" max="2815" width="9.1796875" style="4"/>
    <col min="2816" max="2816" width="3.7265625" style="4" customWidth="1"/>
    <col min="2817" max="2817" width="11.81640625" style="4" customWidth="1"/>
    <col min="2818" max="2820" width="17.26953125" style="4" customWidth="1"/>
    <col min="2821" max="3071" width="9.1796875" style="4"/>
    <col min="3072" max="3072" width="3.7265625" style="4" customWidth="1"/>
    <col min="3073" max="3073" width="11.81640625" style="4" customWidth="1"/>
    <col min="3074" max="3076" width="17.26953125" style="4" customWidth="1"/>
    <col min="3077" max="3327" width="9.1796875" style="4"/>
    <col min="3328" max="3328" width="3.7265625" style="4" customWidth="1"/>
    <col min="3329" max="3329" width="11.81640625" style="4" customWidth="1"/>
    <col min="3330" max="3332" width="17.26953125" style="4" customWidth="1"/>
    <col min="3333" max="3583" width="9.1796875" style="4"/>
    <col min="3584" max="3584" width="3.7265625" style="4" customWidth="1"/>
    <col min="3585" max="3585" width="11.81640625" style="4" customWidth="1"/>
    <col min="3586" max="3588" width="17.26953125" style="4" customWidth="1"/>
    <col min="3589" max="3839" width="9.1796875" style="4"/>
    <col min="3840" max="3840" width="3.7265625" style="4" customWidth="1"/>
    <col min="3841" max="3841" width="11.81640625" style="4" customWidth="1"/>
    <col min="3842" max="3844" width="17.26953125" style="4" customWidth="1"/>
    <col min="3845" max="4095" width="9.1796875" style="4"/>
    <col min="4096" max="4096" width="3.7265625" style="4" customWidth="1"/>
    <col min="4097" max="4097" width="11.81640625" style="4" customWidth="1"/>
    <col min="4098" max="4100" width="17.26953125" style="4" customWidth="1"/>
    <col min="4101" max="4351" width="9.1796875" style="4"/>
    <col min="4352" max="4352" width="3.7265625" style="4" customWidth="1"/>
    <col min="4353" max="4353" width="11.81640625" style="4" customWidth="1"/>
    <col min="4354" max="4356" width="17.26953125" style="4" customWidth="1"/>
    <col min="4357" max="4607" width="9.1796875" style="4"/>
    <col min="4608" max="4608" width="3.7265625" style="4" customWidth="1"/>
    <col min="4609" max="4609" width="11.81640625" style="4" customWidth="1"/>
    <col min="4610" max="4612" width="17.26953125" style="4" customWidth="1"/>
    <col min="4613" max="4863" width="9.1796875" style="4"/>
    <col min="4864" max="4864" width="3.7265625" style="4" customWidth="1"/>
    <col min="4865" max="4865" width="11.81640625" style="4" customWidth="1"/>
    <col min="4866" max="4868" width="17.26953125" style="4" customWidth="1"/>
    <col min="4869" max="5119" width="9.1796875" style="4"/>
    <col min="5120" max="5120" width="3.7265625" style="4" customWidth="1"/>
    <col min="5121" max="5121" width="11.81640625" style="4" customWidth="1"/>
    <col min="5122" max="5124" width="17.26953125" style="4" customWidth="1"/>
    <col min="5125" max="5375" width="9.1796875" style="4"/>
    <col min="5376" max="5376" width="3.7265625" style="4" customWidth="1"/>
    <col min="5377" max="5377" width="11.81640625" style="4" customWidth="1"/>
    <col min="5378" max="5380" width="17.26953125" style="4" customWidth="1"/>
    <col min="5381" max="5631" width="9.1796875" style="4"/>
    <col min="5632" max="5632" width="3.7265625" style="4" customWidth="1"/>
    <col min="5633" max="5633" width="11.81640625" style="4" customWidth="1"/>
    <col min="5634" max="5636" width="17.26953125" style="4" customWidth="1"/>
    <col min="5637" max="5887" width="9.1796875" style="4"/>
    <col min="5888" max="5888" width="3.7265625" style="4" customWidth="1"/>
    <col min="5889" max="5889" width="11.81640625" style="4" customWidth="1"/>
    <col min="5890" max="5892" width="17.26953125" style="4" customWidth="1"/>
    <col min="5893" max="6143" width="9.1796875" style="4"/>
    <col min="6144" max="6144" width="3.7265625" style="4" customWidth="1"/>
    <col min="6145" max="6145" width="11.81640625" style="4" customWidth="1"/>
    <col min="6146" max="6148" width="17.26953125" style="4" customWidth="1"/>
    <col min="6149" max="6399" width="9.1796875" style="4"/>
    <col min="6400" max="6400" width="3.7265625" style="4" customWidth="1"/>
    <col min="6401" max="6401" width="11.81640625" style="4" customWidth="1"/>
    <col min="6402" max="6404" width="17.26953125" style="4" customWidth="1"/>
    <col min="6405" max="6655" width="9.1796875" style="4"/>
    <col min="6656" max="6656" width="3.7265625" style="4" customWidth="1"/>
    <col min="6657" max="6657" width="11.81640625" style="4" customWidth="1"/>
    <col min="6658" max="6660" width="17.26953125" style="4" customWidth="1"/>
    <col min="6661" max="6911" width="9.1796875" style="4"/>
    <col min="6912" max="6912" width="3.7265625" style="4" customWidth="1"/>
    <col min="6913" max="6913" width="11.81640625" style="4" customWidth="1"/>
    <col min="6914" max="6916" width="17.26953125" style="4" customWidth="1"/>
    <col min="6917" max="7167" width="9.1796875" style="4"/>
    <col min="7168" max="7168" width="3.7265625" style="4" customWidth="1"/>
    <col min="7169" max="7169" width="11.81640625" style="4" customWidth="1"/>
    <col min="7170" max="7172" width="17.26953125" style="4" customWidth="1"/>
    <col min="7173" max="7423" width="9.1796875" style="4"/>
    <col min="7424" max="7424" width="3.7265625" style="4" customWidth="1"/>
    <col min="7425" max="7425" width="11.81640625" style="4" customWidth="1"/>
    <col min="7426" max="7428" width="17.26953125" style="4" customWidth="1"/>
    <col min="7429" max="7679" width="9.1796875" style="4"/>
    <col min="7680" max="7680" width="3.7265625" style="4" customWidth="1"/>
    <col min="7681" max="7681" width="11.81640625" style="4" customWidth="1"/>
    <col min="7682" max="7684" width="17.26953125" style="4" customWidth="1"/>
    <col min="7685" max="7935" width="9.1796875" style="4"/>
    <col min="7936" max="7936" width="3.7265625" style="4" customWidth="1"/>
    <col min="7937" max="7937" width="11.81640625" style="4" customWidth="1"/>
    <col min="7938" max="7940" width="17.26953125" style="4" customWidth="1"/>
    <col min="7941" max="8191" width="9.1796875" style="4"/>
    <col min="8192" max="8192" width="3.7265625" style="4" customWidth="1"/>
    <col min="8193" max="8193" width="11.81640625" style="4" customWidth="1"/>
    <col min="8194" max="8196" width="17.26953125" style="4" customWidth="1"/>
    <col min="8197" max="8447" width="9.1796875" style="4"/>
    <col min="8448" max="8448" width="3.7265625" style="4" customWidth="1"/>
    <col min="8449" max="8449" width="11.81640625" style="4" customWidth="1"/>
    <col min="8450" max="8452" width="17.26953125" style="4" customWidth="1"/>
    <col min="8453" max="8703" width="9.1796875" style="4"/>
    <col min="8704" max="8704" width="3.7265625" style="4" customWidth="1"/>
    <col min="8705" max="8705" width="11.81640625" style="4" customWidth="1"/>
    <col min="8706" max="8708" width="17.26953125" style="4" customWidth="1"/>
    <col min="8709" max="8959" width="9.1796875" style="4"/>
    <col min="8960" max="8960" width="3.7265625" style="4" customWidth="1"/>
    <col min="8961" max="8961" width="11.81640625" style="4" customWidth="1"/>
    <col min="8962" max="8964" width="17.26953125" style="4" customWidth="1"/>
    <col min="8965" max="9215" width="9.1796875" style="4"/>
    <col min="9216" max="9216" width="3.7265625" style="4" customWidth="1"/>
    <col min="9217" max="9217" width="11.81640625" style="4" customWidth="1"/>
    <col min="9218" max="9220" width="17.26953125" style="4" customWidth="1"/>
    <col min="9221" max="9471" width="9.1796875" style="4"/>
    <col min="9472" max="9472" width="3.7265625" style="4" customWidth="1"/>
    <col min="9473" max="9473" width="11.81640625" style="4" customWidth="1"/>
    <col min="9474" max="9476" width="17.26953125" style="4" customWidth="1"/>
    <col min="9477" max="9727" width="9.1796875" style="4"/>
    <col min="9728" max="9728" width="3.7265625" style="4" customWidth="1"/>
    <col min="9729" max="9729" width="11.81640625" style="4" customWidth="1"/>
    <col min="9730" max="9732" width="17.26953125" style="4" customWidth="1"/>
    <col min="9733" max="9983" width="9.1796875" style="4"/>
    <col min="9984" max="9984" width="3.7265625" style="4" customWidth="1"/>
    <col min="9985" max="9985" width="11.81640625" style="4" customWidth="1"/>
    <col min="9986" max="9988" width="17.26953125" style="4" customWidth="1"/>
    <col min="9989" max="10239" width="9.1796875" style="4"/>
    <col min="10240" max="10240" width="3.7265625" style="4" customWidth="1"/>
    <col min="10241" max="10241" width="11.81640625" style="4" customWidth="1"/>
    <col min="10242" max="10244" width="17.26953125" style="4" customWidth="1"/>
    <col min="10245" max="10495" width="9.1796875" style="4"/>
    <col min="10496" max="10496" width="3.7265625" style="4" customWidth="1"/>
    <col min="10497" max="10497" width="11.81640625" style="4" customWidth="1"/>
    <col min="10498" max="10500" width="17.26953125" style="4" customWidth="1"/>
    <col min="10501" max="10751" width="9.1796875" style="4"/>
    <col min="10752" max="10752" width="3.7265625" style="4" customWidth="1"/>
    <col min="10753" max="10753" width="11.81640625" style="4" customWidth="1"/>
    <col min="10754" max="10756" width="17.26953125" style="4" customWidth="1"/>
    <col min="10757" max="11007" width="9.1796875" style="4"/>
    <col min="11008" max="11008" width="3.7265625" style="4" customWidth="1"/>
    <col min="11009" max="11009" width="11.81640625" style="4" customWidth="1"/>
    <col min="11010" max="11012" width="17.26953125" style="4" customWidth="1"/>
    <col min="11013" max="11263" width="9.1796875" style="4"/>
    <col min="11264" max="11264" width="3.7265625" style="4" customWidth="1"/>
    <col min="11265" max="11265" width="11.81640625" style="4" customWidth="1"/>
    <col min="11266" max="11268" width="17.26953125" style="4" customWidth="1"/>
    <col min="11269" max="11519" width="9.1796875" style="4"/>
    <col min="11520" max="11520" width="3.7265625" style="4" customWidth="1"/>
    <col min="11521" max="11521" width="11.81640625" style="4" customWidth="1"/>
    <col min="11522" max="11524" width="17.26953125" style="4" customWidth="1"/>
    <col min="11525" max="11775" width="9.1796875" style="4"/>
    <col min="11776" max="11776" width="3.7265625" style="4" customWidth="1"/>
    <col min="11777" max="11777" width="11.81640625" style="4" customWidth="1"/>
    <col min="11778" max="11780" width="17.26953125" style="4" customWidth="1"/>
    <col min="11781" max="12031" width="9.1796875" style="4"/>
    <col min="12032" max="12032" width="3.7265625" style="4" customWidth="1"/>
    <col min="12033" max="12033" width="11.81640625" style="4" customWidth="1"/>
    <col min="12034" max="12036" width="17.26953125" style="4" customWidth="1"/>
    <col min="12037" max="12287" width="9.1796875" style="4"/>
    <col min="12288" max="12288" width="3.7265625" style="4" customWidth="1"/>
    <col min="12289" max="12289" width="11.81640625" style="4" customWidth="1"/>
    <col min="12290" max="12292" width="17.26953125" style="4" customWidth="1"/>
    <col min="12293" max="12543" width="9.1796875" style="4"/>
    <col min="12544" max="12544" width="3.7265625" style="4" customWidth="1"/>
    <col min="12545" max="12545" width="11.81640625" style="4" customWidth="1"/>
    <col min="12546" max="12548" width="17.26953125" style="4" customWidth="1"/>
    <col min="12549" max="12799" width="9.1796875" style="4"/>
    <col min="12800" max="12800" width="3.7265625" style="4" customWidth="1"/>
    <col min="12801" max="12801" width="11.81640625" style="4" customWidth="1"/>
    <col min="12802" max="12804" width="17.26953125" style="4" customWidth="1"/>
    <col min="12805" max="13055" width="9.1796875" style="4"/>
    <col min="13056" max="13056" width="3.7265625" style="4" customWidth="1"/>
    <col min="13057" max="13057" width="11.81640625" style="4" customWidth="1"/>
    <col min="13058" max="13060" width="17.26953125" style="4" customWidth="1"/>
    <col min="13061" max="13311" width="9.1796875" style="4"/>
    <col min="13312" max="13312" width="3.7265625" style="4" customWidth="1"/>
    <col min="13313" max="13313" width="11.81640625" style="4" customWidth="1"/>
    <col min="13314" max="13316" width="17.26953125" style="4" customWidth="1"/>
    <col min="13317" max="13567" width="9.1796875" style="4"/>
    <col min="13568" max="13568" width="3.7265625" style="4" customWidth="1"/>
    <col min="13569" max="13569" width="11.81640625" style="4" customWidth="1"/>
    <col min="13570" max="13572" width="17.26953125" style="4" customWidth="1"/>
    <col min="13573" max="13823" width="9.1796875" style="4"/>
    <col min="13824" max="13824" width="3.7265625" style="4" customWidth="1"/>
    <col min="13825" max="13825" width="11.81640625" style="4" customWidth="1"/>
    <col min="13826" max="13828" width="17.26953125" style="4" customWidth="1"/>
    <col min="13829" max="14079" width="9.1796875" style="4"/>
    <col min="14080" max="14080" width="3.7265625" style="4" customWidth="1"/>
    <col min="14081" max="14081" width="11.81640625" style="4" customWidth="1"/>
    <col min="14082" max="14084" width="17.26953125" style="4" customWidth="1"/>
    <col min="14085" max="14335" width="9.1796875" style="4"/>
    <col min="14336" max="14336" width="3.7265625" style="4" customWidth="1"/>
    <col min="14337" max="14337" width="11.81640625" style="4" customWidth="1"/>
    <col min="14338" max="14340" width="17.26953125" style="4" customWidth="1"/>
    <col min="14341" max="14591" width="9.1796875" style="4"/>
    <col min="14592" max="14592" width="3.7265625" style="4" customWidth="1"/>
    <col min="14593" max="14593" width="11.81640625" style="4" customWidth="1"/>
    <col min="14594" max="14596" width="17.26953125" style="4" customWidth="1"/>
    <col min="14597" max="14847" width="9.1796875" style="4"/>
    <col min="14848" max="14848" width="3.7265625" style="4" customWidth="1"/>
    <col min="14849" max="14849" width="11.81640625" style="4" customWidth="1"/>
    <col min="14850" max="14852" width="17.26953125" style="4" customWidth="1"/>
    <col min="14853" max="15103" width="9.1796875" style="4"/>
    <col min="15104" max="15104" width="3.7265625" style="4" customWidth="1"/>
    <col min="15105" max="15105" width="11.81640625" style="4" customWidth="1"/>
    <col min="15106" max="15108" width="17.26953125" style="4" customWidth="1"/>
    <col min="15109" max="15359" width="9.1796875" style="4"/>
    <col min="15360" max="15360" width="3.7265625" style="4" customWidth="1"/>
    <col min="15361" max="15361" width="11.81640625" style="4" customWidth="1"/>
    <col min="15362" max="15364" width="17.26953125" style="4" customWidth="1"/>
    <col min="15365" max="15615" width="9.1796875" style="4"/>
    <col min="15616" max="15616" width="3.7265625" style="4" customWidth="1"/>
    <col min="15617" max="15617" width="11.81640625" style="4" customWidth="1"/>
    <col min="15618" max="15620" width="17.26953125" style="4" customWidth="1"/>
    <col min="15621" max="15871" width="9.1796875" style="4"/>
    <col min="15872" max="15872" width="3.7265625" style="4" customWidth="1"/>
    <col min="15873" max="15873" width="11.81640625" style="4" customWidth="1"/>
    <col min="15874" max="15876" width="17.26953125" style="4" customWidth="1"/>
    <col min="15877" max="16127" width="9.1796875" style="4"/>
    <col min="16128" max="16128" width="3.7265625" style="4" customWidth="1"/>
    <col min="16129" max="16129" width="11.81640625" style="4" customWidth="1"/>
    <col min="16130" max="16132" width="17.26953125" style="4" customWidth="1"/>
    <col min="16133" max="16384" width="9.1796875" style="4"/>
  </cols>
  <sheetData>
    <row r="1" spans="1:4" s="229" customFormat="1">
      <c r="A1" s="303" t="s">
        <v>539</v>
      </c>
    </row>
    <row r="2" spans="1:4">
      <c r="A2" s="3017" t="s">
        <v>1604</v>
      </c>
      <c r="B2" s="3017"/>
      <c r="C2" s="3017"/>
      <c r="D2" s="3017"/>
    </row>
    <row r="3" spans="1:4">
      <c r="A3" s="304" t="s">
        <v>111</v>
      </c>
      <c r="B3" s="304"/>
      <c r="C3" s="304"/>
      <c r="D3" s="108"/>
    </row>
    <row r="4" spans="1:4">
      <c r="A4" s="60"/>
      <c r="B4" s="60"/>
      <c r="C4" s="60"/>
      <c r="D4" s="60"/>
    </row>
    <row r="5" spans="1:4" ht="11.25" customHeight="1">
      <c r="A5" s="3018" t="s">
        <v>425</v>
      </c>
      <c r="B5" s="3019"/>
      <c r="C5" s="3019"/>
      <c r="D5" s="3022"/>
    </row>
    <row r="6" spans="1:4" ht="11.25" customHeight="1">
      <c r="A6" s="3029" t="s">
        <v>427</v>
      </c>
      <c r="B6" s="3029" t="s">
        <v>440</v>
      </c>
      <c r="C6" s="3029" t="s">
        <v>441</v>
      </c>
      <c r="D6" s="3029" t="s">
        <v>442</v>
      </c>
    </row>
    <row r="7" spans="1:4" ht="11.25" customHeight="1">
      <c r="A7" s="3030"/>
      <c r="B7" s="3030"/>
      <c r="C7" s="3030"/>
      <c r="D7" s="3030"/>
    </row>
    <row r="8" spans="1:4">
      <c r="A8" s="3089"/>
      <c r="B8" s="3089"/>
      <c r="C8" s="3089"/>
      <c r="D8" s="3089"/>
    </row>
    <row r="9" spans="1:4" ht="15" customHeight="1">
      <c r="A9" s="3343" t="s">
        <v>551</v>
      </c>
      <c r="B9" s="3344"/>
      <c r="C9" s="3344"/>
      <c r="D9" s="3345"/>
    </row>
    <row r="10" spans="1:4">
      <c r="A10" s="425"/>
      <c r="B10" s="29"/>
      <c r="C10" s="688"/>
      <c r="D10" s="688"/>
    </row>
    <row r="11" spans="1:4">
      <c r="A11" s="425"/>
      <c r="B11" s="29"/>
      <c r="C11" s="688"/>
      <c r="D11" s="689"/>
    </row>
    <row r="12" spans="1:4">
      <c r="A12" s="425"/>
      <c r="B12" s="29"/>
      <c r="C12" s="688"/>
      <c r="D12" s="689"/>
    </row>
    <row r="13" spans="1:4">
      <c r="A13" s="425"/>
      <c r="B13" s="29"/>
      <c r="C13" s="688"/>
      <c r="D13" s="688"/>
    </row>
    <row r="14" spans="1:4">
      <c r="A14" s="425"/>
      <c r="B14" s="29"/>
      <c r="C14" s="688"/>
      <c r="D14" s="688"/>
    </row>
    <row r="15" spans="1:4">
      <c r="A15" s="425"/>
      <c r="B15" s="29"/>
      <c r="C15" s="688"/>
      <c r="D15" s="688"/>
    </row>
    <row r="16" spans="1:4">
      <c r="A16" s="425"/>
      <c r="B16" s="29"/>
      <c r="C16" s="688"/>
      <c r="D16" s="687"/>
    </row>
    <row r="17" spans="1:4">
      <c r="A17" s="425"/>
      <c r="B17" s="29"/>
      <c r="C17" s="688"/>
      <c r="D17" s="687"/>
    </row>
    <row r="18" spans="1:4">
      <c r="A18" s="425"/>
      <c r="B18" s="29"/>
      <c r="C18" s="688"/>
      <c r="D18" s="687"/>
    </row>
    <row r="19" spans="1:4">
      <c r="A19" s="3343" t="s">
        <v>545</v>
      </c>
      <c r="B19" s="3344"/>
      <c r="C19" s="3344"/>
      <c r="D19" s="3345"/>
    </row>
    <row r="20" spans="1:4">
      <c r="A20" s="425"/>
      <c r="B20" s="451"/>
      <c r="C20" s="688"/>
      <c r="D20" s="688"/>
    </row>
    <row r="21" spans="1:4">
      <c r="A21" s="425"/>
      <c r="B21" s="451"/>
      <c r="C21" s="688"/>
      <c r="D21" s="689"/>
    </row>
    <row r="22" spans="1:4">
      <c r="A22" s="425"/>
      <c r="B22" s="451"/>
      <c r="C22" s="688"/>
      <c r="D22" s="689"/>
    </row>
    <row r="23" spans="1:4">
      <c r="A23" s="425"/>
      <c r="B23" s="451"/>
      <c r="C23" s="688"/>
      <c r="D23" s="689"/>
    </row>
    <row r="24" spans="1:4">
      <c r="A24" s="425"/>
      <c r="B24" s="451"/>
      <c r="C24" s="688"/>
      <c r="D24" s="689"/>
    </row>
    <row r="25" spans="1:4">
      <c r="A25" s="425"/>
      <c r="B25" s="451"/>
      <c r="C25" s="688"/>
      <c r="D25" s="689"/>
    </row>
    <row r="26" spans="1:4">
      <c r="A26" s="425"/>
      <c r="B26" s="690"/>
      <c r="C26" s="666"/>
      <c r="D26" s="20"/>
    </row>
    <row r="27" spans="1:4">
      <c r="A27" s="425"/>
      <c r="B27" s="35"/>
      <c r="C27" s="666"/>
      <c r="D27" s="20"/>
    </row>
  </sheetData>
  <mergeCells count="8">
    <mergeCell ref="A9:D9"/>
    <mergeCell ref="A5:D5"/>
    <mergeCell ref="A19:D19"/>
    <mergeCell ref="A6:A8"/>
    <mergeCell ref="A2:D2"/>
    <mergeCell ref="B6:B8"/>
    <mergeCell ref="C6:C8"/>
    <mergeCell ref="D6:D8"/>
  </mergeCells>
  <dataValidations count="1">
    <dataValidation type="list" allowBlank="1" showInputMessage="1" showErrorMessage="1" sqref="B65068:B65082 WVJ982572:WVJ982586 WLN982572:WLN982586 WBR982572:WBR982586 VRV982572:VRV982586 VHZ982572:VHZ982586 UYD982572:UYD982586 UOH982572:UOH982586 UEL982572:UEL982586 TUP982572:TUP982586 TKT982572:TKT982586 TAX982572:TAX982586 SRB982572:SRB982586 SHF982572:SHF982586 RXJ982572:RXJ982586 RNN982572:RNN982586 RDR982572:RDR982586 QTV982572:QTV982586 QJZ982572:QJZ982586 QAD982572:QAD982586 PQH982572:PQH982586 PGL982572:PGL982586 OWP982572:OWP982586 OMT982572:OMT982586 OCX982572:OCX982586 NTB982572:NTB982586 NJF982572:NJF982586 MZJ982572:MZJ982586 MPN982572:MPN982586 MFR982572:MFR982586 LVV982572:LVV982586 LLZ982572:LLZ982586 LCD982572:LCD982586 KSH982572:KSH982586 KIL982572:KIL982586 JYP982572:JYP982586 JOT982572:JOT982586 JEX982572:JEX982586 IVB982572:IVB982586 ILF982572:ILF982586 IBJ982572:IBJ982586 HRN982572:HRN982586 HHR982572:HHR982586 GXV982572:GXV982586 GNZ982572:GNZ982586 GED982572:GED982586 FUH982572:FUH982586 FKL982572:FKL982586 FAP982572:FAP982586 EQT982572:EQT982586 EGX982572:EGX982586 DXB982572:DXB982586 DNF982572:DNF982586 DDJ982572:DDJ982586 CTN982572:CTN982586 CJR982572:CJR982586 BZV982572:BZV982586 BPZ982572:BPZ982586 BGD982572:BGD982586 AWH982572:AWH982586 AML982572:AML982586 ACP982572:ACP982586 ST982572:ST982586 IX982572:IX982586 B982572:B982586 WVJ917036:WVJ917050 WLN917036:WLN917050 WBR917036:WBR917050 VRV917036:VRV917050 VHZ917036:VHZ917050 UYD917036:UYD917050 UOH917036:UOH917050 UEL917036:UEL917050 TUP917036:TUP917050 TKT917036:TKT917050 TAX917036:TAX917050 SRB917036:SRB917050 SHF917036:SHF917050 RXJ917036:RXJ917050 RNN917036:RNN917050 RDR917036:RDR917050 QTV917036:QTV917050 QJZ917036:QJZ917050 QAD917036:QAD917050 PQH917036:PQH917050 PGL917036:PGL917050 OWP917036:OWP917050 OMT917036:OMT917050 OCX917036:OCX917050 NTB917036:NTB917050 NJF917036:NJF917050 MZJ917036:MZJ917050 MPN917036:MPN917050 MFR917036:MFR917050 LVV917036:LVV917050 LLZ917036:LLZ917050 LCD917036:LCD917050 KSH917036:KSH917050 KIL917036:KIL917050 JYP917036:JYP917050 JOT917036:JOT917050 JEX917036:JEX917050 IVB917036:IVB917050 ILF917036:ILF917050 IBJ917036:IBJ917050 HRN917036:HRN917050 HHR917036:HHR917050 GXV917036:GXV917050 GNZ917036:GNZ917050 GED917036:GED917050 FUH917036:FUH917050 FKL917036:FKL917050 FAP917036:FAP917050 EQT917036:EQT917050 EGX917036:EGX917050 DXB917036:DXB917050 DNF917036:DNF917050 DDJ917036:DDJ917050 CTN917036:CTN917050 CJR917036:CJR917050 BZV917036:BZV917050 BPZ917036:BPZ917050 BGD917036:BGD917050 AWH917036:AWH917050 AML917036:AML917050 ACP917036:ACP917050 ST917036:ST917050 IX917036:IX917050 B917036:B917050 WVJ851500:WVJ851514 WLN851500:WLN851514 WBR851500:WBR851514 VRV851500:VRV851514 VHZ851500:VHZ851514 UYD851500:UYD851514 UOH851500:UOH851514 UEL851500:UEL851514 TUP851500:TUP851514 TKT851500:TKT851514 TAX851500:TAX851514 SRB851500:SRB851514 SHF851500:SHF851514 RXJ851500:RXJ851514 RNN851500:RNN851514 RDR851500:RDR851514 QTV851500:QTV851514 QJZ851500:QJZ851514 QAD851500:QAD851514 PQH851500:PQH851514 PGL851500:PGL851514 OWP851500:OWP851514 OMT851500:OMT851514 OCX851500:OCX851514 NTB851500:NTB851514 NJF851500:NJF851514 MZJ851500:MZJ851514 MPN851500:MPN851514 MFR851500:MFR851514 LVV851500:LVV851514 LLZ851500:LLZ851514 LCD851500:LCD851514 KSH851500:KSH851514 KIL851500:KIL851514 JYP851500:JYP851514 JOT851500:JOT851514 JEX851500:JEX851514 IVB851500:IVB851514 ILF851500:ILF851514 IBJ851500:IBJ851514 HRN851500:HRN851514 HHR851500:HHR851514 GXV851500:GXV851514 GNZ851500:GNZ851514 GED851500:GED851514 FUH851500:FUH851514 FKL851500:FKL851514 FAP851500:FAP851514 EQT851500:EQT851514 EGX851500:EGX851514 DXB851500:DXB851514 DNF851500:DNF851514 DDJ851500:DDJ851514 CTN851500:CTN851514 CJR851500:CJR851514 BZV851500:BZV851514 BPZ851500:BPZ851514 BGD851500:BGD851514 AWH851500:AWH851514 AML851500:AML851514 ACP851500:ACP851514 ST851500:ST851514 IX851500:IX851514 B851500:B851514 WVJ785964:WVJ785978 WLN785964:WLN785978 WBR785964:WBR785978 VRV785964:VRV785978 VHZ785964:VHZ785978 UYD785964:UYD785978 UOH785964:UOH785978 UEL785964:UEL785978 TUP785964:TUP785978 TKT785964:TKT785978 TAX785964:TAX785978 SRB785964:SRB785978 SHF785964:SHF785978 RXJ785964:RXJ785978 RNN785964:RNN785978 RDR785964:RDR785978 QTV785964:QTV785978 QJZ785964:QJZ785978 QAD785964:QAD785978 PQH785964:PQH785978 PGL785964:PGL785978 OWP785964:OWP785978 OMT785964:OMT785978 OCX785964:OCX785978 NTB785964:NTB785978 NJF785964:NJF785978 MZJ785964:MZJ785978 MPN785964:MPN785978 MFR785964:MFR785978 LVV785964:LVV785978 LLZ785964:LLZ785978 LCD785964:LCD785978 KSH785964:KSH785978 KIL785964:KIL785978 JYP785964:JYP785978 JOT785964:JOT785978 JEX785964:JEX785978 IVB785964:IVB785978 ILF785964:ILF785978 IBJ785964:IBJ785978 HRN785964:HRN785978 HHR785964:HHR785978 GXV785964:GXV785978 GNZ785964:GNZ785978 GED785964:GED785978 FUH785964:FUH785978 FKL785964:FKL785978 FAP785964:FAP785978 EQT785964:EQT785978 EGX785964:EGX785978 DXB785964:DXB785978 DNF785964:DNF785978 DDJ785964:DDJ785978 CTN785964:CTN785978 CJR785964:CJR785978 BZV785964:BZV785978 BPZ785964:BPZ785978 BGD785964:BGD785978 AWH785964:AWH785978 AML785964:AML785978 ACP785964:ACP785978 ST785964:ST785978 IX785964:IX785978 B785964:B785978 WVJ720428:WVJ720442 WLN720428:WLN720442 WBR720428:WBR720442 VRV720428:VRV720442 VHZ720428:VHZ720442 UYD720428:UYD720442 UOH720428:UOH720442 UEL720428:UEL720442 TUP720428:TUP720442 TKT720428:TKT720442 TAX720428:TAX720442 SRB720428:SRB720442 SHF720428:SHF720442 RXJ720428:RXJ720442 RNN720428:RNN720442 RDR720428:RDR720442 QTV720428:QTV720442 QJZ720428:QJZ720442 QAD720428:QAD720442 PQH720428:PQH720442 PGL720428:PGL720442 OWP720428:OWP720442 OMT720428:OMT720442 OCX720428:OCX720442 NTB720428:NTB720442 NJF720428:NJF720442 MZJ720428:MZJ720442 MPN720428:MPN720442 MFR720428:MFR720442 LVV720428:LVV720442 LLZ720428:LLZ720442 LCD720428:LCD720442 KSH720428:KSH720442 KIL720428:KIL720442 JYP720428:JYP720442 JOT720428:JOT720442 JEX720428:JEX720442 IVB720428:IVB720442 ILF720428:ILF720442 IBJ720428:IBJ720442 HRN720428:HRN720442 HHR720428:HHR720442 GXV720428:GXV720442 GNZ720428:GNZ720442 GED720428:GED720442 FUH720428:FUH720442 FKL720428:FKL720442 FAP720428:FAP720442 EQT720428:EQT720442 EGX720428:EGX720442 DXB720428:DXB720442 DNF720428:DNF720442 DDJ720428:DDJ720442 CTN720428:CTN720442 CJR720428:CJR720442 BZV720428:BZV720442 BPZ720428:BPZ720442 BGD720428:BGD720442 AWH720428:AWH720442 AML720428:AML720442 ACP720428:ACP720442 ST720428:ST720442 IX720428:IX720442 B720428:B720442 WVJ654892:WVJ654906 WLN654892:WLN654906 WBR654892:WBR654906 VRV654892:VRV654906 VHZ654892:VHZ654906 UYD654892:UYD654906 UOH654892:UOH654906 UEL654892:UEL654906 TUP654892:TUP654906 TKT654892:TKT654906 TAX654892:TAX654906 SRB654892:SRB654906 SHF654892:SHF654906 RXJ654892:RXJ654906 RNN654892:RNN654906 RDR654892:RDR654906 QTV654892:QTV654906 QJZ654892:QJZ654906 QAD654892:QAD654906 PQH654892:PQH654906 PGL654892:PGL654906 OWP654892:OWP654906 OMT654892:OMT654906 OCX654892:OCX654906 NTB654892:NTB654906 NJF654892:NJF654906 MZJ654892:MZJ654906 MPN654892:MPN654906 MFR654892:MFR654906 LVV654892:LVV654906 LLZ654892:LLZ654906 LCD654892:LCD654906 KSH654892:KSH654906 KIL654892:KIL654906 JYP654892:JYP654906 JOT654892:JOT654906 JEX654892:JEX654906 IVB654892:IVB654906 ILF654892:ILF654906 IBJ654892:IBJ654906 HRN654892:HRN654906 HHR654892:HHR654906 GXV654892:GXV654906 GNZ654892:GNZ654906 GED654892:GED654906 FUH654892:FUH654906 FKL654892:FKL654906 FAP654892:FAP654906 EQT654892:EQT654906 EGX654892:EGX654906 DXB654892:DXB654906 DNF654892:DNF654906 DDJ654892:DDJ654906 CTN654892:CTN654906 CJR654892:CJR654906 BZV654892:BZV654906 BPZ654892:BPZ654906 BGD654892:BGD654906 AWH654892:AWH654906 AML654892:AML654906 ACP654892:ACP654906 ST654892:ST654906 IX654892:IX654906 B654892:B654906 WVJ589356:WVJ589370 WLN589356:WLN589370 WBR589356:WBR589370 VRV589356:VRV589370 VHZ589356:VHZ589370 UYD589356:UYD589370 UOH589356:UOH589370 UEL589356:UEL589370 TUP589356:TUP589370 TKT589356:TKT589370 TAX589356:TAX589370 SRB589356:SRB589370 SHF589356:SHF589370 RXJ589356:RXJ589370 RNN589356:RNN589370 RDR589356:RDR589370 QTV589356:QTV589370 QJZ589356:QJZ589370 QAD589356:QAD589370 PQH589356:PQH589370 PGL589356:PGL589370 OWP589356:OWP589370 OMT589356:OMT589370 OCX589356:OCX589370 NTB589356:NTB589370 NJF589356:NJF589370 MZJ589356:MZJ589370 MPN589356:MPN589370 MFR589356:MFR589370 LVV589356:LVV589370 LLZ589356:LLZ589370 LCD589356:LCD589370 KSH589356:KSH589370 KIL589356:KIL589370 JYP589356:JYP589370 JOT589356:JOT589370 JEX589356:JEX589370 IVB589356:IVB589370 ILF589356:ILF589370 IBJ589356:IBJ589370 HRN589356:HRN589370 HHR589356:HHR589370 GXV589356:GXV589370 GNZ589356:GNZ589370 GED589356:GED589370 FUH589356:FUH589370 FKL589356:FKL589370 FAP589356:FAP589370 EQT589356:EQT589370 EGX589356:EGX589370 DXB589356:DXB589370 DNF589356:DNF589370 DDJ589356:DDJ589370 CTN589356:CTN589370 CJR589356:CJR589370 BZV589356:BZV589370 BPZ589356:BPZ589370 BGD589356:BGD589370 AWH589356:AWH589370 AML589356:AML589370 ACP589356:ACP589370 ST589356:ST589370 IX589356:IX589370 B589356:B589370 WVJ523820:WVJ523834 WLN523820:WLN523834 WBR523820:WBR523834 VRV523820:VRV523834 VHZ523820:VHZ523834 UYD523820:UYD523834 UOH523820:UOH523834 UEL523820:UEL523834 TUP523820:TUP523834 TKT523820:TKT523834 TAX523820:TAX523834 SRB523820:SRB523834 SHF523820:SHF523834 RXJ523820:RXJ523834 RNN523820:RNN523834 RDR523820:RDR523834 QTV523820:QTV523834 QJZ523820:QJZ523834 QAD523820:QAD523834 PQH523820:PQH523834 PGL523820:PGL523834 OWP523820:OWP523834 OMT523820:OMT523834 OCX523820:OCX523834 NTB523820:NTB523834 NJF523820:NJF523834 MZJ523820:MZJ523834 MPN523820:MPN523834 MFR523820:MFR523834 LVV523820:LVV523834 LLZ523820:LLZ523834 LCD523820:LCD523834 KSH523820:KSH523834 KIL523820:KIL523834 JYP523820:JYP523834 JOT523820:JOT523834 JEX523820:JEX523834 IVB523820:IVB523834 ILF523820:ILF523834 IBJ523820:IBJ523834 HRN523820:HRN523834 HHR523820:HHR523834 GXV523820:GXV523834 GNZ523820:GNZ523834 GED523820:GED523834 FUH523820:FUH523834 FKL523820:FKL523834 FAP523820:FAP523834 EQT523820:EQT523834 EGX523820:EGX523834 DXB523820:DXB523834 DNF523820:DNF523834 DDJ523820:DDJ523834 CTN523820:CTN523834 CJR523820:CJR523834 BZV523820:BZV523834 BPZ523820:BPZ523834 BGD523820:BGD523834 AWH523820:AWH523834 AML523820:AML523834 ACP523820:ACP523834 ST523820:ST523834 IX523820:IX523834 B523820:B523834 WVJ458284:WVJ458298 WLN458284:WLN458298 WBR458284:WBR458298 VRV458284:VRV458298 VHZ458284:VHZ458298 UYD458284:UYD458298 UOH458284:UOH458298 UEL458284:UEL458298 TUP458284:TUP458298 TKT458284:TKT458298 TAX458284:TAX458298 SRB458284:SRB458298 SHF458284:SHF458298 RXJ458284:RXJ458298 RNN458284:RNN458298 RDR458284:RDR458298 QTV458284:QTV458298 QJZ458284:QJZ458298 QAD458284:QAD458298 PQH458284:PQH458298 PGL458284:PGL458298 OWP458284:OWP458298 OMT458284:OMT458298 OCX458284:OCX458298 NTB458284:NTB458298 NJF458284:NJF458298 MZJ458284:MZJ458298 MPN458284:MPN458298 MFR458284:MFR458298 LVV458284:LVV458298 LLZ458284:LLZ458298 LCD458284:LCD458298 KSH458284:KSH458298 KIL458284:KIL458298 JYP458284:JYP458298 JOT458284:JOT458298 JEX458284:JEX458298 IVB458284:IVB458298 ILF458284:ILF458298 IBJ458284:IBJ458298 HRN458284:HRN458298 HHR458284:HHR458298 GXV458284:GXV458298 GNZ458284:GNZ458298 GED458284:GED458298 FUH458284:FUH458298 FKL458284:FKL458298 FAP458284:FAP458298 EQT458284:EQT458298 EGX458284:EGX458298 DXB458284:DXB458298 DNF458284:DNF458298 DDJ458284:DDJ458298 CTN458284:CTN458298 CJR458284:CJR458298 BZV458284:BZV458298 BPZ458284:BPZ458298 BGD458284:BGD458298 AWH458284:AWH458298 AML458284:AML458298 ACP458284:ACP458298 ST458284:ST458298 IX458284:IX458298 B458284:B458298 WVJ392748:WVJ392762 WLN392748:WLN392762 WBR392748:WBR392762 VRV392748:VRV392762 VHZ392748:VHZ392762 UYD392748:UYD392762 UOH392748:UOH392762 UEL392748:UEL392762 TUP392748:TUP392762 TKT392748:TKT392762 TAX392748:TAX392762 SRB392748:SRB392762 SHF392748:SHF392762 RXJ392748:RXJ392762 RNN392748:RNN392762 RDR392748:RDR392762 QTV392748:QTV392762 QJZ392748:QJZ392762 QAD392748:QAD392762 PQH392748:PQH392762 PGL392748:PGL392762 OWP392748:OWP392762 OMT392748:OMT392762 OCX392748:OCX392762 NTB392748:NTB392762 NJF392748:NJF392762 MZJ392748:MZJ392762 MPN392748:MPN392762 MFR392748:MFR392762 LVV392748:LVV392762 LLZ392748:LLZ392762 LCD392748:LCD392762 KSH392748:KSH392762 KIL392748:KIL392762 JYP392748:JYP392762 JOT392748:JOT392762 JEX392748:JEX392762 IVB392748:IVB392762 ILF392748:ILF392762 IBJ392748:IBJ392762 HRN392748:HRN392762 HHR392748:HHR392762 GXV392748:GXV392762 GNZ392748:GNZ392762 GED392748:GED392762 FUH392748:FUH392762 FKL392748:FKL392762 FAP392748:FAP392762 EQT392748:EQT392762 EGX392748:EGX392762 DXB392748:DXB392762 DNF392748:DNF392762 DDJ392748:DDJ392762 CTN392748:CTN392762 CJR392748:CJR392762 BZV392748:BZV392762 BPZ392748:BPZ392762 BGD392748:BGD392762 AWH392748:AWH392762 AML392748:AML392762 ACP392748:ACP392762 ST392748:ST392762 IX392748:IX392762 B392748:B392762 WVJ327212:WVJ327226 WLN327212:WLN327226 WBR327212:WBR327226 VRV327212:VRV327226 VHZ327212:VHZ327226 UYD327212:UYD327226 UOH327212:UOH327226 UEL327212:UEL327226 TUP327212:TUP327226 TKT327212:TKT327226 TAX327212:TAX327226 SRB327212:SRB327226 SHF327212:SHF327226 RXJ327212:RXJ327226 RNN327212:RNN327226 RDR327212:RDR327226 QTV327212:QTV327226 QJZ327212:QJZ327226 QAD327212:QAD327226 PQH327212:PQH327226 PGL327212:PGL327226 OWP327212:OWP327226 OMT327212:OMT327226 OCX327212:OCX327226 NTB327212:NTB327226 NJF327212:NJF327226 MZJ327212:MZJ327226 MPN327212:MPN327226 MFR327212:MFR327226 LVV327212:LVV327226 LLZ327212:LLZ327226 LCD327212:LCD327226 KSH327212:KSH327226 KIL327212:KIL327226 JYP327212:JYP327226 JOT327212:JOT327226 JEX327212:JEX327226 IVB327212:IVB327226 ILF327212:ILF327226 IBJ327212:IBJ327226 HRN327212:HRN327226 HHR327212:HHR327226 GXV327212:GXV327226 GNZ327212:GNZ327226 GED327212:GED327226 FUH327212:FUH327226 FKL327212:FKL327226 FAP327212:FAP327226 EQT327212:EQT327226 EGX327212:EGX327226 DXB327212:DXB327226 DNF327212:DNF327226 DDJ327212:DDJ327226 CTN327212:CTN327226 CJR327212:CJR327226 BZV327212:BZV327226 BPZ327212:BPZ327226 BGD327212:BGD327226 AWH327212:AWH327226 AML327212:AML327226 ACP327212:ACP327226 ST327212:ST327226 IX327212:IX327226 B327212:B327226 WVJ261676:WVJ261690 WLN261676:WLN261690 WBR261676:WBR261690 VRV261676:VRV261690 VHZ261676:VHZ261690 UYD261676:UYD261690 UOH261676:UOH261690 UEL261676:UEL261690 TUP261676:TUP261690 TKT261676:TKT261690 TAX261676:TAX261690 SRB261676:SRB261690 SHF261676:SHF261690 RXJ261676:RXJ261690 RNN261676:RNN261690 RDR261676:RDR261690 QTV261676:QTV261690 QJZ261676:QJZ261690 QAD261676:QAD261690 PQH261676:PQH261690 PGL261676:PGL261690 OWP261676:OWP261690 OMT261676:OMT261690 OCX261676:OCX261690 NTB261676:NTB261690 NJF261676:NJF261690 MZJ261676:MZJ261690 MPN261676:MPN261690 MFR261676:MFR261690 LVV261676:LVV261690 LLZ261676:LLZ261690 LCD261676:LCD261690 KSH261676:KSH261690 KIL261676:KIL261690 JYP261676:JYP261690 JOT261676:JOT261690 JEX261676:JEX261690 IVB261676:IVB261690 ILF261676:ILF261690 IBJ261676:IBJ261690 HRN261676:HRN261690 HHR261676:HHR261690 GXV261676:GXV261690 GNZ261676:GNZ261690 GED261676:GED261690 FUH261676:FUH261690 FKL261676:FKL261690 FAP261676:FAP261690 EQT261676:EQT261690 EGX261676:EGX261690 DXB261676:DXB261690 DNF261676:DNF261690 DDJ261676:DDJ261690 CTN261676:CTN261690 CJR261676:CJR261690 BZV261676:BZV261690 BPZ261676:BPZ261690 BGD261676:BGD261690 AWH261676:AWH261690 AML261676:AML261690 ACP261676:ACP261690 ST261676:ST261690 IX261676:IX261690 B261676:B261690 WVJ196140:WVJ196154 WLN196140:WLN196154 WBR196140:WBR196154 VRV196140:VRV196154 VHZ196140:VHZ196154 UYD196140:UYD196154 UOH196140:UOH196154 UEL196140:UEL196154 TUP196140:TUP196154 TKT196140:TKT196154 TAX196140:TAX196154 SRB196140:SRB196154 SHF196140:SHF196154 RXJ196140:RXJ196154 RNN196140:RNN196154 RDR196140:RDR196154 QTV196140:QTV196154 QJZ196140:QJZ196154 QAD196140:QAD196154 PQH196140:PQH196154 PGL196140:PGL196154 OWP196140:OWP196154 OMT196140:OMT196154 OCX196140:OCX196154 NTB196140:NTB196154 NJF196140:NJF196154 MZJ196140:MZJ196154 MPN196140:MPN196154 MFR196140:MFR196154 LVV196140:LVV196154 LLZ196140:LLZ196154 LCD196140:LCD196154 KSH196140:KSH196154 KIL196140:KIL196154 JYP196140:JYP196154 JOT196140:JOT196154 JEX196140:JEX196154 IVB196140:IVB196154 ILF196140:ILF196154 IBJ196140:IBJ196154 HRN196140:HRN196154 HHR196140:HHR196154 GXV196140:GXV196154 GNZ196140:GNZ196154 GED196140:GED196154 FUH196140:FUH196154 FKL196140:FKL196154 FAP196140:FAP196154 EQT196140:EQT196154 EGX196140:EGX196154 DXB196140:DXB196154 DNF196140:DNF196154 DDJ196140:DDJ196154 CTN196140:CTN196154 CJR196140:CJR196154 BZV196140:BZV196154 BPZ196140:BPZ196154 BGD196140:BGD196154 AWH196140:AWH196154 AML196140:AML196154 ACP196140:ACP196154 ST196140:ST196154 IX196140:IX196154 B196140:B196154 WVJ130604:WVJ130618 WLN130604:WLN130618 WBR130604:WBR130618 VRV130604:VRV130618 VHZ130604:VHZ130618 UYD130604:UYD130618 UOH130604:UOH130618 UEL130604:UEL130618 TUP130604:TUP130618 TKT130604:TKT130618 TAX130604:TAX130618 SRB130604:SRB130618 SHF130604:SHF130618 RXJ130604:RXJ130618 RNN130604:RNN130618 RDR130604:RDR130618 QTV130604:QTV130618 QJZ130604:QJZ130618 QAD130604:QAD130618 PQH130604:PQH130618 PGL130604:PGL130618 OWP130604:OWP130618 OMT130604:OMT130618 OCX130604:OCX130618 NTB130604:NTB130618 NJF130604:NJF130618 MZJ130604:MZJ130618 MPN130604:MPN130618 MFR130604:MFR130618 LVV130604:LVV130618 LLZ130604:LLZ130618 LCD130604:LCD130618 KSH130604:KSH130618 KIL130604:KIL130618 JYP130604:JYP130618 JOT130604:JOT130618 JEX130604:JEX130618 IVB130604:IVB130618 ILF130604:ILF130618 IBJ130604:IBJ130618 HRN130604:HRN130618 HHR130604:HHR130618 GXV130604:GXV130618 GNZ130604:GNZ130618 GED130604:GED130618 FUH130604:FUH130618 FKL130604:FKL130618 FAP130604:FAP130618 EQT130604:EQT130618 EGX130604:EGX130618 DXB130604:DXB130618 DNF130604:DNF130618 DDJ130604:DDJ130618 CTN130604:CTN130618 CJR130604:CJR130618 BZV130604:BZV130618 BPZ130604:BPZ130618 BGD130604:BGD130618 AWH130604:AWH130618 AML130604:AML130618 ACP130604:ACP130618 ST130604:ST130618 IX130604:IX130618 B130604:B130618 WVJ65068:WVJ65082 WLN65068:WLN65082 WBR65068:WBR65082 VRV65068:VRV65082 VHZ65068:VHZ65082 UYD65068:UYD65082 UOH65068:UOH65082 UEL65068:UEL65082 TUP65068:TUP65082 TKT65068:TKT65082 TAX65068:TAX65082 SRB65068:SRB65082 SHF65068:SHF65082 RXJ65068:RXJ65082 RNN65068:RNN65082 RDR65068:RDR65082 QTV65068:QTV65082 QJZ65068:QJZ65082 QAD65068:QAD65082 PQH65068:PQH65082 PGL65068:PGL65082 OWP65068:OWP65082 OMT65068:OMT65082 OCX65068:OCX65082 NTB65068:NTB65082 NJF65068:NJF65082 MZJ65068:MZJ65082 MPN65068:MPN65082 MFR65068:MFR65082 LVV65068:LVV65082 LLZ65068:LLZ65082 LCD65068:LCD65082 KSH65068:KSH65082 KIL65068:KIL65082 JYP65068:JYP65082 JOT65068:JOT65082 JEX65068:JEX65082 IVB65068:IVB65082 ILF65068:ILF65082 IBJ65068:IBJ65082 HRN65068:HRN65082 HHR65068:HHR65082 GXV65068:GXV65082 GNZ65068:GNZ65082 GED65068:GED65082 FUH65068:FUH65082 FKL65068:FKL65082 FAP65068:FAP65082 EQT65068:EQT65082 EGX65068:EGX65082 DXB65068:DXB65082 DNF65068:DNF65082 DDJ65068:DDJ65082 CTN65068:CTN65082 CJR65068:CJR65082 BZV65068:BZV65082 BPZ65068:BPZ65082 BGD65068:BGD65082 AWH65068:AWH65082 AML65068:AML65082 ACP65068:ACP65082 ST65068:ST65082 IX65068:IX65082 WVJ10:WVJ24 WLN10:WLN24 WBR10:WBR24 VRV10:VRV24 VHZ10:VHZ24 UYD10:UYD24 UOH10:UOH24 UEL10:UEL24 TUP10:TUP24 TKT10:TKT24 TAX10:TAX24 SRB10:SRB24 SHF10:SHF24 RXJ10:RXJ24 RNN10:RNN24 RDR10:RDR24 QTV10:QTV24 QJZ10:QJZ24 QAD10:QAD24 PQH10:PQH24 PGL10:PGL24 OWP10:OWP24 OMT10:OMT24 OCX10:OCX24 NTB10:NTB24 NJF10:NJF24 MZJ10:MZJ24 MPN10:MPN24 MFR10:MFR24 LVV10:LVV24 LLZ10:LLZ24 LCD10:LCD24 KSH10:KSH24 KIL10:KIL24 JYP10:JYP24 JOT10:JOT24 JEX10:JEX24 IVB10:IVB24 ILF10:ILF24 IBJ10:IBJ24 HRN10:HRN24 HHR10:HHR24 GXV10:GXV24 GNZ10:GNZ24 GED10:GED24 FUH10:FUH24 FKL10:FKL24 FAP10:FAP24 EQT10:EQT24 EGX10:EGX24 DXB10:DXB24 DNF10:DNF24 DDJ10:DDJ24 CTN10:CTN24 CJR10:CJR24 BZV10:BZV24 BPZ10:BPZ24 BGD10:BGD24 AWH10:AWH24 AML10:AML24 ACP10:ACP24 ST10:ST24 IX10:IX24">
      <formula1>$B$27:$B$4604</formula1>
    </dataValidation>
  </dataValidation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view="pageBreakPreview" topLeftCell="B1" zoomScale="90" zoomScaleNormal="70" zoomScaleSheetLayoutView="90" workbookViewId="0">
      <selection activeCell="C105" sqref="C105"/>
    </sheetView>
  </sheetViews>
  <sheetFormatPr defaultRowHeight="14.5"/>
  <cols>
    <col min="1" max="1" width="69.26953125" style="4" bestFit="1" customWidth="1"/>
    <col min="2" max="2" width="65.26953125" style="4" bestFit="1" customWidth="1"/>
    <col min="3" max="3" width="16" style="4" bestFit="1" customWidth="1"/>
    <col min="4" max="4" width="12.81640625" style="4" bestFit="1" customWidth="1"/>
    <col min="5" max="5" width="17.1796875" style="4" bestFit="1" customWidth="1"/>
    <col min="6" max="6" width="14.81640625" style="4" bestFit="1" customWidth="1"/>
    <col min="7" max="7" width="15.26953125" style="4" bestFit="1" customWidth="1"/>
    <col min="8" max="246" width="9.1796875" style="4"/>
    <col min="247" max="247" width="3.7265625" style="4" customWidth="1"/>
    <col min="248" max="249" width="14.7265625" style="4" customWidth="1"/>
    <col min="250" max="250" width="17" style="4" customWidth="1"/>
    <col min="251" max="251" width="7.81640625" style="4" customWidth="1"/>
    <col min="252" max="252" width="9.26953125" style="4" customWidth="1"/>
    <col min="253" max="253" width="7.453125" style="4" customWidth="1"/>
    <col min="254" max="256" width="7.54296875" style="4" customWidth="1"/>
    <col min="257" max="257" width="7.453125" style="4" customWidth="1"/>
    <col min="258" max="258" width="7.7265625" style="4" customWidth="1"/>
    <col min="259" max="502" width="9.1796875" style="4"/>
    <col min="503" max="503" width="3.7265625" style="4" customWidth="1"/>
    <col min="504" max="505" width="14.7265625" style="4" customWidth="1"/>
    <col min="506" max="506" width="17" style="4" customWidth="1"/>
    <col min="507" max="507" width="7.81640625" style="4" customWidth="1"/>
    <col min="508" max="508" width="9.26953125" style="4" customWidth="1"/>
    <col min="509" max="509" width="7.453125" style="4" customWidth="1"/>
    <col min="510" max="512" width="7.54296875" style="4" customWidth="1"/>
    <col min="513" max="513" width="7.453125" style="4" customWidth="1"/>
    <col min="514" max="514" width="7.7265625" style="4" customWidth="1"/>
    <col min="515" max="758" width="9.1796875" style="4"/>
    <col min="759" max="759" width="3.7265625" style="4" customWidth="1"/>
    <col min="760" max="761" width="14.7265625" style="4" customWidth="1"/>
    <col min="762" max="762" width="17" style="4" customWidth="1"/>
    <col min="763" max="763" width="7.81640625" style="4" customWidth="1"/>
    <col min="764" max="764" width="9.26953125" style="4" customWidth="1"/>
    <col min="765" max="765" width="7.453125" style="4" customWidth="1"/>
    <col min="766" max="768" width="7.54296875" style="4" customWidth="1"/>
    <col min="769" max="769" width="7.453125" style="4" customWidth="1"/>
    <col min="770" max="770" width="7.7265625" style="4" customWidth="1"/>
    <col min="771" max="1014" width="9.1796875" style="4"/>
    <col min="1015" max="1015" width="3.7265625" style="4" customWidth="1"/>
    <col min="1016" max="1017" width="14.7265625" style="4" customWidth="1"/>
    <col min="1018" max="1018" width="17" style="4" customWidth="1"/>
    <col min="1019" max="1019" width="7.81640625" style="4" customWidth="1"/>
    <col min="1020" max="1020" width="9.26953125" style="4" customWidth="1"/>
    <col min="1021" max="1021" width="7.453125" style="4" customWidth="1"/>
    <col min="1022" max="1024" width="7.54296875" style="4" customWidth="1"/>
    <col min="1025" max="1025" width="7.453125" style="4" customWidth="1"/>
    <col min="1026" max="1026" width="7.7265625" style="4" customWidth="1"/>
    <col min="1027" max="1270" width="9.1796875" style="4"/>
    <col min="1271" max="1271" width="3.7265625" style="4" customWidth="1"/>
    <col min="1272" max="1273" width="14.7265625" style="4" customWidth="1"/>
    <col min="1274" max="1274" width="17" style="4" customWidth="1"/>
    <col min="1275" max="1275" width="7.81640625" style="4" customWidth="1"/>
    <col min="1276" max="1276" width="9.26953125" style="4" customWidth="1"/>
    <col min="1277" max="1277" width="7.453125" style="4" customWidth="1"/>
    <col min="1278" max="1280" width="7.54296875" style="4" customWidth="1"/>
    <col min="1281" max="1281" width="7.453125" style="4" customWidth="1"/>
    <col min="1282" max="1282" width="7.7265625" style="4" customWidth="1"/>
    <col min="1283" max="1526" width="9.1796875" style="4"/>
    <col min="1527" max="1527" width="3.7265625" style="4" customWidth="1"/>
    <col min="1528" max="1529" width="14.7265625" style="4" customWidth="1"/>
    <col min="1530" max="1530" width="17" style="4" customWidth="1"/>
    <col min="1531" max="1531" width="7.81640625" style="4" customWidth="1"/>
    <col min="1532" max="1532" width="9.26953125" style="4" customWidth="1"/>
    <col min="1533" max="1533" width="7.453125" style="4" customWidth="1"/>
    <col min="1534" max="1536" width="7.54296875" style="4" customWidth="1"/>
    <col min="1537" max="1537" width="7.453125" style="4" customWidth="1"/>
    <col min="1538" max="1538" width="7.7265625" style="4" customWidth="1"/>
    <col min="1539" max="1782" width="9.1796875" style="4"/>
    <col min="1783" max="1783" width="3.7265625" style="4" customWidth="1"/>
    <col min="1784" max="1785" width="14.7265625" style="4" customWidth="1"/>
    <col min="1786" max="1786" width="17" style="4" customWidth="1"/>
    <col min="1787" max="1787" width="7.81640625" style="4" customWidth="1"/>
    <col min="1788" max="1788" width="9.26953125" style="4" customWidth="1"/>
    <col min="1789" max="1789" width="7.453125" style="4" customWidth="1"/>
    <col min="1790" max="1792" width="7.54296875" style="4" customWidth="1"/>
    <col min="1793" max="1793" width="7.453125" style="4" customWidth="1"/>
    <col min="1794" max="1794" width="7.7265625" style="4" customWidth="1"/>
    <col min="1795" max="2038" width="9.1796875" style="4"/>
    <col min="2039" max="2039" width="3.7265625" style="4" customWidth="1"/>
    <col min="2040" max="2041" width="14.7265625" style="4" customWidth="1"/>
    <col min="2042" max="2042" width="17" style="4" customWidth="1"/>
    <col min="2043" max="2043" width="7.81640625" style="4" customWidth="1"/>
    <col min="2044" max="2044" width="9.26953125" style="4" customWidth="1"/>
    <col min="2045" max="2045" width="7.453125" style="4" customWidth="1"/>
    <col min="2046" max="2048" width="7.54296875" style="4" customWidth="1"/>
    <col min="2049" max="2049" width="7.453125" style="4" customWidth="1"/>
    <col min="2050" max="2050" width="7.7265625" style="4" customWidth="1"/>
    <col min="2051" max="2294" width="9.1796875" style="4"/>
    <col min="2295" max="2295" width="3.7265625" style="4" customWidth="1"/>
    <col min="2296" max="2297" width="14.7265625" style="4" customWidth="1"/>
    <col min="2298" max="2298" width="17" style="4" customWidth="1"/>
    <col min="2299" max="2299" width="7.81640625" style="4" customWidth="1"/>
    <col min="2300" max="2300" width="9.26953125" style="4" customWidth="1"/>
    <col min="2301" max="2301" width="7.453125" style="4" customWidth="1"/>
    <col min="2302" max="2304" width="7.54296875" style="4" customWidth="1"/>
    <col min="2305" max="2305" width="7.453125" style="4" customWidth="1"/>
    <col min="2306" max="2306" width="7.7265625" style="4" customWidth="1"/>
    <col min="2307" max="2550" width="9.1796875" style="4"/>
    <col min="2551" max="2551" width="3.7265625" style="4" customWidth="1"/>
    <col min="2552" max="2553" width="14.7265625" style="4" customWidth="1"/>
    <col min="2554" max="2554" width="17" style="4" customWidth="1"/>
    <col min="2555" max="2555" width="7.81640625" style="4" customWidth="1"/>
    <col min="2556" max="2556" width="9.26953125" style="4" customWidth="1"/>
    <col min="2557" max="2557" width="7.453125" style="4" customWidth="1"/>
    <col min="2558" max="2560" width="7.54296875" style="4" customWidth="1"/>
    <col min="2561" max="2561" width="7.453125" style="4" customWidth="1"/>
    <col min="2562" max="2562" width="7.7265625" style="4" customWidth="1"/>
    <col min="2563" max="2806" width="9.1796875" style="4"/>
    <col min="2807" max="2807" width="3.7265625" style="4" customWidth="1"/>
    <col min="2808" max="2809" width="14.7265625" style="4" customWidth="1"/>
    <col min="2810" max="2810" width="17" style="4" customWidth="1"/>
    <col min="2811" max="2811" width="7.81640625" style="4" customWidth="1"/>
    <col min="2812" max="2812" width="9.26953125" style="4" customWidth="1"/>
    <col min="2813" max="2813" width="7.453125" style="4" customWidth="1"/>
    <col min="2814" max="2816" width="7.54296875" style="4" customWidth="1"/>
    <col min="2817" max="2817" width="7.453125" style="4" customWidth="1"/>
    <col min="2818" max="2818" width="7.7265625" style="4" customWidth="1"/>
    <col min="2819" max="3062" width="9.1796875" style="4"/>
    <col min="3063" max="3063" width="3.7265625" style="4" customWidth="1"/>
    <col min="3064" max="3065" width="14.7265625" style="4" customWidth="1"/>
    <col min="3066" max="3066" width="17" style="4" customWidth="1"/>
    <col min="3067" max="3067" width="7.81640625" style="4" customWidth="1"/>
    <col min="3068" max="3068" width="9.26953125" style="4" customWidth="1"/>
    <col min="3069" max="3069" width="7.453125" style="4" customWidth="1"/>
    <col min="3070" max="3072" width="7.54296875" style="4" customWidth="1"/>
    <col min="3073" max="3073" width="7.453125" style="4" customWidth="1"/>
    <col min="3074" max="3074" width="7.7265625" style="4" customWidth="1"/>
    <col min="3075" max="3318" width="9.1796875" style="4"/>
    <col min="3319" max="3319" width="3.7265625" style="4" customWidth="1"/>
    <col min="3320" max="3321" width="14.7265625" style="4" customWidth="1"/>
    <col min="3322" max="3322" width="17" style="4" customWidth="1"/>
    <col min="3323" max="3323" width="7.81640625" style="4" customWidth="1"/>
    <col min="3324" max="3324" width="9.26953125" style="4" customWidth="1"/>
    <col min="3325" max="3325" width="7.453125" style="4" customWidth="1"/>
    <col min="3326" max="3328" width="7.54296875" style="4" customWidth="1"/>
    <col min="3329" max="3329" width="7.453125" style="4" customWidth="1"/>
    <col min="3330" max="3330" width="7.7265625" style="4" customWidth="1"/>
    <col min="3331" max="3574" width="9.1796875" style="4"/>
    <col min="3575" max="3575" width="3.7265625" style="4" customWidth="1"/>
    <col min="3576" max="3577" width="14.7265625" style="4" customWidth="1"/>
    <col min="3578" max="3578" width="17" style="4" customWidth="1"/>
    <col min="3579" max="3579" width="7.81640625" style="4" customWidth="1"/>
    <col min="3580" max="3580" width="9.26953125" style="4" customWidth="1"/>
    <col min="3581" max="3581" width="7.453125" style="4" customWidth="1"/>
    <col min="3582" max="3584" width="7.54296875" style="4" customWidth="1"/>
    <col min="3585" max="3585" width="7.453125" style="4" customWidth="1"/>
    <col min="3586" max="3586" width="7.7265625" style="4" customWidth="1"/>
    <col min="3587" max="3830" width="9.1796875" style="4"/>
    <col min="3831" max="3831" width="3.7265625" style="4" customWidth="1"/>
    <col min="3832" max="3833" width="14.7265625" style="4" customWidth="1"/>
    <col min="3834" max="3834" width="17" style="4" customWidth="1"/>
    <col min="3835" max="3835" width="7.81640625" style="4" customWidth="1"/>
    <col min="3836" max="3836" width="9.26953125" style="4" customWidth="1"/>
    <col min="3837" max="3837" width="7.453125" style="4" customWidth="1"/>
    <col min="3838" max="3840" width="7.54296875" style="4" customWidth="1"/>
    <col min="3841" max="3841" width="7.453125" style="4" customWidth="1"/>
    <col min="3842" max="3842" width="7.7265625" style="4" customWidth="1"/>
    <col min="3843" max="4086" width="9.1796875" style="4"/>
    <col min="4087" max="4087" width="3.7265625" style="4" customWidth="1"/>
    <col min="4088" max="4089" width="14.7265625" style="4" customWidth="1"/>
    <col min="4090" max="4090" width="17" style="4" customWidth="1"/>
    <col min="4091" max="4091" width="7.81640625" style="4" customWidth="1"/>
    <col min="4092" max="4092" width="9.26953125" style="4" customWidth="1"/>
    <col min="4093" max="4093" width="7.453125" style="4" customWidth="1"/>
    <col min="4094" max="4096" width="7.54296875" style="4" customWidth="1"/>
    <col min="4097" max="4097" width="7.453125" style="4" customWidth="1"/>
    <col min="4098" max="4098" width="7.7265625" style="4" customWidth="1"/>
    <col min="4099" max="4342" width="9.1796875" style="4"/>
    <col min="4343" max="4343" width="3.7265625" style="4" customWidth="1"/>
    <col min="4344" max="4345" width="14.7265625" style="4" customWidth="1"/>
    <col min="4346" max="4346" width="17" style="4" customWidth="1"/>
    <col min="4347" max="4347" width="7.81640625" style="4" customWidth="1"/>
    <col min="4348" max="4348" width="9.26953125" style="4" customWidth="1"/>
    <col min="4349" max="4349" width="7.453125" style="4" customWidth="1"/>
    <col min="4350" max="4352" width="7.54296875" style="4" customWidth="1"/>
    <col min="4353" max="4353" width="7.453125" style="4" customWidth="1"/>
    <col min="4354" max="4354" width="7.7265625" style="4" customWidth="1"/>
    <col min="4355" max="4598" width="9.1796875" style="4"/>
    <col min="4599" max="4599" width="3.7265625" style="4" customWidth="1"/>
    <col min="4600" max="4601" width="14.7265625" style="4" customWidth="1"/>
    <col min="4602" max="4602" width="17" style="4" customWidth="1"/>
    <col min="4603" max="4603" width="7.81640625" style="4" customWidth="1"/>
    <col min="4604" max="4604" width="9.26953125" style="4" customWidth="1"/>
    <col min="4605" max="4605" width="7.453125" style="4" customWidth="1"/>
    <col min="4606" max="4608" width="7.54296875" style="4" customWidth="1"/>
    <col min="4609" max="4609" width="7.453125" style="4" customWidth="1"/>
    <col min="4610" max="4610" width="7.7265625" style="4" customWidth="1"/>
    <col min="4611" max="4854" width="9.1796875" style="4"/>
    <col min="4855" max="4855" width="3.7265625" style="4" customWidth="1"/>
    <col min="4856" max="4857" width="14.7265625" style="4" customWidth="1"/>
    <col min="4858" max="4858" width="17" style="4" customWidth="1"/>
    <col min="4859" max="4859" width="7.81640625" style="4" customWidth="1"/>
    <col min="4860" max="4860" width="9.26953125" style="4" customWidth="1"/>
    <col min="4861" max="4861" width="7.453125" style="4" customWidth="1"/>
    <col min="4862" max="4864" width="7.54296875" style="4" customWidth="1"/>
    <col min="4865" max="4865" width="7.453125" style="4" customWidth="1"/>
    <col min="4866" max="4866" width="7.7265625" style="4" customWidth="1"/>
    <col min="4867" max="5110" width="9.1796875" style="4"/>
    <col min="5111" max="5111" width="3.7265625" style="4" customWidth="1"/>
    <col min="5112" max="5113" width="14.7265625" style="4" customWidth="1"/>
    <col min="5114" max="5114" width="17" style="4" customWidth="1"/>
    <col min="5115" max="5115" width="7.81640625" style="4" customWidth="1"/>
    <col min="5116" max="5116" width="9.26953125" style="4" customWidth="1"/>
    <col min="5117" max="5117" width="7.453125" style="4" customWidth="1"/>
    <col min="5118" max="5120" width="7.54296875" style="4" customWidth="1"/>
    <col min="5121" max="5121" width="7.453125" style="4" customWidth="1"/>
    <col min="5122" max="5122" width="7.7265625" style="4" customWidth="1"/>
    <col min="5123" max="5366" width="9.1796875" style="4"/>
    <col min="5367" max="5367" width="3.7265625" style="4" customWidth="1"/>
    <col min="5368" max="5369" width="14.7265625" style="4" customWidth="1"/>
    <col min="5370" max="5370" width="17" style="4" customWidth="1"/>
    <col min="5371" max="5371" width="7.81640625" style="4" customWidth="1"/>
    <col min="5372" max="5372" width="9.26953125" style="4" customWidth="1"/>
    <col min="5373" max="5373" width="7.453125" style="4" customWidth="1"/>
    <col min="5374" max="5376" width="7.54296875" style="4" customWidth="1"/>
    <col min="5377" max="5377" width="7.453125" style="4" customWidth="1"/>
    <col min="5378" max="5378" width="7.7265625" style="4" customWidth="1"/>
    <col min="5379" max="5622" width="9.1796875" style="4"/>
    <col min="5623" max="5623" width="3.7265625" style="4" customWidth="1"/>
    <col min="5624" max="5625" width="14.7265625" style="4" customWidth="1"/>
    <col min="5626" max="5626" width="17" style="4" customWidth="1"/>
    <col min="5627" max="5627" width="7.81640625" style="4" customWidth="1"/>
    <col min="5628" max="5628" width="9.26953125" style="4" customWidth="1"/>
    <col min="5629" max="5629" width="7.453125" style="4" customWidth="1"/>
    <col min="5630" max="5632" width="7.54296875" style="4" customWidth="1"/>
    <col min="5633" max="5633" width="7.453125" style="4" customWidth="1"/>
    <col min="5634" max="5634" width="7.7265625" style="4" customWidth="1"/>
    <col min="5635" max="5878" width="9.1796875" style="4"/>
    <col min="5879" max="5879" width="3.7265625" style="4" customWidth="1"/>
    <col min="5880" max="5881" width="14.7265625" style="4" customWidth="1"/>
    <col min="5882" max="5882" width="17" style="4" customWidth="1"/>
    <col min="5883" max="5883" width="7.81640625" style="4" customWidth="1"/>
    <col min="5884" max="5884" width="9.26953125" style="4" customWidth="1"/>
    <col min="5885" max="5885" width="7.453125" style="4" customWidth="1"/>
    <col min="5886" max="5888" width="7.54296875" style="4" customWidth="1"/>
    <col min="5889" max="5889" width="7.453125" style="4" customWidth="1"/>
    <col min="5890" max="5890" width="7.7265625" style="4" customWidth="1"/>
    <col min="5891" max="6134" width="9.1796875" style="4"/>
    <col min="6135" max="6135" width="3.7265625" style="4" customWidth="1"/>
    <col min="6136" max="6137" width="14.7265625" style="4" customWidth="1"/>
    <col min="6138" max="6138" width="17" style="4" customWidth="1"/>
    <col min="6139" max="6139" width="7.81640625" style="4" customWidth="1"/>
    <col min="6140" max="6140" width="9.26953125" style="4" customWidth="1"/>
    <col min="6141" max="6141" width="7.453125" style="4" customWidth="1"/>
    <col min="6142" max="6144" width="7.54296875" style="4" customWidth="1"/>
    <col min="6145" max="6145" width="7.453125" style="4" customWidth="1"/>
    <col min="6146" max="6146" width="7.7265625" style="4" customWidth="1"/>
    <col min="6147" max="6390" width="9.1796875" style="4"/>
    <col min="6391" max="6391" width="3.7265625" style="4" customWidth="1"/>
    <col min="6392" max="6393" width="14.7265625" style="4" customWidth="1"/>
    <col min="6394" max="6394" width="17" style="4" customWidth="1"/>
    <col min="6395" max="6395" width="7.81640625" style="4" customWidth="1"/>
    <col min="6396" max="6396" width="9.26953125" style="4" customWidth="1"/>
    <col min="6397" max="6397" width="7.453125" style="4" customWidth="1"/>
    <col min="6398" max="6400" width="7.54296875" style="4" customWidth="1"/>
    <col min="6401" max="6401" width="7.453125" style="4" customWidth="1"/>
    <col min="6402" max="6402" width="7.7265625" style="4" customWidth="1"/>
    <col min="6403" max="6646" width="9.1796875" style="4"/>
    <col min="6647" max="6647" width="3.7265625" style="4" customWidth="1"/>
    <col min="6648" max="6649" width="14.7265625" style="4" customWidth="1"/>
    <col min="6650" max="6650" width="17" style="4" customWidth="1"/>
    <col min="6651" max="6651" width="7.81640625" style="4" customWidth="1"/>
    <col min="6652" max="6652" width="9.26953125" style="4" customWidth="1"/>
    <col min="6653" max="6653" width="7.453125" style="4" customWidth="1"/>
    <col min="6654" max="6656" width="7.54296875" style="4" customWidth="1"/>
    <col min="6657" max="6657" width="7.453125" style="4" customWidth="1"/>
    <col min="6658" max="6658" width="7.7265625" style="4" customWidth="1"/>
    <col min="6659" max="6902" width="9.1796875" style="4"/>
    <col min="6903" max="6903" width="3.7265625" style="4" customWidth="1"/>
    <col min="6904" max="6905" width="14.7265625" style="4" customWidth="1"/>
    <col min="6906" max="6906" width="17" style="4" customWidth="1"/>
    <col min="6907" max="6907" width="7.81640625" style="4" customWidth="1"/>
    <col min="6908" max="6908" width="9.26953125" style="4" customWidth="1"/>
    <col min="6909" max="6909" width="7.453125" style="4" customWidth="1"/>
    <col min="6910" max="6912" width="7.54296875" style="4" customWidth="1"/>
    <col min="6913" max="6913" width="7.453125" style="4" customWidth="1"/>
    <col min="6914" max="6914" width="7.7265625" style="4" customWidth="1"/>
    <col min="6915" max="7158" width="9.1796875" style="4"/>
    <col min="7159" max="7159" width="3.7265625" style="4" customWidth="1"/>
    <col min="7160" max="7161" width="14.7265625" style="4" customWidth="1"/>
    <col min="7162" max="7162" width="17" style="4" customWidth="1"/>
    <col min="7163" max="7163" width="7.81640625" style="4" customWidth="1"/>
    <col min="7164" max="7164" width="9.26953125" style="4" customWidth="1"/>
    <col min="7165" max="7165" width="7.453125" style="4" customWidth="1"/>
    <col min="7166" max="7168" width="7.54296875" style="4" customWidth="1"/>
    <col min="7169" max="7169" width="7.453125" style="4" customWidth="1"/>
    <col min="7170" max="7170" width="7.7265625" style="4" customWidth="1"/>
    <col min="7171" max="7414" width="9.1796875" style="4"/>
    <col min="7415" max="7415" width="3.7265625" style="4" customWidth="1"/>
    <col min="7416" max="7417" width="14.7265625" style="4" customWidth="1"/>
    <col min="7418" max="7418" width="17" style="4" customWidth="1"/>
    <col min="7419" max="7419" width="7.81640625" style="4" customWidth="1"/>
    <col min="7420" max="7420" width="9.26953125" style="4" customWidth="1"/>
    <col min="7421" max="7421" width="7.453125" style="4" customWidth="1"/>
    <col min="7422" max="7424" width="7.54296875" style="4" customWidth="1"/>
    <col min="7425" max="7425" width="7.453125" style="4" customWidth="1"/>
    <col min="7426" max="7426" width="7.7265625" style="4" customWidth="1"/>
    <col min="7427" max="7670" width="9.1796875" style="4"/>
    <col min="7671" max="7671" width="3.7265625" style="4" customWidth="1"/>
    <col min="7672" max="7673" width="14.7265625" style="4" customWidth="1"/>
    <col min="7674" max="7674" width="17" style="4" customWidth="1"/>
    <col min="7675" max="7675" width="7.81640625" style="4" customWidth="1"/>
    <col min="7676" max="7676" width="9.26953125" style="4" customWidth="1"/>
    <col min="7677" max="7677" width="7.453125" style="4" customWidth="1"/>
    <col min="7678" max="7680" width="7.54296875" style="4" customWidth="1"/>
    <col min="7681" max="7681" width="7.453125" style="4" customWidth="1"/>
    <col min="7682" max="7682" width="7.7265625" style="4" customWidth="1"/>
    <col min="7683" max="7926" width="9.1796875" style="4"/>
    <col min="7927" max="7927" width="3.7265625" style="4" customWidth="1"/>
    <col min="7928" max="7929" width="14.7265625" style="4" customWidth="1"/>
    <col min="7930" max="7930" width="17" style="4" customWidth="1"/>
    <col min="7931" max="7931" width="7.81640625" style="4" customWidth="1"/>
    <col min="7932" max="7932" width="9.26953125" style="4" customWidth="1"/>
    <col min="7933" max="7933" width="7.453125" style="4" customWidth="1"/>
    <col min="7934" max="7936" width="7.54296875" style="4" customWidth="1"/>
    <col min="7937" max="7937" width="7.453125" style="4" customWidth="1"/>
    <col min="7938" max="7938" width="7.7265625" style="4" customWidth="1"/>
    <col min="7939" max="8182" width="9.1796875" style="4"/>
    <col min="8183" max="8183" width="3.7265625" style="4" customWidth="1"/>
    <col min="8184" max="8185" width="14.7265625" style="4" customWidth="1"/>
    <col min="8186" max="8186" width="17" style="4" customWidth="1"/>
    <col min="8187" max="8187" width="7.81640625" style="4" customWidth="1"/>
    <col min="8188" max="8188" width="9.26953125" style="4" customWidth="1"/>
    <col min="8189" max="8189" width="7.453125" style="4" customWidth="1"/>
    <col min="8190" max="8192" width="7.54296875" style="4" customWidth="1"/>
    <col min="8193" max="8193" width="7.453125" style="4" customWidth="1"/>
    <col min="8194" max="8194" width="7.7265625" style="4" customWidth="1"/>
    <col min="8195" max="8438" width="9.1796875" style="4"/>
    <col min="8439" max="8439" width="3.7265625" style="4" customWidth="1"/>
    <col min="8440" max="8441" width="14.7265625" style="4" customWidth="1"/>
    <col min="8442" max="8442" width="17" style="4" customWidth="1"/>
    <col min="8443" max="8443" width="7.81640625" style="4" customWidth="1"/>
    <col min="8444" max="8444" width="9.26953125" style="4" customWidth="1"/>
    <col min="8445" max="8445" width="7.453125" style="4" customWidth="1"/>
    <col min="8446" max="8448" width="7.54296875" style="4" customWidth="1"/>
    <col min="8449" max="8449" width="7.453125" style="4" customWidth="1"/>
    <col min="8450" max="8450" width="7.7265625" style="4" customWidth="1"/>
    <col min="8451" max="8694" width="9.1796875" style="4"/>
    <col min="8695" max="8695" width="3.7265625" style="4" customWidth="1"/>
    <col min="8696" max="8697" width="14.7265625" style="4" customWidth="1"/>
    <col min="8698" max="8698" width="17" style="4" customWidth="1"/>
    <col min="8699" max="8699" width="7.81640625" style="4" customWidth="1"/>
    <col min="8700" max="8700" width="9.26953125" style="4" customWidth="1"/>
    <col min="8701" max="8701" width="7.453125" style="4" customWidth="1"/>
    <col min="8702" max="8704" width="7.54296875" style="4" customWidth="1"/>
    <col min="8705" max="8705" width="7.453125" style="4" customWidth="1"/>
    <col min="8706" max="8706" width="7.7265625" style="4" customWidth="1"/>
    <col min="8707" max="8950" width="9.1796875" style="4"/>
    <col min="8951" max="8951" width="3.7265625" style="4" customWidth="1"/>
    <col min="8952" max="8953" width="14.7265625" style="4" customWidth="1"/>
    <col min="8954" max="8954" width="17" style="4" customWidth="1"/>
    <col min="8955" max="8955" width="7.81640625" style="4" customWidth="1"/>
    <col min="8956" max="8956" width="9.26953125" style="4" customWidth="1"/>
    <col min="8957" max="8957" width="7.453125" style="4" customWidth="1"/>
    <col min="8958" max="8960" width="7.54296875" style="4" customWidth="1"/>
    <col min="8961" max="8961" width="7.453125" style="4" customWidth="1"/>
    <col min="8962" max="8962" width="7.7265625" style="4" customWidth="1"/>
    <col min="8963" max="9206" width="9.1796875" style="4"/>
    <col min="9207" max="9207" width="3.7265625" style="4" customWidth="1"/>
    <col min="9208" max="9209" width="14.7265625" style="4" customWidth="1"/>
    <col min="9210" max="9210" width="17" style="4" customWidth="1"/>
    <col min="9211" max="9211" width="7.81640625" style="4" customWidth="1"/>
    <col min="9212" max="9212" width="9.26953125" style="4" customWidth="1"/>
    <col min="9213" max="9213" width="7.453125" style="4" customWidth="1"/>
    <col min="9214" max="9216" width="7.54296875" style="4" customWidth="1"/>
    <col min="9217" max="9217" width="7.453125" style="4" customWidth="1"/>
    <col min="9218" max="9218" width="7.7265625" style="4" customWidth="1"/>
    <col min="9219" max="9462" width="9.1796875" style="4"/>
    <col min="9463" max="9463" width="3.7265625" style="4" customWidth="1"/>
    <col min="9464" max="9465" width="14.7265625" style="4" customWidth="1"/>
    <col min="9466" max="9466" width="17" style="4" customWidth="1"/>
    <col min="9467" max="9467" width="7.81640625" style="4" customWidth="1"/>
    <col min="9468" max="9468" width="9.26953125" style="4" customWidth="1"/>
    <col min="9469" max="9469" width="7.453125" style="4" customWidth="1"/>
    <col min="9470" max="9472" width="7.54296875" style="4" customWidth="1"/>
    <col min="9473" max="9473" width="7.453125" style="4" customWidth="1"/>
    <col min="9474" max="9474" width="7.7265625" style="4" customWidth="1"/>
    <col min="9475" max="9718" width="9.1796875" style="4"/>
    <col min="9719" max="9719" width="3.7265625" style="4" customWidth="1"/>
    <col min="9720" max="9721" width="14.7265625" style="4" customWidth="1"/>
    <col min="9722" max="9722" width="17" style="4" customWidth="1"/>
    <col min="9723" max="9723" width="7.81640625" style="4" customWidth="1"/>
    <col min="9724" max="9724" width="9.26953125" style="4" customWidth="1"/>
    <col min="9725" max="9725" width="7.453125" style="4" customWidth="1"/>
    <col min="9726" max="9728" width="7.54296875" style="4" customWidth="1"/>
    <col min="9729" max="9729" width="7.453125" style="4" customWidth="1"/>
    <col min="9730" max="9730" width="7.7265625" style="4" customWidth="1"/>
    <col min="9731" max="9974" width="9.1796875" style="4"/>
    <col min="9975" max="9975" width="3.7265625" style="4" customWidth="1"/>
    <col min="9976" max="9977" width="14.7265625" style="4" customWidth="1"/>
    <col min="9978" max="9978" width="17" style="4" customWidth="1"/>
    <col min="9979" max="9979" width="7.81640625" style="4" customWidth="1"/>
    <col min="9980" max="9980" width="9.26953125" style="4" customWidth="1"/>
    <col min="9981" max="9981" width="7.453125" style="4" customWidth="1"/>
    <col min="9982" max="9984" width="7.54296875" style="4" customWidth="1"/>
    <col min="9985" max="9985" width="7.453125" style="4" customWidth="1"/>
    <col min="9986" max="9986" width="7.7265625" style="4" customWidth="1"/>
    <col min="9987" max="10230" width="9.1796875" style="4"/>
    <col min="10231" max="10231" width="3.7265625" style="4" customWidth="1"/>
    <col min="10232" max="10233" width="14.7265625" style="4" customWidth="1"/>
    <col min="10234" max="10234" width="17" style="4" customWidth="1"/>
    <col min="10235" max="10235" width="7.81640625" style="4" customWidth="1"/>
    <col min="10236" max="10236" width="9.26953125" style="4" customWidth="1"/>
    <col min="10237" max="10237" width="7.453125" style="4" customWidth="1"/>
    <col min="10238" max="10240" width="7.54296875" style="4" customWidth="1"/>
    <col min="10241" max="10241" width="7.453125" style="4" customWidth="1"/>
    <col min="10242" max="10242" width="7.7265625" style="4" customWidth="1"/>
    <col min="10243" max="10486" width="9.1796875" style="4"/>
    <col min="10487" max="10487" width="3.7265625" style="4" customWidth="1"/>
    <col min="10488" max="10489" width="14.7265625" style="4" customWidth="1"/>
    <col min="10490" max="10490" width="17" style="4" customWidth="1"/>
    <col min="10491" max="10491" width="7.81640625" style="4" customWidth="1"/>
    <col min="10492" max="10492" width="9.26953125" style="4" customWidth="1"/>
    <col min="10493" max="10493" width="7.453125" style="4" customWidth="1"/>
    <col min="10494" max="10496" width="7.54296875" style="4" customWidth="1"/>
    <col min="10497" max="10497" width="7.453125" style="4" customWidth="1"/>
    <col min="10498" max="10498" width="7.7265625" style="4" customWidth="1"/>
    <col min="10499" max="10742" width="9.1796875" style="4"/>
    <col min="10743" max="10743" width="3.7265625" style="4" customWidth="1"/>
    <col min="10744" max="10745" width="14.7265625" style="4" customWidth="1"/>
    <col min="10746" max="10746" width="17" style="4" customWidth="1"/>
    <col min="10747" max="10747" width="7.81640625" style="4" customWidth="1"/>
    <col min="10748" max="10748" width="9.26953125" style="4" customWidth="1"/>
    <col min="10749" max="10749" width="7.453125" style="4" customWidth="1"/>
    <col min="10750" max="10752" width="7.54296875" style="4" customWidth="1"/>
    <col min="10753" max="10753" width="7.453125" style="4" customWidth="1"/>
    <col min="10754" max="10754" width="7.7265625" style="4" customWidth="1"/>
    <col min="10755" max="10998" width="9.1796875" style="4"/>
    <col min="10999" max="10999" width="3.7265625" style="4" customWidth="1"/>
    <col min="11000" max="11001" width="14.7265625" style="4" customWidth="1"/>
    <col min="11002" max="11002" width="17" style="4" customWidth="1"/>
    <col min="11003" max="11003" width="7.81640625" style="4" customWidth="1"/>
    <col min="11004" max="11004" width="9.26953125" style="4" customWidth="1"/>
    <col min="11005" max="11005" width="7.453125" style="4" customWidth="1"/>
    <col min="11006" max="11008" width="7.54296875" style="4" customWidth="1"/>
    <col min="11009" max="11009" width="7.453125" style="4" customWidth="1"/>
    <col min="11010" max="11010" width="7.7265625" style="4" customWidth="1"/>
    <col min="11011" max="11254" width="9.1796875" style="4"/>
    <col min="11255" max="11255" width="3.7265625" style="4" customWidth="1"/>
    <col min="11256" max="11257" width="14.7265625" style="4" customWidth="1"/>
    <col min="11258" max="11258" width="17" style="4" customWidth="1"/>
    <col min="11259" max="11259" width="7.81640625" style="4" customWidth="1"/>
    <col min="11260" max="11260" width="9.26953125" style="4" customWidth="1"/>
    <col min="11261" max="11261" width="7.453125" style="4" customWidth="1"/>
    <col min="11262" max="11264" width="7.54296875" style="4" customWidth="1"/>
    <col min="11265" max="11265" width="7.453125" style="4" customWidth="1"/>
    <col min="11266" max="11266" width="7.7265625" style="4" customWidth="1"/>
    <col min="11267" max="11510" width="9.1796875" style="4"/>
    <col min="11511" max="11511" width="3.7265625" style="4" customWidth="1"/>
    <col min="11512" max="11513" width="14.7265625" style="4" customWidth="1"/>
    <col min="11514" max="11514" width="17" style="4" customWidth="1"/>
    <col min="11515" max="11515" width="7.81640625" style="4" customWidth="1"/>
    <col min="11516" max="11516" width="9.26953125" style="4" customWidth="1"/>
    <col min="11517" max="11517" width="7.453125" style="4" customWidth="1"/>
    <col min="11518" max="11520" width="7.54296875" style="4" customWidth="1"/>
    <col min="11521" max="11521" width="7.453125" style="4" customWidth="1"/>
    <col min="11522" max="11522" width="7.7265625" style="4" customWidth="1"/>
    <col min="11523" max="11766" width="9.1796875" style="4"/>
    <col min="11767" max="11767" width="3.7265625" style="4" customWidth="1"/>
    <col min="11768" max="11769" width="14.7265625" style="4" customWidth="1"/>
    <col min="11770" max="11770" width="17" style="4" customWidth="1"/>
    <col min="11771" max="11771" width="7.81640625" style="4" customWidth="1"/>
    <col min="11772" max="11772" width="9.26953125" style="4" customWidth="1"/>
    <col min="11773" max="11773" width="7.453125" style="4" customWidth="1"/>
    <col min="11774" max="11776" width="7.54296875" style="4" customWidth="1"/>
    <col min="11777" max="11777" width="7.453125" style="4" customWidth="1"/>
    <col min="11778" max="11778" width="7.7265625" style="4" customWidth="1"/>
    <col min="11779" max="12022" width="9.1796875" style="4"/>
    <col min="12023" max="12023" width="3.7265625" style="4" customWidth="1"/>
    <col min="12024" max="12025" width="14.7265625" style="4" customWidth="1"/>
    <col min="12026" max="12026" width="17" style="4" customWidth="1"/>
    <col min="12027" max="12027" width="7.81640625" style="4" customWidth="1"/>
    <col min="12028" max="12028" width="9.26953125" style="4" customWidth="1"/>
    <col min="12029" max="12029" width="7.453125" style="4" customWidth="1"/>
    <col min="12030" max="12032" width="7.54296875" style="4" customWidth="1"/>
    <col min="12033" max="12033" width="7.453125" style="4" customWidth="1"/>
    <col min="12034" max="12034" width="7.7265625" style="4" customWidth="1"/>
    <col min="12035" max="12278" width="9.1796875" style="4"/>
    <col min="12279" max="12279" width="3.7265625" style="4" customWidth="1"/>
    <col min="12280" max="12281" width="14.7265625" style="4" customWidth="1"/>
    <col min="12282" max="12282" width="17" style="4" customWidth="1"/>
    <col min="12283" max="12283" width="7.81640625" style="4" customWidth="1"/>
    <col min="12284" max="12284" width="9.26953125" style="4" customWidth="1"/>
    <col min="12285" max="12285" width="7.453125" style="4" customWidth="1"/>
    <col min="12286" max="12288" width="7.54296875" style="4" customWidth="1"/>
    <col min="12289" max="12289" width="7.453125" style="4" customWidth="1"/>
    <col min="12290" max="12290" width="7.7265625" style="4" customWidth="1"/>
    <col min="12291" max="12534" width="9.1796875" style="4"/>
    <col min="12535" max="12535" width="3.7265625" style="4" customWidth="1"/>
    <col min="12536" max="12537" width="14.7265625" style="4" customWidth="1"/>
    <col min="12538" max="12538" width="17" style="4" customWidth="1"/>
    <col min="12539" max="12539" width="7.81640625" style="4" customWidth="1"/>
    <col min="12540" max="12540" width="9.26953125" style="4" customWidth="1"/>
    <col min="12541" max="12541" width="7.453125" style="4" customWidth="1"/>
    <col min="12542" max="12544" width="7.54296875" style="4" customWidth="1"/>
    <col min="12545" max="12545" width="7.453125" style="4" customWidth="1"/>
    <col min="12546" max="12546" width="7.7265625" style="4" customWidth="1"/>
    <col min="12547" max="12790" width="9.1796875" style="4"/>
    <col min="12791" max="12791" width="3.7265625" style="4" customWidth="1"/>
    <col min="12792" max="12793" width="14.7265625" style="4" customWidth="1"/>
    <col min="12794" max="12794" width="17" style="4" customWidth="1"/>
    <col min="12795" max="12795" width="7.81640625" style="4" customWidth="1"/>
    <col min="12796" max="12796" width="9.26953125" style="4" customWidth="1"/>
    <col min="12797" max="12797" width="7.453125" style="4" customWidth="1"/>
    <col min="12798" max="12800" width="7.54296875" style="4" customWidth="1"/>
    <col min="12801" max="12801" width="7.453125" style="4" customWidth="1"/>
    <col min="12802" max="12802" width="7.7265625" style="4" customWidth="1"/>
    <col min="12803" max="13046" width="9.1796875" style="4"/>
    <col min="13047" max="13047" width="3.7265625" style="4" customWidth="1"/>
    <col min="13048" max="13049" width="14.7265625" style="4" customWidth="1"/>
    <col min="13050" max="13050" width="17" style="4" customWidth="1"/>
    <col min="13051" max="13051" width="7.81640625" style="4" customWidth="1"/>
    <col min="13052" max="13052" width="9.26953125" style="4" customWidth="1"/>
    <col min="13053" max="13053" width="7.453125" style="4" customWidth="1"/>
    <col min="13054" max="13056" width="7.54296875" style="4" customWidth="1"/>
    <col min="13057" max="13057" width="7.453125" style="4" customWidth="1"/>
    <col min="13058" max="13058" width="7.7265625" style="4" customWidth="1"/>
    <col min="13059" max="13302" width="9.1796875" style="4"/>
    <col min="13303" max="13303" width="3.7265625" style="4" customWidth="1"/>
    <col min="13304" max="13305" width="14.7265625" style="4" customWidth="1"/>
    <col min="13306" max="13306" width="17" style="4" customWidth="1"/>
    <col min="13307" max="13307" width="7.81640625" style="4" customWidth="1"/>
    <col min="13308" max="13308" width="9.26953125" style="4" customWidth="1"/>
    <col min="13309" max="13309" width="7.453125" style="4" customWidth="1"/>
    <col min="13310" max="13312" width="7.54296875" style="4" customWidth="1"/>
    <col min="13313" max="13313" width="7.453125" style="4" customWidth="1"/>
    <col min="13314" max="13314" width="7.7265625" style="4" customWidth="1"/>
    <col min="13315" max="13558" width="9.1796875" style="4"/>
    <col min="13559" max="13559" width="3.7265625" style="4" customWidth="1"/>
    <col min="13560" max="13561" width="14.7265625" style="4" customWidth="1"/>
    <col min="13562" max="13562" width="17" style="4" customWidth="1"/>
    <col min="13563" max="13563" width="7.81640625" style="4" customWidth="1"/>
    <col min="13564" max="13564" width="9.26953125" style="4" customWidth="1"/>
    <col min="13565" max="13565" width="7.453125" style="4" customWidth="1"/>
    <col min="13566" max="13568" width="7.54296875" style="4" customWidth="1"/>
    <col min="13569" max="13569" width="7.453125" style="4" customWidth="1"/>
    <col min="13570" max="13570" width="7.7265625" style="4" customWidth="1"/>
    <col min="13571" max="13814" width="9.1796875" style="4"/>
    <col min="13815" max="13815" width="3.7265625" style="4" customWidth="1"/>
    <col min="13816" max="13817" width="14.7265625" style="4" customWidth="1"/>
    <col min="13818" max="13818" width="17" style="4" customWidth="1"/>
    <col min="13819" max="13819" width="7.81640625" style="4" customWidth="1"/>
    <col min="13820" max="13820" width="9.26953125" style="4" customWidth="1"/>
    <col min="13821" max="13821" width="7.453125" style="4" customWidth="1"/>
    <col min="13822" max="13824" width="7.54296875" style="4" customWidth="1"/>
    <col min="13825" max="13825" width="7.453125" style="4" customWidth="1"/>
    <col min="13826" max="13826" width="7.7265625" style="4" customWidth="1"/>
    <col min="13827" max="14070" width="9.1796875" style="4"/>
    <col min="14071" max="14071" width="3.7265625" style="4" customWidth="1"/>
    <col min="14072" max="14073" width="14.7265625" style="4" customWidth="1"/>
    <col min="14074" max="14074" width="17" style="4" customWidth="1"/>
    <col min="14075" max="14075" width="7.81640625" style="4" customWidth="1"/>
    <col min="14076" max="14076" width="9.26953125" style="4" customWidth="1"/>
    <col min="14077" max="14077" width="7.453125" style="4" customWidth="1"/>
    <col min="14078" max="14080" width="7.54296875" style="4" customWidth="1"/>
    <col min="14081" max="14081" width="7.453125" style="4" customWidth="1"/>
    <col min="14082" max="14082" width="7.7265625" style="4" customWidth="1"/>
    <col min="14083" max="14326" width="9.1796875" style="4"/>
    <col min="14327" max="14327" width="3.7265625" style="4" customWidth="1"/>
    <col min="14328" max="14329" width="14.7265625" style="4" customWidth="1"/>
    <col min="14330" max="14330" width="17" style="4" customWidth="1"/>
    <col min="14331" max="14331" width="7.81640625" style="4" customWidth="1"/>
    <col min="14332" max="14332" width="9.26953125" style="4" customWidth="1"/>
    <col min="14333" max="14333" width="7.453125" style="4" customWidth="1"/>
    <col min="14334" max="14336" width="7.54296875" style="4" customWidth="1"/>
    <col min="14337" max="14337" width="7.453125" style="4" customWidth="1"/>
    <col min="14338" max="14338" width="7.7265625" style="4" customWidth="1"/>
    <col min="14339" max="14582" width="9.1796875" style="4"/>
    <col min="14583" max="14583" width="3.7265625" style="4" customWidth="1"/>
    <col min="14584" max="14585" width="14.7265625" style="4" customWidth="1"/>
    <col min="14586" max="14586" width="17" style="4" customWidth="1"/>
    <col min="14587" max="14587" width="7.81640625" style="4" customWidth="1"/>
    <col min="14588" max="14588" width="9.26953125" style="4" customWidth="1"/>
    <col min="14589" max="14589" width="7.453125" style="4" customWidth="1"/>
    <col min="14590" max="14592" width="7.54296875" style="4" customWidth="1"/>
    <col min="14593" max="14593" width="7.453125" style="4" customWidth="1"/>
    <col min="14594" max="14594" width="7.7265625" style="4" customWidth="1"/>
    <col min="14595" max="14838" width="9.1796875" style="4"/>
    <col min="14839" max="14839" width="3.7265625" style="4" customWidth="1"/>
    <col min="14840" max="14841" width="14.7265625" style="4" customWidth="1"/>
    <col min="14842" max="14842" width="17" style="4" customWidth="1"/>
    <col min="14843" max="14843" width="7.81640625" style="4" customWidth="1"/>
    <col min="14844" max="14844" width="9.26953125" style="4" customWidth="1"/>
    <col min="14845" max="14845" width="7.453125" style="4" customWidth="1"/>
    <col min="14846" max="14848" width="7.54296875" style="4" customWidth="1"/>
    <col min="14849" max="14849" width="7.453125" style="4" customWidth="1"/>
    <col min="14850" max="14850" width="7.7265625" style="4" customWidth="1"/>
    <col min="14851" max="15094" width="9.1796875" style="4"/>
    <col min="15095" max="15095" width="3.7265625" style="4" customWidth="1"/>
    <col min="15096" max="15097" width="14.7265625" style="4" customWidth="1"/>
    <col min="15098" max="15098" width="17" style="4" customWidth="1"/>
    <col min="15099" max="15099" width="7.81640625" style="4" customWidth="1"/>
    <col min="15100" max="15100" width="9.26953125" style="4" customWidth="1"/>
    <col min="15101" max="15101" width="7.453125" style="4" customWidth="1"/>
    <col min="15102" max="15104" width="7.54296875" style="4" customWidth="1"/>
    <col min="15105" max="15105" width="7.453125" style="4" customWidth="1"/>
    <col min="15106" max="15106" width="7.7265625" style="4" customWidth="1"/>
    <col min="15107" max="15350" width="9.1796875" style="4"/>
    <col min="15351" max="15351" width="3.7265625" style="4" customWidth="1"/>
    <col min="15352" max="15353" width="14.7265625" style="4" customWidth="1"/>
    <col min="15354" max="15354" width="17" style="4" customWidth="1"/>
    <col min="15355" max="15355" width="7.81640625" style="4" customWidth="1"/>
    <col min="15356" max="15356" width="9.26953125" style="4" customWidth="1"/>
    <col min="15357" max="15357" width="7.453125" style="4" customWidth="1"/>
    <col min="15358" max="15360" width="7.54296875" style="4" customWidth="1"/>
    <col min="15361" max="15361" width="7.453125" style="4" customWidth="1"/>
    <col min="15362" max="15362" width="7.7265625" style="4" customWidth="1"/>
    <col min="15363" max="15606" width="9.1796875" style="4"/>
    <col min="15607" max="15607" width="3.7265625" style="4" customWidth="1"/>
    <col min="15608" max="15609" width="14.7265625" style="4" customWidth="1"/>
    <col min="15610" max="15610" width="17" style="4" customWidth="1"/>
    <col min="15611" max="15611" width="7.81640625" style="4" customWidth="1"/>
    <col min="15612" max="15612" width="9.26953125" style="4" customWidth="1"/>
    <col min="15613" max="15613" width="7.453125" style="4" customWidth="1"/>
    <col min="15614" max="15616" width="7.54296875" style="4" customWidth="1"/>
    <col min="15617" max="15617" width="7.453125" style="4" customWidth="1"/>
    <col min="15618" max="15618" width="7.7265625" style="4" customWidth="1"/>
    <col min="15619" max="15862" width="9.1796875" style="4"/>
    <col min="15863" max="15863" width="3.7265625" style="4" customWidth="1"/>
    <col min="15864" max="15865" width="14.7265625" style="4" customWidth="1"/>
    <col min="15866" max="15866" width="17" style="4" customWidth="1"/>
    <col min="15867" max="15867" width="7.81640625" style="4" customWidth="1"/>
    <col min="15868" max="15868" width="9.26953125" style="4" customWidth="1"/>
    <col min="15869" max="15869" width="7.453125" style="4" customWidth="1"/>
    <col min="15870" max="15872" width="7.54296875" style="4" customWidth="1"/>
    <col min="15873" max="15873" width="7.453125" style="4" customWidth="1"/>
    <col min="15874" max="15874" width="7.7265625" style="4" customWidth="1"/>
    <col min="15875" max="16118" width="9.1796875" style="4"/>
    <col min="16119" max="16119" width="3.7265625" style="4" customWidth="1"/>
    <col min="16120" max="16121" width="14.7265625" style="4" customWidth="1"/>
    <col min="16122" max="16122" width="17" style="4" customWidth="1"/>
    <col min="16123" max="16123" width="7.81640625" style="4" customWidth="1"/>
    <col min="16124" max="16124" width="9.26953125" style="4" customWidth="1"/>
    <col min="16125" max="16125" width="7.453125" style="4" customWidth="1"/>
    <col min="16126" max="16128" width="7.54296875" style="4" customWidth="1"/>
    <col min="16129" max="16129" width="7.453125" style="4" customWidth="1"/>
    <col min="16130" max="16130" width="7.7265625" style="4" customWidth="1"/>
    <col min="16131" max="16384" width="9.1796875" style="4"/>
  </cols>
  <sheetData>
    <row r="1" spans="1:7" s="229" customFormat="1">
      <c r="A1" s="2991" t="s">
        <v>540</v>
      </c>
      <c r="B1" s="2991"/>
    </row>
    <row r="2" spans="1:7">
      <c r="A2" s="3017" t="str">
        <f>F19A!A2</f>
        <v>Name of Distribution Licensee: PUVVNL</v>
      </c>
      <c r="B2" s="3017"/>
      <c r="C2" s="3017"/>
      <c r="D2" s="3017"/>
      <c r="E2" s="3017"/>
      <c r="F2" s="3017"/>
      <c r="G2" s="3017"/>
    </row>
    <row r="3" spans="1:7">
      <c r="A3" s="304" t="s">
        <v>443</v>
      </c>
      <c r="B3" s="304"/>
      <c r="C3" s="304"/>
      <c r="D3" s="304"/>
      <c r="E3" s="304"/>
      <c r="F3" s="3060"/>
      <c r="G3" s="3060"/>
    </row>
    <row r="5" spans="1:7">
      <c r="A5" s="2994" t="s">
        <v>425</v>
      </c>
      <c r="B5" s="2994"/>
      <c r="C5" s="2994"/>
      <c r="D5" s="3058" t="s">
        <v>568</v>
      </c>
      <c r="E5" s="3059"/>
      <c r="F5" s="1327" t="s">
        <v>550</v>
      </c>
      <c r="G5" s="1327" t="s">
        <v>550</v>
      </c>
    </row>
    <row r="6" spans="1:7">
      <c r="A6" s="3029" t="s">
        <v>455</v>
      </c>
      <c r="B6" s="3029" t="s">
        <v>428</v>
      </c>
      <c r="C6" s="3029" t="s">
        <v>440</v>
      </c>
      <c r="D6" s="3019" t="s">
        <v>545</v>
      </c>
      <c r="E6" s="3022"/>
      <c r="F6" s="1326" t="s">
        <v>545</v>
      </c>
      <c r="G6" s="1326" t="s">
        <v>547</v>
      </c>
    </row>
    <row r="7" spans="1:7" s="39" customFormat="1" ht="29">
      <c r="A7" s="3089"/>
      <c r="B7" s="3089"/>
      <c r="C7" s="3089"/>
      <c r="D7" s="1327" t="s">
        <v>281</v>
      </c>
      <c r="E7" s="1327" t="s">
        <v>544</v>
      </c>
      <c r="F7" s="1330" t="s">
        <v>552</v>
      </c>
      <c r="G7" s="1327" t="s">
        <v>283</v>
      </c>
    </row>
    <row r="8" spans="1:7">
      <c r="A8" s="295" t="s">
        <v>1369</v>
      </c>
      <c r="B8" s="42"/>
      <c r="C8" s="972"/>
      <c r="D8" s="1457">
        <f>E8/$D$22*$E$22</f>
        <v>1320.75</v>
      </c>
      <c r="E8" s="1457">
        <f>F21A!G6</f>
        <v>1320.75</v>
      </c>
      <c r="F8" s="1457">
        <f>F21A!I6</f>
        <v>1075.5439285335738</v>
      </c>
      <c r="G8" s="1457">
        <f>F21A!K6</f>
        <v>693.20426258338784</v>
      </c>
    </row>
    <row r="9" spans="1:7">
      <c r="A9" s="295" t="s">
        <v>1370</v>
      </c>
      <c r="B9" s="42"/>
      <c r="C9" s="972"/>
      <c r="D9" s="1457">
        <f t="shared" ref="D9:D17" si="0">E9/$D$22*$E$22</f>
        <v>137.47999999999999</v>
      </c>
      <c r="E9" s="1457">
        <f>F21A!G7</f>
        <v>137.47999999999999</v>
      </c>
      <c r="F9" s="1446"/>
      <c r="G9" s="1446"/>
    </row>
    <row r="10" spans="1:7">
      <c r="A10" s="295" t="s">
        <v>1371</v>
      </c>
      <c r="B10" s="42"/>
      <c r="C10" s="972"/>
      <c r="D10" s="1457">
        <f t="shared" si="0"/>
        <v>126.86</v>
      </c>
      <c r="E10" s="1457">
        <f>F21A!G8</f>
        <v>126.86</v>
      </c>
      <c r="F10" s="1446"/>
      <c r="G10" s="1446"/>
    </row>
    <row r="11" spans="1:7">
      <c r="A11" s="295" t="s">
        <v>1585</v>
      </c>
      <c r="B11" s="42"/>
      <c r="C11" s="972"/>
      <c r="D11" s="1457">
        <f t="shared" si="0"/>
        <v>0</v>
      </c>
      <c r="E11" s="1457">
        <f>F21A!G9</f>
        <v>0</v>
      </c>
      <c r="F11" s="1457">
        <f>F21A!I9</f>
        <v>63.663175772072741</v>
      </c>
      <c r="G11" s="1457">
        <f>F21A!K9</f>
        <v>196.32904038160001</v>
      </c>
    </row>
    <row r="12" spans="1:7">
      <c r="A12" s="295" t="s">
        <v>1372</v>
      </c>
      <c r="B12" s="42"/>
      <c r="C12" s="972"/>
      <c r="D12" s="1457">
        <f t="shared" si="0"/>
        <v>0</v>
      </c>
      <c r="E12" s="1457"/>
      <c r="F12" s="1446"/>
      <c r="G12" s="1446"/>
    </row>
    <row r="13" spans="1:7">
      <c r="A13" s="295" t="s">
        <v>1373</v>
      </c>
      <c r="B13" s="42"/>
      <c r="C13" s="972"/>
      <c r="D13" s="1457">
        <f t="shared" si="0"/>
        <v>187.39</v>
      </c>
      <c r="E13" s="1457">
        <f>F21A!G11</f>
        <v>187.39</v>
      </c>
      <c r="F13" s="1446"/>
      <c r="G13" s="1446"/>
    </row>
    <row r="14" spans="1:7">
      <c r="A14" s="295" t="s">
        <v>1374</v>
      </c>
      <c r="B14" s="42"/>
      <c r="C14" s="972"/>
      <c r="D14" s="1457">
        <f t="shared" si="0"/>
        <v>578.21</v>
      </c>
      <c r="E14" s="1457">
        <f>F21A!G12</f>
        <v>578.21</v>
      </c>
      <c r="F14" s="1446"/>
      <c r="G14" s="1446"/>
    </row>
    <row r="15" spans="1:7">
      <c r="A15" s="295" t="s">
        <v>1558</v>
      </c>
      <c r="B15" s="42"/>
      <c r="C15" s="972"/>
      <c r="D15" s="1457">
        <f t="shared" si="0"/>
        <v>0</v>
      </c>
      <c r="E15" s="1457">
        <f>F21A!G13</f>
        <v>0</v>
      </c>
      <c r="F15" s="1457">
        <f>F21A!I13</f>
        <v>0</v>
      </c>
      <c r="G15" s="1457">
        <f>F21A!K13</f>
        <v>440.024</v>
      </c>
    </row>
    <row r="16" spans="1:7">
      <c r="A16" s="866" t="s">
        <v>1555</v>
      </c>
      <c r="B16" s="42"/>
      <c r="C16" s="972"/>
      <c r="D16" s="1457">
        <f t="shared" si="0"/>
        <v>214.87883289999999</v>
      </c>
      <c r="E16" s="1457">
        <f>F21A!G14</f>
        <v>214.87883289999999</v>
      </c>
      <c r="F16" s="1457">
        <f>F21A!I17</f>
        <v>227.80007375087627</v>
      </c>
      <c r="G16" s="1457">
        <f>F21A!K17</f>
        <v>240.6287228059312</v>
      </c>
    </row>
    <row r="17" spans="1:7">
      <c r="A17" s="866" t="s">
        <v>1556</v>
      </c>
      <c r="B17" s="42"/>
      <c r="C17" s="972"/>
      <c r="D17" s="1457">
        <f t="shared" si="0"/>
        <v>168.1615482</v>
      </c>
      <c r="E17" s="1457">
        <f>F21A!G15</f>
        <v>168.1615482</v>
      </c>
      <c r="F17" s="1457">
        <f>F21A!I18</f>
        <v>153.37819697599551</v>
      </c>
      <c r="G17" s="1457">
        <f>F21A!K18</f>
        <v>157.6171870822715</v>
      </c>
    </row>
    <row r="18" spans="1:7">
      <c r="A18" s="42"/>
      <c r="B18" s="42"/>
      <c r="C18" s="972"/>
      <c r="D18" s="1446"/>
      <c r="E18" s="1446"/>
      <c r="F18" s="1446"/>
      <c r="G18" s="1446"/>
    </row>
    <row r="19" spans="1:7">
      <c r="A19" s="42"/>
      <c r="B19" s="42"/>
      <c r="C19" s="972"/>
      <c r="D19" s="1446"/>
      <c r="E19" s="1446"/>
      <c r="F19" s="1446"/>
      <c r="G19" s="1446"/>
    </row>
    <row r="20" spans="1:7">
      <c r="A20" s="42"/>
      <c r="B20" s="42"/>
      <c r="C20" s="972"/>
      <c r="D20" s="1446"/>
      <c r="E20" s="1446"/>
      <c r="F20" s="1446"/>
      <c r="G20" s="1446"/>
    </row>
    <row r="21" spans="1:7">
      <c r="A21" s="42"/>
      <c r="B21" s="42"/>
      <c r="C21" s="972"/>
      <c r="D21" s="1446"/>
      <c r="E21" s="1446"/>
      <c r="F21" s="1446"/>
      <c r="G21" s="1446"/>
    </row>
    <row r="22" spans="1:7">
      <c r="A22" s="42" t="s">
        <v>22</v>
      </c>
      <c r="B22" s="42"/>
      <c r="C22" s="972"/>
      <c r="D22" s="1458">
        <f>'F21'!F10</f>
        <v>2350.6940706999999</v>
      </c>
      <c r="E22" s="1458">
        <f>D22</f>
        <v>2350.6940706999999</v>
      </c>
      <c r="F22" s="1458">
        <f t="shared" ref="F22:G22" si="1">SUM(F8:F21)</f>
        <v>1520.3853750325181</v>
      </c>
      <c r="G22" s="1458">
        <f t="shared" si="1"/>
        <v>1727.8032128531904</v>
      </c>
    </row>
    <row r="23" spans="1:7">
      <c r="A23" s="24" t="s">
        <v>444</v>
      </c>
      <c r="B23" s="24"/>
      <c r="C23" s="1356"/>
      <c r="D23" s="1356"/>
      <c r="E23" s="1356"/>
      <c r="F23" s="1356"/>
      <c r="G23" s="1356"/>
    </row>
    <row r="24" spans="1:7">
      <c r="A24" s="24" t="s">
        <v>439</v>
      </c>
      <c r="B24" s="24"/>
    </row>
    <row r="25" spans="1:7">
      <c r="A25" s="4" t="s">
        <v>449</v>
      </c>
      <c r="B25" s="24"/>
    </row>
    <row r="26" spans="1:7">
      <c r="A26" s="4" t="s">
        <v>450</v>
      </c>
    </row>
    <row r="27" spans="1:7">
      <c r="A27" s="4" t="s">
        <v>446</v>
      </c>
      <c r="E27" s="2"/>
      <c r="F27" s="2"/>
      <c r="G27" s="2"/>
    </row>
    <row r="28" spans="1:7">
      <c r="A28" s="4" t="s">
        <v>447</v>
      </c>
    </row>
    <row r="29" spans="1:7">
      <c r="A29" s="4" t="s">
        <v>448</v>
      </c>
    </row>
    <row r="30" spans="1:7">
      <c r="A30" s="4" t="s">
        <v>451</v>
      </c>
    </row>
    <row r="31" spans="1:7">
      <c r="A31" s="4" t="s">
        <v>452</v>
      </c>
    </row>
    <row r="32" spans="1:7">
      <c r="A32" s="4" t="s">
        <v>453</v>
      </c>
    </row>
    <row r="33" spans="1:1">
      <c r="A33" s="4" t="s">
        <v>454</v>
      </c>
    </row>
  </sheetData>
  <mergeCells count="9">
    <mergeCell ref="A1:B1"/>
    <mergeCell ref="A6:A7"/>
    <mergeCell ref="B6:B7"/>
    <mergeCell ref="C6:C7"/>
    <mergeCell ref="D6:E6"/>
    <mergeCell ref="A2:G2"/>
    <mergeCell ref="A5:C5"/>
    <mergeCell ref="D5:E5"/>
    <mergeCell ref="F3:G3"/>
  </mergeCells>
  <dataValidations disablePrompts="1" count="1">
    <dataValidation type="list" allowBlank="1" showInputMessage="1" showErrorMessage="1" sqref="C8:C22 WVB983045:WVB983059 WLF983045:WLF983059 WBJ983045:WBJ983059 VRN983045:VRN983059 VHR983045:VHR983059 UXV983045:UXV983059 UNZ983045:UNZ983059 UED983045:UED983059 TUH983045:TUH983059 TKL983045:TKL983059 TAP983045:TAP983059 SQT983045:SQT983059 SGX983045:SGX983059 RXB983045:RXB983059 RNF983045:RNF983059 RDJ983045:RDJ983059 QTN983045:QTN983059 QJR983045:QJR983059 PZV983045:PZV983059 PPZ983045:PPZ983059 PGD983045:PGD983059 OWH983045:OWH983059 OML983045:OML983059 OCP983045:OCP983059 NST983045:NST983059 NIX983045:NIX983059 MZB983045:MZB983059 MPF983045:MPF983059 MFJ983045:MFJ983059 LVN983045:LVN983059 LLR983045:LLR983059 LBV983045:LBV983059 KRZ983045:KRZ983059 KID983045:KID983059 JYH983045:JYH983059 JOL983045:JOL983059 JEP983045:JEP983059 IUT983045:IUT983059 IKX983045:IKX983059 IBB983045:IBB983059 HRF983045:HRF983059 HHJ983045:HHJ983059 GXN983045:GXN983059 GNR983045:GNR983059 GDV983045:GDV983059 FTZ983045:FTZ983059 FKD983045:FKD983059 FAH983045:FAH983059 EQL983045:EQL983059 EGP983045:EGP983059 DWT983045:DWT983059 DMX983045:DMX983059 DDB983045:DDB983059 CTF983045:CTF983059 CJJ983045:CJJ983059 BZN983045:BZN983059 BPR983045:BPR983059 BFV983045:BFV983059 AVZ983045:AVZ983059 AMD983045:AMD983059 ACH983045:ACH983059 SL983045:SL983059 IP983045:IP983059 C983045:C983059 WVB917509:WVB917523 WLF917509:WLF917523 WBJ917509:WBJ917523 VRN917509:VRN917523 VHR917509:VHR917523 UXV917509:UXV917523 UNZ917509:UNZ917523 UED917509:UED917523 TUH917509:TUH917523 TKL917509:TKL917523 TAP917509:TAP917523 SQT917509:SQT917523 SGX917509:SGX917523 RXB917509:RXB917523 RNF917509:RNF917523 RDJ917509:RDJ917523 QTN917509:QTN917523 QJR917509:QJR917523 PZV917509:PZV917523 PPZ917509:PPZ917523 PGD917509:PGD917523 OWH917509:OWH917523 OML917509:OML917523 OCP917509:OCP917523 NST917509:NST917523 NIX917509:NIX917523 MZB917509:MZB917523 MPF917509:MPF917523 MFJ917509:MFJ917523 LVN917509:LVN917523 LLR917509:LLR917523 LBV917509:LBV917523 KRZ917509:KRZ917523 KID917509:KID917523 JYH917509:JYH917523 JOL917509:JOL917523 JEP917509:JEP917523 IUT917509:IUT917523 IKX917509:IKX917523 IBB917509:IBB917523 HRF917509:HRF917523 HHJ917509:HHJ917523 GXN917509:GXN917523 GNR917509:GNR917523 GDV917509:GDV917523 FTZ917509:FTZ917523 FKD917509:FKD917523 FAH917509:FAH917523 EQL917509:EQL917523 EGP917509:EGP917523 DWT917509:DWT917523 DMX917509:DMX917523 DDB917509:DDB917523 CTF917509:CTF917523 CJJ917509:CJJ917523 BZN917509:BZN917523 BPR917509:BPR917523 BFV917509:BFV917523 AVZ917509:AVZ917523 AMD917509:AMD917523 ACH917509:ACH917523 SL917509:SL917523 IP917509:IP917523 C917509:C917523 WVB851973:WVB851987 WLF851973:WLF851987 WBJ851973:WBJ851987 VRN851973:VRN851987 VHR851973:VHR851987 UXV851973:UXV851987 UNZ851973:UNZ851987 UED851973:UED851987 TUH851973:TUH851987 TKL851973:TKL851987 TAP851973:TAP851987 SQT851973:SQT851987 SGX851973:SGX851987 RXB851973:RXB851987 RNF851973:RNF851987 RDJ851973:RDJ851987 QTN851973:QTN851987 QJR851973:QJR851987 PZV851973:PZV851987 PPZ851973:PPZ851987 PGD851973:PGD851987 OWH851973:OWH851987 OML851973:OML851987 OCP851973:OCP851987 NST851973:NST851987 NIX851973:NIX851987 MZB851973:MZB851987 MPF851973:MPF851987 MFJ851973:MFJ851987 LVN851973:LVN851987 LLR851973:LLR851987 LBV851973:LBV851987 KRZ851973:KRZ851987 KID851973:KID851987 JYH851973:JYH851987 JOL851973:JOL851987 JEP851973:JEP851987 IUT851973:IUT851987 IKX851973:IKX851987 IBB851973:IBB851987 HRF851973:HRF851987 HHJ851973:HHJ851987 GXN851973:GXN851987 GNR851973:GNR851987 GDV851973:GDV851987 FTZ851973:FTZ851987 FKD851973:FKD851987 FAH851973:FAH851987 EQL851973:EQL851987 EGP851973:EGP851987 DWT851973:DWT851987 DMX851973:DMX851987 DDB851973:DDB851987 CTF851973:CTF851987 CJJ851973:CJJ851987 BZN851973:BZN851987 BPR851973:BPR851987 BFV851973:BFV851987 AVZ851973:AVZ851987 AMD851973:AMD851987 ACH851973:ACH851987 SL851973:SL851987 IP851973:IP851987 C851973:C851987 WVB786437:WVB786451 WLF786437:WLF786451 WBJ786437:WBJ786451 VRN786437:VRN786451 VHR786437:VHR786451 UXV786437:UXV786451 UNZ786437:UNZ786451 UED786437:UED786451 TUH786437:TUH786451 TKL786437:TKL786451 TAP786437:TAP786451 SQT786437:SQT786451 SGX786437:SGX786451 RXB786437:RXB786451 RNF786437:RNF786451 RDJ786437:RDJ786451 QTN786437:QTN786451 QJR786437:QJR786451 PZV786437:PZV786451 PPZ786437:PPZ786451 PGD786437:PGD786451 OWH786437:OWH786451 OML786437:OML786451 OCP786437:OCP786451 NST786437:NST786451 NIX786437:NIX786451 MZB786437:MZB786451 MPF786437:MPF786451 MFJ786437:MFJ786451 LVN786437:LVN786451 LLR786437:LLR786451 LBV786437:LBV786451 KRZ786437:KRZ786451 KID786437:KID786451 JYH786437:JYH786451 JOL786437:JOL786451 JEP786437:JEP786451 IUT786437:IUT786451 IKX786437:IKX786451 IBB786437:IBB786451 HRF786437:HRF786451 HHJ786437:HHJ786451 GXN786437:GXN786451 GNR786437:GNR786451 GDV786437:GDV786451 FTZ786437:FTZ786451 FKD786437:FKD786451 FAH786437:FAH786451 EQL786437:EQL786451 EGP786437:EGP786451 DWT786437:DWT786451 DMX786437:DMX786451 DDB786437:DDB786451 CTF786437:CTF786451 CJJ786437:CJJ786451 BZN786437:BZN786451 BPR786437:BPR786451 BFV786437:BFV786451 AVZ786437:AVZ786451 AMD786437:AMD786451 ACH786437:ACH786451 SL786437:SL786451 IP786437:IP786451 C786437:C786451 WVB720901:WVB720915 WLF720901:WLF720915 WBJ720901:WBJ720915 VRN720901:VRN720915 VHR720901:VHR720915 UXV720901:UXV720915 UNZ720901:UNZ720915 UED720901:UED720915 TUH720901:TUH720915 TKL720901:TKL720915 TAP720901:TAP720915 SQT720901:SQT720915 SGX720901:SGX720915 RXB720901:RXB720915 RNF720901:RNF720915 RDJ720901:RDJ720915 QTN720901:QTN720915 QJR720901:QJR720915 PZV720901:PZV720915 PPZ720901:PPZ720915 PGD720901:PGD720915 OWH720901:OWH720915 OML720901:OML720915 OCP720901:OCP720915 NST720901:NST720915 NIX720901:NIX720915 MZB720901:MZB720915 MPF720901:MPF720915 MFJ720901:MFJ720915 LVN720901:LVN720915 LLR720901:LLR720915 LBV720901:LBV720915 KRZ720901:KRZ720915 KID720901:KID720915 JYH720901:JYH720915 JOL720901:JOL720915 JEP720901:JEP720915 IUT720901:IUT720915 IKX720901:IKX720915 IBB720901:IBB720915 HRF720901:HRF720915 HHJ720901:HHJ720915 GXN720901:GXN720915 GNR720901:GNR720915 GDV720901:GDV720915 FTZ720901:FTZ720915 FKD720901:FKD720915 FAH720901:FAH720915 EQL720901:EQL720915 EGP720901:EGP720915 DWT720901:DWT720915 DMX720901:DMX720915 DDB720901:DDB720915 CTF720901:CTF720915 CJJ720901:CJJ720915 BZN720901:BZN720915 BPR720901:BPR720915 BFV720901:BFV720915 AVZ720901:AVZ720915 AMD720901:AMD720915 ACH720901:ACH720915 SL720901:SL720915 IP720901:IP720915 C720901:C720915 WVB655365:WVB655379 WLF655365:WLF655379 WBJ655365:WBJ655379 VRN655365:VRN655379 VHR655365:VHR655379 UXV655365:UXV655379 UNZ655365:UNZ655379 UED655365:UED655379 TUH655365:TUH655379 TKL655365:TKL655379 TAP655365:TAP655379 SQT655365:SQT655379 SGX655365:SGX655379 RXB655365:RXB655379 RNF655365:RNF655379 RDJ655365:RDJ655379 QTN655365:QTN655379 QJR655365:QJR655379 PZV655365:PZV655379 PPZ655365:PPZ655379 PGD655365:PGD655379 OWH655365:OWH655379 OML655365:OML655379 OCP655365:OCP655379 NST655365:NST655379 NIX655365:NIX655379 MZB655365:MZB655379 MPF655365:MPF655379 MFJ655365:MFJ655379 LVN655365:LVN655379 LLR655365:LLR655379 LBV655365:LBV655379 KRZ655365:KRZ655379 KID655365:KID655379 JYH655365:JYH655379 JOL655365:JOL655379 JEP655365:JEP655379 IUT655365:IUT655379 IKX655365:IKX655379 IBB655365:IBB655379 HRF655365:HRF655379 HHJ655365:HHJ655379 GXN655365:GXN655379 GNR655365:GNR655379 GDV655365:GDV655379 FTZ655365:FTZ655379 FKD655365:FKD655379 FAH655365:FAH655379 EQL655365:EQL655379 EGP655365:EGP655379 DWT655365:DWT655379 DMX655365:DMX655379 DDB655365:DDB655379 CTF655365:CTF655379 CJJ655365:CJJ655379 BZN655365:BZN655379 BPR655365:BPR655379 BFV655365:BFV655379 AVZ655365:AVZ655379 AMD655365:AMD655379 ACH655365:ACH655379 SL655365:SL655379 IP655365:IP655379 C655365:C655379 WVB589829:WVB589843 WLF589829:WLF589843 WBJ589829:WBJ589843 VRN589829:VRN589843 VHR589829:VHR589843 UXV589829:UXV589843 UNZ589829:UNZ589843 UED589829:UED589843 TUH589829:TUH589843 TKL589829:TKL589843 TAP589829:TAP589843 SQT589829:SQT589843 SGX589829:SGX589843 RXB589829:RXB589843 RNF589829:RNF589843 RDJ589829:RDJ589843 QTN589829:QTN589843 QJR589829:QJR589843 PZV589829:PZV589843 PPZ589829:PPZ589843 PGD589829:PGD589843 OWH589829:OWH589843 OML589829:OML589843 OCP589829:OCP589843 NST589829:NST589843 NIX589829:NIX589843 MZB589829:MZB589843 MPF589829:MPF589843 MFJ589829:MFJ589843 LVN589829:LVN589843 LLR589829:LLR589843 LBV589829:LBV589843 KRZ589829:KRZ589843 KID589829:KID589843 JYH589829:JYH589843 JOL589829:JOL589843 JEP589829:JEP589843 IUT589829:IUT589843 IKX589829:IKX589843 IBB589829:IBB589843 HRF589829:HRF589843 HHJ589829:HHJ589843 GXN589829:GXN589843 GNR589829:GNR589843 GDV589829:GDV589843 FTZ589829:FTZ589843 FKD589829:FKD589843 FAH589829:FAH589843 EQL589829:EQL589843 EGP589829:EGP589843 DWT589829:DWT589843 DMX589829:DMX589843 DDB589829:DDB589843 CTF589829:CTF589843 CJJ589829:CJJ589843 BZN589829:BZN589843 BPR589829:BPR589843 BFV589829:BFV589843 AVZ589829:AVZ589843 AMD589829:AMD589843 ACH589829:ACH589843 SL589829:SL589843 IP589829:IP589843 C589829:C589843 WVB524293:WVB524307 WLF524293:WLF524307 WBJ524293:WBJ524307 VRN524293:VRN524307 VHR524293:VHR524307 UXV524293:UXV524307 UNZ524293:UNZ524307 UED524293:UED524307 TUH524293:TUH524307 TKL524293:TKL524307 TAP524293:TAP524307 SQT524293:SQT524307 SGX524293:SGX524307 RXB524293:RXB524307 RNF524293:RNF524307 RDJ524293:RDJ524307 QTN524293:QTN524307 QJR524293:QJR524307 PZV524293:PZV524307 PPZ524293:PPZ524307 PGD524293:PGD524307 OWH524293:OWH524307 OML524293:OML524307 OCP524293:OCP524307 NST524293:NST524307 NIX524293:NIX524307 MZB524293:MZB524307 MPF524293:MPF524307 MFJ524293:MFJ524307 LVN524293:LVN524307 LLR524293:LLR524307 LBV524293:LBV524307 KRZ524293:KRZ524307 KID524293:KID524307 JYH524293:JYH524307 JOL524293:JOL524307 JEP524293:JEP524307 IUT524293:IUT524307 IKX524293:IKX524307 IBB524293:IBB524307 HRF524293:HRF524307 HHJ524293:HHJ524307 GXN524293:GXN524307 GNR524293:GNR524307 GDV524293:GDV524307 FTZ524293:FTZ524307 FKD524293:FKD524307 FAH524293:FAH524307 EQL524293:EQL524307 EGP524293:EGP524307 DWT524293:DWT524307 DMX524293:DMX524307 DDB524293:DDB524307 CTF524293:CTF524307 CJJ524293:CJJ524307 BZN524293:BZN524307 BPR524293:BPR524307 BFV524293:BFV524307 AVZ524293:AVZ524307 AMD524293:AMD524307 ACH524293:ACH524307 SL524293:SL524307 IP524293:IP524307 C524293:C524307 WVB458757:WVB458771 WLF458757:WLF458771 WBJ458757:WBJ458771 VRN458757:VRN458771 VHR458757:VHR458771 UXV458757:UXV458771 UNZ458757:UNZ458771 UED458757:UED458771 TUH458757:TUH458771 TKL458757:TKL458771 TAP458757:TAP458771 SQT458757:SQT458771 SGX458757:SGX458771 RXB458757:RXB458771 RNF458757:RNF458771 RDJ458757:RDJ458771 QTN458757:QTN458771 QJR458757:QJR458771 PZV458757:PZV458771 PPZ458757:PPZ458771 PGD458757:PGD458771 OWH458757:OWH458771 OML458757:OML458771 OCP458757:OCP458771 NST458757:NST458771 NIX458757:NIX458771 MZB458757:MZB458771 MPF458757:MPF458771 MFJ458757:MFJ458771 LVN458757:LVN458771 LLR458757:LLR458771 LBV458757:LBV458771 KRZ458757:KRZ458771 KID458757:KID458771 JYH458757:JYH458771 JOL458757:JOL458771 JEP458757:JEP458771 IUT458757:IUT458771 IKX458757:IKX458771 IBB458757:IBB458771 HRF458757:HRF458771 HHJ458757:HHJ458771 GXN458757:GXN458771 GNR458757:GNR458771 GDV458757:GDV458771 FTZ458757:FTZ458771 FKD458757:FKD458771 FAH458757:FAH458771 EQL458757:EQL458771 EGP458757:EGP458771 DWT458757:DWT458771 DMX458757:DMX458771 DDB458757:DDB458771 CTF458757:CTF458771 CJJ458757:CJJ458771 BZN458757:BZN458771 BPR458757:BPR458771 BFV458757:BFV458771 AVZ458757:AVZ458771 AMD458757:AMD458771 ACH458757:ACH458771 SL458757:SL458771 IP458757:IP458771 C458757:C458771 WVB393221:WVB393235 WLF393221:WLF393235 WBJ393221:WBJ393235 VRN393221:VRN393235 VHR393221:VHR393235 UXV393221:UXV393235 UNZ393221:UNZ393235 UED393221:UED393235 TUH393221:TUH393235 TKL393221:TKL393235 TAP393221:TAP393235 SQT393221:SQT393235 SGX393221:SGX393235 RXB393221:RXB393235 RNF393221:RNF393235 RDJ393221:RDJ393235 QTN393221:QTN393235 QJR393221:QJR393235 PZV393221:PZV393235 PPZ393221:PPZ393235 PGD393221:PGD393235 OWH393221:OWH393235 OML393221:OML393235 OCP393221:OCP393235 NST393221:NST393235 NIX393221:NIX393235 MZB393221:MZB393235 MPF393221:MPF393235 MFJ393221:MFJ393235 LVN393221:LVN393235 LLR393221:LLR393235 LBV393221:LBV393235 KRZ393221:KRZ393235 KID393221:KID393235 JYH393221:JYH393235 JOL393221:JOL393235 JEP393221:JEP393235 IUT393221:IUT393235 IKX393221:IKX393235 IBB393221:IBB393235 HRF393221:HRF393235 HHJ393221:HHJ393235 GXN393221:GXN393235 GNR393221:GNR393235 GDV393221:GDV393235 FTZ393221:FTZ393235 FKD393221:FKD393235 FAH393221:FAH393235 EQL393221:EQL393235 EGP393221:EGP393235 DWT393221:DWT393235 DMX393221:DMX393235 DDB393221:DDB393235 CTF393221:CTF393235 CJJ393221:CJJ393235 BZN393221:BZN393235 BPR393221:BPR393235 BFV393221:BFV393235 AVZ393221:AVZ393235 AMD393221:AMD393235 ACH393221:ACH393235 SL393221:SL393235 IP393221:IP393235 C393221:C393235 WVB327685:WVB327699 WLF327685:WLF327699 WBJ327685:WBJ327699 VRN327685:VRN327699 VHR327685:VHR327699 UXV327685:UXV327699 UNZ327685:UNZ327699 UED327685:UED327699 TUH327685:TUH327699 TKL327685:TKL327699 TAP327685:TAP327699 SQT327685:SQT327699 SGX327685:SGX327699 RXB327685:RXB327699 RNF327685:RNF327699 RDJ327685:RDJ327699 QTN327685:QTN327699 QJR327685:QJR327699 PZV327685:PZV327699 PPZ327685:PPZ327699 PGD327685:PGD327699 OWH327685:OWH327699 OML327685:OML327699 OCP327685:OCP327699 NST327685:NST327699 NIX327685:NIX327699 MZB327685:MZB327699 MPF327685:MPF327699 MFJ327685:MFJ327699 LVN327685:LVN327699 LLR327685:LLR327699 LBV327685:LBV327699 KRZ327685:KRZ327699 KID327685:KID327699 JYH327685:JYH327699 JOL327685:JOL327699 JEP327685:JEP327699 IUT327685:IUT327699 IKX327685:IKX327699 IBB327685:IBB327699 HRF327685:HRF327699 HHJ327685:HHJ327699 GXN327685:GXN327699 GNR327685:GNR327699 GDV327685:GDV327699 FTZ327685:FTZ327699 FKD327685:FKD327699 FAH327685:FAH327699 EQL327685:EQL327699 EGP327685:EGP327699 DWT327685:DWT327699 DMX327685:DMX327699 DDB327685:DDB327699 CTF327685:CTF327699 CJJ327685:CJJ327699 BZN327685:BZN327699 BPR327685:BPR327699 BFV327685:BFV327699 AVZ327685:AVZ327699 AMD327685:AMD327699 ACH327685:ACH327699 SL327685:SL327699 IP327685:IP327699 C327685:C327699 WVB262149:WVB262163 WLF262149:WLF262163 WBJ262149:WBJ262163 VRN262149:VRN262163 VHR262149:VHR262163 UXV262149:UXV262163 UNZ262149:UNZ262163 UED262149:UED262163 TUH262149:TUH262163 TKL262149:TKL262163 TAP262149:TAP262163 SQT262149:SQT262163 SGX262149:SGX262163 RXB262149:RXB262163 RNF262149:RNF262163 RDJ262149:RDJ262163 QTN262149:QTN262163 QJR262149:QJR262163 PZV262149:PZV262163 PPZ262149:PPZ262163 PGD262149:PGD262163 OWH262149:OWH262163 OML262149:OML262163 OCP262149:OCP262163 NST262149:NST262163 NIX262149:NIX262163 MZB262149:MZB262163 MPF262149:MPF262163 MFJ262149:MFJ262163 LVN262149:LVN262163 LLR262149:LLR262163 LBV262149:LBV262163 KRZ262149:KRZ262163 KID262149:KID262163 JYH262149:JYH262163 JOL262149:JOL262163 JEP262149:JEP262163 IUT262149:IUT262163 IKX262149:IKX262163 IBB262149:IBB262163 HRF262149:HRF262163 HHJ262149:HHJ262163 GXN262149:GXN262163 GNR262149:GNR262163 GDV262149:GDV262163 FTZ262149:FTZ262163 FKD262149:FKD262163 FAH262149:FAH262163 EQL262149:EQL262163 EGP262149:EGP262163 DWT262149:DWT262163 DMX262149:DMX262163 DDB262149:DDB262163 CTF262149:CTF262163 CJJ262149:CJJ262163 BZN262149:BZN262163 BPR262149:BPR262163 BFV262149:BFV262163 AVZ262149:AVZ262163 AMD262149:AMD262163 ACH262149:ACH262163 SL262149:SL262163 IP262149:IP262163 C262149:C262163 WVB196613:WVB196627 WLF196613:WLF196627 WBJ196613:WBJ196627 VRN196613:VRN196627 VHR196613:VHR196627 UXV196613:UXV196627 UNZ196613:UNZ196627 UED196613:UED196627 TUH196613:TUH196627 TKL196613:TKL196627 TAP196613:TAP196627 SQT196613:SQT196627 SGX196613:SGX196627 RXB196613:RXB196627 RNF196613:RNF196627 RDJ196613:RDJ196627 QTN196613:QTN196627 QJR196613:QJR196627 PZV196613:PZV196627 PPZ196613:PPZ196627 PGD196613:PGD196627 OWH196613:OWH196627 OML196613:OML196627 OCP196613:OCP196627 NST196613:NST196627 NIX196613:NIX196627 MZB196613:MZB196627 MPF196613:MPF196627 MFJ196613:MFJ196627 LVN196613:LVN196627 LLR196613:LLR196627 LBV196613:LBV196627 KRZ196613:KRZ196627 KID196613:KID196627 JYH196613:JYH196627 JOL196613:JOL196627 JEP196613:JEP196627 IUT196613:IUT196627 IKX196613:IKX196627 IBB196613:IBB196627 HRF196613:HRF196627 HHJ196613:HHJ196627 GXN196613:GXN196627 GNR196613:GNR196627 GDV196613:GDV196627 FTZ196613:FTZ196627 FKD196613:FKD196627 FAH196613:FAH196627 EQL196613:EQL196627 EGP196613:EGP196627 DWT196613:DWT196627 DMX196613:DMX196627 DDB196613:DDB196627 CTF196613:CTF196627 CJJ196613:CJJ196627 BZN196613:BZN196627 BPR196613:BPR196627 BFV196613:BFV196627 AVZ196613:AVZ196627 AMD196613:AMD196627 ACH196613:ACH196627 SL196613:SL196627 IP196613:IP196627 C196613:C196627 WVB131077:WVB131091 WLF131077:WLF131091 WBJ131077:WBJ131091 VRN131077:VRN131091 VHR131077:VHR131091 UXV131077:UXV131091 UNZ131077:UNZ131091 UED131077:UED131091 TUH131077:TUH131091 TKL131077:TKL131091 TAP131077:TAP131091 SQT131077:SQT131091 SGX131077:SGX131091 RXB131077:RXB131091 RNF131077:RNF131091 RDJ131077:RDJ131091 QTN131077:QTN131091 QJR131077:QJR131091 PZV131077:PZV131091 PPZ131077:PPZ131091 PGD131077:PGD131091 OWH131077:OWH131091 OML131077:OML131091 OCP131077:OCP131091 NST131077:NST131091 NIX131077:NIX131091 MZB131077:MZB131091 MPF131077:MPF131091 MFJ131077:MFJ131091 LVN131077:LVN131091 LLR131077:LLR131091 LBV131077:LBV131091 KRZ131077:KRZ131091 KID131077:KID131091 JYH131077:JYH131091 JOL131077:JOL131091 JEP131077:JEP131091 IUT131077:IUT131091 IKX131077:IKX131091 IBB131077:IBB131091 HRF131077:HRF131091 HHJ131077:HHJ131091 GXN131077:GXN131091 GNR131077:GNR131091 GDV131077:GDV131091 FTZ131077:FTZ131091 FKD131077:FKD131091 FAH131077:FAH131091 EQL131077:EQL131091 EGP131077:EGP131091 DWT131077:DWT131091 DMX131077:DMX131091 DDB131077:DDB131091 CTF131077:CTF131091 CJJ131077:CJJ131091 BZN131077:BZN131091 BPR131077:BPR131091 BFV131077:BFV131091 AVZ131077:AVZ131091 AMD131077:AMD131091 ACH131077:ACH131091 SL131077:SL131091 IP131077:IP131091 C131077:C131091 WVB65541:WVB65555 WLF65541:WLF65555 WBJ65541:WBJ65555 VRN65541:VRN65555 VHR65541:VHR65555 UXV65541:UXV65555 UNZ65541:UNZ65555 UED65541:UED65555 TUH65541:TUH65555 TKL65541:TKL65555 TAP65541:TAP65555 SQT65541:SQT65555 SGX65541:SGX65555 RXB65541:RXB65555 RNF65541:RNF65555 RDJ65541:RDJ65555 QTN65541:QTN65555 QJR65541:QJR65555 PZV65541:PZV65555 PPZ65541:PPZ65555 PGD65541:PGD65555 OWH65541:OWH65555 OML65541:OML65555 OCP65541:OCP65555 NST65541:NST65555 NIX65541:NIX65555 MZB65541:MZB65555 MPF65541:MPF65555 MFJ65541:MFJ65555 LVN65541:LVN65555 LLR65541:LLR65555 LBV65541:LBV65555 KRZ65541:KRZ65555 KID65541:KID65555 JYH65541:JYH65555 JOL65541:JOL65555 JEP65541:JEP65555 IUT65541:IUT65555 IKX65541:IKX65555 IBB65541:IBB65555 HRF65541:HRF65555 HHJ65541:HHJ65555 GXN65541:GXN65555 GNR65541:GNR65555 GDV65541:GDV65555 FTZ65541:FTZ65555 FKD65541:FKD65555 FAH65541:FAH65555 EQL65541:EQL65555 EGP65541:EGP65555 DWT65541:DWT65555 DMX65541:DMX65555 DDB65541:DDB65555 CTF65541:CTF65555 CJJ65541:CJJ65555 BZN65541:BZN65555 BPR65541:BPR65555 BFV65541:BFV65555 AVZ65541:AVZ65555 AMD65541:AMD65555 ACH65541:ACH65555 SL65541:SL65555 IP65541:IP65555 C65541:C65555 WVB8:WVB22 WLF8:WLF22 WBJ8:WBJ22 VRN8:VRN22 VHR8:VHR22 UXV8:UXV22 UNZ8:UNZ22 UED8:UED22 TUH8:TUH22 TKL8:TKL22 TAP8:TAP22 SQT8:SQT22 SGX8:SGX22 RXB8:RXB22 RNF8:RNF22 RDJ8:RDJ22 QTN8:QTN22 QJR8:QJR22 PZV8:PZV22 PPZ8:PPZ22 PGD8:PGD22 OWH8:OWH22 OML8:OML22 OCP8:OCP22 NST8:NST22 NIX8:NIX22 MZB8:MZB22 MPF8:MPF22 MFJ8:MFJ22 LVN8:LVN22 LLR8:LLR22 LBV8:LBV22 KRZ8:KRZ22 KID8:KID22 JYH8:JYH22 JOL8:JOL22 JEP8:JEP22 IUT8:IUT22 IKX8:IKX22 IBB8:IBB22 HRF8:HRF22 HHJ8:HHJ22 GXN8:GXN22 GNR8:GNR22 GDV8:GDV22 FTZ8:FTZ22 FKD8:FKD22 FAH8:FAH22 EQL8:EQL22 EGP8:EGP22 DWT8:DWT22 DMX8:DMX22 DDB8:DDB22 CTF8:CTF22 CJJ8:CJJ22 BZN8:BZN22 BPR8:BPR22 BFV8:BFV22 AVZ8:AVZ22 AMD8:AMD22 ACH8:ACH22 SL8:SL22 IP8:IP22">
      <formula1>$C$495:$C$502</formula1>
    </dataValidation>
  </dataValidations>
  <printOptions horizontalCentered="1"/>
  <pageMargins left="0.19685039370078741" right="0.19685039370078741" top="0.19685039370078741" bottom="0.19685039370078741" header="0.19685039370078741" footer="0.19685039370078741"/>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5"/>
  <sheetViews>
    <sheetView view="pageBreakPreview" zoomScale="110" zoomScaleNormal="100" zoomScaleSheetLayoutView="110" workbookViewId="0">
      <selection activeCell="C105" sqref="C105"/>
    </sheetView>
  </sheetViews>
  <sheetFormatPr defaultRowHeight="14.5"/>
  <sheetData>
    <row r="1" spans="1:5">
      <c r="A1" s="2991" t="s">
        <v>485</v>
      </c>
      <c r="B1" s="2991"/>
      <c r="C1" s="1232"/>
      <c r="D1" s="1232"/>
      <c r="E1" s="1232"/>
    </row>
    <row r="2" spans="1:5">
      <c r="A2" s="715" t="s">
        <v>1604</v>
      </c>
      <c r="B2" s="715"/>
      <c r="C2" s="715"/>
      <c r="D2" s="715"/>
      <c r="E2" s="715"/>
    </row>
    <row r="3" spans="1:5">
      <c r="A3" s="304" t="s">
        <v>486</v>
      </c>
      <c r="B3" s="304"/>
      <c r="C3" s="304"/>
      <c r="D3" s="3060"/>
      <c r="E3" s="3060"/>
    </row>
    <row r="4" spans="1:5">
      <c r="A4" s="1230"/>
      <c r="B4" s="1230"/>
      <c r="C4" s="1232"/>
      <c r="D4" s="1230"/>
      <c r="E4" s="1230"/>
    </row>
    <row r="5" spans="1:5">
      <c r="A5" s="3029" t="s">
        <v>427</v>
      </c>
      <c r="B5" s="3029" t="s">
        <v>428</v>
      </c>
      <c r="C5" s="3029" t="s">
        <v>440</v>
      </c>
      <c r="D5" s="2994" t="s">
        <v>445</v>
      </c>
      <c r="E5" s="2994"/>
    </row>
    <row r="6" spans="1:5" ht="43.5">
      <c r="A6" s="3089"/>
      <c r="B6" s="3089"/>
      <c r="C6" s="3089"/>
      <c r="D6" s="1229" t="s">
        <v>441</v>
      </c>
      <c r="E6" s="1229" t="s">
        <v>442</v>
      </c>
    </row>
    <row r="7" spans="1:5">
      <c r="A7" s="3343" t="s">
        <v>545</v>
      </c>
      <c r="B7" s="3344"/>
      <c r="C7" s="3344"/>
      <c r="D7" s="3344"/>
      <c r="E7" s="3345"/>
    </row>
    <row r="8" spans="1:5">
      <c r="A8" s="29"/>
      <c r="B8" s="1228"/>
      <c r="C8" s="1228"/>
      <c r="D8" s="686"/>
      <c r="E8" s="687"/>
    </row>
    <row r="9" spans="1:5">
      <c r="A9" s="29"/>
      <c r="B9" s="1228"/>
      <c r="C9" s="1228"/>
      <c r="D9" s="686"/>
      <c r="E9" s="687"/>
    </row>
    <row r="10" spans="1:5">
      <c r="A10" s="29"/>
      <c r="B10" s="1228"/>
      <c r="C10" s="1228"/>
      <c r="D10" s="686"/>
      <c r="E10" s="687"/>
    </row>
    <row r="11" spans="1:5">
      <c r="A11" s="29"/>
      <c r="B11" s="1228"/>
      <c r="C11" s="1228"/>
      <c r="D11" s="686"/>
      <c r="E11" s="687"/>
    </row>
    <row r="12" spans="1:5">
      <c r="A12" s="29"/>
      <c r="B12" s="1228"/>
      <c r="C12" s="1228"/>
      <c r="D12" s="686"/>
      <c r="E12" s="687"/>
    </row>
    <row r="13" spans="1:5">
      <c r="A13" s="29"/>
      <c r="B13" s="1228"/>
      <c r="C13" s="1228"/>
      <c r="D13" s="686"/>
      <c r="E13" s="687"/>
    </row>
    <row r="14" spans="1:5">
      <c r="A14" s="29"/>
      <c r="B14" s="1228"/>
      <c r="C14" s="1228"/>
      <c r="D14" s="686"/>
      <c r="E14" s="687"/>
    </row>
    <row r="15" spans="1:5">
      <c r="A15" s="29"/>
      <c r="B15" s="1228"/>
      <c r="C15" s="1228"/>
      <c r="D15" s="686"/>
      <c r="E15" s="687"/>
    </row>
    <row r="16" spans="1:5">
      <c r="A16" s="29"/>
      <c r="B16" s="1228"/>
      <c r="C16" s="1228"/>
      <c r="D16" s="686"/>
      <c r="E16" s="687"/>
    </row>
    <row r="17" spans="1:5">
      <c r="A17" s="3343" t="s">
        <v>1582</v>
      </c>
      <c r="B17" s="3344"/>
      <c r="C17" s="3344"/>
      <c r="D17" s="3344"/>
      <c r="E17" s="3345"/>
    </row>
    <row r="18" spans="1:5">
      <c r="A18" s="29"/>
      <c r="B18" s="1228"/>
      <c r="C18" s="1228"/>
      <c r="D18" s="686"/>
      <c r="E18" s="687"/>
    </row>
    <row r="19" spans="1:5">
      <c r="A19" s="29"/>
      <c r="B19" s="1228"/>
      <c r="C19" s="1228"/>
      <c r="D19" s="686"/>
      <c r="E19" s="687"/>
    </row>
    <row r="20" spans="1:5">
      <c r="A20" s="29"/>
      <c r="B20" s="1228"/>
      <c r="C20" s="1228"/>
      <c r="D20" s="686"/>
      <c r="E20" s="687"/>
    </row>
    <row r="21" spans="1:5">
      <c r="A21" s="29"/>
      <c r="B21" s="1228"/>
      <c r="C21" s="1228"/>
      <c r="D21" s="686"/>
      <c r="E21" s="687"/>
    </row>
    <row r="22" spans="1:5">
      <c r="A22" s="29"/>
      <c r="B22" s="1228"/>
      <c r="C22" s="1228"/>
      <c r="D22" s="686"/>
      <c r="E22" s="687"/>
    </row>
    <row r="23" spans="1:5">
      <c r="A23" s="29"/>
      <c r="B23" s="1228"/>
      <c r="C23" s="1228"/>
      <c r="D23" s="686"/>
      <c r="E23" s="687"/>
    </row>
    <row r="24" spans="1:5">
      <c r="A24" s="29"/>
      <c r="B24" s="1228"/>
      <c r="C24" s="1228"/>
      <c r="D24" s="686"/>
      <c r="E24" s="687"/>
    </row>
    <row r="25" spans="1:5">
      <c r="A25" s="29"/>
      <c r="B25" s="1228"/>
      <c r="C25" s="1228"/>
      <c r="D25" s="686"/>
      <c r="E25" s="687"/>
    </row>
    <row r="26" spans="1:5">
      <c r="A26" s="1231" t="s">
        <v>801</v>
      </c>
      <c r="B26" s="1232"/>
      <c r="C26" s="1232"/>
      <c r="D26" s="1232"/>
      <c r="E26" s="1232"/>
    </row>
    <row r="27" spans="1:5">
      <c r="A27" s="1231" t="s">
        <v>439</v>
      </c>
      <c r="B27" s="1232"/>
      <c r="C27" s="1232"/>
      <c r="D27" s="1232"/>
      <c r="E27" s="1232"/>
    </row>
    <row r="28" spans="1:5">
      <c r="A28" s="1232" t="s">
        <v>449</v>
      </c>
      <c r="B28" s="1232"/>
      <c r="C28" s="1232"/>
      <c r="D28" s="1232"/>
      <c r="E28" s="1232"/>
    </row>
    <row r="29" spans="1:5">
      <c r="A29" s="1232" t="s">
        <v>450</v>
      </c>
      <c r="B29" s="1232"/>
      <c r="C29" s="1232"/>
      <c r="D29" s="1232"/>
      <c r="E29" s="1232"/>
    </row>
    <row r="30" spans="1:5">
      <c r="A30" s="1232" t="s">
        <v>446</v>
      </c>
      <c r="B30" s="1232"/>
      <c r="C30" s="1232"/>
      <c r="D30" s="1232"/>
      <c r="E30" s="1232"/>
    </row>
    <row r="31" spans="1:5">
      <c r="A31" s="1232" t="s">
        <v>447</v>
      </c>
      <c r="B31" s="1232"/>
      <c r="C31" s="1232"/>
      <c r="D31" s="1232"/>
      <c r="E31" s="1232"/>
    </row>
    <row r="32" spans="1:5">
      <c r="A32" s="1232" t="s">
        <v>448</v>
      </c>
      <c r="B32" s="1232"/>
      <c r="C32" s="1232"/>
      <c r="D32" s="1232"/>
      <c r="E32" s="1232"/>
    </row>
    <row r="33" spans="1:5">
      <c r="A33" s="1232" t="s">
        <v>451</v>
      </c>
      <c r="B33" s="1232"/>
      <c r="C33" s="1232"/>
      <c r="D33" s="1232"/>
      <c r="E33" s="1232"/>
    </row>
    <row r="34" spans="1:5">
      <c r="A34" s="1232" t="s">
        <v>452</v>
      </c>
      <c r="B34" s="1232"/>
      <c r="C34" s="1232"/>
      <c r="D34" s="1232"/>
      <c r="E34" s="1232"/>
    </row>
    <row r="35" spans="1:5">
      <c r="A35" s="1232" t="s">
        <v>453</v>
      </c>
      <c r="B35" s="1232"/>
      <c r="C35" s="1232"/>
      <c r="D35" s="1232"/>
      <c r="E35" s="1232"/>
    </row>
  </sheetData>
  <mergeCells count="8">
    <mergeCell ref="A7:E7"/>
    <mergeCell ref="A17:E17"/>
    <mergeCell ref="A1:B1"/>
    <mergeCell ref="D3:E3"/>
    <mergeCell ref="A5:A6"/>
    <mergeCell ref="B5:B6"/>
    <mergeCell ref="C5:C6"/>
    <mergeCell ref="D5:E5"/>
  </mergeCells>
  <dataValidations count="1">
    <dataValidation type="list" allowBlank="1" showInputMessage="1" showErrorMessage="1" sqref="C8:C16 C18:C25">
      <formula1>$C$498:$C$505</formula1>
    </dataValidation>
  </dataValidation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view="pageBreakPreview" zoomScale="85" zoomScaleSheetLayoutView="85" workbookViewId="0">
      <selection activeCell="C105" sqref="C105"/>
    </sheetView>
  </sheetViews>
  <sheetFormatPr defaultRowHeight="14.5"/>
  <cols>
    <col min="1" max="1" width="3.26953125" style="23" bestFit="1" customWidth="1"/>
    <col min="2" max="2" width="7.453125" style="23" customWidth="1"/>
    <col min="3" max="3" width="32.54296875" style="82" customWidth="1"/>
    <col min="4" max="8" width="13.1796875" style="23" customWidth="1"/>
    <col min="9" max="9" width="38.7265625" style="23" customWidth="1"/>
    <col min="10" max="248" width="9.1796875" style="23"/>
    <col min="249" max="249" width="2.54296875" style="23" bestFit="1" customWidth="1"/>
    <col min="250" max="250" width="2.1796875" style="23" bestFit="1" customWidth="1"/>
    <col min="251" max="251" width="66.7265625" style="23" bestFit="1" customWidth="1"/>
    <col min="252" max="252" width="11.26953125" style="23" bestFit="1" customWidth="1"/>
    <col min="253" max="253" width="9" style="23" bestFit="1" customWidth="1"/>
    <col min="254" max="504" width="9.1796875" style="23"/>
    <col min="505" max="505" width="2.54296875" style="23" bestFit="1" customWidth="1"/>
    <col min="506" max="506" width="2.1796875" style="23" bestFit="1" customWidth="1"/>
    <col min="507" max="507" width="66.7265625" style="23" bestFit="1" customWidth="1"/>
    <col min="508" max="508" width="11.26953125" style="23" bestFit="1" customWidth="1"/>
    <col min="509" max="509" width="9" style="23" bestFit="1" customWidth="1"/>
    <col min="510" max="760" width="9.1796875" style="23"/>
    <col min="761" max="761" width="2.54296875" style="23" bestFit="1" customWidth="1"/>
    <col min="762" max="762" width="2.1796875" style="23" bestFit="1" customWidth="1"/>
    <col min="763" max="763" width="66.7265625" style="23" bestFit="1" customWidth="1"/>
    <col min="764" max="764" width="11.26953125" style="23" bestFit="1" customWidth="1"/>
    <col min="765" max="765" width="9" style="23" bestFit="1" customWidth="1"/>
    <col min="766" max="1016" width="9.1796875" style="23"/>
    <col min="1017" max="1017" width="2.54296875" style="23" bestFit="1" customWidth="1"/>
    <col min="1018" max="1018" width="2.1796875" style="23" bestFit="1" customWidth="1"/>
    <col min="1019" max="1019" width="66.7265625" style="23" bestFit="1" customWidth="1"/>
    <col min="1020" max="1020" width="11.26953125" style="23" bestFit="1" customWidth="1"/>
    <col min="1021" max="1021" width="9" style="23" bestFit="1" customWidth="1"/>
    <col min="1022" max="1272" width="9.1796875" style="23"/>
    <col min="1273" max="1273" width="2.54296875" style="23" bestFit="1" customWidth="1"/>
    <col min="1274" max="1274" width="2.1796875" style="23" bestFit="1" customWidth="1"/>
    <col min="1275" max="1275" width="66.7265625" style="23" bestFit="1" customWidth="1"/>
    <col min="1276" max="1276" width="11.26953125" style="23" bestFit="1" customWidth="1"/>
    <col min="1277" max="1277" width="9" style="23" bestFit="1" customWidth="1"/>
    <col min="1278" max="1528" width="9.1796875" style="23"/>
    <col min="1529" max="1529" width="2.54296875" style="23" bestFit="1" customWidth="1"/>
    <col min="1530" max="1530" width="2.1796875" style="23" bestFit="1" customWidth="1"/>
    <col min="1531" max="1531" width="66.7265625" style="23" bestFit="1" customWidth="1"/>
    <col min="1532" max="1532" width="11.26953125" style="23" bestFit="1" customWidth="1"/>
    <col min="1533" max="1533" width="9" style="23" bestFit="1" customWidth="1"/>
    <col min="1534" max="1784" width="9.1796875" style="23"/>
    <col min="1785" max="1785" width="2.54296875" style="23" bestFit="1" customWidth="1"/>
    <col min="1786" max="1786" width="2.1796875" style="23" bestFit="1" customWidth="1"/>
    <col min="1787" max="1787" width="66.7265625" style="23" bestFit="1" customWidth="1"/>
    <col min="1788" max="1788" width="11.26953125" style="23" bestFit="1" customWidth="1"/>
    <col min="1789" max="1789" width="9" style="23" bestFit="1" customWidth="1"/>
    <col min="1790" max="2040" width="9.1796875" style="23"/>
    <col min="2041" max="2041" width="2.54296875" style="23" bestFit="1" customWidth="1"/>
    <col min="2042" max="2042" width="2.1796875" style="23" bestFit="1" customWidth="1"/>
    <col min="2043" max="2043" width="66.7265625" style="23" bestFit="1" customWidth="1"/>
    <col min="2044" max="2044" width="11.26953125" style="23" bestFit="1" customWidth="1"/>
    <col min="2045" max="2045" width="9" style="23" bestFit="1" customWidth="1"/>
    <col min="2046" max="2296" width="9.1796875" style="23"/>
    <col min="2297" max="2297" width="2.54296875" style="23" bestFit="1" customWidth="1"/>
    <col min="2298" max="2298" width="2.1796875" style="23" bestFit="1" customWidth="1"/>
    <col min="2299" max="2299" width="66.7265625" style="23" bestFit="1" customWidth="1"/>
    <col min="2300" max="2300" width="11.26953125" style="23" bestFit="1" customWidth="1"/>
    <col min="2301" max="2301" width="9" style="23" bestFit="1" customWidth="1"/>
    <col min="2302" max="2552" width="9.1796875" style="23"/>
    <col min="2553" max="2553" width="2.54296875" style="23" bestFit="1" customWidth="1"/>
    <col min="2554" max="2554" width="2.1796875" style="23" bestFit="1" customWidth="1"/>
    <col min="2555" max="2555" width="66.7265625" style="23" bestFit="1" customWidth="1"/>
    <col min="2556" max="2556" width="11.26953125" style="23" bestFit="1" customWidth="1"/>
    <col min="2557" max="2557" width="9" style="23" bestFit="1" customWidth="1"/>
    <col min="2558" max="2808" width="9.1796875" style="23"/>
    <col min="2809" max="2809" width="2.54296875" style="23" bestFit="1" customWidth="1"/>
    <col min="2810" max="2810" width="2.1796875" style="23" bestFit="1" customWidth="1"/>
    <col min="2811" max="2811" width="66.7265625" style="23" bestFit="1" customWidth="1"/>
    <col min="2812" max="2812" width="11.26953125" style="23" bestFit="1" customWidth="1"/>
    <col min="2813" max="2813" width="9" style="23" bestFit="1" customWidth="1"/>
    <col min="2814" max="3064" width="9.1796875" style="23"/>
    <col min="3065" max="3065" width="2.54296875" style="23" bestFit="1" customWidth="1"/>
    <col min="3066" max="3066" width="2.1796875" style="23" bestFit="1" customWidth="1"/>
    <col min="3067" max="3067" width="66.7265625" style="23" bestFit="1" customWidth="1"/>
    <col min="3068" max="3068" width="11.26953125" style="23" bestFit="1" customWidth="1"/>
    <col min="3069" max="3069" width="9" style="23" bestFit="1" customWidth="1"/>
    <col min="3070" max="3320" width="9.1796875" style="23"/>
    <col min="3321" max="3321" width="2.54296875" style="23" bestFit="1" customWidth="1"/>
    <col min="3322" max="3322" width="2.1796875" style="23" bestFit="1" customWidth="1"/>
    <col min="3323" max="3323" width="66.7265625" style="23" bestFit="1" customWidth="1"/>
    <col min="3324" max="3324" width="11.26953125" style="23" bestFit="1" customWidth="1"/>
    <col min="3325" max="3325" width="9" style="23" bestFit="1" customWidth="1"/>
    <col min="3326" max="3576" width="9.1796875" style="23"/>
    <col min="3577" max="3577" width="2.54296875" style="23" bestFit="1" customWidth="1"/>
    <col min="3578" max="3578" width="2.1796875" style="23" bestFit="1" customWidth="1"/>
    <col min="3579" max="3579" width="66.7265625" style="23" bestFit="1" customWidth="1"/>
    <col min="3580" max="3580" width="11.26953125" style="23" bestFit="1" customWidth="1"/>
    <col min="3581" max="3581" width="9" style="23" bestFit="1" customWidth="1"/>
    <col min="3582" max="3832" width="9.1796875" style="23"/>
    <col min="3833" max="3833" width="2.54296875" style="23" bestFit="1" customWidth="1"/>
    <col min="3834" max="3834" width="2.1796875" style="23" bestFit="1" customWidth="1"/>
    <col min="3835" max="3835" width="66.7265625" style="23" bestFit="1" customWidth="1"/>
    <col min="3836" max="3836" width="11.26953125" style="23" bestFit="1" customWidth="1"/>
    <col min="3837" max="3837" width="9" style="23" bestFit="1" customWidth="1"/>
    <col min="3838" max="4088" width="9.1796875" style="23"/>
    <col min="4089" max="4089" width="2.54296875" style="23" bestFit="1" customWidth="1"/>
    <col min="4090" max="4090" width="2.1796875" style="23" bestFit="1" customWidth="1"/>
    <col min="4091" max="4091" width="66.7265625" style="23" bestFit="1" customWidth="1"/>
    <col min="4092" max="4092" width="11.26953125" style="23" bestFit="1" customWidth="1"/>
    <col min="4093" max="4093" width="9" style="23" bestFit="1" customWidth="1"/>
    <col min="4094" max="4344" width="9.1796875" style="23"/>
    <col min="4345" max="4345" width="2.54296875" style="23" bestFit="1" customWidth="1"/>
    <col min="4346" max="4346" width="2.1796875" style="23" bestFit="1" customWidth="1"/>
    <col min="4347" max="4347" width="66.7265625" style="23" bestFit="1" customWidth="1"/>
    <col min="4348" max="4348" width="11.26953125" style="23" bestFit="1" customWidth="1"/>
    <col min="4349" max="4349" width="9" style="23" bestFit="1" customWidth="1"/>
    <col min="4350" max="4600" width="9.1796875" style="23"/>
    <col min="4601" max="4601" width="2.54296875" style="23" bestFit="1" customWidth="1"/>
    <col min="4602" max="4602" width="2.1796875" style="23" bestFit="1" customWidth="1"/>
    <col min="4603" max="4603" width="66.7265625" style="23" bestFit="1" customWidth="1"/>
    <col min="4604" max="4604" width="11.26953125" style="23" bestFit="1" customWidth="1"/>
    <col min="4605" max="4605" width="9" style="23" bestFit="1" customWidth="1"/>
    <col min="4606" max="4856" width="9.1796875" style="23"/>
    <col min="4857" max="4857" width="2.54296875" style="23" bestFit="1" customWidth="1"/>
    <col min="4858" max="4858" width="2.1796875" style="23" bestFit="1" customWidth="1"/>
    <col min="4859" max="4859" width="66.7265625" style="23" bestFit="1" customWidth="1"/>
    <col min="4860" max="4860" width="11.26953125" style="23" bestFit="1" customWidth="1"/>
    <col min="4861" max="4861" width="9" style="23" bestFit="1" customWidth="1"/>
    <col min="4862" max="5112" width="9.1796875" style="23"/>
    <col min="5113" max="5113" width="2.54296875" style="23" bestFit="1" customWidth="1"/>
    <col min="5114" max="5114" width="2.1796875" style="23" bestFit="1" customWidth="1"/>
    <col min="5115" max="5115" width="66.7265625" style="23" bestFit="1" customWidth="1"/>
    <col min="5116" max="5116" width="11.26953125" style="23" bestFit="1" customWidth="1"/>
    <col min="5117" max="5117" width="9" style="23" bestFit="1" customWidth="1"/>
    <col min="5118" max="5368" width="9.1796875" style="23"/>
    <col min="5369" max="5369" width="2.54296875" style="23" bestFit="1" customWidth="1"/>
    <col min="5370" max="5370" width="2.1796875" style="23" bestFit="1" customWidth="1"/>
    <col min="5371" max="5371" width="66.7265625" style="23" bestFit="1" customWidth="1"/>
    <col min="5372" max="5372" width="11.26953125" style="23" bestFit="1" customWidth="1"/>
    <col min="5373" max="5373" width="9" style="23" bestFit="1" customWidth="1"/>
    <col min="5374" max="5624" width="9.1796875" style="23"/>
    <col min="5625" max="5625" width="2.54296875" style="23" bestFit="1" customWidth="1"/>
    <col min="5626" max="5626" width="2.1796875" style="23" bestFit="1" customWidth="1"/>
    <col min="5627" max="5627" width="66.7265625" style="23" bestFit="1" customWidth="1"/>
    <col min="5628" max="5628" width="11.26953125" style="23" bestFit="1" customWidth="1"/>
    <col min="5629" max="5629" width="9" style="23" bestFit="1" customWidth="1"/>
    <col min="5630" max="5880" width="9.1796875" style="23"/>
    <col min="5881" max="5881" width="2.54296875" style="23" bestFit="1" customWidth="1"/>
    <col min="5882" max="5882" width="2.1796875" style="23" bestFit="1" customWidth="1"/>
    <col min="5883" max="5883" width="66.7265625" style="23" bestFit="1" customWidth="1"/>
    <col min="5884" max="5884" width="11.26953125" style="23" bestFit="1" customWidth="1"/>
    <col min="5885" max="5885" width="9" style="23" bestFit="1" customWidth="1"/>
    <col min="5886" max="6136" width="9.1796875" style="23"/>
    <col min="6137" max="6137" width="2.54296875" style="23" bestFit="1" customWidth="1"/>
    <col min="6138" max="6138" width="2.1796875" style="23" bestFit="1" customWidth="1"/>
    <col min="6139" max="6139" width="66.7265625" style="23" bestFit="1" customWidth="1"/>
    <col min="6140" max="6140" width="11.26953125" style="23" bestFit="1" customWidth="1"/>
    <col min="6141" max="6141" width="9" style="23" bestFit="1" customWidth="1"/>
    <col min="6142" max="6392" width="9.1796875" style="23"/>
    <col min="6393" max="6393" width="2.54296875" style="23" bestFit="1" customWidth="1"/>
    <col min="6394" max="6394" width="2.1796875" style="23" bestFit="1" customWidth="1"/>
    <col min="6395" max="6395" width="66.7265625" style="23" bestFit="1" customWidth="1"/>
    <col min="6396" max="6396" width="11.26953125" style="23" bestFit="1" customWidth="1"/>
    <col min="6397" max="6397" width="9" style="23" bestFit="1" customWidth="1"/>
    <col min="6398" max="6648" width="9.1796875" style="23"/>
    <col min="6649" max="6649" width="2.54296875" style="23" bestFit="1" customWidth="1"/>
    <col min="6650" max="6650" width="2.1796875" style="23" bestFit="1" customWidth="1"/>
    <col min="6651" max="6651" width="66.7265625" style="23" bestFit="1" customWidth="1"/>
    <col min="6652" max="6652" width="11.26953125" style="23" bestFit="1" customWidth="1"/>
    <col min="6653" max="6653" width="9" style="23" bestFit="1" customWidth="1"/>
    <col min="6654" max="6904" width="9.1796875" style="23"/>
    <col min="6905" max="6905" width="2.54296875" style="23" bestFit="1" customWidth="1"/>
    <col min="6906" max="6906" width="2.1796875" style="23" bestFit="1" customWidth="1"/>
    <col min="6907" max="6907" width="66.7265625" style="23" bestFit="1" customWidth="1"/>
    <col min="6908" max="6908" width="11.26953125" style="23" bestFit="1" customWidth="1"/>
    <col min="6909" max="6909" width="9" style="23" bestFit="1" customWidth="1"/>
    <col min="6910" max="7160" width="9.1796875" style="23"/>
    <col min="7161" max="7161" width="2.54296875" style="23" bestFit="1" customWidth="1"/>
    <col min="7162" max="7162" width="2.1796875" style="23" bestFit="1" customWidth="1"/>
    <col min="7163" max="7163" width="66.7265625" style="23" bestFit="1" customWidth="1"/>
    <col min="7164" max="7164" width="11.26953125" style="23" bestFit="1" customWidth="1"/>
    <col min="7165" max="7165" width="9" style="23" bestFit="1" customWidth="1"/>
    <col min="7166" max="7416" width="9.1796875" style="23"/>
    <col min="7417" max="7417" width="2.54296875" style="23" bestFit="1" customWidth="1"/>
    <col min="7418" max="7418" width="2.1796875" style="23" bestFit="1" customWidth="1"/>
    <col min="7419" max="7419" width="66.7265625" style="23" bestFit="1" customWidth="1"/>
    <col min="7420" max="7420" width="11.26953125" style="23" bestFit="1" customWidth="1"/>
    <col min="7421" max="7421" width="9" style="23" bestFit="1" customWidth="1"/>
    <col min="7422" max="7672" width="9.1796875" style="23"/>
    <col min="7673" max="7673" width="2.54296875" style="23" bestFit="1" customWidth="1"/>
    <col min="7674" max="7674" width="2.1796875" style="23" bestFit="1" customWidth="1"/>
    <col min="7675" max="7675" width="66.7265625" style="23" bestFit="1" customWidth="1"/>
    <col min="7676" max="7676" width="11.26953125" style="23" bestFit="1" customWidth="1"/>
    <col min="7677" max="7677" width="9" style="23" bestFit="1" customWidth="1"/>
    <col min="7678" max="7928" width="9.1796875" style="23"/>
    <col min="7929" max="7929" width="2.54296875" style="23" bestFit="1" customWidth="1"/>
    <col min="7930" max="7930" width="2.1796875" style="23" bestFit="1" customWidth="1"/>
    <col min="7931" max="7931" width="66.7265625" style="23" bestFit="1" customWidth="1"/>
    <col min="7932" max="7932" width="11.26953125" style="23" bestFit="1" customWidth="1"/>
    <col min="7933" max="7933" width="9" style="23" bestFit="1" customWidth="1"/>
    <col min="7934" max="8184" width="9.1796875" style="23"/>
    <col min="8185" max="8185" width="2.54296875" style="23" bestFit="1" customWidth="1"/>
    <col min="8186" max="8186" width="2.1796875" style="23" bestFit="1" customWidth="1"/>
    <col min="8187" max="8187" width="66.7265625" style="23" bestFit="1" customWidth="1"/>
    <col min="8188" max="8188" width="11.26953125" style="23" bestFit="1" customWidth="1"/>
    <col min="8189" max="8189" width="9" style="23" bestFit="1" customWidth="1"/>
    <col min="8190" max="8440" width="9.1796875" style="23"/>
    <col min="8441" max="8441" width="2.54296875" style="23" bestFit="1" customWidth="1"/>
    <col min="8442" max="8442" width="2.1796875" style="23" bestFit="1" customWidth="1"/>
    <col min="8443" max="8443" width="66.7265625" style="23" bestFit="1" customWidth="1"/>
    <col min="8444" max="8444" width="11.26953125" style="23" bestFit="1" customWidth="1"/>
    <col min="8445" max="8445" width="9" style="23" bestFit="1" customWidth="1"/>
    <col min="8446" max="8696" width="9.1796875" style="23"/>
    <col min="8697" max="8697" width="2.54296875" style="23" bestFit="1" customWidth="1"/>
    <col min="8698" max="8698" width="2.1796875" style="23" bestFit="1" customWidth="1"/>
    <col min="8699" max="8699" width="66.7265625" style="23" bestFit="1" customWidth="1"/>
    <col min="8700" max="8700" width="11.26953125" style="23" bestFit="1" customWidth="1"/>
    <col min="8701" max="8701" width="9" style="23" bestFit="1" customWidth="1"/>
    <col min="8702" max="8952" width="9.1796875" style="23"/>
    <col min="8953" max="8953" width="2.54296875" style="23" bestFit="1" customWidth="1"/>
    <col min="8954" max="8954" width="2.1796875" style="23" bestFit="1" customWidth="1"/>
    <col min="8955" max="8955" width="66.7265625" style="23" bestFit="1" customWidth="1"/>
    <col min="8956" max="8956" width="11.26953125" style="23" bestFit="1" customWidth="1"/>
    <col min="8957" max="8957" width="9" style="23" bestFit="1" customWidth="1"/>
    <col min="8958" max="9208" width="9.1796875" style="23"/>
    <col min="9209" max="9209" width="2.54296875" style="23" bestFit="1" customWidth="1"/>
    <col min="9210" max="9210" width="2.1796875" style="23" bestFit="1" customWidth="1"/>
    <col min="9211" max="9211" width="66.7265625" style="23" bestFit="1" customWidth="1"/>
    <col min="9212" max="9212" width="11.26953125" style="23" bestFit="1" customWidth="1"/>
    <col min="9213" max="9213" width="9" style="23" bestFit="1" customWidth="1"/>
    <col min="9214" max="9464" width="9.1796875" style="23"/>
    <col min="9465" max="9465" width="2.54296875" style="23" bestFit="1" customWidth="1"/>
    <col min="9466" max="9466" width="2.1796875" style="23" bestFit="1" customWidth="1"/>
    <col min="9467" max="9467" width="66.7265625" style="23" bestFit="1" customWidth="1"/>
    <col min="9468" max="9468" width="11.26953125" style="23" bestFit="1" customWidth="1"/>
    <col min="9469" max="9469" width="9" style="23" bestFit="1" customWidth="1"/>
    <col min="9470" max="9720" width="9.1796875" style="23"/>
    <col min="9721" max="9721" width="2.54296875" style="23" bestFit="1" customWidth="1"/>
    <col min="9722" max="9722" width="2.1796875" style="23" bestFit="1" customWidth="1"/>
    <col min="9723" max="9723" width="66.7265625" style="23" bestFit="1" customWidth="1"/>
    <col min="9724" max="9724" width="11.26953125" style="23" bestFit="1" customWidth="1"/>
    <col min="9725" max="9725" width="9" style="23" bestFit="1" customWidth="1"/>
    <col min="9726" max="9976" width="9.1796875" style="23"/>
    <col min="9977" max="9977" width="2.54296875" style="23" bestFit="1" customWidth="1"/>
    <col min="9978" max="9978" width="2.1796875" style="23" bestFit="1" customWidth="1"/>
    <col min="9979" max="9979" width="66.7265625" style="23" bestFit="1" customWidth="1"/>
    <col min="9980" max="9980" width="11.26953125" style="23" bestFit="1" customWidth="1"/>
    <col min="9981" max="9981" width="9" style="23" bestFit="1" customWidth="1"/>
    <col min="9982" max="10232" width="9.1796875" style="23"/>
    <col min="10233" max="10233" width="2.54296875" style="23" bestFit="1" customWidth="1"/>
    <col min="10234" max="10234" width="2.1796875" style="23" bestFit="1" customWidth="1"/>
    <col min="10235" max="10235" width="66.7265625" style="23" bestFit="1" customWidth="1"/>
    <col min="10236" max="10236" width="11.26953125" style="23" bestFit="1" customWidth="1"/>
    <col min="10237" max="10237" width="9" style="23" bestFit="1" customWidth="1"/>
    <col min="10238" max="10488" width="9.1796875" style="23"/>
    <col min="10489" max="10489" width="2.54296875" style="23" bestFit="1" customWidth="1"/>
    <col min="10490" max="10490" width="2.1796875" style="23" bestFit="1" customWidth="1"/>
    <col min="10491" max="10491" width="66.7265625" style="23" bestFit="1" customWidth="1"/>
    <col min="10492" max="10492" width="11.26953125" style="23" bestFit="1" customWidth="1"/>
    <col min="10493" max="10493" width="9" style="23" bestFit="1" customWidth="1"/>
    <col min="10494" max="10744" width="9.1796875" style="23"/>
    <col min="10745" max="10745" width="2.54296875" style="23" bestFit="1" customWidth="1"/>
    <col min="10746" max="10746" width="2.1796875" style="23" bestFit="1" customWidth="1"/>
    <col min="10747" max="10747" width="66.7265625" style="23" bestFit="1" customWidth="1"/>
    <col min="10748" max="10748" width="11.26953125" style="23" bestFit="1" customWidth="1"/>
    <col min="10749" max="10749" width="9" style="23" bestFit="1" customWidth="1"/>
    <col min="10750" max="11000" width="9.1796875" style="23"/>
    <col min="11001" max="11001" width="2.54296875" style="23" bestFit="1" customWidth="1"/>
    <col min="11002" max="11002" width="2.1796875" style="23" bestFit="1" customWidth="1"/>
    <col min="11003" max="11003" width="66.7265625" style="23" bestFit="1" customWidth="1"/>
    <col min="11004" max="11004" width="11.26953125" style="23" bestFit="1" customWidth="1"/>
    <col min="11005" max="11005" width="9" style="23" bestFit="1" customWidth="1"/>
    <col min="11006" max="11256" width="9.1796875" style="23"/>
    <col min="11257" max="11257" width="2.54296875" style="23" bestFit="1" customWidth="1"/>
    <col min="11258" max="11258" width="2.1796875" style="23" bestFit="1" customWidth="1"/>
    <col min="11259" max="11259" width="66.7265625" style="23" bestFit="1" customWidth="1"/>
    <col min="11260" max="11260" width="11.26953125" style="23" bestFit="1" customWidth="1"/>
    <col min="11261" max="11261" width="9" style="23" bestFit="1" customWidth="1"/>
    <col min="11262" max="11512" width="9.1796875" style="23"/>
    <col min="11513" max="11513" width="2.54296875" style="23" bestFit="1" customWidth="1"/>
    <col min="11514" max="11514" width="2.1796875" style="23" bestFit="1" customWidth="1"/>
    <col min="11515" max="11515" width="66.7265625" style="23" bestFit="1" customWidth="1"/>
    <col min="11516" max="11516" width="11.26953125" style="23" bestFit="1" customWidth="1"/>
    <col min="11517" max="11517" width="9" style="23" bestFit="1" customWidth="1"/>
    <col min="11518" max="11768" width="9.1796875" style="23"/>
    <col min="11769" max="11769" width="2.54296875" style="23" bestFit="1" customWidth="1"/>
    <col min="11770" max="11770" width="2.1796875" style="23" bestFit="1" customWidth="1"/>
    <col min="11771" max="11771" width="66.7265625" style="23" bestFit="1" customWidth="1"/>
    <col min="11772" max="11772" width="11.26953125" style="23" bestFit="1" customWidth="1"/>
    <col min="11773" max="11773" width="9" style="23" bestFit="1" customWidth="1"/>
    <col min="11774" max="12024" width="9.1796875" style="23"/>
    <col min="12025" max="12025" width="2.54296875" style="23" bestFit="1" customWidth="1"/>
    <col min="12026" max="12026" width="2.1796875" style="23" bestFit="1" customWidth="1"/>
    <col min="12027" max="12027" width="66.7265625" style="23" bestFit="1" customWidth="1"/>
    <col min="12028" max="12028" width="11.26953125" style="23" bestFit="1" customWidth="1"/>
    <col min="12029" max="12029" width="9" style="23" bestFit="1" customWidth="1"/>
    <col min="12030" max="12280" width="9.1796875" style="23"/>
    <col min="12281" max="12281" width="2.54296875" style="23" bestFit="1" customWidth="1"/>
    <col min="12282" max="12282" width="2.1796875" style="23" bestFit="1" customWidth="1"/>
    <col min="12283" max="12283" width="66.7265625" style="23" bestFit="1" customWidth="1"/>
    <col min="12284" max="12284" width="11.26953125" style="23" bestFit="1" customWidth="1"/>
    <col min="12285" max="12285" width="9" style="23" bestFit="1" customWidth="1"/>
    <col min="12286" max="12536" width="9.1796875" style="23"/>
    <col min="12537" max="12537" width="2.54296875" style="23" bestFit="1" customWidth="1"/>
    <col min="12538" max="12538" width="2.1796875" style="23" bestFit="1" customWidth="1"/>
    <col min="12539" max="12539" width="66.7265625" style="23" bestFit="1" customWidth="1"/>
    <col min="12540" max="12540" width="11.26953125" style="23" bestFit="1" customWidth="1"/>
    <col min="12541" max="12541" width="9" style="23" bestFit="1" customWidth="1"/>
    <col min="12542" max="12792" width="9.1796875" style="23"/>
    <col min="12793" max="12793" width="2.54296875" style="23" bestFit="1" customWidth="1"/>
    <col min="12794" max="12794" width="2.1796875" style="23" bestFit="1" customWidth="1"/>
    <col min="12795" max="12795" width="66.7265625" style="23" bestFit="1" customWidth="1"/>
    <col min="12796" max="12796" width="11.26953125" style="23" bestFit="1" customWidth="1"/>
    <col min="12797" max="12797" width="9" style="23" bestFit="1" customWidth="1"/>
    <col min="12798" max="13048" width="9.1796875" style="23"/>
    <col min="13049" max="13049" width="2.54296875" style="23" bestFit="1" customWidth="1"/>
    <col min="13050" max="13050" width="2.1796875" style="23" bestFit="1" customWidth="1"/>
    <col min="13051" max="13051" width="66.7265625" style="23" bestFit="1" customWidth="1"/>
    <col min="13052" max="13052" width="11.26953125" style="23" bestFit="1" customWidth="1"/>
    <col min="13053" max="13053" width="9" style="23" bestFit="1" customWidth="1"/>
    <col min="13054" max="13304" width="9.1796875" style="23"/>
    <col min="13305" max="13305" width="2.54296875" style="23" bestFit="1" customWidth="1"/>
    <col min="13306" max="13306" width="2.1796875" style="23" bestFit="1" customWidth="1"/>
    <col min="13307" max="13307" width="66.7265625" style="23" bestFit="1" customWidth="1"/>
    <col min="13308" max="13308" width="11.26953125" style="23" bestFit="1" customWidth="1"/>
    <col min="13309" max="13309" width="9" style="23" bestFit="1" customWidth="1"/>
    <col min="13310" max="13560" width="9.1796875" style="23"/>
    <col min="13561" max="13561" width="2.54296875" style="23" bestFit="1" customWidth="1"/>
    <col min="13562" max="13562" width="2.1796875" style="23" bestFit="1" customWidth="1"/>
    <col min="13563" max="13563" width="66.7265625" style="23" bestFit="1" customWidth="1"/>
    <col min="13564" max="13564" width="11.26953125" style="23" bestFit="1" customWidth="1"/>
    <col min="13565" max="13565" width="9" style="23" bestFit="1" customWidth="1"/>
    <col min="13566" max="13816" width="9.1796875" style="23"/>
    <col min="13817" max="13817" width="2.54296875" style="23" bestFit="1" customWidth="1"/>
    <col min="13818" max="13818" width="2.1796875" style="23" bestFit="1" customWidth="1"/>
    <col min="13819" max="13819" width="66.7265625" style="23" bestFit="1" customWidth="1"/>
    <col min="13820" max="13820" width="11.26953125" style="23" bestFit="1" customWidth="1"/>
    <col min="13821" max="13821" width="9" style="23" bestFit="1" customWidth="1"/>
    <col min="13822" max="14072" width="9.1796875" style="23"/>
    <col min="14073" max="14073" width="2.54296875" style="23" bestFit="1" customWidth="1"/>
    <col min="14074" max="14074" width="2.1796875" style="23" bestFit="1" customWidth="1"/>
    <col min="14075" max="14075" width="66.7265625" style="23" bestFit="1" customWidth="1"/>
    <col min="14076" max="14076" width="11.26953125" style="23" bestFit="1" customWidth="1"/>
    <col min="14077" max="14077" width="9" style="23" bestFit="1" customWidth="1"/>
    <col min="14078" max="14328" width="9.1796875" style="23"/>
    <col min="14329" max="14329" width="2.54296875" style="23" bestFit="1" customWidth="1"/>
    <col min="14330" max="14330" width="2.1796875" style="23" bestFit="1" customWidth="1"/>
    <col min="14331" max="14331" width="66.7265625" style="23" bestFit="1" customWidth="1"/>
    <col min="14332" max="14332" width="11.26953125" style="23" bestFit="1" customWidth="1"/>
    <col min="14333" max="14333" width="9" style="23" bestFit="1" customWidth="1"/>
    <col min="14334" max="14584" width="9.1796875" style="23"/>
    <col min="14585" max="14585" width="2.54296875" style="23" bestFit="1" customWidth="1"/>
    <col min="14586" max="14586" width="2.1796875" style="23" bestFit="1" customWidth="1"/>
    <col min="14587" max="14587" width="66.7265625" style="23" bestFit="1" customWidth="1"/>
    <col min="14588" max="14588" width="11.26953125" style="23" bestFit="1" customWidth="1"/>
    <col min="14589" max="14589" width="9" style="23" bestFit="1" customWidth="1"/>
    <col min="14590" max="14840" width="9.1796875" style="23"/>
    <col min="14841" max="14841" width="2.54296875" style="23" bestFit="1" customWidth="1"/>
    <col min="14842" max="14842" width="2.1796875" style="23" bestFit="1" customWidth="1"/>
    <col min="14843" max="14843" width="66.7265625" style="23" bestFit="1" customWidth="1"/>
    <col min="14844" max="14844" width="11.26953125" style="23" bestFit="1" customWidth="1"/>
    <col min="14845" max="14845" width="9" style="23" bestFit="1" customWidth="1"/>
    <col min="14846" max="15096" width="9.1796875" style="23"/>
    <col min="15097" max="15097" width="2.54296875" style="23" bestFit="1" customWidth="1"/>
    <col min="15098" max="15098" width="2.1796875" style="23" bestFit="1" customWidth="1"/>
    <col min="15099" max="15099" width="66.7265625" style="23" bestFit="1" customWidth="1"/>
    <col min="15100" max="15100" width="11.26953125" style="23" bestFit="1" customWidth="1"/>
    <col min="15101" max="15101" width="9" style="23" bestFit="1" customWidth="1"/>
    <col min="15102" max="15352" width="9.1796875" style="23"/>
    <col min="15353" max="15353" width="2.54296875" style="23" bestFit="1" customWidth="1"/>
    <col min="15354" max="15354" width="2.1796875" style="23" bestFit="1" customWidth="1"/>
    <col min="15355" max="15355" width="66.7265625" style="23" bestFit="1" customWidth="1"/>
    <col min="15356" max="15356" width="11.26953125" style="23" bestFit="1" customWidth="1"/>
    <col min="15357" max="15357" width="9" style="23" bestFit="1" customWidth="1"/>
    <col min="15358" max="15608" width="9.1796875" style="23"/>
    <col min="15609" max="15609" width="2.54296875" style="23" bestFit="1" customWidth="1"/>
    <col min="15610" max="15610" width="2.1796875" style="23" bestFit="1" customWidth="1"/>
    <col min="15611" max="15611" width="66.7265625" style="23" bestFit="1" customWidth="1"/>
    <col min="15612" max="15612" width="11.26953125" style="23" bestFit="1" customWidth="1"/>
    <col min="15613" max="15613" width="9" style="23" bestFit="1" customWidth="1"/>
    <col min="15614" max="15864" width="9.1796875" style="23"/>
    <col min="15865" max="15865" width="2.54296875" style="23" bestFit="1" customWidth="1"/>
    <col min="15866" max="15866" width="2.1796875" style="23" bestFit="1" customWidth="1"/>
    <col min="15867" max="15867" width="66.7265625" style="23" bestFit="1" customWidth="1"/>
    <col min="15868" max="15868" width="11.26953125" style="23" bestFit="1" customWidth="1"/>
    <col min="15869" max="15869" width="9" style="23" bestFit="1" customWidth="1"/>
    <col min="15870" max="16120" width="9.1796875" style="23"/>
    <col min="16121" max="16121" width="2.54296875" style="23" bestFit="1" customWidth="1"/>
    <col min="16122" max="16122" width="2.1796875" style="23" bestFit="1" customWidth="1"/>
    <col min="16123" max="16123" width="66.7265625" style="23" bestFit="1" customWidth="1"/>
    <col min="16124" max="16124" width="11.26953125" style="23" bestFit="1" customWidth="1"/>
    <col min="16125" max="16125" width="9" style="23" bestFit="1" customWidth="1"/>
    <col min="16126" max="16384" width="9.1796875" style="23"/>
  </cols>
  <sheetData>
    <row r="1" spans="1:9">
      <c r="A1" s="305" t="s">
        <v>487</v>
      </c>
      <c r="B1" s="305"/>
    </row>
    <row r="2" spans="1:9">
      <c r="A2" s="3314" t="s">
        <v>1604</v>
      </c>
      <c r="B2" s="3314"/>
      <c r="C2" s="3314"/>
      <c r="D2" s="3314"/>
      <c r="E2" s="3314"/>
      <c r="F2" s="3314"/>
    </row>
    <row r="3" spans="1:9">
      <c r="A3" s="573" t="s">
        <v>1</v>
      </c>
      <c r="B3" s="573"/>
      <c r="C3" s="573"/>
      <c r="D3" s="573"/>
      <c r="E3" s="573"/>
      <c r="F3" s="573"/>
      <c r="G3" s="3330"/>
      <c r="H3" s="3330"/>
    </row>
    <row r="4" spans="1:9">
      <c r="D4" s="74"/>
      <c r="G4" s="3331" t="s">
        <v>141</v>
      </c>
      <c r="H4" s="3331"/>
    </row>
    <row r="5" spans="1:9">
      <c r="A5" s="3350" t="s">
        <v>117</v>
      </c>
      <c r="B5" s="3351"/>
      <c r="C5" s="3347" t="s">
        <v>14</v>
      </c>
      <c r="D5" s="2994" t="s">
        <v>802</v>
      </c>
      <c r="E5" s="2994"/>
      <c r="F5" s="3026" t="s">
        <v>542</v>
      </c>
      <c r="G5" s="3026"/>
      <c r="H5" s="3026"/>
    </row>
    <row r="6" spans="1:9">
      <c r="A6" s="3352"/>
      <c r="B6" s="3353"/>
      <c r="C6" s="3348"/>
      <c r="D6" s="193" t="s">
        <v>553</v>
      </c>
      <c r="E6" s="650" t="s">
        <v>551</v>
      </c>
      <c r="F6" s="3018" t="s">
        <v>545</v>
      </c>
      <c r="G6" s="3019"/>
      <c r="H6" s="3022"/>
    </row>
    <row r="7" spans="1:9" ht="29">
      <c r="A7" s="3354"/>
      <c r="B7" s="3355"/>
      <c r="C7" s="3349"/>
      <c r="D7" s="193" t="s">
        <v>554</v>
      </c>
      <c r="E7" s="193" t="s">
        <v>554</v>
      </c>
      <c r="F7" s="196" t="s">
        <v>543</v>
      </c>
      <c r="G7" s="194" t="s">
        <v>281</v>
      </c>
      <c r="H7" s="194" t="s">
        <v>544</v>
      </c>
    </row>
    <row r="8" spans="1:9" ht="29">
      <c r="A8" s="85" t="s">
        <v>57</v>
      </c>
      <c r="B8" s="85" t="s">
        <v>19</v>
      </c>
      <c r="C8" s="306" t="s">
        <v>346</v>
      </c>
      <c r="D8" s="1057"/>
      <c r="E8" s="1057"/>
      <c r="F8" s="1057"/>
      <c r="G8" s="1063">
        <f>'F15'!G8</f>
        <v>8702.2100000000009</v>
      </c>
      <c r="H8" s="1057"/>
      <c r="I8"/>
    </row>
    <row r="9" spans="1:9" ht="29">
      <c r="A9" s="85"/>
      <c r="B9" s="85" t="s">
        <v>20</v>
      </c>
      <c r="C9" s="306" t="s">
        <v>347</v>
      </c>
      <c r="D9" s="1057"/>
      <c r="E9" s="1059"/>
      <c r="F9" s="1059"/>
      <c r="G9" s="1063"/>
      <c r="H9" s="1059"/>
      <c r="I9"/>
    </row>
    <row r="10" spans="1:9">
      <c r="A10" s="85"/>
      <c r="B10" s="85"/>
      <c r="C10" s="306"/>
      <c r="D10" s="1057"/>
      <c r="E10" s="1059"/>
      <c r="F10" s="1059"/>
      <c r="G10" s="1063"/>
      <c r="H10" s="1059"/>
      <c r="I10"/>
    </row>
    <row r="11" spans="1:9" ht="29">
      <c r="A11" s="85" t="s">
        <v>58</v>
      </c>
      <c r="B11" s="85" t="s">
        <v>19</v>
      </c>
      <c r="C11" s="306" t="s">
        <v>348</v>
      </c>
      <c r="D11" s="1057"/>
      <c r="E11" s="1057"/>
      <c r="F11" s="1057"/>
      <c r="G11" s="1063">
        <f>'F15'!G14</f>
        <v>3014.71</v>
      </c>
      <c r="H11" s="1057"/>
      <c r="I11"/>
    </row>
    <row r="12" spans="1:9" s="46" customFormat="1" ht="29">
      <c r="A12" s="85"/>
      <c r="B12" s="85" t="s">
        <v>20</v>
      </c>
      <c r="C12" s="306" t="s">
        <v>349</v>
      </c>
      <c r="D12" s="1057"/>
      <c r="E12" s="1059"/>
      <c r="F12" s="1059"/>
      <c r="G12" s="1063"/>
      <c r="H12" s="1059"/>
      <c r="I12"/>
    </row>
    <row r="13" spans="1:9">
      <c r="A13" s="85"/>
      <c r="B13" s="85"/>
      <c r="C13" s="306" t="s">
        <v>1479</v>
      </c>
      <c r="D13" s="1057"/>
      <c r="E13" s="1059"/>
      <c r="F13" s="1059"/>
      <c r="G13" s="1474">
        <f>'F15'!G13</f>
        <v>701.34</v>
      </c>
      <c r="H13" s="1059"/>
      <c r="I13"/>
    </row>
    <row r="14" spans="1:9" ht="29">
      <c r="A14" s="85" t="s">
        <v>67</v>
      </c>
      <c r="B14" s="85" t="s">
        <v>19</v>
      </c>
      <c r="C14" s="306" t="s">
        <v>350</v>
      </c>
      <c r="D14" s="1057"/>
      <c r="E14" s="1057"/>
      <c r="F14" s="1057"/>
      <c r="G14" s="1063">
        <f>G8+G11-G13</f>
        <v>11015.580000000002</v>
      </c>
      <c r="H14" s="1057"/>
      <c r="I14"/>
    </row>
    <row r="15" spans="1:9" ht="29">
      <c r="A15" s="85"/>
      <c r="B15" s="85" t="s">
        <v>20</v>
      </c>
      <c r="C15" s="306" t="s">
        <v>351</v>
      </c>
      <c r="D15" s="1059"/>
      <c r="E15" s="1059"/>
      <c r="F15" s="1059"/>
      <c r="G15" s="1063"/>
      <c r="H15" s="1059"/>
      <c r="I15"/>
    </row>
    <row r="16" spans="1:9" ht="16.5">
      <c r="A16" s="3346"/>
      <c r="B16" s="3346"/>
      <c r="C16" s="3346"/>
      <c r="D16" s="3346"/>
      <c r="I16"/>
    </row>
    <row r="17" spans="1:9" ht="16.5">
      <c r="A17" s="3346"/>
      <c r="B17" s="3346"/>
      <c r="C17" s="3346"/>
      <c r="D17" s="3346"/>
      <c r="I17"/>
    </row>
    <row r="18" spans="1:9">
      <c r="A18" s="116"/>
      <c r="B18" s="116"/>
      <c r="C18" s="117"/>
      <c r="D18" s="116"/>
      <c r="F18" s="197"/>
      <c r="G18" s="197"/>
      <c r="H18" s="197"/>
      <c r="I18"/>
    </row>
    <row r="19" spans="1:9">
      <c r="A19" s="116"/>
      <c r="B19" s="116"/>
      <c r="C19" s="117"/>
      <c r="D19" s="116"/>
    </row>
  </sheetData>
  <mergeCells count="10">
    <mergeCell ref="A2:F2"/>
    <mergeCell ref="A17:D17"/>
    <mergeCell ref="G3:H3"/>
    <mergeCell ref="G4:H4"/>
    <mergeCell ref="F5:H5"/>
    <mergeCell ref="A16:D16"/>
    <mergeCell ref="C5:C7"/>
    <mergeCell ref="D5:E5"/>
    <mergeCell ref="A5:B7"/>
    <mergeCell ref="F6:H6"/>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view="pageBreakPreview" zoomScaleSheetLayoutView="100" workbookViewId="0">
      <selection activeCell="C105" sqref="C105"/>
    </sheetView>
  </sheetViews>
  <sheetFormatPr defaultColWidth="9.1796875" defaultRowHeight="14.5"/>
  <cols>
    <col min="1" max="1" width="6.26953125" customWidth="1"/>
    <col min="2" max="2" width="32.54296875" customWidth="1"/>
    <col min="3" max="7" width="13.1796875" customWidth="1"/>
    <col min="8" max="8" width="13.1796875" style="251" customWidth="1"/>
    <col min="9" max="10" width="13.1796875" customWidth="1"/>
  </cols>
  <sheetData>
    <row r="1" spans="1:10" s="251" customFormat="1">
      <c r="A1" s="3314" t="s">
        <v>488</v>
      </c>
      <c r="B1" s="3314"/>
    </row>
    <row r="2" spans="1:10">
      <c r="A2" s="3263" t="s">
        <v>1604</v>
      </c>
      <c r="B2" s="3263"/>
      <c r="C2" s="3263"/>
      <c r="D2" s="3263"/>
      <c r="E2" s="3263"/>
      <c r="F2" s="3263"/>
      <c r="G2" s="3263"/>
      <c r="H2" s="257"/>
    </row>
    <row r="3" spans="1:10">
      <c r="A3" s="573" t="s">
        <v>2</v>
      </c>
      <c r="B3" s="573"/>
      <c r="C3" s="573"/>
      <c r="D3" s="573"/>
      <c r="E3" s="573"/>
      <c r="F3" s="3330"/>
      <c r="G3" s="3330"/>
      <c r="H3" s="256"/>
      <c r="I3" s="3330"/>
      <c r="J3" s="3330"/>
    </row>
    <row r="4" spans="1:10">
      <c r="A4" s="23"/>
      <c r="B4" s="23"/>
      <c r="C4" s="3356"/>
      <c r="D4" s="3356"/>
      <c r="F4" s="3356"/>
      <c r="G4" s="3356"/>
      <c r="H4" s="312"/>
      <c r="J4" s="992" t="s">
        <v>141</v>
      </c>
    </row>
    <row r="5" spans="1:10" ht="15" customHeight="1">
      <c r="A5" s="3347" t="s">
        <v>117</v>
      </c>
      <c r="B5" s="3347" t="s">
        <v>14</v>
      </c>
      <c r="C5" s="2994" t="s">
        <v>802</v>
      </c>
      <c r="D5" s="2994"/>
      <c r="E5" s="3026" t="s">
        <v>542</v>
      </c>
      <c r="F5" s="3026"/>
      <c r="G5" s="3026"/>
      <c r="H5" s="3024" t="s">
        <v>550</v>
      </c>
      <c r="I5" s="3025"/>
      <c r="J5" s="871" t="s">
        <v>952</v>
      </c>
    </row>
    <row r="6" spans="1:10">
      <c r="A6" s="3348"/>
      <c r="B6" s="3348"/>
      <c r="C6" s="193" t="s">
        <v>553</v>
      </c>
      <c r="D6" s="193" t="s">
        <v>551</v>
      </c>
      <c r="E6" s="3018" t="s">
        <v>545</v>
      </c>
      <c r="F6" s="3019"/>
      <c r="G6" s="3022"/>
      <c r="H6" s="3018" t="s">
        <v>546</v>
      </c>
      <c r="I6" s="3022"/>
      <c r="J6" s="870" t="s">
        <v>547</v>
      </c>
    </row>
    <row r="7" spans="1:10" ht="29">
      <c r="A7" s="3349"/>
      <c r="B7" s="3349"/>
      <c r="C7" s="193" t="s">
        <v>554</v>
      </c>
      <c r="D7" s="193" t="s">
        <v>554</v>
      </c>
      <c r="E7" s="196" t="s">
        <v>543</v>
      </c>
      <c r="F7" s="651" t="s">
        <v>281</v>
      </c>
      <c r="G7" s="651" t="s">
        <v>544</v>
      </c>
      <c r="H7" s="200" t="s">
        <v>543</v>
      </c>
      <c r="I7" s="200" t="s">
        <v>552</v>
      </c>
      <c r="J7" s="651" t="s">
        <v>283</v>
      </c>
    </row>
    <row r="8" spans="1:10">
      <c r="A8" s="85" t="s">
        <v>57</v>
      </c>
      <c r="B8" s="168" t="s">
        <v>352</v>
      </c>
      <c r="C8" s="1053">
        <v>3937.79</v>
      </c>
      <c r="D8" s="1053">
        <f>C11</f>
        <v>5617.9099999999989</v>
      </c>
      <c r="E8" s="315">
        <v>4805.8900000000003</v>
      </c>
      <c r="F8" s="724">
        <v>2613.6194070000001</v>
      </c>
      <c r="G8" s="935">
        <f>D11</f>
        <v>2285.6799999999994</v>
      </c>
      <c r="H8" s="315">
        <v>3320.89</v>
      </c>
      <c r="I8" s="935">
        <f>G11</f>
        <v>2191.1336452999999</v>
      </c>
      <c r="J8" s="935">
        <f>I11</f>
        <v>1708.8106564584693</v>
      </c>
    </row>
    <row r="9" spans="1:10" ht="29">
      <c r="A9" s="85" t="s">
        <v>58</v>
      </c>
      <c r="B9" s="168" t="s">
        <v>353</v>
      </c>
      <c r="C9" s="1053">
        <v>4694.83</v>
      </c>
      <c r="D9" s="1053">
        <v>3098.81</v>
      </c>
      <c r="E9" s="315">
        <v>3843.85</v>
      </c>
      <c r="F9" s="724">
        <v>2256.1477159999999</v>
      </c>
      <c r="G9" s="935">
        <f>F9</f>
        <v>2256.1477159999999</v>
      </c>
      <c r="H9" s="315">
        <v>3726.13</v>
      </c>
      <c r="I9" s="935">
        <f>F21A!H21</f>
        <v>1038.0623861909878</v>
      </c>
      <c r="J9" s="935">
        <f>F21A!J21</f>
        <v>2013.3285108422028</v>
      </c>
    </row>
    <row r="10" spans="1:10" ht="29">
      <c r="A10" s="85" t="s">
        <v>67</v>
      </c>
      <c r="B10" s="168" t="s">
        <v>354</v>
      </c>
      <c r="C10" s="1053">
        <v>3014.71</v>
      </c>
      <c r="D10" s="1053">
        <v>6431.04</v>
      </c>
      <c r="E10" s="315">
        <v>3464.42</v>
      </c>
      <c r="F10" s="724">
        <f>F21A!G21</f>
        <v>2350.6940706999999</v>
      </c>
      <c r="G10" s="935">
        <f>'F23'!E8</f>
        <v>2350.6940706999999</v>
      </c>
      <c r="H10" s="315">
        <v>3230.23</v>
      </c>
      <c r="I10" s="935">
        <f>F21A!I21</f>
        <v>1520.3853750325181</v>
      </c>
      <c r="J10" s="935">
        <f>F21A!K21</f>
        <v>1727.8032128531904</v>
      </c>
    </row>
    <row r="11" spans="1:10">
      <c r="A11" s="85" t="s">
        <v>68</v>
      </c>
      <c r="B11" s="168" t="s">
        <v>355</v>
      </c>
      <c r="C11" s="1053">
        <f t="shared" ref="C11:H11" si="0">C8+C9-C10</f>
        <v>5617.9099999999989</v>
      </c>
      <c r="D11" s="1053">
        <f t="shared" si="0"/>
        <v>2285.6799999999994</v>
      </c>
      <c r="E11" s="315">
        <f t="shared" si="0"/>
        <v>5185.32</v>
      </c>
      <c r="F11" s="1182">
        <f t="shared" si="0"/>
        <v>2519.0730522999997</v>
      </c>
      <c r="G11" s="1182">
        <f t="shared" si="0"/>
        <v>2191.1336452999999</v>
      </c>
      <c r="H11" s="1182">
        <f t="shared" si="0"/>
        <v>3816.7900000000004</v>
      </c>
      <c r="I11" s="1061">
        <f t="shared" ref="I11:J11" si="1">I8+I9-I10</f>
        <v>1708.8106564584693</v>
      </c>
      <c r="J11" s="1061">
        <f t="shared" si="1"/>
        <v>1994.3359544474815</v>
      </c>
    </row>
    <row r="12" spans="1:10">
      <c r="A12" s="83"/>
      <c r="B12" s="83"/>
      <c r="C12" s="83"/>
      <c r="D12" s="83"/>
    </row>
    <row r="13" spans="1:10">
      <c r="A13" s="83"/>
      <c r="B13" s="83"/>
      <c r="C13" s="83"/>
      <c r="D13" s="83"/>
      <c r="E13" s="197"/>
      <c r="F13" s="197"/>
      <c r="G13" s="197"/>
      <c r="H13" s="197"/>
    </row>
    <row r="14" spans="1:10">
      <c r="A14" s="83"/>
      <c r="B14" s="83"/>
      <c r="C14" s="83"/>
      <c r="D14" s="83"/>
    </row>
  </sheetData>
  <mergeCells count="13">
    <mergeCell ref="A1:B1"/>
    <mergeCell ref="H5:I5"/>
    <mergeCell ref="H6:I6"/>
    <mergeCell ref="E6:G6"/>
    <mergeCell ref="A2:G2"/>
    <mergeCell ref="B5:B7"/>
    <mergeCell ref="E5:G5"/>
    <mergeCell ref="C5:D5"/>
    <mergeCell ref="F3:G3"/>
    <mergeCell ref="C4:D4"/>
    <mergeCell ref="F4:G4"/>
    <mergeCell ref="A5:A7"/>
    <mergeCell ref="I3:J3"/>
  </mergeCells>
  <printOptions horizontalCentered="1"/>
  <pageMargins left="0.19685039370078741" right="0.19685039370078741" top="0.19685039370078741" bottom="0.19685039370078741" header="0.19685039370078741" footer="0.19685039370078741"/>
  <pageSetup paperSize="9" scale="9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view="pageBreakPreview" topLeftCell="A2" zoomScaleNormal="100" zoomScaleSheetLayoutView="100" workbookViewId="0">
      <selection activeCell="C105" sqref="C105"/>
    </sheetView>
  </sheetViews>
  <sheetFormatPr defaultColWidth="8.81640625" defaultRowHeight="14.5"/>
  <cols>
    <col min="1" max="1" width="33.453125" style="211" customWidth="1"/>
    <col min="2" max="2" width="11.1796875" style="815" bestFit="1" customWidth="1"/>
    <col min="3" max="3" width="12.26953125" style="815" bestFit="1" customWidth="1"/>
    <col min="4" max="4" width="11.26953125" style="815" bestFit="1" customWidth="1"/>
    <col min="5" max="5" width="12.26953125" style="815" bestFit="1" customWidth="1"/>
    <col min="6" max="6" width="11.26953125" style="815" bestFit="1" customWidth="1"/>
    <col min="7" max="7" width="12.26953125" style="815" bestFit="1" customWidth="1"/>
    <col min="8" max="8" width="11.26953125" style="815" bestFit="1" customWidth="1"/>
    <col min="9" max="9" width="12.26953125" style="815" bestFit="1" customWidth="1"/>
    <col min="10" max="10" width="13.26953125" style="815" bestFit="1" customWidth="1"/>
    <col min="11" max="11" width="12.26953125" style="815" bestFit="1" customWidth="1"/>
    <col min="12" max="12" width="11.26953125" style="815" bestFit="1" customWidth="1"/>
    <col min="13" max="13" width="12.26953125" style="815" bestFit="1" customWidth="1"/>
    <col min="14" max="16384" width="8.81640625" style="815"/>
  </cols>
  <sheetData>
    <row r="1" spans="1:14">
      <c r="A1" s="305" t="s">
        <v>1367</v>
      </c>
      <c r="B1" s="305"/>
      <c r="C1" s="82"/>
      <c r="D1" s="23"/>
      <c r="E1" s="23"/>
      <c r="F1" s="23"/>
    </row>
    <row r="2" spans="1:14">
      <c r="A2" s="3314" t="s">
        <v>1604</v>
      </c>
      <c r="B2" s="3314"/>
      <c r="C2" s="3314"/>
      <c r="D2" s="3314"/>
      <c r="E2" s="3314"/>
      <c r="F2" s="3314"/>
    </row>
    <row r="3" spans="1:14">
      <c r="A3" s="573" t="s">
        <v>1365</v>
      </c>
      <c r="B3" s="573"/>
      <c r="C3" s="573"/>
      <c r="D3" s="573"/>
      <c r="E3" s="573"/>
      <c r="F3" s="573"/>
      <c r="G3" s="573"/>
      <c r="H3" s="573"/>
      <c r="I3" s="573"/>
      <c r="J3" s="573"/>
      <c r="K3" s="573"/>
    </row>
    <row r="4" spans="1:14">
      <c r="A4" s="814" t="s">
        <v>14</v>
      </c>
      <c r="B4" s="3357" t="s">
        <v>553</v>
      </c>
      <c r="C4" s="3357"/>
      <c r="D4" s="3357" t="s">
        <v>551</v>
      </c>
      <c r="E4" s="3357"/>
      <c r="F4" s="3357" t="s">
        <v>545</v>
      </c>
      <c r="G4" s="3357"/>
      <c r="H4" s="3357" t="s">
        <v>546</v>
      </c>
      <c r="I4" s="3357"/>
      <c r="J4" s="3357" t="s">
        <v>547</v>
      </c>
      <c r="K4" s="3357"/>
    </row>
    <row r="5" spans="1:14">
      <c r="A5" s="814" t="s">
        <v>1359</v>
      </c>
      <c r="B5" s="813" t="s">
        <v>1360</v>
      </c>
      <c r="C5" s="816" t="s">
        <v>1361</v>
      </c>
      <c r="D5" s="813" t="s">
        <v>1360</v>
      </c>
      <c r="E5" s="816" t="s">
        <v>1361</v>
      </c>
      <c r="F5" s="813" t="s">
        <v>1360</v>
      </c>
      <c r="G5" s="816" t="s">
        <v>1361</v>
      </c>
      <c r="H5" s="813" t="s">
        <v>1360</v>
      </c>
      <c r="I5" s="816" t="s">
        <v>1361</v>
      </c>
      <c r="J5" s="813" t="s">
        <v>1360</v>
      </c>
      <c r="K5" s="816" t="s">
        <v>1361</v>
      </c>
    </row>
    <row r="6" spans="1:14">
      <c r="A6" s="295" t="s">
        <v>1369</v>
      </c>
      <c r="B6" s="866"/>
      <c r="C6" s="866"/>
      <c r="D6" s="866"/>
      <c r="E6" s="866"/>
      <c r="F6" s="1187">
        <v>1501.21</v>
      </c>
      <c r="G6" s="1187">
        <v>1320.75</v>
      </c>
      <c r="H6" s="1187">
        <v>497.72617603393417</v>
      </c>
      <c r="I6" s="1188">
        <f>(H6+'F21'!I8)*40%</f>
        <v>1075.5439285335738</v>
      </c>
      <c r="J6" s="1300">
        <v>24.2</v>
      </c>
      <c r="K6" s="1188">
        <f>(J6+'F21'!J8)*40%</f>
        <v>693.20426258338784</v>
      </c>
      <c r="N6" s="1298"/>
    </row>
    <row r="7" spans="1:14">
      <c r="A7" s="295" t="s">
        <v>1370</v>
      </c>
      <c r="B7" s="866"/>
      <c r="C7" s="866"/>
      <c r="D7" s="866"/>
      <c r="E7" s="866"/>
      <c r="F7" s="1187">
        <v>98.1</v>
      </c>
      <c r="G7" s="1187">
        <v>137.47999999999999</v>
      </c>
      <c r="H7" s="1187">
        <v>0</v>
      </c>
      <c r="I7" s="1187">
        <v>0</v>
      </c>
      <c r="J7" s="1187">
        <v>0</v>
      </c>
      <c r="K7" s="1187">
        <v>0</v>
      </c>
    </row>
    <row r="8" spans="1:14">
      <c r="A8" s="295" t="s">
        <v>1371</v>
      </c>
      <c r="B8" s="866"/>
      <c r="C8" s="866"/>
      <c r="D8" s="866"/>
      <c r="E8" s="866"/>
      <c r="F8" s="1187">
        <v>145.26</v>
      </c>
      <c r="G8" s="1187">
        <v>126.86</v>
      </c>
      <c r="H8" s="1187">
        <v>0</v>
      </c>
      <c r="I8" s="1187">
        <v>0</v>
      </c>
      <c r="J8" s="1187">
        <v>0</v>
      </c>
      <c r="K8" s="1187">
        <v>0</v>
      </c>
    </row>
    <row r="9" spans="1:14">
      <c r="A9" s="295" t="s">
        <v>1585</v>
      </c>
      <c r="B9" s="866"/>
      <c r="C9" s="866"/>
      <c r="D9" s="866"/>
      <c r="E9" s="866"/>
      <c r="F9" s="1187">
        <v>0</v>
      </c>
      <c r="G9" s="1187">
        <v>0</v>
      </c>
      <c r="H9" s="1187">
        <v>159.15793943018184</v>
      </c>
      <c r="I9" s="1187">
        <v>63.663175772072741</v>
      </c>
      <c r="J9" s="1187">
        <v>490.82260095399999</v>
      </c>
      <c r="K9" s="1187">
        <v>196.32904038160001</v>
      </c>
    </row>
    <row r="10" spans="1:14">
      <c r="A10" s="295" t="s">
        <v>1372</v>
      </c>
      <c r="B10" s="866"/>
      <c r="C10" s="866"/>
      <c r="D10" s="866"/>
      <c r="E10" s="866"/>
      <c r="F10" s="1187">
        <v>0</v>
      </c>
      <c r="G10" s="1187">
        <v>0</v>
      </c>
      <c r="H10" s="1187">
        <v>0</v>
      </c>
      <c r="I10" s="1187">
        <v>0</v>
      </c>
      <c r="J10" s="1187">
        <v>0</v>
      </c>
      <c r="K10" s="1187">
        <v>0</v>
      </c>
    </row>
    <row r="11" spans="1:14">
      <c r="A11" s="295" t="s">
        <v>1373</v>
      </c>
      <c r="B11" s="866"/>
      <c r="C11" s="866"/>
      <c r="D11" s="866"/>
      <c r="E11" s="866"/>
      <c r="F11" s="1187">
        <v>155.16</v>
      </c>
      <c r="G11" s="1187">
        <v>187.39</v>
      </c>
      <c r="H11" s="1187">
        <v>0</v>
      </c>
      <c r="I11" s="1187">
        <v>0</v>
      </c>
      <c r="J11" s="1187">
        <v>0</v>
      </c>
      <c r="K11" s="1187">
        <v>0</v>
      </c>
    </row>
    <row r="12" spans="1:14">
      <c r="A12" s="295" t="s">
        <v>1374</v>
      </c>
      <c r="B12" s="1510"/>
      <c r="C12" s="1510"/>
      <c r="D12" s="1510"/>
      <c r="E12" s="1510"/>
      <c r="F12" s="1187">
        <v>356.42</v>
      </c>
      <c r="G12" s="1187">
        <v>578.21</v>
      </c>
      <c r="H12" s="1187">
        <v>0</v>
      </c>
      <c r="I12" s="1187">
        <v>0</v>
      </c>
      <c r="J12" s="1187">
        <v>0</v>
      </c>
      <c r="K12" s="1187">
        <v>0</v>
      </c>
    </row>
    <row r="13" spans="1:14">
      <c r="A13" s="295" t="s">
        <v>1558</v>
      </c>
      <c r="B13" s="1510"/>
      <c r="C13" s="1510"/>
      <c r="D13" s="1510"/>
      <c r="E13" s="1510"/>
      <c r="F13" s="1187">
        <v>0</v>
      </c>
      <c r="G13" s="1187">
        <v>0</v>
      </c>
      <c r="H13" s="1187">
        <v>0</v>
      </c>
      <c r="I13" s="1187">
        <v>0</v>
      </c>
      <c r="J13" s="1187">
        <v>1100.06</v>
      </c>
      <c r="K13" s="1187">
        <v>440.024</v>
      </c>
    </row>
    <row r="14" spans="1:14">
      <c r="A14" s="866" t="s">
        <v>1555</v>
      </c>
      <c r="B14" s="1510"/>
      <c r="C14" s="1510"/>
      <c r="D14" s="1510"/>
      <c r="E14" s="1510"/>
      <c r="F14" s="1187">
        <f>F17</f>
        <v>214.87883289999999</v>
      </c>
      <c r="G14" s="1189">
        <f>F14</f>
        <v>214.87883289999999</v>
      </c>
      <c r="H14" s="1510"/>
      <c r="I14" s="1510"/>
      <c r="J14" s="1510"/>
      <c r="K14" s="1510"/>
      <c r="L14" s="202"/>
    </row>
    <row r="15" spans="1:14">
      <c r="A15" s="866" t="s">
        <v>1556</v>
      </c>
      <c r="B15" s="1510"/>
      <c r="C15" s="1510"/>
      <c r="D15" s="1510"/>
      <c r="E15" s="1510"/>
      <c r="F15" s="1187">
        <f>F18</f>
        <v>168.1615482</v>
      </c>
      <c r="G15" s="1189">
        <f>F15</f>
        <v>168.1615482</v>
      </c>
      <c r="H15" s="1510"/>
      <c r="I15" s="1510"/>
      <c r="J15" s="1510"/>
      <c r="K15" s="1510"/>
      <c r="L15" s="202"/>
    </row>
    <row r="16" spans="1:14" s="202" customFormat="1" ht="29">
      <c r="A16" s="818" t="s">
        <v>1557</v>
      </c>
      <c r="B16" s="736">
        <f t="shared" ref="B16:E16" si="0">SUM(B6:B12)</f>
        <v>0</v>
      </c>
      <c r="C16" s="736">
        <f t="shared" si="0"/>
        <v>0</v>
      </c>
      <c r="D16" s="736">
        <f t="shared" si="0"/>
        <v>0</v>
      </c>
      <c r="E16" s="736">
        <f t="shared" si="0"/>
        <v>0</v>
      </c>
      <c r="F16" s="736">
        <f>F19-F14-F15</f>
        <v>1873.1073349000001</v>
      </c>
      <c r="G16" s="736">
        <f>G19-G14-G15</f>
        <v>1967.6536896</v>
      </c>
      <c r="H16" s="736">
        <f t="shared" ref="H16:K16" si="1">SUM(H6:H13)</f>
        <v>656.88411546411601</v>
      </c>
      <c r="I16" s="736">
        <f t="shared" si="1"/>
        <v>1139.2071043056465</v>
      </c>
      <c r="J16" s="736">
        <f t="shared" si="1"/>
        <v>1615.0826009540001</v>
      </c>
      <c r="K16" s="736">
        <f t="shared" si="1"/>
        <v>1329.5573029649877</v>
      </c>
    </row>
    <row r="17" spans="1:14">
      <c r="A17" s="817" t="s">
        <v>1362</v>
      </c>
      <c r="B17" s="867"/>
      <c r="C17" s="867"/>
      <c r="D17" s="867"/>
      <c r="E17" s="867"/>
      <c r="F17" s="867">
        <f>'F36'!I10</f>
        <v>214.87883289999999</v>
      </c>
      <c r="G17" s="867">
        <f>F17</f>
        <v>214.87883289999999</v>
      </c>
      <c r="H17" s="867">
        <v>227.80007375087627</v>
      </c>
      <c r="I17" s="867">
        <f>H17</f>
        <v>227.80007375087627</v>
      </c>
      <c r="J17" s="867">
        <v>240.6287228059312</v>
      </c>
      <c r="K17" s="867">
        <f>J17</f>
        <v>240.6287228059312</v>
      </c>
      <c r="L17" s="202"/>
    </row>
    <row r="18" spans="1:14">
      <c r="A18" s="817" t="s">
        <v>1363</v>
      </c>
      <c r="B18" s="867"/>
      <c r="C18" s="867"/>
      <c r="D18" s="867"/>
      <c r="E18" s="867"/>
      <c r="F18" s="867">
        <f>'F36'!I8</f>
        <v>168.1615482</v>
      </c>
      <c r="G18" s="867">
        <f>F18</f>
        <v>168.1615482</v>
      </c>
      <c r="H18" s="867">
        <v>153.37819697599551</v>
      </c>
      <c r="I18" s="867">
        <f>H18</f>
        <v>153.37819697599551</v>
      </c>
      <c r="J18" s="867">
        <v>157.6171870822715</v>
      </c>
      <c r="K18" s="867">
        <f>J18</f>
        <v>157.6171870822715</v>
      </c>
    </row>
    <row r="19" spans="1:14" s="202" customFormat="1">
      <c r="A19" s="818" t="s">
        <v>1563</v>
      </c>
      <c r="B19" s="868">
        <f t="shared" ref="B19:E19" si="2">B16-B17-B18</f>
        <v>0</v>
      </c>
      <c r="C19" s="868">
        <f t="shared" si="2"/>
        <v>0</v>
      </c>
      <c r="D19" s="868">
        <f t="shared" si="2"/>
        <v>0</v>
      </c>
      <c r="E19" s="868">
        <f t="shared" si="2"/>
        <v>0</v>
      </c>
      <c r="F19" s="868">
        <v>2256.1477159999999</v>
      </c>
      <c r="G19" s="868">
        <v>2350.6940706999999</v>
      </c>
      <c r="H19" s="868">
        <f>H16+H17+H18</f>
        <v>1038.0623861909878</v>
      </c>
      <c r="I19" s="868">
        <f>I16+I17+I18</f>
        <v>1520.3853750325181</v>
      </c>
      <c r="J19" s="868">
        <f>J16+J17+J18</f>
        <v>2013.3285108422028</v>
      </c>
      <c r="K19" s="868">
        <f>K16+K17+K18</f>
        <v>1727.8032128531904</v>
      </c>
      <c r="L19" s="815"/>
    </row>
    <row r="20" spans="1:14" s="202" customFormat="1">
      <c r="A20" s="818" t="s">
        <v>1364</v>
      </c>
      <c r="B20" s="869"/>
      <c r="C20" s="869"/>
      <c r="D20" s="869"/>
      <c r="E20" s="869"/>
      <c r="F20" s="869"/>
      <c r="G20" s="869"/>
      <c r="H20" s="869"/>
      <c r="I20" s="869"/>
      <c r="J20" s="869"/>
      <c r="K20" s="869"/>
      <c r="L20" s="815"/>
    </row>
    <row r="21" spans="1:14" s="202" customFormat="1">
      <c r="A21" s="818" t="s">
        <v>1368</v>
      </c>
      <c r="B21" s="868">
        <f t="shared" ref="B21:K21" si="3">B19-B20</f>
        <v>0</v>
      </c>
      <c r="C21" s="868">
        <f t="shared" si="3"/>
        <v>0</v>
      </c>
      <c r="D21" s="868">
        <f t="shared" si="3"/>
        <v>0</v>
      </c>
      <c r="E21" s="868">
        <f t="shared" si="3"/>
        <v>0</v>
      </c>
      <c r="F21" s="868">
        <f t="shared" si="3"/>
        <v>2256.1477159999999</v>
      </c>
      <c r="G21" s="868">
        <f t="shared" si="3"/>
        <v>2350.6940706999999</v>
      </c>
      <c r="H21" s="868">
        <f t="shared" si="3"/>
        <v>1038.0623861909878</v>
      </c>
      <c r="I21" s="868">
        <f t="shared" si="3"/>
        <v>1520.3853750325181</v>
      </c>
      <c r="J21" s="868">
        <f t="shared" si="3"/>
        <v>2013.3285108422028</v>
      </c>
      <c r="K21" s="868">
        <f t="shared" si="3"/>
        <v>1727.8032128531904</v>
      </c>
      <c r="L21" s="815"/>
    </row>
    <row r="22" spans="1:14">
      <c r="B22" s="819"/>
      <c r="C22" s="819"/>
      <c r="D22" s="819"/>
      <c r="E22" s="819"/>
    </row>
    <row r="23" spans="1:14">
      <c r="A23"/>
      <c r="B23"/>
      <c r="C23"/>
      <c r="D23"/>
      <c r="E23"/>
      <c r="F23"/>
      <c r="G23"/>
      <c r="H23"/>
      <c r="I23"/>
      <c r="J23"/>
      <c r="K23"/>
      <c r="L23"/>
      <c r="M23"/>
      <c r="N23"/>
    </row>
    <row r="24" spans="1:14">
      <c r="A24"/>
      <c r="B24"/>
      <c r="C24"/>
      <c r="D24"/>
      <c r="E24"/>
      <c r="F24"/>
      <c r="G24"/>
      <c r="H24"/>
      <c r="I24"/>
      <c r="J24"/>
      <c r="K24"/>
      <c r="L24"/>
      <c r="M24"/>
      <c r="N24"/>
    </row>
    <row r="25" spans="1:14">
      <c r="A25"/>
      <c r="B25"/>
      <c r="C25"/>
      <c r="D25"/>
      <c r="E25"/>
      <c r="F25"/>
      <c r="G25"/>
      <c r="H25"/>
      <c r="I25"/>
      <c r="J25"/>
      <c r="K25"/>
      <c r="L25"/>
      <c r="M25"/>
      <c r="N25"/>
    </row>
    <row r="26" spans="1:14">
      <c r="A26"/>
      <c r="B26"/>
      <c r="C26"/>
      <c r="D26"/>
      <c r="E26"/>
      <c r="F26"/>
      <c r="G26"/>
      <c r="H26"/>
      <c r="I26"/>
      <c r="J26"/>
      <c r="K26"/>
      <c r="L26"/>
      <c r="M26"/>
      <c r="N26"/>
    </row>
    <row r="27" spans="1:14">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s="1227"/>
      <c r="L31" s="1227"/>
      <c r="M31" s="1227"/>
      <c r="N31" s="1227"/>
    </row>
    <row r="32" spans="1:14">
      <c r="A32"/>
      <c r="B32"/>
      <c r="C32"/>
      <c r="D32"/>
      <c r="E32"/>
      <c r="F32"/>
      <c r="G32"/>
      <c r="H32"/>
      <c r="I32"/>
      <c r="J32"/>
      <c r="K32" s="1227"/>
      <c r="L32" s="1227"/>
      <c r="M32" s="1227"/>
      <c r="N32" s="1227"/>
    </row>
    <row r="33" spans="1:14">
      <c r="A33"/>
      <c r="B33"/>
      <c r="C33"/>
      <c r="D33"/>
      <c r="E33"/>
      <c r="F33"/>
      <c r="G33"/>
      <c r="H33"/>
      <c r="I33"/>
      <c r="J33"/>
      <c r="K33"/>
      <c r="L33"/>
      <c r="M33"/>
      <c r="N33"/>
    </row>
    <row r="34" spans="1:14">
      <c r="A34"/>
      <c r="B34"/>
      <c r="C34"/>
      <c r="D34"/>
      <c r="E34"/>
      <c r="F34"/>
      <c r="G34"/>
      <c r="H34"/>
      <c r="I34"/>
      <c r="J34"/>
    </row>
  </sheetData>
  <mergeCells count="6">
    <mergeCell ref="H4:I4"/>
    <mergeCell ref="J4:K4"/>
    <mergeCell ref="A2:F2"/>
    <mergeCell ref="B4:C4"/>
    <mergeCell ref="D4:E4"/>
    <mergeCell ref="F4:G4"/>
  </mergeCells>
  <printOptions horizontalCentered="1"/>
  <pageMargins left="0.19685039370078741" right="0.19685039370078741" top="0.19685039370078741" bottom="0.19685039370078741" header="0.19685039370078741" footer="0.19685039370078741"/>
  <pageSetup paperSize="9" scale="9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view="pageBreakPreview" zoomScale="85" zoomScaleSheetLayoutView="85" workbookViewId="0">
      <selection activeCell="C105" sqref="C105"/>
    </sheetView>
  </sheetViews>
  <sheetFormatPr defaultColWidth="9.1796875" defaultRowHeight="14.5"/>
  <cols>
    <col min="1" max="1" width="8.81640625" customWidth="1"/>
    <col min="2" max="2" width="32.54296875" style="79" customWidth="1"/>
    <col min="3" max="4" width="13.1796875" customWidth="1"/>
    <col min="5" max="5" width="16.453125" customWidth="1"/>
    <col min="6" max="7" width="13.1796875" customWidth="1"/>
  </cols>
  <sheetData>
    <row r="1" spans="1:7" s="251" customFormat="1">
      <c r="A1" s="3314" t="s">
        <v>489</v>
      </c>
      <c r="B1" s="3314"/>
    </row>
    <row r="2" spans="1:7" ht="12.75" customHeight="1">
      <c r="A2" s="3367" t="s">
        <v>1604</v>
      </c>
      <c r="B2" s="3367"/>
      <c r="C2" s="3367"/>
      <c r="D2" s="3367"/>
      <c r="E2" s="3367"/>
      <c r="F2" s="3367"/>
      <c r="G2" s="3367"/>
    </row>
    <row r="3" spans="1:7" ht="23.25" customHeight="1">
      <c r="A3" s="628" t="s">
        <v>356</v>
      </c>
      <c r="B3" s="628"/>
      <c r="C3" s="573"/>
      <c r="D3" s="573"/>
      <c r="E3" s="573"/>
      <c r="F3" s="3330"/>
      <c r="G3" s="3330"/>
    </row>
    <row r="4" spans="1:7" ht="23.25" customHeight="1">
      <c r="F4" s="3356" t="s">
        <v>141</v>
      </c>
      <c r="G4" s="3356"/>
    </row>
    <row r="5" spans="1:7" ht="23.25" customHeight="1">
      <c r="A5" s="3032" t="s">
        <v>117</v>
      </c>
      <c r="B5" s="3032" t="s">
        <v>14</v>
      </c>
      <c r="C5" s="2994" t="s">
        <v>802</v>
      </c>
      <c r="D5" s="2994"/>
      <c r="E5" s="3026" t="s">
        <v>542</v>
      </c>
      <c r="F5" s="3026"/>
      <c r="G5" s="3026"/>
    </row>
    <row r="6" spans="1:7" ht="23.25" customHeight="1">
      <c r="A6" s="3033"/>
      <c r="B6" s="3033"/>
      <c r="C6" s="193" t="s">
        <v>553</v>
      </c>
      <c r="D6" s="193" t="s">
        <v>551</v>
      </c>
      <c r="E6" s="3018" t="s">
        <v>545</v>
      </c>
      <c r="F6" s="3019"/>
      <c r="G6" s="3022"/>
    </row>
    <row r="7" spans="1:7" ht="23.25" customHeight="1">
      <c r="A7" s="3034"/>
      <c r="B7" s="3034"/>
      <c r="C7" s="193" t="s">
        <v>554</v>
      </c>
      <c r="D7" s="193" t="s">
        <v>554</v>
      </c>
      <c r="E7" s="200" t="s">
        <v>543</v>
      </c>
      <c r="F7" s="329" t="s">
        <v>281</v>
      </c>
      <c r="G7" s="329" t="s">
        <v>544</v>
      </c>
    </row>
    <row r="8" spans="1:7" ht="30" customHeight="1">
      <c r="A8" s="3" t="s">
        <v>132</v>
      </c>
      <c r="B8" s="119" t="s">
        <v>357</v>
      </c>
      <c r="C8" s="3358" t="s">
        <v>1391</v>
      </c>
      <c r="D8" s="3359"/>
      <c r="E8" s="3359"/>
      <c r="F8" s="3359"/>
      <c r="G8" s="3360"/>
    </row>
    <row r="9" spans="1:7" ht="30" customHeight="1">
      <c r="A9" s="3" t="s">
        <v>129</v>
      </c>
      <c r="B9" s="120" t="s">
        <v>358</v>
      </c>
      <c r="C9" s="3361"/>
      <c r="D9" s="3362"/>
      <c r="E9" s="3362"/>
      <c r="F9" s="3362"/>
      <c r="G9" s="3363"/>
    </row>
    <row r="10" spans="1:7" ht="15" customHeight="1">
      <c r="A10" s="3"/>
      <c r="B10" s="120" t="s">
        <v>137</v>
      </c>
      <c r="C10" s="3361"/>
      <c r="D10" s="3362"/>
      <c r="E10" s="3362"/>
      <c r="F10" s="3362"/>
      <c r="G10" s="3363"/>
    </row>
    <row r="11" spans="1:7" ht="15" customHeight="1">
      <c r="A11" s="3" t="s">
        <v>130</v>
      </c>
      <c r="B11" s="120" t="s">
        <v>359</v>
      </c>
      <c r="C11" s="3361"/>
      <c r="D11" s="3362"/>
      <c r="E11" s="3362"/>
      <c r="F11" s="3362"/>
      <c r="G11" s="3363"/>
    </row>
    <row r="12" spans="1:7" ht="30" customHeight="1">
      <c r="A12" s="3" t="s">
        <v>133</v>
      </c>
      <c r="B12" s="120" t="s">
        <v>360</v>
      </c>
      <c r="C12" s="3361"/>
      <c r="D12" s="3362"/>
      <c r="E12" s="3362"/>
      <c r="F12" s="3362"/>
      <c r="G12" s="3363"/>
    </row>
    <row r="13" spans="1:7" ht="45" customHeight="1">
      <c r="A13" s="3" t="s">
        <v>361</v>
      </c>
      <c r="B13" s="120" t="s">
        <v>362</v>
      </c>
      <c r="C13" s="3361"/>
      <c r="D13" s="3362"/>
      <c r="E13" s="3362"/>
      <c r="F13" s="3362"/>
      <c r="G13" s="3363"/>
    </row>
    <row r="14" spans="1:7" ht="15" customHeight="1">
      <c r="A14" s="3" t="s">
        <v>363</v>
      </c>
      <c r="B14" s="120" t="s">
        <v>364</v>
      </c>
      <c r="C14" s="3361"/>
      <c r="D14" s="3362"/>
      <c r="E14" s="3362"/>
      <c r="F14" s="3362"/>
      <c r="G14" s="3363"/>
    </row>
    <row r="15" spans="1:7" ht="30" customHeight="1">
      <c r="A15" s="3" t="s">
        <v>363</v>
      </c>
      <c r="B15" s="120" t="s">
        <v>365</v>
      </c>
      <c r="C15" s="3361"/>
      <c r="D15" s="3362"/>
      <c r="E15" s="3362"/>
      <c r="F15" s="3362"/>
      <c r="G15" s="3363"/>
    </row>
    <row r="16" spans="1:7" ht="30" customHeight="1">
      <c r="A16" s="3" t="s">
        <v>58</v>
      </c>
      <c r="B16" s="121" t="s">
        <v>366</v>
      </c>
      <c r="C16" s="3361"/>
      <c r="D16" s="3362"/>
      <c r="E16" s="3362"/>
      <c r="F16" s="3362"/>
      <c r="G16" s="3363"/>
    </row>
    <row r="17" spans="1:7" ht="15" customHeight="1">
      <c r="A17" s="3" t="s">
        <v>67</v>
      </c>
      <c r="B17" s="141" t="s">
        <v>367</v>
      </c>
      <c r="C17" s="3364"/>
      <c r="D17" s="3365"/>
      <c r="E17" s="3365"/>
      <c r="F17" s="3365"/>
      <c r="G17" s="3366"/>
    </row>
    <row r="18" spans="1:7">
      <c r="C18" s="71"/>
      <c r="D18" s="71"/>
      <c r="E18" s="71"/>
      <c r="F18" s="71"/>
      <c r="G18" s="71"/>
    </row>
    <row r="20" spans="1:7">
      <c r="E20" s="23"/>
      <c r="F20" s="84"/>
    </row>
    <row r="21" spans="1:7">
      <c r="E21" s="197"/>
      <c r="F21" s="202"/>
      <c r="G21" s="2"/>
    </row>
  </sheetData>
  <mergeCells count="10">
    <mergeCell ref="C8:G17"/>
    <mergeCell ref="A1:B1"/>
    <mergeCell ref="A2:G2"/>
    <mergeCell ref="F3:G3"/>
    <mergeCell ref="F4:G4"/>
    <mergeCell ref="E5:G5"/>
    <mergeCell ref="B5:B7"/>
    <mergeCell ref="A5:A7"/>
    <mergeCell ref="C5:D5"/>
    <mergeCell ref="E6:G6"/>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view="pageBreakPreview" zoomScaleNormal="100" zoomScaleSheetLayoutView="100" workbookViewId="0">
      <selection activeCell="C105" sqref="C105"/>
    </sheetView>
  </sheetViews>
  <sheetFormatPr defaultRowHeight="14.5"/>
  <cols>
    <col min="1" max="1" width="32.54296875" style="4" customWidth="1"/>
    <col min="2" max="2" width="10.26953125" style="333" bestFit="1" customWidth="1"/>
    <col min="3" max="3" width="10.26953125" style="4" bestFit="1" customWidth="1"/>
    <col min="4" max="4" width="11.54296875" style="4" bestFit="1" customWidth="1"/>
    <col min="5" max="7" width="10.26953125" style="4" bestFit="1" customWidth="1"/>
    <col min="8" max="248" width="9.1796875" style="4"/>
    <col min="249" max="249" width="37.453125" style="4" customWidth="1"/>
    <col min="250" max="252" width="15.1796875" style="4" customWidth="1"/>
    <col min="253" max="253" width="13.81640625" style="4" customWidth="1"/>
    <col min="254" max="254" width="13.54296875" style="4" customWidth="1"/>
    <col min="255" max="255" width="13.7265625" style="4" customWidth="1"/>
    <col min="256" max="256" width="12.26953125" style="4" customWidth="1"/>
    <col min="257" max="257" width="11.81640625" style="4" bestFit="1" customWidth="1"/>
    <col min="258" max="504" width="9.1796875" style="4"/>
    <col min="505" max="505" width="37.453125" style="4" customWidth="1"/>
    <col min="506" max="508" width="15.1796875" style="4" customWidth="1"/>
    <col min="509" max="509" width="13.81640625" style="4" customWidth="1"/>
    <col min="510" max="510" width="13.54296875" style="4" customWidth="1"/>
    <col min="511" max="511" width="13.7265625" style="4" customWidth="1"/>
    <col min="512" max="512" width="12.26953125" style="4" customWidth="1"/>
    <col min="513" max="513" width="11.81640625" style="4" bestFit="1" customWidth="1"/>
    <col min="514" max="760" width="9.1796875" style="4"/>
    <col min="761" max="761" width="37.453125" style="4" customWidth="1"/>
    <col min="762" max="764" width="15.1796875" style="4" customWidth="1"/>
    <col min="765" max="765" width="13.81640625" style="4" customWidth="1"/>
    <col min="766" max="766" width="13.54296875" style="4" customWidth="1"/>
    <col min="767" max="767" width="13.7265625" style="4" customWidth="1"/>
    <col min="768" max="768" width="12.26953125" style="4" customWidth="1"/>
    <col min="769" max="769" width="11.81640625" style="4" bestFit="1" customWidth="1"/>
    <col min="770" max="1016" width="9.1796875" style="4"/>
    <col min="1017" max="1017" width="37.453125" style="4" customWidth="1"/>
    <col min="1018" max="1020" width="15.1796875" style="4" customWidth="1"/>
    <col min="1021" max="1021" width="13.81640625" style="4" customWidth="1"/>
    <col min="1022" max="1022" width="13.54296875" style="4" customWidth="1"/>
    <col min="1023" max="1023" width="13.7265625" style="4" customWidth="1"/>
    <col min="1024" max="1024" width="12.26953125" style="4" customWidth="1"/>
    <col min="1025" max="1025" width="11.81640625" style="4" bestFit="1" customWidth="1"/>
    <col min="1026" max="1272" width="9.1796875" style="4"/>
    <col min="1273" max="1273" width="37.453125" style="4" customWidth="1"/>
    <col min="1274" max="1276" width="15.1796875" style="4" customWidth="1"/>
    <col min="1277" max="1277" width="13.81640625" style="4" customWidth="1"/>
    <col min="1278" max="1278" width="13.54296875" style="4" customWidth="1"/>
    <col min="1279" max="1279" width="13.7265625" style="4" customWidth="1"/>
    <col min="1280" max="1280" width="12.26953125" style="4" customWidth="1"/>
    <col min="1281" max="1281" width="11.81640625" style="4" bestFit="1" customWidth="1"/>
    <col min="1282" max="1528" width="9.1796875" style="4"/>
    <col min="1529" max="1529" width="37.453125" style="4" customWidth="1"/>
    <col min="1530" max="1532" width="15.1796875" style="4" customWidth="1"/>
    <col min="1533" max="1533" width="13.81640625" style="4" customWidth="1"/>
    <col min="1534" max="1534" width="13.54296875" style="4" customWidth="1"/>
    <col min="1535" max="1535" width="13.7265625" style="4" customWidth="1"/>
    <col min="1536" max="1536" width="12.26953125" style="4" customWidth="1"/>
    <col min="1537" max="1537" width="11.81640625" style="4" bestFit="1" customWidth="1"/>
    <col min="1538" max="1784" width="9.1796875" style="4"/>
    <col min="1785" max="1785" width="37.453125" style="4" customWidth="1"/>
    <col min="1786" max="1788" width="15.1796875" style="4" customWidth="1"/>
    <col min="1789" max="1789" width="13.81640625" style="4" customWidth="1"/>
    <col min="1790" max="1790" width="13.54296875" style="4" customWidth="1"/>
    <col min="1791" max="1791" width="13.7265625" style="4" customWidth="1"/>
    <col min="1792" max="1792" width="12.26953125" style="4" customWidth="1"/>
    <col min="1793" max="1793" width="11.81640625" style="4" bestFit="1" customWidth="1"/>
    <col min="1794" max="2040" width="9.1796875" style="4"/>
    <col min="2041" max="2041" width="37.453125" style="4" customWidth="1"/>
    <col min="2042" max="2044" width="15.1796875" style="4" customWidth="1"/>
    <col min="2045" max="2045" width="13.81640625" style="4" customWidth="1"/>
    <col min="2046" max="2046" width="13.54296875" style="4" customWidth="1"/>
    <col min="2047" max="2047" width="13.7265625" style="4" customWidth="1"/>
    <col min="2048" max="2048" width="12.26953125" style="4" customWidth="1"/>
    <col min="2049" max="2049" width="11.81640625" style="4" bestFit="1" customWidth="1"/>
    <col min="2050" max="2296" width="9.1796875" style="4"/>
    <col min="2297" max="2297" width="37.453125" style="4" customWidth="1"/>
    <col min="2298" max="2300" width="15.1796875" style="4" customWidth="1"/>
    <col min="2301" max="2301" width="13.81640625" style="4" customWidth="1"/>
    <col min="2302" max="2302" width="13.54296875" style="4" customWidth="1"/>
    <col min="2303" max="2303" width="13.7265625" style="4" customWidth="1"/>
    <col min="2304" max="2304" width="12.26953125" style="4" customWidth="1"/>
    <col min="2305" max="2305" width="11.81640625" style="4" bestFit="1" customWidth="1"/>
    <col min="2306" max="2552" width="9.1796875" style="4"/>
    <col min="2553" max="2553" width="37.453125" style="4" customWidth="1"/>
    <col min="2554" max="2556" width="15.1796875" style="4" customWidth="1"/>
    <col min="2557" max="2557" width="13.81640625" style="4" customWidth="1"/>
    <col min="2558" max="2558" width="13.54296875" style="4" customWidth="1"/>
    <col min="2559" max="2559" width="13.7265625" style="4" customWidth="1"/>
    <col min="2560" max="2560" width="12.26953125" style="4" customWidth="1"/>
    <col min="2561" max="2561" width="11.81640625" style="4" bestFit="1" customWidth="1"/>
    <col min="2562" max="2808" width="9.1796875" style="4"/>
    <col min="2809" max="2809" width="37.453125" style="4" customWidth="1"/>
    <col min="2810" max="2812" width="15.1796875" style="4" customWidth="1"/>
    <col min="2813" max="2813" width="13.81640625" style="4" customWidth="1"/>
    <col min="2814" max="2814" width="13.54296875" style="4" customWidth="1"/>
    <col min="2815" max="2815" width="13.7265625" style="4" customWidth="1"/>
    <col min="2816" max="2816" width="12.26953125" style="4" customWidth="1"/>
    <col min="2817" max="2817" width="11.81640625" style="4" bestFit="1" customWidth="1"/>
    <col min="2818" max="3064" width="9.1796875" style="4"/>
    <col min="3065" max="3065" width="37.453125" style="4" customWidth="1"/>
    <col min="3066" max="3068" width="15.1796875" style="4" customWidth="1"/>
    <col min="3069" max="3069" width="13.81640625" style="4" customWidth="1"/>
    <col min="3070" max="3070" width="13.54296875" style="4" customWidth="1"/>
    <col min="3071" max="3071" width="13.7265625" style="4" customWidth="1"/>
    <col min="3072" max="3072" width="12.26953125" style="4" customWidth="1"/>
    <col min="3073" max="3073" width="11.81640625" style="4" bestFit="1" customWidth="1"/>
    <col min="3074" max="3320" width="9.1796875" style="4"/>
    <col min="3321" max="3321" width="37.453125" style="4" customWidth="1"/>
    <col min="3322" max="3324" width="15.1796875" style="4" customWidth="1"/>
    <col min="3325" max="3325" width="13.81640625" style="4" customWidth="1"/>
    <col min="3326" max="3326" width="13.54296875" style="4" customWidth="1"/>
    <col min="3327" max="3327" width="13.7265625" style="4" customWidth="1"/>
    <col min="3328" max="3328" width="12.26953125" style="4" customWidth="1"/>
    <col min="3329" max="3329" width="11.81640625" style="4" bestFit="1" customWidth="1"/>
    <col min="3330" max="3576" width="9.1796875" style="4"/>
    <col min="3577" max="3577" width="37.453125" style="4" customWidth="1"/>
    <col min="3578" max="3580" width="15.1796875" style="4" customWidth="1"/>
    <col min="3581" max="3581" width="13.81640625" style="4" customWidth="1"/>
    <col min="3582" max="3582" width="13.54296875" style="4" customWidth="1"/>
    <col min="3583" max="3583" width="13.7265625" style="4" customWidth="1"/>
    <col min="3584" max="3584" width="12.26953125" style="4" customWidth="1"/>
    <col min="3585" max="3585" width="11.81640625" style="4" bestFit="1" customWidth="1"/>
    <col min="3586" max="3832" width="9.1796875" style="4"/>
    <col min="3833" max="3833" width="37.453125" style="4" customWidth="1"/>
    <col min="3834" max="3836" width="15.1796875" style="4" customWidth="1"/>
    <col min="3837" max="3837" width="13.81640625" style="4" customWidth="1"/>
    <col min="3838" max="3838" width="13.54296875" style="4" customWidth="1"/>
    <col min="3839" max="3839" width="13.7265625" style="4" customWidth="1"/>
    <col min="3840" max="3840" width="12.26953125" style="4" customWidth="1"/>
    <col min="3841" max="3841" width="11.81640625" style="4" bestFit="1" customWidth="1"/>
    <col min="3842" max="4088" width="9.1796875" style="4"/>
    <col min="4089" max="4089" width="37.453125" style="4" customWidth="1"/>
    <col min="4090" max="4092" width="15.1796875" style="4" customWidth="1"/>
    <col min="4093" max="4093" width="13.81640625" style="4" customWidth="1"/>
    <col min="4094" max="4094" width="13.54296875" style="4" customWidth="1"/>
    <col min="4095" max="4095" width="13.7265625" style="4" customWidth="1"/>
    <col min="4096" max="4096" width="12.26953125" style="4" customWidth="1"/>
    <col min="4097" max="4097" width="11.81640625" style="4" bestFit="1" customWidth="1"/>
    <col min="4098" max="4344" width="9.1796875" style="4"/>
    <col min="4345" max="4345" width="37.453125" style="4" customWidth="1"/>
    <col min="4346" max="4348" width="15.1796875" style="4" customWidth="1"/>
    <col min="4349" max="4349" width="13.81640625" style="4" customWidth="1"/>
    <col min="4350" max="4350" width="13.54296875" style="4" customWidth="1"/>
    <col min="4351" max="4351" width="13.7265625" style="4" customWidth="1"/>
    <col min="4352" max="4352" width="12.26953125" style="4" customWidth="1"/>
    <col min="4353" max="4353" width="11.81640625" style="4" bestFit="1" customWidth="1"/>
    <col min="4354" max="4600" width="9.1796875" style="4"/>
    <col min="4601" max="4601" width="37.453125" style="4" customWidth="1"/>
    <col min="4602" max="4604" width="15.1796875" style="4" customWidth="1"/>
    <col min="4605" max="4605" width="13.81640625" style="4" customWidth="1"/>
    <col min="4606" max="4606" width="13.54296875" style="4" customWidth="1"/>
    <col min="4607" max="4607" width="13.7265625" style="4" customWidth="1"/>
    <col min="4608" max="4608" width="12.26953125" style="4" customWidth="1"/>
    <col min="4609" max="4609" width="11.81640625" style="4" bestFit="1" customWidth="1"/>
    <col min="4610" max="4856" width="9.1796875" style="4"/>
    <col min="4857" max="4857" width="37.453125" style="4" customWidth="1"/>
    <col min="4858" max="4860" width="15.1796875" style="4" customWidth="1"/>
    <col min="4861" max="4861" width="13.81640625" style="4" customWidth="1"/>
    <col min="4862" max="4862" width="13.54296875" style="4" customWidth="1"/>
    <col min="4863" max="4863" width="13.7265625" style="4" customWidth="1"/>
    <col min="4864" max="4864" width="12.26953125" style="4" customWidth="1"/>
    <col min="4865" max="4865" width="11.81640625" style="4" bestFit="1" customWidth="1"/>
    <col min="4866" max="5112" width="9.1796875" style="4"/>
    <col min="5113" max="5113" width="37.453125" style="4" customWidth="1"/>
    <col min="5114" max="5116" width="15.1796875" style="4" customWidth="1"/>
    <col min="5117" max="5117" width="13.81640625" style="4" customWidth="1"/>
    <col min="5118" max="5118" width="13.54296875" style="4" customWidth="1"/>
    <col min="5119" max="5119" width="13.7265625" style="4" customWidth="1"/>
    <col min="5120" max="5120" width="12.26953125" style="4" customWidth="1"/>
    <col min="5121" max="5121" width="11.81640625" style="4" bestFit="1" customWidth="1"/>
    <col min="5122" max="5368" width="9.1796875" style="4"/>
    <col min="5369" max="5369" width="37.453125" style="4" customWidth="1"/>
    <col min="5370" max="5372" width="15.1796875" style="4" customWidth="1"/>
    <col min="5373" max="5373" width="13.81640625" style="4" customWidth="1"/>
    <col min="5374" max="5374" width="13.54296875" style="4" customWidth="1"/>
    <col min="5375" max="5375" width="13.7265625" style="4" customWidth="1"/>
    <col min="5376" max="5376" width="12.26953125" style="4" customWidth="1"/>
    <col min="5377" max="5377" width="11.81640625" style="4" bestFit="1" customWidth="1"/>
    <col min="5378" max="5624" width="9.1796875" style="4"/>
    <col min="5625" max="5625" width="37.453125" style="4" customWidth="1"/>
    <col min="5626" max="5628" width="15.1796875" style="4" customWidth="1"/>
    <col min="5629" max="5629" width="13.81640625" style="4" customWidth="1"/>
    <col min="5630" max="5630" width="13.54296875" style="4" customWidth="1"/>
    <col min="5631" max="5631" width="13.7265625" style="4" customWidth="1"/>
    <col min="5632" max="5632" width="12.26953125" style="4" customWidth="1"/>
    <col min="5633" max="5633" width="11.81640625" style="4" bestFit="1" customWidth="1"/>
    <col min="5634" max="5880" width="9.1796875" style="4"/>
    <col min="5881" max="5881" width="37.453125" style="4" customWidth="1"/>
    <col min="5882" max="5884" width="15.1796875" style="4" customWidth="1"/>
    <col min="5885" max="5885" width="13.81640625" style="4" customWidth="1"/>
    <col min="5886" max="5886" width="13.54296875" style="4" customWidth="1"/>
    <col min="5887" max="5887" width="13.7265625" style="4" customWidth="1"/>
    <col min="5888" max="5888" width="12.26953125" style="4" customWidth="1"/>
    <col min="5889" max="5889" width="11.81640625" style="4" bestFit="1" customWidth="1"/>
    <col min="5890" max="6136" width="9.1796875" style="4"/>
    <col min="6137" max="6137" width="37.453125" style="4" customWidth="1"/>
    <col min="6138" max="6140" width="15.1796875" style="4" customWidth="1"/>
    <col min="6141" max="6141" width="13.81640625" style="4" customWidth="1"/>
    <col min="6142" max="6142" width="13.54296875" style="4" customWidth="1"/>
    <col min="6143" max="6143" width="13.7265625" style="4" customWidth="1"/>
    <col min="6144" max="6144" width="12.26953125" style="4" customWidth="1"/>
    <col min="6145" max="6145" width="11.81640625" style="4" bestFit="1" customWidth="1"/>
    <col min="6146" max="6392" width="9.1796875" style="4"/>
    <col min="6393" max="6393" width="37.453125" style="4" customWidth="1"/>
    <col min="6394" max="6396" width="15.1796875" style="4" customWidth="1"/>
    <col min="6397" max="6397" width="13.81640625" style="4" customWidth="1"/>
    <col min="6398" max="6398" width="13.54296875" style="4" customWidth="1"/>
    <col min="6399" max="6399" width="13.7265625" style="4" customWidth="1"/>
    <col min="6400" max="6400" width="12.26953125" style="4" customWidth="1"/>
    <col min="6401" max="6401" width="11.81640625" style="4" bestFit="1" customWidth="1"/>
    <col min="6402" max="6648" width="9.1796875" style="4"/>
    <col min="6649" max="6649" width="37.453125" style="4" customWidth="1"/>
    <col min="6650" max="6652" width="15.1796875" style="4" customWidth="1"/>
    <col min="6653" max="6653" width="13.81640625" style="4" customWidth="1"/>
    <col min="6654" max="6654" width="13.54296875" style="4" customWidth="1"/>
    <col min="6655" max="6655" width="13.7265625" style="4" customWidth="1"/>
    <col min="6656" max="6656" width="12.26953125" style="4" customWidth="1"/>
    <col min="6657" max="6657" width="11.81640625" style="4" bestFit="1" customWidth="1"/>
    <col min="6658" max="6904" width="9.1796875" style="4"/>
    <col min="6905" max="6905" width="37.453125" style="4" customWidth="1"/>
    <col min="6906" max="6908" width="15.1796875" style="4" customWidth="1"/>
    <col min="6909" max="6909" width="13.81640625" style="4" customWidth="1"/>
    <col min="6910" max="6910" width="13.54296875" style="4" customWidth="1"/>
    <col min="6911" max="6911" width="13.7265625" style="4" customWidth="1"/>
    <col min="6912" max="6912" width="12.26953125" style="4" customWidth="1"/>
    <col min="6913" max="6913" width="11.81640625" style="4" bestFit="1" customWidth="1"/>
    <col min="6914" max="7160" width="9.1796875" style="4"/>
    <col min="7161" max="7161" width="37.453125" style="4" customWidth="1"/>
    <col min="7162" max="7164" width="15.1796875" style="4" customWidth="1"/>
    <col min="7165" max="7165" width="13.81640625" style="4" customWidth="1"/>
    <col min="7166" max="7166" width="13.54296875" style="4" customWidth="1"/>
    <col min="7167" max="7167" width="13.7265625" style="4" customWidth="1"/>
    <col min="7168" max="7168" width="12.26953125" style="4" customWidth="1"/>
    <col min="7169" max="7169" width="11.81640625" style="4" bestFit="1" customWidth="1"/>
    <col min="7170" max="7416" width="9.1796875" style="4"/>
    <col min="7417" max="7417" width="37.453125" style="4" customWidth="1"/>
    <col min="7418" max="7420" width="15.1796875" style="4" customWidth="1"/>
    <col min="7421" max="7421" width="13.81640625" style="4" customWidth="1"/>
    <col min="7422" max="7422" width="13.54296875" style="4" customWidth="1"/>
    <col min="7423" max="7423" width="13.7265625" style="4" customWidth="1"/>
    <col min="7424" max="7424" width="12.26953125" style="4" customWidth="1"/>
    <col min="7425" max="7425" width="11.81640625" style="4" bestFit="1" customWidth="1"/>
    <col min="7426" max="7672" width="9.1796875" style="4"/>
    <col min="7673" max="7673" width="37.453125" style="4" customWidth="1"/>
    <col min="7674" max="7676" width="15.1796875" style="4" customWidth="1"/>
    <col min="7677" max="7677" width="13.81640625" style="4" customWidth="1"/>
    <col min="7678" max="7678" width="13.54296875" style="4" customWidth="1"/>
    <col min="7679" max="7679" width="13.7265625" style="4" customWidth="1"/>
    <col min="7680" max="7680" width="12.26953125" style="4" customWidth="1"/>
    <col min="7681" max="7681" width="11.81640625" style="4" bestFit="1" customWidth="1"/>
    <col min="7682" max="7928" width="9.1796875" style="4"/>
    <col min="7929" max="7929" width="37.453125" style="4" customWidth="1"/>
    <col min="7930" max="7932" width="15.1796875" style="4" customWidth="1"/>
    <col min="7933" max="7933" width="13.81640625" style="4" customWidth="1"/>
    <col min="7934" max="7934" width="13.54296875" style="4" customWidth="1"/>
    <col min="7935" max="7935" width="13.7265625" style="4" customWidth="1"/>
    <col min="7936" max="7936" width="12.26953125" style="4" customWidth="1"/>
    <col min="7937" max="7937" width="11.81640625" style="4" bestFit="1" customWidth="1"/>
    <col min="7938" max="8184" width="9.1796875" style="4"/>
    <col min="8185" max="8185" width="37.453125" style="4" customWidth="1"/>
    <col min="8186" max="8188" width="15.1796875" style="4" customWidth="1"/>
    <col min="8189" max="8189" width="13.81640625" style="4" customWidth="1"/>
    <col min="8190" max="8190" width="13.54296875" style="4" customWidth="1"/>
    <col min="8191" max="8191" width="13.7265625" style="4" customWidth="1"/>
    <col min="8192" max="8192" width="12.26953125" style="4" customWidth="1"/>
    <col min="8193" max="8193" width="11.81640625" style="4" bestFit="1" customWidth="1"/>
    <col min="8194" max="8440" width="9.1796875" style="4"/>
    <col min="8441" max="8441" width="37.453125" style="4" customWidth="1"/>
    <col min="8442" max="8444" width="15.1796875" style="4" customWidth="1"/>
    <col min="8445" max="8445" width="13.81640625" style="4" customWidth="1"/>
    <col min="8446" max="8446" width="13.54296875" style="4" customWidth="1"/>
    <col min="8447" max="8447" width="13.7265625" style="4" customWidth="1"/>
    <col min="8448" max="8448" width="12.26953125" style="4" customWidth="1"/>
    <col min="8449" max="8449" width="11.81640625" style="4" bestFit="1" customWidth="1"/>
    <col min="8450" max="8696" width="9.1796875" style="4"/>
    <col min="8697" max="8697" width="37.453125" style="4" customWidth="1"/>
    <col min="8698" max="8700" width="15.1796875" style="4" customWidth="1"/>
    <col min="8701" max="8701" width="13.81640625" style="4" customWidth="1"/>
    <col min="8702" max="8702" width="13.54296875" style="4" customWidth="1"/>
    <col min="8703" max="8703" width="13.7265625" style="4" customWidth="1"/>
    <col min="8704" max="8704" width="12.26953125" style="4" customWidth="1"/>
    <col min="8705" max="8705" width="11.81640625" style="4" bestFit="1" customWidth="1"/>
    <col min="8706" max="8952" width="9.1796875" style="4"/>
    <col min="8953" max="8953" width="37.453125" style="4" customWidth="1"/>
    <col min="8954" max="8956" width="15.1796875" style="4" customWidth="1"/>
    <col min="8957" max="8957" width="13.81640625" style="4" customWidth="1"/>
    <col min="8958" max="8958" width="13.54296875" style="4" customWidth="1"/>
    <col min="8959" max="8959" width="13.7265625" style="4" customWidth="1"/>
    <col min="8960" max="8960" width="12.26953125" style="4" customWidth="1"/>
    <col min="8961" max="8961" width="11.81640625" style="4" bestFit="1" customWidth="1"/>
    <col min="8962" max="9208" width="9.1796875" style="4"/>
    <col min="9209" max="9209" width="37.453125" style="4" customWidth="1"/>
    <col min="9210" max="9212" width="15.1796875" style="4" customWidth="1"/>
    <col min="9213" max="9213" width="13.81640625" style="4" customWidth="1"/>
    <col min="9214" max="9214" width="13.54296875" style="4" customWidth="1"/>
    <col min="9215" max="9215" width="13.7265625" style="4" customWidth="1"/>
    <col min="9216" max="9216" width="12.26953125" style="4" customWidth="1"/>
    <col min="9217" max="9217" width="11.81640625" style="4" bestFit="1" customWidth="1"/>
    <col min="9218" max="9464" width="9.1796875" style="4"/>
    <col min="9465" max="9465" width="37.453125" style="4" customWidth="1"/>
    <col min="9466" max="9468" width="15.1796875" style="4" customWidth="1"/>
    <col min="9469" max="9469" width="13.81640625" style="4" customWidth="1"/>
    <col min="9470" max="9470" width="13.54296875" style="4" customWidth="1"/>
    <col min="9471" max="9471" width="13.7265625" style="4" customWidth="1"/>
    <col min="9472" max="9472" width="12.26953125" style="4" customWidth="1"/>
    <col min="9473" max="9473" width="11.81640625" style="4" bestFit="1" customWidth="1"/>
    <col min="9474" max="9720" width="9.1796875" style="4"/>
    <col min="9721" max="9721" width="37.453125" style="4" customWidth="1"/>
    <col min="9722" max="9724" width="15.1796875" style="4" customWidth="1"/>
    <col min="9725" max="9725" width="13.81640625" style="4" customWidth="1"/>
    <col min="9726" max="9726" width="13.54296875" style="4" customWidth="1"/>
    <col min="9727" max="9727" width="13.7265625" style="4" customWidth="1"/>
    <col min="9728" max="9728" width="12.26953125" style="4" customWidth="1"/>
    <col min="9729" max="9729" width="11.81640625" style="4" bestFit="1" customWidth="1"/>
    <col min="9730" max="9976" width="9.1796875" style="4"/>
    <col min="9977" max="9977" width="37.453125" style="4" customWidth="1"/>
    <col min="9978" max="9980" width="15.1796875" style="4" customWidth="1"/>
    <col min="9981" max="9981" width="13.81640625" style="4" customWidth="1"/>
    <col min="9982" max="9982" width="13.54296875" style="4" customWidth="1"/>
    <col min="9983" max="9983" width="13.7265625" style="4" customWidth="1"/>
    <col min="9984" max="9984" width="12.26953125" style="4" customWidth="1"/>
    <col min="9985" max="9985" width="11.81640625" style="4" bestFit="1" customWidth="1"/>
    <col min="9986" max="10232" width="9.1796875" style="4"/>
    <col min="10233" max="10233" width="37.453125" style="4" customWidth="1"/>
    <col min="10234" max="10236" width="15.1796875" style="4" customWidth="1"/>
    <col min="10237" max="10237" width="13.81640625" style="4" customWidth="1"/>
    <col min="10238" max="10238" width="13.54296875" style="4" customWidth="1"/>
    <col min="10239" max="10239" width="13.7265625" style="4" customWidth="1"/>
    <col min="10240" max="10240" width="12.26953125" style="4" customWidth="1"/>
    <col min="10241" max="10241" width="11.81640625" style="4" bestFit="1" customWidth="1"/>
    <col min="10242" max="10488" width="9.1796875" style="4"/>
    <col min="10489" max="10489" width="37.453125" style="4" customWidth="1"/>
    <col min="10490" max="10492" width="15.1796875" style="4" customWidth="1"/>
    <col min="10493" max="10493" width="13.81640625" style="4" customWidth="1"/>
    <col min="10494" max="10494" width="13.54296875" style="4" customWidth="1"/>
    <col min="10495" max="10495" width="13.7265625" style="4" customWidth="1"/>
    <col min="10496" max="10496" width="12.26953125" style="4" customWidth="1"/>
    <col min="10497" max="10497" width="11.81640625" style="4" bestFit="1" customWidth="1"/>
    <col min="10498" max="10744" width="9.1796875" style="4"/>
    <col min="10745" max="10745" width="37.453125" style="4" customWidth="1"/>
    <col min="10746" max="10748" width="15.1796875" style="4" customWidth="1"/>
    <col min="10749" max="10749" width="13.81640625" style="4" customWidth="1"/>
    <col min="10750" max="10750" width="13.54296875" style="4" customWidth="1"/>
    <col min="10751" max="10751" width="13.7265625" style="4" customWidth="1"/>
    <col min="10752" max="10752" width="12.26953125" style="4" customWidth="1"/>
    <col min="10753" max="10753" width="11.81640625" style="4" bestFit="1" customWidth="1"/>
    <col min="10754" max="11000" width="9.1796875" style="4"/>
    <col min="11001" max="11001" width="37.453125" style="4" customWidth="1"/>
    <col min="11002" max="11004" width="15.1796875" style="4" customWidth="1"/>
    <col min="11005" max="11005" width="13.81640625" style="4" customWidth="1"/>
    <col min="11006" max="11006" width="13.54296875" style="4" customWidth="1"/>
    <col min="11007" max="11007" width="13.7265625" style="4" customWidth="1"/>
    <col min="11008" max="11008" width="12.26953125" style="4" customWidth="1"/>
    <col min="11009" max="11009" width="11.81640625" style="4" bestFit="1" customWidth="1"/>
    <col min="11010" max="11256" width="9.1796875" style="4"/>
    <col min="11257" max="11257" width="37.453125" style="4" customWidth="1"/>
    <col min="11258" max="11260" width="15.1796875" style="4" customWidth="1"/>
    <col min="11261" max="11261" width="13.81640625" style="4" customWidth="1"/>
    <col min="11262" max="11262" width="13.54296875" style="4" customWidth="1"/>
    <col min="11263" max="11263" width="13.7265625" style="4" customWidth="1"/>
    <col min="11264" max="11264" width="12.26953125" style="4" customWidth="1"/>
    <col min="11265" max="11265" width="11.81640625" style="4" bestFit="1" customWidth="1"/>
    <col min="11266" max="11512" width="9.1796875" style="4"/>
    <col min="11513" max="11513" width="37.453125" style="4" customWidth="1"/>
    <col min="11514" max="11516" width="15.1796875" style="4" customWidth="1"/>
    <col min="11517" max="11517" width="13.81640625" style="4" customWidth="1"/>
    <col min="11518" max="11518" width="13.54296875" style="4" customWidth="1"/>
    <col min="11519" max="11519" width="13.7265625" style="4" customWidth="1"/>
    <col min="11520" max="11520" width="12.26953125" style="4" customWidth="1"/>
    <col min="11521" max="11521" width="11.81640625" style="4" bestFit="1" customWidth="1"/>
    <col min="11522" max="11768" width="9.1796875" style="4"/>
    <col min="11769" max="11769" width="37.453125" style="4" customWidth="1"/>
    <col min="11770" max="11772" width="15.1796875" style="4" customWidth="1"/>
    <col min="11773" max="11773" width="13.81640625" style="4" customWidth="1"/>
    <col min="11774" max="11774" width="13.54296875" style="4" customWidth="1"/>
    <col min="11775" max="11775" width="13.7265625" style="4" customWidth="1"/>
    <col min="11776" max="11776" width="12.26953125" style="4" customWidth="1"/>
    <col min="11777" max="11777" width="11.81640625" style="4" bestFit="1" customWidth="1"/>
    <col min="11778" max="12024" width="9.1796875" style="4"/>
    <col min="12025" max="12025" width="37.453125" style="4" customWidth="1"/>
    <col min="12026" max="12028" width="15.1796875" style="4" customWidth="1"/>
    <col min="12029" max="12029" width="13.81640625" style="4" customWidth="1"/>
    <col min="12030" max="12030" width="13.54296875" style="4" customWidth="1"/>
    <col min="12031" max="12031" width="13.7265625" style="4" customWidth="1"/>
    <col min="12032" max="12032" width="12.26953125" style="4" customWidth="1"/>
    <col min="12033" max="12033" width="11.81640625" style="4" bestFit="1" customWidth="1"/>
    <col min="12034" max="12280" width="9.1796875" style="4"/>
    <col min="12281" max="12281" width="37.453125" style="4" customWidth="1"/>
    <col min="12282" max="12284" width="15.1796875" style="4" customWidth="1"/>
    <col min="12285" max="12285" width="13.81640625" style="4" customWidth="1"/>
    <col min="12286" max="12286" width="13.54296875" style="4" customWidth="1"/>
    <col min="12287" max="12287" width="13.7265625" style="4" customWidth="1"/>
    <col min="12288" max="12288" width="12.26953125" style="4" customWidth="1"/>
    <col min="12289" max="12289" width="11.81640625" style="4" bestFit="1" customWidth="1"/>
    <col min="12290" max="12536" width="9.1796875" style="4"/>
    <col min="12537" max="12537" width="37.453125" style="4" customWidth="1"/>
    <col min="12538" max="12540" width="15.1796875" style="4" customWidth="1"/>
    <col min="12541" max="12541" width="13.81640625" style="4" customWidth="1"/>
    <col min="12542" max="12542" width="13.54296875" style="4" customWidth="1"/>
    <col min="12543" max="12543" width="13.7265625" style="4" customWidth="1"/>
    <col min="12544" max="12544" width="12.26953125" style="4" customWidth="1"/>
    <col min="12545" max="12545" width="11.81640625" style="4" bestFit="1" customWidth="1"/>
    <col min="12546" max="12792" width="9.1796875" style="4"/>
    <col min="12793" max="12793" width="37.453125" style="4" customWidth="1"/>
    <col min="12794" max="12796" width="15.1796875" style="4" customWidth="1"/>
    <col min="12797" max="12797" width="13.81640625" style="4" customWidth="1"/>
    <col min="12798" max="12798" width="13.54296875" style="4" customWidth="1"/>
    <col min="12799" max="12799" width="13.7265625" style="4" customWidth="1"/>
    <col min="12800" max="12800" width="12.26953125" style="4" customWidth="1"/>
    <col min="12801" max="12801" width="11.81640625" style="4" bestFit="1" customWidth="1"/>
    <col min="12802" max="13048" width="9.1796875" style="4"/>
    <col min="13049" max="13049" width="37.453125" style="4" customWidth="1"/>
    <col min="13050" max="13052" width="15.1796875" style="4" customWidth="1"/>
    <col min="13053" max="13053" width="13.81640625" style="4" customWidth="1"/>
    <col min="13054" max="13054" width="13.54296875" style="4" customWidth="1"/>
    <col min="13055" max="13055" width="13.7265625" style="4" customWidth="1"/>
    <col min="13056" max="13056" width="12.26953125" style="4" customWidth="1"/>
    <col min="13057" max="13057" width="11.81640625" style="4" bestFit="1" customWidth="1"/>
    <col min="13058" max="13304" width="9.1796875" style="4"/>
    <col min="13305" max="13305" width="37.453125" style="4" customWidth="1"/>
    <col min="13306" max="13308" width="15.1796875" style="4" customWidth="1"/>
    <col min="13309" max="13309" width="13.81640625" style="4" customWidth="1"/>
    <col min="13310" max="13310" width="13.54296875" style="4" customWidth="1"/>
    <col min="13311" max="13311" width="13.7265625" style="4" customWidth="1"/>
    <col min="13312" max="13312" width="12.26953125" style="4" customWidth="1"/>
    <col min="13313" max="13313" width="11.81640625" style="4" bestFit="1" customWidth="1"/>
    <col min="13314" max="13560" width="9.1796875" style="4"/>
    <col min="13561" max="13561" width="37.453125" style="4" customWidth="1"/>
    <col min="13562" max="13564" width="15.1796875" style="4" customWidth="1"/>
    <col min="13565" max="13565" width="13.81640625" style="4" customWidth="1"/>
    <col min="13566" max="13566" width="13.54296875" style="4" customWidth="1"/>
    <col min="13567" max="13567" width="13.7265625" style="4" customWidth="1"/>
    <col min="13568" max="13568" width="12.26953125" style="4" customWidth="1"/>
    <col min="13569" max="13569" width="11.81640625" style="4" bestFit="1" customWidth="1"/>
    <col min="13570" max="13816" width="9.1796875" style="4"/>
    <col min="13817" max="13817" width="37.453125" style="4" customWidth="1"/>
    <col min="13818" max="13820" width="15.1796875" style="4" customWidth="1"/>
    <col min="13821" max="13821" width="13.81640625" style="4" customWidth="1"/>
    <col min="13822" max="13822" width="13.54296875" style="4" customWidth="1"/>
    <col min="13823" max="13823" width="13.7265625" style="4" customWidth="1"/>
    <col min="13824" max="13824" width="12.26953125" style="4" customWidth="1"/>
    <col min="13825" max="13825" width="11.81640625" style="4" bestFit="1" customWidth="1"/>
    <col min="13826" max="14072" width="9.1796875" style="4"/>
    <col min="14073" max="14073" width="37.453125" style="4" customWidth="1"/>
    <col min="14074" max="14076" width="15.1796875" style="4" customWidth="1"/>
    <col min="14077" max="14077" width="13.81640625" style="4" customWidth="1"/>
    <col min="14078" max="14078" width="13.54296875" style="4" customWidth="1"/>
    <col min="14079" max="14079" width="13.7265625" style="4" customWidth="1"/>
    <col min="14080" max="14080" width="12.26953125" style="4" customWidth="1"/>
    <col min="14081" max="14081" width="11.81640625" style="4" bestFit="1" customWidth="1"/>
    <col min="14082" max="14328" width="9.1796875" style="4"/>
    <col min="14329" max="14329" width="37.453125" style="4" customWidth="1"/>
    <col min="14330" max="14332" width="15.1796875" style="4" customWidth="1"/>
    <col min="14333" max="14333" width="13.81640625" style="4" customWidth="1"/>
    <col min="14334" max="14334" width="13.54296875" style="4" customWidth="1"/>
    <col min="14335" max="14335" width="13.7265625" style="4" customWidth="1"/>
    <col min="14336" max="14336" width="12.26953125" style="4" customWidth="1"/>
    <col min="14337" max="14337" width="11.81640625" style="4" bestFit="1" customWidth="1"/>
    <col min="14338" max="14584" width="9.1796875" style="4"/>
    <col min="14585" max="14585" width="37.453125" style="4" customWidth="1"/>
    <col min="14586" max="14588" width="15.1796875" style="4" customWidth="1"/>
    <col min="14589" max="14589" width="13.81640625" style="4" customWidth="1"/>
    <col min="14590" max="14590" width="13.54296875" style="4" customWidth="1"/>
    <col min="14591" max="14591" width="13.7265625" style="4" customWidth="1"/>
    <col min="14592" max="14592" width="12.26953125" style="4" customWidth="1"/>
    <col min="14593" max="14593" width="11.81640625" style="4" bestFit="1" customWidth="1"/>
    <col min="14594" max="14840" width="9.1796875" style="4"/>
    <col min="14841" max="14841" width="37.453125" style="4" customWidth="1"/>
    <col min="14842" max="14844" width="15.1796875" style="4" customWidth="1"/>
    <col min="14845" max="14845" width="13.81640625" style="4" customWidth="1"/>
    <col min="14846" max="14846" width="13.54296875" style="4" customWidth="1"/>
    <col min="14847" max="14847" width="13.7265625" style="4" customWidth="1"/>
    <col min="14848" max="14848" width="12.26953125" style="4" customWidth="1"/>
    <col min="14849" max="14849" width="11.81640625" style="4" bestFit="1" customWidth="1"/>
    <col min="14850" max="15096" width="9.1796875" style="4"/>
    <col min="15097" max="15097" width="37.453125" style="4" customWidth="1"/>
    <col min="15098" max="15100" width="15.1796875" style="4" customWidth="1"/>
    <col min="15101" max="15101" width="13.81640625" style="4" customWidth="1"/>
    <col min="15102" max="15102" width="13.54296875" style="4" customWidth="1"/>
    <col min="15103" max="15103" width="13.7265625" style="4" customWidth="1"/>
    <col min="15104" max="15104" width="12.26953125" style="4" customWidth="1"/>
    <col min="15105" max="15105" width="11.81640625" style="4" bestFit="1" customWidth="1"/>
    <col min="15106" max="15352" width="9.1796875" style="4"/>
    <col min="15353" max="15353" width="37.453125" style="4" customWidth="1"/>
    <col min="15354" max="15356" width="15.1796875" style="4" customWidth="1"/>
    <col min="15357" max="15357" width="13.81640625" style="4" customWidth="1"/>
    <col min="15358" max="15358" width="13.54296875" style="4" customWidth="1"/>
    <col min="15359" max="15359" width="13.7265625" style="4" customWidth="1"/>
    <col min="15360" max="15360" width="12.26953125" style="4" customWidth="1"/>
    <col min="15361" max="15361" width="11.81640625" style="4" bestFit="1" customWidth="1"/>
    <col min="15362" max="15608" width="9.1796875" style="4"/>
    <col min="15609" max="15609" width="37.453125" style="4" customWidth="1"/>
    <col min="15610" max="15612" width="15.1796875" style="4" customWidth="1"/>
    <col min="15613" max="15613" width="13.81640625" style="4" customWidth="1"/>
    <col min="15614" max="15614" width="13.54296875" style="4" customWidth="1"/>
    <col min="15615" max="15615" width="13.7265625" style="4" customWidth="1"/>
    <col min="15616" max="15616" width="12.26953125" style="4" customWidth="1"/>
    <col min="15617" max="15617" width="11.81640625" style="4" bestFit="1" customWidth="1"/>
    <col min="15618" max="15864" width="9.1796875" style="4"/>
    <col min="15865" max="15865" width="37.453125" style="4" customWidth="1"/>
    <col min="15866" max="15868" width="15.1796875" style="4" customWidth="1"/>
    <col min="15869" max="15869" width="13.81640625" style="4" customWidth="1"/>
    <col min="15870" max="15870" width="13.54296875" style="4" customWidth="1"/>
    <col min="15871" max="15871" width="13.7265625" style="4" customWidth="1"/>
    <col min="15872" max="15872" width="12.26953125" style="4" customWidth="1"/>
    <col min="15873" max="15873" width="11.81640625" style="4" bestFit="1" customWidth="1"/>
    <col min="15874" max="16120" width="9.1796875" style="4"/>
    <col min="16121" max="16121" width="37.453125" style="4" customWidth="1"/>
    <col min="16122" max="16124" width="15.1796875" style="4" customWidth="1"/>
    <col min="16125" max="16125" width="13.81640625" style="4" customWidth="1"/>
    <col min="16126" max="16126" width="13.54296875" style="4" customWidth="1"/>
    <col min="16127" max="16127" width="13.7265625" style="4" customWidth="1"/>
    <col min="16128" max="16128" width="12.26953125" style="4" customWidth="1"/>
    <col min="16129" max="16129" width="11.81640625" style="4" bestFit="1" customWidth="1"/>
    <col min="16130" max="16384" width="9.1796875" style="4"/>
  </cols>
  <sheetData>
    <row r="1" spans="1:7" s="254" customFormat="1">
      <c r="A1" s="2991" t="s">
        <v>892</v>
      </c>
      <c r="B1" s="2991"/>
      <c r="C1" s="2991"/>
    </row>
    <row r="2" spans="1:7">
      <c r="A2" s="2993" t="s">
        <v>1604</v>
      </c>
      <c r="B2" s="2993"/>
      <c r="C2" s="2993"/>
      <c r="D2" s="2993"/>
      <c r="E2" s="2993"/>
    </row>
    <row r="3" spans="1:7">
      <c r="A3" s="304" t="s">
        <v>804</v>
      </c>
      <c r="B3" s="304"/>
      <c r="C3" s="304"/>
      <c r="D3" s="3060"/>
      <c r="E3" s="3060"/>
      <c r="F3" s="3060"/>
      <c r="G3" s="3060"/>
    </row>
    <row r="4" spans="1:7">
      <c r="A4" s="24"/>
      <c r="B4" s="24"/>
      <c r="D4" s="3331"/>
      <c r="E4" s="3331"/>
      <c r="F4" s="3331" t="s">
        <v>141</v>
      </c>
      <c r="G4" s="3331"/>
    </row>
    <row r="5" spans="1:7">
      <c r="A5" s="3029" t="s">
        <v>14</v>
      </c>
      <c r="B5" s="3018" t="s">
        <v>803</v>
      </c>
      <c r="C5" s="3022"/>
      <c r="D5" s="3074" t="s">
        <v>568</v>
      </c>
      <c r="E5" s="3074"/>
      <c r="F5" s="201" t="s">
        <v>550</v>
      </c>
      <c r="G5" s="993" t="s">
        <v>952</v>
      </c>
    </row>
    <row r="6" spans="1:7" ht="15" customHeight="1">
      <c r="A6" s="3030"/>
      <c r="B6" s="650" t="s">
        <v>553</v>
      </c>
      <c r="C6" s="650" t="s">
        <v>551</v>
      </c>
      <c r="D6" s="3018" t="s">
        <v>545</v>
      </c>
      <c r="E6" s="3022"/>
      <c r="F6" s="650" t="s">
        <v>546</v>
      </c>
      <c r="G6" s="650" t="s">
        <v>547</v>
      </c>
    </row>
    <row r="7" spans="1:7" ht="29">
      <c r="A7" s="3030"/>
      <c r="B7" s="322" t="s">
        <v>554</v>
      </c>
      <c r="C7" s="193" t="s">
        <v>554</v>
      </c>
      <c r="D7" s="226" t="s">
        <v>281</v>
      </c>
      <c r="E7" s="226" t="s">
        <v>544</v>
      </c>
      <c r="F7" s="196" t="s">
        <v>552</v>
      </c>
      <c r="G7" s="194" t="s">
        <v>283</v>
      </c>
    </row>
    <row r="8" spans="1:7" ht="30.75" customHeight="1">
      <c r="A8" s="91" t="s">
        <v>459</v>
      </c>
      <c r="B8" s="1062">
        <f>'F21'!C10</f>
        <v>3014.71</v>
      </c>
      <c r="C8" s="1053">
        <f>'F21'!D10</f>
        <v>6431.04</v>
      </c>
      <c r="D8" s="1063">
        <f>F19B!D22</f>
        <v>2350.6940706999999</v>
      </c>
      <c r="E8" s="1063">
        <f>F19B!E22</f>
        <v>2350.6940706999999</v>
      </c>
      <c r="F8" s="1063">
        <f>F19B!F22</f>
        <v>1520.3853750325181</v>
      </c>
      <c r="G8" s="1063">
        <f>F19B!G22</f>
        <v>1727.8032128531904</v>
      </c>
    </row>
    <row r="9" spans="1:7">
      <c r="A9" s="122" t="s">
        <v>460</v>
      </c>
      <c r="B9" s="1064"/>
      <c r="C9" s="1065"/>
      <c r="D9" s="1065"/>
      <c r="E9" s="1065"/>
      <c r="F9" s="1065"/>
      <c r="G9" s="1065"/>
    </row>
    <row r="10" spans="1:7">
      <c r="A10" s="86" t="s">
        <v>461</v>
      </c>
      <c r="B10" s="1068" t="s">
        <v>100</v>
      </c>
      <c r="C10" s="1065"/>
      <c r="D10" s="1065"/>
      <c r="E10" s="1065"/>
      <c r="F10" s="1065"/>
      <c r="G10" s="1065"/>
    </row>
    <row r="11" spans="1:7">
      <c r="A11" s="86" t="s">
        <v>462</v>
      </c>
      <c r="B11" s="1068" t="s">
        <v>99</v>
      </c>
      <c r="C11" s="1065"/>
      <c r="D11" s="1065"/>
      <c r="E11" s="1065"/>
      <c r="F11" s="1065"/>
      <c r="G11" s="1065"/>
    </row>
    <row r="12" spans="1:7">
      <c r="A12" s="86" t="s">
        <v>463</v>
      </c>
      <c r="B12" s="699"/>
      <c r="C12" s="1065"/>
      <c r="D12" s="1065"/>
      <c r="E12" s="1065"/>
      <c r="F12" s="1065"/>
      <c r="G12" s="1065"/>
    </row>
    <row r="13" spans="1:7">
      <c r="A13" s="122" t="s">
        <v>464</v>
      </c>
      <c r="B13" s="1069">
        <f>(B8-B19)*70%</f>
        <v>199.43000000000006</v>
      </c>
      <c r="C13" s="1069">
        <f>(C8-C19)*70%</f>
        <v>4321.3450000000003</v>
      </c>
      <c r="D13" s="1055">
        <f ca="1">D8-SUM(D15:D18)</f>
        <v>1448.3743884400001</v>
      </c>
      <c r="E13" s="1055">
        <f ca="1">E8-SUM(E15:E18)</f>
        <v>1448.3743884400001</v>
      </c>
      <c r="F13" s="1055">
        <f ca="1">F8-SUM(F15:F18)</f>
        <v>-3067.2768224772371</v>
      </c>
      <c r="G13" s="1055">
        <f t="shared" ref="G13" ca="1" si="0">G8-SUM(G15:G18)</f>
        <v>1209.4622489972335</v>
      </c>
    </row>
    <row r="14" spans="1:7">
      <c r="A14" s="94"/>
      <c r="B14" s="699"/>
      <c r="C14" s="1065"/>
      <c r="D14" s="1066"/>
      <c r="E14" s="1066"/>
      <c r="F14" s="1066"/>
      <c r="G14" s="1066"/>
    </row>
    <row r="15" spans="1:7">
      <c r="A15" s="86" t="s">
        <v>468</v>
      </c>
      <c r="B15" s="1070">
        <f>B8-B13-B19</f>
        <v>85.4699999999998</v>
      </c>
      <c r="C15" s="1055">
        <f>'F32'!G9</f>
        <v>1076.2229999999997</v>
      </c>
      <c r="D15" s="1067">
        <f ca="1">E15</f>
        <v>620.73188075999985</v>
      </c>
      <c r="E15" s="1055">
        <f ca="1">'F32'!J9</f>
        <v>620.73188075999997</v>
      </c>
      <c r="F15" s="1055">
        <f ca="1">'F32'!L9</f>
        <v>456.11561250975507</v>
      </c>
      <c r="G15" s="1055">
        <f ca="1">'F32'!M9</f>
        <v>518.34096385595706</v>
      </c>
    </row>
    <row r="16" spans="1:7">
      <c r="A16" s="86" t="s">
        <v>83</v>
      </c>
      <c r="B16" s="699"/>
      <c r="C16" s="1065"/>
      <c r="D16" s="1066"/>
      <c r="E16" s="1066"/>
      <c r="F16" s="1066"/>
      <c r="G16" s="1066"/>
    </row>
    <row r="17" spans="1:7">
      <c r="A17" s="86" t="s">
        <v>465</v>
      </c>
      <c r="B17" s="699"/>
      <c r="C17" s="1065"/>
      <c r="D17" s="1067">
        <f>'F18'!P9</f>
        <v>281.58780150000001</v>
      </c>
      <c r="E17" s="1067">
        <f>'F18'!P9</f>
        <v>281.58780150000001</v>
      </c>
      <c r="F17" s="1067">
        <f>'F18'!R9</f>
        <v>4131.5465850000001</v>
      </c>
      <c r="G17" s="1067">
        <f>'F18'!V9</f>
        <v>0</v>
      </c>
    </row>
    <row r="18" spans="1:7">
      <c r="A18" s="86" t="s">
        <v>466</v>
      </c>
      <c r="B18" s="699"/>
      <c r="C18" s="1065"/>
      <c r="D18" s="1067">
        <f>'F18'!P10+'F18'!P12</f>
        <v>0</v>
      </c>
      <c r="E18" s="1067">
        <f>'F18'!P10+'F18'!P11</f>
        <v>0</v>
      </c>
      <c r="F18" s="1067">
        <f>'F18'!R10+'F18'!R12</f>
        <v>0</v>
      </c>
      <c r="G18" s="1067">
        <f>'F18'!V10+'F18'!V12</f>
        <v>0</v>
      </c>
    </row>
    <row r="19" spans="1:7" ht="29">
      <c r="A19" s="122" t="s">
        <v>1480</v>
      </c>
      <c r="B19" s="1071">
        <f>'F18'!D13</f>
        <v>2729.81</v>
      </c>
      <c r="C19" s="247">
        <f>'F18'!H13</f>
        <v>257.69</v>
      </c>
      <c r="D19" s="247">
        <f t="shared" ref="D19:G19" ca="1" si="1">SUM(D13:D18)</f>
        <v>2350.6940706999999</v>
      </c>
      <c r="E19" s="247">
        <f t="shared" ca="1" si="1"/>
        <v>2350.6940706999999</v>
      </c>
      <c r="F19" s="247">
        <f t="shared" ca="1" si="1"/>
        <v>1520.3853750325179</v>
      </c>
      <c r="G19" s="247">
        <f t="shared" ca="1" si="1"/>
        <v>1727.8032128531904</v>
      </c>
    </row>
    <row r="20" spans="1:7">
      <c r="A20" s="122" t="s">
        <v>126</v>
      </c>
      <c r="B20" s="775">
        <f>B13+B19+B15</f>
        <v>3014.7099999999996</v>
      </c>
      <c r="C20" s="775">
        <f>C13+C19+C15</f>
        <v>5655.2579999999998</v>
      </c>
    </row>
    <row r="21" spans="1:7">
      <c r="A21" s="49" t="s">
        <v>185</v>
      </c>
      <c r="B21" s="324"/>
    </row>
    <row r="22" spans="1:7">
      <c r="A22" s="24" t="s">
        <v>467</v>
      </c>
      <c r="B22" s="24"/>
    </row>
    <row r="25" spans="1:7">
      <c r="D25" s="197"/>
      <c r="E25" s="197"/>
    </row>
  </sheetData>
  <mergeCells count="10">
    <mergeCell ref="A5:A7"/>
    <mergeCell ref="D5:E5"/>
    <mergeCell ref="D3:E3"/>
    <mergeCell ref="D6:E6"/>
    <mergeCell ref="B5:C5"/>
    <mergeCell ref="F3:G3"/>
    <mergeCell ref="F4:G4"/>
    <mergeCell ref="A1:C1"/>
    <mergeCell ref="A2:E2"/>
    <mergeCell ref="D4:E4"/>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view="pageBreakPreview" topLeftCell="A18" zoomScaleNormal="70" zoomScaleSheetLayoutView="100" workbookViewId="0">
      <selection activeCell="C105" sqref="C105"/>
    </sheetView>
  </sheetViews>
  <sheetFormatPr defaultColWidth="14.7265625" defaultRowHeight="14.5"/>
  <cols>
    <col min="1" max="1" width="5.7265625" style="229" bestFit="1" customWidth="1"/>
    <col min="2" max="2" width="38.453125" style="229" customWidth="1"/>
    <col min="3" max="3" width="12.1796875" style="229" bestFit="1" customWidth="1"/>
    <col min="4" max="4" width="12.26953125" style="229" customWidth="1"/>
    <col min="5" max="6" width="13.1796875" style="229" customWidth="1"/>
    <col min="7" max="7" width="16.26953125" style="229" bestFit="1" customWidth="1"/>
    <col min="8" max="9" width="13.1796875" style="229" customWidth="1"/>
    <col min="10" max="10" width="17.1796875" style="229" customWidth="1"/>
    <col min="11" max="11" width="18.453125" style="229" customWidth="1"/>
    <col min="12" max="254" width="14.7265625" style="229"/>
    <col min="255" max="255" width="4.7265625" style="229" customWidth="1"/>
    <col min="256" max="256" width="45.26953125" style="229" customWidth="1"/>
    <col min="257" max="259" width="10.26953125" style="229" customWidth="1"/>
    <col min="260" max="510" width="14.7265625" style="229"/>
    <col min="511" max="511" width="4.7265625" style="229" customWidth="1"/>
    <col min="512" max="512" width="45.26953125" style="229" customWidth="1"/>
    <col min="513" max="515" width="10.26953125" style="229" customWidth="1"/>
    <col min="516" max="766" width="14.7265625" style="229"/>
    <col min="767" max="767" width="4.7265625" style="229" customWidth="1"/>
    <col min="768" max="768" width="45.26953125" style="229" customWidth="1"/>
    <col min="769" max="771" width="10.26953125" style="229" customWidth="1"/>
    <col min="772" max="1022" width="14.7265625" style="229"/>
    <col min="1023" max="1023" width="4.7265625" style="229" customWidth="1"/>
    <col min="1024" max="1024" width="45.26953125" style="229" customWidth="1"/>
    <col min="1025" max="1027" width="10.26953125" style="229" customWidth="1"/>
    <col min="1028" max="1278" width="14.7265625" style="229"/>
    <col min="1279" max="1279" width="4.7265625" style="229" customWidth="1"/>
    <col min="1280" max="1280" width="45.26953125" style="229" customWidth="1"/>
    <col min="1281" max="1283" width="10.26953125" style="229" customWidth="1"/>
    <col min="1284" max="1534" width="14.7265625" style="229"/>
    <col min="1535" max="1535" width="4.7265625" style="229" customWidth="1"/>
    <col min="1536" max="1536" width="45.26953125" style="229" customWidth="1"/>
    <col min="1537" max="1539" width="10.26953125" style="229" customWidth="1"/>
    <col min="1540" max="1790" width="14.7265625" style="229"/>
    <col min="1791" max="1791" width="4.7265625" style="229" customWidth="1"/>
    <col min="1792" max="1792" width="45.26953125" style="229" customWidth="1"/>
    <col min="1793" max="1795" width="10.26953125" style="229" customWidth="1"/>
    <col min="1796" max="2046" width="14.7265625" style="229"/>
    <col min="2047" max="2047" width="4.7265625" style="229" customWidth="1"/>
    <col min="2048" max="2048" width="45.26953125" style="229" customWidth="1"/>
    <col min="2049" max="2051" width="10.26953125" style="229" customWidth="1"/>
    <col min="2052" max="2302" width="14.7265625" style="229"/>
    <col min="2303" max="2303" width="4.7265625" style="229" customWidth="1"/>
    <col min="2304" max="2304" width="45.26953125" style="229" customWidth="1"/>
    <col min="2305" max="2307" width="10.26953125" style="229" customWidth="1"/>
    <col min="2308" max="2558" width="14.7265625" style="229"/>
    <col min="2559" max="2559" width="4.7265625" style="229" customWidth="1"/>
    <col min="2560" max="2560" width="45.26953125" style="229" customWidth="1"/>
    <col min="2561" max="2563" width="10.26953125" style="229" customWidth="1"/>
    <col min="2564" max="2814" width="14.7265625" style="229"/>
    <col min="2815" max="2815" width="4.7265625" style="229" customWidth="1"/>
    <col min="2816" max="2816" width="45.26953125" style="229" customWidth="1"/>
    <col min="2817" max="2819" width="10.26953125" style="229" customWidth="1"/>
    <col min="2820" max="3070" width="14.7265625" style="229"/>
    <col min="3071" max="3071" width="4.7265625" style="229" customWidth="1"/>
    <col min="3072" max="3072" width="45.26953125" style="229" customWidth="1"/>
    <col min="3073" max="3075" width="10.26953125" style="229" customWidth="1"/>
    <col min="3076" max="3326" width="14.7265625" style="229"/>
    <col min="3327" max="3327" width="4.7265625" style="229" customWidth="1"/>
    <col min="3328" max="3328" width="45.26953125" style="229" customWidth="1"/>
    <col min="3329" max="3331" width="10.26953125" style="229" customWidth="1"/>
    <col min="3332" max="3582" width="14.7265625" style="229"/>
    <col min="3583" max="3583" width="4.7265625" style="229" customWidth="1"/>
    <col min="3584" max="3584" width="45.26953125" style="229" customWidth="1"/>
    <col min="3585" max="3587" width="10.26953125" style="229" customWidth="1"/>
    <col min="3588" max="3838" width="14.7265625" style="229"/>
    <col min="3839" max="3839" width="4.7265625" style="229" customWidth="1"/>
    <col min="3840" max="3840" width="45.26953125" style="229" customWidth="1"/>
    <col min="3841" max="3843" width="10.26953125" style="229" customWidth="1"/>
    <col min="3844" max="4094" width="14.7265625" style="229"/>
    <col min="4095" max="4095" width="4.7265625" style="229" customWidth="1"/>
    <col min="4096" max="4096" width="45.26953125" style="229" customWidth="1"/>
    <col min="4097" max="4099" width="10.26953125" style="229" customWidth="1"/>
    <col min="4100" max="4350" width="14.7265625" style="229"/>
    <col min="4351" max="4351" width="4.7265625" style="229" customWidth="1"/>
    <col min="4352" max="4352" width="45.26953125" style="229" customWidth="1"/>
    <col min="4353" max="4355" width="10.26953125" style="229" customWidth="1"/>
    <col min="4356" max="4606" width="14.7265625" style="229"/>
    <col min="4607" max="4607" width="4.7265625" style="229" customWidth="1"/>
    <col min="4608" max="4608" width="45.26953125" style="229" customWidth="1"/>
    <col min="4609" max="4611" width="10.26953125" style="229" customWidth="1"/>
    <col min="4612" max="4862" width="14.7265625" style="229"/>
    <col min="4863" max="4863" width="4.7265625" style="229" customWidth="1"/>
    <col min="4864" max="4864" width="45.26953125" style="229" customWidth="1"/>
    <col min="4865" max="4867" width="10.26953125" style="229" customWidth="1"/>
    <col min="4868" max="5118" width="14.7265625" style="229"/>
    <col min="5119" max="5119" width="4.7265625" style="229" customWidth="1"/>
    <col min="5120" max="5120" width="45.26953125" style="229" customWidth="1"/>
    <col min="5121" max="5123" width="10.26953125" style="229" customWidth="1"/>
    <col min="5124" max="5374" width="14.7265625" style="229"/>
    <col min="5375" max="5375" width="4.7265625" style="229" customWidth="1"/>
    <col min="5376" max="5376" width="45.26953125" style="229" customWidth="1"/>
    <col min="5377" max="5379" width="10.26953125" style="229" customWidth="1"/>
    <col min="5380" max="5630" width="14.7265625" style="229"/>
    <col min="5631" max="5631" width="4.7265625" style="229" customWidth="1"/>
    <col min="5632" max="5632" width="45.26953125" style="229" customWidth="1"/>
    <col min="5633" max="5635" width="10.26953125" style="229" customWidth="1"/>
    <col min="5636" max="5886" width="14.7265625" style="229"/>
    <col min="5887" max="5887" width="4.7265625" style="229" customWidth="1"/>
    <col min="5888" max="5888" width="45.26953125" style="229" customWidth="1"/>
    <col min="5889" max="5891" width="10.26953125" style="229" customWidth="1"/>
    <col min="5892" max="6142" width="14.7265625" style="229"/>
    <col min="6143" max="6143" width="4.7265625" style="229" customWidth="1"/>
    <col min="6144" max="6144" width="45.26953125" style="229" customWidth="1"/>
    <col min="6145" max="6147" width="10.26953125" style="229" customWidth="1"/>
    <col min="6148" max="6398" width="14.7265625" style="229"/>
    <col min="6399" max="6399" width="4.7265625" style="229" customWidth="1"/>
    <col min="6400" max="6400" width="45.26953125" style="229" customWidth="1"/>
    <col min="6401" max="6403" width="10.26953125" style="229" customWidth="1"/>
    <col min="6404" max="6654" width="14.7265625" style="229"/>
    <col min="6655" max="6655" width="4.7265625" style="229" customWidth="1"/>
    <col min="6656" max="6656" width="45.26953125" style="229" customWidth="1"/>
    <col min="6657" max="6659" width="10.26953125" style="229" customWidth="1"/>
    <col min="6660" max="6910" width="14.7265625" style="229"/>
    <col min="6911" max="6911" width="4.7265625" style="229" customWidth="1"/>
    <col min="6912" max="6912" width="45.26953125" style="229" customWidth="1"/>
    <col min="6913" max="6915" width="10.26953125" style="229" customWidth="1"/>
    <col min="6916" max="7166" width="14.7265625" style="229"/>
    <col min="7167" max="7167" width="4.7265625" style="229" customWidth="1"/>
    <col min="7168" max="7168" width="45.26953125" style="229" customWidth="1"/>
    <col min="7169" max="7171" width="10.26953125" style="229" customWidth="1"/>
    <col min="7172" max="7422" width="14.7265625" style="229"/>
    <col min="7423" max="7423" width="4.7265625" style="229" customWidth="1"/>
    <col min="7424" max="7424" width="45.26953125" style="229" customWidth="1"/>
    <col min="7425" max="7427" width="10.26953125" style="229" customWidth="1"/>
    <col min="7428" max="7678" width="14.7265625" style="229"/>
    <col min="7679" max="7679" width="4.7265625" style="229" customWidth="1"/>
    <col min="7680" max="7680" width="45.26953125" style="229" customWidth="1"/>
    <col min="7681" max="7683" width="10.26953125" style="229" customWidth="1"/>
    <col min="7684" max="7934" width="14.7265625" style="229"/>
    <col min="7935" max="7935" width="4.7265625" style="229" customWidth="1"/>
    <col min="7936" max="7936" width="45.26953125" style="229" customWidth="1"/>
    <col min="7937" max="7939" width="10.26953125" style="229" customWidth="1"/>
    <col min="7940" max="8190" width="14.7265625" style="229"/>
    <col min="8191" max="8191" width="4.7265625" style="229" customWidth="1"/>
    <col min="8192" max="8192" width="45.26953125" style="229" customWidth="1"/>
    <col min="8193" max="8195" width="10.26953125" style="229" customWidth="1"/>
    <col min="8196" max="8446" width="14.7265625" style="229"/>
    <col min="8447" max="8447" width="4.7265625" style="229" customWidth="1"/>
    <col min="8448" max="8448" width="45.26953125" style="229" customWidth="1"/>
    <col min="8449" max="8451" width="10.26953125" style="229" customWidth="1"/>
    <col min="8452" max="8702" width="14.7265625" style="229"/>
    <col min="8703" max="8703" width="4.7265625" style="229" customWidth="1"/>
    <col min="8704" max="8704" width="45.26953125" style="229" customWidth="1"/>
    <col min="8705" max="8707" width="10.26953125" style="229" customWidth="1"/>
    <col min="8708" max="8958" width="14.7265625" style="229"/>
    <col min="8959" max="8959" width="4.7265625" style="229" customWidth="1"/>
    <col min="8960" max="8960" width="45.26953125" style="229" customWidth="1"/>
    <col min="8961" max="8963" width="10.26953125" style="229" customWidth="1"/>
    <col min="8964" max="9214" width="14.7265625" style="229"/>
    <col min="9215" max="9215" width="4.7265625" style="229" customWidth="1"/>
    <col min="9216" max="9216" width="45.26953125" style="229" customWidth="1"/>
    <col min="9217" max="9219" width="10.26953125" style="229" customWidth="1"/>
    <col min="9220" max="9470" width="14.7265625" style="229"/>
    <col min="9471" max="9471" width="4.7265625" style="229" customWidth="1"/>
    <col min="9472" max="9472" width="45.26953125" style="229" customWidth="1"/>
    <col min="9473" max="9475" width="10.26953125" style="229" customWidth="1"/>
    <col min="9476" max="9726" width="14.7265625" style="229"/>
    <col min="9727" max="9727" width="4.7265625" style="229" customWidth="1"/>
    <col min="9728" max="9728" width="45.26953125" style="229" customWidth="1"/>
    <col min="9729" max="9731" width="10.26953125" style="229" customWidth="1"/>
    <col min="9732" max="9982" width="14.7265625" style="229"/>
    <col min="9983" max="9983" width="4.7265625" style="229" customWidth="1"/>
    <col min="9984" max="9984" width="45.26953125" style="229" customWidth="1"/>
    <col min="9985" max="9987" width="10.26953125" style="229" customWidth="1"/>
    <col min="9988" max="10238" width="14.7265625" style="229"/>
    <col min="10239" max="10239" width="4.7265625" style="229" customWidth="1"/>
    <col min="10240" max="10240" width="45.26953125" style="229" customWidth="1"/>
    <col min="10241" max="10243" width="10.26953125" style="229" customWidth="1"/>
    <col min="10244" max="10494" width="14.7265625" style="229"/>
    <col min="10495" max="10495" width="4.7265625" style="229" customWidth="1"/>
    <col min="10496" max="10496" width="45.26953125" style="229" customWidth="1"/>
    <col min="10497" max="10499" width="10.26953125" style="229" customWidth="1"/>
    <col min="10500" max="10750" width="14.7265625" style="229"/>
    <col min="10751" max="10751" width="4.7265625" style="229" customWidth="1"/>
    <col min="10752" max="10752" width="45.26953125" style="229" customWidth="1"/>
    <col min="10753" max="10755" width="10.26953125" style="229" customWidth="1"/>
    <col min="10756" max="11006" width="14.7265625" style="229"/>
    <col min="11007" max="11007" width="4.7265625" style="229" customWidth="1"/>
    <col min="11008" max="11008" width="45.26953125" style="229" customWidth="1"/>
    <col min="11009" max="11011" width="10.26953125" style="229" customWidth="1"/>
    <col min="11012" max="11262" width="14.7265625" style="229"/>
    <col min="11263" max="11263" width="4.7265625" style="229" customWidth="1"/>
    <col min="11264" max="11264" width="45.26953125" style="229" customWidth="1"/>
    <col min="11265" max="11267" width="10.26953125" style="229" customWidth="1"/>
    <col min="11268" max="11518" width="14.7265625" style="229"/>
    <col min="11519" max="11519" width="4.7265625" style="229" customWidth="1"/>
    <col min="11520" max="11520" width="45.26953125" style="229" customWidth="1"/>
    <col min="11521" max="11523" width="10.26953125" style="229" customWidth="1"/>
    <col min="11524" max="11774" width="14.7265625" style="229"/>
    <col min="11775" max="11775" width="4.7265625" style="229" customWidth="1"/>
    <col min="11776" max="11776" width="45.26953125" style="229" customWidth="1"/>
    <col min="11777" max="11779" width="10.26953125" style="229" customWidth="1"/>
    <col min="11780" max="12030" width="14.7265625" style="229"/>
    <col min="12031" max="12031" width="4.7265625" style="229" customWidth="1"/>
    <col min="12032" max="12032" width="45.26953125" style="229" customWidth="1"/>
    <col min="12033" max="12035" width="10.26953125" style="229" customWidth="1"/>
    <col min="12036" max="12286" width="14.7265625" style="229"/>
    <col min="12287" max="12287" width="4.7265625" style="229" customWidth="1"/>
    <col min="12288" max="12288" width="45.26953125" style="229" customWidth="1"/>
    <col min="12289" max="12291" width="10.26953125" style="229" customWidth="1"/>
    <col min="12292" max="12542" width="14.7265625" style="229"/>
    <col min="12543" max="12543" width="4.7265625" style="229" customWidth="1"/>
    <col min="12544" max="12544" width="45.26953125" style="229" customWidth="1"/>
    <col min="12545" max="12547" width="10.26953125" style="229" customWidth="1"/>
    <col min="12548" max="12798" width="14.7265625" style="229"/>
    <col min="12799" max="12799" width="4.7265625" style="229" customWidth="1"/>
    <col min="12800" max="12800" width="45.26953125" style="229" customWidth="1"/>
    <col min="12801" max="12803" width="10.26953125" style="229" customWidth="1"/>
    <col min="12804" max="13054" width="14.7265625" style="229"/>
    <col min="13055" max="13055" width="4.7265625" style="229" customWidth="1"/>
    <col min="13056" max="13056" width="45.26953125" style="229" customWidth="1"/>
    <col min="13057" max="13059" width="10.26953125" style="229" customWidth="1"/>
    <col min="13060" max="13310" width="14.7265625" style="229"/>
    <col min="13311" max="13311" width="4.7265625" style="229" customWidth="1"/>
    <col min="13312" max="13312" width="45.26953125" style="229" customWidth="1"/>
    <col min="13313" max="13315" width="10.26953125" style="229" customWidth="1"/>
    <col min="13316" max="13566" width="14.7265625" style="229"/>
    <col min="13567" max="13567" width="4.7265625" style="229" customWidth="1"/>
    <col min="13568" max="13568" width="45.26953125" style="229" customWidth="1"/>
    <col min="13569" max="13571" width="10.26953125" style="229" customWidth="1"/>
    <col min="13572" max="13822" width="14.7265625" style="229"/>
    <col min="13823" max="13823" width="4.7265625" style="229" customWidth="1"/>
    <col min="13824" max="13824" width="45.26953125" style="229" customWidth="1"/>
    <col min="13825" max="13827" width="10.26953125" style="229" customWidth="1"/>
    <col min="13828" max="14078" width="14.7265625" style="229"/>
    <col min="14079" max="14079" width="4.7265625" style="229" customWidth="1"/>
    <col min="14080" max="14080" width="45.26953125" style="229" customWidth="1"/>
    <col min="14081" max="14083" width="10.26953125" style="229" customWidth="1"/>
    <col min="14084" max="14334" width="14.7265625" style="229"/>
    <col min="14335" max="14335" width="4.7265625" style="229" customWidth="1"/>
    <col min="14336" max="14336" width="45.26953125" style="229" customWidth="1"/>
    <col min="14337" max="14339" width="10.26953125" style="229" customWidth="1"/>
    <col min="14340" max="14590" width="14.7265625" style="229"/>
    <col min="14591" max="14591" width="4.7265625" style="229" customWidth="1"/>
    <col min="14592" max="14592" width="45.26953125" style="229" customWidth="1"/>
    <col min="14593" max="14595" width="10.26953125" style="229" customWidth="1"/>
    <col min="14596" max="14846" width="14.7265625" style="229"/>
    <col min="14847" max="14847" width="4.7265625" style="229" customWidth="1"/>
    <col min="14848" max="14848" width="45.26953125" style="229" customWidth="1"/>
    <col min="14849" max="14851" width="10.26953125" style="229" customWidth="1"/>
    <col min="14852" max="15102" width="14.7265625" style="229"/>
    <col min="15103" max="15103" width="4.7265625" style="229" customWidth="1"/>
    <col min="15104" max="15104" width="45.26953125" style="229" customWidth="1"/>
    <col min="15105" max="15107" width="10.26953125" style="229" customWidth="1"/>
    <col min="15108" max="15358" width="14.7265625" style="229"/>
    <col min="15359" max="15359" width="4.7265625" style="229" customWidth="1"/>
    <col min="15360" max="15360" width="45.26953125" style="229" customWidth="1"/>
    <col min="15361" max="15363" width="10.26953125" style="229" customWidth="1"/>
    <col min="15364" max="15614" width="14.7265625" style="229"/>
    <col min="15615" max="15615" width="4.7265625" style="229" customWidth="1"/>
    <col min="15616" max="15616" width="45.26953125" style="229" customWidth="1"/>
    <col min="15617" max="15619" width="10.26953125" style="229" customWidth="1"/>
    <col min="15620" max="15870" width="14.7265625" style="229"/>
    <col min="15871" max="15871" width="4.7265625" style="229" customWidth="1"/>
    <col min="15872" max="15872" width="45.26953125" style="229" customWidth="1"/>
    <col min="15873" max="15875" width="10.26953125" style="229" customWidth="1"/>
    <col min="15876" max="16126" width="14.7265625" style="229"/>
    <col min="16127" max="16127" width="4.7265625" style="229" customWidth="1"/>
    <col min="16128" max="16128" width="45.26953125" style="229" customWidth="1"/>
    <col min="16129" max="16131" width="10.26953125" style="229" customWidth="1"/>
    <col min="16132" max="16384" width="14.7265625" style="229"/>
  </cols>
  <sheetData>
    <row r="1" spans="1:12">
      <c r="A1" s="2991" t="s">
        <v>420</v>
      </c>
      <c r="B1" s="2991"/>
    </row>
    <row r="2" spans="1:12">
      <c r="A2" s="3017" t="s">
        <v>1604</v>
      </c>
      <c r="B2" s="3017"/>
      <c r="C2" s="3017"/>
      <c r="D2" s="3017"/>
      <c r="E2" s="3017"/>
      <c r="F2" s="3017"/>
      <c r="G2" s="3017"/>
      <c r="H2" s="3017"/>
      <c r="I2" s="3017"/>
      <c r="J2" s="219"/>
    </row>
    <row r="3" spans="1:12" ht="15" customHeight="1">
      <c r="A3" s="304" t="s">
        <v>208</v>
      </c>
      <c r="B3" s="304"/>
      <c r="C3" s="304"/>
      <c r="D3" s="304"/>
      <c r="E3" s="304"/>
      <c r="F3" s="304"/>
      <c r="G3" s="304"/>
      <c r="H3" s="304"/>
      <c r="I3" s="304"/>
      <c r="J3" s="304"/>
      <c r="K3" s="304"/>
      <c r="L3" s="304"/>
    </row>
    <row r="5" spans="1:12">
      <c r="A5" s="3020" t="s">
        <v>117</v>
      </c>
      <c r="B5" s="3029" t="s">
        <v>14</v>
      </c>
      <c r="C5" s="3029" t="s">
        <v>566</v>
      </c>
      <c r="D5" s="3029" t="s">
        <v>565</v>
      </c>
      <c r="E5" s="3018" t="s">
        <v>558</v>
      </c>
      <c r="F5" s="3019"/>
      <c r="G5" s="3026" t="s">
        <v>542</v>
      </c>
      <c r="H5" s="3026"/>
      <c r="I5" s="3026"/>
      <c r="J5" s="3024" t="s">
        <v>550</v>
      </c>
      <c r="K5" s="3025"/>
      <c r="L5" s="920" t="s">
        <v>952</v>
      </c>
    </row>
    <row r="6" spans="1:12">
      <c r="A6" s="3021"/>
      <c r="B6" s="3030"/>
      <c r="C6" s="3030"/>
      <c r="D6" s="3030"/>
      <c r="E6" s="647" t="s">
        <v>553</v>
      </c>
      <c r="F6" s="647" t="s">
        <v>551</v>
      </c>
      <c r="G6" s="3018" t="s">
        <v>545</v>
      </c>
      <c r="H6" s="3019"/>
      <c r="I6" s="3022"/>
      <c r="J6" s="3018" t="s">
        <v>546</v>
      </c>
      <c r="K6" s="3022"/>
      <c r="L6" s="647" t="s">
        <v>547</v>
      </c>
    </row>
    <row r="7" spans="1:12">
      <c r="A7" s="3021"/>
      <c r="B7" s="3030"/>
      <c r="C7" s="3030"/>
      <c r="D7" s="3030"/>
      <c r="E7" s="222" t="s">
        <v>554</v>
      </c>
      <c r="F7" s="222" t="s">
        <v>554</v>
      </c>
      <c r="G7" s="291" t="s">
        <v>543</v>
      </c>
      <c r="H7" s="291" t="s">
        <v>281</v>
      </c>
      <c r="I7" s="291" t="s">
        <v>544</v>
      </c>
      <c r="J7" s="291" t="s">
        <v>543</v>
      </c>
      <c r="K7" s="291" t="s">
        <v>552</v>
      </c>
      <c r="L7" s="291" t="s">
        <v>283</v>
      </c>
    </row>
    <row r="8" spans="1:12" s="696" customFormat="1">
      <c r="A8" s="733" t="s">
        <v>57</v>
      </c>
      <c r="B8" s="734" t="s">
        <v>515</v>
      </c>
      <c r="C8" s="733" t="s">
        <v>305</v>
      </c>
      <c r="D8" s="1334"/>
      <c r="E8" s="976">
        <f>'F1'!C9</f>
        <v>20795.201000000139</v>
      </c>
      <c r="F8" s="976">
        <f>'F1'!D9</f>
        <v>21237.264024</v>
      </c>
      <c r="G8" s="976">
        <f>'F1'!E9</f>
        <v>22316</v>
      </c>
      <c r="H8" s="976">
        <f>'F1'!F9</f>
        <v>21903.081000000006</v>
      </c>
      <c r="I8" s="976">
        <f>'F1'!G9</f>
        <v>21903.081000000006</v>
      </c>
      <c r="J8" s="528">
        <v>23538.560000000001</v>
      </c>
      <c r="K8" s="976">
        <f>'F1'!H9</f>
        <v>22028.439146115652</v>
      </c>
      <c r="L8" s="976">
        <f>'F1'!I9</f>
        <v>22660.994932223985</v>
      </c>
    </row>
    <row r="9" spans="1:12">
      <c r="A9" s="292"/>
      <c r="B9" s="293"/>
      <c r="C9" s="292"/>
      <c r="D9" s="1334"/>
      <c r="E9" s="977"/>
      <c r="F9" s="977"/>
      <c r="G9" s="527"/>
      <c r="H9" s="527"/>
      <c r="I9" s="527"/>
      <c r="J9" s="527"/>
      <c r="K9" s="527"/>
      <c r="L9" s="527"/>
    </row>
    <row r="10" spans="1:12">
      <c r="A10" s="292"/>
      <c r="B10" s="293" t="s">
        <v>733</v>
      </c>
      <c r="C10" s="292"/>
      <c r="D10" s="1335"/>
      <c r="E10" s="527"/>
      <c r="F10" s="527"/>
      <c r="G10" s="527"/>
      <c r="H10" s="527"/>
      <c r="I10" s="527"/>
      <c r="J10" s="527"/>
      <c r="K10" s="527"/>
      <c r="L10" s="527"/>
    </row>
    <row r="11" spans="1:12">
      <c r="A11" s="292" t="s">
        <v>58</v>
      </c>
      <c r="B11" s="293" t="s">
        <v>306</v>
      </c>
      <c r="C11" s="292" t="s">
        <v>62</v>
      </c>
      <c r="D11" s="1334"/>
      <c r="E11" s="978">
        <f>'F1'!C10</f>
        <v>0.16429999999999997</v>
      </c>
      <c r="F11" s="978">
        <f>'F1'!D10</f>
        <v>0.122</v>
      </c>
      <c r="G11" s="978">
        <v>0.1183</v>
      </c>
      <c r="H11" s="978">
        <v>0.20652529137926451</v>
      </c>
      <c r="I11" s="978">
        <v>0.20652529137926451</v>
      </c>
      <c r="J11" s="978">
        <v>0.11360000000000001</v>
      </c>
      <c r="K11" s="978">
        <v>0.19599250151892203</v>
      </c>
      <c r="L11" s="978">
        <v>0.17580527386247308</v>
      </c>
    </row>
    <row r="12" spans="1:12">
      <c r="A12" s="292" t="s">
        <v>734</v>
      </c>
      <c r="B12" s="293" t="s">
        <v>735</v>
      </c>
      <c r="C12" s="292" t="s">
        <v>305</v>
      </c>
      <c r="D12" s="1334" t="s">
        <v>768</v>
      </c>
      <c r="E12" s="979"/>
      <c r="F12" s="979">
        <f t="shared" ref="F12:J12" si="0">(F8/(1-F11)-F8)</f>
        <v>2950.9637937676525</v>
      </c>
      <c r="G12" s="979">
        <f t="shared" si="0"/>
        <v>2994.1962118634438</v>
      </c>
      <c r="H12" s="979">
        <f t="shared" si="0"/>
        <v>5700.9254819119815</v>
      </c>
      <c r="I12" s="979">
        <f t="shared" si="0"/>
        <v>5700.9254819119815</v>
      </c>
      <c r="J12" s="979">
        <f t="shared" si="0"/>
        <v>3016.6746570397117</v>
      </c>
      <c r="K12" s="979">
        <f t="shared" ref="K12:L12" si="1">(K8/(1-K11)-K8)</f>
        <v>5369.8614763680125</v>
      </c>
      <c r="L12" s="979">
        <f t="shared" si="1"/>
        <v>4833.7150114098004</v>
      </c>
    </row>
    <row r="13" spans="1:12">
      <c r="A13" s="292"/>
      <c r="B13" s="293"/>
      <c r="C13" s="292"/>
      <c r="D13" s="1334"/>
      <c r="E13" s="977"/>
      <c r="F13" s="977"/>
      <c r="G13" s="527"/>
      <c r="H13" s="527"/>
      <c r="I13" s="527"/>
      <c r="J13" s="527"/>
      <c r="K13" s="527"/>
      <c r="L13" s="527"/>
    </row>
    <row r="14" spans="1:12">
      <c r="A14" s="292" t="s">
        <v>736</v>
      </c>
      <c r="B14" s="293" t="s">
        <v>737</v>
      </c>
      <c r="C14" s="292" t="s">
        <v>305</v>
      </c>
      <c r="D14" s="1334" t="s">
        <v>745</v>
      </c>
      <c r="E14" s="980">
        <f>E8+E12</f>
        <v>20795.201000000139</v>
      </c>
      <c r="F14" s="980">
        <f t="shared" ref="F14:L14" si="2">F8+F12</f>
        <v>24188.227817767653</v>
      </c>
      <c r="G14" s="980">
        <f t="shared" si="2"/>
        <v>25310.196211863444</v>
      </c>
      <c r="H14" s="980">
        <f t="shared" si="2"/>
        <v>27604.006481911987</v>
      </c>
      <c r="I14" s="980">
        <f t="shared" si="2"/>
        <v>27604.006481911987</v>
      </c>
      <c r="J14" s="980">
        <f t="shared" si="2"/>
        <v>26555.234657039713</v>
      </c>
      <c r="K14" s="980">
        <f t="shared" si="2"/>
        <v>27398.300622483664</v>
      </c>
      <c r="L14" s="980">
        <f t="shared" si="2"/>
        <v>27494.709943633785</v>
      </c>
    </row>
    <row r="15" spans="1:12">
      <c r="A15" s="292"/>
      <c r="B15" s="293"/>
      <c r="C15" s="292"/>
      <c r="D15" s="1334"/>
      <c r="E15" s="977"/>
      <c r="F15" s="977"/>
      <c r="G15" s="527"/>
      <c r="H15" s="527"/>
      <c r="I15" s="527"/>
      <c r="J15" s="527"/>
      <c r="K15" s="527"/>
      <c r="L15" s="527"/>
    </row>
    <row r="16" spans="1:12">
      <c r="A16" s="292"/>
      <c r="B16" s="293" t="s">
        <v>738</v>
      </c>
      <c r="C16" s="292"/>
      <c r="D16" s="1334"/>
      <c r="E16" s="977"/>
      <c r="F16" s="977"/>
      <c r="G16" s="527"/>
      <c r="H16" s="527"/>
      <c r="I16" s="527"/>
      <c r="J16" s="527"/>
      <c r="K16" s="527"/>
      <c r="L16" s="527"/>
    </row>
    <row r="17" spans="1:12">
      <c r="A17" s="292" t="s">
        <v>69</v>
      </c>
      <c r="B17" s="293" t="s">
        <v>306</v>
      </c>
      <c r="C17" s="292" t="s">
        <v>62</v>
      </c>
      <c r="D17" s="1336"/>
      <c r="E17" s="978">
        <v>3.5680000000000003E-2</v>
      </c>
      <c r="F17" s="978">
        <v>3.4299999999999997E-2</v>
      </c>
      <c r="G17" s="978">
        <v>3.4000000000000002E-2</v>
      </c>
      <c r="H17" s="978">
        <v>3.3700000000000001E-2</v>
      </c>
      <c r="I17" s="529">
        <f>H17</f>
        <v>3.3700000000000001E-2</v>
      </c>
      <c r="J17" s="529">
        <v>3.3300000000000003E-2</v>
      </c>
      <c r="K17" s="1337">
        <v>3.3300000000000003E-2</v>
      </c>
      <c r="L17" s="1338">
        <f>K17</f>
        <v>3.3300000000000003E-2</v>
      </c>
    </row>
    <row r="18" spans="1:12">
      <c r="A18" s="292" t="s">
        <v>70</v>
      </c>
      <c r="B18" s="293" t="s">
        <v>735</v>
      </c>
      <c r="C18" s="292" t="s">
        <v>305</v>
      </c>
      <c r="D18" s="1334" t="s">
        <v>769</v>
      </c>
      <c r="E18" s="940">
        <f>(E14/(1-E17)-E14)</f>
        <v>769.42588734030869</v>
      </c>
      <c r="F18" s="940">
        <f t="shared" ref="F18:L18" si="3">(F14/(1-F17)-F14)</f>
        <v>859.12417329339223</v>
      </c>
      <c r="G18" s="940">
        <f t="shared" si="3"/>
        <v>890.83506335751372</v>
      </c>
      <c r="H18" s="940">
        <f t="shared" si="3"/>
        <v>962.69793898420176</v>
      </c>
      <c r="I18" s="940">
        <f t="shared" si="3"/>
        <v>962.69793898420176</v>
      </c>
      <c r="J18" s="940">
        <f t="shared" si="3"/>
        <v>914.75050592678599</v>
      </c>
      <c r="K18" s="940">
        <f t="shared" si="3"/>
        <v>943.79167345475071</v>
      </c>
      <c r="L18" s="940">
        <f t="shared" si="3"/>
        <v>947.11269382746104</v>
      </c>
    </row>
    <row r="19" spans="1:12">
      <c r="A19" s="292"/>
      <c r="B19" s="293"/>
      <c r="C19" s="292"/>
      <c r="D19" s="1334"/>
      <c r="E19" s="977"/>
      <c r="F19" s="977"/>
      <c r="G19" s="527"/>
      <c r="H19" s="527"/>
      <c r="I19" s="527"/>
      <c r="J19" s="527"/>
      <c r="K19" s="527"/>
      <c r="L19" s="527"/>
    </row>
    <row r="20" spans="1:12">
      <c r="A20" s="292" t="s">
        <v>739</v>
      </c>
      <c r="B20" s="3027" t="s">
        <v>740</v>
      </c>
      <c r="C20" s="292" t="s">
        <v>305</v>
      </c>
      <c r="D20" s="1334" t="s">
        <v>746</v>
      </c>
      <c r="E20" s="980">
        <f>E14+E18</f>
        <v>21564.626887340448</v>
      </c>
      <c r="F20" s="980">
        <f t="shared" ref="F20:L20" si="4">F14+F18</f>
        <v>25047.351991061045</v>
      </c>
      <c r="G20" s="980">
        <f t="shared" si="4"/>
        <v>26201.031275220957</v>
      </c>
      <c r="H20" s="980">
        <f t="shared" si="4"/>
        <v>28566.704420896189</v>
      </c>
      <c r="I20" s="980">
        <f t="shared" si="4"/>
        <v>28566.704420896189</v>
      </c>
      <c r="J20" s="980">
        <f t="shared" si="4"/>
        <v>27469.985162966499</v>
      </c>
      <c r="K20" s="980">
        <f t="shared" si="4"/>
        <v>28342.092295938415</v>
      </c>
      <c r="L20" s="980">
        <f t="shared" si="4"/>
        <v>28441.822637461246</v>
      </c>
    </row>
    <row r="21" spans="1:12">
      <c r="A21" s="292"/>
      <c r="B21" s="3028"/>
      <c r="C21" s="292"/>
      <c r="D21" s="1334"/>
      <c r="E21" s="977"/>
      <c r="F21" s="977"/>
      <c r="G21" s="527"/>
      <c r="H21" s="527"/>
      <c r="I21" s="527"/>
      <c r="J21" s="527"/>
      <c r="K21" s="527"/>
      <c r="L21" s="527"/>
    </row>
    <row r="22" spans="1:12" ht="23.25" customHeight="1">
      <c r="A22" s="292" t="s">
        <v>741</v>
      </c>
      <c r="B22" s="3027" t="s">
        <v>770</v>
      </c>
      <c r="C22" s="292" t="s">
        <v>305</v>
      </c>
      <c r="D22" s="1334"/>
      <c r="E22" s="527"/>
      <c r="F22" s="527"/>
      <c r="G22" s="527">
        <v>16531.79</v>
      </c>
      <c r="H22" s="527"/>
      <c r="I22" s="527"/>
      <c r="J22" s="527">
        <v>16752.189999999999</v>
      </c>
      <c r="K22" s="527"/>
      <c r="L22" s="527"/>
    </row>
    <row r="23" spans="1:12" ht="24.75" customHeight="1">
      <c r="A23" s="293"/>
      <c r="B23" s="3028"/>
      <c r="C23" s="292"/>
      <c r="D23" s="1334"/>
      <c r="E23" s="527"/>
      <c r="F23" s="527"/>
      <c r="G23" s="527"/>
      <c r="H23" s="527"/>
      <c r="I23" s="527"/>
      <c r="J23" s="527"/>
      <c r="K23" s="527"/>
      <c r="L23" s="527"/>
    </row>
    <row r="24" spans="1:12" ht="25.5" customHeight="1">
      <c r="A24" s="292" t="s">
        <v>140</v>
      </c>
      <c r="B24" s="3027" t="s">
        <v>742</v>
      </c>
      <c r="C24" s="292" t="s">
        <v>305</v>
      </c>
      <c r="D24" s="1334"/>
      <c r="E24" s="981">
        <f>E29/(1-E26)</f>
        <v>21778.682784436711</v>
      </c>
      <c r="F24" s="527"/>
      <c r="G24" s="527">
        <v>9668.89</v>
      </c>
      <c r="H24" s="527"/>
      <c r="I24" s="527"/>
      <c r="J24" s="527">
        <v>10718</v>
      </c>
      <c r="K24" s="527"/>
      <c r="L24" s="527"/>
    </row>
    <row r="25" spans="1:12" ht="25.5" customHeight="1">
      <c r="A25" s="292"/>
      <c r="B25" s="3028"/>
      <c r="C25" s="292"/>
      <c r="D25" s="1334"/>
      <c r="E25" s="527"/>
      <c r="F25" s="527"/>
      <c r="G25" s="527"/>
      <c r="H25" s="527"/>
      <c r="I25" s="527"/>
      <c r="J25" s="527"/>
      <c r="K25" s="527"/>
      <c r="L25" s="527"/>
    </row>
    <row r="26" spans="1:12">
      <c r="A26" s="292" t="s">
        <v>220</v>
      </c>
      <c r="B26" s="293" t="s">
        <v>743</v>
      </c>
      <c r="C26" s="292" t="s">
        <v>62</v>
      </c>
      <c r="D26" s="1334"/>
      <c r="E26" s="982">
        <v>2.6596318527153412E-2</v>
      </c>
      <c r="F26" s="982">
        <v>1.6299999999999999E-2</v>
      </c>
      <c r="G26" s="982">
        <v>2.8799999999999999E-2</v>
      </c>
      <c r="H26" s="982">
        <v>2.2807680780544536E-2</v>
      </c>
      <c r="I26" s="1339">
        <f>H26</f>
        <v>2.2807680780544536E-2</v>
      </c>
      <c r="J26" s="982">
        <v>2.9399999999999999E-2</v>
      </c>
      <c r="K26" s="1340">
        <v>1.5791697397331911E-2</v>
      </c>
      <c r="L26" s="1340">
        <v>1.2714643822276059E-2</v>
      </c>
    </row>
    <row r="27" spans="1:12" ht="23.25" customHeight="1">
      <c r="A27" s="292" t="s">
        <v>479</v>
      </c>
      <c r="B27" s="3027" t="s">
        <v>744</v>
      </c>
      <c r="C27" s="292" t="s">
        <v>305</v>
      </c>
      <c r="D27" s="1334" t="s">
        <v>747</v>
      </c>
      <c r="E27" s="981">
        <f>E24*(1-E26)</f>
        <v>21199.45</v>
      </c>
      <c r="F27" s="981">
        <f>F20/(1-F26)</f>
        <v>25462.388930630317</v>
      </c>
      <c r="G27" s="981">
        <f t="shared" ref="G27:L27" si="5">G24*(1-G26)</f>
        <v>9390.4259679999996</v>
      </c>
      <c r="H27" s="981">
        <f t="shared" si="5"/>
        <v>0</v>
      </c>
      <c r="I27" s="981">
        <f t="shared" si="5"/>
        <v>0</v>
      </c>
      <c r="J27" s="981">
        <f t="shared" si="5"/>
        <v>10402.890800000001</v>
      </c>
      <c r="K27" s="981">
        <f t="shared" si="5"/>
        <v>0</v>
      </c>
      <c r="L27" s="981">
        <f t="shared" si="5"/>
        <v>0</v>
      </c>
    </row>
    <row r="28" spans="1:12" ht="25.5" customHeight="1">
      <c r="A28" s="292"/>
      <c r="B28" s="3028"/>
      <c r="C28" s="292"/>
      <c r="D28" s="1334"/>
      <c r="E28" s="981"/>
      <c r="F28" s="981"/>
      <c r="G28" s="981"/>
      <c r="H28" s="981"/>
      <c r="I28" s="981"/>
      <c r="J28" s="981"/>
      <c r="K28" s="981"/>
      <c r="L28" s="981"/>
    </row>
    <row r="29" spans="1:12">
      <c r="A29" s="292" t="s">
        <v>480</v>
      </c>
      <c r="B29" s="3023" t="s">
        <v>771</v>
      </c>
      <c r="C29" s="292" t="s">
        <v>305</v>
      </c>
      <c r="D29" s="1334" t="s">
        <v>748</v>
      </c>
      <c r="E29" s="981">
        <v>21199.45</v>
      </c>
      <c r="F29" s="981">
        <f t="shared" ref="F29:L29" si="6">F24+F27</f>
        <v>25462.388930630317</v>
      </c>
      <c r="G29" s="981">
        <f t="shared" si="6"/>
        <v>19059.315967999999</v>
      </c>
      <c r="H29" s="981">
        <f>H30</f>
        <v>29233.451654341901</v>
      </c>
      <c r="I29" s="981">
        <f>I30</f>
        <v>29233.451654341901</v>
      </c>
      <c r="J29" s="981">
        <f t="shared" si="6"/>
        <v>21120.890800000001</v>
      </c>
      <c r="K29" s="981">
        <f t="shared" si="6"/>
        <v>0</v>
      </c>
      <c r="L29" s="981">
        <f t="shared" si="6"/>
        <v>0</v>
      </c>
    </row>
    <row r="30" spans="1:12">
      <c r="A30" s="243"/>
      <c r="B30" s="3023"/>
      <c r="C30" s="243"/>
      <c r="D30" s="1065"/>
      <c r="E30" s="527"/>
      <c r="F30" s="527"/>
      <c r="G30" s="527"/>
      <c r="H30" s="981">
        <f>H20/(1-H26)</f>
        <v>29233.451654341901</v>
      </c>
      <c r="I30" s="981">
        <f>I20/(1-I26)</f>
        <v>29233.451654341901</v>
      </c>
      <c r="J30" s="527"/>
      <c r="K30" s="981">
        <f>K20/(1-K26)</f>
        <v>28796.843331833097</v>
      </c>
      <c r="L30" s="981">
        <f>L20/(1-L26)</f>
        <v>28808.107463047752</v>
      </c>
    </row>
    <row r="31" spans="1:12">
      <c r="A31" s="229" t="s">
        <v>757</v>
      </c>
    </row>
  </sheetData>
  <mergeCells count="16">
    <mergeCell ref="B29:B30"/>
    <mergeCell ref="J5:K5"/>
    <mergeCell ref="J6:K6"/>
    <mergeCell ref="G5:I5"/>
    <mergeCell ref="B24:B25"/>
    <mergeCell ref="B20:B21"/>
    <mergeCell ref="B22:B23"/>
    <mergeCell ref="B27:B28"/>
    <mergeCell ref="B5:B7"/>
    <mergeCell ref="C5:C7"/>
    <mergeCell ref="D5:D7"/>
    <mergeCell ref="A1:B1"/>
    <mergeCell ref="A2:I2"/>
    <mergeCell ref="E5:F5"/>
    <mergeCell ref="A5:A7"/>
    <mergeCell ref="G6:I6"/>
  </mergeCells>
  <pageMargins left="0.19685039370078741" right="0.19685039370078741" top="0.19685039370078741" bottom="0.19685039370078741" header="0.19685039370078741" footer="0.19685039370078741"/>
  <pageSetup paperSize="9" scale="7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view="pageBreakPreview" zoomScaleSheetLayoutView="100" workbookViewId="0">
      <selection activeCell="C105" sqref="C105"/>
    </sheetView>
  </sheetViews>
  <sheetFormatPr defaultColWidth="9.1796875" defaultRowHeight="14.5"/>
  <cols>
    <col min="1" max="1" width="32.54296875" customWidth="1"/>
    <col min="2" max="7" width="13.1796875" customWidth="1"/>
  </cols>
  <sheetData>
    <row r="1" spans="1:7" s="251" customFormat="1">
      <c r="A1" s="3314" t="s">
        <v>1321</v>
      </c>
      <c r="B1" s="3314"/>
    </row>
    <row r="2" spans="1:7">
      <c r="A2" s="392" t="s">
        <v>1604</v>
      </c>
      <c r="B2" s="780"/>
      <c r="C2" s="780"/>
      <c r="D2" s="780"/>
      <c r="E2" s="780"/>
      <c r="F2" s="780"/>
      <c r="G2" s="780"/>
    </row>
    <row r="3" spans="1:7">
      <c r="A3" s="573" t="s">
        <v>1307</v>
      </c>
      <c r="B3" s="573"/>
      <c r="C3" s="573"/>
      <c r="D3" s="573"/>
      <c r="E3" s="573"/>
      <c r="F3" s="3330"/>
      <c r="G3" s="3330"/>
    </row>
    <row r="4" spans="1:7">
      <c r="A4" s="22"/>
      <c r="B4" s="22"/>
      <c r="C4" s="22"/>
      <c r="D4" s="22"/>
      <c r="E4" s="22"/>
      <c r="F4" s="3331" t="s">
        <v>141</v>
      </c>
      <c r="G4" s="3331"/>
    </row>
    <row r="5" spans="1:7">
      <c r="A5" s="213" t="s">
        <v>14</v>
      </c>
      <c r="B5" s="334" t="s">
        <v>368</v>
      </c>
      <c r="C5" s="334" t="s">
        <v>369</v>
      </c>
      <c r="D5" s="334" t="s">
        <v>370</v>
      </c>
      <c r="E5" s="334" t="s">
        <v>371</v>
      </c>
      <c r="F5" s="334" t="s">
        <v>372</v>
      </c>
      <c r="G5" s="334" t="s">
        <v>373</v>
      </c>
    </row>
    <row r="6" spans="1:7" ht="17.25" customHeight="1">
      <c r="A6" s="123" t="s">
        <v>374</v>
      </c>
      <c r="B6" s="770"/>
      <c r="C6" s="770"/>
      <c r="D6" s="770"/>
      <c r="E6" s="770"/>
      <c r="F6" s="770"/>
      <c r="G6" s="770"/>
    </row>
    <row r="7" spans="1:7" ht="17.25" customHeight="1">
      <c r="A7" s="123" t="s">
        <v>375</v>
      </c>
      <c r="B7" s="770"/>
      <c r="C7" s="770"/>
      <c r="D7" s="770"/>
      <c r="E7" s="770"/>
      <c r="F7" s="770"/>
      <c r="G7" s="770"/>
    </row>
    <row r="8" spans="1:7" ht="15" customHeight="1">
      <c r="A8" s="123" t="s">
        <v>74</v>
      </c>
      <c r="B8" s="770"/>
      <c r="C8" s="770"/>
      <c r="D8" s="770"/>
      <c r="E8" s="770"/>
      <c r="F8" s="770"/>
      <c r="G8" s="770"/>
    </row>
    <row r="9" spans="1:7" ht="32.25" customHeight="1">
      <c r="A9" s="123" t="s">
        <v>1322</v>
      </c>
      <c r="B9" s="770"/>
      <c r="C9" s="770"/>
      <c r="D9" s="770"/>
      <c r="E9" s="770"/>
      <c r="F9" s="770"/>
      <c r="G9" s="770"/>
    </row>
    <row r="10" spans="1:7" ht="17.25" customHeight="1">
      <c r="A10" s="123" t="s">
        <v>376</v>
      </c>
      <c r="B10" s="770"/>
      <c r="C10" s="770"/>
      <c r="D10" s="770"/>
      <c r="E10" s="770"/>
      <c r="F10" s="770"/>
      <c r="G10" s="770"/>
    </row>
    <row r="11" spans="1:7" ht="15" customHeight="1">
      <c r="A11" s="123" t="s">
        <v>377</v>
      </c>
      <c r="B11" s="770"/>
      <c r="C11" s="770"/>
      <c r="D11" s="770"/>
      <c r="E11" s="770"/>
      <c r="F11" s="770"/>
      <c r="G11" s="770"/>
    </row>
    <row r="12" spans="1:7" ht="17.25" customHeight="1">
      <c r="A12" s="123" t="s">
        <v>378</v>
      </c>
      <c r="B12" s="770"/>
      <c r="C12" s="770"/>
      <c r="D12" s="770"/>
      <c r="E12" s="770"/>
      <c r="F12" s="770"/>
      <c r="G12" s="770"/>
    </row>
    <row r="13" spans="1:7" ht="17.25" customHeight="1">
      <c r="A13" s="123" t="s">
        <v>379</v>
      </c>
      <c r="B13" s="770"/>
      <c r="C13" s="770"/>
      <c r="D13" s="770"/>
      <c r="E13" s="770"/>
      <c r="F13" s="770"/>
      <c r="G13" s="770"/>
    </row>
    <row r="14" spans="1:7" ht="17.25" customHeight="1">
      <c r="A14" s="123" t="s">
        <v>380</v>
      </c>
      <c r="B14" s="770"/>
      <c r="C14" s="770"/>
      <c r="D14" s="770"/>
      <c r="E14" s="770"/>
      <c r="F14" s="770"/>
      <c r="G14" s="770"/>
    </row>
    <row r="15" spans="1:7" ht="15" customHeight="1">
      <c r="A15" s="123" t="s">
        <v>381</v>
      </c>
      <c r="B15" s="770"/>
      <c r="C15" s="770"/>
      <c r="D15" s="770"/>
      <c r="E15" s="770"/>
      <c r="F15" s="770"/>
      <c r="G15" s="770"/>
    </row>
    <row r="16" spans="1:7" ht="17.25" customHeight="1">
      <c r="A16" s="123" t="s">
        <v>382</v>
      </c>
      <c r="B16" s="770"/>
      <c r="C16" s="770"/>
      <c r="D16" s="770"/>
      <c r="E16" s="770"/>
      <c r="F16" s="770"/>
      <c r="G16" s="770"/>
    </row>
    <row r="17" spans="1:7" ht="15" customHeight="1">
      <c r="A17" s="123" t="s">
        <v>75</v>
      </c>
      <c r="B17" s="770"/>
      <c r="C17" s="770"/>
      <c r="D17" s="770"/>
      <c r="E17" s="770"/>
      <c r="F17" s="770"/>
      <c r="G17" s="770"/>
    </row>
    <row r="18" spans="1:7" ht="17.25" customHeight="1">
      <c r="A18" s="123" t="s">
        <v>383</v>
      </c>
      <c r="B18" s="770"/>
      <c r="C18" s="770"/>
      <c r="D18" s="770"/>
      <c r="E18" s="770"/>
      <c r="F18" s="770"/>
      <c r="G18" s="770"/>
    </row>
    <row r="19" spans="1:7" ht="15" customHeight="1">
      <c r="A19" s="123" t="s">
        <v>76</v>
      </c>
      <c r="B19" s="770"/>
      <c r="C19" s="770"/>
      <c r="D19" s="770"/>
      <c r="E19" s="770"/>
      <c r="F19" s="770"/>
      <c r="G19" s="770"/>
    </row>
    <row r="20" spans="1:7" ht="17.25" customHeight="1">
      <c r="A20" s="123" t="s">
        <v>384</v>
      </c>
      <c r="B20" s="770"/>
      <c r="C20" s="770"/>
      <c r="D20" s="770"/>
      <c r="E20" s="770"/>
      <c r="F20" s="770"/>
      <c r="G20" s="770"/>
    </row>
    <row r="21" spans="1:7" ht="17.25" customHeight="1">
      <c r="A21" s="123" t="s">
        <v>385</v>
      </c>
      <c r="B21" s="770"/>
      <c r="C21" s="770"/>
      <c r="D21" s="770"/>
      <c r="E21" s="770"/>
      <c r="F21" s="770"/>
      <c r="G21" s="770"/>
    </row>
    <row r="22" spans="1:7" ht="17.25" customHeight="1">
      <c r="A22" s="123" t="s">
        <v>386</v>
      </c>
      <c r="B22" s="770"/>
      <c r="C22" s="770"/>
      <c r="D22" s="770"/>
      <c r="E22" s="770"/>
      <c r="F22" s="770"/>
      <c r="G22" s="770"/>
    </row>
    <row r="23" spans="1:7" ht="15" customHeight="1">
      <c r="A23" s="123" t="s">
        <v>387</v>
      </c>
      <c r="B23" s="770"/>
      <c r="C23" s="770"/>
      <c r="D23" s="770"/>
      <c r="E23" s="770"/>
      <c r="F23" s="770"/>
      <c r="G23" s="770"/>
    </row>
    <row r="24" spans="1:7" ht="34.5" customHeight="1">
      <c r="A24" s="123" t="s">
        <v>388</v>
      </c>
      <c r="B24" s="770"/>
      <c r="C24" s="770"/>
      <c r="D24" s="770"/>
      <c r="E24" s="770"/>
      <c r="F24" s="770"/>
      <c r="G24" s="770"/>
    </row>
    <row r="25" spans="1:7">
      <c r="A25" s="125"/>
      <c r="B25" s="125"/>
      <c r="C25" s="125"/>
      <c r="D25" s="125"/>
      <c r="E25" s="125"/>
      <c r="F25" s="125"/>
      <c r="G25" s="125"/>
    </row>
    <row r="26" spans="1:7">
      <c r="A26" s="3375" t="s">
        <v>490</v>
      </c>
      <c r="B26" s="3376"/>
      <c r="C26" s="3376"/>
      <c r="D26" s="3376"/>
      <c r="E26" s="3376"/>
      <c r="F26" s="3376"/>
      <c r="G26" s="3377"/>
    </row>
    <row r="27" spans="1:7">
      <c r="A27" s="127" t="s">
        <v>405</v>
      </c>
      <c r="B27" s="124"/>
      <c r="C27" s="124"/>
      <c r="D27" s="124"/>
      <c r="E27" s="124"/>
      <c r="F27" s="124"/>
      <c r="G27" s="128" t="s">
        <v>22</v>
      </c>
    </row>
    <row r="28" spans="1:7">
      <c r="A28" s="124" t="s">
        <v>491</v>
      </c>
      <c r="B28" s="124"/>
      <c r="C28" s="129"/>
      <c r="D28" s="124"/>
      <c r="E28" s="124"/>
      <c r="F28" s="124"/>
      <c r="G28" s="115"/>
    </row>
    <row r="29" spans="1:7">
      <c r="A29" s="124" t="s">
        <v>492</v>
      </c>
      <c r="B29" s="124"/>
      <c r="C29" s="124"/>
      <c r="D29" s="124"/>
      <c r="E29" s="124"/>
      <c r="F29" s="124"/>
      <c r="G29" s="115"/>
    </row>
    <row r="30" spans="1:7">
      <c r="A30" s="124" t="s">
        <v>493</v>
      </c>
      <c r="B30" s="124"/>
      <c r="C30" s="124"/>
      <c r="D30" s="124"/>
      <c r="E30" s="124"/>
      <c r="F30" s="124"/>
      <c r="G30" s="115"/>
    </row>
    <row r="31" spans="1:7">
      <c r="A31" s="126"/>
      <c r="B31" s="126"/>
      <c r="C31" s="126"/>
      <c r="D31" s="126"/>
      <c r="E31" s="126"/>
      <c r="F31" s="126"/>
      <c r="G31" s="126"/>
    </row>
    <row r="32" spans="1:7" ht="16.5">
      <c r="A32" s="3371" t="s">
        <v>389</v>
      </c>
      <c r="B32" s="3372"/>
      <c r="C32" s="3372"/>
      <c r="D32" s="3372"/>
      <c r="E32" s="3372"/>
      <c r="F32" s="3372"/>
      <c r="G32" s="3373"/>
    </row>
    <row r="33" spans="1:7" ht="16.5">
      <c r="A33" s="3371" t="s">
        <v>390</v>
      </c>
      <c r="B33" s="3372"/>
      <c r="C33" s="3372"/>
      <c r="D33" s="3372"/>
      <c r="E33" s="3372"/>
      <c r="F33" s="3372"/>
      <c r="G33" s="3373"/>
    </row>
    <row r="34" spans="1:7" ht="16.5">
      <c r="A34" s="3371" t="s">
        <v>760</v>
      </c>
      <c r="B34" s="3372"/>
      <c r="C34" s="3372"/>
      <c r="D34" s="3372"/>
      <c r="E34" s="3372"/>
      <c r="F34" s="3372"/>
      <c r="G34" s="3373"/>
    </row>
    <row r="35" spans="1:7" ht="34.15" customHeight="1">
      <c r="A35" s="3371" t="s">
        <v>391</v>
      </c>
      <c r="B35" s="3372"/>
      <c r="C35" s="3372"/>
      <c r="D35" s="3372"/>
      <c r="E35" s="3372"/>
      <c r="F35" s="3372"/>
      <c r="G35" s="3373"/>
    </row>
    <row r="36" spans="1:7" ht="33.65" customHeight="1">
      <c r="A36" s="3371" t="s">
        <v>392</v>
      </c>
      <c r="B36" s="3372"/>
      <c r="C36" s="3372"/>
      <c r="D36" s="3372"/>
      <c r="E36" s="3372"/>
      <c r="F36" s="3372"/>
      <c r="G36" s="3373"/>
    </row>
    <row r="37" spans="1:7" ht="16.5">
      <c r="A37" s="3371" t="s">
        <v>393</v>
      </c>
      <c r="B37" s="3372"/>
      <c r="C37" s="3372"/>
      <c r="D37" s="3372"/>
      <c r="E37" s="3372"/>
      <c r="F37" s="3372"/>
      <c r="G37" s="3373"/>
    </row>
    <row r="38" spans="1:7" ht="33" customHeight="1">
      <c r="A38" s="3368" t="s">
        <v>394</v>
      </c>
      <c r="B38" s="3369"/>
      <c r="C38" s="3369"/>
      <c r="D38" s="3369"/>
      <c r="E38" s="3369"/>
      <c r="F38" s="3369"/>
      <c r="G38" s="3370"/>
    </row>
    <row r="39" spans="1:7" ht="16.5">
      <c r="A39" s="3368" t="s">
        <v>395</v>
      </c>
      <c r="B39" s="3369"/>
      <c r="C39" s="3369"/>
      <c r="D39" s="3369"/>
      <c r="E39" s="3369"/>
      <c r="F39" s="3369"/>
      <c r="G39" s="3370"/>
    </row>
    <row r="40" spans="1:7" ht="20.5" customHeight="1">
      <c r="A40" s="3368" t="s">
        <v>396</v>
      </c>
      <c r="B40" s="3369"/>
      <c r="C40" s="3369"/>
      <c r="D40" s="3369"/>
      <c r="E40" s="3369"/>
      <c r="F40" s="3369"/>
      <c r="G40" s="3370"/>
    </row>
    <row r="41" spans="1:7" ht="16.5">
      <c r="A41" s="3368" t="s">
        <v>397</v>
      </c>
      <c r="B41" s="3369"/>
      <c r="C41" s="3369"/>
      <c r="D41" s="3369"/>
      <c r="E41" s="3369"/>
      <c r="F41" s="3369"/>
      <c r="G41" s="3370"/>
    </row>
    <row r="42" spans="1:7" ht="16.5">
      <c r="A42" s="3368" t="s">
        <v>398</v>
      </c>
      <c r="B42" s="3369"/>
      <c r="C42" s="3369"/>
      <c r="D42" s="3369"/>
      <c r="E42" s="3369"/>
      <c r="F42" s="3369"/>
      <c r="G42" s="3370"/>
    </row>
    <row r="43" spans="1:7" ht="16.5">
      <c r="A43" s="3368" t="s">
        <v>399</v>
      </c>
      <c r="B43" s="3369"/>
      <c r="C43" s="3369"/>
      <c r="D43" s="3369"/>
      <c r="E43" s="3369"/>
      <c r="F43" s="3369"/>
      <c r="G43" s="3370"/>
    </row>
    <row r="44" spans="1:7" ht="29.5" customHeight="1">
      <c r="A44" s="3368" t="s">
        <v>400</v>
      </c>
      <c r="B44" s="3369"/>
      <c r="C44" s="3369"/>
      <c r="D44" s="3369"/>
      <c r="E44" s="3369"/>
      <c r="F44" s="3369"/>
      <c r="G44" s="3370"/>
    </row>
    <row r="45" spans="1:7" ht="31.15" customHeight="1">
      <c r="A45" s="3368" t="s">
        <v>401</v>
      </c>
      <c r="B45" s="3369"/>
      <c r="C45" s="3369"/>
      <c r="D45" s="3369"/>
      <c r="E45" s="3369"/>
      <c r="F45" s="3369"/>
      <c r="G45" s="3370"/>
    </row>
    <row r="46" spans="1:7" ht="16.5">
      <c r="A46" s="3368" t="s">
        <v>402</v>
      </c>
      <c r="B46" s="3369"/>
      <c r="C46" s="3369"/>
      <c r="D46" s="3369"/>
      <c r="E46" s="3369"/>
      <c r="F46" s="3369"/>
      <c r="G46" s="3370"/>
    </row>
    <row r="47" spans="1:7" ht="16.5">
      <c r="A47" s="3368" t="s">
        <v>761</v>
      </c>
      <c r="B47" s="3369"/>
      <c r="C47" s="3369"/>
      <c r="D47" s="3369"/>
      <c r="E47" s="3369"/>
      <c r="F47" s="3369"/>
      <c r="G47" s="3370"/>
    </row>
    <row r="48" spans="1:7" ht="16.5">
      <c r="A48" s="3368" t="s">
        <v>403</v>
      </c>
      <c r="B48" s="3369"/>
      <c r="C48" s="3369"/>
      <c r="D48" s="3369"/>
      <c r="E48" s="3369"/>
      <c r="F48" s="3369"/>
      <c r="G48" s="3370"/>
    </row>
    <row r="49" spans="1:7" ht="16.5">
      <c r="A49" s="3368" t="s">
        <v>404</v>
      </c>
      <c r="B49" s="3369"/>
      <c r="C49" s="3369"/>
      <c r="D49" s="3369"/>
      <c r="E49" s="3369"/>
      <c r="F49" s="3369"/>
      <c r="G49" s="3370"/>
    </row>
    <row r="50" spans="1:7" ht="15" customHeight="1">
      <c r="A50" s="3368" t="s">
        <v>406</v>
      </c>
      <c r="B50" s="3369"/>
      <c r="C50" s="3369"/>
      <c r="D50" s="3369"/>
      <c r="E50" s="3369"/>
      <c r="F50" s="3369"/>
      <c r="G50" s="3370"/>
    </row>
    <row r="51" spans="1:7" ht="34.5" customHeight="1">
      <c r="A51" s="3378" t="s">
        <v>407</v>
      </c>
      <c r="B51" s="3379"/>
      <c r="C51" s="3379"/>
      <c r="D51" s="3379"/>
      <c r="E51" s="3379"/>
      <c r="F51" s="3379"/>
      <c r="G51" s="3379"/>
    </row>
    <row r="52" spans="1:7">
      <c r="A52" s="22"/>
      <c r="B52" s="22"/>
      <c r="C52" s="22"/>
      <c r="D52" s="22"/>
      <c r="E52" s="22"/>
      <c r="F52" s="22"/>
      <c r="G52" s="22"/>
    </row>
    <row r="53" spans="1:7">
      <c r="A53" s="22"/>
      <c r="B53" s="22"/>
      <c r="C53" s="22"/>
      <c r="D53" s="22"/>
      <c r="E53" s="22"/>
    </row>
    <row r="54" spans="1:7">
      <c r="E54" s="3374"/>
      <c r="F54" s="3374"/>
      <c r="G54" s="3374"/>
    </row>
  </sheetData>
  <mergeCells count="25">
    <mergeCell ref="A1:B1"/>
    <mergeCell ref="E54:G54"/>
    <mergeCell ref="A26:G26"/>
    <mergeCell ref="A32:G32"/>
    <mergeCell ref="A33:G33"/>
    <mergeCell ref="A34:G34"/>
    <mergeCell ref="F3:G3"/>
    <mergeCell ref="F4:G4"/>
    <mergeCell ref="A49:G49"/>
    <mergeCell ref="A50:G50"/>
    <mergeCell ref="A51:G51"/>
    <mergeCell ref="A41:G41"/>
    <mergeCell ref="A42:G42"/>
    <mergeCell ref="A43:G43"/>
    <mergeCell ref="A44:G44"/>
    <mergeCell ref="A45:G45"/>
    <mergeCell ref="A46:G46"/>
    <mergeCell ref="A47:G47"/>
    <mergeCell ref="A48:G48"/>
    <mergeCell ref="A40:G40"/>
    <mergeCell ref="A35:G35"/>
    <mergeCell ref="A36:G36"/>
    <mergeCell ref="A37:G37"/>
    <mergeCell ref="A38:G38"/>
    <mergeCell ref="A39:G39"/>
  </mergeCells>
  <printOptions horizontalCentered="1"/>
  <pageMargins left="0.19685039370078741" right="0.19685039370078741" top="0.19685039370078741" bottom="0.19685039370078741" header="0.19685039370078741" footer="0.19685039370078741"/>
  <pageSetup paperSize="9" scale="5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5" zoomScaleSheetLayoutView="85" workbookViewId="0">
      <selection activeCell="C105" sqref="C105"/>
    </sheetView>
  </sheetViews>
  <sheetFormatPr defaultColWidth="9.1796875" defaultRowHeight="14.5"/>
  <cols>
    <col min="1" max="1" width="32.54296875" customWidth="1"/>
    <col min="2" max="2" width="14.453125" style="331" bestFit="1" customWidth="1"/>
    <col min="3" max="7" width="11.7265625" customWidth="1"/>
  </cols>
  <sheetData>
    <row r="1" spans="1:7" s="251" customFormat="1">
      <c r="A1" s="3314" t="s">
        <v>895</v>
      </c>
      <c r="B1" s="3314"/>
      <c r="C1" s="3314"/>
    </row>
    <row r="2" spans="1:7">
      <c r="A2" s="392" t="s">
        <v>1604</v>
      </c>
      <c r="B2" s="780"/>
      <c r="C2" s="780"/>
      <c r="D2" s="780"/>
      <c r="E2" s="780"/>
      <c r="F2" s="780"/>
      <c r="G2" s="780"/>
    </row>
    <row r="3" spans="1:7">
      <c r="A3" s="573" t="s">
        <v>0</v>
      </c>
      <c r="B3" s="573"/>
      <c r="C3" s="573"/>
      <c r="D3" s="573"/>
      <c r="E3" s="573"/>
      <c r="F3" s="3330"/>
      <c r="G3" s="3330"/>
    </row>
    <row r="4" spans="1:7">
      <c r="A4" s="23"/>
      <c r="B4" s="23"/>
      <c r="C4" s="23"/>
      <c r="D4" s="23"/>
      <c r="E4" s="23"/>
      <c r="F4" s="23"/>
      <c r="G4" s="991" t="s">
        <v>141</v>
      </c>
    </row>
    <row r="5" spans="1:7" ht="15" customHeight="1">
      <c r="A5" s="3347" t="s">
        <v>77</v>
      </c>
      <c r="B5" s="3018" t="s">
        <v>802</v>
      </c>
      <c r="C5" s="3022"/>
      <c r="D5" s="3026" t="s">
        <v>568</v>
      </c>
      <c r="E5" s="3026"/>
      <c r="F5" s="194" t="s">
        <v>550</v>
      </c>
      <c r="G5" s="922" t="s">
        <v>952</v>
      </c>
    </row>
    <row r="6" spans="1:7" ht="39" customHeight="1">
      <c r="A6" s="3348"/>
      <c r="B6" s="322" t="s">
        <v>553</v>
      </c>
      <c r="C6" s="193" t="s">
        <v>551</v>
      </c>
      <c r="D6" s="3018" t="s">
        <v>545</v>
      </c>
      <c r="E6" s="3022"/>
      <c r="F6" s="193" t="s">
        <v>546</v>
      </c>
      <c r="G6" s="193" t="s">
        <v>547</v>
      </c>
    </row>
    <row r="7" spans="1:7" ht="27" customHeight="1">
      <c r="A7" s="3349"/>
      <c r="B7" s="322" t="s">
        <v>554</v>
      </c>
      <c r="C7" s="600" t="s">
        <v>554</v>
      </c>
      <c r="D7" s="329" t="s">
        <v>281</v>
      </c>
      <c r="E7" s="329" t="s">
        <v>544</v>
      </c>
      <c r="F7" s="200" t="s">
        <v>552</v>
      </c>
      <c r="G7" s="329" t="s">
        <v>283</v>
      </c>
    </row>
    <row r="8" spans="1:7" ht="29">
      <c r="A8" s="130" t="s">
        <v>78</v>
      </c>
      <c r="B8" s="1182"/>
      <c r="C8" s="1182"/>
      <c r="D8" s="717"/>
      <c r="E8" s="717"/>
      <c r="F8" s="717"/>
      <c r="G8" s="717"/>
    </row>
    <row r="9" spans="1:7">
      <c r="A9" s="130" t="s">
        <v>79</v>
      </c>
      <c r="B9" s="1183"/>
      <c r="C9" s="1184"/>
      <c r="D9" s="1184"/>
      <c r="E9" s="717"/>
      <c r="F9" s="717"/>
      <c r="G9" s="717"/>
    </row>
    <row r="10" spans="1:7">
      <c r="A10" s="118" t="s">
        <v>80</v>
      </c>
      <c r="B10" s="1185"/>
      <c r="C10" s="1184"/>
      <c r="D10" s="1184"/>
      <c r="E10" s="717"/>
      <c r="F10" s="717"/>
      <c r="G10" s="717"/>
    </row>
    <row r="11" spans="1:7">
      <c r="A11" s="118" t="s">
        <v>81</v>
      </c>
      <c r="B11" s="1185"/>
      <c r="C11" s="1184"/>
      <c r="D11" s="1184"/>
      <c r="E11" s="717"/>
      <c r="F11" s="717"/>
      <c r="G11" s="717"/>
    </row>
    <row r="12" spans="1:7" ht="20.25" customHeight="1">
      <c r="A12" s="118" t="s">
        <v>82</v>
      </c>
      <c r="B12" s="1185"/>
      <c r="C12" s="1184"/>
      <c r="D12" s="1184"/>
      <c r="E12" s="717"/>
      <c r="F12" s="717"/>
      <c r="G12" s="717"/>
    </row>
    <row r="13" spans="1:7">
      <c r="A13" s="130" t="s">
        <v>72</v>
      </c>
      <c r="B13" s="1183"/>
      <c r="C13" s="775"/>
      <c r="D13" s="775"/>
      <c r="E13" s="775"/>
      <c r="F13" s="775"/>
      <c r="G13" s="775"/>
    </row>
    <row r="14" spans="1:7">
      <c r="A14" s="118"/>
      <c r="B14" s="1185"/>
      <c r="C14" s="1186"/>
      <c r="D14" s="1186"/>
      <c r="E14" s="704"/>
      <c r="F14" s="704"/>
      <c r="G14" s="704"/>
    </row>
    <row r="15" spans="1:7" s="652" customFormat="1">
      <c r="A15" s="118" t="s">
        <v>71</v>
      </c>
      <c r="B15" s="1185"/>
      <c r="C15" s="1186"/>
      <c r="D15" s="704"/>
      <c r="E15" s="704"/>
      <c r="F15" s="704"/>
      <c r="G15" s="704"/>
    </row>
    <row r="16" spans="1:7">
      <c r="A16" s="118" t="s">
        <v>83</v>
      </c>
      <c r="B16" s="1185"/>
      <c r="C16" s="1186"/>
      <c r="D16" s="1186"/>
      <c r="E16" s="704"/>
      <c r="F16" s="765"/>
      <c r="G16" s="704"/>
    </row>
    <row r="17" spans="1:7">
      <c r="A17" s="118" t="s">
        <v>60</v>
      </c>
      <c r="B17" s="1185"/>
      <c r="C17" s="1186"/>
      <c r="D17" s="704"/>
      <c r="E17" s="704"/>
      <c r="F17" s="704"/>
      <c r="G17" s="704"/>
    </row>
    <row r="18" spans="1:7">
      <c r="A18" s="130" t="s">
        <v>22</v>
      </c>
      <c r="B18" s="1183"/>
      <c r="C18" s="775"/>
      <c r="D18" s="775"/>
      <c r="E18" s="775"/>
      <c r="F18" s="775"/>
      <c r="G18" s="775"/>
    </row>
    <row r="19" spans="1:7">
      <c r="A19" s="684"/>
      <c r="B19" s="23"/>
      <c r="C19" s="23"/>
      <c r="D19" s="23"/>
      <c r="E19" s="23"/>
      <c r="F19" s="23"/>
      <c r="G19" s="23"/>
    </row>
    <row r="20" spans="1:7" ht="16.5">
      <c r="A20" s="45"/>
      <c r="B20" s="45"/>
      <c r="C20" s="23"/>
      <c r="D20" s="23"/>
      <c r="E20" s="23"/>
      <c r="F20" s="23"/>
      <c r="G20" s="23"/>
    </row>
    <row r="21" spans="1:7" ht="16.5">
      <c r="A21" s="45"/>
      <c r="B21" s="45"/>
      <c r="C21" s="23"/>
      <c r="D21" s="23"/>
      <c r="E21" s="23"/>
      <c r="F21" s="23"/>
      <c r="G21" s="23"/>
    </row>
    <row r="22" spans="1:7">
      <c r="A22" s="23"/>
      <c r="B22" s="23"/>
      <c r="C22" s="23"/>
      <c r="D22" s="23"/>
      <c r="E22" s="23"/>
      <c r="F22" s="23"/>
      <c r="G22" s="23"/>
    </row>
  </sheetData>
  <mergeCells count="6">
    <mergeCell ref="F3:G3"/>
    <mergeCell ref="A1:C1"/>
    <mergeCell ref="D5:E5"/>
    <mergeCell ref="D6:E6"/>
    <mergeCell ref="A5:A7"/>
    <mergeCell ref="B5:C5"/>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view="pageBreakPreview" topLeftCell="A5" zoomScale="85" zoomScaleSheetLayoutView="85" workbookViewId="0">
      <selection activeCell="C105" sqref="C105"/>
    </sheetView>
  </sheetViews>
  <sheetFormatPr defaultColWidth="9.1796875" defaultRowHeight="14.5"/>
  <cols>
    <col min="2" max="2" width="28.26953125" customWidth="1"/>
    <col min="3" max="14" width="10.81640625" customWidth="1"/>
  </cols>
  <sheetData>
    <row r="1" spans="1:14" s="251" customFormat="1">
      <c r="A1" s="3314" t="s">
        <v>896</v>
      </c>
      <c r="B1" s="3314"/>
    </row>
    <row r="2" spans="1:14">
      <c r="A2" s="2993" t="s">
        <v>1604</v>
      </c>
      <c r="B2" s="2993"/>
      <c r="C2" s="2993"/>
      <c r="D2" s="2993"/>
      <c r="E2" s="2993"/>
      <c r="F2" s="2993"/>
      <c r="G2" s="2993"/>
      <c r="H2" s="2993"/>
      <c r="I2" s="2993"/>
      <c r="J2" s="2993"/>
      <c r="K2" s="2993"/>
      <c r="L2" s="2993"/>
      <c r="M2" s="2993"/>
      <c r="N2" s="2993"/>
    </row>
    <row r="3" spans="1:14">
      <c r="A3" s="573" t="s">
        <v>84</v>
      </c>
      <c r="B3" s="573"/>
      <c r="C3" s="573"/>
      <c r="D3" s="573"/>
      <c r="E3" s="573"/>
      <c r="F3" s="573"/>
      <c r="G3" s="573"/>
      <c r="H3" s="573"/>
      <c r="I3" s="573"/>
      <c r="J3" s="573"/>
      <c r="K3" s="573"/>
      <c r="L3" s="573"/>
      <c r="M3" s="3330"/>
      <c r="N3" s="3330"/>
    </row>
    <row r="4" spans="1:14">
      <c r="I4" s="43"/>
      <c r="J4" s="43"/>
      <c r="M4" s="3324" t="s">
        <v>141</v>
      </c>
      <c r="N4" s="3324"/>
    </row>
    <row r="5" spans="1:14" ht="60" customHeight="1">
      <c r="A5" s="2994" t="s">
        <v>66</v>
      </c>
      <c r="B5" s="2994" t="s">
        <v>14</v>
      </c>
      <c r="C5" s="2994" t="s">
        <v>85</v>
      </c>
      <c r="D5" s="2994"/>
      <c r="E5" s="2994"/>
      <c r="F5" s="2994"/>
      <c r="G5" s="3029" t="s">
        <v>86</v>
      </c>
      <c r="H5" s="3018" t="s">
        <v>87</v>
      </c>
      <c r="I5" s="3022"/>
      <c r="J5" s="2994" t="s">
        <v>88</v>
      </c>
      <c r="K5" s="2994"/>
      <c r="L5" s="2994"/>
      <c r="M5" s="2994" t="s">
        <v>89</v>
      </c>
      <c r="N5" s="2994"/>
    </row>
    <row r="6" spans="1:14" ht="43.5">
      <c r="A6" s="2994"/>
      <c r="B6" s="2994"/>
      <c r="C6" s="193" t="s">
        <v>90</v>
      </c>
      <c r="D6" s="193" t="s">
        <v>91</v>
      </c>
      <c r="E6" s="193" t="s">
        <v>92</v>
      </c>
      <c r="F6" s="193" t="s">
        <v>22</v>
      </c>
      <c r="G6" s="3089"/>
      <c r="H6" s="193" t="s">
        <v>93</v>
      </c>
      <c r="I6" s="193" t="s">
        <v>94</v>
      </c>
      <c r="J6" s="193" t="s">
        <v>93</v>
      </c>
      <c r="K6" s="193" t="s">
        <v>94</v>
      </c>
      <c r="L6" s="210" t="s">
        <v>62</v>
      </c>
      <c r="M6" s="193" t="s">
        <v>95</v>
      </c>
      <c r="N6" s="193" t="s">
        <v>96</v>
      </c>
    </row>
    <row r="7" spans="1:14">
      <c r="A7" s="19"/>
      <c r="B7" s="91" t="s">
        <v>65</v>
      </c>
      <c r="C7" s="3380" t="s">
        <v>1599</v>
      </c>
      <c r="D7" s="3381"/>
      <c r="E7" s="3381"/>
      <c r="F7" s="3381"/>
      <c r="G7" s="3381"/>
      <c r="H7" s="3381"/>
      <c r="I7" s="3381"/>
      <c r="J7" s="3381"/>
      <c r="K7" s="3381"/>
      <c r="L7" s="3381"/>
      <c r="M7" s="3381"/>
      <c r="N7" s="3382"/>
    </row>
    <row r="8" spans="1:14">
      <c r="A8" s="19"/>
      <c r="B8" s="87"/>
      <c r="C8" s="3383"/>
      <c r="D8" s="3384"/>
      <c r="E8" s="3384"/>
      <c r="F8" s="3384"/>
      <c r="G8" s="3384"/>
      <c r="H8" s="3384"/>
      <c r="I8" s="3384"/>
      <c r="J8" s="3384"/>
      <c r="K8" s="3384"/>
      <c r="L8" s="3384"/>
      <c r="M8" s="3384"/>
      <c r="N8" s="3385"/>
    </row>
    <row r="9" spans="1:14">
      <c r="A9" s="88" t="s">
        <v>57</v>
      </c>
      <c r="B9" s="91" t="s">
        <v>97</v>
      </c>
      <c r="C9" s="3383"/>
      <c r="D9" s="3384"/>
      <c r="E9" s="3384"/>
      <c r="F9" s="3384"/>
      <c r="G9" s="3384"/>
      <c r="H9" s="3384"/>
      <c r="I9" s="3384"/>
      <c r="J9" s="3384"/>
      <c r="K9" s="3384"/>
      <c r="L9" s="3384"/>
      <c r="M9" s="3384"/>
      <c r="N9" s="3385"/>
    </row>
    <row r="10" spans="1:14">
      <c r="A10" s="44"/>
      <c r="B10" s="87"/>
      <c r="C10" s="3383"/>
      <c r="D10" s="3384"/>
      <c r="E10" s="3384"/>
      <c r="F10" s="3384"/>
      <c r="G10" s="3384"/>
      <c r="H10" s="3384"/>
      <c r="I10" s="3384"/>
      <c r="J10" s="3384"/>
      <c r="K10" s="3384"/>
      <c r="L10" s="3384"/>
      <c r="M10" s="3384"/>
      <c r="N10" s="3385"/>
    </row>
    <row r="11" spans="1:14">
      <c r="A11" s="131">
        <v>1</v>
      </c>
      <c r="B11" s="95" t="s">
        <v>98</v>
      </c>
      <c r="C11" s="3383"/>
      <c r="D11" s="3384"/>
      <c r="E11" s="3384"/>
      <c r="F11" s="3384"/>
      <c r="G11" s="3384"/>
      <c r="H11" s="3384"/>
      <c r="I11" s="3384"/>
      <c r="J11" s="3384"/>
      <c r="K11" s="3384"/>
      <c r="L11" s="3384"/>
      <c r="M11" s="3384"/>
      <c r="N11" s="3385"/>
    </row>
    <row r="12" spans="1:14">
      <c r="A12" s="131">
        <v>2</v>
      </c>
      <c r="B12" s="95" t="s">
        <v>99</v>
      </c>
      <c r="C12" s="3383"/>
      <c r="D12" s="3384"/>
      <c r="E12" s="3384"/>
      <c r="F12" s="3384"/>
      <c r="G12" s="3384"/>
      <c r="H12" s="3384"/>
      <c r="I12" s="3384"/>
      <c r="J12" s="3384"/>
      <c r="K12" s="3384"/>
      <c r="L12" s="3384"/>
      <c r="M12" s="3384"/>
      <c r="N12" s="3385"/>
    </row>
    <row r="13" spans="1:14">
      <c r="A13" s="131">
        <v>3</v>
      </c>
      <c r="B13" s="95" t="s">
        <v>100</v>
      </c>
      <c r="C13" s="3383"/>
      <c r="D13" s="3384"/>
      <c r="E13" s="3384"/>
      <c r="F13" s="3384"/>
      <c r="G13" s="3384"/>
      <c r="H13" s="3384"/>
      <c r="I13" s="3384"/>
      <c r="J13" s="3384"/>
      <c r="K13" s="3384"/>
      <c r="L13" s="3384"/>
      <c r="M13" s="3384"/>
      <c r="N13" s="3385"/>
    </row>
    <row r="14" spans="1:14">
      <c r="A14" s="131">
        <v>4</v>
      </c>
      <c r="B14" s="95" t="s">
        <v>101</v>
      </c>
      <c r="C14" s="3383"/>
      <c r="D14" s="3384"/>
      <c r="E14" s="3384"/>
      <c r="F14" s="3384"/>
      <c r="G14" s="3384"/>
      <c r="H14" s="3384"/>
      <c r="I14" s="3384"/>
      <c r="J14" s="3384"/>
      <c r="K14" s="3384"/>
      <c r="L14" s="3384"/>
      <c r="M14" s="3384"/>
      <c r="N14" s="3385"/>
    </row>
    <row r="15" spans="1:14">
      <c r="A15" s="131">
        <v>5</v>
      </c>
      <c r="B15" s="95" t="s">
        <v>102</v>
      </c>
      <c r="C15" s="3383"/>
      <c r="D15" s="3384"/>
      <c r="E15" s="3384"/>
      <c r="F15" s="3384"/>
      <c r="G15" s="3384"/>
      <c r="H15" s="3384"/>
      <c r="I15" s="3384"/>
      <c r="J15" s="3384"/>
      <c r="K15" s="3384"/>
      <c r="L15" s="3384"/>
      <c r="M15" s="3384"/>
      <c r="N15" s="3385"/>
    </row>
    <row r="16" spans="1:14">
      <c r="A16" s="131">
        <v>6</v>
      </c>
      <c r="B16" s="95" t="s">
        <v>103</v>
      </c>
      <c r="C16" s="3383"/>
      <c r="D16" s="3384"/>
      <c r="E16" s="3384"/>
      <c r="F16" s="3384"/>
      <c r="G16" s="3384"/>
      <c r="H16" s="3384"/>
      <c r="I16" s="3384"/>
      <c r="J16" s="3384"/>
      <c r="K16" s="3384"/>
      <c r="L16" s="3384"/>
      <c r="M16" s="3384"/>
      <c r="N16" s="3385"/>
    </row>
    <row r="17" spans="1:14">
      <c r="A17" s="131">
        <v>7</v>
      </c>
      <c r="B17" s="95" t="s">
        <v>104</v>
      </c>
      <c r="C17" s="3383"/>
      <c r="D17" s="3384"/>
      <c r="E17" s="3384"/>
      <c r="F17" s="3384"/>
      <c r="G17" s="3384"/>
      <c r="H17" s="3384"/>
      <c r="I17" s="3384"/>
      <c r="J17" s="3384"/>
      <c r="K17" s="3384"/>
      <c r="L17" s="3384"/>
      <c r="M17" s="3384"/>
      <c r="N17" s="3385"/>
    </row>
    <row r="18" spans="1:14">
      <c r="A18" s="131"/>
      <c r="B18" s="133"/>
      <c r="C18" s="3383"/>
      <c r="D18" s="3384"/>
      <c r="E18" s="3384"/>
      <c r="F18" s="3384"/>
      <c r="G18" s="3384"/>
      <c r="H18" s="3384"/>
      <c r="I18" s="3384"/>
      <c r="J18" s="3384"/>
      <c r="K18" s="3384"/>
      <c r="L18" s="3384"/>
      <c r="M18" s="3384"/>
      <c r="N18" s="3385"/>
    </row>
    <row r="19" spans="1:14">
      <c r="A19" s="131"/>
      <c r="B19" s="133"/>
      <c r="C19" s="3383"/>
      <c r="D19" s="3384"/>
      <c r="E19" s="3384"/>
      <c r="F19" s="3384"/>
      <c r="G19" s="3384"/>
      <c r="H19" s="3384"/>
      <c r="I19" s="3384"/>
      <c r="J19" s="3384"/>
      <c r="K19" s="3384"/>
      <c r="L19" s="3384"/>
      <c r="M19" s="3384"/>
      <c r="N19" s="3385"/>
    </row>
    <row r="20" spans="1:14">
      <c r="A20" s="88" t="s">
        <v>58</v>
      </c>
      <c r="B20" s="91" t="s">
        <v>105</v>
      </c>
      <c r="C20" s="3383"/>
      <c r="D20" s="3384"/>
      <c r="E20" s="3384"/>
      <c r="F20" s="3384"/>
      <c r="G20" s="3384"/>
      <c r="H20" s="3384"/>
      <c r="I20" s="3384"/>
      <c r="J20" s="3384"/>
      <c r="K20" s="3384"/>
      <c r="L20" s="3384"/>
      <c r="M20" s="3384"/>
      <c r="N20" s="3385"/>
    </row>
    <row r="21" spans="1:14">
      <c r="A21" s="131"/>
      <c r="B21" s="133"/>
      <c r="C21" s="3383"/>
      <c r="D21" s="3384"/>
      <c r="E21" s="3384"/>
      <c r="F21" s="3384"/>
      <c r="G21" s="3384"/>
      <c r="H21" s="3384"/>
      <c r="I21" s="3384"/>
      <c r="J21" s="3384"/>
      <c r="K21" s="3384"/>
      <c r="L21" s="3384"/>
      <c r="M21" s="3384"/>
      <c r="N21" s="3385"/>
    </row>
    <row r="22" spans="1:14">
      <c r="A22" s="131"/>
      <c r="B22" s="134"/>
      <c r="C22" s="3383"/>
      <c r="D22" s="3384"/>
      <c r="E22" s="3384"/>
      <c r="F22" s="3384"/>
      <c r="G22" s="3384"/>
      <c r="H22" s="3384"/>
      <c r="I22" s="3384"/>
      <c r="J22" s="3384"/>
      <c r="K22" s="3384"/>
      <c r="L22" s="3384"/>
      <c r="M22" s="3384"/>
      <c r="N22" s="3385"/>
    </row>
    <row r="23" spans="1:14">
      <c r="A23" s="132"/>
      <c r="B23" s="181" t="s">
        <v>22</v>
      </c>
      <c r="C23" s="3386"/>
      <c r="D23" s="3387"/>
      <c r="E23" s="3387"/>
      <c r="F23" s="3387"/>
      <c r="G23" s="3387"/>
      <c r="H23" s="3387"/>
      <c r="I23" s="3387"/>
      <c r="J23" s="3387"/>
      <c r="K23" s="3387"/>
      <c r="L23" s="3387"/>
      <c r="M23" s="3387"/>
      <c r="N23" s="3388"/>
    </row>
    <row r="24" spans="1:14">
      <c r="A24" s="24" t="s">
        <v>805</v>
      </c>
      <c r="C24" s="24"/>
      <c r="D24" s="24"/>
      <c r="E24" s="24"/>
      <c r="F24" s="24"/>
      <c r="G24" s="24"/>
      <c r="H24" s="24"/>
      <c r="I24" s="4"/>
      <c r="J24" s="4"/>
      <c r="K24" s="4"/>
      <c r="L24" s="4"/>
      <c r="M24" s="4"/>
    </row>
    <row r="28" spans="1:14">
      <c r="L28" s="3327"/>
      <c r="M28" s="3327"/>
      <c r="N28" s="3327"/>
    </row>
  </sheetData>
  <mergeCells count="13">
    <mergeCell ref="A1:B1"/>
    <mergeCell ref="L28:N28"/>
    <mergeCell ref="A2:N2"/>
    <mergeCell ref="M3:N3"/>
    <mergeCell ref="M4:N4"/>
    <mergeCell ref="A5:A6"/>
    <mergeCell ref="B5:B6"/>
    <mergeCell ref="C5:F5"/>
    <mergeCell ref="J5:L5"/>
    <mergeCell ref="M5:N5"/>
    <mergeCell ref="G5:G6"/>
    <mergeCell ref="H5:I5"/>
    <mergeCell ref="C7:N23"/>
  </mergeCells>
  <printOptions horizontalCentered="1"/>
  <pageMargins left="0.19685039370078741" right="0.19685039370078741" top="0.19685039370078741" bottom="0.19685039370078741" header="0.19685039370078741" footer="0.19685039370078741"/>
  <pageSetup paperSize="9" scale="86"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view="pageBreakPreview" topLeftCell="A15" zoomScaleSheetLayoutView="100" workbookViewId="0">
      <selection activeCell="C105" sqref="C105"/>
    </sheetView>
  </sheetViews>
  <sheetFormatPr defaultColWidth="9.1796875" defaultRowHeight="13"/>
  <cols>
    <col min="1" max="1" width="32.54296875" style="670" customWidth="1"/>
    <col min="2" max="2" width="9.81640625" style="670" bestFit="1" customWidth="1"/>
    <col min="3" max="3" width="11.7265625" style="670" bestFit="1" customWidth="1"/>
    <col min="4" max="5" width="9.81640625" style="670" bestFit="1" customWidth="1"/>
    <col min="6" max="6" width="10.26953125" style="670" bestFit="1" customWidth="1"/>
    <col min="7" max="10" width="13.1796875" style="670" customWidth="1"/>
    <col min="11" max="16384" width="9.1796875" style="670"/>
  </cols>
  <sheetData>
    <row r="1" spans="1:10">
      <c r="A1" s="675" t="s">
        <v>897</v>
      </c>
      <c r="B1" s="675"/>
      <c r="C1" s="675"/>
    </row>
    <row r="2" spans="1:10">
      <c r="A2" s="3393" t="s">
        <v>1604</v>
      </c>
      <c r="B2" s="3393"/>
      <c r="C2" s="3393"/>
      <c r="D2" s="3393"/>
      <c r="E2" s="3393"/>
      <c r="F2" s="3393"/>
      <c r="G2" s="3393"/>
      <c r="H2" s="3393"/>
      <c r="I2" s="3393"/>
      <c r="J2" s="3393"/>
    </row>
    <row r="3" spans="1:10">
      <c r="A3" s="676" t="s">
        <v>173</v>
      </c>
      <c r="B3" s="676"/>
      <c r="C3" s="676"/>
      <c r="D3" s="676"/>
      <c r="E3" s="676"/>
      <c r="F3" s="676"/>
      <c r="G3" s="676"/>
      <c r="H3" s="676"/>
      <c r="I3" s="676"/>
      <c r="J3" s="926"/>
    </row>
    <row r="4" spans="1:10">
      <c r="A4" s="677"/>
      <c r="B4" s="677"/>
      <c r="C4" s="677"/>
      <c r="D4" s="677"/>
      <c r="E4" s="677"/>
      <c r="F4" s="677"/>
      <c r="G4" s="677"/>
      <c r="H4" s="677"/>
      <c r="I4" s="677"/>
      <c r="J4" s="994"/>
    </row>
    <row r="5" spans="1:10">
      <c r="A5" s="3394" t="s">
        <v>14</v>
      </c>
      <c r="B5" s="3397" t="s">
        <v>803</v>
      </c>
      <c r="C5" s="3398"/>
      <c r="D5" s="3398"/>
      <c r="E5" s="3398"/>
      <c r="F5" s="3399"/>
      <c r="G5" s="3400" t="s">
        <v>542</v>
      </c>
      <c r="H5" s="3401"/>
      <c r="I5" s="678" t="s">
        <v>550</v>
      </c>
      <c r="J5" s="874" t="s">
        <v>952</v>
      </c>
    </row>
    <row r="6" spans="1:10">
      <c r="A6" s="3395"/>
      <c r="B6" s="659" t="s">
        <v>557</v>
      </c>
      <c r="C6" s="659" t="s">
        <v>556</v>
      </c>
      <c r="D6" s="659" t="s">
        <v>555</v>
      </c>
      <c r="E6" s="876" t="s">
        <v>553</v>
      </c>
      <c r="F6" s="659" t="s">
        <v>551</v>
      </c>
      <c r="G6" s="3397" t="s">
        <v>545</v>
      </c>
      <c r="H6" s="3399"/>
      <c r="I6" s="659" t="s">
        <v>546</v>
      </c>
      <c r="J6" s="659" t="s">
        <v>547</v>
      </c>
    </row>
    <row r="7" spans="1:10" ht="26">
      <c r="A7" s="3396"/>
      <c r="B7" s="659" t="s">
        <v>554</v>
      </c>
      <c r="C7" s="659" t="s">
        <v>554</v>
      </c>
      <c r="D7" s="659" t="s">
        <v>554</v>
      </c>
      <c r="E7" s="659" t="s">
        <v>554</v>
      </c>
      <c r="F7" s="659" t="s">
        <v>554</v>
      </c>
      <c r="G7" s="679" t="s">
        <v>543</v>
      </c>
      <c r="H7" s="663" t="s">
        <v>544</v>
      </c>
      <c r="I7" s="679" t="s">
        <v>552</v>
      </c>
      <c r="J7" s="678" t="s">
        <v>283</v>
      </c>
    </row>
    <row r="8" spans="1:10" ht="14.5">
      <c r="A8" s="680" t="s">
        <v>412</v>
      </c>
      <c r="B8" s="1059">
        <f>D28</f>
        <v>265</v>
      </c>
      <c r="C8" s="1059">
        <f t="shared" ref="C8:F8" si="0">E28</f>
        <v>275.91666666666669</v>
      </c>
      <c r="D8" s="1059">
        <f t="shared" si="0"/>
        <v>284.41666666666669</v>
      </c>
      <c r="E8" s="1059">
        <f t="shared" si="0"/>
        <v>299.91666666666669</v>
      </c>
      <c r="F8" s="1059">
        <f t="shared" si="0"/>
        <v>322.5</v>
      </c>
      <c r="G8" s="1055">
        <v>338.70833333333331</v>
      </c>
      <c r="H8" s="1055">
        <f>I28</f>
        <v>338.70833333333331</v>
      </c>
      <c r="I8" s="1055">
        <f>J28</f>
        <v>353.40457142857139</v>
      </c>
      <c r="J8" s="1055">
        <f>I8</f>
        <v>353.40457142857139</v>
      </c>
    </row>
    <row r="9" spans="1:10">
      <c r="A9" s="681" t="s">
        <v>1341</v>
      </c>
      <c r="B9" s="1002"/>
      <c r="C9" s="1272">
        <f>IFERROR((C8-B8)/B8,0)</f>
        <v>4.1194968553459194E-2</v>
      </c>
      <c r="D9" s="1272">
        <f t="shared" ref="D9:G9" si="1">IFERROR((D8-C8)/C8,0)</f>
        <v>3.0806402899426152E-2</v>
      </c>
      <c r="E9" s="1272">
        <f t="shared" si="1"/>
        <v>5.4497509522414292E-2</v>
      </c>
      <c r="F9" s="1272">
        <f t="shared" si="1"/>
        <v>7.5298694081689294E-2</v>
      </c>
      <c r="G9" s="1272">
        <f t="shared" si="1"/>
        <v>5.025839793281648E-2</v>
      </c>
      <c r="H9" s="1272">
        <f>G9</f>
        <v>5.025839793281648E-2</v>
      </c>
      <c r="I9" s="1272">
        <f t="shared" ref="I9" si="2">IFERROR((I8-H8)/H8,0)</f>
        <v>4.3389065602867975E-2</v>
      </c>
      <c r="J9" s="1272">
        <f>I9</f>
        <v>4.3389065602867975E-2</v>
      </c>
    </row>
    <row r="10" spans="1:10">
      <c r="A10" s="682"/>
      <c r="B10" s="682"/>
      <c r="C10" s="682"/>
      <c r="D10" s="683"/>
      <c r="E10" s="683"/>
      <c r="F10" s="683"/>
      <c r="G10" s="681"/>
      <c r="H10" s="681"/>
      <c r="I10" s="681"/>
      <c r="J10" s="681"/>
    </row>
    <row r="11" spans="1:10">
      <c r="A11" s="670" t="s">
        <v>413</v>
      </c>
    </row>
    <row r="12" spans="1:10">
      <c r="A12" s="670" t="s">
        <v>833</v>
      </c>
      <c r="I12" s="3392"/>
      <c r="J12" s="3392"/>
    </row>
    <row r="14" spans="1:10" ht="14.5">
      <c r="A14" s="3389" t="s">
        <v>1182</v>
      </c>
      <c r="B14" s="3391" t="s">
        <v>1442</v>
      </c>
      <c r="C14" s="3391"/>
      <c r="D14" s="3391"/>
      <c r="E14" s="3391"/>
      <c r="F14" s="3391"/>
      <c r="G14" s="3391"/>
      <c r="H14" s="3391"/>
      <c r="I14" s="3391"/>
      <c r="J14" s="3391"/>
    </row>
    <row r="15" spans="1:10" ht="14.5">
      <c r="A15" s="3390"/>
      <c r="B15" s="998" t="s">
        <v>1443</v>
      </c>
      <c r="C15" s="998" t="s">
        <v>812</v>
      </c>
      <c r="D15" s="998" t="s">
        <v>557</v>
      </c>
      <c r="E15" s="998" t="s">
        <v>556</v>
      </c>
      <c r="F15" s="998" t="s">
        <v>555</v>
      </c>
      <c r="G15" s="998" t="s">
        <v>553</v>
      </c>
      <c r="H15" s="998" t="s">
        <v>551</v>
      </c>
      <c r="I15" s="998" t="s">
        <v>545</v>
      </c>
      <c r="J15" s="998" t="s">
        <v>546</v>
      </c>
    </row>
    <row r="16" spans="1:10" ht="14.5">
      <c r="A16" s="999" t="s">
        <v>245</v>
      </c>
      <c r="B16" s="1286">
        <v>226</v>
      </c>
      <c r="C16" s="1286">
        <v>242</v>
      </c>
      <c r="D16" s="1286">
        <v>256</v>
      </c>
      <c r="E16" s="1286">
        <v>271</v>
      </c>
      <c r="F16" s="1286">
        <v>277</v>
      </c>
      <c r="G16" s="1286">
        <v>288</v>
      </c>
      <c r="H16" s="1286">
        <v>312</v>
      </c>
      <c r="I16" s="1286">
        <v>329</v>
      </c>
      <c r="J16" s="1286">
        <v>346</v>
      </c>
    </row>
    <row r="17" spans="1:10" ht="14.5">
      <c r="A17" s="999" t="s">
        <v>246</v>
      </c>
      <c r="B17" s="1286">
        <v>228</v>
      </c>
      <c r="C17" s="1286">
        <v>244</v>
      </c>
      <c r="D17" s="1286">
        <v>258</v>
      </c>
      <c r="E17" s="1286">
        <v>275</v>
      </c>
      <c r="F17" s="1286">
        <v>278</v>
      </c>
      <c r="G17" s="1286">
        <v>289</v>
      </c>
      <c r="H17" s="1286">
        <v>314</v>
      </c>
      <c r="I17" s="1286">
        <v>330.46</v>
      </c>
      <c r="J17" s="1286">
        <v>347</v>
      </c>
    </row>
    <row r="18" spans="1:10" ht="14.5">
      <c r="A18" s="999" t="s">
        <v>247</v>
      </c>
      <c r="B18" s="1286">
        <v>231</v>
      </c>
      <c r="C18" s="1286">
        <v>246</v>
      </c>
      <c r="D18" s="1286">
        <v>261</v>
      </c>
      <c r="E18" s="1286">
        <v>277</v>
      </c>
      <c r="F18" s="1286">
        <v>280</v>
      </c>
      <c r="G18" s="1286">
        <v>291</v>
      </c>
      <c r="H18" s="1286">
        <v>316</v>
      </c>
      <c r="I18" s="1286">
        <v>332</v>
      </c>
      <c r="J18" s="1286">
        <v>350</v>
      </c>
    </row>
    <row r="19" spans="1:10" ht="14.5">
      <c r="A19" s="999" t="s">
        <v>248</v>
      </c>
      <c r="B19" s="1286">
        <v>235</v>
      </c>
      <c r="C19" s="1286">
        <v>252</v>
      </c>
      <c r="D19" s="1286">
        <v>263</v>
      </c>
      <c r="E19" s="1286">
        <v>280</v>
      </c>
      <c r="F19" s="1286">
        <v>285</v>
      </c>
      <c r="G19" s="1286">
        <v>301</v>
      </c>
      <c r="H19" s="1286">
        <v>319</v>
      </c>
      <c r="I19" s="1286">
        <v>336</v>
      </c>
      <c r="J19" s="1286">
        <v>354</v>
      </c>
    </row>
    <row r="20" spans="1:10" ht="14.5">
      <c r="A20" s="999" t="s">
        <v>249</v>
      </c>
      <c r="B20" s="1286">
        <v>237</v>
      </c>
      <c r="C20" s="1286">
        <v>253</v>
      </c>
      <c r="D20" s="1286">
        <v>264</v>
      </c>
      <c r="E20" s="1286">
        <v>278</v>
      </c>
      <c r="F20" s="1286">
        <v>285</v>
      </c>
      <c r="G20" s="1286">
        <v>301</v>
      </c>
      <c r="H20" s="1286">
        <v>320</v>
      </c>
      <c r="I20" s="1286">
        <v>338</v>
      </c>
      <c r="J20" s="1286">
        <v>0</v>
      </c>
    </row>
    <row r="21" spans="1:10" ht="14.5">
      <c r="A21" s="999" t="s">
        <v>250</v>
      </c>
      <c r="B21" s="1286">
        <v>238</v>
      </c>
      <c r="C21" s="1286">
        <v>253</v>
      </c>
      <c r="D21" s="1286">
        <v>266</v>
      </c>
      <c r="E21" s="1286">
        <v>277</v>
      </c>
      <c r="F21" s="1286">
        <v>285</v>
      </c>
      <c r="G21" s="1286">
        <v>301</v>
      </c>
      <c r="H21" s="1286">
        <v>322</v>
      </c>
      <c r="I21" s="1286">
        <v>339.84</v>
      </c>
      <c r="J21" s="1286">
        <v>355.10399999999998</v>
      </c>
    </row>
    <row r="22" spans="1:10" ht="14.5">
      <c r="A22" s="999" t="s">
        <v>255</v>
      </c>
      <c r="B22" s="1286">
        <v>241</v>
      </c>
      <c r="C22" s="1286">
        <v>253</v>
      </c>
      <c r="D22" s="1286">
        <v>269</v>
      </c>
      <c r="E22" s="1286">
        <v>278</v>
      </c>
      <c r="F22" s="1286">
        <v>287</v>
      </c>
      <c r="G22" s="1286">
        <v>302</v>
      </c>
      <c r="H22" s="1286">
        <v>325</v>
      </c>
      <c r="I22" s="1286">
        <v>344.16</v>
      </c>
      <c r="J22" s="1286">
        <v>359.71199999999999</v>
      </c>
    </row>
    <row r="23" spans="1:10" ht="14.5">
      <c r="A23" s="999" t="s">
        <v>251</v>
      </c>
      <c r="B23" s="1286">
        <v>243</v>
      </c>
      <c r="C23" s="1286">
        <v>253</v>
      </c>
      <c r="D23" s="1286">
        <v>270</v>
      </c>
      <c r="E23" s="1286">
        <v>277</v>
      </c>
      <c r="F23" s="1286">
        <v>288</v>
      </c>
      <c r="G23" s="1286">
        <v>302</v>
      </c>
      <c r="H23" s="1286">
        <v>328</v>
      </c>
      <c r="I23" s="1286">
        <v>345.31200000000001</v>
      </c>
      <c r="J23" s="1286">
        <v>362.01600000000002</v>
      </c>
    </row>
    <row r="24" spans="1:10" ht="14.5">
      <c r="A24" s="999" t="s">
        <v>252</v>
      </c>
      <c r="B24" s="1286">
        <v>239</v>
      </c>
      <c r="C24" s="1286">
        <v>253</v>
      </c>
      <c r="D24" s="1286">
        <v>269</v>
      </c>
      <c r="E24" s="1286">
        <v>275</v>
      </c>
      <c r="F24" s="1286">
        <v>286</v>
      </c>
      <c r="G24" s="1286">
        <v>301</v>
      </c>
      <c r="H24" s="1286">
        <v>330</v>
      </c>
      <c r="I24" s="1286">
        <v>342.14400000000001</v>
      </c>
      <c r="J24" s="1286">
        <v>0</v>
      </c>
    </row>
    <row r="25" spans="1:10" ht="14.5">
      <c r="A25" s="999" t="s">
        <v>254</v>
      </c>
      <c r="B25" s="1286">
        <v>237</v>
      </c>
      <c r="C25" s="1286">
        <v>254</v>
      </c>
      <c r="D25" s="1286">
        <v>269</v>
      </c>
      <c r="E25" s="1286">
        <v>274</v>
      </c>
      <c r="F25" s="1286">
        <v>288</v>
      </c>
      <c r="G25" s="1286">
        <v>307</v>
      </c>
      <c r="H25" s="1286">
        <v>330</v>
      </c>
      <c r="I25" s="1286">
        <v>340.416</v>
      </c>
      <c r="J25" s="1286">
        <v>0</v>
      </c>
    </row>
    <row r="26" spans="1:10" ht="14.5">
      <c r="A26" s="999" t="s">
        <v>253</v>
      </c>
      <c r="B26" s="1286">
        <v>238</v>
      </c>
      <c r="C26" s="1286">
        <v>253</v>
      </c>
      <c r="D26" s="1286">
        <v>267</v>
      </c>
      <c r="E26" s="1286">
        <v>274</v>
      </c>
      <c r="F26" s="1286">
        <v>287</v>
      </c>
      <c r="G26" s="1286">
        <v>307</v>
      </c>
      <c r="H26" s="1286">
        <v>328</v>
      </c>
      <c r="I26" s="1286">
        <v>342.71999999999997</v>
      </c>
      <c r="J26" s="1286">
        <v>0</v>
      </c>
    </row>
    <row r="27" spans="1:10" ht="14.5">
      <c r="A27" s="999" t="s">
        <v>256</v>
      </c>
      <c r="B27" s="1286">
        <v>239</v>
      </c>
      <c r="C27" s="1286">
        <v>254</v>
      </c>
      <c r="D27" s="1286">
        <v>268</v>
      </c>
      <c r="E27" s="1286">
        <v>275</v>
      </c>
      <c r="F27" s="1286">
        <v>287</v>
      </c>
      <c r="G27" s="1286">
        <v>309</v>
      </c>
      <c r="H27" s="1286">
        <v>326</v>
      </c>
      <c r="I27" s="1286">
        <v>344.44799999999998</v>
      </c>
      <c r="J27" s="1286">
        <v>0</v>
      </c>
    </row>
    <row r="28" spans="1:10" ht="14.5">
      <c r="A28" s="1003" t="s">
        <v>1444</v>
      </c>
      <c r="B28" s="1286">
        <v>236</v>
      </c>
      <c r="C28" s="1286">
        <v>250.83333333333334</v>
      </c>
      <c r="D28" s="1286">
        <v>265</v>
      </c>
      <c r="E28" s="1286">
        <v>275.91666666666669</v>
      </c>
      <c r="F28" s="1286">
        <v>284.41666666666669</v>
      </c>
      <c r="G28" s="1286">
        <v>299.91666666666669</v>
      </c>
      <c r="H28" s="1286">
        <v>322.5</v>
      </c>
      <c r="I28" s="1286">
        <v>338.70833333333331</v>
      </c>
      <c r="J28" s="1286">
        <v>353.40457142857139</v>
      </c>
    </row>
    <row r="29" spans="1:10" ht="14.5">
      <c r="A29" s="1003"/>
      <c r="B29" s="1000"/>
      <c r="C29" s="1005">
        <f t="shared" ref="C29:J29" si="3">(C28-B28)/B28</f>
        <v>6.2853107344632814E-2</v>
      </c>
      <c r="D29" s="1005">
        <f t="shared" si="3"/>
        <v>5.6478405315614578E-2</v>
      </c>
      <c r="E29" s="1005">
        <f t="shared" si="3"/>
        <v>4.1194968553459194E-2</v>
      </c>
      <c r="F29" s="1005">
        <f t="shared" si="3"/>
        <v>3.0806402899426152E-2</v>
      </c>
      <c r="G29" s="1005">
        <f t="shared" si="3"/>
        <v>5.4497509522414292E-2</v>
      </c>
      <c r="H29" s="1005">
        <f t="shared" si="3"/>
        <v>7.5298694081689294E-2</v>
      </c>
      <c r="I29" s="1005">
        <f t="shared" si="3"/>
        <v>5.025839793281648E-2</v>
      </c>
      <c r="J29" s="1005">
        <f t="shared" si="3"/>
        <v>4.3389065602867975E-2</v>
      </c>
    </row>
    <row r="30" spans="1:10" ht="14.5">
      <c r="A30" s="974"/>
      <c r="B30" s="974"/>
      <c r="C30" s="974"/>
      <c r="D30" s="974"/>
      <c r="E30" s="974"/>
      <c r="F30" s="974"/>
      <c r="G30" s="974"/>
      <c r="H30" s="974"/>
      <c r="I30" s="974"/>
      <c r="J30" s="974"/>
    </row>
  </sheetData>
  <mergeCells count="8">
    <mergeCell ref="A14:A15"/>
    <mergeCell ref="B14:J14"/>
    <mergeCell ref="I12:J12"/>
    <mergeCell ref="A2:J2"/>
    <mergeCell ref="A5:A7"/>
    <mergeCell ref="B5:F5"/>
    <mergeCell ref="G5:H5"/>
    <mergeCell ref="G6:H6"/>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view="pageBreakPreview" topLeftCell="A17" zoomScaleSheetLayoutView="100" workbookViewId="0">
      <selection activeCell="C105" sqref="C105"/>
    </sheetView>
  </sheetViews>
  <sheetFormatPr defaultColWidth="9.1796875" defaultRowHeight="13"/>
  <cols>
    <col min="1" max="1" width="32.54296875" style="670" customWidth="1"/>
    <col min="2" max="2" width="11" style="670" customWidth="1"/>
    <col min="3" max="3" width="9.81640625" style="670" bestFit="1" customWidth="1"/>
    <col min="4" max="6" width="10.7265625" style="670" customWidth="1"/>
    <col min="7" max="10" width="13.1796875" style="670" customWidth="1"/>
    <col min="11" max="16384" width="9.1796875" style="670"/>
  </cols>
  <sheetData>
    <row r="1" spans="1:10">
      <c r="A1" s="675" t="s">
        <v>494</v>
      </c>
      <c r="B1" s="675"/>
      <c r="C1" s="675"/>
    </row>
    <row r="2" spans="1:10">
      <c r="A2" s="3393" t="s">
        <v>1604</v>
      </c>
      <c r="B2" s="3393"/>
      <c r="C2" s="3393"/>
      <c r="D2" s="3393"/>
      <c r="E2" s="3393"/>
      <c r="F2" s="3393"/>
      <c r="G2" s="3393"/>
      <c r="H2" s="3393"/>
      <c r="I2" s="3393"/>
      <c r="J2" s="3393"/>
    </row>
    <row r="3" spans="1:10">
      <c r="A3" s="676" t="s">
        <v>898</v>
      </c>
      <c r="B3" s="676"/>
      <c r="C3" s="676"/>
      <c r="D3" s="676"/>
      <c r="E3" s="676"/>
      <c r="F3" s="676"/>
      <c r="G3" s="676"/>
      <c r="H3" s="676"/>
      <c r="I3" s="676"/>
      <c r="J3" s="872"/>
    </row>
    <row r="4" spans="1:10">
      <c r="A4" s="677"/>
      <c r="B4" s="677"/>
      <c r="C4" s="677"/>
      <c r="D4" s="677"/>
      <c r="E4" s="677"/>
      <c r="F4" s="677"/>
      <c r="G4" s="677"/>
      <c r="H4" s="677"/>
      <c r="I4" s="677"/>
      <c r="J4" s="873"/>
    </row>
    <row r="5" spans="1:10" ht="15" customHeight="1">
      <c r="A5" s="3394" t="s">
        <v>14</v>
      </c>
      <c r="B5" s="3402" t="s">
        <v>803</v>
      </c>
      <c r="C5" s="3403"/>
      <c r="D5" s="3403"/>
      <c r="E5" s="3403"/>
      <c r="F5" s="3404"/>
      <c r="G5" s="3405" t="s">
        <v>542</v>
      </c>
      <c r="H5" s="3405"/>
      <c r="I5" s="678" t="s">
        <v>550</v>
      </c>
      <c r="J5" s="874" t="s">
        <v>952</v>
      </c>
    </row>
    <row r="6" spans="1:10" ht="20.25" customHeight="1">
      <c r="A6" s="3395"/>
      <c r="B6" s="659" t="s">
        <v>557</v>
      </c>
      <c r="C6" s="659" t="s">
        <v>556</v>
      </c>
      <c r="D6" s="659" t="s">
        <v>555</v>
      </c>
      <c r="E6" s="659" t="s">
        <v>553</v>
      </c>
      <c r="F6" s="659" t="s">
        <v>551</v>
      </c>
      <c r="G6" s="3397" t="s">
        <v>545</v>
      </c>
      <c r="H6" s="3399"/>
      <c r="I6" s="659" t="s">
        <v>546</v>
      </c>
      <c r="J6" s="659" t="s">
        <v>547</v>
      </c>
    </row>
    <row r="7" spans="1:10" ht="26">
      <c r="A7" s="3396"/>
      <c r="B7" s="659" t="s">
        <v>554</v>
      </c>
      <c r="C7" s="659" t="s">
        <v>554</v>
      </c>
      <c r="D7" s="659" t="s">
        <v>554</v>
      </c>
      <c r="E7" s="659" t="s">
        <v>554</v>
      </c>
      <c r="F7" s="659" t="s">
        <v>554</v>
      </c>
      <c r="G7" s="679" t="s">
        <v>543</v>
      </c>
      <c r="H7" s="663" t="s">
        <v>544</v>
      </c>
      <c r="I7" s="679" t="s">
        <v>552</v>
      </c>
      <c r="J7" s="767" t="s">
        <v>283</v>
      </c>
    </row>
    <row r="8" spans="1:10" ht="14.5">
      <c r="A8" s="680" t="s">
        <v>834</v>
      </c>
      <c r="B8" s="934">
        <f>D28</f>
        <v>109.71666666666665</v>
      </c>
      <c r="C8" s="934">
        <f>E28</f>
        <v>111.61666666666667</v>
      </c>
      <c r="D8" s="934">
        <f>F28</f>
        <v>114.87499999999999</v>
      </c>
      <c r="E8" s="934">
        <f>G28</f>
        <v>114.87499999999999</v>
      </c>
      <c r="F8" s="934">
        <f>H28</f>
        <v>114.87499999999999</v>
      </c>
      <c r="G8" s="981">
        <v>123.26</v>
      </c>
      <c r="H8" s="1259">
        <f>I28</f>
        <v>114.87499999999999</v>
      </c>
      <c r="I8" s="1259">
        <f>J28</f>
        <v>137.69</v>
      </c>
      <c r="J8" s="934">
        <f>I8</f>
        <v>137.69</v>
      </c>
    </row>
    <row r="9" spans="1:10">
      <c r="A9" s="681" t="s">
        <v>1341</v>
      </c>
      <c r="B9" s="1002"/>
      <c r="C9" s="1272">
        <f>IFERROR((C8-B8)/B8,0)</f>
        <v>1.7317332523165915E-2</v>
      </c>
      <c r="D9" s="1272">
        <f t="shared" ref="D9:F9" si="0">IFERROR((D8-C8)/C8,0)</f>
        <v>2.9192175601015183E-2</v>
      </c>
      <c r="E9" s="1272">
        <f t="shared" si="0"/>
        <v>0</v>
      </c>
      <c r="F9" s="1272">
        <f t="shared" si="0"/>
        <v>0</v>
      </c>
      <c r="G9" s="1002"/>
      <c r="H9" s="1272">
        <f>IFERROR((H8-F8)/F8,0)</f>
        <v>0</v>
      </c>
      <c r="I9" s="1272">
        <f t="shared" ref="I9" si="1">IFERROR((I8-H8)/H8,0)</f>
        <v>0.1986071817192602</v>
      </c>
      <c r="J9" s="1272">
        <f>I9</f>
        <v>0.1986071817192602</v>
      </c>
    </row>
    <row r="10" spans="1:10">
      <c r="A10" s="682"/>
      <c r="B10" s="682"/>
      <c r="C10" s="682"/>
      <c r="D10" s="683"/>
      <c r="E10" s="683"/>
      <c r="F10" s="683"/>
      <c r="G10" s="681"/>
      <c r="H10" s="681"/>
      <c r="I10" s="681"/>
      <c r="J10" s="681"/>
    </row>
    <row r="11" spans="1:10">
      <c r="A11" s="670" t="s">
        <v>413</v>
      </c>
    </row>
    <row r="12" spans="1:10">
      <c r="A12" s="670" t="s">
        <v>835</v>
      </c>
      <c r="I12" s="3392"/>
      <c r="J12" s="3392"/>
    </row>
    <row r="14" spans="1:10" ht="14.5">
      <c r="A14" s="3389" t="s">
        <v>1182</v>
      </c>
      <c r="B14" s="3391" t="s">
        <v>1445</v>
      </c>
      <c r="C14" s="3391"/>
      <c r="D14" s="3391"/>
      <c r="E14" s="3391"/>
      <c r="F14" s="3391"/>
      <c r="G14" s="3391"/>
      <c r="H14" s="3391"/>
      <c r="I14" s="3391"/>
      <c r="J14" s="3391"/>
    </row>
    <row r="15" spans="1:10" ht="14.5">
      <c r="A15" s="3390"/>
      <c r="B15" s="998" t="s">
        <v>1443</v>
      </c>
      <c r="C15" s="998" t="s">
        <v>812</v>
      </c>
      <c r="D15" s="998" t="s">
        <v>557</v>
      </c>
      <c r="E15" s="998" t="s">
        <v>556</v>
      </c>
      <c r="F15" s="998" t="s">
        <v>555</v>
      </c>
      <c r="G15" s="998" t="s">
        <v>553</v>
      </c>
      <c r="H15" s="998" t="s">
        <v>551</v>
      </c>
      <c r="I15" s="998" t="s">
        <v>545</v>
      </c>
      <c r="J15" s="998" t="s">
        <v>546</v>
      </c>
    </row>
    <row r="16" spans="1:10" ht="14.5">
      <c r="A16" s="1006" t="s">
        <v>245</v>
      </c>
      <c r="B16" s="1286">
        <v>108.6</v>
      </c>
      <c r="C16" s="1286">
        <v>114.1</v>
      </c>
      <c r="D16" s="1286">
        <v>110.2</v>
      </c>
      <c r="E16" s="1286">
        <v>109</v>
      </c>
      <c r="F16" s="1286">
        <v>113.2</v>
      </c>
      <c r="G16" s="1286">
        <v>113.2</v>
      </c>
      <c r="H16" s="1286">
        <v>113.2</v>
      </c>
      <c r="I16" s="1286">
        <v>113.2</v>
      </c>
      <c r="J16" s="1286">
        <v>132</v>
      </c>
    </row>
    <row r="17" spans="1:10" ht="14.5">
      <c r="A17" s="1006" t="s">
        <v>246</v>
      </c>
      <c r="B17" s="1286">
        <v>108.6</v>
      </c>
      <c r="C17" s="1286">
        <v>114.8</v>
      </c>
      <c r="D17" s="1286">
        <v>111.4</v>
      </c>
      <c r="E17" s="1286">
        <v>110.4</v>
      </c>
      <c r="F17" s="1286">
        <v>112.9</v>
      </c>
      <c r="G17" s="1286">
        <v>112.9</v>
      </c>
      <c r="H17" s="1286">
        <v>112.9</v>
      </c>
      <c r="I17" s="1286">
        <v>112.9</v>
      </c>
      <c r="J17" s="1286">
        <v>132.9</v>
      </c>
    </row>
    <row r="18" spans="1:10" ht="14.5">
      <c r="A18" s="1006" t="s">
        <v>247</v>
      </c>
      <c r="B18" s="1286">
        <v>110.1</v>
      </c>
      <c r="C18" s="1286">
        <v>115.2</v>
      </c>
      <c r="D18" s="1286">
        <v>111.8</v>
      </c>
      <c r="E18" s="1286">
        <v>111.7</v>
      </c>
      <c r="F18" s="1286">
        <v>112.7</v>
      </c>
      <c r="G18" s="1286">
        <v>112.7</v>
      </c>
      <c r="H18" s="1286">
        <v>112.7</v>
      </c>
      <c r="I18" s="1286">
        <v>112.7</v>
      </c>
      <c r="J18" s="1286">
        <v>133.69999999999999</v>
      </c>
    </row>
    <row r="19" spans="1:10" ht="14.5">
      <c r="A19" s="1006" t="s">
        <v>248</v>
      </c>
      <c r="B19" s="1286">
        <v>111.2</v>
      </c>
      <c r="C19" s="1286">
        <v>116.7</v>
      </c>
      <c r="D19" s="1286">
        <v>111.1</v>
      </c>
      <c r="E19" s="1286">
        <v>111.8</v>
      </c>
      <c r="F19" s="1286">
        <v>113.9</v>
      </c>
      <c r="G19" s="1286">
        <v>113.9</v>
      </c>
      <c r="H19" s="1286">
        <v>113.9</v>
      </c>
      <c r="I19" s="1286">
        <v>113.9</v>
      </c>
      <c r="J19" s="1286">
        <v>135</v>
      </c>
    </row>
    <row r="20" spans="1:10" ht="14.5">
      <c r="A20" s="1006" t="s">
        <v>249</v>
      </c>
      <c r="B20" s="1286">
        <v>112.9</v>
      </c>
      <c r="C20" s="1286">
        <v>117.2</v>
      </c>
      <c r="D20" s="1286">
        <v>110</v>
      </c>
      <c r="E20" s="1286">
        <v>111.2</v>
      </c>
      <c r="F20" s="1286">
        <v>114.8</v>
      </c>
      <c r="G20" s="1286">
        <v>114.8</v>
      </c>
      <c r="H20" s="1286">
        <v>114.8</v>
      </c>
      <c r="I20" s="1286">
        <v>114.8</v>
      </c>
      <c r="J20" s="1286">
        <v>136.19999999999999</v>
      </c>
    </row>
    <row r="21" spans="1:10" ht="14.5">
      <c r="A21" s="1006" t="s">
        <v>250</v>
      </c>
      <c r="B21" s="1286">
        <v>114.3</v>
      </c>
      <c r="C21" s="1286">
        <v>116.4</v>
      </c>
      <c r="D21" s="1286">
        <v>109.9</v>
      </c>
      <c r="E21" s="1286">
        <v>111.4</v>
      </c>
      <c r="F21" s="1286">
        <v>114.9</v>
      </c>
      <c r="G21" s="1286">
        <v>114.9</v>
      </c>
      <c r="H21" s="1286">
        <v>114.9</v>
      </c>
      <c r="I21" s="1286">
        <v>114.9</v>
      </c>
      <c r="J21" s="1286">
        <v>137.4</v>
      </c>
    </row>
    <row r="22" spans="1:10" ht="14.5">
      <c r="A22" s="1006" t="s">
        <v>255</v>
      </c>
      <c r="B22" s="1286">
        <v>114.6</v>
      </c>
      <c r="C22" s="1286">
        <v>115.6</v>
      </c>
      <c r="D22" s="1286">
        <v>110.1</v>
      </c>
      <c r="E22" s="1286">
        <v>111.5</v>
      </c>
      <c r="F22" s="1286">
        <v>115.6</v>
      </c>
      <c r="G22" s="1286">
        <v>115.6</v>
      </c>
      <c r="H22" s="1286">
        <v>115.6</v>
      </c>
      <c r="I22" s="1286">
        <v>115.6</v>
      </c>
      <c r="J22" s="1286">
        <v>140.69999999999999</v>
      </c>
    </row>
    <row r="23" spans="1:10" ht="14.5">
      <c r="A23" s="1006" t="s">
        <v>251</v>
      </c>
      <c r="B23" s="1286">
        <v>114.3</v>
      </c>
      <c r="C23" s="1286">
        <v>114.1</v>
      </c>
      <c r="D23" s="1286">
        <v>109.9</v>
      </c>
      <c r="E23" s="1286">
        <v>111.9</v>
      </c>
      <c r="F23" s="1286">
        <v>116.4</v>
      </c>
      <c r="G23" s="1286">
        <v>116.4</v>
      </c>
      <c r="H23" s="1286">
        <v>116.4</v>
      </c>
      <c r="I23" s="1286">
        <v>116.4</v>
      </c>
      <c r="J23" s="1286">
        <v>143.69999999999999</v>
      </c>
    </row>
    <row r="24" spans="1:10" ht="14.5">
      <c r="A24" s="1006" t="s">
        <v>252</v>
      </c>
      <c r="B24" s="1286">
        <v>113.4</v>
      </c>
      <c r="C24" s="1286">
        <v>112.1</v>
      </c>
      <c r="D24" s="1286">
        <v>109.4</v>
      </c>
      <c r="E24" s="1286">
        <v>111.7</v>
      </c>
      <c r="F24" s="1286">
        <v>115.7</v>
      </c>
      <c r="G24" s="1286">
        <v>115.7</v>
      </c>
      <c r="H24" s="1286">
        <v>115.7</v>
      </c>
      <c r="I24" s="1286">
        <v>115.7</v>
      </c>
      <c r="J24" s="1286">
        <v>142.4</v>
      </c>
    </row>
    <row r="25" spans="1:10" ht="14.5">
      <c r="A25" s="1006" t="s">
        <v>254</v>
      </c>
      <c r="B25" s="1286">
        <v>113.6</v>
      </c>
      <c r="C25" s="1286">
        <v>110.8</v>
      </c>
      <c r="D25" s="1286">
        <v>108</v>
      </c>
      <c r="E25" s="1286">
        <v>112.6</v>
      </c>
      <c r="F25" s="1286">
        <v>116</v>
      </c>
      <c r="G25" s="1286">
        <v>116</v>
      </c>
      <c r="H25" s="1286">
        <v>116</v>
      </c>
      <c r="I25" s="1286">
        <v>116</v>
      </c>
      <c r="J25" s="1286">
        <v>142.9</v>
      </c>
    </row>
    <row r="26" spans="1:10" ht="14.5">
      <c r="A26" s="1006" t="s">
        <v>253</v>
      </c>
      <c r="B26" s="1286">
        <v>113.6</v>
      </c>
      <c r="C26" s="1286">
        <v>109.6</v>
      </c>
      <c r="D26" s="1286">
        <v>107.1</v>
      </c>
      <c r="E26" s="1286">
        <v>113</v>
      </c>
      <c r="F26" s="1286">
        <v>116.1</v>
      </c>
      <c r="G26" s="1286">
        <v>116.1</v>
      </c>
      <c r="H26" s="1286">
        <v>116.1</v>
      </c>
      <c r="I26" s="1286">
        <v>116.1</v>
      </c>
      <c r="J26" s="1286">
        <v>0</v>
      </c>
    </row>
    <row r="27" spans="1:10" ht="14.5">
      <c r="A27" s="1006" t="s">
        <v>256</v>
      </c>
      <c r="B27" s="1286">
        <v>114.3</v>
      </c>
      <c r="C27" s="1286">
        <v>109.9</v>
      </c>
      <c r="D27" s="1286">
        <v>107.7</v>
      </c>
      <c r="E27" s="1286">
        <v>113.2</v>
      </c>
      <c r="F27" s="1286">
        <v>116.3</v>
      </c>
      <c r="G27" s="1286">
        <v>116.3</v>
      </c>
      <c r="H27" s="1286">
        <v>116.3</v>
      </c>
      <c r="I27" s="1286">
        <v>116.3</v>
      </c>
      <c r="J27" s="1286">
        <v>0</v>
      </c>
    </row>
    <row r="28" spans="1:10" ht="14.5">
      <c r="A28" s="1007" t="s">
        <v>1444</v>
      </c>
      <c r="B28" s="1286">
        <v>112.45833333333331</v>
      </c>
      <c r="C28" s="1286">
        <v>113.875</v>
      </c>
      <c r="D28" s="1286">
        <v>109.71666666666665</v>
      </c>
      <c r="E28" s="1286">
        <v>111.61666666666667</v>
      </c>
      <c r="F28" s="1286">
        <v>114.87499999999999</v>
      </c>
      <c r="G28" s="1286">
        <v>114.87499999999999</v>
      </c>
      <c r="H28" s="1286">
        <v>114.87499999999999</v>
      </c>
      <c r="I28" s="1286">
        <v>114.87499999999999</v>
      </c>
      <c r="J28" s="1286">
        <v>137.69</v>
      </c>
    </row>
    <row r="29" spans="1:10" ht="14.5">
      <c r="A29" s="1007"/>
      <c r="B29" s="1007"/>
      <c r="C29" s="1005">
        <f t="shared" ref="C29:J29" si="2">(C28-B28)/B28</f>
        <v>1.2597258243794169E-2</v>
      </c>
      <c r="D29" s="1005">
        <f t="shared" si="2"/>
        <v>-3.6516648371752759E-2</v>
      </c>
      <c r="E29" s="1005">
        <f t="shared" si="2"/>
        <v>1.7317332523165915E-2</v>
      </c>
      <c r="F29" s="1005">
        <f t="shared" si="2"/>
        <v>2.9192175601015183E-2</v>
      </c>
      <c r="G29" s="1005">
        <f t="shared" si="2"/>
        <v>0</v>
      </c>
      <c r="H29" s="1005">
        <v>1.6799999999999999E-2</v>
      </c>
      <c r="I29" s="1005">
        <v>1.2E-2</v>
      </c>
      <c r="J29" s="1005">
        <f t="shared" si="2"/>
        <v>0.1986071817192602</v>
      </c>
    </row>
  </sheetData>
  <mergeCells count="8">
    <mergeCell ref="A14:A15"/>
    <mergeCell ref="B14:J14"/>
    <mergeCell ref="I12:J12"/>
    <mergeCell ref="A2:J2"/>
    <mergeCell ref="A5:A7"/>
    <mergeCell ref="B5:F5"/>
    <mergeCell ref="G5:H5"/>
    <mergeCell ref="G6:H6"/>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showGridLines="0" zoomScale="98" zoomScaleNormal="98" zoomScaleSheetLayoutView="70" workbookViewId="0">
      <pane xSplit="2" ySplit="8" topLeftCell="C9"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4.26953125" style="347" customWidth="1"/>
    <col min="2" max="2" width="23.1796875" style="347" customWidth="1"/>
    <col min="3" max="5" width="11.81640625" style="347" bestFit="1" customWidth="1"/>
    <col min="6" max="7" width="14.453125" style="347" bestFit="1" customWidth="1"/>
    <col min="8" max="12" width="16" style="347" customWidth="1"/>
    <col min="13" max="13" width="11.7265625" style="347" bestFit="1" customWidth="1"/>
    <col min="14" max="16384" width="9.1796875" style="347"/>
  </cols>
  <sheetData>
    <row r="1" spans="1:13">
      <c r="A1" s="346"/>
    </row>
    <row r="2" spans="1:13">
      <c r="A2" s="3314" t="s">
        <v>527</v>
      </c>
      <c r="B2" s="3314"/>
      <c r="C2" s="336"/>
      <c r="D2" s="336"/>
      <c r="E2" s="336"/>
      <c r="F2" s="336"/>
      <c r="G2" s="336"/>
      <c r="H2" s="336"/>
      <c r="I2" s="653"/>
      <c r="J2" s="336"/>
      <c r="K2" s="336"/>
      <c r="L2" s="336"/>
      <c r="M2" s="336"/>
    </row>
    <row r="3" spans="1:13">
      <c r="A3" s="2993" t="s">
        <v>1604</v>
      </c>
      <c r="B3" s="2993"/>
      <c r="C3" s="2993"/>
      <c r="D3" s="2993"/>
      <c r="E3" s="2993"/>
      <c r="F3" s="2993"/>
      <c r="G3" s="2993"/>
      <c r="H3" s="2993"/>
      <c r="I3" s="2993"/>
      <c r="J3" s="2993"/>
      <c r="K3" s="2993"/>
      <c r="L3" s="2993"/>
      <c r="M3" s="2993"/>
    </row>
    <row r="4" spans="1:13" s="348" customFormat="1">
      <c r="A4" s="573" t="s">
        <v>128</v>
      </c>
      <c r="B4" s="573"/>
      <c r="C4" s="573"/>
      <c r="D4" s="573"/>
      <c r="E4" s="573"/>
      <c r="F4" s="573"/>
      <c r="G4" s="573"/>
      <c r="H4" s="573"/>
      <c r="I4" s="573"/>
      <c r="J4" s="573"/>
      <c r="K4" s="573"/>
      <c r="L4" s="573"/>
      <c r="M4" s="573"/>
    </row>
    <row r="5" spans="1:13" s="348" customFormat="1">
      <c r="A5" s="349"/>
      <c r="B5" s="350"/>
      <c r="C5" s="350"/>
      <c r="D5" s="350"/>
      <c r="E5" s="350"/>
      <c r="F5" s="350"/>
      <c r="G5" s="350"/>
      <c r="H5" s="350"/>
      <c r="I5" s="350"/>
      <c r="J5" s="350"/>
      <c r="K5" s="350"/>
      <c r="L5" s="350"/>
      <c r="M5" s="350" t="s">
        <v>141</v>
      </c>
    </row>
    <row r="6" spans="1:13" s="348" customFormat="1">
      <c r="A6" s="3408" t="s">
        <v>814</v>
      </c>
      <c r="B6" s="3408" t="s">
        <v>14</v>
      </c>
      <c r="C6" s="3409" t="s">
        <v>819</v>
      </c>
      <c r="D6" s="3410"/>
      <c r="E6" s="3410"/>
      <c r="F6" s="3410"/>
      <c r="G6" s="3411"/>
      <c r="H6" s="352" t="s">
        <v>813</v>
      </c>
      <c r="I6" s="656" t="s">
        <v>813</v>
      </c>
      <c r="J6" s="352" t="s">
        <v>813</v>
      </c>
      <c r="K6" s="352" t="s">
        <v>813</v>
      </c>
      <c r="L6" s="352" t="s">
        <v>813</v>
      </c>
      <c r="M6" s="995" t="s">
        <v>952</v>
      </c>
    </row>
    <row r="7" spans="1:13" s="348" customFormat="1">
      <c r="A7" s="3408"/>
      <c r="B7" s="3408"/>
      <c r="C7" s="928" t="s">
        <v>557</v>
      </c>
      <c r="D7" s="929" t="s">
        <v>556</v>
      </c>
      <c r="E7" s="929" t="s">
        <v>555</v>
      </c>
      <c r="F7" s="656" t="s">
        <v>553</v>
      </c>
      <c r="G7" s="656" t="s">
        <v>551</v>
      </c>
      <c r="H7" s="352" t="s">
        <v>555</v>
      </c>
      <c r="I7" s="929" t="s">
        <v>553</v>
      </c>
      <c r="J7" s="929" t="s">
        <v>551</v>
      </c>
      <c r="K7" s="930" t="s">
        <v>545</v>
      </c>
      <c r="L7" s="930" t="s">
        <v>546</v>
      </c>
      <c r="M7" s="930" t="s">
        <v>547</v>
      </c>
    </row>
    <row r="8" spans="1:13" s="348" customFormat="1" ht="58">
      <c r="A8" s="3408"/>
      <c r="B8" s="3408"/>
      <c r="C8" s="354" t="s">
        <v>811</v>
      </c>
      <c r="D8" s="354" t="s">
        <v>810</v>
      </c>
      <c r="E8" s="354" t="s">
        <v>809</v>
      </c>
      <c r="F8" s="354" t="s">
        <v>815</v>
      </c>
      <c r="G8" s="354" t="s">
        <v>816</v>
      </c>
      <c r="H8" s="353" t="s">
        <v>825</v>
      </c>
      <c r="I8" s="655" t="s">
        <v>1342</v>
      </c>
      <c r="J8" s="353" t="s">
        <v>822</v>
      </c>
      <c r="K8" s="353" t="s">
        <v>823</v>
      </c>
      <c r="L8" s="353" t="s">
        <v>824</v>
      </c>
      <c r="M8" s="352" t="s">
        <v>808</v>
      </c>
    </row>
    <row r="9" spans="1:13" s="348" customFormat="1">
      <c r="A9" s="355">
        <v>1</v>
      </c>
      <c r="B9" s="356" t="s">
        <v>107</v>
      </c>
      <c r="C9" s="1512">
        <f>F29A!B8</f>
        <v>533</v>
      </c>
      <c r="D9" s="1512">
        <f>F29A!C8</f>
        <v>806.55</v>
      </c>
      <c r="E9" s="1512">
        <f>F29A!D8</f>
        <v>592.87</v>
      </c>
      <c r="F9" s="1512">
        <f>F29A!E8</f>
        <v>648.53</v>
      </c>
      <c r="G9" s="1512">
        <f>F29A!F8</f>
        <v>769.55</v>
      </c>
      <c r="H9" s="1511">
        <f>(C9+D9+E9+F9+G9)/5</f>
        <v>670.1</v>
      </c>
      <c r="I9" s="1511">
        <f>H9*(1+('F27'!E$9*60%+'F28'!E$9*40%))</f>
        <v>692.01126867858193</v>
      </c>
      <c r="J9" s="1511">
        <f>G9</f>
        <v>769.55</v>
      </c>
      <c r="K9" s="1511">
        <f>F29A!I8</f>
        <v>941.57265527826382</v>
      </c>
      <c r="L9" s="1511">
        <f>F29A!K8</f>
        <v>998.08415169965963</v>
      </c>
      <c r="M9" s="1511">
        <f>F29A!L8</f>
        <v>1054.2916458358106</v>
      </c>
    </row>
    <row r="10" spans="1:13" s="348" customFormat="1">
      <c r="A10" s="355">
        <f>A9+1</f>
        <v>2</v>
      </c>
      <c r="B10" s="358" t="s">
        <v>807</v>
      </c>
      <c r="C10" s="1512">
        <f>F29D!B8</f>
        <v>120.32</v>
      </c>
      <c r="D10" s="1512">
        <f>F29D!C8</f>
        <v>68.849999999999994</v>
      </c>
      <c r="E10" s="1512">
        <f>F29D!D8</f>
        <v>118.06</v>
      </c>
      <c r="F10" s="1512">
        <f>F29D!E8</f>
        <v>293.07</v>
      </c>
      <c r="G10" s="1512">
        <f>F29D!F8</f>
        <v>164.93</v>
      </c>
      <c r="H10" s="1511">
        <f t="shared" ref="H10:H14" si="0">(C10+D10+E10+F10+G10)/5</f>
        <v>153.04599999999999</v>
      </c>
      <c r="I10" s="1511">
        <f>H10*(1+('F27'!E$9*60%+'F28'!E$9*40%))</f>
        <v>158.05037550542045</v>
      </c>
      <c r="J10" s="1511">
        <f>G10</f>
        <v>164.93</v>
      </c>
      <c r="K10" s="1511">
        <f>F29D!I8</f>
        <v>169.82489144011629</v>
      </c>
      <c r="L10" s="1511">
        <f>F29D!K8</f>
        <v>173.92885271439735</v>
      </c>
      <c r="M10" s="1511">
        <f>F29D!L8</f>
        <v>182.37748997510371</v>
      </c>
    </row>
    <row r="11" spans="1:13" s="348" customFormat="1">
      <c r="A11" s="355">
        <f>A10+1</f>
        <v>3</v>
      </c>
      <c r="B11" s="356" t="s">
        <v>806</v>
      </c>
      <c r="C11" s="1512">
        <f>F29C!C8</f>
        <v>372.37</v>
      </c>
      <c r="D11" s="1512">
        <f>F29C!D8</f>
        <v>217.76</v>
      </c>
      <c r="E11" s="1512">
        <f>F29C!E8</f>
        <v>569.4</v>
      </c>
      <c r="F11" s="1512">
        <f>F29C!F8</f>
        <v>773.34</v>
      </c>
      <c r="G11" s="1512">
        <f>F29C!G8</f>
        <v>869.83</v>
      </c>
      <c r="H11" s="1511">
        <f t="shared" si="0"/>
        <v>560.54</v>
      </c>
      <c r="I11" s="1511">
        <f>H11*(1+('F27'!E$9*60%+'F28'!E$9*40%))</f>
        <v>578.86882039261639</v>
      </c>
      <c r="J11" s="1511">
        <f>G11</f>
        <v>869.83</v>
      </c>
      <c r="K11" s="1511">
        <f>F29C!J8</f>
        <v>895.64533633272515</v>
      </c>
      <c r="L11" s="1511">
        <f>F29C!L10</f>
        <v>1247.6793588586931</v>
      </c>
      <c r="M11" s="1511">
        <f>F29C!M8</f>
        <v>961.84691751072876</v>
      </c>
    </row>
    <row r="12" spans="1:13" s="348" customFormat="1">
      <c r="A12" s="355">
        <f>A11+1</f>
        <v>4</v>
      </c>
      <c r="B12" s="356" t="s">
        <v>821</v>
      </c>
      <c r="C12" s="1512">
        <f>SUM(C9:C11)</f>
        <v>1025.69</v>
      </c>
      <c r="D12" s="1512">
        <f t="shared" ref="D12:G12" si="1">SUM(D9:D11)</f>
        <v>1093.1599999999999</v>
      </c>
      <c r="E12" s="1512">
        <f t="shared" si="1"/>
        <v>1280.33</v>
      </c>
      <c r="F12" s="1512">
        <f t="shared" si="1"/>
        <v>1714.94</v>
      </c>
      <c r="G12" s="1512">
        <f t="shared" si="1"/>
        <v>1804.31</v>
      </c>
      <c r="H12" s="1511">
        <f t="shared" si="0"/>
        <v>1383.6860000000001</v>
      </c>
      <c r="I12" s="1512">
        <f t="shared" ref="I12" si="2">SUM(I9:I11)</f>
        <v>1428.9304645766188</v>
      </c>
      <c r="J12" s="1512">
        <f t="shared" ref="J12" si="3">SUM(J9:J11)</f>
        <v>1804.31</v>
      </c>
      <c r="K12" s="1512">
        <f t="shared" ref="K12" si="4">SUM(K9:K11)</f>
        <v>2007.042883051105</v>
      </c>
      <c r="L12" s="1512">
        <f t="shared" ref="L12" si="5">SUM(L9:L11)</f>
        <v>2419.6923632727503</v>
      </c>
      <c r="M12" s="1512">
        <f t="shared" ref="M12" si="6">SUM(M9:M11)</f>
        <v>2198.5160533216431</v>
      </c>
    </row>
    <row r="13" spans="1:13" s="348" customFormat="1">
      <c r="A13" s="355">
        <v>5</v>
      </c>
      <c r="B13" s="356" t="s">
        <v>817</v>
      </c>
      <c r="C13" s="1512">
        <f>F29A!B10+F29D!B10</f>
        <v>379.96</v>
      </c>
      <c r="D13" s="1512">
        <f>F29A!C10+F29D!C10</f>
        <v>194.37</v>
      </c>
      <c r="E13" s="1512">
        <f>F29A!D10+F29D!D10</f>
        <v>265.97000000000003</v>
      </c>
      <c r="F13" s="1512">
        <f>F29A!E10+F29D!E10</f>
        <v>360.19</v>
      </c>
      <c r="G13" s="1512">
        <f>F29A!F10+F29D!F10</f>
        <v>460.3322</v>
      </c>
      <c r="H13" s="1511">
        <f t="shared" si="0"/>
        <v>332.16444000000001</v>
      </c>
      <c r="I13" s="1511">
        <f>'F36'!F15</f>
        <v>360.19</v>
      </c>
      <c r="J13" s="1511">
        <f>'F36'!G15</f>
        <v>460.3322</v>
      </c>
      <c r="K13" s="1511">
        <f>'F36'!J15</f>
        <v>214.87883289999999</v>
      </c>
      <c r="L13" s="1511">
        <f>'F36'!L15</f>
        <v>227.80007375087627</v>
      </c>
      <c r="M13" s="1511">
        <f>'F36'!M15</f>
        <v>240.6287228059312</v>
      </c>
    </row>
    <row r="14" spans="1:13" s="348" customFormat="1">
      <c r="A14" s="361">
        <v>6</v>
      </c>
      <c r="B14" s="357" t="s">
        <v>818</v>
      </c>
      <c r="C14" s="1512">
        <f>C12-C13</f>
        <v>645.73</v>
      </c>
      <c r="D14" s="1512">
        <f t="shared" ref="D14:G14" si="7">D12-D13</f>
        <v>898.78999999999985</v>
      </c>
      <c r="E14" s="1512">
        <f t="shared" si="7"/>
        <v>1014.3599999999999</v>
      </c>
      <c r="F14" s="1512">
        <f t="shared" si="7"/>
        <v>1354.75</v>
      </c>
      <c r="G14" s="1512">
        <f t="shared" si="7"/>
        <v>1343.9777999999999</v>
      </c>
      <c r="H14" s="1511">
        <f t="shared" si="0"/>
        <v>1051.5215599999999</v>
      </c>
      <c r="I14" s="1512">
        <f t="shared" ref="I14" si="8">I12-I13</f>
        <v>1068.7404645766187</v>
      </c>
      <c r="J14" s="1512">
        <f t="shared" ref="J14" si="9">J12-J13</f>
        <v>1343.9777999999999</v>
      </c>
      <c r="K14" s="1512">
        <f t="shared" ref="K14" si="10">K12-K13</f>
        <v>1792.1640501511051</v>
      </c>
      <c r="L14" s="1512">
        <f t="shared" ref="L14" si="11">L12-L13</f>
        <v>2191.8922895218739</v>
      </c>
      <c r="M14" s="1512">
        <f t="shared" ref="M14" si="12">M12-M13</f>
        <v>1957.8873305157119</v>
      </c>
    </row>
    <row r="15" spans="1:13" s="348" customFormat="1">
      <c r="A15" s="360"/>
      <c r="B15" s="360" t="s">
        <v>826</v>
      </c>
      <c r="C15" s="360"/>
      <c r="D15" s="360"/>
      <c r="E15" s="360"/>
      <c r="F15" s="360"/>
      <c r="G15" s="360"/>
      <c r="H15" s="360"/>
      <c r="I15" s="360"/>
      <c r="J15" s="360"/>
      <c r="K15" s="360"/>
      <c r="L15" s="360"/>
      <c r="M15" s="360"/>
    </row>
    <row r="16" spans="1:13" s="348" customFormat="1">
      <c r="A16" s="359"/>
      <c r="B16" s="351"/>
      <c r="C16" s="351"/>
      <c r="D16" s="351"/>
      <c r="E16" s="351"/>
      <c r="F16" s="351"/>
      <c r="G16" s="351"/>
      <c r="H16" s="351"/>
      <c r="I16" s="351"/>
      <c r="J16" s="351"/>
      <c r="K16" s="351"/>
      <c r="L16" s="351"/>
      <c r="M16" s="351"/>
    </row>
    <row r="17" spans="1:13">
      <c r="A17" s="376"/>
      <c r="B17" s="377"/>
      <c r="C17" s="377"/>
      <c r="D17" s="377"/>
      <c r="E17" s="373"/>
      <c r="F17" s="373"/>
      <c r="G17" s="373"/>
      <c r="H17" s="373"/>
      <c r="I17" s="373"/>
      <c r="J17" s="373"/>
      <c r="K17" s="373"/>
      <c r="L17" s="373"/>
      <c r="M17" s="373"/>
    </row>
    <row r="18" spans="1:13">
      <c r="A18" s="376"/>
      <c r="B18" s="378"/>
      <c r="C18" s="378"/>
      <c r="D18" s="378"/>
      <c r="E18" s="373"/>
      <c r="F18" s="373"/>
      <c r="G18" s="373"/>
      <c r="H18" s="373"/>
      <c r="I18" s="373"/>
      <c r="J18" s="373"/>
      <c r="K18" s="373"/>
      <c r="L18" s="373"/>
      <c r="M18" s="373"/>
    </row>
    <row r="19" spans="1:13">
      <c r="A19" s="373"/>
      <c r="B19" s="373"/>
      <c r="C19" s="373"/>
      <c r="D19" s="373"/>
      <c r="E19" s="373"/>
      <c r="F19" s="373"/>
      <c r="G19" s="373"/>
      <c r="H19" s="373"/>
      <c r="I19" s="373"/>
      <c r="J19" s="373"/>
      <c r="K19" s="373"/>
      <c r="L19" s="373"/>
      <c r="M19" s="373"/>
    </row>
    <row r="20" spans="1:13">
      <c r="A20" s="3406"/>
      <c r="B20" s="3406"/>
      <c r="C20" s="374"/>
      <c r="D20" s="374"/>
      <c r="E20" s="3407"/>
      <c r="F20" s="3407"/>
      <c r="G20" s="3407"/>
      <c r="H20" s="374"/>
      <c r="I20" s="654"/>
      <c r="J20" s="374"/>
      <c r="K20" s="374"/>
      <c r="L20" s="374"/>
      <c r="M20" s="927"/>
    </row>
    <row r="21" spans="1:13">
      <c r="A21" s="3406"/>
      <c r="B21" s="3406"/>
      <c r="C21" s="374"/>
      <c r="D21" s="374"/>
      <c r="E21" s="375"/>
      <c r="F21" s="375"/>
      <c r="G21" s="375"/>
      <c r="H21" s="374"/>
      <c r="I21" s="654"/>
      <c r="J21" s="374"/>
      <c r="K21" s="374"/>
      <c r="L21" s="374"/>
      <c r="M21" s="375"/>
    </row>
    <row r="22" spans="1:13">
      <c r="A22" s="3406"/>
      <c r="B22" s="3406"/>
      <c r="C22" s="374"/>
      <c r="D22" s="374"/>
      <c r="E22" s="372"/>
      <c r="F22" s="372"/>
      <c r="G22" s="372"/>
      <c r="H22" s="372"/>
      <c r="I22" s="372"/>
      <c r="J22" s="372"/>
      <c r="K22" s="372"/>
      <c r="L22" s="372"/>
      <c r="M22" s="375"/>
    </row>
    <row r="23" spans="1:13">
      <c r="A23" s="376"/>
      <c r="B23" s="377"/>
      <c r="C23" s="377"/>
      <c r="D23" s="377"/>
      <c r="E23" s="373"/>
      <c r="F23" s="373"/>
      <c r="G23" s="373"/>
      <c r="H23" s="373"/>
      <c r="I23" s="373"/>
      <c r="J23" s="373"/>
      <c r="K23" s="373"/>
      <c r="L23" s="373"/>
      <c r="M23" s="373"/>
    </row>
    <row r="24" spans="1:13">
      <c r="A24" s="376"/>
      <c r="B24" s="378"/>
      <c r="C24" s="378"/>
      <c r="D24" s="378"/>
      <c r="E24" s="373"/>
      <c r="F24" s="373"/>
      <c r="G24" s="373"/>
      <c r="H24" s="373"/>
      <c r="I24" s="373"/>
      <c r="J24" s="373"/>
      <c r="K24" s="373"/>
      <c r="L24" s="373"/>
      <c r="M24" s="373"/>
    </row>
    <row r="25" spans="1:13">
      <c r="A25" s="376"/>
      <c r="B25" s="377"/>
      <c r="C25" s="377"/>
      <c r="D25" s="377"/>
      <c r="E25" s="373"/>
      <c r="F25" s="373"/>
      <c r="G25" s="373"/>
      <c r="H25" s="373"/>
      <c r="I25" s="373"/>
      <c r="J25" s="373"/>
      <c r="K25" s="373"/>
      <c r="L25" s="373"/>
      <c r="M25" s="373"/>
    </row>
    <row r="26" spans="1:13">
      <c r="A26" s="376"/>
      <c r="B26" s="377"/>
      <c r="C26" s="377"/>
      <c r="D26" s="377"/>
      <c r="E26" s="373"/>
      <c r="F26" s="373"/>
      <c r="G26" s="373"/>
      <c r="H26" s="373"/>
      <c r="I26" s="373"/>
      <c r="J26" s="373"/>
      <c r="K26" s="373"/>
      <c r="L26" s="373"/>
      <c r="M26" s="373"/>
    </row>
    <row r="27" spans="1:13">
      <c r="A27" s="351"/>
      <c r="B27" s="351"/>
      <c r="C27" s="351"/>
      <c r="D27" s="351"/>
      <c r="E27" s="351"/>
      <c r="F27" s="351"/>
      <c r="G27" s="351"/>
      <c r="H27" s="351"/>
      <c r="I27" s="351"/>
      <c r="J27" s="351"/>
      <c r="K27" s="351"/>
      <c r="L27" s="351"/>
      <c r="M27" s="351"/>
    </row>
    <row r="28" spans="1:13">
      <c r="A28" s="359"/>
      <c r="B28" s="351"/>
      <c r="C28" s="351"/>
      <c r="D28" s="351"/>
      <c r="E28" s="351"/>
      <c r="F28" s="351"/>
      <c r="G28" s="351"/>
      <c r="H28" s="351"/>
      <c r="I28" s="351"/>
      <c r="J28" s="351"/>
      <c r="K28" s="351"/>
      <c r="L28" s="351"/>
      <c r="M28" s="351"/>
    </row>
    <row r="29" spans="1:13">
      <c r="A29" s="351"/>
      <c r="B29" s="351"/>
      <c r="C29" s="351"/>
      <c r="D29" s="351"/>
      <c r="E29" s="351"/>
      <c r="F29" s="351"/>
      <c r="G29" s="351"/>
      <c r="H29" s="351"/>
      <c r="I29" s="351"/>
      <c r="J29" s="351"/>
      <c r="K29" s="351"/>
      <c r="L29" s="351"/>
      <c r="M29" s="351"/>
    </row>
    <row r="30" spans="1:13">
      <c r="A30" s="351"/>
      <c r="B30" s="351"/>
      <c r="C30" s="351"/>
      <c r="D30" s="351"/>
      <c r="E30" s="351"/>
      <c r="F30" s="351"/>
      <c r="G30" s="351"/>
      <c r="H30" s="351"/>
      <c r="I30" s="351"/>
      <c r="J30" s="351"/>
      <c r="K30" s="351"/>
      <c r="L30" s="351"/>
      <c r="M30" s="351"/>
    </row>
    <row r="31" spans="1:13">
      <c r="A31" s="351"/>
      <c r="B31" s="351"/>
      <c r="C31" s="351"/>
      <c r="D31" s="351"/>
      <c r="E31" s="351"/>
      <c r="F31" s="351"/>
      <c r="G31" s="351"/>
      <c r="H31" s="351"/>
      <c r="I31" s="351"/>
      <c r="J31" s="351"/>
      <c r="K31" s="351"/>
      <c r="L31" s="351"/>
      <c r="M31" s="351"/>
    </row>
  </sheetData>
  <mergeCells count="8">
    <mergeCell ref="A2:B2"/>
    <mergeCell ref="A3:M3"/>
    <mergeCell ref="A20:A22"/>
    <mergeCell ref="B20:B22"/>
    <mergeCell ref="E20:G20"/>
    <mergeCell ref="A6:A8"/>
    <mergeCell ref="B6:B8"/>
    <mergeCell ref="C6:G6"/>
  </mergeCells>
  <printOptions horizontalCentered="1"/>
  <pageMargins left="0.19685039370078741" right="0.19685039370078741" top="0.19685039370078741" bottom="0.19685039370078741" header="0.19685039370078741" footer="0.19685039370078741"/>
  <pageSetup paperSize="9" scale="78"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view="pageBreakPreview" zoomScaleSheetLayoutView="100" workbookViewId="0">
      <selection activeCell="C105" sqref="C105"/>
    </sheetView>
  </sheetViews>
  <sheetFormatPr defaultColWidth="9.1796875" defaultRowHeight="14.5"/>
  <cols>
    <col min="1" max="1" width="35" customWidth="1"/>
    <col min="2" max="3" width="10.26953125" style="365" bestFit="1" customWidth="1"/>
    <col min="4" max="5" width="10.26953125" style="339" bestFit="1" customWidth="1"/>
    <col min="6" max="6" width="10.26953125" bestFit="1" customWidth="1"/>
    <col min="7" max="7" width="9.81640625" style="339" customWidth="1"/>
    <col min="8" max="8" width="9.81640625" style="365" customWidth="1"/>
    <col min="9" max="9" width="9.81640625" bestFit="1" customWidth="1"/>
    <col min="10" max="10" width="9.81640625" style="365" customWidth="1"/>
    <col min="11" max="11" width="9.54296875" style="365" bestFit="1" customWidth="1"/>
    <col min="12" max="12" width="9.54296875" bestFit="1" customWidth="1"/>
  </cols>
  <sheetData>
    <row r="1" spans="1:12" s="251" customFormat="1">
      <c r="A1" s="3314" t="s">
        <v>899</v>
      </c>
      <c r="B1" s="3314"/>
      <c r="C1" s="3314"/>
      <c r="D1" s="3314"/>
      <c r="E1" s="3314"/>
      <c r="F1" s="3314"/>
      <c r="G1" s="340"/>
      <c r="H1" s="366"/>
      <c r="J1" s="365"/>
      <c r="K1" s="365"/>
    </row>
    <row r="2" spans="1:12">
      <c r="A2" s="3413" t="s">
        <v>1604</v>
      </c>
      <c r="B2" s="3413"/>
      <c r="C2" s="3413"/>
      <c r="D2" s="3413"/>
      <c r="E2" s="3413"/>
      <c r="F2" s="3413"/>
      <c r="G2" s="3413"/>
      <c r="H2" s="3413"/>
      <c r="I2" s="3413"/>
      <c r="J2" s="369"/>
      <c r="K2" s="369"/>
    </row>
    <row r="3" spans="1:12">
      <c r="A3" s="574" t="s">
        <v>4</v>
      </c>
      <c r="B3" s="574"/>
      <c r="C3" s="574"/>
      <c r="D3" s="574"/>
      <c r="E3" s="574"/>
      <c r="F3" s="574"/>
      <c r="G3" s="574"/>
      <c r="H3" s="574"/>
      <c r="I3" s="574"/>
      <c r="J3" s="368"/>
      <c r="K3" s="368"/>
      <c r="L3" s="367"/>
    </row>
    <row r="4" spans="1:12">
      <c r="A4" s="15"/>
      <c r="B4" s="364"/>
      <c r="C4" s="364"/>
      <c r="D4" s="338"/>
      <c r="E4" s="338"/>
      <c r="F4" s="15"/>
      <c r="G4" s="338"/>
      <c r="H4" s="364"/>
      <c r="I4" s="15"/>
      <c r="J4" s="364"/>
      <c r="K4" s="364"/>
      <c r="L4" s="992" t="s">
        <v>141</v>
      </c>
    </row>
    <row r="5" spans="1:12" ht="29.25" customHeight="1">
      <c r="A5" s="3029" t="s">
        <v>14</v>
      </c>
      <c r="B5" s="3044" t="s">
        <v>803</v>
      </c>
      <c r="C5" s="3045"/>
      <c r="D5" s="3045"/>
      <c r="E5" s="3045"/>
      <c r="F5" s="3414"/>
      <c r="G5" s="3074" t="s">
        <v>542</v>
      </c>
      <c r="H5" s="3074"/>
      <c r="I5" s="3074"/>
      <c r="J5" s="3057" t="s">
        <v>550</v>
      </c>
      <c r="K5" s="3059"/>
      <c r="L5" s="993" t="s">
        <v>952</v>
      </c>
    </row>
    <row r="6" spans="1:12" ht="15" customHeight="1">
      <c r="A6" s="3030"/>
      <c r="B6" s="928" t="s">
        <v>557</v>
      </c>
      <c r="C6" s="929" t="s">
        <v>556</v>
      </c>
      <c r="D6" s="929" t="s">
        <v>555</v>
      </c>
      <c r="E6" s="929" t="s">
        <v>553</v>
      </c>
      <c r="F6" s="929" t="s">
        <v>551</v>
      </c>
      <c r="G6" s="3415" t="s">
        <v>545</v>
      </c>
      <c r="H6" s="3416"/>
      <c r="I6" s="3417"/>
      <c r="J6" s="3412" t="s">
        <v>546</v>
      </c>
      <c r="K6" s="3412"/>
      <c r="L6" s="923" t="s">
        <v>547</v>
      </c>
    </row>
    <row r="7" spans="1:12" ht="29">
      <c r="A7" s="3089"/>
      <c r="B7" s="362" t="s">
        <v>554</v>
      </c>
      <c r="C7" s="362" t="s">
        <v>554</v>
      </c>
      <c r="D7" s="362" t="s">
        <v>554</v>
      </c>
      <c r="E7" s="362" t="s">
        <v>554</v>
      </c>
      <c r="F7" s="362" t="s">
        <v>554</v>
      </c>
      <c r="G7" s="196" t="s">
        <v>543</v>
      </c>
      <c r="H7" s="200" t="s">
        <v>281</v>
      </c>
      <c r="I7" s="651" t="s">
        <v>544</v>
      </c>
      <c r="J7" s="200" t="s">
        <v>543</v>
      </c>
      <c r="K7" s="200" t="s">
        <v>552</v>
      </c>
      <c r="L7" s="651" t="s">
        <v>283</v>
      </c>
    </row>
    <row r="8" spans="1:12">
      <c r="A8" s="87" t="s">
        <v>828</v>
      </c>
      <c r="B8" s="1059">
        <v>533</v>
      </c>
      <c r="C8" s="1059">
        <v>806.55</v>
      </c>
      <c r="D8" s="1059">
        <v>592.87</v>
      </c>
      <c r="E8" s="1059">
        <v>648.53</v>
      </c>
      <c r="F8" s="1059">
        <v>769.55</v>
      </c>
      <c r="G8" s="1011">
        <f>F29B!H32</f>
        <v>737.94</v>
      </c>
      <c r="H8" s="1259">
        <f>F29B!I32</f>
        <v>941.47097549999989</v>
      </c>
      <c r="I8" s="1055">
        <v>941.57265527826382</v>
      </c>
      <c r="J8" s="1011">
        <f>F29B!K32</f>
        <v>836.85</v>
      </c>
      <c r="K8" s="1055">
        <v>998.08415169965963</v>
      </c>
      <c r="L8" s="1055">
        <v>1054.2916458358106</v>
      </c>
    </row>
    <row r="9" spans="1:12">
      <c r="A9" s="86" t="s">
        <v>137</v>
      </c>
      <c r="B9" s="1260"/>
      <c r="C9" s="1260"/>
      <c r="D9" s="1260"/>
      <c r="E9" s="1260"/>
      <c r="F9" s="1055"/>
      <c r="G9" s="1055"/>
      <c r="H9" s="1055"/>
      <c r="I9" s="1055"/>
      <c r="J9" s="1055"/>
      <c r="K9" s="1055"/>
      <c r="L9" s="1055"/>
    </row>
    <row r="10" spans="1:12">
      <c r="A10" s="87" t="s">
        <v>827</v>
      </c>
      <c r="B10" s="1261">
        <f>'F36'!C10</f>
        <v>379.96</v>
      </c>
      <c r="C10" s="1261">
        <f>'F36'!D10</f>
        <v>194.37</v>
      </c>
      <c r="D10" s="1261">
        <f>'F36'!E10</f>
        <v>265.97000000000003</v>
      </c>
      <c r="E10" s="1261">
        <f>'F36'!F10</f>
        <v>360.19</v>
      </c>
      <c r="F10" s="1261">
        <f>'F36'!G10</f>
        <v>460.3322</v>
      </c>
      <c r="G10" s="1261">
        <f>'F36'!H10</f>
        <v>386.41</v>
      </c>
      <c r="H10" s="1261">
        <f>'F36'!I10</f>
        <v>214.87883289999999</v>
      </c>
      <c r="I10" s="1261">
        <f>'F36'!J10</f>
        <v>214.87883289999999</v>
      </c>
      <c r="J10" s="1261">
        <f>'F36'!K10</f>
        <v>460.33</v>
      </c>
      <c r="K10" s="1261">
        <f>'F36'!L10</f>
        <v>227.80007375087627</v>
      </c>
      <c r="L10" s="1261">
        <f>'F36'!M10</f>
        <v>240.6287228059312</v>
      </c>
    </row>
    <row r="11" spans="1:12">
      <c r="A11" s="86" t="s">
        <v>829</v>
      </c>
      <c r="B11" s="1260">
        <f>B8-B10</f>
        <v>153.04000000000002</v>
      </c>
      <c r="C11" s="1260">
        <f t="shared" ref="C11:L11" si="0">C8-C10</f>
        <v>612.17999999999995</v>
      </c>
      <c r="D11" s="1260">
        <f t="shared" si="0"/>
        <v>326.89999999999998</v>
      </c>
      <c r="E11" s="1260">
        <f t="shared" si="0"/>
        <v>288.33999999999997</v>
      </c>
      <c r="F11" s="1260">
        <f t="shared" si="0"/>
        <v>309.21779999999995</v>
      </c>
      <c r="G11" s="1260">
        <f t="shared" si="0"/>
        <v>351.53000000000003</v>
      </c>
      <c r="H11" s="1260">
        <f t="shared" si="0"/>
        <v>726.59214259999987</v>
      </c>
      <c r="I11" s="1260">
        <f t="shared" si="0"/>
        <v>726.6938223782638</v>
      </c>
      <c r="J11" s="1260">
        <f t="shared" si="0"/>
        <v>376.52000000000004</v>
      </c>
      <c r="K11" s="1260">
        <f t="shared" si="0"/>
        <v>770.28407794878331</v>
      </c>
      <c r="L11" s="1260">
        <f t="shared" si="0"/>
        <v>813.66292302987949</v>
      </c>
    </row>
  </sheetData>
  <mergeCells count="8">
    <mergeCell ref="J5:K5"/>
    <mergeCell ref="J6:K6"/>
    <mergeCell ref="A1:F1"/>
    <mergeCell ref="A2:I2"/>
    <mergeCell ref="B5:F5"/>
    <mergeCell ref="A5:A7"/>
    <mergeCell ref="G5:I5"/>
    <mergeCell ref="G6:I6"/>
  </mergeCells>
  <printOptions horizontalCentered="1"/>
  <pageMargins left="0.19685039370078741" right="0.19685039370078741" top="0.19685039370078741" bottom="0.19685039370078741" header="0.19685039370078741" footer="0.19685039370078741"/>
  <pageSetup paperSize="9"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view="pageBreakPreview" zoomScale="106" zoomScaleSheetLayoutView="106" workbookViewId="0">
      <pane xSplit="2" ySplit="7" topLeftCell="C25"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5.453125" customWidth="1"/>
    <col min="2" max="2" width="34.1796875" customWidth="1"/>
    <col min="3" max="4" width="10.7265625" style="365" bestFit="1" customWidth="1"/>
    <col min="5" max="7" width="10.7265625" bestFit="1" customWidth="1"/>
    <col min="8" max="9" width="10.26953125" style="365" customWidth="1"/>
    <col min="10" max="13" width="13.1796875" customWidth="1"/>
  </cols>
  <sheetData>
    <row r="1" spans="1:13" s="251" customFormat="1">
      <c r="A1" s="3314" t="s">
        <v>901</v>
      </c>
      <c r="B1" s="3314"/>
      <c r="C1" s="366"/>
      <c r="D1" s="366"/>
      <c r="H1" s="365"/>
      <c r="I1" s="365"/>
    </row>
    <row r="2" spans="1:13" ht="20.25" customHeight="1">
      <c r="A2" s="781" t="s">
        <v>1604</v>
      </c>
      <c r="B2" s="781"/>
      <c r="C2" s="781"/>
      <c r="D2" s="781"/>
      <c r="E2" s="781"/>
      <c r="F2" s="781"/>
      <c r="G2" s="781"/>
      <c r="H2" s="369"/>
      <c r="I2" s="369"/>
    </row>
    <row r="3" spans="1:13">
      <c r="A3" s="574" t="s">
        <v>1249</v>
      </c>
      <c r="B3" s="574"/>
      <c r="C3" s="574"/>
      <c r="D3" s="574"/>
      <c r="E3" s="574"/>
      <c r="F3" s="3330"/>
      <c r="G3" s="3330"/>
      <c r="H3" s="367"/>
      <c r="I3" s="367"/>
      <c r="J3" s="3330"/>
      <c r="K3" s="3330"/>
      <c r="L3" s="3330"/>
      <c r="M3" s="3330"/>
    </row>
    <row r="4" spans="1:13">
      <c r="A4" s="15"/>
      <c r="B4" s="15"/>
      <c r="C4" s="364"/>
      <c r="D4" s="364"/>
      <c r="E4" s="15"/>
      <c r="F4" s="3331"/>
      <c r="G4" s="3331"/>
      <c r="H4" s="370"/>
      <c r="I4" s="370"/>
      <c r="J4" s="3331"/>
      <c r="K4" s="3418"/>
      <c r="L4" s="3331" t="s">
        <v>141</v>
      </c>
      <c r="M4" s="3331"/>
    </row>
    <row r="5" spans="1:13">
      <c r="A5" s="2990" t="s">
        <v>117</v>
      </c>
      <c r="B5" s="2994" t="s">
        <v>14</v>
      </c>
      <c r="C5" s="3044" t="s">
        <v>803</v>
      </c>
      <c r="D5" s="3045"/>
      <c r="E5" s="3045"/>
      <c r="F5" s="3045"/>
      <c r="G5" s="3414"/>
      <c r="H5" s="3024" t="s">
        <v>542</v>
      </c>
      <c r="I5" s="3073"/>
      <c r="J5" s="3025"/>
      <c r="K5" s="3057" t="s">
        <v>550</v>
      </c>
      <c r="L5" s="3059"/>
      <c r="M5" s="993" t="s">
        <v>952</v>
      </c>
    </row>
    <row r="6" spans="1:13">
      <c r="A6" s="2990"/>
      <c r="B6" s="2994"/>
      <c r="C6" s="928" t="s">
        <v>557</v>
      </c>
      <c r="D6" s="929" t="s">
        <v>556</v>
      </c>
      <c r="E6" s="929" t="s">
        <v>555</v>
      </c>
      <c r="F6" s="929" t="s">
        <v>553</v>
      </c>
      <c r="G6" s="929" t="s">
        <v>551</v>
      </c>
      <c r="H6" s="3415" t="s">
        <v>545</v>
      </c>
      <c r="I6" s="3416"/>
      <c r="J6" s="3417"/>
      <c r="K6" s="3412" t="s">
        <v>546</v>
      </c>
      <c r="L6" s="3412"/>
      <c r="M6" s="923" t="s">
        <v>547</v>
      </c>
    </row>
    <row r="7" spans="1:13" ht="29">
      <c r="A7" s="2990"/>
      <c r="B7" s="2994"/>
      <c r="C7" s="362" t="s">
        <v>281</v>
      </c>
      <c r="D7" s="973" t="s">
        <v>281</v>
      </c>
      <c r="E7" s="973" t="s">
        <v>281</v>
      </c>
      <c r="F7" s="973" t="s">
        <v>281</v>
      </c>
      <c r="G7" s="973" t="s">
        <v>281</v>
      </c>
      <c r="H7" s="200" t="s">
        <v>543</v>
      </c>
      <c r="I7" s="200" t="s">
        <v>281</v>
      </c>
      <c r="J7" s="200" t="s">
        <v>544</v>
      </c>
      <c r="K7" s="651" t="s">
        <v>1340</v>
      </c>
      <c r="L7" s="200" t="s">
        <v>552</v>
      </c>
      <c r="M7" s="651" t="s">
        <v>283</v>
      </c>
    </row>
    <row r="8" spans="1:13">
      <c r="A8" s="7">
        <v>1</v>
      </c>
      <c r="B8" s="1012" t="s">
        <v>2784</v>
      </c>
      <c r="C8" s="1264">
        <v>180.28113809999999</v>
      </c>
      <c r="D8" s="1264">
        <v>211.67160000000001</v>
      </c>
      <c r="E8" s="1264">
        <v>296.82479999999998</v>
      </c>
      <c r="F8" s="1264">
        <v>431.21660000000003</v>
      </c>
      <c r="G8" s="1264">
        <v>491.59780000000001</v>
      </c>
      <c r="H8" s="934"/>
      <c r="I8" s="934">
        <v>516.10080000000005</v>
      </c>
      <c r="J8" s="934"/>
      <c r="K8" s="934"/>
      <c r="L8" s="934"/>
      <c r="M8" s="934"/>
    </row>
    <row r="9" spans="1:13">
      <c r="A9" s="7">
        <f t="shared" ref="A9:A29" si="0">A8+1</f>
        <v>2</v>
      </c>
      <c r="B9" s="1012" t="s">
        <v>2785</v>
      </c>
      <c r="C9" s="1264">
        <v>0</v>
      </c>
      <c r="D9" s="1264">
        <v>0</v>
      </c>
      <c r="E9" s="1264">
        <v>0</v>
      </c>
      <c r="F9" s="1264">
        <v>0</v>
      </c>
      <c r="G9" s="1264">
        <v>0</v>
      </c>
      <c r="H9" s="934"/>
      <c r="I9" s="934">
        <v>0</v>
      </c>
      <c r="J9" s="934"/>
      <c r="K9" s="934"/>
      <c r="L9" s="934"/>
      <c r="M9" s="934"/>
    </row>
    <row r="10" spans="1:13">
      <c r="A10" s="7">
        <f t="shared" si="0"/>
        <v>3</v>
      </c>
      <c r="B10" s="1012" t="s">
        <v>2786</v>
      </c>
      <c r="C10" s="1264">
        <v>181.12999669999999</v>
      </c>
      <c r="D10" s="1264">
        <v>194.09900000000002</v>
      </c>
      <c r="E10" s="1264">
        <v>129.81969999999998</v>
      </c>
      <c r="F10" s="1264">
        <v>46.328400000000002</v>
      </c>
      <c r="G10" s="1264">
        <v>75.508099999999999</v>
      </c>
      <c r="H10" s="934"/>
      <c r="I10" s="934">
        <v>81.536799999999999</v>
      </c>
      <c r="J10" s="934"/>
      <c r="K10" s="934"/>
      <c r="L10" s="934"/>
      <c r="M10" s="934"/>
    </row>
    <row r="11" spans="1:13">
      <c r="A11" s="7">
        <f t="shared" si="0"/>
        <v>4</v>
      </c>
      <c r="B11" s="1012" t="s">
        <v>2787</v>
      </c>
      <c r="C11" s="1264">
        <v>15.1457637</v>
      </c>
      <c r="D11" s="1264">
        <v>16.465399999999999</v>
      </c>
      <c r="E11" s="1264">
        <v>18.390799999999999</v>
      </c>
      <c r="F11" s="1264">
        <v>23.401300000000003</v>
      </c>
      <c r="G11" s="1264">
        <v>31.7806</v>
      </c>
      <c r="H11" s="934"/>
      <c r="I11" s="934">
        <v>28.8428735</v>
      </c>
      <c r="J11" s="934"/>
      <c r="K11" s="934"/>
      <c r="L11" s="934"/>
      <c r="M11" s="934"/>
    </row>
    <row r="12" spans="1:13" ht="29">
      <c r="A12" s="7">
        <f t="shared" si="0"/>
        <v>5</v>
      </c>
      <c r="B12" s="1012" t="s">
        <v>2788</v>
      </c>
      <c r="C12" s="1264">
        <v>0</v>
      </c>
      <c r="D12" s="1264">
        <v>0</v>
      </c>
      <c r="E12" s="1264">
        <v>0</v>
      </c>
      <c r="F12" s="1264">
        <v>0</v>
      </c>
      <c r="G12" s="1264">
        <v>0</v>
      </c>
      <c r="H12" s="934"/>
      <c r="I12" s="934">
        <v>0</v>
      </c>
      <c r="J12" s="934"/>
      <c r="K12" s="934"/>
      <c r="L12" s="934"/>
      <c r="M12" s="934"/>
    </row>
    <row r="13" spans="1:13">
      <c r="A13" s="7">
        <f t="shared" si="0"/>
        <v>6</v>
      </c>
      <c r="B13" s="1012" t="s">
        <v>2789</v>
      </c>
      <c r="C13" s="1264">
        <v>0</v>
      </c>
      <c r="D13" s="1264">
        <v>0</v>
      </c>
      <c r="E13" s="1264">
        <v>0</v>
      </c>
      <c r="F13" s="1264">
        <v>0</v>
      </c>
      <c r="G13" s="1264">
        <v>0</v>
      </c>
      <c r="H13" s="934"/>
      <c r="I13" s="934">
        <v>0</v>
      </c>
      <c r="J13" s="934"/>
      <c r="K13" s="934"/>
      <c r="L13" s="934"/>
      <c r="M13" s="934"/>
    </row>
    <row r="14" spans="1:13">
      <c r="A14" s="7">
        <f t="shared" si="0"/>
        <v>7</v>
      </c>
      <c r="B14" s="1012" t="s">
        <v>2790</v>
      </c>
      <c r="C14" s="1264">
        <v>0</v>
      </c>
      <c r="D14" s="1264">
        <v>0</v>
      </c>
      <c r="E14" s="1264">
        <v>0</v>
      </c>
      <c r="F14" s="1264">
        <v>0</v>
      </c>
      <c r="G14" s="1264">
        <v>0</v>
      </c>
      <c r="H14" s="934"/>
      <c r="I14" s="934">
        <v>0</v>
      </c>
      <c r="J14" s="934"/>
      <c r="K14" s="934"/>
      <c r="L14" s="934"/>
      <c r="M14" s="934"/>
    </row>
    <row r="15" spans="1:13">
      <c r="A15" s="7">
        <f t="shared" si="0"/>
        <v>8</v>
      </c>
      <c r="B15" s="1012" t="s">
        <v>2791</v>
      </c>
      <c r="C15" s="1264">
        <v>1.8425777999999999</v>
      </c>
      <c r="D15" s="1264">
        <v>1.5565</v>
      </c>
      <c r="E15" s="1264">
        <v>3.4818000000000002</v>
      </c>
      <c r="F15" s="1264">
        <v>2.5847000000000002</v>
      </c>
      <c r="G15" s="1264">
        <v>3.2579000000000002</v>
      </c>
      <c r="H15" s="934"/>
      <c r="I15" s="934">
        <v>1.0837000000000001</v>
      </c>
      <c r="J15" s="934"/>
      <c r="K15" s="934"/>
      <c r="L15" s="934"/>
      <c r="M15" s="934"/>
    </row>
    <row r="16" spans="1:13">
      <c r="A16" s="7">
        <f t="shared" si="0"/>
        <v>9</v>
      </c>
      <c r="B16" s="1012" t="s">
        <v>2792</v>
      </c>
      <c r="C16" s="1264">
        <v>6.9641998000000003</v>
      </c>
      <c r="D16" s="1264">
        <v>6.6345000000000001</v>
      </c>
      <c r="E16" s="1264">
        <v>8.0129000000000001</v>
      </c>
      <c r="F16" s="1264">
        <v>6.1102999999999996</v>
      </c>
      <c r="G16" s="1264">
        <v>8.0399999999999991</v>
      </c>
      <c r="H16" s="934"/>
      <c r="I16" s="934">
        <v>7.9910170999999997</v>
      </c>
      <c r="J16" s="934"/>
      <c r="K16" s="934"/>
      <c r="L16" s="934"/>
      <c r="M16" s="934"/>
    </row>
    <row r="17" spans="1:13" ht="29">
      <c r="A17" s="7">
        <f t="shared" si="0"/>
        <v>10</v>
      </c>
      <c r="B17" s="1012" t="s">
        <v>2793</v>
      </c>
      <c r="C17" s="1264">
        <v>0</v>
      </c>
      <c r="D17" s="1264">
        <v>0</v>
      </c>
      <c r="E17" s="1264">
        <v>0</v>
      </c>
      <c r="F17" s="1264">
        <v>0</v>
      </c>
      <c r="G17" s="1264">
        <v>0</v>
      </c>
      <c r="H17" s="934"/>
      <c r="I17" s="934">
        <v>0</v>
      </c>
      <c r="J17" s="934"/>
      <c r="K17" s="934"/>
      <c r="L17" s="934"/>
      <c r="M17" s="934"/>
    </row>
    <row r="18" spans="1:13">
      <c r="A18" s="7">
        <f t="shared" si="0"/>
        <v>11</v>
      </c>
      <c r="B18" s="1012" t="s">
        <v>2794</v>
      </c>
      <c r="C18" s="1264">
        <v>5.3197000000000001E-3</v>
      </c>
      <c r="D18" s="1264">
        <v>15.577999999999999</v>
      </c>
      <c r="E18" s="1264">
        <v>50.936000000000007</v>
      </c>
      <c r="F18" s="1264">
        <v>60.476999999999997</v>
      </c>
      <c r="G18" s="1264">
        <v>3.0000000000000001E-3</v>
      </c>
      <c r="H18" s="934"/>
      <c r="I18" s="934">
        <v>0</v>
      </c>
      <c r="J18" s="934"/>
      <c r="K18" s="934"/>
      <c r="L18" s="934"/>
      <c r="M18" s="934"/>
    </row>
    <row r="19" spans="1:13">
      <c r="A19" s="7">
        <f t="shared" si="0"/>
        <v>12</v>
      </c>
      <c r="B19" s="1012" t="s">
        <v>2795</v>
      </c>
      <c r="C19" s="1264">
        <v>50.709131399999997</v>
      </c>
      <c r="D19" s="1264">
        <v>1.1512</v>
      </c>
      <c r="E19" s="1264">
        <v>0.9265000000000001</v>
      </c>
      <c r="F19" s="1264">
        <v>0.66739999999999999</v>
      </c>
      <c r="G19" s="1264">
        <v>63.670600000000007</v>
      </c>
      <c r="H19" s="934"/>
      <c r="I19" s="934">
        <v>192.86340000000001</v>
      </c>
      <c r="J19" s="934"/>
      <c r="K19" s="934"/>
      <c r="L19" s="934"/>
      <c r="M19" s="934"/>
    </row>
    <row r="20" spans="1:13" ht="29">
      <c r="A20" s="7">
        <f t="shared" si="0"/>
        <v>13</v>
      </c>
      <c r="B20" s="1012" t="s">
        <v>2796</v>
      </c>
      <c r="C20" s="1264">
        <v>0.54072679999999995</v>
      </c>
      <c r="D20" s="1264">
        <v>44.782200000000003</v>
      </c>
      <c r="E20" s="1264">
        <v>52.941800000000001</v>
      </c>
      <c r="F20" s="1264">
        <v>43.460100000000004</v>
      </c>
      <c r="G20" s="1264">
        <v>40.218400000000003</v>
      </c>
      <c r="H20" s="934"/>
      <c r="I20" s="934">
        <v>57.8874</v>
      </c>
      <c r="J20" s="934"/>
      <c r="K20" s="934"/>
      <c r="L20" s="934"/>
      <c r="M20" s="934"/>
    </row>
    <row r="21" spans="1:13" ht="19.5" customHeight="1">
      <c r="A21" s="8">
        <f t="shared" si="0"/>
        <v>14</v>
      </c>
      <c r="B21" s="1012" t="s">
        <v>2797</v>
      </c>
      <c r="C21" s="1264">
        <v>0</v>
      </c>
      <c r="D21" s="1264">
        <v>0</v>
      </c>
      <c r="E21" s="1264">
        <v>0</v>
      </c>
      <c r="F21" s="1264">
        <v>0</v>
      </c>
      <c r="G21" s="1264">
        <v>0</v>
      </c>
      <c r="H21" s="934"/>
      <c r="I21" s="934">
        <v>0</v>
      </c>
      <c r="J21" s="934"/>
      <c r="K21" s="934"/>
      <c r="L21" s="934"/>
      <c r="M21" s="934"/>
    </row>
    <row r="22" spans="1:13">
      <c r="A22" s="7">
        <f t="shared" si="0"/>
        <v>15</v>
      </c>
      <c r="B22" s="1012" t="s">
        <v>2798</v>
      </c>
      <c r="C22" s="1264">
        <v>66.797597300000007</v>
      </c>
      <c r="D22" s="1264">
        <v>18.616499999999998</v>
      </c>
      <c r="E22" s="1264">
        <v>19.202199999999998</v>
      </c>
      <c r="F22" s="1264">
        <v>17.987200000000001</v>
      </c>
      <c r="G22" s="1264">
        <v>0</v>
      </c>
      <c r="H22" s="934"/>
      <c r="I22" s="934">
        <v>18.412100499999998</v>
      </c>
      <c r="J22" s="934"/>
      <c r="K22" s="934"/>
      <c r="L22" s="934"/>
      <c r="M22" s="934"/>
    </row>
    <row r="23" spans="1:13">
      <c r="A23" s="7">
        <f t="shared" si="0"/>
        <v>16</v>
      </c>
      <c r="B23" s="1012" t="s">
        <v>2799</v>
      </c>
      <c r="C23" s="1264">
        <v>0.87450470000000002</v>
      </c>
      <c r="D23" s="1264">
        <v>0</v>
      </c>
      <c r="E23" s="1264">
        <v>0</v>
      </c>
      <c r="F23" s="1264">
        <v>0</v>
      </c>
      <c r="G23" s="1264">
        <v>1.6958000000000002</v>
      </c>
      <c r="H23" s="934"/>
      <c r="I23" s="934">
        <v>1.0555912000000001</v>
      </c>
      <c r="J23" s="934"/>
      <c r="K23" s="934"/>
      <c r="L23" s="934"/>
      <c r="M23" s="934"/>
    </row>
    <row r="24" spans="1:13" ht="29">
      <c r="A24" s="7">
        <f t="shared" si="0"/>
        <v>17</v>
      </c>
      <c r="B24" s="1012" t="s">
        <v>2800</v>
      </c>
      <c r="C24" s="1264">
        <v>0</v>
      </c>
      <c r="D24" s="1264">
        <v>0</v>
      </c>
      <c r="E24" s="1264">
        <v>0</v>
      </c>
      <c r="F24" s="1264">
        <v>0</v>
      </c>
      <c r="G24" s="1264">
        <v>0</v>
      </c>
      <c r="H24" s="934"/>
      <c r="I24" s="934">
        <v>0</v>
      </c>
      <c r="J24" s="934"/>
      <c r="K24" s="934"/>
      <c r="L24" s="934"/>
      <c r="M24" s="934"/>
    </row>
    <row r="25" spans="1:13">
      <c r="A25" s="7">
        <f t="shared" si="0"/>
        <v>18</v>
      </c>
      <c r="B25" s="1012" t="s">
        <v>2801</v>
      </c>
      <c r="C25" s="1264">
        <v>11.337710899999999</v>
      </c>
      <c r="D25" s="1264">
        <v>11.884300000000001</v>
      </c>
      <c r="E25" s="1264">
        <v>12.3354</v>
      </c>
      <c r="F25" s="1264">
        <v>16.296500000000002</v>
      </c>
      <c r="G25" s="1264">
        <v>35.256999999999998</v>
      </c>
      <c r="H25" s="934"/>
      <c r="I25" s="934">
        <v>35.697293199999997</v>
      </c>
      <c r="J25" s="934"/>
      <c r="K25" s="934"/>
      <c r="L25" s="934"/>
      <c r="M25" s="934"/>
    </row>
    <row r="26" spans="1:13" s="974" customFormat="1">
      <c r="A26" s="253"/>
      <c r="B26" s="1012" t="s">
        <v>2802</v>
      </c>
      <c r="C26" s="1264">
        <v>0</v>
      </c>
      <c r="D26" s="1264">
        <v>0</v>
      </c>
      <c r="E26" s="1264">
        <v>0</v>
      </c>
      <c r="F26" s="1264">
        <v>0</v>
      </c>
      <c r="G26" s="1264">
        <v>0</v>
      </c>
      <c r="H26" s="934"/>
      <c r="I26" s="934">
        <v>0</v>
      </c>
      <c r="J26" s="934"/>
      <c r="K26" s="934"/>
      <c r="L26" s="934"/>
      <c r="M26" s="934"/>
    </row>
    <row r="27" spans="1:13">
      <c r="A27" s="7">
        <f>A25+1</f>
        <v>19</v>
      </c>
      <c r="B27" s="1012" t="s">
        <v>2803</v>
      </c>
      <c r="C27" s="1264">
        <v>16.771545100000001</v>
      </c>
      <c r="D27" s="1264">
        <v>0</v>
      </c>
      <c r="E27" s="1264">
        <v>0</v>
      </c>
      <c r="F27" s="1264">
        <v>0</v>
      </c>
      <c r="G27" s="1264">
        <v>17.795100000000001</v>
      </c>
      <c r="H27" s="934"/>
      <c r="I27" s="934">
        <v>0</v>
      </c>
      <c r="J27" s="934"/>
      <c r="K27" s="934"/>
      <c r="L27" s="934"/>
      <c r="M27" s="934"/>
    </row>
    <row r="28" spans="1:13">
      <c r="A28" s="7">
        <f t="shared" si="0"/>
        <v>20</v>
      </c>
      <c r="B28" s="1012" t="s">
        <v>2804</v>
      </c>
      <c r="C28" s="1264">
        <v>0.59850000000000003</v>
      </c>
      <c r="D28" s="1264">
        <v>0</v>
      </c>
      <c r="E28" s="1264">
        <v>0</v>
      </c>
      <c r="F28" s="1264">
        <v>0</v>
      </c>
      <c r="G28" s="1264">
        <v>0.72170000000000001</v>
      </c>
      <c r="H28" s="934"/>
      <c r="I28" s="934">
        <v>0</v>
      </c>
      <c r="J28" s="934"/>
      <c r="K28" s="934"/>
      <c r="L28" s="934"/>
      <c r="M28" s="934"/>
    </row>
    <row r="29" spans="1:13">
      <c r="A29" s="7">
        <f t="shared" si="0"/>
        <v>21</v>
      </c>
      <c r="B29" s="1012">
        <v>0</v>
      </c>
      <c r="C29" s="1264">
        <v>0</v>
      </c>
      <c r="D29" s="1264">
        <v>0</v>
      </c>
      <c r="E29" s="1264">
        <v>0</v>
      </c>
      <c r="F29" s="1264">
        <v>0</v>
      </c>
      <c r="G29" s="1264">
        <v>0</v>
      </c>
      <c r="H29" s="934"/>
      <c r="I29" s="934">
        <v>0</v>
      </c>
      <c r="J29" s="934"/>
      <c r="K29" s="934"/>
      <c r="L29" s="934"/>
      <c r="M29" s="934"/>
    </row>
    <row r="30" spans="1:13" s="974" customFormat="1">
      <c r="A30" s="253"/>
      <c r="B30" s="1012">
        <v>0</v>
      </c>
      <c r="C30" s="1264">
        <v>0</v>
      </c>
      <c r="D30" s="1264">
        <v>0</v>
      </c>
      <c r="E30" s="1264">
        <v>0</v>
      </c>
      <c r="F30" s="1264">
        <v>0</v>
      </c>
      <c r="G30" s="1264">
        <v>0</v>
      </c>
      <c r="H30" s="934"/>
      <c r="I30" s="934">
        <v>0</v>
      </c>
      <c r="J30" s="934"/>
      <c r="K30" s="934"/>
      <c r="L30" s="934"/>
      <c r="M30" s="934"/>
    </row>
    <row r="31" spans="1:13" s="974" customFormat="1">
      <c r="A31" s="253"/>
      <c r="B31" s="1012">
        <v>0</v>
      </c>
      <c r="C31" s="1264">
        <v>0</v>
      </c>
      <c r="D31" s="1264">
        <v>0</v>
      </c>
      <c r="E31" s="1264">
        <v>0</v>
      </c>
      <c r="F31" s="1264">
        <v>0</v>
      </c>
      <c r="G31" s="1264">
        <v>0</v>
      </c>
      <c r="H31" s="934"/>
      <c r="I31" s="934">
        <v>0</v>
      </c>
      <c r="J31" s="934"/>
      <c r="K31" s="934"/>
      <c r="L31" s="934"/>
      <c r="M31" s="934"/>
    </row>
    <row r="32" spans="1:13">
      <c r="A32" s="18"/>
      <c r="B32" s="91" t="s">
        <v>108</v>
      </c>
      <c r="C32" s="1009">
        <f t="shared" ref="C32:F32" si="1">SUM(C8:C31)</f>
        <v>532.99871199999995</v>
      </c>
      <c r="D32" s="1009">
        <f t="shared" si="1"/>
        <v>522.43920000000003</v>
      </c>
      <c r="E32" s="1009">
        <f t="shared" si="1"/>
        <v>592.87189999999998</v>
      </c>
      <c r="F32" s="1009">
        <f t="shared" si="1"/>
        <v>648.5295000000001</v>
      </c>
      <c r="G32" s="1009">
        <f>SUM(G8:G31)</f>
        <v>769.54600000000005</v>
      </c>
      <c r="H32" s="1009">
        <v>737.94</v>
      </c>
      <c r="I32" s="1009">
        <f>SUM(I8:I30)</f>
        <v>941.47097549999989</v>
      </c>
      <c r="J32" s="1009">
        <f>F29A!I8</f>
        <v>941.57265527826382</v>
      </c>
      <c r="K32" s="1009">
        <v>836.85</v>
      </c>
      <c r="L32" s="1009">
        <f>F29A!K8</f>
        <v>998.08415169965963</v>
      </c>
      <c r="M32" s="1009">
        <f>F29A!L8</f>
        <v>1054.2916458358106</v>
      </c>
    </row>
    <row r="33" spans="1:13" s="674" customFormat="1" ht="13">
      <c r="A33" s="672">
        <f>A29+1</f>
        <v>22</v>
      </c>
      <c r="B33" s="673" t="s">
        <v>109</v>
      </c>
      <c r="C33" s="1262">
        <f>'F36'!C10</f>
        <v>379.96</v>
      </c>
      <c r="D33" s="1262">
        <f>'F36'!D10</f>
        <v>194.37</v>
      </c>
      <c r="E33" s="1262">
        <f>'F36'!E10</f>
        <v>265.97000000000003</v>
      </c>
      <c r="F33" s="1262">
        <f>'F36'!F10</f>
        <v>360.19</v>
      </c>
      <c r="G33" s="1262">
        <f>'F36'!G10</f>
        <v>460.3322</v>
      </c>
      <c r="H33" s="1262">
        <f>'F36'!H10</f>
        <v>386.41</v>
      </c>
      <c r="I33" s="1262">
        <f>'F36'!I10</f>
        <v>214.87883289999999</v>
      </c>
      <c r="J33" s="1262">
        <f>'F36'!J10</f>
        <v>214.87883289999999</v>
      </c>
      <c r="K33" s="1263">
        <f>'F36'!K10</f>
        <v>460.33</v>
      </c>
      <c r="L33" s="1263">
        <f>'F36'!L10</f>
        <v>227.80007375087627</v>
      </c>
      <c r="M33" s="1263">
        <f>'F36'!M10</f>
        <v>240.6287228059312</v>
      </c>
    </row>
    <row r="34" spans="1:13" s="765" customFormat="1">
      <c r="A34" s="716"/>
      <c r="B34" s="764" t="s">
        <v>525</v>
      </c>
      <c r="C34" s="1009">
        <f>C32-C33</f>
        <v>153.03871199999998</v>
      </c>
      <c r="D34" s="1009">
        <f t="shared" ref="D34:M34" si="2">D32-D33</f>
        <v>328.06920000000002</v>
      </c>
      <c r="E34" s="1009">
        <f t="shared" si="2"/>
        <v>326.90189999999996</v>
      </c>
      <c r="F34" s="1009">
        <f t="shared" si="2"/>
        <v>288.3395000000001</v>
      </c>
      <c r="G34" s="1009">
        <f t="shared" si="2"/>
        <v>309.21380000000005</v>
      </c>
      <c r="H34" s="1009">
        <f t="shared" si="2"/>
        <v>351.53000000000003</v>
      </c>
      <c r="I34" s="1009">
        <f t="shared" si="2"/>
        <v>726.59214259999987</v>
      </c>
      <c r="J34" s="1009">
        <f t="shared" si="2"/>
        <v>726.6938223782638</v>
      </c>
      <c r="K34" s="1009">
        <f t="shared" si="2"/>
        <v>376.52000000000004</v>
      </c>
      <c r="L34" s="1009">
        <f t="shared" si="2"/>
        <v>770.28407794878331</v>
      </c>
      <c r="M34" s="1009">
        <f t="shared" si="2"/>
        <v>813.66292302987949</v>
      </c>
    </row>
    <row r="35" spans="1:13">
      <c r="A35" s="26"/>
      <c r="B35" s="3419"/>
      <c r="C35" s="3419"/>
      <c r="D35" s="3419"/>
      <c r="E35" s="27"/>
    </row>
    <row r="36" spans="1:13">
      <c r="A36" s="26"/>
      <c r="B36" s="27"/>
      <c r="C36" s="27"/>
      <c r="D36" s="27"/>
      <c r="E36" s="27"/>
    </row>
    <row r="37" spans="1:13" ht="13.5" customHeight="1">
      <c r="A37" s="26"/>
    </row>
    <row r="38" spans="1:13">
      <c r="A38" s="26"/>
      <c r="F38" s="3327"/>
      <c r="G38" s="3327"/>
      <c r="H38" s="363"/>
      <c r="I38" s="363"/>
    </row>
    <row r="39" spans="1:13">
      <c r="A39" s="26"/>
    </row>
  </sheetData>
  <mergeCells count="16">
    <mergeCell ref="A1:B1"/>
    <mergeCell ref="F38:G38"/>
    <mergeCell ref="A5:A7"/>
    <mergeCell ref="B5:B7"/>
    <mergeCell ref="F3:G3"/>
    <mergeCell ref="F4:G4"/>
    <mergeCell ref="C5:G5"/>
    <mergeCell ref="B35:D35"/>
    <mergeCell ref="H6:J6"/>
    <mergeCell ref="K6:L6"/>
    <mergeCell ref="J3:K3"/>
    <mergeCell ref="L3:M3"/>
    <mergeCell ref="J4:K4"/>
    <mergeCell ref="L4:M4"/>
    <mergeCell ref="H5:J5"/>
    <mergeCell ref="K5:L5"/>
  </mergeCells>
  <printOptions horizontalCentered="1"/>
  <pageMargins left="0.19685039370078741" right="0.19685039370078741" top="0.19685039370078741" bottom="0.19685039370078741" header="0.19685039370078741" footer="0.19685039370078741"/>
  <pageSetup paperSize="9" scale="8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
  <sheetViews>
    <sheetView view="pageBreakPreview" zoomScaleSheetLayoutView="100" workbookViewId="0">
      <selection activeCell="C105" sqref="C105"/>
    </sheetView>
  </sheetViews>
  <sheetFormatPr defaultColWidth="9.1796875" defaultRowHeight="14.5"/>
  <cols>
    <col min="1" max="1" width="6.1796875" customWidth="1"/>
    <col min="2" max="2" width="30" bestFit="1" customWidth="1"/>
    <col min="3" max="3" width="10.7265625" style="365" customWidth="1"/>
    <col min="4" max="4" width="11.26953125" style="365" customWidth="1"/>
    <col min="5" max="5" width="10.54296875" style="365" customWidth="1"/>
    <col min="6" max="6" width="10.26953125" customWidth="1"/>
    <col min="7" max="7" width="10.453125" customWidth="1"/>
    <col min="8" max="10" width="13.1796875" customWidth="1"/>
    <col min="11" max="11" width="13.1796875" style="365" customWidth="1"/>
    <col min="12" max="13" width="13.1796875" customWidth="1"/>
  </cols>
  <sheetData>
    <row r="1" spans="1:13" s="251" customFormat="1">
      <c r="A1" s="3314" t="s">
        <v>903</v>
      </c>
      <c r="B1" s="3314"/>
      <c r="C1" s="366"/>
      <c r="D1" s="366"/>
      <c r="E1" s="366"/>
      <c r="K1" s="365"/>
    </row>
    <row r="2" spans="1:13">
      <c r="A2" s="781" t="s">
        <v>174</v>
      </c>
      <c r="B2" s="781"/>
      <c r="C2" s="1318" t="s">
        <v>1606</v>
      </c>
      <c r="D2" s="781"/>
      <c r="E2" s="781"/>
      <c r="F2" s="781"/>
      <c r="G2" s="781"/>
      <c r="H2" s="781"/>
      <c r="I2" s="781"/>
      <c r="J2" s="781"/>
      <c r="K2" s="369"/>
    </row>
    <row r="3" spans="1:13">
      <c r="A3" s="574" t="s">
        <v>3</v>
      </c>
      <c r="B3" s="574"/>
      <c r="C3" s="574"/>
      <c r="D3" s="574"/>
      <c r="E3" s="574"/>
      <c r="F3" s="574"/>
      <c r="G3" s="574"/>
      <c r="H3" s="574"/>
      <c r="I3" s="3330"/>
      <c r="J3" s="3330"/>
      <c r="K3" s="367"/>
      <c r="L3" s="3330"/>
      <c r="M3" s="3330"/>
    </row>
    <row r="4" spans="1:13">
      <c r="A4" s="15"/>
      <c r="B4" s="15"/>
      <c r="C4" s="364"/>
      <c r="D4" s="364"/>
      <c r="E4" s="364"/>
      <c r="F4" s="15"/>
      <c r="G4" s="15"/>
      <c r="H4" s="15"/>
      <c r="I4" s="3356"/>
      <c r="J4" s="3356"/>
      <c r="K4" s="371"/>
      <c r="L4" s="3356" t="s">
        <v>141</v>
      </c>
      <c r="M4" s="3356"/>
    </row>
    <row r="5" spans="1:13" ht="15" customHeight="1">
      <c r="A5" s="3081" t="s">
        <v>12</v>
      </c>
      <c r="B5" s="2994" t="s">
        <v>14</v>
      </c>
      <c r="C5" s="3018" t="s">
        <v>884</v>
      </c>
      <c r="D5" s="3019"/>
      <c r="E5" s="3019"/>
      <c r="F5" s="3019"/>
      <c r="G5" s="3022"/>
      <c r="H5" s="3026" t="s">
        <v>542</v>
      </c>
      <c r="I5" s="3026"/>
      <c r="J5" s="3026"/>
      <c r="K5" s="3024" t="s">
        <v>550</v>
      </c>
      <c r="L5" s="3025"/>
      <c r="M5" s="920" t="s">
        <v>952</v>
      </c>
    </row>
    <row r="6" spans="1:13">
      <c r="A6" s="3079"/>
      <c r="B6" s="2994"/>
      <c r="C6" s="928" t="s">
        <v>557</v>
      </c>
      <c r="D6" s="929" t="s">
        <v>556</v>
      </c>
      <c r="E6" s="929" t="s">
        <v>555</v>
      </c>
      <c r="F6" s="929" t="s">
        <v>553</v>
      </c>
      <c r="G6" s="929" t="s">
        <v>551</v>
      </c>
      <c r="H6" s="3415" t="s">
        <v>545</v>
      </c>
      <c r="I6" s="3416"/>
      <c r="J6" s="3417"/>
      <c r="K6" s="3412" t="s">
        <v>546</v>
      </c>
      <c r="L6" s="3412"/>
      <c r="M6" s="923" t="s">
        <v>547</v>
      </c>
    </row>
    <row r="7" spans="1:13" ht="29">
      <c r="A7" s="3080"/>
      <c r="B7" s="2994"/>
      <c r="C7" s="362" t="s">
        <v>554</v>
      </c>
      <c r="D7" s="362" t="s">
        <v>554</v>
      </c>
      <c r="E7" s="362" t="s">
        <v>554</v>
      </c>
      <c r="F7" s="362" t="s">
        <v>554</v>
      </c>
      <c r="G7" s="193" t="s">
        <v>554</v>
      </c>
      <c r="H7" s="196" t="s">
        <v>543</v>
      </c>
      <c r="I7" s="194" t="s">
        <v>281</v>
      </c>
      <c r="J7" s="194" t="s">
        <v>544</v>
      </c>
      <c r="K7" s="196" t="s">
        <v>543</v>
      </c>
      <c r="L7" s="196" t="s">
        <v>552</v>
      </c>
      <c r="M7" s="194" t="s">
        <v>283</v>
      </c>
    </row>
    <row r="8" spans="1:13">
      <c r="A8" s="7">
        <v>1</v>
      </c>
      <c r="B8" s="135" t="s">
        <v>167</v>
      </c>
      <c r="C8" s="1016">
        <v>372.37</v>
      </c>
      <c r="D8" s="1016">
        <v>217.76</v>
      </c>
      <c r="E8" s="1016">
        <v>569.4</v>
      </c>
      <c r="F8" s="1016">
        <v>773.34</v>
      </c>
      <c r="G8" s="1324">
        <v>869.83</v>
      </c>
      <c r="H8" s="1057">
        <v>540.11</v>
      </c>
      <c r="I8" s="1057">
        <v>598.08955460000004</v>
      </c>
      <c r="J8" s="1057">
        <v>895.64533633272515</v>
      </c>
      <c r="K8" s="1057">
        <v>991.17</v>
      </c>
      <c r="L8" s="1057">
        <v>917.28935885869316</v>
      </c>
      <c r="M8" s="1057">
        <v>961.84691751072876</v>
      </c>
    </row>
    <row r="9" spans="1:13">
      <c r="A9" s="7">
        <v>2</v>
      </c>
      <c r="B9" s="135" t="s">
        <v>1598</v>
      </c>
      <c r="C9" s="135"/>
      <c r="D9" s="135"/>
      <c r="E9" s="135"/>
      <c r="F9" s="38"/>
      <c r="G9" s="37"/>
      <c r="H9" s="37"/>
      <c r="I9" s="37"/>
      <c r="J9" s="37"/>
      <c r="K9" s="37">
        <v>330.39</v>
      </c>
      <c r="L9" s="37">
        <f>K9</f>
        <v>330.39</v>
      </c>
      <c r="M9" s="37"/>
    </row>
    <row r="10" spans="1:13" ht="20.25" customHeight="1">
      <c r="A10" s="7">
        <v>3</v>
      </c>
      <c r="B10" s="135" t="s">
        <v>1597</v>
      </c>
      <c r="C10" s="135"/>
      <c r="D10" s="135"/>
      <c r="E10" s="135"/>
      <c r="F10" s="247"/>
      <c r="G10" s="247"/>
      <c r="H10" s="247"/>
      <c r="I10" s="247"/>
      <c r="J10" s="247"/>
      <c r="K10" s="247"/>
      <c r="L10" s="247">
        <f>L8+L9</f>
        <v>1247.6793588586931</v>
      </c>
      <c r="M10" s="247"/>
    </row>
  </sheetData>
  <mergeCells count="12">
    <mergeCell ref="A1:B1"/>
    <mergeCell ref="H6:J6"/>
    <mergeCell ref="A5:A7"/>
    <mergeCell ref="I3:J3"/>
    <mergeCell ref="L3:M3"/>
    <mergeCell ref="I4:J4"/>
    <mergeCell ref="H5:J5"/>
    <mergeCell ref="B5:B7"/>
    <mergeCell ref="C5:G5"/>
    <mergeCell ref="K5:L5"/>
    <mergeCell ref="K6:L6"/>
    <mergeCell ref="L4:M4"/>
  </mergeCells>
  <printOptions horizontalCentered="1"/>
  <pageMargins left="0.19685039370078741" right="0.19685039370078741" top="0.19685039370078741" bottom="0.19685039370078741" header="0.19685039370078741" footer="0.19685039370078741"/>
  <pageSetup paperSize="9" scale="8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view="pageBreakPreview" zoomScaleSheetLayoutView="100" workbookViewId="0">
      <selection activeCell="C105" sqref="C105"/>
    </sheetView>
  </sheetViews>
  <sheetFormatPr defaultRowHeight="14.5"/>
  <cols>
    <col min="1" max="1" width="32.54296875" customWidth="1"/>
    <col min="2" max="4" width="11.453125" style="365" customWidth="1"/>
    <col min="5" max="6" width="11.453125" customWidth="1"/>
    <col min="7" max="9" width="13.1796875" customWidth="1"/>
    <col min="10" max="10" width="13.1796875" style="365" customWidth="1"/>
    <col min="11" max="12" width="13.1796875" customWidth="1"/>
  </cols>
  <sheetData>
    <row r="1" spans="1:12" s="251" customFormat="1">
      <c r="A1" s="3314" t="s">
        <v>904</v>
      </c>
      <c r="B1" s="3314"/>
      <c r="C1" s="3314"/>
      <c r="D1" s="3314"/>
      <c r="E1" s="3314"/>
      <c r="J1" s="365"/>
    </row>
    <row r="2" spans="1:12">
      <c r="A2" s="3413" t="s">
        <v>174</v>
      </c>
      <c r="B2" s="3413"/>
      <c r="C2" s="3413"/>
      <c r="D2" s="3413"/>
      <c r="E2" s="3413"/>
      <c r="F2" s="3413"/>
      <c r="G2" s="3413"/>
      <c r="H2" s="3413"/>
      <c r="I2" s="3413"/>
      <c r="J2" s="369"/>
    </row>
    <row r="3" spans="1:12">
      <c r="A3" s="574" t="s">
        <v>170</v>
      </c>
      <c r="B3" s="574"/>
      <c r="C3" s="574"/>
      <c r="D3" s="574"/>
      <c r="E3" s="3330"/>
      <c r="F3" s="3330"/>
      <c r="G3" s="547"/>
      <c r="H3" s="3330"/>
      <c r="I3" s="3330"/>
      <c r="J3" s="367"/>
      <c r="K3" s="3330"/>
      <c r="L3" s="3330"/>
    </row>
    <row r="4" spans="1:12">
      <c r="A4" s="15"/>
      <c r="B4" s="364"/>
      <c r="C4" s="364"/>
      <c r="D4" s="364"/>
      <c r="E4" s="15"/>
      <c r="F4" s="15"/>
      <c r="G4" s="15"/>
      <c r="H4" s="3356"/>
      <c r="I4" s="3356"/>
      <c r="J4" s="312"/>
      <c r="K4" s="992" t="s">
        <v>141</v>
      </c>
    </row>
    <row r="5" spans="1:12" ht="15" customHeight="1">
      <c r="A5" s="2994" t="s">
        <v>14</v>
      </c>
      <c r="B5" s="3018" t="s">
        <v>558</v>
      </c>
      <c r="C5" s="3019"/>
      <c r="D5" s="3019"/>
      <c r="E5" s="3019"/>
      <c r="F5" s="3022"/>
      <c r="G5" s="3026" t="s">
        <v>542</v>
      </c>
      <c r="H5" s="3026"/>
      <c r="I5" s="3026"/>
      <c r="J5" s="3024" t="s">
        <v>550</v>
      </c>
      <c r="K5" s="3025"/>
      <c r="L5" s="975" t="s">
        <v>952</v>
      </c>
    </row>
    <row r="6" spans="1:12">
      <c r="A6" s="2994"/>
      <c r="B6" s="928" t="s">
        <v>557</v>
      </c>
      <c r="C6" s="929" t="s">
        <v>556</v>
      </c>
      <c r="D6" s="929" t="s">
        <v>555</v>
      </c>
      <c r="E6" s="929" t="s">
        <v>553</v>
      </c>
      <c r="F6" s="929" t="s">
        <v>551</v>
      </c>
      <c r="G6" s="3415" t="s">
        <v>545</v>
      </c>
      <c r="H6" s="3416"/>
      <c r="I6" s="3417"/>
      <c r="J6" s="3412" t="s">
        <v>546</v>
      </c>
      <c r="K6" s="3412"/>
      <c r="L6" s="923" t="s">
        <v>547</v>
      </c>
    </row>
    <row r="7" spans="1:12" ht="29">
      <c r="A7" s="2994"/>
      <c r="B7" s="362" t="s">
        <v>554</v>
      </c>
      <c r="C7" s="362" t="s">
        <v>554</v>
      </c>
      <c r="D7" s="362" t="s">
        <v>554</v>
      </c>
      <c r="E7" s="362" t="s">
        <v>554</v>
      </c>
      <c r="F7" s="193" t="s">
        <v>554</v>
      </c>
      <c r="G7" s="196" t="s">
        <v>543</v>
      </c>
      <c r="H7" s="651" t="s">
        <v>281</v>
      </c>
      <c r="I7" s="651" t="s">
        <v>544</v>
      </c>
      <c r="J7" s="200" t="s">
        <v>543</v>
      </c>
      <c r="K7" s="200" t="s">
        <v>552</v>
      </c>
      <c r="L7" s="651" t="s">
        <v>283</v>
      </c>
    </row>
    <row r="8" spans="1:12">
      <c r="A8" s="87" t="s">
        <v>830</v>
      </c>
      <c r="B8" s="1261">
        <v>120.32</v>
      </c>
      <c r="C8" s="1261">
        <v>68.849999999999994</v>
      </c>
      <c r="D8" s="1261">
        <v>118.06</v>
      </c>
      <c r="E8" s="1261">
        <v>293.07</v>
      </c>
      <c r="F8" s="1261">
        <v>164.93</v>
      </c>
      <c r="G8" s="1055">
        <f>F29E!H46</f>
        <v>146.35</v>
      </c>
      <c r="H8" s="1055">
        <f>F29E!I46</f>
        <v>538.66365645999986</v>
      </c>
      <c r="I8" s="1055">
        <v>169.82489144011629</v>
      </c>
      <c r="J8" s="1265">
        <f>F29E!K46</f>
        <v>160.86000000000001</v>
      </c>
      <c r="K8" s="1055">
        <v>173.92885271439735</v>
      </c>
      <c r="L8" s="1055">
        <v>182.37748997510371</v>
      </c>
    </row>
    <row r="9" spans="1:12">
      <c r="A9" s="86" t="s">
        <v>137</v>
      </c>
      <c r="B9" s="1260"/>
      <c r="C9" s="1260"/>
      <c r="D9" s="1260"/>
      <c r="E9" s="1055"/>
      <c r="F9" s="1055"/>
      <c r="G9" s="1055"/>
      <c r="H9" s="1055"/>
      <c r="I9" s="1055"/>
      <c r="J9" s="1055"/>
      <c r="K9" s="1055"/>
      <c r="L9" s="1055"/>
    </row>
    <row r="10" spans="1:12">
      <c r="A10" s="87" t="s">
        <v>831</v>
      </c>
      <c r="B10" s="1261">
        <f>'F36'!C12</f>
        <v>0</v>
      </c>
      <c r="C10" s="1261">
        <f>'F36'!D12</f>
        <v>0</v>
      </c>
      <c r="D10" s="1261">
        <f>'F36'!E12</f>
        <v>0</v>
      </c>
      <c r="E10" s="1261">
        <f>'F36'!F12</f>
        <v>0</v>
      </c>
      <c r="F10" s="1261">
        <f>'F36'!G12</f>
        <v>0</v>
      </c>
      <c r="G10" s="1261">
        <f>'F36'!H12</f>
        <v>0</v>
      </c>
      <c r="H10" s="1055">
        <f>F29E!I47</f>
        <v>0</v>
      </c>
      <c r="I10" s="247"/>
      <c r="J10" s="1261">
        <f>'F36'!K12</f>
        <v>0</v>
      </c>
      <c r="K10" s="1261">
        <f>'F36'!L12</f>
        <v>0</v>
      </c>
      <c r="L10" s="1261">
        <f>'F36'!M12</f>
        <v>0</v>
      </c>
    </row>
    <row r="11" spans="1:12">
      <c r="A11" s="86" t="s">
        <v>832</v>
      </c>
      <c r="B11" s="1260">
        <f>B8-B10</f>
        <v>120.32</v>
      </c>
      <c r="C11" s="1260">
        <f t="shared" ref="C11:L11" si="0">C8-C10</f>
        <v>68.849999999999994</v>
      </c>
      <c r="D11" s="1260">
        <f t="shared" si="0"/>
        <v>118.06</v>
      </c>
      <c r="E11" s="1260">
        <f t="shared" si="0"/>
        <v>293.07</v>
      </c>
      <c r="F11" s="1260">
        <f t="shared" si="0"/>
        <v>164.93</v>
      </c>
      <c r="G11" s="1260">
        <f t="shared" si="0"/>
        <v>146.35</v>
      </c>
      <c r="H11" s="1260">
        <f t="shared" si="0"/>
        <v>538.66365645999986</v>
      </c>
      <c r="I11" s="1260">
        <f t="shared" si="0"/>
        <v>169.82489144011629</v>
      </c>
      <c r="J11" s="1260">
        <f t="shared" si="0"/>
        <v>160.86000000000001</v>
      </c>
      <c r="K11" s="1260">
        <f t="shared" si="0"/>
        <v>173.92885271439735</v>
      </c>
      <c r="L11" s="1260">
        <f t="shared" si="0"/>
        <v>182.37748997510371</v>
      </c>
    </row>
  </sheetData>
  <mergeCells count="12">
    <mergeCell ref="J6:K6"/>
    <mergeCell ref="K3:L3"/>
    <mergeCell ref="J5:K5"/>
    <mergeCell ref="A1:E1"/>
    <mergeCell ref="G6:I6"/>
    <mergeCell ref="A2:I2"/>
    <mergeCell ref="H3:I3"/>
    <mergeCell ref="H4:I4"/>
    <mergeCell ref="A5:A7"/>
    <mergeCell ref="G5:I5"/>
    <mergeCell ref="B5:F5"/>
    <mergeCell ref="E3:F3"/>
  </mergeCells>
  <printOptions horizontalCentered="1"/>
  <pageMargins left="0.19685039370078741" right="0.19685039370078741" top="0.19685039370078741" bottom="0.19685039370078741" header="0.19685039370078741" footer="0.19685039370078741"/>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zoomScale="85" zoomScaleNormal="85" zoomScaleSheetLayoutView="85" workbookViewId="0">
      <pane xSplit="2" ySplit="7" topLeftCell="C48"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7.25" customHeight="1"/>
  <cols>
    <col min="1" max="1" width="5" style="278" customWidth="1"/>
    <col min="2" max="2" width="47.26953125" style="278" customWidth="1"/>
    <col min="3" max="3" width="11.54296875" style="942" bestFit="1" customWidth="1"/>
    <col min="4" max="4" width="10.54296875" style="658" bestFit="1" customWidth="1"/>
    <col min="5" max="6" width="10.7265625" style="278" bestFit="1" customWidth="1"/>
    <col min="7" max="7" width="12.1796875" style="278" bestFit="1" customWidth="1"/>
    <col min="8" max="8" width="10.453125" style="278" bestFit="1" customWidth="1"/>
    <col min="9" max="9" width="12.1796875" style="278" bestFit="1" customWidth="1"/>
    <col min="10" max="16384" width="9.1796875" style="278"/>
  </cols>
  <sheetData>
    <row r="1" spans="1:13" ht="17.25" customHeight="1">
      <c r="A1" s="2991" t="s">
        <v>59</v>
      </c>
      <c r="B1" s="2991"/>
    </row>
    <row r="2" spans="1:13" ht="17.25" customHeight="1">
      <c r="A2" s="715" t="s">
        <v>1604</v>
      </c>
      <c r="B2" s="715"/>
      <c r="C2" s="943"/>
      <c r="D2" s="715"/>
      <c r="E2" s="715"/>
      <c r="F2" s="715"/>
      <c r="G2" s="715"/>
      <c r="H2" s="715"/>
      <c r="I2" s="715"/>
      <c r="J2" s="715"/>
      <c r="K2" s="715"/>
      <c r="L2" s="715"/>
      <c r="M2" s="715"/>
    </row>
    <row r="3" spans="1:13" ht="17.25" customHeight="1">
      <c r="A3" s="304" t="s">
        <v>13</v>
      </c>
      <c r="B3" s="304"/>
      <c r="C3" s="944"/>
      <c r="D3" s="304"/>
      <c r="E3" s="304"/>
      <c r="F3" s="304"/>
      <c r="G3" s="304"/>
      <c r="H3" s="304"/>
      <c r="I3" s="304"/>
    </row>
    <row r="4" spans="1:13" ht="17.25" customHeight="1">
      <c r="F4" s="3031"/>
      <c r="G4" s="3031"/>
      <c r="H4" s="3031"/>
      <c r="I4" s="3031"/>
    </row>
    <row r="5" spans="1:13" ht="17.25" customHeight="1">
      <c r="A5" s="3032" t="s">
        <v>12</v>
      </c>
      <c r="B5" s="3032" t="s">
        <v>14</v>
      </c>
      <c r="C5" s="3035" t="s">
        <v>558</v>
      </c>
      <c r="D5" s="3036"/>
      <c r="E5" s="3026" t="s">
        <v>542</v>
      </c>
      <c r="F5" s="3026"/>
      <c r="G5" s="3026"/>
      <c r="H5" s="218" t="s">
        <v>550</v>
      </c>
      <c r="I5" s="915" t="s">
        <v>952</v>
      </c>
    </row>
    <row r="6" spans="1:13" ht="27.75" customHeight="1">
      <c r="A6" s="3033"/>
      <c r="B6" s="3033"/>
      <c r="C6" s="945" t="s">
        <v>553</v>
      </c>
      <c r="D6" s="914" t="s">
        <v>551</v>
      </c>
      <c r="E6" s="3018" t="s">
        <v>545</v>
      </c>
      <c r="F6" s="3019"/>
      <c r="G6" s="3022"/>
      <c r="H6" s="217" t="s">
        <v>546</v>
      </c>
      <c r="I6" s="217" t="s">
        <v>547</v>
      </c>
    </row>
    <row r="7" spans="1:13" ht="30" customHeight="1">
      <c r="A7" s="3034"/>
      <c r="B7" s="3034"/>
      <c r="C7" s="946" t="s">
        <v>554</v>
      </c>
      <c r="D7" s="914" t="s">
        <v>554</v>
      </c>
      <c r="E7" s="200" t="s">
        <v>1344</v>
      </c>
      <c r="F7" s="651" t="s">
        <v>281</v>
      </c>
      <c r="G7" s="651" t="s">
        <v>544</v>
      </c>
      <c r="H7" s="200" t="s">
        <v>1335</v>
      </c>
      <c r="I7" s="651" t="s">
        <v>283</v>
      </c>
    </row>
    <row r="8" spans="1:13" ht="29">
      <c r="A8" s="718" t="s">
        <v>15</v>
      </c>
      <c r="B8" s="941" t="s">
        <v>1277</v>
      </c>
      <c r="C8" s="947">
        <v>24883.571855929327</v>
      </c>
      <c r="D8" s="820">
        <v>24188.227817767653</v>
      </c>
      <c r="E8" s="1344">
        <v>25310.196211863444</v>
      </c>
      <c r="F8" s="896">
        <f>'S4'!H14</f>
        <v>27604.006481911987</v>
      </c>
      <c r="G8" s="1346">
        <f>'S4'!I14</f>
        <v>27604.006481911987</v>
      </c>
      <c r="H8" s="1346">
        <f>'S4'!K14</f>
        <v>27398.300622483664</v>
      </c>
      <c r="I8" s="1346">
        <f>'S4'!L14</f>
        <v>27494.709943633785</v>
      </c>
    </row>
    <row r="9" spans="1:13" ht="17.25" customHeight="1">
      <c r="A9" s="718" t="s">
        <v>16</v>
      </c>
      <c r="B9" s="719" t="s">
        <v>234</v>
      </c>
      <c r="C9" s="947">
        <v>20795.201000000139</v>
      </c>
      <c r="D9" s="947">
        <v>21237.264024</v>
      </c>
      <c r="E9" s="1344">
        <v>22316</v>
      </c>
      <c r="F9" s="1345">
        <f>G9</f>
        <v>21903.081000000006</v>
      </c>
      <c r="G9" s="1346">
        <f>'F9'!N127</f>
        <v>21903.081000000006</v>
      </c>
      <c r="H9" s="1346">
        <f>'F9'!S127</f>
        <v>22028.439146115652</v>
      </c>
      <c r="I9" s="1346">
        <f>'F9'!X127</f>
        <v>22660.994932223985</v>
      </c>
    </row>
    <row r="10" spans="1:13" s="747" customFormat="1" ht="17.25" customHeight="1">
      <c r="A10" s="722" t="s">
        <v>17</v>
      </c>
      <c r="B10" s="719" t="s">
        <v>235</v>
      </c>
      <c r="C10" s="1349">
        <v>0.16429999999999997</v>
      </c>
      <c r="D10" s="822">
        <f>1-(D9/D8)</f>
        <v>0.122</v>
      </c>
      <c r="E10" s="1347">
        <f>'S4'!G11</f>
        <v>0.1183</v>
      </c>
      <c r="F10" s="1347">
        <f>'S4'!H11</f>
        <v>0.20652529137926451</v>
      </c>
      <c r="G10" s="1347">
        <f>'S4'!I11</f>
        <v>0.20652529137926451</v>
      </c>
      <c r="H10" s="1348">
        <v>0.19599250151892203</v>
      </c>
      <c r="I10" s="1348">
        <v>0.17580527386247308</v>
      </c>
    </row>
    <row r="11" spans="1:13" ht="17.25" customHeight="1">
      <c r="A11" s="718"/>
      <c r="B11" s="720"/>
      <c r="C11" s="947" t="s">
        <v>1392</v>
      </c>
      <c r="D11" s="823"/>
      <c r="E11" s="823"/>
      <c r="F11" s="665"/>
      <c r="G11" s="665"/>
      <c r="H11" s="665"/>
      <c r="I11" s="665"/>
    </row>
    <row r="12" spans="1:13" ht="17.25" customHeight="1">
      <c r="A12" s="718" t="s">
        <v>132</v>
      </c>
      <c r="B12" s="721" t="s">
        <v>18</v>
      </c>
      <c r="C12" s="947">
        <v>0</v>
      </c>
      <c r="D12" s="823"/>
      <c r="E12" s="823"/>
      <c r="F12" s="665"/>
      <c r="G12" s="665"/>
      <c r="H12" s="665"/>
      <c r="I12" s="665"/>
    </row>
    <row r="13" spans="1:13" ht="32.25" customHeight="1">
      <c r="A13" s="722" t="s">
        <v>19</v>
      </c>
      <c r="B13" s="723" t="s">
        <v>241</v>
      </c>
      <c r="C13" s="947">
        <v>11132.08</v>
      </c>
      <c r="D13" s="947">
        <v>11782.09</v>
      </c>
      <c r="E13" s="947">
        <v>13588.44</v>
      </c>
      <c r="F13" s="724">
        <f>'S1'!D7</f>
        <v>11690.8567296</v>
      </c>
      <c r="G13" s="724">
        <f>'F10'!G273</f>
        <v>11690.8567296</v>
      </c>
      <c r="H13" s="724">
        <f>'F10'!I273</f>
        <v>13469.269785867667</v>
      </c>
      <c r="I13" s="724">
        <f>'F10'!J273</f>
        <v>13722.337048453945</v>
      </c>
    </row>
    <row r="14" spans="1:13" ht="17.25" customHeight="1">
      <c r="A14" s="725"/>
      <c r="B14" s="726" t="s">
        <v>787</v>
      </c>
      <c r="C14" s="1350">
        <v>11132.08</v>
      </c>
      <c r="D14" s="1350">
        <v>11782.09</v>
      </c>
      <c r="E14" s="1350">
        <v>13588.44</v>
      </c>
      <c r="F14" s="701">
        <f t="shared" ref="F14:I14" si="0">F13</f>
        <v>11690.8567296</v>
      </c>
      <c r="G14" s="701">
        <f t="shared" si="0"/>
        <v>11690.8567296</v>
      </c>
      <c r="H14" s="701">
        <f t="shared" si="0"/>
        <v>13469.269785867667</v>
      </c>
      <c r="I14" s="701">
        <f t="shared" si="0"/>
        <v>13722.337048453945</v>
      </c>
    </row>
    <row r="15" spans="1:13" ht="35.25" customHeight="1">
      <c r="A15" s="722"/>
      <c r="C15" s="947">
        <v>0</v>
      </c>
      <c r="D15" s="947">
        <v>0</v>
      </c>
      <c r="E15" s="947">
        <v>0</v>
      </c>
      <c r="F15" s="825"/>
      <c r="G15" s="825"/>
      <c r="H15" s="825"/>
      <c r="I15" s="825"/>
    </row>
    <row r="16" spans="1:13" ht="17.25" customHeight="1">
      <c r="A16" s="722" t="s">
        <v>58</v>
      </c>
      <c r="B16" s="721" t="s">
        <v>23</v>
      </c>
      <c r="C16" s="947">
        <v>0</v>
      </c>
      <c r="D16" s="947">
        <v>0</v>
      </c>
      <c r="E16" s="947">
        <v>0</v>
      </c>
      <c r="F16" s="727"/>
      <c r="G16" s="727"/>
      <c r="H16" s="727"/>
      <c r="I16" s="727"/>
    </row>
    <row r="17" spans="1:11" ht="17.25" customHeight="1">
      <c r="A17" s="722" t="s">
        <v>19</v>
      </c>
      <c r="B17" s="723" t="s">
        <v>239</v>
      </c>
      <c r="C17" s="947">
        <v>12237.31</v>
      </c>
      <c r="D17" s="947">
        <v>11696.09</v>
      </c>
      <c r="E17" s="947">
        <v>12815</v>
      </c>
      <c r="F17" s="724">
        <v>13340.509567667001</v>
      </c>
      <c r="G17" s="1061">
        <v>13340.509567667001</v>
      </c>
      <c r="H17" s="1061">
        <v>11832.767242374724</v>
      </c>
      <c r="I17" s="1061">
        <v>13062.663604052679</v>
      </c>
    </row>
    <row r="18" spans="1:11" s="658" customFormat="1" ht="34.9" customHeight="1">
      <c r="A18" s="722"/>
      <c r="B18" s="828" t="s">
        <v>1349</v>
      </c>
      <c r="C18" s="947">
        <v>0</v>
      </c>
      <c r="D18" s="947">
        <v>0</v>
      </c>
      <c r="E18" s="947">
        <v>0</v>
      </c>
      <c r="F18" s="724"/>
      <c r="G18" s="727"/>
      <c r="H18" s="727"/>
      <c r="I18" s="727"/>
    </row>
    <row r="19" spans="1:11" ht="17.25" customHeight="1">
      <c r="A19" s="722" t="s">
        <v>20</v>
      </c>
      <c r="B19" s="723" t="s">
        <v>240</v>
      </c>
      <c r="C19" s="947">
        <v>513.86</v>
      </c>
      <c r="D19" s="947">
        <v>938.34</v>
      </c>
      <c r="E19" s="947">
        <v>601.87</v>
      </c>
      <c r="F19" s="724">
        <v>756.15343919999998</v>
      </c>
      <c r="G19" s="727">
        <f>F19</f>
        <v>756.15343919999998</v>
      </c>
      <c r="H19" s="1061">
        <v>663.31285807032964</v>
      </c>
      <c r="I19" s="1061">
        <v>665.64692773537399</v>
      </c>
    </row>
    <row r="20" spans="1:11" ht="17.25" customHeight="1">
      <c r="A20" s="722" t="s">
        <v>21</v>
      </c>
      <c r="B20" s="723" t="s">
        <v>818</v>
      </c>
      <c r="C20" s="947">
        <v>0</v>
      </c>
      <c r="D20" s="947">
        <v>0</v>
      </c>
      <c r="E20" s="947">
        <v>0</v>
      </c>
      <c r="F20" s="727"/>
      <c r="G20" s="727"/>
      <c r="H20" s="727"/>
      <c r="I20" s="727"/>
    </row>
    <row r="21" spans="1:11" ht="17.25" customHeight="1">
      <c r="A21" s="722" t="s">
        <v>129</v>
      </c>
      <c r="B21" s="723" t="s">
        <v>1309</v>
      </c>
      <c r="C21" s="947">
        <v>773.34</v>
      </c>
      <c r="D21" s="947">
        <v>869.82</v>
      </c>
      <c r="E21" s="947">
        <v>540.11</v>
      </c>
      <c r="F21" s="1061">
        <f>'S1'!D19</f>
        <v>598.08955460000004</v>
      </c>
      <c r="G21" s="727">
        <f>F29C!J8</f>
        <v>895.64533633272515</v>
      </c>
      <c r="H21" s="1061">
        <f>F29C!L10</f>
        <v>1247.6793588586931</v>
      </c>
      <c r="I21" s="727">
        <f>F29C!M8</f>
        <v>961.84691751072876</v>
      </c>
    </row>
    <row r="22" spans="1:11" ht="17.25" customHeight="1">
      <c r="A22" s="722" t="s">
        <v>130</v>
      </c>
      <c r="B22" s="723" t="s">
        <v>1278</v>
      </c>
      <c r="C22" s="947">
        <v>288.33999999999997</v>
      </c>
      <c r="D22" s="947">
        <v>309.21379999999994</v>
      </c>
      <c r="E22" s="947">
        <v>351.53</v>
      </c>
      <c r="F22" s="1061">
        <f>'S1'!D14</f>
        <v>726.592264</v>
      </c>
      <c r="G22" s="727">
        <f>F29A!I11</f>
        <v>726.6938223782638</v>
      </c>
      <c r="H22" s="727">
        <f>F29A!K11</f>
        <v>770.28407794878331</v>
      </c>
      <c r="I22" s="727">
        <f>F29A!L11</f>
        <v>813.66292302987949</v>
      </c>
    </row>
    <row r="23" spans="1:11" ht="17.25" customHeight="1">
      <c r="A23" s="722" t="s">
        <v>133</v>
      </c>
      <c r="B23" s="723" t="s">
        <v>1279</v>
      </c>
      <c r="C23" s="947">
        <v>151.75</v>
      </c>
      <c r="D23" s="947">
        <v>164.93</v>
      </c>
      <c r="E23" s="947">
        <v>146.35</v>
      </c>
      <c r="F23" s="1061">
        <f>'S1'!D18</f>
        <v>538.68068319999998</v>
      </c>
      <c r="G23" s="826">
        <f>F29D!I11</f>
        <v>169.82489144011629</v>
      </c>
      <c r="H23" s="826">
        <f>F29D!K11</f>
        <v>173.92885271439735</v>
      </c>
      <c r="I23" s="826">
        <f>F29D!L11</f>
        <v>182.37748997510371</v>
      </c>
    </row>
    <row r="24" spans="1:11" ht="17.25" customHeight="1">
      <c r="A24" s="722"/>
      <c r="B24" s="723" t="s">
        <v>1280</v>
      </c>
      <c r="C24" s="947">
        <v>1213.43</v>
      </c>
      <c r="D24" s="947">
        <v>1343.9638</v>
      </c>
      <c r="E24" s="947">
        <v>1037.99</v>
      </c>
      <c r="F24" s="700">
        <f>F21+F22+F23</f>
        <v>1863.3625018</v>
      </c>
      <c r="G24" s="700">
        <f t="shared" ref="G24:I24" si="1">SUM(G21:G23)</f>
        <v>1792.1640501511054</v>
      </c>
      <c r="H24" s="700">
        <f t="shared" si="1"/>
        <v>2191.8922895218739</v>
      </c>
      <c r="I24" s="700">
        <f t="shared" si="1"/>
        <v>1957.8873305157122</v>
      </c>
      <c r="K24" s="1178"/>
    </row>
    <row r="25" spans="1:11" s="658" customFormat="1" ht="17.25" customHeight="1">
      <c r="A25" s="722"/>
      <c r="B25" s="828" t="s">
        <v>1350</v>
      </c>
      <c r="C25" s="947">
        <v>0</v>
      </c>
      <c r="D25" s="947">
        <v>0</v>
      </c>
      <c r="E25" s="947">
        <v>0</v>
      </c>
      <c r="F25" s="824"/>
      <c r="G25" s="824"/>
      <c r="H25" s="824"/>
      <c r="I25" s="824"/>
    </row>
    <row r="26" spans="1:11" s="658" customFormat="1" ht="17.25" customHeight="1">
      <c r="A26" s="722"/>
      <c r="B26" s="828" t="s">
        <v>1351</v>
      </c>
      <c r="C26" s="947">
        <v>0</v>
      </c>
      <c r="D26" s="947">
        <v>0</v>
      </c>
      <c r="E26" s="947">
        <v>0</v>
      </c>
      <c r="F26" s="824"/>
      <c r="G26" s="1285">
        <v>38.939091919199996</v>
      </c>
      <c r="H26" s="1285">
        <v>38.939091919199996</v>
      </c>
      <c r="I26" s="1285">
        <v>144.75518716319999</v>
      </c>
    </row>
    <row r="27" spans="1:11" s="658" customFormat="1" ht="17.25" customHeight="1">
      <c r="A27" s="722"/>
      <c r="B27" s="828" t="s">
        <v>1352</v>
      </c>
      <c r="C27" s="947">
        <v>0</v>
      </c>
      <c r="D27" s="947">
        <v>0</v>
      </c>
      <c r="E27" s="947">
        <v>0</v>
      </c>
      <c r="F27" s="1285">
        <v>0</v>
      </c>
      <c r="G27" s="824"/>
      <c r="H27" s="1285"/>
      <c r="I27" s="1285"/>
    </row>
    <row r="28" spans="1:11" ht="17.25" customHeight="1">
      <c r="A28" s="722" t="s">
        <v>24</v>
      </c>
      <c r="B28" s="723" t="s">
        <v>25</v>
      </c>
      <c r="C28" s="947">
        <v>312.58999999999997</v>
      </c>
      <c r="D28" s="947">
        <v>380.04</v>
      </c>
      <c r="E28" s="947">
        <v>317.8</v>
      </c>
      <c r="F28" s="827">
        <f>'S1'!D16</f>
        <v>814.82057529999997</v>
      </c>
      <c r="G28" s="825">
        <f>'F30'!C105</f>
        <v>802.73970049454192</v>
      </c>
      <c r="H28" s="1562">
        <f>'F30'!D105</f>
        <v>900.8171365948831</v>
      </c>
      <c r="I28" s="1562">
        <f>'F30'!E105</f>
        <v>986.25893648569877</v>
      </c>
    </row>
    <row r="29" spans="1:11" ht="17.25" customHeight="1">
      <c r="A29" s="722" t="s">
        <v>26</v>
      </c>
      <c r="B29" s="723" t="s">
        <v>1281</v>
      </c>
      <c r="C29" s="947">
        <v>285.53000000000003</v>
      </c>
      <c r="D29" s="947">
        <v>381.98</v>
      </c>
      <c r="E29" s="947">
        <v>181.95</v>
      </c>
      <c r="F29" s="728">
        <f>'F31'!D17</f>
        <v>195.9148426212426</v>
      </c>
      <c r="G29" s="724">
        <f>'F31'!E17-'F36'!J8</f>
        <v>617.18066101639647</v>
      </c>
      <c r="H29" s="935">
        <f>'F31'!H17-'F36'!L8</f>
        <v>562.92331991712695</v>
      </c>
      <c r="I29" s="935">
        <f>'F31'!I17-'F36'!M8</f>
        <v>578.4811138589489</v>
      </c>
    </row>
    <row r="30" spans="1:11" s="604" customFormat="1" ht="29">
      <c r="A30" s="722" t="s">
        <v>27</v>
      </c>
      <c r="B30" s="624" t="s">
        <v>858</v>
      </c>
      <c r="C30" s="947">
        <v>22.07</v>
      </c>
      <c r="D30" s="947">
        <v>24.25</v>
      </c>
      <c r="E30" s="947">
        <v>21.66</v>
      </c>
      <c r="F30" s="724">
        <f>'F38'!I115</f>
        <v>19.949393000000001</v>
      </c>
      <c r="G30" s="724">
        <f>'F38'!J115</f>
        <v>19.949393000000001</v>
      </c>
      <c r="H30" s="935">
        <f>'F38'!L115</f>
        <v>21.115857017217639</v>
      </c>
      <c r="I30" s="935">
        <f>'F38'!M115</f>
        <v>22.820794705819491</v>
      </c>
    </row>
    <row r="31" spans="1:11" s="658" customFormat="1" ht="14.5">
      <c r="A31" s="722"/>
      <c r="B31" s="828" t="s">
        <v>1353</v>
      </c>
      <c r="C31" s="947">
        <v>8.66</v>
      </c>
      <c r="D31" s="947">
        <v>8.4</v>
      </c>
      <c r="E31" s="947">
        <v>0</v>
      </c>
      <c r="F31" s="724">
        <v>66.749887700000002</v>
      </c>
      <c r="G31" s="724">
        <f>F31</f>
        <v>66.749887700000002</v>
      </c>
      <c r="H31" s="724">
        <v>66.749887700000002</v>
      </c>
      <c r="I31" s="724">
        <v>66.749887700000002</v>
      </c>
    </row>
    <row r="32" spans="1:11" ht="17.25" customHeight="1">
      <c r="A32" s="722" t="s">
        <v>28</v>
      </c>
      <c r="B32" s="723" t="s">
        <v>523</v>
      </c>
      <c r="C32" s="947">
        <v>218.35</v>
      </c>
      <c r="D32" s="947">
        <v>231.8888106</v>
      </c>
      <c r="E32" s="947">
        <v>142</v>
      </c>
      <c r="F32" s="727">
        <f>'F33'!I14</f>
        <v>1466.2709091787572</v>
      </c>
      <c r="G32" s="727">
        <f>'F33'!J14</f>
        <v>145.06998227826213</v>
      </c>
      <c r="H32" s="1061">
        <f>'F33'!L14</f>
        <v>190.67720755522134</v>
      </c>
      <c r="I32" s="1061">
        <f>'F33'!M14</f>
        <v>194.60098587743801</v>
      </c>
    </row>
    <row r="33" spans="1:9" ht="17.25" customHeight="1">
      <c r="A33" s="722" t="s">
        <v>30</v>
      </c>
      <c r="B33" s="723" t="s">
        <v>1285</v>
      </c>
      <c r="C33" s="947">
        <v>196.72</v>
      </c>
      <c r="D33" s="947">
        <v>164.6061</v>
      </c>
      <c r="E33" s="947">
        <v>242.2</v>
      </c>
      <c r="F33" s="727">
        <f>'S1'!D20</f>
        <v>175.26230000000001</v>
      </c>
      <c r="G33" s="727">
        <f>'F50'!E14</f>
        <v>175.26230000000001</v>
      </c>
      <c r="H33" s="727">
        <f>'F50'!F14</f>
        <v>269.38539571735333</v>
      </c>
      <c r="I33" s="727">
        <f>'F50'!G14</f>
        <v>274.44674096907892</v>
      </c>
    </row>
    <row r="34" spans="1:9" ht="17.25" customHeight="1">
      <c r="A34" s="722" t="s">
        <v>129</v>
      </c>
      <c r="B34" s="723" t="s">
        <v>29</v>
      </c>
      <c r="C34" s="947">
        <v>0</v>
      </c>
      <c r="D34" s="947">
        <v>0</v>
      </c>
      <c r="E34" s="947">
        <v>0</v>
      </c>
      <c r="F34" s="727"/>
      <c r="G34" s="727"/>
      <c r="H34" s="727"/>
      <c r="I34" s="727"/>
    </row>
    <row r="35" spans="1:9" ht="17.25" customHeight="1">
      <c r="A35" s="722" t="s">
        <v>136</v>
      </c>
      <c r="B35" s="723" t="s">
        <v>34</v>
      </c>
      <c r="C35" s="947">
        <v>383.39</v>
      </c>
      <c r="D35" s="947">
        <v>476.32319999999999</v>
      </c>
      <c r="E35" s="947">
        <v>449.81</v>
      </c>
      <c r="F35" s="727"/>
      <c r="G35" s="1061">
        <f ca="1">'F32'!J13</f>
        <v>573.82394105700007</v>
      </c>
      <c r="H35" s="1061">
        <f ca="1">'F32'!L13</f>
        <v>654.58750305223157</v>
      </c>
      <c r="I35" s="1061">
        <f ca="1">'F32'!M13</f>
        <v>727.67174627965994</v>
      </c>
    </row>
    <row r="36" spans="1:9" ht="17.25" customHeight="1">
      <c r="A36" s="722" t="s">
        <v>706</v>
      </c>
      <c r="B36" s="723" t="s">
        <v>134</v>
      </c>
      <c r="C36" s="947">
        <v>0</v>
      </c>
      <c r="D36" s="947">
        <v>0</v>
      </c>
      <c r="E36" s="947">
        <v>0</v>
      </c>
      <c r="F36" s="727"/>
      <c r="G36" s="727"/>
      <c r="H36" s="727"/>
      <c r="I36" s="727"/>
    </row>
    <row r="37" spans="1:9" s="657" customFormat="1" ht="17.25" customHeight="1">
      <c r="A37" s="725"/>
      <c r="B37" s="721" t="s">
        <v>786</v>
      </c>
      <c r="C37" s="1350">
        <v>15391.91</v>
      </c>
      <c r="D37" s="1350">
        <v>15645.881910600001</v>
      </c>
      <c r="E37" s="1350">
        <v>15810.28</v>
      </c>
      <c r="F37" s="701">
        <f>SUM(F17:F19,F24:F26,F28:F36)</f>
        <v>18698.993416466998</v>
      </c>
      <c r="G37" s="701">
        <f ca="1">SUM(G17:G19,G24:G36)</f>
        <v>18328.542014483501</v>
      </c>
      <c r="H37" s="701">
        <f t="shared" ref="H37:I37" ca="1" si="2">SUM(H17:H19,H24:H36)</f>
        <v>17393.167789440162</v>
      </c>
      <c r="I37" s="701">
        <f t="shared" ca="1" si="2"/>
        <v>18681.98325534361</v>
      </c>
    </row>
    <row r="38" spans="1:9" ht="17.25" customHeight="1">
      <c r="A38" s="722"/>
      <c r="B38" s="729"/>
      <c r="C38" s="947">
        <v>0</v>
      </c>
      <c r="D38" s="947">
        <v>0</v>
      </c>
      <c r="E38" s="947">
        <v>0</v>
      </c>
      <c r="F38" s="727"/>
      <c r="G38" s="727"/>
      <c r="H38" s="727"/>
      <c r="I38" s="727"/>
    </row>
    <row r="39" spans="1:9" ht="17.25" customHeight="1">
      <c r="A39" s="722" t="s">
        <v>67</v>
      </c>
      <c r="B39" s="721" t="s">
        <v>510</v>
      </c>
      <c r="C39" s="947">
        <v>0</v>
      </c>
      <c r="D39" s="947">
        <v>0</v>
      </c>
      <c r="E39" s="947">
        <v>0</v>
      </c>
      <c r="F39" s="727"/>
      <c r="G39" s="727"/>
      <c r="H39" s="727"/>
      <c r="I39" s="727"/>
    </row>
    <row r="40" spans="1:9" ht="17.25" customHeight="1">
      <c r="A40" s="722" t="s">
        <v>19</v>
      </c>
      <c r="B40" s="723" t="s">
        <v>131</v>
      </c>
      <c r="C40" s="947">
        <v>0</v>
      </c>
      <c r="D40" s="947">
        <v>0</v>
      </c>
      <c r="E40" s="947">
        <v>0</v>
      </c>
      <c r="F40" s="727"/>
      <c r="G40" s="727"/>
      <c r="H40" s="727"/>
      <c r="I40" s="727"/>
    </row>
    <row r="41" spans="1:9" ht="17.25" customHeight="1">
      <c r="A41" s="722" t="s">
        <v>20</v>
      </c>
      <c r="B41" s="723" t="s">
        <v>135</v>
      </c>
      <c r="C41" s="947">
        <v>307.20460000000003</v>
      </c>
      <c r="D41" s="947">
        <v>284.31</v>
      </c>
      <c r="E41" s="947">
        <v>13.14</v>
      </c>
      <c r="F41" s="727">
        <f>'F34'!I25</f>
        <v>130.60135339999999</v>
      </c>
      <c r="G41" s="727">
        <f>'F34'!J25</f>
        <v>90.04859802499999</v>
      </c>
      <c r="H41" s="727">
        <f>'F34'!L25</f>
        <v>28.901653399999987</v>
      </c>
      <c r="I41" s="727">
        <f>'F34'!M25</f>
        <v>28.901653399999987</v>
      </c>
    </row>
    <row r="42" spans="1:9" ht="17.25" customHeight="1">
      <c r="A42" s="722" t="s">
        <v>67</v>
      </c>
      <c r="B42" s="723" t="s">
        <v>506</v>
      </c>
      <c r="C42" s="947">
        <v>0.57153600000000004</v>
      </c>
      <c r="D42" s="947">
        <v>0.56999999999999995</v>
      </c>
      <c r="E42" s="947">
        <v>0.56999999999999995</v>
      </c>
      <c r="F42" s="727"/>
      <c r="G42" s="727"/>
      <c r="H42" s="727"/>
      <c r="I42" s="727"/>
    </row>
    <row r="43" spans="1:9" ht="17.25" customHeight="1">
      <c r="A43" s="725"/>
      <c r="B43" s="723" t="s">
        <v>785</v>
      </c>
      <c r="C43" s="947">
        <v>307.77613600000001</v>
      </c>
      <c r="D43" s="947">
        <v>284.88</v>
      </c>
      <c r="E43" s="947">
        <v>13.71</v>
      </c>
      <c r="F43" s="700">
        <f t="shared" ref="F43:I43" si="3">SUM(F40:F42)</f>
        <v>130.60135339999999</v>
      </c>
      <c r="G43" s="700">
        <f t="shared" si="3"/>
        <v>90.04859802499999</v>
      </c>
      <c r="H43" s="700">
        <f t="shared" si="3"/>
        <v>28.901653399999987</v>
      </c>
      <c r="I43" s="700">
        <f t="shared" si="3"/>
        <v>28.901653399999987</v>
      </c>
    </row>
    <row r="44" spans="1:9" ht="15.75" customHeight="1">
      <c r="A44" s="725" t="s">
        <v>68</v>
      </c>
      <c r="B44" s="730" t="s">
        <v>236</v>
      </c>
      <c r="C44" s="1350">
        <v>15084.133863999999</v>
      </c>
      <c r="D44" s="1350">
        <v>15361.001910600002</v>
      </c>
      <c r="E44" s="1350">
        <v>15796.570000000002</v>
      </c>
      <c r="F44" s="701">
        <f t="shared" ref="F44:I44" si="4">F37-F43</f>
        <v>18568.392063066996</v>
      </c>
      <c r="G44" s="701">
        <f t="shared" ca="1" si="4"/>
        <v>18238.493416458499</v>
      </c>
      <c r="H44" s="701">
        <f t="shared" ca="1" si="4"/>
        <v>17364.266136040162</v>
      </c>
      <c r="I44" s="701">
        <f t="shared" ca="1" si="4"/>
        <v>18653.08160194361</v>
      </c>
    </row>
    <row r="45" spans="1:9" ht="16.5" customHeight="1">
      <c r="A45" s="731" t="s">
        <v>69</v>
      </c>
      <c r="B45" s="732" t="s">
        <v>237</v>
      </c>
      <c r="C45" s="947">
        <v>-3952.0538639999995</v>
      </c>
      <c r="D45" s="947">
        <v>-3578.9119106000016</v>
      </c>
      <c r="E45" s="947">
        <v>-2208.130000000001</v>
      </c>
      <c r="F45" s="700">
        <f t="shared" ref="F45:I45" si="5">F14-F44</f>
        <v>-6877.5353334669962</v>
      </c>
      <c r="G45" s="700">
        <f t="shared" ca="1" si="5"/>
        <v>-6547.6366868584992</v>
      </c>
      <c r="H45" s="700">
        <f t="shared" ca="1" si="5"/>
        <v>-3894.9963501724942</v>
      </c>
      <c r="I45" s="700">
        <f t="shared" ca="1" si="5"/>
        <v>-4930.7445534896651</v>
      </c>
    </row>
    <row r="46" spans="1:9" ht="17.25" customHeight="1">
      <c r="A46" s="731" t="s">
        <v>70</v>
      </c>
      <c r="B46" s="723" t="s">
        <v>503</v>
      </c>
      <c r="C46" s="947">
        <v>0</v>
      </c>
      <c r="D46" s="947">
        <v>0</v>
      </c>
      <c r="E46" s="947">
        <v>0</v>
      </c>
      <c r="F46" s="730"/>
      <c r="G46" s="730"/>
      <c r="H46" s="730"/>
      <c r="I46" s="730"/>
    </row>
    <row r="47" spans="1:9" ht="17.25" customHeight="1">
      <c r="A47" s="725" t="s">
        <v>138</v>
      </c>
      <c r="B47" s="701" t="s">
        <v>238</v>
      </c>
      <c r="C47" s="1350">
        <v>-3952.0538639999995</v>
      </c>
      <c r="D47" s="1350">
        <v>-3578.9119106000016</v>
      </c>
      <c r="E47" s="1350">
        <v>-2208.130000000001</v>
      </c>
      <c r="F47" s="701">
        <f t="shared" ref="F47:I47" si="6">F45+F46</f>
        <v>-6877.5353334669962</v>
      </c>
      <c r="G47" s="701">
        <f t="shared" ca="1" si="6"/>
        <v>-6547.6366868584992</v>
      </c>
      <c r="H47" s="701">
        <f t="shared" ca="1" si="6"/>
        <v>-3894.9963501724942</v>
      </c>
      <c r="I47" s="701">
        <f t="shared" ca="1" si="6"/>
        <v>-4930.7445534896651</v>
      </c>
    </row>
    <row r="48" spans="1:9" ht="17.25" customHeight="1">
      <c r="A48" s="731" t="s">
        <v>139</v>
      </c>
      <c r="B48" s="665" t="s">
        <v>504</v>
      </c>
      <c r="C48" s="947">
        <v>3376.16</v>
      </c>
      <c r="D48" s="947">
        <v>3289.09</v>
      </c>
      <c r="E48" s="947">
        <v>3324.8</v>
      </c>
      <c r="F48" s="947">
        <v>2454.2539000000002</v>
      </c>
      <c r="G48" s="947">
        <v>2454.2539000000002</v>
      </c>
      <c r="H48" s="947">
        <v>2982.910129337406</v>
      </c>
      <c r="I48" s="947">
        <v>3412.9922351703372</v>
      </c>
    </row>
    <row r="49" spans="1:9" s="658" customFormat="1" ht="17.25" customHeight="1">
      <c r="A49" s="831" t="s">
        <v>140</v>
      </c>
      <c r="B49" s="829" t="s">
        <v>1354</v>
      </c>
      <c r="C49" s="947">
        <v>0</v>
      </c>
      <c r="D49" s="947">
        <v>0</v>
      </c>
      <c r="E49" s="947">
        <v>0</v>
      </c>
      <c r="F49" s="727"/>
      <c r="G49" s="727"/>
      <c r="H49" s="727"/>
      <c r="I49" s="727"/>
    </row>
    <row r="50" spans="1:9" s="658" customFormat="1" ht="17.25" customHeight="1">
      <c r="A50" s="831"/>
      <c r="B50" s="829" t="s">
        <v>1393</v>
      </c>
      <c r="C50" s="947">
        <f>SUM(C48:C49)</f>
        <v>3376.16</v>
      </c>
      <c r="D50" s="947">
        <f t="shared" ref="D50:I50" si="7">SUM(D48:D49)</f>
        <v>3289.09</v>
      </c>
      <c r="E50" s="947">
        <f t="shared" si="7"/>
        <v>3324.8</v>
      </c>
      <c r="F50" s="947">
        <f t="shared" si="7"/>
        <v>2454.2539000000002</v>
      </c>
      <c r="G50" s="947">
        <f t="shared" si="7"/>
        <v>2454.2539000000002</v>
      </c>
      <c r="H50" s="947">
        <f t="shared" si="7"/>
        <v>2982.910129337406</v>
      </c>
      <c r="I50" s="947">
        <f t="shared" si="7"/>
        <v>3412.9922351703372</v>
      </c>
    </row>
    <row r="51" spans="1:9" ht="17.25" customHeight="1">
      <c r="A51" s="831" t="s">
        <v>220</v>
      </c>
      <c r="B51" s="830" t="s">
        <v>1564</v>
      </c>
      <c r="C51" s="1350">
        <v>-575.89386399999967</v>
      </c>
      <c r="D51" s="1350">
        <v>-289.8219106000015</v>
      </c>
      <c r="E51" s="1350">
        <v>1116.6699999999992</v>
      </c>
      <c r="F51" s="701">
        <f>F47+F48</f>
        <v>-4423.2814334669965</v>
      </c>
      <c r="G51" s="701">
        <f t="shared" ref="G51:I51" ca="1" si="8">G47+G48</f>
        <v>-4093.382786858499</v>
      </c>
      <c r="H51" s="701">
        <f t="shared" ca="1" si="8"/>
        <v>-912.08622083508817</v>
      </c>
      <c r="I51" s="701">
        <f t="shared" ca="1" si="8"/>
        <v>-1517.752318319328</v>
      </c>
    </row>
    <row r="52" spans="1:9" ht="17.25" customHeight="1">
      <c r="B52" s="278" t="s">
        <v>1331</v>
      </c>
      <c r="C52" s="948"/>
    </row>
    <row r="53" spans="1:9" ht="17.25" customHeight="1">
      <c r="C53" s="1178">
        <v>0</v>
      </c>
      <c r="D53" s="1178">
        <v>0</v>
      </c>
      <c r="E53" s="1178">
        <v>0</v>
      </c>
      <c r="F53" s="1178">
        <v>0</v>
      </c>
      <c r="G53" s="1178">
        <v>3.9443755907996092E-2</v>
      </c>
      <c r="H53" s="1178">
        <v>0</v>
      </c>
      <c r="I53" s="1178">
        <v>7.2759576141834259E-12</v>
      </c>
    </row>
    <row r="54" spans="1:9" ht="17.25" customHeight="1">
      <c r="C54"/>
      <c r="D54"/>
    </row>
    <row r="55" spans="1:9" ht="17.25" customHeight="1">
      <c r="C55"/>
      <c r="D55"/>
      <c r="E55" s="2"/>
      <c r="F55" s="2"/>
      <c r="G55" s="2"/>
    </row>
    <row r="56" spans="1:9" ht="17.25" customHeight="1">
      <c r="C56"/>
      <c r="D56"/>
    </row>
    <row r="57" spans="1:9" ht="17.25" customHeight="1">
      <c r="C57"/>
      <c r="D57"/>
    </row>
    <row r="58" spans="1:9" ht="17.25" customHeight="1">
      <c r="C58"/>
      <c r="D58"/>
    </row>
    <row r="59" spans="1:9" ht="17.25" customHeight="1">
      <c r="C59"/>
      <c r="D59"/>
    </row>
    <row r="60" spans="1:9" ht="17.25" customHeight="1">
      <c r="C60"/>
      <c r="D60"/>
    </row>
  </sheetData>
  <mergeCells count="8">
    <mergeCell ref="A1:B1"/>
    <mergeCell ref="E6:G6"/>
    <mergeCell ref="H4:I4"/>
    <mergeCell ref="E5:G5"/>
    <mergeCell ref="F4:G4"/>
    <mergeCell ref="B5:B7"/>
    <mergeCell ref="A5:A7"/>
    <mergeCell ref="C5:D5"/>
  </mergeCells>
  <printOptions horizontalCentered="1"/>
  <pageMargins left="0.19685039370078741" right="0.19685039370078741" top="0.19685039370078741" bottom="0.19685039370078741" header="0.19685039370078741" footer="0.19685039370078741"/>
  <pageSetup paperSize="9" scale="6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70" zoomScaleNormal="70" zoomScaleSheetLayoutView="70" workbookViewId="0">
      <pane xSplit="2" ySplit="7" topLeftCell="C40"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4.81640625" customWidth="1"/>
    <col min="2" max="2" width="39.453125" customWidth="1"/>
    <col min="3" max="3" width="12.7265625" style="365" customWidth="1"/>
    <col min="4" max="4" width="12.26953125" style="365" customWidth="1"/>
    <col min="5" max="5" width="12.1796875" style="365" customWidth="1"/>
    <col min="6" max="6" width="12.81640625" customWidth="1"/>
    <col min="7" max="7" width="14.26953125" customWidth="1"/>
    <col min="8" max="8" width="13.1796875" customWidth="1"/>
    <col min="9" max="9" width="9.1796875" bestFit="1" customWidth="1"/>
    <col min="10" max="10" width="8.26953125" bestFit="1" customWidth="1"/>
    <col min="11" max="11" width="13.1796875" style="251" customWidth="1"/>
    <col min="12" max="13" width="13.1796875" customWidth="1"/>
  </cols>
  <sheetData>
    <row r="1" spans="1:13" s="251" customFormat="1">
      <c r="A1" s="3314" t="s">
        <v>916</v>
      </c>
      <c r="B1" s="3314"/>
      <c r="C1" s="366"/>
      <c r="D1" s="366"/>
      <c r="E1" s="366"/>
    </row>
    <row r="2" spans="1:13">
      <c r="A2" s="3420" t="s">
        <v>1604</v>
      </c>
      <c r="B2" s="3420"/>
      <c r="C2" s="3420"/>
      <c r="D2" s="3420"/>
      <c r="E2" s="3420"/>
      <c r="F2" s="3420"/>
      <c r="G2" s="3420"/>
      <c r="H2" s="3420"/>
      <c r="I2" s="3420"/>
      <c r="J2" s="3420"/>
      <c r="K2" s="248"/>
    </row>
    <row r="3" spans="1:13">
      <c r="A3" s="574" t="s">
        <v>414</v>
      </c>
      <c r="B3" s="574"/>
      <c r="C3" s="574"/>
      <c r="D3" s="574"/>
      <c r="E3" s="574"/>
      <c r="F3" s="574"/>
      <c r="G3" s="574"/>
      <c r="H3" s="574"/>
      <c r="I3" s="3330"/>
      <c r="J3" s="3330"/>
      <c r="K3" s="256"/>
      <c r="L3" s="3330"/>
      <c r="M3" s="3330"/>
    </row>
    <row r="4" spans="1:13">
      <c r="A4" s="15"/>
      <c r="B4" s="15"/>
      <c r="C4" s="364"/>
      <c r="D4" s="364"/>
      <c r="E4" s="364"/>
      <c r="F4" s="15"/>
      <c r="G4" s="15"/>
      <c r="H4" s="15"/>
      <c r="I4" s="3356"/>
      <c r="J4" s="3356"/>
      <c r="K4" s="258"/>
      <c r="L4" s="992" t="s">
        <v>141</v>
      </c>
      <c r="M4" s="992"/>
    </row>
    <row r="5" spans="1:13" ht="18.75" customHeight="1">
      <c r="A5" s="2990" t="s">
        <v>117</v>
      </c>
      <c r="B5" s="2994" t="s">
        <v>14</v>
      </c>
      <c r="C5" s="3044" t="s">
        <v>803</v>
      </c>
      <c r="D5" s="3045"/>
      <c r="E5" s="3045"/>
      <c r="F5" s="3045"/>
      <c r="G5" s="3414"/>
      <c r="H5" s="3026" t="s">
        <v>542</v>
      </c>
      <c r="I5" s="3026"/>
      <c r="J5" s="3026"/>
      <c r="K5" s="3024" t="s">
        <v>550</v>
      </c>
      <c r="L5" s="3025"/>
      <c r="M5" s="922" t="s">
        <v>952</v>
      </c>
    </row>
    <row r="6" spans="1:13" ht="18.75" customHeight="1">
      <c r="A6" s="2990"/>
      <c r="B6" s="2994"/>
      <c r="C6" s="928" t="s">
        <v>557</v>
      </c>
      <c r="D6" s="929" t="s">
        <v>556</v>
      </c>
      <c r="E6" s="929" t="s">
        <v>555</v>
      </c>
      <c r="F6" s="929" t="s">
        <v>553</v>
      </c>
      <c r="G6" s="929" t="s">
        <v>551</v>
      </c>
      <c r="H6" s="3415" t="s">
        <v>545</v>
      </c>
      <c r="I6" s="3416"/>
      <c r="J6" s="3417"/>
      <c r="K6" s="3412" t="s">
        <v>546</v>
      </c>
      <c r="L6" s="3412"/>
      <c r="M6" s="923" t="s">
        <v>547</v>
      </c>
    </row>
    <row r="7" spans="1:13" ht="28.5" customHeight="1">
      <c r="A7" s="2990"/>
      <c r="B7" s="2994"/>
      <c r="C7" s="606" t="s">
        <v>281</v>
      </c>
      <c r="D7" s="973" t="s">
        <v>281</v>
      </c>
      <c r="E7" s="973" t="s">
        <v>281</v>
      </c>
      <c r="F7" s="973" t="s">
        <v>281</v>
      </c>
      <c r="G7" s="973" t="s">
        <v>281</v>
      </c>
      <c r="H7" s="196" t="s">
        <v>543</v>
      </c>
      <c r="I7" s="609" t="s">
        <v>281</v>
      </c>
      <c r="J7" s="609" t="s">
        <v>544</v>
      </c>
      <c r="K7" s="200" t="s">
        <v>543</v>
      </c>
      <c r="L7" s="200" t="s">
        <v>552</v>
      </c>
      <c r="M7" s="609" t="s">
        <v>283</v>
      </c>
    </row>
    <row r="8" spans="1:13" ht="18.75" customHeight="1">
      <c r="A8" s="7">
        <v>1</v>
      </c>
      <c r="B8" s="19" t="s">
        <v>2805</v>
      </c>
      <c r="C8" s="1013">
        <v>1.1827634</v>
      </c>
      <c r="D8" s="1013">
        <v>1.385</v>
      </c>
      <c r="E8" s="1013">
        <v>1.7949999999999999</v>
      </c>
      <c r="F8" s="1013">
        <v>2.2049000000000003</v>
      </c>
      <c r="G8" s="1013">
        <v>1.6421999999999999</v>
      </c>
      <c r="H8" s="1065"/>
      <c r="I8" s="934">
        <v>1.3571818</v>
      </c>
      <c r="J8" s="1065"/>
      <c r="K8" s="1065"/>
      <c r="L8" s="1065"/>
      <c r="M8" s="1065"/>
    </row>
    <row r="9" spans="1:13" ht="18.75" customHeight="1">
      <c r="A9" s="7">
        <f>A8+1</f>
        <v>2</v>
      </c>
      <c r="B9" s="19" t="s">
        <v>2806</v>
      </c>
      <c r="C9" s="732">
        <v>0.51885650000000005</v>
      </c>
      <c r="D9" s="732">
        <v>0.60680000000000001</v>
      </c>
      <c r="E9" s="732">
        <v>0.5534</v>
      </c>
      <c r="F9" s="732">
        <v>1.2139</v>
      </c>
      <c r="G9" s="732">
        <v>1.022</v>
      </c>
      <c r="H9" s="1065"/>
      <c r="I9" s="934">
        <v>1.0108211</v>
      </c>
      <c r="J9" s="1065"/>
      <c r="K9" s="1065"/>
      <c r="L9" s="1065"/>
      <c r="M9" s="1065"/>
    </row>
    <row r="10" spans="1:13" ht="18.75" customHeight="1">
      <c r="A10" s="7">
        <f t="shared" ref="A10:A38" si="0">A9+1</f>
        <v>3</v>
      </c>
      <c r="B10" s="19" t="s">
        <v>2807</v>
      </c>
      <c r="C10" s="732">
        <v>2.4587710999999999</v>
      </c>
      <c r="D10" s="732">
        <v>2.3635000000000002</v>
      </c>
      <c r="E10" s="732">
        <v>2.6581999999999999</v>
      </c>
      <c r="F10" s="732">
        <v>2.9601999999999999</v>
      </c>
      <c r="G10" s="732">
        <v>21.901799999999998</v>
      </c>
      <c r="H10" s="1065"/>
      <c r="I10" s="934">
        <v>7.4011854000000001</v>
      </c>
      <c r="J10" s="1065"/>
      <c r="K10" s="1065"/>
      <c r="L10" s="1065"/>
      <c r="M10" s="1065"/>
    </row>
    <row r="11" spans="1:13" ht="30.65" customHeight="1">
      <c r="A11" s="7">
        <f t="shared" si="0"/>
        <v>4</v>
      </c>
      <c r="B11" s="19" t="s">
        <v>2808</v>
      </c>
      <c r="C11" s="732">
        <v>0.15672340000000001</v>
      </c>
      <c r="D11" s="732">
        <v>9.3299999999999994E-2</v>
      </c>
      <c r="E11" s="732">
        <v>0.24410000000000001</v>
      </c>
      <c r="F11" s="732">
        <v>13.291700000000001</v>
      </c>
      <c r="G11" s="732">
        <v>3.6060000000000003</v>
      </c>
      <c r="H11" s="1065"/>
      <c r="I11" s="934">
        <v>0.74102009999999996</v>
      </c>
      <c r="J11" s="1065"/>
      <c r="K11" s="1065"/>
      <c r="L11" s="1065"/>
      <c r="M11" s="1065"/>
    </row>
    <row r="12" spans="1:13" ht="18.75" customHeight="1">
      <c r="A12" s="7">
        <f t="shared" si="0"/>
        <v>5</v>
      </c>
      <c r="B12" s="19" t="s">
        <v>2809</v>
      </c>
      <c r="C12" s="732">
        <v>0.3288953</v>
      </c>
      <c r="D12" s="732">
        <v>0.18740000000000001</v>
      </c>
      <c r="E12" s="732">
        <v>1.0898999999999999</v>
      </c>
      <c r="F12" s="732">
        <v>2.9785000000000004</v>
      </c>
      <c r="G12" s="732">
        <v>2.8001</v>
      </c>
      <c r="H12" s="1065"/>
      <c r="I12" s="934">
        <v>4.4000018599999997</v>
      </c>
      <c r="J12" s="1065"/>
      <c r="K12" s="1065"/>
      <c r="L12" s="1065"/>
      <c r="M12" s="1065"/>
    </row>
    <row r="13" spans="1:13" ht="18.75" customHeight="1">
      <c r="A13" s="7">
        <f t="shared" si="0"/>
        <v>6</v>
      </c>
      <c r="B13" s="19" t="s">
        <v>2810</v>
      </c>
      <c r="C13" s="732">
        <v>4.1029597999999998</v>
      </c>
      <c r="D13" s="732">
        <v>3.8441000000000001</v>
      </c>
      <c r="E13" s="732">
        <v>5.5824999999999996</v>
      </c>
      <c r="F13" s="732">
        <v>9.1082000000000001</v>
      </c>
      <c r="G13" s="732">
        <v>8.8140000000000001</v>
      </c>
      <c r="H13" s="1065"/>
      <c r="I13" s="934">
        <v>12.8792062</v>
      </c>
      <c r="J13" s="1065"/>
      <c r="K13" s="1065"/>
      <c r="L13" s="1065"/>
      <c r="M13" s="1065"/>
    </row>
    <row r="14" spans="1:13" ht="18.75" customHeight="1">
      <c r="A14" s="7">
        <f t="shared" si="0"/>
        <v>7</v>
      </c>
      <c r="B14" s="19" t="s">
        <v>2811</v>
      </c>
      <c r="C14" s="732">
        <v>3.0880315999999999</v>
      </c>
      <c r="D14" s="732">
        <v>3.5167000000000002</v>
      </c>
      <c r="E14" s="732">
        <v>7.9588999999999999</v>
      </c>
      <c r="F14" s="732">
        <v>10.998800000000001</v>
      </c>
      <c r="G14" s="732">
        <v>3.5760000000000001</v>
      </c>
      <c r="H14" s="1065"/>
      <c r="I14" s="934">
        <v>8.0296871000000003</v>
      </c>
      <c r="J14" s="1065"/>
      <c r="K14" s="1065"/>
      <c r="L14" s="1065"/>
      <c r="M14" s="1065"/>
    </row>
    <row r="15" spans="1:13" ht="18.75" customHeight="1">
      <c r="A15" s="7">
        <f t="shared" si="0"/>
        <v>8</v>
      </c>
      <c r="B15" s="19" t="s">
        <v>2812</v>
      </c>
      <c r="C15" s="732">
        <v>0</v>
      </c>
      <c r="D15" s="732">
        <v>0</v>
      </c>
      <c r="E15" s="732">
        <v>0</v>
      </c>
      <c r="F15" s="732">
        <v>1.8749</v>
      </c>
      <c r="G15" s="732">
        <v>0</v>
      </c>
      <c r="H15" s="1065"/>
      <c r="I15" s="934">
        <v>0</v>
      </c>
      <c r="J15" s="1065"/>
      <c r="K15" s="1065"/>
      <c r="L15" s="1065"/>
      <c r="M15" s="1065"/>
    </row>
    <row r="16" spans="1:13" ht="18.75" customHeight="1">
      <c r="A16" s="7">
        <f t="shared" si="0"/>
        <v>9</v>
      </c>
      <c r="B16" s="19" t="s">
        <v>2813</v>
      </c>
      <c r="C16" s="732">
        <v>5.0141600999999998</v>
      </c>
      <c r="D16" s="732">
        <v>5.4329999999999998</v>
      </c>
      <c r="E16" s="732">
        <v>3.7242999999999999</v>
      </c>
      <c r="F16" s="732">
        <v>3.6926000000000001</v>
      </c>
      <c r="G16" s="732">
        <v>4.9356999999999998</v>
      </c>
      <c r="H16" s="1065"/>
      <c r="I16" s="934">
        <v>4.7849879</v>
      </c>
      <c r="J16" s="1065"/>
      <c r="K16" s="1065"/>
      <c r="L16" s="1065"/>
      <c r="M16" s="1065"/>
    </row>
    <row r="17" spans="1:13" ht="18.75" customHeight="1">
      <c r="A17" s="7">
        <f t="shared" si="0"/>
        <v>10</v>
      </c>
      <c r="B17" s="19" t="s">
        <v>2814</v>
      </c>
      <c r="C17" s="732">
        <v>2.1664189</v>
      </c>
      <c r="D17" s="732">
        <v>0</v>
      </c>
      <c r="E17" s="732">
        <v>3.0954999999999999</v>
      </c>
      <c r="F17" s="732">
        <v>4.1374000000000004</v>
      </c>
      <c r="G17" s="732">
        <v>5.6755999999999993</v>
      </c>
      <c r="H17" s="1065"/>
      <c r="I17" s="934">
        <v>0.61775049999999998</v>
      </c>
      <c r="J17" s="1065"/>
      <c r="K17" s="1065"/>
      <c r="L17" s="1065"/>
      <c r="M17" s="1065"/>
    </row>
    <row r="18" spans="1:13" ht="18.75" customHeight="1">
      <c r="A18" s="7">
        <f t="shared" si="0"/>
        <v>11</v>
      </c>
      <c r="B18" s="19" t="s">
        <v>2815</v>
      </c>
      <c r="C18" s="732">
        <v>57.920587500000003</v>
      </c>
      <c r="D18" s="732">
        <v>106.4692</v>
      </c>
      <c r="E18" s="732">
        <v>245.327</v>
      </c>
      <c r="F18" s="732">
        <v>95.004300000000001</v>
      </c>
      <c r="G18" s="732">
        <v>162.4436</v>
      </c>
      <c r="H18" s="1065"/>
      <c r="I18" s="934">
        <v>302.56</v>
      </c>
      <c r="J18" s="1065"/>
      <c r="K18" s="1065"/>
      <c r="L18" s="1065"/>
      <c r="M18" s="1065"/>
    </row>
    <row r="19" spans="1:13" ht="28.15" customHeight="1">
      <c r="A19" s="7">
        <f t="shared" si="0"/>
        <v>12</v>
      </c>
      <c r="B19" s="19" t="s">
        <v>2816</v>
      </c>
      <c r="C19" s="732">
        <v>0</v>
      </c>
      <c r="D19" s="732">
        <v>0</v>
      </c>
      <c r="E19" s="732">
        <v>0</v>
      </c>
      <c r="F19" s="732">
        <v>0</v>
      </c>
      <c r="G19" s="732">
        <v>0</v>
      </c>
      <c r="H19" s="1065"/>
      <c r="I19" s="934">
        <v>0</v>
      </c>
      <c r="J19" s="1065"/>
      <c r="K19" s="1065"/>
      <c r="L19" s="1065"/>
      <c r="M19" s="1065"/>
    </row>
    <row r="20" spans="1:13" ht="18.75" customHeight="1">
      <c r="A20" s="7">
        <f t="shared" si="0"/>
        <v>13</v>
      </c>
      <c r="B20" s="19" t="s">
        <v>2817</v>
      </c>
      <c r="C20" s="732">
        <v>0</v>
      </c>
      <c r="D20" s="732">
        <v>0</v>
      </c>
      <c r="E20" s="732">
        <v>0</v>
      </c>
      <c r="F20" s="732">
        <v>0</v>
      </c>
      <c r="G20" s="732">
        <v>0</v>
      </c>
      <c r="H20" s="1065"/>
      <c r="I20" s="934">
        <v>0</v>
      </c>
      <c r="J20" s="1065"/>
      <c r="K20" s="1065"/>
      <c r="L20" s="1065"/>
      <c r="M20" s="1065"/>
    </row>
    <row r="21" spans="1:13" ht="17.5" customHeight="1">
      <c r="A21" s="7">
        <f t="shared" si="0"/>
        <v>14</v>
      </c>
      <c r="B21" s="19" t="s">
        <v>2818</v>
      </c>
      <c r="C21" s="732">
        <v>27.855893999999999</v>
      </c>
      <c r="D21" s="732">
        <v>24.585900000000002</v>
      </c>
      <c r="E21" s="732">
        <v>42.926899999999996</v>
      </c>
      <c r="F21" s="732">
        <v>55.037399999999998</v>
      </c>
      <c r="G21" s="732">
        <v>54.652000000000001</v>
      </c>
      <c r="H21" s="1065"/>
      <c r="I21" s="934">
        <v>49.672843200000003</v>
      </c>
      <c r="J21" s="1065"/>
      <c r="K21" s="1065"/>
      <c r="L21" s="1065"/>
      <c r="M21" s="1065"/>
    </row>
    <row r="22" spans="1:13" ht="18.75" customHeight="1">
      <c r="A22" s="7">
        <f t="shared" si="0"/>
        <v>15</v>
      </c>
      <c r="B22" s="19" t="s">
        <v>2819</v>
      </c>
      <c r="C22" s="732">
        <v>1.7274484000000001</v>
      </c>
      <c r="D22" s="732">
        <v>2.7576999999999998</v>
      </c>
      <c r="E22" s="732">
        <v>1.8297999999999999</v>
      </c>
      <c r="F22" s="732">
        <v>7.3594000000000008</v>
      </c>
      <c r="G22" s="732">
        <v>3.2063000000000001</v>
      </c>
      <c r="H22" s="1065"/>
      <c r="I22" s="934">
        <v>1.9125586999999999</v>
      </c>
      <c r="J22" s="1065"/>
      <c r="K22" s="1065"/>
      <c r="L22" s="1065"/>
      <c r="M22" s="1065"/>
    </row>
    <row r="23" spans="1:13" ht="30" customHeight="1">
      <c r="A23" s="7">
        <f t="shared" si="0"/>
        <v>16</v>
      </c>
      <c r="B23" s="19" t="s">
        <v>2820</v>
      </c>
      <c r="C23" s="732">
        <v>0.77224859999999995</v>
      </c>
      <c r="D23" s="732">
        <v>1.0322</v>
      </c>
      <c r="E23" s="732">
        <v>1.9</v>
      </c>
      <c r="F23" s="732">
        <v>0</v>
      </c>
      <c r="G23" s="732">
        <v>1.2351000000000001</v>
      </c>
      <c r="H23" s="1266"/>
      <c r="I23" s="934">
        <v>0.70992540000000004</v>
      </c>
      <c r="J23" s="1266"/>
      <c r="K23" s="1266"/>
      <c r="L23" s="1266"/>
      <c r="M23" s="1266"/>
    </row>
    <row r="24" spans="1:13" ht="18.75" customHeight="1">
      <c r="A24" s="7">
        <f t="shared" si="0"/>
        <v>17</v>
      </c>
      <c r="B24" s="19" t="s">
        <v>2821</v>
      </c>
      <c r="C24" s="732">
        <v>0</v>
      </c>
      <c r="D24" s="732">
        <v>0</v>
      </c>
      <c r="E24" s="732">
        <v>0</v>
      </c>
      <c r="F24" s="732">
        <v>0</v>
      </c>
      <c r="G24" s="732">
        <v>0</v>
      </c>
      <c r="H24" s="1267"/>
      <c r="I24" s="934">
        <v>0</v>
      </c>
      <c r="J24" s="1267"/>
      <c r="K24" s="1267"/>
      <c r="L24" s="1267"/>
      <c r="M24" s="1267"/>
    </row>
    <row r="25" spans="1:13" ht="18.75" customHeight="1">
      <c r="A25" s="7">
        <f t="shared" si="0"/>
        <v>18</v>
      </c>
      <c r="B25" s="19" t="s">
        <v>2822</v>
      </c>
      <c r="C25" s="732">
        <v>0</v>
      </c>
      <c r="D25" s="732">
        <v>2.8519999999999999</v>
      </c>
      <c r="E25" s="732">
        <v>0</v>
      </c>
      <c r="F25" s="732">
        <v>0</v>
      </c>
      <c r="G25" s="732">
        <v>0</v>
      </c>
      <c r="H25" s="1267"/>
      <c r="I25" s="934">
        <v>0</v>
      </c>
      <c r="J25" s="1267"/>
      <c r="K25" s="1267"/>
      <c r="L25" s="1267"/>
      <c r="M25" s="1267"/>
    </row>
    <row r="26" spans="1:13" ht="18.75" customHeight="1">
      <c r="A26" s="7">
        <f t="shared" si="0"/>
        <v>19</v>
      </c>
      <c r="B26" s="19" t="s">
        <v>2823</v>
      </c>
      <c r="C26" s="732">
        <v>0</v>
      </c>
      <c r="D26" s="732">
        <v>0</v>
      </c>
      <c r="E26" s="732">
        <v>0</v>
      </c>
      <c r="F26" s="732">
        <v>0</v>
      </c>
      <c r="G26" s="732">
        <v>0</v>
      </c>
      <c r="H26" s="1268"/>
      <c r="I26" s="934">
        <v>0</v>
      </c>
      <c r="J26" s="1266"/>
      <c r="K26" s="1266"/>
      <c r="L26" s="1266"/>
      <c r="M26" s="1266"/>
    </row>
    <row r="27" spans="1:13" ht="18.75" customHeight="1">
      <c r="A27" s="7">
        <f t="shared" si="0"/>
        <v>20</v>
      </c>
      <c r="B27" s="19" t="s">
        <v>2824</v>
      </c>
      <c r="C27" s="732">
        <v>0</v>
      </c>
      <c r="D27" s="732">
        <v>0</v>
      </c>
      <c r="E27" s="732">
        <v>0</v>
      </c>
      <c r="F27" s="732">
        <v>0</v>
      </c>
      <c r="G27" s="732">
        <v>0</v>
      </c>
      <c r="H27" s="1267"/>
      <c r="I27" s="934">
        <v>0</v>
      </c>
      <c r="J27" s="1267"/>
      <c r="K27" s="1267"/>
      <c r="L27" s="1267"/>
      <c r="M27" s="1267"/>
    </row>
    <row r="28" spans="1:13" ht="18.75" customHeight="1">
      <c r="A28" s="7">
        <f t="shared" si="0"/>
        <v>21</v>
      </c>
      <c r="B28" s="19" t="s">
        <v>2825</v>
      </c>
      <c r="C28" s="732">
        <v>0</v>
      </c>
      <c r="D28" s="732">
        <v>0</v>
      </c>
      <c r="E28" s="732">
        <v>0</v>
      </c>
      <c r="F28" s="732">
        <v>0</v>
      </c>
      <c r="G28" s="732">
        <v>0</v>
      </c>
      <c r="H28" s="1268"/>
      <c r="I28" s="934">
        <v>0</v>
      </c>
      <c r="J28" s="1266"/>
      <c r="K28" s="1266"/>
      <c r="L28" s="1266"/>
      <c r="M28" s="1266"/>
    </row>
    <row r="29" spans="1:13" ht="18.75" customHeight="1">
      <c r="A29" s="7">
        <f t="shared" si="0"/>
        <v>22</v>
      </c>
      <c r="B29" s="19" t="s">
        <v>2826</v>
      </c>
      <c r="C29" s="732">
        <v>0</v>
      </c>
      <c r="D29" s="732">
        <v>0</v>
      </c>
      <c r="E29" s="732">
        <v>0</v>
      </c>
      <c r="F29" s="732">
        <v>0</v>
      </c>
      <c r="G29" s="732">
        <v>0</v>
      </c>
      <c r="H29" s="1269"/>
      <c r="I29" s="934">
        <v>0</v>
      </c>
      <c r="J29" s="1266"/>
      <c r="K29" s="1266"/>
      <c r="L29" s="1266"/>
      <c r="M29" s="1266"/>
    </row>
    <row r="30" spans="1:13" ht="18.75" customHeight="1">
      <c r="A30" s="7">
        <f t="shared" si="0"/>
        <v>23</v>
      </c>
      <c r="B30" s="19" t="s">
        <v>2827</v>
      </c>
      <c r="C30" s="732">
        <v>4.9106799999999999E-2</v>
      </c>
      <c r="D30" s="732">
        <v>6.6000000000000003E-2</v>
      </c>
      <c r="E30" s="732">
        <v>5.91E-2</v>
      </c>
      <c r="F30" s="732">
        <v>0.57430000000000003</v>
      </c>
      <c r="G30" s="732">
        <v>0.6923999999999999</v>
      </c>
      <c r="H30" s="1269"/>
      <c r="I30" s="934">
        <v>0.17878060000000001</v>
      </c>
      <c r="J30" s="1266"/>
      <c r="K30" s="1266"/>
      <c r="L30" s="1266"/>
      <c r="M30" s="1266"/>
    </row>
    <row r="31" spans="1:13" ht="18.75" customHeight="1">
      <c r="A31" s="7">
        <f t="shared" si="0"/>
        <v>24</v>
      </c>
      <c r="B31" s="19" t="s">
        <v>2828</v>
      </c>
      <c r="C31" s="732">
        <v>11.9501577</v>
      </c>
      <c r="D31" s="732">
        <v>26.3308</v>
      </c>
      <c r="E31" s="732">
        <v>25.289000000000001</v>
      </c>
      <c r="F31" s="732">
        <v>75.613399999999999</v>
      </c>
      <c r="G31" s="732">
        <v>175.5361</v>
      </c>
      <c r="H31" s="1269"/>
      <c r="I31" s="934">
        <v>130.82541000000001</v>
      </c>
      <c r="J31" s="1266"/>
      <c r="K31" s="1266"/>
      <c r="L31" s="1266"/>
      <c r="M31" s="1266"/>
    </row>
    <row r="32" spans="1:13" ht="28.9" customHeight="1">
      <c r="A32" s="7">
        <f t="shared" si="0"/>
        <v>25</v>
      </c>
      <c r="B32" s="19" t="s">
        <v>2829</v>
      </c>
      <c r="C32" s="732">
        <v>1.0265036999999999</v>
      </c>
      <c r="D32" s="732">
        <v>0.9889</v>
      </c>
      <c r="E32" s="732">
        <v>3.5377999999999998</v>
      </c>
      <c r="F32" s="732">
        <v>7.0228000000000002</v>
      </c>
      <c r="G32" s="732">
        <v>7.9944000000000006</v>
      </c>
      <c r="H32" s="1266"/>
      <c r="I32" s="934">
        <v>11.582296599999999</v>
      </c>
      <c r="J32" s="1266"/>
      <c r="K32" s="1266"/>
      <c r="L32" s="1266"/>
      <c r="M32" s="1266"/>
    </row>
    <row r="33" spans="1:13" ht="18" customHeight="1">
      <c r="A33" s="7">
        <f t="shared" si="0"/>
        <v>26</v>
      </c>
      <c r="B33" s="19" t="s">
        <v>2830</v>
      </c>
      <c r="C33" s="732">
        <v>0</v>
      </c>
      <c r="D33" s="732">
        <v>0</v>
      </c>
      <c r="E33" s="732">
        <v>0</v>
      </c>
      <c r="F33" s="732">
        <v>0</v>
      </c>
      <c r="G33" s="732">
        <v>0</v>
      </c>
      <c r="H33" s="1266"/>
      <c r="I33" s="934">
        <v>0</v>
      </c>
      <c r="J33" s="1266"/>
      <c r="K33" s="1266"/>
      <c r="L33" s="1266"/>
      <c r="M33" s="1266"/>
    </row>
    <row r="34" spans="1:13" ht="18.75" customHeight="1">
      <c r="A34" s="7">
        <f t="shared" si="0"/>
        <v>27</v>
      </c>
      <c r="B34" s="19">
        <v>0</v>
      </c>
      <c r="C34" s="732">
        <v>0</v>
      </c>
      <c r="D34" s="732">
        <v>0</v>
      </c>
      <c r="E34" s="732">
        <v>0</v>
      </c>
      <c r="F34" s="732">
        <v>0</v>
      </c>
      <c r="G34" s="732">
        <v>0</v>
      </c>
      <c r="H34" s="1266"/>
      <c r="I34" s="934">
        <v>0</v>
      </c>
      <c r="J34" s="1266"/>
      <c r="K34" s="1266"/>
      <c r="L34" s="1266"/>
      <c r="M34" s="1266"/>
    </row>
    <row r="35" spans="1:13" ht="18.75" customHeight="1">
      <c r="A35" s="7">
        <f t="shared" si="0"/>
        <v>28</v>
      </c>
      <c r="B35" s="19">
        <v>0</v>
      </c>
      <c r="C35" s="732">
        <v>0</v>
      </c>
      <c r="D35" s="732">
        <v>0</v>
      </c>
      <c r="E35" s="732">
        <v>0</v>
      </c>
      <c r="F35" s="732">
        <v>0</v>
      </c>
      <c r="G35" s="732">
        <v>0</v>
      </c>
      <c r="H35" s="1266"/>
      <c r="I35" s="934">
        <v>0</v>
      </c>
      <c r="J35" s="1266"/>
      <c r="K35" s="1266"/>
      <c r="L35" s="1266"/>
      <c r="M35" s="1266"/>
    </row>
    <row r="36" spans="1:13" ht="18.75" customHeight="1">
      <c r="A36" s="7">
        <f t="shared" si="0"/>
        <v>29</v>
      </c>
      <c r="B36" s="19">
        <v>0</v>
      </c>
      <c r="C36" s="732">
        <v>0</v>
      </c>
      <c r="D36" s="732">
        <v>0</v>
      </c>
      <c r="E36" s="732">
        <v>0</v>
      </c>
      <c r="F36" s="732">
        <v>0</v>
      </c>
      <c r="G36" s="732">
        <v>0</v>
      </c>
      <c r="H36" s="1266"/>
      <c r="I36" s="934">
        <v>0</v>
      </c>
      <c r="J36" s="1266"/>
      <c r="K36" s="1266"/>
      <c r="L36" s="1266"/>
      <c r="M36" s="1266"/>
    </row>
    <row r="37" spans="1:13" ht="18.75" customHeight="1">
      <c r="A37" s="7">
        <f t="shared" si="0"/>
        <v>30</v>
      </c>
      <c r="B37" s="19">
        <v>0</v>
      </c>
      <c r="C37" s="732">
        <v>0</v>
      </c>
      <c r="D37" s="732">
        <v>0</v>
      </c>
      <c r="E37" s="732">
        <v>0</v>
      </c>
      <c r="F37" s="732">
        <v>0</v>
      </c>
      <c r="G37" s="732">
        <v>0</v>
      </c>
      <c r="H37" s="1266"/>
      <c r="I37" s="934">
        <v>0</v>
      </c>
      <c r="J37" s="1266"/>
      <c r="K37" s="1266"/>
      <c r="L37" s="1266"/>
      <c r="M37" s="1266"/>
    </row>
    <row r="38" spans="1:13" ht="18.75" customHeight="1">
      <c r="A38" s="7">
        <f t="shared" si="0"/>
        <v>31</v>
      </c>
      <c r="B38" s="19">
        <v>0</v>
      </c>
      <c r="C38" s="732">
        <v>0</v>
      </c>
      <c r="D38" s="732">
        <v>0</v>
      </c>
      <c r="E38" s="732">
        <v>0</v>
      </c>
      <c r="F38" s="732">
        <v>0</v>
      </c>
      <c r="G38" s="732">
        <v>0</v>
      </c>
      <c r="H38" s="1266"/>
      <c r="I38" s="934">
        <v>0</v>
      </c>
      <c r="J38" s="1266"/>
      <c r="K38" s="1266"/>
      <c r="L38" s="1266"/>
      <c r="M38" s="1266"/>
    </row>
    <row r="39" spans="1:13" s="365" customFormat="1">
      <c r="A39" s="253">
        <v>32</v>
      </c>
      <c r="B39" s="19">
        <v>0</v>
      </c>
      <c r="C39" s="732">
        <v>0</v>
      </c>
      <c r="D39" s="732">
        <v>0</v>
      </c>
      <c r="E39" s="732">
        <v>0</v>
      </c>
      <c r="F39" s="732">
        <v>0</v>
      </c>
      <c r="G39" s="732">
        <v>0</v>
      </c>
      <c r="H39" s="1266"/>
      <c r="I39" s="934">
        <v>0</v>
      </c>
      <c r="J39" s="1266"/>
      <c r="K39" s="1266"/>
      <c r="L39" s="1266"/>
      <c r="M39" s="1266"/>
    </row>
    <row r="40" spans="1:13" s="974" customFormat="1">
      <c r="A40" s="253"/>
      <c r="B40" s="19">
        <v>0</v>
      </c>
      <c r="C40" s="732">
        <v>0</v>
      </c>
      <c r="D40" s="732">
        <v>0</v>
      </c>
      <c r="E40" s="732">
        <v>0</v>
      </c>
      <c r="F40" s="732">
        <v>0</v>
      </c>
      <c r="G40" s="732">
        <v>0</v>
      </c>
      <c r="H40" s="1266"/>
      <c r="I40" s="934">
        <v>0</v>
      </c>
      <c r="J40" s="1266"/>
      <c r="K40" s="1266"/>
      <c r="L40" s="1266"/>
      <c r="M40" s="1266"/>
    </row>
    <row r="41" spans="1:13" s="974" customFormat="1">
      <c r="A41" s="253"/>
      <c r="B41" s="19">
        <v>0</v>
      </c>
      <c r="C41" s="732">
        <v>0</v>
      </c>
      <c r="D41" s="732">
        <v>0</v>
      </c>
      <c r="E41" s="732">
        <v>0</v>
      </c>
      <c r="F41" s="732">
        <v>0</v>
      </c>
      <c r="G41" s="732">
        <v>0</v>
      </c>
      <c r="H41" s="1266"/>
      <c r="I41" s="934">
        <v>0</v>
      </c>
      <c r="J41" s="1266"/>
      <c r="K41" s="1266"/>
      <c r="L41" s="1266"/>
      <c r="M41" s="1266"/>
    </row>
    <row r="42" spans="1:13" s="974" customFormat="1">
      <c r="A42" s="253"/>
      <c r="B42" s="19">
        <v>0</v>
      </c>
      <c r="C42" s="732">
        <v>0</v>
      </c>
      <c r="D42" s="732">
        <v>0</v>
      </c>
      <c r="E42" s="732">
        <v>0</v>
      </c>
      <c r="F42" s="732">
        <v>0</v>
      </c>
      <c r="G42" s="732">
        <v>0</v>
      </c>
      <c r="H42" s="1266"/>
      <c r="I42" s="934">
        <v>0</v>
      </c>
      <c r="J42" s="1266"/>
      <c r="K42" s="1266"/>
      <c r="L42" s="1266"/>
      <c r="M42" s="1266"/>
    </row>
    <row r="43" spans="1:13" s="974" customFormat="1">
      <c r="A43" s="253"/>
      <c r="B43" s="19">
        <v>0</v>
      </c>
      <c r="C43" s="732">
        <v>0</v>
      </c>
      <c r="D43" s="732">
        <v>0</v>
      </c>
      <c r="E43" s="732">
        <v>0</v>
      </c>
      <c r="F43" s="732">
        <v>0</v>
      </c>
      <c r="G43" s="732">
        <v>0</v>
      </c>
      <c r="H43" s="1266"/>
      <c r="I43" s="934">
        <v>0</v>
      </c>
      <c r="J43" s="1266"/>
      <c r="K43" s="1266"/>
      <c r="L43" s="1266"/>
      <c r="M43" s="1266"/>
    </row>
    <row r="44" spans="1:13" s="974" customFormat="1">
      <c r="A44" s="253"/>
      <c r="B44" s="19">
        <v>0</v>
      </c>
      <c r="C44" s="732">
        <v>0</v>
      </c>
      <c r="D44" s="732">
        <v>0</v>
      </c>
      <c r="E44" s="732">
        <v>0</v>
      </c>
      <c r="F44" s="732">
        <v>0</v>
      </c>
      <c r="G44" s="732">
        <v>0</v>
      </c>
      <c r="H44" s="1266"/>
      <c r="I44" s="934">
        <v>0</v>
      </c>
      <c r="J44" s="1266"/>
      <c r="K44" s="1266"/>
      <c r="L44" s="1266"/>
      <c r="M44" s="1266"/>
    </row>
    <row r="45" spans="1:13" s="974" customFormat="1">
      <c r="A45" s="253"/>
      <c r="B45" s="19">
        <v>0</v>
      </c>
      <c r="C45" s="732">
        <v>0</v>
      </c>
      <c r="D45" s="732">
        <v>0</v>
      </c>
      <c r="E45" s="732">
        <v>0</v>
      </c>
      <c r="F45" s="732">
        <v>0</v>
      </c>
      <c r="G45" s="732">
        <v>0</v>
      </c>
      <c r="H45" s="1266"/>
      <c r="I45" s="934">
        <v>0</v>
      </c>
      <c r="J45" s="1266"/>
      <c r="K45" s="1266"/>
      <c r="L45" s="1266"/>
      <c r="M45" s="1266"/>
    </row>
    <row r="46" spans="1:13" ht="18.75" customHeight="1">
      <c r="A46" s="176"/>
      <c r="B46" s="175" t="s">
        <v>171</v>
      </c>
      <c r="C46" s="1014">
        <f>SUM(C8:C45)</f>
        <v>120.31952680000001</v>
      </c>
      <c r="D46" s="1014">
        <f t="shared" ref="D46:G46" si="1">SUM(D8:D45)</f>
        <v>182.51250000000002</v>
      </c>
      <c r="E46" s="1014">
        <f t="shared" si="1"/>
        <v>347.57139999999993</v>
      </c>
      <c r="F46" s="1014">
        <f t="shared" si="1"/>
        <v>293.0727</v>
      </c>
      <c r="G46" s="1014">
        <f t="shared" si="1"/>
        <v>459.73330000000004</v>
      </c>
      <c r="H46" s="1014">
        <v>146.35</v>
      </c>
      <c r="I46" s="1014">
        <f t="shared" ref="I46" si="2">SUM(I8:I45)</f>
        <v>538.66365645999986</v>
      </c>
      <c r="J46" s="1014">
        <f>F29D!I8</f>
        <v>169.82489144011629</v>
      </c>
      <c r="K46" s="1299">
        <v>160.86000000000001</v>
      </c>
      <c r="L46" s="1014">
        <f>F29D!K8</f>
        <v>173.92885271439735</v>
      </c>
      <c r="M46" s="1014">
        <f>F29D!L8</f>
        <v>182.37748997510371</v>
      </c>
    </row>
    <row r="47" spans="1:13" ht="18.75" customHeight="1">
      <c r="A47" s="176"/>
      <c r="B47" s="177" t="s">
        <v>172</v>
      </c>
      <c r="C47" s="1270">
        <f>'F36'!C12</f>
        <v>0</v>
      </c>
      <c r="D47" s="1270">
        <f>'F36'!D12</f>
        <v>0</v>
      </c>
      <c r="E47" s="1270">
        <f>'F36'!E12</f>
        <v>0</v>
      </c>
      <c r="F47" s="1270">
        <f>'F36'!F12</f>
        <v>0</v>
      </c>
      <c r="G47" s="1270">
        <f>'F36'!G12</f>
        <v>0</v>
      </c>
      <c r="H47" s="1270">
        <f>'F36'!H12</f>
        <v>0</v>
      </c>
      <c r="I47" s="1270">
        <f>'F36'!I12</f>
        <v>0</v>
      </c>
      <c r="J47" s="1270">
        <f>'F36'!J12</f>
        <v>0</v>
      </c>
      <c r="K47" s="1270">
        <f>'F36'!K12</f>
        <v>0</v>
      </c>
      <c r="L47" s="1270">
        <f>'F36'!L12</f>
        <v>0</v>
      </c>
      <c r="M47" s="1270">
        <f>'F36'!M12</f>
        <v>0</v>
      </c>
    </row>
    <row r="48" spans="1:13" ht="18.75" customHeight="1">
      <c r="A48" s="176"/>
      <c r="B48" s="175" t="s">
        <v>171</v>
      </c>
      <c r="C48" s="1014">
        <f>C46-C47</f>
        <v>120.31952680000001</v>
      </c>
      <c r="D48" s="1014">
        <f t="shared" ref="D48:M48" si="3">D46-D47</f>
        <v>182.51250000000002</v>
      </c>
      <c r="E48" s="1014">
        <f t="shared" si="3"/>
        <v>347.57139999999993</v>
      </c>
      <c r="F48" s="1014">
        <f t="shared" si="3"/>
        <v>293.0727</v>
      </c>
      <c r="G48" s="1014">
        <f t="shared" si="3"/>
        <v>459.73330000000004</v>
      </c>
      <c r="H48" s="1014">
        <f t="shared" si="3"/>
        <v>146.35</v>
      </c>
      <c r="I48" s="1014">
        <f t="shared" si="3"/>
        <v>538.66365645999986</v>
      </c>
      <c r="J48" s="1014">
        <f t="shared" si="3"/>
        <v>169.82489144011629</v>
      </c>
      <c r="K48" s="1014">
        <f t="shared" si="3"/>
        <v>160.86000000000001</v>
      </c>
      <c r="L48" s="1014">
        <f t="shared" si="3"/>
        <v>173.92885271439735</v>
      </c>
      <c r="M48" s="1014">
        <f t="shared" si="3"/>
        <v>182.37748997510371</v>
      </c>
    </row>
    <row r="49" spans="1:11">
      <c r="A49" s="178"/>
      <c r="B49" s="47"/>
      <c r="C49" s="47"/>
      <c r="D49" s="47"/>
      <c r="E49" s="47"/>
      <c r="F49" s="136"/>
      <c r="G49" s="137"/>
      <c r="H49" s="179"/>
      <c r="I49" s="179"/>
      <c r="J49" s="179"/>
      <c r="K49" s="179"/>
    </row>
    <row r="50" spans="1:11">
      <c r="A50" s="178"/>
      <c r="B50" s="47"/>
      <c r="C50" s="47"/>
      <c r="D50" s="47"/>
      <c r="E50" s="47"/>
      <c r="F50" s="47"/>
      <c r="G50" s="180"/>
      <c r="H50" s="178"/>
      <c r="I50" s="178"/>
      <c r="J50" s="178"/>
      <c r="K50" s="178"/>
    </row>
    <row r="51" spans="1:11">
      <c r="A51" s="178"/>
      <c r="B51" s="47"/>
      <c r="C51" s="47"/>
      <c r="D51" s="47"/>
      <c r="E51" s="47"/>
      <c r="F51" s="47"/>
      <c r="G51" s="180"/>
      <c r="H51" s="178"/>
    </row>
    <row r="52" spans="1:11">
      <c r="A52" s="178"/>
      <c r="B52" s="47"/>
      <c r="C52" s="47"/>
      <c r="D52" s="47"/>
      <c r="E52" s="47"/>
      <c r="F52" s="47"/>
      <c r="G52" s="180"/>
      <c r="H52" s="3327"/>
      <c r="I52" s="3327"/>
      <c r="J52" s="3327"/>
      <c r="K52" s="250"/>
    </row>
  </sheetData>
  <mergeCells count="13">
    <mergeCell ref="H52:J52"/>
    <mergeCell ref="A2:J2"/>
    <mergeCell ref="I4:J4"/>
    <mergeCell ref="A5:A7"/>
    <mergeCell ref="B5:B7"/>
    <mergeCell ref="H5:J5"/>
    <mergeCell ref="I3:J3"/>
    <mergeCell ref="C5:G5"/>
    <mergeCell ref="A1:B1"/>
    <mergeCell ref="H6:J6"/>
    <mergeCell ref="K5:L5"/>
    <mergeCell ref="K6:L6"/>
    <mergeCell ref="L3:M3"/>
  </mergeCells>
  <printOptions horizontalCentered="1"/>
  <pageMargins left="0.19685039370078741" right="0.19685039370078741" top="0.19685039370078741" bottom="0.19685039370078741" header="0.19685039370078741" footer="0.19685039370078741"/>
  <pageSetup paperSize="9" scale="62"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showGridLines="0" view="pageBreakPreview" topLeftCell="A100" zoomScaleNormal="100" zoomScaleSheetLayoutView="100" workbookViewId="0">
      <selection activeCell="C105" sqref="C105"/>
    </sheetView>
  </sheetViews>
  <sheetFormatPr defaultRowHeight="14.5"/>
  <cols>
    <col min="1" max="1" width="6.7265625" customWidth="1"/>
    <col min="2" max="2" width="37.1796875" customWidth="1"/>
    <col min="3" max="3" width="11.7265625" customWidth="1"/>
    <col min="4" max="4" width="12.81640625" customWidth="1"/>
    <col min="5" max="5" width="11.81640625" customWidth="1"/>
    <col min="6" max="6" width="11.1796875" customWidth="1"/>
    <col min="7" max="7" width="11.453125" customWidth="1"/>
    <col min="8" max="8" width="10.1796875" customWidth="1"/>
    <col min="9" max="9" width="10.54296875" customWidth="1"/>
    <col min="10" max="10" width="10.7265625" customWidth="1"/>
    <col min="11" max="11" width="13.26953125" customWidth="1"/>
    <col min="12" max="12" width="13.7265625" customWidth="1"/>
  </cols>
  <sheetData>
    <row r="1" spans="1:13">
      <c r="A1" s="877" t="s">
        <v>905</v>
      </c>
    </row>
    <row r="2" spans="1:13">
      <c r="A2" s="878" t="s">
        <v>1605</v>
      </c>
    </row>
    <row r="3" spans="1:13">
      <c r="A3" s="884" t="s">
        <v>32</v>
      </c>
      <c r="B3" s="885"/>
      <c r="C3" s="885"/>
      <c r="D3" s="885"/>
      <c r="E3" s="885"/>
      <c r="F3" s="885"/>
      <c r="G3" s="885"/>
      <c r="H3" s="885"/>
      <c r="I3" s="885"/>
      <c r="J3" s="885"/>
      <c r="K3" s="885"/>
      <c r="L3" s="885"/>
      <c r="M3" s="885"/>
    </row>
    <row r="4" spans="1:13">
      <c r="A4" s="702" t="s">
        <v>1607</v>
      </c>
    </row>
    <row r="5" spans="1:13">
      <c r="A5" s="703" t="s">
        <v>842</v>
      </c>
    </row>
    <row r="6" spans="1:13">
      <c r="A6" s="1198"/>
      <c r="B6" s="1198"/>
      <c r="C6" s="1198"/>
      <c r="D6" s="1198"/>
      <c r="E6" s="1198"/>
      <c r="F6" s="1198" t="s">
        <v>1608</v>
      </c>
      <c r="G6" s="1198"/>
      <c r="H6" s="1198"/>
      <c r="I6" s="1198"/>
      <c r="J6" s="1198"/>
      <c r="K6" s="1198"/>
      <c r="L6" s="1198"/>
      <c r="M6" s="1198"/>
    </row>
    <row r="7" spans="1:13" ht="58">
      <c r="A7" s="886" t="s">
        <v>1559</v>
      </c>
      <c r="B7" s="886" t="s">
        <v>765</v>
      </c>
      <c r="C7" s="881" t="s">
        <v>1565</v>
      </c>
      <c r="D7" s="881" t="s">
        <v>1566</v>
      </c>
      <c r="E7" s="881" t="s">
        <v>1378</v>
      </c>
      <c r="F7" s="881" t="s">
        <v>969</v>
      </c>
      <c r="G7" s="881"/>
      <c r="H7" s="881"/>
      <c r="I7" s="881"/>
      <c r="J7" s="881"/>
      <c r="K7" s="881" t="s">
        <v>1379</v>
      </c>
      <c r="L7" s="881" t="s">
        <v>1380</v>
      </c>
      <c r="M7" s="881" t="s">
        <v>1381</v>
      </c>
    </row>
    <row r="8" spans="1:13">
      <c r="A8" s="1199"/>
      <c r="B8" s="699" t="s">
        <v>1337</v>
      </c>
      <c r="C8" s="838">
        <v>0.98196907186821492</v>
      </c>
      <c r="D8" s="838">
        <v>0</v>
      </c>
      <c r="E8" s="838">
        <v>0</v>
      </c>
      <c r="F8" s="838">
        <v>0.98196907186821492</v>
      </c>
      <c r="G8" s="838">
        <v>0</v>
      </c>
      <c r="H8" s="838">
        <v>0</v>
      </c>
      <c r="I8" s="838">
        <v>0</v>
      </c>
      <c r="J8" s="698"/>
      <c r="K8" s="698">
        <f>AVERAGE(C8,F8)</f>
        <v>0.98196907186821492</v>
      </c>
      <c r="L8" s="882"/>
      <c r="M8" s="698">
        <f>K8*L8</f>
        <v>0</v>
      </c>
    </row>
    <row r="9" spans="1:13">
      <c r="A9" s="355">
        <v>1</v>
      </c>
      <c r="B9" s="295" t="s">
        <v>837</v>
      </c>
      <c r="C9" s="838">
        <v>194.46102728143856</v>
      </c>
      <c r="D9" s="838">
        <v>44.123807435103394</v>
      </c>
      <c r="E9" s="838">
        <v>6.2290000000000002E-3</v>
      </c>
      <c r="F9" s="838">
        <v>194.45479828143857</v>
      </c>
      <c r="G9" s="838">
        <v>0</v>
      </c>
      <c r="H9" s="838">
        <v>0</v>
      </c>
      <c r="I9" s="838">
        <v>0</v>
      </c>
      <c r="J9" s="698"/>
      <c r="K9" s="698">
        <f t="shared" ref="K9:K15" si="0">AVERAGE(C9,F9)</f>
        <v>194.45791278143855</v>
      </c>
      <c r="L9" s="1287">
        <v>3.3399999999999999E-2</v>
      </c>
      <c r="M9" s="883">
        <f>K9*L9</f>
        <v>6.4948942869000472</v>
      </c>
    </row>
    <row r="10" spans="1:13">
      <c r="A10" s="355">
        <f>A9+1</f>
        <v>2</v>
      </c>
      <c r="B10" s="295" t="s">
        <v>838</v>
      </c>
      <c r="C10" s="838">
        <v>0</v>
      </c>
      <c r="D10" s="838">
        <v>0</v>
      </c>
      <c r="E10" s="838">
        <v>0</v>
      </c>
      <c r="F10" s="838">
        <v>0</v>
      </c>
      <c r="G10" s="838">
        <v>0</v>
      </c>
      <c r="H10" s="838">
        <v>0</v>
      </c>
      <c r="I10" s="838">
        <v>0</v>
      </c>
      <c r="J10" s="698"/>
      <c r="K10" s="698">
        <f t="shared" si="0"/>
        <v>0</v>
      </c>
      <c r="L10" s="1287">
        <v>3.3399999999999999E-2</v>
      </c>
      <c r="M10" s="883">
        <f t="shared" ref="M10:M14" si="1">K10*L10</f>
        <v>0</v>
      </c>
    </row>
    <row r="11" spans="1:13">
      <c r="A11" s="355">
        <f>A10+1</f>
        <v>3</v>
      </c>
      <c r="B11" s="665" t="s">
        <v>1338</v>
      </c>
      <c r="C11" s="838">
        <v>9875.8832365227463</v>
      </c>
      <c r="D11" s="838">
        <v>2240.8683954406383</v>
      </c>
      <c r="E11" s="838">
        <v>719.80460410000001</v>
      </c>
      <c r="F11" s="838">
        <v>9156.0786324227465</v>
      </c>
      <c r="G11" s="838">
        <v>0</v>
      </c>
      <c r="H11" s="838">
        <v>0</v>
      </c>
      <c r="I11" s="838">
        <v>0</v>
      </c>
      <c r="J11" s="698"/>
      <c r="K11" s="698">
        <f t="shared" si="0"/>
        <v>9515.9809344727473</v>
      </c>
      <c r="L11" s="1287">
        <v>5.28E-2</v>
      </c>
      <c r="M11" s="883">
        <f t="shared" si="1"/>
        <v>502.44379334016105</v>
      </c>
    </row>
    <row r="12" spans="1:13">
      <c r="A12" s="355">
        <f>A11+1</f>
        <v>4</v>
      </c>
      <c r="B12" s="887" t="s">
        <v>1339</v>
      </c>
      <c r="C12" s="838">
        <v>7166.6774029419339</v>
      </c>
      <c r="D12" s="838">
        <v>1626.1412278731716</v>
      </c>
      <c r="E12" s="838">
        <v>8.4757037999999998</v>
      </c>
      <c r="F12" s="838">
        <v>7158.2016991419341</v>
      </c>
      <c r="G12" s="838">
        <v>0</v>
      </c>
      <c r="H12" s="838">
        <v>0</v>
      </c>
      <c r="I12" s="838">
        <v>0</v>
      </c>
      <c r="J12" s="698"/>
      <c r="K12" s="698">
        <f t="shared" si="0"/>
        <v>7162.4395510419345</v>
      </c>
      <c r="L12" s="1287">
        <v>5.28E-2</v>
      </c>
      <c r="M12" s="883">
        <f t="shared" si="1"/>
        <v>378.17680829501415</v>
      </c>
    </row>
    <row r="13" spans="1:13">
      <c r="A13" s="355">
        <f>A12+1</f>
        <v>5</v>
      </c>
      <c r="B13" s="295" t="s">
        <v>839</v>
      </c>
      <c r="C13" s="838">
        <v>1.4827991302672019</v>
      </c>
      <c r="D13" s="838">
        <v>0.33645170039217337</v>
      </c>
      <c r="E13" s="838">
        <v>0</v>
      </c>
      <c r="F13" s="838">
        <v>1.4827991302672019</v>
      </c>
      <c r="G13" s="838">
        <v>0</v>
      </c>
      <c r="H13" s="838">
        <v>0</v>
      </c>
      <c r="I13" s="838">
        <v>0</v>
      </c>
      <c r="J13" s="698"/>
      <c r="K13" s="698">
        <f t="shared" si="0"/>
        <v>1.4827991302672019</v>
      </c>
      <c r="L13" s="1287">
        <v>6.3299999999999995E-2</v>
      </c>
      <c r="M13" s="883">
        <f t="shared" si="1"/>
        <v>9.3861184945913875E-2</v>
      </c>
    </row>
    <row r="14" spans="1:13">
      <c r="A14" s="355">
        <f t="shared" ref="A14:A20" si="2">A13+1</f>
        <v>6</v>
      </c>
      <c r="B14" s="295" t="s">
        <v>840</v>
      </c>
      <c r="C14" s="838">
        <v>2.2637317126348204</v>
      </c>
      <c r="D14" s="838">
        <v>0.51364771424597777</v>
      </c>
      <c r="E14" s="838">
        <v>0</v>
      </c>
      <c r="F14" s="838">
        <v>2.2637317126348204</v>
      </c>
      <c r="G14" s="838">
        <v>0</v>
      </c>
      <c r="H14" s="838">
        <v>0</v>
      </c>
      <c r="I14" s="838">
        <v>0</v>
      </c>
      <c r="J14" s="698"/>
      <c r="K14" s="698">
        <f t="shared" si="0"/>
        <v>2.2637317126348204</v>
      </c>
      <c r="L14" s="1287">
        <v>6.3299999999999995E-2</v>
      </c>
      <c r="M14" s="883">
        <f t="shared" si="1"/>
        <v>0.14329421740978412</v>
      </c>
    </row>
    <row r="15" spans="1:13">
      <c r="A15" s="355">
        <f t="shared" si="2"/>
        <v>7</v>
      </c>
      <c r="B15" s="887" t="s">
        <v>841</v>
      </c>
      <c r="C15" s="838">
        <v>58.839833339113284</v>
      </c>
      <c r="D15" s="838">
        <v>13.350939836449296</v>
      </c>
      <c r="E15" s="838">
        <v>0</v>
      </c>
      <c r="F15" s="838">
        <v>58.839833339113284</v>
      </c>
      <c r="G15" s="838">
        <v>0</v>
      </c>
      <c r="H15" s="838">
        <v>0</v>
      </c>
      <c r="I15" s="838">
        <v>0</v>
      </c>
      <c r="J15" s="698"/>
      <c r="K15" s="698">
        <f t="shared" si="0"/>
        <v>58.839833339113284</v>
      </c>
      <c r="L15" s="1287">
        <v>6.3299999999999995E-2</v>
      </c>
      <c r="M15" s="883">
        <f>K15*L15</f>
        <v>3.7245614503658704</v>
      </c>
    </row>
    <row r="16" spans="1:13" ht="29">
      <c r="A16" s="355">
        <f t="shared" si="2"/>
        <v>8</v>
      </c>
      <c r="B16" s="888" t="s">
        <v>1382</v>
      </c>
      <c r="C16" s="838">
        <v>0</v>
      </c>
      <c r="D16" s="838">
        <v>0</v>
      </c>
      <c r="E16" s="838">
        <v>0</v>
      </c>
      <c r="F16" s="838">
        <v>0</v>
      </c>
      <c r="G16" s="838">
        <v>0</v>
      </c>
      <c r="H16" s="838">
        <v>0</v>
      </c>
      <c r="I16" s="838">
        <v>0</v>
      </c>
      <c r="J16" s="838"/>
      <c r="K16" s="698"/>
      <c r="L16" s="1287"/>
      <c r="M16" s="883"/>
    </row>
    <row r="17" spans="1:13">
      <c r="A17" s="355">
        <f t="shared" si="2"/>
        <v>9</v>
      </c>
      <c r="B17" s="889" t="s">
        <v>110</v>
      </c>
      <c r="C17" s="838">
        <v>17300.59</v>
      </c>
      <c r="D17" s="838">
        <v>3925.3344699999998</v>
      </c>
      <c r="E17" s="838">
        <v>728.28653689999999</v>
      </c>
      <c r="F17" s="838">
        <v>16572.303463100001</v>
      </c>
      <c r="G17" s="838">
        <v>0</v>
      </c>
      <c r="H17" s="838">
        <v>0</v>
      </c>
      <c r="I17" s="838">
        <v>0</v>
      </c>
      <c r="J17" s="838"/>
      <c r="K17" s="835">
        <f>SUM(K8:K15)</f>
        <v>16936.446731550004</v>
      </c>
      <c r="L17" s="1287">
        <v>5.2612996509761201E-2</v>
      </c>
      <c r="M17" s="883">
        <f>SUM(M9:M15)</f>
        <v>891.07721277479686</v>
      </c>
    </row>
    <row r="18" spans="1:13">
      <c r="A18" s="355">
        <f t="shared" si="2"/>
        <v>10</v>
      </c>
      <c r="B18" s="890"/>
      <c r="C18" s="838">
        <v>0</v>
      </c>
      <c r="D18" s="838">
        <v>0</v>
      </c>
      <c r="E18" s="838">
        <v>0</v>
      </c>
      <c r="F18" s="838">
        <v>0</v>
      </c>
      <c r="G18" s="838">
        <v>0</v>
      </c>
      <c r="H18" s="838">
        <v>0</v>
      </c>
      <c r="I18" s="838">
        <v>0</v>
      </c>
      <c r="J18" s="838"/>
      <c r="K18" s="698"/>
      <c r="L18" s="698"/>
      <c r="M18" s="891"/>
    </row>
    <row r="19" spans="1:13">
      <c r="A19" s="355">
        <f t="shared" si="2"/>
        <v>11</v>
      </c>
      <c r="B19" s="890" t="s">
        <v>1383</v>
      </c>
      <c r="C19" s="838">
        <v>0</v>
      </c>
      <c r="D19" s="838">
        <v>0</v>
      </c>
      <c r="E19" s="838">
        <v>0</v>
      </c>
      <c r="F19" s="838">
        <v>0</v>
      </c>
      <c r="G19" s="838">
        <v>0</v>
      </c>
      <c r="H19" s="838">
        <v>0</v>
      </c>
      <c r="I19" s="838">
        <v>0</v>
      </c>
      <c r="J19" s="838"/>
      <c r="K19" s="698"/>
      <c r="L19" s="698"/>
      <c r="M19" s="1063"/>
    </row>
    <row r="20" spans="1:13">
      <c r="A20" s="355">
        <f t="shared" si="2"/>
        <v>12</v>
      </c>
      <c r="B20" s="892" t="s">
        <v>1384</v>
      </c>
      <c r="C20" s="838">
        <v>0</v>
      </c>
      <c r="D20" s="838">
        <v>0</v>
      </c>
      <c r="E20" s="838">
        <v>0</v>
      </c>
      <c r="F20" s="838">
        <v>0</v>
      </c>
      <c r="G20" s="838">
        <v>0</v>
      </c>
      <c r="H20" s="838">
        <v>0</v>
      </c>
      <c r="I20" s="838">
        <v>0</v>
      </c>
      <c r="J20" s="838"/>
      <c r="K20" s="835"/>
      <c r="L20" s="835"/>
      <c r="M20" s="835">
        <f>M17-M19</f>
        <v>891.07721277479686</v>
      </c>
    </row>
    <row r="21" spans="1:13">
      <c r="A21" s="1200"/>
      <c r="B21" s="1201"/>
      <c r="C21" s="1202"/>
      <c r="D21" s="1201"/>
      <c r="E21" s="1203"/>
      <c r="F21" s="1204"/>
      <c r="G21" s="1203"/>
      <c r="H21" s="1203"/>
      <c r="I21" s="1201"/>
      <c r="J21" s="1201"/>
      <c r="K21" s="1201"/>
      <c r="L21" s="1201"/>
      <c r="M21" s="1201"/>
    </row>
    <row r="22" spans="1:13">
      <c r="A22" s="1198"/>
      <c r="B22" s="1198"/>
      <c r="C22" s="1198"/>
      <c r="D22" s="1198"/>
      <c r="E22" s="1198"/>
      <c r="F22" s="1198" t="s">
        <v>1609</v>
      </c>
      <c r="G22" s="1198"/>
      <c r="H22" s="1198"/>
      <c r="I22" s="1198"/>
      <c r="J22" s="1198"/>
      <c r="K22" s="1198"/>
      <c r="L22" s="1198"/>
      <c r="M22" s="1205"/>
    </row>
    <row r="23" spans="1:13" ht="43.5">
      <c r="A23" s="893" t="s">
        <v>117</v>
      </c>
      <c r="B23" s="893" t="s">
        <v>14</v>
      </c>
      <c r="C23" s="881"/>
      <c r="D23" s="881"/>
      <c r="E23" s="881" t="s">
        <v>1567</v>
      </c>
      <c r="F23" s="881" t="s">
        <v>1377</v>
      </c>
      <c r="G23" s="881"/>
      <c r="H23" s="881"/>
      <c r="I23" s="881" t="s">
        <v>969</v>
      </c>
      <c r="J23" s="881" t="s">
        <v>1379</v>
      </c>
      <c r="K23" s="881" t="s">
        <v>1380</v>
      </c>
      <c r="L23" s="881" t="s">
        <v>1381</v>
      </c>
      <c r="M23" s="658"/>
    </row>
    <row r="24" spans="1:13">
      <c r="A24" s="1021"/>
      <c r="B24" s="894"/>
      <c r="C24" s="894"/>
      <c r="D24" s="894"/>
      <c r="E24" s="894"/>
      <c r="F24" s="894"/>
      <c r="G24" s="894"/>
      <c r="H24" s="894"/>
      <c r="I24" s="894"/>
      <c r="J24" s="894"/>
      <c r="K24" s="894"/>
      <c r="L24" s="894"/>
      <c r="M24" s="658"/>
    </row>
    <row r="25" spans="1:13">
      <c r="A25" s="1206">
        <v>1</v>
      </c>
      <c r="B25" s="895" t="s">
        <v>1385</v>
      </c>
      <c r="C25" s="896"/>
      <c r="D25" s="896"/>
      <c r="E25" s="896">
        <v>0</v>
      </c>
      <c r="F25" s="896">
        <v>0.13928714737761655</v>
      </c>
      <c r="G25" s="896">
        <v>0</v>
      </c>
      <c r="H25" s="896">
        <v>0</v>
      </c>
      <c r="I25" s="209">
        <f>E25+F25-H25-G25</f>
        <v>0.13928714737761655</v>
      </c>
      <c r="J25" s="896">
        <v>0</v>
      </c>
      <c r="K25" s="897">
        <v>0</v>
      </c>
      <c r="L25" s="898">
        <f>J25*K25</f>
        <v>0</v>
      </c>
      <c r="M25" s="658"/>
    </row>
    <row r="26" spans="1:13">
      <c r="A26" s="1206">
        <v>2</v>
      </c>
      <c r="B26" s="895" t="s">
        <v>837</v>
      </c>
      <c r="C26" s="896"/>
      <c r="D26" s="896"/>
      <c r="E26" s="896">
        <v>0</v>
      </c>
      <c r="F26" s="896">
        <v>27.582390242680045</v>
      </c>
      <c r="G26" s="896">
        <v>0</v>
      </c>
      <c r="H26" s="896">
        <v>0</v>
      </c>
      <c r="I26" s="209">
        <f>E26+F26-H26-G26</f>
        <v>27.582390242680045</v>
      </c>
      <c r="J26" s="209">
        <f>AVERAGE(E26,I26)</f>
        <v>13.791195121340023</v>
      </c>
      <c r="K26" s="897">
        <v>3.3399999999999999E-2</v>
      </c>
      <c r="L26" s="898">
        <f>J26*K26</f>
        <v>0.46062591705275674</v>
      </c>
      <c r="M26" s="658"/>
    </row>
    <row r="27" spans="1:13">
      <c r="A27" s="1206">
        <f t="shared" ref="A27:A36" si="3">A26+1</f>
        <v>3</v>
      </c>
      <c r="B27" s="899" t="s">
        <v>838</v>
      </c>
      <c r="C27" s="896"/>
      <c r="D27" s="896"/>
      <c r="E27" s="896">
        <v>0</v>
      </c>
      <c r="F27" s="896">
        <v>0</v>
      </c>
      <c r="G27" s="896">
        <v>0</v>
      </c>
      <c r="H27" s="896">
        <v>0</v>
      </c>
      <c r="I27" s="209">
        <f t="shared" ref="I27:I36" si="4">E27+F27-H27-G27</f>
        <v>0</v>
      </c>
      <c r="J27" s="209">
        <f t="shared" ref="J27:J32" si="5">AVERAGE(E27,I27)</f>
        <v>0</v>
      </c>
      <c r="K27" s="897">
        <v>3.3399999999999999E-2</v>
      </c>
      <c r="L27" s="898">
        <f t="shared" ref="L27:L32" si="6">J27*K27</f>
        <v>0</v>
      </c>
      <c r="M27" s="658"/>
    </row>
    <row r="28" spans="1:13">
      <c r="A28" s="1206">
        <f t="shared" si="3"/>
        <v>4</v>
      </c>
      <c r="B28" s="895" t="s">
        <v>1386</v>
      </c>
      <c r="C28" s="896"/>
      <c r="D28" s="896"/>
      <c r="E28" s="896">
        <v>0</v>
      </c>
      <c r="F28" s="896">
        <v>1298.7415901490506</v>
      </c>
      <c r="G28" s="896">
        <v>0</v>
      </c>
      <c r="H28" s="896">
        <v>0</v>
      </c>
      <c r="I28" s="209">
        <f t="shared" si="4"/>
        <v>1298.7415901490506</v>
      </c>
      <c r="J28" s="209">
        <f t="shared" si="5"/>
        <v>649.37079507452529</v>
      </c>
      <c r="K28" s="897">
        <v>5.28E-2</v>
      </c>
      <c r="L28" s="898">
        <f t="shared" si="6"/>
        <v>34.286777979934932</v>
      </c>
      <c r="M28" s="658"/>
    </row>
    <row r="29" spans="1:13">
      <c r="A29" s="1206">
        <f t="shared" si="3"/>
        <v>5</v>
      </c>
      <c r="B29" s="895" t="s">
        <v>1387</v>
      </c>
      <c r="C29" s="896"/>
      <c r="D29" s="896"/>
      <c r="E29" s="896">
        <v>0</v>
      </c>
      <c r="F29" s="896">
        <v>1015.3532566256793</v>
      </c>
      <c r="G29" s="896">
        <v>0</v>
      </c>
      <c r="H29" s="896">
        <v>0</v>
      </c>
      <c r="I29" s="209">
        <f t="shared" si="4"/>
        <v>1015.3532566256793</v>
      </c>
      <c r="J29" s="209">
        <f t="shared" si="5"/>
        <v>507.67662831283963</v>
      </c>
      <c r="K29" s="897">
        <v>5.28E-2</v>
      </c>
      <c r="L29" s="898">
        <f t="shared" si="6"/>
        <v>26.805325974917931</v>
      </c>
      <c r="M29" s="658"/>
    </row>
    <row r="30" spans="1:13">
      <c r="A30" s="1206">
        <f t="shared" si="3"/>
        <v>6</v>
      </c>
      <c r="B30" s="895" t="s">
        <v>839</v>
      </c>
      <c r="C30" s="896"/>
      <c r="D30" s="896"/>
      <c r="E30" s="896">
        <v>0</v>
      </c>
      <c r="F30" s="896">
        <v>0.21032725663751595</v>
      </c>
      <c r="G30" s="896">
        <v>0</v>
      </c>
      <c r="H30" s="896">
        <v>0</v>
      </c>
      <c r="I30" s="209">
        <f t="shared" si="4"/>
        <v>0.21032725663751595</v>
      </c>
      <c r="J30" s="209">
        <f t="shared" si="5"/>
        <v>0.10516362831875797</v>
      </c>
      <c r="K30" s="897">
        <v>6.3299999999999995E-2</v>
      </c>
      <c r="L30" s="898">
        <f t="shared" si="6"/>
        <v>6.6568576725773796E-3</v>
      </c>
      <c r="M30" s="658"/>
    </row>
    <row r="31" spans="1:13">
      <c r="A31" s="1206">
        <f t="shared" si="3"/>
        <v>7</v>
      </c>
      <c r="B31" s="895" t="s">
        <v>840</v>
      </c>
      <c r="C31" s="896"/>
      <c r="D31" s="896"/>
      <c r="E31" s="896">
        <v>0</v>
      </c>
      <c r="F31" s="896">
        <v>0.32109843549478562</v>
      </c>
      <c r="G31" s="896">
        <v>0</v>
      </c>
      <c r="H31" s="896">
        <v>0</v>
      </c>
      <c r="I31" s="209">
        <f t="shared" si="4"/>
        <v>0.32109843549478562</v>
      </c>
      <c r="J31" s="209">
        <f t="shared" si="5"/>
        <v>0.16054921774739281</v>
      </c>
      <c r="K31" s="897">
        <v>6.3299999999999995E-2</v>
      </c>
      <c r="L31" s="898">
        <f t="shared" si="6"/>
        <v>1.0162765483409964E-2</v>
      </c>
      <c r="M31" s="658"/>
    </row>
    <row r="32" spans="1:13">
      <c r="A32" s="1206">
        <f t="shared" si="3"/>
        <v>8</v>
      </c>
      <c r="B32" s="895" t="s">
        <v>841</v>
      </c>
      <c r="C32" s="896"/>
      <c r="D32" s="896"/>
      <c r="E32" s="896">
        <v>0</v>
      </c>
      <c r="F32" s="896">
        <v>8.3461208430802412</v>
      </c>
      <c r="G32" s="896">
        <v>0</v>
      </c>
      <c r="H32" s="896">
        <v>0</v>
      </c>
      <c r="I32" s="209">
        <f t="shared" si="4"/>
        <v>8.3461208430802412</v>
      </c>
      <c r="J32" s="209">
        <f t="shared" si="5"/>
        <v>4.1730604215401206</v>
      </c>
      <c r="K32" s="897">
        <v>6.3299999999999995E-2</v>
      </c>
      <c r="L32" s="898">
        <f t="shared" si="6"/>
        <v>0.26415472468348961</v>
      </c>
      <c r="M32" s="658"/>
    </row>
    <row r="33" spans="1:13" ht="29">
      <c r="A33" s="1206">
        <f t="shared" si="3"/>
        <v>9</v>
      </c>
      <c r="B33" s="888" t="s">
        <v>1382</v>
      </c>
      <c r="C33" s="698"/>
      <c r="D33" s="698"/>
      <c r="E33" s="896">
        <v>0</v>
      </c>
      <c r="F33" s="896">
        <v>0</v>
      </c>
      <c r="G33" s="896">
        <v>0</v>
      </c>
      <c r="H33" s="896">
        <v>0</v>
      </c>
      <c r="I33" s="209">
        <f t="shared" si="4"/>
        <v>0</v>
      </c>
      <c r="J33" s="698"/>
      <c r="K33" s="698"/>
      <c r="L33" s="1063"/>
      <c r="M33" s="658"/>
    </row>
    <row r="34" spans="1:13">
      <c r="A34" s="1206">
        <f t="shared" si="3"/>
        <v>10</v>
      </c>
      <c r="B34" s="900" t="s">
        <v>1388</v>
      </c>
      <c r="C34" s="896"/>
      <c r="D34" s="896"/>
      <c r="E34" s="896">
        <v>0</v>
      </c>
      <c r="F34" s="896">
        <v>2350.6940706999999</v>
      </c>
      <c r="G34" s="896">
        <v>0</v>
      </c>
      <c r="H34" s="896">
        <v>0</v>
      </c>
      <c r="I34" s="209">
        <f t="shared" si="4"/>
        <v>2350.6940706999999</v>
      </c>
      <c r="J34" s="209"/>
      <c r="K34" s="897"/>
      <c r="L34" s="898"/>
      <c r="M34" s="658"/>
    </row>
    <row r="35" spans="1:13" ht="29">
      <c r="A35" s="1206">
        <f t="shared" si="3"/>
        <v>11</v>
      </c>
      <c r="B35" s="895" t="s">
        <v>1389</v>
      </c>
      <c r="C35" s="896"/>
      <c r="D35" s="896"/>
      <c r="E35" s="896">
        <v>0</v>
      </c>
      <c r="F35" s="896">
        <v>0.13928714737761655</v>
      </c>
      <c r="G35" s="896">
        <v>0</v>
      </c>
      <c r="H35" s="896">
        <v>0</v>
      </c>
      <c r="I35" s="209">
        <f t="shared" si="4"/>
        <v>0.13928714737761655</v>
      </c>
      <c r="J35" s="209"/>
      <c r="K35" s="897"/>
      <c r="L35" s="894"/>
      <c r="M35" s="658"/>
    </row>
    <row r="36" spans="1:13">
      <c r="A36" s="1206">
        <f t="shared" si="3"/>
        <v>12</v>
      </c>
      <c r="B36" s="900" t="s">
        <v>1390</v>
      </c>
      <c r="C36" s="896"/>
      <c r="D36" s="896"/>
      <c r="E36" s="896">
        <v>0</v>
      </c>
      <c r="F36" s="896">
        <v>2350.5547835526222</v>
      </c>
      <c r="G36" s="896">
        <v>0</v>
      </c>
      <c r="H36" s="896">
        <v>0</v>
      </c>
      <c r="I36" s="209">
        <f t="shared" si="4"/>
        <v>2350.5547835526222</v>
      </c>
      <c r="J36" s="835">
        <f>SUM(J26:J34)</f>
        <v>1175.2773917763111</v>
      </c>
      <c r="K36" s="901">
        <f>L36/J36</f>
        <v>5.2612008579770088E-2</v>
      </c>
      <c r="L36" s="835">
        <f>SUM(L25:L33)</f>
        <v>61.833704219745094</v>
      </c>
      <c r="M36" s="658"/>
    </row>
    <row r="37" spans="1:13">
      <c r="A37" s="1207"/>
      <c r="B37" s="1208"/>
      <c r="C37" s="1209"/>
      <c r="D37" s="1210"/>
      <c r="E37" s="1211"/>
      <c r="F37" s="1212"/>
      <c r="G37" s="1211"/>
      <c r="H37" s="1211"/>
      <c r="I37" s="1208"/>
      <c r="J37" s="1208"/>
      <c r="K37" s="1213"/>
      <c r="L37" s="1214"/>
      <c r="M37" s="658"/>
    </row>
    <row r="38" spans="1:13">
      <c r="A38" s="1198"/>
      <c r="B38" s="1198"/>
      <c r="C38" s="1198"/>
      <c r="D38" s="1198"/>
      <c r="E38" s="1198"/>
      <c r="F38" s="1198" t="s">
        <v>1610</v>
      </c>
      <c r="G38" s="1198"/>
      <c r="H38" s="1198"/>
      <c r="I38" s="1198"/>
      <c r="J38" s="1198"/>
      <c r="K38" s="1198"/>
      <c r="L38" s="1198"/>
      <c r="M38" s="1198"/>
    </row>
    <row r="39" spans="1:13">
      <c r="A39" s="892"/>
      <c r="B39" s="1021"/>
      <c r="C39" s="1021"/>
      <c r="D39" s="1021"/>
      <c r="E39" s="1021"/>
      <c r="F39" s="1021"/>
      <c r="G39" s="1021"/>
      <c r="H39" s="1021"/>
      <c r="I39" s="1021"/>
      <c r="J39" s="1021"/>
      <c r="K39" s="1021"/>
      <c r="L39" s="1021"/>
      <c r="M39" s="658"/>
    </row>
    <row r="40" spans="1:13" ht="58">
      <c r="A40" s="892" t="s">
        <v>1559</v>
      </c>
      <c r="B40" s="893" t="s">
        <v>14</v>
      </c>
      <c r="C40" s="881" t="s">
        <v>1565</v>
      </c>
      <c r="D40" s="881" t="s">
        <v>1566</v>
      </c>
      <c r="E40" s="881" t="s">
        <v>1378</v>
      </c>
      <c r="F40" s="881" t="s">
        <v>969</v>
      </c>
      <c r="G40" s="881"/>
      <c r="H40" s="881"/>
      <c r="I40" s="881"/>
      <c r="J40" s="881"/>
      <c r="K40" s="881" t="s">
        <v>1379</v>
      </c>
      <c r="L40" s="881" t="s">
        <v>1380</v>
      </c>
      <c r="M40" s="881" t="s">
        <v>1381</v>
      </c>
    </row>
    <row r="41" spans="1:13">
      <c r="A41" s="355">
        <v>1</v>
      </c>
      <c r="B41" s="899" t="s">
        <v>1385</v>
      </c>
      <c r="C41" s="902">
        <v>0.98196907186821492</v>
      </c>
      <c r="D41" s="902">
        <v>0</v>
      </c>
      <c r="E41" s="902">
        <v>0</v>
      </c>
      <c r="F41" s="902">
        <v>0.98196907186821492</v>
      </c>
      <c r="G41" s="902">
        <v>0</v>
      </c>
      <c r="H41" s="902">
        <v>0</v>
      </c>
      <c r="I41" s="902">
        <v>0</v>
      </c>
      <c r="J41" s="903">
        <f>AVERAGE(E41,I41)</f>
        <v>0</v>
      </c>
      <c r="K41" s="902">
        <v>0.98196907186821492</v>
      </c>
      <c r="L41" s="897">
        <v>0</v>
      </c>
      <c r="M41" s="985">
        <f>K41*L41</f>
        <v>0</v>
      </c>
    </row>
    <row r="42" spans="1:13">
      <c r="A42" s="355">
        <f>A41+1</f>
        <v>2</v>
      </c>
      <c r="B42" s="899" t="s">
        <v>837</v>
      </c>
      <c r="C42" s="902">
        <v>194.45479828143857</v>
      </c>
      <c r="D42" s="902">
        <v>50.618701722003443</v>
      </c>
      <c r="E42" s="902">
        <v>0</v>
      </c>
      <c r="F42" s="902">
        <v>194.45479828143857</v>
      </c>
      <c r="G42" s="902">
        <v>0</v>
      </c>
      <c r="H42" s="902">
        <v>0</v>
      </c>
      <c r="I42" s="902">
        <v>0</v>
      </c>
      <c r="J42" s="903">
        <f t="shared" ref="J42:J51" si="7">AVERAGE(E42,I42)</f>
        <v>0</v>
      </c>
      <c r="K42" s="1289">
        <v>194.45479828143857</v>
      </c>
      <c r="L42" s="897">
        <v>3.3399999999999999E-2</v>
      </c>
      <c r="M42" s="985">
        <f t="shared" ref="M42:M48" si="8">K42*L42</f>
        <v>6.4947902626000484</v>
      </c>
    </row>
    <row r="43" spans="1:13">
      <c r="A43" s="355">
        <f>A42+1</f>
        <v>3</v>
      </c>
      <c r="B43" s="899" t="s">
        <v>838</v>
      </c>
      <c r="C43" s="902">
        <v>0</v>
      </c>
      <c r="D43" s="902">
        <v>0</v>
      </c>
      <c r="E43" s="902">
        <v>0</v>
      </c>
      <c r="F43" s="902">
        <v>0</v>
      </c>
      <c r="G43" s="902">
        <v>0</v>
      </c>
      <c r="H43" s="902">
        <v>0</v>
      </c>
      <c r="I43" s="902">
        <v>0</v>
      </c>
      <c r="J43" s="903">
        <f t="shared" si="7"/>
        <v>0</v>
      </c>
      <c r="K43" s="1289">
        <v>0</v>
      </c>
      <c r="L43" s="897">
        <v>3.3399999999999999E-2</v>
      </c>
      <c r="M43" s="985">
        <f t="shared" si="8"/>
        <v>0</v>
      </c>
    </row>
    <row r="44" spans="1:13">
      <c r="A44" s="355">
        <f>A43+1</f>
        <v>4</v>
      </c>
      <c r="B44" s="899" t="s">
        <v>1386</v>
      </c>
      <c r="C44" s="902">
        <v>9156.0786324227465</v>
      </c>
      <c r="D44" s="902">
        <v>2743.3121887807993</v>
      </c>
      <c r="E44" s="902">
        <v>0</v>
      </c>
      <c r="F44" s="902">
        <v>9156.0786324227465</v>
      </c>
      <c r="G44" s="902">
        <v>0</v>
      </c>
      <c r="H44" s="902">
        <v>0</v>
      </c>
      <c r="I44" s="902">
        <v>0</v>
      </c>
      <c r="J44" s="903">
        <f t="shared" si="7"/>
        <v>0</v>
      </c>
      <c r="K44" s="1289">
        <v>9156.0786324227465</v>
      </c>
      <c r="L44" s="897">
        <v>5.28E-2</v>
      </c>
      <c r="M44" s="985">
        <f t="shared" si="8"/>
        <v>483.44095179192101</v>
      </c>
    </row>
    <row r="45" spans="1:13">
      <c r="A45" s="355">
        <f>A44+1</f>
        <v>5</v>
      </c>
      <c r="B45" s="899" t="s">
        <v>1387</v>
      </c>
      <c r="C45" s="902">
        <v>7158.2016991419341</v>
      </c>
      <c r="D45" s="902">
        <v>2004.3180361681857</v>
      </c>
      <c r="E45" s="902">
        <v>0</v>
      </c>
      <c r="F45" s="902">
        <v>7158.2016991419341</v>
      </c>
      <c r="G45" s="902">
        <v>0</v>
      </c>
      <c r="H45" s="902">
        <v>0</v>
      </c>
      <c r="I45" s="902">
        <v>0</v>
      </c>
      <c r="J45" s="903">
        <f t="shared" si="7"/>
        <v>0</v>
      </c>
      <c r="K45" s="1289">
        <v>7158.2016991419341</v>
      </c>
      <c r="L45" s="897">
        <v>5.28E-2</v>
      </c>
      <c r="M45" s="985">
        <f t="shared" si="8"/>
        <v>377.95304971469415</v>
      </c>
    </row>
    <row r="46" spans="1:13">
      <c r="A46" s="355">
        <f t="shared" ref="A46:A52" si="9">A45+1</f>
        <v>6</v>
      </c>
      <c r="B46" s="899" t="s">
        <v>839</v>
      </c>
      <c r="C46" s="902">
        <v>1.4827991302672019</v>
      </c>
      <c r="D46" s="902">
        <v>0.43031288533808726</v>
      </c>
      <c r="E46" s="902">
        <v>0</v>
      </c>
      <c r="F46" s="902">
        <v>1.4827991302672019</v>
      </c>
      <c r="G46" s="902">
        <v>0</v>
      </c>
      <c r="H46" s="902">
        <v>0</v>
      </c>
      <c r="I46" s="902">
        <v>0</v>
      </c>
      <c r="J46" s="903">
        <f t="shared" si="7"/>
        <v>0</v>
      </c>
      <c r="K46" s="1289">
        <v>1.4827991302672019</v>
      </c>
      <c r="L46" s="897">
        <v>6.3299999999999995E-2</v>
      </c>
      <c r="M46" s="985">
        <f t="shared" si="8"/>
        <v>9.3861184945913875E-2</v>
      </c>
    </row>
    <row r="47" spans="1:13">
      <c r="A47" s="355">
        <f t="shared" si="9"/>
        <v>7</v>
      </c>
      <c r="B47" s="899" t="s">
        <v>840</v>
      </c>
      <c r="C47" s="902">
        <v>2.2637317126348204</v>
      </c>
      <c r="D47" s="902">
        <v>0.65694193165576187</v>
      </c>
      <c r="E47" s="902">
        <v>0</v>
      </c>
      <c r="F47" s="902">
        <v>2.2637317126348204</v>
      </c>
      <c r="G47" s="902">
        <v>0</v>
      </c>
      <c r="H47" s="902">
        <v>0</v>
      </c>
      <c r="I47" s="902">
        <v>0</v>
      </c>
      <c r="J47" s="903">
        <f t="shared" si="7"/>
        <v>0</v>
      </c>
      <c r="K47" s="1289">
        <v>2.2637317126348204</v>
      </c>
      <c r="L47" s="897">
        <v>6.3299999999999995E-2</v>
      </c>
      <c r="M47" s="985">
        <f t="shared" si="8"/>
        <v>0.14329421740978412</v>
      </c>
    </row>
    <row r="48" spans="1:13">
      <c r="A48" s="355">
        <f t="shared" si="9"/>
        <v>8</v>
      </c>
      <c r="B48" s="899" t="s">
        <v>841</v>
      </c>
      <c r="C48" s="902">
        <v>58.839833339113284</v>
      </c>
      <c r="D48" s="902">
        <v>17.075501286815168</v>
      </c>
      <c r="E48" s="902">
        <v>0</v>
      </c>
      <c r="F48" s="902">
        <v>58.839833339113284</v>
      </c>
      <c r="G48" s="902">
        <v>0</v>
      </c>
      <c r="H48" s="902">
        <v>0</v>
      </c>
      <c r="I48" s="902">
        <v>0</v>
      </c>
      <c r="J48" s="903">
        <f t="shared" si="7"/>
        <v>0</v>
      </c>
      <c r="K48" s="1289">
        <v>58.839833339113284</v>
      </c>
      <c r="L48" s="897">
        <v>6.3299999999999995E-2</v>
      </c>
      <c r="M48" s="985">
        <f t="shared" si="8"/>
        <v>3.7245614503658704</v>
      </c>
    </row>
    <row r="49" spans="1:13" ht="29">
      <c r="A49" s="355">
        <f t="shared" si="9"/>
        <v>9</v>
      </c>
      <c r="B49" s="888" t="s">
        <v>1382</v>
      </c>
      <c r="C49" s="902">
        <v>0</v>
      </c>
      <c r="D49" s="902">
        <v>0</v>
      </c>
      <c r="E49" s="902">
        <v>0</v>
      </c>
      <c r="F49" s="902">
        <v>0</v>
      </c>
      <c r="G49" s="902">
        <v>0</v>
      </c>
      <c r="H49" s="902">
        <v>0</v>
      </c>
      <c r="I49" s="902">
        <v>0</v>
      </c>
      <c r="J49" s="903"/>
      <c r="K49" s="1289">
        <v>0</v>
      </c>
      <c r="L49" s="904"/>
      <c r="M49" s="295"/>
    </row>
    <row r="50" spans="1:13">
      <c r="A50" s="355">
        <f t="shared" si="9"/>
        <v>10</v>
      </c>
      <c r="B50" s="905" t="s">
        <v>1388</v>
      </c>
      <c r="C50" s="902">
        <v>16572.303463100001</v>
      </c>
      <c r="D50" s="902">
        <v>4816.4116827747976</v>
      </c>
      <c r="E50" s="902">
        <v>0</v>
      </c>
      <c r="F50" s="902">
        <v>16572.303463100001</v>
      </c>
      <c r="G50" s="902">
        <v>0</v>
      </c>
      <c r="H50" s="902">
        <v>0</v>
      </c>
      <c r="I50" s="902">
        <v>0</v>
      </c>
      <c r="J50" s="907">
        <f t="shared" si="7"/>
        <v>0</v>
      </c>
      <c r="K50" s="1289">
        <v>16572.303463100001</v>
      </c>
      <c r="L50" s="1290">
        <f>M50/K50</f>
        <v>5.2608891127488996E-2</v>
      </c>
      <c r="M50" s="906">
        <f>SUM(M41:M48)</f>
        <v>871.8505086219368</v>
      </c>
    </row>
    <row r="51" spans="1:13">
      <c r="A51" s="355">
        <f t="shared" si="9"/>
        <v>11</v>
      </c>
      <c r="B51" s="899" t="s">
        <v>1389</v>
      </c>
      <c r="C51" s="902">
        <v>0.98196907186821492</v>
      </c>
      <c r="D51" s="902">
        <v>0</v>
      </c>
      <c r="E51" s="902">
        <v>0</v>
      </c>
      <c r="F51" s="902">
        <v>0</v>
      </c>
      <c r="G51" s="902">
        <v>0</v>
      </c>
      <c r="H51" s="902">
        <v>0</v>
      </c>
      <c r="I51" s="902">
        <v>0</v>
      </c>
      <c r="J51" s="903">
        <f t="shared" si="7"/>
        <v>0</v>
      </c>
      <c r="K51" s="1289">
        <v>0</v>
      </c>
      <c r="L51" s="903"/>
      <c r="M51" s="903"/>
    </row>
    <row r="52" spans="1:13">
      <c r="A52" s="355">
        <f t="shared" si="9"/>
        <v>12</v>
      </c>
      <c r="B52" s="905" t="s">
        <v>1390</v>
      </c>
      <c r="C52" s="902">
        <v>16571.321494028132</v>
      </c>
      <c r="D52" s="902">
        <v>4816.4116827747976</v>
      </c>
      <c r="E52" s="902">
        <v>0</v>
      </c>
      <c r="F52" s="902">
        <v>0</v>
      </c>
      <c r="G52" s="902">
        <v>0</v>
      </c>
      <c r="H52" s="902">
        <v>0</v>
      </c>
      <c r="I52" s="902">
        <v>0</v>
      </c>
      <c r="J52" s="906">
        <f>J50-J51</f>
        <v>0</v>
      </c>
      <c r="K52" s="1289">
        <v>0</v>
      </c>
      <c r="L52" s="908"/>
      <c r="M52" s="908"/>
    </row>
    <row r="53" spans="1:13">
      <c r="A53" s="658"/>
      <c r="B53" s="1215"/>
      <c r="C53" s="1216"/>
      <c r="D53" s="1217"/>
      <c r="E53" s="1217"/>
      <c r="F53" s="1218"/>
      <c r="G53" s="1218"/>
      <c r="H53" s="1218"/>
      <c r="I53" s="1218"/>
      <c r="J53" s="1218"/>
      <c r="K53" s="1219"/>
      <c r="L53" s="1220"/>
      <c r="M53" s="658"/>
    </row>
    <row r="54" spans="1:13">
      <c r="A54" s="1198"/>
      <c r="B54" s="1198"/>
      <c r="C54" s="1198"/>
      <c r="D54" s="1198"/>
      <c r="E54" s="1198"/>
      <c r="F54" s="1198" t="s">
        <v>1611</v>
      </c>
      <c r="G54" s="1198"/>
      <c r="H54" s="1198"/>
      <c r="I54" s="1198"/>
      <c r="J54" s="1198"/>
      <c r="K54" s="1198"/>
      <c r="L54" s="1198"/>
      <c r="M54" s="658"/>
    </row>
    <row r="55" spans="1:13" ht="43.5">
      <c r="A55" s="893" t="s">
        <v>117</v>
      </c>
      <c r="B55" s="893" t="s">
        <v>14</v>
      </c>
      <c r="C55" s="881"/>
      <c r="D55" s="881"/>
      <c r="E55" s="881" t="s">
        <v>1567</v>
      </c>
      <c r="F55" s="881" t="s">
        <v>1377</v>
      </c>
      <c r="G55" s="881"/>
      <c r="H55" s="881"/>
      <c r="I55" s="881" t="s">
        <v>969</v>
      </c>
      <c r="J55" s="881" t="s">
        <v>1379</v>
      </c>
      <c r="K55" s="881" t="s">
        <v>1380</v>
      </c>
      <c r="L55" s="881" t="s">
        <v>1381</v>
      </c>
      <c r="M55" s="658"/>
    </row>
    <row r="56" spans="1:13">
      <c r="A56" s="1021"/>
      <c r="B56" s="894"/>
      <c r="C56" s="894"/>
      <c r="D56" s="894"/>
      <c r="E56" s="894"/>
      <c r="F56" s="894"/>
      <c r="G56" s="894"/>
      <c r="H56" s="894"/>
      <c r="I56" s="894"/>
      <c r="J56" s="894"/>
      <c r="K56" s="894"/>
      <c r="L56" s="894"/>
      <c r="M56" s="658"/>
    </row>
    <row r="57" spans="1:13">
      <c r="A57" s="1206">
        <v>1</v>
      </c>
      <c r="B57" s="895" t="s">
        <v>1385</v>
      </c>
      <c r="C57" s="896"/>
      <c r="D57" s="896"/>
      <c r="E57" s="896">
        <v>0.13928714737761655</v>
      </c>
      <c r="F57" s="896">
        <v>9.0088346434576833E-2</v>
      </c>
      <c r="G57" s="896">
        <v>0</v>
      </c>
      <c r="H57" s="896">
        <v>0</v>
      </c>
      <c r="I57" s="909">
        <f>E57+F57-H57</f>
        <v>0.22937549381219338</v>
      </c>
      <c r="J57" s="909">
        <f>AVERAGE(E57,I57)</f>
        <v>0.18433132059490498</v>
      </c>
      <c r="K57" s="1288">
        <v>0</v>
      </c>
      <c r="L57" s="909">
        <f>J57*K57</f>
        <v>0</v>
      </c>
      <c r="M57" s="658"/>
    </row>
    <row r="58" spans="1:13">
      <c r="A58" s="1206">
        <v>2</v>
      </c>
      <c r="B58" s="895" t="s">
        <v>837</v>
      </c>
      <c r="C58" s="896"/>
      <c r="D58" s="896"/>
      <c r="E58" s="896">
        <v>27.582390242680045</v>
      </c>
      <c r="F58" s="896">
        <v>17.83977900659891</v>
      </c>
      <c r="G58" s="896">
        <v>0</v>
      </c>
      <c r="H58" s="896">
        <v>0</v>
      </c>
      <c r="I58" s="909">
        <f>E58+F58-H58-G58</f>
        <v>45.422169249278951</v>
      </c>
      <c r="J58" s="909">
        <f t="shared" ref="J58:J68" si="10">AVERAGE(E58,I58)</f>
        <v>36.5022797459795</v>
      </c>
      <c r="K58" s="1288">
        <v>3.3399999999999999E-2</v>
      </c>
      <c r="L58" s="909">
        <f t="shared" ref="L58:L64" si="11">J58*K58</f>
        <v>1.2191761435157153</v>
      </c>
      <c r="M58" s="658"/>
    </row>
    <row r="59" spans="1:13">
      <c r="A59" s="1206">
        <f t="shared" ref="A59:A68" si="12">A58+1</f>
        <v>3</v>
      </c>
      <c r="B59" s="899" t="s">
        <v>838</v>
      </c>
      <c r="C59" s="896"/>
      <c r="D59" s="896"/>
      <c r="E59" s="896">
        <v>0</v>
      </c>
      <c r="F59" s="896">
        <v>0</v>
      </c>
      <c r="G59" s="896">
        <v>0</v>
      </c>
      <c r="H59" s="896">
        <v>0</v>
      </c>
      <c r="I59" s="909">
        <f t="shared" ref="I59:I64" si="13">E59+F59-H59-G59</f>
        <v>0</v>
      </c>
      <c r="J59" s="909">
        <f t="shared" si="10"/>
        <v>0</v>
      </c>
      <c r="K59" s="1288">
        <v>3.3399999999999999E-2</v>
      </c>
      <c r="L59" s="909">
        <f t="shared" si="11"/>
        <v>0</v>
      </c>
      <c r="M59" s="658"/>
    </row>
    <row r="60" spans="1:13">
      <c r="A60" s="1206">
        <f t="shared" si="12"/>
        <v>4</v>
      </c>
      <c r="B60" s="895" t="s">
        <v>1386</v>
      </c>
      <c r="C60" s="896"/>
      <c r="D60" s="896"/>
      <c r="E60" s="896">
        <v>1298.7415901490506</v>
      </c>
      <c r="F60" s="896">
        <v>840.0019995035309</v>
      </c>
      <c r="G60" s="896">
        <v>0</v>
      </c>
      <c r="H60" s="896">
        <v>0</v>
      </c>
      <c r="I60" s="909">
        <f t="shared" si="13"/>
        <v>2138.7435896525812</v>
      </c>
      <c r="J60" s="909">
        <f t="shared" si="10"/>
        <v>1718.7425899008158</v>
      </c>
      <c r="K60" s="1288">
        <v>5.28E-2</v>
      </c>
      <c r="L60" s="909">
        <f t="shared" si="11"/>
        <v>90.749608746763073</v>
      </c>
      <c r="M60" s="658"/>
    </row>
    <row r="61" spans="1:13">
      <c r="A61" s="1206">
        <f t="shared" si="12"/>
        <v>5</v>
      </c>
      <c r="B61" s="895" t="s">
        <v>1387</v>
      </c>
      <c r="C61" s="896"/>
      <c r="D61" s="896"/>
      <c r="E61" s="896">
        <v>1015.3532566256793</v>
      </c>
      <c r="F61" s="896">
        <v>656.71167554594831</v>
      </c>
      <c r="G61" s="896">
        <v>0</v>
      </c>
      <c r="H61" s="896">
        <v>0</v>
      </c>
      <c r="I61" s="909">
        <f t="shared" si="13"/>
        <v>1672.0649321716276</v>
      </c>
      <c r="J61" s="909">
        <f t="shared" si="10"/>
        <v>1343.7090943986534</v>
      </c>
      <c r="K61" s="1288">
        <v>5.28E-2</v>
      </c>
      <c r="L61" s="909">
        <f t="shared" si="11"/>
        <v>70.947840184248903</v>
      </c>
      <c r="M61" s="658"/>
    </row>
    <row r="62" spans="1:13">
      <c r="A62" s="1206">
        <f t="shared" si="12"/>
        <v>6</v>
      </c>
      <c r="B62" s="895" t="s">
        <v>839</v>
      </c>
      <c r="C62" s="896"/>
      <c r="D62" s="896"/>
      <c r="E62" s="896">
        <v>0.21032725663751595</v>
      </c>
      <c r="F62" s="896">
        <v>0.13603577298647182</v>
      </c>
      <c r="G62" s="896">
        <v>0</v>
      </c>
      <c r="H62" s="896">
        <v>0</v>
      </c>
      <c r="I62" s="909">
        <f t="shared" si="13"/>
        <v>0.34636302962398779</v>
      </c>
      <c r="J62" s="909">
        <f t="shared" si="10"/>
        <v>0.27834514313075187</v>
      </c>
      <c r="K62" s="1288">
        <v>6.3299999999999995E-2</v>
      </c>
      <c r="L62" s="909">
        <f t="shared" si="11"/>
        <v>1.7619247560176594E-2</v>
      </c>
      <c r="M62" s="658"/>
    </row>
    <row r="63" spans="1:13">
      <c r="A63" s="1206">
        <f t="shared" si="12"/>
        <v>7</v>
      </c>
      <c r="B63" s="895" t="s">
        <v>840</v>
      </c>
      <c r="C63" s="896"/>
      <c r="D63" s="896"/>
      <c r="E63" s="896">
        <v>0.32109843549478562</v>
      </c>
      <c r="F63" s="896">
        <v>0.20768051928029851</v>
      </c>
      <c r="G63" s="896">
        <v>0</v>
      </c>
      <c r="H63" s="896">
        <v>0</v>
      </c>
      <c r="I63" s="909">
        <f t="shared" si="13"/>
        <v>0.52877895477508408</v>
      </c>
      <c r="J63" s="909">
        <f t="shared" si="10"/>
        <v>0.42493869513493487</v>
      </c>
      <c r="K63" s="1288">
        <v>6.3299999999999995E-2</v>
      </c>
      <c r="L63" s="909">
        <f t="shared" si="11"/>
        <v>2.6898619402041374E-2</v>
      </c>
      <c r="M63" s="658"/>
    </row>
    <row r="64" spans="1:13">
      <c r="A64" s="1206">
        <f t="shared" si="12"/>
        <v>8</v>
      </c>
      <c r="B64" s="895" t="s">
        <v>841</v>
      </c>
      <c r="C64" s="896"/>
      <c r="D64" s="896"/>
      <c r="E64" s="896">
        <v>8.3461208430802412</v>
      </c>
      <c r="F64" s="896">
        <v>5.3981163377395998</v>
      </c>
      <c r="G64" s="896">
        <v>0</v>
      </c>
      <c r="H64" s="896">
        <v>0</v>
      </c>
      <c r="I64" s="909">
        <f t="shared" si="13"/>
        <v>13.744237180819841</v>
      </c>
      <c r="J64" s="909">
        <f t="shared" si="10"/>
        <v>11.04517901195004</v>
      </c>
      <c r="K64" s="1288">
        <v>6.3299999999999995E-2</v>
      </c>
      <c r="L64" s="909">
        <f t="shared" si="11"/>
        <v>0.69915983145643745</v>
      </c>
      <c r="M64" s="658"/>
    </row>
    <row r="65" spans="1:13" ht="29">
      <c r="A65" s="1206">
        <f t="shared" si="12"/>
        <v>9</v>
      </c>
      <c r="B65" s="888" t="s">
        <v>1382</v>
      </c>
      <c r="C65" s="896"/>
      <c r="D65" s="896"/>
      <c r="E65" s="896">
        <v>0</v>
      </c>
      <c r="F65" s="896">
        <v>0</v>
      </c>
      <c r="G65" s="896">
        <v>0</v>
      </c>
      <c r="H65" s="896">
        <v>0</v>
      </c>
      <c r="I65" s="909"/>
      <c r="J65" s="909"/>
      <c r="K65" s="1288">
        <v>0</v>
      </c>
      <c r="L65" s="909"/>
      <c r="M65" s="658"/>
    </row>
    <row r="66" spans="1:13">
      <c r="A66" s="1206">
        <f t="shared" si="12"/>
        <v>10</v>
      </c>
      <c r="B66" s="900" t="s">
        <v>1388</v>
      </c>
      <c r="C66" s="896"/>
      <c r="D66" s="896"/>
      <c r="E66" s="896">
        <v>2350.6940706999999</v>
      </c>
      <c r="F66" s="896">
        <v>1520.3853750325188</v>
      </c>
      <c r="G66" s="896">
        <v>0</v>
      </c>
      <c r="H66" s="896">
        <v>0</v>
      </c>
      <c r="I66" s="909">
        <f>E66+F66-H66-G66</f>
        <v>3871.0794457325187</v>
      </c>
      <c r="J66" s="909">
        <f t="shared" si="10"/>
        <v>3110.8867582162593</v>
      </c>
      <c r="K66" s="1288">
        <v>0</v>
      </c>
      <c r="L66" s="909">
        <f>SUM(L57:L64)</f>
        <v>163.66030277294632</v>
      </c>
      <c r="M66" s="658"/>
    </row>
    <row r="67" spans="1:13" ht="29">
      <c r="A67" s="1206">
        <f t="shared" si="12"/>
        <v>11</v>
      </c>
      <c r="B67" s="895" t="s">
        <v>1389</v>
      </c>
      <c r="C67" s="896"/>
      <c r="D67" s="896"/>
      <c r="E67" s="896">
        <v>0.13928714737761655</v>
      </c>
      <c r="F67" s="896">
        <v>9.0088346434576833E-2</v>
      </c>
      <c r="G67" s="896">
        <v>0</v>
      </c>
      <c r="H67" s="896">
        <v>0</v>
      </c>
      <c r="I67" s="909">
        <f t="shared" ref="I67:I68" si="14">E67+F67-H67</f>
        <v>0.22937549381219338</v>
      </c>
      <c r="J67" s="909">
        <f t="shared" si="10"/>
        <v>0.18433132059490498</v>
      </c>
      <c r="K67" s="1288">
        <v>0</v>
      </c>
      <c r="L67" s="910">
        <v>0</v>
      </c>
      <c r="M67" s="658"/>
    </row>
    <row r="68" spans="1:13">
      <c r="A68" s="1206">
        <f t="shared" si="12"/>
        <v>12</v>
      </c>
      <c r="B68" s="900" t="s">
        <v>1390</v>
      </c>
      <c r="C68" s="896"/>
      <c r="D68" s="896"/>
      <c r="E68" s="896">
        <v>2350.5547835526222</v>
      </c>
      <c r="F68" s="896">
        <v>1520.2952866860842</v>
      </c>
      <c r="G68" s="896">
        <v>0</v>
      </c>
      <c r="H68" s="896">
        <v>0</v>
      </c>
      <c r="I68" s="909">
        <f t="shared" si="14"/>
        <v>3870.8500702387064</v>
      </c>
      <c r="J68" s="909">
        <f t="shared" si="10"/>
        <v>3110.7024268956643</v>
      </c>
      <c r="K68" s="1288">
        <v>5.2610068911669437E-2</v>
      </c>
      <c r="L68" s="896">
        <f>L66-L67</f>
        <v>163.66030277294632</v>
      </c>
      <c r="M68" s="658"/>
    </row>
    <row r="69" spans="1:13">
      <c r="A69" s="658"/>
      <c r="B69" s="658"/>
      <c r="C69" s="658"/>
      <c r="D69" s="658"/>
      <c r="E69" s="658"/>
      <c r="F69" s="658"/>
      <c r="G69" s="658"/>
      <c r="H69" s="658"/>
      <c r="I69" s="658"/>
      <c r="J69" s="658"/>
      <c r="K69" s="658"/>
      <c r="L69" s="658"/>
      <c r="M69" s="658"/>
    </row>
    <row r="70" spans="1:13">
      <c r="A70" s="1198"/>
      <c r="B70" s="1198"/>
      <c r="C70" s="1198"/>
      <c r="D70" s="1198"/>
      <c r="E70" s="1198"/>
      <c r="F70" s="1198" t="s">
        <v>1612</v>
      </c>
      <c r="G70" s="1198"/>
      <c r="H70" s="1198"/>
      <c r="I70" s="1198"/>
      <c r="J70" s="1198"/>
      <c r="K70" s="1198"/>
      <c r="L70" s="1198"/>
      <c r="M70" s="1198"/>
    </row>
    <row r="71" spans="1:13">
      <c r="A71" s="658"/>
      <c r="B71" s="1021"/>
      <c r="C71" s="1021"/>
      <c r="D71" s="1021"/>
      <c r="E71" s="1021"/>
      <c r="F71" s="1021"/>
      <c r="G71" s="1021"/>
      <c r="H71" s="1021"/>
      <c r="I71" s="1021"/>
      <c r="J71" s="1021"/>
      <c r="K71" s="1021"/>
      <c r="L71" s="1021"/>
      <c r="M71" s="658"/>
    </row>
    <row r="72" spans="1:13" ht="58">
      <c r="A72" s="893" t="s">
        <v>1559</v>
      </c>
      <c r="B72" s="893" t="s">
        <v>14</v>
      </c>
      <c r="C72" s="881" t="s">
        <v>1565</v>
      </c>
      <c r="D72" s="881" t="s">
        <v>1566</v>
      </c>
      <c r="E72" s="881" t="s">
        <v>1378</v>
      </c>
      <c r="F72" s="881" t="s">
        <v>969</v>
      </c>
      <c r="G72" s="881"/>
      <c r="H72" s="881"/>
      <c r="I72" s="881"/>
      <c r="J72" s="881"/>
      <c r="K72" s="881" t="s">
        <v>1379</v>
      </c>
      <c r="L72" s="881" t="s">
        <v>1380</v>
      </c>
      <c r="M72" s="881" t="s">
        <v>1381</v>
      </c>
    </row>
    <row r="73" spans="1:13">
      <c r="A73" s="355">
        <v>1</v>
      </c>
      <c r="B73" s="899" t="s">
        <v>1385</v>
      </c>
      <c r="C73" s="902">
        <v>0.98196907186821492</v>
      </c>
      <c r="D73" s="902">
        <v>0</v>
      </c>
      <c r="E73" s="902">
        <v>0</v>
      </c>
      <c r="F73" s="902">
        <v>0.98196907186821492</v>
      </c>
      <c r="G73" s="902">
        <v>0</v>
      </c>
      <c r="H73" s="902">
        <v>0</v>
      </c>
      <c r="I73" s="902">
        <v>0</v>
      </c>
      <c r="J73" s="903">
        <f>AVERAGE(E73,I73)</f>
        <v>0</v>
      </c>
      <c r="K73" s="903">
        <f>AVERAGE(C73,F73)</f>
        <v>0.98196907186821492</v>
      </c>
      <c r="L73" s="1459">
        <v>0</v>
      </c>
      <c r="M73" s="985">
        <f>K73*L73</f>
        <v>0</v>
      </c>
    </row>
    <row r="74" spans="1:13">
      <c r="A74" s="355">
        <f>A73+1</f>
        <v>2</v>
      </c>
      <c r="B74" s="899" t="s">
        <v>837</v>
      </c>
      <c r="C74" s="902">
        <v>194.45479828143857</v>
      </c>
      <c r="D74" s="902">
        <v>57.113491984603492</v>
      </c>
      <c r="E74" s="902">
        <v>0</v>
      </c>
      <c r="F74" s="902">
        <v>194.45479828143857</v>
      </c>
      <c r="G74" s="902">
        <v>0</v>
      </c>
      <c r="H74" s="902">
        <v>0</v>
      </c>
      <c r="I74" s="902">
        <v>0</v>
      </c>
      <c r="J74" s="903">
        <f t="shared" ref="J74:J83" si="15">AVERAGE(E74,I74)</f>
        <v>0</v>
      </c>
      <c r="K74" s="903">
        <f t="shared" ref="K74:K82" si="16">AVERAGE(C74,F74)</f>
        <v>194.45479828143857</v>
      </c>
      <c r="L74" s="516">
        <v>3.3399999999999999E-2</v>
      </c>
      <c r="M74" s="985">
        <f t="shared" ref="M74:M80" si="17">K74*L74</f>
        <v>6.4947902626000484</v>
      </c>
    </row>
    <row r="75" spans="1:13">
      <c r="A75" s="355">
        <f>A74+1</f>
        <v>3</v>
      </c>
      <c r="B75" s="899" t="s">
        <v>838</v>
      </c>
      <c r="C75" s="902">
        <v>0</v>
      </c>
      <c r="D75" s="902">
        <v>0</v>
      </c>
      <c r="E75" s="902">
        <v>0</v>
      </c>
      <c r="F75" s="902">
        <v>0</v>
      </c>
      <c r="G75" s="902">
        <v>0</v>
      </c>
      <c r="H75" s="902">
        <v>0</v>
      </c>
      <c r="I75" s="902">
        <v>0</v>
      </c>
      <c r="J75" s="903">
        <f t="shared" si="15"/>
        <v>0</v>
      </c>
      <c r="K75" s="903">
        <f t="shared" si="16"/>
        <v>0</v>
      </c>
      <c r="L75" s="516">
        <f>L74</f>
        <v>3.3399999999999999E-2</v>
      </c>
      <c r="M75" s="985">
        <f t="shared" si="17"/>
        <v>0</v>
      </c>
    </row>
    <row r="76" spans="1:13">
      <c r="A76" s="355">
        <f>A75+1</f>
        <v>4</v>
      </c>
      <c r="B76" s="899" t="s">
        <v>1386</v>
      </c>
      <c r="C76" s="902">
        <v>9156.0786324227465</v>
      </c>
      <c r="D76" s="902">
        <v>3226.7531405727204</v>
      </c>
      <c r="E76" s="902">
        <v>0</v>
      </c>
      <c r="F76" s="902">
        <v>9156.0786324227465</v>
      </c>
      <c r="G76" s="902">
        <v>0</v>
      </c>
      <c r="H76" s="902">
        <v>0</v>
      </c>
      <c r="I76" s="902">
        <v>0</v>
      </c>
      <c r="J76" s="903">
        <f t="shared" si="15"/>
        <v>0</v>
      </c>
      <c r="K76" s="903">
        <f t="shared" si="16"/>
        <v>9156.0786324227465</v>
      </c>
      <c r="L76" s="516">
        <v>5.28E-2</v>
      </c>
      <c r="M76" s="985">
        <f t="shared" si="17"/>
        <v>483.44095179192101</v>
      </c>
    </row>
    <row r="77" spans="1:13">
      <c r="A77" s="355">
        <f>A76+1</f>
        <v>5</v>
      </c>
      <c r="B77" s="899" t="s">
        <v>1387</v>
      </c>
      <c r="C77" s="902">
        <v>7158.2016991419341</v>
      </c>
      <c r="D77" s="902">
        <v>2382.27108588288</v>
      </c>
      <c r="E77" s="902">
        <v>0</v>
      </c>
      <c r="F77" s="902">
        <v>7158.2016991419341</v>
      </c>
      <c r="G77" s="902">
        <v>0</v>
      </c>
      <c r="H77" s="902">
        <v>0</v>
      </c>
      <c r="I77" s="902">
        <v>0</v>
      </c>
      <c r="J77" s="903">
        <f t="shared" si="15"/>
        <v>0</v>
      </c>
      <c r="K77" s="903">
        <f t="shared" si="16"/>
        <v>7158.2016991419341</v>
      </c>
      <c r="L77" s="516">
        <v>5.28E-2</v>
      </c>
      <c r="M77" s="985">
        <f t="shared" si="17"/>
        <v>377.95304971469415</v>
      </c>
    </row>
    <row r="78" spans="1:13">
      <c r="A78" s="355">
        <f t="shared" ref="A78:A84" si="18">A77+1</f>
        <v>6</v>
      </c>
      <c r="B78" s="899" t="s">
        <v>839</v>
      </c>
      <c r="C78" s="902">
        <v>1.4827991302672019</v>
      </c>
      <c r="D78" s="902">
        <v>0.52417407028400109</v>
      </c>
      <c r="E78" s="902">
        <v>0</v>
      </c>
      <c r="F78" s="902">
        <v>1.4827991302672019</v>
      </c>
      <c r="G78" s="902">
        <v>0</v>
      </c>
      <c r="H78" s="902">
        <v>0</v>
      </c>
      <c r="I78" s="902">
        <v>0</v>
      </c>
      <c r="J78" s="903">
        <f t="shared" si="15"/>
        <v>0</v>
      </c>
      <c r="K78" s="903">
        <f t="shared" si="16"/>
        <v>1.4827991302672019</v>
      </c>
      <c r="L78" s="516">
        <v>6.3299999999999995E-2</v>
      </c>
      <c r="M78" s="985">
        <f t="shared" si="17"/>
        <v>9.3861184945913875E-2</v>
      </c>
    </row>
    <row r="79" spans="1:13">
      <c r="A79" s="355">
        <f t="shared" si="18"/>
        <v>7</v>
      </c>
      <c r="B79" s="899" t="s">
        <v>840</v>
      </c>
      <c r="C79" s="902">
        <v>2.2637317126348204</v>
      </c>
      <c r="D79" s="902">
        <v>0.80023614906554597</v>
      </c>
      <c r="E79" s="902">
        <v>0</v>
      </c>
      <c r="F79" s="902">
        <v>2.2637317126348204</v>
      </c>
      <c r="G79" s="902">
        <v>0</v>
      </c>
      <c r="H79" s="902">
        <v>0</v>
      </c>
      <c r="I79" s="902">
        <v>0</v>
      </c>
      <c r="J79" s="903">
        <f t="shared" si="15"/>
        <v>0</v>
      </c>
      <c r="K79" s="903">
        <f t="shared" si="16"/>
        <v>2.2637317126348204</v>
      </c>
      <c r="L79" s="516">
        <v>6.3299999999999995E-2</v>
      </c>
      <c r="M79" s="985">
        <f t="shared" si="17"/>
        <v>0.14329421740978412</v>
      </c>
    </row>
    <row r="80" spans="1:13">
      <c r="A80" s="355">
        <f t="shared" si="18"/>
        <v>8</v>
      </c>
      <c r="B80" s="899" t="s">
        <v>841</v>
      </c>
      <c r="C80" s="902">
        <v>58.839833339113284</v>
      </c>
      <c r="D80" s="902">
        <v>20.800062737181037</v>
      </c>
      <c r="E80" s="902">
        <v>0</v>
      </c>
      <c r="F80" s="902">
        <v>58.839833339113284</v>
      </c>
      <c r="G80" s="902">
        <v>0</v>
      </c>
      <c r="H80" s="902">
        <v>0</v>
      </c>
      <c r="I80" s="902">
        <v>0</v>
      </c>
      <c r="J80" s="903">
        <f t="shared" si="15"/>
        <v>0</v>
      </c>
      <c r="K80" s="903">
        <f t="shared" si="16"/>
        <v>58.839833339113284</v>
      </c>
      <c r="L80" s="516">
        <v>6.3299999999999995E-2</v>
      </c>
      <c r="M80" s="985">
        <f t="shared" si="17"/>
        <v>3.7245614503658704</v>
      </c>
    </row>
    <row r="81" spans="1:13" ht="29">
      <c r="A81" s="355">
        <f t="shared" si="18"/>
        <v>9</v>
      </c>
      <c r="B81" s="888" t="s">
        <v>1382</v>
      </c>
      <c r="C81" s="902">
        <v>0</v>
      </c>
      <c r="D81" s="902">
        <v>0</v>
      </c>
      <c r="E81" s="902">
        <v>0</v>
      </c>
      <c r="F81" s="902">
        <v>0</v>
      </c>
      <c r="G81" s="902">
        <v>0</v>
      </c>
      <c r="H81" s="902">
        <v>0</v>
      </c>
      <c r="I81" s="902">
        <v>0</v>
      </c>
      <c r="J81" s="903"/>
      <c r="K81" s="516"/>
      <c r="L81" s="1460"/>
      <c r="M81" s="295"/>
    </row>
    <row r="82" spans="1:13">
      <c r="A82" s="355">
        <f t="shared" si="18"/>
        <v>10</v>
      </c>
      <c r="B82" s="905" t="s">
        <v>1388</v>
      </c>
      <c r="C82" s="902">
        <v>16572.303463100001</v>
      </c>
      <c r="D82" s="902">
        <v>5688.262191396735</v>
      </c>
      <c r="E82" s="902">
        <v>0</v>
      </c>
      <c r="F82" s="902">
        <v>16572.303463100001</v>
      </c>
      <c r="G82" s="902">
        <v>0</v>
      </c>
      <c r="H82" s="902">
        <v>0</v>
      </c>
      <c r="I82" s="902">
        <v>0</v>
      </c>
      <c r="J82" s="907">
        <f t="shared" si="15"/>
        <v>0</v>
      </c>
      <c r="K82" s="903">
        <f t="shared" si="16"/>
        <v>16572.303463100001</v>
      </c>
      <c r="L82" s="1290">
        <f>M82/K82</f>
        <v>5.2608891127488996E-2</v>
      </c>
      <c r="M82" s="906">
        <f>SUM(M73:M80)</f>
        <v>871.8505086219368</v>
      </c>
    </row>
    <row r="83" spans="1:13">
      <c r="A83" s="355">
        <f t="shared" si="18"/>
        <v>11</v>
      </c>
      <c r="B83" s="899" t="s">
        <v>1389</v>
      </c>
      <c r="C83" s="902">
        <v>0.98196907186821492</v>
      </c>
      <c r="D83" s="902">
        <v>0</v>
      </c>
      <c r="E83" s="902">
        <v>0</v>
      </c>
      <c r="F83" s="902">
        <v>0</v>
      </c>
      <c r="G83" s="902">
        <v>0</v>
      </c>
      <c r="H83" s="902">
        <v>0</v>
      </c>
      <c r="I83" s="902">
        <v>0</v>
      </c>
      <c r="J83" s="903">
        <f t="shared" si="15"/>
        <v>0</v>
      </c>
      <c r="K83" s="470"/>
      <c r="L83" s="903"/>
      <c r="M83" s="295"/>
    </row>
    <row r="84" spans="1:13">
      <c r="A84" s="355">
        <f t="shared" si="18"/>
        <v>12</v>
      </c>
      <c r="B84" s="905" t="s">
        <v>1390</v>
      </c>
      <c r="C84" s="902">
        <v>16571.321494028132</v>
      </c>
      <c r="D84" s="902">
        <v>5688.262191396735</v>
      </c>
      <c r="E84" s="902">
        <v>0</v>
      </c>
      <c r="F84" s="902">
        <v>16572.303463100001</v>
      </c>
      <c r="G84" s="902">
        <v>0</v>
      </c>
      <c r="H84" s="902">
        <v>0</v>
      </c>
      <c r="I84" s="902">
        <v>0</v>
      </c>
      <c r="J84" s="906">
        <f>J82-J83</f>
        <v>0</v>
      </c>
      <c r="K84" s="907">
        <f>K82-K83</f>
        <v>16572.303463100001</v>
      </c>
      <c r="L84" s="1291">
        <f>L82</f>
        <v>5.2608891127488996E-2</v>
      </c>
      <c r="M84" s="985">
        <f>M82</f>
        <v>871.8505086219368</v>
      </c>
    </row>
    <row r="85" spans="1:13">
      <c r="A85" s="1215"/>
      <c r="B85" s="1215"/>
      <c r="C85" s="1216"/>
      <c r="D85" s="1217"/>
      <c r="E85" s="1217"/>
      <c r="F85" s="1218"/>
      <c r="G85" s="1218"/>
      <c r="H85" s="1218"/>
      <c r="I85" s="1218"/>
      <c r="J85" s="1218"/>
      <c r="K85" s="1219"/>
      <c r="L85" s="1220"/>
      <c r="M85" s="658"/>
    </row>
    <row r="86" spans="1:13">
      <c r="A86" s="1198"/>
      <c r="B86" s="1198"/>
      <c r="C86" s="1198" t="s">
        <v>1613</v>
      </c>
      <c r="D86" s="1198"/>
      <c r="E86" s="1198"/>
      <c r="F86" s="1198"/>
      <c r="G86" s="1198"/>
      <c r="H86" s="1198"/>
      <c r="I86" s="1198"/>
      <c r="J86" s="1198"/>
      <c r="K86" s="1198"/>
      <c r="L86" s="1198"/>
      <c r="M86" s="658"/>
    </row>
    <row r="87" spans="1:13" ht="43.5">
      <c r="A87" s="893" t="s">
        <v>1559</v>
      </c>
      <c r="B87" s="893" t="s">
        <v>14</v>
      </c>
      <c r="C87" s="881"/>
      <c r="D87" s="881"/>
      <c r="E87" s="881" t="s">
        <v>1567</v>
      </c>
      <c r="F87" s="881" t="s">
        <v>1377</v>
      </c>
      <c r="G87" s="881"/>
      <c r="H87" s="881"/>
      <c r="I87" s="881" t="s">
        <v>969</v>
      </c>
      <c r="J87" s="881" t="s">
        <v>1379</v>
      </c>
      <c r="K87" s="881" t="s">
        <v>1380</v>
      </c>
      <c r="L87" s="881" t="s">
        <v>1381</v>
      </c>
      <c r="M87" s="658"/>
    </row>
    <row r="88" spans="1:13">
      <c r="A88" s="355"/>
      <c r="B88" s="894"/>
      <c r="C88" s="894"/>
      <c r="D88" s="894"/>
      <c r="E88" s="894"/>
      <c r="F88" s="894"/>
      <c r="G88" s="894"/>
      <c r="H88" s="894"/>
      <c r="I88" s="894"/>
      <c r="J88" s="894"/>
      <c r="K88" s="894"/>
      <c r="L88" s="894"/>
      <c r="M88" s="658"/>
    </row>
    <row r="89" spans="1:13">
      <c r="A89" s="355">
        <v>1</v>
      </c>
      <c r="B89" s="895" t="s">
        <v>1385</v>
      </c>
      <c r="C89" s="896"/>
      <c r="D89" s="896"/>
      <c r="E89" s="896">
        <v>0.22937549381219338</v>
      </c>
      <c r="F89" s="896">
        <v>0.10237860542887946</v>
      </c>
      <c r="G89" s="896">
        <v>0</v>
      </c>
      <c r="H89" s="896">
        <v>0</v>
      </c>
      <c r="I89" s="909">
        <f>E89+F89-H89-G89</f>
        <v>0.33175409924107285</v>
      </c>
      <c r="J89" s="909">
        <f>AVERAGE(E89,I89)</f>
        <v>0.28056479652663313</v>
      </c>
      <c r="K89" s="1288">
        <v>0</v>
      </c>
      <c r="L89" s="909">
        <f>J89*K89</f>
        <v>0</v>
      </c>
      <c r="M89" s="658"/>
    </row>
    <row r="90" spans="1:13">
      <c r="A90" s="355">
        <f>A89+1</f>
        <v>2</v>
      </c>
      <c r="B90" s="895" t="s">
        <v>837</v>
      </c>
      <c r="C90" s="896"/>
      <c r="D90" s="896"/>
      <c r="E90" s="896">
        <v>45.422169249278951</v>
      </c>
      <c r="F90" s="896">
        <v>20.273562210195049</v>
      </c>
      <c r="G90" s="896">
        <v>0</v>
      </c>
      <c r="H90" s="896">
        <v>0</v>
      </c>
      <c r="I90" s="909">
        <f>E90+F90-H90-G90</f>
        <v>65.695731459474004</v>
      </c>
      <c r="J90" s="909">
        <f t="shared" ref="J90:J100" si="19">AVERAGE(E90,I90)</f>
        <v>55.558950354376478</v>
      </c>
      <c r="K90" s="1288">
        <v>3.3399999999999999E-2</v>
      </c>
      <c r="L90" s="909">
        <f t="shared" ref="L90:L96" si="20">J90*K90</f>
        <v>1.8556689418361743</v>
      </c>
      <c r="M90" s="658"/>
    </row>
    <row r="91" spans="1:13">
      <c r="A91" s="355">
        <f>A90+1</f>
        <v>3</v>
      </c>
      <c r="B91" s="899" t="s">
        <v>838</v>
      </c>
      <c r="C91" s="896"/>
      <c r="D91" s="896"/>
      <c r="E91" s="896">
        <v>0</v>
      </c>
      <c r="F91" s="896">
        <v>0</v>
      </c>
      <c r="G91" s="896">
        <v>0</v>
      </c>
      <c r="H91" s="896">
        <v>0</v>
      </c>
      <c r="I91" s="909">
        <f t="shared" ref="I91:I98" si="21">E91+F91-H91-G91</f>
        <v>0</v>
      </c>
      <c r="J91" s="909">
        <f t="shared" si="19"/>
        <v>0</v>
      </c>
      <c r="K91" s="1288">
        <v>3.3399999999999999E-2</v>
      </c>
      <c r="L91" s="909">
        <f t="shared" si="20"/>
        <v>0</v>
      </c>
      <c r="M91" s="658"/>
    </row>
    <row r="92" spans="1:13">
      <c r="A92" s="355">
        <f>A91+1</f>
        <v>4</v>
      </c>
      <c r="B92" s="895" t="s">
        <v>1386</v>
      </c>
      <c r="C92" s="896"/>
      <c r="D92" s="896"/>
      <c r="E92" s="896">
        <v>2138.7435896525812</v>
      </c>
      <c r="F92" s="896">
        <v>954.59886511619641</v>
      </c>
      <c r="G92" s="896">
        <v>0</v>
      </c>
      <c r="H92" s="896">
        <v>0</v>
      </c>
      <c r="I92" s="909">
        <f t="shared" si="21"/>
        <v>3093.3424547687778</v>
      </c>
      <c r="J92" s="909">
        <f t="shared" si="19"/>
        <v>2616.0430222106797</v>
      </c>
      <c r="K92" s="1288">
        <v>5.28E-2</v>
      </c>
      <c r="L92" s="909">
        <f t="shared" si="20"/>
        <v>138.12707157272388</v>
      </c>
      <c r="M92" s="658"/>
    </row>
    <row r="93" spans="1:13">
      <c r="A93" s="355">
        <f>A92+1</f>
        <v>5</v>
      </c>
      <c r="B93" s="895" t="s">
        <v>1387</v>
      </c>
      <c r="C93" s="896"/>
      <c r="D93" s="896"/>
      <c r="E93" s="896">
        <v>1672.0649321716276</v>
      </c>
      <c r="F93" s="896">
        <v>746.30324755802314</v>
      </c>
      <c r="G93" s="896">
        <v>0</v>
      </c>
      <c r="H93" s="896">
        <v>0</v>
      </c>
      <c r="I93" s="909">
        <f t="shared" si="21"/>
        <v>2418.3681797296508</v>
      </c>
      <c r="J93" s="909">
        <f t="shared" si="19"/>
        <v>2045.2165559506393</v>
      </c>
      <c r="K93" s="1288">
        <v>5.28E-2</v>
      </c>
      <c r="L93" s="909">
        <f t="shared" si="20"/>
        <v>107.98743415419375</v>
      </c>
      <c r="M93" s="658"/>
    </row>
    <row r="94" spans="1:13">
      <c r="A94" s="355">
        <f t="shared" ref="A94:A100" si="22">A93+1</f>
        <v>6</v>
      </c>
      <c r="B94" s="895" t="s">
        <v>839</v>
      </c>
      <c r="C94" s="896"/>
      <c r="D94" s="896"/>
      <c r="E94" s="896">
        <v>0.34636302962398779</v>
      </c>
      <c r="F94" s="896">
        <v>0.15459438737627038</v>
      </c>
      <c r="G94" s="896">
        <v>0</v>
      </c>
      <c r="H94" s="896">
        <v>0</v>
      </c>
      <c r="I94" s="909">
        <f t="shared" si="21"/>
        <v>0.5009574170002582</v>
      </c>
      <c r="J94" s="909">
        <f t="shared" si="19"/>
        <v>0.423660223312123</v>
      </c>
      <c r="K94" s="1288">
        <v>6.3299999999999995E-2</v>
      </c>
      <c r="L94" s="909">
        <f t="shared" si="20"/>
        <v>2.6817692135657385E-2</v>
      </c>
      <c r="M94" s="658"/>
    </row>
    <row r="95" spans="1:13">
      <c r="A95" s="355">
        <f t="shared" si="22"/>
        <v>7</v>
      </c>
      <c r="B95" s="895" t="s">
        <v>840</v>
      </c>
      <c r="C95" s="896"/>
      <c r="D95" s="896"/>
      <c r="E95" s="896">
        <v>0.52877895477508408</v>
      </c>
      <c r="F95" s="896">
        <v>0.2360132334552639</v>
      </c>
      <c r="G95" s="896">
        <v>0</v>
      </c>
      <c r="H95" s="896">
        <v>0</v>
      </c>
      <c r="I95" s="909">
        <f t="shared" si="21"/>
        <v>0.764792188230348</v>
      </c>
      <c r="J95" s="909">
        <f t="shared" si="19"/>
        <v>0.64678557150271598</v>
      </c>
      <c r="K95" s="1288">
        <v>6.3299999999999995E-2</v>
      </c>
      <c r="L95" s="909">
        <f t="shared" si="20"/>
        <v>4.0941526676121921E-2</v>
      </c>
      <c r="M95" s="658"/>
    </row>
    <row r="96" spans="1:13">
      <c r="A96" s="355">
        <f t="shared" si="22"/>
        <v>8</v>
      </c>
      <c r="B96" s="895" t="s">
        <v>841</v>
      </c>
      <c r="C96" s="896"/>
      <c r="D96" s="896"/>
      <c r="E96" s="896">
        <v>13.744237180819841</v>
      </c>
      <c r="F96" s="896">
        <v>6.1345517425161313</v>
      </c>
      <c r="G96" s="896">
        <v>0</v>
      </c>
      <c r="H96" s="896">
        <v>0</v>
      </c>
      <c r="I96" s="909">
        <f t="shared" si="21"/>
        <v>19.878788923335971</v>
      </c>
      <c r="J96" s="909">
        <f t="shared" si="19"/>
        <v>16.811513052077906</v>
      </c>
      <c r="K96" s="1288">
        <v>6.3299999999999995E-2</v>
      </c>
      <c r="L96" s="909">
        <f t="shared" si="20"/>
        <v>1.0641687761965313</v>
      </c>
      <c r="M96" s="658"/>
    </row>
    <row r="97" spans="1:13" ht="29">
      <c r="A97" s="355">
        <f t="shared" si="22"/>
        <v>9</v>
      </c>
      <c r="B97" s="888" t="s">
        <v>1382</v>
      </c>
      <c r="C97" s="896"/>
      <c r="D97" s="896"/>
      <c r="E97" s="896">
        <v>0</v>
      </c>
      <c r="F97" s="896">
        <v>0</v>
      </c>
      <c r="G97" s="896">
        <v>0</v>
      </c>
      <c r="H97" s="896">
        <v>0</v>
      </c>
      <c r="I97" s="909">
        <f t="shared" si="21"/>
        <v>0</v>
      </c>
      <c r="J97" s="909"/>
      <c r="K97" s="1288">
        <v>0</v>
      </c>
      <c r="L97" s="909"/>
      <c r="M97" s="658"/>
    </row>
    <row r="98" spans="1:13">
      <c r="A98" s="355">
        <f t="shared" si="22"/>
        <v>10</v>
      </c>
      <c r="B98" s="900" t="s">
        <v>1388</v>
      </c>
      <c r="C98" s="896"/>
      <c r="D98" s="896"/>
      <c r="E98" s="896">
        <v>3871.0794457325187</v>
      </c>
      <c r="F98" s="896">
        <v>1727.8032128531909</v>
      </c>
      <c r="G98" s="896">
        <v>0</v>
      </c>
      <c r="H98" s="896">
        <v>0</v>
      </c>
      <c r="I98" s="909">
        <f t="shared" si="21"/>
        <v>5598.8826585857096</v>
      </c>
      <c r="J98" s="909">
        <f t="shared" si="19"/>
        <v>4734.9810521591144</v>
      </c>
      <c r="K98" s="1288">
        <v>0</v>
      </c>
      <c r="L98" s="909">
        <f>SUM(L89:L96)</f>
        <v>249.10210266376214</v>
      </c>
      <c r="M98" s="658"/>
    </row>
    <row r="99" spans="1:13" ht="29">
      <c r="A99" s="355">
        <f t="shared" si="22"/>
        <v>11</v>
      </c>
      <c r="B99" s="895" t="s">
        <v>1389</v>
      </c>
      <c r="C99" s="896"/>
      <c r="D99" s="896"/>
      <c r="E99" s="896">
        <v>0.22937549381219338</v>
      </c>
      <c r="F99" s="896">
        <v>0.10237860542887946</v>
      </c>
      <c r="G99" s="896">
        <v>0</v>
      </c>
      <c r="H99" s="896">
        <v>0</v>
      </c>
      <c r="I99" s="909">
        <f t="shared" ref="I99" si="23">E99+F99-H99</f>
        <v>0.33175409924107285</v>
      </c>
      <c r="J99" s="909">
        <f t="shared" si="19"/>
        <v>0.28056479652663313</v>
      </c>
      <c r="K99" s="1288">
        <v>0</v>
      </c>
      <c r="L99" s="910">
        <v>0</v>
      </c>
      <c r="M99" s="658"/>
    </row>
    <row r="100" spans="1:13">
      <c r="A100" s="355">
        <f t="shared" si="22"/>
        <v>12</v>
      </c>
      <c r="B100" s="900" t="s">
        <v>1390</v>
      </c>
      <c r="C100" s="896"/>
      <c r="D100" s="896"/>
      <c r="E100" s="896">
        <v>3870.8500702387064</v>
      </c>
      <c r="F100" s="896">
        <v>1727.700834247762</v>
      </c>
      <c r="G100" s="896">
        <v>0</v>
      </c>
      <c r="H100" s="896">
        <v>0</v>
      </c>
      <c r="I100" s="909">
        <f>E100+F100-H100-G100</f>
        <v>5598.5509044864684</v>
      </c>
      <c r="J100" s="909">
        <f t="shared" si="19"/>
        <v>4734.7004873625874</v>
      </c>
      <c r="K100" s="1288">
        <v>5.2610165417981331E-2</v>
      </c>
      <c r="L100" s="896">
        <f>L98-L99</f>
        <v>249.10210266376214</v>
      </c>
      <c r="M100" s="658"/>
    </row>
    <row r="102" spans="1:13">
      <c r="B102" s="447" t="s">
        <v>14</v>
      </c>
      <c r="C102" s="447" t="s">
        <v>545</v>
      </c>
      <c r="D102" s="447" t="s">
        <v>546</v>
      </c>
      <c r="E102" s="447" t="s">
        <v>547</v>
      </c>
    </row>
    <row r="103" spans="1:13">
      <c r="B103" s="895" t="s">
        <v>1560</v>
      </c>
      <c r="C103" s="1221">
        <f>M17+L36</f>
        <v>952.91091699454194</v>
      </c>
      <c r="D103" s="1222">
        <f>M50+L68</f>
        <v>1035.5108113948831</v>
      </c>
      <c r="E103" s="1223">
        <f>M82+L100</f>
        <v>1120.9526112856988</v>
      </c>
    </row>
    <row r="104" spans="1:13">
      <c r="B104" s="895" t="s">
        <v>1561</v>
      </c>
      <c r="C104" s="985">
        <f>'F18'!N13</f>
        <v>150.17121650000001</v>
      </c>
      <c r="D104" s="985">
        <f>'F18'!T13</f>
        <v>134.6936748</v>
      </c>
      <c r="E104" s="985">
        <f>'F18'!W13</f>
        <v>134.6936748</v>
      </c>
    </row>
    <row r="105" spans="1:13">
      <c r="B105" s="900" t="s">
        <v>1384</v>
      </c>
      <c r="C105" s="1224">
        <f>C103-C104</f>
        <v>802.73970049454192</v>
      </c>
      <c r="D105" s="1224">
        <f t="shared" ref="D105:E105" si="24">D103-D104</f>
        <v>900.8171365948831</v>
      </c>
      <c r="E105" s="1224">
        <f t="shared" si="24"/>
        <v>986.25893648569877</v>
      </c>
    </row>
  </sheetData>
  <printOptions horizontalCentered="1"/>
  <pageMargins left="0.19685039370078741" right="0.19685039370078741" top="0.19685039370078741" bottom="0.19685039370078741" header="0.19685039370078741" footer="0.19685039370078741"/>
  <pageSetup paperSize="9" scale="84" fitToHeight="3" orientation="landscape" r:id="rId1"/>
  <rowBreaks count="2" manualBreakCount="2">
    <brk id="37" max="16383" man="1"/>
    <brk id="6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view="pageBreakPreview" zoomScale="85" zoomScaleNormal="85" zoomScaleSheetLayoutView="85" workbookViewId="0">
      <selection activeCell="C105" sqref="C105"/>
    </sheetView>
  </sheetViews>
  <sheetFormatPr defaultColWidth="9.1796875" defaultRowHeight="14.5"/>
  <cols>
    <col min="1" max="1" width="32.54296875" customWidth="1"/>
    <col min="2" max="5" width="10.1796875" style="381" bestFit="1" customWidth="1"/>
    <col min="6" max="9" width="13.1796875" customWidth="1"/>
    <col min="10" max="10" width="13.1796875" style="220" customWidth="1"/>
    <col min="11" max="12" width="13.1796875" customWidth="1"/>
  </cols>
  <sheetData>
    <row r="1" spans="1:12" s="251" customFormat="1">
      <c r="A1" s="3314" t="s">
        <v>906</v>
      </c>
      <c r="B1" s="3314"/>
      <c r="C1" s="3314"/>
      <c r="D1" s="3314"/>
      <c r="E1" s="3314"/>
      <c r="F1" s="3314"/>
    </row>
    <row r="2" spans="1:12">
      <c r="A2" s="3421" t="s">
        <v>1604</v>
      </c>
      <c r="B2" s="3421"/>
      <c r="C2" s="3421"/>
      <c r="D2" s="3421"/>
      <c r="E2" s="3421"/>
      <c r="F2" s="3421"/>
      <c r="G2" s="3421"/>
      <c r="H2" s="3421"/>
      <c r="I2" s="3421"/>
      <c r="J2" s="239"/>
    </row>
    <row r="3" spans="1:12">
      <c r="A3" s="574" t="s">
        <v>33</v>
      </c>
      <c r="B3" s="574"/>
      <c r="C3" s="574"/>
      <c r="D3" s="574"/>
      <c r="E3" s="574"/>
      <c r="F3" s="574"/>
      <c r="G3" s="574"/>
      <c r="H3" s="3330"/>
      <c r="I3" s="3330"/>
      <c r="J3" s="232"/>
      <c r="K3" s="3330"/>
      <c r="L3" s="3330"/>
    </row>
    <row r="4" spans="1:12">
      <c r="H4" s="3318"/>
      <c r="I4" s="3318"/>
      <c r="J4" s="231"/>
      <c r="K4" s="996"/>
      <c r="L4" s="996" t="s">
        <v>141</v>
      </c>
    </row>
    <row r="5" spans="1:12">
      <c r="A5" s="3422" t="s">
        <v>14</v>
      </c>
      <c r="B5" s="3044" t="s">
        <v>803</v>
      </c>
      <c r="C5" s="3045"/>
      <c r="D5" s="3045"/>
      <c r="E5" s="3045"/>
      <c r="F5" s="3414"/>
      <c r="G5" s="3026" t="s">
        <v>542</v>
      </c>
      <c r="H5" s="3026"/>
      <c r="I5" s="3026"/>
      <c r="J5" s="3024" t="s">
        <v>550</v>
      </c>
      <c r="K5" s="3025"/>
      <c r="L5" s="920" t="s">
        <v>952</v>
      </c>
    </row>
    <row r="6" spans="1:12">
      <c r="A6" s="3423"/>
      <c r="B6" s="928" t="s">
        <v>557</v>
      </c>
      <c r="C6" s="929" t="s">
        <v>556</v>
      </c>
      <c r="D6" s="929" t="s">
        <v>555</v>
      </c>
      <c r="E6" s="929" t="s">
        <v>553</v>
      </c>
      <c r="F6" s="929" t="s">
        <v>551</v>
      </c>
      <c r="G6" s="3415" t="s">
        <v>545</v>
      </c>
      <c r="H6" s="3416"/>
      <c r="I6" s="3417"/>
      <c r="J6" s="3412" t="s">
        <v>546</v>
      </c>
      <c r="K6" s="3412"/>
      <c r="L6" s="923" t="s">
        <v>547</v>
      </c>
    </row>
    <row r="7" spans="1:12" ht="29">
      <c r="A7" s="3424"/>
      <c r="B7" s="379" t="s">
        <v>554</v>
      </c>
      <c r="C7" s="379" t="s">
        <v>554</v>
      </c>
      <c r="D7" s="379" t="s">
        <v>554</v>
      </c>
      <c r="E7" s="379" t="s">
        <v>554</v>
      </c>
      <c r="F7" s="193" t="s">
        <v>554</v>
      </c>
      <c r="G7" s="196" t="s">
        <v>543</v>
      </c>
      <c r="H7" s="380" t="s">
        <v>281</v>
      </c>
      <c r="I7" s="380" t="s">
        <v>544</v>
      </c>
      <c r="J7" s="196" t="s">
        <v>543</v>
      </c>
      <c r="K7" s="196" t="s">
        <v>552</v>
      </c>
      <c r="L7" s="194" t="s">
        <v>283</v>
      </c>
    </row>
    <row r="8" spans="1:12">
      <c r="A8" s="668" t="s">
        <v>161</v>
      </c>
      <c r="B8" s="1191"/>
      <c r="C8" s="1191"/>
      <c r="D8" s="1191"/>
      <c r="E8" s="1191">
        <f>'F15'!D8</f>
        <v>8702.2100000000009</v>
      </c>
      <c r="F8" s="1191">
        <f>'F15'!E8</f>
        <v>8702.2100000000009</v>
      </c>
      <c r="G8" s="1191">
        <f>'F15'!F8</f>
        <v>8702.2100000000009</v>
      </c>
      <c r="H8" s="1191">
        <f>'F15'!G8</f>
        <v>8702.2100000000009</v>
      </c>
      <c r="I8" s="1191">
        <f>'F15'!H8</f>
        <v>17300.59</v>
      </c>
      <c r="J8" s="1114"/>
      <c r="K8" s="1055">
        <f>'F15'!I8</f>
        <v>18788.303859</v>
      </c>
      <c r="L8" s="1055">
        <f>'F15'!J8</f>
        <v>20173.995559232517</v>
      </c>
    </row>
    <row r="9" spans="1:12">
      <c r="A9" s="669" t="s">
        <v>162</v>
      </c>
      <c r="B9" s="1058"/>
      <c r="C9" s="1058"/>
      <c r="D9" s="1058"/>
      <c r="E9" s="1058"/>
      <c r="F9" s="1063"/>
      <c r="G9" s="1063"/>
      <c r="H9" s="1063"/>
      <c r="I9" s="1063"/>
      <c r="J9" s="1192"/>
      <c r="K9" s="1193"/>
      <c r="L9" s="1193"/>
    </row>
    <row r="10" spans="1:12">
      <c r="A10" s="669" t="s">
        <v>187</v>
      </c>
      <c r="B10" s="1058"/>
      <c r="C10" s="1058"/>
      <c r="D10" s="1058"/>
      <c r="E10" s="1114">
        <f t="shared" ref="E10:G10" si="0">E8-E9</f>
        <v>8702.2100000000009</v>
      </c>
      <c r="F10" s="1114">
        <f t="shared" si="0"/>
        <v>8702.2100000000009</v>
      </c>
      <c r="G10" s="1114">
        <f t="shared" si="0"/>
        <v>8702.2100000000009</v>
      </c>
      <c r="H10" s="1063"/>
      <c r="I10" s="1114">
        <f>I8-I9</f>
        <v>17300.59</v>
      </c>
      <c r="J10" s="1114">
        <f>J8-J9</f>
        <v>0</v>
      </c>
      <c r="K10" s="1114">
        <f>K8-K9</f>
        <v>18788.303859</v>
      </c>
      <c r="L10" s="1114">
        <f t="shared" ref="L10" si="1">L8-L9</f>
        <v>20173.995559232517</v>
      </c>
    </row>
    <row r="11" spans="1:12">
      <c r="A11" s="669" t="s">
        <v>169</v>
      </c>
      <c r="B11" s="1058"/>
      <c r="C11" s="1058"/>
      <c r="D11" s="1058"/>
      <c r="E11" s="1113">
        <f t="shared" ref="E11" si="2">E10*10%</f>
        <v>870.22100000000012</v>
      </c>
      <c r="F11" s="1113">
        <f t="shared" ref="F11:G11" si="3">F10*10%</f>
        <v>870.22100000000012</v>
      </c>
      <c r="G11" s="1113">
        <f t="shared" si="3"/>
        <v>870.22100000000012</v>
      </c>
      <c r="H11" s="1063"/>
      <c r="I11" s="1113">
        <f t="shared" ref="I11" si="4">I10*10%</f>
        <v>1730.0590000000002</v>
      </c>
      <c r="J11" s="1113">
        <f t="shared" ref="J11:L11" si="5">J10*10%</f>
        <v>0</v>
      </c>
      <c r="K11" s="1113">
        <f t="shared" si="5"/>
        <v>1878.8303859</v>
      </c>
      <c r="L11" s="1113">
        <f t="shared" si="5"/>
        <v>2017.3995559232517</v>
      </c>
    </row>
    <row r="12" spans="1:12">
      <c r="A12" s="669" t="s">
        <v>163</v>
      </c>
      <c r="B12" s="1058"/>
      <c r="C12" s="1058"/>
      <c r="D12" s="1058"/>
      <c r="E12" s="1114"/>
      <c r="F12" s="1114">
        <f t="shared" ref="F12:G12" si="6">F10-F11</f>
        <v>7831.9890000000005</v>
      </c>
      <c r="G12" s="1114">
        <f t="shared" si="6"/>
        <v>7831.9890000000005</v>
      </c>
      <c r="H12" s="1063"/>
      <c r="I12" s="1114">
        <f>I10-I11</f>
        <v>15570.530999999999</v>
      </c>
      <c r="J12" s="1114">
        <f>J10-J11</f>
        <v>0</v>
      </c>
      <c r="K12" s="1114">
        <f t="shared" ref="K12:L12" si="7">K10-K11</f>
        <v>16909.473473099999</v>
      </c>
      <c r="L12" s="1114">
        <f t="shared" si="7"/>
        <v>18156.596003309263</v>
      </c>
    </row>
    <row r="13" spans="1:12" ht="29">
      <c r="A13" s="669" t="s">
        <v>166</v>
      </c>
      <c r="B13" s="1058"/>
      <c r="C13" s="1058"/>
      <c r="D13" s="1058"/>
      <c r="E13" s="1063"/>
      <c r="F13" s="1063"/>
      <c r="G13" s="1063"/>
      <c r="H13" s="1063"/>
      <c r="I13" s="1063">
        <f>F13+F15</f>
        <v>0</v>
      </c>
      <c r="J13" s="1194"/>
      <c r="K13" s="1078">
        <f>I13+I15</f>
        <v>802.73970049454192</v>
      </c>
      <c r="L13" s="1078">
        <f>K13+K15</f>
        <v>1703.556837089425</v>
      </c>
    </row>
    <row r="14" spans="1:12">
      <c r="A14" s="669" t="s">
        <v>164</v>
      </c>
      <c r="B14" s="1058"/>
      <c r="C14" s="1058"/>
      <c r="D14" s="1058"/>
      <c r="E14" s="1058"/>
      <c r="F14" s="1063"/>
      <c r="G14" s="1063"/>
      <c r="H14" s="1063"/>
      <c r="I14" s="1063"/>
      <c r="J14" s="1113">
        <f t="shared" ref="J14:L14" si="8">J12-J13</f>
        <v>0</v>
      </c>
      <c r="K14" s="1113">
        <f t="shared" si="8"/>
        <v>16106.733772605457</v>
      </c>
      <c r="L14" s="1113">
        <f t="shared" si="8"/>
        <v>16453.039166219838</v>
      </c>
    </row>
    <row r="15" spans="1:12" ht="58">
      <c r="A15" s="669" t="s">
        <v>758</v>
      </c>
      <c r="B15" s="1058"/>
      <c r="C15" s="1058"/>
      <c r="D15" s="1058"/>
      <c r="E15" s="1058"/>
      <c r="F15" s="1063"/>
      <c r="G15" s="1063"/>
      <c r="H15" s="1063"/>
      <c r="I15" s="1063">
        <f>'F1'!G28</f>
        <v>802.73970049454192</v>
      </c>
      <c r="J15" s="1060"/>
      <c r="K15" s="1057">
        <f>'F1'!H28</f>
        <v>900.8171365948831</v>
      </c>
      <c r="L15" s="1057">
        <f>'F1'!I28</f>
        <v>986.25893648569877</v>
      </c>
    </row>
    <row r="16" spans="1:12">
      <c r="A16" s="669" t="s">
        <v>165</v>
      </c>
      <c r="B16" s="1195"/>
      <c r="C16" s="1195"/>
      <c r="D16" s="1195"/>
      <c r="E16" s="1195"/>
      <c r="F16" s="1196"/>
      <c r="G16" s="1196"/>
      <c r="H16" s="1196"/>
      <c r="I16" s="1196"/>
      <c r="J16" s="1113">
        <f t="shared" ref="J16:L16" si="9">J14-J15</f>
        <v>0</v>
      </c>
      <c r="K16" s="1113">
        <f t="shared" si="9"/>
        <v>15205.916636010574</v>
      </c>
      <c r="L16" s="1113">
        <f t="shared" si="9"/>
        <v>15466.780229734139</v>
      </c>
    </row>
    <row r="17" spans="1:10">
      <c r="A17" s="3078"/>
      <c r="B17" s="3078"/>
      <c r="C17" s="3078"/>
      <c r="D17" s="3078"/>
      <c r="E17" s="3078"/>
      <c r="F17" s="3078"/>
      <c r="G17" s="3078"/>
      <c r="H17" s="3078"/>
      <c r="I17" s="3078"/>
    </row>
    <row r="19" spans="1:10">
      <c r="G19" s="2"/>
      <c r="H19" s="2"/>
      <c r="I19" s="2"/>
      <c r="J19" s="2"/>
    </row>
  </sheetData>
  <mergeCells count="12">
    <mergeCell ref="A1:F1"/>
    <mergeCell ref="J6:K6"/>
    <mergeCell ref="A17:I17"/>
    <mergeCell ref="A2:I2"/>
    <mergeCell ref="A5:A7"/>
    <mergeCell ref="G5:I5"/>
    <mergeCell ref="H3:I3"/>
    <mergeCell ref="H4:I4"/>
    <mergeCell ref="G6:I6"/>
    <mergeCell ref="B5:F5"/>
    <mergeCell ref="K3:L3"/>
    <mergeCell ref="J5:K5"/>
  </mergeCells>
  <printOptions horizontalCentered="1"/>
  <pageMargins left="0.19685039370078741" right="0.19685039370078741" top="0.19685039370078741" bottom="0.19685039370078741" header="0.19685039370078741" footer="0.19685039370078741"/>
  <pageSetup paperSize="9" scale="86"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86"/>
  <sheetViews>
    <sheetView showGridLines="0" view="pageBreakPreview" topLeftCell="A8" zoomScaleNormal="95" zoomScaleSheetLayoutView="100" workbookViewId="0">
      <selection activeCell="C105" sqref="C105"/>
    </sheetView>
  </sheetViews>
  <sheetFormatPr defaultColWidth="9.1796875" defaultRowHeight="14.5"/>
  <cols>
    <col min="1" max="1" width="5.81640625" style="413" customWidth="1"/>
    <col min="2" max="2" width="69" style="398" customWidth="1"/>
    <col min="3" max="3" width="20.1796875" style="398" bestFit="1" customWidth="1"/>
    <col min="4" max="4" width="17.26953125" style="398" customWidth="1"/>
    <col min="5" max="5" width="11.54296875" style="398" customWidth="1"/>
    <col min="6" max="6" width="11.1796875" style="398" customWidth="1"/>
    <col min="7" max="8" width="14.7265625" style="398" customWidth="1"/>
    <col min="9" max="9" width="15.26953125" style="398" bestFit="1" customWidth="1"/>
    <col min="10" max="10" width="14.81640625" style="398" customWidth="1"/>
    <col min="11" max="11" width="15" style="398" customWidth="1"/>
    <col min="12" max="12" width="11.7265625" style="398" bestFit="1" customWidth="1"/>
    <col min="13" max="14" width="16.54296875" style="398" customWidth="1"/>
    <col min="15" max="17" width="18.7265625" style="398" customWidth="1"/>
    <col min="18" max="16384" width="9.1796875" style="398"/>
  </cols>
  <sheetData>
    <row r="2" spans="1:16">
      <c r="A2" s="417" t="s">
        <v>907</v>
      </c>
      <c r="B2" s="417"/>
      <c r="C2" s="417"/>
      <c r="D2" s="417"/>
      <c r="E2" s="417"/>
      <c r="F2" s="417"/>
      <c r="G2" s="417"/>
      <c r="H2" s="417"/>
      <c r="I2" s="417"/>
      <c r="J2" s="417"/>
      <c r="K2" s="417"/>
      <c r="L2" s="417"/>
      <c r="M2" s="397"/>
      <c r="N2" s="397"/>
    </row>
    <row r="3" spans="1:16" s="400" customFormat="1">
      <c r="A3" s="417" t="s">
        <v>1604</v>
      </c>
      <c r="B3" s="417"/>
      <c r="C3" s="417"/>
      <c r="D3" s="417"/>
      <c r="E3" s="417"/>
      <c r="F3" s="417"/>
      <c r="G3" s="417"/>
      <c r="H3" s="417"/>
      <c r="I3" s="417"/>
      <c r="J3" s="417"/>
      <c r="K3" s="417"/>
      <c r="L3" s="417"/>
      <c r="M3" s="399"/>
      <c r="N3" s="399"/>
    </row>
    <row r="4" spans="1:16" s="400" customFormat="1">
      <c r="A4" s="290" t="s">
        <v>918</v>
      </c>
      <c r="B4" s="304"/>
      <c r="C4" s="304"/>
      <c r="D4" s="304"/>
      <c r="E4" s="304"/>
      <c r="F4" s="304"/>
      <c r="G4" s="304"/>
      <c r="H4" s="304"/>
      <c r="I4" s="304"/>
      <c r="J4" s="417"/>
      <c r="K4" s="417"/>
      <c r="L4" s="417"/>
      <c r="M4" s="304"/>
      <c r="N4" s="304"/>
      <c r="O4" s="304"/>
      <c r="P4" s="304"/>
    </row>
    <row r="5" spans="1:16" s="400" customFormat="1">
      <c r="A5" s="401" t="s">
        <v>846</v>
      </c>
      <c r="C5" s="401"/>
      <c r="D5" s="399"/>
      <c r="E5" s="399"/>
      <c r="F5" s="399"/>
      <c r="G5" s="399"/>
      <c r="H5" s="399"/>
      <c r="I5" s="402"/>
      <c r="J5" s="399"/>
      <c r="K5" s="399"/>
      <c r="L5" s="399"/>
      <c r="M5" s="399"/>
      <c r="N5" s="399"/>
    </row>
    <row r="6" spans="1:16" s="400" customFormat="1">
      <c r="A6" s="403"/>
      <c r="B6" s="404"/>
      <c r="C6" s="404"/>
      <c r="D6" s="399"/>
      <c r="E6" s="399"/>
      <c r="F6" s="399"/>
      <c r="G6" s="399"/>
      <c r="H6" s="399"/>
      <c r="I6" s="405" t="s">
        <v>836</v>
      </c>
      <c r="J6" s="399"/>
      <c r="K6" s="399"/>
      <c r="L6" s="405"/>
      <c r="M6" s="399"/>
      <c r="N6" s="399"/>
    </row>
    <row r="7" spans="1:16" ht="15" customHeight="1">
      <c r="A7" s="3427" t="s">
        <v>847</v>
      </c>
      <c r="B7" s="3427" t="s">
        <v>184</v>
      </c>
      <c r="C7" s="3425" t="s">
        <v>1375</v>
      </c>
      <c r="D7" s="3433"/>
      <c r="E7" s="3433"/>
      <c r="F7" s="3426"/>
      <c r="G7" s="3425" t="s">
        <v>1376</v>
      </c>
      <c r="H7" s="3426"/>
      <c r="I7" s="416" t="s">
        <v>952</v>
      </c>
      <c r="J7" s="406"/>
      <c r="K7" s="406"/>
      <c r="L7" s="406"/>
    </row>
    <row r="8" spans="1:16" ht="29">
      <c r="A8" s="3428"/>
      <c r="B8" s="3428"/>
      <c r="C8" s="415" t="s">
        <v>848</v>
      </c>
      <c r="D8" s="416" t="s">
        <v>849</v>
      </c>
      <c r="E8" s="416" t="s">
        <v>544</v>
      </c>
      <c r="F8" s="416" t="s">
        <v>850</v>
      </c>
      <c r="G8" s="416" t="s">
        <v>862</v>
      </c>
      <c r="H8" s="416" t="s">
        <v>552</v>
      </c>
      <c r="I8" s="416" t="s">
        <v>547</v>
      </c>
      <c r="J8" s="407"/>
    </row>
    <row r="9" spans="1:16">
      <c r="A9" s="3429"/>
      <c r="B9" s="3429"/>
      <c r="C9" s="416"/>
      <c r="D9" s="416"/>
      <c r="E9" s="416"/>
      <c r="F9" s="416"/>
      <c r="G9" s="416"/>
      <c r="H9" s="416"/>
      <c r="I9" s="416" t="s">
        <v>283</v>
      </c>
      <c r="J9" s="407"/>
    </row>
    <row r="10" spans="1:16">
      <c r="A10" s="408">
        <v>1</v>
      </c>
      <c r="B10" s="409" t="s">
        <v>851</v>
      </c>
      <c r="C10" s="698">
        <v>2538.88</v>
      </c>
      <c r="D10" s="1063"/>
      <c r="E10" s="698">
        <v>6267.7709999999997</v>
      </c>
      <c r="F10" s="698"/>
      <c r="G10" s="911">
        <v>3692.23</v>
      </c>
      <c r="H10" s="698">
        <f>E14</f>
        <v>6913.4056879454583</v>
      </c>
      <c r="I10" s="698">
        <f>H14</f>
        <v>7076.8583138733384</v>
      </c>
      <c r="J10" s="407"/>
    </row>
    <row r="11" spans="1:16">
      <c r="A11" s="408">
        <v>2</v>
      </c>
      <c r="B11" s="409" t="s">
        <v>852</v>
      </c>
      <c r="C11" s="698">
        <v>0</v>
      </c>
      <c r="D11" s="1063"/>
      <c r="E11" s="698"/>
      <c r="F11" s="698"/>
      <c r="G11" s="841"/>
      <c r="H11" s="698"/>
      <c r="I11" s="698"/>
      <c r="J11" s="407"/>
    </row>
    <row r="12" spans="1:16">
      <c r="A12" s="408">
        <v>3</v>
      </c>
      <c r="B12" s="409" t="s">
        <v>853</v>
      </c>
      <c r="C12" s="698">
        <v>573.30999999999995</v>
      </c>
      <c r="D12" s="1063"/>
      <c r="E12" s="698">
        <f>(F21A!G21-'F18'!P13)*70%</f>
        <v>1448.3743884399998</v>
      </c>
      <c r="F12" s="698"/>
      <c r="G12" s="879">
        <v>740.38</v>
      </c>
      <c r="H12" s="698">
        <f>(F21A!I21)*70%</f>
        <v>1064.2697625227627</v>
      </c>
      <c r="I12" s="698">
        <f>(F21A!K21)*70%</f>
        <v>1209.4622489972332</v>
      </c>
      <c r="J12" s="407"/>
    </row>
    <row r="13" spans="1:16">
      <c r="A13" s="408">
        <v>4</v>
      </c>
      <c r="B13" s="409" t="s">
        <v>854</v>
      </c>
      <c r="C13" s="698">
        <v>317.8</v>
      </c>
      <c r="D13" s="1063"/>
      <c r="E13" s="698">
        <f>'F1'!G28</f>
        <v>802.73970049454192</v>
      </c>
      <c r="F13" s="698"/>
      <c r="G13" s="879">
        <v>425.2</v>
      </c>
      <c r="H13" s="698">
        <f>'F1'!H28</f>
        <v>900.8171365948831</v>
      </c>
      <c r="I13" s="698">
        <f>'F1'!I28</f>
        <v>986.25893648569877</v>
      </c>
      <c r="J13" s="407"/>
    </row>
    <row r="14" spans="1:16">
      <c r="A14" s="408">
        <v>5</v>
      </c>
      <c r="B14" s="409" t="s">
        <v>855</v>
      </c>
      <c r="C14" s="698">
        <v>2794.39</v>
      </c>
      <c r="D14" s="1063"/>
      <c r="E14" s="717">
        <f>E10-E11+E12-E13</f>
        <v>6913.4056879454583</v>
      </c>
      <c r="F14" s="698"/>
      <c r="G14" s="717">
        <f>G10-G11+G12-G13</f>
        <v>4007.41</v>
      </c>
      <c r="H14" s="717">
        <f t="shared" ref="H14:I14" si="0">H10-H11+H12-H13</f>
        <v>7076.8583138733384</v>
      </c>
      <c r="I14" s="717">
        <f t="shared" si="0"/>
        <v>7300.0616263848724</v>
      </c>
      <c r="J14" s="407"/>
    </row>
    <row r="15" spans="1:16">
      <c r="A15" s="408">
        <v>6</v>
      </c>
      <c r="B15" s="409" t="s">
        <v>856</v>
      </c>
      <c r="C15" s="698">
        <v>2666.6350000000002</v>
      </c>
      <c r="D15" s="1063"/>
      <c r="E15" s="717">
        <f>AVERAGE(E10,E14)</f>
        <v>6590.5883439727295</v>
      </c>
      <c r="F15" s="698"/>
      <c r="G15" s="717">
        <f>AVERAGE(G10,G14)</f>
        <v>3849.8199999999997</v>
      </c>
      <c r="H15" s="717">
        <f t="shared" ref="H15:I15" si="1">AVERAGE(H10,H14)</f>
        <v>6995.1320009093979</v>
      </c>
      <c r="I15" s="717">
        <f t="shared" si="1"/>
        <v>7188.4599701291054</v>
      </c>
      <c r="J15" s="407"/>
    </row>
    <row r="16" spans="1:16">
      <c r="A16" s="408">
        <v>7</v>
      </c>
      <c r="B16" s="411" t="s">
        <v>857</v>
      </c>
      <c r="C16" s="1297">
        <v>8.6999999999999994E-2</v>
      </c>
      <c r="D16" s="1063"/>
      <c r="E16" s="1461">
        <f>D178</f>
        <v>0.1191611686587303</v>
      </c>
      <c r="F16" s="1063"/>
      <c r="G16" s="1461">
        <v>0.1024</v>
      </c>
      <c r="H16" s="1461">
        <f>G16</f>
        <v>0.1024</v>
      </c>
      <c r="I16" s="1461">
        <f>H16</f>
        <v>0.1024</v>
      </c>
      <c r="J16" s="407"/>
    </row>
    <row r="17" spans="1:14">
      <c r="A17" s="408">
        <v>8</v>
      </c>
      <c r="B17" s="623" t="s">
        <v>1336</v>
      </c>
      <c r="C17" s="698">
        <v>232.03</v>
      </c>
      <c r="D17" s="1063">
        <v>195.9148426212426</v>
      </c>
      <c r="E17" s="698">
        <f>E16*E15</f>
        <v>785.34220921639644</v>
      </c>
      <c r="F17" s="698"/>
      <c r="G17" s="880">
        <f>G15*G16</f>
        <v>394.22156799999999</v>
      </c>
      <c r="H17" s="698">
        <f>H15*H16</f>
        <v>716.30151689312243</v>
      </c>
      <c r="I17" s="698">
        <f t="shared" ref="I17" si="2">I15*I16</f>
        <v>736.09830094122037</v>
      </c>
      <c r="J17" s="407"/>
    </row>
    <row r="18" spans="1:14">
      <c r="A18" s="408">
        <v>9</v>
      </c>
      <c r="B18" s="411" t="s">
        <v>858</v>
      </c>
      <c r="C18" s="698">
        <v>21.66</v>
      </c>
      <c r="D18" s="698">
        <v>19.949393000000001</v>
      </c>
      <c r="E18" s="698">
        <f>D18</f>
        <v>19.949393000000001</v>
      </c>
      <c r="F18" s="698"/>
      <c r="G18" s="879">
        <v>22.68</v>
      </c>
      <c r="H18" s="698">
        <f>'F38'!L115</f>
        <v>21.115857017217639</v>
      </c>
      <c r="I18" s="698">
        <f>'F38'!M115</f>
        <v>22.820794705819491</v>
      </c>
      <c r="J18" s="407"/>
    </row>
    <row r="19" spans="1:14">
      <c r="A19" s="408">
        <v>10</v>
      </c>
      <c r="B19" s="412" t="s">
        <v>863</v>
      </c>
      <c r="C19" s="698">
        <v>253.69</v>
      </c>
      <c r="D19" s="698"/>
      <c r="E19" s="838">
        <f>E17+E18</f>
        <v>805.29160221639643</v>
      </c>
      <c r="F19" s="698"/>
      <c r="G19" s="879">
        <f>G17+G18</f>
        <v>416.901568</v>
      </c>
      <c r="H19" s="698">
        <f t="shared" ref="H19:I19" si="3">H17+H18</f>
        <v>737.41737391034007</v>
      </c>
      <c r="I19" s="698">
        <f t="shared" si="3"/>
        <v>758.91909564703985</v>
      </c>
      <c r="J19" s="407"/>
    </row>
    <row r="20" spans="1:14" s="400" customFormat="1">
      <c r="A20" s="403"/>
      <c r="B20" s="404"/>
      <c r="C20" s="404"/>
      <c r="D20" s="399"/>
      <c r="E20" s="399"/>
      <c r="F20" s="399"/>
      <c r="G20" s="399"/>
      <c r="H20" s="399"/>
      <c r="I20" s="402"/>
      <c r="J20" s="399"/>
      <c r="K20" s="399"/>
      <c r="L20" s="399"/>
      <c r="M20" s="399"/>
      <c r="N20" s="399"/>
    </row>
    <row r="21" spans="1:14">
      <c r="A21" s="401" t="s">
        <v>859</v>
      </c>
      <c r="C21" s="401"/>
    </row>
    <row r="22" spans="1:14">
      <c r="F22" s="405" t="s">
        <v>836</v>
      </c>
      <c r="N22" s="405"/>
    </row>
    <row r="23" spans="1:14" ht="30" customHeight="1">
      <c r="A23" s="3427" t="s">
        <v>847</v>
      </c>
      <c r="B23" s="3427" t="s">
        <v>184</v>
      </c>
      <c r="C23" s="3430" t="s">
        <v>860</v>
      </c>
      <c r="D23" s="3427" t="s">
        <v>1394</v>
      </c>
      <c r="E23" s="415" t="s">
        <v>550</v>
      </c>
      <c r="F23" s="416" t="s">
        <v>952</v>
      </c>
      <c r="G23" s="419"/>
      <c r="H23" s="419"/>
      <c r="I23" s="406"/>
      <c r="J23" s="406"/>
      <c r="K23" s="406"/>
    </row>
    <row r="24" spans="1:14">
      <c r="A24" s="3428"/>
      <c r="B24" s="3428"/>
      <c r="C24" s="3431"/>
      <c r="D24" s="3428"/>
      <c r="E24" s="839" t="s">
        <v>546</v>
      </c>
      <c r="F24" s="415" t="s">
        <v>547</v>
      </c>
      <c r="G24" s="418"/>
      <c r="H24" s="418"/>
      <c r="I24" s="407"/>
      <c r="J24" s="407"/>
      <c r="K24" s="407"/>
    </row>
    <row r="25" spans="1:14" ht="29">
      <c r="A25" s="3429"/>
      <c r="B25" s="3429"/>
      <c r="C25" s="3432"/>
      <c r="D25" s="3429"/>
      <c r="E25" s="840" t="s">
        <v>552</v>
      </c>
      <c r="F25" s="416" t="s">
        <v>283</v>
      </c>
      <c r="G25" s="418"/>
      <c r="H25" s="418"/>
      <c r="I25" s="407"/>
      <c r="J25" s="407"/>
      <c r="K25" s="407"/>
    </row>
    <row r="26" spans="1:14">
      <c r="A26" s="414">
        <v>1</v>
      </c>
      <c r="B26" s="412" t="s">
        <v>2750</v>
      </c>
      <c r="C26" s="1563"/>
      <c r="D26" s="685"/>
      <c r="E26" s="410"/>
      <c r="F26" s="841"/>
      <c r="G26" s="418"/>
      <c r="H26" s="418"/>
      <c r="I26" s="407"/>
      <c r="J26" s="407"/>
      <c r="K26" s="407"/>
    </row>
    <row r="27" spans="1:14">
      <c r="A27" s="414">
        <v>1.1000000000000001</v>
      </c>
      <c r="B27" s="412" t="s">
        <v>2751</v>
      </c>
      <c r="C27" s="1563" t="s">
        <v>2261</v>
      </c>
      <c r="D27" s="685">
        <v>1659.3582354</v>
      </c>
      <c r="E27" s="410"/>
      <c r="F27" s="841"/>
      <c r="G27" s="418"/>
      <c r="H27" s="418"/>
      <c r="I27" s="407"/>
      <c r="J27" s="407"/>
      <c r="K27" s="407"/>
    </row>
    <row r="28" spans="1:14">
      <c r="A28" s="414">
        <v>1.2</v>
      </c>
      <c r="B28" s="412" t="s">
        <v>2752</v>
      </c>
      <c r="C28" s="1563" t="s">
        <v>2753</v>
      </c>
      <c r="D28" s="685">
        <v>6743.2597505000003</v>
      </c>
      <c r="E28" s="410"/>
      <c r="F28" s="841"/>
      <c r="G28" s="418"/>
      <c r="H28" s="418"/>
      <c r="I28" s="407"/>
      <c r="J28" s="407"/>
      <c r="K28" s="407"/>
    </row>
    <row r="29" spans="1:14">
      <c r="A29" s="414">
        <v>1.3</v>
      </c>
      <c r="B29" s="412" t="s">
        <v>2754</v>
      </c>
      <c r="C29" s="1563" t="s">
        <v>2755</v>
      </c>
      <c r="D29" s="685">
        <v>286.00778919999999</v>
      </c>
      <c r="E29" s="410"/>
      <c r="F29" s="841"/>
      <c r="G29" s="418"/>
      <c r="H29" s="418"/>
      <c r="I29" s="407"/>
      <c r="J29" s="407"/>
      <c r="K29" s="407"/>
    </row>
    <row r="30" spans="1:14">
      <c r="A30" s="414">
        <v>1.4</v>
      </c>
      <c r="B30" s="412" t="s">
        <v>2756</v>
      </c>
      <c r="C30" s="1563" t="s">
        <v>2757</v>
      </c>
      <c r="D30" s="685">
        <f>D27+D28-D29</f>
        <v>8116.6101967000004</v>
      </c>
      <c r="E30" s="410"/>
      <c r="F30" s="841"/>
      <c r="G30" s="418"/>
      <c r="H30" s="418"/>
      <c r="I30" s="407"/>
      <c r="J30" s="407"/>
      <c r="K30" s="407"/>
    </row>
    <row r="31" spans="1:14">
      <c r="A31" s="414">
        <v>1.5</v>
      </c>
      <c r="B31" s="412" t="s">
        <v>2758</v>
      </c>
      <c r="C31" s="1563" t="s">
        <v>2759</v>
      </c>
      <c r="D31" s="685">
        <f>AVERAGE(D27,D30)</f>
        <v>4887.9842160500002</v>
      </c>
      <c r="E31" s="410"/>
      <c r="F31" s="841"/>
      <c r="G31" s="418"/>
      <c r="H31" s="418"/>
      <c r="I31" s="407"/>
      <c r="J31" s="407"/>
      <c r="K31" s="407"/>
    </row>
    <row r="32" spans="1:14">
      <c r="A32" s="414">
        <v>1.6</v>
      </c>
      <c r="B32" s="412" t="s">
        <v>2760</v>
      </c>
      <c r="C32" s="1563" t="s">
        <v>35</v>
      </c>
      <c r="D32" s="667">
        <f>D33/D27</f>
        <v>0.19849280105606784</v>
      </c>
      <c r="E32" s="410"/>
      <c r="F32" s="841"/>
      <c r="G32" s="418"/>
      <c r="H32" s="418"/>
      <c r="I32" s="407"/>
      <c r="J32" s="407"/>
      <c r="K32" s="407"/>
    </row>
    <row r="33" spans="1:11">
      <c r="A33" s="414">
        <v>1.7</v>
      </c>
      <c r="B33" s="412" t="s">
        <v>2761</v>
      </c>
      <c r="C33" s="1563" t="s">
        <v>2762</v>
      </c>
      <c r="D33" s="685">
        <v>329.3706641</v>
      </c>
      <c r="E33" s="410"/>
      <c r="F33" s="841"/>
      <c r="G33" s="418"/>
      <c r="H33" s="418"/>
      <c r="I33" s="407"/>
      <c r="J33" s="407"/>
      <c r="K33" s="407"/>
    </row>
    <row r="34" spans="1:11">
      <c r="A34" s="414"/>
      <c r="B34" s="412"/>
      <c r="C34" s="1563"/>
      <c r="D34" s="685"/>
      <c r="E34" s="410"/>
      <c r="F34" s="841"/>
      <c r="G34" s="418"/>
      <c r="H34" s="418"/>
      <c r="I34" s="407"/>
      <c r="J34" s="407"/>
      <c r="K34" s="407"/>
    </row>
    <row r="35" spans="1:11">
      <c r="A35" s="414">
        <v>2</v>
      </c>
      <c r="B35" s="412" t="s">
        <v>2763</v>
      </c>
      <c r="C35" s="1563"/>
      <c r="D35" s="685"/>
      <c r="E35" s="410"/>
      <c r="F35" s="841"/>
      <c r="G35" s="418"/>
      <c r="H35" s="418"/>
      <c r="I35" s="407"/>
      <c r="J35" s="407"/>
      <c r="K35" s="407"/>
    </row>
    <row r="36" spans="1:11">
      <c r="A36" s="414">
        <v>2.1</v>
      </c>
      <c r="B36" s="412" t="s">
        <v>2751</v>
      </c>
      <c r="C36" s="1563" t="s">
        <v>2261</v>
      </c>
      <c r="D36" s="685">
        <v>2521.4928937999998</v>
      </c>
      <c r="E36" s="410"/>
      <c r="F36" s="841"/>
      <c r="G36" s="418"/>
      <c r="H36" s="418"/>
      <c r="I36" s="407"/>
      <c r="J36" s="407"/>
      <c r="K36" s="407"/>
    </row>
    <row r="37" spans="1:11">
      <c r="A37" s="414">
        <v>2.2000000000000002</v>
      </c>
      <c r="B37" s="412" t="s">
        <v>2752</v>
      </c>
      <c r="C37" s="1563" t="s">
        <v>2753</v>
      </c>
      <c r="D37" s="685">
        <v>6730.7460000000001</v>
      </c>
      <c r="E37" s="410"/>
      <c r="F37" s="841"/>
      <c r="G37" s="418"/>
      <c r="H37" s="418"/>
      <c r="I37" s="407"/>
      <c r="J37" s="407"/>
      <c r="K37" s="407"/>
    </row>
    <row r="38" spans="1:11">
      <c r="A38" s="414">
        <v>2.2999999999999998</v>
      </c>
      <c r="B38" s="412" t="s">
        <v>2754</v>
      </c>
      <c r="C38" s="1563" t="s">
        <v>2755</v>
      </c>
      <c r="D38" s="685">
        <v>271.2664284</v>
      </c>
      <c r="E38" s="410"/>
      <c r="F38" s="841"/>
      <c r="G38" s="418"/>
      <c r="H38" s="418"/>
      <c r="I38" s="407"/>
      <c r="J38" s="407"/>
      <c r="K38" s="407"/>
    </row>
    <row r="39" spans="1:11">
      <c r="A39" s="414">
        <v>2.4</v>
      </c>
      <c r="B39" s="412" t="s">
        <v>2756</v>
      </c>
      <c r="C39" s="1563" t="s">
        <v>2757</v>
      </c>
      <c r="D39" s="685">
        <f>D36+D37-D38</f>
        <v>8980.9724654000001</v>
      </c>
      <c r="E39" s="410"/>
      <c r="F39" s="841"/>
      <c r="G39" s="418"/>
      <c r="H39" s="418"/>
      <c r="I39" s="407"/>
      <c r="J39" s="407"/>
      <c r="K39" s="407"/>
    </row>
    <row r="40" spans="1:11">
      <c r="A40" s="414">
        <v>2.5</v>
      </c>
      <c r="B40" s="412" t="s">
        <v>2758</v>
      </c>
      <c r="C40" s="1563" t="s">
        <v>2759</v>
      </c>
      <c r="D40" s="685">
        <f>AVERAGE(D36,D39)</f>
        <v>5751.2326795999998</v>
      </c>
      <c r="E40" s="410"/>
      <c r="F40" s="841"/>
      <c r="G40" s="418"/>
      <c r="H40" s="418"/>
      <c r="I40" s="407"/>
      <c r="J40" s="407"/>
      <c r="K40" s="407"/>
    </row>
    <row r="41" spans="1:11">
      <c r="A41" s="414">
        <v>2.6</v>
      </c>
      <c r="B41" s="412" t="s">
        <v>2760</v>
      </c>
      <c r="C41" s="1563" t="s">
        <v>35</v>
      </c>
      <c r="D41" s="667">
        <f>D42/D36</f>
        <v>0.16679404531899458</v>
      </c>
      <c r="E41" s="410"/>
      <c r="F41" s="841"/>
      <c r="G41" s="418"/>
      <c r="H41" s="418"/>
      <c r="I41" s="407"/>
      <c r="J41" s="407"/>
      <c r="K41" s="407"/>
    </row>
    <row r="42" spans="1:11">
      <c r="A42" s="414">
        <v>2.7</v>
      </c>
      <c r="B42" s="412" t="s">
        <v>2761</v>
      </c>
      <c r="C42" s="1563" t="s">
        <v>2762</v>
      </c>
      <c r="D42" s="685">
        <v>420.57</v>
      </c>
      <c r="E42" s="410"/>
      <c r="F42" s="841"/>
      <c r="G42" s="418"/>
      <c r="H42" s="418"/>
      <c r="I42" s="407"/>
      <c r="J42" s="407"/>
      <c r="K42" s="407"/>
    </row>
    <row r="43" spans="1:11">
      <c r="A43" s="414"/>
      <c r="B43" s="412"/>
      <c r="C43" s="1563"/>
      <c r="D43" s="685"/>
      <c r="E43" s="410"/>
      <c r="F43" s="841"/>
      <c r="G43" s="418"/>
      <c r="H43" s="418"/>
      <c r="I43" s="407"/>
      <c r="J43" s="407"/>
      <c r="K43" s="407"/>
    </row>
    <row r="44" spans="1:11">
      <c r="A44" s="414">
        <v>3</v>
      </c>
      <c r="B44" s="412" t="s">
        <v>2764</v>
      </c>
      <c r="C44" s="1563"/>
      <c r="D44" s="685"/>
      <c r="E44" s="410"/>
      <c r="F44" s="841"/>
      <c r="G44" s="418"/>
      <c r="H44" s="418"/>
      <c r="I44" s="407"/>
      <c r="J44" s="407"/>
      <c r="K44" s="407"/>
    </row>
    <row r="45" spans="1:11">
      <c r="A45" s="414">
        <v>3.1</v>
      </c>
      <c r="B45" s="412" t="s">
        <v>2751</v>
      </c>
      <c r="C45" s="1563" t="s">
        <v>2261</v>
      </c>
      <c r="D45" s="685">
        <v>1135.9811909</v>
      </c>
      <c r="E45" s="410"/>
      <c r="F45" s="841"/>
      <c r="G45" s="418"/>
      <c r="H45" s="418"/>
      <c r="I45" s="407"/>
      <c r="J45" s="407"/>
      <c r="K45" s="407"/>
    </row>
    <row r="46" spans="1:11">
      <c r="A46" s="414">
        <v>3.2</v>
      </c>
      <c r="B46" s="412" t="s">
        <v>2752</v>
      </c>
      <c r="C46" s="1563" t="s">
        <v>2753</v>
      </c>
      <c r="D46" s="685">
        <v>0</v>
      </c>
      <c r="E46" s="410"/>
      <c r="F46" s="841"/>
      <c r="G46" s="418"/>
      <c r="H46" s="418"/>
      <c r="I46" s="407"/>
      <c r="J46" s="407"/>
      <c r="K46" s="407"/>
    </row>
    <row r="47" spans="1:11">
      <c r="A47" s="414">
        <v>3.3</v>
      </c>
      <c r="B47" s="412" t="s">
        <v>2754</v>
      </c>
      <c r="C47" s="1563" t="s">
        <v>2755</v>
      </c>
      <c r="D47" s="685">
        <v>0</v>
      </c>
      <c r="E47" s="410"/>
      <c r="F47" s="841"/>
      <c r="G47" s="418"/>
      <c r="H47" s="418"/>
      <c r="I47" s="407"/>
      <c r="J47" s="407"/>
      <c r="K47" s="407"/>
    </row>
    <row r="48" spans="1:11">
      <c r="A48" s="414">
        <v>3.4</v>
      </c>
      <c r="B48" s="412" t="s">
        <v>2756</v>
      </c>
      <c r="C48" s="1563" t="s">
        <v>2757</v>
      </c>
      <c r="D48" s="685">
        <f>D45+D46-D47</f>
        <v>1135.9811909</v>
      </c>
      <c r="E48" s="410"/>
      <c r="F48" s="841"/>
      <c r="G48" s="418"/>
      <c r="H48" s="418"/>
      <c r="I48" s="407"/>
      <c r="J48" s="407"/>
      <c r="K48" s="407"/>
    </row>
    <row r="49" spans="1:15">
      <c r="A49" s="414">
        <v>3.5</v>
      </c>
      <c r="B49" s="412" t="s">
        <v>2758</v>
      </c>
      <c r="C49" s="1563" t="s">
        <v>2759</v>
      </c>
      <c r="D49" s="685">
        <f>AVERAGE(D45,D48)</f>
        <v>1135.9811909</v>
      </c>
      <c r="E49" s="410"/>
      <c r="F49" s="841"/>
      <c r="G49" s="418"/>
      <c r="H49" s="418"/>
      <c r="I49" s="407"/>
      <c r="J49" s="407"/>
      <c r="K49" s="407"/>
    </row>
    <row r="50" spans="1:15">
      <c r="A50" s="414">
        <v>3.6</v>
      </c>
      <c r="B50" s="412" t="s">
        <v>2760</v>
      </c>
      <c r="C50" s="1563" t="s">
        <v>35</v>
      </c>
      <c r="D50" s="667">
        <f>D51/D45</f>
        <v>9.6811772044279543E-2</v>
      </c>
      <c r="E50" s="410"/>
      <c r="F50" s="841"/>
      <c r="G50" s="418"/>
      <c r="H50" s="418"/>
      <c r="I50" s="407"/>
      <c r="J50" s="407"/>
      <c r="K50" s="407"/>
    </row>
    <row r="51" spans="1:15">
      <c r="A51" s="414">
        <v>3.7</v>
      </c>
      <c r="B51" s="412" t="s">
        <v>2761</v>
      </c>
      <c r="C51" s="1563" t="s">
        <v>2762</v>
      </c>
      <c r="D51" s="685">
        <v>109.9763521</v>
      </c>
      <c r="E51" s="842"/>
      <c r="F51" s="842"/>
      <c r="G51" s="418"/>
      <c r="H51" s="418"/>
      <c r="I51" s="407"/>
      <c r="J51" s="407"/>
      <c r="K51" s="407"/>
    </row>
    <row r="52" spans="1:15">
      <c r="A52" s="414"/>
      <c r="B52" s="412"/>
      <c r="C52" s="1563"/>
      <c r="D52" s="685"/>
      <c r="E52" s="842"/>
      <c r="F52" s="842"/>
      <c r="G52" s="418"/>
      <c r="H52" s="418"/>
      <c r="I52" s="407"/>
      <c r="J52" s="407"/>
      <c r="K52" s="407"/>
    </row>
    <row r="53" spans="1:15">
      <c r="A53" s="414">
        <v>4</v>
      </c>
      <c r="B53" s="412" t="s">
        <v>2765</v>
      </c>
      <c r="C53" s="1563"/>
      <c r="D53" s="685"/>
      <c r="E53" s="842"/>
      <c r="F53" s="842"/>
      <c r="G53" s="418"/>
      <c r="H53" s="418"/>
      <c r="I53" s="407"/>
      <c r="J53" s="407"/>
      <c r="K53" s="407"/>
    </row>
    <row r="54" spans="1:15">
      <c r="A54" s="414">
        <v>4.0999999999999996</v>
      </c>
      <c r="B54" s="412" t="s">
        <v>2751</v>
      </c>
      <c r="C54" s="1563" t="s">
        <v>2261</v>
      </c>
      <c r="D54" s="685">
        <v>1260.0118259000001</v>
      </c>
      <c r="E54" s="842"/>
      <c r="F54" s="842"/>
      <c r="G54" s="418"/>
      <c r="H54" s="418"/>
      <c r="I54" s="407"/>
      <c r="J54" s="407"/>
      <c r="K54" s="407"/>
    </row>
    <row r="55" spans="1:15">
      <c r="A55" s="414">
        <v>4.2</v>
      </c>
      <c r="B55" s="412" t="s">
        <v>2752</v>
      </c>
      <c r="C55" s="1563" t="s">
        <v>2753</v>
      </c>
      <c r="D55" s="685">
        <v>0</v>
      </c>
      <c r="E55" s="698"/>
      <c r="F55" s="698"/>
      <c r="G55" s="418"/>
      <c r="H55" s="418"/>
      <c r="I55" s="407"/>
      <c r="J55" s="407"/>
      <c r="K55" s="407"/>
    </row>
    <row r="56" spans="1:15">
      <c r="A56" s="414">
        <v>4.3</v>
      </c>
      <c r="B56" s="412" t="s">
        <v>2754</v>
      </c>
      <c r="C56" s="1563" t="s">
        <v>2755</v>
      </c>
      <c r="D56" s="685">
        <v>6.3015241</v>
      </c>
      <c r="E56" s="698"/>
      <c r="F56" s="698"/>
      <c r="G56" s="418"/>
      <c r="H56" s="418"/>
      <c r="I56" s="407"/>
      <c r="J56" s="407"/>
      <c r="K56" s="407"/>
    </row>
    <row r="57" spans="1:15">
      <c r="A57" s="414">
        <v>4.4000000000000004</v>
      </c>
      <c r="B57" s="412" t="s">
        <v>2756</v>
      </c>
      <c r="C57" s="1563" t="s">
        <v>2757</v>
      </c>
      <c r="D57" s="685">
        <f>D54+D55-D56</f>
        <v>1253.7103018</v>
      </c>
      <c r="E57" s="698"/>
      <c r="F57" s="698"/>
      <c r="G57" s="420"/>
      <c r="H57" s="420"/>
      <c r="I57" s="407"/>
      <c r="J57" s="407"/>
      <c r="K57" s="407"/>
    </row>
    <row r="58" spans="1:15">
      <c r="A58" s="414">
        <v>4.5</v>
      </c>
      <c r="B58" s="412" t="s">
        <v>2758</v>
      </c>
      <c r="C58" s="1563" t="s">
        <v>2759</v>
      </c>
      <c r="D58" s="685">
        <f>AVERAGE(D54,D57)</f>
        <v>1256.8610638499999</v>
      </c>
      <c r="E58" s="698"/>
      <c r="F58" s="698"/>
      <c r="G58" s="418"/>
      <c r="H58" s="418"/>
      <c r="I58" s="407"/>
      <c r="J58" s="407"/>
      <c r="K58" s="407"/>
    </row>
    <row r="59" spans="1:15">
      <c r="A59" s="414">
        <v>4.5999999999999996</v>
      </c>
      <c r="B59" s="412" t="s">
        <v>2760</v>
      </c>
      <c r="C59" s="1563" t="s">
        <v>35</v>
      </c>
      <c r="D59" s="667">
        <f>D60/D54</f>
        <v>9.8104930095958082E-2</v>
      </c>
      <c r="E59" s="841"/>
      <c r="F59" s="841"/>
      <c r="G59" s="418"/>
      <c r="H59" s="418"/>
      <c r="I59" s="407"/>
      <c r="J59" s="407"/>
      <c r="K59" s="407"/>
    </row>
    <row r="60" spans="1:15">
      <c r="A60" s="414">
        <v>4.7</v>
      </c>
      <c r="B60" s="412" t="s">
        <v>2761</v>
      </c>
      <c r="C60" s="1563" t="s">
        <v>2762</v>
      </c>
      <c r="D60" s="685">
        <v>123.61337210000001</v>
      </c>
      <c r="E60" s="698"/>
      <c r="F60" s="698"/>
      <c r="G60" s="418"/>
      <c r="H60" s="418"/>
      <c r="I60" s="407"/>
      <c r="J60" s="407"/>
      <c r="K60" s="407"/>
    </row>
    <row r="61" spans="1:15">
      <c r="A61" s="414"/>
      <c r="B61" s="412"/>
      <c r="C61" s="1563"/>
      <c r="D61" s="685"/>
      <c r="E61" s="1063"/>
      <c r="F61" s="1063"/>
      <c r="G61" s="418"/>
      <c r="H61" s="418"/>
      <c r="I61" s="407"/>
      <c r="J61" s="407"/>
      <c r="K61" s="407"/>
    </row>
    <row r="62" spans="1:15">
      <c r="A62" s="414">
        <v>5</v>
      </c>
      <c r="B62" s="412" t="s">
        <v>2766</v>
      </c>
      <c r="C62" s="1563"/>
      <c r="D62" s="685"/>
      <c r="E62" s="698"/>
      <c r="F62" s="698"/>
      <c r="G62" s="418"/>
      <c r="H62" s="418"/>
      <c r="I62" s="407"/>
      <c r="J62" s="407"/>
      <c r="K62" s="407"/>
    </row>
    <row r="63" spans="1:15">
      <c r="A63" s="414">
        <v>5.0999999999999996</v>
      </c>
      <c r="B63" s="412" t="s">
        <v>2751</v>
      </c>
      <c r="C63" s="1563" t="s">
        <v>2261</v>
      </c>
      <c r="D63" s="685">
        <v>1841</v>
      </c>
      <c r="E63" s="410"/>
      <c r="F63" s="410"/>
      <c r="G63" s="418"/>
      <c r="H63" s="418"/>
      <c r="I63" s="407"/>
      <c r="J63" s="407"/>
      <c r="K63" s="407"/>
    </row>
    <row r="64" spans="1:15">
      <c r="A64" s="414">
        <v>5.2</v>
      </c>
      <c r="B64" s="412" t="s">
        <v>2752</v>
      </c>
      <c r="C64" s="1563" t="s">
        <v>2753</v>
      </c>
      <c r="D64" s="685">
        <v>0</v>
      </c>
      <c r="M64" s="407"/>
      <c r="N64" s="407"/>
      <c r="O64" s="407"/>
    </row>
    <row r="65" spans="1:15">
      <c r="A65" s="414">
        <v>5.3</v>
      </c>
      <c r="B65" s="412" t="s">
        <v>2754</v>
      </c>
      <c r="C65" s="1563" t="s">
        <v>2755</v>
      </c>
      <c r="D65" s="685">
        <v>263</v>
      </c>
      <c r="M65" s="407"/>
      <c r="N65" s="407"/>
      <c r="O65" s="407"/>
    </row>
    <row r="66" spans="1:15">
      <c r="A66" s="414">
        <v>5.4</v>
      </c>
      <c r="B66" s="412" t="s">
        <v>2756</v>
      </c>
      <c r="C66" s="1563" t="s">
        <v>2757</v>
      </c>
      <c r="D66" s="685">
        <f>D63+D64-D65</f>
        <v>1578</v>
      </c>
    </row>
    <row r="67" spans="1:15">
      <c r="A67" s="414">
        <v>5.5</v>
      </c>
      <c r="B67" s="412" t="s">
        <v>2758</v>
      </c>
      <c r="C67" s="1563" t="s">
        <v>2759</v>
      </c>
      <c r="D67" s="685">
        <f>AVERAGE(D63,D66)</f>
        <v>1709.5</v>
      </c>
    </row>
    <row r="68" spans="1:15">
      <c r="A68" s="414">
        <v>5.6</v>
      </c>
      <c r="B68" s="412" t="s">
        <v>2760</v>
      </c>
      <c r="C68" s="1563" t="s">
        <v>35</v>
      </c>
      <c r="D68" s="667">
        <f>D69/D63</f>
        <v>8.489945953286257E-2</v>
      </c>
    </row>
    <row r="69" spans="1:15">
      <c r="A69" s="414">
        <v>5.7</v>
      </c>
      <c r="B69" s="412" t="s">
        <v>2761</v>
      </c>
      <c r="C69" s="1563" t="s">
        <v>2762</v>
      </c>
      <c r="D69" s="685">
        <v>156.299905</v>
      </c>
    </row>
    <row r="70" spans="1:15">
      <c r="A70" s="414"/>
      <c r="B70" s="412"/>
      <c r="C70" s="1563"/>
      <c r="D70" s="685"/>
    </row>
    <row r="71" spans="1:15">
      <c r="A71" s="414">
        <v>6</v>
      </c>
      <c r="B71" s="412" t="s">
        <v>2767</v>
      </c>
      <c r="C71" s="1563"/>
      <c r="D71" s="685"/>
    </row>
    <row r="72" spans="1:15">
      <c r="A72" s="414">
        <v>6.1</v>
      </c>
      <c r="B72" s="412" t="s">
        <v>2751</v>
      </c>
      <c r="C72" s="1563" t="s">
        <v>2261</v>
      </c>
      <c r="D72" s="685">
        <v>1127.5</v>
      </c>
    </row>
    <row r="73" spans="1:15">
      <c r="A73" s="414">
        <v>6.2</v>
      </c>
      <c r="B73" s="412" t="s">
        <v>2752</v>
      </c>
      <c r="C73" s="1563" t="s">
        <v>2753</v>
      </c>
      <c r="D73" s="685">
        <v>0</v>
      </c>
    </row>
    <row r="74" spans="1:15">
      <c r="A74" s="414">
        <v>6.3</v>
      </c>
      <c r="B74" s="412" t="s">
        <v>2754</v>
      </c>
      <c r="C74" s="1563" t="s">
        <v>2755</v>
      </c>
      <c r="D74" s="685">
        <v>161.07142859999999</v>
      </c>
    </row>
    <row r="75" spans="1:15">
      <c r="A75" s="414">
        <v>6.4</v>
      </c>
      <c r="B75" s="412" t="s">
        <v>2756</v>
      </c>
      <c r="C75" s="1563" t="s">
        <v>2757</v>
      </c>
      <c r="D75" s="685">
        <f>D72+D73-D74</f>
        <v>966.42857140000001</v>
      </c>
    </row>
    <row r="76" spans="1:15">
      <c r="A76" s="414">
        <v>6.5</v>
      </c>
      <c r="B76" s="412" t="s">
        <v>2758</v>
      </c>
      <c r="C76" s="1563" t="s">
        <v>2759</v>
      </c>
      <c r="D76" s="685">
        <f>AVERAGE(D72,D75)</f>
        <v>1046.9642856999999</v>
      </c>
    </row>
    <row r="77" spans="1:15">
      <c r="A77" s="414">
        <v>6.6</v>
      </c>
      <c r="B77" s="412" t="s">
        <v>2760</v>
      </c>
      <c r="C77" s="1563" t="s">
        <v>35</v>
      </c>
      <c r="D77" s="667">
        <f>D78/D72</f>
        <v>8.0117834678492234E-2</v>
      </c>
    </row>
    <row r="78" spans="1:15">
      <c r="A78" s="414">
        <v>6.7</v>
      </c>
      <c r="B78" s="412" t="s">
        <v>2761</v>
      </c>
      <c r="C78" s="1563" t="s">
        <v>2762</v>
      </c>
      <c r="D78" s="685">
        <v>90.332858599999994</v>
      </c>
    </row>
    <row r="79" spans="1:15">
      <c r="A79" s="414"/>
      <c r="B79" s="412"/>
      <c r="C79" s="1563"/>
      <c r="D79" s="685"/>
    </row>
    <row r="80" spans="1:15">
      <c r="A80" s="414">
        <v>7</v>
      </c>
      <c r="B80" s="412" t="s">
        <v>2768</v>
      </c>
      <c r="C80" s="1563"/>
      <c r="D80" s="685"/>
    </row>
    <row r="81" spans="1:4">
      <c r="A81" s="414">
        <v>7.1</v>
      </c>
      <c r="B81" s="412" t="s">
        <v>2751</v>
      </c>
      <c r="C81" s="1563" t="s">
        <v>2261</v>
      </c>
      <c r="D81" s="685">
        <v>1442.0470588000001</v>
      </c>
    </row>
    <row r="82" spans="1:4">
      <c r="A82" s="414">
        <v>7.2</v>
      </c>
      <c r="B82" s="412" t="s">
        <v>2752</v>
      </c>
      <c r="C82" s="1563" t="s">
        <v>2753</v>
      </c>
      <c r="D82" s="685">
        <v>0</v>
      </c>
    </row>
    <row r="83" spans="1:4">
      <c r="A83" s="414">
        <v>7.3</v>
      </c>
      <c r="B83" s="412" t="s">
        <v>2754</v>
      </c>
      <c r="C83" s="1563" t="s">
        <v>2755</v>
      </c>
      <c r="D83" s="685">
        <v>186.0705882</v>
      </c>
    </row>
    <row r="84" spans="1:4">
      <c r="A84" s="414">
        <v>7.4</v>
      </c>
      <c r="B84" s="412" t="s">
        <v>2756</v>
      </c>
      <c r="C84" s="1563" t="s">
        <v>2757</v>
      </c>
      <c r="D84" s="685">
        <f>D81+D82-D83</f>
        <v>1255.9764706000001</v>
      </c>
    </row>
    <row r="85" spans="1:4">
      <c r="A85" s="414">
        <v>7.5</v>
      </c>
      <c r="B85" s="412" t="s">
        <v>2758</v>
      </c>
      <c r="C85" s="1563" t="s">
        <v>2759</v>
      </c>
      <c r="D85" s="685">
        <f>AVERAGE(D81,D84)</f>
        <v>1349.0117647000002</v>
      </c>
    </row>
    <row r="86" spans="1:4">
      <c r="A86" s="414">
        <v>7.6</v>
      </c>
      <c r="B86" s="412" t="s">
        <v>2760</v>
      </c>
      <c r="C86" s="1563" t="s">
        <v>35</v>
      </c>
      <c r="D86" s="667">
        <f>D87/D81</f>
        <v>9.2825709385233837E-2</v>
      </c>
    </row>
    <row r="87" spans="1:4">
      <c r="A87" s="414">
        <v>7.7</v>
      </c>
      <c r="B87" s="412" t="s">
        <v>2761</v>
      </c>
      <c r="C87" s="1563" t="s">
        <v>2762</v>
      </c>
      <c r="D87" s="685">
        <v>133.85904120000001</v>
      </c>
    </row>
    <row r="88" spans="1:4">
      <c r="A88" s="414"/>
      <c r="B88" s="412"/>
      <c r="C88" s="1563"/>
      <c r="D88" s="685"/>
    </row>
    <row r="89" spans="1:4">
      <c r="A89" s="414">
        <v>8</v>
      </c>
      <c r="B89" s="412" t="s">
        <v>2769</v>
      </c>
      <c r="C89" s="1563"/>
      <c r="D89" s="685"/>
    </row>
    <row r="90" spans="1:4">
      <c r="A90" s="414">
        <v>8.1</v>
      </c>
      <c r="B90" s="412" t="s">
        <v>2751</v>
      </c>
      <c r="C90" s="1563" t="s">
        <v>2261</v>
      </c>
      <c r="D90" s="685">
        <v>1723.0117647</v>
      </c>
    </row>
    <row r="91" spans="1:4">
      <c r="A91" s="414">
        <v>8.1999999999999993</v>
      </c>
      <c r="B91" s="412" t="s">
        <v>2752</v>
      </c>
      <c r="C91" s="1563" t="s">
        <v>2753</v>
      </c>
      <c r="D91" s="685">
        <v>0</v>
      </c>
    </row>
    <row r="92" spans="1:4">
      <c r="A92" s="414">
        <v>8.3000000000000007</v>
      </c>
      <c r="B92" s="412" t="s">
        <v>2754</v>
      </c>
      <c r="C92" s="1563" t="s">
        <v>2755</v>
      </c>
      <c r="D92" s="685">
        <v>215.3764706</v>
      </c>
    </row>
    <row r="93" spans="1:4">
      <c r="A93" s="414">
        <v>8.4</v>
      </c>
      <c r="B93" s="412" t="s">
        <v>2756</v>
      </c>
      <c r="C93" s="1563" t="s">
        <v>2757</v>
      </c>
      <c r="D93" s="685">
        <f>D90+D91-D92</f>
        <v>1507.6352941</v>
      </c>
    </row>
    <row r="94" spans="1:4">
      <c r="A94" s="414">
        <v>8.5</v>
      </c>
      <c r="B94" s="412" t="s">
        <v>2758</v>
      </c>
      <c r="C94" s="1563" t="s">
        <v>2759</v>
      </c>
      <c r="D94" s="685">
        <f>AVERAGE(D90,D93)</f>
        <v>1615.3235294000001</v>
      </c>
    </row>
    <row r="95" spans="1:4">
      <c r="A95" s="414">
        <v>8.6</v>
      </c>
      <c r="B95" s="412" t="s">
        <v>2760</v>
      </c>
      <c r="C95" s="1563" t="s">
        <v>35</v>
      </c>
      <c r="D95" s="667">
        <f>D96/D90</f>
        <v>9.6788230246957416E-2</v>
      </c>
    </row>
    <row r="96" spans="1:4">
      <c r="A96" s="414">
        <v>8.6999999999999993</v>
      </c>
      <c r="B96" s="412" t="s">
        <v>2761</v>
      </c>
      <c r="C96" s="1563" t="s">
        <v>2762</v>
      </c>
      <c r="D96" s="685">
        <v>166.7672594</v>
      </c>
    </row>
    <row r="97" spans="1:4">
      <c r="A97" s="414"/>
      <c r="B97" s="412"/>
      <c r="C97" s="1563"/>
      <c r="D97" s="685"/>
    </row>
    <row r="98" spans="1:4">
      <c r="A98" s="414">
        <v>9</v>
      </c>
      <c r="B98" s="412" t="s">
        <v>2770</v>
      </c>
      <c r="C98" s="1563"/>
      <c r="D98" s="685"/>
    </row>
    <row r="99" spans="1:4">
      <c r="A99" s="414">
        <v>9.1</v>
      </c>
      <c r="B99" s="412" t="s">
        <v>2751</v>
      </c>
      <c r="C99" s="1563" t="s">
        <v>2261</v>
      </c>
      <c r="D99" s="685">
        <v>308.3433374</v>
      </c>
    </row>
    <row r="100" spans="1:4">
      <c r="A100" s="414">
        <v>9.1999999999999993</v>
      </c>
      <c r="B100" s="412" t="s">
        <v>2752</v>
      </c>
      <c r="C100" s="1563" t="s">
        <v>2753</v>
      </c>
      <c r="D100" s="685">
        <v>55.181672599999999</v>
      </c>
    </row>
    <row r="101" spans="1:4">
      <c r="A101" s="414">
        <v>9.3000000000000007</v>
      </c>
      <c r="B101" s="412" t="s">
        <v>2754</v>
      </c>
      <c r="C101" s="1563" t="s">
        <v>2755</v>
      </c>
      <c r="D101" s="685">
        <v>22.334715200000002</v>
      </c>
    </row>
    <row r="102" spans="1:4">
      <c r="A102" s="414">
        <v>9.4</v>
      </c>
      <c r="B102" s="412" t="s">
        <v>2756</v>
      </c>
      <c r="C102" s="1563" t="s">
        <v>2757</v>
      </c>
      <c r="D102" s="685">
        <f>D99+D100-D101</f>
        <v>341.1902948</v>
      </c>
    </row>
    <row r="103" spans="1:4">
      <c r="A103" s="414">
        <v>9.5</v>
      </c>
      <c r="B103" s="412" t="s">
        <v>2758</v>
      </c>
      <c r="C103" s="1563" t="s">
        <v>2759</v>
      </c>
      <c r="D103" s="685">
        <f>AVERAGE(D99,D102)</f>
        <v>324.76681610000003</v>
      </c>
    </row>
    <row r="104" spans="1:4">
      <c r="A104" s="414">
        <v>9.6</v>
      </c>
      <c r="B104" s="412" t="s">
        <v>2760</v>
      </c>
      <c r="C104" s="1563" t="s">
        <v>35</v>
      </c>
      <c r="D104" s="667">
        <f>D105/D99</f>
        <v>0.10592088765528163</v>
      </c>
    </row>
    <row r="105" spans="1:4">
      <c r="A105" s="414">
        <v>9.6999999999999993</v>
      </c>
      <c r="B105" s="412" t="s">
        <v>2761</v>
      </c>
      <c r="C105" s="1563" t="s">
        <v>2762</v>
      </c>
      <c r="D105" s="685">
        <v>32.659999999999997</v>
      </c>
    </row>
    <row r="106" spans="1:4">
      <c r="A106" s="414"/>
      <c r="B106" s="412"/>
      <c r="C106" s="1563"/>
      <c r="D106" s="685"/>
    </row>
    <row r="107" spans="1:4">
      <c r="A107" s="414">
        <v>10</v>
      </c>
      <c r="B107" s="1588" t="s">
        <v>2771</v>
      </c>
      <c r="C107" s="1563"/>
      <c r="D107" s="685"/>
    </row>
    <row r="108" spans="1:4">
      <c r="A108" s="414">
        <v>10.1</v>
      </c>
      <c r="B108" s="412" t="s">
        <v>2751</v>
      </c>
      <c r="C108" s="1563" t="s">
        <v>2261</v>
      </c>
      <c r="D108" s="685">
        <v>384.15</v>
      </c>
    </row>
    <row r="109" spans="1:4">
      <c r="A109" s="414">
        <v>10.199999999999999</v>
      </c>
      <c r="B109" s="412" t="s">
        <v>2752</v>
      </c>
      <c r="C109" s="1563" t="s">
        <v>2753</v>
      </c>
      <c r="D109" s="685">
        <v>18.700244300000001</v>
      </c>
    </row>
    <row r="110" spans="1:4">
      <c r="A110" s="414">
        <v>10.3</v>
      </c>
      <c r="B110" s="412" t="s">
        <v>2754</v>
      </c>
      <c r="C110" s="1563" t="s">
        <v>2755</v>
      </c>
      <c r="D110" s="685">
        <v>0</v>
      </c>
    </row>
    <row r="111" spans="1:4">
      <c r="A111" s="414">
        <v>10.4</v>
      </c>
      <c r="B111" s="412" t="s">
        <v>2756</v>
      </c>
      <c r="C111" s="1563" t="s">
        <v>2757</v>
      </c>
      <c r="D111" s="685">
        <f>D108+D109-D110</f>
        <v>402.85024429999999</v>
      </c>
    </row>
    <row r="112" spans="1:4">
      <c r="A112" s="414">
        <v>10.5</v>
      </c>
      <c r="B112" s="412" t="s">
        <v>2758</v>
      </c>
      <c r="C112" s="1563" t="s">
        <v>2759</v>
      </c>
      <c r="D112" s="685">
        <f>AVERAGE(D108,D111)</f>
        <v>393.50012214999998</v>
      </c>
    </row>
    <row r="113" spans="1:4">
      <c r="A113" s="414">
        <v>10.6</v>
      </c>
      <c r="B113" s="412" t="s">
        <v>2760</v>
      </c>
      <c r="C113" s="1563" t="s">
        <v>35</v>
      </c>
      <c r="D113" s="667">
        <f>D114/D108</f>
        <v>0.10229546661460369</v>
      </c>
    </row>
    <row r="114" spans="1:4">
      <c r="A114" s="414">
        <v>10.7</v>
      </c>
      <c r="B114" s="412" t="s">
        <v>2761</v>
      </c>
      <c r="C114" s="1563" t="s">
        <v>2762</v>
      </c>
      <c r="D114" s="685">
        <v>39.296803500000003</v>
      </c>
    </row>
    <row r="115" spans="1:4">
      <c r="A115" s="414"/>
      <c r="B115" s="412"/>
      <c r="C115" s="1563"/>
      <c r="D115" s="685"/>
    </row>
    <row r="116" spans="1:4">
      <c r="A116" s="414">
        <v>11</v>
      </c>
      <c r="B116" s="412" t="s">
        <v>2772</v>
      </c>
      <c r="C116" s="1563"/>
      <c r="D116" s="685"/>
    </row>
    <row r="117" spans="1:4">
      <c r="A117" s="414">
        <v>11.1</v>
      </c>
      <c r="B117" s="412" t="s">
        <v>2751</v>
      </c>
      <c r="C117" s="1563" t="s">
        <v>2261</v>
      </c>
      <c r="D117" s="685">
        <v>708.92670019500008</v>
      </c>
    </row>
    <row r="118" spans="1:4">
      <c r="A118" s="414">
        <v>11.2</v>
      </c>
      <c r="B118" s="412" t="s">
        <v>2752</v>
      </c>
      <c r="C118" s="1563" t="s">
        <v>2753</v>
      </c>
      <c r="D118" s="685">
        <v>191.19298586900001</v>
      </c>
    </row>
    <row r="119" spans="1:4">
      <c r="A119" s="414">
        <v>11.3</v>
      </c>
      <c r="B119" s="412" t="s">
        <v>2754</v>
      </c>
      <c r="C119" s="1563" t="s">
        <v>2755</v>
      </c>
      <c r="D119" s="685">
        <v>0</v>
      </c>
    </row>
    <row r="120" spans="1:4">
      <c r="A120" s="414">
        <v>11.4</v>
      </c>
      <c r="B120" s="412" t="s">
        <v>2756</v>
      </c>
      <c r="C120" s="1563" t="s">
        <v>2757</v>
      </c>
      <c r="D120" s="685">
        <f>D117+D118-D119</f>
        <v>900.11968606400012</v>
      </c>
    </row>
    <row r="121" spans="1:4">
      <c r="A121" s="414">
        <v>11.5</v>
      </c>
      <c r="B121" s="412" t="s">
        <v>2758</v>
      </c>
      <c r="C121" s="1563" t="s">
        <v>2759</v>
      </c>
      <c r="D121" s="685">
        <f>AVERAGE(D117,D120)</f>
        <v>804.5231931295001</v>
      </c>
    </row>
    <row r="122" spans="1:4">
      <c r="A122" s="414">
        <v>11.6</v>
      </c>
      <c r="B122" s="412" t="s">
        <v>2760</v>
      </c>
      <c r="C122" s="1563" t="s">
        <v>35</v>
      </c>
      <c r="D122" s="667">
        <f>D123/D117</f>
        <v>0.12849001169647645</v>
      </c>
    </row>
    <row r="123" spans="1:4">
      <c r="A123" s="414">
        <v>11.7</v>
      </c>
      <c r="B123" s="412" t="s">
        <v>2761</v>
      </c>
      <c r="C123" s="1563" t="s">
        <v>2762</v>
      </c>
      <c r="D123" s="685">
        <v>91.09</v>
      </c>
    </row>
    <row r="124" spans="1:4">
      <c r="A124" s="414"/>
      <c r="B124" s="412"/>
      <c r="C124" s="1563"/>
      <c r="D124" s="685"/>
    </row>
    <row r="125" spans="1:4">
      <c r="A125" s="414">
        <v>12</v>
      </c>
      <c r="B125" s="412" t="s">
        <v>2773</v>
      </c>
      <c r="C125" s="1563"/>
      <c r="D125" s="685"/>
    </row>
    <row r="126" spans="1:4">
      <c r="A126" s="414">
        <v>12.1</v>
      </c>
      <c r="B126" s="412" t="s">
        <v>2751</v>
      </c>
      <c r="C126" s="1563" t="s">
        <v>2261</v>
      </c>
      <c r="D126" s="685">
        <v>306.1732427</v>
      </c>
    </row>
    <row r="127" spans="1:4">
      <c r="A127" s="414">
        <v>12.2</v>
      </c>
      <c r="B127" s="412" t="s">
        <v>2752</v>
      </c>
      <c r="C127" s="1563" t="s">
        <v>2753</v>
      </c>
      <c r="D127" s="685">
        <v>0</v>
      </c>
    </row>
    <row r="128" spans="1:4">
      <c r="A128" s="414">
        <v>12.3</v>
      </c>
      <c r="B128" s="412" t="s">
        <v>2754</v>
      </c>
      <c r="C128" s="1563" t="s">
        <v>2755</v>
      </c>
      <c r="D128" s="685">
        <v>11.3394051</v>
      </c>
    </row>
    <row r="129" spans="1:4">
      <c r="A129" s="414">
        <v>12.4</v>
      </c>
      <c r="B129" s="412" t="s">
        <v>2756</v>
      </c>
      <c r="C129" s="1563" t="s">
        <v>2757</v>
      </c>
      <c r="D129" s="685">
        <f>D126+D127-D128</f>
        <v>294.83383759999998</v>
      </c>
    </row>
    <row r="130" spans="1:4">
      <c r="A130" s="414">
        <v>12.5</v>
      </c>
      <c r="B130" s="412" t="s">
        <v>2758</v>
      </c>
      <c r="C130" s="1563" t="s">
        <v>2759</v>
      </c>
      <c r="D130" s="685">
        <f>AVERAGE(D126,D129)</f>
        <v>300.50354014999999</v>
      </c>
    </row>
    <row r="131" spans="1:4">
      <c r="A131" s="414">
        <v>12.6</v>
      </c>
      <c r="B131" s="412" t="s">
        <v>2760</v>
      </c>
      <c r="C131" s="1563" t="s">
        <v>35</v>
      </c>
      <c r="D131" s="667">
        <f>D132/D126</f>
        <v>9.4211876732362157E-2</v>
      </c>
    </row>
    <row r="132" spans="1:4">
      <c r="A132" s="414">
        <v>12.7</v>
      </c>
      <c r="B132" s="412" t="s">
        <v>2761</v>
      </c>
      <c r="C132" s="1563" t="s">
        <v>2762</v>
      </c>
      <c r="D132" s="685">
        <v>28.845155800000001</v>
      </c>
    </row>
    <row r="133" spans="1:4">
      <c r="A133" s="414"/>
      <c r="B133" s="412"/>
      <c r="C133" s="1563"/>
      <c r="D133" s="685"/>
    </row>
    <row r="134" spans="1:4">
      <c r="A134" s="414">
        <v>13</v>
      </c>
      <c r="B134" s="412" t="s">
        <v>2774</v>
      </c>
      <c r="C134" s="1563"/>
      <c r="D134" s="685"/>
    </row>
    <row r="135" spans="1:4">
      <c r="A135" s="414">
        <v>13.1</v>
      </c>
      <c r="B135" s="412" t="s">
        <v>2751</v>
      </c>
      <c r="C135" s="1563" t="s">
        <v>2261</v>
      </c>
      <c r="D135" s="685">
        <v>675.93117761300005</v>
      </c>
    </row>
    <row r="136" spans="1:4">
      <c r="A136" s="414">
        <v>13.2</v>
      </c>
      <c r="B136" s="412" t="s">
        <v>2752</v>
      </c>
      <c r="C136" s="1563" t="s">
        <v>2753</v>
      </c>
      <c r="D136" s="685">
        <v>40.599009500000001</v>
      </c>
    </row>
    <row r="137" spans="1:4">
      <c r="A137" s="414">
        <v>13.3</v>
      </c>
      <c r="B137" s="412" t="s">
        <v>2754</v>
      </c>
      <c r="C137" s="1563" t="s">
        <v>2755</v>
      </c>
      <c r="D137" s="685">
        <v>78.710737800000004</v>
      </c>
    </row>
    <row r="138" spans="1:4">
      <c r="A138" s="414">
        <v>13.4</v>
      </c>
      <c r="B138" s="412" t="s">
        <v>2756</v>
      </c>
      <c r="C138" s="1563" t="s">
        <v>2757</v>
      </c>
      <c r="D138" s="685">
        <f>D135+D136-D137</f>
        <v>637.81944931299995</v>
      </c>
    </row>
    <row r="139" spans="1:4">
      <c r="A139" s="414">
        <v>13.5</v>
      </c>
      <c r="B139" s="412" t="s">
        <v>2758</v>
      </c>
      <c r="C139" s="1563" t="s">
        <v>2759</v>
      </c>
      <c r="D139" s="685">
        <f>AVERAGE(D135,D138)</f>
        <v>656.875313463</v>
      </c>
    </row>
    <row r="140" spans="1:4">
      <c r="A140" s="414">
        <v>13.6</v>
      </c>
      <c r="B140" s="412" t="s">
        <v>2760</v>
      </c>
      <c r="C140" s="1563" t="s">
        <v>35</v>
      </c>
      <c r="D140" s="667">
        <f>D141/D135</f>
        <v>0.11233188024872029</v>
      </c>
    </row>
    <row r="141" spans="1:4">
      <c r="A141" s="414">
        <v>13.7</v>
      </c>
      <c r="B141" s="412" t="s">
        <v>2761</v>
      </c>
      <c r="C141" s="1563" t="s">
        <v>2762</v>
      </c>
      <c r="D141" s="685">
        <v>75.928620100000003</v>
      </c>
    </row>
    <row r="142" spans="1:4">
      <c r="A142" s="414"/>
      <c r="B142" s="412"/>
      <c r="C142" s="1563"/>
      <c r="D142" s="685"/>
    </row>
    <row r="143" spans="1:4">
      <c r="A143" s="414">
        <v>0</v>
      </c>
      <c r="B143" s="412">
        <v>0</v>
      </c>
      <c r="C143" s="1563"/>
      <c r="D143" s="685"/>
    </row>
    <row r="144" spans="1:4">
      <c r="A144" s="414">
        <v>0</v>
      </c>
      <c r="B144" s="412">
        <v>0</v>
      </c>
      <c r="C144" s="1563">
        <v>0</v>
      </c>
      <c r="D144" s="685">
        <v>0</v>
      </c>
    </row>
    <row r="145" spans="1:4">
      <c r="A145" s="414">
        <v>0</v>
      </c>
      <c r="B145" s="412">
        <v>0</v>
      </c>
      <c r="C145" s="1563">
        <v>0</v>
      </c>
      <c r="D145" s="685">
        <v>0</v>
      </c>
    </row>
    <row r="146" spans="1:4">
      <c r="A146" s="414">
        <v>0</v>
      </c>
      <c r="B146" s="412">
        <v>0</v>
      </c>
      <c r="C146" s="1563">
        <v>0</v>
      </c>
      <c r="D146" s="685">
        <v>0</v>
      </c>
    </row>
    <row r="147" spans="1:4">
      <c r="A147" s="414">
        <v>0</v>
      </c>
      <c r="B147" s="412">
        <v>0</v>
      </c>
      <c r="C147" s="1563">
        <v>0</v>
      </c>
      <c r="D147" s="685">
        <f>D144+D145-D146</f>
        <v>0</v>
      </c>
    </row>
    <row r="148" spans="1:4">
      <c r="A148" s="414">
        <v>0</v>
      </c>
      <c r="B148" s="412">
        <v>0</v>
      </c>
      <c r="C148" s="1563">
        <v>0</v>
      </c>
      <c r="D148" s="685">
        <f>AVERAGE(D144,D147)</f>
        <v>0</v>
      </c>
    </row>
    <row r="149" spans="1:4">
      <c r="A149" s="414">
        <v>0</v>
      </c>
      <c r="B149" s="412">
        <v>0</v>
      </c>
      <c r="C149" s="1563">
        <v>0</v>
      </c>
      <c r="D149" s="667" t="e">
        <f>D150/D144</f>
        <v>#DIV/0!</v>
      </c>
    </row>
    <row r="150" spans="1:4">
      <c r="A150" s="414">
        <v>0</v>
      </c>
      <c r="B150" s="412">
        <v>0</v>
      </c>
      <c r="C150" s="1563">
        <v>0</v>
      </c>
      <c r="D150" s="685">
        <v>0</v>
      </c>
    </row>
    <row r="151" spans="1:4">
      <c r="A151" s="414"/>
      <c r="B151" s="412"/>
      <c r="C151" s="1563"/>
      <c r="D151" s="685"/>
    </row>
    <row r="152" spans="1:4">
      <c r="A152" s="414">
        <v>0</v>
      </c>
      <c r="B152" s="412">
        <v>0</v>
      </c>
      <c r="C152" s="1563"/>
      <c r="D152" s="685"/>
    </row>
    <row r="153" spans="1:4">
      <c r="A153" s="414">
        <v>0</v>
      </c>
      <c r="B153" s="412">
        <v>0</v>
      </c>
      <c r="C153" s="1563">
        <v>0</v>
      </c>
      <c r="D153" s="685">
        <v>0</v>
      </c>
    </row>
    <row r="154" spans="1:4">
      <c r="A154" s="414">
        <v>0</v>
      </c>
      <c r="B154" s="412">
        <v>0</v>
      </c>
      <c r="C154" s="1563">
        <v>0</v>
      </c>
      <c r="D154" s="685">
        <v>0</v>
      </c>
    </row>
    <row r="155" spans="1:4">
      <c r="A155" s="414">
        <v>0</v>
      </c>
      <c r="B155" s="412">
        <v>0</v>
      </c>
      <c r="C155" s="1563">
        <v>0</v>
      </c>
      <c r="D155" s="685">
        <v>0</v>
      </c>
    </row>
    <row r="156" spans="1:4">
      <c r="A156" s="414">
        <v>0</v>
      </c>
      <c r="B156" s="412">
        <v>0</v>
      </c>
      <c r="C156" s="1563">
        <v>0</v>
      </c>
      <c r="D156" s="685">
        <f>D153+D154-D155</f>
        <v>0</v>
      </c>
    </row>
    <row r="157" spans="1:4">
      <c r="A157" s="414">
        <v>0</v>
      </c>
      <c r="B157" s="412">
        <v>0</v>
      </c>
      <c r="C157" s="1563">
        <v>0</v>
      </c>
      <c r="D157" s="685">
        <f>AVERAGE(D153,D156)</f>
        <v>0</v>
      </c>
    </row>
    <row r="158" spans="1:4">
      <c r="A158" s="414">
        <v>0</v>
      </c>
      <c r="B158" s="412">
        <v>0</v>
      </c>
      <c r="C158" s="1563">
        <v>0</v>
      </c>
      <c r="D158" s="667" t="e">
        <f>D159/D153</f>
        <v>#DIV/0!</v>
      </c>
    </row>
    <row r="159" spans="1:4">
      <c r="A159" s="414">
        <v>0</v>
      </c>
      <c r="B159" s="412">
        <v>0</v>
      </c>
      <c r="C159" s="1563">
        <v>0</v>
      </c>
      <c r="D159" s="685">
        <v>0</v>
      </c>
    </row>
    <row r="160" spans="1:4">
      <c r="A160" s="414"/>
      <c r="B160" s="412"/>
      <c r="C160" s="1563"/>
      <c r="D160" s="685"/>
    </row>
    <row r="161" spans="1:4">
      <c r="A161" s="414">
        <v>0</v>
      </c>
      <c r="B161" s="412">
        <v>0</v>
      </c>
      <c r="C161" s="1563"/>
      <c r="D161" s="685"/>
    </row>
    <row r="162" spans="1:4">
      <c r="A162" s="414">
        <v>0</v>
      </c>
      <c r="B162" s="412">
        <v>0</v>
      </c>
      <c r="C162" s="1563">
        <v>0</v>
      </c>
      <c r="D162" s="685">
        <v>0</v>
      </c>
    </row>
    <row r="163" spans="1:4">
      <c r="A163" s="414">
        <v>0</v>
      </c>
      <c r="B163" s="412">
        <v>0</v>
      </c>
      <c r="C163" s="1563">
        <v>0</v>
      </c>
      <c r="D163" s="685">
        <v>0</v>
      </c>
    </row>
    <row r="164" spans="1:4">
      <c r="A164" s="414">
        <v>0</v>
      </c>
      <c r="B164" s="412">
        <v>0</v>
      </c>
      <c r="C164" s="1563">
        <v>0</v>
      </c>
      <c r="D164" s="685">
        <v>0</v>
      </c>
    </row>
    <row r="165" spans="1:4">
      <c r="A165" s="414">
        <v>0</v>
      </c>
      <c r="B165" s="412">
        <v>0</v>
      </c>
      <c r="C165" s="1563">
        <v>0</v>
      </c>
      <c r="D165" s="685">
        <f>D162+D163-D164</f>
        <v>0</v>
      </c>
    </row>
    <row r="166" spans="1:4">
      <c r="A166" s="414">
        <v>0</v>
      </c>
      <c r="B166" s="412">
        <v>0</v>
      </c>
      <c r="C166" s="1563">
        <v>0</v>
      </c>
      <c r="D166" s="685">
        <f>AVERAGE(D162,D165)</f>
        <v>0</v>
      </c>
    </row>
    <row r="167" spans="1:4">
      <c r="A167" s="414">
        <v>0</v>
      </c>
      <c r="B167" s="412">
        <v>0</v>
      </c>
      <c r="C167" s="1563">
        <v>0</v>
      </c>
      <c r="D167" s="667" t="e">
        <f>D168/D162</f>
        <v>#DIV/0!</v>
      </c>
    </row>
    <row r="168" spans="1:4">
      <c r="A168" s="414">
        <v>0</v>
      </c>
      <c r="B168" s="412">
        <v>0</v>
      </c>
      <c r="C168" s="1563">
        <v>0</v>
      </c>
      <c r="D168" s="685">
        <v>0</v>
      </c>
    </row>
    <row r="169" spans="1:4">
      <c r="A169" s="414"/>
      <c r="B169" s="412"/>
      <c r="C169" s="1563"/>
      <c r="D169" s="685"/>
    </row>
    <row r="170" spans="1:4">
      <c r="A170" s="414">
        <v>14</v>
      </c>
      <c r="B170" s="412" t="s">
        <v>22</v>
      </c>
      <c r="C170" s="1563"/>
      <c r="D170" s="685"/>
    </row>
    <row r="171" spans="1:4">
      <c r="A171" s="414">
        <v>14.1</v>
      </c>
      <c r="B171" s="412" t="s">
        <v>2775</v>
      </c>
      <c r="C171" s="1563" t="s">
        <v>57</v>
      </c>
      <c r="D171" s="685">
        <v>15093.927427408</v>
      </c>
    </row>
    <row r="172" spans="1:4">
      <c r="A172" s="414">
        <v>14.2</v>
      </c>
      <c r="B172" s="412" t="s">
        <v>2776</v>
      </c>
      <c r="C172" s="1563" t="s">
        <v>58</v>
      </c>
      <c r="D172" s="685">
        <v>13779.679662769</v>
      </c>
    </row>
    <row r="173" spans="1:4">
      <c r="A173" s="414">
        <v>14.3</v>
      </c>
      <c r="B173" s="412" t="s">
        <v>2777</v>
      </c>
      <c r="C173" s="1563" t="s">
        <v>67</v>
      </c>
      <c r="D173" s="685">
        <v>1501.4790871999999</v>
      </c>
    </row>
    <row r="174" spans="1:4">
      <c r="A174" s="414">
        <v>14.4</v>
      </c>
      <c r="B174" s="412" t="s">
        <v>2756</v>
      </c>
      <c r="C174" s="1563" t="s">
        <v>2778</v>
      </c>
      <c r="D174" s="685">
        <f>D171+D172-D173</f>
        <v>27372.128002976999</v>
      </c>
    </row>
    <row r="175" spans="1:4">
      <c r="A175" s="414">
        <v>14.5</v>
      </c>
      <c r="B175" s="412" t="s">
        <v>2758</v>
      </c>
      <c r="C175" s="1563" t="s">
        <v>2779</v>
      </c>
      <c r="D175" s="685">
        <f>AVERAGE(D171,D174)</f>
        <v>21233.0277151925</v>
      </c>
    </row>
    <row r="176" spans="1:4">
      <c r="A176" s="414">
        <v>14.6</v>
      </c>
      <c r="B176" s="412" t="s">
        <v>2780</v>
      </c>
      <c r="C176" s="1563" t="s">
        <v>138</v>
      </c>
      <c r="D176" s="1564">
        <f>SUM(D33,D42,D51,D60,D69,D78,D87,D96,D105,D114,D123,D132,D141,D150,D159,D168,)</f>
        <v>1798.6100319</v>
      </c>
    </row>
    <row r="177" spans="1:4">
      <c r="A177" s="414">
        <v>14.7</v>
      </c>
      <c r="B177" s="412" t="s">
        <v>2781</v>
      </c>
      <c r="C177" s="1563" t="s">
        <v>2782</v>
      </c>
      <c r="D177" s="1519">
        <f>D176/D175</f>
        <v>8.4708128111803463E-2</v>
      </c>
    </row>
    <row r="178" spans="1:4">
      <c r="A178" s="414">
        <v>14.8</v>
      </c>
      <c r="B178" s="412" t="s">
        <v>2781</v>
      </c>
      <c r="C178" s="1563" t="s">
        <v>2783</v>
      </c>
      <c r="D178" s="1253">
        <v>0.1191611686587303</v>
      </c>
    </row>
    <row r="179" spans="1:4">
      <c r="A179" s="398"/>
    </row>
    <row r="180" spans="1:4">
      <c r="A180" s="398"/>
    </row>
    <row r="181" spans="1:4">
      <c r="A181" s="398"/>
    </row>
    <row r="182" spans="1:4">
      <c r="A182" s="398"/>
    </row>
    <row r="183" spans="1:4">
      <c r="A183" s="398"/>
    </row>
    <row r="184" spans="1:4">
      <c r="A184" s="398"/>
    </row>
    <row r="185" spans="1:4">
      <c r="A185" s="398"/>
    </row>
    <row r="186" spans="1:4">
      <c r="A186" s="398"/>
    </row>
  </sheetData>
  <mergeCells count="8">
    <mergeCell ref="G7:H7"/>
    <mergeCell ref="A23:A25"/>
    <mergeCell ref="B23:B25"/>
    <mergeCell ref="C23:C25"/>
    <mergeCell ref="A7:A9"/>
    <mergeCell ref="B7:B9"/>
    <mergeCell ref="C7:F7"/>
    <mergeCell ref="D23:D25"/>
  </mergeCells>
  <printOptions horizontalCentered="1"/>
  <pageMargins left="0.19685039370078741" right="0.19685039370078741" top="0.19685039370078741" bottom="0.19685039370078741" header="0.19685039370078741" footer="0.19685039370078741"/>
  <pageSetup paperSize="9" scale="21" orientation="landscape" r:id="rId1"/>
  <rowBreaks count="1" manualBreakCount="1">
    <brk id="20"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view="pageBreakPreview" zoomScale="85" zoomScaleSheetLayoutView="85" workbookViewId="0">
      <selection activeCell="C105" sqref="C105"/>
    </sheetView>
  </sheetViews>
  <sheetFormatPr defaultRowHeight="14.5"/>
  <cols>
    <col min="2" max="2" width="32.54296875" customWidth="1"/>
    <col min="3" max="3" width="12.1796875" style="386" customWidth="1"/>
    <col min="4" max="4" width="11.81640625" style="386" customWidth="1"/>
    <col min="5" max="5" width="11" style="386" customWidth="1"/>
    <col min="6" max="6" width="10.81640625" style="386" customWidth="1"/>
    <col min="7" max="7" width="10.81640625" customWidth="1"/>
    <col min="8" max="8" width="16.7265625" customWidth="1"/>
    <col min="9" max="10" width="13.1796875" customWidth="1"/>
    <col min="11" max="11" width="13.1796875" style="251" customWidth="1"/>
    <col min="12" max="12" width="17.54296875" customWidth="1"/>
    <col min="13" max="13" width="13.1796875" customWidth="1"/>
  </cols>
  <sheetData>
    <row r="1" spans="1:13" s="251" customFormat="1">
      <c r="A1" s="3314" t="s">
        <v>908</v>
      </c>
      <c r="B1" s="3314"/>
      <c r="C1" s="388"/>
      <c r="D1" s="388"/>
      <c r="E1" s="388"/>
      <c r="F1" s="388"/>
    </row>
    <row r="2" spans="1:13">
      <c r="A2" s="3263" t="s">
        <v>1604</v>
      </c>
      <c r="B2" s="3263"/>
      <c r="C2" s="3263"/>
      <c r="D2" s="3263"/>
      <c r="E2" s="3263"/>
      <c r="F2" s="3263"/>
      <c r="G2" s="3263"/>
      <c r="H2" s="3263"/>
      <c r="I2" s="3263"/>
      <c r="J2" s="3263"/>
      <c r="K2" s="257"/>
    </row>
    <row r="3" spans="1:13">
      <c r="A3" s="573" t="s">
        <v>6</v>
      </c>
      <c r="B3" s="573"/>
      <c r="C3" s="573"/>
      <c r="D3" s="573"/>
      <c r="E3" s="573"/>
      <c r="F3" s="573"/>
      <c r="G3" s="573"/>
      <c r="H3" s="573"/>
      <c r="I3" s="3330"/>
      <c r="J3" s="3330"/>
      <c r="K3" s="256"/>
      <c r="L3" s="3330"/>
      <c r="M3" s="3330"/>
    </row>
    <row r="4" spans="1:13">
      <c r="A4" s="15"/>
      <c r="B4" s="15"/>
      <c r="C4" s="385"/>
      <c r="D4" s="385"/>
      <c r="E4" s="385"/>
      <c r="F4" s="385"/>
      <c r="G4" s="15"/>
      <c r="H4" s="15"/>
      <c r="I4" s="3318"/>
      <c r="J4" s="3318"/>
      <c r="K4" s="255"/>
      <c r="L4" s="3318" t="s">
        <v>64</v>
      </c>
      <c r="M4" s="3318"/>
    </row>
    <row r="5" spans="1:13" ht="30" customHeight="1">
      <c r="A5" s="2990" t="s">
        <v>117</v>
      </c>
      <c r="B5" s="3029" t="s">
        <v>14</v>
      </c>
      <c r="C5" s="2994" t="s">
        <v>1583</v>
      </c>
      <c r="D5" s="2994"/>
      <c r="E5" s="2994"/>
      <c r="F5" s="2994"/>
      <c r="G5" s="2994"/>
      <c r="H5" s="3074" t="s">
        <v>542</v>
      </c>
      <c r="I5" s="3074"/>
      <c r="J5" s="3074"/>
      <c r="K5" s="3057" t="s">
        <v>550</v>
      </c>
      <c r="L5" s="3059"/>
      <c r="M5" s="1327" t="s">
        <v>952</v>
      </c>
    </row>
    <row r="6" spans="1:13">
      <c r="A6" s="2990"/>
      <c r="B6" s="3030"/>
      <c r="C6" s="650" t="s">
        <v>557</v>
      </c>
      <c r="D6" s="650" t="s">
        <v>556</v>
      </c>
      <c r="E6" s="912" t="s">
        <v>555</v>
      </c>
      <c r="F6" s="650" t="s">
        <v>553</v>
      </c>
      <c r="G6" s="650" t="s">
        <v>551</v>
      </c>
      <c r="H6" s="3415" t="s">
        <v>545</v>
      </c>
      <c r="I6" s="3416"/>
      <c r="J6" s="3417"/>
      <c r="K6" s="3415" t="s">
        <v>546</v>
      </c>
      <c r="L6" s="3417"/>
      <c r="M6" s="651" t="s">
        <v>547</v>
      </c>
    </row>
    <row r="7" spans="1:13" ht="25.5" customHeight="1">
      <c r="A7" s="2990"/>
      <c r="B7" s="3030"/>
      <c r="C7" s="382" t="s">
        <v>554</v>
      </c>
      <c r="D7" s="382" t="s">
        <v>554</v>
      </c>
      <c r="E7" s="382" t="s">
        <v>554</v>
      </c>
      <c r="F7" s="382" t="s">
        <v>554</v>
      </c>
      <c r="G7" s="382" t="s">
        <v>554</v>
      </c>
      <c r="H7" s="200" t="s">
        <v>543</v>
      </c>
      <c r="I7" s="201" t="s">
        <v>281</v>
      </c>
      <c r="J7" s="201" t="s">
        <v>544</v>
      </c>
      <c r="K7" s="200" t="s">
        <v>543</v>
      </c>
      <c r="L7" s="200" t="s">
        <v>552</v>
      </c>
      <c r="M7" s="201" t="s">
        <v>283</v>
      </c>
    </row>
    <row r="8" spans="1:13">
      <c r="A8" s="7">
        <v>1</v>
      </c>
      <c r="B8" s="87" t="s">
        <v>112</v>
      </c>
      <c r="C8" s="1073" t="s">
        <v>1391</v>
      </c>
      <c r="D8" s="1073" t="s">
        <v>1391</v>
      </c>
      <c r="E8" s="1261">
        <v>2057.2800000000002</v>
      </c>
      <c r="F8" s="1261">
        <v>2353.4340000000007</v>
      </c>
      <c r="G8" s="1261">
        <v>2438.9040000000005</v>
      </c>
      <c r="H8" s="1261">
        <v>2875.91</v>
      </c>
      <c r="I8" s="1074"/>
      <c r="J8" s="1261">
        <f>G10</f>
        <v>3515.1270000000004</v>
      </c>
      <c r="K8" s="1261">
        <v>3522.65</v>
      </c>
      <c r="L8" s="1261">
        <f ca="1">J10</f>
        <v>4135.8588807600008</v>
      </c>
      <c r="M8" s="1261">
        <f ca="1">L10</f>
        <v>4591.9744932697549</v>
      </c>
    </row>
    <row r="9" spans="1:13">
      <c r="A9" s="7">
        <f>A8+1</f>
        <v>2</v>
      </c>
      <c r="B9" s="87" t="s">
        <v>113</v>
      </c>
      <c r="C9" s="1073" t="s">
        <v>1391</v>
      </c>
      <c r="D9" s="1073" t="s">
        <v>1391</v>
      </c>
      <c r="E9" s="1261">
        <v>296.15399999999994</v>
      </c>
      <c r="F9" s="1261">
        <v>85.470000000000027</v>
      </c>
      <c r="G9" s="1261">
        <v>1076.2229999999997</v>
      </c>
      <c r="H9" s="1261">
        <v>73.71299999999998</v>
      </c>
      <c r="I9" s="1074"/>
      <c r="J9" s="1261">
        <f ca="1">('F23'!E19-'F18'!M9:M12)*30%</f>
        <v>620.73188075999997</v>
      </c>
      <c r="K9" s="1261">
        <v>95.193000000000012</v>
      </c>
      <c r="L9" s="1261">
        <f ca="1">('F23'!F19)*30%</f>
        <v>456.11561250975535</v>
      </c>
      <c r="M9" s="1261">
        <f ca="1">('F23'!G19)*30%</f>
        <v>518.34096385595706</v>
      </c>
    </row>
    <row r="10" spans="1:13">
      <c r="A10" s="7">
        <f>A9+1</f>
        <v>3</v>
      </c>
      <c r="B10" s="87" t="s">
        <v>114</v>
      </c>
      <c r="C10" s="1073" t="s">
        <v>1391</v>
      </c>
      <c r="D10" s="1073" t="s">
        <v>1391</v>
      </c>
      <c r="E10" s="936">
        <f t="shared" ref="E10:I10" si="0">+E8+E9</f>
        <v>2353.4340000000002</v>
      </c>
      <c r="F10" s="936">
        <f t="shared" si="0"/>
        <v>2438.9040000000005</v>
      </c>
      <c r="G10" s="936">
        <f t="shared" si="0"/>
        <v>3515.1270000000004</v>
      </c>
      <c r="H10" s="936">
        <f t="shared" ref="H10:K10" si="1">+H8+H9</f>
        <v>2949.623</v>
      </c>
      <c r="I10" s="936">
        <f t="shared" si="0"/>
        <v>0</v>
      </c>
      <c r="J10" s="936">
        <f ca="1">J8+J9</f>
        <v>4135.8588807600008</v>
      </c>
      <c r="K10" s="936">
        <f t="shared" si="1"/>
        <v>3617.8430000000003</v>
      </c>
      <c r="L10" s="936">
        <f ca="1">L8+L9</f>
        <v>4591.9744932697558</v>
      </c>
      <c r="M10" s="936">
        <f ca="1">M8+M9</f>
        <v>5110.3154571257119</v>
      </c>
    </row>
    <row r="11" spans="1:13">
      <c r="A11" s="7">
        <f>A10+1</f>
        <v>4</v>
      </c>
      <c r="B11" s="87" t="s">
        <v>115</v>
      </c>
      <c r="C11" s="1073" t="s">
        <v>1391</v>
      </c>
      <c r="D11" s="1073" t="s">
        <v>1391</v>
      </c>
      <c r="E11" s="936">
        <f t="shared" ref="E11:I11" si="2">AVERAGE(E10,E8)</f>
        <v>2205.357</v>
      </c>
      <c r="F11" s="936">
        <f t="shared" si="2"/>
        <v>2396.1690000000008</v>
      </c>
      <c r="G11" s="936">
        <f t="shared" si="2"/>
        <v>2977.0155000000004</v>
      </c>
      <c r="H11" s="936">
        <f t="shared" ref="H11:M11" si="3">AVERAGE(H10,H8)</f>
        <v>2912.7664999999997</v>
      </c>
      <c r="I11" s="936">
        <f t="shared" si="2"/>
        <v>0</v>
      </c>
      <c r="J11" s="936">
        <f t="shared" ca="1" si="3"/>
        <v>3825.4929403800006</v>
      </c>
      <c r="K11" s="936">
        <f t="shared" si="3"/>
        <v>3570.2465000000002</v>
      </c>
      <c r="L11" s="936">
        <f t="shared" ca="1" si="3"/>
        <v>4363.9166870148783</v>
      </c>
      <c r="M11" s="936">
        <f t="shared" ca="1" si="3"/>
        <v>4851.1449751977334</v>
      </c>
    </row>
    <row r="12" spans="1:13">
      <c r="A12" s="7">
        <f>A11+1</f>
        <v>5</v>
      </c>
      <c r="B12" s="87" t="s">
        <v>116</v>
      </c>
      <c r="C12" s="1073" t="s">
        <v>1391</v>
      </c>
      <c r="D12" s="1073" t="s">
        <v>1391</v>
      </c>
      <c r="E12" s="1075">
        <v>0.16</v>
      </c>
      <c r="F12" s="1075">
        <v>0.16</v>
      </c>
      <c r="G12" s="1075">
        <v>0.16</v>
      </c>
      <c r="H12" s="1075">
        <v>0.15</v>
      </c>
      <c r="I12" s="1076"/>
      <c r="J12" s="1075">
        <v>0.15</v>
      </c>
      <c r="K12" s="1075">
        <v>0.15</v>
      </c>
      <c r="L12" s="1075">
        <v>0.15</v>
      </c>
      <c r="M12" s="1075">
        <v>0.15</v>
      </c>
    </row>
    <row r="13" spans="1:13">
      <c r="A13" s="7">
        <v>6</v>
      </c>
      <c r="B13" s="87" t="s">
        <v>34</v>
      </c>
      <c r="C13" s="1073" t="s">
        <v>1391</v>
      </c>
      <c r="D13" s="1073" t="s">
        <v>1391</v>
      </c>
      <c r="E13" s="1077">
        <f t="shared" ref="E13:F13" si="4">E11*E12</f>
        <v>352.85712000000001</v>
      </c>
      <c r="F13" s="1077">
        <f t="shared" si="4"/>
        <v>383.38704000000013</v>
      </c>
      <c r="G13" s="1077">
        <f>G11*G12</f>
        <v>476.3224800000001</v>
      </c>
      <c r="H13" s="1077">
        <f>H11*H12</f>
        <v>436.91497499999997</v>
      </c>
      <c r="I13" s="1077">
        <f t="shared" ref="I13:M13" si="5">I11*I12</f>
        <v>0</v>
      </c>
      <c r="J13" s="1077">
        <f t="shared" ca="1" si="5"/>
        <v>573.82394105700007</v>
      </c>
      <c r="K13" s="1077">
        <f t="shared" si="5"/>
        <v>535.53697499999998</v>
      </c>
      <c r="L13" s="1077">
        <f t="shared" ca="1" si="5"/>
        <v>654.58750305223168</v>
      </c>
      <c r="M13" s="1077">
        <f t="shared" ca="1" si="5"/>
        <v>727.67174627965994</v>
      </c>
    </row>
    <row r="14" spans="1:13">
      <c r="A14" s="26"/>
      <c r="B14" s="27"/>
      <c r="C14" s="27"/>
      <c r="D14" s="27"/>
      <c r="E14" s="27"/>
      <c r="F14" s="27"/>
      <c r="G14" s="27"/>
      <c r="J14" s="26"/>
      <c r="K14" s="26"/>
    </row>
    <row r="16" spans="1:13">
      <c r="H16" s="3327"/>
      <c r="I16" s="3327"/>
      <c r="J16" s="3327"/>
      <c r="K16" s="250"/>
    </row>
  </sheetData>
  <mergeCells count="14">
    <mergeCell ref="H16:J16"/>
    <mergeCell ref="A2:J2"/>
    <mergeCell ref="I3:J3"/>
    <mergeCell ref="I4:J4"/>
    <mergeCell ref="A5:A7"/>
    <mergeCell ref="B5:B7"/>
    <mergeCell ref="H5:J5"/>
    <mergeCell ref="C5:G5"/>
    <mergeCell ref="L4:M4"/>
    <mergeCell ref="A1:B1"/>
    <mergeCell ref="H6:J6"/>
    <mergeCell ref="K5:L5"/>
    <mergeCell ref="K6:L6"/>
    <mergeCell ref="L3:M3"/>
  </mergeCells>
  <printOptions horizontalCentered="1"/>
  <pageMargins left="0.19685039370078741" right="0.19685039370078741" top="0.19685039370078741" bottom="0.19685039370078741" header="0.19685039370078741" footer="0.19685039370078741"/>
  <pageSetup paperSize="9" scale="77" orientation="landscape" r:id="rId1"/>
  <ignoredErrors>
    <ignoredError sqref="K10" 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view="pageBreakPreview" zoomScale="85" zoomScaleSheetLayoutView="85" workbookViewId="0">
      <selection activeCell="C105" sqref="C105"/>
    </sheetView>
  </sheetViews>
  <sheetFormatPr defaultRowHeight="14.5"/>
  <cols>
    <col min="1" max="1" width="8.7265625" customWidth="1"/>
    <col min="2" max="2" width="32.54296875" customWidth="1"/>
    <col min="3" max="4" width="11" style="386" bestFit="1" customWidth="1"/>
    <col min="5" max="6" width="10.453125" style="386" bestFit="1" customWidth="1"/>
    <col min="7" max="7" width="10.453125" bestFit="1" customWidth="1"/>
    <col min="8" max="8" width="10.81640625" customWidth="1"/>
    <col min="9" max="9" width="10.26953125" bestFit="1" customWidth="1"/>
    <col min="10" max="10" width="9.54296875" bestFit="1" customWidth="1"/>
    <col min="11" max="11" width="9.81640625" style="386" customWidth="1"/>
    <col min="12" max="12" width="13.1796875" customWidth="1"/>
    <col min="13" max="13" width="9.54296875" bestFit="1" customWidth="1"/>
  </cols>
  <sheetData>
    <row r="1" spans="1:13" s="251" customFormat="1">
      <c r="A1" s="3314" t="s">
        <v>909</v>
      </c>
      <c r="B1" s="3314"/>
      <c r="C1" s="388"/>
      <c r="D1" s="388"/>
      <c r="E1" s="388"/>
      <c r="F1" s="388"/>
      <c r="K1" s="386"/>
    </row>
    <row r="2" spans="1:13">
      <c r="A2" s="3413" t="s">
        <v>1604</v>
      </c>
      <c r="B2" s="3413"/>
      <c r="C2" s="3413"/>
      <c r="D2" s="3413"/>
      <c r="E2" s="3413"/>
      <c r="F2" s="3413"/>
      <c r="G2" s="3413"/>
      <c r="H2" s="3413"/>
      <c r="I2" s="3413"/>
      <c r="J2" s="3413"/>
      <c r="K2" s="390"/>
    </row>
    <row r="3" spans="1:13">
      <c r="A3" s="574" t="s">
        <v>1248</v>
      </c>
      <c r="B3" s="574"/>
      <c r="C3" s="574"/>
      <c r="D3" s="3330"/>
      <c r="E3" s="3330"/>
      <c r="F3" s="3330"/>
      <c r="G3" s="3330"/>
      <c r="H3" s="547"/>
      <c r="I3" s="3330"/>
      <c r="J3" s="3330"/>
      <c r="K3" s="389"/>
      <c r="L3" s="3330"/>
      <c r="M3" s="3330"/>
    </row>
    <row r="4" spans="1:13">
      <c r="B4" s="32"/>
      <c r="C4" s="32"/>
      <c r="D4" s="32"/>
      <c r="E4" s="32"/>
      <c r="F4" s="32"/>
      <c r="G4" s="33"/>
      <c r="I4" s="3331"/>
      <c r="J4" s="3331"/>
      <c r="K4" s="391"/>
      <c r="L4" s="3331" t="s">
        <v>141</v>
      </c>
      <c r="M4" s="3331"/>
    </row>
    <row r="5" spans="1:13" ht="30" customHeight="1">
      <c r="A5" s="3081" t="s">
        <v>117</v>
      </c>
      <c r="B5" s="3029" t="s">
        <v>14</v>
      </c>
      <c r="C5" s="2994" t="s">
        <v>1583</v>
      </c>
      <c r="D5" s="2994"/>
      <c r="E5" s="2994"/>
      <c r="F5" s="2994"/>
      <c r="G5" s="2994"/>
      <c r="H5" s="3074" t="s">
        <v>542</v>
      </c>
      <c r="I5" s="3074"/>
      <c r="J5" s="3074"/>
      <c r="K5" s="3057" t="s">
        <v>550</v>
      </c>
      <c r="L5" s="3059"/>
      <c r="M5" s="993" t="s">
        <v>952</v>
      </c>
    </row>
    <row r="6" spans="1:13">
      <c r="A6" s="3079"/>
      <c r="B6" s="3030"/>
      <c r="C6" s="912" t="s">
        <v>557</v>
      </c>
      <c r="D6" s="912" t="s">
        <v>556</v>
      </c>
      <c r="E6" s="912" t="s">
        <v>555</v>
      </c>
      <c r="F6" s="912" t="s">
        <v>553</v>
      </c>
      <c r="G6" s="912" t="s">
        <v>551</v>
      </c>
      <c r="H6" s="3415" t="s">
        <v>545</v>
      </c>
      <c r="I6" s="3416"/>
      <c r="J6" s="3417"/>
      <c r="K6" s="3415" t="s">
        <v>546</v>
      </c>
      <c r="L6" s="3417"/>
      <c r="M6" s="913" t="s">
        <v>547</v>
      </c>
    </row>
    <row r="7" spans="1:13" ht="27.75" customHeight="1">
      <c r="A7" s="3080"/>
      <c r="B7" s="3089"/>
      <c r="C7" s="382" t="s">
        <v>554</v>
      </c>
      <c r="D7" s="382" t="s">
        <v>554</v>
      </c>
      <c r="E7" s="382" t="s">
        <v>554</v>
      </c>
      <c r="F7" s="382" t="s">
        <v>554</v>
      </c>
      <c r="G7" s="193" t="s">
        <v>554</v>
      </c>
      <c r="H7" s="200" t="s">
        <v>543</v>
      </c>
      <c r="I7" s="201" t="s">
        <v>281</v>
      </c>
      <c r="J7" s="201" t="s">
        <v>544</v>
      </c>
      <c r="K7" s="200" t="s">
        <v>543</v>
      </c>
      <c r="L7" s="200" t="s">
        <v>552</v>
      </c>
      <c r="M7" s="201" t="s">
        <v>283</v>
      </c>
    </row>
    <row r="8" spans="1:13">
      <c r="A8" s="7"/>
      <c r="B8" s="91" t="s">
        <v>118</v>
      </c>
      <c r="C8" s="1261"/>
      <c r="D8" s="1261"/>
      <c r="E8" s="1513"/>
      <c r="F8" s="1513"/>
      <c r="G8" s="934"/>
      <c r="H8" s="1061"/>
      <c r="I8" s="1061"/>
      <c r="J8" s="1061"/>
      <c r="K8" s="1061"/>
      <c r="L8" s="1061"/>
      <c r="M8" s="1061"/>
    </row>
    <row r="9" spans="1:13">
      <c r="A9" s="7">
        <v>1</v>
      </c>
      <c r="B9" s="95" t="s">
        <v>119</v>
      </c>
      <c r="C9" s="1261" t="s">
        <v>1391</v>
      </c>
      <c r="D9" s="1261" t="s">
        <v>1391</v>
      </c>
      <c r="E9" s="3434">
        <f>'F32'!E10</f>
        <v>2353.4340000000002</v>
      </c>
      <c r="F9" s="3434">
        <f>'F32'!F10</f>
        <v>2438.9040000000005</v>
      </c>
      <c r="G9" s="3434">
        <f>'F32'!G10</f>
        <v>3515.1270000000004</v>
      </c>
      <c r="H9" s="1061"/>
      <c r="I9" s="1078">
        <f>'S2'!D42</f>
        <v>19981.4827</v>
      </c>
      <c r="J9" s="3434">
        <f ca="1">'F32'!J10</f>
        <v>4135.8588807600008</v>
      </c>
      <c r="K9" s="1061"/>
      <c r="L9" s="3434">
        <f ca="1">'F32'!L10</f>
        <v>4591.9744932697558</v>
      </c>
      <c r="M9" s="3434">
        <f ca="1">'F32'!M10</f>
        <v>5110.3154571257119</v>
      </c>
    </row>
    <row r="10" spans="1:13">
      <c r="A10" s="7">
        <v>2</v>
      </c>
      <c r="B10" s="95" t="s">
        <v>1562</v>
      </c>
      <c r="C10" s="1261" t="s">
        <v>1391</v>
      </c>
      <c r="D10" s="1261" t="s">
        <v>1391</v>
      </c>
      <c r="E10" s="3435"/>
      <c r="F10" s="3435"/>
      <c r="G10" s="3435"/>
      <c r="H10" s="1061"/>
      <c r="I10" s="1078">
        <f>'S1'!D22</f>
        <v>-3648.0614164609979</v>
      </c>
      <c r="J10" s="3435"/>
      <c r="K10" s="1061"/>
      <c r="L10" s="3435"/>
      <c r="M10" s="3435"/>
    </row>
    <row r="11" spans="1:13">
      <c r="A11" s="138"/>
      <c r="B11" s="189" t="s">
        <v>73</v>
      </c>
      <c r="C11" s="1079">
        <f>SUM(C9:C10)</f>
        <v>0</v>
      </c>
      <c r="D11" s="1079">
        <f t="shared" ref="D11:M11" si="0">SUM(D9:D10)</f>
        <v>0</v>
      </c>
      <c r="E11" s="1079">
        <f t="shared" si="0"/>
        <v>2353.4340000000002</v>
      </c>
      <c r="F11" s="1079">
        <f t="shared" si="0"/>
        <v>2438.9040000000005</v>
      </c>
      <c r="G11" s="1079">
        <f t="shared" si="0"/>
        <v>3515.1270000000004</v>
      </c>
      <c r="H11" s="1079">
        <f t="shared" si="0"/>
        <v>0</v>
      </c>
      <c r="I11" s="1079">
        <f t="shared" si="0"/>
        <v>16333.421283539003</v>
      </c>
      <c r="J11" s="1079">
        <f t="shared" ca="1" si="0"/>
        <v>4135.8588807600008</v>
      </c>
      <c r="K11" s="1079">
        <f t="shared" si="0"/>
        <v>0</v>
      </c>
      <c r="L11" s="1079">
        <f t="shared" ca="1" si="0"/>
        <v>4591.9744932697558</v>
      </c>
      <c r="M11" s="1079">
        <f t="shared" ca="1" si="0"/>
        <v>5110.3154571257119</v>
      </c>
    </row>
    <row r="13" spans="1:13">
      <c r="A13" s="39"/>
      <c r="B13" s="4"/>
      <c r="C13" s="387"/>
      <c r="D13" s="387"/>
      <c r="E13" s="387"/>
      <c r="F13" s="387"/>
      <c r="G13" s="4"/>
    </row>
    <row r="16" spans="1:13">
      <c r="H16" s="2"/>
      <c r="I16" s="2"/>
      <c r="J16" s="2"/>
      <c r="K16" s="2"/>
    </row>
  </sheetData>
  <mergeCells count="21">
    <mergeCell ref="M9:M10"/>
    <mergeCell ref="E9:E10"/>
    <mergeCell ref="F9:F10"/>
    <mergeCell ref="G9:G10"/>
    <mergeCell ref="J9:J10"/>
    <mergeCell ref="L9:L10"/>
    <mergeCell ref="K6:L6"/>
    <mergeCell ref="K5:L5"/>
    <mergeCell ref="A1:B1"/>
    <mergeCell ref="H6:J6"/>
    <mergeCell ref="A2:J2"/>
    <mergeCell ref="I3:J3"/>
    <mergeCell ref="I4:J4"/>
    <mergeCell ref="A5:A7"/>
    <mergeCell ref="B5:B7"/>
    <mergeCell ref="H5:J5"/>
    <mergeCell ref="C5:G5"/>
    <mergeCell ref="D3:E3"/>
    <mergeCell ref="F3:G3"/>
    <mergeCell ref="L3:M3"/>
    <mergeCell ref="L4:M4"/>
  </mergeCells>
  <printOptions horizontalCentered="1"/>
  <pageMargins left="0.19685039370078741" right="0.19685039370078741" top="0.19685039370078741" bottom="0.19685039370078741" header="0.19685039370078741" footer="0.19685039370078741"/>
  <pageSetup paperSize="9" scale="91"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view="pageBreakPreview" zoomScaleSheetLayoutView="100" workbookViewId="0">
      <selection activeCell="C105" sqref="C105"/>
    </sheetView>
  </sheetViews>
  <sheetFormatPr defaultColWidth="9.1796875" defaultRowHeight="14.5"/>
  <cols>
    <col min="2" max="2" width="32.54296875" customWidth="1"/>
    <col min="3" max="3" width="10.81640625" style="386" customWidth="1"/>
    <col min="4" max="4" width="12.453125" style="386" customWidth="1"/>
    <col min="5" max="5" width="11" style="386" customWidth="1"/>
    <col min="6" max="6" width="12" style="386" customWidth="1"/>
    <col min="7" max="7" width="13.1796875" customWidth="1"/>
    <col min="8" max="8" width="12.1796875" customWidth="1"/>
    <col min="9" max="10" width="9.54296875" bestFit="1" customWidth="1"/>
    <col min="11" max="11" width="13.1796875" style="251" customWidth="1"/>
    <col min="12" max="12" width="13.81640625" bestFit="1" customWidth="1"/>
    <col min="13" max="13" width="9.54296875" bestFit="1" customWidth="1"/>
  </cols>
  <sheetData>
    <row r="1" spans="1:15" s="251" customFormat="1">
      <c r="A1" s="305" t="s">
        <v>910</v>
      </c>
      <c r="B1" s="305"/>
      <c r="C1" s="388"/>
      <c r="D1" s="388"/>
      <c r="E1" s="388"/>
      <c r="F1" s="388"/>
    </row>
    <row r="2" spans="1:15">
      <c r="A2" s="427" t="s">
        <v>1604</v>
      </c>
      <c r="B2" s="427"/>
      <c r="C2" s="427"/>
      <c r="D2" s="427"/>
      <c r="E2" s="427"/>
      <c r="F2" s="427"/>
      <c r="G2" s="427"/>
      <c r="H2" s="427"/>
      <c r="I2" s="427"/>
      <c r="J2" s="427"/>
      <c r="K2" s="248"/>
    </row>
    <row r="3" spans="1:15">
      <c r="A3" s="574" t="s">
        <v>7</v>
      </c>
      <c r="B3" s="574"/>
      <c r="C3" s="574"/>
      <c r="D3" s="574"/>
      <c r="E3" s="574"/>
      <c r="F3" s="574"/>
      <c r="G3" s="574"/>
      <c r="H3" s="574"/>
      <c r="I3" s="3330"/>
      <c r="J3" s="3330"/>
      <c r="K3" s="256"/>
      <c r="L3" s="3330"/>
      <c r="M3" s="3330"/>
    </row>
    <row r="4" spans="1:15">
      <c r="A4" s="15"/>
      <c r="B4" s="15"/>
      <c r="C4" s="385"/>
      <c r="D4" s="385"/>
      <c r="E4" s="385"/>
      <c r="F4" s="385"/>
      <c r="G4" s="15"/>
      <c r="H4" s="15"/>
      <c r="I4" s="3318"/>
      <c r="J4" s="3318"/>
      <c r="K4" s="255"/>
      <c r="L4" s="3318" t="s">
        <v>64</v>
      </c>
      <c r="M4" s="3318"/>
    </row>
    <row r="5" spans="1:15" ht="30" customHeight="1">
      <c r="A5" s="2990" t="s">
        <v>12</v>
      </c>
      <c r="B5" s="2994" t="s">
        <v>14</v>
      </c>
      <c r="C5" s="3018" t="s">
        <v>1583</v>
      </c>
      <c r="D5" s="3019"/>
      <c r="E5" s="3019"/>
      <c r="F5" s="3019"/>
      <c r="G5" s="3022"/>
      <c r="H5" s="3074" t="s">
        <v>542</v>
      </c>
      <c r="I5" s="3074"/>
      <c r="J5" s="3074"/>
      <c r="K5" s="3057" t="s">
        <v>550</v>
      </c>
      <c r="L5" s="3059"/>
      <c r="M5" s="1327" t="s">
        <v>952</v>
      </c>
    </row>
    <row r="6" spans="1:15">
      <c r="A6" s="2990"/>
      <c r="B6" s="2994"/>
      <c r="C6" s="928" t="s">
        <v>557</v>
      </c>
      <c r="D6" s="929" t="s">
        <v>556</v>
      </c>
      <c r="E6" s="929" t="s">
        <v>555</v>
      </c>
      <c r="F6" s="929" t="s">
        <v>553</v>
      </c>
      <c r="G6" s="929" t="s">
        <v>551</v>
      </c>
      <c r="H6" s="3415" t="s">
        <v>545</v>
      </c>
      <c r="I6" s="3416"/>
      <c r="J6" s="3417"/>
      <c r="K6" s="3412" t="s">
        <v>546</v>
      </c>
      <c r="L6" s="3412"/>
      <c r="M6" s="923" t="s">
        <v>547</v>
      </c>
    </row>
    <row r="7" spans="1:15" ht="33.75" customHeight="1">
      <c r="A7" s="2990"/>
      <c r="B7" s="2994"/>
      <c r="C7" s="382" t="s">
        <v>554</v>
      </c>
      <c r="D7" s="382" t="s">
        <v>554</v>
      </c>
      <c r="E7" s="382" t="s">
        <v>554</v>
      </c>
      <c r="F7" s="382" t="s">
        <v>554</v>
      </c>
      <c r="G7" s="193" t="s">
        <v>554</v>
      </c>
      <c r="H7" s="200" t="s">
        <v>543</v>
      </c>
      <c r="I7" s="201" t="s">
        <v>281</v>
      </c>
      <c r="J7" s="201" t="s">
        <v>544</v>
      </c>
      <c r="K7" s="200" t="s">
        <v>543</v>
      </c>
      <c r="L7" s="200" t="s">
        <v>1335</v>
      </c>
      <c r="M7" s="201" t="s">
        <v>283</v>
      </c>
    </row>
    <row r="8" spans="1:15">
      <c r="A8" s="8">
        <v>1</v>
      </c>
      <c r="B8" s="706" t="s">
        <v>121</v>
      </c>
      <c r="C8" s="1514">
        <v>54.26</v>
      </c>
      <c r="D8" s="1514">
        <v>74.900000000000006</v>
      </c>
      <c r="E8" s="1514">
        <v>84.53</v>
      </c>
      <c r="F8" s="1514">
        <v>174.17903265833334</v>
      </c>
      <c r="G8" s="1514">
        <v>112</v>
      </c>
      <c r="H8" s="1514">
        <v>86.5</v>
      </c>
      <c r="I8" s="1055"/>
      <c r="J8" s="1055">
        <f>'F1'!G24/12</f>
        <v>149.34700417925879</v>
      </c>
      <c r="K8" s="1063">
        <v>127.38</v>
      </c>
      <c r="L8" s="1055">
        <f>'F1'!H24/12</f>
        <v>182.65769079348948</v>
      </c>
      <c r="M8" s="1055">
        <f>'F1'!I24/12</f>
        <v>163.157277542976</v>
      </c>
    </row>
    <row r="9" spans="1:15" ht="43.5">
      <c r="A9" s="8">
        <v>2</v>
      </c>
      <c r="B9" s="707" t="s">
        <v>1323</v>
      </c>
      <c r="C9" s="1514">
        <v>1271.33</v>
      </c>
      <c r="D9" s="1514">
        <v>1534.41</v>
      </c>
      <c r="E9" s="1514">
        <v>1660.46</v>
      </c>
      <c r="F9" s="1514">
        <v>1839.49</v>
      </c>
      <c r="G9" s="1514">
        <v>1940.23</v>
      </c>
      <c r="H9" s="1514">
        <v>1698.56</v>
      </c>
      <c r="I9" s="247"/>
      <c r="J9" s="1057">
        <f>('F1'!G13+'F1'!G48)*1.5/12</f>
        <v>1768.1388287</v>
      </c>
      <c r="K9" s="1063">
        <v>1801.74</v>
      </c>
      <c r="L9" s="1057">
        <f>('F1'!H13+'F1'!H48)*1.5/12</f>
        <v>2056.5224894006342</v>
      </c>
      <c r="M9" s="1057">
        <f>('F1'!I13+'F1'!I48)*1.5/12</f>
        <v>2141.9161604530354</v>
      </c>
    </row>
    <row r="10" spans="1:15" ht="29">
      <c r="A10" s="8">
        <v>3</v>
      </c>
      <c r="B10" s="707" t="s">
        <v>1334</v>
      </c>
      <c r="C10" s="1514">
        <v>68.069999999999993</v>
      </c>
      <c r="D10" s="1514">
        <v>65.8</v>
      </c>
      <c r="E10" s="1514">
        <v>37.96</v>
      </c>
      <c r="F10" s="1514">
        <v>51.56</v>
      </c>
      <c r="G10" s="1514">
        <v>57.99</v>
      </c>
      <c r="H10" s="1514">
        <v>36.01</v>
      </c>
      <c r="I10" s="934"/>
      <c r="J10" s="1057">
        <f>('F1'!G21/6)*40%</f>
        <v>59.70968908884835</v>
      </c>
      <c r="K10" s="1063">
        <v>66.08</v>
      </c>
      <c r="L10" s="1057">
        <f>('F1'!H21/6)*40%</f>
        <v>83.17862392391288</v>
      </c>
      <c r="M10" s="1057">
        <f>('F1'!I21/6)*40%</f>
        <v>64.123127834048589</v>
      </c>
    </row>
    <row r="11" spans="1:15" ht="30.75" customHeight="1">
      <c r="A11" s="8">
        <v>4</v>
      </c>
      <c r="B11" s="707" t="s">
        <v>160</v>
      </c>
      <c r="C11" s="1514">
        <v>296.99</v>
      </c>
      <c r="D11" s="1514">
        <v>320.49</v>
      </c>
      <c r="E11" s="1514">
        <v>367.91</v>
      </c>
      <c r="F11" s="1514">
        <v>404.16</v>
      </c>
      <c r="G11" s="1514">
        <v>429.86</v>
      </c>
      <c r="H11" s="1514">
        <v>487.72</v>
      </c>
      <c r="I11" s="934"/>
      <c r="J11" s="1057">
        <f>'F38'!J113</f>
        <v>461.72489999999999</v>
      </c>
      <c r="K11" s="1063">
        <v>487.72</v>
      </c>
      <c r="L11" s="1057">
        <f>'F38'!L113</f>
        <v>531.9624890455359</v>
      </c>
      <c r="M11" s="1057">
        <f>'F38'!M113</f>
        <v>541.95726181655778</v>
      </c>
      <c r="O11" t="s">
        <v>168</v>
      </c>
    </row>
    <row r="12" spans="1:15">
      <c r="A12" s="170"/>
      <c r="B12" s="708" t="s">
        <v>122</v>
      </c>
      <c r="C12" s="1515">
        <f t="shared" ref="C12:M12" si="0">(C8+C9+C10)-C11</f>
        <v>1096.6699999999998</v>
      </c>
      <c r="D12" s="1515">
        <f t="shared" si="0"/>
        <v>1354.6200000000001</v>
      </c>
      <c r="E12" s="1515">
        <f t="shared" si="0"/>
        <v>1415.04</v>
      </c>
      <c r="F12" s="1516">
        <f>(F8+F9+F10)-F11</f>
        <v>1661.0690326583333</v>
      </c>
      <c r="G12" s="1517">
        <f t="shared" si="0"/>
        <v>1680.3599999999997</v>
      </c>
      <c r="H12" s="1517">
        <f t="shared" si="0"/>
        <v>1333.35</v>
      </c>
      <c r="I12" s="247"/>
      <c r="J12" s="1517">
        <f t="shared" si="0"/>
        <v>1515.4706219681073</v>
      </c>
      <c r="K12" s="1517">
        <f t="shared" ref="K12" si="1">(K8+K9+K10)-K11</f>
        <v>1507.4799999999998</v>
      </c>
      <c r="L12" s="1517">
        <f t="shared" si="0"/>
        <v>1790.3963150725006</v>
      </c>
      <c r="M12" s="1517">
        <f t="shared" si="0"/>
        <v>1827.2393040135023</v>
      </c>
    </row>
    <row r="13" spans="1:15">
      <c r="A13" s="171"/>
      <c r="B13" s="709" t="s">
        <v>864</v>
      </c>
      <c r="C13" s="1518">
        <v>0.125</v>
      </c>
      <c r="D13" s="1518">
        <v>0.125</v>
      </c>
      <c r="E13" s="1518">
        <v>0.13750000000000001</v>
      </c>
      <c r="F13" s="1518">
        <v>0.13750000000000001</v>
      </c>
      <c r="G13" s="1518">
        <v>0.13800000000000001</v>
      </c>
      <c r="H13" s="1519">
        <v>0.1065</v>
      </c>
      <c r="I13" s="1080"/>
      <c r="J13" s="1519">
        <f>F32+2.5%</f>
        <v>9.5726027397260299E-2</v>
      </c>
      <c r="K13" s="1519">
        <f>8.15%+2.5%</f>
        <v>0.10650000000000001</v>
      </c>
      <c r="L13" s="1519">
        <f>8.15%+2.5%</f>
        <v>0.10650000000000001</v>
      </c>
      <c r="M13" s="1519">
        <f>8.15%+2.5%</f>
        <v>0.10650000000000001</v>
      </c>
    </row>
    <row r="14" spans="1:15">
      <c r="A14" s="170"/>
      <c r="B14" s="710" t="s">
        <v>123</v>
      </c>
      <c r="C14" s="1515">
        <f t="shared" ref="C14:H14" si="2">C12*C13</f>
        <v>137.08374999999998</v>
      </c>
      <c r="D14" s="1515">
        <f t="shared" si="2"/>
        <v>169.32750000000001</v>
      </c>
      <c r="E14" s="1517">
        <f t="shared" si="2"/>
        <v>194.56800000000001</v>
      </c>
      <c r="F14" s="1517">
        <f t="shared" si="2"/>
        <v>228.39699199052086</v>
      </c>
      <c r="G14" s="1517">
        <f t="shared" si="2"/>
        <v>231.88967999999997</v>
      </c>
      <c r="H14" s="1517">
        <f t="shared" si="2"/>
        <v>142.00177499999998</v>
      </c>
      <c r="I14" s="1517">
        <v>1466.2709091787572</v>
      </c>
      <c r="J14" s="1517">
        <f t="shared" ref="J14:M14" si="3">J12*J13</f>
        <v>145.06998227826213</v>
      </c>
      <c r="K14" s="1517">
        <f t="shared" si="3"/>
        <v>160.54661999999999</v>
      </c>
      <c r="L14" s="1517">
        <f t="shared" si="3"/>
        <v>190.67720755522134</v>
      </c>
      <c r="M14" s="1517">
        <f t="shared" si="3"/>
        <v>194.60098587743801</v>
      </c>
    </row>
    <row r="15" spans="1:15">
      <c r="A15" s="172"/>
      <c r="B15" s="1271"/>
      <c r="C15" s="1271"/>
      <c r="D15" s="1271"/>
      <c r="E15" s="1271"/>
      <c r="F15" s="1271"/>
      <c r="G15" s="1271"/>
      <c r="H15" s="1271"/>
      <c r="I15" s="1271"/>
      <c r="J15" s="1271"/>
      <c r="K15" s="1271"/>
      <c r="L15" s="1271"/>
      <c r="M15" s="1271"/>
    </row>
    <row r="16" spans="1:15">
      <c r="A16" s="172"/>
      <c r="B16" s="173"/>
      <c r="C16" s="173"/>
      <c r="D16" s="173"/>
      <c r="E16" s="173"/>
      <c r="F16" s="173"/>
      <c r="G16" s="173"/>
      <c r="H16" s="173"/>
      <c r="I16" s="173"/>
      <c r="J16" s="172"/>
      <c r="K16" s="172"/>
    </row>
    <row r="18" spans="2:11" ht="29">
      <c r="B18" s="1027" t="s">
        <v>1481</v>
      </c>
      <c r="C18" s="1027" t="s">
        <v>1482</v>
      </c>
      <c r="D18" s="1027" t="s">
        <v>1483</v>
      </c>
      <c r="E18" s="1027" t="s">
        <v>1484</v>
      </c>
      <c r="F18" s="1027" t="s">
        <v>1485</v>
      </c>
      <c r="H18" s="2"/>
      <c r="I18" s="2"/>
      <c r="J18" s="2"/>
      <c r="K18" s="2"/>
    </row>
    <row r="19" spans="2:11">
      <c r="B19" s="1083" t="s">
        <v>1486</v>
      </c>
      <c r="C19" s="1084">
        <v>7.0000000000000007E-2</v>
      </c>
      <c r="D19" s="1085">
        <f t="shared" ref="D19:D27" si="4">E20+1</f>
        <v>44266</v>
      </c>
      <c r="E19" s="1085">
        <v>44286</v>
      </c>
      <c r="F19" s="1">
        <f>E19-D19+1</f>
        <v>21</v>
      </c>
    </row>
    <row r="20" spans="2:11">
      <c r="B20" s="1083" t="s">
        <v>1487</v>
      </c>
      <c r="C20" s="1084">
        <v>7.0000000000000007E-2</v>
      </c>
      <c r="D20" s="1085">
        <f t="shared" si="4"/>
        <v>44237</v>
      </c>
      <c r="E20" s="1085">
        <f>D20+29-1</f>
        <v>44265</v>
      </c>
      <c r="F20" s="1">
        <f t="shared" ref="F20:F31" si="5">E20-D20+1</f>
        <v>29</v>
      </c>
    </row>
    <row r="21" spans="2:11">
      <c r="B21" s="1083" t="s">
        <v>1488</v>
      </c>
      <c r="C21" s="1084">
        <v>7.0000000000000007E-2</v>
      </c>
      <c r="D21" s="1085">
        <f t="shared" si="4"/>
        <v>44206</v>
      </c>
      <c r="E21" s="1085">
        <f>D21+31-1</f>
        <v>44236</v>
      </c>
      <c r="F21" s="1">
        <f t="shared" si="5"/>
        <v>31</v>
      </c>
    </row>
    <row r="22" spans="2:11">
      <c r="B22" s="1083" t="s">
        <v>1489</v>
      </c>
      <c r="C22" s="1084">
        <v>7.0000000000000007E-2</v>
      </c>
      <c r="D22" s="1085">
        <f t="shared" si="4"/>
        <v>44175</v>
      </c>
      <c r="E22" s="1085">
        <f>D22+31-1</f>
        <v>44205</v>
      </c>
      <c r="F22" s="1">
        <f t="shared" si="5"/>
        <v>31</v>
      </c>
    </row>
    <row r="23" spans="2:11">
      <c r="B23" s="1083" t="s">
        <v>1490</v>
      </c>
      <c r="C23" s="1084">
        <v>7.0000000000000007E-2</v>
      </c>
      <c r="D23" s="1085">
        <f t="shared" si="4"/>
        <v>44145</v>
      </c>
      <c r="E23" s="1085">
        <f>D23+30-1</f>
        <v>44174</v>
      </c>
      <c r="F23" s="1">
        <f t="shared" si="5"/>
        <v>30</v>
      </c>
    </row>
    <row r="24" spans="2:11">
      <c r="B24" s="1083" t="s">
        <v>1491</v>
      </c>
      <c r="C24" s="1084">
        <v>7.0000000000000007E-2</v>
      </c>
      <c r="D24" s="1085">
        <f t="shared" si="4"/>
        <v>44114</v>
      </c>
      <c r="E24" s="1085">
        <f>D24+31-1</f>
        <v>44144</v>
      </c>
      <c r="F24" s="1">
        <f t="shared" si="5"/>
        <v>31</v>
      </c>
    </row>
    <row r="25" spans="2:11">
      <c r="B25" s="1083" t="s">
        <v>1492</v>
      </c>
      <c r="C25" s="1084">
        <v>7.0000000000000007E-2</v>
      </c>
      <c r="D25" s="1085">
        <f t="shared" si="4"/>
        <v>44084</v>
      </c>
      <c r="E25" s="1085">
        <f>D25+30-1</f>
        <v>44113</v>
      </c>
      <c r="F25" s="1">
        <f t="shared" si="5"/>
        <v>30</v>
      </c>
    </row>
    <row r="26" spans="2:11">
      <c r="B26" s="1083" t="s">
        <v>1493</v>
      </c>
      <c r="C26" s="1084">
        <v>7.0000000000000007E-2</v>
      </c>
      <c r="D26" s="1085">
        <f t="shared" si="4"/>
        <v>44053</v>
      </c>
      <c r="E26" s="1085">
        <f>D26+31-1</f>
        <v>44083</v>
      </c>
      <c r="F26" s="1">
        <f t="shared" si="5"/>
        <v>31</v>
      </c>
    </row>
    <row r="27" spans="2:11">
      <c r="B27" s="1083" t="s">
        <v>1494</v>
      </c>
      <c r="C27" s="1084">
        <v>7.0000000000000007E-2</v>
      </c>
      <c r="D27" s="1085">
        <f t="shared" si="4"/>
        <v>44022</v>
      </c>
      <c r="E27" s="1085">
        <f>D27+31-1</f>
        <v>44052</v>
      </c>
      <c r="F27" s="1">
        <f t="shared" si="5"/>
        <v>31</v>
      </c>
    </row>
    <row r="28" spans="2:11">
      <c r="B28" s="1083" t="s">
        <v>1495</v>
      </c>
      <c r="C28" s="1084">
        <v>7.0000000000000007E-2</v>
      </c>
      <c r="D28" s="1085">
        <f>E29+1</f>
        <v>43992</v>
      </c>
      <c r="E28" s="1085">
        <f>D28+30-1</f>
        <v>44021</v>
      </c>
      <c r="F28" s="1">
        <f t="shared" si="5"/>
        <v>30</v>
      </c>
    </row>
    <row r="29" spans="2:11">
      <c r="B29" s="1083" t="s">
        <v>1496</v>
      </c>
      <c r="C29" s="1084">
        <v>7.2499999999999995E-2</v>
      </c>
      <c r="D29" s="1085">
        <f>E30+1</f>
        <v>43961</v>
      </c>
      <c r="E29" s="1085">
        <f>D29+31-1</f>
        <v>43991</v>
      </c>
      <c r="F29" s="1">
        <f t="shared" si="5"/>
        <v>31</v>
      </c>
    </row>
    <row r="30" spans="2:11">
      <c r="B30" s="1083" t="s">
        <v>1497</v>
      </c>
      <c r="C30" s="1084">
        <v>7.3999999999999996E-2</v>
      </c>
      <c r="D30" s="1085">
        <v>43931</v>
      </c>
      <c r="E30" s="1085">
        <f>D30+30-1</f>
        <v>43960</v>
      </c>
      <c r="F30" s="1">
        <f t="shared" si="5"/>
        <v>30</v>
      </c>
    </row>
    <row r="31" spans="2:11">
      <c r="B31" s="1083" t="s">
        <v>1498</v>
      </c>
      <c r="C31" s="1084">
        <v>7.7499999999999999E-2</v>
      </c>
      <c r="D31" s="1085">
        <v>43922</v>
      </c>
      <c r="E31" s="1085">
        <v>43930</v>
      </c>
      <c r="F31" s="1">
        <f t="shared" si="5"/>
        <v>9</v>
      </c>
    </row>
    <row r="32" spans="2:11">
      <c r="B32" s="1086" t="s">
        <v>1499</v>
      </c>
      <c r="C32" s="174"/>
      <c r="D32" s="174"/>
      <c r="E32" s="174"/>
      <c r="F32" s="1087">
        <f>SUMPRODUCT(C19:C31,F19:F31)/SUM(F19:F31)</f>
        <v>7.0726027397260291E-2</v>
      </c>
    </row>
    <row r="34" spans="2:2">
      <c r="B34" s="1021" t="s">
        <v>1500</v>
      </c>
    </row>
  </sheetData>
  <mergeCells count="11">
    <mergeCell ref="A5:A7"/>
    <mergeCell ref="B5:B7"/>
    <mergeCell ref="I3:J3"/>
    <mergeCell ref="I4:J4"/>
    <mergeCell ref="H6:J6"/>
    <mergeCell ref="C5:G5"/>
    <mergeCell ref="L3:M3"/>
    <mergeCell ref="L4:M4"/>
    <mergeCell ref="K5:L5"/>
    <mergeCell ref="K6:L6"/>
    <mergeCell ref="H5:J5"/>
  </mergeCells>
  <printOptions horizontalCentered="1"/>
  <pageMargins left="0.19685039370078741" right="0.19685039370078741" top="0.19685039370078741" bottom="0.19685039370078741" header="0.19685039370078741" footer="0.19685039370078741"/>
  <pageSetup paperSize="9" scale="8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view="pageBreakPreview" zoomScaleNormal="55" zoomScaleSheetLayoutView="100" workbookViewId="0">
      <selection activeCell="C105" sqref="C105"/>
    </sheetView>
  </sheetViews>
  <sheetFormatPr defaultColWidth="9.1796875" defaultRowHeight="14.5"/>
  <cols>
    <col min="1" max="1" width="5.1796875" bestFit="1" customWidth="1"/>
    <col min="2" max="2" width="32.54296875" customWidth="1"/>
    <col min="3" max="6" width="11.54296875" style="386" bestFit="1" customWidth="1"/>
    <col min="7" max="7" width="11.54296875" bestFit="1" customWidth="1"/>
    <col min="8" max="8" width="16.26953125" customWidth="1"/>
    <col min="9" max="9" width="10.54296875" bestFit="1" customWidth="1"/>
    <col min="10" max="10" width="10.7265625" bestFit="1" customWidth="1"/>
    <col min="11" max="11" width="13.1796875" style="386" customWidth="1"/>
    <col min="12" max="12" width="15.1796875" customWidth="1"/>
    <col min="13" max="13" width="13.1796875" customWidth="1"/>
  </cols>
  <sheetData>
    <row r="1" spans="1:13" s="251" customFormat="1">
      <c r="A1" s="3314" t="s">
        <v>408</v>
      </c>
      <c r="B1" s="3314"/>
      <c r="C1" s="388"/>
      <c r="D1" s="388"/>
      <c r="E1" s="388"/>
      <c r="F1" s="388"/>
      <c r="K1" s="386"/>
    </row>
    <row r="2" spans="1:13">
      <c r="A2" s="3437" t="s">
        <v>1604</v>
      </c>
      <c r="B2" s="3437"/>
      <c r="C2" s="3437"/>
      <c r="D2" s="3437"/>
      <c r="E2" s="3437"/>
      <c r="F2" s="3437"/>
      <c r="G2" s="3437"/>
      <c r="H2" s="3437"/>
      <c r="I2" s="3437"/>
      <c r="J2" s="3437"/>
      <c r="K2" s="392"/>
    </row>
    <row r="3" spans="1:13">
      <c r="A3" s="574" t="s">
        <v>8</v>
      </c>
      <c r="B3" s="574"/>
      <c r="C3" s="574"/>
      <c r="D3" s="574"/>
      <c r="E3" s="574"/>
      <c r="F3" s="574"/>
      <c r="G3" s="574"/>
      <c r="H3" s="574"/>
      <c r="I3" s="3330"/>
      <c r="J3" s="3330"/>
      <c r="K3" s="389"/>
      <c r="L3" s="3330"/>
      <c r="M3" s="3330"/>
    </row>
    <row r="4" spans="1:13">
      <c r="A4" s="24"/>
      <c r="B4" s="24"/>
      <c r="C4" s="24"/>
      <c r="D4" s="24"/>
      <c r="E4" s="24"/>
      <c r="F4" s="24"/>
      <c r="G4" s="24"/>
      <c r="H4" s="24"/>
      <c r="I4" s="3436"/>
      <c r="J4" s="3436"/>
      <c r="K4" s="394"/>
      <c r="L4" s="3436" t="s">
        <v>141</v>
      </c>
      <c r="M4" s="3436"/>
    </row>
    <row r="5" spans="1:13">
      <c r="A5" s="2990" t="s">
        <v>12</v>
      </c>
      <c r="B5" s="2994" t="s">
        <v>14</v>
      </c>
      <c r="C5" s="3018" t="s">
        <v>1583</v>
      </c>
      <c r="D5" s="3019"/>
      <c r="E5" s="3019"/>
      <c r="F5" s="3019"/>
      <c r="G5" s="3022"/>
      <c r="H5" s="3026" t="s">
        <v>542</v>
      </c>
      <c r="I5" s="3026"/>
      <c r="J5" s="3026"/>
      <c r="K5" s="3057" t="s">
        <v>550</v>
      </c>
      <c r="L5" s="3059"/>
      <c r="M5" s="1327" t="s">
        <v>952</v>
      </c>
    </row>
    <row r="6" spans="1:13">
      <c r="A6" s="2990"/>
      <c r="B6" s="2994"/>
      <c r="C6" s="928" t="s">
        <v>557</v>
      </c>
      <c r="D6" s="929" t="s">
        <v>556</v>
      </c>
      <c r="E6" s="929" t="s">
        <v>555</v>
      </c>
      <c r="F6" s="929" t="s">
        <v>553</v>
      </c>
      <c r="G6" s="929" t="s">
        <v>551</v>
      </c>
      <c r="H6" s="3415" t="s">
        <v>545</v>
      </c>
      <c r="I6" s="3416"/>
      <c r="J6" s="3417"/>
      <c r="K6" s="3412" t="s">
        <v>546</v>
      </c>
      <c r="L6" s="3412"/>
      <c r="M6" s="923" t="s">
        <v>547</v>
      </c>
    </row>
    <row r="7" spans="1:13" ht="30" customHeight="1">
      <c r="A7" s="2990"/>
      <c r="B7" s="2994"/>
      <c r="C7" s="382" t="s">
        <v>1290</v>
      </c>
      <c r="D7" s="600" t="s">
        <v>1290</v>
      </c>
      <c r="E7" s="600" t="s">
        <v>1290</v>
      </c>
      <c r="F7" s="600" t="s">
        <v>1290</v>
      </c>
      <c r="G7" s="600" t="s">
        <v>1290</v>
      </c>
      <c r="H7" s="200" t="s">
        <v>543</v>
      </c>
      <c r="I7" s="201" t="s">
        <v>281</v>
      </c>
      <c r="J7" s="201" t="s">
        <v>544</v>
      </c>
      <c r="K7" s="200" t="s">
        <v>543</v>
      </c>
      <c r="L7" s="200" t="s">
        <v>552</v>
      </c>
      <c r="M7" s="201" t="s">
        <v>283</v>
      </c>
    </row>
    <row r="8" spans="1:13" ht="29">
      <c r="A8" s="6">
        <v>1</v>
      </c>
      <c r="B8" s="421" t="s">
        <v>865</v>
      </c>
      <c r="C8" s="1088"/>
      <c r="D8" s="1088"/>
      <c r="E8" s="1001"/>
      <c r="F8" s="1001"/>
      <c r="G8" s="1042"/>
      <c r="H8" s="1001"/>
      <c r="I8" s="1565">
        <v>0</v>
      </c>
      <c r="J8" s="1001"/>
      <c r="K8" s="1001"/>
      <c r="L8" s="1001"/>
      <c r="M8" s="1001"/>
    </row>
    <row r="9" spans="1:13">
      <c r="A9" s="6">
        <v>2</v>
      </c>
      <c r="B9" s="421" t="s">
        <v>866</v>
      </c>
      <c r="C9" s="1088"/>
      <c r="D9" s="1088"/>
      <c r="E9" s="1089"/>
      <c r="F9" s="1089"/>
      <c r="G9" s="1090"/>
      <c r="H9" s="1004"/>
      <c r="I9" s="1565">
        <v>0</v>
      </c>
      <c r="J9" s="1565">
        <f t="shared" ref="J9:J11" si="0">I9</f>
        <v>0</v>
      </c>
      <c r="K9" s="1008"/>
      <c r="L9" s="1004"/>
      <c r="M9" s="1004"/>
    </row>
    <row r="10" spans="1:13">
      <c r="A10" s="6">
        <v>3</v>
      </c>
      <c r="B10" s="421" t="s">
        <v>867</v>
      </c>
      <c r="C10" s="1088"/>
      <c r="D10" s="1088"/>
      <c r="E10" s="1091"/>
      <c r="F10" s="1091"/>
      <c r="G10" s="1090"/>
      <c r="H10" s="1092"/>
      <c r="I10" s="1565">
        <v>0</v>
      </c>
      <c r="J10" s="1565">
        <f t="shared" si="0"/>
        <v>0</v>
      </c>
      <c r="K10" s="1010"/>
      <c r="L10" s="1092"/>
      <c r="M10" s="1004"/>
    </row>
    <row r="11" spans="1:13" ht="29">
      <c r="A11" s="6">
        <v>4</v>
      </c>
      <c r="B11" s="421" t="s">
        <v>868</v>
      </c>
      <c r="C11" s="1088"/>
      <c r="D11" s="1088"/>
      <c r="E11" s="1001"/>
      <c r="F11" s="1089"/>
      <c r="G11" s="1042"/>
      <c r="H11" s="1001"/>
      <c r="I11" s="1565">
        <v>0</v>
      </c>
      <c r="J11" s="1565">
        <f t="shared" si="0"/>
        <v>0</v>
      </c>
      <c r="K11" s="1001"/>
      <c r="L11" s="1001"/>
      <c r="M11" s="1004"/>
    </row>
    <row r="12" spans="1:13" ht="29">
      <c r="A12" s="6">
        <v>5</v>
      </c>
      <c r="B12" s="422" t="s">
        <v>878</v>
      </c>
      <c r="C12" s="1093"/>
      <c r="D12" s="1093"/>
      <c r="E12" s="1094"/>
      <c r="F12" s="1089"/>
      <c r="G12" s="1095"/>
      <c r="H12" s="1001"/>
      <c r="I12" s="1565">
        <v>19.396899999999999</v>
      </c>
      <c r="J12" s="1565">
        <f>I12</f>
        <v>19.396899999999999</v>
      </c>
      <c r="K12" s="1001"/>
      <c r="L12" s="1096"/>
      <c r="M12" s="1097"/>
    </row>
    <row r="13" spans="1:13" ht="29">
      <c r="A13" s="6">
        <v>6</v>
      </c>
      <c r="B13" s="421" t="s">
        <v>869</v>
      </c>
      <c r="C13" s="1088"/>
      <c r="D13" s="1088"/>
      <c r="E13" s="1094"/>
      <c r="F13" s="1089"/>
      <c r="G13" s="1090"/>
      <c r="H13" s="1004"/>
      <c r="I13" s="1565">
        <v>0.23380000000000001</v>
      </c>
      <c r="J13" s="1565">
        <f t="shared" ref="J13:J16" si="1">I13</f>
        <v>0.23380000000000001</v>
      </c>
      <c r="K13" s="1001"/>
      <c r="L13" s="1004"/>
      <c r="M13" s="1097"/>
    </row>
    <row r="14" spans="1:13">
      <c r="A14" s="6">
        <v>7</v>
      </c>
      <c r="B14" s="421" t="s">
        <v>870</v>
      </c>
      <c r="C14" s="1088"/>
      <c r="D14" s="1088"/>
      <c r="E14" s="1001"/>
      <c r="F14" s="1094"/>
      <c r="G14" s="1098"/>
      <c r="H14" s="1001"/>
      <c r="I14" s="1565">
        <v>6.8358999999999996</v>
      </c>
      <c r="J14" s="1565">
        <f t="shared" si="1"/>
        <v>6.8358999999999996</v>
      </c>
      <c r="K14" s="1001"/>
      <c r="L14" s="1096"/>
      <c r="M14" s="1097"/>
    </row>
    <row r="15" spans="1:13" ht="29">
      <c r="A15" s="6">
        <v>8</v>
      </c>
      <c r="B15" s="422" t="s">
        <v>879</v>
      </c>
      <c r="C15" s="1093"/>
      <c r="D15" s="1093"/>
      <c r="E15" s="1091"/>
      <c r="F15" s="1091"/>
      <c r="G15" s="1090"/>
      <c r="H15" s="1092"/>
      <c r="I15" s="1565">
        <v>0</v>
      </c>
      <c r="J15" s="1565">
        <f>I15</f>
        <v>0</v>
      </c>
      <c r="K15" s="1010"/>
      <c r="L15" s="1092"/>
      <c r="M15" s="1097"/>
    </row>
    <row r="16" spans="1:13" ht="29">
      <c r="A16" s="6">
        <v>9</v>
      </c>
      <c r="B16" s="422" t="s">
        <v>880</v>
      </c>
      <c r="C16" s="1093"/>
      <c r="D16" s="1093"/>
      <c r="E16" s="1001"/>
      <c r="F16" s="1004"/>
      <c r="G16" s="1095"/>
      <c r="H16" s="1001"/>
      <c r="I16" s="1565">
        <v>101.69970000000001</v>
      </c>
      <c r="J16" s="1565">
        <f t="shared" si="1"/>
        <v>101.69970000000001</v>
      </c>
      <c r="K16" s="1001"/>
      <c r="L16" s="1099"/>
      <c r="M16" s="1097"/>
    </row>
    <row r="17" spans="1:13">
      <c r="A17" s="6">
        <f>+A16+1</f>
        <v>10</v>
      </c>
      <c r="B17" s="421" t="s">
        <v>872</v>
      </c>
      <c r="C17" s="1088"/>
      <c r="D17" s="1088"/>
      <c r="E17" s="1100"/>
      <c r="F17" s="1101"/>
      <c r="G17" s="1090"/>
      <c r="H17" s="1092"/>
      <c r="I17" s="1565">
        <v>0</v>
      </c>
      <c r="J17" s="1078"/>
      <c r="K17" s="1010"/>
      <c r="L17" s="1099"/>
      <c r="M17" s="1097"/>
    </row>
    <row r="18" spans="1:13" ht="29">
      <c r="A18" s="6">
        <f t="shared" ref="A18:A23" si="2">+A17+1</f>
        <v>11</v>
      </c>
      <c r="B18" s="421" t="s">
        <v>873</v>
      </c>
      <c r="C18" s="1088"/>
      <c r="D18" s="1088"/>
      <c r="E18" s="1102"/>
      <c r="F18" s="1102"/>
      <c r="G18" s="1035"/>
      <c r="H18" s="1102"/>
      <c r="I18" s="1565">
        <v>0</v>
      </c>
      <c r="J18" s="1567"/>
      <c r="K18" s="1002"/>
      <c r="L18" s="1103"/>
      <c r="M18" s="1097"/>
    </row>
    <row r="19" spans="1:13">
      <c r="A19" s="6">
        <f t="shared" si="2"/>
        <v>12</v>
      </c>
      <c r="B19" s="422" t="s">
        <v>881</v>
      </c>
      <c r="C19" s="1093"/>
      <c r="D19" s="1093"/>
      <c r="E19" s="1104"/>
      <c r="F19" s="1104"/>
      <c r="G19" s="1090"/>
      <c r="H19" s="1004"/>
      <c r="I19" s="1565">
        <v>0</v>
      </c>
      <c r="J19" s="1567"/>
      <c r="K19" s="1008"/>
      <c r="L19" s="1004"/>
      <c r="M19" s="1097"/>
    </row>
    <row r="20" spans="1:13" ht="29">
      <c r="A20" s="6">
        <f t="shared" si="2"/>
        <v>13</v>
      </c>
      <c r="B20" s="421" t="s">
        <v>874</v>
      </c>
      <c r="C20" s="1088"/>
      <c r="D20" s="1088"/>
      <c r="E20" s="1105"/>
      <c r="F20" s="1105"/>
      <c r="G20" s="1090"/>
      <c r="H20" s="1092"/>
      <c r="I20" s="1565">
        <v>0</v>
      </c>
      <c r="J20" s="1078"/>
      <c r="K20" s="1010"/>
      <c r="L20" s="1092"/>
      <c r="M20" s="1097"/>
    </row>
    <row r="21" spans="1:13">
      <c r="A21" s="6">
        <f t="shared" si="2"/>
        <v>14</v>
      </c>
      <c r="B21" s="421" t="s">
        <v>875</v>
      </c>
      <c r="C21" s="1088"/>
      <c r="D21" s="1088"/>
      <c r="E21" s="1105"/>
      <c r="F21" s="1105"/>
      <c r="G21" s="1106"/>
      <c r="H21" s="1107"/>
      <c r="I21" s="1565">
        <v>3.0534E-3</v>
      </c>
      <c r="J21" s="1566">
        <f>I21</f>
        <v>3.0534E-3</v>
      </c>
      <c r="K21" s="1108"/>
      <c r="L21" s="1107"/>
      <c r="M21" s="1097"/>
    </row>
    <row r="22" spans="1:13">
      <c r="A22" s="6">
        <f t="shared" si="2"/>
        <v>15</v>
      </c>
      <c r="B22" s="421" t="s">
        <v>876</v>
      </c>
      <c r="C22" s="1088"/>
      <c r="D22" s="1088"/>
      <c r="E22" s="1105"/>
      <c r="F22" s="1109"/>
      <c r="G22" s="1035"/>
      <c r="H22" s="1109"/>
      <c r="I22" s="1565">
        <v>0</v>
      </c>
      <c r="J22" s="1566">
        <f t="shared" ref="J22:J24" si="3">I22</f>
        <v>0</v>
      </c>
      <c r="K22" s="1110"/>
      <c r="L22" s="1109"/>
      <c r="M22" s="1097"/>
    </row>
    <row r="23" spans="1:13">
      <c r="A23" s="6">
        <f t="shared" si="2"/>
        <v>16</v>
      </c>
      <c r="B23" s="421" t="s">
        <v>877</v>
      </c>
      <c r="C23" s="1088"/>
      <c r="D23" s="1088"/>
      <c r="E23" s="1105"/>
      <c r="F23" s="1109"/>
      <c r="G23" s="1041"/>
      <c r="H23" s="1109"/>
      <c r="I23" s="1565">
        <v>2.4319999999999999</v>
      </c>
      <c r="J23" s="1566">
        <f t="shared" si="3"/>
        <v>2.4319999999999999</v>
      </c>
      <c r="K23" s="1110"/>
      <c r="L23" s="1111"/>
      <c r="M23" s="1097"/>
    </row>
    <row r="24" spans="1:13">
      <c r="A24" s="259">
        <v>17</v>
      </c>
      <c r="B24" s="295" t="s">
        <v>871</v>
      </c>
      <c r="C24" s="315"/>
      <c r="D24" s="315"/>
      <c r="E24" s="1109"/>
      <c r="F24" s="1109"/>
      <c r="G24" s="1035"/>
      <c r="H24" s="1109"/>
      <c r="I24" s="1565">
        <v>0</v>
      </c>
      <c r="J24" s="1566">
        <f t="shared" si="3"/>
        <v>0</v>
      </c>
      <c r="K24" s="1110"/>
      <c r="L24" s="1109"/>
      <c r="M24" s="1097"/>
    </row>
    <row r="25" spans="1:13" s="649" customFormat="1">
      <c r="A25" s="1475"/>
      <c r="B25" s="1475" t="s">
        <v>22</v>
      </c>
      <c r="C25" s="1112">
        <v>0</v>
      </c>
      <c r="D25" s="1112">
        <v>0</v>
      </c>
      <c r="E25" s="1112">
        <v>0</v>
      </c>
      <c r="F25" s="1112">
        <v>0</v>
      </c>
      <c r="G25" s="1112">
        <v>0</v>
      </c>
      <c r="H25" s="1112">
        <v>13.14</v>
      </c>
      <c r="I25" s="1284">
        <f>SUM(I8:I24)</f>
        <v>130.60135339999999</v>
      </c>
      <c r="J25" s="1284">
        <f>SUM(J8:J24)-J30</f>
        <v>90.04859802499999</v>
      </c>
      <c r="K25" s="1112">
        <f>H25</f>
        <v>13.14</v>
      </c>
      <c r="L25" s="1112">
        <v>28.901653399999987</v>
      </c>
      <c r="M25" s="1112">
        <v>28.901653399999987</v>
      </c>
    </row>
    <row r="26" spans="1:13">
      <c r="A26" s="26"/>
      <c r="B26" s="26"/>
      <c r="C26" s="26"/>
      <c r="D26" s="26"/>
      <c r="E26" s="26"/>
      <c r="F26" s="26"/>
      <c r="G26" s="28"/>
      <c r="H26" s="27"/>
      <c r="I26" s="26"/>
      <c r="J26" s="26"/>
      <c r="K26" s="26"/>
      <c r="L26" s="1296"/>
      <c r="M26" s="711"/>
    </row>
    <row r="27" spans="1:13">
      <c r="A27" s="26"/>
      <c r="B27" s="1292" t="s">
        <v>1568</v>
      </c>
      <c r="D27" s="27"/>
      <c r="E27" s="27"/>
      <c r="F27" s="27"/>
      <c r="G27" s="28"/>
      <c r="H27" s="27"/>
      <c r="J27" s="1293">
        <v>0.24</v>
      </c>
      <c r="L27" s="711"/>
      <c r="M27" s="711"/>
    </row>
    <row r="28" spans="1:13">
      <c r="B28" s="1292" t="s">
        <v>1569</v>
      </c>
      <c r="H28" s="2"/>
      <c r="J28" s="1294">
        <f>J16/J27</f>
        <v>423.74875000000003</v>
      </c>
      <c r="K28" s="2"/>
      <c r="L28" s="711"/>
      <c r="M28" s="711"/>
    </row>
    <row r="29" spans="1:13" ht="29">
      <c r="B29" s="1292" t="s">
        <v>1570</v>
      </c>
      <c r="J29" s="1295">
        <v>9.5699999999999993E-2</v>
      </c>
      <c r="L29" s="711"/>
      <c r="M29" s="711"/>
    </row>
    <row r="30" spans="1:13">
      <c r="B30" s="294" t="s">
        <v>1571</v>
      </c>
      <c r="J30" s="904">
        <f>J28*J29</f>
        <v>40.552755374999997</v>
      </c>
      <c r="L30" s="711"/>
      <c r="M30" s="711"/>
    </row>
    <row r="31" spans="1:13">
      <c r="L31" s="711"/>
      <c r="M31" s="711"/>
    </row>
    <row r="32" spans="1:13">
      <c r="L32" s="711"/>
      <c r="M32" s="711"/>
    </row>
  </sheetData>
  <mergeCells count="13">
    <mergeCell ref="K6:L6"/>
    <mergeCell ref="L3:M3"/>
    <mergeCell ref="L4:M4"/>
    <mergeCell ref="K5:L5"/>
    <mergeCell ref="A1:B1"/>
    <mergeCell ref="H6:J6"/>
    <mergeCell ref="A2:J2"/>
    <mergeCell ref="I3:J3"/>
    <mergeCell ref="A5:A7"/>
    <mergeCell ref="B5:B7"/>
    <mergeCell ref="H5:J5"/>
    <mergeCell ref="I4:J4"/>
    <mergeCell ref="C5:G5"/>
  </mergeCells>
  <printOptions horizontalCentered="1"/>
  <pageMargins left="0.19685039370078741" right="0.19685039370078741" top="0.19685039370078741" bottom="0.19685039370078741" header="0.19685039370078741" footer="0.19685039370078741"/>
  <pageSetup paperSize="9" scale="8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view="pageBreakPreview" zoomScale="85" zoomScaleSheetLayoutView="85" workbookViewId="0">
      <selection activeCell="C105" sqref="C105"/>
    </sheetView>
  </sheetViews>
  <sheetFormatPr defaultColWidth="9.1796875" defaultRowHeight="14.5"/>
  <cols>
    <col min="2" max="2" width="32.54296875" customWidth="1"/>
    <col min="3" max="3" width="10.81640625" customWidth="1"/>
    <col min="4" max="7" width="11.54296875" style="386" bestFit="1" customWidth="1"/>
    <col min="8" max="8" width="11.54296875" bestFit="1" customWidth="1"/>
    <col min="9" max="9" width="16.26953125" bestFit="1" customWidth="1"/>
    <col min="10" max="10" width="8.1796875" bestFit="1" customWidth="1"/>
    <col min="11" max="11" width="8.26953125" bestFit="1" customWidth="1"/>
    <col min="12" max="12" width="13.453125" style="386" customWidth="1"/>
    <col min="13" max="13" width="12.26953125" customWidth="1"/>
    <col min="14" max="14" width="9.54296875" bestFit="1" customWidth="1"/>
  </cols>
  <sheetData>
    <row r="1" spans="1:14" s="251" customFormat="1">
      <c r="A1" s="3314" t="s">
        <v>409</v>
      </c>
      <c r="B1" s="3314"/>
      <c r="D1" s="386"/>
      <c r="E1" s="386"/>
      <c r="F1" s="386"/>
      <c r="G1" s="386"/>
      <c r="L1" s="386"/>
    </row>
    <row r="2" spans="1:14">
      <c r="A2" s="3437" t="s">
        <v>1604</v>
      </c>
      <c r="B2" s="3437"/>
      <c r="C2" s="3437"/>
      <c r="D2" s="3437"/>
      <c r="E2" s="3437"/>
      <c r="F2" s="3437"/>
      <c r="G2" s="3437"/>
      <c r="H2" s="3437"/>
      <c r="I2" s="3437"/>
      <c r="J2" s="3437"/>
      <c r="K2" s="427"/>
      <c r="L2" s="383"/>
    </row>
    <row r="3" spans="1:14">
      <c r="A3" s="574" t="s">
        <v>9</v>
      </c>
      <c r="B3" s="574"/>
      <c r="C3" s="574"/>
      <c r="D3" s="574"/>
      <c r="E3" s="574"/>
      <c r="F3" s="574"/>
      <c r="G3" s="574"/>
      <c r="H3" s="574"/>
      <c r="I3" s="574"/>
      <c r="J3" s="3330"/>
      <c r="K3" s="3330"/>
      <c r="L3" s="389"/>
      <c r="M3" s="3330"/>
      <c r="N3" s="3330"/>
    </row>
    <row r="4" spans="1:14">
      <c r="A4" s="24"/>
      <c r="B4" s="24"/>
      <c r="C4" s="24"/>
      <c r="D4" s="24"/>
      <c r="E4" s="24"/>
      <c r="F4" s="24"/>
      <c r="G4" s="24"/>
      <c r="H4" s="24"/>
      <c r="I4" s="24"/>
      <c r="J4" s="3438"/>
      <c r="K4" s="3438"/>
      <c r="L4" s="395"/>
      <c r="M4" s="3438" t="s">
        <v>64</v>
      </c>
      <c r="N4" s="3438"/>
    </row>
    <row r="5" spans="1:14" ht="30" customHeight="1">
      <c r="A5" s="2990" t="s">
        <v>12</v>
      </c>
      <c r="B5" s="2994" t="s">
        <v>14</v>
      </c>
      <c r="C5" s="2994" t="s">
        <v>565</v>
      </c>
      <c r="D5" s="3018" t="s">
        <v>803</v>
      </c>
      <c r="E5" s="3019"/>
      <c r="F5" s="3019"/>
      <c r="G5" s="3019"/>
      <c r="H5" s="3022"/>
      <c r="I5" s="3074" t="s">
        <v>542</v>
      </c>
      <c r="J5" s="3074"/>
      <c r="K5" s="3074"/>
      <c r="L5" s="3057" t="s">
        <v>550</v>
      </c>
      <c r="M5" s="3059"/>
      <c r="N5" s="1327" t="s">
        <v>952</v>
      </c>
    </row>
    <row r="6" spans="1:14">
      <c r="A6" s="2990"/>
      <c r="B6" s="2994"/>
      <c r="C6" s="2994"/>
      <c r="D6" s="928" t="s">
        <v>557</v>
      </c>
      <c r="E6" s="929" t="s">
        <v>556</v>
      </c>
      <c r="F6" s="929" t="s">
        <v>555</v>
      </c>
      <c r="G6" s="929" t="s">
        <v>553</v>
      </c>
      <c r="H6" s="929" t="s">
        <v>551</v>
      </c>
      <c r="I6" s="3415" t="s">
        <v>545</v>
      </c>
      <c r="J6" s="3416"/>
      <c r="K6" s="3417"/>
      <c r="L6" s="3412" t="s">
        <v>546</v>
      </c>
      <c r="M6" s="3412"/>
      <c r="N6" s="923" t="s">
        <v>547</v>
      </c>
    </row>
    <row r="7" spans="1:14" ht="30" customHeight="1">
      <c r="A7" s="2990"/>
      <c r="B7" s="2994"/>
      <c r="C7" s="3439"/>
      <c r="D7" s="600" t="s">
        <v>1290</v>
      </c>
      <c r="E7" s="600" t="s">
        <v>1290</v>
      </c>
      <c r="F7" s="600" t="s">
        <v>1290</v>
      </c>
      <c r="G7" s="600" t="s">
        <v>1290</v>
      </c>
      <c r="H7" s="600" t="s">
        <v>1290</v>
      </c>
      <c r="I7" s="200" t="s">
        <v>543</v>
      </c>
      <c r="J7" s="201" t="s">
        <v>281</v>
      </c>
      <c r="K7" s="201" t="s">
        <v>544</v>
      </c>
      <c r="L7" s="200" t="s">
        <v>543</v>
      </c>
      <c r="M7" s="200" t="s">
        <v>552</v>
      </c>
      <c r="N7" s="201" t="s">
        <v>283</v>
      </c>
    </row>
    <row r="8" spans="1:14">
      <c r="A8" s="88" t="s">
        <v>140</v>
      </c>
      <c r="B8" s="19" t="s">
        <v>150</v>
      </c>
      <c r="C8" s="29" t="s">
        <v>140</v>
      </c>
      <c r="D8" s="1044"/>
      <c r="E8" s="1044"/>
      <c r="F8" s="1044"/>
      <c r="G8" s="1044"/>
      <c r="H8" s="1044"/>
      <c r="I8" s="1044"/>
      <c r="J8" s="1044"/>
      <c r="K8" s="1044"/>
      <c r="L8" s="1044"/>
      <c r="M8" s="1044"/>
      <c r="N8" s="1044"/>
    </row>
    <row r="9" spans="1:14">
      <c r="A9" s="44"/>
      <c r="B9" s="70" t="s">
        <v>151</v>
      </c>
      <c r="C9" s="29" t="s">
        <v>69</v>
      </c>
      <c r="D9" s="1044"/>
      <c r="E9" s="1044"/>
      <c r="F9" s="1044"/>
      <c r="G9" s="1044"/>
      <c r="H9" s="1044"/>
      <c r="I9" s="1044"/>
      <c r="J9" s="1044"/>
      <c r="K9" s="1044"/>
      <c r="L9" s="1044"/>
      <c r="M9" s="1044"/>
      <c r="N9" s="1044"/>
    </row>
    <row r="10" spans="1:14">
      <c r="A10" s="44"/>
      <c r="B10" s="19" t="s">
        <v>759</v>
      </c>
      <c r="C10" s="29" t="s">
        <v>415</v>
      </c>
      <c r="D10" s="1057">
        <f>D8-D9</f>
        <v>0</v>
      </c>
      <c r="E10" s="1057">
        <f t="shared" ref="E10:N10" si="0">E8-E9</f>
        <v>0</v>
      </c>
      <c r="F10" s="1057">
        <f t="shared" si="0"/>
        <v>0</v>
      </c>
      <c r="G10" s="1057">
        <f t="shared" si="0"/>
        <v>0</v>
      </c>
      <c r="H10" s="1057">
        <f t="shared" si="0"/>
        <v>0</v>
      </c>
      <c r="I10" s="1057">
        <f t="shared" si="0"/>
        <v>0</v>
      </c>
      <c r="J10" s="1057">
        <f t="shared" si="0"/>
        <v>0</v>
      </c>
      <c r="K10" s="1057">
        <f t="shared" si="0"/>
        <v>0</v>
      </c>
      <c r="L10" s="1057">
        <f t="shared" si="0"/>
        <v>0</v>
      </c>
      <c r="M10" s="1057">
        <f t="shared" si="0"/>
        <v>0</v>
      </c>
      <c r="N10" s="1057">
        <f t="shared" si="0"/>
        <v>0</v>
      </c>
    </row>
    <row r="11" spans="1:14">
      <c r="A11" s="44"/>
      <c r="B11" s="19"/>
      <c r="C11" s="29"/>
      <c r="D11" s="1044"/>
      <c r="E11" s="1044"/>
      <c r="F11" s="1044"/>
      <c r="G11" s="1044"/>
      <c r="H11" s="1044"/>
      <c r="I11" s="1044"/>
      <c r="J11" s="1044"/>
      <c r="K11" s="1044"/>
      <c r="L11" s="1044"/>
      <c r="M11" s="1044"/>
      <c r="N11" s="1044"/>
    </row>
    <row r="12" spans="1:14" ht="29">
      <c r="A12" s="88" t="s">
        <v>152</v>
      </c>
      <c r="B12" s="19" t="s">
        <v>154</v>
      </c>
      <c r="C12" s="29" t="s">
        <v>57</v>
      </c>
      <c r="D12" s="1044"/>
      <c r="E12" s="1044"/>
      <c r="F12" s="1044"/>
      <c r="G12" s="1044"/>
      <c r="H12" s="1044"/>
      <c r="I12" s="1044"/>
      <c r="J12" s="1044"/>
      <c r="K12" s="1044"/>
      <c r="L12" s="1044"/>
      <c r="M12" s="1044"/>
      <c r="N12" s="1044"/>
    </row>
    <row r="13" spans="1:14" ht="43.5">
      <c r="A13" s="44"/>
      <c r="B13" s="19" t="s">
        <v>159</v>
      </c>
      <c r="C13" s="29" t="s">
        <v>67</v>
      </c>
      <c r="D13" s="1044"/>
      <c r="E13" s="1044"/>
      <c r="F13" s="1044"/>
      <c r="G13" s="1044"/>
      <c r="H13" s="1044"/>
      <c r="I13" s="1044"/>
      <c r="J13" s="1044"/>
      <c r="K13" s="1044"/>
      <c r="L13" s="1044"/>
      <c r="M13" s="1044"/>
      <c r="N13" s="1044"/>
    </row>
    <row r="14" spans="1:14" ht="29">
      <c r="A14" s="44"/>
      <c r="B14" s="70" t="s">
        <v>155</v>
      </c>
      <c r="C14" s="29" t="s">
        <v>156</v>
      </c>
      <c r="D14" s="1044"/>
      <c r="E14" s="1044"/>
      <c r="F14" s="1044"/>
      <c r="G14" s="1044"/>
      <c r="H14" s="1044"/>
      <c r="I14" s="1044"/>
      <c r="J14" s="1044"/>
      <c r="K14" s="1044"/>
      <c r="L14" s="1044"/>
      <c r="M14" s="1044"/>
      <c r="N14" s="1044"/>
    </row>
    <row r="15" spans="1:14">
      <c r="A15" s="44"/>
      <c r="B15" s="19"/>
      <c r="C15" s="29"/>
      <c r="D15" s="1044"/>
      <c r="E15" s="1044"/>
      <c r="F15" s="1044"/>
      <c r="G15" s="1044"/>
      <c r="H15" s="1044"/>
      <c r="I15" s="1044"/>
      <c r="J15" s="1044"/>
      <c r="K15" s="1044"/>
      <c r="L15" s="1044"/>
      <c r="M15" s="1044"/>
      <c r="N15" s="1044"/>
    </row>
    <row r="16" spans="1:14" ht="29">
      <c r="A16" s="88" t="s">
        <v>153</v>
      </c>
      <c r="B16" s="19" t="s">
        <v>158</v>
      </c>
      <c r="C16" s="8" t="s">
        <v>157</v>
      </c>
      <c r="D16" s="1057">
        <f>IFERROR(D14*(D10*D12/D13),0)</f>
        <v>0</v>
      </c>
      <c r="E16" s="1057">
        <f t="shared" ref="E16:N16" si="1">IFERROR(E14*(E10*E12/E13),0)</f>
        <v>0</v>
      </c>
      <c r="F16" s="1057">
        <f t="shared" si="1"/>
        <v>0</v>
      </c>
      <c r="G16" s="1057">
        <f t="shared" si="1"/>
        <v>0</v>
      </c>
      <c r="H16" s="1057">
        <f t="shared" si="1"/>
        <v>0</v>
      </c>
      <c r="I16" s="1057">
        <f t="shared" si="1"/>
        <v>0</v>
      </c>
      <c r="J16" s="1057">
        <f t="shared" si="1"/>
        <v>0</v>
      </c>
      <c r="K16" s="1057">
        <f t="shared" si="1"/>
        <v>0</v>
      </c>
      <c r="L16" s="1057">
        <f t="shared" si="1"/>
        <v>0</v>
      </c>
      <c r="M16" s="1057">
        <f t="shared" si="1"/>
        <v>0</v>
      </c>
      <c r="N16" s="1057">
        <f t="shared" si="1"/>
        <v>0</v>
      </c>
    </row>
    <row r="17" spans="1:12">
      <c r="A17" s="162"/>
      <c r="B17" s="25"/>
      <c r="C17" s="72"/>
      <c r="D17" s="393"/>
      <c r="E17" s="393"/>
      <c r="F17" s="393"/>
      <c r="G17" s="393"/>
      <c r="H17" s="72"/>
      <c r="I17" s="72"/>
      <c r="J17" s="72"/>
      <c r="K17" s="72"/>
      <c r="L17" s="393"/>
    </row>
    <row r="18" spans="1:12">
      <c r="A18" s="162"/>
      <c r="B18" s="25"/>
      <c r="C18" s="72"/>
      <c r="D18" s="393"/>
      <c r="E18" s="393"/>
      <c r="F18" s="393"/>
      <c r="G18" s="393"/>
      <c r="H18" s="72"/>
      <c r="I18" s="72"/>
      <c r="J18" s="72"/>
      <c r="K18" s="72"/>
      <c r="L18" s="393"/>
    </row>
    <row r="19" spans="1:12">
      <c r="A19" s="25"/>
      <c r="B19" s="25"/>
      <c r="C19" s="4"/>
      <c r="D19" s="387"/>
      <c r="E19" s="387"/>
      <c r="F19" s="387"/>
      <c r="G19" s="387"/>
      <c r="H19" s="39"/>
      <c r="I19" s="2"/>
      <c r="J19" s="2"/>
      <c r="K19" s="2"/>
      <c r="L19" s="2"/>
    </row>
    <row r="20" spans="1:12">
      <c r="A20" s="25"/>
      <c r="B20" s="25"/>
      <c r="C20" s="4"/>
      <c r="D20" s="387"/>
      <c r="E20" s="387"/>
      <c r="F20" s="387"/>
      <c r="G20" s="387"/>
      <c r="H20" s="39"/>
      <c r="I20" s="41"/>
      <c r="J20" s="41"/>
      <c r="K20" s="41"/>
      <c r="L20" s="384"/>
    </row>
  </sheetData>
  <mergeCells count="14">
    <mergeCell ref="L6:M6"/>
    <mergeCell ref="M3:N3"/>
    <mergeCell ref="M4:N4"/>
    <mergeCell ref="L5:M5"/>
    <mergeCell ref="A1:B1"/>
    <mergeCell ref="I6:K6"/>
    <mergeCell ref="J3:K3"/>
    <mergeCell ref="A5:A7"/>
    <mergeCell ref="B5:B7"/>
    <mergeCell ref="C5:C7"/>
    <mergeCell ref="I5:K5"/>
    <mergeCell ref="J4:K4"/>
    <mergeCell ref="D5:H5"/>
    <mergeCell ref="A2:J2"/>
  </mergeCells>
  <printOptions horizontalCentered="1"/>
  <pageMargins left="0.19685039370078741" right="0.19685039370078741" top="0.19685039370078741" bottom="0.19685039370078741" header="0.19685039370078741" footer="0.19685039370078741"/>
  <pageSetup paperSize="9" scale="8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view="pageBreakPreview" zoomScaleSheetLayoutView="100" workbookViewId="0">
      <selection activeCell="C105" sqref="C105"/>
    </sheetView>
  </sheetViews>
  <sheetFormatPr defaultColWidth="9.1796875" defaultRowHeight="14.5"/>
  <cols>
    <col min="1" max="1" width="8" bestFit="1" customWidth="1"/>
    <col min="2" max="2" width="32.54296875" customWidth="1"/>
    <col min="3" max="6" width="10.453125" style="386" bestFit="1" customWidth="1"/>
    <col min="7" max="7" width="10.453125" bestFit="1" customWidth="1"/>
    <col min="8" max="8" width="12.1796875" customWidth="1"/>
    <col min="9" max="9" width="8.1796875" bestFit="1" customWidth="1"/>
    <col min="10" max="10" width="8.26953125" bestFit="1" customWidth="1"/>
    <col min="11" max="11" width="11.81640625" style="251" customWidth="1"/>
    <col min="12" max="12" width="9.54296875" bestFit="1" customWidth="1"/>
    <col min="13" max="13" width="10.453125" bestFit="1" customWidth="1"/>
  </cols>
  <sheetData>
    <row r="1" spans="1:13" s="251" customFormat="1">
      <c r="A1" s="3314" t="s">
        <v>911</v>
      </c>
      <c r="B1" s="3314"/>
      <c r="C1" s="388"/>
      <c r="D1" s="388"/>
      <c r="E1" s="388"/>
      <c r="F1" s="388"/>
    </row>
    <row r="2" spans="1:13">
      <c r="A2" s="3437" t="s">
        <v>1604</v>
      </c>
      <c r="B2" s="3437"/>
      <c r="C2" s="3437"/>
      <c r="D2" s="3437"/>
      <c r="E2" s="3437"/>
      <c r="F2" s="3437"/>
      <c r="G2" s="3437"/>
      <c r="H2" s="3437"/>
      <c r="I2" s="3437"/>
      <c r="J2" s="3437"/>
      <c r="K2" s="260"/>
    </row>
    <row r="3" spans="1:13">
      <c r="A3" s="574" t="s">
        <v>10</v>
      </c>
      <c r="B3" s="574"/>
      <c r="C3" s="574"/>
      <c r="D3" s="574"/>
      <c r="E3" s="574"/>
      <c r="F3" s="574"/>
      <c r="G3" s="574"/>
      <c r="H3" s="574"/>
      <c r="I3" s="3330"/>
      <c r="J3" s="3330"/>
      <c r="K3" s="256"/>
      <c r="L3" s="3330"/>
      <c r="M3" s="3330"/>
    </row>
    <row r="4" spans="1:13">
      <c r="A4" s="15"/>
      <c r="B4" s="15"/>
      <c r="C4" s="385"/>
      <c r="D4" s="385"/>
      <c r="E4" s="385"/>
      <c r="F4" s="385"/>
      <c r="G4" s="15"/>
      <c r="I4" s="3075"/>
      <c r="J4" s="3075"/>
      <c r="K4" s="252"/>
      <c r="L4" s="3075" t="s">
        <v>141</v>
      </c>
      <c r="M4" s="3075"/>
    </row>
    <row r="5" spans="1:13" ht="30" customHeight="1">
      <c r="A5" s="3029" t="s">
        <v>12</v>
      </c>
      <c r="B5" s="3029" t="s">
        <v>14</v>
      </c>
      <c r="C5" s="3044" t="s">
        <v>1583</v>
      </c>
      <c r="D5" s="3045"/>
      <c r="E5" s="3045"/>
      <c r="F5" s="3045"/>
      <c r="G5" s="3414"/>
      <c r="H5" s="3074" t="s">
        <v>542</v>
      </c>
      <c r="I5" s="3074"/>
      <c r="J5" s="3074"/>
      <c r="K5" s="3057" t="s">
        <v>550</v>
      </c>
      <c r="L5" s="3059"/>
      <c r="M5" s="1327" t="s">
        <v>952</v>
      </c>
    </row>
    <row r="6" spans="1:13">
      <c r="A6" s="3030"/>
      <c r="B6" s="3030"/>
      <c r="C6" s="928" t="s">
        <v>557</v>
      </c>
      <c r="D6" s="929" t="s">
        <v>556</v>
      </c>
      <c r="E6" s="929" t="s">
        <v>555</v>
      </c>
      <c r="F6" s="929" t="s">
        <v>553</v>
      </c>
      <c r="G6" s="929" t="s">
        <v>551</v>
      </c>
      <c r="H6" s="3415" t="s">
        <v>545</v>
      </c>
      <c r="I6" s="3416"/>
      <c r="J6" s="3417"/>
      <c r="K6" s="3412" t="s">
        <v>546</v>
      </c>
      <c r="L6" s="3412"/>
      <c r="M6" s="923" t="s">
        <v>547</v>
      </c>
    </row>
    <row r="7" spans="1:13" ht="36" customHeight="1">
      <c r="A7" s="3089"/>
      <c r="B7" s="3089"/>
      <c r="C7" s="382" t="s">
        <v>554</v>
      </c>
      <c r="D7" s="382" t="s">
        <v>554</v>
      </c>
      <c r="E7" s="382" t="s">
        <v>554</v>
      </c>
      <c r="F7" s="382" t="s">
        <v>554</v>
      </c>
      <c r="G7" s="193" t="s">
        <v>554</v>
      </c>
      <c r="H7" s="200" t="s">
        <v>543</v>
      </c>
      <c r="I7" s="201" t="s">
        <v>281</v>
      </c>
      <c r="J7" s="201" t="s">
        <v>544</v>
      </c>
      <c r="K7" s="200" t="s">
        <v>543</v>
      </c>
      <c r="L7" s="200" t="s">
        <v>552</v>
      </c>
      <c r="M7" s="201" t="s">
        <v>283</v>
      </c>
    </row>
    <row r="8" spans="1:13">
      <c r="A8" s="7">
        <v>1</v>
      </c>
      <c r="B8" s="19" t="s">
        <v>882</v>
      </c>
      <c r="C8" s="1182">
        <v>42.71</v>
      </c>
      <c r="D8" s="1182">
        <v>57.93</v>
      </c>
      <c r="E8" s="1182">
        <v>84.57</v>
      </c>
      <c r="F8" s="1182">
        <v>157.26</v>
      </c>
      <c r="G8" s="1182">
        <v>225.36</v>
      </c>
      <c r="H8" s="1053">
        <v>50.08</v>
      </c>
      <c r="I8" s="1053">
        <v>168.1615482</v>
      </c>
      <c r="J8" s="1053">
        <f>I8</f>
        <v>168.1615482</v>
      </c>
      <c r="K8" s="1053">
        <f>G8</f>
        <v>225.36</v>
      </c>
      <c r="L8" s="1520">
        <v>153.37819697599551</v>
      </c>
      <c r="M8" s="1520">
        <v>157.6171870822715</v>
      </c>
    </row>
    <row r="9" spans="1:13">
      <c r="A9" s="7">
        <v>2</v>
      </c>
      <c r="B9" s="19" t="s">
        <v>124</v>
      </c>
      <c r="C9" s="1080"/>
      <c r="D9" s="1080"/>
      <c r="E9" s="936"/>
      <c r="F9" s="936"/>
      <c r="G9" s="936"/>
      <c r="H9" s="936"/>
      <c r="I9" s="936"/>
      <c r="J9" s="936"/>
      <c r="K9" s="936"/>
      <c r="L9" s="1520"/>
      <c r="M9" s="1520"/>
    </row>
    <row r="10" spans="1:13">
      <c r="A10" s="7"/>
      <c r="B10" s="14" t="s">
        <v>416</v>
      </c>
      <c r="C10" s="1197">
        <v>379.96</v>
      </c>
      <c r="D10" s="1197">
        <v>194.37</v>
      </c>
      <c r="E10" s="1197">
        <v>265.97000000000003</v>
      </c>
      <c r="F10" s="1197">
        <v>360.19</v>
      </c>
      <c r="G10" s="1197">
        <v>460.3322</v>
      </c>
      <c r="H10" s="1197">
        <v>386.41</v>
      </c>
      <c r="I10" s="1197">
        <v>214.87883289999999</v>
      </c>
      <c r="J10" s="1197">
        <v>214.87883289999999</v>
      </c>
      <c r="K10" s="1197">
        <v>460.33</v>
      </c>
      <c r="L10" s="981">
        <v>227.80007375087627</v>
      </c>
      <c r="M10" s="981">
        <v>240.6287228059312</v>
      </c>
    </row>
    <row r="11" spans="1:13">
      <c r="A11" s="7"/>
      <c r="B11" s="14" t="s">
        <v>417</v>
      </c>
      <c r="C11" s="938"/>
      <c r="D11" s="938"/>
      <c r="E11" s="936"/>
      <c r="F11" s="936"/>
      <c r="G11" s="936"/>
      <c r="H11" s="936"/>
      <c r="I11" s="1520"/>
      <c r="J11" s="1520"/>
      <c r="K11" s="1520"/>
      <c r="L11" s="1520"/>
      <c r="M11" s="1520"/>
    </row>
    <row r="12" spans="1:13" ht="15.75" customHeight="1">
      <c r="A12" s="7"/>
      <c r="B12" s="14" t="s">
        <v>418</v>
      </c>
      <c r="C12" s="938">
        <v>0</v>
      </c>
      <c r="D12" s="938">
        <v>0</v>
      </c>
      <c r="E12" s="938">
        <v>0</v>
      </c>
      <c r="F12" s="938">
        <v>0</v>
      </c>
      <c r="G12" s="938">
        <v>0</v>
      </c>
      <c r="H12" s="938">
        <v>0</v>
      </c>
      <c r="I12" s="938">
        <v>0</v>
      </c>
      <c r="J12" s="938">
        <v>0</v>
      </c>
      <c r="K12" s="938">
        <v>0</v>
      </c>
      <c r="L12" s="938">
        <v>0</v>
      </c>
      <c r="M12" s="938">
        <v>0</v>
      </c>
    </row>
    <row r="13" spans="1:13">
      <c r="A13" s="7"/>
      <c r="B13" s="14" t="s">
        <v>419</v>
      </c>
      <c r="C13" s="1115"/>
      <c r="D13" s="1115"/>
      <c r="E13" s="1115"/>
      <c r="F13" s="1115"/>
      <c r="G13" s="1116"/>
      <c r="H13" s="1520"/>
      <c r="I13" s="1520"/>
      <c r="J13" s="1520"/>
      <c r="K13" s="1520"/>
      <c r="L13" s="1520"/>
      <c r="M13" s="1520"/>
    </row>
    <row r="14" spans="1:13">
      <c r="A14" s="7"/>
      <c r="B14" s="14" t="s">
        <v>1324</v>
      </c>
      <c r="C14" s="1117"/>
      <c r="D14" s="1117"/>
      <c r="E14" s="1117"/>
      <c r="F14" s="1117"/>
      <c r="G14" s="1118"/>
      <c r="H14" s="1521"/>
      <c r="I14" s="1521"/>
      <c r="J14" s="1521"/>
      <c r="K14" s="1521"/>
      <c r="L14" s="1521"/>
      <c r="M14" s="1521"/>
    </row>
    <row r="15" spans="1:13">
      <c r="A15" s="7"/>
      <c r="B15" s="156" t="s">
        <v>125</v>
      </c>
      <c r="C15" s="1342">
        <f t="shared" ref="C15:M15" si="0">(C10+C11+C12+C13+C14)</f>
        <v>379.96</v>
      </c>
      <c r="D15" s="1342">
        <f t="shared" si="0"/>
        <v>194.37</v>
      </c>
      <c r="E15" s="1077">
        <f t="shared" si="0"/>
        <v>265.97000000000003</v>
      </c>
      <c r="F15" s="1077">
        <f t="shared" si="0"/>
        <v>360.19</v>
      </c>
      <c r="G15" s="1077">
        <f t="shared" si="0"/>
        <v>460.3322</v>
      </c>
      <c r="H15" s="1077">
        <f t="shared" si="0"/>
        <v>386.41</v>
      </c>
      <c r="I15" s="1077">
        <f t="shared" si="0"/>
        <v>214.87883289999999</v>
      </c>
      <c r="J15" s="1077">
        <f t="shared" si="0"/>
        <v>214.87883289999999</v>
      </c>
      <c r="K15" s="1077">
        <f t="shared" si="0"/>
        <v>460.33</v>
      </c>
      <c r="L15" s="1077">
        <f t="shared" si="0"/>
        <v>227.80007375087627</v>
      </c>
      <c r="M15" s="1077">
        <f t="shared" si="0"/>
        <v>240.6287228059312</v>
      </c>
    </row>
    <row r="16" spans="1:13">
      <c r="A16" s="7"/>
      <c r="B16" s="44"/>
      <c r="C16" s="1119"/>
      <c r="D16" s="1119"/>
      <c r="E16" s="1119"/>
      <c r="F16" s="1119"/>
      <c r="G16" s="1116"/>
      <c r="H16" s="1520"/>
      <c r="I16" s="1520"/>
      <c r="J16" s="1520"/>
      <c r="K16" s="1520"/>
      <c r="L16" s="1520"/>
      <c r="M16" s="1520"/>
    </row>
    <row r="17" spans="1:13">
      <c r="A17" s="7"/>
      <c r="B17" s="156" t="s">
        <v>126</v>
      </c>
      <c r="C17" s="1077">
        <f t="shared" ref="C17:M17" si="1">C8+C15</f>
        <v>422.66999999999996</v>
      </c>
      <c r="D17" s="1077">
        <f t="shared" si="1"/>
        <v>252.3</v>
      </c>
      <c r="E17" s="1077">
        <f t="shared" si="1"/>
        <v>350.54</v>
      </c>
      <c r="F17" s="1077">
        <f t="shared" si="1"/>
        <v>517.45000000000005</v>
      </c>
      <c r="G17" s="1077">
        <f t="shared" si="1"/>
        <v>685.69219999999996</v>
      </c>
      <c r="H17" s="1077">
        <f t="shared" si="1"/>
        <v>436.49</v>
      </c>
      <c r="I17" s="1077">
        <f t="shared" si="1"/>
        <v>383.04038109999999</v>
      </c>
      <c r="J17" s="1077">
        <f t="shared" si="1"/>
        <v>383.04038109999999</v>
      </c>
      <c r="K17" s="1077">
        <f t="shared" si="1"/>
        <v>685.69</v>
      </c>
      <c r="L17" s="1077">
        <f t="shared" si="1"/>
        <v>381.1782707268718</v>
      </c>
      <c r="M17" s="1077">
        <f t="shared" si="1"/>
        <v>398.24590988820273</v>
      </c>
    </row>
    <row r="21" spans="1:13">
      <c r="H21" s="2"/>
      <c r="I21" s="2"/>
      <c r="J21" s="2"/>
      <c r="K21" s="2"/>
    </row>
    <row r="22" spans="1:13">
      <c r="H22" s="41"/>
      <c r="I22" s="41"/>
      <c r="J22" s="41"/>
      <c r="K22" s="250"/>
    </row>
  </sheetData>
  <mergeCells count="13">
    <mergeCell ref="K6:L6"/>
    <mergeCell ref="A1:B1"/>
    <mergeCell ref="A2:J2"/>
    <mergeCell ref="A5:A7"/>
    <mergeCell ref="B5:B7"/>
    <mergeCell ref="H5:J5"/>
    <mergeCell ref="I4:J4"/>
    <mergeCell ref="I3:J3"/>
    <mergeCell ref="H6:J6"/>
    <mergeCell ref="C5:G5"/>
    <mergeCell ref="L3:M3"/>
    <mergeCell ref="L4:M4"/>
    <mergeCell ref="K5:L5"/>
  </mergeCells>
  <printOptions horizontalCentered="1"/>
  <pageMargins left="0.19685039370078741" right="0.19685039370078741" top="0.19685039370078741" bottom="0.19685039370078741" header="0.19685039370078741" footer="0.19685039370078741"/>
  <pageSetup paperSize="9"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view="pageBreakPreview" zoomScaleSheetLayoutView="100" workbookViewId="0">
      <pane xSplit="2" ySplit="8" topLeftCell="O9" activePane="bottomRight" state="frozen"/>
      <selection activeCell="C105" sqref="C105"/>
      <selection pane="topRight" activeCell="C105" sqref="C105"/>
      <selection pane="bottomLeft" activeCell="C105" sqref="C105"/>
      <selection pane="bottomRight" activeCell="C105" sqref="C105"/>
    </sheetView>
  </sheetViews>
  <sheetFormatPr defaultColWidth="20.81640625" defaultRowHeight="18.75" customHeight="1"/>
  <cols>
    <col min="1" max="1" width="8.1796875" style="67" customWidth="1"/>
    <col min="2" max="2" width="33.26953125" style="750" customWidth="1"/>
    <col min="3" max="3" width="9" style="750" customWidth="1"/>
    <col min="4" max="4" width="7.1796875" style="750" customWidth="1"/>
    <col min="5" max="5" width="10" style="750" bestFit="1" customWidth="1"/>
    <col min="6" max="6" width="10.7265625" style="67" bestFit="1" customWidth="1"/>
    <col min="7" max="7" width="9.7265625" style="67" bestFit="1" customWidth="1"/>
    <col min="8" max="8" width="10" style="67" bestFit="1" customWidth="1"/>
    <col min="9" max="9" width="10.54296875" style="67" bestFit="1" customWidth="1"/>
    <col min="10" max="10" width="9.7265625" style="67" bestFit="1" customWidth="1"/>
    <col min="11" max="11" width="9.54296875" style="67" bestFit="1" customWidth="1"/>
    <col min="12" max="12" width="10" style="67" bestFit="1" customWidth="1"/>
    <col min="13" max="13" width="12" style="67" bestFit="1" customWidth="1"/>
    <col min="14" max="14" width="10.26953125" style="67" customWidth="1"/>
    <col min="15" max="15" width="11.453125" style="67" bestFit="1" customWidth="1"/>
    <col min="16" max="16" width="12.453125" style="67" bestFit="1" customWidth="1"/>
    <col min="17" max="17" width="12.7265625" style="67" bestFit="1" customWidth="1"/>
    <col min="18" max="18" width="10.54296875" style="67" customWidth="1"/>
    <col min="19" max="19" width="10" style="67" customWidth="1"/>
    <col min="20" max="20" width="10" style="67" bestFit="1" customWidth="1"/>
    <col min="21" max="21" width="12.7265625" style="67" bestFit="1" customWidth="1"/>
    <col min="22" max="16384" width="20.81640625" style="67"/>
  </cols>
  <sheetData>
    <row r="1" spans="1:21" ht="18.75" customHeight="1">
      <c r="A1" s="3037" t="s">
        <v>242</v>
      </c>
      <c r="B1" s="3037"/>
    </row>
    <row r="2" spans="1:21" ht="18.75" customHeight="1">
      <c r="A2" s="392" t="s">
        <v>1604</v>
      </c>
      <c r="B2" s="392"/>
      <c r="C2" s="392"/>
      <c r="D2" s="392"/>
      <c r="E2" s="392"/>
      <c r="F2" s="392"/>
      <c r="G2" s="392"/>
      <c r="H2" s="392"/>
      <c r="I2" s="392"/>
      <c r="J2" s="392"/>
      <c r="K2" s="392"/>
      <c r="L2" s="392"/>
      <c r="M2" s="392"/>
      <c r="N2" s="392"/>
      <c r="O2" s="392"/>
      <c r="P2" s="392"/>
      <c r="Q2" s="392"/>
      <c r="R2" s="392"/>
      <c r="S2" s="392"/>
      <c r="T2" s="392"/>
      <c r="U2" s="392"/>
    </row>
    <row r="3" spans="1:21" ht="18.75" customHeight="1">
      <c r="A3" s="751" t="s">
        <v>213</v>
      </c>
      <c r="B3" s="751"/>
      <c r="C3" s="751"/>
      <c r="D3" s="751"/>
      <c r="E3" s="751"/>
      <c r="F3" s="751"/>
      <c r="G3" s="751"/>
      <c r="H3" s="751"/>
      <c r="I3" s="751"/>
      <c r="J3" s="752"/>
      <c r="K3" s="752"/>
      <c r="L3" s="752"/>
      <c r="M3" s="752"/>
      <c r="N3" s="3038"/>
      <c r="O3" s="3038"/>
      <c r="P3" s="753"/>
      <c r="Q3" s="753"/>
      <c r="R3" s="753"/>
      <c r="S3" s="753"/>
      <c r="T3" s="753"/>
      <c r="U3" s="753"/>
    </row>
    <row r="4" spans="1:21" ht="18.75" customHeight="1">
      <c r="A4" s="577"/>
      <c r="B4" s="754"/>
      <c r="C4" s="754"/>
      <c r="D4" s="754"/>
      <c r="E4" s="754"/>
      <c r="F4" s="577"/>
      <c r="G4" s="577"/>
      <c r="H4" s="577"/>
      <c r="I4" s="577"/>
      <c r="N4" s="3042"/>
      <c r="O4" s="3042"/>
      <c r="T4" s="3042" t="s">
        <v>141</v>
      </c>
      <c r="U4" s="3042"/>
    </row>
    <row r="5" spans="1:21" ht="18.75" customHeight="1">
      <c r="A5" s="2990" t="s">
        <v>117</v>
      </c>
      <c r="B5" s="3043" t="s">
        <v>14</v>
      </c>
      <c r="C5" s="3044" t="s">
        <v>725</v>
      </c>
      <c r="D5" s="3045"/>
      <c r="E5" s="3045"/>
      <c r="F5" s="3053" t="s">
        <v>562</v>
      </c>
      <c r="G5" s="3053"/>
      <c r="H5" s="3053"/>
      <c r="I5" s="3053"/>
      <c r="J5" s="3040" t="s">
        <v>568</v>
      </c>
      <c r="K5" s="3040"/>
      <c r="L5" s="3040"/>
      <c r="M5" s="3041"/>
      <c r="N5" s="3039" t="s">
        <v>550</v>
      </c>
      <c r="O5" s="3040"/>
      <c r="P5" s="3040"/>
      <c r="Q5" s="3041"/>
      <c r="R5" s="3039" t="s">
        <v>952</v>
      </c>
      <c r="S5" s="3040"/>
      <c r="T5" s="3040"/>
      <c r="U5" s="3041"/>
    </row>
    <row r="6" spans="1:21" ht="18.75" customHeight="1">
      <c r="A6" s="2990"/>
      <c r="B6" s="3043"/>
      <c r="C6" s="3046"/>
      <c r="D6" s="3047"/>
      <c r="E6" s="3048"/>
      <c r="F6" s="3054" t="s">
        <v>551</v>
      </c>
      <c r="G6" s="3055"/>
      <c r="H6" s="3055"/>
      <c r="I6" s="3056"/>
      <c r="J6" s="3039" t="s">
        <v>545</v>
      </c>
      <c r="K6" s="3040"/>
      <c r="L6" s="3040"/>
      <c r="M6" s="3041"/>
      <c r="N6" s="3039" t="s">
        <v>546</v>
      </c>
      <c r="O6" s="3040"/>
      <c r="P6" s="3040"/>
      <c r="Q6" s="3041"/>
      <c r="R6" s="3039" t="s">
        <v>547</v>
      </c>
      <c r="S6" s="3040"/>
      <c r="T6" s="3040"/>
      <c r="U6" s="3041"/>
    </row>
    <row r="7" spans="1:21" ht="18.75" customHeight="1">
      <c r="A7" s="2990"/>
      <c r="B7" s="3043"/>
      <c r="C7" s="3049"/>
      <c r="D7" s="3050"/>
      <c r="E7" s="3051"/>
      <c r="F7" s="3039" t="s">
        <v>554</v>
      </c>
      <c r="G7" s="3040"/>
      <c r="H7" s="3040"/>
      <c r="I7" s="3041"/>
      <c r="J7" s="3057" t="s">
        <v>544</v>
      </c>
      <c r="K7" s="3058"/>
      <c r="L7" s="3058"/>
      <c r="M7" s="3059"/>
      <c r="N7" s="3039" t="s">
        <v>552</v>
      </c>
      <c r="O7" s="3040"/>
      <c r="P7" s="3040"/>
      <c r="Q7" s="3041"/>
      <c r="R7" s="2990" t="s">
        <v>283</v>
      </c>
      <c r="S7" s="2990"/>
      <c r="T7" s="2990"/>
      <c r="U7" s="2990"/>
    </row>
    <row r="8" spans="1:21" ht="18.75" customHeight="1">
      <c r="A8" s="2990"/>
      <c r="B8" s="3043"/>
      <c r="C8" s="745" t="s">
        <v>214</v>
      </c>
      <c r="D8" s="745" t="s">
        <v>215</v>
      </c>
      <c r="E8" s="745" t="s">
        <v>216</v>
      </c>
      <c r="F8" s="745" t="s">
        <v>214</v>
      </c>
      <c r="G8" s="745" t="s">
        <v>215</v>
      </c>
      <c r="H8" s="745" t="s">
        <v>216</v>
      </c>
      <c r="I8" s="746" t="s">
        <v>22</v>
      </c>
      <c r="J8" s="745" t="s">
        <v>214</v>
      </c>
      <c r="K8" s="745" t="s">
        <v>215</v>
      </c>
      <c r="L8" s="745" t="s">
        <v>216</v>
      </c>
      <c r="M8" s="746" t="s">
        <v>22</v>
      </c>
      <c r="N8" s="745" t="s">
        <v>214</v>
      </c>
      <c r="O8" s="745" t="s">
        <v>215</v>
      </c>
      <c r="P8" s="745" t="s">
        <v>216</v>
      </c>
      <c r="Q8" s="746" t="s">
        <v>22</v>
      </c>
      <c r="R8" s="745" t="s">
        <v>214</v>
      </c>
      <c r="S8" s="745" t="s">
        <v>215</v>
      </c>
      <c r="T8" s="745" t="s">
        <v>216</v>
      </c>
      <c r="U8" s="746" t="s">
        <v>22</v>
      </c>
    </row>
    <row r="9" spans="1:21" ht="18.75" customHeight="1">
      <c r="A9" s="755"/>
      <c r="B9" s="756" t="s">
        <v>23</v>
      </c>
      <c r="C9" s="832"/>
      <c r="D9" s="832"/>
      <c r="E9" s="832"/>
      <c r="F9" s="833"/>
      <c r="G9" s="833"/>
      <c r="H9" s="833"/>
      <c r="I9" s="833"/>
      <c r="J9" s="735"/>
      <c r="K9" s="735"/>
      <c r="L9" s="735"/>
      <c r="M9" s="735"/>
      <c r="N9" s="735"/>
      <c r="O9" s="735"/>
      <c r="P9" s="735"/>
      <c r="Q9" s="735"/>
      <c r="R9" s="735"/>
      <c r="S9" s="735"/>
      <c r="T9" s="735"/>
      <c r="U9" s="735"/>
    </row>
    <row r="10" spans="1:21" ht="18.75" customHeight="1">
      <c r="A10" s="749">
        <v>1</v>
      </c>
      <c r="B10" s="757" t="s">
        <v>239</v>
      </c>
      <c r="C10" s="949">
        <v>0.45</v>
      </c>
      <c r="D10" s="949">
        <v>0.55000000000000004</v>
      </c>
      <c r="E10" s="949">
        <v>0</v>
      </c>
      <c r="F10" s="698">
        <f>C10*'F1'!$D17</f>
        <v>5263.2404999999999</v>
      </c>
      <c r="G10" s="698">
        <f>D10*'F1'!$D17</f>
        <v>6432.8495000000003</v>
      </c>
      <c r="H10" s="698">
        <f>E10*'F1'!$D17</f>
        <v>0</v>
      </c>
      <c r="I10" s="698">
        <f>SUM(F10:H10)</f>
        <v>11696.09</v>
      </c>
      <c r="J10" s="704">
        <f>C10*'F1'!$G17</f>
        <v>6003.2293054501506</v>
      </c>
      <c r="K10" s="704">
        <f>D10*'F1'!$G17</f>
        <v>7337.280262216851</v>
      </c>
      <c r="L10" s="704">
        <f>E10*'F1'!$G17</f>
        <v>0</v>
      </c>
      <c r="M10" s="698">
        <f>SUM(J10:L10)</f>
        <v>13340.509567667003</v>
      </c>
      <c r="N10" s="704">
        <f>$C10*'F1'!$H17</f>
        <v>5324.7452590686262</v>
      </c>
      <c r="O10" s="704">
        <f>D$10*'F1'!$H17</f>
        <v>6508.0219833060992</v>
      </c>
      <c r="P10" s="704">
        <f>E$10*'F1'!$H17</f>
        <v>0</v>
      </c>
      <c r="Q10" s="698">
        <f>SUM(N10:P10)</f>
        <v>11832.767242374724</v>
      </c>
      <c r="R10" s="704">
        <f>C10*'F1'!$I17</f>
        <v>5878.1986218237062</v>
      </c>
      <c r="S10" s="704">
        <f>D10*'F1'!$I17</f>
        <v>7184.4649822289739</v>
      </c>
      <c r="T10" s="704">
        <f>E10*'F1'!$I17</f>
        <v>0</v>
      </c>
      <c r="U10" s="698">
        <f>SUM(R10:T10)</f>
        <v>13062.663604052679</v>
      </c>
    </row>
    <row r="11" spans="1:21" ht="32.5" customHeight="1">
      <c r="A11" s="749"/>
      <c r="B11" s="828" t="s">
        <v>1349</v>
      </c>
      <c r="C11" s="949">
        <v>0.45</v>
      </c>
      <c r="D11" s="949">
        <v>0.55000000000000004</v>
      </c>
      <c r="E11" s="949">
        <v>0</v>
      </c>
      <c r="F11" s="698"/>
      <c r="G11" s="698"/>
      <c r="H11" s="698"/>
      <c r="I11" s="698"/>
      <c r="J11" s="704"/>
      <c r="K11" s="704"/>
      <c r="L11" s="704"/>
      <c r="M11" s="698"/>
      <c r="N11" s="704"/>
      <c r="O11" s="704"/>
      <c r="P11" s="704"/>
      <c r="Q11" s="698"/>
      <c r="R11" s="704"/>
      <c r="S11" s="704"/>
      <c r="T11" s="704"/>
      <c r="U11" s="698"/>
    </row>
    <row r="12" spans="1:21" ht="30" customHeight="1">
      <c r="A12" s="749">
        <v>2</v>
      </c>
      <c r="B12" s="452" t="s">
        <v>209</v>
      </c>
      <c r="C12" s="950">
        <v>1</v>
      </c>
      <c r="D12" s="950">
        <v>0</v>
      </c>
      <c r="E12" s="950"/>
      <c r="F12" s="698">
        <f>C12*'F1'!$D19</f>
        <v>938.34</v>
      </c>
      <c r="G12" s="698">
        <f>D12*'F1'!$D19</f>
        <v>0</v>
      </c>
      <c r="H12" s="698">
        <f>E12*'F1'!$D19</f>
        <v>0</v>
      </c>
      <c r="I12" s="698">
        <f t="shared" ref="I12:I34" si="0">SUM(F12:H12)</f>
        <v>938.34</v>
      </c>
      <c r="J12" s="704">
        <f>C12*'F1'!$G19</f>
        <v>756.15343919999998</v>
      </c>
      <c r="K12" s="704">
        <f>D12*'F1'!$G19</f>
        <v>0</v>
      </c>
      <c r="L12" s="704">
        <f>E12*'F1'!$G19</f>
        <v>0</v>
      </c>
      <c r="M12" s="698">
        <f t="shared" ref="M12:M34" si="1">SUM(J12:L12)</f>
        <v>756.15343919999998</v>
      </c>
      <c r="N12" s="704">
        <f>C12*'F1'!$H19</f>
        <v>663.31285807032964</v>
      </c>
      <c r="O12" s="704">
        <f>D12*'F1'!$H19</f>
        <v>0</v>
      </c>
      <c r="P12" s="704">
        <f>E12*'F1'!$H19</f>
        <v>0</v>
      </c>
      <c r="Q12" s="698">
        <f t="shared" ref="Q12:Q34" si="2">SUM(N12:P12)</f>
        <v>663.31285807032964</v>
      </c>
      <c r="R12" s="704">
        <f>C12*'F1'!$I19</f>
        <v>665.64692773537399</v>
      </c>
      <c r="S12" s="704">
        <f>D12*'F1'!$I19</f>
        <v>0</v>
      </c>
      <c r="T12" s="704">
        <f>E12*'F1'!$I19</f>
        <v>0</v>
      </c>
      <c r="U12" s="698">
        <f t="shared" ref="U12:U34" si="3">SUM(R12:T12)</f>
        <v>665.64692773537399</v>
      </c>
    </row>
    <row r="13" spans="1:21" ht="18.75" customHeight="1">
      <c r="A13" s="749">
        <v>3</v>
      </c>
      <c r="B13" s="452" t="s">
        <v>818</v>
      </c>
      <c r="C13" s="950"/>
      <c r="D13" s="950"/>
      <c r="E13" s="950"/>
      <c r="F13" s="698"/>
      <c r="G13" s="698"/>
      <c r="H13" s="698"/>
      <c r="I13" s="698">
        <f t="shared" si="0"/>
        <v>0</v>
      </c>
      <c r="J13" s="735"/>
      <c r="K13" s="735"/>
      <c r="L13" s="735"/>
      <c r="M13" s="698">
        <f t="shared" si="1"/>
        <v>0</v>
      </c>
      <c r="N13" s="704">
        <f>C13*'F1'!$H20</f>
        <v>0</v>
      </c>
      <c r="O13" s="704">
        <f>D13*'F1'!$H20</f>
        <v>0</v>
      </c>
      <c r="P13" s="704">
        <f>E13*'F1'!$H20</f>
        <v>0</v>
      </c>
      <c r="Q13" s="698">
        <f t="shared" si="2"/>
        <v>0</v>
      </c>
      <c r="R13" s="704">
        <f>C13*'F1'!$I20</f>
        <v>0</v>
      </c>
      <c r="S13" s="704">
        <f>D13*'F1'!$I20</f>
        <v>0</v>
      </c>
      <c r="T13" s="704">
        <f>E13*'F1'!$I20</f>
        <v>0</v>
      </c>
      <c r="U13" s="698">
        <f t="shared" si="3"/>
        <v>0</v>
      </c>
    </row>
    <row r="14" spans="1:21" ht="18.75" customHeight="1">
      <c r="A14" s="749"/>
      <c r="B14" s="629" t="s">
        <v>1317</v>
      </c>
      <c r="C14" s="949">
        <v>1</v>
      </c>
      <c r="D14" s="950">
        <v>0</v>
      </c>
      <c r="E14" s="950">
        <v>0</v>
      </c>
      <c r="F14" s="698">
        <f>C14*'F1'!$D21</f>
        <v>869.82</v>
      </c>
      <c r="G14" s="698">
        <f>D14*'F1'!$D21</f>
        <v>0</v>
      </c>
      <c r="H14" s="698">
        <f>E14*'F1'!$D21</f>
        <v>0</v>
      </c>
      <c r="I14" s="698">
        <f t="shared" si="0"/>
        <v>869.82</v>
      </c>
      <c r="J14" s="704">
        <f>C14*'F1'!$G21</f>
        <v>895.64533633272515</v>
      </c>
      <c r="K14" s="704">
        <f>D14*'F1'!$G21</f>
        <v>0</v>
      </c>
      <c r="L14" s="704">
        <f>E14*'F1'!$G21</f>
        <v>0</v>
      </c>
      <c r="M14" s="698">
        <f t="shared" si="1"/>
        <v>895.64533633272515</v>
      </c>
      <c r="N14" s="704">
        <f>C14*'F1'!$H21</f>
        <v>1247.6793588586931</v>
      </c>
      <c r="O14" s="704">
        <f>D14*'F1'!$H21</f>
        <v>0</v>
      </c>
      <c r="P14" s="704">
        <f>E14*'F1'!$H21</f>
        <v>0</v>
      </c>
      <c r="Q14" s="698">
        <f t="shared" si="2"/>
        <v>1247.6793588586931</v>
      </c>
      <c r="R14" s="704">
        <f>C14*'F1'!$I21</f>
        <v>961.84691751072876</v>
      </c>
      <c r="S14" s="704">
        <f>D14*'F1'!$I21</f>
        <v>0</v>
      </c>
      <c r="T14" s="704">
        <f>E14*'F1'!$I21</f>
        <v>0</v>
      </c>
      <c r="U14" s="698">
        <f t="shared" si="3"/>
        <v>961.84691751072876</v>
      </c>
    </row>
    <row r="15" spans="1:21" ht="18.75" customHeight="1">
      <c r="A15" s="749"/>
      <c r="B15" s="629" t="s">
        <v>1286</v>
      </c>
      <c r="C15" s="949">
        <v>0.8</v>
      </c>
      <c r="D15" s="950">
        <v>0</v>
      </c>
      <c r="E15" s="949">
        <v>0.2</v>
      </c>
      <c r="F15" s="698">
        <f>C15*'F1'!$D22</f>
        <v>247.37103999999997</v>
      </c>
      <c r="G15" s="698">
        <f>D15*'F1'!$D22</f>
        <v>0</v>
      </c>
      <c r="H15" s="698">
        <f>E15*'F1'!$D22</f>
        <v>61.842759999999991</v>
      </c>
      <c r="I15" s="698">
        <f t="shared" si="0"/>
        <v>309.21379999999994</v>
      </c>
      <c r="J15" s="704">
        <f>C15*'F1'!$G22</f>
        <v>581.35505790261107</v>
      </c>
      <c r="K15" s="704">
        <f>D15*'F1'!$G22</f>
        <v>0</v>
      </c>
      <c r="L15" s="704">
        <f>E15*'F1'!$G22</f>
        <v>145.33876447565277</v>
      </c>
      <c r="M15" s="698">
        <f t="shared" si="1"/>
        <v>726.6938223782638</v>
      </c>
      <c r="N15" s="704">
        <f>C15*'F1'!$H22</f>
        <v>616.22726235902667</v>
      </c>
      <c r="O15" s="704">
        <f>D15*'F1'!$H22</f>
        <v>0</v>
      </c>
      <c r="P15" s="704">
        <f>E15*'F1'!$H22</f>
        <v>154.05681558975667</v>
      </c>
      <c r="Q15" s="698">
        <f t="shared" si="2"/>
        <v>770.28407794878331</v>
      </c>
      <c r="R15" s="704">
        <f>C15*'F1'!$I22</f>
        <v>650.93033842390366</v>
      </c>
      <c r="S15" s="704">
        <f>D15*'F1'!$I22</f>
        <v>0</v>
      </c>
      <c r="T15" s="704">
        <f>E15*'F1'!$I22</f>
        <v>162.73258460597592</v>
      </c>
      <c r="U15" s="698">
        <f t="shared" si="3"/>
        <v>813.66292302987961</v>
      </c>
    </row>
    <row r="16" spans="1:21" ht="18.75" customHeight="1">
      <c r="A16" s="749"/>
      <c r="B16" s="629" t="s">
        <v>1287</v>
      </c>
      <c r="C16" s="949">
        <v>0.8</v>
      </c>
      <c r="D16" s="950">
        <v>0</v>
      </c>
      <c r="E16" s="949">
        <v>0.2</v>
      </c>
      <c r="F16" s="698">
        <f>C16*'F1'!$D23</f>
        <v>131.94400000000002</v>
      </c>
      <c r="G16" s="698">
        <f>D16*'F1'!$D23</f>
        <v>0</v>
      </c>
      <c r="H16" s="698">
        <f>E16*'F1'!$D23</f>
        <v>32.986000000000004</v>
      </c>
      <c r="I16" s="698">
        <f t="shared" si="0"/>
        <v>164.93</v>
      </c>
      <c r="J16" s="704">
        <f>C16*'F1'!$G23</f>
        <v>135.85991315209304</v>
      </c>
      <c r="K16" s="704">
        <f>D16*'F1'!$G23</f>
        <v>0</v>
      </c>
      <c r="L16" s="704">
        <f>E16*'F1'!$G23</f>
        <v>33.964978288023261</v>
      </c>
      <c r="M16" s="698">
        <f t="shared" si="1"/>
        <v>169.82489144011629</v>
      </c>
      <c r="N16" s="704">
        <f>C16*'F1'!$H23</f>
        <v>139.14308217151788</v>
      </c>
      <c r="O16" s="704">
        <f>D16*'F1'!$H23</f>
        <v>0</v>
      </c>
      <c r="P16" s="704">
        <f>E16*'F1'!$H23</f>
        <v>34.785770542879469</v>
      </c>
      <c r="Q16" s="698">
        <f t="shared" si="2"/>
        <v>173.92885271439735</v>
      </c>
      <c r="R16" s="704">
        <f>C16*'F1'!$I23</f>
        <v>145.90199198008298</v>
      </c>
      <c r="S16" s="704">
        <f>D16*'F1'!$I23</f>
        <v>0</v>
      </c>
      <c r="T16" s="704">
        <f>E16*'F1'!$I23</f>
        <v>36.475497995020746</v>
      </c>
      <c r="U16" s="698">
        <f t="shared" si="3"/>
        <v>182.37748997510374</v>
      </c>
    </row>
    <row r="17" spans="1:21" ht="18.75" customHeight="1">
      <c r="A17" s="749"/>
      <c r="B17" s="828" t="s">
        <v>1350</v>
      </c>
      <c r="C17" s="949">
        <v>0.8</v>
      </c>
      <c r="D17" s="950">
        <v>0</v>
      </c>
      <c r="E17" s="949">
        <v>0.2</v>
      </c>
      <c r="F17" s="698"/>
      <c r="G17" s="698"/>
      <c r="H17" s="698"/>
      <c r="I17" s="698"/>
      <c r="J17" s="704"/>
      <c r="K17" s="704"/>
      <c r="L17" s="704"/>
      <c r="M17" s="698"/>
      <c r="N17" s="704"/>
      <c r="O17" s="704"/>
      <c r="P17" s="704"/>
      <c r="Q17" s="698"/>
      <c r="R17" s="704"/>
      <c r="S17" s="704"/>
      <c r="T17" s="704"/>
      <c r="U17" s="698"/>
    </row>
    <row r="18" spans="1:21" ht="18.75" customHeight="1">
      <c r="A18" s="749"/>
      <c r="B18" s="828" t="s">
        <v>1351</v>
      </c>
      <c r="C18" s="949">
        <v>0</v>
      </c>
      <c r="D18" s="950">
        <v>0</v>
      </c>
      <c r="E18" s="950">
        <v>1</v>
      </c>
      <c r="F18" s="698"/>
      <c r="G18" s="698"/>
      <c r="H18" s="698"/>
      <c r="I18" s="698"/>
      <c r="J18" s="704"/>
      <c r="K18" s="704"/>
      <c r="L18" s="704"/>
      <c r="M18" s="698"/>
      <c r="N18" s="704"/>
      <c r="O18" s="704"/>
      <c r="P18" s="704"/>
      <c r="Q18" s="698"/>
      <c r="R18" s="704"/>
      <c r="S18" s="704"/>
      <c r="T18" s="704"/>
      <c r="U18" s="698"/>
    </row>
    <row r="19" spans="1:21" ht="18.75" customHeight="1">
      <c r="A19" s="749"/>
      <c r="B19" s="828" t="s">
        <v>1352</v>
      </c>
      <c r="C19" s="949">
        <v>1</v>
      </c>
      <c r="D19" s="950">
        <v>0</v>
      </c>
      <c r="E19" s="950">
        <v>0</v>
      </c>
      <c r="F19" s="698"/>
      <c r="G19" s="698"/>
      <c r="H19" s="698"/>
      <c r="I19" s="698"/>
      <c r="J19" s="704"/>
      <c r="K19" s="704"/>
      <c r="L19" s="704"/>
      <c r="M19" s="698"/>
      <c r="N19" s="704"/>
      <c r="O19" s="704"/>
      <c r="P19" s="704"/>
      <c r="Q19" s="698"/>
      <c r="R19" s="704"/>
      <c r="S19" s="704"/>
      <c r="T19" s="704"/>
      <c r="U19" s="698"/>
    </row>
    <row r="20" spans="1:21" ht="18.75" customHeight="1">
      <c r="A20" s="749">
        <v>4</v>
      </c>
      <c r="B20" s="452" t="s">
        <v>210</v>
      </c>
      <c r="C20" s="949">
        <v>1</v>
      </c>
      <c r="D20" s="950">
        <v>0</v>
      </c>
      <c r="E20" s="950">
        <v>0</v>
      </c>
      <c r="F20" s="698">
        <f>C20*'F1'!$D28</f>
        <v>380.04</v>
      </c>
      <c r="G20" s="698">
        <f>D20*'F1'!$D28</f>
        <v>0</v>
      </c>
      <c r="H20" s="698">
        <f>E20*'F1'!$D28</f>
        <v>0</v>
      </c>
      <c r="I20" s="698">
        <f t="shared" si="0"/>
        <v>380.04</v>
      </c>
      <c r="J20" s="704">
        <f>C20*'F1'!$G28</f>
        <v>802.73970049454192</v>
      </c>
      <c r="K20" s="704">
        <f>D20*'F1'!$G28</f>
        <v>0</v>
      </c>
      <c r="L20" s="704">
        <f>E20*'F1'!$G28</f>
        <v>0</v>
      </c>
      <c r="M20" s="698">
        <f t="shared" si="1"/>
        <v>802.73970049454192</v>
      </c>
      <c r="N20" s="704">
        <f>C20*'F1'!$H28</f>
        <v>900.8171365948831</v>
      </c>
      <c r="O20" s="704">
        <f>D20*'F1'!$H28</f>
        <v>0</v>
      </c>
      <c r="P20" s="704">
        <f>E20*'F1'!$H28</f>
        <v>0</v>
      </c>
      <c r="Q20" s="698">
        <f t="shared" si="2"/>
        <v>900.8171365948831</v>
      </c>
      <c r="R20" s="704">
        <f>C20*'F1'!$I28</f>
        <v>986.25893648569877</v>
      </c>
      <c r="S20" s="704">
        <f>D20*'F1'!$I28</f>
        <v>0</v>
      </c>
      <c r="T20" s="704">
        <f>E20*'F1'!$I28</f>
        <v>0</v>
      </c>
      <c r="U20" s="698">
        <f t="shared" si="3"/>
        <v>986.25893648569877</v>
      </c>
    </row>
    <row r="21" spans="1:21" ht="18.75" customHeight="1">
      <c r="A21" s="749">
        <v>5</v>
      </c>
      <c r="B21" s="757" t="s">
        <v>1281</v>
      </c>
      <c r="C21" s="950">
        <v>1</v>
      </c>
      <c r="D21" s="950">
        <v>0</v>
      </c>
      <c r="E21" s="950">
        <v>0</v>
      </c>
      <c r="F21" s="698">
        <f>C21*'F1'!$D29</f>
        <v>381.98</v>
      </c>
      <c r="G21" s="698">
        <f>D21*'F1'!$D29</f>
        <v>0</v>
      </c>
      <c r="H21" s="698">
        <f>E21*'F1'!$D29</f>
        <v>0</v>
      </c>
      <c r="I21" s="698">
        <f t="shared" si="0"/>
        <v>381.98</v>
      </c>
      <c r="J21" s="704">
        <f>C21*'F1'!$G29</f>
        <v>617.18066101639647</v>
      </c>
      <c r="K21" s="704">
        <f>D21*'F1'!$G29</f>
        <v>0</v>
      </c>
      <c r="L21" s="704">
        <f>E21*'F1'!$G29</f>
        <v>0</v>
      </c>
      <c r="M21" s="698">
        <f t="shared" si="1"/>
        <v>617.18066101639647</v>
      </c>
      <c r="N21" s="704">
        <f>C21*'F1'!$H29</f>
        <v>562.92331991712695</v>
      </c>
      <c r="O21" s="704">
        <f>D21*'F1'!$H29</f>
        <v>0</v>
      </c>
      <c r="P21" s="704">
        <f>E21*'F1'!$H29</f>
        <v>0</v>
      </c>
      <c r="Q21" s="698">
        <f t="shared" si="2"/>
        <v>562.92331991712695</v>
      </c>
      <c r="R21" s="704">
        <f>C21*'F1'!$I29</f>
        <v>578.4811138589489</v>
      </c>
      <c r="S21" s="704">
        <f>D21*'F1'!$I29</f>
        <v>0</v>
      </c>
      <c r="T21" s="704">
        <f>E21*'F1'!$I29</f>
        <v>0</v>
      </c>
      <c r="U21" s="698">
        <f t="shared" si="3"/>
        <v>578.4811138589489</v>
      </c>
    </row>
    <row r="22" spans="1:21" ht="43.5">
      <c r="A22" s="749">
        <v>6</v>
      </c>
      <c r="B22" s="624" t="s">
        <v>858</v>
      </c>
      <c r="C22" s="950">
        <v>0.7</v>
      </c>
      <c r="D22" s="950">
        <v>0.2</v>
      </c>
      <c r="E22" s="950">
        <v>0.1</v>
      </c>
      <c r="F22" s="698">
        <f>C22*'F1'!$D30</f>
        <v>16.974999999999998</v>
      </c>
      <c r="G22" s="698">
        <f>D22*'F1'!$D30</f>
        <v>4.8500000000000005</v>
      </c>
      <c r="H22" s="698">
        <f>E22*'F1'!$D30</f>
        <v>2.4250000000000003</v>
      </c>
      <c r="I22" s="698">
        <f t="shared" si="0"/>
        <v>24.25</v>
      </c>
      <c r="J22" s="704">
        <f>C22*'F1'!$G30</f>
        <v>13.964575099999999</v>
      </c>
      <c r="K22" s="704">
        <f>D22*'F1'!$G30</f>
        <v>3.9898786000000004</v>
      </c>
      <c r="L22" s="704">
        <f>E22*'F1'!$G30</f>
        <v>1.9949393000000002</v>
      </c>
      <c r="M22" s="698">
        <f t="shared" si="1"/>
        <v>19.949392999999997</v>
      </c>
      <c r="N22" s="704">
        <f>C22*'F1'!$H30</f>
        <v>14.781099912052346</v>
      </c>
      <c r="O22" s="704">
        <f>D22*'F1'!$H30</f>
        <v>4.2231714034435281</v>
      </c>
      <c r="P22" s="704">
        <f>E22*'F1'!$H30</f>
        <v>2.1115857017217641</v>
      </c>
      <c r="Q22" s="698">
        <f t="shared" si="2"/>
        <v>21.115857017217639</v>
      </c>
      <c r="R22" s="704">
        <f>C22*'F1'!$I30</f>
        <v>15.974556294073643</v>
      </c>
      <c r="S22" s="704">
        <f>D22*'F1'!$I30</f>
        <v>4.5641589411638988</v>
      </c>
      <c r="T22" s="704">
        <f>E22*'F1'!$I30</f>
        <v>2.2820794705819494</v>
      </c>
      <c r="U22" s="698">
        <f t="shared" si="3"/>
        <v>22.820794705819491</v>
      </c>
    </row>
    <row r="23" spans="1:21" ht="14.5">
      <c r="A23" s="749"/>
      <c r="B23" s="828" t="s">
        <v>1353</v>
      </c>
      <c r="C23" s="949">
        <v>0.25</v>
      </c>
      <c r="D23" s="949">
        <v>0.25</v>
      </c>
      <c r="E23" s="949">
        <v>0.5</v>
      </c>
      <c r="F23" s="698"/>
      <c r="G23" s="698"/>
      <c r="H23" s="698"/>
      <c r="I23" s="698"/>
      <c r="J23" s="704"/>
      <c r="K23" s="704"/>
      <c r="L23" s="704"/>
      <c r="M23" s="698"/>
      <c r="N23" s="704"/>
      <c r="O23" s="704"/>
      <c r="P23" s="704"/>
      <c r="Q23" s="698"/>
      <c r="R23" s="704"/>
      <c r="S23" s="704"/>
      <c r="T23" s="704"/>
      <c r="U23" s="698"/>
    </row>
    <row r="24" spans="1:21" ht="18.75" customHeight="1">
      <c r="A24" s="749">
        <v>7</v>
      </c>
      <c r="B24" s="757" t="s">
        <v>523</v>
      </c>
      <c r="C24" s="949">
        <f>C21</f>
        <v>1</v>
      </c>
      <c r="D24" s="949">
        <f>D21</f>
        <v>0</v>
      </c>
      <c r="E24" s="949">
        <f>E21</f>
        <v>0</v>
      </c>
      <c r="F24" s="698">
        <f>C24*'F1'!$D32</f>
        <v>231.8888106</v>
      </c>
      <c r="G24" s="698">
        <f>D24*'F1'!$D32</f>
        <v>0</v>
      </c>
      <c r="H24" s="698">
        <f>E24*'F1'!$D32</f>
        <v>0</v>
      </c>
      <c r="I24" s="698">
        <f t="shared" si="0"/>
        <v>231.8888106</v>
      </c>
      <c r="J24" s="704">
        <f>C24*'F1'!$G32</f>
        <v>145.06998227826213</v>
      </c>
      <c r="K24" s="704">
        <f>D24*'F1'!$G32</f>
        <v>0</v>
      </c>
      <c r="L24" s="704">
        <f>E24*'F1'!$G32</f>
        <v>0</v>
      </c>
      <c r="M24" s="698">
        <f t="shared" si="1"/>
        <v>145.06998227826213</v>
      </c>
      <c r="N24" s="704">
        <f>C24*'F1'!$H32</f>
        <v>190.67720755522134</v>
      </c>
      <c r="O24" s="704">
        <f>D24*'F1'!$H32</f>
        <v>0</v>
      </c>
      <c r="P24" s="704">
        <f>E24*'F1'!$H32</f>
        <v>0</v>
      </c>
      <c r="Q24" s="698">
        <f t="shared" si="2"/>
        <v>190.67720755522134</v>
      </c>
      <c r="R24" s="704">
        <f>C24*'F1'!$I32</f>
        <v>194.60098587743801</v>
      </c>
      <c r="S24" s="704">
        <f>D24*'F1'!$I32</f>
        <v>0</v>
      </c>
      <c r="T24" s="704">
        <f>E24*'F1'!$I32</f>
        <v>0</v>
      </c>
      <c r="U24" s="698">
        <f t="shared" si="3"/>
        <v>194.60098587743801</v>
      </c>
    </row>
    <row r="25" spans="1:21" ht="18.75" customHeight="1">
      <c r="A25" s="749">
        <v>8</v>
      </c>
      <c r="B25" s="757" t="s">
        <v>1288</v>
      </c>
      <c r="C25" s="949">
        <f>C23</f>
        <v>0.25</v>
      </c>
      <c r="D25" s="949">
        <f>D23</f>
        <v>0.25</v>
      </c>
      <c r="E25" s="949">
        <f>E23</f>
        <v>0.5</v>
      </c>
      <c r="F25" s="698">
        <f>C25*'F1'!$D33</f>
        <v>41.151524999999999</v>
      </c>
      <c r="G25" s="698">
        <f>D25*'F1'!$D33</f>
        <v>41.151524999999999</v>
      </c>
      <c r="H25" s="698">
        <f>E25*'F1'!$D33</f>
        <v>82.303049999999999</v>
      </c>
      <c r="I25" s="698">
        <f t="shared" si="0"/>
        <v>164.6061</v>
      </c>
      <c r="J25" s="704">
        <f>C25*'F1'!$G33</f>
        <v>43.815575000000003</v>
      </c>
      <c r="K25" s="704">
        <f>D25*'F1'!$G33</f>
        <v>43.815575000000003</v>
      </c>
      <c r="L25" s="704">
        <f>E25*'F1'!$G33</f>
        <v>87.631150000000005</v>
      </c>
      <c r="M25" s="698">
        <f t="shared" si="1"/>
        <v>175.26230000000001</v>
      </c>
      <c r="N25" s="704">
        <f>C25*'F1'!$H33</f>
        <v>67.346348929338333</v>
      </c>
      <c r="O25" s="704">
        <f>D25*'F1'!$H33</f>
        <v>67.346348929338333</v>
      </c>
      <c r="P25" s="704">
        <f>E25*'F1'!$H33</f>
        <v>134.69269785867667</v>
      </c>
      <c r="Q25" s="698">
        <f t="shared" si="2"/>
        <v>269.38539571735333</v>
      </c>
      <c r="R25" s="704">
        <f>C25*'F1'!$I33</f>
        <v>68.611685242269729</v>
      </c>
      <c r="S25" s="704">
        <f>D25*'F1'!$I33</f>
        <v>68.611685242269729</v>
      </c>
      <c r="T25" s="704">
        <f>E25*'F1'!$I33</f>
        <v>137.22337048453946</v>
      </c>
      <c r="U25" s="698">
        <f t="shared" si="3"/>
        <v>274.44674096907892</v>
      </c>
    </row>
    <row r="26" spans="1:21" ht="29">
      <c r="A26" s="749">
        <v>9</v>
      </c>
      <c r="B26" s="757" t="s">
        <v>29</v>
      </c>
      <c r="C26" s="949">
        <f>C25</f>
        <v>0.25</v>
      </c>
      <c r="D26" s="949">
        <f>D25</f>
        <v>0.25</v>
      </c>
      <c r="E26" s="949">
        <f>E25</f>
        <v>0.5</v>
      </c>
      <c r="F26" s="698">
        <f>C26*'F1'!$D34</f>
        <v>0</v>
      </c>
      <c r="G26" s="698">
        <f>D26*'F1'!$D34</f>
        <v>0</v>
      </c>
      <c r="H26" s="698">
        <f>E26*'F1'!$D34</f>
        <v>0</v>
      </c>
      <c r="I26" s="698">
        <f t="shared" si="0"/>
        <v>0</v>
      </c>
      <c r="J26" s="704">
        <f>C26*'F1'!$G34</f>
        <v>0</v>
      </c>
      <c r="K26" s="704">
        <f>D26*'F1'!$G34</f>
        <v>0</v>
      </c>
      <c r="L26" s="704">
        <f>E26*'F1'!$G34</f>
        <v>0</v>
      </c>
      <c r="M26" s="698">
        <f t="shared" si="1"/>
        <v>0</v>
      </c>
      <c r="N26" s="704">
        <f>C26*'F1'!$H34</f>
        <v>0</v>
      </c>
      <c r="O26" s="704">
        <f>D26*'F1'!$H34</f>
        <v>0</v>
      </c>
      <c r="P26" s="704">
        <f>E26*'F1'!$H34</f>
        <v>0</v>
      </c>
      <c r="Q26" s="698">
        <f t="shared" si="2"/>
        <v>0</v>
      </c>
      <c r="R26" s="704">
        <f>C26*'F1'!$I34</f>
        <v>0</v>
      </c>
      <c r="S26" s="704">
        <f>D26*'F1'!$I34</f>
        <v>0</v>
      </c>
      <c r="T26" s="704">
        <f>E26*'F1'!$I34</f>
        <v>0</v>
      </c>
      <c r="U26" s="698">
        <f t="shared" si="3"/>
        <v>0</v>
      </c>
    </row>
    <row r="27" spans="1:21" ht="18.75" customHeight="1">
      <c r="A27" s="749">
        <v>10</v>
      </c>
      <c r="B27" s="757" t="s">
        <v>34</v>
      </c>
      <c r="C27" s="949">
        <v>1</v>
      </c>
      <c r="D27" s="950">
        <v>0</v>
      </c>
      <c r="E27" s="950">
        <v>0</v>
      </c>
      <c r="F27" s="698">
        <f>C27*'F1'!$D35</f>
        <v>476.32319999999999</v>
      </c>
      <c r="G27" s="698">
        <f>D27*'F1'!$D35</f>
        <v>0</v>
      </c>
      <c r="H27" s="698">
        <f>E27*'F1'!$D35</f>
        <v>0</v>
      </c>
      <c r="I27" s="698">
        <f t="shared" si="0"/>
        <v>476.32319999999999</v>
      </c>
      <c r="J27" s="704">
        <f ca="1">C27*'F1'!$G35</f>
        <v>573.82394105700007</v>
      </c>
      <c r="K27" s="704">
        <f ca="1">D27*'F1'!$G35</f>
        <v>0</v>
      </c>
      <c r="L27" s="704">
        <f ca="1">E27*'F1'!$G35</f>
        <v>0</v>
      </c>
      <c r="M27" s="698">
        <f t="shared" ca="1" si="1"/>
        <v>573.82394105700007</v>
      </c>
      <c r="N27" s="704">
        <f ca="1">C27*'F1'!$H35</f>
        <v>654.58750305223157</v>
      </c>
      <c r="O27" s="704">
        <f ca="1">D27*'F1'!$H35</f>
        <v>0</v>
      </c>
      <c r="P27" s="704">
        <f ca="1">E27*'F1'!$H35</f>
        <v>0</v>
      </c>
      <c r="Q27" s="698">
        <f t="shared" ca="1" si="2"/>
        <v>654.58750305223157</v>
      </c>
      <c r="R27" s="704">
        <f ca="1">C27*'F1'!$I35</f>
        <v>727.67174627965994</v>
      </c>
      <c r="S27" s="704">
        <f ca="1">D27*'F1'!$I35</f>
        <v>0</v>
      </c>
      <c r="T27" s="704">
        <f ca="1">E27*'F1'!$I35</f>
        <v>0</v>
      </c>
      <c r="U27" s="698">
        <f t="shared" ca="1" si="3"/>
        <v>727.67174627965994</v>
      </c>
    </row>
    <row r="28" spans="1:21" ht="18.75" customHeight="1">
      <c r="A28" s="749">
        <v>11</v>
      </c>
      <c r="B28" s="757" t="s">
        <v>134</v>
      </c>
      <c r="C28" s="949">
        <v>1</v>
      </c>
      <c r="D28" s="950">
        <v>0</v>
      </c>
      <c r="E28" s="950">
        <v>0</v>
      </c>
      <c r="F28" s="698">
        <f>C28*'F1'!$D36</f>
        <v>0</v>
      </c>
      <c r="G28" s="698">
        <f>D28*'F1'!$D36</f>
        <v>0</v>
      </c>
      <c r="H28" s="698">
        <f>E28*'F1'!$D36</f>
        <v>0</v>
      </c>
      <c r="I28" s="698">
        <f t="shared" si="0"/>
        <v>0</v>
      </c>
      <c r="J28" s="704">
        <f>C28*'F1'!$G36</f>
        <v>0</v>
      </c>
      <c r="K28" s="704">
        <f>D28*'F1'!$G36</f>
        <v>0</v>
      </c>
      <c r="L28" s="704">
        <f>E28*'F1'!$G36</f>
        <v>0</v>
      </c>
      <c r="M28" s="698">
        <f t="shared" si="1"/>
        <v>0</v>
      </c>
      <c r="N28" s="704">
        <f>C28*'F1'!$H36</f>
        <v>0</v>
      </c>
      <c r="O28" s="704">
        <f>D28*'F1'!$H36</f>
        <v>0</v>
      </c>
      <c r="P28" s="704">
        <f>E28*'F1'!$H36</f>
        <v>0</v>
      </c>
      <c r="Q28" s="698">
        <f t="shared" si="2"/>
        <v>0</v>
      </c>
      <c r="R28" s="704">
        <f>C28*'F1'!$I36</f>
        <v>0</v>
      </c>
      <c r="S28" s="704">
        <f>D28*'F1'!$I36</f>
        <v>0</v>
      </c>
      <c r="T28" s="704">
        <f>E28*'F1'!$I36</f>
        <v>0</v>
      </c>
      <c r="U28" s="698">
        <f t="shared" si="3"/>
        <v>0</v>
      </c>
    </row>
    <row r="29" spans="1:21" s="763" customFormat="1" ht="18.75" customHeight="1">
      <c r="A29" s="786">
        <v>12</v>
      </c>
      <c r="B29" s="762" t="s">
        <v>211</v>
      </c>
      <c r="C29" s="949"/>
      <c r="D29" s="950"/>
      <c r="E29" s="950"/>
      <c r="F29" s="835">
        <f t="shared" ref="F29:T29" si="4">SUM(F10:F28)</f>
        <v>8979.0740755999996</v>
      </c>
      <c r="G29" s="835">
        <f t="shared" si="4"/>
        <v>6478.8510250000008</v>
      </c>
      <c r="H29" s="835">
        <f t="shared" si="4"/>
        <v>179.55680999999998</v>
      </c>
      <c r="I29" s="835">
        <f t="shared" si="0"/>
        <v>15637.481910600001</v>
      </c>
      <c r="J29" s="835">
        <f t="shared" ca="1" si="4"/>
        <v>10568.837486983783</v>
      </c>
      <c r="K29" s="835">
        <f t="shared" ca="1" si="4"/>
        <v>7385.085715816851</v>
      </c>
      <c r="L29" s="835">
        <f t="shared" ca="1" si="4"/>
        <v>268.92983206367603</v>
      </c>
      <c r="M29" s="835">
        <f t="shared" ca="1" si="1"/>
        <v>18222.853034864311</v>
      </c>
      <c r="N29" s="835">
        <f t="shared" ca="1" si="4"/>
        <v>10382.240436489048</v>
      </c>
      <c r="O29" s="835">
        <f t="shared" ca="1" si="4"/>
        <v>6579.5915036388806</v>
      </c>
      <c r="P29" s="835">
        <f t="shared" ca="1" si="4"/>
        <v>325.64686969303455</v>
      </c>
      <c r="Q29" s="835">
        <f t="shared" ca="1" si="2"/>
        <v>17287.478809820965</v>
      </c>
      <c r="R29" s="835">
        <f t="shared" ca="1" si="4"/>
        <v>10874.123821511885</v>
      </c>
      <c r="S29" s="835">
        <f t="shared" ca="1" si="4"/>
        <v>7257.6408264124084</v>
      </c>
      <c r="T29" s="835">
        <f t="shared" ca="1" si="4"/>
        <v>338.71353255611803</v>
      </c>
      <c r="U29" s="835">
        <f t="shared" ca="1" si="3"/>
        <v>18470.478180480412</v>
      </c>
    </row>
    <row r="30" spans="1:21" ht="18.75" customHeight="1">
      <c r="A30" s="749"/>
      <c r="B30" s="452" t="s">
        <v>142</v>
      </c>
      <c r="C30" s="951"/>
      <c r="D30" s="951"/>
      <c r="E30" s="951"/>
      <c r="F30" s="836"/>
      <c r="G30" s="698"/>
      <c r="H30" s="836"/>
      <c r="I30" s="698">
        <f t="shared" si="0"/>
        <v>0</v>
      </c>
      <c r="J30" s="735"/>
      <c r="K30" s="735"/>
      <c r="L30" s="735"/>
      <c r="M30" s="698">
        <f t="shared" si="1"/>
        <v>0</v>
      </c>
      <c r="N30" s="735"/>
      <c r="O30" s="735"/>
      <c r="P30" s="735"/>
      <c r="Q30" s="698">
        <f t="shared" si="2"/>
        <v>0</v>
      </c>
      <c r="R30" s="735"/>
      <c r="S30" s="735"/>
      <c r="T30" s="735"/>
      <c r="U30" s="698">
        <f t="shared" si="3"/>
        <v>0</v>
      </c>
    </row>
    <row r="31" spans="1:21" ht="18.75" customHeight="1">
      <c r="A31" s="749">
        <v>12</v>
      </c>
      <c r="B31" s="757" t="s">
        <v>131</v>
      </c>
      <c r="C31" s="952"/>
      <c r="D31" s="952"/>
      <c r="E31" s="952"/>
      <c r="F31" s="835">
        <f>C31*'F1'!$D40</f>
        <v>0</v>
      </c>
      <c r="G31" s="835">
        <f>D31*'F1'!$D40</f>
        <v>0</v>
      </c>
      <c r="H31" s="835">
        <f>E31*'F1'!$D40</f>
        <v>0</v>
      </c>
      <c r="I31" s="698">
        <f t="shared" si="0"/>
        <v>0</v>
      </c>
      <c r="J31" s="704">
        <f>C31*'F1'!$G40</f>
        <v>0</v>
      </c>
      <c r="K31" s="704">
        <f>D31*'F1'!$G40</f>
        <v>0</v>
      </c>
      <c r="L31" s="704">
        <f>E31*'F1'!$G40</f>
        <v>0</v>
      </c>
      <c r="M31" s="698">
        <f t="shared" si="1"/>
        <v>0</v>
      </c>
      <c r="N31" s="735">
        <f>C32*'F1'!$H40</f>
        <v>0</v>
      </c>
      <c r="O31" s="735">
        <f>D32*'F1'!$H40</f>
        <v>0</v>
      </c>
      <c r="P31" s="735">
        <f>E32*'F1'!$H40</f>
        <v>0</v>
      </c>
      <c r="Q31" s="698">
        <f t="shared" si="2"/>
        <v>0</v>
      </c>
      <c r="R31" s="704">
        <f>C31*'F1'!$I40</f>
        <v>0</v>
      </c>
      <c r="S31" s="704">
        <f>D31*'F1'!$I40</f>
        <v>0</v>
      </c>
      <c r="T31" s="704">
        <f>E31*'F1'!$I40</f>
        <v>0</v>
      </c>
      <c r="U31" s="698">
        <f t="shared" si="3"/>
        <v>0</v>
      </c>
    </row>
    <row r="32" spans="1:21" ht="18.75" customHeight="1">
      <c r="A32" s="749">
        <v>13</v>
      </c>
      <c r="B32" s="757" t="s">
        <v>135</v>
      </c>
      <c r="C32" s="949">
        <v>1</v>
      </c>
      <c r="D32" s="950">
        <v>0</v>
      </c>
      <c r="E32" s="950">
        <v>0</v>
      </c>
      <c r="F32" s="698">
        <f>C32*'F1'!$D41</f>
        <v>284.31</v>
      </c>
      <c r="G32" s="835">
        <f>D32*'F1'!$D41</f>
        <v>0</v>
      </c>
      <c r="H32" s="835">
        <f>E32*'F1'!$D41</f>
        <v>0</v>
      </c>
      <c r="I32" s="698">
        <f t="shared" si="0"/>
        <v>284.31</v>
      </c>
      <c r="J32" s="704">
        <f>C32*'F1'!$G41</f>
        <v>90.04859802499999</v>
      </c>
      <c r="K32" s="704">
        <f>D32*'F1'!$G41</f>
        <v>0</v>
      </c>
      <c r="L32" s="704">
        <f>E32*'F1'!$G41</f>
        <v>0</v>
      </c>
      <c r="M32" s="698">
        <f t="shared" si="1"/>
        <v>90.04859802499999</v>
      </c>
      <c r="N32" s="704">
        <f>C33*'F1'!$H41</f>
        <v>0</v>
      </c>
      <c r="O32" s="704">
        <f>D33*'F1'!$H41</f>
        <v>28.901653399999987</v>
      </c>
      <c r="P32" s="704">
        <f>E33*'F1'!$H41</f>
        <v>0</v>
      </c>
      <c r="Q32" s="698">
        <f t="shared" si="2"/>
        <v>28.901653399999987</v>
      </c>
      <c r="R32" s="704">
        <f>C32*'F1'!$I41</f>
        <v>28.901653399999987</v>
      </c>
      <c r="S32" s="704">
        <f>D32*'F1'!$I41</f>
        <v>0</v>
      </c>
      <c r="T32" s="704">
        <f>E32*'F1'!$I41</f>
        <v>0</v>
      </c>
      <c r="U32" s="698">
        <f t="shared" si="3"/>
        <v>28.901653399999987</v>
      </c>
    </row>
    <row r="33" spans="1:21" ht="18.75" customHeight="1">
      <c r="A33" s="749">
        <v>14</v>
      </c>
      <c r="B33" s="759" t="s">
        <v>506</v>
      </c>
      <c r="C33" s="949">
        <v>0</v>
      </c>
      <c r="D33" s="950">
        <v>1</v>
      </c>
      <c r="E33" s="949">
        <v>0</v>
      </c>
      <c r="F33" s="698">
        <f>C33*'F1'!$D42</f>
        <v>0</v>
      </c>
      <c r="G33" s="835">
        <f>D33*'F1'!$D42</f>
        <v>0.56999999999999995</v>
      </c>
      <c r="H33" s="835">
        <f>E33*'F1'!$D42</f>
        <v>0</v>
      </c>
      <c r="I33" s="698">
        <f t="shared" si="0"/>
        <v>0.56999999999999995</v>
      </c>
      <c r="J33" s="704">
        <f>C33*'F1'!$G42</f>
        <v>0</v>
      </c>
      <c r="K33" s="704">
        <f>D33*'F1'!$G42</f>
        <v>0</v>
      </c>
      <c r="L33" s="704">
        <f>E33*'F1'!$G42</f>
        <v>0</v>
      </c>
      <c r="M33" s="698">
        <f t="shared" si="1"/>
        <v>0</v>
      </c>
      <c r="N33" s="735">
        <f>C34*'F1'!$H42</f>
        <v>0</v>
      </c>
      <c r="O33" s="735">
        <f>D34*'F1'!$H42</f>
        <v>0</v>
      </c>
      <c r="P33" s="735">
        <f>E34*'F1'!$H42</f>
        <v>0</v>
      </c>
      <c r="Q33" s="698">
        <f t="shared" si="2"/>
        <v>0</v>
      </c>
      <c r="R33" s="704">
        <f>C33*'F1'!$I42</f>
        <v>0</v>
      </c>
      <c r="S33" s="704">
        <f>D33*'F1'!$I42</f>
        <v>0</v>
      </c>
      <c r="T33" s="704">
        <f>E33*'F1'!$I42</f>
        <v>0</v>
      </c>
      <c r="U33" s="698">
        <f t="shared" si="3"/>
        <v>0</v>
      </c>
    </row>
    <row r="34" spans="1:21" ht="18.75" customHeight="1">
      <c r="A34" s="749">
        <v>15</v>
      </c>
      <c r="B34" s="758" t="s">
        <v>211</v>
      </c>
      <c r="C34" s="834"/>
      <c r="D34" s="834"/>
      <c r="E34" s="834"/>
      <c r="F34" s="835">
        <f>SUM(F31:F33)</f>
        <v>284.31</v>
      </c>
      <c r="G34" s="835">
        <f>SUM(G31:G33)</f>
        <v>0.56999999999999995</v>
      </c>
      <c r="H34" s="835">
        <f>SUM(H31:H33)</f>
        <v>0</v>
      </c>
      <c r="I34" s="698">
        <f t="shared" si="0"/>
        <v>284.88</v>
      </c>
      <c r="J34" s="704">
        <f>C34*'F1'!$G43</f>
        <v>0</v>
      </c>
      <c r="K34" s="704">
        <f>D34*'F1'!$G43</f>
        <v>0</v>
      </c>
      <c r="L34" s="704">
        <f>E34*'F1'!$G43</f>
        <v>0</v>
      </c>
      <c r="M34" s="698">
        <f t="shared" si="1"/>
        <v>0</v>
      </c>
      <c r="N34" s="735">
        <f>C35*'F1'!$H43</f>
        <v>0</v>
      </c>
      <c r="O34" s="735">
        <f>D35*'F1'!$H43</f>
        <v>0</v>
      </c>
      <c r="P34" s="735">
        <f>E35*'F1'!$H43</f>
        <v>0</v>
      </c>
      <c r="Q34" s="698">
        <f t="shared" si="2"/>
        <v>0</v>
      </c>
      <c r="R34" s="704">
        <f>C34*'F1'!$I43</f>
        <v>0</v>
      </c>
      <c r="S34" s="704">
        <f>D34*'F1'!$I43</f>
        <v>0</v>
      </c>
      <c r="T34" s="704">
        <f>E34*'F1'!$I43</f>
        <v>0</v>
      </c>
      <c r="U34" s="698">
        <f t="shared" si="3"/>
        <v>0</v>
      </c>
    </row>
    <row r="35" spans="1:21" s="748" customFormat="1" ht="18.75" customHeight="1">
      <c r="A35" s="787">
        <v>16</v>
      </c>
      <c r="B35" s="760" t="s">
        <v>212</v>
      </c>
      <c r="C35" s="837"/>
      <c r="D35" s="837"/>
      <c r="E35" s="837"/>
      <c r="F35" s="835">
        <f>F29-F34</f>
        <v>8694.7640756000001</v>
      </c>
      <c r="G35" s="835">
        <f t="shared" ref="G35:U35" si="5">G29-G34</f>
        <v>6478.2810250000011</v>
      </c>
      <c r="H35" s="835">
        <f t="shared" si="5"/>
        <v>179.55680999999998</v>
      </c>
      <c r="I35" s="835">
        <f t="shared" si="5"/>
        <v>15352.601910600002</v>
      </c>
      <c r="J35" s="835">
        <f t="shared" ca="1" si="5"/>
        <v>10568.837486983783</v>
      </c>
      <c r="K35" s="835">
        <f t="shared" ca="1" si="5"/>
        <v>7385.085715816851</v>
      </c>
      <c r="L35" s="835">
        <f t="shared" ca="1" si="5"/>
        <v>268.92983206367603</v>
      </c>
      <c r="M35" s="835">
        <f t="shared" ca="1" si="5"/>
        <v>18222.853034864311</v>
      </c>
      <c r="N35" s="835">
        <f t="shared" ca="1" si="5"/>
        <v>10382.240436489048</v>
      </c>
      <c r="O35" s="835">
        <f t="shared" ca="1" si="5"/>
        <v>6579.5915036388806</v>
      </c>
      <c r="P35" s="835">
        <f t="shared" ca="1" si="5"/>
        <v>325.64686969303455</v>
      </c>
      <c r="Q35" s="835">
        <f t="shared" ca="1" si="5"/>
        <v>17287.478809820965</v>
      </c>
      <c r="R35" s="835">
        <f t="shared" ca="1" si="5"/>
        <v>10874.123821511885</v>
      </c>
      <c r="S35" s="835">
        <f t="shared" ca="1" si="5"/>
        <v>7257.6408264124084</v>
      </c>
      <c r="T35" s="835">
        <f t="shared" ca="1" si="5"/>
        <v>338.71353255611803</v>
      </c>
      <c r="U35" s="835">
        <f t="shared" ca="1" si="5"/>
        <v>18470.478180480412</v>
      </c>
    </row>
    <row r="36" spans="1:21" ht="18.75" customHeight="1">
      <c r="B36" s="559" t="s">
        <v>1331</v>
      </c>
      <c r="C36" s="761"/>
      <c r="D36" s="761"/>
      <c r="E36" s="761"/>
    </row>
    <row r="40" spans="1:21" ht="18.75" customHeight="1">
      <c r="S40" s="3052"/>
      <c r="T40" s="3052"/>
      <c r="U40" s="3052"/>
    </row>
  </sheetData>
  <mergeCells count="20">
    <mergeCell ref="S40:U40"/>
    <mergeCell ref="J5:M5"/>
    <mergeCell ref="F5:I5"/>
    <mergeCell ref="R5:U5"/>
    <mergeCell ref="F7:I7"/>
    <mergeCell ref="N6:Q6"/>
    <mergeCell ref="R7:U7"/>
    <mergeCell ref="N5:Q5"/>
    <mergeCell ref="F6:I6"/>
    <mergeCell ref="J7:M7"/>
    <mergeCell ref="A1:B1"/>
    <mergeCell ref="N3:O3"/>
    <mergeCell ref="R6:U6"/>
    <mergeCell ref="T4:U4"/>
    <mergeCell ref="N4:O4"/>
    <mergeCell ref="A5:A8"/>
    <mergeCell ref="B5:B8"/>
    <mergeCell ref="N7:Q7"/>
    <mergeCell ref="J6:M6"/>
    <mergeCell ref="C5:E7"/>
  </mergeCells>
  <pageMargins left="0.19685039370078741" right="0.19685039370078741" top="0.19685039370078741" bottom="0.19685039370078741" header="0.19685039370078741" footer="0.19685039370078741"/>
  <pageSetup paperSize="9" scale="6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view="pageBreakPreview" zoomScale="85" zoomScaleSheetLayoutView="85" workbookViewId="0">
      <selection activeCell="C105" sqref="C105"/>
    </sheetView>
  </sheetViews>
  <sheetFormatPr defaultColWidth="9.1796875" defaultRowHeight="17.25" customHeight="1"/>
  <cols>
    <col min="1" max="1" width="7" style="163" customWidth="1"/>
    <col min="2" max="2" width="32.54296875" style="163" customWidth="1"/>
    <col min="3" max="3" width="12.1796875" style="163" customWidth="1"/>
    <col min="4" max="5" width="9.81640625" style="163" bestFit="1" customWidth="1"/>
    <col min="6" max="6" width="11.7265625" style="163" bestFit="1" customWidth="1"/>
    <col min="7" max="7" width="13.1796875" style="163" customWidth="1"/>
    <col min="8" max="8" width="16.1796875" style="163" customWidth="1"/>
    <col min="9" max="10" width="13.1796875" style="163" customWidth="1"/>
    <col min="11" max="11" width="17.81640625" style="163" customWidth="1"/>
    <col min="12" max="13" width="13.1796875" style="163" customWidth="1"/>
    <col min="14" max="16384" width="9.1796875" style="163"/>
  </cols>
  <sheetData>
    <row r="1" spans="1:13" ht="17.25" customHeight="1">
      <c r="A1" s="3314" t="s">
        <v>912</v>
      </c>
      <c r="B1" s="3314"/>
      <c r="C1" s="388"/>
      <c r="D1" s="388"/>
      <c r="E1" s="388"/>
      <c r="F1" s="388"/>
    </row>
    <row r="2" spans="1:13" ht="17.25" customHeight="1">
      <c r="A2" s="3286" t="s">
        <v>1604</v>
      </c>
      <c r="B2" s="3286"/>
      <c r="C2" s="3286"/>
      <c r="D2" s="3286"/>
      <c r="E2" s="3286"/>
      <c r="F2" s="3286"/>
      <c r="G2" s="3286"/>
      <c r="H2" s="3286"/>
      <c r="I2" s="3286"/>
      <c r="J2" s="3286"/>
    </row>
    <row r="3" spans="1:13" ht="17.25" customHeight="1">
      <c r="A3" s="573" t="s">
        <v>11</v>
      </c>
      <c r="B3" s="573"/>
      <c r="C3" s="573"/>
      <c r="D3" s="573"/>
      <c r="E3" s="573"/>
      <c r="F3" s="573"/>
      <c r="G3" s="573"/>
      <c r="H3" s="573"/>
      <c r="I3" s="3330"/>
      <c r="J3" s="3330"/>
      <c r="K3" s="3330"/>
      <c r="L3" s="3330"/>
      <c r="M3" s="925"/>
    </row>
    <row r="4" spans="1:13" ht="17.25" customHeight="1">
      <c r="A4" s="81"/>
      <c r="B4" s="164"/>
      <c r="C4" s="164"/>
      <c r="D4" s="164"/>
      <c r="E4" s="164"/>
      <c r="F4" s="164"/>
      <c r="H4" s="81"/>
      <c r="I4" s="3075"/>
      <c r="J4" s="3075"/>
      <c r="K4" s="3075" t="s">
        <v>141</v>
      </c>
      <c r="L4" s="3075"/>
      <c r="M4" s="924"/>
    </row>
    <row r="5" spans="1:13" ht="28.5" customHeight="1">
      <c r="A5" s="3440" t="s">
        <v>117</v>
      </c>
      <c r="B5" s="3316" t="s">
        <v>14</v>
      </c>
      <c r="C5" s="3044" t="s">
        <v>1583</v>
      </c>
      <c r="D5" s="3045"/>
      <c r="E5" s="3045"/>
      <c r="F5" s="3045"/>
      <c r="G5" s="3414"/>
      <c r="H5" s="3074" t="s">
        <v>542</v>
      </c>
      <c r="I5" s="3074"/>
      <c r="J5" s="3074"/>
      <c r="K5" s="3057" t="s">
        <v>550</v>
      </c>
      <c r="L5" s="3059"/>
      <c r="M5" s="1308" t="s">
        <v>952</v>
      </c>
    </row>
    <row r="6" spans="1:13" ht="17.25" customHeight="1">
      <c r="A6" s="3440"/>
      <c r="B6" s="3316"/>
      <c r="C6" s="928" t="s">
        <v>557</v>
      </c>
      <c r="D6" s="929" t="s">
        <v>556</v>
      </c>
      <c r="E6" s="929" t="s">
        <v>555</v>
      </c>
      <c r="F6" s="929" t="s">
        <v>553</v>
      </c>
      <c r="G6" s="929" t="s">
        <v>551</v>
      </c>
      <c r="H6" s="3415" t="s">
        <v>545</v>
      </c>
      <c r="I6" s="3416"/>
      <c r="J6" s="3417"/>
      <c r="K6" s="3412" t="s">
        <v>546</v>
      </c>
      <c r="L6" s="3412"/>
      <c r="M6" s="923" t="s">
        <v>547</v>
      </c>
    </row>
    <row r="7" spans="1:13" ht="17.25" customHeight="1">
      <c r="A7" s="3440"/>
      <c r="B7" s="3316"/>
      <c r="C7" s="382" t="s">
        <v>554</v>
      </c>
      <c r="D7" s="382" t="s">
        <v>554</v>
      </c>
      <c r="E7" s="382" t="s">
        <v>554</v>
      </c>
      <c r="F7" s="382" t="s">
        <v>554</v>
      </c>
      <c r="G7" s="193" t="s">
        <v>554</v>
      </c>
      <c r="H7" s="200" t="s">
        <v>543</v>
      </c>
      <c r="I7" s="201" t="s">
        <v>281</v>
      </c>
      <c r="J7" s="201" t="s">
        <v>544</v>
      </c>
      <c r="K7" s="1023" t="s">
        <v>543</v>
      </c>
      <c r="L7" s="201" t="s">
        <v>283</v>
      </c>
      <c r="M7" s="201" t="s">
        <v>283</v>
      </c>
    </row>
    <row r="8" spans="1:13" ht="17.25" customHeight="1">
      <c r="A8" s="185" t="s">
        <v>57</v>
      </c>
      <c r="B8" s="166" t="s">
        <v>149</v>
      </c>
      <c r="C8" s="1342"/>
      <c r="D8" s="1342"/>
      <c r="E8" s="1342"/>
      <c r="F8" s="1342"/>
      <c r="G8" s="1522"/>
      <c r="H8" s="1055"/>
      <c r="I8" s="1055"/>
      <c r="J8" s="1055"/>
      <c r="K8" s="1522">
        <v>100</v>
      </c>
      <c r="L8" s="1522"/>
      <c r="M8" s="1522"/>
    </row>
    <row r="9" spans="1:13" ht="17.25" customHeight="1">
      <c r="A9" s="186"/>
      <c r="B9" s="168" t="s">
        <v>142</v>
      </c>
      <c r="C9" s="1119"/>
      <c r="D9" s="1119"/>
      <c r="E9" s="1119"/>
      <c r="F9" s="1119"/>
      <c r="G9" s="1522"/>
      <c r="H9" s="1055"/>
      <c r="I9" s="1055"/>
      <c r="J9" s="1055"/>
      <c r="K9" s="1522"/>
      <c r="L9" s="1522"/>
      <c r="M9" s="1522"/>
    </row>
    <row r="10" spans="1:13" ht="17.25" customHeight="1">
      <c r="A10" s="186"/>
      <c r="B10" s="168" t="s">
        <v>143</v>
      </c>
      <c r="C10" s="1119"/>
      <c r="D10" s="1119"/>
      <c r="E10" s="1119"/>
      <c r="F10" s="1119"/>
      <c r="G10" s="1522"/>
      <c r="H10" s="1055"/>
      <c r="I10" s="1055"/>
      <c r="J10" s="1055"/>
      <c r="K10" s="1522"/>
      <c r="L10" s="1522"/>
      <c r="M10" s="1522"/>
    </row>
    <row r="11" spans="1:13" ht="17.25" customHeight="1">
      <c r="A11" s="186"/>
      <c r="B11" s="168" t="s">
        <v>145</v>
      </c>
      <c r="C11" s="1119"/>
      <c r="D11" s="1119"/>
      <c r="E11" s="1119"/>
      <c r="F11" s="1119"/>
      <c r="G11" s="1522"/>
      <c r="H11" s="1055"/>
      <c r="I11" s="1055"/>
      <c r="J11" s="1055"/>
      <c r="K11" s="1522"/>
      <c r="L11" s="1522"/>
      <c r="M11" s="1522"/>
    </row>
    <row r="12" spans="1:13" ht="17.25" customHeight="1">
      <c r="A12" s="187"/>
      <c r="B12" s="168" t="s">
        <v>144</v>
      </c>
      <c r="C12" s="1119"/>
      <c r="D12" s="1119"/>
      <c r="E12" s="1119"/>
      <c r="F12" s="1119"/>
      <c r="G12" s="1522"/>
      <c r="H12" s="1055"/>
      <c r="I12" s="1055"/>
      <c r="J12" s="1055"/>
      <c r="K12" s="1522"/>
      <c r="L12" s="1522"/>
      <c r="M12" s="1522"/>
    </row>
    <row r="13" spans="1:13" ht="17.25" customHeight="1">
      <c r="A13" s="187"/>
      <c r="B13" s="166" t="s">
        <v>146</v>
      </c>
      <c r="C13" s="1342"/>
      <c r="D13" s="1342"/>
      <c r="E13" s="1342"/>
      <c r="F13" s="1342"/>
      <c r="G13" s="1465"/>
      <c r="H13" s="247"/>
      <c r="I13" s="247"/>
      <c r="J13" s="247"/>
      <c r="K13" s="1465"/>
      <c r="L13" s="1465"/>
      <c r="M13" s="1465"/>
    </row>
    <row r="14" spans="1:13" ht="17.25" customHeight="1">
      <c r="A14" s="187"/>
      <c r="B14" s="168" t="s">
        <v>63</v>
      </c>
      <c r="C14" s="1119"/>
      <c r="D14" s="1119"/>
      <c r="E14" s="1119"/>
      <c r="F14" s="1119"/>
      <c r="G14" s="1522"/>
      <c r="H14" s="1055"/>
      <c r="I14" s="1055"/>
      <c r="J14" s="1055"/>
      <c r="K14" s="1522"/>
      <c r="L14" s="1522"/>
      <c r="M14" s="1522"/>
    </row>
    <row r="15" spans="1:13" ht="17.25" customHeight="1">
      <c r="A15" s="187"/>
      <c r="B15" s="168" t="s">
        <v>147</v>
      </c>
      <c r="C15" s="1119"/>
      <c r="D15" s="1119"/>
      <c r="E15" s="1119"/>
      <c r="F15" s="1119"/>
      <c r="G15" s="1465"/>
      <c r="H15" s="247"/>
      <c r="I15" s="247"/>
      <c r="J15" s="247"/>
      <c r="K15" s="1465"/>
      <c r="L15" s="1465"/>
      <c r="M15" s="1465"/>
    </row>
    <row r="16" spans="1:13" ht="17.25" customHeight="1">
      <c r="A16" s="187"/>
      <c r="B16" s="168" t="s">
        <v>1293</v>
      </c>
      <c r="C16" s="1119"/>
      <c r="D16" s="1119"/>
      <c r="E16" s="1119"/>
      <c r="F16" s="1119"/>
      <c r="G16" s="1465"/>
      <c r="H16" s="247"/>
      <c r="I16" s="247"/>
      <c r="J16" s="247"/>
      <c r="K16" s="1465"/>
      <c r="L16" s="1465"/>
      <c r="M16" s="1465"/>
    </row>
    <row r="17" spans="1:13" ht="17.25" customHeight="1">
      <c r="A17" s="187"/>
      <c r="B17" s="168" t="s">
        <v>1294</v>
      </c>
      <c r="C17" s="1119"/>
      <c r="D17" s="1119"/>
      <c r="E17" s="1119"/>
      <c r="F17" s="1119"/>
      <c r="G17" s="1522"/>
      <c r="H17" s="1055"/>
      <c r="I17" s="1055"/>
      <c r="J17" s="1055"/>
      <c r="K17" s="1522"/>
      <c r="L17" s="1522"/>
      <c r="M17" s="1522"/>
    </row>
    <row r="18" spans="1:13" ht="17.25" customHeight="1">
      <c r="A18" s="187"/>
      <c r="B18" s="168" t="s">
        <v>883</v>
      </c>
      <c r="C18" s="1119"/>
      <c r="D18" s="1119"/>
      <c r="E18" s="1119"/>
      <c r="F18" s="1119"/>
      <c r="G18" s="1522"/>
      <c r="H18" s="1055"/>
      <c r="I18" s="1055"/>
      <c r="J18" s="1055"/>
      <c r="K18" s="1522"/>
      <c r="L18" s="1522"/>
      <c r="M18" s="1522"/>
    </row>
    <row r="19" spans="1:13" ht="17.25" customHeight="1">
      <c r="A19" s="188" t="s">
        <v>58</v>
      </c>
      <c r="B19" s="166" t="s">
        <v>34</v>
      </c>
      <c r="C19" s="1523" t="str">
        <f>'F32'!C13</f>
        <v>NA</v>
      </c>
      <c r="D19" s="1523" t="str">
        <f>'F32'!D13</f>
        <v>NA</v>
      </c>
      <c r="E19" s="1523">
        <f>'F32'!E13</f>
        <v>352.85712000000001</v>
      </c>
      <c r="F19" s="1523">
        <f>'F32'!F13</f>
        <v>383.38704000000013</v>
      </c>
      <c r="G19" s="1523">
        <f>'F32'!G13</f>
        <v>476.3224800000001</v>
      </c>
      <c r="H19" s="1077">
        <f>'F32'!H13</f>
        <v>436.91497499999997</v>
      </c>
      <c r="I19" s="1077">
        <f>'F32'!I13</f>
        <v>0</v>
      </c>
      <c r="J19" s="1077">
        <f ca="1">'F32'!J13</f>
        <v>573.82394105700007</v>
      </c>
      <c r="K19" s="1077">
        <f>'F32'!K13</f>
        <v>535.53697499999998</v>
      </c>
      <c r="L19" s="1077">
        <f ca="1">'F32'!L13</f>
        <v>654.58750305223168</v>
      </c>
      <c r="M19" s="1077">
        <f ca="1">'F32'!M13</f>
        <v>727.67174627965994</v>
      </c>
    </row>
    <row r="20" spans="1:13" ht="17.25" customHeight="1">
      <c r="A20" s="169"/>
      <c r="B20" s="168" t="s">
        <v>63</v>
      </c>
      <c r="C20" s="1464"/>
      <c r="D20" s="1464"/>
      <c r="E20" s="1466"/>
      <c r="F20" s="1466">
        <f>'F14'!D10</f>
        <v>0.34943999999999997</v>
      </c>
      <c r="G20" s="1466">
        <f>'F14'!E10</f>
        <v>0.34943999999999997</v>
      </c>
      <c r="H20" s="1466">
        <f>'F14'!F10</f>
        <v>0</v>
      </c>
      <c r="I20" s="1463"/>
      <c r="J20" s="1463"/>
      <c r="K20" s="1466">
        <f>'F14'!H10</f>
        <v>0</v>
      </c>
      <c r="L20" s="1466">
        <f>'F14'!I10</f>
        <v>0</v>
      </c>
      <c r="M20" s="1466">
        <f>'F14'!J10</f>
        <v>0</v>
      </c>
    </row>
    <row r="21" spans="1:13" ht="17.25" customHeight="1">
      <c r="A21" s="169"/>
      <c r="B21" s="168" t="s">
        <v>147</v>
      </c>
      <c r="C21" s="1464"/>
      <c r="D21" s="1464"/>
      <c r="E21" s="1464"/>
      <c r="F21" s="1072">
        <f t="shared" ref="F21:M21" si="0">F19*F20</f>
        <v>133.97076725760004</v>
      </c>
      <c r="G21" s="1072">
        <f t="shared" si="0"/>
        <v>166.44612741120002</v>
      </c>
      <c r="H21" s="1119">
        <f t="shared" si="0"/>
        <v>0</v>
      </c>
      <c r="I21" s="1119">
        <f t="shared" si="0"/>
        <v>0</v>
      </c>
      <c r="J21" s="1119">
        <f t="shared" ca="1" si="0"/>
        <v>0</v>
      </c>
      <c r="K21" s="1119">
        <f t="shared" si="0"/>
        <v>0</v>
      </c>
      <c r="L21" s="1119">
        <f t="shared" ca="1" si="0"/>
        <v>0</v>
      </c>
      <c r="M21" s="1119">
        <f t="shared" ca="1" si="0"/>
        <v>0</v>
      </c>
    </row>
    <row r="22" spans="1:13" ht="17.25" customHeight="1">
      <c r="A22" s="169"/>
      <c r="B22" s="168"/>
      <c r="C22" s="1464"/>
      <c r="D22" s="1464"/>
      <c r="E22" s="1464"/>
      <c r="F22" s="1464"/>
      <c r="G22" s="1462"/>
      <c r="H22" s="1463"/>
      <c r="I22" s="1463"/>
      <c r="J22" s="1463"/>
      <c r="K22" s="1462"/>
      <c r="L22" s="1462"/>
      <c r="M22" s="1462"/>
    </row>
    <row r="23" spans="1:13" ht="29.25" customHeight="1">
      <c r="A23" s="167"/>
      <c r="B23" s="147" t="s">
        <v>148</v>
      </c>
      <c r="C23" s="1342"/>
      <c r="D23" s="1342"/>
      <c r="E23" s="1342"/>
      <c r="F23" s="1342"/>
      <c r="G23" s="247"/>
      <c r="H23" s="247"/>
      <c r="I23" s="247"/>
      <c r="J23" s="247"/>
      <c r="K23" s="247"/>
      <c r="L23" s="247"/>
      <c r="M23" s="247"/>
    </row>
    <row r="24" spans="1:13" ht="17.25" customHeight="1">
      <c r="A24" s="165"/>
      <c r="B24" s="310"/>
      <c r="C24" s="310"/>
      <c r="D24" s="310"/>
      <c r="E24" s="310"/>
      <c r="F24" s="310"/>
      <c r="G24" s="310"/>
      <c r="H24" s="310"/>
      <c r="I24" s="310"/>
      <c r="J24" s="310"/>
    </row>
    <row r="26" spans="1:13" ht="17.25" customHeight="1">
      <c r="H26" s="2"/>
      <c r="I26" s="2"/>
      <c r="J26" s="2"/>
    </row>
  </sheetData>
  <mergeCells count="13">
    <mergeCell ref="K6:L6"/>
    <mergeCell ref="A1:B1"/>
    <mergeCell ref="H6:J6"/>
    <mergeCell ref="H5:J5"/>
    <mergeCell ref="A5:A7"/>
    <mergeCell ref="B5:B7"/>
    <mergeCell ref="I3:J3"/>
    <mergeCell ref="A2:J2"/>
    <mergeCell ref="I4:J4"/>
    <mergeCell ref="C5:G5"/>
    <mergeCell ref="K3:L3"/>
    <mergeCell ref="K4:L4"/>
    <mergeCell ref="K5:L5"/>
  </mergeCells>
  <printOptions horizontalCentered="1"/>
  <pageMargins left="0.19685039370078741" right="0.19685039370078741" top="0.19685039370078741" bottom="0.19685039370078741" header="0.19685039370078741" footer="0.19685039370078741"/>
  <pageSetup paperSize="9" scale="7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9"/>
  <sheetViews>
    <sheetView view="pageBreakPreview" zoomScale="98" zoomScaleSheetLayoutView="98" workbookViewId="0">
      <pane xSplit="2" ySplit="7" topLeftCell="C110"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7.453125" customWidth="1"/>
    <col min="2" max="2" width="53.1796875" bestFit="1" customWidth="1"/>
    <col min="3" max="6" width="9.81640625" style="386" bestFit="1" customWidth="1"/>
    <col min="7" max="7" width="13.1796875" customWidth="1"/>
    <col min="8" max="8" width="9.7265625" bestFit="1" customWidth="1"/>
    <col min="9" max="9" width="8.1796875" bestFit="1" customWidth="1"/>
    <col min="10" max="10" width="8.26953125" bestFit="1" customWidth="1"/>
    <col min="11" max="11" width="9.7265625" style="251" bestFit="1" customWidth="1"/>
    <col min="12" max="12" width="9.54296875" bestFit="1" customWidth="1"/>
    <col min="13" max="13" width="10" bestFit="1" customWidth="1"/>
  </cols>
  <sheetData>
    <row r="1" spans="1:13" s="251" customFormat="1">
      <c r="A1" s="1319" t="s">
        <v>411</v>
      </c>
      <c r="B1" s="1319" t="s">
        <v>411</v>
      </c>
      <c r="C1" s="396"/>
      <c r="D1" s="396"/>
      <c r="E1" s="396"/>
      <c r="F1" s="396"/>
    </row>
    <row r="2" spans="1:13">
      <c r="A2" s="1304" t="s">
        <v>1604</v>
      </c>
      <c r="B2" s="1304" t="s">
        <v>1604</v>
      </c>
      <c r="C2" s="715"/>
      <c r="D2" s="715"/>
      <c r="E2" s="715"/>
      <c r="F2" s="715"/>
      <c r="G2" s="715"/>
      <c r="H2" s="715"/>
      <c r="I2" s="715"/>
      <c r="J2" s="715"/>
      <c r="K2" s="248"/>
    </row>
    <row r="3" spans="1:13">
      <c r="A3" s="1467" t="s">
        <v>178</v>
      </c>
      <c r="B3" s="1467" t="s">
        <v>178</v>
      </c>
      <c r="C3" s="575"/>
      <c r="D3" s="575"/>
      <c r="E3" s="575"/>
      <c r="F3" s="575"/>
      <c r="G3" s="575"/>
      <c r="H3" s="575"/>
      <c r="I3" s="3442"/>
      <c r="J3" s="3442"/>
      <c r="K3" s="261"/>
      <c r="L3" s="3442"/>
      <c r="M3" s="3442"/>
    </row>
    <row r="4" spans="1:13">
      <c r="A4" s="139"/>
      <c r="B4" s="140"/>
      <c r="C4" s="164"/>
      <c r="D4" s="164"/>
      <c r="E4" s="164"/>
      <c r="F4" s="164"/>
      <c r="G4" s="163"/>
      <c r="H4" s="81"/>
      <c r="I4" s="3075"/>
      <c r="J4" s="3075"/>
      <c r="K4" s="3075" t="s">
        <v>141</v>
      </c>
      <c r="L4" s="3075"/>
      <c r="M4" s="924"/>
    </row>
    <row r="5" spans="1:13" ht="30" customHeight="1">
      <c r="A5" s="3444" t="s">
        <v>117</v>
      </c>
      <c r="B5" s="3443" t="s">
        <v>179</v>
      </c>
      <c r="C5" s="2994" t="s">
        <v>1583</v>
      </c>
      <c r="D5" s="2994"/>
      <c r="E5" s="2994"/>
      <c r="F5" s="2994"/>
      <c r="G5" s="2994"/>
      <c r="H5" s="3074" t="s">
        <v>542</v>
      </c>
      <c r="I5" s="3074"/>
      <c r="J5" s="3074"/>
      <c r="K5" s="3074" t="s">
        <v>550</v>
      </c>
      <c r="L5" s="3074"/>
      <c r="M5" s="1308" t="s">
        <v>952</v>
      </c>
    </row>
    <row r="6" spans="1:13">
      <c r="A6" s="3444"/>
      <c r="B6" s="3443"/>
      <c r="C6" s="1315" t="s">
        <v>557</v>
      </c>
      <c r="D6" s="929" t="s">
        <v>556</v>
      </c>
      <c r="E6" s="929" t="s">
        <v>555</v>
      </c>
      <c r="F6" s="929" t="s">
        <v>553</v>
      </c>
      <c r="G6" s="929" t="s">
        <v>551</v>
      </c>
      <c r="H6" s="3412" t="s">
        <v>545</v>
      </c>
      <c r="I6" s="3412"/>
      <c r="J6" s="3412"/>
      <c r="K6" s="3412" t="s">
        <v>546</v>
      </c>
      <c r="L6" s="3412"/>
      <c r="M6" s="1308" t="s">
        <v>547</v>
      </c>
    </row>
    <row r="7" spans="1:13" ht="29.25" customHeight="1">
      <c r="A7" s="3444"/>
      <c r="B7" s="3443"/>
      <c r="C7" s="1305" t="s">
        <v>554</v>
      </c>
      <c r="D7" s="1305" t="s">
        <v>554</v>
      </c>
      <c r="E7" s="1305" t="s">
        <v>554</v>
      </c>
      <c r="F7" s="1305" t="s">
        <v>554</v>
      </c>
      <c r="G7" s="1305" t="s">
        <v>554</v>
      </c>
      <c r="H7" s="1316" t="s">
        <v>1344</v>
      </c>
      <c r="I7" s="1308" t="s">
        <v>281</v>
      </c>
      <c r="J7" s="1308" t="s">
        <v>544</v>
      </c>
      <c r="K7" s="1316" t="s">
        <v>1329</v>
      </c>
      <c r="L7" s="1316" t="s">
        <v>1335</v>
      </c>
      <c r="M7" s="1308" t="s">
        <v>283</v>
      </c>
    </row>
    <row r="8" spans="1:13">
      <c r="A8" s="253">
        <v>1</v>
      </c>
      <c r="B8" s="40" t="s">
        <v>1043</v>
      </c>
      <c r="C8" s="159"/>
      <c r="D8" s="159"/>
      <c r="E8" s="159"/>
      <c r="F8" s="159"/>
      <c r="G8" s="160"/>
      <c r="H8" s="161"/>
      <c r="I8" s="161"/>
      <c r="J8" s="161"/>
      <c r="K8" s="161"/>
      <c r="L8" s="161"/>
      <c r="M8" s="161"/>
    </row>
    <row r="9" spans="1:13">
      <c r="A9" s="253">
        <v>2</v>
      </c>
      <c r="B9" s="561" t="s">
        <v>1395</v>
      </c>
      <c r="C9" s="159"/>
      <c r="D9" s="159"/>
      <c r="E9" s="159"/>
      <c r="F9" s="159"/>
      <c r="G9" s="160"/>
      <c r="H9" s="161"/>
      <c r="I9" s="161"/>
      <c r="J9" s="161"/>
      <c r="K9" s="161"/>
      <c r="L9" s="161"/>
      <c r="M9" s="161"/>
    </row>
    <row r="10" spans="1:13">
      <c r="A10" s="253">
        <v>3</v>
      </c>
      <c r="B10" s="561" t="s">
        <v>1396</v>
      </c>
      <c r="C10" s="159"/>
      <c r="D10" s="159"/>
      <c r="E10" s="159"/>
      <c r="F10" s="159"/>
      <c r="G10" s="160"/>
      <c r="H10" s="161"/>
      <c r="I10" s="161"/>
      <c r="J10" s="161"/>
      <c r="K10" s="161"/>
      <c r="L10" s="161"/>
      <c r="M10" s="161"/>
    </row>
    <row r="11" spans="1:13" s="918" customFormat="1">
      <c r="A11" s="253"/>
      <c r="B11" s="561" t="s">
        <v>1044</v>
      </c>
      <c r="C11" s="159"/>
      <c r="D11" s="159"/>
      <c r="E11" s="159"/>
      <c r="F11" s="159"/>
      <c r="G11" s="160"/>
      <c r="H11" s="161"/>
      <c r="I11" s="161"/>
      <c r="J11" s="161"/>
      <c r="K11" s="161"/>
      <c r="L11" s="161"/>
      <c r="M11" s="161"/>
    </row>
    <row r="12" spans="1:13" s="918" customFormat="1">
      <c r="A12" s="253"/>
      <c r="B12" s="561" t="s">
        <v>1045</v>
      </c>
      <c r="C12" s="159"/>
      <c r="D12" s="159"/>
      <c r="E12" s="159"/>
      <c r="F12" s="159"/>
      <c r="G12" s="160"/>
      <c r="H12" s="161"/>
      <c r="I12" s="161"/>
      <c r="J12" s="161"/>
      <c r="K12" s="161"/>
      <c r="L12" s="161"/>
      <c r="M12" s="161"/>
    </row>
    <row r="13" spans="1:13" s="918" customFormat="1">
      <c r="A13" s="253"/>
      <c r="B13" s="561" t="s">
        <v>1046</v>
      </c>
      <c r="C13" s="159"/>
      <c r="D13" s="159"/>
      <c r="E13" s="159"/>
      <c r="F13" s="159"/>
      <c r="G13" s="160"/>
      <c r="H13" s="161"/>
      <c r="I13" s="161"/>
      <c r="J13" s="161"/>
      <c r="K13" s="161"/>
      <c r="L13" s="161"/>
      <c r="M13" s="161"/>
    </row>
    <row r="14" spans="1:13" s="918" customFormat="1">
      <c r="A14" s="253"/>
      <c r="B14" s="561" t="s">
        <v>1047</v>
      </c>
      <c r="C14" s="159"/>
      <c r="D14" s="159"/>
      <c r="E14" s="159"/>
      <c r="F14" s="159"/>
      <c r="G14" s="160"/>
      <c r="H14" s="161"/>
      <c r="I14" s="161"/>
      <c r="J14" s="161"/>
      <c r="K14" s="161"/>
      <c r="L14" s="161"/>
      <c r="M14" s="161"/>
    </row>
    <row r="15" spans="1:13" s="918" customFormat="1">
      <c r="A15" s="253"/>
      <c r="B15" s="953" t="s">
        <v>1397</v>
      </c>
      <c r="C15" s="159"/>
      <c r="D15" s="159"/>
      <c r="E15" s="159"/>
      <c r="F15" s="159"/>
      <c r="G15" s="160"/>
      <c r="H15" s="161"/>
      <c r="I15" s="161"/>
      <c r="J15" s="161"/>
      <c r="K15" s="161"/>
      <c r="L15" s="161"/>
      <c r="M15" s="161"/>
    </row>
    <row r="16" spans="1:13" s="918" customFormat="1">
      <c r="A16" s="253"/>
      <c r="B16" s="40" t="s">
        <v>1398</v>
      </c>
      <c r="C16" s="159"/>
      <c r="D16" s="159"/>
      <c r="E16" s="159"/>
      <c r="F16" s="159"/>
      <c r="G16" s="160"/>
      <c r="H16" s="161"/>
      <c r="I16" s="161"/>
      <c r="J16" s="161"/>
      <c r="K16" s="161"/>
      <c r="L16" s="161"/>
      <c r="M16" s="161"/>
    </row>
    <row r="17" spans="1:13" s="918" customFormat="1">
      <c r="A17" s="253"/>
      <c r="B17" s="561" t="s">
        <v>1051</v>
      </c>
      <c r="C17" s="159"/>
      <c r="D17" s="159"/>
      <c r="E17" s="159"/>
      <c r="F17" s="159"/>
      <c r="G17" s="160"/>
      <c r="H17" s="161"/>
      <c r="I17" s="161"/>
      <c r="J17" s="161"/>
      <c r="K17" s="161"/>
      <c r="L17" s="161"/>
      <c r="M17" s="161"/>
    </row>
    <row r="18" spans="1:13" s="918" customFormat="1">
      <c r="A18" s="253"/>
      <c r="B18" s="561" t="s">
        <v>1052</v>
      </c>
      <c r="C18" s="159"/>
      <c r="D18" s="159"/>
      <c r="E18" s="159"/>
      <c r="F18" s="159"/>
      <c r="G18" s="160"/>
      <c r="H18" s="161"/>
      <c r="I18" s="161"/>
      <c r="J18" s="161"/>
      <c r="K18" s="161"/>
      <c r="L18" s="161"/>
      <c r="M18" s="161"/>
    </row>
    <row r="19" spans="1:13" s="918" customFormat="1">
      <c r="A19" s="253"/>
      <c r="B19" s="19" t="s">
        <v>1399</v>
      </c>
      <c r="C19" s="159"/>
      <c r="D19" s="159"/>
      <c r="E19" s="159"/>
      <c r="F19" s="159"/>
      <c r="G19" s="160"/>
      <c r="H19" s="161"/>
      <c r="I19" s="161"/>
      <c r="J19" s="161"/>
      <c r="K19" s="161"/>
      <c r="L19" s="161"/>
      <c r="M19" s="161"/>
    </row>
    <row r="20" spans="1:13" s="918" customFormat="1">
      <c r="A20" s="253"/>
      <c r="B20" s="311" t="s">
        <v>1054</v>
      </c>
      <c r="C20" s="159"/>
      <c r="D20" s="159"/>
      <c r="E20" s="159"/>
      <c r="F20" s="159"/>
      <c r="G20" s="160"/>
      <c r="H20" s="161"/>
      <c r="I20" s="161"/>
      <c r="J20" s="161"/>
      <c r="K20" s="161"/>
      <c r="L20" s="161"/>
      <c r="M20" s="161"/>
    </row>
    <row r="21" spans="1:13" s="918" customFormat="1">
      <c r="A21" s="253"/>
      <c r="B21" s="953" t="s">
        <v>1397</v>
      </c>
      <c r="C21" s="159"/>
      <c r="D21" s="159"/>
      <c r="E21" s="159"/>
      <c r="F21" s="159"/>
      <c r="G21" s="160"/>
      <c r="H21" s="161"/>
      <c r="I21" s="161"/>
      <c r="J21" s="161"/>
      <c r="K21" s="161"/>
      <c r="L21" s="161"/>
      <c r="M21" s="161"/>
    </row>
    <row r="22" spans="1:13" s="918" customFormat="1">
      <c r="A22" s="253"/>
      <c r="B22" s="35" t="s">
        <v>1400</v>
      </c>
      <c r="C22" s="159"/>
      <c r="D22" s="159"/>
      <c r="E22" s="159"/>
      <c r="F22" s="159"/>
      <c r="G22" s="160"/>
      <c r="H22" s="161"/>
      <c r="I22" s="161"/>
      <c r="J22" s="161"/>
      <c r="K22" s="161"/>
      <c r="L22" s="161"/>
      <c r="M22" s="161"/>
    </row>
    <row r="23" spans="1:13" s="918" customFormat="1">
      <c r="A23" s="253"/>
      <c r="B23" s="263" t="s">
        <v>1401</v>
      </c>
      <c r="C23" s="159"/>
      <c r="D23" s="159"/>
      <c r="E23" s="159"/>
      <c r="F23" s="159"/>
      <c r="G23" s="160"/>
      <c r="H23" s="161"/>
      <c r="I23" s="161"/>
      <c r="J23" s="161"/>
      <c r="K23" s="161"/>
      <c r="L23" s="161"/>
      <c r="M23" s="161"/>
    </row>
    <row r="24" spans="1:13" s="918" customFormat="1">
      <c r="A24" s="253"/>
      <c r="B24" s="263" t="s">
        <v>1060</v>
      </c>
      <c r="C24" s="159"/>
      <c r="D24" s="159"/>
      <c r="E24" s="159"/>
      <c r="F24" s="159"/>
      <c r="G24" s="160"/>
      <c r="H24" s="161"/>
      <c r="I24" s="161"/>
      <c r="J24" s="161"/>
      <c r="K24" s="161"/>
      <c r="L24" s="161"/>
      <c r="M24" s="161"/>
    </row>
    <row r="25" spans="1:13" s="918" customFormat="1">
      <c r="A25" s="253"/>
      <c r="B25" s="263" t="s">
        <v>1061</v>
      </c>
      <c r="C25" s="159"/>
      <c r="D25" s="159"/>
      <c r="E25" s="159"/>
      <c r="F25" s="159"/>
      <c r="G25" s="160"/>
      <c r="H25" s="161"/>
      <c r="I25" s="161"/>
      <c r="J25" s="161"/>
      <c r="K25" s="161"/>
      <c r="L25" s="161"/>
      <c r="M25" s="161"/>
    </row>
    <row r="26" spans="1:13" s="918" customFormat="1">
      <c r="A26" s="253"/>
      <c r="B26" s="263" t="s">
        <v>1062</v>
      </c>
      <c r="C26" s="159"/>
      <c r="D26" s="159"/>
      <c r="E26" s="159"/>
      <c r="F26" s="159"/>
      <c r="G26" s="160"/>
      <c r="H26" s="161"/>
      <c r="I26" s="161"/>
      <c r="J26" s="161"/>
      <c r="K26" s="161"/>
      <c r="L26" s="161"/>
      <c r="M26" s="161"/>
    </row>
    <row r="27" spans="1:13" s="918" customFormat="1">
      <c r="A27" s="253"/>
      <c r="B27" s="263" t="s">
        <v>476</v>
      </c>
      <c r="C27" s="159"/>
      <c r="D27" s="159"/>
      <c r="E27" s="159"/>
      <c r="F27" s="159"/>
      <c r="G27" s="160"/>
      <c r="H27" s="161"/>
      <c r="I27" s="161"/>
      <c r="J27" s="161"/>
      <c r="K27" s="161"/>
      <c r="L27" s="161"/>
      <c r="M27" s="161"/>
    </row>
    <row r="28" spans="1:13" s="918" customFormat="1">
      <c r="A28" s="253"/>
      <c r="B28" s="263" t="s">
        <v>1063</v>
      </c>
      <c r="C28" s="159"/>
      <c r="D28" s="159"/>
      <c r="E28" s="159"/>
      <c r="F28" s="159"/>
      <c r="G28" s="160"/>
      <c r="H28" s="161"/>
      <c r="I28" s="161"/>
      <c r="J28" s="161"/>
      <c r="K28" s="161"/>
      <c r="L28" s="161"/>
      <c r="M28" s="161"/>
    </row>
    <row r="29" spans="1:13" s="918" customFormat="1">
      <c r="A29" s="253"/>
      <c r="B29" s="263" t="s">
        <v>1064</v>
      </c>
      <c r="C29" s="159"/>
      <c r="D29" s="159"/>
      <c r="E29" s="159"/>
      <c r="F29" s="159"/>
      <c r="G29" s="160"/>
      <c r="H29" s="161"/>
      <c r="I29" s="161"/>
      <c r="J29" s="161"/>
      <c r="K29" s="161"/>
      <c r="L29" s="161"/>
      <c r="M29" s="161"/>
    </row>
    <row r="30" spans="1:13" s="918" customFormat="1">
      <c r="A30" s="253"/>
      <c r="B30" s="263" t="s">
        <v>1065</v>
      </c>
      <c r="C30" s="159"/>
      <c r="D30" s="159"/>
      <c r="E30" s="159"/>
      <c r="F30" s="159"/>
      <c r="G30" s="160"/>
      <c r="H30" s="161"/>
      <c r="I30" s="161"/>
      <c r="J30" s="161"/>
      <c r="K30" s="161"/>
      <c r="L30" s="161"/>
      <c r="M30" s="161"/>
    </row>
    <row r="31" spans="1:13" s="918" customFormat="1">
      <c r="A31" s="253"/>
      <c r="B31" s="953" t="s">
        <v>1397</v>
      </c>
      <c r="C31" s="159"/>
      <c r="D31" s="159"/>
      <c r="E31" s="159"/>
      <c r="F31" s="159"/>
      <c r="G31" s="160"/>
      <c r="H31" s="161"/>
      <c r="I31" s="161"/>
      <c r="J31" s="161"/>
      <c r="K31" s="161"/>
      <c r="L31" s="161"/>
      <c r="M31" s="161"/>
    </row>
    <row r="32" spans="1:13" s="918" customFormat="1">
      <c r="A32" s="253"/>
      <c r="B32" s="35" t="s">
        <v>1067</v>
      </c>
      <c r="C32" s="159"/>
      <c r="D32" s="159"/>
      <c r="E32" s="159"/>
      <c r="F32" s="159"/>
      <c r="G32" s="160"/>
      <c r="H32" s="161"/>
      <c r="I32" s="161"/>
      <c r="J32" s="161"/>
      <c r="K32" s="161"/>
      <c r="L32" s="161"/>
      <c r="M32" s="161"/>
    </row>
    <row r="33" spans="1:13" s="918" customFormat="1">
      <c r="A33" s="253"/>
      <c r="B33" s="263" t="s">
        <v>1068</v>
      </c>
      <c r="C33" s="159"/>
      <c r="D33" s="159"/>
      <c r="E33" s="159"/>
      <c r="F33" s="159"/>
      <c r="G33" s="160"/>
      <c r="H33" s="161"/>
      <c r="I33" s="161"/>
      <c r="J33" s="161"/>
      <c r="K33" s="161"/>
      <c r="L33" s="161"/>
      <c r="M33" s="161"/>
    </row>
    <row r="34" spans="1:13" s="918" customFormat="1">
      <c r="A34" s="253"/>
      <c r="B34" s="263" t="s">
        <v>1072</v>
      </c>
      <c r="C34" s="159"/>
      <c r="D34" s="159"/>
      <c r="E34" s="159"/>
      <c r="F34" s="159"/>
      <c r="G34" s="160"/>
      <c r="H34" s="161"/>
      <c r="I34" s="161"/>
      <c r="J34" s="161"/>
      <c r="K34" s="161"/>
      <c r="L34" s="161"/>
      <c r="M34" s="161"/>
    </row>
    <row r="35" spans="1:13" s="918" customFormat="1">
      <c r="A35" s="253"/>
      <c r="B35" s="953" t="s">
        <v>1397</v>
      </c>
      <c r="C35" s="159"/>
      <c r="D35" s="159"/>
      <c r="E35" s="159"/>
      <c r="F35" s="159"/>
      <c r="G35" s="160"/>
      <c r="H35" s="161"/>
      <c r="I35" s="161"/>
      <c r="J35" s="161"/>
      <c r="K35" s="161"/>
      <c r="L35" s="161"/>
      <c r="M35" s="161"/>
    </row>
    <row r="36" spans="1:13" s="918" customFormat="1">
      <c r="A36" s="253"/>
      <c r="B36" s="35" t="s">
        <v>1076</v>
      </c>
      <c r="C36" s="159"/>
      <c r="D36" s="159"/>
      <c r="E36" s="159"/>
      <c r="F36" s="159"/>
      <c r="G36" s="160"/>
      <c r="H36" s="161"/>
      <c r="I36" s="161"/>
      <c r="J36" s="161"/>
      <c r="K36" s="161"/>
      <c r="L36" s="161"/>
      <c r="M36" s="161"/>
    </row>
    <row r="37" spans="1:13" s="918" customFormat="1">
      <c r="A37" s="253"/>
      <c r="B37" s="263" t="s">
        <v>1401</v>
      </c>
      <c r="C37" s="159"/>
      <c r="D37" s="159"/>
      <c r="E37" s="159"/>
      <c r="F37" s="159"/>
      <c r="G37" s="160"/>
      <c r="H37" s="161"/>
      <c r="I37" s="161"/>
      <c r="J37" s="161"/>
      <c r="K37" s="161"/>
      <c r="L37" s="161"/>
      <c r="M37" s="161"/>
    </row>
    <row r="38" spans="1:13" s="918" customFormat="1">
      <c r="A38" s="253"/>
      <c r="B38" s="263" t="s">
        <v>1077</v>
      </c>
      <c r="C38" s="159"/>
      <c r="D38" s="159"/>
      <c r="E38" s="159"/>
      <c r="F38" s="159"/>
      <c r="G38" s="160"/>
      <c r="H38" s="161"/>
      <c r="I38" s="161"/>
      <c r="J38" s="161"/>
      <c r="K38" s="161"/>
      <c r="L38" s="161"/>
      <c r="M38" s="161"/>
    </row>
    <row r="39" spans="1:13" s="918" customFormat="1">
      <c r="A39" s="253"/>
      <c r="B39" s="263" t="s">
        <v>476</v>
      </c>
      <c r="C39" s="159"/>
      <c r="D39" s="159"/>
      <c r="E39" s="159"/>
      <c r="F39" s="159"/>
      <c r="G39" s="160"/>
      <c r="H39" s="161"/>
      <c r="I39" s="161"/>
      <c r="J39" s="161"/>
      <c r="K39" s="161"/>
      <c r="L39" s="161"/>
      <c r="M39" s="161"/>
    </row>
    <row r="40" spans="1:13" s="918" customFormat="1">
      <c r="A40" s="253"/>
      <c r="B40" s="263" t="s">
        <v>1078</v>
      </c>
      <c r="C40" s="159"/>
      <c r="D40" s="159"/>
      <c r="E40" s="159"/>
      <c r="F40" s="159"/>
      <c r="G40" s="160"/>
      <c r="H40" s="161"/>
      <c r="I40" s="161"/>
      <c r="J40" s="161"/>
      <c r="K40" s="161"/>
      <c r="L40" s="161"/>
      <c r="M40" s="161"/>
    </row>
    <row r="41" spans="1:13" s="918" customFormat="1">
      <c r="A41" s="253"/>
      <c r="B41" s="263" t="s">
        <v>1079</v>
      </c>
      <c r="C41" s="159"/>
      <c r="D41" s="159"/>
      <c r="E41" s="159"/>
      <c r="F41" s="159"/>
      <c r="G41" s="160"/>
      <c r="H41" s="161"/>
      <c r="I41" s="161"/>
      <c r="J41" s="161"/>
      <c r="K41" s="161"/>
      <c r="L41" s="161"/>
      <c r="M41" s="161"/>
    </row>
    <row r="42" spans="1:13" s="918" customFormat="1">
      <c r="A42" s="253"/>
      <c r="B42" s="953" t="s">
        <v>1397</v>
      </c>
      <c r="C42" s="159"/>
      <c r="D42" s="159"/>
      <c r="E42" s="159"/>
      <c r="F42" s="159"/>
      <c r="G42" s="160"/>
      <c r="H42" s="161"/>
      <c r="I42" s="161"/>
      <c r="J42" s="161"/>
      <c r="K42" s="161"/>
      <c r="L42" s="161"/>
      <c r="M42" s="161"/>
    </row>
    <row r="43" spans="1:13" s="918" customFormat="1">
      <c r="A43" s="253"/>
      <c r="B43" s="35" t="s">
        <v>1081</v>
      </c>
      <c r="C43" s="159"/>
      <c r="D43" s="159"/>
      <c r="E43" s="159"/>
      <c r="F43" s="159"/>
      <c r="G43" s="160"/>
      <c r="H43" s="161"/>
      <c r="I43" s="161"/>
      <c r="J43" s="161"/>
      <c r="K43" s="161"/>
      <c r="L43" s="161"/>
      <c r="M43" s="161"/>
    </row>
    <row r="44" spans="1:13" s="918" customFormat="1">
      <c r="A44" s="253"/>
      <c r="B44" s="263" t="s">
        <v>1012</v>
      </c>
      <c r="C44" s="159"/>
      <c r="D44" s="159"/>
      <c r="E44" s="159"/>
      <c r="F44" s="159"/>
      <c r="G44" s="160"/>
      <c r="H44" s="161"/>
      <c r="I44" s="161"/>
      <c r="J44" s="161"/>
      <c r="K44" s="161"/>
      <c r="L44" s="161"/>
      <c r="M44" s="161"/>
    </row>
    <row r="45" spans="1:13" s="918" customFormat="1">
      <c r="A45" s="253"/>
      <c r="B45" s="263" t="s">
        <v>1011</v>
      </c>
      <c r="C45" s="159"/>
      <c r="D45" s="159"/>
      <c r="E45" s="159"/>
      <c r="F45" s="159"/>
      <c r="G45" s="160"/>
      <c r="H45" s="161"/>
      <c r="I45" s="161"/>
      <c r="J45" s="161"/>
      <c r="K45" s="161"/>
      <c r="L45" s="161"/>
      <c r="M45" s="161"/>
    </row>
    <row r="46" spans="1:13" s="918" customFormat="1">
      <c r="A46" s="253"/>
      <c r="B46" s="953" t="s">
        <v>1397</v>
      </c>
      <c r="C46" s="159"/>
      <c r="D46" s="159"/>
      <c r="E46" s="159"/>
      <c r="F46" s="159"/>
      <c r="G46" s="160"/>
      <c r="H46" s="161"/>
      <c r="I46" s="161"/>
      <c r="J46" s="161"/>
      <c r="K46" s="161"/>
      <c r="L46" s="161"/>
      <c r="M46" s="161"/>
    </row>
    <row r="47" spans="1:13" s="918" customFormat="1">
      <c r="A47" s="253"/>
      <c r="B47" s="35" t="s">
        <v>1402</v>
      </c>
      <c r="C47" s="159"/>
      <c r="D47" s="159"/>
      <c r="E47" s="159"/>
      <c r="F47" s="159"/>
      <c r="G47" s="160"/>
      <c r="H47" s="161"/>
      <c r="I47" s="161"/>
      <c r="J47" s="161"/>
      <c r="K47" s="161"/>
      <c r="L47" s="161"/>
      <c r="M47" s="161"/>
    </row>
    <row r="48" spans="1:13" s="918" customFormat="1">
      <c r="A48" s="253"/>
      <c r="B48" s="263" t="s">
        <v>475</v>
      </c>
      <c r="C48" s="159"/>
      <c r="D48" s="159"/>
      <c r="E48" s="159"/>
      <c r="F48" s="159"/>
      <c r="G48" s="160"/>
      <c r="H48" s="161"/>
      <c r="I48" s="161"/>
      <c r="J48" s="161"/>
      <c r="K48" s="161"/>
      <c r="L48" s="161"/>
      <c r="M48" s="161"/>
    </row>
    <row r="49" spans="1:13" s="918" customFormat="1">
      <c r="A49" s="253"/>
      <c r="B49" s="263" t="s">
        <v>1091</v>
      </c>
      <c r="C49" s="159"/>
      <c r="D49" s="159"/>
      <c r="E49" s="159"/>
      <c r="F49" s="159"/>
      <c r="G49" s="160"/>
      <c r="H49" s="161"/>
      <c r="I49" s="161"/>
      <c r="J49" s="161"/>
      <c r="K49" s="161"/>
      <c r="L49" s="161"/>
      <c r="M49" s="161"/>
    </row>
    <row r="50" spans="1:13" s="918" customFormat="1">
      <c r="A50" s="253"/>
      <c r="B50" s="263" t="s">
        <v>1092</v>
      </c>
      <c r="C50" s="159"/>
      <c r="D50" s="159"/>
      <c r="E50" s="159"/>
      <c r="F50" s="159"/>
      <c r="G50" s="160"/>
      <c r="H50" s="161"/>
      <c r="I50" s="161"/>
      <c r="J50" s="161"/>
      <c r="K50" s="161"/>
      <c r="L50" s="161"/>
      <c r="M50" s="161"/>
    </row>
    <row r="51" spans="1:13" s="918" customFormat="1">
      <c r="A51" s="253"/>
      <c r="B51" s="263" t="s">
        <v>1093</v>
      </c>
      <c r="C51" s="159"/>
      <c r="D51" s="159"/>
      <c r="E51" s="159"/>
      <c r="F51" s="159"/>
      <c r="G51" s="160"/>
      <c r="H51" s="161"/>
      <c r="I51" s="161"/>
      <c r="J51" s="161"/>
      <c r="K51" s="161"/>
      <c r="L51" s="161"/>
      <c r="M51" s="161"/>
    </row>
    <row r="52" spans="1:13" s="918" customFormat="1">
      <c r="A52" s="253"/>
      <c r="B52" s="263" t="s">
        <v>1403</v>
      </c>
      <c r="C52" s="159"/>
      <c r="D52" s="159"/>
      <c r="E52" s="159"/>
      <c r="F52" s="159"/>
      <c r="G52" s="160"/>
      <c r="H52" s="161"/>
      <c r="I52" s="161"/>
      <c r="J52" s="161"/>
      <c r="K52" s="161"/>
      <c r="L52" s="161"/>
      <c r="M52" s="161"/>
    </row>
    <row r="53" spans="1:13" s="918" customFormat="1">
      <c r="A53" s="253"/>
      <c r="B53" s="263" t="s">
        <v>1094</v>
      </c>
      <c r="C53" s="159"/>
      <c r="D53" s="159"/>
      <c r="E53" s="159"/>
      <c r="F53" s="159"/>
      <c r="G53" s="160"/>
      <c r="H53" s="161"/>
      <c r="I53" s="161"/>
      <c r="J53" s="161"/>
      <c r="K53" s="161"/>
      <c r="L53" s="161"/>
      <c r="M53" s="161"/>
    </row>
    <row r="54" spans="1:13" s="918" customFormat="1">
      <c r="A54" s="253"/>
      <c r="B54" s="263" t="s">
        <v>1095</v>
      </c>
      <c r="C54" s="159"/>
      <c r="D54" s="159"/>
      <c r="E54" s="159"/>
      <c r="F54" s="159"/>
      <c r="G54" s="160"/>
      <c r="H54" s="161"/>
      <c r="I54" s="161"/>
      <c r="J54" s="161"/>
      <c r="K54" s="161"/>
      <c r="L54" s="161"/>
      <c r="M54" s="161"/>
    </row>
    <row r="55" spans="1:13" s="918" customFormat="1">
      <c r="A55" s="253"/>
      <c r="B55" s="263" t="s">
        <v>1096</v>
      </c>
      <c r="C55" s="159"/>
      <c r="D55" s="159"/>
      <c r="E55" s="159"/>
      <c r="F55" s="159"/>
      <c r="G55" s="160"/>
      <c r="H55" s="161"/>
      <c r="I55" s="161"/>
      <c r="J55" s="161"/>
      <c r="K55" s="161"/>
      <c r="L55" s="161"/>
      <c r="M55" s="161"/>
    </row>
    <row r="56" spans="1:13" s="918" customFormat="1">
      <c r="A56" s="253"/>
      <c r="B56" s="953" t="s">
        <v>1397</v>
      </c>
      <c r="C56" s="159"/>
      <c r="D56" s="159"/>
      <c r="E56" s="159"/>
      <c r="F56" s="159"/>
      <c r="G56" s="160"/>
      <c r="H56" s="161"/>
      <c r="I56" s="161"/>
      <c r="J56" s="161"/>
      <c r="K56" s="161"/>
      <c r="L56" s="161"/>
      <c r="M56" s="161"/>
    </row>
    <row r="57" spans="1:13" s="918" customFormat="1">
      <c r="A57" s="253"/>
      <c r="B57" s="35" t="s">
        <v>1098</v>
      </c>
      <c r="C57" s="159"/>
      <c r="D57" s="159"/>
      <c r="E57" s="159"/>
      <c r="F57" s="159"/>
      <c r="G57" s="160"/>
      <c r="H57" s="161"/>
      <c r="I57" s="161"/>
      <c r="J57" s="161"/>
      <c r="K57" s="161"/>
      <c r="L57" s="161"/>
      <c r="M57" s="161"/>
    </row>
    <row r="58" spans="1:13" s="918" customFormat="1">
      <c r="A58" s="253"/>
      <c r="B58" s="263" t="s">
        <v>476</v>
      </c>
      <c r="C58" s="159"/>
      <c r="D58" s="159"/>
      <c r="E58" s="159"/>
      <c r="F58" s="159"/>
      <c r="G58" s="160"/>
      <c r="H58" s="161"/>
      <c r="I58" s="161"/>
      <c r="J58" s="161"/>
      <c r="K58" s="161"/>
      <c r="L58" s="161"/>
      <c r="M58" s="161"/>
    </row>
    <row r="59" spans="1:13" s="918" customFormat="1">
      <c r="A59" s="253"/>
      <c r="B59" s="263" t="s">
        <v>1099</v>
      </c>
      <c r="C59" s="159"/>
      <c r="D59" s="159"/>
      <c r="E59" s="159"/>
      <c r="F59" s="159"/>
      <c r="G59" s="160"/>
      <c r="H59" s="161"/>
      <c r="I59" s="161"/>
      <c r="J59" s="161"/>
      <c r="K59" s="161"/>
      <c r="L59" s="161"/>
      <c r="M59" s="161"/>
    </row>
    <row r="60" spans="1:13" s="918" customFormat="1">
      <c r="A60" s="253"/>
      <c r="B60" s="263" t="s">
        <v>1404</v>
      </c>
      <c r="C60" s="159"/>
      <c r="D60" s="159"/>
      <c r="E60" s="159"/>
      <c r="F60" s="159"/>
      <c r="G60" s="160"/>
      <c r="H60" s="161"/>
      <c r="I60" s="161"/>
      <c r="J60" s="161"/>
      <c r="K60" s="161"/>
      <c r="L60" s="161"/>
      <c r="M60" s="161"/>
    </row>
    <row r="61" spans="1:13" s="918" customFormat="1">
      <c r="A61" s="253"/>
      <c r="B61" s="19" t="s">
        <v>1405</v>
      </c>
      <c r="C61" s="159"/>
      <c r="D61" s="159"/>
      <c r="E61" s="159"/>
      <c r="F61" s="159"/>
      <c r="G61" s="160"/>
      <c r="H61" s="161"/>
      <c r="I61" s="161"/>
      <c r="J61" s="161"/>
      <c r="K61" s="161"/>
      <c r="L61" s="161"/>
      <c r="M61" s="161"/>
    </row>
    <row r="62" spans="1:13" s="918" customFormat="1">
      <c r="A62" s="253"/>
      <c r="B62" s="263" t="s">
        <v>1101</v>
      </c>
      <c r="C62" s="159"/>
      <c r="D62" s="159"/>
      <c r="E62" s="159"/>
      <c r="F62" s="159"/>
      <c r="G62" s="160"/>
      <c r="H62" s="161"/>
      <c r="I62" s="161"/>
      <c r="J62" s="161"/>
      <c r="K62" s="161"/>
      <c r="L62" s="161"/>
      <c r="M62" s="161"/>
    </row>
    <row r="63" spans="1:13" s="918" customFormat="1">
      <c r="A63" s="253"/>
      <c r="B63" s="953" t="s">
        <v>1397</v>
      </c>
      <c r="C63" s="159"/>
      <c r="D63" s="159"/>
      <c r="E63" s="159"/>
      <c r="F63" s="159"/>
      <c r="G63" s="160"/>
      <c r="H63" s="161"/>
      <c r="I63" s="161"/>
      <c r="J63" s="161"/>
      <c r="K63" s="161"/>
      <c r="L63" s="161"/>
      <c r="M63" s="161"/>
    </row>
    <row r="64" spans="1:13" s="918" customFormat="1">
      <c r="A64" s="253"/>
      <c r="B64" s="35" t="s">
        <v>1406</v>
      </c>
      <c r="C64" s="159"/>
      <c r="D64" s="159"/>
      <c r="E64" s="159"/>
      <c r="F64" s="159"/>
      <c r="G64" s="160"/>
      <c r="H64" s="161"/>
      <c r="I64" s="161"/>
      <c r="J64" s="161"/>
      <c r="K64" s="161"/>
      <c r="L64" s="161"/>
      <c r="M64" s="161"/>
    </row>
    <row r="65" spans="1:13" s="918" customFormat="1">
      <c r="A65" s="253"/>
      <c r="B65" s="263" t="s">
        <v>476</v>
      </c>
      <c r="C65" s="159"/>
      <c r="D65" s="159"/>
      <c r="E65" s="159"/>
      <c r="F65" s="159"/>
      <c r="G65" s="160"/>
      <c r="H65" s="161"/>
      <c r="I65" s="161"/>
      <c r="J65" s="161"/>
      <c r="K65" s="161"/>
      <c r="L65" s="161"/>
      <c r="M65" s="161"/>
    </row>
    <row r="66" spans="1:13" s="918" customFormat="1">
      <c r="A66" s="253"/>
      <c r="B66" s="263" t="s">
        <v>1104</v>
      </c>
      <c r="C66" s="159"/>
      <c r="D66" s="159"/>
      <c r="E66" s="159"/>
      <c r="F66" s="159"/>
      <c r="G66" s="160"/>
      <c r="H66" s="161"/>
      <c r="I66" s="161"/>
      <c r="J66" s="161"/>
      <c r="K66" s="161"/>
      <c r="L66" s="161"/>
      <c r="M66" s="161"/>
    </row>
    <row r="67" spans="1:13" s="918" customFormat="1">
      <c r="A67" s="253"/>
      <c r="B67" s="263" t="s">
        <v>1105</v>
      </c>
      <c r="C67" s="159"/>
      <c r="D67" s="159"/>
      <c r="E67" s="159"/>
      <c r="F67" s="159"/>
      <c r="G67" s="160"/>
      <c r="H67" s="161"/>
      <c r="I67" s="161"/>
      <c r="J67" s="161"/>
      <c r="K67" s="161"/>
      <c r="L67" s="161"/>
      <c r="M67" s="161"/>
    </row>
    <row r="68" spans="1:13" s="918" customFormat="1">
      <c r="A68" s="253"/>
      <c r="B68" s="263" t="s">
        <v>1404</v>
      </c>
      <c r="C68" s="159"/>
      <c r="D68" s="159"/>
      <c r="E68" s="159"/>
      <c r="F68" s="159"/>
      <c r="G68" s="160"/>
      <c r="H68" s="161"/>
      <c r="I68" s="161"/>
      <c r="J68" s="161"/>
      <c r="K68" s="161"/>
      <c r="L68" s="161"/>
      <c r="M68" s="161"/>
    </row>
    <row r="69" spans="1:13" s="918" customFormat="1">
      <c r="A69" s="253"/>
      <c r="B69" s="263" t="s">
        <v>1106</v>
      </c>
      <c r="C69" s="159"/>
      <c r="D69" s="159"/>
      <c r="E69" s="159"/>
      <c r="F69" s="159"/>
      <c r="G69" s="160"/>
      <c r="H69" s="161"/>
      <c r="I69" s="161"/>
      <c r="J69" s="161"/>
      <c r="K69" s="161"/>
      <c r="L69" s="161"/>
      <c r="M69" s="161"/>
    </row>
    <row r="70" spans="1:13" s="918" customFormat="1">
      <c r="A70" s="253"/>
      <c r="B70" s="263" t="s">
        <v>1107</v>
      </c>
      <c r="C70" s="159"/>
      <c r="D70" s="159"/>
      <c r="E70" s="159"/>
      <c r="F70" s="159"/>
      <c r="G70" s="160"/>
      <c r="H70" s="161"/>
      <c r="I70" s="161"/>
      <c r="J70" s="161"/>
      <c r="K70" s="161"/>
      <c r="L70" s="161"/>
      <c r="M70" s="161"/>
    </row>
    <row r="71" spans="1:13" s="918" customFormat="1">
      <c r="A71" s="253"/>
      <c r="B71" s="953" t="s">
        <v>1397</v>
      </c>
      <c r="C71" s="159"/>
      <c r="D71" s="159"/>
      <c r="E71" s="159"/>
      <c r="F71" s="159"/>
      <c r="G71" s="160"/>
      <c r="H71" s="161"/>
      <c r="I71" s="161"/>
      <c r="J71" s="161"/>
      <c r="K71" s="161"/>
      <c r="L71" s="161"/>
      <c r="M71" s="161"/>
    </row>
    <row r="72" spans="1:13" s="918" customFormat="1">
      <c r="A72" s="253"/>
      <c r="B72" s="697" t="s">
        <v>1109</v>
      </c>
      <c r="C72" s="159"/>
      <c r="D72" s="159"/>
      <c r="E72" s="159"/>
      <c r="F72" s="159"/>
      <c r="G72" s="160"/>
      <c r="H72" s="161"/>
      <c r="I72" s="161"/>
      <c r="J72" s="161"/>
      <c r="K72" s="161"/>
      <c r="L72" s="161"/>
      <c r="M72" s="161"/>
    </row>
    <row r="73" spans="1:13" s="918" customFormat="1">
      <c r="A73" s="253"/>
      <c r="B73" s="35" t="s">
        <v>1407</v>
      </c>
      <c r="C73" s="159"/>
      <c r="D73" s="159"/>
      <c r="E73" s="159"/>
      <c r="F73" s="159"/>
      <c r="G73" s="160"/>
      <c r="H73" s="161"/>
      <c r="I73" s="161"/>
      <c r="J73" s="161"/>
      <c r="K73" s="161"/>
      <c r="L73" s="161"/>
      <c r="M73" s="161"/>
    </row>
    <row r="74" spans="1:13" s="918" customFormat="1">
      <c r="A74" s="253"/>
      <c r="B74" s="263" t="s">
        <v>1146</v>
      </c>
      <c r="C74" s="159"/>
      <c r="D74" s="159"/>
      <c r="E74" s="159"/>
      <c r="F74" s="159"/>
      <c r="G74" s="160"/>
      <c r="H74" s="161"/>
      <c r="I74" s="161"/>
      <c r="J74" s="161"/>
      <c r="K74" s="161"/>
      <c r="L74" s="161"/>
      <c r="M74" s="161"/>
    </row>
    <row r="75" spans="1:13" s="918" customFormat="1">
      <c r="A75" s="253"/>
      <c r="B75" s="263" t="s">
        <v>1408</v>
      </c>
      <c r="C75" s="159"/>
      <c r="D75" s="159"/>
      <c r="E75" s="159"/>
      <c r="F75" s="159"/>
      <c r="G75" s="160"/>
      <c r="H75" s="161"/>
      <c r="I75" s="161"/>
      <c r="J75" s="161"/>
      <c r="K75" s="161"/>
      <c r="L75" s="161"/>
      <c r="M75" s="161"/>
    </row>
    <row r="76" spans="1:13" s="918" customFormat="1">
      <c r="A76" s="253"/>
      <c r="B76" s="263" t="s">
        <v>1409</v>
      </c>
      <c r="C76" s="159"/>
      <c r="D76" s="159"/>
      <c r="E76" s="159"/>
      <c r="F76" s="159"/>
      <c r="G76" s="160"/>
      <c r="H76" s="161"/>
      <c r="I76" s="161"/>
      <c r="J76" s="161"/>
      <c r="K76" s="161"/>
      <c r="L76" s="161"/>
      <c r="M76" s="161"/>
    </row>
    <row r="77" spans="1:13" s="918" customFormat="1">
      <c r="A77" s="253"/>
      <c r="B77" s="263" t="s">
        <v>1410</v>
      </c>
      <c r="C77" s="159"/>
      <c r="D77" s="159"/>
      <c r="E77" s="159"/>
      <c r="F77" s="159"/>
      <c r="G77" s="160"/>
      <c r="H77" s="161"/>
      <c r="I77" s="161"/>
      <c r="J77" s="161"/>
      <c r="K77" s="161"/>
      <c r="L77" s="161"/>
      <c r="M77" s="161"/>
    </row>
    <row r="78" spans="1:13" s="918" customFormat="1">
      <c r="A78" s="253"/>
      <c r="B78" s="263" t="s">
        <v>469</v>
      </c>
      <c r="C78" s="159"/>
      <c r="D78" s="159"/>
      <c r="E78" s="159"/>
      <c r="F78" s="159"/>
      <c r="G78" s="160"/>
      <c r="H78" s="161"/>
      <c r="I78" s="161"/>
      <c r="J78" s="161"/>
      <c r="K78" s="161"/>
      <c r="L78" s="161"/>
      <c r="M78" s="161"/>
    </row>
    <row r="79" spans="1:13" s="918" customFormat="1">
      <c r="A79" s="253"/>
      <c r="B79" s="263" t="s">
        <v>470</v>
      </c>
      <c r="C79" s="159"/>
      <c r="D79" s="159"/>
      <c r="E79" s="159"/>
      <c r="F79" s="159"/>
      <c r="G79" s="160"/>
      <c r="H79" s="161"/>
      <c r="I79" s="161"/>
      <c r="J79" s="161"/>
      <c r="K79" s="161"/>
      <c r="L79" s="161"/>
      <c r="M79" s="161"/>
    </row>
    <row r="80" spans="1:13" s="918" customFormat="1">
      <c r="A80" s="253"/>
      <c r="B80" s="953" t="s">
        <v>1397</v>
      </c>
      <c r="C80" s="159"/>
      <c r="D80" s="159"/>
      <c r="E80" s="159"/>
      <c r="F80" s="159"/>
      <c r="G80" s="160"/>
      <c r="H80" s="161"/>
      <c r="I80" s="161"/>
      <c r="J80" s="161"/>
      <c r="K80" s="161"/>
      <c r="L80" s="161"/>
      <c r="M80" s="161"/>
    </row>
    <row r="81" spans="1:13" s="918" customFormat="1">
      <c r="A81" s="253"/>
      <c r="B81" s="263"/>
      <c r="C81" s="159"/>
      <c r="D81" s="159"/>
      <c r="E81" s="159"/>
      <c r="F81" s="159"/>
      <c r="G81" s="160"/>
      <c r="H81" s="161"/>
      <c r="I81" s="161"/>
      <c r="J81" s="161"/>
      <c r="K81" s="161"/>
      <c r="L81" s="161"/>
      <c r="M81" s="161"/>
    </row>
    <row r="82" spans="1:13" s="918" customFormat="1">
      <c r="A82" s="253"/>
      <c r="B82" s="35" t="s">
        <v>1119</v>
      </c>
      <c r="C82" s="159"/>
      <c r="D82" s="159"/>
      <c r="E82" s="159"/>
      <c r="F82" s="159"/>
      <c r="G82" s="160"/>
      <c r="H82" s="161"/>
      <c r="I82" s="161"/>
      <c r="J82" s="161"/>
      <c r="K82" s="161"/>
      <c r="L82" s="161"/>
      <c r="M82" s="161"/>
    </row>
    <row r="83" spans="1:13" s="918" customFormat="1">
      <c r="A83" s="253"/>
      <c r="B83" s="263" t="s">
        <v>475</v>
      </c>
      <c r="C83" s="159"/>
      <c r="D83" s="159"/>
      <c r="E83" s="159"/>
      <c r="F83" s="159"/>
      <c r="G83" s="160"/>
      <c r="H83" s="161"/>
      <c r="I83" s="161"/>
      <c r="J83" s="161"/>
      <c r="K83" s="161"/>
      <c r="L83" s="161"/>
      <c r="M83" s="161"/>
    </row>
    <row r="84" spans="1:13" s="918" customFormat="1">
      <c r="A84" s="253"/>
      <c r="B84" s="263" t="s">
        <v>1411</v>
      </c>
      <c r="C84" s="159"/>
      <c r="D84" s="159"/>
      <c r="E84" s="159"/>
      <c r="F84" s="159"/>
      <c r="G84" s="160"/>
      <c r="H84" s="161"/>
      <c r="I84" s="161"/>
      <c r="J84" s="161"/>
      <c r="K84" s="161"/>
      <c r="L84" s="161"/>
      <c r="M84" s="161"/>
    </row>
    <row r="85" spans="1:13" s="918" customFormat="1">
      <c r="A85" s="253"/>
      <c r="B85" s="263" t="s">
        <v>1412</v>
      </c>
      <c r="C85" s="159"/>
      <c r="D85" s="159"/>
      <c r="E85" s="159"/>
      <c r="F85" s="159"/>
      <c r="G85" s="160"/>
      <c r="H85" s="161"/>
      <c r="I85" s="161"/>
      <c r="J85" s="161"/>
      <c r="K85" s="161"/>
      <c r="L85" s="161"/>
      <c r="M85" s="161"/>
    </row>
    <row r="86" spans="1:13" s="918" customFormat="1">
      <c r="A86" s="253"/>
      <c r="B86" s="263" t="s">
        <v>1403</v>
      </c>
      <c r="C86" s="159"/>
      <c r="D86" s="159"/>
      <c r="E86" s="159"/>
      <c r="F86" s="159"/>
      <c r="G86" s="160"/>
      <c r="H86" s="161"/>
      <c r="I86" s="161"/>
      <c r="J86" s="161"/>
      <c r="K86" s="161"/>
      <c r="L86" s="161"/>
      <c r="M86" s="161"/>
    </row>
    <row r="87" spans="1:13" s="918" customFormat="1">
      <c r="A87" s="253"/>
      <c r="B87" s="263" t="s">
        <v>1413</v>
      </c>
      <c r="C87" s="159"/>
      <c r="D87" s="159"/>
      <c r="E87" s="159"/>
      <c r="F87" s="159"/>
      <c r="G87" s="160"/>
      <c r="H87" s="161"/>
      <c r="I87" s="161"/>
      <c r="J87" s="161"/>
      <c r="K87" s="161"/>
      <c r="L87" s="161"/>
      <c r="M87" s="161"/>
    </row>
    <row r="88" spans="1:13" s="918" customFormat="1">
      <c r="A88" s="253"/>
      <c r="B88" s="263" t="s">
        <v>1414</v>
      </c>
      <c r="C88" s="159"/>
      <c r="D88" s="159"/>
      <c r="E88" s="159"/>
      <c r="F88" s="159"/>
      <c r="G88" s="160"/>
      <c r="H88" s="161"/>
      <c r="I88" s="161"/>
      <c r="J88" s="161"/>
      <c r="K88" s="161"/>
      <c r="L88" s="161"/>
      <c r="M88" s="161"/>
    </row>
    <row r="89" spans="1:13" s="918" customFormat="1">
      <c r="A89" s="253"/>
      <c r="B89" s="953" t="s">
        <v>1397</v>
      </c>
      <c r="C89" s="159"/>
      <c r="D89" s="159"/>
      <c r="E89" s="159"/>
      <c r="F89" s="159"/>
      <c r="G89" s="160"/>
      <c r="H89" s="161"/>
      <c r="I89" s="161"/>
      <c r="J89" s="161"/>
      <c r="K89" s="161"/>
      <c r="L89" s="161"/>
      <c r="M89" s="161"/>
    </row>
    <row r="90" spans="1:13" s="918" customFormat="1">
      <c r="A90" s="253"/>
      <c r="B90" s="263"/>
      <c r="C90" s="159"/>
      <c r="D90" s="159"/>
      <c r="E90" s="159"/>
      <c r="F90" s="159"/>
      <c r="G90" s="160"/>
      <c r="H90" s="161"/>
      <c r="I90" s="161"/>
      <c r="J90" s="161"/>
      <c r="K90" s="161"/>
      <c r="L90" s="161"/>
      <c r="M90" s="161"/>
    </row>
    <row r="91" spans="1:13" s="918" customFormat="1">
      <c r="A91" s="253"/>
      <c r="B91" s="35" t="s">
        <v>1125</v>
      </c>
      <c r="C91" s="159"/>
      <c r="D91" s="159"/>
      <c r="E91" s="159"/>
      <c r="F91" s="159"/>
      <c r="G91" s="160"/>
      <c r="H91" s="161"/>
      <c r="I91" s="161"/>
      <c r="J91" s="161"/>
      <c r="K91" s="161"/>
      <c r="L91" s="161"/>
      <c r="M91" s="161"/>
    </row>
    <row r="92" spans="1:13" s="918" customFormat="1">
      <c r="A92" s="253"/>
      <c r="B92" s="699" t="s">
        <v>1126</v>
      </c>
      <c r="C92" s="159"/>
      <c r="D92" s="159"/>
      <c r="E92" s="159"/>
      <c r="F92" s="159"/>
      <c r="G92" s="160"/>
      <c r="H92" s="161"/>
      <c r="I92" s="161"/>
      <c r="J92" s="161"/>
      <c r="K92" s="161"/>
      <c r="L92" s="161"/>
      <c r="M92" s="161"/>
    </row>
    <row r="93" spans="1:13" s="918" customFormat="1">
      <c r="A93" s="253"/>
      <c r="B93" s="699" t="s">
        <v>1127</v>
      </c>
      <c r="C93" s="159"/>
      <c r="D93" s="159"/>
      <c r="E93" s="159"/>
      <c r="F93" s="159"/>
      <c r="G93" s="160"/>
      <c r="H93" s="161"/>
      <c r="I93" s="161"/>
      <c r="J93" s="161"/>
      <c r="K93" s="161"/>
      <c r="L93" s="161"/>
      <c r="M93" s="161"/>
    </row>
    <row r="94" spans="1:13" s="918" customFormat="1">
      <c r="A94" s="253"/>
      <c r="B94" s="699" t="s">
        <v>1128</v>
      </c>
      <c r="C94" s="159"/>
      <c r="D94" s="159"/>
      <c r="E94" s="159"/>
      <c r="F94" s="159"/>
      <c r="G94" s="160"/>
      <c r="H94" s="161"/>
      <c r="I94" s="161"/>
      <c r="J94" s="161"/>
      <c r="K94" s="161"/>
      <c r="L94" s="161"/>
      <c r="M94" s="161"/>
    </row>
    <row r="95" spans="1:13" s="918" customFormat="1">
      <c r="A95" s="253"/>
      <c r="B95" s="699" t="s">
        <v>1129</v>
      </c>
      <c r="C95" s="159"/>
      <c r="D95" s="159"/>
      <c r="E95" s="159"/>
      <c r="F95" s="159"/>
      <c r="G95" s="160"/>
      <c r="H95" s="161"/>
      <c r="I95" s="161"/>
      <c r="J95" s="161"/>
      <c r="K95" s="161"/>
      <c r="L95" s="161"/>
      <c r="M95" s="161"/>
    </row>
    <row r="96" spans="1:13" s="918" customFormat="1">
      <c r="A96" s="253"/>
      <c r="B96" s="699" t="s">
        <v>1130</v>
      </c>
      <c r="C96" s="159"/>
      <c r="D96" s="159"/>
      <c r="E96" s="159"/>
      <c r="F96" s="159"/>
      <c r="G96" s="160"/>
      <c r="H96" s="161"/>
      <c r="I96" s="161"/>
      <c r="J96" s="161"/>
      <c r="K96" s="161"/>
      <c r="L96" s="161"/>
      <c r="M96" s="161"/>
    </row>
    <row r="97" spans="1:14" s="918" customFormat="1">
      <c r="A97" s="253"/>
      <c r="B97" s="953" t="s">
        <v>1397</v>
      </c>
      <c r="C97" s="159"/>
      <c r="D97" s="159"/>
      <c r="E97" s="159"/>
      <c r="F97" s="159"/>
      <c r="G97" s="160"/>
      <c r="H97" s="161"/>
      <c r="I97" s="161"/>
      <c r="J97" s="161"/>
      <c r="K97" s="161"/>
      <c r="L97" s="161"/>
      <c r="M97" s="161"/>
    </row>
    <row r="98" spans="1:14" s="918" customFormat="1">
      <c r="A98" s="253"/>
      <c r="B98" s="697" t="s">
        <v>1133</v>
      </c>
      <c r="C98" s="159"/>
      <c r="D98" s="159"/>
      <c r="E98" s="159"/>
      <c r="F98" s="159"/>
      <c r="G98" s="160"/>
      <c r="H98" s="161"/>
      <c r="I98" s="161"/>
      <c r="J98" s="161"/>
      <c r="K98" s="161"/>
      <c r="L98" s="161"/>
      <c r="M98" s="161"/>
    </row>
    <row r="99" spans="1:14" s="918" customFormat="1">
      <c r="A99" s="253"/>
      <c r="B99" s="699" t="s">
        <v>1415</v>
      </c>
      <c r="C99" s="159"/>
      <c r="D99" s="159"/>
      <c r="E99" s="159"/>
      <c r="F99" s="159"/>
      <c r="G99" s="160"/>
      <c r="H99" s="161"/>
      <c r="I99" s="161"/>
      <c r="J99" s="161"/>
      <c r="K99" s="161"/>
      <c r="L99" s="161"/>
      <c r="M99" s="161"/>
    </row>
    <row r="100" spans="1:14" s="918" customFormat="1">
      <c r="A100" s="253"/>
      <c r="B100" s="699" t="s">
        <v>1134</v>
      </c>
      <c r="C100" s="159"/>
      <c r="D100" s="159"/>
      <c r="E100" s="159"/>
      <c r="F100" s="159"/>
      <c r="G100" s="160"/>
      <c r="H100" s="161"/>
      <c r="I100" s="161"/>
      <c r="J100" s="161"/>
      <c r="K100" s="161"/>
      <c r="L100" s="161"/>
      <c r="M100" s="161"/>
    </row>
    <row r="101" spans="1:14" s="918" customFormat="1">
      <c r="A101" s="253"/>
      <c r="B101" s="699" t="s">
        <v>1135</v>
      </c>
      <c r="C101" s="159"/>
      <c r="D101" s="159"/>
      <c r="E101" s="159"/>
      <c r="F101" s="159"/>
      <c r="G101" s="160"/>
      <c r="H101" s="161"/>
      <c r="I101" s="161"/>
      <c r="J101" s="161"/>
      <c r="K101" s="161"/>
      <c r="L101" s="161"/>
      <c r="M101" s="161"/>
    </row>
    <row r="102" spans="1:14" s="918" customFormat="1">
      <c r="A102" s="253"/>
      <c r="B102" s="953" t="s">
        <v>1397</v>
      </c>
      <c r="C102" s="159"/>
      <c r="D102" s="159"/>
      <c r="E102" s="159"/>
      <c r="F102" s="159"/>
      <c r="G102" s="160"/>
      <c r="H102" s="161"/>
      <c r="I102" s="161"/>
      <c r="J102" s="161"/>
      <c r="K102" s="161"/>
      <c r="L102" s="161"/>
      <c r="M102" s="161"/>
    </row>
    <row r="103" spans="1:14" s="918" customFormat="1">
      <c r="A103" s="253"/>
      <c r="B103" s="697" t="s">
        <v>1137</v>
      </c>
      <c r="C103" s="159"/>
      <c r="D103" s="159"/>
      <c r="E103" s="159"/>
      <c r="F103" s="159"/>
      <c r="G103" s="160"/>
      <c r="H103" s="161"/>
      <c r="I103" s="161"/>
      <c r="J103" s="161"/>
      <c r="K103" s="161"/>
      <c r="L103" s="161"/>
      <c r="M103" s="161"/>
    </row>
    <row r="104" spans="1:14" s="918" customFormat="1">
      <c r="A104" s="253"/>
      <c r="B104" s="699" t="s">
        <v>1138</v>
      </c>
      <c r="C104" s="159"/>
      <c r="D104" s="159"/>
      <c r="E104" s="159"/>
      <c r="F104" s="159"/>
      <c r="G104" s="160"/>
      <c r="H104" s="161"/>
      <c r="I104" s="161"/>
      <c r="J104" s="161"/>
      <c r="K104" s="161"/>
      <c r="L104" s="161"/>
      <c r="M104" s="161"/>
    </row>
    <row r="105" spans="1:14" s="918" customFormat="1">
      <c r="A105" s="253"/>
      <c r="B105" s="699" t="s">
        <v>1139</v>
      </c>
      <c r="C105" s="159"/>
      <c r="D105" s="159"/>
      <c r="E105" s="159"/>
      <c r="F105" s="159"/>
      <c r="G105" s="160"/>
      <c r="H105" s="161"/>
      <c r="I105" s="161"/>
      <c r="J105" s="161"/>
      <c r="K105" s="161"/>
      <c r="L105" s="161"/>
      <c r="M105" s="161"/>
    </row>
    <row r="106" spans="1:14" s="918" customFormat="1">
      <c r="A106" s="253"/>
      <c r="B106" s="699" t="s">
        <v>1140</v>
      </c>
      <c r="C106" s="159"/>
      <c r="D106" s="159"/>
      <c r="E106" s="159"/>
      <c r="F106" s="159"/>
      <c r="G106" s="160"/>
      <c r="H106" s="161"/>
      <c r="I106" s="161"/>
      <c r="J106" s="161"/>
      <c r="K106" s="161"/>
      <c r="L106" s="161"/>
      <c r="M106" s="161"/>
    </row>
    <row r="107" spans="1:14" s="918" customFormat="1">
      <c r="A107" s="253"/>
      <c r="B107" s="953" t="s">
        <v>1397</v>
      </c>
      <c r="C107" s="159"/>
      <c r="D107" s="159"/>
      <c r="E107" s="159"/>
      <c r="F107" s="159"/>
      <c r="G107" s="160"/>
      <c r="H107" s="161"/>
      <c r="I107" s="161"/>
      <c r="J107" s="161"/>
      <c r="K107" s="161"/>
      <c r="L107" s="161"/>
      <c r="M107" s="161"/>
    </row>
    <row r="108" spans="1:14" s="918" customFormat="1">
      <c r="A108" s="253"/>
      <c r="B108" s="954" t="s">
        <v>1416</v>
      </c>
      <c r="C108" s="159"/>
      <c r="D108" s="159"/>
      <c r="E108" s="159"/>
      <c r="F108" s="159"/>
      <c r="G108" s="160"/>
      <c r="H108" s="161"/>
      <c r="I108" s="1190"/>
      <c r="J108" s="161"/>
      <c r="K108" s="161"/>
      <c r="L108" s="161"/>
      <c r="M108" s="161"/>
    </row>
    <row r="109" spans="1:14" s="918" customFormat="1">
      <c r="A109" s="253"/>
      <c r="B109" s="954" t="s">
        <v>1417</v>
      </c>
      <c r="C109" s="159"/>
      <c r="D109" s="159"/>
      <c r="E109" s="159"/>
      <c r="F109" s="159"/>
      <c r="G109" s="160"/>
      <c r="H109" s="161"/>
      <c r="I109" s="161"/>
      <c r="J109" s="161"/>
      <c r="K109" s="161"/>
      <c r="L109" s="161"/>
      <c r="M109" s="161"/>
    </row>
    <row r="110" spans="1:14" s="918" customFormat="1">
      <c r="A110" s="253"/>
      <c r="B110" s="697" t="s">
        <v>126</v>
      </c>
      <c r="C110" s="159"/>
      <c r="D110" s="159"/>
      <c r="E110" s="159"/>
      <c r="F110" s="159"/>
      <c r="G110" s="160"/>
      <c r="H110" s="161"/>
      <c r="I110" s="161"/>
      <c r="J110" s="161"/>
      <c r="K110" s="161"/>
      <c r="L110" s="161"/>
      <c r="M110" s="161"/>
    </row>
    <row r="111" spans="1:14" s="918" customFormat="1">
      <c r="A111" s="253"/>
      <c r="B111" s="561"/>
      <c r="C111" s="159"/>
      <c r="D111" s="159"/>
      <c r="E111" s="159"/>
      <c r="F111" s="159"/>
      <c r="G111" s="160"/>
      <c r="H111" s="161"/>
      <c r="I111" s="161"/>
      <c r="J111" s="161"/>
      <c r="K111" s="161"/>
      <c r="L111" s="161"/>
      <c r="M111" s="161"/>
    </row>
    <row r="112" spans="1:14" s="386" customFormat="1">
      <c r="A112" s="158"/>
      <c r="B112" s="423"/>
      <c r="C112" s="423"/>
      <c r="D112" s="423"/>
      <c r="E112" s="423"/>
      <c r="F112" s="423"/>
      <c r="G112" s="247"/>
      <c r="H112" s="247"/>
      <c r="I112" s="247"/>
      <c r="J112" s="247"/>
      <c r="K112" s="247"/>
      <c r="L112" s="247"/>
      <c r="M112" s="247"/>
      <c r="N112" s="1310"/>
    </row>
    <row r="113" spans="1:14" s="386" customFormat="1">
      <c r="A113" s="158"/>
      <c r="B113" s="423" t="s">
        <v>22</v>
      </c>
      <c r="C113" s="771">
        <v>296.99</v>
      </c>
      <c r="D113" s="771">
        <v>320.49</v>
      </c>
      <c r="E113" s="771">
        <v>320.49</v>
      </c>
      <c r="F113" s="771">
        <v>320.49</v>
      </c>
      <c r="G113" s="771">
        <v>320.49</v>
      </c>
      <c r="H113" s="771">
        <v>487.72</v>
      </c>
      <c r="I113" s="771">
        <v>461.72489999999999</v>
      </c>
      <c r="J113" s="771">
        <f>I113</f>
        <v>461.72489999999999</v>
      </c>
      <c r="K113" s="771">
        <v>487.72</v>
      </c>
      <c r="L113" s="771">
        <v>531.9624890455359</v>
      </c>
      <c r="M113" s="771">
        <v>541.95726181655778</v>
      </c>
      <c r="N113" s="1310"/>
    </row>
    <row r="114" spans="1:14" s="648" customFormat="1">
      <c r="A114" s="664"/>
      <c r="B114" s="843" t="s">
        <v>1355</v>
      </c>
      <c r="C114" s="771">
        <v>0</v>
      </c>
      <c r="D114" s="771">
        <v>0</v>
      </c>
      <c r="E114" s="771">
        <v>0</v>
      </c>
      <c r="F114" s="771">
        <v>0</v>
      </c>
      <c r="G114" s="771">
        <v>0</v>
      </c>
      <c r="H114" s="771">
        <v>0</v>
      </c>
      <c r="I114" s="771">
        <v>0</v>
      </c>
      <c r="J114" s="771">
        <v>0</v>
      </c>
      <c r="K114" s="771">
        <v>0</v>
      </c>
      <c r="L114" s="1283">
        <v>4.2500000000000003E-2</v>
      </c>
      <c r="M114" s="1283">
        <v>4.2500000000000003E-2</v>
      </c>
      <c r="N114" s="1310"/>
    </row>
    <row r="115" spans="1:14" s="648" customFormat="1">
      <c r="A115" s="664"/>
      <c r="B115" s="844" t="s">
        <v>1358</v>
      </c>
      <c r="C115" s="771">
        <v>24.18</v>
      </c>
      <c r="D115" s="771">
        <v>23.98</v>
      </c>
      <c r="E115" s="771">
        <v>23.98</v>
      </c>
      <c r="F115" s="771">
        <v>23.98</v>
      </c>
      <c r="G115" s="771">
        <v>23.98</v>
      </c>
      <c r="H115" s="771">
        <v>21.66</v>
      </c>
      <c r="I115" s="771">
        <v>19.949393000000001</v>
      </c>
      <c r="J115" s="771">
        <f>I115</f>
        <v>19.949393000000001</v>
      </c>
      <c r="K115" s="771">
        <v>22.68</v>
      </c>
      <c r="L115" s="771">
        <f>AVERAGE(I113,L113)*L114</f>
        <v>21.115857017217639</v>
      </c>
      <c r="M115" s="771">
        <f>AVERAGE(L113,M113)*M114</f>
        <v>22.820794705819491</v>
      </c>
    </row>
    <row r="116" spans="1:14">
      <c r="A116" s="585"/>
      <c r="B116" s="3441" t="s">
        <v>1289</v>
      </c>
      <c r="C116" s="3441"/>
      <c r="D116" s="3441"/>
      <c r="E116" s="3441"/>
      <c r="F116" s="3441"/>
      <c r="G116" s="3441"/>
      <c r="H116" s="3441"/>
      <c r="I116" s="3441"/>
      <c r="J116" s="585"/>
      <c r="K116" s="585"/>
      <c r="L116" s="585"/>
      <c r="M116" s="585"/>
    </row>
    <row r="119" spans="1:14">
      <c r="H119" s="3327"/>
      <c r="I119" s="3327"/>
      <c r="J119" s="3327"/>
      <c r="K119" s="250"/>
    </row>
  </sheetData>
  <mergeCells count="13">
    <mergeCell ref="L3:M3"/>
    <mergeCell ref="I3:J3"/>
    <mergeCell ref="B5:B7"/>
    <mergeCell ref="A5:A7"/>
    <mergeCell ref="H6:J6"/>
    <mergeCell ref="C5:G5"/>
    <mergeCell ref="K5:L5"/>
    <mergeCell ref="K6:L6"/>
    <mergeCell ref="H119:J119"/>
    <mergeCell ref="I4:J4"/>
    <mergeCell ref="H5:J5"/>
    <mergeCell ref="B116:I116"/>
    <mergeCell ref="K4:L4"/>
  </mergeCells>
  <printOptions horizontalCentered="1"/>
  <pageMargins left="0.19685039370078741" right="0.19685039370078741" top="0.19685039370078741" bottom="0.19685039370078741" header="0.19685039370078741" footer="0.19685039370078741"/>
  <pageSetup paperSize="9" scale="89" fitToHeight="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view="pageBreakPreview" zoomScaleNormal="70" zoomScaleSheetLayoutView="100" workbookViewId="0">
      <selection activeCell="C105" sqref="C105"/>
    </sheetView>
  </sheetViews>
  <sheetFormatPr defaultColWidth="9.1796875" defaultRowHeight="14.5"/>
  <cols>
    <col min="1" max="1" width="6.453125" customWidth="1"/>
    <col min="2" max="2" width="55.7265625" customWidth="1"/>
    <col min="3" max="6" width="13.1796875" customWidth="1"/>
    <col min="7" max="7" width="13.1796875" style="251" customWidth="1"/>
    <col min="8" max="9" width="13.1796875" customWidth="1"/>
  </cols>
  <sheetData>
    <row r="1" spans="1:9" s="251" customFormat="1">
      <c r="A1" s="3314" t="s">
        <v>495</v>
      </c>
      <c r="B1" s="3314"/>
    </row>
    <row r="2" spans="1:9">
      <c r="A2" s="715" t="s">
        <v>1604</v>
      </c>
      <c r="B2" s="715"/>
      <c r="C2" s="715"/>
      <c r="D2" s="715"/>
      <c r="E2" s="715"/>
      <c r="F2" s="715"/>
      <c r="G2" s="248"/>
    </row>
    <row r="3" spans="1:9">
      <c r="A3" s="304" t="s">
        <v>175</v>
      </c>
      <c r="B3" s="304"/>
      <c r="C3" s="304"/>
      <c r="D3" s="304"/>
      <c r="E3" s="3330"/>
      <c r="F3" s="3330"/>
      <c r="G3" s="256"/>
      <c r="H3" s="3330"/>
      <c r="I3" s="3330"/>
    </row>
    <row r="4" spans="1:9">
      <c r="A4" s="4"/>
      <c r="B4" s="4"/>
      <c r="E4" s="3446"/>
      <c r="F4" s="3446"/>
      <c r="G4" s="262"/>
      <c r="H4" s="3446" t="s">
        <v>64</v>
      </c>
      <c r="I4" s="3446"/>
    </row>
    <row r="5" spans="1:9">
      <c r="A5" s="2994" t="s">
        <v>12</v>
      </c>
      <c r="B5" s="3445" t="s">
        <v>14</v>
      </c>
      <c r="C5" s="249" t="s">
        <v>884</v>
      </c>
      <c r="D5" s="3026" t="s">
        <v>542</v>
      </c>
      <c r="E5" s="3026"/>
      <c r="F5" s="3026"/>
      <c r="G5" s="3024" t="s">
        <v>550</v>
      </c>
      <c r="H5" s="3025"/>
      <c r="I5" s="1308" t="s">
        <v>952</v>
      </c>
    </row>
    <row r="6" spans="1:9">
      <c r="A6" s="2994"/>
      <c r="B6" s="3445"/>
      <c r="C6" s="646" t="s">
        <v>551</v>
      </c>
      <c r="D6" s="3018" t="s">
        <v>545</v>
      </c>
      <c r="E6" s="3019"/>
      <c r="F6" s="3022"/>
      <c r="G6" s="3018" t="s">
        <v>546</v>
      </c>
      <c r="H6" s="3022"/>
      <c r="I6" s="646" t="s">
        <v>547</v>
      </c>
    </row>
    <row r="7" spans="1:9" ht="29">
      <c r="A7" s="2994"/>
      <c r="B7" s="3445"/>
      <c r="C7" s="193" t="s">
        <v>554</v>
      </c>
      <c r="D7" s="200" t="s">
        <v>543</v>
      </c>
      <c r="E7" s="201" t="s">
        <v>281</v>
      </c>
      <c r="F7" s="201" t="s">
        <v>544</v>
      </c>
      <c r="G7" s="200" t="s">
        <v>543</v>
      </c>
      <c r="H7" s="200" t="s">
        <v>552</v>
      </c>
      <c r="I7" s="201" t="s">
        <v>283</v>
      </c>
    </row>
    <row r="8" spans="1:9">
      <c r="A8" s="18" t="s">
        <v>57</v>
      </c>
      <c r="B8" s="91" t="s">
        <v>180</v>
      </c>
      <c r="C8" s="727"/>
      <c r="D8" s="727"/>
      <c r="E8" s="727"/>
      <c r="F8" s="727">
        <f>E8</f>
        <v>0</v>
      </c>
      <c r="G8" s="727"/>
      <c r="H8" s="727">
        <f>F17</f>
        <v>0</v>
      </c>
      <c r="I8" s="727"/>
    </row>
    <row r="9" spans="1:9">
      <c r="A9" s="7"/>
      <c r="B9" s="87"/>
      <c r="C9" s="727"/>
      <c r="D9" s="727"/>
      <c r="E9" s="727"/>
      <c r="F9" s="727"/>
      <c r="G9" s="727"/>
      <c r="H9" s="727"/>
      <c r="I9" s="727"/>
    </row>
    <row r="10" spans="1:9">
      <c r="A10" s="18" t="s">
        <v>58</v>
      </c>
      <c r="B10" s="91" t="s">
        <v>181</v>
      </c>
      <c r="C10" s="727">
        <f>'F1'!D13</f>
        <v>11782.09</v>
      </c>
      <c r="D10" s="727">
        <f>'F1'!E13</f>
        <v>13588.44</v>
      </c>
      <c r="E10" s="727">
        <f>'F1'!F13</f>
        <v>11690.8567296</v>
      </c>
      <c r="F10" s="727">
        <f>E10</f>
        <v>11690.8567296</v>
      </c>
      <c r="G10" s="727">
        <v>14413.91</v>
      </c>
      <c r="H10" s="727">
        <f>'F1'!H13</f>
        <v>13469.269785867667</v>
      </c>
      <c r="I10" s="727">
        <f>'F1'!I13+'F1'!I46</f>
        <v>13722.337048453945</v>
      </c>
    </row>
    <row r="11" spans="1:9">
      <c r="A11" s="7"/>
      <c r="B11" s="87"/>
      <c r="C11" s="727"/>
      <c r="D11" s="727"/>
      <c r="E11" s="727"/>
      <c r="F11" s="727"/>
      <c r="G11" s="727"/>
      <c r="H11" s="727"/>
      <c r="I11" s="727"/>
    </row>
    <row r="12" spans="1:9">
      <c r="A12" s="18" t="s">
        <v>67</v>
      </c>
      <c r="B12" s="91" t="s">
        <v>182</v>
      </c>
      <c r="C12" s="727"/>
      <c r="D12" s="727"/>
      <c r="E12" s="727"/>
      <c r="F12" s="727"/>
      <c r="G12" s="727"/>
      <c r="H12" s="727"/>
      <c r="I12" s="727"/>
    </row>
    <row r="13" spans="1:9">
      <c r="A13" s="7" t="s">
        <v>129</v>
      </c>
      <c r="B13" s="87" t="s">
        <v>497</v>
      </c>
      <c r="C13" s="727"/>
      <c r="D13" s="727"/>
      <c r="E13" s="727"/>
      <c r="F13" s="727"/>
      <c r="G13" s="727"/>
      <c r="H13" s="727"/>
      <c r="I13" s="727"/>
    </row>
    <row r="14" spans="1:9">
      <c r="A14" s="7" t="s">
        <v>130</v>
      </c>
      <c r="B14" s="87" t="s">
        <v>496</v>
      </c>
      <c r="C14" s="826"/>
      <c r="D14" s="826"/>
      <c r="E14" s="826"/>
      <c r="F14" s="826"/>
      <c r="G14" s="826"/>
      <c r="H14" s="826"/>
      <c r="I14" s="826"/>
    </row>
    <row r="15" spans="1:9">
      <c r="A15" s="7"/>
      <c r="B15" s="87" t="s">
        <v>22</v>
      </c>
      <c r="C15" s="775"/>
      <c r="D15" s="775"/>
      <c r="E15" s="1069">
        <f>E8+E10-E17</f>
        <v>11690.8567296</v>
      </c>
      <c r="F15" s="1069">
        <f>E15</f>
        <v>11690.8567296</v>
      </c>
      <c r="G15" s="1069">
        <f>G8+G10-G17</f>
        <v>14413.91</v>
      </c>
      <c r="H15" s="775"/>
      <c r="I15" s="775"/>
    </row>
    <row r="16" spans="1:9">
      <c r="A16" s="7"/>
      <c r="B16" s="642" t="s">
        <v>1356</v>
      </c>
      <c r="C16" s="825"/>
      <c r="D16" s="825"/>
      <c r="E16" s="825"/>
      <c r="F16" s="825"/>
      <c r="G16" s="825"/>
      <c r="H16" s="825"/>
      <c r="I16" s="825"/>
    </row>
    <row r="17" spans="1:9">
      <c r="A17" s="18" t="s">
        <v>68</v>
      </c>
      <c r="B17" s="91" t="s">
        <v>183</v>
      </c>
      <c r="C17" s="727"/>
      <c r="D17" s="727"/>
      <c r="E17" s="727"/>
      <c r="F17" s="727">
        <f>E17</f>
        <v>0</v>
      </c>
      <c r="G17" s="727"/>
      <c r="H17" s="727">
        <f t="shared" ref="H17:I17" si="0">H8+H10-H15</f>
        <v>13469.269785867667</v>
      </c>
      <c r="I17" s="727">
        <f t="shared" si="0"/>
        <v>13722.337048453945</v>
      </c>
    </row>
    <row r="18" spans="1:9">
      <c r="B18" s="93"/>
    </row>
    <row r="20" spans="1:9">
      <c r="D20" s="2"/>
      <c r="E20" s="2"/>
      <c r="F20" s="2"/>
      <c r="G20" s="2"/>
    </row>
  </sheetData>
  <mergeCells count="11">
    <mergeCell ref="A1:B1"/>
    <mergeCell ref="D6:F6"/>
    <mergeCell ref="G5:H5"/>
    <mergeCell ref="G6:H6"/>
    <mergeCell ref="D5:F5"/>
    <mergeCell ref="A5:A7"/>
    <mergeCell ref="B5:B7"/>
    <mergeCell ref="E3:F3"/>
    <mergeCell ref="E4:F4"/>
    <mergeCell ref="H3:I3"/>
    <mergeCell ref="H4:I4"/>
  </mergeCells>
  <printOptions horizontalCentered="1"/>
  <pageMargins left="0.19685039370078741" right="0.19685039370078741" top="0.19685039370078741" bottom="0.19685039370078741" header="0.19685039370078741" footer="0.19685039370078741"/>
  <pageSetup paperSize="9" scale="93"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view="pageBreakPreview" topLeftCell="C10" zoomScaleNormal="124" zoomScaleSheetLayoutView="100" workbookViewId="0">
      <selection activeCell="C105" sqref="C105"/>
    </sheetView>
  </sheetViews>
  <sheetFormatPr defaultRowHeight="14.5"/>
  <cols>
    <col min="1" max="1" width="9.1796875" style="610"/>
    <col min="2" max="2" width="59.453125" bestFit="1" customWidth="1"/>
    <col min="3" max="3" width="16.26953125" customWidth="1"/>
    <col min="5" max="5" width="13.54296875" customWidth="1"/>
    <col min="6" max="6" width="12.54296875" customWidth="1"/>
    <col min="7" max="7" width="13.26953125" customWidth="1"/>
    <col min="10" max="10" width="54.26953125" customWidth="1"/>
    <col min="11" max="11" width="12.81640625" customWidth="1"/>
  </cols>
  <sheetData>
    <row r="1" spans="2:11">
      <c r="B1" s="612" t="s">
        <v>928</v>
      </c>
      <c r="C1" s="610"/>
      <c r="D1" s="610"/>
      <c r="E1" s="610"/>
      <c r="F1" s="610"/>
    </row>
    <row r="2" spans="2:11">
      <c r="B2" s="392" t="s">
        <v>1604</v>
      </c>
      <c r="C2" s="605"/>
      <c r="D2" s="605"/>
      <c r="E2" s="605"/>
      <c r="F2" s="605"/>
    </row>
    <row r="3" spans="2:11">
      <c r="B3" s="304" t="s">
        <v>1237</v>
      </c>
      <c r="C3" s="304"/>
      <c r="D3" s="304"/>
      <c r="E3" s="613"/>
      <c r="F3" s="613"/>
      <c r="G3" s="1314"/>
    </row>
    <row r="4" spans="2:11" s="442" customFormat="1">
      <c r="B4" s="441"/>
      <c r="C4" s="441"/>
      <c r="D4" s="441"/>
      <c r="E4" s="441"/>
      <c r="F4" s="443"/>
      <c r="G4" s="444" t="s">
        <v>141</v>
      </c>
      <c r="H4" s="444"/>
    </row>
    <row r="5" spans="2:11">
      <c r="B5" s="3448" t="s">
        <v>14</v>
      </c>
      <c r="C5" s="3357" t="s">
        <v>924</v>
      </c>
      <c r="D5" s="3357"/>
      <c r="E5" s="3357" t="s">
        <v>927</v>
      </c>
      <c r="F5" s="3357"/>
      <c r="G5" s="3357"/>
      <c r="J5" s="588" t="s">
        <v>1435</v>
      </c>
      <c r="K5" s="588"/>
    </row>
    <row r="6" spans="2:11" ht="29">
      <c r="B6" s="3448"/>
      <c r="C6" s="439" t="s">
        <v>925</v>
      </c>
      <c r="D6" s="439" t="s">
        <v>926</v>
      </c>
      <c r="E6" s="439" t="s">
        <v>925</v>
      </c>
      <c r="F6" s="439" t="s">
        <v>926</v>
      </c>
      <c r="G6" s="439" t="s">
        <v>22</v>
      </c>
      <c r="J6" s="587" t="s">
        <v>14</v>
      </c>
      <c r="K6" s="579" t="s">
        <v>1436</v>
      </c>
    </row>
    <row r="7" spans="2:11">
      <c r="B7" s="1124" t="s">
        <v>1501</v>
      </c>
      <c r="C7" s="1120">
        <v>0</v>
      </c>
      <c r="D7" s="1120">
        <f>1-C7</f>
        <v>1</v>
      </c>
      <c r="E7" s="1142">
        <f>C7*K7</f>
        <v>0</v>
      </c>
      <c r="F7" s="1142">
        <f>D7*K7</f>
        <v>13062.663604052679</v>
      </c>
      <c r="G7" s="1143">
        <f>SUM(E7:F7)</f>
        <v>13062.663604052679</v>
      </c>
      <c r="J7" s="1125" t="s">
        <v>1501</v>
      </c>
      <c r="K7" s="1135">
        <f>'F1'!I17</f>
        <v>13062.663604052679</v>
      </c>
    </row>
    <row r="8" spans="2:11" ht="26">
      <c r="B8" s="1125" t="s">
        <v>1502</v>
      </c>
      <c r="C8" s="1120">
        <v>0</v>
      </c>
      <c r="D8" s="1120">
        <f>1-C8</f>
        <v>1</v>
      </c>
      <c r="E8" s="1142">
        <f t="shared" ref="E8:E9" si="0">C8*K8</f>
        <v>0</v>
      </c>
      <c r="F8" s="1142">
        <f t="shared" ref="F8:F9" si="1">D8*K8</f>
        <v>0</v>
      </c>
      <c r="G8" s="1143">
        <f t="shared" ref="G8:G27" si="2">SUM(E8:F8)</f>
        <v>0</v>
      </c>
      <c r="J8" s="1125" t="s">
        <v>1502</v>
      </c>
      <c r="K8" s="1136">
        <f>'F1'!I27</f>
        <v>0</v>
      </c>
    </row>
    <row r="9" spans="2:11">
      <c r="B9" s="1124" t="s">
        <v>1503</v>
      </c>
      <c r="C9" s="1120">
        <v>0</v>
      </c>
      <c r="D9" s="1120">
        <f>1-C9</f>
        <v>1</v>
      </c>
      <c r="E9" s="1142">
        <f t="shared" si="0"/>
        <v>0</v>
      </c>
      <c r="F9" s="1142">
        <f t="shared" si="1"/>
        <v>665.64692773537399</v>
      </c>
      <c r="G9" s="1143">
        <f t="shared" si="2"/>
        <v>665.64692773537399</v>
      </c>
      <c r="J9" s="1125" t="s">
        <v>1520</v>
      </c>
      <c r="K9" s="1135">
        <f>'F1'!I19</f>
        <v>665.64692773537399</v>
      </c>
    </row>
    <row r="10" spans="2:11">
      <c r="B10" s="1126" t="s">
        <v>821</v>
      </c>
      <c r="C10" s="1121"/>
      <c r="D10" s="1121"/>
      <c r="E10" s="1142"/>
      <c r="F10" s="1142"/>
      <c r="G10" s="1143"/>
      <c r="J10" s="1137" t="s">
        <v>821</v>
      </c>
      <c r="K10" s="772"/>
    </row>
    <row r="11" spans="2:11">
      <c r="B11" s="1127" t="s">
        <v>1504</v>
      </c>
      <c r="C11" s="1122">
        <v>0.6</v>
      </c>
      <c r="D11" s="1120">
        <f t="shared" ref="D11:D16" si="3">1-C11</f>
        <v>0.4</v>
      </c>
      <c r="E11" s="1142">
        <f>C11*K11</f>
        <v>488.19775381792766</v>
      </c>
      <c r="F11" s="1142">
        <f>D11*K11</f>
        <v>325.46516921195183</v>
      </c>
      <c r="G11" s="1143">
        <f t="shared" si="2"/>
        <v>813.66292302987949</v>
      </c>
      <c r="J11" s="1138" t="s">
        <v>1521</v>
      </c>
      <c r="K11" s="1135">
        <f>'F1'!I22</f>
        <v>813.66292302987949</v>
      </c>
    </row>
    <row r="12" spans="2:11">
      <c r="B12" s="1127" t="s">
        <v>1505</v>
      </c>
      <c r="C12" s="1122">
        <v>0.4</v>
      </c>
      <c r="D12" s="1120">
        <f t="shared" si="3"/>
        <v>0.6</v>
      </c>
      <c r="E12" s="1142">
        <f>C12*K12</f>
        <v>72.950995990041491</v>
      </c>
      <c r="F12" s="1142">
        <f t="shared" ref="F12:F27" si="4">D12*K12</f>
        <v>109.42649398506222</v>
      </c>
      <c r="G12" s="1143">
        <f t="shared" si="2"/>
        <v>182.37748997510371</v>
      </c>
      <c r="J12" s="1138" t="s">
        <v>1522</v>
      </c>
      <c r="K12" s="1135">
        <f>'F1'!I23</f>
        <v>182.37748997510371</v>
      </c>
    </row>
    <row r="13" spans="2:11">
      <c r="B13" s="1127" t="s">
        <v>1506</v>
      </c>
      <c r="C13" s="1122">
        <v>0.9</v>
      </c>
      <c r="D13" s="1120">
        <f t="shared" si="3"/>
        <v>9.9999999999999978E-2</v>
      </c>
      <c r="E13" s="1142">
        <f t="shared" ref="E13:E27" si="5">C13*K13</f>
        <v>865.66222575965594</v>
      </c>
      <c r="F13" s="1142">
        <f t="shared" si="4"/>
        <v>96.184691751072847</v>
      </c>
      <c r="G13" s="1143">
        <f t="shared" si="2"/>
        <v>961.84691751072876</v>
      </c>
      <c r="J13" s="1138" t="s">
        <v>1523</v>
      </c>
      <c r="K13" s="1135">
        <f>'F1'!I21</f>
        <v>961.84691751072876</v>
      </c>
    </row>
    <row r="14" spans="2:11">
      <c r="B14" s="1128" t="s">
        <v>1351</v>
      </c>
      <c r="C14" s="1120">
        <v>0</v>
      </c>
      <c r="D14" s="1120">
        <f t="shared" si="3"/>
        <v>1</v>
      </c>
      <c r="E14" s="1142">
        <f t="shared" si="5"/>
        <v>0</v>
      </c>
      <c r="F14" s="1142">
        <f t="shared" si="4"/>
        <v>144.75518716319999</v>
      </c>
      <c r="G14" s="1143">
        <f t="shared" si="2"/>
        <v>144.75518716319999</v>
      </c>
      <c r="J14" s="1524" t="s">
        <v>1351</v>
      </c>
      <c r="K14" s="1135">
        <f>'F1'!I26</f>
        <v>144.75518716319999</v>
      </c>
    </row>
    <row r="15" spans="2:11" s="776" customFormat="1">
      <c r="B15" s="1127" t="s">
        <v>1507</v>
      </c>
      <c r="C15" s="1120">
        <v>0.9</v>
      </c>
      <c r="D15" s="1120">
        <f t="shared" si="3"/>
        <v>9.9999999999999978E-2</v>
      </c>
      <c r="E15" s="1142">
        <f t="shared" si="5"/>
        <v>776.38750392798579</v>
      </c>
      <c r="F15" s="1142">
        <f t="shared" si="4"/>
        <v>86.265278214220629</v>
      </c>
      <c r="G15" s="1143">
        <f t="shared" si="2"/>
        <v>862.65278214220643</v>
      </c>
      <c r="J15" s="1125" t="s">
        <v>1524</v>
      </c>
      <c r="K15" s="1135">
        <f>SUM('F1'!I29:I32)</f>
        <v>862.65278214220643</v>
      </c>
    </row>
    <row r="16" spans="2:11" s="776" customFormat="1">
      <c r="B16" s="1127" t="s">
        <v>25</v>
      </c>
      <c r="C16" s="1120">
        <v>0.9</v>
      </c>
      <c r="D16" s="1120">
        <f t="shared" si="3"/>
        <v>9.9999999999999978E-2</v>
      </c>
      <c r="E16" s="1142">
        <f t="shared" si="5"/>
        <v>887.63304283712887</v>
      </c>
      <c r="F16" s="1142">
        <f t="shared" si="4"/>
        <v>98.625893648569857</v>
      </c>
      <c r="G16" s="1143">
        <f t="shared" si="2"/>
        <v>986.25893648569877</v>
      </c>
      <c r="J16" s="1138" t="s">
        <v>25</v>
      </c>
      <c r="K16" s="1135">
        <f>'F1'!I28</f>
        <v>986.25893648569877</v>
      </c>
    </row>
    <row r="17" spans="2:11">
      <c r="B17" s="1129" t="s">
        <v>1508</v>
      </c>
      <c r="C17" s="1123"/>
      <c r="D17" s="1123"/>
      <c r="E17" s="1142"/>
      <c r="F17" s="1142"/>
      <c r="G17" s="1143"/>
      <c r="J17" s="1137" t="s">
        <v>1508</v>
      </c>
      <c r="K17" s="1139">
        <f>SUM(K7:K16)</f>
        <v>17679.864768094871</v>
      </c>
    </row>
    <row r="18" spans="2:11">
      <c r="B18" s="1129" t="s">
        <v>1509</v>
      </c>
      <c r="C18" s="1123"/>
      <c r="D18" s="1123"/>
      <c r="E18" s="1142"/>
      <c r="F18" s="1142"/>
      <c r="G18" s="1143"/>
      <c r="J18" s="1137" t="s">
        <v>1509</v>
      </c>
      <c r="K18" s="1137"/>
    </row>
    <row r="19" spans="2:11">
      <c r="B19" s="1127" t="s">
        <v>1510</v>
      </c>
      <c r="C19" s="1122">
        <v>0.6</v>
      </c>
      <c r="D19" s="1120">
        <f>1-C19</f>
        <v>0.4</v>
      </c>
      <c r="E19" s="1142">
        <f t="shared" si="5"/>
        <v>144.37723368355873</v>
      </c>
      <c r="F19" s="1142">
        <f t="shared" si="4"/>
        <v>96.25148912237249</v>
      </c>
      <c r="G19" s="1143">
        <f t="shared" si="2"/>
        <v>240.6287228059312</v>
      </c>
      <c r="J19" s="1138" t="s">
        <v>1510</v>
      </c>
      <c r="K19" s="1573">
        <f>'F36'!M10</f>
        <v>240.6287228059312</v>
      </c>
    </row>
    <row r="20" spans="2:11">
      <c r="B20" s="1127" t="s">
        <v>1511</v>
      </c>
      <c r="C20" s="1122">
        <v>0.9</v>
      </c>
      <c r="D20" s="1120">
        <f>1-C20</f>
        <v>9.9999999999999978E-2</v>
      </c>
      <c r="E20" s="1142">
        <f t="shared" si="5"/>
        <v>141.85546837404436</v>
      </c>
      <c r="F20" s="1142">
        <f t="shared" si="4"/>
        <v>15.761718708227146</v>
      </c>
      <c r="G20" s="1143">
        <f t="shared" si="2"/>
        <v>157.6171870822715</v>
      </c>
      <c r="J20" s="1138" t="s">
        <v>1511</v>
      </c>
      <c r="K20" s="1573">
        <f>'F36'!M8</f>
        <v>157.6171870822715</v>
      </c>
    </row>
    <row r="21" spans="2:11">
      <c r="B21" s="1127" t="s">
        <v>1512</v>
      </c>
      <c r="C21" s="1122">
        <v>0.4</v>
      </c>
      <c r="D21" s="1120">
        <f>1-C21</f>
        <v>0.6</v>
      </c>
      <c r="E21" s="1142">
        <f t="shared" si="5"/>
        <v>0</v>
      </c>
      <c r="F21" s="1142">
        <f t="shared" si="4"/>
        <v>0</v>
      </c>
      <c r="G21" s="1143">
        <f t="shared" si="2"/>
        <v>0</v>
      </c>
      <c r="J21" s="1138" t="s">
        <v>1512</v>
      </c>
      <c r="K21" s="1138"/>
    </row>
    <row r="22" spans="2:11">
      <c r="B22" s="1129" t="s">
        <v>1513</v>
      </c>
      <c r="C22" s="1123"/>
      <c r="D22" s="1123"/>
      <c r="E22" s="1142"/>
      <c r="F22" s="1142"/>
      <c r="G22" s="1143"/>
      <c r="J22" s="1137" t="s">
        <v>1513</v>
      </c>
      <c r="K22" s="773">
        <f>K17-K19-K20-K21</f>
        <v>17281.618858206668</v>
      </c>
    </row>
    <row r="23" spans="2:11">
      <c r="B23" s="1127" t="s">
        <v>1514</v>
      </c>
      <c r="C23" s="1122">
        <v>0</v>
      </c>
      <c r="D23" s="1120">
        <f>1-C23</f>
        <v>1</v>
      </c>
      <c r="E23" s="1142">
        <f t="shared" si="5"/>
        <v>0</v>
      </c>
      <c r="F23" s="1142">
        <f t="shared" si="4"/>
        <v>274.44674096907892</v>
      </c>
      <c r="G23" s="1143">
        <f t="shared" si="2"/>
        <v>274.44674096907892</v>
      </c>
      <c r="J23" s="1138" t="s">
        <v>1514</v>
      </c>
      <c r="K23" s="1135">
        <f>'F1'!I33</f>
        <v>274.44674096907892</v>
      </c>
    </row>
    <row r="24" spans="2:11">
      <c r="B24" s="1127" t="s">
        <v>1515</v>
      </c>
      <c r="C24" s="1122">
        <v>0</v>
      </c>
      <c r="D24" s="1120">
        <f>1-C24</f>
        <v>1</v>
      </c>
      <c r="E24" s="1142">
        <f t="shared" si="5"/>
        <v>0</v>
      </c>
      <c r="F24" s="1142">
        <f t="shared" si="4"/>
        <v>0</v>
      </c>
      <c r="G24" s="1143">
        <f t="shared" si="2"/>
        <v>0</v>
      </c>
      <c r="J24" s="1138" t="s">
        <v>1515</v>
      </c>
      <c r="K24" s="1138">
        <f>'F1'!I34</f>
        <v>0</v>
      </c>
    </row>
    <row r="25" spans="2:11">
      <c r="B25" s="1129" t="s">
        <v>1516</v>
      </c>
      <c r="C25" s="1123"/>
      <c r="D25" s="1123"/>
      <c r="E25" s="1142"/>
      <c r="F25" s="1142"/>
      <c r="G25" s="1143"/>
      <c r="J25" s="1137" t="s">
        <v>1516</v>
      </c>
      <c r="K25" s="1140">
        <f>SUM(K22:K24)</f>
        <v>17556.065599175749</v>
      </c>
    </row>
    <row r="26" spans="2:11">
      <c r="B26" s="1127" t="s">
        <v>1517</v>
      </c>
      <c r="C26" s="1122">
        <v>0.9</v>
      </c>
      <c r="D26" s="1120">
        <f>1-C26</f>
        <v>9.9999999999999978E-2</v>
      </c>
      <c r="E26" s="1142">
        <f t="shared" ca="1" si="5"/>
        <v>654.90457165169425</v>
      </c>
      <c r="F26" s="1142">
        <f t="shared" ca="1" si="4"/>
        <v>72.767174627966014</v>
      </c>
      <c r="G26" s="1143">
        <f t="shared" ca="1" si="2"/>
        <v>727.67174627966028</v>
      </c>
      <c r="J26" s="1138" t="s">
        <v>1517</v>
      </c>
      <c r="K26" s="1135">
        <f ca="1">'F1'!I35</f>
        <v>727.67174627965994</v>
      </c>
    </row>
    <row r="27" spans="2:11">
      <c r="B27" s="1127" t="s">
        <v>1518</v>
      </c>
      <c r="C27" s="1122">
        <v>0</v>
      </c>
      <c r="D27" s="1120">
        <f>1-C27</f>
        <v>1</v>
      </c>
      <c r="E27" s="1142">
        <f t="shared" si="5"/>
        <v>0</v>
      </c>
      <c r="F27" s="1142">
        <f t="shared" si="4"/>
        <v>28.901653399999987</v>
      </c>
      <c r="G27" s="1143">
        <f t="shared" si="2"/>
        <v>28.901653399999987</v>
      </c>
      <c r="J27" s="1125" t="s">
        <v>1525</v>
      </c>
      <c r="K27" s="1136">
        <f>SUM('F1'!I41:I42)</f>
        <v>28.901653399999987</v>
      </c>
    </row>
    <row r="28" spans="2:11">
      <c r="B28" s="1126" t="s">
        <v>1519</v>
      </c>
      <c r="C28" s="1123"/>
      <c r="D28" s="1123"/>
      <c r="E28" s="1572"/>
      <c r="F28" s="1572"/>
      <c r="G28" s="1143"/>
      <c r="J28" s="1137" t="s">
        <v>1526</v>
      </c>
      <c r="K28" s="1141">
        <f ca="1">K25+K26-K27</f>
        <v>18254.835692055407</v>
      </c>
    </row>
    <row r="29" spans="2:11">
      <c r="B29" s="1130"/>
      <c r="C29" s="585"/>
      <c r="D29" s="585"/>
      <c r="E29" s="1574"/>
      <c r="F29" s="1574"/>
      <c r="G29" s="585"/>
    </row>
    <row r="30" spans="2:11">
      <c r="B30" s="639"/>
      <c r="C30" s="585"/>
      <c r="D30" s="585"/>
      <c r="E30" s="1574"/>
      <c r="F30" s="1574"/>
      <c r="G30" s="585"/>
    </row>
    <row r="31" spans="2:11">
      <c r="B31" s="1130"/>
      <c r="C31" s="585"/>
      <c r="D31" s="585"/>
      <c r="E31" s="585"/>
      <c r="F31" s="585"/>
      <c r="G31" s="585"/>
    </row>
    <row r="32" spans="2:11">
      <c r="B32" s="1131"/>
      <c r="C32" s="585"/>
      <c r="D32" s="585"/>
      <c r="E32" s="585"/>
      <c r="F32" s="585"/>
      <c r="G32" s="585"/>
    </row>
    <row r="33" spans="2:7">
      <c r="B33" s="1132"/>
      <c r="C33" s="585"/>
      <c r="D33" s="585"/>
      <c r="E33" s="585"/>
      <c r="F33" s="585"/>
      <c r="G33" s="585"/>
    </row>
    <row r="34" spans="2:7">
      <c r="B34" s="1130"/>
      <c r="C34" s="585"/>
      <c r="D34" s="585"/>
      <c r="E34" s="585"/>
      <c r="F34" s="585"/>
      <c r="G34" s="585"/>
    </row>
    <row r="35" spans="2:7">
      <c r="B35" s="1131"/>
      <c r="C35" s="585"/>
      <c r="D35" s="585"/>
      <c r="E35" s="585"/>
      <c r="F35" s="585"/>
      <c r="G35" s="585"/>
    </row>
    <row r="36" spans="2:7">
      <c r="B36" s="1133"/>
      <c r="C36" s="585"/>
      <c r="D36" s="585"/>
      <c r="E36" s="585"/>
      <c r="F36" s="585"/>
      <c r="G36" s="585"/>
    </row>
    <row r="37" spans="2:7">
      <c r="B37" s="1134"/>
      <c r="C37" s="585"/>
      <c r="D37" s="585"/>
      <c r="E37" s="585"/>
      <c r="F37" s="585"/>
      <c r="G37" s="585"/>
    </row>
    <row r="38" spans="2:7">
      <c r="B38" s="3447"/>
      <c r="C38" s="3447"/>
      <c r="D38" s="3447"/>
      <c r="E38" s="3447"/>
      <c r="F38" s="3447"/>
      <c r="G38" s="3447"/>
    </row>
    <row r="39" spans="2:7">
      <c r="B39" s="3449"/>
      <c r="C39" s="3449"/>
      <c r="D39" s="3449"/>
      <c r="E39" s="3449"/>
      <c r="F39" s="3449"/>
      <c r="G39" s="3449"/>
    </row>
  </sheetData>
  <mergeCells count="5">
    <mergeCell ref="B38:G38"/>
    <mergeCell ref="B5:B6"/>
    <mergeCell ref="C5:D5"/>
    <mergeCell ref="E5:G5"/>
    <mergeCell ref="B39:G39"/>
  </mergeCells>
  <printOptions horizontalCentered="1"/>
  <pageMargins left="0.19685039370078741" right="0.19685039370078741" top="0.19685039370078741" bottom="0.19685039370078741" header="0.19685039370078741" footer="0.19685039370078741"/>
  <pageSetup paperSize="9" scale="66" orientation="landscape" r:id="rId1"/>
  <colBreaks count="1" manualBreakCount="1">
    <brk id="8"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topLeftCell="A17" zoomScaleNormal="71" zoomScaleSheetLayoutView="100" workbookViewId="0">
      <selection activeCell="C105" sqref="C105"/>
    </sheetView>
  </sheetViews>
  <sheetFormatPr defaultColWidth="9.1796875" defaultRowHeight="14.5"/>
  <cols>
    <col min="1" max="1" width="5" style="1536" customWidth="1"/>
    <col min="2" max="2" width="23.26953125" style="1536" customWidth="1"/>
    <col min="3" max="3" width="9.1796875" style="1536" customWidth="1"/>
    <col min="4" max="4" width="9.81640625" style="1536" customWidth="1"/>
    <col min="5" max="5" width="9.54296875" style="1536" customWidth="1"/>
    <col min="6" max="6" width="9.453125" style="1536" customWidth="1"/>
    <col min="7" max="7" width="13.54296875" style="1536" customWidth="1"/>
    <col min="8" max="8" width="26.453125" style="1536" customWidth="1"/>
    <col min="9" max="9" width="11" style="1536" customWidth="1"/>
    <col min="10" max="10" width="9.26953125" style="1536" customWidth="1"/>
    <col min="11" max="11" width="12.81640625" style="1536" customWidth="1"/>
    <col min="12" max="12" width="6.1796875" style="1536" customWidth="1"/>
    <col min="13" max="13" width="6.54296875" style="1536" customWidth="1"/>
    <col min="14" max="14" width="4.54296875" style="1536" customWidth="1"/>
    <col min="15" max="15" width="4.81640625" style="1536" customWidth="1"/>
    <col min="16" max="16" width="4.453125" style="1536" customWidth="1"/>
    <col min="17" max="17" width="9.26953125" style="1536" customWidth="1"/>
    <col min="18" max="18" width="11.453125" style="1536" customWidth="1"/>
    <col min="19" max="16384" width="9.1796875" style="1536"/>
  </cols>
  <sheetData>
    <row r="1" spans="1:19">
      <c r="A1" s="3450" t="s">
        <v>1238</v>
      </c>
      <c r="B1" s="3450"/>
    </row>
    <row r="2" spans="1:19">
      <c r="A2" s="2993"/>
      <c r="B2" s="2993"/>
      <c r="C2" s="2993"/>
      <c r="D2" s="2993"/>
      <c r="E2" s="2993"/>
      <c r="F2" s="2993"/>
    </row>
    <row r="3" spans="1:19">
      <c r="A3" s="549" t="s">
        <v>507</v>
      </c>
      <c r="B3" s="549"/>
      <c r="C3" s="549"/>
      <c r="D3" s="549"/>
      <c r="E3" s="3330"/>
      <c r="F3" s="3330"/>
      <c r="G3" s="3330"/>
      <c r="H3" s="3330"/>
      <c r="I3" s="3330"/>
      <c r="J3" s="3330"/>
      <c r="K3" s="3330"/>
      <c r="L3" s="3330"/>
      <c r="M3" s="3330"/>
      <c r="N3" s="3330"/>
      <c r="O3" s="3330"/>
      <c r="P3" s="3330"/>
      <c r="Q3" s="3330"/>
      <c r="R3" s="3330"/>
      <c r="S3" s="1537"/>
    </row>
    <row r="4" spans="1:19">
      <c r="A4" s="1535"/>
      <c r="B4" s="1535"/>
      <c r="C4" s="1535"/>
      <c r="D4" s="1535"/>
      <c r="E4" s="1540"/>
      <c r="F4" s="444"/>
      <c r="G4" s="444"/>
      <c r="I4" s="3451"/>
      <c r="J4" s="3451"/>
      <c r="K4" s="3451"/>
      <c r="L4" s="3451"/>
      <c r="M4" s="3451"/>
      <c r="N4" s="3451"/>
      <c r="O4" s="3451"/>
      <c r="P4" s="3451"/>
      <c r="Q4" s="3451"/>
      <c r="R4" s="3451"/>
      <c r="S4" s="1541"/>
    </row>
    <row r="5" spans="1:19">
      <c r="A5" s="3452" t="s">
        <v>1437</v>
      </c>
      <c r="B5" s="3453"/>
      <c r="C5" s="3453"/>
      <c r="D5" s="3454"/>
      <c r="E5" s="1542"/>
      <c r="F5" s="1543"/>
      <c r="G5" s="3452" t="s">
        <v>1586</v>
      </c>
      <c r="H5" s="3453"/>
      <c r="I5" s="3453"/>
      <c r="J5" s="3454"/>
    </row>
    <row r="6" spans="1:19" ht="26">
      <c r="A6" s="593" t="s">
        <v>474</v>
      </c>
      <c r="B6" s="593" t="s">
        <v>14</v>
      </c>
      <c r="C6" s="593" t="s">
        <v>566</v>
      </c>
      <c r="D6" s="593" t="s">
        <v>547</v>
      </c>
      <c r="E6" s="1542"/>
      <c r="F6" s="1542"/>
      <c r="G6" s="593" t="s">
        <v>474</v>
      </c>
      <c r="H6" s="593" t="s">
        <v>14</v>
      </c>
      <c r="I6" s="593" t="s">
        <v>566</v>
      </c>
      <c r="J6" s="593" t="s">
        <v>1587</v>
      </c>
    </row>
    <row r="7" spans="1:19" ht="13.5" customHeight="1">
      <c r="A7" s="594">
        <v>1</v>
      </c>
      <c r="B7" s="592" t="s">
        <v>1239</v>
      </c>
      <c r="C7" s="590" t="s">
        <v>141</v>
      </c>
      <c r="D7" s="591">
        <v>12908.649869953122</v>
      </c>
      <c r="E7" s="1542"/>
      <c r="F7" s="1542"/>
      <c r="G7" s="594">
        <v>1</v>
      </c>
      <c r="H7" s="592" t="s">
        <v>1588</v>
      </c>
      <c r="I7" s="590" t="s">
        <v>141</v>
      </c>
      <c r="J7" s="591">
        <v>4333.5051878438662</v>
      </c>
    </row>
    <row r="8" spans="1:19" ht="27.75" customHeight="1">
      <c r="A8" s="594">
        <v>2</v>
      </c>
      <c r="B8" s="592" t="s">
        <v>1614</v>
      </c>
      <c r="C8" s="590" t="s">
        <v>305</v>
      </c>
      <c r="D8" s="591">
        <v>100236.59801640196</v>
      </c>
      <c r="E8" s="1542"/>
      <c r="F8" s="1542"/>
      <c r="G8" s="594">
        <v>2</v>
      </c>
      <c r="H8" s="592" t="s">
        <v>1614</v>
      </c>
      <c r="I8" s="590" t="s">
        <v>305</v>
      </c>
      <c r="J8" s="591">
        <v>100236.59801640196</v>
      </c>
    </row>
    <row r="9" spans="1:19" ht="34" customHeight="1">
      <c r="A9" s="594">
        <v>3</v>
      </c>
      <c r="B9" s="592" t="s">
        <v>1240</v>
      </c>
      <c r="C9" s="590" t="s">
        <v>767</v>
      </c>
      <c r="D9" s="591">
        <v>1.2878180350694712</v>
      </c>
      <c r="E9" s="1542"/>
      <c r="F9" s="1542"/>
      <c r="G9" s="594">
        <v>3</v>
      </c>
      <c r="H9" s="592" t="s">
        <v>1589</v>
      </c>
      <c r="I9" s="590" t="s">
        <v>767</v>
      </c>
      <c r="J9" s="591">
        <v>0.43232764016340264</v>
      </c>
    </row>
    <row r="10" spans="1:19">
      <c r="A10" s="1544"/>
      <c r="B10" s="1545"/>
      <c r="C10" s="1545"/>
      <c r="D10" s="1542"/>
      <c r="E10" s="1542"/>
      <c r="F10" s="1542"/>
    </row>
    <row r="11" spans="1:19">
      <c r="A11" s="3455" t="s">
        <v>1438</v>
      </c>
      <c r="B11" s="3455"/>
      <c r="C11" s="3455"/>
      <c r="D11" s="3455"/>
      <c r="E11" s="3455"/>
      <c r="F11" s="1542"/>
    </row>
    <row r="12" spans="1:19" ht="45.75" customHeight="1">
      <c r="A12" s="1539" t="s">
        <v>1217</v>
      </c>
      <c r="B12" s="597" t="s">
        <v>14</v>
      </c>
      <c r="C12" s="1539" t="s">
        <v>566</v>
      </c>
      <c r="D12" s="1539" t="s">
        <v>1251</v>
      </c>
      <c r="E12" s="593" t="s">
        <v>1436</v>
      </c>
      <c r="F12" s="1542"/>
      <c r="G12" s="1542"/>
    </row>
    <row r="13" spans="1:19" s="1538" customFormat="1">
      <c r="A13" s="1546">
        <v>1</v>
      </c>
      <c r="B13" s="1547" t="s">
        <v>1241</v>
      </c>
      <c r="C13" s="1548"/>
      <c r="D13" s="1548"/>
      <c r="E13" s="1549"/>
      <c r="F13" s="1550"/>
      <c r="G13" s="1550"/>
    </row>
    <row r="14" spans="1:19">
      <c r="A14" s="594" t="s">
        <v>129</v>
      </c>
      <c r="B14" s="595" t="s">
        <v>517</v>
      </c>
      <c r="C14" s="590" t="s">
        <v>767</v>
      </c>
      <c r="D14" s="1551">
        <v>0.8</v>
      </c>
      <c r="E14" s="596">
        <f>$D$9*D14</f>
        <v>1.030254428055577</v>
      </c>
      <c r="F14" s="1550"/>
      <c r="G14" s="1550"/>
    </row>
    <row r="15" spans="1:19">
      <c r="A15" s="594" t="s">
        <v>130</v>
      </c>
      <c r="B15" s="595" t="s">
        <v>791</v>
      </c>
      <c r="C15" s="590" t="s">
        <v>767</v>
      </c>
      <c r="D15" s="1551">
        <v>0.8</v>
      </c>
      <c r="E15" s="596">
        <f>$D$9*D15</f>
        <v>1.030254428055577</v>
      </c>
      <c r="F15" s="1550"/>
      <c r="G15" s="1550"/>
    </row>
    <row r="16" spans="1:19">
      <c r="A16" s="594" t="s">
        <v>133</v>
      </c>
      <c r="B16" s="595" t="s">
        <v>518</v>
      </c>
      <c r="C16" s="590" t="s">
        <v>767</v>
      </c>
      <c r="D16" s="1551">
        <v>0.8</v>
      </c>
      <c r="E16" s="596">
        <f t="shared" ref="E16" si="0">$D$9*D16</f>
        <v>1.030254428055577</v>
      </c>
      <c r="F16" s="1542"/>
      <c r="G16" s="1542"/>
    </row>
    <row r="17" spans="1:19" s="1538" customFormat="1">
      <c r="A17" s="1546">
        <v>2</v>
      </c>
      <c r="B17" s="1547" t="s">
        <v>1242</v>
      </c>
      <c r="C17" s="1548"/>
      <c r="D17" s="1548"/>
      <c r="E17" s="1552"/>
      <c r="F17" s="1550"/>
      <c r="G17" s="1550"/>
    </row>
    <row r="18" spans="1:19">
      <c r="A18" s="594" t="s">
        <v>129</v>
      </c>
      <c r="B18" s="595" t="s">
        <v>517</v>
      </c>
      <c r="C18" s="590" t="s">
        <v>767</v>
      </c>
      <c r="D18" s="1551">
        <v>0.5</v>
      </c>
      <c r="E18" s="596">
        <f>$D$9*D18</f>
        <v>0.64390901753473562</v>
      </c>
      <c r="F18" s="1542"/>
      <c r="G18" s="1542"/>
    </row>
    <row r="19" spans="1:19">
      <c r="A19" s="594" t="s">
        <v>130</v>
      </c>
      <c r="B19" s="595" t="s">
        <v>791</v>
      </c>
      <c r="C19" s="590" t="s">
        <v>767</v>
      </c>
      <c r="D19" s="1551">
        <v>0.5</v>
      </c>
      <c r="E19" s="596">
        <f t="shared" ref="E19:E20" si="1">$D$9*D19</f>
        <v>0.64390901753473562</v>
      </c>
      <c r="F19" s="1542"/>
      <c r="G19" s="1542"/>
    </row>
    <row r="20" spans="1:19">
      <c r="A20" s="594" t="s">
        <v>133</v>
      </c>
      <c r="B20" s="595" t="s">
        <v>518</v>
      </c>
      <c r="C20" s="590" t="s">
        <v>767</v>
      </c>
      <c r="D20" s="1551">
        <v>0.5</v>
      </c>
      <c r="E20" s="596">
        <f t="shared" si="1"/>
        <v>0.64390901753473562</v>
      </c>
      <c r="F20" s="1550"/>
      <c r="G20" s="1550"/>
    </row>
    <row r="21" spans="1:19">
      <c r="A21" s="1544"/>
      <c r="B21" s="1545"/>
      <c r="C21" s="1545"/>
      <c r="D21" s="1542"/>
      <c r="E21" s="1542"/>
      <c r="F21" s="1542"/>
    </row>
    <row r="22" spans="1:19">
      <c r="A22" s="3460" t="s">
        <v>1439</v>
      </c>
      <c r="B22" s="3460"/>
      <c r="C22" s="3460"/>
      <c r="D22" s="3460"/>
      <c r="E22" s="3460"/>
      <c r="F22" s="3460"/>
      <c r="G22" s="3460"/>
      <c r="H22" s="3460"/>
      <c r="I22" s="3460"/>
      <c r="J22" s="3460"/>
      <c r="K22" s="3460"/>
      <c r="L22" s="3460"/>
      <c r="M22" s="3460"/>
      <c r="N22" s="3460"/>
      <c r="O22" s="3460"/>
      <c r="P22" s="3460"/>
      <c r="Q22" s="3460"/>
      <c r="R22"/>
      <c r="S22"/>
    </row>
    <row r="23" spans="1:19" ht="25.5" customHeight="1">
      <c r="A23" s="3456" t="s">
        <v>1217</v>
      </c>
      <c r="B23" s="3456" t="s">
        <v>1243</v>
      </c>
      <c r="C23" s="3456" t="s">
        <v>1030</v>
      </c>
      <c r="D23" s="3456" t="s">
        <v>1029</v>
      </c>
      <c r="E23" s="3456" t="s">
        <v>1263</v>
      </c>
      <c r="F23" s="3456" t="s">
        <v>1268</v>
      </c>
      <c r="G23" s="3462" t="s">
        <v>1270</v>
      </c>
      <c r="H23" s="3463"/>
      <c r="I23" s="3463"/>
      <c r="J23" s="3463"/>
      <c r="K23" s="3463"/>
      <c r="L23" s="3462" t="s">
        <v>1258</v>
      </c>
      <c r="M23" s="3463"/>
      <c r="N23" s="3463"/>
      <c r="O23" s="3456" t="s">
        <v>1269</v>
      </c>
      <c r="P23" s="3456" t="s">
        <v>1264</v>
      </c>
      <c r="Q23" s="3459" t="s">
        <v>1262</v>
      </c>
      <c r="R23"/>
      <c r="S23"/>
    </row>
    <row r="24" spans="1:19" ht="69" customHeight="1">
      <c r="A24" s="3457"/>
      <c r="B24" s="3457"/>
      <c r="C24" s="3457"/>
      <c r="D24" s="3457"/>
      <c r="E24" s="3457"/>
      <c r="F24" s="3457"/>
      <c r="G24" s="3459" t="s">
        <v>1261</v>
      </c>
      <c r="H24" s="3459"/>
      <c r="I24" s="3456" t="s">
        <v>1259</v>
      </c>
      <c r="J24" s="3456" t="s">
        <v>1260</v>
      </c>
      <c r="K24" s="3456" t="s">
        <v>1590</v>
      </c>
      <c r="L24" s="3464"/>
      <c r="M24" s="3465"/>
      <c r="N24" s="3465"/>
      <c r="O24" s="3457"/>
      <c r="P24" s="3457"/>
      <c r="Q24" s="3459"/>
      <c r="R24"/>
      <c r="S24"/>
    </row>
    <row r="25" spans="1:19" ht="48.75" customHeight="1">
      <c r="A25" s="3458"/>
      <c r="B25" s="3458"/>
      <c r="C25" s="3458"/>
      <c r="D25" s="3458"/>
      <c r="E25" s="3458"/>
      <c r="F25" s="3458"/>
      <c r="G25" s="1561" t="s">
        <v>1591</v>
      </c>
      <c r="H25" s="1561" t="s">
        <v>1592</v>
      </c>
      <c r="I25" s="3458"/>
      <c r="J25" s="3458"/>
      <c r="K25" s="3458"/>
      <c r="L25" s="1577" t="s">
        <v>1601</v>
      </c>
      <c r="M25" s="1577" t="s">
        <v>1602</v>
      </c>
      <c r="N25" s="1577" t="s">
        <v>1603</v>
      </c>
      <c r="O25" s="3458"/>
      <c r="P25" s="3458"/>
      <c r="Q25" s="3459"/>
      <c r="R25"/>
      <c r="S25"/>
    </row>
    <row r="26" spans="1:19">
      <c r="A26" s="1553">
        <v>1</v>
      </c>
      <c r="B26" s="1554" t="s">
        <v>1244</v>
      </c>
      <c r="C26" s="1555">
        <v>3204.5855857397128</v>
      </c>
      <c r="D26" s="1555">
        <v>3122.2485466666672</v>
      </c>
      <c r="E26" s="1556">
        <f>C26/D26*10</f>
        <v>10.26371071310434</v>
      </c>
      <c r="F26" s="1557">
        <v>4.5905637174638194</v>
      </c>
      <c r="G26" s="1558">
        <v>0.41169666851767756</v>
      </c>
      <c r="H26" s="1558">
        <v>2.4209999999999999E-2</v>
      </c>
      <c r="I26" s="1558">
        <f>J9</f>
        <v>0.43232764016340264</v>
      </c>
      <c r="J26" s="1558">
        <f>$E$14</f>
        <v>1.030254428055577</v>
      </c>
      <c r="K26" s="1555">
        <f>SUM(G26:J26)</f>
        <v>1.8984887367366572</v>
      </c>
      <c r="L26" s="1575">
        <v>1.2714643822276059E-2</v>
      </c>
      <c r="M26" s="1575">
        <v>3.27E-2</v>
      </c>
      <c r="N26" s="1575">
        <v>0.17321858958433314</v>
      </c>
      <c r="O26" s="1555">
        <v>0</v>
      </c>
      <c r="P26" s="1559">
        <f>E26-(F26/((1-L26)*(1-M26)*(1-N26))+K26+O26)</f>
        <v>2.5512700909853043</v>
      </c>
      <c r="Q26" s="1559">
        <f>MIN(P26,20%*E26)</f>
        <v>2.0527421426208678</v>
      </c>
      <c r="R26"/>
      <c r="S26"/>
    </row>
    <row r="27" spans="1:19">
      <c r="A27" s="1553">
        <v>2</v>
      </c>
      <c r="B27" s="1554" t="s">
        <v>1245</v>
      </c>
      <c r="C27" s="1555">
        <v>440.71726219308653</v>
      </c>
      <c r="D27" s="1555">
        <v>290.09646666666669</v>
      </c>
      <c r="E27" s="1556">
        <f t="shared" ref="E27:E36" si="2">C27/D27*10</f>
        <v>15.192093418341754</v>
      </c>
      <c r="F27" s="1557">
        <v>4.5905637174638194</v>
      </c>
      <c r="G27" s="1558">
        <f>G26</f>
        <v>0.41169666851767756</v>
      </c>
      <c r="H27" s="1558">
        <f>H26</f>
        <v>2.4209999999999999E-2</v>
      </c>
      <c r="I27" s="1558">
        <f>I26</f>
        <v>0.43232764016340264</v>
      </c>
      <c r="J27" s="1558">
        <f>E18</f>
        <v>0.64390901753473562</v>
      </c>
      <c r="K27" s="1555">
        <f t="shared" ref="K27:K36" si="3">SUM(G27:J27)</f>
        <v>1.5121433262158157</v>
      </c>
      <c r="L27" s="1575">
        <f>L26</f>
        <v>1.2714643822276059E-2</v>
      </c>
      <c r="M27" s="1575">
        <f>M26</f>
        <v>3.27E-2</v>
      </c>
      <c r="N27" s="1575">
        <v>4.5926569261154852E-3</v>
      </c>
      <c r="O27" s="1555">
        <v>0</v>
      </c>
      <c r="P27" s="1559">
        <f>E27-(F27/((1-L27)*(1-M27)*(1-N27))+K27+O27)</f>
        <v>8.8509046030286402</v>
      </c>
      <c r="Q27" s="1559">
        <f t="shared" ref="Q27:Q31" si="4">MIN(P27,20%*E27)</f>
        <v>3.0384186836683509</v>
      </c>
      <c r="R27"/>
      <c r="S27"/>
    </row>
    <row r="28" spans="1:19">
      <c r="A28" s="1553">
        <v>3</v>
      </c>
      <c r="B28" s="1554" t="s">
        <v>1252</v>
      </c>
      <c r="C28" s="1555">
        <v>7581.9326447950634</v>
      </c>
      <c r="D28" s="1555">
        <v>7726.4582737570008</v>
      </c>
      <c r="E28" s="1556">
        <f t="shared" si="2"/>
        <v>9.8129471177592205</v>
      </c>
      <c r="F28" s="1557">
        <v>4.5905637174638194</v>
      </c>
      <c r="G28" s="1558">
        <f>G27</f>
        <v>0.41169666851767756</v>
      </c>
      <c r="H28" s="1558">
        <f t="shared" ref="H28:I37" si="5">H27</f>
        <v>2.4209999999999999E-2</v>
      </c>
      <c r="I28" s="1558">
        <f t="shared" si="5"/>
        <v>0.43232764016340264</v>
      </c>
      <c r="J28" s="1558">
        <f>J26</f>
        <v>1.030254428055577</v>
      </c>
      <c r="K28" s="1555">
        <f>SUM(G28:J28)</f>
        <v>1.8984887367366572</v>
      </c>
      <c r="L28" s="1575">
        <f t="shared" ref="L28:M37" si="6">L27</f>
        <v>1.2714643822276059E-2</v>
      </c>
      <c r="M28" s="1575">
        <f t="shared" si="6"/>
        <v>3.27E-2</v>
      </c>
      <c r="N28" s="1575">
        <f>N26</f>
        <v>0.17321858958433314</v>
      </c>
      <c r="O28" s="1555">
        <v>0</v>
      </c>
      <c r="P28" s="1559">
        <f t="shared" ref="P28:P37" si="7">E28-(F28/((1-L28)*(1-M28)*(1-N28))+K28+O28)</f>
        <v>2.1005064956401851</v>
      </c>
      <c r="Q28" s="1559">
        <f t="shared" si="4"/>
        <v>1.9625894235518442</v>
      </c>
      <c r="R28"/>
      <c r="S28"/>
    </row>
    <row r="29" spans="1:19" ht="20">
      <c r="A29" s="1553">
        <v>4</v>
      </c>
      <c r="B29" s="1554" t="s">
        <v>1253</v>
      </c>
      <c r="C29" s="1555">
        <v>1762.0068467478225</v>
      </c>
      <c r="D29" s="1555">
        <v>2296.3570000000004</v>
      </c>
      <c r="E29" s="1556">
        <f t="shared" si="2"/>
        <v>7.6730527820710028</v>
      </c>
      <c r="F29" s="1557">
        <v>4.5905637174638194</v>
      </c>
      <c r="G29" s="1558">
        <f t="shared" ref="G29:G37" si="8">G28</f>
        <v>0.41169666851767756</v>
      </c>
      <c r="H29" s="1558">
        <f t="shared" si="5"/>
        <v>2.4209999999999999E-2</v>
      </c>
      <c r="I29" s="1558">
        <f t="shared" si="5"/>
        <v>0.43232764016340264</v>
      </c>
      <c r="J29" s="1558">
        <f>J27</f>
        <v>0.64390901753473562</v>
      </c>
      <c r="K29" s="1555">
        <f>SUM(G29:J29)</f>
        <v>1.5121433262158157</v>
      </c>
      <c r="L29" s="1575">
        <f t="shared" si="6"/>
        <v>1.2714643822276059E-2</v>
      </c>
      <c r="M29" s="1575">
        <f t="shared" si="6"/>
        <v>3.27E-2</v>
      </c>
      <c r="N29" s="1575">
        <f>N27</f>
        <v>4.5926569261154852E-3</v>
      </c>
      <c r="O29" s="1555">
        <v>0</v>
      </c>
      <c r="P29" s="1559">
        <f t="shared" si="7"/>
        <v>1.3318639667578891</v>
      </c>
      <c r="Q29" s="1559">
        <f t="shared" si="4"/>
        <v>1.3318639667578891</v>
      </c>
      <c r="R29"/>
      <c r="S29"/>
    </row>
    <row r="30" spans="1:19" ht="20">
      <c r="A30" s="1553">
        <v>5</v>
      </c>
      <c r="B30" s="1554" t="s">
        <v>1254</v>
      </c>
      <c r="C30" s="1555">
        <v>275.75951930318399</v>
      </c>
      <c r="D30" s="1555">
        <v>348.37785333333341</v>
      </c>
      <c r="E30" s="1556">
        <f t="shared" si="2"/>
        <v>7.9155295511661858</v>
      </c>
      <c r="F30" s="1557">
        <v>4.5905637174638194</v>
      </c>
      <c r="G30" s="1558">
        <f t="shared" si="8"/>
        <v>0.41169666851767756</v>
      </c>
      <c r="H30" s="1558">
        <f t="shared" si="5"/>
        <v>2.4209999999999999E-2</v>
      </c>
      <c r="I30" s="1558">
        <f t="shared" si="5"/>
        <v>0.43232764016340264</v>
      </c>
      <c r="J30" s="1558">
        <f>J29</f>
        <v>0.64390901753473562</v>
      </c>
      <c r="K30" s="1555">
        <f>SUM(G30:J30)</f>
        <v>1.5121433262158157</v>
      </c>
      <c r="L30" s="1575">
        <f t="shared" si="6"/>
        <v>1.2714643822276059E-2</v>
      </c>
      <c r="M30" s="1575">
        <f t="shared" si="6"/>
        <v>3.27E-2</v>
      </c>
      <c r="N30" s="1575">
        <v>2.821389449345122E-3</v>
      </c>
      <c r="O30" s="1555">
        <v>0</v>
      </c>
      <c r="P30" s="1559">
        <f t="shared" si="7"/>
        <v>1.5829184681952846</v>
      </c>
      <c r="Q30" s="1559">
        <f t="shared" si="4"/>
        <v>1.5829184681952846</v>
      </c>
      <c r="R30"/>
      <c r="S30"/>
    </row>
    <row r="31" spans="1:19">
      <c r="A31" s="1553">
        <v>6</v>
      </c>
      <c r="B31" s="1554" t="s">
        <v>1593</v>
      </c>
      <c r="C31" s="1555">
        <v>159.5155137035778</v>
      </c>
      <c r="D31" s="1555">
        <v>225.99773333333337</v>
      </c>
      <c r="E31" s="1556">
        <f t="shared" si="2"/>
        <v>7.0582793619572195</v>
      </c>
      <c r="F31" s="1557">
        <v>4.5905637174638194</v>
      </c>
      <c r="G31" s="1558">
        <f t="shared" si="8"/>
        <v>0.41169666851767756</v>
      </c>
      <c r="H31" s="1558">
        <f t="shared" si="5"/>
        <v>2.4209999999999999E-2</v>
      </c>
      <c r="I31" s="1558">
        <f>I30</f>
        <v>0.43232764016340264</v>
      </c>
      <c r="J31" s="1558">
        <f>J30</f>
        <v>0.64390901753473562</v>
      </c>
      <c r="K31" s="1555">
        <f t="shared" ref="K31" si="9">SUM(G31:J31)</f>
        <v>1.5121433262158157</v>
      </c>
      <c r="L31" s="1575">
        <f t="shared" si="6"/>
        <v>1.2714643822276059E-2</v>
      </c>
      <c r="M31" s="1575">
        <f t="shared" si="6"/>
        <v>3.27E-2</v>
      </c>
      <c r="N31" s="1575">
        <f>N30</f>
        <v>2.821389449345122E-3</v>
      </c>
      <c r="O31" s="1555">
        <v>0</v>
      </c>
      <c r="P31" s="1559">
        <f t="shared" si="7"/>
        <v>0.72566827898631825</v>
      </c>
      <c r="Q31" s="1559">
        <f t="shared" si="4"/>
        <v>0.72566827898631825</v>
      </c>
      <c r="R31"/>
      <c r="S31"/>
    </row>
    <row r="32" spans="1:19">
      <c r="A32" s="1553">
        <v>7</v>
      </c>
      <c r="B32" s="1554" t="s">
        <v>1255</v>
      </c>
      <c r="C32" s="1555">
        <v>0</v>
      </c>
      <c r="D32" s="1555">
        <v>0</v>
      </c>
      <c r="E32" s="1556">
        <f>IFERROR(C32/D32*10,0)</f>
        <v>0</v>
      </c>
      <c r="F32" s="1557">
        <v>4.5905637174638194</v>
      </c>
      <c r="G32" s="1558">
        <f t="shared" si="8"/>
        <v>0.41169666851767756</v>
      </c>
      <c r="H32" s="1558">
        <f>H30</f>
        <v>2.4209999999999999E-2</v>
      </c>
      <c r="I32" s="1558">
        <f>I30</f>
        <v>0.43232764016340264</v>
      </c>
      <c r="J32" s="1558">
        <f t="shared" ref="J32:J37" si="10">$E$14</f>
        <v>1.030254428055577</v>
      </c>
      <c r="K32" s="1555">
        <f t="shared" si="3"/>
        <v>1.8984887367366572</v>
      </c>
      <c r="L32" s="1575">
        <f t="shared" si="6"/>
        <v>1.2714643822276059E-2</v>
      </c>
      <c r="M32" s="1575">
        <f t="shared" si="6"/>
        <v>3.27E-2</v>
      </c>
      <c r="N32" s="1575"/>
      <c r="O32" s="1555">
        <v>0</v>
      </c>
      <c r="P32" s="1559">
        <f t="shared" si="7"/>
        <v>-6.7053560766219258</v>
      </c>
      <c r="Q32" s="1560" t="s">
        <v>1594</v>
      </c>
      <c r="R32"/>
      <c r="S32"/>
    </row>
    <row r="33" spans="1:19">
      <c r="A33" s="1553">
        <v>7</v>
      </c>
      <c r="B33" s="1554" t="s">
        <v>1256</v>
      </c>
      <c r="C33" s="1555">
        <v>78.140933333333336</v>
      </c>
      <c r="D33" s="1555">
        <v>72.109333333333339</v>
      </c>
      <c r="E33" s="1556">
        <f>IFERROR(C33/D33*10,0)</f>
        <v>10.836452054287932</v>
      </c>
      <c r="F33" s="1557">
        <v>4.5905637174638194</v>
      </c>
      <c r="G33" s="1558">
        <f t="shared" si="8"/>
        <v>0.41169666851767756</v>
      </c>
      <c r="H33" s="1558">
        <f>H32</f>
        <v>2.4209999999999999E-2</v>
      </c>
      <c r="I33" s="1558">
        <f>I32</f>
        <v>0.43232764016340264</v>
      </c>
      <c r="J33" s="1558">
        <f>J31</f>
        <v>0.64390901753473562</v>
      </c>
      <c r="K33" s="1555">
        <f>SUM(G33:J33)</f>
        <v>1.5121433262158157</v>
      </c>
      <c r="L33" s="1575">
        <f t="shared" si="6"/>
        <v>1.2714643822276059E-2</v>
      </c>
      <c r="M33" s="1575">
        <f t="shared" si="6"/>
        <v>3.27E-2</v>
      </c>
      <c r="N33" s="1576">
        <f>N31</f>
        <v>2.821389449345122E-3</v>
      </c>
      <c r="O33" s="1555">
        <v>0</v>
      </c>
      <c r="P33" s="1559">
        <f t="shared" si="7"/>
        <v>4.5038409713170307</v>
      </c>
      <c r="Q33" s="1559">
        <f>MIN(P33,20%*E33)</f>
        <v>2.1672904108575866</v>
      </c>
      <c r="R33"/>
      <c r="S33"/>
    </row>
    <row r="34" spans="1:19">
      <c r="A34" s="1553">
        <v>8</v>
      </c>
      <c r="B34" s="1554" t="s">
        <v>1595</v>
      </c>
      <c r="C34" s="1555">
        <v>106.60175912243108</v>
      </c>
      <c r="D34" s="1555">
        <v>119.16161333333334</v>
      </c>
      <c r="E34" s="1556">
        <f>IFERROR(C34/D34*10,0)</f>
        <v>8.9459815237841482</v>
      </c>
      <c r="F34" s="1557">
        <v>4.5905637174638194</v>
      </c>
      <c r="G34" s="1558">
        <f t="shared" si="8"/>
        <v>0.41169666851767756</v>
      </c>
      <c r="H34" s="1558">
        <f>H33</f>
        <v>2.4209999999999999E-2</v>
      </c>
      <c r="I34" s="1558">
        <f>I33</f>
        <v>0.43232764016340264</v>
      </c>
      <c r="J34" s="1558">
        <f>J33</f>
        <v>0.64390901753473562</v>
      </c>
      <c r="K34" s="1555">
        <f t="shared" ref="K34" si="11">SUM(G34:J34)</f>
        <v>1.5121433262158157</v>
      </c>
      <c r="L34" s="1575">
        <f t="shared" si="6"/>
        <v>1.2714643822276059E-2</v>
      </c>
      <c r="M34" s="1575">
        <f t="shared" si="6"/>
        <v>3.27E-2</v>
      </c>
      <c r="N34" s="1576">
        <f>N33</f>
        <v>2.821389449345122E-3</v>
      </c>
      <c r="O34" s="1555">
        <v>0</v>
      </c>
      <c r="P34" s="1559">
        <f t="shared" si="7"/>
        <v>2.613370440813247</v>
      </c>
      <c r="Q34" s="1559">
        <f>MIN(P34,20%*E34)</f>
        <v>1.7891963047568298</v>
      </c>
      <c r="R34"/>
      <c r="S34"/>
    </row>
    <row r="35" spans="1:19">
      <c r="A35" s="1553">
        <v>9</v>
      </c>
      <c r="B35" s="1554" t="s">
        <v>1246</v>
      </c>
      <c r="C35" s="1555">
        <v>303.77186272200004</v>
      </c>
      <c r="D35" s="1555">
        <v>321.5953614</v>
      </c>
      <c r="E35" s="1556">
        <f t="shared" si="2"/>
        <v>9.4457787388347576</v>
      </c>
      <c r="F35" s="1557">
        <v>4.5905637174638194</v>
      </c>
      <c r="G35" s="1558">
        <f t="shared" si="8"/>
        <v>0.41169666851767756</v>
      </c>
      <c r="H35" s="1558">
        <f>H33</f>
        <v>2.4209999999999999E-2</v>
      </c>
      <c r="I35" s="1558">
        <f>I33</f>
        <v>0.43232764016340264</v>
      </c>
      <c r="J35" s="1558">
        <f t="shared" si="10"/>
        <v>1.030254428055577</v>
      </c>
      <c r="K35" s="1555">
        <f>SUM(G35:J35)</f>
        <v>1.8984887367366572</v>
      </c>
      <c r="L35" s="1575">
        <f t="shared" si="6"/>
        <v>1.2714643822276059E-2</v>
      </c>
      <c r="M35" s="1575">
        <f t="shared" si="6"/>
        <v>3.27E-2</v>
      </c>
      <c r="N35" s="1575">
        <f>N28</f>
        <v>0.17321858958433314</v>
      </c>
      <c r="O35" s="1555">
        <v>0</v>
      </c>
      <c r="P35" s="1559">
        <f t="shared" si="7"/>
        <v>1.7333381167157222</v>
      </c>
      <c r="Q35" s="1559">
        <f>MIN(P35,20%*E35)</f>
        <v>1.7333381167157222</v>
      </c>
      <c r="R35"/>
      <c r="S35"/>
    </row>
    <row r="36" spans="1:19" ht="20">
      <c r="A36" s="1553">
        <v>10</v>
      </c>
      <c r="B36" s="1554" t="s">
        <v>1257</v>
      </c>
      <c r="C36" s="1555">
        <v>329.14238311800005</v>
      </c>
      <c r="D36" s="1555">
        <v>355.39195980000005</v>
      </c>
      <c r="E36" s="1556">
        <f t="shared" si="2"/>
        <v>9.2613908120833077</v>
      </c>
      <c r="F36" s="1557">
        <v>4.5905637174638194</v>
      </c>
      <c r="G36" s="1558">
        <f t="shared" si="8"/>
        <v>0.41169666851767756</v>
      </c>
      <c r="H36" s="1558">
        <f t="shared" si="5"/>
        <v>2.4209999999999999E-2</v>
      </c>
      <c r="I36" s="1558">
        <f t="shared" si="5"/>
        <v>0.43232764016340264</v>
      </c>
      <c r="J36" s="1558">
        <f>J34</f>
        <v>0.64390901753473562</v>
      </c>
      <c r="K36" s="1555">
        <f t="shared" si="3"/>
        <v>1.5121433262158157</v>
      </c>
      <c r="L36" s="1575">
        <f t="shared" si="6"/>
        <v>1.2714643822276059E-2</v>
      </c>
      <c r="M36" s="1575">
        <f t="shared" si="6"/>
        <v>3.27E-2</v>
      </c>
      <c r="N36" s="1575">
        <f>N29</f>
        <v>4.5926569261154852E-3</v>
      </c>
      <c r="O36" s="1555">
        <v>0</v>
      </c>
      <c r="P36" s="1559">
        <f t="shared" si="7"/>
        <v>2.920201996770194</v>
      </c>
      <c r="Q36" s="1559">
        <f>MIN(P36,20%*E36)</f>
        <v>1.8522781624166615</v>
      </c>
      <c r="R36"/>
      <c r="S36"/>
    </row>
    <row r="37" spans="1:19" ht="20">
      <c r="A37" s="1553">
        <v>12</v>
      </c>
      <c r="B37" s="1554" t="s">
        <v>1596</v>
      </c>
      <c r="C37" s="1555">
        <v>0</v>
      </c>
      <c r="D37" s="1555">
        <v>0</v>
      </c>
      <c r="E37" s="1556">
        <v>0</v>
      </c>
      <c r="F37" s="1557">
        <v>4.5905637174638194</v>
      </c>
      <c r="G37" s="1558">
        <f t="shared" si="8"/>
        <v>0.41169666851767756</v>
      </c>
      <c r="H37" s="1558">
        <f t="shared" si="5"/>
        <v>2.4209999999999999E-2</v>
      </c>
      <c r="I37" s="1558">
        <f t="shared" si="5"/>
        <v>0.43232764016340264</v>
      </c>
      <c r="J37" s="1558">
        <f t="shared" si="10"/>
        <v>1.030254428055577</v>
      </c>
      <c r="K37" s="1555">
        <f t="shared" ref="K37" si="12">SUM(G37:J37)</f>
        <v>1.8984887367366572</v>
      </c>
      <c r="L37" s="1575">
        <f t="shared" si="6"/>
        <v>1.2714643822276059E-2</v>
      </c>
      <c r="M37" s="1575">
        <f t="shared" si="6"/>
        <v>3.27E-2</v>
      </c>
      <c r="N37" s="1575">
        <f>N30</f>
        <v>2.821389449345122E-3</v>
      </c>
      <c r="O37" s="1555">
        <v>0</v>
      </c>
      <c r="P37" s="1559">
        <f t="shared" si="7"/>
        <v>-6.7189564934917421</v>
      </c>
      <c r="Q37" s="1559">
        <f>MIN(P37,20%*E37)</f>
        <v>-6.7189564934917421</v>
      </c>
      <c r="R37"/>
      <c r="S37"/>
    </row>
    <row r="38" spans="1:19">
      <c r="A38" s="3461" t="s">
        <v>1265</v>
      </c>
      <c r="B38" s="3461"/>
      <c r="C38" s="3461"/>
      <c r="D38" s="3461"/>
      <c r="E38" s="3461"/>
      <c r="F38" s="3461"/>
      <c r="G38" s="3461"/>
      <c r="H38" s="3461"/>
      <c r="I38" s="3461"/>
      <c r="J38" s="3461"/>
      <c r="K38" s="3461"/>
      <c r="L38" s="3461"/>
      <c r="M38" s="3461"/>
      <c r="N38" s="3461"/>
      <c r="O38" s="3461"/>
      <c r="P38" s="3461"/>
      <c r="Q38" s="3461"/>
      <c r="R38" s="3461"/>
      <c r="S38" s="3461"/>
    </row>
    <row r="39" spans="1:19">
      <c r="A39" s="3461" t="s">
        <v>1266</v>
      </c>
      <c r="B39" s="3461"/>
      <c r="C39" s="3461"/>
      <c r="D39" s="3461"/>
      <c r="E39" s="3461"/>
      <c r="F39" s="3461"/>
      <c r="G39" s="3461"/>
      <c r="H39" s="3461"/>
      <c r="I39" s="3461"/>
      <c r="J39" s="3461"/>
      <c r="K39" s="3461"/>
      <c r="L39" s="3461"/>
      <c r="M39" s="3461"/>
      <c r="N39" s="3461"/>
      <c r="O39" s="3461"/>
      <c r="P39" s="3461"/>
      <c r="Q39" s="3461"/>
      <c r="R39" s="3461"/>
      <c r="S39" s="3461"/>
    </row>
    <row r="40" spans="1:19">
      <c r="A40" s="3461" t="s">
        <v>1267</v>
      </c>
      <c r="B40" s="3461"/>
      <c r="C40" s="3461"/>
      <c r="D40" s="3461"/>
      <c r="E40" s="3461"/>
      <c r="F40" s="3461"/>
      <c r="G40" s="3461"/>
      <c r="H40" s="3461"/>
      <c r="I40" s="3461"/>
      <c r="J40" s="3461"/>
      <c r="K40" s="3461"/>
      <c r="L40" s="3461"/>
      <c r="M40" s="3461"/>
      <c r="N40" s="3461"/>
      <c r="O40" s="3461"/>
      <c r="P40" s="3461"/>
      <c r="Q40" s="3461"/>
      <c r="R40" s="3461"/>
      <c r="S40" s="3461"/>
    </row>
  </sheetData>
  <mergeCells count="36">
    <mergeCell ref="A38:S38"/>
    <mergeCell ref="A39:S39"/>
    <mergeCell ref="A40:S40"/>
    <mergeCell ref="G23:K23"/>
    <mergeCell ref="Q23:Q25"/>
    <mergeCell ref="L23:N24"/>
    <mergeCell ref="O23:O25"/>
    <mergeCell ref="P23:P25"/>
    <mergeCell ref="K24:K25"/>
    <mergeCell ref="A5:D5"/>
    <mergeCell ref="G5:J5"/>
    <mergeCell ref="A11:E11"/>
    <mergeCell ref="A23:A25"/>
    <mergeCell ref="B23:B25"/>
    <mergeCell ref="C23:C25"/>
    <mergeCell ref="D23:D25"/>
    <mergeCell ref="E23:E25"/>
    <mergeCell ref="F23:F25"/>
    <mergeCell ref="G24:H24"/>
    <mergeCell ref="I24:I25"/>
    <mergeCell ref="J24:J25"/>
    <mergeCell ref="A22:Q22"/>
    <mergeCell ref="M3:N3"/>
    <mergeCell ref="O3:P3"/>
    <mergeCell ref="Q3:R3"/>
    <mergeCell ref="I4:J4"/>
    <mergeCell ref="K4:L4"/>
    <mergeCell ref="M4:N4"/>
    <mergeCell ref="O4:P4"/>
    <mergeCell ref="Q4:R4"/>
    <mergeCell ref="K3:L3"/>
    <mergeCell ref="A1:B1"/>
    <mergeCell ref="A2:F2"/>
    <mergeCell ref="E3:F3"/>
    <mergeCell ref="G3:H3"/>
    <mergeCell ref="I3:J3"/>
  </mergeCells>
  <printOptions horizontalCentered="1"/>
  <pageMargins left="0.19685039370078741" right="0.19685039370078741" top="0.19685039370078741" bottom="0.19685039370078741" header="0.19685039370078741" footer="0.19685039370078741"/>
  <pageSetup paperSize="9" scale="72"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6"/>
  <sheetViews>
    <sheetView showGridLines="0" view="pageBreakPreview" zoomScaleNormal="100" zoomScaleSheetLayoutView="100" workbookViewId="0">
      <selection activeCell="C105" sqref="C105"/>
    </sheetView>
  </sheetViews>
  <sheetFormatPr defaultColWidth="9.1796875" defaultRowHeight="14.5"/>
  <cols>
    <col min="1" max="1" width="9.1796875" style="559"/>
    <col min="2" max="2" width="38.26953125" style="559" customWidth="1"/>
    <col min="3" max="3" width="9.26953125" style="481" customWidth="1"/>
    <col min="4" max="4" width="12" style="559" customWidth="1"/>
    <col min="5" max="5" width="10.453125" style="559" customWidth="1"/>
    <col min="6" max="6" width="10.26953125" style="559" bestFit="1" customWidth="1"/>
    <col min="7" max="7" width="11.54296875" style="559" customWidth="1"/>
    <col min="8" max="8" width="23.7265625" style="559" customWidth="1"/>
    <col min="9" max="9" width="10.81640625" style="559" customWidth="1"/>
    <col min="10" max="10" width="11.26953125" style="559" customWidth="1"/>
    <col min="11" max="11" width="23.1796875" style="559" customWidth="1"/>
    <col min="12" max="12" width="10.26953125" style="559" customWidth="1"/>
    <col min="13" max="16384" width="9.1796875" style="559"/>
  </cols>
  <sheetData>
    <row r="1" spans="1:31">
      <c r="A1" s="810" t="s">
        <v>1195</v>
      </c>
      <c r="B1" s="810"/>
      <c r="C1" s="559"/>
    </row>
    <row r="2" spans="1:31">
      <c r="A2" s="392" t="s">
        <v>1604</v>
      </c>
      <c r="B2" s="779"/>
      <c r="C2" s="779"/>
      <c r="D2" s="779"/>
      <c r="E2" s="779"/>
      <c r="F2" s="779"/>
      <c r="H2" s="392"/>
      <c r="I2" s="392"/>
      <c r="J2" s="392"/>
      <c r="K2" s="392"/>
      <c r="L2" s="392"/>
      <c r="M2" s="392"/>
      <c r="N2" s="392"/>
      <c r="O2" s="392"/>
      <c r="P2" s="392"/>
      <c r="Q2" s="392"/>
      <c r="R2" s="392"/>
      <c r="S2" s="392"/>
      <c r="T2" s="392"/>
      <c r="U2" s="392"/>
      <c r="V2" s="392"/>
      <c r="W2" s="392"/>
      <c r="X2" s="392"/>
      <c r="Y2" s="392"/>
      <c r="Z2" s="392"/>
      <c r="AA2" s="392"/>
      <c r="AB2" s="392"/>
      <c r="AC2" s="392"/>
      <c r="AD2" s="392"/>
      <c r="AE2" s="392"/>
    </row>
    <row r="3" spans="1:31">
      <c r="A3" s="811" t="s">
        <v>929</v>
      </c>
      <c r="B3" s="628"/>
      <c r="C3" s="628"/>
      <c r="D3" s="628"/>
      <c r="E3" s="628"/>
      <c r="F3" s="628"/>
      <c r="G3" s="628"/>
      <c r="H3" s="628"/>
      <c r="I3" s="628"/>
      <c r="J3" s="628"/>
      <c r="K3" s="628"/>
      <c r="L3" s="628"/>
      <c r="M3" s="628"/>
      <c r="N3" s="628"/>
      <c r="O3" s="628"/>
    </row>
    <row r="4" spans="1:31" ht="60" customHeight="1">
      <c r="A4" s="3466" t="s">
        <v>117</v>
      </c>
      <c r="B4" s="3261" t="s">
        <v>1440</v>
      </c>
      <c r="C4" s="3261" t="s">
        <v>61</v>
      </c>
      <c r="D4" s="778" t="s">
        <v>930</v>
      </c>
      <c r="E4" s="778" t="s">
        <v>931</v>
      </c>
      <c r="F4" s="778" t="s">
        <v>544</v>
      </c>
      <c r="G4" s="778" t="s">
        <v>932</v>
      </c>
      <c r="H4" s="3261" t="s">
        <v>127</v>
      </c>
      <c r="I4" s="778" t="s">
        <v>933</v>
      </c>
      <c r="J4" s="778" t="s">
        <v>934</v>
      </c>
      <c r="K4" s="3261" t="s">
        <v>127</v>
      </c>
    </row>
    <row r="5" spans="1:31" ht="9.75" customHeight="1">
      <c r="A5" s="3466"/>
      <c r="B5" s="3261"/>
      <c r="C5" s="3261"/>
      <c r="D5" s="3261" t="s">
        <v>935</v>
      </c>
      <c r="E5" s="3261" t="s">
        <v>936</v>
      </c>
      <c r="F5" s="3261" t="s">
        <v>937</v>
      </c>
      <c r="G5" s="3261" t="s">
        <v>938</v>
      </c>
      <c r="H5" s="3261"/>
      <c r="I5" s="3261" t="s">
        <v>939</v>
      </c>
      <c r="J5" s="3261" t="s">
        <v>940</v>
      </c>
      <c r="K5" s="3261"/>
    </row>
    <row r="6" spans="1:31" ht="3" customHeight="1">
      <c r="A6" s="3466"/>
      <c r="B6" s="3261"/>
      <c r="C6" s="3261"/>
      <c r="D6" s="3261"/>
      <c r="E6" s="3261"/>
      <c r="F6" s="3261"/>
      <c r="G6" s="3261"/>
      <c r="H6" s="3261"/>
      <c r="I6" s="3261"/>
      <c r="J6" s="3261"/>
      <c r="K6" s="3261"/>
    </row>
    <row r="7" spans="1:31" ht="29.5" customHeight="1">
      <c r="A7" s="3466"/>
      <c r="B7" s="3261"/>
      <c r="C7" s="3261"/>
      <c r="D7" s="3261" t="s">
        <v>575</v>
      </c>
      <c r="E7" s="3261"/>
      <c r="F7" s="3261"/>
      <c r="G7" s="3261"/>
      <c r="H7" s="3261"/>
      <c r="I7" s="778" t="s">
        <v>941</v>
      </c>
      <c r="J7" s="3261"/>
      <c r="K7" s="3261"/>
    </row>
    <row r="8" spans="1:31" ht="29">
      <c r="A8" s="788" t="s">
        <v>15</v>
      </c>
      <c r="B8" s="789" t="s">
        <v>1277</v>
      </c>
      <c r="C8" s="8" t="s">
        <v>305</v>
      </c>
      <c r="D8" s="1145">
        <f>'F1'!E8</f>
        <v>25310.196211863444</v>
      </c>
      <c r="E8" s="1145">
        <f>'F1'!F8</f>
        <v>27604.006481911987</v>
      </c>
      <c r="F8" s="1145">
        <f>'F1'!G8</f>
        <v>27604.006481911987</v>
      </c>
      <c r="G8" s="1527">
        <f>IFERROR((F8-D8)/D8,0)</f>
        <v>9.0627913385095932E-2</v>
      </c>
      <c r="H8" s="1528"/>
      <c r="I8" s="1145">
        <f>'F1'!D8</f>
        <v>24188.227817767653</v>
      </c>
      <c r="J8" s="1527">
        <f>IFERROR((F8-I8)/I8,0)</f>
        <v>0.14121657402429655</v>
      </c>
      <c r="K8" s="478"/>
    </row>
    <row r="9" spans="1:31">
      <c r="A9" s="788" t="s">
        <v>16</v>
      </c>
      <c r="B9" s="791" t="s">
        <v>234</v>
      </c>
      <c r="C9" s="8" t="s">
        <v>305</v>
      </c>
      <c r="D9" s="1145">
        <f>'F1'!E9</f>
        <v>22316</v>
      </c>
      <c r="E9" s="1145">
        <f>'F1'!F9</f>
        <v>21903.081000000006</v>
      </c>
      <c r="F9" s="1145">
        <f>'F1'!G9</f>
        <v>21903.081000000006</v>
      </c>
      <c r="G9" s="1527">
        <f t="shared" ref="G9:G48" si="0">IFERROR((F9-D9)/D9,0)</f>
        <v>-1.8503271195554508E-2</v>
      </c>
      <c r="H9" s="1528"/>
      <c r="I9" s="1145">
        <f>'F1'!D9</f>
        <v>21237.264024</v>
      </c>
      <c r="J9" s="1527">
        <f t="shared" ref="J9:J48" si="1">IFERROR((F9-I9)/I9,0)</f>
        <v>3.1351353698271731E-2</v>
      </c>
      <c r="K9" s="293"/>
    </row>
    <row r="10" spans="1:31">
      <c r="A10" s="788" t="s">
        <v>17</v>
      </c>
      <c r="B10" s="791" t="s">
        <v>235</v>
      </c>
      <c r="C10" s="8" t="s">
        <v>62</v>
      </c>
      <c r="D10" s="1145">
        <f>'F1'!E10</f>
        <v>0.1183</v>
      </c>
      <c r="E10" s="1145">
        <f>'F1'!F10</f>
        <v>0.20652529137926451</v>
      </c>
      <c r="F10" s="1145">
        <f>'F1'!G10</f>
        <v>0.20652529137926451</v>
      </c>
      <c r="G10" s="1527">
        <f t="shared" si="0"/>
        <v>0.7457759203657186</v>
      </c>
      <c r="H10" s="1528"/>
      <c r="I10" s="1145">
        <f>'F1'!D10</f>
        <v>0.122</v>
      </c>
      <c r="J10" s="1527">
        <f t="shared" si="1"/>
        <v>0.69283025720708613</v>
      </c>
      <c r="K10" s="478"/>
    </row>
    <row r="11" spans="1:31">
      <c r="A11" s="788"/>
      <c r="B11" s="792"/>
      <c r="C11" s="8"/>
      <c r="D11" s="1483"/>
      <c r="E11" s="1483"/>
      <c r="F11" s="1525"/>
      <c r="G11" s="1527">
        <f t="shared" si="0"/>
        <v>0</v>
      </c>
      <c r="H11" s="1528"/>
      <c r="I11" s="1145">
        <f>'F1'!D11</f>
        <v>0</v>
      </c>
      <c r="J11" s="1527">
        <f t="shared" si="1"/>
        <v>0</v>
      </c>
      <c r="K11" s="478"/>
    </row>
    <row r="12" spans="1:31">
      <c r="A12" s="788" t="s">
        <v>132</v>
      </c>
      <c r="B12" s="793" t="s">
        <v>18</v>
      </c>
      <c r="C12" s="8"/>
      <c r="D12" s="1483"/>
      <c r="E12" s="1483"/>
      <c r="F12" s="1525"/>
      <c r="G12" s="1527">
        <f t="shared" si="0"/>
        <v>0</v>
      </c>
      <c r="H12" s="1528"/>
      <c r="I12" s="1145">
        <f>'F1'!D12</f>
        <v>0</v>
      </c>
      <c r="J12" s="1527">
        <f t="shared" si="1"/>
        <v>0</v>
      </c>
      <c r="K12" s="478"/>
    </row>
    <row r="13" spans="1:31" ht="29">
      <c r="A13" s="626" t="s">
        <v>19</v>
      </c>
      <c r="B13" s="629" t="s">
        <v>241</v>
      </c>
      <c r="C13" s="292" t="s">
        <v>957</v>
      </c>
      <c r="D13" s="1145">
        <f>'F1'!E13</f>
        <v>13588.44</v>
      </c>
      <c r="E13" s="1145">
        <f>'F1'!F13</f>
        <v>11690.8567296</v>
      </c>
      <c r="F13" s="1145">
        <f>'F1'!G13</f>
        <v>11690.8567296</v>
      </c>
      <c r="G13" s="1527">
        <f t="shared" si="0"/>
        <v>-0.13964688149633073</v>
      </c>
      <c r="H13" s="1528"/>
      <c r="I13" s="1145">
        <f>'F1'!D13</f>
        <v>11782.09</v>
      </c>
      <c r="J13" s="1527">
        <f t="shared" si="1"/>
        <v>-7.7433859697218438E-3</v>
      </c>
      <c r="K13" s="478"/>
      <c r="L13" s="544"/>
      <c r="M13" s="544"/>
    </row>
    <row r="14" spans="1:31">
      <c r="A14" s="794"/>
      <c r="B14" s="795" t="s">
        <v>787</v>
      </c>
      <c r="C14" s="8" t="s">
        <v>957</v>
      </c>
      <c r="D14" s="1145">
        <f>'F1'!E14</f>
        <v>13588.44</v>
      </c>
      <c r="E14" s="1145">
        <f>'F1'!F14</f>
        <v>11690.8567296</v>
      </c>
      <c r="F14" s="1145">
        <f>'F1'!G14</f>
        <v>11690.8567296</v>
      </c>
      <c r="G14" s="1527">
        <f t="shared" si="0"/>
        <v>-0.13964688149633073</v>
      </c>
      <c r="H14" s="1528"/>
      <c r="I14" s="1145">
        <f>'F1'!D14</f>
        <v>11782.09</v>
      </c>
      <c r="J14" s="1527">
        <f t="shared" si="1"/>
        <v>-7.7433859697218438E-3</v>
      </c>
      <c r="K14" s="293"/>
    </row>
    <row r="15" spans="1:31">
      <c r="A15" s="626"/>
      <c r="B15" s="797"/>
      <c r="C15" s="8"/>
      <c r="D15" s="1483"/>
      <c r="E15" s="1483"/>
      <c r="F15" s="1525"/>
      <c r="G15" s="1527">
        <f t="shared" si="0"/>
        <v>0</v>
      </c>
      <c r="H15" s="1528"/>
      <c r="I15" s="1145">
        <f>'F1'!D15</f>
        <v>0</v>
      </c>
      <c r="J15" s="1527">
        <f t="shared" si="1"/>
        <v>0</v>
      </c>
      <c r="K15" s="478"/>
    </row>
    <row r="16" spans="1:31">
      <c r="A16" s="626" t="s">
        <v>58</v>
      </c>
      <c r="B16" s="793" t="s">
        <v>23</v>
      </c>
      <c r="C16" s="8"/>
      <c r="D16" s="1145"/>
      <c r="E16" s="1145"/>
      <c r="F16" s="1525"/>
      <c r="G16" s="1527">
        <f t="shared" si="0"/>
        <v>0</v>
      </c>
      <c r="H16" s="1528"/>
      <c r="I16" s="1145">
        <f>'F1'!D16</f>
        <v>0</v>
      </c>
      <c r="J16" s="1527">
        <f t="shared" si="1"/>
        <v>0</v>
      </c>
      <c r="K16" s="293"/>
    </row>
    <row r="17" spans="1:11">
      <c r="A17" s="626" t="s">
        <v>19</v>
      </c>
      <c r="B17" s="629" t="s">
        <v>239</v>
      </c>
      <c r="C17" s="8" t="s">
        <v>957</v>
      </c>
      <c r="D17" s="1145">
        <f>'F1'!E17</f>
        <v>12815</v>
      </c>
      <c r="E17" s="1145">
        <f>'F1'!F17</f>
        <v>13340.509567667001</v>
      </c>
      <c r="F17" s="1145">
        <f>'F1'!G17</f>
        <v>13340.509567667001</v>
      </c>
      <c r="G17" s="1527">
        <f t="shared" si="0"/>
        <v>4.1007379451190068E-2</v>
      </c>
      <c r="H17" s="1528"/>
      <c r="I17" s="1145">
        <f>'F1'!D17</f>
        <v>11696.09</v>
      </c>
      <c r="J17" s="1527">
        <f t="shared" si="1"/>
        <v>0.14059566638654461</v>
      </c>
      <c r="K17" s="478"/>
    </row>
    <row r="18" spans="1:11" ht="29">
      <c r="A18" s="848"/>
      <c r="B18" s="849" t="s">
        <v>1349</v>
      </c>
      <c r="C18" s="850" t="s">
        <v>957</v>
      </c>
      <c r="D18" s="1145">
        <f>'F1'!E18</f>
        <v>0</v>
      </c>
      <c r="E18" s="1145">
        <f>'F1'!F18</f>
        <v>0</v>
      </c>
      <c r="F18" s="1145">
        <f>'F1'!G18</f>
        <v>0</v>
      </c>
      <c r="G18" s="1527">
        <f t="shared" si="0"/>
        <v>0</v>
      </c>
      <c r="H18" s="1528"/>
      <c r="I18" s="1145">
        <f>'F1'!D18</f>
        <v>0</v>
      </c>
      <c r="J18" s="1527">
        <f t="shared" si="1"/>
        <v>0</v>
      </c>
      <c r="K18" s="845"/>
    </row>
    <row r="19" spans="1:11">
      <c r="A19" s="848" t="s">
        <v>20</v>
      </c>
      <c r="B19" s="849" t="s">
        <v>240</v>
      </c>
      <c r="C19" s="847" t="s">
        <v>957</v>
      </c>
      <c r="D19" s="1145">
        <f>'F1'!E19</f>
        <v>601.87</v>
      </c>
      <c r="E19" s="1145">
        <f>'F1'!F19</f>
        <v>756.15343919999998</v>
      </c>
      <c r="F19" s="1145">
        <f>'F1'!G19</f>
        <v>756.15343919999998</v>
      </c>
      <c r="G19" s="1527">
        <f t="shared" si="0"/>
        <v>0.25634013856812926</v>
      </c>
      <c r="H19" s="1528"/>
      <c r="I19" s="1145">
        <f>'F1'!D19</f>
        <v>938.34</v>
      </c>
      <c r="J19" s="1527">
        <f t="shared" si="1"/>
        <v>-0.19415836562440059</v>
      </c>
      <c r="K19" s="846"/>
    </row>
    <row r="20" spans="1:11">
      <c r="A20" s="848" t="s">
        <v>21</v>
      </c>
      <c r="B20" s="849" t="s">
        <v>818</v>
      </c>
      <c r="C20" s="847" t="s">
        <v>957</v>
      </c>
      <c r="D20" s="1145"/>
      <c r="E20" s="1145"/>
      <c r="F20" s="1145"/>
      <c r="G20" s="1527">
        <f t="shared" si="0"/>
        <v>0</v>
      </c>
      <c r="H20" s="1528"/>
      <c r="I20" s="1145">
        <f>'F1'!D20</f>
        <v>0</v>
      </c>
      <c r="J20" s="1527">
        <f t="shared" si="1"/>
        <v>0</v>
      </c>
      <c r="K20" s="845"/>
    </row>
    <row r="21" spans="1:11">
      <c r="A21" s="848" t="s">
        <v>129</v>
      </c>
      <c r="B21" s="849" t="s">
        <v>1309</v>
      </c>
      <c r="C21" s="847" t="s">
        <v>957</v>
      </c>
      <c r="D21" s="1145">
        <f>'F1'!E21</f>
        <v>540.11</v>
      </c>
      <c r="E21" s="1145">
        <f>'F1'!F21</f>
        <v>598.08955460000004</v>
      </c>
      <c r="F21" s="1145">
        <f>'F1'!G21</f>
        <v>895.64533633272515</v>
      </c>
      <c r="G21" s="1527">
        <f t="shared" si="0"/>
        <v>0.65826468003318794</v>
      </c>
      <c r="H21" s="1528"/>
      <c r="I21" s="1145">
        <f>'F1'!D21</f>
        <v>869.82</v>
      </c>
      <c r="J21" s="1527">
        <f t="shared" si="1"/>
        <v>2.969043748445092E-2</v>
      </c>
      <c r="K21" s="846"/>
    </row>
    <row r="22" spans="1:11">
      <c r="A22" s="848" t="s">
        <v>130</v>
      </c>
      <c r="B22" s="849" t="s">
        <v>1278</v>
      </c>
      <c r="C22" s="847" t="s">
        <v>957</v>
      </c>
      <c r="D22" s="1145">
        <f>'F1'!E22</f>
        <v>351.53</v>
      </c>
      <c r="E22" s="1145">
        <f>'F1'!F22</f>
        <v>726.592264</v>
      </c>
      <c r="F22" s="1145">
        <f>'F1'!G22</f>
        <v>726.6938223782638</v>
      </c>
      <c r="G22" s="1527">
        <f t="shared" si="0"/>
        <v>1.0672313099259347</v>
      </c>
      <c r="H22" s="1528"/>
      <c r="I22" s="1145">
        <f>'F1'!D22</f>
        <v>309.21379999999994</v>
      </c>
      <c r="J22" s="1527">
        <f t="shared" si="1"/>
        <v>1.3501338632954414</v>
      </c>
      <c r="K22" s="846"/>
    </row>
    <row r="23" spans="1:11">
      <c r="A23" s="848" t="s">
        <v>133</v>
      </c>
      <c r="B23" s="849" t="s">
        <v>1279</v>
      </c>
      <c r="C23" s="847" t="s">
        <v>957</v>
      </c>
      <c r="D23" s="1145">
        <f>'F1'!E23</f>
        <v>146.35</v>
      </c>
      <c r="E23" s="1145">
        <f>'F1'!F23</f>
        <v>538.68068319999998</v>
      </c>
      <c r="F23" s="1145">
        <f>'F1'!G23</f>
        <v>169.82489144011629</v>
      </c>
      <c r="G23" s="1527">
        <f t="shared" si="0"/>
        <v>0.1604024013673816</v>
      </c>
      <c r="H23" s="1528"/>
      <c r="I23" s="1145">
        <f>'F1'!D23</f>
        <v>164.93</v>
      </c>
      <c r="J23" s="1527">
        <f t="shared" si="1"/>
        <v>2.9678599649040696E-2</v>
      </c>
      <c r="K23" s="846"/>
    </row>
    <row r="24" spans="1:11">
      <c r="A24" s="848"/>
      <c r="B24" s="828" t="s">
        <v>1350</v>
      </c>
      <c r="C24" s="850" t="s">
        <v>957</v>
      </c>
      <c r="D24" s="1145"/>
      <c r="E24" s="1145"/>
      <c r="F24" s="1145"/>
      <c r="G24" s="1527">
        <f t="shared" si="0"/>
        <v>0</v>
      </c>
      <c r="H24" s="1528"/>
      <c r="I24" s="1526"/>
      <c r="J24" s="1527">
        <f t="shared" si="1"/>
        <v>0</v>
      </c>
      <c r="K24" s="846"/>
    </row>
    <row r="25" spans="1:11">
      <c r="A25" s="848"/>
      <c r="B25" s="828" t="s">
        <v>1351</v>
      </c>
      <c r="C25" s="850" t="s">
        <v>957</v>
      </c>
      <c r="D25" s="1145">
        <f>'F1'!E26</f>
        <v>0</v>
      </c>
      <c r="E25" s="1145">
        <f>'F1'!F26</f>
        <v>0</v>
      </c>
      <c r="F25" s="1145">
        <f>'F1'!G26</f>
        <v>38.939091919199996</v>
      </c>
      <c r="G25" s="1527">
        <f t="shared" si="0"/>
        <v>0</v>
      </c>
      <c r="H25" s="1528"/>
      <c r="I25" s="1145">
        <f>'F1'!D26</f>
        <v>0</v>
      </c>
      <c r="J25" s="1527">
        <f t="shared" si="1"/>
        <v>0</v>
      </c>
      <c r="K25" s="846"/>
    </row>
    <row r="26" spans="1:11">
      <c r="A26" s="848"/>
      <c r="B26" s="828" t="s">
        <v>1352</v>
      </c>
      <c r="C26" s="850" t="s">
        <v>957</v>
      </c>
      <c r="D26" s="1145">
        <f>'F1'!E27</f>
        <v>0</v>
      </c>
      <c r="E26" s="1145">
        <f>'F1'!F27</f>
        <v>0</v>
      </c>
      <c r="F26" s="1145">
        <f>'F1'!G27</f>
        <v>0</v>
      </c>
      <c r="G26" s="1527">
        <f t="shared" si="0"/>
        <v>0</v>
      </c>
      <c r="H26" s="1528"/>
      <c r="I26" s="1145">
        <f>'F1'!D27</f>
        <v>0</v>
      </c>
      <c r="J26" s="1527">
        <f t="shared" si="1"/>
        <v>0</v>
      </c>
      <c r="K26" s="846"/>
    </row>
    <row r="27" spans="1:11">
      <c r="A27" s="848"/>
      <c r="B27" s="849" t="s">
        <v>1280</v>
      </c>
      <c r="C27" s="847" t="s">
        <v>957</v>
      </c>
      <c r="D27" s="1145">
        <f>SUM(D21:D23)</f>
        <v>1037.99</v>
      </c>
      <c r="E27" s="1145">
        <f t="shared" ref="E27:F27" si="2">SUM(E21:E23)</f>
        <v>1863.3625018</v>
      </c>
      <c r="F27" s="1145">
        <f t="shared" si="2"/>
        <v>1792.1640501511054</v>
      </c>
      <c r="G27" s="1527">
        <f t="shared" si="0"/>
        <v>0.72657159524764725</v>
      </c>
      <c r="H27" s="1528"/>
      <c r="I27" s="1145">
        <f>SUM(I21:I23)</f>
        <v>1343.9638</v>
      </c>
      <c r="J27" s="1527">
        <f t="shared" si="1"/>
        <v>0.33349131141114469</v>
      </c>
      <c r="K27" s="846"/>
    </row>
    <row r="28" spans="1:11">
      <c r="A28" s="848" t="s">
        <v>24</v>
      </c>
      <c r="B28" s="849" t="s">
        <v>25</v>
      </c>
      <c r="C28" s="847" t="s">
        <v>957</v>
      </c>
      <c r="D28" s="1145">
        <f>'F1'!E28</f>
        <v>317.8</v>
      </c>
      <c r="E28" s="1145">
        <f>'F1'!F28</f>
        <v>814.82057529999997</v>
      </c>
      <c r="F28" s="1145">
        <f>'F1'!G28</f>
        <v>802.73970049454192</v>
      </c>
      <c r="G28" s="1527">
        <f t="shared" si="0"/>
        <v>1.5259273143314722</v>
      </c>
      <c r="H28" s="1528"/>
      <c r="I28" s="1145">
        <f>'F1'!D28</f>
        <v>380.04</v>
      </c>
      <c r="J28" s="1527">
        <f t="shared" si="1"/>
        <v>1.1122505538747023</v>
      </c>
      <c r="K28" s="845"/>
    </row>
    <row r="29" spans="1:11">
      <c r="A29" s="848" t="s">
        <v>26</v>
      </c>
      <c r="B29" s="849" t="s">
        <v>1281</v>
      </c>
      <c r="C29" s="847" t="s">
        <v>957</v>
      </c>
      <c r="D29" s="1145">
        <f>'F1'!E29</f>
        <v>181.95</v>
      </c>
      <c r="E29" s="1145">
        <f>'F1'!F29</f>
        <v>195.9148426212426</v>
      </c>
      <c r="F29" s="1145">
        <f>'F1'!G29</f>
        <v>617.18066101639647</v>
      </c>
      <c r="G29" s="1527">
        <f t="shared" si="0"/>
        <v>2.3920344106424651</v>
      </c>
      <c r="H29" s="1528"/>
      <c r="I29" s="1145">
        <f>'F1'!D29</f>
        <v>381.98</v>
      </c>
      <c r="J29" s="1527">
        <f t="shared" si="1"/>
        <v>0.61574077442901842</v>
      </c>
      <c r="K29" s="847"/>
    </row>
    <row r="30" spans="1:11" ht="29">
      <c r="A30" s="848" t="s">
        <v>27</v>
      </c>
      <c r="B30" s="624" t="s">
        <v>858</v>
      </c>
      <c r="C30" s="847" t="s">
        <v>957</v>
      </c>
      <c r="D30" s="1145">
        <f>'F1'!E30</f>
        <v>21.66</v>
      </c>
      <c r="E30" s="1145">
        <f>'F1'!F30</f>
        <v>19.949393000000001</v>
      </c>
      <c r="F30" s="1145">
        <f>'F1'!G30</f>
        <v>19.949393000000001</v>
      </c>
      <c r="G30" s="1527">
        <f t="shared" si="0"/>
        <v>-7.8975392428439498E-2</v>
      </c>
      <c r="H30" s="1528"/>
      <c r="I30" s="1145">
        <f>'F1'!D30</f>
        <v>24.25</v>
      </c>
      <c r="J30" s="1527">
        <f t="shared" si="1"/>
        <v>-0.177344618556701</v>
      </c>
      <c r="K30" s="846"/>
    </row>
    <row r="31" spans="1:11">
      <c r="A31" s="848"/>
      <c r="B31" s="828" t="s">
        <v>1353</v>
      </c>
      <c r="C31" s="850" t="s">
        <v>957</v>
      </c>
      <c r="D31" s="1145">
        <f>'F1'!E31</f>
        <v>0</v>
      </c>
      <c r="E31" s="1145">
        <f>'F1'!F31</f>
        <v>66.749887700000002</v>
      </c>
      <c r="F31" s="1145">
        <f>'F1'!G31</f>
        <v>66.749887700000002</v>
      </c>
      <c r="G31" s="1527">
        <f t="shared" si="0"/>
        <v>0</v>
      </c>
      <c r="H31" s="1528"/>
      <c r="I31" s="1145">
        <f>'F1'!D31</f>
        <v>8.4</v>
      </c>
      <c r="J31" s="1527">
        <f t="shared" si="1"/>
        <v>6.9464152023809529</v>
      </c>
      <c r="K31" s="846"/>
    </row>
    <row r="32" spans="1:11">
      <c r="A32" s="848" t="s">
        <v>28</v>
      </c>
      <c r="B32" s="849" t="s">
        <v>523</v>
      </c>
      <c r="C32" s="847" t="s">
        <v>957</v>
      </c>
      <c r="D32" s="1145">
        <f>'F1'!E32</f>
        <v>142</v>
      </c>
      <c r="E32" s="1145">
        <f>'F1'!F32</f>
        <v>1466.2709091787572</v>
      </c>
      <c r="F32" s="1145">
        <f>'F1'!G32</f>
        <v>145.06998227826213</v>
      </c>
      <c r="G32" s="1527">
        <f t="shared" si="0"/>
        <v>2.1619593508888247E-2</v>
      </c>
      <c r="H32" s="1528"/>
      <c r="I32" s="1145">
        <f>'F1'!D32</f>
        <v>231.8888106</v>
      </c>
      <c r="J32" s="1527">
        <f t="shared" si="1"/>
        <v>-0.37439852357299497</v>
      </c>
      <c r="K32" s="845"/>
    </row>
    <row r="33" spans="1:11">
      <c r="A33" s="848" t="s">
        <v>30</v>
      </c>
      <c r="B33" s="849" t="s">
        <v>1285</v>
      </c>
      <c r="C33" s="847" t="s">
        <v>957</v>
      </c>
      <c r="D33" s="1145">
        <f>'F1'!E33</f>
        <v>242.2</v>
      </c>
      <c r="E33" s="1145">
        <f>'F1'!F33</f>
        <v>175.26230000000001</v>
      </c>
      <c r="F33" s="1145">
        <f>'F1'!G33</f>
        <v>175.26230000000001</v>
      </c>
      <c r="G33" s="1527">
        <f t="shared" si="0"/>
        <v>-0.27637365813377368</v>
      </c>
      <c r="H33" s="1528"/>
      <c r="I33" s="1145">
        <f>'F1'!D33</f>
        <v>164.6061</v>
      </c>
      <c r="J33" s="1527">
        <f t="shared" si="1"/>
        <v>6.4737576553967391E-2</v>
      </c>
      <c r="K33" s="851"/>
    </row>
    <row r="34" spans="1:11">
      <c r="A34" s="848" t="s">
        <v>129</v>
      </c>
      <c r="B34" s="849" t="s">
        <v>29</v>
      </c>
      <c r="C34" s="847" t="s">
        <v>957</v>
      </c>
      <c r="D34" s="1145">
        <f>'F1'!E34</f>
        <v>0</v>
      </c>
      <c r="E34" s="1145">
        <f>'F1'!F34</f>
        <v>0</v>
      </c>
      <c r="F34" s="1145">
        <f>'F1'!G34</f>
        <v>0</v>
      </c>
      <c r="G34" s="1527">
        <f t="shared" si="0"/>
        <v>0</v>
      </c>
      <c r="H34" s="1528"/>
      <c r="I34" s="1145">
        <f>'F1'!D34</f>
        <v>0</v>
      </c>
      <c r="J34" s="1527">
        <f t="shared" si="1"/>
        <v>0</v>
      </c>
      <c r="K34" s="845"/>
    </row>
    <row r="35" spans="1:11">
      <c r="A35" s="848" t="s">
        <v>136</v>
      </c>
      <c r="B35" s="849" t="s">
        <v>34</v>
      </c>
      <c r="C35" s="847" t="s">
        <v>957</v>
      </c>
      <c r="D35" s="1145">
        <f>'F1'!E35</f>
        <v>449.81</v>
      </c>
      <c r="E35" s="1145">
        <f>'F1'!F35</f>
        <v>0</v>
      </c>
      <c r="F35" s="1145">
        <f ca="1">'F1'!G35</f>
        <v>573.82394105700007</v>
      </c>
      <c r="G35" s="1527">
        <f t="shared" ca="1" si="0"/>
        <v>0.27570294359173886</v>
      </c>
      <c r="H35" s="1528"/>
      <c r="I35" s="1145">
        <f>'F1'!D35</f>
        <v>476.32319999999999</v>
      </c>
      <c r="J35" s="1527">
        <f t="shared" ca="1" si="1"/>
        <v>0.20469450376761009</v>
      </c>
      <c r="K35" s="846"/>
    </row>
    <row r="36" spans="1:11">
      <c r="A36" s="848" t="s">
        <v>706</v>
      </c>
      <c r="B36" s="849" t="s">
        <v>134</v>
      </c>
      <c r="C36" s="847" t="s">
        <v>957</v>
      </c>
      <c r="D36" s="1145">
        <f>'F1'!E36</f>
        <v>0</v>
      </c>
      <c r="E36" s="1145">
        <f>'F1'!F36</f>
        <v>0</v>
      </c>
      <c r="F36" s="1145">
        <f>'F1'!G36</f>
        <v>0</v>
      </c>
      <c r="G36" s="1527">
        <f t="shared" si="0"/>
        <v>0</v>
      </c>
      <c r="H36" s="1528"/>
      <c r="I36" s="1145">
        <f>'F1'!D36</f>
        <v>0</v>
      </c>
      <c r="J36" s="1527">
        <f t="shared" si="1"/>
        <v>0</v>
      </c>
      <c r="K36" s="852"/>
    </row>
    <row r="37" spans="1:11">
      <c r="A37" s="853"/>
      <c r="B37" s="849" t="s">
        <v>786</v>
      </c>
      <c r="C37" s="847" t="s">
        <v>957</v>
      </c>
      <c r="D37" s="1145">
        <f>'F1'!E37</f>
        <v>15810.28</v>
      </c>
      <c r="E37" s="1145">
        <f>'F1'!F37</f>
        <v>18698.993416466998</v>
      </c>
      <c r="F37" s="1145">
        <f ca="1">'F1'!G37</f>
        <v>18328.542014483501</v>
      </c>
      <c r="G37" s="1527">
        <f t="shared" ca="1" si="0"/>
        <v>0.15928003896727319</v>
      </c>
      <c r="H37" s="1528"/>
      <c r="I37" s="1145">
        <f>'F1'!D37</f>
        <v>15645.881910600001</v>
      </c>
      <c r="J37" s="1527">
        <f t="shared" ca="1" si="1"/>
        <v>0.17146109878702406</v>
      </c>
      <c r="K37" s="852"/>
    </row>
    <row r="38" spans="1:11">
      <c r="A38" s="848"/>
      <c r="B38" s="854"/>
      <c r="C38" s="847"/>
      <c r="D38" s="838"/>
      <c r="E38" s="838"/>
      <c r="F38" s="838"/>
      <c r="G38" s="1527">
        <f t="shared" si="0"/>
        <v>0</v>
      </c>
      <c r="H38" s="1528"/>
      <c r="I38" s="1145">
        <f>'F1'!D38</f>
        <v>0</v>
      </c>
      <c r="J38" s="1527">
        <f t="shared" si="1"/>
        <v>0</v>
      </c>
      <c r="K38" s="852"/>
    </row>
    <row r="39" spans="1:11">
      <c r="A39" s="848" t="s">
        <v>67</v>
      </c>
      <c r="B39" s="855" t="s">
        <v>510</v>
      </c>
      <c r="C39" s="847"/>
      <c r="D39" s="838"/>
      <c r="E39" s="838"/>
      <c r="F39" s="838"/>
      <c r="G39" s="1527">
        <f t="shared" si="0"/>
        <v>0</v>
      </c>
      <c r="H39" s="1528"/>
      <c r="I39" s="1145">
        <f>'F1'!D39</f>
        <v>0</v>
      </c>
      <c r="J39" s="1527">
        <f t="shared" si="1"/>
        <v>0</v>
      </c>
      <c r="K39" s="852"/>
    </row>
    <row r="40" spans="1:11">
      <c r="A40" s="848" t="s">
        <v>19</v>
      </c>
      <c r="B40" s="849" t="s">
        <v>131</v>
      </c>
      <c r="C40" s="847" t="s">
        <v>957</v>
      </c>
      <c r="D40" s="838">
        <f>'F1'!E40</f>
        <v>0</v>
      </c>
      <c r="E40" s="838">
        <f>'F1'!F40</f>
        <v>0</v>
      </c>
      <c r="F40" s="838">
        <f>'F1'!G40</f>
        <v>0</v>
      </c>
      <c r="G40" s="1527">
        <f t="shared" si="0"/>
        <v>0</v>
      </c>
      <c r="H40" s="1528"/>
      <c r="I40" s="1145">
        <f>'F1'!D40</f>
        <v>0</v>
      </c>
      <c r="J40" s="1527">
        <f t="shared" si="1"/>
        <v>0</v>
      </c>
      <c r="K40" s="852"/>
    </row>
    <row r="41" spans="1:11">
      <c r="A41" s="848" t="s">
        <v>20</v>
      </c>
      <c r="B41" s="849" t="s">
        <v>135</v>
      </c>
      <c r="C41" s="847" t="s">
        <v>957</v>
      </c>
      <c r="D41" s="838">
        <f>'F1'!E41</f>
        <v>13.14</v>
      </c>
      <c r="E41" s="838">
        <f>'F1'!F41</f>
        <v>130.60135339999999</v>
      </c>
      <c r="F41" s="838">
        <f>'F1'!G41</f>
        <v>90.04859802499999</v>
      </c>
      <c r="G41" s="1527">
        <f t="shared" si="0"/>
        <v>5.8530135483257215</v>
      </c>
      <c r="H41" s="1528"/>
      <c r="I41" s="1145">
        <f>'F1'!D41</f>
        <v>284.31</v>
      </c>
      <c r="J41" s="1527">
        <f t="shared" si="1"/>
        <v>-0.68327319466427494</v>
      </c>
      <c r="K41" s="852"/>
    </row>
    <row r="42" spans="1:11">
      <c r="A42" s="848" t="s">
        <v>67</v>
      </c>
      <c r="B42" s="849" t="s">
        <v>506</v>
      </c>
      <c r="C42" s="847" t="s">
        <v>957</v>
      </c>
      <c r="D42" s="838">
        <f>'F1'!E42</f>
        <v>0.56999999999999995</v>
      </c>
      <c r="E42" s="838">
        <f>'F1'!F42</f>
        <v>0</v>
      </c>
      <c r="F42" s="838">
        <f>'F1'!G42</f>
        <v>0</v>
      </c>
      <c r="G42" s="1527">
        <f t="shared" si="0"/>
        <v>-1</v>
      </c>
      <c r="H42" s="1528"/>
      <c r="I42" s="1145">
        <f>'F1'!D42</f>
        <v>0.56999999999999995</v>
      </c>
      <c r="J42" s="1527">
        <f t="shared" si="1"/>
        <v>-1</v>
      </c>
      <c r="K42" s="852"/>
    </row>
    <row r="43" spans="1:11">
      <c r="A43" s="853"/>
      <c r="B43" s="849" t="s">
        <v>785</v>
      </c>
      <c r="C43" s="847" t="s">
        <v>957</v>
      </c>
      <c r="D43" s="838">
        <f>'F1'!E43</f>
        <v>13.71</v>
      </c>
      <c r="E43" s="838">
        <f>'F1'!F43</f>
        <v>130.60135339999999</v>
      </c>
      <c r="F43" s="838">
        <f>'F1'!G43</f>
        <v>90.04859802499999</v>
      </c>
      <c r="G43" s="1527">
        <f t="shared" si="0"/>
        <v>5.568096136032092</v>
      </c>
      <c r="H43" s="1528"/>
      <c r="I43" s="1145">
        <f>'F1'!D43</f>
        <v>284.88</v>
      </c>
      <c r="J43" s="1527">
        <f t="shared" si="1"/>
        <v>-0.68390691510460544</v>
      </c>
      <c r="K43" s="852"/>
    </row>
    <row r="44" spans="1:11" ht="29">
      <c r="A44" s="853" t="s">
        <v>68</v>
      </c>
      <c r="B44" s="856" t="s">
        <v>236</v>
      </c>
      <c r="C44" s="847" t="s">
        <v>957</v>
      </c>
      <c r="D44" s="838">
        <f>'F1'!E44</f>
        <v>15796.570000000002</v>
      </c>
      <c r="E44" s="838">
        <f>'F1'!F44</f>
        <v>18568.392063066996</v>
      </c>
      <c r="F44" s="838">
        <f ca="1">'F1'!G44</f>
        <v>18238.493416458499</v>
      </c>
      <c r="G44" s="1527">
        <f t="shared" ca="1" si="0"/>
        <v>0.15458567375439716</v>
      </c>
      <c r="H44" s="1528"/>
      <c r="I44" s="1145">
        <f>'F1'!D44</f>
        <v>15361.001910600002</v>
      </c>
      <c r="J44" s="1527">
        <f t="shared" ca="1" si="1"/>
        <v>0.18732446767504518</v>
      </c>
      <c r="K44" s="852"/>
    </row>
    <row r="45" spans="1:11" ht="29">
      <c r="A45" s="857" t="s">
        <v>69</v>
      </c>
      <c r="B45" s="858" t="s">
        <v>237</v>
      </c>
      <c r="C45" s="847" t="s">
        <v>957</v>
      </c>
      <c r="D45" s="838">
        <f>'F1'!E45</f>
        <v>-2208.130000000001</v>
      </c>
      <c r="E45" s="838">
        <f>'F1'!F45</f>
        <v>-6877.5353334669962</v>
      </c>
      <c r="F45" s="838">
        <f ca="1">'F1'!G45</f>
        <v>-6547.6366868584992</v>
      </c>
      <c r="G45" s="1527">
        <f t="shared" ca="1" si="0"/>
        <v>1.9652405822385892</v>
      </c>
      <c r="H45" s="1528"/>
      <c r="I45" s="1145">
        <f>'F1'!D45</f>
        <v>-3578.9119106000016</v>
      </c>
      <c r="J45" s="1527">
        <f t="shared" ca="1" si="1"/>
        <v>0.82950484684066816</v>
      </c>
      <c r="K45" s="852"/>
    </row>
    <row r="46" spans="1:11">
      <c r="A46" s="857" t="s">
        <v>70</v>
      </c>
      <c r="B46" s="849" t="s">
        <v>503</v>
      </c>
      <c r="C46" s="847" t="s">
        <v>957</v>
      </c>
      <c r="D46" s="838">
        <f>'F1'!E46</f>
        <v>0</v>
      </c>
      <c r="E46" s="838">
        <f>'F1'!F46</f>
        <v>0</v>
      </c>
      <c r="F46" s="838">
        <f>'F1'!G46</f>
        <v>0</v>
      </c>
      <c r="G46" s="1527">
        <f t="shared" si="0"/>
        <v>0</v>
      </c>
      <c r="H46" s="1528"/>
      <c r="I46" s="1145">
        <f>'F1'!D46</f>
        <v>0</v>
      </c>
      <c r="J46" s="1527">
        <f t="shared" si="1"/>
        <v>0</v>
      </c>
      <c r="K46" s="852"/>
    </row>
    <row r="47" spans="1:11" ht="29">
      <c r="A47" s="853" t="s">
        <v>138</v>
      </c>
      <c r="B47" s="856" t="s">
        <v>238</v>
      </c>
      <c r="C47" s="847" t="s">
        <v>957</v>
      </c>
      <c r="D47" s="838">
        <f>'F1'!E47</f>
        <v>-2208.130000000001</v>
      </c>
      <c r="E47" s="838">
        <f>'F1'!F47</f>
        <v>-6877.5353334669962</v>
      </c>
      <c r="F47" s="838">
        <f ca="1">'F1'!G47</f>
        <v>-6547.6366868584992</v>
      </c>
      <c r="G47" s="1527">
        <f t="shared" ca="1" si="0"/>
        <v>1.9652405822385892</v>
      </c>
      <c r="H47" s="1528"/>
      <c r="I47" s="1145">
        <f>'F1'!D47</f>
        <v>-3578.9119106000016</v>
      </c>
      <c r="J47" s="1527">
        <f t="shared" ca="1" si="1"/>
        <v>0.82950484684066816</v>
      </c>
      <c r="K47" s="852"/>
    </row>
    <row r="48" spans="1:11">
      <c r="A48" s="857" t="s">
        <v>139</v>
      </c>
      <c r="B48" s="859" t="s">
        <v>504</v>
      </c>
      <c r="C48" s="847" t="s">
        <v>957</v>
      </c>
      <c r="D48" s="838">
        <f>'F1'!E48</f>
        <v>3324.8</v>
      </c>
      <c r="E48" s="838">
        <f>'F1'!F48</f>
        <v>2454.2539000000002</v>
      </c>
      <c r="F48" s="838">
        <f>'F1'!G48</f>
        <v>2454.2539000000002</v>
      </c>
      <c r="G48" s="1527">
        <f t="shared" si="0"/>
        <v>-0.26183412536092393</v>
      </c>
      <c r="H48" s="1528"/>
      <c r="I48" s="1145">
        <f>'F1'!D48</f>
        <v>3289.09</v>
      </c>
      <c r="J48" s="1527">
        <f t="shared" si="1"/>
        <v>-0.25381977993913207</v>
      </c>
      <c r="K48" s="852"/>
    </row>
    <row r="49" spans="1:11">
      <c r="A49" s="853" t="s">
        <v>140</v>
      </c>
      <c r="B49" s="736" t="s">
        <v>784</v>
      </c>
      <c r="C49" s="847" t="s">
        <v>957</v>
      </c>
      <c r="D49" s="846"/>
      <c r="E49" s="846"/>
      <c r="F49" s="846"/>
      <c r="G49" s="846"/>
      <c r="H49" s="846"/>
      <c r="I49" s="838">
        <f>I48+I47</f>
        <v>-289.8219106000015</v>
      </c>
      <c r="J49" s="846"/>
      <c r="K49" s="852"/>
    </row>
    <row r="50" spans="1:11">
      <c r="A50" s="3467" t="s">
        <v>963</v>
      </c>
      <c r="B50" s="3468"/>
      <c r="C50" s="3468"/>
      <c r="D50" s="3468"/>
      <c r="E50" s="3468"/>
      <c r="F50" s="3468"/>
      <c r="G50" s="3468"/>
      <c r="H50" s="3468"/>
      <c r="I50" s="3468"/>
      <c r="J50" s="3468"/>
      <c r="K50" s="3469"/>
    </row>
    <row r="51" spans="1:11">
      <c r="A51" s="3470" t="s">
        <v>965</v>
      </c>
      <c r="B51" s="3470"/>
      <c r="C51" s="3470"/>
      <c r="D51" s="3470"/>
      <c r="E51" s="3470"/>
      <c r="F51" s="3470"/>
      <c r="G51" s="3470"/>
      <c r="H51" s="3470"/>
      <c r="I51" s="3470"/>
      <c r="J51" s="3470"/>
      <c r="K51" s="3470"/>
    </row>
    <row r="52" spans="1:11">
      <c r="A52" s="3471" t="s">
        <v>964</v>
      </c>
      <c r="B52" s="3472"/>
      <c r="C52" s="3472"/>
      <c r="D52" s="3472"/>
      <c r="E52" s="3472"/>
      <c r="F52" s="3472"/>
      <c r="G52" s="3472"/>
      <c r="H52" s="3472"/>
      <c r="I52" s="3472"/>
      <c r="J52" s="3472"/>
      <c r="K52" s="3473"/>
    </row>
    <row r="53" spans="1:11">
      <c r="A53" s="3471" t="s">
        <v>1332</v>
      </c>
      <c r="B53" s="3472"/>
      <c r="C53" s="3472"/>
      <c r="D53" s="3472"/>
      <c r="E53" s="3472"/>
      <c r="F53" s="3472"/>
      <c r="G53" s="3472"/>
      <c r="H53" s="3472"/>
      <c r="I53" s="3472"/>
      <c r="J53" s="3472"/>
      <c r="K53" s="3473"/>
    </row>
    <row r="54" spans="1:11">
      <c r="C54" s="559"/>
    </row>
    <row r="55" spans="1:11">
      <c r="C55" s="559"/>
    </row>
    <row r="57" spans="1:11">
      <c r="B57" s="807" t="s">
        <v>992</v>
      </c>
      <c r="C57" s="1146" t="s">
        <v>56</v>
      </c>
    </row>
    <row r="58" spans="1:11" ht="58">
      <c r="B58" s="3474" t="s">
        <v>14</v>
      </c>
      <c r="C58" s="3474" t="s">
        <v>61</v>
      </c>
      <c r="D58" s="778" t="s">
        <v>930</v>
      </c>
      <c r="E58" s="778" t="s">
        <v>931</v>
      </c>
      <c r="F58" s="778" t="s">
        <v>544</v>
      </c>
      <c r="G58" s="778" t="s">
        <v>932</v>
      </c>
      <c r="H58" s="3474" t="s">
        <v>127</v>
      </c>
      <c r="I58" s="785" t="s">
        <v>990</v>
      </c>
      <c r="J58" s="778" t="s">
        <v>934</v>
      </c>
      <c r="K58" s="3474" t="s">
        <v>127</v>
      </c>
    </row>
    <row r="59" spans="1:11">
      <c r="B59" s="3475"/>
      <c r="C59" s="3475"/>
      <c r="D59" s="785" t="s">
        <v>935</v>
      </c>
      <c r="E59" s="785" t="s">
        <v>936</v>
      </c>
      <c r="F59" s="785" t="s">
        <v>937</v>
      </c>
      <c r="G59" s="3474" t="s">
        <v>938</v>
      </c>
      <c r="H59" s="3475"/>
      <c r="I59" s="782" t="s">
        <v>939</v>
      </c>
      <c r="J59" s="3474" t="s">
        <v>940</v>
      </c>
      <c r="K59" s="3475"/>
    </row>
    <row r="60" spans="1:11">
      <c r="B60" s="3476"/>
      <c r="C60" s="3476"/>
      <c r="D60" s="3261" t="s">
        <v>575</v>
      </c>
      <c r="E60" s="3261"/>
      <c r="F60" s="3261"/>
      <c r="G60" s="3476"/>
      <c r="H60" s="3476"/>
      <c r="I60" s="782" t="s">
        <v>560</v>
      </c>
      <c r="J60" s="3476"/>
      <c r="K60" s="3476"/>
    </row>
    <row r="61" spans="1:11">
      <c r="B61" s="463" t="s">
        <v>966</v>
      </c>
      <c r="C61" s="620" t="s">
        <v>957</v>
      </c>
      <c r="D61" s="464"/>
      <c r="E61" s="464"/>
      <c r="F61" s="464"/>
      <c r="G61" s="465"/>
      <c r="H61" s="466"/>
      <c r="I61" s="467"/>
      <c r="J61" s="468"/>
      <c r="K61" s="466"/>
    </row>
    <row r="62" spans="1:11">
      <c r="B62" s="80" t="s">
        <v>967</v>
      </c>
      <c r="C62" s="8" t="s">
        <v>957</v>
      </c>
      <c r="D62" s="465"/>
      <c r="E62" s="464"/>
      <c r="F62" s="465"/>
      <c r="G62" s="465"/>
      <c r="H62" s="466"/>
      <c r="I62" s="317"/>
      <c r="J62" s="469"/>
      <c r="K62" s="466"/>
    </row>
    <row r="63" spans="1:11">
      <c r="B63" s="80" t="s">
        <v>968</v>
      </c>
      <c r="C63" s="8" t="s">
        <v>957</v>
      </c>
      <c r="D63" s="470"/>
      <c r="E63" s="464"/>
      <c r="F63" s="470"/>
      <c r="G63" s="465"/>
      <c r="H63" s="466"/>
      <c r="I63" s="317"/>
      <c r="J63" s="469"/>
      <c r="K63" s="466"/>
    </row>
    <row r="64" spans="1:11">
      <c r="B64" s="80" t="s">
        <v>969</v>
      </c>
      <c r="C64" s="8" t="s">
        <v>957</v>
      </c>
      <c r="D64" s="465"/>
      <c r="E64" s="464"/>
      <c r="F64" s="465"/>
      <c r="G64" s="465"/>
      <c r="H64" s="466"/>
      <c r="I64" s="317"/>
      <c r="J64" s="469"/>
      <c r="K64" s="466"/>
    </row>
    <row r="65" spans="2:14">
      <c r="B65" s="3471" t="s">
        <v>963</v>
      </c>
      <c r="C65" s="3472"/>
      <c r="D65" s="3472"/>
      <c r="E65" s="3472"/>
      <c r="F65" s="3472"/>
      <c r="G65" s="3472"/>
      <c r="H65" s="3472"/>
      <c r="I65" s="3472"/>
      <c r="J65" s="3472"/>
      <c r="K65" s="3473"/>
    </row>
    <row r="67" spans="2:14">
      <c r="B67" s="807" t="s">
        <v>993</v>
      </c>
      <c r="C67" s="559" t="s">
        <v>197</v>
      </c>
    </row>
    <row r="68" spans="2:14">
      <c r="B68" s="3482" t="s">
        <v>14</v>
      </c>
      <c r="C68" s="3483" t="s">
        <v>990</v>
      </c>
      <c r="D68" s="3483"/>
      <c r="E68" s="3483" t="s">
        <v>930</v>
      </c>
      <c r="F68" s="3483"/>
      <c r="G68" s="3482" t="s">
        <v>991</v>
      </c>
      <c r="H68" s="3482"/>
    </row>
    <row r="69" spans="2:14">
      <c r="B69" s="3482"/>
      <c r="C69" s="784" t="s">
        <v>763</v>
      </c>
      <c r="D69" s="784" t="s">
        <v>62</v>
      </c>
      <c r="E69" s="783" t="s">
        <v>763</v>
      </c>
      <c r="F69" s="783" t="s">
        <v>62</v>
      </c>
      <c r="G69" s="783" t="s">
        <v>763</v>
      </c>
      <c r="H69" s="783" t="s">
        <v>62</v>
      </c>
    </row>
    <row r="70" spans="2:14">
      <c r="B70" s="316" t="s">
        <v>970</v>
      </c>
      <c r="C70" s="1529"/>
      <c r="D70" s="1530">
        <v>1</v>
      </c>
      <c r="E70" s="1531"/>
      <c r="F70" s="1532">
        <v>1</v>
      </c>
      <c r="G70" s="1531"/>
      <c r="H70" s="1532">
        <v>1</v>
      </c>
    </row>
    <row r="71" spans="2:14">
      <c r="B71" s="294" t="s">
        <v>971</v>
      </c>
      <c r="C71" s="469"/>
      <c r="D71" s="473"/>
      <c r="E71" s="474"/>
      <c r="F71" s="461"/>
      <c r="G71" s="474"/>
      <c r="H71" s="461"/>
    </row>
    <row r="72" spans="2:14">
      <c r="B72" s="294" t="s">
        <v>972</v>
      </c>
      <c r="C72" s="469"/>
      <c r="D72" s="473"/>
      <c r="E72" s="474"/>
      <c r="F72" s="461"/>
      <c r="G72" s="474"/>
      <c r="H72" s="461"/>
    </row>
    <row r="73" spans="2:14">
      <c r="B73" s="294" t="s">
        <v>973</v>
      </c>
      <c r="C73" s="469"/>
      <c r="D73" s="473"/>
      <c r="E73" s="474"/>
      <c r="F73" s="461"/>
      <c r="G73" s="474"/>
      <c r="H73" s="461"/>
    </row>
    <row r="74" spans="2:14">
      <c r="B74" s="828" t="s">
        <v>1350</v>
      </c>
      <c r="C74" s="469"/>
      <c r="D74" s="473"/>
      <c r="E74" s="474"/>
      <c r="F74" s="461"/>
      <c r="G74" s="474"/>
      <c r="H74" s="461"/>
    </row>
    <row r="75" spans="2:14">
      <c r="B75" s="828" t="s">
        <v>1351</v>
      </c>
      <c r="C75" s="469"/>
      <c r="D75" s="473"/>
      <c r="E75" s="474"/>
      <c r="F75" s="461"/>
      <c r="G75" s="474"/>
      <c r="H75" s="461"/>
    </row>
    <row r="76" spans="2:14">
      <c r="B76" s="828" t="s">
        <v>1352</v>
      </c>
      <c r="C76" s="469"/>
      <c r="D76" s="473"/>
      <c r="E76" s="474"/>
      <c r="F76" s="461"/>
      <c r="G76" s="474"/>
      <c r="H76" s="461"/>
    </row>
    <row r="77" spans="2:14">
      <c r="C77" s="805" t="s">
        <v>1580</v>
      </c>
      <c r="D77" s="805"/>
      <c r="E77" s="805"/>
      <c r="F77" s="805"/>
      <c r="G77" s="805"/>
      <c r="H77" s="805"/>
      <c r="I77" s="805"/>
    </row>
    <row r="79" spans="2:14">
      <c r="B79" s="559" t="s">
        <v>36</v>
      </c>
      <c r="C79" s="202" t="s">
        <v>994</v>
      </c>
      <c r="H79" s="559" t="s">
        <v>1527</v>
      </c>
    </row>
    <row r="80" spans="2:14" ht="101.5">
      <c r="B80" s="447" t="s">
        <v>14</v>
      </c>
      <c r="C80" s="447" t="s">
        <v>565</v>
      </c>
      <c r="D80" s="778" t="s">
        <v>930</v>
      </c>
      <c r="E80" s="778" t="s">
        <v>991</v>
      </c>
      <c r="F80" s="447" t="s">
        <v>995</v>
      </c>
      <c r="H80" s="3260" t="s">
        <v>997</v>
      </c>
      <c r="I80" s="3260"/>
      <c r="J80" s="3260"/>
      <c r="K80" s="3260"/>
      <c r="L80" s="3260"/>
      <c r="M80" s="3260"/>
      <c r="N80" s="3260"/>
    </row>
    <row r="81" spans="2:14">
      <c r="B81" s="421" t="s">
        <v>974</v>
      </c>
      <c r="C81" s="29" t="s">
        <v>935</v>
      </c>
      <c r="D81" s="456"/>
      <c r="E81" s="456"/>
      <c r="F81" s="457"/>
      <c r="H81" s="3422" t="s">
        <v>998</v>
      </c>
      <c r="I81" s="3479" t="s">
        <v>999</v>
      </c>
      <c r="J81" s="3480"/>
      <c r="K81" s="3481"/>
      <c r="L81" s="3479" t="s">
        <v>991</v>
      </c>
      <c r="M81" s="3480"/>
      <c r="N81" s="3481"/>
    </row>
    <row r="82" spans="2:14" ht="43.5">
      <c r="B82" s="421" t="s">
        <v>975</v>
      </c>
      <c r="C82" s="29" t="s">
        <v>936</v>
      </c>
      <c r="D82" s="458"/>
      <c r="E82" s="458"/>
      <c r="F82" s="457"/>
      <c r="H82" s="3424"/>
      <c r="I82" s="778" t="s">
        <v>862</v>
      </c>
      <c r="J82" s="778" t="s">
        <v>1000</v>
      </c>
      <c r="K82" s="778" t="s">
        <v>1001</v>
      </c>
      <c r="L82" s="778" t="s">
        <v>862</v>
      </c>
      <c r="M82" s="778" t="s">
        <v>1000</v>
      </c>
      <c r="N82" s="778" t="s">
        <v>991</v>
      </c>
    </row>
    <row r="83" spans="2:14" ht="29">
      <c r="B83" s="421" t="s">
        <v>976</v>
      </c>
      <c r="C83" s="317" t="s">
        <v>977</v>
      </c>
      <c r="D83" s="475"/>
      <c r="E83" s="475"/>
      <c r="F83" s="457"/>
      <c r="H83" s="502" t="s">
        <v>1002</v>
      </c>
      <c r="I83" s="576"/>
      <c r="J83" s="576"/>
      <c r="K83" s="576"/>
      <c r="L83" s="576"/>
      <c r="M83" s="576"/>
      <c r="N83" s="576"/>
    </row>
    <row r="84" spans="2:14">
      <c r="B84" s="421" t="s">
        <v>978</v>
      </c>
      <c r="C84" s="29" t="s">
        <v>68</v>
      </c>
      <c r="D84" s="459"/>
      <c r="E84" s="459"/>
      <c r="F84" s="457"/>
      <c r="H84" s="502" t="s">
        <v>942</v>
      </c>
      <c r="I84" s="576"/>
      <c r="J84" s="576"/>
      <c r="K84" s="576"/>
      <c r="L84" s="576"/>
      <c r="M84" s="576"/>
      <c r="N84" s="576"/>
    </row>
    <row r="85" spans="2:14" ht="29">
      <c r="B85" s="452" t="s">
        <v>979</v>
      </c>
      <c r="C85" s="29" t="s">
        <v>69</v>
      </c>
      <c r="D85" s="459"/>
      <c r="E85" s="459"/>
      <c r="F85" s="457"/>
      <c r="H85" s="502" t="s">
        <v>1173</v>
      </c>
      <c r="I85" s="576"/>
      <c r="J85" s="576"/>
      <c r="K85" s="576"/>
      <c r="L85" s="576"/>
      <c r="M85" s="576"/>
      <c r="N85" s="576"/>
    </row>
    <row r="86" spans="2:14" ht="29">
      <c r="B86" s="452" t="s">
        <v>980</v>
      </c>
      <c r="C86" s="29" t="s">
        <v>70</v>
      </c>
      <c r="D86" s="458"/>
      <c r="E86" s="458"/>
      <c r="F86" s="457"/>
      <c r="H86" s="502" t="s">
        <v>1003</v>
      </c>
      <c r="I86" s="576"/>
      <c r="J86" s="576"/>
      <c r="K86" s="576"/>
      <c r="L86" s="576"/>
      <c r="M86" s="576"/>
      <c r="N86" s="576"/>
    </row>
    <row r="87" spans="2:14" ht="43.5">
      <c r="B87" s="452" t="s">
        <v>981</v>
      </c>
      <c r="C87" s="453" t="s">
        <v>982</v>
      </c>
      <c r="D87" s="454"/>
      <c r="E87" s="448"/>
      <c r="F87" s="449"/>
      <c r="H87" s="502" t="s">
        <v>1004</v>
      </c>
      <c r="I87" s="576"/>
      <c r="J87" s="576"/>
      <c r="K87" s="576"/>
      <c r="L87" s="576"/>
      <c r="M87" s="576"/>
      <c r="N87" s="576"/>
    </row>
    <row r="88" spans="2:14" ht="29">
      <c r="B88" s="452" t="s">
        <v>983</v>
      </c>
      <c r="C88" s="29" t="s">
        <v>139</v>
      </c>
      <c r="D88" s="451"/>
      <c r="E88" s="448"/>
      <c r="F88" s="449"/>
      <c r="H88" s="502" t="s">
        <v>943</v>
      </c>
      <c r="I88" s="576"/>
      <c r="J88" s="576"/>
      <c r="K88" s="576"/>
      <c r="L88" s="576"/>
      <c r="M88" s="576"/>
      <c r="N88" s="576"/>
    </row>
    <row r="89" spans="2:14" ht="29">
      <c r="B89" s="455" t="s">
        <v>984</v>
      </c>
      <c r="C89" s="777" t="s">
        <v>985</v>
      </c>
      <c r="D89" s="449"/>
      <c r="E89" s="450"/>
      <c r="F89" s="449"/>
      <c r="H89" s="502" t="s">
        <v>1005</v>
      </c>
      <c r="I89" s="576"/>
      <c r="J89" s="576"/>
      <c r="K89" s="576"/>
      <c r="L89" s="576"/>
      <c r="M89" s="576"/>
      <c r="N89" s="576"/>
    </row>
    <row r="90" spans="2:14" ht="29">
      <c r="B90" s="294" t="s">
        <v>986</v>
      </c>
      <c r="C90" s="29" t="s">
        <v>987</v>
      </c>
      <c r="D90" s="812"/>
      <c r="E90" s="812"/>
      <c r="F90" s="449"/>
      <c r="H90" s="502" t="s">
        <v>1006</v>
      </c>
      <c r="I90" s="576"/>
      <c r="J90" s="576"/>
      <c r="K90" s="576"/>
      <c r="L90" s="576"/>
      <c r="M90" s="576"/>
      <c r="N90" s="576"/>
    </row>
    <row r="91" spans="2:14">
      <c r="B91" s="294" t="s">
        <v>988</v>
      </c>
      <c r="C91" s="8" t="s">
        <v>987</v>
      </c>
      <c r="D91" s="812"/>
      <c r="E91" s="812"/>
      <c r="F91" s="449"/>
      <c r="H91" s="502" t="s">
        <v>410</v>
      </c>
      <c r="I91" s="576"/>
      <c r="J91" s="576"/>
      <c r="K91" s="576"/>
      <c r="L91" s="576"/>
      <c r="M91" s="576"/>
      <c r="N91" s="576"/>
    </row>
    <row r="92" spans="2:14">
      <c r="B92" s="293" t="s">
        <v>989</v>
      </c>
      <c r="C92" s="8" t="s">
        <v>987</v>
      </c>
      <c r="D92" s="812"/>
      <c r="E92" s="812"/>
      <c r="F92" s="449"/>
      <c r="H92" s="502" t="s">
        <v>511</v>
      </c>
      <c r="I92" s="576"/>
      <c r="J92" s="576"/>
      <c r="K92" s="576"/>
      <c r="L92" s="576"/>
      <c r="M92" s="576"/>
      <c r="N92" s="576"/>
    </row>
    <row r="93" spans="2:14" ht="29">
      <c r="B93" s="3470" t="s">
        <v>963</v>
      </c>
      <c r="C93" s="3470"/>
      <c r="D93" s="3470"/>
      <c r="E93" s="3470"/>
      <c r="F93" s="3470"/>
      <c r="G93" s="3470"/>
      <c r="H93" s="502" t="s">
        <v>1007</v>
      </c>
      <c r="I93" s="576"/>
      <c r="J93" s="576"/>
      <c r="K93" s="576"/>
      <c r="L93" s="576"/>
      <c r="M93" s="576"/>
      <c r="N93" s="576"/>
    </row>
    <row r="94" spans="2:14" ht="29">
      <c r="H94" s="502" t="s">
        <v>1008</v>
      </c>
      <c r="I94" s="576"/>
      <c r="J94" s="576"/>
      <c r="K94" s="576"/>
      <c r="L94" s="576"/>
      <c r="M94" s="576"/>
      <c r="N94" s="576"/>
    </row>
    <row r="95" spans="2:14">
      <c r="H95" s="502" t="s">
        <v>1009</v>
      </c>
      <c r="I95" s="576"/>
      <c r="J95" s="576"/>
      <c r="K95" s="576"/>
      <c r="L95" s="576"/>
      <c r="M95" s="576"/>
      <c r="N95" s="576"/>
    </row>
    <row r="96" spans="2:14">
      <c r="H96" s="3471" t="s">
        <v>963</v>
      </c>
      <c r="I96" s="3477"/>
      <c r="J96" s="3477"/>
      <c r="K96" s="3477"/>
      <c r="L96" s="3477"/>
      <c r="M96" s="3477"/>
      <c r="N96" s="3478"/>
    </row>
  </sheetData>
  <mergeCells count="34">
    <mergeCell ref="H96:N96"/>
    <mergeCell ref="B93:G93"/>
    <mergeCell ref="B65:K65"/>
    <mergeCell ref="H80:N80"/>
    <mergeCell ref="H81:H82"/>
    <mergeCell ref="I81:K81"/>
    <mergeCell ref="L81:N81"/>
    <mergeCell ref="B68:B69"/>
    <mergeCell ref="C68:D68"/>
    <mergeCell ref="E68:F68"/>
    <mergeCell ref="G68:H68"/>
    <mergeCell ref="H4:H7"/>
    <mergeCell ref="K4:K7"/>
    <mergeCell ref="D5:D6"/>
    <mergeCell ref="E5:E6"/>
    <mergeCell ref="F5:F6"/>
    <mergeCell ref="G5:G7"/>
    <mergeCell ref="I5:I6"/>
    <mergeCell ref="A4:A7"/>
    <mergeCell ref="A50:K50"/>
    <mergeCell ref="A51:K51"/>
    <mergeCell ref="A52:K52"/>
    <mergeCell ref="H58:H60"/>
    <mergeCell ref="J5:J7"/>
    <mergeCell ref="D7:F7"/>
    <mergeCell ref="J59:J60"/>
    <mergeCell ref="K58:K60"/>
    <mergeCell ref="B58:B60"/>
    <mergeCell ref="C58:C60"/>
    <mergeCell ref="D60:F60"/>
    <mergeCell ref="G59:G60"/>
    <mergeCell ref="A53:K53"/>
    <mergeCell ref="B4:B7"/>
    <mergeCell ref="C4:C7"/>
  </mergeCells>
  <printOptions horizontalCentered="1"/>
  <pageMargins left="0.19685039370078741" right="0.19685039370078741" top="0.19685039370078741" bottom="0.19685039370078741" header="0.19685039370078741" footer="0.19685039370078741"/>
  <pageSetup paperSize="9" scale="60" fitToHeight="4" orientation="landscape" r:id="rId1"/>
  <rowBreaks count="1" manualBreakCount="1">
    <brk id="5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6"/>
  <sheetViews>
    <sheetView view="pageBreakPreview" topLeftCell="C38" zoomScaleNormal="68" zoomScaleSheetLayoutView="100" workbookViewId="0">
      <selection activeCell="C105" sqref="C105"/>
    </sheetView>
  </sheetViews>
  <sheetFormatPr defaultColWidth="9.1796875" defaultRowHeight="14.5"/>
  <cols>
    <col min="1" max="1" width="5.26953125" style="435" customWidth="1"/>
    <col min="2" max="2" width="41.1796875" style="435" customWidth="1"/>
    <col min="3" max="3" width="15.7265625" style="487" customWidth="1"/>
    <col min="4" max="4" width="15.81640625" style="435" customWidth="1"/>
    <col min="5" max="5" width="14.81640625" style="435" bestFit="1" customWidth="1"/>
    <col min="6" max="6" width="13.7265625" style="435" customWidth="1"/>
    <col min="7" max="7" width="23.453125" style="435" customWidth="1"/>
    <col min="8" max="8" width="37.26953125" style="435" customWidth="1"/>
    <col min="9" max="9" width="13.26953125" style="435" customWidth="1"/>
    <col min="10" max="10" width="26.453125" style="435" customWidth="1"/>
    <col min="11" max="16384" width="9.1796875" style="435"/>
  </cols>
  <sheetData>
    <row r="1" spans="1:14">
      <c r="A1" s="3314" t="s">
        <v>1196</v>
      </c>
      <c r="B1" s="3314"/>
    </row>
    <row r="2" spans="1:14">
      <c r="A2" s="392" t="s">
        <v>1604</v>
      </c>
      <c r="B2" s="715"/>
      <c r="C2" s="715"/>
      <c r="D2" s="715"/>
      <c r="E2" s="715"/>
      <c r="F2" s="715"/>
    </row>
    <row r="3" spans="1:14">
      <c r="A3" s="440" t="s">
        <v>944</v>
      </c>
      <c r="B3" s="440"/>
      <c r="C3" s="440"/>
      <c r="D3" s="440"/>
      <c r="E3" s="440"/>
      <c r="F3" s="440"/>
      <c r="G3" s="440"/>
      <c r="H3" s="440"/>
      <c r="I3" s="440"/>
      <c r="J3" s="440"/>
    </row>
    <row r="4" spans="1:14" ht="56.25" customHeight="1">
      <c r="A4" s="3489" t="s">
        <v>117</v>
      </c>
      <c r="B4" s="3491" t="s">
        <v>959</v>
      </c>
      <c r="C4" s="3491" t="s">
        <v>61</v>
      </c>
      <c r="D4" s="495" t="s">
        <v>930</v>
      </c>
      <c r="E4" s="495" t="s">
        <v>945</v>
      </c>
      <c r="F4" s="495" t="s">
        <v>946</v>
      </c>
      <c r="G4" s="3491" t="s">
        <v>127</v>
      </c>
      <c r="H4" s="495" t="s">
        <v>947</v>
      </c>
      <c r="I4" s="495" t="s">
        <v>948</v>
      </c>
      <c r="J4" s="3491" t="s">
        <v>127</v>
      </c>
    </row>
    <row r="5" spans="1:14" ht="12.75" customHeight="1">
      <c r="A5" s="3489"/>
      <c r="B5" s="3491"/>
      <c r="C5" s="3491"/>
      <c r="D5" s="3491" t="s">
        <v>935</v>
      </c>
      <c r="E5" s="3491" t="s">
        <v>936</v>
      </c>
      <c r="F5" s="3491" t="s">
        <v>949</v>
      </c>
      <c r="G5" s="3491"/>
      <c r="H5" s="3491" t="s">
        <v>950</v>
      </c>
      <c r="I5" s="3491" t="s">
        <v>951</v>
      </c>
      <c r="J5" s="3491"/>
    </row>
    <row r="6" spans="1:14" ht="7.5" hidden="1" customHeight="1">
      <c r="A6" s="3489"/>
      <c r="B6" s="3491"/>
      <c r="C6" s="3491"/>
      <c r="D6" s="3491"/>
      <c r="E6" s="3491"/>
      <c r="F6" s="3491"/>
      <c r="G6" s="3491"/>
      <c r="H6" s="3491"/>
      <c r="I6" s="3491"/>
      <c r="J6" s="3491"/>
    </row>
    <row r="7" spans="1:14" ht="12.75" customHeight="1">
      <c r="A7" s="3490"/>
      <c r="B7" s="3491"/>
      <c r="C7" s="3491"/>
      <c r="D7" s="1332" t="s">
        <v>952</v>
      </c>
      <c r="E7" s="1024"/>
      <c r="F7" s="3491"/>
      <c r="G7" s="3491"/>
      <c r="H7" s="495" t="s">
        <v>560</v>
      </c>
      <c r="I7" s="3491"/>
      <c r="J7" s="3491"/>
      <c r="N7" s="499"/>
    </row>
    <row r="8" spans="1:14" s="790" customFormat="1" ht="29">
      <c r="A8" s="788" t="s">
        <v>15</v>
      </c>
      <c r="B8" s="789" t="s">
        <v>1277</v>
      </c>
      <c r="C8" s="8" t="s">
        <v>305</v>
      </c>
      <c r="D8" s="1568">
        <v>26555.42</v>
      </c>
      <c r="E8" s="1144">
        <f>'F1'!H8</f>
        <v>27398.300622483664</v>
      </c>
      <c r="F8" s="477">
        <f>IFERROR((E8-D8)/D8,0)</f>
        <v>3.1740436509144508E-2</v>
      </c>
      <c r="G8" s="477"/>
      <c r="H8" s="1144">
        <f>'F41'!F8</f>
        <v>27604.006481911987</v>
      </c>
      <c r="I8" s="477">
        <f>IFERROR((E8-H8)/H8,0)</f>
        <v>-7.4520290945126024E-3</v>
      </c>
      <c r="J8" s="496"/>
      <c r="N8" s="636"/>
    </row>
    <row r="9" spans="1:14" s="790" customFormat="1">
      <c r="A9" s="788" t="s">
        <v>16</v>
      </c>
      <c r="B9" s="791" t="s">
        <v>234</v>
      </c>
      <c r="C9" s="8" t="s">
        <v>305</v>
      </c>
      <c r="D9" s="1568">
        <v>23538.560000000001</v>
      </c>
      <c r="E9" s="1144">
        <f>'F1'!H9</f>
        <v>22028.439146115652</v>
      </c>
      <c r="F9" s="477">
        <f t="shared" ref="F9:F48" si="0">IFERROR((E9-D9)/D9,0)</f>
        <v>-6.4155192751143203E-2</v>
      </c>
      <c r="G9" s="496"/>
      <c r="H9" s="1144">
        <f>'F41'!F9</f>
        <v>21903.081000000006</v>
      </c>
      <c r="I9" s="477">
        <f t="shared" ref="I9:I48" si="1">IFERROR((E9-H9)/H9,0)</f>
        <v>5.723311077361507E-3</v>
      </c>
      <c r="J9" s="496"/>
      <c r="N9" s="638"/>
    </row>
    <row r="10" spans="1:14" s="790" customFormat="1">
      <c r="A10" s="788" t="s">
        <v>17</v>
      </c>
      <c r="B10" s="791" t="s">
        <v>235</v>
      </c>
      <c r="C10" s="8" t="s">
        <v>62</v>
      </c>
      <c r="D10" s="822">
        <v>0.11360000000000001</v>
      </c>
      <c r="E10" s="1570">
        <f>'F1'!H10</f>
        <v>0.19599250151892203</v>
      </c>
      <c r="F10" s="477">
        <f t="shared" si="0"/>
        <v>0.72528610492008816</v>
      </c>
      <c r="G10" s="496"/>
      <c r="H10" s="1144">
        <f>'F41'!F10</f>
        <v>0.20652529137926451</v>
      </c>
      <c r="I10" s="477">
        <f t="shared" si="1"/>
        <v>-5.0999999999999948E-2</v>
      </c>
      <c r="J10" s="496"/>
      <c r="N10" s="639"/>
    </row>
    <row r="11" spans="1:14" s="790" customFormat="1">
      <c r="A11" s="788"/>
      <c r="B11" s="792"/>
      <c r="C11" s="8"/>
      <c r="D11" s="1533"/>
      <c r="E11" s="1144"/>
      <c r="F11" s="477">
        <f t="shared" si="0"/>
        <v>0</v>
      </c>
      <c r="G11" s="496"/>
      <c r="H11" s="1144">
        <f>'F41'!F11</f>
        <v>0</v>
      </c>
      <c r="I11" s="477">
        <f t="shared" si="1"/>
        <v>0</v>
      </c>
      <c r="J11" s="501"/>
      <c r="N11" s="639"/>
    </row>
    <row r="12" spans="1:14" s="790" customFormat="1">
      <c r="A12" s="788" t="s">
        <v>132</v>
      </c>
      <c r="B12" s="793" t="s">
        <v>18</v>
      </c>
      <c r="C12" s="8"/>
      <c r="D12" s="1533"/>
      <c r="E12" s="1144"/>
      <c r="F12" s="477">
        <f t="shared" si="0"/>
        <v>0</v>
      </c>
      <c r="G12" s="496"/>
      <c r="H12" s="1144">
        <f>'F41'!F12</f>
        <v>0</v>
      </c>
      <c r="I12" s="477">
        <f t="shared" si="1"/>
        <v>0</v>
      </c>
      <c r="J12" s="496"/>
      <c r="N12" s="639"/>
    </row>
    <row r="13" spans="1:14" s="790" customFormat="1" ht="29">
      <c r="A13" s="626" t="s">
        <v>19</v>
      </c>
      <c r="B13" s="629" t="s">
        <v>241</v>
      </c>
      <c r="C13" s="292" t="s">
        <v>957</v>
      </c>
      <c r="D13" s="1144">
        <v>14413.91</v>
      </c>
      <c r="E13" s="1144">
        <f>'F1'!H13</f>
        <v>13469.269785867667</v>
      </c>
      <c r="F13" s="477">
        <f t="shared" si="0"/>
        <v>-6.5536708230614207E-2</v>
      </c>
      <c r="G13" s="496"/>
      <c r="H13" s="1144">
        <f>'F41'!F13</f>
        <v>11690.8567296</v>
      </c>
      <c r="I13" s="477">
        <f t="shared" si="1"/>
        <v>0.15211999406039384</v>
      </c>
      <c r="J13" s="496"/>
      <c r="N13" s="639"/>
    </row>
    <row r="14" spans="1:14" s="790" customFormat="1">
      <c r="A14" s="794"/>
      <c r="B14" s="795" t="s">
        <v>787</v>
      </c>
      <c r="C14" s="8" t="s">
        <v>957</v>
      </c>
      <c r="D14" s="1144">
        <f>D13</f>
        <v>14413.91</v>
      </c>
      <c r="E14" s="1144">
        <f>'F1'!H14</f>
        <v>13469.269785867667</v>
      </c>
      <c r="F14" s="477">
        <f t="shared" si="0"/>
        <v>-6.5536708230614207E-2</v>
      </c>
      <c r="G14" s="496"/>
      <c r="H14" s="1144">
        <f>'F41'!F14</f>
        <v>11690.8567296</v>
      </c>
      <c r="I14" s="477">
        <f t="shared" si="1"/>
        <v>0.15211999406039384</v>
      </c>
      <c r="J14" s="112"/>
      <c r="L14" s="796"/>
      <c r="M14" s="796"/>
      <c r="N14" s="639"/>
    </row>
    <row r="15" spans="1:14" s="790" customFormat="1">
      <c r="A15" s="626"/>
      <c r="B15" s="797"/>
      <c r="C15" s="8"/>
      <c r="D15" s="1533"/>
      <c r="E15" s="1144"/>
      <c r="F15" s="477">
        <f t="shared" si="0"/>
        <v>0</v>
      </c>
      <c r="G15" s="496"/>
      <c r="H15" s="1144">
        <f>'F41'!F15</f>
        <v>0</v>
      </c>
      <c r="I15" s="477">
        <f t="shared" si="1"/>
        <v>0</v>
      </c>
      <c r="J15" s="496"/>
      <c r="N15" s="639"/>
    </row>
    <row r="16" spans="1:14" s="790" customFormat="1">
      <c r="A16" s="626" t="s">
        <v>58</v>
      </c>
      <c r="B16" s="793" t="s">
        <v>23</v>
      </c>
      <c r="C16" s="8"/>
      <c r="D16" s="1144"/>
      <c r="E16" s="1144"/>
      <c r="F16" s="477">
        <f t="shared" si="0"/>
        <v>0</v>
      </c>
      <c r="G16" s="477"/>
      <c r="H16" s="1144">
        <f>'F41'!F16</f>
        <v>0</v>
      </c>
      <c r="I16" s="477">
        <f t="shared" si="1"/>
        <v>0</v>
      </c>
      <c r="J16" s="112"/>
      <c r="N16" s="639"/>
    </row>
    <row r="17" spans="1:14" s="790" customFormat="1">
      <c r="A17" s="626" t="s">
        <v>19</v>
      </c>
      <c r="B17" s="629" t="s">
        <v>239</v>
      </c>
      <c r="C17" s="8" t="s">
        <v>957</v>
      </c>
      <c r="D17" s="1144">
        <v>14401.15</v>
      </c>
      <c r="E17" s="1144">
        <f>'F1'!H17</f>
        <v>11832.767242374724</v>
      </c>
      <c r="F17" s="477">
        <f t="shared" si="0"/>
        <v>-0.17834567084054226</v>
      </c>
      <c r="G17" s="496"/>
      <c r="H17" s="1144">
        <f>'F41'!F17</f>
        <v>13340.509567667001</v>
      </c>
      <c r="I17" s="477">
        <f t="shared" si="1"/>
        <v>-0.11301984512994517</v>
      </c>
      <c r="J17" s="496"/>
      <c r="N17" s="639"/>
    </row>
    <row r="18" spans="1:14" s="790" customFormat="1" ht="29">
      <c r="A18" s="626"/>
      <c r="B18" s="849" t="s">
        <v>1349</v>
      </c>
      <c r="C18" s="850" t="s">
        <v>957</v>
      </c>
      <c r="D18" s="1145"/>
      <c r="E18" s="1144"/>
      <c r="F18" s="477">
        <f t="shared" si="0"/>
        <v>0</v>
      </c>
      <c r="G18" s="496"/>
      <c r="H18" s="1144">
        <f>'F41'!F18</f>
        <v>0</v>
      </c>
      <c r="I18" s="477">
        <f t="shared" si="1"/>
        <v>0</v>
      </c>
      <c r="J18" s="496"/>
      <c r="N18" s="639"/>
    </row>
    <row r="19" spans="1:14" s="790" customFormat="1">
      <c r="A19" s="626" t="s">
        <v>20</v>
      </c>
      <c r="B19" s="629" t="s">
        <v>240</v>
      </c>
      <c r="C19" s="8" t="s">
        <v>957</v>
      </c>
      <c r="D19" s="1144">
        <v>642.97</v>
      </c>
      <c r="E19" s="1144">
        <f>'F1'!H19</f>
        <v>663.31285807032964</v>
      </c>
      <c r="F19" s="477">
        <f t="shared" si="0"/>
        <v>3.163889150400425E-2</v>
      </c>
      <c r="G19" s="496"/>
      <c r="H19" s="1144">
        <f>'F41'!F19</f>
        <v>756.15343919999998</v>
      </c>
      <c r="I19" s="477">
        <f t="shared" si="1"/>
        <v>-0.12278008181500094</v>
      </c>
      <c r="J19" s="496"/>
      <c r="L19" s="796"/>
      <c r="N19" s="639"/>
    </row>
    <row r="20" spans="1:14" s="790" customFormat="1">
      <c r="A20" s="626" t="s">
        <v>21</v>
      </c>
      <c r="B20" s="629" t="s">
        <v>818</v>
      </c>
      <c r="C20" s="8" t="s">
        <v>957</v>
      </c>
      <c r="D20" s="1145"/>
      <c r="E20" s="1144"/>
      <c r="F20" s="477">
        <f t="shared" si="0"/>
        <v>0</v>
      </c>
      <c r="G20" s="496"/>
      <c r="H20" s="1144">
        <f>'F41'!F20</f>
        <v>0</v>
      </c>
      <c r="I20" s="477">
        <f t="shared" si="1"/>
        <v>0</v>
      </c>
      <c r="J20" s="496"/>
      <c r="N20" s="640"/>
    </row>
    <row r="21" spans="1:14" s="790" customFormat="1">
      <c r="A21" s="626" t="s">
        <v>129</v>
      </c>
      <c r="B21" s="629" t="s">
        <v>1309</v>
      </c>
      <c r="C21" s="8" t="s">
        <v>957</v>
      </c>
      <c r="D21" s="1144">
        <v>991.17</v>
      </c>
      <c r="E21" s="1144">
        <f>'F1'!H21</f>
        <v>1247.6793588586931</v>
      </c>
      <c r="F21" s="477">
        <f t="shared" si="0"/>
        <v>0.25879451442103091</v>
      </c>
      <c r="G21" s="466"/>
      <c r="H21" s="1144">
        <f>'F41'!F21</f>
        <v>895.64533633272515</v>
      </c>
      <c r="I21" s="477">
        <f t="shared" si="1"/>
        <v>0.39305069567759143</v>
      </c>
      <c r="J21" s="112"/>
      <c r="N21" s="639"/>
    </row>
    <row r="22" spans="1:14" s="790" customFormat="1">
      <c r="A22" s="626" t="s">
        <v>130</v>
      </c>
      <c r="B22" s="629" t="s">
        <v>1278</v>
      </c>
      <c r="C22" s="8" t="s">
        <v>957</v>
      </c>
      <c r="D22" s="1144">
        <v>376.52</v>
      </c>
      <c r="E22" s="1144">
        <f>'F1'!H22</f>
        <v>770.28407794878331</v>
      </c>
      <c r="F22" s="477">
        <f t="shared" si="0"/>
        <v>1.0457985709890134</v>
      </c>
      <c r="G22" s="477"/>
      <c r="H22" s="1144">
        <f>'F41'!F22</f>
        <v>726.6938223782638</v>
      </c>
      <c r="I22" s="477">
        <f t="shared" si="1"/>
        <v>5.9984348604837312E-2</v>
      </c>
      <c r="J22" s="112"/>
      <c r="N22" s="639"/>
    </row>
    <row r="23" spans="1:14" s="790" customFormat="1">
      <c r="A23" s="626" t="s">
        <v>133</v>
      </c>
      <c r="B23" s="629" t="s">
        <v>1279</v>
      </c>
      <c r="C23" s="8" t="s">
        <v>957</v>
      </c>
      <c r="D23" s="1144">
        <v>160.86000000000001</v>
      </c>
      <c r="E23" s="1144">
        <f>'F1'!H23</f>
        <v>173.92885271439735</v>
      </c>
      <c r="F23" s="477">
        <f t="shared" si="0"/>
        <v>8.1243644873786755E-2</v>
      </c>
      <c r="G23" s="477"/>
      <c r="H23" s="1144">
        <f>'F41'!F23</f>
        <v>169.82489144011629</v>
      </c>
      <c r="I23" s="477">
        <f t="shared" si="1"/>
        <v>2.4165840704972286E-2</v>
      </c>
      <c r="J23" s="112"/>
      <c r="N23" s="639"/>
    </row>
    <row r="24" spans="1:14" s="790" customFormat="1">
      <c r="A24" s="626"/>
      <c r="B24" s="828" t="s">
        <v>1350</v>
      </c>
      <c r="C24" s="850" t="s">
        <v>957</v>
      </c>
      <c r="D24" s="1145"/>
      <c r="E24" s="1144"/>
      <c r="F24" s="477">
        <f t="shared" si="0"/>
        <v>0</v>
      </c>
      <c r="G24" s="477"/>
      <c r="H24" s="1144">
        <f>'F41'!F24</f>
        <v>0</v>
      </c>
      <c r="I24" s="477">
        <f t="shared" si="1"/>
        <v>0</v>
      </c>
      <c r="J24" s="112"/>
      <c r="N24" s="639"/>
    </row>
    <row r="25" spans="1:14" s="790" customFormat="1">
      <c r="A25" s="626"/>
      <c r="B25" s="828" t="s">
        <v>1351</v>
      </c>
      <c r="C25" s="850" t="s">
        <v>957</v>
      </c>
      <c r="D25" s="1144">
        <v>0</v>
      </c>
      <c r="E25" s="1144">
        <f>'F1'!H26</f>
        <v>38.939091919199996</v>
      </c>
      <c r="F25" s="477">
        <f t="shared" si="0"/>
        <v>0</v>
      </c>
      <c r="G25" s="477"/>
      <c r="H25" s="1144">
        <f>'F41'!F25</f>
        <v>38.939091919199996</v>
      </c>
      <c r="I25" s="477">
        <f t="shared" si="1"/>
        <v>0</v>
      </c>
      <c r="J25" s="112"/>
      <c r="N25" s="639"/>
    </row>
    <row r="26" spans="1:14" s="790" customFormat="1">
      <c r="A26" s="626"/>
      <c r="B26" s="828" t="s">
        <v>1352</v>
      </c>
      <c r="C26" s="850" t="s">
        <v>957</v>
      </c>
      <c r="D26" s="1144">
        <v>0</v>
      </c>
      <c r="E26" s="1144">
        <f>'F1'!H27</f>
        <v>0</v>
      </c>
      <c r="F26" s="477">
        <f t="shared" si="0"/>
        <v>0</v>
      </c>
      <c r="G26" s="477"/>
      <c r="H26" s="1144">
        <f>'F41'!F26</f>
        <v>0</v>
      </c>
      <c r="I26" s="477">
        <f t="shared" si="1"/>
        <v>0</v>
      </c>
      <c r="J26" s="112"/>
      <c r="N26" s="639"/>
    </row>
    <row r="27" spans="1:14" s="790" customFormat="1">
      <c r="A27" s="626"/>
      <c r="B27" s="849" t="s">
        <v>1280</v>
      </c>
      <c r="C27" s="847" t="s">
        <v>957</v>
      </c>
      <c r="D27" s="1144">
        <f>SUM(D21:D26)</f>
        <v>1528.5500000000002</v>
      </c>
      <c r="E27" s="1144">
        <f>SUM(E21:E26)</f>
        <v>2230.831381441074</v>
      </c>
      <c r="F27" s="477">
        <f t="shared" si="0"/>
        <v>0.4594428585529251</v>
      </c>
      <c r="G27" s="466"/>
      <c r="H27" s="1144">
        <f>'F41'!F27</f>
        <v>1792.1640501511054</v>
      </c>
      <c r="I27" s="477">
        <f t="shared" si="1"/>
        <v>0.24476962990803358</v>
      </c>
      <c r="J27" s="112"/>
      <c r="N27" s="639"/>
    </row>
    <row r="28" spans="1:14" s="790" customFormat="1">
      <c r="A28" s="626" t="s">
        <v>24</v>
      </c>
      <c r="B28" s="849" t="s">
        <v>25</v>
      </c>
      <c r="C28" s="847" t="s">
        <v>957</v>
      </c>
      <c r="D28" s="1144">
        <v>425.2</v>
      </c>
      <c r="E28" s="1144">
        <f>'F1'!H28</f>
        <v>900.8171365948831</v>
      </c>
      <c r="F28" s="477">
        <f t="shared" si="0"/>
        <v>1.1185727577490197</v>
      </c>
      <c r="G28" s="496"/>
      <c r="H28" s="1144">
        <f>'F41'!F28</f>
        <v>802.73970049454192</v>
      </c>
      <c r="I28" s="477">
        <f t="shared" si="1"/>
        <v>0.12217837991558016</v>
      </c>
      <c r="J28" s="496"/>
      <c r="K28" s="798"/>
      <c r="N28" s="639"/>
    </row>
    <row r="29" spans="1:14" s="790" customFormat="1">
      <c r="A29" s="626" t="s">
        <v>26</v>
      </c>
      <c r="B29" s="849" t="s">
        <v>1281</v>
      </c>
      <c r="C29" s="847" t="s">
        <v>957</v>
      </c>
      <c r="D29" s="1144">
        <v>168.79</v>
      </c>
      <c r="E29" s="1144">
        <f>'F1'!H29</f>
        <v>562.92331991712695</v>
      </c>
      <c r="F29" s="477">
        <f t="shared" si="0"/>
        <v>2.3350513651112448</v>
      </c>
      <c r="G29" s="496"/>
      <c r="H29" s="1144">
        <f>'F41'!F29</f>
        <v>617.18066101639647</v>
      </c>
      <c r="I29" s="477">
        <f t="shared" si="1"/>
        <v>-8.7911602754882953E-2</v>
      </c>
      <c r="J29" s="496"/>
      <c r="N29" s="589"/>
    </row>
    <row r="30" spans="1:14" s="790" customFormat="1" ht="29">
      <c r="A30" s="626" t="s">
        <v>27</v>
      </c>
      <c r="B30" s="624" t="s">
        <v>858</v>
      </c>
      <c r="C30" s="847" t="s">
        <v>957</v>
      </c>
      <c r="D30" s="1144">
        <v>22.68</v>
      </c>
      <c r="E30" s="1144">
        <f>'F1'!H30</f>
        <v>21.115857017217639</v>
      </c>
      <c r="F30" s="477">
        <f t="shared" si="0"/>
        <v>-6.8965739981585575E-2</v>
      </c>
      <c r="G30" s="477"/>
      <c r="H30" s="1144">
        <f>'F41'!F30</f>
        <v>19.949393000000001</v>
      </c>
      <c r="I30" s="477">
        <f t="shared" si="1"/>
        <v>5.8471153343745259E-2</v>
      </c>
      <c r="J30" s="112"/>
      <c r="N30" s="641"/>
    </row>
    <row r="31" spans="1:14" s="790" customFormat="1">
      <c r="A31" s="626"/>
      <c r="B31" s="828" t="s">
        <v>1353</v>
      </c>
      <c r="C31" s="850" t="s">
        <v>957</v>
      </c>
      <c r="D31" s="1144">
        <v>0</v>
      </c>
      <c r="E31" s="1144">
        <f>'F1'!H31</f>
        <v>66.749887700000002</v>
      </c>
      <c r="F31" s="477">
        <f t="shared" si="0"/>
        <v>0</v>
      </c>
      <c r="G31" s="477"/>
      <c r="H31" s="1144">
        <f>'F41'!F31</f>
        <v>66.749887700000002</v>
      </c>
      <c r="I31" s="477">
        <f t="shared" si="1"/>
        <v>0</v>
      </c>
      <c r="J31" s="112"/>
      <c r="N31" s="641"/>
    </row>
    <row r="32" spans="1:14" s="790" customFormat="1">
      <c r="A32" s="626" t="s">
        <v>28</v>
      </c>
      <c r="B32" s="629" t="s">
        <v>523</v>
      </c>
      <c r="C32" s="8" t="s">
        <v>957</v>
      </c>
      <c r="D32" s="1144">
        <v>160.55000000000001</v>
      </c>
      <c r="E32" s="1144">
        <f>'F1'!H32</f>
        <v>190.67720755522134</v>
      </c>
      <c r="F32" s="477">
        <f t="shared" si="0"/>
        <v>0.18765000034395099</v>
      </c>
      <c r="G32" s="496"/>
      <c r="H32" s="1144">
        <f>'F41'!F32</f>
        <v>145.06998227826213</v>
      </c>
      <c r="I32" s="477">
        <f t="shared" si="1"/>
        <v>0.31438085647159536</v>
      </c>
      <c r="J32" s="496"/>
      <c r="N32" s="589"/>
    </row>
    <row r="33" spans="1:14" s="790" customFormat="1">
      <c r="A33" s="626" t="s">
        <v>30</v>
      </c>
      <c r="B33" s="629" t="s">
        <v>1285</v>
      </c>
      <c r="C33" s="8" t="s">
        <v>957</v>
      </c>
      <c r="D33" s="1144">
        <v>204.88</v>
      </c>
      <c r="E33" s="1144">
        <f>'F1'!H33</f>
        <v>269.38539571735333</v>
      </c>
      <c r="F33" s="477">
        <f t="shared" si="0"/>
        <v>0.31484476628930758</v>
      </c>
      <c r="G33" s="496"/>
      <c r="H33" s="1144">
        <f>'F41'!F33</f>
        <v>175.26230000000001</v>
      </c>
      <c r="I33" s="477">
        <f t="shared" si="1"/>
        <v>0.53704131303396863</v>
      </c>
      <c r="J33" s="112"/>
      <c r="N33" s="589"/>
    </row>
    <row r="34" spans="1:14" s="790" customFormat="1">
      <c r="A34" s="626" t="s">
        <v>129</v>
      </c>
      <c r="B34" s="629" t="s">
        <v>29</v>
      </c>
      <c r="C34" s="8" t="s">
        <v>957</v>
      </c>
      <c r="D34" s="1144">
        <v>0</v>
      </c>
      <c r="E34" s="1144">
        <f>'F1'!H34</f>
        <v>0</v>
      </c>
      <c r="F34" s="477">
        <f t="shared" si="0"/>
        <v>0</v>
      </c>
      <c r="G34" s="496"/>
      <c r="H34" s="1144">
        <f>'F41'!F34</f>
        <v>0</v>
      </c>
      <c r="I34" s="477">
        <f t="shared" si="1"/>
        <v>0</v>
      </c>
      <c r="J34" s="496"/>
      <c r="N34" s="641"/>
    </row>
    <row r="35" spans="1:14" s="790" customFormat="1">
      <c r="A35" s="626" t="s">
        <v>136</v>
      </c>
      <c r="B35" s="629" t="s">
        <v>34</v>
      </c>
      <c r="C35" s="8" t="s">
        <v>957</v>
      </c>
      <c r="D35" s="1144">
        <v>552.20000000000005</v>
      </c>
      <c r="E35" s="1144">
        <f ca="1">'F1'!H35</f>
        <v>654.58750305223157</v>
      </c>
      <c r="F35" s="477">
        <f t="shared" ca="1" si="0"/>
        <v>0.18541742675159636</v>
      </c>
      <c r="G35" s="112"/>
      <c r="H35" s="1144">
        <f ca="1">'F41'!F35</f>
        <v>573.82394105700007</v>
      </c>
      <c r="I35" s="477">
        <f t="shared" ca="1" si="1"/>
        <v>0.14074623977253845</v>
      </c>
      <c r="J35" s="112"/>
      <c r="K35" s="799"/>
      <c r="N35" s="799"/>
    </row>
    <row r="36" spans="1:14" s="790" customFormat="1">
      <c r="A36" s="626" t="s">
        <v>706</v>
      </c>
      <c r="B36" s="629" t="s">
        <v>134</v>
      </c>
      <c r="C36" s="8" t="s">
        <v>957</v>
      </c>
      <c r="D36" s="1144">
        <v>0</v>
      </c>
      <c r="E36" s="1144">
        <f>'F1'!H36</f>
        <v>0</v>
      </c>
      <c r="F36" s="477">
        <f t="shared" si="0"/>
        <v>0</v>
      </c>
      <c r="G36" s="112"/>
      <c r="H36" s="1144">
        <f>'F41'!F36</f>
        <v>0</v>
      </c>
      <c r="I36" s="477">
        <f t="shared" si="1"/>
        <v>0</v>
      </c>
      <c r="J36" s="112"/>
      <c r="K36" s="799"/>
    </row>
    <row r="37" spans="1:14" s="790" customFormat="1">
      <c r="A37" s="794"/>
      <c r="B37" s="629" t="s">
        <v>786</v>
      </c>
      <c r="C37" s="8" t="s">
        <v>957</v>
      </c>
      <c r="D37" s="1569">
        <f>SUM(D17:D36)-D24-D27</f>
        <v>18106.97</v>
      </c>
      <c r="E37" s="701">
        <f ca="1">SUM(E17:E19,E24:E36)</f>
        <v>17432.106881359363</v>
      </c>
      <c r="F37" s="477">
        <f t="shared" ca="1" si="0"/>
        <v>-3.7270902787194006E-2</v>
      </c>
      <c r="G37" s="112"/>
      <c r="H37" s="701">
        <f ca="1">'F41'!F37</f>
        <v>18328.542014483501</v>
      </c>
      <c r="I37" s="477">
        <f t="shared" ca="1" si="1"/>
        <v>-4.8909243976730979E-2</v>
      </c>
      <c r="J37" s="112"/>
      <c r="K37" s="799"/>
    </row>
    <row r="38" spans="1:14" s="790" customFormat="1">
      <c r="A38" s="626"/>
      <c r="B38" s="800"/>
      <c r="C38" s="501"/>
      <c r="D38" s="1144"/>
      <c r="E38" s="1144"/>
      <c r="F38" s="477">
        <f t="shared" si="0"/>
        <v>0</v>
      </c>
      <c r="G38" s="112"/>
      <c r="H38" s="1144">
        <f>'F41'!F38</f>
        <v>0</v>
      </c>
      <c r="I38" s="477">
        <f t="shared" si="1"/>
        <v>0</v>
      </c>
      <c r="J38" s="112"/>
      <c r="K38" s="799"/>
    </row>
    <row r="39" spans="1:14" s="790" customFormat="1">
      <c r="A39" s="626" t="s">
        <v>67</v>
      </c>
      <c r="B39" s="793" t="s">
        <v>510</v>
      </c>
      <c r="C39" s="501"/>
      <c r="D39" s="1144"/>
      <c r="E39" s="1144"/>
      <c r="F39" s="477">
        <f t="shared" si="0"/>
        <v>0</v>
      </c>
      <c r="G39" s="112"/>
      <c r="H39" s="1144">
        <f>'F41'!F39</f>
        <v>0</v>
      </c>
      <c r="I39" s="477">
        <f t="shared" si="1"/>
        <v>0</v>
      </c>
      <c r="J39" s="112"/>
      <c r="K39" s="799"/>
    </row>
    <row r="40" spans="1:14" s="790" customFormat="1">
      <c r="A40" s="626" t="s">
        <v>19</v>
      </c>
      <c r="B40" s="629" t="s">
        <v>131</v>
      </c>
      <c r="C40" s="8" t="s">
        <v>957</v>
      </c>
      <c r="D40" s="1144">
        <v>0</v>
      </c>
      <c r="E40" s="1144">
        <f>'F1'!H40</f>
        <v>0</v>
      </c>
      <c r="F40" s="477">
        <f t="shared" si="0"/>
        <v>0</v>
      </c>
      <c r="G40" s="112"/>
      <c r="H40" s="1144">
        <f>'F41'!F40</f>
        <v>0</v>
      </c>
      <c r="I40" s="477">
        <f t="shared" si="1"/>
        <v>0</v>
      </c>
      <c r="J40" s="112"/>
      <c r="K40" s="799"/>
    </row>
    <row r="41" spans="1:14" s="790" customFormat="1">
      <c r="A41" s="626" t="s">
        <v>20</v>
      </c>
      <c r="B41" s="629" t="s">
        <v>135</v>
      </c>
      <c r="C41" s="8" t="s">
        <v>957</v>
      </c>
      <c r="D41" s="1144">
        <v>12.57</v>
      </c>
      <c r="E41" s="1144">
        <f>'F1'!H41</f>
        <v>28.901653399999987</v>
      </c>
      <c r="F41" s="477">
        <f t="shared" si="0"/>
        <v>1.2992564359586305</v>
      </c>
      <c r="G41" s="112"/>
      <c r="H41" s="1144">
        <f>'F41'!F41</f>
        <v>90.04859802499999</v>
      </c>
      <c r="I41" s="477">
        <f t="shared" si="1"/>
        <v>-0.6790438270679563</v>
      </c>
      <c r="J41" s="112"/>
      <c r="K41" s="799"/>
    </row>
    <row r="42" spans="1:14" s="790" customFormat="1">
      <c r="A42" s="626" t="s">
        <v>67</v>
      </c>
      <c r="B42" s="629" t="s">
        <v>506</v>
      </c>
      <c r="C42" s="8" t="s">
        <v>957</v>
      </c>
      <c r="D42" s="1144">
        <v>0.56999999999999995</v>
      </c>
      <c r="E42" s="1144">
        <f>'F1'!H42</f>
        <v>0</v>
      </c>
      <c r="F42" s="477">
        <f t="shared" si="0"/>
        <v>-1</v>
      </c>
      <c r="G42" s="112"/>
      <c r="H42" s="1144">
        <f>'F41'!F42</f>
        <v>0</v>
      </c>
      <c r="I42" s="477">
        <f t="shared" si="1"/>
        <v>0</v>
      </c>
      <c r="J42" s="112"/>
      <c r="K42" s="799"/>
    </row>
    <row r="43" spans="1:14" s="790" customFormat="1">
      <c r="A43" s="794"/>
      <c r="B43" s="629" t="s">
        <v>785</v>
      </c>
      <c r="C43" s="8" t="s">
        <v>957</v>
      </c>
      <c r="D43" s="1534">
        <f>SUM(D41:D42)</f>
        <v>13.14</v>
      </c>
      <c r="E43" s="1144">
        <f>'F1'!H43</f>
        <v>28.901653399999987</v>
      </c>
      <c r="F43" s="477">
        <f t="shared" si="0"/>
        <v>1.1995170015220689</v>
      </c>
      <c r="G43" s="112"/>
      <c r="H43" s="1144">
        <f>'F41'!F43</f>
        <v>90.04859802499999</v>
      </c>
      <c r="I43" s="477">
        <f t="shared" si="1"/>
        <v>-0.6790438270679563</v>
      </c>
      <c r="J43" s="112"/>
      <c r="K43" s="799"/>
    </row>
    <row r="44" spans="1:14" s="790" customFormat="1" ht="29">
      <c r="A44" s="794" t="s">
        <v>68</v>
      </c>
      <c r="B44" s="801" t="s">
        <v>236</v>
      </c>
      <c r="C44" s="8" t="s">
        <v>957</v>
      </c>
      <c r="D44" s="1534">
        <f>D37-D43</f>
        <v>18093.830000000002</v>
      </c>
      <c r="E44" s="1144">
        <f ca="1">'F1'!H44</f>
        <v>17364.266136040162</v>
      </c>
      <c r="F44" s="477">
        <f t="shared" ca="1" si="0"/>
        <v>-4.0321140629697529E-2</v>
      </c>
      <c r="G44" s="112"/>
      <c r="H44" s="1144">
        <f ca="1">'F41'!F44</f>
        <v>18238.493416458499</v>
      </c>
      <c r="I44" s="477">
        <f t="shared" ca="1" si="1"/>
        <v>-4.793308638253152E-2</v>
      </c>
      <c r="J44" s="112"/>
      <c r="K44" s="799"/>
    </row>
    <row r="45" spans="1:14" s="790" customFormat="1" ht="29">
      <c r="A45" s="802" t="s">
        <v>69</v>
      </c>
      <c r="B45" s="803" t="s">
        <v>237</v>
      </c>
      <c r="C45" s="8" t="s">
        <v>957</v>
      </c>
      <c r="D45" s="1534">
        <f>D14-D44</f>
        <v>-3679.9200000000019</v>
      </c>
      <c r="E45" s="1144">
        <f ca="1">'F1'!H45</f>
        <v>-3894.9963501724942</v>
      </c>
      <c r="F45" s="477">
        <f t="shared" ca="1" si="0"/>
        <v>5.8445930936675855E-2</v>
      </c>
      <c r="G45" s="112"/>
      <c r="H45" s="1144">
        <f ca="1">'F41'!F45</f>
        <v>-6547.6366868584992</v>
      </c>
      <c r="I45" s="477">
        <f t="shared" ca="1" si="1"/>
        <v>-0.40512943273257873</v>
      </c>
      <c r="J45" s="112"/>
      <c r="K45" s="799"/>
    </row>
    <row r="46" spans="1:14" s="790" customFormat="1">
      <c r="A46" s="802" t="s">
        <v>70</v>
      </c>
      <c r="B46" s="629" t="s">
        <v>503</v>
      </c>
      <c r="C46" s="8" t="s">
        <v>957</v>
      </c>
      <c r="D46" s="1534">
        <v>0</v>
      </c>
      <c r="E46" s="1144">
        <f>'F1'!H46</f>
        <v>0</v>
      </c>
      <c r="F46" s="477">
        <f t="shared" si="0"/>
        <v>0</v>
      </c>
      <c r="G46" s="112"/>
      <c r="H46" s="1144">
        <f>'F41'!F46</f>
        <v>0</v>
      </c>
      <c r="I46" s="477">
        <f t="shared" si="1"/>
        <v>0</v>
      </c>
      <c r="J46" s="112"/>
      <c r="K46" s="799"/>
    </row>
    <row r="47" spans="1:14" s="790" customFormat="1" ht="29">
      <c r="A47" s="794" t="s">
        <v>138</v>
      </c>
      <c r="B47" s="801" t="s">
        <v>238</v>
      </c>
      <c r="C47" s="8" t="s">
        <v>957</v>
      </c>
      <c r="D47" s="1534">
        <f>D45+D46</f>
        <v>-3679.9200000000019</v>
      </c>
      <c r="E47" s="1144">
        <f ca="1">'F1'!H47</f>
        <v>-3894.9963501724942</v>
      </c>
      <c r="F47" s="477">
        <f t="shared" ca="1" si="0"/>
        <v>5.8445930936675855E-2</v>
      </c>
      <c r="G47" s="112"/>
      <c r="H47" s="1144">
        <f ca="1">'F41'!F47</f>
        <v>-6547.6366868584992</v>
      </c>
      <c r="I47" s="477">
        <f t="shared" ca="1" si="1"/>
        <v>-0.40512943273257873</v>
      </c>
      <c r="J47" s="112"/>
      <c r="K47" s="799"/>
    </row>
    <row r="48" spans="1:14" s="790" customFormat="1">
      <c r="A48" s="802" t="s">
        <v>139</v>
      </c>
      <c r="B48" s="294" t="s">
        <v>504</v>
      </c>
      <c r="C48" s="8" t="s">
        <v>957</v>
      </c>
      <c r="D48" s="1534">
        <v>3778.92</v>
      </c>
      <c r="E48" s="1144">
        <f>'F1'!H48</f>
        <v>2982.910129337406</v>
      </c>
      <c r="F48" s="477">
        <f t="shared" si="0"/>
        <v>-0.21064480609872505</v>
      </c>
      <c r="G48" s="112"/>
      <c r="H48" s="1144">
        <f>'F41'!F48</f>
        <v>2454.2539000000002</v>
      </c>
      <c r="I48" s="477">
        <f t="shared" si="1"/>
        <v>0.21540404981628258</v>
      </c>
      <c r="J48" s="112"/>
      <c r="K48" s="799"/>
    </row>
    <row r="49" spans="1:11" s="790" customFormat="1">
      <c r="A49" s="794" t="s">
        <v>140</v>
      </c>
      <c r="B49" s="804" t="s">
        <v>784</v>
      </c>
      <c r="C49" s="8" t="s">
        <v>957</v>
      </c>
      <c r="D49" s="1569">
        <f>D45+D48</f>
        <v>98.999999999998181</v>
      </c>
      <c r="E49" s="1534">
        <f ca="1">E47+E48</f>
        <v>-912.08622083508817</v>
      </c>
      <c r="F49" s="112"/>
      <c r="G49" s="112"/>
      <c r="H49" s="1534">
        <f ca="1">H47+H48</f>
        <v>-4093.382786858499</v>
      </c>
      <c r="I49" s="112"/>
      <c r="J49" s="112"/>
      <c r="K49" s="799"/>
    </row>
    <row r="50" spans="1:11" s="790" customFormat="1">
      <c r="A50" s="805" t="s">
        <v>963</v>
      </c>
      <c r="B50" s="806"/>
      <c r="C50" s="806"/>
      <c r="D50" s="806"/>
      <c r="E50" s="806"/>
      <c r="F50" s="806"/>
      <c r="G50" s="806"/>
      <c r="H50" s="806"/>
      <c r="I50" s="806"/>
      <c r="J50" s="112"/>
      <c r="K50" s="799"/>
    </row>
    <row r="51" spans="1:11" s="790" customFormat="1">
      <c r="A51" s="806" t="s">
        <v>965</v>
      </c>
      <c r="B51" s="806"/>
      <c r="C51" s="806"/>
      <c r="D51" s="806"/>
      <c r="E51" s="806"/>
      <c r="F51" s="806"/>
      <c r="G51" s="806"/>
      <c r="H51" s="806"/>
      <c r="I51" s="806"/>
      <c r="J51" s="112"/>
      <c r="K51" s="799"/>
    </row>
    <row r="52" spans="1:11" s="790" customFormat="1">
      <c r="A52" s="619" t="s">
        <v>964</v>
      </c>
      <c r="B52" s="619"/>
      <c r="C52" s="619"/>
      <c r="D52" s="619"/>
      <c r="E52" s="619"/>
      <c r="F52" s="619"/>
      <c r="G52" s="619"/>
      <c r="H52" s="619"/>
      <c r="I52" s="619"/>
      <c r="J52" s="112"/>
      <c r="K52" s="799"/>
    </row>
    <row r="53" spans="1:11" s="790" customFormat="1">
      <c r="A53" s="805" t="s">
        <v>1332</v>
      </c>
      <c r="B53" s="805"/>
      <c r="C53" s="805"/>
      <c r="D53" s="805"/>
      <c r="E53" s="805"/>
      <c r="F53" s="805"/>
      <c r="G53" s="805"/>
      <c r="H53" s="805"/>
      <c r="I53" s="805"/>
      <c r="J53" s="112"/>
      <c r="K53" s="799"/>
    </row>
    <row r="54" spans="1:11" s="790" customFormat="1">
      <c r="B54" s="799"/>
      <c r="C54" s="637"/>
      <c r="D54" s="799"/>
      <c r="E54" s="799"/>
      <c r="F54" s="799"/>
      <c r="G54" s="799"/>
      <c r="H54" s="799"/>
      <c r="I54" s="799"/>
      <c r="J54" s="799"/>
      <c r="K54" s="799"/>
    </row>
    <row r="55" spans="1:11" s="790" customFormat="1">
      <c r="K55" s="560"/>
    </row>
    <row r="56" spans="1:11" s="790" customFormat="1">
      <c r="C56" s="487"/>
      <c r="K56" s="799"/>
    </row>
    <row r="57" spans="1:11" s="790" customFormat="1">
      <c r="B57" s="807" t="s">
        <v>992</v>
      </c>
    </row>
    <row r="58" spans="1:11" s="790" customFormat="1" ht="58">
      <c r="B58" s="3474" t="s">
        <v>14</v>
      </c>
      <c r="C58" s="3474" t="s">
        <v>61</v>
      </c>
      <c r="D58" s="778" t="s">
        <v>930</v>
      </c>
      <c r="E58" s="778" t="s">
        <v>945</v>
      </c>
      <c r="F58" s="778" t="s">
        <v>946</v>
      </c>
      <c r="G58" s="3474" t="s">
        <v>127</v>
      </c>
      <c r="H58" s="785" t="s">
        <v>990</v>
      </c>
      <c r="I58" s="778" t="s">
        <v>948</v>
      </c>
      <c r="J58" s="3474" t="s">
        <v>127</v>
      </c>
    </row>
    <row r="59" spans="1:11" s="790" customFormat="1">
      <c r="B59" s="3475"/>
      <c r="C59" s="3475"/>
      <c r="D59" s="785" t="s">
        <v>935</v>
      </c>
      <c r="E59" s="785" t="s">
        <v>936</v>
      </c>
      <c r="F59" s="3474" t="s">
        <v>949</v>
      </c>
      <c r="G59" s="3475"/>
      <c r="H59" s="782" t="s">
        <v>950</v>
      </c>
      <c r="I59" s="3474" t="s">
        <v>951</v>
      </c>
      <c r="J59" s="3475"/>
    </row>
    <row r="60" spans="1:11" s="790" customFormat="1">
      <c r="B60" s="3476"/>
      <c r="C60" s="3476"/>
      <c r="D60" s="3487" t="s">
        <v>550</v>
      </c>
      <c r="E60" s="3488"/>
      <c r="F60" s="3476"/>
      <c r="G60" s="3476"/>
      <c r="H60" s="782" t="s">
        <v>560</v>
      </c>
      <c r="I60" s="3476"/>
      <c r="J60" s="3476"/>
    </row>
    <row r="61" spans="1:11" s="790" customFormat="1">
      <c r="B61" s="463" t="s">
        <v>966</v>
      </c>
      <c r="C61" s="620" t="s">
        <v>957</v>
      </c>
      <c r="D61" s="464"/>
      <c r="E61" s="483"/>
      <c r="F61" s="466"/>
      <c r="G61" s="467"/>
      <c r="H61" s="468"/>
      <c r="I61" s="466"/>
      <c r="J61" s="112"/>
    </row>
    <row r="62" spans="1:11" s="790" customFormat="1">
      <c r="B62" s="80" t="s">
        <v>967</v>
      </c>
      <c r="C62" s="8" t="s">
        <v>957</v>
      </c>
      <c r="D62" s="483"/>
      <c r="E62" s="483"/>
      <c r="F62" s="466"/>
      <c r="G62" s="484"/>
      <c r="H62" s="485"/>
      <c r="I62" s="466"/>
      <c r="J62" s="112"/>
    </row>
    <row r="63" spans="1:11" s="790" customFormat="1">
      <c r="B63" s="80" t="s">
        <v>968</v>
      </c>
      <c r="C63" s="8" t="s">
        <v>957</v>
      </c>
      <c r="D63" s="486"/>
      <c r="E63" s="483"/>
      <c r="F63" s="466"/>
      <c r="G63" s="484"/>
      <c r="H63" s="485"/>
      <c r="I63" s="466"/>
      <c r="J63" s="112"/>
    </row>
    <row r="64" spans="1:11" s="790" customFormat="1">
      <c r="B64" s="80" t="s">
        <v>969</v>
      </c>
      <c r="C64" s="8" t="s">
        <v>957</v>
      </c>
      <c r="D64" s="483"/>
      <c r="E64" s="483"/>
      <c r="F64" s="466"/>
      <c r="G64" s="484"/>
      <c r="H64" s="485"/>
      <c r="I64" s="466"/>
      <c r="J64" s="112"/>
    </row>
    <row r="65" spans="2:11" s="790" customFormat="1">
      <c r="B65" s="3486" t="s">
        <v>963</v>
      </c>
      <c r="C65" s="3486"/>
      <c r="D65" s="3486"/>
      <c r="E65" s="3486"/>
      <c r="F65" s="3486"/>
      <c r="G65" s="3486"/>
      <c r="H65" s="3486"/>
      <c r="I65" s="3486"/>
      <c r="J65" s="3486"/>
      <c r="K65" s="799"/>
    </row>
    <row r="66" spans="2:11" s="790" customFormat="1">
      <c r="B66" s="808"/>
      <c r="C66" s="808"/>
      <c r="D66" s="808"/>
      <c r="E66" s="808"/>
      <c r="F66" s="808"/>
      <c r="G66" s="808"/>
      <c r="H66" s="808"/>
      <c r="I66" s="808"/>
      <c r="J66" s="808"/>
      <c r="K66" s="808"/>
    </row>
    <row r="67" spans="2:11" s="790" customFormat="1">
      <c r="B67" s="807" t="s">
        <v>993</v>
      </c>
    </row>
    <row r="68" spans="2:11" s="790" customFormat="1">
      <c r="B68" s="3482" t="s">
        <v>14</v>
      </c>
      <c r="C68" s="3483" t="s">
        <v>990</v>
      </c>
      <c r="D68" s="3483"/>
      <c r="E68" s="3484" t="s">
        <v>930</v>
      </c>
      <c r="F68" s="3485"/>
      <c r="G68" s="3482" t="s">
        <v>945</v>
      </c>
      <c r="H68" s="3482"/>
    </row>
    <row r="69" spans="2:11" s="790" customFormat="1">
      <c r="B69" s="3482"/>
      <c r="C69" s="784" t="s">
        <v>763</v>
      </c>
      <c r="D69" s="784" t="s">
        <v>62</v>
      </c>
      <c r="E69" s="783" t="s">
        <v>763</v>
      </c>
      <c r="F69" s="783" t="s">
        <v>62</v>
      </c>
      <c r="G69" s="783" t="s">
        <v>763</v>
      </c>
      <c r="H69" s="783" t="s">
        <v>62</v>
      </c>
    </row>
    <row r="70" spans="2:11" s="790" customFormat="1">
      <c r="B70" s="316" t="s">
        <v>970</v>
      </c>
      <c r="C70" s="468"/>
      <c r="D70" s="471">
        <v>1</v>
      </c>
      <c r="E70" s="464"/>
      <c r="F70" s="472">
        <v>1</v>
      </c>
      <c r="G70" s="464"/>
      <c r="H70" s="472">
        <v>1</v>
      </c>
    </row>
    <row r="71" spans="2:11" s="790" customFormat="1">
      <c r="B71" s="488" t="s">
        <v>971</v>
      </c>
      <c r="C71" s="485"/>
      <c r="D71" s="489"/>
      <c r="E71" s="490"/>
      <c r="F71" s="491"/>
      <c r="G71" s="490"/>
      <c r="H71" s="491"/>
    </row>
    <row r="72" spans="2:11" s="790" customFormat="1">
      <c r="B72" s="488" t="s">
        <v>972</v>
      </c>
      <c r="C72" s="485"/>
      <c r="D72" s="489"/>
      <c r="E72" s="490"/>
      <c r="F72" s="491"/>
      <c r="G72" s="490"/>
      <c r="H72" s="491"/>
    </row>
    <row r="73" spans="2:11" s="790" customFormat="1">
      <c r="B73" s="488" t="s">
        <v>973</v>
      </c>
      <c r="C73" s="485"/>
      <c r="D73" s="489"/>
      <c r="E73" s="490"/>
      <c r="F73" s="491"/>
      <c r="G73" s="490"/>
      <c r="H73" s="491"/>
    </row>
    <row r="74" spans="2:11" s="790" customFormat="1">
      <c r="B74" s="828" t="s">
        <v>1350</v>
      </c>
      <c r="C74" s="860"/>
      <c r="D74" s="861"/>
      <c r="E74" s="490"/>
      <c r="F74" s="862"/>
      <c r="G74" s="490"/>
      <c r="H74" s="862"/>
    </row>
    <row r="75" spans="2:11" s="790" customFormat="1">
      <c r="B75" s="828" t="s">
        <v>1351</v>
      </c>
      <c r="C75" s="860"/>
      <c r="D75" s="861"/>
      <c r="E75" s="490"/>
      <c r="F75" s="862"/>
      <c r="G75" s="490"/>
      <c r="H75" s="862"/>
    </row>
    <row r="76" spans="2:11" s="790" customFormat="1">
      <c r="B76" s="828" t="s">
        <v>1352</v>
      </c>
      <c r="C76" s="860"/>
      <c r="D76" s="861"/>
      <c r="E76" s="490"/>
      <c r="F76" s="862"/>
      <c r="G76" s="490"/>
      <c r="H76" s="862"/>
    </row>
    <row r="77" spans="2:11" s="790" customFormat="1">
      <c r="B77" s="3493" t="s">
        <v>963</v>
      </c>
      <c r="C77" s="3493"/>
      <c r="D77" s="3493"/>
      <c r="E77" s="3493"/>
      <c r="F77" s="3493"/>
      <c r="G77" s="3493"/>
      <c r="H77" s="3493"/>
    </row>
    <row r="78" spans="2:11" s="790" customFormat="1">
      <c r="C78" s="487"/>
    </row>
    <row r="79" spans="2:11" s="790" customFormat="1">
      <c r="B79" s="202" t="s">
        <v>994</v>
      </c>
    </row>
    <row r="80" spans="2:11" s="790" customFormat="1" ht="58">
      <c r="B80" s="447" t="s">
        <v>14</v>
      </c>
      <c r="C80" s="447" t="s">
        <v>565</v>
      </c>
      <c r="D80" s="778" t="s">
        <v>930</v>
      </c>
      <c r="E80" s="778" t="s">
        <v>945</v>
      </c>
      <c r="F80" s="447" t="s">
        <v>996</v>
      </c>
      <c r="H80" s="3260" t="s">
        <v>997</v>
      </c>
      <c r="I80" s="3260"/>
      <c r="J80" s="3260"/>
    </row>
    <row r="81" spans="2:10" s="790" customFormat="1">
      <c r="B81" s="492" t="s">
        <v>974</v>
      </c>
      <c r="C81" s="29" t="s">
        <v>935</v>
      </c>
      <c r="D81" s="456"/>
      <c r="E81" s="456"/>
      <c r="F81" s="457"/>
      <c r="H81" s="3422" t="s">
        <v>998</v>
      </c>
      <c r="I81" s="3479" t="s">
        <v>550</v>
      </c>
      <c r="J81" s="3481"/>
    </row>
    <row r="82" spans="2:10" s="790" customFormat="1" ht="29">
      <c r="B82" s="492" t="s">
        <v>975</v>
      </c>
      <c r="C82" s="29" t="s">
        <v>936</v>
      </c>
      <c r="D82" s="458"/>
      <c r="E82" s="458"/>
      <c r="F82" s="457"/>
      <c r="H82" s="3424"/>
      <c r="I82" s="778" t="s">
        <v>862</v>
      </c>
      <c r="J82" s="778" t="s">
        <v>945</v>
      </c>
    </row>
    <row r="83" spans="2:10" s="790" customFormat="1" ht="29">
      <c r="B83" s="492" t="s">
        <v>976</v>
      </c>
      <c r="C83" s="484" t="s">
        <v>977</v>
      </c>
      <c r="D83" s="493"/>
      <c r="E83" s="493"/>
      <c r="F83" s="457"/>
      <c r="H83" s="502" t="s">
        <v>1002</v>
      </c>
      <c r="I83" s="576"/>
      <c r="J83" s="576"/>
    </row>
    <row r="84" spans="2:10" s="790" customFormat="1">
      <c r="B84" s="492" t="s">
        <v>978</v>
      </c>
      <c r="C84" s="29" t="s">
        <v>68</v>
      </c>
      <c r="D84" s="459"/>
      <c r="E84" s="459"/>
      <c r="F84" s="457"/>
      <c r="H84" s="502" t="s">
        <v>942</v>
      </c>
      <c r="I84" s="576"/>
      <c r="J84" s="576"/>
    </row>
    <row r="85" spans="2:10" s="790" customFormat="1">
      <c r="B85" s="452" t="s">
        <v>979</v>
      </c>
      <c r="C85" s="29" t="s">
        <v>69</v>
      </c>
      <c r="D85" s="459"/>
      <c r="E85" s="459"/>
      <c r="F85" s="457"/>
      <c r="H85" s="502" t="s">
        <v>1173</v>
      </c>
      <c r="I85" s="576"/>
      <c r="J85" s="576"/>
    </row>
    <row r="86" spans="2:10" s="790" customFormat="1">
      <c r="B86" s="452" t="s">
        <v>980</v>
      </c>
      <c r="C86" s="29" t="s">
        <v>70</v>
      </c>
      <c r="D86" s="458"/>
      <c r="E86" s="458"/>
      <c r="F86" s="457"/>
      <c r="H86" s="502" t="s">
        <v>1003</v>
      </c>
      <c r="I86" s="576"/>
      <c r="J86" s="576"/>
    </row>
    <row r="87" spans="2:10" s="790" customFormat="1">
      <c r="B87" s="452" t="s">
        <v>981</v>
      </c>
      <c r="C87" s="453" t="s">
        <v>982</v>
      </c>
      <c r="D87" s="454"/>
      <c r="E87" s="448"/>
      <c r="F87" s="449"/>
      <c r="H87" s="502" t="s">
        <v>1004</v>
      </c>
      <c r="I87" s="576"/>
      <c r="J87" s="576"/>
    </row>
    <row r="88" spans="2:10" s="790" customFormat="1">
      <c r="B88" s="452" t="s">
        <v>983</v>
      </c>
      <c r="C88" s="29" t="s">
        <v>139</v>
      </c>
      <c r="D88" s="451"/>
      <c r="E88" s="448"/>
      <c r="F88" s="449"/>
      <c r="H88" s="502" t="s">
        <v>943</v>
      </c>
      <c r="I88" s="576"/>
      <c r="J88" s="576"/>
    </row>
    <row r="89" spans="2:10" s="790" customFormat="1">
      <c r="B89" s="455" t="s">
        <v>984</v>
      </c>
      <c r="C89" s="777" t="s">
        <v>985</v>
      </c>
      <c r="D89" s="449"/>
      <c r="E89" s="450"/>
      <c r="F89" s="449"/>
      <c r="H89" s="502" t="s">
        <v>1005</v>
      </c>
      <c r="I89" s="576"/>
      <c r="J89" s="576"/>
    </row>
    <row r="90" spans="2:10" s="790" customFormat="1">
      <c r="B90" s="488" t="s">
        <v>986</v>
      </c>
      <c r="C90" s="29" t="s">
        <v>987</v>
      </c>
      <c r="D90" s="809"/>
      <c r="E90" s="809"/>
      <c r="F90" s="449"/>
      <c r="H90" s="502" t="s">
        <v>1006</v>
      </c>
      <c r="I90" s="576"/>
      <c r="J90" s="576"/>
    </row>
    <row r="91" spans="2:10" s="790" customFormat="1">
      <c r="B91" s="488" t="s">
        <v>988</v>
      </c>
      <c r="C91" s="8" t="s">
        <v>987</v>
      </c>
      <c r="D91" s="809"/>
      <c r="E91" s="809"/>
      <c r="F91" s="449"/>
      <c r="H91" s="502" t="s">
        <v>410</v>
      </c>
      <c r="I91" s="576"/>
      <c r="J91" s="576"/>
    </row>
    <row r="92" spans="2:10" s="790" customFormat="1">
      <c r="B92" s="112" t="s">
        <v>989</v>
      </c>
      <c r="C92" s="8" t="s">
        <v>987</v>
      </c>
      <c r="D92" s="809"/>
      <c r="E92" s="809"/>
      <c r="F92" s="449"/>
      <c r="H92" s="502" t="s">
        <v>511</v>
      </c>
      <c r="I92" s="576"/>
      <c r="J92" s="576"/>
    </row>
    <row r="93" spans="2:10" s="790" customFormat="1">
      <c r="B93" s="3493" t="s">
        <v>963</v>
      </c>
      <c r="C93" s="3493"/>
      <c r="D93" s="3493"/>
      <c r="E93" s="3493"/>
      <c r="F93" s="3493"/>
      <c r="H93" s="502" t="s">
        <v>1007</v>
      </c>
      <c r="I93" s="576"/>
      <c r="J93" s="576"/>
    </row>
    <row r="94" spans="2:10" s="790" customFormat="1">
      <c r="C94" s="487"/>
      <c r="H94" s="502" t="s">
        <v>1008</v>
      </c>
      <c r="I94" s="576"/>
      <c r="J94" s="576"/>
    </row>
    <row r="95" spans="2:10" s="790" customFormat="1">
      <c r="C95" s="487"/>
      <c r="H95" s="502" t="s">
        <v>1009</v>
      </c>
      <c r="I95" s="576"/>
      <c r="J95" s="576"/>
    </row>
    <row r="96" spans="2:10" s="790" customFormat="1">
      <c r="C96" s="487"/>
      <c r="H96" s="3492" t="s">
        <v>963</v>
      </c>
      <c r="I96" s="3492"/>
      <c r="J96" s="3492"/>
    </row>
  </sheetData>
  <mergeCells count="29">
    <mergeCell ref="H96:J96"/>
    <mergeCell ref="B93:F93"/>
    <mergeCell ref="B77:H77"/>
    <mergeCell ref="H80:J80"/>
    <mergeCell ref="H81:H82"/>
    <mergeCell ref="I81:J81"/>
    <mergeCell ref="G4:G7"/>
    <mergeCell ref="J4:J7"/>
    <mergeCell ref="D5:D6"/>
    <mergeCell ref="E5:E6"/>
    <mergeCell ref="F5:F7"/>
    <mergeCell ref="H5:H6"/>
    <mergeCell ref="I5:I7"/>
    <mergeCell ref="A4:A7"/>
    <mergeCell ref="A1:B1"/>
    <mergeCell ref="B4:B7"/>
    <mergeCell ref="C4:C7"/>
    <mergeCell ref="B58:B60"/>
    <mergeCell ref="C58:C60"/>
    <mergeCell ref="G58:G60"/>
    <mergeCell ref="J58:J60"/>
    <mergeCell ref="F59:F60"/>
    <mergeCell ref="I59:I60"/>
    <mergeCell ref="D60:E60"/>
    <mergeCell ref="B68:B69"/>
    <mergeCell ref="C68:D68"/>
    <mergeCell ref="E68:F68"/>
    <mergeCell ref="G68:H68"/>
    <mergeCell ref="B65:J65"/>
  </mergeCells>
  <printOptions horizontalCentered="1"/>
  <pageMargins left="0.19685039370078741" right="0.19685039370078741" top="0.19685039370078741" bottom="0.19685039370078741" header="0.19685039370078741" footer="0.19685039370078741"/>
  <pageSetup paperSize="9" scale="59" fitToHeight="2"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6"/>
  <sheetViews>
    <sheetView topLeftCell="XEK10" workbookViewId="0">
      <selection activeCell="C105" sqref="C105"/>
    </sheetView>
  </sheetViews>
  <sheetFormatPr defaultColWidth="9.1796875" defaultRowHeight="14.5"/>
  <cols>
    <col min="1" max="1" width="3.453125" style="435" customWidth="1"/>
    <col min="2" max="2" width="29.453125" style="435" customWidth="1"/>
    <col min="3" max="3" width="9.54296875" style="487" customWidth="1"/>
    <col min="4" max="4" width="12.26953125" style="435" customWidth="1"/>
    <col min="5" max="5" width="12.81640625" style="435" customWidth="1"/>
    <col min="6" max="6" width="11.453125" style="435" customWidth="1"/>
    <col min="7" max="7" width="20.26953125" style="435" customWidth="1"/>
    <col min="8" max="8" width="12.81640625" style="435" customWidth="1"/>
    <col min="9" max="9" width="11.54296875" style="435" customWidth="1"/>
    <col min="10" max="10" width="26" style="435" customWidth="1"/>
    <col min="11" max="11" width="10.1796875" style="435" customWidth="1"/>
    <col min="12" max="12" width="9.81640625" style="435" customWidth="1"/>
    <col min="13" max="16384" width="9.1796875" style="435"/>
  </cols>
  <sheetData>
    <row r="1" spans="1:10">
      <c r="A1" s="3314" t="s">
        <v>1197</v>
      </c>
      <c r="B1" s="3314"/>
    </row>
    <row r="2" spans="1:10">
      <c r="A2" s="392" t="s">
        <v>1604</v>
      </c>
      <c r="B2" s="715"/>
      <c r="C2" s="715"/>
      <c r="D2" s="715"/>
      <c r="E2" s="715"/>
      <c r="F2" s="715"/>
    </row>
    <row r="3" spans="1:10">
      <c r="A3" s="440" t="s">
        <v>953</v>
      </c>
      <c r="B3" s="440"/>
      <c r="C3" s="440"/>
      <c r="D3" s="440"/>
      <c r="E3" s="440"/>
      <c r="F3" s="440"/>
      <c r="G3" s="440"/>
      <c r="H3" s="440"/>
      <c r="I3" s="440"/>
      <c r="J3" s="440"/>
    </row>
    <row r="4" spans="1:10" ht="59.25" customHeight="1">
      <c r="A4" s="3504" t="s">
        <v>117</v>
      </c>
      <c r="B4" s="3503" t="s">
        <v>958</v>
      </c>
      <c r="C4" s="3491" t="s">
        <v>61</v>
      </c>
      <c r="D4" s="495" t="s">
        <v>930</v>
      </c>
      <c r="E4" s="495" t="s">
        <v>954</v>
      </c>
      <c r="F4" s="495" t="s">
        <v>946</v>
      </c>
      <c r="G4" s="3491" t="s">
        <v>127</v>
      </c>
      <c r="H4" s="495" t="s">
        <v>955</v>
      </c>
      <c r="I4" s="495" t="s">
        <v>948</v>
      </c>
      <c r="J4" s="3491" t="s">
        <v>127</v>
      </c>
    </row>
    <row r="5" spans="1:10" ht="15.75" customHeight="1">
      <c r="A5" s="3504"/>
      <c r="B5" s="3503"/>
      <c r="C5" s="3491"/>
      <c r="D5" s="3491" t="s">
        <v>935</v>
      </c>
      <c r="E5" s="3491" t="s">
        <v>936</v>
      </c>
      <c r="F5" s="3491" t="s">
        <v>949</v>
      </c>
      <c r="G5" s="3491"/>
      <c r="H5" s="3491" t="s">
        <v>950</v>
      </c>
      <c r="I5" s="3491" t="s">
        <v>956</v>
      </c>
      <c r="J5" s="3491"/>
    </row>
    <row r="6" spans="1:10" ht="0.75" hidden="1" customHeight="1">
      <c r="A6" s="3504"/>
      <c r="B6" s="3503"/>
      <c r="C6" s="3491"/>
      <c r="D6" s="3491"/>
      <c r="E6" s="3491"/>
      <c r="F6" s="3491"/>
      <c r="G6" s="3491"/>
      <c r="H6" s="3491"/>
      <c r="I6" s="3491"/>
      <c r="J6" s="3491"/>
    </row>
    <row r="7" spans="1:10" ht="12" customHeight="1">
      <c r="A7" s="3505"/>
      <c r="B7" s="3503"/>
      <c r="C7" s="3491"/>
      <c r="D7" s="1332" t="s">
        <v>952</v>
      </c>
      <c r="E7" s="1024"/>
      <c r="F7" s="3491"/>
      <c r="G7" s="3491"/>
      <c r="H7" s="495" t="s">
        <v>952</v>
      </c>
      <c r="I7" s="3491"/>
      <c r="J7" s="3491"/>
    </row>
    <row r="8" spans="1:10" ht="43.5">
      <c r="A8" s="62" t="s">
        <v>15</v>
      </c>
      <c r="B8" s="622" t="s">
        <v>1277</v>
      </c>
      <c r="C8" s="8" t="s">
        <v>305</v>
      </c>
      <c r="D8" s="476"/>
      <c r="E8" s="1144">
        <f>'F1'!I8</f>
        <v>27494.709943633785</v>
      </c>
      <c r="F8" s="477"/>
      <c r="G8" s="477"/>
      <c r="H8" s="1144">
        <f>'F42'!D8</f>
        <v>26555.42</v>
      </c>
      <c r="I8" s="477">
        <f>IFERROR((E8-H8)/H8,0)</f>
        <v>3.5370931570044332E-2</v>
      </c>
      <c r="J8" s="496"/>
    </row>
    <row r="9" spans="1:10" ht="16.5" customHeight="1">
      <c r="A9" s="62" t="s">
        <v>16</v>
      </c>
      <c r="B9" s="148" t="s">
        <v>234</v>
      </c>
      <c r="C9" s="8" t="s">
        <v>305</v>
      </c>
      <c r="D9" s="479"/>
      <c r="E9" s="1144">
        <f>'F1'!I9</f>
        <v>22660.994932223985</v>
      </c>
      <c r="F9" s="496"/>
      <c r="G9" s="496"/>
      <c r="H9" s="1144">
        <f>'F42'!D9</f>
        <v>23538.560000000001</v>
      </c>
      <c r="I9" s="477">
        <f t="shared" ref="I9:I44" si="0">IFERROR((E9-H9)/H9,0)</f>
        <v>-3.7282020131053757E-2</v>
      </c>
      <c r="J9" s="496"/>
    </row>
    <row r="10" spans="1:10" ht="27" customHeight="1">
      <c r="A10" s="62" t="s">
        <v>17</v>
      </c>
      <c r="B10" s="148" t="s">
        <v>235</v>
      </c>
      <c r="C10" s="8" t="s">
        <v>62</v>
      </c>
      <c r="D10" s="479"/>
      <c r="E10" s="1570">
        <f>'F1'!I10</f>
        <v>0.17580527386247308</v>
      </c>
      <c r="F10" s="496"/>
      <c r="G10" s="496"/>
      <c r="H10" s="1144">
        <f>'F42'!D10</f>
        <v>0.11360000000000001</v>
      </c>
      <c r="I10" s="477">
        <f t="shared" si="0"/>
        <v>0.54758163611331923</v>
      </c>
      <c r="J10" s="496"/>
    </row>
    <row r="11" spans="1:10" ht="15" customHeight="1">
      <c r="A11" s="62"/>
      <c r="B11" s="149"/>
      <c r="C11" s="8"/>
      <c r="D11" s="479"/>
      <c r="E11" s="1144"/>
      <c r="F11" s="496"/>
      <c r="G11" s="496"/>
      <c r="H11" s="1144">
        <f>'F42'!D11</f>
        <v>0</v>
      </c>
      <c r="I11" s="477"/>
      <c r="J11" s="195"/>
    </row>
    <row r="12" spans="1:10">
      <c r="A12" s="62" t="s">
        <v>132</v>
      </c>
      <c r="B12" s="150" t="s">
        <v>18</v>
      </c>
      <c r="C12" s="8"/>
      <c r="D12" s="479"/>
      <c r="E12" s="1144"/>
      <c r="F12" s="496"/>
      <c r="G12" s="496"/>
      <c r="H12" s="1144">
        <f>'F42'!D12</f>
        <v>0</v>
      </c>
      <c r="I12" s="477"/>
      <c r="J12" s="496"/>
    </row>
    <row r="13" spans="1:10" ht="16.5" customHeight="1">
      <c r="A13" s="5" t="s">
        <v>19</v>
      </c>
      <c r="B13" s="144" t="s">
        <v>241</v>
      </c>
      <c r="C13" s="620" t="s">
        <v>957</v>
      </c>
      <c r="D13" s="479"/>
      <c r="E13" s="1144">
        <f>'F1'!I13</f>
        <v>13722.337048453945</v>
      </c>
      <c r="F13" s="496"/>
      <c r="G13" s="496"/>
      <c r="H13" s="1144">
        <f>'F42'!D13</f>
        <v>14413.91</v>
      </c>
      <c r="I13" s="477">
        <f t="shared" si="0"/>
        <v>-4.7979552497972811E-2</v>
      </c>
      <c r="J13" s="496"/>
    </row>
    <row r="14" spans="1:10" ht="17.25" customHeight="1">
      <c r="A14" s="617"/>
      <c r="B14" s="174" t="s">
        <v>787</v>
      </c>
      <c r="C14" s="8" t="s">
        <v>957</v>
      </c>
      <c r="D14" s="479"/>
      <c r="E14" s="1144">
        <f>'F1'!I14</f>
        <v>13722.337048453945</v>
      </c>
      <c r="F14" s="496"/>
      <c r="G14" s="496"/>
      <c r="H14" s="1144">
        <f>'F42'!D14</f>
        <v>14413.91</v>
      </c>
      <c r="I14" s="477">
        <f t="shared" si="0"/>
        <v>-4.7979552497972811E-2</v>
      </c>
      <c r="J14" s="75"/>
    </row>
    <row r="15" spans="1:10">
      <c r="A15" s="5"/>
      <c r="B15" s="151"/>
      <c r="C15" s="8"/>
      <c r="D15" s="479"/>
      <c r="E15" s="1144"/>
      <c r="F15" s="496"/>
      <c r="G15" s="496"/>
      <c r="H15" s="1144"/>
      <c r="I15" s="477"/>
      <c r="J15" s="496"/>
    </row>
    <row r="16" spans="1:10" ht="14.25" customHeight="1">
      <c r="A16" s="5" t="s">
        <v>58</v>
      </c>
      <c r="B16" s="150" t="s">
        <v>23</v>
      </c>
      <c r="C16" s="8"/>
      <c r="D16" s="476"/>
      <c r="E16" s="1144"/>
      <c r="F16" s="477"/>
      <c r="G16" s="477"/>
      <c r="H16" s="1144"/>
      <c r="I16" s="477"/>
      <c r="J16" s="75"/>
    </row>
    <row r="17" spans="1:13">
      <c r="A17" s="5" t="s">
        <v>19</v>
      </c>
      <c r="B17" s="144" t="s">
        <v>239</v>
      </c>
      <c r="C17" s="8" t="s">
        <v>957</v>
      </c>
      <c r="D17" s="497"/>
      <c r="E17" s="1144">
        <f>'F1'!I17</f>
        <v>13062.663604052679</v>
      </c>
      <c r="F17" s="496"/>
      <c r="G17" s="496"/>
      <c r="H17" s="1144">
        <f>'F42'!D17</f>
        <v>14401.15</v>
      </c>
      <c r="I17" s="477">
        <f t="shared" si="0"/>
        <v>-9.2943021630030973E-2</v>
      </c>
      <c r="J17" s="496"/>
      <c r="K17" s="498"/>
      <c r="L17" s="498"/>
      <c r="M17" s="498"/>
    </row>
    <row r="18" spans="1:13" ht="29">
      <c r="A18" s="5" t="s">
        <v>20</v>
      </c>
      <c r="B18" s="144" t="s">
        <v>240</v>
      </c>
      <c r="C18" s="8" t="s">
        <v>957</v>
      </c>
      <c r="D18" s="497"/>
      <c r="E18" s="1144">
        <f>'F1'!I19</f>
        <v>665.64692773537399</v>
      </c>
      <c r="F18" s="496"/>
      <c r="G18" s="496"/>
      <c r="H18" s="1144">
        <f>'F42'!D19</f>
        <v>642.97</v>
      </c>
      <c r="I18" s="477">
        <f t="shared" si="0"/>
        <v>3.5269029247669351E-2</v>
      </c>
      <c r="J18" s="496"/>
      <c r="K18" s="498"/>
    </row>
    <row r="19" spans="1:13" ht="26.25" customHeight="1">
      <c r="A19" s="5" t="s">
        <v>21</v>
      </c>
      <c r="B19" s="144" t="s">
        <v>1600</v>
      </c>
      <c r="C19" s="8" t="s">
        <v>957</v>
      </c>
      <c r="D19" s="497"/>
      <c r="E19" s="1144">
        <f>'F1'!I26</f>
        <v>144.75518716319999</v>
      </c>
      <c r="F19" s="496"/>
      <c r="G19" s="496"/>
      <c r="H19" s="1144"/>
      <c r="I19" s="477"/>
      <c r="J19" s="496"/>
    </row>
    <row r="20" spans="1:13">
      <c r="A20" s="626" t="s">
        <v>129</v>
      </c>
      <c r="B20" s="629" t="s">
        <v>1309</v>
      </c>
      <c r="C20" s="8" t="s">
        <v>957</v>
      </c>
      <c r="D20" s="476"/>
      <c r="E20" s="1144">
        <f>'F1'!I21</f>
        <v>961.84691751072876</v>
      </c>
      <c r="F20" s="466"/>
      <c r="G20" s="466"/>
      <c r="H20" s="1144">
        <f>'F42'!D21</f>
        <v>991.17</v>
      </c>
      <c r="I20" s="477">
        <f t="shared" si="0"/>
        <v>-2.9584311963912549E-2</v>
      </c>
      <c r="J20" s="75"/>
    </row>
    <row r="21" spans="1:13" ht="17.25" customHeight="1">
      <c r="A21" s="5" t="s">
        <v>130</v>
      </c>
      <c r="B21" s="144" t="s">
        <v>1278</v>
      </c>
      <c r="C21" s="8" t="s">
        <v>957</v>
      </c>
      <c r="D21" s="483"/>
      <c r="E21" s="1144">
        <f>'F1'!I22</f>
        <v>813.66292302987949</v>
      </c>
      <c r="F21" s="477"/>
      <c r="G21" s="477"/>
      <c r="H21" s="1144">
        <f>'F42'!D22</f>
        <v>376.52</v>
      </c>
      <c r="I21" s="477">
        <f t="shared" si="0"/>
        <v>1.1610085069315828</v>
      </c>
      <c r="J21" s="75"/>
    </row>
    <row r="22" spans="1:13" ht="15" customHeight="1">
      <c r="A22" s="5" t="s">
        <v>133</v>
      </c>
      <c r="B22" s="144" t="s">
        <v>1279</v>
      </c>
      <c r="C22" s="8" t="s">
        <v>957</v>
      </c>
      <c r="D22" s="483"/>
      <c r="E22" s="1144">
        <f>'F1'!I23</f>
        <v>182.37748997510371</v>
      </c>
      <c r="F22" s="477"/>
      <c r="G22" s="477"/>
      <c r="H22" s="1144">
        <f>'F42'!D23</f>
        <v>160.86000000000001</v>
      </c>
      <c r="I22" s="477">
        <f t="shared" si="0"/>
        <v>0.13376532372935285</v>
      </c>
      <c r="J22" s="75"/>
    </row>
    <row r="23" spans="1:13">
      <c r="A23" s="5"/>
      <c r="B23" s="144" t="s">
        <v>1280</v>
      </c>
      <c r="C23" s="8" t="s">
        <v>957</v>
      </c>
      <c r="D23" s="476"/>
      <c r="E23" s="1144">
        <f>SUM(E19:E22)</f>
        <v>2102.6425176789121</v>
      </c>
      <c r="F23" s="466"/>
      <c r="G23" s="466"/>
      <c r="H23" s="1144">
        <f>SUM(H20:H22)</f>
        <v>1528.5500000000002</v>
      </c>
      <c r="I23" s="477">
        <f t="shared" si="0"/>
        <v>0.37557980941343877</v>
      </c>
      <c r="J23" s="75"/>
    </row>
    <row r="24" spans="1:13">
      <c r="A24" s="5" t="s">
        <v>24</v>
      </c>
      <c r="B24" s="144" t="s">
        <v>25</v>
      </c>
      <c r="C24" s="8" t="s">
        <v>957</v>
      </c>
      <c r="D24" s="483"/>
      <c r="E24" s="1144">
        <f>'F1'!I28</f>
        <v>986.25893648569877</v>
      </c>
      <c r="F24" s="496"/>
      <c r="G24" s="496"/>
      <c r="H24" s="1144">
        <f>'F42'!D28</f>
        <v>425.2</v>
      </c>
      <c r="I24" s="477">
        <f t="shared" si="0"/>
        <v>1.3195177245665539</v>
      </c>
      <c r="J24" s="496"/>
    </row>
    <row r="25" spans="1:13" ht="24" customHeight="1">
      <c r="A25" s="5" t="s">
        <v>26</v>
      </c>
      <c r="B25" s="144" t="s">
        <v>1281</v>
      </c>
      <c r="C25" s="8" t="s">
        <v>957</v>
      </c>
      <c r="D25" s="483"/>
      <c r="E25" s="1144">
        <f>'F1'!I29</f>
        <v>578.4811138589489</v>
      </c>
      <c r="F25" s="496"/>
      <c r="G25" s="496"/>
      <c r="H25" s="1144">
        <f>'F42'!D29</f>
        <v>168.79</v>
      </c>
      <c r="I25" s="477">
        <f t="shared" si="0"/>
        <v>2.4272238512882809</v>
      </c>
      <c r="J25" s="496"/>
    </row>
    <row r="26" spans="1:13" ht="43.5">
      <c r="A26" s="5" t="s">
        <v>27</v>
      </c>
      <c r="B26" s="624" t="s">
        <v>858</v>
      </c>
      <c r="C26" s="8" t="s">
        <v>957</v>
      </c>
      <c r="D26" s="476"/>
      <c r="E26" s="1144">
        <f>'F1'!I30</f>
        <v>22.820794705819491</v>
      </c>
      <c r="F26" s="477"/>
      <c r="G26" s="477"/>
      <c r="H26" s="1144">
        <f>'F42'!D30</f>
        <v>22.68</v>
      </c>
      <c r="I26" s="477">
        <f t="shared" si="0"/>
        <v>6.2078794453038532E-3</v>
      </c>
      <c r="J26" s="75"/>
    </row>
    <row r="27" spans="1:13">
      <c r="A27" s="5" t="s">
        <v>28</v>
      </c>
      <c r="B27" s="144" t="s">
        <v>523</v>
      </c>
      <c r="C27" s="8" t="s">
        <v>957</v>
      </c>
      <c r="D27" s="497"/>
      <c r="E27" s="1144">
        <f>'F1'!I32</f>
        <v>194.60098587743801</v>
      </c>
      <c r="F27" s="496"/>
      <c r="G27" s="496"/>
      <c r="H27" s="1144">
        <f>'F42'!D32</f>
        <v>160.55000000000001</v>
      </c>
      <c r="I27" s="477">
        <f t="shared" si="0"/>
        <v>0.21208960372119584</v>
      </c>
      <c r="J27" s="496"/>
    </row>
    <row r="28" spans="1:13" ht="15" customHeight="1">
      <c r="A28" s="5" t="s">
        <v>30</v>
      </c>
      <c r="B28" s="144" t="s">
        <v>1285</v>
      </c>
      <c r="C28" s="8" t="s">
        <v>957</v>
      </c>
      <c r="D28" s="480"/>
      <c r="E28" s="1144">
        <f>'F1'!I33</f>
        <v>274.44674096907892</v>
      </c>
      <c r="F28" s="496"/>
      <c r="G28" s="496"/>
      <c r="H28" s="1144">
        <f>'F42'!D33</f>
        <v>204.88</v>
      </c>
      <c r="I28" s="477">
        <f t="shared" si="0"/>
        <v>0.33954871617082644</v>
      </c>
      <c r="J28" s="75"/>
    </row>
    <row r="29" spans="1:13">
      <c r="A29" s="5" t="s">
        <v>129</v>
      </c>
      <c r="B29" s="144" t="s">
        <v>1353</v>
      </c>
      <c r="C29" s="8" t="s">
        <v>957</v>
      </c>
      <c r="D29" s="497"/>
      <c r="E29" s="1144">
        <f>'F1'!I31</f>
        <v>66.749887700000002</v>
      </c>
      <c r="F29" s="496"/>
      <c r="G29" s="496"/>
      <c r="H29" s="1144">
        <f>'F42'!D34</f>
        <v>0</v>
      </c>
      <c r="I29" s="477">
        <f t="shared" si="0"/>
        <v>0</v>
      </c>
      <c r="J29" s="496"/>
    </row>
    <row r="30" spans="1:13">
      <c r="A30" s="5" t="s">
        <v>136</v>
      </c>
      <c r="B30" s="144" t="s">
        <v>34</v>
      </c>
      <c r="C30" s="8" t="s">
        <v>957</v>
      </c>
      <c r="D30" s="75"/>
      <c r="E30" s="1144">
        <f ca="1">'F1'!I35</f>
        <v>727.67174627965994</v>
      </c>
      <c r="F30" s="75"/>
      <c r="G30" s="75"/>
      <c r="H30" s="1144">
        <f>'F42'!D35</f>
        <v>552.20000000000005</v>
      </c>
      <c r="I30" s="477">
        <f t="shared" ca="1" si="0"/>
        <v>0.31776846483096682</v>
      </c>
      <c r="J30" s="75"/>
      <c r="K30" s="499"/>
    </row>
    <row r="31" spans="1:13" s="616" customFormat="1">
      <c r="A31" s="5" t="s">
        <v>706</v>
      </c>
      <c r="B31" s="144" t="s">
        <v>134</v>
      </c>
      <c r="C31" s="8" t="s">
        <v>957</v>
      </c>
      <c r="D31" s="75"/>
      <c r="E31" s="1144">
        <f>'F1'!I36</f>
        <v>0</v>
      </c>
      <c r="F31" s="75"/>
      <c r="G31" s="75"/>
      <c r="H31" s="1144">
        <f>'F42'!D36</f>
        <v>0</v>
      </c>
      <c r="I31" s="477">
        <f t="shared" si="0"/>
        <v>0</v>
      </c>
      <c r="J31" s="75"/>
      <c r="K31" s="499"/>
    </row>
    <row r="32" spans="1:13" s="616" customFormat="1">
      <c r="A32" s="617"/>
      <c r="B32" s="144" t="s">
        <v>786</v>
      </c>
      <c r="C32" s="8" t="s">
        <v>957</v>
      </c>
      <c r="D32" s="75"/>
      <c r="E32" s="1144">
        <f ca="1">SUM(E17:E22,E24:E31)</f>
        <v>18681.98325534361</v>
      </c>
      <c r="F32" s="75"/>
      <c r="G32" s="75"/>
      <c r="H32" s="1144">
        <f>'F42'!D37</f>
        <v>18106.97</v>
      </c>
      <c r="I32" s="477">
        <f t="shared" ca="1" si="0"/>
        <v>3.1756459271960392E-2</v>
      </c>
      <c r="J32" s="75"/>
      <c r="K32" s="499"/>
    </row>
    <row r="33" spans="1:11" s="616" customFormat="1">
      <c r="A33" s="5"/>
      <c r="B33" s="152"/>
      <c r="C33" s="501"/>
      <c r="D33" s="75"/>
      <c r="E33" s="956"/>
      <c r="F33" s="75"/>
      <c r="G33" s="75"/>
      <c r="H33" s="956"/>
      <c r="I33" s="477"/>
      <c r="J33" s="75"/>
      <c r="K33" s="499"/>
    </row>
    <row r="34" spans="1:11" s="616" customFormat="1">
      <c r="A34" s="5" t="s">
        <v>67</v>
      </c>
      <c r="B34" s="150" t="s">
        <v>510</v>
      </c>
      <c r="C34" s="501"/>
      <c r="D34" s="75"/>
      <c r="E34" s="956"/>
      <c r="F34" s="75"/>
      <c r="G34" s="75"/>
      <c r="H34" s="956"/>
      <c r="I34" s="477"/>
      <c r="J34" s="75"/>
      <c r="K34" s="499"/>
    </row>
    <row r="35" spans="1:11" s="616" customFormat="1">
      <c r="A35" s="5" t="s">
        <v>19</v>
      </c>
      <c r="B35" s="144" t="s">
        <v>131</v>
      </c>
      <c r="C35" s="8" t="s">
        <v>957</v>
      </c>
      <c r="D35" s="75"/>
      <c r="E35" s="956">
        <f>'F1'!I40</f>
        <v>0</v>
      </c>
      <c r="F35" s="75"/>
      <c r="G35" s="75"/>
      <c r="H35" s="956">
        <f>'F42'!D40</f>
        <v>0</v>
      </c>
      <c r="I35" s="477">
        <f t="shared" si="0"/>
        <v>0</v>
      </c>
      <c r="J35" s="75"/>
      <c r="K35" s="499"/>
    </row>
    <row r="36" spans="1:11" s="616" customFormat="1">
      <c r="A36" s="5" t="s">
        <v>20</v>
      </c>
      <c r="B36" s="144" t="s">
        <v>135</v>
      </c>
      <c r="C36" s="8" t="s">
        <v>957</v>
      </c>
      <c r="D36" s="75"/>
      <c r="E36" s="956">
        <f>'F1'!I41</f>
        <v>28.901653399999987</v>
      </c>
      <c r="F36" s="75"/>
      <c r="G36" s="75"/>
      <c r="H36" s="956">
        <f>'F42'!D41</f>
        <v>12.57</v>
      </c>
      <c r="I36" s="477">
        <f t="shared" si="0"/>
        <v>1.2992564359586305</v>
      </c>
      <c r="J36" s="75"/>
      <c r="K36" s="499"/>
    </row>
    <row r="37" spans="1:11" s="616" customFormat="1" ht="29">
      <c r="A37" s="5" t="s">
        <v>67</v>
      </c>
      <c r="B37" s="144" t="s">
        <v>506</v>
      </c>
      <c r="C37" s="8" t="s">
        <v>957</v>
      </c>
      <c r="D37" s="75"/>
      <c r="E37" s="956">
        <f>'F1'!I42</f>
        <v>0</v>
      </c>
      <c r="F37" s="75"/>
      <c r="G37" s="75"/>
      <c r="H37" s="956">
        <f>'F42'!D42</f>
        <v>0.56999999999999995</v>
      </c>
      <c r="I37" s="477">
        <f t="shared" si="0"/>
        <v>-1</v>
      </c>
      <c r="J37" s="75"/>
      <c r="K37" s="499"/>
    </row>
    <row r="38" spans="1:11" s="616" customFormat="1">
      <c r="A38" s="617"/>
      <c r="B38" s="144" t="s">
        <v>785</v>
      </c>
      <c r="C38" s="8" t="s">
        <v>957</v>
      </c>
      <c r="D38" s="75"/>
      <c r="E38" s="956">
        <f>SUM(E35:E37)</f>
        <v>28.901653399999987</v>
      </c>
      <c r="F38" s="75"/>
      <c r="G38" s="75"/>
      <c r="H38" s="956">
        <f>SUM(H35:H37)</f>
        <v>13.14</v>
      </c>
      <c r="I38" s="477">
        <f t="shared" si="0"/>
        <v>1.1995170015220689</v>
      </c>
      <c r="J38" s="75"/>
      <c r="K38" s="499"/>
    </row>
    <row r="39" spans="1:11" s="616" customFormat="1" ht="29">
      <c r="A39" s="617" t="s">
        <v>68</v>
      </c>
      <c r="B39" s="190" t="s">
        <v>236</v>
      </c>
      <c r="C39" s="8" t="s">
        <v>957</v>
      </c>
      <c r="D39" s="75"/>
      <c r="E39" s="956">
        <f ca="1">E32-E38</f>
        <v>18653.08160194361</v>
      </c>
      <c r="F39" s="75"/>
      <c r="G39" s="75"/>
      <c r="H39" s="956">
        <f>'F42'!D44</f>
        <v>18093.830000000002</v>
      </c>
      <c r="I39" s="477">
        <f t="shared" ca="1" si="0"/>
        <v>3.090841474378879E-2</v>
      </c>
      <c r="J39" s="75"/>
      <c r="K39" s="499"/>
    </row>
    <row r="40" spans="1:11" s="616" customFormat="1" ht="29">
      <c r="A40" s="207" t="s">
        <v>69</v>
      </c>
      <c r="B40" s="208" t="s">
        <v>237</v>
      </c>
      <c r="C40" s="8" t="s">
        <v>957</v>
      </c>
      <c r="D40" s="75"/>
      <c r="E40" s="956">
        <f ca="1">E14-E39</f>
        <v>-4930.7445534896651</v>
      </c>
      <c r="F40" s="75"/>
      <c r="G40" s="75"/>
      <c r="H40" s="956">
        <f>'F42'!D45</f>
        <v>-3679.9200000000019</v>
      </c>
      <c r="I40" s="477">
        <f t="shared" ca="1" si="0"/>
        <v>0.3399053657388374</v>
      </c>
      <c r="J40" s="75"/>
      <c r="K40" s="499"/>
    </row>
    <row r="41" spans="1:11" s="616" customFormat="1">
      <c r="A41" s="207" t="s">
        <v>70</v>
      </c>
      <c r="B41" s="144" t="s">
        <v>503</v>
      </c>
      <c r="C41" s="8" t="s">
        <v>957</v>
      </c>
      <c r="D41" s="75"/>
      <c r="E41" s="956">
        <v>0</v>
      </c>
      <c r="F41" s="75"/>
      <c r="G41" s="75"/>
      <c r="H41" s="956">
        <f>'F42'!D46</f>
        <v>0</v>
      </c>
      <c r="I41" s="477">
        <f t="shared" si="0"/>
        <v>0</v>
      </c>
      <c r="J41" s="75"/>
      <c r="K41" s="499"/>
    </row>
    <row r="42" spans="1:11" s="616" customFormat="1" ht="29">
      <c r="A42" s="617" t="s">
        <v>138</v>
      </c>
      <c r="B42" s="190" t="s">
        <v>238</v>
      </c>
      <c r="C42" s="8" t="s">
        <v>957</v>
      </c>
      <c r="D42" s="75"/>
      <c r="E42" s="956">
        <f ca="1">E40+E41</f>
        <v>-4930.7445534896651</v>
      </c>
      <c r="F42" s="75"/>
      <c r="G42" s="75"/>
      <c r="H42" s="956">
        <f>'F42'!D47</f>
        <v>-3679.9200000000019</v>
      </c>
      <c r="I42" s="477">
        <f t="shared" ca="1" si="0"/>
        <v>0.3399053657388374</v>
      </c>
      <c r="J42" s="75"/>
      <c r="K42" s="499"/>
    </row>
    <row r="43" spans="1:11" s="616" customFormat="1">
      <c r="A43" s="207" t="s">
        <v>139</v>
      </c>
      <c r="B43" s="295" t="s">
        <v>504</v>
      </c>
      <c r="C43" s="8" t="s">
        <v>957</v>
      </c>
      <c r="D43" s="75"/>
      <c r="E43" s="956">
        <f>'F1'!I50</f>
        <v>3412.9922351703372</v>
      </c>
      <c r="F43" s="75"/>
      <c r="G43" s="75"/>
      <c r="H43" s="956">
        <f>'F42'!D48</f>
        <v>3778.92</v>
      </c>
      <c r="I43" s="477">
        <f t="shared" si="0"/>
        <v>-9.6833953835927439E-2</v>
      </c>
      <c r="J43" s="75"/>
      <c r="K43" s="499"/>
    </row>
    <row r="44" spans="1:11" s="616" customFormat="1">
      <c r="A44" s="617" t="s">
        <v>140</v>
      </c>
      <c r="B44" s="145" t="s">
        <v>784</v>
      </c>
      <c r="C44" s="8" t="s">
        <v>957</v>
      </c>
      <c r="D44" s="75"/>
      <c r="E44" s="701">
        <f ca="1">E42+E43</f>
        <v>-1517.752318319328</v>
      </c>
      <c r="F44" s="75"/>
      <c r="G44" s="75"/>
      <c r="H44" s="956">
        <f>'F42'!D49</f>
        <v>98.999999999998181</v>
      </c>
      <c r="I44" s="477">
        <f t="shared" ca="1" si="0"/>
        <v>-16.330831498175311</v>
      </c>
      <c r="J44" s="75"/>
      <c r="K44" s="499"/>
    </row>
    <row r="45" spans="1:11">
      <c r="A45" s="3494" t="s">
        <v>963</v>
      </c>
      <c r="B45" s="3495"/>
      <c r="C45" s="3495"/>
      <c r="D45" s="3495"/>
      <c r="E45" s="3495"/>
      <c r="F45" s="3495"/>
      <c r="G45" s="3495"/>
      <c r="H45" s="3495"/>
      <c r="I45" s="3495"/>
      <c r="J45" s="3496"/>
      <c r="K45" s="500"/>
    </row>
    <row r="46" spans="1:11">
      <c r="A46" s="3494" t="s">
        <v>965</v>
      </c>
      <c r="B46" s="3495"/>
      <c r="C46" s="3495"/>
      <c r="D46" s="3495"/>
      <c r="E46" s="3495"/>
      <c r="F46" s="3495"/>
      <c r="G46" s="3495"/>
      <c r="H46" s="3495"/>
      <c r="I46" s="3495"/>
      <c r="J46" s="3496"/>
      <c r="K46" s="500"/>
    </row>
    <row r="47" spans="1:11">
      <c r="A47" s="3497" t="s">
        <v>964</v>
      </c>
      <c r="B47" s="3498"/>
      <c r="C47" s="3498"/>
      <c r="D47" s="3498"/>
      <c r="E47" s="3498"/>
      <c r="F47" s="3498"/>
      <c r="G47" s="3498"/>
      <c r="H47" s="3498"/>
      <c r="I47" s="3498"/>
      <c r="J47" s="3499"/>
    </row>
    <row r="48" spans="1:11">
      <c r="A48" s="3500" t="s">
        <v>1333</v>
      </c>
      <c r="B48" s="3501"/>
      <c r="C48" s="3501"/>
      <c r="D48" s="3501"/>
      <c r="E48" s="3501"/>
      <c r="F48" s="3501"/>
      <c r="G48" s="3501"/>
      <c r="H48" s="3501"/>
      <c r="I48" s="3501"/>
      <c r="J48" s="3502"/>
    </row>
    <row r="50" spans="2:31">
      <c r="B50" s="445" t="s">
        <v>992</v>
      </c>
      <c r="C50" s="435"/>
    </row>
    <row r="51" spans="2:31" ht="58">
      <c r="B51" s="3474" t="s">
        <v>14</v>
      </c>
      <c r="C51" s="3474" t="s">
        <v>61</v>
      </c>
      <c r="D51" s="555" t="s">
        <v>990</v>
      </c>
      <c r="E51" s="438" t="s">
        <v>954</v>
      </c>
      <c r="F51" s="438" t="s">
        <v>946</v>
      </c>
      <c r="G51" s="3474" t="s">
        <v>127</v>
      </c>
    </row>
    <row r="52" spans="2:31">
      <c r="B52" s="3475"/>
      <c r="C52" s="3475"/>
      <c r="D52" s="550" t="s">
        <v>935</v>
      </c>
      <c r="E52" s="462" t="s">
        <v>936</v>
      </c>
      <c r="F52" s="3474" t="s">
        <v>949</v>
      </c>
      <c r="G52" s="3475"/>
    </row>
    <row r="53" spans="2:31">
      <c r="B53" s="3476"/>
      <c r="C53" s="3476"/>
      <c r="D53" s="550" t="s">
        <v>560</v>
      </c>
      <c r="E53" s="553" t="s">
        <v>952</v>
      </c>
      <c r="F53" s="3476"/>
      <c r="G53" s="3476"/>
    </row>
    <row r="54" spans="2:31">
      <c r="B54" s="463" t="s">
        <v>966</v>
      </c>
      <c r="C54" s="460" t="s">
        <v>957</v>
      </c>
      <c r="D54" s="554"/>
      <c r="E54" s="483"/>
      <c r="F54" s="466"/>
      <c r="G54" s="75"/>
    </row>
    <row r="55" spans="2:31">
      <c r="B55" s="80" t="s">
        <v>967</v>
      </c>
      <c r="C55" s="8" t="s">
        <v>957</v>
      </c>
      <c r="D55" s="8"/>
      <c r="E55" s="483"/>
      <c r="F55" s="466"/>
      <c r="G55" s="75"/>
    </row>
    <row r="56" spans="2:31">
      <c r="B56" s="80" t="s">
        <v>968</v>
      </c>
      <c r="C56" s="8" t="s">
        <v>957</v>
      </c>
      <c r="D56" s="8"/>
      <c r="E56" s="483"/>
      <c r="F56" s="466"/>
      <c r="G56" s="75"/>
    </row>
    <row r="57" spans="2:31">
      <c r="B57" s="80" t="s">
        <v>969</v>
      </c>
      <c r="C57" s="8" t="s">
        <v>957</v>
      </c>
      <c r="D57" s="8"/>
      <c r="E57" s="483"/>
      <c r="F57" s="466"/>
      <c r="G57" s="75"/>
    </row>
    <row r="58" spans="2:31" s="548" customFormat="1">
      <c r="B58" s="10" t="s">
        <v>1185</v>
      </c>
      <c r="C58" s="8"/>
      <c r="D58" s="8"/>
      <c r="E58" s="483"/>
      <c r="F58" s="466"/>
      <c r="G58" s="75"/>
      <c r="H58" s="499"/>
      <c r="I58" s="499"/>
      <c r="J58" s="499"/>
      <c r="AB58" s="1312"/>
      <c r="AC58" s="1312"/>
      <c r="AD58" s="1312"/>
      <c r="AE58" s="1312"/>
    </row>
    <row r="59" spans="2:31">
      <c r="B59" s="3507" t="s">
        <v>1194</v>
      </c>
      <c r="C59" s="3508"/>
      <c r="D59" s="3508"/>
      <c r="E59" s="3508"/>
      <c r="F59" s="3508"/>
      <c r="G59" s="3509"/>
      <c r="H59" s="563"/>
      <c r="I59" s="563"/>
      <c r="J59" s="563"/>
      <c r="K59" s="563"/>
      <c r="L59" s="563"/>
      <c r="M59" s="563"/>
      <c r="N59" s="563"/>
      <c r="O59" s="563"/>
      <c r="P59" s="563"/>
      <c r="Q59" s="563"/>
      <c r="R59" s="563"/>
      <c r="S59" s="563"/>
      <c r="T59" s="563"/>
      <c r="U59" s="563"/>
      <c r="V59" s="563"/>
      <c r="W59" s="563"/>
      <c r="X59" s="563"/>
      <c r="Y59" s="563"/>
      <c r="Z59" s="563"/>
      <c r="AA59" s="1312"/>
      <c r="AB59" s="1312"/>
      <c r="AC59" s="1312"/>
      <c r="AD59" s="1312"/>
      <c r="AE59" s="1312"/>
    </row>
    <row r="60" spans="2:31">
      <c r="H60" s="499"/>
      <c r="I60" s="499"/>
      <c r="J60" s="499"/>
      <c r="K60" s="499"/>
      <c r="L60" s="499"/>
      <c r="M60" s="499"/>
      <c r="N60" s="499"/>
      <c r="O60" s="499"/>
      <c r="P60" s="499"/>
      <c r="Q60" s="499"/>
      <c r="R60" s="499"/>
      <c r="S60" s="499"/>
      <c r="T60" s="499"/>
      <c r="U60" s="499"/>
      <c r="V60" s="499"/>
      <c r="W60" s="499"/>
      <c r="X60" s="499"/>
      <c r="Y60" s="499"/>
      <c r="Z60" s="499"/>
      <c r="AA60" s="1312"/>
      <c r="AB60" s="1312"/>
      <c r="AC60" s="1312"/>
      <c r="AD60" s="1312"/>
      <c r="AE60" s="1312"/>
    </row>
    <row r="61" spans="2:31">
      <c r="B61" s="445" t="s">
        <v>993</v>
      </c>
      <c r="C61" s="435"/>
      <c r="P61" s="1312"/>
    </row>
    <row r="62" spans="2:31" ht="26.25" customHeight="1">
      <c r="B62" s="3482" t="s">
        <v>14</v>
      </c>
      <c r="C62" s="3483" t="s">
        <v>990</v>
      </c>
      <c r="D62" s="3483"/>
      <c r="E62" s="3482" t="s">
        <v>954</v>
      </c>
      <c r="F62" s="3482"/>
      <c r="G62" s="3513"/>
      <c r="H62" s="3513"/>
      <c r="J62" s="3260" t="s">
        <v>997</v>
      </c>
      <c r="K62" s="3260"/>
      <c r="L62" s="3260"/>
      <c r="M62" s="3260"/>
      <c r="N62" s="3260"/>
      <c r="O62" s="3260"/>
      <c r="P62" s="1312"/>
    </row>
    <row r="63" spans="2:31">
      <c r="B63" s="3482"/>
      <c r="C63" s="552" t="s">
        <v>763</v>
      </c>
      <c r="D63" s="552" t="s">
        <v>62</v>
      </c>
      <c r="E63" s="551" t="s">
        <v>763</v>
      </c>
      <c r="F63" s="551" t="s">
        <v>62</v>
      </c>
      <c r="G63" s="564"/>
      <c r="H63" s="564"/>
      <c r="J63" s="3260" t="s">
        <v>998</v>
      </c>
      <c r="K63" s="429" t="s">
        <v>564</v>
      </c>
      <c r="L63" s="429" t="s">
        <v>564</v>
      </c>
      <c r="M63" s="429" t="s">
        <v>564</v>
      </c>
      <c r="N63" s="429" t="s">
        <v>564</v>
      </c>
      <c r="O63" s="429" t="s">
        <v>564</v>
      </c>
      <c r="P63" s="1312"/>
    </row>
    <row r="64" spans="2:31">
      <c r="B64" s="316" t="s">
        <v>970</v>
      </c>
      <c r="C64" s="468"/>
      <c r="D64" s="1530">
        <v>1</v>
      </c>
      <c r="E64" s="1531"/>
      <c r="F64" s="1532">
        <v>1</v>
      </c>
      <c r="G64" s="565"/>
      <c r="H64" s="566"/>
      <c r="J64" s="3260"/>
      <c r="K64" s="433" t="s">
        <v>283</v>
      </c>
      <c r="L64" s="433" t="s">
        <v>283</v>
      </c>
      <c r="M64" s="433" t="s">
        <v>283</v>
      </c>
      <c r="N64" s="433" t="s">
        <v>283</v>
      </c>
      <c r="O64" s="433" t="s">
        <v>283</v>
      </c>
      <c r="P64" s="1312"/>
    </row>
    <row r="65" spans="2:15">
      <c r="B65" s="488" t="s">
        <v>971</v>
      </c>
      <c r="C65" s="485"/>
      <c r="D65" s="489"/>
      <c r="E65" s="490"/>
      <c r="F65" s="491"/>
      <c r="G65" s="567"/>
      <c r="H65" s="568"/>
      <c r="J65" s="503" t="s">
        <v>1002</v>
      </c>
      <c r="K65" s="75"/>
      <c r="L65" s="75"/>
      <c r="M65" s="75"/>
      <c r="N65" s="75"/>
      <c r="O65" s="75"/>
    </row>
    <row r="66" spans="2:15">
      <c r="B66" s="488" t="s">
        <v>972</v>
      </c>
      <c r="C66" s="485"/>
      <c r="D66" s="489"/>
      <c r="E66" s="490"/>
      <c r="F66" s="491"/>
      <c r="G66" s="567"/>
      <c r="H66" s="568"/>
      <c r="J66" s="503" t="s">
        <v>942</v>
      </c>
      <c r="K66" s="75"/>
      <c r="L66" s="75"/>
      <c r="M66" s="75"/>
      <c r="N66" s="75"/>
      <c r="O66" s="75"/>
    </row>
    <row r="67" spans="2:15" ht="29">
      <c r="B67" s="488" t="s">
        <v>973</v>
      </c>
      <c r="C67" s="485"/>
      <c r="D67" s="489"/>
      <c r="E67" s="490"/>
      <c r="F67" s="491"/>
      <c r="G67" s="567"/>
      <c r="H67" s="568"/>
      <c r="J67" s="502" t="s">
        <v>1173</v>
      </c>
      <c r="K67" s="75"/>
      <c r="L67" s="75"/>
      <c r="M67" s="75"/>
      <c r="N67" s="75"/>
      <c r="O67" s="75"/>
    </row>
    <row r="68" spans="2:15" ht="30.75" customHeight="1">
      <c r="B68" s="3506" t="s">
        <v>1185</v>
      </c>
      <c r="C68" s="3510"/>
      <c r="D68" s="3510"/>
      <c r="E68" s="3510"/>
      <c r="F68" s="3510"/>
      <c r="G68" s="500"/>
      <c r="H68" s="500"/>
      <c r="J68" s="503" t="s">
        <v>1003</v>
      </c>
      <c r="K68" s="75"/>
      <c r="L68" s="75"/>
      <c r="M68" s="75"/>
      <c r="N68" s="75"/>
      <c r="O68" s="75"/>
    </row>
    <row r="69" spans="2:15" s="548" customFormat="1" ht="14.25" customHeight="1">
      <c r="B69" s="3511" t="s">
        <v>1194</v>
      </c>
      <c r="C69" s="3511"/>
      <c r="D69" s="3511"/>
      <c r="E69" s="3511"/>
      <c r="F69" s="3511"/>
      <c r="G69" s="500"/>
      <c r="H69" s="500"/>
      <c r="J69" s="503"/>
      <c r="K69" s="75"/>
      <c r="L69" s="75"/>
      <c r="M69" s="75"/>
      <c r="N69" s="75"/>
      <c r="O69" s="75"/>
    </row>
    <row r="70" spans="2:15">
      <c r="J70" s="503" t="s">
        <v>1004</v>
      </c>
      <c r="K70" s="75"/>
      <c r="L70" s="75"/>
      <c r="M70" s="75"/>
      <c r="N70" s="75"/>
      <c r="O70" s="75"/>
    </row>
    <row r="71" spans="2:15" ht="29">
      <c r="B71" s="446" t="s">
        <v>994</v>
      </c>
      <c r="C71" s="435"/>
      <c r="J71" s="503" t="s">
        <v>943</v>
      </c>
      <c r="K71" s="75"/>
      <c r="L71" s="75"/>
      <c r="M71" s="75"/>
      <c r="N71" s="75"/>
      <c r="O71" s="75"/>
    </row>
    <row r="72" spans="2:15" ht="89.25" customHeight="1">
      <c r="B72" s="3261" t="s">
        <v>14</v>
      </c>
      <c r="C72" s="3261" t="s">
        <v>565</v>
      </c>
      <c r="D72" s="532" t="s">
        <v>564</v>
      </c>
      <c r="E72" s="532" t="s">
        <v>564</v>
      </c>
      <c r="F72" s="532" t="s">
        <v>564</v>
      </c>
      <c r="G72" s="532" t="s">
        <v>564</v>
      </c>
      <c r="H72" s="532" t="s">
        <v>564</v>
      </c>
      <c r="J72" s="503" t="s">
        <v>1005</v>
      </c>
      <c r="K72" s="75"/>
      <c r="L72" s="75"/>
      <c r="M72" s="75"/>
      <c r="N72" s="75"/>
      <c r="O72" s="75"/>
    </row>
    <row r="73" spans="2:15">
      <c r="B73" s="3261"/>
      <c r="C73" s="3261"/>
      <c r="D73" s="534" t="s">
        <v>283</v>
      </c>
      <c r="E73" s="534" t="s">
        <v>283</v>
      </c>
      <c r="F73" s="534" t="s">
        <v>283</v>
      </c>
      <c r="G73" s="534" t="s">
        <v>283</v>
      </c>
      <c r="H73" s="534" t="s">
        <v>283</v>
      </c>
      <c r="J73" s="503" t="s">
        <v>1006</v>
      </c>
      <c r="K73" s="75"/>
      <c r="L73" s="75"/>
      <c r="M73" s="75"/>
      <c r="N73" s="75"/>
      <c r="O73" s="75"/>
    </row>
    <row r="74" spans="2:15">
      <c r="B74" s="492" t="s">
        <v>974</v>
      </c>
      <c r="C74" s="29" t="s">
        <v>935</v>
      </c>
      <c r="D74" s="456"/>
      <c r="E74" s="456"/>
      <c r="F74" s="457"/>
      <c r="G74" s="75"/>
      <c r="H74" s="75"/>
      <c r="J74" s="503" t="s">
        <v>410</v>
      </c>
      <c r="K74" s="75"/>
      <c r="L74" s="75"/>
      <c r="M74" s="75"/>
      <c r="N74" s="75"/>
      <c r="O74" s="75"/>
    </row>
    <row r="75" spans="2:15" ht="42" customHeight="1">
      <c r="B75" s="492" t="s">
        <v>975</v>
      </c>
      <c r="C75" s="29" t="s">
        <v>936</v>
      </c>
      <c r="D75" s="458"/>
      <c r="E75" s="458"/>
      <c r="F75" s="457"/>
      <c r="G75" s="75"/>
      <c r="H75" s="75"/>
      <c r="J75" s="503" t="s">
        <v>511</v>
      </c>
      <c r="K75" s="75"/>
      <c r="L75" s="75"/>
      <c r="M75" s="75"/>
      <c r="N75" s="75"/>
      <c r="O75" s="75"/>
    </row>
    <row r="76" spans="2:15" ht="29">
      <c r="B76" s="492" t="s">
        <v>976</v>
      </c>
      <c r="C76" s="484" t="s">
        <v>977</v>
      </c>
      <c r="D76" s="493"/>
      <c r="E76" s="493"/>
      <c r="F76" s="457"/>
      <c r="G76" s="75"/>
      <c r="H76" s="75"/>
      <c r="J76" s="503" t="s">
        <v>1007</v>
      </c>
      <c r="K76" s="75"/>
      <c r="L76" s="75"/>
      <c r="M76" s="75"/>
      <c r="N76" s="75"/>
      <c r="O76" s="75"/>
    </row>
    <row r="77" spans="2:15" ht="42" customHeight="1">
      <c r="B77" s="492" t="s">
        <v>978</v>
      </c>
      <c r="C77" s="29" t="s">
        <v>68</v>
      </c>
      <c r="D77" s="459"/>
      <c r="E77" s="459"/>
      <c r="F77" s="457"/>
      <c r="G77" s="75"/>
      <c r="H77" s="75"/>
      <c r="J77" s="503" t="s">
        <v>1008</v>
      </c>
      <c r="K77" s="75"/>
      <c r="L77" s="75"/>
      <c r="M77" s="75"/>
      <c r="N77" s="75"/>
      <c r="O77" s="75"/>
    </row>
    <row r="78" spans="2:15" ht="29.25" customHeight="1">
      <c r="B78" s="452" t="s">
        <v>979</v>
      </c>
      <c r="C78" s="29" t="s">
        <v>69</v>
      </c>
      <c r="D78" s="459"/>
      <c r="E78" s="459"/>
      <c r="F78" s="457"/>
      <c r="G78" s="75"/>
      <c r="H78" s="75"/>
      <c r="J78" s="503" t="s">
        <v>1009</v>
      </c>
      <c r="K78" s="75"/>
      <c r="L78" s="75"/>
      <c r="M78" s="75"/>
      <c r="N78" s="75"/>
      <c r="O78" s="75"/>
    </row>
    <row r="79" spans="2:15" ht="42.75" customHeight="1">
      <c r="B79" s="452" t="s">
        <v>980</v>
      </c>
      <c r="C79" s="29" t="s">
        <v>70</v>
      </c>
      <c r="D79" s="458"/>
      <c r="E79" s="458"/>
      <c r="F79" s="457"/>
      <c r="G79" s="75"/>
      <c r="H79" s="75"/>
      <c r="J79" s="3512" t="s">
        <v>963</v>
      </c>
      <c r="K79" s="3512"/>
      <c r="L79" s="3512"/>
      <c r="M79" s="3512"/>
      <c r="N79" s="3512"/>
      <c r="O79" s="3512"/>
    </row>
    <row r="80" spans="2:15" ht="45" customHeight="1">
      <c r="B80" s="452" t="s">
        <v>981</v>
      </c>
      <c r="C80" s="453" t="s">
        <v>982</v>
      </c>
      <c r="D80" s="454"/>
      <c r="E80" s="448"/>
      <c r="F80" s="449"/>
      <c r="G80" s="75"/>
      <c r="H80" s="75"/>
    </row>
    <row r="81" spans="2:8" ht="29">
      <c r="B81" s="452" t="s">
        <v>983</v>
      </c>
      <c r="C81" s="29" t="s">
        <v>139</v>
      </c>
      <c r="D81" s="451"/>
      <c r="E81" s="448"/>
      <c r="F81" s="449"/>
      <c r="G81" s="75"/>
      <c r="H81" s="75"/>
    </row>
    <row r="82" spans="2:8" ht="29">
      <c r="B82" s="455" t="s">
        <v>984</v>
      </c>
      <c r="C82" s="531" t="s">
        <v>985</v>
      </c>
      <c r="D82" s="449"/>
      <c r="E82" s="450"/>
      <c r="F82" s="449"/>
      <c r="G82" s="75"/>
      <c r="H82" s="75"/>
    </row>
    <row r="83" spans="2:8" ht="29">
      <c r="B83" s="488" t="s">
        <v>986</v>
      </c>
      <c r="C83" s="29" t="s">
        <v>987</v>
      </c>
      <c r="D83" s="494"/>
      <c r="E83" s="494"/>
      <c r="F83" s="449"/>
      <c r="G83" s="75"/>
      <c r="H83" s="75"/>
    </row>
    <row r="84" spans="2:8" ht="29">
      <c r="B84" s="488" t="s">
        <v>988</v>
      </c>
      <c r="C84" s="8" t="s">
        <v>987</v>
      </c>
      <c r="D84" s="494"/>
      <c r="E84" s="494"/>
      <c r="F84" s="449"/>
      <c r="G84" s="75"/>
      <c r="H84" s="75"/>
    </row>
    <row r="85" spans="2:8" ht="28.5" customHeight="1">
      <c r="B85" s="112" t="s">
        <v>989</v>
      </c>
      <c r="C85" s="8" t="s">
        <v>987</v>
      </c>
      <c r="D85" s="494"/>
      <c r="E85" s="494"/>
      <c r="F85" s="449"/>
      <c r="G85" s="75"/>
      <c r="H85" s="75"/>
    </row>
    <row r="86" spans="2:8" ht="15" customHeight="1">
      <c r="B86" s="3506" t="s">
        <v>963</v>
      </c>
      <c r="C86" s="3506"/>
      <c r="D86" s="3506"/>
      <c r="E86" s="3506"/>
      <c r="F86" s="3506"/>
      <c r="G86" s="3506"/>
      <c r="H86" s="3506"/>
    </row>
  </sheetData>
  <mergeCells count="32">
    <mergeCell ref="J63:J64"/>
    <mergeCell ref="J62:O62"/>
    <mergeCell ref="J79:O79"/>
    <mergeCell ref="B62:B63"/>
    <mergeCell ref="C62:D62"/>
    <mergeCell ref="E62:F62"/>
    <mergeCell ref="G62:H62"/>
    <mergeCell ref="B72:B73"/>
    <mergeCell ref="C72:C73"/>
    <mergeCell ref="B86:H86"/>
    <mergeCell ref="B51:B53"/>
    <mergeCell ref="C51:C53"/>
    <mergeCell ref="G51:G53"/>
    <mergeCell ref="F52:F53"/>
    <mergeCell ref="B59:G59"/>
    <mergeCell ref="B68:F68"/>
    <mergeCell ref="B69:F69"/>
    <mergeCell ref="A45:J45"/>
    <mergeCell ref="A46:J46"/>
    <mergeCell ref="A47:J47"/>
    <mergeCell ref="A48:J48"/>
    <mergeCell ref="A1:B1"/>
    <mergeCell ref="B4:B7"/>
    <mergeCell ref="C4:C7"/>
    <mergeCell ref="G4:G7"/>
    <mergeCell ref="J4:J7"/>
    <mergeCell ref="D5:D6"/>
    <mergeCell ref="E5:E6"/>
    <mergeCell ref="F5:F7"/>
    <mergeCell ref="H5:H6"/>
    <mergeCell ref="I5:I7"/>
    <mergeCell ref="A4:A7"/>
  </mergeCells>
  <printOptions horizontalCentered="1"/>
  <pageMargins left="0.19685039370078741" right="0.19685039370078741" top="0.19685039370078741" bottom="0.19685039370078741" header="0.19685039370078741" footer="0.19685039370078741"/>
  <pageSetup paperSize="9" scale="60" fitToHeight="2"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8"/>
  <sheetViews>
    <sheetView view="pageBreakPreview" topLeftCell="B223" zoomScaleNormal="90" zoomScaleSheetLayoutView="100" workbookViewId="0">
      <selection activeCell="C105" sqref="C105"/>
    </sheetView>
  </sheetViews>
  <sheetFormatPr defaultColWidth="9.1796875" defaultRowHeight="14.5"/>
  <cols>
    <col min="1" max="1" width="73.453125" style="507" customWidth="1"/>
    <col min="2" max="2" width="18.7265625" style="507" bestFit="1" customWidth="1"/>
    <col min="3" max="3" width="14.54296875" style="507" bestFit="1" customWidth="1"/>
    <col min="4" max="4" width="8.81640625" style="507" bestFit="1" customWidth="1"/>
    <col min="5" max="5" width="14.453125" style="507" bestFit="1" customWidth="1"/>
    <col min="6" max="6" width="10" style="507" bestFit="1" customWidth="1"/>
    <col min="7" max="7" width="9" style="351" bestFit="1" customWidth="1"/>
    <col min="8" max="8" width="8.81640625" style="351" bestFit="1" customWidth="1"/>
    <col min="9" max="9" width="9.1796875" style="351"/>
    <col min="10" max="10" width="15.54296875" style="351" bestFit="1" customWidth="1"/>
    <col min="11" max="11" width="8.81640625" style="351" bestFit="1" customWidth="1"/>
    <col min="12" max="12" width="14.453125" style="351" bestFit="1" customWidth="1"/>
    <col min="13" max="13" width="8.81640625" style="351" bestFit="1" customWidth="1"/>
    <col min="14" max="14" width="9" style="351" bestFit="1" customWidth="1"/>
    <col min="15" max="15" width="8.81640625" style="351" bestFit="1" customWidth="1"/>
    <col min="16" max="16" width="9.1796875" style="351"/>
    <col min="17" max="18" width="8.81640625" style="351" bestFit="1" customWidth="1"/>
    <col min="19" max="16384" width="9.1796875" style="351"/>
  </cols>
  <sheetData>
    <row r="1" spans="1:19" s="508" customFormat="1">
      <c r="A1" s="546" t="s">
        <v>1020</v>
      </c>
      <c r="B1" s="1022"/>
      <c r="C1" s="546"/>
      <c r="D1" s="546"/>
      <c r="E1" s="546"/>
      <c r="F1" s="546"/>
      <c r="G1" s="546"/>
      <c r="H1" s="546"/>
      <c r="I1" s="546"/>
      <c r="J1" s="546"/>
    </row>
    <row r="2" spans="1:19">
      <c r="A2" s="392" t="s">
        <v>1604</v>
      </c>
      <c r="B2" s="1017"/>
      <c r="C2" s="428"/>
      <c r="D2" s="530"/>
      <c r="E2" s="530"/>
      <c r="F2" s="428"/>
      <c r="G2" s="428"/>
      <c r="H2" s="428"/>
      <c r="I2" s="428"/>
      <c r="J2" s="434"/>
    </row>
    <row r="3" spans="1:19">
      <c r="A3" s="440" t="s">
        <v>1176</v>
      </c>
      <c r="B3" s="368"/>
      <c r="C3" s="440"/>
      <c r="D3" s="440"/>
      <c r="E3" s="440"/>
      <c r="F3" s="440"/>
      <c r="G3" s="440"/>
      <c r="H3" s="440"/>
      <c r="I3" s="440"/>
      <c r="J3" s="440"/>
    </row>
    <row r="4" spans="1:19" s="508" customFormat="1">
      <c r="A4" s="509"/>
      <c r="B4" s="1163"/>
      <c r="C4" s="509"/>
      <c r="D4" s="509"/>
      <c r="E4" s="509"/>
      <c r="F4" s="510"/>
    </row>
    <row r="5" spans="1:19" ht="21">
      <c r="A5" s="1147"/>
      <c r="B5" s="1164"/>
      <c r="C5" s="3514" t="s">
        <v>1010</v>
      </c>
      <c r="D5" s="3515"/>
      <c r="E5" s="3515"/>
      <c r="F5" s="3515"/>
      <c r="G5" s="3515"/>
      <c r="H5" s="3516"/>
      <c r="I5" s="1148"/>
      <c r="J5" s="3514" t="s">
        <v>1021</v>
      </c>
      <c r="K5" s="3515"/>
      <c r="L5" s="3515"/>
      <c r="M5" s="3515"/>
      <c r="N5" s="3515"/>
      <c r="O5" s="3516"/>
      <c r="P5" s="1148"/>
      <c r="Q5" s="3514" t="s">
        <v>1528</v>
      </c>
      <c r="R5" s="3516"/>
      <c r="S5" s="504"/>
    </row>
    <row r="6" spans="1:19" ht="42">
      <c r="A6" s="1149" t="s">
        <v>1529</v>
      </c>
      <c r="B6" s="1165"/>
      <c r="C6" s="1149" t="s">
        <v>61</v>
      </c>
      <c r="D6" s="1149" t="s">
        <v>781</v>
      </c>
      <c r="E6" s="1149" t="s">
        <v>61</v>
      </c>
      <c r="F6" s="1149" t="s">
        <v>1530</v>
      </c>
      <c r="G6" s="1149" t="s">
        <v>61</v>
      </c>
      <c r="H6" s="1149" t="s">
        <v>1531</v>
      </c>
      <c r="I6" s="1150"/>
      <c r="J6" s="1149" t="s">
        <v>61</v>
      </c>
      <c r="K6" s="1149" t="s">
        <v>781</v>
      </c>
      <c r="L6" s="1149" t="s">
        <v>61</v>
      </c>
      <c r="M6" s="1149" t="s">
        <v>1530</v>
      </c>
      <c r="N6" s="1149" t="s">
        <v>61</v>
      </c>
      <c r="O6" s="1149" t="s">
        <v>1531</v>
      </c>
      <c r="P6" s="1150"/>
      <c r="Q6" s="1149" t="s">
        <v>781</v>
      </c>
      <c r="R6" s="1149" t="s">
        <v>1531</v>
      </c>
    </row>
    <row r="7" spans="1:19">
      <c r="A7" s="1151" t="s">
        <v>1043</v>
      </c>
      <c r="B7" s="1154"/>
      <c r="C7" s="1151"/>
      <c r="D7" s="1152"/>
      <c r="E7" s="1152"/>
      <c r="F7" s="1152"/>
      <c r="G7" s="1152"/>
      <c r="H7" s="1152"/>
      <c r="I7" s="1153"/>
      <c r="J7" s="1151"/>
      <c r="K7" s="1152"/>
      <c r="L7" s="1152"/>
      <c r="M7" s="1152"/>
      <c r="N7" s="1152"/>
      <c r="O7" s="1152"/>
      <c r="P7" s="1153"/>
      <c r="Q7" s="1152"/>
      <c r="R7" s="1152"/>
    </row>
    <row r="8" spans="1:19">
      <c r="A8" s="1154" t="s">
        <v>1395</v>
      </c>
      <c r="B8" s="1154"/>
      <c r="C8" s="1154"/>
      <c r="D8" s="1155"/>
      <c r="E8" s="1155"/>
      <c r="F8" s="1155"/>
      <c r="G8" s="1155"/>
      <c r="H8" s="1155"/>
      <c r="I8" s="1153"/>
      <c r="J8" s="1154"/>
      <c r="K8" s="1155"/>
      <c r="L8" s="1155"/>
      <c r="M8" s="1155"/>
      <c r="N8" s="1155"/>
      <c r="O8" s="1155"/>
      <c r="P8" s="1153"/>
      <c r="Q8" s="1155"/>
      <c r="R8" s="1155"/>
    </row>
    <row r="9" spans="1:19">
      <c r="A9" s="1156" t="s">
        <v>1396</v>
      </c>
      <c r="B9" s="1156"/>
      <c r="C9" s="1156" t="s">
        <v>1532</v>
      </c>
      <c r="D9" s="1157">
        <v>50</v>
      </c>
      <c r="E9" s="1157"/>
      <c r="F9" s="1157"/>
      <c r="G9" s="1152" t="s">
        <v>1533</v>
      </c>
      <c r="H9" s="1157">
        <v>3</v>
      </c>
      <c r="I9" s="1153"/>
      <c r="J9" s="1156" t="str">
        <f>C9</f>
        <v>Rs./kW/month</v>
      </c>
      <c r="K9" s="1156"/>
      <c r="L9" s="1156"/>
      <c r="M9" s="1156"/>
      <c r="N9" s="1156" t="str">
        <f t="shared" ref="L9:N22" si="0">G9</f>
        <v>Rs/kWh</v>
      </c>
      <c r="O9" s="1156"/>
      <c r="P9" s="1153"/>
      <c r="Q9" s="1158">
        <f>K9-D9</f>
        <v>-50</v>
      </c>
      <c r="R9" s="1158">
        <f>O9-H9</f>
        <v>-3</v>
      </c>
    </row>
    <row r="10" spans="1:19">
      <c r="A10" s="1154" t="s">
        <v>1044</v>
      </c>
      <c r="B10" s="1154"/>
      <c r="C10" s="1154" t="s">
        <v>1532</v>
      </c>
      <c r="D10" s="1159">
        <v>500</v>
      </c>
      <c r="E10" s="1159"/>
      <c r="F10" s="1159"/>
      <c r="G10" s="1155" t="s">
        <v>1533</v>
      </c>
      <c r="H10" s="1159">
        <v>0</v>
      </c>
      <c r="I10" s="1153"/>
      <c r="J10" s="1154" t="str">
        <f t="shared" ref="J10:J72" si="1">C10</f>
        <v>Rs./kW/month</v>
      </c>
      <c r="K10" s="1159"/>
      <c r="L10" s="1159"/>
      <c r="M10" s="1159"/>
      <c r="N10" s="1155" t="str">
        <f t="shared" si="0"/>
        <v>Rs/kWh</v>
      </c>
      <c r="O10" s="1159"/>
      <c r="P10" s="1153"/>
      <c r="Q10" s="1158">
        <f>K10-D10</f>
        <v>-500</v>
      </c>
      <c r="R10" s="1158">
        <f>O10-H10</f>
        <v>0</v>
      </c>
    </row>
    <row r="11" spans="1:19">
      <c r="A11" s="1154" t="s">
        <v>1045</v>
      </c>
      <c r="B11" s="1154"/>
      <c r="C11" s="1154"/>
      <c r="D11" s="1159"/>
      <c r="E11" s="1159"/>
      <c r="F11" s="1159"/>
      <c r="G11" s="1155"/>
      <c r="H11" s="1159"/>
      <c r="I11" s="1153"/>
      <c r="J11" s="1154"/>
      <c r="K11" s="1159"/>
      <c r="L11" s="1159"/>
      <c r="M11" s="1159"/>
      <c r="N11" s="1155"/>
      <c r="O11" s="1159"/>
      <c r="P11" s="1153"/>
      <c r="Q11" s="1159"/>
      <c r="R11" s="1159"/>
    </row>
    <row r="12" spans="1:19">
      <c r="A12" s="1156" t="s">
        <v>1419</v>
      </c>
      <c r="B12" s="1156"/>
      <c r="C12" s="1156" t="s">
        <v>1532</v>
      </c>
      <c r="D12" s="1157">
        <v>90</v>
      </c>
      <c r="E12" s="1157"/>
      <c r="F12" s="1157"/>
      <c r="G12" s="1152" t="s">
        <v>1533</v>
      </c>
      <c r="H12" s="1157">
        <v>3.35</v>
      </c>
      <c r="I12" s="1153"/>
      <c r="J12" s="1156" t="str">
        <f t="shared" si="1"/>
        <v>Rs./kW/month</v>
      </c>
      <c r="K12" s="1157"/>
      <c r="L12" s="1157"/>
      <c r="M12" s="1157"/>
      <c r="N12" s="1152" t="str">
        <f t="shared" si="0"/>
        <v>Rs/kWh</v>
      </c>
      <c r="O12" s="1157"/>
      <c r="P12" s="1153"/>
      <c r="Q12" s="1158">
        <f t="shared" ref="Q12:Q17" si="2">K12-D12</f>
        <v>-90</v>
      </c>
      <c r="R12" s="1158">
        <f t="shared" ref="R12:R17" si="3">O12-H12</f>
        <v>-3.35</v>
      </c>
    </row>
    <row r="13" spans="1:19">
      <c r="A13" s="1156" t="s">
        <v>1420</v>
      </c>
      <c r="B13" s="1156"/>
      <c r="C13" s="1156" t="s">
        <v>1532</v>
      </c>
      <c r="D13" s="1157">
        <f>D12</f>
        <v>90</v>
      </c>
      <c r="E13" s="1157"/>
      <c r="F13" s="1157"/>
      <c r="G13" s="1152" t="s">
        <v>1533</v>
      </c>
      <c r="H13" s="1157">
        <v>3.85</v>
      </c>
      <c r="I13" s="1153"/>
      <c r="J13" s="1156" t="str">
        <f t="shared" si="1"/>
        <v>Rs./kW/month</v>
      </c>
      <c r="K13" s="1157"/>
      <c r="L13" s="1157"/>
      <c r="M13" s="1157"/>
      <c r="N13" s="1152" t="str">
        <f t="shared" si="0"/>
        <v>Rs/kWh</v>
      </c>
      <c r="O13" s="1157"/>
      <c r="P13" s="1153"/>
      <c r="Q13" s="1158">
        <f t="shared" si="2"/>
        <v>-90</v>
      </c>
      <c r="R13" s="1158">
        <f t="shared" si="3"/>
        <v>-3.85</v>
      </c>
    </row>
    <row r="14" spans="1:19">
      <c r="A14" s="1156" t="s">
        <v>1421</v>
      </c>
      <c r="B14" s="1156"/>
      <c r="C14" s="1156" t="s">
        <v>1532</v>
      </c>
      <c r="D14" s="1157">
        <f>D13</f>
        <v>90</v>
      </c>
      <c r="E14" s="1157"/>
      <c r="F14" s="1157"/>
      <c r="G14" s="1152" t="s">
        <v>1533</v>
      </c>
      <c r="H14" s="1157">
        <v>5</v>
      </c>
      <c r="I14" s="1153"/>
      <c r="J14" s="1156" t="str">
        <f t="shared" si="1"/>
        <v>Rs./kW/month</v>
      </c>
      <c r="K14" s="1157"/>
      <c r="L14" s="1157"/>
      <c r="M14" s="1157"/>
      <c r="N14" s="1152" t="str">
        <f t="shared" si="0"/>
        <v>Rs/kWh</v>
      </c>
      <c r="O14" s="1157"/>
      <c r="P14" s="1153"/>
      <c r="Q14" s="1158">
        <f t="shared" si="2"/>
        <v>-90</v>
      </c>
      <c r="R14" s="1158">
        <f t="shared" si="3"/>
        <v>-5</v>
      </c>
    </row>
    <row r="15" spans="1:19">
      <c r="A15" s="1156" t="s">
        <v>1422</v>
      </c>
      <c r="B15" s="1156"/>
      <c r="C15" s="1156" t="s">
        <v>1532</v>
      </c>
      <c r="D15" s="1157">
        <f>D14</f>
        <v>90</v>
      </c>
      <c r="E15" s="1157"/>
      <c r="F15" s="1157"/>
      <c r="G15" s="1152" t="s">
        <v>1533</v>
      </c>
      <c r="H15" s="1157">
        <v>5.5</v>
      </c>
      <c r="I15" s="1153"/>
      <c r="J15" s="1156" t="str">
        <f t="shared" si="1"/>
        <v>Rs./kW/month</v>
      </c>
      <c r="K15" s="1157"/>
      <c r="L15" s="1157"/>
      <c r="M15" s="1157"/>
      <c r="N15" s="1152" t="str">
        <f t="shared" si="0"/>
        <v>Rs/kWh</v>
      </c>
      <c r="O15" s="1157"/>
      <c r="P15" s="1153"/>
      <c r="Q15" s="1158">
        <f t="shared" si="2"/>
        <v>-90</v>
      </c>
      <c r="R15" s="1158">
        <f t="shared" si="3"/>
        <v>-5.5</v>
      </c>
    </row>
    <row r="16" spans="1:19">
      <c r="A16" s="1156" t="s">
        <v>1423</v>
      </c>
      <c r="B16" s="1156"/>
      <c r="C16" s="1156" t="s">
        <v>1532</v>
      </c>
      <c r="D16" s="1157">
        <f>D15</f>
        <v>90</v>
      </c>
      <c r="E16" s="1157"/>
      <c r="F16" s="1157"/>
      <c r="G16" s="1152" t="s">
        <v>1533</v>
      </c>
      <c r="H16" s="1157">
        <v>6</v>
      </c>
      <c r="I16" s="1153"/>
      <c r="J16" s="1156" t="str">
        <f t="shared" si="1"/>
        <v>Rs./kW/month</v>
      </c>
      <c r="K16" s="1157"/>
      <c r="L16" s="1157"/>
      <c r="M16" s="1157"/>
      <c r="N16" s="1152" t="str">
        <f t="shared" si="0"/>
        <v>Rs/kWh</v>
      </c>
      <c r="O16" s="1157"/>
      <c r="P16" s="1153"/>
      <c r="Q16" s="1158">
        <f t="shared" si="2"/>
        <v>-90</v>
      </c>
      <c r="R16" s="1158">
        <f t="shared" si="3"/>
        <v>-6</v>
      </c>
    </row>
    <row r="17" spans="1:18">
      <c r="A17" s="1154" t="s">
        <v>1046</v>
      </c>
      <c r="B17" s="1154"/>
      <c r="C17" s="1154" t="s">
        <v>1532</v>
      </c>
      <c r="D17" s="1159">
        <v>110</v>
      </c>
      <c r="E17" s="1159"/>
      <c r="F17" s="1159"/>
      <c r="G17" s="1155" t="s">
        <v>1533</v>
      </c>
      <c r="H17" s="1159">
        <v>7</v>
      </c>
      <c r="I17" s="1153"/>
      <c r="J17" s="1154" t="str">
        <f t="shared" si="1"/>
        <v>Rs./kW/month</v>
      </c>
      <c r="K17" s="1159"/>
      <c r="L17" s="1159"/>
      <c r="M17" s="1159"/>
      <c r="N17" s="1155" t="str">
        <f t="shared" si="0"/>
        <v>Rs/kWh</v>
      </c>
      <c r="O17" s="1159"/>
      <c r="P17" s="1153"/>
      <c r="Q17" s="1158">
        <f t="shared" si="2"/>
        <v>-110</v>
      </c>
      <c r="R17" s="1158">
        <f t="shared" si="3"/>
        <v>-7</v>
      </c>
    </row>
    <row r="18" spans="1:18">
      <c r="A18" s="1154" t="s">
        <v>1047</v>
      </c>
      <c r="B18" s="1154"/>
      <c r="C18" s="1154"/>
      <c r="D18" s="1159"/>
      <c r="E18" s="1159"/>
      <c r="F18" s="1159"/>
      <c r="G18" s="1155"/>
      <c r="H18" s="1159"/>
      <c r="I18" s="1153"/>
      <c r="J18" s="1154"/>
      <c r="K18" s="1159"/>
      <c r="L18" s="1159"/>
      <c r="M18" s="1159"/>
      <c r="N18" s="1155"/>
      <c r="O18" s="1159"/>
      <c r="P18" s="1153"/>
      <c r="Q18" s="1159"/>
      <c r="R18" s="1159"/>
    </row>
    <row r="19" spans="1:18">
      <c r="A19" s="1160" t="s">
        <v>1424</v>
      </c>
      <c r="B19" s="1156"/>
      <c r="C19" s="1156" t="s">
        <v>1532</v>
      </c>
      <c r="D19" s="1157">
        <v>110</v>
      </c>
      <c r="E19" s="1157"/>
      <c r="F19" s="1157"/>
      <c r="G19" s="1152" t="s">
        <v>1533</v>
      </c>
      <c r="H19" s="1157">
        <v>5.5</v>
      </c>
      <c r="I19" s="1153"/>
      <c r="J19" s="1156" t="str">
        <f t="shared" si="1"/>
        <v>Rs./kW/month</v>
      </c>
      <c r="K19" s="1157"/>
      <c r="L19" s="1157"/>
      <c r="M19" s="1157"/>
      <c r="N19" s="1152" t="str">
        <f t="shared" si="0"/>
        <v>Rs/kWh</v>
      </c>
      <c r="O19" s="1157"/>
      <c r="P19" s="1153"/>
      <c r="Q19" s="1158">
        <f>K19-D19</f>
        <v>-110</v>
      </c>
      <c r="R19" s="1158">
        <f>O19-H19</f>
        <v>-5.5</v>
      </c>
    </row>
    <row r="20" spans="1:18">
      <c r="A20" s="1156" t="s">
        <v>1421</v>
      </c>
      <c r="B20" s="1156"/>
      <c r="C20" s="1156" t="s">
        <v>1532</v>
      </c>
      <c r="D20" s="1157">
        <f>D19</f>
        <v>110</v>
      </c>
      <c r="E20" s="1157"/>
      <c r="F20" s="1157"/>
      <c r="G20" s="1152" t="s">
        <v>1533</v>
      </c>
      <c r="H20" s="1157">
        <v>6</v>
      </c>
      <c r="I20" s="1153"/>
      <c r="J20" s="1156" t="str">
        <f t="shared" si="1"/>
        <v>Rs./kW/month</v>
      </c>
      <c r="K20" s="1157"/>
      <c r="L20" s="1157"/>
      <c r="M20" s="1157"/>
      <c r="N20" s="1152" t="str">
        <f t="shared" si="0"/>
        <v>Rs/kWh</v>
      </c>
      <c r="O20" s="1157"/>
      <c r="P20" s="1153"/>
      <c r="Q20" s="1158">
        <f>K20-D20</f>
        <v>-110</v>
      </c>
      <c r="R20" s="1158">
        <f>O20-H20</f>
        <v>-6</v>
      </c>
    </row>
    <row r="21" spans="1:18">
      <c r="A21" s="1156" t="s">
        <v>1422</v>
      </c>
      <c r="B21" s="1156"/>
      <c r="C21" s="1156" t="s">
        <v>1532</v>
      </c>
      <c r="D21" s="1157">
        <f>D20</f>
        <v>110</v>
      </c>
      <c r="E21" s="1157" t="s">
        <v>1534</v>
      </c>
      <c r="F21" s="1157">
        <v>600</v>
      </c>
      <c r="G21" s="1152" t="s">
        <v>1533</v>
      </c>
      <c r="H21" s="1157">
        <v>6.5</v>
      </c>
      <c r="I21" s="1153"/>
      <c r="J21" s="1156" t="str">
        <f t="shared" si="1"/>
        <v>Rs./kW/month</v>
      </c>
      <c r="K21" s="1157"/>
      <c r="L21" s="1157" t="str">
        <f t="shared" si="0"/>
        <v>Apr to Sept</v>
      </c>
      <c r="M21" s="1157"/>
      <c r="N21" s="1152" t="str">
        <f t="shared" si="0"/>
        <v>Rs/kWh</v>
      </c>
      <c r="O21" s="1157"/>
      <c r="P21" s="1153"/>
      <c r="Q21" s="1158">
        <f>K21-D21</f>
        <v>-110</v>
      </c>
      <c r="R21" s="1158">
        <f>O21-H21</f>
        <v>-6.5</v>
      </c>
    </row>
    <row r="22" spans="1:18">
      <c r="A22" s="1156" t="s">
        <v>1423</v>
      </c>
      <c r="B22" s="1156"/>
      <c r="C22" s="1156" t="s">
        <v>1532</v>
      </c>
      <c r="D22" s="1157">
        <f>D21</f>
        <v>110</v>
      </c>
      <c r="E22" s="1157" t="s">
        <v>1535</v>
      </c>
      <c r="F22" s="1157">
        <v>475</v>
      </c>
      <c r="G22" s="1152" t="s">
        <v>1533</v>
      </c>
      <c r="H22" s="1157">
        <v>7</v>
      </c>
      <c r="I22" s="1153"/>
      <c r="J22" s="1156" t="str">
        <f t="shared" si="1"/>
        <v>Rs./kW/month</v>
      </c>
      <c r="K22" s="1157"/>
      <c r="L22" s="1157" t="str">
        <f t="shared" si="0"/>
        <v>Oct to Mar</v>
      </c>
      <c r="M22" s="1157"/>
      <c r="N22" s="1152" t="str">
        <f t="shared" si="0"/>
        <v>Rs/kWh</v>
      </c>
      <c r="O22" s="1157"/>
      <c r="P22" s="1153"/>
      <c r="Q22" s="1158">
        <f>K22-D22</f>
        <v>-110</v>
      </c>
      <c r="R22" s="1158">
        <f>O22-H22</f>
        <v>-7</v>
      </c>
    </row>
    <row r="23" spans="1:18">
      <c r="A23" s="1154" t="s">
        <v>1425</v>
      </c>
      <c r="B23" s="1154"/>
      <c r="C23" s="1154"/>
      <c r="D23" s="1159"/>
      <c r="E23" s="1159"/>
      <c r="F23" s="1159"/>
      <c r="G23" s="1155"/>
      <c r="H23" s="1159"/>
      <c r="I23" s="1153"/>
      <c r="J23" s="1154"/>
      <c r="K23" s="1159"/>
      <c r="L23" s="1159"/>
      <c r="M23" s="1159"/>
      <c r="N23" s="1155"/>
      <c r="O23" s="1159"/>
      <c r="P23" s="1153"/>
      <c r="Q23" s="1159"/>
      <c r="R23" s="1159"/>
    </row>
    <row r="24" spans="1:18">
      <c r="A24" s="1154"/>
      <c r="B24" s="1154"/>
      <c r="C24" s="1154"/>
      <c r="D24" s="1157"/>
      <c r="E24" s="1157"/>
      <c r="F24" s="1157"/>
      <c r="G24" s="1152"/>
      <c r="H24" s="1157"/>
      <c r="I24" s="1153"/>
      <c r="J24" s="1154"/>
      <c r="K24" s="1157"/>
      <c r="L24" s="1157"/>
      <c r="M24" s="1157"/>
      <c r="N24" s="1152"/>
      <c r="O24" s="1157"/>
      <c r="P24" s="1153"/>
      <c r="Q24" s="1157"/>
      <c r="R24" s="1157"/>
    </row>
    <row r="25" spans="1:18">
      <c r="A25" s="1172" t="s">
        <v>1398</v>
      </c>
      <c r="B25" s="1166"/>
      <c r="C25" s="1155"/>
      <c r="D25" s="1157"/>
      <c r="E25" s="1157"/>
      <c r="F25" s="1157"/>
      <c r="G25" s="1152"/>
      <c r="H25" s="1157"/>
      <c r="I25" s="1153"/>
      <c r="J25" s="1155"/>
      <c r="K25" s="1157"/>
      <c r="L25" s="1157"/>
      <c r="M25" s="1157"/>
      <c r="N25" s="1152"/>
      <c r="O25" s="1157"/>
      <c r="P25" s="1153"/>
      <c r="Q25" s="1157"/>
      <c r="R25" s="1157"/>
    </row>
    <row r="26" spans="1:18">
      <c r="A26" s="1172" t="s">
        <v>1051</v>
      </c>
      <c r="B26" s="1166"/>
      <c r="C26" s="1155" t="s">
        <v>1532</v>
      </c>
      <c r="D26" s="1159">
        <v>1000</v>
      </c>
      <c r="E26" s="1159"/>
      <c r="F26" s="1159"/>
      <c r="G26" s="1155" t="s">
        <v>1533</v>
      </c>
      <c r="H26" s="1159">
        <v>0</v>
      </c>
      <c r="I26" s="1153"/>
      <c r="J26" s="1155" t="str">
        <f t="shared" si="1"/>
        <v>Rs./kW/month</v>
      </c>
      <c r="K26" s="1159"/>
      <c r="L26" s="1159"/>
      <c r="M26" s="1159"/>
      <c r="N26" s="1155" t="str">
        <f t="shared" ref="N26:N72" si="4">G26</f>
        <v>Rs/kWh</v>
      </c>
      <c r="O26" s="1159"/>
      <c r="P26" s="1153"/>
      <c r="Q26" s="1158">
        <f>K26-D26</f>
        <v>-1000</v>
      </c>
      <c r="R26" s="1158">
        <f>O26-H26</f>
        <v>0</v>
      </c>
    </row>
    <row r="27" spans="1:18">
      <c r="A27" s="1172" t="s">
        <v>1052</v>
      </c>
      <c r="B27" s="1166"/>
      <c r="C27" s="1155" t="s">
        <v>1532</v>
      </c>
      <c r="D27" s="1159">
        <v>110</v>
      </c>
      <c r="E27" s="1159"/>
      <c r="F27" s="1159"/>
      <c r="G27" s="1155" t="s">
        <v>1533</v>
      </c>
      <c r="H27" s="1159">
        <v>5.5</v>
      </c>
      <c r="I27" s="1153"/>
      <c r="J27" s="1155" t="str">
        <f t="shared" si="1"/>
        <v>Rs./kW/month</v>
      </c>
      <c r="K27" s="1159"/>
      <c r="L27" s="1159"/>
      <c r="M27" s="1159"/>
      <c r="N27" s="1155" t="str">
        <f t="shared" si="4"/>
        <v>Rs/kWh</v>
      </c>
      <c r="O27" s="1159"/>
      <c r="P27" s="1153"/>
      <c r="Q27" s="1158">
        <f>K27-D27</f>
        <v>-110</v>
      </c>
      <c r="R27" s="1158">
        <f>O27-H27</f>
        <v>-5.5</v>
      </c>
    </row>
    <row r="28" spans="1:18">
      <c r="A28" s="1172" t="s">
        <v>1399</v>
      </c>
      <c r="B28" s="1166"/>
      <c r="C28" s="1155" t="s">
        <v>1532</v>
      </c>
      <c r="D28" s="1159">
        <v>1800</v>
      </c>
      <c r="E28" s="1159"/>
      <c r="F28" s="1159"/>
      <c r="G28" s="1155" t="s">
        <v>1533</v>
      </c>
      <c r="H28" s="1159">
        <v>18</v>
      </c>
      <c r="I28" s="1153"/>
      <c r="J28" s="1155" t="str">
        <f t="shared" si="1"/>
        <v>Rs./kW/month</v>
      </c>
      <c r="K28" s="1159"/>
      <c r="L28" s="1159"/>
      <c r="M28" s="1159"/>
      <c r="N28" s="1155" t="str">
        <f t="shared" si="4"/>
        <v>Rs/kWh</v>
      </c>
      <c r="O28" s="1159"/>
      <c r="P28" s="1153"/>
      <c r="Q28" s="1158">
        <f>K28-D28</f>
        <v>-1800</v>
      </c>
      <c r="R28" s="1158">
        <f>O28-H28</f>
        <v>-18</v>
      </c>
    </row>
    <row r="29" spans="1:18">
      <c r="A29" s="1172" t="s">
        <v>1054</v>
      </c>
      <c r="B29" s="1166"/>
      <c r="C29" s="1155"/>
      <c r="D29" s="1159"/>
      <c r="E29" s="1159"/>
      <c r="F29" s="1159"/>
      <c r="G29" s="1155"/>
      <c r="H29" s="1159"/>
      <c r="I29" s="1153"/>
      <c r="J29" s="1155"/>
      <c r="K29" s="1159"/>
      <c r="L29" s="1159"/>
      <c r="M29" s="1159"/>
      <c r="N29" s="1155"/>
      <c r="O29" s="1159"/>
      <c r="P29" s="1153"/>
      <c r="Q29" s="1159"/>
      <c r="R29" s="1159"/>
    </row>
    <row r="30" spans="1:18">
      <c r="A30" s="1172" t="s">
        <v>1536</v>
      </c>
      <c r="B30" s="1166"/>
      <c r="C30" s="1152"/>
      <c r="D30" s="1157"/>
      <c r="E30" s="1157"/>
      <c r="F30" s="1157"/>
      <c r="G30" s="1152"/>
      <c r="H30" s="1157"/>
      <c r="I30" s="1153"/>
      <c r="J30" s="1152"/>
      <c r="K30" s="1157"/>
      <c r="L30" s="1157"/>
      <c r="M30" s="1157"/>
      <c r="N30" s="1152"/>
      <c r="O30" s="1157"/>
      <c r="P30" s="1153"/>
      <c r="Q30" s="1157"/>
      <c r="R30" s="1157"/>
    </row>
    <row r="31" spans="1:18">
      <c r="A31" s="1173" t="s">
        <v>1055</v>
      </c>
      <c r="B31" s="1167" t="s">
        <v>1536</v>
      </c>
      <c r="C31" s="1152" t="s">
        <v>1532</v>
      </c>
      <c r="D31" s="1157">
        <v>330</v>
      </c>
      <c r="E31" s="1157"/>
      <c r="F31" s="1157"/>
      <c r="G31" s="1152" t="s">
        <v>1533</v>
      </c>
      <c r="H31" s="1157">
        <v>7.5</v>
      </c>
      <c r="I31" s="1153"/>
      <c r="J31" s="1152" t="str">
        <f t="shared" si="1"/>
        <v>Rs./kW/month</v>
      </c>
      <c r="K31" s="1157"/>
      <c r="L31" s="1157"/>
      <c r="M31" s="1157"/>
      <c r="N31" s="1152" t="str">
        <f t="shared" si="4"/>
        <v>Rs/kWh</v>
      </c>
      <c r="O31" s="1157"/>
      <c r="P31" s="1153"/>
      <c r="Q31" s="1158">
        <f>K31-D31</f>
        <v>-330</v>
      </c>
      <c r="R31" s="1158">
        <f>O31-H31</f>
        <v>-7.5</v>
      </c>
    </row>
    <row r="32" spans="1:18">
      <c r="A32" s="1173" t="s">
        <v>1056</v>
      </c>
      <c r="B32" s="1167" t="s">
        <v>1536</v>
      </c>
      <c r="C32" s="1152" t="s">
        <v>1532</v>
      </c>
      <c r="D32" s="1157">
        <f>D31</f>
        <v>330</v>
      </c>
      <c r="E32" s="1157"/>
      <c r="F32" s="1157"/>
      <c r="G32" s="1152" t="s">
        <v>1533</v>
      </c>
      <c r="H32" s="1157">
        <v>8.4</v>
      </c>
      <c r="I32" s="1153"/>
      <c r="J32" s="1152" t="str">
        <f t="shared" si="1"/>
        <v>Rs./kW/month</v>
      </c>
      <c r="K32" s="1157"/>
      <c r="L32" s="1157"/>
      <c r="M32" s="1157"/>
      <c r="N32" s="1152" t="str">
        <f t="shared" si="4"/>
        <v>Rs/kWh</v>
      </c>
      <c r="O32" s="1157"/>
      <c r="P32" s="1153"/>
      <c r="Q32" s="1158">
        <f>K32-D32</f>
        <v>-330</v>
      </c>
      <c r="R32" s="1158">
        <f>O32-H32</f>
        <v>-8.4</v>
      </c>
    </row>
    <row r="33" spans="1:18">
      <c r="A33" s="1173" t="s">
        <v>1057</v>
      </c>
      <c r="B33" s="1167" t="s">
        <v>1536</v>
      </c>
      <c r="C33" s="1152" t="s">
        <v>1532</v>
      </c>
      <c r="D33" s="1157">
        <f>D32</f>
        <v>330</v>
      </c>
      <c r="E33" s="1157"/>
      <c r="F33" s="1157"/>
      <c r="G33" s="1152" t="s">
        <v>1533</v>
      </c>
      <c r="H33" s="1157">
        <v>8.75</v>
      </c>
      <c r="I33" s="1153"/>
      <c r="J33" s="1152" t="str">
        <f t="shared" si="1"/>
        <v>Rs./kW/month</v>
      </c>
      <c r="K33" s="1157"/>
      <c r="L33" s="1157"/>
      <c r="M33" s="1157"/>
      <c r="N33" s="1152" t="str">
        <f t="shared" si="4"/>
        <v>Rs/kWh</v>
      </c>
      <c r="O33" s="1157"/>
      <c r="P33" s="1153"/>
      <c r="Q33" s="1158">
        <f>K33-D33</f>
        <v>-330</v>
      </c>
      <c r="R33" s="1158">
        <f>O33-H33</f>
        <v>-8.75</v>
      </c>
    </row>
    <row r="34" spans="1:18">
      <c r="A34" s="1172" t="s">
        <v>1537</v>
      </c>
      <c r="B34" s="1167"/>
      <c r="C34" s="1152"/>
      <c r="D34" s="1157"/>
      <c r="E34" s="1157"/>
      <c r="F34" s="1157"/>
      <c r="G34" s="1152"/>
      <c r="H34" s="1157"/>
      <c r="I34" s="1153"/>
      <c r="J34" s="1152"/>
      <c r="K34" s="1157"/>
      <c r="L34" s="1157"/>
      <c r="M34" s="1157"/>
      <c r="N34" s="1152"/>
      <c r="O34" s="1157"/>
      <c r="P34" s="1153"/>
      <c r="Q34" s="1157"/>
      <c r="R34" s="1157"/>
    </row>
    <row r="35" spans="1:18">
      <c r="A35" s="1173" t="s">
        <v>1055</v>
      </c>
      <c r="B35" s="1167" t="s">
        <v>1537</v>
      </c>
      <c r="C35" s="1152" t="s">
        <v>1532</v>
      </c>
      <c r="D35" s="1157">
        <v>390</v>
      </c>
      <c r="E35" s="1157"/>
      <c r="F35" s="1157"/>
      <c r="G35" s="1152" t="s">
        <v>1533</v>
      </c>
      <c r="H35" s="1157">
        <f>H31</f>
        <v>7.5</v>
      </c>
      <c r="I35" s="1153"/>
      <c r="J35" s="1152" t="str">
        <f t="shared" si="1"/>
        <v>Rs./kW/month</v>
      </c>
      <c r="K35" s="1157"/>
      <c r="L35" s="1157"/>
      <c r="M35" s="1157"/>
      <c r="N35" s="1152" t="str">
        <f t="shared" si="4"/>
        <v>Rs/kWh</v>
      </c>
      <c r="O35" s="1157"/>
      <c r="P35" s="1153"/>
      <c r="Q35" s="1158">
        <f>K35-D35</f>
        <v>-390</v>
      </c>
      <c r="R35" s="1158">
        <f>O35-H35</f>
        <v>-7.5</v>
      </c>
    </row>
    <row r="36" spans="1:18">
      <c r="A36" s="1173" t="s">
        <v>1056</v>
      </c>
      <c r="B36" s="1167" t="s">
        <v>1537</v>
      </c>
      <c r="C36" s="1152" t="s">
        <v>1532</v>
      </c>
      <c r="D36" s="1157">
        <f>D35</f>
        <v>390</v>
      </c>
      <c r="E36" s="1157"/>
      <c r="F36" s="1157"/>
      <c r="G36" s="1152" t="s">
        <v>1533</v>
      </c>
      <c r="H36" s="1157">
        <f>H32</f>
        <v>8.4</v>
      </c>
      <c r="I36" s="1153"/>
      <c r="J36" s="1152" t="str">
        <f t="shared" si="1"/>
        <v>Rs./kW/month</v>
      </c>
      <c r="K36" s="1157"/>
      <c r="L36" s="1157"/>
      <c r="M36" s="1157"/>
      <c r="N36" s="1152" t="str">
        <f t="shared" si="4"/>
        <v>Rs/kWh</v>
      </c>
      <c r="O36" s="1157"/>
      <c r="P36" s="1153"/>
      <c r="Q36" s="1158">
        <f>K36-D36</f>
        <v>-390</v>
      </c>
      <c r="R36" s="1158">
        <f>O36-H36</f>
        <v>-8.4</v>
      </c>
    </row>
    <row r="37" spans="1:18">
      <c r="A37" s="1173" t="s">
        <v>1057</v>
      </c>
      <c r="B37" s="1167" t="s">
        <v>1537</v>
      </c>
      <c r="C37" s="1152" t="s">
        <v>1532</v>
      </c>
      <c r="D37" s="1157">
        <f>D36</f>
        <v>390</v>
      </c>
      <c r="E37" s="1157"/>
      <c r="F37" s="1157"/>
      <c r="G37" s="1152" t="s">
        <v>1533</v>
      </c>
      <c r="H37" s="1157">
        <f>H33</f>
        <v>8.75</v>
      </c>
      <c r="I37" s="1153"/>
      <c r="J37" s="1152" t="str">
        <f t="shared" si="1"/>
        <v>Rs./kW/month</v>
      </c>
      <c r="K37" s="1157"/>
      <c r="L37" s="1157"/>
      <c r="M37" s="1157"/>
      <c r="N37" s="1152" t="str">
        <f t="shared" si="4"/>
        <v>Rs/kWh</v>
      </c>
      <c r="O37" s="1157"/>
      <c r="P37" s="1153"/>
      <c r="Q37" s="1158">
        <f>K37-D37</f>
        <v>-390</v>
      </c>
      <c r="R37" s="1158">
        <f>O37-H37</f>
        <v>-8.75</v>
      </c>
    </row>
    <row r="38" spans="1:18">
      <c r="A38" s="1172" t="s">
        <v>1451</v>
      </c>
      <c r="B38" s="1167"/>
      <c r="C38" s="1152"/>
      <c r="D38" s="1157"/>
      <c r="E38" s="1157"/>
      <c r="F38" s="1157"/>
      <c r="G38" s="1152"/>
      <c r="H38" s="1157"/>
      <c r="I38" s="1153"/>
      <c r="J38" s="1152"/>
      <c r="K38" s="1157"/>
      <c r="L38" s="1157"/>
      <c r="M38" s="1157"/>
      <c r="N38" s="1152"/>
      <c r="O38" s="1157"/>
      <c r="P38" s="1153"/>
      <c r="Q38" s="1157"/>
      <c r="R38" s="1157"/>
    </row>
    <row r="39" spans="1:18">
      <c r="A39" s="1173" t="s">
        <v>1055</v>
      </c>
      <c r="B39" s="1167" t="s">
        <v>1451</v>
      </c>
      <c r="C39" s="1152" t="s">
        <v>1532</v>
      </c>
      <c r="D39" s="1157">
        <v>450</v>
      </c>
      <c r="E39" s="1157"/>
      <c r="F39" s="1157"/>
      <c r="G39" s="1152" t="s">
        <v>1533</v>
      </c>
      <c r="H39" s="1157">
        <f>H35</f>
        <v>7.5</v>
      </c>
      <c r="I39" s="1153"/>
      <c r="J39" s="1152" t="str">
        <f t="shared" si="1"/>
        <v>Rs./kW/month</v>
      </c>
      <c r="K39" s="1157"/>
      <c r="L39" s="1157"/>
      <c r="M39" s="1157"/>
      <c r="N39" s="1152" t="str">
        <f t="shared" si="4"/>
        <v>Rs/kWh</v>
      </c>
      <c r="O39" s="1157"/>
      <c r="P39" s="1153"/>
      <c r="Q39" s="1158">
        <f>K39-D39</f>
        <v>-450</v>
      </c>
      <c r="R39" s="1158">
        <f>O39-H39</f>
        <v>-7.5</v>
      </c>
    </row>
    <row r="40" spans="1:18">
      <c r="A40" s="1173" t="s">
        <v>1056</v>
      </c>
      <c r="B40" s="1167" t="s">
        <v>1451</v>
      </c>
      <c r="C40" s="1152" t="s">
        <v>1532</v>
      </c>
      <c r="D40" s="1157">
        <f>D39</f>
        <v>450</v>
      </c>
      <c r="E40" s="1157"/>
      <c r="F40" s="1157"/>
      <c r="G40" s="1152" t="s">
        <v>1533</v>
      </c>
      <c r="H40" s="1157">
        <f>H36</f>
        <v>8.4</v>
      </c>
      <c r="I40" s="1153"/>
      <c r="J40" s="1152" t="str">
        <f t="shared" si="1"/>
        <v>Rs./kW/month</v>
      </c>
      <c r="K40" s="1157"/>
      <c r="L40" s="1157"/>
      <c r="M40" s="1157"/>
      <c r="N40" s="1152" t="str">
        <f t="shared" si="4"/>
        <v>Rs/kWh</v>
      </c>
      <c r="O40" s="1157"/>
      <c r="P40" s="1153"/>
      <c r="Q40" s="1158">
        <f>K40-D40</f>
        <v>-450</v>
      </c>
      <c r="R40" s="1158">
        <f>O40-H40</f>
        <v>-8.4</v>
      </c>
    </row>
    <row r="41" spans="1:18">
      <c r="A41" s="1173" t="s">
        <v>1057</v>
      </c>
      <c r="B41" s="1167" t="s">
        <v>1451</v>
      </c>
      <c r="C41" s="1152" t="s">
        <v>1532</v>
      </c>
      <c r="D41" s="1157">
        <f>D40</f>
        <v>450</v>
      </c>
      <c r="E41" s="1157"/>
      <c r="F41" s="1157"/>
      <c r="G41" s="1152" t="s">
        <v>1533</v>
      </c>
      <c r="H41" s="1157">
        <f>H37</f>
        <v>8.75</v>
      </c>
      <c r="I41" s="1153"/>
      <c r="J41" s="1152" t="str">
        <f t="shared" si="1"/>
        <v>Rs./kW/month</v>
      </c>
      <c r="K41" s="1157"/>
      <c r="L41" s="1157"/>
      <c r="M41" s="1157"/>
      <c r="N41" s="1152" t="str">
        <f t="shared" si="4"/>
        <v>Rs/kWh</v>
      </c>
      <c r="O41" s="1157"/>
      <c r="P41" s="1153"/>
      <c r="Q41" s="1158">
        <f>K41-D41</f>
        <v>-450</v>
      </c>
      <c r="R41" s="1158">
        <f>O41-H41</f>
        <v>-8.75</v>
      </c>
    </row>
    <row r="42" spans="1:18">
      <c r="A42" s="1154" t="s">
        <v>1425</v>
      </c>
      <c r="B42" s="1154"/>
      <c r="C42" s="1154"/>
      <c r="D42" s="1159"/>
      <c r="E42" s="1159"/>
      <c r="F42" s="1159"/>
      <c r="G42" s="1155"/>
      <c r="H42" s="1159"/>
      <c r="I42" s="1153"/>
      <c r="J42" s="1154"/>
      <c r="K42" s="1159"/>
      <c r="L42" s="1159"/>
      <c r="M42" s="1159"/>
      <c r="N42" s="1155"/>
      <c r="O42" s="1159"/>
      <c r="P42" s="1153"/>
      <c r="Q42" s="1159"/>
      <c r="R42" s="1159"/>
    </row>
    <row r="43" spans="1:18">
      <c r="A43" s="1173"/>
      <c r="B43" s="1167"/>
      <c r="C43" s="1152"/>
      <c r="D43" s="1157"/>
      <c r="E43" s="1157"/>
      <c r="F43" s="1157"/>
      <c r="G43" s="1152"/>
      <c r="H43" s="1157"/>
      <c r="I43" s="1153"/>
      <c r="J43" s="1152"/>
      <c r="K43" s="1157"/>
      <c r="L43" s="1157"/>
      <c r="M43" s="1157"/>
      <c r="N43" s="1152"/>
      <c r="O43" s="1157"/>
      <c r="P43" s="1153"/>
      <c r="Q43" s="1157"/>
      <c r="R43" s="1157"/>
    </row>
    <row r="44" spans="1:18">
      <c r="A44" s="1172" t="s">
        <v>1400</v>
      </c>
      <c r="B44" s="1166"/>
      <c r="C44" s="1155"/>
      <c r="D44" s="1157"/>
      <c r="E44" s="1157"/>
      <c r="F44" s="1157"/>
      <c r="G44" s="1152"/>
      <c r="H44" s="1157"/>
      <c r="I44" s="1153"/>
      <c r="J44" s="1155"/>
      <c r="K44" s="1157"/>
      <c r="L44" s="1157"/>
      <c r="M44" s="1157"/>
      <c r="N44" s="1152"/>
      <c r="O44" s="1157"/>
      <c r="P44" s="1153"/>
      <c r="Q44" s="1157"/>
      <c r="R44" s="1157"/>
    </row>
    <row r="45" spans="1:18">
      <c r="A45" s="1172" t="s">
        <v>1401</v>
      </c>
      <c r="B45" s="1166"/>
      <c r="C45" s="1155"/>
      <c r="D45" s="1159"/>
      <c r="E45" s="1159"/>
      <c r="F45" s="1159"/>
      <c r="G45" s="1155"/>
      <c r="H45" s="1159"/>
      <c r="I45" s="1153"/>
      <c r="J45" s="1155"/>
      <c r="K45" s="1159"/>
      <c r="L45" s="1159"/>
      <c r="M45" s="1159"/>
      <c r="N45" s="1155"/>
      <c r="O45" s="1159"/>
      <c r="P45" s="1153"/>
      <c r="Q45" s="1159"/>
      <c r="R45" s="1159"/>
    </row>
    <row r="46" spans="1:18">
      <c r="A46" s="1173" t="s">
        <v>1060</v>
      </c>
      <c r="B46" s="1166"/>
      <c r="C46" s="1152" t="s">
        <v>1532</v>
      </c>
      <c r="D46" s="1157">
        <v>2100</v>
      </c>
      <c r="E46" s="1157"/>
      <c r="F46" s="1157"/>
      <c r="G46" s="1152" t="s">
        <v>1533</v>
      </c>
      <c r="H46" s="1157">
        <f>H42</f>
        <v>0</v>
      </c>
      <c r="I46" s="1153"/>
      <c r="J46" s="1152" t="str">
        <f t="shared" si="1"/>
        <v>Rs./kW/month</v>
      </c>
      <c r="K46" s="1157"/>
      <c r="L46" s="1157"/>
      <c r="M46" s="1157"/>
      <c r="N46" s="1152" t="str">
        <f t="shared" si="4"/>
        <v>Rs/kWh</v>
      </c>
      <c r="O46" s="1157"/>
      <c r="P46" s="1153"/>
      <c r="Q46" s="1158">
        <f>K46-D46</f>
        <v>-2100</v>
      </c>
      <c r="R46" s="1158">
        <f>O46-H46</f>
        <v>0</v>
      </c>
    </row>
    <row r="47" spans="1:18">
      <c r="A47" s="1173" t="s">
        <v>1061</v>
      </c>
      <c r="B47" s="1166"/>
      <c r="C47" s="1152" t="s">
        <v>1532</v>
      </c>
      <c r="D47" s="1157">
        <v>3200</v>
      </c>
      <c r="E47" s="1157"/>
      <c r="F47" s="1157"/>
      <c r="G47" s="1152" t="s">
        <v>1533</v>
      </c>
      <c r="H47" s="1157">
        <f>H43</f>
        <v>0</v>
      </c>
      <c r="I47" s="1153"/>
      <c r="J47" s="1152" t="str">
        <f t="shared" si="1"/>
        <v>Rs./kW/month</v>
      </c>
      <c r="K47" s="1157"/>
      <c r="L47" s="1157"/>
      <c r="M47" s="1157"/>
      <c r="N47" s="1152" t="str">
        <f t="shared" si="4"/>
        <v>Rs/kWh</v>
      </c>
      <c r="O47" s="1157"/>
      <c r="P47" s="1153"/>
      <c r="Q47" s="1158">
        <f>K47-D47</f>
        <v>-3200</v>
      </c>
      <c r="R47" s="1158">
        <f>O47-H47</f>
        <v>0</v>
      </c>
    </row>
    <row r="48" spans="1:18">
      <c r="A48" s="1173" t="s">
        <v>1062</v>
      </c>
      <c r="B48" s="1166"/>
      <c r="C48" s="1152" t="s">
        <v>1532</v>
      </c>
      <c r="D48" s="1157">
        <v>4200</v>
      </c>
      <c r="E48" s="1157"/>
      <c r="F48" s="1157"/>
      <c r="G48" s="1152" t="s">
        <v>1533</v>
      </c>
      <c r="H48" s="1157">
        <f>H44</f>
        <v>0</v>
      </c>
      <c r="I48" s="1153"/>
      <c r="J48" s="1152" t="str">
        <f t="shared" si="1"/>
        <v>Rs./kW/month</v>
      </c>
      <c r="K48" s="1157"/>
      <c r="L48" s="1157"/>
      <c r="M48" s="1157"/>
      <c r="N48" s="1152" t="str">
        <f t="shared" si="4"/>
        <v>Rs/kWh</v>
      </c>
      <c r="O48" s="1157"/>
      <c r="P48" s="1153"/>
      <c r="Q48" s="1158">
        <f>K48-D48</f>
        <v>-4200</v>
      </c>
      <c r="R48" s="1158">
        <f>O48-H48</f>
        <v>0</v>
      </c>
    </row>
    <row r="49" spans="1:18">
      <c r="A49" s="1172" t="s">
        <v>476</v>
      </c>
      <c r="B49" s="1166"/>
      <c r="C49" s="1155"/>
      <c r="D49" s="1159"/>
      <c r="E49" s="1159"/>
      <c r="F49" s="1159"/>
      <c r="G49" s="1155"/>
      <c r="H49" s="1159"/>
      <c r="I49" s="1153"/>
      <c r="J49" s="1155"/>
      <c r="K49" s="1159"/>
      <c r="L49" s="1159"/>
      <c r="M49" s="1159"/>
      <c r="N49" s="1155"/>
      <c r="O49" s="1159"/>
      <c r="P49" s="1153"/>
      <c r="Q49" s="1159"/>
      <c r="R49" s="1159"/>
    </row>
    <row r="50" spans="1:18">
      <c r="A50" s="1172" t="s">
        <v>1063</v>
      </c>
      <c r="B50" s="1168"/>
      <c r="C50" s="1152"/>
      <c r="D50" s="1157"/>
      <c r="E50" s="1157"/>
      <c r="F50" s="1157"/>
      <c r="G50" s="1152"/>
      <c r="H50" s="1157"/>
      <c r="I50" s="1153"/>
      <c r="J50" s="1152"/>
      <c r="K50" s="1157"/>
      <c r="L50" s="1157"/>
      <c r="M50" s="1157"/>
      <c r="N50" s="1152"/>
      <c r="O50" s="1157"/>
      <c r="P50" s="1153"/>
      <c r="Q50" s="1157"/>
      <c r="R50" s="1157"/>
    </row>
    <row r="51" spans="1:18">
      <c r="A51" s="1173" t="s">
        <v>1538</v>
      </c>
      <c r="B51" s="1162">
        <f>0%</f>
        <v>0</v>
      </c>
      <c r="C51" s="1152" t="s">
        <v>1532</v>
      </c>
      <c r="D51" s="1157">
        <v>200</v>
      </c>
      <c r="E51" s="1157"/>
      <c r="F51" s="1157"/>
      <c r="G51" s="1152" t="s">
        <v>1533</v>
      </c>
      <c r="H51" s="1157">
        <v>7.5</v>
      </c>
      <c r="I51" s="1153"/>
      <c r="J51" s="1152" t="str">
        <f t="shared" si="1"/>
        <v>Rs./kW/month</v>
      </c>
      <c r="K51" s="1157"/>
      <c r="L51" s="1157"/>
      <c r="M51" s="1157"/>
      <c r="N51" s="1152" t="str">
        <f t="shared" si="4"/>
        <v>Rs/kWh</v>
      </c>
      <c r="O51" s="1157"/>
      <c r="P51" s="1153"/>
      <c r="Q51" s="1158">
        <f>K51-D51</f>
        <v>-200</v>
      </c>
      <c r="R51" s="1158">
        <f>O51-H51</f>
        <v>-7.5</v>
      </c>
    </row>
    <row r="52" spans="1:18">
      <c r="A52" s="1173" t="s">
        <v>1539</v>
      </c>
      <c r="B52" s="1162">
        <f>20%</f>
        <v>0.2</v>
      </c>
      <c r="C52" s="1152" t="s">
        <v>1532</v>
      </c>
      <c r="D52" s="1157">
        <v>200</v>
      </c>
      <c r="E52" s="1157"/>
      <c r="F52" s="1157"/>
      <c r="G52" s="1152" t="s">
        <v>1533</v>
      </c>
      <c r="H52" s="1157">
        <f>H51*(1+B52)</f>
        <v>9</v>
      </c>
      <c r="I52" s="1153"/>
      <c r="J52" s="1152" t="str">
        <f t="shared" si="1"/>
        <v>Rs./kW/month</v>
      </c>
      <c r="K52" s="1157"/>
      <c r="L52" s="1157"/>
      <c r="M52" s="1157"/>
      <c r="N52" s="1152" t="str">
        <f t="shared" si="4"/>
        <v>Rs/kWh</v>
      </c>
      <c r="O52" s="1157"/>
      <c r="P52" s="1153"/>
      <c r="Q52" s="1158">
        <f>K52-D52</f>
        <v>-200</v>
      </c>
      <c r="R52" s="1158">
        <f>O52-H52</f>
        <v>-9</v>
      </c>
    </row>
    <row r="53" spans="1:18">
      <c r="A53" s="1172" t="s">
        <v>1064</v>
      </c>
      <c r="B53" s="1168"/>
      <c r="C53" s="1152"/>
      <c r="D53" s="1157"/>
      <c r="E53" s="1157"/>
      <c r="F53" s="1157"/>
      <c r="G53" s="1152"/>
      <c r="H53" s="1157"/>
      <c r="I53" s="1153"/>
      <c r="J53" s="1152"/>
      <c r="K53" s="1157"/>
      <c r="L53" s="1157"/>
      <c r="M53" s="1157"/>
      <c r="N53" s="1152"/>
      <c r="O53" s="1157"/>
      <c r="P53" s="1153"/>
      <c r="Q53" s="1157"/>
      <c r="R53" s="1157"/>
    </row>
    <row r="54" spans="1:18">
      <c r="A54" s="1173" t="s">
        <v>1538</v>
      </c>
      <c r="B54" s="1162">
        <f>0%</f>
        <v>0</v>
      </c>
      <c r="C54" s="1152" t="s">
        <v>1532</v>
      </c>
      <c r="D54" s="1157">
        <v>250</v>
      </c>
      <c r="E54" s="1157"/>
      <c r="F54" s="1157"/>
      <c r="G54" s="1152" t="s">
        <v>1533</v>
      </c>
      <c r="H54" s="1157">
        <v>8</v>
      </c>
      <c r="I54" s="1153"/>
      <c r="J54" s="1152" t="str">
        <f t="shared" si="1"/>
        <v>Rs./kW/month</v>
      </c>
      <c r="K54" s="1157"/>
      <c r="L54" s="1157"/>
      <c r="M54" s="1157"/>
      <c r="N54" s="1152" t="str">
        <f t="shared" si="4"/>
        <v>Rs/kWh</v>
      </c>
      <c r="O54" s="1157"/>
      <c r="P54" s="1153"/>
      <c r="Q54" s="1158">
        <f>K54-D54</f>
        <v>-250</v>
      </c>
      <c r="R54" s="1158">
        <f>O54-H54</f>
        <v>-8</v>
      </c>
    </row>
    <row r="55" spans="1:18">
      <c r="A55" s="1173" t="s">
        <v>1539</v>
      </c>
      <c r="B55" s="1162">
        <f>20%</f>
        <v>0.2</v>
      </c>
      <c r="C55" s="1152" t="s">
        <v>1532</v>
      </c>
      <c r="D55" s="1157">
        <v>250</v>
      </c>
      <c r="E55" s="1157"/>
      <c r="F55" s="1157"/>
      <c r="G55" s="1152" t="s">
        <v>1533</v>
      </c>
      <c r="H55" s="1157">
        <f>H54*(1+B55)</f>
        <v>9.6</v>
      </c>
      <c r="I55" s="1153"/>
      <c r="J55" s="1152" t="str">
        <f t="shared" si="1"/>
        <v>Rs./kW/month</v>
      </c>
      <c r="K55" s="1157"/>
      <c r="L55" s="1157"/>
      <c r="M55" s="1157"/>
      <c r="N55" s="1152" t="str">
        <f t="shared" si="4"/>
        <v>Rs/kWh</v>
      </c>
      <c r="O55" s="1157"/>
      <c r="P55" s="1153"/>
      <c r="Q55" s="1158">
        <f>K55-D55</f>
        <v>-250</v>
      </c>
      <c r="R55" s="1158">
        <f>O55-H55</f>
        <v>-9.6</v>
      </c>
    </row>
    <row r="56" spans="1:18">
      <c r="A56" s="1172" t="s">
        <v>1065</v>
      </c>
      <c r="B56" s="1166"/>
      <c r="C56" s="1152"/>
      <c r="D56" s="1157"/>
      <c r="E56" s="1157"/>
      <c r="F56" s="1157"/>
      <c r="G56" s="1152"/>
      <c r="H56" s="1157"/>
      <c r="I56" s="1153"/>
      <c r="J56" s="1152"/>
      <c r="K56" s="1157"/>
      <c r="L56" s="1157"/>
      <c r="M56" s="1157"/>
      <c r="N56" s="1152"/>
      <c r="O56" s="1157"/>
      <c r="P56" s="1153"/>
      <c r="Q56" s="1157"/>
      <c r="R56" s="1157"/>
    </row>
    <row r="57" spans="1:18">
      <c r="A57" s="1173" t="s">
        <v>1538</v>
      </c>
      <c r="B57" s="1162">
        <f>0%</f>
        <v>0</v>
      </c>
      <c r="C57" s="1152" t="s">
        <v>1532</v>
      </c>
      <c r="D57" s="1157">
        <f>D55</f>
        <v>250</v>
      </c>
      <c r="E57" s="1157"/>
      <c r="F57" s="1157"/>
      <c r="G57" s="1152" t="s">
        <v>1533</v>
      </c>
      <c r="H57" s="1157">
        <v>8.5</v>
      </c>
      <c r="I57" s="1153"/>
      <c r="J57" s="1152" t="str">
        <f t="shared" si="1"/>
        <v>Rs./kW/month</v>
      </c>
      <c r="K57" s="1157"/>
      <c r="L57" s="1157"/>
      <c r="M57" s="1157"/>
      <c r="N57" s="1152" t="str">
        <f t="shared" si="4"/>
        <v>Rs/kWh</v>
      </c>
      <c r="O57" s="1157"/>
      <c r="P57" s="1153"/>
      <c r="Q57" s="1158">
        <f>K57-D57</f>
        <v>-250</v>
      </c>
      <c r="R57" s="1158">
        <f>O57-H57</f>
        <v>-8.5</v>
      </c>
    </row>
    <row r="58" spans="1:18">
      <c r="A58" s="1173" t="s">
        <v>1539</v>
      </c>
      <c r="B58" s="1162">
        <f>20%</f>
        <v>0.2</v>
      </c>
      <c r="C58" s="1152" t="s">
        <v>1532</v>
      </c>
      <c r="D58" s="1157">
        <f>D57</f>
        <v>250</v>
      </c>
      <c r="E58" s="1157"/>
      <c r="F58" s="1157"/>
      <c r="G58" s="1152" t="s">
        <v>1533</v>
      </c>
      <c r="H58" s="1157">
        <f>H57*(1+B58)</f>
        <v>10.199999999999999</v>
      </c>
      <c r="I58" s="1153"/>
      <c r="J58" s="1152" t="str">
        <f t="shared" si="1"/>
        <v>Rs./kW/month</v>
      </c>
      <c r="K58" s="1157"/>
      <c r="L58" s="1157"/>
      <c r="M58" s="1157"/>
      <c r="N58" s="1152" t="str">
        <f t="shared" si="4"/>
        <v>Rs/kWh</v>
      </c>
      <c r="O58" s="1157"/>
      <c r="P58" s="1153"/>
      <c r="Q58" s="1158">
        <f>K58-D58</f>
        <v>-250</v>
      </c>
      <c r="R58" s="1158">
        <f>O58-H58</f>
        <v>-10.199999999999999</v>
      </c>
    </row>
    <row r="59" spans="1:18">
      <c r="A59" s="1154" t="s">
        <v>1425</v>
      </c>
      <c r="B59" s="1154"/>
      <c r="C59" s="1154"/>
      <c r="D59" s="1159"/>
      <c r="E59" s="1159"/>
      <c r="F59" s="1159"/>
      <c r="G59" s="1155"/>
      <c r="H59" s="1159"/>
      <c r="I59" s="1153"/>
      <c r="J59" s="1154"/>
      <c r="K59" s="1159"/>
      <c r="L59" s="1159"/>
      <c r="M59" s="1159"/>
      <c r="N59" s="1155"/>
      <c r="O59" s="1159"/>
      <c r="P59" s="1153"/>
      <c r="Q59" s="1159"/>
      <c r="R59" s="1159"/>
    </row>
    <row r="60" spans="1:18">
      <c r="A60" s="1173"/>
      <c r="B60" s="1167"/>
      <c r="C60" s="1152"/>
      <c r="D60" s="1157"/>
      <c r="E60" s="1157"/>
      <c r="F60" s="1157"/>
      <c r="G60" s="1152"/>
      <c r="H60" s="1157"/>
      <c r="I60" s="1153"/>
      <c r="J60" s="1152"/>
      <c r="K60" s="1157"/>
      <c r="L60" s="1157"/>
      <c r="M60" s="1157"/>
      <c r="N60" s="1152"/>
      <c r="O60" s="1157"/>
      <c r="P60" s="1153"/>
      <c r="Q60" s="1157"/>
      <c r="R60" s="1157"/>
    </row>
    <row r="61" spans="1:18">
      <c r="A61" s="1172" t="s">
        <v>1067</v>
      </c>
      <c r="B61" s="1166"/>
      <c r="C61" s="1155"/>
      <c r="D61" s="1157"/>
      <c r="E61" s="1157"/>
      <c r="F61" s="1157"/>
      <c r="G61" s="1152"/>
      <c r="H61" s="1157"/>
      <c r="I61" s="1153"/>
      <c r="J61" s="1155"/>
      <c r="K61" s="1157"/>
      <c r="L61" s="1157"/>
      <c r="M61" s="1157"/>
      <c r="N61" s="1152"/>
      <c r="O61" s="1157"/>
      <c r="P61" s="1153"/>
      <c r="Q61" s="1157"/>
      <c r="R61" s="1157"/>
    </row>
    <row r="62" spans="1:18">
      <c r="A62" s="1172" t="s">
        <v>1068</v>
      </c>
      <c r="B62" s="1166"/>
      <c r="C62" s="1155"/>
      <c r="D62" s="1159"/>
      <c r="E62" s="1159"/>
      <c r="F62" s="1159"/>
      <c r="G62" s="1155"/>
      <c r="H62" s="1159"/>
      <c r="I62" s="1153"/>
      <c r="J62" s="1155"/>
      <c r="K62" s="1159"/>
      <c r="L62" s="1159"/>
      <c r="M62" s="1159"/>
      <c r="N62" s="1155"/>
      <c r="O62" s="1159"/>
      <c r="P62" s="1153"/>
      <c r="Q62" s="1159"/>
      <c r="R62" s="1159"/>
    </row>
    <row r="63" spans="1:18">
      <c r="A63" s="1173" t="s">
        <v>1069</v>
      </c>
      <c r="B63" s="1167"/>
      <c r="C63" s="1152" t="s">
        <v>1532</v>
      </c>
      <c r="D63" s="1157">
        <v>300</v>
      </c>
      <c r="E63" s="1157"/>
      <c r="F63" s="1157"/>
      <c r="G63" s="1152" t="s">
        <v>1533</v>
      </c>
      <c r="H63" s="1157">
        <v>8.25</v>
      </c>
      <c r="I63" s="1153"/>
      <c r="J63" s="1152" t="str">
        <f t="shared" si="1"/>
        <v>Rs./kW/month</v>
      </c>
      <c r="K63" s="1157"/>
      <c r="L63" s="1157"/>
      <c r="M63" s="1157"/>
      <c r="N63" s="1152" t="str">
        <f t="shared" si="4"/>
        <v>Rs/kWh</v>
      </c>
      <c r="O63" s="1157"/>
      <c r="P63" s="1153"/>
      <c r="Q63" s="1158">
        <f>K63-D63</f>
        <v>-300</v>
      </c>
      <c r="R63" s="1158">
        <f>O63-H63</f>
        <v>-8.25</v>
      </c>
    </row>
    <row r="64" spans="1:18">
      <c r="A64" s="1173" t="s">
        <v>1070</v>
      </c>
      <c r="B64" s="1167"/>
      <c r="C64" s="1152" t="s">
        <v>1532</v>
      </c>
      <c r="D64" s="1157">
        <f>D63</f>
        <v>300</v>
      </c>
      <c r="E64" s="1157"/>
      <c r="F64" s="1157"/>
      <c r="G64" s="1152" t="s">
        <v>1533</v>
      </c>
      <c r="H64" s="1157">
        <v>8.5</v>
      </c>
      <c r="I64" s="1153"/>
      <c r="J64" s="1152" t="str">
        <f t="shared" si="1"/>
        <v>Rs./kW/month</v>
      </c>
      <c r="K64" s="1157"/>
      <c r="L64" s="1157"/>
      <c r="M64" s="1157"/>
      <c r="N64" s="1152" t="str">
        <f t="shared" si="4"/>
        <v>Rs/kWh</v>
      </c>
      <c r="O64" s="1157"/>
      <c r="P64" s="1153"/>
      <c r="Q64" s="1158">
        <f>K64-D64</f>
        <v>-300</v>
      </c>
      <c r="R64" s="1158">
        <f>O64-H64</f>
        <v>-8.5</v>
      </c>
    </row>
    <row r="65" spans="1:18">
      <c r="A65" s="1173" t="s">
        <v>1071</v>
      </c>
      <c r="B65" s="1167"/>
      <c r="C65" s="1152" t="s">
        <v>1532</v>
      </c>
      <c r="D65" s="1157">
        <f>D64</f>
        <v>300</v>
      </c>
      <c r="E65" s="1157"/>
      <c r="F65" s="1157"/>
      <c r="G65" s="1152" t="s">
        <v>1533</v>
      </c>
      <c r="H65" s="1157">
        <v>8.75</v>
      </c>
      <c r="I65" s="1153"/>
      <c r="J65" s="1152" t="str">
        <f t="shared" si="1"/>
        <v>Rs./kW/month</v>
      </c>
      <c r="K65" s="1157"/>
      <c r="L65" s="1157"/>
      <c r="M65" s="1157"/>
      <c r="N65" s="1152" t="str">
        <f t="shared" si="4"/>
        <v>Rs/kWh</v>
      </c>
      <c r="O65" s="1157"/>
      <c r="P65" s="1153"/>
      <c r="Q65" s="1158">
        <f>K65-D65</f>
        <v>-300</v>
      </c>
      <c r="R65" s="1158">
        <f>O65-H65</f>
        <v>-8.75</v>
      </c>
    </row>
    <row r="66" spans="1:18">
      <c r="A66" s="1172" t="s">
        <v>1072</v>
      </c>
      <c r="B66" s="1166"/>
      <c r="C66" s="1155"/>
      <c r="D66" s="1159"/>
      <c r="E66" s="1159"/>
      <c r="F66" s="1159"/>
      <c r="G66" s="1155"/>
      <c r="H66" s="1159"/>
      <c r="I66" s="1153"/>
      <c r="J66" s="1155"/>
      <c r="K66" s="1159"/>
      <c r="L66" s="1159"/>
      <c r="M66" s="1159"/>
      <c r="N66" s="1155"/>
      <c r="O66" s="1159"/>
      <c r="P66" s="1153"/>
      <c r="Q66" s="1159"/>
      <c r="R66" s="1159"/>
    </row>
    <row r="67" spans="1:18">
      <c r="A67" s="1172" t="s">
        <v>1540</v>
      </c>
      <c r="B67" s="1167"/>
      <c r="C67" s="1152"/>
      <c r="D67" s="1157"/>
      <c r="E67" s="1157"/>
      <c r="F67" s="1157"/>
      <c r="G67" s="1152"/>
      <c r="H67" s="1157"/>
      <c r="I67" s="1153"/>
      <c r="J67" s="1152"/>
      <c r="K67" s="1157"/>
      <c r="L67" s="1157"/>
      <c r="M67" s="1157"/>
      <c r="N67" s="1152"/>
      <c r="O67" s="1157"/>
      <c r="P67" s="1153"/>
      <c r="Q67" s="1157"/>
      <c r="R67" s="1157"/>
    </row>
    <row r="68" spans="1:18">
      <c r="A68" s="1173" t="s">
        <v>1073</v>
      </c>
      <c r="B68" s="1167" t="s">
        <v>1540</v>
      </c>
      <c r="C68" s="1152" t="s">
        <v>1532</v>
      </c>
      <c r="D68" s="1157">
        <v>350</v>
      </c>
      <c r="E68" s="1157"/>
      <c r="F68" s="1157"/>
      <c r="G68" s="1152" t="s">
        <v>1533</v>
      </c>
      <c r="H68" s="1157">
        <v>9</v>
      </c>
      <c r="I68" s="1153"/>
      <c r="J68" s="1152" t="str">
        <f t="shared" si="1"/>
        <v>Rs./kW/month</v>
      </c>
      <c r="K68" s="1157"/>
      <c r="L68" s="1157"/>
      <c r="M68" s="1157"/>
      <c r="N68" s="1152" t="str">
        <f t="shared" si="4"/>
        <v>Rs/kWh</v>
      </c>
      <c r="O68" s="1157"/>
      <c r="P68" s="1153"/>
      <c r="Q68" s="1158">
        <f>K68-D68</f>
        <v>-350</v>
      </c>
      <c r="R68" s="1158">
        <f>O68-H68</f>
        <v>-9</v>
      </c>
    </row>
    <row r="69" spans="1:18">
      <c r="A69" s="1173" t="s">
        <v>1074</v>
      </c>
      <c r="B69" s="1167" t="s">
        <v>1540</v>
      </c>
      <c r="C69" s="1152" t="s">
        <v>1532</v>
      </c>
      <c r="D69" s="1157">
        <f>D68</f>
        <v>350</v>
      </c>
      <c r="E69" s="1157"/>
      <c r="F69" s="1157"/>
      <c r="G69" s="1152" t="s">
        <v>1533</v>
      </c>
      <c r="H69" s="1157">
        <v>9.3000000000000007</v>
      </c>
      <c r="I69" s="1153"/>
      <c r="J69" s="1152" t="str">
        <f t="shared" si="1"/>
        <v>Rs./kW/month</v>
      </c>
      <c r="K69" s="1157"/>
      <c r="L69" s="1157"/>
      <c r="M69" s="1157"/>
      <c r="N69" s="1152" t="str">
        <f t="shared" si="4"/>
        <v>Rs/kWh</v>
      </c>
      <c r="O69" s="1157"/>
      <c r="P69" s="1153"/>
      <c r="Q69" s="1158">
        <f>K69-D69</f>
        <v>-350</v>
      </c>
      <c r="R69" s="1158">
        <f>O69-H69</f>
        <v>-9.3000000000000007</v>
      </c>
    </row>
    <row r="70" spans="1:18">
      <c r="A70" s="1172" t="s">
        <v>1455</v>
      </c>
      <c r="B70" s="1167"/>
      <c r="C70" s="1152"/>
      <c r="D70" s="1157"/>
      <c r="E70" s="1157"/>
      <c r="F70" s="1157"/>
      <c r="G70" s="1152"/>
      <c r="H70" s="1157"/>
      <c r="I70" s="1153"/>
      <c r="J70" s="1152"/>
      <c r="K70" s="1157"/>
      <c r="L70" s="1157"/>
      <c r="M70" s="1157"/>
      <c r="N70" s="1152"/>
      <c r="O70" s="1157"/>
      <c r="P70" s="1153"/>
      <c r="Q70" s="1157"/>
      <c r="R70" s="1157"/>
    </row>
    <row r="71" spans="1:18">
      <c r="A71" s="1173" t="s">
        <v>1073</v>
      </c>
      <c r="B71" s="1167" t="s">
        <v>1455</v>
      </c>
      <c r="C71" s="1152" t="s">
        <v>1532</v>
      </c>
      <c r="D71" s="1157">
        <v>400</v>
      </c>
      <c r="E71" s="1157"/>
      <c r="F71" s="1157"/>
      <c r="G71" s="1152" t="s">
        <v>1533</v>
      </c>
      <c r="H71" s="1157">
        <f>H68</f>
        <v>9</v>
      </c>
      <c r="I71" s="1153"/>
      <c r="J71" s="1152" t="str">
        <f t="shared" si="1"/>
        <v>Rs./kW/month</v>
      </c>
      <c r="K71" s="1157"/>
      <c r="L71" s="1157"/>
      <c r="M71" s="1157"/>
      <c r="N71" s="1152" t="str">
        <f t="shared" si="4"/>
        <v>Rs/kWh</v>
      </c>
      <c r="O71" s="1157"/>
      <c r="P71" s="1153"/>
      <c r="Q71" s="1158">
        <f>K71-D71</f>
        <v>-400</v>
      </c>
      <c r="R71" s="1158">
        <f>O71-H71</f>
        <v>-9</v>
      </c>
    </row>
    <row r="72" spans="1:18">
      <c r="A72" s="1173" t="s">
        <v>1074</v>
      </c>
      <c r="B72" s="1167" t="s">
        <v>1455</v>
      </c>
      <c r="C72" s="1152" t="s">
        <v>1532</v>
      </c>
      <c r="D72" s="1157">
        <f>D71</f>
        <v>400</v>
      </c>
      <c r="E72" s="1157"/>
      <c r="F72" s="1157"/>
      <c r="G72" s="1152" t="s">
        <v>1533</v>
      </c>
      <c r="H72" s="1157">
        <f>H69</f>
        <v>9.3000000000000007</v>
      </c>
      <c r="I72" s="1153"/>
      <c r="J72" s="1152" t="str">
        <f t="shared" si="1"/>
        <v>Rs./kW/month</v>
      </c>
      <c r="K72" s="1157"/>
      <c r="L72" s="1157"/>
      <c r="M72" s="1157"/>
      <c r="N72" s="1152" t="str">
        <f t="shared" si="4"/>
        <v>Rs/kWh</v>
      </c>
      <c r="O72" s="1157"/>
      <c r="P72" s="1153"/>
      <c r="Q72" s="1158">
        <f>K72-D72</f>
        <v>-400</v>
      </c>
      <c r="R72" s="1158">
        <f>O72-H72</f>
        <v>-9.3000000000000007</v>
      </c>
    </row>
    <row r="73" spans="1:18">
      <c r="A73" s="1154" t="s">
        <v>1425</v>
      </c>
      <c r="B73" s="1154"/>
      <c r="C73" s="1154"/>
      <c r="D73" s="1159"/>
      <c r="E73" s="1159"/>
      <c r="F73" s="1159"/>
      <c r="G73" s="1155"/>
      <c r="H73" s="1159"/>
      <c r="I73" s="1153"/>
      <c r="J73" s="1154"/>
      <c r="K73" s="1159"/>
      <c r="L73" s="1159"/>
      <c r="M73" s="1159"/>
      <c r="N73" s="1155"/>
      <c r="O73" s="1159"/>
      <c r="P73" s="1153"/>
      <c r="Q73" s="1159"/>
      <c r="R73" s="1159"/>
    </row>
    <row r="74" spans="1:18">
      <c r="A74" s="1173"/>
      <c r="B74" s="1167"/>
      <c r="C74" s="1152"/>
      <c r="D74" s="1157"/>
      <c r="E74" s="1157"/>
      <c r="F74" s="1157"/>
      <c r="G74" s="1152"/>
      <c r="H74" s="1157"/>
      <c r="I74" s="1153"/>
      <c r="J74" s="1152"/>
      <c r="K74" s="1157"/>
      <c r="L74" s="1157"/>
      <c r="M74" s="1157"/>
      <c r="N74" s="1152"/>
      <c r="O74" s="1157"/>
      <c r="P74" s="1153"/>
      <c r="Q74" s="1157"/>
      <c r="R74" s="1157"/>
    </row>
    <row r="75" spans="1:18">
      <c r="A75" s="1172" t="s">
        <v>1076</v>
      </c>
      <c r="B75" s="1166"/>
      <c r="C75" s="1155"/>
      <c r="D75" s="1157"/>
      <c r="E75" s="1157"/>
      <c r="F75" s="1157"/>
      <c r="G75" s="1152"/>
      <c r="H75" s="1157"/>
      <c r="I75" s="1153"/>
      <c r="J75" s="1155"/>
      <c r="K75" s="1157"/>
      <c r="L75" s="1157"/>
      <c r="M75" s="1157"/>
      <c r="N75" s="1152"/>
      <c r="O75" s="1157"/>
      <c r="P75" s="1153"/>
      <c r="Q75" s="1157"/>
      <c r="R75" s="1157"/>
    </row>
    <row r="76" spans="1:18">
      <c r="A76" s="1172" t="s">
        <v>1401</v>
      </c>
      <c r="B76" s="1166"/>
      <c r="C76" s="1155"/>
      <c r="D76" s="1159"/>
      <c r="E76" s="1159"/>
      <c r="F76" s="1159"/>
      <c r="G76" s="1155"/>
      <c r="H76" s="1159"/>
      <c r="I76" s="1153"/>
      <c r="J76" s="1155"/>
      <c r="K76" s="1159"/>
      <c r="L76" s="1159"/>
      <c r="M76" s="1159"/>
      <c r="N76" s="1155"/>
      <c r="O76" s="1159"/>
      <c r="P76" s="1153"/>
      <c r="Q76" s="1159"/>
      <c r="R76" s="1159"/>
    </row>
    <row r="77" spans="1:18">
      <c r="A77" s="1173" t="s">
        <v>1077</v>
      </c>
      <c r="B77" s="1166"/>
      <c r="C77" s="1152" t="s">
        <v>1541</v>
      </c>
      <c r="D77" s="1157">
        <v>170</v>
      </c>
      <c r="E77" s="1157"/>
      <c r="F77" s="1157"/>
      <c r="G77" s="1152" t="s">
        <v>1533</v>
      </c>
      <c r="H77" s="1157">
        <v>0</v>
      </c>
      <c r="I77" s="1153"/>
      <c r="J77" s="1152" t="str">
        <f>C77</f>
        <v>Rs./BHP/month</v>
      </c>
      <c r="K77" s="1157"/>
      <c r="L77" s="1157"/>
      <c r="M77" s="1157"/>
      <c r="N77" s="1152" t="str">
        <f t="shared" ref="N77:N135" si="5">G77</f>
        <v>Rs/kWh</v>
      </c>
      <c r="O77" s="1157"/>
      <c r="P77" s="1153"/>
      <c r="Q77" s="1158">
        <f>K77-D77</f>
        <v>-170</v>
      </c>
      <c r="R77" s="1158">
        <f>O77-H77</f>
        <v>0</v>
      </c>
    </row>
    <row r="78" spans="1:18">
      <c r="A78" s="1172" t="s">
        <v>476</v>
      </c>
      <c r="B78" s="1166"/>
      <c r="C78" s="1155"/>
      <c r="D78" s="1159"/>
      <c r="E78" s="1159"/>
      <c r="F78" s="1159"/>
      <c r="G78" s="1155"/>
      <c r="H78" s="1159"/>
      <c r="I78" s="1153"/>
      <c r="J78" s="1155"/>
      <c r="K78" s="1159"/>
      <c r="L78" s="1159"/>
      <c r="M78" s="1159"/>
      <c r="N78" s="1155"/>
      <c r="O78" s="1159"/>
      <c r="P78" s="1153"/>
      <c r="Q78" s="1159"/>
      <c r="R78" s="1159"/>
    </row>
    <row r="79" spans="1:18">
      <c r="A79" s="1173" t="s">
        <v>1078</v>
      </c>
      <c r="B79" s="1166"/>
      <c r="C79" s="1152" t="s">
        <v>1541</v>
      </c>
      <c r="D79" s="1157">
        <v>70</v>
      </c>
      <c r="E79" s="1157" t="s">
        <v>1542</v>
      </c>
      <c r="F79" s="1157">
        <v>160</v>
      </c>
      <c r="G79" s="1152" t="s">
        <v>1533</v>
      </c>
      <c r="H79" s="1157">
        <v>2</v>
      </c>
      <c r="I79" s="1153"/>
      <c r="J79" s="1152" t="str">
        <f t="shared" ref="J79:L80" si="6">C79</f>
        <v>Rs./BHP/month</v>
      </c>
      <c r="K79" s="1157"/>
      <c r="L79" s="1157" t="str">
        <f t="shared" si="6"/>
        <v>Rs/BHP/month</v>
      </c>
      <c r="M79" s="1157"/>
      <c r="N79" s="1152" t="str">
        <f t="shared" si="5"/>
        <v>Rs/kWh</v>
      </c>
      <c r="O79" s="1157"/>
      <c r="P79" s="1153"/>
      <c r="Q79" s="1158">
        <f>K79-D79</f>
        <v>-70</v>
      </c>
      <c r="R79" s="1158">
        <f>O79-H79</f>
        <v>-2</v>
      </c>
    </row>
    <row r="80" spans="1:18">
      <c r="A80" s="1173" t="s">
        <v>1079</v>
      </c>
      <c r="B80" s="1166"/>
      <c r="C80" s="1152" t="s">
        <v>1541</v>
      </c>
      <c r="D80" s="1157">
        <v>130</v>
      </c>
      <c r="E80" s="1157" t="s">
        <v>1542</v>
      </c>
      <c r="F80" s="1157">
        <v>215</v>
      </c>
      <c r="G80" s="1152" t="s">
        <v>1533</v>
      </c>
      <c r="H80" s="1157">
        <v>6</v>
      </c>
      <c r="I80" s="1153"/>
      <c r="J80" s="1152" t="str">
        <f t="shared" si="6"/>
        <v>Rs./BHP/month</v>
      </c>
      <c r="K80" s="1157"/>
      <c r="L80" s="1157" t="str">
        <f t="shared" si="6"/>
        <v>Rs/BHP/month</v>
      </c>
      <c r="M80" s="1157"/>
      <c r="N80" s="1152" t="str">
        <f t="shared" si="5"/>
        <v>Rs/kWh</v>
      </c>
      <c r="O80" s="1157"/>
      <c r="P80" s="1153"/>
      <c r="Q80" s="1158">
        <f>K80-D80</f>
        <v>-130</v>
      </c>
      <c r="R80" s="1158">
        <f>O80-H80</f>
        <v>-6</v>
      </c>
    </row>
    <row r="81" spans="1:18">
      <c r="A81" s="1154" t="s">
        <v>1425</v>
      </c>
      <c r="B81" s="1154"/>
      <c r="C81" s="1154"/>
      <c r="D81" s="1159"/>
      <c r="E81" s="1159"/>
      <c r="F81" s="1159"/>
      <c r="G81" s="1155"/>
      <c r="H81" s="1159"/>
      <c r="I81" s="1153"/>
      <c r="J81" s="1154"/>
      <c r="K81" s="1159"/>
      <c r="L81" s="1159"/>
      <c r="M81" s="1159"/>
      <c r="N81" s="1155"/>
      <c r="O81" s="1159"/>
      <c r="P81" s="1153"/>
      <c r="Q81" s="1159"/>
      <c r="R81" s="1159"/>
    </row>
    <row r="82" spans="1:18">
      <c r="A82" s="1154"/>
      <c r="B82" s="1154"/>
      <c r="C82" s="1154"/>
      <c r="D82" s="1157"/>
      <c r="E82" s="1157"/>
      <c r="F82" s="1157"/>
      <c r="G82" s="1152"/>
      <c r="H82" s="1157"/>
      <c r="I82" s="1153"/>
      <c r="J82" s="1154"/>
      <c r="K82" s="1157"/>
      <c r="L82" s="1157"/>
      <c r="M82" s="1157"/>
      <c r="N82" s="1152"/>
      <c r="O82" s="1157"/>
      <c r="P82" s="1153"/>
      <c r="Q82" s="1157"/>
      <c r="R82" s="1157"/>
    </row>
    <row r="83" spans="1:18">
      <c r="A83" s="1172" t="s">
        <v>1081</v>
      </c>
      <c r="B83" s="1166"/>
      <c r="C83" s="1155"/>
      <c r="D83" s="1157"/>
      <c r="E83" s="1157"/>
      <c r="F83" s="1157"/>
      <c r="G83" s="1152"/>
      <c r="H83" s="1157"/>
      <c r="I83" s="1153"/>
      <c r="J83" s="1155"/>
      <c r="K83" s="1157"/>
      <c r="L83" s="1157"/>
      <c r="M83" s="1157"/>
      <c r="N83" s="1152"/>
      <c r="O83" s="1157"/>
      <c r="P83" s="1153"/>
      <c r="Q83" s="1157"/>
      <c r="R83" s="1157"/>
    </row>
    <row r="84" spans="1:18">
      <c r="A84" s="1172" t="s">
        <v>1084</v>
      </c>
      <c r="B84" s="1169">
        <f>-7.5%</f>
        <v>-7.4999999999999997E-2</v>
      </c>
      <c r="C84" s="1152"/>
      <c r="D84" s="1159"/>
      <c r="E84" s="1159"/>
      <c r="F84" s="1159"/>
      <c r="G84" s="1155"/>
      <c r="H84" s="1159"/>
      <c r="I84" s="1153"/>
      <c r="J84" s="1152"/>
      <c r="K84" s="1159"/>
      <c r="L84" s="1159"/>
      <c r="M84" s="1159"/>
      <c r="N84" s="1155"/>
      <c r="O84" s="1159"/>
      <c r="P84" s="1153"/>
      <c r="Q84" s="1159"/>
      <c r="R84" s="1159"/>
    </row>
    <row r="85" spans="1:18">
      <c r="A85" s="1173" t="s">
        <v>1426</v>
      </c>
      <c r="B85" s="1167"/>
      <c r="C85" s="1152" t="s">
        <v>1532</v>
      </c>
      <c r="D85" s="1157">
        <f>D89</f>
        <v>290</v>
      </c>
      <c r="E85" s="1157"/>
      <c r="F85" s="1157"/>
      <c r="G85" s="1152" t="s">
        <v>1533</v>
      </c>
      <c r="H85" s="1157">
        <f>H89*(1+$C$82)</f>
        <v>7.3</v>
      </c>
      <c r="I85" s="1153"/>
      <c r="J85" s="1152" t="str">
        <f t="shared" ref="J85:J87" si="7">C85</f>
        <v>Rs./kW/month</v>
      </c>
      <c r="K85" s="1157"/>
      <c r="L85" s="1157"/>
      <c r="M85" s="1157"/>
      <c r="N85" s="1152" t="str">
        <f t="shared" si="5"/>
        <v>Rs/kWh</v>
      </c>
      <c r="O85" s="1157"/>
      <c r="P85" s="1153"/>
      <c r="Q85" s="1158">
        <f>K85-D85</f>
        <v>-290</v>
      </c>
      <c r="R85" s="1158">
        <f>O85-H85</f>
        <v>-7.3</v>
      </c>
    </row>
    <row r="86" spans="1:18">
      <c r="A86" s="1173" t="s">
        <v>1427</v>
      </c>
      <c r="B86" s="1167"/>
      <c r="C86" s="1152" t="s">
        <v>1532</v>
      </c>
      <c r="D86" s="1157">
        <f>D90</f>
        <v>290</v>
      </c>
      <c r="E86" s="1157"/>
      <c r="F86" s="1157"/>
      <c r="G86" s="1152" t="s">
        <v>1533</v>
      </c>
      <c r="H86" s="1157">
        <f>H90*(1+$C$82)</f>
        <v>7.4</v>
      </c>
      <c r="I86" s="1153"/>
      <c r="J86" s="1152" t="str">
        <f t="shared" si="7"/>
        <v>Rs./kW/month</v>
      </c>
      <c r="K86" s="1157"/>
      <c r="L86" s="1157"/>
      <c r="M86" s="1157"/>
      <c r="N86" s="1152" t="str">
        <f t="shared" si="5"/>
        <v>Rs/kWh</v>
      </c>
      <c r="O86" s="1157"/>
      <c r="P86" s="1153"/>
      <c r="Q86" s="1158">
        <f>K86-D86</f>
        <v>-290</v>
      </c>
      <c r="R86" s="1158">
        <f>O86-H86</f>
        <v>-7.4</v>
      </c>
    </row>
    <row r="87" spans="1:18">
      <c r="A87" s="1173" t="s">
        <v>1428</v>
      </c>
      <c r="B87" s="1167"/>
      <c r="C87" s="1152" t="s">
        <v>1532</v>
      </c>
      <c r="D87" s="1157">
        <f>D91</f>
        <v>290</v>
      </c>
      <c r="E87" s="1157"/>
      <c r="F87" s="1157"/>
      <c r="G87" s="1152" t="s">
        <v>1533</v>
      </c>
      <c r="H87" s="1157">
        <f>H91*(1+$C$82)</f>
        <v>7.9</v>
      </c>
      <c r="I87" s="1153"/>
      <c r="J87" s="1152" t="str">
        <f t="shared" si="7"/>
        <v>Rs./kW/month</v>
      </c>
      <c r="K87" s="1157"/>
      <c r="L87" s="1157"/>
      <c r="M87" s="1157"/>
      <c r="N87" s="1152" t="str">
        <f t="shared" si="5"/>
        <v>Rs/kWh</v>
      </c>
      <c r="O87" s="1157"/>
      <c r="P87" s="1153"/>
      <c r="Q87" s="1158">
        <f>K87-D87</f>
        <v>-290</v>
      </c>
      <c r="R87" s="1158">
        <f>O87-H87</f>
        <v>-7.9</v>
      </c>
    </row>
    <row r="88" spans="1:18">
      <c r="A88" s="1172" t="s">
        <v>1085</v>
      </c>
      <c r="B88" s="1166"/>
      <c r="C88" s="1155"/>
      <c r="D88" s="1159"/>
      <c r="E88" s="1159"/>
      <c r="F88" s="1159"/>
      <c r="G88" s="1155"/>
      <c r="H88" s="1159"/>
      <c r="I88" s="1153"/>
      <c r="J88" s="1155"/>
      <c r="K88" s="1159"/>
      <c r="L88" s="1159"/>
      <c r="M88" s="1159"/>
      <c r="N88" s="1155"/>
      <c r="O88" s="1159"/>
      <c r="P88" s="1153"/>
      <c r="Q88" s="1159"/>
      <c r="R88" s="1159"/>
    </row>
    <row r="89" spans="1:18">
      <c r="A89" s="1173" t="s">
        <v>1426</v>
      </c>
      <c r="B89" s="1167"/>
      <c r="C89" s="1152" t="s">
        <v>1532</v>
      </c>
      <c r="D89" s="1157">
        <v>290</v>
      </c>
      <c r="E89" s="1157"/>
      <c r="F89" s="1157"/>
      <c r="G89" s="1152" t="s">
        <v>1533</v>
      </c>
      <c r="H89" s="1157">
        <v>7.3</v>
      </c>
      <c r="I89" s="1153"/>
      <c r="J89" s="1152" t="str">
        <f t="shared" ref="J89:J91" si="8">C89</f>
        <v>Rs./kW/month</v>
      </c>
      <c r="K89" s="1157"/>
      <c r="L89" s="1157"/>
      <c r="M89" s="1157"/>
      <c r="N89" s="1152" t="str">
        <f t="shared" si="5"/>
        <v>Rs/kWh</v>
      </c>
      <c r="O89" s="1157"/>
      <c r="P89" s="1153"/>
      <c r="Q89" s="1158">
        <f>K89-D89</f>
        <v>-290</v>
      </c>
      <c r="R89" s="1158">
        <f>O89-H89</f>
        <v>-7.3</v>
      </c>
    </row>
    <row r="90" spans="1:18">
      <c r="A90" s="1173" t="s">
        <v>1427</v>
      </c>
      <c r="B90" s="1167"/>
      <c r="C90" s="1152" t="s">
        <v>1532</v>
      </c>
      <c r="D90" s="1157">
        <f>D89</f>
        <v>290</v>
      </c>
      <c r="E90" s="1157"/>
      <c r="F90" s="1157"/>
      <c r="G90" s="1152" t="s">
        <v>1533</v>
      </c>
      <c r="H90" s="1157">
        <v>7.4</v>
      </c>
      <c r="I90" s="1153"/>
      <c r="J90" s="1152" t="str">
        <f t="shared" si="8"/>
        <v>Rs./kW/month</v>
      </c>
      <c r="K90" s="1157"/>
      <c r="L90" s="1157"/>
      <c r="M90" s="1157"/>
      <c r="N90" s="1152" t="str">
        <f t="shared" si="5"/>
        <v>Rs/kWh</v>
      </c>
      <c r="O90" s="1157"/>
      <c r="P90" s="1153"/>
      <c r="Q90" s="1158">
        <f>K90-D90</f>
        <v>-290</v>
      </c>
      <c r="R90" s="1158">
        <f>O90-H90</f>
        <v>-7.4</v>
      </c>
    </row>
    <row r="91" spans="1:18">
      <c r="A91" s="1173" t="s">
        <v>1428</v>
      </c>
      <c r="B91" s="1167"/>
      <c r="C91" s="1152" t="s">
        <v>1532</v>
      </c>
      <c r="D91" s="1157">
        <f>D90</f>
        <v>290</v>
      </c>
      <c r="E91" s="1157"/>
      <c r="F91" s="1157"/>
      <c r="G91" s="1152" t="s">
        <v>1533</v>
      </c>
      <c r="H91" s="1157">
        <v>7.9</v>
      </c>
      <c r="I91" s="1153"/>
      <c r="J91" s="1152" t="str">
        <f t="shared" si="8"/>
        <v>Rs./kW/month</v>
      </c>
      <c r="K91" s="1157"/>
      <c r="L91" s="1157"/>
      <c r="M91" s="1157"/>
      <c r="N91" s="1152" t="str">
        <f t="shared" si="5"/>
        <v>Rs/kWh</v>
      </c>
      <c r="O91" s="1157"/>
      <c r="P91" s="1153"/>
      <c r="Q91" s="1158">
        <f>K91-D91</f>
        <v>-290</v>
      </c>
      <c r="R91" s="1158">
        <f>O91-H91</f>
        <v>-7.9</v>
      </c>
    </row>
    <row r="92" spans="1:18">
      <c r="A92" s="1172" t="s">
        <v>1085</v>
      </c>
      <c r="B92" s="1167"/>
      <c r="C92" s="1152"/>
      <c r="D92" s="1157"/>
      <c r="E92" s="1157"/>
      <c r="F92" s="1157"/>
      <c r="G92" s="1152"/>
      <c r="H92" s="1157"/>
      <c r="I92" s="1153"/>
      <c r="J92" s="1152"/>
      <c r="K92" s="1157"/>
      <c r="L92" s="1157"/>
      <c r="M92" s="1157"/>
      <c r="N92" s="1152"/>
      <c r="O92" s="1157"/>
      <c r="P92" s="1153"/>
      <c r="Q92" s="1157"/>
      <c r="R92" s="1157"/>
    </row>
    <row r="93" spans="1:18">
      <c r="A93" s="1172" t="s">
        <v>1013</v>
      </c>
      <c r="B93" s="1167"/>
      <c r="C93" s="1152"/>
      <c r="D93" s="1159"/>
      <c r="E93" s="1159"/>
      <c r="F93" s="1159"/>
      <c r="G93" s="1155"/>
      <c r="H93" s="1159"/>
      <c r="I93" s="1153"/>
      <c r="J93" s="1152"/>
      <c r="K93" s="1159"/>
      <c r="L93" s="1159"/>
      <c r="M93" s="1159"/>
      <c r="N93" s="1155"/>
      <c r="O93" s="1159"/>
      <c r="P93" s="1153"/>
      <c r="Q93" s="1159"/>
      <c r="R93" s="1159"/>
    </row>
    <row r="94" spans="1:18">
      <c r="A94" s="1172" t="s">
        <v>1086</v>
      </c>
      <c r="B94" s="1167"/>
      <c r="C94" s="1152"/>
      <c r="D94" s="1157"/>
      <c r="E94" s="1157"/>
      <c r="F94" s="1157"/>
      <c r="G94" s="1152"/>
      <c r="H94" s="1157"/>
      <c r="I94" s="1153"/>
      <c r="J94" s="1152"/>
      <c r="K94" s="1157"/>
      <c r="L94" s="1157"/>
      <c r="M94" s="1157"/>
      <c r="N94" s="1152"/>
      <c r="O94" s="1157"/>
      <c r="P94" s="1153"/>
      <c r="Q94" s="1157"/>
      <c r="R94" s="1157"/>
    </row>
    <row r="95" spans="1:18">
      <c r="A95" s="1173" t="s">
        <v>1430</v>
      </c>
      <c r="B95" s="1162">
        <f>-15%</f>
        <v>-0.15</v>
      </c>
      <c r="C95" s="1152" t="str">
        <f>C91</f>
        <v>Rs./kW/month</v>
      </c>
      <c r="D95" s="1157">
        <f>D91</f>
        <v>290</v>
      </c>
      <c r="E95" s="1157"/>
      <c r="F95" s="1157"/>
      <c r="G95" s="1152" t="str">
        <f>G91</f>
        <v>Rs/kWh</v>
      </c>
      <c r="H95" s="1157">
        <f>$I$87*(1+B95)</f>
        <v>0</v>
      </c>
      <c r="I95" s="1153"/>
      <c r="J95" s="1152" t="str">
        <f t="shared" ref="J95:J98" si="9">C95</f>
        <v>Rs./kW/month</v>
      </c>
      <c r="K95" s="1157"/>
      <c r="L95" s="1157"/>
      <c r="M95" s="1157"/>
      <c r="N95" s="1152" t="str">
        <f t="shared" si="5"/>
        <v>Rs/kWh</v>
      </c>
      <c r="O95" s="1157"/>
      <c r="P95" s="1153"/>
      <c r="Q95" s="1158">
        <f>K95-D95</f>
        <v>-290</v>
      </c>
      <c r="R95" s="1158">
        <f>O95-H95</f>
        <v>0</v>
      </c>
    </row>
    <row r="96" spans="1:18">
      <c r="A96" s="1173" t="s">
        <v>1431</v>
      </c>
      <c r="B96" s="1162">
        <f>0%</f>
        <v>0</v>
      </c>
      <c r="C96" s="1152" t="str">
        <f>C95</f>
        <v>Rs./kW/month</v>
      </c>
      <c r="D96" s="1157">
        <f>D95</f>
        <v>290</v>
      </c>
      <c r="E96" s="1157"/>
      <c r="F96" s="1157"/>
      <c r="G96" s="1152" t="str">
        <f>G95</f>
        <v>Rs/kWh</v>
      </c>
      <c r="H96" s="1157">
        <f>$I$87*(1+B96)</f>
        <v>0</v>
      </c>
      <c r="I96" s="1153"/>
      <c r="J96" s="1152" t="str">
        <f t="shared" si="9"/>
        <v>Rs./kW/month</v>
      </c>
      <c r="K96" s="1157"/>
      <c r="L96" s="1157"/>
      <c r="M96" s="1157"/>
      <c r="N96" s="1152" t="str">
        <f t="shared" si="5"/>
        <v>Rs/kWh</v>
      </c>
      <c r="O96" s="1157"/>
      <c r="P96" s="1153"/>
      <c r="Q96" s="1158">
        <f>K96-D96</f>
        <v>-290</v>
      </c>
      <c r="R96" s="1158">
        <f>O96-H96</f>
        <v>0</v>
      </c>
    </row>
    <row r="97" spans="1:18">
      <c r="A97" s="1173" t="s">
        <v>1432</v>
      </c>
      <c r="B97" s="1162">
        <f>15%</f>
        <v>0.15</v>
      </c>
      <c r="C97" s="1152" t="str">
        <f t="shared" ref="C97:G98" si="10">C96</f>
        <v>Rs./kW/month</v>
      </c>
      <c r="D97" s="1157">
        <f t="shared" si="10"/>
        <v>290</v>
      </c>
      <c r="E97" s="1157"/>
      <c r="F97" s="1157"/>
      <c r="G97" s="1152" t="str">
        <f t="shared" si="10"/>
        <v>Rs/kWh</v>
      </c>
      <c r="H97" s="1157">
        <f>$I$87*(1+B97)</f>
        <v>0</v>
      </c>
      <c r="I97" s="1153"/>
      <c r="J97" s="1152" t="str">
        <f t="shared" si="9"/>
        <v>Rs./kW/month</v>
      </c>
      <c r="K97" s="1157"/>
      <c r="L97" s="1157"/>
      <c r="M97" s="1157"/>
      <c r="N97" s="1152" t="str">
        <f t="shared" si="5"/>
        <v>Rs/kWh</v>
      </c>
      <c r="O97" s="1157"/>
      <c r="P97" s="1153"/>
      <c r="Q97" s="1158">
        <f>K97-D97</f>
        <v>-290</v>
      </c>
      <c r="R97" s="1158">
        <f>O97-H97</f>
        <v>0</v>
      </c>
    </row>
    <row r="98" spans="1:18">
      <c r="A98" s="1173" t="s">
        <v>1433</v>
      </c>
      <c r="B98" s="1162">
        <f>0</f>
        <v>0</v>
      </c>
      <c r="C98" s="1152" t="str">
        <f t="shared" si="10"/>
        <v>Rs./kW/month</v>
      </c>
      <c r="D98" s="1157">
        <f t="shared" si="10"/>
        <v>290</v>
      </c>
      <c r="E98" s="1157"/>
      <c r="F98" s="1157"/>
      <c r="G98" s="1152" t="str">
        <f t="shared" si="10"/>
        <v>Rs/kWh</v>
      </c>
      <c r="H98" s="1157">
        <f>$I$87*(1+B98)</f>
        <v>0</v>
      </c>
      <c r="I98" s="1153"/>
      <c r="J98" s="1152" t="str">
        <f t="shared" si="9"/>
        <v>Rs./kW/month</v>
      </c>
      <c r="K98" s="1157"/>
      <c r="L98" s="1157"/>
      <c r="M98" s="1157"/>
      <c r="N98" s="1152" t="str">
        <f t="shared" si="5"/>
        <v>Rs/kWh</v>
      </c>
      <c r="O98" s="1157"/>
      <c r="P98" s="1153"/>
      <c r="Q98" s="1158">
        <f>K98-D98</f>
        <v>-290</v>
      </c>
      <c r="R98" s="1158">
        <f>O98-H98</f>
        <v>0</v>
      </c>
    </row>
    <row r="99" spans="1:18">
      <c r="A99" s="1172" t="s">
        <v>1087</v>
      </c>
      <c r="B99" s="1167"/>
      <c r="C99" s="1152"/>
      <c r="D99" s="1157"/>
      <c r="E99" s="1157"/>
      <c r="F99" s="1157"/>
      <c r="G99" s="1152"/>
      <c r="H99" s="1157"/>
      <c r="I99" s="1153"/>
      <c r="J99" s="1152"/>
      <c r="K99" s="1157"/>
      <c r="L99" s="1157"/>
      <c r="M99" s="1157"/>
      <c r="N99" s="1152"/>
      <c r="O99" s="1157"/>
      <c r="P99" s="1153"/>
      <c r="Q99" s="1157"/>
      <c r="R99" s="1157"/>
    </row>
    <row r="100" spans="1:18">
      <c r="A100" s="1173" t="s">
        <v>1430</v>
      </c>
      <c r="B100" s="1170">
        <f>B95</f>
        <v>-0.15</v>
      </c>
      <c r="C100" s="1152" t="str">
        <f>C95</f>
        <v>Rs./kW/month</v>
      </c>
      <c r="D100" s="1157">
        <f>D98</f>
        <v>290</v>
      </c>
      <c r="E100" s="1157"/>
      <c r="F100" s="1157"/>
      <c r="G100" s="1152" t="str">
        <f>G95</f>
        <v>Rs/kWh</v>
      </c>
      <c r="H100" s="1157">
        <f>$I$88*(1+B100)</f>
        <v>0</v>
      </c>
      <c r="I100" s="1153"/>
      <c r="J100" s="1152" t="str">
        <f t="shared" ref="J100:J103" si="11">C100</f>
        <v>Rs./kW/month</v>
      </c>
      <c r="K100" s="1157"/>
      <c r="L100" s="1157"/>
      <c r="M100" s="1157"/>
      <c r="N100" s="1152" t="str">
        <f t="shared" si="5"/>
        <v>Rs/kWh</v>
      </c>
      <c r="O100" s="1157"/>
      <c r="P100" s="1153"/>
      <c r="Q100" s="1158">
        <f>K100-D100</f>
        <v>-290</v>
      </c>
      <c r="R100" s="1158">
        <f>O100-H100</f>
        <v>0</v>
      </c>
    </row>
    <row r="101" spans="1:18">
      <c r="A101" s="1173" t="s">
        <v>1431</v>
      </c>
      <c r="B101" s="1170">
        <f t="shared" ref="B101:C103" si="12">B96</f>
        <v>0</v>
      </c>
      <c r="C101" s="1152" t="str">
        <f t="shared" si="12"/>
        <v>Rs./kW/month</v>
      </c>
      <c r="D101" s="1157">
        <f>D100</f>
        <v>290</v>
      </c>
      <c r="E101" s="1157"/>
      <c r="F101" s="1157"/>
      <c r="G101" s="1152" t="str">
        <f>G96</f>
        <v>Rs/kWh</v>
      </c>
      <c r="H101" s="1157">
        <f>$I$88*(1+B101)</f>
        <v>0</v>
      </c>
      <c r="I101" s="1153"/>
      <c r="J101" s="1152" t="str">
        <f t="shared" si="11"/>
        <v>Rs./kW/month</v>
      </c>
      <c r="K101" s="1157"/>
      <c r="L101" s="1157"/>
      <c r="M101" s="1157"/>
      <c r="N101" s="1152" t="str">
        <f t="shared" si="5"/>
        <v>Rs/kWh</v>
      </c>
      <c r="O101" s="1157"/>
      <c r="P101" s="1153"/>
      <c r="Q101" s="1158">
        <f>K101-D101</f>
        <v>-290</v>
      </c>
      <c r="R101" s="1158">
        <f>O101-H101</f>
        <v>0</v>
      </c>
    </row>
    <row r="102" spans="1:18">
      <c r="A102" s="1173" t="s">
        <v>1432</v>
      </c>
      <c r="B102" s="1170">
        <f t="shared" si="12"/>
        <v>0.15</v>
      </c>
      <c r="C102" s="1152" t="str">
        <f t="shared" si="12"/>
        <v>Rs./kW/month</v>
      </c>
      <c r="D102" s="1157">
        <f>D101</f>
        <v>290</v>
      </c>
      <c r="E102" s="1157"/>
      <c r="F102" s="1157"/>
      <c r="G102" s="1152" t="str">
        <f>G97</f>
        <v>Rs/kWh</v>
      </c>
      <c r="H102" s="1157">
        <f>$I$88*(1+B102)</f>
        <v>0</v>
      </c>
      <c r="I102" s="1153"/>
      <c r="J102" s="1152" t="str">
        <f t="shared" si="11"/>
        <v>Rs./kW/month</v>
      </c>
      <c r="K102" s="1157"/>
      <c r="L102" s="1157"/>
      <c r="M102" s="1157"/>
      <c r="N102" s="1152" t="str">
        <f t="shared" si="5"/>
        <v>Rs/kWh</v>
      </c>
      <c r="O102" s="1157"/>
      <c r="P102" s="1153"/>
      <c r="Q102" s="1158">
        <f>K102-D102</f>
        <v>-290</v>
      </c>
      <c r="R102" s="1158">
        <f>O102-H102</f>
        <v>0</v>
      </c>
    </row>
    <row r="103" spans="1:18">
      <c r="A103" s="1173" t="s">
        <v>1433</v>
      </c>
      <c r="B103" s="1170">
        <f t="shared" si="12"/>
        <v>0</v>
      </c>
      <c r="C103" s="1152" t="str">
        <f t="shared" si="12"/>
        <v>Rs./kW/month</v>
      </c>
      <c r="D103" s="1157">
        <f>D102</f>
        <v>290</v>
      </c>
      <c r="E103" s="1157"/>
      <c r="F103" s="1157"/>
      <c r="G103" s="1152" t="str">
        <f>G98</f>
        <v>Rs/kWh</v>
      </c>
      <c r="H103" s="1157">
        <f>$I$88*(1+B103)</f>
        <v>0</v>
      </c>
      <c r="I103" s="1153"/>
      <c r="J103" s="1152" t="str">
        <f t="shared" si="11"/>
        <v>Rs./kW/month</v>
      </c>
      <c r="K103" s="1157"/>
      <c r="L103" s="1157"/>
      <c r="M103" s="1157"/>
      <c r="N103" s="1152" t="str">
        <f t="shared" si="5"/>
        <v>Rs/kWh</v>
      </c>
      <c r="O103" s="1157"/>
      <c r="P103" s="1153"/>
      <c r="Q103" s="1158">
        <f>K103-D103</f>
        <v>-290</v>
      </c>
      <c r="R103" s="1158">
        <f>O103-H103</f>
        <v>0</v>
      </c>
    </row>
    <row r="104" spans="1:18">
      <c r="A104" s="1172" t="s">
        <v>1088</v>
      </c>
      <c r="B104" s="1167"/>
      <c r="C104" s="1152"/>
      <c r="D104" s="1157"/>
      <c r="E104" s="1157"/>
      <c r="F104" s="1157"/>
      <c r="G104" s="1152"/>
      <c r="H104" s="1157"/>
      <c r="I104" s="1153"/>
      <c r="J104" s="1152"/>
      <c r="K104" s="1157"/>
      <c r="L104" s="1157"/>
      <c r="M104" s="1157"/>
      <c r="N104" s="1152"/>
      <c r="O104" s="1157"/>
      <c r="P104" s="1153"/>
      <c r="Q104" s="1157"/>
      <c r="R104" s="1157"/>
    </row>
    <row r="105" spans="1:18">
      <c r="A105" s="1173" t="s">
        <v>1430</v>
      </c>
      <c r="B105" s="1170">
        <f t="shared" ref="B105:D108" si="13">B100</f>
        <v>-0.15</v>
      </c>
      <c r="C105" s="1152" t="str">
        <f t="shared" si="13"/>
        <v>Rs./kW/month</v>
      </c>
      <c r="D105" s="1157">
        <f>D100</f>
        <v>290</v>
      </c>
      <c r="E105" s="1157"/>
      <c r="F105" s="1157"/>
      <c r="G105" s="1152" t="str">
        <f>G100</f>
        <v>Rs/kWh</v>
      </c>
      <c r="H105" s="1157">
        <f>$I$89*(1+B105)</f>
        <v>0</v>
      </c>
      <c r="I105" s="1153"/>
      <c r="J105" s="1152" t="str">
        <f t="shared" ref="J105:J108" si="14">C105</f>
        <v>Rs./kW/month</v>
      </c>
      <c r="K105" s="1157"/>
      <c r="L105" s="1157"/>
      <c r="M105" s="1157"/>
      <c r="N105" s="1152" t="str">
        <f t="shared" si="5"/>
        <v>Rs/kWh</v>
      </c>
      <c r="O105" s="1157"/>
      <c r="P105" s="1153"/>
      <c r="Q105" s="1158">
        <f>K105-D105</f>
        <v>-290</v>
      </c>
      <c r="R105" s="1158">
        <f>O105-H105</f>
        <v>0</v>
      </c>
    </row>
    <row r="106" spans="1:18">
      <c r="A106" s="1173" t="s">
        <v>1431</v>
      </c>
      <c r="B106" s="1170">
        <f t="shared" si="13"/>
        <v>0</v>
      </c>
      <c r="C106" s="1152" t="str">
        <f t="shared" si="13"/>
        <v>Rs./kW/month</v>
      </c>
      <c r="D106" s="1157">
        <f t="shared" si="13"/>
        <v>290</v>
      </c>
      <c r="E106" s="1157"/>
      <c r="F106" s="1157"/>
      <c r="G106" s="1152" t="str">
        <f>G101</f>
        <v>Rs/kWh</v>
      </c>
      <c r="H106" s="1157">
        <f>$I$89*(1+B106)</f>
        <v>0</v>
      </c>
      <c r="I106" s="1153"/>
      <c r="J106" s="1152" t="str">
        <f t="shared" si="14"/>
        <v>Rs./kW/month</v>
      </c>
      <c r="K106" s="1157"/>
      <c r="L106" s="1157"/>
      <c r="M106" s="1157"/>
      <c r="N106" s="1152" t="str">
        <f t="shared" si="5"/>
        <v>Rs/kWh</v>
      </c>
      <c r="O106" s="1157"/>
      <c r="P106" s="1153"/>
      <c r="Q106" s="1158">
        <f>K106-D106</f>
        <v>-290</v>
      </c>
      <c r="R106" s="1158">
        <f>O106-H106</f>
        <v>0</v>
      </c>
    </row>
    <row r="107" spans="1:18">
      <c r="A107" s="1173" t="s">
        <v>1432</v>
      </c>
      <c r="B107" s="1170">
        <f t="shared" si="13"/>
        <v>0.15</v>
      </c>
      <c r="C107" s="1152" t="str">
        <f t="shared" si="13"/>
        <v>Rs./kW/month</v>
      </c>
      <c r="D107" s="1157">
        <f t="shared" si="13"/>
        <v>290</v>
      </c>
      <c r="E107" s="1157"/>
      <c r="F107" s="1157"/>
      <c r="G107" s="1152" t="str">
        <f>G102</f>
        <v>Rs/kWh</v>
      </c>
      <c r="H107" s="1157">
        <f>$I$89*(1+B107)</f>
        <v>0</v>
      </c>
      <c r="I107" s="1153"/>
      <c r="J107" s="1152" t="str">
        <f t="shared" si="14"/>
        <v>Rs./kW/month</v>
      </c>
      <c r="K107" s="1157"/>
      <c r="L107" s="1157"/>
      <c r="M107" s="1157"/>
      <c r="N107" s="1152" t="str">
        <f t="shared" si="5"/>
        <v>Rs/kWh</v>
      </c>
      <c r="O107" s="1157"/>
      <c r="P107" s="1153"/>
      <c r="Q107" s="1158">
        <f>K107-D107</f>
        <v>-290</v>
      </c>
      <c r="R107" s="1158">
        <f>O107-H107</f>
        <v>0</v>
      </c>
    </row>
    <row r="108" spans="1:18">
      <c r="A108" s="1173" t="s">
        <v>1433</v>
      </c>
      <c r="B108" s="1170">
        <f t="shared" si="13"/>
        <v>0</v>
      </c>
      <c r="C108" s="1152" t="str">
        <f t="shared" si="13"/>
        <v>Rs./kW/month</v>
      </c>
      <c r="D108" s="1157">
        <f t="shared" si="13"/>
        <v>290</v>
      </c>
      <c r="E108" s="1157"/>
      <c r="F108" s="1157"/>
      <c r="G108" s="1152" t="str">
        <f>G103</f>
        <v>Rs/kWh</v>
      </c>
      <c r="H108" s="1157">
        <f>$I$89*(1+B108)</f>
        <v>0</v>
      </c>
      <c r="I108" s="1153"/>
      <c r="J108" s="1152" t="str">
        <f t="shared" si="14"/>
        <v>Rs./kW/month</v>
      </c>
      <c r="K108" s="1157"/>
      <c r="L108" s="1157"/>
      <c r="M108" s="1157"/>
      <c r="N108" s="1152" t="str">
        <f t="shared" si="5"/>
        <v>Rs/kWh</v>
      </c>
      <c r="O108" s="1157"/>
      <c r="P108" s="1153"/>
      <c r="Q108" s="1158">
        <f>K108-D108</f>
        <v>-290</v>
      </c>
      <c r="R108" s="1158">
        <f>O108-H108</f>
        <v>0</v>
      </c>
    </row>
    <row r="109" spans="1:18">
      <c r="A109" s="1172" t="s">
        <v>1014</v>
      </c>
      <c r="B109" s="1167"/>
      <c r="C109" s="1152"/>
      <c r="D109" s="1159"/>
      <c r="E109" s="1159"/>
      <c r="F109" s="1159"/>
      <c r="G109" s="1152"/>
      <c r="H109" s="1159"/>
      <c r="I109" s="1153"/>
      <c r="J109" s="1152"/>
      <c r="K109" s="1159"/>
      <c r="L109" s="1159"/>
      <c r="M109" s="1159"/>
      <c r="N109" s="1152"/>
      <c r="O109" s="1159"/>
      <c r="P109" s="1153"/>
      <c r="Q109" s="1159"/>
      <c r="R109" s="1159"/>
    </row>
    <row r="110" spans="1:18">
      <c r="A110" s="1172" t="s">
        <v>1086</v>
      </c>
      <c r="B110" s="1168"/>
      <c r="C110" s="1152"/>
      <c r="D110" s="1159"/>
      <c r="E110" s="1159"/>
      <c r="F110" s="1159"/>
      <c r="G110" s="1152"/>
      <c r="H110" s="1159"/>
      <c r="I110" s="1153"/>
      <c r="J110" s="1152"/>
      <c r="K110" s="1159"/>
      <c r="L110" s="1159"/>
      <c r="M110" s="1159"/>
      <c r="N110" s="1152"/>
      <c r="O110" s="1159"/>
      <c r="P110" s="1153"/>
      <c r="Q110" s="1159"/>
      <c r="R110" s="1159"/>
    </row>
    <row r="111" spans="1:18">
      <c r="A111" s="1173" t="s">
        <v>1430</v>
      </c>
      <c r="B111" s="1170">
        <v>0</v>
      </c>
      <c r="C111" s="1152" t="str">
        <f>C108</f>
        <v>Rs./kW/month</v>
      </c>
      <c r="D111" s="1157">
        <f>D105</f>
        <v>290</v>
      </c>
      <c r="E111" s="1157"/>
      <c r="F111" s="1157"/>
      <c r="G111" s="1152" t="str">
        <f>G108</f>
        <v>Rs/kWh</v>
      </c>
      <c r="H111" s="1157">
        <f>$I$87*(1+B111)</f>
        <v>0</v>
      </c>
      <c r="I111" s="1153"/>
      <c r="J111" s="1152" t="str">
        <f t="shared" ref="J111:J114" si="15">C111</f>
        <v>Rs./kW/month</v>
      </c>
      <c r="K111" s="1157"/>
      <c r="L111" s="1157"/>
      <c r="M111" s="1157"/>
      <c r="N111" s="1152" t="str">
        <f t="shared" si="5"/>
        <v>Rs/kWh</v>
      </c>
      <c r="O111" s="1157"/>
      <c r="P111" s="1153"/>
      <c r="Q111" s="1158">
        <f>K111-D111</f>
        <v>-290</v>
      </c>
      <c r="R111" s="1158">
        <f>O111-H111</f>
        <v>0</v>
      </c>
    </row>
    <row r="112" spans="1:18">
      <c r="A112" s="1173" t="s">
        <v>1431</v>
      </c>
      <c r="B112" s="1170">
        <v>0</v>
      </c>
      <c r="C112" s="1152" t="str">
        <f>C111</f>
        <v>Rs./kW/month</v>
      </c>
      <c r="D112" s="1157">
        <f>D106</f>
        <v>290</v>
      </c>
      <c r="E112" s="1157"/>
      <c r="F112" s="1157"/>
      <c r="G112" s="1152" t="str">
        <f>G111</f>
        <v>Rs/kWh</v>
      </c>
      <c r="H112" s="1157">
        <f>$I$87*(1+B112)</f>
        <v>0</v>
      </c>
      <c r="I112" s="1153"/>
      <c r="J112" s="1152" t="str">
        <f t="shared" si="15"/>
        <v>Rs./kW/month</v>
      </c>
      <c r="K112" s="1157"/>
      <c r="L112" s="1157"/>
      <c r="M112" s="1157"/>
      <c r="N112" s="1152" t="str">
        <f t="shared" si="5"/>
        <v>Rs/kWh</v>
      </c>
      <c r="O112" s="1157"/>
      <c r="P112" s="1153"/>
      <c r="Q112" s="1158">
        <f>K112-D112</f>
        <v>-290</v>
      </c>
      <c r="R112" s="1158">
        <f>O112-H112</f>
        <v>0</v>
      </c>
    </row>
    <row r="113" spans="1:18">
      <c r="A113" s="1173" t="s">
        <v>1432</v>
      </c>
      <c r="B113" s="1162">
        <f>15%</f>
        <v>0.15</v>
      </c>
      <c r="C113" s="1152" t="str">
        <f>C112</f>
        <v>Rs./kW/month</v>
      </c>
      <c r="D113" s="1157">
        <f>D107</f>
        <v>290</v>
      </c>
      <c r="E113" s="1157"/>
      <c r="F113" s="1157"/>
      <c r="G113" s="1152" t="str">
        <f>G112</f>
        <v>Rs/kWh</v>
      </c>
      <c r="H113" s="1157">
        <f>$I$87*(1+B113)</f>
        <v>0</v>
      </c>
      <c r="I113" s="1153"/>
      <c r="J113" s="1152" t="str">
        <f t="shared" si="15"/>
        <v>Rs./kW/month</v>
      </c>
      <c r="K113" s="1157"/>
      <c r="L113" s="1157"/>
      <c r="M113" s="1157"/>
      <c r="N113" s="1152" t="str">
        <f t="shared" si="5"/>
        <v>Rs/kWh</v>
      </c>
      <c r="O113" s="1157"/>
      <c r="P113" s="1153"/>
      <c r="Q113" s="1158">
        <f>K113-D113</f>
        <v>-290</v>
      </c>
      <c r="R113" s="1158">
        <f>O113-H113</f>
        <v>0</v>
      </c>
    </row>
    <row r="114" spans="1:18">
      <c r="A114" s="1173" t="s">
        <v>1433</v>
      </c>
      <c r="B114" s="1162">
        <f>-15%</f>
        <v>-0.15</v>
      </c>
      <c r="C114" s="1152" t="str">
        <f>C113</f>
        <v>Rs./kW/month</v>
      </c>
      <c r="D114" s="1157">
        <f>D108</f>
        <v>290</v>
      </c>
      <c r="E114" s="1157"/>
      <c r="F114" s="1157"/>
      <c r="G114" s="1152" t="str">
        <f>G113</f>
        <v>Rs/kWh</v>
      </c>
      <c r="H114" s="1157">
        <f>$I$87*(1+B114)</f>
        <v>0</v>
      </c>
      <c r="I114" s="1153"/>
      <c r="J114" s="1152" t="str">
        <f t="shared" si="15"/>
        <v>Rs./kW/month</v>
      </c>
      <c r="K114" s="1157"/>
      <c r="L114" s="1157"/>
      <c r="M114" s="1157"/>
      <c r="N114" s="1152" t="str">
        <f t="shared" si="5"/>
        <v>Rs/kWh</v>
      </c>
      <c r="O114" s="1157"/>
      <c r="P114" s="1153"/>
      <c r="Q114" s="1158">
        <f>K114-D114</f>
        <v>-290</v>
      </c>
      <c r="R114" s="1158">
        <f>O114-H114</f>
        <v>0</v>
      </c>
    </row>
    <row r="115" spans="1:18">
      <c r="A115" s="1172" t="s">
        <v>1087</v>
      </c>
      <c r="B115" s="1167"/>
      <c r="C115" s="1152"/>
      <c r="D115" s="1157"/>
      <c r="E115" s="1157"/>
      <c r="F115" s="1157"/>
      <c r="G115" s="1152"/>
      <c r="H115" s="1157"/>
      <c r="I115" s="1153"/>
      <c r="J115" s="1152"/>
      <c r="K115" s="1157"/>
      <c r="L115" s="1157"/>
      <c r="M115" s="1157"/>
      <c r="N115" s="1152"/>
      <c r="O115" s="1157"/>
      <c r="P115" s="1153"/>
      <c r="Q115" s="1157"/>
      <c r="R115" s="1157"/>
    </row>
    <row r="116" spans="1:18">
      <c r="A116" s="1173" t="s">
        <v>1430</v>
      </c>
      <c r="B116" s="1170">
        <f>B111</f>
        <v>0</v>
      </c>
      <c r="C116" s="1152" t="str">
        <f>C114</f>
        <v>Rs./kW/month</v>
      </c>
      <c r="D116" s="1157">
        <f>D111</f>
        <v>290</v>
      </c>
      <c r="E116" s="1157"/>
      <c r="F116" s="1157"/>
      <c r="G116" s="1152" t="str">
        <f>G114</f>
        <v>Rs/kWh</v>
      </c>
      <c r="H116" s="1157">
        <f>$I$88*(1+B116)</f>
        <v>0</v>
      </c>
      <c r="I116" s="1153"/>
      <c r="J116" s="1152" t="str">
        <f t="shared" ref="J116:J119" si="16">C116</f>
        <v>Rs./kW/month</v>
      </c>
      <c r="K116" s="1157"/>
      <c r="L116" s="1157"/>
      <c r="M116" s="1157"/>
      <c r="N116" s="1152" t="str">
        <f t="shared" si="5"/>
        <v>Rs/kWh</v>
      </c>
      <c r="O116" s="1157"/>
      <c r="P116" s="1153"/>
      <c r="Q116" s="1158">
        <f>K116-D116</f>
        <v>-290</v>
      </c>
      <c r="R116" s="1158">
        <f>O116-H116</f>
        <v>0</v>
      </c>
    </row>
    <row r="117" spans="1:18">
      <c r="A117" s="1173" t="s">
        <v>1431</v>
      </c>
      <c r="B117" s="1170">
        <f>B112</f>
        <v>0</v>
      </c>
      <c r="C117" s="1152" t="str">
        <f>C116</f>
        <v>Rs./kW/month</v>
      </c>
      <c r="D117" s="1157">
        <f>D112</f>
        <v>290</v>
      </c>
      <c r="E117" s="1157"/>
      <c r="F117" s="1157"/>
      <c r="G117" s="1152" t="str">
        <f>G116</f>
        <v>Rs/kWh</v>
      </c>
      <c r="H117" s="1157">
        <f>$I$88*(1+B117)</f>
        <v>0</v>
      </c>
      <c r="I117" s="1153"/>
      <c r="J117" s="1152" t="str">
        <f t="shared" si="16"/>
        <v>Rs./kW/month</v>
      </c>
      <c r="K117" s="1157"/>
      <c r="L117" s="1157"/>
      <c r="M117" s="1157"/>
      <c r="N117" s="1152" t="str">
        <f t="shared" si="5"/>
        <v>Rs/kWh</v>
      </c>
      <c r="O117" s="1157"/>
      <c r="P117" s="1153"/>
      <c r="Q117" s="1158">
        <f>K117-D117</f>
        <v>-290</v>
      </c>
      <c r="R117" s="1158">
        <f>O117-H117</f>
        <v>0</v>
      </c>
    </row>
    <row r="118" spans="1:18">
      <c r="A118" s="1173" t="s">
        <v>1432</v>
      </c>
      <c r="B118" s="1170">
        <f>B113</f>
        <v>0.15</v>
      </c>
      <c r="C118" s="1152" t="str">
        <f>C117</f>
        <v>Rs./kW/month</v>
      </c>
      <c r="D118" s="1157">
        <f>D113</f>
        <v>290</v>
      </c>
      <c r="E118" s="1157"/>
      <c r="F118" s="1157"/>
      <c r="G118" s="1152" t="str">
        <f>G117</f>
        <v>Rs/kWh</v>
      </c>
      <c r="H118" s="1157">
        <f>$I$88*(1+B118)</f>
        <v>0</v>
      </c>
      <c r="I118" s="1153"/>
      <c r="J118" s="1152" t="str">
        <f t="shared" si="16"/>
        <v>Rs./kW/month</v>
      </c>
      <c r="K118" s="1157"/>
      <c r="L118" s="1157"/>
      <c r="M118" s="1157"/>
      <c r="N118" s="1152" t="str">
        <f t="shared" si="5"/>
        <v>Rs/kWh</v>
      </c>
      <c r="O118" s="1157"/>
      <c r="P118" s="1153"/>
      <c r="Q118" s="1158">
        <f>K118-D118</f>
        <v>-290</v>
      </c>
      <c r="R118" s="1158">
        <f>O118-H118</f>
        <v>0</v>
      </c>
    </row>
    <row r="119" spans="1:18">
      <c r="A119" s="1173" t="s">
        <v>1433</v>
      </c>
      <c r="B119" s="1170">
        <f>B114</f>
        <v>-0.15</v>
      </c>
      <c r="C119" s="1152" t="str">
        <f>C118</f>
        <v>Rs./kW/month</v>
      </c>
      <c r="D119" s="1157">
        <f>D114</f>
        <v>290</v>
      </c>
      <c r="E119" s="1157"/>
      <c r="F119" s="1157"/>
      <c r="G119" s="1152" t="str">
        <f>G118</f>
        <v>Rs/kWh</v>
      </c>
      <c r="H119" s="1157">
        <f>$I$88*(1+B119)</f>
        <v>0</v>
      </c>
      <c r="I119" s="1153"/>
      <c r="J119" s="1152" t="str">
        <f t="shared" si="16"/>
        <v>Rs./kW/month</v>
      </c>
      <c r="K119" s="1157"/>
      <c r="L119" s="1157"/>
      <c r="M119" s="1157"/>
      <c r="N119" s="1152" t="str">
        <f t="shared" si="5"/>
        <v>Rs/kWh</v>
      </c>
      <c r="O119" s="1157"/>
      <c r="P119" s="1153"/>
      <c r="Q119" s="1158">
        <f>K119-D119</f>
        <v>-290</v>
      </c>
      <c r="R119" s="1158">
        <f>O119-H119</f>
        <v>0</v>
      </c>
    </row>
    <row r="120" spans="1:18">
      <c r="A120" s="1172" t="s">
        <v>1088</v>
      </c>
      <c r="B120" s="1167"/>
      <c r="C120" s="1152"/>
      <c r="D120" s="1157"/>
      <c r="E120" s="1157"/>
      <c r="F120" s="1157"/>
      <c r="G120" s="1152"/>
      <c r="H120" s="1157"/>
      <c r="I120" s="1153"/>
      <c r="J120" s="1152"/>
      <c r="K120" s="1157"/>
      <c r="L120" s="1157"/>
      <c r="M120" s="1157"/>
      <c r="N120" s="1152"/>
      <c r="O120" s="1159"/>
      <c r="P120" s="1153"/>
      <c r="Q120" s="1157"/>
      <c r="R120" s="1159"/>
    </row>
    <row r="121" spans="1:18">
      <c r="A121" s="1173" t="s">
        <v>1430</v>
      </c>
      <c r="B121" s="1170">
        <f>B116</f>
        <v>0</v>
      </c>
      <c r="C121" s="1152" t="str">
        <f>C119</f>
        <v>Rs./kW/month</v>
      </c>
      <c r="D121" s="1157">
        <f>D116</f>
        <v>290</v>
      </c>
      <c r="E121" s="1157"/>
      <c r="F121" s="1157"/>
      <c r="G121" s="1152" t="str">
        <f>G119</f>
        <v>Rs/kWh</v>
      </c>
      <c r="H121" s="1157">
        <f>$I$89*(1+B121)</f>
        <v>0</v>
      </c>
      <c r="I121" s="1153"/>
      <c r="J121" s="1152" t="str">
        <f t="shared" ref="J121:J124" si="17">C121</f>
        <v>Rs./kW/month</v>
      </c>
      <c r="K121" s="1157"/>
      <c r="L121" s="1157"/>
      <c r="M121" s="1157"/>
      <c r="N121" s="1152" t="str">
        <f t="shared" si="5"/>
        <v>Rs/kWh</v>
      </c>
      <c r="O121" s="1157"/>
      <c r="P121" s="1153"/>
      <c r="Q121" s="1158">
        <f>K121-D121</f>
        <v>-290</v>
      </c>
      <c r="R121" s="1158">
        <f>O121-H121</f>
        <v>0</v>
      </c>
    </row>
    <row r="122" spans="1:18">
      <c r="A122" s="1173" t="s">
        <v>1431</v>
      </c>
      <c r="B122" s="1170">
        <f>B117</f>
        <v>0</v>
      </c>
      <c r="C122" s="1152" t="str">
        <f>C121</f>
        <v>Rs./kW/month</v>
      </c>
      <c r="D122" s="1157">
        <f>D117</f>
        <v>290</v>
      </c>
      <c r="E122" s="1157"/>
      <c r="F122" s="1157"/>
      <c r="G122" s="1152" t="str">
        <f>G121</f>
        <v>Rs/kWh</v>
      </c>
      <c r="H122" s="1157">
        <f>$I$89*(1+B122)</f>
        <v>0</v>
      </c>
      <c r="I122" s="1153"/>
      <c r="J122" s="1152" t="str">
        <f t="shared" si="17"/>
        <v>Rs./kW/month</v>
      </c>
      <c r="K122" s="1157"/>
      <c r="L122" s="1157"/>
      <c r="M122" s="1157"/>
      <c r="N122" s="1152" t="str">
        <f t="shared" si="5"/>
        <v>Rs/kWh</v>
      </c>
      <c r="O122" s="1157"/>
      <c r="P122" s="1153"/>
      <c r="Q122" s="1158">
        <f>K122-D122</f>
        <v>-290</v>
      </c>
      <c r="R122" s="1158">
        <f>O122-H122</f>
        <v>0</v>
      </c>
    </row>
    <row r="123" spans="1:18">
      <c r="A123" s="1173" t="s">
        <v>1432</v>
      </c>
      <c r="B123" s="1170">
        <f>B118</f>
        <v>0.15</v>
      </c>
      <c r="C123" s="1152" t="str">
        <f>C122</f>
        <v>Rs./kW/month</v>
      </c>
      <c r="D123" s="1157">
        <f>D118</f>
        <v>290</v>
      </c>
      <c r="E123" s="1157"/>
      <c r="F123" s="1157"/>
      <c r="G123" s="1152" t="str">
        <f>G122</f>
        <v>Rs/kWh</v>
      </c>
      <c r="H123" s="1157">
        <f>$I$89*(1+B123)</f>
        <v>0</v>
      </c>
      <c r="I123" s="1153"/>
      <c r="J123" s="1152" t="str">
        <f t="shared" si="17"/>
        <v>Rs./kW/month</v>
      </c>
      <c r="K123" s="1157"/>
      <c r="L123" s="1157"/>
      <c r="M123" s="1157"/>
      <c r="N123" s="1152" t="str">
        <f t="shared" si="5"/>
        <v>Rs/kWh</v>
      </c>
      <c r="O123" s="1157"/>
      <c r="P123" s="1153"/>
      <c r="Q123" s="1158">
        <f>K123-D123</f>
        <v>-290</v>
      </c>
      <c r="R123" s="1158">
        <f>O123-H123</f>
        <v>0</v>
      </c>
    </row>
    <row r="124" spans="1:18">
      <c r="A124" s="1173" t="s">
        <v>1433</v>
      </c>
      <c r="B124" s="1170">
        <f>B119</f>
        <v>-0.15</v>
      </c>
      <c r="C124" s="1152" t="str">
        <f>C123</f>
        <v>Rs./kW/month</v>
      </c>
      <c r="D124" s="1157">
        <f>D119</f>
        <v>290</v>
      </c>
      <c r="E124" s="1157"/>
      <c r="F124" s="1157"/>
      <c r="G124" s="1152" t="str">
        <f>G123</f>
        <v>Rs/kWh</v>
      </c>
      <c r="H124" s="1157">
        <f>$I$89*(1+B124)</f>
        <v>0</v>
      </c>
      <c r="I124" s="1153"/>
      <c r="J124" s="1152" t="str">
        <f t="shared" si="17"/>
        <v>Rs./kW/month</v>
      </c>
      <c r="K124" s="1157"/>
      <c r="L124" s="1157"/>
      <c r="M124" s="1157"/>
      <c r="N124" s="1152" t="str">
        <f t="shared" si="5"/>
        <v>Rs/kWh</v>
      </c>
      <c r="O124" s="1157"/>
      <c r="P124" s="1153"/>
      <c r="Q124" s="1158">
        <f>K124-D124</f>
        <v>-290</v>
      </c>
      <c r="R124" s="1158">
        <f>O124-H124</f>
        <v>0</v>
      </c>
    </row>
    <row r="125" spans="1:18">
      <c r="A125" s="1154" t="s">
        <v>1425</v>
      </c>
      <c r="B125" s="1154"/>
      <c r="C125" s="1154"/>
      <c r="D125" s="1159"/>
      <c r="E125" s="1159"/>
      <c r="F125" s="1159"/>
      <c r="G125" s="1155"/>
      <c r="H125" s="1159"/>
      <c r="I125" s="1153"/>
      <c r="J125" s="1154"/>
      <c r="K125" s="1159"/>
      <c r="L125" s="1159"/>
      <c r="M125" s="1159"/>
      <c r="N125" s="1155"/>
      <c r="O125" s="1159"/>
      <c r="P125" s="1153"/>
      <c r="Q125" s="1159"/>
      <c r="R125" s="1159"/>
    </row>
    <row r="126" spans="1:18">
      <c r="A126" s="1173"/>
      <c r="B126" s="1167"/>
      <c r="C126" s="1152"/>
      <c r="D126" s="1157"/>
      <c r="E126" s="1157"/>
      <c r="F126" s="1157"/>
      <c r="G126" s="1152"/>
      <c r="H126" s="1157"/>
      <c r="I126" s="1153"/>
      <c r="J126" s="1152"/>
      <c r="K126" s="1157"/>
      <c r="L126" s="1157"/>
      <c r="M126" s="1157"/>
      <c r="N126" s="1152"/>
      <c r="O126" s="1157"/>
      <c r="P126" s="1153"/>
      <c r="Q126" s="1157"/>
      <c r="R126" s="1157"/>
    </row>
    <row r="127" spans="1:18">
      <c r="A127" s="1172" t="s">
        <v>1402</v>
      </c>
      <c r="B127" s="1166"/>
      <c r="C127" s="1155"/>
      <c r="D127" s="1157"/>
      <c r="E127" s="1157"/>
      <c r="F127" s="1157"/>
      <c r="G127" s="1152"/>
      <c r="H127" s="1157"/>
      <c r="I127" s="1153"/>
      <c r="J127" s="1155"/>
      <c r="K127" s="1157"/>
      <c r="L127" s="1157"/>
      <c r="M127" s="1157"/>
      <c r="N127" s="1152"/>
      <c r="O127" s="1157"/>
      <c r="P127" s="1153"/>
      <c r="Q127" s="1157"/>
      <c r="R127" s="1157"/>
    </row>
    <row r="128" spans="1:18">
      <c r="A128" s="1172" t="s">
        <v>475</v>
      </c>
      <c r="B128" s="1169">
        <f>-7.5%</f>
        <v>-7.4999999999999997E-2</v>
      </c>
      <c r="C128" s="1155"/>
      <c r="D128" s="1159"/>
      <c r="E128" s="1159"/>
      <c r="F128" s="1159"/>
      <c r="G128" s="1155"/>
      <c r="H128" s="1159"/>
      <c r="I128" s="1153"/>
      <c r="J128" s="1152"/>
      <c r="K128" s="1159"/>
      <c r="L128" s="1159"/>
      <c r="M128" s="1159"/>
      <c r="N128" s="1155"/>
      <c r="O128" s="1159"/>
      <c r="P128" s="1153"/>
      <c r="Q128" s="1159"/>
      <c r="R128" s="1159"/>
    </row>
    <row r="129" spans="1:18">
      <c r="A129" s="1173" t="s">
        <v>1091</v>
      </c>
      <c r="B129" s="1166"/>
      <c r="C129" s="1152" t="s">
        <v>1532</v>
      </c>
      <c r="D129" s="1157">
        <f>D133</f>
        <v>375</v>
      </c>
      <c r="E129" s="1157"/>
      <c r="F129" s="1157"/>
      <c r="G129" s="1152" t="s">
        <v>1533</v>
      </c>
      <c r="H129" s="1157">
        <f>H133*(1+$C$126)</f>
        <v>8.6</v>
      </c>
      <c r="I129" s="1153"/>
      <c r="J129" s="1152" t="str">
        <f t="shared" ref="J129:J131" si="18">C129</f>
        <v>Rs./kW/month</v>
      </c>
      <c r="K129" s="1157"/>
      <c r="L129" s="1157"/>
      <c r="M129" s="1157"/>
      <c r="N129" s="1152" t="str">
        <f t="shared" si="5"/>
        <v>Rs/kWh</v>
      </c>
      <c r="O129" s="1157"/>
      <c r="P129" s="1153"/>
      <c r="Q129" s="1158">
        <f>K129-D129</f>
        <v>-375</v>
      </c>
      <c r="R129" s="1158">
        <f>O129-H129</f>
        <v>-8.6</v>
      </c>
    </row>
    <row r="130" spans="1:18">
      <c r="A130" s="1173" t="s">
        <v>1092</v>
      </c>
      <c r="B130" s="1166"/>
      <c r="C130" s="1152" t="s">
        <v>1532</v>
      </c>
      <c r="D130" s="1157">
        <f>D129</f>
        <v>375</v>
      </c>
      <c r="E130" s="1157"/>
      <c r="F130" s="1157"/>
      <c r="G130" s="1152" t="s">
        <v>1533</v>
      </c>
      <c r="H130" s="1157">
        <f>H134*(1+$C$126)</f>
        <v>8.6</v>
      </c>
      <c r="I130" s="1153"/>
      <c r="J130" s="1152" t="str">
        <f t="shared" si="18"/>
        <v>Rs./kW/month</v>
      </c>
      <c r="K130" s="1157"/>
      <c r="L130" s="1157"/>
      <c r="M130" s="1157"/>
      <c r="N130" s="1152" t="str">
        <f t="shared" si="5"/>
        <v>Rs/kWh</v>
      </c>
      <c r="O130" s="1157"/>
      <c r="P130" s="1153"/>
      <c r="Q130" s="1158">
        <f>K130-D130</f>
        <v>-375</v>
      </c>
      <c r="R130" s="1158">
        <f>O130-H130</f>
        <v>-8.6</v>
      </c>
    </row>
    <row r="131" spans="1:18">
      <c r="A131" s="1173" t="s">
        <v>1093</v>
      </c>
      <c r="B131" s="1166"/>
      <c r="C131" s="1152" t="s">
        <v>1532</v>
      </c>
      <c r="D131" s="1157">
        <f>D130</f>
        <v>375</v>
      </c>
      <c r="E131" s="1157"/>
      <c r="F131" s="1157"/>
      <c r="G131" s="1152" t="s">
        <v>1533</v>
      </c>
      <c r="H131" s="1157">
        <f>H135*(1+$C$126)</f>
        <v>8.6</v>
      </c>
      <c r="I131" s="1153"/>
      <c r="J131" s="1152" t="str">
        <f t="shared" si="18"/>
        <v>Rs./kW/month</v>
      </c>
      <c r="K131" s="1157"/>
      <c r="L131" s="1157"/>
      <c r="M131" s="1157"/>
      <c r="N131" s="1152" t="str">
        <f t="shared" si="5"/>
        <v>Rs/kWh</v>
      </c>
      <c r="O131" s="1157"/>
      <c r="P131" s="1153"/>
      <c r="Q131" s="1158">
        <f>K131-D131</f>
        <v>-375</v>
      </c>
      <c r="R131" s="1158">
        <f>O131-H131</f>
        <v>-8.6</v>
      </c>
    </row>
    <row r="132" spans="1:18">
      <c r="A132" s="1172" t="s">
        <v>1403</v>
      </c>
      <c r="B132" s="1166"/>
      <c r="C132" s="1155"/>
      <c r="D132" s="1159"/>
      <c r="E132" s="1159"/>
      <c r="F132" s="1159"/>
      <c r="G132" s="1155"/>
      <c r="H132" s="1159"/>
      <c r="I132" s="1153"/>
      <c r="J132" s="1152"/>
      <c r="K132" s="1159"/>
      <c r="L132" s="1159"/>
      <c r="M132" s="1159"/>
      <c r="N132" s="1155"/>
      <c r="O132" s="1159"/>
      <c r="P132" s="1153"/>
      <c r="Q132" s="1159"/>
      <c r="R132" s="1159"/>
    </row>
    <row r="133" spans="1:18">
      <c r="A133" s="1173" t="s">
        <v>1094</v>
      </c>
      <c r="B133" s="1166"/>
      <c r="C133" s="1152" t="s">
        <v>1532</v>
      </c>
      <c r="D133" s="1157">
        <v>375</v>
      </c>
      <c r="E133" s="1157"/>
      <c r="F133" s="1157"/>
      <c r="G133" s="1152" t="s">
        <v>1533</v>
      </c>
      <c r="H133" s="1157">
        <v>8.6</v>
      </c>
      <c r="I133" s="1153"/>
      <c r="J133" s="1152" t="str">
        <f t="shared" ref="J133:J135" si="19">C133</f>
        <v>Rs./kW/month</v>
      </c>
      <c r="K133" s="1157"/>
      <c r="L133" s="1157"/>
      <c r="M133" s="1157"/>
      <c r="N133" s="1152" t="str">
        <f t="shared" si="5"/>
        <v>Rs/kWh</v>
      </c>
      <c r="O133" s="1157"/>
      <c r="P133" s="1153"/>
      <c r="Q133" s="1158">
        <f>K133-D133</f>
        <v>-375</v>
      </c>
      <c r="R133" s="1158">
        <f>O133-H133</f>
        <v>-8.6</v>
      </c>
    </row>
    <row r="134" spans="1:18">
      <c r="A134" s="1173" t="s">
        <v>1095</v>
      </c>
      <c r="B134" s="1166"/>
      <c r="C134" s="1152" t="s">
        <v>1532</v>
      </c>
      <c r="D134" s="1157">
        <f>D133</f>
        <v>375</v>
      </c>
      <c r="E134" s="1157"/>
      <c r="F134" s="1157"/>
      <c r="G134" s="1152" t="s">
        <v>1533</v>
      </c>
      <c r="H134" s="1157">
        <f>H133</f>
        <v>8.6</v>
      </c>
      <c r="I134" s="1153"/>
      <c r="J134" s="1152" t="str">
        <f t="shared" si="19"/>
        <v>Rs./kW/month</v>
      </c>
      <c r="K134" s="1157"/>
      <c r="L134" s="1157"/>
      <c r="M134" s="1157"/>
      <c r="N134" s="1152" t="str">
        <f t="shared" si="5"/>
        <v>Rs/kWh</v>
      </c>
      <c r="O134" s="1157"/>
      <c r="P134" s="1153"/>
      <c r="Q134" s="1158">
        <f>K134-D134</f>
        <v>-375</v>
      </c>
      <c r="R134" s="1158">
        <f>O134-H134</f>
        <v>-8.6</v>
      </c>
    </row>
    <row r="135" spans="1:18">
      <c r="A135" s="1173" t="s">
        <v>1096</v>
      </c>
      <c r="B135" s="1166"/>
      <c r="C135" s="1152" t="s">
        <v>1532</v>
      </c>
      <c r="D135" s="1157">
        <f>D134</f>
        <v>375</v>
      </c>
      <c r="E135" s="1157"/>
      <c r="F135" s="1157"/>
      <c r="G135" s="1152" t="s">
        <v>1533</v>
      </c>
      <c r="H135" s="1157">
        <f>H134</f>
        <v>8.6</v>
      </c>
      <c r="I135" s="1153"/>
      <c r="J135" s="1152" t="str">
        <f t="shared" si="19"/>
        <v>Rs./kW/month</v>
      </c>
      <c r="K135" s="1157"/>
      <c r="L135" s="1157"/>
      <c r="M135" s="1157"/>
      <c r="N135" s="1152" t="str">
        <f t="shared" si="5"/>
        <v>Rs/kWh</v>
      </c>
      <c r="O135" s="1157"/>
      <c r="P135" s="1153"/>
      <c r="Q135" s="1158">
        <f>K135-D135</f>
        <v>-375</v>
      </c>
      <c r="R135" s="1158">
        <f>O135-H135</f>
        <v>-8.6</v>
      </c>
    </row>
    <row r="136" spans="1:18">
      <c r="A136" s="1154" t="s">
        <v>1425</v>
      </c>
      <c r="B136" s="1154"/>
      <c r="C136" s="1154"/>
      <c r="D136" s="1159"/>
      <c r="E136" s="1159"/>
      <c r="F136" s="1159"/>
      <c r="G136" s="1155"/>
      <c r="H136" s="1159"/>
      <c r="I136" s="1153"/>
      <c r="J136" s="1154"/>
      <c r="K136" s="1159"/>
      <c r="L136" s="1159"/>
      <c r="M136" s="1159"/>
      <c r="N136" s="1155"/>
      <c r="O136" s="1159"/>
      <c r="P136" s="1153"/>
      <c r="Q136" s="1159"/>
      <c r="R136" s="1159"/>
    </row>
    <row r="137" spans="1:18">
      <c r="A137" s="1172"/>
      <c r="B137" s="1166"/>
      <c r="C137" s="1155"/>
      <c r="D137" s="1157"/>
      <c r="E137" s="1157"/>
      <c r="F137" s="1157"/>
      <c r="G137" s="1152"/>
      <c r="H137" s="1157"/>
      <c r="I137" s="1153"/>
      <c r="J137" s="1155"/>
      <c r="K137" s="1157"/>
      <c r="L137" s="1157"/>
      <c r="M137" s="1157"/>
      <c r="N137" s="1152"/>
      <c r="O137" s="1157"/>
      <c r="P137" s="1153"/>
      <c r="Q137" s="1157"/>
      <c r="R137" s="1157"/>
    </row>
    <row r="138" spans="1:18">
      <c r="A138" s="1172" t="s">
        <v>1098</v>
      </c>
      <c r="B138" s="1166"/>
      <c r="C138" s="1155"/>
      <c r="D138" s="1157"/>
      <c r="E138" s="1157"/>
      <c r="F138" s="1157"/>
      <c r="G138" s="1152"/>
      <c r="H138" s="1157"/>
      <c r="I138" s="1153"/>
      <c r="J138" s="1155"/>
      <c r="K138" s="1157"/>
      <c r="L138" s="1157"/>
      <c r="M138" s="1157"/>
      <c r="N138" s="1152"/>
      <c r="O138" s="1157"/>
      <c r="P138" s="1153"/>
      <c r="Q138" s="1157"/>
      <c r="R138" s="1157"/>
    </row>
    <row r="139" spans="1:18">
      <c r="A139" s="1172" t="s">
        <v>476</v>
      </c>
      <c r="B139" s="1166"/>
      <c r="C139" s="1155"/>
      <c r="D139" s="1159"/>
      <c r="E139" s="1159"/>
      <c r="F139" s="1159"/>
      <c r="G139" s="1155"/>
      <c r="H139" s="1159"/>
      <c r="I139" s="1153"/>
      <c r="J139" s="1155"/>
      <c r="K139" s="1159"/>
      <c r="L139" s="1159"/>
      <c r="M139" s="1159"/>
      <c r="N139" s="1155"/>
      <c r="O139" s="1159"/>
      <c r="P139" s="1153"/>
      <c r="Q139" s="1159"/>
      <c r="R139" s="1159"/>
    </row>
    <row r="140" spans="1:18">
      <c r="A140" s="1173" t="s">
        <v>1099</v>
      </c>
      <c r="B140" s="1166"/>
      <c r="C140" s="1152" t="s">
        <v>1542</v>
      </c>
      <c r="D140" s="1157">
        <v>330</v>
      </c>
      <c r="E140" s="1157"/>
      <c r="F140" s="1157"/>
      <c r="G140" s="1152" t="s">
        <v>1533</v>
      </c>
      <c r="H140" s="1157">
        <v>8.5</v>
      </c>
      <c r="I140" s="1153"/>
      <c r="J140" s="1152" t="str">
        <f>C140</f>
        <v>Rs/BHP/month</v>
      </c>
      <c r="K140" s="1157"/>
      <c r="L140" s="1157"/>
      <c r="M140" s="1157"/>
      <c r="N140" s="1152" t="str">
        <f t="shared" ref="N140:N203" si="20">G140</f>
        <v>Rs/kWh</v>
      </c>
      <c r="O140" s="1157"/>
      <c r="P140" s="1153"/>
      <c r="Q140" s="1158">
        <f>K140-D140</f>
        <v>-330</v>
      </c>
      <c r="R140" s="1158">
        <f>O140-H140</f>
        <v>-8.5</v>
      </c>
    </row>
    <row r="141" spans="1:18">
      <c r="A141" s="1172" t="s">
        <v>1404</v>
      </c>
      <c r="B141" s="1166"/>
      <c r="C141" s="1155"/>
      <c r="D141" s="1159"/>
      <c r="E141" s="1159"/>
      <c r="F141" s="1159"/>
      <c r="G141" s="1155"/>
      <c r="H141" s="1159"/>
      <c r="I141" s="1153"/>
      <c r="J141" s="1155"/>
      <c r="K141" s="1159"/>
      <c r="L141" s="1159"/>
      <c r="M141" s="1159"/>
      <c r="N141" s="1155"/>
      <c r="O141" s="1159"/>
      <c r="P141" s="1153"/>
      <c r="Q141" s="1159"/>
      <c r="R141" s="1159"/>
    </row>
    <row r="142" spans="1:18">
      <c r="A142" s="1173" t="s">
        <v>1405</v>
      </c>
      <c r="B142" s="1166"/>
      <c r="C142" s="1152" t="s">
        <v>1542</v>
      </c>
      <c r="D142" s="1157">
        <v>3300</v>
      </c>
      <c r="E142" s="1157"/>
      <c r="F142" s="1157"/>
      <c r="G142" s="1152" t="s">
        <v>1533</v>
      </c>
      <c r="H142" s="1157">
        <v>0</v>
      </c>
      <c r="I142" s="1153"/>
      <c r="J142" s="1152" t="str">
        <f>C142</f>
        <v>Rs/BHP/month</v>
      </c>
      <c r="K142" s="1157"/>
      <c r="L142" s="1157"/>
      <c r="M142" s="1157"/>
      <c r="N142" s="1152" t="str">
        <f t="shared" si="20"/>
        <v>Rs/kWh</v>
      </c>
      <c r="O142" s="1157"/>
      <c r="P142" s="1153"/>
      <c r="Q142" s="1158">
        <f>K142-D142</f>
        <v>-3300</v>
      </c>
      <c r="R142" s="1158">
        <f>O142-H142</f>
        <v>0</v>
      </c>
    </row>
    <row r="143" spans="1:18">
      <c r="A143" s="1173" t="s">
        <v>1101</v>
      </c>
      <c r="B143" s="1166"/>
      <c r="C143" s="1152" t="s">
        <v>1542</v>
      </c>
      <c r="D143" s="1157">
        <f>D142</f>
        <v>3300</v>
      </c>
      <c r="E143" s="1157"/>
      <c r="F143" s="1157"/>
      <c r="G143" s="1152" t="s">
        <v>1533</v>
      </c>
      <c r="H143" s="1157">
        <f>H142</f>
        <v>0</v>
      </c>
      <c r="I143" s="1153"/>
      <c r="J143" s="1152" t="str">
        <f>C143</f>
        <v>Rs/BHP/month</v>
      </c>
      <c r="K143" s="1157"/>
      <c r="L143" s="1157"/>
      <c r="M143" s="1157"/>
      <c r="N143" s="1152" t="str">
        <f t="shared" si="20"/>
        <v>Rs/kWh</v>
      </c>
      <c r="O143" s="1157"/>
      <c r="P143" s="1153"/>
      <c r="Q143" s="1158">
        <f>K143-D143</f>
        <v>-3300</v>
      </c>
      <c r="R143" s="1158">
        <f>O143-H143</f>
        <v>0</v>
      </c>
    </row>
    <row r="144" spans="1:18">
      <c r="A144" s="1154" t="s">
        <v>1425</v>
      </c>
      <c r="B144" s="1154"/>
      <c r="C144" s="1154"/>
      <c r="D144" s="1159"/>
      <c r="E144" s="1159"/>
      <c r="F144" s="1159"/>
      <c r="G144" s="1155"/>
      <c r="H144" s="1159"/>
      <c r="I144" s="1153"/>
      <c r="J144" s="1154"/>
      <c r="K144" s="1159"/>
      <c r="L144" s="1159"/>
      <c r="M144" s="1159"/>
      <c r="N144" s="1155"/>
      <c r="O144" s="1159"/>
      <c r="P144" s="1153"/>
      <c r="Q144" s="1159"/>
      <c r="R144" s="1159"/>
    </row>
    <row r="145" spans="1:18">
      <c r="A145" s="1173"/>
      <c r="B145" s="1167"/>
      <c r="C145" s="1152"/>
      <c r="D145" s="1157"/>
      <c r="E145" s="1157"/>
      <c r="F145" s="1157"/>
      <c r="G145" s="1152"/>
      <c r="H145" s="1157"/>
      <c r="I145" s="1153"/>
      <c r="J145" s="1152"/>
      <c r="K145" s="1157"/>
      <c r="L145" s="1157"/>
      <c r="M145" s="1157"/>
      <c r="N145" s="1152"/>
      <c r="O145" s="1157"/>
      <c r="P145" s="1153"/>
      <c r="Q145" s="1157"/>
      <c r="R145" s="1157"/>
    </row>
    <row r="146" spans="1:18">
      <c r="A146" s="1172" t="s">
        <v>1406</v>
      </c>
      <c r="B146" s="1166"/>
      <c r="C146" s="1155"/>
      <c r="D146" s="1157"/>
      <c r="E146" s="1157"/>
      <c r="F146" s="1157"/>
      <c r="G146" s="1152"/>
      <c r="H146" s="1157"/>
      <c r="I146" s="1153"/>
      <c r="J146" s="1155"/>
      <c r="K146" s="1157"/>
      <c r="L146" s="1157"/>
      <c r="M146" s="1157"/>
      <c r="N146" s="1152"/>
      <c r="O146" s="1157"/>
      <c r="P146" s="1153"/>
      <c r="Q146" s="1157"/>
      <c r="R146" s="1157"/>
    </row>
    <row r="147" spans="1:18">
      <c r="A147" s="1172" t="s">
        <v>476</v>
      </c>
      <c r="B147" s="1166"/>
      <c r="C147" s="1155"/>
      <c r="D147" s="1159"/>
      <c r="E147" s="1159"/>
      <c r="F147" s="1159"/>
      <c r="G147" s="1155"/>
      <c r="H147" s="1159"/>
      <c r="I147" s="1153"/>
      <c r="J147" s="1155"/>
      <c r="K147" s="1159"/>
      <c r="L147" s="1159"/>
      <c r="M147" s="1159"/>
      <c r="N147" s="1155"/>
      <c r="O147" s="1159"/>
      <c r="P147" s="1153"/>
      <c r="Q147" s="1159"/>
      <c r="R147" s="1159"/>
    </row>
    <row r="148" spans="1:18">
      <c r="A148" s="1172" t="s">
        <v>1104</v>
      </c>
      <c r="B148" s="1166"/>
      <c r="C148" s="1152" t="s">
        <v>1532</v>
      </c>
      <c r="D148" s="1157">
        <v>200</v>
      </c>
      <c r="E148" s="1157"/>
      <c r="F148" s="1157"/>
      <c r="G148" s="1152" t="s">
        <v>1533</v>
      </c>
      <c r="H148" s="1157">
        <v>8</v>
      </c>
      <c r="I148" s="1153"/>
      <c r="J148" s="1152" t="str">
        <f>C148</f>
        <v>Rs./kW/month</v>
      </c>
      <c r="K148" s="1157"/>
      <c r="L148" s="1157"/>
      <c r="M148" s="1157"/>
      <c r="N148" s="1152" t="str">
        <f t="shared" si="20"/>
        <v>Rs/kWh</v>
      </c>
      <c r="O148" s="1157"/>
      <c r="P148" s="1153"/>
      <c r="Q148" s="1158">
        <f>K148-D148</f>
        <v>-200</v>
      </c>
      <c r="R148" s="1158">
        <f>O148-H148</f>
        <v>-8</v>
      </c>
    </row>
    <row r="149" spans="1:18">
      <c r="A149" s="1172" t="s">
        <v>1105</v>
      </c>
      <c r="B149" s="1166"/>
      <c r="C149" s="1152" t="s">
        <v>1532</v>
      </c>
      <c r="D149" s="1157">
        <v>300</v>
      </c>
      <c r="E149" s="1157" t="s">
        <v>1543</v>
      </c>
      <c r="F149" s="1157">
        <v>450</v>
      </c>
      <c r="G149" s="1152" t="s">
        <v>1533</v>
      </c>
      <c r="H149" s="1157">
        <v>9</v>
      </c>
      <c r="I149" s="1153"/>
      <c r="J149" s="1152" t="str">
        <f>C149</f>
        <v>Rs./kW/month</v>
      </c>
      <c r="K149" s="1157"/>
      <c r="L149" s="1157" t="str">
        <f>E149</f>
        <v>Rs/kW/week</v>
      </c>
      <c r="M149" s="1157"/>
      <c r="N149" s="1152" t="str">
        <f t="shared" si="20"/>
        <v>Rs/kWh</v>
      </c>
      <c r="O149" s="1157"/>
      <c r="P149" s="1153"/>
      <c r="Q149" s="1158">
        <f>K149-D149</f>
        <v>-300</v>
      </c>
      <c r="R149" s="1158">
        <f>O149-H149</f>
        <v>-9</v>
      </c>
    </row>
    <row r="150" spans="1:18">
      <c r="A150" s="1172" t="s">
        <v>1404</v>
      </c>
      <c r="B150" s="1166"/>
      <c r="C150" s="1155"/>
      <c r="D150" s="1159"/>
      <c r="E150" s="1159"/>
      <c r="F150" s="1159"/>
      <c r="G150" s="1155"/>
      <c r="H150" s="1159"/>
      <c r="I150" s="1153"/>
      <c r="J150" s="1152"/>
      <c r="K150" s="1157"/>
      <c r="L150" s="1157"/>
      <c r="M150" s="1157"/>
      <c r="N150" s="1152"/>
      <c r="O150" s="1159"/>
      <c r="P150" s="1153"/>
      <c r="Q150" s="1157"/>
      <c r="R150" s="1159"/>
    </row>
    <row r="151" spans="1:18">
      <c r="A151" s="1172" t="s">
        <v>1106</v>
      </c>
      <c r="B151" s="1166"/>
      <c r="C151" s="1152" t="s">
        <v>1544</v>
      </c>
      <c r="D151" s="1157">
        <v>4750</v>
      </c>
      <c r="E151" s="1157"/>
      <c r="F151" s="1157"/>
      <c r="G151" s="1152" t="s">
        <v>1533</v>
      </c>
      <c r="H151" s="1157">
        <v>0</v>
      </c>
      <c r="I151" s="1153"/>
      <c r="J151" s="1152" t="str">
        <f>C151</f>
        <v>Rs/day</v>
      </c>
      <c r="K151" s="1157"/>
      <c r="L151" s="1157"/>
      <c r="M151" s="1157"/>
      <c r="N151" s="1152" t="str">
        <f t="shared" si="20"/>
        <v>Rs/kWh</v>
      </c>
      <c r="O151" s="1157"/>
      <c r="P151" s="1153"/>
      <c r="Q151" s="1158">
        <f>K151-D151</f>
        <v>-4750</v>
      </c>
      <c r="R151" s="1158">
        <f>O151-H151</f>
        <v>0</v>
      </c>
    </row>
    <row r="152" spans="1:18">
      <c r="A152" s="1172" t="s">
        <v>1107</v>
      </c>
      <c r="B152" s="1166"/>
      <c r="C152" s="1152" t="s">
        <v>1544</v>
      </c>
      <c r="D152" s="1157">
        <v>560</v>
      </c>
      <c r="E152" s="1157"/>
      <c r="F152" s="1157"/>
      <c r="G152" s="1152" t="s">
        <v>1533</v>
      </c>
      <c r="H152" s="1157">
        <v>0</v>
      </c>
      <c r="I152" s="1153"/>
      <c r="J152" s="1152" t="str">
        <f>C152</f>
        <v>Rs/day</v>
      </c>
      <c r="K152" s="1157"/>
      <c r="L152" s="1157"/>
      <c r="M152" s="1157"/>
      <c r="N152" s="1152" t="str">
        <f t="shared" si="20"/>
        <v>Rs/kWh</v>
      </c>
      <c r="O152" s="1157"/>
      <c r="P152" s="1153"/>
      <c r="Q152" s="1158">
        <f>K152-D152</f>
        <v>-560</v>
      </c>
      <c r="R152" s="1158">
        <f>O152-H152</f>
        <v>0</v>
      </c>
    </row>
    <row r="153" spans="1:18">
      <c r="A153" s="1154" t="s">
        <v>1425</v>
      </c>
      <c r="B153" s="1154"/>
      <c r="C153" s="1154"/>
      <c r="D153" s="1159"/>
      <c r="E153" s="1159"/>
      <c r="F153" s="1159"/>
      <c r="G153" s="1155"/>
      <c r="H153" s="1159"/>
      <c r="I153" s="1153"/>
      <c r="J153" s="1154"/>
      <c r="K153" s="1159"/>
      <c r="L153" s="1159"/>
      <c r="M153" s="1159"/>
      <c r="N153" s="1155"/>
      <c r="O153" s="1159"/>
      <c r="P153" s="1153"/>
      <c r="Q153" s="1159"/>
      <c r="R153" s="1159"/>
    </row>
    <row r="154" spans="1:18">
      <c r="A154" s="1173"/>
      <c r="B154" s="1167"/>
      <c r="C154" s="1152"/>
      <c r="D154" s="1157"/>
      <c r="E154" s="1157"/>
      <c r="F154" s="1157"/>
      <c r="G154" s="1152"/>
      <c r="H154" s="1157"/>
      <c r="I154" s="1153"/>
      <c r="J154" s="1152"/>
      <c r="K154" s="1157"/>
      <c r="L154" s="1157"/>
      <c r="M154" s="1157"/>
      <c r="N154" s="1152"/>
      <c r="O154" s="1157"/>
      <c r="P154" s="1153"/>
      <c r="Q154" s="1157"/>
      <c r="R154" s="1157"/>
    </row>
    <row r="155" spans="1:18">
      <c r="A155" s="1172" t="s">
        <v>1109</v>
      </c>
      <c r="B155" s="1166"/>
      <c r="C155" s="1155"/>
      <c r="D155" s="1157"/>
      <c r="E155" s="1157"/>
      <c r="F155" s="1157"/>
      <c r="G155" s="1152"/>
      <c r="H155" s="1157"/>
      <c r="I155" s="1153"/>
      <c r="J155" s="1155"/>
      <c r="K155" s="1157"/>
      <c r="L155" s="1157"/>
      <c r="M155" s="1157"/>
      <c r="N155" s="1152"/>
      <c r="O155" s="1157"/>
      <c r="P155" s="1153"/>
      <c r="Q155" s="1157"/>
      <c r="R155" s="1157"/>
    </row>
    <row r="156" spans="1:18">
      <c r="A156" s="1154" t="s">
        <v>1109</v>
      </c>
      <c r="B156" s="1154"/>
      <c r="C156" s="1156" t="str">
        <f>C9</f>
        <v>Rs./kW/month</v>
      </c>
      <c r="D156" s="1157">
        <f>D19</f>
        <v>110</v>
      </c>
      <c r="E156" s="1157"/>
      <c r="F156" s="1157"/>
      <c r="G156" s="1152" t="str">
        <f>G9</f>
        <v>Rs/kWh</v>
      </c>
      <c r="H156" s="1157">
        <f>AVERAGE(H19:H22)</f>
        <v>6.25</v>
      </c>
      <c r="I156" s="1153"/>
      <c r="J156" s="1154" t="str">
        <f>C156</f>
        <v>Rs./kW/month</v>
      </c>
      <c r="K156" s="1159"/>
      <c r="L156" s="1159"/>
      <c r="M156" s="1159"/>
      <c r="N156" s="1155" t="str">
        <f t="shared" si="20"/>
        <v>Rs/kWh</v>
      </c>
      <c r="O156" s="1159"/>
      <c r="P156" s="1153"/>
      <c r="Q156" s="1158">
        <f>K156-D156</f>
        <v>-110</v>
      </c>
      <c r="R156" s="1158">
        <f>O156-H156</f>
        <v>-6.25</v>
      </c>
    </row>
    <row r="157" spans="1:18">
      <c r="A157" s="1173"/>
      <c r="B157" s="1167"/>
      <c r="C157" s="1152"/>
      <c r="D157" s="1157"/>
      <c r="E157" s="1157"/>
      <c r="F157" s="1157"/>
      <c r="G157" s="1152"/>
      <c r="H157" s="1157"/>
      <c r="I157" s="1153"/>
      <c r="J157" s="1152"/>
      <c r="K157" s="1157"/>
      <c r="L157" s="1157"/>
      <c r="M157" s="1157"/>
      <c r="N157" s="1152"/>
      <c r="O157" s="1157"/>
      <c r="P157" s="1153"/>
      <c r="Q157" s="1157"/>
      <c r="R157" s="1157"/>
    </row>
    <row r="158" spans="1:18">
      <c r="A158" s="1172" t="s">
        <v>1407</v>
      </c>
      <c r="B158" s="1166"/>
      <c r="C158" s="1155"/>
      <c r="D158" s="1157"/>
      <c r="E158" s="1157"/>
      <c r="F158" s="1157"/>
      <c r="G158" s="1152"/>
      <c r="H158" s="1157"/>
      <c r="I158" s="1153"/>
      <c r="J158" s="1155"/>
      <c r="K158" s="1157"/>
      <c r="L158" s="1157"/>
      <c r="M158" s="1157"/>
      <c r="N158" s="1152"/>
      <c r="O158" s="1157"/>
      <c r="P158" s="1153"/>
      <c r="Q158" s="1157"/>
      <c r="R158" s="1157"/>
    </row>
    <row r="159" spans="1:18">
      <c r="A159" s="1172" t="s">
        <v>1146</v>
      </c>
      <c r="B159" s="1166"/>
      <c r="C159" s="1155"/>
      <c r="D159" s="1159"/>
      <c r="E159" s="1159"/>
      <c r="F159" s="1159"/>
      <c r="G159" s="1155"/>
      <c r="H159" s="1159"/>
      <c r="I159" s="1153"/>
      <c r="J159" s="1155"/>
      <c r="K159" s="1159"/>
      <c r="L159" s="1159"/>
      <c r="M159" s="1159"/>
      <c r="N159" s="1155"/>
      <c r="O159" s="1159"/>
      <c r="P159" s="1153"/>
      <c r="Q159" s="1159"/>
      <c r="R159" s="1159"/>
    </row>
    <row r="160" spans="1:18">
      <c r="A160" s="1173" t="s">
        <v>1408</v>
      </c>
      <c r="B160" s="1167"/>
      <c r="C160" s="1152" t="s">
        <v>1532</v>
      </c>
      <c r="D160" s="1157">
        <v>0</v>
      </c>
      <c r="E160" s="1157"/>
      <c r="F160" s="1157"/>
      <c r="G160" s="1152" t="s">
        <v>1533</v>
      </c>
      <c r="H160" s="1157">
        <v>6.2</v>
      </c>
      <c r="I160" s="1153"/>
      <c r="J160" s="1152" t="str">
        <f>C160</f>
        <v>Rs./kW/month</v>
      </c>
      <c r="K160" s="1157"/>
      <c r="L160" s="1157"/>
      <c r="M160" s="1157"/>
      <c r="N160" s="1152" t="str">
        <f t="shared" si="20"/>
        <v>Rs/kWh</v>
      </c>
      <c r="O160" s="1157"/>
      <c r="P160" s="1153"/>
      <c r="Q160" s="1158">
        <f>K160-D160</f>
        <v>0</v>
      </c>
      <c r="R160" s="1158">
        <f>O160-H160</f>
        <v>-6.2</v>
      </c>
    </row>
    <row r="161" spans="1:18">
      <c r="A161" s="1173" t="s">
        <v>1409</v>
      </c>
      <c r="B161" s="1167"/>
      <c r="C161" s="1152" t="s">
        <v>1532</v>
      </c>
      <c r="D161" s="1157">
        <v>0</v>
      </c>
      <c r="E161" s="1157"/>
      <c r="F161" s="1157"/>
      <c r="G161" s="1152" t="s">
        <v>1533</v>
      </c>
      <c r="H161" s="1157">
        <v>5.9</v>
      </c>
      <c r="I161" s="1153"/>
      <c r="J161" s="1152" t="str">
        <f>C161</f>
        <v>Rs./kW/month</v>
      </c>
      <c r="K161" s="1157"/>
      <c r="L161" s="1157"/>
      <c r="M161" s="1157"/>
      <c r="N161" s="1152" t="str">
        <f t="shared" si="20"/>
        <v>Rs/kWh</v>
      </c>
      <c r="O161" s="1157"/>
      <c r="P161" s="1153"/>
      <c r="Q161" s="1158">
        <f>K161-D161</f>
        <v>0</v>
      </c>
      <c r="R161" s="1158">
        <f>O161-H161</f>
        <v>-5.9</v>
      </c>
    </row>
    <row r="162" spans="1:18">
      <c r="A162" s="1172" t="s">
        <v>1410</v>
      </c>
      <c r="B162" s="1166"/>
      <c r="C162" s="1155"/>
      <c r="D162" s="1159"/>
      <c r="E162" s="1159"/>
      <c r="F162" s="1159"/>
      <c r="G162" s="1155"/>
      <c r="H162" s="1159"/>
      <c r="I162" s="1153"/>
      <c r="J162" s="1155"/>
      <c r="K162" s="1159"/>
      <c r="L162" s="1159"/>
      <c r="M162" s="1159"/>
      <c r="N162" s="1155"/>
      <c r="O162" s="1159"/>
      <c r="P162" s="1153"/>
      <c r="Q162" s="1158">
        <f>K162-D162</f>
        <v>0</v>
      </c>
      <c r="R162" s="1158">
        <f>O162-H162</f>
        <v>0</v>
      </c>
    </row>
    <row r="163" spans="1:18">
      <c r="A163" s="1173" t="s">
        <v>469</v>
      </c>
      <c r="B163" s="1167"/>
      <c r="C163" s="1152" t="s">
        <v>1532</v>
      </c>
      <c r="D163" s="1157">
        <v>0</v>
      </c>
      <c r="E163" s="1157"/>
      <c r="F163" s="1157"/>
      <c r="G163" s="1152" t="s">
        <v>1533</v>
      </c>
      <c r="H163" s="1157">
        <v>7.7</v>
      </c>
      <c r="I163" s="1153"/>
      <c r="J163" s="1152" t="str">
        <f>C163</f>
        <v>Rs./kW/month</v>
      </c>
      <c r="K163" s="1157"/>
      <c r="L163" s="1157"/>
      <c r="M163" s="1157"/>
      <c r="N163" s="1152" t="str">
        <f t="shared" si="20"/>
        <v>Rs/kWh</v>
      </c>
      <c r="O163" s="1157"/>
      <c r="P163" s="1153"/>
      <c r="Q163" s="1158">
        <f>K163-D163</f>
        <v>0</v>
      </c>
      <c r="R163" s="1158">
        <f>O163-H163</f>
        <v>-7.7</v>
      </c>
    </row>
    <row r="164" spans="1:18">
      <c r="A164" s="1173" t="s">
        <v>470</v>
      </c>
      <c r="B164" s="1167"/>
      <c r="C164" s="1152" t="s">
        <v>1532</v>
      </c>
      <c r="D164" s="1157">
        <v>0</v>
      </c>
      <c r="E164" s="1157"/>
      <c r="F164" s="1157"/>
      <c r="G164" s="1152" t="s">
        <v>1533</v>
      </c>
      <c r="H164" s="1157">
        <v>7.3</v>
      </c>
      <c r="I164" s="1153"/>
      <c r="J164" s="1152" t="str">
        <f>C164</f>
        <v>Rs./kW/month</v>
      </c>
      <c r="K164" s="1157"/>
      <c r="L164" s="1157"/>
      <c r="M164" s="1157"/>
      <c r="N164" s="1152" t="str">
        <f t="shared" si="20"/>
        <v>Rs/kWh</v>
      </c>
      <c r="O164" s="1157"/>
      <c r="P164" s="1153"/>
      <c r="Q164" s="1158">
        <f>K164-D164</f>
        <v>0</v>
      </c>
      <c r="R164" s="1158">
        <f>O164-H164</f>
        <v>-7.3</v>
      </c>
    </row>
    <row r="165" spans="1:18">
      <c r="A165" s="1154" t="s">
        <v>1425</v>
      </c>
      <c r="B165" s="1154"/>
      <c r="C165" s="1154"/>
      <c r="D165" s="1159"/>
      <c r="E165" s="1159"/>
      <c r="F165" s="1159"/>
      <c r="G165" s="1155"/>
      <c r="H165" s="1159"/>
      <c r="I165" s="1153"/>
      <c r="J165" s="1154"/>
      <c r="K165" s="1159"/>
      <c r="L165" s="1159"/>
      <c r="M165" s="1159"/>
      <c r="N165" s="1155"/>
      <c r="O165" s="1159"/>
      <c r="P165" s="1153"/>
      <c r="Q165" s="1159"/>
      <c r="R165" s="1159"/>
    </row>
    <row r="166" spans="1:18">
      <c r="A166" s="1173"/>
      <c r="B166" s="1167"/>
      <c r="C166" s="1152"/>
      <c r="D166" s="1157"/>
      <c r="E166" s="1157"/>
      <c r="F166" s="1157"/>
      <c r="G166" s="1152"/>
      <c r="H166" s="1157"/>
      <c r="I166" s="1153"/>
      <c r="J166" s="1152"/>
      <c r="K166" s="1157"/>
      <c r="L166" s="1157"/>
      <c r="M166" s="1157"/>
      <c r="N166" s="1152"/>
      <c r="O166" s="1157"/>
      <c r="P166" s="1153"/>
      <c r="Q166" s="1157"/>
      <c r="R166" s="1157"/>
    </row>
    <row r="167" spans="1:18">
      <c r="A167" s="1172" t="s">
        <v>1119</v>
      </c>
      <c r="B167" s="1166"/>
      <c r="C167" s="1155"/>
      <c r="D167" s="1157"/>
      <c r="E167" s="1157"/>
      <c r="F167" s="1157"/>
      <c r="G167" s="1152"/>
      <c r="H167" s="1157"/>
      <c r="I167" s="1153"/>
      <c r="J167" s="1155"/>
      <c r="K167" s="1157"/>
      <c r="L167" s="1157"/>
      <c r="M167" s="1157"/>
      <c r="N167" s="1152"/>
      <c r="O167" s="1157"/>
      <c r="P167" s="1153"/>
      <c r="Q167" s="1157"/>
      <c r="R167" s="1157"/>
    </row>
    <row r="168" spans="1:18">
      <c r="A168" s="1172" t="s">
        <v>1545</v>
      </c>
      <c r="B168" s="1167"/>
      <c r="C168" s="1152"/>
      <c r="D168" s="1159"/>
      <c r="E168" s="1159"/>
      <c r="F168" s="1159"/>
      <c r="G168" s="1155"/>
      <c r="H168" s="1159"/>
      <c r="I168" s="1153"/>
      <c r="J168" s="1152"/>
      <c r="K168" s="1159"/>
      <c r="L168" s="1159"/>
      <c r="M168" s="1159"/>
      <c r="N168" s="1155"/>
      <c r="O168" s="1159"/>
      <c r="P168" s="1153"/>
      <c r="Q168" s="1159"/>
      <c r="R168" s="1159"/>
    </row>
    <row r="169" spans="1:18">
      <c r="A169" s="1172" t="s">
        <v>1465</v>
      </c>
      <c r="B169" s="1167"/>
      <c r="C169" s="1152"/>
      <c r="D169" s="1159"/>
      <c r="E169" s="1159"/>
      <c r="F169" s="1159"/>
      <c r="G169" s="1155"/>
      <c r="H169" s="1159"/>
      <c r="I169" s="1153"/>
      <c r="J169" s="1152"/>
      <c r="K169" s="1159"/>
      <c r="L169" s="1159"/>
      <c r="M169" s="1159"/>
      <c r="N169" s="1155"/>
      <c r="O169" s="1159"/>
      <c r="P169" s="1153"/>
      <c r="Q169" s="1159"/>
      <c r="R169" s="1159"/>
    </row>
    <row r="170" spans="1:18">
      <c r="A170" s="1173" t="s">
        <v>1546</v>
      </c>
      <c r="B170" s="1167"/>
      <c r="C170" s="1152" t="s">
        <v>1547</v>
      </c>
      <c r="D170" s="1157">
        <v>430</v>
      </c>
      <c r="E170" s="1157"/>
      <c r="F170" s="1157"/>
      <c r="G170" s="1152" t="s">
        <v>1548</v>
      </c>
      <c r="H170" s="1157">
        <v>8.32</v>
      </c>
      <c r="I170" s="1153"/>
      <c r="J170" s="1152" t="str">
        <f>C170</f>
        <v>Rs./kVA/month</v>
      </c>
      <c r="K170" s="1157"/>
      <c r="L170" s="1157"/>
      <c r="M170" s="1157"/>
      <c r="N170" s="1152" t="str">
        <f t="shared" si="20"/>
        <v>Rs/kVAh</v>
      </c>
      <c r="O170" s="1157"/>
      <c r="P170" s="1153"/>
      <c r="Q170" s="1158">
        <f>K170-D170</f>
        <v>-430</v>
      </c>
      <c r="R170" s="1158">
        <f>O170-H170</f>
        <v>-8.32</v>
      </c>
    </row>
    <row r="171" spans="1:18">
      <c r="A171" s="1173" t="s">
        <v>1549</v>
      </c>
      <c r="B171" s="1167"/>
      <c r="C171" s="1152" t="s">
        <v>1547</v>
      </c>
      <c r="D171" s="1157">
        <f>D170</f>
        <v>430</v>
      </c>
      <c r="E171" s="1157"/>
      <c r="F171" s="1157"/>
      <c r="G171" s="1152" t="s">
        <v>1548</v>
      </c>
      <c r="H171" s="1157">
        <v>8.68</v>
      </c>
      <c r="I171" s="1153"/>
      <c r="J171" s="1152" t="str">
        <f>C171</f>
        <v>Rs./kVA/month</v>
      </c>
      <c r="K171" s="1157"/>
      <c r="L171" s="1157"/>
      <c r="M171" s="1157"/>
      <c r="N171" s="1152" t="str">
        <f t="shared" si="20"/>
        <v>Rs/kVAh</v>
      </c>
      <c r="O171" s="1157"/>
      <c r="P171" s="1153"/>
      <c r="Q171" s="1158">
        <f>K171-D171</f>
        <v>-430</v>
      </c>
      <c r="R171" s="1158">
        <f>O171-H171</f>
        <v>-8.68</v>
      </c>
    </row>
    <row r="172" spans="1:18">
      <c r="A172" s="1172" t="s">
        <v>1550</v>
      </c>
      <c r="B172" s="1166"/>
      <c r="C172" s="1155"/>
      <c r="D172" s="1159"/>
      <c r="E172" s="1159"/>
      <c r="F172" s="1159"/>
      <c r="G172" s="1155"/>
      <c r="H172" s="1159"/>
      <c r="I172" s="1161"/>
      <c r="J172" s="1155"/>
      <c r="K172" s="1159"/>
      <c r="L172" s="1159"/>
      <c r="M172" s="1159"/>
      <c r="N172" s="1155"/>
      <c r="O172" s="1159"/>
      <c r="P172" s="1161"/>
      <c r="Q172" s="1159"/>
      <c r="R172" s="1159"/>
    </row>
    <row r="173" spans="1:18">
      <c r="A173" s="1173" t="s">
        <v>1551</v>
      </c>
      <c r="B173" s="1167"/>
      <c r="C173" s="1152" t="s">
        <v>1547</v>
      </c>
      <c r="D173" s="1157">
        <v>400</v>
      </c>
      <c r="E173" s="1157"/>
      <c r="F173" s="1157"/>
      <c r="G173" s="1152" t="s">
        <v>1548</v>
      </c>
      <c r="H173" s="1157">
        <v>8.1199999999999992</v>
      </c>
      <c r="I173" s="1153"/>
      <c r="J173" s="1152" t="str">
        <f>C173</f>
        <v>Rs./kVA/month</v>
      </c>
      <c r="K173" s="1157"/>
      <c r="L173" s="1157"/>
      <c r="M173" s="1157"/>
      <c r="N173" s="1152" t="str">
        <f t="shared" si="20"/>
        <v>Rs/kVAh</v>
      </c>
      <c r="O173" s="1157"/>
      <c r="P173" s="1153"/>
      <c r="Q173" s="1158">
        <f>K173-D173</f>
        <v>-400</v>
      </c>
      <c r="R173" s="1158">
        <f>O173-H173</f>
        <v>-8.1199999999999992</v>
      </c>
    </row>
    <row r="174" spans="1:18">
      <c r="A174" s="1173" t="s">
        <v>1552</v>
      </c>
      <c r="B174" s="1167"/>
      <c r="C174" s="1152" t="s">
        <v>1547</v>
      </c>
      <c r="D174" s="1157">
        <f>D173</f>
        <v>400</v>
      </c>
      <c r="E174" s="1157"/>
      <c r="F174" s="1157"/>
      <c r="G174" s="1152" t="s">
        <v>1548</v>
      </c>
      <c r="H174" s="1157">
        <v>8.48</v>
      </c>
      <c r="I174" s="1153"/>
      <c r="J174" s="1152" t="str">
        <f>C174</f>
        <v>Rs./kVA/month</v>
      </c>
      <c r="K174" s="1157"/>
      <c r="L174" s="1157"/>
      <c r="M174" s="1157"/>
      <c r="N174" s="1152" t="str">
        <f t="shared" si="20"/>
        <v>Rs/kVAh</v>
      </c>
      <c r="O174" s="1157"/>
      <c r="P174" s="1153"/>
      <c r="Q174" s="1158">
        <f>K174-D174</f>
        <v>-400</v>
      </c>
      <c r="R174" s="1158">
        <f>O174-H174</f>
        <v>-8.48</v>
      </c>
    </row>
    <row r="175" spans="1:18" ht="42">
      <c r="A175" s="1172" t="s">
        <v>1553</v>
      </c>
      <c r="B175" s="1167"/>
      <c r="C175" s="1152"/>
      <c r="D175" s="1159"/>
      <c r="E175" s="1159"/>
      <c r="F175" s="1159"/>
      <c r="G175" s="1155"/>
      <c r="H175" s="1159"/>
      <c r="I175" s="1153"/>
      <c r="J175" s="1152"/>
      <c r="K175" s="1159"/>
      <c r="L175" s="1159"/>
      <c r="M175" s="1159"/>
      <c r="N175" s="1155"/>
      <c r="O175" s="1159"/>
      <c r="P175" s="1153"/>
      <c r="Q175" s="1159"/>
      <c r="R175" s="1159"/>
    </row>
    <row r="176" spans="1:18">
      <c r="A176" s="1172" t="s">
        <v>1465</v>
      </c>
      <c r="B176" s="1167"/>
      <c r="C176" s="1152"/>
      <c r="D176" s="1159"/>
      <c r="E176" s="1159"/>
      <c r="F176" s="1159"/>
      <c r="G176" s="1155"/>
      <c r="H176" s="1159"/>
      <c r="I176" s="1153"/>
      <c r="J176" s="1152"/>
      <c r="K176" s="1159"/>
      <c r="L176" s="1159"/>
      <c r="M176" s="1159"/>
      <c r="N176" s="1155"/>
      <c r="O176" s="1159"/>
      <c r="P176" s="1153"/>
      <c r="Q176" s="1159"/>
      <c r="R176" s="1159"/>
    </row>
    <row r="177" spans="1:18">
      <c r="A177" s="1173" t="s">
        <v>1546</v>
      </c>
      <c r="B177" s="1167"/>
      <c r="C177" s="1152" t="s">
        <v>1547</v>
      </c>
      <c r="D177" s="1157">
        <v>380</v>
      </c>
      <c r="E177" s="1157"/>
      <c r="F177" s="1157"/>
      <c r="G177" s="1152" t="s">
        <v>1548</v>
      </c>
      <c r="H177" s="1157">
        <v>7.7</v>
      </c>
      <c r="I177" s="1153"/>
      <c r="J177" s="1152" t="str">
        <f>C177</f>
        <v>Rs./kVA/month</v>
      </c>
      <c r="K177" s="1157"/>
      <c r="L177" s="1157"/>
      <c r="M177" s="1157"/>
      <c r="N177" s="1152" t="str">
        <f t="shared" si="20"/>
        <v>Rs/kVAh</v>
      </c>
      <c r="O177" s="1157"/>
      <c r="P177" s="1153"/>
      <c r="Q177" s="1158">
        <f>K177-D177</f>
        <v>-380</v>
      </c>
      <c r="R177" s="1158">
        <f>O177-H177</f>
        <v>-7.7</v>
      </c>
    </row>
    <row r="178" spans="1:18">
      <c r="A178" s="1173" t="s">
        <v>1549</v>
      </c>
      <c r="B178" s="1167"/>
      <c r="C178" s="1152" t="s">
        <v>1547</v>
      </c>
      <c r="D178" s="1157">
        <f>D177</f>
        <v>380</v>
      </c>
      <c r="E178" s="1157"/>
      <c r="F178" s="1157"/>
      <c r="G178" s="1152" t="s">
        <v>1548</v>
      </c>
      <c r="H178" s="1157">
        <v>7.9</v>
      </c>
      <c r="I178" s="1153"/>
      <c r="J178" s="1152" t="str">
        <f>C178</f>
        <v>Rs./kVA/month</v>
      </c>
      <c r="K178" s="1157"/>
      <c r="L178" s="1157"/>
      <c r="M178" s="1157"/>
      <c r="N178" s="1152" t="str">
        <f t="shared" si="20"/>
        <v>Rs/kVAh</v>
      </c>
      <c r="O178" s="1157"/>
      <c r="P178" s="1153"/>
      <c r="Q178" s="1158">
        <f>K178-D178</f>
        <v>-380</v>
      </c>
      <c r="R178" s="1158">
        <f>O178-H178</f>
        <v>-7.9</v>
      </c>
    </row>
    <row r="179" spans="1:18">
      <c r="A179" s="1172" t="s">
        <v>1550</v>
      </c>
      <c r="B179" s="1166"/>
      <c r="C179" s="1155"/>
      <c r="D179" s="1159"/>
      <c r="E179" s="1159"/>
      <c r="F179" s="1159"/>
      <c r="G179" s="1155"/>
      <c r="H179" s="1159"/>
      <c r="I179" s="1161"/>
      <c r="J179" s="1155"/>
      <c r="K179" s="1159"/>
      <c r="L179" s="1159"/>
      <c r="M179" s="1159"/>
      <c r="N179" s="1155"/>
      <c r="O179" s="1159"/>
      <c r="P179" s="1161"/>
      <c r="Q179" s="1159"/>
      <c r="R179" s="1159"/>
    </row>
    <row r="180" spans="1:18">
      <c r="A180" s="1173" t="s">
        <v>1551</v>
      </c>
      <c r="B180" s="1167"/>
      <c r="C180" s="1152" t="s">
        <v>1547</v>
      </c>
      <c r="D180" s="1157">
        <v>360</v>
      </c>
      <c r="E180" s="1157"/>
      <c r="F180" s="1157"/>
      <c r="G180" s="1152" t="s">
        <v>1548</v>
      </c>
      <c r="H180" s="1157">
        <v>7.5</v>
      </c>
      <c r="I180" s="1153"/>
      <c r="J180" s="1152" t="str">
        <f>C180</f>
        <v>Rs./kVA/month</v>
      </c>
      <c r="K180" s="1157"/>
      <c r="L180" s="1157"/>
      <c r="M180" s="1157"/>
      <c r="N180" s="1152" t="str">
        <f t="shared" si="20"/>
        <v>Rs/kVAh</v>
      </c>
      <c r="O180" s="1157"/>
      <c r="P180" s="1153"/>
      <c r="Q180" s="1158">
        <f>K180-D180</f>
        <v>-360</v>
      </c>
      <c r="R180" s="1158">
        <f>O180-H180</f>
        <v>-7.5</v>
      </c>
    </row>
    <row r="181" spans="1:18">
      <c r="A181" s="1173" t="s">
        <v>1552</v>
      </c>
      <c r="B181" s="1167"/>
      <c r="C181" s="1152" t="s">
        <v>1547</v>
      </c>
      <c r="D181" s="1157">
        <f>D180</f>
        <v>360</v>
      </c>
      <c r="E181" s="1157"/>
      <c r="F181" s="1157"/>
      <c r="G181" s="1152" t="s">
        <v>1548</v>
      </c>
      <c r="H181" s="1157">
        <v>7.7</v>
      </c>
      <c r="I181" s="1153"/>
      <c r="J181" s="1152" t="str">
        <f>C181</f>
        <v>Rs./kVA/month</v>
      </c>
      <c r="K181" s="1157"/>
      <c r="L181" s="1157"/>
      <c r="M181" s="1157"/>
      <c r="N181" s="1152" t="str">
        <f t="shared" si="20"/>
        <v>Rs/kVAh</v>
      </c>
      <c r="O181" s="1157"/>
      <c r="P181" s="1153"/>
      <c r="Q181" s="1158">
        <f>K181-D181</f>
        <v>-360</v>
      </c>
      <c r="R181" s="1158">
        <f>O181-H181</f>
        <v>-7.7</v>
      </c>
    </row>
    <row r="182" spans="1:18">
      <c r="A182" s="1154" t="s">
        <v>1425</v>
      </c>
      <c r="B182" s="1167"/>
      <c r="C182" s="1152"/>
      <c r="D182" s="1159"/>
      <c r="E182" s="1159"/>
      <c r="F182" s="1159"/>
      <c r="G182" s="1155"/>
      <c r="H182" s="1159"/>
      <c r="I182" s="1153"/>
      <c r="J182" s="1152"/>
      <c r="K182" s="1159"/>
      <c r="L182" s="1159"/>
      <c r="M182" s="1159"/>
      <c r="N182" s="1155"/>
      <c r="O182" s="1159"/>
      <c r="P182" s="1153"/>
      <c r="Q182" s="1159"/>
      <c r="R182" s="1159"/>
    </row>
    <row r="183" spans="1:18">
      <c r="A183" s="1173"/>
      <c r="B183" s="1167"/>
      <c r="C183" s="1152"/>
      <c r="D183" s="1157"/>
      <c r="E183" s="1157"/>
      <c r="F183" s="1157"/>
      <c r="G183" s="1152"/>
      <c r="H183" s="1157"/>
      <c r="I183" s="1153"/>
      <c r="J183" s="1152"/>
      <c r="K183" s="1157"/>
      <c r="L183" s="1157"/>
      <c r="M183" s="1157"/>
      <c r="N183" s="1152"/>
      <c r="O183" s="1157"/>
      <c r="P183" s="1153"/>
      <c r="Q183" s="1157"/>
      <c r="R183" s="1157"/>
    </row>
    <row r="184" spans="1:18">
      <c r="A184" s="1172" t="s">
        <v>1125</v>
      </c>
      <c r="B184" s="1166"/>
      <c r="C184" s="1155"/>
      <c r="D184" s="1157"/>
      <c r="E184" s="1157"/>
      <c r="F184" s="1157"/>
      <c r="G184" s="1152"/>
      <c r="H184" s="1157"/>
      <c r="I184" s="1153"/>
      <c r="J184" s="1155"/>
      <c r="K184" s="1157"/>
      <c r="L184" s="1157"/>
      <c r="M184" s="1157"/>
      <c r="N184" s="1152"/>
      <c r="O184" s="1157"/>
      <c r="P184" s="1153"/>
      <c r="Q184" s="1157"/>
      <c r="R184" s="1157"/>
    </row>
    <row r="185" spans="1:18">
      <c r="A185" s="1172" t="s">
        <v>1126</v>
      </c>
      <c r="B185" s="1166"/>
      <c r="C185" s="1152" t="s">
        <v>1547</v>
      </c>
      <c r="D185" s="1157">
        <v>300</v>
      </c>
      <c r="E185" s="1157"/>
      <c r="F185" s="1157"/>
      <c r="G185" s="1152" t="s">
        <v>1548</v>
      </c>
      <c r="H185" s="1157">
        <v>7.1</v>
      </c>
      <c r="I185" s="1153"/>
      <c r="J185" s="1155" t="str">
        <f t="shared" ref="J185:J188" si="21">C185</f>
        <v>Rs./kVA/month</v>
      </c>
      <c r="K185" s="1157"/>
      <c r="L185" s="1157"/>
      <c r="M185" s="1157"/>
      <c r="N185" s="1152" t="str">
        <f t="shared" si="20"/>
        <v>Rs/kVAh</v>
      </c>
      <c r="O185" s="1157"/>
      <c r="P185" s="1153"/>
      <c r="Q185" s="1158">
        <f>K185-D185</f>
        <v>-300</v>
      </c>
      <c r="R185" s="1158">
        <f>O185-H185</f>
        <v>-7.1</v>
      </c>
    </row>
    <row r="186" spans="1:18">
      <c r="A186" s="1172" t="s">
        <v>1127</v>
      </c>
      <c r="B186" s="1166"/>
      <c r="C186" s="1152" t="str">
        <f>C185</f>
        <v>Rs./kVA/month</v>
      </c>
      <c r="D186" s="1157">
        <v>290</v>
      </c>
      <c r="E186" s="1157"/>
      <c r="F186" s="1157"/>
      <c r="G186" s="1152" t="str">
        <f>G185</f>
        <v>Rs/kVAh</v>
      </c>
      <c r="H186" s="1157">
        <v>6.8</v>
      </c>
      <c r="I186" s="1153"/>
      <c r="J186" s="1155" t="str">
        <f t="shared" si="21"/>
        <v>Rs./kVA/month</v>
      </c>
      <c r="K186" s="1157"/>
      <c r="L186" s="1157"/>
      <c r="M186" s="1157"/>
      <c r="N186" s="1152" t="str">
        <f t="shared" si="20"/>
        <v>Rs/kVAh</v>
      </c>
      <c r="O186" s="1157"/>
      <c r="P186" s="1153"/>
      <c r="Q186" s="1158">
        <f>K186-D186</f>
        <v>-290</v>
      </c>
      <c r="R186" s="1158">
        <f>O186-H186</f>
        <v>-6.8</v>
      </c>
    </row>
    <row r="187" spans="1:18">
      <c r="A187" s="1172" t="s">
        <v>1128</v>
      </c>
      <c r="B187" s="1166"/>
      <c r="C187" s="1152" t="str">
        <f>C186</f>
        <v>Rs./kVA/month</v>
      </c>
      <c r="D187" s="1157">
        <v>270</v>
      </c>
      <c r="E187" s="1157"/>
      <c r="F187" s="1157"/>
      <c r="G187" s="1152" t="str">
        <f>G186</f>
        <v>Rs/kVAh</v>
      </c>
      <c r="H187" s="1157">
        <v>6.4</v>
      </c>
      <c r="I187" s="1153"/>
      <c r="J187" s="1155" t="str">
        <f t="shared" si="21"/>
        <v>Rs./kVA/month</v>
      </c>
      <c r="K187" s="1157"/>
      <c r="L187" s="1157"/>
      <c r="M187" s="1157"/>
      <c r="N187" s="1152" t="str">
        <f t="shared" si="20"/>
        <v>Rs/kVAh</v>
      </c>
      <c r="O187" s="1157"/>
      <c r="P187" s="1153"/>
      <c r="Q187" s="1158">
        <f>K187-D187</f>
        <v>-270</v>
      </c>
      <c r="R187" s="1158">
        <f>O187-H187</f>
        <v>-6.4</v>
      </c>
    </row>
    <row r="188" spans="1:18">
      <c r="A188" s="1172" t="s">
        <v>1129</v>
      </c>
      <c r="B188" s="1166"/>
      <c r="C188" s="1152" t="str">
        <f>C187</f>
        <v>Rs./kVA/month</v>
      </c>
      <c r="D188" s="1157">
        <v>270</v>
      </c>
      <c r="E188" s="1157"/>
      <c r="F188" s="1157"/>
      <c r="G188" s="1152" t="str">
        <f>G187</f>
        <v>Rs/kVAh</v>
      </c>
      <c r="H188" s="1157">
        <v>6.1</v>
      </c>
      <c r="I188" s="1153"/>
      <c r="J188" s="1155" t="str">
        <f t="shared" si="21"/>
        <v>Rs./kVA/month</v>
      </c>
      <c r="K188" s="1157"/>
      <c r="L188" s="1157"/>
      <c r="M188" s="1157"/>
      <c r="N188" s="1152" t="str">
        <f t="shared" si="20"/>
        <v>Rs/kVAh</v>
      </c>
      <c r="O188" s="1157"/>
      <c r="P188" s="1153"/>
      <c r="Q188" s="1158">
        <f>K188-D188</f>
        <v>-270</v>
      </c>
      <c r="R188" s="1158">
        <f>O188-H188</f>
        <v>-6.1</v>
      </c>
    </row>
    <row r="189" spans="1:18">
      <c r="A189" s="1172" t="s">
        <v>1013</v>
      </c>
      <c r="B189" s="1166"/>
      <c r="C189" s="1155"/>
      <c r="D189" s="1159"/>
      <c r="E189" s="1159"/>
      <c r="F189" s="1159"/>
      <c r="G189" s="1155"/>
      <c r="H189" s="1159"/>
      <c r="I189" s="1153"/>
      <c r="J189" s="1155"/>
      <c r="K189" s="1159"/>
      <c r="L189" s="1159"/>
      <c r="M189" s="1159"/>
      <c r="N189" s="1155"/>
      <c r="O189" s="1159"/>
      <c r="P189" s="1153"/>
      <c r="Q189" s="1159"/>
      <c r="R189" s="1159"/>
    </row>
    <row r="190" spans="1:18">
      <c r="A190" s="1172" t="s">
        <v>1126</v>
      </c>
      <c r="B190" s="1168"/>
      <c r="C190" s="1152"/>
      <c r="D190" s="1157"/>
      <c r="E190" s="1157"/>
      <c r="F190" s="1157"/>
      <c r="G190" s="1152"/>
      <c r="H190" s="1157"/>
      <c r="I190" s="1153"/>
      <c r="J190" s="1152"/>
      <c r="K190" s="1157"/>
      <c r="L190" s="1157"/>
      <c r="M190" s="1157"/>
      <c r="N190" s="1152"/>
      <c r="O190" s="1159"/>
      <c r="P190" s="1153"/>
      <c r="Q190" s="1157"/>
      <c r="R190" s="1159"/>
    </row>
    <row r="191" spans="1:18">
      <c r="A191" s="1173" t="s">
        <v>1430</v>
      </c>
      <c r="B191" s="1162">
        <f>-15%</f>
        <v>-0.15</v>
      </c>
      <c r="C191" s="1152" t="str">
        <f>C185</f>
        <v>Rs./kVA/month</v>
      </c>
      <c r="D191" s="1157">
        <f>$E$183</f>
        <v>0</v>
      </c>
      <c r="E191" s="1157"/>
      <c r="F191" s="1157"/>
      <c r="G191" s="1152" t="str">
        <f>G185</f>
        <v>Rs/kVAh</v>
      </c>
      <c r="H191" s="1157">
        <f>$I$183*(1+B191)</f>
        <v>0</v>
      </c>
      <c r="I191" s="1153"/>
      <c r="J191" s="1152" t="str">
        <f t="shared" ref="J191:J194" si="22">C191</f>
        <v>Rs./kVA/month</v>
      </c>
      <c r="K191" s="1157"/>
      <c r="L191" s="1157"/>
      <c r="M191" s="1157"/>
      <c r="N191" s="1152" t="str">
        <f t="shared" si="20"/>
        <v>Rs/kVAh</v>
      </c>
      <c r="O191" s="1159"/>
      <c r="P191" s="1153"/>
      <c r="Q191" s="1158">
        <f>K191-D191</f>
        <v>0</v>
      </c>
      <c r="R191" s="1158">
        <f>O191-H191</f>
        <v>0</v>
      </c>
    </row>
    <row r="192" spans="1:18">
      <c r="A192" s="1173" t="s">
        <v>1431</v>
      </c>
      <c r="B192" s="1162">
        <f>0%</f>
        <v>0</v>
      </c>
      <c r="C192" s="1152" t="str">
        <f>C186</f>
        <v>Rs./kVA/month</v>
      </c>
      <c r="D192" s="1157">
        <f>$E$183</f>
        <v>0</v>
      </c>
      <c r="E192" s="1157"/>
      <c r="F192" s="1157"/>
      <c r="G192" s="1152" t="str">
        <f>G186</f>
        <v>Rs/kVAh</v>
      </c>
      <c r="H192" s="1157">
        <f>$I$183*(1+B192)</f>
        <v>0</v>
      </c>
      <c r="I192" s="1153"/>
      <c r="J192" s="1152" t="str">
        <f t="shared" si="22"/>
        <v>Rs./kVA/month</v>
      </c>
      <c r="K192" s="1157"/>
      <c r="L192" s="1157"/>
      <c r="M192" s="1157"/>
      <c r="N192" s="1152" t="str">
        <f t="shared" si="20"/>
        <v>Rs/kVAh</v>
      </c>
      <c r="O192" s="1159"/>
      <c r="P192" s="1153"/>
      <c r="Q192" s="1158">
        <f>K192-D192</f>
        <v>0</v>
      </c>
      <c r="R192" s="1158">
        <f>O192-H192</f>
        <v>0</v>
      </c>
    </row>
    <row r="193" spans="1:18">
      <c r="A193" s="1173" t="s">
        <v>1432</v>
      </c>
      <c r="B193" s="1162">
        <f>15%</f>
        <v>0.15</v>
      </c>
      <c r="C193" s="1152" t="str">
        <f>C187</f>
        <v>Rs./kVA/month</v>
      </c>
      <c r="D193" s="1157">
        <f>$E$183</f>
        <v>0</v>
      </c>
      <c r="E193" s="1157"/>
      <c r="F193" s="1157"/>
      <c r="G193" s="1152" t="str">
        <f>G187</f>
        <v>Rs/kVAh</v>
      </c>
      <c r="H193" s="1157">
        <f>$I$183*(1+B193)</f>
        <v>0</v>
      </c>
      <c r="I193" s="1153"/>
      <c r="J193" s="1152" t="str">
        <f t="shared" si="22"/>
        <v>Rs./kVA/month</v>
      </c>
      <c r="K193" s="1157"/>
      <c r="L193" s="1157"/>
      <c r="M193" s="1157"/>
      <c r="N193" s="1152" t="str">
        <f t="shared" si="20"/>
        <v>Rs/kVAh</v>
      </c>
      <c r="O193" s="1159"/>
      <c r="P193" s="1153"/>
      <c r="Q193" s="1158">
        <f>K193-D193</f>
        <v>0</v>
      </c>
      <c r="R193" s="1158">
        <f>O193-H193</f>
        <v>0</v>
      </c>
    </row>
    <row r="194" spans="1:18">
      <c r="A194" s="1173" t="s">
        <v>1433</v>
      </c>
      <c r="B194" s="1162">
        <f>0%</f>
        <v>0</v>
      </c>
      <c r="C194" s="1152" t="str">
        <f>C188</f>
        <v>Rs./kVA/month</v>
      </c>
      <c r="D194" s="1157">
        <f>$E$183</f>
        <v>0</v>
      </c>
      <c r="E194" s="1157"/>
      <c r="F194" s="1157"/>
      <c r="G194" s="1152" t="str">
        <f>G188</f>
        <v>Rs/kVAh</v>
      </c>
      <c r="H194" s="1157">
        <f>$I$183*(1+B194)</f>
        <v>0</v>
      </c>
      <c r="I194" s="1153"/>
      <c r="J194" s="1152" t="str">
        <f t="shared" si="22"/>
        <v>Rs./kVA/month</v>
      </c>
      <c r="K194" s="1157"/>
      <c r="L194" s="1157"/>
      <c r="M194" s="1157"/>
      <c r="N194" s="1152" t="str">
        <f t="shared" si="20"/>
        <v>Rs/kVAh</v>
      </c>
      <c r="O194" s="1159"/>
      <c r="P194" s="1153"/>
      <c r="Q194" s="1158">
        <f>K194-D194</f>
        <v>0</v>
      </c>
      <c r="R194" s="1158">
        <f>O194-H194</f>
        <v>0</v>
      </c>
    </row>
    <row r="195" spans="1:18">
      <c r="A195" s="1172" t="s">
        <v>1127</v>
      </c>
      <c r="B195" s="1168"/>
      <c r="C195" s="1152"/>
      <c r="D195" s="1157"/>
      <c r="E195" s="1157"/>
      <c r="F195" s="1157"/>
      <c r="G195" s="1152"/>
      <c r="H195" s="1157"/>
      <c r="I195" s="1153"/>
      <c r="J195" s="1152"/>
      <c r="K195" s="1157"/>
      <c r="L195" s="1157"/>
      <c r="M195" s="1157"/>
      <c r="N195" s="1152"/>
      <c r="O195" s="1159"/>
      <c r="P195" s="1153"/>
      <c r="Q195" s="1157"/>
      <c r="R195" s="1159"/>
    </row>
    <row r="196" spans="1:18">
      <c r="A196" s="1173" t="s">
        <v>1430</v>
      </c>
      <c r="B196" s="1162">
        <f>-15%</f>
        <v>-0.15</v>
      </c>
      <c r="C196" s="1152" t="str">
        <f>C191</f>
        <v>Rs./kVA/month</v>
      </c>
      <c r="D196" s="1157">
        <f>$E$184</f>
        <v>0</v>
      </c>
      <c r="E196" s="1157"/>
      <c r="F196" s="1157"/>
      <c r="G196" s="1152" t="str">
        <f>G191</f>
        <v>Rs/kVAh</v>
      </c>
      <c r="H196" s="1157">
        <f>$I$184*(1+B196)</f>
        <v>0</v>
      </c>
      <c r="I196" s="1153"/>
      <c r="J196" s="1152" t="str">
        <f t="shared" ref="J196:J199" si="23">C196</f>
        <v>Rs./kVA/month</v>
      </c>
      <c r="K196" s="1157"/>
      <c r="L196" s="1157"/>
      <c r="M196" s="1157"/>
      <c r="N196" s="1152" t="str">
        <f t="shared" si="20"/>
        <v>Rs/kVAh</v>
      </c>
      <c r="O196" s="1159"/>
      <c r="P196" s="1153"/>
      <c r="Q196" s="1158">
        <f>K196-D196</f>
        <v>0</v>
      </c>
      <c r="R196" s="1158">
        <f>O196-H196</f>
        <v>0</v>
      </c>
    </row>
    <row r="197" spans="1:18">
      <c r="A197" s="1173" t="s">
        <v>1431</v>
      </c>
      <c r="B197" s="1162">
        <f>0%</f>
        <v>0</v>
      </c>
      <c r="C197" s="1152" t="str">
        <f>C192</f>
        <v>Rs./kVA/month</v>
      </c>
      <c r="D197" s="1157">
        <f>$E$184</f>
        <v>0</v>
      </c>
      <c r="E197" s="1157"/>
      <c r="F197" s="1157"/>
      <c r="G197" s="1152" t="str">
        <f>G192</f>
        <v>Rs/kVAh</v>
      </c>
      <c r="H197" s="1157">
        <f>$I$184*(1+B197)</f>
        <v>0</v>
      </c>
      <c r="I197" s="1153"/>
      <c r="J197" s="1152" t="str">
        <f t="shared" si="23"/>
        <v>Rs./kVA/month</v>
      </c>
      <c r="K197" s="1157"/>
      <c r="L197" s="1157"/>
      <c r="M197" s="1157"/>
      <c r="N197" s="1152" t="str">
        <f t="shared" si="20"/>
        <v>Rs/kVAh</v>
      </c>
      <c r="O197" s="1159"/>
      <c r="P197" s="1153"/>
      <c r="Q197" s="1158">
        <f>K197-D197</f>
        <v>0</v>
      </c>
      <c r="R197" s="1158">
        <f>O197-H197</f>
        <v>0</v>
      </c>
    </row>
    <row r="198" spans="1:18">
      <c r="A198" s="1173" t="s">
        <v>1432</v>
      </c>
      <c r="B198" s="1162">
        <f>15%</f>
        <v>0.15</v>
      </c>
      <c r="C198" s="1152" t="str">
        <f>C193</f>
        <v>Rs./kVA/month</v>
      </c>
      <c r="D198" s="1157">
        <f>$E$184</f>
        <v>0</v>
      </c>
      <c r="E198" s="1157"/>
      <c r="F198" s="1157"/>
      <c r="G198" s="1152" t="str">
        <f>G193</f>
        <v>Rs/kVAh</v>
      </c>
      <c r="H198" s="1157">
        <f>$I$184*(1+B198)</f>
        <v>0</v>
      </c>
      <c r="I198" s="1153"/>
      <c r="J198" s="1152" t="str">
        <f t="shared" si="23"/>
        <v>Rs./kVA/month</v>
      </c>
      <c r="K198" s="1157"/>
      <c r="L198" s="1157"/>
      <c r="M198" s="1157"/>
      <c r="N198" s="1152" t="str">
        <f t="shared" si="20"/>
        <v>Rs/kVAh</v>
      </c>
      <c r="O198" s="1159"/>
      <c r="P198" s="1153"/>
      <c r="Q198" s="1158">
        <f>K198-D198</f>
        <v>0</v>
      </c>
      <c r="R198" s="1158">
        <f>O198-H198</f>
        <v>0</v>
      </c>
    </row>
    <row r="199" spans="1:18">
      <c r="A199" s="1173" t="s">
        <v>1433</v>
      </c>
      <c r="B199" s="1162">
        <f>0%</f>
        <v>0</v>
      </c>
      <c r="C199" s="1152" t="str">
        <f>C194</f>
        <v>Rs./kVA/month</v>
      </c>
      <c r="D199" s="1157">
        <f>$E$184</f>
        <v>0</v>
      </c>
      <c r="E199" s="1157"/>
      <c r="F199" s="1157"/>
      <c r="G199" s="1152" t="str">
        <f>G194</f>
        <v>Rs/kVAh</v>
      </c>
      <c r="H199" s="1157">
        <f>$I$184*(1+B199)</f>
        <v>0</v>
      </c>
      <c r="I199" s="1153"/>
      <c r="J199" s="1152" t="str">
        <f t="shared" si="23"/>
        <v>Rs./kVA/month</v>
      </c>
      <c r="K199" s="1157"/>
      <c r="L199" s="1157"/>
      <c r="M199" s="1157"/>
      <c r="N199" s="1152" t="str">
        <f t="shared" si="20"/>
        <v>Rs/kVAh</v>
      </c>
      <c r="O199" s="1157"/>
      <c r="P199" s="1153"/>
      <c r="Q199" s="1158">
        <f>K199-D199</f>
        <v>0</v>
      </c>
      <c r="R199" s="1158">
        <f>O199-H199</f>
        <v>0</v>
      </c>
    </row>
    <row r="200" spans="1:18">
      <c r="A200" s="1172" t="s">
        <v>1128</v>
      </c>
      <c r="B200" s="1168"/>
      <c r="C200" s="1152"/>
      <c r="D200" s="1157"/>
      <c r="E200" s="1157"/>
      <c r="F200" s="1157"/>
      <c r="G200" s="1152"/>
      <c r="H200" s="1157"/>
      <c r="I200" s="1153"/>
      <c r="J200" s="1152"/>
      <c r="K200" s="1157"/>
      <c r="L200" s="1157"/>
      <c r="M200" s="1157"/>
      <c r="N200" s="1152"/>
      <c r="O200" s="1157"/>
      <c r="P200" s="1153"/>
      <c r="Q200" s="1157"/>
      <c r="R200" s="1157"/>
    </row>
    <row r="201" spans="1:18">
      <c r="A201" s="1173" t="s">
        <v>1430</v>
      </c>
      <c r="B201" s="1162">
        <f>-15%</f>
        <v>-0.15</v>
      </c>
      <c r="C201" s="1152" t="str">
        <f>C196</f>
        <v>Rs./kVA/month</v>
      </c>
      <c r="D201" s="1157">
        <f>$E$185</f>
        <v>0</v>
      </c>
      <c r="E201" s="1157"/>
      <c r="F201" s="1157"/>
      <c r="G201" s="1152" t="str">
        <f>G196</f>
        <v>Rs/kVAh</v>
      </c>
      <c r="H201" s="1157">
        <f>$I$185*(1+B201)</f>
        <v>0</v>
      </c>
      <c r="I201" s="1153"/>
      <c r="J201" s="1152" t="str">
        <f t="shared" ref="J201:J204" si="24">C201</f>
        <v>Rs./kVA/month</v>
      </c>
      <c r="K201" s="1157"/>
      <c r="L201" s="1157"/>
      <c r="M201" s="1157"/>
      <c r="N201" s="1152" t="str">
        <f t="shared" si="20"/>
        <v>Rs/kVAh</v>
      </c>
      <c r="O201" s="1157"/>
      <c r="P201" s="1153"/>
      <c r="Q201" s="1158">
        <f>K201-D201</f>
        <v>0</v>
      </c>
      <c r="R201" s="1158">
        <f>O201-H201</f>
        <v>0</v>
      </c>
    </row>
    <row r="202" spans="1:18">
      <c r="A202" s="1173" t="s">
        <v>1431</v>
      </c>
      <c r="B202" s="1162">
        <f>0%</f>
        <v>0</v>
      </c>
      <c r="C202" s="1152" t="str">
        <f>C197</f>
        <v>Rs./kVA/month</v>
      </c>
      <c r="D202" s="1157">
        <f>$E$185</f>
        <v>0</v>
      </c>
      <c r="E202" s="1157"/>
      <c r="F202" s="1157"/>
      <c r="G202" s="1152" t="str">
        <f>G197</f>
        <v>Rs/kVAh</v>
      </c>
      <c r="H202" s="1157">
        <f>$I$185*(1+B202)</f>
        <v>0</v>
      </c>
      <c r="I202" s="1153"/>
      <c r="J202" s="1152" t="str">
        <f t="shared" si="24"/>
        <v>Rs./kVA/month</v>
      </c>
      <c r="K202" s="1157"/>
      <c r="L202" s="1157"/>
      <c r="M202" s="1157"/>
      <c r="N202" s="1152" t="str">
        <f t="shared" si="20"/>
        <v>Rs/kVAh</v>
      </c>
      <c r="O202" s="1157"/>
      <c r="P202" s="1153"/>
      <c r="Q202" s="1158">
        <f>K202-D202</f>
        <v>0</v>
      </c>
      <c r="R202" s="1158">
        <f>O202-H202</f>
        <v>0</v>
      </c>
    </row>
    <row r="203" spans="1:18">
      <c r="A203" s="1173" t="s">
        <v>1432</v>
      </c>
      <c r="B203" s="1162">
        <f>15%</f>
        <v>0.15</v>
      </c>
      <c r="C203" s="1152" t="str">
        <f>C198</f>
        <v>Rs./kVA/month</v>
      </c>
      <c r="D203" s="1157">
        <f>$E$185</f>
        <v>0</v>
      </c>
      <c r="E203" s="1157"/>
      <c r="F203" s="1157"/>
      <c r="G203" s="1152" t="str">
        <f>G198</f>
        <v>Rs/kVAh</v>
      </c>
      <c r="H203" s="1157">
        <f>$I$185*(1+B203)</f>
        <v>0</v>
      </c>
      <c r="I203" s="1153"/>
      <c r="J203" s="1152" t="str">
        <f t="shared" si="24"/>
        <v>Rs./kVA/month</v>
      </c>
      <c r="K203" s="1157"/>
      <c r="L203" s="1157"/>
      <c r="M203" s="1157"/>
      <c r="N203" s="1152" t="str">
        <f t="shared" si="20"/>
        <v>Rs/kVAh</v>
      </c>
      <c r="O203" s="1157"/>
      <c r="P203" s="1153"/>
      <c r="Q203" s="1158">
        <f>K203-D203</f>
        <v>0</v>
      </c>
      <c r="R203" s="1158">
        <f>O203-H203</f>
        <v>0</v>
      </c>
    </row>
    <row r="204" spans="1:18">
      <c r="A204" s="1173" t="s">
        <v>1433</v>
      </c>
      <c r="B204" s="1162">
        <f>0%</f>
        <v>0</v>
      </c>
      <c r="C204" s="1152" t="str">
        <f>C199</f>
        <v>Rs./kVA/month</v>
      </c>
      <c r="D204" s="1157">
        <f>$E$185</f>
        <v>0</v>
      </c>
      <c r="E204" s="1157"/>
      <c r="F204" s="1157"/>
      <c r="G204" s="1152" t="str">
        <f>G199</f>
        <v>Rs/kVAh</v>
      </c>
      <c r="H204" s="1157">
        <f>$I$185*(1+B204)</f>
        <v>0</v>
      </c>
      <c r="I204" s="1153"/>
      <c r="J204" s="1152" t="str">
        <f t="shared" si="24"/>
        <v>Rs./kVA/month</v>
      </c>
      <c r="K204" s="1157"/>
      <c r="L204" s="1157"/>
      <c r="M204" s="1157"/>
      <c r="N204" s="1152" t="str">
        <f t="shared" ref="N204:N243" si="25">G204</f>
        <v>Rs/kVAh</v>
      </c>
      <c r="O204" s="1157"/>
      <c r="P204" s="1153"/>
      <c r="Q204" s="1158">
        <f>K204-D204</f>
        <v>0</v>
      </c>
      <c r="R204" s="1158">
        <f>O204-H204</f>
        <v>0</v>
      </c>
    </row>
    <row r="205" spans="1:18">
      <c r="A205" s="1172" t="s">
        <v>1129</v>
      </c>
      <c r="B205" s="1168"/>
      <c r="C205" s="1152"/>
      <c r="D205" s="1157"/>
      <c r="E205" s="1157"/>
      <c r="F205" s="1157"/>
      <c r="G205" s="1152"/>
      <c r="H205" s="1157"/>
      <c r="I205" s="1153"/>
      <c r="J205" s="1152"/>
      <c r="K205" s="1157"/>
      <c r="L205" s="1157"/>
      <c r="M205" s="1157"/>
      <c r="N205" s="1152"/>
      <c r="O205" s="1157"/>
      <c r="P205" s="1153"/>
      <c r="Q205" s="1157"/>
      <c r="R205" s="1157"/>
    </row>
    <row r="206" spans="1:18">
      <c r="A206" s="1173" t="s">
        <v>1430</v>
      </c>
      <c r="B206" s="1162">
        <f>-15%</f>
        <v>-0.15</v>
      </c>
      <c r="C206" s="1152" t="str">
        <f>C201</f>
        <v>Rs./kVA/month</v>
      </c>
      <c r="D206" s="1157">
        <f>$E$186</f>
        <v>0</v>
      </c>
      <c r="E206" s="1157"/>
      <c r="F206" s="1157"/>
      <c r="G206" s="1152" t="str">
        <f>G201</f>
        <v>Rs/kVAh</v>
      </c>
      <c r="H206" s="1157">
        <f>$I$192*(1+B206)</f>
        <v>0</v>
      </c>
      <c r="I206" s="1153"/>
      <c r="J206" s="1152" t="str">
        <f t="shared" ref="J206:J209" si="26">C206</f>
        <v>Rs./kVA/month</v>
      </c>
      <c r="K206" s="1157"/>
      <c r="L206" s="1157"/>
      <c r="M206" s="1157"/>
      <c r="N206" s="1152" t="str">
        <f t="shared" si="25"/>
        <v>Rs/kVAh</v>
      </c>
      <c r="O206" s="1157"/>
      <c r="P206" s="1153"/>
      <c r="Q206" s="1158">
        <f>K206-D206</f>
        <v>0</v>
      </c>
      <c r="R206" s="1158">
        <f>O206-H206</f>
        <v>0</v>
      </c>
    </row>
    <row r="207" spans="1:18">
      <c r="A207" s="1173" t="s">
        <v>1431</v>
      </c>
      <c r="B207" s="1162">
        <f>0%</f>
        <v>0</v>
      </c>
      <c r="C207" s="1152" t="str">
        <f>C202</f>
        <v>Rs./kVA/month</v>
      </c>
      <c r="D207" s="1157">
        <f>$E$186</f>
        <v>0</v>
      </c>
      <c r="E207" s="1157"/>
      <c r="F207" s="1157"/>
      <c r="G207" s="1152" t="str">
        <f>G202</f>
        <v>Rs/kVAh</v>
      </c>
      <c r="H207" s="1157">
        <f>$I$192*(1+B207)</f>
        <v>0</v>
      </c>
      <c r="I207" s="1153"/>
      <c r="J207" s="1152" t="str">
        <f t="shared" si="26"/>
        <v>Rs./kVA/month</v>
      </c>
      <c r="K207" s="1157"/>
      <c r="L207" s="1157"/>
      <c r="M207" s="1157"/>
      <c r="N207" s="1152" t="str">
        <f t="shared" si="25"/>
        <v>Rs/kVAh</v>
      </c>
      <c r="O207" s="1157"/>
      <c r="P207" s="1153"/>
      <c r="Q207" s="1158">
        <f>K207-D207</f>
        <v>0</v>
      </c>
      <c r="R207" s="1158">
        <f>O207-H207</f>
        <v>0</v>
      </c>
    </row>
    <row r="208" spans="1:18">
      <c r="A208" s="1173" t="s">
        <v>1432</v>
      </c>
      <c r="B208" s="1162">
        <f>15%</f>
        <v>0.15</v>
      </c>
      <c r="C208" s="1152" t="str">
        <f>C203</f>
        <v>Rs./kVA/month</v>
      </c>
      <c r="D208" s="1157">
        <f>$E$186</f>
        <v>0</v>
      </c>
      <c r="E208" s="1157"/>
      <c r="F208" s="1157"/>
      <c r="G208" s="1152" t="str">
        <f>G203</f>
        <v>Rs/kVAh</v>
      </c>
      <c r="H208" s="1157">
        <f>$I$192*(1+B208)</f>
        <v>0</v>
      </c>
      <c r="I208" s="1153"/>
      <c r="J208" s="1152" t="str">
        <f t="shared" si="26"/>
        <v>Rs./kVA/month</v>
      </c>
      <c r="K208" s="1157"/>
      <c r="L208" s="1157"/>
      <c r="M208" s="1157"/>
      <c r="N208" s="1152" t="str">
        <f t="shared" si="25"/>
        <v>Rs/kVAh</v>
      </c>
      <c r="O208" s="1157"/>
      <c r="P208" s="1153"/>
      <c r="Q208" s="1158">
        <f>K208-D208</f>
        <v>0</v>
      </c>
      <c r="R208" s="1158">
        <f>O208-H208</f>
        <v>0</v>
      </c>
    </row>
    <row r="209" spans="1:18">
      <c r="A209" s="1173" t="s">
        <v>1433</v>
      </c>
      <c r="B209" s="1162">
        <f>0%</f>
        <v>0</v>
      </c>
      <c r="C209" s="1152" t="str">
        <f>C204</f>
        <v>Rs./kVA/month</v>
      </c>
      <c r="D209" s="1157">
        <f>$E$186</f>
        <v>0</v>
      </c>
      <c r="E209" s="1157"/>
      <c r="F209" s="1157"/>
      <c r="G209" s="1152" t="str">
        <f>G204</f>
        <v>Rs/kVAh</v>
      </c>
      <c r="H209" s="1157">
        <f>$I$192*(1+B209)</f>
        <v>0</v>
      </c>
      <c r="I209" s="1153"/>
      <c r="J209" s="1152" t="str">
        <f t="shared" si="26"/>
        <v>Rs./kVA/month</v>
      </c>
      <c r="K209" s="1157"/>
      <c r="L209" s="1157"/>
      <c r="M209" s="1157"/>
      <c r="N209" s="1152" t="str">
        <f t="shared" si="25"/>
        <v>Rs/kVAh</v>
      </c>
      <c r="O209" s="1157"/>
      <c r="P209" s="1153"/>
      <c r="Q209" s="1158">
        <f>K209-D209</f>
        <v>0</v>
      </c>
      <c r="R209" s="1158">
        <f>O209-H209</f>
        <v>0</v>
      </c>
    </row>
    <row r="210" spans="1:18">
      <c r="A210" s="1172" t="s">
        <v>1014</v>
      </c>
      <c r="B210" s="1167"/>
      <c r="C210" s="1152"/>
      <c r="D210" s="1157"/>
      <c r="E210" s="1157"/>
      <c r="F210" s="1157"/>
      <c r="G210" s="1155"/>
      <c r="H210" s="1157"/>
      <c r="I210" s="1153"/>
      <c r="J210" s="1152"/>
      <c r="K210" s="1159"/>
      <c r="L210" s="1159"/>
      <c r="M210" s="1159"/>
      <c r="N210" s="1155"/>
      <c r="O210" s="1159"/>
      <c r="P210" s="1153"/>
      <c r="Q210" s="1159"/>
      <c r="R210" s="1159"/>
    </row>
    <row r="211" spans="1:18">
      <c r="A211" s="1172" t="s">
        <v>1126</v>
      </c>
      <c r="B211" s="1168"/>
      <c r="C211" s="1152"/>
      <c r="D211" s="1157"/>
      <c r="E211" s="1157"/>
      <c r="F211" s="1157"/>
      <c r="G211" s="1155"/>
      <c r="H211" s="1157"/>
      <c r="I211" s="1153"/>
      <c r="J211" s="1152"/>
      <c r="K211" s="1159"/>
      <c r="L211" s="1159"/>
      <c r="M211" s="1159"/>
      <c r="N211" s="1155"/>
      <c r="O211" s="1159"/>
      <c r="P211" s="1153"/>
      <c r="Q211" s="1159"/>
      <c r="R211" s="1159"/>
    </row>
    <row r="212" spans="1:18">
      <c r="A212" s="1173" t="s">
        <v>1430</v>
      </c>
      <c r="B212" s="1162">
        <f>0%</f>
        <v>0</v>
      </c>
      <c r="C212" s="1152" t="str">
        <f>C206</f>
        <v>Rs./kVA/month</v>
      </c>
      <c r="D212" s="1157">
        <f>D191</f>
        <v>0</v>
      </c>
      <c r="E212" s="1157"/>
      <c r="F212" s="1157"/>
      <c r="G212" s="1152" t="str">
        <f>G206</f>
        <v>Rs/kVAh</v>
      </c>
      <c r="H212" s="1157">
        <f>$I$183*(1+B212)</f>
        <v>0</v>
      </c>
      <c r="I212" s="1153"/>
      <c r="J212" s="1152" t="str">
        <f t="shared" ref="J212:J215" si="27">C212</f>
        <v>Rs./kVA/month</v>
      </c>
      <c r="K212" s="1157"/>
      <c r="L212" s="1157"/>
      <c r="M212" s="1157"/>
      <c r="N212" s="1152" t="str">
        <f t="shared" si="25"/>
        <v>Rs/kVAh</v>
      </c>
      <c r="O212" s="1157"/>
      <c r="P212" s="1153"/>
      <c r="Q212" s="1158">
        <f>K212-D212</f>
        <v>0</v>
      </c>
      <c r="R212" s="1158">
        <f>O212-H212</f>
        <v>0</v>
      </c>
    </row>
    <row r="213" spans="1:18">
      <c r="A213" s="1173" t="s">
        <v>1431</v>
      </c>
      <c r="B213" s="1162">
        <f>0%</f>
        <v>0</v>
      </c>
      <c r="C213" s="1152" t="str">
        <f>C207</f>
        <v>Rs./kVA/month</v>
      </c>
      <c r="D213" s="1157">
        <f t="shared" ref="D213:D230" si="28">D192</f>
        <v>0</v>
      </c>
      <c r="E213" s="1157"/>
      <c r="F213" s="1157"/>
      <c r="G213" s="1152" t="str">
        <f>G207</f>
        <v>Rs/kVAh</v>
      </c>
      <c r="H213" s="1157">
        <f>$I$183*(1+B213)</f>
        <v>0</v>
      </c>
      <c r="I213" s="1153"/>
      <c r="J213" s="1152" t="str">
        <f t="shared" si="27"/>
        <v>Rs./kVA/month</v>
      </c>
      <c r="K213" s="1157"/>
      <c r="L213" s="1157"/>
      <c r="M213" s="1157"/>
      <c r="N213" s="1152" t="str">
        <f t="shared" si="25"/>
        <v>Rs/kVAh</v>
      </c>
      <c r="O213" s="1157"/>
      <c r="P213" s="1153"/>
      <c r="Q213" s="1158">
        <f>K213-D213</f>
        <v>0</v>
      </c>
      <c r="R213" s="1158">
        <f>O213-H213</f>
        <v>0</v>
      </c>
    </row>
    <row r="214" spans="1:18">
      <c r="A214" s="1173" t="s">
        <v>1432</v>
      </c>
      <c r="B214" s="1162">
        <f>15%</f>
        <v>0.15</v>
      </c>
      <c r="C214" s="1152" t="str">
        <f>C208</f>
        <v>Rs./kVA/month</v>
      </c>
      <c r="D214" s="1157">
        <f t="shared" si="28"/>
        <v>0</v>
      </c>
      <c r="E214" s="1157"/>
      <c r="F214" s="1157"/>
      <c r="G214" s="1152" t="str">
        <f>G208</f>
        <v>Rs/kVAh</v>
      </c>
      <c r="H214" s="1157">
        <f>$I$183*(1+B214)</f>
        <v>0</v>
      </c>
      <c r="I214" s="1153"/>
      <c r="J214" s="1152" t="str">
        <f t="shared" si="27"/>
        <v>Rs./kVA/month</v>
      </c>
      <c r="K214" s="1157"/>
      <c r="L214" s="1157"/>
      <c r="M214" s="1157"/>
      <c r="N214" s="1152" t="str">
        <f t="shared" si="25"/>
        <v>Rs/kVAh</v>
      </c>
      <c r="O214" s="1157"/>
      <c r="P214" s="1153"/>
      <c r="Q214" s="1158">
        <f>K214-D214</f>
        <v>0</v>
      </c>
      <c r="R214" s="1158">
        <f>O214-H214</f>
        <v>0</v>
      </c>
    </row>
    <row r="215" spans="1:18">
      <c r="A215" s="1173" t="s">
        <v>1433</v>
      </c>
      <c r="B215" s="1162">
        <f>-15%</f>
        <v>-0.15</v>
      </c>
      <c r="C215" s="1152" t="str">
        <f>C209</f>
        <v>Rs./kVA/month</v>
      </c>
      <c r="D215" s="1157">
        <f t="shared" si="28"/>
        <v>0</v>
      </c>
      <c r="E215" s="1157"/>
      <c r="F215" s="1157"/>
      <c r="G215" s="1152" t="str">
        <f>G209</f>
        <v>Rs/kVAh</v>
      </c>
      <c r="H215" s="1157">
        <f>$I$183*(1+B215)</f>
        <v>0</v>
      </c>
      <c r="I215" s="1153"/>
      <c r="J215" s="1152" t="str">
        <f t="shared" si="27"/>
        <v>Rs./kVA/month</v>
      </c>
      <c r="K215" s="1157"/>
      <c r="L215" s="1157"/>
      <c r="M215" s="1157"/>
      <c r="N215" s="1152" t="str">
        <f t="shared" si="25"/>
        <v>Rs/kVAh</v>
      </c>
      <c r="O215" s="1157"/>
      <c r="P215" s="1153"/>
      <c r="Q215" s="1158">
        <f>K215-D215</f>
        <v>0</v>
      </c>
      <c r="R215" s="1158">
        <f>O215-H215</f>
        <v>0</v>
      </c>
    </row>
    <row r="216" spans="1:18">
      <c r="A216" s="1172" t="s">
        <v>1127</v>
      </c>
      <c r="B216" s="1168"/>
      <c r="C216" s="1152"/>
      <c r="D216" s="1157"/>
      <c r="E216" s="1157"/>
      <c r="F216" s="1157"/>
      <c r="G216" s="1155"/>
      <c r="H216" s="1157"/>
      <c r="I216" s="1153"/>
      <c r="J216" s="1152"/>
      <c r="K216" s="1159"/>
      <c r="L216" s="1159"/>
      <c r="M216" s="1159"/>
      <c r="N216" s="1155"/>
      <c r="O216" s="1159"/>
      <c r="P216" s="1153"/>
      <c r="Q216" s="1159"/>
      <c r="R216" s="1159"/>
    </row>
    <row r="217" spans="1:18">
      <c r="A217" s="1173" t="s">
        <v>1430</v>
      </c>
      <c r="B217" s="1162">
        <f>0%</f>
        <v>0</v>
      </c>
      <c r="C217" s="1152" t="str">
        <f>C212</f>
        <v>Rs./kVA/month</v>
      </c>
      <c r="D217" s="1157">
        <f t="shared" si="28"/>
        <v>0</v>
      </c>
      <c r="E217" s="1157"/>
      <c r="F217" s="1157"/>
      <c r="G217" s="1152" t="str">
        <f>G212</f>
        <v>Rs/kVAh</v>
      </c>
      <c r="H217" s="1157">
        <f>$I$184*(1+B217)</f>
        <v>0</v>
      </c>
      <c r="I217" s="1153"/>
      <c r="J217" s="1152" t="str">
        <f t="shared" ref="J217:J220" si="29">C217</f>
        <v>Rs./kVA/month</v>
      </c>
      <c r="K217" s="1157"/>
      <c r="L217" s="1157"/>
      <c r="M217" s="1157"/>
      <c r="N217" s="1152" t="str">
        <f t="shared" si="25"/>
        <v>Rs/kVAh</v>
      </c>
      <c r="O217" s="1157"/>
      <c r="P217" s="1153"/>
      <c r="Q217" s="1158">
        <f>K217-D217</f>
        <v>0</v>
      </c>
      <c r="R217" s="1158">
        <f>O217-H217</f>
        <v>0</v>
      </c>
    </row>
    <row r="218" spans="1:18">
      <c r="A218" s="1173" t="s">
        <v>1431</v>
      </c>
      <c r="B218" s="1162">
        <f>0%</f>
        <v>0</v>
      </c>
      <c r="C218" s="1152" t="str">
        <f>C213</f>
        <v>Rs./kVA/month</v>
      </c>
      <c r="D218" s="1157">
        <f t="shared" si="28"/>
        <v>0</v>
      </c>
      <c r="E218" s="1157"/>
      <c r="F218" s="1157"/>
      <c r="G218" s="1152" t="str">
        <f>G213</f>
        <v>Rs/kVAh</v>
      </c>
      <c r="H218" s="1157">
        <f>$I$184*(1+B218)</f>
        <v>0</v>
      </c>
      <c r="I218" s="1153"/>
      <c r="J218" s="1152" t="str">
        <f t="shared" si="29"/>
        <v>Rs./kVA/month</v>
      </c>
      <c r="K218" s="1157"/>
      <c r="L218" s="1157"/>
      <c r="M218" s="1157"/>
      <c r="N218" s="1152" t="str">
        <f t="shared" si="25"/>
        <v>Rs/kVAh</v>
      </c>
      <c r="O218" s="1157"/>
      <c r="P218" s="1153"/>
      <c r="Q218" s="1158">
        <f>K218-D218</f>
        <v>0</v>
      </c>
      <c r="R218" s="1158">
        <f>O218-H218</f>
        <v>0</v>
      </c>
    </row>
    <row r="219" spans="1:18">
      <c r="A219" s="1173" t="s">
        <v>1432</v>
      </c>
      <c r="B219" s="1162">
        <f>15%</f>
        <v>0.15</v>
      </c>
      <c r="C219" s="1152" t="str">
        <f>C214</f>
        <v>Rs./kVA/month</v>
      </c>
      <c r="D219" s="1157">
        <f t="shared" si="28"/>
        <v>0</v>
      </c>
      <c r="E219" s="1157"/>
      <c r="F219" s="1157"/>
      <c r="G219" s="1152" t="str">
        <f>G214</f>
        <v>Rs/kVAh</v>
      </c>
      <c r="H219" s="1157">
        <f>$I$184*(1+B219)</f>
        <v>0</v>
      </c>
      <c r="I219" s="1153"/>
      <c r="J219" s="1152" t="str">
        <f t="shared" si="29"/>
        <v>Rs./kVA/month</v>
      </c>
      <c r="K219" s="1157"/>
      <c r="L219" s="1157"/>
      <c r="M219" s="1157"/>
      <c r="N219" s="1152" t="str">
        <f t="shared" si="25"/>
        <v>Rs/kVAh</v>
      </c>
      <c r="O219" s="1157"/>
      <c r="P219" s="1153"/>
      <c r="Q219" s="1158">
        <f>K219-D219</f>
        <v>0</v>
      </c>
      <c r="R219" s="1158">
        <f>O219-H219</f>
        <v>0</v>
      </c>
    </row>
    <row r="220" spans="1:18">
      <c r="A220" s="1173" t="s">
        <v>1433</v>
      </c>
      <c r="B220" s="1162">
        <f>-15%</f>
        <v>-0.15</v>
      </c>
      <c r="C220" s="1152" t="str">
        <f>C215</f>
        <v>Rs./kVA/month</v>
      </c>
      <c r="D220" s="1157">
        <f t="shared" si="28"/>
        <v>0</v>
      </c>
      <c r="E220" s="1157"/>
      <c r="F220" s="1157"/>
      <c r="G220" s="1152" t="str">
        <f>G215</f>
        <v>Rs/kVAh</v>
      </c>
      <c r="H220" s="1157">
        <f>$I$184*(1+B220)</f>
        <v>0</v>
      </c>
      <c r="I220" s="1153"/>
      <c r="J220" s="1152" t="str">
        <f t="shared" si="29"/>
        <v>Rs./kVA/month</v>
      </c>
      <c r="K220" s="1157"/>
      <c r="L220" s="1157"/>
      <c r="M220" s="1157"/>
      <c r="N220" s="1152" t="str">
        <f t="shared" si="25"/>
        <v>Rs/kVAh</v>
      </c>
      <c r="O220" s="1157"/>
      <c r="P220" s="1153"/>
      <c r="Q220" s="1158">
        <f>K220-D220</f>
        <v>0</v>
      </c>
      <c r="R220" s="1158">
        <f>O220-H220</f>
        <v>0</v>
      </c>
    </row>
    <row r="221" spans="1:18">
      <c r="A221" s="1172" t="s">
        <v>1128</v>
      </c>
      <c r="B221" s="1168"/>
      <c r="C221" s="1152"/>
      <c r="D221" s="1157"/>
      <c r="E221" s="1157"/>
      <c r="F221" s="1157"/>
      <c r="G221" s="1155"/>
      <c r="H221" s="1157"/>
      <c r="I221" s="1153"/>
      <c r="J221" s="1152"/>
      <c r="K221" s="1157"/>
      <c r="L221" s="1157"/>
      <c r="M221" s="1157"/>
      <c r="N221" s="1152"/>
      <c r="O221" s="1157"/>
      <c r="P221" s="1153"/>
      <c r="Q221" s="1157"/>
      <c r="R221" s="1157"/>
    </row>
    <row r="222" spans="1:18">
      <c r="A222" s="1173" t="s">
        <v>1430</v>
      </c>
      <c r="B222" s="1162">
        <f>0%</f>
        <v>0</v>
      </c>
      <c r="C222" s="1152" t="str">
        <f>C217</f>
        <v>Rs./kVA/month</v>
      </c>
      <c r="D222" s="1157">
        <f t="shared" si="28"/>
        <v>0</v>
      </c>
      <c r="E222" s="1157"/>
      <c r="F222" s="1157"/>
      <c r="G222" s="1152" t="str">
        <f>G217</f>
        <v>Rs/kVAh</v>
      </c>
      <c r="H222" s="1157">
        <f>$I$185*(1+B222)</f>
        <v>0</v>
      </c>
      <c r="I222" s="1153"/>
      <c r="J222" s="1152" t="str">
        <f t="shared" ref="J222:J225" si="30">C222</f>
        <v>Rs./kVA/month</v>
      </c>
      <c r="K222" s="1157"/>
      <c r="L222" s="1157"/>
      <c r="M222" s="1157"/>
      <c r="N222" s="1152" t="str">
        <f t="shared" si="25"/>
        <v>Rs/kVAh</v>
      </c>
      <c r="O222" s="1157"/>
      <c r="P222" s="1153"/>
      <c r="Q222" s="1158">
        <f>K222-D222</f>
        <v>0</v>
      </c>
      <c r="R222" s="1158">
        <f>O222-H222</f>
        <v>0</v>
      </c>
    </row>
    <row r="223" spans="1:18">
      <c r="A223" s="1173" t="s">
        <v>1431</v>
      </c>
      <c r="B223" s="1162">
        <f>0%</f>
        <v>0</v>
      </c>
      <c r="C223" s="1152" t="str">
        <f>C218</f>
        <v>Rs./kVA/month</v>
      </c>
      <c r="D223" s="1157">
        <f t="shared" si="28"/>
        <v>0</v>
      </c>
      <c r="E223" s="1157"/>
      <c r="F223" s="1157"/>
      <c r="G223" s="1152" t="str">
        <f>G218</f>
        <v>Rs/kVAh</v>
      </c>
      <c r="H223" s="1157">
        <f>$I$185*(1+B223)</f>
        <v>0</v>
      </c>
      <c r="I223" s="1153"/>
      <c r="J223" s="1152" t="str">
        <f t="shared" si="30"/>
        <v>Rs./kVA/month</v>
      </c>
      <c r="K223" s="1157"/>
      <c r="L223" s="1157"/>
      <c r="M223" s="1157"/>
      <c r="N223" s="1152" t="str">
        <f t="shared" si="25"/>
        <v>Rs/kVAh</v>
      </c>
      <c r="O223" s="1157"/>
      <c r="P223" s="1153"/>
      <c r="Q223" s="1158">
        <f>K223-D223</f>
        <v>0</v>
      </c>
      <c r="R223" s="1158">
        <f>O223-H223</f>
        <v>0</v>
      </c>
    </row>
    <row r="224" spans="1:18">
      <c r="A224" s="1173" t="s">
        <v>1432</v>
      </c>
      <c r="B224" s="1162">
        <f>15%</f>
        <v>0.15</v>
      </c>
      <c r="C224" s="1152" t="str">
        <f>C219</f>
        <v>Rs./kVA/month</v>
      </c>
      <c r="D224" s="1157">
        <f t="shared" si="28"/>
        <v>0</v>
      </c>
      <c r="E224" s="1157"/>
      <c r="F224" s="1157"/>
      <c r="G224" s="1152" t="str">
        <f>G219</f>
        <v>Rs/kVAh</v>
      </c>
      <c r="H224" s="1157">
        <f>$I$185*(1+B224)</f>
        <v>0</v>
      </c>
      <c r="I224" s="1153"/>
      <c r="J224" s="1152" t="str">
        <f t="shared" si="30"/>
        <v>Rs./kVA/month</v>
      </c>
      <c r="K224" s="1157"/>
      <c r="L224" s="1157"/>
      <c r="M224" s="1157"/>
      <c r="N224" s="1152" t="str">
        <f t="shared" si="25"/>
        <v>Rs/kVAh</v>
      </c>
      <c r="O224" s="1157"/>
      <c r="P224" s="1153"/>
      <c r="Q224" s="1158">
        <f>K224-D224</f>
        <v>0</v>
      </c>
      <c r="R224" s="1158">
        <f>O224-H224</f>
        <v>0</v>
      </c>
    </row>
    <row r="225" spans="1:18">
      <c r="A225" s="1173" t="s">
        <v>1433</v>
      </c>
      <c r="B225" s="1162">
        <f>-15%</f>
        <v>-0.15</v>
      </c>
      <c r="C225" s="1152" t="str">
        <f>C220</f>
        <v>Rs./kVA/month</v>
      </c>
      <c r="D225" s="1157">
        <f t="shared" si="28"/>
        <v>0</v>
      </c>
      <c r="E225" s="1157"/>
      <c r="F225" s="1157"/>
      <c r="G225" s="1152" t="str">
        <f>G220</f>
        <v>Rs/kVAh</v>
      </c>
      <c r="H225" s="1157">
        <f>$I$185*(1+B225)</f>
        <v>0</v>
      </c>
      <c r="I225" s="1153"/>
      <c r="J225" s="1152" t="str">
        <f t="shared" si="30"/>
        <v>Rs./kVA/month</v>
      </c>
      <c r="K225" s="1157"/>
      <c r="L225" s="1157"/>
      <c r="M225" s="1157"/>
      <c r="N225" s="1152" t="str">
        <f t="shared" si="25"/>
        <v>Rs/kVAh</v>
      </c>
      <c r="O225" s="1157"/>
      <c r="P225" s="1153"/>
      <c r="Q225" s="1158">
        <f>K225-D225</f>
        <v>0</v>
      </c>
      <c r="R225" s="1158">
        <f>O225-H225</f>
        <v>0</v>
      </c>
    </row>
    <row r="226" spans="1:18">
      <c r="A226" s="1172" t="s">
        <v>1129</v>
      </c>
      <c r="B226" s="1168"/>
      <c r="C226" s="1152"/>
      <c r="D226" s="1157"/>
      <c r="E226" s="1157"/>
      <c r="F226" s="1157"/>
      <c r="G226" s="1155"/>
      <c r="H226" s="1157"/>
      <c r="I226" s="1153"/>
      <c r="J226" s="1152"/>
      <c r="K226" s="1157"/>
      <c r="L226" s="1157"/>
      <c r="M226" s="1157"/>
      <c r="N226" s="1152"/>
      <c r="O226" s="1157"/>
      <c r="P226" s="1153"/>
      <c r="Q226" s="1157"/>
      <c r="R226" s="1157"/>
    </row>
    <row r="227" spans="1:18">
      <c r="A227" s="1173" t="s">
        <v>1430</v>
      </c>
      <c r="B227" s="1162">
        <f>0%</f>
        <v>0</v>
      </c>
      <c r="C227" s="1152" t="str">
        <f>C222</f>
        <v>Rs./kVA/month</v>
      </c>
      <c r="D227" s="1157">
        <f t="shared" si="28"/>
        <v>0</v>
      </c>
      <c r="E227" s="1157"/>
      <c r="F227" s="1157"/>
      <c r="G227" s="1152" t="str">
        <f>G222</f>
        <v>Rs/kVAh</v>
      </c>
      <c r="H227" s="1157">
        <f>$I$192*(1+B227)</f>
        <v>0</v>
      </c>
      <c r="I227" s="1153"/>
      <c r="J227" s="1152" t="str">
        <f t="shared" ref="J227:J231" si="31">C227</f>
        <v>Rs./kVA/month</v>
      </c>
      <c r="K227" s="1157"/>
      <c r="L227" s="1157"/>
      <c r="M227" s="1157"/>
      <c r="N227" s="1152" t="str">
        <f t="shared" si="25"/>
        <v>Rs/kVAh</v>
      </c>
      <c r="O227" s="1157"/>
      <c r="P227" s="1153"/>
      <c r="Q227" s="1158">
        <f>K227-D227</f>
        <v>0</v>
      </c>
      <c r="R227" s="1158">
        <f>O227-H227</f>
        <v>0</v>
      </c>
    </row>
    <row r="228" spans="1:18">
      <c r="A228" s="1173" t="s">
        <v>1431</v>
      </c>
      <c r="B228" s="1162">
        <f>0%</f>
        <v>0</v>
      </c>
      <c r="C228" s="1152" t="str">
        <f>C223</f>
        <v>Rs./kVA/month</v>
      </c>
      <c r="D228" s="1157">
        <f t="shared" si="28"/>
        <v>0</v>
      </c>
      <c r="E228" s="1157"/>
      <c r="F228" s="1157"/>
      <c r="G228" s="1152" t="str">
        <f>G223</f>
        <v>Rs/kVAh</v>
      </c>
      <c r="H228" s="1157">
        <f>$I$192*(1+B228)</f>
        <v>0</v>
      </c>
      <c r="I228" s="1153"/>
      <c r="J228" s="1152" t="str">
        <f t="shared" si="31"/>
        <v>Rs./kVA/month</v>
      </c>
      <c r="K228" s="1157"/>
      <c r="L228" s="1157"/>
      <c r="M228" s="1157"/>
      <c r="N228" s="1152" t="str">
        <f t="shared" si="25"/>
        <v>Rs/kVAh</v>
      </c>
      <c r="O228" s="1157"/>
      <c r="P228" s="1153"/>
      <c r="Q228" s="1158">
        <f>K228-D228</f>
        <v>0</v>
      </c>
      <c r="R228" s="1158">
        <f>O228-H228</f>
        <v>0</v>
      </c>
    </row>
    <row r="229" spans="1:18">
      <c r="A229" s="1173" t="s">
        <v>1432</v>
      </c>
      <c r="B229" s="1162">
        <f>15%</f>
        <v>0.15</v>
      </c>
      <c r="C229" s="1152" t="str">
        <f>C224</f>
        <v>Rs./kVA/month</v>
      </c>
      <c r="D229" s="1157">
        <f t="shared" si="28"/>
        <v>0</v>
      </c>
      <c r="E229" s="1157"/>
      <c r="F229" s="1157"/>
      <c r="G229" s="1152" t="str">
        <f>G224</f>
        <v>Rs/kVAh</v>
      </c>
      <c r="H229" s="1157">
        <f>$I$192*(1+B229)</f>
        <v>0</v>
      </c>
      <c r="I229" s="1153"/>
      <c r="J229" s="1152" t="str">
        <f t="shared" si="31"/>
        <v>Rs./kVA/month</v>
      </c>
      <c r="K229" s="1157"/>
      <c r="L229" s="1157"/>
      <c r="M229" s="1157"/>
      <c r="N229" s="1152" t="str">
        <f t="shared" si="25"/>
        <v>Rs/kVAh</v>
      </c>
      <c r="O229" s="1157"/>
      <c r="P229" s="1153"/>
      <c r="Q229" s="1158">
        <f>K229-D229</f>
        <v>0</v>
      </c>
      <c r="R229" s="1158">
        <f>O229-H229</f>
        <v>0</v>
      </c>
    </row>
    <row r="230" spans="1:18">
      <c r="A230" s="1173" t="s">
        <v>1433</v>
      </c>
      <c r="B230" s="1162">
        <f>-15%</f>
        <v>-0.15</v>
      </c>
      <c r="C230" s="1152" t="str">
        <f>C225</f>
        <v>Rs./kVA/month</v>
      </c>
      <c r="D230" s="1157">
        <f t="shared" si="28"/>
        <v>0</v>
      </c>
      <c r="E230" s="1157"/>
      <c r="F230" s="1157"/>
      <c r="G230" s="1152" t="str">
        <f>G225</f>
        <v>Rs/kVAh</v>
      </c>
      <c r="H230" s="1157">
        <f>$I$192*(1+B230)</f>
        <v>0</v>
      </c>
      <c r="I230" s="1153"/>
      <c r="J230" s="1152" t="str">
        <f t="shared" si="31"/>
        <v>Rs./kVA/month</v>
      </c>
      <c r="K230" s="1157"/>
      <c r="L230" s="1157"/>
      <c r="M230" s="1157"/>
      <c r="N230" s="1152" t="str">
        <f t="shared" si="25"/>
        <v>Rs/kVAh</v>
      </c>
      <c r="O230" s="1157"/>
      <c r="P230" s="1153"/>
      <c r="Q230" s="1158">
        <f>K230-D230</f>
        <v>0</v>
      </c>
      <c r="R230" s="1158">
        <f>O230-H230</f>
        <v>0</v>
      </c>
    </row>
    <row r="231" spans="1:18">
      <c r="A231" s="1172" t="s">
        <v>1130</v>
      </c>
      <c r="B231" s="1171">
        <f>-7.5%</f>
        <v>-7.4999999999999997E-2</v>
      </c>
      <c r="C231" s="1152" t="s">
        <v>1547</v>
      </c>
      <c r="D231" s="1157">
        <f>D185</f>
        <v>300</v>
      </c>
      <c r="E231" s="1157"/>
      <c r="F231" s="1157"/>
      <c r="G231" s="1152" t="s">
        <v>1548</v>
      </c>
      <c r="H231" s="1157">
        <f>H185*(1+B231)</f>
        <v>6.5674999999999999</v>
      </c>
      <c r="I231" s="1153"/>
      <c r="J231" s="1152" t="str">
        <f t="shared" si="31"/>
        <v>Rs./kVA/month</v>
      </c>
      <c r="K231" s="1157"/>
      <c r="L231" s="1157"/>
      <c r="M231" s="1157"/>
      <c r="N231" s="1152" t="str">
        <f t="shared" si="25"/>
        <v>Rs/kVAh</v>
      </c>
      <c r="O231" s="1157"/>
      <c r="P231" s="1153"/>
      <c r="Q231" s="1158">
        <f>K231-D231</f>
        <v>-300</v>
      </c>
      <c r="R231" s="1158">
        <f>O231-H231</f>
        <v>-6.5674999999999999</v>
      </c>
    </row>
    <row r="232" spans="1:18">
      <c r="A232" s="1154" t="s">
        <v>1425</v>
      </c>
      <c r="B232" s="1167"/>
      <c r="C232" s="1152"/>
      <c r="D232" s="1159"/>
      <c r="E232" s="1159"/>
      <c r="F232" s="1159"/>
      <c r="G232" s="1155"/>
      <c r="H232" s="1159"/>
      <c r="I232" s="1153"/>
      <c r="J232" s="1152"/>
      <c r="K232" s="1157"/>
      <c r="L232" s="1157"/>
      <c r="M232" s="1157"/>
      <c r="N232" s="1152"/>
      <c r="O232" s="1157"/>
      <c r="P232" s="1153"/>
      <c r="Q232" s="1157"/>
      <c r="R232" s="1157"/>
    </row>
    <row r="233" spans="1:18">
      <c r="A233" s="1172"/>
      <c r="B233" s="1167"/>
      <c r="C233" s="1152"/>
      <c r="D233" s="1157"/>
      <c r="E233" s="1157"/>
      <c r="F233" s="1157"/>
      <c r="G233" s="1152"/>
      <c r="H233" s="1157"/>
      <c r="I233" s="1153"/>
      <c r="J233" s="1152"/>
      <c r="K233" s="1157"/>
      <c r="L233" s="1157"/>
      <c r="M233" s="1157"/>
      <c r="N233" s="1152"/>
      <c r="O233" s="1157"/>
      <c r="P233" s="1153"/>
      <c r="Q233" s="1157"/>
      <c r="R233" s="1157"/>
    </row>
    <row r="234" spans="1:18">
      <c r="A234" s="1172" t="s">
        <v>1133</v>
      </c>
      <c r="B234" s="1166"/>
      <c r="C234" s="1155"/>
      <c r="D234" s="1157"/>
      <c r="E234" s="1157"/>
      <c r="F234" s="1157"/>
      <c r="G234" s="1152"/>
      <c r="H234" s="1157"/>
      <c r="I234" s="1153"/>
      <c r="J234" s="1155"/>
      <c r="K234" s="1157"/>
      <c r="L234" s="1157"/>
      <c r="M234" s="1157"/>
      <c r="N234" s="1152"/>
      <c r="O234" s="1157"/>
      <c r="P234" s="1153"/>
      <c r="Q234" s="1157"/>
      <c r="R234" s="1157"/>
    </row>
    <row r="235" spans="1:18">
      <c r="A235" s="1173" t="s">
        <v>1415</v>
      </c>
      <c r="B235" s="1167"/>
      <c r="C235" s="1152" t="s">
        <v>1547</v>
      </c>
      <c r="D235" s="1157">
        <v>400</v>
      </c>
      <c r="E235" s="1152" t="s">
        <v>1547</v>
      </c>
      <c r="F235" s="1157">
        <v>950</v>
      </c>
      <c r="G235" s="1152" t="s">
        <v>1548</v>
      </c>
      <c r="H235" s="1157">
        <v>8.5</v>
      </c>
      <c r="I235" s="1153"/>
      <c r="J235" s="1152" t="str">
        <f t="shared" ref="J235:L237" si="32">C235</f>
        <v>Rs./kVA/month</v>
      </c>
      <c r="K235" s="1157"/>
      <c r="L235" s="1157" t="str">
        <f t="shared" si="32"/>
        <v>Rs./kVA/month</v>
      </c>
      <c r="M235" s="1157"/>
      <c r="N235" s="1152" t="str">
        <f t="shared" si="25"/>
        <v>Rs/kVAh</v>
      </c>
      <c r="O235" s="1157"/>
      <c r="P235" s="1153"/>
      <c r="Q235" s="1158">
        <f>K235-D235</f>
        <v>-400</v>
      </c>
      <c r="R235" s="1158">
        <f>O235-H235</f>
        <v>-8.5</v>
      </c>
    </row>
    <row r="236" spans="1:18">
      <c r="A236" s="1173" t="s">
        <v>1134</v>
      </c>
      <c r="B236" s="1167"/>
      <c r="C236" s="1152" t="s">
        <v>1547</v>
      </c>
      <c r="D236" s="1157">
        <f>D235</f>
        <v>400</v>
      </c>
      <c r="E236" s="1152" t="s">
        <v>1547</v>
      </c>
      <c r="F236" s="1157">
        <v>950</v>
      </c>
      <c r="G236" s="1152" t="s">
        <v>1548</v>
      </c>
      <c r="H236" s="1157">
        <v>8.8000000000000007</v>
      </c>
      <c r="I236" s="1153"/>
      <c r="J236" s="1152" t="str">
        <f t="shared" si="32"/>
        <v>Rs./kVA/month</v>
      </c>
      <c r="K236" s="1157"/>
      <c r="L236" s="1157" t="str">
        <f t="shared" si="32"/>
        <v>Rs./kVA/month</v>
      </c>
      <c r="M236" s="1157"/>
      <c r="N236" s="1152" t="str">
        <f t="shared" si="25"/>
        <v>Rs/kVAh</v>
      </c>
      <c r="O236" s="1157"/>
      <c r="P236" s="1153"/>
      <c r="Q236" s="1158">
        <f>K236-D236</f>
        <v>-400</v>
      </c>
      <c r="R236" s="1158">
        <f>O236-H236</f>
        <v>-8.8000000000000007</v>
      </c>
    </row>
    <row r="237" spans="1:18">
      <c r="A237" s="1173" t="s">
        <v>1135</v>
      </c>
      <c r="B237" s="1167"/>
      <c r="C237" s="1152" t="s">
        <v>1547</v>
      </c>
      <c r="D237" s="1157">
        <v>300</v>
      </c>
      <c r="E237" s="1152" t="s">
        <v>1547</v>
      </c>
      <c r="F237" s="1157">
        <v>900</v>
      </c>
      <c r="G237" s="1152" t="s">
        <v>1548</v>
      </c>
      <c r="H237" s="1157">
        <v>7.3</v>
      </c>
      <c r="I237" s="1153"/>
      <c r="J237" s="1152" t="str">
        <f t="shared" si="32"/>
        <v>Rs./kVA/month</v>
      </c>
      <c r="K237" s="1157"/>
      <c r="L237" s="1157" t="str">
        <f t="shared" si="32"/>
        <v>Rs./kVA/month</v>
      </c>
      <c r="M237" s="1157"/>
      <c r="N237" s="1152" t="str">
        <f t="shared" si="25"/>
        <v>Rs/kVAh</v>
      </c>
      <c r="O237" s="1157"/>
      <c r="P237" s="1153"/>
      <c r="Q237" s="1158">
        <f>K237-D237</f>
        <v>-300</v>
      </c>
      <c r="R237" s="1158">
        <f>O237-H237</f>
        <v>-7.3</v>
      </c>
    </row>
    <row r="238" spans="1:18">
      <c r="A238" s="1154" t="s">
        <v>1425</v>
      </c>
      <c r="B238" s="1167"/>
      <c r="C238" s="1152"/>
      <c r="D238" s="1159"/>
      <c r="E238" s="1159"/>
      <c r="F238" s="1159"/>
      <c r="G238" s="1155"/>
      <c r="H238" s="1159"/>
      <c r="I238" s="1153"/>
      <c r="J238" s="1152"/>
      <c r="K238" s="1157"/>
      <c r="L238" s="1157"/>
      <c r="M238" s="1157"/>
      <c r="N238" s="1152"/>
      <c r="O238" s="1157"/>
      <c r="P238" s="1153"/>
      <c r="Q238" s="1157"/>
      <c r="R238" s="1157"/>
    </row>
    <row r="239" spans="1:18">
      <c r="A239" s="1173"/>
      <c r="B239" s="1167"/>
      <c r="C239" s="1152"/>
      <c r="D239" s="1157"/>
      <c r="E239" s="1157"/>
      <c r="F239" s="1157"/>
      <c r="G239" s="1152"/>
      <c r="H239" s="1157"/>
      <c r="I239" s="1153"/>
      <c r="J239" s="1152"/>
      <c r="K239" s="1157"/>
      <c r="L239" s="1157"/>
      <c r="M239" s="1157"/>
      <c r="N239" s="1152"/>
      <c r="O239" s="1157"/>
      <c r="P239" s="1153"/>
      <c r="Q239" s="1157"/>
      <c r="R239" s="1157"/>
    </row>
    <row r="240" spans="1:18">
      <c r="A240" s="1172" t="s">
        <v>1137</v>
      </c>
      <c r="B240" s="1166"/>
      <c r="C240" s="1155"/>
      <c r="D240" s="1157"/>
      <c r="E240" s="1157"/>
      <c r="F240" s="1157"/>
      <c r="G240" s="1152"/>
      <c r="H240" s="1157"/>
      <c r="I240" s="1153"/>
      <c r="J240" s="1155"/>
      <c r="K240" s="1157"/>
      <c r="L240" s="1157"/>
      <c r="M240" s="1157"/>
      <c r="N240" s="1152"/>
      <c r="O240" s="1157"/>
      <c r="P240" s="1153"/>
      <c r="Q240" s="1157"/>
      <c r="R240" s="1157"/>
    </row>
    <row r="241" spans="1:18">
      <c r="A241" s="1173" t="s">
        <v>1138</v>
      </c>
      <c r="B241" s="1167"/>
      <c r="C241" s="1152" t="s">
        <v>1547</v>
      </c>
      <c r="D241" s="1157">
        <v>350</v>
      </c>
      <c r="E241" s="1152" t="s">
        <v>1547</v>
      </c>
      <c r="F241" s="1157">
        <v>1125</v>
      </c>
      <c r="G241" s="1152" t="s">
        <v>1548</v>
      </c>
      <c r="H241" s="1157">
        <v>8.5</v>
      </c>
      <c r="I241" s="1153"/>
      <c r="J241" s="1152" t="str">
        <f t="shared" ref="J241:L243" si="33">C241</f>
        <v>Rs./kVA/month</v>
      </c>
      <c r="K241" s="1157"/>
      <c r="L241" s="1157" t="str">
        <f t="shared" si="33"/>
        <v>Rs./kVA/month</v>
      </c>
      <c r="M241" s="1157"/>
      <c r="N241" s="1152" t="str">
        <f t="shared" si="25"/>
        <v>Rs/kVAh</v>
      </c>
      <c r="O241" s="1157"/>
      <c r="P241" s="1153"/>
      <c r="Q241" s="1158">
        <f>K241-D241</f>
        <v>-350</v>
      </c>
      <c r="R241" s="1158">
        <f>O241-H241</f>
        <v>-8.5</v>
      </c>
    </row>
    <row r="242" spans="1:18">
      <c r="A242" s="1173" t="s">
        <v>1139</v>
      </c>
      <c r="B242" s="1167"/>
      <c r="C242" s="1152" t="s">
        <v>1547</v>
      </c>
      <c r="D242" s="1157">
        <v>340</v>
      </c>
      <c r="E242" s="1152" t="s">
        <v>1547</v>
      </c>
      <c r="F242" s="1157">
        <v>1125</v>
      </c>
      <c r="G242" s="1152" t="s">
        <v>1548</v>
      </c>
      <c r="H242" s="1157">
        <v>8.4</v>
      </c>
      <c r="I242" s="1153"/>
      <c r="J242" s="1152" t="str">
        <f t="shared" si="33"/>
        <v>Rs./kVA/month</v>
      </c>
      <c r="K242" s="1157"/>
      <c r="L242" s="1157" t="str">
        <f t="shared" si="33"/>
        <v>Rs./kVA/month</v>
      </c>
      <c r="M242" s="1157"/>
      <c r="N242" s="1152" t="str">
        <f t="shared" si="25"/>
        <v>Rs/kVAh</v>
      </c>
      <c r="O242" s="1157"/>
      <c r="P242" s="1153"/>
      <c r="Q242" s="1158">
        <f>K242-D242</f>
        <v>-340</v>
      </c>
      <c r="R242" s="1158">
        <f>O242-H242</f>
        <v>-8.4</v>
      </c>
    </row>
    <row r="243" spans="1:18">
      <c r="A243" s="1173" t="s">
        <v>1140</v>
      </c>
      <c r="B243" s="1167"/>
      <c r="C243" s="1152" t="s">
        <v>1547</v>
      </c>
      <c r="D243" s="1157">
        <v>330</v>
      </c>
      <c r="E243" s="1152" t="s">
        <v>1547</v>
      </c>
      <c r="F243" s="1157">
        <v>1125</v>
      </c>
      <c r="G243" s="1152" t="s">
        <v>1548</v>
      </c>
      <c r="H243" s="1157">
        <v>8.25</v>
      </c>
      <c r="I243" s="1153"/>
      <c r="J243" s="1152" t="str">
        <f t="shared" si="33"/>
        <v>Rs./kVA/month</v>
      </c>
      <c r="K243" s="1157"/>
      <c r="L243" s="1157" t="str">
        <f t="shared" si="33"/>
        <v>Rs./kVA/month</v>
      </c>
      <c r="M243" s="1157"/>
      <c r="N243" s="1152" t="str">
        <f t="shared" si="25"/>
        <v>Rs/kVAh</v>
      </c>
      <c r="O243" s="1157"/>
      <c r="P243" s="1153"/>
      <c r="Q243" s="1158">
        <f>K243-D243</f>
        <v>-330</v>
      </c>
      <c r="R243" s="1158">
        <f>O243-H243</f>
        <v>-8.25</v>
      </c>
    </row>
    <row r="244" spans="1:18">
      <c r="A244" s="1154" t="s">
        <v>1425</v>
      </c>
      <c r="B244" s="1167"/>
      <c r="C244" s="1152"/>
      <c r="D244" s="1159"/>
      <c r="E244" s="1159"/>
      <c r="F244" s="1159"/>
      <c r="G244" s="1155"/>
      <c r="H244" s="1159"/>
      <c r="I244" s="1153"/>
      <c r="J244" s="1152"/>
      <c r="K244" s="1157"/>
      <c r="L244" s="1157"/>
      <c r="M244" s="1157"/>
      <c r="N244" s="1152"/>
      <c r="O244" s="1157"/>
      <c r="P244" s="1153"/>
      <c r="Q244" s="1157"/>
      <c r="R244" s="1157"/>
    </row>
    <row r="245" spans="1:18">
      <c r="A245" s="1173"/>
      <c r="B245" s="1167"/>
      <c r="C245" s="1152"/>
      <c r="D245" s="1157"/>
      <c r="E245" s="1157"/>
      <c r="F245" s="1157"/>
      <c r="G245" s="1152"/>
      <c r="H245" s="1157"/>
      <c r="I245" s="1153"/>
      <c r="J245" s="1152"/>
      <c r="K245" s="1157"/>
      <c r="L245" s="1157"/>
      <c r="M245" s="1157"/>
      <c r="N245" s="1152"/>
      <c r="O245" s="1157"/>
      <c r="P245" s="1153"/>
      <c r="Q245" s="1157"/>
      <c r="R245" s="1157"/>
    </row>
    <row r="246" spans="1:18">
      <c r="A246" s="1172" t="s">
        <v>1143</v>
      </c>
      <c r="B246" s="1166"/>
      <c r="C246" s="1155"/>
      <c r="D246" s="1159"/>
      <c r="E246" s="1159"/>
      <c r="F246" s="1159"/>
      <c r="G246" s="1155"/>
      <c r="H246" s="1159">
        <v>4.1938907363780746</v>
      </c>
      <c r="I246" s="1153"/>
      <c r="J246" s="1155"/>
      <c r="K246" s="1157"/>
      <c r="L246" s="1157"/>
      <c r="M246" s="1157"/>
      <c r="N246" s="1152"/>
      <c r="O246" s="1157"/>
      <c r="P246" s="1153"/>
      <c r="Q246" s="1158">
        <f>K246-D246</f>
        <v>0</v>
      </c>
      <c r="R246" s="1158">
        <f>O246-H246</f>
        <v>-4.1938907363780746</v>
      </c>
    </row>
    <row r="247" spans="1:18">
      <c r="A247" s="1172" t="s">
        <v>1434</v>
      </c>
      <c r="B247" s="1166"/>
      <c r="C247" s="1155"/>
      <c r="D247" s="1159"/>
      <c r="E247" s="1159"/>
      <c r="F247" s="1159"/>
      <c r="G247" s="1155"/>
      <c r="H247" s="1159">
        <v>7.83</v>
      </c>
      <c r="I247" s="1153"/>
      <c r="J247" s="1155"/>
      <c r="K247" s="1157"/>
      <c r="L247" s="1157"/>
      <c r="M247" s="1157"/>
      <c r="N247" s="1152"/>
      <c r="O247" s="1157"/>
      <c r="P247" s="1153"/>
      <c r="Q247" s="1158">
        <f>K247-D247</f>
        <v>0</v>
      </c>
      <c r="R247" s="1158">
        <f>O247-H247</f>
        <v>-7.83</v>
      </c>
    </row>
    <row r="248" spans="1:18">
      <c r="A248" s="1172" t="s">
        <v>126</v>
      </c>
      <c r="B248" s="1166"/>
      <c r="C248" s="1155"/>
      <c r="D248" s="1159"/>
      <c r="E248" s="1159"/>
      <c r="F248" s="1159"/>
      <c r="G248" s="1155"/>
      <c r="H248" s="1159"/>
      <c r="I248" s="1153"/>
      <c r="J248" s="1155"/>
      <c r="K248" s="1157"/>
      <c r="L248" s="1157"/>
      <c r="M248" s="1157"/>
      <c r="N248" s="1152"/>
      <c r="O248" s="1157"/>
      <c r="P248" s="1153"/>
      <c r="Q248" s="1157"/>
      <c r="R248" s="1157"/>
    </row>
    <row r="249" spans="1:18">
      <c r="A249"/>
      <c r="B249"/>
      <c r="C249"/>
      <c r="D249"/>
      <c r="E249"/>
      <c r="F249"/>
    </row>
    <row r="250" spans="1:18">
      <c r="A250"/>
      <c r="B250"/>
      <c r="C250"/>
      <c r="D250"/>
      <c r="E250"/>
      <c r="F250"/>
    </row>
    <row r="251" spans="1:18">
      <c r="A251"/>
      <c r="B251"/>
      <c r="C251"/>
      <c r="D251"/>
      <c r="E251"/>
      <c r="F251"/>
      <c r="G251" s="506"/>
      <c r="H251" s="506"/>
    </row>
    <row r="252" spans="1:18">
      <c r="A252"/>
      <c r="B252"/>
      <c r="C252"/>
      <c r="D252"/>
      <c r="E252"/>
      <c r="F252"/>
      <c r="G252" s="506"/>
      <c r="H252" s="506"/>
    </row>
    <row r="253" spans="1:18">
      <c r="A253"/>
      <c r="B253"/>
      <c r="C253"/>
      <c r="D253"/>
      <c r="E253"/>
      <c r="F253"/>
    </row>
    <row r="254" spans="1:18">
      <c r="A254"/>
      <c r="B254"/>
      <c r="C254"/>
      <c r="D254"/>
      <c r="E254"/>
      <c r="F254"/>
    </row>
    <row r="255" spans="1:18">
      <c r="A255"/>
      <c r="B255"/>
      <c r="C255"/>
      <c r="D255"/>
      <c r="E255"/>
      <c r="F255"/>
    </row>
    <row r="256" spans="1:18">
      <c r="A256"/>
      <c r="B256"/>
      <c r="C256"/>
      <c r="D256"/>
      <c r="E256"/>
      <c r="F256"/>
    </row>
    <row r="257" spans="1:6">
      <c r="A257"/>
      <c r="B257"/>
      <c r="C257"/>
      <c r="D257"/>
      <c r="E257"/>
      <c r="F257"/>
    </row>
    <row r="258" spans="1:6">
      <c r="A258"/>
      <c r="B258"/>
      <c r="C258"/>
      <c r="D258"/>
      <c r="E258"/>
      <c r="F258"/>
    </row>
    <row r="259" spans="1:6">
      <c r="A259"/>
      <c r="B259"/>
      <c r="C259"/>
      <c r="D259"/>
      <c r="E259"/>
      <c r="F259"/>
    </row>
    <row r="260" spans="1:6">
      <c r="A260"/>
      <c r="B260"/>
      <c r="C260"/>
      <c r="D260"/>
      <c r="E260"/>
      <c r="F260"/>
    </row>
    <row r="261" spans="1:6">
      <c r="A261"/>
      <c r="B261"/>
      <c r="C261"/>
      <c r="D261"/>
      <c r="E261"/>
      <c r="F261"/>
    </row>
    <row r="262" spans="1:6">
      <c r="A262"/>
      <c r="B262"/>
      <c r="C262"/>
      <c r="D262"/>
      <c r="E262"/>
      <c r="F262"/>
    </row>
    <row r="263" spans="1:6">
      <c r="A263"/>
      <c r="B263"/>
      <c r="C263"/>
      <c r="D263"/>
      <c r="E263"/>
      <c r="F263"/>
    </row>
    <row r="264" spans="1:6">
      <c r="A264"/>
      <c r="B264"/>
      <c r="C264"/>
      <c r="D264"/>
      <c r="E264"/>
      <c r="F264"/>
    </row>
    <row r="265" spans="1:6">
      <c r="A265"/>
      <c r="B265"/>
      <c r="C265"/>
      <c r="D265"/>
      <c r="E265"/>
      <c r="F265"/>
    </row>
    <row r="266" spans="1:6">
      <c r="A266"/>
      <c r="B266"/>
      <c r="C266"/>
      <c r="D266"/>
      <c r="E266"/>
      <c r="F266"/>
    </row>
    <row r="267" spans="1:6">
      <c r="A267"/>
      <c r="B267"/>
      <c r="C267"/>
      <c r="D267"/>
      <c r="E267"/>
      <c r="F267"/>
    </row>
    <row r="268" spans="1:6">
      <c r="A268"/>
      <c r="B268"/>
      <c r="C268"/>
      <c r="D268"/>
      <c r="E268"/>
      <c r="F268"/>
    </row>
    <row r="269" spans="1:6">
      <c r="A269"/>
      <c r="B269"/>
      <c r="C269"/>
      <c r="D269"/>
      <c r="E269"/>
      <c r="F269"/>
    </row>
    <row r="270" spans="1:6">
      <c r="A270"/>
      <c r="B270"/>
      <c r="C270"/>
      <c r="D270"/>
      <c r="E270"/>
      <c r="F270"/>
    </row>
    <row r="271" spans="1:6">
      <c r="A271"/>
      <c r="B271"/>
      <c r="C271"/>
      <c r="D271"/>
      <c r="E271"/>
      <c r="F271"/>
    </row>
    <row r="272" spans="1:6">
      <c r="A272"/>
      <c r="B272"/>
      <c r="C272"/>
      <c r="D272"/>
      <c r="E272"/>
      <c r="F272"/>
    </row>
    <row r="273" spans="1:6">
      <c r="A273"/>
      <c r="B273"/>
      <c r="C273"/>
      <c r="D273"/>
      <c r="E273"/>
      <c r="F273"/>
    </row>
    <row r="274" spans="1:6">
      <c r="A274"/>
      <c r="B274"/>
      <c r="C274"/>
      <c r="D274"/>
      <c r="E274"/>
      <c r="F274"/>
    </row>
    <row r="275" spans="1:6">
      <c r="A275"/>
      <c r="B275"/>
      <c r="C275"/>
      <c r="D275"/>
      <c r="E275"/>
      <c r="F275"/>
    </row>
    <row r="276" spans="1:6">
      <c r="A276"/>
      <c r="B276"/>
      <c r="C276"/>
      <c r="D276"/>
      <c r="E276"/>
      <c r="F276"/>
    </row>
    <row r="277" spans="1:6">
      <c r="A277"/>
      <c r="B277"/>
      <c r="C277"/>
      <c r="D277"/>
      <c r="E277"/>
      <c r="F277"/>
    </row>
    <row r="278" spans="1:6">
      <c r="A278"/>
      <c r="B278"/>
      <c r="C278"/>
      <c r="D278"/>
      <c r="E278"/>
      <c r="F278"/>
    </row>
  </sheetData>
  <mergeCells count="3">
    <mergeCell ref="C5:H5"/>
    <mergeCell ref="J5:O5"/>
    <mergeCell ref="Q5:R5"/>
  </mergeCells>
  <printOptions horizontalCentered="1"/>
  <pageMargins left="0.19685039370078741" right="0.19685039370078741" top="0.19685039370078741" bottom="0.19685039370078741" header="0.19685039370078741" footer="0.19685039370078741"/>
  <pageSetup paperSize="9" scale="52" fitToHeight="4" orientation="landscape" r:id="rId1"/>
  <colBreaks count="1" manualBreakCount="1">
    <brk id="9" max="277"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8"/>
  <sheetViews>
    <sheetView zoomScale="74" zoomScaleNormal="90" zoomScaleSheetLayoutView="80" workbookViewId="0">
      <selection activeCell="C105" sqref="C105"/>
    </sheetView>
  </sheetViews>
  <sheetFormatPr defaultColWidth="9.1796875" defaultRowHeight="14.5"/>
  <cols>
    <col min="1" max="1" width="10" style="351" customWidth="1"/>
    <col min="2" max="2" width="61.1796875" bestFit="1" customWidth="1"/>
    <col min="3" max="3" width="18.7265625" bestFit="1" customWidth="1"/>
    <col min="4" max="4" width="14.54296875" bestFit="1" customWidth="1"/>
    <col min="5" max="5" width="8.453125" bestFit="1" customWidth="1"/>
    <col min="6" max="6" width="14.453125" bestFit="1" customWidth="1"/>
    <col min="7" max="7" width="52.1796875" bestFit="1" customWidth="1"/>
    <col min="8" max="8" width="9" bestFit="1" customWidth="1"/>
    <col min="9" max="9" width="8.81640625" bestFit="1" customWidth="1"/>
    <col min="11" max="11" width="15.54296875" bestFit="1" customWidth="1"/>
    <col min="12" max="12" width="8.81640625" bestFit="1" customWidth="1"/>
    <col min="13" max="13" width="14.453125" bestFit="1" customWidth="1"/>
    <col min="14" max="14" width="9.54296875" bestFit="1" customWidth="1"/>
    <col min="15" max="15" width="9" bestFit="1" customWidth="1"/>
    <col min="16" max="16" width="8.81640625" bestFit="1" customWidth="1"/>
    <col min="18" max="19" width="8.81640625" bestFit="1" customWidth="1"/>
  </cols>
  <sheetData>
    <row r="1" spans="2:22" s="351" customFormat="1">
      <c r="B1" s="580" t="s">
        <v>1212</v>
      </c>
      <c r="C1" s="1022"/>
      <c r="D1" s="507"/>
      <c r="F1" s="507"/>
      <c r="G1" s="507"/>
      <c r="H1" s="507"/>
    </row>
    <row r="2" spans="2:22" s="351" customFormat="1">
      <c r="B2" s="392" t="s">
        <v>1604</v>
      </c>
      <c r="C2" s="1017"/>
      <c r="D2" s="507"/>
      <c r="F2" s="507"/>
      <c r="G2" s="507"/>
      <c r="H2" s="507"/>
    </row>
    <row r="3" spans="2:22" s="351" customFormat="1">
      <c r="B3" s="440" t="s">
        <v>1213</v>
      </c>
      <c r="C3" s="368"/>
      <c r="D3" s="440"/>
      <c r="E3" s="440"/>
      <c r="F3" s="440"/>
      <c r="G3" s="440"/>
      <c r="H3" s="440"/>
      <c r="I3" s="440"/>
    </row>
    <row r="4" spans="2:22" s="351" customFormat="1">
      <c r="B4" s="509"/>
      <c r="C4" s="1163"/>
      <c r="D4" s="507"/>
      <c r="F4" s="507"/>
      <c r="G4" s="507"/>
      <c r="H4" s="507"/>
    </row>
    <row r="5" spans="2:22" s="351" customFormat="1" ht="21">
      <c r="B5" s="1147"/>
      <c r="C5" s="1164"/>
      <c r="D5" s="3514" t="s">
        <v>1010</v>
      </c>
      <c r="E5" s="3515"/>
      <c r="F5" s="3515"/>
      <c r="G5" s="3515"/>
      <c r="H5" s="3515"/>
      <c r="I5" s="3516"/>
      <c r="J5" s="1148"/>
      <c r="K5" s="3514" t="s">
        <v>1021</v>
      </c>
      <c r="L5" s="3515"/>
      <c r="M5" s="3515"/>
      <c r="N5" s="3515"/>
      <c r="O5" s="3515"/>
      <c r="P5" s="3516"/>
      <c r="Q5" s="1148"/>
      <c r="R5" s="3515" t="s">
        <v>1528</v>
      </c>
      <c r="S5" s="3516"/>
      <c r="T5" s="504"/>
      <c r="U5" s="504"/>
      <c r="V5" s="504"/>
    </row>
    <row r="6" spans="2:22" s="351" customFormat="1" ht="28">
      <c r="B6" s="1149" t="s">
        <v>1529</v>
      </c>
      <c r="C6" s="1165"/>
      <c r="D6" s="1149" t="s">
        <v>61</v>
      </c>
      <c r="E6" s="1149" t="s">
        <v>781</v>
      </c>
      <c r="F6" s="1149" t="s">
        <v>61</v>
      </c>
      <c r="G6" s="1149" t="s">
        <v>1530</v>
      </c>
      <c r="H6" s="1149" t="s">
        <v>61</v>
      </c>
      <c r="I6" s="1149" t="s">
        <v>1531</v>
      </c>
      <c r="J6" s="1150"/>
      <c r="K6" s="1149" t="s">
        <v>61</v>
      </c>
      <c r="L6" s="1149" t="s">
        <v>781</v>
      </c>
      <c r="M6" s="1149" t="s">
        <v>61</v>
      </c>
      <c r="N6" s="1149" t="s">
        <v>1530</v>
      </c>
      <c r="O6" s="1149" t="s">
        <v>61</v>
      </c>
      <c r="P6" s="1149" t="s">
        <v>1531</v>
      </c>
      <c r="Q6" s="1150"/>
      <c r="R6" s="1149" t="s">
        <v>781</v>
      </c>
      <c r="S6" s="1149" t="s">
        <v>1531</v>
      </c>
    </row>
    <row r="7" spans="2:22" s="351" customFormat="1">
      <c r="B7" s="1151" t="s">
        <v>1043</v>
      </c>
      <c r="C7" s="1154"/>
      <c r="D7" s="1151"/>
      <c r="E7" s="1152"/>
      <c r="F7" s="1152"/>
      <c r="G7" s="1152"/>
      <c r="H7" s="1152"/>
      <c r="I7" s="1152"/>
      <c r="J7" s="1153"/>
      <c r="K7" s="1151"/>
      <c r="L7" s="1152"/>
      <c r="M7" s="1152"/>
      <c r="N7" s="1152"/>
      <c r="O7" s="1152"/>
      <c r="P7" s="1152"/>
      <c r="Q7" s="1153"/>
      <c r="R7" s="1152"/>
      <c r="S7" s="1152"/>
    </row>
    <row r="8" spans="2:22" s="351" customFormat="1">
      <c r="B8" s="1154" t="s">
        <v>1395</v>
      </c>
      <c r="C8" s="1154"/>
      <c r="D8" s="1154"/>
      <c r="E8" s="1155"/>
      <c r="F8" s="1155"/>
      <c r="G8" s="1155"/>
      <c r="H8" s="1155"/>
      <c r="I8" s="1155"/>
      <c r="J8" s="1153"/>
      <c r="K8" s="1154"/>
      <c r="L8" s="1155"/>
      <c r="M8" s="1155"/>
      <c r="N8" s="1155"/>
      <c r="O8" s="1155"/>
      <c r="P8" s="1155"/>
      <c r="Q8" s="1153"/>
      <c r="R8" s="1155"/>
      <c r="S8" s="1155"/>
    </row>
    <row r="9" spans="2:22" s="351" customFormat="1">
      <c r="B9" s="1156" t="s">
        <v>1396</v>
      </c>
      <c r="C9" s="1156"/>
      <c r="D9" s="1156" t="s">
        <v>1532</v>
      </c>
      <c r="E9" s="1157">
        <v>50</v>
      </c>
      <c r="F9" s="1157"/>
      <c r="G9" s="1157"/>
      <c r="H9" s="1152" t="s">
        <v>1533</v>
      </c>
      <c r="I9" s="1157">
        <v>3</v>
      </c>
      <c r="J9" s="1153"/>
      <c r="K9" s="1156" t="str">
        <f>D9</f>
        <v>Rs./kW/month</v>
      </c>
      <c r="L9" s="1156"/>
      <c r="M9" s="1156"/>
      <c r="N9" s="1156"/>
      <c r="O9" s="1156" t="str">
        <f t="shared" ref="M9:O22" si="0">H9</f>
        <v>Rs/kWh</v>
      </c>
      <c r="P9" s="1156"/>
      <c r="Q9" s="1153"/>
      <c r="R9" s="1158">
        <f>L9-E9</f>
        <v>-50</v>
      </c>
      <c r="S9" s="1158">
        <f>P9-I9</f>
        <v>-3</v>
      </c>
    </row>
    <row r="10" spans="2:22" s="351" customFormat="1">
      <c r="B10" s="1154" t="s">
        <v>1044</v>
      </c>
      <c r="C10" s="1154"/>
      <c r="D10" s="1154" t="s">
        <v>1532</v>
      </c>
      <c r="E10" s="1159">
        <v>500</v>
      </c>
      <c r="F10" s="1159"/>
      <c r="G10" s="1159"/>
      <c r="H10" s="1155" t="s">
        <v>1533</v>
      </c>
      <c r="I10" s="1159">
        <v>0</v>
      </c>
      <c r="J10" s="1153"/>
      <c r="K10" s="1154" t="str">
        <f t="shared" ref="K10:K72" si="1">D10</f>
        <v>Rs./kW/month</v>
      </c>
      <c r="L10" s="1159"/>
      <c r="M10" s="1159"/>
      <c r="N10" s="1159"/>
      <c r="O10" s="1155" t="str">
        <f t="shared" si="0"/>
        <v>Rs/kWh</v>
      </c>
      <c r="P10" s="1159"/>
      <c r="Q10" s="1153"/>
      <c r="R10" s="1158">
        <f>L10-E10</f>
        <v>-500</v>
      </c>
      <c r="S10" s="1158">
        <f>P10-I10</f>
        <v>0</v>
      </c>
    </row>
    <row r="11" spans="2:22" s="351" customFormat="1">
      <c r="B11" s="1154" t="s">
        <v>1045</v>
      </c>
      <c r="C11" s="1154"/>
      <c r="D11" s="1154"/>
      <c r="E11" s="1159"/>
      <c r="F11" s="1159"/>
      <c r="G11" s="1159"/>
      <c r="H11" s="1155"/>
      <c r="I11" s="1159"/>
      <c r="J11" s="1153"/>
      <c r="K11" s="1154"/>
      <c r="L11" s="1159"/>
      <c r="M11" s="1159"/>
      <c r="N11" s="1159"/>
      <c r="O11" s="1155"/>
      <c r="P11" s="1159"/>
      <c r="Q11" s="1153"/>
      <c r="R11" s="1159"/>
      <c r="S11" s="1159"/>
    </row>
    <row r="12" spans="2:22" s="351" customFormat="1">
      <c r="B12" s="1156" t="s">
        <v>1419</v>
      </c>
      <c r="C12" s="1156"/>
      <c r="D12" s="1156" t="s">
        <v>1532</v>
      </c>
      <c r="E12" s="1157"/>
      <c r="F12" s="1157"/>
      <c r="G12" s="1157"/>
      <c r="H12" s="1152" t="s">
        <v>1533</v>
      </c>
      <c r="I12" s="1157">
        <v>3.35</v>
      </c>
      <c r="J12" s="1153"/>
      <c r="K12" s="1156" t="str">
        <f t="shared" si="1"/>
        <v>Rs./kW/month</v>
      </c>
      <c r="L12" s="1157"/>
      <c r="M12" s="1157"/>
      <c r="N12" s="1157"/>
      <c r="O12" s="1152" t="str">
        <f t="shared" si="0"/>
        <v>Rs/kWh</v>
      </c>
      <c r="P12" s="1157"/>
      <c r="Q12" s="1153"/>
      <c r="R12" s="1158">
        <f t="shared" ref="R12:R17" si="2">L12-E12</f>
        <v>0</v>
      </c>
      <c r="S12" s="1158">
        <f t="shared" ref="S12:S17" si="3">P12-I12</f>
        <v>-3.35</v>
      </c>
    </row>
    <row r="13" spans="2:22" s="351" customFormat="1">
      <c r="B13" s="1156" t="s">
        <v>1420</v>
      </c>
      <c r="C13" s="1156"/>
      <c r="D13" s="1156" t="s">
        <v>1532</v>
      </c>
      <c r="E13" s="1157">
        <f>E12</f>
        <v>0</v>
      </c>
      <c r="F13" s="1157"/>
      <c r="G13" s="1157"/>
      <c r="H13" s="1152" t="s">
        <v>1533</v>
      </c>
      <c r="I13" s="1157">
        <v>3.85</v>
      </c>
      <c r="J13" s="1153"/>
      <c r="K13" s="1156" t="str">
        <f t="shared" si="1"/>
        <v>Rs./kW/month</v>
      </c>
      <c r="L13" s="1157"/>
      <c r="M13" s="1157"/>
      <c r="N13" s="1157"/>
      <c r="O13" s="1152" t="str">
        <f t="shared" si="0"/>
        <v>Rs/kWh</v>
      </c>
      <c r="P13" s="1157"/>
      <c r="Q13" s="1153"/>
      <c r="R13" s="1158">
        <f t="shared" si="2"/>
        <v>0</v>
      </c>
      <c r="S13" s="1158">
        <f t="shared" si="3"/>
        <v>-3.85</v>
      </c>
    </row>
    <row r="14" spans="2:22" s="351" customFormat="1">
      <c r="B14" s="1156" t="s">
        <v>1421</v>
      </c>
      <c r="C14" s="1156"/>
      <c r="D14" s="1156" t="s">
        <v>1532</v>
      </c>
      <c r="E14" s="1157">
        <f>E13</f>
        <v>0</v>
      </c>
      <c r="F14" s="1157"/>
      <c r="G14" s="1157"/>
      <c r="H14" s="1152" t="s">
        <v>1533</v>
      </c>
      <c r="I14" s="1157">
        <v>5</v>
      </c>
      <c r="J14" s="1153"/>
      <c r="K14" s="1156" t="str">
        <f t="shared" si="1"/>
        <v>Rs./kW/month</v>
      </c>
      <c r="L14" s="1157"/>
      <c r="M14" s="1157"/>
      <c r="N14" s="1157"/>
      <c r="O14" s="1152" t="str">
        <f t="shared" si="0"/>
        <v>Rs/kWh</v>
      </c>
      <c r="P14" s="1157"/>
      <c r="Q14" s="1153"/>
      <c r="R14" s="1158">
        <f t="shared" si="2"/>
        <v>0</v>
      </c>
      <c r="S14" s="1158">
        <f t="shared" si="3"/>
        <v>-5</v>
      </c>
    </row>
    <row r="15" spans="2:22" s="351" customFormat="1">
      <c r="B15" s="1156" t="s">
        <v>1422</v>
      </c>
      <c r="C15" s="1156"/>
      <c r="D15" s="1156" t="s">
        <v>1532</v>
      </c>
      <c r="E15" s="1157">
        <f>E14</f>
        <v>0</v>
      </c>
      <c r="F15" s="1157"/>
      <c r="G15" s="1157"/>
      <c r="H15" s="1152" t="s">
        <v>1533</v>
      </c>
      <c r="I15" s="1157">
        <v>5.5</v>
      </c>
      <c r="J15" s="1153"/>
      <c r="K15" s="1156" t="str">
        <f t="shared" si="1"/>
        <v>Rs./kW/month</v>
      </c>
      <c r="L15" s="1157"/>
      <c r="M15" s="1157"/>
      <c r="N15" s="1157"/>
      <c r="O15" s="1152" t="str">
        <f t="shared" si="0"/>
        <v>Rs/kWh</v>
      </c>
      <c r="P15" s="1157"/>
      <c r="Q15" s="1153"/>
      <c r="R15" s="1158">
        <f t="shared" si="2"/>
        <v>0</v>
      </c>
      <c r="S15" s="1158">
        <f t="shared" si="3"/>
        <v>-5.5</v>
      </c>
    </row>
    <row r="16" spans="2:22" s="351" customFormat="1">
      <c r="B16" s="1156" t="s">
        <v>1423</v>
      </c>
      <c r="C16" s="1156"/>
      <c r="D16" s="1156" t="s">
        <v>1532</v>
      </c>
      <c r="E16" s="1157">
        <f>E15</f>
        <v>0</v>
      </c>
      <c r="F16" s="1157"/>
      <c r="G16" s="1157"/>
      <c r="H16" s="1152" t="s">
        <v>1533</v>
      </c>
      <c r="I16" s="1157">
        <v>6</v>
      </c>
      <c r="J16" s="1153"/>
      <c r="K16" s="1156" t="str">
        <f t="shared" si="1"/>
        <v>Rs./kW/month</v>
      </c>
      <c r="L16" s="1157"/>
      <c r="M16" s="1157"/>
      <c r="N16" s="1157"/>
      <c r="O16" s="1152" t="str">
        <f t="shared" si="0"/>
        <v>Rs/kWh</v>
      </c>
      <c r="P16" s="1157"/>
      <c r="Q16" s="1153"/>
      <c r="R16" s="1158">
        <f t="shared" si="2"/>
        <v>0</v>
      </c>
      <c r="S16" s="1158">
        <f t="shared" si="3"/>
        <v>-6</v>
      </c>
    </row>
    <row r="17" spans="2:19" s="351" customFormat="1">
      <c r="B17" s="1154" t="s">
        <v>1046</v>
      </c>
      <c r="C17" s="1154"/>
      <c r="D17" s="1154" t="s">
        <v>1532</v>
      </c>
      <c r="E17" s="1159">
        <v>110</v>
      </c>
      <c r="F17" s="1159"/>
      <c r="G17" s="1159"/>
      <c r="H17" s="1155" t="s">
        <v>1533</v>
      </c>
      <c r="I17" s="1159">
        <v>7</v>
      </c>
      <c r="J17" s="1153"/>
      <c r="K17" s="1154" t="str">
        <f t="shared" si="1"/>
        <v>Rs./kW/month</v>
      </c>
      <c r="L17" s="1159"/>
      <c r="M17" s="1159"/>
      <c r="N17" s="1159"/>
      <c r="O17" s="1155" t="str">
        <f t="shared" si="0"/>
        <v>Rs/kWh</v>
      </c>
      <c r="P17" s="1159"/>
      <c r="Q17" s="1153"/>
      <c r="R17" s="1158">
        <f t="shared" si="2"/>
        <v>-110</v>
      </c>
      <c r="S17" s="1158">
        <f t="shared" si="3"/>
        <v>-7</v>
      </c>
    </row>
    <row r="18" spans="2:19" s="351" customFormat="1">
      <c r="B18" s="1154" t="s">
        <v>1047</v>
      </c>
      <c r="C18" s="1154"/>
      <c r="D18" s="1154"/>
      <c r="E18" s="1159"/>
      <c r="F18" s="1159"/>
      <c r="G18" s="1159"/>
      <c r="H18" s="1155"/>
      <c r="I18" s="1159"/>
      <c r="J18" s="1153"/>
      <c r="K18" s="1154"/>
      <c r="L18" s="1159"/>
      <c r="M18" s="1159"/>
      <c r="N18" s="1159"/>
      <c r="O18" s="1155"/>
      <c r="P18" s="1159"/>
      <c r="Q18" s="1153"/>
      <c r="R18" s="1159"/>
      <c r="S18" s="1159"/>
    </row>
    <row r="19" spans="2:19" s="351" customFormat="1">
      <c r="B19" s="1160" t="s">
        <v>1424</v>
      </c>
      <c r="C19" s="1156"/>
      <c r="D19" s="1156" t="s">
        <v>1532</v>
      </c>
      <c r="E19" s="1157">
        <v>110</v>
      </c>
      <c r="F19" s="1157"/>
      <c r="G19" s="1157"/>
      <c r="H19" s="1152" t="s">
        <v>1533</v>
      </c>
      <c r="I19" s="1157">
        <v>5.5</v>
      </c>
      <c r="J19" s="1153"/>
      <c r="K19" s="1156" t="str">
        <f t="shared" si="1"/>
        <v>Rs./kW/month</v>
      </c>
      <c r="L19" s="1157"/>
      <c r="M19" s="1157"/>
      <c r="N19" s="1157"/>
      <c r="O19" s="1152" t="str">
        <f t="shared" si="0"/>
        <v>Rs/kWh</v>
      </c>
      <c r="P19" s="1157"/>
      <c r="Q19" s="1153"/>
      <c r="R19" s="1158">
        <f>L19-E19</f>
        <v>-110</v>
      </c>
      <c r="S19" s="1158">
        <f>P19-I19</f>
        <v>-5.5</v>
      </c>
    </row>
    <row r="20" spans="2:19" s="351" customFormat="1">
      <c r="B20" s="1156" t="s">
        <v>1421</v>
      </c>
      <c r="C20" s="1156"/>
      <c r="D20" s="1156" t="s">
        <v>1532</v>
      </c>
      <c r="E20" s="1157">
        <f>E19</f>
        <v>110</v>
      </c>
      <c r="F20" s="1157"/>
      <c r="G20" s="1157"/>
      <c r="H20" s="1152" t="s">
        <v>1533</v>
      </c>
      <c r="I20" s="1157">
        <v>6</v>
      </c>
      <c r="J20" s="1153"/>
      <c r="K20" s="1156" t="str">
        <f t="shared" si="1"/>
        <v>Rs./kW/month</v>
      </c>
      <c r="L20" s="1157"/>
      <c r="M20" s="1157"/>
      <c r="N20" s="1157"/>
      <c r="O20" s="1152" t="str">
        <f t="shared" si="0"/>
        <v>Rs/kWh</v>
      </c>
      <c r="P20" s="1157"/>
      <c r="Q20" s="1153"/>
      <c r="R20" s="1158">
        <f>L20-E20</f>
        <v>-110</v>
      </c>
      <c r="S20" s="1158">
        <f>P20-I20</f>
        <v>-6</v>
      </c>
    </row>
    <row r="21" spans="2:19" s="351" customFormat="1">
      <c r="B21" s="1156" t="s">
        <v>1422</v>
      </c>
      <c r="C21" s="1156"/>
      <c r="D21" s="1156" t="s">
        <v>1532</v>
      </c>
      <c r="E21" s="1157">
        <f>E20</f>
        <v>110</v>
      </c>
      <c r="F21" s="1157" t="s">
        <v>1534</v>
      </c>
      <c r="G21" s="1157">
        <v>600</v>
      </c>
      <c r="H21" s="1152" t="s">
        <v>1533</v>
      </c>
      <c r="I21" s="1157">
        <v>6.5</v>
      </c>
      <c r="J21" s="1153"/>
      <c r="K21" s="1156" t="str">
        <f t="shared" si="1"/>
        <v>Rs./kW/month</v>
      </c>
      <c r="L21" s="1157"/>
      <c r="M21" s="1157" t="str">
        <f t="shared" si="0"/>
        <v>Apr to Sept</v>
      </c>
      <c r="N21" s="1157"/>
      <c r="O21" s="1152" t="str">
        <f t="shared" si="0"/>
        <v>Rs/kWh</v>
      </c>
      <c r="P21" s="1157"/>
      <c r="Q21" s="1153"/>
      <c r="R21" s="1158">
        <f>L21-E21</f>
        <v>-110</v>
      </c>
      <c r="S21" s="1158">
        <f>P21-I21</f>
        <v>-6.5</v>
      </c>
    </row>
    <row r="22" spans="2:19" s="351" customFormat="1">
      <c r="B22" s="1156" t="s">
        <v>1423</v>
      </c>
      <c r="C22" s="1156"/>
      <c r="D22" s="1156" t="s">
        <v>1532</v>
      </c>
      <c r="E22" s="1157">
        <f>E21</f>
        <v>110</v>
      </c>
      <c r="F22" s="1157" t="s">
        <v>1535</v>
      </c>
      <c r="G22" s="1157">
        <v>475</v>
      </c>
      <c r="H22" s="1152" t="s">
        <v>1533</v>
      </c>
      <c r="I22" s="1157">
        <v>7</v>
      </c>
      <c r="J22" s="1153"/>
      <c r="K22" s="1156" t="str">
        <f t="shared" si="1"/>
        <v>Rs./kW/month</v>
      </c>
      <c r="L22" s="1157"/>
      <c r="M22" s="1157" t="str">
        <f t="shared" si="0"/>
        <v>Oct to Mar</v>
      </c>
      <c r="N22" s="1157"/>
      <c r="O22" s="1152" t="str">
        <f t="shared" si="0"/>
        <v>Rs/kWh</v>
      </c>
      <c r="P22" s="1157"/>
      <c r="Q22" s="1153"/>
      <c r="R22" s="1158">
        <f>L22-E22</f>
        <v>-110</v>
      </c>
      <c r="S22" s="1158">
        <f>P22-I22</f>
        <v>-7</v>
      </c>
    </row>
    <row r="23" spans="2:19" s="351" customFormat="1">
      <c r="B23" s="1154" t="s">
        <v>1425</v>
      </c>
      <c r="C23" s="1154"/>
      <c r="D23" s="1154"/>
      <c r="E23" s="1159"/>
      <c r="F23" s="1159"/>
      <c r="G23" s="1159"/>
      <c r="H23" s="1155"/>
      <c r="I23" s="1159"/>
      <c r="J23" s="1153"/>
      <c r="K23" s="1154"/>
      <c r="L23" s="1159"/>
      <c r="M23" s="1159"/>
      <c r="N23" s="1159"/>
      <c r="O23" s="1155"/>
      <c r="P23" s="1159"/>
      <c r="Q23" s="1153"/>
      <c r="R23" s="1159"/>
      <c r="S23" s="1159"/>
    </row>
    <row r="24" spans="2:19" s="351" customFormat="1">
      <c r="B24" s="1154"/>
      <c r="C24" s="1154"/>
      <c r="D24" s="1154"/>
      <c r="E24" s="1157"/>
      <c r="F24" s="1157"/>
      <c r="G24" s="1157"/>
      <c r="H24" s="1152"/>
      <c r="I24" s="1157"/>
      <c r="J24" s="1153"/>
      <c r="K24" s="1154"/>
      <c r="L24" s="1157"/>
      <c r="M24" s="1157"/>
      <c r="N24" s="1157"/>
      <c r="O24" s="1152"/>
      <c r="P24" s="1157"/>
      <c r="Q24" s="1153"/>
      <c r="R24" s="1157"/>
      <c r="S24" s="1157"/>
    </row>
    <row r="25" spans="2:19" s="351" customFormat="1">
      <c r="B25" s="1172" t="s">
        <v>1398</v>
      </c>
      <c r="C25" s="1166"/>
      <c r="D25" s="1155"/>
      <c r="E25" s="1157"/>
      <c r="F25" s="1157"/>
      <c r="G25" s="1157"/>
      <c r="H25" s="1152"/>
      <c r="I25" s="1157"/>
      <c r="J25" s="1153"/>
      <c r="K25" s="1155"/>
      <c r="L25" s="1157"/>
      <c r="M25" s="1157"/>
      <c r="N25" s="1157"/>
      <c r="O25" s="1152"/>
      <c r="P25" s="1157"/>
      <c r="Q25" s="1153"/>
      <c r="R25" s="1157"/>
      <c r="S25" s="1157"/>
    </row>
    <row r="26" spans="2:19" s="351" customFormat="1">
      <c r="B26" s="1172" t="s">
        <v>1051</v>
      </c>
      <c r="C26" s="1166"/>
      <c r="D26" s="1155" t="s">
        <v>1532</v>
      </c>
      <c r="E26" s="1159">
        <v>1000</v>
      </c>
      <c r="F26" s="1159"/>
      <c r="G26" s="1159"/>
      <c r="H26" s="1155" t="s">
        <v>1533</v>
      </c>
      <c r="I26" s="1159">
        <v>0</v>
      </c>
      <c r="J26" s="1153"/>
      <c r="K26" s="1155" t="str">
        <f t="shared" si="1"/>
        <v>Rs./kW/month</v>
      </c>
      <c r="L26" s="1159"/>
      <c r="M26" s="1159"/>
      <c r="N26" s="1159"/>
      <c r="O26" s="1155" t="str">
        <f t="shared" ref="O26:O72" si="4">H26</f>
        <v>Rs/kWh</v>
      </c>
      <c r="P26" s="1159"/>
      <c r="Q26" s="1153"/>
      <c r="R26" s="1158">
        <f>L26-E26</f>
        <v>-1000</v>
      </c>
      <c r="S26" s="1158">
        <f>P26-I26</f>
        <v>0</v>
      </c>
    </row>
    <row r="27" spans="2:19" s="351" customFormat="1">
      <c r="B27" s="1172" t="s">
        <v>1052</v>
      </c>
      <c r="C27" s="1166"/>
      <c r="D27" s="1155" t="s">
        <v>1532</v>
      </c>
      <c r="E27" s="1159">
        <v>110</v>
      </c>
      <c r="F27" s="1159"/>
      <c r="G27" s="1159"/>
      <c r="H27" s="1155" t="s">
        <v>1533</v>
      </c>
      <c r="I27" s="1159">
        <v>5.5</v>
      </c>
      <c r="J27" s="1153"/>
      <c r="K27" s="1155" t="str">
        <f t="shared" si="1"/>
        <v>Rs./kW/month</v>
      </c>
      <c r="L27" s="1159"/>
      <c r="M27" s="1159"/>
      <c r="N27" s="1159"/>
      <c r="O27" s="1155" t="str">
        <f t="shared" si="4"/>
        <v>Rs/kWh</v>
      </c>
      <c r="P27" s="1159"/>
      <c r="Q27" s="1153"/>
      <c r="R27" s="1158">
        <f>L27-E27</f>
        <v>-110</v>
      </c>
      <c r="S27" s="1158">
        <f>P27-I27</f>
        <v>-5.5</v>
      </c>
    </row>
    <row r="28" spans="2:19" s="351" customFormat="1">
      <c r="B28" s="1172" t="s">
        <v>1399</v>
      </c>
      <c r="C28" s="1166"/>
      <c r="D28" s="1155" t="s">
        <v>1532</v>
      </c>
      <c r="E28" s="1159">
        <v>1800</v>
      </c>
      <c r="F28" s="1159"/>
      <c r="G28" s="1159"/>
      <c r="H28" s="1155" t="s">
        <v>1533</v>
      </c>
      <c r="I28" s="1159">
        <v>18</v>
      </c>
      <c r="J28" s="1153"/>
      <c r="K28" s="1155" t="str">
        <f t="shared" si="1"/>
        <v>Rs./kW/month</v>
      </c>
      <c r="L28" s="1159"/>
      <c r="M28" s="1159"/>
      <c r="N28" s="1159"/>
      <c r="O28" s="1155" t="str">
        <f t="shared" si="4"/>
        <v>Rs/kWh</v>
      </c>
      <c r="P28" s="1159"/>
      <c r="Q28" s="1153"/>
      <c r="R28" s="1158">
        <f>L28-E28</f>
        <v>-1800</v>
      </c>
      <c r="S28" s="1158">
        <f>P28-I28</f>
        <v>-18</v>
      </c>
    </row>
    <row r="29" spans="2:19" s="351" customFormat="1">
      <c r="B29" s="1172" t="s">
        <v>1054</v>
      </c>
      <c r="C29" s="1166"/>
      <c r="D29" s="1155"/>
      <c r="E29" s="1159"/>
      <c r="F29" s="1159"/>
      <c r="G29" s="1159"/>
      <c r="H29" s="1155"/>
      <c r="I29" s="1159"/>
      <c r="J29" s="1153"/>
      <c r="K29" s="1155"/>
      <c r="L29" s="1159"/>
      <c r="M29" s="1159"/>
      <c r="N29" s="1159"/>
      <c r="O29" s="1155"/>
      <c r="P29" s="1159"/>
      <c r="Q29" s="1153"/>
      <c r="R29" s="1159"/>
      <c r="S29" s="1159"/>
    </row>
    <row r="30" spans="2:19" s="351" customFormat="1">
      <c r="B30" s="1172" t="s">
        <v>1536</v>
      </c>
      <c r="C30" s="1166"/>
      <c r="D30" s="1152"/>
      <c r="E30" s="1157"/>
      <c r="F30" s="1157"/>
      <c r="G30" s="1157"/>
      <c r="H30" s="1152"/>
      <c r="I30" s="1157"/>
      <c r="J30" s="1153"/>
      <c r="K30" s="1152"/>
      <c r="L30" s="1157"/>
      <c r="M30" s="1157"/>
      <c r="N30" s="1157"/>
      <c r="O30" s="1152"/>
      <c r="P30" s="1157"/>
      <c r="Q30" s="1153"/>
      <c r="R30" s="1157"/>
      <c r="S30" s="1157"/>
    </row>
    <row r="31" spans="2:19" s="351" customFormat="1">
      <c r="B31" s="1173" t="s">
        <v>1055</v>
      </c>
      <c r="C31" s="1167" t="s">
        <v>1536</v>
      </c>
      <c r="D31" s="1152" t="s">
        <v>1532</v>
      </c>
      <c r="E31" s="1157">
        <v>330</v>
      </c>
      <c r="F31" s="1157"/>
      <c r="G31" s="1157"/>
      <c r="H31" s="1152" t="s">
        <v>1533</v>
      </c>
      <c r="I31" s="1157">
        <v>7.5</v>
      </c>
      <c r="J31" s="1153"/>
      <c r="K31" s="1152" t="str">
        <f t="shared" si="1"/>
        <v>Rs./kW/month</v>
      </c>
      <c r="L31" s="1157"/>
      <c r="M31" s="1157"/>
      <c r="N31" s="1157"/>
      <c r="O31" s="1152" t="str">
        <f t="shared" si="4"/>
        <v>Rs/kWh</v>
      </c>
      <c r="P31" s="1157"/>
      <c r="Q31" s="1153"/>
      <c r="R31" s="1158">
        <f>L31-E31</f>
        <v>-330</v>
      </c>
      <c r="S31" s="1158">
        <f>P31-I31</f>
        <v>-7.5</v>
      </c>
    </row>
    <row r="32" spans="2:19" s="351" customFormat="1">
      <c r="B32" s="1173" t="s">
        <v>1056</v>
      </c>
      <c r="C32" s="1167" t="s">
        <v>1536</v>
      </c>
      <c r="D32" s="1152" t="s">
        <v>1532</v>
      </c>
      <c r="E32" s="1157">
        <f>E31</f>
        <v>330</v>
      </c>
      <c r="F32" s="1157"/>
      <c r="G32" s="1157"/>
      <c r="H32" s="1152" t="s">
        <v>1533</v>
      </c>
      <c r="I32" s="1157">
        <v>8.4</v>
      </c>
      <c r="J32" s="1153"/>
      <c r="K32" s="1152" t="str">
        <f t="shared" si="1"/>
        <v>Rs./kW/month</v>
      </c>
      <c r="L32" s="1157"/>
      <c r="M32" s="1157"/>
      <c r="N32" s="1157"/>
      <c r="O32" s="1152" t="str">
        <f t="shared" si="4"/>
        <v>Rs/kWh</v>
      </c>
      <c r="P32" s="1157"/>
      <c r="Q32" s="1153"/>
      <c r="R32" s="1158">
        <f>L32-E32</f>
        <v>-330</v>
      </c>
      <c r="S32" s="1158">
        <f>P32-I32</f>
        <v>-8.4</v>
      </c>
    </row>
    <row r="33" spans="2:19" s="351" customFormat="1">
      <c r="B33" s="1173" t="s">
        <v>1057</v>
      </c>
      <c r="C33" s="1167" t="s">
        <v>1536</v>
      </c>
      <c r="D33" s="1152" t="s">
        <v>1532</v>
      </c>
      <c r="E33" s="1157">
        <f>E32</f>
        <v>330</v>
      </c>
      <c r="F33" s="1157"/>
      <c r="G33" s="1157"/>
      <c r="H33" s="1152" t="s">
        <v>1533</v>
      </c>
      <c r="I33" s="1157">
        <v>8.75</v>
      </c>
      <c r="J33" s="1153"/>
      <c r="K33" s="1152" t="str">
        <f t="shared" si="1"/>
        <v>Rs./kW/month</v>
      </c>
      <c r="L33" s="1157"/>
      <c r="M33" s="1157"/>
      <c r="N33" s="1157"/>
      <c r="O33" s="1152" t="str">
        <f t="shared" si="4"/>
        <v>Rs/kWh</v>
      </c>
      <c r="P33" s="1157"/>
      <c r="Q33" s="1153"/>
      <c r="R33" s="1158">
        <f>L33-E33</f>
        <v>-330</v>
      </c>
      <c r="S33" s="1158">
        <f>P33-I33</f>
        <v>-8.75</v>
      </c>
    </row>
    <row r="34" spans="2:19" s="351" customFormat="1">
      <c r="B34" s="1172" t="s">
        <v>1537</v>
      </c>
      <c r="C34" s="1167"/>
      <c r="D34" s="1152"/>
      <c r="E34" s="1157"/>
      <c r="F34" s="1157"/>
      <c r="G34" s="1157"/>
      <c r="H34" s="1152"/>
      <c r="I34" s="1157"/>
      <c r="J34" s="1153"/>
      <c r="K34" s="1152"/>
      <c r="L34" s="1157"/>
      <c r="M34" s="1157"/>
      <c r="N34" s="1157"/>
      <c r="O34" s="1152"/>
      <c r="P34" s="1157"/>
      <c r="Q34" s="1153"/>
      <c r="R34" s="1157"/>
      <c r="S34" s="1157"/>
    </row>
    <row r="35" spans="2:19" s="351" customFormat="1">
      <c r="B35" s="1173" t="s">
        <v>1055</v>
      </c>
      <c r="C35" s="1167" t="s">
        <v>1537</v>
      </c>
      <c r="D35" s="1152" t="s">
        <v>1532</v>
      </c>
      <c r="E35" s="1157">
        <v>390</v>
      </c>
      <c r="F35" s="1157"/>
      <c r="G35" s="1157"/>
      <c r="H35" s="1152" t="s">
        <v>1533</v>
      </c>
      <c r="I35" s="1157">
        <f>I31</f>
        <v>7.5</v>
      </c>
      <c r="J35" s="1153"/>
      <c r="K35" s="1152" t="str">
        <f t="shared" si="1"/>
        <v>Rs./kW/month</v>
      </c>
      <c r="L35" s="1157"/>
      <c r="M35" s="1157"/>
      <c r="N35" s="1157"/>
      <c r="O35" s="1152" t="str">
        <f t="shared" si="4"/>
        <v>Rs/kWh</v>
      </c>
      <c r="P35" s="1157"/>
      <c r="Q35" s="1153"/>
      <c r="R35" s="1158">
        <f>L35-E35</f>
        <v>-390</v>
      </c>
      <c r="S35" s="1158">
        <f>P35-I35</f>
        <v>-7.5</v>
      </c>
    </row>
    <row r="36" spans="2:19" s="351" customFormat="1">
      <c r="B36" s="1173" t="s">
        <v>1056</v>
      </c>
      <c r="C36" s="1167" t="s">
        <v>1537</v>
      </c>
      <c r="D36" s="1152" t="s">
        <v>1532</v>
      </c>
      <c r="E36" s="1157">
        <f>E35</f>
        <v>390</v>
      </c>
      <c r="F36" s="1157"/>
      <c r="G36" s="1157"/>
      <c r="H36" s="1152" t="s">
        <v>1533</v>
      </c>
      <c r="I36" s="1157">
        <f>I32</f>
        <v>8.4</v>
      </c>
      <c r="J36" s="1153"/>
      <c r="K36" s="1152" t="str">
        <f t="shared" si="1"/>
        <v>Rs./kW/month</v>
      </c>
      <c r="L36" s="1157"/>
      <c r="M36" s="1157"/>
      <c r="N36" s="1157"/>
      <c r="O36" s="1152" t="str">
        <f t="shared" si="4"/>
        <v>Rs/kWh</v>
      </c>
      <c r="P36" s="1157"/>
      <c r="Q36" s="1153"/>
      <c r="R36" s="1158">
        <f>L36-E36</f>
        <v>-390</v>
      </c>
      <c r="S36" s="1158">
        <f>P36-I36</f>
        <v>-8.4</v>
      </c>
    </row>
    <row r="37" spans="2:19" s="351" customFormat="1">
      <c r="B37" s="1173" t="s">
        <v>1057</v>
      </c>
      <c r="C37" s="1167" t="s">
        <v>1537</v>
      </c>
      <c r="D37" s="1152" t="s">
        <v>1532</v>
      </c>
      <c r="E37" s="1157">
        <f>E36</f>
        <v>390</v>
      </c>
      <c r="F37" s="1157"/>
      <c r="G37" s="1157"/>
      <c r="H37" s="1152" t="s">
        <v>1533</v>
      </c>
      <c r="I37" s="1157">
        <f>I33</f>
        <v>8.75</v>
      </c>
      <c r="J37" s="1153"/>
      <c r="K37" s="1152" t="str">
        <f t="shared" si="1"/>
        <v>Rs./kW/month</v>
      </c>
      <c r="L37" s="1157"/>
      <c r="M37" s="1157"/>
      <c r="N37" s="1157"/>
      <c r="O37" s="1152" t="str">
        <f t="shared" si="4"/>
        <v>Rs/kWh</v>
      </c>
      <c r="P37" s="1157"/>
      <c r="Q37" s="1153"/>
      <c r="R37" s="1158">
        <f>L37-E37</f>
        <v>-390</v>
      </c>
      <c r="S37" s="1158">
        <f>P37-I37</f>
        <v>-8.75</v>
      </c>
    </row>
    <row r="38" spans="2:19" s="351" customFormat="1">
      <c r="B38" s="1172" t="s">
        <v>1451</v>
      </c>
      <c r="C38" s="1167"/>
      <c r="D38" s="1152"/>
      <c r="E38" s="1157"/>
      <c r="F38" s="1157"/>
      <c r="G38" s="1157"/>
      <c r="H38" s="1152"/>
      <c r="I38" s="1157"/>
      <c r="J38" s="1153"/>
      <c r="K38" s="1152"/>
      <c r="L38" s="1157"/>
      <c r="M38" s="1157"/>
      <c r="N38" s="1157"/>
      <c r="O38" s="1152"/>
      <c r="P38" s="1157"/>
      <c r="Q38" s="1153"/>
      <c r="R38" s="1157"/>
      <c r="S38" s="1157"/>
    </row>
    <row r="39" spans="2:19" s="351" customFormat="1">
      <c r="B39" s="1173" t="s">
        <v>1055</v>
      </c>
      <c r="C39" s="1167" t="s">
        <v>1451</v>
      </c>
      <c r="D39" s="1152" t="s">
        <v>1532</v>
      </c>
      <c r="E39" s="1157">
        <v>450</v>
      </c>
      <c r="F39" s="1157"/>
      <c r="G39" s="1157"/>
      <c r="H39" s="1152" t="s">
        <v>1533</v>
      </c>
      <c r="I39" s="1157">
        <f>I35</f>
        <v>7.5</v>
      </c>
      <c r="J39" s="1153"/>
      <c r="K39" s="1152" t="str">
        <f t="shared" si="1"/>
        <v>Rs./kW/month</v>
      </c>
      <c r="L39" s="1157"/>
      <c r="M39" s="1157"/>
      <c r="N39" s="1157"/>
      <c r="O39" s="1152" t="str">
        <f t="shared" si="4"/>
        <v>Rs/kWh</v>
      </c>
      <c r="P39" s="1157"/>
      <c r="Q39" s="1153"/>
      <c r="R39" s="1158">
        <f>L39-E39</f>
        <v>-450</v>
      </c>
      <c r="S39" s="1158">
        <f>P39-I39</f>
        <v>-7.5</v>
      </c>
    </row>
    <row r="40" spans="2:19" s="351" customFormat="1">
      <c r="B40" s="1173" t="s">
        <v>1056</v>
      </c>
      <c r="C40" s="1167" t="s">
        <v>1451</v>
      </c>
      <c r="D40" s="1152" t="s">
        <v>1532</v>
      </c>
      <c r="E40" s="1157">
        <f>E39</f>
        <v>450</v>
      </c>
      <c r="F40" s="1157"/>
      <c r="G40" s="1157"/>
      <c r="H40" s="1152" t="s">
        <v>1533</v>
      </c>
      <c r="I40" s="1157">
        <f>I36</f>
        <v>8.4</v>
      </c>
      <c r="J40" s="1153"/>
      <c r="K40" s="1152" t="str">
        <f t="shared" si="1"/>
        <v>Rs./kW/month</v>
      </c>
      <c r="L40" s="1157"/>
      <c r="M40" s="1157"/>
      <c r="N40" s="1157"/>
      <c r="O40" s="1152" t="str">
        <f t="shared" si="4"/>
        <v>Rs/kWh</v>
      </c>
      <c r="P40" s="1157"/>
      <c r="Q40" s="1153"/>
      <c r="R40" s="1158">
        <f>L40-E40</f>
        <v>-450</v>
      </c>
      <c r="S40" s="1158">
        <f>P40-I40</f>
        <v>-8.4</v>
      </c>
    </row>
    <row r="41" spans="2:19" s="351" customFormat="1">
      <c r="B41" s="1173" t="s">
        <v>1057</v>
      </c>
      <c r="C41" s="1167" t="s">
        <v>1451</v>
      </c>
      <c r="D41" s="1152" t="s">
        <v>1532</v>
      </c>
      <c r="E41" s="1157">
        <f>E40</f>
        <v>450</v>
      </c>
      <c r="F41" s="1157"/>
      <c r="G41" s="1157"/>
      <c r="H41" s="1152" t="s">
        <v>1533</v>
      </c>
      <c r="I41" s="1157">
        <f>I37</f>
        <v>8.75</v>
      </c>
      <c r="J41" s="1153"/>
      <c r="K41" s="1152" t="str">
        <f t="shared" si="1"/>
        <v>Rs./kW/month</v>
      </c>
      <c r="L41" s="1157"/>
      <c r="M41" s="1157"/>
      <c r="N41" s="1157"/>
      <c r="O41" s="1152" t="str">
        <f t="shared" si="4"/>
        <v>Rs/kWh</v>
      </c>
      <c r="P41" s="1157"/>
      <c r="Q41" s="1153"/>
      <c r="R41" s="1158">
        <f>L41-E41</f>
        <v>-450</v>
      </c>
      <c r="S41" s="1158">
        <f>P41-I41</f>
        <v>-8.75</v>
      </c>
    </row>
    <row r="42" spans="2:19" s="351" customFormat="1">
      <c r="B42" s="1154" t="s">
        <v>1425</v>
      </c>
      <c r="C42" s="1154"/>
      <c r="D42" s="1154"/>
      <c r="E42" s="1159"/>
      <c r="F42" s="1159"/>
      <c r="G42" s="1159"/>
      <c r="H42" s="1155"/>
      <c r="I42" s="1159"/>
      <c r="J42" s="1153"/>
      <c r="K42" s="1154"/>
      <c r="L42" s="1159"/>
      <c r="M42" s="1159"/>
      <c r="N42" s="1159"/>
      <c r="O42" s="1155"/>
      <c r="P42" s="1159"/>
      <c r="Q42" s="1153"/>
      <c r="R42" s="1159"/>
      <c r="S42" s="1159"/>
    </row>
    <row r="43" spans="2:19" s="351" customFormat="1">
      <c r="B43" s="1173"/>
      <c r="C43" s="1167"/>
      <c r="D43" s="1152"/>
      <c r="E43" s="1157"/>
      <c r="F43" s="1157"/>
      <c r="G43" s="1157"/>
      <c r="H43" s="1152"/>
      <c r="I43" s="1157"/>
      <c r="J43" s="1153"/>
      <c r="K43" s="1152"/>
      <c r="L43" s="1157"/>
      <c r="M43" s="1157"/>
      <c r="N43" s="1157"/>
      <c r="O43" s="1152"/>
      <c r="P43" s="1157"/>
      <c r="Q43" s="1153"/>
      <c r="R43" s="1157"/>
      <c r="S43" s="1157"/>
    </row>
    <row r="44" spans="2:19" s="351" customFormat="1">
      <c r="B44" s="1172" t="s">
        <v>1400</v>
      </c>
      <c r="C44" s="1166"/>
      <c r="D44" s="1155"/>
      <c r="E44" s="1157"/>
      <c r="F44" s="1157"/>
      <c r="G44" s="1157"/>
      <c r="H44" s="1152"/>
      <c r="I44" s="1157"/>
      <c r="J44" s="1153"/>
      <c r="K44" s="1155"/>
      <c r="L44" s="1157"/>
      <c r="M44" s="1157"/>
      <c r="N44" s="1157"/>
      <c r="O44" s="1152"/>
      <c r="P44" s="1157"/>
      <c r="Q44" s="1153"/>
      <c r="R44" s="1157"/>
      <c r="S44" s="1157"/>
    </row>
    <row r="45" spans="2:19" s="351" customFormat="1">
      <c r="B45" s="1172" t="s">
        <v>1401</v>
      </c>
      <c r="C45" s="1166"/>
      <c r="D45" s="1155"/>
      <c r="E45" s="1159"/>
      <c r="F45" s="1159"/>
      <c r="G45" s="1159"/>
      <c r="H45" s="1155"/>
      <c r="I45" s="1159"/>
      <c r="J45" s="1153"/>
      <c r="K45" s="1155"/>
      <c r="L45" s="1159"/>
      <c r="M45" s="1159"/>
      <c r="N45" s="1159"/>
      <c r="O45" s="1155"/>
      <c r="P45" s="1159"/>
      <c r="Q45" s="1153"/>
      <c r="R45" s="1159"/>
      <c r="S45" s="1159"/>
    </row>
    <row r="46" spans="2:19" s="351" customFormat="1">
      <c r="B46" s="1173" t="s">
        <v>1060</v>
      </c>
      <c r="C46" s="1166"/>
      <c r="D46" s="1152" t="s">
        <v>1532</v>
      </c>
      <c r="E46" s="1157">
        <v>2100</v>
      </c>
      <c r="F46" s="1157"/>
      <c r="G46" s="1157"/>
      <c r="H46" s="1152" t="s">
        <v>1533</v>
      </c>
      <c r="I46" s="1157">
        <f>I42</f>
        <v>0</v>
      </c>
      <c r="J46" s="1153"/>
      <c r="K46" s="1152" t="str">
        <f t="shared" si="1"/>
        <v>Rs./kW/month</v>
      </c>
      <c r="L46" s="1157"/>
      <c r="M46" s="1157"/>
      <c r="N46" s="1157"/>
      <c r="O46" s="1152" t="str">
        <f t="shared" si="4"/>
        <v>Rs/kWh</v>
      </c>
      <c r="P46" s="1157"/>
      <c r="Q46" s="1153"/>
      <c r="R46" s="1158">
        <f>L46-E46</f>
        <v>-2100</v>
      </c>
      <c r="S46" s="1158">
        <f>P46-I46</f>
        <v>0</v>
      </c>
    </row>
    <row r="47" spans="2:19" s="351" customFormat="1">
      <c r="B47" s="1173" t="s">
        <v>1061</v>
      </c>
      <c r="C47" s="1166"/>
      <c r="D47" s="1152" t="s">
        <v>1532</v>
      </c>
      <c r="E47" s="1157">
        <v>3200</v>
      </c>
      <c r="F47" s="1157"/>
      <c r="G47" s="1157"/>
      <c r="H47" s="1152" t="s">
        <v>1533</v>
      </c>
      <c r="I47" s="1157">
        <f>I43</f>
        <v>0</v>
      </c>
      <c r="J47" s="1153"/>
      <c r="K47" s="1152" t="str">
        <f t="shared" si="1"/>
        <v>Rs./kW/month</v>
      </c>
      <c r="L47" s="1157"/>
      <c r="M47" s="1157"/>
      <c r="N47" s="1157"/>
      <c r="O47" s="1152" t="str">
        <f t="shared" si="4"/>
        <v>Rs/kWh</v>
      </c>
      <c r="P47" s="1157"/>
      <c r="Q47" s="1153"/>
      <c r="R47" s="1158">
        <f>L47-E47</f>
        <v>-3200</v>
      </c>
      <c r="S47" s="1158">
        <f>P47-I47</f>
        <v>0</v>
      </c>
    </row>
    <row r="48" spans="2:19" s="351" customFormat="1">
      <c r="B48" s="1173" t="s">
        <v>1062</v>
      </c>
      <c r="C48" s="1166"/>
      <c r="D48" s="1152" t="s">
        <v>1532</v>
      </c>
      <c r="E48" s="1157">
        <v>4200</v>
      </c>
      <c r="F48" s="1157"/>
      <c r="G48" s="1157"/>
      <c r="H48" s="1152" t="s">
        <v>1533</v>
      </c>
      <c r="I48" s="1157">
        <f>I44</f>
        <v>0</v>
      </c>
      <c r="J48" s="1153"/>
      <c r="K48" s="1152" t="str">
        <f t="shared" si="1"/>
        <v>Rs./kW/month</v>
      </c>
      <c r="L48" s="1157"/>
      <c r="M48" s="1157"/>
      <c r="N48" s="1157"/>
      <c r="O48" s="1152" t="str">
        <f t="shared" si="4"/>
        <v>Rs/kWh</v>
      </c>
      <c r="P48" s="1157"/>
      <c r="Q48" s="1153"/>
      <c r="R48" s="1158">
        <f>L48-E48</f>
        <v>-4200</v>
      </c>
      <c r="S48" s="1158">
        <f>P48-I48</f>
        <v>0</v>
      </c>
    </row>
    <row r="49" spans="2:19" s="351" customFormat="1">
      <c r="B49" s="1172" t="s">
        <v>476</v>
      </c>
      <c r="C49" s="1166"/>
      <c r="D49" s="1155"/>
      <c r="E49" s="1159"/>
      <c r="F49" s="1159"/>
      <c r="G49" s="1159"/>
      <c r="H49" s="1155"/>
      <c r="I49" s="1159"/>
      <c r="J49" s="1153"/>
      <c r="K49" s="1155"/>
      <c r="L49" s="1159"/>
      <c r="M49" s="1159"/>
      <c r="N49" s="1159"/>
      <c r="O49" s="1155"/>
      <c r="P49" s="1159"/>
      <c r="Q49" s="1153"/>
      <c r="R49" s="1159"/>
      <c r="S49" s="1159"/>
    </row>
    <row r="50" spans="2:19" s="351" customFormat="1">
      <c r="B50" s="1172" t="s">
        <v>1063</v>
      </c>
      <c r="C50" s="1168"/>
      <c r="D50" s="1152"/>
      <c r="E50" s="1157"/>
      <c r="F50" s="1157"/>
      <c r="G50" s="1157"/>
      <c r="H50" s="1152"/>
      <c r="I50" s="1157"/>
      <c r="J50" s="1153"/>
      <c r="K50" s="1152"/>
      <c r="L50" s="1157"/>
      <c r="M50" s="1157"/>
      <c r="N50" s="1157"/>
      <c r="O50" s="1152"/>
      <c r="P50" s="1157"/>
      <c r="Q50" s="1153"/>
      <c r="R50" s="1157"/>
      <c r="S50" s="1157"/>
    </row>
    <row r="51" spans="2:19" s="351" customFormat="1">
      <c r="B51" s="1173" t="s">
        <v>1538</v>
      </c>
      <c r="C51" s="1162">
        <f>0%</f>
        <v>0</v>
      </c>
      <c r="D51" s="1152" t="s">
        <v>1532</v>
      </c>
      <c r="E51" s="1157">
        <v>200</v>
      </c>
      <c r="F51" s="1157"/>
      <c r="G51" s="1157"/>
      <c r="H51" s="1152" t="s">
        <v>1533</v>
      </c>
      <c r="I51" s="1157">
        <v>7.5</v>
      </c>
      <c r="J51" s="1153"/>
      <c r="K51" s="1152" t="str">
        <f t="shared" si="1"/>
        <v>Rs./kW/month</v>
      </c>
      <c r="L51" s="1157"/>
      <c r="M51" s="1157"/>
      <c r="N51" s="1157"/>
      <c r="O51" s="1152" t="str">
        <f t="shared" si="4"/>
        <v>Rs/kWh</v>
      </c>
      <c r="P51" s="1157"/>
      <c r="Q51" s="1153"/>
      <c r="R51" s="1158">
        <f>L51-E51</f>
        <v>-200</v>
      </c>
      <c r="S51" s="1158">
        <f>P51-I51</f>
        <v>-7.5</v>
      </c>
    </row>
    <row r="52" spans="2:19" s="351" customFormat="1">
      <c r="B52" s="1173" t="s">
        <v>1539</v>
      </c>
      <c r="C52" s="1162">
        <f>20%</f>
        <v>0.2</v>
      </c>
      <c r="D52" s="1152" t="s">
        <v>1532</v>
      </c>
      <c r="E52" s="1157">
        <v>200</v>
      </c>
      <c r="F52" s="1157"/>
      <c r="G52" s="1157"/>
      <c r="H52" s="1152" t="s">
        <v>1533</v>
      </c>
      <c r="I52" s="1157">
        <f>I51*(1+C52)</f>
        <v>9</v>
      </c>
      <c r="J52" s="1153"/>
      <c r="K52" s="1152" t="str">
        <f t="shared" si="1"/>
        <v>Rs./kW/month</v>
      </c>
      <c r="L52" s="1157"/>
      <c r="M52" s="1157"/>
      <c r="N52" s="1157"/>
      <c r="O52" s="1152" t="str">
        <f t="shared" si="4"/>
        <v>Rs/kWh</v>
      </c>
      <c r="P52" s="1157"/>
      <c r="Q52" s="1153"/>
      <c r="R52" s="1158">
        <f>L52-E52</f>
        <v>-200</v>
      </c>
      <c r="S52" s="1158">
        <f>P52-I52</f>
        <v>-9</v>
      </c>
    </row>
    <row r="53" spans="2:19" s="351" customFormat="1">
      <c r="B53" s="1172" t="s">
        <v>1064</v>
      </c>
      <c r="C53" s="1168"/>
      <c r="D53" s="1152"/>
      <c r="E53" s="1157"/>
      <c r="F53" s="1157"/>
      <c r="G53" s="1157"/>
      <c r="H53" s="1152"/>
      <c r="I53" s="1157"/>
      <c r="J53" s="1153"/>
      <c r="K53" s="1152"/>
      <c r="L53" s="1157"/>
      <c r="M53" s="1157"/>
      <c r="N53" s="1157"/>
      <c r="O53" s="1152"/>
      <c r="P53" s="1157"/>
      <c r="Q53" s="1153"/>
      <c r="R53" s="1157"/>
      <c r="S53" s="1157"/>
    </row>
    <row r="54" spans="2:19" s="351" customFormat="1">
      <c r="B54" s="1173" t="s">
        <v>1538</v>
      </c>
      <c r="C54" s="1162">
        <f>0%</f>
        <v>0</v>
      </c>
      <c r="D54" s="1152" t="s">
        <v>1532</v>
      </c>
      <c r="E54" s="1157">
        <v>250</v>
      </c>
      <c r="F54" s="1157"/>
      <c r="G54" s="1157"/>
      <c r="H54" s="1152" t="s">
        <v>1533</v>
      </c>
      <c r="I54" s="1157">
        <v>8</v>
      </c>
      <c r="J54" s="1153"/>
      <c r="K54" s="1152" t="str">
        <f t="shared" si="1"/>
        <v>Rs./kW/month</v>
      </c>
      <c r="L54" s="1157"/>
      <c r="M54" s="1157"/>
      <c r="N54" s="1157"/>
      <c r="O54" s="1152" t="str">
        <f t="shared" si="4"/>
        <v>Rs/kWh</v>
      </c>
      <c r="P54" s="1157"/>
      <c r="Q54" s="1153"/>
      <c r="R54" s="1158">
        <f>L54-E54</f>
        <v>-250</v>
      </c>
      <c r="S54" s="1158">
        <f>P54-I54</f>
        <v>-8</v>
      </c>
    </row>
    <row r="55" spans="2:19" s="351" customFormat="1">
      <c r="B55" s="1173" t="s">
        <v>1539</v>
      </c>
      <c r="C55" s="1162">
        <f>20%</f>
        <v>0.2</v>
      </c>
      <c r="D55" s="1152" t="s">
        <v>1532</v>
      </c>
      <c r="E55" s="1157">
        <v>250</v>
      </c>
      <c r="F55" s="1157"/>
      <c r="G55" s="1157"/>
      <c r="H55" s="1152" t="s">
        <v>1533</v>
      </c>
      <c r="I55" s="1157">
        <f>I54*(1+C55)</f>
        <v>9.6</v>
      </c>
      <c r="J55" s="1153"/>
      <c r="K55" s="1152" t="str">
        <f t="shared" si="1"/>
        <v>Rs./kW/month</v>
      </c>
      <c r="L55" s="1157"/>
      <c r="M55" s="1157"/>
      <c r="N55" s="1157"/>
      <c r="O55" s="1152" t="str">
        <f t="shared" si="4"/>
        <v>Rs/kWh</v>
      </c>
      <c r="P55" s="1157"/>
      <c r="Q55" s="1153"/>
      <c r="R55" s="1158">
        <f>L55-E55</f>
        <v>-250</v>
      </c>
      <c r="S55" s="1158">
        <f>P55-I55</f>
        <v>-9.6</v>
      </c>
    </row>
    <row r="56" spans="2:19" s="351" customFormat="1">
      <c r="B56" s="1172" t="s">
        <v>1065</v>
      </c>
      <c r="C56" s="1166"/>
      <c r="D56" s="1152"/>
      <c r="E56" s="1157"/>
      <c r="F56" s="1157"/>
      <c r="G56" s="1157"/>
      <c r="H56" s="1152"/>
      <c r="I56" s="1157"/>
      <c r="J56" s="1153"/>
      <c r="K56" s="1152"/>
      <c r="L56" s="1157"/>
      <c r="M56" s="1157"/>
      <c r="N56" s="1157"/>
      <c r="O56" s="1152"/>
      <c r="P56" s="1157"/>
      <c r="Q56" s="1153"/>
      <c r="R56" s="1157"/>
      <c r="S56" s="1157"/>
    </row>
    <row r="57" spans="2:19" s="351" customFormat="1">
      <c r="B57" s="1173" t="s">
        <v>1538</v>
      </c>
      <c r="C57" s="1162">
        <f>0%</f>
        <v>0</v>
      </c>
      <c r="D57" s="1152" t="s">
        <v>1532</v>
      </c>
      <c r="E57" s="1157">
        <f>E55</f>
        <v>250</v>
      </c>
      <c r="F57" s="1157"/>
      <c r="G57" s="1157"/>
      <c r="H57" s="1152" t="s">
        <v>1533</v>
      </c>
      <c r="I57" s="1157">
        <v>8.5</v>
      </c>
      <c r="J57" s="1153"/>
      <c r="K57" s="1152" t="str">
        <f t="shared" si="1"/>
        <v>Rs./kW/month</v>
      </c>
      <c r="L57" s="1157"/>
      <c r="M57" s="1157"/>
      <c r="N57" s="1157"/>
      <c r="O57" s="1152" t="str">
        <f t="shared" si="4"/>
        <v>Rs/kWh</v>
      </c>
      <c r="P57" s="1157"/>
      <c r="Q57" s="1153"/>
      <c r="R57" s="1158">
        <f>L57-E57</f>
        <v>-250</v>
      </c>
      <c r="S57" s="1158">
        <f>P57-I57</f>
        <v>-8.5</v>
      </c>
    </row>
    <row r="58" spans="2:19" s="351" customFormat="1">
      <c r="B58" s="1173" t="s">
        <v>1539</v>
      </c>
      <c r="C58" s="1162">
        <f>20%</f>
        <v>0.2</v>
      </c>
      <c r="D58" s="1152" t="s">
        <v>1532</v>
      </c>
      <c r="E58" s="1157">
        <f>E57</f>
        <v>250</v>
      </c>
      <c r="F58" s="1157"/>
      <c r="G58" s="1157"/>
      <c r="H58" s="1152" t="s">
        <v>1533</v>
      </c>
      <c r="I58" s="1157">
        <f>I57*(1+C58)</f>
        <v>10.199999999999999</v>
      </c>
      <c r="J58" s="1153"/>
      <c r="K58" s="1152" t="str">
        <f t="shared" si="1"/>
        <v>Rs./kW/month</v>
      </c>
      <c r="L58" s="1157"/>
      <c r="M58" s="1157"/>
      <c r="N58" s="1157"/>
      <c r="O58" s="1152" t="str">
        <f t="shared" si="4"/>
        <v>Rs/kWh</v>
      </c>
      <c r="P58" s="1157"/>
      <c r="Q58" s="1153"/>
      <c r="R58" s="1158">
        <f>L58-E58</f>
        <v>-250</v>
      </c>
      <c r="S58" s="1158">
        <f>P58-I58</f>
        <v>-10.199999999999999</v>
      </c>
    </row>
    <row r="59" spans="2:19" s="351" customFormat="1">
      <c r="B59" s="1154" t="s">
        <v>1425</v>
      </c>
      <c r="C59" s="1154"/>
      <c r="D59" s="1154"/>
      <c r="E59" s="1159"/>
      <c r="F59" s="1159"/>
      <c r="G59" s="1159"/>
      <c r="H59" s="1155"/>
      <c r="I59" s="1159"/>
      <c r="J59" s="1153"/>
      <c r="K59" s="1154"/>
      <c r="L59" s="1159"/>
      <c r="M59" s="1159"/>
      <c r="N59" s="1159"/>
      <c r="O59" s="1155"/>
      <c r="P59" s="1159"/>
      <c r="Q59" s="1153"/>
      <c r="R59" s="1159"/>
      <c r="S59" s="1159"/>
    </row>
    <row r="60" spans="2:19" s="351" customFormat="1">
      <c r="B60" s="1173"/>
      <c r="C60" s="1167"/>
      <c r="D60" s="1152"/>
      <c r="E60" s="1157"/>
      <c r="F60" s="1157"/>
      <c r="G60" s="1157"/>
      <c r="H60" s="1152"/>
      <c r="I60" s="1157"/>
      <c r="J60" s="1153"/>
      <c r="K60" s="1152"/>
      <c r="L60" s="1157"/>
      <c r="M60" s="1157"/>
      <c r="N60" s="1157"/>
      <c r="O60" s="1152"/>
      <c r="P60" s="1157"/>
      <c r="Q60" s="1153"/>
      <c r="R60" s="1157"/>
      <c r="S60" s="1157"/>
    </row>
    <row r="61" spans="2:19" s="351" customFormat="1">
      <c r="B61" s="1172" t="s">
        <v>1067</v>
      </c>
      <c r="C61" s="1166"/>
      <c r="D61" s="1155"/>
      <c r="E61" s="1157"/>
      <c r="F61" s="1157"/>
      <c r="G61" s="1157"/>
      <c r="H61" s="1152"/>
      <c r="I61" s="1157"/>
      <c r="J61" s="1153"/>
      <c r="K61" s="1155"/>
      <c r="L61" s="1157"/>
      <c r="M61" s="1157"/>
      <c r="N61" s="1157"/>
      <c r="O61" s="1152"/>
      <c r="P61" s="1157"/>
      <c r="Q61" s="1153"/>
      <c r="R61" s="1157"/>
      <c r="S61" s="1157"/>
    </row>
    <row r="62" spans="2:19" s="351" customFormat="1">
      <c r="B62" s="1172" t="s">
        <v>1068</v>
      </c>
      <c r="C62" s="1166"/>
      <c r="D62" s="1155"/>
      <c r="E62" s="1159"/>
      <c r="F62" s="1159"/>
      <c r="G62" s="1159"/>
      <c r="H62" s="1155"/>
      <c r="I62" s="1159"/>
      <c r="J62" s="1153"/>
      <c r="K62" s="1155"/>
      <c r="L62" s="1159"/>
      <c r="M62" s="1159"/>
      <c r="N62" s="1159"/>
      <c r="O62" s="1155"/>
      <c r="P62" s="1159"/>
      <c r="Q62" s="1153"/>
      <c r="R62" s="1159"/>
      <c r="S62" s="1159"/>
    </row>
    <row r="63" spans="2:19" s="351" customFormat="1">
      <c r="B63" s="1173" t="s">
        <v>1069</v>
      </c>
      <c r="C63" s="1167"/>
      <c r="D63" s="1152" t="s">
        <v>1532</v>
      </c>
      <c r="E63" s="1157">
        <v>300</v>
      </c>
      <c r="F63" s="1157"/>
      <c r="G63" s="1157"/>
      <c r="H63" s="1152" t="s">
        <v>1533</v>
      </c>
      <c r="I63" s="1157">
        <v>8.25</v>
      </c>
      <c r="J63" s="1153"/>
      <c r="K63" s="1152" t="str">
        <f t="shared" si="1"/>
        <v>Rs./kW/month</v>
      </c>
      <c r="L63" s="1157"/>
      <c r="M63" s="1157"/>
      <c r="N63" s="1157"/>
      <c r="O63" s="1152" t="str">
        <f t="shared" si="4"/>
        <v>Rs/kWh</v>
      </c>
      <c r="P63" s="1157"/>
      <c r="Q63" s="1153"/>
      <c r="R63" s="1158">
        <f>L63-E63</f>
        <v>-300</v>
      </c>
      <c r="S63" s="1158">
        <f>P63-I63</f>
        <v>-8.25</v>
      </c>
    </row>
    <row r="64" spans="2:19" s="351" customFormat="1">
      <c r="B64" s="1173" t="s">
        <v>1070</v>
      </c>
      <c r="C64" s="1167"/>
      <c r="D64" s="1152" t="s">
        <v>1532</v>
      </c>
      <c r="E64" s="1157">
        <f>E63</f>
        <v>300</v>
      </c>
      <c r="F64" s="1157"/>
      <c r="G64" s="1157"/>
      <c r="H64" s="1152" t="s">
        <v>1533</v>
      </c>
      <c r="I64" s="1157">
        <v>8.5</v>
      </c>
      <c r="J64" s="1153"/>
      <c r="K64" s="1152" t="str">
        <f t="shared" si="1"/>
        <v>Rs./kW/month</v>
      </c>
      <c r="L64" s="1157"/>
      <c r="M64" s="1157"/>
      <c r="N64" s="1157"/>
      <c r="O64" s="1152" t="str">
        <f t="shared" si="4"/>
        <v>Rs/kWh</v>
      </c>
      <c r="P64" s="1157"/>
      <c r="Q64" s="1153"/>
      <c r="R64" s="1158">
        <f>L64-E64</f>
        <v>-300</v>
      </c>
      <c r="S64" s="1158">
        <f>P64-I64</f>
        <v>-8.5</v>
      </c>
    </row>
    <row r="65" spans="2:19" s="351" customFormat="1">
      <c r="B65" s="1173" t="s">
        <v>1071</v>
      </c>
      <c r="C65" s="1167"/>
      <c r="D65" s="1152" t="s">
        <v>1532</v>
      </c>
      <c r="E65" s="1157">
        <f>E64</f>
        <v>300</v>
      </c>
      <c r="F65" s="1157"/>
      <c r="G65" s="1157"/>
      <c r="H65" s="1152" t="s">
        <v>1533</v>
      </c>
      <c r="I65" s="1157">
        <v>8.75</v>
      </c>
      <c r="J65" s="1153"/>
      <c r="K65" s="1152" t="str">
        <f t="shared" si="1"/>
        <v>Rs./kW/month</v>
      </c>
      <c r="L65" s="1157"/>
      <c r="M65" s="1157"/>
      <c r="N65" s="1157"/>
      <c r="O65" s="1152" t="str">
        <f t="shared" si="4"/>
        <v>Rs/kWh</v>
      </c>
      <c r="P65" s="1157"/>
      <c r="Q65" s="1153"/>
      <c r="R65" s="1158">
        <f>L65-E65</f>
        <v>-300</v>
      </c>
      <c r="S65" s="1158">
        <f>P65-I65</f>
        <v>-8.75</v>
      </c>
    </row>
    <row r="66" spans="2:19" s="351" customFormat="1">
      <c r="B66" s="1172" t="s">
        <v>1072</v>
      </c>
      <c r="C66" s="1166"/>
      <c r="D66" s="1155"/>
      <c r="E66" s="1159"/>
      <c r="F66" s="1159"/>
      <c r="G66" s="1159"/>
      <c r="H66" s="1155"/>
      <c r="I66" s="1159"/>
      <c r="J66" s="1153"/>
      <c r="K66" s="1155"/>
      <c r="L66" s="1159"/>
      <c r="M66" s="1159"/>
      <c r="N66" s="1159"/>
      <c r="O66" s="1155"/>
      <c r="P66" s="1159"/>
      <c r="Q66" s="1153"/>
      <c r="R66" s="1159"/>
      <c r="S66" s="1159"/>
    </row>
    <row r="67" spans="2:19" s="351" customFormat="1">
      <c r="B67" s="1172" t="s">
        <v>1540</v>
      </c>
      <c r="C67" s="1167"/>
      <c r="D67" s="1152"/>
      <c r="E67" s="1157"/>
      <c r="F67" s="1157"/>
      <c r="G67" s="1157"/>
      <c r="H67" s="1152"/>
      <c r="I67" s="1157"/>
      <c r="J67" s="1153"/>
      <c r="K67" s="1152"/>
      <c r="L67" s="1157"/>
      <c r="M67" s="1157"/>
      <c r="N67" s="1157"/>
      <c r="O67" s="1152"/>
      <c r="P67" s="1157"/>
      <c r="Q67" s="1153"/>
      <c r="R67" s="1157"/>
      <c r="S67" s="1157"/>
    </row>
    <row r="68" spans="2:19" s="351" customFormat="1">
      <c r="B68" s="1173" t="s">
        <v>1073</v>
      </c>
      <c r="C68" s="1167" t="s">
        <v>1540</v>
      </c>
      <c r="D68" s="1152" t="s">
        <v>1532</v>
      </c>
      <c r="E68" s="1157">
        <v>350</v>
      </c>
      <c r="F68" s="1157"/>
      <c r="G68" s="1157"/>
      <c r="H68" s="1152" t="s">
        <v>1533</v>
      </c>
      <c r="I68" s="1157">
        <v>9</v>
      </c>
      <c r="J68" s="1153"/>
      <c r="K68" s="1152" t="str">
        <f t="shared" si="1"/>
        <v>Rs./kW/month</v>
      </c>
      <c r="L68" s="1157"/>
      <c r="M68" s="1157"/>
      <c r="N68" s="1157"/>
      <c r="O68" s="1152" t="str">
        <f t="shared" si="4"/>
        <v>Rs/kWh</v>
      </c>
      <c r="P68" s="1157"/>
      <c r="Q68" s="1153"/>
      <c r="R68" s="1158">
        <f>L68-E68</f>
        <v>-350</v>
      </c>
      <c r="S68" s="1158">
        <f>P68-I68</f>
        <v>-9</v>
      </c>
    </row>
    <row r="69" spans="2:19" s="351" customFormat="1">
      <c r="B69" s="1173" t="s">
        <v>1074</v>
      </c>
      <c r="C69" s="1167" t="s">
        <v>1540</v>
      </c>
      <c r="D69" s="1152" t="s">
        <v>1532</v>
      </c>
      <c r="E69" s="1157">
        <f>E68</f>
        <v>350</v>
      </c>
      <c r="F69" s="1157"/>
      <c r="G69" s="1157"/>
      <c r="H69" s="1152" t="s">
        <v>1533</v>
      </c>
      <c r="I69" s="1157">
        <v>9.3000000000000007</v>
      </c>
      <c r="J69" s="1153"/>
      <c r="K69" s="1152" t="str">
        <f t="shared" si="1"/>
        <v>Rs./kW/month</v>
      </c>
      <c r="L69" s="1157"/>
      <c r="M69" s="1157"/>
      <c r="N69" s="1157"/>
      <c r="O69" s="1152" t="str">
        <f t="shared" si="4"/>
        <v>Rs/kWh</v>
      </c>
      <c r="P69" s="1157"/>
      <c r="Q69" s="1153"/>
      <c r="R69" s="1158">
        <f>L69-E69</f>
        <v>-350</v>
      </c>
      <c r="S69" s="1158">
        <f>P69-I69</f>
        <v>-9.3000000000000007</v>
      </c>
    </row>
    <row r="70" spans="2:19" s="351" customFormat="1">
      <c r="B70" s="1172" t="s">
        <v>1455</v>
      </c>
      <c r="C70" s="1167"/>
      <c r="D70" s="1152"/>
      <c r="E70" s="1157"/>
      <c r="F70" s="1157"/>
      <c r="G70" s="1157"/>
      <c r="H70" s="1152"/>
      <c r="I70" s="1157"/>
      <c r="J70" s="1153"/>
      <c r="K70" s="1152"/>
      <c r="L70" s="1157"/>
      <c r="M70" s="1157"/>
      <c r="N70" s="1157"/>
      <c r="O70" s="1152"/>
      <c r="P70" s="1157"/>
      <c r="Q70" s="1153"/>
      <c r="R70" s="1157"/>
      <c r="S70" s="1157"/>
    </row>
    <row r="71" spans="2:19" s="351" customFormat="1">
      <c r="B71" s="1173" t="s">
        <v>1073</v>
      </c>
      <c r="C71" s="1167" t="s">
        <v>1455</v>
      </c>
      <c r="D71" s="1152" t="s">
        <v>1532</v>
      </c>
      <c r="E71" s="1157">
        <v>400</v>
      </c>
      <c r="F71" s="1157"/>
      <c r="G71" s="1157"/>
      <c r="H71" s="1152" t="s">
        <v>1533</v>
      </c>
      <c r="I71" s="1157">
        <f>I68</f>
        <v>9</v>
      </c>
      <c r="J71" s="1153"/>
      <c r="K71" s="1152" t="str">
        <f t="shared" si="1"/>
        <v>Rs./kW/month</v>
      </c>
      <c r="L71" s="1157"/>
      <c r="M71" s="1157"/>
      <c r="N71" s="1157"/>
      <c r="O71" s="1152" t="str">
        <f t="shared" si="4"/>
        <v>Rs/kWh</v>
      </c>
      <c r="P71" s="1157"/>
      <c r="Q71" s="1153"/>
      <c r="R71" s="1158">
        <f>L71-E71</f>
        <v>-400</v>
      </c>
      <c r="S71" s="1158">
        <f>P71-I71</f>
        <v>-9</v>
      </c>
    </row>
    <row r="72" spans="2:19" s="351" customFormat="1">
      <c r="B72" s="1173" t="s">
        <v>1074</v>
      </c>
      <c r="C72" s="1167" t="s">
        <v>1455</v>
      </c>
      <c r="D72" s="1152" t="s">
        <v>1532</v>
      </c>
      <c r="E72" s="1157">
        <f>E71</f>
        <v>400</v>
      </c>
      <c r="F72" s="1157"/>
      <c r="G72" s="1157"/>
      <c r="H72" s="1152" t="s">
        <v>1533</v>
      </c>
      <c r="I72" s="1157">
        <f>I69</f>
        <v>9.3000000000000007</v>
      </c>
      <c r="J72" s="1153"/>
      <c r="K72" s="1152" t="str">
        <f t="shared" si="1"/>
        <v>Rs./kW/month</v>
      </c>
      <c r="L72" s="1157"/>
      <c r="M72" s="1157"/>
      <c r="N72" s="1157"/>
      <c r="O72" s="1152" t="str">
        <f t="shared" si="4"/>
        <v>Rs/kWh</v>
      </c>
      <c r="P72" s="1157"/>
      <c r="Q72" s="1153"/>
      <c r="R72" s="1158">
        <f>L72-E72</f>
        <v>-400</v>
      </c>
      <c r="S72" s="1158">
        <f>P72-I72</f>
        <v>-9.3000000000000007</v>
      </c>
    </row>
    <row r="73" spans="2:19" s="351" customFormat="1">
      <c r="B73" s="1154" t="s">
        <v>1425</v>
      </c>
      <c r="C73" s="1154"/>
      <c r="D73" s="1154"/>
      <c r="E73" s="1159"/>
      <c r="F73" s="1159"/>
      <c r="G73" s="1159"/>
      <c r="H73" s="1155"/>
      <c r="I73" s="1159"/>
      <c r="J73" s="1153"/>
      <c r="K73" s="1154"/>
      <c r="L73" s="1159"/>
      <c r="M73" s="1159"/>
      <c r="N73" s="1159"/>
      <c r="O73" s="1155"/>
      <c r="P73" s="1159"/>
      <c r="Q73" s="1153"/>
      <c r="R73" s="1159"/>
      <c r="S73" s="1159"/>
    </row>
    <row r="74" spans="2:19" s="351" customFormat="1">
      <c r="B74" s="1173"/>
      <c r="C74" s="1167"/>
      <c r="D74" s="1152"/>
      <c r="E74" s="1157"/>
      <c r="F74" s="1157"/>
      <c r="G74" s="1157"/>
      <c r="H74" s="1152"/>
      <c r="I74" s="1157"/>
      <c r="J74" s="1153"/>
      <c r="K74" s="1152"/>
      <c r="L74" s="1157"/>
      <c r="M74" s="1157"/>
      <c r="N74" s="1157"/>
      <c r="O74" s="1152"/>
      <c r="P74" s="1157"/>
      <c r="Q74" s="1153"/>
      <c r="R74" s="1157"/>
      <c r="S74" s="1157"/>
    </row>
    <row r="75" spans="2:19" s="351" customFormat="1">
      <c r="B75" s="1172" t="s">
        <v>1076</v>
      </c>
      <c r="C75" s="1166"/>
      <c r="D75" s="1155"/>
      <c r="E75" s="1157"/>
      <c r="F75" s="1157"/>
      <c r="G75" s="1157"/>
      <c r="H75" s="1152"/>
      <c r="I75" s="1157"/>
      <c r="J75" s="1153"/>
      <c r="K75" s="1155"/>
      <c r="L75" s="1157"/>
      <c r="M75" s="1157"/>
      <c r="N75" s="1157"/>
      <c r="O75" s="1152"/>
      <c r="P75" s="1157"/>
      <c r="Q75" s="1153"/>
      <c r="R75" s="1157"/>
      <c r="S75" s="1157"/>
    </row>
    <row r="76" spans="2:19" s="351" customFormat="1">
      <c r="B76" s="1172" t="s">
        <v>1401</v>
      </c>
      <c r="C76" s="1166"/>
      <c r="D76" s="1155"/>
      <c r="E76" s="1159"/>
      <c r="F76" s="1159"/>
      <c r="G76" s="1159"/>
      <c r="H76" s="1155"/>
      <c r="I76" s="1159"/>
      <c r="J76" s="1153"/>
      <c r="K76" s="1155"/>
      <c r="L76" s="1159"/>
      <c r="M76" s="1159"/>
      <c r="N76" s="1159"/>
      <c r="O76" s="1155"/>
      <c r="P76" s="1159"/>
      <c r="Q76" s="1153"/>
      <c r="R76" s="1159"/>
      <c r="S76" s="1159"/>
    </row>
    <row r="77" spans="2:19" s="351" customFormat="1">
      <c r="B77" s="1173" t="s">
        <v>1077</v>
      </c>
      <c r="C77" s="1166"/>
      <c r="D77" s="1152" t="s">
        <v>1541</v>
      </c>
      <c r="E77" s="1157">
        <v>170</v>
      </c>
      <c r="F77" s="1157"/>
      <c r="G77" s="1157"/>
      <c r="H77" s="1152" t="s">
        <v>1533</v>
      </c>
      <c r="I77" s="1157">
        <v>0</v>
      </c>
      <c r="J77" s="1153"/>
      <c r="K77" s="1152" t="str">
        <f>D77</f>
        <v>Rs./BHP/month</v>
      </c>
      <c r="L77" s="1157"/>
      <c r="M77" s="1157"/>
      <c r="N77" s="1157"/>
      <c r="O77" s="1152" t="str">
        <f t="shared" ref="O77:O135" si="5">H77</f>
        <v>Rs/kWh</v>
      </c>
      <c r="P77" s="1157"/>
      <c r="Q77" s="1153"/>
      <c r="R77" s="1158">
        <f>L77-E77</f>
        <v>-170</v>
      </c>
      <c r="S77" s="1158">
        <f>P77-I77</f>
        <v>0</v>
      </c>
    </row>
    <row r="78" spans="2:19" s="351" customFormat="1">
      <c r="B78" s="1172" t="s">
        <v>476</v>
      </c>
      <c r="C78" s="1166"/>
      <c r="D78" s="1155"/>
      <c r="E78" s="1159"/>
      <c r="F78" s="1159"/>
      <c r="G78" s="1159"/>
      <c r="H78" s="1155"/>
      <c r="I78" s="1159"/>
      <c r="J78" s="1153"/>
      <c r="K78" s="1155"/>
      <c r="L78" s="1159"/>
      <c r="M78" s="1159"/>
      <c r="N78" s="1159"/>
      <c r="O78" s="1155"/>
      <c r="P78" s="1159"/>
      <c r="Q78" s="1153"/>
      <c r="R78" s="1159"/>
      <c r="S78" s="1159"/>
    </row>
    <row r="79" spans="2:19" s="351" customFormat="1">
      <c r="B79" s="1173" t="s">
        <v>1078</v>
      </c>
      <c r="C79" s="1166"/>
      <c r="D79" s="1152" t="s">
        <v>1541</v>
      </c>
      <c r="E79" s="1157">
        <v>70</v>
      </c>
      <c r="F79" s="1157" t="s">
        <v>1542</v>
      </c>
      <c r="G79" s="1157">
        <v>160</v>
      </c>
      <c r="H79" s="1152" t="s">
        <v>1533</v>
      </c>
      <c r="I79" s="1157">
        <v>2</v>
      </c>
      <c r="J79" s="1153"/>
      <c r="K79" s="1152" t="str">
        <f t="shared" ref="K79:M80" si="6">D79</f>
        <v>Rs./BHP/month</v>
      </c>
      <c r="L79" s="1157"/>
      <c r="M79" s="1157" t="str">
        <f t="shared" si="6"/>
        <v>Rs/BHP/month</v>
      </c>
      <c r="N79" s="1157"/>
      <c r="O79" s="1152" t="str">
        <f t="shared" si="5"/>
        <v>Rs/kWh</v>
      </c>
      <c r="P79" s="1157"/>
      <c r="Q79" s="1153"/>
      <c r="R79" s="1158">
        <f>L79-E79</f>
        <v>-70</v>
      </c>
      <c r="S79" s="1158">
        <f>P79-I79</f>
        <v>-2</v>
      </c>
    </row>
    <row r="80" spans="2:19" s="351" customFormat="1">
      <c r="B80" s="1173" t="s">
        <v>1079</v>
      </c>
      <c r="C80" s="1166"/>
      <c r="D80" s="1152" t="s">
        <v>1541</v>
      </c>
      <c r="E80" s="1157">
        <v>130</v>
      </c>
      <c r="F80" s="1157" t="s">
        <v>1542</v>
      </c>
      <c r="G80" s="1157">
        <v>215</v>
      </c>
      <c r="H80" s="1152" t="s">
        <v>1533</v>
      </c>
      <c r="I80" s="1157">
        <v>6</v>
      </c>
      <c r="J80" s="1153"/>
      <c r="K80" s="1152" t="str">
        <f t="shared" si="6"/>
        <v>Rs./BHP/month</v>
      </c>
      <c r="L80" s="1157"/>
      <c r="M80" s="1157" t="str">
        <f t="shared" si="6"/>
        <v>Rs/BHP/month</v>
      </c>
      <c r="N80" s="1157"/>
      <c r="O80" s="1152" t="str">
        <f t="shared" si="5"/>
        <v>Rs/kWh</v>
      </c>
      <c r="P80" s="1157"/>
      <c r="Q80" s="1153"/>
      <c r="R80" s="1158">
        <f>L80-E80</f>
        <v>-130</v>
      </c>
      <c r="S80" s="1158">
        <f>P80-I80</f>
        <v>-6</v>
      </c>
    </row>
    <row r="81" spans="2:19" s="351" customFormat="1">
      <c r="B81" s="1154" t="s">
        <v>1425</v>
      </c>
      <c r="C81" s="1154"/>
      <c r="D81" s="1154"/>
      <c r="E81" s="1159"/>
      <c r="F81" s="1159"/>
      <c r="G81" s="1159"/>
      <c r="H81" s="1155"/>
      <c r="I81" s="1159"/>
      <c r="J81" s="1153"/>
      <c r="K81" s="1154"/>
      <c r="L81" s="1159"/>
      <c r="M81" s="1159"/>
      <c r="N81" s="1159"/>
      <c r="O81" s="1155"/>
      <c r="P81" s="1159"/>
      <c r="Q81" s="1153"/>
      <c r="R81" s="1159"/>
      <c r="S81" s="1159"/>
    </row>
    <row r="82" spans="2:19" s="351" customFormat="1">
      <c r="B82" s="1154"/>
      <c r="C82" s="1154"/>
      <c r="D82" s="1154"/>
      <c r="E82" s="1157"/>
      <c r="F82" s="1157"/>
      <c r="G82" s="1157"/>
      <c r="H82" s="1152"/>
      <c r="I82" s="1157"/>
      <c r="J82" s="1153"/>
      <c r="K82" s="1154"/>
      <c r="L82" s="1157"/>
      <c r="M82" s="1157"/>
      <c r="N82" s="1157"/>
      <c r="O82" s="1152"/>
      <c r="P82" s="1157"/>
      <c r="Q82" s="1153"/>
      <c r="R82" s="1157"/>
      <c r="S82" s="1157"/>
    </row>
    <row r="83" spans="2:19" s="351" customFormat="1">
      <c r="B83" s="1172" t="s">
        <v>1081</v>
      </c>
      <c r="C83" s="1166"/>
      <c r="D83" s="1155"/>
      <c r="E83" s="1157"/>
      <c r="F83" s="1157"/>
      <c r="G83" s="1157"/>
      <c r="H83" s="1152"/>
      <c r="I83" s="1157"/>
      <c r="J83" s="1153"/>
      <c r="K83" s="1155"/>
      <c r="L83" s="1157"/>
      <c r="M83" s="1157"/>
      <c r="N83" s="1157"/>
      <c r="O83" s="1152"/>
      <c r="P83" s="1157"/>
      <c r="Q83" s="1153"/>
      <c r="R83" s="1157"/>
      <c r="S83" s="1157"/>
    </row>
    <row r="84" spans="2:19" s="351" customFormat="1">
      <c r="B84" s="1172" t="s">
        <v>1084</v>
      </c>
      <c r="C84" s="1169">
        <f>-7.5%</f>
        <v>-7.4999999999999997E-2</v>
      </c>
      <c r="D84" s="1152"/>
      <c r="E84" s="1159"/>
      <c r="F84" s="1159"/>
      <c r="G84" s="1159"/>
      <c r="H84" s="1155"/>
      <c r="I84" s="1159"/>
      <c r="J84" s="1153"/>
      <c r="K84" s="1152"/>
      <c r="L84" s="1159"/>
      <c r="M84" s="1159"/>
      <c r="N84" s="1159"/>
      <c r="O84" s="1155"/>
      <c r="P84" s="1159"/>
      <c r="Q84" s="1153"/>
      <c r="R84" s="1159"/>
      <c r="S84" s="1159"/>
    </row>
    <row r="85" spans="2:19" s="351" customFormat="1">
      <c r="B85" s="1173" t="s">
        <v>1426</v>
      </c>
      <c r="C85" s="1167"/>
      <c r="D85" s="1152" t="s">
        <v>1532</v>
      </c>
      <c r="E85" s="1157">
        <f>E89</f>
        <v>290</v>
      </c>
      <c r="F85" s="1157"/>
      <c r="G85" s="1157"/>
      <c r="H85" s="1152" t="s">
        <v>1533</v>
      </c>
      <c r="I85" s="1157">
        <f>I89*(1+$C$82)</f>
        <v>7.3</v>
      </c>
      <c r="J85" s="1153"/>
      <c r="K85" s="1152" t="str">
        <f t="shared" ref="K85:K87" si="7">D85</f>
        <v>Rs./kW/month</v>
      </c>
      <c r="L85" s="1157"/>
      <c r="M85" s="1157"/>
      <c r="N85" s="1157"/>
      <c r="O85" s="1152" t="str">
        <f t="shared" si="5"/>
        <v>Rs/kWh</v>
      </c>
      <c r="P85" s="1157"/>
      <c r="Q85" s="1153"/>
      <c r="R85" s="1158">
        <f>L85-E85</f>
        <v>-290</v>
      </c>
      <c r="S85" s="1158">
        <f>P85-I85</f>
        <v>-7.3</v>
      </c>
    </row>
    <row r="86" spans="2:19" s="351" customFormat="1">
      <c r="B86" s="1173" t="s">
        <v>1427</v>
      </c>
      <c r="C86" s="1167"/>
      <c r="D86" s="1152" t="s">
        <v>1532</v>
      </c>
      <c r="E86" s="1157">
        <f>E90</f>
        <v>290</v>
      </c>
      <c r="F86" s="1157"/>
      <c r="G86" s="1157"/>
      <c r="H86" s="1152" t="s">
        <v>1533</v>
      </c>
      <c r="I86" s="1157">
        <f>I90*(1+$C$82)</f>
        <v>7.4</v>
      </c>
      <c r="J86" s="1153"/>
      <c r="K86" s="1152" t="str">
        <f t="shared" si="7"/>
        <v>Rs./kW/month</v>
      </c>
      <c r="L86" s="1157"/>
      <c r="M86" s="1157"/>
      <c r="N86" s="1157"/>
      <c r="O86" s="1152" t="str">
        <f t="shared" si="5"/>
        <v>Rs/kWh</v>
      </c>
      <c r="P86" s="1157"/>
      <c r="Q86" s="1153"/>
      <c r="R86" s="1158">
        <f>L86-E86</f>
        <v>-290</v>
      </c>
      <c r="S86" s="1158">
        <f>P86-I86</f>
        <v>-7.4</v>
      </c>
    </row>
    <row r="87" spans="2:19" s="351" customFormat="1">
      <c r="B87" s="1173" t="s">
        <v>1428</v>
      </c>
      <c r="C87" s="1167"/>
      <c r="D87" s="1152" t="s">
        <v>1532</v>
      </c>
      <c r="E87" s="1157">
        <f>E91</f>
        <v>290</v>
      </c>
      <c r="F87" s="1157"/>
      <c r="G87" s="1157"/>
      <c r="H87" s="1152" t="s">
        <v>1533</v>
      </c>
      <c r="I87" s="1157">
        <f>I91*(1+$C$82)</f>
        <v>7.9</v>
      </c>
      <c r="J87" s="1153"/>
      <c r="K87" s="1152" t="str">
        <f t="shared" si="7"/>
        <v>Rs./kW/month</v>
      </c>
      <c r="L87" s="1157"/>
      <c r="M87" s="1157"/>
      <c r="N87" s="1157"/>
      <c r="O87" s="1152" t="str">
        <f t="shared" si="5"/>
        <v>Rs/kWh</v>
      </c>
      <c r="P87" s="1157"/>
      <c r="Q87" s="1153"/>
      <c r="R87" s="1158">
        <f>L87-E87</f>
        <v>-290</v>
      </c>
      <c r="S87" s="1158">
        <f>P87-I87</f>
        <v>-7.9</v>
      </c>
    </row>
    <row r="88" spans="2:19" s="351" customFormat="1">
      <c r="B88" s="1172" t="s">
        <v>1085</v>
      </c>
      <c r="C88" s="1166"/>
      <c r="D88" s="1155"/>
      <c r="E88" s="1159"/>
      <c r="F88" s="1159"/>
      <c r="G88" s="1159"/>
      <c r="H88" s="1155"/>
      <c r="I88" s="1159"/>
      <c r="J88" s="1153"/>
      <c r="K88" s="1155"/>
      <c r="L88" s="1159"/>
      <c r="M88" s="1159"/>
      <c r="N88" s="1159"/>
      <c r="O88" s="1155"/>
      <c r="P88" s="1159"/>
      <c r="Q88" s="1153"/>
      <c r="R88" s="1159"/>
      <c r="S88" s="1159"/>
    </row>
    <row r="89" spans="2:19" s="351" customFormat="1">
      <c r="B89" s="1173" t="s">
        <v>1426</v>
      </c>
      <c r="C89" s="1167"/>
      <c r="D89" s="1152" t="s">
        <v>1532</v>
      </c>
      <c r="E89" s="1157">
        <v>290</v>
      </c>
      <c r="F89" s="1157"/>
      <c r="G89" s="1157"/>
      <c r="H89" s="1152" t="s">
        <v>1533</v>
      </c>
      <c r="I89" s="1157">
        <v>7.3</v>
      </c>
      <c r="J89" s="1153"/>
      <c r="K89" s="1152" t="str">
        <f t="shared" ref="K89:K91" si="8">D89</f>
        <v>Rs./kW/month</v>
      </c>
      <c r="L89" s="1157"/>
      <c r="M89" s="1157"/>
      <c r="N89" s="1157"/>
      <c r="O89" s="1152" t="str">
        <f t="shared" si="5"/>
        <v>Rs/kWh</v>
      </c>
      <c r="P89" s="1157"/>
      <c r="Q89" s="1153"/>
      <c r="R89" s="1158">
        <f>L89-E89</f>
        <v>-290</v>
      </c>
      <c r="S89" s="1158">
        <f>P89-I89</f>
        <v>-7.3</v>
      </c>
    </row>
    <row r="90" spans="2:19" s="351" customFormat="1">
      <c r="B90" s="1173" t="s">
        <v>1427</v>
      </c>
      <c r="C90" s="1167"/>
      <c r="D90" s="1152" t="s">
        <v>1532</v>
      </c>
      <c r="E90" s="1157">
        <f>E89</f>
        <v>290</v>
      </c>
      <c r="F90" s="1157"/>
      <c r="G90" s="1157"/>
      <c r="H90" s="1152" t="s">
        <v>1533</v>
      </c>
      <c r="I90" s="1157">
        <v>7.4</v>
      </c>
      <c r="J90" s="1153"/>
      <c r="K90" s="1152" t="str">
        <f t="shared" si="8"/>
        <v>Rs./kW/month</v>
      </c>
      <c r="L90" s="1157"/>
      <c r="M90" s="1157"/>
      <c r="N90" s="1157"/>
      <c r="O90" s="1152" t="str">
        <f t="shared" si="5"/>
        <v>Rs/kWh</v>
      </c>
      <c r="P90" s="1157"/>
      <c r="Q90" s="1153"/>
      <c r="R90" s="1158">
        <f>L90-E90</f>
        <v>-290</v>
      </c>
      <c r="S90" s="1158">
        <f>P90-I90</f>
        <v>-7.4</v>
      </c>
    </row>
    <row r="91" spans="2:19" s="351" customFormat="1">
      <c r="B91" s="1173" t="s">
        <v>1428</v>
      </c>
      <c r="C91" s="1167"/>
      <c r="D91" s="1152" t="s">
        <v>1532</v>
      </c>
      <c r="E91" s="1157">
        <f>E90</f>
        <v>290</v>
      </c>
      <c r="F91" s="1157"/>
      <c r="G91" s="1157"/>
      <c r="H91" s="1152" t="s">
        <v>1533</v>
      </c>
      <c r="I91" s="1157">
        <v>7.9</v>
      </c>
      <c r="J91" s="1153"/>
      <c r="K91" s="1152" t="str">
        <f t="shared" si="8"/>
        <v>Rs./kW/month</v>
      </c>
      <c r="L91" s="1157"/>
      <c r="M91" s="1157"/>
      <c r="N91" s="1157"/>
      <c r="O91" s="1152" t="str">
        <f t="shared" si="5"/>
        <v>Rs/kWh</v>
      </c>
      <c r="P91" s="1157"/>
      <c r="Q91" s="1153"/>
      <c r="R91" s="1158">
        <f>L91-E91</f>
        <v>-290</v>
      </c>
      <c r="S91" s="1158">
        <f>P91-I91</f>
        <v>-7.9</v>
      </c>
    </row>
    <row r="92" spans="2:19" s="351" customFormat="1">
      <c r="B92" s="1172" t="s">
        <v>1085</v>
      </c>
      <c r="C92" s="1167"/>
      <c r="D92" s="1152"/>
      <c r="E92" s="1157"/>
      <c r="F92" s="1157"/>
      <c r="G92" s="1157"/>
      <c r="H92" s="1152"/>
      <c r="I92" s="1157"/>
      <c r="J92" s="1153"/>
      <c r="K92" s="1152"/>
      <c r="L92" s="1157"/>
      <c r="M92" s="1157"/>
      <c r="N92" s="1157"/>
      <c r="O92" s="1152"/>
      <c r="P92" s="1157"/>
      <c r="Q92" s="1153"/>
      <c r="R92" s="1157"/>
      <c r="S92" s="1157"/>
    </row>
    <row r="93" spans="2:19" s="351" customFormat="1">
      <c r="B93" s="1172" t="s">
        <v>1013</v>
      </c>
      <c r="C93" s="1167"/>
      <c r="D93" s="1152"/>
      <c r="E93" s="1159"/>
      <c r="F93" s="1159"/>
      <c r="G93" s="1159"/>
      <c r="H93" s="1155"/>
      <c r="I93" s="1159"/>
      <c r="J93" s="1153"/>
      <c r="K93" s="1152"/>
      <c r="L93" s="1159"/>
      <c r="M93" s="1159"/>
      <c r="N93" s="1159"/>
      <c r="O93" s="1155"/>
      <c r="P93" s="1159"/>
      <c r="Q93" s="1153"/>
      <c r="R93" s="1159"/>
      <c r="S93" s="1159"/>
    </row>
    <row r="94" spans="2:19" s="351" customFormat="1">
      <c r="B94" s="1172" t="s">
        <v>1086</v>
      </c>
      <c r="C94" s="1167"/>
      <c r="D94" s="1152"/>
      <c r="E94" s="1157"/>
      <c r="F94" s="1157"/>
      <c r="G94" s="1157"/>
      <c r="H94" s="1152"/>
      <c r="I94" s="1157"/>
      <c r="J94" s="1153"/>
      <c r="K94" s="1152"/>
      <c r="L94" s="1157"/>
      <c r="M94" s="1157"/>
      <c r="N94" s="1157"/>
      <c r="O94" s="1152"/>
      <c r="P94" s="1157"/>
      <c r="Q94" s="1153"/>
      <c r="R94" s="1157"/>
      <c r="S94" s="1157"/>
    </row>
    <row r="95" spans="2:19" s="351" customFormat="1">
      <c r="B95" s="1173" t="s">
        <v>1430</v>
      </c>
      <c r="C95" s="1162">
        <f>-15%</f>
        <v>-0.15</v>
      </c>
      <c r="D95" s="1152" t="str">
        <f>D91</f>
        <v>Rs./kW/month</v>
      </c>
      <c r="E95" s="1157">
        <f>E91</f>
        <v>290</v>
      </c>
      <c r="F95" s="1157"/>
      <c r="G95" s="1157"/>
      <c r="H95" s="1152" t="str">
        <f>H91</f>
        <v>Rs/kWh</v>
      </c>
      <c r="I95" s="1157">
        <f>$I$87*(1+C95)</f>
        <v>6.7149999999999999</v>
      </c>
      <c r="J95" s="1153"/>
      <c r="K95" s="1152" t="str">
        <f t="shared" ref="K95:K98" si="9">D95</f>
        <v>Rs./kW/month</v>
      </c>
      <c r="L95" s="1157"/>
      <c r="M95" s="1157"/>
      <c r="N95" s="1157"/>
      <c r="O95" s="1152" t="str">
        <f t="shared" si="5"/>
        <v>Rs/kWh</v>
      </c>
      <c r="P95" s="1157"/>
      <c r="Q95" s="1153"/>
      <c r="R95" s="1158">
        <f>L95-E95</f>
        <v>-290</v>
      </c>
      <c r="S95" s="1158">
        <f>P95-I95</f>
        <v>-6.7149999999999999</v>
      </c>
    </row>
    <row r="96" spans="2:19" s="351" customFormat="1">
      <c r="B96" s="1173" t="s">
        <v>1431</v>
      </c>
      <c r="C96" s="1162">
        <f>0%</f>
        <v>0</v>
      </c>
      <c r="D96" s="1152" t="str">
        <f>D95</f>
        <v>Rs./kW/month</v>
      </c>
      <c r="E96" s="1157">
        <f>E95</f>
        <v>290</v>
      </c>
      <c r="F96" s="1157"/>
      <c r="G96" s="1157"/>
      <c r="H96" s="1152" t="str">
        <f>H95</f>
        <v>Rs/kWh</v>
      </c>
      <c r="I96" s="1157">
        <f>$I$87*(1+C96)</f>
        <v>7.9</v>
      </c>
      <c r="J96" s="1153"/>
      <c r="K96" s="1152" t="str">
        <f t="shared" si="9"/>
        <v>Rs./kW/month</v>
      </c>
      <c r="L96" s="1157"/>
      <c r="M96" s="1157"/>
      <c r="N96" s="1157"/>
      <c r="O96" s="1152" t="str">
        <f t="shared" si="5"/>
        <v>Rs/kWh</v>
      </c>
      <c r="P96" s="1157"/>
      <c r="Q96" s="1153"/>
      <c r="R96" s="1158">
        <f>L96-E96</f>
        <v>-290</v>
      </c>
      <c r="S96" s="1158">
        <f>P96-I96</f>
        <v>-7.9</v>
      </c>
    </row>
    <row r="97" spans="2:19" s="351" customFormat="1">
      <c r="B97" s="1173" t="s">
        <v>1432</v>
      </c>
      <c r="C97" s="1162">
        <f>15%</f>
        <v>0.15</v>
      </c>
      <c r="D97" s="1152" t="str">
        <f t="shared" ref="D97:H98" si="10">D96</f>
        <v>Rs./kW/month</v>
      </c>
      <c r="E97" s="1157">
        <f t="shared" si="10"/>
        <v>290</v>
      </c>
      <c r="F97" s="1157"/>
      <c r="G97" s="1157"/>
      <c r="H97" s="1152" t="str">
        <f t="shared" si="10"/>
        <v>Rs/kWh</v>
      </c>
      <c r="I97" s="1157">
        <f>$I$87*(1+C97)</f>
        <v>9.0849999999999991</v>
      </c>
      <c r="J97" s="1153"/>
      <c r="K97" s="1152" t="str">
        <f t="shared" si="9"/>
        <v>Rs./kW/month</v>
      </c>
      <c r="L97" s="1157"/>
      <c r="M97" s="1157"/>
      <c r="N97" s="1157"/>
      <c r="O97" s="1152" t="str">
        <f t="shared" si="5"/>
        <v>Rs/kWh</v>
      </c>
      <c r="P97" s="1157"/>
      <c r="Q97" s="1153"/>
      <c r="R97" s="1158">
        <f>L97-E97</f>
        <v>-290</v>
      </c>
      <c r="S97" s="1158">
        <f>P97-I97</f>
        <v>-9.0849999999999991</v>
      </c>
    </row>
    <row r="98" spans="2:19" s="351" customFormat="1">
      <c r="B98" s="1173" t="s">
        <v>1433</v>
      </c>
      <c r="C98" s="1162">
        <f>0</f>
        <v>0</v>
      </c>
      <c r="D98" s="1152" t="str">
        <f t="shared" si="10"/>
        <v>Rs./kW/month</v>
      </c>
      <c r="E98" s="1157">
        <f t="shared" si="10"/>
        <v>290</v>
      </c>
      <c r="F98" s="1157"/>
      <c r="G98" s="1157"/>
      <c r="H98" s="1152" t="str">
        <f t="shared" si="10"/>
        <v>Rs/kWh</v>
      </c>
      <c r="I98" s="1157">
        <f>$I$87*(1+C98)</f>
        <v>7.9</v>
      </c>
      <c r="J98" s="1153"/>
      <c r="K98" s="1152" t="str">
        <f t="shared" si="9"/>
        <v>Rs./kW/month</v>
      </c>
      <c r="L98" s="1157"/>
      <c r="M98" s="1157"/>
      <c r="N98" s="1157"/>
      <c r="O98" s="1152" t="str">
        <f t="shared" si="5"/>
        <v>Rs/kWh</v>
      </c>
      <c r="P98" s="1157"/>
      <c r="Q98" s="1153"/>
      <c r="R98" s="1158">
        <f>L98-E98</f>
        <v>-290</v>
      </c>
      <c r="S98" s="1158">
        <f>P98-I98</f>
        <v>-7.9</v>
      </c>
    </row>
    <row r="99" spans="2:19" s="351" customFormat="1">
      <c r="B99" s="1172" t="s">
        <v>1087</v>
      </c>
      <c r="C99" s="1167"/>
      <c r="D99" s="1152"/>
      <c r="E99" s="1157"/>
      <c r="F99" s="1157"/>
      <c r="G99" s="1157"/>
      <c r="H99" s="1152"/>
      <c r="I99" s="1157"/>
      <c r="J99" s="1153"/>
      <c r="K99" s="1152"/>
      <c r="L99" s="1157"/>
      <c r="M99" s="1157"/>
      <c r="N99" s="1157"/>
      <c r="O99" s="1152"/>
      <c r="P99" s="1157"/>
      <c r="Q99" s="1153"/>
      <c r="R99" s="1157"/>
      <c r="S99" s="1157"/>
    </row>
    <row r="100" spans="2:19" s="351" customFormat="1">
      <c r="B100" s="1173" t="s">
        <v>1430</v>
      </c>
      <c r="C100" s="1170">
        <f>C95</f>
        <v>-0.15</v>
      </c>
      <c r="D100" s="1152" t="str">
        <f>D95</f>
        <v>Rs./kW/month</v>
      </c>
      <c r="E100" s="1157">
        <f>E98</f>
        <v>290</v>
      </c>
      <c r="F100" s="1157"/>
      <c r="G100" s="1157"/>
      <c r="H100" s="1152" t="str">
        <f>H95</f>
        <v>Rs/kWh</v>
      </c>
      <c r="I100" s="1157">
        <f>$I$88*(1+C100)</f>
        <v>0</v>
      </c>
      <c r="J100" s="1153"/>
      <c r="K100" s="1152" t="str">
        <f t="shared" ref="K100:K103" si="11">D100</f>
        <v>Rs./kW/month</v>
      </c>
      <c r="L100" s="1157"/>
      <c r="M100" s="1157"/>
      <c r="N100" s="1157"/>
      <c r="O100" s="1152" t="str">
        <f t="shared" si="5"/>
        <v>Rs/kWh</v>
      </c>
      <c r="P100" s="1157"/>
      <c r="Q100" s="1153"/>
      <c r="R100" s="1158">
        <f>L100-E100</f>
        <v>-290</v>
      </c>
      <c r="S100" s="1158">
        <f>P100-I100</f>
        <v>0</v>
      </c>
    </row>
    <row r="101" spans="2:19" s="351" customFormat="1">
      <c r="B101" s="1173" t="s">
        <v>1431</v>
      </c>
      <c r="C101" s="1170">
        <f t="shared" ref="C101:D103" si="12">C96</f>
        <v>0</v>
      </c>
      <c r="D101" s="1152" t="str">
        <f t="shared" si="12"/>
        <v>Rs./kW/month</v>
      </c>
      <c r="E101" s="1157">
        <f>E100</f>
        <v>290</v>
      </c>
      <c r="F101" s="1157"/>
      <c r="G101" s="1157"/>
      <c r="H101" s="1152" t="str">
        <f>H96</f>
        <v>Rs/kWh</v>
      </c>
      <c r="I101" s="1157">
        <f>$I$88*(1+C101)</f>
        <v>0</v>
      </c>
      <c r="J101" s="1153"/>
      <c r="K101" s="1152" t="str">
        <f t="shared" si="11"/>
        <v>Rs./kW/month</v>
      </c>
      <c r="L101" s="1157"/>
      <c r="M101" s="1157"/>
      <c r="N101" s="1157"/>
      <c r="O101" s="1152" t="str">
        <f t="shared" si="5"/>
        <v>Rs/kWh</v>
      </c>
      <c r="P101" s="1157"/>
      <c r="Q101" s="1153"/>
      <c r="R101" s="1158">
        <f>L101-E101</f>
        <v>-290</v>
      </c>
      <c r="S101" s="1158">
        <f>P101-I101</f>
        <v>0</v>
      </c>
    </row>
    <row r="102" spans="2:19" s="351" customFormat="1">
      <c r="B102" s="1173" t="s">
        <v>1432</v>
      </c>
      <c r="C102" s="1170">
        <f t="shared" si="12"/>
        <v>0.15</v>
      </c>
      <c r="D102" s="1152" t="str">
        <f t="shared" si="12"/>
        <v>Rs./kW/month</v>
      </c>
      <c r="E102" s="1157">
        <f>E101</f>
        <v>290</v>
      </c>
      <c r="F102" s="1157"/>
      <c r="G102" s="1157"/>
      <c r="H102" s="1152" t="str">
        <f>H97</f>
        <v>Rs/kWh</v>
      </c>
      <c r="I102" s="1157">
        <f>$I$88*(1+C102)</f>
        <v>0</v>
      </c>
      <c r="J102" s="1153"/>
      <c r="K102" s="1152" t="str">
        <f t="shared" si="11"/>
        <v>Rs./kW/month</v>
      </c>
      <c r="L102" s="1157"/>
      <c r="M102" s="1157"/>
      <c r="N102" s="1157"/>
      <c r="O102" s="1152" t="str">
        <f t="shared" si="5"/>
        <v>Rs/kWh</v>
      </c>
      <c r="P102" s="1157"/>
      <c r="Q102" s="1153"/>
      <c r="R102" s="1158">
        <f>L102-E102</f>
        <v>-290</v>
      </c>
      <c r="S102" s="1158">
        <f>P102-I102</f>
        <v>0</v>
      </c>
    </row>
    <row r="103" spans="2:19" s="351" customFormat="1">
      <c r="B103" s="1173" t="s">
        <v>1433</v>
      </c>
      <c r="C103" s="1170">
        <f t="shared" si="12"/>
        <v>0</v>
      </c>
      <c r="D103" s="1152" t="str">
        <f t="shared" si="12"/>
        <v>Rs./kW/month</v>
      </c>
      <c r="E103" s="1157">
        <f>E102</f>
        <v>290</v>
      </c>
      <c r="F103" s="1157"/>
      <c r="G103" s="1157"/>
      <c r="H103" s="1152" t="str">
        <f>H98</f>
        <v>Rs/kWh</v>
      </c>
      <c r="I103" s="1157">
        <f>$I$88*(1+C103)</f>
        <v>0</v>
      </c>
      <c r="J103" s="1153"/>
      <c r="K103" s="1152" t="str">
        <f t="shared" si="11"/>
        <v>Rs./kW/month</v>
      </c>
      <c r="L103" s="1157"/>
      <c r="M103" s="1157"/>
      <c r="N103" s="1157"/>
      <c r="O103" s="1152" t="str">
        <f t="shared" si="5"/>
        <v>Rs/kWh</v>
      </c>
      <c r="P103" s="1157"/>
      <c r="Q103" s="1153"/>
      <c r="R103" s="1158">
        <f>L103-E103</f>
        <v>-290</v>
      </c>
      <c r="S103" s="1158">
        <f>P103-I103</f>
        <v>0</v>
      </c>
    </row>
    <row r="104" spans="2:19" s="351" customFormat="1">
      <c r="B104" s="1172" t="s">
        <v>1088</v>
      </c>
      <c r="C104" s="1167"/>
      <c r="D104" s="1152"/>
      <c r="E104" s="1157"/>
      <c r="F104" s="1157"/>
      <c r="G104" s="1157"/>
      <c r="H104" s="1152"/>
      <c r="I104" s="1157"/>
      <c r="J104" s="1153"/>
      <c r="K104" s="1152"/>
      <c r="L104" s="1157"/>
      <c r="M104" s="1157"/>
      <c r="N104" s="1157"/>
      <c r="O104" s="1152"/>
      <c r="P104" s="1157"/>
      <c r="Q104" s="1153"/>
      <c r="R104" s="1157"/>
      <c r="S104" s="1157"/>
    </row>
    <row r="105" spans="2:19" s="351" customFormat="1">
      <c r="B105" s="1173" t="s">
        <v>1430</v>
      </c>
      <c r="C105" s="1170">
        <f t="shared" ref="C105:E108" si="13">C100</f>
        <v>-0.15</v>
      </c>
      <c r="D105" s="1152" t="str">
        <f t="shared" si="13"/>
        <v>Rs./kW/month</v>
      </c>
      <c r="E105" s="1157">
        <f>E100</f>
        <v>290</v>
      </c>
      <c r="F105" s="1157"/>
      <c r="G105" s="1157"/>
      <c r="H105" s="1152" t="str">
        <f>H100</f>
        <v>Rs/kWh</v>
      </c>
      <c r="I105" s="1157">
        <f>$I$89*(1+C105)</f>
        <v>6.2050000000000001</v>
      </c>
      <c r="J105" s="1153"/>
      <c r="K105" s="1152" t="str">
        <f t="shared" ref="K105:K108" si="14">D105</f>
        <v>Rs./kW/month</v>
      </c>
      <c r="L105" s="1157"/>
      <c r="M105" s="1157"/>
      <c r="N105" s="1157"/>
      <c r="O105" s="1152" t="str">
        <f t="shared" si="5"/>
        <v>Rs/kWh</v>
      </c>
      <c r="P105" s="1157"/>
      <c r="Q105" s="1153"/>
      <c r="R105" s="1158">
        <f>L105-E105</f>
        <v>-290</v>
      </c>
      <c r="S105" s="1158">
        <f>P105-I105</f>
        <v>-6.2050000000000001</v>
      </c>
    </row>
    <row r="106" spans="2:19" s="351" customFormat="1">
      <c r="B106" s="1173" t="s">
        <v>1431</v>
      </c>
      <c r="C106" s="1170">
        <f t="shared" si="13"/>
        <v>0</v>
      </c>
      <c r="D106" s="1152" t="str">
        <f t="shared" si="13"/>
        <v>Rs./kW/month</v>
      </c>
      <c r="E106" s="1157">
        <f t="shared" si="13"/>
        <v>290</v>
      </c>
      <c r="F106" s="1157"/>
      <c r="G106" s="1157"/>
      <c r="H106" s="1152" t="str">
        <f>H101</f>
        <v>Rs/kWh</v>
      </c>
      <c r="I106" s="1157">
        <f>$I$89*(1+C106)</f>
        <v>7.3</v>
      </c>
      <c r="J106" s="1153"/>
      <c r="K106" s="1152" t="str">
        <f t="shared" si="14"/>
        <v>Rs./kW/month</v>
      </c>
      <c r="L106" s="1157"/>
      <c r="M106" s="1157"/>
      <c r="N106" s="1157"/>
      <c r="O106" s="1152" t="str">
        <f t="shared" si="5"/>
        <v>Rs/kWh</v>
      </c>
      <c r="P106" s="1157"/>
      <c r="Q106" s="1153"/>
      <c r="R106" s="1158">
        <f>L106-E106</f>
        <v>-290</v>
      </c>
      <c r="S106" s="1158">
        <f>P106-I106</f>
        <v>-7.3</v>
      </c>
    </row>
    <row r="107" spans="2:19" s="351" customFormat="1">
      <c r="B107" s="1173" t="s">
        <v>1432</v>
      </c>
      <c r="C107" s="1170">
        <f t="shared" si="13"/>
        <v>0.15</v>
      </c>
      <c r="D107" s="1152" t="str">
        <f t="shared" si="13"/>
        <v>Rs./kW/month</v>
      </c>
      <c r="E107" s="1157">
        <f t="shared" si="13"/>
        <v>290</v>
      </c>
      <c r="F107" s="1157"/>
      <c r="G107" s="1157"/>
      <c r="H107" s="1152" t="str">
        <f>H102</f>
        <v>Rs/kWh</v>
      </c>
      <c r="I107" s="1157">
        <f>$I$89*(1+C107)</f>
        <v>8.3949999999999996</v>
      </c>
      <c r="J107" s="1153"/>
      <c r="K107" s="1152" t="str">
        <f t="shared" si="14"/>
        <v>Rs./kW/month</v>
      </c>
      <c r="L107" s="1157"/>
      <c r="M107" s="1157"/>
      <c r="N107" s="1157"/>
      <c r="O107" s="1152" t="str">
        <f t="shared" si="5"/>
        <v>Rs/kWh</v>
      </c>
      <c r="P107" s="1157"/>
      <c r="Q107" s="1153"/>
      <c r="R107" s="1158">
        <f>L107-E107</f>
        <v>-290</v>
      </c>
      <c r="S107" s="1158">
        <f>P107-I107</f>
        <v>-8.3949999999999996</v>
      </c>
    </row>
    <row r="108" spans="2:19" s="351" customFormat="1">
      <c r="B108" s="1173" t="s">
        <v>1433</v>
      </c>
      <c r="C108" s="1170">
        <f t="shared" si="13"/>
        <v>0</v>
      </c>
      <c r="D108" s="1152" t="str">
        <f t="shared" si="13"/>
        <v>Rs./kW/month</v>
      </c>
      <c r="E108" s="1157">
        <f t="shared" si="13"/>
        <v>290</v>
      </c>
      <c r="F108" s="1157"/>
      <c r="G108" s="1157"/>
      <c r="H108" s="1152" t="str">
        <f>H103</f>
        <v>Rs/kWh</v>
      </c>
      <c r="I108" s="1157">
        <f>$I$89*(1+C108)</f>
        <v>7.3</v>
      </c>
      <c r="J108" s="1153"/>
      <c r="K108" s="1152" t="str">
        <f t="shared" si="14"/>
        <v>Rs./kW/month</v>
      </c>
      <c r="L108" s="1157"/>
      <c r="M108" s="1157"/>
      <c r="N108" s="1157"/>
      <c r="O108" s="1152" t="str">
        <f t="shared" si="5"/>
        <v>Rs/kWh</v>
      </c>
      <c r="P108" s="1157"/>
      <c r="Q108" s="1153"/>
      <c r="R108" s="1158">
        <f>L108-E108</f>
        <v>-290</v>
      </c>
      <c r="S108" s="1158">
        <f>P108-I108</f>
        <v>-7.3</v>
      </c>
    </row>
    <row r="109" spans="2:19" s="351" customFormat="1">
      <c r="B109" s="1172" t="s">
        <v>1014</v>
      </c>
      <c r="C109" s="1167"/>
      <c r="D109" s="1152"/>
      <c r="E109" s="1159"/>
      <c r="F109" s="1159"/>
      <c r="G109" s="1159"/>
      <c r="H109" s="1152"/>
      <c r="I109" s="1159"/>
      <c r="J109" s="1153"/>
      <c r="K109" s="1152"/>
      <c r="L109" s="1159"/>
      <c r="M109" s="1159"/>
      <c r="N109" s="1159"/>
      <c r="O109" s="1152"/>
      <c r="P109" s="1159"/>
      <c r="Q109" s="1153"/>
      <c r="R109" s="1159"/>
      <c r="S109" s="1159"/>
    </row>
    <row r="110" spans="2:19" s="351" customFormat="1">
      <c r="B110" s="1172" t="s">
        <v>1086</v>
      </c>
      <c r="C110" s="1168"/>
      <c r="D110" s="1152"/>
      <c r="E110" s="1159"/>
      <c r="F110" s="1159"/>
      <c r="G110" s="1159"/>
      <c r="H110" s="1152"/>
      <c r="I110" s="1159"/>
      <c r="J110" s="1153"/>
      <c r="K110" s="1152"/>
      <c r="L110" s="1159"/>
      <c r="M110" s="1159"/>
      <c r="N110" s="1159"/>
      <c r="O110" s="1152"/>
      <c r="P110" s="1159"/>
      <c r="Q110" s="1153"/>
      <c r="R110" s="1159"/>
      <c r="S110" s="1159"/>
    </row>
    <row r="111" spans="2:19" s="351" customFormat="1">
      <c r="B111" s="1173" t="s">
        <v>1430</v>
      </c>
      <c r="C111" s="1170">
        <v>0</v>
      </c>
      <c r="D111" s="1152" t="str">
        <f>D108</f>
        <v>Rs./kW/month</v>
      </c>
      <c r="E111" s="1157">
        <f>E105</f>
        <v>290</v>
      </c>
      <c r="F111" s="1157"/>
      <c r="G111" s="1157"/>
      <c r="H111" s="1152" t="str">
        <f>H108</f>
        <v>Rs/kWh</v>
      </c>
      <c r="I111" s="1157">
        <f>$I$87*(1+C111)</f>
        <v>7.9</v>
      </c>
      <c r="J111" s="1153"/>
      <c r="K111" s="1152" t="str">
        <f t="shared" ref="K111:K114" si="15">D111</f>
        <v>Rs./kW/month</v>
      </c>
      <c r="L111" s="1157"/>
      <c r="M111" s="1157"/>
      <c r="N111" s="1157"/>
      <c r="O111" s="1152" t="str">
        <f t="shared" si="5"/>
        <v>Rs/kWh</v>
      </c>
      <c r="P111" s="1157"/>
      <c r="Q111" s="1153"/>
      <c r="R111" s="1158">
        <f>L111-E111</f>
        <v>-290</v>
      </c>
      <c r="S111" s="1158">
        <f>P111-I111</f>
        <v>-7.9</v>
      </c>
    </row>
    <row r="112" spans="2:19" s="351" customFormat="1">
      <c r="B112" s="1173" t="s">
        <v>1431</v>
      </c>
      <c r="C112" s="1170">
        <v>0</v>
      </c>
      <c r="D112" s="1152" t="str">
        <f>D111</f>
        <v>Rs./kW/month</v>
      </c>
      <c r="E112" s="1157">
        <f>E106</f>
        <v>290</v>
      </c>
      <c r="F112" s="1157"/>
      <c r="G112" s="1157"/>
      <c r="H112" s="1152" t="str">
        <f>H111</f>
        <v>Rs/kWh</v>
      </c>
      <c r="I112" s="1157">
        <f>$I$87*(1+C112)</f>
        <v>7.9</v>
      </c>
      <c r="J112" s="1153"/>
      <c r="K112" s="1152" t="str">
        <f t="shared" si="15"/>
        <v>Rs./kW/month</v>
      </c>
      <c r="L112" s="1157"/>
      <c r="M112" s="1157"/>
      <c r="N112" s="1157"/>
      <c r="O112" s="1152" t="str">
        <f t="shared" si="5"/>
        <v>Rs/kWh</v>
      </c>
      <c r="P112" s="1157"/>
      <c r="Q112" s="1153"/>
      <c r="R112" s="1158">
        <f>L112-E112</f>
        <v>-290</v>
      </c>
      <c r="S112" s="1158">
        <f>P112-I112</f>
        <v>-7.9</v>
      </c>
    </row>
    <row r="113" spans="2:19" s="351" customFormat="1">
      <c r="B113" s="1173" t="s">
        <v>1432</v>
      </c>
      <c r="C113" s="1162">
        <f>15%</f>
        <v>0.15</v>
      </c>
      <c r="D113" s="1152" t="str">
        <f>D112</f>
        <v>Rs./kW/month</v>
      </c>
      <c r="E113" s="1157">
        <f>E107</f>
        <v>290</v>
      </c>
      <c r="F113" s="1157"/>
      <c r="G113" s="1157"/>
      <c r="H113" s="1152" t="str">
        <f>H112</f>
        <v>Rs/kWh</v>
      </c>
      <c r="I113" s="1157">
        <f>$I$87*(1+C113)</f>
        <v>9.0849999999999991</v>
      </c>
      <c r="J113" s="1153"/>
      <c r="K113" s="1152" t="str">
        <f t="shared" si="15"/>
        <v>Rs./kW/month</v>
      </c>
      <c r="L113" s="1157"/>
      <c r="M113" s="1157"/>
      <c r="N113" s="1157"/>
      <c r="O113" s="1152" t="str">
        <f t="shared" si="5"/>
        <v>Rs/kWh</v>
      </c>
      <c r="P113" s="1157"/>
      <c r="Q113" s="1153"/>
      <c r="R113" s="1158">
        <f>L113-E113</f>
        <v>-290</v>
      </c>
      <c r="S113" s="1158">
        <f>P113-I113</f>
        <v>-9.0849999999999991</v>
      </c>
    </row>
    <row r="114" spans="2:19" s="351" customFormat="1">
      <c r="B114" s="1173" t="s">
        <v>1433</v>
      </c>
      <c r="C114" s="1162">
        <f>-15%</f>
        <v>-0.15</v>
      </c>
      <c r="D114" s="1152" t="str">
        <f>D113</f>
        <v>Rs./kW/month</v>
      </c>
      <c r="E114" s="1157">
        <f>E108</f>
        <v>290</v>
      </c>
      <c r="F114" s="1157"/>
      <c r="G114" s="1157"/>
      <c r="H114" s="1152" t="str">
        <f>H113</f>
        <v>Rs/kWh</v>
      </c>
      <c r="I114" s="1157">
        <f>$I$87*(1+C114)</f>
        <v>6.7149999999999999</v>
      </c>
      <c r="J114" s="1153"/>
      <c r="K114" s="1152" t="str">
        <f t="shared" si="15"/>
        <v>Rs./kW/month</v>
      </c>
      <c r="L114" s="1157"/>
      <c r="M114" s="1157"/>
      <c r="N114" s="1157"/>
      <c r="O114" s="1152" t="str">
        <f t="shared" si="5"/>
        <v>Rs/kWh</v>
      </c>
      <c r="P114" s="1157"/>
      <c r="Q114" s="1153"/>
      <c r="R114" s="1158">
        <f>L114-E114</f>
        <v>-290</v>
      </c>
      <c r="S114" s="1158">
        <f>P114-I114</f>
        <v>-6.7149999999999999</v>
      </c>
    </row>
    <row r="115" spans="2:19" s="351" customFormat="1">
      <c r="B115" s="1172" t="s">
        <v>1087</v>
      </c>
      <c r="C115" s="1167"/>
      <c r="D115" s="1152"/>
      <c r="E115" s="1157"/>
      <c r="F115" s="1157"/>
      <c r="G115" s="1157"/>
      <c r="H115" s="1152"/>
      <c r="I115" s="1157"/>
      <c r="J115" s="1153"/>
      <c r="K115" s="1152"/>
      <c r="L115" s="1157"/>
      <c r="M115" s="1157"/>
      <c r="N115" s="1157"/>
      <c r="O115" s="1152"/>
      <c r="P115" s="1157"/>
      <c r="Q115" s="1153"/>
      <c r="R115" s="1157"/>
      <c r="S115" s="1157"/>
    </row>
    <row r="116" spans="2:19" s="351" customFormat="1">
      <c r="B116" s="1173" t="s">
        <v>1430</v>
      </c>
      <c r="C116" s="1170">
        <f>C111</f>
        <v>0</v>
      </c>
      <c r="D116" s="1152" t="str">
        <f>D114</f>
        <v>Rs./kW/month</v>
      </c>
      <c r="E116" s="1157">
        <f>E111</f>
        <v>290</v>
      </c>
      <c r="F116" s="1157"/>
      <c r="G116" s="1157"/>
      <c r="H116" s="1152" t="str">
        <f>H114</f>
        <v>Rs/kWh</v>
      </c>
      <c r="I116" s="1157">
        <f>$I$88*(1+C116)</f>
        <v>0</v>
      </c>
      <c r="J116" s="1153"/>
      <c r="K116" s="1152" t="str">
        <f t="shared" ref="K116:K119" si="16">D116</f>
        <v>Rs./kW/month</v>
      </c>
      <c r="L116" s="1157"/>
      <c r="M116" s="1157"/>
      <c r="N116" s="1157"/>
      <c r="O116" s="1152" t="str">
        <f t="shared" si="5"/>
        <v>Rs/kWh</v>
      </c>
      <c r="P116" s="1157"/>
      <c r="Q116" s="1153"/>
      <c r="R116" s="1158">
        <f>L116-E116</f>
        <v>-290</v>
      </c>
      <c r="S116" s="1158">
        <f>P116-I116</f>
        <v>0</v>
      </c>
    </row>
    <row r="117" spans="2:19" s="351" customFormat="1">
      <c r="B117" s="1173" t="s">
        <v>1431</v>
      </c>
      <c r="C117" s="1170">
        <f>C112</f>
        <v>0</v>
      </c>
      <c r="D117" s="1152" t="str">
        <f>D116</f>
        <v>Rs./kW/month</v>
      </c>
      <c r="E117" s="1157">
        <f>E112</f>
        <v>290</v>
      </c>
      <c r="F117" s="1157"/>
      <c r="G117" s="1157"/>
      <c r="H117" s="1152" t="str">
        <f>H116</f>
        <v>Rs/kWh</v>
      </c>
      <c r="I117" s="1157">
        <f>$I$88*(1+C117)</f>
        <v>0</v>
      </c>
      <c r="J117" s="1153"/>
      <c r="K117" s="1152" t="str">
        <f t="shared" si="16"/>
        <v>Rs./kW/month</v>
      </c>
      <c r="L117" s="1157"/>
      <c r="M117" s="1157"/>
      <c r="N117" s="1157"/>
      <c r="O117" s="1152" t="str">
        <f t="shared" si="5"/>
        <v>Rs/kWh</v>
      </c>
      <c r="P117" s="1157"/>
      <c r="Q117" s="1153"/>
      <c r="R117" s="1158">
        <f>L117-E117</f>
        <v>-290</v>
      </c>
      <c r="S117" s="1158">
        <f>P117-I117</f>
        <v>0</v>
      </c>
    </row>
    <row r="118" spans="2:19" s="351" customFormat="1">
      <c r="B118" s="1173" t="s">
        <v>1432</v>
      </c>
      <c r="C118" s="1170">
        <f>C113</f>
        <v>0.15</v>
      </c>
      <c r="D118" s="1152" t="str">
        <f>D117</f>
        <v>Rs./kW/month</v>
      </c>
      <c r="E118" s="1157">
        <f>E113</f>
        <v>290</v>
      </c>
      <c r="F118" s="1157"/>
      <c r="G118" s="1157"/>
      <c r="H118" s="1152" t="str">
        <f>H117</f>
        <v>Rs/kWh</v>
      </c>
      <c r="I118" s="1157">
        <f>$I$88*(1+C118)</f>
        <v>0</v>
      </c>
      <c r="J118" s="1153"/>
      <c r="K118" s="1152" t="str">
        <f t="shared" si="16"/>
        <v>Rs./kW/month</v>
      </c>
      <c r="L118" s="1157"/>
      <c r="M118" s="1157"/>
      <c r="N118" s="1157"/>
      <c r="O118" s="1152" t="str">
        <f t="shared" si="5"/>
        <v>Rs/kWh</v>
      </c>
      <c r="P118" s="1157"/>
      <c r="Q118" s="1153"/>
      <c r="R118" s="1158">
        <f>L118-E118</f>
        <v>-290</v>
      </c>
      <c r="S118" s="1158">
        <f>P118-I118</f>
        <v>0</v>
      </c>
    </row>
    <row r="119" spans="2:19" s="351" customFormat="1">
      <c r="B119" s="1173" t="s">
        <v>1433</v>
      </c>
      <c r="C119" s="1170">
        <f>C114</f>
        <v>-0.15</v>
      </c>
      <c r="D119" s="1152" t="str">
        <f>D118</f>
        <v>Rs./kW/month</v>
      </c>
      <c r="E119" s="1157">
        <f>E114</f>
        <v>290</v>
      </c>
      <c r="F119" s="1157"/>
      <c r="G119" s="1157"/>
      <c r="H119" s="1152" t="str">
        <f>H118</f>
        <v>Rs/kWh</v>
      </c>
      <c r="I119" s="1157">
        <f>$I$88*(1+C119)</f>
        <v>0</v>
      </c>
      <c r="J119" s="1153"/>
      <c r="K119" s="1152" t="str">
        <f t="shared" si="16"/>
        <v>Rs./kW/month</v>
      </c>
      <c r="L119" s="1157"/>
      <c r="M119" s="1157"/>
      <c r="N119" s="1157"/>
      <c r="O119" s="1152" t="str">
        <f t="shared" si="5"/>
        <v>Rs/kWh</v>
      </c>
      <c r="P119" s="1157"/>
      <c r="Q119" s="1153"/>
      <c r="R119" s="1158">
        <f>L119-E119</f>
        <v>-290</v>
      </c>
      <c r="S119" s="1158">
        <f>P119-I119</f>
        <v>0</v>
      </c>
    </row>
    <row r="120" spans="2:19" s="351" customFormat="1">
      <c r="B120" s="1172" t="s">
        <v>1088</v>
      </c>
      <c r="C120" s="1167"/>
      <c r="D120" s="1152"/>
      <c r="E120" s="1157"/>
      <c r="F120" s="1157"/>
      <c r="G120" s="1157"/>
      <c r="H120" s="1152"/>
      <c r="I120" s="1157"/>
      <c r="J120" s="1153"/>
      <c r="K120" s="1152"/>
      <c r="L120" s="1157"/>
      <c r="M120" s="1157"/>
      <c r="N120" s="1157"/>
      <c r="O120" s="1152"/>
      <c r="P120" s="1159"/>
      <c r="Q120" s="1153"/>
      <c r="R120" s="1157"/>
      <c r="S120" s="1159"/>
    </row>
    <row r="121" spans="2:19" s="351" customFormat="1">
      <c r="B121" s="1173" t="s">
        <v>1430</v>
      </c>
      <c r="C121" s="1170">
        <f>C116</f>
        <v>0</v>
      </c>
      <c r="D121" s="1152" t="str">
        <f>D119</f>
        <v>Rs./kW/month</v>
      </c>
      <c r="E121" s="1157">
        <f>E116</f>
        <v>290</v>
      </c>
      <c r="F121" s="1157"/>
      <c r="G121" s="1157"/>
      <c r="H121" s="1152" t="str">
        <f>H119</f>
        <v>Rs/kWh</v>
      </c>
      <c r="I121" s="1157">
        <f>$I$89*(1+C121)</f>
        <v>7.3</v>
      </c>
      <c r="J121" s="1153"/>
      <c r="K121" s="1152" t="str">
        <f t="shared" ref="K121:K124" si="17">D121</f>
        <v>Rs./kW/month</v>
      </c>
      <c r="L121" s="1157"/>
      <c r="M121" s="1157"/>
      <c r="N121" s="1157"/>
      <c r="O121" s="1152" t="str">
        <f t="shared" si="5"/>
        <v>Rs/kWh</v>
      </c>
      <c r="P121" s="1157"/>
      <c r="Q121" s="1153"/>
      <c r="R121" s="1158">
        <f>L121-E121</f>
        <v>-290</v>
      </c>
      <c r="S121" s="1158">
        <f>P121-I121</f>
        <v>-7.3</v>
      </c>
    </row>
    <row r="122" spans="2:19" s="351" customFormat="1">
      <c r="B122" s="1173" t="s">
        <v>1431</v>
      </c>
      <c r="C122" s="1170">
        <f>C117</f>
        <v>0</v>
      </c>
      <c r="D122" s="1152" t="str">
        <f>D121</f>
        <v>Rs./kW/month</v>
      </c>
      <c r="E122" s="1157">
        <f>E117</f>
        <v>290</v>
      </c>
      <c r="F122" s="1157"/>
      <c r="G122" s="1157"/>
      <c r="H122" s="1152" t="str">
        <f>H121</f>
        <v>Rs/kWh</v>
      </c>
      <c r="I122" s="1157">
        <f>$I$89*(1+C122)</f>
        <v>7.3</v>
      </c>
      <c r="J122" s="1153"/>
      <c r="K122" s="1152" t="str">
        <f t="shared" si="17"/>
        <v>Rs./kW/month</v>
      </c>
      <c r="L122" s="1157"/>
      <c r="M122" s="1157"/>
      <c r="N122" s="1157"/>
      <c r="O122" s="1152" t="str">
        <f t="shared" si="5"/>
        <v>Rs/kWh</v>
      </c>
      <c r="P122" s="1157"/>
      <c r="Q122" s="1153"/>
      <c r="R122" s="1158">
        <f>L122-E122</f>
        <v>-290</v>
      </c>
      <c r="S122" s="1158">
        <f>P122-I122</f>
        <v>-7.3</v>
      </c>
    </row>
    <row r="123" spans="2:19" s="351" customFormat="1">
      <c r="B123" s="1173" t="s">
        <v>1432</v>
      </c>
      <c r="C123" s="1170">
        <f>C118</f>
        <v>0.15</v>
      </c>
      <c r="D123" s="1152" t="str">
        <f>D122</f>
        <v>Rs./kW/month</v>
      </c>
      <c r="E123" s="1157">
        <f>E118</f>
        <v>290</v>
      </c>
      <c r="F123" s="1157"/>
      <c r="G123" s="1157"/>
      <c r="H123" s="1152" t="str">
        <f>H122</f>
        <v>Rs/kWh</v>
      </c>
      <c r="I123" s="1157">
        <f>$I$89*(1+C123)</f>
        <v>8.3949999999999996</v>
      </c>
      <c r="J123" s="1153"/>
      <c r="K123" s="1152" t="str">
        <f t="shared" si="17"/>
        <v>Rs./kW/month</v>
      </c>
      <c r="L123" s="1157"/>
      <c r="M123" s="1157"/>
      <c r="N123" s="1157"/>
      <c r="O123" s="1152" t="str">
        <f t="shared" si="5"/>
        <v>Rs/kWh</v>
      </c>
      <c r="P123" s="1157"/>
      <c r="Q123" s="1153"/>
      <c r="R123" s="1158">
        <f>L123-E123</f>
        <v>-290</v>
      </c>
      <c r="S123" s="1158">
        <f>P123-I123</f>
        <v>-8.3949999999999996</v>
      </c>
    </row>
    <row r="124" spans="2:19" s="351" customFormat="1">
      <c r="B124" s="1173" t="s">
        <v>1433</v>
      </c>
      <c r="C124" s="1170">
        <f>C119</f>
        <v>-0.15</v>
      </c>
      <c r="D124" s="1152" t="str">
        <f>D123</f>
        <v>Rs./kW/month</v>
      </c>
      <c r="E124" s="1157">
        <f>E119</f>
        <v>290</v>
      </c>
      <c r="F124" s="1157"/>
      <c r="G124" s="1157"/>
      <c r="H124" s="1152" t="str">
        <f>H123</f>
        <v>Rs/kWh</v>
      </c>
      <c r="I124" s="1157">
        <f>$I$89*(1+C124)</f>
        <v>6.2050000000000001</v>
      </c>
      <c r="J124" s="1153"/>
      <c r="K124" s="1152" t="str">
        <f t="shared" si="17"/>
        <v>Rs./kW/month</v>
      </c>
      <c r="L124" s="1157"/>
      <c r="M124" s="1157"/>
      <c r="N124" s="1157"/>
      <c r="O124" s="1152" t="str">
        <f t="shared" si="5"/>
        <v>Rs/kWh</v>
      </c>
      <c r="P124" s="1157"/>
      <c r="Q124" s="1153"/>
      <c r="R124" s="1158">
        <f>L124-E124</f>
        <v>-290</v>
      </c>
      <c r="S124" s="1158">
        <f>P124-I124</f>
        <v>-6.2050000000000001</v>
      </c>
    </row>
    <row r="125" spans="2:19" s="351" customFormat="1">
      <c r="B125" s="1154" t="s">
        <v>1425</v>
      </c>
      <c r="C125" s="1154"/>
      <c r="D125" s="1154"/>
      <c r="E125" s="1159"/>
      <c r="F125" s="1159"/>
      <c r="G125" s="1159"/>
      <c r="H125" s="1155"/>
      <c r="I125" s="1159"/>
      <c r="J125" s="1153"/>
      <c r="K125" s="1154"/>
      <c r="L125" s="1159"/>
      <c r="M125" s="1159"/>
      <c r="N125" s="1159"/>
      <c r="O125" s="1155"/>
      <c r="P125" s="1159"/>
      <c r="Q125" s="1153"/>
      <c r="R125" s="1159"/>
      <c r="S125" s="1159"/>
    </row>
    <row r="126" spans="2:19" s="351" customFormat="1">
      <c r="B126" s="1173"/>
      <c r="C126" s="1167"/>
      <c r="D126" s="1152"/>
      <c r="E126" s="1157"/>
      <c r="F126" s="1157"/>
      <c r="G126" s="1157"/>
      <c r="H126" s="1152"/>
      <c r="I126" s="1157"/>
      <c r="J126" s="1153"/>
      <c r="K126" s="1152"/>
      <c r="L126" s="1157"/>
      <c r="M126" s="1157"/>
      <c r="N126" s="1157"/>
      <c r="O126" s="1152"/>
      <c r="P126" s="1157"/>
      <c r="Q126" s="1153"/>
      <c r="R126" s="1157"/>
      <c r="S126" s="1157"/>
    </row>
    <row r="127" spans="2:19" s="351" customFormat="1">
      <c r="B127" s="1172" t="s">
        <v>1402</v>
      </c>
      <c r="C127" s="1166"/>
      <c r="D127" s="1155"/>
      <c r="E127" s="1157"/>
      <c r="F127" s="1157"/>
      <c r="G127" s="1157"/>
      <c r="H127" s="1152"/>
      <c r="I127" s="1157"/>
      <c r="J127" s="1153"/>
      <c r="K127" s="1155"/>
      <c r="L127" s="1157"/>
      <c r="M127" s="1157"/>
      <c r="N127" s="1157"/>
      <c r="O127" s="1152"/>
      <c r="P127" s="1157"/>
      <c r="Q127" s="1153"/>
      <c r="R127" s="1157"/>
      <c r="S127" s="1157"/>
    </row>
    <row r="128" spans="2:19" s="351" customFormat="1">
      <c r="B128" s="1172" t="s">
        <v>475</v>
      </c>
      <c r="C128" s="1169">
        <f>-7.5%</f>
        <v>-7.4999999999999997E-2</v>
      </c>
      <c r="D128" s="1155"/>
      <c r="E128" s="1159"/>
      <c r="F128" s="1159"/>
      <c r="G128" s="1159"/>
      <c r="H128" s="1155"/>
      <c r="I128" s="1159"/>
      <c r="J128" s="1153"/>
      <c r="K128" s="1152"/>
      <c r="L128" s="1159"/>
      <c r="M128" s="1159"/>
      <c r="N128" s="1159"/>
      <c r="O128" s="1155"/>
      <c r="P128" s="1159"/>
      <c r="Q128" s="1153"/>
      <c r="R128" s="1159"/>
      <c r="S128" s="1159"/>
    </row>
    <row r="129" spans="2:19" s="351" customFormat="1">
      <c r="B129" s="1173" t="s">
        <v>1091</v>
      </c>
      <c r="C129" s="1166"/>
      <c r="D129" s="1152" t="s">
        <v>1532</v>
      </c>
      <c r="E129" s="1157">
        <f>E133</f>
        <v>375</v>
      </c>
      <c r="F129" s="1157"/>
      <c r="G129" s="1157"/>
      <c r="H129" s="1152" t="s">
        <v>1533</v>
      </c>
      <c r="I129" s="1157">
        <f>I133*(1+$C$126)</f>
        <v>8.6</v>
      </c>
      <c r="J129" s="1153"/>
      <c r="K129" s="1152" t="str">
        <f t="shared" ref="K129:K131" si="18">D129</f>
        <v>Rs./kW/month</v>
      </c>
      <c r="L129" s="1157"/>
      <c r="M129" s="1157"/>
      <c r="N129" s="1157"/>
      <c r="O129" s="1152" t="str">
        <f t="shared" si="5"/>
        <v>Rs/kWh</v>
      </c>
      <c r="P129" s="1157"/>
      <c r="Q129" s="1153"/>
      <c r="R129" s="1158">
        <f>L129-E129</f>
        <v>-375</v>
      </c>
      <c r="S129" s="1158">
        <f>P129-I129</f>
        <v>-8.6</v>
      </c>
    </row>
    <row r="130" spans="2:19" s="351" customFormat="1">
      <c r="B130" s="1173" t="s">
        <v>1092</v>
      </c>
      <c r="C130" s="1166"/>
      <c r="D130" s="1152" t="s">
        <v>1532</v>
      </c>
      <c r="E130" s="1157">
        <f>E129</f>
        <v>375</v>
      </c>
      <c r="F130" s="1157"/>
      <c r="G130" s="1157"/>
      <c r="H130" s="1152" t="s">
        <v>1533</v>
      </c>
      <c r="I130" s="1157">
        <f>I134*(1+$C$126)</f>
        <v>8.6</v>
      </c>
      <c r="J130" s="1153"/>
      <c r="K130" s="1152" t="str">
        <f t="shared" si="18"/>
        <v>Rs./kW/month</v>
      </c>
      <c r="L130" s="1157"/>
      <c r="M130" s="1157"/>
      <c r="N130" s="1157"/>
      <c r="O130" s="1152" t="str">
        <f t="shared" si="5"/>
        <v>Rs/kWh</v>
      </c>
      <c r="P130" s="1157"/>
      <c r="Q130" s="1153"/>
      <c r="R130" s="1158">
        <f>L130-E130</f>
        <v>-375</v>
      </c>
      <c r="S130" s="1158">
        <f>P130-I130</f>
        <v>-8.6</v>
      </c>
    </row>
    <row r="131" spans="2:19" s="351" customFormat="1">
      <c r="B131" s="1173" t="s">
        <v>1093</v>
      </c>
      <c r="C131" s="1166"/>
      <c r="D131" s="1152" t="s">
        <v>1532</v>
      </c>
      <c r="E131" s="1157">
        <f>E130</f>
        <v>375</v>
      </c>
      <c r="F131" s="1157"/>
      <c r="G131" s="1157"/>
      <c r="H131" s="1152" t="s">
        <v>1533</v>
      </c>
      <c r="I131" s="1157">
        <f>I135*(1+$C$126)</f>
        <v>8.6</v>
      </c>
      <c r="J131" s="1153"/>
      <c r="K131" s="1152" t="str">
        <f t="shared" si="18"/>
        <v>Rs./kW/month</v>
      </c>
      <c r="L131" s="1157"/>
      <c r="M131" s="1157"/>
      <c r="N131" s="1157"/>
      <c r="O131" s="1152" t="str">
        <f t="shared" si="5"/>
        <v>Rs/kWh</v>
      </c>
      <c r="P131" s="1157"/>
      <c r="Q131" s="1153"/>
      <c r="R131" s="1158">
        <f>L131-E131</f>
        <v>-375</v>
      </c>
      <c r="S131" s="1158">
        <f>P131-I131</f>
        <v>-8.6</v>
      </c>
    </row>
    <row r="132" spans="2:19" s="351" customFormat="1">
      <c r="B132" s="1172" t="s">
        <v>1403</v>
      </c>
      <c r="C132" s="1166"/>
      <c r="D132" s="1155"/>
      <c r="E132" s="1159"/>
      <c r="F132" s="1159"/>
      <c r="G132" s="1159"/>
      <c r="H132" s="1155"/>
      <c r="I132" s="1159"/>
      <c r="J132" s="1153"/>
      <c r="K132" s="1152"/>
      <c r="L132" s="1159"/>
      <c r="M132" s="1159"/>
      <c r="N132" s="1159"/>
      <c r="O132" s="1155"/>
      <c r="P132" s="1159"/>
      <c r="Q132" s="1153"/>
      <c r="R132" s="1159"/>
      <c r="S132" s="1159"/>
    </row>
    <row r="133" spans="2:19" s="351" customFormat="1">
      <c r="B133" s="1173" t="s">
        <v>1094</v>
      </c>
      <c r="C133" s="1166"/>
      <c r="D133" s="1152" t="s">
        <v>1532</v>
      </c>
      <c r="E133" s="1157">
        <v>375</v>
      </c>
      <c r="F133" s="1157"/>
      <c r="G133" s="1157"/>
      <c r="H133" s="1152" t="s">
        <v>1533</v>
      </c>
      <c r="I133" s="1157">
        <v>8.6</v>
      </c>
      <c r="J133" s="1153"/>
      <c r="K133" s="1152" t="str">
        <f t="shared" ref="K133:K135" si="19">D133</f>
        <v>Rs./kW/month</v>
      </c>
      <c r="L133" s="1157"/>
      <c r="M133" s="1157"/>
      <c r="N133" s="1157"/>
      <c r="O133" s="1152" t="str">
        <f t="shared" si="5"/>
        <v>Rs/kWh</v>
      </c>
      <c r="P133" s="1157"/>
      <c r="Q133" s="1153"/>
      <c r="R133" s="1158">
        <f>L133-E133</f>
        <v>-375</v>
      </c>
      <c r="S133" s="1158">
        <f>P133-I133</f>
        <v>-8.6</v>
      </c>
    </row>
    <row r="134" spans="2:19" s="351" customFormat="1">
      <c r="B134" s="1173" t="s">
        <v>1095</v>
      </c>
      <c r="C134" s="1166"/>
      <c r="D134" s="1152" t="s">
        <v>1532</v>
      </c>
      <c r="E134" s="1157">
        <f>E133</f>
        <v>375</v>
      </c>
      <c r="F134" s="1157"/>
      <c r="G134" s="1157"/>
      <c r="H134" s="1152" t="s">
        <v>1533</v>
      </c>
      <c r="I134" s="1157">
        <f>I133</f>
        <v>8.6</v>
      </c>
      <c r="J134" s="1153"/>
      <c r="K134" s="1152" t="str">
        <f t="shared" si="19"/>
        <v>Rs./kW/month</v>
      </c>
      <c r="L134" s="1157"/>
      <c r="M134" s="1157"/>
      <c r="N134" s="1157"/>
      <c r="O134" s="1152" t="str">
        <f t="shared" si="5"/>
        <v>Rs/kWh</v>
      </c>
      <c r="P134" s="1157"/>
      <c r="Q134" s="1153"/>
      <c r="R134" s="1158">
        <f>L134-E134</f>
        <v>-375</v>
      </c>
      <c r="S134" s="1158">
        <f>P134-I134</f>
        <v>-8.6</v>
      </c>
    </row>
    <row r="135" spans="2:19" s="351" customFormat="1">
      <c r="B135" s="1173" t="s">
        <v>1096</v>
      </c>
      <c r="C135" s="1166"/>
      <c r="D135" s="1152" t="s">
        <v>1532</v>
      </c>
      <c r="E135" s="1157">
        <f>E134</f>
        <v>375</v>
      </c>
      <c r="F135" s="1157"/>
      <c r="G135" s="1157"/>
      <c r="H135" s="1152" t="s">
        <v>1533</v>
      </c>
      <c r="I135" s="1157">
        <f>I134</f>
        <v>8.6</v>
      </c>
      <c r="J135" s="1153"/>
      <c r="K135" s="1152" t="str">
        <f t="shared" si="19"/>
        <v>Rs./kW/month</v>
      </c>
      <c r="L135" s="1157"/>
      <c r="M135" s="1157"/>
      <c r="N135" s="1157"/>
      <c r="O135" s="1152" t="str">
        <f t="shared" si="5"/>
        <v>Rs/kWh</v>
      </c>
      <c r="P135" s="1157"/>
      <c r="Q135" s="1153"/>
      <c r="R135" s="1158">
        <f>L135-E135</f>
        <v>-375</v>
      </c>
      <c r="S135" s="1158">
        <f>P135-I135</f>
        <v>-8.6</v>
      </c>
    </row>
    <row r="136" spans="2:19" s="351" customFormat="1">
      <c r="B136" s="1154" t="s">
        <v>1425</v>
      </c>
      <c r="C136" s="1154"/>
      <c r="D136" s="1154"/>
      <c r="E136" s="1159"/>
      <c r="F136" s="1159"/>
      <c r="G136" s="1159"/>
      <c r="H136" s="1155"/>
      <c r="I136" s="1159"/>
      <c r="J136" s="1153"/>
      <c r="K136" s="1154"/>
      <c r="L136" s="1159"/>
      <c r="M136" s="1159"/>
      <c r="N136" s="1159"/>
      <c r="O136" s="1155"/>
      <c r="P136" s="1159"/>
      <c r="Q136" s="1153"/>
      <c r="R136" s="1159"/>
      <c r="S136" s="1159"/>
    </row>
    <row r="137" spans="2:19" s="351" customFormat="1">
      <c r="B137" s="1172"/>
      <c r="C137" s="1166"/>
      <c r="D137" s="1155"/>
      <c r="E137" s="1157"/>
      <c r="F137" s="1157"/>
      <c r="G137" s="1157"/>
      <c r="H137" s="1152"/>
      <c r="I137" s="1157"/>
      <c r="J137" s="1153"/>
      <c r="K137" s="1155"/>
      <c r="L137" s="1157"/>
      <c r="M137" s="1157"/>
      <c r="N137" s="1157"/>
      <c r="O137" s="1152"/>
      <c r="P137" s="1157"/>
      <c r="Q137" s="1153"/>
      <c r="R137" s="1157"/>
      <c r="S137" s="1157"/>
    </row>
    <row r="138" spans="2:19" s="351" customFormat="1">
      <c r="B138" s="1172" t="s">
        <v>1098</v>
      </c>
      <c r="C138" s="1166"/>
      <c r="D138" s="1155"/>
      <c r="E138" s="1157"/>
      <c r="F138" s="1157"/>
      <c r="G138" s="1157"/>
      <c r="H138" s="1152"/>
      <c r="I138" s="1157"/>
      <c r="J138" s="1153"/>
      <c r="K138" s="1155"/>
      <c r="L138" s="1157"/>
      <c r="M138" s="1157"/>
      <c r="N138" s="1157"/>
      <c r="O138" s="1152"/>
      <c r="P138" s="1157"/>
      <c r="Q138" s="1153"/>
      <c r="R138" s="1157"/>
      <c r="S138" s="1157"/>
    </row>
    <row r="139" spans="2:19" s="351" customFormat="1">
      <c r="B139" s="1172" t="s">
        <v>476</v>
      </c>
      <c r="C139" s="1166"/>
      <c r="D139" s="1155"/>
      <c r="E139" s="1159"/>
      <c r="F139" s="1159"/>
      <c r="G139" s="1159"/>
      <c r="H139" s="1155"/>
      <c r="I139" s="1159"/>
      <c r="J139" s="1153"/>
      <c r="K139" s="1155"/>
      <c r="L139" s="1159"/>
      <c r="M139" s="1159"/>
      <c r="N139" s="1159"/>
      <c r="O139" s="1155"/>
      <c r="P139" s="1159"/>
      <c r="Q139" s="1153"/>
      <c r="R139" s="1159"/>
      <c r="S139" s="1159"/>
    </row>
    <row r="140" spans="2:19" s="351" customFormat="1">
      <c r="B140" s="1173" t="s">
        <v>1099</v>
      </c>
      <c r="C140" s="1166"/>
      <c r="D140" s="1152" t="s">
        <v>1542</v>
      </c>
      <c r="E140" s="1157">
        <v>330</v>
      </c>
      <c r="F140" s="1157"/>
      <c r="G140" s="1157"/>
      <c r="H140" s="1152" t="s">
        <v>1533</v>
      </c>
      <c r="I140" s="1157">
        <v>8.5</v>
      </c>
      <c r="J140" s="1153"/>
      <c r="K140" s="1152" t="str">
        <f>D140</f>
        <v>Rs/BHP/month</v>
      </c>
      <c r="L140" s="1157"/>
      <c r="M140" s="1157"/>
      <c r="N140" s="1157"/>
      <c r="O140" s="1152" t="str">
        <f t="shared" ref="O140:O203" si="20">H140</f>
        <v>Rs/kWh</v>
      </c>
      <c r="P140" s="1157"/>
      <c r="Q140" s="1153"/>
      <c r="R140" s="1158">
        <f>L140-E140</f>
        <v>-330</v>
      </c>
      <c r="S140" s="1158">
        <f>P140-I140</f>
        <v>-8.5</v>
      </c>
    </row>
    <row r="141" spans="2:19" s="351" customFormat="1">
      <c r="B141" s="1172" t="s">
        <v>1404</v>
      </c>
      <c r="C141" s="1166"/>
      <c r="D141" s="1155"/>
      <c r="E141" s="1159"/>
      <c r="F141" s="1159"/>
      <c r="G141" s="1159"/>
      <c r="H141" s="1155"/>
      <c r="I141" s="1159"/>
      <c r="J141" s="1153"/>
      <c r="K141" s="1155"/>
      <c r="L141" s="1159"/>
      <c r="M141" s="1159"/>
      <c r="N141" s="1159"/>
      <c r="O141" s="1155"/>
      <c r="P141" s="1159"/>
      <c r="Q141" s="1153"/>
      <c r="R141" s="1159"/>
      <c r="S141" s="1159"/>
    </row>
    <row r="142" spans="2:19" s="351" customFormat="1">
      <c r="B142" s="1173" t="s">
        <v>1405</v>
      </c>
      <c r="C142" s="1166"/>
      <c r="D142" s="1152" t="s">
        <v>1542</v>
      </c>
      <c r="E142" s="1157">
        <v>3300</v>
      </c>
      <c r="F142" s="1157"/>
      <c r="G142" s="1157"/>
      <c r="H142" s="1152" t="s">
        <v>1533</v>
      </c>
      <c r="I142" s="1157">
        <v>0</v>
      </c>
      <c r="J142" s="1153"/>
      <c r="K142" s="1152" t="str">
        <f>D142</f>
        <v>Rs/BHP/month</v>
      </c>
      <c r="L142" s="1157"/>
      <c r="M142" s="1157"/>
      <c r="N142" s="1157"/>
      <c r="O142" s="1152" t="str">
        <f t="shared" si="20"/>
        <v>Rs/kWh</v>
      </c>
      <c r="P142" s="1157"/>
      <c r="Q142" s="1153"/>
      <c r="R142" s="1158">
        <f>L142-E142</f>
        <v>-3300</v>
      </c>
      <c r="S142" s="1158">
        <f>P142-I142</f>
        <v>0</v>
      </c>
    </row>
    <row r="143" spans="2:19" s="351" customFormat="1">
      <c r="B143" s="1173" t="s">
        <v>1101</v>
      </c>
      <c r="C143" s="1166"/>
      <c r="D143" s="1152" t="s">
        <v>1542</v>
      </c>
      <c r="E143" s="1157">
        <f>E142</f>
        <v>3300</v>
      </c>
      <c r="F143" s="1157"/>
      <c r="G143" s="1157"/>
      <c r="H143" s="1152" t="s">
        <v>1533</v>
      </c>
      <c r="I143" s="1157">
        <f>I142</f>
        <v>0</v>
      </c>
      <c r="J143" s="1153"/>
      <c r="K143" s="1152" t="str">
        <f>D143</f>
        <v>Rs/BHP/month</v>
      </c>
      <c r="L143" s="1157"/>
      <c r="M143" s="1157"/>
      <c r="N143" s="1157"/>
      <c r="O143" s="1152" t="str">
        <f t="shared" si="20"/>
        <v>Rs/kWh</v>
      </c>
      <c r="P143" s="1157"/>
      <c r="Q143" s="1153"/>
      <c r="R143" s="1158">
        <f>L143-E143</f>
        <v>-3300</v>
      </c>
      <c r="S143" s="1158">
        <f>P143-I143</f>
        <v>0</v>
      </c>
    </row>
    <row r="144" spans="2:19" s="351" customFormat="1">
      <c r="B144" s="1154" t="s">
        <v>1425</v>
      </c>
      <c r="C144" s="1154"/>
      <c r="D144" s="1154"/>
      <c r="E144" s="1159"/>
      <c r="F144" s="1159"/>
      <c r="G144" s="1159"/>
      <c r="H144" s="1155"/>
      <c r="I144" s="1159"/>
      <c r="J144" s="1153"/>
      <c r="K144" s="1154"/>
      <c r="L144" s="1159"/>
      <c r="M144" s="1159"/>
      <c r="N144" s="1159"/>
      <c r="O144" s="1155"/>
      <c r="P144" s="1159"/>
      <c r="Q144" s="1153"/>
      <c r="R144" s="1159"/>
      <c r="S144" s="1159"/>
    </row>
    <row r="145" spans="2:19" s="351" customFormat="1">
      <c r="B145" s="1173"/>
      <c r="C145" s="1167"/>
      <c r="D145" s="1152"/>
      <c r="E145" s="1157"/>
      <c r="F145" s="1157"/>
      <c r="G145" s="1157"/>
      <c r="H145" s="1152"/>
      <c r="I145" s="1157"/>
      <c r="J145" s="1153"/>
      <c r="K145" s="1152"/>
      <c r="L145" s="1157"/>
      <c r="M145" s="1157"/>
      <c r="N145" s="1157"/>
      <c r="O145" s="1152"/>
      <c r="P145" s="1157"/>
      <c r="Q145" s="1153"/>
      <c r="R145" s="1157"/>
      <c r="S145" s="1157"/>
    </row>
    <row r="146" spans="2:19" s="351" customFormat="1">
      <c r="B146" s="1172" t="s">
        <v>1406</v>
      </c>
      <c r="C146" s="1166"/>
      <c r="D146" s="1155"/>
      <c r="E146" s="1157"/>
      <c r="F146" s="1157"/>
      <c r="G146" s="1157"/>
      <c r="H146" s="1152"/>
      <c r="I146" s="1157"/>
      <c r="J146" s="1153"/>
      <c r="K146" s="1155"/>
      <c r="L146" s="1157"/>
      <c r="M146" s="1157"/>
      <c r="N146" s="1157"/>
      <c r="O146" s="1152"/>
      <c r="P146" s="1157"/>
      <c r="Q146" s="1153"/>
      <c r="R146" s="1157"/>
      <c r="S146" s="1157"/>
    </row>
    <row r="147" spans="2:19" s="351" customFormat="1">
      <c r="B147" s="1172" t="s">
        <v>476</v>
      </c>
      <c r="C147" s="1166"/>
      <c r="D147" s="1155"/>
      <c r="E147" s="1159"/>
      <c r="F147" s="1159"/>
      <c r="G147" s="1159"/>
      <c r="H147" s="1155"/>
      <c r="I147" s="1159"/>
      <c r="J147" s="1153"/>
      <c r="K147" s="1155"/>
      <c r="L147" s="1159"/>
      <c r="M147" s="1159"/>
      <c r="N147" s="1159"/>
      <c r="O147" s="1155"/>
      <c r="P147" s="1159"/>
      <c r="Q147" s="1153"/>
      <c r="R147" s="1159"/>
      <c r="S147" s="1159"/>
    </row>
    <row r="148" spans="2:19" s="351" customFormat="1">
      <c r="B148" s="1172" t="s">
        <v>1104</v>
      </c>
      <c r="C148" s="1166"/>
      <c r="D148" s="1152" t="s">
        <v>1532</v>
      </c>
      <c r="E148" s="1157">
        <v>200</v>
      </c>
      <c r="F148" s="1157"/>
      <c r="G148" s="1157"/>
      <c r="H148" s="1152" t="s">
        <v>1533</v>
      </c>
      <c r="I148" s="1157">
        <v>8</v>
      </c>
      <c r="J148" s="1153"/>
      <c r="K148" s="1152" t="str">
        <f>D148</f>
        <v>Rs./kW/month</v>
      </c>
      <c r="L148" s="1157"/>
      <c r="M148" s="1157"/>
      <c r="N148" s="1157"/>
      <c r="O148" s="1152" t="str">
        <f t="shared" si="20"/>
        <v>Rs/kWh</v>
      </c>
      <c r="P148" s="1157"/>
      <c r="Q148" s="1153"/>
      <c r="R148" s="1158">
        <f>L148-E148</f>
        <v>-200</v>
      </c>
      <c r="S148" s="1158">
        <f>P148-I148</f>
        <v>-8</v>
      </c>
    </row>
    <row r="149" spans="2:19" s="351" customFormat="1">
      <c r="B149" s="1172" t="s">
        <v>1105</v>
      </c>
      <c r="C149" s="1166"/>
      <c r="D149" s="1152" t="s">
        <v>1532</v>
      </c>
      <c r="E149" s="1157">
        <v>300</v>
      </c>
      <c r="F149" s="1157" t="s">
        <v>1543</v>
      </c>
      <c r="G149" s="1157">
        <v>450</v>
      </c>
      <c r="H149" s="1152" t="s">
        <v>1533</v>
      </c>
      <c r="I149" s="1157">
        <v>9</v>
      </c>
      <c r="J149" s="1153"/>
      <c r="K149" s="1152" t="str">
        <f>D149</f>
        <v>Rs./kW/month</v>
      </c>
      <c r="L149" s="1157"/>
      <c r="M149" s="1157" t="str">
        <f>F149</f>
        <v>Rs/kW/week</v>
      </c>
      <c r="N149" s="1157"/>
      <c r="O149" s="1152" t="str">
        <f t="shared" si="20"/>
        <v>Rs/kWh</v>
      </c>
      <c r="P149" s="1157"/>
      <c r="Q149" s="1153"/>
      <c r="R149" s="1158">
        <f>L149-E149</f>
        <v>-300</v>
      </c>
      <c r="S149" s="1158">
        <f>P149-I149</f>
        <v>-9</v>
      </c>
    </row>
    <row r="150" spans="2:19" s="351" customFormat="1">
      <c r="B150" s="1172" t="s">
        <v>1404</v>
      </c>
      <c r="C150" s="1166"/>
      <c r="D150" s="1155"/>
      <c r="E150" s="1159"/>
      <c r="F150" s="1159"/>
      <c r="G150" s="1159"/>
      <c r="H150" s="1155"/>
      <c r="I150" s="1159"/>
      <c r="J150" s="1153"/>
      <c r="K150" s="1152"/>
      <c r="L150" s="1157"/>
      <c r="M150" s="1157"/>
      <c r="N150" s="1157"/>
      <c r="O150" s="1152"/>
      <c r="P150" s="1159"/>
      <c r="Q150" s="1153"/>
      <c r="R150" s="1157"/>
      <c r="S150" s="1159"/>
    </row>
    <row r="151" spans="2:19" s="351" customFormat="1">
      <c r="B151" s="1172" t="s">
        <v>1106</v>
      </c>
      <c r="C151" s="1166"/>
      <c r="D151" s="1152" t="s">
        <v>1544</v>
      </c>
      <c r="E151" s="1157">
        <v>4750</v>
      </c>
      <c r="F151" s="1157"/>
      <c r="G151" s="1157"/>
      <c r="H151" s="1152" t="s">
        <v>1533</v>
      </c>
      <c r="I151" s="1157">
        <v>0</v>
      </c>
      <c r="J151" s="1153"/>
      <c r="K151" s="1152" t="str">
        <f>D151</f>
        <v>Rs/day</v>
      </c>
      <c r="L151" s="1157"/>
      <c r="M151" s="1157"/>
      <c r="N151" s="1157"/>
      <c r="O151" s="1152" t="str">
        <f t="shared" si="20"/>
        <v>Rs/kWh</v>
      </c>
      <c r="P151" s="1157"/>
      <c r="Q151" s="1153"/>
      <c r="R151" s="1158">
        <f>L151-E151</f>
        <v>-4750</v>
      </c>
      <c r="S151" s="1158">
        <f>P151-I151</f>
        <v>0</v>
      </c>
    </row>
    <row r="152" spans="2:19" s="351" customFormat="1">
      <c r="B152" s="1172" t="s">
        <v>1107</v>
      </c>
      <c r="C152" s="1166"/>
      <c r="D152" s="1152" t="s">
        <v>1544</v>
      </c>
      <c r="E152" s="1157">
        <v>560</v>
      </c>
      <c r="F152" s="1157"/>
      <c r="G152" s="1157"/>
      <c r="H152" s="1152" t="s">
        <v>1533</v>
      </c>
      <c r="I152" s="1157">
        <v>0</v>
      </c>
      <c r="J152" s="1153"/>
      <c r="K152" s="1152" t="str">
        <f>D152</f>
        <v>Rs/day</v>
      </c>
      <c r="L152" s="1157"/>
      <c r="M152" s="1157"/>
      <c r="N152" s="1157"/>
      <c r="O152" s="1152" t="str">
        <f t="shared" si="20"/>
        <v>Rs/kWh</v>
      </c>
      <c r="P152" s="1157"/>
      <c r="Q152" s="1153"/>
      <c r="R152" s="1158">
        <f>L152-E152</f>
        <v>-560</v>
      </c>
      <c r="S152" s="1158">
        <f>P152-I152</f>
        <v>0</v>
      </c>
    </row>
    <row r="153" spans="2:19" s="351" customFormat="1">
      <c r="B153" s="1154" t="s">
        <v>1425</v>
      </c>
      <c r="C153" s="1154"/>
      <c r="D153" s="1154"/>
      <c r="E153" s="1159"/>
      <c r="F153" s="1159"/>
      <c r="G153" s="1159"/>
      <c r="H153" s="1155"/>
      <c r="I153" s="1159"/>
      <c r="J153" s="1153"/>
      <c r="K153" s="1154"/>
      <c r="L153" s="1159"/>
      <c r="M153" s="1159"/>
      <c r="N153" s="1159"/>
      <c r="O153" s="1155"/>
      <c r="P153" s="1159"/>
      <c r="Q153" s="1153"/>
      <c r="R153" s="1159"/>
      <c r="S153" s="1159"/>
    </row>
    <row r="154" spans="2:19" s="351" customFormat="1">
      <c r="B154" s="1173"/>
      <c r="C154" s="1167"/>
      <c r="D154" s="1152"/>
      <c r="E154" s="1157"/>
      <c r="F154" s="1157"/>
      <c r="G154" s="1157"/>
      <c r="H154" s="1152"/>
      <c r="I154" s="1157"/>
      <c r="J154" s="1153"/>
      <c r="K154" s="1152"/>
      <c r="L154" s="1157"/>
      <c r="M154" s="1157"/>
      <c r="N154" s="1157"/>
      <c r="O154" s="1152"/>
      <c r="P154" s="1157"/>
      <c r="Q154" s="1153"/>
      <c r="R154" s="1157"/>
      <c r="S154" s="1157"/>
    </row>
    <row r="155" spans="2:19" s="351" customFormat="1">
      <c r="B155" s="1172" t="s">
        <v>1109</v>
      </c>
      <c r="C155" s="1166"/>
      <c r="D155" s="1155"/>
      <c r="E155" s="1157"/>
      <c r="F155" s="1157"/>
      <c r="G155" s="1157"/>
      <c r="H155" s="1152"/>
      <c r="I155" s="1157"/>
      <c r="J155" s="1153"/>
      <c r="K155" s="1155"/>
      <c r="L155" s="1157"/>
      <c r="M155" s="1157"/>
      <c r="N155" s="1157"/>
      <c r="O155" s="1152"/>
      <c r="P155" s="1157"/>
      <c r="Q155" s="1153"/>
      <c r="R155" s="1157"/>
      <c r="S155" s="1157"/>
    </row>
    <row r="156" spans="2:19" s="351" customFormat="1">
      <c r="B156" s="1154" t="s">
        <v>1109</v>
      </c>
      <c r="C156" s="1154"/>
      <c r="D156" s="1156" t="str">
        <f>D9</f>
        <v>Rs./kW/month</v>
      </c>
      <c r="E156" s="1157">
        <f>E19</f>
        <v>110</v>
      </c>
      <c r="F156" s="1157"/>
      <c r="G156" s="1157"/>
      <c r="H156" s="1152" t="str">
        <f>H9</f>
        <v>Rs/kWh</v>
      </c>
      <c r="I156" s="1157">
        <f>AVERAGE(I19:I22)</f>
        <v>6.25</v>
      </c>
      <c r="J156" s="1153"/>
      <c r="K156" s="1154" t="str">
        <f>D156</f>
        <v>Rs./kW/month</v>
      </c>
      <c r="L156" s="1159"/>
      <c r="M156" s="1159"/>
      <c r="N156" s="1159"/>
      <c r="O156" s="1155" t="str">
        <f t="shared" si="20"/>
        <v>Rs/kWh</v>
      </c>
      <c r="P156" s="1159"/>
      <c r="Q156" s="1153"/>
      <c r="R156" s="1158">
        <f>L156-E156</f>
        <v>-110</v>
      </c>
      <c r="S156" s="1158">
        <f>P156-I156</f>
        <v>-6.25</v>
      </c>
    </row>
    <row r="157" spans="2:19" s="351" customFormat="1">
      <c r="B157" s="1173"/>
      <c r="C157" s="1167"/>
      <c r="D157" s="1152"/>
      <c r="E157" s="1157"/>
      <c r="F157" s="1157"/>
      <c r="G157" s="1157"/>
      <c r="H157" s="1152"/>
      <c r="I157" s="1157"/>
      <c r="J157" s="1153"/>
      <c r="K157" s="1152"/>
      <c r="L157" s="1157"/>
      <c r="M157" s="1157"/>
      <c r="N157" s="1157"/>
      <c r="O157" s="1152"/>
      <c r="P157" s="1157"/>
      <c r="Q157" s="1153"/>
      <c r="R157" s="1157"/>
      <c r="S157" s="1157"/>
    </row>
    <row r="158" spans="2:19" s="351" customFormat="1">
      <c r="B158" s="1172" t="s">
        <v>1407</v>
      </c>
      <c r="C158" s="1166"/>
      <c r="D158" s="1155"/>
      <c r="E158" s="1157"/>
      <c r="F158" s="1157"/>
      <c r="G158" s="1157"/>
      <c r="H158" s="1152"/>
      <c r="I158" s="1157"/>
      <c r="J158" s="1153"/>
      <c r="K158" s="1155"/>
      <c r="L158" s="1157"/>
      <c r="M158" s="1157"/>
      <c r="N158" s="1157"/>
      <c r="O158" s="1152"/>
      <c r="P158" s="1157"/>
      <c r="Q158" s="1153"/>
      <c r="R158" s="1157"/>
      <c r="S158" s="1157"/>
    </row>
    <row r="159" spans="2:19" s="351" customFormat="1">
      <c r="B159" s="1172" t="s">
        <v>1146</v>
      </c>
      <c r="C159" s="1166"/>
      <c r="D159" s="1155"/>
      <c r="E159" s="1159"/>
      <c r="F159" s="1159"/>
      <c r="G159" s="1159"/>
      <c r="H159" s="1155"/>
      <c r="I159" s="1159"/>
      <c r="J159" s="1153"/>
      <c r="K159" s="1155"/>
      <c r="L159" s="1159"/>
      <c r="M159" s="1159"/>
      <c r="N159" s="1159"/>
      <c r="O159" s="1155"/>
      <c r="P159" s="1159"/>
      <c r="Q159" s="1153"/>
      <c r="R159" s="1159"/>
      <c r="S159" s="1159"/>
    </row>
    <row r="160" spans="2:19" s="351" customFormat="1">
      <c r="B160" s="1173" t="s">
        <v>1408</v>
      </c>
      <c r="C160" s="1167"/>
      <c r="D160" s="1152" t="s">
        <v>1532</v>
      </c>
      <c r="E160" s="1157">
        <v>0</v>
      </c>
      <c r="F160" s="1157"/>
      <c r="G160" s="1157"/>
      <c r="H160" s="1152" t="s">
        <v>1533</v>
      </c>
      <c r="I160" s="1157">
        <v>6.2</v>
      </c>
      <c r="J160" s="1153"/>
      <c r="K160" s="1152" t="str">
        <f>D160</f>
        <v>Rs./kW/month</v>
      </c>
      <c r="L160" s="1157"/>
      <c r="M160" s="1157"/>
      <c r="N160" s="1157"/>
      <c r="O160" s="1152" t="str">
        <f t="shared" si="20"/>
        <v>Rs/kWh</v>
      </c>
      <c r="P160" s="1157"/>
      <c r="Q160" s="1153"/>
      <c r="R160" s="1158">
        <f>L160-E160</f>
        <v>0</v>
      </c>
      <c r="S160" s="1158">
        <f>P160-I160</f>
        <v>-6.2</v>
      </c>
    </row>
    <row r="161" spans="2:19" s="351" customFormat="1">
      <c r="B161" s="1173" t="s">
        <v>1409</v>
      </c>
      <c r="C161" s="1167"/>
      <c r="D161" s="1152" t="s">
        <v>1532</v>
      </c>
      <c r="E161" s="1157">
        <v>0</v>
      </c>
      <c r="F161" s="1157"/>
      <c r="G161" s="1157"/>
      <c r="H161" s="1152" t="s">
        <v>1533</v>
      </c>
      <c r="I161" s="1157">
        <v>5.9</v>
      </c>
      <c r="J161" s="1153"/>
      <c r="K161" s="1152" t="str">
        <f>D161</f>
        <v>Rs./kW/month</v>
      </c>
      <c r="L161" s="1157"/>
      <c r="M161" s="1157"/>
      <c r="N161" s="1157"/>
      <c r="O161" s="1152" t="str">
        <f t="shared" si="20"/>
        <v>Rs/kWh</v>
      </c>
      <c r="P161" s="1157"/>
      <c r="Q161" s="1153"/>
      <c r="R161" s="1158">
        <f>L161-E161</f>
        <v>0</v>
      </c>
      <c r="S161" s="1158">
        <f>P161-I161</f>
        <v>-5.9</v>
      </c>
    </row>
    <row r="162" spans="2:19" s="351" customFormat="1">
      <c r="B162" s="1172" t="s">
        <v>1410</v>
      </c>
      <c r="C162" s="1166"/>
      <c r="D162" s="1155"/>
      <c r="E162" s="1159"/>
      <c r="F162" s="1159"/>
      <c r="G162" s="1159"/>
      <c r="H162" s="1155"/>
      <c r="I162" s="1159"/>
      <c r="J162" s="1153"/>
      <c r="K162" s="1155"/>
      <c r="L162" s="1159"/>
      <c r="M162" s="1159"/>
      <c r="N162" s="1159"/>
      <c r="O162" s="1155"/>
      <c r="P162" s="1159"/>
      <c r="Q162" s="1153"/>
      <c r="R162" s="1158">
        <f>L162-E162</f>
        <v>0</v>
      </c>
      <c r="S162" s="1158">
        <f>P162-I162</f>
        <v>0</v>
      </c>
    </row>
    <row r="163" spans="2:19" s="351" customFormat="1">
      <c r="B163" s="1173" t="s">
        <v>469</v>
      </c>
      <c r="C163" s="1167"/>
      <c r="D163" s="1152" t="s">
        <v>1532</v>
      </c>
      <c r="E163" s="1157">
        <v>0</v>
      </c>
      <c r="F163" s="1157"/>
      <c r="G163" s="1157"/>
      <c r="H163" s="1152" t="s">
        <v>1533</v>
      </c>
      <c r="I163" s="1157">
        <v>7.7</v>
      </c>
      <c r="J163" s="1153"/>
      <c r="K163" s="1152" t="str">
        <f>D163</f>
        <v>Rs./kW/month</v>
      </c>
      <c r="L163" s="1157"/>
      <c r="M163" s="1157"/>
      <c r="N163" s="1157"/>
      <c r="O163" s="1152" t="str">
        <f t="shared" si="20"/>
        <v>Rs/kWh</v>
      </c>
      <c r="P163" s="1157"/>
      <c r="Q163" s="1153"/>
      <c r="R163" s="1158">
        <f>L163-E163</f>
        <v>0</v>
      </c>
      <c r="S163" s="1158">
        <f>P163-I163</f>
        <v>-7.7</v>
      </c>
    </row>
    <row r="164" spans="2:19" s="351" customFormat="1">
      <c r="B164" s="1173" t="s">
        <v>470</v>
      </c>
      <c r="C164" s="1167"/>
      <c r="D164" s="1152" t="s">
        <v>1532</v>
      </c>
      <c r="E164" s="1157">
        <v>0</v>
      </c>
      <c r="F164" s="1157"/>
      <c r="G164" s="1157"/>
      <c r="H164" s="1152" t="s">
        <v>1533</v>
      </c>
      <c r="I164" s="1157">
        <v>7.3</v>
      </c>
      <c r="J164" s="1153"/>
      <c r="K164" s="1152" t="str">
        <f>D164</f>
        <v>Rs./kW/month</v>
      </c>
      <c r="L164" s="1157"/>
      <c r="M164" s="1157"/>
      <c r="N164" s="1157"/>
      <c r="O164" s="1152" t="str">
        <f t="shared" si="20"/>
        <v>Rs/kWh</v>
      </c>
      <c r="P164" s="1157"/>
      <c r="Q164" s="1153"/>
      <c r="R164" s="1158">
        <f>L164-E164</f>
        <v>0</v>
      </c>
      <c r="S164" s="1158">
        <f>P164-I164</f>
        <v>-7.3</v>
      </c>
    </row>
    <row r="165" spans="2:19" s="351" customFormat="1">
      <c r="B165" s="1154" t="s">
        <v>1425</v>
      </c>
      <c r="C165" s="1154"/>
      <c r="D165" s="1154"/>
      <c r="E165" s="1159"/>
      <c r="F165" s="1159"/>
      <c r="G165" s="1159"/>
      <c r="H165" s="1155"/>
      <c r="I165" s="1159"/>
      <c r="J165" s="1153"/>
      <c r="K165" s="1154"/>
      <c r="L165" s="1159"/>
      <c r="M165" s="1159"/>
      <c r="N165" s="1159"/>
      <c r="O165" s="1155"/>
      <c r="P165" s="1159"/>
      <c r="Q165" s="1153"/>
      <c r="R165" s="1159"/>
      <c r="S165" s="1159"/>
    </row>
    <row r="166" spans="2:19" s="351" customFormat="1">
      <c r="B166" s="1173"/>
      <c r="C166" s="1167"/>
      <c r="D166" s="1152"/>
      <c r="E166" s="1157"/>
      <c r="F166" s="1157"/>
      <c r="G166" s="1157"/>
      <c r="H166" s="1152"/>
      <c r="I166" s="1157"/>
      <c r="J166" s="1153"/>
      <c r="K166" s="1152"/>
      <c r="L166" s="1157"/>
      <c r="M166" s="1157"/>
      <c r="N166" s="1157"/>
      <c r="O166" s="1152"/>
      <c r="P166" s="1157"/>
      <c r="Q166" s="1153"/>
      <c r="R166" s="1157"/>
      <c r="S166" s="1157"/>
    </row>
    <row r="167" spans="2:19" s="351" customFormat="1">
      <c r="B167" s="1172" t="s">
        <v>1119</v>
      </c>
      <c r="C167" s="1166"/>
      <c r="D167" s="1155"/>
      <c r="E167" s="1157"/>
      <c r="F167" s="1157"/>
      <c r="G167" s="1157"/>
      <c r="H167" s="1152"/>
      <c r="I167" s="1157"/>
      <c r="J167" s="1153"/>
      <c r="K167" s="1155"/>
      <c r="L167" s="1157"/>
      <c r="M167" s="1157"/>
      <c r="N167" s="1157"/>
      <c r="O167" s="1152"/>
      <c r="P167" s="1157"/>
      <c r="Q167" s="1153"/>
      <c r="R167" s="1157"/>
      <c r="S167" s="1157"/>
    </row>
    <row r="168" spans="2:19" s="351" customFormat="1" ht="28">
      <c r="B168" s="1172" t="s">
        <v>1545</v>
      </c>
      <c r="C168" s="1167"/>
      <c r="D168" s="1152"/>
      <c r="E168" s="1159"/>
      <c r="F168" s="1159"/>
      <c r="G168" s="1159"/>
      <c r="H168" s="1155"/>
      <c r="I168" s="1159"/>
      <c r="J168" s="1153"/>
      <c r="K168" s="1152"/>
      <c r="L168" s="1159"/>
      <c r="M168" s="1159"/>
      <c r="N168" s="1159"/>
      <c r="O168" s="1155"/>
      <c r="P168" s="1159"/>
      <c r="Q168" s="1153"/>
      <c r="R168" s="1159"/>
      <c r="S168" s="1159"/>
    </row>
    <row r="169" spans="2:19" s="351" customFormat="1">
      <c r="B169" s="1172" t="s">
        <v>1465</v>
      </c>
      <c r="C169" s="1167"/>
      <c r="D169" s="1152"/>
      <c r="E169" s="1159"/>
      <c r="F169" s="1159"/>
      <c r="G169" s="1159"/>
      <c r="H169" s="1155"/>
      <c r="I169" s="1159"/>
      <c r="J169" s="1153"/>
      <c r="K169" s="1152"/>
      <c r="L169" s="1159"/>
      <c r="M169" s="1159"/>
      <c r="N169" s="1159"/>
      <c r="O169" s="1155"/>
      <c r="P169" s="1159"/>
      <c r="Q169" s="1153"/>
      <c r="R169" s="1159"/>
      <c r="S169" s="1159"/>
    </row>
    <row r="170" spans="2:19" s="351" customFormat="1">
      <c r="B170" s="1173" t="s">
        <v>1546</v>
      </c>
      <c r="C170" s="1167"/>
      <c r="D170" s="1152" t="s">
        <v>1547</v>
      </c>
      <c r="E170" s="1157">
        <v>430</v>
      </c>
      <c r="F170" s="1157"/>
      <c r="G170" s="1157"/>
      <c r="H170" s="1152" t="s">
        <v>1548</v>
      </c>
      <c r="I170" s="1157">
        <v>8.32</v>
      </c>
      <c r="J170" s="1153"/>
      <c r="K170" s="1152" t="str">
        <f>D170</f>
        <v>Rs./kVA/month</v>
      </c>
      <c r="L170" s="1157"/>
      <c r="M170" s="1157"/>
      <c r="N170" s="1157"/>
      <c r="O170" s="1152" t="str">
        <f t="shared" si="20"/>
        <v>Rs/kVAh</v>
      </c>
      <c r="P170" s="1157"/>
      <c r="Q170" s="1153"/>
      <c r="R170" s="1158">
        <f>L170-E170</f>
        <v>-430</v>
      </c>
      <c r="S170" s="1158">
        <f>P170-I170</f>
        <v>-8.32</v>
      </c>
    </row>
    <row r="171" spans="2:19" s="351" customFormat="1">
      <c r="B171" s="1173" t="s">
        <v>1549</v>
      </c>
      <c r="C171" s="1167"/>
      <c r="D171" s="1152" t="s">
        <v>1547</v>
      </c>
      <c r="E171" s="1157">
        <f>E170</f>
        <v>430</v>
      </c>
      <c r="F171" s="1157"/>
      <c r="G171" s="1157"/>
      <c r="H171" s="1152" t="s">
        <v>1548</v>
      </c>
      <c r="I171" s="1157">
        <v>8.68</v>
      </c>
      <c r="J171" s="1153"/>
      <c r="K171" s="1152" t="str">
        <f>D171</f>
        <v>Rs./kVA/month</v>
      </c>
      <c r="L171" s="1157"/>
      <c r="M171" s="1157"/>
      <c r="N171" s="1157"/>
      <c r="O171" s="1152" t="str">
        <f t="shared" si="20"/>
        <v>Rs/kVAh</v>
      </c>
      <c r="P171" s="1157"/>
      <c r="Q171" s="1153"/>
      <c r="R171" s="1158">
        <f>L171-E171</f>
        <v>-430</v>
      </c>
      <c r="S171" s="1158">
        <f>P171-I171</f>
        <v>-8.68</v>
      </c>
    </row>
    <row r="172" spans="2:19" s="351" customFormat="1">
      <c r="B172" s="1172" t="s">
        <v>1550</v>
      </c>
      <c r="C172" s="1166"/>
      <c r="D172" s="1155"/>
      <c r="E172" s="1159"/>
      <c r="F172" s="1159"/>
      <c r="G172" s="1159"/>
      <c r="H172" s="1155"/>
      <c r="I172" s="1159"/>
      <c r="J172" s="1161"/>
      <c r="K172" s="1155"/>
      <c r="L172" s="1159"/>
      <c r="M172" s="1159"/>
      <c r="N172" s="1159"/>
      <c r="O172" s="1155"/>
      <c r="P172" s="1159"/>
      <c r="Q172" s="1161"/>
      <c r="R172" s="1159"/>
      <c r="S172" s="1159"/>
    </row>
    <row r="173" spans="2:19" s="351" customFormat="1">
      <c r="B173" s="1173" t="s">
        <v>1551</v>
      </c>
      <c r="C173" s="1167"/>
      <c r="D173" s="1152" t="s">
        <v>1547</v>
      </c>
      <c r="E173" s="1157">
        <v>400</v>
      </c>
      <c r="F173" s="1157"/>
      <c r="G173" s="1157"/>
      <c r="H173" s="1152" t="s">
        <v>1548</v>
      </c>
      <c r="I173" s="1157">
        <v>8.1199999999999992</v>
      </c>
      <c r="J173" s="1153"/>
      <c r="K173" s="1152" t="str">
        <f>D173</f>
        <v>Rs./kVA/month</v>
      </c>
      <c r="L173" s="1157"/>
      <c r="M173" s="1157"/>
      <c r="N173" s="1157"/>
      <c r="O173" s="1152" t="str">
        <f t="shared" si="20"/>
        <v>Rs/kVAh</v>
      </c>
      <c r="P173" s="1157"/>
      <c r="Q173" s="1153"/>
      <c r="R173" s="1158">
        <f>L173-E173</f>
        <v>-400</v>
      </c>
      <c r="S173" s="1158">
        <f>P173-I173</f>
        <v>-8.1199999999999992</v>
      </c>
    </row>
    <row r="174" spans="2:19" s="351" customFormat="1">
      <c r="B174" s="1173" t="s">
        <v>1552</v>
      </c>
      <c r="C174" s="1167"/>
      <c r="D174" s="1152" t="s">
        <v>1547</v>
      </c>
      <c r="E174" s="1157">
        <f>E173</f>
        <v>400</v>
      </c>
      <c r="F174" s="1157"/>
      <c r="G174" s="1157"/>
      <c r="H174" s="1152" t="s">
        <v>1548</v>
      </c>
      <c r="I174" s="1157">
        <v>8.48</v>
      </c>
      <c r="J174" s="1153"/>
      <c r="K174" s="1152" t="str">
        <f>D174</f>
        <v>Rs./kVA/month</v>
      </c>
      <c r="L174" s="1157"/>
      <c r="M174" s="1157"/>
      <c r="N174" s="1157"/>
      <c r="O174" s="1152" t="str">
        <f t="shared" si="20"/>
        <v>Rs/kVAh</v>
      </c>
      <c r="P174" s="1157"/>
      <c r="Q174" s="1153"/>
      <c r="R174" s="1158">
        <f>L174-E174</f>
        <v>-400</v>
      </c>
      <c r="S174" s="1158">
        <f>P174-I174</f>
        <v>-8.48</v>
      </c>
    </row>
    <row r="175" spans="2:19" s="351" customFormat="1" ht="42">
      <c r="B175" s="1172" t="s">
        <v>1553</v>
      </c>
      <c r="C175" s="1167"/>
      <c r="D175" s="1152"/>
      <c r="E175" s="1159"/>
      <c r="F175" s="1159"/>
      <c r="G175" s="1159"/>
      <c r="H175" s="1155"/>
      <c r="I175" s="1159"/>
      <c r="J175" s="1153"/>
      <c r="K175" s="1152"/>
      <c r="L175" s="1159"/>
      <c r="M175" s="1159"/>
      <c r="N175" s="1159"/>
      <c r="O175" s="1155"/>
      <c r="P175" s="1159"/>
      <c r="Q175" s="1153"/>
      <c r="R175" s="1159"/>
      <c r="S175" s="1159"/>
    </row>
    <row r="176" spans="2:19" s="351" customFormat="1">
      <c r="B176" s="1172" t="s">
        <v>1465</v>
      </c>
      <c r="C176" s="1167"/>
      <c r="D176" s="1152"/>
      <c r="E176" s="1159"/>
      <c r="F176" s="1159"/>
      <c r="G176" s="1159"/>
      <c r="H176" s="1155"/>
      <c r="I176" s="1159"/>
      <c r="J176" s="1153"/>
      <c r="K176" s="1152"/>
      <c r="L176" s="1159"/>
      <c r="M176" s="1159"/>
      <c r="N176" s="1159"/>
      <c r="O176" s="1155"/>
      <c r="P176" s="1159"/>
      <c r="Q176" s="1153"/>
      <c r="R176" s="1159"/>
      <c r="S176" s="1159"/>
    </row>
    <row r="177" spans="2:19" s="351" customFormat="1">
      <c r="B177" s="1173" t="s">
        <v>1546</v>
      </c>
      <c r="C177" s="1167"/>
      <c r="D177" s="1152" t="s">
        <v>1547</v>
      </c>
      <c r="E177" s="1157">
        <v>380</v>
      </c>
      <c r="F177" s="1157"/>
      <c r="G177" s="1157"/>
      <c r="H177" s="1152" t="s">
        <v>1548</v>
      </c>
      <c r="I177" s="1157">
        <v>7.7</v>
      </c>
      <c r="J177" s="1153"/>
      <c r="K177" s="1152" t="str">
        <f>D177</f>
        <v>Rs./kVA/month</v>
      </c>
      <c r="L177" s="1157"/>
      <c r="M177" s="1157"/>
      <c r="N177" s="1157"/>
      <c r="O177" s="1152" t="str">
        <f t="shared" si="20"/>
        <v>Rs/kVAh</v>
      </c>
      <c r="P177" s="1157"/>
      <c r="Q177" s="1153"/>
      <c r="R177" s="1158">
        <f>L177-E177</f>
        <v>-380</v>
      </c>
      <c r="S177" s="1158">
        <f>P177-I177</f>
        <v>-7.7</v>
      </c>
    </row>
    <row r="178" spans="2:19" s="351" customFormat="1">
      <c r="B178" s="1173" t="s">
        <v>1549</v>
      </c>
      <c r="C178" s="1167"/>
      <c r="D178" s="1152" t="s">
        <v>1547</v>
      </c>
      <c r="E178" s="1157">
        <f>E177</f>
        <v>380</v>
      </c>
      <c r="F178" s="1157"/>
      <c r="G178" s="1157"/>
      <c r="H178" s="1152" t="s">
        <v>1548</v>
      </c>
      <c r="I178" s="1157">
        <v>7.9</v>
      </c>
      <c r="J178" s="1153"/>
      <c r="K178" s="1152" t="str">
        <f>D178</f>
        <v>Rs./kVA/month</v>
      </c>
      <c r="L178" s="1157"/>
      <c r="M178" s="1157"/>
      <c r="N178" s="1157"/>
      <c r="O178" s="1152" t="str">
        <f t="shared" si="20"/>
        <v>Rs/kVAh</v>
      </c>
      <c r="P178" s="1157"/>
      <c r="Q178" s="1153"/>
      <c r="R178" s="1158">
        <f>L178-E178</f>
        <v>-380</v>
      </c>
      <c r="S178" s="1158">
        <f>P178-I178</f>
        <v>-7.9</v>
      </c>
    </row>
    <row r="179" spans="2:19" s="351" customFormat="1">
      <c r="B179" s="1172" t="s">
        <v>1550</v>
      </c>
      <c r="C179" s="1166"/>
      <c r="D179" s="1155"/>
      <c r="E179" s="1159"/>
      <c r="F179" s="1159"/>
      <c r="G179" s="1159"/>
      <c r="H179" s="1155"/>
      <c r="I179" s="1159"/>
      <c r="J179" s="1161"/>
      <c r="K179" s="1155"/>
      <c r="L179" s="1159"/>
      <c r="M179" s="1159"/>
      <c r="N179" s="1159"/>
      <c r="O179" s="1155"/>
      <c r="P179" s="1159"/>
      <c r="Q179" s="1161"/>
      <c r="R179" s="1159"/>
      <c r="S179" s="1159"/>
    </row>
    <row r="180" spans="2:19" s="351" customFormat="1">
      <c r="B180" s="1173" t="s">
        <v>1551</v>
      </c>
      <c r="C180" s="1167"/>
      <c r="D180" s="1152" t="s">
        <v>1547</v>
      </c>
      <c r="E180" s="1157">
        <v>360</v>
      </c>
      <c r="F180" s="1157"/>
      <c r="G180" s="1157"/>
      <c r="H180" s="1152" t="s">
        <v>1548</v>
      </c>
      <c r="I180" s="1157">
        <v>7.5</v>
      </c>
      <c r="J180" s="1153"/>
      <c r="K180" s="1152" t="str">
        <f>D180</f>
        <v>Rs./kVA/month</v>
      </c>
      <c r="L180" s="1157"/>
      <c r="M180" s="1157"/>
      <c r="N180" s="1157"/>
      <c r="O180" s="1152" t="str">
        <f t="shared" si="20"/>
        <v>Rs/kVAh</v>
      </c>
      <c r="P180" s="1157"/>
      <c r="Q180" s="1153"/>
      <c r="R180" s="1158">
        <f>L180-E180</f>
        <v>-360</v>
      </c>
      <c r="S180" s="1158">
        <f>P180-I180</f>
        <v>-7.5</v>
      </c>
    </row>
    <row r="181" spans="2:19" s="351" customFormat="1">
      <c r="B181" s="1173" t="s">
        <v>1552</v>
      </c>
      <c r="C181" s="1167"/>
      <c r="D181" s="1152" t="s">
        <v>1547</v>
      </c>
      <c r="E181" s="1157">
        <f>E180</f>
        <v>360</v>
      </c>
      <c r="F181" s="1157"/>
      <c r="G181" s="1157"/>
      <c r="H181" s="1152" t="s">
        <v>1548</v>
      </c>
      <c r="I181" s="1157">
        <v>7.7</v>
      </c>
      <c r="J181" s="1153"/>
      <c r="K181" s="1152" t="str">
        <f>D181</f>
        <v>Rs./kVA/month</v>
      </c>
      <c r="L181" s="1157"/>
      <c r="M181" s="1157"/>
      <c r="N181" s="1157"/>
      <c r="O181" s="1152" t="str">
        <f t="shared" si="20"/>
        <v>Rs/kVAh</v>
      </c>
      <c r="P181" s="1157"/>
      <c r="Q181" s="1153"/>
      <c r="R181" s="1158">
        <f>L181-E181</f>
        <v>-360</v>
      </c>
      <c r="S181" s="1158">
        <f>P181-I181</f>
        <v>-7.7</v>
      </c>
    </row>
    <row r="182" spans="2:19" s="351" customFormat="1">
      <c r="B182" s="1154" t="s">
        <v>1425</v>
      </c>
      <c r="C182" s="1167"/>
      <c r="D182" s="1152"/>
      <c r="E182" s="1159"/>
      <c r="F182" s="1159"/>
      <c r="G182" s="1159"/>
      <c r="H182" s="1155"/>
      <c r="I182" s="1159"/>
      <c r="J182" s="1153"/>
      <c r="K182" s="1152"/>
      <c r="L182" s="1159"/>
      <c r="M182" s="1159"/>
      <c r="N182" s="1159"/>
      <c r="O182" s="1155"/>
      <c r="P182" s="1159"/>
      <c r="Q182" s="1153"/>
      <c r="R182" s="1159"/>
      <c r="S182" s="1159"/>
    </row>
    <row r="183" spans="2:19" s="351" customFormat="1">
      <c r="B183" s="1173"/>
      <c r="C183" s="1167"/>
      <c r="D183" s="1152"/>
      <c r="E183" s="1157"/>
      <c r="F183" s="1157"/>
      <c r="G183" s="1157"/>
      <c r="H183" s="1152"/>
      <c r="I183" s="1157"/>
      <c r="J183" s="1153"/>
      <c r="K183" s="1152"/>
      <c r="L183" s="1157"/>
      <c r="M183" s="1157"/>
      <c r="N183" s="1157"/>
      <c r="O183" s="1152"/>
      <c r="P183" s="1157"/>
      <c r="Q183" s="1153"/>
      <c r="R183" s="1157"/>
      <c r="S183" s="1157"/>
    </row>
    <row r="184" spans="2:19" s="351" customFormat="1">
      <c r="B184" s="1172" t="s">
        <v>1125</v>
      </c>
      <c r="C184" s="1166"/>
      <c r="D184" s="1155"/>
      <c r="E184" s="1157"/>
      <c r="F184" s="1157"/>
      <c r="G184" s="1157"/>
      <c r="H184" s="1152"/>
      <c r="I184" s="1157"/>
      <c r="J184" s="1153"/>
      <c r="K184" s="1155"/>
      <c r="L184" s="1157"/>
      <c r="M184" s="1157"/>
      <c r="N184" s="1157"/>
      <c r="O184" s="1152"/>
      <c r="P184" s="1157"/>
      <c r="Q184" s="1153"/>
      <c r="R184" s="1157"/>
      <c r="S184" s="1157"/>
    </row>
    <row r="185" spans="2:19" s="351" customFormat="1">
      <c r="B185" s="1172" t="s">
        <v>1126</v>
      </c>
      <c r="C185" s="1166"/>
      <c r="D185" s="1152" t="s">
        <v>1547</v>
      </c>
      <c r="E185" s="1157">
        <v>300</v>
      </c>
      <c r="F185" s="1157"/>
      <c r="G185" s="1157"/>
      <c r="H185" s="1152" t="s">
        <v>1548</v>
      </c>
      <c r="I185" s="1157">
        <v>7.1</v>
      </c>
      <c r="J185" s="1153"/>
      <c r="K185" s="1155" t="str">
        <f t="shared" ref="K185:K188" si="21">D185</f>
        <v>Rs./kVA/month</v>
      </c>
      <c r="L185" s="1157"/>
      <c r="M185" s="1157"/>
      <c r="N185" s="1157"/>
      <c r="O185" s="1152" t="str">
        <f t="shared" si="20"/>
        <v>Rs/kVAh</v>
      </c>
      <c r="P185" s="1157"/>
      <c r="Q185" s="1153"/>
      <c r="R185" s="1158">
        <f>L185-E185</f>
        <v>-300</v>
      </c>
      <c r="S185" s="1158">
        <f>P185-I185</f>
        <v>-7.1</v>
      </c>
    </row>
    <row r="186" spans="2:19" s="351" customFormat="1">
      <c r="B186" s="1172" t="s">
        <v>1127</v>
      </c>
      <c r="C186" s="1166"/>
      <c r="D186" s="1152" t="str">
        <f>D185</f>
        <v>Rs./kVA/month</v>
      </c>
      <c r="E186" s="1157">
        <v>290</v>
      </c>
      <c r="F186" s="1157"/>
      <c r="G186" s="1157"/>
      <c r="H186" s="1152" t="str">
        <f>H185</f>
        <v>Rs/kVAh</v>
      </c>
      <c r="I186" s="1157">
        <v>6.8</v>
      </c>
      <c r="J186" s="1153"/>
      <c r="K186" s="1155" t="str">
        <f t="shared" si="21"/>
        <v>Rs./kVA/month</v>
      </c>
      <c r="L186" s="1157"/>
      <c r="M186" s="1157"/>
      <c r="N186" s="1157"/>
      <c r="O186" s="1152" t="str">
        <f t="shared" si="20"/>
        <v>Rs/kVAh</v>
      </c>
      <c r="P186" s="1157"/>
      <c r="Q186" s="1153"/>
      <c r="R186" s="1158">
        <f>L186-E186</f>
        <v>-290</v>
      </c>
      <c r="S186" s="1158">
        <f>P186-I186</f>
        <v>-6.8</v>
      </c>
    </row>
    <row r="187" spans="2:19" s="351" customFormat="1">
      <c r="B187" s="1172" t="s">
        <v>1128</v>
      </c>
      <c r="C187" s="1166"/>
      <c r="D187" s="1152" t="str">
        <f>D186</f>
        <v>Rs./kVA/month</v>
      </c>
      <c r="E187" s="1157">
        <v>270</v>
      </c>
      <c r="F187" s="1157"/>
      <c r="G187" s="1157"/>
      <c r="H187" s="1152" t="str">
        <f>H186</f>
        <v>Rs/kVAh</v>
      </c>
      <c r="I187" s="1157">
        <v>6.4</v>
      </c>
      <c r="J187" s="1153"/>
      <c r="K187" s="1155" t="str">
        <f t="shared" si="21"/>
        <v>Rs./kVA/month</v>
      </c>
      <c r="L187" s="1157"/>
      <c r="M187" s="1157"/>
      <c r="N187" s="1157"/>
      <c r="O187" s="1152" t="str">
        <f t="shared" si="20"/>
        <v>Rs/kVAh</v>
      </c>
      <c r="P187" s="1157"/>
      <c r="Q187" s="1153"/>
      <c r="R187" s="1158">
        <f>L187-E187</f>
        <v>-270</v>
      </c>
      <c r="S187" s="1158">
        <f>P187-I187</f>
        <v>-6.4</v>
      </c>
    </row>
    <row r="188" spans="2:19" s="351" customFormat="1">
      <c r="B188" s="1172" t="s">
        <v>1129</v>
      </c>
      <c r="C188" s="1166"/>
      <c r="D188" s="1152" t="str">
        <f>D187</f>
        <v>Rs./kVA/month</v>
      </c>
      <c r="E188" s="1157">
        <v>270</v>
      </c>
      <c r="F188" s="1157"/>
      <c r="G188" s="1157"/>
      <c r="H188" s="1152" t="str">
        <f>H187</f>
        <v>Rs/kVAh</v>
      </c>
      <c r="I188" s="1157">
        <v>6.1</v>
      </c>
      <c r="J188" s="1153"/>
      <c r="K188" s="1155" t="str">
        <f t="shared" si="21"/>
        <v>Rs./kVA/month</v>
      </c>
      <c r="L188" s="1157"/>
      <c r="M188" s="1157"/>
      <c r="N188" s="1157"/>
      <c r="O188" s="1152" t="str">
        <f t="shared" si="20"/>
        <v>Rs/kVAh</v>
      </c>
      <c r="P188" s="1157"/>
      <c r="Q188" s="1153"/>
      <c r="R188" s="1158">
        <f>L188-E188</f>
        <v>-270</v>
      </c>
      <c r="S188" s="1158">
        <f>P188-I188</f>
        <v>-6.1</v>
      </c>
    </row>
    <row r="189" spans="2:19" s="351" customFormat="1">
      <c r="B189" s="1172" t="s">
        <v>1013</v>
      </c>
      <c r="C189" s="1166"/>
      <c r="D189" s="1155"/>
      <c r="E189" s="1159"/>
      <c r="F189" s="1159"/>
      <c r="G189" s="1159"/>
      <c r="H189" s="1155"/>
      <c r="I189" s="1159"/>
      <c r="J189" s="1153"/>
      <c r="K189" s="1155"/>
      <c r="L189" s="1159"/>
      <c r="M189" s="1159"/>
      <c r="N189" s="1159"/>
      <c r="O189" s="1155"/>
      <c r="P189" s="1159"/>
      <c r="Q189" s="1153"/>
      <c r="R189" s="1159"/>
      <c r="S189" s="1159"/>
    </row>
    <row r="190" spans="2:19" s="351" customFormat="1">
      <c r="B190" s="1172" t="s">
        <v>1126</v>
      </c>
      <c r="C190" s="1168"/>
      <c r="D190" s="1152"/>
      <c r="E190" s="1157"/>
      <c r="F190" s="1157"/>
      <c r="G190" s="1157"/>
      <c r="H190" s="1152"/>
      <c r="I190" s="1157"/>
      <c r="J190" s="1153"/>
      <c r="K190" s="1152"/>
      <c r="L190" s="1157"/>
      <c r="M190" s="1157"/>
      <c r="N190" s="1157"/>
      <c r="O190" s="1152"/>
      <c r="P190" s="1159"/>
      <c r="Q190" s="1153"/>
      <c r="R190" s="1157"/>
      <c r="S190" s="1159"/>
    </row>
    <row r="191" spans="2:19" s="351" customFormat="1">
      <c r="B191" s="1173" t="s">
        <v>1430</v>
      </c>
      <c r="C191" s="1162">
        <f>-15%</f>
        <v>-0.15</v>
      </c>
      <c r="D191" s="1152" t="str">
        <f>D185</f>
        <v>Rs./kVA/month</v>
      </c>
      <c r="E191" s="1157">
        <f>$E$183</f>
        <v>0</v>
      </c>
      <c r="F191" s="1157"/>
      <c r="G191" s="1157"/>
      <c r="H191" s="1152" t="str">
        <f>H185</f>
        <v>Rs/kVAh</v>
      </c>
      <c r="I191" s="1157">
        <f>$I$183*(1+C191)</f>
        <v>0</v>
      </c>
      <c r="J191" s="1153"/>
      <c r="K191" s="1152" t="str">
        <f t="shared" ref="K191:K194" si="22">D191</f>
        <v>Rs./kVA/month</v>
      </c>
      <c r="L191" s="1157"/>
      <c r="M191" s="1157"/>
      <c r="N191" s="1157"/>
      <c r="O191" s="1152" t="str">
        <f t="shared" si="20"/>
        <v>Rs/kVAh</v>
      </c>
      <c r="P191" s="1159"/>
      <c r="Q191" s="1153"/>
      <c r="R191" s="1158">
        <f>L191-E191</f>
        <v>0</v>
      </c>
      <c r="S191" s="1158">
        <f>P191-I191</f>
        <v>0</v>
      </c>
    </row>
    <row r="192" spans="2:19" s="351" customFormat="1">
      <c r="B192" s="1173" t="s">
        <v>1431</v>
      </c>
      <c r="C192" s="1162">
        <f>0%</f>
        <v>0</v>
      </c>
      <c r="D192" s="1152" t="str">
        <f>D186</f>
        <v>Rs./kVA/month</v>
      </c>
      <c r="E192" s="1157">
        <f>$E$183</f>
        <v>0</v>
      </c>
      <c r="F192" s="1157"/>
      <c r="G192" s="1157"/>
      <c r="H192" s="1152" t="str">
        <f>H186</f>
        <v>Rs/kVAh</v>
      </c>
      <c r="I192" s="1157">
        <f>$I$183*(1+C192)</f>
        <v>0</v>
      </c>
      <c r="J192" s="1153"/>
      <c r="K192" s="1152" t="str">
        <f t="shared" si="22"/>
        <v>Rs./kVA/month</v>
      </c>
      <c r="L192" s="1157"/>
      <c r="M192" s="1157"/>
      <c r="N192" s="1157"/>
      <c r="O192" s="1152" t="str">
        <f t="shared" si="20"/>
        <v>Rs/kVAh</v>
      </c>
      <c r="P192" s="1159"/>
      <c r="Q192" s="1153"/>
      <c r="R192" s="1158">
        <f>L192-E192</f>
        <v>0</v>
      </c>
      <c r="S192" s="1158">
        <f>P192-I192</f>
        <v>0</v>
      </c>
    </row>
    <row r="193" spans="2:19" s="351" customFormat="1">
      <c r="B193" s="1173" t="s">
        <v>1432</v>
      </c>
      <c r="C193" s="1162">
        <f>15%</f>
        <v>0.15</v>
      </c>
      <c r="D193" s="1152" t="str">
        <f>D187</f>
        <v>Rs./kVA/month</v>
      </c>
      <c r="E193" s="1157">
        <f>$E$183</f>
        <v>0</v>
      </c>
      <c r="F193" s="1157"/>
      <c r="G193" s="1157"/>
      <c r="H193" s="1152" t="str">
        <f>H187</f>
        <v>Rs/kVAh</v>
      </c>
      <c r="I193" s="1157">
        <f>$I$183*(1+C193)</f>
        <v>0</v>
      </c>
      <c r="J193" s="1153"/>
      <c r="K193" s="1152" t="str">
        <f t="shared" si="22"/>
        <v>Rs./kVA/month</v>
      </c>
      <c r="L193" s="1157"/>
      <c r="M193" s="1157"/>
      <c r="N193" s="1157"/>
      <c r="O193" s="1152" t="str">
        <f t="shared" si="20"/>
        <v>Rs/kVAh</v>
      </c>
      <c r="P193" s="1159"/>
      <c r="Q193" s="1153"/>
      <c r="R193" s="1158">
        <f>L193-E193</f>
        <v>0</v>
      </c>
      <c r="S193" s="1158">
        <f>P193-I193</f>
        <v>0</v>
      </c>
    </row>
    <row r="194" spans="2:19" s="351" customFormat="1">
      <c r="B194" s="1173" t="s">
        <v>1433</v>
      </c>
      <c r="C194" s="1162">
        <f>0%</f>
        <v>0</v>
      </c>
      <c r="D194" s="1152" t="str">
        <f>D188</f>
        <v>Rs./kVA/month</v>
      </c>
      <c r="E194" s="1157">
        <f>$E$183</f>
        <v>0</v>
      </c>
      <c r="F194" s="1157"/>
      <c r="G194" s="1157"/>
      <c r="H194" s="1152" t="str">
        <f>H188</f>
        <v>Rs/kVAh</v>
      </c>
      <c r="I194" s="1157">
        <f>$I$183*(1+C194)</f>
        <v>0</v>
      </c>
      <c r="J194" s="1153"/>
      <c r="K194" s="1152" t="str">
        <f t="shared" si="22"/>
        <v>Rs./kVA/month</v>
      </c>
      <c r="L194" s="1157"/>
      <c r="M194" s="1157"/>
      <c r="N194" s="1157"/>
      <c r="O194" s="1152" t="str">
        <f t="shared" si="20"/>
        <v>Rs/kVAh</v>
      </c>
      <c r="P194" s="1159"/>
      <c r="Q194" s="1153"/>
      <c r="R194" s="1158">
        <f>L194-E194</f>
        <v>0</v>
      </c>
      <c r="S194" s="1158">
        <f>P194-I194</f>
        <v>0</v>
      </c>
    </row>
    <row r="195" spans="2:19" s="351" customFormat="1">
      <c r="B195" s="1172" t="s">
        <v>1127</v>
      </c>
      <c r="C195" s="1168"/>
      <c r="D195" s="1152"/>
      <c r="E195" s="1157"/>
      <c r="F195" s="1157"/>
      <c r="G195" s="1157"/>
      <c r="H195" s="1152"/>
      <c r="I195" s="1157"/>
      <c r="J195" s="1153"/>
      <c r="K195" s="1152"/>
      <c r="L195" s="1157"/>
      <c r="M195" s="1157"/>
      <c r="N195" s="1157"/>
      <c r="O195" s="1152"/>
      <c r="P195" s="1159"/>
      <c r="Q195" s="1153"/>
      <c r="R195" s="1157"/>
      <c r="S195" s="1159"/>
    </row>
    <row r="196" spans="2:19" s="351" customFormat="1">
      <c r="B196" s="1173" t="s">
        <v>1430</v>
      </c>
      <c r="C196" s="1162">
        <f>-15%</f>
        <v>-0.15</v>
      </c>
      <c r="D196" s="1152" t="str">
        <f>D191</f>
        <v>Rs./kVA/month</v>
      </c>
      <c r="E196" s="1157">
        <f>$E$184</f>
        <v>0</v>
      </c>
      <c r="F196" s="1157"/>
      <c r="G196" s="1157"/>
      <c r="H196" s="1152" t="str">
        <f>H191</f>
        <v>Rs/kVAh</v>
      </c>
      <c r="I196" s="1157">
        <f>$I$184*(1+C196)</f>
        <v>0</v>
      </c>
      <c r="J196" s="1153"/>
      <c r="K196" s="1152" t="str">
        <f t="shared" ref="K196:K199" si="23">D196</f>
        <v>Rs./kVA/month</v>
      </c>
      <c r="L196" s="1157"/>
      <c r="M196" s="1157"/>
      <c r="N196" s="1157"/>
      <c r="O196" s="1152" t="str">
        <f t="shared" si="20"/>
        <v>Rs/kVAh</v>
      </c>
      <c r="P196" s="1159"/>
      <c r="Q196" s="1153"/>
      <c r="R196" s="1158">
        <f>L196-E196</f>
        <v>0</v>
      </c>
      <c r="S196" s="1158">
        <f>P196-I196</f>
        <v>0</v>
      </c>
    </row>
    <row r="197" spans="2:19" s="351" customFormat="1">
      <c r="B197" s="1173" t="s">
        <v>1431</v>
      </c>
      <c r="C197" s="1162">
        <f>0%</f>
        <v>0</v>
      </c>
      <c r="D197" s="1152" t="str">
        <f>D192</f>
        <v>Rs./kVA/month</v>
      </c>
      <c r="E197" s="1157">
        <f>$E$184</f>
        <v>0</v>
      </c>
      <c r="F197" s="1157"/>
      <c r="G197" s="1157"/>
      <c r="H197" s="1152" t="str">
        <f>H192</f>
        <v>Rs/kVAh</v>
      </c>
      <c r="I197" s="1157">
        <f>$I$184*(1+C197)</f>
        <v>0</v>
      </c>
      <c r="J197" s="1153"/>
      <c r="K197" s="1152" t="str">
        <f t="shared" si="23"/>
        <v>Rs./kVA/month</v>
      </c>
      <c r="L197" s="1157"/>
      <c r="M197" s="1157"/>
      <c r="N197" s="1157"/>
      <c r="O197" s="1152" t="str">
        <f t="shared" si="20"/>
        <v>Rs/kVAh</v>
      </c>
      <c r="P197" s="1159"/>
      <c r="Q197" s="1153"/>
      <c r="R197" s="1158">
        <f>L197-E197</f>
        <v>0</v>
      </c>
      <c r="S197" s="1158">
        <f>P197-I197</f>
        <v>0</v>
      </c>
    </row>
    <row r="198" spans="2:19" s="351" customFormat="1">
      <c r="B198" s="1173" t="s">
        <v>1432</v>
      </c>
      <c r="C198" s="1162">
        <f>15%</f>
        <v>0.15</v>
      </c>
      <c r="D198" s="1152" t="str">
        <f>D193</f>
        <v>Rs./kVA/month</v>
      </c>
      <c r="E198" s="1157">
        <f>$E$184</f>
        <v>0</v>
      </c>
      <c r="F198" s="1157"/>
      <c r="G198" s="1157"/>
      <c r="H198" s="1152" t="str">
        <f>H193</f>
        <v>Rs/kVAh</v>
      </c>
      <c r="I198" s="1157">
        <f>$I$184*(1+C198)</f>
        <v>0</v>
      </c>
      <c r="J198" s="1153"/>
      <c r="K198" s="1152" t="str">
        <f t="shared" si="23"/>
        <v>Rs./kVA/month</v>
      </c>
      <c r="L198" s="1157"/>
      <c r="M198" s="1157"/>
      <c r="N198" s="1157"/>
      <c r="O198" s="1152" t="str">
        <f t="shared" si="20"/>
        <v>Rs/kVAh</v>
      </c>
      <c r="P198" s="1159"/>
      <c r="Q198" s="1153"/>
      <c r="R198" s="1158">
        <f>L198-E198</f>
        <v>0</v>
      </c>
      <c r="S198" s="1158">
        <f>P198-I198</f>
        <v>0</v>
      </c>
    </row>
    <row r="199" spans="2:19" s="351" customFormat="1">
      <c r="B199" s="1173" t="s">
        <v>1433</v>
      </c>
      <c r="C199" s="1162">
        <f>0%</f>
        <v>0</v>
      </c>
      <c r="D199" s="1152" t="str">
        <f>D194</f>
        <v>Rs./kVA/month</v>
      </c>
      <c r="E199" s="1157">
        <f>$E$184</f>
        <v>0</v>
      </c>
      <c r="F199" s="1157"/>
      <c r="G199" s="1157"/>
      <c r="H199" s="1152" t="str">
        <f>H194</f>
        <v>Rs/kVAh</v>
      </c>
      <c r="I199" s="1157">
        <f>$I$184*(1+C199)</f>
        <v>0</v>
      </c>
      <c r="J199" s="1153"/>
      <c r="K199" s="1152" t="str">
        <f t="shared" si="23"/>
        <v>Rs./kVA/month</v>
      </c>
      <c r="L199" s="1157"/>
      <c r="M199" s="1157"/>
      <c r="N199" s="1157"/>
      <c r="O199" s="1152" t="str">
        <f t="shared" si="20"/>
        <v>Rs/kVAh</v>
      </c>
      <c r="P199" s="1157"/>
      <c r="Q199" s="1153"/>
      <c r="R199" s="1158">
        <f>L199-E199</f>
        <v>0</v>
      </c>
      <c r="S199" s="1158">
        <f>P199-I199</f>
        <v>0</v>
      </c>
    </row>
    <row r="200" spans="2:19" s="351" customFormat="1">
      <c r="B200" s="1172" t="s">
        <v>1128</v>
      </c>
      <c r="C200" s="1168"/>
      <c r="D200" s="1152"/>
      <c r="E200" s="1157"/>
      <c r="F200" s="1157"/>
      <c r="G200" s="1157"/>
      <c r="H200" s="1152"/>
      <c r="I200" s="1157"/>
      <c r="J200" s="1153"/>
      <c r="K200" s="1152"/>
      <c r="L200" s="1157"/>
      <c r="M200" s="1157"/>
      <c r="N200" s="1157"/>
      <c r="O200" s="1152"/>
      <c r="P200" s="1157"/>
      <c r="Q200" s="1153"/>
      <c r="R200" s="1157"/>
      <c r="S200" s="1157"/>
    </row>
    <row r="201" spans="2:19" s="351" customFormat="1">
      <c r="B201" s="1173" t="s">
        <v>1430</v>
      </c>
      <c r="C201" s="1162">
        <f>-15%</f>
        <v>-0.15</v>
      </c>
      <c r="D201" s="1152" t="str">
        <f>D196</f>
        <v>Rs./kVA/month</v>
      </c>
      <c r="E201" s="1157">
        <f>$E$185</f>
        <v>300</v>
      </c>
      <c r="F201" s="1157"/>
      <c r="G201" s="1157"/>
      <c r="H201" s="1152" t="str">
        <f>H196</f>
        <v>Rs/kVAh</v>
      </c>
      <c r="I201" s="1157">
        <f>$I$185*(1+C201)</f>
        <v>6.0349999999999993</v>
      </c>
      <c r="J201" s="1153"/>
      <c r="K201" s="1152" t="str">
        <f t="shared" ref="K201:K204" si="24">D201</f>
        <v>Rs./kVA/month</v>
      </c>
      <c r="L201" s="1157"/>
      <c r="M201" s="1157"/>
      <c r="N201" s="1157"/>
      <c r="O201" s="1152" t="str">
        <f t="shared" si="20"/>
        <v>Rs/kVAh</v>
      </c>
      <c r="P201" s="1157"/>
      <c r="Q201" s="1153"/>
      <c r="R201" s="1158">
        <f>L201-E201</f>
        <v>-300</v>
      </c>
      <c r="S201" s="1158">
        <f>P201-I201</f>
        <v>-6.0349999999999993</v>
      </c>
    </row>
    <row r="202" spans="2:19" s="351" customFormat="1">
      <c r="B202" s="1173" t="s">
        <v>1431</v>
      </c>
      <c r="C202" s="1162">
        <f>0%</f>
        <v>0</v>
      </c>
      <c r="D202" s="1152" t="str">
        <f>D197</f>
        <v>Rs./kVA/month</v>
      </c>
      <c r="E202" s="1157">
        <f>$E$185</f>
        <v>300</v>
      </c>
      <c r="F202" s="1157"/>
      <c r="G202" s="1157"/>
      <c r="H202" s="1152" t="str">
        <f>H197</f>
        <v>Rs/kVAh</v>
      </c>
      <c r="I202" s="1157">
        <f>$I$185*(1+C202)</f>
        <v>7.1</v>
      </c>
      <c r="J202" s="1153"/>
      <c r="K202" s="1152" t="str">
        <f t="shared" si="24"/>
        <v>Rs./kVA/month</v>
      </c>
      <c r="L202" s="1157"/>
      <c r="M202" s="1157"/>
      <c r="N202" s="1157"/>
      <c r="O202" s="1152" t="str">
        <f t="shared" si="20"/>
        <v>Rs/kVAh</v>
      </c>
      <c r="P202" s="1157"/>
      <c r="Q202" s="1153"/>
      <c r="R202" s="1158">
        <f>L202-E202</f>
        <v>-300</v>
      </c>
      <c r="S202" s="1158">
        <f>P202-I202</f>
        <v>-7.1</v>
      </c>
    </row>
    <row r="203" spans="2:19" s="351" customFormat="1">
      <c r="B203" s="1173" t="s">
        <v>1432</v>
      </c>
      <c r="C203" s="1162">
        <f>15%</f>
        <v>0.15</v>
      </c>
      <c r="D203" s="1152" t="str">
        <f>D198</f>
        <v>Rs./kVA/month</v>
      </c>
      <c r="E203" s="1157">
        <f>$E$185</f>
        <v>300</v>
      </c>
      <c r="F203" s="1157"/>
      <c r="G203" s="1157"/>
      <c r="H203" s="1152" t="str">
        <f>H198</f>
        <v>Rs/kVAh</v>
      </c>
      <c r="I203" s="1157">
        <f>$I$185*(1+C203)</f>
        <v>8.1649999999999991</v>
      </c>
      <c r="J203" s="1153"/>
      <c r="K203" s="1152" t="str">
        <f t="shared" si="24"/>
        <v>Rs./kVA/month</v>
      </c>
      <c r="L203" s="1157"/>
      <c r="M203" s="1157"/>
      <c r="N203" s="1157"/>
      <c r="O203" s="1152" t="str">
        <f t="shared" si="20"/>
        <v>Rs/kVAh</v>
      </c>
      <c r="P203" s="1157"/>
      <c r="Q203" s="1153"/>
      <c r="R203" s="1158">
        <f>L203-E203</f>
        <v>-300</v>
      </c>
      <c r="S203" s="1158">
        <f>P203-I203</f>
        <v>-8.1649999999999991</v>
      </c>
    </row>
    <row r="204" spans="2:19" s="351" customFormat="1">
      <c r="B204" s="1173" t="s">
        <v>1433</v>
      </c>
      <c r="C204" s="1162">
        <f>0%</f>
        <v>0</v>
      </c>
      <c r="D204" s="1152" t="str">
        <f>D199</f>
        <v>Rs./kVA/month</v>
      </c>
      <c r="E204" s="1157">
        <f>$E$185</f>
        <v>300</v>
      </c>
      <c r="F204" s="1157"/>
      <c r="G204" s="1157"/>
      <c r="H204" s="1152" t="str">
        <f>H199</f>
        <v>Rs/kVAh</v>
      </c>
      <c r="I204" s="1157">
        <f>$I$185*(1+C204)</f>
        <v>7.1</v>
      </c>
      <c r="J204" s="1153"/>
      <c r="K204" s="1152" t="str">
        <f t="shared" si="24"/>
        <v>Rs./kVA/month</v>
      </c>
      <c r="L204" s="1157"/>
      <c r="M204" s="1157"/>
      <c r="N204" s="1157"/>
      <c r="O204" s="1152" t="str">
        <f t="shared" ref="O204:O243" si="25">H204</f>
        <v>Rs/kVAh</v>
      </c>
      <c r="P204" s="1157"/>
      <c r="Q204" s="1153"/>
      <c r="R204" s="1158">
        <f>L204-E204</f>
        <v>-300</v>
      </c>
      <c r="S204" s="1158">
        <f>P204-I204</f>
        <v>-7.1</v>
      </c>
    </row>
    <row r="205" spans="2:19" s="351" customFormat="1">
      <c r="B205" s="1172" t="s">
        <v>1129</v>
      </c>
      <c r="C205" s="1168"/>
      <c r="D205" s="1152"/>
      <c r="E205" s="1157"/>
      <c r="F205" s="1157"/>
      <c r="G205" s="1157"/>
      <c r="H205" s="1152"/>
      <c r="I205" s="1157"/>
      <c r="J205" s="1153"/>
      <c r="K205" s="1152"/>
      <c r="L205" s="1157"/>
      <c r="M205" s="1157"/>
      <c r="N205" s="1157"/>
      <c r="O205" s="1152"/>
      <c r="P205" s="1157"/>
      <c r="Q205" s="1153"/>
      <c r="R205" s="1157"/>
      <c r="S205" s="1157"/>
    </row>
    <row r="206" spans="2:19" s="351" customFormat="1">
      <c r="B206" s="1173" t="s">
        <v>1430</v>
      </c>
      <c r="C206" s="1162">
        <f>-15%</f>
        <v>-0.15</v>
      </c>
      <c r="D206" s="1152" t="str">
        <f>D201</f>
        <v>Rs./kVA/month</v>
      </c>
      <c r="E206" s="1157">
        <f>$E$186</f>
        <v>290</v>
      </c>
      <c r="F206" s="1157"/>
      <c r="G206" s="1157"/>
      <c r="H206" s="1152" t="str">
        <f>H201</f>
        <v>Rs/kVAh</v>
      </c>
      <c r="I206" s="1157">
        <f>$I$192*(1+C206)</f>
        <v>0</v>
      </c>
      <c r="J206" s="1153"/>
      <c r="K206" s="1152" t="str">
        <f t="shared" ref="K206:K209" si="26">D206</f>
        <v>Rs./kVA/month</v>
      </c>
      <c r="L206" s="1157"/>
      <c r="M206" s="1157"/>
      <c r="N206" s="1157"/>
      <c r="O206" s="1152" t="str">
        <f t="shared" si="25"/>
        <v>Rs/kVAh</v>
      </c>
      <c r="P206" s="1157"/>
      <c r="Q206" s="1153"/>
      <c r="R206" s="1158">
        <f>L206-E206</f>
        <v>-290</v>
      </c>
      <c r="S206" s="1158">
        <f>P206-I206</f>
        <v>0</v>
      </c>
    </row>
    <row r="207" spans="2:19" s="351" customFormat="1">
      <c r="B207" s="1173" t="s">
        <v>1431</v>
      </c>
      <c r="C207" s="1162">
        <f>0%</f>
        <v>0</v>
      </c>
      <c r="D207" s="1152" t="str">
        <f>D202</f>
        <v>Rs./kVA/month</v>
      </c>
      <c r="E207" s="1157">
        <f>$E$186</f>
        <v>290</v>
      </c>
      <c r="F207" s="1157"/>
      <c r="G207" s="1157"/>
      <c r="H207" s="1152" t="str">
        <f>H202</f>
        <v>Rs/kVAh</v>
      </c>
      <c r="I207" s="1157">
        <f>$I$192*(1+C207)</f>
        <v>0</v>
      </c>
      <c r="J207" s="1153"/>
      <c r="K207" s="1152" t="str">
        <f t="shared" si="26"/>
        <v>Rs./kVA/month</v>
      </c>
      <c r="L207" s="1157"/>
      <c r="M207" s="1157"/>
      <c r="N207" s="1157"/>
      <c r="O207" s="1152" t="str">
        <f t="shared" si="25"/>
        <v>Rs/kVAh</v>
      </c>
      <c r="P207" s="1157"/>
      <c r="Q207" s="1153"/>
      <c r="R207" s="1158">
        <f>L207-E207</f>
        <v>-290</v>
      </c>
      <c r="S207" s="1158">
        <f>P207-I207</f>
        <v>0</v>
      </c>
    </row>
    <row r="208" spans="2:19" s="351" customFormat="1">
      <c r="B208" s="1173" t="s">
        <v>1432</v>
      </c>
      <c r="C208" s="1162">
        <f>15%</f>
        <v>0.15</v>
      </c>
      <c r="D208" s="1152" t="str">
        <f>D203</f>
        <v>Rs./kVA/month</v>
      </c>
      <c r="E208" s="1157">
        <f>$E$186</f>
        <v>290</v>
      </c>
      <c r="F208" s="1157"/>
      <c r="G208" s="1157"/>
      <c r="H208" s="1152" t="str">
        <f>H203</f>
        <v>Rs/kVAh</v>
      </c>
      <c r="I208" s="1157">
        <f>$I$192*(1+C208)</f>
        <v>0</v>
      </c>
      <c r="J208" s="1153"/>
      <c r="K208" s="1152" t="str">
        <f t="shared" si="26"/>
        <v>Rs./kVA/month</v>
      </c>
      <c r="L208" s="1157"/>
      <c r="M208" s="1157"/>
      <c r="N208" s="1157"/>
      <c r="O208" s="1152" t="str">
        <f t="shared" si="25"/>
        <v>Rs/kVAh</v>
      </c>
      <c r="P208" s="1157"/>
      <c r="Q208" s="1153"/>
      <c r="R208" s="1158">
        <f>L208-E208</f>
        <v>-290</v>
      </c>
      <c r="S208" s="1158">
        <f>P208-I208</f>
        <v>0</v>
      </c>
    </row>
    <row r="209" spans="2:19" s="351" customFormat="1">
      <c r="B209" s="1173" t="s">
        <v>1433</v>
      </c>
      <c r="C209" s="1162">
        <f>0%</f>
        <v>0</v>
      </c>
      <c r="D209" s="1152" t="str">
        <f>D204</f>
        <v>Rs./kVA/month</v>
      </c>
      <c r="E209" s="1157">
        <f>$E$186</f>
        <v>290</v>
      </c>
      <c r="F209" s="1157"/>
      <c r="G209" s="1157"/>
      <c r="H209" s="1152" t="str">
        <f>H204</f>
        <v>Rs/kVAh</v>
      </c>
      <c r="I209" s="1157">
        <f>$I$192*(1+C209)</f>
        <v>0</v>
      </c>
      <c r="J209" s="1153"/>
      <c r="K209" s="1152" t="str">
        <f t="shared" si="26"/>
        <v>Rs./kVA/month</v>
      </c>
      <c r="L209" s="1157"/>
      <c r="M209" s="1157"/>
      <c r="N209" s="1157"/>
      <c r="O209" s="1152" t="str">
        <f t="shared" si="25"/>
        <v>Rs/kVAh</v>
      </c>
      <c r="P209" s="1157"/>
      <c r="Q209" s="1153"/>
      <c r="R209" s="1158">
        <f>L209-E209</f>
        <v>-290</v>
      </c>
      <c r="S209" s="1158">
        <f>P209-I209</f>
        <v>0</v>
      </c>
    </row>
    <row r="210" spans="2:19" s="351" customFormat="1">
      <c r="B210" s="1172" t="s">
        <v>1014</v>
      </c>
      <c r="C210" s="1167"/>
      <c r="D210" s="1152"/>
      <c r="E210" s="1157"/>
      <c r="F210" s="1157"/>
      <c r="G210" s="1157"/>
      <c r="H210" s="1155"/>
      <c r="I210" s="1157"/>
      <c r="J210" s="1153"/>
      <c r="K210" s="1152"/>
      <c r="L210" s="1159"/>
      <c r="M210" s="1159"/>
      <c r="N210" s="1159"/>
      <c r="O210" s="1155"/>
      <c r="P210" s="1159"/>
      <c r="Q210" s="1153"/>
      <c r="R210" s="1159"/>
      <c r="S210" s="1159"/>
    </row>
    <row r="211" spans="2:19" s="351" customFormat="1">
      <c r="B211" s="1172" t="s">
        <v>1126</v>
      </c>
      <c r="C211" s="1168"/>
      <c r="D211" s="1152"/>
      <c r="E211" s="1157"/>
      <c r="F211" s="1157"/>
      <c r="G211" s="1157"/>
      <c r="H211" s="1155"/>
      <c r="I211" s="1157"/>
      <c r="J211" s="1153"/>
      <c r="K211" s="1152"/>
      <c r="L211" s="1159"/>
      <c r="M211" s="1159"/>
      <c r="N211" s="1159"/>
      <c r="O211" s="1155"/>
      <c r="P211" s="1159"/>
      <c r="Q211" s="1153"/>
      <c r="R211" s="1159"/>
      <c r="S211" s="1159"/>
    </row>
    <row r="212" spans="2:19" s="351" customFormat="1">
      <c r="B212" s="1173" t="s">
        <v>1430</v>
      </c>
      <c r="C212" s="1162">
        <f>0%</f>
        <v>0</v>
      </c>
      <c r="D212" s="1152" t="str">
        <f>D206</f>
        <v>Rs./kVA/month</v>
      </c>
      <c r="E212" s="1157">
        <f>E191</f>
        <v>0</v>
      </c>
      <c r="F212" s="1157"/>
      <c r="G212" s="1157"/>
      <c r="H212" s="1152" t="str">
        <f>H206</f>
        <v>Rs/kVAh</v>
      </c>
      <c r="I212" s="1157">
        <f>$I$183*(1+C212)</f>
        <v>0</v>
      </c>
      <c r="J212" s="1153"/>
      <c r="K212" s="1152" t="str">
        <f t="shared" ref="K212:K215" si="27">D212</f>
        <v>Rs./kVA/month</v>
      </c>
      <c r="L212" s="1157"/>
      <c r="M212" s="1157"/>
      <c r="N212" s="1157"/>
      <c r="O212" s="1152" t="str">
        <f t="shared" si="25"/>
        <v>Rs/kVAh</v>
      </c>
      <c r="P212" s="1157"/>
      <c r="Q212" s="1153"/>
      <c r="R212" s="1158">
        <f>L212-E212</f>
        <v>0</v>
      </c>
      <c r="S212" s="1158">
        <f>P212-I212</f>
        <v>0</v>
      </c>
    </row>
    <row r="213" spans="2:19" s="351" customFormat="1">
      <c r="B213" s="1173" t="s">
        <v>1431</v>
      </c>
      <c r="C213" s="1162">
        <f>0%</f>
        <v>0</v>
      </c>
      <c r="D213" s="1152" t="str">
        <f>D207</f>
        <v>Rs./kVA/month</v>
      </c>
      <c r="E213" s="1157">
        <f t="shared" ref="E213:E230" si="28">E192</f>
        <v>0</v>
      </c>
      <c r="F213" s="1157"/>
      <c r="G213" s="1157"/>
      <c r="H213" s="1152" t="str">
        <f>H207</f>
        <v>Rs/kVAh</v>
      </c>
      <c r="I213" s="1157">
        <f>$I$183*(1+C213)</f>
        <v>0</v>
      </c>
      <c r="J213" s="1153"/>
      <c r="K213" s="1152" t="str">
        <f t="shared" si="27"/>
        <v>Rs./kVA/month</v>
      </c>
      <c r="L213" s="1157"/>
      <c r="M213" s="1157"/>
      <c r="N213" s="1157"/>
      <c r="O213" s="1152" t="str">
        <f t="shared" si="25"/>
        <v>Rs/kVAh</v>
      </c>
      <c r="P213" s="1157"/>
      <c r="Q213" s="1153"/>
      <c r="R213" s="1158">
        <f>L213-E213</f>
        <v>0</v>
      </c>
      <c r="S213" s="1158">
        <f>P213-I213</f>
        <v>0</v>
      </c>
    </row>
    <row r="214" spans="2:19" s="351" customFormat="1">
      <c r="B214" s="1173" t="s">
        <v>1432</v>
      </c>
      <c r="C214" s="1162">
        <f>15%</f>
        <v>0.15</v>
      </c>
      <c r="D214" s="1152" t="str">
        <f>D208</f>
        <v>Rs./kVA/month</v>
      </c>
      <c r="E214" s="1157">
        <f t="shared" si="28"/>
        <v>0</v>
      </c>
      <c r="F214" s="1157"/>
      <c r="G214" s="1157"/>
      <c r="H214" s="1152" t="str">
        <f>H208</f>
        <v>Rs/kVAh</v>
      </c>
      <c r="I214" s="1157">
        <f>$I$183*(1+C214)</f>
        <v>0</v>
      </c>
      <c r="J214" s="1153"/>
      <c r="K214" s="1152" t="str">
        <f t="shared" si="27"/>
        <v>Rs./kVA/month</v>
      </c>
      <c r="L214" s="1157"/>
      <c r="M214" s="1157"/>
      <c r="N214" s="1157"/>
      <c r="O214" s="1152" t="str">
        <f t="shared" si="25"/>
        <v>Rs/kVAh</v>
      </c>
      <c r="P214" s="1157"/>
      <c r="Q214" s="1153"/>
      <c r="R214" s="1158">
        <f>L214-E214</f>
        <v>0</v>
      </c>
      <c r="S214" s="1158">
        <f>P214-I214</f>
        <v>0</v>
      </c>
    </row>
    <row r="215" spans="2:19" s="351" customFormat="1">
      <c r="B215" s="1173" t="s">
        <v>1433</v>
      </c>
      <c r="C215" s="1162">
        <f>-15%</f>
        <v>-0.15</v>
      </c>
      <c r="D215" s="1152" t="str">
        <f>D209</f>
        <v>Rs./kVA/month</v>
      </c>
      <c r="E215" s="1157">
        <f t="shared" si="28"/>
        <v>0</v>
      </c>
      <c r="F215" s="1157"/>
      <c r="G215" s="1157"/>
      <c r="H215" s="1152" t="str">
        <f>H209</f>
        <v>Rs/kVAh</v>
      </c>
      <c r="I215" s="1157">
        <f>$I$183*(1+C215)</f>
        <v>0</v>
      </c>
      <c r="J215" s="1153"/>
      <c r="K215" s="1152" t="str">
        <f t="shared" si="27"/>
        <v>Rs./kVA/month</v>
      </c>
      <c r="L215" s="1157"/>
      <c r="M215" s="1157"/>
      <c r="N215" s="1157"/>
      <c r="O215" s="1152" t="str">
        <f t="shared" si="25"/>
        <v>Rs/kVAh</v>
      </c>
      <c r="P215" s="1157"/>
      <c r="Q215" s="1153"/>
      <c r="R215" s="1158">
        <f>L215-E215</f>
        <v>0</v>
      </c>
      <c r="S215" s="1158">
        <f>P215-I215</f>
        <v>0</v>
      </c>
    </row>
    <row r="216" spans="2:19" s="351" customFormat="1">
      <c r="B216" s="1172" t="s">
        <v>1127</v>
      </c>
      <c r="C216" s="1168"/>
      <c r="D216" s="1152"/>
      <c r="E216" s="1157"/>
      <c r="F216" s="1157"/>
      <c r="G216" s="1157"/>
      <c r="H216" s="1155"/>
      <c r="I216" s="1157"/>
      <c r="J216" s="1153"/>
      <c r="K216" s="1152"/>
      <c r="L216" s="1159"/>
      <c r="M216" s="1159"/>
      <c r="N216" s="1159"/>
      <c r="O216" s="1155"/>
      <c r="P216" s="1159"/>
      <c r="Q216" s="1153"/>
      <c r="R216" s="1159"/>
      <c r="S216" s="1159"/>
    </row>
    <row r="217" spans="2:19" s="351" customFormat="1">
      <c r="B217" s="1173" t="s">
        <v>1430</v>
      </c>
      <c r="C217" s="1162">
        <f>0%</f>
        <v>0</v>
      </c>
      <c r="D217" s="1152" t="str">
        <f>D212</f>
        <v>Rs./kVA/month</v>
      </c>
      <c r="E217" s="1157">
        <f t="shared" si="28"/>
        <v>0</v>
      </c>
      <c r="F217" s="1157"/>
      <c r="G217" s="1157"/>
      <c r="H217" s="1152" t="str">
        <f>H212</f>
        <v>Rs/kVAh</v>
      </c>
      <c r="I217" s="1157">
        <f>$I$184*(1+C217)</f>
        <v>0</v>
      </c>
      <c r="J217" s="1153"/>
      <c r="K217" s="1152" t="str">
        <f t="shared" ref="K217:K220" si="29">D217</f>
        <v>Rs./kVA/month</v>
      </c>
      <c r="L217" s="1157"/>
      <c r="M217" s="1157"/>
      <c r="N217" s="1157"/>
      <c r="O217" s="1152" t="str">
        <f t="shared" si="25"/>
        <v>Rs/kVAh</v>
      </c>
      <c r="P217" s="1157"/>
      <c r="Q217" s="1153"/>
      <c r="R217" s="1158">
        <f>L217-E217</f>
        <v>0</v>
      </c>
      <c r="S217" s="1158">
        <f>P217-I217</f>
        <v>0</v>
      </c>
    </row>
    <row r="218" spans="2:19" s="351" customFormat="1">
      <c r="B218" s="1173" t="s">
        <v>1431</v>
      </c>
      <c r="C218" s="1162">
        <f>0%</f>
        <v>0</v>
      </c>
      <c r="D218" s="1152" t="str">
        <f>D213</f>
        <v>Rs./kVA/month</v>
      </c>
      <c r="E218" s="1157">
        <f t="shared" si="28"/>
        <v>0</v>
      </c>
      <c r="F218" s="1157"/>
      <c r="G218" s="1157"/>
      <c r="H218" s="1152" t="str">
        <f>H213</f>
        <v>Rs/kVAh</v>
      </c>
      <c r="I218" s="1157">
        <f>$I$184*(1+C218)</f>
        <v>0</v>
      </c>
      <c r="J218" s="1153"/>
      <c r="K218" s="1152" t="str">
        <f t="shared" si="29"/>
        <v>Rs./kVA/month</v>
      </c>
      <c r="L218" s="1157"/>
      <c r="M218" s="1157"/>
      <c r="N218" s="1157"/>
      <c r="O218" s="1152" t="str">
        <f t="shared" si="25"/>
        <v>Rs/kVAh</v>
      </c>
      <c r="P218" s="1157"/>
      <c r="Q218" s="1153"/>
      <c r="R218" s="1158">
        <f>L218-E218</f>
        <v>0</v>
      </c>
      <c r="S218" s="1158">
        <f>P218-I218</f>
        <v>0</v>
      </c>
    </row>
    <row r="219" spans="2:19" s="351" customFormat="1">
      <c r="B219" s="1173" t="s">
        <v>1432</v>
      </c>
      <c r="C219" s="1162">
        <f>15%</f>
        <v>0.15</v>
      </c>
      <c r="D219" s="1152" t="str">
        <f>D214</f>
        <v>Rs./kVA/month</v>
      </c>
      <c r="E219" s="1157">
        <f t="shared" si="28"/>
        <v>0</v>
      </c>
      <c r="F219" s="1157"/>
      <c r="G219" s="1157"/>
      <c r="H219" s="1152" t="str">
        <f>H214</f>
        <v>Rs/kVAh</v>
      </c>
      <c r="I219" s="1157">
        <f>$I$184*(1+C219)</f>
        <v>0</v>
      </c>
      <c r="J219" s="1153"/>
      <c r="K219" s="1152" t="str">
        <f t="shared" si="29"/>
        <v>Rs./kVA/month</v>
      </c>
      <c r="L219" s="1157"/>
      <c r="M219" s="1157"/>
      <c r="N219" s="1157"/>
      <c r="O219" s="1152" t="str">
        <f t="shared" si="25"/>
        <v>Rs/kVAh</v>
      </c>
      <c r="P219" s="1157"/>
      <c r="Q219" s="1153"/>
      <c r="R219" s="1158">
        <f>L219-E219</f>
        <v>0</v>
      </c>
      <c r="S219" s="1158">
        <f>P219-I219</f>
        <v>0</v>
      </c>
    </row>
    <row r="220" spans="2:19" s="351" customFormat="1">
      <c r="B220" s="1173" t="s">
        <v>1433</v>
      </c>
      <c r="C220" s="1162">
        <f>-15%</f>
        <v>-0.15</v>
      </c>
      <c r="D220" s="1152" t="str">
        <f>D215</f>
        <v>Rs./kVA/month</v>
      </c>
      <c r="E220" s="1157">
        <f t="shared" si="28"/>
        <v>0</v>
      </c>
      <c r="F220" s="1157"/>
      <c r="G220" s="1157"/>
      <c r="H220" s="1152" t="str">
        <f>H215</f>
        <v>Rs/kVAh</v>
      </c>
      <c r="I220" s="1157">
        <f>$I$184*(1+C220)</f>
        <v>0</v>
      </c>
      <c r="J220" s="1153"/>
      <c r="K220" s="1152" t="str">
        <f t="shared" si="29"/>
        <v>Rs./kVA/month</v>
      </c>
      <c r="L220" s="1157"/>
      <c r="M220" s="1157"/>
      <c r="N220" s="1157"/>
      <c r="O220" s="1152" t="str">
        <f t="shared" si="25"/>
        <v>Rs/kVAh</v>
      </c>
      <c r="P220" s="1157"/>
      <c r="Q220" s="1153"/>
      <c r="R220" s="1158">
        <f>L220-E220</f>
        <v>0</v>
      </c>
      <c r="S220" s="1158">
        <f>P220-I220</f>
        <v>0</v>
      </c>
    </row>
    <row r="221" spans="2:19" s="351" customFormat="1">
      <c r="B221" s="1172" t="s">
        <v>1128</v>
      </c>
      <c r="C221" s="1168"/>
      <c r="D221" s="1152"/>
      <c r="E221" s="1157"/>
      <c r="F221" s="1157"/>
      <c r="G221" s="1157"/>
      <c r="H221" s="1155"/>
      <c r="I221" s="1157"/>
      <c r="J221" s="1153"/>
      <c r="K221" s="1152"/>
      <c r="L221" s="1157"/>
      <c r="M221" s="1157"/>
      <c r="N221" s="1157"/>
      <c r="O221" s="1152"/>
      <c r="P221" s="1157"/>
      <c r="Q221" s="1153"/>
      <c r="R221" s="1157"/>
      <c r="S221" s="1157"/>
    </row>
    <row r="222" spans="2:19" s="351" customFormat="1">
      <c r="B222" s="1173" t="s">
        <v>1430</v>
      </c>
      <c r="C222" s="1162">
        <f>0%</f>
        <v>0</v>
      </c>
      <c r="D222" s="1152" t="str">
        <f>D217</f>
        <v>Rs./kVA/month</v>
      </c>
      <c r="E222" s="1157">
        <f t="shared" si="28"/>
        <v>300</v>
      </c>
      <c r="F222" s="1157"/>
      <c r="G222" s="1157"/>
      <c r="H222" s="1152" t="str">
        <f>H217</f>
        <v>Rs/kVAh</v>
      </c>
      <c r="I222" s="1157">
        <f>$I$185*(1+C222)</f>
        <v>7.1</v>
      </c>
      <c r="J222" s="1153"/>
      <c r="K222" s="1152" t="str">
        <f t="shared" ref="K222:K225" si="30">D222</f>
        <v>Rs./kVA/month</v>
      </c>
      <c r="L222" s="1157"/>
      <c r="M222" s="1157"/>
      <c r="N222" s="1157"/>
      <c r="O222" s="1152" t="str">
        <f t="shared" si="25"/>
        <v>Rs/kVAh</v>
      </c>
      <c r="P222" s="1157"/>
      <c r="Q222" s="1153"/>
      <c r="R222" s="1158">
        <f>L222-E222</f>
        <v>-300</v>
      </c>
      <c r="S222" s="1158">
        <f>P222-I222</f>
        <v>-7.1</v>
      </c>
    </row>
    <row r="223" spans="2:19" s="351" customFormat="1">
      <c r="B223" s="1173" t="s">
        <v>1431</v>
      </c>
      <c r="C223" s="1162">
        <f>0%</f>
        <v>0</v>
      </c>
      <c r="D223" s="1152" t="str">
        <f>D218</f>
        <v>Rs./kVA/month</v>
      </c>
      <c r="E223" s="1157">
        <f t="shared" si="28"/>
        <v>300</v>
      </c>
      <c r="F223" s="1157"/>
      <c r="G223" s="1157"/>
      <c r="H223" s="1152" t="str">
        <f>H218</f>
        <v>Rs/kVAh</v>
      </c>
      <c r="I223" s="1157">
        <f>$I$185*(1+C223)</f>
        <v>7.1</v>
      </c>
      <c r="J223" s="1153"/>
      <c r="K223" s="1152" t="str">
        <f t="shared" si="30"/>
        <v>Rs./kVA/month</v>
      </c>
      <c r="L223" s="1157"/>
      <c r="M223" s="1157"/>
      <c r="N223" s="1157"/>
      <c r="O223" s="1152" t="str">
        <f t="shared" si="25"/>
        <v>Rs/kVAh</v>
      </c>
      <c r="P223" s="1157"/>
      <c r="Q223" s="1153"/>
      <c r="R223" s="1158">
        <f>L223-E223</f>
        <v>-300</v>
      </c>
      <c r="S223" s="1158">
        <f>P223-I223</f>
        <v>-7.1</v>
      </c>
    </row>
    <row r="224" spans="2:19" s="351" customFormat="1">
      <c r="B224" s="1173" t="s">
        <v>1432</v>
      </c>
      <c r="C224" s="1162">
        <f>15%</f>
        <v>0.15</v>
      </c>
      <c r="D224" s="1152" t="str">
        <f>D219</f>
        <v>Rs./kVA/month</v>
      </c>
      <c r="E224" s="1157">
        <f t="shared" si="28"/>
        <v>300</v>
      </c>
      <c r="F224" s="1157"/>
      <c r="G224" s="1157"/>
      <c r="H224" s="1152" t="str">
        <f>H219</f>
        <v>Rs/kVAh</v>
      </c>
      <c r="I224" s="1157">
        <f>$I$185*(1+C224)</f>
        <v>8.1649999999999991</v>
      </c>
      <c r="J224" s="1153"/>
      <c r="K224" s="1152" t="str">
        <f t="shared" si="30"/>
        <v>Rs./kVA/month</v>
      </c>
      <c r="L224" s="1157"/>
      <c r="M224" s="1157"/>
      <c r="N224" s="1157"/>
      <c r="O224" s="1152" t="str">
        <f t="shared" si="25"/>
        <v>Rs/kVAh</v>
      </c>
      <c r="P224" s="1157"/>
      <c r="Q224" s="1153"/>
      <c r="R224" s="1158">
        <f>L224-E224</f>
        <v>-300</v>
      </c>
      <c r="S224" s="1158">
        <f>P224-I224</f>
        <v>-8.1649999999999991</v>
      </c>
    </row>
    <row r="225" spans="2:19" s="351" customFormat="1">
      <c r="B225" s="1173" t="s">
        <v>1433</v>
      </c>
      <c r="C225" s="1162">
        <f>-15%</f>
        <v>-0.15</v>
      </c>
      <c r="D225" s="1152" t="str">
        <f>D220</f>
        <v>Rs./kVA/month</v>
      </c>
      <c r="E225" s="1157">
        <f t="shared" si="28"/>
        <v>300</v>
      </c>
      <c r="F225" s="1157"/>
      <c r="G225" s="1157"/>
      <c r="H225" s="1152" t="str">
        <f>H220</f>
        <v>Rs/kVAh</v>
      </c>
      <c r="I225" s="1157">
        <f>$I$185*(1+C225)</f>
        <v>6.0349999999999993</v>
      </c>
      <c r="J225" s="1153"/>
      <c r="K225" s="1152" t="str">
        <f t="shared" si="30"/>
        <v>Rs./kVA/month</v>
      </c>
      <c r="L225" s="1157"/>
      <c r="M225" s="1157"/>
      <c r="N225" s="1157"/>
      <c r="O225" s="1152" t="str">
        <f t="shared" si="25"/>
        <v>Rs/kVAh</v>
      </c>
      <c r="P225" s="1157"/>
      <c r="Q225" s="1153"/>
      <c r="R225" s="1158">
        <f>L225-E225</f>
        <v>-300</v>
      </c>
      <c r="S225" s="1158">
        <f>P225-I225</f>
        <v>-6.0349999999999993</v>
      </c>
    </row>
    <row r="226" spans="2:19" s="351" customFormat="1">
      <c r="B226" s="1172" t="s">
        <v>1129</v>
      </c>
      <c r="C226" s="1168"/>
      <c r="D226" s="1152"/>
      <c r="E226" s="1157"/>
      <c r="F226" s="1157"/>
      <c r="G226" s="1157"/>
      <c r="H226" s="1155"/>
      <c r="I226" s="1157"/>
      <c r="J226" s="1153"/>
      <c r="K226" s="1152"/>
      <c r="L226" s="1157"/>
      <c r="M226" s="1157"/>
      <c r="N226" s="1157"/>
      <c r="O226" s="1152"/>
      <c r="P226" s="1157"/>
      <c r="Q226" s="1153"/>
      <c r="R226" s="1157"/>
      <c r="S226" s="1157"/>
    </row>
    <row r="227" spans="2:19" s="351" customFormat="1">
      <c r="B227" s="1173" t="s">
        <v>1430</v>
      </c>
      <c r="C227" s="1162">
        <f>0%</f>
        <v>0</v>
      </c>
      <c r="D227" s="1152" t="str">
        <f>D222</f>
        <v>Rs./kVA/month</v>
      </c>
      <c r="E227" s="1157">
        <f t="shared" si="28"/>
        <v>290</v>
      </c>
      <c r="F227" s="1157"/>
      <c r="G227" s="1157"/>
      <c r="H227" s="1152" t="str">
        <f>H222</f>
        <v>Rs/kVAh</v>
      </c>
      <c r="I227" s="1157">
        <f>$I$192*(1+C227)</f>
        <v>0</v>
      </c>
      <c r="J227" s="1153"/>
      <c r="K227" s="1152" t="str">
        <f t="shared" ref="K227:K231" si="31">D227</f>
        <v>Rs./kVA/month</v>
      </c>
      <c r="L227" s="1157"/>
      <c r="M227" s="1157"/>
      <c r="N227" s="1157"/>
      <c r="O227" s="1152" t="str">
        <f t="shared" si="25"/>
        <v>Rs/kVAh</v>
      </c>
      <c r="P227" s="1157"/>
      <c r="Q227" s="1153"/>
      <c r="R227" s="1158">
        <f>L227-E227</f>
        <v>-290</v>
      </c>
      <c r="S227" s="1158">
        <f>P227-I227</f>
        <v>0</v>
      </c>
    </row>
    <row r="228" spans="2:19" s="351" customFormat="1">
      <c r="B228" s="1173" t="s">
        <v>1431</v>
      </c>
      <c r="C228" s="1162">
        <f>0%</f>
        <v>0</v>
      </c>
      <c r="D228" s="1152" t="str">
        <f>D223</f>
        <v>Rs./kVA/month</v>
      </c>
      <c r="E228" s="1157">
        <f t="shared" si="28"/>
        <v>290</v>
      </c>
      <c r="F228" s="1157"/>
      <c r="G228" s="1157"/>
      <c r="H228" s="1152" t="str">
        <f>H223</f>
        <v>Rs/kVAh</v>
      </c>
      <c r="I228" s="1157">
        <f>$I$192*(1+C228)</f>
        <v>0</v>
      </c>
      <c r="J228" s="1153"/>
      <c r="K228" s="1152" t="str">
        <f t="shared" si="31"/>
        <v>Rs./kVA/month</v>
      </c>
      <c r="L228" s="1157"/>
      <c r="M228" s="1157"/>
      <c r="N228" s="1157"/>
      <c r="O228" s="1152" t="str">
        <f t="shared" si="25"/>
        <v>Rs/kVAh</v>
      </c>
      <c r="P228" s="1157"/>
      <c r="Q228" s="1153"/>
      <c r="R228" s="1158">
        <f>L228-E228</f>
        <v>-290</v>
      </c>
      <c r="S228" s="1158">
        <f>P228-I228</f>
        <v>0</v>
      </c>
    </row>
    <row r="229" spans="2:19" s="351" customFormat="1">
      <c r="B229" s="1173" t="s">
        <v>1432</v>
      </c>
      <c r="C229" s="1162">
        <f>15%</f>
        <v>0.15</v>
      </c>
      <c r="D229" s="1152" t="str">
        <f>D224</f>
        <v>Rs./kVA/month</v>
      </c>
      <c r="E229" s="1157">
        <f t="shared" si="28"/>
        <v>290</v>
      </c>
      <c r="F229" s="1157"/>
      <c r="G229" s="1157"/>
      <c r="H229" s="1152" t="str">
        <f>H224</f>
        <v>Rs/kVAh</v>
      </c>
      <c r="I229" s="1157">
        <f>$I$192*(1+C229)</f>
        <v>0</v>
      </c>
      <c r="J229" s="1153"/>
      <c r="K229" s="1152" t="str">
        <f t="shared" si="31"/>
        <v>Rs./kVA/month</v>
      </c>
      <c r="L229" s="1157"/>
      <c r="M229" s="1157"/>
      <c r="N229" s="1157"/>
      <c r="O229" s="1152" t="str">
        <f t="shared" si="25"/>
        <v>Rs/kVAh</v>
      </c>
      <c r="P229" s="1157"/>
      <c r="Q229" s="1153"/>
      <c r="R229" s="1158">
        <f>L229-E229</f>
        <v>-290</v>
      </c>
      <c r="S229" s="1158">
        <f>P229-I229</f>
        <v>0</v>
      </c>
    </row>
    <row r="230" spans="2:19" s="351" customFormat="1">
      <c r="B230" s="1173" t="s">
        <v>1433</v>
      </c>
      <c r="C230" s="1162">
        <f>-15%</f>
        <v>-0.15</v>
      </c>
      <c r="D230" s="1152" t="str">
        <f>D225</f>
        <v>Rs./kVA/month</v>
      </c>
      <c r="E230" s="1157">
        <f t="shared" si="28"/>
        <v>290</v>
      </c>
      <c r="F230" s="1157"/>
      <c r="G230" s="1157"/>
      <c r="H230" s="1152" t="str">
        <f>H225</f>
        <v>Rs/kVAh</v>
      </c>
      <c r="I230" s="1157">
        <f>$I$192*(1+C230)</f>
        <v>0</v>
      </c>
      <c r="J230" s="1153"/>
      <c r="K230" s="1152" t="str">
        <f t="shared" si="31"/>
        <v>Rs./kVA/month</v>
      </c>
      <c r="L230" s="1157"/>
      <c r="M230" s="1157"/>
      <c r="N230" s="1157"/>
      <c r="O230" s="1152" t="str">
        <f t="shared" si="25"/>
        <v>Rs/kVAh</v>
      </c>
      <c r="P230" s="1157"/>
      <c r="Q230" s="1153"/>
      <c r="R230" s="1158">
        <f>L230-E230</f>
        <v>-290</v>
      </c>
      <c r="S230" s="1158">
        <f>P230-I230</f>
        <v>0</v>
      </c>
    </row>
    <row r="231" spans="2:19" s="351" customFormat="1">
      <c r="B231" s="1172" t="s">
        <v>1130</v>
      </c>
      <c r="C231" s="1171">
        <f>-7.5%</f>
        <v>-7.4999999999999997E-2</v>
      </c>
      <c r="D231" s="1152" t="s">
        <v>1547</v>
      </c>
      <c r="E231" s="1157">
        <f>E185</f>
        <v>300</v>
      </c>
      <c r="F231" s="1157"/>
      <c r="G231" s="1157"/>
      <c r="H231" s="1152" t="s">
        <v>1548</v>
      </c>
      <c r="I231" s="1157">
        <f>I185*(1+C231)</f>
        <v>6.5674999999999999</v>
      </c>
      <c r="J231" s="1153"/>
      <c r="K231" s="1152" t="str">
        <f t="shared" si="31"/>
        <v>Rs./kVA/month</v>
      </c>
      <c r="L231" s="1157"/>
      <c r="M231" s="1157"/>
      <c r="N231" s="1157"/>
      <c r="O231" s="1152" t="str">
        <f t="shared" si="25"/>
        <v>Rs/kVAh</v>
      </c>
      <c r="P231" s="1157"/>
      <c r="Q231" s="1153"/>
      <c r="R231" s="1158">
        <f>L231-E231</f>
        <v>-300</v>
      </c>
      <c r="S231" s="1158">
        <f>P231-I231</f>
        <v>-6.5674999999999999</v>
      </c>
    </row>
    <row r="232" spans="2:19" s="351" customFormat="1">
      <c r="B232" s="1154" t="s">
        <v>1425</v>
      </c>
      <c r="C232" s="1167"/>
      <c r="D232" s="1152"/>
      <c r="E232" s="1159"/>
      <c r="F232" s="1159"/>
      <c r="G232" s="1159"/>
      <c r="H232" s="1155"/>
      <c r="I232" s="1159"/>
      <c r="J232" s="1153"/>
      <c r="K232" s="1152"/>
      <c r="L232" s="1157"/>
      <c r="M232" s="1157"/>
      <c r="N232" s="1157"/>
      <c r="O232" s="1152"/>
      <c r="P232" s="1157"/>
      <c r="Q232" s="1153"/>
      <c r="R232" s="1157"/>
      <c r="S232" s="1157"/>
    </row>
    <row r="233" spans="2:19" s="351" customFormat="1">
      <c r="B233" s="1172"/>
      <c r="C233" s="1167"/>
      <c r="D233" s="1152"/>
      <c r="E233" s="1157"/>
      <c r="F233" s="1157"/>
      <c r="G233" s="1157"/>
      <c r="H233" s="1152"/>
      <c r="I233" s="1157"/>
      <c r="J233" s="1153"/>
      <c r="K233" s="1152"/>
      <c r="L233" s="1157"/>
      <c r="M233" s="1157"/>
      <c r="N233" s="1157"/>
      <c r="O233" s="1152"/>
      <c r="P233" s="1157"/>
      <c r="Q233" s="1153"/>
      <c r="R233" s="1157"/>
      <c r="S233" s="1157"/>
    </row>
    <row r="234" spans="2:19" s="351" customFormat="1">
      <c r="B234" s="1172" t="s">
        <v>1133</v>
      </c>
      <c r="C234" s="1166"/>
      <c r="D234" s="1155"/>
      <c r="E234" s="1157"/>
      <c r="F234" s="1157"/>
      <c r="G234" s="1157"/>
      <c r="H234" s="1152"/>
      <c r="I234" s="1157"/>
      <c r="J234" s="1153"/>
      <c r="K234" s="1155"/>
      <c r="L234" s="1157"/>
      <c r="M234" s="1157"/>
      <c r="N234" s="1157"/>
      <c r="O234" s="1152"/>
      <c r="P234" s="1157"/>
      <c r="Q234" s="1153"/>
      <c r="R234" s="1157"/>
      <c r="S234" s="1157"/>
    </row>
    <row r="235" spans="2:19" s="351" customFormat="1">
      <c r="B235" s="1173" t="s">
        <v>1415</v>
      </c>
      <c r="C235" s="1167"/>
      <c r="D235" s="1152" t="s">
        <v>1547</v>
      </c>
      <c r="E235" s="1157">
        <v>400</v>
      </c>
      <c r="F235" s="1152" t="s">
        <v>1547</v>
      </c>
      <c r="G235" s="1157">
        <v>950</v>
      </c>
      <c r="H235" s="1152" t="s">
        <v>1548</v>
      </c>
      <c r="I235" s="1157">
        <v>8.5</v>
      </c>
      <c r="J235" s="1153"/>
      <c r="K235" s="1152" t="str">
        <f t="shared" ref="K235:M237" si="32">D235</f>
        <v>Rs./kVA/month</v>
      </c>
      <c r="L235" s="1157"/>
      <c r="M235" s="1157" t="str">
        <f t="shared" si="32"/>
        <v>Rs./kVA/month</v>
      </c>
      <c r="N235" s="1157"/>
      <c r="O235" s="1152" t="str">
        <f t="shared" si="25"/>
        <v>Rs/kVAh</v>
      </c>
      <c r="P235" s="1157"/>
      <c r="Q235" s="1153"/>
      <c r="R235" s="1158">
        <f>L235-E235</f>
        <v>-400</v>
      </c>
      <c r="S235" s="1158">
        <f>P235-I235</f>
        <v>-8.5</v>
      </c>
    </row>
    <row r="236" spans="2:19" s="351" customFormat="1">
      <c r="B236" s="1173" t="s">
        <v>1134</v>
      </c>
      <c r="C236" s="1167"/>
      <c r="D236" s="1152" t="s">
        <v>1547</v>
      </c>
      <c r="E236" s="1157">
        <f>E235</f>
        <v>400</v>
      </c>
      <c r="F236" s="1152" t="s">
        <v>1547</v>
      </c>
      <c r="G236" s="1157">
        <v>950</v>
      </c>
      <c r="H236" s="1152" t="s">
        <v>1548</v>
      </c>
      <c r="I236" s="1157">
        <v>8.8000000000000007</v>
      </c>
      <c r="J236" s="1153"/>
      <c r="K236" s="1152" t="str">
        <f t="shared" si="32"/>
        <v>Rs./kVA/month</v>
      </c>
      <c r="L236" s="1157"/>
      <c r="M236" s="1157" t="str">
        <f t="shared" si="32"/>
        <v>Rs./kVA/month</v>
      </c>
      <c r="N236" s="1157"/>
      <c r="O236" s="1152" t="str">
        <f t="shared" si="25"/>
        <v>Rs/kVAh</v>
      </c>
      <c r="P236" s="1157"/>
      <c r="Q236" s="1153"/>
      <c r="R236" s="1158">
        <f>L236-E236</f>
        <v>-400</v>
      </c>
      <c r="S236" s="1158">
        <f>P236-I236</f>
        <v>-8.8000000000000007</v>
      </c>
    </row>
    <row r="237" spans="2:19" s="351" customFormat="1">
      <c r="B237" s="1173" t="s">
        <v>1135</v>
      </c>
      <c r="C237" s="1167"/>
      <c r="D237" s="1152" t="s">
        <v>1547</v>
      </c>
      <c r="E237" s="1157">
        <v>300</v>
      </c>
      <c r="F237" s="1152" t="s">
        <v>1547</v>
      </c>
      <c r="G237" s="1157">
        <v>900</v>
      </c>
      <c r="H237" s="1152" t="s">
        <v>1548</v>
      </c>
      <c r="I237" s="1157">
        <v>7.3</v>
      </c>
      <c r="J237" s="1153"/>
      <c r="K237" s="1152" t="str">
        <f t="shared" si="32"/>
        <v>Rs./kVA/month</v>
      </c>
      <c r="L237" s="1157"/>
      <c r="M237" s="1157" t="str">
        <f t="shared" si="32"/>
        <v>Rs./kVA/month</v>
      </c>
      <c r="N237" s="1157"/>
      <c r="O237" s="1152" t="str">
        <f t="shared" si="25"/>
        <v>Rs/kVAh</v>
      </c>
      <c r="P237" s="1157"/>
      <c r="Q237" s="1153"/>
      <c r="R237" s="1158">
        <f>L237-E237</f>
        <v>-300</v>
      </c>
      <c r="S237" s="1158">
        <f>P237-I237</f>
        <v>-7.3</v>
      </c>
    </row>
    <row r="238" spans="2:19" s="351" customFormat="1">
      <c r="B238" s="1154" t="s">
        <v>1425</v>
      </c>
      <c r="C238" s="1167"/>
      <c r="D238" s="1152"/>
      <c r="E238" s="1159"/>
      <c r="F238" s="1159"/>
      <c r="G238" s="1159"/>
      <c r="H238" s="1155"/>
      <c r="I238" s="1159"/>
      <c r="J238" s="1153"/>
      <c r="K238" s="1152"/>
      <c r="L238" s="1157"/>
      <c r="M238" s="1157"/>
      <c r="N238" s="1157"/>
      <c r="O238" s="1152"/>
      <c r="P238" s="1157"/>
      <c r="Q238" s="1153"/>
      <c r="R238" s="1157"/>
      <c r="S238" s="1157"/>
    </row>
    <row r="239" spans="2:19" s="351" customFormat="1">
      <c r="B239" s="1173"/>
      <c r="C239" s="1167"/>
      <c r="D239" s="1152"/>
      <c r="E239" s="1157"/>
      <c r="F239" s="1157"/>
      <c r="G239" s="1157"/>
      <c r="H239" s="1152"/>
      <c r="I239" s="1157"/>
      <c r="J239" s="1153"/>
      <c r="K239" s="1152"/>
      <c r="L239" s="1157"/>
      <c r="M239" s="1157"/>
      <c r="N239" s="1157"/>
      <c r="O239" s="1152"/>
      <c r="P239" s="1157"/>
      <c r="Q239" s="1153"/>
      <c r="R239" s="1157"/>
      <c r="S239" s="1157"/>
    </row>
    <row r="240" spans="2:19" s="351" customFormat="1">
      <c r="B240" s="1172" t="s">
        <v>1137</v>
      </c>
      <c r="C240" s="1166"/>
      <c r="D240" s="1155"/>
      <c r="E240" s="1157"/>
      <c r="F240" s="1157"/>
      <c r="G240" s="1157"/>
      <c r="H240" s="1152"/>
      <c r="I240" s="1157"/>
      <c r="J240" s="1153"/>
      <c r="K240" s="1155"/>
      <c r="L240" s="1157"/>
      <c r="M240" s="1157"/>
      <c r="N240" s="1157"/>
      <c r="O240" s="1152"/>
      <c r="P240" s="1157"/>
      <c r="Q240" s="1153"/>
      <c r="R240" s="1157"/>
      <c r="S240" s="1157"/>
    </row>
    <row r="241" spans="2:19" s="351" customFormat="1">
      <c r="B241" s="1173" t="s">
        <v>1138</v>
      </c>
      <c r="C241" s="1167"/>
      <c r="D241" s="1152" t="s">
        <v>1547</v>
      </c>
      <c r="E241" s="1157">
        <v>350</v>
      </c>
      <c r="F241" s="1152" t="s">
        <v>1547</v>
      </c>
      <c r="G241" s="1157">
        <v>1125</v>
      </c>
      <c r="H241" s="1152" t="s">
        <v>1548</v>
      </c>
      <c r="I241" s="1157">
        <v>8.5</v>
      </c>
      <c r="J241" s="1153"/>
      <c r="K241" s="1152" t="str">
        <f t="shared" ref="K241:M243" si="33">D241</f>
        <v>Rs./kVA/month</v>
      </c>
      <c r="L241" s="1157"/>
      <c r="M241" s="1157" t="str">
        <f t="shared" si="33"/>
        <v>Rs./kVA/month</v>
      </c>
      <c r="N241" s="1157"/>
      <c r="O241" s="1152" t="str">
        <f t="shared" si="25"/>
        <v>Rs/kVAh</v>
      </c>
      <c r="P241" s="1157"/>
      <c r="Q241" s="1153"/>
      <c r="R241" s="1158">
        <f>L241-E241</f>
        <v>-350</v>
      </c>
      <c r="S241" s="1158">
        <f>P241-I241</f>
        <v>-8.5</v>
      </c>
    </row>
    <row r="242" spans="2:19" s="351" customFormat="1">
      <c r="B242" s="1173" t="s">
        <v>1139</v>
      </c>
      <c r="C242" s="1167"/>
      <c r="D242" s="1152" t="s">
        <v>1547</v>
      </c>
      <c r="E242" s="1157">
        <v>340</v>
      </c>
      <c r="F242" s="1152" t="s">
        <v>1547</v>
      </c>
      <c r="G242" s="1157">
        <v>1125</v>
      </c>
      <c r="H242" s="1152" t="s">
        <v>1548</v>
      </c>
      <c r="I242" s="1157">
        <v>8.4</v>
      </c>
      <c r="J242" s="1153"/>
      <c r="K242" s="1152" t="str">
        <f t="shared" si="33"/>
        <v>Rs./kVA/month</v>
      </c>
      <c r="L242" s="1157"/>
      <c r="M242" s="1157" t="str">
        <f t="shared" si="33"/>
        <v>Rs./kVA/month</v>
      </c>
      <c r="N242" s="1157"/>
      <c r="O242" s="1152" t="str">
        <f t="shared" si="25"/>
        <v>Rs/kVAh</v>
      </c>
      <c r="P242" s="1157"/>
      <c r="Q242" s="1153"/>
      <c r="R242" s="1158">
        <f>L242-E242</f>
        <v>-340</v>
      </c>
      <c r="S242" s="1158">
        <f>P242-I242</f>
        <v>-8.4</v>
      </c>
    </row>
    <row r="243" spans="2:19" s="351" customFormat="1">
      <c r="B243" s="1173" t="s">
        <v>1140</v>
      </c>
      <c r="C243" s="1167"/>
      <c r="D243" s="1152" t="s">
        <v>1547</v>
      </c>
      <c r="E243" s="1157">
        <v>330</v>
      </c>
      <c r="F243" s="1152" t="s">
        <v>1547</v>
      </c>
      <c r="G243" s="1157">
        <v>1125</v>
      </c>
      <c r="H243" s="1152" t="s">
        <v>1548</v>
      </c>
      <c r="I243" s="1157">
        <v>8.25</v>
      </c>
      <c r="J243" s="1153"/>
      <c r="K243" s="1152" t="str">
        <f t="shared" si="33"/>
        <v>Rs./kVA/month</v>
      </c>
      <c r="L243" s="1157"/>
      <c r="M243" s="1157" t="str">
        <f t="shared" si="33"/>
        <v>Rs./kVA/month</v>
      </c>
      <c r="N243" s="1157"/>
      <c r="O243" s="1152" t="str">
        <f t="shared" si="25"/>
        <v>Rs/kVAh</v>
      </c>
      <c r="P243" s="1157"/>
      <c r="Q243" s="1153"/>
      <c r="R243" s="1158">
        <f>L243-E243</f>
        <v>-330</v>
      </c>
      <c r="S243" s="1158">
        <f>P243-I243</f>
        <v>-8.25</v>
      </c>
    </row>
    <row r="244" spans="2:19" s="351" customFormat="1">
      <c r="B244" s="1154" t="s">
        <v>1425</v>
      </c>
      <c r="C244" s="1167"/>
      <c r="D244" s="1152"/>
      <c r="E244" s="1159"/>
      <c r="F244" s="1159"/>
      <c r="G244" s="1159"/>
      <c r="H244" s="1155"/>
      <c r="I244" s="1159"/>
      <c r="J244" s="1153"/>
      <c r="K244" s="1152"/>
      <c r="L244" s="1157"/>
      <c r="M244" s="1157"/>
      <c r="N244" s="1157"/>
      <c r="O244" s="1152"/>
      <c r="P244" s="1157"/>
      <c r="Q244" s="1153"/>
      <c r="R244" s="1157"/>
      <c r="S244" s="1157"/>
    </row>
    <row r="245" spans="2:19" s="351" customFormat="1">
      <c r="B245" s="1173"/>
      <c r="C245" s="1167"/>
      <c r="D245" s="1152"/>
      <c r="E245" s="1157"/>
      <c r="F245" s="1157"/>
      <c r="G245" s="1157"/>
      <c r="H245" s="1152"/>
      <c r="I245" s="1157"/>
      <c r="J245" s="1153"/>
      <c r="K245" s="1152"/>
      <c r="L245" s="1157"/>
      <c r="M245" s="1157"/>
      <c r="N245" s="1157"/>
      <c r="O245" s="1152"/>
      <c r="P245" s="1157"/>
      <c r="Q245" s="1153"/>
      <c r="R245" s="1157"/>
      <c r="S245" s="1157"/>
    </row>
    <row r="246" spans="2:19" s="351" customFormat="1">
      <c r="B246" s="1172" t="s">
        <v>1143</v>
      </c>
      <c r="C246" s="1166"/>
      <c r="D246" s="1155"/>
      <c r="E246" s="1159"/>
      <c r="F246" s="1159"/>
      <c r="G246" s="1159"/>
      <c r="H246" s="1155"/>
      <c r="I246" s="1159">
        <v>4.1938907363780746</v>
      </c>
      <c r="J246" s="1153"/>
      <c r="K246" s="1155"/>
      <c r="L246" s="1157"/>
      <c r="M246" s="1157"/>
      <c r="N246" s="1157"/>
      <c r="O246" s="1152"/>
      <c r="P246" s="1157"/>
      <c r="Q246" s="1153"/>
      <c r="R246" s="1158">
        <f>L246-E246</f>
        <v>0</v>
      </c>
      <c r="S246" s="1158">
        <f>P246-I246</f>
        <v>-4.1938907363780746</v>
      </c>
    </row>
    <row r="247" spans="2:19" s="351" customFormat="1">
      <c r="B247" s="1172" t="s">
        <v>1434</v>
      </c>
      <c r="C247" s="1166"/>
      <c r="D247" s="1155"/>
      <c r="E247" s="1159"/>
      <c r="F247" s="1159"/>
      <c r="G247" s="1159"/>
      <c r="H247" s="1155"/>
      <c r="I247" s="1159">
        <v>7.83</v>
      </c>
      <c r="J247" s="1153"/>
      <c r="K247" s="1155"/>
      <c r="L247" s="1157"/>
      <c r="M247" s="1157"/>
      <c r="N247" s="1157"/>
      <c r="O247" s="1152"/>
      <c r="P247" s="1157"/>
      <c r="Q247" s="1153"/>
      <c r="R247" s="1158">
        <f>L247-E247</f>
        <v>0</v>
      </c>
      <c r="S247" s="1158">
        <f>P247-I247</f>
        <v>-7.83</v>
      </c>
    </row>
    <row r="248" spans="2:19" s="351" customFormat="1">
      <c r="B248" s="1172" t="s">
        <v>126</v>
      </c>
      <c r="C248" s="1166"/>
      <c r="D248" s="1155"/>
      <c r="E248" s="1159"/>
      <c r="F248" s="1159"/>
      <c r="G248" s="1159"/>
      <c r="H248" s="1155"/>
      <c r="I248" s="1159"/>
      <c r="J248" s="1153"/>
      <c r="K248" s="1155"/>
      <c r="L248" s="1157"/>
      <c r="M248" s="1157"/>
      <c r="N248" s="1157"/>
      <c r="O248" s="1152"/>
      <c r="P248" s="1157"/>
      <c r="Q248" s="1153"/>
      <c r="R248" s="1157"/>
      <c r="S248" s="1157"/>
    </row>
  </sheetData>
  <mergeCells count="3">
    <mergeCell ref="D5:I5"/>
    <mergeCell ref="K5:P5"/>
    <mergeCell ref="R5:S5"/>
  </mergeCells>
  <printOptions horizontalCentered="1"/>
  <pageMargins left="0.19685039370078741" right="0.19685039370078741" top="0.19685039370078741" bottom="0.19685039370078741" header="0.19685039370078741" footer="0.19685039370078741"/>
  <pageSetup paperSize="9" scale="53" fitToHeight="4" orientation="landscape" r:id="rId1"/>
  <rowBreaks count="7" manualBreakCount="7">
    <brk id="37" min="1" max="8" man="1"/>
    <brk id="75" min="1" max="8" man="1"/>
    <brk id="109" min="1" max="8" man="1"/>
    <brk id="145" min="1" max="8" man="1"/>
    <brk id="179" min="1" max="8" man="1"/>
    <brk id="213" min="1" max="8" man="1"/>
    <brk id="250" min="1" max="8" man="1"/>
  </rowBreaks>
  <ignoredErrors>
    <ignoredError sqref="D116:D12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view="pageBreakPreview" topLeftCell="C1" zoomScale="98" zoomScaleSheetLayoutView="98" workbookViewId="0">
      <selection activeCell="C105" sqref="C105"/>
    </sheetView>
  </sheetViews>
  <sheetFormatPr defaultColWidth="20.81640625" defaultRowHeight="14.5"/>
  <cols>
    <col min="1" max="1" width="5" style="229" customWidth="1"/>
    <col min="2" max="2" width="49.453125" style="1323" customWidth="1"/>
    <col min="3" max="3" width="11.7265625" style="229" customWidth="1"/>
    <col min="4" max="4" width="8" style="229" customWidth="1"/>
    <col min="5" max="5" width="10.54296875" style="229" bestFit="1" customWidth="1"/>
    <col min="6" max="6" width="11.453125" style="229" customWidth="1"/>
    <col min="7" max="7" width="8.1796875" style="229" bestFit="1" customWidth="1"/>
    <col min="8" max="9" width="9.81640625" style="229" customWidth="1"/>
    <col min="10" max="10" width="8.453125" style="229" customWidth="1"/>
    <col min="11" max="11" width="10.453125" style="229" customWidth="1"/>
    <col min="12" max="12" width="10.7265625" style="229" customWidth="1"/>
    <col min="13" max="13" width="8" style="229" customWidth="1"/>
    <col min="14" max="14" width="10.453125" style="229" customWidth="1"/>
    <col min="15" max="16384" width="20.81640625" style="229"/>
  </cols>
  <sheetData>
    <row r="1" spans="1:14">
      <c r="A1" s="307" t="s">
        <v>421</v>
      </c>
      <c r="B1" s="1382" t="s">
        <v>421</v>
      </c>
    </row>
    <row r="2" spans="1:14">
      <c r="A2" s="715" t="s">
        <v>1604</v>
      </c>
      <c r="B2" s="1383" t="s">
        <v>1604</v>
      </c>
      <c r="C2" s="715"/>
      <c r="D2" s="715"/>
      <c r="E2" s="715"/>
      <c r="F2" s="715"/>
      <c r="G2" s="715"/>
      <c r="H2" s="715"/>
      <c r="I2" s="715"/>
      <c r="J2" s="715"/>
      <c r="K2" s="715"/>
      <c r="L2" s="715"/>
      <c r="M2" s="715"/>
      <c r="N2" s="715"/>
    </row>
    <row r="3" spans="1:14">
      <c r="A3" s="304" t="s">
        <v>243</v>
      </c>
      <c r="B3" s="1354" t="s">
        <v>243</v>
      </c>
      <c r="C3" s="304"/>
      <c r="D3" s="304"/>
      <c r="E3" s="304"/>
      <c r="F3" s="304"/>
      <c r="G3" s="304"/>
      <c r="H3" s="304"/>
      <c r="I3" s="304"/>
      <c r="J3" s="3060"/>
      <c r="K3" s="3060"/>
      <c r="L3" s="48"/>
      <c r="M3" s="48"/>
      <c r="N3" s="48"/>
    </row>
    <row r="4" spans="1:14">
      <c r="A4" s="225"/>
      <c r="B4" s="1355"/>
      <c r="C4" s="225"/>
      <c r="D4" s="225"/>
      <c r="E4" s="225"/>
      <c r="J4" s="3061"/>
      <c r="K4" s="3061"/>
      <c r="M4" s="3061" t="s">
        <v>141</v>
      </c>
      <c r="N4" s="3061"/>
    </row>
    <row r="5" spans="1:14" ht="15.75" customHeight="1">
      <c r="A5" s="2990" t="s">
        <v>117</v>
      </c>
      <c r="B5" s="3018" t="s">
        <v>14</v>
      </c>
      <c r="C5" s="3069" t="s">
        <v>561</v>
      </c>
      <c r="D5" s="3069"/>
      <c r="E5" s="3069"/>
      <c r="F5" s="3063" t="s">
        <v>568</v>
      </c>
      <c r="G5" s="3063"/>
      <c r="H5" s="3064"/>
      <c r="I5" s="3070" t="s">
        <v>550</v>
      </c>
      <c r="J5" s="3070"/>
      <c r="K5" s="3070"/>
      <c r="L5" s="3070" t="s">
        <v>952</v>
      </c>
      <c r="M5" s="3070"/>
      <c r="N5" s="3070"/>
    </row>
    <row r="6" spans="1:14" ht="15.75" customHeight="1">
      <c r="A6" s="2990"/>
      <c r="B6" s="3018"/>
      <c r="C6" s="3068" t="s">
        <v>551</v>
      </c>
      <c r="D6" s="3068"/>
      <c r="E6" s="3068"/>
      <c r="F6" s="3063" t="s">
        <v>545</v>
      </c>
      <c r="G6" s="3063"/>
      <c r="H6" s="3064"/>
      <c r="I6" s="3062" t="s">
        <v>546</v>
      </c>
      <c r="J6" s="3063"/>
      <c r="K6" s="3064"/>
      <c r="L6" s="3062" t="s">
        <v>547</v>
      </c>
      <c r="M6" s="3063"/>
      <c r="N6" s="3064"/>
    </row>
    <row r="7" spans="1:14" ht="15.75" customHeight="1">
      <c r="A7" s="2990"/>
      <c r="B7" s="2994"/>
      <c r="C7" s="3065" t="s">
        <v>560</v>
      </c>
      <c r="D7" s="3066"/>
      <c r="E7" s="3067"/>
      <c r="F7" s="3062" t="s">
        <v>544</v>
      </c>
      <c r="G7" s="3063"/>
      <c r="H7" s="3064"/>
      <c r="I7" s="3062" t="s">
        <v>283</v>
      </c>
      <c r="J7" s="3063"/>
      <c r="K7" s="3064"/>
      <c r="L7" s="3062" t="s">
        <v>283</v>
      </c>
      <c r="M7" s="3063"/>
      <c r="N7" s="3064"/>
    </row>
    <row r="8" spans="1:14" ht="72.5">
      <c r="A8" s="2990"/>
      <c r="B8" s="2994"/>
      <c r="C8" s="1305" t="s">
        <v>1295</v>
      </c>
      <c r="D8" s="1305" t="s">
        <v>268</v>
      </c>
      <c r="E8" s="1305" t="s">
        <v>269</v>
      </c>
      <c r="F8" s="1305" t="s">
        <v>1295</v>
      </c>
      <c r="G8" s="1305" t="s">
        <v>268</v>
      </c>
      <c r="H8" s="1305" t="s">
        <v>269</v>
      </c>
      <c r="I8" s="1305" t="s">
        <v>1295</v>
      </c>
      <c r="J8" s="1305" t="s">
        <v>268</v>
      </c>
      <c r="K8" s="1305" t="s">
        <v>269</v>
      </c>
      <c r="L8" s="1305" t="s">
        <v>1295</v>
      </c>
      <c r="M8" s="1305" t="s">
        <v>268</v>
      </c>
      <c r="N8" s="1305" t="s">
        <v>269</v>
      </c>
    </row>
    <row r="9" spans="1:14">
      <c r="A9" s="21"/>
      <c r="B9" s="191"/>
      <c r="C9" s="52"/>
      <c r="D9" s="52"/>
      <c r="E9" s="52"/>
      <c r="F9" s="36"/>
      <c r="G9" s="36"/>
      <c r="H9" s="36"/>
      <c r="I9" s="241"/>
      <c r="J9" s="241"/>
      <c r="K9" s="241"/>
      <c r="L9" s="241"/>
      <c r="M9" s="241"/>
      <c r="N9" s="241"/>
    </row>
    <row r="10" spans="1:14">
      <c r="A10" s="21"/>
      <c r="B10" s="1379" t="s">
        <v>522</v>
      </c>
      <c r="C10" s="40"/>
      <c r="D10" s="40"/>
      <c r="E10" s="768">
        <f>'F2'!F35</f>
        <v>8694.7640756000001</v>
      </c>
      <c r="F10" s="35"/>
      <c r="G10" s="35"/>
      <c r="H10" s="768">
        <f ca="1">'F2'!J35</f>
        <v>10568.837486983783</v>
      </c>
      <c r="I10" s="1322"/>
      <c r="J10" s="40"/>
      <c r="K10" s="768">
        <f ca="1">'F2'!N35</f>
        <v>10382.240436489048</v>
      </c>
      <c r="L10" s="35"/>
      <c r="M10" s="1322"/>
      <c r="N10" s="768">
        <f ca="1">'F2'!R35</f>
        <v>10874.123821511885</v>
      </c>
    </row>
    <row r="11" spans="1:14">
      <c r="A11" s="21"/>
      <c r="B11" s="1379"/>
      <c r="C11" s="52"/>
      <c r="D11" s="52"/>
      <c r="E11" s="52"/>
      <c r="F11" s="36"/>
      <c r="G11" s="36"/>
      <c r="H11" s="36"/>
      <c r="I11" s="241"/>
      <c r="J11" s="52"/>
      <c r="K11" s="36"/>
      <c r="L11" s="36"/>
      <c r="M11" s="241"/>
      <c r="N11" s="241"/>
    </row>
    <row r="12" spans="1:14">
      <c r="A12" s="21"/>
      <c r="B12" s="1367" t="s">
        <v>1043</v>
      </c>
      <c r="C12" s="52"/>
      <c r="D12" s="52"/>
      <c r="E12" s="52"/>
      <c r="F12" s="36"/>
      <c r="G12" s="36"/>
      <c r="H12" s="36"/>
      <c r="I12" s="241"/>
      <c r="J12" s="52"/>
      <c r="K12" s="36"/>
      <c r="L12" s="36"/>
      <c r="M12" s="241"/>
      <c r="N12" s="241"/>
    </row>
    <row r="13" spans="1:14">
      <c r="A13" s="263"/>
      <c r="B13" s="1369" t="s">
        <v>1395</v>
      </c>
      <c r="C13" s="253"/>
      <c r="D13" s="59"/>
      <c r="E13" s="59"/>
      <c r="F13" s="35"/>
      <c r="G13" s="35"/>
      <c r="H13" s="35"/>
      <c r="I13" s="1322"/>
      <c r="J13" s="59"/>
      <c r="K13" s="35"/>
      <c r="L13" s="35"/>
      <c r="M13" s="1322"/>
      <c r="N13" s="1322"/>
    </row>
    <row r="14" spans="1:14">
      <c r="A14" s="263"/>
      <c r="B14" s="1372" t="s">
        <v>1396</v>
      </c>
      <c r="C14" s="253"/>
      <c r="D14" s="958">
        <f>F4A!D12</f>
        <v>1.3447118219996191E-2</v>
      </c>
      <c r="E14" s="774">
        <f>D14*$E$10</f>
        <v>116.9195204195691</v>
      </c>
      <c r="F14" s="35"/>
      <c r="G14" s="987">
        <f>F4A!F12</f>
        <v>0</v>
      </c>
      <c r="H14" s="988">
        <f ca="1">G14*$H$10</f>
        <v>0</v>
      </c>
      <c r="I14" s="1322"/>
      <c r="J14" s="987">
        <f>F4A!H12</f>
        <v>0.2081227848589372</v>
      </c>
      <c r="K14" s="989">
        <f ca="1">J14*$K$10</f>
        <v>2160.7807927171684</v>
      </c>
      <c r="L14" s="1322"/>
      <c r="M14" s="987">
        <f>F4A!J12</f>
        <v>0.21242892125096471</v>
      </c>
      <c r="N14" s="989">
        <f ca="1">M14*$N$10</f>
        <v>2309.9783929531877</v>
      </c>
    </row>
    <row r="15" spans="1:14">
      <c r="A15" s="263"/>
      <c r="B15" s="1369" t="s">
        <v>1044</v>
      </c>
      <c r="C15" s="253"/>
      <c r="D15" s="958">
        <f>F4A!D13</f>
        <v>0.11880061373012954</v>
      </c>
      <c r="E15" s="774">
        <f t="shared" ref="E15:E78" si="0">D15*$E$10</f>
        <v>1032.9433084199625</v>
      </c>
      <c r="F15" s="35"/>
      <c r="G15" s="987">
        <f>F4A!F13</f>
        <v>8.4772092108868144E-2</v>
      </c>
      <c r="H15" s="988">
        <f t="shared" ref="H15:H78" ca="1" si="1">G15*$H$10</f>
        <v>895.94246493024775</v>
      </c>
      <c r="I15" s="1322"/>
      <c r="J15" s="987">
        <f>F4A!H13</f>
        <v>6.1110074355766472E-2</v>
      </c>
      <c r="K15" s="989">
        <f t="shared" ref="K15:K78" ca="1" si="2">J15*$K$10</f>
        <v>634.45948505329113</v>
      </c>
      <c r="L15" s="1322"/>
      <c r="M15" s="987">
        <f>F4A!J13</f>
        <v>2.7653703296388589E-2</v>
      </c>
      <c r="N15" s="989">
        <f t="shared" ref="N15:N78" ca="1" si="3">M15*$N$10</f>
        <v>300.70979376828086</v>
      </c>
    </row>
    <row r="16" spans="1:14">
      <c r="A16" s="263"/>
      <c r="B16" s="1369" t="s">
        <v>1045</v>
      </c>
      <c r="C16" s="263"/>
      <c r="D16" s="958">
        <f>F4A!D14</f>
        <v>0.30616326060890342</v>
      </c>
      <c r="E16" s="774">
        <f t="shared" si="0"/>
        <v>2662.017319610854</v>
      </c>
      <c r="F16" s="35"/>
      <c r="G16" s="987">
        <f>F4A!F14</f>
        <v>0.25937469710311528</v>
      </c>
      <c r="H16" s="988">
        <f t="shared" ca="1" si="1"/>
        <v>2741.2890219184687</v>
      </c>
      <c r="I16" s="1322"/>
      <c r="J16" s="987">
        <f>F4A!H14</f>
        <v>7.8127168406079958E-2</v>
      </c>
      <c r="K16" s="989">
        <f t="shared" ca="1" si="2"/>
        <v>811.1350470139929</v>
      </c>
      <c r="L16" s="1322"/>
      <c r="M16" s="987">
        <f>F4A!J14</f>
        <v>9.2970900652561764E-2</v>
      </c>
      <c r="N16" s="989">
        <f t="shared" ca="1" si="3"/>
        <v>1010.9770854934367</v>
      </c>
    </row>
    <row r="17" spans="1:14">
      <c r="A17" s="263"/>
      <c r="B17" s="1369" t="s">
        <v>1046</v>
      </c>
      <c r="C17" s="263"/>
      <c r="D17" s="958">
        <f>F4A!D15</f>
        <v>1.8363947425584827E-3</v>
      </c>
      <c r="E17" s="774">
        <f t="shared" si="0"/>
        <v>15.967019036218206</v>
      </c>
      <c r="F17" s="35"/>
      <c r="G17" s="987">
        <f>F4A!F15</f>
        <v>7.0976316071697854E-4</v>
      </c>
      <c r="H17" s="988">
        <f t="shared" ca="1" si="1"/>
        <v>7.501371499865698</v>
      </c>
      <c r="I17" s="1322"/>
      <c r="J17" s="987">
        <f>F4A!H15</f>
        <v>3.6770604917272961E-4</v>
      </c>
      <c r="K17" s="989">
        <f t="shared" ca="1" si="2"/>
        <v>3.8176126124627436</v>
      </c>
      <c r="L17" s="1322"/>
      <c r="M17" s="987">
        <f>F4A!J15</f>
        <v>3.5744192529314566E-4</v>
      </c>
      <c r="N17" s="989">
        <f t="shared" ca="1" si="3"/>
        <v>3.8868677546372665</v>
      </c>
    </row>
    <row r="18" spans="1:14">
      <c r="A18" s="263"/>
      <c r="B18" s="1369" t="s">
        <v>1047</v>
      </c>
      <c r="C18" s="21"/>
      <c r="D18" s="958">
        <f>F4A!D16</f>
        <v>0.15571685676002314</v>
      </c>
      <c r="E18" s="774">
        <f t="shared" si="0"/>
        <v>1353.9213321224001</v>
      </c>
      <c r="F18" s="36"/>
      <c r="G18" s="987">
        <f>F4A!F16</f>
        <v>0.20824011014706104</v>
      </c>
      <c r="H18" s="988">
        <f t="shared" ca="1" si="1"/>
        <v>2200.8558824158908</v>
      </c>
      <c r="I18" s="1322"/>
      <c r="J18" s="987">
        <f>F4A!H16</f>
        <v>0.21526716620691516</v>
      </c>
      <c r="K18" s="989">
        <f t="shared" ca="1" si="2"/>
        <v>2234.9554776418431</v>
      </c>
      <c r="L18" s="241"/>
      <c r="M18" s="987">
        <f>F4A!J16</f>
        <v>0.23728439564779447</v>
      </c>
      <c r="N18" s="989">
        <f t="shared" ca="1" si="3"/>
        <v>2580.2598991867326</v>
      </c>
    </row>
    <row r="19" spans="1:14">
      <c r="A19" s="263"/>
      <c r="B19" s="1369" t="s">
        <v>1425</v>
      </c>
      <c r="C19" s="54"/>
      <c r="D19" s="958">
        <f>F4A!D17</f>
        <v>0.59596424406161075</v>
      </c>
      <c r="E19" s="774">
        <f t="shared" si="0"/>
        <v>5181.7684996090038</v>
      </c>
      <c r="F19" s="35"/>
      <c r="G19" s="987">
        <f>F4A!F17</f>
        <v>0.58206057860079141</v>
      </c>
      <c r="H19" s="988">
        <f t="shared" ca="1" si="1"/>
        <v>6151.7036628115147</v>
      </c>
      <c r="I19" s="1322"/>
      <c r="J19" s="987">
        <f>F4A!H17</f>
        <v>0.56299489987687157</v>
      </c>
      <c r="K19" s="989">
        <f t="shared" ca="1" si="2"/>
        <v>5845.1484150387587</v>
      </c>
      <c r="L19" s="1322"/>
      <c r="M19" s="987">
        <f>F4A!J17</f>
        <v>0.5706953627730027</v>
      </c>
      <c r="N19" s="989">
        <f t="shared" ca="1" si="3"/>
        <v>6205.8120391562752</v>
      </c>
    </row>
    <row r="20" spans="1:14">
      <c r="A20" s="263"/>
      <c r="B20" s="1369" t="s">
        <v>1446</v>
      </c>
      <c r="C20" s="55"/>
      <c r="D20" s="958">
        <f>F4A!D18</f>
        <v>0</v>
      </c>
      <c r="E20" s="774">
        <f t="shared" si="0"/>
        <v>0</v>
      </c>
      <c r="F20" s="35"/>
      <c r="G20" s="987">
        <f>F4A!F18</f>
        <v>0</v>
      </c>
      <c r="H20" s="988">
        <f t="shared" ca="1" si="1"/>
        <v>0</v>
      </c>
      <c r="I20" s="1322"/>
      <c r="J20" s="987">
        <f>F4A!H18</f>
        <v>0</v>
      </c>
      <c r="K20" s="989">
        <f t="shared" ca="1" si="2"/>
        <v>0</v>
      </c>
      <c r="L20" s="1322"/>
      <c r="M20" s="987">
        <f>F4A!J18</f>
        <v>0</v>
      </c>
      <c r="N20" s="989">
        <f t="shared" ca="1" si="3"/>
        <v>0</v>
      </c>
    </row>
    <row r="21" spans="1:14">
      <c r="A21" s="263"/>
      <c r="B21" s="1367" t="s">
        <v>1398</v>
      </c>
      <c r="C21" s="154"/>
      <c r="D21" s="958">
        <f>F4A!D19</f>
        <v>0</v>
      </c>
      <c r="E21" s="774">
        <f t="shared" si="0"/>
        <v>0</v>
      </c>
      <c r="F21" s="154"/>
      <c r="G21" s="987">
        <f>F4A!F19</f>
        <v>0</v>
      </c>
      <c r="H21" s="988">
        <f t="shared" ca="1" si="1"/>
        <v>0</v>
      </c>
      <c r="I21" s="1322"/>
      <c r="J21" s="987">
        <f>F4A!H19</f>
        <v>0</v>
      </c>
      <c r="K21" s="989">
        <f t="shared" ca="1" si="2"/>
        <v>0</v>
      </c>
      <c r="L21" s="154"/>
      <c r="M21" s="987">
        <f>F4A!J19</f>
        <v>0</v>
      </c>
      <c r="N21" s="989">
        <f t="shared" ca="1" si="3"/>
        <v>0</v>
      </c>
    </row>
    <row r="22" spans="1:14">
      <c r="A22" s="263"/>
      <c r="B22" s="1380" t="s">
        <v>1051</v>
      </c>
      <c r="C22" s="209"/>
      <c r="D22" s="958">
        <f>F4A!D20</f>
        <v>2.081247374899614E-3</v>
      </c>
      <c r="E22" s="774">
        <f t="shared" si="0"/>
        <v>18.095954907713971</v>
      </c>
      <c r="F22" s="209"/>
      <c r="G22" s="987">
        <f>F4A!F20</f>
        <v>1.7513517847101052E-3</v>
      </c>
      <c r="H22" s="988">
        <f t="shared" ca="1" si="1"/>
        <v>18.509752395140112</v>
      </c>
      <c r="I22" s="209"/>
      <c r="J22" s="987">
        <f>F4A!H20</f>
        <v>0</v>
      </c>
      <c r="K22" s="989">
        <f t="shared" ca="1" si="2"/>
        <v>0</v>
      </c>
      <c r="L22" s="209"/>
      <c r="M22" s="987">
        <f>F4A!J20</f>
        <v>0</v>
      </c>
      <c r="N22" s="989">
        <f t="shared" ca="1" si="3"/>
        <v>0</v>
      </c>
    </row>
    <row r="23" spans="1:14">
      <c r="A23" s="1351"/>
      <c r="B23" s="1380" t="s">
        <v>1052</v>
      </c>
      <c r="C23" s="955"/>
      <c r="D23" s="958">
        <f>F4A!D21</f>
        <v>8.8052773553445197E-3</v>
      </c>
      <c r="E23" s="774">
        <f t="shared" si="0"/>
        <v>76.559809224943706</v>
      </c>
      <c r="F23" s="955"/>
      <c r="G23" s="987">
        <f>F4A!F21</f>
        <v>2.2216189585382986E-2</v>
      </c>
      <c r="H23" s="988">
        <f t="shared" ca="1" si="1"/>
        <v>234.79929730793441</v>
      </c>
      <c r="I23" s="263"/>
      <c r="J23" s="987">
        <f>F4A!H21</f>
        <v>3.0775331802777656E-2</v>
      </c>
      <c r="K23" s="989">
        <f t="shared" ca="1" si="2"/>
        <v>319.51689428916558</v>
      </c>
      <c r="L23" s="263"/>
      <c r="M23" s="987">
        <f>F4A!J21</f>
        <v>3.1042319541266118E-2</v>
      </c>
      <c r="N23" s="989">
        <f t="shared" ca="1" si="3"/>
        <v>337.55802639866579</v>
      </c>
    </row>
    <row r="24" spans="1:14" ht="28.5">
      <c r="A24" s="1351"/>
      <c r="B24" s="1380" t="s">
        <v>1399</v>
      </c>
      <c r="C24" s="17"/>
      <c r="D24" s="958">
        <f>F4A!D22</f>
        <v>4.7087044680986739E-5</v>
      </c>
      <c r="E24" s="774">
        <f t="shared" si="0"/>
        <v>0.40941074451841558</v>
      </c>
      <c r="F24" s="17"/>
      <c r="G24" s="987">
        <f>F4A!F22</f>
        <v>1.6533747010295033E-3</v>
      </c>
      <c r="H24" s="988">
        <f t="shared" ca="1" si="1"/>
        <v>17.474248520271217</v>
      </c>
      <c r="I24" s="263"/>
      <c r="J24" s="987">
        <f>F4A!H22</f>
        <v>2.3907853886870204E-3</v>
      </c>
      <c r="K24" s="989">
        <f t="shared" ca="1" si="2"/>
        <v>24.821708737393568</v>
      </c>
      <c r="L24" s="263"/>
      <c r="M24" s="987">
        <f>F4A!J22</f>
        <v>2.347289644975391E-3</v>
      </c>
      <c r="N24" s="989">
        <f t="shared" ca="1" si="3"/>
        <v>25.524718244415073</v>
      </c>
    </row>
    <row r="25" spans="1:14">
      <c r="A25" s="1351"/>
      <c r="B25" s="1380" t="s">
        <v>1054</v>
      </c>
      <c r="C25" s="263"/>
      <c r="D25" s="958">
        <f>F4A!D23</f>
        <v>8.3296982040665532E-2</v>
      </c>
      <c r="E25" s="774">
        <f t="shared" si="0"/>
        <v>724.2476070530771</v>
      </c>
      <c r="F25" s="263"/>
      <c r="G25" s="987">
        <f>F4A!F23</f>
        <v>6.066283551615409E-2</v>
      </c>
      <c r="H25" s="988">
        <f t="shared" ca="1" si="1"/>
        <v>641.1356500698605</v>
      </c>
      <c r="I25" s="263"/>
      <c r="J25" s="987">
        <f>F4A!H23</f>
        <v>5.784812093330103E-2</v>
      </c>
      <c r="K25" s="989">
        <f t="shared" ca="1" si="2"/>
        <v>600.59310032862652</v>
      </c>
      <c r="L25" s="263"/>
      <c r="M25" s="987">
        <f>F4A!J23</f>
        <v>5.8349975440760642E-2</v>
      </c>
      <c r="N25" s="989">
        <f t="shared" ca="1" si="3"/>
        <v>634.50485792500876</v>
      </c>
    </row>
    <row r="26" spans="1:14">
      <c r="A26" s="1351"/>
      <c r="B26" s="1369" t="s">
        <v>1425</v>
      </c>
      <c r="C26" s="263"/>
      <c r="D26" s="958">
        <f>F4A!D24</f>
        <v>9.4230593815590652E-2</v>
      </c>
      <c r="E26" s="774">
        <f t="shared" si="0"/>
        <v>819.3127819302531</v>
      </c>
      <c r="F26" s="263"/>
      <c r="G26" s="987">
        <f>F4A!F24</f>
        <v>8.6283751587276677E-2</v>
      </c>
      <c r="H26" s="988">
        <f t="shared" ca="1" si="1"/>
        <v>911.9189482932062</v>
      </c>
      <c r="I26" s="263"/>
      <c r="J26" s="987">
        <f>F4A!H24</f>
        <v>9.1014238124765709E-2</v>
      </c>
      <c r="K26" s="989">
        <f t="shared" ca="1" si="2"/>
        <v>944.93170335518573</v>
      </c>
      <c r="L26" s="263"/>
      <c r="M26" s="987">
        <f>F4A!J24</f>
        <v>9.1739584627002144E-2</v>
      </c>
      <c r="N26" s="989">
        <f t="shared" ca="1" si="3"/>
        <v>997.58760256808955</v>
      </c>
    </row>
    <row r="27" spans="1:14">
      <c r="A27" s="1351"/>
      <c r="B27" s="1369" t="s">
        <v>1446</v>
      </c>
      <c r="C27" s="263"/>
      <c r="D27" s="958">
        <f>F4A!D25</f>
        <v>0</v>
      </c>
      <c r="E27" s="774">
        <f t="shared" si="0"/>
        <v>0</v>
      </c>
      <c r="F27" s="263"/>
      <c r="G27" s="987">
        <f>F4A!F25</f>
        <v>0</v>
      </c>
      <c r="H27" s="988">
        <f t="shared" ca="1" si="1"/>
        <v>0</v>
      </c>
      <c r="I27" s="263"/>
      <c r="J27" s="987">
        <f>F4A!H25</f>
        <v>0</v>
      </c>
      <c r="K27" s="989">
        <f t="shared" ca="1" si="2"/>
        <v>0</v>
      </c>
      <c r="L27" s="263"/>
      <c r="M27" s="987">
        <f>F4A!J25</f>
        <v>0</v>
      </c>
      <c r="N27" s="989">
        <f t="shared" ca="1" si="3"/>
        <v>0</v>
      </c>
    </row>
    <row r="28" spans="1:14">
      <c r="A28" s="1351"/>
      <c r="B28" s="1367" t="s">
        <v>1400</v>
      </c>
      <c r="C28" s="263"/>
      <c r="D28" s="958">
        <f>F4A!D26</f>
        <v>0</v>
      </c>
      <c r="E28" s="774">
        <f t="shared" si="0"/>
        <v>0</v>
      </c>
      <c r="F28" s="263"/>
      <c r="G28" s="987">
        <f>F4A!F26</f>
        <v>0</v>
      </c>
      <c r="H28" s="988">
        <f t="shared" ca="1" si="1"/>
        <v>0</v>
      </c>
      <c r="I28" s="263"/>
      <c r="J28" s="987">
        <f>F4A!H26</f>
        <v>0</v>
      </c>
      <c r="K28" s="989">
        <f t="shared" ca="1" si="2"/>
        <v>0</v>
      </c>
      <c r="L28" s="263"/>
      <c r="M28" s="987">
        <f>F4A!J26</f>
        <v>0</v>
      </c>
      <c r="N28" s="989">
        <f t="shared" ca="1" si="3"/>
        <v>0</v>
      </c>
    </row>
    <row r="29" spans="1:14">
      <c r="A29" s="1351"/>
      <c r="B29" s="1380" t="s">
        <v>1401</v>
      </c>
      <c r="C29" s="263"/>
      <c r="D29" s="958">
        <f>F4A!D27</f>
        <v>0</v>
      </c>
      <c r="E29" s="774">
        <f t="shared" si="0"/>
        <v>0</v>
      </c>
      <c r="F29" s="263"/>
      <c r="G29" s="987">
        <f>F4A!F27</f>
        <v>0</v>
      </c>
      <c r="H29" s="988">
        <f t="shared" ca="1" si="1"/>
        <v>0</v>
      </c>
      <c r="I29" s="263"/>
      <c r="J29" s="987">
        <f>F4A!H27</f>
        <v>0</v>
      </c>
      <c r="K29" s="989">
        <f t="shared" ca="1" si="2"/>
        <v>0</v>
      </c>
      <c r="L29" s="263"/>
      <c r="M29" s="987">
        <f>F4A!J27</f>
        <v>0</v>
      </c>
      <c r="N29" s="989">
        <f t="shared" ca="1" si="3"/>
        <v>0</v>
      </c>
    </row>
    <row r="30" spans="1:14">
      <c r="A30" s="1351"/>
      <c r="B30" s="1381" t="s">
        <v>1060</v>
      </c>
      <c r="C30" s="263"/>
      <c r="D30" s="958">
        <f>F4A!D28</f>
        <v>1.4126113404296022E-4</v>
      </c>
      <c r="E30" s="774">
        <f t="shared" si="0"/>
        <v>1.2282322335552467</v>
      </c>
      <c r="F30" s="263"/>
      <c r="G30" s="987">
        <f>F4A!F28</f>
        <v>2.1197931012536544E-4</v>
      </c>
      <c r="H30" s="988">
        <f t="shared" ca="1" si="1"/>
        <v>2.240374879317923</v>
      </c>
      <c r="I30" s="263"/>
      <c r="J30" s="987">
        <f>F4A!H28</f>
        <v>1.053863695252459E-4</v>
      </c>
      <c r="K30" s="989">
        <f t="shared" ca="1" si="2"/>
        <v>1.0941466271397851</v>
      </c>
      <c r="L30" s="263"/>
      <c r="M30" s="987">
        <f>F4A!J28</f>
        <v>5.1222310467162814E-5</v>
      </c>
      <c r="N30" s="989">
        <f t="shared" ca="1" si="3"/>
        <v>0.55699774644385269</v>
      </c>
    </row>
    <row r="31" spans="1:14">
      <c r="A31" s="1351"/>
      <c r="B31" s="1381" t="s">
        <v>1061</v>
      </c>
      <c r="C31" s="263"/>
      <c r="D31" s="958">
        <f>F4A!D29</f>
        <v>1.5566976971534217E-3</v>
      </c>
      <c r="E31" s="774">
        <f t="shared" si="0"/>
        <v>13.53511921377882</v>
      </c>
      <c r="F31" s="263"/>
      <c r="G31" s="987">
        <f>F4A!F29</f>
        <v>1.8664497474122474E-3</v>
      </c>
      <c r="H31" s="988">
        <f t="shared" ca="1" si="1"/>
        <v>19.726204058021974</v>
      </c>
      <c r="I31" s="263"/>
      <c r="J31" s="987">
        <f>F4A!H29</f>
        <v>9.279130244586642E-4</v>
      </c>
      <c r="K31" s="989">
        <f t="shared" ca="1" si="2"/>
        <v>9.6338161240795941</v>
      </c>
      <c r="L31" s="263"/>
      <c r="M31" s="987">
        <f>F4A!J29</f>
        <v>4.5100565888608294E-4</v>
      </c>
      <c r="N31" s="989">
        <f t="shared" ca="1" si="3"/>
        <v>4.9042913789298179</v>
      </c>
    </row>
    <row r="32" spans="1:14">
      <c r="A32" s="1351"/>
      <c r="B32" s="1381" t="s">
        <v>1062</v>
      </c>
      <c r="C32" s="263"/>
      <c r="D32" s="958">
        <f>F4A!D30</f>
        <v>5.6504453617184087E-4</v>
      </c>
      <c r="E32" s="774">
        <f t="shared" si="0"/>
        <v>4.9129289342209868</v>
      </c>
      <c r="F32" s="263"/>
      <c r="G32" s="987">
        <f>F4A!F30</f>
        <v>6.8698097769898212E-4</v>
      </c>
      <c r="H32" s="988">
        <f t="shared" ca="1" si="1"/>
        <v>7.2605903099497722</v>
      </c>
      <c r="I32" s="263"/>
      <c r="J32" s="987">
        <f>F4A!H30</f>
        <v>3.4153536554951006E-4</v>
      </c>
      <c r="K32" s="989">
        <f t="shared" ca="1" si="2"/>
        <v>3.5459022826991919</v>
      </c>
      <c r="L32" s="263"/>
      <c r="M32" s="987">
        <f>F4A!J30</f>
        <v>1.6600088425573959E-4</v>
      </c>
      <c r="N32" s="989">
        <f t="shared" ca="1" si="3"/>
        <v>1.8051141698773749</v>
      </c>
    </row>
    <row r="33" spans="1:14">
      <c r="A33" s="1351"/>
      <c r="B33" s="1380" t="s">
        <v>476</v>
      </c>
      <c r="C33" s="263"/>
      <c r="D33" s="958">
        <f>F4A!D31</f>
        <v>0</v>
      </c>
      <c r="E33" s="774">
        <f t="shared" si="0"/>
        <v>0</v>
      </c>
      <c r="F33" s="263"/>
      <c r="G33" s="987">
        <f>F4A!F31</f>
        <v>0</v>
      </c>
      <c r="H33" s="988">
        <f t="shared" ca="1" si="1"/>
        <v>0</v>
      </c>
      <c r="I33" s="263"/>
      <c r="J33" s="987">
        <f>F4A!H31</f>
        <v>0</v>
      </c>
      <c r="K33" s="989">
        <f t="shared" ca="1" si="2"/>
        <v>0</v>
      </c>
      <c r="L33" s="263"/>
      <c r="M33" s="987">
        <f>F4A!J31</f>
        <v>0</v>
      </c>
      <c r="N33" s="989">
        <f t="shared" ca="1" si="3"/>
        <v>0</v>
      </c>
    </row>
    <row r="34" spans="1:14">
      <c r="A34" s="1351"/>
      <c r="B34" s="1381" t="s">
        <v>1063</v>
      </c>
      <c r="C34" s="263"/>
      <c r="D34" s="958">
        <f>F4A!D32</f>
        <v>1.4126113404296021E-5</v>
      </c>
      <c r="E34" s="774">
        <f t="shared" si="0"/>
        <v>0.12282322335552466</v>
      </c>
      <c r="F34" s="263"/>
      <c r="G34" s="987">
        <f>F4A!F32</f>
        <v>6.9305318279195508E-5</v>
      </c>
      <c r="H34" s="988">
        <f t="shared" ca="1" si="1"/>
        <v>0.73247664587650385</v>
      </c>
      <c r="I34" s="263"/>
      <c r="J34" s="987">
        <f>F4A!H32</f>
        <v>1.102573397815711E-4</v>
      </c>
      <c r="K34" s="989">
        <f t="shared" ca="1" si="2"/>
        <v>1.1447182114999399</v>
      </c>
      <c r="L34" s="263"/>
      <c r="M34" s="987">
        <f>F4A!J32</f>
        <v>1.2861554787436922E-4</v>
      </c>
      <c r="N34" s="989">
        <f t="shared" ca="1" si="3"/>
        <v>1.3985813929574806</v>
      </c>
    </row>
    <row r="35" spans="1:14">
      <c r="A35" s="1351"/>
      <c r="B35" s="1381" t="s">
        <v>1064</v>
      </c>
      <c r="C35" s="263"/>
      <c r="D35" s="958">
        <f>F4A!D33</f>
        <v>5.038313780865581E-4</v>
      </c>
      <c r="E35" s="774">
        <f t="shared" si="0"/>
        <v>4.380694966347046</v>
      </c>
      <c r="F35" s="263"/>
      <c r="G35" s="987">
        <f>F4A!F33</f>
        <v>7.0935225962046164E-4</v>
      </c>
      <c r="H35" s="988">
        <f t="shared" ca="1" si="1"/>
        <v>7.4970287529533879</v>
      </c>
      <c r="I35" s="263"/>
      <c r="J35" s="987">
        <f>F4A!H33</f>
        <v>1.1285034836536693E-3</v>
      </c>
      <c r="K35" s="989">
        <f t="shared" ca="1" si="2"/>
        <v>11.716394500707883</v>
      </c>
      <c r="L35" s="263"/>
      <c r="M35" s="987">
        <f>F4A!J33</f>
        <v>1.3164030087773877E-3</v>
      </c>
      <c r="N35" s="989">
        <f t="shared" ca="1" si="3"/>
        <v>14.314729316456111</v>
      </c>
    </row>
    <row r="36" spans="1:14">
      <c r="A36" s="1351"/>
      <c r="B36" s="1381" t="s">
        <v>1065</v>
      </c>
      <c r="C36" s="263"/>
      <c r="D36" s="958">
        <f>F4A!D34</f>
        <v>1.9305688319204563E-3</v>
      </c>
      <c r="E36" s="774">
        <f t="shared" si="0"/>
        <v>16.785840525255036</v>
      </c>
      <c r="F36" s="263"/>
      <c r="G36" s="987">
        <f>F4A!F34</f>
        <v>2.2029320897822544E-3</v>
      </c>
      <c r="H36" s="988">
        <f t="shared" ca="1" si="1"/>
        <v>23.282431251770216</v>
      </c>
      <c r="I36" s="263"/>
      <c r="J36" s="987">
        <f>F4A!H34</f>
        <v>3.5046290525695559E-3</v>
      </c>
      <c r="K36" s="989">
        <f t="shared" ca="1" si="2"/>
        <v>36.385901464481947</v>
      </c>
      <c r="L36" s="263"/>
      <c r="M36" s="987">
        <f>F4A!J34</f>
        <v>4.0881612651424166E-3</v>
      </c>
      <c r="N36" s="989">
        <f t="shared" ca="1" si="3"/>
        <v>44.455171799467315</v>
      </c>
    </row>
    <row r="37" spans="1:14">
      <c r="A37" s="1351"/>
      <c r="B37" s="1369" t="s">
        <v>1425</v>
      </c>
      <c r="C37" s="263"/>
      <c r="D37" s="958">
        <f>F4A!D35</f>
        <v>4.7115296907795333E-3</v>
      </c>
      <c r="E37" s="774">
        <f t="shared" si="0"/>
        <v>40.96563909651266</v>
      </c>
      <c r="F37" s="263"/>
      <c r="G37" s="987">
        <f>F4A!F35</f>
        <v>5.7469997029185073E-3</v>
      </c>
      <c r="H37" s="988">
        <f t="shared" ca="1" si="1"/>
        <v>60.739105897889779</v>
      </c>
      <c r="I37" s="263"/>
      <c r="J37" s="987">
        <f>F4A!H35</f>
        <v>6.1182246355382169E-3</v>
      </c>
      <c r="K37" s="989">
        <f t="shared" ca="1" si="2"/>
        <v>63.520879210608342</v>
      </c>
      <c r="L37" s="263"/>
      <c r="M37" s="987">
        <f>F4A!J35</f>
        <v>6.201408675403159E-3</v>
      </c>
      <c r="N37" s="989">
        <f t="shared" ca="1" si="3"/>
        <v>67.434885804131952</v>
      </c>
    </row>
    <row r="38" spans="1:14">
      <c r="A38" s="1351"/>
      <c r="B38" s="1369" t="s">
        <v>1446</v>
      </c>
      <c r="C38" s="263"/>
      <c r="D38" s="958">
        <f>F4A!D36</f>
        <v>0</v>
      </c>
      <c r="E38" s="774">
        <f t="shared" si="0"/>
        <v>0</v>
      </c>
      <c r="F38" s="263"/>
      <c r="G38" s="987">
        <f>F4A!F36</f>
        <v>0</v>
      </c>
      <c r="H38" s="988">
        <f t="shared" ca="1" si="1"/>
        <v>0</v>
      </c>
      <c r="I38" s="263"/>
      <c r="J38" s="987">
        <f>F4A!H36</f>
        <v>0</v>
      </c>
      <c r="K38" s="989">
        <f t="shared" ca="1" si="2"/>
        <v>0</v>
      </c>
      <c r="L38" s="263"/>
      <c r="M38" s="987">
        <f>F4A!J36</f>
        <v>0</v>
      </c>
      <c r="N38" s="989">
        <f t="shared" ca="1" si="3"/>
        <v>0</v>
      </c>
    </row>
    <row r="39" spans="1:14">
      <c r="A39" s="1351"/>
      <c r="B39" s="1367" t="s">
        <v>1067</v>
      </c>
      <c r="C39" s="263"/>
      <c r="D39" s="958">
        <f>F4A!D37</f>
        <v>0</v>
      </c>
      <c r="E39" s="774">
        <f t="shared" si="0"/>
        <v>0</v>
      </c>
      <c r="F39" s="263"/>
      <c r="G39" s="987">
        <f>F4A!F37</f>
        <v>0</v>
      </c>
      <c r="H39" s="988">
        <f t="shared" ca="1" si="1"/>
        <v>0</v>
      </c>
      <c r="I39" s="263"/>
      <c r="J39" s="987">
        <f>F4A!H37</f>
        <v>0</v>
      </c>
      <c r="K39" s="989">
        <f t="shared" ca="1" si="2"/>
        <v>0</v>
      </c>
      <c r="L39" s="263"/>
      <c r="M39" s="987">
        <f>F4A!J37</f>
        <v>0</v>
      </c>
      <c r="N39" s="989">
        <f t="shared" ca="1" si="3"/>
        <v>0</v>
      </c>
    </row>
    <row r="40" spans="1:14">
      <c r="A40" s="1351"/>
      <c r="B40" s="1380" t="s">
        <v>1068</v>
      </c>
      <c r="C40" s="263"/>
      <c r="D40" s="958">
        <f>F4A!D38</f>
        <v>7.2514048808719573E-3</v>
      </c>
      <c r="E40" s="774">
        <f t="shared" si="0"/>
        <v>63.049254655835995</v>
      </c>
      <c r="F40" s="263"/>
      <c r="G40" s="987">
        <f>F4A!F38</f>
        <v>9.3562636233687855E-3</v>
      </c>
      <c r="H40" s="988">
        <f t="shared" ca="1" si="1"/>
        <v>98.884829720762738</v>
      </c>
      <c r="I40" s="263"/>
      <c r="J40" s="987">
        <f>F4A!H38</f>
        <v>8.9868568972709516E-3</v>
      </c>
      <c r="K40" s="989">
        <f t="shared" ca="1" si="2"/>
        <v>93.303709075786983</v>
      </c>
      <c r="L40" s="263"/>
      <c r="M40" s="987">
        <f>F4A!J38</f>
        <v>9.0854382637392244E-3</v>
      </c>
      <c r="N40" s="989">
        <f t="shared" ca="1" si="3"/>
        <v>98.796180652602274</v>
      </c>
    </row>
    <row r="41" spans="1:14">
      <c r="A41" s="1351"/>
      <c r="B41" s="1380" t="s">
        <v>1072</v>
      </c>
      <c r="C41" s="263"/>
      <c r="D41" s="958">
        <f>F4A!D39</f>
        <v>1.7097305923666284E-3</v>
      </c>
      <c r="E41" s="774">
        <f t="shared" si="0"/>
        <v>14.865704133463668</v>
      </c>
      <c r="F41" s="263"/>
      <c r="G41" s="987">
        <f>F4A!F39</f>
        <v>3.0200774037223346E-3</v>
      </c>
      <c r="H41" s="988">
        <f t="shared" ca="1" si="1"/>
        <v>31.918707278053265</v>
      </c>
      <c r="I41" s="263"/>
      <c r="J41" s="987">
        <f>F4A!H39</f>
        <v>2.7186036540894076E-3</v>
      </c>
      <c r="K41" s="989">
        <f t="shared" ca="1" si="2"/>
        <v>28.225196788273934</v>
      </c>
      <c r="L41" s="263"/>
      <c r="M41" s="987">
        <f>F4A!J39</f>
        <v>2.7748525560936164E-3</v>
      </c>
      <c r="N41" s="989">
        <f t="shared" ca="1" si="3"/>
        <v>30.174090281400737</v>
      </c>
    </row>
    <row r="42" spans="1:14">
      <c r="A42" s="1351"/>
      <c r="B42" s="1369" t="s">
        <v>1425</v>
      </c>
      <c r="C42" s="263"/>
      <c r="D42" s="958">
        <f>F4A!D40</f>
        <v>8.9611354732385858E-3</v>
      </c>
      <c r="E42" s="774">
        <f t="shared" si="0"/>
        <v>77.914958789299661</v>
      </c>
      <c r="F42" s="263"/>
      <c r="G42" s="987">
        <f>F4A!F40</f>
        <v>1.2376341027091122E-2</v>
      </c>
      <c r="H42" s="988">
        <f t="shared" ca="1" si="1"/>
        <v>130.80353699881601</v>
      </c>
      <c r="I42" s="263"/>
      <c r="J42" s="987">
        <f>F4A!H40</f>
        <v>1.1705460551360361E-2</v>
      </c>
      <c r="K42" s="989">
        <f t="shared" ca="1" si="2"/>
        <v>121.52890586406093</v>
      </c>
      <c r="L42" s="263"/>
      <c r="M42" s="987">
        <f>F4A!J40</f>
        <v>1.1860290819832843E-2</v>
      </c>
      <c r="N42" s="989">
        <f t="shared" ca="1" si="3"/>
        <v>128.97027093400303</v>
      </c>
    </row>
    <row r="43" spans="1:14">
      <c r="A43" s="1351"/>
      <c r="B43" s="1369" t="s">
        <v>1446</v>
      </c>
      <c r="C43" s="263"/>
      <c r="D43" s="958">
        <f>F4A!D41</f>
        <v>0</v>
      </c>
      <c r="E43" s="774">
        <f t="shared" si="0"/>
        <v>0</v>
      </c>
      <c r="F43" s="263"/>
      <c r="G43" s="987">
        <f>F4A!F41</f>
        <v>0</v>
      </c>
      <c r="H43" s="988">
        <f t="shared" ca="1" si="1"/>
        <v>0</v>
      </c>
      <c r="I43" s="263"/>
      <c r="J43" s="987">
        <f>F4A!H41</f>
        <v>0</v>
      </c>
      <c r="K43" s="989">
        <f t="shared" ca="1" si="2"/>
        <v>0</v>
      </c>
      <c r="L43" s="263"/>
      <c r="M43" s="987">
        <f>F4A!J41</f>
        <v>0</v>
      </c>
      <c r="N43" s="989">
        <f t="shared" ca="1" si="3"/>
        <v>0</v>
      </c>
    </row>
    <row r="44" spans="1:14">
      <c r="A44" s="1351"/>
      <c r="B44" s="1367" t="s">
        <v>1076</v>
      </c>
      <c r="C44" s="263"/>
      <c r="D44" s="958">
        <f>F4A!D42</f>
        <v>0</v>
      </c>
      <c r="E44" s="774">
        <f t="shared" si="0"/>
        <v>0</v>
      </c>
      <c r="F44" s="263"/>
      <c r="G44" s="987">
        <f>F4A!F42</f>
        <v>0</v>
      </c>
      <c r="H44" s="988">
        <f t="shared" ca="1" si="1"/>
        <v>0</v>
      </c>
      <c r="I44" s="263"/>
      <c r="J44" s="987">
        <f>F4A!H42</f>
        <v>0</v>
      </c>
      <c r="K44" s="989">
        <f t="shared" ca="1" si="2"/>
        <v>0</v>
      </c>
      <c r="L44" s="263"/>
      <c r="M44" s="987">
        <f>F4A!J42</f>
        <v>0</v>
      </c>
      <c r="N44" s="989">
        <f t="shared" ca="1" si="3"/>
        <v>0</v>
      </c>
    </row>
    <row r="45" spans="1:14">
      <c r="A45" s="1351"/>
      <c r="B45" s="1380" t="s">
        <v>1401</v>
      </c>
      <c r="C45" s="263"/>
      <c r="D45" s="958">
        <f>F4A!D43</f>
        <v>0</v>
      </c>
      <c r="E45" s="774">
        <f t="shared" si="0"/>
        <v>0</v>
      </c>
      <c r="F45" s="263"/>
      <c r="G45" s="987">
        <f>F4A!F43</f>
        <v>0</v>
      </c>
      <c r="H45" s="988">
        <f t="shared" ca="1" si="1"/>
        <v>0</v>
      </c>
      <c r="I45" s="263"/>
      <c r="J45" s="987">
        <f>F4A!H43</f>
        <v>0</v>
      </c>
      <c r="K45" s="989">
        <f t="shared" ca="1" si="2"/>
        <v>0</v>
      </c>
      <c r="L45" s="263"/>
      <c r="M45" s="987">
        <f>F4A!J43</f>
        <v>0</v>
      </c>
      <c r="N45" s="989">
        <f t="shared" ca="1" si="3"/>
        <v>0</v>
      </c>
    </row>
    <row r="46" spans="1:14">
      <c r="A46" s="1351"/>
      <c r="B46" s="1381" t="s">
        <v>1077</v>
      </c>
      <c r="C46" s="263"/>
      <c r="D46" s="958">
        <f>F4A!D44</f>
        <v>9.3803262451732108E-2</v>
      </c>
      <c r="E46" s="774">
        <f t="shared" si="0"/>
        <v>815.59723653939875</v>
      </c>
      <c r="F46" s="263"/>
      <c r="G46" s="987">
        <f>F4A!F44</f>
        <v>0.10015942505988085</v>
      </c>
      <c r="H46" s="988">
        <f t="shared" ca="1" si="1"/>
        <v>1058.5686862476116</v>
      </c>
      <c r="I46" s="263"/>
      <c r="J46" s="987">
        <f>F4A!H44</f>
        <v>9.9589514937749909E-2</v>
      </c>
      <c r="K46" s="989">
        <f t="shared" ca="1" si="2"/>
        <v>1033.9622890370372</v>
      </c>
      <c r="L46" s="263"/>
      <c r="M46" s="987">
        <f>F4A!J44</f>
        <v>9.6809579386707159E-2</v>
      </c>
      <c r="N46" s="989">
        <f t="shared" ca="1" si="3"/>
        <v>1052.7193533595382</v>
      </c>
    </row>
    <row r="47" spans="1:14">
      <c r="A47" s="1351"/>
      <c r="B47" s="1380" t="s">
        <v>476</v>
      </c>
      <c r="C47" s="263"/>
      <c r="D47" s="958">
        <f>F4A!D45</f>
        <v>0</v>
      </c>
      <c r="E47" s="774">
        <f t="shared" si="0"/>
        <v>0</v>
      </c>
      <c r="F47" s="263"/>
      <c r="G47" s="987">
        <f>F4A!F45</f>
        <v>0</v>
      </c>
      <c r="H47" s="988">
        <f t="shared" ca="1" si="1"/>
        <v>0</v>
      </c>
      <c r="I47" s="263"/>
      <c r="J47" s="987">
        <f>F4A!H45</f>
        <v>0</v>
      </c>
      <c r="K47" s="989">
        <f t="shared" ca="1" si="2"/>
        <v>0</v>
      </c>
      <c r="L47" s="263"/>
      <c r="M47" s="987">
        <f>F4A!J45</f>
        <v>0</v>
      </c>
      <c r="N47" s="989">
        <f t="shared" ca="1" si="3"/>
        <v>0</v>
      </c>
    </row>
    <row r="48" spans="1:14">
      <c r="A48" s="1351"/>
      <c r="B48" s="1381" t="s">
        <v>1078</v>
      </c>
      <c r="C48" s="263"/>
      <c r="D48" s="958">
        <f>F4A!D46</f>
        <v>4.8103112003764961E-3</v>
      </c>
      <c r="E48" s="774">
        <f t="shared" si="0"/>
        <v>41.824521017489872</v>
      </c>
      <c r="F48" s="263"/>
      <c r="G48" s="987">
        <f>F4A!F46</f>
        <v>7.0098813952247157E-3</v>
      </c>
      <c r="H48" s="988">
        <f t="shared" ca="1" si="1"/>
        <v>74.08629726916115</v>
      </c>
      <c r="I48" s="263"/>
      <c r="J48" s="987">
        <f>F4A!H46</f>
        <v>9.7579743122266135E-3</v>
      </c>
      <c r="K48" s="989">
        <f t="shared" ca="1" si="2"/>
        <v>101.30963548262055</v>
      </c>
      <c r="L48" s="263"/>
      <c r="M48" s="987">
        <f>F4A!J46</f>
        <v>1.090842944497666E-2</v>
      </c>
      <c r="N48" s="989">
        <f t="shared" ca="1" si="3"/>
        <v>118.61961248290237</v>
      </c>
    </row>
    <row r="49" spans="1:14">
      <c r="A49" s="1351"/>
      <c r="B49" s="1381" t="s">
        <v>1079</v>
      </c>
      <c r="C49" s="263"/>
      <c r="D49" s="958">
        <f>F4A!D47</f>
        <v>2.4495949638903454E-3</v>
      </c>
      <c r="E49" s="774">
        <f t="shared" si="0"/>
        <v>21.298650291804453</v>
      </c>
      <c r="F49" s="263"/>
      <c r="G49" s="987">
        <f>F4A!F47</f>
        <v>8.0695496674645893E-3</v>
      </c>
      <c r="H49" s="988">
        <f t="shared" ca="1" si="1"/>
        <v>85.285759028577274</v>
      </c>
      <c r="I49" s="263"/>
      <c r="J49" s="987">
        <f>F4A!H47</f>
        <v>1.1308487727577601E-2</v>
      </c>
      <c r="K49" s="989">
        <f t="shared" ca="1" si="2"/>
        <v>117.40743856079632</v>
      </c>
      <c r="L49" s="263"/>
      <c r="M49" s="987">
        <f>F4A!J47</f>
        <v>1.2641746796883751E-2</v>
      </c>
      <c r="N49" s="989">
        <f t="shared" ca="1" si="3"/>
        <v>137.46791998951517</v>
      </c>
    </row>
    <row r="50" spans="1:14">
      <c r="A50" s="1351"/>
      <c r="B50" s="1369" t="s">
        <v>1425</v>
      </c>
      <c r="C50" s="263"/>
      <c r="D50" s="958">
        <f>F4A!D48</f>
        <v>0.10106316861599894</v>
      </c>
      <c r="E50" s="774">
        <f t="shared" si="0"/>
        <v>878.72040784869296</v>
      </c>
      <c r="F50" s="263"/>
      <c r="G50" s="987">
        <f>F4A!F48</f>
        <v>0.11523885612257015</v>
      </c>
      <c r="H50" s="988">
        <f t="shared" ca="1" si="1"/>
        <v>1217.9407425453501</v>
      </c>
      <c r="I50" s="263"/>
      <c r="J50" s="987">
        <f>F4A!H48</f>
        <v>0.12065597697755413</v>
      </c>
      <c r="K50" s="989">
        <f t="shared" ca="1" si="2"/>
        <v>1252.6793630804541</v>
      </c>
      <c r="L50" s="263"/>
      <c r="M50" s="987">
        <f>F4A!J48</f>
        <v>0.12035975562856756</v>
      </c>
      <c r="N50" s="989">
        <f t="shared" ca="1" si="3"/>
        <v>1308.8068858319557</v>
      </c>
    </row>
    <row r="51" spans="1:14">
      <c r="A51" s="1351"/>
      <c r="B51" s="1369" t="s">
        <v>1446</v>
      </c>
      <c r="C51" s="263"/>
      <c r="D51" s="958">
        <f>F4A!D49</f>
        <v>0</v>
      </c>
      <c r="E51" s="774">
        <f t="shared" si="0"/>
        <v>0</v>
      </c>
      <c r="F51" s="263"/>
      <c r="G51" s="987">
        <f>F4A!F49</f>
        <v>0</v>
      </c>
      <c r="H51" s="988">
        <f t="shared" ca="1" si="1"/>
        <v>0</v>
      </c>
      <c r="I51" s="263"/>
      <c r="J51" s="987">
        <f>F4A!H49</f>
        <v>0</v>
      </c>
      <c r="K51" s="989">
        <f t="shared" ca="1" si="2"/>
        <v>0</v>
      </c>
      <c r="L51" s="263"/>
      <c r="M51" s="987">
        <f>F4A!J49</f>
        <v>0</v>
      </c>
      <c r="N51" s="989">
        <f t="shared" ca="1" si="3"/>
        <v>0</v>
      </c>
    </row>
    <row r="52" spans="1:14" ht="28">
      <c r="A52" s="1351"/>
      <c r="B52" s="1367" t="s">
        <v>1081</v>
      </c>
      <c r="C52" s="263"/>
      <c r="D52" s="958">
        <f>F4A!D50</f>
        <v>0</v>
      </c>
      <c r="E52" s="774">
        <f t="shared" si="0"/>
        <v>0</v>
      </c>
      <c r="F52" s="263"/>
      <c r="G52" s="987">
        <f>F4A!F50</f>
        <v>0</v>
      </c>
      <c r="H52" s="988">
        <f t="shared" ca="1" si="1"/>
        <v>0</v>
      </c>
      <c r="I52" s="263"/>
      <c r="J52" s="987">
        <f>F4A!H50</f>
        <v>0</v>
      </c>
      <c r="K52" s="989">
        <f t="shared" ca="1" si="2"/>
        <v>0</v>
      </c>
      <c r="L52" s="263"/>
      <c r="M52" s="987">
        <f>F4A!J50</f>
        <v>0</v>
      </c>
      <c r="N52" s="989">
        <f t="shared" ca="1" si="3"/>
        <v>0</v>
      </c>
    </row>
    <row r="53" spans="1:14">
      <c r="A53" s="1351"/>
      <c r="B53" s="1380" t="s">
        <v>1012</v>
      </c>
      <c r="C53" s="263"/>
      <c r="D53" s="958">
        <f>F4A!D51</f>
        <v>4.8683295495672184E-3</v>
      </c>
      <c r="E53" s="774">
        <f t="shared" si="0"/>
        <v>42.328976875758983</v>
      </c>
      <c r="F53" s="263"/>
      <c r="G53" s="987">
        <f>F4A!F51</f>
        <v>1.2114049160481121E-2</v>
      </c>
      <c r="H53" s="988">
        <f t="shared" ca="1" si="1"/>
        <v>128.03141688645729</v>
      </c>
      <c r="I53" s="263"/>
      <c r="J53" s="987">
        <f>F4A!H51</f>
        <v>1.1114165013192722E-2</v>
      </c>
      <c r="K53" s="989">
        <f t="shared" ca="1" si="2"/>
        <v>115.38993341778131</v>
      </c>
      <c r="L53" s="263"/>
      <c r="M53" s="987">
        <f>F4A!J51</f>
        <v>1.1128042646449428E-2</v>
      </c>
      <c r="N53" s="989">
        <f t="shared" ca="1" si="3"/>
        <v>121.00771362855588</v>
      </c>
    </row>
    <row r="54" spans="1:14">
      <c r="A54" s="1351"/>
      <c r="B54" s="1380" t="s">
        <v>1011</v>
      </c>
      <c r="C54" s="263"/>
      <c r="D54" s="958">
        <f>F4A!D52</f>
        <v>2.0906647838358113E-2</v>
      </c>
      <c r="E54" s="774">
        <f t="shared" si="0"/>
        <v>181.77837056617651</v>
      </c>
      <c r="F54" s="263"/>
      <c r="G54" s="987">
        <f>F4A!F52</f>
        <v>1.4050854306752552E-2</v>
      </c>
      <c r="H54" s="988">
        <f t="shared" ca="1" si="1"/>
        <v>148.50119572135389</v>
      </c>
      <c r="I54" s="263"/>
      <c r="J54" s="987">
        <f>F4A!H52</f>
        <v>1.485157166640565E-2</v>
      </c>
      <c r="K54" s="989">
        <f t="shared" ca="1" si="2"/>
        <v>154.19258790037179</v>
      </c>
      <c r="L54" s="263"/>
      <c r="M54" s="987">
        <f>F4A!J52</f>
        <v>1.5158856105612344E-2</v>
      </c>
      <c r="N54" s="989">
        <f t="shared" ca="1" si="3"/>
        <v>164.83927828491005</v>
      </c>
    </row>
    <row r="55" spans="1:14">
      <c r="A55" s="1351"/>
      <c r="B55" s="1369" t="s">
        <v>1425</v>
      </c>
      <c r="C55" s="263"/>
      <c r="D55" s="958">
        <f>F4A!D53</f>
        <v>2.5774977387925328E-2</v>
      </c>
      <c r="E55" s="774">
        <f t="shared" si="0"/>
        <v>224.10734744193547</v>
      </c>
      <c r="F55" s="263"/>
      <c r="G55" s="987">
        <f>F4A!F53</f>
        <v>2.6164903467233675E-2</v>
      </c>
      <c r="H55" s="988">
        <f t="shared" ca="1" si="1"/>
        <v>276.53261260781119</v>
      </c>
      <c r="I55" s="263"/>
      <c r="J55" s="987">
        <f>F4A!H53</f>
        <v>2.596573667959837E-2</v>
      </c>
      <c r="K55" s="989">
        <f t="shared" ca="1" si="2"/>
        <v>269.58252131815306</v>
      </c>
      <c r="L55" s="263"/>
      <c r="M55" s="987">
        <f>F4A!J53</f>
        <v>2.6286898752061773E-2</v>
      </c>
      <c r="N55" s="989">
        <f t="shared" ca="1" si="3"/>
        <v>285.84699191346596</v>
      </c>
    </row>
    <row r="56" spans="1:14">
      <c r="A56" s="1351"/>
      <c r="B56" s="1369" t="s">
        <v>1446</v>
      </c>
      <c r="C56" s="263"/>
      <c r="D56" s="958">
        <f>F4A!D54</f>
        <v>0</v>
      </c>
      <c r="E56" s="774">
        <f t="shared" si="0"/>
        <v>0</v>
      </c>
      <c r="F56" s="263"/>
      <c r="G56" s="987">
        <f>F4A!F54</f>
        <v>0</v>
      </c>
      <c r="H56" s="988">
        <f t="shared" ca="1" si="1"/>
        <v>0</v>
      </c>
      <c r="I56" s="263"/>
      <c r="J56" s="987">
        <f>F4A!H54</f>
        <v>0</v>
      </c>
      <c r="K56" s="989">
        <f t="shared" ca="1" si="2"/>
        <v>0</v>
      </c>
      <c r="L56" s="263"/>
      <c r="M56" s="987">
        <f>F4A!J54</f>
        <v>0</v>
      </c>
      <c r="N56" s="989">
        <f t="shared" ca="1" si="3"/>
        <v>0</v>
      </c>
    </row>
    <row r="57" spans="1:14">
      <c r="A57" s="1351"/>
      <c r="B57" s="1367" t="s">
        <v>1402</v>
      </c>
      <c r="C57" s="263"/>
      <c r="D57" s="958">
        <f>F4A!D55</f>
        <v>0</v>
      </c>
      <c r="E57" s="774">
        <f t="shared" si="0"/>
        <v>0</v>
      </c>
      <c r="F57" s="263"/>
      <c r="G57" s="987">
        <f>F4A!F55</f>
        <v>0</v>
      </c>
      <c r="H57" s="988">
        <f t="shared" ca="1" si="1"/>
        <v>0</v>
      </c>
      <c r="I57" s="263"/>
      <c r="J57" s="987">
        <f>F4A!H55</f>
        <v>0</v>
      </c>
      <c r="K57" s="989">
        <f t="shared" ca="1" si="2"/>
        <v>0</v>
      </c>
      <c r="L57" s="263"/>
      <c r="M57" s="987">
        <f>F4A!J55</f>
        <v>0</v>
      </c>
      <c r="N57" s="989">
        <f t="shared" ca="1" si="3"/>
        <v>0</v>
      </c>
    </row>
    <row r="58" spans="1:14">
      <c r="A58" s="1351"/>
      <c r="B58" s="1380" t="s">
        <v>475</v>
      </c>
      <c r="C58" s="263"/>
      <c r="D58" s="958">
        <f>F4A!D56</f>
        <v>0</v>
      </c>
      <c r="E58" s="774">
        <f t="shared" si="0"/>
        <v>0</v>
      </c>
      <c r="F58" s="263"/>
      <c r="G58" s="987">
        <f>F4A!F56</f>
        <v>0</v>
      </c>
      <c r="H58" s="988">
        <f t="shared" ca="1" si="1"/>
        <v>0</v>
      </c>
      <c r="I58" s="263"/>
      <c r="J58" s="987">
        <f>F4A!H56</f>
        <v>0</v>
      </c>
      <c r="K58" s="989">
        <f t="shared" ca="1" si="2"/>
        <v>0</v>
      </c>
      <c r="L58" s="263"/>
      <c r="M58" s="987">
        <f>F4A!J56</f>
        <v>0</v>
      </c>
      <c r="N58" s="989">
        <f t="shared" ca="1" si="3"/>
        <v>0</v>
      </c>
    </row>
    <row r="59" spans="1:14">
      <c r="A59" s="1351"/>
      <c r="B59" s="1381" t="s">
        <v>1091</v>
      </c>
      <c r="C59" s="263"/>
      <c r="D59" s="958">
        <f>F4A!D57</f>
        <v>4.8063317329693715E-3</v>
      </c>
      <c r="E59" s="774">
        <f t="shared" si="0"/>
        <v>41.789920487238383</v>
      </c>
      <c r="F59" s="263"/>
      <c r="G59" s="987">
        <f>F4A!F57</f>
        <v>4.4557658349526257E-3</v>
      </c>
      <c r="H59" s="988">
        <f t="shared" ca="1" si="1"/>
        <v>47.092264989668905</v>
      </c>
      <c r="I59" s="263"/>
      <c r="J59" s="987">
        <f>F4A!H57</f>
        <v>4.3666530873198743E-3</v>
      </c>
      <c r="K59" s="989">
        <f t="shared" ca="1" si="2"/>
        <v>45.335642255292143</v>
      </c>
      <c r="L59" s="263"/>
      <c r="M59" s="987">
        <f>F4A!J57</f>
        <v>4.6692388638791367E-3</v>
      </c>
      <c r="N59" s="989">
        <f t="shared" ca="1" si="3"/>
        <v>50.77388155803721</v>
      </c>
    </row>
    <row r="60" spans="1:14">
      <c r="A60" s="1351"/>
      <c r="B60" s="1381" t="s">
        <v>1092</v>
      </c>
      <c r="C60" s="263"/>
      <c r="D60" s="958">
        <f>F4A!D58</f>
        <v>9.0315470855023008E-4</v>
      </c>
      <c r="E60" s="774">
        <f t="shared" si="0"/>
        <v>7.8527171146115284</v>
      </c>
      <c r="F60" s="263"/>
      <c r="G60" s="987">
        <f>F4A!F58</f>
        <v>5.0591056116717093E-4</v>
      </c>
      <c r="H60" s="988">
        <f t="shared" ca="1" si="1"/>
        <v>5.3468865039245976</v>
      </c>
      <c r="I60" s="263"/>
      <c r="J60" s="987">
        <f>F4A!H58</f>
        <v>8.4127512386037351E-4</v>
      </c>
      <c r="K60" s="989">
        <f t="shared" ca="1" si="2"/>
        <v>8.7343206091555015</v>
      </c>
      <c r="L60" s="263"/>
      <c r="M60" s="987">
        <f>F4A!J58</f>
        <v>8.995710043809671E-4</v>
      </c>
      <c r="N60" s="989">
        <f t="shared" ca="1" si="3"/>
        <v>9.7820464878804465</v>
      </c>
    </row>
    <row r="61" spans="1:14">
      <c r="A61" s="1351"/>
      <c r="B61" s="1381" t="s">
        <v>1093</v>
      </c>
      <c r="C61" s="263"/>
      <c r="D61" s="958">
        <f>F4A!D59</f>
        <v>7.0776146037520313E-4</v>
      </c>
      <c r="E61" s="774">
        <f t="shared" si="0"/>
        <v>6.1538189197645092</v>
      </c>
      <c r="F61" s="263"/>
      <c r="G61" s="987">
        <f>F4A!F59</f>
        <v>6.5995281668364367E-4</v>
      </c>
      <c r="H61" s="988">
        <f t="shared" ca="1" si="1"/>
        <v>6.9749340686066299</v>
      </c>
      <c r="I61" s="263"/>
      <c r="J61" s="987">
        <f>F4A!H59</f>
        <v>6.6392883183138615E-4</v>
      </c>
      <c r="K61" s="989">
        <f t="shared" ca="1" si="2"/>
        <v>6.8930687647907547</v>
      </c>
      <c r="L61" s="263"/>
      <c r="M61" s="987">
        <f>F4A!J59</f>
        <v>7.7447515625491629E-4</v>
      </c>
      <c r="N61" s="989">
        <f t="shared" ca="1" si="3"/>
        <v>8.4217387458007238</v>
      </c>
    </row>
    <row r="62" spans="1:14">
      <c r="A62" s="1351"/>
      <c r="B62" s="1380" t="s">
        <v>1403</v>
      </c>
      <c r="C62" s="263"/>
      <c r="D62" s="958">
        <f>F4A!D60</f>
        <v>0</v>
      </c>
      <c r="E62" s="774">
        <f t="shared" si="0"/>
        <v>0</v>
      </c>
      <c r="F62" s="263"/>
      <c r="G62" s="987">
        <f>F4A!F60</f>
        <v>0</v>
      </c>
      <c r="H62" s="988">
        <f t="shared" ca="1" si="1"/>
        <v>0</v>
      </c>
      <c r="I62" s="263"/>
      <c r="J62" s="987">
        <f>F4A!H60</f>
        <v>0</v>
      </c>
      <c r="K62" s="989">
        <f t="shared" ca="1" si="2"/>
        <v>0</v>
      </c>
      <c r="L62" s="263"/>
      <c r="M62" s="987">
        <f>F4A!J60</f>
        <v>0</v>
      </c>
      <c r="N62" s="989">
        <f t="shared" ca="1" si="3"/>
        <v>0</v>
      </c>
    </row>
    <row r="63" spans="1:14">
      <c r="A63" s="1351"/>
      <c r="B63" s="1381" t="s">
        <v>1094</v>
      </c>
      <c r="C63" s="263"/>
      <c r="D63" s="958">
        <f>F4A!D61</f>
        <v>1.4523404693346485E-3</v>
      </c>
      <c r="E63" s="774">
        <f t="shared" si="0"/>
        <v>12.627757738310946</v>
      </c>
      <c r="F63" s="263"/>
      <c r="G63" s="987">
        <f>F4A!F61</f>
        <v>1.736194099816368E-3</v>
      </c>
      <c r="H63" s="988">
        <f t="shared" ca="1" si="1"/>
        <v>18.349553286819294</v>
      </c>
      <c r="I63" s="263"/>
      <c r="J63" s="987">
        <f>F4A!H61</f>
        <v>2.0679303983516559E-3</v>
      </c>
      <c r="K63" s="989">
        <f t="shared" ca="1" si="2"/>
        <v>21.469750601611466</v>
      </c>
      <c r="L63" s="263"/>
      <c r="M63" s="987">
        <f>F4A!J61</f>
        <v>2.05041044365319E-3</v>
      </c>
      <c r="N63" s="989">
        <f t="shared" ca="1" si="3"/>
        <v>22.296417049205907</v>
      </c>
    </row>
    <row r="64" spans="1:14">
      <c r="A64" s="1351"/>
      <c r="B64" s="1381" t="s">
        <v>1095</v>
      </c>
      <c r="C64" s="263"/>
      <c r="D64" s="958">
        <f>F4A!D62</f>
        <v>6.6960126709022282E-3</v>
      </c>
      <c r="E64" s="774">
        <f t="shared" si="0"/>
        <v>58.220250420723097</v>
      </c>
      <c r="F64" s="263"/>
      <c r="G64" s="987">
        <f>F4A!F62</f>
        <v>9.0732897349007652E-3</v>
      </c>
      <c r="H64" s="988">
        <f t="shared" ca="1" si="1"/>
        <v>95.894124680484353</v>
      </c>
      <c r="I64" s="263"/>
      <c r="J64" s="987">
        <f>F4A!H62</f>
        <v>8.0198656476275724E-3</v>
      </c>
      <c r="K64" s="989">
        <f t="shared" ca="1" si="2"/>
        <v>83.264173422008412</v>
      </c>
      <c r="L64" s="263"/>
      <c r="M64" s="987">
        <f>F4A!J62</f>
        <v>8.1857995954547052E-3</v>
      </c>
      <c r="N64" s="989">
        <f t="shared" ca="1" si="3"/>
        <v>89.013398379056355</v>
      </c>
    </row>
    <row r="65" spans="1:14">
      <c r="A65" s="1351"/>
      <c r="B65" s="1381" t="s">
        <v>1096</v>
      </c>
      <c r="C65" s="263"/>
      <c r="D65" s="958">
        <f>F4A!D63</f>
        <v>1.0803763127901491E-3</v>
      </c>
      <c r="E65" s="774">
        <f t="shared" si="0"/>
        <v>9.3936171525769776</v>
      </c>
      <c r="F65" s="263"/>
      <c r="G65" s="987">
        <f>F4A!F63</f>
        <v>1.3788014572013862E-3</v>
      </c>
      <c r="H65" s="988">
        <f t="shared" ca="1" si="1"/>
        <v>14.572328527977875</v>
      </c>
      <c r="I65" s="263"/>
      <c r="J65" s="987">
        <f>F4A!H63</f>
        <v>1.9777440587191671E-3</v>
      </c>
      <c r="K65" s="989">
        <f t="shared" ca="1" si="2"/>
        <v>20.533414339460109</v>
      </c>
      <c r="L65" s="263"/>
      <c r="M65" s="987">
        <f>F4A!J63</f>
        <v>2.0186643052512278E-3</v>
      </c>
      <c r="N65" s="989">
        <f t="shared" ca="1" si="3"/>
        <v>21.951205609368117</v>
      </c>
    </row>
    <row r="66" spans="1:14">
      <c r="A66" s="1351"/>
      <c r="B66" s="1369" t="s">
        <v>1425</v>
      </c>
      <c r="C66" s="263"/>
      <c r="D66" s="958">
        <f>F4A!D64</f>
        <v>1.564597735492183E-2</v>
      </c>
      <c r="E66" s="774">
        <f t="shared" si="0"/>
        <v>136.03808183322545</v>
      </c>
      <c r="F66" s="263"/>
      <c r="G66" s="987">
        <f>F4A!F64</f>
        <v>1.7809914504721958E-2</v>
      </c>
      <c r="H66" s="988">
        <f t="shared" ca="1" si="1"/>
        <v>188.23009205748164</v>
      </c>
      <c r="I66" s="263"/>
      <c r="J66" s="987">
        <f>F4A!H64</f>
        <v>1.7937397147710032E-2</v>
      </c>
      <c r="K66" s="989">
        <f t="shared" ca="1" si="2"/>
        <v>186.2303699923184</v>
      </c>
      <c r="L66" s="263"/>
      <c r="M66" s="987">
        <f>F4A!J64</f>
        <v>1.8598159368874143E-2</v>
      </c>
      <c r="N66" s="989">
        <f t="shared" ca="1" si="3"/>
        <v>202.23868782934875</v>
      </c>
    </row>
    <row r="67" spans="1:14">
      <c r="A67" s="1351"/>
      <c r="B67" s="1369" t="s">
        <v>1446</v>
      </c>
      <c r="C67" s="263"/>
      <c r="D67" s="958">
        <f>F4A!D65</f>
        <v>0</v>
      </c>
      <c r="E67" s="774">
        <f t="shared" si="0"/>
        <v>0</v>
      </c>
      <c r="F67" s="263"/>
      <c r="G67" s="987">
        <f>F4A!F65</f>
        <v>0</v>
      </c>
      <c r="H67" s="988">
        <f t="shared" ca="1" si="1"/>
        <v>0</v>
      </c>
      <c r="I67" s="263"/>
      <c r="J67" s="987">
        <f>F4A!H65</f>
        <v>0</v>
      </c>
      <c r="K67" s="989">
        <f t="shared" ca="1" si="2"/>
        <v>0</v>
      </c>
      <c r="L67" s="263"/>
      <c r="M67" s="987">
        <f>F4A!J65</f>
        <v>0</v>
      </c>
      <c r="N67" s="989">
        <f t="shared" ca="1" si="3"/>
        <v>0</v>
      </c>
    </row>
    <row r="68" spans="1:14">
      <c r="A68" s="1351"/>
      <c r="B68" s="1367" t="s">
        <v>1098</v>
      </c>
      <c r="C68" s="263"/>
      <c r="D68" s="958">
        <f>F4A!D66</f>
        <v>0</v>
      </c>
      <c r="E68" s="774">
        <f t="shared" si="0"/>
        <v>0</v>
      </c>
      <c r="F68" s="263"/>
      <c r="G68" s="987">
        <f>F4A!F66</f>
        <v>0</v>
      </c>
      <c r="H68" s="988">
        <f t="shared" ca="1" si="1"/>
        <v>0</v>
      </c>
      <c r="I68" s="263"/>
      <c r="J68" s="987">
        <f>F4A!H66</f>
        <v>0</v>
      </c>
      <c r="K68" s="989">
        <f t="shared" ca="1" si="2"/>
        <v>0</v>
      </c>
      <c r="L68" s="263"/>
      <c r="M68" s="987">
        <f>F4A!J66</f>
        <v>0</v>
      </c>
      <c r="N68" s="989">
        <f t="shared" ca="1" si="3"/>
        <v>0</v>
      </c>
    </row>
    <row r="69" spans="1:14">
      <c r="A69" s="1351"/>
      <c r="B69" s="1380" t="s">
        <v>476</v>
      </c>
      <c r="C69" s="263"/>
      <c r="D69" s="958">
        <f>F4A!D67</f>
        <v>0</v>
      </c>
      <c r="E69" s="774">
        <f t="shared" si="0"/>
        <v>0</v>
      </c>
      <c r="F69" s="263"/>
      <c r="G69" s="987">
        <f>F4A!F67</f>
        <v>0</v>
      </c>
      <c r="H69" s="988">
        <f t="shared" ca="1" si="1"/>
        <v>0</v>
      </c>
      <c r="I69" s="263"/>
      <c r="J69" s="987">
        <f>F4A!H67</f>
        <v>0</v>
      </c>
      <c r="K69" s="989">
        <f t="shared" ca="1" si="2"/>
        <v>0</v>
      </c>
      <c r="L69" s="263"/>
      <c r="M69" s="987">
        <f>F4A!J67</f>
        <v>0</v>
      </c>
      <c r="N69" s="989">
        <f t="shared" ca="1" si="3"/>
        <v>0</v>
      </c>
    </row>
    <row r="70" spans="1:14">
      <c r="A70" s="1351"/>
      <c r="B70" s="1381" t="s">
        <v>1099</v>
      </c>
      <c r="C70" s="263"/>
      <c r="D70" s="958">
        <f>F4A!D68</f>
        <v>9.1059771061590886E-4</v>
      </c>
      <c r="E70" s="774">
        <f t="shared" si="0"/>
        <v>7.9174322615868089</v>
      </c>
      <c r="F70" s="263"/>
      <c r="G70" s="987">
        <f>F4A!F68</f>
        <v>1.1601975082866195E-2</v>
      </c>
      <c r="H70" s="988">
        <f t="shared" ca="1" si="1"/>
        <v>122.61938917884802</v>
      </c>
      <c r="I70" s="263"/>
      <c r="J70" s="987">
        <f>F4A!H68</f>
        <v>2.307187494067281E-2</v>
      </c>
      <c r="K70" s="989">
        <f t="shared" ca="1" si="2"/>
        <v>239.53775295467159</v>
      </c>
      <c r="L70" s="263"/>
      <c r="M70" s="987">
        <f>F4A!J68</f>
        <v>2.9156202468552977E-2</v>
      </c>
      <c r="N70" s="989">
        <f t="shared" ca="1" si="3"/>
        <v>317.04815580811555</v>
      </c>
    </row>
    <row r="71" spans="1:14">
      <c r="A71" s="1351"/>
      <c r="B71" s="1380" t="s">
        <v>1404</v>
      </c>
      <c r="C71" s="263"/>
      <c r="D71" s="958">
        <f>F4A!D69</f>
        <v>0</v>
      </c>
      <c r="E71" s="774">
        <f t="shared" si="0"/>
        <v>0</v>
      </c>
      <c r="F71" s="263"/>
      <c r="G71" s="987">
        <f>F4A!F69</f>
        <v>0</v>
      </c>
      <c r="H71" s="988">
        <f t="shared" ca="1" si="1"/>
        <v>0</v>
      </c>
      <c r="I71" s="263"/>
      <c r="J71" s="987">
        <f>F4A!H69</f>
        <v>0</v>
      </c>
      <c r="K71" s="989">
        <f t="shared" ca="1" si="2"/>
        <v>0</v>
      </c>
      <c r="L71" s="263"/>
      <c r="M71" s="987">
        <f>F4A!J69</f>
        <v>0</v>
      </c>
      <c r="N71" s="989">
        <f t="shared" ca="1" si="3"/>
        <v>0</v>
      </c>
    </row>
    <row r="72" spans="1:14" ht="28.5">
      <c r="A72" s="1351"/>
      <c r="B72" s="1381" t="s">
        <v>1405</v>
      </c>
      <c r="C72" s="263"/>
      <c r="D72" s="958">
        <f>F4A!D70</f>
        <v>4.4605651882910366E-2</v>
      </c>
      <c r="E72" s="774">
        <f t="shared" si="0"/>
        <v>387.83561956024857</v>
      </c>
      <c r="F72" s="263"/>
      <c r="G72" s="987">
        <f>F4A!F70</f>
        <v>3.8760756991219635E-2</v>
      </c>
      <c r="H72" s="988">
        <f t="shared" ca="1" si="1"/>
        <v>409.65614151267079</v>
      </c>
      <c r="I72" s="263"/>
      <c r="J72" s="987">
        <f>F4A!H70</f>
        <v>2.890511525380254E-2</v>
      </c>
      <c r="K72" s="989">
        <f t="shared" ca="1" si="2"/>
        <v>300.09985640940511</v>
      </c>
      <c r="L72" s="263"/>
      <c r="M72" s="987">
        <f>F4A!J70</f>
        <v>1.4049129828546893E-2</v>
      </c>
      <c r="N72" s="989">
        <f t="shared" ca="1" si="3"/>
        <v>152.77197734011494</v>
      </c>
    </row>
    <row r="73" spans="1:14">
      <c r="A73" s="1351"/>
      <c r="B73" s="1381" t="s">
        <v>1101</v>
      </c>
      <c r="C73" s="263"/>
      <c r="D73" s="958">
        <f>F4A!D71</f>
        <v>1.8870991081859521E-3</v>
      </c>
      <c r="E73" s="774">
        <f t="shared" si="0"/>
        <v>16.407881532952015</v>
      </c>
      <c r="F73" s="263"/>
      <c r="G73" s="987">
        <f>F4A!F71</f>
        <v>4.6066578487291348E-4</v>
      </c>
      <c r="H73" s="988">
        <f t="shared" ca="1" si="1"/>
        <v>4.8687018161356548</v>
      </c>
      <c r="I73" s="263"/>
      <c r="J73" s="987">
        <f>F4A!H71</f>
        <v>3.4348475326774415E-4</v>
      </c>
      <c r="K73" s="989">
        <f t="shared" ca="1" si="2"/>
        <v>3.5661412946938369</v>
      </c>
      <c r="L73" s="263"/>
      <c r="M73" s="987">
        <f>F4A!J71</f>
        <v>1.6694837057084925E-4</v>
      </c>
      <c r="N73" s="989">
        <f t="shared" ca="1" si="3"/>
        <v>1.8154172533870656</v>
      </c>
    </row>
    <row r="74" spans="1:14">
      <c r="A74" s="1351"/>
      <c r="B74" s="1369" t="s">
        <v>1425</v>
      </c>
      <c r="C74" s="263"/>
      <c r="D74" s="958">
        <f>F4A!D72</f>
        <v>4.7403348701712228E-2</v>
      </c>
      <c r="E74" s="774">
        <f t="shared" si="0"/>
        <v>412.1609333547874</v>
      </c>
      <c r="F74" s="263"/>
      <c r="G74" s="987">
        <f>F4A!F72</f>
        <v>5.0823397858958744E-2</v>
      </c>
      <c r="H74" s="988">
        <f t="shared" ca="1" si="1"/>
        <v>537.14423250765446</v>
      </c>
      <c r="I74" s="263"/>
      <c r="J74" s="987">
        <f>F4A!H72</f>
        <v>5.2320474947743091E-2</v>
      </c>
      <c r="K74" s="989">
        <f t="shared" ca="1" si="2"/>
        <v>543.20375065877056</v>
      </c>
      <c r="L74" s="263"/>
      <c r="M74" s="987">
        <f>F4A!J72</f>
        <v>4.3372280667670723E-2</v>
      </c>
      <c r="N74" s="989">
        <f t="shared" ca="1" si="3"/>
        <v>471.63555040161759</v>
      </c>
    </row>
    <row r="75" spans="1:14">
      <c r="A75" s="1351"/>
      <c r="B75" s="1369" t="s">
        <v>1446</v>
      </c>
      <c r="C75" s="263"/>
      <c r="D75" s="958">
        <f>F4A!D73</f>
        <v>0</v>
      </c>
      <c r="E75" s="774">
        <f t="shared" si="0"/>
        <v>0</v>
      </c>
      <c r="F75" s="263"/>
      <c r="G75" s="987">
        <f>F4A!F73</f>
        <v>0</v>
      </c>
      <c r="H75" s="988">
        <f t="shared" ca="1" si="1"/>
        <v>0</v>
      </c>
      <c r="I75" s="263"/>
      <c r="J75" s="987">
        <f>F4A!H73</f>
        <v>0</v>
      </c>
      <c r="K75" s="989">
        <f t="shared" ca="1" si="2"/>
        <v>0</v>
      </c>
      <c r="L75" s="263"/>
      <c r="M75" s="987">
        <f>F4A!J73</f>
        <v>0</v>
      </c>
      <c r="N75" s="989">
        <f t="shared" ca="1" si="3"/>
        <v>0</v>
      </c>
    </row>
    <row r="76" spans="1:14">
      <c r="A76" s="1351"/>
      <c r="B76" s="1367" t="s">
        <v>1406</v>
      </c>
      <c r="C76" s="263"/>
      <c r="D76" s="958">
        <f>F4A!D74</f>
        <v>0</v>
      </c>
      <c r="E76" s="774">
        <f t="shared" si="0"/>
        <v>0</v>
      </c>
      <c r="F76" s="263"/>
      <c r="G76" s="987">
        <f>F4A!F74</f>
        <v>0</v>
      </c>
      <c r="H76" s="988">
        <f t="shared" ca="1" si="1"/>
        <v>0</v>
      </c>
      <c r="I76" s="263"/>
      <c r="J76" s="987">
        <f>F4A!H74</f>
        <v>0</v>
      </c>
      <c r="K76" s="989">
        <f t="shared" ca="1" si="2"/>
        <v>0</v>
      </c>
      <c r="L76" s="263"/>
      <c r="M76" s="987">
        <f>F4A!J74</f>
        <v>0</v>
      </c>
      <c r="N76" s="989">
        <f t="shared" ca="1" si="3"/>
        <v>0</v>
      </c>
    </row>
    <row r="77" spans="1:14">
      <c r="A77" s="1351"/>
      <c r="B77" s="1380" t="s">
        <v>476</v>
      </c>
      <c r="C77" s="263"/>
      <c r="D77" s="958">
        <f>F4A!D75</f>
        <v>0</v>
      </c>
      <c r="E77" s="774">
        <f t="shared" si="0"/>
        <v>0</v>
      </c>
      <c r="F77" s="263"/>
      <c r="G77" s="987">
        <f>F4A!F75</f>
        <v>0</v>
      </c>
      <c r="H77" s="988">
        <f t="shared" ca="1" si="1"/>
        <v>0</v>
      </c>
      <c r="I77" s="263"/>
      <c r="J77" s="987">
        <f>F4A!H75</f>
        <v>0</v>
      </c>
      <c r="K77" s="989">
        <f t="shared" ca="1" si="2"/>
        <v>0</v>
      </c>
      <c r="L77" s="263"/>
      <c r="M77" s="987">
        <f>F4A!J75</f>
        <v>0</v>
      </c>
      <c r="N77" s="989">
        <f t="shared" ca="1" si="3"/>
        <v>0</v>
      </c>
    </row>
    <row r="78" spans="1:14">
      <c r="A78" s="1351"/>
      <c r="B78" s="1381" t="s">
        <v>1104</v>
      </c>
      <c r="C78" s="263"/>
      <c r="D78" s="958">
        <f>F4A!D76</f>
        <v>6.7207574308395771E-5</v>
      </c>
      <c r="E78" s="774">
        <f t="shared" si="0"/>
        <v>0.58435400270485705</v>
      </c>
      <c r="F78" s="263"/>
      <c r="G78" s="987">
        <f>F4A!F76</f>
        <v>9.6470446326706269E-5</v>
      </c>
      <c r="H78" s="988">
        <f t="shared" ca="1" si="1"/>
        <v>1.0195804695237503</v>
      </c>
      <c r="I78" s="263"/>
      <c r="J78" s="987">
        <f>F4A!H76</f>
        <v>1.7377515509051962E-4</v>
      </c>
      <c r="K78" s="989">
        <f t="shared" ca="1" si="2"/>
        <v>1.8041754420379483</v>
      </c>
      <c r="L78" s="263"/>
      <c r="M78" s="987">
        <f>F4A!J76</f>
        <v>1.7399213836084276E-4</v>
      </c>
      <c r="N78" s="989">
        <f t="shared" ca="1" si="3"/>
        <v>1.8920120565054321</v>
      </c>
    </row>
    <row r="79" spans="1:14">
      <c r="A79" s="1351"/>
      <c r="B79" s="1381" t="s">
        <v>1105</v>
      </c>
      <c r="C79" s="263"/>
      <c r="D79" s="958">
        <f>F4A!D77</f>
        <v>0</v>
      </c>
      <c r="E79" s="774">
        <f t="shared" ref="E79:E128" si="4">D79*$E$10</f>
        <v>0</v>
      </c>
      <c r="F79" s="263"/>
      <c r="G79" s="987">
        <f>F4A!F77</f>
        <v>2.7726692879417284E-4</v>
      </c>
      <c r="H79" s="988">
        <f t="shared" ref="H79:H128" ca="1" si="5">G79*$H$10</f>
        <v>2.930389110940717</v>
      </c>
      <c r="I79" s="263"/>
      <c r="J79" s="987">
        <f>F4A!H77</f>
        <v>2.2818959759361162E-4</v>
      </c>
      <c r="K79" s="989">
        <f t="shared" ref="K79:K128" ca="1" si="6">J79*$K$10</f>
        <v>2.3691192673225587</v>
      </c>
      <c r="L79" s="263"/>
      <c r="M79" s="987">
        <f>F4A!J77</f>
        <v>2.2847452512029858E-4</v>
      </c>
      <c r="N79" s="989">
        <f t="shared" ref="N79:N128" ca="1" si="7">M79*$N$10</f>
        <v>2.4844602762192545</v>
      </c>
    </row>
    <row r="80" spans="1:14">
      <c r="A80" s="1351"/>
      <c r="B80" s="1380" t="s">
        <v>1404</v>
      </c>
      <c r="C80" s="263"/>
      <c r="D80" s="958">
        <f>F4A!D78</f>
        <v>0</v>
      </c>
      <c r="E80" s="774">
        <f t="shared" si="4"/>
        <v>0</v>
      </c>
      <c r="F80" s="263"/>
      <c r="G80" s="987">
        <f>F4A!F78</f>
        <v>0</v>
      </c>
      <c r="H80" s="988">
        <f t="shared" ca="1" si="5"/>
        <v>0</v>
      </c>
      <c r="I80" s="263"/>
      <c r="J80" s="987">
        <f>F4A!H78</f>
        <v>0</v>
      </c>
      <c r="K80" s="989">
        <f t="shared" ca="1" si="6"/>
        <v>0</v>
      </c>
      <c r="L80" s="263"/>
      <c r="M80" s="987">
        <f>F4A!J78</f>
        <v>0</v>
      </c>
      <c r="N80" s="989">
        <f t="shared" ca="1" si="7"/>
        <v>0</v>
      </c>
    </row>
    <row r="81" spans="1:14">
      <c r="A81" s="1351"/>
      <c r="B81" s="1381" t="s">
        <v>1106</v>
      </c>
      <c r="C81" s="263"/>
      <c r="D81" s="958">
        <f>F4A!D79</f>
        <v>0</v>
      </c>
      <c r="E81" s="774">
        <f t="shared" si="4"/>
        <v>0</v>
      </c>
      <c r="F81" s="263"/>
      <c r="G81" s="987">
        <f>F4A!F79</f>
        <v>4.5655677390774382E-7</v>
      </c>
      <c r="H81" s="988">
        <f t="shared" ca="1" si="5"/>
        <v>4.825274347012542E-3</v>
      </c>
      <c r="I81" s="263"/>
      <c r="J81" s="987">
        <f>F4A!H79</f>
        <v>0</v>
      </c>
      <c r="K81" s="989">
        <f t="shared" ca="1" si="6"/>
        <v>0</v>
      </c>
      <c r="L81" s="263"/>
      <c r="M81" s="987">
        <f>F4A!J79</f>
        <v>0</v>
      </c>
      <c r="N81" s="989">
        <f t="shared" ca="1" si="7"/>
        <v>0</v>
      </c>
    </row>
    <row r="82" spans="1:14">
      <c r="A82" s="1351"/>
      <c r="B82" s="1381" t="s">
        <v>1107</v>
      </c>
      <c r="C82" s="263"/>
      <c r="D82" s="958">
        <f>F4A!D80</f>
        <v>0</v>
      </c>
      <c r="E82" s="774">
        <f t="shared" si="4"/>
        <v>0</v>
      </c>
      <c r="F82" s="263"/>
      <c r="G82" s="987">
        <f>F4A!F80</f>
        <v>1.8718827730217496E-6</v>
      </c>
      <c r="H82" s="988">
        <f t="shared" ca="1" si="5"/>
        <v>1.9783624822751422E-2</v>
      </c>
      <c r="I82" s="263"/>
      <c r="J82" s="987">
        <f>F4A!H80</f>
        <v>7.3238571110946968E-6</v>
      </c>
      <c r="K82" s="989">
        <f t="shared" ca="1" si="6"/>
        <v>7.6038045449875219E-2</v>
      </c>
      <c r="L82" s="263"/>
      <c r="M82" s="987">
        <f>F4A!J80</f>
        <v>7.1194194173614192E-6</v>
      </c>
      <c r="N82" s="989">
        <f t="shared" ca="1" si="7"/>
        <v>7.7417448281664067E-2</v>
      </c>
    </row>
    <row r="83" spans="1:14">
      <c r="A83" s="1351"/>
      <c r="B83" s="1369" t="s">
        <v>1425</v>
      </c>
      <c r="C83" s="263"/>
      <c r="D83" s="958">
        <f>F4A!D81</f>
        <v>6.7207574308395771E-5</v>
      </c>
      <c r="E83" s="774">
        <f t="shared" si="4"/>
        <v>0.58435400270485705</v>
      </c>
      <c r="F83" s="263"/>
      <c r="G83" s="987">
        <f>F4A!F81</f>
        <v>3.7606581466780855E-4</v>
      </c>
      <c r="H83" s="988">
        <f t="shared" ca="1" si="5"/>
        <v>3.9745784796342307</v>
      </c>
      <c r="I83" s="263"/>
      <c r="J83" s="987">
        <f>F4A!H81</f>
        <v>4.0928860979522598E-4</v>
      </c>
      <c r="K83" s="989">
        <f t="shared" ca="1" si="6"/>
        <v>4.249332754810383</v>
      </c>
      <c r="L83" s="263"/>
      <c r="M83" s="987">
        <f>F4A!J81</f>
        <v>4.0958608289850276E-4</v>
      </c>
      <c r="N83" s="989">
        <f t="shared" ca="1" si="7"/>
        <v>4.4538897810063505</v>
      </c>
    </row>
    <row r="84" spans="1:14">
      <c r="A84" s="1351"/>
      <c r="B84" s="1369" t="s">
        <v>1446</v>
      </c>
      <c r="C84" s="263"/>
      <c r="D84" s="958">
        <f>F4A!D82</f>
        <v>0</v>
      </c>
      <c r="E84" s="774">
        <f t="shared" si="4"/>
        <v>0</v>
      </c>
      <c r="F84" s="263"/>
      <c r="G84" s="987">
        <f>F4A!F82</f>
        <v>0</v>
      </c>
      <c r="H84" s="988">
        <f t="shared" ca="1" si="5"/>
        <v>0</v>
      </c>
      <c r="I84" s="263"/>
      <c r="J84" s="987">
        <f>F4A!H82</f>
        <v>0</v>
      </c>
      <c r="K84" s="989">
        <f t="shared" ca="1" si="6"/>
        <v>0</v>
      </c>
      <c r="L84" s="263"/>
      <c r="M84" s="987">
        <f>F4A!J82</f>
        <v>0</v>
      </c>
      <c r="N84" s="989">
        <f t="shared" ca="1" si="7"/>
        <v>0</v>
      </c>
    </row>
    <row r="85" spans="1:14">
      <c r="A85" s="1351"/>
      <c r="B85" s="1367" t="s">
        <v>1109</v>
      </c>
      <c r="C85" s="263"/>
      <c r="D85" s="958">
        <f>F4A!D83</f>
        <v>0</v>
      </c>
      <c r="E85" s="774">
        <f t="shared" si="4"/>
        <v>0</v>
      </c>
      <c r="F85" s="263"/>
      <c r="G85" s="987">
        <f>F4A!F83</f>
        <v>0</v>
      </c>
      <c r="H85" s="988">
        <f t="shared" ca="1" si="5"/>
        <v>0</v>
      </c>
      <c r="I85" s="263"/>
      <c r="J85" s="987">
        <f>F4A!H83</f>
        <v>0</v>
      </c>
      <c r="K85" s="989">
        <f t="shared" ca="1" si="6"/>
        <v>0</v>
      </c>
      <c r="L85" s="263"/>
      <c r="M85" s="987">
        <f>F4A!J83</f>
        <v>0</v>
      </c>
      <c r="N85" s="989">
        <f t="shared" ca="1" si="7"/>
        <v>0</v>
      </c>
    </row>
    <row r="86" spans="1:14">
      <c r="A86" s="1351"/>
      <c r="B86" s="1369" t="s">
        <v>1429</v>
      </c>
      <c r="C86" s="263"/>
      <c r="D86" s="958">
        <f>F4A!D84</f>
        <v>5.2985327993679042E-3</v>
      </c>
      <c r="E86" s="774">
        <f t="shared" si="4"/>
        <v>46.06949263733236</v>
      </c>
      <c r="F86" s="263"/>
      <c r="G86" s="987">
        <f>F4A!F84</f>
        <v>4.8005575106077544E-3</v>
      </c>
      <c r="H86" s="988">
        <f t="shared" ca="1" si="5"/>
        <v>50.736312176532785</v>
      </c>
      <c r="I86" s="263"/>
      <c r="J86" s="987">
        <f>F4A!H84</f>
        <v>4.8397984677944787E-3</v>
      </c>
      <c r="K86" s="989">
        <f t="shared" ca="1" si="6"/>
        <v>50.247951356793571</v>
      </c>
      <c r="L86" s="263"/>
      <c r="M86" s="987">
        <f>F4A!J84</f>
        <v>4.7987946458220125E-3</v>
      </c>
      <c r="N86" s="989">
        <f t="shared" ca="1" si="7"/>
        <v>52.182687172676836</v>
      </c>
    </row>
    <row r="87" spans="1:14">
      <c r="A87" s="1351"/>
      <c r="B87" s="1369" t="s">
        <v>1446</v>
      </c>
      <c r="C87" s="263"/>
      <c r="D87" s="958">
        <f>F4A!D85</f>
        <v>0</v>
      </c>
      <c r="E87" s="774">
        <f t="shared" si="4"/>
        <v>0</v>
      </c>
      <c r="F87" s="263"/>
      <c r="G87" s="987">
        <f>F4A!F85</f>
        <v>0</v>
      </c>
      <c r="H87" s="988">
        <f t="shared" ca="1" si="5"/>
        <v>0</v>
      </c>
      <c r="I87" s="263"/>
      <c r="J87" s="987">
        <f>F4A!H85</f>
        <v>0</v>
      </c>
      <c r="K87" s="989">
        <f t="shared" ca="1" si="6"/>
        <v>0</v>
      </c>
      <c r="L87" s="263"/>
      <c r="M87" s="987">
        <f>F4A!J85</f>
        <v>0</v>
      </c>
      <c r="N87" s="989">
        <f t="shared" ca="1" si="7"/>
        <v>0</v>
      </c>
    </row>
    <row r="88" spans="1:14">
      <c r="A88" s="1351"/>
      <c r="B88" s="1367" t="s">
        <v>1407</v>
      </c>
      <c r="C88" s="263"/>
      <c r="D88" s="958">
        <f>F4A!D86</f>
        <v>0</v>
      </c>
      <c r="E88" s="774">
        <f t="shared" si="4"/>
        <v>0</v>
      </c>
      <c r="F88" s="263"/>
      <c r="G88" s="987">
        <f>F4A!F86</f>
        <v>0</v>
      </c>
      <c r="H88" s="988">
        <f t="shared" ca="1" si="5"/>
        <v>0</v>
      </c>
      <c r="I88" s="263"/>
      <c r="J88" s="987">
        <f>F4A!H86</f>
        <v>0</v>
      </c>
      <c r="K88" s="989">
        <f t="shared" ca="1" si="6"/>
        <v>0</v>
      </c>
      <c r="L88" s="263"/>
      <c r="M88" s="987">
        <f>F4A!J86</f>
        <v>0</v>
      </c>
      <c r="N88" s="989">
        <f t="shared" ca="1" si="7"/>
        <v>0</v>
      </c>
    </row>
    <row r="89" spans="1:14">
      <c r="A89" s="1351"/>
      <c r="B89" s="1380" t="s">
        <v>1146</v>
      </c>
      <c r="C89" s="263"/>
      <c r="D89" s="958">
        <f>F4A!D87</f>
        <v>0</v>
      </c>
      <c r="E89" s="774">
        <f t="shared" si="4"/>
        <v>0</v>
      </c>
      <c r="F89" s="263"/>
      <c r="G89" s="987">
        <f>F4A!F87</f>
        <v>0</v>
      </c>
      <c r="H89" s="988">
        <f t="shared" ca="1" si="5"/>
        <v>0</v>
      </c>
      <c r="I89" s="263"/>
      <c r="J89" s="987">
        <f>F4A!H87</f>
        <v>0</v>
      </c>
      <c r="K89" s="989">
        <f t="shared" ca="1" si="6"/>
        <v>0</v>
      </c>
      <c r="L89" s="263"/>
      <c r="M89" s="987">
        <f>F4A!J87</f>
        <v>0</v>
      </c>
      <c r="N89" s="989">
        <f t="shared" ca="1" si="7"/>
        <v>0</v>
      </c>
    </row>
    <row r="90" spans="1:14">
      <c r="A90" s="1351"/>
      <c r="B90" s="1381" t="s">
        <v>1408</v>
      </c>
      <c r="C90" s="263"/>
      <c r="D90" s="958">
        <f>F4A!D88</f>
        <v>0</v>
      </c>
      <c r="E90" s="774">
        <f t="shared" si="4"/>
        <v>0</v>
      </c>
      <c r="F90" s="263"/>
      <c r="G90" s="987">
        <f>F4A!F88</f>
        <v>0</v>
      </c>
      <c r="H90" s="988">
        <f t="shared" ca="1" si="5"/>
        <v>0</v>
      </c>
      <c r="I90" s="263"/>
      <c r="J90" s="987">
        <f>F4A!H88</f>
        <v>0</v>
      </c>
      <c r="K90" s="989">
        <f t="shared" ca="1" si="6"/>
        <v>0</v>
      </c>
      <c r="L90" s="263"/>
      <c r="M90" s="987">
        <f>F4A!J88</f>
        <v>0</v>
      </c>
      <c r="N90" s="989">
        <f t="shared" ca="1" si="7"/>
        <v>0</v>
      </c>
    </row>
    <row r="91" spans="1:14">
      <c r="A91" s="1351"/>
      <c r="B91" s="1381" t="s">
        <v>1409</v>
      </c>
      <c r="C91" s="263"/>
      <c r="D91" s="958">
        <f>F4A!D89</f>
        <v>0</v>
      </c>
      <c r="E91" s="774">
        <f t="shared" si="4"/>
        <v>0</v>
      </c>
      <c r="F91" s="263"/>
      <c r="G91" s="987">
        <f>F4A!F89</f>
        <v>0</v>
      </c>
      <c r="H91" s="988">
        <f t="shared" ca="1" si="5"/>
        <v>0</v>
      </c>
      <c r="I91" s="263"/>
      <c r="J91" s="987">
        <f>F4A!H89</f>
        <v>0</v>
      </c>
      <c r="K91" s="989">
        <f t="shared" ca="1" si="6"/>
        <v>0</v>
      </c>
      <c r="L91" s="263"/>
      <c r="M91" s="987">
        <f>F4A!J89</f>
        <v>0</v>
      </c>
      <c r="N91" s="989">
        <f t="shared" ca="1" si="7"/>
        <v>0</v>
      </c>
    </row>
    <row r="92" spans="1:14">
      <c r="A92" s="1351"/>
      <c r="B92" s="1380" t="s">
        <v>1410</v>
      </c>
      <c r="C92" s="263"/>
      <c r="D92" s="958">
        <f>F4A!D90</f>
        <v>0</v>
      </c>
      <c r="E92" s="774">
        <f t="shared" si="4"/>
        <v>0</v>
      </c>
      <c r="F92" s="263"/>
      <c r="G92" s="987">
        <f>F4A!F90</f>
        <v>0</v>
      </c>
      <c r="H92" s="988">
        <f t="shared" ca="1" si="5"/>
        <v>0</v>
      </c>
      <c r="I92" s="263"/>
      <c r="J92" s="987">
        <f>F4A!H90</f>
        <v>1.1940913478320347E-6</v>
      </c>
      <c r="K92" s="989">
        <f t="shared" ca="1" si="6"/>
        <v>1.239734347632346E-2</v>
      </c>
      <c r="L92" s="263"/>
      <c r="M92" s="987">
        <f>F4A!J90</f>
        <v>1.2768355115064191E-6</v>
      </c>
      <c r="N92" s="989">
        <f t="shared" ca="1" si="7"/>
        <v>1.3884467451824265E-2</v>
      </c>
    </row>
    <row r="93" spans="1:14">
      <c r="A93" s="1351"/>
      <c r="B93" s="1381" t="s">
        <v>469</v>
      </c>
      <c r="C93" s="263"/>
      <c r="D93" s="958">
        <f>F4A!D91</f>
        <v>0</v>
      </c>
      <c r="E93" s="774">
        <f t="shared" si="4"/>
        <v>0</v>
      </c>
      <c r="F93" s="263"/>
      <c r="G93" s="987">
        <f>F4A!F91</f>
        <v>0</v>
      </c>
      <c r="H93" s="988">
        <f t="shared" ca="1" si="5"/>
        <v>0</v>
      </c>
      <c r="I93" s="263"/>
      <c r="J93" s="987">
        <f>F4A!H91</f>
        <v>1.1940913478320347E-6</v>
      </c>
      <c r="K93" s="989">
        <f t="shared" ca="1" si="6"/>
        <v>1.239734347632346E-2</v>
      </c>
      <c r="L93" s="263"/>
      <c r="M93" s="987">
        <f>F4A!J91</f>
        <v>1.2768355115064191E-6</v>
      </c>
      <c r="N93" s="989">
        <f t="shared" ca="1" si="7"/>
        <v>1.3884467451824265E-2</v>
      </c>
    </row>
    <row r="94" spans="1:14">
      <c r="A94" s="1351"/>
      <c r="B94" s="1381" t="s">
        <v>470</v>
      </c>
      <c r="C94" s="263"/>
      <c r="D94" s="958">
        <f>F4A!D92</f>
        <v>0</v>
      </c>
      <c r="E94" s="774">
        <f t="shared" si="4"/>
        <v>0</v>
      </c>
      <c r="F94" s="263"/>
      <c r="G94" s="987">
        <f>F4A!F92</f>
        <v>0</v>
      </c>
      <c r="H94" s="988">
        <f t="shared" ca="1" si="5"/>
        <v>0</v>
      </c>
      <c r="I94" s="263"/>
      <c r="J94" s="987">
        <f>F4A!H92</f>
        <v>0</v>
      </c>
      <c r="K94" s="989">
        <f t="shared" ca="1" si="6"/>
        <v>0</v>
      </c>
      <c r="L94" s="263"/>
      <c r="M94" s="987">
        <f>F4A!J92</f>
        <v>0</v>
      </c>
      <c r="N94" s="989">
        <f t="shared" ca="1" si="7"/>
        <v>0</v>
      </c>
    </row>
    <row r="95" spans="1:14">
      <c r="A95" s="1351"/>
      <c r="B95" s="1369" t="s">
        <v>1425</v>
      </c>
      <c r="C95" s="263"/>
      <c r="D95" s="958">
        <f>F4A!D93</f>
        <v>0</v>
      </c>
      <c r="E95" s="774">
        <f t="shared" si="4"/>
        <v>0</v>
      </c>
      <c r="F95" s="263"/>
      <c r="G95" s="987">
        <f>F4A!F93</f>
        <v>0</v>
      </c>
      <c r="H95" s="988">
        <f t="shared" ca="1" si="5"/>
        <v>0</v>
      </c>
      <c r="I95" s="263"/>
      <c r="J95" s="987">
        <f>F4A!H93</f>
        <v>2.3881826956640695E-6</v>
      </c>
      <c r="K95" s="989">
        <f t="shared" ca="1" si="6"/>
        <v>2.4794686952646919E-2</v>
      </c>
      <c r="L95" s="263"/>
      <c r="M95" s="987">
        <f>F4A!J93</f>
        <v>2.5536710230128383E-6</v>
      </c>
      <c r="N95" s="989">
        <f t="shared" ca="1" si="7"/>
        <v>2.776893490364853E-2</v>
      </c>
    </row>
    <row r="96" spans="1:14">
      <c r="A96" s="1351"/>
      <c r="B96" s="1369" t="s">
        <v>1446</v>
      </c>
      <c r="C96" s="263"/>
      <c r="D96" s="958">
        <f>F4A!D94</f>
        <v>0</v>
      </c>
      <c r="E96" s="774">
        <f t="shared" si="4"/>
        <v>0</v>
      </c>
      <c r="F96" s="263"/>
      <c r="G96" s="987">
        <f>F4A!F94</f>
        <v>0</v>
      </c>
      <c r="H96" s="988">
        <f t="shared" ca="1" si="5"/>
        <v>0</v>
      </c>
      <c r="I96" s="263"/>
      <c r="J96" s="987">
        <f>F4A!H94</f>
        <v>0</v>
      </c>
      <c r="K96" s="989">
        <f t="shared" ca="1" si="6"/>
        <v>0</v>
      </c>
      <c r="L96" s="263"/>
      <c r="M96" s="987">
        <f>F4A!J94</f>
        <v>0</v>
      </c>
      <c r="N96" s="989">
        <f t="shared" ca="1" si="7"/>
        <v>0</v>
      </c>
    </row>
    <row r="97" spans="1:14">
      <c r="A97" s="1351"/>
      <c r="B97" s="1367" t="s">
        <v>1119</v>
      </c>
      <c r="C97" s="263"/>
      <c r="D97" s="958">
        <f>F4A!D95</f>
        <v>0</v>
      </c>
      <c r="E97" s="774">
        <f t="shared" si="4"/>
        <v>0</v>
      </c>
      <c r="F97" s="263"/>
      <c r="G97" s="987">
        <f>F4A!F95</f>
        <v>0</v>
      </c>
      <c r="H97" s="988">
        <f t="shared" ca="1" si="5"/>
        <v>0</v>
      </c>
      <c r="I97" s="263"/>
      <c r="J97" s="987">
        <f>F4A!H95</f>
        <v>0</v>
      </c>
      <c r="K97" s="989">
        <f t="shared" ca="1" si="6"/>
        <v>0</v>
      </c>
      <c r="L97" s="263"/>
      <c r="M97" s="987">
        <f>F4A!J95</f>
        <v>0</v>
      </c>
      <c r="N97" s="989">
        <f t="shared" ca="1" si="7"/>
        <v>0</v>
      </c>
    </row>
    <row r="98" spans="1:14">
      <c r="A98" s="1351"/>
      <c r="B98" s="1367" t="s">
        <v>475</v>
      </c>
      <c r="C98" s="263"/>
      <c r="D98" s="958">
        <f>F4A!D96</f>
        <v>0</v>
      </c>
      <c r="E98" s="774">
        <f t="shared" si="4"/>
        <v>0</v>
      </c>
      <c r="F98" s="263"/>
      <c r="G98" s="987">
        <f>F4A!F96</f>
        <v>0</v>
      </c>
      <c r="H98" s="988">
        <f t="shared" ca="1" si="5"/>
        <v>0</v>
      </c>
      <c r="I98" s="263"/>
      <c r="J98" s="987">
        <f>F4A!H96</f>
        <v>0</v>
      </c>
      <c r="K98" s="989">
        <f t="shared" ca="1" si="6"/>
        <v>0</v>
      </c>
      <c r="L98" s="263"/>
      <c r="M98" s="987">
        <f>F4A!J96</f>
        <v>0</v>
      </c>
      <c r="N98" s="989">
        <f t="shared" ca="1" si="7"/>
        <v>0</v>
      </c>
    </row>
    <row r="99" spans="1:14">
      <c r="A99" s="1351"/>
      <c r="B99" s="1381" t="s">
        <v>1411</v>
      </c>
      <c r="C99" s="263"/>
      <c r="D99" s="958">
        <f>F4A!D97</f>
        <v>1.1552934960112075E-3</v>
      </c>
      <c r="E99" s="774">
        <f t="shared" si="4"/>
        <v>10.045004385892579</v>
      </c>
      <c r="F99" s="263"/>
      <c r="G99" s="987">
        <f>F4A!F97</f>
        <v>1.4762763284306897E-3</v>
      </c>
      <c r="H99" s="988">
        <f t="shared" ca="1" si="5"/>
        <v>15.602524601065054</v>
      </c>
      <c r="I99" s="263"/>
      <c r="J99" s="987">
        <f>F4A!H97</f>
        <v>1.7749761139078678E-2</v>
      </c>
      <c r="K99" s="989">
        <f t="shared" ca="1" si="6"/>
        <v>184.28228783616456</v>
      </c>
      <c r="L99" s="263"/>
      <c r="M99" s="987">
        <f>F4A!J97</f>
        <v>1.725429540612592E-2</v>
      </c>
      <c r="N99" s="989">
        <f t="shared" ca="1" si="7"/>
        <v>187.62534469915695</v>
      </c>
    </row>
    <row r="100" spans="1:14">
      <c r="A100" s="1351"/>
      <c r="B100" s="1381" t="s">
        <v>1412</v>
      </c>
      <c r="C100" s="263"/>
      <c r="D100" s="958">
        <f>F4A!D98</f>
        <v>0</v>
      </c>
      <c r="E100" s="774">
        <f t="shared" si="4"/>
        <v>0</v>
      </c>
      <c r="F100" s="263"/>
      <c r="G100" s="987">
        <f>F4A!F98</f>
        <v>5.985459305930521E-5</v>
      </c>
      <c r="H100" s="988">
        <f t="shared" ca="1" si="5"/>
        <v>0.63259346689334428</v>
      </c>
      <c r="I100" s="263"/>
      <c r="J100" s="987">
        <f>F4A!H98</f>
        <v>3.5696842725943872E-3</v>
      </c>
      <c r="K100" s="989">
        <f t="shared" ca="1" si="6"/>
        <v>37.061320400428443</v>
      </c>
      <c r="L100" s="263"/>
      <c r="M100" s="987">
        <f>F4A!J98</f>
        <v>3.4700403269281575E-3</v>
      </c>
      <c r="N100" s="989">
        <f t="shared" ca="1" si="7"/>
        <v>37.733648180656367</v>
      </c>
    </row>
    <row r="101" spans="1:14">
      <c r="A101" s="1351"/>
      <c r="B101" s="1367" t="s">
        <v>1403</v>
      </c>
      <c r="C101" s="263"/>
      <c r="D101" s="958">
        <f>F4A!D99</f>
        <v>0</v>
      </c>
      <c r="E101" s="774">
        <f t="shared" si="4"/>
        <v>0</v>
      </c>
      <c r="F101" s="263"/>
      <c r="G101" s="987">
        <f>F4A!F99</f>
        <v>0</v>
      </c>
      <c r="H101" s="988">
        <f t="shared" ca="1" si="5"/>
        <v>0</v>
      </c>
      <c r="I101" s="263"/>
      <c r="J101" s="987">
        <f>F4A!H99</f>
        <v>0</v>
      </c>
      <c r="K101" s="989">
        <f t="shared" ca="1" si="6"/>
        <v>0</v>
      </c>
      <c r="L101" s="263"/>
      <c r="M101" s="987">
        <f>F4A!J99</f>
        <v>0</v>
      </c>
      <c r="N101" s="989">
        <f t="shared" ca="1" si="7"/>
        <v>0</v>
      </c>
    </row>
    <row r="102" spans="1:14">
      <c r="A102" s="1351"/>
      <c r="B102" s="1381" t="s">
        <v>1413</v>
      </c>
      <c r="C102" s="263"/>
      <c r="D102" s="958">
        <f>F4A!D100</f>
        <v>1.9225683522066859E-2</v>
      </c>
      <c r="E102" s="774">
        <f t="shared" si="4"/>
        <v>167.16278241652179</v>
      </c>
      <c r="F102" s="263"/>
      <c r="G102" s="987">
        <f>F4A!F100</f>
        <v>1.4326066730064139E-2</v>
      </c>
      <c r="H102" s="988">
        <f t="shared" ca="1" si="5"/>
        <v>151.40987109773306</v>
      </c>
      <c r="I102" s="263"/>
      <c r="J102" s="987">
        <f>F4A!H100</f>
        <v>1.5664580333481881E-3</v>
      </c>
      <c r="K102" s="989">
        <f t="shared" ca="1" si="6"/>
        <v>16.263343935890667</v>
      </c>
      <c r="L102" s="263"/>
      <c r="M102" s="987">
        <f>F4A!J100</f>
        <v>1.5988686218791671E-3</v>
      </c>
      <c r="N102" s="989">
        <f t="shared" ca="1" si="7"/>
        <v>17.386295368644131</v>
      </c>
    </row>
    <row r="103" spans="1:14">
      <c r="A103" s="1351"/>
      <c r="B103" s="1381" t="s">
        <v>1414</v>
      </c>
      <c r="C103" s="263"/>
      <c r="D103" s="958">
        <f>F4A!D101</f>
        <v>3.4117818057032797E-3</v>
      </c>
      <c r="E103" s="774">
        <f t="shared" si="4"/>
        <v>29.664637878014577</v>
      </c>
      <c r="F103" s="263"/>
      <c r="G103" s="987">
        <f>F4A!F101</f>
        <v>2.8855757781291133E-3</v>
      </c>
      <c r="H103" s="988">
        <f t="shared" ca="1" si="5"/>
        <v>30.49718145542337</v>
      </c>
      <c r="I103" s="263"/>
      <c r="J103" s="987">
        <f>F4A!H101</f>
        <v>1.1839226867191097E-4</v>
      </c>
      <c r="K103" s="989">
        <f t="shared" ca="1" si="6"/>
        <v>1.2291769991731896</v>
      </c>
      <c r="L103" s="263"/>
      <c r="M103" s="987">
        <f>F4A!J101</f>
        <v>1.208418479287346E-4</v>
      </c>
      <c r="N103" s="989">
        <f t="shared" ca="1" si="7"/>
        <v>1.3140492171973694</v>
      </c>
    </row>
    <row r="104" spans="1:14">
      <c r="A104" s="1351"/>
      <c r="B104" s="1369" t="s">
        <v>1425</v>
      </c>
      <c r="C104" s="263"/>
      <c r="D104" s="958">
        <f>F4A!D102</f>
        <v>2.3792758823781346E-2</v>
      </c>
      <c r="E104" s="774">
        <f t="shared" si="4"/>
        <v>206.87242468042896</v>
      </c>
      <c r="F104" s="263"/>
      <c r="G104" s="987">
        <f>F4A!F102</f>
        <v>1.8747773429683246E-2</v>
      </c>
      <c r="H104" s="988">
        <f t="shared" ca="1" si="5"/>
        <v>198.14217062111481</v>
      </c>
      <c r="I104" s="263"/>
      <c r="J104" s="987">
        <f>F4A!H102</f>
        <v>2.3004295713693161E-2</v>
      </c>
      <c r="K104" s="989">
        <f t="shared" ca="1" si="6"/>
        <v>238.83612917165684</v>
      </c>
      <c r="L104" s="263"/>
      <c r="M104" s="987">
        <f>F4A!J102</f>
        <v>2.2444046202861979E-2</v>
      </c>
      <c r="N104" s="989">
        <f t="shared" ca="1" si="7"/>
        <v>244.05933746565481</v>
      </c>
    </row>
    <row r="105" spans="1:14">
      <c r="A105" s="1351"/>
      <c r="B105" s="1369" t="s">
        <v>1446</v>
      </c>
      <c r="C105" s="263"/>
      <c r="D105" s="958">
        <f>F4A!D103</f>
        <v>0</v>
      </c>
      <c r="E105" s="774">
        <f t="shared" si="4"/>
        <v>0</v>
      </c>
      <c r="F105" s="263"/>
      <c r="G105" s="987">
        <f>F4A!F103</f>
        <v>0</v>
      </c>
      <c r="H105" s="988">
        <f t="shared" ca="1" si="5"/>
        <v>0</v>
      </c>
      <c r="I105" s="263"/>
      <c r="J105" s="987">
        <f>F4A!H103</f>
        <v>0</v>
      </c>
      <c r="K105" s="989">
        <f t="shared" ca="1" si="6"/>
        <v>0</v>
      </c>
      <c r="L105" s="263"/>
      <c r="M105" s="987">
        <f>F4A!J103</f>
        <v>0</v>
      </c>
      <c r="N105" s="989">
        <f t="shared" ca="1" si="7"/>
        <v>0</v>
      </c>
    </row>
    <row r="106" spans="1:14" ht="27.65" customHeight="1">
      <c r="A106" s="1351"/>
      <c r="B106" s="1367" t="s">
        <v>1125</v>
      </c>
      <c r="C106" s="263"/>
      <c r="D106" s="958">
        <f>F4A!D104</f>
        <v>0</v>
      </c>
      <c r="E106" s="774">
        <f t="shared" si="4"/>
        <v>0</v>
      </c>
      <c r="F106" s="263"/>
      <c r="G106" s="987">
        <f>F4A!F104</f>
        <v>0</v>
      </c>
      <c r="H106" s="988">
        <f t="shared" ca="1" si="5"/>
        <v>0</v>
      </c>
      <c r="I106" s="263"/>
      <c r="J106" s="987">
        <f>F4A!H104</f>
        <v>0</v>
      </c>
      <c r="K106" s="989">
        <f t="shared" ca="1" si="6"/>
        <v>0</v>
      </c>
      <c r="L106" s="263"/>
      <c r="M106" s="987">
        <f>F4A!J104</f>
        <v>0</v>
      </c>
      <c r="N106" s="989">
        <f t="shared" ca="1" si="7"/>
        <v>0</v>
      </c>
    </row>
    <row r="107" spans="1:14">
      <c r="A107" s="1351"/>
      <c r="B107" s="1381" t="s">
        <v>1126</v>
      </c>
      <c r="C107" s="263"/>
      <c r="D107" s="958">
        <f>F4A!D105</f>
        <v>3.2275668759656803E-2</v>
      </c>
      <c r="E107" s="774">
        <f t="shared" si="4"/>
        <v>280.62932524742916</v>
      </c>
      <c r="F107" s="263"/>
      <c r="G107" s="987">
        <f>F4A!F105</f>
        <v>3.2323306479120448E-2</v>
      </c>
      <c r="H107" s="988">
        <f t="shared" ca="1" si="5"/>
        <v>341.61977321979396</v>
      </c>
      <c r="I107" s="263"/>
      <c r="J107" s="987">
        <f>F4A!H105</f>
        <v>3.5082849283506315E-2</v>
      </c>
      <c r="K107" s="989">
        <f t="shared" ca="1" si="6"/>
        <v>364.23857645847011</v>
      </c>
      <c r="L107" s="263"/>
      <c r="M107" s="987">
        <f>F4A!J105</f>
        <v>3.5126655265816174E-2</v>
      </c>
      <c r="N107" s="989">
        <f t="shared" ca="1" si="7"/>
        <v>381.97159879604754</v>
      </c>
    </row>
    <row r="108" spans="1:14">
      <c r="A108" s="1351"/>
      <c r="B108" s="1381" t="s">
        <v>1127</v>
      </c>
      <c r="C108" s="263"/>
      <c r="D108" s="958">
        <f>F4A!D106</f>
        <v>1.817559924686088E-2</v>
      </c>
      <c r="E108" s="774">
        <f t="shared" si="4"/>
        <v>158.0325473841084</v>
      </c>
      <c r="F108" s="263"/>
      <c r="G108" s="987">
        <f>F4A!F106</f>
        <v>1.2828651823001523E-2</v>
      </c>
      <c r="H108" s="988">
        <f t="shared" ca="1" si="5"/>
        <v>135.58393629440133</v>
      </c>
      <c r="I108" s="263"/>
      <c r="J108" s="987">
        <f>F4A!H106</f>
        <v>1.3778898974481514E-2</v>
      </c>
      <c r="K108" s="989">
        <f t="shared" ca="1" si="6"/>
        <v>143.05584210315945</v>
      </c>
      <c r="L108" s="263"/>
      <c r="M108" s="987">
        <f>F4A!J106</f>
        <v>1.4063989424123062E-2</v>
      </c>
      <c r="N108" s="989">
        <f t="shared" ca="1" si="7"/>
        <v>152.93356242234779</v>
      </c>
    </row>
    <row r="109" spans="1:14">
      <c r="A109" s="1351"/>
      <c r="B109" s="1381" t="s">
        <v>1128</v>
      </c>
      <c r="C109" s="263"/>
      <c r="D109" s="958">
        <f>F4A!D107</f>
        <v>3.719876529797952E-3</v>
      </c>
      <c r="E109" s="774">
        <f t="shared" si="4"/>
        <v>32.343448816954826</v>
      </c>
      <c r="F109" s="263"/>
      <c r="G109" s="987">
        <f>F4A!F107</f>
        <v>1.6833704810752424E-3</v>
      </c>
      <c r="H109" s="988">
        <f t="shared" ca="1" si="5"/>
        <v>17.791269044869946</v>
      </c>
      <c r="I109" s="263"/>
      <c r="J109" s="987">
        <f>F4A!H107</f>
        <v>2.3590688504538499E-3</v>
      </c>
      <c r="K109" s="989">
        <f t="shared" ca="1" si="6"/>
        <v>24.492420011643695</v>
      </c>
      <c r="L109" s="263"/>
      <c r="M109" s="987">
        <f>F4A!J107</f>
        <v>2.4537432050998152E-3</v>
      </c>
      <c r="N109" s="989">
        <f t="shared" ca="1" si="7"/>
        <v>26.682307438448824</v>
      </c>
    </row>
    <row r="110" spans="1:14">
      <c r="A110" s="1351"/>
      <c r="B110" s="1381" t="s">
        <v>1129</v>
      </c>
      <c r="C110" s="263"/>
      <c r="D110" s="958">
        <f>F4A!D108</f>
        <v>0</v>
      </c>
      <c r="E110" s="774">
        <f t="shared" si="4"/>
        <v>0</v>
      </c>
      <c r="F110" s="263"/>
      <c r="G110" s="987">
        <f>F4A!F108</f>
        <v>5.7252219448031077E-5</v>
      </c>
      <c r="H110" s="988">
        <f t="shared" ca="1" si="5"/>
        <v>0.60508940311537285</v>
      </c>
      <c r="I110" s="263"/>
      <c r="J110" s="987">
        <f>F4A!H108</f>
        <v>1.4647714222189393E-4</v>
      </c>
      <c r="K110" s="989">
        <f t="shared" ca="1" si="6"/>
        <v>1.5207609089975045</v>
      </c>
      <c r="L110" s="263"/>
      <c r="M110" s="987">
        <f>F4A!J108</f>
        <v>1.4808392388111752E-4</v>
      </c>
      <c r="N110" s="989">
        <f t="shared" ca="1" si="7"/>
        <v>1.6102829242586127</v>
      </c>
    </row>
    <row r="111" spans="1:14">
      <c r="A111" s="1351"/>
      <c r="B111" s="1380" t="s">
        <v>1130</v>
      </c>
      <c r="C111" s="263"/>
      <c r="D111" s="958">
        <f>F4A!D109</f>
        <v>2.3543522340493367E-4</v>
      </c>
      <c r="E111" s="774">
        <f t="shared" si="4"/>
        <v>2.0470537225920777</v>
      </c>
      <c r="F111" s="263"/>
      <c r="G111" s="987">
        <f>F4A!F109</f>
        <v>9.6749402515563902E-3</v>
      </c>
      <c r="H111" s="988">
        <f t="shared" ca="1" si="5"/>
        <v>102.25287121497749</v>
      </c>
      <c r="I111" s="263"/>
      <c r="J111" s="987">
        <f>F4A!H109</f>
        <v>9.1314576794065336E-3</v>
      </c>
      <c r="K111" s="989">
        <f t="shared" ca="1" si="6"/>
        <v>94.804989163222956</v>
      </c>
      <c r="L111" s="263"/>
      <c r="M111" s="987">
        <f>F4A!J109</f>
        <v>9.3203908721475534E-3</v>
      </c>
      <c r="N111" s="989">
        <f t="shared" ca="1" si="7"/>
        <v>101.35108440862165</v>
      </c>
    </row>
    <row r="112" spans="1:14">
      <c r="A112" s="1351"/>
      <c r="B112" s="1369" t="s">
        <v>1425</v>
      </c>
      <c r="C112" s="263"/>
      <c r="D112" s="958">
        <f>F4A!D110</f>
        <v>5.4406579759720568E-2</v>
      </c>
      <c r="E112" s="774">
        <f t="shared" si="4"/>
        <v>473.05237517108446</v>
      </c>
      <c r="F112" s="263"/>
      <c r="G112" s="987">
        <f>F4A!F110</f>
        <v>5.6567521254201635E-2</v>
      </c>
      <c r="H112" s="988">
        <f t="shared" ca="1" si="5"/>
        <v>597.85293917715808</v>
      </c>
      <c r="I112" s="263"/>
      <c r="J112" s="987">
        <f>F4A!H110</f>
        <v>6.0498751930070108E-2</v>
      </c>
      <c r="K112" s="989">
        <f t="shared" ca="1" si="6"/>
        <v>628.1125886454937</v>
      </c>
      <c r="L112" s="263"/>
      <c r="M112" s="987">
        <f>F4A!J110</f>
        <v>6.1112862691067721E-2</v>
      </c>
      <c r="N112" s="989">
        <f t="shared" ca="1" si="7"/>
        <v>664.54883598972435</v>
      </c>
    </row>
    <row r="113" spans="1:14">
      <c r="A113" s="1351"/>
      <c r="B113" s="1369" t="s">
        <v>1446</v>
      </c>
      <c r="C113" s="263"/>
      <c r="D113" s="958">
        <f>F4A!D111</f>
        <v>0</v>
      </c>
      <c r="E113" s="774">
        <f t="shared" si="4"/>
        <v>0</v>
      </c>
      <c r="F113" s="263"/>
      <c r="G113" s="987">
        <f>F4A!F111</f>
        <v>0</v>
      </c>
      <c r="H113" s="988">
        <f t="shared" ca="1" si="5"/>
        <v>0</v>
      </c>
      <c r="I113" s="263"/>
      <c r="J113" s="987">
        <f>F4A!H111</f>
        <v>0</v>
      </c>
      <c r="K113" s="989">
        <f t="shared" ca="1" si="6"/>
        <v>0</v>
      </c>
      <c r="L113" s="263"/>
      <c r="M113" s="987">
        <f>F4A!J111</f>
        <v>0</v>
      </c>
      <c r="N113" s="989">
        <f t="shared" ca="1" si="7"/>
        <v>0</v>
      </c>
    </row>
    <row r="114" spans="1:14">
      <c r="A114" s="1351"/>
      <c r="B114" s="1367" t="s">
        <v>1133</v>
      </c>
      <c r="C114" s="263"/>
      <c r="D114" s="958">
        <f>F4A!D112</f>
        <v>0</v>
      </c>
      <c r="E114" s="774">
        <f t="shared" si="4"/>
        <v>0</v>
      </c>
      <c r="F114" s="263"/>
      <c r="G114" s="987">
        <f>F4A!F112</f>
        <v>0</v>
      </c>
      <c r="H114" s="988">
        <f t="shared" ca="1" si="5"/>
        <v>0</v>
      </c>
      <c r="I114" s="263"/>
      <c r="J114" s="987">
        <f>F4A!H112</f>
        <v>0</v>
      </c>
      <c r="K114" s="989">
        <f t="shared" ca="1" si="6"/>
        <v>0</v>
      </c>
      <c r="L114" s="263"/>
      <c r="M114" s="987">
        <f>F4A!J112</f>
        <v>0</v>
      </c>
      <c r="N114" s="989">
        <f t="shared" ca="1" si="7"/>
        <v>0</v>
      </c>
    </row>
    <row r="115" spans="1:14">
      <c r="A115" s="1351"/>
      <c r="B115" s="1381" t="s">
        <v>1415</v>
      </c>
      <c r="C115" s="308"/>
      <c r="D115" s="958">
        <f>F4A!D113</f>
        <v>0</v>
      </c>
      <c r="E115" s="774">
        <f t="shared" si="4"/>
        <v>0</v>
      </c>
      <c r="F115" s="308"/>
      <c r="G115" s="987">
        <f>F4A!F113</f>
        <v>1.1348175172250881E-3</v>
      </c>
      <c r="H115" s="988">
        <f t="shared" ca="1" si="5"/>
        <v>11.993701916934375</v>
      </c>
      <c r="I115" s="308"/>
      <c r="J115" s="987">
        <f>F4A!H113</f>
        <v>3.5668999963372767E-4</v>
      </c>
      <c r="K115" s="989">
        <f t="shared" ca="1" si="6"/>
        <v>3.7032413374885511</v>
      </c>
      <c r="L115" s="308"/>
      <c r="M115" s="987">
        <f>F4A!J113</f>
        <v>3.4673337707860201E-4</v>
      </c>
      <c r="N115" s="989">
        <f t="shared" ca="1" si="7"/>
        <v>3.7704216754036892</v>
      </c>
    </row>
    <row r="116" spans="1:14">
      <c r="A116" s="1351"/>
      <c r="B116" s="1381" t="s">
        <v>1134</v>
      </c>
      <c r="C116" s="308"/>
      <c r="D116" s="958">
        <f>F4A!D114</f>
        <v>0</v>
      </c>
      <c r="E116" s="774">
        <f t="shared" si="4"/>
        <v>0</v>
      </c>
      <c r="F116" s="308"/>
      <c r="G116" s="987">
        <f>F4A!F114</f>
        <v>0</v>
      </c>
      <c r="H116" s="988">
        <f t="shared" ca="1" si="5"/>
        <v>0</v>
      </c>
      <c r="I116" s="308"/>
      <c r="J116" s="987">
        <f>F4A!H114</f>
        <v>0</v>
      </c>
      <c r="K116" s="989">
        <f t="shared" ca="1" si="6"/>
        <v>0</v>
      </c>
      <c r="L116" s="308"/>
      <c r="M116" s="987">
        <f>F4A!J114</f>
        <v>0</v>
      </c>
      <c r="N116" s="989">
        <f t="shared" ca="1" si="7"/>
        <v>0</v>
      </c>
    </row>
    <row r="117" spans="1:14">
      <c r="A117" s="1351"/>
      <c r="B117" s="1381" t="s">
        <v>1135</v>
      </c>
      <c r="C117" s="308"/>
      <c r="D117" s="958">
        <f>F4A!D115</f>
        <v>0</v>
      </c>
      <c r="E117" s="774">
        <f t="shared" si="4"/>
        <v>0</v>
      </c>
      <c r="F117" s="308"/>
      <c r="G117" s="987">
        <f>F4A!F115</f>
        <v>0</v>
      </c>
      <c r="H117" s="988">
        <f t="shared" ca="1" si="5"/>
        <v>0</v>
      </c>
      <c r="I117" s="308"/>
      <c r="J117" s="987">
        <f>F4A!H115</f>
        <v>0</v>
      </c>
      <c r="K117" s="989">
        <f t="shared" ca="1" si="6"/>
        <v>0</v>
      </c>
      <c r="L117" s="308"/>
      <c r="M117" s="987">
        <f>F4A!J115</f>
        <v>0</v>
      </c>
      <c r="N117" s="989">
        <f t="shared" ca="1" si="7"/>
        <v>0</v>
      </c>
    </row>
    <row r="118" spans="1:14">
      <c r="A118" s="1351"/>
      <c r="B118" s="1369" t="s">
        <v>1425</v>
      </c>
      <c r="C118" s="308"/>
      <c r="D118" s="958">
        <f>F4A!D116</f>
        <v>0</v>
      </c>
      <c r="E118" s="774">
        <f t="shared" si="4"/>
        <v>0</v>
      </c>
      <c r="F118" s="308"/>
      <c r="G118" s="987">
        <f>F4A!F116</f>
        <v>1.1348175172250881E-3</v>
      </c>
      <c r="H118" s="988">
        <f t="shared" ca="1" si="5"/>
        <v>11.993701916934375</v>
      </c>
      <c r="I118" s="308"/>
      <c r="J118" s="987">
        <f>F4A!H116</f>
        <v>3.5668999963372767E-4</v>
      </c>
      <c r="K118" s="989">
        <f t="shared" ca="1" si="6"/>
        <v>3.7032413374885511</v>
      </c>
      <c r="L118" s="308"/>
      <c r="M118" s="987">
        <f>F4A!J116</f>
        <v>3.4673337707860201E-4</v>
      </c>
      <c r="N118" s="989">
        <f t="shared" ca="1" si="7"/>
        <v>3.7704216754036892</v>
      </c>
    </row>
    <row r="119" spans="1:14">
      <c r="A119" s="1351"/>
      <c r="B119" s="1369" t="s">
        <v>1446</v>
      </c>
      <c r="C119" s="308"/>
      <c r="D119" s="958">
        <f>F4A!D117</f>
        <v>0</v>
      </c>
      <c r="E119" s="774">
        <f t="shared" si="4"/>
        <v>0</v>
      </c>
      <c r="F119" s="308"/>
      <c r="G119" s="987">
        <f>F4A!F117</f>
        <v>0</v>
      </c>
      <c r="H119" s="988">
        <f t="shared" ca="1" si="5"/>
        <v>0</v>
      </c>
      <c r="I119" s="308"/>
      <c r="J119" s="987">
        <f>F4A!H117</f>
        <v>0</v>
      </c>
      <c r="K119" s="989">
        <f t="shared" ca="1" si="6"/>
        <v>0</v>
      </c>
      <c r="L119" s="308"/>
      <c r="M119" s="987">
        <f>F4A!J117</f>
        <v>0</v>
      </c>
      <c r="N119" s="989">
        <f t="shared" ca="1" si="7"/>
        <v>0</v>
      </c>
    </row>
    <row r="120" spans="1:14" ht="26.5" customHeight="1">
      <c r="A120" s="1351"/>
      <c r="B120" s="1367" t="s">
        <v>1137</v>
      </c>
      <c r="C120" s="308"/>
      <c r="D120" s="958">
        <f>F4A!D118</f>
        <v>0</v>
      </c>
      <c r="E120" s="774">
        <f t="shared" si="4"/>
        <v>0</v>
      </c>
      <c r="F120" s="308"/>
      <c r="G120" s="987">
        <f>F4A!F118</f>
        <v>0</v>
      </c>
      <c r="H120" s="988">
        <f t="shared" ca="1" si="5"/>
        <v>0</v>
      </c>
      <c r="I120" s="308"/>
      <c r="J120" s="987">
        <f>F4A!H118</f>
        <v>0</v>
      </c>
      <c r="K120" s="989">
        <f t="shared" ca="1" si="6"/>
        <v>0</v>
      </c>
      <c r="L120" s="308"/>
      <c r="M120" s="987">
        <f>F4A!J118</f>
        <v>0</v>
      </c>
      <c r="N120" s="989">
        <f t="shared" ca="1" si="7"/>
        <v>0</v>
      </c>
    </row>
    <row r="121" spans="1:14">
      <c r="A121" s="1351"/>
      <c r="B121" s="1381" t="s">
        <v>1138</v>
      </c>
      <c r="C121" s="308"/>
      <c r="D121" s="958">
        <f>F4A!D119</f>
        <v>1.0013530921858639E-2</v>
      </c>
      <c r="E121" s="774">
        <f t="shared" si="4"/>
        <v>87.065288929286254</v>
      </c>
      <c r="F121" s="308"/>
      <c r="G121" s="987">
        <f>F4A!F119</f>
        <v>7.0793693362134757E-3</v>
      </c>
      <c r="H121" s="988">
        <f t="shared" ca="1" si="5"/>
        <v>74.820704024776475</v>
      </c>
      <c r="I121" s="308"/>
      <c r="J121" s="987">
        <f>F4A!H119</f>
        <v>7.1798555536318432E-3</v>
      </c>
      <c r="K121" s="989">
        <f t="shared" ca="1" si="6"/>
        <v>74.54298665706699</v>
      </c>
      <c r="L121" s="308"/>
      <c r="M121" s="987">
        <f>F4A!J119</f>
        <v>7.0492318855581498E-3</v>
      </c>
      <c r="N121" s="989">
        <f t="shared" ca="1" si="7"/>
        <v>76.654220370109016</v>
      </c>
    </row>
    <row r="122" spans="1:14">
      <c r="A122" s="1351"/>
      <c r="B122" s="1381" t="s">
        <v>1139</v>
      </c>
      <c r="C122" s="308"/>
      <c r="D122" s="958">
        <f>F4A!D120</f>
        <v>1.2666415019185431E-2</v>
      </c>
      <c r="E122" s="774">
        <f t="shared" si="4"/>
        <v>110.13149027545377</v>
      </c>
      <c r="F122" s="308"/>
      <c r="G122" s="987">
        <f>F4A!F120</f>
        <v>1.4660905468048078E-2</v>
      </c>
      <c r="H122" s="988">
        <f t="shared" ca="1" si="5"/>
        <v>154.94872730383204</v>
      </c>
      <c r="I122" s="308"/>
      <c r="J122" s="987">
        <f>F4A!H120</f>
        <v>1.4869005775356015E-2</v>
      </c>
      <c r="K122" s="989">
        <f t="shared" ca="1" si="6"/>
        <v>154.37359301129041</v>
      </c>
      <c r="L122" s="308"/>
      <c r="M122" s="987">
        <f>F4A!J120</f>
        <v>1.4598492801873775E-2</v>
      </c>
      <c r="N122" s="989">
        <f t="shared" ca="1" si="7"/>
        <v>158.7458183350254</v>
      </c>
    </row>
    <row r="123" spans="1:14">
      <c r="A123" s="1351"/>
      <c r="B123" s="1381" t="s">
        <v>1140</v>
      </c>
      <c r="C123" s="308"/>
      <c r="D123" s="958">
        <f>F4A!D121</f>
        <v>0</v>
      </c>
      <c r="E123" s="774">
        <f t="shared" si="4"/>
        <v>0</v>
      </c>
      <c r="F123" s="308"/>
      <c r="G123" s="987">
        <f>F4A!F121</f>
        <v>0</v>
      </c>
      <c r="H123" s="988">
        <f t="shared" ca="1" si="5"/>
        <v>0</v>
      </c>
      <c r="I123" s="308"/>
      <c r="J123" s="987">
        <f>F4A!H121</f>
        <v>0</v>
      </c>
      <c r="K123" s="989">
        <f t="shared" ca="1" si="6"/>
        <v>0</v>
      </c>
      <c r="L123" s="308"/>
      <c r="M123" s="987">
        <f>F4A!J121</f>
        <v>0</v>
      </c>
      <c r="N123" s="989">
        <f t="shared" ca="1" si="7"/>
        <v>0</v>
      </c>
    </row>
    <row r="124" spans="1:14">
      <c r="A124" s="1351"/>
      <c r="B124" s="1369" t="s">
        <v>1425</v>
      </c>
      <c r="C124" s="308"/>
      <c r="D124" s="958">
        <f>F4A!D122</f>
        <v>2.2679945941044069E-2</v>
      </c>
      <c r="E124" s="774">
        <f t="shared" si="4"/>
        <v>197.19677920474001</v>
      </c>
      <c r="F124" s="308"/>
      <c r="G124" s="987">
        <f>F4A!F122</f>
        <v>2.1740274804261554E-2</v>
      </c>
      <c r="H124" s="988">
        <f t="shared" ca="1" si="5"/>
        <v>229.76943132860853</v>
      </c>
      <c r="I124" s="308"/>
      <c r="J124" s="987">
        <f>F4A!H122</f>
        <v>2.2048861328987857E-2</v>
      </c>
      <c r="K124" s="989">
        <f t="shared" ca="1" si="6"/>
        <v>228.91657966835737</v>
      </c>
      <c r="L124" s="308"/>
      <c r="M124" s="987">
        <f>F4A!J122</f>
        <v>2.1647724687431924E-2</v>
      </c>
      <c r="N124" s="989">
        <f t="shared" ca="1" si="7"/>
        <v>235.40003870513439</v>
      </c>
    </row>
    <row r="125" spans="1:14">
      <c r="A125" s="1351"/>
      <c r="B125" s="1369" t="s">
        <v>1446</v>
      </c>
      <c r="C125" s="308"/>
      <c r="D125" s="958">
        <f>F4A!D123</f>
        <v>0</v>
      </c>
      <c r="E125" s="774">
        <f t="shared" si="4"/>
        <v>0</v>
      </c>
      <c r="F125" s="308"/>
      <c r="G125" s="987">
        <f>F4A!F123</f>
        <v>0</v>
      </c>
      <c r="H125" s="988">
        <f t="shared" ca="1" si="5"/>
        <v>0</v>
      </c>
      <c r="I125" s="308"/>
      <c r="J125" s="987">
        <f>F4A!H123</f>
        <v>0</v>
      </c>
      <c r="K125" s="989">
        <f t="shared" ca="1" si="6"/>
        <v>0</v>
      </c>
      <c r="L125" s="308"/>
      <c r="M125" s="987">
        <f>F4A!J123</f>
        <v>0</v>
      </c>
      <c r="N125" s="989">
        <f t="shared" ca="1" si="7"/>
        <v>0</v>
      </c>
    </row>
    <row r="126" spans="1:14">
      <c r="A126" s="1351"/>
      <c r="B126" s="1367" t="s">
        <v>1143</v>
      </c>
      <c r="C126" s="308"/>
      <c r="D126" s="958">
        <f>F4A!D124</f>
        <v>0</v>
      </c>
      <c r="E126" s="774">
        <f t="shared" si="4"/>
        <v>0</v>
      </c>
      <c r="F126" s="308"/>
      <c r="G126" s="987">
        <f>F4A!F124</f>
        <v>0</v>
      </c>
      <c r="H126" s="988">
        <f t="shared" ca="1" si="5"/>
        <v>0</v>
      </c>
      <c r="I126" s="308"/>
      <c r="J126" s="987">
        <f>F4A!H124</f>
        <v>0</v>
      </c>
      <c r="K126" s="989">
        <f t="shared" ca="1" si="6"/>
        <v>0</v>
      </c>
      <c r="L126" s="308"/>
      <c r="M126" s="987">
        <f>F4A!J124</f>
        <v>0</v>
      </c>
      <c r="N126" s="989">
        <f t="shared" ca="1" si="7"/>
        <v>0</v>
      </c>
    </row>
    <row r="127" spans="1:14">
      <c r="A127" s="1351"/>
      <c r="B127" s="1367" t="s">
        <v>1434</v>
      </c>
      <c r="C127" s="308"/>
      <c r="D127" s="958">
        <f>F4A!D125</f>
        <v>0</v>
      </c>
      <c r="E127" s="774">
        <f t="shared" si="4"/>
        <v>0</v>
      </c>
      <c r="F127" s="308"/>
      <c r="G127" s="987">
        <f>F4A!F125</f>
        <v>1.2824679779068523E-4</v>
      </c>
      <c r="H127" s="988">
        <f t="shared" ca="1" si="5"/>
        <v>1.3554195640758231</v>
      </c>
      <c r="I127" s="308"/>
      <c r="J127" s="987">
        <f>F4A!H125</f>
        <v>1.2751682618841945E-4</v>
      </c>
      <c r="K127" s="989">
        <f t="shared" ca="1" si="6"/>
        <v>1.3239103491861541</v>
      </c>
      <c r="L127" s="308"/>
      <c r="M127" s="987">
        <f>F4A!J125</f>
        <v>1.2395732940104274E-4</v>
      </c>
      <c r="N127" s="989">
        <f t="shared" ca="1" si="7"/>
        <v>1.3479273484908745</v>
      </c>
    </row>
    <row r="128" spans="1:14">
      <c r="A128" s="1351"/>
      <c r="B128" s="1380" t="s">
        <v>126</v>
      </c>
      <c r="C128" s="308"/>
      <c r="D128" s="958">
        <f>F4A!D126</f>
        <v>1</v>
      </c>
      <c r="E128" s="774">
        <f t="shared" si="4"/>
        <v>8694.7640756000001</v>
      </c>
      <c r="F128" s="308"/>
      <c r="G128" s="987">
        <f>F4A!F126</f>
        <v>1</v>
      </c>
      <c r="H128" s="988">
        <f t="shared" ca="1" si="5"/>
        <v>10568.837486983783</v>
      </c>
      <c r="I128" s="308"/>
      <c r="J128" s="987">
        <f>F4A!H126</f>
        <v>1</v>
      </c>
      <c r="K128" s="989">
        <f t="shared" ca="1" si="6"/>
        <v>10382.240436489048</v>
      </c>
      <c r="L128" s="308"/>
      <c r="M128" s="987">
        <f>F4A!J126</f>
        <v>1</v>
      </c>
      <c r="N128" s="989">
        <f t="shared" ca="1" si="7"/>
        <v>10874.123821511885</v>
      </c>
    </row>
    <row r="129" spans="1:14">
      <c r="A129" s="1352"/>
      <c r="B129" s="1369" t="s">
        <v>1446</v>
      </c>
      <c r="C129" s="198"/>
      <c r="D129" s="198"/>
      <c r="E129" s="198"/>
      <c r="F129" s="198"/>
      <c r="G129" s="198"/>
      <c r="H129" s="198"/>
      <c r="I129" s="198"/>
      <c r="J129" s="198"/>
      <c r="K129" s="198"/>
      <c r="L129" s="198"/>
      <c r="M129" s="198"/>
      <c r="N129" s="1353"/>
    </row>
  </sheetData>
  <mergeCells count="17">
    <mergeCell ref="L7:N7"/>
    <mergeCell ref="M4:N4"/>
    <mergeCell ref="I5:K5"/>
    <mergeCell ref="L5:N5"/>
    <mergeCell ref="F6:H6"/>
    <mergeCell ref="L6:N6"/>
    <mergeCell ref="J3:K3"/>
    <mergeCell ref="J4:K4"/>
    <mergeCell ref="A5:A8"/>
    <mergeCell ref="B5:B8"/>
    <mergeCell ref="F7:H7"/>
    <mergeCell ref="F5:H5"/>
    <mergeCell ref="I7:K7"/>
    <mergeCell ref="C7:E7"/>
    <mergeCell ref="C6:E6"/>
    <mergeCell ref="C5:E5"/>
    <mergeCell ref="I6:K6"/>
  </mergeCells>
  <phoneticPr fontId="48" type="noConversion"/>
  <printOptions horizontalCentered="1"/>
  <pageMargins left="0.19685039370078741" right="0.19685039370078741" top="0.19685039370078741" bottom="0.19685039370078741" header="0.19685039370078741" footer="0.19685039370078741"/>
  <pageSetup paperSize="9" scale="50" orientation="portrait" r:id="rId1"/>
  <rowBreaks count="1" manualBreakCount="1">
    <brk id="84" min="1" max="1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topLeftCell="A5" workbookViewId="0">
      <selection activeCell="C105" sqref="C105"/>
    </sheetView>
  </sheetViews>
  <sheetFormatPr defaultRowHeight="14.5"/>
  <cols>
    <col min="1" max="1" width="8.1796875" customWidth="1"/>
    <col min="2" max="2" width="11" customWidth="1"/>
    <col min="3" max="3" width="11" style="434" customWidth="1"/>
    <col min="5" max="5" width="11.1796875" bestFit="1" customWidth="1"/>
    <col min="8" max="8" width="6.7265625" bestFit="1" customWidth="1"/>
    <col min="9" max="9" width="12.7265625" bestFit="1" customWidth="1"/>
  </cols>
  <sheetData>
    <row r="1" spans="1:9" s="442" customFormat="1">
      <c r="A1" s="546" t="s">
        <v>1147</v>
      </c>
      <c r="B1" s="546"/>
      <c r="C1" s="546"/>
      <c r="D1" s="546"/>
      <c r="E1" s="546"/>
      <c r="F1" s="546"/>
      <c r="G1" s="546"/>
      <c r="H1" s="546"/>
      <c r="I1" s="546"/>
    </row>
    <row r="2" spans="1:9">
      <c r="A2" s="392" t="s">
        <v>1604</v>
      </c>
      <c r="B2" s="715"/>
      <c r="C2" s="715"/>
      <c r="D2" s="715"/>
      <c r="E2" s="715"/>
      <c r="F2" s="715"/>
      <c r="G2" s="715"/>
    </row>
    <row r="3" spans="1:9">
      <c r="A3" s="440" t="s">
        <v>1025</v>
      </c>
      <c r="B3" s="440"/>
      <c r="C3" s="440"/>
      <c r="D3" s="440"/>
      <c r="E3" s="440"/>
      <c r="F3" s="440"/>
      <c r="G3" s="440"/>
      <c r="H3" s="440"/>
      <c r="I3" s="440"/>
    </row>
    <row r="4" spans="1:9" s="442" customFormat="1">
      <c r="A4" s="581"/>
      <c r="B4" s="581"/>
      <c r="C4" s="581"/>
      <c r="D4" s="581"/>
      <c r="E4" s="581"/>
      <c r="F4" s="581"/>
      <c r="G4" s="581"/>
      <c r="H4" s="581"/>
      <c r="I4" s="581"/>
    </row>
    <row r="5" spans="1:9">
      <c r="A5" s="3519" t="s">
        <v>1023</v>
      </c>
      <c r="B5" s="3519"/>
      <c r="C5" s="3519"/>
      <c r="D5" s="3519"/>
      <c r="E5" s="3519"/>
      <c r="F5" s="3519"/>
      <c r="G5" s="3519"/>
      <c r="H5" s="3519"/>
      <c r="I5" s="3519"/>
    </row>
    <row r="6" spans="1:9" ht="29">
      <c r="A6" s="644" t="s">
        <v>12</v>
      </c>
      <c r="B6" s="644" t="s">
        <v>14</v>
      </c>
      <c r="C6" s="643" t="s">
        <v>1024</v>
      </c>
      <c r="D6" s="644"/>
      <c r="E6" s="644" t="s">
        <v>1605</v>
      </c>
      <c r="F6" s="644"/>
      <c r="G6" s="644"/>
      <c r="H6" s="644"/>
      <c r="I6" s="644"/>
    </row>
    <row r="7" spans="1:9">
      <c r="A7" s="645">
        <v>1</v>
      </c>
      <c r="B7" s="3517" t="s">
        <v>1022</v>
      </c>
      <c r="C7" s="645" t="s">
        <v>555</v>
      </c>
      <c r="D7" s="309"/>
      <c r="E7" s="309"/>
      <c r="F7" s="309"/>
      <c r="G7" s="309"/>
      <c r="H7" s="309"/>
      <c r="I7" s="309"/>
    </row>
    <row r="8" spans="1:9">
      <c r="A8" s="98">
        <v>2</v>
      </c>
      <c r="B8" s="3518"/>
      <c r="C8" s="931" t="s">
        <v>553</v>
      </c>
      <c r="D8" s="1"/>
      <c r="E8" s="1174">
        <f>'S4'!E11</f>
        <v>0.16429999999999997</v>
      </c>
      <c r="F8" s="1"/>
      <c r="G8" s="1"/>
      <c r="H8" s="1"/>
      <c r="I8" s="1"/>
    </row>
    <row r="9" spans="1:9">
      <c r="A9" s="98">
        <v>3</v>
      </c>
      <c r="B9" s="3518"/>
      <c r="C9" s="931" t="s">
        <v>551</v>
      </c>
      <c r="D9" s="1"/>
      <c r="E9" s="1174">
        <f>'S4'!F11</f>
        <v>0.122</v>
      </c>
      <c r="F9" s="1"/>
      <c r="G9" s="1"/>
      <c r="H9" s="1"/>
      <c r="I9" s="1"/>
    </row>
    <row r="10" spans="1:9">
      <c r="A10" s="98">
        <v>4</v>
      </c>
      <c r="B10" s="424" t="s">
        <v>575</v>
      </c>
      <c r="C10" s="931" t="s">
        <v>545</v>
      </c>
      <c r="D10" s="1"/>
      <c r="E10" s="1174">
        <f>'S4'!I11</f>
        <v>0.20652529137926451</v>
      </c>
      <c r="F10" s="1"/>
      <c r="G10" s="1"/>
      <c r="H10" s="1"/>
      <c r="I10" s="1"/>
    </row>
    <row r="11" spans="1:9">
      <c r="A11" s="98">
        <v>5</v>
      </c>
      <c r="B11" s="424" t="s">
        <v>550</v>
      </c>
      <c r="C11" s="931" t="s">
        <v>546</v>
      </c>
      <c r="D11" s="1"/>
      <c r="E11" s="1174">
        <f>'S4'!K11</f>
        <v>0.19599250151892203</v>
      </c>
      <c r="G11" s="1"/>
      <c r="H11" s="1"/>
      <c r="I11" s="1"/>
    </row>
    <row r="12" spans="1:9">
      <c r="A12" s="98">
        <v>6</v>
      </c>
      <c r="B12" s="1468" t="s">
        <v>952</v>
      </c>
      <c r="C12" s="931" t="s">
        <v>547</v>
      </c>
      <c r="D12" s="1"/>
      <c r="E12" s="1174">
        <f>'S4'!L11</f>
        <v>0.17580527386247308</v>
      </c>
      <c r="F12" s="1"/>
      <c r="G12" s="1"/>
      <c r="H12" s="1"/>
      <c r="I12" s="1"/>
    </row>
    <row r="15" spans="1:9">
      <c r="A15" s="3519" t="s">
        <v>1174</v>
      </c>
      <c r="B15" s="3519"/>
      <c r="C15" s="3519"/>
      <c r="D15" s="3519"/>
      <c r="E15" s="3519"/>
      <c r="F15" s="3519"/>
      <c r="G15" s="3519"/>
      <c r="H15" s="3519"/>
      <c r="I15" s="3519"/>
    </row>
    <row r="16" spans="1:9" ht="29">
      <c r="A16" s="314" t="s">
        <v>12</v>
      </c>
      <c r="B16" s="314" t="s">
        <v>14</v>
      </c>
      <c r="C16" s="438" t="s">
        <v>1024</v>
      </c>
      <c r="D16" s="1331"/>
      <c r="E16" s="314" t="s">
        <v>1605</v>
      </c>
      <c r="F16" s="314"/>
      <c r="G16" s="314"/>
      <c r="H16" s="314"/>
      <c r="I16" s="314"/>
    </row>
    <row r="17" spans="1:9">
      <c r="A17" s="98">
        <v>1</v>
      </c>
      <c r="B17" s="3517" t="s">
        <v>1022</v>
      </c>
      <c r="C17" s="931" t="s">
        <v>555</v>
      </c>
      <c r="D17" s="1"/>
      <c r="E17" s="1"/>
      <c r="F17" s="1"/>
      <c r="G17" s="1"/>
      <c r="H17" s="1"/>
      <c r="I17" s="1"/>
    </row>
    <row r="18" spans="1:9">
      <c r="A18" s="98">
        <v>2</v>
      </c>
      <c r="B18" s="3518"/>
      <c r="C18" s="931" t="s">
        <v>553</v>
      </c>
      <c r="D18" s="1"/>
      <c r="E18" s="1174">
        <f>'S4'!E17</f>
        <v>3.5680000000000003E-2</v>
      </c>
      <c r="F18" s="1"/>
      <c r="G18" s="1"/>
      <c r="H18" s="1"/>
      <c r="I18" s="1"/>
    </row>
    <row r="19" spans="1:9">
      <c r="A19" s="98">
        <v>3</v>
      </c>
      <c r="B19" s="3518"/>
      <c r="C19" s="931" t="s">
        <v>551</v>
      </c>
      <c r="D19" s="1"/>
      <c r="E19" s="1174">
        <f>'S4'!F17</f>
        <v>3.4299999999999997E-2</v>
      </c>
      <c r="F19" s="1"/>
      <c r="G19" s="1"/>
      <c r="H19" s="1"/>
      <c r="I19" s="1"/>
    </row>
    <row r="20" spans="1:9">
      <c r="A20" s="98">
        <v>4</v>
      </c>
      <c r="B20" s="424" t="s">
        <v>575</v>
      </c>
      <c r="C20" s="931" t="s">
        <v>545</v>
      </c>
      <c r="D20" s="1"/>
      <c r="E20" s="1253">
        <f>'S4'!I17</f>
        <v>3.3700000000000001E-2</v>
      </c>
      <c r="F20" s="1"/>
      <c r="G20" s="1"/>
      <c r="H20" s="1"/>
      <c r="I20" s="1"/>
    </row>
    <row r="21" spans="1:9">
      <c r="A21" s="98">
        <v>5</v>
      </c>
      <c r="B21" s="424" t="s">
        <v>550</v>
      </c>
      <c r="C21" s="931" t="s">
        <v>546</v>
      </c>
      <c r="D21" s="1"/>
      <c r="E21" s="1253">
        <f>'S4'!K17</f>
        <v>3.3300000000000003E-2</v>
      </c>
      <c r="F21" s="1"/>
      <c r="G21" s="1"/>
      <c r="H21" s="1"/>
      <c r="I21" s="1"/>
    </row>
    <row r="22" spans="1:9" ht="15" customHeight="1">
      <c r="A22" s="98">
        <v>6</v>
      </c>
      <c r="B22" s="1468" t="s">
        <v>952</v>
      </c>
      <c r="C22" s="931" t="s">
        <v>547</v>
      </c>
      <c r="D22" s="1"/>
      <c r="E22" s="1253">
        <f>'S4'!L17</f>
        <v>3.3300000000000003E-2</v>
      </c>
      <c r="F22" s="1"/>
      <c r="G22" s="1"/>
      <c r="H22" s="1"/>
      <c r="I22" s="1"/>
    </row>
    <row r="25" spans="1:9">
      <c r="A25" s="3519" t="s">
        <v>1175</v>
      </c>
      <c r="B25" s="3519"/>
      <c r="C25" s="3519"/>
      <c r="D25" s="3519"/>
      <c r="E25" s="3519"/>
      <c r="F25" s="3519"/>
      <c r="G25" s="3519"/>
      <c r="H25" s="3519"/>
      <c r="I25" s="3519"/>
    </row>
    <row r="26" spans="1:9" ht="29">
      <c r="A26" s="314" t="s">
        <v>12</v>
      </c>
      <c r="B26" s="314" t="s">
        <v>14</v>
      </c>
      <c r="C26" s="438" t="s">
        <v>1024</v>
      </c>
      <c r="D26" s="1331"/>
      <c r="E26" s="314" t="s">
        <v>1605</v>
      </c>
      <c r="F26" s="314"/>
      <c r="G26" s="314"/>
      <c r="H26" s="314"/>
      <c r="I26" s="314"/>
    </row>
    <row r="27" spans="1:9">
      <c r="A27" s="98">
        <v>1</v>
      </c>
      <c r="B27" s="3517" t="s">
        <v>1022</v>
      </c>
      <c r="C27" s="931" t="s">
        <v>555</v>
      </c>
      <c r="D27" s="1"/>
      <c r="E27" s="1"/>
      <c r="F27" s="1"/>
      <c r="G27" s="1"/>
      <c r="H27" s="1"/>
      <c r="I27" s="1"/>
    </row>
    <row r="28" spans="1:9">
      <c r="A28" s="98">
        <v>2</v>
      </c>
      <c r="B28" s="3518"/>
      <c r="C28" s="931" t="s">
        <v>553</v>
      </c>
      <c r="D28" s="1"/>
      <c r="E28" s="1174">
        <f>'S4'!E26</f>
        <v>2.6596318527153412E-2</v>
      </c>
      <c r="F28" s="1"/>
      <c r="G28" s="1"/>
      <c r="H28" s="1"/>
      <c r="I28" s="1"/>
    </row>
    <row r="29" spans="1:9">
      <c r="A29" s="98">
        <v>3</v>
      </c>
      <c r="B29" s="3518"/>
      <c r="C29" s="931" t="s">
        <v>551</v>
      </c>
      <c r="D29" s="1"/>
      <c r="E29" s="1174">
        <f>'S4'!F26</f>
        <v>1.6299999999999999E-2</v>
      </c>
      <c r="F29" s="1"/>
      <c r="G29" s="1"/>
      <c r="H29" s="1"/>
      <c r="I29" s="1"/>
    </row>
    <row r="30" spans="1:9">
      <c r="A30" s="98">
        <v>4</v>
      </c>
      <c r="B30" s="424" t="s">
        <v>575</v>
      </c>
      <c r="C30" s="931" t="s">
        <v>545</v>
      </c>
      <c r="D30" s="1"/>
      <c r="E30" s="1253">
        <f>'S4'!I26</f>
        <v>2.2807680780544536E-2</v>
      </c>
      <c r="F30" s="1"/>
      <c r="G30" s="1"/>
      <c r="H30" s="1"/>
      <c r="I30" s="1"/>
    </row>
    <row r="31" spans="1:9">
      <c r="A31" s="98">
        <v>5</v>
      </c>
      <c r="B31" s="424" t="s">
        <v>550</v>
      </c>
      <c r="C31" s="931" t="s">
        <v>546</v>
      </c>
      <c r="D31" s="1"/>
      <c r="E31" s="1253">
        <f>'S4'!K26</f>
        <v>1.5791697397331911E-2</v>
      </c>
      <c r="F31" s="1"/>
      <c r="G31" s="1"/>
      <c r="H31" s="1"/>
      <c r="I31" s="1"/>
    </row>
    <row r="32" spans="1:9" ht="15" customHeight="1">
      <c r="A32" s="98">
        <v>6</v>
      </c>
      <c r="B32" s="1468" t="s">
        <v>952</v>
      </c>
      <c r="C32" s="931" t="s">
        <v>547</v>
      </c>
      <c r="D32" s="1"/>
      <c r="E32" s="1253">
        <f>'S4'!L26</f>
        <v>1.2714643822276059E-2</v>
      </c>
      <c r="F32" s="1"/>
      <c r="G32" s="1"/>
      <c r="H32" s="1"/>
      <c r="I32" s="1"/>
    </row>
  </sheetData>
  <mergeCells count="6">
    <mergeCell ref="B27:B29"/>
    <mergeCell ref="A25:I25"/>
    <mergeCell ref="B7:B9"/>
    <mergeCell ref="A5:I5"/>
    <mergeCell ref="A15:I15"/>
    <mergeCell ref="B17:B19"/>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8"/>
  <sheetViews>
    <sheetView view="pageBreakPreview" zoomScale="110" zoomScaleSheetLayoutView="110" workbookViewId="0">
      <pane xSplit="1" ySplit="7" topLeftCell="V8"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50.7265625" style="437" customWidth="1"/>
    <col min="2" max="2" width="10.453125" style="432" customWidth="1"/>
    <col min="3" max="3" width="14" style="432" bestFit="1" customWidth="1"/>
    <col min="4" max="4" width="12.81640625" style="432" bestFit="1" customWidth="1"/>
    <col min="5" max="5" width="10.1796875" style="432" customWidth="1"/>
    <col min="6" max="6" width="11.1796875" style="430" customWidth="1"/>
    <col min="7" max="7" width="11.7265625" style="430" customWidth="1"/>
    <col min="8" max="8" width="14.1796875" style="430" bestFit="1" customWidth="1"/>
    <col min="9" max="9" width="11.54296875" style="430" customWidth="1"/>
    <col min="10" max="10" width="10.1796875" style="430" customWidth="1"/>
    <col min="11" max="11" width="12.7265625" style="430" customWidth="1"/>
    <col min="12" max="13" width="9.81640625" style="430" customWidth="1"/>
    <col min="14" max="14" width="11.54296875" style="430" bestFit="1" customWidth="1"/>
    <col min="15" max="15" width="16.1796875" style="430" bestFit="1" customWidth="1"/>
    <col min="16" max="16" width="14.1796875" style="430" bestFit="1" customWidth="1"/>
    <col min="17" max="17" width="16.1796875" style="430" bestFit="1" customWidth="1"/>
    <col min="18" max="18" width="11.81640625" style="430" bestFit="1" customWidth="1"/>
    <col min="19" max="19" width="16.1796875" style="430" bestFit="1" customWidth="1"/>
    <col min="20" max="20" width="8.81640625" style="430" bestFit="1" customWidth="1"/>
    <col min="21" max="21" width="16.1796875" style="430" bestFit="1" customWidth="1"/>
    <col min="22" max="22" width="12.54296875" style="430" bestFit="1" customWidth="1"/>
    <col min="23" max="23" width="15.81640625" style="430" bestFit="1" customWidth="1"/>
    <col min="24" max="24" width="14.81640625" style="430" bestFit="1" customWidth="1"/>
    <col min="25" max="25" width="15.81640625" style="430" bestFit="1" customWidth="1"/>
    <col min="26" max="26" width="9" style="430" customWidth="1"/>
    <col min="27" max="27" width="15.81640625" style="430" bestFit="1" customWidth="1"/>
    <col min="28" max="28" width="9" style="430" customWidth="1"/>
    <col min="29" max="29" width="10.54296875" style="430" customWidth="1"/>
    <col min="30" max="16384" width="9.1796875" style="430"/>
  </cols>
  <sheetData>
    <row r="1" spans="1:29" s="313" customFormat="1">
      <c r="A1" s="546" t="s">
        <v>1171</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row>
    <row r="2" spans="1:29">
      <c r="A2" s="392" t="s">
        <v>1604</v>
      </c>
      <c r="B2" s="715"/>
      <c r="C2" s="715"/>
      <c r="D2" s="715"/>
      <c r="E2" s="715"/>
      <c r="F2" s="715"/>
      <c r="G2" s="715"/>
      <c r="H2" s="435"/>
      <c r="I2" s="435"/>
      <c r="J2" s="435"/>
      <c r="K2" s="435"/>
      <c r="L2" s="435"/>
      <c r="M2" s="435"/>
      <c r="N2" s="435"/>
      <c r="O2" s="435"/>
      <c r="P2" s="435"/>
      <c r="Q2" s="435"/>
      <c r="R2" s="435"/>
      <c r="S2" s="435"/>
      <c r="T2" s="435"/>
      <c r="U2" s="435"/>
      <c r="V2" s="435"/>
      <c r="W2" s="435"/>
      <c r="X2" s="435"/>
      <c r="Y2" s="435"/>
      <c r="Z2" s="435"/>
      <c r="AA2" s="435"/>
      <c r="AB2" s="435"/>
      <c r="AC2" s="435"/>
    </row>
    <row r="3" spans="1:29">
      <c r="A3" s="440" t="s">
        <v>1170</v>
      </c>
      <c r="B3" s="440"/>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row>
    <row r="4" spans="1:29" ht="15.75" customHeight="1">
      <c r="A4" s="3520" t="s">
        <v>1148</v>
      </c>
      <c r="B4" s="3520"/>
      <c r="C4" s="3520"/>
      <c r="D4" s="3520"/>
      <c r="E4" s="3520"/>
      <c r="F4" s="3520"/>
      <c r="G4" s="3520"/>
      <c r="H4" s="3520"/>
      <c r="I4" s="3520"/>
      <c r="J4" s="3520"/>
      <c r="K4" s="3520"/>
      <c r="L4" s="3520"/>
      <c r="M4" s="3520"/>
      <c r="N4" s="3520"/>
      <c r="O4" s="3520"/>
      <c r="P4" s="3520"/>
      <c r="Q4" s="3520"/>
      <c r="R4" s="3520"/>
      <c r="S4" s="3520"/>
      <c r="T4" s="3520"/>
      <c r="U4" s="3520"/>
      <c r="V4" s="3520"/>
      <c r="W4" s="3520"/>
      <c r="X4" s="3520"/>
      <c r="Y4" s="3520"/>
      <c r="Z4" s="3520"/>
      <c r="AA4" s="3520"/>
      <c r="AB4" s="3520"/>
      <c r="AC4" s="3520"/>
    </row>
    <row r="5" spans="1:29" ht="43.5">
      <c r="A5" s="2994" t="s">
        <v>1026</v>
      </c>
      <c r="B5" s="438" t="s">
        <v>1027</v>
      </c>
      <c r="C5" s="438" t="s">
        <v>1028</v>
      </c>
      <c r="D5" s="438" t="s">
        <v>1029</v>
      </c>
      <c r="E5" s="438" t="s">
        <v>1149</v>
      </c>
      <c r="F5" s="438" t="s">
        <v>1027</v>
      </c>
      <c r="G5" s="3521" t="s">
        <v>1150</v>
      </c>
      <c r="H5" s="438" t="s">
        <v>1028</v>
      </c>
      <c r="I5" s="3521" t="s">
        <v>1150</v>
      </c>
      <c r="J5" s="438" t="s">
        <v>1029</v>
      </c>
      <c r="K5" s="3521" t="s">
        <v>1150</v>
      </c>
      <c r="L5" s="438" t="s">
        <v>1030</v>
      </c>
      <c r="M5" s="3521" t="s">
        <v>1150</v>
      </c>
      <c r="N5" s="438" t="s">
        <v>1027</v>
      </c>
      <c r="O5" s="3521" t="s">
        <v>1155</v>
      </c>
      <c r="P5" s="438" t="s">
        <v>1028</v>
      </c>
      <c r="Q5" s="3521" t="s">
        <v>1155</v>
      </c>
      <c r="R5" s="438" t="s">
        <v>1029</v>
      </c>
      <c r="S5" s="3521" t="s">
        <v>1155</v>
      </c>
      <c r="T5" s="438" t="s">
        <v>1030</v>
      </c>
      <c r="U5" s="3521" t="s">
        <v>1155</v>
      </c>
      <c r="V5" s="438" t="s">
        <v>1027</v>
      </c>
      <c r="W5" s="3521" t="s">
        <v>1158</v>
      </c>
      <c r="X5" s="438" t="s">
        <v>1028</v>
      </c>
      <c r="Y5" s="3521" t="s">
        <v>1158</v>
      </c>
      <c r="Z5" s="438" t="s">
        <v>1029</v>
      </c>
      <c r="AA5" s="3521" t="s">
        <v>1158</v>
      </c>
      <c r="AB5" s="438" t="s">
        <v>1030</v>
      </c>
      <c r="AC5" s="3521" t="s">
        <v>1158</v>
      </c>
    </row>
    <row r="6" spans="1:29" ht="29">
      <c r="A6" s="2994"/>
      <c r="B6" s="3487" t="s">
        <v>1584</v>
      </c>
      <c r="C6" s="3523"/>
      <c r="D6" s="3523"/>
      <c r="E6" s="482"/>
      <c r="F6" s="438" t="s">
        <v>991</v>
      </c>
      <c r="G6" s="3522"/>
      <c r="H6" s="438" t="s">
        <v>991</v>
      </c>
      <c r="I6" s="3522"/>
      <c r="J6" s="438" t="s">
        <v>991</v>
      </c>
      <c r="K6" s="3522"/>
      <c r="L6" s="438" t="s">
        <v>991</v>
      </c>
      <c r="M6" s="3522"/>
      <c r="N6" s="438" t="s">
        <v>945</v>
      </c>
      <c r="O6" s="3522"/>
      <c r="P6" s="438" t="s">
        <v>945</v>
      </c>
      <c r="Q6" s="3522"/>
      <c r="R6" s="438" t="s">
        <v>945</v>
      </c>
      <c r="S6" s="3522"/>
      <c r="T6" s="438" t="s">
        <v>945</v>
      </c>
      <c r="U6" s="3522"/>
      <c r="V6" s="438" t="s">
        <v>954</v>
      </c>
      <c r="W6" s="3522"/>
      <c r="X6" s="438" t="s">
        <v>954</v>
      </c>
      <c r="Y6" s="3522"/>
      <c r="Z6" s="438" t="s">
        <v>954</v>
      </c>
      <c r="AA6" s="3522"/>
      <c r="AB6" s="438" t="s">
        <v>954</v>
      </c>
      <c r="AC6" s="3522"/>
    </row>
    <row r="7" spans="1:29" ht="25.9" customHeight="1">
      <c r="A7" s="2994"/>
      <c r="B7" s="438" t="s">
        <v>57</v>
      </c>
      <c r="C7" s="438" t="s">
        <v>58</v>
      </c>
      <c r="D7" s="438" t="s">
        <v>67</v>
      </c>
      <c r="E7" s="438" t="s">
        <v>68</v>
      </c>
      <c r="F7" s="438" t="s">
        <v>69</v>
      </c>
      <c r="G7" s="438" t="s">
        <v>1151</v>
      </c>
      <c r="H7" s="438" t="s">
        <v>138</v>
      </c>
      <c r="I7" s="438" t="s">
        <v>1152</v>
      </c>
      <c r="J7" s="438" t="s">
        <v>140</v>
      </c>
      <c r="K7" s="438" t="s">
        <v>1153</v>
      </c>
      <c r="L7" s="438" t="s">
        <v>479</v>
      </c>
      <c r="M7" s="438" t="s">
        <v>1031</v>
      </c>
      <c r="N7" s="438" t="s">
        <v>1032</v>
      </c>
      <c r="O7" s="438" t="s">
        <v>1154</v>
      </c>
      <c r="P7" s="438" t="s">
        <v>1033</v>
      </c>
      <c r="Q7" s="438" t="s">
        <v>1156</v>
      </c>
      <c r="R7" s="438" t="s">
        <v>1034</v>
      </c>
      <c r="S7" s="438" t="s">
        <v>1157</v>
      </c>
      <c r="T7" s="438" t="s">
        <v>1035</v>
      </c>
      <c r="U7" s="438" t="s">
        <v>1036</v>
      </c>
      <c r="V7" s="438" t="s">
        <v>1037</v>
      </c>
      <c r="W7" s="438" t="s">
        <v>1038</v>
      </c>
      <c r="X7" s="438" t="s">
        <v>1039</v>
      </c>
      <c r="Y7" s="438" t="s">
        <v>1040</v>
      </c>
      <c r="Z7" s="438" t="s">
        <v>820</v>
      </c>
      <c r="AA7" s="438" t="s">
        <v>1041</v>
      </c>
      <c r="AB7" s="438" t="s">
        <v>1042</v>
      </c>
      <c r="AC7" s="438" t="s">
        <v>1159</v>
      </c>
    </row>
    <row r="8" spans="1:29">
      <c r="A8" s="1367" t="s">
        <v>1043</v>
      </c>
      <c r="B8" s="1477"/>
      <c r="C8" s="1477"/>
      <c r="D8" s="1479"/>
      <c r="E8" s="1225"/>
      <c r="F8" s="1225"/>
      <c r="G8" s="1225"/>
      <c r="H8" s="1477"/>
      <c r="I8" s="529"/>
      <c r="J8" s="1476"/>
      <c r="K8" s="529"/>
      <c r="L8" s="1026"/>
      <c r="M8" s="527"/>
      <c r="N8" s="1477"/>
      <c r="O8" s="527"/>
      <c r="P8" s="1481"/>
      <c r="Q8" s="527"/>
      <c r="R8" s="527"/>
      <c r="S8" s="527"/>
      <c r="T8" s="527"/>
      <c r="U8" s="527"/>
      <c r="V8" s="1481"/>
      <c r="W8" s="527"/>
      <c r="X8" s="981"/>
      <c r="Y8" s="527"/>
      <c r="Z8" s="527"/>
      <c r="AA8" s="527"/>
      <c r="AB8" s="527"/>
      <c r="AC8" s="527"/>
    </row>
    <row r="9" spans="1:29">
      <c r="A9" s="1369" t="s">
        <v>1395</v>
      </c>
      <c r="B9" s="1478"/>
      <c r="C9" s="1494"/>
      <c r="D9" s="1480"/>
      <c r="E9" s="513"/>
      <c r="F9" s="527"/>
      <c r="G9" s="529"/>
      <c r="H9" s="1481"/>
      <c r="I9" s="529"/>
      <c r="J9" s="981"/>
      <c r="K9" s="529"/>
      <c r="L9" s="528"/>
      <c r="M9" s="528"/>
      <c r="N9" s="1481"/>
      <c r="O9" s="529"/>
      <c r="P9" s="1481"/>
      <c r="Q9" s="529"/>
      <c r="R9" s="528"/>
      <c r="S9" s="529"/>
      <c r="T9" s="528"/>
      <c r="U9" s="529"/>
      <c r="V9" s="1481"/>
      <c r="W9" s="529"/>
      <c r="X9" s="981"/>
      <c r="Y9" s="529"/>
      <c r="Z9" s="528"/>
      <c r="AA9" s="529"/>
      <c r="AB9" s="528"/>
      <c r="AC9" s="529"/>
    </row>
    <row r="10" spans="1:29">
      <c r="A10" s="1372" t="s">
        <v>1396</v>
      </c>
      <c r="B10" s="1478">
        <f>F9A!R13</f>
        <v>296744</v>
      </c>
      <c r="C10" s="1494">
        <f>F9A!S13</f>
        <v>354944</v>
      </c>
      <c r="D10" s="1480">
        <f>F9A!T13</f>
        <v>285.58</v>
      </c>
      <c r="E10" s="514"/>
      <c r="F10" s="527">
        <f>F9A!U13</f>
        <v>573843</v>
      </c>
      <c r="G10" s="529">
        <f t="shared" ref="G10:G73" si="0">IFERROR((F10-B10)/B10,0)</f>
        <v>0.93379815598630467</v>
      </c>
      <c r="H10" s="1481">
        <f>F9A!V13</f>
        <v>650932</v>
      </c>
      <c r="I10" s="529">
        <f>IFERROR((H10-C10)/C10,0)</f>
        <v>0.83390055896141368</v>
      </c>
      <c r="J10" s="981">
        <f>F9A!W13</f>
        <v>634.399</v>
      </c>
      <c r="K10" s="529">
        <f>IFERROR((J10-D10)/D10,0)</f>
        <v>1.2214405770712236</v>
      </c>
      <c r="L10" s="528"/>
      <c r="M10" s="528"/>
      <c r="N10" s="1481">
        <f>'F9'!Q12</f>
        <v>4735392.1449999996</v>
      </c>
      <c r="O10" s="529">
        <f>IFERROR((N10-F10)/F10,0)</f>
        <v>7.252069198369588</v>
      </c>
      <c r="P10" s="1481">
        <f>'F9'!R12</f>
        <v>4704104.9800000004</v>
      </c>
      <c r="Q10" s="529">
        <f>IFERROR((P10-H10)/H10,0)</f>
        <v>6.2267225762445237</v>
      </c>
      <c r="R10" s="528">
        <f>'F9'!S12</f>
        <v>4584.62557564695</v>
      </c>
      <c r="S10" s="529">
        <f>IFERROR((R10-J10)/J10,0)</f>
        <v>6.2267225762445246</v>
      </c>
      <c r="T10" s="528"/>
      <c r="U10" s="529"/>
      <c r="V10" s="1481">
        <f>'F9'!V12</f>
        <v>4972161.7522499999</v>
      </c>
      <c r="W10" s="529">
        <f>IFERROR((V10-N10)/N10,0)</f>
        <v>5.0000000000000079E-2</v>
      </c>
      <c r="X10" s="981">
        <f>'F9'!W12</f>
        <v>4939310.2290000003</v>
      </c>
      <c r="Y10" s="529">
        <f>IFERROR((X10-P10)/P10,0)</f>
        <v>4.9999999999999961E-2</v>
      </c>
      <c r="Z10" s="528">
        <f>'F9'!X12</f>
        <v>4813.8568544292975</v>
      </c>
      <c r="AA10" s="529">
        <f>IFERROR((Z10-R10)/R10,0)</f>
        <v>5.000000000000001E-2</v>
      </c>
      <c r="AB10" s="528"/>
      <c r="AC10" s="529"/>
    </row>
    <row r="11" spans="1:29">
      <c r="A11" s="1369" t="s">
        <v>1044</v>
      </c>
      <c r="B11" s="1478">
        <f>F9A!R14</f>
        <v>1240956</v>
      </c>
      <c r="C11" s="1494">
        <f>F9A!S14</f>
        <v>2232349</v>
      </c>
      <c r="D11" s="1480">
        <f>F9A!T14</f>
        <v>2523</v>
      </c>
      <c r="E11" s="514"/>
      <c r="F11" s="527">
        <f>F9A!U14</f>
        <v>873338</v>
      </c>
      <c r="G11" s="529">
        <f t="shared" si="0"/>
        <v>-0.29623773929132058</v>
      </c>
      <c r="H11" s="1481">
        <f>F9A!V14</f>
        <v>1074522</v>
      </c>
      <c r="I11" s="529">
        <f t="shared" ref="I11:I74" si="1">IFERROR((H11-C11)/C11,0)</f>
        <v>-0.51865859684126447</v>
      </c>
      <c r="J11" s="981">
        <f>F9A!W14</f>
        <v>1856.77</v>
      </c>
      <c r="K11" s="529">
        <f t="shared" ref="K11:K74" si="2">IFERROR((J11-D11)/D11,0)</f>
        <v>-0.26406262386048357</v>
      </c>
      <c r="L11" s="528"/>
      <c r="M11" s="528"/>
      <c r="N11" s="1481">
        <f>'F9'!Q13</f>
        <v>393002.10000000003</v>
      </c>
      <c r="O11" s="529">
        <f t="shared" ref="O11:O74" si="3">IFERROR((N11-F11)/F11,0)</f>
        <v>-0.54999999999999993</v>
      </c>
      <c r="P11" s="1481">
        <f>'F9'!R13</f>
        <v>483534.9</v>
      </c>
      <c r="Q11" s="529">
        <f t="shared" ref="Q11:Q74" si="4">IFERROR((P11-H11)/H11,0)</f>
        <v>-0.54999999999999993</v>
      </c>
      <c r="R11" s="528">
        <f>'F9'!S13</f>
        <v>1346.1611616</v>
      </c>
      <c r="S11" s="529">
        <f t="shared" ref="S11:S74" si="5">IFERROR((R11-J11)/J11,0)</f>
        <v>-0.2749984319005585</v>
      </c>
      <c r="T11" s="528"/>
      <c r="U11" s="529"/>
      <c r="V11" s="1481">
        <f>'F9'!V13</f>
        <v>196501.05000000002</v>
      </c>
      <c r="W11" s="529">
        <f t="shared" ref="W11:W74" si="6">IFERROR((V11-N11)/N11,0)</f>
        <v>-0.5</v>
      </c>
      <c r="X11" s="981">
        <f>'F9'!W13</f>
        <v>241767.45</v>
      </c>
      <c r="Y11" s="529">
        <f t="shared" ref="Y11:Y74" si="7">IFERROR((X11-P11)/P11,0)</f>
        <v>-0.5</v>
      </c>
      <c r="Z11" s="528">
        <f>'F9'!X13</f>
        <v>626.66123040000014</v>
      </c>
      <c r="AA11" s="529">
        <f t="shared" ref="AA11:AA74" si="8">IFERROR((Z11-R11)/R11,0)</f>
        <v>-0.53448275862068961</v>
      </c>
      <c r="AB11" s="528"/>
      <c r="AC11" s="529"/>
    </row>
    <row r="12" spans="1:29">
      <c r="A12" s="1369" t="s">
        <v>1045</v>
      </c>
      <c r="B12" s="1478">
        <f>F9A!R15</f>
        <v>4668427</v>
      </c>
      <c r="C12" s="1494">
        <f>F9A!S15</f>
        <v>5246924</v>
      </c>
      <c r="D12" s="1480">
        <f>F9A!T15</f>
        <v>6502.07</v>
      </c>
      <c r="E12" s="514"/>
      <c r="F12" s="527">
        <f>F9A!U15</f>
        <v>4444235</v>
      </c>
      <c r="G12" s="529">
        <f t="shared" si="0"/>
        <v>-4.802302788498139E-2</v>
      </c>
      <c r="H12" s="1481">
        <f>F9A!V15</f>
        <v>4747607</v>
      </c>
      <c r="I12" s="529">
        <f t="shared" si="1"/>
        <v>-9.5163756898327484E-2</v>
      </c>
      <c r="J12" s="981">
        <f>F9A!W15</f>
        <v>5681.1050000000005</v>
      </c>
      <c r="K12" s="529">
        <f t="shared" si="2"/>
        <v>-0.12626209807030672</v>
      </c>
      <c r="L12" s="528"/>
      <c r="M12" s="528"/>
      <c r="N12" s="1481">
        <f>'F9'!Q14</f>
        <v>929906.85000000056</v>
      </c>
      <c r="O12" s="529">
        <f t="shared" si="3"/>
        <v>-0.79076109836676045</v>
      </c>
      <c r="P12" s="1481">
        <f>'F9'!R14</f>
        <v>1438229.7700000005</v>
      </c>
      <c r="Q12" s="529">
        <f t="shared" si="4"/>
        <v>-0.69706216837240309</v>
      </c>
      <c r="R12" s="528">
        <f>'F9'!S14</f>
        <v>1721.021629948699</v>
      </c>
      <c r="S12" s="529">
        <f t="shared" si="5"/>
        <v>-0.69706216837240309</v>
      </c>
      <c r="T12" s="528"/>
      <c r="U12" s="529"/>
      <c r="V12" s="1481">
        <f>'F9'!V14</f>
        <v>1219398.5850000007</v>
      </c>
      <c r="W12" s="529">
        <f t="shared" si="6"/>
        <v>0.31131261695727902</v>
      </c>
      <c r="X12" s="981">
        <f>'F9'!W14</f>
        <v>1582052.7470000007</v>
      </c>
      <c r="Y12" s="529">
        <f t="shared" si="7"/>
        <v>0.1000000000000001</v>
      </c>
      <c r="Z12" s="528">
        <f>'F9'!X14</f>
        <v>2106.8157985892294</v>
      </c>
      <c r="AA12" s="529">
        <f t="shared" si="8"/>
        <v>0.2241657873015985</v>
      </c>
      <c r="AB12" s="528"/>
      <c r="AC12" s="529"/>
    </row>
    <row r="13" spans="1:29">
      <c r="A13" s="1369" t="s">
        <v>1046</v>
      </c>
      <c r="B13" s="1478">
        <f>F9A!R16</f>
        <v>253</v>
      </c>
      <c r="C13" s="1494">
        <f>F9A!S16</f>
        <v>10517</v>
      </c>
      <c r="D13" s="1480">
        <f>F9A!T16</f>
        <v>39</v>
      </c>
      <c r="E13" s="514"/>
      <c r="F13" s="527">
        <f>F9A!U16</f>
        <v>13</v>
      </c>
      <c r="G13" s="529">
        <f t="shared" si="0"/>
        <v>-0.9486166007905138</v>
      </c>
      <c r="H13" s="1481">
        <f>F9A!V16</f>
        <v>1773</v>
      </c>
      <c r="I13" s="529">
        <f t="shared" si="1"/>
        <v>-0.83141580298564233</v>
      </c>
      <c r="J13" s="981">
        <f>F9A!W16</f>
        <v>15.545999999999999</v>
      </c>
      <c r="K13" s="529">
        <f t="shared" si="2"/>
        <v>-0.60138461538461541</v>
      </c>
      <c r="L13" s="528"/>
      <c r="M13" s="528"/>
      <c r="N13" s="1481">
        <f>'F9'!Q15</f>
        <v>11.700000000000001</v>
      </c>
      <c r="O13" s="529">
        <f t="shared" si="3"/>
        <v>-9.9999999999999922E-2</v>
      </c>
      <c r="P13" s="1481">
        <f>'F9'!R15</f>
        <v>40667.56</v>
      </c>
      <c r="Q13" s="529">
        <f t="shared" si="4"/>
        <v>21.93714608009024</v>
      </c>
      <c r="R13" s="528">
        <f>'F9'!S15</f>
        <v>8.1</v>
      </c>
      <c r="S13" s="529">
        <f t="shared" si="5"/>
        <v>-0.47896565032805866</v>
      </c>
      <c r="T13" s="528"/>
      <c r="U13" s="529"/>
      <c r="V13" s="1481">
        <f>'F9'!V15</f>
        <v>11.115</v>
      </c>
      <c r="W13" s="529">
        <f t="shared" si="6"/>
        <v>-5.0000000000000065E-2</v>
      </c>
      <c r="X13" s="981">
        <f>'F9'!W15</f>
        <v>38634.181999999993</v>
      </c>
      <c r="Y13" s="529">
        <f t="shared" si="7"/>
        <v>-5.0000000000000107E-2</v>
      </c>
      <c r="Z13" s="528">
        <f>'F9'!X15</f>
        <v>8.1</v>
      </c>
      <c r="AA13" s="529">
        <f t="shared" si="8"/>
        <v>0</v>
      </c>
      <c r="AB13" s="528"/>
      <c r="AC13" s="528"/>
    </row>
    <row r="14" spans="1:29">
      <c r="A14" s="1369" t="s">
        <v>1047</v>
      </c>
      <c r="B14" s="1478">
        <f>F9A!R17</f>
        <v>1320347</v>
      </c>
      <c r="C14" s="1494">
        <f>F9A!S17</f>
        <v>2813089</v>
      </c>
      <c r="D14" s="1480">
        <f>F9A!T17</f>
        <v>3307</v>
      </c>
      <c r="E14" s="514"/>
      <c r="F14" s="527">
        <f>F9A!U17</f>
        <v>1965345</v>
      </c>
      <c r="G14" s="529">
        <f t="shared" si="0"/>
        <v>0.48850643050652592</v>
      </c>
      <c r="H14" s="1481">
        <f>F9A!V17</f>
        <v>3292679</v>
      </c>
      <c r="I14" s="529">
        <f t="shared" si="1"/>
        <v>0.17048518550248498</v>
      </c>
      <c r="J14" s="981">
        <f>F9A!W17</f>
        <v>4561.1000000000004</v>
      </c>
      <c r="K14" s="529">
        <f t="shared" si="2"/>
        <v>0.37922588448745098</v>
      </c>
      <c r="L14" s="528"/>
      <c r="M14" s="528"/>
      <c r="N14" s="1481">
        <f>'F9'!Q16</f>
        <v>2024305.35</v>
      </c>
      <c r="O14" s="529">
        <f t="shared" si="3"/>
        <v>3.0000000000000047E-2</v>
      </c>
      <c r="P14" s="1481">
        <f>'F9'!R16</f>
        <v>3391459.37</v>
      </c>
      <c r="Q14" s="529">
        <f t="shared" si="4"/>
        <v>3.0000000000000034E-2</v>
      </c>
      <c r="R14" s="528">
        <f>'F9'!S16</f>
        <v>4742.0053333333335</v>
      </c>
      <c r="S14" s="529">
        <f t="shared" si="5"/>
        <v>3.9662654476624745E-2</v>
      </c>
      <c r="T14" s="528"/>
      <c r="U14" s="529"/>
      <c r="V14" s="1481">
        <f>'F9'!V16</f>
        <v>2125520.6175000002</v>
      </c>
      <c r="W14" s="529">
        <f t="shared" si="6"/>
        <v>5.0000000000000037E-2</v>
      </c>
      <c r="X14" s="981">
        <f>'F9'!W16</f>
        <v>3561032.3385000001</v>
      </c>
      <c r="Y14" s="529">
        <f t="shared" si="7"/>
        <v>4.9999999999999989E-2</v>
      </c>
      <c r="Z14" s="528">
        <f>'F9'!X16</f>
        <v>5377.1073529521182</v>
      </c>
      <c r="AA14" s="529">
        <f t="shared" si="8"/>
        <v>0.13393110614077433</v>
      </c>
      <c r="AB14" s="528"/>
      <c r="AC14" s="529"/>
    </row>
    <row r="15" spans="1:29">
      <c r="A15" s="1369" t="s">
        <v>1425</v>
      </c>
      <c r="B15" s="1478">
        <f>F9A!R18</f>
        <v>7526727</v>
      </c>
      <c r="C15" s="1494">
        <f>F9A!S18</f>
        <v>10657823</v>
      </c>
      <c r="D15" s="1480">
        <f>F9A!T18</f>
        <v>12656.65</v>
      </c>
      <c r="E15" s="514"/>
      <c r="F15" s="527">
        <f>F9A!U18</f>
        <v>7856774</v>
      </c>
      <c r="G15" s="529">
        <f t="shared" si="0"/>
        <v>4.3850002796700344E-2</v>
      </c>
      <c r="H15" s="1481">
        <f>F9A!V18</f>
        <v>9767513</v>
      </c>
      <c r="I15" s="529">
        <f t="shared" si="1"/>
        <v>-8.3535821527529586E-2</v>
      </c>
      <c r="J15" s="981">
        <f>F9A!W18</f>
        <v>12748.920000000002</v>
      </c>
      <c r="K15" s="529">
        <f t="shared" si="2"/>
        <v>7.2902387282576557E-3</v>
      </c>
      <c r="L15" s="528"/>
      <c r="M15" s="528"/>
      <c r="N15" s="1481">
        <f>'F9'!Q17</f>
        <v>8082618.1449999996</v>
      </c>
      <c r="O15" s="529">
        <f t="shared" si="3"/>
        <v>2.8745149726847118E-2</v>
      </c>
      <c r="P15" s="1481">
        <f>'F9'!R17</f>
        <v>10057996.580000002</v>
      </c>
      <c r="Q15" s="529">
        <f t="shared" si="4"/>
        <v>2.973976896677813E-2</v>
      </c>
      <c r="R15" s="528">
        <f>'F9'!S17</f>
        <v>12401.913700528983</v>
      </c>
      <c r="S15" s="529">
        <f t="shared" si="5"/>
        <v>-2.7218485916534009E-2</v>
      </c>
      <c r="T15" s="528"/>
      <c r="U15" s="529"/>
      <c r="V15" s="1481">
        <f>'F9'!V17</f>
        <v>8513593.1197500005</v>
      </c>
      <c r="W15" s="529">
        <f t="shared" si="6"/>
        <v>5.3321209417347901E-2</v>
      </c>
      <c r="X15" s="981">
        <f>'F9'!W17</f>
        <v>10362796.946500001</v>
      </c>
      <c r="Y15" s="529">
        <f t="shared" si="7"/>
        <v>3.0304282177435329E-2</v>
      </c>
      <c r="Z15" s="528">
        <f>'F9'!X17</f>
        <v>12932.541236370645</v>
      </c>
      <c r="AA15" s="529">
        <f t="shared" si="8"/>
        <v>4.2785940029483459E-2</v>
      </c>
      <c r="AB15" s="528"/>
      <c r="AC15" s="529"/>
    </row>
    <row r="16" spans="1:29">
      <c r="A16" s="1369" t="s">
        <v>1446</v>
      </c>
      <c r="B16" s="1478"/>
      <c r="C16" s="1494">
        <f>F9A!S19</f>
        <v>10657823</v>
      </c>
      <c r="D16" s="1480">
        <f>F9A!T19</f>
        <v>12656.65</v>
      </c>
      <c r="E16" s="514"/>
      <c r="F16" s="527">
        <f>F9A!U19</f>
        <v>7856774</v>
      </c>
      <c r="G16" s="529"/>
      <c r="H16" s="1481"/>
      <c r="I16" s="529"/>
      <c r="J16" s="981"/>
      <c r="K16" s="529"/>
      <c r="L16" s="528"/>
      <c r="M16" s="528"/>
      <c r="N16" s="1481"/>
      <c r="O16" s="529"/>
      <c r="P16" s="1481"/>
      <c r="Q16" s="529"/>
      <c r="R16" s="528">
        <f>'F9'!S18</f>
        <v>12401.913700528981</v>
      </c>
      <c r="S16" s="529"/>
      <c r="T16" s="528"/>
      <c r="U16" s="529"/>
      <c r="V16" s="1481"/>
      <c r="W16" s="529"/>
      <c r="X16" s="981"/>
      <c r="Y16" s="529"/>
      <c r="Z16" s="528"/>
      <c r="AA16" s="529"/>
      <c r="AB16" s="528"/>
      <c r="AC16" s="529"/>
    </row>
    <row r="17" spans="1:29">
      <c r="A17" s="1367" t="s">
        <v>1398</v>
      </c>
      <c r="B17" s="1478">
        <f>F9A!R20</f>
        <v>0</v>
      </c>
      <c r="C17" s="1494">
        <f>F9A!S20</f>
        <v>0</v>
      </c>
      <c r="D17" s="1480">
        <f>F9A!T20</f>
        <v>0</v>
      </c>
      <c r="E17" s="514"/>
      <c r="F17" s="527">
        <f>F9A!U20</f>
        <v>0</v>
      </c>
      <c r="G17" s="529">
        <f t="shared" si="0"/>
        <v>0</v>
      </c>
      <c r="H17" s="1481">
        <f>F9A!V20</f>
        <v>0</v>
      </c>
      <c r="I17" s="529">
        <f t="shared" si="1"/>
        <v>0</v>
      </c>
      <c r="J17" s="981">
        <f>F9A!W20</f>
        <v>0</v>
      </c>
      <c r="K17" s="529">
        <f t="shared" si="2"/>
        <v>0</v>
      </c>
      <c r="L17" s="528"/>
      <c r="M17" s="528"/>
      <c r="N17" s="1481">
        <f>'F9'!Q19</f>
        <v>0</v>
      </c>
      <c r="O17" s="529">
        <f t="shared" si="3"/>
        <v>0</v>
      </c>
      <c r="P17" s="1481">
        <f>'F9'!R19</f>
        <v>0</v>
      </c>
      <c r="Q17" s="529">
        <f t="shared" si="4"/>
        <v>0</v>
      </c>
      <c r="R17" s="528">
        <f>'F9'!S19</f>
        <v>0</v>
      </c>
      <c r="S17" s="529">
        <f t="shared" si="5"/>
        <v>0</v>
      </c>
      <c r="T17" s="528"/>
      <c r="U17" s="529"/>
      <c r="V17" s="1481">
        <f>'F9'!V19</f>
        <v>0</v>
      </c>
      <c r="W17" s="529">
        <f t="shared" si="6"/>
        <v>0</v>
      </c>
      <c r="X17" s="981">
        <f>'F9'!W19</f>
        <v>0</v>
      </c>
      <c r="Y17" s="529">
        <f t="shared" si="7"/>
        <v>0</v>
      </c>
      <c r="Z17" s="528">
        <f>'F9'!X19</f>
        <v>0</v>
      </c>
      <c r="AA17" s="529">
        <f t="shared" si="8"/>
        <v>0</v>
      </c>
      <c r="AB17" s="528"/>
      <c r="AC17" s="529"/>
    </row>
    <row r="18" spans="1:29">
      <c r="A18" s="1377" t="s">
        <v>1051</v>
      </c>
      <c r="B18" s="1478">
        <f>F9A!R21</f>
        <v>26539</v>
      </c>
      <c r="C18" s="1494">
        <f>F9A!S21</f>
        <v>76743</v>
      </c>
      <c r="D18" s="1480">
        <f>F9A!T21</f>
        <v>44.2</v>
      </c>
      <c r="E18" s="514"/>
      <c r="F18" s="527">
        <f>F9A!U21</f>
        <v>11712</v>
      </c>
      <c r="G18" s="529">
        <f t="shared" si="0"/>
        <v>-0.55868721504201369</v>
      </c>
      <c r="H18" s="1481">
        <f>F9A!V21</f>
        <v>22199</v>
      </c>
      <c r="I18" s="529">
        <f t="shared" si="1"/>
        <v>-0.71073583258407935</v>
      </c>
      <c r="J18" s="981">
        <f>F9A!W21</f>
        <v>38.36</v>
      </c>
      <c r="K18" s="529">
        <f t="shared" si="2"/>
        <v>-0.13212669683257924</v>
      </c>
      <c r="L18" s="515"/>
      <c r="M18" s="515"/>
      <c r="N18" s="1481">
        <f>'F9'!Q20</f>
        <v>0</v>
      </c>
      <c r="O18" s="529">
        <f t="shared" si="3"/>
        <v>-1</v>
      </c>
      <c r="P18" s="1481">
        <f>'F9'!R20</f>
        <v>0</v>
      </c>
      <c r="Q18" s="529">
        <f t="shared" si="4"/>
        <v>-1</v>
      </c>
      <c r="R18" s="528">
        <f>'F9'!S20</f>
        <v>0</v>
      </c>
      <c r="S18" s="529">
        <f t="shared" si="5"/>
        <v>-1</v>
      </c>
      <c r="T18" s="528"/>
      <c r="U18" s="529"/>
      <c r="V18" s="1481">
        <f>'F9'!V20</f>
        <v>0</v>
      </c>
      <c r="W18" s="529">
        <f t="shared" si="6"/>
        <v>0</v>
      </c>
      <c r="X18" s="981">
        <f>'F9'!W20</f>
        <v>0</v>
      </c>
      <c r="Y18" s="529">
        <f t="shared" si="7"/>
        <v>0</v>
      </c>
      <c r="Z18" s="528">
        <f>'F9'!X20</f>
        <v>0</v>
      </c>
      <c r="AA18" s="529">
        <f t="shared" si="8"/>
        <v>0</v>
      </c>
      <c r="AB18" s="515"/>
      <c r="AC18" s="516"/>
    </row>
    <row r="19" spans="1:29">
      <c r="A19" s="1377" t="s">
        <v>1052</v>
      </c>
      <c r="B19" s="1478">
        <f>F9A!R22</f>
        <v>61480</v>
      </c>
      <c r="C19" s="1494">
        <f>F9A!S22</f>
        <v>139357</v>
      </c>
      <c r="D19" s="1480">
        <f>F9A!T22</f>
        <v>187</v>
      </c>
      <c r="E19" s="514"/>
      <c r="F19" s="527">
        <f>F9A!U22</f>
        <v>84621</v>
      </c>
      <c r="G19" s="529">
        <f t="shared" si="0"/>
        <v>0.37639882888744308</v>
      </c>
      <c r="H19" s="1481">
        <f>F9A!V22</f>
        <v>306303</v>
      </c>
      <c r="I19" s="529">
        <f t="shared" si="1"/>
        <v>1.1979735499472577</v>
      </c>
      <c r="J19" s="981">
        <f>F9A!W22</f>
        <v>486.60300000000001</v>
      </c>
      <c r="K19" s="529">
        <f t="shared" si="2"/>
        <v>1.6021550802139037</v>
      </c>
      <c r="L19" s="515"/>
      <c r="M19" s="515"/>
      <c r="N19" s="1481">
        <f>'F9'!Q21</f>
        <v>98025.42</v>
      </c>
      <c r="O19" s="529">
        <f t="shared" si="3"/>
        <v>0.15840536037153896</v>
      </c>
      <c r="P19" s="1481">
        <f>'F9'!R21</f>
        <v>297871.7</v>
      </c>
      <c r="Q19" s="529">
        <f t="shared" si="4"/>
        <v>-2.7526011824892307E-2</v>
      </c>
      <c r="R19" s="528">
        <f>'F9'!S21</f>
        <v>677.93333333333294</v>
      </c>
      <c r="S19" s="529">
        <f t="shared" si="5"/>
        <v>0.39319595919740102</v>
      </c>
      <c r="T19" s="528"/>
      <c r="U19" s="529"/>
      <c r="V19" s="1481">
        <f>'F9'!V21</f>
        <v>102926.69100000001</v>
      </c>
      <c r="W19" s="529">
        <f t="shared" si="6"/>
        <v>5.0000000000000079E-2</v>
      </c>
      <c r="X19" s="981">
        <f>'F9'!W21</f>
        <v>312765.28500000003</v>
      </c>
      <c r="Y19" s="529">
        <f t="shared" si="7"/>
        <v>5.0000000000000065E-2</v>
      </c>
      <c r="Z19" s="528">
        <f>'F9'!X21</f>
        <v>703.45074399999953</v>
      </c>
      <c r="AA19" s="529">
        <f t="shared" si="8"/>
        <v>3.763999999999991E-2</v>
      </c>
      <c r="AB19" s="515"/>
      <c r="AC19" s="516"/>
    </row>
    <row r="20" spans="1:29">
      <c r="A20" s="1377" t="s">
        <v>1399</v>
      </c>
      <c r="B20" s="1478">
        <f>F9A!R23</f>
        <v>378</v>
      </c>
      <c r="C20" s="1494">
        <f>F9A!S23</f>
        <v>4027</v>
      </c>
      <c r="D20" s="1480">
        <f>F9A!T23</f>
        <v>1</v>
      </c>
      <c r="E20" s="514"/>
      <c r="F20" s="527">
        <f>F9A!U23</f>
        <v>7430</v>
      </c>
      <c r="G20" s="529">
        <f t="shared" si="0"/>
        <v>18.656084656084655</v>
      </c>
      <c r="H20" s="1481">
        <f>F9A!V23</f>
        <v>25321</v>
      </c>
      <c r="I20" s="529">
        <f t="shared" si="1"/>
        <v>5.2878073007201394</v>
      </c>
      <c r="J20" s="981">
        <f>F9A!W23</f>
        <v>36.213999999999999</v>
      </c>
      <c r="K20" s="529">
        <f t="shared" si="2"/>
        <v>35.213999999999999</v>
      </c>
      <c r="L20" s="515"/>
      <c r="M20" s="515"/>
      <c r="N20" s="1481">
        <f>'F9'!Q22</f>
        <v>7504.3</v>
      </c>
      <c r="O20" s="529">
        <f t="shared" si="3"/>
        <v>1.0000000000000024E-2</v>
      </c>
      <c r="P20" s="1481">
        <f>'F9'!R22</f>
        <v>25574.21</v>
      </c>
      <c r="Q20" s="529">
        <f t="shared" si="4"/>
        <v>9.9999999999999655E-3</v>
      </c>
      <c r="R20" s="528">
        <f>'F9'!S22</f>
        <v>52.665333333333336</v>
      </c>
      <c r="S20" s="529">
        <f t="shared" si="5"/>
        <v>0.45428103311794715</v>
      </c>
      <c r="T20" s="528"/>
      <c r="U20" s="529"/>
      <c r="V20" s="1481">
        <f>'F9'!V22</f>
        <v>7579.3429999999998</v>
      </c>
      <c r="W20" s="529">
        <f t="shared" si="6"/>
        <v>9.9999999999999551E-3</v>
      </c>
      <c r="X20" s="981">
        <f>'F9'!W22</f>
        <v>25829.952099999999</v>
      </c>
      <c r="Y20" s="529">
        <f t="shared" si="7"/>
        <v>9.9999999999999794E-3</v>
      </c>
      <c r="Z20" s="528">
        <f>'F9'!X22</f>
        <v>53.191986666666672</v>
      </c>
      <c r="AA20" s="529">
        <f t="shared" si="8"/>
        <v>1.0000000000000044E-2</v>
      </c>
      <c r="AB20" s="515"/>
      <c r="AC20" s="516"/>
    </row>
    <row r="21" spans="1:29">
      <c r="A21" s="1377" t="s">
        <v>1054</v>
      </c>
      <c r="B21" s="1478">
        <f>F9A!R24</f>
        <v>329040</v>
      </c>
      <c r="C21" s="1494">
        <f>F9A!S24</f>
        <v>1062981</v>
      </c>
      <c r="D21" s="1480">
        <f>F9A!T24</f>
        <v>1769</v>
      </c>
      <c r="E21" s="514"/>
      <c r="F21" s="527">
        <f>F9A!U24</f>
        <v>345242</v>
      </c>
      <c r="G21" s="529">
        <f t="shared" si="0"/>
        <v>4.924021395575006E-2</v>
      </c>
      <c r="H21" s="1481">
        <f>F9A!V24</f>
        <v>864426</v>
      </c>
      <c r="I21" s="529">
        <f t="shared" si="1"/>
        <v>-0.18679073285411499</v>
      </c>
      <c r="J21" s="981">
        <f>F9A!W24</f>
        <v>1328.703</v>
      </c>
      <c r="K21" s="529">
        <f t="shared" si="2"/>
        <v>-0.24889598643301303</v>
      </c>
      <c r="L21" s="515"/>
      <c r="M21" s="515"/>
      <c r="N21" s="1481">
        <f>'F9'!Q23</f>
        <v>352146.84</v>
      </c>
      <c r="O21" s="529">
        <f t="shared" si="3"/>
        <v>2.0000000000000073E-2</v>
      </c>
      <c r="P21" s="1481">
        <f>'F9'!R23</f>
        <v>881714.52</v>
      </c>
      <c r="Q21" s="529">
        <f t="shared" si="4"/>
        <v>2.0000000000000021E-2</v>
      </c>
      <c r="R21" s="528">
        <f>'F9'!S23</f>
        <v>1274.3053333333335</v>
      </c>
      <c r="S21" s="529">
        <f t="shared" si="5"/>
        <v>-4.0940425863918807E-2</v>
      </c>
      <c r="T21" s="528"/>
      <c r="U21" s="529"/>
      <c r="V21" s="1481">
        <f>'F9'!V23</f>
        <v>369754.18200000003</v>
      </c>
      <c r="W21" s="529">
        <f t="shared" si="6"/>
        <v>5.000000000000001E-2</v>
      </c>
      <c r="X21" s="981">
        <f>'F9'!W23</f>
        <v>925800.24600000004</v>
      </c>
      <c r="Y21" s="529">
        <f t="shared" si="7"/>
        <v>5.0000000000000024E-2</v>
      </c>
      <c r="Z21" s="528">
        <f>'F9'!X23</f>
        <v>1322.27018608</v>
      </c>
      <c r="AA21" s="529">
        <f t="shared" si="8"/>
        <v>3.7639999999999917E-2</v>
      </c>
      <c r="AB21" s="515"/>
      <c r="AC21" s="516"/>
    </row>
    <row r="22" spans="1:29">
      <c r="A22" s="1369" t="s">
        <v>1425</v>
      </c>
      <c r="B22" s="1478">
        <f>F9A!R25</f>
        <v>417437</v>
      </c>
      <c r="C22" s="1494">
        <f>F9A!S25</f>
        <v>1283108</v>
      </c>
      <c r="D22" s="1480">
        <f>F9A!T25</f>
        <v>2001.2</v>
      </c>
      <c r="E22" s="514"/>
      <c r="F22" s="527">
        <f>F9A!U25</f>
        <v>449005</v>
      </c>
      <c r="G22" s="529">
        <f t="shared" si="0"/>
        <v>7.5623387481224713E-2</v>
      </c>
      <c r="H22" s="1481">
        <f>F9A!V25</f>
        <v>1218249</v>
      </c>
      <c r="I22" s="529">
        <f t="shared" si="1"/>
        <v>-5.0548356023031579E-2</v>
      </c>
      <c r="J22" s="981">
        <f>F9A!W25</f>
        <v>1889.8799999999999</v>
      </c>
      <c r="K22" s="529">
        <f t="shared" si="2"/>
        <v>-5.5626624025584728E-2</v>
      </c>
      <c r="L22" s="515"/>
      <c r="M22" s="515"/>
      <c r="N22" s="1481">
        <f>'F9'!Q24</f>
        <v>457676.56000000006</v>
      </c>
      <c r="O22" s="529">
        <f t="shared" si="3"/>
        <v>1.93128361599538E-2</v>
      </c>
      <c r="P22" s="1481">
        <f>'F9'!R24</f>
        <v>1205160.4300000002</v>
      </c>
      <c r="Q22" s="529">
        <f t="shared" si="4"/>
        <v>-1.0743755997337024E-2</v>
      </c>
      <c r="R22" s="528">
        <f>'F9'!S24</f>
        <v>2004.9039999999998</v>
      </c>
      <c r="S22" s="529">
        <f t="shared" si="5"/>
        <v>6.0863123584566158E-2</v>
      </c>
      <c r="T22" s="528"/>
      <c r="U22" s="529"/>
      <c r="V22" s="1481">
        <f>'F9'!V24</f>
        <v>480260.21600000001</v>
      </c>
      <c r="W22" s="529">
        <f t="shared" si="6"/>
        <v>4.9344139450794591E-2</v>
      </c>
      <c r="X22" s="981">
        <f>'F9'!W24</f>
        <v>1264395.4831000001</v>
      </c>
      <c r="Y22" s="529">
        <f t="shared" si="7"/>
        <v>4.9151176578208673E-2</v>
      </c>
      <c r="Z22" s="528">
        <f>'F9'!X24</f>
        <v>2078.9129167466663</v>
      </c>
      <c r="AA22" s="529">
        <f t="shared" si="8"/>
        <v>3.6913945379263298E-2</v>
      </c>
      <c r="AB22" s="515"/>
      <c r="AC22" s="516"/>
    </row>
    <row r="23" spans="1:29">
      <c r="A23" s="1369" t="s">
        <v>1446</v>
      </c>
      <c r="B23" s="1478"/>
      <c r="C23" s="1494">
        <f>F9A!S26</f>
        <v>1283108</v>
      </c>
      <c r="D23" s="1480">
        <f>F9A!T26</f>
        <v>2001.2</v>
      </c>
      <c r="E23" s="514"/>
      <c r="F23" s="527">
        <f>F9A!U26</f>
        <v>449005</v>
      </c>
      <c r="G23" s="529"/>
      <c r="H23" s="1481"/>
      <c r="I23" s="529"/>
      <c r="J23" s="981"/>
      <c r="K23" s="529"/>
      <c r="L23" s="515"/>
      <c r="M23" s="515"/>
      <c r="N23" s="1481"/>
      <c r="O23" s="529"/>
      <c r="P23" s="1481"/>
      <c r="Q23" s="529"/>
      <c r="R23" s="528">
        <f>'F9'!S25</f>
        <v>2004.9039999999998</v>
      </c>
      <c r="S23" s="529"/>
      <c r="T23" s="528"/>
      <c r="U23" s="529"/>
      <c r="V23" s="1481"/>
      <c r="W23" s="529"/>
      <c r="X23" s="981"/>
      <c r="Y23" s="529"/>
      <c r="Z23" s="528"/>
      <c r="AA23" s="529"/>
      <c r="AB23" s="515"/>
      <c r="AC23" s="516"/>
    </row>
    <row r="24" spans="1:29">
      <c r="A24" s="1367" t="s">
        <v>1400</v>
      </c>
      <c r="B24" s="1478">
        <f>F9A!R27</f>
        <v>0</v>
      </c>
      <c r="C24" s="1494">
        <f>F9A!S27</f>
        <v>0</v>
      </c>
      <c r="D24" s="1480">
        <f>F9A!T27</f>
        <v>0</v>
      </c>
      <c r="E24" s="514"/>
      <c r="F24" s="527">
        <f>F9A!U27</f>
        <v>0</v>
      </c>
      <c r="G24" s="529">
        <f t="shared" si="0"/>
        <v>0</v>
      </c>
      <c r="H24" s="1481">
        <f>F9A!V27</f>
        <v>0</v>
      </c>
      <c r="I24" s="529">
        <f t="shared" si="1"/>
        <v>0</v>
      </c>
      <c r="J24" s="981">
        <f>F9A!W27</f>
        <v>0</v>
      </c>
      <c r="K24" s="529">
        <f t="shared" si="2"/>
        <v>0</v>
      </c>
      <c r="L24" s="515"/>
      <c r="M24" s="515"/>
      <c r="N24" s="1481">
        <f>'F9'!Q26</f>
        <v>0</v>
      </c>
      <c r="O24" s="529">
        <f t="shared" si="3"/>
        <v>0</v>
      </c>
      <c r="P24" s="1481">
        <f>'F9'!R26</f>
        <v>0</v>
      </c>
      <c r="Q24" s="529">
        <f t="shared" si="4"/>
        <v>0</v>
      </c>
      <c r="R24" s="528">
        <f>'F9'!S26</f>
        <v>0</v>
      </c>
      <c r="S24" s="529">
        <f t="shared" si="5"/>
        <v>0</v>
      </c>
      <c r="T24" s="528"/>
      <c r="U24" s="529"/>
      <c r="V24" s="1481">
        <f>'F9'!V26</f>
        <v>0</v>
      </c>
      <c r="W24" s="529">
        <f t="shared" si="6"/>
        <v>0</v>
      </c>
      <c r="X24" s="981">
        <f>'F9'!W26</f>
        <v>0</v>
      </c>
      <c r="Y24" s="529">
        <f t="shared" si="7"/>
        <v>0</v>
      </c>
      <c r="Z24" s="528">
        <f>'F9'!X26</f>
        <v>0</v>
      </c>
      <c r="AA24" s="529">
        <f t="shared" si="8"/>
        <v>0</v>
      </c>
      <c r="AB24" s="515"/>
      <c r="AC24" s="516"/>
    </row>
    <row r="25" spans="1:29">
      <c r="A25" s="1377" t="s">
        <v>1401</v>
      </c>
      <c r="B25" s="1478">
        <f>F9A!R28</f>
        <v>264</v>
      </c>
      <c r="C25" s="1494">
        <f>F9A!S28</f>
        <v>24568</v>
      </c>
      <c r="D25" s="1480">
        <f>F9A!T28</f>
        <v>48.06</v>
      </c>
      <c r="E25" s="514"/>
      <c r="F25" s="527">
        <f>F9A!U28</f>
        <v>327</v>
      </c>
      <c r="G25" s="529">
        <f t="shared" si="0"/>
        <v>0.23863636363636365</v>
      </c>
      <c r="H25" s="1481">
        <f>F9A!V28</f>
        <v>21223</v>
      </c>
      <c r="I25" s="529">
        <f t="shared" si="1"/>
        <v>-0.1361527189840443</v>
      </c>
      <c r="J25" s="981">
        <f>F9A!W28</f>
        <v>60.570999999999998</v>
      </c>
      <c r="K25" s="529">
        <f t="shared" si="2"/>
        <v>0.26032043279234279</v>
      </c>
      <c r="L25" s="515"/>
      <c r="M25" s="515"/>
      <c r="N25" s="1481">
        <f>'F9'!Q27</f>
        <v>163.5</v>
      </c>
      <c r="O25" s="529">
        <f t="shared" si="3"/>
        <v>-0.5</v>
      </c>
      <c r="P25" s="1481">
        <f>'F9'!R27</f>
        <v>10611.5</v>
      </c>
      <c r="Q25" s="529">
        <f t="shared" si="4"/>
        <v>-0.5</v>
      </c>
      <c r="R25" s="528">
        <f>'F9'!S27</f>
        <v>30.285499999999999</v>
      </c>
      <c r="S25" s="529">
        <f t="shared" si="5"/>
        <v>-0.5</v>
      </c>
      <c r="T25" s="528"/>
      <c r="U25" s="529"/>
      <c r="V25" s="1481">
        <f>'F9'!V27</f>
        <v>81.75</v>
      </c>
      <c r="W25" s="529">
        <f t="shared" si="6"/>
        <v>-0.5</v>
      </c>
      <c r="X25" s="981">
        <f>'F9'!W27</f>
        <v>5305.75</v>
      </c>
      <c r="Y25" s="529">
        <f t="shared" si="7"/>
        <v>-0.5</v>
      </c>
      <c r="Z25" s="528">
        <f>'F9'!X27</f>
        <v>15.142749999999999</v>
      </c>
      <c r="AA25" s="529">
        <f t="shared" si="8"/>
        <v>-0.5</v>
      </c>
      <c r="AB25" s="515"/>
      <c r="AC25" s="516"/>
    </row>
    <row r="26" spans="1:29">
      <c r="A26" s="1378" t="s">
        <v>1060</v>
      </c>
      <c r="B26" s="1478">
        <f>F9A!R29</f>
        <v>29</v>
      </c>
      <c r="C26" s="1494">
        <f>F9A!S29</f>
        <v>1600</v>
      </c>
      <c r="D26" s="1480">
        <f>F9A!T29</f>
        <v>3</v>
      </c>
      <c r="E26" s="514"/>
      <c r="F26" s="527">
        <f>F9A!U29</f>
        <v>61</v>
      </c>
      <c r="G26" s="529">
        <f t="shared" si="0"/>
        <v>1.103448275862069</v>
      </c>
      <c r="H26" s="1481">
        <f>F9A!V29</f>
        <v>2499</v>
      </c>
      <c r="I26" s="529">
        <f t="shared" si="1"/>
        <v>0.56187500000000001</v>
      </c>
      <c r="J26" s="981">
        <f>F9A!W29</f>
        <v>4.6429999999999998</v>
      </c>
      <c r="K26" s="529">
        <f t="shared" si="2"/>
        <v>0.54766666666666663</v>
      </c>
      <c r="L26" s="515"/>
      <c r="M26" s="515"/>
      <c r="N26" s="1481">
        <f>'F9'!Q28</f>
        <v>30.5</v>
      </c>
      <c r="O26" s="529">
        <f t="shared" si="3"/>
        <v>-0.5</v>
      </c>
      <c r="P26" s="1481">
        <f>'F9'!R28</f>
        <v>1249.5</v>
      </c>
      <c r="Q26" s="529">
        <f t="shared" si="4"/>
        <v>-0.5</v>
      </c>
      <c r="R26" s="528">
        <f>'F9'!S28</f>
        <v>2.3214999999999999</v>
      </c>
      <c r="S26" s="529">
        <f t="shared" si="5"/>
        <v>-0.5</v>
      </c>
      <c r="T26" s="528"/>
      <c r="U26" s="529"/>
      <c r="V26" s="1481">
        <f>'F9'!V28</f>
        <v>15.25</v>
      </c>
      <c r="W26" s="529">
        <f t="shared" si="6"/>
        <v>-0.5</v>
      </c>
      <c r="X26" s="981">
        <f>'F9'!W28</f>
        <v>624.75</v>
      </c>
      <c r="Y26" s="529">
        <f t="shared" si="7"/>
        <v>-0.5</v>
      </c>
      <c r="Z26" s="528">
        <f>'F9'!X28</f>
        <v>1.1607499999999999</v>
      </c>
      <c r="AA26" s="529">
        <f t="shared" si="8"/>
        <v>-0.5</v>
      </c>
      <c r="AB26" s="515"/>
      <c r="AC26" s="516"/>
    </row>
    <row r="27" spans="1:29">
      <c r="A27" s="1378" t="s">
        <v>1061</v>
      </c>
      <c r="B27" s="1478">
        <f>F9A!R30</f>
        <v>211</v>
      </c>
      <c r="C27" s="1494">
        <f>F9A!S30</f>
        <v>18743</v>
      </c>
      <c r="D27" s="1480">
        <f>F9A!T30</f>
        <v>33.06</v>
      </c>
      <c r="E27" s="514"/>
      <c r="F27" s="527">
        <f>F9A!U30</f>
        <v>235</v>
      </c>
      <c r="G27" s="529">
        <f t="shared" si="0"/>
        <v>0.11374407582938388</v>
      </c>
      <c r="H27" s="1481">
        <f>F9A!V30</f>
        <v>12369</v>
      </c>
      <c r="I27" s="529">
        <f t="shared" si="1"/>
        <v>-0.34007362748759534</v>
      </c>
      <c r="J27" s="981">
        <f>F9A!W30</f>
        <v>40.881</v>
      </c>
      <c r="K27" s="529">
        <f t="shared" si="2"/>
        <v>0.23656987295825763</v>
      </c>
      <c r="L27" s="515"/>
      <c r="M27" s="515"/>
      <c r="N27" s="1481">
        <f>'F9'!Q29</f>
        <v>117.5</v>
      </c>
      <c r="O27" s="529">
        <f t="shared" si="3"/>
        <v>-0.5</v>
      </c>
      <c r="P27" s="1492">
        <f>'F9'!R29</f>
        <v>6184.5</v>
      </c>
      <c r="Q27" s="529">
        <f t="shared" si="4"/>
        <v>-0.5</v>
      </c>
      <c r="R27" s="528">
        <f>'F9'!S29</f>
        <v>20.4405</v>
      </c>
      <c r="S27" s="529">
        <f t="shared" si="5"/>
        <v>-0.5</v>
      </c>
      <c r="T27" s="528"/>
      <c r="U27" s="529"/>
      <c r="V27" s="1481">
        <f>'F9'!V29</f>
        <v>58.75</v>
      </c>
      <c r="W27" s="529">
        <f t="shared" si="6"/>
        <v>-0.5</v>
      </c>
      <c r="X27" s="981">
        <f>'F9'!W29</f>
        <v>3092.25</v>
      </c>
      <c r="Y27" s="529">
        <f t="shared" si="7"/>
        <v>-0.5</v>
      </c>
      <c r="Z27" s="528">
        <f>'F9'!X29</f>
        <v>10.22025</v>
      </c>
      <c r="AA27" s="529">
        <f t="shared" si="8"/>
        <v>-0.5</v>
      </c>
      <c r="AB27" s="515"/>
      <c r="AC27" s="516"/>
    </row>
    <row r="28" spans="1:29">
      <c r="A28" s="1378" t="s">
        <v>1062</v>
      </c>
      <c r="B28" s="1478">
        <f>F9A!R31</f>
        <v>24</v>
      </c>
      <c r="C28" s="1494">
        <f>F9A!S31</f>
        <v>4225</v>
      </c>
      <c r="D28" s="1480">
        <f>F9A!T31</f>
        <v>12</v>
      </c>
      <c r="E28" s="514"/>
      <c r="F28" s="527">
        <f>F9A!U31</f>
        <v>31</v>
      </c>
      <c r="G28" s="529">
        <f t="shared" si="0"/>
        <v>0.29166666666666669</v>
      </c>
      <c r="H28" s="1481">
        <f>F9A!V31</f>
        <v>6355</v>
      </c>
      <c r="I28" s="529">
        <f t="shared" si="1"/>
        <v>0.5041420118343195</v>
      </c>
      <c r="J28" s="981">
        <f>F9A!W31</f>
        <v>15.047000000000001</v>
      </c>
      <c r="K28" s="529">
        <f t="shared" si="2"/>
        <v>0.25391666666666673</v>
      </c>
      <c r="L28" s="515"/>
      <c r="M28" s="515"/>
      <c r="N28" s="1481">
        <f>'F9'!Q30</f>
        <v>15.5</v>
      </c>
      <c r="O28" s="529">
        <f t="shared" si="3"/>
        <v>-0.5</v>
      </c>
      <c r="P28" s="1481">
        <f>'F9'!R30</f>
        <v>3177.5</v>
      </c>
      <c r="Q28" s="529">
        <f t="shared" si="4"/>
        <v>-0.5</v>
      </c>
      <c r="R28" s="528">
        <f>'F9'!S30</f>
        <v>7.5235000000000003</v>
      </c>
      <c r="S28" s="529">
        <f t="shared" si="5"/>
        <v>-0.5</v>
      </c>
      <c r="T28" s="528"/>
      <c r="U28" s="529"/>
      <c r="V28" s="1481">
        <f>'F9'!V30</f>
        <v>7.75</v>
      </c>
      <c r="W28" s="529">
        <f t="shared" si="6"/>
        <v>-0.5</v>
      </c>
      <c r="X28" s="981">
        <f>'F9'!W30</f>
        <v>1588.75</v>
      </c>
      <c r="Y28" s="529">
        <f t="shared" si="7"/>
        <v>-0.5</v>
      </c>
      <c r="Z28" s="528">
        <f>'F9'!X30</f>
        <v>3.7617500000000001</v>
      </c>
      <c r="AA28" s="529">
        <f t="shared" si="8"/>
        <v>-0.5</v>
      </c>
      <c r="AB28" s="515"/>
      <c r="AC28" s="516"/>
    </row>
    <row r="29" spans="1:29">
      <c r="A29" s="1377" t="s">
        <v>476</v>
      </c>
      <c r="B29" s="1478">
        <f>F9A!R32</f>
        <v>84</v>
      </c>
      <c r="C29" s="1494">
        <f>F9A!S32</f>
        <v>17753</v>
      </c>
      <c r="D29" s="1480">
        <f>F9A!T32</f>
        <v>52</v>
      </c>
      <c r="E29" s="514"/>
      <c r="F29" s="527">
        <f>F9A!U32</f>
        <v>112</v>
      </c>
      <c r="G29" s="529">
        <f t="shared" si="0"/>
        <v>0.33333333333333331</v>
      </c>
      <c r="H29" s="1481">
        <f>F9A!V32</f>
        <v>15260</v>
      </c>
      <c r="I29" s="529">
        <f t="shared" si="1"/>
        <v>-0.14042697008956231</v>
      </c>
      <c r="J29" s="981">
        <f>F9A!W32</f>
        <v>65.305999999999997</v>
      </c>
      <c r="K29" s="529">
        <f t="shared" si="2"/>
        <v>0.25588461538461532</v>
      </c>
      <c r="L29" s="515"/>
      <c r="M29" s="515"/>
      <c r="N29" s="1481">
        <f>'F9'!Q31</f>
        <v>313.60000000000002</v>
      </c>
      <c r="O29" s="529">
        <f t="shared" si="3"/>
        <v>1.8000000000000003</v>
      </c>
      <c r="P29" s="1481">
        <f>'F9'!R31</f>
        <v>41587.019999999997</v>
      </c>
      <c r="Q29" s="529">
        <f t="shared" si="4"/>
        <v>1.7252306684141545</v>
      </c>
      <c r="R29" s="528">
        <f>'F9'!S31</f>
        <v>104.4896</v>
      </c>
      <c r="S29" s="529">
        <f t="shared" si="5"/>
        <v>0.6</v>
      </c>
      <c r="T29" s="528"/>
      <c r="U29" s="529"/>
      <c r="V29" s="1481">
        <f>'F9'!V31</f>
        <v>406.6</v>
      </c>
      <c r="W29" s="529">
        <f t="shared" si="6"/>
        <v>0.29655612244897955</v>
      </c>
      <c r="X29" s="981">
        <f>'F9'!W31</f>
        <v>45745.722000000002</v>
      </c>
      <c r="Y29" s="529">
        <f t="shared" si="7"/>
        <v>0.10000000000000012</v>
      </c>
      <c r="Z29" s="528">
        <f>'F9'!X31</f>
        <v>125.38751999999999</v>
      </c>
      <c r="AA29" s="529">
        <f t="shared" si="8"/>
        <v>0.2</v>
      </c>
      <c r="AB29" s="515"/>
      <c r="AC29" s="516"/>
    </row>
    <row r="30" spans="1:29">
      <c r="A30" s="1378" t="s">
        <v>1063</v>
      </c>
      <c r="B30" s="1478">
        <f>F9A!R33</f>
        <v>2</v>
      </c>
      <c r="C30" s="1494">
        <f>F9A!S33</f>
        <v>132</v>
      </c>
      <c r="D30" s="1480">
        <f>F9A!T33</f>
        <v>0.3</v>
      </c>
      <c r="E30" s="514"/>
      <c r="F30" s="527">
        <f>F9A!U33</f>
        <v>11</v>
      </c>
      <c r="G30" s="529">
        <f t="shared" si="0"/>
        <v>4.5</v>
      </c>
      <c r="H30" s="1481">
        <f>F9A!V33</f>
        <v>641</v>
      </c>
      <c r="I30" s="529">
        <f t="shared" si="1"/>
        <v>3.856060606060606</v>
      </c>
      <c r="J30" s="981">
        <f>F9A!W33</f>
        <v>1.518</v>
      </c>
      <c r="K30" s="529">
        <f t="shared" si="2"/>
        <v>4.0600000000000005</v>
      </c>
      <c r="L30" s="515"/>
      <c r="M30" s="515"/>
      <c r="N30" s="1481">
        <f>'F9'!Q32</f>
        <v>30.799999999999997</v>
      </c>
      <c r="O30" s="529">
        <f t="shared" si="3"/>
        <v>1.7999999999999998</v>
      </c>
      <c r="P30" s="1481">
        <f>'F9'!R32</f>
        <v>653.82000000000005</v>
      </c>
      <c r="Q30" s="529">
        <f t="shared" si="4"/>
        <v>2.0000000000000077E-2</v>
      </c>
      <c r="R30" s="528">
        <f>'F9'!S32</f>
        <v>2.4288000000000003</v>
      </c>
      <c r="S30" s="529">
        <f t="shared" si="5"/>
        <v>0.6000000000000002</v>
      </c>
      <c r="T30" s="528"/>
      <c r="U30" s="529"/>
      <c r="V30" s="1481">
        <f>'F9'!V32</f>
        <v>61.8</v>
      </c>
      <c r="W30" s="529">
        <f t="shared" si="6"/>
        <v>1.0064935064935066</v>
      </c>
      <c r="X30" s="981">
        <f>'F9'!W32</f>
        <v>719.20200000000011</v>
      </c>
      <c r="Y30" s="529">
        <f t="shared" si="7"/>
        <v>0.10000000000000009</v>
      </c>
      <c r="Z30" s="528">
        <f>'F9'!X32</f>
        <v>2.9145600000000003</v>
      </c>
      <c r="AA30" s="529">
        <f t="shared" si="8"/>
        <v>0.19999999999999996</v>
      </c>
      <c r="AB30" s="515"/>
      <c r="AC30" s="516"/>
    </row>
    <row r="31" spans="1:29">
      <c r="A31" s="1378" t="s">
        <v>1064</v>
      </c>
      <c r="B31" s="1478">
        <f>F9A!R34</f>
        <v>48</v>
      </c>
      <c r="C31" s="1494">
        <f>F9A!S34</f>
        <v>3666</v>
      </c>
      <c r="D31" s="1480">
        <f>F9A!T34</f>
        <v>10.7</v>
      </c>
      <c r="E31" s="514"/>
      <c r="F31" s="527">
        <f>F9A!U34</f>
        <v>60</v>
      </c>
      <c r="G31" s="529">
        <f t="shared" si="0"/>
        <v>0.25</v>
      </c>
      <c r="H31" s="1481">
        <f>F9A!V34</f>
        <v>3590</v>
      </c>
      <c r="I31" s="529">
        <f t="shared" si="1"/>
        <v>-2.0731042007637753E-2</v>
      </c>
      <c r="J31" s="981">
        <f>F9A!W34</f>
        <v>15.537000000000001</v>
      </c>
      <c r="K31" s="529">
        <f t="shared" si="2"/>
        <v>0.45205607476635529</v>
      </c>
      <c r="L31" s="517"/>
      <c r="M31" s="517"/>
      <c r="N31" s="1481">
        <f>'F9'!Q33</f>
        <v>168</v>
      </c>
      <c r="O31" s="529">
        <f t="shared" si="3"/>
        <v>1.8</v>
      </c>
      <c r="P31" s="1481">
        <f>'F9'!R33</f>
        <v>10052</v>
      </c>
      <c r="Q31" s="529">
        <f t="shared" si="4"/>
        <v>1.8</v>
      </c>
      <c r="R31" s="528">
        <f>'F9'!S33</f>
        <v>24.859200000000001</v>
      </c>
      <c r="S31" s="529">
        <f t="shared" si="5"/>
        <v>0.6</v>
      </c>
      <c r="T31" s="528"/>
      <c r="U31" s="529"/>
      <c r="V31" s="1481">
        <f>'F9'!V33</f>
        <v>199</v>
      </c>
      <c r="W31" s="529">
        <f t="shared" si="6"/>
        <v>0.18452380952380953</v>
      </c>
      <c r="X31" s="981">
        <f>'F9'!W33</f>
        <v>11057.2</v>
      </c>
      <c r="Y31" s="529">
        <f t="shared" si="7"/>
        <v>0.10000000000000007</v>
      </c>
      <c r="Z31" s="528">
        <f>'F9'!X33</f>
        <v>29.831040000000002</v>
      </c>
      <c r="AA31" s="529">
        <f t="shared" si="8"/>
        <v>0.2</v>
      </c>
      <c r="AB31" s="515"/>
      <c r="AC31" s="516"/>
    </row>
    <row r="32" spans="1:29">
      <c r="A32" s="1378" t="s">
        <v>1065</v>
      </c>
      <c r="B32" s="1478">
        <f>F9A!R35</f>
        <v>34</v>
      </c>
      <c r="C32" s="1494">
        <f>F9A!S35</f>
        <v>13955</v>
      </c>
      <c r="D32" s="1480">
        <f>F9A!T35</f>
        <v>41</v>
      </c>
      <c r="E32" s="514"/>
      <c r="F32" s="527">
        <f>F9A!U35</f>
        <v>41</v>
      </c>
      <c r="G32" s="529">
        <f t="shared" si="0"/>
        <v>0.20588235294117646</v>
      </c>
      <c r="H32" s="1481">
        <f>F9A!V35</f>
        <v>11029</v>
      </c>
      <c r="I32" s="529">
        <f t="shared" si="1"/>
        <v>-0.20967395198853458</v>
      </c>
      <c r="J32" s="981">
        <f>F9A!W35</f>
        <v>48.250999999999998</v>
      </c>
      <c r="K32" s="529">
        <f t="shared" si="2"/>
        <v>0.1768536585365853</v>
      </c>
      <c r="L32" s="515"/>
      <c r="M32" s="515"/>
      <c r="N32" s="1481">
        <f>'F9'!Q34</f>
        <v>114.8</v>
      </c>
      <c r="O32" s="529">
        <f t="shared" si="3"/>
        <v>1.7999999999999998</v>
      </c>
      <c r="P32" s="1481">
        <f>'F9'!R34</f>
        <v>30881.199999999997</v>
      </c>
      <c r="Q32" s="529">
        <f t="shared" si="4"/>
        <v>1.7999999999999998</v>
      </c>
      <c r="R32" s="528">
        <f>'F9'!S34</f>
        <v>77.201599999999999</v>
      </c>
      <c r="S32" s="529">
        <f t="shared" si="5"/>
        <v>0.60000000000000009</v>
      </c>
      <c r="T32" s="528"/>
      <c r="U32" s="529"/>
      <c r="V32" s="1481">
        <f>'F9'!V34</f>
        <v>145.80000000000001</v>
      </c>
      <c r="W32" s="529">
        <f t="shared" si="6"/>
        <v>0.27003484320557503</v>
      </c>
      <c r="X32" s="981">
        <f>'F9'!W34</f>
        <v>33969.32</v>
      </c>
      <c r="Y32" s="529">
        <f t="shared" si="7"/>
        <v>0.10000000000000009</v>
      </c>
      <c r="Z32" s="528">
        <f>'F9'!X34</f>
        <v>92.641919999999999</v>
      </c>
      <c r="AA32" s="529">
        <f t="shared" si="8"/>
        <v>0.2</v>
      </c>
      <c r="AB32" s="515"/>
      <c r="AC32" s="516"/>
    </row>
    <row r="33" spans="1:29">
      <c r="A33" s="1369" t="s">
        <v>1425</v>
      </c>
      <c r="B33" s="1478">
        <f>F9A!R36</f>
        <v>348</v>
      </c>
      <c r="C33" s="1494">
        <f>F9A!S36</f>
        <v>42321</v>
      </c>
      <c r="D33" s="1480">
        <f>F9A!T36</f>
        <v>100.06</v>
      </c>
      <c r="E33" s="514"/>
      <c r="F33" s="527">
        <f>F9A!U36</f>
        <v>439</v>
      </c>
      <c r="G33" s="529">
        <f t="shared" si="0"/>
        <v>0.2614942528735632</v>
      </c>
      <c r="H33" s="1481">
        <f>F9A!V36</f>
        <v>36483</v>
      </c>
      <c r="I33" s="529">
        <f t="shared" si="1"/>
        <v>-0.1379457007159566</v>
      </c>
      <c r="J33" s="981">
        <f>F9A!W36</f>
        <v>125.877</v>
      </c>
      <c r="K33" s="529">
        <f t="shared" si="2"/>
        <v>0.25801519088546865</v>
      </c>
      <c r="L33" s="515"/>
      <c r="M33" s="515"/>
      <c r="N33" s="1481">
        <f>'F9'!Q35</f>
        <v>477.1</v>
      </c>
      <c r="O33" s="529">
        <f t="shared" si="3"/>
        <v>8.6788154897494363E-2</v>
      </c>
      <c r="P33" s="1481">
        <f>'F9'!R35</f>
        <v>52198.52</v>
      </c>
      <c r="Q33" s="529">
        <f t="shared" si="4"/>
        <v>0.43076282103993629</v>
      </c>
      <c r="R33" s="528">
        <f>'F9'!S35</f>
        <v>134.77510000000001</v>
      </c>
      <c r="S33" s="529">
        <f t="shared" si="5"/>
        <v>7.0688847049103595E-2</v>
      </c>
      <c r="T33" s="528"/>
      <c r="U33" s="529"/>
      <c r="V33" s="1481">
        <f>'F9'!V35</f>
        <v>488.35</v>
      </c>
      <c r="W33" s="529">
        <f t="shared" si="6"/>
        <v>2.3579962272060363E-2</v>
      </c>
      <c r="X33" s="981">
        <f>'F9'!W35</f>
        <v>51051.472000000002</v>
      </c>
      <c r="Y33" s="529">
        <f t="shared" si="7"/>
        <v>-2.1974722654971735E-2</v>
      </c>
      <c r="Z33" s="528">
        <f>'F9'!X35</f>
        <v>140.53027</v>
      </c>
      <c r="AA33" s="529">
        <f t="shared" si="8"/>
        <v>4.2702027303262932E-2</v>
      </c>
      <c r="AB33" s="515"/>
      <c r="AC33" s="515"/>
    </row>
    <row r="34" spans="1:29">
      <c r="A34" s="1369" t="s">
        <v>1446</v>
      </c>
      <c r="B34" s="1478"/>
      <c r="C34" s="1494">
        <f>F9A!S37</f>
        <v>42321</v>
      </c>
      <c r="D34" s="1480">
        <f>F9A!T37</f>
        <v>100.06</v>
      </c>
      <c r="E34" s="515"/>
      <c r="F34" s="527">
        <f>F9A!U37</f>
        <v>439</v>
      </c>
      <c r="G34" s="529"/>
      <c r="H34" s="1481"/>
      <c r="I34" s="529"/>
      <c r="J34" s="981"/>
      <c r="K34" s="529"/>
      <c r="L34" s="515"/>
      <c r="M34" s="515"/>
      <c r="N34" s="1481"/>
      <c r="O34" s="529"/>
      <c r="P34" s="1481"/>
      <c r="Q34" s="529"/>
      <c r="R34" s="528">
        <f>'F9'!S36</f>
        <v>134.77510000000001</v>
      </c>
      <c r="S34" s="529"/>
      <c r="T34" s="528"/>
      <c r="U34" s="529"/>
      <c r="V34" s="1481"/>
      <c r="W34" s="529"/>
      <c r="X34" s="981"/>
      <c r="Y34" s="529"/>
      <c r="Z34" s="528"/>
      <c r="AA34" s="529"/>
      <c r="AB34" s="515"/>
      <c r="AC34" s="516"/>
    </row>
    <row r="35" spans="1:29">
      <c r="A35" s="1367" t="s">
        <v>1067</v>
      </c>
      <c r="B35" s="1478">
        <f>F9A!R38</f>
        <v>0</v>
      </c>
      <c r="C35" s="1494">
        <f>F9A!S38</f>
        <v>0</v>
      </c>
      <c r="D35" s="1480">
        <f>F9A!T38</f>
        <v>0</v>
      </c>
      <c r="E35" s="514"/>
      <c r="F35" s="527">
        <f>F9A!U38</f>
        <v>0</v>
      </c>
      <c r="G35" s="529">
        <f t="shared" si="0"/>
        <v>0</v>
      </c>
      <c r="H35" s="1481">
        <f>F9A!V38</f>
        <v>0</v>
      </c>
      <c r="I35" s="529">
        <f t="shared" si="1"/>
        <v>0</v>
      </c>
      <c r="J35" s="981">
        <f>F9A!W38</f>
        <v>0</v>
      </c>
      <c r="K35" s="529">
        <f t="shared" si="2"/>
        <v>0</v>
      </c>
      <c r="L35" s="515"/>
      <c r="M35" s="515"/>
      <c r="N35" s="1481">
        <f>'F9'!Q37</f>
        <v>0</v>
      </c>
      <c r="O35" s="529">
        <f t="shared" si="3"/>
        <v>0</v>
      </c>
      <c r="P35" s="1481">
        <f>'F9'!R37</f>
        <v>0</v>
      </c>
      <c r="Q35" s="529">
        <f t="shared" si="4"/>
        <v>0</v>
      </c>
      <c r="R35" s="528">
        <f>'F9'!S37</f>
        <v>0</v>
      </c>
      <c r="S35" s="529">
        <f t="shared" si="5"/>
        <v>0</v>
      </c>
      <c r="T35" s="528"/>
      <c r="U35" s="529"/>
      <c r="V35" s="1481">
        <f>'F9'!V37</f>
        <v>0</v>
      </c>
      <c r="W35" s="529">
        <f t="shared" si="6"/>
        <v>0</v>
      </c>
      <c r="X35" s="981">
        <f>'F9'!W37</f>
        <v>0</v>
      </c>
      <c r="Y35" s="529">
        <f t="shared" si="7"/>
        <v>0</v>
      </c>
      <c r="Z35" s="528">
        <f>'F9'!X37</f>
        <v>0</v>
      </c>
      <c r="AA35" s="529">
        <f t="shared" si="8"/>
        <v>0</v>
      </c>
      <c r="AB35" s="515"/>
      <c r="AC35" s="516"/>
    </row>
    <row r="36" spans="1:29">
      <c r="A36" s="1377" t="s">
        <v>1068</v>
      </c>
      <c r="B36" s="1478">
        <f>F9A!R39</f>
        <v>19004</v>
      </c>
      <c r="C36" s="1494">
        <f>F9A!S39</f>
        <v>98483</v>
      </c>
      <c r="D36" s="1480">
        <f>F9A!T39</f>
        <v>154</v>
      </c>
      <c r="E36" s="514"/>
      <c r="F36" s="527">
        <f>F9A!U39</f>
        <v>24610</v>
      </c>
      <c r="G36" s="529">
        <f t="shared" si="0"/>
        <v>0.29499052830982952</v>
      </c>
      <c r="H36" s="1481">
        <f>F9A!V39</f>
        <v>114464</v>
      </c>
      <c r="I36" s="529">
        <f t="shared" si="1"/>
        <v>0.16227166109886987</v>
      </c>
      <c r="J36" s="981">
        <f>F9A!W39</f>
        <v>204.93100000000001</v>
      </c>
      <c r="K36" s="529">
        <f t="shared" si="2"/>
        <v>0.3307207792207793</v>
      </c>
      <c r="L36" s="515"/>
      <c r="M36" s="515"/>
      <c r="N36" s="1481">
        <f>'F9'!Q38</f>
        <v>24856.1</v>
      </c>
      <c r="O36" s="529">
        <f t="shared" si="3"/>
        <v>9.9999999999999412E-3</v>
      </c>
      <c r="P36" s="1481">
        <f>'F9'!R38</f>
        <v>115608.64</v>
      </c>
      <c r="Q36" s="529">
        <f t="shared" si="4"/>
        <v>9.999999999999995E-3</v>
      </c>
      <c r="R36" s="528">
        <f>'F9'!S38</f>
        <v>197.96666666666667</v>
      </c>
      <c r="S36" s="529">
        <f t="shared" si="5"/>
        <v>-3.3983796172044944E-2</v>
      </c>
      <c r="T36" s="528"/>
      <c r="U36" s="529"/>
      <c r="V36" s="1481">
        <f>'F9'!V38</f>
        <v>25850.344000000001</v>
      </c>
      <c r="W36" s="529">
        <f t="shared" si="6"/>
        <v>4.0000000000000098E-2</v>
      </c>
      <c r="X36" s="981">
        <f>'F9'!W38</f>
        <v>120232.9856</v>
      </c>
      <c r="Y36" s="529">
        <f t="shared" si="7"/>
        <v>4.0000000000000008E-2</v>
      </c>
      <c r="Z36" s="528">
        <f>'F9'!X38</f>
        <v>205.88533333333334</v>
      </c>
      <c r="AA36" s="529">
        <f t="shared" si="8"/>
        <v>0.04</v>
      </c>
      <c r="AB36" s="515"/>
      <c r="AC36" s="516"/>
    </row>
    <row r="37" spans="1:29">
      <c r="A37" s="1377" t="s">
        <v>1072</v>
      </c>
      <c r="B37" s="1478">
        <f>F9A!R40</f>
        <v>3034</v>
      </c>
      <c r="C37" s="1494">
        <f>F9A!S40</f>
        <v>28917</v>
      </c>
      <c r="D37" s="1480">
        <f>F9A!T40</f>
        <v>36.31</v>
      </c>
      <c r="E37" s="514"/>
      <c r="F37" s="527">
        <f>F9A!U40</f>
        <v>3703</v>
      </c>
      <c r="G37" s="529">
        <f t="shared" si="0"/>
        <v>0.22050098879367172</v>
      </c>
      <c r="H37" s="1481">
        <f>F9A!V40</f>
        <v>48952</v>
      </c>
      <c r="I37" s="529">
        <f t="shared" si="1"/>
        <v>0.69284503925026797</v>
      </c>
      <c r="J37" s="981">
        <f>F9A!W40</f>
        <v>66.149000000000001</v>
      </c>
      <c r="K37" s="529">
        <f t="shared" si="2"/>
        <v>0.82178463233269061</v>
      </c>
      <c r="L37" s="515"/>
      <c r="M37" s="515"/>
      <c r="N37" s="1481">
        <f>'F9'!Q39</f>
        <v>3740.03</v>
      </c>
      <c r="O37" s="529">
        <f t="shared" si="3"/>
        <v>1.0000000000000054E-2</v>
      </c>
      <c r="P37" s="1481">
        <f>'F9'!R39</f>
        <v>49441.520000000004</v>
      </c>
      <c r="Q37" s="529">
        <f t="shared" si="4"/>
        <v>1.0000000000000083E-2</v>
      </c>
      <c r="R37" s="528">
        <f>'F9'!S39</f>
        <v>59.886666666666663</v>
      </c>
      <c r="S37" s="529">
        <f t="shared" si="5"/>
        <v>-9.4670113430790154E-2</v>
      </c>
      <c r="T37" s="528"/>
      <c r="U37" s="529"/>
      <c r="V37" s="1481">
        <f>'F9'!V39</f>
        <v>3927.0315000000005</v>
      </c>
      <c r="W37" s="529">
        <f t="shared" si="6"/>
        <v>5.0000000000000079E-2</v>
      </c>
      <c r="X37" s="981">
        <f>'F9'!W39</f>
        <v>51913.596000000005</v>
      </c>
      <c r="Y37" s="529">
        <f t="shared" si="7"/>
        <v>5.0000000000000017E-2</v>
      </c>
      <c r="Z37" s="528">
        <f>'F9'!X39</f>
        <v>62.881</v>
      </c>
      <c r="AA37" s="529">
        <f t="shared" si="8"/>
        <v>5.0000000000000065E-2</v>
      </c>
      <c r="AB37" s="515"/>
      <c r="AC37" s="516"/>
    </row>
    <row r="38" spans="1:29">
      <c r="A38" s="1369" t="s">
        <v>1425</v>
      </c>
      <c r="B38" s="1478">
        <f>F9A!R41</f>
        <v>22038</v>
      </c>
      <c r="C38" s="1494">
        <f>F9A!S41</f>
        <v>127400</v>
      </c>
      <c r="D38" s="1480">
        <f>F9A!T41</f>
        <v>190.31</v>
      </c>
      <c r="E38" s="514"/>
      <c r="F38" s="527">
        <f>F9A!U41</f>
        <v>28313</v>
      </c>
      <c r="G38" s="529">
        <f t="shared" si="0"/>
        <v>0.28473545693801616</v>
      </c>
      <c r="H38" s="1481">
        <f>F9A!V41</f>
        <v>163416</v>
      </c>
      <c r="I38" s="529">
        <f t="shared" si="1"/>
        <v>0.28270015698587125</v>
      </c>
      <c r="J38" s="981">
        <f>F9A!W41</f>
        <v>271.08000000000004</v>
      </c>
      <c r="K38" s="529">
        <f t="shared" si="2"/>
        <v>0.42441280016814692</v>
      </c>
      <c r="L38" s="515"/>
      <c r="M38" s="515"/>
      <c r="N38" s="1481">
        <f>'F9'!Q40</f>
        <v>28596.129999999997</v>
      </c>
      <c r="O38" s="529">
        <f t="shared" si="3"/>
        <v>9.9999999999999083E-3</v>
      </c>
      <c r="P38" s="1481">
        <f>'F9'!R40</f>
        <v>165050.16</v>
      </c>
      <c r="Q38" s="529">
        <f t="shared" si="4"/>
        <v>1.0000000000000021E-2</v>
      </c>
      <c r="R38" s="528">
        <f>'F9'!S40</f>
        <v>257.85333333333335</v>
      </c>
      <c r="S38" s="529">
        <f t="shared" si="5"/>
        <v>-4.8792484383453912E-2</v>
      </c>
      <c r="T38" s="528"/>
      <c r="U38" s="529"/>
      <c r="V38" s="1481">
        <f>'F9'!V40</f>
        <v>29777.375500000002</v>
      </c>
      <c r="W38" s="529">
        <f t="shared" si="6"/>
        <v>4.1307879772542813E-2</v>
      </c>
      <c r="X38" s="981">
        <f>'F9'!W40</f>
        <v>172146.5816</v>
      </c>
      <c r="Y38" s="529">
        <f t="shared" si="7"/>
        <v>4.2995545111861759E-2</v>
      </c>
      <c r="Z38" s="528">
        <f>'F9'!X40</f>
        <v>268.76633333333336</v>
      </c>
      <c r="AA38" s="529">
        <f t="shared" si="8"/>
        <v>4.2322508919799405E-2</v>
      </c>
      <c r="AB38" s="515"/>
      <c r="AC38" s="516"/>
    </row>
    <row r="39" spans="1:29">
      <c r="A39" s="1369" t="s">
        <v>1446</v>
      </c>
      <c r="B39" s="1478"/>
      <c r="C39" s="1494">
        <f>F9A!S42</f>
        <v>127400</v>
      </c>
      <c r="D39" s="1480">
        <f>F9A!T42</f>
        <v>190.31</v>
      </c>
      <c r="E39" s="514"/>
      <c r="F39" s="527">
        <f>F9A!U42</f>
        <v>28313</v>
      </c>
      <c r="G39" s="529"/>
      <c r="H39" s="1481"/>
      <c r="I39" s="529"/>
      <c r="J39" s="981"/>
      <c r="K39" s="529"/>
      <c r="L39" s="515"/>
      <c r="M39" s="515"/>
      <c r="N39" s="1481"/>
      <c r="O39" s="529"/>
      <c r="P39" s="1481"/>
      <c r="Q39" s="529"/>
      <c r="R39" s="528">
        <f>'F9'!S41</f>
        <v>257.85333333333335</v>
      </c>
      <c r="S39" s="529"/>
      <c r="T39" s="528"/>
      <c r="U39" s="529"/>
      <c r="V39" s="1481"/>
      <c r="W39" s="529"/>
      <c r="X39" s="981"/>
      <c r="Y39" s="529"/>
      <c r="Z39" s="528"/>
      <c r="AA39" s="529"/>
      <c r="AB39" s="515"/>
      <c r="AC39" s="516"/>
    </row>
    <row r="40" spans="1:29">
      <c r="A40" s="1367" t="s">
        <v>1076</v>
      </c>
      <c r="B40" s="1478">
        <f>F9A!R43</f>
        <v>0</v>
      </c>
      <c r="C40" s="1494">
        <f>F9A!S43</f>
        <v>0</v>
      </c>
      <c r="D40" s="1480">
        <f>F9A!T43</f>
        <v>0</v>
      </c>
      <c r="E40" s="514"/>
      <c r="F40" s="527">
        <f>F9A!U43</f>
        <v>0</v>
      </c>
      <c r="G40" s="529">
        <f t="shared" si="0"/>
        <v>0</v>
      </c>
      <c r="H40" s="1481">
        <f>F9A!V43</f>
        <v>0</v>
      </c>
      <c r="I40" s="529">
        <f t="shared" si="1"/>
        <v>0</v>
      </c>
      <c r="J40" s="981">
        <f>F9A!W43</f>
        <v>0</v>
      </c>
      <c r="K40" s="529">
        <f t="shared" si="2"/>
        <v>0</v>
      </c>
      <c r="L40" s="515"/>
      <c r="M40" s="515"/>
      <c r="N40" s="1481">
        <f>'F9'!Q42</f>
        <v>0</v>
      </c>
      <c r="O40" s="529">
        <f t="shared" si="3"/>
        <v>0</v>
      </c>
      <c r="P40" s="1481">
        <f>'F9'!R42</f>
        <v>0</v>
      </c>
      <c r="Q40" s="529">
        <f t="shared" si="4"/>
        <v>0</v>
      </c>
      <c r="R40" s="528">
        <f>'F9'!S42</f>
        <v>0</v>
      </c>
      <c r="S40" s="529">
        <f t="shared" si="5"/>
        <v>0</v>
      </c>
      <c r="T40" s="528"/>
      <c r="U40" s="529"/>
      <c r="V40" s="1481">
        <f>'F9'!V42</f>
        <v>0</v>
      </c>
      <c r="W40" s="529">
        <f t="shared" si="6"/>
        <v>0</v>
      </c>
      <c r="X40" s="981">
        <f>'F9'!W42</f>
        <v>0</v>
      </c>
      <c r="Y40" s="529">
        <f t="shared" si="7"/>
        <v>0</v>
      </c>
      <c r="Z40" s="528">
        <f>'F9'!X42</f>
        <v>0</v>
      </c>
      <c r="AA40" s="529">
        <f t="shared" si="8"/>
        <v>0</v>
      </c>
      <c r="AB40" s="515"/>
      <c r="AC40" s="516"/>
    </row>
    <row r="41" spans="1:29">
      <c r="A41" s="1377" t="s">
        <v>1401</v>
      </c>
      <c r="B41" s="1478">
        <f>F9A!R44</f>
        <v>281151</v>
      </c>
      <c r="C41" s="1494">
        <f>F9A!S44</f>
        <v>1240106</v>
      </c>
      <c r="D41" s="1480">
        <f>F9A!T44</f>
        <v>1992.1246510000001</v>
      </c>
      <c r="E41" s="514"/>
      <c r="F41" s="527">
        <f>F9A!U44</f>
        <v>289587</v>
      </c>
      <c r="G41" s="529">
        <f t="shared" si="0"/>
        <v>3.0005228507101165E-2</v>
      </c>
      <c r="H41" s="1481">
        <f>F9A!V44</f>
        <v>1329675</v>
      </c>
      <c r="I41" s="529">
        <f t="shared" si="1"/>
        <v>7.2226890281959763E-2</v>
      </c>
      <c r="J41" s="981">
        <f>F9A!W44</f>
        <v>2193.8000000000002</v>
      </c>
      <c r="K41" s="529">
        <f t="shared" si="2"/>
        <v>0.10123631013690021</v>
      </c>
      <c r="L41" s="515"/>
      <c r="M41" s="515"/>
      <c r="N41" s="1481">
        <f>'F9'!Q43</f>
        <v>289587</v>
      </c>
      <c r="O41" s="529">
        <f t="shared" si="3"/>
        <v>0</v>
      </c>
      <c r="P41" s="1481">
        <f>'F9'!R43</f>
        <v>1329675</v>
      </c>
      <c r="Q41" s="529">
        <f t="shared" si="4"/>
        <v>0</v>
      </c>
      <c r="R41" s="528">
        <f>'F9'!S43</f>
        <v>2193.804189</v>
      </c>
      <c r="S41" s="529">
        <f t="shared" si="5"/>
        <v>1.9094721486777706E-6</v>
      </c>
      <c r="T41" s="528"/>
      <c r="U41" s="529"/>
      <c r="V41" s="1481">
        <f>'F9'!V43</f>
        <v>289587</v>
      </c>
      <c r="W41" s="529">
        <f t="shared" si="6"/>
        <v>0</v>
      </c>
      <c r="X41" s="981">
        <f>'F9'!W43</f>
        <v>1329675</v>
      </c>
      <c r="Y41" s="529">
        <f t="shared" si="7"/>
        <v>0</v>
      </c>
      <c r="Z41" s="528">
        <f>'F9'!X43</f>
        <v>2193.804189</v>
      </c>
      <c r="AA41" s="529">
        <f t="shared" si="8"/>
        <v>0</v>
      </c>
      <c r="AB41" s="515"/>
      <c r="AC41" s="516"/>
    </row>
    <row r="42" spans="1:29">
      <c r="A42" s="1378" t="s">
        <v>1077</v>
      </c>
      <c r="B42" s="1478">
        <f>F9A!R45</f>
        <v>281151</v>
      </c>
      <c r="C42" s="1494">
        <f>F9A!S45</f>
        <v>1240106</v>
      </c>
      <c r="D42" s="1480">
        <f>F9A!T45</f>
        <v>1992.1246510000001</v>
      </c>
      <c r="E42" s="514"/>
      <c r="F42" s="527">
        <f>F9A!U45</f>
        <v>289587</v>
      </c>
      <c r="G42" s="529">
        <f t="shared" si="0"/>
        <v>3.0005228507101165E-2</v>
      </c>
      <c r="H42" s="1481">
        <f>F9A!V45</f>
        <v>1329675</v>
      </c>
      <c r="I42" s="529">
        <f t="shared" si="1"/>
        <v>7.2226890281959763E-2</v>
      </c>
      <c r="J42" s="981">
        <f>F9A!W45</f>
        <v>2193.8000000000002</v>
      </c>
      <c r="K42" s="529">
        <f t="shared" si="2"/>
        <v>0.10123631013690021</v>
      </c>
      <c r="L42" s="515"/>
      <c r="M42" s="515"/>
      <c r="N42" s="1481">
        <f>'F9'!Q44</f>
        <v>289587</v>
      </c>
      <c r="O42" s="529">
        <f t="shared" si="3"/>
        <v>0</v>
      </c>
      <c r="P42" s="1481">
        <f>'F9'!R44</f>
        <v>1329675</v>
      </c>
      <c r="Q42" s="529">
        <f t="shared" si="4"/>
        <v>0</v>
      </c>
      <c r="R42" s="528">
        <f>'F9'!S44</f>
        <v>2193.804189</v>
      </c>
      <c r="S42" s="529">
        <f t="shared" si="5"/>
        <v>1.9094721486777706E-6</v>
      </c>
      <c r="T42" s="528"/>
      <c r="U42" s="529"/>
      <c r="V42" s="1481">
        <f>'F9'!V44</f>
        <v>289587</v>
      </c>
      <c r="W42" s="529">
        <f t="shared" si="6"/>
        <v>0</v>
      </c>
      <c r="X42" s="981">
        <f>'F9'!W44</f>
        <v>1329675</v>
      </c>
      <c r="Y42" s="529">
        <f t="shared" si="7"/>
        <v>0</v>
      </c>
      <c r="Z42" s="528">
        <f>'F9'!X44</f>
        <v>2193.804189</v>
      </c>
      <c r="AA42" s="529">
        <f t="shared" si="8"/>
        <v>0</v>
      </c>
      <c r="AB42" s="515"/>
      <c r="AC42" s="516"/>
    </row>
    <row r="43" spans="1:29">
      <c r="A43" s="1377" t="s">
        <v>476</v>
      </c>
      <c r="B43" s="1478">
        <f>F9A!R46</f>
        <v>24682</v>
      </c>
      <c r="C43" s="1494">
        <f>F9A!S46</f>
        <v>68549</v>
      </c>
      <c r="D43" s="1480">
        <f>F9A!T46</f>
        <v>154.180544</v>
      </c>
      <c r="E43" s="514"/>
      <c r="F43" s="527">
        <f>F9A!U46</f>
        <v>28821</v>
      </c>
      <c r="G43" s="529">
        <f t="shared" si="0"/>
        <v>0.1676930556680982</v>
      </c>
      <c r="H43" s="1481">
        <f>F9A!V46</f>
        <v>104187</v>
      </c>
      <c r="I43" s="529">
        <f t="shared" si="1"/>
        <v>0.5198908809756525</v>
      </c>
      <c r="J43" s="981">
        <f>F9A!W46</f>
        <v>330.28599999999994</v>
      </c>
      <c r="K43" s="529">
        <f t="shared" si="2"/>
        <v>1.142202844997096</v>
      </c>
      <c r="L43" s="515"/>
      <c r="M43" s="515"/>
      <c r="N43" s="1481">
        <f>'F9'!Q45</f>
        <v>30262.050000000003</v>
      </c>
      <c r="O43" s="529">
        <f t="shared" si="3"/>
        <v>5.00000000000001E-2</v>
      </c>
      <c r="P43" s="1481">
        <f>'F9'!R45</f>
        <v>109396.35</v>
      </c>
      <c r="Q43" s="529">
        <f t="shared" si="4"/>
        <v>5.0000000000000058E-2</v>
      </c>
      <c r="R43" s="528">
        <f>'F9'!S45</f>
        <v>464.06183119999992</v>
      </c>
      <c r="S43" s="529">
        <f t="shared" si="5"/>
        <v>0.40503028042363282</v>
      </c>
      <c r="T43" s="528"/>
      <c r="U43" s="529"/>
      <c r="V43" s="1481">
        <f>'F9'!V45</f>
        <v>34801.357499999998</v>
      </c>
      <c r="W43" s="529">
        <f t="shared" si="6"/>
        <v>0.14999999999999983</v>
      </c>
      <c r="X43" s="981">
        <f>'F9'!W45</f>
        <v>125805.80249999999</v>
      </c>
      <c r="Y43" s="529">
        <f t="shared" si="7"/>
        <v>0.14999999999999986</v>
      </c>
      <c r="Z43" s="528">
        <f>'F9'!X45</f>
        <v>533.67110587999991</v>
      </c>
      <c r="AA43" s="529">
        <f t="shared" si="8"/>
        <v>0.15000000000000002</v>
      </c>
      <c r="AB43" s="515"/>
      <c r="AC43" s="516"/>
    </row>
    <row r="44" spans="1:29">
      <c r="A44" s="1378" t="s">
        <v>1078</v>
      </c>
      <c r="B44" s="1478">
        <f>F9A!R47</f>
        <v>23003</v>
      </c>
      <c r="C44" s="1494">
        <f>F9A!S47</f>
        <v>58909</v>
      </c>
      <c r="D44" s="1480">
        <f>F9A!T47</f>
        <v>102.157849</v>
      </c>
      <c r="E44" s="514"/>
      <c r="F44" s="527">
        <f>F9A!U47</f>
        <v>18545</v>
      </c>
      <c r="G44" s="529">
        <f t="shared" si="0"/>
        <v>-0.19380080859018389</v>
      </c>
      <c r="H44" s="1481">
        <f>F9A!V47</f>
        <v>66617</v>
      </c>
      <c r="I44" s="529">
        <f t="shared" si="1"/>
        <v>0.13084588093500144</v>
      </c>
      <c r="J44" s="981">
        <f>F9A!W47</f>
        <v>153.53799999999998</v>
      </c>
      <c r="K44" s="529">
        <f t="shared" si="2"/>
        <v>0.50294863784768984</v>
      </c>
      <c r="L44" s="515"/>
      <c r="M44" s="515"/>
      <c r="N44" s="1481">
        <f>'F9'!Q46</f>
        <v>19472.25</v>
      </c>
      <c r="O44" s="529">
        <f t="shared" si="3"/>
        <v>0.05</v>
      </c>
      <c r="P44" s="1481">
        <f>'F9'!R46</f>
        <v>69947.850000000006</v>
      </c>
      <c r="Q44" s="529">
        <f t="shared" si="4"/>
        <v>5.0000000000000086E-2</v>
      </c>
      <c r="R44" s="528">
        <f>'F9'!S46</f>
        <v>214.95319999999995</v>
      </c>
      <c r="S44" s="529">
        <f t="shared" si="5"/>
        <v>0.39999999999999986</v>
      </c>
      <c r="T44" s="528"/>
      <c r="U44" s="529"/>
      <c r="V44" s="1481">
        <f>'F9'!V46</f>
        <v>22393.087499999998</v>
      </c>
      <c r="W44" s="529">
        <f t="shared" si="6"/>
        <v>0.14999999999999988</v>
      </c>
      <c r="X44" s="981">
        <f>'F9'!W46</f>
        <v>80440.027499999997</v>
      </c>
      <c r="Y44" s="529">
        <f t="shared" si="7"/>
        <v>0.14999999999999986</v>
      </c>
      <c r="Z44" s="528">
        <f>'F9'!X46</f>
        <v>247.19617999999991</v>
      </c>
      <c r="AA44" s="529">
        <f t="shared" si="8"/>
        <v>0.14999999999999986</v>
      </c>
      <c r="AB44" s="515"/>
      <c r="AC44" s="516"/>
    </row>
    <row r="45" spans="1:29">
      <c r="A45" s="1378" t="s">
        <v>1079</v>
      </c>
      <c r="B45" s="1478">
        <f>F9A!R48</f>
        <v>1679</v>
      </c>
      <c r="C45" s="1494">
        <f>F9A!S48</f>
        <v>9640</v>
      </c>
      <c r="D45" s="1480">
        <f>F9A!T48</f>
        <v>52.022695000000006</v>
      </c>
      <c r="E45" s="514"/>
      <c r="F45" s="527">
        <f>F9A!U48</f>
        <v>10276</v>
      </c>
      <c r="G45" s="529">
        <f t="shared" si="0"/>
        <v>5.1203097081596187</v>
      </c>
      <c r="H45" s="1481">
        <f>F9A!V48</f>
        <v>37570</v>
      </c>
      <c r="I45" s="529">
        <f t="shared" si="1"/>
        <v>2.8973029045643153</v>
      </c>
      <c r="J45" s="981">
        <f>F9A!W48</f>
        <v>176.74799999999999</v>
      </c>
      <c r="K45" s="529">
        <f t="shared" si="2"/>
        <v>2.3975171797616399</v>
      </c>
      <c r="L45" s="515"/>
      <c r="M45" s="515"/>
      <c r="N45" s="1481">
        <f>'F9'!Q47</f>
        <v>10789.800000000001</v>
      </c>
      <c r="O45" s="529">
        <f t="shared" si="3"/>
        <v>5.0000000000000107E-2</v>
      </c>
      <c r="P45" s="1481">
        <f>'F9'!R47</f>
        <v>39448.5</v>
      </c>
      <c r="Q45" s="529">
        <f t="shared" si="4"/>
        <v>0.05</v>
      </c>
      <c r="R45" s="528">
        <f>'F9'!S47</f>
        <v>249.10863119999999</v>
      </c>
      <c r="S45" s="529">
        <f t="shared" si="5"/>
        <v>0.40940000000000004</v>
      </c>
      <c r="T45" s="528"/>
      <c r="U45" s="529"/>
      <c r="V45" s="1481">
        <f>'F9'!V47</f>
        <v>12408.27</v>
      </c>
      <c r="W45" s="529">
        <f t="shared" si="6"/>
        <v>0.14999999999999991</v>
      </c>
      <c r="X45" s="981">
        <f>'F9'!W47</f>
        <v>45365.774999999994</v>
      </c>
      <c r="Y45" s="529">
        <f t="shared" si="7"/>
        <v>0.14999999999999986</v>
      </c>
      <c r="Z45" s="528">
        <f>'F9'!X47</f>
        <v>286.47492587999994</v>
      </c>
      <c r="AA45" s="529">
        <f t="shared" si="8"/>
        <v>0.14999999999999983</v>
      </c>
      <c r="AB45" s="516"/>
      <c r="AC45" s="516"/>
    </row>
    <row r="46" spans="1:29">
      <c r="A46" s="1369" t="s">
        <v>1425</v>
      </c>
      <c r="B46" s="1478">
        <f>F9A!R49</f>
        <v>305833</v>
      </c>
      <c r="C46" s="1494">
        <f>F9A!S49</f>
        <v>1308655</v>
      </c>
      <c r="D46" s="1480">
        <f>F9A!T49</f>
        <v>2146.3051949999999</v>
      </c>
      <c r="E46" s="515"/>
      <c r="F46" s="527">
        <f>F9A!U49</f>
        <v>318408</v>
      </c>
      <c r="G46" s="529">
        <f t="shared" si="0"/>
        <v>4.1117211026932998E-2</v>
      </c>
      <c r="H46" s="1481">
        <f>F9A!V49</f>
        <v>1433862</v>
      </c>
      <c r="I46" s="529">
        <f t="shared" si="1"/>
        <v>9.5676094921885446E-2</v>
      </c>
      <c r="J46" s="981">
        <f>F9A!W49</f>
        <v>2524.0860000000002</v>
      </c>
      <c r="K46" s="529">
        <f t="shared" si="2"/>
        <v>0.17601448567523051</v>
      </c>
      <c r="L46" s="515"/>
      <c r="M46" s="515"/>
      <c r="N46" s="1481">
        <f>'F9'!Q48</f>
        <v>319849.05</v>
      </c>
      <c r="O46" s="529">
        <f t="shared" si="3"/>
        <v>4.5257970905253275E-3</v>
      </c>
      <c r="P46" s="1481">
        <f>'F9'!R48</f>
        <v>1439071.35</v>
      </c>
      <c r="Q46" s="529">
        <f t="shared" si="4"/>
        <v>3.6330902137026388E-3</v>
      </c>
      <c r="R46" s="528">
        <f>'F9'!S48</f>
        <v>2657.8660202000001</v>
      </c>
      <c r="S46" s="529">
        <f t="shared" si="5"/>
        <v>5.3001371664832278E-2</v>
      </c>
      <c r="T46" s="528"/>
      <c r="U46" s="529"/>
      <c r="V46" s="1481">
        <f>'F9'!V48</f>
        <v>324388.35749999998</v>
      </c>
      <c r="W46" s="529">
        <f t="shared" si="6"/>
        <v>1.4192030584427234E-2</v>
      </c>
      <c r="X46" s="981">
        <f>'F9'!W48</f>
        <v>1455480.8025</v>
      </c>
      <c r="Y46" s="529">
        <f t="shared" si="7"/>
        <v>1.1402806747559734E-2</v>
      </c>
      <c r="Z46" s="528">
        <f>'F9'!X48</f>
        <v>2727.4752948799996</v>
      </c>
      <c r="AA46" s="529">
        <f t="shared" si="8"/>
        <v>2.6189911060588961E-2</v>
      </c>
      <c r="AB46" s="515"/>
      <c r="AC46" s="516"/>
    </row>
    <row r="47" spans="1:29">
      <c r="A47" s="1369" t="s">
        <v>1446</v>
      </c>
      <c r="B47" s="1478"/>
      <c r="C47" s="1494">
        <f>F9A!S50</f>
        <v>1308655</v>
      </c>
      <c r="D47" s="1480">
        <f>F9A!T50</f>
        <v>2146.3051949999999</v>
      </c>
      <c r="E47" s="514"/>
      <c r="F47" s="527">
        <f>F9A!U50</f>
        <v>318408</v>
      </c>
      <c r="G47" s="529"/>
      <c r="H47" s="1481"/>
      <c r="I47" s="529"/>
      <c r="J47" s="981"/>
      <c r="K47" s="529"/>
      <c r="L47" s="515"/>
      <c r="M47" s="515"/>
      <c r="N47" s="1481"/>
      <c r="O47" s="529"/>
      <c r="P47" s="1481"/>
      <c r="Q47" s="529"/>
      <c r="R47" s="528">
        <f>'F9'!S49</f>
        <v>2657.8660202000001</v>
      </c>
      <c r="S47" s="529"/>
      <c r="T47" s="528"/>
      <c r="U47" s="529"/>
      <c r="V47" s="1481"/>
      <c r="W47" s="529"/>
      <c r="X47" s="981"/>
      <c r="Y47" s="529"/>
      <c r="Z47" s="528"/>
      <c r="AA47" s="529"/>
      <c r="AB47" s="515"/>
      <c r="AC47" s="516"/>
    </row>
    <row r="48" spans="1:29">
      <c r="A48" s="1367" t="s">
        <v>1081</v>
      </c>
      <c r="B48" s="1478">
        <f>F9A!R51</f>
        <v>0</v>
      </c>
      <c r="C48" s="1494">
        <f>F9A!S51</f>
        <v>0</v>
      </c>
      <c r="D48" s="1480">
        <f>F9A!T51</f>
        <v>0</v>
      </c>
      <c r="E48" s="514"/>
      <c r="F48" s="527">
        <f>F9A!U51</f>
        <v>0</v>
      </c>
      <c r="G48" s="529">
        <f t="shared" si="0"/>
        <v>0</v>
      </c>
      <c r="H48" s="1481">
        <f>F9A!V51</f>
        <v>0</v>
      </c>
      <c r="I48" s="529">
        <f t="shared" si="1"/>
        <v>0</v>
      </c>
      <c r="J48" s="981">
        <f>F9A!W51</f>
        <v>0</v>
      </c>
      <c r="K48" s="529">
        <f t="shared" si="2"/>
        <v>0</v>
      </c>
      <c r="L48" s="515"/>
      <c r="M48" s="515"/>
      <c r="N48" s="1481">
        <f>'F9'!Q50</f>
        <v>0</v>
      </c>
      <c r="O48" s="529">
        <f t="shared" si="3"/>
        <v>0</v>
      </c>
      <c r="P48" s="1481">
        <f>'F9'!R50</f>
        <v>0</v>
      </c>
      <c r="Q48" s="529">
        <f t="shared" si="4"/>
        <v>0</v>
      </c>
      <c r="R48" s="528">
        <f>'F9'!S50</f>
        <v>0</v>
      </c>
      <c r="S48" s="529">
        <f t="shared" si="5"/>
        <v>0</v>
      </c>
      <c r="T48" s="528"/>
      <c r="U48" s="529"/>
      <c r="V48" s="1481">
        <f>'F9'!V50</f>
        <v>0</v>
      </c>
      <c r="W48" s="529">
        <f t="shared" si="6"/>
        <v>0</v>
      </c>
      <c r="X48" s="981">
        <f>'F9'!W50</f>
        <v>0</v>
      </c>
      <c r="Y48" s="529">
        <f t="shared" si="7"/>
        <v>0</v>
      </c>
      <c r="Z48" s="528">
        <f>'F9'!X50</f>
        <v>0</v>
      </c>
      <c r="AA48" s="529">
        <f t="shared" si="8"/>
        <v>0</v>
      </c>
      <c r="AB48" s="515"/>
      <c r="AC48" s="516"/>
    </row>
    <row r="49" spans="1:29">
      <c r="A49" s="1377" t="s">
        <v>1012</v>
      </c>
      <c r="B49" s="1478">
        <f>F9A!R52</f>
        <v>15628</v>
      </c>
      <c r="C49" s="1494">
        <f>F9A!S52</f>
        <v>163473</v>
      </c>
      <c r="D49" s="1480">
        <f>F9A!T52</f>
        <v>103.39</v>
      </c>
      <c r="E49" s="514"/>
      <c r="F49" s="527">
        <f>F9A!U52</f>
        <v>19354</v>
      </c>
      <c r="G49" s="529">
        <f t="shared" si="0"/>
        <v>0.2384182237010494</v>
      </c>
      <c r="H49" s="1481">
        <f>F9A!V52</f>
        <v>161717</v>
      </c>
      <c r="I49" s="529">
        <f t="shared" si="1"/>
        <v>-1.0741835043095801E-2</v>
      </c>
      <c r="J49" s="981">
        <f>F9A!W52</f>
        <v>265.33500000000004</v>
      </c>
      <c r="K49" s="529">
        <f t="shared" si="2"/>
        <v>1.5663507109004744</v>
      </c>
      <c r="L49" s="515"/>
      <c r="M49" s="515"/>
      <c r="N49" s="1481">
        <f>'F9'!Q51</f>
        <v>19547.54</v>
      </c>
      <c r="O49" s="529">
        <f t="shared" si="3"/>
        <v>1.0000000000000045E-2</v>
      </c>
      <c r="P49" s="1481">
        <f>'F9'!R51</f>
        <v>163334.17000000001</v>
      </c>
      <c r="Q49" s="529">
        <f t="shared" si="4"/>
        <v>1.000000000000008E-2</v>
      </c>
      <c r="R49" s="528">
        <f>'F9'!S51</f>
        <v>244.828</v>
      </c>
      <c r="S49" s="529">
        <f t="shared" si="5"/>
        <v>-7.7287202969830701E-2</v>
      </c>
      <c r="T49" s="528"/>
      <c r="U49" s="529"/>
      <c r="V49" s="1481">
        <f>'F9'!V51</f>
        <v>20133.966200000003</v>
      </c>
      <c r="W49" s="529">
        <f t="shared" si="6"/>
        <v>3.0000000000000086E-2</v>
      </c>
      <c r="X49" s="981">
        <f>'F9'!W51</f>
        <v>168234.19510000001</v>
      </c>
      <c r="Y49" s="529">
        <f t="shared" si="7"/>
        <v>2.9999999999999992E-2</v>
      </c>
      <c r="Z49" s="528">
        <f>'F9'!X51</f>
        <v>252.17284000000001</v>
      </c>
      <c r="AA49" s="529">
        <f t="shared" si="8"/>
        <v>3.000000000000002E-2</v>
      </c>
      <c r="AB49" s="515"/>
      <c r="AC49" s="516"/>
    </row>
    <row r="50" spans="1:29">
      <c r="A50" s="1377" t="s">
        <v>1011</v>
      </c>
      <c r="B50" s="1478">
        <f>F9A!R53</f>
        <v>14544</v>
      </c>
      <c r="C50" s="1494">
        <f>F9A!S53</f>
        <v>174023</v>
      </c>
      <c r="D50" s="1480">
        <f>F9A!T53</f>
        <v>444</v>
      </c>
      <c r="E50" s="514"/>
      <c r="F50" s="527">
        <f>F9A!U53</f>
        <v>11700</v>
      </c>
      <c r="G50" s="529">
        <f t="shared" si="0"/>
        <v>-0.19554455445544555</v>
      </c>
      <c r="H50" s="1481">
        <f>F9A!V53</f>
        <v>189213</v>
      </c>
      <c r="I50" s="529">
        <f t="shared" si="1"/>
        <v>8.7287312596610794E-2</v>
      </c>
      <c r="J50" s="981">
        <f>F9A!W53</f>
        <v>307.75700000000001</v>
      </c>
      <c r="K50" s="529">
        <f t="shared" si="2"/>
        <v>-0.30685360360360359</v>
      </c>
      <c r="L50" s="515"/>
      <c r="M50" s="515"/>
      <c r="N50" s="1481">
        <f>'F9'!Q52</f>
        <v>11934</v>
      </c>
      <c r="O50" s="529">
        <f t="shared" si="3"/>
        <v>0.02</v>
      </c>
      <c r="P50" s="1481">
        <f>'F9'!R52</f>
        <v>192997.26</v>
      </c>
      <c r="Q50" s="529">
        <f t="shared" si="4"/>
        <v>2.0000000000000049E-2</v>
      </c>
      <c r="R50" s="528">
        <f>'F9'!S52</f>
        <v>327.15733333333333</v>
      </c>
      <c r="S50" s="529">
        <f t="shared" si="5"/>
        <v>6.3037829629653666E-2</v>
      </c>
      <c r="T50" s="528"/>
      <c r="U50" s="529"/>
      <c r="V50" s="1481">
        <f>'F9'!V52</f>
        <v>12530.7</v>
      </c>
      <c r="W50" s="529">
        <f t="shared" si="6"/>
        <v>5.0000000000000058E-2</v>
      </c>
      <c r="X50" s="981">
        <f>'F9'!W52</f>
        <v>202647.12300000002</v>
      </c>
      <c r="Y50" s="529">
        <f t="shared" si="7"/>
        <v>5.0000000000000058E-2</v>
      </c>
      <c r="Z50" s="528">
        <f>'F9'!X52</f>
        <v>343.51519999999999</v>
      </c>
      <c r="AA50" s="529">
        <f t="shared" si="8"/>
        <v>0.05</v>
      </c>
      <c r="AB50" s="515"/>
      <c r="AC50" s="516"/>
    </row>
    <row r="51" spans="1:29">
      <c r="A51" s="1369" t="s">
        <v>1425</v>
      </c>
      <c r="B51" s="1478">
        <f>F9A!R54</f>
        <v>30172</v>
      </c>
      <c r="C51" s="1494">
        <f>F9A!S54</f>
        <v>337496</v>
      </c>
      <c r="D51" s="1480">
        <f>F9A!T54</f>
        <v>547.39</v>
      </c>
      <c r="E51" s="514"/>
      <c r="F51" s="527">
        <f>F9A!U54</f>
        <v>31054</v>
      </c>
      <c r="G51" s="529">
        <f t="shared" si="0"/>
        <v>2.9232400901498076E-2</v>
      </c>
      <c r="H51" s="1481">
        <f>F9A!V54</f>
        <v>350930</v>
      </c>
      <c r="I51" s="529">
        <f t="shared" si="1"/>
        <v>3.9804916206414298E-2</v>
      </c>
      <c r="J51" s="981">
        <f>F9A!W54</f>
        <v>573.0920000000001</v>
      </c>
      <c r="K51" s="529">
        <f t="shared" si="2"/>
        <v>4.6953725862730618E-2</v>
      </c>
      <c r="L51" s="515"/>
      <c r="M51" s="515"/>
      <c r="N51" s="1481">
        <f>'F9'!Q53</f>
        <v>31481.54</v>
      </c>
      <c r="O51" s="529">
        <f t="shared" si="3"/>
        <v>1.3767630578991462E-2</v>
      </c>
      <c r="P51" s="1481">
        <f>'F9'!R53</f>
        <v>356331.43000000005</v>
      </c>
      <c r="Q51" s="529">
        <f t="shared" si="4"/>
        <v>1.5391759040264586E-2</v>
      </c>
      <c r="R51" s="528">
        <f>'F9'!S53</f>
        <v>571.9853333333333</v>
      </c>
      <c r="S51" s="529">
        <f t="shared" si="5"/>
        <v>-1.9310453935263393E-3</v>
      </c>
      <c r="T51" s="528"/>
      <c r="U51" s="529"/>
      <c r="V51" s="1481">
        <f>'F9'!V53</f>
        <v>32664.666200000003</v>
      </c>
      <c r="W51" s="529">
        <f t="shared" si="6"/>
        <v>3.7581585907169798E-2</v>
      </c>
      <c r="X51" s="981">
        <f>'F9'!W53</f>
        <v>370881.31810000003</v>
      </c>
      <c r="Y51" s="529">
        <f t="shared" si="7"/>
        <v>4.0832457860930142E-2</v>
      </c>
      <c r="Z51" s="528">
        <f>'F9'!X53</f>
        <v>595.68804</v>
      </c>
      <c r="AA51" s="529">
        <f t="shared" si="8"/>
        <v>4.1439360916014224E-2</v>
      </c>
      <c r="AB51" s="515"/>
      <c r="AC51" s="516"/>
    </row>
    <row r="52" spans="1:29">
      <c r="A52" s="1369" t="s">
        <v>1446</v>
      </c>
      <c r="B52" s="1478"/>
      <c r="C52" s="1494">
        <f>F9A!S55</f>
        <v>337496</v>
      </c>
      <c r="D52" s="1480">
        <f>F9A!T55</f>
        <v>547.39</v>
      </c>
      <c r="E52" s="514"/>
      <c r="F52" s="527">
        <f>F9A!U55</f>
        <v>31054</v>
      </c>
      <c r="G52" s="529"/>
      <c r="H52" s="1481"/>
      <c r="I52" s="529"/>
      <c r="J52" s="981"/>
      <c r="K52" s="529"/>
      <c r="L52" s="515"/>
      <c r="M52" s="515"/>
      <c r="N52" s="1481"/>
      <c r="O52" s="529"/>
      <c r="P52" s="1481"/>
      <c r="Q52" s="529"/>
      <c r="R52" s="528">
        <f>'F9'!S54</f>
        <v>571.9853333333333</v>
      </c>
      <c r="S52" s="529"/>
      <c r="T52" s="528"/>
      <c r="U52" s="529"/>
      <c r="V52" s="1481"/>
      <c r="W52" s="529"/>
      <c r="X52" s="981"/>
      <c r="Y52" s="529"/>
      <c r="Z52" s="528"/>
      <c r="AA52" s="529"/>
      <c r="AB52" s="515"/>
      <c r="AC52" s="516"/>
    </row>
    <row r="53" spans="1:29">
      <c r="A53" s="1367" t="s">
        <v>1402</v>
      </c>
      <c r="B53" s="1478">
        <f>F9A!R56</f>
        <v>0</v>
      </c>
      <c r="C53" s="1494">
        <f>F9A!S56</f>
        <v>0</v>
      </c>
      <c r="D53" s="1480">
        <f>F9A!T56</f>
        <v>0</v>
      </c>
      <c r="E53" s="514"/>
      <c r="F53" s="527">
        <f>F9A!U56</f>
        <v>0</v>
      </c>
      <c r="G53" s="529">
        <f t="shared" si="0"/>
        <v>0</v>
      </c>
      <c r="H53" s="1481">
        <f>F9A!V56</f>
        <v>0</v>
      </c>
      <c r="I53" s="529">
        <f t="shared" si="1"/>
        <v>0</v>
      </c>
      <c r="J53" s="981">
        <f>F9A!W56</f>
        <v>0</v>
      </c>
      <c r="K53" s="529">
        <f t="shared" si="2"/>
        <v>0</v>
      </c>
      <c r="L53" s="515"/>
      <c r="M53" s="515"/>
      <c r="N53" s="1481">
        <f>'F9'!Q55</f>
        <v>0</v>
      </c>
      <c r="O53" s="529">
        <f t="shared" si="3"/>
        <v>0</v>
      </c>
      <c r="P53" s="1481">
        <f>'F9'!R55</f>
        <v>0</v>
      </c>
      <c r="Q53" s="529">
        <f t="shared" si="4"/>
        <v>0</v>
      </c>
      <c r="R53" s="528">
        <f>'F9'!S55</f>
        <v>0</v>
      </c>
      <c r="S53" s="529">
        <f t="shared" si="5"/>
        <v>0</v>
      </c>
      <c r="T53" s="528"/>
      <c r="U53" s="529"/>
      <c r="V53" s="1481">
        <f>'F9'!V55</f>
        <v>0</v>
      </c>
      <c r="W53" s="529">
        <f t="shared" si="6"/>
        <v>0</v>
      </c>
      <c r="X53" s="981">
        <f>'F9'!W55</f>
        <v>0</v>
      </c>
      <c r="Y53" s="529">
        <f t="shared" si="7"/>
        <v>0</v>
      </c>
      <c r="Z53" s="528">
        <f>'F9'!X55</f>
        <v>0</v>
      </c>
      <c r="AA53" s="529">
        <f t="shared" si="8"/>
        <v>0</v>
      </c>
      <c r="AB53" s="515"/>
      <c r="AC53" s="516"/>
    </row>
    <row r="54" spans="1:29">
      <c r="A54" s="1377" t="s">
        <v>475</v>
      </c>
      <c r="B54" s="1478">
        <f>F9A!R57</f>
        <v>1506</v>
      </c>
      <c r="C54" s="1494">
        <f>F9A!S57</f>
        <v>33153</v>
      </c>
      <c r="D54" s="1480">
        <f>F9A!T57</f>
        <v>136.28478799999999</v>
      </c>
      <c r="E54" s="514"/>
      <c r="F54" s="527">
        <f>F9A!U57</f>
        <v>1692</v>
      </c>
      <c r="G54" s="529">
        <f t="shared" si="0"/>
        <v>0.12350597609561753</v>
      </c>
      <c r="H54" s="1481">
        <f>F9A!V57</f>
        <v>28131</v>
      </c>
      <c r="I54" s="529">
        <f t="shared" si="1"/>
        <v>-0.15147950411727445</v>
      </c>
      <c r="J54" s="981">
        <f>F9A!W57</f>
        <v>123.131</v>
      </c>
      <c r="K54" s="529">
        <f t="shared" si="2"/>
        <v>-9.6516920142253826E-2</v>
      </c>
      <c r="L54" s="515"/>
      <c r="M54" s="515"/>
      <c r="N54" s="1481">
        <f>'F9'!Q56</f>
        <v>1878.2</v>
      </c>
      <c r="O54" s="529">
        <f t="shared" si="3"/>
        <v>0.11004728132387709</v>
      </c>
      <c r="P54" s="1481">
        <f>'F9'!R56</f>
        <v>31452.100000000002</v>
      </c>
      <c r="Q54" s="529">
        <f t="shared" si="4"/>
        <v>0.1180583697700047</v>
      </c>
      <c r="R54" s="528">
        <f>'F9'!S56</f>
        <v>129.34800000000001</v>
      </c>
      <c r="S54" s="529">
        <f t="shared" si="5"/>
        <v>5.0490940542999026E-2</v>
      </c>
      <c r="T54" s="528"/>
      <c r="U54" s="529"/>
      <c r="V54" s="1481">
        <f>'F9'!V56</f>
        <v>2086.4200000000005</v>
      </c>
      <c r="W54" s="529">
        <f t="shared" si="6"/>
        <v>0.11086146310297118</v>
      </c>
      <c r="X54" s="981">
        <f>'F9'!W56</f>
        <v>35206.910000000003</v>
      </c>
      <c r="Y54" s="529">
        <f t="shared" si="7"/>
        <v>0.1193818536759072</v>
      </c>
      <c r="Z54" s="528">
        <f>'F9'!X56</f>
        <v>143.74533333333335</v>
      </c>
      <c r="AA54" s="529">
        <f t="shared" si="8"/>
        <v>0.11130696518951459</v>
      </c>
      <c r="AB54" s="516"/>
      <c r="AC54" s="516"/>
    </row>
    <row r="55" spans="1:29">
      <c r="A55" s="1378" t="s">
        <v>1091</v>
      </c>
      <c r="B55" s="1478">
        <f>F9A!R58</f>
        <v>1261</v>
      </c>
      <c r="C55" s="1494">
        <f>F9A!S58</f>
        <v>23857</v>
      </c>
      <c r="D55" s="1480">
        <f>F9A!T58</f>
        <v>102.073336</v>
      </c>
      <c r="E55" s="515"/>
      <c r="F55" s="527">
        <f>F9A!U58</f>
        <v>1451</v>
      </c>
      <c r="G55" s="529">
        <f t="shared" si="0"/>
        <v>0.15067406819984139</v>
      </c>
      <c r="H55" s="1481">
        <f>F9A!V58</f>
        <v>21596</v>
      </c>
      <c r="I55" s="529">
        <f t="shared" si="1"/>
        <v>-9.477302259294966E-2</v>
      </c>
      <c r="J55" s="981">
        <f>F9A!W58</f>
        <v>97.594999999999999</v>
      </c>
      <c r="K55" s="529">
        <f t="shared" si="2"/>
        <v>-4.3873710564333854E-2</v>
      </c>
      <c r="L55" s="515"/>
      <c r="M55" s="515"/>
      <c r="N55" s="1481">
        <f>'F9'!Q57</f>
        <v>1596.1000000000001</v>
      </c>
      <c r="O55" s="529">
        <f t="shared" si="3"/>
        <v>0.10000000000000009</v>
      </c>
      <c r="P55" s="1481">
        <f>'F9'!R57</f>
        <v>23755.600000000002</v>
      </c>
      <c r="Q55" s="529">
        <f t="shared" si="4"/>
        <v>0.1000000000000001</v>
      </c>
      <c r="R55" s="528">
        <f>'F9'!S57</f>
        <v>96.190666666666672</v>
      </c>
      <c r="S55" s="529">
        <f t="shared" si="5"/>
        <v>-1.4389398363987158E-2</v>
      </c>
      <c r="T55" s="528"/>
      <c r="U55" s="529"/>
      <c r="V55" s="1481">
        <f>'F9'!V57</f>
        <v>1755.7100000000003</v>
      </c>
      <c r="W55" s="529">
        <f t="shared" si="6"/>
        <v>0.10000000000000007</v>
      </c>
      <c r="X55" s="981">
        <f>'F9'!W57</f>
        <v>26131.160000000003</v>
      </c>
      <c r="Y55" s="529">
        <f t="shared" si="7"/>
        <v>0.10000000000000005</v>
      </c>
      <c r="Z55" s="528">
        <f>'F9'!X57</f>
        <v>105.80973333333336</v>
      </c>
      <c r="AA55" s="529">
        <f t="shared" si="8"/>
        <v>0.10000000000000016</v>
      </c>
      <c r="AB55" s="515"/>
      <c r="AC55" s="516"/>
    </row>
    <row r="56" spans="1:29">
      <c r="A56" s="1378" t="s">
        <v>1092</v>
      </c>
      <c r="B56" s="1478">
        <f>F9A!R59</f>
        <v>85</v>
      </c>
      <c r="C56" s="1494">
        <f>F9A!S59</f>
        <v>1858</v>
      </c>
      <c r="D56" s="1480">
        <f>F9A!T59</f>
        <v>19.180535000000003</v>
      </c>
      <c r="E56" s="514"/>
      <c r="F56" s="527">
        <f>F9A!U59</f>
        <v>71</v>
      </c>
      <c r="G56" s="529">
        <f t="shared" si="0"/>
        <v>-0.16470588235294117</v>
      </c>
      <c r="H56" s="1481">
        <f>F9A!V59</f>
        <v>1455</v>
      </c>
      <c r="I56" s="529">
        <f t="shared" si="1"/>
        <v>-0.21689989235737353</v>
      </c>
      <c r="J56" s="981">
        <f>F9A!W59</f>
        <v>11.081</v>
      </c>
      <c r="K56" s="529">
        <f t="shared" si="2"/>
        <v>-0.4222788884668755</v>
      </c>
      <c r="L56" s="515"/>
      <c r="M56" s="515"/>
      <c r="N56" s="1481">
        <f>'F9'!Q58</f>
        <v>78.100000000000009</v>
      </c>
      <c r="O56" s="529">
        <f t="shared" si="3"/>
        <v>0.10000000000000012</v>
      </c>
      <c r="P56" s="1481">
        <f>'F9'!R58</f>
        <v>1600.5000000000002</v>
      </c>
      <c r="Q56" s="529">
        <f t="shared" si="4"/>
        <v>0.10000000000000016</v>
      </c>
      <c r="R56" s="528">
        <f>'F9'!S58</f>
        <v>18.532</v>
      </c>
      <c r="S56" s="529">
        <f t="shared" si="5"/>
        <v>0.67241223716271104</v>
      </c>
      <c r="T56" s="528"/>
      <c r="U56" s="529"/>
      <c r="V56" s="1481">
        <f>'F9'!V58</f>
        <v>85.910000000000011</v>
      </c>
      <c r="W56" s="529">
        <f t="shared" si="6"/>
        <v>0.10000000000000002</v>
      </c>
      <c r="X56" s="981">
        <f>'F9'!W58</f>
        <v>1760.5500000000004</v>
      </c>
      <c r="Y56" s="529">
        <f t="shared" si="7"/>
        <v>0.1000000000000001</v>
      </c>
      <c r="Z56" s="528">
        <f>'F9'!X58</f>
        <v>20.385200000000001</v>
      </c>
      <c r="AA56" s="529">
        <f t="shared" si="8"/>
        <v>0.10000000000000006</v>
      </c>
      <c r="AB56" s="515"/>
      <c r="AC56" s="516"/>
    </row>
    <row r="57" spans="1:29">
      <c r="A57" s="1378" t="s">
        <v>1093</v>
      </c>
      <c r="B57" s="1478">
        <f>F9A!R60</f>
        <v>160</v>
      </c>
      <c r="C57" s="1494">
        <f>F9A!S60</f>
        <v>7438</v>
      </c>
      <c r="D57" s="1480">
        <f>F9A!T60</f>
        <v>15.030917000000001</v>
      </c>
      <c r="E57" s="514"/>
      <c r="F57" s="527">
        <f>F9A!U60</f>
        <v>170</v>
      </c>
      <c r="G57" s="529">
        <f t="shared" si="0"/>
        <v>6.25E-2</v>
      </c>
      <c r="H57" s="1481">
        <f>F9A!V60</f>
        <v>5080</v>
      </c>
      <c r="I57" s="529">
        <f t="shared" si="1"/>
        <v>-0.31702070449045444</v>
      </c>
      <c r="J57" s="981">
        <f>F9A!W60</f>
        <v>14.455</v>
      </c>
      <c r="K57" s="529">
        <f t="shared" si="2"/>
        <v>-3.8315493326188978E-2</v>
      </c>
      <c r="L57" s="515"/>
      <c r="M57" s="515"/>
      <c r="N57" s="1481">
        <f>'F9'!Q59</f>
        <v>204</v>
      </c>
      <c r="O57" s="529">
        <f t="shared" si="3"/>
        <v>0.2</v>
      </c>
      <c r="P57" s="1481">
        <f>'F9'!R59</f>
        <v>6096</v>
      </c>
      <c r="Q57" s="529">
        <f t="shared" si="4"/>
        <v>0.2</v>
      </c>
      <c r="R57" s="528">
        <f>'F9'!S59</f>
        <v>14.625333333333332</v>
      </c>
      <c r="S57" s="529">
        <f t="shared" si="5"/>
        <v>1.1783696529459141E-2</v>
      </c>
      <c r="T57" s="528"/>
      <c r="U57" s="529"/>
      <c r="V57" s="1481">
        <f>'F9'!V59</f>
        <v>244.79999999999998</v>
      </c>
      <c r="W57" s="529">
        <f t="shared" si="6"/>
        <v>0.19999999999999993</v>
      </c>
      <c r="X57" s="981">
        <f>'F9'!W59</f>
        <v>7315.2</v>
      </c>
      <c r="Y57" s="529">
        <f t="shared" si="7"/>
        <v>0.19999999999999998</v>
      </c>
      <c r="Z57" s="528">
        <f>'F9'!X59</f>
        <v>17.550399999999996</v>
      </c>
      <c r="AA57" s="529">
        <f t="shared" si="8"/>
        <v>0.19999999999999984</v>
      </c>
      <c r="AB57" s="515"/>
      <c r="AC57" s="516"/>
    </row>
    <row r="58" spans="1:29">
      <c r="A58" s="1377" t="s">
        <v>1403</v>
      </c>
      <c r="B58" s="1478">
        <f>F9A!R61</f>
        <v>1846</v>
      </c>
      <c r="C58" s="1494">
        <f>F9A!S61</f>
        <v>76964</v>
      </c>
      <c r="D58" s="1480">
        <f>F9A!T61</f>
        <v>195.99296400000003</v>
      </c>
      <c r="E58" s="514"/>
      <c r="F58" s="527">
        <f>F9A!U61</f>
        <v>1734</v>
      </c>
      <c r="G58" s="529">
        <f t="shared" si="0"/>
        <v>-6.0671722643553631E-2</v>
      </c>
      <c r="H58" s="1481">
        <f>F9A!V61</f>
        <v>78599</v>
      </c>
      <c r="I58" s="529">
        <f t="shared" si="1"/>
        <v>2.1243698352476484E-2</v>
      </c>
      <c r="J58" s="981">
        <f>F9A!W61</f>
        <v>266.96100000000001</v>
      </c>
      <c r="K58" s="529">
        <f t="shared" si="2"/>
        <v>0.36209481479141248</v>
      </c>
      <c r="L58" s="515"/>
      <c r="M58" s="515"/>
      <c r="N58" s="1481">
        <f>'F9'!Q60</f>
        <v>1768.68</v>
      </c>
      <c r="O58" s="529">
        <f t="shared" si="3"/>
        <v>2.0000000000000035E-2</v>
      </c>
      <c r="P58" s="1481">
        <f>'F9'!R60</f>
        <v>80170.98000000001</v>
      </c>
      <c r="Q58" s="529">
        <f t="shared" si="4"/>
        <v>2.0000000000000132E-2</v>
      </c>
      <c r="R58" s="528">
        <f>'F9'!S60</f>
        <v>265.78533333333337</v>
      </c>
      <c r="S58" s="529">
        <f t="shared" si="5"/>
        <v>-4.4038892072873689E-3</v>
      </c>
      <c r="T58" s="528"/>
      <c r="U58" s="529"/>
      <c r="V58" s="1481">
        <f>'F9'!V60</f>
        <v>1846.0980000000002</v>
      </c>
      <c r="W58" s="529">
        <f t="shared" si="6"/>
        <v>4.3771626297577922E-2</v>
      </c>
      <c r="X58" s="981">
        <f>'F9'!W60</f>
        <v>83893.3272</v>
      </c>
      <c r="Y58" s="529">
        <f t="shared" si="7"/>
        <v>4.6430107253272804E-2</v>
      </c>
      <c r="Z58" s="528">
        <f>'F9'!X60</f>
        <v>277.70800000000003</v>
      </c>
      <c r="AA58" s="529">
        <f t="shared" si="8"/>
        <v>4.4858256537857577E-2</v>
      </c>
      <c r="AB58" s="515"/>
      <c r="AC58" s="516"/>
    </row>
    <row r="59" spans="1:29">
      <c r="A59" s="1378" t="s">
        <v>1094</v>
      </c>
      <c r="B59" s="1478">
        <f>F9A!R62</f>
        <v>519</v>
      </c>
      <c r="C59" s="1494">
        <f>F9A!S62</f>
        <v>9974</v>
      </c>
      <c r="D59" s="1480">
        <f>F9A!T62</f>
        <v>30.843738000000002</v>
      </c>
      <c r="E59" s="514"/>
      <c r="F59" s="527">
        <f>F9A!U62</f>
        <v>360</v>
      </c>
      <c r="G59" s="529">
        <f t="shared" si="0"/>
        <v>-0.30635838150289019</v>
      </c>
      <c r="H59" s="1481">
        <f>F9A!V62</f>
        <v>9353</v>
      </c>
      <c r="I59" s="529">
        <f t="shared" si="1"/>
        <v>-6.226188089031482E-2</v>
      </c>
      <c r="J59" s="981">
        <f>F9A!W62</f>
        <v>38.027999999999999</v>
      </c>
      <c r="K59" s="529">
        <f t="shared" si="2"/>
        <v>0.23292449183688424</v>
      </c>
      <c r="L59" s="515"/>
      <c r="M59" s="515"/>
      <c r="N59" s="1481">
        <f>'F9'!Q61</f>
        <v>367.2</v>
      </c>
      <c r="O59" s="529">
        <f t="shared" si="3"/>
        <v>1.9999999999999969E-2</v>
      </c>
      <c r="P59" s="1481">
        <f>'F9'!R61</f>
        <v>9540.06</v>
      </c>
      <c r="Q59" s="529">
        <f t="shared" si="4"/>
        <v>1.9999999999999945E-2</v>
      </c>
      <c r="R59" s="528">
        <f>'F9'!S61</f>
        <v>45.553333333333335</v>
      </c>
      <c r="S59" s="529">
        <f t="shared" si="5"/>
        <v>0.19788927456961544</v>
      </c>
      <c r="T59" s="528"/>
      <c r="U59" s="529"/>
      <c r="V59" s="1481">
        <f>'F9'!V61</f>
        <v>374.54399999999998</v>
      </c>
      <c r="W59" s="529">
        <f t="shared" si="6"/>
        <v>1.9999999999999983E-2</v>
      </c>
      <c r="X59" s="981">
        <f>'F9'!W61</f>
        <v>9730.8611999999994</v>
      </c>
      <c r="Y59" s="529">
        <f t="shared" si="7"/>
        <v>1.999999999999999E-2</v>
      </c>
      <c r="Z59" s="528">
        <f>'F9'!X61</f>
        <v>46.464400000000005</v>
      </c>
      <c r="AA59" s="529">
        <f t="shared" si="8"/>
        <v>2.0000000000000077E-2</v>
      </c>
      <c r="AB59" s="515"/>
      <c r="AC59" s="516"/>
    </row>
    <row r="60" spans="1:29">
      <c r="A60" s="1378" t="s">
        <v>1095</v>
      </c>
      <c r="B60" s="1478">
        <f>F9A!R63</f>
        <v>955</v>
      </c>
      <c r="C60" s="1494">
        <f>F9A!S63</f>
        <v>52696</v>
      </c>
      <c r="D60" s="1480">
        <f>F9A!T63</f>
        <v>142.20498900000001</v>
      </c>
      <c r="E60" s="514"/>
      <c r="F60" s="527">
        <f>F9A!U63</f>
        <v>1059</v>
      </c>
      <c r="G60" s="529">
        <f t="shared" si="0"/>
        <v>0.10890052356020942</v>
      </c>
      <c r="H60" s="1481">
        <f>F9A!V63</f>
        <v>57374</v>
      </c>
      <c r="I60" s="529">
        <f t="shared" si="1"/>
        <v>8.8773341430089567E-2</v>
      </c>
      <c r="J60" s="981">
        <f>F9A!W63</f>
        <v>198.733</v>
      </c>
      <c r="K60" s="529">
        <f t="shared" si="2"/>
        <v>0.39751074415539661</v>
      </c>
      <c r="L60" s="515"/>
      <c r="M60" s="515"/>
      <c r="N60" s="1481">
        <f>'F9'!Q62</f>
        <v>1080.18</v>
      </c>
      <c r="O60" s="529">
        <f t="shared" si="3"/>
        <v>2.0000000000000059E-2</v>
      </c>
      <c r="P60" s="1481">
        <f>'F9'!R62</f>
        <v>58521.48</v>
      </c>
      <c r="Q60" s="529">
        <f t="shared" si="4"/>
        <v>2.0000000000000056E-2</v>
      </c>
      <c r="R60" s="528">
        <f>'F9'!S62</f>
        <v>176.66533333333334</v>
      </c>
      <c r="S60" s="529">
        <f t="shared" si="5"/>
        <v>-0.11104178302882092</v>
      </c>
      <c r="T60" s="528"/>
      <c r="U60" s="529"/>
      <c r="V60" s="1481">
        <f>'F9'!V62</f>
        <v>1134.1890000000001</v>
      </c>
      <c r="W60" s="529">
        <f t="shared" si="6"/>
        <v>5.000000000000001E-2</v>
      </c>
      <c r="X60" s="981">
        <f>'F9'!W62</f>
        <v>61447.554000000004</v>
      </c>
      <c r="Y60" s="529">
        <f t="shared" si="7"/>
        <v>0.05</v>
      </c>
      <c r="Z60" s="528">
        <f>'F9'!X62</f>
        <v>185.49860000000001</v>
      </c>
      <c r="AA60" s="529">
        <f t="shared" si="8"/>
        <v>5.0000000000000037E-2</v>
      </c>
      <c r="AB60" s="515"/>
      <c r="AC60" s="516"/>
    </row>
    <row r="61" spans="1:29">
      <c r="A61" s="1378" t="s">
        <v>1096</v>
      </c>
      <c r="B61" s="1478">
        <f>F9A!R64</f>
        <v>372</v>
      </c>
      <c r="C61" s="1494">
        <f>F9A!S64</f>
        <v>14294</v>
      </c>
      <c r="D61" s="1480">
        <f>F9A!T64</f>
        <v>22.944237000000001</v>
      </c>
      <c r="E61" s="514"/>
      <c r="F61" s="527">
        <f>F9A!U64</f>
        <v>315</v>
      </c>
      <c r="G61" s="529">
        <f t="shared" si="0"/>
        <v>-0.15322580645161291</v>
      </c>
      <c r="H61" s="1481">
        <f>F9A!V64</f>
        <v>11872</v>
      </c>
      <c r="I61" s="529">
        <f t="shared" si="1"/>
        <v>-0.1694417238001959</v>
      </c>
      <c r="J61" s="981">
        <f>F9A!W64</f>
        <v>30.2</v>
      </c>
      <c r="K61" s="529">
        <f t="shared" si="2"/>
        <v>0.31623466058165273</v>
      </c>
      <c r="L61" s="515"/>
      <c r="M61" s="515"/>
      <c r="N61" s="1481">
        <f>'F9'!Q63</f>
        <v>321.3</v>
      </c>
      <c r="O61" s="529">
        <f t="shared" si="3"/>
        <v>2.0000000000000035E-2</v>
      </c>
      <c r="P61" s="1481">
        <f>'F9'!R63</f>
        <v>12109.44</v>
      </c>
      <c r="Q61" s="529">
        <f t="shared" si="4"/>
        <v>2.0000000000000042E-2</v>
      </c>
      <c r="R61" s="528">
        <f>'F9'!S63</f>
        <v>43.566666666666663</v>
      </c>
      <c r="S61" s="529">
        <f t="shared" si="5"/>
        <v>0.44260485651214121</v>
      </c>
      <c r="T61" s="528"/>
      <c r="U61" s="529"/>
      <c r="V61" s="1481">
        <f>'F9'!V63</f>
        <v>337.36500000000001</v>
      </c>
      <c r="W61" s="529">
        <f t="shared" si="6"/>
        <v>4.9999999999999989E-2</v>
      </c>
      <c r="X61" s="981">
        <f>'F9'!W63</f>
        <v>12714.912</v>
      </c>
      <c r="Y61" s="529">
        <f t="shared" si="7"/>
        <v>4.9999999999999975E-2</v>
      </c>
      <c r="Z61" s="528">
        <f>'F9'!X63</f>
        <v>45.744999999999997</v>
      </c>
      <c r="AA61" s="529">
        <f t="shared" si="8"/>
        <v>5.0000000000000031E-2</v>
      </c>
      <c r="AB61" s="515"/>
      <c r="AC61" s="516"/>
    </row>
    <row r="62" spans="1:29">
      <c r="A62" s="1369" t="s">
        <v>1425</v>
      </c>
      <c r="B62" s="1478">
        <f>F9A!R65</f>
        <v>3352</v>
      </c>
      <c r="C62" s="1494">
        <f>F9A!S65</f>
        <v>110117</v>
      </c>
      <c r="D62" s="1480">
        <f>F9A!T65</f>
        <v>332.27775200000002</v>
      </c>
      <c r="E62" s="514"/>
      <c r="F62" s="527">
        <f>F9A!U65</f>
        <v>3426</v>
      </c>
      <c r="G62" s="529">
        <f t="shared" si="0"/>
        <v>2.20763723150358E-2</v>
      </c>
      <c r="H62" s="1481">
        <f>F9A!V65</f>
        <v>106730</v>
      </c>
      <c r="I62" s="529">
        <f t="shared" si="1"/>
        <v>-3.0758193557761292E-2</v>
      </c>
      <c r="J62" s="981">
        <f>F9A!W65</f>
        <v>390.09199999999998</v>
      </c>
      <c r="K62" s="529">
        <f t="shared" si="2"/>
        <v>0.17399373762466036</v>
      </c>
      <c r="L62" s="515"/>
      <c r="M62" s="515"/>
      <c r="N62" s="1481">
        <f>'F9'!Q64</f>
        <v>3646.88</v>
      </c>
      <c r="O62" s="529">
        <f t="shared" si="3"/>
        <v>6.447168709865736E-2</v>
      </c>
      <c r="P62" s="1481">
        <f>'F9'!R64</f>
        <v>111623.08000000002</v>
      </c>
      <c r="Q62" s="529">
        <f t="shared" si="4"/>
        <v>4.5845404291202249E-2</v>
      </c>
      <c r="R62" s="528">
        <f>'F9'!S64</f>
        <v>395.13333333333338</v>
      </c>
      <c r="S62" s="529">
        <f t="shared" si="5"/>
        <v>1.2923447118457693E-2</v>
      </c>
      <c r="T62" s="528"/>
      <c r="U62" s="529"/>
      <c r="V62" s="1481">
        <f>'F9'!V64</f>
        <v>3932.5180000000009</v>
      </c>
      <c r="W62" s="529">
        <f t="shared" si="6"/>
        <v>7.8323937173693903E-2</v>
      </c>
      <c r="X62" s="981">
        <f>'F9'!W64</f>
        <v>119100.2372</v>
      </c>
      <c r="Y62" s="529">
        <f t="shared" si="7"/>
        <v>6.6985763159375156E-2</v>
      </c>
      <c r="Z62" s="528">
        <f>'F9'!X64</f>
        <v>421.45333333333338</v>
      </c>
      <c r="AA62" s="529">
        <f t="shared" si="8"/>
        <v>6.6610426860131577E-2</v>
      </c>
      <c r="AB62" s="515"/>
      <c r="AC62" s="516"/>
    </row>
    <row r="63" spans="1:29">
      <c r="A63" s="1369" t="s">
        <v>1446</v>
      </c>
      <c r="B63" s="1478"/>
      <c r="C63" s="1494">
        <f>F9A!S66</f>
        <v>110117</v>
      </c>
      <c r="D63" s="1480">
        <f>F9A!T66</f>
        <v>332.27775200000002</v>
      </c>
      <c r="E63" s="514"/>
      <c r="F63" s="527">
        <f>F9A!U66</f>
        <v>3426</v>
      </c>
      <c r="G63" s="529"/>
      <c r="H63" s="1481"/>
      <c r="I63" s="529"/>
      <c r="J63" s="981"/>
      <c r="K63" s="529"/>
      <c r="L63" s="515"/>
      <c r="M63" s="515"/>
      <c r="N63" s="1481"/>
      <c r="O63" s="529"/>
      <c r="P63" s="1481"/>
      <c r="Q63" s="529"/>
      <c r="R63" s="528">
        <f>'F9'!S65</f>
        <v>395.13333333333338</v>
      </c>
      <c r="S63" s="529"/>
      <c r="T63" s="528"/>
      <c r="U63" s="529"/>
      <c r="V63" s="1481"/>
      <c r="W63" s="529"/>
      <c r="X63" s="981"/>
      <c r="Y63" s="529"/>
      <c r="Z63" s="528"/>
      <c r="AA63" s="529"/>
      <c r="AB63" s="515"/>
      <c r="AC63" s="516"/>
    </row>
    <row r="64" spans="1:29">
      <c r="A64" s="1367" t="s">
        <v>1098</v>
      </c>
      <c r="B64" s="1478">
        <f>F9A!R67</f>
        <v>0</v>
      </c>
      <c r="C64" s="1494">
        <f>F9A!S67</f>
        <v>0</v>
      </c>
      <c r="D64" s="1480">
        <f>F9A!T67</f>
        <v>0</v>
      </c>
      <c r="E64" s="514"/>
      <c r="F64" s="527">
        <f>F9A!U67</f>
        <v>0</v>
      </c>
      <c r="G64" s="529">
        <f t="shared" si="0"/>
        <v>0</v>
      </c>
      <c r="H64" s="1481">
        <f>F9A!V67</f>
        <v>0</v>
      </c>
      <c r="I64" s="529">
        <f t="shared" si="1"/>
        <v>0</v>
      </c>
      <c r="J64" s="981">
        <f>F9A!W67</f>
        <v>0</v>
      </c>
      <c r="K64" s="529">
        <f t="shared" si="2"/>
        <v>0</v>
      </c>
      <c r="L64" s="515"/>
      <c r="M64" s="515"/>
      <c r="N64" s="1481">
        <f>'F9'!Q66</f>
        <v>0</v>
      </c>
      <c r="O64" s="529">
        <f t="shared" si="3"/>
        <v>0</v>
      </c>
      <c r="P64" s="1481">
        <f>'F9'!R66</f>
        <v>0</v>
      </c>
      <c r="Q64" s="529">
        <f t="shared" si="4"/>
        <v>0</v>
      </c>
      <c r="R64" s="528">
        <f>'F9'!S66</f>
        <v>0</v>
      </c>
      <c r="S64" s="529">
        <f t="shared" si="5"/>
        <v>0</v>
      </c>
      <c r="T64" s="528"/>
      <c r="U64" s="529"/>
      <c r="V64" s="1481">
        <f>'F9'!V66</f>
        <v>0</v>
      </c>
      <c r="W64" s="529">
        <f t="shared" si="6"/>
        <v>0</v>
      </c>
      <c r="X64" s="981">
        <f>'F9'!W66</f>
        <v>0</v>
      </c>
      <c r="Y64" s="529">
        <f t="shared" si="7"/>
        <v>0</v>
      </c>
      <c r="Z64" s="528">
        <f>'F9'!X66</f>
        <v>0</v>
      </c>
      <c r="AA64" s="529">
        <f t="shared" si="8"/>
        <v>0</v>
      </c>
      <c r="AB64" s="515"/>
      <c r="AC64" s="516"/>
    </row>
    <row r="65" spans="1:29">
      <c r="A65" s="1377" t="s">
        <v>476</v>
      </c>
      <c r="B65" s="1478">
        <f>F9A!R68</f>
        <v>473</v>
      </c>
      <c r="C65" s="1494">
        <f>F9A!S68</f>
        <v>6911</v>
      </c>
      <c r="D65" s="1480">
        <f>F9A!T68</f>
        <v>19.338604</v>
      </c>
      <c r="E65" s="514"/>
      <c r="F65" s="527">
        <f>F9A!U68</f>
        <v>1778</v>
      </c>
      <c r="G65" s="529">
        <f t="shared" si="0"/>
        <v>2.7589852008456659</v>
      </c>
      <c r="H65" s="1481">
        <f>F9A!V68</f>
        <v>35575</v>
      </c>
      <c r="I65" s="529">
        <f t="shared" si="1"/>
        <v>4.1475907972796993</v>
      </c>
      <c r="J65" s="981">
        <f>F9A!W68</f>
        <v>254.119</v>
      </c>
      <c r="K65" s="529">
        <f t="shared" si="2"/>
        <v>12.140503833678997</v>
      </c>
      <c r="L65" s="515"/>
      <c r="M65" s="515"/>
      <c r="N65" s="1481">
        <f>'F9'!Q67</f>
        <v>7112</v>
      </c>
      <c r="O65" s="529">
        <f t="shared" si="3"/>
        <v>3</v>
      </c>
      <c r="P65" s="1481">
        <f>'F9'!R67</f>
        <v>70001.029781826481</v>
      </c>
      <c r="Q65" s="529">
        <f t="shared" si="4"/>
        <v>0.96770287510404729</v>
      </c>
      <c r="R65" s="528">
        <f>'F9'!S67</f>
        <v>508.238</v>
      </c>
      <c r="S65" s="529">
        <f t="shared" si="5"/>
        <v>1</v>
      </c>
      <c r="T65" s="528"/>
      <c r="U65" s="529"/>
      <c r="V65" s="1481">
        <f>'F9'!V67</f>
        <v>9743.44</v>
      </c>
      <c r="W65" s="529">
        <f t="shared" si="6"/>
        <v>0.37000000000000005</v>
      </c>
      <c r="X65" s="981">
        <f>'F9'!W67</f>
        <v>95901.410801102291</v>
      </c>
      <c r="Y65" s="529">
        <f t="shared" si="7"/>
        <v>0.37000000000000016</v>
      </c>
      <c r="Z65" s="528">
        <f>'F9'!X67</f>
        <v>660.70940000000007</v>
      </c>
      <c r="AA65" s="529">
        <f t="shared" si="8"/>
        <v>0.30000000000000016</v>
      </c>
      <c r="AB65" s="516"/>
      <c r="AC65" s="516"/>
    </row>
    <row r="66" spans="1:29">
      <c r="A66" s="1378" t="s">
        <v>1099</v>
      </c>
      <c r="B66" s="1478">
        <f>F9A!R69</f>
        <v>473</v>
      </c>
      <c r="C66" s="1494">
        <f>F9A!S69</f>
        <v>6911</v>
      </c>
      <c r="D66" s="1480">
        <f>F9A!T69</f>
        <v>19.338604</v>
      </c>
      <c r="E66" s="515"/>
      <c r="F66" s="527">
        <f>F9A!U69</f>
        <v>1778</v>
      </c>
      <c r="G66" s="529">
        <f t="shared" si="0"/>
        <v>2.7589852008456659</v>
      </c>
      <c r="H66" s="1481">
        <f>F9A!V69</f>
        <v>35575</v>
      </c>
      <c r="I66" s="529">
        <f t="shared" si="1"/>
        <v>4.1475907972796993</v>
      </c>
      <c r="J66" s="981">
        <f>F9A!W69</f>
        <v>254.119</v>
      </c>
      <c r="K66" s="529">
        <f t="shared" si="2"/>
        <v>12.140503833678997</v>
      </c>
      <c r="L66" s="515"/>
      <c r="M66" s="515"/>
      <c r="N66" s="1481">
        <f>'F9'!Q68</f>
        <v>7112</v>
      </c>
      <c r="O66" s="529">
        <f t="shared" si="3"/>
        <v>3</v>
      </c>
      <c r="P66" s="1481">
        <f>'F9'!R68</f>
        <v>70001.029781826481</v>
      </c>
      <c r="Q66" s="529">
        <f t="shared" si="4"/>
        <v>0.96770287510404729</v>
      </c>
      <c r="R66" s="528">
        <f>'F9'!S68</f>
        <v>508.238</v>
      </c>
      <c r="S66" s="529">
        <f t="shared" si="5"/>
        <v>1</v>
      </c>
      <c r="T66" s="528"/>
      <c r="U66" s="529"/>
      <c r="V66" s="1481">
        <f>'F9'!V68</f>
        <v>9743.44</v>
      </c>
      <c r="W66" s="529">
        <f t="shared" si="6"/>
        <v>0.37000000000000005</v>
      </c>
      <c r="X66" s="981">
        <f>'F9'!W68</f>
        <v>95901.410801102291</v>
      </c>
      <c r="Y66" s="529">
        <f t="shared" si="7"/>
        <v>0.37000000000000016</v>
      </c>
      <c r="Z66" s="528">
        <f>'F9'!X68</f>
        <v>660.70940000000007</v>
      </c>
      <c r="AA66" s="529">
        <f t="shared" si="8"/>
        <v>0.30000000000000016</v>
      </c>
      <c r="AB66" s="515"/>
      <c r="AC66" s="516"/>
    </row>
    <row r="67" spans="1:29">
      <c r="A67" s="1377" t="s">
        <v>1404</v>
      </c>
      <c r="B67" s="1478">
        <f>F9A!R70</f>
        <v>11123</v>
      </c>
      <c r="C67" s="1494">
        <f>F9A!S70</f>
        <v>197798</v>
      </c>
      <c r="D67" s="1480">
        <f>F9A!T70</f>
        <v>987.378828</v>
      </c>
      <c r="E67" s="514"/>
      <c r="F67" s="527">
        <f>F9A!U70</f>
        <v>10048</v>
      </c>
      <c r="G67" s="529">
        <f t="shared" si="0"/>
        <v>-9.6646588150678781E-2</v>
      </c>
      <c r="H67" s="1481">
        <f>F9A!V70</f>
        <v>187508</v>
      </c>
      <c r="I67" s="529">
        <f t="shared" si="1"/>
        <v>-5.2022770705467195E-2</v>
      </c>
      <c r="J67" s="981">
        <f>F9A!W70</f>
        <v>859.07</v>
      </c>
      <c r="K67" s="529">
        <f t="shared" si="2"/>
        <v>-0.12994893587084283</v>
      </c>
      <c r="L67" s="515"/>
      <c r="M67" s="515"/>
      <c r="N67" s="1481">
        <f>'F9'!Q69</f>
        <v>5024</v>
      </c>
      <c r="O67" s="529">
        <f t="shared" si="3"/>
        <v>-0.5</v>
      </c>
      <c r="P67" s="1481">
        <f>'F9'!R69</f>
        <v>93754</v>
      </c>
      <c r="Q67" s="529">
        <f t="shared" si="4"/>
        <v>-0.5</v>
      </c>
      <c r="R67" s="528">
        <f>'F9'!S69</f>
        <v>644.30177472000003</v>
      </c>
      <c r="S67" s="529">
        <f t="shared" si="5"/>
        <v>-0.25000084426181801</v>
      </c>
      <c r="T67" s="528"/>
      <c r="U67" s="529"/>
      <c r="V67" s="1481">
        <f>'F9'!V69</f>
        <v>2512</v>
      </c>
      <c r="W67" s="529">
        <f t="shared" si="6"/>
        <v>-0.5</v>
      </c>
      <c r="X67" s="981">
        <f>'F9'!W69</f>
        <v>46877</v>
      </c>
      <c r="Y67" s="529">
        <f t="shared" si="7"/>
        <v>-0.5</v>
      </c>
      <c r="Z67" s="528">
        <f>'F9'!X69</f>
        <v>322.15088736000001</v>
      </c>
      <c r="AA67" s="529">
        <f t="shared" si="8"/>
        <v>-0.5</v>
      </c>
      <c r="AB67" s="515"/>
      <c r="AC67" s="516"/>
    </row>
    <row r="68" spans="1:29">
      <c r="A68" s="1378" t="s">
        <v>1405</v>
      </c>
      <c r="B68" s="1478">
        <f>F9A!R71</f>
        <v>11090</v>
      </c>
      <c r="C68" s="1494">
        <f>F9A!S71</f>
        <v>190122</v>
      </c>
      <c r="D68" s="1480">
        <f>F9A!T71</f>
        <v>947.30200600000001</v>
      </c>
      <c r="E68" s="514"/>
      <c r="F68" s="527">
        <f>F9A!U71</f>
        <v>9930</v>
      </c>
      <c r="G68" s="529">
        <f t="shared" si="0"/>
        <v>-0.10459873760144274</v>
      </c>
      <c r="H68" s="1481">
        <f>F9A!V71</f>
        <v>179416</v>
      </c>
      <c r="I68" s="529">
        <f t="shared" si="1"/>
        <v>-5.6311210696289749E-2</v>
      </c>
      <c r="J68" s="981">
        <f>F9A!W71</f>
        <v>848.98</v>
      </c>
      <c r="K68" s="529">
        <f t="shared" si="2"/>
        <v>-0.10379161595483836</v>
      </c>
      <c r="L68" s="515"/>
      <c r="M68" s="515"/>
      <c r="N68" s="1481">
        <f>'F9'!Q70</f>
        <v>4965</v>
      </c>
      <c r="O68" s="529">
        <f t="shared" si="3"/>
        <v>-0.5</v>
      </c>
      <c r="P68" s="1481">
        <f>'F9'!R70</f>
        <v>89708</v>
      </c>
      <c r="Q68" s="529">
        <f t="shared" si="4"/>
        <v>-0.5</v>
      </c>
      <c r="R68" s="528">
        <f>'F9'!S70</f>
        <v>636.73533270000007</v>
      </c>
      <c r="S68" s="529">
        <f t="shared" si="5"/>
        <v>-0.24999960811797681</v>
      </c>
      <c r="T68" s="528"/>
      <c r="U68" s="529"/>
      <c r="V68" s="1481">
        <f>'F9'!V70</f>
        <v>2482.5</v>
      </c>
      <c r="W68" s="529">
        <f t="shared" si="6"/>
        <v>-0.5</v>
      </c>
      <c r="X68" s="981">
        <f>'F9'!W70</f>
        <v>44854</v>
      </c>
      <c r="Y68" s="529">
        <f t="shared" si="7"/>
        <v>-0.5</v>
      </c>
      <c r="Z68" s="528">
        <f>'F9'!X70</f>
        <v>318.36766635000004</v>
      </c>
      <c r="AA68" s="529">
        <f t="shared" si="8"/>
        <v>-0.5</v>
      </c>
      <c r="AB68" s="515"/>
      <c r="AC68" s="516"/>
    </row>
    <row r="69" spans="1:29">
      <c r="A69" s="1378" t="s">
        <v>1101</v>
      </c>
      <c r="B69" s="1478">
        <f>F9A!R72</f>
        <v>33</v>
      </c>
      <c r="C69" s="1494">
        <f>F9A!S72</f>
        <v>7676</v>
      </c>
      <c r="D69" s="1480">
        <f>F9A!T72</f>
        <v>40.076822</v>
      </c>
      <c r="E69" s="514"/>
      <c r="F69" s="527">
        <f>F9A!U72</f>
        <v>118</v>
      </c>
      <c r="G69" s="529">
        <f t="shared" si="0"/>
        <v>2.5757575757575757</v>
      </c>
      <c r="H69" s="1481">
        <f>F9A!V72</f>
        <v>8092</v>
      </c>
      <c r="I69" s="529">
        <f t="shared" si="1"/>
        <v>5.419489317352788E-2</v>
      </c>
      <c r="J69" s="981">
        <f>F9A!W72</f>
        <v>10.09</v>
      </c>
      <c r="K69" s="529">
        <f t="shared" si="2"/>
        <v>-0.74823353009377835</v>
      </c>
      <c r="L69" s="515"/>
      <c r="M69" s="515"/>
      <c r="N69" s="1481">
        <f>'F9'!Q71</f>
        <v>59</v>
      </c>
      <c r="O69" s="529">
        <f t="shared" si="3"/>
        <v>-0.5</v>
      </c>
      <c r="P69" s="1481">
        <f>'F9'!R71</f>
        <v>4046</v>
      </c>
      <c r="Q69" s="529">
        <f t="shared" si="4"/>
        <v>-0.5</v>
      </c>
      <c r="R69" s="528">
        <f>'F9'!S71</f>
        <v>7.5664420199999993</v>
      </c>
      <c r="S69" s="529">
        <f t="shared" si="5"/>
        <v>-0.25010485431119928</v>
      </c>
      <c r="T69" s="528"/>
      <c r="U69" s="529"/>
      <c r="V69" s="1481">
        <f>'F9'!V71</f>
        <v>29.5</v>
      </c>
      <c r="W69" s="529">
        <f t="shared" si="6"/>
        <v>-0.5</v>
      </c>
      <c r="X69" s="981">
        <f>'F9'!W71</f>
        <v>2023</v>
      </c>
      <c r="Y69" s="529">
        <f t="shared" si="7"/>
        <v>-0.5</v>
      </c>
      <c r="Z69" s="528">
        <f>'F9'!X71</f>
        <v>3.7832210099999997</v>
      </c>
      <c r="AA69" s="529">
        <f t="shared" si="8"/>
        <v>-0.5</v>
      </c>
      <c r="AB69" s="515"/>
      <c r="AC69" s="516"/>
    </row>
    <row r="70" spans="1:29">
      <c r="A70" s="1369" t="s">
        <v>1425</v>
      </c>
      <c r="B70" s="1478">
        <f>F9A!R73</f>
        <v>11596</v>
      </c>
      <c r="C70" s="1494">
        <f>F9A!S73</f>
        <v>204709</v>
      </c>
      <c r="D70" s="1480">
        <f>F9A!T73</f>
        <v>1006.717432</v>
      </c>
      <c r="E70" s="514"/>
      <c r="F70" s="527">
        <f>F9A!U73</f>
        <v>11826</v>
      </c>
      <c r="G70" s="529">
        <f t="shared" si="0"/>
        <v>1.9834425664022076E-2</v>
      </c>
      <c r="H70" s="1481">
        <f>F9A!V73</f>
        <v>223083</v>
      </c>
      <c r="I70" s="529">
        <f t="shared" si="1"/>
        <v>8.9756678993107283E-2</v>
      </c>
      <c r="J70" s="981">
        <f>F9A!W73</f>
        <v>1113.1890000000001</v>
      </c>
      <c r="K70" s="529">
        <f t="shared" si="2"/>
        <v>0.1057611248356729</v>
      </c>
      <c r="L70" s="515"/>
      <c r="M70" s="515"/>
      <c r="N70" s="1481">
        <f>'F9'!Q72</f>
        <v>12136</v>
      </c>
      <c r="O70" s="529">
        <f t="shared" si="3"/>
        <v>2.6213428039912057E-2</v>
      </c>
      <c r="P70" s="1481">
        <f>'F9'!R72</f>
        <v>163755.02978182648</v>
      </c>
      <c r="Q70" s="529">
        <f t="shared" si="4"/>
        <v>-0.26594572521515991</v>
      </c>
      <c r="R70" s="528">
        <f>'F9'!S72</f>
        <v>1152.53977472</v>
      </c>
      <c r="S70" s="529">
        <f t="shared" si="5"/>
        <v>3.5349589979778717E-2</v>
      </c>
      <c r="T70" s="528"/>
      <c r="U70" s="529"/>
      <c r="V70" s="1481">
        <f>'F9'!V72</f>
        <v>12255.44</v>
      </c>
      <c r="W70" s="529">
        <f t="shared" si="6"/>
        <v>9.8417930125247622E-3</v>
      </c>
      <c r="X70" s="981">
        <f>'F9'!W72</f>
        <v>142778.41080110229</v>
      </c>
      <c r="Y70" s="529">
        <f t="shared" si="7"/>
        <v>-0.12809755528530442</v>
      </c>
      <c r="Z70" s="528">
        <f>'F9'!X72</f>
        <v>982.86028736000003</v>
      </c>
      <c r="AA70" s="529">
        <f t="shared" si="8"/>
        <v>-0.14722224003177867</v>
      </c>
      <c r="AB70" s="515"/>
      <c r="AC70" s="516"/>
    </row>
    <row r="71" spans="1:29">
      <c r="A71" s="1369" t="s">
        <v>1446</v>
      </c>
      <c r="B71" s="1478"/>
      <c r="C71" s="1494">
        <f>F9A!S74</f>
        <v>204709</v>
      </c>
      <c r="D71" s="1480">
        <f>F9A!T74</f>
        <v>1006.717432</v>
      </c>
      <c r="E71" s="514"/>
      <c r="F71" s="527">
        <f>F9A!U74</f>
        <v>11826</v>
      </c>
      <c r="G71" s="529"/>
      <c r="H71" s="1481"/>
      <c r="I71" s="529"/>
      <c r="J71" s="981"/>
      <c r="K71" s="529"/>
      <c r="L71" s="515"/>
      <c r="M71" s="515"/>
      <c r="N71" s="1481"/>
      <c r="O71" s="529"/>
      <c r="P71" s="1481"/>
      <c r="Q71" s="529"/>
      <c r="R71" s="528">
        <f>'F9'!S73</f>
        <v>1152.53977472</v>
      </c>
      <c r="S71" s="529"/>
      <c r="T71" s="528"/>
      <c r="U71" s="529"/>
      <c r="V71" s="1481"/>
      <c r="W71" s="529"/>
      <c r="X71" s="981"/>
      <c r="Y71" s="529"/>
      <c r="Z71" s="528"/>
      <c r="AA71" s="529"/>
      <c r="AB71" s="516"/>
      <c r="AC71" s="516"/>
    </row>
    <row r="72" spans="1:29">
      <c r="A72" s="1367" t="s">
        <v>1406</v>
      </c>
      <c r="B72" s="1478">
        <f>F9A!R75</f>
        <v>0</v>
      </c>
      <c r="C72" s="1494">
        <f>F9A!S75</f>
        <v>0</v>
      </c>
      <c r="D72" s="1480">
        <f>F9A!T75</f>
        <v>0</v>
      </c>
      <c r="E72" s="515"/>
      <c r="F72" s="527">
        <f>F9A!U75</f>
        <v>0</v>
      </c>
      <c r="G72" s="529">
        <f t="shared" si="0"/>
        <v>0</v>
      </c>
      <c r="H72" s="1481">
        <f>F9A!V75</f>
        <v>0</v>
      </c>
      <c r="I72" s="529">
        <f t="shared" si="1"/>
        <v>0</v>
      </c>
      <c r="J72" s="981">
        <f>F9A!W75</f>
        <v>0</v>
      </c>
      <c r="K72" s="529">
        <f t="shared" si="2"/>
        <v>0</v>
      </c>
      <c r="L72" s="515"/>
      <c r="M72" s="515"/>
      <c r="N72" s="1481">
        <f>'F9'!Q74</f>
        <v>0</v>
      </c>
      <c r="O72" s="529">
        <f t="shared" si="3"/>
        <v>0</v>
      </c>
      <c r="P72" s="1481">
        <f>'F9'!R74</f>
        <v>0</v>
      </c>
      <c r="Q72" s="529">
        <f t="shared" si="4"/>
        <v>0</v>
      </c>
      <c r="R72" s="528">
        <f>'F9'!S74</f>
        <v>0</v>
      </c>
      <c r="S72" s="529">
        <f t="shared" si="5"/>
        <v>0</v>
      </c>
      <c r="T72" s="528"/>
      <c r="U72" s="529"/>
      <c r="V72" s="1481">
        <f>'F9'!V74</f>
        <v>0</v>
      </c>
      <c r="W72" s="529">
        <f t="shared" si="6"/>
        <v>0</v>
      </c>
      <c r="X72" s="981">
        <f>'F9'!W74</f>
        <v>0</v>
      </c>
      <c r="Y72" s="529">
        <f t="shared" si="7"/>
        <v>0</v>
      </c>
      <c r="Z72" s="528">
        <f>'F9'!X74</f>
        <v>0</v>
      </c>
      <c r="AA72" s="529">
        <f t="shared" si="8"/>
        <v>0</v>
      </c>
      <c r="AB72" s="515"/>
      <c r="AC72" s="516"/>
    </row>
    <row r="73" spans="1:29">
      <c r="A73" s="1377" t="s">
        <v>476</v>
      </c>
      <c r="B73" s="1478">
        <f>F9A!R76</f>
        <v>282</v>
      </c>
      <c r="C73" s="1494">
        <f>F9A!S76</f>
        <v>3628</v>
      </c>
      <c r="D73" s="1480">
        <f>F9A!T76</f>
        <v>1.427305</v>
      </c>
      <c r="E73" s="514"/>
      <c r="F73" s="527">
        <f>F9A!U76</f>
        <v>2083</v>
      </c>
      <c r="G73" s="529">
        <f t="shared" si="0"/>
        <v>6.3865248226950353</v>
      </c>
      <c r="H73" s="1481">
        <f>F9A!V76</f>
        <v>4773</v>
      </c>
      <c r="I73" s="529">
        <f t="shared" si="1"/>
        <v>0.31560088202866593</v>
      </c>
      <c r="J73" s="981">
        <f>F9A!W76</f>
        <v>8.1859999999999999</v>
      </c>
      <c r="K73" s="529">
        <f t="shared" si="2"/>
        <v>4.7352843295581524</v>
      </c>
      <c r="L73" s="515"/>
      <c r="M73" s="515"/>
      <c r="N73" s="1481">
        <f>'F9'!Q75</f>
        <v>2103.83</v>
      </c>
      <c r="O73" s="529">
        <f t="shared" si="3"/>
        <v>9.9999999999999655E-3</v>
      </c>
      <c r="P73" s="1481">
        <f>'F9'!R75</f>
        <v>4820.7300000000005</v>
      </c>
      <c r="Q73" s="529">
        <f t="shared" si="4"/>
        <v>1.0000000000000099E-2</v>
      </c>
      <c r="R73" s="528">
        <f>'F9'!S75</f>
        <v>8.8546666666666667</v>
      </c>
      <c r="S73" s="529">
        <f t="shared" si="5"/>
        <v>8.1684176235849837E-2</v>
      </c>
      <c r="T73" s="528"/>
      <c r="U73" s="529"/>
      <c r="V73" s="1481">
        <f>'F9'!V75</f>
        <v>2166.9449000000004</v>
      </c>
      <c r="W73" s="529">
        <f t="shared" si="6"/>
        <v>3.0000000000000235E-2</v>
      </c>
      <c r="X73" s="981">
        <f>'F9'!W75</f>
        <v>4965.3519000000006</v>
      </c>
      <c r="Y73" s="529">
        <f t="shared" si="7"/>
        <v>3.0000000000000016E-2</v>
      </c>
      <c r="Z73" s="528">
        <f>'F9'!X75</f>
        <v>9.1203066666666661</v>
      </c>
      <c r="AA73" s="529">
        <f t="shared" si="8"/>
        <v>2.9999999999999936E-2</v>
      </c>
      <c r="AB73" s="515"/>
      <c r="AC73" s="516"/>
    </row>
    <row r="74" spans="1:29">
      <c r="A74" s="1378" t="s">
        <v>1104</v>
      </c>
      <c r="B74" s="1478">
        <f>F9A!R77</f>
        <v>174</v>
      </c>
      <c r="C74" s="1494">
        <f>F9A!S77</f>
        <v>315</v>
      </c>
      <c r="D74" s="1480">
        <f>F9A!T77</f>
        <v>1.427305</v>
      </c>
      <c r="E74" s="514"/>
      <c r="F74" s="527">
        <f>F9A!U77</f>
        <v>969</v>
      </c>
      <c r="G74" s="529">
        <f t="shared" ref="G74:G124" si="9">IFERROR((F74-B74)/B74,0)</f>
        <v>4.568965517241379</v>
      </c>
      <c r="H74" s="1481">
        <f>F9A!V77</f>
        <v>1714</v>
      </c>
      <c r="I74" s="529">
        <f t="shared" si="1"/>
        <v>4.4412698412698415</v>
      </c>
      <c r="J74" s="981">
        <f>F9A!W77</f>
        <v>2.113</v>
      </c>
      <c r="K74" s="529">
        <f t="shared" si="2"/>
        <v>0.48041238557981647</v>
      </c>
      <c r="L74" s="515"/>
      <c r="M74" s="515"/>
      <c r="N74" s="1481">
        <f>'F9'!Q76</f>
        <v>978.69</v>
      </c>
      <c r="O74" s="529">
        <f t="shared" si="3"/>
        <v>1.0000000000000056E-2</v>
      </c>
      <c r="P74" s="1481">
        <f>'F9'!R76</f>
        <v>1731.14</v>
      </c>
      <c r="Q74" s="529">
        <f t="shared" si="4"/>
        <v>1.0000000000000059E-2</v>
      </c>
      <c r="R74" s="528">
        <f>'F9'!S76</f>
        <v>3.8279999999999998</v>
      </c>
      <c r="S74" s="529">
        <f t="shared" si="5"/>
        <v>0.81164221486038801</v>
      </c>
      <c r="T74" s="528"/>
      <c r="U74" s="529"/>
      <c r="V74" s="1481">
        <f>'F9'!V76</f>
        <v>1008.0507000000001</v>
      </c>
      <c r="W74" s="529">
        <f t="shared" si="6"/>
        <v>3.0000000000000065E-2</v>
      </c>
      <c r="X74" s="981">
        <f>'F9'!W76</f>
        <v>1783.0742000000002</v>
      </c>
      <c r="Y74" s="529">
        <f t="shared" si="7"/>
        <v>3.0000000000000082E-2</v>
      </c>
      <c r="Z74" s="528">
        <f>'F9'!X76</f>
        <v>3.9428399999999999</v>
      </c>
      <c r="AA74" s="529">
        <f t="shared" si="8"/>
        <v>3.0000000000000016E-2</v>
      </c>
      <c r="AB74" s="515"/>
      <c r="AC74" s="516"/>
    </row>
    <row r="75" spans="1:29">
      <c r="A75" s="1378" t="s">
        <v>1105</v>
      </c>
      <c r="B75" s="1478">
        <f>F9A!R78</f>
        <v>108</v>
      </c>
      <c r="C75" s="1494">
        <f>F9A!S78</f>
        <v>3313</v>
      </c>
      <c r="D75" s="1480">
        <f>F9A!T78</f>
        <v>0</v>
      </c>
      <c r="E75" s="514"/>
      <c r="F75" s="527">
        <f>F9A!U78</f>
        <v>1114</v>
      </c>
      <c r="G75" s="529">
        <f t="shared" si="9"/>
        <v>9.3148148148148149</v>
      </c>
      <c r="H75" s="1481">
        <f>F9A!V78</f>
        <v>3059</v>
      </c>
      <c r="I75" s="529">
        <f t="shared" ref="I75:I124" si="10">IFERROR((H75-C75)/C75,0)</f>
        <v>-7.6667672804105039E-2</v>
      </c>
      <c r="J75" s="981">
        <f>F9A!W78</f>
        <v>6.0730000000000004</v>
      </c>
      <c r="K75" s="529">
        <f t="shared" ref="K75:K124" si="11">IFERROR((J75-D75)/D75,0)</f>
        <v>0</v>
      </c>
      <c r="L75" s="515"/>
      <c r="M75" s="515"/>
      <c r="N75" s="1481">
        <f>'F9'!Q77</f>
        <v>1125.1400000000001</v>
      </c>
      <c r="O75" s="529">
        <f t="shared" ref="O75:O124" si="12">IFERROR((N75-F75)/F75,0)</f>
        <v>1.000000000000009E-2</v>
      </c>
      <c r="P75" s="1481">
        <f>'F9'!R77</f>
        <v>3089.59</v>
      </c>
      <c r="Q75" s="529">
        <f t="shared" ref="Q75:Q124" si="13">IFERROR((P75-H75)/H75,0)</f>
        <v>1.0000000000000047E-2</v>
      </c>
      <c r="R75" s="528">
        <f>'F9'!S77</f>
        <v>5.0266666666666664</v>
      </c>
      <c r="S75" s="529">
        <f t="shared" ref="S75:S124" si="14">IFERROR((R75-J75)/J75,0)</f>
        <v>-0.17229266150721784</v>
      </c>
      <c r="T75" s="528"/>
      <c r="U75" s="529"/>
      <c r="V75" s="1481">
        <f>'F9'!V77</f>
        <v>1158.8942000000002</v>
      </c>
      <c r="W75" s="529">
        <f t="shared" ref="W75:W124" si="15">IFERROR((V75-N75)/N75,0)</f>
        <v>3.0000000000000072E-2</v>
      </c>
      <c r="X75" s="981">
        <f>'F9'!W77</f>
        <v>3182.2777000000001</v>
      </c>
      <c r="Y75" s="529">
        <f t="shared" ref="Y75:Y124" si="16">IFERROR((X75-P75)/P75,0)</f>
        <v>2.9999999999999982E-2</v>
      </c>
      <c r="Z75" s="528">
        <f>'F9'!X77</f>
        <v>5.1774666666666667</v>
      </c>
      <c r="AA75" s="529">
        <f t="shared" ref="AA75:AA124" si="17">IFERROR((Z75-R75)/R75,0)</f>
        <v>3.0000000000000054E-2</v>
      </c>
      <c r="AB75" s="515"/>
      <c r="AC75" s="516"/>
    </row>
    <row r="76" spans="1:29">
      <c r="A76" s="1377" t="s">
        <v>1404</v>
      </c>
      <c r="B76" s="1478">
        <f>F9A!R79</f>
        <v>0</v>
      </c>
      <c r="C76" s="1494">
        <f>F9A!S79</f>
        <v>0</v>
      </c>
      <c r="D76" s="1480">
        <f>F9A!T79</f>
        <v>0</v>
      </c>
      <c r="E76" s="514"/>
      <c r="F76" s="527">
        <f>F9A!U79</f>
        <v>10</v>
      </c>
      <c r="G76" s="529">
        <f t="shared" si="9"/>
        <v>0</v>
      </c>
      <c r="H76" s="1481">
        <f>F9A!V79</f>
        <v>19.2</v>
      </c>
      <c r="I76" s="529">
        <f t="shared" si="10"/>
        <v>0</v>
      </c>
      <c r="J76" s="981">
        <f>F9A!W79</f>
        <v>5.1000000000000004E-2</v>
      </c>
      <c r="K76" s="529">
        <f t="shared" si="11"/>
        <v>0</v>
      </c>
      <c r="L76" s="515"/>
      <c r="M76" s="515"/>
      <c r="N76" s="1481">
        <f>'F9'!Q78</f>
        <v>5</v>
      </c>
      <c r="O76" s="529">
        <f t="shared" si="12"/>
        <v>-0.5</v>
      </c>
      <c r="P76" s="1481">
        <f>'F9'!R78</f>
        <v>10.81</v>
      </c>
      <c r="Q76" s="529">
        <f t="shared" si="13"/>
        <v>-0.43697916666666664</v>
      </c>
      <c r="R76" s="528">
        <f>'F9'!S78</f>
        <v>0.16133333333333333</v>
      </c>
      <c r="S76" s="529">
        <f t="shared" si="14"/>
        <v>2.1633986928104574</v>
      </c>
      <c r="T76" s="528"/>
      <c r="U76" s="529"/>
      <c r="V76" s="1481">
        <f>'F9'!V78</f>
        <v>2.5</v>
      </c>
      <c r="W76" s="529">
        <f t="shared" si="15"/>
        <v>-0.5</v>
      </c>
      <c r="X76" s="981">
        <f>'F9'!W78</f>
        <v>6.5600000000000005</v>
      </c>
      <c r="Y76" s="529">
        <f t="shared" si="16"/>
        <v>-0.39315448658649399</v>
      </c>
      <c r="Z76" s="528">
        <f>'F9'!X78</f>
        <v>0.16133333333333333</v>
      </c>
      <c r="AA76" s="529">
        <f t="shared" si="17"/>
        <v>0</v>
      </c>
      <c r="AB76" s="515"/>
      <c r="AC76" s="516"/>
    </row>
    <row r="77" spans="1:29">
      <c r="A77" s="1378" t="s">
        <v>1106</v>
      </c>
      <c r="B77" s="1478">
        <f>F9A!R80</f>
        <v>0</v>
      </c>
      <c r="C77" s="1494">
        <f>F9A!S80</f>
        <v>0</v>
      </c>
      <c r="D77" s="1480">
        <f>F9A!T80</f>
        <v>0</v>
      </c>
      <c r="E77" s="514"/>
      <c r="F77" s="527">
        <f>F9A!U80</f>
        <v>0</v>
      </c>
      <c r="G77" s="529">
        <f t="shared" si="9"/>
        <v>0</v>
      </c>
      <c r="H77" s="1481">
        <f>F9A!V80</f>
        <v>2.2000000000000002</v>
      </c>
      <c r="I77" s="529">
        <f t="shared" si="10"/>
        <v>0</v>
      </c>
      <c r="J77" s="981">
        <f>F9A!W80</f>
        <v>0.01</v>
      </c>
      <c r="K77" s="529">
        <f t="shared" si="11"/>
        <v>0</v>
      </c>
      <c r="L77" s="515"/>
      <c r="M77" s="515"/>
      <c r="N77" s="1481">
        <f>'F9'!Q79</f>
        <v>0</v>
      </c>
      <c r="O77" s="529">
        <f t="shared" si="12"/>
        <v>0</v>
      </c>
      <c r="P77" s="1481">
        <f>'F9'!R79</f>
        <v>2.3100000000000005</v>
      </c>
      <c r="Q77" s="529">
        <f t="shared" si="13"/>
        <v>5.0000000000000142E-2</v>
      </c>
      <c r="R77" s="528">
        <f>'F9'!S79</f>
        <v>0</v>
      </c>
      <c r="S77" s="529">
        <f t="shared" si="14"/>
        <v>-1</v>
      </c>
      <c r="T77" s="528"/>
      <c r="U77" s="529"/>
      <c r="V77" s="1481">
        <f>'F9'!V79</f>
        <v>0</v>
      </c>
      <c r="W77" s="529">
        <f t="shared" si="15"/>
        <v>0</v>
      </c>
      <c r="X77" s="981">
        <f>'F9'!W79</f>
        <v>2.3100000000000005</v>
      </c>
      <c r="Y77" s="529">
        <f t="shared" si="16"/>
        <v>0</v>
      </c>
      <c r="Z77" s="528">
        <f>'F9'!X79</f>
        <v>0</v>
      </c>
      <c r="AA77" s="529">
        <f t="shared" si="17"/>
        <v>0</v>
      </c>
      <c r="AB77" s="515"/>
      <c r="AC77" s="516"/>
    </row>
    <row r="78" spans="1:29">
      <c r="A78" s="1378" t="s">
        <v>1107</v>
      </c>
      <c r="B78" s="1478">
        <f>F9A!R81</f>
        <v>0</v>
      </c>
      <c r="C78" s="1494">
        <f>F9A!S81</f>
        <v>0</v>
      </c>
      <c r="D78" s="1480">
        <f>F9A!T81</f>
        <v>0</v>
      </c>
      <c r="E78" s="514"/>
      <c r="F78" s="527">
        <f>F9A!U81</f>
        <v>10</v>
      </c>
      <c r="G78" s="529">
        <f t="shared" si="9"/>
        <v>0</v>
      </c>
      <c r="H78" s="1481">
        <f>F9A!V81</f>
        <v>17</v>
      </c>
      <c r="I78" s="529">
        <f t="shared" si="10"/>
        <v>0</v>
      </c>
      <c r="J78" s="981">
        <f>F9A!W81</f>
        <v>4.1000000000000002E-2</v>
      </c>
      <c r="K78" s="529">
        <f t="shared" si="11"/>
        <v>0</v>
      </c>
      <c r="L78" s="515"/>
      <c r="M78" s="515"/>
      <c r="N78" s="1481">
        <f>'F9'!Q80</f>
        <v>5</v>
      </c>
      <c r="O78" s="529">
        <f t="shared" si="12"/>
        <v>-0.5</v>
      </c>
      <c r="P78" s="1481">
        <f>'F9'!R80</f>
        <v>8.5</v>
      </c>
      <c r="Q78" s="529">
        <f t="shared" si="13"/>
        <v>-0.5</v>
      </c>
      <c r="R78" s="528">
        <f>'F9'!S80</f>
        <v>0.16133333333333333</v>
      </c>
      <c r="S78" s="529">
        <f t="shared" si="14"/>
        <v>2.9349593495934956</v>
      </c>
      <c r="T78" s="528"/>
      <c r="U78" s="529"/>
      <c r="V78" s="1481">
        <f>'F9'!V80</f>
        <v>2.5</v>
      </c>
      <c r="W78" s="529">
        <f t="shared" si="15"/>
        <v>-0.5</v>
      </c>
      <c r="X78" s="981">
        <f>'F9'!W80</f>
        <v>4.25</v>
      </c>
      <c r="Y78" s="529">
        <f t="shared" si="16"/>
        <v>-0.5</v>
      </c>
      <c r="Z78" s="528">
        <f>'F9'!X80</f>
        <v>0.16133333333333333</v>
      </c>
      <c r="AA78" s="529">
        <f t="shared" si="17"/>
        <v>0</v>
      </c>
      <c r="AB78" s="515"/>
      <c r="AC78" s="516"/>
    </row>
    <row r="79" spans="1:29">
      <c r="A79" s="1369" t="s">
        <v>1425</v>
      </c>
      <c r="B79" s="1478">
        <f>F9A!R82</f>
        <v>282</v>
      </c>
      <c r="C79" s="1494">
        <f>F9A!S82</f>
        <v>3628</v>
      </c>
      <c r="D79" s="1480">
        <f>F9A!T82</f>
        <v>1.427305</v>
      </c>
      <c r="E79" s="514"/>
      <c r="F79" s="527">
        <f>F9A!U82</f>
        <v>2093</v>
      </c>
      <c r="G79" s="529">
        <f t="shared" si="9"/>
        <v>6.4219858156028371</v>
      </c>
      <c r="H79" s="1481">
        <f>F9A!V82</f>
        <v>4792.2</v>
      </c>
      <c r="I79" s="529">
        <f t="shared" si="10"/>
        <v>0.32089305402425572</v>
      </c>
      <c r="J79" s="981">
        <f>F9A!W82</f>
        <v>8.2370000000000001</v>
      </c>
      <c r="K79" s="529">
        <f t="shared" si="11"/>
        <v>4.7710160056890425</v>
      </c>
      <c r="L79" s="515"/>
      <c r="M79" s="515"/>
      <c r="N79" s="1481">
        <f>'F9'!Q81</f>
        <v>2108.83</v>
      </c>
      <c r="O79" s="529">
        <f t="shared" si="12"/>
        <v>7.5633062589583978E-3</v>
      </c>
      <c r="P79" s="1481">
        <f>'F9'!R81</f>
        <v>4831.5400000000009</v>
      </c>
      <c r="Q79" s="529">
        <f t="shared" si="13"/>
        <v>8.2091732398483063E-3</v>
      </c>
      <c r="R79" s="528">
        <f>'F9'!S81</f>
        <v>9.016</v>
      </c>
      <c r="S79" s="529">
        <f t="shared" si="14"/>
        <v>9.457326696612843E-2</v>
      </c>
      <c r="T79" s="528"/>
      <c r="U79" s="529"/>
      <c r="V79" s="1481">
        <f>'F9'!V81</f>
        <v>2169.4449000000004</v>
      </c>
      <c r="W79" s="529">
        <f t="shared" si="15"/>
        <v>2.8743379030078522E-2</v>
      </c>
      <c r="X79" s="981">
        <f>'F9'!W81</f>
        <v>4971.911900000001</v>
      </c>
      <c r="Y79" s="529">
        <f t="shared" si="16"/>
        <v>2.9053241823517983E-2</v>
      </c>
      <c r="Z79" s="528">
        <f>'F9'!X81</f>
        <v>9.2816399999999994</v>
      </c>
      <c r="AA79" s="529">
        <f t="shared" si="17"/>
        <v>2.9463176574977754E-2</v>
      </c>
      <c r="AB79" s="515"/>
      <c r="AC79" s="516"/>
    </row>
    <row r="80" spans="1:29">
      <c r="A80" s="1369" t="s">
        <v>1446</v>
      </c>
      <c r="B80" s="1478"/>
      <c r="C80" s="1494">
        <f>F9A!S83</f>
        <v>3628</v>
      </c>
      <c r="D80" s="1480">
        <f>F9A!T83</f>
        <v>1.427305</v>
      </c>
      <c r="E80" s="514"/>
      <c r="F80" s="527">
        <f>F9A!U83</f>
        <v>2093</v>
      </c>
      <c r="G80" s="529"/>
      <c r="H80" s="1481"/>
      <c r="I80" s="529"/>
      <c r="J80" s="981"/>
      <c r="K80" s="529"/>
      <c r="L80" s="515"/>
      <c r="M80" s="515"/>
      <c r="N80" s="1481"/>
      <c r="O80" s="529"/>
      <c r="P80" s="1481"/>
      <c r="Q80" s="529"/>
      <c r="R80" s="528">
        <f>'F9'!S82</f>
        <v>9.016</v>
      </c>
      <c r="S80" s="529"/>
      <c r="T80" s="528"/>
      <c r="U80" s="529"/>
      <c r="V80" s="1481"/>
      <c r="W80" s="529"/>
      <c r="X80" s="981"/>
      <c r="Y80" s="529"/>
      <c r="Z80" s="528"/>
      <c r="AA80" s="529"/>
      <c r="AB80" s="515"/>
      <c r="AC80" s="516"/>
    </row>
    <row r="81" spans="1:29">
      <c r="A81" s="1367" t="s">
        <v>1109</v>
      </c>
      <c r="B81" s="1478">
        <f>F9A!R84</f>
        <v>0</v>
      </c>
      <c r="C81" s="1494">
        <f>F9A!S84</f>
        <v>0</v>
      </c>
      <c r="D81" s="1480">
        <f>F9A!T84</f>
        <v>0</v>
      </c>
      <c r="E81" s="514"/>
      <c r="F81" s="527">
        <f>F9A!U84</f>
        <v>0</v>
      </c>
      <c r="G81" s="529">
        <f t="shared" si="9"/>
        <v>0</v>
      </c>
      <c r="H81" s="1481">
        <f>F9A!V84</f>
        <v>0</v>
      </c>
      <c r="I81" s="529">
        <f t="shared" si="10"/>
        <v>0</v>
      </c>
      <c r="J81" s="981">
        <f>F9A!W84</f>
        <v>0</v>
      </c>
      <c r="K81" s="529">
        <f t="shared" si="11"/>
        <v>0</v>
      </c>
      <c r="L81" s="515"/>
      <c r="M81" s="515"/>
      <c r="N81" s="1481">
        <f>'F9'!Q83</f>
        <v>0</v>
      </c>
      <c r="O81" s="529">
        <f t="shared" si="12"/>
        <v>0</v>
      </c>
      <c r="P81" s="1481">
        <f>'F9'!R83</f>
        <v>0</v>
      </c>
      <c r="Q81" s="529">
        <f t="shared" si="13"/>
        <v>0</v>
      </c>
      <c r="R81" s="528">
        <f>'F9'!S83</f>
        <v>0</v>
      </c>
      <c r="S81" s="529">
        <f t="shared" si="14"/>
        <v>0</v>
      </c>
      <c r="T81" s="528"/>
      <c r="U81" s="529"/>
      <c r="V81" s="1481">
        <f>'F9'!V83</f>
        <v>0</v>
      </c>
      <c r="W81" s="529">
        <f t="shared" si="15"/>
        <v>0</v>
      </c>
      <c r="X81" s="981">
        <f>'F9'!W83</f>
        <v>0</v>
      </c>
      <c r="Y81" s="529">
        <f t="shared" si="16"/>
        <v>0</v>
      </c>
      <c r="Z81" s="528">
        <f>'F9'!X83</f>
        <v>0</v>
      </c>
      <c r="AA81" s="529">
        <f t="shared" si="17"/>
        <v>0</v>
      </c>
      <c r="AB81" s="515"/>
      <c r="AC81" s="516"/>
    </row>
    <row r="82" spans="1:29">
      <c r="A82" s="1369" t="s">
        <v>1429</v>
      </c>
      <c r="B82" s="1478">
        <f>F9A!R85</f>
        <v>29407</v>
      </c>
      <c r="C82" s="1494">
        <f>F9A!S85</f>
        <v>97646</v>
      </c>
      <c r="D82" s="1480">
        <f>F9A!T85</f>
        <v>112.52633999999999</v>
      </c>
      <c r="E82" s="514"/>
      <c r="F82" s="527">
        <f>F9A!U85</f>
        <v>24995</v>
      </c>
      <c r="G82" s="529">
        <f t="shared" si="9"/>
        <v>-0.15003230523344782</v>
      </c>
      <c r="H82" s="1481">
        <f>F9A!V85</f>
        <v>87418</v>
      </c>
      <c r="I82" s="529">
        <f t="shared" si="10"/>
        <v>-0.104745714110153</v>
      </c>
      <c r="J82" s="981">
        <f>F9A!W85</f>
        <v>105.14700000000001</v>
      </c>
      <c r="K82" s="529">
        <f t="shared" si="11"/>
        <v>-6.5578779155173669E-2</v>
      </c>
      <c r="L82" s="515"/>
      <c r="M82" s="515"/>
      <c r="N82" s="1481">
        <f>'F9'!Q84</f>
        <v>25494.9</v>
      </c>
      <c r="O82" s="529">
        <f t="shared" si="12"/>
        <v>2.0000000000000059E-2</v>
      </c>
      <c r="P82" s="1481">
        <f>'F9'!R84</f>
        <v>89166.36</v>
      </c>
      <c r="Q82" s="529">
        <f t="shared" si="13"/>
        <v>2.0000000000000007E-2</v>
      </c>
      <c r="R82" s="528">
        <f>'F9'!S84</f>
        <v>106.61333333333333</v>
      </c>
      <c r="S82" s="529">
        <f t="shared" si="14"/>
        <v>1.3945555587257116E-2</v>
      </c>
      <c r="T82" s="528"/>
      <c r="U82" s="529"/>
      <c r="V82" s="1481">
        <f>'F9'!V84</f>
        <v>26004.798000000003</v>
      </c>
      <c r="W82" s="529">
        <f t="shared" si="15"/>
        <v>2.0000000000000039E-2</v>
      </c>
      <c r="X82" s="981">
        <f>'F9'!W84</f>
        <v>90949.6872</v>
      </c>
      <c r="Y82" s="529">
        <f t="shared" si="16"/>
        <v>1.9999999999999997E-2</v>
      </c>
      <c r="Z82" s="528">
        <f>'F9'!X84</f>
        <v>108.7456</v>
      </c>
      <c r="AA82" s="529">
        <f t="shared" si="17"/>
        <v>1.9999999999999997E-2</v>
      </c>
      <c r="AB82" s="515"/>
      <c r="AC82" s="516"/>
    </row>
    <row r="83" spans="1:29">
      <c r="A83" s="1369" t="s">
        <v>1446</v>
      </c>
      <c r="B83" s="1478"/>
      <c r="C83" s="1494">
        <f>F9A!S86</f>
        <v>97646</v>
      </c>
      <c r="D83" s="1480">
        <f>F9A!T86</f>
        <v>112.52633999999999</v>
      </c>
      <c r="E83" s="514"/>
      <c r="F83" s="527">
        <f>F9A!U86</f>
        <v>24995</v>
      </c>
      <c r="G83" s="529"/>
      <c r="H83" s="1481"/>
      <c r="I83" s="529"/>
      <c r="J83" s="981"/>
      <c r="K83" s="529"/>
      <c r="L83" s="515"/>
      <c r="M83" s="515"/>
      <c r="N83" s="1481"/>
      <c r="O83" s="529"/>
      <c r="P83" s="1481"/>
      <c r="Q83" s="529"/>
      <c r="R83" s="528">
        <f>'F9'!S85</f>
        <v>106.61333333333333</v>
      </c>
      <c r="S83" s="529"/>
      <c r="T83" s="528"/>
      <c r="U83" s="529"/>
      <c r="V83" s="1481"/>
      <c r="W83" s="529"/>
      <c r="X83" s="981"/>
      <c r="Y83" s="529"/>
      <c r="Z83" s="528"/>
      <c r="AA83" s="529"/>
      <c r="AB83" s="515"/>
      <c r="AC83" s="516"/>
    </row>
    <row r="84" spans="1:29">
      <c r="A84" s="1367" t="s">
        <v>1407</v>
      </c>
      <c r="B84" s="1478">
        <f>F9A!R87</f>
        <v>0</v>
      </c>
      <c r="C84" s="1494">
        <f>F9A!S87</f>
        <v>0</v>
      </c>
      <c r="D84" s="1480">
        <f>F9A!T87</f>
        <v>0</v>
      </c>
      <c r="E84" s="514"/>
      <c r="F84" s="527">
        <f>F9A!U87</f>
        <v>0</v>
      </c>
      <c r="G84" s="529">
        <f t="shared" si="9"/>
        <v>0</v>
      </c>
      <c r="H84" s="1481">
        <f>F9A!V87</f>
        <v>0</v>
      </c>
      <c r="I84" s="529">
        <f t="shared" si="10"/>
        <v>0</v>
      </c>
      <c r="J84" s="981">
        <f>F9A!W87</f>
        <v>0</v>
      </c>
      <c r="K84" s="529">
        <f t="shared" si="11"/>
        <v>0</v>
      </c>
      <c r="L84" s="515"/>
      <c r="M84" s="515"/>
      <c r="N84" s="1481">
        <f>'F9'!Q86</f>
        <v>0</v>
      </c>
      <c r="O84" s="529">
        <f t="shared" si="12"/>
        <v>0</v>
      </c>
      <c r="P84" s="1481">
        <f>'F9'!R86</f>
        <v>0</v>
      </c>
      <c r="Q84" s="529">
        <f t="shared" si="13"/>
        <v>0</v>
      </c>
      <c r="R84" s="528">
        <f>'F9'!S86</f>
        <v>0</v>
      </c>
      <c r="S84" s="529">
        <f t="shared" si="14"/>
        <v>0</v>
      </c>
      <c r="T84" s="528"/>
      <c r="U84" s="529"/>
      <c r="V84" s="1481">
        <f>'F9'!V86</f>
        <v>0</v>
      </c>
      <c r="W84" s="529">
        <f t="shared" si="15"/>
        <v>0</v>
      </c>
      <c r="X84" s="981">
        <f>'F9'!W86</f>
        <v>0</v>
      </c>
      <c r="Y84" s="529">
        <f t="shared" si="16"/>
        <v>0</v>
      </c>
      <c r="Z84" s="528">
        <f>'F9'!X86</f>
        <v>0</v>
      </c>
      <c r="AA84" s="529">
        <f t="shared" si="17"/>
        <v>0</v>
      </c>
      <c r="AB84" s="515"/>
      <c r="AC84" s="516"/>
    </row>
    <row r="85" spans="1:29">
      <c r="A85" s="1377" t="s">
        <v>1146</v>
      </c>
      <c r="B85" s="1478">
        <f>F9A!R88</f>
        <v>0</v>
      </c>
      <c r="C85" s="1494">
        <f>F9A!S88</f>
        <v>0</v>
      </c>
      <c r="D85" s="1480">
        <f>F9A!T88</f>
        <v>0</v>
      </c>
      <c r="E85" s="514"/>
      <c r="F85" s="527">
        <f>F9A!U88</f>
        <v>0</v>
      </c>
      <c r="G85" s="529">
        <f t="shared" si="9"/>
        <v>0</v>
      </c>
      <c r="H85" s="1481">
        <f>F9A!V88</f>
        <v>0</v>
      </c>
      <c r="I85" s="529">
        <f t="shared" si="10"/>
        <v>0</v>
      </c>
      <c r="J85" s="981">
        <f>F9A!W88</f>
        <v>0</v>
      </c>
      <c r="K85" s="529">
        <f t="shared" si="11"/>
        <v>0</v>
      </c>
      <c r="L85" s="515"/>
      <c r="M85" s="515"/>
      <c r="N85" s="1481">
        <f>'F9'!Q87</f>
        <v>0</v>
      </c>
      <c r="O85" s="529">
        <f t="shared" si="12"/>
        <v>0</v>
      </c>
      <c r="P85" s="1481">
        <f>'F9'!R87</f>
        <v>0</v>
      </c>
      <c r="Q85" s="529">
        <f t="shared" si="13"/>
        <v>0</v>
      </c>
      <c r="R85" s="528">
        <f>'F9'!S87</f>
        <v>0</v>
      </c>
      <c r="S85" s="529">
        <f t="shared" si="14"/>
        <v>0</v>
      </c>
      <c r="T85" s="528"/>
      <c r="U85" s="529"/>
      <c r="V85" s="1481">
        <f>'F9'!V87</f>
        <v>0</v>
      </c>
      <c r="W85" s="529">
        <f t="shared" si="15"/>
        <v>0</v>
      </c>
      <c r="X85" s="981">
        <f>'F9'!W87</f>
        <v>0</v>
      </c>
      <c r="Y85" s="529">
        <f t="shared" si="16"/>
        <v>0</v>
      </c>
      <c r="Z85" s="528">
        <f>'F9'!X87</f>
        <v>0</v>
      </c>
      <c r="AA85" s="529">
        <f t="shared" si="17"/>
        <v>0</v>
      </c>
      <c r="AB85" s="515"/>
      <c r="AC85" s="516"/>
    </row>
    <row r="86" spans="1:29">
      <c r="A86" s="1378" t="s">
        <v>1408</v>
      </c>
      <c r="B86" s="1478">
        <f>F9A!R89</f>
        <v>0</v>
      </c>
      <c r="C86" s="1494">
        <f>F9A!S89</f>
        <v>0</v>
      </c>
      <c r="D86" s="1480">
        <f>F9A!T89</f>
        <v>0</v>
      </c>
      <c r="E86" s="514"/>
      <c r="F86" s="527">
        <f>F9A!U89</f>
        <v>0</v>
      </c>
      <c r="G86" s="529">
        <f t="shared" si="9"/>
        <v>0</v>
      </c>
      <c r="H86" s="1481">
        <f>F9A!V89</f>
        <v>0</v>
      </c>
      <c r="I86" s="529">
        <f t="shared" si="10"/>
        <v>0</v>
      </c>
      <c r="J86" s="981">
        <f>F9A!W89</f>
        <v>0</v>
      </c>
      <c r="K86" s="529">
        <f t="shared" si="11"/>
        <v>0</v>
      </c>
      <c r="L86" s="515"/>
      <c r="M86" s="515"/>
      <c r="N86" s="1481">
        <f>'F9'!Q88</f>
        <v>0</v>
      </c>
      <c r="O86" s="529">
        <f t="shared" si="12"/>
        <v>0</v>
      </c>
      <c r="P86" s="1481">
        <f>'F9'!R88</f>
        <v>0</v>
      </c>
      <c r="Q86" s="529">
        <f t="shared" si="13"/>
        <v>0</v>
      </c>
      <c r="R86" s="528">
        <f>'F9'!S88</f>
        <v>0</v>
      </c>
      <c r="S86" s="529">
        <f t="shared" si="14"/>
        <v>0</v>
      </c>
      <c r="T86" s="528"/>
      <c r="U86" s="529"/>
      <c r="V86" s="1481">
        <f>'F9'!V88</f>
        <v>0</v>
      </c>
      <c r="W86" s="529">
        <f t="shared" si="15"/>
        <v>0</v>
      </c>
      <c r="X86" s="981">
        <f>'F9'!W88</f>
        <v>0</v>
      </c>
      <c r="Y86" s="529">
        <f t="shared" si="16"/>
        <v>0</v>
      </c>
      <c r="Z86" s="528">
        <f>'F9'!X88</f>
        <v>0</v>
      </c>
      <c r="AA86" s="529">
        <f t="shared" si="17"/>
        <v>0</v>
      </c>
      <c r="AB86" s="515"/>
      <c r="AC86" s="516"/>
    </row>
    <row r="87" spans="1:29">
      <c r="A87" s="1378" t="s">
        <v>1409</v>
      </c>
      <c r="B87" s="1478">
        <f>F9A!R90</f>
        <v>0</v>
      </c>
      <c r="C87" s="1494">
        <f>F9A!S90</f>
        <v>0</v>
      </c>
      <c r="D87" s="1480">
        <f>F9A!T90</f>
        <v>0</v>
      </c>
      <c r="E87" s="514"/>
      <c r="F87" s="527">
        <f>F9A!U90</f>
        <v>0</v>
      </c>
      <c r="G87" s="529">
        <f t="shared" si="9"/>
        <v>0</v>
      </c>
      <c r="H87" s="1481">
        <f>F9A!V90</f>
        <v>0</v>
      </c>
      <c r="I87" s="529">
        <f t="shared" si="10"/>
        <v>0</v>
      </c>
      <c r="J87" s="981">
        <f>F9A!W90</f>
        <v>0</v>
      </c>
      <c r="K87" s="529">
        <f t="shared" si="11"/>
        <v>0</v>
      </c>
      <c r="L87" s="515"/>
      <c r="M87" s="515"/>
      <c r="N87" s="1481">
        <f>'F9'!Q89</f>
        <v>0</v>
      </c>
      <c r="O87" s="529">
        <f t="shared" si="12"/>
        <v>0</v>
      </c>
      <c r="P87" s="1481">
        <f>'F9'!R89</f>
        <v>0</v>
      </c>
      <c r="Q87" s="529">
        <f t="shared" si="13"/>
        <v>0</v>
      </c>
      <c r="R87" s="528">
        <f>'F9'!S89</f>
        <v>0</v>
      </c>
      <c r="S87" s="529">
        <f t="shared" si="14"/>
        <v>0</v>
      </c>
      <c r="T87" s="528"/>
      <c r="U87" s="529"/>
      <c r="V87" s="1481">
        <f>'F9'!V89</f>
        <v>0</v>
      </c>
      <c r="W87" s="529">
        <f t="shared" si="15"/>
        <v>0</v>
      </c>
      <c r="X87" s="981">
        <f>'F9'!W89</f>
        <v>0</v>
      </c>
      <c r="Y87" s="529">
        <f t="shared" si="16"/>
        <v>0</v>
      </c>
      <c r="Z87" s="528">
        <f>'F9'!X89</f>
        <v>0</v>
      </c>
      <c r="AA87" s="529">
        <f t="shared" si="17"/>
        <v>0</v>
      </c>
      <c r="AB87" s="515"/>
      <c r="AC87" s="516"/>
    </row>
    <row r="88" spans="1:29">
      <c r="A88" s="1377" t="s">
        <v>1410</v>
      </c>
      <c r="B88" s="1478">
        <f>F9A!R91</f>
        <v>0</v>
      </c>
      <c r="C88" s="1494">
        <f>F9A!S91</f>
        <v>0</v>
      </c>
      <c r="D88" s="1480">
        <f>F9A!T91</f>
        <v>0</v>
      </c>
      <c r="E88" s="514"/>
      <c r="F88" s="527">
        <f>F9A!U91</f>
        <v>0</v>
      </c>
      <c r="G88" s="529">
        <f t="shared" si="9"/>
        <v>0</v>
      </c>
      <c r="H88" s="1481">
        <f>F9A!V91</f>
        <v>0</v>
      </c>
      <c r="I88" s="529">
        <f t="shared" si="10"/>
        <v>0</v>
      </c>
      <c r="J88" s="981">
        <f>F9A!W91</f>
        <v>0</v>
      </c>
      <c r="K88" s="529">
        <f t="shared" si="11"/>
        <v>0</v>
      </c>
      <c r="L88" s="515"/>
      <c r="M88" s="515"/>
      <c r="N88" s="1481">
        <f>'F9'!Q90</f>
        <v>6</v>
      </c>
      <c r="O88" s="529">
        <f t="shared" si="12"/>
        <v>0</v>
      </c>
      <c r="P88" s="1481">
        <f>'F9'!R90</f>
        <v>24</v>
      </c>
      <c r="Q88" s="529">
        <f t="shared" si="13"/>
        <v>0</v>
      </c>
      <c r="R88" s="528">
        <f>'F9'!S90</f>
        <v>2.6304000000000001E-2</v>
      </c>
      <c r="S88" s="529">
        <f t="shared" si="14"/>
        <v>0</v>
      </c>
      <c r="T88" s="528"/>
      <c r="U88" s="529"/>
      <c r="V88" s="1481">
        <f>'F9'!V90</f>
        <v>6.6000000000000005</v>
      </c>
      <c r="W88" s="529">
        <f t="shared" si="15"/>
        <v>0.10000000000000009</v>
      </c>
      <c r="X88" s="981">
        <f>'F9'!W90</f>
        <v>0</v>
      </c>
      <c r="Y88" s="529">
        <f t="shared" si="16"/>
        <v>-1</v>
      </c>
      <c r="Z88" s="528">
        <f>'F9'!X90</f>
        <v>2.8934400000000002E-2</v>
      </c>
      <c r="AA88" s="529">
        <f t="shared" si="17"/>
        <v>0.10000000000000005</v>
      </c>
      <c r="AB88" s="515"/>
      <c r="AC88" s="516"/>
    </row>
    <row r="89" spans="1:29">
      <c r="A89" s="1378" t="s">
        <v>469</v>
      </c>
      <c r="B89" s="1478">
        <f>F9A!R92</f>
        <v>0</v>
      </c>
      <c r="C89" s="1494">
        <f>F9A!S92</f>
        <v>0</v>
      </c>
      <c r="D89" s="1480">
        <f>F9A!T92</f>
        <v>0</v>
      </c>
      <c r="E89" s="514"/>
      <c r="F89" s="527">
        <f>F9A!U92</f>
        <v>0</v>
      </c>
      <c r="G89" s="529">
        <f t="shared" si="9"/>
        <v>0</v>
      </c>
      <c r="H89" s="1481">
        <f>F9A!V92</f>
        <v>0</v>
      </c>
      <c r="I89" s="529">
        <f t="shared" si="10"/>
        <v>0</v>
      </c>
      <c r="J89" s="981">
        <f>F9A!W92</f>
        <v>0</v>
      </c>
      <c r="K89" s="529">
        <f t="shared" si="11"/>
        <v>0</v>
      </c>
      <c r="L89" s="515"/>
      <c r="M89" s="515"/>
      <c r="N89" s="1481">
        <f>'F9'!Q91</f>
        <v>6</v>
      </c>
      <c r="O89" s="529">
        <f t="shared" si="12"/>
        <v>0</v>
      </c>
      <c r="P89" s="1481">
        <f>'F9'!R91</f>
        <v>24</v>
      </c>
      <c r="Q89" s="529">
        <f t="shared" si="13"/>
        <v>0</v>
      </c>
      <c r="R89" s="528">
        <f>'F9'!S91</f>
        <v>2.6304000000000001E-2</v>
      </c>
      <c r="S89" s="529">
        <f t="shared" si="14"/>
        <v>0</v>
      </c>
      <c r="T89" s="528"/>
      <c r="U89" s="529"/>
      <c r="V89" s="1481">
        <f>'F9'!V91</f>
        <v>6.6000000000000005</v>
      </c>
      <c r="W89" s="529">
        <f t="shared" si="15"/>
        <v>0.10000000000000009</v>
      </c>
      <c r="X89" s="981">
        <f>'F9'!W91</f>
        <v>26.400000000000002</v>
      </c>
      <c r="Y89" s="529">
        <f t="shared" si="16"/>
        <v>0.10000000000000009</v>
      </c>
      <c r="Z89" s="528">
        <f>'F9'!X91</f>
        <v>2.8934400000000002E-2</v>
      </c>
      <c r="AA89" s="529">
        <f t="shared" si="17"/>
        <v>0.10000000000000005</v>
      </c>
      <c r="AB89" s="515"/>
      <c r="AC89" s="516"/>
    </row>
    <row r="90" spans="1:29">
      <c r="A90" s="1378" t="s">
        <v>470</v>
      </c>
      <c r="B90" s="1478">
        <f>F9A!R93</f>
        <v>0</v>
      </c>
      <c r="C90" s="1494">
        <f>F9A!S93</f>
        <v>0</v>
      </c>
      <c r="D90" s="1480">
        <f>F9A!T93</f>
        <v>0</v>
      </c>
      <c r="E90" s="514"/>
      <c r="F90" s="527">
        <f>F9A!U93</f>
        <v>0</v>
      </c>
      <c r="G90" s="529">
        <f t="shared" si="9"/>
        <v>0</v>
      </c>
      <c r="H90" s="1481">
        <f>F9A!V93</f>
        <v>0</v>
      </c>
      <c r="I90" s="529">
        <f t="shared" si="10"/>
        <v>0</v>
      </c>
      <c r="J90" s="981">
        <f>F9A!W93</f>
        <v>0</v>
      </c>
      <c r="K90" s="529">
        <f t="shared" si="11"/>
        <v>0</v>
      </c>
      <c r="L90" s="515"/>
      <c r="M90" s="515"/>
      <c r="N90" s="1481">
        <f>'F9'!Q92</f>
        <v>0</v>
      </c>
      <c r="O90" s="529">
        <f t="shared" si="12"/>
        <v>0</v>
      </c>
      <c r="P90" s="1481">
        <f>'F9'!R92</f>
        <v>0</v>
      </c>
      <c r="Q90" s="529">
        <f t="shared" si="13"/>
        <v>0</v>
      </c>
      <c r="R90" s="528">
        <f>'F9'!S92</f>
        <v>0</v>
      </c>
      <c r="S90" s="529">
        <f t="shared" si="14"/>
        <v>0</v>
      </c>
      <c r="T90" s="528"/>
      <c r="U90" s="529"/>
      <c r="V90" s="1481">
        <f>'F9'!V92</f>
        <v>0</v>
      </c>
      <c r="W90" s="529">
        <f t="shared" si="15"/>
        <v>0</v>
      </c>
      <c r="X90" s="981">
        <f>'F9'!W92</f>
        <v>0</v>
      </c>
      <c r="Y90" s="529">
        <f t="shared" si="16"/>
        <v>0</v>
      </c>
      <c r="Z90" s="528">
        <f>'F9'!X92</f>
        <v>0</v>
      </c>
      <c r="AA90" s="529">
        <f t="shared" si="17"/>
        <v>0</v>
      </c>
      <c r="AB90" s="516"/>
      <c r="AC90" s="516"/>
    </row>
    <row r="91" spans="1:29">
      <c r="A91" s="1369" t="s">
        <v>1425</v>
      </c>
      <c r="B91" s="1478">
        <f>F9A!R94</f>
        <v>0</v>
      </c>
      <c r="C91" s="1494">
        <f>F9A!S94</f>
        <v>0</v>
      </c>
      <c r="D91" s="1480">
        <f>F9A!T94</f>
        <v>0</v>
      </c>
      <c r="E91" s="515"/>
      <c r="F91" s="527">
        <f>F9A!U94</f>
        <v>0</v>
      </c>
      <c r="G91" s="529">
        <f t="shared" si="9"/>
        <v>0</v>
      </c>
      <c r="H91" s="1481">
        <f>F9A!V94</f>
        <v>0</v>
      </c>
      <c r="I91" s="529">
        <f t="shared" si="10"/>
        <v>0</v>
      </c>
      <c r="J91" s="981">
        <f>F9A!W94</f>
        <v>0</v>
      </c>
      <c r="K91" s="529">
        <f t="shared" si="11"/>
        <v>0</v>
      </c>
      <c r="L91" s="515"/>
      <c r="M91" s="515"/>
      <c r="N91" s="1481">
        <f>'F9'!Q93</f>
        <v>6</v>
      </c>
      <c r="O91" s="529">
        <f t="shared" si="12"/>
        <v>0</v>
      </c>
      <c r="P91" s="1481">
        <f>'F9'!R93</f>
        <v>24</v>
      </c>
      <c r="Q91" s="529">
        <f t="shared" si="13"/>
        <v>0</v>
      </c>
      <c r="R91" s="528">
        <f>'F9'!S93</f>
        <v>2.6304000000000001E-2</v>
      </c>
      <c r="S91" s="529">
        <f t="shared" si="14"/>
        <v>0</v>
      </c>
      <c r="T91" s="528"/>
      <c r="U91" s="529"/>
      <c r="V91" s="1481">
        <f>'F9'!V93</f>
        <v>6.6000000000000005</v>
      </c>
      <c r="W91" s="529">
        <f t="shared" si="15"/>
        <v>0.10000000000000009</v>
      </c>
      <c r="X91" s="981">
        <f>'F9'!W93</f>
        <v>0</v>
      </c>
      <c r="Y91" s="529">
        <f t="shared" si="16"/>
        <v>-1</v>
      </c>
      <c r="Z91" s="528">
        <f>'F9'!X93</f>
        <v>2.8934400000000002E-2</v>
      </c>
      <c r="AA91" s="529">
        <f t="shared" si="17"/>
        <v>0.10000000000000005</v>
      </c>
      <c r="AB91" s="515"/>
      <c r="AC91" s="516"/>
    </row>
    <row r="92" spans="1:29">
      <c r="A92" s="1369" t="s">
        <v>1446</v>
      </c>
      <c r="B92" s="1478"/>
      <c r="C92" s="1494">
        <f>F9A!S95</f>
        <v>0</v>
      </c>
      <c r="D92" s="1480">
        <f>F9A!T95</f>
        <v>0</v>
      </c>
      <c r="E92" s="514"/>
      <c r="F92" s="527">
        <f>F9A!U95</f>
        <v>0</v>
      </c>
      <c r="G92" s="529"/>
      <c r="H92" s="1481"/>
      <c r="I92" s="529"/>
      <c r="J92" s="981"/>
      <c r="K92" s="529"/>
      <c r="L92" s="515"/>
      <c r="M92" s="515"/>
      <c r="N92" s="1481"/>
      <c r="O92" s="529"/>
      <c r="P92" s="1481"/>
      <c r="Q92" s="529"/>
      <c r="R92" s="528">
        <f>'F9'!S94</f>
        <v>2.6304000000000001E-2</v>
      </c>
      <c r="S92" s="529"/>
      <c r="T92" s="528"/>
      <c r="U92" s="529"/>
      <c r="V92" s="1481"/>
      <c r="W92" s="529"/>
      <c r="X92" s="981"/>
      <c r="Y92" s="529"/>
      <c r="Z92" s="528"/>
      <c r="AA92" s="529"/>
      <c r="AB92" s="515"/>
      <c r="AC92" s="516"/>
    </row>
    <row r="93" spans="1:29">
      <c r="A93" s="1367" t="s">
        <v>1119</v>
      </c>
      <c r="B93" s="1478">
        <f>F9A!R96</f>
        <v>0</v>
      </c>
      <c r="C93" s="1494">
        <f>F9A!S96</f>
        <v>0</v>
      </c>
      <c r="D93" s="1480">
        <f>F9A!T96</f>
        <v>0</v>
      </c>
      <c r="E93" s="514"/>
      <c r="F93" s="527">
        <f>F9A!U96</f>
        <v>0</v>
      </c>
      <c r="G93" s="529">
        <f t="shared" si="9"/>
        <v>0</v>
      </c>
      <c r="H93" s="1481">
        <f>F9A!V96</f>
        <v>0</v>
      </c>
      <c r="I93" s="529">
        <f t="shared" si="10"/>
        <v>0</v>
      </c>
      <c r="J93" s="981">
        <f>F9A!W96</f>
        <v>0</v>
      </c>
      <c r="K93" s="529">
        <f t="shared" si="11"/>
        <v>0</v>
      </c>
      <c r="L93" s="515"/>
      <c r="M93" s="515"/>
      <c r="N93" s="1481">
        <f>'F9'!Q95</f>
        <v>0</v>
      </c>
      <c r="O93" s="529">
        <f t="shared" si="12"/>
        <v>0</v>
      </c>
      <c r="P93" s="1481">
        <f>'F9'!R95</f>
        <v>0</v>
      </c>
      <c r="Q93" s="529">
        <f t="shared" si="13"/>
        <v>0</v>
      </c>
      <c r="R93" s="528">
        <f>'F9'!S95</f>
        <v>0</v>
      </c>
      <c r="S93" s="529">
        <f t="shared" si="14"/>
        <v>0</v>
      </c>
      <c r="T93" s="528"/>
      <c r="U93" s="529"/>
      <c r="V93" s="1481">
        <f>'F9'!V95</f>
        <v>0</v>
      </c>
      <c r="W93" s="529">
        <f t="shared" si="15"/>
        <v>0</v>
      </c>
      <c r="X93" s="981">
        <f>'F9'!W95</f>
        <v>0</v>
      </c>
      <c r="Y93" s="529">
        <f t="shared" si="16"/>
        <v>0</v>
      </c>
      <c r="Z93" s="528">
        <f>'F9'!X95</f>
        <v>0</v>
      </c>
      <c r="AA93" s="529">
        <f t="shared" si="17"/>
        <v>0</v>
      </c>
      <c r="AB93" s="515"/>
      <c r="AC93" s="516"/>
    </row>
    <row r="94" spans="1:29">
      <c r="A94" s="1367" t="s">
        <v>475</v>
      </c>
      <c r="B94" s="1478">
        <f>F9A!R97</f>
        <v>98</v>
      </c>
      <c r="C94" s="1494">
        <f>F9A!S97</f>
        <v>28638</v>
      </c>
      <c r="D94" s="1480">
        <f>F9A!T97</f>
        <v>24.535273</v>
      </c>
      <c r="E94" s="514"/>
      <c r="F94" s="527">
        <f>F9A!U97</f>
        <v>84</v>
      </c>
      <c r="G94" s="529">
        <f t="shared" si="9"/>
        <v>-0.14285714285714285</v>
      </c>
      <c r="H94" s="1481">
        <f>F9A!V97</f>
        <v>20063</v>
      </c>
      <c r="I94" s="529">
        <f t="shared" si="10"/>
        <v>-0.29942733431105523</v>
      </c>
      <c r="J94" s="981">
        <f>F9A!W97</f>
        <v>33.646000000000001</v>
      </c>
      <c r="K94" s="529">
        <f t="shared" si="11"/>
        <v>0.37133179647114589</v>
      </c>
      <c r="L94" s="515"/>
      <c r="M94" s="515"/>
      <c r="N94" s="1481">
        <f>'F9'!Q96</f>
        <v>84</v>
      </c>
      <c r="O94" s="529">
        <f t="shared" si="12"/>
        <v>0</v>
      </c>
      <c r="P94" s="1481">
        <f>'F9'!R96</f>
        <v>13332.966059082339</v>
      </c>
      <c r="Q94" s="529">
        <f t="shared" si="13"/>
        <v>-0.33544504515364909</v>
      </c>
      <c r="R94" s="528">
        <f>'F9'!S96</f>
        <v>469.63466666666665</v>
      </c>
      <c r="S94" s="529">
        <f t="shared" si="14"/>
        <v>12.958112900988725</v>
      </c>
      <c r="T94" s="528"/>
      <c r="U94" s="529"/>
      <c r="V94" s="1481">
        <f>'F9'!V96</f>
        <v>84</v>
      </c>
      <c r="W94" s="529">
        <f t="shared" si="15"/>
        <v>0</v>
      </c>
      <c r="X94" s="981">
        <f>'F9'!W96</f>
        <v>13332.966059082339</v>
      </c>
      <c r="Y94" s="529">
        <f t="shared" si="16"/>
        <v>0</v>
      </c>
      <c r="Z94" s="528">
        <f>'F9'!X96</f>
        <v>469.63466666666665</v>
      </c>
      <c r="AA94" s="529">
        <f t="shared" si="17"/>
        <v>0</v>
      </c>
      <c r="AB94" s="515"/>
      <c r="AC94" s="516"/>
    </row>
    <row r="95" spans="1:29">
      <c r="A95" s="1378" t="s">
        <v>1411</v>
      </c>
      <c r="B95" s="1478">
        <f>F9A!R98</f>
        <v>98</v>
      </c>
      <c r="C95" s="1494">
        <f>F9A!S98</f>
        <v>28638</v>
      </c>
      <c r="D95" s="1480">
        <f>F9A!T98</f>
        <v>24.535273</v>
      </c>
      <c r="E95" s="514"/>
      <c r="F95" s="527">
        <f>F9A!U98</f>
        <v>81</v>
      </c>
      <c r="G95" s="529">
        <f t="shared" si="9"/>
        <v>-0.17346938775510204</v>
      </c>
      <c r="H95" s="1481">
        <f>F9A!V98</f>
        <v>17826</v>
      </c>
      <c r="I95" s="529">
        <f t="shared" si="10"/>
        <v>-0.3775403310287031</v>
      </c>
      <c r="J95" s="981">
        <f>F9A!W98</f>
        <v>32.335000000000001</v>
      </c>
      <c r="K95" s="529">
        <f t="shared" si="11"/>
        <v>0.31789852103948468</v>
      </c>
      <c r="L95" s="515"/>
      <c r="M95" s="515"/>
      <c r="N95" s="1481">
        <f>'F9'!Q97</f>
        <v>81</v>
      </c>
      <c r="O95" s="529">
        <f t="shared" si="12"/>
        <v>0</v>
      </c>
      <c r="P95" s="1481">
        <f>'F9'!R97</f>
        <v>11095.966059082339</v>
      </c>
      <c r="Q95" s="529">
        <f t="shared" si="13"/>
        <v>-0.3775403310287031</v>
      </c>
      <c r="R95" s="528">
        <f>'F9'!S97</f>
        <v>391</v>
      </c>
      <c r="S95" s="529">
        <f t="shared" si="14"/>
        <v>11.092160197927942</v>
      </c>
      <c r="T95" s="528"/>
      <c r="U95" s="529"/>
      <c r="V95" s="1481">
        <f>'F9'!V97</f>
        <v>81</v>
      </c>
      <c r="W95" s="529">
        <f t="shared" si="15"/>
        <v>0</v>
      </c>
      <c r="X95" s="981">
        <f>'F9'!W97</f>
        <v>11095.966059082339</v>
      </c>
      <c r="Y95" s="529">
        <f t="shared" si="16"/>
        <v>0</v>
      </c>
      <c r="Z95" s="528">
        <f>'F9'!X97</f>
        <v>391</v>
      </c>
      <c r="AA95" s="529">
        <f t="shared" si="17"/>
        <v>0</v>
      </c>
      <c r="AB95" s="515"/>
      <c r="AC95" s="516"/>
    </row>
    <row r="96" spans="1:29">
      <c r="A96" s="1378" t="s">
        <v>1412</v>
      </c>
      <c r="B96" s="1478">
        <f>F9A!R99</f>
        <v>0</v>
      </c>
      <c r="C96" s="1494">
        <f>F9A!S99</f>
        <v>0</v>
      </c>
      <c r="D96" s="1480">
        <f>F9A!T99</f>
        <v>0</v>
      </c>
      <c r="E96" s="514"/>
      <c r="F96" s="527">
        <f>F9A!U99</f>
        <v>3</v>
      </c>
      <c r="G96" s="529">
        <f t="shared" si="9"/>
        <v>0</v>
      </c>
      <c r="H96" s="1481">
        <f>F9A!V99</f>
        <v>2237</v>
      </c>
      <c r="I96" s="529">
        <f t="shared" si="10"/>
        <v>0</v>
      </c>
      <c r="J96" s="981">
        <f>F9A!W99</f>
        <v>1.3109999999999999</v>
      </c>
      <c r="K96" s="529">
        <f t="shared" si="11"/>
        <v>0</v>
      </c>
      <c r="L96" s="515"/>
      <c r="M96" s="515"/>
      <c r="N96" s="1481">
        <f>'F9'!Q98</f>
        <v>3</v>
      </c>
      <c r="O96" s="529">
        <f t="shared" si="12"/>
        <v>0</v>
      </c>
      <c r="P96" s="1481">
        <f>'F9'!R98</f>
        <v>2237</v>
      </c>
      <c r="Q96" s="529">
        <f t="shared" si="13"/>
        <v>0</v>
      </c>
      <c r="R96" s="528">
        <f>'F9'!S98</f>
        <v>78.634666666666661</v>
      </c>
      <c r="S96" s="529">
        <f t="shared" si="14"/>
        <v>58.980676328502419</v>
      </c>
      <c r="T96" s="528"/>
      <c r="U96" s="529"/>
      <c r="V96" s="1481">
        <f>'F9'!V98</f>
        <v>3</v>
      </c>
      <c r="W96" s="529">
        <f t="shared" si="15"/>
        <v>0</v>
      </c>
      <c r="X96" s="981">
        <f>'F9'!W98</f>
        <v>2237</v>
      </c>
      <c r="Y96" s="529">
        <f t="shared" si="16"/>
        <v>0</v>
      </c>
      <c r="Z96" s="528">
        <f>'F9'!X98</f>
        <v>78.634666666666661</v>
      </c>
      <c r="AA96" s="529">
        <f t="shared" si="17"/>
        <v>0</v>
      </c>
      <c r="AB96" s="515"/>
      <c r="AC96" s="516"/>
    </row>
    <row r="97" spans="1:29">
      <c r="A97" s="1367" t="s">
        <v>1403</v>
      </c>
      <c r="B97" s="1478">
        <f>F9A!R100</f>
        <v>745</v>
      </c>
      <c r="C97" s="1494">
        <f>F9A!S100</f>
        <v>226902</v>
      </c>
      <c r="D97" s="1480">
        <f>F9A!T100</f>
        <v>480.75782800000002</v>
      </c>
      <c r="E97" s="514"/>
      <c r="F97" s="527">
        <f>F9A!U100</f>
        <v>810</v>
      </c>
      <c r="G97" s="529">
        <f t="shared" si="9"/>
        <v>8.7248322147651006E-2</v>
      </c>
      <c r="H97" s="1481">
        <f>F9A!V100</f>
        <v>235437</v>
      </c>
      <c r="I97" s="529">
        <f t="shared" si="10"/>
        <v>3.7615358172250576E-2</v>
      </c>
      <c r="J97" s="981">
        <f>F9A!W100</f>
        <v>376.98800000000006</v>
      </c>
      <c r="K97" s="529">
        <f t="shared" si="11"/>
        <v>-0.21584636163220197</v>
      </c>
      <c r="L97" s="515"/>
      <c r="M97" s="515"/>
      <c r="N97" s="1481">
        <f>'F9'!Q99</f>
        <v>826.2</v>
      </c>
      <c r="O97" s="529">
        <f t="shared" si="12"/>
        <v>2.0000000000000056E-2</v>
      </c>
      <c r="P97" s="1481">
        <f>'F9'!R99</f>
        <v>240145.74</v>
      </c>
      <c r="Q97" s="529">
        <f t="shared" si="13"/>
        <v>1.9999999999999959E-2</v>
      </c>
      <c r="R97" s="528">
        <f>'F9'!S99</f>
        <v>37.114666666666665</v>
      </c>
      <c r="S97" s="529">
        <f t="shared" si="14"/>
        <v>-0.90154947460750301</v>
      </c>
      <c r="T97" s="528"/>
      <c r="U97" s="529"/>
      <c r="V97" s="1481">
        <f>'F9'!V99</f>
        <v>867.5100000000001</v>
      </c>
      <c r="W97" s="529">
        <f t="shared" si="15"/>
        <v>5.0000000000000072E-2</v>
      </c>
      <c r="X97" s="981">
        <f>'F9'!W99</f>
        <v>252153.027</v>
      </c>
      <c r="Y97" s="529">
        <f t="shared" si="16"/>
        <v>5.0000000000000051E-2</v>
      </c>
      <c r="Z97" s="528">
        <f>'F9'!X99</f>
        <v>38.970399999999998</v>
      </c>
      <c r="AA97" s="529">
        <f t="shared" si="17"/>
        <v>0.05</v>
      </c>
      <c r="AB97" s="515"/>
      <c r="AC97" s="516"/>
    </row>
    <row r="98" spans="1:29" ht="15.75" customHeight="1">
      <c r="A98" s="1378" t="s">
        <v>1413</v>
      </c>
      <c r="B98" s="1478">
        <f>F9A!R101</f>
        <v>711</v>
      </c>
      <c r="C98" s="1494">
        <f>F9A!S101</f>
        <v>191786</v>
      </c>
      <c r="D98" s="1480">
        <f>F9A!T101</f>
        <v>408.30091700000003</v>
      </c>
      <c r="E98" s="514"/>
      <c r="F98" s="527">
        <f>F9A!U101</f>
        <v>772</v>
      </c>
      <c r="G98" s="529">
        <f t="shared" si="9"/>
        <v>8.5794655414908577E-2</v>
      </c>
      <c r="H98" s="1481">
        <f>F9A!V101</f>
        <v>194423</v>
      </c>
      <c r="I98" s="529">
        <f t="shared" si="10"/>
        <v>1.3749700186666389E-2</v>
      </c>
      <c r="J98" s="981">
        <f>F9A!W101</f>
        <v>313.78500000000003</v>
      </c>
      <c r="K98" s="529">
        <f t="shared" si="11"/>
        <v>-0.23148592879599139</v>
      </c>
      <c r="L98" s="515"/>
      <c r="M98" s="515"/>
      <c r="N98" s="1481">
        <f>'F9'!Q100</f>
        <v>787.44</v>
      </c>
      <c r="O98" s="529">
        <f t="shared" si="12"/>
        <v>2.000000000000007E-2</v>
      </c>
      <c r="P98" s="1481">
        <f>'F9'!R100</f>
        <v>198311.46</v>
      </c>
      <c r="Q98" s="529">
        <f t="shared" si="13"/>
        <v>1.9999999999999959E-2</v>
      </c>
      <c r="R98" s="528">
        <f>'F9'!S100</f>
        <v>34.506666666666668</v>
      </c>
      <c r="S98" s="529">
        <f t="shared" si="14"/>
        <v>-0.89003085977128715</v>
      </c>
      <c r="T98" s="528"/>
      <c r="U98" s="529"/>
      <c r="V98" s="1481">
        <f>'F9'!V100</f>
        <v>826.81200000000013</v>
      </c>
      <c r="W98" s="529">
        <f t="shared" si="15"/>
        <v>5.0000000000000086E-2</v>
      </c>
      <c r="X98" s="981">
        <f>'F9'!W100</f>
        <v>208227.033</v>
      </c>
      <c r="Y98" s="529">
        <f t="shared" si="16"/>
        <v>5.0000000000000024E-2</v>
      </c>
      <c r="Z98" s="528">
        <f>'F9'!X100</f>
        <v>36.231999999999999</v>
      </c>
      <c r="AA98" s="529">
        <f t="shared" si="17"/>
        <v>4.9999999999999947E-2</v>
      </c>
      <c r="AB98" s="516"/>
      <c r="AC98" s="516"/>
    </row>
    <row r="99" spans="1:29">
      <c r="A99" s="1378" t="s">
        <v>1414</v>
      </c>
      <c r="B99" s="1478">
        <f>F9A!R102</f>
        <v>34</v>
      </c>
      <c r="C99" s="1494">
        <f>F9A!S102</f>
        <v>35116</v>
      </c>
      <c r="D99" s="1480">
        <f>F9A!T102</f>
        <v>72.456911000000005</v>
      </c>
      <c r="E99" s="514"/>
      <c r="F99" s="527">
        <f>F9A!U102</f>
        <v>38</v>
      </c>
      <c r="G99" s="529">
        <f t="shared" si="9"/>
        <v>0.11764705882352941</v>
      </c>
      <c r="H99" s="1481">
        <f>F9A!V102</f>
        <v>41014</v>
      </c>
      <c r="I99" s="529">
        <f t="shared" si="10"/>
        <v>0.16795762615332041</v>
      </c>
      <c r="J99" s="981">
        <f>F9A!W102</f>
        <v>63.203000000000003</v>
      </c>
      <c r="K99" s="529">
        <f t="shared" si="11"/>
        <v>-0.12771605734061725</v>
      </c>
      <c r="L99" s="515"/>
      <c r="M99" s="515"/>
      <c r="N99" s="1481">
        <f>'F9'!Q101</f>
        <v>38.76</v>
      </c>
      <c r="O99" s="529">
        <f t="shared" si="12"/>
        <v>1.9999999999999948E-2</v>
      </c>
      <c r="P99" s="1481">
        <f>'F9'!R101</f>
        <v>41834.28</v>
      </c>
      <c r="Q99" s="529">
        <f t="shared" si="13"/>
        <v>1.9999999999999973E-2</v>
      </c>
      <c r="R99" s="528">
        <f>'F9'!S101</f>
        <v>2.6080000000000001</v>
      </c>
      <c r="S99" s="529">
        <f t="shared" si="14"/>
        <v>-0.95873613594291418</v>
      </c>
      <c r="T99" s="528"/>
      <c r="U99" s="529"/>
      <c r="V99" s="1481">
        <f>'F9'!V101</f>
        <v>40.698</v>
      </c>
      <c r="W99" s="529">
        <f t="shared" si="15"/>
        <v>5.0000000000000065E-2</v>
      </c>
      <c r="X99" s="981">
        <f>'F9'!W101</f>
        <v>43925.993999999999</v>
      </c>
      <c r="Y99" s="529">
        <f t="shared" si="16"/>
        <v>0.05</v>
      </c>
      <c r="Z99" s="528">
        <f>'F9'!X101</f>
        <v>2.7384000000000004</v>
      </c>
      <c r="AA99" s="529">
        <f t="shared" si="17"/>
        <v>5.0000000000000114E-2</v>
      </c>
      <c r="AB99" s="516"/>
      <c r="AC99" s="516"/>
    </row>
    <row r="100" spans="1:29">
      <c r="A100" s="1369" t="s">
        <v>1425</v>
      </c>
      <c r="B100" s="1478">
        <f>F9A!R103</f>
        <v>843</v>
      </c>
      <c r="C100" s="1494">
        <f>F9A!S103</f>
        <v>255540</v>
      </c>
      <c r="D100" s="1480">
        <f>F9A!T103</f>
        <v>505.29310100000004</v>
      </c>
      <c r="E100" s="515"/>
      <c r="F100" s="527">
        <f>F9A!U103</f>
        <v>894</v>
      </c>
      <c r="G100" s="529">
        <f t="shared" si="9"/>
        <v>6.0498220640569395E-2</v>
      </c>
      <c r="H100" s="1481">
        <f>F9A!V103</f>
        <v>255500</v>
      </c>
      <c r="I100" s="529">
        <f t="shared" si="10"/>
        <v>-1.5653126712060735E-4</v>
      </c>
      <c r="J100" s="981">
        <f>F9A!W103</f>
        <v>410.63400000000007</v>
      </c>
      <c r="K100" s="529">
        <f t="shared" si="11"/>
        <v>-0.18733503547280761</v>
      </c>
      <c r="L100" s="515"/>
      <c r="M100" s="515"/>
      <c r="N100" s="1481">
        <f>'F9'!Q102</f>
        <v>910.2</v>
      </c>
      <c r="O100" s="529">
        <f t="shared" si="12"/>
        <v>1.8120805369127569E-2</v>
      </c>
      <c r="P100" s="1481">
        <f>'F9'!R102</f>
        <v>253478.70605908232</v>
      </c>
      <c r="Q100" s="529">
        <f t="shared" si="13"/>
        <v>-7.9111308842179096E-3</v>
      </c>
      <c r="R100" s="528">
        <f>'F9'!S102</f>
        <v>506.74933333333331</v>
      </c>
      <c r="S100" s="529">
        <f t="shared" si="14"/>
        <v>0.23406569678432185</v>
      </c>
      <c r="T100" s="528"/>
      <c r="U100" s="529"/>
      <c r="V100" s="1481">
        <f>'F9'!V102</f>
        <v>951.5100000000001</v>
      </c>
      <c r="W100" s="529">
        <f t="shared" si="15"/>
        <v>4.5385629531971061E-2</v>
      </c>
      <c r="X100" s="981">
        <f>'F9'!W102</f>
        <v>265485.99305908236</v>
      </c>
      <c r="Y100" s="529">
        <f t="shared" si="16"/>
        <v>4.7370002737828834E-2</v>
      </c>
      <c r="Z100" s="528">
        <f>'F9'!X102</f>
        <v>508.60506666666663</v>
      </c>
      <c r="AA100" s="529">
        <f t="shared" si="17"/>
        <v>3.662034089174896E-3</v>
      </c>
      <c r="AB100" s="515"/>
      <c r="AC100" s="516"/>
    </row>
    <row r="101" spans="1:29">
      <c r="A101" s="1369" t="s">
        <v>1446</v>
      </c>
      <c r="B101" s="1478"/>
      <c r="C101" s="1494">
        <f>F9A!S104</f>
        <v>255540</v>
      </c>
      <c r="D101" s="1480">
        <f>F9A!T104</f>
        <v>505.29310100000004</v>
      </c>
      <c r="E101" s="514"/>
      <c r="F101" s="527">
        <f>F9A!U104</f>
        <v>894</v>
      </c>
      <c r="G101" s="529"/>
      <c r="H101" s="1481"/>
      <c r="I101" s="529"/>
      <c r="J101" s="981"/>
      <c r="K101" s="529"/>
      <c r="L101" s="515"/>
      <c r="M101" s="515"/>
      <c r="N101" s="1481"/>
      <c r="O101" s="529"/>
      <c r="P101" s="1481"/>
      <c r="Q101" s="529"/>
      <c r="R101" s="528">
        <f>'F9'!S103</f>
        <v>506.74933333333331</v>
      </c>
      <c r="S101" s="529"/>
      <c r="T101" s="528"/>
      <c r="U101" s="529"/>
      <c r="V101" s="1481"/>
      <c r="W101" s="529"/>
      <c r="X101" s="981"/>
      <c r="Y101" s="529"/>
      <c r="Z101" s="528"/>
      <c r="AA101" s="529"/>
      <c r="AB101" s="515"/>
      <c r="AC101" s="516"/>
    </row>
    <row r="102" spans="1:29">
      <c r="A102" s="1367" t="s">
        <v>1125</v>
      </c>
      <c r="B102" s="1478">
        <f>F9A!R105</f>
        <v>0</v>
      </c>
      <c r="C102" s="1494">
        <f>F9A!S105</f>
        <v>0</v>
      </c>
      <c r="D102" s="1480">
        <f>F9A!T105</f>
        <v>0</v>
      </c>
      <c r="E102" s="514"/>
      <c r="F102" s="527">
        <f>F9A!U105</f>
        <v>0</v>
      </c>
      <c r="G102" s="529">
        <f t="shared" si="9"/>
        <v>0</v>
      </c>
      <c r="H102" s="1481">
        <f>F9A!V105</f>
        <v>0</v>
      </c>
      <c r="I102" s="529">
        <f t="shared" si="10"/>
        <v>0</v>
      </c>
      <c r="J102" s="981">
        <f>F9A!W105</f>
        <v>0</v>
      </c>
      <c r="K102" s="529">
        <f t="shared" si="11"/>
        <v>0</v>
      </c>
      <c r="L102" s="515"/>
      <c r="M102" s="515"/>
      <c r="N102" s="1481">
        <f>'F9'!Q104</f>
        <v>0</v>
      </c>
      <c r="O102" s="529">
        <f t="shared" si="12"/>
        <v>0</v>
      </c>
      <c r="P102" s="1481">
        <f>'F9'!R104</f>
        <v>0</v>
      </c>
      <c r="Q102" s="529">
        <f t="shared" si="13"/>
        <v>0</v>
      </c>
      <c r="R102" s="528">
        <f>'F9'!S104</f>
        <v>0</v>
      </c>
      <c r="S102" s="529">
        <f t="shared" si="14"/>
        <v>0</v>
      </c>
      <c r="T102" s="528"/>
      <c r="U102" s="529"/>
      <c r="V102" s="1481">
        <f>'F9'!V104</f>
        <v>0</v>
      </c>
      <c r="W102" s="529">
        <f t="shared" si="15"/>
        <v>0</v>
      </c>
      <c r="X102" s="981">
        <f>'F9'!W104</f>
        <v>0</v>
      </c>
      <c r="Y102" s="529">
        <f t="shared" si="16"/>
        <v>0</v>
      </c>
      <c r="Z102" s="528">
        <f>'F9'!X104</f>
        <v>0</v>
      </c>
      <c r="AA102" s="529">
        <f t="shared" si="17"/>
        <v>0</v>
      </c>
      <c r="AB102" s="515"/>
      <c r="AC102" s="516"/>
    </row>
    <row r="103" spans="1:29">
      <c r="A103" s="1378" t="s">
        <v>1126</v>
      </c>
      <c r="B103" s="1478">
        <f>F9A!R106</f>
        <v>1087</v>
      </c>
      <c r="C103" s="1494">
        <f>F9A!S106</f>
        <v>134282</v>
      </c>
      <c r="D103" s="1480">
        <f>F9A!T106</f>
        <v>685.44689900000003</v>
      </c>
      <c r="E103" s="514"/>
      <c r="F103" s="527">
        <f>F9A!U106</f>
        <v>1099</v>
      </c>
      <c r="G103" s="529">
        <f t="shared" si="9"/>
        <v>1.1039558417663294E-2</v>
      </c>
      <c r="H103" s="1481">
        <f>F9A!V106</f>
        <v>326834</v>
      </c>
      <c r="I103" s="529">
        <f t="shared" si="10"/>
        <v>1.4339375344424421</v>
      </c>
      <c r="J103" s="981">
        <f>F9A!W106</f>
        <v>707.98</v>
      </c>
      <c r="K103" s="529">
        <f t="shared" si="11"/>
        <v>3.287359098549221E-2</v>
      </c>
      <c r="L103" s="515"/>
      <c r="M103" s="515"/>
      <c r="N103" s="1481">
        <f>'F9'!Q105</f>
        <v>1131.97</v>
      </c>
      <c r="O103" s="529">
        <f t="shared" si="12"/>
        <v>3.0000000000000023E-2</v>
      </c>
      <c r="P103" s="1481">
        <f>'F9'!R105</f>
        <v>336639.02</v>
      </c>
      <c r="Q103" s="529">
        <f t="shared" si="13"/>
        <v>3.0000000000000058E-2</v>
      </c>
      <c r="R103" s="528">
        <f>'F9'!S105</f>
        <v>772.82133333333331</v>
      </c>
      <c r="S103" s="529">
        <f t="shared" si="14"/>
        <v>9.1586391329321865E-2</v>
      </c>
      <c r="T103" s="528"/>
      <c r="U103" s="529"/>
      <c r="V103" s="1481">
        <f>'F9'!V105</f>
        <v>1165.9291000000001</v>
      </c>
      <c r="W103" s="529">
        <f t="shared" si="15"/>
        <v>3.000000000000003E-2</v>
      </c>
      <c r="X103" s="981">
        <f>'F9'!W105</f>
        <v>346738.19060000003</v>
      </c>
      <c r="Y103" s="529">
        <f t="shared" si="16"/>
        <v>3.0000000000000034E-2</v>
      </c>
      <c r="Z103" s="528">
        <f>'F9'!X105</f>
        <v>796.00597333333337</v>
      </c>
      <c r="AA103" s="529">
        <f t="shared" si="17"/>
        <v>3.0000000000000075E-2</v>
      </c>
      <c r="AB103" s="515"/>
      <c r="AC103" s="516"/>
    </row>
    <row r="104" spans="1:29">
      <c r="A104" s="1378" t="s">
        <v>1127</v>
      </c>
      <c r="B104" s="1478">
        <f>F9A!R107</f>
        <v>33</v>
      </c>
      <c r="C104" s="1494">
        <f>F9A!S107</f>
        <v>80527</v>
      </c>
      <c r="D104" s="1480">
        <f>F9A!T107</f>
        <v>386</v>
      </c>
      <c r="E104" s="514"/>
      <c r="F104" s="527">
        <f>F9A!U107</f>
        <v>37</v>
      </c>
      <c r="G104" s="529">
        <f t="shared" si="9"/>
        <v>0.12121212121212122</v>
      </c>
      <c r="H104" s="1481">
        <f>F9A!V107</f>
        <v>84965</v>
      </c>
      <c r="I104" s="529">
        <f t="shared" si="10"/>
        <v>5.511195002918276E-2</v>
      </c>
      <c r="J104" s="981">
        <f>F9A!W107</f>
        <v>280.98700000000002</v>
      </c>
      <c r="K104" s="529">
        <f t="shared" si="11"/>
        <v>-0.27205440414507764</v>
      </c>
      <c r="L104" s="515"/>
      <c r="M104" s="515"/>
      <c r="N104" s="1481">
        <f>'F9'!Q106</f>
        <v>38.11</v>
      </c>
      <c r="O104" s="529">
        <f t="shared" si="12"/>
        <v>2.9999999999999985E-2</v>
      </c>
      <c r="P104" s="1481">
        <f>'F9'!R106</f>
        <v>87513.95</v>
      </c>
      <c r="Q104" s="529">
        <f t="shared" si="13"/>
        <v>2.9999999999999964E-2</v>
      </c>
      <c r="R104" s="528">
        <f>'F9'!S106</f>
        <v>303.52799999999996</v>
      </c>
      <c r="S104" s="529">
        <f t="shared" si="14"/>
        <v>8.0220793132778162E-2</v>
      </c>
      <c r="T104" s="528"/>
      <c r="U104" s="529"/>
      <c r="V104" s="1481">
        <f>'F9'!V106</f>
        <v>40.015500000000003</v>
      </c>
      <c r="W104" s="529">
        <f t="shared" si="15"/>
        <v>5.0000000000000093E-2</v>
      </c>
      <c r="X104" s="981">
        <f>'F9'!W106</f>
        <v>91889.647500000006</v>
      </c>
      <c r="Y104" s="529">
        <f t="shared" si="16"/>
        <v>5.0000000000000107E-2</v>
      </c>
      <c r="Z104" s="528">
        <f>'F9'!X106</f>
        <v>318.70439999999996</v>
      </c>
      <c r="AA104" s="529">
        <f t="shared" si="17"/>
        <v>5.000000000000001E-2</v>
      </c>
      <c r="AB104" s="516"/>
      <c r="AC104" s="516"/>
    </row>
    <row r="105" spans="1:29">
      <c r="A105" s="1378" t="s">
        <v>1128</v>
      </c>
      <c r="B105" s="1478">
        <f>F9A!R108</f>
        <v>4</v>
      </c>
      <c r="C105" s="1494">
        <f>F9A!S108</f>
        <v>32363</v>
      </c>
      <c r="D105" s="1480">
        <f>F9A!T108</f>
        <v>79</v>
      </c>
      <c r="E105" s="514"/>
      <c r="F105" s="527">
        <f>F9A!U108</f>
        <v>6</v>
      </c>
      <c r="G105" s="529">
        <f t="shared" si="9"/>
        <v>0.5</v>
      </c>
      <c r="H105" s="1481">
        <f>F9A!V108</f>
        <v>64562</v>
      </c>
      <c r="I105" s="529">
        <f t="shared" si="10"/>
        <v>0.99493248462750672</v>
      </c>
      <c r="J105" s="981">
        <f>F9A!W108</f>
        <v>36.871000000000002</v>
      </c>
      <c r="K105" s="529">
        <f t="shared" si="11"/>
        <v>-0.53327848101265818</v>
      </c>
      <c r="L105" s="515"/>
      <c r="M105" s="515"/>
      <c r="N105" s="1481">
        <f>'F9'!Q107</f>
        <v>6.18</v>
      </c>
      <c r="O105" s="529">
        <f t="shared" si="12"/>
        <v>2.9999999999999954E-2</v>
      </c>
      <c r="P105" s="1481">
        <f>'F9'!R107</f>
        <v>66498.86</v>
      </c>
      <c r="Q105" s="529">
        <f t="shared" si="13"/>
        <v>3.0000000000000009E-2</v>
      </c>
      <c r="R105" s="528">
        <f>'F9'!S107</f>
        <v>51.966666666666669</v>
      </c>
      <c r="S105" s="529">
        <f t="shared" si="14"/>
        <v>0.40941842278936469</v>
      </c>
      <c r="T105" s="528"/>
      <c r="U105" s="529"/>
      <c r="V105" s="1481">
        <f>'F9'!V107</f>
        <v>6.6126000000000005</v>
      </c>
      <c r="W105" s="529">
        <f t="shared" si="15"/>
        <v>7.0000000000000132E-2</v>
      </c>
      <c r="X105" s="981">
        <f>'F9'!W107</f>
        <v>71153.780200000008</v>
      </c>
      <c r="Y105" s="529">
        <f t="shared" si="16"/>
        <v>7.0000000000000118E-2</v>
      </c>
      <c r="Z105" s="528">
        <f>'F9'!X107</f>
        <v>55.604333333333336</v>
      </c>
      <c r="AA105" s="529">
        <f t="shared" si="17"/>
        <v>7.0000000000000021E-2</v>
      </c>
      <c r="AB105" s="516"/>
      <c r="AC105" s="516"/>
    </row>
    <row r="106" spans="1:29">
      <c r="A106" s="1378" t="s">
        <v>1129</v>
      </c>
      <c r="B106" s="1478">
        <f>F9A!R109</f>
        <v>0</v>
      </c>
      <c r="C106" s="1494">
        <f>F9A!S109</f>
        <v>0</v>
      </c>
      <c r="D106" s="1480">
        <f>F9A!T109</f>
        <v>0</v>
      </c>
      <c r="E106" s="515"/>
      <c r="F106" s="527">
        <f>F9A!U109</f>
        <v>2</v>
      </c>
      <c r="G106" s="529">
        <f t="shared" si="9"/>
        <v>0</v>
      </c>
      <c r="H106" s="1481">
        <f>F9A!V109</f>
        <v>1796</v>
      </c>
      <c r="I106" s="529">
        <f t="shared" si="10"/>
        <v>0</v>
      </c>
      <c r="J106" s="981">
        <f>F9A!W109</f>
        <v>1.254</v>
      </c>
      <c r="K106" s="529">
        <f t="shared" si="11"/>
        <v>0</v>
      </c>
      <c r="L106" s="515"/>
      <c r="M106" s="515"/>
      <c r="N106" s="1481">
        <f>'F9'!Q108</f>
        <v>2.06</v>
      </c>
      <c r="O106" s="529">
        <f t="shared" si="12"/>
        <v>3.0000000000000027E-2</v>
      </c>
      <c r="P106" s="1481">
        <f>'F9'!R108</f>
        <v>1849.88</v>
      </c>
      <c r="Q106" s="529">
        <f t="shared" si="13"/>
        <v>3.0000000000000061E-2</v>
      </c>
      <c r="R106" s="528">
        <f>'F9'!S108</f>
        <v>3.2266666666666666</v>
      </c>
      <c r="S106" s="529">
        <f t="shared" si="14"/>
        <v>1.5730994152046782</v>
      </c>
      <c r="T106" s="528"/>
      <c r="U106" s="529"/>
      <c r="V106" s="1481">
        <f>'F9'!V108</f>
        <v>2.1424000000000003</v>
      </c>
      <c r="W106" s="529">
        <f t="shared" si="15"/>
        <v>4.0000000000000119E-2</v>
      </c>
      <c r="X106" s="981">
        <f>'F9'!W108</f>
        <v>1923.8752000000002</v>
      </c>
      <c r="Y106" s="529">
        <f t="shared" si="16"/>
        <v>4.0000000000000036E-2</v>
      </c>
      <c r="Z106" s="528">
        <f>'F9'!X108</f>
        <v>3.3557333333333332</v>
      </c>
      <c r="AA106" s="529">
        <f t="shared" si="17"/>
        <v>0.04</v>
      </c>
      <c r="AB106" s="515"/>
      <c r="AC106" s="516"/>
    </row>
    <row r="107" spans="1:29">
      <c r="A107" s="1377" t="s">
        <v>1130</v>
      </c>
      <c r="B107" s="1478">
        <f>F9A!R110</f>
        <v>24</v>
      </c>
      <c r="C107" s="1494">
        <f>F9A!S110</f>
        <v>5822</v>
      </c>
      <c r="D107" s="1480">
        <f>F9A!T110</f>
        <v>5</v>
      </c>
      <c r="E107" s="514"/>
      <c r="F107" s="527">
        <f>F9A!U110</f>
        <v>250</v>
      </c>
      <c r="G107" s="529">
        <f t="shared" si="9"/>
        <v>9.4166666666666661</v>
      </c>
      <c r="H107" s="1481">
        <f>F9A!V110</f>
        <v>85000</v>
      </c>
      <c r="I107" s="529">
        <f t="shared" si="10"/>
        <v>13.599793885262796</v>
      </c>
      <c r="J107" s="981">
        <f>F9A!W110</f>
        <v>211.911</v>
      </c>
      <c r="K107" s="529">
        <f t="shared" si="11"/>
        <v>41.382199999999997</v>
      </c>
      <c r="L107" s="515"/>
      <c r="M107" s="515"/>
      <c r="N107" s="1481">
        <f>'F9'!Q109</f>
        <v>257.5</v>
      </c>
      <c r="O107" s="529">
        <f t="shared" si="12"/>
        <v>0.03</v>
      </c>
      <c r="P107" s="1481">
        <f>'F9'!R109</f>
        <v>87550</v>
      </c>
      <c r="Q107" s="529">
        <f t="shared" si="13"/>
        <v>0.03</v>
      </c>
      <c r="R107" s="528">
        <f>'F9'!S109</f>
        <v>201.15200000000002</v>
      </c>
      <c r="S107" s="529">
        <f t="shared" si="14"/>
        <v>-5.0771314372543126E-2</v>
      </c>
      <c r="T107" s="528"/>
      <c r="U107" s="529"/>
      <c r="V107" s="1481">
        <f>'F9'!V109</f>
        <v>270.375</v>
      </c>
      <c r="W107" s="529">
        <f t="shared" si="15"/>
        <v>0.05</v>
      </c>
      <c r="X107" s="981">
        <f>'F9'!W109</f>
        <v>91927.5</v>
      </c>
      <c r="Y107" s="529">
        <f t="shared" si="16"/>
        <v>0.05</v>
      </c>
      <c r="Z107" s="528">
        <f>'F9'!X109</f>
        <v>211.20960000000002</v>
      </c>
      <c r="AA107" s="529">
        <f t="shared" si="17"/>
        <v>5.0000000000000037E-2</v>
      </c>
      <c r="AB107" s="515"/>
      <c r="AC107" s="516"/>
    </row>
    <row r="108" spans="1:29">
      <c r="A108" s="1369" t="s">
        <v>1425</v>
      </c>
      <c r="B108" s="1478">
        <f>F9A!R111</f>
        <v>1148</v>
      </c>
      <c r="C108" s="1494">
        <f>F9A!S111</f>
        <v>252994</v>
      </c>
      <c r="D108" s="1480">
        <f>F9A!T111</f>
        <v>1155.446899</v>
      </c>
      <c r="E108" s="514"/>
      <c r="F108" s="527">
        <f>F9A!U111</f>
        <v>1394</v>
      </c>
      <c r="G108" s="529">
        <f t="shared" si="9"/>
        <v>0.21428571428571427</v>
      </c>
      <c r="H108" s="1481">
        <f>F9A!V111</f>
        <v>563157</v>
      </c>
      <c r="I108" s="529">
        <f t="shared" si="10"/>
        <v>1.2259697858447236</v>
      </c>
      <c r="J108" s="981">
        <f>F9A!W111</f>
        <v>1239.0030000000002</v>
      </c>
      <c r="K108" s="529">
        <f t="shared" si="11"/>
        <v>7.2314964082135738E-2</v>
      </c>
      <c r="L108" s="515"/>
      <c r="M108" s="515"/>
      <c r="N108" s="1481">
        <f>'F9'!Q110</f>
        <v>1435.82</v>
      </c>
      <c r="O108" s="529">
        <f t="shared" si="12"/>
        <v>2.9999999999999954E-2</v>
      </c>
      <c r="P108" s="1481">
        <f>'F9'!R110</f>
        <v>580051.71</v>
      </c>
      <c r="Q108" s="529">
        <f t="shared" si="13"/>
        <v>2.9999999999999933E-2</v>
      </c>
      <c r="R108" s="528">
        <f>'F9'!S110</f>
        <v>1332.6946666666668</v>
      </c>
      <c r="S108" s="529">
        <f t="shared" si="14"/>
        <v>7.5618595489007373E-2</v>
      </c>
      <c r="T108" s="528"/>
      <c r="U108" s="529"/>
      <c r="V108" s="1481">
        <f>'F9'!V110</f>
        <v>1485.0745999999999</v>
      </c>
      <c r="W108" s="529">
        <f t="shared" si="15"/>
        <v>3.4304160688665701E-2</v>
      </c>
      <c r="X108" s="981">
        <f>'F9'!W110</f>
        <v>603632.9935000001</v>
      </c>
      <c r="Y108" s="529">
        <f t="shared" si="16"/>
        <v>4.0653760851769812E-2</v>
      </c>
      <c r="Z108" s="528">
        <f>'F9'!X110</f>
        <v>1384.88004</v>
      </c>
      <c r="AA108" s="529">
        <f t="shared" si="17"/>
        <v>3.915778657977164E-2</v>
      </c>
      <c r="AB108" s="515"/>
      <c r="AC108" s="516"/>
    </row>
    <row r="109" spans="1:29">
      <c r="A109" s="1369" t="s">
        <v>1446</v>
      </c>
      <c r="B109" s="1478"/>
      <c r="C109" s="1494">
        <f>F9A!S112</f>
        <v>252994</v>
      </c>
      <c r="D109" s="1480">
        <f>F9A!T112</f>
        <v>1155.446899</v>
      </c>
      <c r="E109" s="514"/>
      <c r="F109" s="527">
        <f>F9A!U112</f>
        <v>1394</v>
      </c>
      <c r="G109" s="529"/>
      <c r="H109" s="1481"/>
      <c r="I109" s="529"/>
      <c r="J109" s="981"/>
      <c r="K109" s="529"/>
      <c r="L109" s="515"/>
      <c r="M109" s="515"/>
      <c r="N109" s="1481"/>
      <c r="O109" s="529"/>
      <c r="P109" s="1481"/>
      <c r="Q109" s="529"/>
      <c r="R109" s="528">
        <f>'F9'!S111</f>
        <v>1332.6946666666668</v>
      </c>
      <c r="S109" s="529"/>
      <c r="T109" s="528"/>
      <c r="U109" s="529"/>
      <c r="V109" s="1481"/>
      <c r="W109" s="529"/>
      <c r="X109" s="981"/>
      <c r="Y109" s="529"/>
      <c r="Z109" s="528"/>
      <c r="AA109" s="529"/>
      <c r="AB109" s="515"/>
      <c r="AC109" s="516"/>
    </row>
    <row r="110" spans="1:29">
      <c r="A110" s="1367" t="s">
        <v>1133</v>
      </c>
      <c r="B110" s="1478">
        <f>F9A!R113</f>
        <v>0</v>
      </c>
      <c r="C110" s="1494">
        <f>F9A!S113</f>
        <v>0</v>
      </c>
      <c r="D110" s="1480">
        <f>F9A!T113</f>
        <v>0</v>
      </c>
      <c r="E110" s="514"/>
      <c r="F110" s="527">
        <f>F9A!U113</f>
        <v>0</v>
      </c>
      <c r="G110" s="529">
        <f t="shared" si="9"/>
        <v>0</v>
      </c>
      <c r="H110" s="1481">
        <f>F9A!V113</f>
        <v>0</v>
      </c>
      <c r="I110" s="529">
        <f t="shared" si="10"/>
        <v>0</v>
      </c>
      <c r="J110" s="981">
        <f>F9A!W113</f>
        <v>0</v>
      </c>
      <c r="K110" s="529">
        <f t="shared" si="11"/>
        <v>0</v>
      </c>
      <c r="L110" s="515"/>
      <c r="M110" s="515"/>
      <c r="N110" s="1481">
        <f>'F9'!Q112</f>
        <v>0</v>
      </c>
      <c r="O110" s="529">
        <f t="shared" si="12"/>
        <v>0</v>
      </c>
      <c r="P110" s="1481">
        <f>'F9'!R112</f>
        <v>0</v>
      </c>
      <c r="Q110" s="529">
        <f t="shared" si="13"/>
        <v>0</v>
      </c>
      <c r="R110" s="528">
        <f>'F9'!S112</f>
        <v>0</v>
      </c>
      <c r="S110" s="529">
        <f t="shared" si="14"/>
        <v>0</v>
      </c>
      <c r="T110" s="528"/>
      <c r="U110" s="529"/>
      <c r="V110" s="1481">
        <f>'F9'!V112</f>
        <v>0</v>
      </c>
      <c r="W110" s="529">
        <f t="shared" si="15"/>
        <v>0</v>
      </c>
      <c r="X110" s="981">
        <f>'F9'!W112</f>
        <v>0</v>
      </c>
      <c r="Y110" s="529">
        <f t="shared" si="16"/>
        <v>0</v>
      </c>
      <c r="Z110" s="528">
        <f>'F9'!X112</f>
        <v>0</v>
      </c>
      <c r="AA110" s="529">
        <f t="shared" si="17"/>
        <v>0</v>
      </c>
      <c r="AB110" s="515"/>
      <c r="AC110" s="516"/>
    </row>
    <row r="111" spans="1:29">
      <c r="A111" s="1378" t="s">
        <v>1415</v>
      </c>
      <c r="B111" s="1478">
        <f>F9A!R114</f>
        <v>0</v>
      </c>
      <c r="C111" s="1494">
        <f>F9A!S114</f>
        <v>0</v>
      </c>
      <c r="D111" s="1480">
        <f>F9A!T114</f>
        <v>0</v>
      </c>
      <c r="E111" s="514"/>
      <c r="F111" s="527">
        <f>F9A!U114</f>
        <v>1</v>
      </c>
      <c r="G111" s="529">
        <f t="shared" si="9"/>
        <v>0</v>
      </c>
      <c r="H111" s="1481">
        <f>F9A!V114</f>
        <v>10800</v>
      </c>
      <c r="I111" s="529">
        <f t="shared" si="10"/>
        <v>0</v>
      </c>
      <c r="J111" s="981">
        <f>F9A!W114</f>
        <v>24.856000000000002</v>
      </c>
      <c r="K111" s="529">
        <f t="shared" si="11"/>
        <v>0</v>
      </c>
      <c r="L111" s="515"/>
      <c r="M111" s="515"/>
      <c r="N111" s="1481">
        <f>'F9'!Q113</f>
        <v>1</v>
      </c>
      <c r="O111" s="529">
        <f t="shared" si="12"/>
        <v>0</v>
      </c>
      <c r="P111" s="1481">
        <f>'F9'!R113</f>
        <v>10800</v>
      </c>
      <c r="Q111" s="529">
        <f t="shared" si="13"/>
        <v>0</v>
      </c>
      <c r="R111" s="528">
        <f>'F9'!S113</f>
        <v>7.8573333333333331</v>
      </c>
      <c r="S111" s="529">
        <f t="shared" si="14"/>
        <v>-0.6838858491578157</v>
      </c>
      <c r="T111" s="528"/>
      <c r="U111" s="529"/>
      <c r="V111" s="1481">
        <f>'F9'!V113</f>
        <v>1</v>
      </c>
      <c r="W111" s="529">
        <f t="shared" si="15"/>
        <v>0</v>
      </c>
      <c r="X111" s="981">
        <f>'F9'!W113</f>
        <v>10800</v>
      </c>
      <c r="Y111" s="529">
        <f t="shared" si="16"/>
        <v>0</v>
      </c>
      <c r="Z111" s="528">
        <f>'F9'!X113</f>
        <v>7.8573333333333331</v>
      </c>
      <c r="AA111" s="529">
        <f t="shared" si="17"/>
        <v>0</v>
      </c>
      <c r="AB111" s="515"/>
      <c r="AC111" s="516"/>
    </row>
    <row r="112" spans="1:29">
      <c r="A112" s="1378" t="s">
        <v>1134</v>
      </c>
      <c r="B112" s="1478">
        <f>F9A!R115</f>
        <v>0</v>
      </c>
      <c r="C112" s="1494">
        <f>F9A!S115</f>
        <v>0</v>
      </c>
      <c r="D112" s="1480">
        <f>F9A!T115</f>
        <v>0</v>
      </c>
      <c r="E112" s="514"/>
      <c r="F112" s="527">
        <f>F9A!U115</f>
        <v>0</v>
      </c>
      <c r="G112" s="529">
        <f t="shared" si="9"/>
        <v>0</v>
      </c>
      <c r="H112" s="1481">
        <f>F9A!V115</f>
        <v>0</v>
      </c>
      <c r="I112" s="529">
        <f t="shared" si="10"/>
        <v>0</v>
      </c>
      <c r="J112" s="981">
        <f>F9A!W115</f>
        <v>0</v>
      </c>
      <c r="K112" s="529">
        <f t="shared" si="11"/>
        <v>0</v>
      </c>
      <c r="L112" s="515"/>
      <c r="M112" s="515"/>
      <c r="N112" s="1481">
        <f>'F9'!Q114</f>
        <v>0</v>
      </c>
      <c r="O112" s="529">
        <f t="shared" si="12"/>
        <v>0</v>
      </c>
      <c r="P112" s="1481">
        <f>'F9'!R114</f>
        <v>0</v>
      </c>
      <c r="Q112" s="529">
        <f t="shared" si="13"/>
        <v>0</v>
      </c>
      <c r="R112" s="528">
        <f>'F9'!S114</f>
        <v>0</v>
      </c>
      <c r="S112" s="529">
        <f t="shared" si="14"/>
        <v>0</v>
      </c>
      <c r="T112" s="528"/>
      <c r="U112" s="529"/>
      <c r="V112" s="1481">
        <f>'F9'!V114</f>
        <v>0</v>
      </c>
      <c r="W112" s="529">
        <f t="shared" si="15"/>
        <v>0</v>
      </c>
      <c r="X112" s="981">
        <f>'F9'!W114</f>
        <v>0</v>
      </c>
      <c r="Y112" s="529">
        <f t="shared" si="16"/>
        <v>0</v>
      </c>
      <c r="Z112" s="528">
        <f>'F9'!X114</f>
        <v>0</v>
      </c>
      <c r="AA112" s="529">
        <f t="shared" si="17"/>
        <v>0</v>
      </c>
      <c r="AB112" s="516"/>
      <c r="AC112" s="516"/>
    </row>
    <row r="113" spans="1:29">
      <c r="A113" s="1378" t="s">
        <v>1135</v>
      </c>
      <c r="B113" s="1478">
        <f>F9A!R116</f>
        <v>0</v>
      </c>
      <c r="C113" s="1494">
        <f>F9A!S116</f>
        <v>0</v>
      </c>
      <c r="D113" s="1480">
        <f>F9A!T116</f>
        <v>0</v>
      </c>
      <c r="E113" s="515"/>
      <c r="F113" s="527">
        <f>F9A!U116</f>
        <v>0</v>
      </c>
      <c r="G113" s="529">
        <f t="shared" si="9"/>
        <v>0</v>
      </c>
      <c r="H113" s="1481">
        <f>F9A!V116</f>
        <v>0</v>
      </c>
      <c r="I113" s="529">
        <f t="shared" si="10"/>
        <v>0</v>
      </c>
      <c r="J113" s="981">
        <f>F9A!W116</f>
        <v>0</v>
      </c>
      <c r="K113" s="529">
        <f t="shared" si="11"/>
        <v>0</v>
      </c>
      <c r="L113" s="515"/>
      <c r="M113" s="515"/>
      <c r="N113" s="1481">
        <f>'F9'!Q115</f>
        <v>0</v>
      </c>
      <c r="O113" s="529">
        <f t="shared" si="12"/>
        <v>0</v>
      </c>
      <c r="P113" s="1481">
        <f>'F9'!R115</f>
        <v>0</v>
      </c>
      <c r="Q113" s="529">
        <f t="shared" si="13"/>
        <v>0</v>
      </c>
      <c r="R113" s="528">
        <f>'F9'!S115</f>
        <v>0</v>
      </c>
      <c r="S113" s="529">
        <f t="shared" si="14"/>
        <v>0</v>
      </c>
      <c r="T113" s="528"/>
      <c r="U113" s="529"/>
      <c r="V113" s="1481">
        <f>'F9'!V115</f>
        <v>0</v>
      </c>
      <c r="W113" s="529">
        <f t="shared" si="15"/>
        <v>0</v>
      </c>
      <c r="X113" s="981">
        <f>'F9'!W115</f>
        <v>0</v>
      </c>
      <c r="Y113" s="529">
        <f t="shared" si="16"/>
        <v>0</v>
      </c>
      <c r="Z113" s="528">
        <f>'F9'!X115</f>
        <v>0</v>
      </c>
      <c r="AA113" s="529">
        <f t="shared" si="17"/>
        <v>0</v>
      </c>
      <c r="AB113" s="515"/>
      <c r="AC113" s="516"/>
    </row>
    <row r="114" spans="1:29">
      <c r="A114" s="1369" t="s">
        <v>1425</v>
      </c>
      <c r="B114" s="1478">
        <f>F9A!R117</f>
        <v>0</v>
      </c>
      <c r="C114" s="1494">
        <f>F9A!S117</f>
        <v>0</v>
      </c>
      <c r="D114" s="1480">
        <f>F9A!T117</f>
        <v>0</v>
      </c>
      <c r="E114" s="514"/>
      <c r="F114" s="527">
        <f>F9A!U117</f>
        <v>1</v>
      </c>
      <c r="G114" s="529">
        <f t="shared" si="9"/>
        <v>0</v>
      </c>
      <c r="H114" s="1481">
        <f>F9A!V117</f>
        <v>10800</v>
      </c>
      <c r="I114" s="529">
        <f t="shared" si="10"/>
        <v>0</v>
      </c>
      <c r="J114" s="981">
        <f>F9A!W117</f>
        <v>24.856000000000002</v>
      </c>
      <c r="K114" s="529">
        <f t="shared" si="11"/>
        <v>0</v>
      </c>
      <c r="L114" s="515"/>
      <c r="M114" s="515"/>
      <c r="N114" s="1481">
        <f>'F9'!Q116</f>
        <v>1</v>
      </c>
      <c r="O114" s="529">
        <f t="shared" si="12"/>
        <v>0</v>
      </c>
      <c r="P114" s="1481">
        <f>'F9'!R116</f>
        <v>10800</v>
      </c>
      <c r="Q114" s="529">
        <f t="shared" si="13"/>
        <v>0</v>
      </c>
      <c r="R114" s="528">
        <f>'F9'!S116</f>
        <v>7.8573333333333331</v>
      </c>
      <c r="S114" s="529">
        <f t="shared" si="14"/>
        <v>-0.6838858491578157</v>
      </c>
      <c r="T114" s="528"/>
      <c r="U114" s="529"/>
      <c r="V114" s="1481">
        <f>'F9'!V116</f>
        <v>1</v>
      </c>
      <c r="W114" s="529">
        <f t="shared" si="15"/>
        <v>0</v>
      </c>
      <c r="X114" s="981">
        <f>'F9'!W116</f>
        <v>10800</v>
      </c>
      <c r="Y114" s="529">
        <f t="shared" si="16"/>
        <v>0</v>
      </c>
      <c r="Z114" s="528">
        <f>'F9'!X116</f>
        <v>7.8573333333333331</v>
      </c>
      <c r="AA114" s="529">
        <f t="shared" si="17"/>
        <v>0</v>
      </c>
      <c r="AB114" s="515"/>
      <c r="AC114" s="516"/>
    </row>
    <row r="115" spans="1:29">
      <c r="A115" s="1369" t="s">
        <v>1446</v>
      </c>
      <c r="B115" s="1478"/>
      <c r="C115" s="1494">
        <f>F9A!S118</f>
        <v>0</v>
      </c>
      <c r="D115" s="1480">
        <f>F9A!T118</f>
        <v>0</v>
      </c>
      <c r="E115" s="514"/>
      <c r="F115" s="527">
        <f>F9A!U118</f>
        <v>1</v>
      </c>
      <c r="G115" s="529"/>
      <c r="H115" s="1481"/>
      <c r="I115" s="529"/>
      <c r="J115" s="981"/>
      <c r="K115" s="529"/>
      <c r="L115" s="515"/>
      <c r="M115" s="515"/>
      <c r="N115" s="1481"/>
      <c r="O115" s="529"/>
      <c r="P115" s="1481"/>
      <c r="Q115" s="529"/>
      <c r="R115" s="528">
        <f>'F9'!S117</f>
        <v>7.8573333333333331</v>
      </c>
      <c r="S115" s="529"/>
      <c r="T115" s="528"/>
      <c r="U115" s="529"/>
      <c r="V115" s="1481"/>
      <c r="W115" s="529"/>
      <c r="X115" s="981"/>
      <c r="Y115" s="529"/>
      <c r="Z115" s="528"/>
      <c r="AA115" s="529"/>
      <c r="AB115" s="515"/>
      <c r="AC115" s="516"/>
    </row>
    <row r="116" spans="1:29" ht="28">
      <c r="A116" s="1367" t="s">
        <v>1137</v>
      </c>
      <c r="B116" s="1478">
        <f>F9A!R119</f>
        <v>0</v>
      </c>
      <c r="C116" s="1494">
        <f>F9A!S119</f>
        <v>0</v>
      </c>
      <c r="D116" s="1480">
        <f>F9A!T119</f>
        <v>0</v>
      </c>
      <c r="E116" s="514"/>
      <c r="F116" s="527">
        <f>F9A!U119</f>
        <v>0</v>
      </c>
      <c r="G116" s="529">
        <f t="shared" si="9"/>
        <v>0</v>
      </c>
      <c r="H116" s="1481">
        <f>F9A!V119</f>
        <v>0</v>
      </c>
      <c r="I116" s="529">
        <f t="shared" si="10"/>
        <v>0</v>
      </c>
      <c r="J116" s="981">
        <f>F9A!W119</f>
        <v>0</v>
      </c>
      <c r="K116" s="529">
        <f t="shared" si="11"/>
        <v>0</v>
      </c>
      <c r="L116" s="515"/>
      <c r="M116" s="515"/>
      <c r="N116" s="1481">
        <f>'F9'!Q118</f>
        <v>0</v>
      </c>
      <c r="O116" s="529">
        <f t="shared" si="12"/>
        <v>0</v>
      </c>
      <c r="P116" s="1481">
        <f>'F9'!R118</f>
        <v>0</v>
      </c>
      <c r="Q116" s="529">
        <f t="shared" si="13"/>
        <v>0</v>
      </c>
      <c r="R116" s="528">
        <f>'F9'!S118</f>
        <v>0</v>
      </c>
      <c r="S116" s="529">
        <f t="shared" si="14"/>
        <v>0</v>
      </c>
      <c r="T116" s="528"/>
      <c r="U116" s="529"/>
      <c r="V116" s="1481">
        <f>'F9'!V118</f>
        <v>0</v>
      </c>
      <c r="W116" s="529">
        <f t="shared" si="15"/>
        <v>0</v>
      </c>
      <c r="X116" s="981">
        <f>'F9'!W118</f>
        <v>0</v>
      </c>
      <c r="Y116" s="529">
        <f t="shared" si="16"/>
        <v>0</v>
      </c>
      <c r="Z116" s="528">
        <f>'F9'!X118</f>
        <v>0</v>
      </c>
      <c r="AA116" s="529">
        <f t="shared" si="17"/>
        <v>0</v>
      </c>
      <c r="AB116" s="515"/>
      <c r="AC116" s="516"/>
    </row>
    <row r="117" spans="1:29">
      <c r="A117" s="1378" t="s">
        <v>1138</v>
      </c>
      <c r="B117" s="1478">
        <f>F9A!R120</f>
        <v>26</v>
      </c>
      <c r="C117" s="1494">
        <f>F9A!S120</f>
        <v>23977</v>
      </c>
      <c r="D117" s="1480">
        <f>F9A!T120</f>
        <v>212.66</v>
      </c>
      <c r="E117" s="514"/>
      <c r="F117" s="527">
        <f>F9A!U120</f>
        <v>40</v>
      </c>
      <c r="G117" s="529">
        <f t="shared" si="9"/>
        <v>0.53846153846153844</v>
      </c>
      <c r="H117" s="1481">
        <f>F9A!V120</f>
        <v>38184</v>
      </c>
      <c r="I117" s="529">
        <f t="shared" si="10"/>
        <v>0.59252617091379234</v>
      </c>
      <c r="J117" s="981">
        <f>F9A!W120</f>
        <v>155.06</v>
      </c>
      <c r="K117" s="529">
        <f t="shared" si="11"/>
        <v>-0.27085488573309507</v>
      </c>
      <c r="L117" s="515"/>
      <c r="M117" s="515"/>
      <c r="N117" s="1481">
        <f>'F9'!Q119</f>
        <v>40.4</v>
      </c>
      <c r="O117" s="529">
        <f t="shared" si="12"/>
        <v>9.9999999999999638E-3</v>
      </c>
      <c r="P117" s="1481">
        <f>'F9'!R119</f>
        <v>38565.840000000004</v>
      </c>
      <c r="Q117" s="529">
        <f t="shared" si="13"/>
        <v>1.0000000000000099E-2</v>
      </c>
      <c r="R117" s="528">
        <f>'F9'!S119</f>
        <v>158.16120000000001</v>
      </c>
      <c r="S117" s="529">
        <f t="shared" si="14"/>
        <v>2.0000000000000035E-2</v>
      </c>
      <c r="T117" s="528"/>
      <c r="U117" s="529"/>
      <c r="V117" s="1481">
        <f>'F9'!V119</f>
        <v>40.804000000000002</v>
      </c>
      <c r="W117" s="529">
        <f t="shared" si="15"/>
        <v>1.0000000000000087E-2</v>
      </c>
      <c r="X117" s="981">
        <f>'F9'!W119</f>
        <v>38951.498400000004</v>
      </c>
      <c r="Y117" s="529">
        <f t="shared" si="16"/>
        <v>1.0000000000000005E-2</v>
      </c>
      <c r="Z117" s="528">
        <f>'F9'!X119</f>
        <v>159.74281200000001</v>
      </c>
      <c r="AA117" s="529">
        <f t="shared" si="17"/>
        <v>1.0000000000000044E-2</v>
      </c>
      <c r="AB117" s="515"/>
      <c r="AC117" s="516"/>
    </row>
    <row r="118" spans="1:29">
      <c r="A118" s="1378" t="s">
        <v>1139</v>
      </c>
      <c r="B118" s="1478">
        <f>F9A!R121</f>
        <v>6</v>
      </c>
      <c r="C118" s="1494">
        <f>F9A!S121</f>
        <v>115269</v>
      </c>
      <c r="D118" s="1480">
        <f>F9A!T121</f>
        <v>269</v>
      </c>
      <c r="E118" s="514"/>
      <c r="F118" s="527">
        <f>F9A!U121</f>
        <v>17</v>
      </c>
      <c r="G118" s="529">
        <f t="shared" si="9"/>
        <v>1.8333333333333333</v>
      </c>
      <c r="H118" s="1481">
        <f>F9A!V121</f>
        <v>90950</v>
      </c>
      <c r="I118" s="529">
        <f t="shared" si="10"/>
        <v>-0.21097606468347951</v>
      </c>
      <c r="J118" s="981">
        <f>F9A!W121</f>
        <v>321.11899999999997</v>
      </c>
      <c r="K118" s="529">
        <f t="shared" si="11"/>
        <v>0.19375092936802962</v>
      </c>
      <c r="L118" s="515"/>
      <c r="M118" s="515"/>
      <c r="N118" s="1481">
        <f>'F9'!Q120</f>
        <v>17.170000000000002</v>
      </c>
      <c r="O118" s="529">
        <f t="shared" si="12"/>
        <v>1.0000000000000101E-2</v>
      </c>
      <c r="P118" s="1481">
        <f>'F9'!R120</f>
        <v>91859.5</v>
      </c>
      <c r="Q118" s="529">
        <f t="shared" si="13"/>
        <v>0.01</v>
      </c>
      <c r="R118" s="528">
        <f>'F9'!S120</f>
        <v>327.54138</v>
      </c>
      <c r="S118" s="529">
        <f t="shared" si="14"/>
        <v>2.0000000000000101E-2</v>
      </c>
      <c r="T118" s="528"/>
      <c r="U118" s="529"/>
      <c r="V118" s="1481">
        <f>'F9'!V120</f>
        <v>17.341700000000003</v>
      </c>
      <c r="W118" s="529">
        <f t="shared" si="15"/>
        <v>1.0000000000000075E-2</v>
      </c>
      <c r="X118" s="981">
        <f>'F9'!W120</f>
        <v>92778.095000000001</v>
      </c>
      <c r="Y118" s="529">
        <f t="shared" si="16"/>
        <v>1.0000000000000012E-2</v>
      </c>
      <c r="Z118" s="528">
        <f>'F9'!X120</f>
        <v>330.81679380000003</v>
      </c>
      <c r="AA118" s="529">
        <f t="shared" si="17"/>
        <v>1.0000000000000073E-2</v>
      </c>
      <c r="AB118" s="515"/>
      <c r="AC118" s="516"/>
    </row>
    <row r="119" spans="1:29">
      <c r="A119" s="1378" t="s">
        <v>1140</v>
      </c>
      <c r="B119" s="1478">
        <f>F9A!R122</f>
        <v>0</v>
      </c>
      <c r="C119" s="1494">
        <f>F9A!S122</f>
        <v>0</v>
      </c>
      <c r="D119" s="1480">
        <f>F9A!T122</f>
        <v>0</v>
      </c>
      <c r="E119" s="514"/>
      <c r="F119" s="527">
        <f>F9A!U122</f>
        <v>0</v>
      </c>
      <c r="G119" s="529">
        <f t="shared" si="9"/>
        <v>0</v>
      </c>
      <c r="H119" s="1481">
        <f>F9A!V122</f>
        <v>0</v>
      </c>
      <c r="I119" s="529">
        <f t="shared" si="10"/>
        <v>0</v>
      </c>
      <c r="J119" s="981">
        <f>F9A!W122</f>
        <v>0</v>
      </c>
      <c r="K119" s="529">
        <f t="shared" si="11"/>
        <v>0</v>
      </c>
      <c r="L119" s="515"/>
      <c r="M119" s="515"/>
      <c r="N119" s="1481">
        <f>'F9'!Q121</f>
        <v>0</v>
      </c>
      <c r="O119" s="529">
        <f t="shared" si="12"/>
        <v>0</v>
      </c>
      <c r="P119" s="1481">
        <f>'F9'!R121</f>
        <v>0</v>
      </c>
      <c r="Q119" s="529">
        <f t="shared" si="13"/>
        <v>0</v>
      </c>
      <c r="R119" s="528">
        <f>'F9'!S121</f>
        <v>0</v>
      </c>
      <c r="S119" s="529">
        <f t="shared" si="14"/>
        <v>0</v>
      </c>
      <c r="T119" s="528"/>
      <c r="U119" s="529"/>
      <c r="V119" s="1481">
        <f>'F9'!V121</f>
        <v>0</v>
      </c>
      <c r="W119" s="529">
        <f t="shared" si="15"/>
        <v>0</v>
      </c>
      <c r="X119" s="981">
        <f>'F9'!W121</f>
        <v>0</v>
      </c>
      <c r="Y119" s="529">
        <f t="shared" si="16"/>
        <v>0</v>
      </c>
      <c r="Z119" s="528">
        <f>'F9'!X121</f>
        <v>0</v>
      </c>
      <c r="AA119" s="529">
        <f t="shared" si="17"/>
        <v>0</v>
      </c>
      <c r="AB119" s="515"/>
      <c r="AC119" s="516"/>
    </row>
    <row r="120" spans="1:29">
      <c r="A120" s="1369" t="s">
        <v>1425</v>
      </c>
      <c r="B120" s="1478">
        <f>F9A!R123</f>
        <v>32</v>
      </c>
      <c r="C120" s="1494">
        <f>F9A!S123</f>
        <v>139246</v>
      </c>
      <c r="D120" s="1480">
        <f>F9A!T123</f>
        <v>481.65999999999997</v>
      </c>
      <c r="E120" s="514"/>
      <c r="F120" s="527">
        <f>F9A!U123</f>
        <v>57</v>
      </c>
      <c r="G120" s="529">
        <f t="shared" si="9"/>
        <v>0.78125</v>
      </c>
      <c r="H120" s="1481">
        <f>F9A!V123</f>
        <v>129134</v>
      </c>
      <c r="I120" s="529">
        <f t="shared" si="10"/>
        <v>-7.2619680278069032E-2</v>
      </c>
      <c r="J120" s="981">
        <f>F9A!W123</f>
        <v>476.17899999999997</v>
      </c>
      <c r="K120" s="529">
        <f t="shared" si="11"/>
        <v>-1.137939625461943E-2</v>
      </c>
      <c r="L120" s="515"/>
      <c r="M120" s="515"/>
      <c r="N120" s="1481">
        <f>'F9'!Q122</f>
        <v>57.57</v>
      </c>
      <c r="O120" s="529">
        <f t="shared" si="12"/>
        <v>1.0000000000000005E-2</v>
      </c>
      <c r="P120" s="1481">
        <f>'F9'!R122</f>
        <v>130425.34</v>
      </c>
      <c r="Q120" s="529">
        <f t="shared" si="13"/>
        <v>9.9999999999999725E-3</v>
      </c>
      <c r="R120" s="528">
        <f>'F9'!S122</f>
        <v>485.70258000000001</v>
      </c>
      <c r="S120" s="529">
        <f t="shared" si="14"/>
        <v>2.000000000000008E-2</v>
      </c>
      <c r="T120" s="528"/>
      <c r="U120" s="529"/>
      <c r="V120" s="1481">
        <f>'F9'!V122</f>
        <v>58.145700000000005</v>
      </c>
      <c r="W120" s="529">
        <f t="shared" si="15"/>
        <v>1.0000000000000083E-2</v>
      </c>
      <c r="X120" s="981">
        <f>'F9'!W122</f>
        <v>131729.59340000001</v>
      </c>
      <c r="Y120" s="529">
        <f t="shared" si="16"/>
        <v>1.0000000000000123E-2</v>
      </c>
      <c r="Z120" s="528">
        <f>'F9'!X122</f>
        <v>490.55960580000004</v>
      </c>
      <c r="AA120" s="529">
        <f t="shared" si="17"/>
        <v>1.0000000000000063E-2</v>
      </c>
      <c r="AB120" s="515"/>
      <c r="AC120" s="516"/>
    </row>
    <row r="121" spans="1:29">
      <c r="A121" s="1369" t="s">
        <v>1446</v>
      </c>
      <c r="B121" s="1478"/>
      <c r="C121" s="1494">
        <f>F9A!S124</f>
        <v>139246</v>
      </c>
      <c r="D121" s="1480">
        <f>F9A!T124</f>
        <v>481.65999999999997</v>
      </c>
      <c r="E121" s="514"/>
      <c r="F121" s="527">
        <f>F9A!U124</f>
        <v>57</v>
      </c>
      <c r="G121" s="529"/>
      <c r="H121" s="1481"/>
      <c r="I121" s="529"/>
      <c r="J121" s="981"/>
      <c r="K121" s="529"/>
      <c r="L121" s="515"/>
      <c r="M121" s="515"/>
      <c r="N121" s="1481"/>
      <c r="O121" s="529"/>
      <c r="P121" s="1481"/>
      <c r="Q121" s="529"/>
      <c r="R121" s="528">
        <f>'F9'!S123</f>
        <v>485.70258000000001</v>
      </c>
      <c r="S121" s="529"/>
      <c r="T121" s="528"/>
      <c r="U121" s="529"/>
      <c r="V121" s="1481"/>
      <c r="W121" s="529"/>
      <c r="X121" s="981"/>
      <c r="Y121" s="529"/>
      <c r="Z121" s="528"/>
      <c r="AA121" s="529"/>
      <c r="AB121" s="515"/>
      <c r="AC121" s="516"/>
    </row>
    <row r="122" spans="1:29">
      <c r="A122" s="1367" t="s">
        <v>1143</v>
      </c>
      <c r="B122" s="1478">
        <f>F9A!R125</f>
        <v>0</v>
      </c>
      <c r="C122" s="1494">
        <f>F9A!S125</f>
        <v>0</v>
      </c>
      <c r="D122" s="1480">
        <f>F9A!T125</f>
        <v>0</v>
      </c>
      <c r="E122" s="514"/>
      <c r="F122" s="527">
        <f>F9A!U125</f>
        <v>0</v>
      </c>
      <c r="G122" s="529">
        <f t="shared" si="9"/>
        <v>0</v>
      </c>
      <c r="H122" s="1481">
        <f>F9A!V125</f>
        <v>0</v>
      </c>
      <c r="I122" s="529">
        <f t="shared" si="10"/>
        <v>0</v>
      </c>
      <c r="J122" s="981">
        <f>F9A!W125</f>
        <v>0</v>
      </c>
      <c r="K122" s="529">
        <f t="shared" si="11"/>
        <v>0</v>
      </c>
      <c r="L122" s="515"/>
      <c r="M122" s="515"/>
      <c r="N122" s="1481">
        <f>'F9'!Q124</f>
        <v>0</v>
      </c>
      <c r="O122" s="529">
        <f t="shared" si="12"/>
        <v>0</v>
      </c>
      <c r="P122" s="1481">
        <f>'F9'!R124</f>
        <v>0</v>
      </c>
      <c r="Q122" s="529">
        <f t="shared" si="13"/>
        <v>0</v>
      </c>
      <c r="R122" s="528">
        <f>'F9'!S124</f>
        <v>0</v>
      </c>
      <c r="S122" s="529">
        <f t="shared" si="14"/>
        <v>0</v>
      </c>
      <c r="T122" s="528"/>
      <c r="U122" s="529"/>
      <c r="V122" s="1481">
        <f>'F9'!V124</f>
        <v>0</v>
      </c>
      <c r="W122" s="529">
        <f t="shared" si="15"/>
        <v>0</v>
      </c>
      <c r="X122" s="981">
        <f>'F9'!W124</f>
        <v>0</v>
      </c>
      <c r="Y122" s="529">
        <f t="shared" si="16"/>
        <v>0</v>
      </c>
      <c r="Z122" s="528">
        <f>'F9'!X124</f>
        <v>0</v>
      </c>
      <c r="AA122" s="529">
        <f t="shared" si="17"/>
        <v>0</v>
      </c>
      <c r="AB122" s="515"/>
      <c r="AC122" s="516"/>
    </row>
    <row r="123" spans="1:29">
      <c r="A123" s="1367" t="s">
        <v>1434</v>
      </c>
      <c r="B123" s="1478">
        <f>F9A!R126</f>
        <v>0</v>
      </c>
      <c r="C123" s="1494">
        <f>F9A!S126</f>
        <v>0</v>
      </c>
      <c r="D123" s="1480">
        <f>F9A!T126</f>
        <v>0</v>
      </c>
      <c r="E123" s="514"/>
      <c r="F123" s="527">
        <f>F9A!U126</f>
        <v>1</v>
      </c>
      <c r="G123" s="529">
        <f t="shared" si="9"/>
        <v>0</v>
      </c>
      <c r="H123" s="1481">
        <f>F9A!V126</f>
        <v>410</v>
      </c>
      <c r="I123" s="529">
        <f t="shared" si="10"/>
        <v>0</v>
      </c>
      <c r="J123" s="981">
        <f>F9A!W126</f>
        <v>2.8090000000000002</v>
      </c>
      <c r="K123" s="529">
        <f t="shared" si="11"/>
        <v>0</v>
      </c>
      <c r="L123" s="515"/>
      <c r="M123" s="515"/>
      <c r="N123" s="1481">
        <f>'F9'!Q125</f>
        <v>1</v>
      </c>
      <c r="O123" s="529">
        <f t="shared" si="12"/>
        <v>0</v>
      </c>
      <c r="P123" s="1481">
        <f>'F9'!R125</f>
        <v>410</v>
      </c>
      <c r="Q123" s="529">
        <f t="shared" si="13"/>
        <v>0</v>
      </c>
      <c r="R123" s="528">
        <f>'F9'!S125</f>
        <v>2.8090000000000002</v>
      </c>
      <c r="S123" s="529">
        <f t="shared" si="14"/>
        <v>0</v>
      </c>
      <c r="T123" s="528"/>
      <c r="U123" s="529"/>
      <c r="V123" s="1481">
        <f>'F9'!V125</f>
        <v>1</v>
      </c>
      <c r="W123" s="529">
        <f t="shared" si="15"/>
        <v>0</v>
      </c>
      <c r="X123" s="981">
        <f>'F9'!W125</f>
        <v>410</v>
      </c>
      <c r="Y123" s="529">
        <f t="shared" si="16"/>
        <v>0</v>
      </c>
      <c r="Z123" s="528">
        <f>'F9'!X125</f>
        <v>2.8090000000000002</v>
      </c>
      <c r="AA123" s="529">
        <f t="shared" si="17"/>
        <v>0</v>
      </c>
      <c r="AB123" s="516"/>
      <c r="AC123" s="516"/>
    </row>
    <row r="124" spans="1:29">
      <c r="A124" s="1377" t="s">
        <v>126</v>
      </c>
      <c r="B124" s="1478">
        <f>F9A!R127</f>
        <v>8349215</v>
      </c>
      <c r="C124" s="1494">
        <f>F9A!S127</f>
        <v>14820683</v>
      </c>
      <c r="D124" s="1480">
        <f>F9A!T127</f>
        <v>21237.264024</v>
      </c>
      <c r="E124" s="515"/>
      <c r="F124" s="527">
        <f>F9A!U127</f>
        <v>8728680</v>
      </c>
      <c r="G124" s="529">
        <f t="shared" si="9"/>
        <v>4.5449182947139344E-2</v>
      </c>
      <c r="H124" s="1481">
        <f>F9A!V127</f>
        <v>14351477.199999999</v>
      </c>
      <c r="I124" s="529">
        <f t="shared" si="10"/>
        <v>-3.1658851349833254E-2</v>
      </c>
      <c r="J124" s="981">
        <f>F9A!W127</f>
        <v>21903.081000000006</v>
      </c>
      <c r="K124" s="529">
        <f t="shared" si="11"/>
        <v>3.1351353698271731E-2</v>
      </c>
      <c r="L124" s="515"/>
      <c r="M124" s="515"/>
      <c r="N124" s="1481">
        <f>'F9'!Q127</f>
        <v>8966496.7250000015</v>
      </c>
      <c r="O124" s="529">
        <f t="shared" si="12"/>
        <v>2.7245439745757834E-2</v>
      </c>
      <c r="P124" s="1481">
        <f>'F9'!R127</f>
        <v>14620374.235840905</v>
      </c>
      <c r="Q124" s="529">
        <f t="shared" si="13"/>
        <v>1.8736540642722562E-2</v>
      </c>
      <c r="R124" s="528">
        <f>'F9'!S126</f>
        <v>22028.439146115656</v>
      </c>
      <c r="S124" s="529">
        <f t="shared" si="14"/>
        <v>5.7233110773616726E-3</v>
      </c>
      <c r="T124" s="528"/>
      <c r="U124" s="529"/>
      <c r="V124" s="1481">
        <f>'F9'!V127</f>
        <v>9428037.6161499992</v>
      </c>
      <c r="W124" s="529">
        <f t="shared" si="15"/>
        <v>5.1473937403350545E-2</v>
      </c>
      <c r="X124" s="981">
        <f>'F9'!W127</f>
        <v>15046611.430860184</v>
      </c>
      <c r="Y124" s="529">
        <f t="shared" si="16"/>
        <v>2.9153644642993175E-2</v>
      </c>
      <c r="Z124" s="528">
        <f>'F9'!X127</f>
        <v>22660.994932223985</v>
      </c>
      <c r="AA124" s="529">
        <f t="shared" si="17"/>
        <v>2.8715415645773044E-2</v>
      </c>
      <c r="AB124" s="515"/>
      <c r="AC124" s="516"/>
    </row>
    <row r="125" spans="1:29">
      <c r="A125" s="1369" t="s">
        <v>1446</v>
      </c>
      <c r="B125" s="1478"/>
      <c r="C125" s="1478"/>
      <c r="D125" s="1478"/>
      <c r="E125" s="514"/>
      <c r="F125" s="527"/>
      <c r="G125" s="529"/>
      <c r="H125" s="527"/>
      <c r="I125" s="529"/>
      <c r="J125" s="981"/>
      <c r="K125" s="529"/>
      <c r="L125" s="515"/>
      <c r="M125" s="515"/>
      <c r="N125" s="1481"/>
      <c r="O125" s="529"/>
      <c r="P125" s="528"/>
      <c r="Q125" s="529"/>
      <c r="R125" s="528"/>
      <c r="S125" s="529"/>
      <c r="T125" s="528"/>
      <c r="U125" s="529"/>
      <c r="V125" s="528"/>
      <c r="W125" s="529"/>
      <c r="X125" s="528"/>
      <c r="Y125" s="529"/>
      <c r="Z125" s="528"/>
      <c r="AA125" s="529"/>
      <c r="AB125" s="515"/>
      <c r="AC125" s="516"/>
    </row>
    <row r="126" spans="1:29">
      <c r="B126" s="513"/>
      <c r="C126" s="513"/>
      <c r="D126" s="513"/>
      <c r="E126" s="514"/>
      <c r="F126" s="527"/>
      <c r="G126" s="529"/>
      <c r="H126" s="527"/>
      <c r="J126" s="527"/>
    </row>
    <row r="127" spans="1:29">
      <c r="H127" s="527"/>
    </row>
    <row r="128" spans="1:29">
      <c r="H128" s="527"/>
    </row>
  </sheetData>
  <mergeCells count="15">
    <mergeCell ref="A4:AC4"/>
    <mergeCell ref="A5:A7"/>
    <mergeCell ref="G5:G6"/>
    <mergeCell ref="I5:I6"/>
    <mergeCell ref="K5:K6"/>
    <mergeCell ref="O5:O6"/>
    <mergeCell ref="Q5:Q6"/>
    <mergeCell ref="S5:S6"/>
    <mergeCell ref="U5:U6"/>
    <mergeCell ref="W5:W6"/>
    <mergeCell ref="M5:M6"/>
    <mergeCell ref="Y5:Y6"/>
    <mergeCell ref="AA5:AA6"/>
    <mergeCell ref="AC5:AC6"/>
    <mergeCell ref="B6:D6"/>
  </mergeCells>
  <printOptions horizontalCentered="1"/>
  <pageMargins left="0.19685039370078741" right="0.19685039370078741" top="0.19685039370078741" bottom="0.19685039370078741" header="0.19685039370078741" footer="0.19685039370078741"/>
  <pageSetup paperSize="9" scale="35" fitToHeight="4" orientation="landscape" r:id="rId1"/>
  <rowBreaks count="1" manualBreakCount="1">
    <brk id="69"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9"/>
  <sheetViews>
    <sheetView view="pageBreakPreview" zoomScale="85" zoomScaleSheetLayoutView="85" workbookViewId="0">
      <pane xSplit="1" ySplit="8" topLeftCell="B110" activePane="bottomRight" state="frozen"/>
      <selection activeCell="C105" sqref="C105"/>
      <selection pane="topRight" activeCell="C105" sqref="C105"/>
      <selection pane="bottomLeft" activeCell="C105" sqref="C105"/>
      <selection pane="bottomRight" activeCell="C105" sqref="C105"/>
    </sheetView>
  </sheetViews>
  <sheetFormatPr defaultColWidth="9.1796875" defaultRowHeight="14.5"/>
  <cols>
    <col min="1" max="1" width="54.7265625" style="437" customWidth="1"/>
    <col min="2" max="5" width="14.1796875" style="437" customWidth="1"/>
    <col min="6" max="16384" width="9.1796875" style="435"/>
  </cols>
  <sheetData>
    <row r="1" spans="1:5" s="509" customFormat="1">
      <c r="A1" s="546" t="s">
        <v>1167</v>
      </c>
      <c r="B1" s="546"/>
      <c r="C1" s="546"/>
      <c r="D1" s="546"/>
      <c r="E1" s="546"/>
    </row>
    <row r="2" spans="1:5">
      <c r="A2" s="392" t="s">
        <v>1604</v>
      </c>
      <c r="B2" s="715"/>
      <c r="C2" s="715"/>
      <c r="D2" s="715"/>
      <c r="E2" s="715"/>
    </row>
    <row r="3" spans="1:5">
      <c r="A3" s="440" t="s">
        <v>1187</v>
      </c>
      <c r="B3" s="440"/>
      <c r="C3" s="440"/>
      <c r="D3" s="440"/>
      <c r="E3" s="440"/>
    </row>
    <row r="4" spans="1:5" s="509" customFormat="1">
      <c r="A4" s="581"/>
      <c r="B4" s="581"/>
      <c r="C4" s="581"/>
      <c r="D4" s="581"/>
      <c r="E4" s="581"/>
    </row>
    <row r="5" spans="1:5" ht="15.75" customHeight="1">
      <c r="A5" s="2994" t="s">
        <v>1026</v>
      </c>
      <c r="B5" s="3018" t="s">
        <v>1186</v>
      </c>
      <c r="C5" s="3019"/>
      <c r="D5" s="3019"/>
      <c r="E5" s="3019"/>
    </row>
    <row r="6" spans="1:5" ht="21.75" customHeight="1">
      <c r="A6" s="2994"/>
      <c r="B6" s="431" t="s">
        <v>1160</v>
      </c>
      <c r="C6" s="431" t="s">
        <v>575</v>
      </c>
      <c r="D6" s="429" t="s">
        <v>550</v>
      </c>
      <c r="E6" s="997" t="s">
        <v>952</v>
      </c>
    </row>
    <row r="7" spans="1:5" ht="20.25" customHeight="1">
      <c r="A7" s="2994"/>
      <c r="B7" s="429" t="s">
        <v>551</v>
      </c>
      <c r="C7" s="921" t="s">
        <v>1441</v>
      </c>
      <c r="D7" s="921" t="s">
        <v>546</v>
      </c>
      <c r="E7" s="921" t="s">
        <v>547</v>
      </c>
    </row>
    <row r="8" spans="1:5" ht="36" customHeight="1">
      <c r="A8" s="2994"/>
      <c r="B8" s="431" t="s">
        <v>1161</v>
      </c>
      <c r="C8" s="431" t="s">
        <v>991</v>
      </c>
      <c r="D8" s="431" t="s">
        <v>945</v>
      </c>
      <c r="E8" s="433" t="s">
        <v>283</v>
      </c>
    </row>
    <row r="9" spans="1:5">
      <c r="A9" s="513" t="s">
        <v>1043</v>
      </c>
      <c r="B9" s="513"/>
      <c r="C9" s="513"/>
      <c r="D9" s="513"/>
      <c r="E9" s="513"/>
    </row>
    <row r="10" spans="1:5">
      <c r="A10" s="519" t="s">
        <v>1044</v>
      </c>
      <c r="B10" s="519"/>
      <c r="C10" s="519"/>
      <c r="D10" s="519"/>
      <c r="E10" s="519"/>
    </row>
    <row r="11" spans="1:5">
      <c r="A11" s="519" t="s">
        <v>1045</v>
      </c>
      <c r="B11" s="519"/>
      <c r="C11" s="519"/>
      <c r="D11" s="519"/>
      <c r="E11" s="519"/>
    </row>
    <row r="12" spans="1:5">
      <c r="A12" s="520"/>
      <c r="B12" s="520"/>
      <c r="C12" s="520"/>
      <c r="D12" s="520"/>
      <c r="E12" s="520"/>
    </row>
    <row r="13" spans="1:5">
      <c r="A13" s="519" t="s">
        <v>1046</v>
      </c>
      <c r="B13" s="519"/>
      <c r="C13" s="519"/>
      <c r="D13" s="519"/>
      <c r="E13" s="519"/>
    </row>
    <row r="14" spans="1:5">
      <c r="A14" s="520"/>
      <c r="B14" s="520"/>
      <c r="C14" s="520"/>
      <c r="D14" s="520"/>
      <c r="E14" s="520"/>
    </row>
    <row r="15" spans="1:5">
      <c r="A15" s="519" t="s">
        <v>1047</v>
      </c>
      <c r="B15" s="519"/>
      <c r="C15" s="519"/>
      <c r="D15" s="519"/>
      <c r="E15" s="519"/>
    </row>
    <row r="16" spans="1:5">
      <c r="A16" s="520"/>
      <c r="B16" s="520"/>
      <c r="C16" s="520"/>
      <c r="D16" s="520"/>
      <c r="E16" s="520"/>
    </row>
    <row r="17" spans="1:5">
      <c r="A17" s="519" t="s">
        <v>1048</v>
      </c>
      <c r="B17" s="519"/>
      <c r="C17" s="519"/>
      <c r="D17" s="519"/>
      <c r="E17" s="519"/>
    </row>
    <row r="18" spans="1:5" ht="29">
      <c r="A18" s="562" t="s">
        <v>1193</v>
      </c>
      <c r="B18" s="522"/>
      <c r="C18" s="522"/>
      <c r="D18" s="522"/>
      <c r="E18" s="522"/>
    </row>
    <row r="19" spans="1:5" s="548" customFormat="1">
      <c r="A19" s="562"/>
      <c r="B19" s="522"/>
      <c r="C19" s="522"/>
      <c r="D19" s="522"/>
      <c r="E19" s="522"/>
    </row>
    <row r="20" spans="1:5">
      <c r="A20" s="523" t="s">
        <v>1049</v>
      </c>
      <c r="B20" s="523"/>
      <c r="C20" s="523"/>
      <c r="D20" s="523"/>
      <c r="E20" s="523"/>
    </row>
    <row r="21" spans="1:5">
      <c r="A21" s="522"/>
      <c r="B21" s="522"/>
      <c r="C21" s="522"/>
      <c r="D21" s="522"/>
      <c r="E21" s="522"/>
    </row>
    <row r="22" spans="1:5">
      <c r="A22" s="522" t="s">
        <v>1050</v>
      </c>
      <c r="B22" s="522"/>
      <c r="C22" s="522"/>
      <c r="D22" s="522"/>
      <c r="E22" s="522"/>
    </row>
    <row r="23" spans="1:5">
      <c r="A23" s="523" t="s">
        <v>1051</v>
      </c>
      <c r="B23" s="523"/>
      <c r="C23" s="523"/>
      <c r="D23" s="523"/>
      <c r="E23" s="523"/>
    </row>
    <row r="24" spans="1:5">
      <c r="A24" s="523" t="s">
        <v>1052</v>
      </c>
      <c r="B24" s="523"/>
      <c r="C24" s="523"/>
      <c r="D24" s="523"/>
      <c r="E24" s="523"/>
    </row>
    <row r="25" spans="1:5">
      <c r="A25" s="523" t="s">
        <v>1053</v>
      </c>
      <c r="B25" s="523"/>
      <c r="C25" s="523"/>
      <c r="D25" s="523"/>
      <c r="E25" s="523"/>
    </row>
    <row r="26" spans="1:5">
      <c r="A26" s="523" t="s">
        <v>1054</v>
      </c>
      <c r="B26" s="523"/>
      <c r="C26" s="523"/>
      <c r="D26" s="523"/>
      <c r="E26" s="523"/>
    </row>
    <row r="27" spans="1:5">
      <c r="A27" s="523" t="s">
        <v>1058</v>
      </c>
      <c r="B27" s="523"/>
      <c r="C27" s="523"/>
      <c r="D27" s="523"/>
      <c r="E27" s="523"/>
    </row>
    <row r="28" spans="1:5">
      <c r="A28" s="522"/>
      <c r="B28" s="522"/>
      <c r="C28" s="522"/>
      <c r="D28" s="522"/>
      <c r="E28" s="522"/>
    </row>
    <row r="29" spans="1:5">
      <c r="A29" s="522" t="s">
        <v>1059</v>
      </c>
      <c r="B29" s="522"/>
      <c r="C29" s="522"/>
      <c r="D29" s="522"/>
      <c r="E29" s="522"/>
    </row>
    <row r="30" spans="1:5">
      <c r="A30" s="522" t="s">
        <v>1060</v>
      </c>
      <c r="B30" s="522"/>
      <c r="C30" s="522"/>
      <c r="D30" s="522"/>
      <c r="E30" s="522"/>
    </row>
    <row r="31" spans="1:5">
      <c r="A31" s="522" t="s">
        <v>1061</v>
      </c>
      <c r="B31" s="522"/>
      <c r="C31" s="522"/>
      <c r="D31" s="522"/>
      <c r="E31" s="522"/>
    </row>
    <row r="32" spans="1:5">
      <c r="A32" s="522" t="s">
        <v>1062</v>
      </c>
      <c r="B32" s="522"/>
      <c r="C32" s="522"/>
      <c r="D32" s="522"/>
      <c r="E32" s="522"/>
    </row>
    <row r="33" spans="1:5">
      <c r="A33" s="522" t="s">
        <v>1063</v>
      </c>
      <c r="B33" s="522"/>
      <c r="C33" s="522"/>
      <c r="D33" s="522"/>
      <c r="E33" s="522"/>
    </row>
    <row r="34" spans="1:5">
      <c r="A34" s="522" t="s">
        <v>1064</v>
      </c>
      <c r="B34" s="522"/>
      <c r="C34" s="522"/>
      <c r="D34" s="522"/>
      <c r="E34" s="522"/>
    </row>
    <row r="35" spans="1:5">
      <c r="A35" s="522" t="s">
        <v>1065</v>
      </c>
      <c r="B35" s="522"/>
      <c r="C35" s="522"/>
      <c r="D35" s="522"/>
      <c r="E35" s="522"/>
    </row>
    <row r="36" spans="1:5">
      <c r="A36" s="513" t="s">
        <v>1066</v>
      </c>
      <c r="B36" s="513"/>
      <c r="C36" s="513"/>
      <c r="D36" s="513"/>
      <c r="E36" s="513"/>
    </row>
    <row r="37" spans="1:5">
      <c r="A37" s="521"/>
      <c r="B37" s="521"/>
      <c r="C37" s="521"/>
      <c r="D37" s="521"/>
      <c r="E37" s="521"/>
    </row>
    <row r="38" spans="1:5">
      <c r="A38" s="513" t="s">
        <v>1067</v>
      </c>
      <c r="B38" s="513"/>
      <c r="C38" s="513"/>
      <c r="D38" s="513"/>
      <c r="E38" s="513"/>
    </row>
    <row r="39" spans="1:5">
      <c r="A39" s="519" t="s">
        <v>1068</v>
      </c>
      <c r="B39" s="519"/>
      <c r="C39" s="519"/>
      <c r="D39" s="519"/>
      <c r="E39" s="519"/>
    </row>
    <row r="40" spans="1:5">
      <c r="A40" s="519" t="s">
        <v>1072</v>
      </c>
      <c r="B40" s="519"/>
      <c r="C40" s="519"/>
      <c r="D40" s="519"/>
      <c r="E40" s="519"/>
    </row>
    <row r="41" spans="1:5">
      <c r="A41" s="518"/>
      <c r="B41" s="518"/>
      <c r="C41" s="518"/>
      <c r="D41" s="518"/>
      <c r="E41" s="518"/>
    </row>
    <row r="42" spans="1:5">
      <c r="A42" s="513" t="s">
        <v>1075</v>
      </c>
      <c r="B42" s="513"/>
      <c r="C42" s="513"/>
      <c r="D42" s="513"/>
      <c r="E42" s="513"/>
    </row>
    <row r="43" spans="1:5">
      <c r="A43" s="521"/>
      <c r="B43" s="521"/>
      <c r="C43" s="521"/>
      <c r="D43" s="521"/>
      <c r="E43" s="521"/>
    </row>
    <row r="44" spans="1:5">
      <c r="A44" s="513" t="s">
        <v>1076</v>
      </c>
      <c r="B44" s="513"/>
      <c r="C44" s="513"/>
      <c r="D44" s="513"/>
      <c r="E44" s="513"/>
    </row>
    <row r="45" spans="1:5">
      <c r="A45" s="522" t="s">
        <v>1077</v>
      </c>
      <c r="B45" s="522"/>
      <c r="C45" s="522"/>
      <c r="D45" s="522"/>
      <c r="E45" s="522"/>
    </row>
    <row r="46" spans="1:5">
      <c r="A46" s="522" t="s">
        <v>1078</v>
      </c>
      <c r="B46" s="522"/>
      <c r="C46" s="522"/>
      <c r="D46" s="522"/>
      <c r="E46" s="522"/>
    </row>
    <row r="47" spans="1:5">
      <c r="A47" s="522" t="s">
        <v>1079</v>
      </c>
      <c r="B47" s="522"/>
      <c r="C47" s="522"/>
      <c r="D47" s="522"/>
      <c r="E47" s="522"/>
    </row>
    <row r="48" spans="1:5">
      <c r="A48" s="523" t="s">
        <v>1080</v>
      </c>
      <c r="B48" s="523"/>
      <c r="C48" s="523"/>
      <c r="D48" s="523"/>
      <c r="E48" s="523"/>
    </row>
    <row r="49" spans="1:5">
      <c r="A49" s="522"/>
      <c r="B49" s="522"/>
      <c r="C49" s="522"/>
      <c r="D49" s="522"/>
      <c r="E49" s="522"/>
    </row>
    <row r="50" spans="1:5">
      <c r="A50" s="513" t="s">
        <v>1081</v>
      </c>
      <c r="B50" s="513"/>
      <c r="C50" s="513"/>
      <c r="D50" s="513"/>
      <c r="E50" s="513"/>
    </row>
    <row r="51" spans="1:5">
      <c r="A51" s="523" t="s">
        <v>1082</v>
      </c>
      <c r="B51" s="523"/>
      <c r="C51" s="523"/>
      <c r="D51" s="523"/>
      <c r="E51" s="523"/>
    </row>
    <row r="52" spans="1:5">
      <c r="A52" s="523" t="s">
        <v>1083</v>
      </c>
      <c r="B52" s="523"/>
      <c r="C52" s="523"/>
      <c r="D52" s="523"/>
      <c r="E52" s="523"/>
    </row>
    <row r="53" spans="1:5">
      <c r="A53" s="523" t="s">
        <v>1084</v>
      </c>
      <c r="B53" s="523"/>
      <c r="C53" s="523"/>
      <c r="D53" s="523"/>
      <c r="E53" s="523"/>
    </row>
    <row r="54" spans="1:5">
      <c r="A54" s="523" t="s">
        <v>1085</v>
      </c>
      <c r="B54" s="523"/>
      <c r="C54" s="523"/>
      <c r="D54" s="523"/>
      <c r="E54" s="523"/>
    </row>
    <row r="55" spans="1:5">
      <c r="A55" s="523" t="s">
        <v>1089</v>
      </c>
      <c r="B55" s="523"/>
      <c r="C55" s="523"/>
      <c r="D55" s="523"/>
      <c r="E55" s="523"/>
    </row>
    <row r="56" spans="1:5">
      <c r="A56" s="522"/>
      <c r="B56" s="522"/>
      <c r="C56" s="522"/>
      <c r="D56" s="522"/>
      <c r="E56" s="522"/>
    </row>
    <row r="57" spans="1:5">
      <c r="A57" s="513" t="s">
        <v>1090</v>
      </c>
      <c r="B57" s="513"/>
      <c r="C57" s="513"/>
      <c r="D57" s="513"/>
      <c r="E57" s="513"/>
    </row>
    <row r="58" spans="1:5">
      <c r="A58" s="521" t="s">
        <v>1091</v>
      </c>
      <c r="B58" s="521"/>
      <c r="C58" s="521"/>
      <c r="D58" s="521"/>
      <c r="E58" s="521"/>
    </row>
    <row r="59" spans="1:5">
      <c r="A59" s="521" t="s">
        <v>1092</v>
      </c>
      <c r="B59" s="521"/>
      <c r="C59" s="521"/>
      <c r="D59" s="521"/>
      <c r="E59" s="521"/>
    </row>
    <row r="60" spans="1:5">
      <c r="A60" s="521" t="s">
        <v>1093</v>
      </c>
      <c r="B60" s="521"/>
      <c r="C60" s="521"/>
      <c r="D60" s="521"/>
      <c r="E60" s="521"/>
    </row>
    <row r="61" spans="1:5">
      <c r="A61" s="521" t="s">
        <v>1094</v>
      </c>
      <c r="B61" s="521"/>
      <c r="C61" s="521"/>
      <c r="D61" s="521"/>
      <c r="E61" s="521"/>
    </row>
    <row r="62" spans="1:5">
      <c r="A62" s="521" t="s">
        <v>1095</v>
      </c>
      <c r="B62" s="521"/>
      <c r="C62" s="521"/>
      <c r="D62" s="521"/>
      <c r="E62" s="521"/>
    </row>
    <row r="63" spans="1:5">
      <c r="A63" s="521" t="s">
        <v>1096</v>
      </c>
      <c r="B63" s="521"/>
      <c r="C63" s="521"/>
      <c r="D63" s="521"/>
      <c r="E63" s="521"/>
    </row>
    <row r="64" spans="1:5">
      <c r="A64" s="513" t="s">
        <v>1097</v>
      </c>
      <c r="B64" s="513"/>
      <c r="C64" s="513"/>
      <c r="D64" s="513"/>
      <c r="E64" s="513"/>
    </row>
    <row r="65" spans="1:5" ht="15.75" customHeight="1">
      <c r="A65" s="521"/>
      <c r="B65" s="521"/>
      <c r="C65" s="521"/>
      <c r="D65" s="521"/>
      <c r="E65" s="521"/>
    </row>
    <row r="66" spans="1:5">
      <c r="A66" s="513" t="s">
        <v>1098</v>
      </c>
      <c r="B66" s="513"/>
      <c r="C66" s="513"/>
      <c r="D66" s="513"/>
      <c r="E66" s="513"/>
    </row>
    <row r="67" spans="1:5">
      <c r="A67" s="520" t="s">
        <v>1099</v>
      </c>
      <c r="B67" s="520"/>
      <c r="C67" s="520"/>
      <c r="D67" s="520"/>
      <c r="E67" s="520"/>
    </row>
    <row r="68" spans="1:5">
      <c r="A68" s="520" t="s">
        <v>1100</v>
      </c>
      <c r="B68" s="520"/>
      <c r="C68" s="520"/>
      <c r="D68" s="520"/>
      <c r="E68" s="520"/>
    </row>
    <row r="69" spans="1:5">
      <c r="A69" s="520" t="s">
        <v>1101</v>
      </c>
      <c r="B69" s="520"/>
      <c r="C69" s="520"/>
      <c r="D69" s="520"/>
      <c r="E69" s="520"/>
    </row>
    <row r="70" spans="1:5">
      <c r="A70" s="513" t="s">
        <v>1102</v>
      </c>
      <c r="B70" s="513"/>
      <c r="C70" s="513"/>
      <c r="D70" s="513"/>
      <c r="E70" s="513"/>
    </row>
    <row r="71" spans="1:5">
      <c r="A71" s="518"/>
      <c r="B71" s="518"/>
      <c r="C71" s="518"/>
      <c r="D71" s="518"/>
      <c r="E71" s="518"/>
    </row>
    <row r="72" spans="1:5">
      <c r="A72" s="513" t="s">
        <v>1103</v>
      </c>
      <c r="B72" s="513"/>
      <c r="C72" s="513"/>
      <c r="D72" s="513"/>
      <c r="E72" s="513"/>
    </row>
    <row r="73" spans="1:5">
      <c r="A73" s="520" t="s">
        <v>1104</v>
      </c>
      <c r="B73" s="520"/>
      <c r="C73" s="520"/>
      <c r="D73" s="520"/>
      <c r="E73" s="520"/>
    </row>
    <row r="74" spans="1:5">
      <c r="A74" s="520" t="s">
        <v>1105</v>
      </c>
      <c r="B74" s="520"/>
      <c r="C74" s="520"/>
      <c r="D74" s="520"/>
      <c r="E74" s="520"/>
    </row>
    <row r="75" spans="1:5">
      <c r="A75" s="520" t="s">
        <v>1106</v>
      </c>
      <c r="B75" s="520"/>
      <c r="C75" s="520"/>
      <c r="D75" s="520"/>
      <c r="E75" s="520"/>
    </row>
    <row r="76" spans="1:5">
      <c r="A76" s="520" t="s">
        <v>1107</v>
      </c>
      <c r="B76" s="520"/>
      <c r="C76" s="520"/>
      <c r="D76" s="520"/>
      <c r="E76" s="520"/>
    </row>
    <row r="77" spans="1:5">
      <c r="A77" s="513" t="s">
        <v>1108</v>
      </c>
      <c r="B77" s="513"/>
      <c r="C77" s="513"/>
      <c r="D77" s="513"/>
      <c r="E77" s="513"/>
    </row>
    <row r="78" spans="1:5">
      <c r="A78" s="518"/>
      <c r="B78" s="518"/>
      <c r="C78" s="518"/>
      <c r="D78" s="518"/>
      <c r="E78" s="518"/>
    </row>
    <row r="79" spans="1:5">
      <c r="A79" s="513" t="s">
        <v>1109</v>
      </c>
      <c r="B79" s="513"/>
      <c r="C79" s="513"/>
      <c r="D79" s="513"/>
      <c r="E79" s="513"/>
    </row>
    <row r="80" spans="1:5">
      <c r="A80" s="520" t="s">
        <v>1110</v>
      </c>
      <c r="B80" s="520"/>
      <c r="C80" s="520"/>
      <c r="D80" s="520"/>
      <c r="E80" s="520"/>
    </row>
    <row r="81" spans="1:5">
      <c r="A81" s="520" t="s">
        <v>1111</v>
      </c>
      <c r="B81" s="520"/>
      <c r="C81" s="520"/>
      <c r="D81" s="520"/>
      <c r="E81" s="520"/>
    </row>
    <row r="82" spans="1:5">
      <c r="A82" s="520" t="s">
        <v>1112</v>
      </c>
      <c r="B82" s="520"/>
      <c r="C82" s="520"/>
      <c r="D82" s="520"/>
      <c r="E82" s="520"/>
    </row>
    <row r="83" spans="1:5">
      <c r="A83" s="520" t="s">
        <v>1113</v>
      </c>
      <c r="B83" s="520"/>
      <c r="C83" s="520"/>
      <c r="D83" s="520"/>
      <c r="E83" s="520"/>
    </row>
    <row r="84" spans="1:5">
      <c r="A84" s="520" t="s">
        <v>1114</v>
      </c>
      <c r="B84" s="520"/>
      <c r="C84" s="520"/>
      <c r="D84" s="520"/>
      <c r="E84" s="520"/>
    </row>
    <row r="85" spans="1:5">
      <c r="A85" s="520" t="s">
        <v>1115</v>
      </c>
      <c r="B85" s="520"/>
      <c r="C85" s="520"/>
      <c r="D85" s="520"/>
      <c r="E85" s="520"/>
    </row>
    <row r="86" spans="1:5">
      <c r="A86" s="520" t="s">
        <v>1116</v>
      </c>
      <c r="B86" s="520"/>
      <c r="C86" s="520"/>
      <c r="D86" s="520"/>
      <c r="E86" s="520"/>
    </row>
    <row r="87" spans="1:5">
      <c r="A87" s="520" t="s">
        <v>1117</v>
      </c>
      <c r="B87" s="520"/>
      <c r="C87" s="520"/>
      <c r="D87" s="520"/>
      <c r="E87" s="520"/>
    </row>
    <row r="88" spans="1:5">
      <c r="A88" s="513" t="s">
        <v>1118</v>
      </c>
      <c r="B88" s="513"/>
      <c r="C88" s="513"/>
      <c r="D88" s="513"/>
      <c r="E88" s="513"/>
    </row>
    <row r="89" spans="1:5">
      <c r="A89" s="521"/>
      <c r="B89" s="521"/>
      <c r="C89" s="521"/>
      <c r="D89" s="521"/>
      <c r="E89" s="521"/>
    </row>
    <row r="90" spans="1:5">
      <c r="A90" s="513" t="s">
        <v>1119</v>
      </c>
      <c r="B90" s="513"/>
      <c r="C90" s="513"/>
      <c r="D90" s="513"/>
      <c r="E90" s="513"/>
    </row>
    <row r="91" spans="1:5">
      <c r="A91" s="520" t="s">
        <v>1120</v>
      </c>
      <c r="B91" s="520"/>
      <c r="C91" s="520"/>
      <c r="D91" s="520"/>
      <c r="E91" s="520"/>
    </row>
    <row r="92" spans="1:5">
      <c r="A92" s="520" t="s">
        <v>1121</v>
      </c>
      <c r="B92" s="520"/>
      <c r="C92" s="520"/>
      <c r="D92" s="520"/>
      <c r="E92" s="520"/>
    </row>
    <row r="93" spans="1:5">
      <c r="A93" s="520" t="s">
        <v>1122</v>
      </c>
      <c r="B93" s="520"/>
      <c r="C93" s="520"/>
      <c r="D93" s="520"/>
      <c r="E93" s="520"/>
    </row>
    <row r="94" spans="1:5">
      <c r="A94" s="520" t="s">
        <v>1123</v>
      </c>
      <c r="B94" s="520"/>
      <c r="C94" s="520"/>
      <c r="D94" s="520"/>
      <c r="E94" s="520"/>
    </row>
    <row r="95" spans="1:5">
      <c r="A95" s="513" t="s">
        <v>1124</v>
      </c>
      <c r="B95" s="513"/>
      <c r="C95" s="513"/>
      <c r="D95" s="513"/>
      <c r="E95" s="513"/>
    </row>
    <row r="96" spans="1:5">
      <c r="A96" s="518"/>
      <c r="B96" s="518"/>
      <c r="C96" s="518"/>
      <c r="D96" s="518"/>
      <c r="E96" s="518"/>
    </row>
    <row r="97" spans="1:5">
      <c r="A97" s="513" t="s">
        <v>1125</v>
      </c>
      <c r="B97" s="513"/>
      <c r="C97" s="513"/>
      <c r="D97" s="513"/>
      <c r="E97" s="513"/>
    </row>
    <row r="98" spans="1:5">
      <c r="A98" s="519" t="s">
        <v>1126</v>
      </c>
      <c r="B98" s="519"/>
      <c r="C98" s="519"/>
      <c r="D98" s="519"/>
      <c r="E98" s="519"/>
    </row>
    <row r="99" spans="1:5">
      <c r="A99" s="519" t="s">
        <v>1127</v>
      </c>
      <c r="B99" s="519"/>
      <c r="C99" s="519"/>
      <c r="D99" s="519"/>
      <c r="E99" s="519"/>
    </row>
    <row r="100" spans="1:5">
      <c r="A100" s="519" t="s">
        <v>1128</v>
      </c>
      <c r="B100" s="519"/>
      <c r="C100" s="519"/>
      <c r="D100" s="519"/>
      <c r="E100" s="519"/>
    </row>
    <row r="101" spans="1:5">
      <c r="A101" s="519" t="s">
        <v>1129</v>
      </c>
      <c r="B101" s="519"/>
      <c r="C101" s="519"/>
      <c r="D101" s="519"/>
      <c r="E101" s="519"/>
    </row>
    <row r="102" spans="1:5">
      <c r="A102" s="519" t="s">
        <v>1130</v>
      </c>
      <c r="B102" s="519"/>
      <c r="C102" s="519"/>
      <c r="D102" s="519"/>
      <c r="E102" s="519"/>
    </row>
    <row r="103" spans="1:5">
      <c r="A103" s="519" t="s">
        <v>1131</v>
      </c>
      <c r="B103" s="519"/>
      <c r="C103" s="519"/>
      <c r="D103" s="519"/>
      <c r="E103" s="519"/>
    </row>
    <row r="104" spans="1:5">
      <c r="A104" s="513" t="s">
        <v>1132</v>
      </c>
      <c r="B104" s="513"/>
      <c r="C104" s="513"/>
      <c r="D104" s="513"/>
      <c r="E104" s="513"/>
    </row>
    <row r="105" spans="1:5">
      <c r="A105" s="518"/>
      <c r="B105" s="518"/>
      <c r="C105" s="518"/>
      <c r="D105" s="518"/>
      <c r="E105" s="518"/>
    </row>
    <row r="106" spans="1:5">
      <c r="A106" s="513" t="s">
        <v>1133</v>
      </c>
      <c r="B106" s="513"/>
      <c r="C106" s="513"/>
      <c r="D106" s="513"/>
      <c r="E106" s="513"/>
    </row>
    <row r="107" spans="1:5">
      <c r="A107" s="513" t="s">
        <v>1136</v>
      </c>
      <c r="B107" s="513"/>
      <c r="C107" s="513"/>
      <c r="D107" s="513"/>
      <c r="E107" s="513"/>
    </row>
    <row r="108" spans="1:5" ht="15.65" customHeight="1">
      <c r="A108" s="521"/>
      <c r="B108" s="521"/>
      <c r="C108" s="521"/>
      <c r="D108" s="521"/>
      <c r="E108" s="521"/>
    </row>
    <row r="109" spans="1:5">
      <c r="A109" s="513" t="s">
        <v>1137</v>
      </c>
      <c r="B109" s="513"/>
      <c r="C109" s="513"/>
      <c r="D109" s="513"/>
      <c r="E109" s="513"/>
    </row>
    <row r="110" spans="1:5">
      <c r="A110" s="520" t="s">
        <v>1138</v>
      </c>
      <c r="B110" s="520"/>
      <c r="C110" s="520"/>
      <c r="D110" s="520"/>
      <c r="E110" s="520"/>
    </row>
    <row r="111" spans="1:5">
      <c r="A111" s="520" t="s">
        <v>1139</v>
      </c>
      <c r="B111" s="520"/>
      <c r="C111" s="520"/>
      <c r="D111" s="520"/>
      <c r="E111" s="520"/>
    </row>
    <row r="112" spans="1:5">
      <c r="A112" s="520" t="s">
        <v>1140</v>
      </c>
      <c r="B112" s="520"/>
      <c r="C112" s="520"/>
      <c r="D112" s="520"/>
      <c r="E112" s="520"/>
    </row>
    <row r="113" spans="1:5">
      <c r="A113" s="513" t="s">
        <v>1141</v>
      </c>
      <c r="B113" s="513"/>
      <c r="C113" s="513"/>
      <c r="D113" s="513"/>
      <c r="E113" s="513"/>
    </row>
    <row r="114" spans="1:5">
      <c r="A114" s="518"/>
      <c r="B114" s="518"/>
      <c r="C114" s="518"/>
      <c r="D114" s="518"/>
      <c r="E114" s="518"/>
    </row>
    <row r="115" spans="1:5">
      <c r="A115" s="513" t="s">
        <v>1142</v>
      </c>
      <c r="B115" s="513"/>
      <c r="C115" s="513"/>
      <c r="D115" s="513"/>
      <c r="E115" s="513"/>
    </row>
    <row r="116" spans="1:5">
      <c r="A116" s="518" t="s">
        <v>1143</v>
      </c>
      <c r="B116" s="518"/>
      <c r="C116" s="518"/>
      <c r="D116" s="518"/>
      <c r="E116" s="518"/>
    </row>
    <row r="117" spans="1:5" ht="14.25" customHeight="1">
      <c r="A117" s="518"/>
      <c r="B117" s="518"/>
      <c r="C117" s="518"/>
      <c r="D117" s="518"/>
      <c r="E117" s="518"/>
    </row>
    <row r="118" spans="1:5" ht="14.25" customHeight="1">
      <c r="A118" s="513" t="s">
        <v>1144</v>
      </c>
      <c r="B118" s="513"/>
      <c r="C118" s="513"/>
      <c r="D118" s="513"/>
      <c r="E118" s="513"/>
    </row>
    <row r="119" spans="1:5" ht="14.25" customHeight="1">
      <c r="A119" s="524"/>
      <c r="B119" s="524"/>
      <c r="C119" s="524"/>
      <c r="D119" s="524"/>
      <c r="E119" s="524"/>
    </row>
    <row r="120" spans="1:5" ht="14.25" customHeight="1">
      <c r="A120" s="513" t="s">
        <v>1145</v>
      </c>
      <c r="B120" s="513"/>
      <c r="C120" s="513"/>
      <c r="D120" s="513"/>
      <c r="E120" s="513"/>
    </row>
    <row r="121" spans="1:5" ht="14.25" customHeight="1">
      <c r="A121" s="513" t="s">
        <v>1146</v>
      </c>
      <c r="B121" s="513"/>
      <c r="C121" s="513"/>
      <c r="D121" s="513"/>
      <c r="E121" s="513"/>
    </row>
    <row r="122" spans="1:5" ht="14.25" customHeight="1">
      <c r="A122" s="518" t="s">
        <v>1015</v>
      </c>
      <c r="B122" s="518"/>
      <c r="C122" s="518"/>
      <c r="D122" s="518"/>
      <c r="E122" s="518"/>
    </row>
    <row r="123" spans="1:5" ht="14.25" customHeight="1">
      <c r="A123" s="518" t="s">
        <v>1016</v>
      </c>
      <c r="B123" s="518"/>
      <c r="C123" s="518"/>
      <c r="D123" s="518"/>
      <c r="E123" s="518"/>
    </row>
    <row r="124" spans="1:5" ht="14.25" customHeight="1">
      <c r="A124" s="513" t="s">
        <v>1017</v>
      </c>
      <c r="B124" s="513"/>
      <c r="C124" s="513"/>
      <c r="D124" s="513"/>
      <c r="E124" s="513"/>
    </row>
    <row r="125" spans="1:5" ht="14.25" customHeight="1">
      <c r="A125" s="518" t="s">
        <v>1018</v>
      </c>
      <c r="B125" s="518"/>
      <c r="C125" s="518"/>
      <c r="D125" s="518"/>
      <c r="E125" s="518"/>
    </row>
    <row r="126" spans="1:5" ht="14.25" customHeight="1">
      <c r="A126" s="518" t="s">
        <v>1019</v>
      </c>
      <c r="B126" s="518"/>
      <c r="C126" s="518"/>
      <c r="D126" s="518"/>
      <c r="E126" s="518"/>
    </row>
    <row r="127" spans="1:5" ht="14.25" customHeight="1">
      <c r="A127" s="518"/>
      <c r="B127" s="518"/>
      <c r="C127" s="518"/>
      <c r="D127" s="518"/>
      <c r="E127" s="518"/>
    </row>
    <row r="128" spans="1:5" s="436" customFormat="1">
      <c r="A128" s="512" t="s">
        <v>296</v>
      </c>
      <c r="B128" s="512"/>
      <c r="C128" s="512"/>
      <c r="D128" s="512"/>
      <c r="E128" s="512"/>
    </row>
    <row r="129" spans="1:5" s="511" customFormat="1">
      <c r="A129" s="3524" t="s">
        <v>963</v>
      </c>
      <c r="B129" s="3525"/>
      <c r="C129" s="3525"/>
      <c r="D129" s="3525"/>
      <c r="E129" s="3525"/>
    </row>
  </sheetData>
  <mergeCells count="3">
    <mergeCell ref="A129:E129"/>
    <mergeCell ref="A5:A8"/>
    <mergeCell ref="B5:E5"/>
  </mergeCells>
  <printOptions horizontalCentered="1"/>
  <pageMargins left="0.19685039370078741" right="0.19685039370078741" top="0.19685039370078741" bottom="0.19685039370078741" header="0.19685039370078741" footer="0.19685039370078741"/>
  <pageSetup paperSize="9" scale="40" orientation="portrait" r:id="rId1"/>
  <rowBreaks count="1" manualBreakCount="1">
    <brk id="48"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6"/>
  <sheetViews>
    <sheetView zoomScale="85" zoomScaleNormal="85" workbookViewId="0">
      <selection activeCell="C105" sqref="C105"/>
    </sheetView>
  </sheetViews>
  <sheetFormatPr defaultColWidth="9.1796875" defaultRowHeight="14.5"/>
  <cols>
    <col min="1" max="1" width="70.453125" style="430" customWidth="1"/>
    <col min="2" max="2" width="11.7265625" style="430" bestFit="1" customWidth="1"/>
    <col min="3" max="3" width="11" style="430" customWidth="1"/>
    <col min="4" max="16384" width="9.1796875" style="430"/>
  </cols>
  <sheetData>
    <row r="1" spans="1:40">
      <c r="A1" s="546" t="s">
        <v>1172</v>
      </c>
      <c r="B1" s="580"/>
      <c r="C1" s="580"/>
      <c r="D1" s="580"/>
      <c r="E1" s="580"/>
      <c r="F1" s="580"/>
      <c r="G1" s="580"/>
    </row>
    <row r="2" spans="1:40">
      <c r="A2" s="392" t="s">
        <v>1604</v>
      </c>
      <c r="B2" s="715"/>
      <c r="C2" s="715"/>
      <c r="D2" s="715"/>
      <c r="E2" s="715"/>
      <c r="F2" s="715"/>
      <c r="G2" s="715"/>
    </row>
    <row r="3" spans="1:40">
      <c r="A3" s="440" t="s">
        <v>1168</v>
      </c>
      <c r="B3" s="440"/>
      <c r="C3" s="440"/>
      <c r="D3" s="440"/>
      <c r="E3" s="440"/>
      <c r="F3" s="440"/>
      <c r="G3" s="440"/>
    </row>
    <row r="4" spans="1:40" s="313" customFormat="1">
      <c r="A4" s="581"/>
      <c r="B4" s="581"/>
      <c r="C4" s="581"/>
      <c r="D4" s="581"/>
      <c r="E4" s="581"/>
      <c r="F4" s="581"/>
      <c r="G4" s="581"/>
    </row>
    <row r="5" spans="1:40" s="525" customFormat="1">
      <c r="A5" s="3474" t="s">
        <v>1163</v>
      </c>
      <c r="B5" s="3519" t="s">
        <v>1165</v>
      </c>
      <c r="C5" s="3519"/>
      <c r="D5" s="3519" t="s">
        <v>945</v>
      </c>
      <c r="E5" s="3519"/>
      <c r="F5" s="3526" t="s">
        <v>952</v>
      </c>
      <c r="G5" s="3527"/>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row>
    <row r="6" spans="1:40" s="526" customFormat="1">
      <c r="A6" s="3475"/>
      <c r="B6" s="3526" t="s">
        <v>545</v>
      </c>
      <c r="C6" s="3527"/>
      <c r="D6" s="3526" t="s">
        <v>546</v>
      </c>
      <c r="E6" s="3527"/>
      <c r="F6" s="3526" t="s">
        <v>547</v>
      </c>
      <c r="G6" s="3527"/>
    </row>
    <row r="7" spans="1:40" ht="15" customHeight="1">
      <c r="A7" s="3475"/>
      <c r="B7" s="555" t="s">
        <v>1166</v>
      </c>
      <c r="C7" s="3528" t="s">
        <v>1169</v>
      </c>
      <c r="D7" s="555" t="s">
        <v>1166</v>
      </c>
      <c r="E7" s="3528" t="s">
        <v>1169</v>
      </c>
      <c r="F7" s="555" t="s">
        <v>1166</v>
      </c>
      <c r="G7" s="3528" t="s">
        <v>1169</v>
      </c>
    </row>
    <row r="8" spans="1:40" ht="39.75" customHeight="1">
      <c r="A8" s="3476"/>
      <c r="B8" s="555" t="s">
        <v>1162</v>
      </c>
      <c r="C8" s="3528"/>
      <c r="D8" s="555" t="s">
        <v>1162</v>
      </c>
      <c r="E8" s="3528"/>
      <c r="F8" s="555" t="s">
        <v>1162</v>
      </c>
      <c r="G8" s="3528"/>
    </row>
    <row r="9" spans="1:40">
      <c r="A9" s="1398" t="s">
        <v>1395</v>
      </c>
      <c r="B9" s="569"/>
      <c r="C9" s="570"/>
      <c r="D9" s="315"/>
      <c r="E9" s="315"/>
      <c r="F9" s="315"/>
      <c r="G9" s="315"/>
    </row>
    <row r="10" spans="1:40">
      <c r="A10" s="1398" t="s">
        <v>1396</v>
      </c>
      <c r="B10" s="1175">
        <f>F10B!I11</f>
        <v>0</v>
      </c>
      <c r="C10" s="1177"/>
      <c r="D10" s="1175">
        <f>F10B!O11</f>
        <v>3.3504127147336997</v>
      </c>
      <c r="E10" s="1177">
        <f t="shared" ref="E10:E23" ca="1" si="0">(D10-$D$276)/$D$276</f>
        <v>-0.57496411295090777</v>
      </c>
      <c r="F10" s="1175">
        <f>F10B!U11</f>
        <v>3.600978518926687</v>
      </c>
      <c r="G10" s="1177">
        <f t="shared" ref="G10:G73" ca="1" si="1">IFERROR((F10/$F$276),0)</f>
        <v>0.43747064270571973</v>
      </c>
    </row>
    <row r="11" spans="1:40">
      <c r="A11" s="1398" t="s">
        <v>1044</v>
      </c>
      <c r="B11" s="1175">
        <f>F10B!I12</f>
        <v>0</v>
      </c>
      <c r="C11" s="1177"/>
      <c r="D11" s="1175">
        <f>F10B!O12</f>
        <v>3.4722222222222223</v>
      </c>
      <c r="E11" s="1177">
        <f t="shared" ca="1" si="0"/>
        <v>-0.55951126684668906</v>
      </c>
      <c r="F11" s="1175">
        <f>F10B!U12</f>
        <v>3.4722222222222223</v>
      </c>
      <c r="G11" s="1177">
        <f t="shared" ca="1" si="1"/>
        <v>0.42182847778425292</v>
      </c>
      <c r="I11" s="1178"/>
    </row>
    <row r="12" spans="1:40">
      <c r="A12" s="1398" t="s">
        <v>1045</v>
      </c>
      <c r="B12" s="1175">
        <f>F10B!I13</f>
        <v>0</v>
      </c>
      <c r="C12" s="1177"/>
      <c r="D12" s="1175">
        <f>F10B!O13</f>
        <v>6.1763960277086207</v>
      </c>
      <c r="E12" s="1177">
        <f t="shared" ca="1" si="0"/>
        <v>-0.2164577358308285</v>
      </c>
      <c r="F12" s="1175">
        <f>F10B!U13</f>
        <v>4.7677377217302697</v>
      </c>
      <c r="G12" s="1177">
        <f t="shared" ca="1" si="1"/>
        <v>0.57921625314202796</v>
      </c>
    </row>
    <row r="13" spans="1:40">
      <c r="A13" s="1399" t="s">
        <v>1419</v>
      </c>
      <c r="B13" s="1175">
        <f>F10B!I14</f>
        <v>0</v>
      </c>
      <c r="C13" s="1177"/>
      <c r="D13" s="1175">
        <f>F10B!O14</f>
        <v>5.6380456415068458</v>
      </c>
      <c r="E13" s="1177">
        <f t="shared" ca="1" si="0"/>
        <v>-0.28475327235868575</v>
      </c>
      <c r="F13" s="1175">
        <f>F10B!U14</f>
        <v>4.015345042839475</v>
      </c>
      <c r="G13" s="1177">
        <f t="shared" ca="1" si="1"/>
        <v>0.48781062351346222</v>
      </c>
    </row>
    <row r="14" spans="1:40">
      <c r="A14" s="1399" t="s">
        <v>1420</v>
      </c>
      <c r="B14" s="1175">
        <f>F10B!I15</f>
        <v>0</v>
      </c>
      <c r="C14" s="1177"/>
      <c r="D14" s="1175">
        <f>F10B!O15</f>
        <v>5.9885291317291012</v>
      </c>
      <c r="E14" s="1177">
        <f t="shared" ca="1" si="0"/>
        <v>-0.24029067212212996</v>
      </c>
      <c r="F14" s="1175">
        <f>F10B!U15</f>
        <v>4.8610316735559875</v>
      </c>
      <c r="G14" s="1177">
        <f t="shared" ca="1" si="1"/>
        <v>0.59055021829934251</v>
      </c>
    </row>
    <row r="15" spans="1:40">
      <c r="A15" s="1399" t="s">
        <v>1421</v>
      </c>
      <c r="B15" s="1175">
        <f>F10B!I16</f>
        <v>0</v>
      </c>
      <c r="C15" s="1177"/>
      <c r="D15" s="1175">
        <f>F10B!O16</f>
        <v>6.4976482193256935</v>
      </c>
      <c r="E15" s="1177">
        <f t="shared" ca="1" si="0"/>
        <v>-0.17570344020928733</v>
      </c>
      <c r="F15" s="1175">
        <f>F10B!U16</f>
        <v>5.7180877757226876</v>
      </c>
      <c r="G15" s="1177">
        <f t="shared" ca="1" si="1"/>
        <v>0.69467105153371556</v>
      </c>
    </row>
    <row r="16" spans="1:40">
      <c r="A16" s="1399" t="s">
        <v>1422</v>
      </c>
      <c r="B16" s="1175">
        <f>F10B!I17</f>
        <v>0</v>
      </c>
      <c r="C16" s="1177"/>
      <c r="D16" s="1175">
        <f>F10B!O17</f>
        <v>7.0453622152208473</v>
      </c>
      <c r="E16" s="1177">
        <f t="shared" ca="1" si="0"/>
        <v>-0.10622002908481545</v>
      </c>
      <c r="F16" s="1175">
        <f>F10B!U17</f>
        <v>6.2825892193555424</v>
      </c>
      <c r="G16" s="1177">
        <f t="shared" ca="1" si="1"/>
        <v>0.76325041352001777</v>
      </c>
    </row>
    <row r="17" spans="1:7">
      <c r="A17" s="1400" t="s">
        <v>1423</v>
      </c>
      <c r="B17" s="1175">
        <f>F10B!I18</f>
        <v>0</v>
      </c>
      <c r="C17" s="1177"/>
      <c r="D17" s="1175">
        <f>F10B!O18</f>
        <v>7.3574158661224605</v>
      </c>
      <c r="E17" s="1177">
        <f t="shared" ca="1" si="0"/>
        <v>-6.6632667284698521E-2</v>
      </c>
      <c r="F17" s="1175">
        <f>F10B!U18</f>
        <v>7.4551122842250415</v>
      </c>
      <c r="G17" s="1177">
        <f t="shared" ca="1" si="1"/>
        <v>0.90569625597081616</v>
      </c>
    </row>
    <row r="18" spans="1:7">
      <c r="A18" s="1398" t="s">
        <v>1046</v>
      </c>
      <c r="B18" s="1175">
        <f>F10B!I19</f>
        <v>0</v>
      </c>
      <c r="C18" s="1177"/>
      <c r="D18" s="1175">
        <f>F10B!O19</f>
        <v>10.458119703703703</v>
      </c>
      <c r="E18" s="1177">
        <f t="shared" ca="1" si="0"/>
        <v>0.32672496304163556</v>
      </c>
      <c r="F18" s="1175">
        <f>F10B!U19</f>
        <v>13.461623422222221</v>
      </c>
      <c r="G18" s="1177">
        <f t="shared" ca="1" si="1"/>
        <v>1.6354068816098433</v>
      </c>
    </row>
    <row r="19" spans="1:7">
      <c r="A19" s="1402" t="s">
        <v>1047</v>
      </c>
      <c r="B19" s="1175">
        <f>F10B!I20</f>
        <v>0</v>
      </c>
      <c r="C19" s="1177"/>
      <c r="D19" s="1175">
        <f>F10B!O20</f>
        <v>6.8550952038885802</v>
      </c>
      <c r="E19" s="1177">
        <f t="shared" ca="1" si="0"/>
        <v>-0.13035744582220915</v>
      </c>
      <c r="F19" s="1175">
        <f>F10B!U20</f>
        <v>6.8066654083907316</v>
      </c>
      <c r="G19" s="1177">
        <f t="shared" ca="1" si="1"/>
        <v>0.82691864870635945</v>
      </c>
    </row>
    <row r="20" spans="1:7">
      <c r="A20" s="1406" t="s">
        <v>1424</v>
      </c>
      <c r="B20" s="1175">
        <f>F10B!I21</f>
        <v>0</v>
      </c>
      <c r="C20" s="1177"/>
      <c r="D20" s="1175">
        <f>F10B!O21</f>
        <v>6.4843917720793867</v>
      </c>
      <c r="E20" s="1177">
        <f t="shared" ca="1" si="0"/>
        <v>-0.17738516311753547</v>
      </c>
      <c r="F20" s="1175">
        <f>F10B!U21</f>
        <v>6.4285547667774203</v>
      </c>
      <c r="G20" s="1177">
        <f t="shared" ca="1" si="1"/>
        <v>0.78098327182725757</v>
      </c>
    </row>
    <row r="21" spans="1:7">
      <c r="A21" s="1406" t="s">
        <v>1421</v>
      </c>
      <c r="B21" s="1175">
        <f>F10B!I22</f>
        <v>0</v>
      </c>
      <c r="C21" s="1177"/>
      <c r="D21" s="1175">
        <f>F10B!O22</f>
        <v>6.8081655067245777</v>
      </c>
      <c r="E21" s="1177">
        <f t="shared" ca="1" si="0"/>
        <v>-0.13631098264330865</v>
      </c>
      <c r="F21" s="1175">
        <f>F10B!U22</f>
        <v>6.7684555277740044</v>
      </c>
      <c r="G21" s="1177">
        <f t="shared" ca="1" si="1"/>
        <v>0.82227666016262024</v>
      </c>
    </row>
    <row r="22" spans="1:7">
      <c r="A22" s="1406" t="s">
        <v>1422</v>
      </c>
      <c r="B22" s="1175">
        <f>F10B!I23</f>
        <v>0</v>
      </c>
      <c r="C22" s="1177"/>
      <c r="D22" s="1175">
        <f>F10B!O23</f>
        <v>7.4205628673578774</v>
      </c>
      <c r="E22" s="1177">
        <f t="shared" ca="1" si="0"/>
        <v>-5.8621791022632146E-2</v>
      </c>
      <c r="F22" s="1175">
        <f>F10B!U23</f>
        <v>7.3369614852774436</v>
      </c>
      <c r="G22" s="1177">
        <f t="shared" ca="1" si="1"/>
        <v>0.89134251693012734</v>
      </c>
    </row>
    <row r="23" spans="1:7">
      <c r="A23" s="1406" t="s">
        <v>1423</v>
      </c>
      <c r="B23" s="1175">
        <f>F10B!I24</f>
        <v>0</v>
      </c>
      <c r="C23" s="1177"/>
      <c r="D23" s="1175">
        <f>F10B!O24</f>
        <v>7.8730098535259927</v>
      </c>
      <c r="E23" s="1177">
        <f t="shared" ca="1" si="0"/>
        <v>-1.2240246928388557E-3</v>
      </c>
      <c r="F23" s="1175">
        <f>F10B!U24</f>
        <v>7.6974645672468718</v>
      </c>
      <c r="G23" s="1177">
        <f t="shared" ca="1" si="1"/>
        <v>0.93513881122559162</v>
      </c>
    </row>
    <row r="24" spans="1:7">
      <c r="A24" s="1402" t="s">
        <v>1425</v>
      </c>
      <c r="B24" s="1175">
        <f>F10B!I25</f>
        <v>0</v>
      </c>
      <c r="C24" s="1177"/>
      <c r="D24" s="1175">
        <f>F10B!O25</f>
        <v>5.1004933588600876</v>
      </c>
      <c r="E24" s="1177">
        <f ca="1">(D24-$D$276)/$D$276</f>
        <v>-0.35294756086686718</v>
      </c>
      <c r="F24" s="1175">
        <f>F10B!U25</f>
        <v>5.1238543057232864</v>
      </c>
      <c r="G24" s="1177">
        <f t="shared" ca="1" si="1"/>
        <v>0.62247964670540468</v>
      </c>
    </row>
    <row r="25" spans="1:7">
      <c r="A25" s="1409"/>
      <c r="B25" s="1175">
        <f>F10B!I26</f>
        <v>0</v>
      </c>
      <c r="C25" s="1177"/>
      <c r="D25" s="1175">
        <f>F10B!O26</f>
        <v>0</v>
      </c>
      <c r="E25" s="1177">
        <f t="shared" ref="E25:E88" ca="1" si="2">(D25-$D$276)/$D$276</f>
        <v>-1</v>
      </c>
      <c r="F25" s="1175">
        <f>F10B!U26</f>
        <v>0</v>
      </c>
      <c r="G25" s="1177">
        <f t="shared" ca="1" si="1"/>
        <v>0</v>
      </c>
    </row>
    <row r="26" spans="1:7">
      <c r="A26" s="1402" t="s">
        <v>1398</v>
      </c>
      <c r="B26" s="1175">
        <f>F10B!I27</f>
        <v>0</v>
      </c>
      <c r="C26" s="1177"/>
      <c r="D26" s="1175">
        <f>F10B!O27</f>
        <v>0</v>
      </c>
      <c r="E26" s="1177">
        <f t="shared" ca="1" si="2"/>
        <v>-1</v>
      </c>
      <c r="F26" s="1175">
        <f>F10B!U27</f>
        <v>0</v>
      </c>
      <c r="G26" s="1177">
        <f t="shared" ca="1" si="1"/>
        <v>0</v>
      </c>
    </row>
    <row r="27" spans="1:7">
      <c r="A27" s="1402" t="s">
        <v>1051</v>
      </c>
      <c r="B27" s="1175">
        <f>F10B!I28</f>
        <v>0</v>
      </c>
      <c r="C27" s="1177"/>
      <c r="D27" s="1175">
        <f>F10B!O28</f>
        <v>0</v>
      </c>
      <c r="E27" s="1177">
        <f t="shared" ca="1" si="2"/>
        <v>-1</v>
      </c>
      <c r="F27" s="1175">
        <f>F10B!U28</f>
        <v>0</v>
      </c>
      <c r="G27" s="1177">
        <f t="shared" ca="1" si="1"/>
        <v>0</v>
      </c>
    </row>
    <row r="28" spans="1:7">
      <c r="A28" s="1402" t="s">
        <v>1052</v>
      </c>
      <c r="B28" s="1175">
        <f>F10B!I29</f>
        <v>0</v>
      </c>
      <c r="C28" s="1177"/>
      <c r="D28" s="1175">
        <f>F10B!O29</f>
        <v>6.0881924997541557</v>
      </c>
      <c r="E28" s="1177">
        <f t="shared" ca="1" si="2"/>
        <v>-0.22764730199386321</v>
      </c>
      <c r="F28" s="1175">
        <f>F10B!U29</f>
        <v>6.0729191610606925</v>
      </c>
      <c r="G28" s="1177">
        <f t="shared" ca="1" si="1"/>
        <v>0.73777831068011157</v>
      </c>
    </row>
    <row r="29" spans="1:7">
      <c r="A29" s="1402" t="s">
        <v>1399</v>
      </c>
      <c r="B29" s="1175">
        <f>F10B!I30</f>
        <v>0</v>
      </c>
      <c r="C29" s="1177"/>
      <c r="D29" s="1175">
        <f>F10B!O30</f>
        <v>18.000000000000004</v>
      </c>
      <c r="E29" s="1177">
        <f t="shared" ca="1" si="2"/>
        <v>1.2834935926667643</v>
      </c>
      <c r="F29" s="1175">
        <f>F10B!U30</f>
        <v>18</v>
      </c>
      <c r="G29" s="1177">
        <f t="shared" ca="1" si="1"/>
        <v>2.1867588288335673</v>
      </c>
    </row>
    <row r="30" spans="1:7">
      <c r="A30" s="1402" t="s">
        <v>1054</v>
      </c>
      <c r="B30" s="1175">
        <f>F10B!I31</f>
        <v>0</v>
      </c>
      <c r="C30" s="1177"/>
      <c r="D30" s="1175">
        <f>F10B!O31</f>
        <v>11.055068778449073</v>
      </c>
      <c r="E30" s="1177">
        <f t="shared" ca="1" si="2"/>
        <v>0.40245437344882468</v>
      </c>
      <c r="F30" s="1175">
        <f>F10B!U31</f>
        <v>11.044178483519591</v>
      </c>
      <c r="G30" s="1177">
        <f t="shared" ca="1" si="1"/>
        <v>1.3417197114472323</v>
      </c>
    </row>
    <row r="31" spans="1:7">
      <c r="A31" s="1410" t="s">
        <v>1449</v>
      </c>
      <c r="B31" s="1175">
        <f>F10B!I32</f>
        <v>0</v>
      </c>
      <c r="C31" s="1177"/>
      <c r="D31" s="1175">
        <f>F10B!O32</f>
        <v>9.9052569016818577</v>
      </c>
      <c r="E31" s="1177">
        <f t="shared" ca="1" si="2"/>
        <v>0.25658837048382016</v>
      </c>
      <c r="F31" s="1175">
        <f>F10B!U32</f>
        <v>9.8951992258737089</v>
      </c>
      <c r="G31" s="1177">
        <f t="shared" ca="1" si="1"/>
        <v>1.2021341261248006</v>
      </c>
    </row>
    <row r="32" spans="1:7">
      <c r="A32" s="1406" t="s">
        <v>1055</v>
      </c>
      <c r="B32" s="1175">
        <f>F10B!I33</f>
        <v>0</v>
      </c>
      <c r="C32" s="1177"/>
      <c r="D32" s="1175">
        <f>F10B!O33</f>
        <v>9.9272736536670152</v>
      </c>
      <c r="E32" s="1177">
        <f t="shared" ca="1" si="2"/>
        <v>0.25938143226656685</v>
      </c>
      <c r="F32" s="1175">
        <f>F10B!U33</f>
        <v>9.909782974425541</v>
      </c>
      <c r="G32" s="1177">
        <f t="shared" ca="1" si="1"/>
        <v>1.2039058561749789</v>
      </c>
    </row>
    <row r="33" spans="1:7">
      <c r="A33" s="1406" t="s">
        <v>1056</v>
      </c>
      <c r="B33" s="1175">
        <f>F10B!I34</f>
        <v>0</v>
      </c>
      <c r="C33" s="1177"/>
      <c r="D33" s="1175">
        <f>F10B!O34</f>
        <v>9.4503783100753775</v>
      </c>
      <c r="E33" s="1177">
        <f t="shared" ca="1" si="2"/>
        <v>0.19888212885189352</v>
      </c>
      <c r="F33" s="1175">
        <f>F10B!U34</f>
        <v>9.4687850219913532</v>
      </c>
      <c r="G33" s="1177">
        <f t="shared" ca="1" si="1"/>
        <v>1.1503305136203685</v>
      </c>
    </row>
    <row r="34" spans="1:7">
      <c r="A34" s="1406" t="s">
        <v>1057</v>
      </c>
      <c r="B34" s="1175">
        <f>F10B!I35</f>
        <v>0</v>
      </c>
      <c r="C34" s="1177"/>
      <c r="D34" s="1175">
        <f>F10B!O35</f>
        <v>8.287997734379605</v>
      </c>
      <c r="E34" s="1177">
        <f t="shared" ca="1" si="2"/>
        <v>5.1421651249582367E-2</v>
      </c>
      <c r="F34" s="1175">
        <f>F10B!U35</f>
        <v>8.3188171085448488</v>
      </c>
      <c r="G34" s="1177">
        <f t="shared" ca="1" si="1"/>
        <v>1.0106248198645653</v>
      </c>
    </row>
    <row r="35" spans="1:7">
      <c r="A35" s="1410" t="s">
        <v>1450</v>
      </c>
      <c r="B35" s="1175">
        <f>F10B!I36</f>
        <v>0</v>
      </c>
      <c r="C35" s="1177"/>
      <c r="D35" s="1175">
        <f>F10B!O36</f>
        <v>10.6925046688816</v>
      </c>
      <c r="E35" s="1177">
        <f t="shared" ca="1" si="2"/>
        <v>0.35645921671947728</v>
      </c>
      <c r="F35" s="1175">
        <f>F10B!U36</f>
        <v>10.683107944580964</v>
      </c>
      <c r="G35" s="1177">
        <f t="shared" ca="1" si="1"/>
        <v>1.2978544787330248</v>
      </c>
    </row>
    <row r="36" spans="1:7">
      <c r="A36" s="1406" t="s">
        <v>1055</v>
      </c>
      <c r="B36" s="1175">
        <f>F10B!I37</f>
        <v>0</v>
      </c>
      <c r="C36" s="1177"/>
      <c r="D36" s="1175">
        <f>F10B!O37</f>
        <v>11.175424290421203</v>
      </c>
      <c r="E36" s="1177">
        <f t="shared" ca="1" si="2"/>
        <v>0.41772276458385177</v>
      </c>
      <c r="F36" s="1175">
        <f>F10B!U37</f>
        <v>11.15168441150985</v>
      </c>
      <c r="G36" s="1177">
        <f t="shared" ca="1" si="1"/>
        <v>1.3547802412908236</v>
      </c>
    </row>
    <row r="37" spans="1:7">
      <c r="A37" s="1406" t="s">
        <v>1056</v>
      </c>
      <c r="B37" s="1175">
        <f>F10B!I38</f>
        <v>0</v>
      </c>
      <c r="C37" s="1177"/>
      <c r="D37" s="1175">
        <f>F10B!O38</f>
        <v>10.097100700013634</v>
      </c>
      <c r="E37" s="1177">
        <f t="shared" ca="1" si="2"/>
        <v>0.28092581961067936</v>
      </c>
      <c r="F37" s="1175">
        <f>F10B!U38</f>
        <v>10.094306570985314</v>
      </c>
      <c r="G37" s="1177">
        <f t="shared" ca="1" si="1"/>
        <v>1.2263230008363792</v>
      </c>
    </row>
    <row r="38" spans="1:7">
      <c r="A38" s="1406" t="s">
        <v>1057</v>
      </c>
      <c r="B38" s="1175">
        <f>F10B!I39</f>
        <v>0</v>
      </c>
      <c r="C38" s="1177"/>
      <c r="D38" s="1175">
        <f>F10B!O39</f>
        <v>10.016185144792793</v>
      </c>
      <c r="E38" s="1177">
        <f t="shared" ca="1" si="2"/>
        <v>0.27066081117213137</v>
      </c>
      <c r="F38" s="1175">
        <f>F10B!U39</f>
        <v>10.031467965057049</v>
      </c>
      <c r="G38" s="1177">
        <f t="shared" ca="1" si="1"/>
        <v>1.2186889521527555</v>
      </c>
    </row>
    <row r="39" spans="1:7">
      <c r="A39" s="1410" t="s">
        <v>1451</v>
      </c>
      <c r="B39" s="1175">
        <f>F10B!I40</f>
        <v>0</v>
      </c>
      <c r="C39" s="1177"/>
      <c r="D39" s="1175">
        <f>F10B!O40</f>
        <v>13.777683993145546</v>
      </c>
      <c r="E39" s="1177">
        <f t="shared" ca="1" si="2"/>
        <v>0.74784739556307145</v>
      </c>
      <c r="F39" s="1175">
        <f>F10B!U40</f>
        <v>13.76338596090643</v>
      </c>
      <c r="G39" s="1177">
        <f t="shared" ca="1" si="1"/>
        <v>1.6720669869253391</v>
      </c>
    </row>
    <row r="40" spans="1:7">
      <c r="A40" s="1406" t="s">
        <v>1055</v>
      </c>
      <c r="B40" s="1175">
        <f>F10B!I41</f>
        <v>0</v>
      </c>
      <c r="C40" s="1177"/>
      <c r="D40" s="1175">
        <f>F10B!O41</f>
        <v>12.164323116907633</v>
      </c>
      <c r="E40" s="1177">
        <f t="shared" ca="1" si="2"/>
        <v>0.54317521647704314</v>
      </c>
      <c r="F40" s="1175">
        <f>F10B!U41</f>
        <v>12.131556502342246</v>
      </c>
      <c r="G40" s="1177">
        <f t="shared" ca="1" si="1"/>
        <v>1.4738215716105654</v>
      </c>
    </row>
    <row r="41" spans="1:7">
      <c r="A41" s="1406" t="s">
        <v>1056</v>
      </c>
      <c r="B41" s="1175">
        <f>F10B!I42</f>
        <v>0</v>
      </c>
      <c r="C41" s="1177"/>
      <c r="D41" s="1175">
        <f>F10B!O42</f>
        <v>14.866666055455333</v>
      </c>
      <c r="E41" s="1177">
        <f t="shared" ca="1" si="2"/>
        <v>0.88599648233048467</v>
      </c>
      <c r="F41" s="1175">
        <f>F10B!U42</f>
        <v>14.869154801294137</v>
      </c>
      <c r="G41" s="1177">
        <f t="shared" ca="1" si="1"/>
        <v>1.8064030855012765</v>
      </c>
    </row>
    <row r="42" spans="1:7">
      <c r="A42" s="1406" t="s">
        <v>1057</v>
      </c>
      <c r="B42" s="1175">
        <f>F10B!I43</f>
        <v>0</v>
      </c>
      <c r="C42" s="1177"/>
      <c r="D42" s="1175">
        <f>F10B!O43</f>
        <v>14.201941327265665</v>
      </c>
      <c r="E42" s="1177">
        <f t="shared" ca="1" si="2"/>
        <v>0.80166900134669228</v>
      </c>
      <c r="F42" s="1175">
        <f>F10B!U43</f>
        <v>14.195977588820059</v>
      </c>
      <c r="G42" s="1177">
        <f t="shared" ca="1" si="1"/>
        <v>1.7246210736819843</v>
      </c>
    </row>
    <row r="43" spans="1:7">
      <c r="A43" s="1402" t="s">
        <v>1425</v>
      </c>
      <c r="B43" s="1175">
        <f>F10B!I44</f>
        <v>0</v>
      </c>
      <c r="C43" s="1177"/>
      <c r="D43" s="1175">
        <f>F10B!O44</f>
        <v>9.6244467266651181</v>
      </c>
      <c r="E43" s="1177">
        <f t="shared" ca="1" si="2"/>
        <v>0.22096457962791138</v>
      </c>
      <c r="F43" s="1175">
        <f>F10B!U44</f>
        <v>9.5400067221868099</v>
      </c>
      <c r="G43" s="1177">
        <f t="shared" ca="1" si="1"/>
        <v>1.1589829959374214</v>
      </c>
    </row>
    <row r="44" spans="1:7">
      <c r="A44" s="1409"/>
      <c r="B44" s="1175">
        <f>F10B!I45</f>
        <v>0</v>
      </c>
      <c r="C44" s="1177"/>
      <c r="D44" s="1175">
        <f>F10B!O45</f>
        <v>0</v>
      </c>
      <c r="E44" s="1177">
        <f t="shared" ca="1" si="2"/>
        <v>-1</v>
      </c>
      <c r="F44" s="1175">
        <f>F10B!U45</f>
        <v>0</v>
      </c>
      <c r="G44" s="1177">
        <f t="shared" ca="1" si="1"/>
        <v>0</v>
      </c>
    </row>
    <row r="45" spans="1:7">
      <c r="A45" s="1402" t="s">
        <v>1400</v>
      </c>
      <c r="B45" s="1175">
        <f>F10B!I46</f>
        <v>0</v>
      </c>
      <c r="C45" s="1177"/>
      <c r="D45" s="1175">
        <f>F10B!O46</f>
        <v>0</v>
      </c>
      <c r="E45" s="1177">
        <f t="shared" ca="1" si="2"/>
        <v>-1</v>
      </c>
      <c r="F45" s="1175">
        <f>F10B!U46</f>
        <v>0</v>
      </c>
      <c r="G45" s="1177">
        <f t="shared" ca="1" si="1"/>
        <v>0</v>
      </c>
    </row>
    <row r="46" spans="1:7">
      <c r="A46" s="1402" t="s">
        <v>1404</v>
      </c>
      <c r="B46" s="1175">
        <f>F10B!I47</f>
        <v>0</v>
      </c>
      <c r="C46" s="1177"/>
      <c r="D46" s="1175">
        <f>F10B!O47</f>
        <v>21.253646134288683</v>
      </c>
      <c r="E46" s="1177">
        <f t="shared" ca="1" si="2"/>
        <v>1.6962535982474969</v>
      </c>
      <c r="F46" s="1175">
        <f>F10B!U47</f>
        <v>21.253646134288683</v>
      </c>
      <c r="G46" s="1177">
        <f t="shared" ca="1" si="1"/>
        <v>2.5820332405033439</v>
      </c>
    </row>
    <row r="47" spans="1:7">
      <c r="A47" s="1409" t="s">
        <v>1060</v>
      </c>
      <c r="B47" s="1175">
        <f>F10B!I48</f>
        <v>0</v>
      </c>
      <c r="C47" s="1177"/>
      <c r="D47" s="1175">
        <f>F10B!O48</f>
        <v>20.345078612965754</v>
      </c>
      <c r="E47" s="1177">
        <f t="shared" ca="1" si="2"/>
        <v>1.5809920363893839</v>
      </c>
      <c r="F47" s="1175">
        <f>F10B!U48</f>
        <v>20.345078612965754</v>
      </c>
      <c r="G47" s="1177">
        <f t="shared" ca="1" si="1"/>
        <v>2.4716544600119916</v>
      </c>
    </row>
    <row r="48" spans="1:7">
      <c r="A48" s="1409" t="s">
        <v>1061</v>
      </c>
      <c r="B48" s="1175">
        <f>F10B!I49</f>
        <v>0</v>
      </c>
      <c r="C48" s="1177"/>
      <c r="D48" s="1175">
        <f>F10B!O49</f>
        <v>17.427518896308801</v>
      </c>
      <c r="E48" s="1177">
        <f t="shared" ca="1" si="2"/>
        <v>1.2108682075444499</v>
      </c>
      <c r="F48" s="1175">
        <f>F10B!U49</f>
        <v>17.427518896308801</v>
      </c>
      <c r="G48" s="1177">
        <f t="shared" ca="1" si="1"/>
        <v>2.1172100450648386</v>
      </c>
    </row>
    <row r="49" spans="1:7">
      <c r="A49" s="1409" t="s">
        <v>1062</v>
      </c>
      <c r="B49" s="1175">
        <f>F10B!I50</f>
        <v>0</v>
      </c>
      <c r="C49" s="1177"/>
      <c r="D49" s="1175">
        <f>F10B!O50</f>
        <v>31.929155313351494</v>
      </c>
      <c r="E49" s="1177">
        <f t="shared" ca="1" si="2"/>
        <v>3.0505567542944498</v>
      </c>
      <c r="F49" s="1175">
        <f>F10B!U50</f>
        <v>31.929155313351494</v>
      </c>
      <c r="G49" s="1177">
        <f t="shared" ca="1" si="1"/>
        <v>3.8789645710371987</v>
      </c>
    </row>
    <row r="50" spans="1:7">
      <c r="A50" s="1402" t="s">
        <v>476</v>
      </c>
      <c r="B50" s="1175">
        <f>F10B!I51</f>
        <v>0</v>
      </c>
      <c r="C50" s="1177"/>
      <c r="D50" s="1175">
        <f>F10B!O51</f>
        <v>9.1701497948121151</v>
      </c>
      <c r="E50" s="1177">
        <f t="shared" ca="1" si="2"/>
        <v>0.16333212779155018</v>
      </c>
      <c r="F50" s="1175">
        <f>F10B!U51</f>
        <v>9.3992691330046245</v>
      </c>
      <c r="G50" s="1177">
        <f t="shared" ca="1" si="1"/>
        <v>1.1418852645100384</v>
      </c>
    </row>
    <row r="51" spans="1:7">
      <c r="A51" s="1402" t="s">
        <v>1063</v>
      </c>
      <c r="B51" s="1175">
        <f>F10B!I52</f>
        <v>0</v>
      </c>
      <c r="C51" s="1177"/>
      <c r="D51" s="1175">
        <f>F10B!O52</f>
        <v>8.1397332015810271</v>
      </c>
      <c r="E51" s="1177">
        <f t="shared" ca="1" si="2"/>
        <v>3.2612700657066597E-2</v>
      </c>
      <c r="F51" s="1175">
        <f>F10B!U52</f>
        <v>8.0653087944664037</v>
      </c>
      <c r="G51" s="1177">
        <f t="shared" ca="1" si="1"/>
        <v>0.97982695630935679</v>
      </c>
    </row>
    <row r="52" spans="1:7">
      <c r="A52" s="1406" t="s">
        <v>1452</v>
      </c>
      <c r="B52" s="1175">
        <f>F10B!I53</f>
        <v>0</v>
      </c>
      <c r="C52" s="1177"/>
      <c r="D52" s="1175">
        <f>F10B!O53</f>
        <v>8.1397332015810271</v>
      </c>
      <c r="E52" s="1177">
        <f t="shared" ca="1" si="2"/>
        <v>3.2612700657066597E-2</v>
      </c>
      <c r="F52" s="1175">
        <f>F10B!U53</f>
        <v>8.0653087944664037</v>
      </c>
      <c r="G52" s="1177">
        <f t="shared" ca="1" si="1"/>
        <v>0.97982695630935679</v>
      </c>
    </row>
    <row r="53" spans="1:7">
      <c r="A53" s="1406" t="s">
        <v>1453</v>
      </c>
      <c r="B53" s="1175">
        <f>F10B!I54</f>
        <v>0</v>
      </c>
      <c r="C53" s="1177"/>
      <c r="D53" s="1175">
        <f>F10B!O54</f>
        <v>0</v>
      </c>
      <c r="E53" s="1177">
        <f t="shared" ca="1" si="2"/>
        <v>-1</v>
      </c>
      <c r="F53" s="1175">
        <f>F10B!U54</f>
        <v>0</v>
      </c>
      <c r="G53" s="1177">
        <f t="shared" ca="1" si="1"/>
        <v>0</v>
      </c>
    </row>
    <row r="54" spans="1:7">
      <c r="A54" s="1402" t="s">
        <v>1064</v>
      </c>
      <c r="B54" s="1175">
        <f>F10B!I55</f>
        <v>0</v>
      </c>
      <c r="C54" s="1177"/>
      <c r="D54" s="1175">
        <f>F10B!O55</f>
        <v>8.8231560146746464</v>
      </c>
      <c r="E54" s="1177">
        <f t="shared" ca="1" si="2"/>
        <v>0.11931223481159854</v>
      </c>
      <c r="F54" s="1175">
        <f>F10B!U55</f>
        <v>9.0614380189225727</v>
      </c>
      <c r="G54" s="1177">
        <f t="shared" ca="1" si="1"/>
        <v>1.1008433105448381</v>
      </c>
    </row>
    <row r="55" spans="1:7">
      <c r="A55" s="1406" t="s">
        <v>1452</v>
      </c>
      <c r="B55" s="1175">
        <f>F10B!I56</f>
        <v>0</v>
      </c>
      <c r="C55" s="1177"/>
      <c r="D55" s="1175">
        <f>F10B!O56</f>
        <v>8.8231560146746464</v>
      </c>
      <c r="E55" s="1177">
        <f t="shared" ca="1" si="2"/>
        <v>0.11931223481159854</v>
      </c>
      <c r="F55" s="1175">
        <f>F10B!U56</f>
        <v>9.0614380189225727</v>
      </c>
      <c r="G55" s="1177">
        <f t="shared" ca="1" si="1"/>
        <v>1.1008433105448381</v>
      </c>
    </row>
    <row r="56" spans="1:7">
      <c r="A56" s="1406" t="s">
        <v>1453</v>
      </c>
      <c r="B56" s="1175">
        <f>F10B!I57</f>
        <v>0</v>
      </c>
      <c r="C56" s="1177"/>
      <c r="D56" s="1175">
        <f>F10B!O57</f>
        <v>0</v>
      </c>
      <c r="E56" s="1177">
        <f t="shared" ca="1" si="2"/>
        <v>-1</v>
      </c>
      <c r="F56" s="1175">
        <f>F10B!U57</f>
        <v>0</v>
      </c>
      <c r="G56" s="1177">
        <f t="shared" ca="1" si="1"/>
        <v>0</v>
      </c>
    </row>
    <row r="57" spans="1:7">
      <c r="A57" s="1402" t="s">
        <v>1065</v>
      </c>
      <c r="B57" s="1175">
        <f>F10B!I58</f>
        <v>0</v>
      </c>
      <c r="C57" s="1177"/>
      <c r="D57" s="1175">
        <f>F10B!O58</f>
        <v>9.3143004808190515</v>
      </c>
      <c r="E57" s="1177">
        <f t="shared" ca="1" si="2"/>
        <v>0.18161919267351451</v>
      </c>
      <c r="F57" s="1175">
        <f>F10B!U58</f>
        <v>9.5500190410561441</v>
      </c>
      <c r="G57" s="1177">
        <f t="shared" ca="1" si="1"/>
        <v>1.1601993585310111</v>
      </c>
    </row>
    <row r="58" spans="1:7">
      <c r="A58" s="1406" t="s">
        <v>1452</v>
      </c>
      <c r="B58" s="1175">
        <f>F10B!I59</f>
        <v>0</v>
      </c>
      <c r="C58" s="1177"/>
      <c r="D58" s="1175">
        <f>F10B!O59</f>
        <v>9.3143004808190515</v>
      </c>
      <c r="E58" s="1177">
        <f t="shared" ca="1" si="2"/>
        <v>0.18161919267351451</v>
      </c>
      <c r="F58" s="1175">
        <f>F10B!U59</f>
        <v>9.5500190410561441</v>
      </c>
      <c r="G58" s="1177">
        <f t="shared" ca="1" si="1"/>
        <v>1.1601993585310111</v>
      </c>
    </row>
    <row r="59" spans="1:7">
      <c r="A59" s="1406" t="s">
        <v>1453</v>
      </c>
      <c r="B59" s="1175">
        <f>F10B!I60</f>
        <v>0</v>
      </c>
      <c r="C59" s="1177"/>
      <c r="D59" s="1175">
        <f>F10B!O60</f>
        <v>0</v>
      </c>
      <c r="E59" s="1177">
        <f t="shared" ca="1" si="2"/>
        <v>-1</v>
      </c>
      <c r="F59" s="1175">
        <f>F10B!U60</f>
        <v>0</v>
      </c>
      <c r="G59" s="1177">
        <f t="shared" ca="1" si="1"/>
        <v>0</v>
      </c>
    </row>
    <row r="60" spans="1:7">
      <c r="A60" s="1402" t="s">
        <v>1425</v>
      </c>
      <c r="B60" s="1175">
        <f>F10B!I61</f>
        <v>0</v>
      </c>
      <c r="C60" s="1177"/>
      <c r="D60" s="1175">
        <f>F10B!O61</f>
        <v>11.885449048080838</v>
      </c>
      <c r="E60" s="1177">
        <f t="shared" ca="1" si="2"/>
        <v>0.50779704151443783</v>
      </c>
      <c r="F60" s="1175">
        <f>F10B!U61</f>
        <v>10.676629998647266</v>
      </c>
      <c r="G60" s="1177">
        <f t="shared" ca="1" si="1"/>
        <v>1.2970674950961791</v>
      </c>
    </row>
    <row r="61" spans="1:7">
      <c r="A61" s="1409"/>
      <c r="B61" s="1175">
        <f>F10B!I62</f>
        <v>0</v>
      </c>
      <c r="C61" s="1177"/>
      <c r="D61" s="1175">
        <f>F10B!O62</f>
        <v>0</v>
      </c>
      <c r="E61" s="1177">
        <f t="shared" ca="1" si="2"/>
        <v>-1</v>
      </c>
      <c r="F61" s="1175">
        <f>F10B!U62</f>
        <v>0</v>
      </c>
      <c r="G61" s="1177">
        <f t="shared" ca="1" si="1"/>
        <v>0</v>
      </c>
    </row>
    <row r="62" spans="1:7">
      <c r="A62" s="1402" t="s">
        <v>1067</v>
      </c>
      <c r="B62" s="1175">
        <f>F10B!I63</f>
        <v>0</v>
      </c>
      <c r="C62" s="1177"/>
      <c r="D62" s="1175">
        <f>F10B!O63</f>
        <v>0</v>
      </c>
      <c r="E62" s="1177">
        <f t="shared" ca="1" si="2"/>
        <v>-1</v>
      </c>
      <c r="F62" s="1175">
        <f>F10B!U63</f>
        <v>0</v>
      </c>
      <c r="G62" s="1177">
        <f t="shared" ca="1" si="1"/>
        <v>0</v>
      </c>
    </row>
    <row r="63" spans="1:7">
      <c r="A63" s="1402" t="s">
        <v>1068</v>
      </c>
      <c r="B63" s="1175">
        <f>F10B!I64</f>
        <v>0</v>
      </c>
      <c r="C63" s="1177"/>
      <c r="D63" s="1175">
        <f>F10B!O64</f>
        <v>10.421921629904025</v>
      </c>
      <c r="E63" s="1177">
        <f t="shared" ca="1" si="2"/>
        <v>0.32213284806449982</v>
      </c>
      <c r="F63" s="1175">
        <f>F10B!U64</f>
        <v>10.391899792505859</v>
      </c>
      <c r="G63" s="1177">
        <f t="shared" ca="1" si="1"/>
        <v>1.2624765899786612</v>
      </c>
    </row>
    <row r="64" spans="1:7">
      <c r="A64" s="1409" t="s">
        <v>1069</v>
      </c>
      <c r="B64" s="1175">
        <f>F10B!I65</f>
        <v>0</v>
      </c>
      <c r="C64" s="1177"/>
      <c r="D64" s="1175">
        <f>F10B!O65</f>
        <v>10.76030595588483</v>
      </c>
      <c r="E64" s="1177">
        <f t="shared" ca="1" si="2"/>
        <v>0.36506053918872367</v>
      </c>
      <c r="F64" s="1175">
        <f>F10B!U65</f>
        <v>10.724279751007034</v>
      </c>
      <c r="G64" s="1177">
        <f t="shared" ca="1" si="1"/>
        <v>1.3028563015775378</v>
      </c>
    </row>
    <row r="65" spans="1:7">
      <c r="A65" s="1409" t="s">
        <v>1070</v>
      </c>
      <c r="B65" s="1175">
        <f>F10B!I66</f>
        <v>0</v>
      </c>
      <c r="C65" s="1177"/>
      <c r="D65" s="1175">
        <f>F10B!O66</f>
        <v>9.5459608149520143</v>
      </c>
      <c r="E65" s="1177">
        <f t="shared" ca="1" si="2"/>
        <v>0.21100779759949573</v>
      </c>
      <c r="F65" s="1175">
        <f>F10B!U66</f>
        <v>9.5309498962529311</v>
      </c>
      <c r="G65" s="1177">
        <f t="shared" ca="1" si="1"/>
        <v>1.1578827129334148</v>
      </c>
    </row>
    <row r="66" spans="1:7">
      <c r="A66" s="1409" t="s">
        <v>1071</v>
      </c>
      <c r="B66" s="1175">
        <f>F10B!I67</f>
        <v>0</v>
      </c>
      <c r="C66" s="1177"/>
      <c r="D66" s="1175">
        <f>F10B!O67</f>
        <v>9.0488459471291467</v>
      </c>
      <c r="E66" s="1177">
        <f t="shared" ca="1" si="2"/>
        <v>0.14794343007211222</v>
      </c>
      <c r="F66" s="1175">
        <f>F10B!U67</f>
        <v>9.0445571132151219</v>
      </c>
      <c r="G66" s="1177">
        <f t="shared" ca="1" si="1"/>
        <v>1.0987925066784783</v>
      </c>
    </row>
    <row r="67" spans="1:7">
      <c r="A67" s="1402" t="s">
        <v>1072</v>
      </c>
      <c r="B67" s="1175">
        <f>F10B!I68</f>
        <v>0</v>
      </c>
      <c r="C67" s="1177"/>
      <c r="D67" s="1175">
        <f>F10B!O68</f>
        <v>12.966504950461985</v>
      </c>
      <c r="E67" s="1177">
        <f t="shared" ca="1" si="2"/>
        <v>0.64494060964787869</v>
      </c>
      <c r="F67" s="1175">
        <f>F10B!U68</f>
        <v>12.893732046723176</v>
      </c>
      <c r="G67" s="1177">
        <f t="shared" ca="1" si="1"/>
        <v>1.5664156883214559</v>
      </c>
    </row>
    <row r="68" spans="1:7">
      <c r="A68" s="1402" t="s">
        <v>1454</v>
      </c>
      <c r="B68" s="1175">
        <f>F10B!I69</f>
        <v>0</v>
      </c>
      <c r="C68" s="1177"/>
      <c r="D68" s="1175">
        <f>F10B!O69</f>
        <v>10.518219149949903</v>
      </c>
      <c r="E68" s="1177">
        <f t="shared" ca="1" si="2"/>
        <v>0.33434922417641438</v>
      </c>
      <c r="F68" s="1175">
        <f>F10B!U69</f>
        <v>10.490754151619726</v>
      </c>
      <c r="G68" s="1177">
        <f t="shared" ca="1" si="1"/>
        <v>1.2744860701209351</v>
      </c>
    </row>
    <row r="69" spans="1:7">
      <c r="A69" s="1409" t="s">
        <v>1073</v>
      </c>
      <c r="B69" s="1175">
        <f>F10B!I70</f>
        <v>0</v>
      </c>
      <c r="C69" s="1177"/>
      <c r="D69" s="1175">
        <f>F10B!O70</f>
        <v>10.129661172473432</v>
      </c>
      <c r="E69" s="1177">
        <f t="shared" ca="1" si="2"/>
        <v>0.28505646573490995</v>
      </c>
      <c r="F69" s="1175">
        <f>F10B!U70</f>
        <v>10.108250868328</v>
      </c>
      <c r="G69" s="1177">
        <f t="shared" ca="1" si="1"/>
        <v>1.2280170461322679</v>
      </c>
    </row>
    <row r="70" spans="1:7">
      <c r="A70" s="1409" t="s">
        <v>1074</v>
      </c>
      <c r="B70" s="1175">
        <f>F10B!I71</f>
        <v>0</v>
      </c>
      <c r="C70" s="1177"/>
      <c r="D70" s="1175">
        <f>F10B!O71</f>
        <v>11.816667802030098</v>
      </c>
      <c r="E70" s="1177">
        <f t="shared" ca="1" si="2"/>
        <v>0.49907140070040995</v>
      </c>
      <c r="F70" s="1175">
        <f>F10B!U71</f>
        <v>11.768969762664449</v>
      </c>
      <c r="G70" s="1177">
        <f t="shared" ca="1" si="1"/>
        <v>1.4297721408212096</v>
      </c>
    </row>
    <row r="71" spans="1:7">
      <c r="A71" s="1402" t="s">
        <v>1455</v>
      </c>
      <c r="B71" s="1175">
        <f>F10B!I72</f>
        <v>0</v>
      </c>
      <c r="C71" s="1177"/>
      <c r="D71" s="1175">
        <f>F10B!O72</f>
        <v>15.414790750974065</v>
      </c>
      <c r="E71" s="1177">
        <f t="shared" ca="1" si="2"/>
        <v>0.95553199511934273</v>
      </c>
      <c r="F71" s="1175">
        <f>F10B!U72</f>
        <v>15.296709941826625</v>
      </c>
      <c r="G71" s="1177">
        <f t="shared" ca="1" si="1"/>
        <v>1.8583453065219764</v>
      </c>
    </row>
    <row r="72" spans="1:7">
      <c r="A72" s="1409" t="s">
        <v>1073</v>
      </c>
      <c r="B72" s="1175">
        <f>F10B!I73</f>
        <v>0</v>
      </c>
      <c r="C72" s="1177"/>
      <c r="D72" s="1175">
        <f>F10B!O73</f>
        <v>15.475894089732865</v>
      </c>
      <c r="E72" s="1177">
        <f t="shared" ca="1" si="2"/>
        <v>0.96328361081635749</v>
      </c>
      <c r="F72" s="1175">
        <f>F10B!U73</f>
        <v>15.353157409519969</v>
      </c>
      <c r="G72" s="1177">
        <f t="shared" ca="1" si="1"/>
        <v>1.8652029175410718</v>
      </c>
    </row>
    <row r="73" spans="1:7">
      <c r="A73" s="1409" t="s">
        <v>1074</v>
      </c>
      <c r="B73" s="1175">
        <f>F10B!I74</f>
        <v>0</v>
      </c>
      <c r="C73" s="1177"/>
      <c r="D73" s="1175">
        <f>F10B!O74</f>
        <v>15.376567093365132</v>
      </c>
      <c r="E73" s="1177">
        <f t="shared" ca="1" si="2"/>
        <v>0.95068291305054908</v>
      </c>
      <c r="F73" s="1175">
        <f>F10B!U74</f>
        <v>15.261398799721633</v>
      </c>
      <c r="G73" s="1177">
        <f t="shared" ca="1" si="1"/>
        <v>1.8540554758689602</v>
      </c>
    </row>
    <row r="74" spans="1:7">
      <c r="A74" s="1402" t="s">
        <v>1425</v>
      </c>
      <c r="B74" s="1175">
        <f>F10B!I75</f>
        <v>0</v>
      </c>
      <c r="C74" s="1177"/>
      <c r="D74" s="1175">
        <f>F10B!O75</f>
        <v>11.01290337582088</v>
      </c>
      <c r="E74" s="1177">
        <f t="shared" ca="1" si="2"/>
        <v>0.39710523863028618</v>
      </c>
      <c r="F74" s="1175">
        <f>F10B!U75</f>
        <v>10.977232456855335</v>
      </c>
      <c r="G74" s="1177">
        <f t="shared" ref="G74:G137" ca="1" si="3">IFERROR((F74/$F$276),0)</f>
        <v>1.3335866661770439</v>
      </c>
    </row>
    <row r="75" spans="1:7">
      <c r="A75" s="1409"/>
      <c r="B75" s="1175">
        <f>F10B!I76</f>
        <v>0</v>
      </c>
      <c r="C75" s="1177"/>
      <c r="D75" s="1175">
        <f>F10B!O76</f>
        <v>0</v>
      </c>
      <c r="E75" s="1177">
        <f t="shared" ca="1" si="2"/>
        <v>-1</v>
      </c>
      <c r="F75" s="1175">
        <f>F10B!U76</f>
        <v>0</v>
      </c>
      <c r="G75" s="1177">
        <f t="shared" ca="1" si="3"/>
        <v>0</v>
      </c>
    </row>
    <row r="76" spans="1:7">
      <c r="A76" s="1402" t="s">
        <v>1076</v>
      </c>
      <c r="B76" s="1175">
        <f>F10B!I77</f>
        <v>0</v>
      </c>
      <c r="C76" s="1177"/>
      <c r="D76" s="1175">
        <f>F10B!O77</f>
        <v>0</v>
      </c>
      <c r="E76" s="1177">
        <f t="shared" ca="1" si="2"/>
        <v>-1</v>
      </c>
      <c r="F76" s="1175">
        <f>F10B!U77</f>
        <v>0</v>
      </c>
      <c r="G76" s="1177">
        <f t="shared" ca="1" si="3"/>
        <v>0</v>
      </c>
    </row>
    <row r="77" spans="1:7">
      <c r="A77" s="1402" t="s">
        <v>1012</v>
      </c>
      <c r="B77" s="1175">
        <f>F10B!I78</f>
        <v>0</v>
      </c>
      <c r="C77" s="1177"/>
      <c r="D77" s="1175">
        <f>F10B!O78</f>
        <v>1.7199330138781674</v>
      </c>
      <c r="E77" s="1177">
        <f t="shared" ca="1" si="2"/>
        <v>-0.78180799905517606</v>
      </c>
      <c r="F77" s="1175">
        <f>F10B!U78</f>
        <v>1.7268205981601104</v>
      </c>
      <c r="G77" s="1177">
        <f t="shared" ca="1" si="3"/>
        <v>0.20978556604657125</v>
      </c>
    </row>
    <row r="78" spans="1:7">
      <c r="A78" s="1402" t="s">
        <v>1456</v>
      </c>
      <c r="B78" s="1175">
        <f>F10B!I79</f>
        <v>0</v>
      </c>
      <c r="C78" s="1177"/>
      <c r="D78" s="1175">
        <f>F10B!O79</f>
        <v>1.6574444507492334</v>
      </c>
      <c r="E78" s="1177">
        <f t="shared" ca="1" si="2"/>
        <v>-0.78973534536183565</v>
      </c>
      <c r="F78" s="1175">
        <f>F10B!U79</f>
        <v>1.6574444507492334</v>
      </c>
      <c r="G78" s="1177">
        <f t="shared" ca="1" si="3"/>
        <v>0.20135729366539382</v>
      </c>
    </row>
    <row r="79" spans="1:7">
      <c r="A79" s="1409" t="s">
        <v>1077</v>
      </c>
      <c r="B79" s="1175">
        <f>F10B!I80</f>
        <v>0</v>
      </c>
      <c r="C79" s="1177"/>
      <c r="D79" s="1175">
        <f>F10B!O80</f>
        <v>1.6574444507492334</v>
      </c>
      <c r="E79" s="1177">
        <f t="shared" ca="1" si="2"/>
        <v>-0.78973534536183565</v>
      </c>
      <c r="F79" s="1175">
        <f>F10B!U80</f>
        <v>1.6574444507492334</v>
      </c>
      <c r="G79" s="1177">
        <f t="shared" ca="1" si="3"/>
        <v>0.20135729366539382</v>
      </c>
    </row>
    <row r="80" spans="1:7">
      <c r="A80" s="1406" t="s">
        <v>1457</v>
      </c>
      <c r="B80" s="1175">
        <f>F10B!I81</f>
        <v>0</v>
      </c>
      <c r="C80" s="1177"/>
      <c r="D80" s="1175">
        <f>F10B!O81</f>
        <v>0</v>
      </c>
      <c r="E80" s="1177">
        <f t="shared" ca="1" si="2"/>
        <v>-1</v>
      </c>
      <c r="F80" s="1175">
        <f>F10B!U81</f>
        <v>0</v>
      </c>
      <c r="G80" s="1177">
        <f t="shared" ca="1" si="3"/>
        <v>0</v>
      </c>
    </row>
    <row r="81" spans="1:7">
      <c r="A81" s="1402" t="s">
        <v>1458</v>
      </c>
      <c r="B81" s="1175">
        <f>F10B!I82</f>
        <v>0</v>
      </c>
      <c r="C81" s="1177"/>
      <c r="D81" s="1175">
        <f>F10B!O82</f>
        <v>2.3576889140315345</v>
      </c>
      <c r="E81" s="1177">
        <f t="shared" ca="1" si="2"/>
        <v>-0.70090180396152946</v>
      </c>
      <c r="F81" s="1175">
        <f>F10B!U82</f>
        <v>2.3425165316760079</v>
      </c>
      <c r="G81" s="1177">
        <f t="shared" ca="1" si="3"/>
        <v>0.28458437262950537</v>
      </c>
    </row>
    <row r="82" spans="1:7">
      <c r="A82" s="1409" t="s">
        <v>1078</v>
      </c>
      <c r="B82" s="1175">
        <f>F10B!I83</f>
        <v>0</v>
      </c>
      <c r="C82" s="1177"/>
      <c r="D82" s="1175">
        <f>F10B!O83</f>
        <v>2.3576889140315345</v>
      </c>
      <c r="E82" s="1177">
        <f t="shared" ca="1" si="2"/>
        <v>-0.70090180396152946</v>
      </c>
      <c r="F82" s="1175">
        <f>F10B!U83</f>
        <v>2.3425165316760079</v>
      </c>
      <c r="G82" s="1177">
        <f t="shared" ca="1" si="3"/>
        <v>0.28458437262950537</v>
      </c>
    </row>
    <row r="83" spans="1:7">
      <c r="A83" s="1406" t="s">
        <v>1459</v>
      </c>
      <c r="B83" s="1175">
        <f>F10B!I84</f>
        <v>0</v>
      </c>
      <c r="C83" s="1177"/>
      <c r="D83" s="1175">
        <f>F10B!O84</f>
        <v>0</v>
      </c>
      <c r="E83" s="1177">
        <f t="shared" ca="1" si="2"/>
        <v>-1</v>
      </c>
      <c r="F83" s="1175">
        <f>F10B!U84</f>
        <v>0</v>
      </c>
      <c r="G83" s="1177">
        <f t="shared" ca="1" si="3"/>
        <v>0</v>
      </c>
    </row>
    <row r="84" spans="1:7">
      <c r="A84" s="1402" t="s">
        <v>1460</v>
      </c>
      <c r="B84" s="1175">
        <f>F10B!I85</f>
        <v>0</v>
      </c>
      <c r="C84" s="1177"/>
      <c r="D84" s="1175">
        <f>F10B!O85</f>
        <v>6.3232675084505647</v>
      </c>
      <c r="E84" s="1177">
        <f t="shared" ca="1" si="2"/>
        <v>-0.19782550887417799</v>
      </c>
      <c r="F84" s="1175">
        <f>F10B!U85</f>
        <v>6.3095552069256211</v>
      </c>
      <c r="G84" s="1177">
        <f t="shared" ca="1" si="3"/>
        <v>0.7665264197087448</v>
      </c>
    </row>
    <row r="85" spans="1:7">
      <c r="A85" s="1409" t="s">
        <v>1079</v>
      </c>
      <c r="B85" s="1175">
        <f>F10B!I86</f>
        <v>0</v>
      </c>
      <c r="C85" s="1177"/>
      <c r="D85" s="1175">
        <f>F10B!O86</f>
        <v>6.3232675084505647</v>
      </c>
      <c r="E85" s="1177">
        <f t="shared" ca="1" si="2"/>
        <v>-0.19782550887417799</v>
      </c>
      <c r="F85" s="1175">
        <f>F10B!U86</f>
        <v>6.3095552069256211</v>
      </c>
      <c r="G85" s="1177">
        <f t="shared" ca="1" si="3"/>
        <v>0.7665264197087448</v>
      </c>
    </row>
    <row r="86" spans="1:7">
      <c r="A86" s="1402" t="s">
        <v>1425</v>
      </c>
      <c r="B86" s="1175">
        <f>F10B!I87</f>
        <v>0</v>
      </c>
      <c r="C86" s="1177"/>
      <c r="D86" s="1175">
        <f>F10B!O87</f>
        <v>2.1513807791844055</v>
      </c>
      <c r="E86" s="1177">
        <f t="shared" ca="1" si="2"/>
        <v>-0.72707420974144332</v>
      </c>
      <c r="F86" s="1175">
        <f>F10B!U87</f>
        <v>2.2081589845565932</v>
      </c>
      <c r="G86" s="1177">
        <f t="shared" ca="1" si="3"/>
        <v>0.26826173083040528</v>
      </c>
    </row>
    <row r="87" spans="1:7">
      <c r="A87" s="1409"/>
      <c r="B87" s="1175">
        <f>F10B!I88</f>
        <v>0</v>
      </c>
      <c r="C87" s="1177"/>
      <c r="D87" s="1175">
        <f>F10B!O88</f>
        <v>0</v>
      </c>
      <c r="E87" s="1177">
        <f t="shared" ca="1" si="2"/>
        <v>-1</v>
      </c>
      <c r="F87" s="1175">
        <f>F10B!U88</f>
        <v>0</v>
      </c>
      <c r="G87" s="1177">
        <f t="shared" ca="1" si="3"/>
        <v>0</v>
      </c>
    </row>
    <row r="88" spans="1:7">
      <c r="A88" s="1402" t="s">
        <v>1081</v>
      </c>
      <c r="B88" s="1175">
        <f>F10B!I89</f>
        <v>0</v>
      </c>
      <c r="C88" s="1177"/>
      <c r="D88" s="1175">
        <f>F10B!O89</f>
        <v>0</v>
      </c>
      <c r="E88" s="1177">
        <f t="shared" ca="1" si="2"/>
        <v>-1</v>
      </c>
      <c r="F88" s="1175">
        <f>F10B!U89</f>
        <v>0</v>
      </c>
      <c r="G88" s="1177">
        <f t="shared" ca="1" si="3"/>
        <v>0</v>
      </c>
    </row>
    <row r="89" spans="1:7">
      <c r="A89" s="1402" t="s">
        <v>1012</v>
      </c>
      <c r="B89" s="1175">
        <f>F10B!I90</f>
        <v>0</v>
      </c>
      <c r="C89" s="1177"/>
      <c r="D89" s="1175">
        <f>F10B!O90</f>
        <v>8.4862743792057103</v>
      </c>
      <c r="E89" s="1177">
        <f t="shared" ref="E89:E152" ca="1" si="4">(D89-$D$276)/$D$276</f>
        <v>7.6575176140464316E-2</v>
      </c>
      <c r="F89" s="1175">
        <f>F10B!U90</f>
        <v>8.4707919320377272</v>
      </c>
      <c r="G89" s="1177">
        <f t="shared" ca="1" si="3"/>
        <v>1.0290877246997583</v>
      </c>
    </row>
    <row r="90" spans="1:7">
      <c r="A90" s="1406" t="s">
        <v>1426</v>
      </c>
      <c r="B90" s="1175">
        <f>F10B!I91</f>
        <v>0</v>
      </c>
      <c r="C90" s="1177"/>
      <c r="D90" s="1175">
        <f>F10B!O91</f>
        <v>9.3568215281848826</v>
      </c>
      <c r="E90" s="1177">
        <f t="shared" ca="1" si="4"/>
        <v>0.18701344485203422</v>
      </c>
      <c r="F90" s="1175">
        <f>F10B!U91</f>
        <v>9.331662647557101</v>
      </c>
      <c r="G90" s="1177">
        <f t="shared" ca="1" si="3"/>
        <v>1.1336719823467727</v>
      </c>
    </row>
    <row r="91" spans="1:7" s="545" customFormat="1">
      <c r="A91" s="1406" t="s">
        <v>1427</v>
      </c>
      <c r="B91" s="1175">
        <f>F10B!I92</f>
        <v>0</v>
      </c>
      <c r="C91" s="1177"/>
      <c r="D91" s="1175">
        <f>F10B!O92</f>
        <v>7.1326112148318979</v>
      </c>
      <c r="E91" s="1177">
        <f t="shared" ca="1" si="4"/>
        <v>-9.5151555108236627E-2</v>
      </c>
      <c r="F91" s="1175">
        <f>F10B!U92</f>
        <v>7.1298327651885431</v>
      </c>
      <c r="G91" s="1177">
        <f t="shared" ca="1" si="3"/>
        <v>0.86617915263238288</v>
      </c>
    </row>
    <row r="92" spans="1:7" s="545" customFormat="1">
      <c r="A92" s="1406" t="s">
        <v>1428</v>
      </c>
      <c r="B92" s="1175">
        <f>F10B!I93</f>
        <v>0</v>
      </c>
      <c r="C92" s="1177"/>
      <c r="D92" s="1175">
        <f>F10B!O93</f>
        <v>7.5936723633984311</v>
      </c>
      <c r="E92" s="1177">
        <f t="shared" ca="1" si="4"/>
        <v>-3.6660989631611206E-2</v>
      </c>
      <c r="F92" s="1175">
        <f>F10B!U93</f>
        <v>7.5909078136868127</v>
      </c>
      <c r="G92" s="1177">
        <f t="shared" ca="1" si="3"/>
        <v>0.92219359335785267</v>
      </c>
    </row>
    <row r="93" spans="1:7" s="545" customFormat="1">
      <c r="A93" s="1402" t="s">
        <v>1011</v>
      </c>
      <c r="B93" s="1175">
        <f>F10B!I94</f>
        <v>0</v>
      </c>
      <c r="C93" s="1177"/>
      <c r="D93" s="1175">
        <f>F10B!O94</f>
        <v>9.1378064053264776</v>
      </c>
      <c r="E93" s="1177">
        <f t="shared" ca="1" si="4"/>
        <v>0.15922902097735137</v>
      </c>
      <c r="F93" s="1175">
        <f>F10B!U94</f>
        <v>9.1162420351035607</v>
      </c>
      <c r="G93" s="1177">
        <f t="shared" ca="1" si="3"/>
        <v>1.1075012642247999</v>
      </c>
    </row>
    <row r="94" spans="1:7" s="545" customFormat="1">
      <c r="A94" s="1402" t="s">
        <v>1013</v>
      </c>
      <c r="B94" s="1175">
        <f>F10B!I95</f>
        <v>0</v>
      </c>
      <c r="C94" s="1177"/>
      <c r="D94" s="1175">
        <f>F10B!O95</f>
        <v>10.646110434285941</v>
      </c>
      <c r="E94" s="1177">
        <f t="shared" ca="1" si="4"/>
        <v>0.35057360908415131</v>
      </c>
      <c r="F94" s="1175">
        <f>F10B!U95</f>
        <v>10.602981693840103</v>
      </c>
      <c r="G94" s="1177">
        <f t="shared" ca="1" si="3"/>
        <v>1.2881202128314186</v>
      </c>
    </row>
    <row r="95" spans="1:7" s="545" customFormat="1">
      <c r="A95" s="1410" t="s">
        <v>1426</v>
      </c>
      <c r="B95" s="1175">
        <f>F10B!I96</f>
        <v>0</v>
      </c>
      <c r="C95" s="1177"/>
      <c r="D95" s="1175">
        <f>F10B!O96</f>
        <v>13.611656329955512</v>
      </c>
      <c r="E95" s="1177">
        <f t="shared" ca="1" si="4"/>
        <v>0.7267850008353004</v>
      </c>
      <c r="F95" s="1175">
        <f>F10B!U96</f>
        <v>13.522653377409997</v>
      </c>
      <c r="G95" s="1177">
        <f t="shared" ca="1" si="3"/>
        <v>1.6428212034615202</v>
      </c>
    </row>
    <row r="96" spans="1:7" s="545" customFormat="1">
      <c r="A96" s="1406" t="s">
        <v>1430</v>
      </c>
      <c r="B96" s="1175">
        <f>F10B!I97</f>
        <v>0</v>
      </c>
      <c r="C96" s="1177"/>
      <c r="D96" s="1175">
        <f>F10B!O97</f>
        <v>12.497508744967838</v>
      </c>
      <c r="E96" s="1177">
        <f t="shared" ca="1" si="4"/>
        <v>0.58544339685727265</v>
      </c>
      <c r="F96" s="1175">
        <f>F10B!U97</f>
        <v>12.408505792422325</v>
      </c>
      <c r="G96" s="1177">
        <f t="shared" ca="1" si="3"/>
        <v>1.5074671996784432</v>
      </c>
    </row>
    <row r="97" spans="1:7" s="545" customFormat="1">
      <c r="A97" s="1406" t="s">
        <v>1431</v>
      </c>
      <c r="B97" s="1175">
        <f>F10B!I98</f>
        <v>0</v>
      </c>
      <c r="C97" s="1177"/>
      <c r="D97" s="1175">
        <f>F10B!O98</f>
        <v>13.592508744967835</v>
      </c>
      <c r="E97" s="1177">
        <f t="shared" ca="1" si="4"/>
        <v>0.72435592374450042</v>
      </c>
      <c r="F97" s="1175">
        <f>F10B!U98</f>
        <v>13.503505792422324</v>
      </c>
      <c r="G97" s="1177">
        <f t="shared" ca="1" si="3"/>
        <v>1.6404950284324851</v>
      </c>
    </row>
    <row r="98" spans="1:7" s="545" customFormat="1">
      <c r="A98" s="1406" t="s">
        <v>1432</v>
      </c>
      <c r="B98" s="1175">
        <f>F10B!I99</f>
        <v>0</v>
      </c>
      <c r="C98" s="1177"/>
      <c r="D98" s="1175">
        <f>F10B!O99</f>
        <v>14.687508744967836</v>
      </c>
      <c r="E98" s="1177">
        <f t="shared" ca="1" si="4"/>
        <v>0.86326845063172863</v>
      </c>
      <c r="F98" s="1175">
        <f>F10B!U99</f>
        <v>14.598505792422324</v>
      </c>
      <c r="G98" s="1177">
        <f t="shared" ca="1" si="3"/>
        <v>1.7735228571865271</v>
      </c>
    </row>
    <row r="99" spans="1:7" s="545" customFormat="1">
      <c r="A99" s="1406" t="s">
        <v>1433</v>
      </c>
      <c r="B99" s="1175">
        <f>F10B!I100</f>
        <v>0</v>
      </c>
      <c r="C99" s="1177"/>
      <c r="D99" s="1175">
        <f>F10B!O100</f>
        <v>13.592508744967837</v>
      </c>
      <c r="E99" s="1177">
        <f t="shared" ca="1" si="4"/>
        <v>0.72435592374450064</v>
      </c>
      <c r="F99" s="1175">
        <f>F10B!U100</f>
        <v>13.503505792422324</v>
      </c>
      <c r="G99" s="1177">
        <f t="shared" ca="1" si="3"/>
        <v>1.6404950284324851</v>
      </c>
    </row>
    <row r="100" spans="1:7" s="545" customFormat="1">
      <c r="A100" s="1410" t="s">
        <v>1427</v>
      </c>
      <c r="B100" s="1175">
        <f>F10B!I101</f>
        <v>0</v>
      </c>
      <c r="C100" s="1177"/>
      <c r="D100" s="1175">
        <f>F10B!O101</f>
        <v>9.1665046557815018</v>
      </c>
      <c r="E100" s="1177">
        <f t="shared" ca="1" si="4"/>
        <v>0.16286970270150655</v>
      </c>
      <c r="F100" s="1175">
        <f>F10B!U101</f>
        <v>9.1417932728238096</v>
      </c>
      <c r="G100" s="1177">
        <f t="shared" ca="1" si="3"/>
        <v>1.1106053972621541</v>
      </c>
    </row>
    <row r="101" spans="1:7" s="545" customFormat="1">
      <c r="A101" s="1406" t="s">
        <v>1430</v>
      </c>
      <c r="B101" s="1175">
        <f>F10B!I102</f>
        <v>0</v>
      </c>
      <c r="C101" s="1177"/>
      <c r="D101" s="1175">
        <f>F10B!O102</f>
        <v>8.0370947751090664</v>
      </c>
      <c r="E101" s="1177">
        <f t="shared" ca="1" si="4"/>
        <v>1.9591912367615438E-2</v>
      </c>
      <c r="F101" s="1175">
        <f>F10B!U102</f>
        <v>8.012383392151369</v>
      </c>
      <c r="G101" s="1177">
        <f t="shared" ca="1" si="3"/>
        <v>0.97339722904369175</v>
      </c>
    </row>
    <row r="102" spans="1:7" s="545" customFormat="1">
      <c r="A102" s="1406" t="s">
        <v>1431</v>
      </c>
      <c r="B102" s="1175">
        <f>F10B!I103</f>
        <v>0</v>
      </c>
      <c r="C102" s="1177"/>
      <c r="D102" s="1175">
        <f>F10B!O103</f>
        <v>9.1470947751090659</v>
      </c>
      <c r="E102" s="1177">
        <f t="shared" ca="1" si="4"/>
        <v>0.16040735058206579</v>
      </c>
      <c r="F102" s="1175">
        <f>F10B!U103</f>
        <v>9.1223833921513702</v>
      </c>
      <c r="G102" s="1177">
        <f t="shared" ca="1" si="3"/>
        <v>1.1082473568217619</v>
      </c>
    </row>
    <row r="103" spans="1:7" s="545" customFormat="1">
      <c r="A103" s="1406" t="s">
        <v>1432</v>
      </c>
      <c r="B103" s="1175">
        <f>F10B!I104</f>
        <v>0</v>
      </c>
      <c r="C103" s="1177"/>
      <c r="D103" s="1175">
        <f>F10B!O104</f>
        <v>10.257094775109064</v>
      </c>
      <c r="E103" s="1177">
        <f t="shared" ca="1" si="4"/>
        <v>0.30122278879651593</v>
      </c>
      <c r="F103" s="1175">
        <f>F10B!U104</f>
        <v>10.23238339215137</v>
      </c>
      <c r="G103" s="1177">
        <f t="shared" ca="1" si="3"/>
        <v>1.2430974845998317</v>
      </c>
    </row>
    <row r="104" spans="1:7" s="545" customFormat="1">
      <c r="A104" s="1406" t="s">
        <v>1433</v>
      </c>
      <c r="B104" s="1175">
        <f>F10B!I105</f>
        <v>0</v>
      </c>
      <c r="C104" s="1177"/>
      <c r="D104" s="1175">
        <f>F10B!O105</f>
        <v>9.1470947751090641</v>
      </c>
      <c r="E104" s="1177">
        <f t="shared" ca="1" si="4"/>
        <v>0.16040735058206557</v>
      </c>
      <c r="F104" s="1175">
        <f>F10B!U105</f>
        <v>9.1223833921513702</v>
      </c>
      <c r="G104" s="1177">
        <f t="shared" ca="1" si="3"/>
        <v>1.1082473568217619</v>
      </c>
    </row>
    <row r="105" spans="1:7" s="545" customFormat="1">
      <c r="A105" s="1410" t="s">
        <v>1428</v>
      </c>
      <c r="B105" s="1175">
        <f>F10B!I106</f>
        <v>0</v>
      </c>
      <c r="C105" s="1177"/>
      <c r="D105" s="1175">
        <f>F10B!O106</f>
        <v>9.1060777799056343</v>
      </c>
      <c r="E105" s="1177">
        <f t="shared" ca="1" si="4"/>
        <v>0.15520390359665026</v>
      </c>
      <c r="F105" s="1175">
        <f>F10B!U106</f>
        <v>9.0893117767824467</v>
      </c>
      <c r="G105" s="1177">
        <f t="shared" ca="1" si="3"/>
        <v>1.1042295986611073</v>
      </c>
    </row>
    <row r="106" spans="1:7" s="545" customFormat="1">
      <c r="A106" s="1406" t="s">
        <v>1430</v>
      </c>
      <c r="B106" s="1175">
        <f>F10B!I107</f>
        <v>0</v>
      </c>
      <c r="C106" s="1177"/>
      <c r="D106" s="1175">
        <f>F10B!O107</f>
        <v>7.9003564208093833</v>
      </c>
      <c r="E106" s="1177">
        <f t="shared" ca="1" si="4"/>
        <v>2.2451814834418627E-3</v>
      </c>
      <c r="F106" s="1175">
        <f>F10B!U107</f>
        <v>7.8835904176861948</v>
      </c>
      <c r="G106" s="1177">
        <f t="shared" ca="1" si="3"/>
        <v>0.957750608265722</v>
      </c>
    </row>
    <row r="107" spans="1:7" s="545" customFormat="1">
      <c r="A107" s="1406" t="s">
        <v>1431</v>
      </c>
      <c r="B107" s="1175">
        <f>F10B!I108</f>
        <v>0</v>
      </c>
      <c r="C107" s="1177"/>
      <c r="D107" s="1175">
        <f>F10B!O108</f>
        <v>9.0853564208093847</v>
      </c>
      <c r="E107" s="1177">
        <f t="shared" ca="1" si="4"/>
        <v>0.152575176334004</v>
      </c>
      <c r="F107" s="1175">
        <f>F10B!U108</f>
        <v>9.0685904176861953</v>
      </c>
      <c r="G107" s="1177">
        <f t="shared" ca="1" si="3"/>
        <v>1.1017122311639318</v>
      </c>
    </row>
    <row r="108" spans="1:7" s="545" customFormat="1">
      <c r="A108" s="1406" t="s">
        <v>1432</v>
      </c>
      <c r="B108" s="1175">
        <f>F10B!I109</f>
        <v>0</v>
      </c>
      <c r="C108" s="1177"/>
      <c r="D108" s="1175">
        <f>F10B!O109</f>
        <v>10.270356420809382</v>
      </c>
      <c r="E108" s="1177">
        <f t="shared" ca="1" si="4"/>
        <v>0.30290517118456556</v>
      </c>
      <c r="F108" s="1175">
        <f>F10B!U109</f>
        <v>10.253590417686194</v>
      </c>
      <c r="G108" s="1177">
        <f t="shared" ca="1" si="3"/>
        <v>1.2456738540621415</v>
      </c>
    </row>
    <row r="109" spans="1:7" s="545" customFormat="1">
      <c r="A109" s="1406" t="s">
        <v>1433</v>
      </c>
      <c r="B109" s="1175">
        <f>F10B!I110</f>
        <v>0</v>
      </c>
      <c r="C109" s="1177"/>
      <c r="D109" s="1175">
        <f>F10B!O110</f>
        <v>9.0853564208093811</v>
      </c>
      <c r="E109" s="1177">
        <f t="shared" ca="1" si="4"/>
        <v>0.15257517633400353</v>
      </c>
      <c r="F109" s="1175">
        <f>F10B!U110</f>
        <v>9.0685904176861953</v>
      </c>
      <c r="G109" s="1177">
        <f t="shared" ca="1" si="3"/>
        <v>1.1017122311639318</v>
      </c>
    </row>
    <row r="110" spans="1:7" s="545" customFormat="1">
      <c r="A110" s="1402" t="s">
        <v>1014</v>
      </c>
      <c r="B110" s="1175">
        <f>F10B!I111</f>
        <v>0</v>
      </c>
      <c r="C110" s="1177"/>
      <c r="D110" s="1175">
        <f>F10B!O111</f>
        <v>7.6295023763670144</v>
      </c>
      <c r="E110" s="1177">
        <f t="shared" ca="1" si="4"/>
        <v>-3.2115567129448588E-2</v>
      </c>
      <c r="F110" s="1175">
        <f>F10B!U111</f>
        <v>7.6295023763670153</v>
      </c>
      <c r="G110" s="1177">
        <f t="shared" ca="1" si="3"/>
        <v>0.92688231561818069</v>
      </c>
    </row>
    <row r="111" spans="1:7" s="545" customFormat="1">
      <c r="A111" s="1410" t="s">
        <v>1426</v>
      </c>
      <c r="B111" s="1175">
        <f>F10B!I112</f>
        <v>0</v>
      </c>
      <c r="C111" s="1177"/>
      <c r="D111" s="1175">
        <f>F10B!O112</f>
        <v>7.3505497670043498</v>
      </c>
      <c r="E111" s="1177">
        <f t="shared" ca="1" si="4"/>
        <v>-6.750370580374411E-2</v>
      </c>
      <c r="F111" s="1175">
        <f>F10B!U112</f>
        <v>7.3505497670043489</v>
      </c>
      <c r="G111" s="1177">
        <f t="shared" ca="1" si="3"/>
        <v>0.89299331109873781</v>
      </c>
    </row>
    <row r="112" spans="1:7" s="545" customFormat="1">
      <c r="A112" s="1406" t="s">
        <v>1430</v>
      </c>
      <c r="B112" s="1175">
        <f>F10B!I113</f>
        <v>0</v>
      </c>
      <c r="C112" s="1177"/>
      <c r="D112" s="1175">
        <f>F10B!O113</f>
        <v>7.3</v>
      </c>
      <c r="E112" s="1177">
        <f t="shared" ca="1" si="4"/>
        <v>-7.3916487418479157E-2</v>
      </c>
      <c r="F112" s="1175">
        <f>F10B!U113</f>
        <v>7.3</v>
      </c>
      <c r="G112" s="1177">
        <f t="shared" ca="1" si="3"/>
        <v>0.88685219169361329</v>
      </c>
    </row>
    <row r="113" spans="1:7" s="545" customFormat="1">
      <c r="A113" s="1406" t="s">
        <v>1431</v>
      </c>
      <c r="B113" s="1175">
        <f>F10B!I114</f>
        <v>0</v>
      </c>
      <c r="C113" s="1177"/>
      <c r="D113" s="1175">
        <f>F10B!O114</f>
        <v>7.3000000000000007</v>
      </c>
      <c r="E113" s="1177">
        <f t="shared" ca="1" si="4"/>
        <v>-7.3916487418479046E-2</v>
      </c>
      <c r="F113" s="1175">
        <f>F10B!U114</f>
        <v>7.3</v>
      </c>
      <c r="G113" s="1177">
        <f t="shared" ca="1" si="3"/>
        <v>0.88685219169361329</v>
      </c>
    </row>
    <row r="114" spans="1:7" s="545" customFormat="1">
      <c r="A114" s="1406" t="s">
        <v>1432</v>
      </c>
      <c r="B114" s="1175">
        <f>F10B!I115</f>
        <v>0</v>
      </c>
      <c r="C114" s="1177"/>
      <c r="D114" s="1175">
        <f>F10B!O115</f>
        <v>8.3949999999999996</v>
      </c>
      <c r="E114" s="1177">
        <f t="shared" ca="1" si="4"/>
        <v>6.4996039468748934E-2</v>
      </c>
      <c r="F114" s="1175">
        <f>F10B!U115</f>
        <v>8.3949999999999996</v>
      </c>
      <c r="G114" s="1177">
        <f t="shared" ca="1" si="3"/>
        <v>1.0198800204476552</v>
      </c>
    </row>
    <row r="115" spans="1:7" s="545" customFormat="1">
      <c r="A115" s="1406" t="s">
        <v>1433</v>
      </c>
      <c r="B115" s="1175">
        <f>F10B!I116</f>
        <v>0</v>
      </c>
      <c r="C115" s="1177"/>
      <c r="D115" s="1175">
        <f>F10B!O116</f>
        <v>6.2049999999999992</v>
      </c>
      <c r="E115" s="1177">
        <f t="shared" ca="1" si="4"/>
        <v>-0.21282901430570739</v>
      </c>
      <c r="F115" s="1175">
        <f>F10B!U116</f>
        <v>6.2050000000000001</v>
      </c>
      <c r="G115" s="1177">
        <f t="shared" ca="1" si="3"/>
        <v>0.75382436293957134</v>
      </c>
    </row>
    <row r="116" spans="1:7" s="545" customFormat="1">
      <c r="A116" s="1410" t="s">
        <v>1427</v>
      </c>
      <c r="B116" s="1175">
        <f>F10B!I117</f>
        <v>0</v>
      </c>
      <c r="C116" s="1177"/>
      <c r="D116" s="1175">
        <f>F10B!O117</f>
        <v>7.451242229566053</v>
      </c>
      <c r="E116" s="1177">
        <f t="shared" ca="1" si="4"/>
        <v>-5.4729783965439267E-2</v>
      </c>
      <c r="F116" s="1175">
        <f>F10B!U117</f>
        <v>7.4512422295660556</v>
      </c>
      <c r="G116" s="1177">
        <f t="shared" ca="1" si="3"/>
        <v>0.90522609618228256</v>
      </c>
    </row>
    <row r="117" spans="1:7" s="545" customFormat="1">
      <c r="A117" s="1406" t="s">
        <v>1430</v>
      </c>
      <c r="B117" s="1175">
        <f>F10B!I118</f>
        <v>0</v>
      </c>
      <c r="C117" s="1177"/>
      <c r="D117" s="1175">
        <f>F10B!O118</f>
        <v>7.4000000000000012</v>
      </c>
      <c r="E117" s="1177">
        <f t="shared" ca="1" si="4"/>
        <v>-6.1230411903663629E-2</v>
      </c>
      <c r="F117" s="1175">
        <f>F10B!U118</f>
        <v>7.4000000000000012</v>
      </c>
      <c r="G117" s="1177">
        <f t="shared" ca="1" si="3"/>
        <v>0.89900085185379996</v>
      </c>
    </row>
    <row r="118" spans="1:7" s="545" customFormat="1">
      <c r="A118" s="1406" t="s">
        <v>1431</v>
      </c>
      <c r="B118" s="1175">
        <f>F10B!I119</f>
        <v>0</v>
      </c>
      <c r="C118" s="1177"/>
      <c r="D118" s="1175">
        <f>F10B!O119</f>
        <v>7.4</v>
      </c>
      <c r="E118" s="1177">
        <f t="shared" ca="1" si="4"/>
        <v>-6.123041190366374E-2</v>
      </c>
      <c r="F118" s="1175">
        <f>F10B!U119</f>
        <v>7.4000000000000012</v>
      </c>
      <c r="G118" s="1177">
        <f t="shared" ca="1" si="3"/>
        <v>0.89900085185379996</v>
      </c>
    </row>
    <row r="119" spans="1:7" s="545" customFormat="1">
      <c r="A119" s="1406" t="s">
        <v>1432</v>
      </c>
      <c r="B119" s="1175">
        <f>F10B!I120</f>
        <v>0</v>
      </c>
      <c r="C119" s="1177"/>
      <c r="D119" s="1175">
        <f>F10B!O120</f>
        <v>8.51</v>
      </c>
      <c r="E119" s="1177">
        <f t="shared" ca="1" si="4"/>
        <v>7.9585026310786622E-2</v>
      </c>
      <c r="F119" s="1175">
        <f>F10B!U120</f>
        <v>8.5100000000000016</v>
      </c>
      <c r="G119" s="1177">
        <f t="shared" ca="1" si="3"/>
        <v>1.03385097963187</v>
      </c>
    </row>
    <row r="120" spans="1:7" s="545" customFormat="1">
      <c r="A120" s="1406" t="s">
        <v>1433</v>
      </c>
      <c r="B120" s="1175">
        <f>F10B!I121</f>
        <v>0</v>
      </c>
      <c r="C120" s="1177"/>
      <c r="D120" s="1175">
        <f>F10B!O121</f>
        <v>6.29</v>
      </c>
      <c r="E120" s="1177">
        <f t="shared" ca="1" si="4"/>
        <v>-0.20204585011811421</v>
      </c>
      <c r="F120" s="1175">
        <f>F10B!U121</f>
        <v>6.29</v>
      </c>
      <c r="G120" s="1177">
        <f t="shared" ca="1" si="3"/>
        <v>0.76415072407572981</v>
      </c>
    </row>
    <row r="121" spans="1:7" s="545" customFormat="1">
      <c r="A121" s="1410" t="s">
        <v>1428</v>
      </c>
      <c r="B121" s="1175">
        <f>F10B!I122</f>
        <v>0</v>
      </c>
      <c r="C121" s="1177"/>
      <c r="D121" s="1175">
        <f>F10B!O122</f>
        <v>7.9547045423745697</v>
      </c>
      <c r="E121" s="1177">
        <f t="shared" ca="1" si="4"/>
        <v>9.1398252260850611E-3</v>
      </c>
      <c r="F121" s="1175">
        <f>F10B!U122</f>
        <v>7.9547045423745688</v>
      </c>
      <c r="G121" s="1177">
        <f t="shared" ca="1" si="3"/>
        <v>0.96639002160000376</v>
      </c>
    </row>
    <row r="122" spans="1:7" s="545" customFormat="1">
      <c r="A122" s="1406" t="s">
        <v>1430</v>
      </c>
      <c r="B122" s="1175">
        <f>F10B!I123</f>
        <v>0</v>
      </c>
      <c r="C122" s="1177"/>
      <c r="D122" s="1175">
        <f>F10B!O123</f>
        <v>7.9</v>
      </c>
      <c r="E122" s="1177">
        <f t="shared" ca="1" si="4"/>
        <v>2.1999656704130297E-3</v>
      </c>
      <c r="F122" s="1175">
        <f>F10B!U123</f>
        <v>7.9000000000000012</v>
      </c>
      <c r="G122" s="1177">
        <f t="shared" ca="1" si="3"/>
        <v>0.95974415265473234</v>
      </c>
    </row>
    <row r="123" spans="1:7" s="545" customFormat="1">
      <c r="A123" s="1406" t="s">
        <v>1431</v>
      </c>
      <c r="B123" s="1175">
        <f>F10B!I124</f>
        <v>0</v>
      </c>
      <c r="C123" s="1177"/>
      <c r="D123" s="1175">
        <f>F10B!O124</f>
        <v>7.9000000000000012</v>
      </c>
      <c r="E123" s="1177">
        <f t="shared" ca="1" si="4"/>
        <v>2.199965670413142E-3</v>
      </c>
      <c r="F123" s="1175">
        <f>F10B!U124</f>
        <v>7.9</v>
      </c>
      <c r="G123" s="1177">
        <f t="shared" ca="1" si="3"/>
        <v>0.95974415265473223</v>
      </c>
    </row>
    <row r="124" spans="1:7" s="545" customFormat="1">
      <c r="A124" s="1406" t="s">
        <v>1432</v>
      </c>
      <c r="B124" s="1175">
        <f>F10B!I125</f>
        <v>0</v>
      </c>
      <c r="C124" s="1177"/>
      <c r="D124" s="1175">
        <f>F10B!O125</f>
        <v>9.0849999999999991</v>
      </c>
      <c r="E124" s="1177">
        <f t="shared" ca="1" si="4"/>
        <v>0.15252996052097481</v>
      </c>
      <c r="F124" s="1175">
        <f>F10B!U125</f>
        <v>9.0849999999999991</v>
      </c>
      <c r="G124" s="1177">
        <f t="shared" ca="1" si="3"/>
        <v>1.103705775552942</v>
      </c>
    </row>
    <row r="125" spans="1:7" s="545" customFormat="1">
      <c r="A125" s="1406" t="s">
        <v>1433</v>
      </c>
      <c r="B125" s="1175">
        <f>F10B!I126</f>
        <v>0</v>
      </c>
      <c r="C125" s="1177"/>
      <c r="D125" s="1175">
        <f>F10B!O126</f>
        <v>6.7150000000000007</v>
      </c>
      <c r="E125" s="1177">
        <f t="shared" ca="1" si="4"/>
        <v>-0.14813002918014886</v>
      </c>
      <c r="F125" s="1175">
        <f>F10B!U126</f>
        <v>6.7149999999999999</v>
      </c>
      <c r="G125" s="1177">
        <f t="shared" ca="1" si="3"/>
        <v>0.81578252975652232</v>
      </c>
    </row>
    <row r="126" spans="1:7" s="545" customFormat="1">
      <c r="A126" s="1402" t="s">
        <v>1425</v>
      </c>
      <c r="B126" s="1175">
        <f>F10B!I127</f>
        <v>0</v>
      </c>
      <c r="C126" s="1177"/>
      <c r="D126" s="1175">
        <f>F10B!O127</f>
        <v>8.8589298789625808</v>
      </c>
      <c r="E126" s="1177">
        <f t="shared" ca="1" si="4"/>
        <v>0.12385053424973345</v>
      </c>
      <c r="F126" s="1175">
        <f>F10B!U127</f>
        <v>8.8430034023984199</v>
      </c>
      <c r="G126" s="1177">
        <f t="shared" ca="1" si="3"/>
        <v>1.0743064313111121</v>
      </c>
    </row>
    <row r="127" spans="1:7" s="545" customFormat="1">
      <c r="A127" s="1409"/>
      <c r="B127" s="1175">
        <f>F10B!I128</f>
        <v>0</v>
      </c>
      <c r="C127" s="1177"/>
      <c r="D127" s="1175">
        <f>F10B!O128</f>
        <v>0</v>
      </c>
      <c r="E127" s="1177">
        <f t="shared" ca="1" si="4"/>
        <v>-1</v>
      </c>
      <c r="F127" s="1175">
        <f>F10B!U128</f>
        <v>0</v>
      </c>
      <c r="G127" s="1177">
        <f t="shared" ca="1" si="3"/>
        <v>0</v>
      </c>
    </row>
    <row r="128" spans="1:7" s="545" customFormat="1">
      <c r="A128" s="1402" t="s">
        <v>1402</v>
      </c>
      <c r="B128" s="1175">
        <f>F10B!I129</f>
        <v>0</v>
      </c>
      <c r="C128" s="1177"/>
      <c r="D128" s="1175">
        <f>F10B!O129</f>
        <v>0</v>
      </c>
      <c r="E128" s="1177">
        <f t="shared" ca="1" si="4"/>
        <v>-1</v>
      </c>
      <c r="F128" s="1175">
        <f>F10B!U129</f>
        <v>0</v>
      </c>
      <c r="G128" s="1177">
        <f t="shared" ca="1" si="3"/>
        <v>0</v>
      </c>
    </row>
    <row r="129" spans="1:7" s="545" customFormat="1">
      <c r="A129" s="1402" t="s">
        <v>1012</v>
      </c>
      <c r="B129" s="1175">
        <f>F10B!I130</f>
        <v>0</v>
      </c>
      <c r="C129" s="1177"/>
      <c r="D129" s="1175">
        <f>F10B!O130</f>
        <v>8.9137108179098252</v>
      </c>
      <c r="E129" s="1177">
        <f t="shared" ca="1" si="4"/>
        <v>0.13080008553230579</v>
      </c>
      <c r="F129" s="1175">
        <f>F10B!U130</f>
        <v>8.920137868098907</v>
      </c>
      <c r="G129" s="1177">
        <f t="shared" ca="1" si="3"/>
        <v>1.0836772354154398</v>
      </c>
    </row>
    <row r="130" spans="1:7" s="545" customFormat="1">
      <c r="A130" s="1409" t="s">
        <v>1091</v>
      </c>
      <c r="B130" s="1175">
        <f>F10B!I131</f>
        <v>0</v>
      </c>
      <c r="C130" s="1177"/>
      <c r="D130" s="1175">
        <f>F10B!O131</f>
        <v>8.9362596249809396</v>
      </c>
      <c r="E130" s="1177">
        <f t="shared" ca="1" si="4"/>
        <v>0.13366064422503737</v>
      </c>
      <c r="F130" s="1175">
        <f>F10B!U131</f>
        <v>8.9362596249809414</v>
      </c>
      <c r="G130" s="1177">
        <f t="shared" ca="1" si="3"/>
        <v>1.0856358128708896</v>
      </c>
    </row>
    <row r="131" spans="1:7" s="545" customFormat="1">
      <c r="A131" s="1409" t="s">
        <v>1092</v>
      </c>
      <c r="B131" s="1175">
        <f>F10B!I132</f>
        <v>0</v>
      </c>
      <c r="C131" s="1177"/>
      <c r="D131" s="1175">
        <f>F10B!O132</f>
        <v>8.2981501929095618</v>
      </c>
      <c r="E131" s="1177">
        <f t="shared" ca="1" si="4"/>
        <v>5.2709599805303001E-2</v>
      </c>
      <c r="F131" s="1175">
        <f>F10B!U132</f>
        <v>8.29815019290956</v>
      </c>
      <c r="G131" s="1177">
        <f t="shared" ca="1" si="3"/>
        <v>1.0081140665184416</v>
      </c>
    </row>
    <row r="132" spans="1:7" s="545" customFormat="1">
      <c r="A132" s="1409" t="s">
        <v>1093</v>
      </c>
      <c r="B132" s="1175">
        <f>F10B!I133</f>
        <v>0</v>
      </c>
      <c r="C132" s="1177"/>
      <c r="D132" s="1175">
        <f>F10B!O133</f>
        <v>9.5453945209225992</v>
      </c>
      <c r="E132" s="1177">
        <f t="shared" ca="1" si="4"/>
        <v>0.21093595711128824</v>
      </c>
      <c r="F132" s="1175">
        <f>F10B!U133</f>
        <v>9.545394520922601</v>
      </c>
      <c r="G132" s="1177">
        <f t="shared" ca="1" si="3"/>
        <v>1.1596375412959474</v>
      </c>
    </row>
    <row r="133" spans="1:7" s="545" customFormat="1">
      <c r="A133" s="1402" t="s">
        <v>1011</v>
      </c>
      <c r="B133" s="1175">
        <f>F10B!I134</f>
        <v>0</v>
      </c>
      <c r="C133" s="1177"/>
      <c r="D133" s="1175">
        <f>F10B!O134</f>
        <v>9.9440638372320507</v>
      </c>
      <c r="E133" s="1177">
        <f t="shared" ca="1" si="4"/>
        <v>0.26151144763270334</v>
      </c>
      <c r="F133" s="1175">
        <f>F10B!U134</f>
        <v>9.9292547971250364</v>
      </c>
      <c r="G133" s="1177">
        <f t="shared" ca="1" si="3"/>
        <v>1.2062714217417345</v>
      </c>
    </row>
    <row r="134" spans="1:7" s="545" customFormat="1">
      <c r="A134" s="1409" t="s">
        <v>1094</v>
      </c>
      <c r="B134" s="1175">
        <f>F10B!I135</f>
        <v>0</v>
      </c>
      <c r="C134" s="1177"/>
      <c r="D134" s="1175">
        <f>F10B!O135</f>
        <v>9.5331783623591377</v>
      </c>
      <c r="E134" s="1177">
        <f t="shared" ca="1" si="4"/>
        <v>0.20938620601091792</v>
      </c>
      <c r="F134" s="1175">
        <f>F10B!U135</f>
        <v>9.5331783623591395</v>
      </c>
      <c r="G134" s="1177">
        <f t="shared" ca="1" si="3"/>
        <v>1.1581534417074431</v>
      </c>
    </row>
    <row r="135" spans="1:7" s="545" customFormat="1">
      <c r="A135" s="1409" t="s">
        <v>1095</v>
      </c>
      <c r="B135" s="1175">
        <f>F10B!I136</f>
        <v>0</v>
      </c>
      <c r="C135" s="1177"/>
      <c r="D135" s="1175">
        <f>F10B!O136</f>
        <v>10.076038479535693</v>
      </c>
      <c r="E135" s="1177">
        <f t="shared" ca="1" si="4"/>
        <v>0.2782538504157509</v>
      </c>
      <c r="F135" s="1175">
        <f>F10B!U136</f>
        <v>10.055160990433352</v>
      </c>
      <c r="G135" s="1177">
        <f t="shared" ca="1" si="3"/>
        <v>1.2215673372873894</v>
      </c>
    </row>
    <row r="136" spans="1:7" s="545" customFormat="1">
      <c r="A136" s="1409" t="s">
        <v>1096</v>
      </c>
      <c r="B136" s="1175">
        <f>F10B!I137</f>
        <v>0</v>
      </c>
      <c r="C136" s="1177"/>
      <c r="D136" s="1175">
        <f>F10B!O137</f>
        <v>9.838521193573067</v>
      </c>
      <c r="E136" s="1177">
        <f t="shared" ca="1" si="4"/>
        <v>0.2481222281577922</v>
      </c>
      <c r="F136" s="1175">
        <f>F10B!U137</f>
        <v>9.8210032134659535</v>
      </c>
      <c r="G136" s="1177">
        <f t="shared" ca="1" si="3"/>
        <v>1.1931203047249725</v>
      </c>
    </row>
    <row r="137" spans="1:7" s="545" customFormat="1">
      <c r="A137" s="1402" t="s">
        <v>1425</v>
      </c>
      <c r="B137" s="1175">
        <f>F10B!I138</f>
        <v>0</v>
      </c>
      <c r="C137" s="1177"/>
      <c r="D137" s="1175">
        <f>F10B!O138</f>
        <v>9.6067748992955959</v>
      </c>
      <c r="E137" s="1177">
        <f t="shared" ca="1" si="4"/>
        <v>0.21872271826296599</v>
      </c>
      <c r="F137" s="1175">
        <f>F10B!U138</f>
        <v>9.5850746996800744</v>
      </c>
      <c r="G137" s="1177">
        <f t="shared" ca="1" si="3"/>
        <v>1.1644581513641474</v>
      </c>
    </row>
    <row r="138" spans="1:7" s="545" customFormat="1">
      <c r="A138" s="1409"/>
      <c r="B138" s="1175">
        <f>F10B!I139</f>
        <v>0</v>
      </c>
      <c r="C138" s="1177"/>
      <c r="D138" s="1175">
        <f>F10B!O139</f>
        <v>0</v>
      </c>
      <c r="E138" s="1177">
        <f t="shared" ca="1" si="4"/>
        <v>-1</v>
      </c>
      <c r="F138" s="1175">
        <f>F10B!U139</f>
        <v>0</v>
      </c>
      <c r="G138" s="1177">
        <f t="shared" ref="G138:G201" ca="1" si="5">IFERROR((F138/$F$276),0)</f>
        <v>0</v>
      </c>
    </row>
    <row r="139" spans="1:7" s="545" customFormat="1">
      <c r="A139" s="1402" t="s">
        <v>1098</v>
      </c>
      <c r="B139" s="1175">
        <f>F10B!I140</f>
        <v>0</v>
      </c>
      <c r="C139" s="1177"/>
      <c r="D139" s="1175">
        <f>F10B!O140</f>
        <v>0</v>
      </c>
      <c r="E139" s="1177">
        <f t="shared" ca="1" si="4"/>
        <v>-1</v>
      </c>
      <c r="F139" s="1175">
        <f>F10B!U140</f>
        <v>0</v>
      </c>
      <c r="G139" s="1177">
        <f t="shared" ca="1" si="5"/>
        <v>0</v>
      </c>
    </row>
    <row r="140" spans="1:7" s="545" customFormat="1">
      <c r="A140" s="1402" t="s">
        <v>476</v>
      </c>
      <c r="B140" s="1175">
        <f>F10B!I141</f>
        <v>0</v>
      </c>
      <c r="C140" s="1177"/>
      <c r="D140" s="1175">
        <f>F10B!O141</f>
        <v>9.0513464158308317</v>
      </c>
      <c r="E140" s="1177">
        <f t="shared" ca="1" si="4"/>
        <v>0.14826064141983228</v>
      </c>
      <c r="F140" s="1175">
        <f>F10B!U141</f>
        <v>9.1664516570665349</v>
      </c>
      <c r="G140" s="1177">
        <f t="shared" ca="1" si="5"/>
        <v>1.1136010605647959</v>
      </c>
    </row>
    <row r="141" spans="1:7" s="545" customFormat="1">
      <c r="A141" s="1409" t="s">
        <v>1099</v>
      </c>
      <c r="B141" s="1175">
        <f>F10B!I142</f>
        <v>0</v>
      </c>
      <c r="C141" s="1177"/>
      <c r="D141" s="1175">
        <f>F10B!O142</f>
        <v>9.0513464158308317</v>
      </c>
      <c r="E141" s="1177">
        <f t="shared" ca="1" si="4"/>
        <v>0.14826064141983228</v>
      </c>
      <c r="F141" s="1175">
        <f>F10B!U142</f>
        <v>9.1664516570665349</v>
      </c>
      <c r="G141" s="1177">
        <f t="shared" ca="1" si="5"/>
        <v>1.1136010605647959</v>
      </c>
    </row>
    <row r="142" spans="1:7" s="545" customFormat="1">
      <c r="A142" s="1402" t="s">
        <v>1404</v>
      </c>
      <c r="B142" s="1175">
        <f>F10B!I143</f>
        <v>0</v>
      </c>
      <c r="C142" s="1177"/>
      <c r="D142" s="1175">
        <f>F10B!O143</f>
        <v>11.586388745154991</v>
      </c>
      <c r="E142" s="1177">
        <f t="shared" ca="1" si="4"/>
        <v>0.46985802565042933</v>
      </c>
      <c r="F142" s="1175">
        <f>F10B!U143</f>
        <v>11.586388745154991</v>
      </c>
      <c r="G142" s="1177">
        <f t="shared" ca="1" si="5"/>
        <v>1.407590993486975</v>
      </c>
    </row>
    <row r="143" spans="1:7" s="545" customFormat="1">
      <c r="A143" s="1409" t="s">
        <v>1405</v>
      </c>
      <c r="B143" s="1175">
        <f>F10B!I144</f>
        <v>0</v>
      </c>
      <c r="C143" s="1177"/>
      <c r="D143" s="1175">
        <f>F10B!O144</f>
        <v>11.218113822439239</v>
      </c>
      <c r="E143" s="1177">
        <f t="shared" ca="1" si="4"/>
        <v>0.42313839085258115</v>
      </c>
      <c r="F143" s="1175">
        <f>F10B!U144</f>
        <v>11.218113822439239</v>
      </c>
      <c r="G143" s="1177">
        <f t="shared" ca="1" si="5"/>
        <v>1.3628505246710489</v>
      </c>
    </row>
    <row r="144" spans="1:7" s="545" customFormat="1">
      <c r="A144" s="1409" t="s">
        <v>1101</v>
      </c>
      <c r="B144" s="1175">
        <f>F10B!I145</f>
        <v>0</v>
      </c>
      <c r="C144" s="1177"/>
      <c r="D144" s="1175">
        <f>F10B!O145</f>
        <v>42.577659783861883</v>
      </c>
      <c r="E144" s="1177">
        <f t="shared" ca="1" si="4"/>
        <v>4.4014340726218864</v>
      </c>
      <c r="F144" s="1175">
        <f>F10B!U145</f>
        <v>42.577659783861883</v>
      </c>
      <c r="G144" s="1177">
        <f t="shared" ca="1" si="5"/>
        <v>5.1726151913017713</v>
      </c>
    </row>
    <row r="145" spans="1:7" s="545" customFormat="1">
      <c r="A145" s="1402" t="s">
        <v>1425</v>
      </c>
      <c r="B145" s="1175">
        <f>F10B!I146</f>
        <v>0</v>
      </c>
      <c r="C145" s="1177"/>
      <c r="D145" s="1175">
        <f>F10B!O146</f>
        <v>10.468505552200494</v>
      </c>
      <c r="E145" s="1177">
        <f t="shared" ca="1" si="4"/>
        <v>0.32804251962479275</v>
      </c>
      <c r="F145" s="1175">
        <f>F10B!U146</f>
        <v>9.9596314103934969</v>
      </c>
      <c r="G145" s="1177">
        <f t="shared" ca="1" si="5"/>
        <v>1.209961773255894</v>
      </c>
    </row>
    <row r="146" spans="1:7" s="545" customFormat="1">
      <c r="A146" s="1409"/>
      <c r="B146" s="1175">
        <f>F10B!I147</f>
        <v>0</v>
      </c>
      <c r="C146" s="1177"/>
      <c r="D146" s="1175">
        <f>F10B!O147</f>
        <v>0</v>
      </c>
      <c r="E146" s="1177">
        <f t="shared" ca="1" si="4"/>
        <v>-1</v>
      </c>
      <c r="F146" s="1175">
        <f>F10B!U147</f>
        <v>0</v>
      </c>
      <c r="G146" s="1177">
        <f t="shared" ca="1" si="5"/>
        <v>0</v>
      </c>
    </row>
    <row r="147" spans="1:7" s="545" customFormat="1">
      <c r="A147" s="1402" t="s">
        <v>1406</v>
      </c>
      <c r="B147" s="1175">
        <f>F10B!I148</f>
        <v>0</v>
      </c>
      <c r="C147" s="1177"/>
      <c r="D147" s="1175">
        <f>F10B!O148</f>
        <v>0</v>
      </c>
      <c r="E147" s="1177">
        <f t="shared" ca="1" si="4"/>
        <v>-1</v>
      </c>
      <c r="F147" s="1175">
        <f>F10B!U148</f>
        <v>0</v>
      </c>
      <c r="G147" s="1177">
        <f t="shared" ca="1" si="5"/>
        <v>0</v>
      </c>
    </row>
    <row r="148" spans="1:7" s="545" customFormat="1">
      <c r="A148" s="1402" t="s">
        <v>476</v>
      </c>
      <c r="B148" s="1175">
        <f>F10B!I149</f>
        <v>0</v>
      </c>
      <c r="C148" s="1177"/>
      <c r="D148" s="1175">
        <f>F10B!O149</f>
        <v>10.284478617678058</v>
      </c>
      <c r="E148" s="1177">
        <f t="shared" ca="1" si="4"/>
        <v>0.30469672374367673</v>
      </c>
      <c r="F148" s="1175">
        <f>F10B!U149</f>
        <v>10.267893649043966</v>
      </c>
      <c r="G148" s="1177">
        <f t="shared" ca="1" si="5"/>
        <v>1.2474115050317225</v>
      </c>
    </row>
    <row r="149" spans="1:7" s="545" customFormat="1">
      <c r="A149" s="1409" t="s">
        <v>1104</v>
      </c>
      <c r="B149" s="1175">
        <f>F10B!I150</f>
        <v>0</v>
      </c>
      <c r="C149" s="1177"/>
      <c r="D149" s="1175">
        <f>F10B!O150</f>
        <v>9.0799811912225721</v>
      </c>
      <c r="E149" s="1177">
        <f t="shared" ca="1" si="4"/>
        <v>0.15189327064952624</v>
      </c>
      <c r="F149" s="1175">
        <f>F10B!U150</f>
        <v>9.0695481023830524</v>
      </c>
      <c r="G149" s="1177">
        <f t="shared" ca="1" si="5"/>
        <v>1.1018285770231591</v>
      </c>
    </row>
    <row r="150" spans="1:7" s="545" customFormat="1">
      <c r="A150" s="1409" t="s">
        <v>1105</v>
      </c>
      <c r="B150" s="1175">
        <f>F10B!I151</f>
        <v>0</v>
      </c>
      <c r="C150" s="1177"/>
      <c r="D150" s="1175">
        <f>F10B!O151</f>
        <v>11.20174973474801</v>
      </c>
      <c r="E150" s="1177">
        <f t="shared" ca="1" si="4"/>
        <v>0.42106243033076113</v>
      </c>
      <c r="F150" s="1175">
        <f>F10B!U151</f>
        <v>11.180479873039584</v>
      </c>
      <c r="G150" s="1177">
        <f t="shared" ca="1" si="5"/>
        <v>1.3582785040536283</v>
      </c>
    </row>
    <row r="151" spans="1:7" s="545" customFormat="1">
      <c r="A151" s="1402" t="s">
        <v>1404</v>
      </c>
      <c r="B151" s="1175">
        <f>F10B!I152</f>
        <v>0</v>
      </c>
      <c r="C151" s="1177"/>
      <c r="D151" s="1175">
        <f>F10B!O152</f>
        <v>10.096652246900828</v>
      </c>
      <c r="E151" s="1177">
        <f t="shared" ca="1" si="4"/>
        <v>0.28086892851014017</v>
      </c>
      <c r="F151" s="1175">
        <f>F10B!U152</f>
        <v>8.2252259814049609</v>
      </c>
      <c r="G151" s="1177">
        <f t="shared" ca="1" si="5"/>
        <v>0.99925475188825219</v>
      </c>
    </row>
    <row r="152" spans="1:7" s="545" customFormat="1">
      <c r="A152" s="1409" t="s">
        <v>1106</v>
      </c>
      <c r="B152" s="1175">
        <f>F10B!I153</f>
        <v>0</v>
      </c>
      <c r="C152" s="1177"/>
      <c r="D152" s="1175">
        <f>F10B!O153</f>
        <v>0</v>
      </c>
      <c r="E152" s="1177">
        <f t="shared" ca="1" si="4"/>
        <v>-1</v>
      </c>
      <c r="F152" s="1175">
        <f>F10B!U153</f>
        <v>0</v>
      </c>
      <c r="G152" s="1177">
        <f t="shared" ca="1" si="5"/>
        <v>0</v>
      </c>
    </row>
    <row r="153" spans="1:7" s="545" customFormat="1">
      <c r="A153" s="1409" t="s">
        <v>1107</v>
      </c>
      <c r="B153" s="1175">
        <f>F10B!I154</f>
        <v>0</v>
      </c>
      <c r="C153" s="1177"/>
      <c r="D153" s="1175">
        <f>F10B!O154</f>
        <v>4.0383780991735545</v>
      </c>
      <c r="E153" s="1177">
        <f t="shared" ref="E153:E216" ca="1" si="6">(D153-$D$276)/$D$276</f>
        <v>-0.48768830476507796</v>
      </c>
      <c r="F153" s="1175">
        <f>F10B!U154</f>
        <v>2.0191890495867773</v>
      </c>
      <c r="G153" s="1177">
        <f t="shared" ca="1" si="5"/>
        <v>0.24530441562599692</v>
      </c>
    </row>
    <row r="154" spans="1:7" s="545" customFormat="1">
      <c r="A154" s="1402" t="s">
        <v>1425</v>
      </c>
      <c r="B154" s="1175">
        <f>F10B!I155</f>
        <v>0</v>
      </c>
      <c r="C154" s="1177"/>
      <c r="D154" s="1175">
        <f>F10B!O155</f>
        <v>10.281117631155723</v>
      </c>
      <c r="E154" s="1177">
        <f t="shared" ca="1" si="6"/>
        <v>0.30427034645541057</v>
      </c>
      <c r="F154" s="1175">
        <f>F10B!U155</f>
        <v>10.232388028947472</v>
      </c>
      <c r="G154" s="1177">
        <f t="shared" ca="1" si="5"/>
        <v>1.2430980479084326</v>
      </c>
    </row>
    <row r="155" spans="1:7">
      <c r="A155" s="1409"/>
      <c r="B155" s="1175">
        <f>F10B!I156</f>
        <v>0</v>
      </c>
      <c r="C155" s="1177"/>
      <c r="D155" s="1175">
        <f>F10B!O156</f>
        <v>0</v>
      </c>
      <c r="E155" s="1177">
        <f t="shared" ca="1" si="6"/>
        <v>-1</v>
      </c>
      <c r="F155" s="1175">
        <f>F10B!U156</f>
        <v>0</v>
      </c>
      <c r="G155" s="1177">
        <f t="shared" ca="1" si="5"/>
        <v>0</v>
      </c>
    </row>
    <row r="156" spans="1:7">
      <c r="A156" s="1402" t="s">
        <v>1109</v>
      </c>
      <c r="B156" s="1175">
        <f>F10B!I157</f>
        <v>0</v>
      </c>
      <c r="C156" s="1177"/>
      <c r="D156" s="1175">
        <f>F10B!O157</f>
        <v>5.1004933588600876</v>
      </c>
      <c r="E156" s="1177">
        <f t="shared" ca="1" si="6"/>
        <v>-0.35294756086686718</v>
      </c>
      <c r="F156" s="1175">
        <f>F10B!U157</f>
        <v>5.1238543057232855</v>
      </c>
      <c r="G156" s="1177">
        <f t="shared" ca="1" si="5"/>
        <v>0.62247964670540457</v>
      </c>
    </row>
    <row r="157" spans="1:7">
      <c r="A157" s="1409"/>
      <c r="B157" s="1175">
        <f>F10B!I158</f>
        <v>0</v>
      </c>
      <c r="C157" s="1177"/>
      <c r="D157" s="1175">
        <f>F10B!O158</f>
        <v>0</v>
      </c>
      <c r="E157" s="1177">
        <f t="shared" ca="1" si="6"/>
        <v>-1</v>
      </c>
      <c r="F157" s="1175">
        <f>F10B!U158</f>
        <v>0</v>
      </c>
      <c r="G157" s="1177">
        <f t="shared" ca="1" si="5"/>
        <v>0</v>
      </c>
    </row>
    <row r="158" spans="1:7">
      <c r="A158" s="1402" t="s">
        <v>1407</v>
      </c>
      <c r="B158" s="1175">
        <f>F10B!I159</f>
        <v>0</v>
      </c>
      <c r="C158" s="1177"/>
      <c r="D158" s="1175">
        <f>F10B!O159</f>
        <v>0</v>
      </c>
      <c r="E158" s="1177">
        <f t="shared" ca="1" si="6"/>
        <v>-1</v>
      </c>
      <c r="F158" s="1175">
        <f>F10B!U159</f>
        <v>0</v>
      </c>
      <c r="G158" s="1177">
        <f t="shared" ca="1" si="5"/>
        <v>0</v>
      </c>
    </row>
    <row r="159" spans="1:7">
      <c r="A159" s="1402" t="s">
        <v>1146</v>
      </c>
      <c r="B159" s="1175">
        <f>F10B!I160</f>
        <v>0</v>
      </c>
      <c r="C159" s="1177"/>
      <c r="D159" s="1175">
        <f>F10B!O160</f>
        <v>0</v>
      </c>
      <c r="E159" s="1177">
        <f t="shared" ca="1" si="6"/>
        <v>-1</v>
      </c>
      <c r="F159" s="1175">
        <f>F10B!U160</f>
        <v>0</v>
      </c>
      <c r="G159" s="1177">
        <f t="shared" ca="1" si="5"/>
        <v>0</v>
      </c>
    </row>
    <row r="160" spans="1:7">
      <c r="A160" s="1409" t="s">
        <v>1408</v>
      </c>
      <c r="B160" s="1175">
        <f>F10B!I161</f>
        <v>0</v>
      </c>
      <c r="C160" s="1177"/>
      <c r="D160" s="1175">
        <f>F10B!O161</f>
        <v>0</v>
      </c>
      <c r="E160" s="1177">
        <f t="shared" ca="1" si="6"/>
        <v>-1</v>
      </c>
      <c r="F160" s="1175">
        <f>F10B!U161</f>
        <v>0</v>
      </c>
      <c r="G160" s="1177">
        <f t="shared" ca="1" si="5"/>
        <v>0</v>
      </c>
    </row>
    <row r="161" spans="1:7">
      <c r="A161" s="1409" t="s">
        <v>1409</v>
      </c>
      <c r="B161" s="1175">
        <f>F10B!I162</f>
        <v>0</v>
      </c>
      <c r="C161" s="1177"/>
      <c r="D161" s="1175">
        <f>F10B!O162</f>
        <v>0</v>
      </c>
      <c r="E161" s="1177">
        <f t="shared" ca="1" si="6"/>
        <v>-1</v>
      </c>
      <c r="F161" s="1175">
        <f>F10B!U162</f>
        <v>0</v>
      </c>
      <c r="G161" s="1177">
        <f t="shared" ca="1" si="5"/>
        <v>0</v>
      </c>
    </row>
    <row r="162" spans="1:7">
      <c r="A162" s="1402" t="s">
        <v>1461</v>
      </c>
      <c r="B162" s="1175">
        <f>F10B!I163</f>
        <v>0</v>
      </c>
      <c r="C162" s="1177"/>
      <c r="D162" s="1175">
        <f>F10B!O163</f>
        <v>7.7</v>
      </c>
      <c r="E162" s="1177">
        <f t="shared" ca="1" si="6"/>
        <v>-2.3172185359217702E-2</v>
      </c>
      <c r="F162" s="1175">
        <f>F10B!U163</f>
        <v>7.7</v>
      </c>
      <c r="G162" s="1177">
        <f t="shared" ca="1" si="5"/>
        <v>0.93544683233435932</v>
      </c>
    </row>
    <row r="163" spans="1:7">
      <c r="A163" s="1402" t="s">
        <v>469</v>
      </c>
      <c r="B163" s="1175">
        <f>F10B!I164</f>
        <v>0</v>
      </c>
      <c r="C163" s="1177"/>
      <c r="D163" s="1175">
        <f>F10B!O164</f>
        <v>7.7</v>
      </c>
      <c r="E163" s="1177">
        <f t="shared" ca="1" si="6"/>
        <v>-2.3172185359217702E-2</v>
      </c>
      <c r="F163" s="1175">
        <f>F10B!U164</f>
        <v>7.7</v>
      </c>
      <c r="G163" s="1177">
        <f t="shared" ca="1" si="5"/>
        <v>0.93544683233435932</v>
      </c>
    </row>
    <row r="164" spans="1:7">
      <c r="A164" s="1411" t="s">
        <v>1013</v>
      </c>
      <c r="B164" s="1175">
        <f>F10B!I165</f>
        <v>0</v>
      </c>
      <c r="C164" s="1177"/>
      <c r="D164" s="1175">
        <f>F10B!O165</f>
        <v>0</v>
      </c>
      <c r="E164" s="1177">
        <f t="shared" ca="1" si="6"/>
        <v>-1</v>
      </c>
      <c r="F164" s="1175">
        <f>F10B!U165</f>
        <v>0</v>
      </c>
      <c r="G164" s="1177">
        <f t="shared" ca="1" si="5"/>
        <v>0</v>
      </c>
    </row>
    <row r="165" spans="1:7">
      <c r="A165" s="1412" t="s">
        <v>1430</v>
      </c>
      <c r="B165" s="1175">
        <f>F10B!I166</f>
        <v>0</v>
      </c>
      <c r="C165" s="1177"/>
      <c r="D165" s="1175">
        <f>F10B!O166</f>
        <v>0</v>
      </c>
      <c r="E165" s="1177">
        <f t="shared" ca="1" si="6"/>
        <v>-1</v>
      </c>
      <c r="F165" s="1175">
        <f>F10B!U166</f>
        <v>0</v>
      </c>
      <c r="G165" s="1177">
        <f t="shared" ca="1" si="5"/>
        <v>0</v>
      </c>
    </row>
    <row r="166" spans="1:7">
      <c r="A166" s="1412" t="s">
        <v>1431</v>
      </c>
      <c r="B166" s="1175">
        <f>F10B!I167</f>
        <v>0</v>
      </c>
      <c r="C166" s="1177"/>
      <c r="D166" s="1175">
        <f>F10B!O167</f>
        <v>0</v>
      </c>
      <c r="E166" s="1177">
        <f t="shared" ca="1" si="6"/>
        <v>-1</v>
      </c>
      <c r="F166" s="1175">
        <f>F10B!U167</f>
        <v>0</v>
      </c>
      <c r="G166" s="1177">
        <f t="shared" ca="1" si="5"/>
        <v>0</v>
      </c>
    </row>
    <row r="167" spans="1:7" s="313" customFormat="1">
      <c r="A167" s="1412" t="s">
        <v>1432</v>
      </c>
      <c r="B167" s="1175">
        <f>F10B!I168</f>
        <v>0</v>
      </c>
      <c r="C167" s="1177"/>
      <c r="D167" s="1175">
        <f>F10B!O168</f>
        <v>0</v>
      </c>
      <c r="E167" s="1177">
        <f t="shared" ca="1" si="6"/>
        <v>-1</v>
      </c>
      <c r="F167" s="1175">
        <f>F10B!U168</f>
        <v>0</v>
      </c>
      <c r="G167" s="1177">
        <f t="shared" ca="1" si="5"/>
        <v>0</v>
      </c>
    </row>
    <row r="168" spans="1:7" s="313" customFormat="1">
      <c r="A168" s="1412" t="s">
        <v>1433</v>
      </c>
      <c r="B168" s="1175">
        <f>F10B!I169</f>
        <v>0</v>
      </c>
      <c r="C168" s="1177"/>
      <c r="D168" s="1175">
        <f>F10B!O169</f>
        <v>0</v>
      </c>
      <c r="E168" s="1177">
        <f t="shared" ca="1" si="6"/>
        <v>-1</v>
      </c>
      <c r="F168" s="1175">
        <f>F10B!U169</f>
        <v>0</v>
      </c>
      <c r="G168" s="1177">
        <f t="shared" ca="1" si="5"/>
        <v>0</v>
      </c>
    </row>
    <row r="169" spans="1:7" s="313" customFormat="1">
      <c r="A169" s="1411" t="s">
        <v>1014</v>
      </c>
      <c r="B169" s="1175">
        <f>F10B!I170</f>
        <v>0</v>
      </c>
      <c r="C169" s="1177"/>
      <c r="D169" s="1175">
        <f>F10B!O170</f>
        <v>0</v>
      </c>
      <c r="E169" s="1177">
        <f t="shared" ca="1" si="6"/>
        <v>-1</v>
      </c>
      <c r="F169" s="1175">
        <f>F10B!U170</f>
        <v>0</v>
      </c>
      <c r="G169" s="1177">
        <f t="shared" ca="1" si="5"/>
        <v>0</v>
      </c>
    </row>
    <row r="170" spans="1:7" s="313" customFormat="1">
      <c r="A170" s="1412" t="s">
        <v>1430</v>
      </c>
      <c r="B170" s="1175">
        <f>F10B!I171</f>
        <v>0</v>
      </c>
      <c r="C170" s="1177"/>
      <c r="D170" s="1175">
        <f>F10B!O171</f>
        <v>0</v>
      </c>
      <c r="E170" s="1177">
        <f t="shared" ca="1" si="6"/>
        <v>-1</v>
      </c>
      <c r="F170" s="1175">
        <f>F10B!U171</f>
        <v>0</v>
      </c>
      <c r="G170" s="1177">
        <f t="shared" ca="1" si="5"/>
        <v>0</v>
      </c>
    </row>
    <row r="171" spans="1:7">
      <c r="A171" s="1412" t="s">
        <v>1431</v>
      </c>
      <c r="B171" s="1175">
        <f>F10B!I172</f>
        <v>0</v>
      </c>
      <c r="C171" s="1177"/>
      <c r="D171" s="1175">
        <f>F10B!O172</f>
        <v>0</v>
      </c>
      <c r="E171" s="1177">
        <f t="shared" ca="1" si="6"/>
        <v>-1</v>
      </c>
      <c r="F171" s="1175">
        <f>F10B!U172</f>
        <v>0</v>
      </c>
      <c r="G171" s="1177">
        <f t="shared" ca="1" si="5"/>
        <v>0</v>
      </c>
    </row>
    <row r="172" spans="1:7">
      <c r="A172" s="1412" t="s">
        <v>1432</v>
      </c>
      <c r="B172" s="1175">
        <f>F10B!I173</f>
        <v>0</v>
      </c>
      <c r="C172" s="1177"/>
      <c r="D172" s="1175">
        <f>F10B!O173</f>
        <v>0</v>
      </c>
      <c r="E172" s="1177">
        <f t="shared" ca="1" si="6"/>
        <v>-1</v>
      </c>
      <c r="F172" s="1175">
        <f>F10B!U173</f>
        <v>0</v>
      </c>
      <c r="G172" s="1177">
        <f t="shared" ca="1" si="5"/>
        <v>0</v>
      </c>
    </row>
    <row r="173" spans="1:7">
      <c r="A173" s="1412" t="s">
        <v>1433</v>
      </c>
      <c r="B173" s="1175">
        <f>F10B!I174</f>
        <v>0</v>
      </c>
      <c r="C173" s="1177"/>
      <c r="D173" s="1175">
        <f>F10B!O174</f>
        <v>0</v>
      </c>
      <c r="E173" s="1177">
        <f t="shared" ca="1" si="6"/>
        <v>-1</v>
      </c>
      <c r="F173" s="1175">
        <f>F10B!U174</f>
        <v>0</v>
      </c>
      <c r="G173" s="1177">
        <f t="shared" ca="1" si="5"/>
        <v>0</v>
      </c>
    </row>
    <row r="174" spans="1:7" s="545" customFormat="1">
      <c r="A174" s="1402" t="s">
        <v>470</v>
      </c>
      <c r="B174" s="1175">
        <f>F10B!I175</f>
        <v>0</v>
      </c>
      <c r="C174" s="1177"/>
      <c r="D174" s="1175">
        <f>F10B!O175</f>
        <v>0</v>
      </c>
      <c r="E174" s="1177">
        <f t="shared" ca="1" si="6"/>
        <v>-1</v>
      </c>
      <c r="F174" s="1175">
        <f>F10B!U175</f>
        <v>0</v>
      </c>
      <c r="G174" s="1177">
        <f t="shared" ca="1" si="5"/>
        <v>0</v>
      </c>
    </row>
    <row r="175" spans="1:7" s="545" customFormat="1">
      <c r="A175" s="1411" t="s">
        <v>1013</v>
      </c>
      <c r="B175" s="1175">
        <f>F10B!I176</f>
        <v>0</v>
      </c>
      <c r="C175" s="1177"/>
      <c r="D175" s="1175">
        <f>F10B!O176</f>
        <v>0</v>
      </c>
      <c r="E175" s="1177">
        <f t="shared" ca="1" si="6"/>
        <v>-1</v>
      </c>
      <c r="F175" s="1175">
        <f>F10B!U176</f>
        <v>0</v>
      </c>
      <c r="G175" s="1177">
        <f t="shared" ca="1" si="5"/>
        <v>0</v>
      </c>
    </row>
    <row r="176" spans="1:7">
      <c r="A176" s="1412" t="s">
        <v>1430</v>
      </c>
      <c r="B176" s="1175">
        <f>F10B!I177</f>
        <v>0</v>
      </c>
      <c r="C176" s="1177"/>
      <c r="D176" s="1175">
        <f>F10B!O177</f>
        <v>0</v>
      </c>
      <c r="E176" s="1177">
        <f t="shared" ca="1" si="6"/>
        <v>-1</v>
      </c>
      <c r="F176" s="1175">
        <f>F10B!U177</f>
        <v>0</v>
      </c>
      <c r="G176" s="1177">
        <f t="shared" ca="1" si="5"/>
        <v>0</v>
      </c>
    </row>
    <row r="177" spans="1:7">
      <c r="A177" s="1412" t="s">
        <v>1431</v>
      </c>
      <c r="B177" s="1175">
        <f>F10B!I178</f>
        <v>0</v>
      </c>
      <c r="C177" s="1177"/>
      <c r="D177" s="1175">
        <f>F10B!O178</f>
        <v>0</v>
      </c>
      <c r="E177" s="1177">
        <f t="shared" ca="1" si="6"/>
        <v>-1</v>
      </c>
      <c r="F177" s="1175">
        <f>F10B!U178</f>
        <v>0</v>
      </c>
      <c r="G177" s="1177">
        <f t="shared" ca="1" si="5"/>
        <v>0</v>
      </c>
    </row>
    <row r="178" spans="1:7">
      <c r="A178" s="1412" t="s">
        <v>1432</v>
      </c>
      <c r="B178" s="1175">
        <f>F10B!I179</f>
        <v>0</v>
      </c>
      <c r="C178" s="1177"/>
      <c r="D178" s="1175">
        <f>F10B!O179</f>
        <v>0</v>
      </c>
      <c r="E178" s="1177">
        <f t="shared" ca="1" si="6"/>
        <v>-1</v>
      </c>
      <c r="F178" s="1175">
        <f>F10B!U179</f>
        <v>0</v>
      </c>
      <c r="G178" s="1177">
        <f t="shared" ca="1" si="5"/>
        <v>0</v>
      </c>
    </row>
    <row r="179" spans="1:7">
      <c r="A179" s="1412" t="s">
        <v>1433</v>
      </c>
      <c r="B179" s="1175">
        <f>F10B!I180</f>
        <v>0</v>
      </c>
      <c r="C179" s="1177"/>
      <c r="D179" s="1175">
        <f>F10B!O180</f>
        <v>0</v>
      </c>
      <c r="E179" s="1177">
        <f t="shared" ca="1" si="6"/>
        <v>-1</v>
      </c>
      <c r="F179" s="1175">
        <f>F10B!U180</f>
        <v>0</v>
      </c>
      <c r="G179" s="1177">
        <f t="shared" ca="1" si="5"/>
        <v>0</v>
      </c>
    </row>
    <row r="180" spans="1:7">
      <c r="A180" s="1411" t="s">
        <v>1014</v>
      </c>
      <c r="B180" s="1175">
        <f>F10B!I181</f>
        <v>0</v>
      </c>
      <c r="C180" s="1177"/>
      <c r="D180" s="1175">
        <f>F10B!O181</f>
        <v>0</v>
      </c>
      <c r="E180" s="1177">
        <f t="shared" ca="1" si="6"/>
        <v>-1</v>
      </c>
      <c r="F180" s="1175">
        <f>F10B!U181</f>
        <v>0</v>
      </c>
      <c r="G180" s="1177">
        <f t="shared" ca="1" si="5"/>
        <v>0</v>
      </c>
    </row>
    <row r="181" spans="1:7">
      <c r="A181" s="1412" t="s">
        <v>1430</v>
      </c>
      <c r="B181" s="1175">
        <f>F10B!I182</f>
        <v>0</v>
      </c>
      <c r="C181" s="1177"/>
      <c r="D181" s="1175">
        <f>F10B!O182</f>
        <v>0</v>
      </c>
      <c r="E181" s="1177">
        <f t="shared" ca="1" si="6"/>
        <v>-1</v>
      </c>
      <c r="F181" s="1175">
        <f>F10B!U182</f>
        <v>0</v>
      </c>
      <c r="G181" s="1177">
        <f t="shared" ca="1" si="5"/>
        <v>0</v>
      </c>
    </row>
    <row r="182" spans="1:7">
      <c r="A182" s="1412" t="s">
        <v>1431</v>
      </c>
      <c r="B182" s="1175">
        <f>F10B!I183</f>
        <v>0</v>
      </c>
      <c r="C182" s="1177"/>
      <c r="D182" s="1175">
        <f>F10B!O183</f>
        <v>0</v>
      </c>
      <c r="E182" s="1177">
        <f t="shared" ca="1" si="6"/>
        <v>-1</v>
      </c>
      <c r="F182" s="1175">
        <f>F10B!U183</f>
        <v>0</v>
      </c>
      <c r="G182" s="1177">
        <f t="shared" ca="1" si="5"/>
        <v>0</v>
      </c>
    </row>
    <row r="183" spans="1:7">
      <c r="A183" s="1412" t="s">
        <v>1432</v>
      </c>
      <c r="B183" s="1175">
        <f>F10B!I184</f>
        <v>0</v>
      </c>
      <c r="C183" s="1177"/>
      <c r="D183" s="1175">
        <f>F10B!O184</f>
        <v>0</v>
      </c>
      <c r="E183" s="1177">
        <f t="shared" ca="1" si="6"/>
        <v>-1</v>
      </c>
      <c r="F183" s="1175">
        <f>F10B!U184</f>
        <v>0</v>
      </c>
      <c r="G183" s="1177">
        <f t="shared" ca="1" si="5"/>
        <v>0</v>
      </c>
    </row>
    <row r="184" spans="1:7">
      <c r="A184" s="1412" t="s">
        <v>1433</v>
      </c>
      <c r="B184" s="1175">
        <f>F10B!I185</f>
        <v>0</v>
      </c>
      <c r="C184" s="1177"/>
      <c r="D184" s="1175">
        <f>F10B!O185</f>
        <v>0</v>
      </c>
      <c r="E184" s="1177">
        <f t="shared" ca="1" si="6"/>
        <v>-1</v>
      </c>
      <c r="F184" s="1175">
        <f>F10B!U185</f>
        <v>0</v>
      </c>
      <c r="G184" s="1177">
        <f t="shared" ca="1" si="5"/>
        <v>0</v>
      </c>
    </row>
    <row r="185" spans="1:7">
      <c r="A185" s="1402" t="s">
        <v>1425</v>
      </c>
      <c r="B185" s="1175">
        <f>F10B!I186</f>
        <v>0</v>
      </c>
      <c r="C185" s="1177"/>
      <c r="D185" s="1175">
        <f>F10B!O186</f>
        <v>7.7</v>
      </c>
      <c r="E185" s="1177">
        <f t="shared" ca="1" si="6"/>
        <v>-2.3172185359217702E-2</v>
      </c>
      <c r="F185" s="1175">
        <f>F10B!U186</f>
        <v>7.7</v>
      </c>
      <c r="G185" s="1177">
        <f t="shared" ca="1" si="5"/>
        <v>0.93544683233435932</v>
      </c>
    </row>
    <row r="186" spans="1:7">
      <c r="A186" s="1409"/>
      <c r="B186" s="1175">
        <f>F10B!I187</f>
        <v>0</v>
      </c>
      <c r="C186" s="1177"/>
      <c r="D186" s="1175">
        <f>F10B!O187</f>
        <v>0</v>
      </c>
      <c r="E186" s="1177">
        <f t="shared" ca="1" si="6"/>
        <v>-1</v>
      </c>
      <c r="F186" s="1175">
        <f>F10B!U187</f>
        <v>0</v>
      </c>
      <c r="G186" s="1177">
        <f t="shared" ca="1" si="5"/>
        <v>0</v>
      </c>
    </row>
    <row r="187" spans="1:7">
      <c r="A187" s="1402" t="s">
        <v>1119</v>
      </c>
      <c r="B187" s="1175">
        <f>F10B!I188</f>
        <v>0</v>
      </c>
      <c r="C187" s="1177"/>
      <c r="D187" s="1175">
        <f>F10B!O188</f>
        <v>0</v>
      </c>
      <c r="E187" s="1177">
        <f t="shared" ca="1" si="6"/>
        <v>-1</v>
      </c>
      <c r="F187" s="1175">
        <f>F10B!U188</f>
        <v>0</v>
      </c>
      <c r="G187" s="1177">
        <f t="shared" ca="1" si="5"/>
        <v>0</v>
      </c>
    </row>
    <row r="188" spans="1:7">
      <c r="A188" s="1402" t="s">
        <v>475</v>
      </c>
      <c r="B188" s="1175">
        <f>F10B!I189</f>
        <v>0</v>
      </c>
      <c r="C188" s="1177"/>
      <c r="D188" s="1175">
        <f>F10B!O189</f>
        <v>0</v>
      </c>
      <c r="E188" s="1177">
        <f t="shared" ca="1" si="6"/>
        <v>-1</v>
      </c>
      <c r="F188" s="1175">
        <f>F10B!U189</f>
        <v>0</v>
      </c>
      <c r="G188" s="1177">
        <f t="shared" ca="1" si="5"/>
        <v>0</v>
      </c>
    </row>
    <row r="189" spans="1:7">
      <c r="A189" s="1409" t="s">
        <v>1411</v>
      </c>
      <c r="B189" s="1175">
        <f>F10B!I190</f>
        <v>0</v>
      </c>
      <c r="C189" s="1177"/>
      <c r="D189" s="1175">
        <f>F10B!O190</f>
        <v>0</v>
      </c>
      <c r="E189" s="1177">
        <f t="shared" ca="1" si="6"/>
        <v>-1</v>
      </c>
      <c r="F189" s="1175">
        <f>F10B!U190</f>
        <v>0</v>
      </c>
      <c r="G189" s="1177">
        <f t="shared" ca="1" si="5"/>
        <v>0</v>
      </c>
    </row>
    <row r="190" spans="1:7">
      <c r="A190" s="1409" t="s">
        <v>1462</v>
      </c>
      <c r="B190" s="1175">
        <f>F10B!I191</f>
        <v>0</v>
      </c>
      <c r="C190" s="1177"/>
      <c r="D190" s="1175">
        <f>F10B!O191</f>
        <v>0</v>
      </c>
      <c r="E190" s="1177">
        <f t="shared" ca="1" si="6"/>
        <v>-1</v>
      </c>
      <c r="F190" s="1175">
        <f>F10B!U191</f>
        <v>0</v>
      </c>
      <c r="G190" s="1177">
        <f t="shared" ca="1" si="5"/>
        <v>0</v>
      </c>
    </row>
    <row r="191" spans="1:7">
      <c r="A191" s="1402" t="s">
        <v>1403</v>
      </c>
      <c r="B191" s="1175">
        <f>F10B!I192</f>
        <v>0</v>
      </c>
      <c r="C191" s="1177"/>
      <c r="D191" s="1175">
        <f>F10B!O192</f>
        <v>0</v>
      </c>
      <c r="E191" s="1177">
        <f t="shared" ca="1" si="6"/>
        <v>-1</v>
      </c>
      <c r="F191" s="1175">
        <f>F10B!U192</f>
        <v>0</v>
      </c>
      <c r="G191" s="1177">
        <f t="shared" ca="1" si="5"/>
        <v>0</v>
      </c>
    </row>
    <row r="192" spans="1:7">
      <c r="A192" s="1409" t="s">
        <v>1413</v>
      </c>
      <c r="B192" s="1175">
        <f>F10B!I193</f>
        <v>0</v>
      </c>
      <c r="C192" s="1177"/>
      <c r="D192" s="1175">
        <f>F10B!O193</f>
        <v>0</v>
      </c>
      <c r="E192" s="1177">
        <f t="shared" ca="1" si="6"/>
        <v>-1</v>
      </c>
      <c r="F192" s="1175">
        <f>F10B!U193</f>
        <v>0</v>
      </c>
      <c r="G192" s="1177">
        <f t="shared" ca="1" si="5"/>
        <v>0</v>
      </c>
    </row>
    <row r="193" spans="1:7">
      <c r="A193" s="1409" t="s">
        <v>1463</v>
      </c>
      <c r="B193" s="1175">
        <f>F10B!I194</f>
        <v>0</v>
      </c>
      <c r="C193" s="1177"/>
      <c r="D193" s="1175">
        <f>F10B!O194</f>
        <v>0</v>
      </c>
      <c r="E193" s="1177">
        <f t="shared" ca="1" si="6"/>
        <v>-1</v>
      </c>
      <c r="F193" s="1175">
        <f>F10B!U194</f>
        <v>0</v>
      </c>
      <c r="G193" s="1177">
        <f t="shared" ca="1" si="5"/>
        <v>0</v>
      </c>
    </row>
    <row r="194" spans="1:7">
      <c r="A194" s="1402" t="s">
        <v>1425</v>
      </c>
      <c r="B194" s="1175">
        <f>F10B!I195</f>
        <v>0</v>
      </c>
      <c r="C194" s="1177"/>
      <c r="D194" s="1175">
        <f>F10B!O195</f>
        <v>0</v>
      </c>
      <c r="E194" s="1177">
        <f t="shared" ca="1" si="6"/>
        <v>-1</v>
      </c>
      <c r="F194" s="1175">
        <f>F10B!U195</f>
        <v>0</v>
      </c>
      <c r="G194" s="1177">
        <f t="shared" ca="1" si="5"/>
        <v>0</v>
      </c>
    </row>
    <row r="195" spans="1:7" ht="58">
      <c r="A195" s="1413" t="s">
        <v>1464</v>
      </c>
      <c r="B195" s="1175">
        <f>F10B!I196</f>
        <v>0</v>
      </c>
      <c r="C195" s="1177"/>
      <c r="D195" s="1175">
        <f>F10B!O196</f>
        <v>10.522721666709248</v>
      </c>
      <c r="E195" s="1177">
        <f t="shared" ca="1" si="6"/>
        <v>0.33492041685257212</v>
      </c>
      <c r="F195" s="1175">
        <f>F10B!U196</f>
        <v>10.552773636091581</v>
      </c>
      <c r="G195" s="1177">
        <f t="shared" ca="1" si="5"/>
        <v>1.2820206065225206</v>
      </c>
    </row>
    <row r="196" spans="1:7">
      <c r="A196" s="1402" t="s">
        <v>1465</v>
      </c>
      <c r="B196" s="1175">
        <f>F10B!I197</f>
        <v>0</v>
      </c>
      <c r="C196" s="1177"/>
      <c r="D196" s="1175">
        <f>F10B!O197</f>
        <v>10.058978611665921</v>
      </c>
      <c r="E196" s="1177">
        <f t="shared" ca="1" si="6"/>
        <v>0.27608962269506387</v>
      </c>
      <c r="F196" s="1175">
        <f>F10B!U197</f>
        <v>10.080490016225818</v>
      </c>
      <c r="G196" s="1177">
        <f t="shared" ca="1" si="5"/>
        <v>1.224644474552802</v>
      </c>
    </row>
    <row r="197" spans="1:7">
      <c r="A197" s="1409" t="s">
        <v>1466</v>
      </c>
      <c r="B197" s="1175">
        <f>F10B!I198</f>
        <v>0</v>
      </c>
      <c r="C197" s="1177"/>
      <c r="D197" s="1175">
        <f>F10B!O198</f>
        <v>9.8542464080680698</v>
      </c>
      <c r="E197" s="1177">
        <f t="shared" ca="1" si="6"/>
        <v>0.25011714074349495</v>
      </c>
      <c r="F197" s="1175">
        <f>F10B!U198</f>
        <v>9.8753069876210624</v>
      </c>
      <c r="G197" s="1177">
        <f t="shared" ca="1" si="5"/>
        <v>1.199717485701232</v>
      </c>
    </row>
    <row r="198" spans="1:7">
      <c r="A198" s="1409" t="s">
        <v>1467</v>
      </c>
      <c r="B198" s="1175">
        <f>F10B!I199</f>
        <v>0</v>
      </c>
      <c r="C198" s="1177"/>
      <c r="D198" s="1175">
        <f>F10B!O199</f>
        <v>10.064693321233843</v>
      </c>
      <c r="E198" s="1177">
        <f t="shared" ca="1" si="6"/>
        <v>0.27681459506630285</v>
      </c>
      <c r="F198" s="1175">
        <f>F10B!U199</f>
        <v>10.086227618718436</v>
      </c>
      <c r="G198" s="1177">
        <f t="shared" ca="1" si="5"/>
        <v>1.2253415163809724</v>
      </c>
    </row>
    <row r="199" spans="1:7">
      <c r="A199" s="1402" t="s">
        <v>1468</v>
      </c>
      <c r="B199" s="1175">
        <f>F10B!I200</f>
        <v>0</v>
      </c>
      <c r="C199" s="1177"/>
      <c r="D199" s="1175">
        <f>F10B!O200</f>
        <v>12.951565642879022</v>
      </c>
      <c r="E199" s="1177">
        <f t="shared" ca="1" si="6"/>
        <v>0.64304539780651337</v>
      </c>
      <c r="F199" s="1175">
        <f>F10B!U200</f>
        <v>13.032398452359487</v>
      </c>
      <c r="G199" s="1177">
        <f t="shared" ca="1" si="5"/>
        <v>1.5832617986985569</v>
      </c>
    </row>
    <row r="200" spans="1:7">
      <c r="A200" s="1409" t="s">
        <v>1466</v>
      </c>
      <c r="B200" s="1175">
        <f>F10B!I201</f>
        <v>0</v>
      </c>
      <c r="C200" s="1177"/>
      <c r="D200" s="1175">
        <f>F10B!O201</f>
        <v>9.3635210830655105</v>
      </c>
      <c r="E200" s="1177">
        <f t="shared" ca="1" si="6"/>
        <v>0.18786335544334717</v>
      </c>
      <c r="F200" s="1175">
        <f>F10B!U201</f>
        <v>9.3763882291369764</v>
      </c>
      <c r="G200" s="1177">
        <f t="shared" ca="1" si="5"/>
        <v>1.1391055412575788</v>
      </c>
    </row>
    <row r="201" spans="1:7">
      <c r="A201" s="1409" t="s">
        <v>1467</v>
      </c>
      <c r="B201" s="1175">
        <f>F10B!I202</f>
        <v>0</v>
      </c>
      <c r="C201" s="1177"/>
      <c r="D201" s="1175">
        <f>F10B!O202</f>
        <v>13.389702039255278</v>
      </c>
      <c r="E201" s="1177">
        <f t="shared" ca="1" si="6"/>
        <v>0.69862771190869599</v>
      </c>
      <c r="F201" s="1175">
        <f>F10B!U202</f>
        <v>13.482624900303492</v>
      </c>
      <c r="G201" s="1177">
        <f t="shared" ca="1" si="5"/>
        <v>1.637958279810553</v>
      </c>
    </row>
    <row r="202" spans="1:7" ht="87">
      <c r="A202" s="1413" t="s">
        <v>1469</v>
      </c>
      <c r="B202" s="1175">
        <f>F10B!I203</f>
        <v>0</v>
      </c>
      <c r="C202" s="1177"/>
      <c r="D202" s="1175">
        <f>F10B!O203</f>
        <v>9.5322541958714098</v>
      </c>
      <c r="E202" s="1177">
        <f t="shared" ca="1" si="6"/>
        <v>0.20926896555240215</v>
      </c>
      <c r="F202" s="1175">
        <f>F10B!U203</f>
        <v>9.5588817339709493</v>
      </c>
      <c r="G202" s="1177">
        <f t="shared" ref="G202:G265" ca="1" si="7">IFERROR((F202/$F$276),0)</f>
        <v>1.1612760569742717</v>
      </c>
    </row>
    <row r="203" spans="1:7">
      <c r="A203" s="1402" t="s">
        <v>1465</v>
      </c>
      <c r="B203" s="1175">
        <f>F10B!I204</f>
        <v>0</v>
      </c>
      <c r="C203" s="1177"/>
      <c r="D203" s="1175">
        <f>F10B!O204</f>
        <v>8.9173464627593351</v>
      </c>
      <c r="E203" s="1177">
        <f t="shared" ca="1" si="6"/>
        <v>0.1312613061833651</v>
      </c>
      <c r="F203" s="1175">
        <f>F10B!U204</f>
        <v>8.9331934043003116</v>
      </c>
      <c r="G203" s="1177">
        <f t="shared" ca="1" si="7"/>
        <v>1.0852633081406386</v>
      </c>
    </row>
    <row r="204" spans="1:7">
      <c r="A204" s="1409" t="s">
        <v>1466</v>
      </c>
      <c r="B204" s="1175">
        <f>F10B!I205</f>
        <v>0</v>
      </c>
      <c r="C204" s="1177"/>
      <c r="D204" s="1175">
        <f>F10B!O205</f>
        <v>9.2208716646494242</v>
      </c>
      <c r="E204" s="1177">
        <f t="shared" ca="1" si="6"/>
        <v>0.16976674250163756</v>
      </c>
      <c r="F204" s="1175">
        <f>F10B!U205</f>
        <v>9.2423277319115531</v>
      </c>
      <c r="G204" s="1177">
        <f t="shared" ca="1" si="7"/>
        <v>1.122818987040606</v>
      </c>
    </row>
    <row r="205" spans="1:7">
      <c r="A205" s="1409" t="s">
        <v>1467</v>
      </c>
      <c r="B205" s="1175">
        <f>F10B!I206</f>
        <v>0</v>
      </c>
      <c r="C205" s="1177"/>
      <c r="D205" s="1175">
        <f>F10B!O206</f>
        <v>8.9089564357065285</v>
      </c>
      <c r="E205" s="1177">
        <f t="shared" ca="1" si="6"/>
        <v>0.13019694101573262</v>
      </c>
      <c r="F205" s="1175">
        <f>F10B!U206</f>
        <v>8.9246362562965036</v>
      </c>
      <c r="G205" s="1177">
        <f t="shared" ca="1" si="7"/>
        <v>1.0842237293102519</v>
      </c>
    </row>
    <row r="206" spans="1:7">
      <c r="A206" s="1402" t="s">
        <v>1468</v>
      </c>
      <c r="B206" s="1175">
        <f>F10B!I207</f>
        <v>0</v>
      </c>
      <c r="C206" s="1177"/>
      <c r="D206" s="1175">
        <f>F10B!O207</f>
        <v>12.752819824244938</v>
      </c>
      <c r="E206" s="1177">
        <f t="shared" ca="1" si="6"/>
        <v>0.61783235317205554</v>
      </c>
      <c r="F206" s="1175">
        <f>F10B!U207</f>
        <v>12.843925390453272</v>
      </c>
      <c r="G206" s="1177">
        <f t="shared" ca="1" si="7"/>
        <v>1.560364846914073</v>
      </c>
    </row>
    <row r="207" spans="1:7">
      <c r="A207" s="1409" t="s">
        <v>1466</v>
      </c>
      <c r="B207" s="1175">
        <f>F10B!I208</f>
        <v>0</v>
      </c>
      <c r="C207" s="1177"/>
      <c r="D207" s="1175">
        <f>F10B!O208</f>
        <v>12.862684670720013</v>
      </c>
      <c r="E207" s="1177">
        <f t="shared" ca="1" si="6"/>
        <v>0.63176989056011945</v>
      </c>
      <c r="F207" s="1175">
        <f>F10B!U208</f>
        <v>12.918174238153215</v>
      </c>
      <c r="G207" s="1177">
        <f t="shared" ca="1" si="7"/>
        <v>1.5693850870939934</v>
      </c>
    </row>
    <row r="208" spans="1:7">
      <c r="A208" s="1409" t="s">
        <v>1467</v>
      </c>
      <c r="B208" s="1175">
        <f>F10B!I209</f>
        <v>0</v>
      </c>
      <c r="C208" s="1177"/>
      <c r="D208" s="1175">
        <f>F10B!O209</f>
        <v>12.739404219416015</v>
      </c>
      <c r="E208" s="1177">
        <f t="shared" ca="1" si="6"/>
        <v>0.61613043941268919</v>
      </c>
      <c r="F208" s="1175">
        <f>F10B!U209</f>
        <v>12.834781872540892</v>
      </c>
      <c r="G208" s="1177">
        <f t="shared" ca="1" si="7"/>
        <v>1.5592540319962123</v>
      </c>
    </row>
    <row r="209" spans="1:7">
      <c r="A209" s="1402" t="s">
        <v>1425</v>
      </c>
      <c r="B209" s="1175">
        <f>F10B!I210</f>
        <v>0</v>
      </c>
      <c r="C209" s="1177"/>
      <c r="D209" s="1175">
        <f>F10B!O210</f>
        <v>10.027487931290329</v>
      </c>
      <c r="E209" s="1177">
        <f t="shared" ca="1" si="6"/>
        <v>0.27209469120248714</v>
      </c>
      <c r="F209" s="1175">
        <f>F10B!U210</f>
        <v>10.055827685031264</v>
      </c>
      <c r="G209" s="1177">
        <f t="shared" ca="1" si="7"/>
        <v>1.2216483317483959</v>
      </c>
    </row>
    <row r="210" spans="1:7">
      <c r="A210" s="1409"/>
      <c r="B210" s="1175">
        <f>F10B!I211</f>
        <v>0</v>
      </c>
      <c r="C210" s="1177"/>
      <c r="D210" s="1175">
        <f>F10B!O211</f>
        <v>0</v>
      </c>
      <c r="E210" s="1177">
        <f t="shared" ca="1" si="6"/>
        <v>-1</v>
      </c>
      <c r="F210" s="1175">
        <f>F10B!U211</f>
        <v>0</v>
      </c>
      <c r="G210" s="1177">
        <f t="shared" ca="1" si="7"/>
        <v>0</v>
      </c>
    </row>
    <row r="211" spans="1:7">
      <c r="A211" s="1402" t="s">
        <v>1125</v>
      </c>
      <c r="B211" s="1175">
        <f>F10B!I212</f>
        <v>0</v>
      </c>
      <c r="C211" s="1177"/>
      <c r="D211" s="1175">
        <f>F10B!O212</f>
        <v>0</v>
      </c>
      <c r="E211" s="1177">
        <f t="shared" ca="1" si="6"/>
        <v>-1</v>
      </c>
      <c r="F211" s="1175">
        <f>F10B!U212</f>
        <v>0</v>
      </c>
      <c r="G211" s="1177">
        <f t="shared" ca="1" si="7"/>
        <v>0</v>
      </c>
    </row>
    <row r="212" spans="1:7">
      <c r="A212" s="1402" t="s">
        <v>1126</v>
      </c>
      <c r="B212" s="1175">
        <f>F10B!I213</f>
        <v>0</v>
      </c>
      <c r="C212" s="1177"/>
      <c r="D212" s="1175">
        <f>F10B!O213</f>
        <v>8.2466190835965332</v>
      </c>
      <c r="E212" s="1177">
        <f t="shared" ca="1" si="6"/>
        <v>4.617232436423014E-2</v>
      </c>
      <c r="F212" s="1175">
        <f>F10B!U213</f>
        <v>8.2466190835965314</v>
      </c>
      <c r="G212" s="1177">
        <f t="shared" ca="1" si="7"/>
        <v>1.0018537271712276</v>
      </c>
    </row>
    <row r="213" spans="1:7">
      <c r="A213" s="1410" t="s">
        <v>1013</v>
      </c>
      <c r="B213" s="1175">
        <f>F10B!I214</f>
        <v>0</v>
      </c>
      <c r="C213" s="1177"/>
      <c r="D213" s="1175">
        <f>F10B!O214</f>
        <v>9.3901699225336994</v>
      </c>
      <c r="E213" s="1177">
        <f t="shared" ca="1" si="6"/>
        <v>0.19124404734210357</v>
      </c>
      <c r="F213" s="1175">
        <f>F10B!U214</f>
        <v>9.3901699225336994</v>
      </c>
      <c r="G213" s="1177">
        <f t="shared" ca="1" si="7"/>
        <v>1.1407798323526657</v>
      </c>
    </row>
    <row r="214" spans="1:7">
      <c r="A214" s="1406" t="s">
        <v>1430</v>
      </c>
      <c r="B214" s="1175">
        <f>F10B!I215</f>
        <v>0</v>
      </c>
      <c r="C214" s="1177"/>
      <c r="D214" s="1175">
        <f>F10B!O215</f>
        <v>8.3529706314180405</v>
      </c>
      <c r="E214" s="1177">
        <f t="shared" ca="1" si="6"/>
        <v>5.9664162032041529E-2</v>
      </c>
      <c r="F214" s="1175">
        <f>F10B!U215</f>
        <v>8.3529706314180423</v>
      </c>
      <c r="G214" s="1177">
        <f t="shared" ca="1" si="7"/>
        <v>1.0147740152911611</v>
      </c>
    </row>
    <row r="215" spans="1:7">
      <c r="A215" s="1406" t="s">
        <v>1431</v>
      </c>
      <c r="B215" s="1175">
        <f>F10B!I216</f>
        <v>0</v>
      </c>
      <c r="C215" s="1177"/>
      <c r="D215" s="1175">
        <f>F10B!O216</f>
        <v>9.4179706314180418</v>
      </c>
      <c r="E215" s="1177">
        <f t="shared" ca="1" si="6"/>
        <v>0.1947708662648252</v>
      </c>
      <c r="F215" s="1175">
        <f>F10B!U216</f>
        <v>9.4179706314180418</v>
      </c>
      <c r="G215" s="1177">
        <f t="shared" ca="1" si="7"/>
        <v>1.1441572459971472</v>
      </c>
    </row>
    <row r="216" spans="1:7">
      <c r="A216" s="1406" t="s">
        <v>1432</v>
      </c>
      <c r="B216" s="1175">
        <f>F10B!I217</f>
        <v>0</v>
      </c>
      <c r="C216" s="1177"/>
      <c r="D216" s="1175">
        <f>F10B!O217</f>
        <v>10.482970631418041</v>
      </c>
      <c r="E216" s="1177">
        <f t="shared" ca="1" si="6"/>
        <v>0.32987757049760869</v>
      </c>
      <c r="F216" s="1175">
        <f>F10B!U217</f>
        <v>10.482970631418043</v>
      </c>
      <c r="G216" s="1177">
        <f t="shared" ca="1" si="7"/>
        <v>1.2735404767031333</v>
      </c>
    </row>
    <row r="217" spans="1:7">
      <c r="A217" s="1406" t="s">
        <v>1433</v>
      </c>
      <c r="B217" s="1175">
        <f>F10B!I218</f>
        <v>0</v>
      </c>
      <c r="C217" s="1177"/>
      <c r="D217" s="1175">
        <f>F10B!O218</f>
        <v>9.4179706314180418</v>
      </c>
      <c r="E217" s="1177">
        <f t="shared" ref="E217:E275" ca="1" si="8">(D217-$D$276)/$D$276</f>
        <v>0.1947708662648252</v>
      </c>
      <c r="F217" s="1175">
        <f>F10B!U218</f>
        <v>9.4179706314180418</v>
      </c>
      <c r="G217" s="1177">
        <f t="shared" ca="1" si="7"/>
        <v>1.1441572459971472</v>
      </c>
    </row>
    <row r="218" spans="1:7">
      <c r="A218" s="1411" t="s">
        <v>1014</v>
      </c>
      <c r="B218" s="1175">
        <f>F10B!I219</f>
        <v>0</v>
      </c>
      <c r="C218" s="1177"/>
      <c r="D218" s="1175">
        <f>F10B!O219</f>
        <v>7.1030682446593651</v>
      </c>
      <c r="E218" s="1177">
        <f t="shared" ca="1" si="8"/>
        <v>-9.8899398613643497E-2</v>
      </c>
      <c r="F218" s="1175">
        <f>F10B!U219</f>
        <v>7.1030682446593634</v>
      </c>
      <c r="G218" s="1177">
        <f t="shared" ca="1" si="7"/>
        <v>0.86292762198978945</v>
      </c>
    </row>
    <row r="219" spans="1:7">
      <c r="A219" s="1406" t="s">
        <v>1430</v>
      </c>
      <c r="B219" s="1175">
        <f>F10B!I220</f>
        <v>0</v>
      </c>
      <c r="C219" s="1177"/>
      <c r="D219" s="1175">
        <f>F10B!O220</f>
        <v>7.1000000000000005</v>
      </c>
      <c r="E219" s="1177">
        <f t="shared" ca="1" si="8"/>
        <v>-9.9288638448109784E-2</v>
      </c>
      <c r="F219" s="1175">
        <f>F10B!U220</f>
        <v>7.1</v>
      </c>
      <c r="G219" s="1177">
        <f t="shared" ca="1" si="7"/>
        <v>0.86255487137324027</v>
      </c>
    </row>
    <row r="220" spans="1:7">
      <c r="A220" s="1406" t="s">
        <v>1431</v>
      </c>
      <c r="B220" s="1175">
        <f>F10B!I221</f>
        <v>0</v>
      </c>
      <c r="C220" s="1177"/>
      <c r="D220" s="1175">
        <f>F10B!O221</f>
        <v>7.0999999999999988</v>
      </c>
      <c r="E220" s="1177">
        <f t="shared" ca="1" si="8"/>
        <v>-9.9288638448110006E-2</v>
      </c>
      <c r="F220" s="1175">
        <f>F10B!U221</f>
        <v>7.1</v>
      </c>
      <c r="G220" s="1177">
        <f t="shared" ca="1" si="7"/>
        <v>0.86255487137324027</v>
      </c>
    </row>
    <row r="221" spans="1:7">
      <c r="A221" s="1406" t="s">
        <v>1432</v>
      </c>
      <c r="B221" s="1175">
        <f>F10B!I222</f>
        <v>0</v>
      </c>
      <c r="C221" s="1177"/>
      <c r="D221" s="1175">
        <f>F10B!O222</f>
        <v>8.1649999999999974</v>
      </c>
      <c r="E221" s="1177">
        <f t="shared" ca="1" si="8"/>
        <v>3.5818065784673336E-2</v>
      </c>
      <c r="F221" s="1175">
        <f>F10B!U222</f>
        <v>8.1649999999999991</v>
      </c>
      <c r="G221" s="1177">
        <f t="shared" ca="1" si="7"/>
        <v>0.99193810207922628</v>
      </c>
    </row>
    <row r="222" spans="1:7">
      <c r="A222" s="1406" t="s">
        <v>1433</v>
      </c>
      <c r="B222" s="1175">
        <f>F10B!I223</f>
        <v>0</v>
      </c>
      <c r="C222" s="1177"/>
      <c r="D222" s="1175">
        <f>F10B!O223</f>
        <v>6.0349999999999993</v>
      </c>
      <c r="E222" s="1177">
        <f t="shared" ca="1" si="8"/>
        <v>-0.23439534268089346</v>
      </c>
      <c r="F222" s="1175">
        <f>F10B!U223</f>
        <v>6.0349999999999993</v>
      </c>
      <c r="G222" s="1177">
        <f t="shared" ca="1" si="7"/>
        <v>0.73317164066725427</v>
      </c>
    </row>
    <row r="223" spans="1:7">
      <c r="A223" s="1402" t="s">
        <v>1127</v>
      </c>
      <c r="B223" s="1175">
        <f>F10B!I224</f>
        <v>0</v>
      </c>
      <c r="C223" s="1177"/>
      <c r="D223" s="1175">
        <f>F10B!O224</f>
        <v>7.5297189404066609</v>
      </c>
      <c r="E223" s="1177">
        <f t="shared" ca="1" si="8"/>
        <v>-4.4774169166656455E-2</v>
      </c>
      <c r="F223" s="1175">
        <f>F10B!U224</f>
        <v>7.5227608108671902</v>
      </c>
      <c r="G223" s="1177">
        <f t="shared" ca="1" si="7"/>
        <v>0.91391464557594404</v>
      </c>
    </row>
    <row r="224" spans="1:7">
      <c r="A224" s="1410" t="s">
        <v>1013</v>
      </c>
      <c r="B224" s="1175">
        <f>F10B!I225</f>
        <v>0</v>
      </c>
      <c r="C224" s="1177"/>
      <c r="D224" s="1175">
        <f>F10B!O225</f>
        <v>8.256499280294495</v>
      </c>
      <c r="E224" s="1177">
        <f t="shared" ca="1" si="8"/>
        <v>4.7425733578345869E-2</v>
      </c>
      <c r="F224" s="1175">
        <f>F10B!U225</f>
        <v>8.2425830212155518</v>
      </c>
      <c r="G224" s="1177">
        <f t="shared" ca="1" si="7"/>
        <v>1.0013633996687092</v>
      </c>
    </row>
    <row r="225" spans="1:7">
      <c r="A225" s="1406" t="s">
        <v>1430</v>
      </c>
      <c r="B225" s="1175">
        <f>F10B!I226</f>
        <v>0</v>
      </c>
      <c r="C225" s="1177"/>
      <c r="D225" s="1175">
        <f>F10B!O226</f>
        <v>7.2631253113386567</v>
      </c>
      <c r="E225" s="1177">
        <f t="shared" ca="1" si="8"/>
        <v>-7.859443826791021E-2</v>
      </c>
      <c r="F225" s="1175">
        <f>F10B!U226</f>
        <v>7.2492090522597108</v>
      </c>
      <c r="G225" s="1177">
        <f t="shared" ca="1" si="7"/>
        <v>0.88068177206050768</v>
      </c>
    </row>
    <row r="226" spans="1:7">
      <c r="A226" s="1406" t="s">
        <v>1431</v>
      </c>
      <c r="B226" s="1175">
        <f>F10B!I227</f>
        <v>0</v>
      </c>
      <c r="C226" s="1177"/>
      <c r="D226" s="1175">
        <f>F10B!O227</f>
        <v>8.283125311338658</v>
      </c>
      <c r="E226" s="1177">
        <f t="shared" ca="1" si="8"/>
        <v>5.0803531983206578E-2</v>
      </c>
      <c r="F226" s="1175">
        <f>F10B!U227</f>
        <v>8.2692090522597113</v>
      </c>
      <c r="G226" s="1177">
        <f t="shared" ca="1" si="7"/>
        <v>1.0045981056944098</v>
      </c>
    </row>
    <row r="227" spans="1:7">
      <c r="A227" s="1406" t="s">
        <v>1432</v>
      </c>
      <c r="B227" s="1175">
        <f>F10B!I228</f>
        <v>0</v>
      </c>
      <c r="C227" s="1177"/>
      <c r="D227" s="1175">
        <f>F10B!O228</f>
        <v>9.3031253113386576</v>
      </c>
      <c r="E227" s="1177">
        <f t="shared" ca="1" si="8"/>
        <v>0.18020150223432313</v>
      </c>
      <c r="F227" s="1175">
        <f>F10B!U228</f>
        <v>9.2892090522597108</v>
      </c>
      <c r="G227" s="1177">
        <f t="shared" ca="1" si="7"/>
        <v>1.128514439328312</v>
      </c>
    </row>
    <row r="228" spans="1:7">
      <c r="A228" s="1406" t="s">
        <v>1433</v>
      </c>
      <c r="B228" s="1175">
        <f>F10B!I229</f>
        <v>0</v>
      </c>
      <c r="C228" s="1177"/>
      <c r="D228" s="1175">
        <f>F10B!O229</f>
        <v>8.283125311338658</v>
      </c>
      <c r="E228" s="1177">
        <f t="shared" ca="1" si="8"/>
        <v>5.0803531983206578E-2</v>
      </c>
      <c r="F228" s="1175">
        <f>F10B!U229</f>
        <v>8.2692090522597113</v>
      </c>
      <c r="G228" s="1177">
        <f t="shared" ca="1" si="7"/>
        <v>1.0045981056944098</v>
      </c>
    </row>
    <row r="229" spans="1:7">
      <c r="A229" s="1411" t="s">
        <v>1014</v>
      </c>
      <c r="B229" s="1175">
        <f>F10B!I230</f>
        <v>0</v>
      </c>
      <c r="C229" s="1177"/>
      <c r="D229" s="1175">
        <f>F10B!O230</f>
        <v>6.8029386005188268</v>
      </c>
      <c r="E229" s="1177">
        <f t="shared" ca="1" si="8"/>
        <v>-0.13697407191165878</v>
      </c>
      <c r="F229" s="1175">
        <f>F10B!U230</f>
        <v>6.8029386005188286</v>
      </c>
      <c r="G229" s="1177">
        <f t="shared" ca="1" si="7"/>
        <v>0.82646589148317884</v>
      </c>
    </row>
    <row r="230" spans="1:7">
      <c r="A230" s="1406" t="s">
        <v>1430</v>
      </c>
      <c r="B230" s="1175">
        <f>F10B!I231</f>
        <v>0</v>
      </c>
      <c r="C230" s="1177"/>
      <c r="D230" s="1175">
        <f>F10B!O231</f>
        <v>6.8000000000000007</v>
      </c>
      <c r="E230" s="1177">
        <f t="shared" ca="1" si="8"/>
        <v>-0.13734686499255583</v>
      </c>
      <c r="F230" s="1175">
        <f>F10B!U231</f>
        <v>6.8000000000000007</v>
      </c>
      <c r="G230" s="1177">
        <f t="shared" ca="1" si="7"/>
        <v>0.82610889089268102</v>
      </c>
    </row>
    <row r="231" spans="1:7">
      <c r="A231" s="1406" t="s">
        <v>1431</v>
      </c>
      <c r="B231" s="1175">
        <f>F10B!I232</f>
        <v>0</v>
      </c>
      <c r="C231" s="1177"/>
      <c r="D231" s="1175">
        <f>F10B!O232</f>
        <v>6.7999999999999989</v>
      </c>
      <c r="E231" s="1177">
        <f t="shared" ca="1" si="8"/>
        <v>-0.13734686499255605</v>
      </c>
      <c r="F231" s="1175">
        <f>F10B!U232</f>
        <v>6.7999999999999989</v>
      </c>
      <c r="G231" s="1177">
        <f t="shared" ca="1" si="7"/>
        <v>0.8261088908926808</v>
      </c>
    </row>
    <row r="232" spans="1:7">
      <c r="A232" s="1406" t="s">
        <v>1432</v>
      </c>
      <c r="B232" s="1175">
        <f>F10B!I233</f>
        <v>0</v>
      </c>
      <c r="C232" s="1177"/>
      <c r="D232" s="1175">
        <f>F10B!O233</f>
        <v>7.8199999999999994</v>
      </c>
      <c r="E232" s="1177">
        <f t="shared" ca="1" si="8"/>
        <v>-7.9488947414393749E-3</v>
      </c>
      <c r="F232" s="1175">
        <f>F10B!U233</f>
        <v>7.82</v>
      </c>
      <c r="G232" s="1177">
        <f t="shared" ca="1" si="7"/>
        <v>0.95002522452658311</v>
      </c>
    </row>
    <row r="233" spans="1:7">
      <c r="A233" s="1406" t="s">
        <v>1433</v>
      </c>
      <c r="B233" s="1175">
        <f>F10B!I234</f>
        <v>0</v>
      </c>
      <c r="C233" s="1177"/>
      <c r="D233" s="1175">
        <f>F10B!O234</f>
        <v>5.7799999999999994</v>
      </c>
      <c r="E233" s="1177">
        <f t="shared" ca="1" si="8"/>
        <v>-0.2667448352436726</v>
      </c>
      <c r="F233" s="1175">
        <f>F10B!U234</f>
        <v>5.7799999999999994</v>
      </c>
      <c r="G233" s="1177">
        <f t="shared" ca="1" si="7"/>
        <v>0.70219255725877872</v>
      </c>
    </row>
    <row r="234" spans="1:7">
      <c r="A234" s="1402" t="s">
        <v>1128</v>
      </c>
      <c r="B234" s="1175">
        <f>F10B!I235</f>
        <v>0</v>
      </c>
      <c r="C234" s="1177"/>
      <c r="D234" s="1175">
        <f>F10B!O235</f>
        <v>9.4531046396818486</v>
      </c>
      <c r="E234" s="1177">
        <f t="shared" ca="1" si="8"/>
        <v>0.19922799308455322</v>
      </c>
      <c r="F234" s="1175">
        <f>F10B!U235</f>
        <v>9.3966753470008229</v>
      </c>
      <c r="G234" s="1177">
        <f t="shared" ca="1" si="7"/>
        <v>1.141570154263154</v>
      </c>
    </row>
    <row r="235" spans="1:7">
      <c r="A235" s="1410" t="s">
        <v>1013</v>
      </c>
      <c r="B235" s="1175">
        <f>F10B!I236</f>
        <v>0</v>
      </c>
      <c r="C235" s="1177"/>
      <c r="D235" s="1175">
        <f>F10B!O236</f>
        <v>12.503443537698919</v>
      </c>
      <c r="E235" s="1177">
        <f t="shared" ca="1" si="8"/>
        <v>0.58619628914478528</v>
      </c>
      <c r="F235" s="1175">
        <f>F10B!U236</f>
        <v>12.390584952336868</v>
      </c>
      <c r="G235" s="1177">
        <f t="shared" ca="1" si="7"/>
        <v>1.5052900577186106</v>
      </c>
    </row>
    <row r="236" spans="1:7">
      <c r="A236" s="1406" t="s">
        <v>1430</v>
      </c>
      <c r="B236" s="1175">
        <f>F10B!I237</f>
        <v>0</v>
      </c>
      <c r="C236" s="1177"/>
      <c r="D236" s="1175">
        <f>F10B!O237</f>
        <v>11.568503331622837</v>
      </c>
      <c r="E236" s="1177">
        <f t="shared" ca="1" si="8"/>
        <v>0.46758906858360327</v>
      </c>
      <c r="F236" s="1175">
        <f>F10B!U237</f>
        <v>11.455644746260784</v>
      </c>
      <c r="G236" s="1177">
        <f t="shared" ca="1" si="7"/>
        <v>1.39170734938148</v>
      </c>
    </row>
    <row r="237" spans="1:7">
      <c r="A237" s="1406" t="s">
        <v>1431</v>
      </c>
      <c r="B237" s="1175">
        <f>F10B!I238</f>
        <v>0</v>
      </c>
      <c r="C237" s="1177"/>
      <c r="D237" s="1175">
        <f>F10B!O238</f>
        <v>12.528503331622833</v>
      </c>
      <c r="E237" s="1177">
        <f t="shared" ca="1" si="8"/>
        <v>0.58937539352583013</v>
      </c>
      <c r="F237" s="1175">
        <f>F10B!U238</f>
        <v>12.415644746260783</v>
      </c>
      <c r="G237" s="1177">
        <f t="shared" ca="1" si="7"/>
        <v>1.5083344869192701</v>
      </c>
    </row>
    <row r="238" spans="1:7">
      <c r="A238" s="1406" t="s">
        <v>1432</v>
      </c>
      <c r="B238" s="1175">
        <f>F10B!I239</f>
        <v>0</v>
      </c>
      <c r="C238" s="1177"/>
      <c r="D238" s="1175">
        <f>F10B!O239</f>
        <v>13.488503331622832</v>
      </c>
      <c r="E238" s="1177">
        <f t="shared" ca="1" si="8"/>
        <v>0.71116171846805742</v>
      </c>
      <c r="F238" s="1175">
        <f>F10B!U239</f>
        <v>13.375644746260782</v>
      </c>
      <c r="G238" s="1177">
        <f t="shared" ca="1" si="7"/>
        <v>1.6249616244570602</v>
      </c>
    </row>
    <row r="239" spans="1:7">
      <c r="A239" s="1406" t="s">
        <v>1433</v>
      </c>
      <c r="B239" s="1175">
        <f>F10B!I240</f>
        <v>0</v>
      </c>
      <c r="C239" s="1177"/>
      <c r="D239" s="1175">
        <f>F10B!O240</f>
        <v>12.528503331622833</v>
      </c>
      <c r="E239" s="1177">
        <f t="shared" ca="1" si="8"/>
        <v>0.58937539352583013</v>
      </c>
      <c r="F239" s="1175">
        <f>F10B!U240</f>
        <v>12.415644746260785</v>
      </c>
      <c r="G239" s="1177">
        <f t="shared" ca="1" si="7"/>
        <v>1.5083344869192703</v>
      </c>
    </row>
    <row r="240" spans="1:7">
      <c r="A240" s="1411" t="s">
        <v>1014</v>
      </c>
      <c r="B240" s="1175">
        <f>F10B!I241</f>
        <v>0</v>
      </c>
      <c r="C240" s="1177"/>
      <c r="D240" s="1175">
        <f>F10B!O241</f>
        <v>6.4027657416647799</v>
      </c>
      <c r="E240" s="1177">
        <f t="shared" ca="1" si="8"/>
        <v>-0.18774030297567865</v>
      </c>
      <c r="F240" s="1175">
        <f>F10B!U241</f>
        <v>6.4027657416647781</v>
      </c>
      <c r="G240" s="1177">
        <f t="shared" ca="1" si="7"/>
        <v>0.77785025080769754</v>
      </c>
    </row>
    <row r="241" spans="1:7">
      <c r="A241" s="1406" t="s">
        <v>1430</v>
      </c>
      <c r="B241" s="1175">
        <f>F10B!I242</f>
        <v>0</v>
      </c>
      <c r="C241" s="1177"/>
      <c r="D241" s="1175">
        <f>F10B!O242</f>
        <v>6.4</v>
      </c>
      <c r="E241" s="1177">
        <f t="shared" ca="1" si="8"/>
        <v>-0.18809116705181728</v>
      </c>
      <c r="F241" s="1175">
        <f>F10B!U242</f>
        <v>6.4</v>
      </c>
      <c r="G241" s="1177">
        <f t="shared" ca="1" si="7"/>
        <v>0.77751425025193499</v>
      </c>
    </row>
    <row r="242" spans="1:7">
      <c r="A242" s="1406" t="s">
        <v>1431</v>
      </c>
      <c r="B242" s="1175">
        <f>F10B!I243</f>
        <v>0</v>
      </c>
      <c r="C242" s="1177"/>
      <c r="D242" s="1175">
        <f>F10B!O243</f>
        <v>6.4</v>
      </c>
      <c r="E242" s="1177">
        <f t="shared" ca="1" si="8"/>
        <v>-0.18809116705181728</v>
      </c>
      <c r="F242" s="1175">
        <f>F10B!U243</f>
        <v>6.4</v>
      </c>
      <c r="G242" s="1177">
        <f t="shared" ca="1" si="7"/>
        <v>0.77751425025193499</v>
      </c>
    </row>
    <row r="243" spans="1:7">
      <c r="A243" s="1406" t="s">
        <v>1432</v>
      </c>
      <c r="B243" s="1175">
        <f>F10B!I244</f>
        <v>0</v>
      </c>
      <c r="C243" s="1177"/>
      <c r="D243" s="1175">
        <f>F10B!O244</f>
        <v>7.3599999999999994</v>
      </c>
      <c r="E243" s="1177">
        <f t="shared" ca="1" si="8"/>
        <v>-6.6304842109590006E-2</v>
      </c>
      <c r="F243" s="1175">
        <f>F10B!U244</f>
        <v>7.3599999999999994</v>
      </c>
      <c r="G243" s="1177">
        <f t="shared" ca="1" si="7"/>
        <v>0.89414138778972518</v>
      </c>
    </row>
    <row r="244" spans="1:7">
      <c r="A244" s="1406" t="s">
        <v>1433</v>
      </c>
      <c r="B244" s="1175">
        <f>F10B!I245</f>
        <v>0</v>
      </c>
      <c r="C244" s="1177"/>
      <c r="D244" s="1175">
        <f>F10B!O245</f>
        <v>5.44</v>
      </c>
      <c r="E244" s="1177">
        <f t="shared" ca="1" si="8"/>
        <v>-0.30987749199404468</v>
      </c>
      <c r="F244" s="1175">
        <f>F10B!U245</f>
        <v>5.44</v>
      </c>
      <c r="G244" s="1177">
        <f t="shared" ca="1" si="7"/>
        <v>0.6608871127141448</v>
      </c>
    </row>
    <row r="245" spans="1:7">
      <c r="A245" s="1402" t="s">
        <v>1129</v>
      </c>
      <c r="B245" s="1175">
        <f>F10B!I246</f>
        <v>0</v>
      </c>
      <c r="C245" s="1177"/>
      <c r="D245" s="1175">
        <f>F10B!O246</f>
        <v>7.4622300981582708</v>
      </c>
      <c r="E245" s="1177">
        <f t="shared" ca="1" si="8"/>
        <v>-5.3335854658361839E-2</v>
      </c>
      <c r="F245" s="1175">
        <f>F10B!U246</f>
        <v>7.4557273764481646</v>
      </c>
      <c r="G245" s="1177">
        <f t="shared" ca="1" si="7"/>
        <v>0.90577098143467516</v>
      </c>
    </row>
    <row r="246" spans="1:7">
      <c r="A246" s="1410" t="s">
        <v>1013</v>
      </c>
      <c r="B246" s="1175">
        <f>F10B!I247</f>
        <v>0</v>
      </c>
      <c r="C246" s="1177"/>
      <c r="D246" s="1175">
        <f>F10B!O247</f>
        <v>8.8218240987923</v>
      </c>
      <c r="E246" s="1177">
        <f t="shared" ca="1" si="8"/>
        <v>0.11914326695697025</v>
      </c>
      <c r="F246" s="1175">
        <f>F10B!U247</f>
        <v>8.808818655372086</v>
      </c>
      <c r="G246" s="1177">
        <f t="shared" ca="1" si="7"/>
        <v>1.0701534425682633</v>
      </c>
    </row>
    <row r="247" spans="1:7">
      <c r="A247" s="1406" t="s">
        <v>1430</v>
      </c>
      <c r="B247" s="1175">
        <f>F10B!I248</f>
        <v>0</v>
      </c>
      <c r="C247" s="1177"/>
      <c r="D247" s="1175">
        <f>F10B!O248</f>
        <v>7.9307092148760336</v>
      </c>
      <c r="E247" s="1177">
        <f t="shared" ca="1" si="8"/>
        <v>6.0957598595935223E-3</v>
      </c>
      <c r="F247" s="1175">
        <f>F10B!U248</f>
        <v>7.9177037714558178</v>
      </c>
      <c r="G247" s="1177">
        <f t="shared" ca="1" si="7"/>
        <v>0.96189492368443563</v>
      </c>
    </row>
    <row r="248" spans="1:7">
      <c r="A248" s="1406" t="s">
        <v>1431</v>
      </c>
      <c r="B248" s="1175">
        <f>F10B!I249</f>
        <v>0</v>
      </c>
      <c r="C248" s="1177"/>
      <c r="D248" s="1175">
        <f>F10B!O249</f>
        <v>8.8457092148760346</v>
      </c>
      <c r="E248" s="1177">
        <f t="shared" ca="1" si="8"/>
        <v>0.12217335082015413</v>
      </c>
      <c r="F248" s="1175">
        <f>F10B!U249</f>
        <v>8.832703771455817</v>
      </c>
      <c r="G248" s="1177">
        <f t="shared" ca="1" si="7"/>
        <v>1.0730551641501418</v>
      </c>
    </row>
    <row r="249" spans="1:7">
      <c r="A249" s="1406" t="s">
        <v>1432</v>
      </c>
      <c r="B249" s="1175">
        <f>F10B!I250</f>
        <v>0</v>
      </c>
      <c r="C249" s="1177"/>
      <c r="D249" s="1175">
        <f>F10B!O250</f>
        <v>9.7607092148760319</v>
      </c>
      <c r="E249" s="1177">
        <f t="shared" ca="1" si="8"/>
        <v>0.23825094178071429</v>
      </c>
      <c r="F249" s="1175">
        <f>F10B!U250</f>
        <v>9.7477037714558161</v>
      </c>
      <c r="G249" s="1177">
        <f t="shared" ca="1" si="7"/>
        <v>1.1842154046158482</v>
      </c>
    </row>
    <row r="250" spans="1:7">
      <c r="A250" s="1406" t="s">
        <v>1433</v>
      </c>
      <c r="B250" s="1175">
        <f>F10B!I251</f>
        <v>0</v>
      </c>
      <c r="C250" s="1177"/>
      <c r="D250" s="1175">
        <f>F10B!O251</f>
        <v>8.8457092148760328</v>
      </c>
      <c r="E250" s="1177">
        <f t="shared" ca="1" si="8"/>
        <v>0.1221733508201539</v>
      </c>
      <c r="F250" s="1175">
        <f>F10B!U251</f>
        <v>8.832703771455817</v>
      </c>
      <c r="G250" s="1177">
        <f t="shared" ca="1" si="7"/>
        <v>1.0730551641501418</v>
      </c>
    </row>
    <row r="251" spans="1:7">
      <c r="A251" s="1411" t="s">
        <v>1014</v>
      </c>
      <c r="B251" s="1175">
        <f>F10B!I252</f>
        <v>0</v>
      </c>
      <c r="C251" s="1177"/>
      <c r="D251" s="1175">
        <f>F10B!O252</f>
        <v>6.1026360975242424</v>
      </c>
      <c r="E251" s="1177">
        <f t="shared" ca="1" si="8"/>
        <v>-0.22581497627369382</v>
      </c>
      <c r="F251" s="1175">
        <f>F10B!U252</f>
        <v>6.1026360975242424</v>
      </c>
      <c r="G251" s="1177">
        <f t="shared" ca="1" si="7"/>
        <v>0.74138852030108682</v>
      </c>
    </row>
    <row r="252" spans="1:7">
      <c r="A252" s="1406" t="s">
        <v>1430</v>
      </c>
      <c r="B252" s="1175">
        <f>F10B!I253</f>
        <v>0</v>
      </c>
      <c r="C252" s="1177"/>
      <c r="D252" s="1175">
        <f>F10B!O253</f>
        <v>6.1</v>
      </c>
      <c r="E252" s="1177">
        <f t="shared" ca="1" si="8"/>
        <v>-0.22614939359626343</v>
      </c>
      <c r="F252" s="1175">
        <f>F10B!U253</f>
        <v>6.0999999999999988</v>
      </c>
      <c r="G252" s="1177">
        <f t="shared" ca="1" si="7"/>
        <v>0.74106826977137541</v>
      </c>
    </row>
    <row r="253" spans="1:7">
      <c r="A253" s="1406" t="s">
        <v>1431</v>
      </c>
      <c r="B253" s="1175">
        <f>F10B!I254</f>
        <v>0</v>
      </c>
      <c r="C253" s="1177"/>
      <c r="D253" s="1175">
        <f>F10B!O254</f>
        <v>6.1</v>
      </c>
      <c r="E253" s="1177">
        <f t="shared" ca="1" si="8"/>
        <v>-0.22614939359626343</v>
      </c>
      <c r="F253" s="1175">
        <f>F10B!U254</f>
        <v>6.1</v>
      </c>
      <c r="G253" s="1177">
        <f t="shared" ca="1" si="7"/>
        <v>0.74106826977137552</v>
      </c>
    </row>
    <row r="254" spans="1:7">
      <c r="A254" s="1406" t="s">
        <v>1432</v>
      </c>
      <c r="B254" s="1175">
        <f>F10B!I255</f>
        <v>0</v>
      </c>
      <c r="C254" s="1177"/>
      <c r="D254" s="1175">
        <f>F10B!O255</f>
        <v>7.0149999999999979</v>
      </c>
      <c r="E254" s="1177">
        <f t="shared" ca="1" si="8"/>
        <v>-0.11007180263570317</v>
      </c>
      <c r="F254" s="1175">
        <f>F10B!U255</f>
        <v>7.0149999999999988</v>
      </c>
      <c r="G254" s="1177">
        <f t="shared" ca="1" si="7"/>
        <v>0.85222851023708168</v>
      </c>
    </row>
    <row r="255" spans="1:7">
      <c r="A255" s="1406" t="s">
        <v>1433</v>
      </c>
      <c r="B255" s="1175">
        <f>F10B!I256</f>
        <v>0</v>
      </c>
      <c r="C255" s="1177"/>
      <c r="D255" s="1175">
        <f>F10B!O256</f>
        <v>5.1849999999999996</v>
      </c>
      <c r="E255" s="1177">
        <f t="shared" ca="1" si="8"/>
        <v>-0.34222698455682393</v>
      </c>
      <c r="F255" s="1175">
        <f>F10B!U256</f>
        <v>5.1849999999999996</v>
      </c>
      <c r="G255" s="1177">
        <f t="shared" ca="1" si="7"/>
        <v>0.62990802930566914</v>
      </c>
    </row>
    <row r="256" spans="1:7">
      <c r="A256" s="1402" t="s">
        <v>1130</v>
      </c>
      <c r="B256" s="1175">
        <f>F10B!I257</f>
        <v>0</v>
      </c>
      <c r="C256" s="1177"/>
      <c r="D256" s="1175">
        <f>F10B!O257</f>
        <v>7.638689013780624</v>
      </c>
      <c r="E256" s="1177">
        <f t="shared" ca="1" si="8"/>
        <v>-3.0950143369885795E-2</v>
      </c>
      <c r="F256" s="1175">
        <f>F10B!U257</f>
        <v>7.6286379791685608</v>
      </c>
      <c r="G256" s="1177">
        <f t="shared" ca="1" si="7"/>
        <v>0.92677730294010618</v>
      </c>
    </row>
    <row r="257" spans="1:7">
      <c r="A257" s="1402" t="s">
        <v>1425</v>
      </c>
      <c r="B257" s="1175">
        <f>F10B!I258</f>
        <v>0</v>
      </c>
      <c r="C257" s="1177"/>
      <c r="D257" s="1175">
        <f>F10B!O258</f>
        <v>8.0367288873468858</v>
      </c>
      <c r="E257" s="1177">
        <f t="shared" ca="1" si="8"/>
        <v>1.9545495569805737E-2</v>
      </c>
      <c r="F257" s="1175">
        <f>F10B!U258</f>
        <v>8.0300470632420868</v>
      </c>
      <c r="G257" s="1177">
        <f t="shared" ca="1" si="7"/>
        <v>0.97554312841631619</v>
      </c>
    </row>
    <row r="258" spans="1:7">
      <c r="A258" s="1409"/>
      <c r="B258" s="1175">
        <f>F10B!I259</f>
        <v>0</v>
      </c>
      <c r="C258" s="1177"/>
      <c r="D258" s="1175">
        <f>F10B!O259</f>
        <v>0</v>
      </c>
      <c r="E258" s="1177">
        <f t="shared" ca="1" si="8"/>
        <v>-1</v>
      </c>
      <c r="F258" s="1175">
        <f>F10B!U259</f>
        <v>0</v>
      </c>
      <c r="G258" s="1177">
        <f t="shared" ca="1" si="7"/>
        <v>0</v>
      </c>
    </row>
    <row r="259" spans="1:7">
      <c r="A259" s="1402" t="s">
        <v>1133</v>
      </c>
      <c r="B259" s="1175">
        <f>F10B!I260</f>
        <v>0</v>
      </c>
      <c r="C259" s="1177"/>
      <c r="D259" s="1175">
        <f>F10B!O260</f>
        <v>0</v>
      </c>
      <c r="E259" s="1177">
        <f t="shared" ca="1" si="8"/>
        <v>-1</v>
      </c>
      <c r="F259" s="1175">
        <f>F10B!U260</f>
        <v>0</v>
      </c>
      <c r="G259" s="1177">
        <f t="shared" ca="1" si="7"/>
        <v>0</v>
      </c>
    </row>
    <row r="260" spans="1:7">
      <c r="A260" s="1409" t="s">
        <v>1415</v>
      </c>
      <c r="B260" s="1175">
        <f>F10B!I261</f>
        <v>0</v>
      </c>
      <c r="C260" s="1177"/>
      <c r="D260" s="1175">
        <f>F10B!O261</f>
        <v>13.448243678941116</v>
      </c>
      <c r="E260" s="1177">
        <f t="shared" ca="1" si="8"/>
        <v>0.70605434852685256</v>
      </c>
      <c r="F260" s="1175">
        <f>F10B!U261</f>
        <v>13.448243678941116</v>
      </c>
      <c r="G260" s="1177">
        <f t="shared" ca="1" si="7"/>
        <v>1.6337814220683164</v>
      </c>
    </row>
    <row r="261" spans="1:7">
      <c r="A261" s="1409" t="s">
        <v>1134</v>
      </c>
      <c r="B261" s="1175">
        <f>F10B!I262</f>
        <v>0</v>
      </c>
      <c r="C261" s="1177"/>
      <c r="D261" s="1175">
        <f>F10B!O262</f>
        <v>0</v>
      </c>
      <c r="E261" s="1177">
        <f t="shared" ca="1" si="8"/>
        <v>-1</v>
      </c>
      <c r="F261" s="1175">
        <f>F10B!U262</f>
        <v>0</v>
      </c>
      <c r="G261" s="1177">
        <f t="shared" ca="1" si="7"/>
        <v>0</v>
      </c>
    </row>
    <row r="262" spans="1:7">
      <c r="A262" s="1409" t="s">
        <v>1135</v>
      </c>
      <c r="B262" s="1175">
        <f>F10B!I263</f>
        <v>0</v>
      </c>
      <c r="C262" s="1177"/>
      <c r="D262" s="1175">
        <f>F10B!O263</f>
        <v>0</v>
      </c>
      <c r="E262" s="1177">
        <f t="shared" ca="1" si="8"/>
        <v>-1</v>
      </c>
      <c r="F262" s="1175">
        <f>F10B!U263</f>
        <v>0</v>
      </c>
      <c r="G262" s="1177">
        <f t="shared" ca="1" si="7"/>
        <v>0</v>
      </c>
    </row>
    <row r="263" spans="1:7">
      <c r="A263" s="1402" t="s">
        <v>1425</v>
      </c>
      <c r="B263" s="1175">
        <f>F10B!I264</f>
        <v>0</v>
      </c>
      <c r="C263" s="1177"/>
      <c r="D263" s="1175">
        <f>F10B!O264</f>
        <v>13.448243678941116</v>
      </c>
      <c r="E263" s="1177">
        <f t="shared" ca="1" si="8"/>
        <v>0.70605434852685256</v>
      </c>
      <c r="F263" s="1175">
        <f>F10B!U264</f>
        <v>13.448243678941116</v>
      </c>
      <c r="G263" s="1177">
        <f t="shared" ca="1" si="7"/>
        <v>1.6337814220683164</v>
      </c>
    </row>
    <row r="264" spans="1:7">
      <c r="A264" s="1409"/>
      <c r="B264" s="1175">
        <f>F10B!I265</f>
        <v>0</v>
      </c>
      <c r="C264" s="1177"/>
      <c r="D264" s="1175">
        <f>F10B!O265</f>
        <v>0</v>
      </c>
      <c r="E264" s="1177">
        <f t="shared" ca="1" si="8"/>
        <v>-1</v>
      </c>
      <c r="F264" s="1175">
        <f>F10B!U265</f>
        <v>0</v>
      </c>
      <c r="G264" s="1177">
        <f t="shared" ca="1" si="7"/>
        <v>0</v>
      </c>
    </row>
    <row r="265" spans="1:7">
      <c r="A265" s="1402" t="s">
        <v>1137</v>
      </c>
      <c r="B265" s="1175">
        <f>F10B!I266</f>
        <v>0</v>
      </c>
      <c r="C265" s="1177"/>
      <c r="D265" s="1175">
        <f>F10B!O266</f>
        <v>0</v>
      </c>
      <c r="E265" s="1177">
        <f t="shared" ca="1" si="8"/>
        <v>-1</v>
      </c>
      <c r="F265" s="1175">
        <f>F10B!U266</f>
        <v>0</v>
      </c>
      <c r="G265" s="1177">
        <f t="shared" ca="1" si="7"/>
        <v>0</v>
      </c>
    </row>
    <row r="266" spans="1:7">
      <c r="A266" s="1409" t="s">
        <v>1138</v>
      </c>
      <c r="B266" s="1175">
        <f>F10B!I267</f>
        <v>0</v>
      </c>
      <c r="C266" s="1177"/>
      <c r="D266" s="1175">
        <f>F10B!O267</f>
        <v>9.264289838468601</v>
      </c>
      <c r="E266" s="1177">
        <f t="shared" ca="1" si="8"/>
        <v>0.17527480481949212</v>
      </c>
      <c r="F266" s="1175">
        <f>F10B!U267</f>
        <v>9.2642898384685992</v>
      </c>
      <c r="G266" s="1177">
        <f t="shared" ref="G266:G275" ca="1" si="9">IFERROR((F266/$F$276),0)</f>
        <v>1.1254870887302395</v>
      </c>
    </row>
    <row r="267" spans="1:7">
      <c r="A267" s="1409" t="s">
        <v>1139</v>
      </c>
      <c r="B267" s="1175">
        <f>F10B!I268</f>
        <v>0</v>
      </c>
      <c r="C267" s="1177"/>
      <c r="D267" s="1175">
        <f>F10B!O268</f>
        <v>9.2539334327772576</v>
      </c>
      <c r="E267" s="1177">
        <f t="shared" ca="1" si="8"/>
        <v>0.17396098337286767</v>
      </c>
      <c r="F267" s="1175">
        <f>F10B!U268</f>
        <v>9.2539334327772593</v>
      </c>
      <c r="G267" s="1177">
        <f t="shared" ca="1" si="9"/>
        <v>1.1242289241979884</v>
      </c>
    </row>
    <row r="268" spans="1:7">
      <c r="A268" s="1409" t="s">
        <v>1140</v>
      </c>
      <c r="B268" s="1175">
        <f>F10B!I269</f>
        <v>0</v>
      </c>
      <c r="C268" s="1177"/>
      <c r="D268" s="1175">
        <f>F10B!O269</f>
        <v>0</v>
      </c>
      <c r="E268" s="1177">
        <f t="shared" ca="1" si="8"/>
        <v>-1</v>
      </c>
      <c r="F268" s="1175">
        <f>F10B!U269</f>
        <v>0</v>
      </c>
      <c r="G268" s="1177">
        <f t="shared" ca="1" si="9"/>
        <v>0</v>
      </c>
    </row>
    <row r="269" spans="1:7">
      <c r="A269" s="1402" t="s">
        <v>1425</v>
      </c>
      <c r="B269" s="1175">
        <f>F10B!I270</f>
        <v>0</v>
      </c>
      <c r="C269" s="1177"/>
      <c r="D269" s="1175">
        <f>F10B!O270</f>
        <v>9.2573058290116563</v>
      </c>
      <c r="E269" s="1177">
        <f t="shared" ca="1" si="8"/>
        <v>0.17438880810582227</v>
      </c>
      <c r="F269" s="1175">
        <f>F10B!U270</f>
        <v>9.2573058290116563</v>
      </c>
      <c r="G269" s="1177">
        <f t="shared" ca="1" si="9"/>
        <v>1.1246386251557603</v>
      </c>
    </row>
    <row r="270" spans="1:7">
      <c r="A270" s="1409"/>
      <c r="B270" s="1175">
        <f>F10B!I271</f>
        <v>0</v>
      </c>
      <c r="C270" s="1177"/>
      <c r="D270" s="1175">
        <f>F10B!O271</f>
        <v>0</v>
      </c>
      <c r="E270" s="1177">
        <f t="shared" ca="1" si="8"/>
        <v>-1</v>
      </c>
      <c r="F270" s="1175">
        <f>F10B!U271</f>
        <v>0</v>
      </c>
      <c r="G270" s="1177">
        <f t="shared" ca="1" si="9"/>
        <v>0</v>
      </c>
    </row>
    <row r="271" spans="1:7">
      <c r="A271" s="1402" t="s">
        <v>1434</v>
      </c>
      <c r="B271" s="1175">
        <f>F10B!I272</f>
        <v>0</v>
      </c>
      <c r="C271" s="1177"/>
      <c r="D271" s="1175">
        <f>F10B!O272</f>
        <v>7.83</v>
      </c>
      <c r="E271" s="1177">
        <f t="shared" ca="1" si="8"/>
        <v>-6.6802871899577544E-3</v>
      </c>
      <c r="F271" s="1175">
        <f>F10B!U272</f>
        <v>7.83</v>
      </c>
      <c r="G271" s="1177">
        <f t="shared" ca="1" si="9"/>
        <v>0.95124009054260172</v>
      </c>
    </row>
    <row r="272" spans="1:7">
      <c r="A272" s="1409"/>
      <c r="B272" s="1175">
        <f>F10B!I273</f>
        <v>0</v>
      </c>
      <c r="C272" s="1177"/>
      <c r="D272" s="1175">
        <f>F10B!O273</f>
        <v>0</v>
      </c>
      <c r="E272" s="1177"/>
      <c r="F272" s="1175">
        <f>F10B!U273</f>
        <v>0</v>
      </c>
      <c r="G272" s="1177">
        <f t="shared" ca="1" si="9"/>
        <v>0</v>
      </c>
    </row>
    <row r="273" spans="1:7">
      <c r="A273" s="1402" t="s">
        <v>1470</v>
      </c>
      <c r="B273" s="1175">
        <f>F10B!I274</f>
        <v>0</v>
      </c>
      <c r="C273" s="1177"/>
      <c r="D273" s="1175">
        <f>F10B!O274</f>
        <v>0</v>
      </c>
      <c r="E273" s="1177"/>
      <c r="F273" s="1175">
        <f>F10B!U274</f>
        <v>0</v>
      </c>
      <c r="G273" s="1177">
        <f t="shared" ca="1" si="9"/>
        <v>0</v>
      </c>
    </row>
    <row r="274" spans="1:7">
      <c r="A274" s="1409"/>
      <c r="B274" s="1175">
        <f>F10B!I275</f>
        <v>0</v>
      </c>
      <c r="C274" s="1177"/>
      <c r="D274" s="1175">
        <f>F10B!O275</f>
        <v>0</v>
      </c>
      <c r="E274" s="1177"/>
      <c r="F274" s="1175">
        <f>F10B!U275</f>
        <v>0</v>
      </c>
      <c r="G274" s="1177">
        <f t="shared" ca="1" si="9"/>
        <v>0</v>
      </c>
    </row>
    <row r="275" spans="1:7">
      <c r="A275" s="1402" t="s">
        <v>126</v>
      </c>
      <c r="B275" s="1175">
        <f>F10B!I276</f>
        <v>0</v>
      </c>
      <c r="C275" s="1177"/>
      <c r="D275" s="1175">
        <f>F10B!O276</f>
        <v>6.1144912249684955</v>
      </c>
      <c r="E275" s="1177">
        <f t="shared" ca="1" si="8"/>
        <v>-0.22431102585373827</v>
      </c>
      <c r="F275" s="1175">
        <f>F10B!U276</f>
        <v>6.0554874529982587</v>
      </c>
      <c r="G275" s="1177">
        <f t="shared" ca="1" si="9"/>
        <v>0.73566059170749065</v>
      </c>
    </row>
    <row r="276" spans="1:7">
      <c r="A276" s="1402" t="s">
        <v>1164</v>
      </c>
      <c r="B276" s="1239">
        <f ca="1">('F1'!G44/'F1'!G9)*10</f>
        <v>8.3269077151559152</v>
      </c>
      <c r="C276" s="1177"/>
      <c r="D276" s="1239">
        <f ca="1">('F1'!H44/'F1'!H9)*10</f>
        <v>7.8826584220798326</v>
      </c>
      <c r="E276" s="1177"/>
      <c r="F276" s="1239">
        <f ca="1">('F1'!I44/'F1'!I9)*10</f>
        <v>8.2313603871906302</v>
      </c>
      <c r="G276" s="1177">
        <f ca="1">IFERROR((F276/$F$276),0)</f>
        <v>1</v>
      </c>
    </row>
  </sheetData>
  <mergeCells count="10">
    <mergeCell ref="D6:E6"/>
    <mergeCell ref="B6:C6"/>
    <mergeCell ref="F5:G5"/>
    <mergeCell ref="A5:A8"/>
    <mergeCell ref="F6:G6"/>
    <mergeCell ref="B5:C5"/>
    <mergeCell ref="C7:C8"/>
    <mergeCell ref="D5:E5"/>
    <mergeCell ref="E7:E8"/>
    <mergeCell ref="G7:G8"/>
  </mergeCells>
  <printOptions horizontalCentered="1"/>
  <pageMargins left="0.19685039370078741" right="0.19685039370078741" top="0.19685039370078741" bottom="0.19685039370078741" header="0.19685039370078741" footer="0.19685039370078741"/>
  <pageSetup paperSize="9" scale="6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1"/>
  <sheetViews>
    <sheetView showGridLines="0" view="pageBreakPreview" zoomScale="70" zoomScaleNormal="75" zoomScaleSheetLayoutView="70" workbookViewId="0">
      <selection activeCell="C105" sqref="C105"/>
    </sheetView>
  </sheetViews>
  <sheetFormatPr defaultColWidth="9.1796875" defaultRowHeight="14"/>
  <cols>
    <col min="1" max="1" width="73.54296875" style="541" customWidth="1"/>
    <col min="2" max="2" width="15.453125" style="541" bestFit="1" customWidth="1"/>
    <col min="3" max="3" width="12" style="541" customWidth="1"/>
    <col min="4" max="4" width="17.1796875" style="541" bestFit="1" customWidth="1"/>
    <col min="5" max="5" width="15.26953125" style="541" customWidth="1"/>
    <col min="6" max="6" width="16.81640625" style="541" customWidth="1"/>
    <col min="7" max="7" width="15.1796875" style="541" bestFit="1" customWidth="1"/>
    <col min="8" max="8" width="15.7265625" style="541" customWidth="1"/>
    <col min="9" max="9" width="14.26953125" style="541" bestFit="1" customWidth="1"/>
    <col min="10" max="10" width="12.54296875" style="541" customWidth="1"/>
    <col min="11" max="11" width="14.81640625" style="541" customWidth="1"/>
    <col min="12" max="12" width="16.1796875" style="541" customWidth="1"/>
    <col min="13" max="16384" width="9.1796875" style="541"/>
  </cols>
  <sheetData>
    <row r="1" spans="1:18" s="557" customFormat="1" ht="14.5">
      <c r="A1" s="546" t="s">
        <v>1183</v>
      </c>
      <c r="B1" s="546"/>
      <c r="C1" s="546"/>
      <c r="D1" s="546"/>
      <c r="E1" s="546"/>
      <c r="F1" s="546"/>
      <c r="G1" s="546"/>
      <c r="H1" s="546"/>
      <c r="I1" s="546"/>
      <c r="J1" s="546"/>
      <c r="K1" s="546"/>
      <c r="L1" s="546"/>
      <c r="M1" s="546"/>
      <c r="N1" s="546"/>
      <c r="O1" s="546"/>
      <c r="P1" s="546"/>
      <c r="Q1" s="546"/>
      <c r="R1" s="546"/>
    </row>
    <row r="2" spans="1:18" s="538" customFormat="1" ht="14.5">
      <c r="A2" s="392" t="s">
        <v>1604</v>
      </c>
      <c r="B2" s="715"/>
      <c r="C2" s="715"/>
      <c r="D2" s="715"/>
      <c r="E2" s="715"/>
      <c r="F2" s="715"/>
      <c r="G2" s="715"/>
      <c r="H2" s="715"/>
      <c r="I2" s="715"/>
      <c r="J2" s="530"/>
      <c r="K2" s="536"/>
      <c r="L2" s="536"/>
      <c r="M2" s="533"/>
      <c r="N2" s="533"/>
      <c r="O2" s="533"/>
      <c r="P2" s="533"/>
      <c r="Q2" s="533"/>
      <c r="R2" s="533"/>
    </row>
    <row r="3" spans="1:18" s="558" customFormat="1" ht="14.5">
      <c r="A3" s="537" t="s">
        <v>1184</v>
      </c>
      <c r="B3" s="537"/>
      <c r="C3" s="537"/>
      <c r="D3" s="537"/>
      <c r="E3" s="537"/>
      <c r="F3" s="537"/>
      <c r="G3" s="537"/>
      <c r="H3" s="537"/>
      <c r="I3" s="537"/>
      <c r="J3" s="537"/>
      <c r="K3" s="537"/>
      <c r="L3" s="537"/>
      <c r="M3" s="535"/>
      <c r="N3" s="535"/>
      <c r="O3" s="535"/>
      <c r="P3" s="535"/>
      <c r="Q3" s="535"/>
      <c r="R3" s="535"/>
    </row>
    <row r="4" spans="1:18" ht="14.5">
      <c r="A4" s="539"/>
      <c r="B4" s="540"/>
      <c r="C4" s="540"/>
      <c r="D4" s="540"/>
      <c r="E4" s="540"/>
      <c r="F4" s="540"/>
      <c r="G4" s="540"/>
      <c r="H4" s="540"/>
      <c r="I4" s="540"/>
      <c r="J4" s="540"/>
      <c r="K4" s="540"/>
      <c r="L4" s="540"/>
    </row>
    <row r="5" spans="1:18" ht="58">
      <c r="A5" s="542" t="s">
        <v>179</v>
      </c>
      <c r="B5" s="543" t="s">
        <v>1177</v>
      </c>
      <c r="C5" s="543" t="s">
        <v>1029</v>
      </c>
      <c r="D5" s="543" t="s">
        <v>1028</v>
      </c>
      <c r="E5" s="543" t="s">
        <v>1188</v>
      </c>
      <c r="F5" s="543" t="s">
        <v>1178</v>
      </c>
      <c r="G5" s="543" t="s">
        <v>1179</v>
      </c>
      <c r="H5" s="543" t="s">
        <v>1189</v>
      </c>
      <c r="I5" s="543" t="s">
        <v>1192</v>
      </c>
      <c r="J5" s="543" t="s">
        <v>1190</v>
      </c>
      <c r="K5" s="543" t="s">
        <v>1191</v>
      </c>
      <c r="L5" s="543" t="s">
        <v>1180</v>
      </c>
    </row>
    <row r="6" spans="1:18" ht="14.5">
      <c r="A6" s="1028" t="s">
        <v>1448</v>
      </c>
      <c r="B6" s="1482">
        <f>F10A!C9</f>
        <v>4972161.7522499999</v>
      </c>
      <c r="C6" s="685">
        <f>F10A!D9</f>
        <v>4813.8568544292975</v>
      </c>
      <c r="D6" s="685">
        <f>F10A!E9</f>
        <v>4939310.2290000003</v>
      </c>
      <c r="E6" s="685">
        <f>F10A!L9</f>
        <v>0</v>
      </c>
      <c r="F6" s="685">
        <f>F10A!K9</f>
        <v>289.30245627000005</v>
      </c>
      <c r="G6" s="685">
        <f>F10A!J9</f>
        <v>1444.1570563287892</v>
      </c>
      <c r="H6" s="1179"/>
      <c r="I6" s="1179">
        <f>MAX(SUM(F6:G6),E6)</f>
        <v>1733.4595125987892</v>
      </c>
      <c r="J6" s="1179"/>
      <c r="K6" s="1179"/>
      <c r="L6" s="1179">
        <f>I6+J6+K6</f>
        <v>1733.4595125987892</v>
      </c>
    </row>
    <row r="7" spans="1:18" ht="14.5">
      <c r="A7" s="1414" t="s">
        <v>1044</v>
      </c>
      <c r="B7" s="1482">
        <f>F10A!C10</f>
        <v>196501.05000000002</v>
      </c>
      <c r="C7" s="685">
        <f>F10A!D10</f>
        <v>626.66123040000014</v>
      </c>
      <c r="D7" s="685">
        <f>F10A!E10</f>
        <v>241767.45</v>
      </c>
      <c r="E7" s="685">
        <f>F10A!L10</f>
        <v>0</v>
      </c>
      <c r="F7" s="685">
        <f>F10A!K10</f>
        <v>217.59070500000004</v>
      </c>
      <c r="G7" s="685">
        <f>F10A!J10</f>
        <v>0</v>
      </c>
      <c r="H7" s="1179"/>
      <c r="I7" s="1179">
        <f t="shared" ref="I7:I70" si="0">MAX(SUM(F7:G7),E7)</f>
        <v>217.59070500000004</v>
      </c>
      <c r="J7" s="1179"/>
      <c r="K7" s="1179"/>
      <c r="L7" s="1179">
        <f t="shared" ref="L7:L70" si="1">I7+J7+K7</f>
        <v>217.59070500000004</v>
      </c>
    </row>
    <row r="8" spans="1:18" ht="14.5">
      <c r="A8" s="1414" t="s">
        <v>1045</v>
      </c>
      <c r="B8" s="1482">
        <f>F10A!C11</f>
        <v>1219398.5850000007</v>
      </c>
      <c r="C8" s="685">
        <f>F10A!D11</f>
        <v>2106.8157985892299</v>
      </c>
      <c r="D8" s="685">
        <f>F10A!E11</f>
        <v>1582052.7470000007</v>
      </c>
      <c r="E8" s="685">
        <f>F10A!L11</f>
        <v>0</v>
      </c>
      <c r="F8" s="685">
        <f>F10A!K11</f>
        <v>163.09525591800008</v>
      </c>
      <c r="G8" s="685">
        <f>F10A!J11</f>
        <v>841.37925964911528</v>
      </c>
      <c r="H8" s="1179"/>
      <c r="I8" s="1179">
        <f t="shared" si="0"/>
        <v>1004.4745155671153</v>
      </c>
      <c r="J8" s="1179"/>
      <c r="K8" s="1179"/>
      <c r="L8" s="1179">
        <f t="shared" si="1"/>
        <v>1004.4745155671153</v>
      </c>
    </row>
    <row r="9" spans="1:18" ht="14.5">
      <c r="A9" s="1417" t="s">
        <v>1419</v>
      </c>
      <c r="B9" s="1482">
        <f>F10A!C12</f>
        <v>617015.68401000032</v>
      </c>
      <c r="C9" s="685">
        <f>F10A!D12</f>
        <v>1081.0181669481694</v>
      </c>
      <c r="D9" s="685">
        <f>F10A!E12</f>
        <v>697685</v>
      </c>
      <c r="E9" s="685">
        <f>F10A!L12</f>
        <v>0</v>
      </c>
      <c r="F9" s="685">
        <f>F10A!K12</f>
        <v>71.925007859838033</v>
      </c>
      <c r="G9" s="685">
        <f>F10A!J12</f>
        <v>362.14108592763677</v>
      </c>
      <c r="H9" s="1179"/>
      <c r="I9" s="1179">
        <f t="shared" si="0"/>
        <v>434.06609378747481</v>
      </c>
      <c r="J9" s="1179"/>
      <c r="K9" s="1179"/>
      <c r="L9" s="1179">
        <f t="shared" si="1"/>
        <v>434.06609378747481</v>
      </c>
    </row>
    <row r="10" spans="1:18" ht="14.5">
      <c r="A10" s="1417" t="s">
        <v>1420</v>
      </c>
      <c r="B10" s="1482">
        <f>F10A!C13</f>
        <v>341431.60380000022</v>
      </c>
      <c r="C10" s="685">
        <f>F10A!D13</f>
        <v>421.03390930255313</v>
      </c>
      <c r="D10" s="685">
        <f>F10A!E13</f>
        <v>412915.76696700021</v>
      </c>
      <c r="E10" s="685">
        <f>F10A!L13</f>
        <v>0</v>
      </c>
      <c r="F10" s="685">
        <f>F10A!K13</f>
        <v>42.567861794598016</v>
      </c>
      <c r="G10" s="685">
        <f>F10A!J13</f>
        <v>162.09805508148295</v>
      </c>
      <c r="H10" s="1179"/>
      <c r="I10" s="1179">
        <f t="shared" si="0"/>
        <v>204.66591687608098</v>
      </c>
      <c r="J10" s="1179"/>
      <c r="K10" s="1179"/>
      <c r="L10" s="1179">
        <f t="shared" si="1"/>
        <v>204.66591687608098</v>
      </c>
    </row>
    <row r="11" spans="1:18" ht="14.5">
      <c r="A11" s="1417" t="s">
        <v>1421</v>
      </c>
      <c r="B11" s="1482">
        <f>F10A!C14</f>
        <v>181690.38916500009</v>
      </c>
      <c r="C11" s="685">
        <f>F10A!D14</f>
        <v>363.39904158119941</v>
      </c>
      <c r="D11" s="685">
        <f>F10A!E14</f>
        <v>253128.4395200001</v>
      </c>
      <c r="E11" s="685">
        <f>F10A!L14</f>
        <v>0</v>
      </c>
      <c r="F11" s="685">
        <f>F10A!K14</f>
        <v>26.095240946880011</v>
      </c>
      <c r="G11" s="685">
        <f>F10A!J14</f>
        <v>181.69952079059971</v>
      </c>
      <c r="H11" s="1179"/>
      <c r="I11" s="1179">
        <f t="shared" si="0"/>
        <v>207.79476173747972</v>
      </c>
      <c r="J11" s="1179"/>
      <c r="K11" s="1179"/>
      <c r="L11" s="1179">
        <f t="shared" si="1"/>
        <v>207.79476173747972</v>
      </c>
    </row>
    <row r="12" spans="1:18" ht="14.5">
      <c r="A12" s="1417" t="s">
        <v>1422</v>
      </c>
      <c r="B12" s="1482">
        <f>F10A!C15</f>
        <v>66457.222882500035</v>
      </c>
      <c r="C12" s="685">
        <f>F10A!D15</f>
        <v>187.56421209977492</v>
      </c>
      <c r="D12" s="685">
        <f>F10A!E15</f>
        <v>142384.74723000007</v>
      </c>
      <c r="E12" s="685"/>
      <c r="F12" s="685">
        <f>F10A!K15</f>
        <v>14.678573032620006</v>
      </c>
      <c r="G12" s="685">
        <f>F10A!J15</f>
        <v>103.16031665487621</v>
      </c>
      <c r="H12" s="1179"/>
      <c r="I12" s="1179">
        <f t="shared" si="0"/>
        <v>117.83888968749622</v>
      </c>
      <c r="J12" s="1179"/>
      <c r="K12" s="1179"/>
      <c r="L12" s="1179">
        <f t="shared" si="1"/>
        <v>117.83888968749622</v>
      </c>
    </row>
    <row r="13" spans="1:18" ht="14.5">
      <c r="A13" s="1418" t="s">
        <v>1423</v>
      </c>
      <c r="B13" s="1482">
        <f>F10A!C16</f>
        <v>12803.685142499951</v>
      </c>
      <c r="C13" s="685">
        <f>F10A!D16</f>
        <v>53.800468657532619</v>
      </c>
      <c r="D13" s="685">
        <f>F10A!E16</f>
        <v>75938.531856000103</v>
      </c>
      <c r="E13" s="685">
        <f>F10A!L16</f>
        <v>0</v>
      </c>
      <c r="F13" s="685">
        <f>F10A!K16</f>
        <v>7.82857228406401</v>
      </c>
      <c r="G13" s="685">
        <f>F10A!J16</f>
        <v>32.280281194519567</v>
      </c>
      <c r="H13" s="1179"/>
      <c r="I13" s="1179">
        <f t="shared" si="0"/>
        <v>40.108853478583576</v>
      </c>
      <c r="J13" s="1179"/>
      <c r="K13" s="1179"/>
      <c r="L13" s="1179">
        <f t="shared" si="1"/>
        <v>40.108853478583576</v>
      </c>
    </row>
    <row r="14" spans="1:18" ht="14.5">
      <c r="A14" s="1414" t="s">
        <v>1046</v>
      </c>
      <c r="B14" s="1482">
        <f>F10A!C17</f>
        <v>11.115</v>
      </c>
      <c r="C14" s="685">
        <f>F10A!D17</f>
        <v>8.1</v>
      </c>
      <c r="D14" s="685">
        <f>F10A!E17</f>
        <v>38634.181999999993</v>
      </c>
      <c r="E14" s="685">
        <f>F10A!L17</f>
        <v>0</v>
      </c>
      <c r="F14" s="685">
        <f>F10A!K17</f>
        <v>5.233914972</v>
      </c>
      <c r="G14" s="685">
        <f>F10A!J17</f>
        <v>5.67</v>
      </c>
      <c r="H14" s="1179"/>
      <c r="I14" s="1179">
        <f t="shared" si="0"/>
        <v>10.903914971999999</v>
      </c>
      <c r="J14" s="1179"/>
      <c r="K14" s="1179"/>
      <c r="L14" s="1179">
        <f t="shared" si="1"/>
        <v>10.903914971999999</v>
      </c>
    </row>
    <row r="15" spans="1:18" ht="14.5">
      <c r="A15" s="1414" t="s">
        <v>1047</v>
      </c>
      <c r="B15" s="1482">
        <f>F10A!C18</f>
        <v>2125520.6175000002</v>
      </c>
      <c r="C15" s="685">
        <f>F10A!D18</f>
        <v>5377.1073529521191</v>
      </c>
      <c r="D15" s="685">
        <f>F10A!E18</f>
        <v>3561032.3385000001</v>
      </c>
      <c r="E15" s="685">
        <f>F10A!L18</f>
        <v>0</v>
      </c>
      <c r="F15" s="685">
        <f>F10A!K18</f>
        <v>458.86445276099994</v>
      </c>
      <c r="G15" s="685">
        <f>F10A!J18</f>
        <v>3201.1526088932642</v>
      </c>
      <c r="H15" s="1179"/>
      <c r="I15" s="1179">
        <f t="shared" si="0"/>
        <v>3660.0170616542641</v>
      </c>
      <c r="J15" s="1179"/>
      <c r="K15" s="1179"/>
      <c r="L15" s="1179">
        <f t="shared" si="1"/>
        <v>3660.0170616542641</v>
      </c>
    </row>
    <row r="16" spans="1:18" ht="14.5">
      <c r="A16" s="1417" t="s">
        <v>1424</v>
      </c>
      <c r="B16" s="1482">
        <f>F10A!C19</f>
        <v>1551630.0507750001</v>
      </c>
      <c r="C16" s="685">
        <f>F10A!D19</f>
        <v>2914.9905936382415</v>
      </c>
      <c r="D16" s="685">
        <f>F10A!E19</f>
        <v>2100565.2855697237</v>
      </c>
      <c r="E16" s="685">
        <f>F10A!L19</f>
        <v>0</v>
      </c>
      <c r="F16" s="685">
        <f>F10A!K19</f>
        <v>270.67284108341295</v>
      </c>
      <c r="G16" s="685">
        <f>F10A!J19</f>
        <v>1603.244826501033</v>
      </c>
      <c r="H16" s="1179"/>
      <c r="I16" s="1179">
        <f t="shared" si="0"/>
        <v>1873.917667584446</v>
      </c>
      <c r="J16" s="1179"/>
      <c r="K16" s="1179"/>
      <c r="L16" s="1179">
        <f t="shared" si="1"/>
        <v>1873.917667584446</v>
      </c>
    </row>
    <row r="17" spans="1:12" ht="14.5">
      <c r="A17" s="1417" t="s">
        <v>1421</v>
      </c>
      <c r="B17" s="1482">
        <f>F10A!C20</f>
        <v>173424.12331973464</v>
      </c>
      <c r="C17" s="685">
        <f>F10A!D20</f>
        <v>892.6158379196462</v>
      </c>
      <c r="D17" s="685">
        <f>F10A!E20</f>
        <v>532322.50818135671</v>
      </c>
      <c r="E17" s="685">
        <f>F10A!L20</f>
        <v>0</v>
      </c>
      <c r="F17" s="685">
        <f>F10A!K20</f>
        <v>68.593557482797664</v>
      </c>
      <c r="G17" s="685">
        <f>F10A!J20</f>
        <v>535.5695027517877</v>
      </c>
      <c r="H17" s="1179"/>
      <c r="I17" s="1179">
        <f t="shared" si="0"/>
        <v>604.16306023458537</v>
      </c>
      <c r="J17" s="1179"/>
      <c r="K17" s="1179"/>
      <c r="L17" s="1179">
        <f t="shared" si="1"/>
        <v>604.16306023458537</v>
      </c>
    </row>
    <row r="18" spans="1:12" ht="14.5">
      <c r="A18" s="1417" t="s">
        <v>1422</v>
      </c>
      <c r="B18" s="1482">
        <f>F10A!C21</f>
        <v>173573.04340084933</v>
      </c>
      <c r="C18" s="685">
        <f>F10A!D21</f>
        <v>726.24730671035888</v>
      </c>
      <c r="D18" s="685">
        <f>F10A!E21</f>
        <v>471716.9813216537</v>
      </c>
      <c r="E18" s="685">
        <f>F10A!L21</f>
        <v>0</v>
      </c>
      <c r="F18" s="685">
        <f>F10A!K21</f>
        <v>60.784102450304509</v>
      </c>
      <c r="G18" s="685">
        <f>F10A!J21</f>
        <v>472.06074936173326</v>
      </c>
      <c r="H18" s="1179"/>
      <c r="I18" s="1179">
        <f t="shared" si="0"/>
        <v>532.84485181203775</v>
      </c>
      <c r="J18" s="1179"/>
      <c r="K18" s="1179"/>
      <c r="L18" s="1179">
        <f t="shared" si="1"/>
        <v>532.84485181203775</v>
      </c>
    </row>
    <row r="19" spans="1:12" ht="14.5">
      <c r="A19" s="1417" t="s">
        <v>1423</v>
      </c>
      <c r="B19" s="1482">
        <f>F10A!C22</f>
        <v>226893.40000441615</v>
      </c>
      <c r="C19" s="685">
        <f>F10A!D22</f>
        <v>843.25361468387189</v>
      </c>
      <c r="D19" s="685">
        <f>F10A!E22</f>
        <v>456427.56342726585</v>
      </c>
      <c r="E19" s="685">
        <f>F10A!L22</f>
        <v>0</v>
      </c>
      <c r="F19" s="685">
        <f>F10A!K22</f>
        <v>58.813951744484832</v>
      </c>
      <c r="G19" s="685">
        <f>F10A!J22</f>
        <v>590.27753027871029</v>
      </c>
      <c r="H19" s="1179"/>
      <c r="I19" s="1179">
        <f t="shared" si="0"/>
        <v>649.09148202319511</v>
      </c>
      <c r="J19" s="1179"/>
      <c r="K19" s="1179"/>
      <c r="L19" s="1179">
        <f t="shared" si="1"/>
        <v>649.09148202319511</v>
      </c>
    </row>
    <row r="20" spans="1:12" ht="14.5">
      <c r="A20" s="1414" t="s">
        <v>1425</v>
      </c>
      <c r="B20" s="1482">
        <f>F10A!C23</f>
        <v>8513593.1197500005</v>
      </c>
      <c r="C20" s="685">
        <f>F10A!D23</f>
        <v>12932.541236370645</v>
      </c>
      <c r="D20" s="685">
        <f>F10A!E23</f>
        <v>10362796.946500001</v>
      </c>
      <c r="E20" s="685">
        <f>F10A!L23</f>
        <v>0</v>
      </c>
      <c r="F20" s="685">
        <f>F10A!K23</f>
        <v>1134.0867849209999</v>
      </c>
      <c r="G20" s="685">
        <f>F10A!J23</f>
        <v>5492.3589248711687</v>
      </c>
      <c r="H20" s="1179"/>
      <c r="I20" s="1179">
        <f t="shared" si="0"/>
        <v>6626.4457097921686</v>
      </c>
      <c r="J20" s="1179"/>
      <c r="K20" s="1179"/>
      <c r="L20" s="1179">
        <f t="shared" si="1"/>
        <v>6626.4457097921686</v>
      </c>
    </row>
    <row r="21" spans="1:12" ht="14.5">
      <c r="A21" s="1418"/>
      <c r="B21" s="1482">
        <f>F10A!C24</f>
        <v>0</v>
      </c>
      <c r="C21" s="685">
        <f>F10A!D24</f>
        <v>0</v>
      </c>
      <c r="D21" s="685">
        <f>F10A!E24</f>
        <v>0</v>
      </c>
      <c r="E21" s="685">
        <f>F10A!L24</f>
        <v>0</v>
      </c>
      <c r="F21" s="685">
        <f>F10A!K24</f>
        <v>0</v>
      </c>
      <c r="G21" s="685">
        <f>F10A!J24</f>
        <v>0</v>
      </c>
      <c r="H21" s="1179"/>
      <c r="I21" s="1179">
        <f t="shared" si="0"/>
        <v>0</v>
      </c>
      <c r="J21" s="1179"/>
      <c r="K21" s="1179"/>
      <c r="L21" s="1179">
        <f t="shared" si="1"/>
        <v>0</v>
      </c>
    </row>
    <row r="22" spans="1:12" ht="14.5">
      <c r="A22" s="1414" t="s">
        <v>1398</v>
      </c>
      <c r="B22" s="1482">
        <f>F10A!C25</f>
        <v>0</v>
      </c>
      <c r="C22" s="685">
        <f>F10A!D25</f>
        <v>0</v>
      </c>
      <c r="D22" s="685">
        <f>F10A!E25</f>
        <v>0</v>
      </c>
      <c r="E22" s="685">
        <f>F10A!L25</f>
        <v>0</v>
      </c>
      <c r="F22" s="685">
        <f>F10A!K25</f>
        <v>0</v>
      </c>
      <c r="G22" s="685">
        <f>F10A!J25</f>
        <v>0</v>
      </c>
      <c r="H22" s="1179"/>
      <c r="I22" s="1179">
        <f t="shared" si="0"/>
        <v>0</v>
      </c>
      <c r="J22" s="1179"/>
      <c r="K22" s="1179"/>
      <c r="L22" s="1179">
        <f t="shared" si="1"/>
        <v>0</v>
      </c>
    </row>
    <row r="23" spans="1:12" ht="14.5">
      <c r="A23" s="1414" t="s">
        <v>1051</v>
      </c>
      <c r="B23" s="1482">
        <f>F10A!C26</f>
        <v>0</v>
      </c>
      <c r="C23" s="685">
        <f>F10A!D26</f>
        <v>0</v>
      </c>
      <c r="D23" s="685">
        <f>F10A!E26</f>
        <v>0</v>
      </c>
      <c r="E23" s="685">
        <f>F10A!L26</f>
        <v>0</v>
      </c>
      <c r="F23" s="685">
        <f>F10A!K26</f>
        <v>0</v>
      </c>
      <c r="G23" s="685">
        <f>F10A!J26</f>
        <v>0</v>
      </c>
      <c r="H23" s="1179"/>
      <c r="I23" s="1179">
        <f t="shared" si="0"/>
        <v>0</v>
      </c>
      <c r="J23" s="1179"/>
      <c r="K23" s="1179"/>
      <c r="L23" s="1179">
        <f t="shared" si="1"/>
        <v>0</v>
      </c>
    </row>
    <row r="24" spans="1:12" ht="14.5">
      <c r="A24" s="1414" t="s">
        <v>1052</v>
      </c>
      <c r="B24" s="1482">
        <f>F10A!C27</f>
        <v>102926.69100000001</v>
      </c>
      <c r="C24" s="685">
        <f>F10A!D27</f>
        <v>703.45074399999953</v>
      </c>
      <c r="D24" s="685">
        <f>F10A!E27</f>
        <v>312765.28500000003</v>
      </c>
      <c r="E24" s="685">
        <f>F10A!L27</f>
        <v>0</v>
      </c>
      <c r="F24" s="685">
        <f>F10A!K27</f>
        <v>40.302041010000003</v>
      </c>
      <c r="G24" s="685">
        <f>F10A!J27</f>
        <v>386.89790919999973</v>
      </c>
      <c r="H24" s="1179"/>
      <c r="I24" s="1179">
        <f t="shared" si="0"/>
        <v>427.19995020999971</v>
      </c>
      <c r="J24" s="1179"/>
      <c r="K24" s="1179"/>
      <c r="L24" s="1179">
        <f t="shared" si="1"/>
        <v>427.19995020999971</v>
      </c>
    </row>
    <row r="25" spans="1:12" ht="14.5">
      <c r="A25" s="1414" t="s">
        <v>1399</v>
      </c>
      <c r="B25" s="1482">
        <f>F10A!C28</f>
        <v>7579.3429999999998</v>
      </c>
      <c r="C25" s="685">
        <f>F10A!D28</f>
        <v>53.191986666666672</v>
      </c>
      <c r="D25" s="685">
        <f>F10A!E28</f>
        <v>25829.952099999999</v>
      </c>
      <c r="E25" s="685">
        <f>F10A!L28</f>
        <v>0</v>
      </c>
      <c r="F25" s="685">
        <f>F10A!K28</f>
        <v>0</v>
      </c>
      <c r="G25" s="685">
        <f>F10A!J28</f>
        <v>95.745576</v>
      </c>
      <c r="H25" s="1179"/>
      <c r="I25" s="1179">
        <f t="shared" si="0"/>
        <v>95.745576</v>
      </c>
      <c r="J25" s="1179"/>
      <c r="K25" s="1179"/>
      <c r="L25" s="1179">
        <f t="shared" si="1"/>
        <v>95.745576</v>
      </c>
    </row>
    <row r="26" spans="1:12" ht="14.5">
      <c r="A26" s="1414" t="s">
        <v>1054</v>
      </c>
      <c r="B26" s="1482">
        <f>F10A!C29</f>
        <v>369754.18200000003</v>
      </c>
      <c r="C26" s="685">
        <f>F10A!D29</f>
        <v>1322.2701860800003</v>
      </c>
      <c r="D26" s="685">
        <f>F10A!E29</f>
        <v>925800.24600000004</v>
      </c>
      <c r="E26" s="685">
        <f>F10A!L29</f>
        <v>0</v>
      </c>
      <c r="F26" s="685">
        <f>F10A!K29</f>
        <v>419.05422334944006</v>
      </c>
      <c r="G26" s="685">
        <f>F10A!J29</f>
        <v>1041.2845705009784</v>
      </c>
      <c r="H26" s="1179"/>
      <c r="I26" s="1179">
        <f t="shared" si="0"/>
        <v>1460.3387938504184</v>
      </c>
      <c r="J26" s="1179"/>
      <c r="K26" s="1179"/>
      <c r="L26" s="1179">
        <f t="shared" si="1"/>
        <v>1460.3387938504184</v>
      </c>
    </row>
    <row r="27" spans="1:12" ht="14.5">
      <c r="A27" s="1419" t="s">
        <v>1449</v>
      </c>
      <c r="B27" s="1482">
        <f>F10A!C30</f>
        <v>258827.92740000002</v>
      </c>
      <c r="C27" s="685">
        <f>F10A!D30</f>
        <v>634.68968931840004</v>
      </c>
      <c r="D27" s="685">
        <f>F10A!E30</f>
        <v>379578.10086000001</v>
      </c>
      <c r="E27" s="685">
        <f>F10A!L30</f>
        <v>0</v>
      </c>
      <c r="F27" s="685">
        <f>F10A!K30</f>
        <v>146.73404870388001</v>
      </c>
      <c r="G27" s="685">
        <f>F10A!J30</f>
        <v>481.30404353746565</v>
      </c>
      <c r="H27" s="1179"/>
      <c r="I27" s="1179">
        <f t="shared" si="0"/>
        <v>628.03809224134568</v>
      </c>
      <c r="J27" s="1179"/>
      <c r="K27" s="1179"/>
      <c r="L27" s="1179">
        <f t="shared" si="1"/>
        <v>628.03809224134568</v>
      </c>
    </row>
    <row r="28" spans="1:12" ht="14.5">
      <c r="A28" s="1417" t="s">
        <v>1055</v>
      </c>
      <c r="B28" s="1482">
        <f>F10A!C31</f>
        <v>194120.94555</v>
      </c>
      <c r="C28" s="685">
        <f>F10A!D31</f>
        <v>569.33066999875211</v>
      </c>
      <c r="D28" s="685">
        <f>F10A!E31</f>
        <v>354905.52430410002</v>
      </c>
      <c r="E28" s="685">
        <f>F10A!L31</f>
        <v>0</v>
      </c>
      <c r="F28" s="685">
        <f>F10A!K31</f>
        <v>137.19633553812781</v>
      </c>
      <c r="G28" s="685">
        <f>F10A!J31</f>
        <v>426.99800249906411</v>
      </c>
      <c r="H28" s="1179"/>
      <c r="I28" s="1179">
        <f t="shared" si="0"/>
        <v>564.19433803719198</v>
      </c>
      <c r="J28" s="1179"/>
      <c r="K28" s="1179"/>
      <c r="L28" s="1179">
        <f t="shared" si="1"/>
        <v>564.19433803719198</v>
      </c>
    </row>
    <row r="29" spans="1:12" ht="14.5">
      <c r="A29" s="1417" t="s">
        <v>1056</v>
      </c>
      <c r="B29" s="1482">
        <f>F10A!C32</f>
        <v>56942.144028000002</v>
      </c>
      <c r="C29" s="685">
        <f>F10A!D32</f>
        <v>82.374310465440061</v>
      </c>
      <c r="D29" s="685">
        <f>F10A!E32</f>
        <v>22774.686051599998</v>
      </c>
      <c r="E29" s="685">
        <f>F10A!L32</f>
        <v>0</v>
      </c>
      <c r="F29" s="685">
        <f>F10A!K32</f>
        <v>8.8040429222327994</v>
      </c>
      <c r="G29" s="685">
        <f>F10A!J32</f>
        <v>69.194420790969644</v>
      </c>
      <c r="H29" s="1179"/>
      <c r="I29" s="1179">
        <f t="shared" si="0"/>
        <v>77.99846371320244</v>
      </c>
      <c r="J29" s="1179"/>
      <c r="K29" s="1179"/>
      <c r="L29" s="1179">
        <f t="shared" si="1"/>
        <v>77.99846371320244</v>
      </c>
    </row>
    <row r="30" spans="1:12" ht="14.5">
      <c r="A30" s="1417" t="s">
        <v>1057</v>
      </c>
      <c r="B30" s="1482">
        <f>F10A!C33</f>
        <v>7764.8378220000077</v>
      </c>
      <c r="C30" s="685">
        <f>F10A!D33</f>
        <v>-17.015291145792105</v>
      </c>
      <c r="D30" s="685">
        <f>F10A!E33</f>
        <v>1897.8905042999595</v>
      </c>
      <c r="E30" s="685">
        <f>F10A!L33</f>
        <v>0</v>
      </c>
      <c r="F30" s="685">
        <f>F10A!K33</f>
        <v>0.73367024351938437</v>
      </c>
      <c r="G30" s="685">
        <f>F10A!J33</f>
        <v>-14.88837975256809</v>
      </c>
      <c r="H30" s="1179"/>
      <c r="I30" s="1179">
        <f t="shared" si="0"/>
        <v>0</v>
      </c>
      <c r="J30" s="1179"/>
      <c r="K30" s="1179"/>
      <c r="L30" s="1179">
        <f t="shared" si="1"/>
        <v>0</v>
      </c>
    </row>
    <row r="31" spans="1:12" ht="14.5">
      <c r="A31" s="1419" t="s">
        <v>1450</v>
      </c>
      <c r="B31" s="1482">
        <f>F10A!C34</f>
        <v>81345.920040000012</v>
      </c>
      <c r="C31" s="685">
        <f>F10A!D34</f>
        <v>370.23565210240002</v>
      </c>
      <c r="D31" s="685">
        <f>F10A!E34</f>
        <v>222192.05903999999</v>
      </c>
      <c r="E31" s="685">
        <f>F10A!L34</f>
        <v>0</v>
      </c>
      <c r="F31" s="685">
        <f>F10A!K34</f>
        <v>101.51002925856001</v>
      </c>
      <c r="G31" s="685">
        <f>F10A!J34</f>
        <v>294.01671437566631</v>
      </c>
      <c r="H31" s="1179"/>
      <c r="I31" s="1179">
        <f t="shared" si="0"/>
        <v>395.52674363422631</v>
      </c>
      <c r="J31" s="1179"/>
      <c r="K31" s="1179"/>
      <c r="L31" s="1179">
        <f t="shared" si="1"/>
        <v>395.52674363422631</v>
      </c>
    </row>
    <row r="32" spans="1:12" ht="14.5">
      <c r="A32" s="1417" t="s">
        <v>1055</v>
      </c>
      <c r="B32" s="1482">
        <f>F10A!C35</f>
        <v>61253.477790120007</v>
      </c>
      <c r="C32" s="685">
        <f>F10A!D35</f>
        <v>209.319983377456</v>
      </c>
      <c r="D32" s="685">
        <f>F10A!E35</f>
        <v>167310.62045712001</v>
      </c>
      <c r="E32" s="685">
        <f>F10A!L35</f>
        <v>0</v>
      </c>
      <c r="F32" s="685">
        <f>F10A!K35</f>
        <v>76.4370520316957</v>
      </c>
      <c r="G32" s="685">
        <f>F10A!J35</f>
        <v>156.98998753309201</v>
      </c>
      <c r="H32" s="1179"/>
      <c r="I32" s="1179">
        <f t="shared" si="0"/>
        <v>233.42703956478772</v>
      </c>
      <c r="J32" s="1179"/>
      <c r="K32" s="1179"/>
      <c r="L32" s="1179">
        <f t="shared" si="1"/>
        <v>233.42703956478772</v>
      </c>
    </row>
    <row r="33" spans="1:12" ht="14.5">
      <c r="A33" s="1417" t="s">
        <v>1056</v>
      </c>
      <c r="B33" s="1482">
        <f>F10A!C36</f>
        <v>14642.265607200001</v>
      </c>
      <c r="C33" s="685">
        <f>F10A!D36</f>
        <v>107.84237976433597</v>
      </c>
      <c r="D33" s="685">
        <f>F10A!E36</f>
        <v>39994.570627199995</v>
      </c>
      <c r="E33" s="685">
        <f>F10A!L36</f>
        <v>0</v>
      </c>
      <c r="F33" s="685">
        <f>F10A!K36</f>
        <v>18.271805266540799</v>
      </c>
      <c r="G33" s="685">
        <f>F10A!J36</f>
        <v>90.587599002042225</v>
      </c>
      <c r="H33" s="1179"/>
      <c r="I33" s="1179">
        <f t="shared" si="0"/>
        <v>108.85940426858302</v>
      </c>
      <c r="J33" s="1179"/>
      <c r="K33" s="1179"/>
      <c r="L33" s="1179">
        <f t="shared" si="1"/>
        <v>108.85940426858302</v>
      </c>
    </row>
    <row r="34" spans="1:12" ht="14.5">
      <c r="A34" s="1417" t="s">
        <v>1057</v>
      </c>
      <c r="B34" s="1482">
        <f>F10A!C37</f>
        <v>5450.1766426799968</v>
      </c>
      <c r="C34" s="685">
        <f>F10A!D37</f>
        <v>53.073288960608075</v>
      </c>
      <c r="D34" s="685">
        <f>F10A!E37</f>
        <v>14886.867955679989</v>
      </c>
      <c r="E34" s="685">
        <f>F10A!L37</f>
        <v>0</v>
      </c>
      <c r="F34" s="685">
        <f>F10A!K37</f>
        <v>6.8011719603235159</v>
      </c>
      <c r="G34" s="685">
        <f>F10A!J37</f>
        <v>46.439127840532066</v>
      </c>
      <c r="H34" s="1179"/>
      <c r="I34" s="1179">
        <f t="shared" si="0"/>
        <v>53.240299800855581</v>
      </c>
      <c r="J34" s="1179"/>
      <c r="K34" s="1179"/>
      <c r="L34" s="1179">
        <f t="shared" si="1"/>
        <v>53.240299800855581</v>
      </c>
    </row>
    <row r="35" spans="1:12" ht="14.5">
      <c r="A35" s="1419" t="s">
        <v>1451</v>
      </c>
      <c r="B35" s="1482">
        <f>F10A!C38</f>
        <v>29580.334560000018</v>
      </c>
      <c r="C35" s="685">
        <f>F10A!D38</f>
        <v>317.34484465920002</v>
      </c>
      <c r="D35" s="685">
        <f>F10A!E38</f>
        <v>324030.08610000007</v>
      </c>
      <c r="E35" s="685">
        <f>F10A!L38</f>
        <v>0</v>
      </c>
      <c r="F35" s="685">
        <f>F10A!K38</f>
        <v>170.81014538700003</v>
      </c>
      <c r="G35" s="685">
        <f>F10A!J38</f>
        <v>265.96381258784641</v>
      </c>
      <c r="H35" s="1179"/>
      <c r="I35" s="1179">
        <f t="shared" si="0"/>
        <v>436.77395797484644</v>
      </c>
      <c r="J35" s="1179"/>
      <c r="K35" s="1179"/>
      <c r="L35" s="1179">
        <f t="shared" si="1"/>
        <v>436.77395797484644</v>
      </c>
    </row>
    <row r="36" spans="1:12" ht="14.5">
      <c r="A36" s="1417" t="s">
        <v>1055</v>
      </c>
      <c r="B36" s="1482">
        <f>F10A!C39</f>
        <v>20706.234192000011</v>
      </c>
      <c r="C36" s="685">
        <f>F10A!D39</f>
        <v>81.135212246976025</v>
      </c>
      <c r="D36" s="685">
        <f>F10A!E39</f>
        <v>71286.618942000016</v>
      </c>
      <c r="E36" s="685">
        <f>F10A!L39</f>
        <v>0</v>
      </c>
      <c r="F36" s="685">
        <f>F10A!K39</f>
        <v>37.578231985140008</v>
      </c>
      <c r="G36" s="685">
        <f>F10A!J39</f>
        <v>60.851409185232022</v>
      </c>
      <c r="H36" s="1179"/>
      <c r="I36" s="1179">
        <f t="shared" si="0"/>
        <v>98.429641170372037</v>
      </c>
      <c r="J36" s="1179"/>
      <c r="K36" s="1179"/>
      <c r="L36" s="1179">
        <f t="shared" si="1"/>
        <v>98.429641170372037</v>
      </c>
    </row>
    <row r="37" spans="1:12" ht="14.5">
      <c r="A37" s="1417" t="s">
        <v>1056</v>
      </c>
      <c r="B37" s="1482">
        <f>F10A!C40</f>
        <v>7099.2802944000041</v>
      </c>
      <c r="C37" s="685">
        <f>F10A!D40</f>
        <v>44.886427373760007</v>
      </c>
      <c r="D37" s="685">
        <f>F10A!E40</f>
        <v>55085.114637000013</v>
      </c>
      <c r="E37" s="685">
        <f>F10A!L40</f>
        <v>0</v>
      </c>
      <c r="F37" s="685">
        <f>F10A!K40</f>
        <v>29.037724715790009</v>
      </c>
      <c r="G37" s="685">
        <f>F10A!J40</f>
        <v>37.704598993958413</v>
      </c>
      <c r="H37" s="1179"/>
      <c r="I37" s="1179">
        <f t="shared" si="0"/>
        <v>66.742323709748419</v>
      </c>
      <c r="J37" s="1179"/>
      <c r="K37" s="1179"/>
      <c r="L37" s="1179">
        <f t="shared" si="1"/>
        <v>66.742323709748419</v>
      </c>
    </row>
    <row r="38" spans="1:12" ht="14.5">
      <c r="A38" s="1417" t="s">
        <v>1057</v>
      </c>
      <c r="B38" s="1482">
        <f>F10A!C41</f>
        <v>1774.8200736000026</v>
      </c>
      <c r="C38" s="685">
        <f>F10A!D41</f>
        <v>191.32320503846401</v>
      </c>
      <c r="D38" s="685">
        <f>F10A!E41</f>
        <v>197658.35252100005</v>
      </c>
      <c r="E38" s="685">
        <f>F10A!L41</f>
        <v>0</v>
      </c>
      <c r="F38" s="685">
        <f>F10A!K41</f>
        <v>104.19418868607004</v>
      </c>
      <c r="G38" s="685">
        <f>F10A!J41</f>
        <v>167.40780440865601</v>
      </c>
      <c r="H38" s="1179"/>
      <c r="I38" s="1179">
        <f t="shared" si="0"/>
        <v>271.60199309472603</v>
      </c>
      <c r="J38" s="1179"/>
      <c r="K38" s="1179"/>
      <c r="L38" s="1179">
        <f t="shared" si="1"/>
        <v>271.60199309472603</v>
      </c>
    </row>
    <row r="39" spans="1:12" ht="14.5">
      <c r="A39" s="1414" t="s">
        <v>1425</v>
      </c>
      <c r="B39" s="1482">
        <f>F10A!C42</f>
        <v>480260.21600000001</v>
      </c>
      <c r="C39" s="685">
        <f>F10A!D42</f>
        <v>2078.9129167466663</v>
      </c>
      <c r="D39" s="685">
        <f>F10A!E42</f>
        <v>1264395.4831000001</v>
      </c>
      <c r="E39" s="685">
        <f>F10A!L42</f>
        <v>0</v>
      </c>
      <c r="F39" s="685">
        <f>F10A!K42</f>
        <v>459.35626435944005</v>
      </c>
      <c r="G39" s="685">
        <f>F10A!J42</f>
        <v>1523.9280557009781</v>
      </c>
      <c r="H39" s="1179"/>
      <c r="I39" s="1179">
        <f t="shared" si="0"/>
        <v>1983.2843200604182</v>
      </c>
      <c r="J39" s="1179"/>
      <c r="K39" s="1179"/>
      <c r="L39" s="1179">
        <f t="shared" si="1"/>
        <v>1983.2843200604182</v>
      </c>
    </row>
    <row r="40" spans="1:12" ht="14.5">
      <c r="A40" s="1418"/>
      <c r="B40" s="1482">
        <f>F10A!C43</f>
        <v>0</v>
      </c>
      <c r="C40" s="685">
        <f>F10A!D43</f>
        <v>0</v>
      </c>
      <c r="D40" s="685">
        <f>F10A!E43</f>
        <v>0</v>
      </c>
      <c r="E40" s="685">
        <f>F10A!L43</f>
        <v>0</v>
      </c>
      <c r="F40" s="685">
        <f>F10A!K43</f>
        <v>0</v>
      </c>
      <c r="G40" s="685">
        <f>F10A!J43</f>
        <v>0</v>
      </c>
      <c r="H40" s="1179"/>
      <c r="I40" s="1179">
        <f t="shared" si="0"/>
        <v>0</v>
      </c>
      <c r="J40" s="1179"/>
      <c r="K40" s="1179"/>
      <c r="L40" s="1179">
        <f t="shared" si="1"/>
        <v>0</v>
      </c>
    </row>
    <row r="41" spans="1:12" ht="14.5">
      <c r="A41" s="1414" t="s">
        <v>1400</v>
      </c>
      <c r="B41" s="1482">
        <f>F10A!C44</f>
        <v>0</v>
      </c>
      <c r="C41" s="685">
        <f>F10A!D44</f>
        <v>0</v>
      </c>
      <c r="D41" s="685">
        <f>F10A!E44</f>
        <v>0</v>
      </c>
      <c r="E41" s="685">
        <f>F10A!L44</f>
        <v>0</v>
      </c>
      <c r="F41" s="685">
        <f>F10A!K44</f>
        <v>0</v>
      </c>
      <c r="G41" s="685">
        <f>F10A!J44</f>
        <v>0</v>
      </c>
      <c r="H41" s="1179"/>
      <c r="I41" s="1179">
        <f t="shared" si="0"/>
        <v>0</v>
      </c>
      <c r="J41" s="1179"/>
      <c r="K41" s="1179"/>
      <c r="L41" s="1179">
        <f t="shared" si="1"/>
        <v>0</v>
      </c>
    </row>
    <row r="42" spans="1:12" ht="14.5">
      <c r="A42" s="1414" t="s">
        <v>1404</v>
      </c>
      <c r="B42" s="1482">
        <f>F10A!C45</f>
        <v>81.75</v>
      </c>
      <c r="C42" s="685">
        <f>F10A!D45</f>
        <v>15.142749999999999</v>
      </c>
      <c r="D42" s="685">
        <f>F10A!E45</f>
        <v>5305.75</v>
      </c>
      <c r="E42" s="685">
        <f>F10A!L45</f>
        <v>0</v>
      </c>
      <c r="F42" s="685">
        <f>F10A!K45</f>
        <v>32.183864999999997</v>
      </c>
      <c r="G42" s="685">
        <f>F10A!J45</f>
        <v>0</v>
      </c>
      <c r="H42" s="1179"/>
      <c r="I42" s="1179">
        <f t="shared" si="0"/>
        <v>32.183864999999997</v>
      </c>
      <c r="J42" s="1179"/>
      <c r="K42" s="1179"/>
      <c r="L42" s="1179">
        <f t="shared" si="1"/>
        <v>32.183864999999997</v>
      </c>
    </row>
    <row r="43" spans="1:12" ht="14.5">
      <c r="A43" s="1418" t="s">
        <v>1060</v>
      </c>
      <c r="B43" s="1482">
        <f>F10A!C46</f>
        <v>15.25</v>
      </c>
      <c r="C43" s="685">
        <f>F10A!D46</f>
        <v>1.1607499999999999</v>
      </c>
      <c r="D43" s="685">
        <f>F10A!E46</f>
        <v>624.75</v>
      </c>
      <c r="E43" s="685">
        <f>F10A!L46</f>
        <v>0</v>
      </c>
      <c r="F43" s="685">
        <f>F10A!K46</f>
        <v>2.3615550000000001</v>
      </c>
      <c r="G43" s="685">
        <f>F10A!J46</f>
        <v>0</v>
      </c>
      <c r="H43" s="1179"/>
      <c r="I43" s="1179">
        <f t="shared" si="0"/>
        <v>2.3615550000000001</v>
      </c>
      <c r="J43" s="1179"/>
      <c r="K43" s="1179"/>
      <c r="L43" s="1179">
        <f t="shared" si="1"/>
        <v>2.3615550000000001</v>
      </c>
    </row>
    <row r="44" spans="1:12" ht="14.5">
      <c r="A44" s="1418" t="s">
        <v>1061</v>
      </c>
      <c r="B44" s="1482">
        <f>F10A!C47</f>
        <v>58.75</v>
      </c>
      <c r="C44" s="685">
        <f>F10A!D47</f>
        <v>10.22025</v>
      </c>
      <c r="D44" s="685">
        <f>F10A!E47</f>
        <v>3092.25</v>
      </c>
      <c r="E44" s="685">
        <f>F10A!L47</f>
        <v>0</v>
      </c>
      <c r="F44" s="685">
        <f>F10A!K47</f>
        <v>17.811360000000001</v>
      </c>
      <c r="G44" s="685">
        <f>F10A!J47</f>
        <v>0</v>
      </c>
      <c r="H44" s="1179"/>
      <c r="I44" s="1179">
        <f t="shared" si="0"/>
        <v>17.811360000000001</v>
      </c>
      <c r="J44" s="1179"/>
      <c r="K44" s="1179"/>
      <c r="L44" s="1179">
        <f t="shared" si="1"/>
        <v>17.811360000000001</v>
      </c>
    </row>
    <row r="45" spans="1:12" ht="14.5">
      <c r="A45" s="1418" t="s">
        <v>1062</v>
      </c>
      <c r="B45" s="1482">
        <f>F10A!C48</f>
        <v>7.75</v>
      </c>
      <c r="C45" s="685">
        <f>F10A!D48</f>
        <v>3.7617500000000001</v>
      </c>
      <c r="D45" s="685">
        <f>F10A!E48</f>
        <v>1588.75</v>
      </c>
      <c r="E45" s="685">
        <f>F10A!L48</f>
        <v>0</v>
      </c>
      <c r="F45" s="685">
        <f>F10A!K48</f>
        <v>12.010949999999999</v>
      </c>
      <c r="G45" s="685">
        <f>F10A!J48</f>
        <v>0</v>
      </c>
      <c r="H45" s="1179"/>
      <c r="I45" s="1179">
        <f t="shared" si="0"/>
        <v>12.010949999999999</v>
      </c>
      <c r="J45" s="1179"/>
      <c r="K45" s="1179"/>
      <c r="L45" s="1179">
        <f t="shared" si="1"/>
        <v>12.010949999999999</v>
      </c>
    </row>
    <row r="46" spans="1:12" ht="14.5">
      <c r="A46" s="1414" t="s">
        <v>476</v>
      </c>
      <c r="B46" s="1482">
        <f>F10A!C49</f>
        <v>406.6</v>
      </c>
      <c r="C46" s="685">
        <f>F10A!D49</f>
        <v>125.38751999999999</v>
      </c>
      <c r="D46" s="685">
        <f>F10A!E49</f>
        <v>45745.722000000002</v>
      </c>
      <c r="E46" s="685">
        <f>F10A!L49</f>
        <v>0</v>
      </c>
      <c r="F46" s="685">
        <f>F10A!K49</f>
        <v>13.058720640000001</v>
      </c>
      <c r="G46" s="685">
        <f>F10A!J49</f>
        <v>104.796384</v>
      </c>
      <c r="H46" s="1179"/>
      <c r="I46" s="1179">
        <f t="shared" si="0"/>
        <v>117.85510464000001</v>
      </c>
      <c r="J46" s="1179"/>
      <c r="K46" s="1179"/>
      <c r="L46" s="1179">
        <f t="shared" si="1"/>
        <v>117.85510464000001</v>
      </c>
    </row>
    <row r="47" spans="1:12" ht="14.5">
      <c r="A47" s="1414" t="s">
        <v>1063</v>
      </c>
      <c r="B47" s="1482">
        <f>F10A!C50</f>
        <v>61.8</v>
      </c>
      <c r="C47" s="685">
        <f>F10A!D50</f>
        <v>2.9145600000000003</v>
      </c>
      <c r="D47" s="685">
        <f>F10A!E50</f>
        <v>719.20200000000011</v>
      </c>
      <c r="E47" s="685">
        <f>F10A!L50</f>
        <v>0</v>
      </c>
      <c r="F47" s="685">
        <f>F10A!K50</f>
        <v>0.16476264000000002</v>
      </c>
      <c r="G47" s="685">
        <f>F10A!J50</f>
        <v>2.1859200000000003</v>
      </c>
      <c r="H47" s="1179"/>
      <c r="I47" s="1179">
        <f t="shared" si="0"/>
        <v>2.3506826400000005</v>
      </c>
      <c r="J47" s="1179"/>
      <c r="K47" s="1179"/>
      <c r="L47" s="1179">
        <f t="shared" si="1"/>
        <v>2.3506826400000005</v>
      </c>
    </row>
    <row r="48" spans="1:12" ht="14.5">
      <c r="A48" s="1417" t="s">
        <v>1452</v>
      </c>
      <c r="B48" s="1482">
        <f>F10A!C51</f>
        <v>61.8</v>
      </c>
      <c r="C48" s="685">
        <f>F10A!D51</f>
        <v>2.9145600000000003</v>
      </c>
      <c r="D48" s="685">
        <f>F10A!E51</f>
        <v>719.20200000000011</v>
      </c>
      <c r="E48" s="685">
        <f>F10A!L51</f>
        <v>0</v>
      </c>
      <c r="F48" s="685">
        <f>F10A!K51</f>
        <v>0.16476264000000002</v>
      </c>
      <c r="G48" s="685">
        <f>F10A!J51</f>
        <v>2.1859200000000003</v>
      </c>
      <c r="H48" s="1179"/>
      <c r="I48" s="1179">
        <f t="shared" si="0"/>
        <v>2.3506826400000005</v>
      </c>
      <c r="J48" s="1179"/>
      <c r="K48" s="1179"/>
      <c r="L48" s="1179">
        <f t="shared" si="1"/>
        <v>2.3506826400000005</v>
      </c>
    </row>
    <row r="49" spans="1:12" ht="14.5">
      <c r="A49" s="1417" t="s">
        <v>1453</v>
      </c>
      <c r="B49" s="1482">
        <f>F10A!C52</f>
        <v>0</v>
      </c>
      <c r="C49" s="685">
        <f>F10A!D52</f>
        <v>0</v>
      </c>
      <c r="D49" s="685">
        <f>F10A!E52</f>
        <v>0</v>
      </c>
      <c r="E49" s="685">
        <f>F10A!L52</f>
        <v>0</v>
      </c>
      <c r="F49" s="685">
        <f>F10A!K52</f>
        <v>0</v>
      </c>
      <c r="G49" s="685">
        <f>F10A!J52</f>
        <v>0</v>
      </c>
      <c r="H49" s="1179"/>
      <c r="I49" s="1179">
        <f t="shared" si="0"/>
        <v>0</v>
      </c>
      <c r="J49" s="1179"/>
      <c r="K49" s="1179"/>
      <c r="L49" s="1179">
        <f t="shared" si="1"/>
        <v>0</v>
      </c>
    </row>
    <row r="50" spans="1:12" ht="14.5">
      <c r="A50" s="1414" t="s">
        <v>1064</v>
      </c>
      <c r="B50" s="1482">
        <f>F10A!C53</f>
        <v>199</v>
      </c>
      <c r="C50" s="685">
        <f>F10A!D53</f>
        <v>29.831040000000002</v>
      </c>
      <c r="D50" s="685">
        <f>F10A!E53</f>
        <v>11057.2</v>
      </c>
      <c r="E50" s="685">
        <f>F10A!L53</f>
        <v>0</v>
      </c>
      <c r="F50" s="685">
        <f>F10A!K53</f>
        <v>3.1663800000000002</v>
      </c>
      <c r="G50" s="685">
        <f>F10A!J53</f>
        <v>23.864832</v>
      </c>
      <c r="H50" s="1179"/>
      <c r="I50" s="1179">
        <f t="shared" si="0"/>
        <v>27.031212</v>
      </c>
      <c r="J50" s="1179"/>
      <c r="K50" s="1179"/>
      <c r="L50" s="1179">
        <f t="shared" si="1"/>
        <v>27.031212</v>
      </c>
    </row>
    <row r="51" spans="1:12" ht="14.5">
      <c r="A51" s="1417" t="s">
        <v>1452</v>
      </c>
      <c r="B51" s="1482">
        <f>F10A!C54</f>
        <v>199</v>
      </c>
      <c r="C51" s="685">
        <f>F10A!D54</f>
        <v>29.831040000000002</v>
      </c>
      <c r="D51" s="685">
        <f>F10A!E54</f>
        <v>11057.2</v>
      </c>
      <c r="E51" s="685">
        <f>F10A!L54</f>
        <v>0</v>
      </c>
      <c r="F51" s="685">
        <f>F10A!K54</f>
        <v>3.1663800000000002</v>
      </c>
      <c r="G51" s="685">
        <f>F10A!J54</f>
        <v>23.864832</v>
      </c>
      <c r="H51" s="1179"/>
      <c r="I51" s="1179">
        <f t="shared" si="0"/>
        <v>27.031212</v>
      </c>
      <c r="J51" s="1179"/>
      <c r="K51" s="1179"/>
      <c r="L51" s="1179">
        <f t="shared" si="1"/>
        <v>27.031212</v>
      </c>
    </row>
    <row r="52" spans="1:12" ht="14.5">
      <c r="A52" s="1417" t="s">
        <v>1453</v>
      </c>
      <c r="B52" s="1482">
        <f>F10A!C55</f>
        <v>0</v>
      </c>
      <c r="C52" s="685">
        <f>F10A!D55</f>
        <v>0</v>
      </c>
      <c r="D52" s="685">
        <f>F10A!E55</f>
        <v>0</v>
      </c>
      <c r="E52" s="685">
        <f>F10A!L55</f>
        <v>0</v>
      </c>
      <c r="F52" s="685">
        <f>F10A!K55</f>
        <v>0</v>
      </c>
      <c r="G52" s="685">
        <f>F10A!J55</f>
        <v>0</v>
      </c>
      <c r="H52" s="1179"/>
      <c r="I52" s="1179">
        <f t="shared" si="0"/>
        <v>0</v>
      </c>
      <c r="J52" s="1179"/>
      <c r="K52" s="1179"/>
      <c r="L52" s="1179">
        <f t="shared" si="1"/>
        <v>0</v>
      </c>
    </row>
    <row r="53" spans="1:12" ht="14.5">
      <c r="A53" s="1414" t="s">
        <v>1065</v>
      </c>
      <c r="B53" s="1482">
        <f>F10A!C56</f>
        <v>145.80000000000001</v>
      </c>
      <c r="C53" s="685">
        <f>F10A!D56</f>
        <v>92.641919999999999</v>
      </c>
      <c r="D53" s="685">
        <f>F10A!E56</f>
        <v>33969.32</v>
      </c>
      <c r="E53" s="685">
        <f>F10A!L56</f>
        <v>0</v>
      </c>
      <c r="F53" s="685">
        <f>F10A!K56</f>
        <v>9.7275779999999994</v>
      </c>
      <c r="G53" s="685">
        <f>F10A!J56</f>
        <v>78.745632000000001</v>
      </c>
      <c r="H53" s="1179"/>
      <c r="I53" s="1179">
        <f t="shared" si="0"/>
        <v>88.473209999999995</v>
      </c>
      <c r="J53" s="1179"/>
      <c r="K53" s="1179"/>
      <c r="L53" s="1179">
        <f t="shared" si="1"/>
        <v>88.473209999999995</v>
      </c>
    </row>
    <row r="54" spans="1:12" ht="14.5">
      <c r="A54" s="1417" t="s">
        <v>1452</v>
      </c>
      <c r="B54" s="1482">
        <f>F10A!C57</f>
        <v>145.80000000000001</v>
      </c>
      <c r="C54" s="685">
        <f>F10A!D57</f>
        <v>92.641919999999999</v>
      </c>
      <c r="D54" s="685">
        <f>F10A!E57</f>
        <v>33969.32</v>
      </c>
      <c r="E54" s="685">
        <f>F10A!L57</f>
        <v>0</v>
      </c>
      <c r="F54" s="685">
        <f>F10A!K57</f>
        <v>9.7275779999999994</v>
      </c>
      <c r="G54" s="685">
        <f>F10A!J57</f>
        <v>78.745632000000001</v>
      </c>
      <c r="H54" s="1179"/>
      <c r="I54" s="1179">
        <f t="shared" si="0"/>
        <v>88.473209999999995</v>
      </c>
      <c r="J54" s="1179"/>
      <c r="K54" s="1179"/>
      <c r="L54" s="1179">
        <f t="shared" si="1"/>
        <v>88.473209999999995</v>
      </c>
    </row>
    <row r="55" spans="1:12" ht="14.5">
      <c r="A55" s="1417" t="s">
        <v>1453</v>
      </c>
      <c r="B55" s="1482">
        <f>F10A!C58</f>
        <v>0</v>
      </c>
      <c r="C55" s="685">
        <f>F10A!D58</f>
        <v>0</v>
      </c>
      <c r="D55" s="685">
        <f>F10A!E58</f>
        <v>0</v>
      </c>
      <c r="E55" s="685">
        <f>F10A!L58</f>
        <v>0</v>
      </c>
      <c r="F55" s="685">
        <f>F10A!K58</f>
        <v>0</v>
      </c>
      <c r="G55" s="685">
        <f>F10A!J58</f>
        <v>0</v>
      </c>
      <c r="H55" s="1179"/>
      <c r="I55" s="1179">
        <f t="shared" si="0"/>
        <v>0</v>
      </c>
      <c r="J55" s="1179"/>
      <c r="K55" s="1179"/>
      <c r="L55" s="1179">
        <f t="shared" si="1"/>
        <v>0</v>
      </c>
    </row>
    <row r="56" spans="1:12" ht="14.5">
      <c r="A56" s="1414" t="s">
        <v>1425</v>
      </c>
      <c r="B56" s="1482">
        <f>F10A!C59</f>
        <v>488.35</v>
      </c>
      <c r="C56" s="685">
        <f>F10A!D59</f>
        <v>140.53027</v>
      </c>
      <c r="D56" s="685">
        <f>F10A!E59</f>
        <v>51051.472000000002</v>
      </c>
      <c r="E56" s="685">
        <f>F10A!L59</f>
        <v>0</v>
      </c>
      <c r="F56" s="685">
        <f>F10A!K59</f>
        <v>45.242585640000001</v>
      </c>
      <c r="G56" s="685">
        <f>F10A!J59</f>
        <v>104.796384</v>
      </c>
      <c r="H56" s="1179"/>
      <c r="I56" s="1179">
        <f t="shared" si="0"/>
        <v>150.03896964</v>
      </c>
      <c r="J56" s="1179"/>
      <c r="K56" s="1179"/>
      <c r="L56" s="1179">
        <f t="shared" si="1"/>
        <v>150.03896964</v>
      </c>
    </row>
    <row r="57" spans="1:12" ht="14.5">
      <c r="A57" s="1418"/>
      <c r="B57" s="1482">
        <f>F10A!C60</f>
        <v>0</v>
      </c>
      <c r="C57" s="685">
        <f>F10A!D60</f>
        <v>0</v>
      </c>
      <c r="D57" s="685">
        <f>F10A!E60</f>
        <v>0</v>
      </c>
      <c r="E57" s="685">
        <f>F10A!L60</f>
        <v>0</v>
      </c>
      <c r="F57" s="685">
        <f>F10A!K60</f>
        <v>0</v>
      </c>
      <c r="G57" s="685">
        <f>F10A!J60</f>
        <v>0</v>
      </c>
      <c r="H57" s="1179"/>
      <c r="I57" s="1179">
        <f t="shared" si="0"/>
        <v>0</v>
      </c>
      <c r="J57" s="1179"/>
      <c r="K57" s="1179"/>
      <c r="L57" s="1179">
        <f t="shared" si="1"/>
        <v>0</v>
      </c>
    </row>
    <row r="58" spans="1:12" ht="14.5">
      <c r="A58" s="1414" t="s">
        <v>1067</v>
      </c>
      <c r="B58" s="1482">
        <f>F10A!C61</f>
        <v>0</v>
      </c>
      <c r="C58" s="685">
        <f>F10A!D61</f>
        <v>0</v>
      </c>
      <c r="D58" s="685">
        <f>F10A!E61</f>
        <v>0</v>
      </c>
      <c r="E58" s="685">
        <f>F10A!L61</f>
        <v>0</v>
      </c>
      <c r="F58" s="685">
        <f>F10A!K61</f>
        <v>0</v>
      </c>
      <c r="G58" s="685">
        <f>F10A!J61</f>
        <v>0</v>
      </c>
      <c r="H58" s="1179"/>
      <c r="I58" s="1179">
        <f t="shared" si="0"/>
        <v>0</v>
      </c>
      <c r="J58" s="1179"/>
      <c r="K58" s="1179"/>
      <c r="L58" s="1179">
        <f t="shared" si="1"/>
        <v>0</v>
      </c>
    </row>
    <row r="59" spans="1:12" ht="14.5">
      <c r="A59" s="1414" t="s">
        <v>1068</v>
      </c>
      <c r="B59" s="1482">
        <f>F10A!C62</f>
        <v>25850.344000000001</v>
      </c>
      <c r="C59" s="685">
        <f>F10A!D62</f>
        <v>205.88533333333334</v>
      </c>
      <c r="D59" s="685">
        <f>F10A!E62</f>
        <v>120232.9856</v>
      </c>
      <c r="E59" s="685">
        <f>F10A!L62</f>
        <v>0</v>
      </c>
      <c r="F59" s="685">
        <f>F10A!K62</f>
        <v>42.451492607999995</v>
      </c>
      <c r="G59" s="685">
        <f>F10A!J62</f>
        <v>171.50248266666665</v>
      </c>
      <c r="H59" s="1179"/>
      <c r="I59" s="1179">
        <f t="shared" si="0"/>
        <v>213.95397527466665</v>
      </c>
      <c r="J59" s="1179"/>
      <c r="K59" s="1179"/>
      <c r="L59" s="1179">
        <f t="shared" si="1"/>
        <v>213.95397527466665</v>
      </c>
    </row>
    <row r="60" spans="1:12" ht="14.5">
      <c r="A60" s="1418" t="s">
        <v>1069</v>
      </c>
      <c r="B60" s="1482">
        <f>F10A!C63</f>
        <v>23265.309600000001</v>
      </c>
      <c r="C60" s="685">
        <f>F10A!D63</f>
        <v>154.41399999999999</v>
      </c>
      <c r="D60" s="685">
        <f>F10A!E63</f>
        <v>108209.68704</v>
      </c>
      <c r="E60" s="685">
        <f>F10A!L63</f>
        <v>0</v>
      </c>
      <c r="F60" s="685">
        <f>F10A!K63</f>
        <v>38.206343347199997</v>
      </c>
      <c r="G60" s="685">
        <f>F10A!J63</f>
        <v>127.39154999999998</v>
      </c>
      <c r="H60" s="1179"/>
      <c r="I60" s="1179">
        <f t="shared" si="0"/>
        <v>165.59789334719997</v>
      </c>
      <c r="J60" s="1179"/>
      <c r="K60" s="1179"/>
      <c r="L60" s="1179">
        <f t="shared" si="1"/>
        <v>165.59789334719997</v>
      </c>
    </row>
    <row r="61" spans="1:12" ht="14.5">
      <c r="A61" s="1418" t="s">
        <v>1070</v>
      </c>
      <c r="B61" s="1482">
        <f>F10A!C64</f>
        <v>2326.5309600000001</v>
      </c>
      <c r="C61" s="685">
        <f>F10A!D64</f>
        <v>37.059359999999998</v>
      </c>
      <c r="D61" s="685">
        <f>F10A!E64</f>
        <v>10820.968703999999</v>
      </c>
      <c r="E61" s="685">
        <f>F10A!L64</f>
        <v>0</v>
      </c>
      <c r="F61" s="685">
        <f>F10A!K64</f>
        <v>3.8206343347200007</v>
      </c>
      <c r="G61" s="685">
        <f>F10A!J64</f>
        <v>31.500455999999996</v>
      </c>
      <c r="H61" s="1179"/>
      <c r="I61" s="1179">
        <f t="shared" si="0"/>
        <v>35.321090334719997</v>
      </c>
      <c r="J61" s="1179"/>
      <c r="K61" s="1179"/>
      <c r="L61" s="1179">
        <f t="shared" si="1"/>
        <v>35.321090334719997</v>
      </c>
    </row>
    <row r="62" spans="1:12" ht="14.5">
      <c r="A62" s="1418" t="s">
        <v>1071</v>
      </c>
      <c r="B62" s="1482">
        <f>F10A!C65</f>
        <v>258.50344000000024</v>
      </c>
      <c r="C62" s="685">
        <f>F10A!D65</f>
        <v>14.411973333333346</v>
      </c>
      <c r="D62" s="685">
        <f>F10A!E65</f>
        <v>1202.329856000001</v>
      </c>
      <c r="E62" s="685">
        <f>F10A!L65</f>
        <v>0</v>
      </c>
      <c r="F62" s="685">
        <f>F10A!K65</f>
        <v>0.42451492608000041</v>
      </c>
      <c r="G62" s="685">
        <f>F10A!J65</f>
        <v>12.610476666666678</v>
      </c>
      <c r="H62" s="1179"/>
      <c r="I62" s="1179">
        <f t="shared" si="0"/>
        <v>13.034991592746678</v>
      </c>
      <c r="J62" s="1179"/>
      <c r="K62" s="1179"/>
      <c r="L62" s="1179">
        <f t="shared" si="1"/>
        <v>13.034991592746678</v>
      </c>
    </row>
    <row r="63" spans="1:12" ht="14.5">
      <c r="A63" s="1414" t="s">
        <v>1072</v>
      </c>
      <c r="B63" s="1482">
        <f>F10A!C66</f>
        <v>3927.0315000000005</v>
      </c>
      <c r="C63" s="685">
        <f>F10A!D66</f>
        <v>62.881</v>
      </c>
      <c r="D63" s="685">
        <f>F10A!E66</f>
        <v>51913.596000000005</v>
      </c>
      <c r="E63" s="685">
        <f>F10A!L66</f>
        <v>0</v>
      </c>
      <c r="F63" s="685">
        <f>F10A!K66</f>
        <v>23.686690609200006</v>
      </c>
      <c r="G63" s="685">
        <f>F10A!J66</f>
        <v>57.3903858738</v>
      </c>
      <c r="H63" s="1179"/>
      <c r="I63" s="1179">
        <f t="shared" si="0"/>
        <v>81.077076483000013</v>
      </c>
      <c r="J63" s="1179"/>
      <c r="K63" s="1179"/>
      <c r="L63" s="1179">
        <f t="shared" si="1"/>
        <v>81.077076483000013</v>
      </c>
    </row>
    <row r="64" spans="1:12" ht="14.5">
      <c r="A64" s="1414" t="s">
        <v>1454</v>
      </c>
      <c r="B64" s="1482">
        <f>F10A!C67</f>
        <v>2748.9220500000001</v>
      </c>
      <c r="C64" s="685">
        <f>F10A!D67</f>
        <v>31.4405</v>
      </c>
      <c r="D64" s="685">
        <f>F10A!E67</f>
        <v>10901.855160000001</v>
      </c>
      <c r="E64" s="685">
        <f>F10A!L67</f>
        <v>0</v>
      </c>
      <c r="F64" s="685">
        <f>F10A!K67</f>
        <v>4.4697606156000003</v>
      </c>
      <c r="G64" s="685">
        <f>F10A!J67</f>
        <v>28.513694974799996</v>
      </c>
      <c r="H64" s="1179"/>
      <c r="I64" s="1179">
        <f t="shared" si="0"/>
        <v>32.983455590399998</v>
      </c>
      <c r="J64" s="1179"/>
      <c r="K64" s="1179"/>
      <c r="L64" s="1179">
        <f t="shared" si="1"/>
        <v>32.983455590399998</v>
      </c>
    </row>
    <row r="65" spans="1:12" ht="14.5">
      <c r="A65" s="1418" t="s">
        <v>1073</v>
      </c>
      <c r="B65" s="1482">
        <f>F10A!C68</f>
        <v>1649.3532299999999</v>
      </c>
      <c r="C65" s="685">
        <f>F10A!D68</f>
        <v>24.199000840000004</v>
      </c>
      <c r="D65" s="685">
        <f>F10A!E68</f>
        <v>6541.113096</v>
      </c>
      <c r="E65" s="685">
        <f>F10A!L68</f>
        <v>0</v>
      </c>
      <c r="F65" s="685">
        <f>F10A!K68</f>
        <v>2.6818563693599997</v>
      </c>
      <c r="G65" s="685">
        <f>F10A!J68</f>
        <v>21.779100756000002</v>
      </c>
      <c r="H65" s="1179"/>
      <c r="I65" s="1179">
        <f t="shared" si="0"/>
        <v>24.46095712536</v>
      </c>
      <c r="J65" s="1179"/>
      <c r="K65" s="1179"/>
      <c r="L65" s="1179">
        <f t="shared" si="1"/>
        <v>24.46095712536</v>
      </c>
    </row>
    <row r="66" spans="1:12" ht="14.5">
      <c r="A66" s="1418" t="s">
        <v>1074</v>
      </c>
      <c r="B66" s="1482">
        <f>F10A!C69</f>
        <v>1099.5688200000002</v>
      </c>
      <c r="C66" s="685">
        <f>F10A!D69</f>
        <v>7.2414991599999965</v>
      </c>
      <c r="D66" s="685">
        <f>F10A!E69</f>
        <v>4360.7420640000009</v>
      </c>
      <c r="E66" s="685">
        <f>F10A!L69</f>
        <v>0</v>
      </c>
      <c r="F66" s="685">
        <f>F10A!K69</f>
        <v>1.7879042462400003</v>
      </c>
      <c r="G66" s="685">
        <f>F10A!J69</f>
        <v>6.7345942187999963</v>
      </c>
      <c r="H66" s="1179"/>
      <c r="I66" s="1179">
        <f t="shared" si="0"/>
        <v>8.5224984650399964</v>
      </c>
      <c r="J66" s="1179"/>
      <c r="K66" s="1179"/>
      <c r="L66" s="1179">
        <f t="shared" si="1"/>
        <v>8.5224984650399964</v>
      </c>
    </row>
    <row r="67" spans="1:12" ht="14.5">
      <c r="A67" s="1414" t="s">
        <v>1455</v>
      </c>
      <c r="B67" s="1482">
        <f>F10A!C70</f>
        <v>1178.1094500000004</v>
      </c>
      <c r="C67" s="685">
        <f>F10A!D70</f>
        <v>31.4405</v>
      </c>
      <c r="D67" s="685">
        <f>F10A!E70</f>
        <v>41011.740840000006</v>
      </c>
      <c r="E67" s="685">
        <f>F10A!L70</f>
        <v>0</v>
      </c>
      <c r="F67" s="685">
        <f>F10A!K70</f>
        <v>19.216929993600004</v>
      </c>
      <c r="G67" s="685">
        <f>F10A!J70</f>
        <v>28.876690899000003</v>
      </c>
      <c r="H67" s="1179"/>
      <c r="I67" s="1179">
        <f t="shared" si="0"/>
        <v>48.093620892600008</v>
      </c>
      <c r="J67" s="1179"/>
      <c r="K67" s="1179"/>
      <c r="L67" s="1179">
        <f t="shared" si="1"/>
        <v>48.093620892600008</v>
      </c>
    </row>
    <row r="68" spans="1:12" ht="14.5">
      <c r="A68" s="1418" t="s">
        <v>1073</v>
      </c>
      <c r="B68" s="1482">
        <f>F10A!C71</f>
        <v>589.05472500000019</v>
      </c>
      <c r="C68" s="685">
        <f>F10A!D71</f>
        <v>12.099136700000003</v>
      </c>
      <c r="D68" s="685">
        <f>F10A!E71</f>
        <v>16404.696336000005</v>
      </c>
      <c r="E68" s="685">
        <f>F10A!L71</f>
        <v>0</v>
      </c>
      <c r="F68" s="685">
        <f>F10A!K71</f>
        <v>7.6867719974400011</v>
      </c>
      <c r="G68" s="685">
        <f>F10A!J71</f>
        <v>10.889223030000002</v>
      </c>
      <c r="H68" s="1179"/>
      <c r="I68" s="1179">
        <f t="shared" si="0"/>
        <v>18.575995027440001</v>
      </c>
      <c r="J68" s="1179"/>
      <c r="K68" s="1179"/>
      <c r="L68" s="1179">
        <f t="shared" si="1"/>
        <v>18.575995027440001</v>
      </c>
    </row>
    <row r="69" spans="1:12" ht="14.5">
      <c r="A69" s="1418" t="s">
        <v>1074</v>
      </c>
      <c r="B69" s="1482">
        <f>F10A!C72</f>
        <v>589.05472500000019</v>
      </c>
      <c r="C69" s="685">
        <f>F10A!D72</f>
        <v>19.341363299999998</v>
      </c>
      <c r="D69" s="685">
        <f>F10A!E72</f>
        <v>24607.044504000001</v>
      </c>
      <c r="E69" s="685">
        <f>F10A!L72</f>
        <v>0</v>
      </c>
      <c r="F69" s="685">
        <f>F10A!K72</f>
        <v>11.530157996160002</v>
      </c>
      <c r="G69" s="685">
        <f>F10A!J72</f>
        <v>17.987467869</v>
      </c>
      <c r="H69" s="1179"/>
      <c r="I69" s="1179">
        <f t="shared" si="0"/>
        <v>29.517625865159999</v>
      </c>
      <c r="J69" s="1179"/>
      <c r="K69" s="1179"/>
      <c r="L69" s="1179">
        <f t="shared" si="1"/>
        <v>29.517625865159999</v>
      </c>
    </row>
    <row r="70" spans="1:12" ht="14.5">
      <c r="A70" s="1414" t="s">
        <v>1425</v>
      </c>
      <c r="B70" s="1482">
        <f>F10A!C73</f>
        <v>29777.375500000002</v>
      </c>
      <c r="C70" s="685">
        <f>F10A!D73</f>
        <v>268.76633333333336</v>
      </c>
      <c r="D70" s="685">
        <f>F10A!E73</f>
        <v>172146.5816</v>
      </c>
      <c r="E70" s="685">
        <f>F10A!L73</f>
        <v>0</v>
      </c>
      <c r="F70" s="685">
        <f>F10A!K73</f>
        <v>66.138183217200009</v>
      </c>
      <c r="G70" s="685">
        <f>F10A!J73</f>
        <v>228.89286854046665</v>
      </c>
      <c r="H70" s="1179"/>
      <c r="I70" s="1179">
        <f t="shared" si="0"/>
        <v>295.03105175766666</v>
      </c>
      <c r="J70" s="1179"/>
      <c r="K70" s="1179"/>
      <c r="L70" s="1179">
        <f t="shared" si="1"/>
        <v>295.03105175766666</v>
      </c>
    </row>
    <row r="71" spans="1:12" ht="14.5">
      <c r="A71" s="1418"/>
      <c r="B71" s="1482">
        <f>F10A!C74</f>
        <v>0</v>
      </c>
      <c r="C71" s="685">
        <f>F10A!D74</f>
        <v>0</v>
      </c>
      <c r="D71" s="685">
        <f>F10A!E74</f>
        <v>0</v>
      </c>
      <c r="E71" s="685">
        <f>F10A!L74</f>
        <v>0</v>
      </c>
      <c r="F71" s="685">
        <f>F10A!K74</f>
        <v>0</v>
      </c>
      <c r="G71" s="685">
        <f>F10A!J74</f>
        <v>0</v>
      </c>
      <c r="H71" s="1179"/>
      <c r="I71" s="1179">
        <f t="shared" ref="I71:I134" si="2">MAX(SUM(F71:G71),E71)</f>
        <v>0</v>
      </c>
      <c r="J71" s="1179"/>
      <c r="K71" s="1179"/>
      <c r="L71" s="1179">
        <f t="shared" ref="L71:L134" si="3">I71+J71+K71</f>
        <v>0</v>
      </c>
    </row>
    <row r="72" spans="1:12" ht="14.5">
      <c r="A72" s="1414" t="s">
        <v>1076</v>
      </c>
      <c r="B72" s="1482">
        <f>F10A!C75</f>
        <v>0</v>
      </c>
      <c r="C72" s="685">
        <f>F10A!D75</f>
        <v>0</v>
      </c>
      <c r="D72" s="685">
        <f>F10A!E75</f>
        <v>0</v>
      </c>
      <c r="E72" s="685">
        <f>F10A!L75</f>
        <v>0</v>
      </c>
      <c r="F72" s="685">
        <f>F10A!K75</f>
        <v>0</v>
      </c>
      <c r="G72" s="685">
        <f>F10A!J75</f>
        <v>0</v>
      </c>
      <c r="H72" s="1179"/>
      <c r="I72" s="1179">
        <f t="shared" si="2"/>
        <v>0</v>
      </c>
      <c r="J72" s="1179"/>
      <c r="K72" s="1179"/>
      <c r="L72" s="1179">
        <f t="shared" si="3"/>
        <v>0</v>
      </c>
    </row>
    <row r="73" spans="1:12" ht="14.5">
      <c r="A73" s="1414" t="s">
        <v>1012</v>
      </c>
      <c r="B73" s="1482">
        <f>F10A!C76</f>
        <v>311980.08750000002</v>
      </c>
      <c r="C73" s="685">
        <f>F10A!D76</f>
        <v>2441.0003689999999</v>
      </c>
      <c r="D73" s="685">
        <f>F10A!E76</f>
        <v>1410115.0275000001</v>
      </c>
      <c r="E73" s="685">
        <f>F10A!L76</f>
        <v>0</v>
      </c>
      <c r="F73" s="685">
        <f>F10A!K76</f>
        <v>372.07773573056301</v>
      </c>
      <c r="G73" s="685">
        <f>F10A!J76</f>
        <v>49.43923599999998</v>
      </c>
      <c r="H73" s="1179"/>
      <c r="I73" s="1179">
        <f t="shared" si="2"/>
        <v>421.516971730563</v>
      </c>
      <c r="J73" s="1179"/>
      <c r="K73" s="1179"/>
      <c r="L73" s="1179">
        <f t="shared" si="3"/>
        <v>421.516971730563</v>
      </c>
    </row>
    <row r="74" spans="1:12" ht="14.5">
      <c r="A74" s="1414" t="s">
        <v>1456</v>
      </c>
      <c r="B74" s="1482">
        <f>F10A!C77</f>
        <v>289587</v>
      </c>
      <c r="C74" s="685">
        <f>F10A!D77</f>
        <v>2193.804189</v>
      </c>
      <c r="D74" s="685">
        <f>F10A!E77</f>
        <v>1329675</v>
      </c>
      <c r="E74" s="685">
        <f>F10A!L77</f>
        <v>0</v>
      </c>
      <c r="F74" s="685">
        <f>F10A!K77</f>
        <v>363.61085790884721</v>
      </c>
      <c r="G74" s="685">
        <f>F10A!J77</f>
        <v>0</v>
      </c>
      <c r="H74" s="1179"/>
      <c r="I74" s="1179">
        <f t="shared" si="2"/>
        <v>363.61085790884721</v>
      </c>
      <c r="J74" s="1179"/>
      <c r="K74" s="1179"/>
      <c r="L74" s="1179">
        <f t="shared" si="3"/>
        <v>363.61085790884721</v>
      </c>
    </row>
    <row r="75" spans="1:12" ht="14.5">
      <c r="A75" s="1418" t="s">
        <v>1077</v>
      </c>
      <c r="B75" s="1482">
        <f>F10A!C78</f>
        <v>289587</v>
      </c>
      <c r="C75" s="685">
        <f>F10A!D78</f>
        <v>2193.804189</v>
      </c>
      <c r="D75" s="685">
        <f>F10A!E78</f>
        <v>1329675</v>
      </c>
      <c r="E75" s="685">
        <f>F10A!L78</f>
        <v>0</v>
      </c>
      <c r="F75" s="685">
        <f>F10A!K78</f>
        <v>363.61085790884721</v>
      </c>
      <c r="G75" s="685">
        <f>F10A!J78</f>
        <v>0</v>
      </c>
      <c r="H75" s="1179"/>
      <c r="I75" s="1179">
        <f t="shared" si="2"/>
        <v>363.61085790884721</v>
      </c>
      <c r="J75" s="1179"/>
      <c r="K75" s="1179"/>
      <c r="L75" s="1179">
        <f t="shared" si="3"/>
        <v>363.61085790884721</v>
      </c>
    </row>
    <row r="76" spans="1:12" ht="14.5">
      <c r="A76" s="1417" t="s">
        <v>1457</v>
      </c>
      <c r="B76" s="1482">
        <f>F10A!C79</f>
        <v>0</v>
      </c>
      <c r="C76" s="685">
        <f>F10A!D79</f>
        <v>0</v>
      </c>
      <c r="D76" s="685">
        <f>F10A!E79</f>
        <v>0</v>
      </c>
      <c r="E76" s="685">
        <f>F10A!L79</f>
        <v>0</v>
      </c>
      <c r="F76" s="685">
        <f>F10A!K79</f>
        <v>0</v>
      </c>
      <c r="G76" s="685">
        <f>F10A!J79</f>
        <v>0</v>
      </c>
      <c r="H76" s="1179"/>
      <c r="I76" s="1179">
        <f t="shared" si="2"/>
        <v>0</v>
      </c>
      <c r="J76" s="1179"/>
      <c r="K76" s="1179"/>
      <c r="L76" s="1179">
        <f t="shared" si="3"/>
        <v>0</v>
      </c>
    </row>
    <row r="77" spans="1:12" ht="14.5">
      <c r="A77" s="1414" t="s">
        <v>1458</v>
      </c>
      <c r="B77" s="1482">
        <f>F10A!C80</f>
        <v>22393.087499999998</v>
      </c>
      <c r="C77" s="685">
        <f>F10A!D80</f>
        <v>247.19617999999991</v>
      </c>
      <c r="D77" s="685">
        <f>F10A!E80</f>
        <v>80440.027499999997</v>
      </c>
      <c r="E77" s="685">
        <f>F10A!L80</f>
        <v>0</v>
      </c>
      <c r="F77" s="685">
        <f>F10A!K80</f>
        <v>8.4668778217158192</v>
      </c>
      <c r="G77" s="685">
        <f>F10A!J80</f>
        <v>49.43923599999998</v>
      </c>
      <c r="H77" s="1179"/>
      <c r="I77" s="1179">
        <f t="shared" si="2"/>
        <v>57.906113821715799</v>
      </c>
      <c r="J77" s="1179"/>
      <c r="K77" s="1179"/>
      <c r="L77" s="1179">
        <f t="shared" si="3"/>
        <v>57.906113821715799</v>
      </c>
    </row>
    <row r="78" spans="1:12" ht="14.5">
      <c r="A78" s="1418" t="s">
        <v>1078</v>
      </c>
      <c r="B78" s="1482">
        <f>F10A!C81</f>
        <v>22393.087499999998</v>
      </c>
      <c r="C78" s="685">
        <f>F10A!D81</f>
        <v>247.19617999999991</v>
      </c>
      <c r="D78" s="685">
        <f>F10A!E81</f>
        <v>80440.027499999997</v>
      </c>
      <c r="E78" s="685">
        <f>F10A!L81</f>
        <v>0</v>
      </c>
      <c r="F78" s="685">
        <f>F10A!K81</f>
        <v>8.4668778217158192</v>
      </c>
      <c r="G78" s="685">
        <f>F10A!J81</f>
        <v>49.43923599999998</v>
      </c>
      <c r="H78" s="1179"/>
      <c r="I78" s="1179">
        <f t="shared" si="2"/>
        <v>57.906113821715799</v>
      </c>
      <c r="J78" s="1179"/>
      <c r="K78" s="1179"/>
      <c r="L78" s="1179">
        <f t="shared" si="3"/>
        <v>57.906113821715799</v>
      </c>
    </row>
    <row r="79" spans="1:12" ht="14.5">
      <c r="A79" s="1417" t="s">
        <v>1459</v>
      </c>
      <c r="B79" s="1482">
        <f>F10A!C82</f>
        <v>0</v>
      </c>
      <c r="C79" s="685">
        <f>F10A!D82</f>
        <v>0</v>
      </c>
      <c r="D79" s="685">
        <f>F10A!E82</f>
        <v>0</v>
      </c>
      <c r="E79" s="685">
        <f>F10A!L82</f>
        <v>0</v>
      </c>
      <c r="F79" s="685">
        <f>F10A!K82</f>
        <v>0</v>
      </c>
      <c r="G79" s="685">
        <f>F10A!J82</f>
        <v>0</v>
      </c>
      <c r="H79" s="1179"/>
      <c r="I79" s="1179">
        <f t="shared" si="2"/>
        <v>0</v>
      </c>
      <c r="J79" s="1179"/>
      <c r="K79" s="1179"/>
      <c r="L79" s="1179">
        <f t="shared" si="3"/>
        <v>0</v>
      </c>
    </row>
    <row r="80" spans="1:12" ht="14.5">
      <c r="A80" s="1414" t="s">
        <v>1460</v>
      </c>
      <c r="B80" s="1482">
        <f>F10A!C83</f>
        <v>12408.27</v>
      </c>
      <c r="C80" s="685">
        <f>F10A!D83</f>
        <v>286.47492587999994</v>
      </c>
      <c r="D80" s="685">
        <f>F10A!E83</f>
        <v>45365.774999999994</v>
      </c>
      <c r="E80" s="685">
        <f>F10A!L83</f>
        <v>0</v>
      </c>
      <c r="F80" s="685">
        <f>F10A!K83</f>
        <v>8.8679804959785518</v>
      </c>
      <c r="G80" s="685">
        <f>F10A!J83</f>
        <v>171.88495552799995</v>
      </c>
      <c r="H80" s="1179"/>
      <c r="I80" s="1179">
        <f t="shared" si="2"/>
        <v>180.75293602397849</v>
      </c>
      <c r="J80" s="1179"/>
      <c r="K80" s="1179"/>
      <c r="L80" s="1179">
        <f t="shared" si="3"/>
        <v>180.75293602397849</v>
      </c>
    </row>
    <row r="81" spans="1:12" ht="14.5">
      <c r="A81" s="1418" t="s">
        <v>1079</v>
      </c>
      <c r="B81" s="1482">
        <f>F10A!C84</f>
        <v>12408.27</v>
      </c>
      <c r="C81" s="685">
        <f>F10A!D84</f>
        <v>286.47492587999994</v>
      </c>
      <c r="D81" s="685">
        <f>F10A!E84</f>
        <v>45365.774999999994</v>
      </c>
      <c r="E81" s="685">
        <f>F10A!L84</f>
        <v>0</v>
      </c>
      <c r="F81" s="685">
        <f>F10A!K84</f>
        <v>8.8679804959785518</v>
      </c>
      <c r="G81" s="685">
        <f>F10A!J84</f>
        <v>171.88495552799995</v>
      </c>
      <c r="H81" s="1179"/>
      <c r="I81" s="1179">
        <f t="shared" si="2"/>
        <v>180.75293602397849</v>
      </c>
      <c r="J81" s="1179"/>
      <c r="K81" s="1179"/>
      <c r="L81" s="1179">
        <f t="shared" si="3"/>
        <v>180.75293602397849</v>
      </c>
    </row>
    <row r="82" spans="1:12" ht="14.5">
      <c r="A82" s="1414" t="s">
        <v>1425</v>
      </c>
      <c r="B82" s="1482">
        <f>F10A!C85</f>
        <v>324388.35750000004</v>
      </c>
      <c r="C82" s="685">
        <f>F10A!D85</f>
        <v>2727.4752948799996</v>
      </c>
      <c r="D82" s="685">
        <f>F10A!E85</f>
        <v>1455480.8025</v>
      </c>
      <c r="E82" s="685">
        <f>F10A!L85</f>
        <v>0</v>
      </c>
      <c r="F82" s="685">
        <f>F10A!K85</f>
        <v>380.94571622654155</v>
      </c>
      <c r="G82" s="685">
        <f>F10A!J85</f>
        <v>221.32419152799991</v>
      </c>
      <c r="H82" s="1179"/>
      <c r="I82" s="1179">
        <f t="shared" si="2"/>
        <v>602.26990775454146</v>
      </c>
      <c r="J82" s="1179"/>
      <c r="K82" s="1179"/>
      <c r="L82" s="1179">
        <f t="shared" si="3"/>
        <v>602.26990775454146</v>
      </c>
    </row>
    <row r="83" spans="1:12" ht="14.5">
      <c r="A83" s="1418"/>
      <c r="B83" s="1482">
        <f>F10A!C86</f>
        <v>0</v>
      </c>
      <c r="C83" s="685">
        <f>F10A!D86</f>
        <v>0</v>
      </c>
      <c r="D83" s="685">
        <f>F10A!E86</f>
        <v>0</v>
      </c>
      <c r="E83" s="685">
        <f>F10A!L86</f>
        <v>0</v>
      </c>
      <c r="F83" s="685">
        <f>F10A!K86</f>
        <v>0</v>
      </c>
      <c r="G83" s="685">
        <f>F10A!J86</f>
        <v>0</v>
      </c>
      <c r="H83" s="1179"/>
      <c r="I83" s="1179">
        <f t="shared" si="2"/>
        <v>0</v>
      </c>
      <c r="J83" s="1179"/>
      <c r="K83" s="1179"/>
      <c r="L83" s="1179">
        <f t="shared" si="3"/>
        <v>0</v>
      </c>
    </row>
    <row r="84" spans="1:12" ht="14.5">
      <c r="A84" s="1414" t="s">
        <v>1081</v>
      </c>
      <c r="B84" s="1482">
        <f>F10A!C87</f>
        <v>0</v>
      </c>
      <c r="C84" s="685">
        <f>F10A!D87</f>
        <v>0</v>
      </c>
      <c r="D84" s="685">
        <f>F10A!E87</f>
        <v>0</v>
      </c>
      <c r="E84" s="685">
        <f>F10A!L87</f>
        <v>0</v>
      </c>
      <c r="F84" s="685">
        <f>F10A!K87</f>
        <v>0</v>
      </c>
      <c r="G84" s="685">
        <f>F10A!J87</f>
        <v>0</v>
      </c>
      <c r="H84" s="1179"/>
      <c r="I84" s="1179">
        <f t="shared" si="2"/>
        <v>0</v>
      </c>
      <c r="J84" s="1179"/>
      <c r="K84" s="1179"/>
      <c r="L84" s="1179">
        <f t="shared" si="3"/>
        <v>0</v>
      </c>
    </row>
    <row r="85" spans="1:12" ht="14.5">
      <c r="A85" s="1414" t="s">
        <v>1012</v>
      </c>
      <c r="B85" s="1482">
        <f>F10A!C88</f>
        <v>20133.966200000003</v>
      </c>
      <c r="C85" s="685">
        <f>F10A!D88</f>
        <v>252.17284000000001</v>
      </c>
      <c r="D85" s="685">
        <f>F10A!E88</f>
        <v>168234.19510000001</v>
      </c>
      <c r="E85" s="685">
        <f>F10A!L88</f>
        <v>0</v>
      </c>
      <c r="F85" s="685">
        <f>F10A!K88</f>
        <v>40.024446272133751</v>
      </c>
      <c r="G85" s="685">
        <f>F10A!J88</f>
        <v>173.58591958297029</v>
      </c>
      <c r="H85" s="1179"/>
      <c r="I85" s="1179">
        <f t="shared" si="2"/>
        <v>213.61036585510405</v>
      </c>
      <c r="J85" s="1179"/>
      <c r="K85" s="1179"/>
      <c r="L85" s="1179">
        <f t="shared" si="3"/>
        <v>213.61036585510405</v>
      </c>
    </row>
    <row r="86" spans="1:12" ht="14.5">
      <c r="A86" s="1417" t="s">
        <v>1426</v>
      </c>
      <c r="B86" s="1482">
        <f>F10A!C89</f>
        <v>17522.279753663515</v>
      </c>
      <c r="C86" s="685">
        <f>F10A!D89</f>
        <v>143.17390790627829</v>
      </c>
      <c r="D86" s="685">
        <f>F10A!E89</f>
        <v>155214.23617792866</v>
      </c>
      <c r="E86" s="685">
        <f>F10A!L89</f>
        <v>0</v>
      </c>
      <c r="F86" s="685">
        <f>F10A!K89</f>
        <v>36.926879537665307</v>
      </c>
      <c r="G86" s="685">
        <f>F10A!J89</f>
        <v>96.678181313714418</v>
      </c>
      <c r="H86" s="1179"/>
      <c r="I86" s="1179">
        <f t="shared" si="2"/>
        <v>133.60506085137973</v>
      </c>
      <c r="J86" s="1179"/>
      <c r="K86" s="1179"/>
      <c r="L86" s="1179">
        <f t="shared" si="3"/>
        <v>133.60506085137973</v>
      </c>
    </row>
    <row r="87" spans="1:12" ht="14.5">
      <c r="A87" s="1417" t="s">
        <v>1427</v>
      </c>
      <c r="B87" s="1482">
        <f>F10A!C90</f>
        <v>1659.2343469603793</v>
      </c>
      <c r="C87" s="685">
        <f>F10A!D90</f>
        <v>59.313110448243378</v>
      </c>
      <c r="D87" s="685">
        <f>F10A!E90</f>
        <v>7101.1647402389808</v>
      </c>
      <c r="E87" s="685">
        <f>F10A!L90</f>
        <v>0</v>
      </c>
      <c r="F87" s="685">
        <f>F10A!K90</f>
        <v>1.6894317260906591</v>
      </c>
      <c r="G87" s="685">
        <f>F10A!J90</f>
        <v>40.599824101822591</v>
      </c>
      <c r="H87" s="1179"/>
      <c r="I87" s="1179">
        <f t="shared" si="2"/>
        <v>42.289255827913252</v>
      </c>
      <c r="J87" s="1179"/>
      <c r="K87" s="1179"/>
      <c r="L87" s="1179">
        <f t="shared" si="3"/>
        <v>42.289255827913252</v>
      </c>
    </row>
    <row r="88" spans="1:12" ht="14.5">
      <c r="A88" s="1417" t="s">
        <v>1428</v>
      </c>
      <c r="B88" s="1482">
        <f>F10A!C91</f>
        <v>952.45209937610582</v>
      </c>
      <c r="C88" s="685">
        <f>F10A!D91</f>
        <v>49.685821645478349</v>
      </c>
      <c r="D88" s="685">
        <f>F10A!E91</f>
        <v>5918.7941818323743</v>
      </c>
      <c r="E88" s="685">
        <f>F10A!L91</f>
        <v>0</v>
      </c>
      <c r="F88" s="685">
        <f>F10A!K91</f>
        <v>1.4081350083777808</v>
      </c>
      <c r="G88" s="685">
        <f>F10A!J91</f>
        <v>36.30791416743331</v>
      </c>
      <c r="H88" s="1179"/>
      <c r="I88" s="1179">
        <f t="shared" si="2"/>
        <v>37.716049175811094</v>
      </c>
      <c r="J88" s="1179"/>
      <c r="K88" s="1179"/>
      <c r="L88" s="1179">
        <f t="shared" si="3"/>
        <v>37.716049175811094</v>
      </c>
    </row>
    <row r="89" spans="1:12" ht="14.5">
      <c r="A89" s="1414" t="s">
        <v>1011</v>
      </c>
      <c r="B89" s="1482">
        <f>F10A!C92</f>
        <v>12530.7</v>
      </c>
      <c r="C89" s="685">
        <f>F10A!D92</f>
        <v>343.51519999999999</v>
      </c>
      <c r="D89" s="685">
        <f>F10A!E92</f>
        <v>202647.12300000002</v>
      </c>
      <c r="E89" s="685">
        <f>F10A!L92</f>
        <v>0</v>
      </c>
      <c r="F89" s="685">
        <f>F10A!K92</f>
        <v>51.631591981500009</v>
      </c>
      <c r="G89" s="685">
        <f>F10A!J92</f>
        <v>261.52517861220065</v>
      </c>
      <c r="H89" s="1179"/>
      <c r="I89" s="1179">
        <f t="shared" si="2"/>
        <v>313.15677059370068</v>
      </c>
      <c r="J89" s="1179"/>
      <c r="K89" s="1179"/>
      <c r="L89" s="1179">
        <f t="shared" si="3"/>
        <v>313.15677059370068</v>
      </c>
    </row>
    <row r="90" spans="1:12" ht="14.5">
      <c r="A90" s="1414" t="s">
        <v>1013</v>
      </c>
      <c r="B90" s="1482">
        <f>F10A!C93</f>
        <v>12530.7</v>
      </c>
      <c r="C90" s="685">
        <f>F10A!D93</f>
        <v>171.7576</v>
      </c>
      <c r="D90" s="685">
        <f>F10A!E93</f>
        <v>202647.12300000002</v>
      </c>
      <c r="E90" s="685">
        <f>F10A!L93</f>
        <v>0</v>
      </c>
      <c r="F90" s="685">
        <f>F10A!K93</f>
        <v>51.631591981500009</v>
      </c>
      <c r="G90" s="685">
        <f>F10A!J93</f>
        <v>130.48267687629109</v>
      </c>
      <c r="H90" s="1179"/>
      <c r="I90" s="1179">
        <f t="shared" si="2"/>
        <v>182.1142688577911</v>
      </c>
      <c r="J90" s="1179"/>
      <c r="K90" s="1179"/>
      <c r="L90" s="1179">
        <f t="shared" si="3"/>
        <v>182.1142688577911</v>
      </c>
    </row>
    <row r="91" spans="1:12" ht="14.5">
      <c r="A91" s="1419" t="s">
        <v>1426</v>
      </c>
      <c r="B91" s="1482">
        <f>F10A!C94</f>
        <v>7868.9923346490568</v>
      </c>
      <c r="C91" s="685">
        <f>F10A!D94</f>
        <v>58.155758892479767</v>
      </c>
      <c r="D91" s="685">
        <f>F10A!E94</f>
        <v>141597.25876453603</v>
      </c>
      <c r="E91" s="685">
        <f>F10A!L94</f>
        <v>0</v>
      </c>
      <c r="F91" s="685">
        <f>F10A!K94</f>
        <v>36.076958715221437</v>
      </c>
      <c r="G91" s="685">
        <f>F10A!J94</f>
        <v>42.565058225101879</v>
      </c>
      <c r="H91" s="1179"/>
      <c r="I91" s="1179">
        <f t="shared" si="2"/>
        <v>78.642016940323316</v>
      </c>
      <c r="J91" s="1179"/>
      <c r="K91" s="1179"/>
      <c r="L91" s="1179">
        <f t="shared" si="3"/>
        <v>78.642016940323316</v>
      </c>
    </row>
    <row r="92" spans="1:12" ht="14.5">
      <c r="A92" s="1417" t="s">
        <v>1430</v>
      </c>
      <c r="B92" s="1482">
        <f>F10A!C95</f>
        <v>1543.0451975740364</v>
      </c>
      <c r="C92" s="685">
        <f>F10A!D95</f>
        <v>11.403869854489644</v>
      </c>
      <c r="D92" s="685">
        <f>F10A!E95</f>
        <v>27766.067221110054</v>
      </c>
      <c r="E92" s="685">
        <f>F10A!L95</f>
        <v>0</v>
      </c>
      <c r="F92" s="685">
        <f>F10A!K95</f>
        <v>7.074397269835683</v>
      </c>
      <c r="G92" s="685">
        <f>F10A!J95</f>
        <v>7.0761012447108245</v>
      </c>
      <c r="H92" s="1179"/>
      <c r="I92" s="1179">
        <f t="shared" si="2"/>
        <v>14.150498514546507</v>
      </c>
      <c r="J92" s="1179"/>
      <c r="K92" s="1179"/>
      <c r="L92" s="1179">
        <f t="shared" si="3"/>
        <v>14.150498514546507</v>
      </c>
    </row>
    <row r="93" spans="1:12" ht="14.5">
      <c r="A93" s="1417" t="s">
        <v>1431</v>
      </c>
      <c r="B93" s="1482">
        <f>F10A!C96</f>
        <v>3327.9218835574566</v>
      </c>
      <c r="C93" s="685">
        <f>F10A!D96</f>
        <v>24.594994434164231</v>
      </c>
      <c r="D93" s="685">
        <f>F10A!E96</f>
        <v>59883.730477069155</v>
      </c>
      <c r="E93" s="685">
        <f>F10A!L96</f>
        <v>0</v>
      </c>
      <c r="F93" s="685">
        <f>F10A!K96</f>
        <v>15.257519043693264</v>
      </c>
      <c r="G93" s="685">
        <f>F10A!J96</f>
        <v>17.954345936939887</v>
      </c>
      <c r="H93" s="1179"/>
      <c r="I93" s="1179">
        <f t="shared" si="2"/>
        <v>33.211864980633152</v>
      </c>
      <c r="J93" s="1179"/>
      <c r="K93" s="1179"/>
      <c r="L93" s="1179">
        <f t="shared" si="3"/>
        <v>33.211864980633152</v>
      </c>
    </row>
    <row r="94" spans="1:12" ht="14.5">
      <c r="A94" s="1417" t="s">
        <v>1432</v>
      </c>
      <c r="B94" s="1482">
        <f>F10A!C97</f>
        <v>1680.6453797613033</v>
      </c>
      <c r="C94" s="685">
        <f>F10A!D97</f>
        <v>12.420803494596038</v>
      </c>
      <c r="D94" s="685">
        <f>F10A!E97</f>
        <v>30242.090550987486</v>
      </c>
      <c r="E94" s="685">
        <f>F10A!L97</f>
        <v>0</v>
      </c>
      <c r="F94" s="685">
        <f>F10A!K97</f>
        <v>7.705252642526597</v>
      </c>
      <c r="G94" s="685">
        <f>F10A!J97</f>
        <v>10.427264533713373</v>
      </c>
      <c r="H94" s="1179"/>
      <c r="I94" s="1179">
        <f t="shared" si="2"/>
        <v>18.132517176239972</v>
      </c>
      <c r="J94" s="1179"/>
      <c r="K94" s="1179"/>
      <c r="L94" s="1179">
        <f t="shared" si="3"/>
        <v>18.132517176239972</v>
      </c>
    </row>
    <row r="95" spans="1:12" ht="14.5">
      <c r="A95" s="1417" t="s">
        <v>1433</v>
      </c>
      <c r="B95" s="1482">
        <f>F10A!C98</f>
        <v>1317.3798737562608</v>
      </c>
      <c r="C95" s="685">
        <f>F10A!D98</f>
        <v>9.7360911092298537</v>
      </c>
      <c r="D95" s="685">
        <f>F10A!E98</f>
        <v>23705.370515369341</v>
      </c>
      <c r="E95" s="685">
        <f>F10A!L98</f>
        <v>0</v>
      </c>
      <c r="F95" s="685">
        <f>F10A!K98</f>
        <v>6.0397897591658882</v>
      </c>
      <c r="G95" s="685">
        <f>F10A!J98</f>
        <v>7.107346509737793</v>
      </c>
      <c r="H95" s="1179"/>
      <c r="I95" s="1179">
        <f t="shared" si="2"/>
        <v>13.147136268903681</v>
      </c>
      <c r="J95" s="1179"/>
      <c r="K95" s="1179"/>
      <c r="L95" s="1179">
        <f t="shared" si="3"/>
        <v>13.147136268903681</v>
      </c>
    </row>
    <row r="96" spans="1:12" ht="14.5">
      <c r="A96" s="1419" t="s">
        <v>1427</v>
      </c>
      <c r="B96" s="1482">
        <f>F10A!C99</f>
        <v>2365.800799411516</v>
      </c>
      <c r="C96" s="685">
        <f>F10A!D99</f>
        <v>41.156733226960164</v>
      </c>
      <c r="D96" s="685">
        <f>F10A!E99</f>
        <v>27822.467984146035</v>
      </c>
      <c r="E96" s="685">
        <f>F10A!L99</f>
        <v>0</v>
      </c>
      <c r="F96" s="685">
        <f>F10A!K99</f>
        <v>7.0887673785320633</v>
      </c>
      <c r="G96" s="685">
        <f>F10A!J99</f>
        <v>30.535867316030789</v>
      </c>
      <c r="H96" s="1179"/>
      <c r="I96" s="1179">
        <f t="shared" si="2"/>
        <v>37.62463469456285</v>
      </c>
      <c r="J96" s="1179"/>
      <c r="K96" s="1179"/>
      <c r="L96" s="1179">
        <f t="shared" si="3"/>
        <v>37.62463469456285</v>
      </c>
    </row>
    <row r="97" spans="1:12" ht="14.5">
      <c r="A97" s="1417" t="s">
        <v>1430</v>
      </c>
      <c r="B97" s="1482">
        <f>F10A!C100</f>
        <v>463.91423535572216</v>
      </c>
      <c r="C97" s="685">
        <f>F10A!D100</f>
        <v>8.0704996081977942</v>
      </c>
      <c r="D97" s="685">
        <f>F10A!E100</f>
        <v>5455.7589818148654</v>
      </c>
      <c r="E97" s="685">
        <f>F10A!L100</f>
        <v>0</v>
      </c>
      <c r="F97" s="685">
        <f>F10A!K100</f>
        <v>1.3900494491524016</v>
      </c>
      <c r="G97" s="685">
        <f>F10A!J100</f>
        <v>5.0763442535564121</v>
      </c>
      <c r="H97" s="1179"/>
      <c r="I97" s="1179">
        <f t="shared" si="2"/>
        <v>6.4663937027088139</v>
      </c>
      <c r="J97" s="1179"/>
      <c r="K97" s="1179"/>
      <c r="L97" s="1179">
        <f t="shared" si="3"/>
        <v>6.4663937027088139</v>
      </c>
    </row>
    <row r="98" spans="1:12" ht="14.5">
      <c r="A98" s="1417" t="s">
        <v>1431</v>
      </c>
      <c r="B98" s="1482">
        <f>F10A!C101</f>
        <v>1000.5347467212191</v>
      </c>
      <c r="C98" s="685">
        <f>F10A!D101</f>
        <v>17.405836393897758</v>
      </c>
      <c r="D98" s="685">
        <f>F10A!E101</f>
        <v>11766.56376335709</v>
      </c>
      <c r="E98" s="685">
        <f>F10A!L101</f>
        <v>0</v>
      </c>
      <c r="F98" s="685">
        <f>F10A!K101</f>
        <v>2.997952353135338</v>
      </c>
      <c r="G98" s="685">
        <f>F10A!J101</f>
        <v>12.880318931484343</v>
      </c>
      <c r="H98" s="1179"/>
      <c r="I98" s="1179">
        <f t="shared" si="2"/>
        <v>15.878271284619681</v>
      </c>
      <c r="J98" s="1179"/>
      <c r="K98" s="1179"/>
      <c r="L98" s="1179">
        <f t="shared" si="3"/>
        <v>15.878271284619681</v>
      </c>
    </row>
    <row r="99" spans="1:12" ht="14.5">
      <c r="A99" s="1417" t="s">
        <v>1432</v>
      </c>
      <c r="B99" s="1482">
        <f>F10A!C102</f>
        <v>505.28352473530373</v>
      </c>
      <c r="C99" s="685">
        <f>F10A!D102</f>
        <v>8.7901818431551408</v>
      </c>
      <c r="D99" s="685">
        <f>F10A!E102</f>
        <v>5942.2732012608085</v>
      </c>
      <c r="E99" s="685">
        <f>F10A!L102</f>
        <v>0</v>
      </c>
      <c r="F99" s="685">
        <f>F10A!K102</f>
        <v>1.5140063220640929</v>
      </c>
      <c r="G99" s="685">
        <f>F10A!J102</f>
        <v>7.4804447485250254</v>
      </c>
      <c r="H99" s="1179"/>
      <c r="I99" s="1179">
        <f t="shared" si="2"/>
        <v>8.9944510705891183</v>
      </c>
      <c r="J99" s="1179"/>
      <c r="K99" s="1179"/>
      <c r="L99" s="1179">
        <f t="shared" si="3"/>
        <v>8.9944510705891183</v>
      </c>
    </row>
    <row r="100" spans="1:12" ht="14.5">
      <c r="A100" s="1417" t="s">
        <v>1433</v>
      </c>
      <c r="B100" s="1482">
        <f>F10A!C103</f>
        <v>396.0682925992711</v>
      </c>
      <c r="C100" s="685">
        <f>F10A!D103</f>
        <v>6.8902153817094769</v>
      </c>
      <c r="D100" s="685">
        <f>F10A!E103</f>
        <v>4657.8720377132713</v>
      </c>
      <c r="E100" s="685">
        <f>F10A!L103</f>
        <v>0</v>
      </c>
      <c r="F100" s="685">
        <f>F10A!K103</f>
        <v>1.1867592541802312</v>
      </c>
      <c r="G100" s="685">
        <f>F10A!J103</f>
        <v>5.0987593824650137</v>
      </c>
      <c r="H100" s="1179"/>
      <c r="I100" s="1179">
        <f t="shared" si="2"/>
        <v>6.2855186366452447</v>
      </c>
      <c r="J100" s="1179"/>
      <c r="K100" s="1179"/>
      <c r="L100" s="1179">
        <f t="shared" si="3"/>
        <v>6.2855186366452447</v>
      </c>
    </row>
    <row r="101" spans="1:12" ht="14.5">
      <c r="A101" s="1419" t="s">
        <v>1428</v>
      </c>
      <c r="B101" s="1482">
        <f>F10A!C104</f>
        <v>2295.9068659394279</v>
      </c>
      <c r="C101" s="685">
        <f>F10A!D104</f>
        <v>72.445107880560073</v>
      </c>
      <c r="D101" s="685">
        <f>F10A!E104</f>
        <v>33227.39625131795</v>
      </c>
      <c r="E101" s="685">
        <f>F10A!L104</f>
        <v>0</v>
      </c>
      <c r="F101" s="685">
        <f>F10A!K104</f>
        <v>8.4658658877465101</v>
      </c>
      <c r="G101" s="685">
        <f>F10A!J104</f>
        <v>57.381751335158427</v>
      </c>
      <c r="H101" s="1179"/>
      <c r="I101" s="1179">
        <f t="shared" si="2"/>
        <v>65.847617222904944</v>
      </c>
      <c r="J101" s="1179"/>
      <c r="K101" s="1179"/>
      <c r="L101" s="1179">
        <f t="shared" si="3"/>
        <v>65.847617222904944</v>
      </c>
    </row>
    <row r="102" spans="1:12" ht="14.5">
      <c r="A102" s="1417" t="s">
        <v>1430</v>
      </c>
      <c r="B102" s="1482">
        <f>F10A!C105</f>
        <v>450.208605232183</v>
      </c>
      <c r="C102" s="685">
        <f>F10A!D105</f>
        <v>14.205894611259223</v>
      </c>
      <c r="D102" s="685">
        <f>F10A!E105</f>
        <v>6515.6213188473412</v>
      </c>
      <c r="E102" s="685">
        <f>F10A!L105</f>
        <v>0</v>
      </c>
      <c r="F102" s="685">
        <f>F10A!K105</f>
        <v>1.6600872317377475</v>
      </c>
      <c r="G102" s="685">
        <f>F10A!J105</f>
        <v>9.5392582314605683</v>
      </c>
      <c r="H102" s="1179"/>
      <c r="I102" s="1179">
        <f t="shared" si="2"/>
        <v>11.199345463198316</v>
      </c>
      <c r="J102" s="1179"/>
      <c r="K102" s="1179"/>
      <c r="L102" s="1179">
        <f t="shared" si="3"/>
        <v>11.199345463198316</v>
      </c>
    </row>
    <row r="103" spans="1:12" ht="14.5">
      <c r="A103" s="1417" t="s">
        <v>1431</v>
      </c>
      <c r="B103" s="1482">
        <f>F10A!C106</f>
        <v>970.97549175721679</v>
      </c>
      <c r="C103" s="685">
        <f>F10A!D106</f>
        <v>30.638187155274288</v>
      </c>
      <c r="D103" s="685">
        <f>F10A!E106</f>
        <v>14052.393802888053</v>
      </c>
      <c r="E103" s="685">
        <f>F10A!L106</f>
        <v>0</v>
      </c>
      <c r="F103" s="685">
        <f>F10A!K106</f>
        <v>3.580349192492978</v>
      </c>
      <c r="G103" s="685">
        <f>F10A!J106</f>
        <v>24.204167852666689</v>
      </c>
      <c r="H103" s="1179"/>
      <c r="I103" s="1179">
        <f t="shared" si="2"/>
        <v>27.784517045159667</v>
      </c>
      <c r="J103" s="1179"/>
      <c r="K103" s="1179"/>
      <c r="L103" s="1179">
        <f t="shared" si="3"/>
        <v>27.784517045159667</v>
      </c>
    </row>
    <row r="104" spans="1:12" ht="14.5">
      <c r="A104" s="1417" t="s">
        <v>1432</v>
      </c>
      <c r="B104" s="1482">
        <f>F10A!C107</f>
        <v>490.3557028023767</v>
      </c>
      <c r="C104" s="685">
        <f>F10A!D107</f>
        <v>15.472697223208375</v>
      </c>
      <c r="D104" s="685">
        <f>F10A!E107</f>
        <v>7096.64816235535</v>
      </c>
      <c r="E104" s="685">
        <f>F10A!L107</f>
        <v>0</v>
      </c>
      <c r="F104" s="685">
        <f>F10A!K107</f>
        <v>1.8081245710801097</v>
      </c>
      <c r="G104" s="685">
        <f>F10A!J107</f>
        <v>14.056945427284807</v>
      </c>
      <c r="H104" s="1179"/>
      <c r="I104" s="1179">
        <f t="shared" si="2"/>
        <v>15.865069998364916</v>
      </c>
      <c r="J104" s="1179"/>
      <c r="K104" s="1179"/>
      <c r="L104" s="1179">
        <f t="shared" si="3"/>
        <v>15.865069998364916</v>
      </c>
    </row>
    <row r="105" spans="1:12" ht="14.5">
      <c r="A105" s="1417" t="s">
        <v>1433</v>
      </c>
      <c r="B105" s="1482">
        <f>F10A!C108</f>
        <v>384.36706614765143</v>
      </c>
      <c r="C105" s="685">
        <f>F10A!D108</f>
        <v>12.128328890818175</v>
      </c>
      <c r="D105" s="685">
        <f>F10A!E108</f>
        <v>5562.7329672272072</v>
      </c>
      <c r="E105" s="685">
        <f>F10A!L108</f>
        <v>0</v>
      </c>
      <c r="F105" s="685">
        <f>F10A!K108</f>
        <v>1.417304892435675</v>
      </c>
      <c r="G105" s="685">
        <f>F10A!J108</f>
        <v>9.5813798237463583</v>
      </c>
      <c r="H105" s="1179"/>
      <c r="I105" s="1179">
        <f t="shared" si="2"/>
        <v>10.998684716182034</v>
      </c>
      <c r="J105" s="1179"/>
      <c r="K105" s="1179"/>
      <c r="L105" s="1179">
        <f t="shared" si="3"/>
        <v>10.998684716182034</v>
      </c>
    </row>
    <row r="106" spans="1:12" ht="14.5">
      <c r="A106" s="1414" t="s">
        <v>1014</v>
      </c>
      <c r="B106" s="1482">
        <f>F10A!C109</f>
        <v>12530.7</v>
      </c>
      <c r="C106" s="685">
        <f>F10A!D109</f>
        <v>171.7576</v>
      </c>
      <c r="D106" s="685">
        <f>F10A!E109</f>
        <v>202647.12300000002</v>
      </c>
      <c r="E106" s="685">
        <f>F10A!L109</f>
        <v>0</v>
      </c>
      <c r="F106" s="685">
        <f>F10A!K109</f>
        <v>0</v>
      </c>
      <c r="G106" s="685">
        <f>F10A!J109</f>
        <v>131.04250173590952</v>
      </c>
      <c r="H106" s="1179"/>
      <c r="I106" s="1179">
        <f t="shared" si="2"/>
        <v>131.04250173590952</v>
      </c>
      <c r="J106" s="1179"/>
      <c r="K106" s="1179"/>
      <c r="L106" s="1179">
        <f t="shared" si="3"/>
        <v>131.04250173590952</v>
      </c>
    </row>
    <row r="107" spans="1:12" ht="14.5">
      <c r="A107" s="1419" t="s">
        <v>1426</v>
      </c>
      <c r="B107" s="1482">
        <f>F10A!C110</f>
        <v>7868.9923346490568</v>
      </c>
      <c r="C107" s="685">
        <f>F10A!D110</f>
        <v>58.155758892479767</v>
      </c>
      <c r="D107" s="685">
        <f>F10A!E110</f>
        <v>141597.25876453603</v>
      </c>
      <c r="E107" s="685">
        <f>F10A!L110</f>
        <v>0</v>
      </c>
      <c r="F107" s="685">
        <f>F10A!K110</f>
        <v>0</v>
      </c>
      <c r="G107" s="685">
        <f>F10A!J110</f>
        <v>42.74767999770782</v>
      </c>
      <c r="H107" s="1179"/>
      <c r="I107" s="1179">
        <f t="shared" si="2"/>
        <v>42.74767999770782</v>
      </c>
      <c r="J107" s="1179"/>
      <c r="K107" s="1179"/>
      <c r="L107" s="1179">
        <f t="shared" si="3"/>
        <v>42.74767999770782</v>
      </c>
    </row>
    <row r="108" spans="1:12" ht="14.5">
      <c r="A108" s="1417" t="s">
        <v>1430</v>
      </c>
      <c r="B108" s="1482">
        <f>F10A!C111</f>
        <v>1543.0451975740364</v>
      </c>
      <c r="C108" s="685">
        <f>F10A!D111</f>
        <v>11.403869854489644</v>
      </c>
      <c r="D108" s="685">
        <f>F10A!E111</f>
        <v>27766.067221110054</v>
      </c>
      <c r="E108" s="685">
        <f>F10A!L111</f>
        <v>0</v>
      </c>
      <c r="F108" s="685">
        <f>F10A!K111</f>
        <v>0</v>
      </c>
      <c r="G108" s="685">
        <f>F10A!J111</f>
        <v>8.3248249937774403</v>
      </c>
      <c r="H108" s="1179"/>
      <c r="I108" s="1179">
        <f t="shared" si="2"/>
        <v>8.3248249937774403</v>
      </c>
      <c r="J108" s="1179"/>
      <c r="K108" s="1179"/>
      <c r="L108" s="1179">
        <f t="shared" si="3"/>
        <v>8.3248249937774403</v>
      </c>
    </row>
    <row r="109" spans="1:12" ht="14.5">
      <c r="A109" s="1417" t="s">
        <v>1431</v>
      </c>
      <c r="B109" s="1482">
        <f>F10A!C112</f>
        <v>3327.9218835574566</v>
      </c>
      <c r="C109" s="685">
        <f>F10A!D112</f>
        <v>24.594994434164231</v>
      </c>
      <c r="D109" s="685">
        <f>F10A!E112</f>
        <v>59883.730477069155</v>
      </c>
      <c r="E109" s="685">
        <f>F10A!L112</f>
        <v>0</v>
      </c>
      <c r="F109" s="685">
        <f>F10A!K112</f>
        <v>0</v>
      </c>
      <c r="G109" s="685">
        <f>F10A!J112</f>
        <v>17.954345936939887</v>
      </c>
      <c r="H109" s="1179"/>
      <c r="I109" s="1179">
        <f t="shared" si="2"/>
        <v>17.954345936939887</v>
      </c>
      <c r="J109" s="1179"/>
      <c r="K109" s="1179"/>
      <c r="L109" s="1179">
        <f t="shared" si="3"/>
        <v>17.954345936939887</v>
      </c>
    </row>
    <row r="110" spans="1:12" ht="14.5">
      <c r="A110" s="1417" t="s">
        <v>1432</v>
      </c>
      <c r="B110" s="1482">
        <f>F10A!C113</f>
        <v>1680.6453797613033</v>
      </c>
      <c r="C110" s="685">
        <f>F10A!D113</f>
        <v>12.420803494596038</v>
      </c>
      <c r="D110" s="685">
        <f>F10A!E113</f>
        <v>30242.090550987486</v>
      </c>
      <c r="E110" s="685">
        <f>F10A!L113</f>
        <v>0</v>
      </c>
      <c r="F110" s="685">
        <f>F10A!K113</f>
        <v>0</v>
      </c>
      <c r="G110" s="685">
        <f>F10A!J113</f>
        <v>10.427264533713373</v>
      </c>
      <c r="H110" s="1179"/>
      <c r="I110" s="1179">
        <f t="shared" si="2"/>
        <v>10.427264533713373</v>
      </c>
      <c r="J110" s="1179"/>
      <c r="K110" s="1179"/>
      <c r="L110" s="1179">
        <f t="shared" si="3"/>
        <v>10.427264533713373</v>
      </c>
    </row>
    <row r="111" spans="1:12" ht="14.5">
      <c r="A111" s="1417" t="s">
        <v>1433</v>
      </c>
      <c r="B111" s="1482">
        <f>F10A!C114</f>
        <v>1317.3798737562608</v>
      </c>
      <c r="C111" s="685">
        <f>F10A!D114</f>
        <v>9.7360911092298537</v>
      </c>
      <c r="D111" s="685">
        <f>F10A!E114</f>
        <v>23705.370515369341</v>
      </c>
      <c r="E111" s="685">
        <f>F10A!L114</f>
        <v>0</v>
      </c>
      <c r="F111" s="685">
        <f>F10A!K114</f>
        <v>0</v>
      </c>
      <c r="G111" s="685">
        <f>F10A!J114</f>
        <v>6.0412445332771245</v>
      </c>
      <c r="H111" s="1179"/>
      <c r="I111" s="1179">
        <f t="shared" si="2"/>
        <v>6.0412445332771245</v>
      </c>
      <c r="J111" s="1179"/>
      <c r="K111" s="1179"/>
      <c r="L111" s="1179">
        <f t="shared" si="3"/>
        <v>6.0412445332771245</v>
      </c>
    </row>
    <row r="112" spans="1:12" ht="14.5">
      <c r="A112" s="1419" t="s">
        <v>1427</v>
      </c>
      <c r="B112" s="1482">
        <f>F10A!C115</f>
        <v>2365.800799411516</v>
      </c>
      <c r="C112" s="685">
        <f>F10A!D115</f>
        <v>41.156733226960164</v>
      </c>
      <c r="D112" s="685">
        <f>F10A!E115</f>
        <v>27822.467984146035</v>
      </c>
      <c r="E112" s="685">
        <f>F10A!L115</f>
        <v>0</v>
      </c>
      <c r="F112" s="685">
        <f>F10A!K115</f>
        <v>0</v>
      </c>
      <c r="G112" s="685">
        <f>F10A!J115</f>
        <v>30.666878865171</v>
      </c>
      <c r="H112" s="1179"/>
      <c r="I112" s="1179">
        <f t="shared" si="2"/>
        <v>30.666878865171</v>
      </c>
      <c r="J112" s="1179"/>
      <c r="K112" s="1179"/>
      <c r="L112" s="1179">
        <f t="shared" si="3"/>
        <v>30.666878865171</v>
      </c>
    </row>
    <row r="113" spans="1:12" ht="14.5">
      <c r="A113" s="1417" t="s">
        <v>1430</v>
      </c>
      <c r="B113" s="1482">
        <f>F10A!C116</f>
        <v>463.91423535572216</v>
      </c>
      <c r="C113" s="685">
        <f>F10A!D116</f>
        <v>8.0704996081977942</v>
      </c>
      <c r="D113" s="685">
        <f>F10A!E116</f>
        <v>5455.7589818148654</v>
      </c>
      <c r="E113" s="685">
        <f>F10A!L116</f>
        <v>0</v>
      </c>
      <c r="F113" s="685">
        <f>F10A!K116</f>
        <v>0</v>
      </c>
      <c r="G113" s="685">
        <f>F10A!J116</f>
        <v>5.9721697100663684</v>
      </c>
      <c r="H113" s="1179"/>
      <c r="I113" s="1179">
        <f t="shared" si="2"/>
        <v>5.9721697100663684</v>
      </c>
      <c r="J113" s="1179"/>
      <c r="K113" s="1179"/>
      <c r="L113" s="1179">
        <f t="shared" si="3"/>
        <v>5.9721697100663684</v>
      </c>
    </row>
    <row r="114" spans="1:12" ht="14.5">
      <c r="A114" s="1417" t="s">
        <v>1431</v>
      </c>
      <c r="B114" s="1482">
        <f>F10A!C117</f>
        <v>1000.5347467212191</v>
      </c>
      <c r="C114" s="685">
        <f>F10A!D117</f>
        <v>17.405836393897758</v>
      </c>
      <c r="D114" s="685">
        <f>F10A!E117</f>
        <v>11766.56376335709</v>
      </c>
      <c r="E114" s="685">
        <f>F10A!L117</f>
        <v>0</v>
      </c>
      <c r="F114" s="685">
        <f>F10A!K117</f>
        <v>0</v>
      </c>
      <c r="G114" s="685">
        <f>F10A!J117</f>
        <v>12.880318931484343</v>
      </c>
      <c r="H114" s="1179"/>
      <c r="I114" s="1179">
        <f t="shared" si="2"/>
        <v>12.880318931484343</v>
      </c>
      <c r="J114" s="1179"/>
      <c r="K114" s="1179"/>
      <c r="L114" s="1179">
        <f t="shared" si="3"/>
        <v>12.880318931484343</v>
      </c>
    </row>
    <row r="115" spans="1:12" ht="14.5">
      <c r="A115" s="1417" t="s">
        <v>1432</v>
      </c>
      <c r="B115" s="1482">
        <f>F10A!C118</f>
        <v>505.28352473530373</v>
      </c>
      <c r="C115" s="685">
        <f>F10A!D118</f>
        <v>8.7901818431551408</v>
      </c>
      <c r="D115" s="685">
        <f>F10A!E118</f>
        <v>5942.2732012608085</v>
      </c>
      <c r="E115" s="685">
        <f>F10A!L118</f>
        <v>0</v>
      </c>
      <c r="F115" s="685">
        <f>F10A!K118</f>
        <v>0</v>
      </c>
      <c r="G115" s="685">
        <f>F10A!J118</f>
        <v>7.4804447485250254</v>
      </c>
      <c r="H115" s="1179"/>
      <c r="I115" s="1179">
        <f t="shared" si="2"/>
        <v>7.4804447485250254</v>
      </c>
      <c r="J115" s="1179"/>
      <c r="K115" s="1179"/>
      <c r="L115" s="1179">
        <f t="shared" si="3"/>
        <v>7.4804447485250254</v>
      </c>
    </row>
    <row r="116" spans="1:12" ht="14.5">
      <c r="A116" s="1417" t="s">
        <v>1433</v>
      </c>
      <c r="B116" s="1482">
        <f>F10A!C119</f>
        <v>396.0682925992711</v>
      </c>
      <c r="C116" s="685">
        <f>F10A!D119</f>
        <v>6.8902153817094769</v>
      </c>
      <c r="D116" s="685">
        <f>F10A!E119</f>
        <v>4657.8720377132713</v>
      </c>
      <c r="E116" s="685">
        <f>F10A!L119</f>
        <v>0</v>
      </c>
      <c r="F116" s="685">
        <f>F10A!K119</f>
        <v>0</v>
      </c>
      <c r="G116" s="685">
        <f>F10A!J119</f>
        <v>4.3339454750952608</v>
      </c>
      <c r="H116" s="1179"/>
      <c r="I116" s="1179">
        <f t="shared" si="2"/>
        <v>4.3339454750952608</v>
      </c>
      <c r="J116" s="1179"/>
      <c r="K116" s="1179"/>
      <c r="L116" s="1179">
        <f t="shared" si="3"/>
        <v>4.3339454750952608</v>
      </c>
    </row>
    <row r="117" spans="1:12" ht="14.5">
      <c r="A117" s="1419" t="s">
        <v>1428</v>
      </c>
      <c r="B117" s="1482">
        <f>F10A!C120</f>
        <v>2295.9068659394279</v>
      </c>
      <c r="C117" s="685">
        <f>F10A!D120</f>
        <v>72.445107880560073</v>
      </c>
      <c r="D117" s="685">
        <f>F10A!E120</f>
        <v>33227.39625131795</v>
      </c>
      <c r="E117" s="685">
        <f>F10A!L120</f>
        <v>0</v>
      </c>
      <c r="F117" s="685">
        <f>F10A!K120</f>
        <v>0</v>
      </c>
      <c r="G117" s="685">
        <f>F10A!J120</f>
        <v>57.62794287303069</v>
      </c>
      <c r="H117" s="1179"/>
      <c r="I117" s="1179">
        <f t="shared" si="2"/>
        <v>57.62794287303069</v>
      </c>
      <c r="J117" s="1179"/>
      <c r="K117" s="1179"/>
      <c r="L117" s="1179">
        <f t="shared" si="3"/>
        <v>57.62794287303069</v>
      </c>
    </row>
    <row r="118" spans="1:12" ht="14.5">
      <c r="A118" s="1417" t="s">
        <v>1430</v>
      </c>
      <c r="B118" s="1482">
        <f>F10A!C121</f>
        <v>450.208605232183</v>
      </c>
      <c r="C118" s="685">
        <f>F10A!D121</f>
        <v>14.205894611259223</v>
      </c>
      <c r="D118" s="685">
        <f>F10A!E121</f>
        <v>6515.6213188473412</v>
      </c>
      <c r="E118" s="685">
        <f>F10A!L121</f>
        <v>0</v>
      </c>
      <c r="F118" s="685">
        <f>F10A!K121</f>
        <v>0</v>
      </c>
      <c r="G118" s="685">
        <f>F10A!J121</f>
        <v>11.222656742894788</v>
      </c>
      <c r="H118" s="1179"/>
      <c r="I118" s="1179">
        <f t="shared" si="2"/>
        <v>11.222656742894788</v>
      </c>
      <c r="J118" s="1179"/>
      <c r="K118" s="1179"/>
      <c r="L118" s="1179">
        <f t="shared" si="3"/>
        <v>11.222656742894788</v>
      </c>
    </row>
    <row r="119" spans="1:12" ht="14.5">
      <c r="A119" s="1417" t="s">
        <v>1431</v>
      </c>
      <c r="B119" s="1482">
        <f>F10A!C122</f>
        <v>970.97549175721679</v>
      </c>
      <c r="C119" s="685">
        <f>F10A!D122</f>
        <v>30.638187155274288</v>
      </c>
      <c r="D119" s="685">
        <f>F10A!E122</f>
        <v>14052.393802888053</v>
      </c>
      <c r="E119" s="685">
        <f>F10A!L122</f>
        <v>0</v>
      </c>
      <c r="F119" s="685">
        <f>F10A!K122</f>
        <v>0</v>
      </c>
      <c r="G119" s="685">
        <f>F10A!J122</f>
        <v>24.204167852666689</v>
      </c>
      <c r="H119" s="1179"/>
      <c r="I119" s="1179">
        <f t="shared" si="2"/>
        <v>24.204167852666689</v>
      </c>
      <c r="J119" s="1179"/>
      <c r="K119" s="1179"/>
      <c r="L119" s="1179">
        <f t="shared" si="3"/>
        <v>24.204167852666689</v>
      </c>
    </row>
    <row r="120" spans="1:12" ht="14.5">
      <c r="A120" s="1417" t="s">
        <v>1432</v>
      </c>
      <c r="B120" s="1482">
        <f>F10A!C123</f>
        <v>490.3557028023767</v>
      </c>
      <c r="C120" s="685">
        <f>F10A!D123</f>
        <v>15.472697223208375</v>
      </c>
      <c r="D120" s="685">
        <f>F10A!E123</f>
        <v>7096.64816235535</v>
      </c>
      <c r="E120" s="685">
        <f>F10A!L123</f>
        <v>0</v>
      </c>
      <c r="F120" s="685">
        <f>F10A!K123</f>
        <v>0</v>
      </c>
      <c r="G120" s="685">
        <f>F10A!J123</f>
        <v>14.056945427284807</v>
      </c>
      <c r="H120" s="1179"/>
      <c r="I120" s="1179">
        <f t="shared" si="2"/>
        <v>14.056945427284807</v>
      </c>
      <c r="J120" s="1179"/>
      <c r="K120" s="1179"/>
      <c r="L120" s="1179">
        <f t="shared" si="3"/>
        <v>14.056945427284807</v>
      </c>
    </row>
    <row r="121" spans="1:12" ht="14.5">
      <c r="A121" s="1417" t="s">
        <v>1433</v>
      </c>
      <c r="B121" s="1482">
        <f>F10A!C124</f>
        <v>384.36706614765143</v>
      </c>
      <c r="C121" s="685">
        <f>F10A!D124</f>
        <v>12.128328890818175</v>
      </c>
      <c r="D121" s="685">
        <f>F10A!E124</f>
        <v>5562.7329672272072</v>
      </c>
      <c r="E121" s="685">
        <f>F10A!L124</f>
        <v>0</v>
      </c>
      <c r="F121" s="685">
        <f>F10A!K124</f>
        <v>0</v>
      </c>
      <c r="G121" s="685">
        <f>F10A!J124</f>
        <v>8.144172850184404</v>
      </c>
      <c r="H121" s="1179"/>
      <c r="I121" s="1179">
        <f t="shared" si="2"/>
        <v>8.144172850184404</v>
      </c>
      <c r="J121" s="1179"/>
      <c r="K121" s="1179"/>
      <c r="L121" s="1179">
        <f t="shared" si="3"/>
        <v>8.144172850184404</v>
      </c>
    </row>
    <row r="122" spans="1:12" ht="14.5">
      <c r="A122" s="1414" t="s">
        <v>1425</v>
      </c>
      <c r="B122" s="1482">
        <f>F10A!C125</f>
        <v>32664.666200000003</v>
      </c>
      <c r="C122" s="685">
        <f>F10A!D125</f>
        <v>595.68804</v>
      </c>
      <c r="D122" s="685">
        <f>F10A!E125</f>
        <v>370881.31810000003</v>
      </c>
      <c r="E122" s="685">
        <f>F10A!L125</f>
        <v>0</v>
      </c>
      <c r="F122" s="685">
        <f>F10A!K125</f>
        <v>91.656038253633767</v>
      </c>
      <c r="G122" s="685">
        <f>F10A!J125</f>
        <v>435.11109819517094</v>
      </c>
      <c r="H122" s="1179"/>
      <c r="I122" s="1179">
        <f t="shared" si="2"/>
        <v>526.76713644880465</v>
      </c>
      <c r="J122" s="1179"/>
      <c r="K122" s="1179"/>
      <c r="L122" s="1179">
        <f t="shared" si="3"/>
        <v>526.76713644880465</v>
      </c>
    </row>
    <row r="123" spans="1:12" ht="14.5">
      <c r="A123" s="1418"/>
      <c r="B123" s="1482">
        <f>F10A!C126</f>
        <v>0</v>
      </c>
      <c r="C123" s="685">
        <f>F10A!D126</f>
        <v>0</v>
      </c>
      <c r="D123" s="685">
        <f>F10A!E126</f>
        <v>0</v>
      </c>
      <c r="E123" s="685">
        <f>F10A!L126</f>
        <v>0</v>
      </c>
      <c r="F123" s="685">
        <f>F10A!K126</f>
        <v>0</v>
      </c>
      <c r="G123" s="685">
        <f>F10A!J126</f>
        <v>0</v>
      </c>
      <c r="H123" s="1179"/>
      <c r="I123" s="1179">
        <f t="shared" si="2"/>
        <v>0</v>
      </c>
      <c r="J123" s="1179"/>
      <c r="K123" s="1179"/>
      <c r="L123" s="1179">
        <f t="shared" si="3"/>
        <v>0</v>
      </c>
    </row>
    <row r="124" spans="1:12" ht="14.5">
      <c r="A124" s="1414" t="s">
        <v>1402</v>
      </c>
      <c r="B124" s="1482">
        <f>F10A!C127</f>
        <v>0</v>
      </c>
      <c r="C124" s="685">
        <f>F10A!D127</f>
        <v>0</v>
      </c>
      <c r="D124" s="685">
        <f>F10A!E127</f>
        <v>0</v>
      </c>
      <c r="E124" s="685">
        <f>F10A!L127</f>
        <v>0</v>
      </c>
      <c r="F124" s="685">
        <f>F10A!K127</f>
        <v>0</v>
      </c>
      <c r="G124" s="685">
        <f>F10A!J127</f>
        <v>0</v>
      </c>
      <c r="H124" s="1179"/>
      <c r="I124" s="1179">
        <f t="shared" si="2"/>
        <v>0</v>
      </c>
      <c r="J124" s="1179"/>
      <c r="K124" s="1179"/>
      <c r="L124" s="1179">
        <f t="shared" si="3"/>
        <v>0</v>
      </c>
    </row>
    <row r="125" spans="1:12" ht="14.5">
      <c r="A125" s="1414" t="s">
        <v>1012</v>
      </c>
      <c r="B125" s="1482">
        <f>F10A!C128</f>
        <v>2086.4200000000005</v>
      </c>
      <c r="C125" s="685">
        <f>F10A!D128</f>
        <v>143.74533333333335</v>
      </c>
      <c r="D125" s="685">
        <f>F10A!E128</f>
        <v>35206.910000000003</v>
      </c>
      <c r="E125" s="685">
        <f>F10A!L128</f>
        <v>0</v>
      </c>
      <c r="F125" s="685">
        <f>F10A!K128</f>
        <v>13.873406456250002</v>
      </c>
      <c r="G125" s="685">
        <f>F10A!J128</f>
        <v>114.34941266666668</v>
      </c>
      <c r="H125" s="1179"/>
      <c r="I125" s="1179">
        <f t="shared" si="2"/>
        <v>128.22281912291669</v>
      </c>
      <c r="J125" s="1179"/>
      <c r="K125" s="1179"/>
      <c r="L125" s="1179">
        <f t="shared" si="3"/>
        <v>128.22281912291669</v>
      </c>
    </row>
    <row r="126" spans="1:12" ht="14.5">
      <c r="A126" s="1418" t="s">
        <v>1091</v>
      </c>
      <c r="B126" s="1482">
        <f>F10A!C129</f>
        <v>1755.7100000000003</v>
      </c>
      <c r="C126" s="685">
        <f>F10A!D129</f>
        <v>105.80973333333336</v>
      </c>
      <c r="D126" s="685">
        <f>F10A!E129</f>
        <v>26131.160000000003</v>
      </c>
      <c r="E126" s="685">
        <f>F10A!L129</f>
        <v>0</v>
      </c>
      <c r="F126" s="685">
        <f>F10A!K129</f>
        <v>10.382681925000004</v>
      </c>
      <c r="G126" s="685">
        <f>F10A!J129</f>
        <v>84.171642866666687</v>
      </c>
      <c r="H126" s="1179"/>
      <c r="I126" s="1179">
        <f t="shared" si="2"/>
        <v>94.554324791666687</v>
      </c>
      <c r="J126" s="1179"/>
      <c r="K126" s="1179"/>
      <c r="L126" s="1179">
        <f t="shared" si="3"/>
        <v>94.554324791666687</v>
      </c>
    </row>
    <row r="127" spans="1:12" ht="14.5">
      <c r="A127" s="1418" t="s">
        <v>1092</v>
      </c>
      <c r="B127" s="1482">
        <f>F10A!C130</f>
        <v>85.910000000000011</v>
      </c>
      <c r="C127" s="685">
        <f>F10A!D130</f>
        <v>20.385200000000001</v>
      </c>
      <c r="D127" s="685">
        <f>F10A!E130</f>
        <v>1760.5500000000004</v>
      </c>
      <c r="E127" s="685">
        <f>F10A!L130</f>
        <v>0</v>
      </c>
      <c r="F127" s="685">
        <f>F10A!K130</f>
        <v>0.69951853125000019</v>
      </c>
      <c r="G127" s="685">
        <f>F10A!J130</f>
        <v>16.216426599999998</v>
      </c>
      <c r="H127" s="1179"/>
      <c r="I127" s="1179">
        <f t="shared" si="2"/>
        <v>16.915945131249998</v>
      </c>
      <c r="J127" s="1179"/>
      <c r="K127" s="1179"/>
      <c r="L127" s="1179">
        <f t="shared" si="3"/>
        <v>16.915945131249998</v>
      </c>
    </row>
    <row r="128" spans="1:12" ht="14.5">
      <c r="A128" s="1418" t="s">
        <v>1093</v>
      </c>
      <c r="B128" s="1482">
        <f>F10A!C131</f>
        <v>244.79999999999998</v>
      </c>
      <c r="C128" s="685">
        <f>F10A!D131</f>
        <v>17.550399999999996</v>
      </c>
      <c r="D128" s="685">
        <f>F10A!E131</f>
        <v>7315.2</v>
      </c>
      <c r="E128" s="685">
        <f>F10A!L131</f>
        <v>0</v>
      </c>
      <c r="F128" s="685">
        <f>F10A!K131</f>
        <v>2.7912059999999999</v>
      </c>
      <c r="G128" s="685">
        <f>F10A!J131</f>
        <v>13.961343199999996</v>
      </c>
      <c r="H128" s="1179"/>
      <c r="I128" s="1179">
        <f t="shared" si="2"/>
        <v>16.752549199999997</v>
      </c>
      <c r="J128" s="1179"/>
      <c r="K128" s="1179"/>
      <c r="L128" s="1179">
        <f t="shared" si="3"/>
        <v>16.752549199999997</v>
      </c>
    </row>
    <row r="129" spans="1:12" ht="14.5">
      <c r="A129" s="1414" t="s">
        <v>1011</v>
      </c>
      <c r="B129" s="1482">
        <f>F10A!C132</f>
        <v>1846.0980000000002</v>
      </c>
      <c r="C129" s="685">
        <f>F10A!D132</f>
        <v>277.70800000000003</v>
      </c>
      <c r="D129" s="685">
        <f>F10A!E132</f>
        <v>83893.3272</v>
      </c>
      <c r="E129" s="685">
        <f>F10A!L132</f>
        <v>0</v>
      </c>
      <c r="F129" s="685">
        <f>F10A!K132</f>
        <v>36.914469120000007</v>
      </c>
      <c r="G129" s="685">
        <f>F10A!J132</f>
        <v>238.82888</v>
      </c>
      <c r="H129" s="1179"/>
      <c r="I129" s="1179">
        <f t="shared" si="2"/>
        <v>275.74334912</v>
      </c>
      <c r="J129" s="1179"/>
      <c r="K129" s="1179"/>
      <c r="L129" s="1179">
        <f t="shared" si="3"/>
        <v>275.74334912</v>
      </c>
    </row>
    <row r="130" spans="1:12" ht="14.5">
      <c r="A130" s="1418" t="s">
        <v>1094</v>
      </c>
      <c r="B130" s="1482">
        <f>F10A!C133</f>
        <v>374.54399999999998</v>
      </c>
      <c r="C130" s="685">
        <f>F10A!D133</f>
        <v>46.464400000000005</v>
      </c>
      <c r="D130" s="685">
        <f>F10A!E133</f>
        <v>9730.8611999999994</v>
      </c>
      <c r="E130" s="685">
        <f>F10A!L133</f>
        <v>0</v>
      </c>
      <c r="F130" s="685">
        <f>F10A!K133</f>
        <v>4.3359572699999998</v>
      </c>
      <c r="G130" s="685">
        <f>F10A!J133</f>
        <v>39.959384</v>
      </c>
      <c r="H130" s="1179"/>
      <c r="I130" s="1179">
        <f t="shared" si="2"/>
        <v>44.295341270000002</v>
      </c>
      <c r="J130" s="1179"/>
      <c r="K130" s="1179"/>
      <c r="L130" s="1179">
        <f t="shared" si="3"/>
        <v>44.295341270000002</v>
      </c>
    </row>
    <row r="131" spans="1:12" ht="14.5">
      <c r="A131" s="1418" t="s">
        <v>1095</v>
      </c>
      <c r="B131" s="1482">
        <f>F10A!C134</f>
        <v>1134.1890000000001</v>
      </c>
      <c r="C131" s="685">
        <f>F10A!D134</f>
        <v>185.49860000000001</v>
      </c>
      <c r="D131" s="685">
        <f>F10A!E134</f>
        <v>61447.554000000004</v>
      </c>
      <c r="E131" s="685">
        <f>F10A!L134</f>
        <v>0</v>
      </c>
      <c r="F131" s="685">
        <f>F10A!K134</f>
        <v>26.993032650000007</v>
      </c>
      <c r="G131" s="685">
        <f>F10A!J134</f>
        <v>159.528796</v>
      </c>
      <c r="H131" s="1179"/>
      <c r="I131" s="1179">
        <f t="shared" si="2"/>
        <v>186.52182865</v>
      </c>
      <c r="J131" s="1179"/>
      <c r="K131" s="1179"/>
      <c r="L131" s="1179">
        <f t="shared" si="3"/>
        <v>186.52182865</v>
      </c>
    </row>
    <row r="132" spans="1:12" ht="14.5">
      <c r="A132" s="1418" t="s">
        <v>1096</v>
      </c>
      <c r="B132" s="1482">
        <f>F10A!C135</f>
        <v>337.36500000000001</v>
      </c>
      <c r="C132" s="685">
        <f>F10A!D135</f>
        <v>45.744999999999997</v>
      </c>
      <c r="D132" s="685">
        <f>F10A!E135</f>
        <v>12714.912</v>
      </c>
      <c r="E132" s="685">
        <f>F10A!L135</f>
        <v>0</v>
      </c>
      <c r="F132" s="685">
        <f>F10A!K135</f>
        <v>5.5854792</v>
      </c>
      <c r="G132" s="685">
        <f>F10A!J135</f>
        <v>39.340699999999998</v>
      </c>
      <c r="H132" s="1179"/>
      <c r="I132" s="1179">
        <f t="shared" si="2"/>
        <v>44.9261792</v>
      </c>
      <c r="J132" s="1179"/>
      <c r="K132" s="1179"/>
      <c r="L132" s="1179">
        <f t="shared" si="3"/>
        <v>44.9261792</v>
      </c>
    </row>
    <row r="133" spans="1:12" ht="14.5">
      <c r="A133" s="1414" t="s">
        <v>1425</v>
      </c>
      <c r="B133" s="1482">
        <f>F10A!C136</f>
        <v>3932.5180000000009</v>
      </c>
      <c r="C133" s="685">
        <f>F10A!D136</f>
        <v>421.45333333333338</v>
      </c>
      <c r="D133" s="685">
        <f>F10A!E136</f>
        <v>119100.2372</v>
      </c>
      <c r="E133" s="685">
        <f>F10A!L136</f>
        <v>0</v>
      </c>
      <c r="F133" s="685">
        <f>F10A!K136</f>
        <v>50.787875576250009</v>
      </c>
      <c r="G133" s="685">
        <f>F10A!J136</f>
        <v>353.17829266666666</v>
      </c>
      <c r="H133" s="1179"/>
      <c r="I133" s="1179">
        <f t="shared" si="2"/>
        <v>403.96616824291669</v>
      </c>
      <c r="J133" s="1179"/>
      <c r="K133" s="1179"/>
      <c r="L133" s="1179">
        <f t="shared" si="3"/>
        <v>403.96616824291669</v>
      </c>
    </row>
    <row r="134" spans="1:12" ht="14.5">
      <c r="A134" s="1418"/>
      <c r="B134" s="1482">
        <f>F10A!C137</f>
        <v>0</v>
      </c>
      <c r="C134" s="685">
        <f>F10A!D137</f>
        <v>0</v>
      </c>
      <c r="D134" s="685">
        <f>F10A!E137</f>
        <v>0</v>
      </c>
      <c r="E134" s="685">
        <f>F10A!L137</f>
        <v>0</v>
      </c>
      <c r="F134" s="685">
        <f>F10A!K137</f>
        <v>0</v>
      </c>
      <c r="G134" s="685">
        <f>F10A!J137</f>
        <v>0</v>
      </c>
      <c r="H134" s="1179"/>
      <c r="I134" s="1179">
        <f t="shared" si="2"/>
        <v>0</v>
      </c>
      <c r="J134" s="1179"/>
      <c r="K134" s="1179"/>
      <c r="L134" s="1179">
        <f t="shared" si="3"/>
        <v>0</v>
      </c>
    </row>
    <row r="135" spans="1:12" ht="14.5">
      <c r="A135" s="1414" t="s">
        <v>1098</v>
      </c>
      <c r="B135" s="1482">
        <f>F10A!C138</f>
        <v>0</v>
      </c>
      <c r="C135" s="685">
        <f>F10A!D138</f>
        <v>0</v>
      </c>
      <c r="D135" s="685">
        <f>F10A!E138</f>
        <v>0</v>
      </c>
      <c r="E135" s="685">
        <f>F10A!L138</f>
        <v>0</v>
      </c>
      <c r="F135" s="685">
        <f>F10A!K138</f>
        <v>0</v>
      </c>
      <c r="G135" s="685">
        <f>F10A!J138</f>
        <v>0</v>
      </c>
      <c r="H135" s="1179"/>
      <c r="I135" s="1179">
        <f t="shared" ref="I135:I198" si="4">MAX(SUM(F135:G135),E135)</f>
        <v>0</v>
      </c>
      <c r="J135" s="1179"/>
      <c r="K135" s="1179"/>
      <c r="L135" s="1179">
        <f t="shared" ref="L135:L198" si="5">I135+J135+K135</f>
        <v>0</v>
      </c>
    </row>
    <row r="136" spans="1:12" ht="14.5">
      <c r="A136" s="1414" t="s">
        <v>476</v>
      </c>
      <c r="B136" s="1482">
        <f>F10A!C139</f>
        <v>9743.44</v>
      </c>
      <c r="C136" s="685">
        <f>F10A!D139</f>
        <v>660.70940000000007</v>
      </c>
      <c r="D136" s="685">
        <f>F10A!E139</f>
        <v>95901.410801102291</v>
      </c>
      <c r="E136" s="685">
        <f>F10A!L139</f>
        <v>0</v>
      </c>
      <c r="F136" s="685">
        <f>F10A!K139</f>
        <v>44.033087446943568</v>
      </c>
      <c r="G136" s="685">
        <f>F10A!J139</f>
        <v>561.60299000000009</v>
      </c>
      <c r="H136" s="1179"/>
      <c r="I136" s="1179">
        <f t="shared" si="4"/>
        <v>605.63607744694366</v>
      </c>
      <c r="J136" s="1179"/>
      <c r="K136" s="1179"/>
      <c r="L136" s="1179">
        <f t="shared" si="5"/>
        <v>605.63607744694366</v>
      </c>
    </row>
    <row r="137" spans="1:12" ht="14.5">
      <c r="A137" s="1418" t="s">
        <v>1099</v>
      </c>
      <c r="B137" s="1482">
        <f>F10A!C140</f>
        <v>9743.44</v>
      </c>
      <c r="C137" s="685">
        <f>F10A!D140</f>
        <v>660.70940000000007</v>
      </c>
      <c r="D137" s="685">
        <f>F10A!E140</f>
        <v>95901.410801102291</v>
      </c>
      <c r="E137" s="685">
        <f>F10A!L140</f>
        <v>0</v>
      </c>
      <c r="F137" s="685">
        <f>F10A!K140</f>
        <v>44.033087446943568</v>
      </c>
      <c r="G137" s="685">
        <f>F10A!J140</f>
        <v>561.60299000000009</v>
      </c>
      <c r="H137" s="1179"/>
      <c r="I137" s="1179">
        <f t="shared" si="4"/>
        <v>605.63607744694366</v>
      </c>
      <c r="J137" s="1179"/>
      <c r="K137" s="1179"/>
      <c r="L137" s="1179">
        <f t="shared" si="5"/>
        <v>605.63607744694366</v>
      </c>
    </row>
    <row r="138" spans="1:12" ht="14.5">
      <c r="A138" s="1414" t="s">
        <v>1404</v>
      </c>
      <c r="B138" s="1482">
        <f>F10A!C141</f>
        <v>2512</v>
      </c>
      <c r="C138" s="685">
        <f>F10A!D141</f>
        <v>322.15088736000001</v>
      </c>
      <c r="D138" s="685">
        <f>F10A!E141</f>
        <v>46877</v>
      </c>
      <c r="E138" s="685">
        <f>F10A!L141</f>
        <v>0</v>
      </c>
      <c r="F138" s="685">
        <f>F10A!K141</f>
        <v>373.25654155495977</v>
      </c>
      <c r="G138" s="685">
        <f>F10A!J141</f>
        <v>0</v>
      </c>
      <c r="H138" s="1179"/>
      <c r="I138" s="1179">
        <f t="shared" si="4"/>
        <v>373.25654155495977</v>
      </c>
      <c r="J138" s="1179"/>
      <c r="K138" s="1179"/>
      <c r="L138" s="1179">
        <f t="shared" si="5"/>
        <v>373.25654155495977</v>
      </c>
    </row>
    <row r="139" spans="1:12" ht="14.5">
      <c r="A139" s="1418" t="s">
        <v>1405</v>
      </c>
      <c r="B139" s="1482">
        <f>F10A!C142</f>
        <v>2482.5</v>
      </c>
      <c r="C139" s="685">
        <f>F10A!D142</f>
        <v>318.36766635000004</v>
      </c>
      <c r="D139" s="685">
        <f>F10A!E142</f>
        <v>44854</v>
      </c>
      <c r="E139" s="685">
        <f>F10A!L142</f>
        <v>0</v>
      </c>
      <c r="F139" s="685">
        <f>F10A!K142</f>
        <v>357.14847184986593</v>
      </c>
      <c r="G139" s="685">
        <f>F10A!J142</f>
        <v>0</v>
      </c>
      <c r="H139" s="1179"/>
      <c r="I139" s="1179">
        <f t="shared" si="4"/>
        <v>357.14847184986593</v>
      </c>
      <c r="J139" s="1179"/>
      <c r="K139" s="1179"/>
      <c r="L139" s="1179">
        <f t="shared" si="5"/>
        <v>357.14847184986593</v>
      </c>
    </row>
    <row r="140" spans="1:12" ht="14.5">
      <c r="A140" s="1418" t="s">
        <v>1101</v>
      </c>
      <c r="B140" s="1482">
        <f>F10A!C143</f>
        <v>29.5</v>
      </c>
      <c r="C140" s="685">
        <f>F10A!D143</f>
        <v>3.7832210099999997</v>
      </c>
      <c r="D140" s="685">
        <f>F10A!E143</f>
        <v>2023</v>
      </c>
      <c r="E140" s="685">
        <f>F10A!L143</f>
        <v>0</v>
      </c>
      <c r="F140" s="685">
        <f>F10A!K143</f>
        <v>16.108069705093833</v>
      </c>
      <c r="G140" s="685">
        <f>F10A!J143</f>
        <v>0</v>
      </c>
      <c r="H140" s="1179"/>
      <c r="I140" s="1179">
        <f t="shared" si="4"/>
        <v>16.108069705093833</v>
      </c>
      <c r="J140" s="1179"/>
      <c r="K140" s="1179"/>
      <c r="L140" s="1179">
        <f t="shared" si="5"/>
        <v>16.108069705093833</v>
      </c>
    </row>
    <row r="141" spans="1:12" ht="14.5">
      <c r="A141" s="1414" t="s">
        <v>1425</v>
      </c>
      <c r="B141" s="1482">
        <f>F10A!C144</f>
        <v>12255.44</v>
      </c>
      <c r="C141" s="685">
        <f>F10A!D144</f>
        <v>982.86028736000003</v>
      </c>
      <c r="D141" s="685">
        <f>F10A!E144</f>
        <v>142778.41080110229</v>
      </c>
      <c r="E141" s="685">
        <f>F10A!L144</f>
        <v>0</v>
      </c>
      <c r="F141" s="685">
        <f>F10A!K144</f>
        <v>417.28962900190334</v>
      </c>
      <c r="G141" s="685">
        <f>F10A!J144</f>
        <v>561.60299000000009</v>
      </c>
      <c r="H141" s="1179"/>
      <c r="I141" s="1179">
        <f t="shared" si="4"/>
        <v>978.89261900190343</v>
      </c>
      <c r="J141" s="1179"/>
      <c r="K141" s="1179"/>
      <c r="L141" s="1179">
        <f t="shared" si="5"/>
        <v>978.89261900190343</v>
      </c>
    </row>
    <row r="142" spans="1:12" ht="14.5">
      <c r="A142" s="1418"/>
      <c r="B142" s="1482">
        <f>F10A!C145</f>
        <v>0</v>
      </c>
      <c r="C142" s="685">
        <f>F10A!D145</f>
        <v>0</v>
      </c>
      <c r="D142" s="685">
        <f>F10A!E145</f>
        <v>0</v>
      </c>
      <c r="E142" s="685">
        <f>F10A!L145</f>
        <v>0</v>
      </c>
      <c r="F142" s="685">
        <f>F10A!K145</f>
        <v>0</v>
      </c>
      <c r="G142" s="685">
        <f>F10A!J145</f>
        <v>0</v>
      </c>
      <c r="H142" s="1179"/>
      <c r="I142" s="1179">
        <f t="shared" si="4"/>
        <v>0</v>
      </c>
      <c r="J142" s="1179"/>
      <c r="K142" s="1179"/>
      <c r="L142" s="1179">
        <f t="shared" si="5"/>
        <v>0</v>
      </c>
    </row>
    <row r="143" spans="1:12" ht="14.5">
      <c r="A143" s="1414" t="s">
        <v>1406</v>
      </c>
      <c r="B143" s="1482">
        <f>F10A!C146</f>
        <v>0</v>
      </c>
      <c r="C143" s="685">
        <f>F10A!D146</f>
        <v>0</v>
      </c>
      <c r="D143" s="685">
        <f>F10A!E146</f>
        <v>0</v>
      </c>
      <c r="E143" s="685">
        <f>F10A!L146</f>
        <v>0</v>
      </c>
      <c r="F143" s="685">
        <f>F10A!K146</f>
        <v>0</v>
      </c>
      <c r="G143" s="685">
        <f>F10A!J146</f>
        <v>0</v>
      </c>
      <c r="H143" s="1179"/>
      <c r="I143" s="1179">
        <f t="shared" si="4"/>
        <v>0</v>
      </c>
      <c r="J143" s="1179"/>
      <c r="K143" s="1179"/>
      <c r="L143" s="1179">
        <f t="shared" si="5"/>
        <v>0</v>
      </c>
    </row>
    <row r="144" spans="1:12" ht="14.5">
      <c r="A144" s="1414" t="s">
        <v>476</v>
      </c>
      <c r="B144" s="1482">
        <f>F10A!C147</f>
        <v>2166.9449000000004</v>
      </c>
      <c r="C144" s="685">
        <f>F10A!D147</f>
        <v>9.1203066666666661</v>
      </c>
      <c r="D144" s="685">
        <f>F10A!E147</f>
        <v>4965.3519000000006</v>
      </c>
      <c r="E144" s="685">
        <f>F10A!L147</f>
        <v>0</v>
      </c>
      <c r="F144" s="685">
        <f>F10A!K147</f>
        <v>1.5506418900000003</v>
      </c>
      <c r="G144" s="685">
        <f>F10A!J147</f>
        <v>7.8139919999999998</v>
      </c>
      <c r="H144" s="1179"/>
      <c r="I144" s="1179">
        <f t="shared" si="4"/>
        <v>9.3646338900000003</v>
      </c>
      <c r="J144" s="1179"/>
      <c r="K144" s="1179"/>
      <c r="L144" s="1179">
        <f t="shared" si="5"/>
        <v>9.3646338900000003</v>
      </c>
    </row>
    <row r="145" spans="1:12" ht="14.5">
      <c r="A145" s="1418" t="s">
        <v>1104</v>
      </c>
      <c r="B145" s="1482">
        <f>F10A!C148</f>
        <v>1008.0507000000001</v>
      </c>
      <c r="C145" s="685">
        <f>F10A!D148</f>
        <v>3.9428399999999999</v>
      </c>
      <c r="D145" s="685">
        <f>F10A!E148</f>
        <v>1783.0742000000002</v>
      </c>
      <c r="E145" s="685">
        <f>F10A!L148</f>
        <v>0</v>
      </c>
      <c r="F145" s="685">
        <f>F10A!K148</f>
        <v>0.42170570400000007</v>
      </c>
      <c r="G145" s="685">
        <f>F10A!J148</f>
        <v>3.1542719999999997</v>
      </c>
      <c r="H145" s="1179"/>
      <c r="I145" s="1179">
        <f t="shared" si="4"/>
        <v>3.5759777039999996</v>
      </c>
      <c r="J145" s="1179"/>
      <c r="K145" s="1179"/>
      <c r="L145" s="1179">
        <f t="shared" si="5"/>
        <v>3.5759777039999996</v>
      </c>
    </row>
    <row r="146" spans="1:12" ht="14.5">
      <c r="A146" s="1418" t="s">
        <v>1105</v>
      </c>
      <c r="B146" s="1482">
        <f>F10A!C149</f>
        <v>1158.8942000000002</v>
      </c>
      <c r="C146" s="685">
        <f>F10A!D149</f>
        <v>5.1774666666666667</v>
      </c>
      <c r="D146" s="685">
        <f>F10A!E149</f>
        <v>3182.2777000000001</v>
      </c>
      <c r="E146" s="685">
        <f>F10A!L149</f>
        <v>0</v>
      </c>
      <c r="F146" s="685">
        <f>F10A!K149</f>
        <v>1.1289361860000002</v>
      </c>
      <c r="G146" s="685">
        <f>F10A!J149</f>
        <v>4.6597200000000001</v>
      </c>
      <c r="H146" s="1179"/>
      <c r="I146" s="1179">
        <f t="shared" si="4"/>
        <v>5.7886561860000008</v>
      </c>
      <c r="J146" s="1179"/>
      <c r="K146" s="1179"/>
      <c r="L146" s="1179">
        <f t="shared" si="5"/>
        <v>5.7886561860000008</v>
      </c>
    </row>
    <row r="147" spans="1:12" ht="14.5">
      <c r="A147" s="1414" t="s">
        <v>1404</v>
      </c>
      <c r="B147" s="1482">
        <f>F10A!C150</f>
        <v>2.5</v>
      </c>
      <c r="C147" s="685">
        <f>F10A!D150</f>
        <v>0.16133333333333333</v>
      </c>
      <c r="D147" s="685">
        <f>F10A!E150</f>
        <v>6.5600000000000005</v>
      </c>
      <c r="E147" s="685">
        <f>F10A!L150</f>
        <v>0</v>
      </c>
      <c r="F147" s="685">
        <f>F10A!K150</f>
        <v>0.13270031250000003</v>
      </c>
      <c r="G147" s="685">
        <f>F10A!J150</f>
        <v>0</v>
      </c>
      <c r="H147" s="1179"/>
      <c r="I147" s="1179">
        <f t="shared" si="4"/>
        <v>0.13270031250000003</v>
      </c>
      <c r="J147" s="1179"/>
      <c r="K147" s="1179"/>
      <c r="L147" s="1179">
        <f t="shared" si="5"/>
        <v>0.13270031250000003</v>
      </c>
    </row>
    <row r="148" spans="1:12" ht="14.5">
      <c r="A148" s="1418" t="s">
        <v>1106</v>
      </c>
      <c r="B148" s="1482">
        <f>F10A!C151</f>
        <v>0</v>
      </c>
      <c r="C148" s="685">
        <f>F10A!D151</f>
        <v>0</v>
      </c>
      <c r="D148" s="685">
        <f>F10A!E151</f>
        <v>2.3100000000000005</v>
      </c>
      <c r="E148" s="685">
        <f>F10A!L151</f>
        <v>0</v>
      </c>
      <c r="F148" s="685">
        <f>F10A!K151</f>
        <v>0.10012406250000001</v>
      </c>
      <c r="G148" s="685">
        <f>F10A!J151</f>
        <v>0</v>
      </c>
      <c r="H148" s="1179"/>
      <c r="I148" s="1179">
        <f t="shared" si="4"/>
        <v>0.10012406250000001</v>
      </c>
      <c r="J148" s="1179"/>
      <c r="K148" s="1179"/>
      <c r="L148" s="1179">
        <f t="shared" si="5"/>
        <v>0.10012406250000001</v>
      </c>
    </row>
    <row r="149" spans="1:12" ht="14.5">
      <c r="A149" s="1418" t="s">
        <v>1107</v>
      </c>
      <c r="B149" s="1482">
        <f>F10A!C152</f>
        <v>2.5</v>
      </c>
      <c r="C149" s="685">
        <f>F10A!D152</f>
        <v>0.16133333333333333</v>
      </c>
      <c r="D149" s="685">
        <f>F10A!E152</f>
        <v>4.25</v>
      </c>
      <c r="E149" s="685">
        <f>F10A!L152</f>
        <v>0</v>
      </c>
      <c r="F149" s="685">
        <f>F10A!K152</f>
        <v>3.2576250000000001E-2</v>
      </c>
      <c r="G149" s="685">
        <f>F10A!J152</f>
        <v>0</v>
      </c>
      <c r="H149" s="1179"/>
      <c r="I149" s="1179">
        <f t="shared" si="4"/>
        <v>3.2576250000000001E-2</v>
      </c>
      <c r="J149" s="1179"/>
      <c r="K149" s="1179"/>
      <c r="L149" s="1179">
        <f t="shared" si="5"/>
        <v>3.2576250000000001E-2</v>
      </c>
    </row>
    <row r="150" spans="1:12" ht="14.5">
      <c r="A150" s="1414" t="s">
        <v>1425</v>
      </c>
      <c r="B150" s="1482">
        <f>F10A!C153</f>
        <v>2169.4449000000004</v>
      </c>
      <c r="C150" s="685">
        <f>F10A!D153</f>
        <v>9.2816399999999994</v>
      </c>
      <c r="D150" s="685">
        <f>F10A!E153</f>
        <v>4971.911900000001</v>
      </c>
      <c r="E150" s="685">
        <f>F10A!L153</f>
        <v>0</v>
      </c>
      <c r="F150" s="685">
        <f>F10A!K153</f>
        <v>1.6833422025000004</v>
      </c>
      <c r="G150" s="685">
        <f>F10A!J153</f>
        <v>7.8139919999999998</v>
      </c>
      <c r="H150" s="1179"/>
      <c r="I150" s="1179">
        <f t="shared" si="4"/>
        <v>9.4973342024999994</v>
      </c>
      <c r="J150" s="1179"/>
      <c r="K150" s="1179"/>
      <c r="L150" s="1179">
        <f t="shared" si="5"/>
        <v>9.4973342024999994</v>
      </c>
    </row>
    <row r="151" spans="1:12" ht="14.5">
      <c r="A151" s="1418"/>
      <c r="B151" s="1482">
        <f>F10A!C154</f>
        <v>0</v>
      </c>
      <c r="C151" s="685">
        <f>F10A!D154</f>
        <v>0</v>
      </c>
      <c r="D151" s="685">
        <f>F10A!E154</f>
        <v>0</v>
      </c>
      <c r="E151" s="685">
        <f>F10A!L154</f>
        <v>0</v>
      </c>
      <c r="F151" s="685">
        <f>F10A!K154</f>
        <v>0</v>
      </c>
      <c r="G151" s="685">
        <f>F10A!J154</f>
        <v>0</v>
      </c>
      <c r="H151" s="1179"/>
      <c r="I151" s="1179">
        <f t="shared" si="4"/>
        <v>0</v>
      </c>
      <c r="J151" s="1179"/>
      <c r="K151" s="1179"/>
      <c r="L151" s="1179">
        <f t="shared" si="5"/>
        <v>0</v>
      </c>
    </row>
    <row r="152" spans="1:12" ht="14.5">
      <c r="A152" s="1414" t="s">
        <v>1109</v>
      </c>
      <c r="B152" s="1482">
        <f>F10A!C155</f>
        <v>26004.798000000003</v>
      </c>
      <c r="C152" s="685">
        <f>F10A!D155</f>
        <v>108.7456</v>
      </c>
      <c r="D152" s="685">
        <f>F10A!E155</f>
        <v>90949.6872</v>
      </c>
      <c r="E152" s="685">
        <f>F10A!L155</f>
        <v>0</v>
      </c>
      <c r="F152" s="685">
        <f>F10A!K155</f>
        <v>55.719661078846215</v>
      </c>
      <c r="G152" s="685">
        <f>F10A!J155</f>
        <v>0</v>
      </c>
      <c r="H152" s="1179"/>
      <c r="I152" s="1179">
        <f t="shared" si="4"/>
        <v>55.719661078846215</v>
      </c>
      <c r="J152" s="1179"/>
      <c r="K152" s="1179"/>
      <c r="L152" s="1179">
        <f t="shared" si="5"/>
        <v>55.719661078846215</v>
      </c>
    </row>
    <row r="153" spans="1:12" ht="14.5">
      <c r="A153" s="1418"/>
      <c r="B153" s="1482">
        <f>F10A!C156</f>
        <v>0</v>
      </c>
      <c r="C153" s="685">
        <f>F10A!D156</f>
        <v>0</v>
      </c>
      <c r="D153" s="685">
        <f>F10A!E156</f>
        <v>0</v>
      </c>
      <c r="E153" s="685">
        <f>F10A!L156</f>
        <v>0</v>
      </c>
      <c r="F153" s="685">
        <f>F10A!K156</f>
        <v>0</v>
      </c>
      <c r="G153" s="685">
        <f>F10A!J156</f>
        <v>0</v>
      </c>
      <c r="H153" s="1179"/>
      <c r="I153" s="1179">
        <f t="shared" si="4"/>
        <v>0</v>
      </c>
      <c r="J153" s="1179"/>
      <c r="K153" s="1179"/>
      <c r="L153" s="1179">
        <f t="shared" si="5"/>
        <v>0</v>
      </c>
    </row>
    <row r="154" spans="1:12" ht="14.5">
      <c r="A154" s="1414" t="s">
        <v>1407</v>
      </c>
      <c r="B154" s="1482">
        <f>F10A!C157</f>
        <v>0</v>
      </c>
      <c r="C154" s="685">
        <f>F10A!D157</f>
        <v>0</v>
      </c>
      <c r="D154" s="685">
        <f>F10A!E157</f>
        <v>0</v>
      </c>
      <c r="E154" s="685">
        <f>F10A!L157</f>
        <v>0</v>
      </c>
      <c r="F154" s="685">
        <f>F10A!K157</f>
        <v>0</v>
      </c>
      <c r="G154" s="685">
        <f>F10A!J157</f>
        <v>0</v>
      </c>
      <c r="H154" s="1179"/>
      <c r="I154" s="1179">
        <f t="shared" si="4"/>
        <v>0</v>
      </c>
      <c r="J154" s="1179"/>
      <c r="K154" s="1179"/>
      <c r="L154" s="1179">
        <f t="shared" si="5"/>
        <v>0</v>
      </c>
    </row>
    <row r="155" spans="1:12" ht="14.5">
      <c r="A155" s="1414" t="s">
        <v>1146</v>
      </c>
      <c r="B155" s="1482">
        <f>F10A!C158</f>
        <v>0</v>
      </c>
      <c r="C155" s="685">
        <f>F10A!D158</f>
        <v>0</v>
      </c>
      <c r="D155" s="685">
        <f>F10A!E158</f>
        <v>0</v>
      </c>
      <c r="E155" s="685">
        <f>F10A!L158</f>
        <v>0</v>
      </c>
      <c r="F155" s="685">
        <f>F10A!K158</f>
        <v>0</v>
      </c>
      <c r="G155" s="685">
        <f>F10A!J158</f>
        <v>0</v>
      </c>
      <c r="H155" s="1179"/>
      <c r="I155" s="1179">
        <f t="shared" si="4"/>
        <v>0</v>
      </c>
      <c r="J155" s="1179"/>
      <c r="K155" s="1179"/>
      <c r="L155" s="1179">
        <f t="shared" si="5"/>
        <v>0</v>
      </c>
    </row>
    <row r="156" spans="1:12" ht="14.5">
      <c r="A156" s="1418" t="s">
        <v>1408</v>
      </c>
      <c r="B156" s="1482">
        <f>F10A!C159</f>
        <v>0</v>
      </c>
      <c r="C156" s="685">
        <f>F10A!D159</f>
        <v>0</v>
      </c>
      <c r="D156" s="685">
        <f>F10A!E159</f>
        <v>0</v>
      </c>
      <c r="E156" s="685">
        <f>F10A!L159</f>
        <v>0</v>
      </c>
      <c r="F156" s="685">
        <f>F10A!K159</f>
        <v>0</v>
      </c>
      <c r="G156" s="685">
        <f>F10A!J159</f>
        <v>0</v>
      </c>
      <c r="H156" s="1179"/>
      <c r="I156" s="1179">
        <f t="shared" si="4"/>
        <v>0</v>
      </c>
      <c r="J156" s="1179"/>
      <c r="K156" s="1179"/>
      <c r="L156" s="1179">
        <f t="shared" si="5"/>
        <v>0</v>
      </c>
    </row>
    <row r="157" spans="1:12" ht="14.5">
      <c r="A157" s="1418" t="s">
        <v>1409</v>
      </c>
      <c r="B157" s="1482">
        <f>F10A!C160</f>
        <v>0</v>
      </c>
      <c r="C157" s="685">
        <f>F10A!D160</f>
        <v>0</v>
      </c>
      <c r="D157" s="685">
        <f>F10A!E160</f>
        <v>0</v>
      </c>
      <c r="E157" s="685">
        <f>F10A!L160</f>
        <v>0</v>
      </c>
      <c r="F157" s="685">
        <f>F10A!K160</f>
        <v>0</v>
      </c>
      <c r="G157" s="685">
        <f>F10A!J160</f>
        <v>0</v>
      </c>
      <c r="H157" s="1179"/>
      <c r="I157" s="1179">
        <f t="shared" si="4"/>
        <v>0</v>
      </c>
      <c r="J157" s="1179"/>
      <c r="K157" s="1179"/>
      <c r="L157" s="1179">
        <f t="shared" si="5"/>
        <v>0</v>
      </c>
    </row>
    <row r="158" spans="1:12" ht="14.5">
      <c r="A158" s="1414" t="s">
        <v>1461</v>
      </c>
      <c r="B158" s="1482">
        <f>F10A!C161</f>
        <v>6.6000000000000005</v>
      </c>
      <c r="C158" s="685">
        <f>F10A!D161</f>
        <v>2.8934400000000002E-2</v>
      </c>
      <c r="D158" s="685">
        <f>F10A!E161</f>
        <v>26.400000000000002</v>
      </c>
      <c r="E158" s="685">
        <f>F10A!L161</f>
        <v>0</v>
      </c>
      <c r="F158" s="685">
        <f>F10A!K161</f>
        <v>0</v>
      </c>
      <c r="G158" s="685">
        <f>F10A!J161</f>
        <v>2.2279488000000004E-2</v>
      </c>
      <c r="H158" s="1179"/>
      <c r="I158" s="1179">
        <f t="shared" si="4"/>
        <v>2.2279488000000004E-2</v>
      </c>
      <c r="J158" s="1179"/>
      <c r="K158" s="1179"/>
      <c r="L158" s="1179">
        <f t="shared" si="5"/>
        <v>2.2279488000000004E-2</v>
      </c>
    </row>
    <row r="159" spans="1:12" ht="14.5">
      <c r="A159" s="1414" t="s">
        <v>469</v>
      </c>
      <c r="B159" s="1482">
        <f>F10A!C162</f>
        <v>6.6000000000000005</v>
      </c>
      <c r="C159" s="685">
        <f>F10A!D162</f>
        <v>2.8934400000000002E-2</v>
      </c>
      <c r="D159" s="685">
        <f>F10A!E162</f>
        <v>26.400000000000002</v>
      </c>
      <c r="E159" s="685">
        <f>F10A!L162</f>
        <v>0</v>
      </c>
      <c r="F159" s="685">
        <f>F10A!K162</f>
        <v>0</v>
      </c>
      <c r="G159" s="685">
        <f>F10A!J162</f>
        <v>2.2279488000000004E-2</v>
      </c>
      <c r="H159" s="1179"/>
      <c r="I159" s="1179">
        <f t="shared" si="4"/>
        <v>2.2279488000000004E-2</v>
      </c>
      <c r="J159" s="1179"/>
      <c r="K159" s="1179"/>
      <c r="L159" s="1179">
        <f t="shared" si="5"/>
        <v>2.2279488000000004E-2</v>
      </c>
    </row>
    <row r="160" spans="1:12" ht="14.5">
      <c r="A160" s="1420" t="s">
        <v>1013</v>
      </c>
      <c r="B160" s="1482">
        <f>F10A!C163</f>
        <v>6.6000000000000005</v>
      </c>
      <c r="C160" s="685">
        <f>F10A!D163</f>
        <v>0</v>
      </c>
      <c r="D160" s="685">
        <f>F10A!E163</f>
        <v>26.400000000000002</v>
      </c>
      <c r="E160" s="685">
        <f>F10A!L163</f>
        <v>0</v>
      </c>
      <c r="F160" s="685">
        <f>F10A!K163</f>
        <v>0</v>
      </c>
      <c r="G160" s="685">
        <f>F10A!J163</f>
        <v>0</v>
      </c>
      <c r="H160" s="1179"/>
      <c r="I160" s="1179">
        <f t="shared" si="4"/>
        <v>0</v>
      </c>
      <c r="J160" s="1179"/>
      <c r="K160" s="1179"/>
      <c r="L160" s="1179">
        <f t="shared" si="5"/>
        <v>0</v>
      </c>
    </row>
    <row r="161" spans="1:12" ht="14.5">
      <c r="A161" s="1421" t="s">
        <v>1430</v>
      </c>
      <c r="B161" s="1482">
        <f>F10A!C164</f>
        <v>0</v>
      </c>
      <c r="C161" s="685">
        <f>F10A!D164</f>
        <v>0</v>
      </c>
      <c r="D161" s="685">
        <f>F10A!E164</f>
        <v>0</v>
      </c>
      <c r="E161" s="685">
        <f>F10A!L164</f>
        <v>0</v>
      </c>
      <c r="F161" s="685">
        <f>F10A!K164</f>
        <v>0</v>
      </c>
      <c r="G161" s="685">
        <f>F10A!J164</f>
        <v>0</v>
      </c>
      <c r="H161" s="1179"/>
      <c r="I161" s="1179">
        <f t="shared" si="4"/>
        <v>0</v>
      </c>
      <c r="J161" s="1179"/>
      <c r="K161" s="1179"/>
      <c r="L161" s="1179">
        <f t="shared" si="5"/>
        <v>0</v>
      </c>
    </row>
    <row r="162" spans="1:12" ht="14.5">
      <c r="A162" s="1421" t="s">
        <v>1431</v>
      </c>
      <c r="B162" s="1482">
        <f>F10A!C165</f>
        <v>0</v>
      </c>
      <c r="C162" s="685">
        <f>F10A!D165</f>
        <v>0</v>
      </c>
      <c r="D162" s="685">
        <f>F10A!E165</f>
        <v>0</v>
      </c>
      <c r="E162" s="685">
        <f>F10A!L165</f>
        <v>0</v>
      </c>
      <c r="F162" s="685">
        <f>F10A!K165</f>
        <v>0</v>
      </c>
      <c r="G162" s="685">
        <f>F10A!J165</f>
        <v>0</v>
      </c>
      <c r="H162" s="1179"/>
      <c r="I162" s="1179">
        <f t="shared" si="4"/>
        <v>0</v>
      </c>
      <c r="J162" s="1179"/>
      <c r="K162" s="1179"/>
      <c r="L162" s="1179">
        <f t="shared" si="5"/>
        <v>0</v>
      </c>
    </row>
    <row r="163" spans="1:12" ht="14.5">
      <c r="A163" s="1421" t="s">
        <v>1432</v>
      </c>
      <c r="B163" s="1482">
        <f>F10A!C166</f>
        <v>0</v>
      </c>
      <c r="C163" s="685">
        <f>F10A!D166</f>
        <v>0</v>
      </c>
      <c r="D163" s="685">
        <f>F10A!E166</f>
        <v>0</v>
      </c>
      <c r="E163" s="685">
        <f>F10A!L166</f>
        <v>0</v>
      </c>
      <c r="F163" s="685">
        <f>F10A!K166</f>
        <v>0</v>
      </c>
      <c r="G163" s="685">
        <f>F10A!J166</f>
        <v>0</v>
      </c>
      <c r="H163" s="1179"/>
      <c r="I163" s="1179">
        <f t="shared" si="4"/>
        <v>0</v>
      </c>
      <c r="J163" s="1179"/>
      <c r="K163" s="1179"/>
      <c r="L163" s="1179">
        <f t="shared" si="5"/>
        <v>0</v>
      </c>
    </row>
    <row r="164" spans="1:12" ht="14.5">
      <c r="A164" s="1421" t="s">
        <v>1433</v>
      </c>
      <c r="B164" s="1482">
        <f>F10A!C167</f>
        <v>0</v>
      </c>
      <c r="C164" s="685">
        <f>F10A!D167</f>
        <v>0</v>
      </c>
      <c r="D164" s="685">
        <f>F10A!E167</f>
        <v>0</v>
      </c>
      <c r="E164" s="685">
        <f>F10A!L167</f>
        <v>0</v>
      </c>
      <c r="F164" s="685">
        <f>F10A!K167</f>
        <v>0</v>
      </c>
      <c r="G164" s="685">
        <f>F10A!J167</f>
        <v>0</v>
      </c>
      <c r="H164" s="1179"/>
      <c r="I164" s="1179">
        <f t="shared" si="4"/>
        <v>0</v>
      </c>
      <c r="J164" s="1179"/>
      <c r="K164" s="1179"/>
      <c r="L164" s="1179">
        <f t="shared" si="5"/>
        <v>0</v>
      </c>
    </row>
    <row r="165" spans="1:12" ht="14.5">
      <c r="A165" s="1420" t="s">
        <v>1014</v>
      </c>
      <c r="B165" s="1482">
        <f>F10A!C168</f>
        <v>6.6000000000000005</v>
      </c>
      <c r="C165" s="685">
        <f>F10A!D168</f>
        <v>0</v>
      </c>
      <c r="D165" s="685">
        <f>F10A!E168</f>
        <v>26.400000000000002</v>
      </c>
      <c r="E165" s="685">
        <f>F10A!L168</f>
        <v>0</v>
      </c>
      <c r="F165" s="685">
        <f>F10A!K168</f>
        <v>0</v>
      </c>
      <c r="G165" s="685">
        <f>F10A!J168</f>
        <v>0</v>
      </c>
      <c r="H165" s="1179"/>
      <c r="I165" s="1179">
        <f t="shared" si="4"/>
        <v>0</v>
      </c>
      <c r="J165" s="1179"/>
      <c r="K165" s="1179"/>
      <c r="L165" s="1179">
        <f t="shared" si="5"/>
        <v>0</v>
      </c>
    </row>
    <row r="166" spans="1:12" ht="14.5">
      <c r="A166" s="1421" t="s">
        <v>1430</v>
      </c>
      <c r="B166" s="1482">
        <f>F10A!C169</f>
        <v>0</v>
      </c>
      <c r="C166" s="685">
        <f>F10A!D169</f>
        <v>0</v>
      </c>
      <c r="D166" s="685">
        <f>F10A!E169</f>
        <v>0</v>
      </c>
      <c r="E166" s="685">
        <f>F10A!L169</f>
        <v>0</v>
      </c>
      <c r="F166" s="685">
        <f>F10A!K169</f>
        <v>0</v>
      </c>
      <c r="G166" s="685">
        <f>F10A!J169</f>
        <v>0</v>
      </c>
      <c r="H166" s="1179"/>
      <c r="I166" s="1179">
        <f t="shared" si="4"/>
        <v>0</v>
      </c>
      <c r="J166" s="1179"/>
      <c r="K166" s="1179"/>
      <c r="L166" s="1179">
        <f t="shared" si="5"/>
        <v>0</v>
      </c>
    </row>
    <row r="167" spans="1:12" ht="14.5">
      <c r="A167" s="1421" t="s">
        <v>1431</v>
      </c>
      <c r="B167" s="1482">
        <f>F10A!C170</f>
        <v>0</v>
      </c>
      <c r="C167" s="685">
        <f>F10A!D170</f>
        <v>0</v>
      </c>
      <c r="D167" s="685">
        <f>F10A!E170</f>
        <v>0</v>
      </c>
      <c r="E167" s="685">
        <f>F10A!L170</f>
        <v>0</v>
      </c>
      <c r="F167" s="685">
        <f>F10A!K170</f>
        <v>0</v>
      </c>
      <c r="G167" s="685">
        <f>F10A!J170</f>
        <v>0</v>
      </c>
      <c r="H167" s="1179"/>
      <c r="I167" s="1179">
        <f t="shared" si="4"/>
        <v>0</v>
      </c>
      <c r="J167" s="1179"/>
      <c r="K167" s="1179"/>
      <c r="L167" s="1179">
        <f t="shared" si="5"/>
        <v>0</v>
      </c>
    </row>
    <row r="168" spans="1:12" ht="14.5">
      <c r="A168" s="1421" t="s">
        <v>1432</v>
      </c>
      <c r="B168" s="1482">
        <f>F10A!C171</f>
        <v>0</v>
      </c>
      <c r="C168" s="685">
        <f>F10A!D171</f>
        <v>0</v>
      </c>
      <c r="D168" s="685">
        <f>F10A!E171</f>
        <v>0</v>
      </c>
      <c r="E168" s="685">
        <f>F10A!L171</f>
        <v>0</v>
      </c>
      <c r="F168" s="685">
        <f>F10A!K171</f>
        <v>0</v>
      </c>
      <c r="G168" s="685">
        <f>F10A!J171</f>
        <v>0</v>
      </c>
      <c r="H168" s="1179"/>
      <c r="I168" s="1179">
        <f t="shared" si="4"/>
        <v>0</v>
      </c>
      <c r="J168" s="1179"/>
      <c r="K168" s="1179"/>
      <c r="L168" s="1179">
        <f t="shared" si="5"/>
        <v>0</v>
      </c>
    </row>
    <row r="169" spans="1:12" ht="14.5">
      <c r="A169" s="1421" t="s">
        <v>1433</v>
      </c>
      <c r="B169" s="1482">
        <f>F10A!C172</f>
        <v>0</v>
      </c>
      <c r="C169" s="685">
        <f>F10A!D172</f>
        <v>0</v>
      </c>
      <c r="D169" s="685">
        <f>F10A!E172</f>
        <v>0</v>
      </c>
      <c r="E169" s="685">
        <f>F10A!L172</f>
        <v>0</v>
      </c>
      <c r="F169" s="685">
        <f>F10A!K172</f>
        <v>0</v>
      </c>
      <c r="G169" s="685">
        <f>F10A!J172</f>
        <v>0</v>
      </c>
      <c r="H169" s="1179"/>
      <c r="I169" s="1179">
        <f t="shared" si="4"/>
        <v>0</v>
      </c>
      <c r="J169" s="1179"/>
      <c r="K169" s="1179"/>
      <c r="L169" s="1179">
        <f t="shared" si="5"/>
        <v>0</v>
      </c>
    </row>
    <row r="170" spans="1:12" ht="14.5">
      <c r="A170" s="1414" t="s">
        <v>470</v>
      </c>
      <c r="B170" s="1482">
        <f>F10A!C173</f>
        <v>0</v>
      </c>
      <c r="C170" s="685">
        <f>F10A!D173</f>
        <v>0</v>
      </c>
      <c r="D170" s="685">
        <f>F10A!E173</f>
        <v>0</v>
      </c>
      <c r="E170" s="685">
        <f>F10A!L173</f>
        <v>0</v>
      </c>
      <c r="F170" s="685">
        <f>F10A!K173</f>
        <v>0</v>
      </c>
      <c r="G170" s="685">
        <f>F10A!J173</f>
        <v>0</v>
      </c>
      <c r="H170" s="1179"/>
      <c r="I170" s="1179">
        <f t="shared" si="4"/>
        <v>0</v>
      </c>
      <c r="J170" s="1179"/>
      <c r="K170" s="1179"/>
      <c r="L170" s="1179">
        <f t="shared" si="5"/>
        <v>0</v>
      </c>
    </row>
    <row r="171" spans="1:12" ht="14.5">
      <c r="A171" s="1420" t="s">
        <v>1013</v>
      </c>
      <c r="B171" s="1482">
        <f>F10A!C174</f>
        <v>0</v>
      </c>
      <c r="C171" s="685">
        <f>F10A!D174</f>
        <v>0</v>
      </c>
      <c r="D171" s="685">
        <f>F10A!E174</f>
        <v>0</v>
      </c>
      <c r="E171" s="685">
        <f>F10A!L174</f>
        <v>0</v>
      </c>
      <c r="F171" s="685">
        <f>F10A!K174</f>
        <v>0</v>
      </c>
      <c r="G171" s="685">
        <f>F10A!J174</f>
        <v>0</v>
      </c>
      <c r="H171" s="1179"/>
      <c r="I171" s="1179">
        <f t="shared" si="4"/>
        <v>0</v>
      </c>
      <c r="J171" s="1179"/>
      <c r="K171" s="1179"/>
      <c r="L171" s="1179">
        <f t="shared" si="5"/>
        <v>0</v>
      </c>
    </row>
    <row r="172" spans="1:12" ht="14.5">
      <c r="A172" s="1421" t="s">
        <v>1430</v>
      </c>
      <c r="B172" s="1482">
        <f>F10A!C175</f>
        <v>0</v>
      </c>
      <c r="C172" s="685">
        <f>F10A!D175</f>
        <v>0</v>
      </c>
      <c r="D172" s="685">
        <f>F10A!E175</f>
        <v>0</v>
      </c>
      <c r="E172" s="685">
        <f>F10A!L175</f>
        <v>0</v>
      </c>
      <c r="F172" s="685">
        <f>F10A!K175</f>
        <v>0</v>
      </c>
      <c r="G172" s="685">
        <f>F10A!J175</f>
        <v>0</v>
      </c>
      <c r="H172" s="1179"/>
      <c r="I172" s="1179">
        <f t="shared" si="4"/>
        <v>0</v>
      </c>
      <c r="J172" s="1179"/>
      <c r="K172" s="1179"/>
      <c r="L172" s="1179">
        <f t="shared" si="5"/>
        <v>0</v>
      </c>
    </row>
    <row r="173" spans="1:12" ht="14.5">
      <c r="A173" s="1421" t="s">
        <v>1431</v>
      </c>
      <c r="B173" s="1482">
        <f>F10A!C176</f>
        <v>0</v>
      </c>
      <c r="C173" s="685">
        <f>F10A!D176</f>
        <v>0</v>
      </c>
      <c r="D173" s="685">
        <f>F10A!E176</f>
        <v>0</v>
      </c>
      <c r="E173" s="685">
        <f>F10A!L176</f>
        <v>0</v>
      </c>
      <c r="F173" s="685">
        <f>F10A!K176</f>
        <v>0</v>
      </c>
      <c r="G173" s="685">
        <f>F10A!J176</f>
        <v>0</v>
      </c>
      <c r="H173" s="1179"/>
      <c r="I173" s="1179">
        <f t="shared" si="4"/>
        <v>0</v>
      </c>
      <c r="J173" s="1179"/>
      <c r="K173" s="1179"/>
      <c r="L173" s="1179">
        <f t="shared" si="5"/>
        <v>0</v>
      </c>
    </row>
    <row r="174" spans="1:12" ht="14.5">
      <c r="A174" s="1421" t="s">
        <v>1432</v>
      </c>
      <c r="B174" s="1482">
        <f>F10A!C177</f>
        <v>0</v>
      </c>
      <c r="C174" s="685">
        <f>F10A!D177</f>
        <v>0</v>
      </c>
      <c r="D174" s="685">
        <f>F10A!E177</f>
        <v>0</v>
      </c>
      <c r="E174" s="685">
        <f>F10A!L177</f>
        <v>0</v>
      </c>
      <c r="F174" s="685">
        <f>F10A!K177</f>
        <v>0</v>
      </c>
      <c r="G174" s="685">
        <f>F10A!J177</f>
        <v>0</v>
      </c>
      <c r="H174" s="1179"/>
      <c r="I174" s="1179">
        <f t="shared" si="4"/>
        <v>0</v>
      </c>
      <c r="J174" s="1179"/>
      <c r="K174" s="1179"/>
      <c r="L174" s="1179">
        <f t="shared" si="5"/>
        <v>0</v>
      </c>
    </row>
    <row r="175" spans="1:12" ht="14.5">
      <c r="A175" s="1421" t="s">
        <v>1433</v>
      </c>
      <c r="B175" s="1482">
        <f>F10A!C178</f>
        <v>0</v>
      </c>
      <c r="C175" s="685">
        <f>F10A!D178</f>
        <v>0</v>
      </c>
      <c r="D175" s="685">
        <f>F10A!E178</f>
        <v>0</v>
      </c>
      <c r="E175" s="685">
        <f>F10A!L178</f>
        <v>0</v>
      </c>
      <c r="F175" s="685">
        <f>F10A!K178</f>
        <v>0</v>
      </c>
      <c r="G175" s="685">
        <f>F10A!J178</f>
        <v>0</v>
      </c>
      <c r="H175" s="1179"/>
      <c r="I175" s="1179">
        <f t="shared" si="4"/>
        <v>0</v>
      </c>
      <c r="J175" s="1179"/>
      <c r="K175" s="1179"/>
      <c r="L175" s="1179">
        <f t="shared" si="5"/>
        <v>0</v>
      </c>
    </row>
    <row r="176" spans="1:12" ht="14.5">
      <c r="A176" s="1420" t="s">
        <v>1014</v>
      </c>
      <c r="B176" s="1482">
        <f>F10A!C179</f>
        <v>0</v>
      </c>
      <c r="C176" s="685">
        <f>F10A!D179</f>
        <v>0</v>
      </c>
      <c r="D176" s="685">
        <f>F10A!E179</f>
        <v>0</v>
      </c>
      <c r="E176" s="685">
        <f>F10A!L179</f>
        <v>0</v>
      </c>
      <c r="F176" s="685">
        <f>F10A!K179</f>
        <v>0</v>
      </c>
      <c r="G176" s="685">
        <f>F10A!J179</f>
        <v>0</v>
      </c>
      <c r="H176" s="1179"/>
      <c r="I176" s="1179">
        <f t="shared" si="4"/>
        <v>0</v>
      </c>
      <c r="J176" s="1179"/>
      <c r="K176" s="1179"/>
      <c r="L176" s="1179">
        <f t="shared" si="5"/>
        <v>0</v>
      </c>
    </row>
    <row r="177" spans="1:12" ht="14.5">
      <c r="A177" s="1421" t="s">
        <v>1430</v>
      </c>
      <c r="B177" s="1482">
        <f>F10A!C180</f>
        <v>0</v>
      </c>
      <c r="C177" s="685">
        <f>F10A!D180</f>
        <v>0</v>
      </c>
      <c r="D177" s="685">
        <f>F10A!E180</f>
        <v>0</v>
      </c>
      <c r="E177" s="685">
        <f>F10A!L180</f>
        <v>0</v>
      </c>
      <c r="F177" s="685">
        <f>F10A!K180</f>
        <v>0</v>
      </c>
      <c r="G177" s="685">
        <f>F10A!J180</f>
        <v>0</v>
      </c>
      <c r="H177" s="1179"/>
      <c r="I177" s="1179">
        <f t="shared" si="4"/>
        <v>0</v>
      </c>
      <c r="J177" s="1179"/>
      <c r="K177" s="1179"/>
      <c r="L177" s="1179">
        <f t="shared" si="5"/>
        <v>0</v>
      </c>
    </row>
    <row r="178" spans="1:12" ht="14.5">
      <c r="A178" s="1421" t="s">
        <v>1431</v>
      </c>
      <c r="B178" s="1482">
        <f>F10A!C181</f>
        <v>0</v>
      </c>
      <c r="C178" s="685">
        <f>F10A!D181</f>
        <v>0</v>
      </c>
      <c r="D178" s="685">
        <f>F10A!E181</f>
        <v>0</v>
      </c>
      <c r="E178" s="685">
        <f>F10A!L181</f>
        <v>0</v>
      </c>
      <c r="F178" s="685">
        <f>F10A!K181</f>
        <v>0</v>
      </c>
      <c r="G178" s="685">
        <f>F10A!J181</f>
        <v>0</v>
      </c>
      <c r="H178" s="1179"/>
      <c r="I178" s="1179">
        <f t="shared" si="4"/>
        <v>0</v>
      </c>
      <c r="J178" s="1179"/>
      <c r="K178" s="1179"/>
      <c r="L178" s="1179">
        <f t="shared" si="5"/>
        <v>0</v>
      </c>
    </row>
    <row r="179" spans="1:12" ht="14.5">
      <c r="A179" s="1421" t="s">
        <v>1432</v>
      </c>
      <c r="B179" s="1482">
        <f>F10A!C182</f>
        <v>0</v>
      </c>
      <c r="C179" s="685">
        <f>F10A!D182</f>
        <v>0</v>
      </c>
      <c r="D179" s="685">
        <f>F10A!E182</f>
        <v>0</v>
      </c>
      <c r="E179" s="685">
        <f>F10A!L182</f>
        <v>0</v>
      </c>
      <c r="F179" s="685">
        <f>F10A!K182</f>
        <v>0</v>
      </c>
      <c r="G179" s="685">
        <f>F10A!J182</f>
        <v>0</v>
      </c>
      <c r="H179" s="1179"/>
      <c r="I179" s="1179">
        <f t="shared" si="4"/>
        <v>0</v>
      </c>
      <c r="J179" s="1179"/>
      <c r="K179" s="1179"/>
      <c r="L179" s="1179">
        <f t="shared" si="5"/>
        <v>0</v>
      </c>
    </row>
    <row r="180" spans="1:12" ht="14.5">
      <c r="A180" s="1421" t="s">
        <v>1433</v>
      </c>
      <c r="B180" s="1482">
        <f>F10A!C183</f>
        <v>0</v>
      </c>
      <c r="C180" s="685">
        <f>F10A!D183</f>
        <v>0</v>
      </c>
      <c r="D180" s="685">
        <f>F10A!E183</f>
        <v>0</v>
      </c>
      <c r="E180" s="685">
        <f>F10A!L183</f>
        <v>0</v>
      </c>
      <c r="F180" s="685">
        <f>F10A!K183</f>
        <v>0</v>
      </c>
      <c r="G180" s="685">
        <f>F10A!J183</f>
        <v>0</v>
      </c>
      <c r="H180" s="1179"/>
      <c r="I180" s="1179">
        <f t="shared" si="4"/>
        <v>0</v>
      </c>
      <c r="J180" s="1179"/>
      <c r="K180" s="1179"/>
      <c r="L180" s="1179">
        <f t="shared" si="5"/>
        <v>0</v>
      </c>
    </row>
    <row r="181" spans="1:12" ht="14.5">
      <c r="A181" s="1414" t="s">
        <v>1425</v>
      </c>
      <c r="B181" s="1482">
        <f>F10A!C184</f>
        <v>6.6000000000000005</v>
      </c>
      <c r="C181" s="685">
        <f>F10A!D184</f>
        <v>2.8934400000000002E-2</v>
      </c>
      <c r="D181" s="685">
        <f>F10A!E184</f>
        <v>26.400000000000002</v>
      </c>
      <c r="E181" s="685">
        <f>F10A!L184</f>
        <v>0</v>
      </c>
      <c r="F181" s="685">
        <f>F10A!K184</f>
        <v>0</v>
      </c>
      <c r="G181" s="685">
        <f>F10A!J184</f>
        <v>2.2279488000000004E-2</v>
      </c>
      <c r="H181" s="1179"/>
      <c r="I181" s="1179">
        <f t="shared" si="4"/>
        <v>2.2279488000000004E-2</v>
      </c>
      <c r="J181" s="1179"/>
      <c r="K181" s="1179"/>
      <c r="L181" s="1179">
        <f t="shared" si="5"/>
        <v>2.2279488000000004E-2</v>
      </c>
    </row>
    <row r="182" spans="1:12" ht="14.5">
      <c r="A182" s="1418"/>
      <c r="B182" s="1482">
        <f>F10A!C185</f>
        <v>0</v>
      </c>
      <c r="C182" s="685">
        <f>F10A!D185</f>
        <v>0</v>
      </c>
      <c r="D182" s="685">
        <f>F10A!E185</f>
        <v>0</v>
      </c>
      <c r="E182" s="685">
        <f>F10A!L185</f>
        <v>0</v>
      </c>
      <c r="F182" s="685">
        <f>F10A!K185</f>
        <v>0</v>
      </c>
      <c r="G182" s="685">
        <f>F10A!J185</f>
        <v>0</v>
      </c>
      <c r="H182" s="1179"/>
      <c r="I182" s="1179">
        <f t="shared" si="4"/>
        <v>0</v>
      </c>
      <c r="J182" s="1179"/>
      <c r="K182" s="1179"/>
      <c r="L182" s="1179">
        <f t="shared" si="5"/>
        <v>0</v>
      </c>
    </row>
    <row r="183" spans="1:12" ht="14.5">
      <c r="A183" s="1414" t="s">
        <v>1119</v>
      </c>
      <c r="B183" s="1482">
        <f>F10A!C186</f>
        <v>0</v>
      </c>
      <c r="C183" s="685">
        <f>F10A!D186</f>
        <v>0</v>
      </c>
      <c r="D183" s="685">
        <f>F10A!E186</f>
        <v>0</v>
      </c>
      <c r="E183" s="685">
        <f>F10A!L186</f>
        <v>0</v>
      </c>
      <c r="F183" s="685">
        <f>F10A!K186</f>
        <v>0</v>
      </c>
      <c r="G183" s="685">
        <f>F10A!J186</f>
        <v>0</v>
      </c>
      <c r="H183" s="1179"/>
      <c r="I183" s="1179">
        <f t="shared" si="4"/>
        <v>0</v>
      </c>
      <c r="J183" s="1179"/>
      <c r="K183" s="1179"/>
      <c r="L183" s="1179">
        <f t="shared" si="5"/>
        <v>0</v>
      </c>
    </row>
    <row r="184" spans="1:12" ht="14.5">
      <c r="A184" s="1414" t="s">
        <v>475</v>
      </c>
      <c r="B184" s="1482">
        <f>F10A!C187</f>
        <v>84</v>
      </c>
      <c r="C184" s="685">
        <f>F10A!D187</f>
        <v>0</v>
      </c>
      <c r="D184" s="685">
        <f>F10A!E187</f>
        <v>13332.966059082339</v>
      </c>
      <c r="E184" s="685">
        <f>F10A!L187</f>
        <v>0</v>
      </c>
      <c r="F184" s="685">
        <f>F10A!K187</f>
        <v>0</v>
      </c>
      <c r="G184" s="685">
        <f>F10A!J187</f>
        <v>0</v>
      </c>
      <c r="H184" s="1179"/>
      <c r="I184" s="1179">
        <f t="shared" si="4"/>
        <v>0</v>
      </c>
      <c r="J184" s="1179"/>
      <c r="K184" s="1179"/>
      <c r="L184" s="1179">
        <f t="shared" si="5"/>
        <v>0</v>
      </c>
    </row>
    <row r="185" spans="1:12" ht="14.5">
      <c r="A185" s="1418" t="s">
        <v>1411</v>
      </c>
      <c r="B185" s="1482">
        <f>F10A!C188</f>
        <v>81</v>
      </c>
      <c r="C185" s="685">
        <f>F10A!D188</f>
        <v>0</v>
      </c>
      <c r="D185" s="685">
        <f>F10A!E188</f>
        <v>11095.966059082339</v>
      </c>
      <c r="E185" s="685">
        <f>F10A!L188</f>
        <v>0</v>
      </c>
      <c r="F185" s="685">
        <f>F10A!K188</f>
        <v>0</v>
      </c>
      <c r="G185" s="685">
        <f>F10A!J188</f>
        <v>0</v>
      </c>
      <c r="H185" s="1179"/>
      <c r="I185" s="1179">
        <f t="shared" si="4"/>
        <v>0</v>
      </c>
      <c r="J185" s="1179"/>
      <c r="K185" s="1179"/>
      <c r="L185" s="1179">
        <f t="shared" si="5"/>
        <v>0</v>
      </c>
    </row>
    <row r="186" spans="1:12" ht="14.5">
      <c r="A186" s="1418" t="s">
        <v>1462</v>
      </c>
      <c r="B186" s="1482">
        <f>F10A!C189</f>
        <v>3</v>
      </c>
      <c r="C186" s="685">
        <f>F10A!D189</f>
        <v>0</v>
      </c>
      <c r="D186" s="685">
        <f>F10A!E189</f>
        <v>2237</v>
      </c>
      <c r="E186" s="685">
        <f>F10A!L189</f>
        <v>0</v>
      </c>
      <c r="F186" s="685">
        <f>F10A!K189</f>
        <v>0</v>
      </c>
      <c r="G186" s="685">
        <f>F10A!J189</f>
        <v>0</v>
      </c>
      <c r="H186" s="1179"/>
      <c r="I186" s="1179">
        <f t="shared" si="4"/>
        <v>0</v>
      </c>
      <c r="J186" s="1179"/>
      <c r="K186" s="1179"/>
      <c r="L186" s="1179">
        <f t="shared" si="5"/>
        <v>0</v>
      </c>
    </row>
    <row r="187" spans="1:12" ht="14.5">
      <c r="A187" s="1414" t="s">
        <v>1403</v>
      </c>
      <c r="B187" s="1482">
        <f>F10A!C190</f>
        <v>867.5100000000001</v>
      </c>
      <c r="C187" s="685">
        <f>F10A!D190</f>
        <v>0</v>
      </c>
      <c r="D187" s="685">
        <f>F10A!E190</f>
        <v>252153.027</v>
      </c>
      <c r="E187" s="685">
        <f>F10A!L190</f>
        <v>0</v>
      </c>
      <c r="F187" s="685">
        <f>F10A!K190</f>
        <v>0</v>
      </c>
      <c r="G187" s="685">
        <f>F10A!J190</f>
        <v>0</v>
      </c>
      <c r="H187" s="1179"/>
      <c r="I187" s="1179">
        <f t="shared" si="4"/>
        <v>0</v>
      </c>
      <c r="J187" s="1179"/>
      <c r="K187" s="1179"/>
      <c r="L187" s="1179">
        <f t="shared" si="5"/>
        <v>0</v>
      </c>
    </row>
    <row r="188" spans="1:12" ht="14.5">
      <c r="A188" s="1418" t="s">
        <v>1413</v>
      </c>
      <c r="B188" s="1482">
        <f>F10A!C191</f>
        <v>826.81200000000013</v>
      </c>
      <c r="C188" s="685">
        <f>F10A!D191</f>
        <v>0</v>
      </c>
      <c r="D188" s="685">
        <f>F10A!E191</f>
        <v>208227.033</v>
      </c>
      <c r="E188" s="685">
        <f>F10A!L191</f>
        <v>0</v>
      </c>
      <c r="F188" s="685">
        <f>F10A!K191</f>
        <v>0</v>
      </c>
      <c r="G188" s="685">
        <f>F10A!J191</f>
        <v>0</v>
      </c>
      <c r="H188" s="1179"/>
      <c r="I188" s="1179">
        <f t="shared" si="4"/>
        <v>0</v>
      </c>
      <c r="J188" s="1179"/>
      <c r="K188" s="1179"/>
      <c r="L188" s="1179">
        <f t="shared" si="5"/>
        <v>0</v>
      </c>
    </row>
    <row r="189" spans="1:12" ht="14.5">
      <c r="A189" s="1418" t="s">
        <v>1463</v>
      </c>
      <c r="B189" s="1482">
        <f>F10A!C192</f>
        <v>40.698</v>
      </c>
      <c r="C189" s="685">
        <f>F10A!D192</f>
        <v>0</v>
      </c>
      <c r="D189" s="685">
        <f>F10A!E192</f>
        <v>43925.993999999999</v>
      </c>
      <c r="E189" s="685">
        <f>F10A!L192</f>
        <v>0</v>
      </c>
      <c r="F189" s="685">
        <f>F10A!K192</f>
        <v>0</v>
      </c>
      <c r="G189" s="685">
        <f>F10A!J192</f>
        <v>0</v>
      </c>
      <c r="H189" s="1179"/>
      <c r="I189" s="1179">
        <f t="shared" si="4"/>
        <v>0</v>
      </c>
      <c r="J189" s="1179"/>
      <c r="K189" s="1179"/>
      <c r="L189" s="1179">
        <f t="shared" si="5"/>
        <v>0</v>
      </c>
    </row>
    <row r="190" spans="1:12" ht="14.5">
      <c r="A190" s="1414" t="s">
        <v>1425</v>
      </c>
      <c r="B190" s="1482">
        <f>F10A!C193</f>
        <v>951.5100000000001</v>
      </c>
      <c r="C190" s="685">
        <f>F10A!D193</f>
        <v>0</v>
      </c>
      <c r="D190" s="685">
        <f>F10A!E193</f>
        <v>265485.99305908236</v>
      </c>
      <c r="E190" s="685">
        <f>F10A!L193</f>
        <v>0</v>
      </c>
      <c r="F190" s="685">
        <f>F10A!K193</f>
        <v>0</v>
      </c>
      <c r="G190" s="685">
        <f>F10A!J193</f>
        <v>0</v>
      </c>
      <c r="H190" s="1179"/>
      <c r="I190" s="1179">
        <f t="shared" si="4"/>
        <v>0</v>
      </c>
      <c r="J190" s="1179"/>
      <c r="K190" s="1179"/>
      <c r="L190" s="1179">
        <f t="shared" si="5"/>
        <v>0</v>
      </c>
    </row>
    <row r="191" spans="1:12" ht="58">
      <c r="A191" s="1422" t="s">
        <v>1464</v>
      </c>
      <c r="B191" s="1482">
        <f>F10A!C194</f>
        <v>475.75500000000005</v>
      </c>
      <c r="C191" s="685">
        <f>F10A!D194</f>
        <v>254.30253333333329</v>
      </c>
      <c r="D191" s="685">
        <f>F10A!E194</f>
        <v>132742.99652954118</v>
      </c>
      <c r="E191" s="685">
        <f>F10A!L194</f>
        <v>0</v>
      </c>
      <c r="F191" s="685">
        <f>F10A!K194</f>
        <v>48.808629952063384</v>
      </c>
      <c r="G191" s="685">
        <f>F10A!J194</f>
        <v>219.55107698306659</v>
      </c>
      <c r="H191" s="1179"/>
      <c r="I191" s="1179">
        <f t="shared" si="4"/>
        <v>268.35970693512996</v>
      </c>
      <c r="J191" s="1179"/>
      <c r="K191" s="1179"/>
      <c r="L191" s="1179">
        <f t="shared" si="5"/>
        <v>268.35970693512996</v>
      </c>
    </row>
    <row r="192" spans="1:12" ht="14.5">
      <c r="A192" s="1414" t="s">
        <v>1465</v>
      </c>
      <c r="B192" s="1482">
        <f>F10A!C195</f>
        <v>237.87750000000003</v>
      </c>
      <c r="C192" s="685">
        <f>F10A!D195</f>
        <v>213.61599999999996</v>
      </c>
      <c r="D192" s="685">
        <f>F10A!E195</f>
        <v>79645.797917724703</v>
      </c>
      <c r="E192" s="685">
        <f>F10A!L195</f>
        <v>0</v>
      </c>
      <c r="F192" s="685">
        <f>F10A!K195</f>
        <v>30.125900783809456</v>
      </c>
      <c r="G192" s="685">
        <f>F10A!J195</f>
        <v>185.20949474679995</v>
      </c>
      <c r="H192" s="1179"/>
      <c r="I192" s="1179">
        <f t="shared" si="4"/>
        <v>215.33539553060939</v>
      </c>
      <c r="J192" s="1179"/>
      <c r="K192" s="1179"/>
      <c r="L192" s="1179">
        <f t="shared" si="5"/>
        <v>215.33539553060939</v>
      </c>
    </row>
    <row r="193" spans="1:12" ht="14.5">
      <c r="A193" s="1418" t="s">
        <v>1466</v>
      </c>
      <c r="B193" s="1482">
        <f>F10A!C196</f>
        <v>216.46852500000003</v>
      </c>
      <c r="C193" s="685">
        <f>F10A!D196</f>
        <v>5.8109236999999991</v>
      </c>
      <c r="D193" s="685">
        <f>F10A!E196</f>
        <v>2389.3739375317409</v>
      </c>
      <c r="E193" s="685">
        <f>F10A!L196</f>
        <v>0</v>
      </c>
      <c r="F193" s="685">
        <f>F10A!K196</f>
        <v>0.90377702351428391</v>
      </c>
      <c r="G193" s="685">
        <f>F10A!J196</f>
        <v>4.8346885183999992</v>
      </c>
      <c r="H193" s="1179"/>
      <c r="I193" s="1179">
        <f t="shared" si="4"/>
        <v>5.7384655419142829</v>
      </c>
      <c r="J193" s="1179"/>
      <c r="K193" s="1179"/>
      <c r="L193" s="1179">
        <f t="shared" si="5"/>
        <v>5.7384655419142829</v>
      </c>
    </row>
    <row r="194" spans="1:12" ht="14.5">
      <c r="A194" s="1418" t="s">
        <v>1467</v>
      </c>
      <c r="B194" s="1482">
        <f>F10A!C197</f>
        <v>21.408974999999995</v>
      </c>
      <c r="C194" s="685">
        <f>F10A!D197</f>
        <v>207.80507629999997</v>
      </c>
      <c r="D194" s="685">
        <f>F10A!E197</f>
        <v>77256.423980192965</v>
      </c>
      <c r="E194" s="685">
        <f>F10A!L197</f>
        <v>0</v>
      </c>
      <c r="F194" s="685">
        <f>F10A!K197</f>
        <v>29.222123760295172</v>
      </c>
      <c r="G194" s="685">
        <f>F10A!J197</f>
        <v>180.37480622839996</v>
      </c>
      <c r="H194" s="1179"/>
      <c r="I194" s="1179">
        <f t="shared" si="4"/>
        <v>209.59692998869514</v>
      </c>
      <c r="J194" s="1179"/>
      <c r="K194" s="1179"/>
      <c r="L194" s="1179">
        <f t="shared" si="5"/>
        <v>209.59692998869514</v>
      </c>
    </row>
    <row r="195" spans="1:12" ht="14.5">
      <c r="A195" s="1414" t="s">
        <v>1468</v>
      </c>
      <c r="B195" s="1482">
        <f>F10A!C198</f>
        <v>237.87750000000003</v>
      </c>
      <c r="C195" s="685">
        <f>F10A!D198</f>
        <v>40.686533333333323</v>
      </c>
      <c r="D195" s="685">
        <f>F10A!E198</f>
        <v>53097.198611816479</v>
      </c>
      <c r="E195" s="685">
        <f>F10A!L198</f>
        <v>0</v>
      </c>
      <c r="F195" s="685">
        <f>F10A!K198</f>
        <v>18.682729168253932</v>
      </c>
      <c r="G195" s="685">
        <f>F10A!J198</f>
        <v>34.34158223626666</v>
      </c>
      <c r="H195" s="1179"/>
      <c r="I195" s="1179">
        <f t="shared" si="4"/>
        <v>53.024311404520589</v>
      </c>
      <c r="J195" s="1179"/>
      <c r="K195" s="1179"/>
      <c r="L195" s="1179">
        <f t="shared" si="5"/>
        <v>53.024311404520589</v>
      </c>
    </row>
    <row r="196" spans="1:12" ht="14.5">
      <c r="A196" s="1418" t="s">
        <v>1466</v>
      </c>
      <c r="B196" s="1482">
        <f>F10A!C199</f>
        <v>171.27180000000001</v>
      </c>
      <c r="C196" s="685">
        <f>F10A!D199</f>
        <v>4.4610563999999995</v>
      </c>
      <c r="D196" s="685">
        <f>F10A!E199</f>
        <v>1592.9159583544943</v>
      </c>
      <c r="E196" s="685">
        <f>F10A!L199</f>
        <v>0</v>
      </c>
      <c r="F196" s="685">
        <f>F10A!K199</f>
        <v>0.56048187504761793</v>
      </c>
      <c r="G196" s="685">
        <f>F10A!J199</f>
        <v>3.6223777967999995</v>
      </c>
      <c r="H196" s="1179"/>
      <c r="I196" s="1179">
        <f t="shared" si="4"/>
        <v>4.1828596718476172</v>
      </c>
      <c r="J196" s="1179"/>
      <c r="K196" s="1179"/>
      <c r="L196" s="1179">
        <f t="shared" si="5"/>
        <v>4.1828596718476172</v>
      </c>
    </row>
    <row r="197" spans="1:12" ht="14.5">
      <c r="A197" s="1418" t="s">
        <v>1467</v>
      </c>
      <c r="B197" s="1482">
        <f>F10A!C200</f>
        <v>66.605700000000013</v>
      </c>
      <c r="C197" s="685">
        <f>F10A!D200</f>
        <v>36.225476933333326</v>
      </c>
      <c r="D197" s="685">
        <f>F10A!E200</f>
        <v>51504.282653461982</v>
      </c>
      <c r="E197" s="685">
        <f>F10A!L200</f>
        <v>0</v>
      </c>
      <c r="F197" s="685">
        <f>F10A!K200</f>
        <v>18.122247293206314</v>
      </c>
      <c r="G197" s="685">
        <f>F10A!J200</f>
        <v>30.719204439466658</v>
      </c>
      <c r="H197" s="1179"/>
      <c r="I197" s="1179">
        <f t="shared" si="4"/>
        <v>48.841451732672972</v>
      </c>
      <c r="J197" s="1179"/>
      <c r="K197" s="1179"/>
      <c r="L197" s="1179">
        <f t="shared" si="5"/>
        <v>48.841451732672972</v>
      </c>
    </row>
    <row r="198" spans="1:12" ht="87">
      <c r="A198" s="1422" t="s">
        <v>1469</v>
      </c>
      <c r="B198" s="1482">
        <f>F10A!C201</f>
        <v>475.75500000000005</v>
      </c>
      <c r="C198" s="685">
        <f>F10A!D201</f>
        <v>254.30253333333332</v>
      </c>
      <c r="D198" s="685">
        <f>F10A!E201</f>
        <v>132742.99652954118</v>
      </c>
      <c r="E198" s="685">
        <f>F10A!L201</f>
        <v>0</v>
      </c>
      <c r="F198" s="685">
        <f>F10A!K201</f>
        <v>43.203811201587214</v>
      </c>
      <c r="G198" s="685">
        <f>F10A!J201</f>
        <v>199.88097287666665</v>
      </c>
      <c r="H198" s="1179"/>
      <c r="I198" s="1179">
        <f t="shared" si="4"/>
        <v>243.08478407825385</v>
      </c>
      <c r="J198" s="1179"/>
      <c r="K198" s="1179"/>
      <c r="L198" s="1179">
        <f t="shared" si="5"/>
        <v>243.08478407825385</v>
      </c>
    </row>
    <row r="199" spans="1:12" ht="14.5">
      <c r="A199" s="1414" t="s">
        <v>1465</v>
      </c>
      <c r="B199" s="1482">
        <f>F10A!C202</f>
        <v>237.87750000000003</v>
      </c>
      <c r="C199" s="685">
        <f>F10A!D202</f>
        <v>213.61599999999999</v>
      </c>
      <c r="D199" s="685">
        <f>F10A!E202</f>
        <v>66371.498264770591</v>
      </c>
      <c r="E199" s="685">
        <f>F10A!L202</f>
        <v>0</v>
      </c>
      <c r="F199" s="685">
        <f>F10A!K202</f>
        <v>22.185740887301542</v>
      </c>
      <c r="G199" s="685">
        <f>F10A!J202</f>
        <v>168.641563338</v>
      </c>
      <c r="H199" s="1179"/>
      <c r="I199" s="1179">
        <f t="shared" ref="I199:I262" si="6">MAX(SUM(F199:G199),E199)</f>
        <v>190.82730422530153</v>
      </c>
      <c r="J199" s="1179"/>
      <c r="K199" s="1179"/>
      <c r="L199" s="1179">
        <f t="shared" ref="L199:L262" si="7">I199+J199+K199</f>
        <v>190.82730422530153</v>
      </c>
    </row>
    <row r="200" spans="1:12" ht="14.5">
      <c r="A200" s="1418" t="s">
        <v>1466</v>
      </c>
      <c r="B200" s="1482">
        <f>F10A!C203</f>
        <v>221.22607500000004</v>
      </c>
      <c r="C200" s="685">
        <f>F10A!D203</f>
        <v>5.7538330999999987</v>
      </c>
      <c r="D200" s="685">
        <f>F10A!E203</f>
        <v>2654.8599305908238</v>
      </c>
      <c r="E200" s="685">
        <f>F10A!L203</f>
        <v>0</v>
      </c>
      <c r="F200" s="685">
        <f>F10A!K203</f>
        <v>0.88742963549206166</v>
      </c>
      <c r="G200" s="685">
        <f>F10A!J203</f>
        <v>4.4304514869999991</v>
      </c>
      <c r="H200" s="1179"/>
      <c r="I200" s="1179">
        <f t="shared" si="6"/>
        <v>5.3178811224920608</v>
      </c>
      <c r="J200" s="1179"/>
      <c r="K200" s="1179"/>
      <c r="L200" s="1179">
        <f t="shared" si="7"/>
        <v>5.3178811224920608</v>
      </c>
    </row>
    <row r="201" spans="1:12" ht="14.5">
      <c r="A201" s="1418" t="s">
        <v>1467</v>
      </c>
      <c r="B201" s="1482">
        <f>F10A!C204</f>
        <v>16.651424999999989</v>
      </c>
      <c r="C201" s="685">
        <f>F10A!D204</f>
        <v>207.86216689999998</v>
      </c>
      <c r="D201" s="685">
        <f>F10A!E204</f>
        <v>63716.638334179763</v>
      </c>
      <c r="E201" s="685">
        <f>F10A!L204</f>
        <v>0</v>
      </c>
      <c r="F201" s="685">
        <f>F10A!K204</f>
        <v>21.29831125180948</v>
      </c>
      <c r="G201" s="685">
        <f>F10A!J204</f>
        <v>164.211111851</v>
      </c>
      <c r="H201" s="1179"/>
      <c r="I201" s="1179">
        <f t="shared" si="6"/>
        <v>185.50942310280948</v>
      </c>
      <c r="J201" s="1179"/>
      <c r="K201" s="1179"/>
      <c r="L201" s="1179">
        <f t="shared" si="7"/>
        <v>185.50942310280948</v>
      </c>
    </row>
    <row r="202" spans="1:12" ht="14.5">
      <c r="A202" s="1414" t="s">
        <v>1468</v>
      </c>
      <c r="B202" s="1482">
        <f>F10A!C205</f>
        <v>237.87750000000003</v>
      </c>
      <c r="C202" s="685">
        <f>F10A!D205</f>
        <v>40.686533333333323</v>
      </c>
      <c r="D202" s="685">
        <f>F10A!E205</f>
        <v>66371.498264770591</v>
      </c>
      <c r="E202" s="685">
        <f>F10A!L205</f>
        <v>0</v>
      </c>
      <c r="F202" s="685">
        <f>F10A!K205</f>
        <v>21.018070314285669</v>
      </c>
      <c r="G202" s="685">
        <f>F10A!J205</f>
        <v>31.23940953866666</v>
      </c>
      <c r="H202" s="1179"/>
      <c r="I202" s="1179">
        <f t="shared" si="6"/>
        <v>52.257479852952329</v>
      </c>
      <c r="J202" s="1179"/>
      <c r="K202" s="1179"/>
      <c r="L202" s="1179">
        <f t="shared" si="7"/>
        <v>52.257479852952329</v>
      </c>
    </row>
    <row r="203" spans="1:12" ht="14.5">
      <c r="A203" s="1418" t="s">
        <v>1466</v>
      </c>
      <c r="B203" s="1482">
        <f>F10A!C206</f>
        <v>171.27180000000001</v>
      </c>
      <c r="C203" s="685">
        <f>F10A!D206</f>
        <v>4.4610563999999995</v>
      </c>
      <c r="D203" s="685">
        <f>F10A!E206</f>
        <v>7632.7223004486186</v>
      </c>
      <c r="E203" s="685">
        <f>F10A!L206</f>
        <v>0</v>
      </c>
      <c r="F203" s="685">
        <f>F10A!K206</f>
        <v>2.417078086142852</v>
      </c>
      <c r="G203" s="685">
        <f>F10A!J206</f>
        <v>3.3457922999999994</v>
      </c>
      <c r="H203" s="1179"/>
      <c r="I203" s="1179">
        <f t="shared" si="6"/>
        <v>5.7628703861428514</v>
      </c>
      <c r="J203" s="1179"/>
      <c r="K203" s="1179"/>
      <c r="L203" s="1179">
        <f t="shared" si="7"/>
        <v>5.7628703861428514</v>
      </c>
    </row>
    <row r="204" spans="1:12" ht="14.5">
      <c r="A204" s="1418" t="s">
        <v>1467</v>
      </c>
      <c r="B204" s="1482">
        <f>F10A!C207</f>
        <v>66.605700000000013</v>
      </c>
      <c r="C204" s="685">
        <f>F10A!D207</f>
        <v>36.225476933333326</v>
      </c>
      <c r="D204" s="685">
        <f>F10A!E207</f>
        <v>58738.775964321976</v>
      </c>
      <c r="E204" s="685">
        <f>F10A!L207</f>
        <v>0</v>
      </c>
      <c r="F204" s="685">
        <f>F10A!K207</f>
        <v>18.600992228142818</v>
      </c>
      <c r="G204" s="685">
        <f>F10A!J207</f>
        <v>27.893617238666661</v>
      </c>
      <c r="H204" s="1179"/>
      <c r="I204" s="1179">
        <f t="shared" si="6"/>
        <v>46.494609466809479</v>
      </c>
      <c r="J204" s="1179"/>
      <c r="K204" s="1179"/>
      <c r="L204" s="1179">
        <f t="shared" si="7"/>
        <v>46.494609466809479</v>
      </c>
    </row>
    <row r="205" spans="1:12" ht="14.5">
      <c r="A205" s="1414" t="s">
        <v>1425</v>
      </c>
      <c r="B205" s="1482">
        <f>F10A!C208</f>
        <v>951.5100000000001</v>
      </c>
      <c r="C205" s="685">
        <f>F10A!D208</f>
        <v>508.60506666666663</v>
      </c>
      <c r="D205" s="685">
        <f>F10A!E208</f>
        <v>265485.99305908236</v>
      </c>
      <c r="E205" s="685">
        <f>F10A!L208</f>
        <v>0</v>
      </c>
      <c r="F205" s="685">
        <f>F10A!K208</f>
        <v>92.012441153650599</v>
      </c>
      <c r="G205" s="685">
        <f>F10A!J208</f>
        <v>419.43204985973324</v>
      </c>
      <c r="H205" s="1179"/>
      <c r="I205" s="1179">
        <f t="shared" si="6"/>
        <v>511.44449101338387</v>
      </c>
      <c r="J205" s="1179"/>
      <c r="K205" s="1179"/>
      <c r="L205" s="1179">
        <f t="shared" si="7"/>
        <v>511.44449101338387</v>
      </c>
    </row>
    <row r="206" spans="1:12" ht="14.5">
      <c r="A206" s="1418"/>
      <c r="B206" s="1482">
        <f>F10A!C209</f>
        <v>0</v>
      </c>
      <c r="C206" s="685">
        <f>F10A!D209</f>
        <v>0</v>
      </c>
      <c r="D206" s="685">
        <f>F10A!E209</f>
        <v>0</v>
      </c>
      <c r="E206" s="685">
        <f>F10A!L209</f>
        <v>0</v>
      </c>
      <c r="F206" s="685">
        <f>F10A!K209</f>
        <v>0</v>
      </c>
      <c r="G206" s="685">
        <f>F10A!J209</f>
        <v>0</v>
      </c>
      <c r="H206" s="1179"/>
      <c r="I206" s="1179">
        <f t="shared" si="6"/>
        <v>0</v>
      </c>
      <c r="J206" s="1179"/>
      <c r="K206" s="1179"/>
      <c r="L206" s="1179">
        <f t="shared" si="7"/>
        <v>0</v>
      </c>
    </row>
    <row r="207" spans="1:12" ht="14.5">
      <c r="A207" s="1414" t="s">
        <v>1125</v>
      </c>
      <c r="B207" s="1482">
        <f>F10A!C210</f>
        <v>0</v>
      </c>
      <c r="C207" s="685">
        <f>F10A!D210</f>
        <v>0</v>
      </c>
      <c r="D207" s="685">
        <f>F10A!E210</f>
        <v>0</v>
      </c>
      <c r="E207" s="685">
        <f>F10A!L210</f>
        <v>0</v>
      </c>
      <c r="F207" s="685">
        <f>F10A!K210</f>
        <v>0</v>
      </c>
      <c r="G207" s="685">
        <f>F10A!J210</f>
        <v>0</v>
      </c>
      <c r="H207" s="1179"/>
      <c r="I207" s="1179">
        <f t="shared" si="6"/>
        <v>0</v>
      </c>
      <c r="J207" s="1179"/>
      <c r="K207" s="1179"/>
      <c r="L207" s="1179">
        <f t="shared" si="7"/>
        <v>0</v>
      </c>
    </row>
    <row r="208" spans="1:12" ht="14.5">
      <c r="A208" s="1414" t="s">
        <v>1126</v>
      </c>
      <c r="B208" s="1482">
        <f>F10A!C211</f>
        <v>1165.9291000000001</v>
      </c>
      <c r="C208" s="685">
        <f>F10A!D211</f>
        <v>796.00597333333349</v>
      </c>
      <c r="D208" s="685">
        <f>F10A!E211</f>
        <v>346738.19060000003</v>
      </c>
      <c r="E208" s="685">
        <f>F10A!L211</f>
        <v>0</v>
      </c>
      <c r="F208" s="685">
        <f>F10A!K211</f>
        <v>92.255923431000014</v>
      </c>
      <c r="G208" s="685">
        <f>F10A!J211</f>
        <v>564.17988160374989</v>
      </c>
      <c r="H208" s="1179"/>
      <c r="I208" s="1179">
        <f t="shared" si="6"/>
        <v>656.43580503474993</v>
      </c>
      <c r="J208" s="1179"/>
      <c r="K208" s="1179"/>
      <c r="L208" s="1179">
        <f t="shared" si="7"/>
        <v>656.43580503474993</v>
      </c>
    </row>
    <row r="209" spans="1:12" ht="14.5">
      <c r="A209" s="1419" t="s">
        <v>1013</v>
      </c>
      <c r="B209" s="1482">
        <f>F10A!C212</f>
        <v>1165.9291000000001</v>
      </c>
      <c r="C209" s="685">
        <f>F10A!D212</f>
        <v>398.00298666666674</v>
      </c>
      <c r="D209" s="685">
        <f>F10A!E212</f>
        <v>346738.19060000003</v>
      </c>
      <c r="E209" s="685">
        <f>F10A!L212</f>
        <v>0</v>
      </c>
      <c r="F209" s="685">
        <f>F10A!K212</f>
        <v>92.255923431000014</v>
      </c>
      <c r="G209" s="685">
        <f>F10A!J212</f>
        <v>281.47564401659145</v>
      </c>
      <c r="H209" s="1179"/>
      <c r="I209" s="1179">
        <f t="shared" si="6"/>
        <v>373.73156744759149</v>
      </c>
      <c r="J209" s="1179"/>
      <c r="K209" s="1179"/>
      <c r="L209" s="1179">
        <f t="shared" si="7"/>
        <v>373.73156744759149</v>
      </c>
    </row>
    <row r="210" spans="1:12" ht="14.5">
      <c r="A210" s="1417" t="s">
        <v>1430</v>
      </c>
      <c r="B210" s="1482">
        <f>F10A!C213</f>
        <v>268.39677866560424</v>
      </c>
      <c r="C210" s="685">
        <f>F10A!D213</f>
        <v>91.620253341839387</v>
      </c>
      <c r="D210" s="685">
        <f>F10A!E213</f>
        <v>79819.101690986456</v>
      </c>
      <c r="E210" s="685">
        <f>F10A!L213</f>
        <v>0</v>
      </c>
      <c r="F210" s="685">
        <f>F10A!K213</f>
        <v>21.237305648946446</v>
      </c>
      <c r="G210" s="685">
        <f>F10A!J213</f>
        <v>55.292822891800064</v>
      </c>
      <c r="H210" s="1179"/>
      <c r="I210" s="1179">
        <f t="shared" si="6"/>
        <v>76.530128540746517</v>
      </c>
      <c r="J210" s="1179"/>
      <c r="K210" s="1179"/>
      <c r="L210" s="1179">
        <f t="shared" si="7"/>
        <v>76.530128540746517</v>
      </c>
    </row>
    <row r="211" spans="1:12" ht="14.5">
      <c r="A211" s="1417" t="s">
        <v>1431</v>
      </c>
      <c r="B211" s="1482">
        <f>F10A!C214</f>
        <v>424.96849800510313</v>
      </c>
      <c r="C211" s="685">
        <f>F10A!D214</f>
        <v>145.06776736705379</v>
      </c>
      <c r="D211" s="685">
        <f>F10A!E214</f>
        <v>126382.30580254765</v>
      </c>
      <c r="E211" s="685">
        <f>F10A!L214</f>
        <v>0</v>
      </c>
      <c r="F211" s="685">
        <f>F10A!K214</f>
        <v>33.626282432221537</v>
      </c>
      <c r="G211" s="685">
        <f>F10A!J214</f>
        <v>102.99811483060819</v>
      </c>
      <c r="H211" s="1179"/>
      <c r="I211" s="1179">
        <f t="shared" si="6"/>
        <v>136.62439726282972</v>
      </c>
      <c r="J211" s="1179"/>
      <c r="K211" s="1179"/>
      <c r="L211" s="1179">
        <f t="shared" si="7"/>
        <v>136.62439726282972</v>
      </c>
    </row>
    <row r="212" spans="1:12" ht="14.5">
      <c r="A212" s="1417" t="s">
        <v>1432</v>
      </c>
      <c r="B212" s="1482">
        <f>F10A!C215</f>
        <v>237.96142139904694</v>
      </c>
      <c r="C212" s="685">
        <f>F10A!D215</f>
        <v>81.230802480413189</v>
      </c>
      <c r="D212" s="685">
        <f>F10A!E215</f>
        <v>70767.864605583352</v>
      </c>
      <c r="E212" s="685">
        <f>F10A!L215</f>
        <v>0</v>
      </c>
      <c r="F212" s="685">
        <f>F10A!K215</f>
        <v>18.829061451611764</v>
      </c>
      <c r="G212" s="685">
        <f>F10A!J215</f>
        <v>66.324950225257368</v>
      </c>
      <c r="H212" s="1179"/>
      <c r="I212" s="1179">
        <f t="shared" si="6"/>
        <v>85.154011676869132</v>
      </c>
      <c r="J212" s="1179"/>
      <c r="K212" s="1179"/>
      <c r="L212" s="1179">
        <f t="shared" si="7"/>
        <v>85.154011676869132</v>
      </c>
    </row>
    <row r="213" spans="1:12" ht="14.5">
      <c r="A213" s="1417" t="s">
        <v>1433</v>
      </c>
      <c r="B213" s="1482">
        <f>F10A!C216</f>
        <v>234.60240193024583</v>
      </c>
      <c r="C213" s="685">
        <f>F10A!D216</f>
        <v>80.084163477360335</v>
      </c>
      <c r="D213" s="685">
        <f>F10A!E216</f>
        <v>69768.918500882588</v>
      </c>
      <c r="E213" s="685">
        <f>F10A!L216</f>
        <v>0</v>
      </c>
      <c r="F213" s="685">
        <f>F10A!K216</f>
        <v>18.563273898220267</v>
      </c>
      <c r="G213" s="685">
        <f>F10A!J216</f>
        <v>56.859756068925833</v>
      </c>
      <c r="H213" s="1179"/>
      <c r="I213" s="1179">
        <f t="shared" si="6"/>
        <v>75.423029967146107</v>
      </c>
      <c r="J213" s="1179"/>
      <c r="K213" s="1179"/>
      <c r="L213" s="1179">
        <f t="shared" si="7"/>
        <v>75.423029967146107</v>
      </c>
    </row>
    <row r="214" spans="1:12" ht="14.5">
      <c r="A214" s="1420" t="s">
        <v>1014</v>
      </c>
      <c r="B214" s="1482">
        <f>F10A!C217</f>
        <v>1165.9291000000001</v>
      </c>
      <c r="C214" s="685">
        <f>F10A!D217</f>
        <v>398.00298666666674</v>
      </c>
      <c r="D214" s="685">
        <f>F10A!E217</f>
        <v>346738.19060000003</v>
      </c>
      <c r="E214" s="685">
        <f>F10A!L217</f>
        <v>0</v>
      </c>
      <c r="F214" s="685">
        <f>F10A!K217</f>
        <v>0</v>
      </c>
      <c r="G214" s="685">
        <f>F10A!J217</f>
        <v>282.70423758715845</v>
      </c>
      <c r="H214" s="1179"/>
      <c r="I214" s="1179">
        <f t="shared" si="6"/>
        <v>282.70423758715845</v>
      </c>
      <c r="J214" s="1179"/>
      <c r="K214" s="1179"/>
      <c r="L214" s="1179">
        <f t="shared" si="7"/>
        <v>282.70423758715845</v>
      </c>
    </row>
    <row r="215" spans="1:12" ht="14.5">
      <c r="A215" s="1417" t="s">
        <v>1430</v>
      </c>
      <c r="B215" s="1482">
        <f>F10A!C218</f>
        <v>268.39677866560424</v>
      </c>
      <c r="C215" s="685">
        <f>F10A!D218</f>
        <v>91.620253341839387</v>
      </c>
      <c r="D215" s="685">
        <f>F10A!E218</f>
        <v>79819.101690986456</v>
      </c>
      <c r="E215" s="685">
        <f>F10A!L218</f>
        <v>0</v>
      </c>
      <c r="F215" s="685">
        <f>F10A!K218</f>
        <v>0</v>
      </c>
      <c r="G215" s="685">
        <f>F10A!J218</f>
        <v>65.05037987270596</v>
      </c>
      <c r="H215" s="1179"/>
      <c r="I215" s="1179">
        <f t="shared" si="6"/>
        <v>65.05037987270596</v>
      </c>
      <c r="J215" s="1179"/>
      <c r="K215" s="1179"/>
      <c r="L215" s="1179">
        <f t="shared" si="7"/>
        <v>65.05037987270596</v>
      </c>
    </row>
    <row r="216" spans="1:12" ht="14.5">
      <c r="A216" s="1417" t="s">
        <v>1431</v>
      </c>
      <c r="B216" s="1482">
        <f>F10A!C219</f>
        <v>424.96849800510313</v>
      </c>
      <c r="C216" s="685">
        <f>F10A!D219</f>
        <v>145.06776736705379</v>
      </c>
      <c r="D216" s="685">
        <f>F10A!E219</f>
        <v>126382.30580254765</v>
      </c>
      <c r="E216" s="685">
        <f>F10A!L219</f>
        <v>0</v>
      </c>
      <c r="F216" s="685">
        <f>F10A!K219</f>
        <v>0</v>
      </c>
      <c r="G216" s="685">
        <f>F10A!J219</f>
        <v>102.99811483060819</v>
      </c>
      <c r="H216" s="1179"/>
      <c r="I216" s="1179">
        <f t="shared" si="6"/>
        <v>102.99811483060819</v>
      </c>
      <c r="J216" s="1179"/>
      <c r="K216" s="1179"/>
      <c r="L216" s="1179">
        <f t="shared" si="7"/>
        <v>102.99811483060819</v>
      </c>
    </row>
    <row r="217" spans="1:12" ht="14.5">
      <c r="A217" s="1417" t="s">
        <v>1432</v>
      </c>
      <c r="B217" s="1482">
        <f>F10A!C220</f>
        <v>237.96142139904694</v>
      </c>
      <c r="C217" s="685">
        <f>F10A!D220</f>
        <v>81.230802480413189</v>
      </c>
      <c r="D217" s="685">
        <f>F10A!E220</f>
        <v>70767.864605583352</v>
      </c>
      <c r="E217" s="685">
        <f>F10A!L220</f>
        <v>0</v>
      </c>
      <c r="F217" s="685">
        <f>F10A!K220</f>
        <v>0</v>
      </c>
      <c r="G217" s="685">
        <f>F10A!J220</f>
        <v>66.324950225257368</v>
      </c>
      <c r="H217" s="1179"/>
      <c r="I217" s="1179">
        <f t="shared" si="6"/>
        <v>66.324950225257368</v>
      </c>
      <c r="J217" s="1179"/>
      <c r="K217" s="1179"/>
      <c r="L217" s="1179">
        <f t="shared" si="7"/>
        <v>66.324950225257368</v>
      </c>
    </row>
    <row r="218" spans="1:12" ht="14.5">
      <c r="A218" s="1417" t="s">
        <v>1433</v>
      </c>
      <c r="B218" s="1482">
        <f>F10A!C221</f>
        <v>234.60240193024583</v>
      </c>
      <c r="C218" s="685">
        <f>F10A!D221</f>
        <v>80.084163477360335</v>
      </c>
      <c r="D218" s="685">
        <f>F10A!E221</f>
        <v>69768.918500882588</v>
      </c>
      <c r="E218" s="685">
        <f>F10A!L221</f>
        <v>0</v>
      </c>
      <c r="F218" s="685">
        <f>F10A!K221</f>
        <v>0</v>
      </c>
      <c r="G218" s="685">
        <f>F10A!J221</f>
        <v>48.330792658586958</v>
      </c>
      <c r="H218" s="1179"/>
      <c r="I218" s="1179">
        <f t="shared" si="6"/>
        <v>48.330792658586958</v>
      </c>
      <c r="J218" s="1179"/>
      <c r="K218" s="1179"/>
      <c r="L218" s="1179">
        <f t="shared" si="7"/>
        <v>48.330792658586958</v>
      </c>
    </row>
    <row r="219" spans="1:12" ht="14.5">
      <c r="A219" s="1414" t="s">
        <v>1127</v>
      </c>
      <c r="B219" s="1482">
        <f>F10A!C222</f>
        <v>40.015500000000003</v>
      </c>
      <c r="C219" s="685">
        <f>F10A!D222</f>
        <v>318.70439999999996</v>
      </c>
      <c r="D219" s="685">
        <f>F10A!E222</f>
        <v>91889.647500000006</v>
      </c>
      <c r="E219" s="685">
        <f>F10A!L222</f>
        <v>0</v>
      </c>
      <c r="F219" s="685">
        <f>F10A!K222</f>
        <v>23.412169473750001</v>
      </c>
      <c r="G219" s="685">
        <f>F10A!J222</f>
        <v>216.34152758334412</v>
      </c>
      <c r="H219" s="1179"/>
      <c r="I219" s="1179">
        <f t="shared" si="6"/>
        <v>239.75369705709412</v>
      </c>
      <c r="J219" s="1179"/>
      <c r="K219" s="1179"/>
      <c r="L219" s="1179">
        <f t="shared" si="7"/>
        <v>239.75369705709412</v>
      </c>
    </row>
    <row r="220" spans="1:12" ht="14.5">
      <c r="A220" s="1419" t="s">
        <v>1013</v>
      </c>
      <c r="B220" s="1482">
        <f>F10A!C223</f>
        <v>40.015500000000003</v>
      </c>
      <c r="C220" s="685">
        <f>F10A!D223</f>
        <v>159.35219999999998</v>
      </c>
      <c r="D220" s="685">
        <f>F10A!E223</f>
        <v>91889.647500000006</v>
      </c>
      <c r="E220" s="685">
        <f>F10A!L223</f>
        <v>0</v>
      </c>
      <c r="F220" s="685">
        <f>F10A!K223</f>
        <v>23.412169473750001</v>
      </c>
      <c r="G220" s="685">
        <f>F10A!J223</f>
        <v>107.93520433758448</v>
      </c>
      <c r="H220" s="1179"/>
      <c r="I220" s="1179">
        <f t="shared" si="6"/>
        <v>131.34737381133448</v>
      </c>
      <c r="J220" s="1179"/>
      <c r="K220" s="1179"/>
      <c r="L220" s="1179">
        <f t="shared" si="7"/>
        <v>131.34737381133448</v>
      </c>
    </row>
    <row r="221" spans="1:12" ht="14.5">
      <c r="A221" s="1417" t="s">
        <v>1430</v>
      </c>
      <c r="B221" s="1482">
        <f>F10A!C224</f>
        <v>9.211564662631277</v>
      </c>
      <c r="C221" s="685">
        <f>F10A!D224</f>
        <v>36.682862751497581</v>
      </c>
      <c r="D221" s="685">
        <f>F10A!E224</f>
        <v>21152.988961093688</v>
      </c>
      <c r="E221" s="685">
        <f>F10A!L224</f>
        <v>0</v>
      </c>
      <c r="F221" s="685">
        <f>F10A!K224</f>
        <v>5.3894794017300836</v>
      </c>
      <c r="G221" s="685">
        <f>F10A!J224</f>
        <v>21.202694670365599</v>
      </c>
      <c r="H221" s="1179"/>
      <c r="I221" s="1179">
        <f t="shared" si="6"/>
        <v>26.592174072095681</v>
      </c>
      <c r="J221" s="1179"/>
      <c r="K221" s="1179"/>
      <c r="L221" s="1179">
        <f t="shared" si="7"/>
        <v>26.592174072095681</v>
      </c>
    </row>
    <row r="222" spans="1:12" ht="14.5">
      <c r="A222" s="1417" t="s">
        <v>1431</v>
      </c>
      <c r="B222" s="1482">
        <f>F10A!C225</f>
        <v>14.585215286180956</v>
      </c>
      <c r="C222" s="685">
        <f>F10A!D225</f>
        <v>58.082146751297984</v>
      </c>
      <c r="D222" s="685">
        <f>F10A!E225</f>
        <v>33492.778832172022</v>
      </c>
      <c r="E222" s="685">
        <f>F10A!L225</f>
        <v>0</v>
      </c>
      <c r="F222" s="685">
        <f>F10A!K225</f>
        <v>8.5334815781684004</v>
      </c>
      <c r="G222" s="685">
        <f>F10A!J225</f>
        <v>39.495859790882626</v>
      </c>
      <c r="H222" s="1179"/>
      <c r="I222" s="1179">
        <f t="shared" si="6"/>
        <v>48.029341369051025</v>
      </c>
      <c r="J222" s="1179"/>
      <c r="K222" s="1179"/>
      <c r="L222" s="1179">
        <f t="shared" si="7"/>
        <v>48.029341369051025</v>
      </c>
    </row>
    <row r="223" spans="1:12" ht="14.5">
      <c r="A223" s="1417" t="s">
        <v>1432</v>
      </c>
      <c r="B223" s="1482">
        <f>F10A!C226</f>
        <v>8.1670019712121107</v>
      </c>
      <c r="C223" s="685">
        <f>F10A!D226</f>
        <v>32.523140570953416</v>
      </c>
      <c r="D223" s="685">
        <f>F10A!E226</f>
        <v>18754.306013082081</v>
      </c>
      <c r="E223" s="685">
        <f>F10A!L226</f>
        <v>0</v>
      </c>
      <c r="F223" s="685">
        <f>F10A!K226</f>
        <v>4.7783292534759845</v>
      </c>
      <c r="G223" s="685">
        <f>F10A!J226</f>
        <v>25.433095926485571</v>
      </c>
      <c r="H223" s="1179"/>
      <c r="I223" s="1179">
        <f t="shared" si="6"/>
        <v>30.211425179961555</v>
      </c>
      <c r="J223" s="1179"/>
      <c r="K223" s="1179"/>
      <c r="L223" s="1179">
        <f t="shared" si="7"/>
        <v>30.211425179961555</v>
      </c>
    </row>
    <row r="224" spans="1:12" ht="14.5">
      <c r="A224" s="1417" t="s">
        <v>1433</v>
      </c>
      <c r="B224" s="1482">
        <f>F10A!C227</f>
        <v>8.0517180799756627</v>
      </c>
      <c r="C224" s="685">
        <f>F10A!D227</f>
        <v>32.064049926251016</v>
      </c>
      <c r="D224" s="685">
        <f>F10A!E227</f>
        <v>18489.573693652219</v>
      </c>
      <c r="E224" s="685">
        <f>F10A!L227</f>
        <v>0</v>
      </c>
      <c r="F224" s="685">
        <f>F10A!K227</f>
        <v>4.7108792403755331</v>
      </c>
      <c r="G224" s="685">
        <f>F10A!J227</f>
        <v>21.803553949850688</v>
      </c>
      <c r="H224" s="1179"/>
      <c r="I224" s="1179">
        <f t="shared" si="6"/>
        <v>26.514433190226221</v>
      </c>
      <c r="J224" s="1179"/>
      <c r="K224" s="1179"/>
      <c r="L224" s="1179">
        <f t="shared" si="7"/>
        <v>26.514433190226221</v>
      </c>
    </row>
    <row r="225" spans="1:12" ht="14.5">
      <c r="A225" s="1420" t="s">
        <v>1014</v>
      </c>
      <c r="B225" s="1482">
        <f>F10A!C228</f>
        <v>40.015500000000003</v>
      </c>
      <c r="C225" s="685">
        <f>F10A!D228</f>
        <v>159.35219999999998</v>
      </c>
      <c r="D225" s="685">
        <f>F10A!E228</f>
        <v>91889.647500000006</v>
      </c>
      <c r="E225" s="685">
        <f>F10A!L228</f>
        <v>0</v>
      </c>
      <c r="F225" s="685">
        <f>F10A!K228</f>
        <v>0</v>
      </c>
      <c r="G225" s="685">
        <f>F10A!J228</f>
        <v>108.40632324575964</v>
      </c>
      <c r="H225" s="1179"/>
      <c r="I225" s="1179">
        <f t="shared" si="6"/>
        <v>108.40632324575964</v>
      </c>
      <c r="J225" s="1179"/>
      <c r="K225" s="1179"/>
      <c r="L225" s="1179">
        <f t="shared" si="7"/>
        <v>108.40632324575964</v>
      </c>
    </row>
    <row r="226" spans="1:12" ht="14.5">
      <c r="A226" s="1417" t="s">
        <v>1430</v>
      </c>
      <c r="B226" s="1482">
        <f>F10A!C229</f>
        <v>9.211564662631277</v>
      </c>
      <c r="C226" s="685">
        <f>F10A!D229</f>
        <v>36.682862751497581</v>
      </c>
      <c r="D226" s="685">
        <f>F10A!E229</f>
        <v>21152.988961093688</v>
      </c>
      <c r="E226" s="685">
        <f>F10A!L229</f>
        <v>0</v>
      </c>
      <c r="F226" s="685">
        <f>F10A!K229</f>
        <v>0</v>
      </c>
      <c r="G226" s="685">
        <f>F10A!J229</f>
        <v>24.944346671018355</v>
      </c>
      <c r="H226" s="1179"/>
      <c r="I226" s="1179">
        <f t="shared" si="6"/>
        <v>24.944346671018355</v>
      </c>
      <c r="J226" s="1179"/>
      <c r="K226" s="1179"/>
      <c r="L226" s="1179">
        <f t="shared" si="7"/>
        <v>24.944346671018355</v>
      </c>
    </row>
    <row r="227" spans="1:12" ht="14.5">
      <c r="A227" s="1417" t="s">
        <v>1431</v>
      </c>
      <c r="B227" s="1482">
        <f>F10A!C230</f>
        <v>14.585215286180956</v>
      </c>
      <c r="C227" s="685">
        <f>F10A!D230</f>
        <v>58.082146751297984</v>
      </c>
      <c r="D227" s="685">
        <f>F10A!E230</f>
        <v>33492.778832172022</v>
      </c>
      <c r="E227" s="685">
        <f>F10A!L230</f>
        <v>0</v>
      </c>
      <c r="F227" s="685">
        <f>F10A!K230</f>
        <v>0</v>
      </c>
      <c r="G227" s="685">
        <f>F10A!J230</f>
        <v>39.495859790882626</v>
      </c>
      <c r="H227" s="1179"/>
      <c r="I227" s="1179">
        <f t="shared" si="6"/>
        <v>39.495859790882626</v>
      </c>
      <c r="J227" s="1179"/>
      <c r="K227" s="1179"/>
      <c r="L227" s="1179">
        <f t="shared" si="7"/>
        <v>39.495859790882626</v>
      </c>
    </row>
    <row r="228" spans="1:12" ht="14.5">
      <c r="A228" s="1417" t="s">
        <v>1432</v>
      </c>
      <c r="B228" s="1482">
        <f>F10A!C231</f>
        <v>8.1670019712121107</v>
      </c>
      <c r="C228" s="685">
        <f>F10A!D231</f>
        <v>32.523140570953416</v>
      </c>
      <c r="D228" s="685">
        <f>F10A!E231</f>
        <v>18754.306013082081</v>
      </c>
      <c r="E228" s="685">
        <f>F10A!L231</f>
        <v>0</v>
      </c>
      <c r="F228" s="685">
        <f>F10A!K231</f>
        <v>0</v>
      </c>
      <c r="G228" s="685">
        <f>F10A!J231</f>
        <v>25.433095926485571</v>
      </c>
      <c r="H228" s="1179"/>
      <c r="I228" s="1179">
        <f t="shared" si="6"/>
        <v>25.433095926485571</v>
      </c>
      <c r="J228" s="1179"/>
      <c r="K228" s="1179"/>
      <c r="L228" s="1179">
        <f t="shared" si="7"/>
        <v>25.433095926485571</v>
      </c>
    </row>
    <row r="229" spans="1:12" ht="14.5">
      <c r="A229" s="1417" t="s">
        <v>1433</v>
      </c>
      <c r="B229" s="1482">
        <f>F10A!C232</f>
        <v>8.0517180799756627</v>
      </c>
      <c r="C229" s="685">
        <f>F10A!D232</f>
        <v>32.064049926251016</v>
      </c>
      <c r="D229" s="685">
        <f>F10A!E232</f>
        <v>18489.573693652219</v>
      </c>
      <c r="E229" s="685">
        <f>F10A!L232</f>
        <v>0</v>
      </c>
      <c r="F229" s="685">
        <f>F10A!K232</f>
        <v>0</v>
      </c>
      <c r="G229" s="685">
        <f>F10A!J232</f>
        <v>18.533020857373085</v>
      </c>
      <c r="H229" s="1179"/>
      <c r="I229" s="1179">
        <f t="shared" si="6"/>
        <v>18.533020857373085</v>
      </c>
      <c r="J229" s="1179"/>
      <c r="K229" s="1179"/>
      <c r="L229" s="1179">
        <f t="shared" si="7"/>
        <v>18.533020857373085</v>
      </c>
    </row>
    <row r="230" spans="1:12" ht="14.5">
      <c r="A230" s="1414" t="s">
        <v>1128</v>
      </c>
      <c r="B230" s="1482">
        <f>F10A!C233</f>
        <v>6.6126000000000005</v>
      </c>
      <c r="C230" s="685">
        <f>F10A!D233</f>
        <v>55.604333333333344</v>
      </c>
      <c r="D230" s="685">
        <f>F10A!E233</f>
        <v>71153.780200000008</v>
      </c>
      <c r="E230" s="685">
        <f>F10A!L233</f>
        <v>0</v>
      </c>
      <c r="F230" s="685">
        <f>F10A!K233</f>
        <v>16.724795784300003</v>
      </c>
      <c r="G230" s="685">
        <f>F10A!J233</f>
        <v>35.524791037674952</v>
      </c>
      <c r="H230" s="1179"/>
      <c r="I230" s="1179">
        <f t="shared" si="6"/>
        <v>52.249586821974958</v>
      </c>
      <c r="J230" s="1179"/>
      <c r="K230" s="1179"/>
      <c r="L230" s="1179">
        <f t="shared" si="7"/>
        <v>52.249586821974958</v>
      </c>
    </row>
    <row r="231" spans="1:12" ht="14.5">
      <c r="A231" s="1419" t="s">
        <v>1013</v>
      </c>
      <c r="B231" s="1482">
        <f>F10A!C234</f>
        <v>6.6126000000000005</v>
      </c>
      <c r="C231" s="685">
        <f>F10A!D234</f>
        <v>27.802166666666672</v>
      </c>
      <c r="D231" s="685">
        <f>F10A!E234</f>
        <v>71153.780200000008</v>
      </c>
      <c r="E231" s="685">
        <f>F10A!L234</f>
        <v>0</v>
      </c>
      <c r="F231" s="685">
        <f>F10A!K234</f>
        <v>16.724795784300003</v>
      </c>
      <c r="G231" s="685">
        <f>F10A!J234</f>
        <v>17.723715009936171</v>
      </c>
      <c r="H231" s="1179"/>
      <c r="I231" s="1179">
        <f t="shared" si="6"/>
        <v>34.448510794236171</v>
      </c>
      <c r="J231" s="1179"/>
      <c r="K231" s="1179"/>
      <c r="L231" s="1179">
        <f t="shared" si="7"/>
        <v>34.448510794236171</v>
      </c>
    </row>
    <row r="232" spans="1:12" ht="14.5">
      <c r="A232" s="1417" t="s">
        <v>1430</v>
      </c>
      <c r="B232" s="1482">
        <f>F10A!C235</f>
        <v>1.5222199519715005</v>
      </c>
      <c r="C232" s="685">
        <f>F10A!D235</f>
        <v>6.4000563784346527</v>
      </c>
      <c r="D232" s="685">
        <f>F10A!E235</f>
        <v>16379.594089864004</v>
      </c>
      <c r="E232" s="685">
        <f>F10A!L235</f>
        <v>0</v>
      </c>
      <c r="F232" s="685">
        <f>F10A!K235</f>
        <v>3.8500465528703236</v>
      </c>
      <c r="G232" s="685">
        <f>F10A!J235</f>
        <v>3.4816306698684514</v>
      </c>
      <c r="H232" s="1179"/>
      <c r="I232" s="1179">
        <f t="shared" si="6"/>
        <v>7.331677222738775</v>
      </c>
      <c r="J232" s="1179"/>
      <c r="K232" s="1179"/>
      <c r="L232" s="1179">
        <f t="shared" si="7"/>
        <v>7.331677222738775</v>
      </c>
    </row>
    <row r="233" spans="1:12" ht="14.5">
      <c r="A233" s="1417" t="s">
        <v>1431</v>
      </c>
      <c r="B233" s="1482">
        <f>F10A!C236</f>
        <v>2.4102209044345364</v>
      </c>
      <c r="C233" s="685">
        <f>F10A!D236</f>
        <v>10.133587891082637</v>
      </c>
      <c r="D233" s="685">
        <f>F10A!E236</f>
        <v>25934.780338683755</v>
      </c>
      <c r="E233" s="685">
        <f>F10A!L236</f>
        <v>0</v>
      </c>
      <c r="F233" s="685">
        <f>F10A!K236</f>
        <v>6.0960064757763153</v>
      </c>
      <c r="G233" s="685">
        <f>F10A!J236</f>
        <v>6.4854962502928881</v>
      </c>
      <c r="H233" s="1179"/>
      <c r="I233" s="1179">
        <f t="shared" si="6"/>
        <v>12.581502726069203</v>
      </c>
      <c r="J233" s="1179"/>
      <c r="K233" s="1179"/>
      <c r="L233" s="1179">
        <f t="shared" si="7"/>
        <v>12.581502726069203</v>
      </c>
    </row>
    <row r="234" spans="1:12" ht="14.5">
      <c r="A234" s="1417" t="s">
        <v>1432</v>
      </c>
      <c r="B234" s="1482">
        <f>F10A!C237</f>
        <v>1.3496049589493373</v>
      </c>
      <c r="C234" s="685">
        <f>F10A!D237</f>
        <v>5.6743099541586215</v>
      </c>
      <c r="D234" s="685">
        <f>F10A!E237</f>
        <v>14522.199226614519</v>
      </c>
      <c r="E234" s="685">
        <f>F10A!L237</f>
        <v>0</v>
      </c>
      <c r="F234" s="685">
        <f>F10A!K237</f>
        <v>3.4134632864389571</v>
      </c>
      <c r="G234" s="685">
        <f>F10A!J237</f>
        <v>4.1762921262607451</v>
      </c>
      <c r="H234" s="1179"/>
      <c r="I234" s="1179">
        <f t="shared" si="6"/>
        <v>7.5897554126997022</v>
      </c>
      <c r="J234" s="1179"/>
      <c r="K234" s="1179"/>
      <c r="L234" s="1179">
        <f t="shared" si="7"/>
        <v>7.5897554126997022</v>
      </c>
    </row>
    <row r="235" spans="1:12" ht="14.5">
      <c r="A235" s="1417" t="s">
        <v>1433</v>
      </c>
      <c r="B235" s="1482">
        <f>F10A!C238</f>
        <v>1.3305541846446267</v>
      </c>
      <c r="C235" s="685">
        <f>F10A!D238</f>
        <v>5.5942124429907585</v>
      </c>
      <c r="D235" s="685">
        <f>F10A!E238</f>
        <v>14317.206544837734</v>
      </c>
      <c r="E235" s="685">
        <f>F10A!L238</f>
        <v>0</v>
      </c>
      <c r="F235" s="685">
        <f>F10A!K238</f>
        <v>3.3652794692144061</v>
      </c>
      <c r="G235" s="685">
        <f>F10A!J238</f>
        <v>3.5802959635140859</v>
      </c>
      <c r="H235" s="1179"/>
      <c r="I235" s="1179">
        <f t="shared" si="6"/>
        <v>6.945575432728492</v>
      </c>
      <c r="J235" s="1179"/>
      <c r="K235" s="1179"/>
      <c r="L235" s="1179">
        <f t="shared" si="7"/>
        <v>6.945575432728492</v>
      </c>
    </row>
    <row r="236" spans="1:12" ht="14.5">
      <c r="A236" s="1420" t="s">
        <v>1014</v>
      </c>
      <c r="B236" s="1482">
        <f>F10A!C239</f>
        <v>6.6126000000000005</v>
      </c>
      <c r="C236" s="685">
        <f>F10A!D239</f>
        <v>27.802166666666672</v>
      </c>
      <c r="D236" s="685">
        <f>F10A!E239</f>
        <v>71153.780200000008</v>
      </c>
      <c r="E236" s="685">
        <f>F10A!L239</f>
        <v>0</v>
      </c>
      <c r="F236" s="685">
        <f>F10A!K239</f>
        <v>0</v>
      </c>
      <c r="G236" s="685">
        <f>F10A!J239</f>
        <v>17.80107602773878</v>
      </c>
      <c r="H236" s="1179"/>
      <c r="I236" s="1179">
        <f t="shared" si="6"/>
        <v>17.80107602773878</v>
      </c>
      <c r="J236" s="1179"/>
      <c r="K236" s="1179"/>
      <c r="L236" s="1179">
        <f t="shared" si="7"/>
        <v>17.80107602773878</v>
      </c>
    </row>
    <row r="237" spans="1:12" ht="14.5">
      <c r="A237" s="1417" t="s">
        <v>1430</v>
      </c>
      <c r="B237" s="1482">
        <f>F10A!C240</f>
        <v>1.5222199519715005</v>
      </c>
      <c r="C237" s="685">
        <f>F10A!D240</f>
        <v>6.4000563784346527</v>
      </c>
      <c r="D237" s="685">
        <f>F10A!E240</f>
        <v>16379.594089864004</v>
      </c>
      <c r="E237" s="685">
        <f>F10A!L240</f>
        <v>0</v>
      </c>
      <c r="F237" s="685">
        <f>F10A!K240</f>
        <v>0</v>
      </c>
      <c r="G237" s="685">
        <f>F10A!J240</f>
        <v>4.0960360821981778</v>
      </c>
      <c r="H237" s="1179"/>
      <c r="I237" s="1179">
        <f t="shared" si="6"/>
        <v>4.0960360821981778</v>
      </c>
      <c r="J237" s="1179"/>
      <c r="K237" s="1179"/>
      <c r="L237" s="1179">
        <f t="shared" si="7"/>
        <v>4.0960360821981778</v>
      </c>
    </row>
    <row r="238" spans="1:12" ht="14.5">
      <c r="A238" s="1417" t="s">
        <v>1431</v>
      </c>
      <c r="B238" s="1482">
        <f>F10A!C241</f>
        <v>2.4102209044345364</v>
      </c>
      <c r="C238" s="685">
        <f>F10A!D241</f>
        <v>10.133587891082637</v>
      </c>
      <c r="D238" s="685">
        <f>F10A!E241</f>
        <v>25934.780338683755</v>
      </c>
      <c r="E238" s="685">
        <f>F10A!L241</f>
        <v>0</v>
      </c>
      <c r="F238" s="685">
        <f>F10A!K241</f>
        <v>0</v>
      </c>
      <c r="G238" s="685">
        <f>F10A!J241</f>
        <v>6.4854962502928881</v>
      </c>
      <c r="H238" s="1179"/>
      <c r="I238" s="1179">
        <f t="shared" si="6"/>
        <v>6.4854962502928881</v>
      </c>
      <c r="J238" s="1179"/>
      <c r="K238" s="1179"/>
      <c r="L238" s="1179">
        <f t="shared" si="7"/>
        <v>6.4854962502928881</v>
      </c>
    </row>
    <row r="239" spans="1:12" ht="14.5">
      <c r="A239" s="1417" t="s">
        <v>1432</v>
      </c>
      <c r="B239" s="1482">
        <f>F10A!C242</f>
        <v>1.3496049589493373</v>
      </c>
      <c r="C239" s="685">
        <f>F10A!D242</f>
        <v>5.6743099541586215</v>
      </c>
      <c r="D239" s="685">
        <f>F10A!E242</f>
        <v>14522.199226614519</v>
      </c>
      <c r="E239" s="685">
        <f>F10A!L242</f>
        <v>0</v>
      </c>
      <c r="F239" s="685">
        <f>F10A!K242</f>
        <v>0</v>
      </c>
      <c r="G239" s="685">
        <f>F10A!J242</f>
        <v>4.1762921262607451</v>
      </c>
      <c r="H239" s="1179"/>
      <c r="I239" s="1179">
        <f t="shared" si="6"/>
        <v>4.1762921262607451</v>
      </c>
      <c r="J239" s="1179"/>
      <c r="K239" s="1179"/>
      <c r="L239" s="1179">
        <f t="shared" si="7"/>
        <v>4.1762921262607451</v>
      </c>
    </row>
    <row r="240" spans="1:12" ht="14.5">
      <c r="A240" s="1417" t="s">
        <v>1433</v>
      </c>
      <c r="B240" s="1482">
        <f>F10A!C243</f>
        <v>1.3305541846446267</v>
      </c>
      <c r="C240" s="685">
        <f>F10A!D243</f>
        <v>5.5942124429907585</v>
      </c>
      <c r="D240" s="685">
        <f>F10A!E243</f>
        <v>14317.206544837734</v>
      </c>
      <c r="E240" s="685">
        <f>F10A!L243</f>
        <v>0</v>
      </c>
      <c r="F240" s="685">
        <f>F10A!K243</f>
        <v>0</v>
      </c>
      <c r="G240" s="685">
        <f>F10A!J243</f>
        <v>3.0432515689869728</v>
      </c>
      <c r="H240" s="1179"/>
      <c r="I240" s="1179">
        <f t="shared" si="6"/>
        <v>3.0432515689869728</v>
      </c>
      <c r="J240" s="1179"/>
      <c r="K240" s="1179"/>
      <c r="L240" s="1179">
        <f t="shared" si="7"/>
        <v>3.0432515689869728</v>
      </c>
    </row>
    <row r="241" spans="1:12" ht="14.5">
      <c r="A241" s="1414" t="s">
        <v>1129</v>
      </c>
      <c r="B241" s="1482">
        <f>F10A!C244</f>
        <v>2.1424000000000003</v>
      </c>
      <c r="C241" s="685">
        <f>F10A!D244</f>
        <v>3.3557333333333337</v>
      </c>
      <c r="D241" s="685">
        <f>F10A!E244</f>
        <v>1923.8752000000002</v>
      </c>
      <c r="E241" s="685">
        <f>F10A!L244</f>
        <v>0</v>
      </c>
      <c r="F241" s="685">
        <f>F10A!K244</f>
        <v>0.45851125680000004</v>
      </c>
      <c r="G241" s="685">
        <f>F10A!J244</f>
        <v>2.0434320313392984</v>
      </c>
      <c r="H241" s="1179"/>
      <c r="I241" s="1179">
        <f t="shared" si="6"/>
        <v>2.5019432881392984</v>
      </c>
      <c r="J241" s="1179"/>
      <c r="K241" s="1179"/>
      <c r="L241" s="1179">
        <f t="shared" si="7"/>
        <v>2.5019432881392984</v>
      </c>
    </row>
    <row r="242" spans="1:12" ht="14.5">
      <c r="A242" s="1419" t="s">
        <v>1013</v>
      </c>
      <c r="B242" s="1482">
        <f>F10A!C245</f>
        <v>2.1424000000000003</v>
      </c>
      <c r="C242" s="685">
        <f>F10A!D245</f>
        <v>1.6778666666666668</v>
      </c>
      <c r="D242" s="685">
        <f>F10A!E245</f>
        <v>1923.8752000000002</v>
      </c>
      <c r="E242" s="685">
        <f>F10A!L245</f>
        <v>0</v>
      </c>
      <c r="F242" s="685">
        <f>F10A!K245</f>
        <v>0.45851125680000004</v>
      </c>
      <c r="G242" s="685">
        <f>F10A!J245</f>
        <v>1.019491062656031</v>
      </c>
      <c r="H242" s="1179"/>
      <c r="I242" s="1179">
        <f t="shared" si="6"/>
        <v>1.478002319456031</v>
      </c>
      <c r="J242" s="1179"/>
      <c r="K242" s="1179"/>
      <c r="L242" s="1179">
        <f t="shared" si="7"/>
        <v>1.478002319456031</v>
      </c>
    </row>
    <row r="243" spans="1:12" ht="14.5">
      <c r="A243" s="1417" t="s">
        <v>1430</v>
      </c>
      <c r="B243" s="1482">
        <f>F10A!C246</f>
        <v>0.49318029596584445</v>
      </c>
      <c r="C243" s="685">
        <f>F10A!D246</f>
        <v>0.38624476253635709</v>
      </c>
      <c r="D243" s="685">
        <f>F10A!E246</f>
        <v>442.87590577732828</v>
      </c>
      <c r="E243" s="685">
        <f>F10A!L246</f>
        <v>0</v>
      </c>
      <c r="F243" s="685">
        <f>F10A!K246</f>
        <v>0.10554925192881595</v>
      </c>
      <c r="G243" s="685">
        <f>F10A!J246</f>
        <v>0.20026790937510114</v>
      </c>
      <c r="H243" s="1179"/>
      <c r="I243" s="1179">
        <f t="shared" si="6"/>
        <v>0.30581716130391712</v>
      </c>
      <c r="J243" s="1179"/>
      <c r="K243" s="1179"/>
      <c r="L243" s="1179">
        <f t="shared" si="7"/>
        <v>0.30581716130391712</v>
      </c>
    </row>
    <row r="244" spans="1:12" ht="14.5">
      <c r="A244" s="1417" t="s">
        <v>1431</v>
      </c>
      <c r="B244" s="1482">
        <f>F10A!C247</f>
        <v>0.78088153913143854</v>
      </c>
      <c r="C244" s="685">
        <f>F10A!D247</f>
        <v>0.61156418275018809</v>
      </c>
      <c r="D244" s="685">
        <f>F10A!E247</f>
        <v>701.23162214003185</v>
      </c>
      <c r="E244" s="685">
        <f>F10A!L247</f>
        <v>0</v>
      </c>
      <c r="F244" s="685">
        <f>F10A!K247</f>
        <v>0.16712237486887335</v>
      </c>
      <c r="G244" s="685">
        <f>F10A!J247</f>
        <v>0.37305415147761473</v>
      </c>
      <c r="H244" s="1179"/>
      <c r="I244" s="1179">
        <f t="shared" si="6"/>
        <v>0.54017652634648805</v>
      </c>
      <c r="J244" s="1179"/>
      <c r="K244" s="1179"/>
      <c r="L244" s="1179">
        <f t="shared" si="7"/>
        <v>0.54017652634648805</v>
      </c>
    </row>
    <row r="245" spans="1:12" ht="14.5">
      <c r="A245" s="1417" t="s">
        <v>1432</v>
      </c>
      <c r="B245" s="1482">
        <f>F10A!C248</f>
        <v>0.43725518919230866</v>
      </c>
      <c r="C245" s="685">
        <f>F10A!D248</f>
        <v>0.34244581160044879</v>
      </c>
      <c r="D245" s="685">
        <f>F10A!E248</f>
        <v>392.65515989469316</v>
      </c>
      <c r="E245" s="685">
        <f>F10A!L248</f>
        <v>0</v>
      </c>
      <c r="F245" s="685">
        <f>F10A!K248</f>
        <v>9.3580296087979478E-2</v>
      </c>
      <c r="G245" s="685">
        <f>F10A!J248</f>
        <v>0.24022573683771481</v>
      </c>
      <c r="H245" s="1179"/>
      <c r="I245" s="1179">
        <f t="shared" si="6"/>
        <v>0.33380603292569427</v>
      </c>
      <c r="J245" s="1179"/>
      <c r="K245" s="1179"/>
      <c r="L245" s="1179">
        <f t="shared" si="7"/>
        <v>0.33380603292569427</v>
      </c>
    </row>
    <row r="246" spans="1:12" ht="14.5">
      <c r="A246" s="1417" t="s">
        <v>1433</v>
      </c>
      <c r="B246" s="1482">
        <f>F10A!C249</f>
        <v>0.43108297571040871</v>
      </c>
      <c r="C246" s="685">
        <f>F10A!D249</f>
        <v>0.33761190977967281</v>
      </c>
      <c r="D246" s="685">
        <f>F10A!E249</f>
        <v>387.112512187947</v>
      </c>
      <c r="E246" s="685">
        <f>F10A!L249</f>
        <v>0</v>
      </c>
      <c r="F246" s="685">
        <f>F10A!K249</f>
        <v>9.2259333914331276E-2</v>
      </c>
      <c r="G246" s="685">
        <f>F10A!J249</f>
        <v>0.20594326496560042</v>
      </c>
      <c r="H246" s="1179"/>
      <c r="I246" s="1179">
        <f t="shared" si="6"/>
        <v>0.29820259887993172</v>
      </c>
      <c r="J246" s="1179"/>
      <c r="K246" s="1179"/>
      <c r="L246" s="1179">
        <f t="shared" si="7"/>
        <v>0.29820259887993172</v>
      </c>
    </row>
    <row r="247" spans="1:12" ht="14.5">
      <c r="A247" s="1420" t="s">
        <v>1014</v>
      </c>
      <c r="B247" s="1482">
        <f>F10A!C250</f>
        <v>2.1424000000000003</v>
      </c>
      <c r="C247" s="685">
        <f>F10A!D250</f>
        <v>1.6778666666666668</v>
      </c>
      <c r="D247" s="685">
        <f>F10A!E250</f>
        <v>1923.8752000000002</v>
      </c>
      <c r="E247" s="685">
        <f>F10A!L250</f>
        <v>0</v>
      </c>
      <c r="F247" s="685">
        <f>F10A!K250</f>
        <v>0</v>
      </c>
      <c r="G247" s="685">
        <f>F10A!J250</f>
        <v>1.0239409686832677</v>
      </c>
      <c r="H247" s="1179"/>
      <c r="I247" s="1179">
        <f t="shared" si="6"/>
        <v>1.0239409686832677</v>
      </c>
      <c r="J247" s="1179"/>
      <c r="K247" s="1179"/>
      <c r="L247" s="1179">
        <f t="shared" si="7"/>
        <v>1.0239409686832677</v>
      </c>
    </row>
    <row r="248" spans="1:12" ht="14.5">
      <c r="A248" s="1417" t="s">
        <v>1430</v>
      </c>
      <c r="B248" s="1482">
        <f>F10A!C251</f>
        <v>0.49318029596584445</v>
      </c>
      <c r="C248" s="685">
        <f>F10A!D251</f>
        <v>0.38624476253635709</v>
      </c>
      <c r="D248" s="685">
        <f>F10A!E251</f>
        <v>442.87590577732828</v>
      </c>
      <c r="E248" s="685">
        <f>F10A!L251</f>
        <v>0</v>
      </c>
      <c r="F248" s="685">
        <f>F10A!K251</f>
        <v>0</v>
      </c>
      <c r="G248" s="685">
        <f>F10A!J251</f>
        <v>0.23560930514717779</v>
      </c>
      <c r="H248" s="1179"/>
      <c r="I248" s="1179">
        <f t="shared" si="6"/>
        <v>0.23560930514717779</v>
      </c>
      <c r="J248" s="1179"/>
      <c r="K248" s="1179"/>
      <c r="L248" s="1179">
        <f t="shared" si="7"/>
        <v>0.23560930514717779</v>
      </c>
    </row>
    <row r="249" spans="1:12" ht="14.5">
      <c r="A249" s="1417" t="s">
        <v>1431</v>
      </c>
      <c r="B249" s="1482">
        <f>F10A!C252</f>
        <v>0.78088153913143854</v>
      </c>
      <c r="C249" s="685">
        <f>F10A!D252</f>
        <v>0.61156418275018809</v>
      </c>
      <c r="D249" s="685">
        <f>F10A!E252</f>
        <v>701.23162214003185</v>
      </c>
      <c r="E249" s="685">
        <f>F10A!L252</f>
        <v>0</v>
      </c>
      <c r="F249" s="685">
        <f>F10A!K252</f>
        <v>0</v>
      </c>
      <c r="G249" s="685">
        <f>F10A!J252</f>
        <v>0.37305415147761473</v>
      </c>
      <c r="H249" s="1179"/>
      <c r="I249" s="1179">
        <f t="shared" si="6"/>
        <v>0.37305415147761473</v>
      </c>
      <c r="J249" s="1179"/>
      <c r="K249" s="1179"/>
      <c r="L249" s="1179">
        <f t="shared" si="7"/>
        <v>0.37305415147761473</v>
      </c>
    </row>
    <row r="250" spans="1:12" ht="14.5">
      <c r="A250" s="1417" t="s">
        <v>1432</v>
      </c>
      <c r="B250" s="1482">
        <f>F10A!C253</f>
        <v>0.43725518919230866</v>
      </c>
      <c r="C250" s="685">
        <f>F10A!D253</f>
        <v>0.34244581160044879</v>
      </c>
      <c r="D250" s="685">
        <f>F10A!E253</f>
        <v>392.65515989469316</v>
      </c>
      <c r="E250" s="685">
        <f>F10A!L253</f>
        <v>0</v>
      </c>
      <c r="F250" s="685">
        <f>F10A!K253</f>
        <v>0</v>
      </c>
      <c r="G250" s="685">
        <f>F10A!J253</f>
        <v>0.24022573683771481</v>
      </c>
      <c r="H250" s="1179"/>
      <c r="I250" s="1179">
        <f t="shared" si="6"/>
        <v>0.24022573683771481</v>
      </c>
      <c r="J250" s="1179"/>
      <c r="K250" s="1179"/>
      <c r="L250" s="1179">
        <f t="shared" si="7"/>
        <v>0.24022573683771481</v>
      </c>
    </row>
    <row r="251" spans="1:12" ht="14.5">
      <c r="A251" s="1417" t="s">
        <v>1433</v>
      </c>
      <c r="B251" s="1482">
        <f>F10A!C254</f>
        <v>0.43108297571040871</v>
      </c>
      <c r="C251" s="685">
        <f>F10A!D254</f>
        <v>0.33761190977967281</v>
      </c>
      <c r="D251" s="685">
        <f>F10A!E254</f>
        <v>387.112512187947</v>
      </c>
      <c r="E251" s="685">
        <f>F10A!L254</f>
        <v>0</v>
      </c>
      <c r="F251" s="685">
        <f>F10A!K254</f>
        <v>0</v>
      </c>
      <c r="G251" s="685">
        <f>F10A!J254</f>
        <v>0.17505177522076035</v>
      </c>
      <c r="H251" s="1179"/>
      <c r="I251" s="1179">
        <f t="shared" si="6"/>
        <v>0.17505177522076035</v>
      </c>
      <c r="J251" s="1179"/>
      <c r="K251" s="1179"/>
      <c r="L251" s="1179">
        <f t="shared" si="7"/>
        <v>0.17505177522076035</v>
      </c>
    </row>
    <row r="252" spans="1:12" ht="14.5">
      <c r="A252" s="1414" t="s">
        <v>1130</v>
      </c>
      <c r="B252" s="1482">
        <f>F10A!C255</f>
        <v>270.375</v>
      </c>
      <c r="C252" s="685">
        <f>F10A!D255</f>
        <v>211.20960000000002</v>
      </c>
      <c r="D252" s="685">
        <f>F10A!E255</f>
        <v>91927.5</v>
      </c>
      <c r="E252" s="685">
        <f>F10A!L255</f>
        <v>0</v>
      </c>
      <c r="F252" s="685">
        <f>F10A!K255</f>
        <v>22.4122528125</v>
      </c>
      <c r="G252" s="685">
        <f>F10A!J255</f>
        <v>138.71190480000001</v>
      </c>
      <c r="H252" s="1179"/>
      <c r="I252" s="1179">
        <f t="shared" si="6"/>
        <v>161.12415761250003</v>
      </c>
      <c r="J252" s="1179"/>
      <c r="K252" s="1179"/>
      <c r="L252" s="1179">
        <f t="shared" si="7"/>
        <v>161.12415761250003</v>
      </c>
    </row>
    <row r="253" spans="1:12" ht="14.5">
      <c r="A253" s="1414" t="s">
        <v>1425</v>
      </c>
      <c r="B253" s="1482">
        <f>F10A!C256</f>
        <v>1485.0745999999999</v>
      </c>
      <c r="C253" s="685">
        <f>F10A!D256</f>
        <v>1384.88004</v>
      </c>
      <c r="D253" s="685">
        <f>F10A!E256</f>
        <v>603632.9935000001</v>
      </c>
      <c r="E253" s="685">
        <f>F10A!L256</f>
        <v>0</v>
      </c>
      <c r="F253" s="685">
        <f>F10A!K256</f>
        <v>155.26365275835002</v>
      </c>
      <c r="G253" s="685">
        <f>F10A!J256</f>
        <v>956.80153705610837</v>
      </c>
      <c r="H253" s="1179"/>
      <c r="I253" s="1179">
        <f t="shared" si="6"/>
        <v>1112.0651898144583</v>
      </c>
      <c r="J253" s="1179"/>
      <c r="K253" s="1179"/>
      <c r="L253" s="1179">
        <f t="shared" si="7"/>
        <v>1112.0651898144583</v>
      </c>
    </row>
    <row r="254" spans="1:12" ht="14.5">
      <c r="A254" s="1418"/>
      <c r="B254" s="1482">
        <f>F10A!C257</f>
        <v>0</v>
      </c>
      <c r="C254" s="685">
        <f>F10A!D257</f>
        <v>0</v>
      </c>
      <c r="D254" s="685">
        <f>F10A!E257</f>
        <v>0</v>
      </c>
      <c r="E254" s="685">
        <f>F10A!L257</f>
        <v>0</v>
      </c>
      <c r="F254" s="685">
        <f>F10A!K257</f>
        <v>0</v>
      </c>
      <c r="G254" s="685">
        <f>F10A!J257</f>
        <v>0</v>
      </c>
      <c r="H254" s="1179"/>
      <c r="I254" s="1179">
        <f t="shared" si="6"/>
        <v>0</v>
      </c>
      <c r="J254" s="1179"/>
      <c r="K254" s="1179"/>
      <c r="L254" s="1179">
        <f t="shared" si="7"/>
        <v>0</v>
      </c>
    </row>
    <row r="255" spans="1:12" ht="14.5">
      <c r="A255" s="1414" t="s">
        <v>1133</v>
      </c>
      <c r="B255" s="1482">
        <f>F10A!C258</f>
        <v>0</v>
      </c>
      <c r="C255" s="685">
        <f>F10A!D258</f>
        <v>0</v>
      </c>
      <c r="D255" s="685">
        <f>F10A!E258</f>
        <v>0</v>
      </c>
      <c r="E255" s="685">
        <f>F10A!L258</f>
        <v>0</v>
      </c>
      <c r="F255" s="685">
        <f>F10A!K258</f>
        <v>0</v>
      </c>
      <c r="G255" s="685">
        <f>F10A!J258</f>
        <v>0</v>
      </c>
      <c r="H255" s="1179"/>
      <c r="I255" s="1179">
        <f t="shared" si="6"/>
        <v>0</v>
      </c>
      <c r="J255" s="1179"/>
      <c r="K255" s="1179"/>
      <c r="L255" s="1179">
        <f t="shared" si="7"/>
        <v>0</v>
      </c>
    </row>
    <row r="256" spans="1:12" ht="14.5">
      <c r="A256" s="1418" t="s">
        <v>1415</v>
      </c>
      <c r="B256" s="1482">
        <f>F10A!C259</f>
        <v>1</v>
      </c>
      <c r="C256" s="685">
        <f>F10A!D259</f>
        <v>7.8573333333333331</v>
      </c>
      <c r="D256" s="685">
        <f>F10A!E259</f>
        <v>10800</v>
      </c>
      <c r="E256" s="685">
        <f>F10A!L259</f>
        <v>0</v>
      </c>
      <c r="F256" s="685">
        <f>F10A!K259</f>
        <v>3.8879999999999999</v>
      </c>
      <c r="G256" s="685">
        <f>F10A!J259</f>
        <v>6.6787333333333336</v>
      </c>
      <c r="H256" s="1179"/>
      <c r="I256" s="1179">
        <f t="shared" si="6"/>
        <v>10.566733333333334</v>
      </c>
      <c r="J256" s="1179"/>
      <c r="K256" s="1179"/>
      <c r="L256" s="1179">
        <f t="shared" si="7"/>
        <v>10.566733333333334</v>
      </c>
    </row>
    <row r="257" spans="1:12" ht="14.5">
      <c r="A257" s="1418" t="s">
        <v>1134</v>
      </c>
      <c r="B257" s="1482">
        <f>F10A!C260</f>
        <v>0</v>
      </c>
      <c r="C257" s="685">
        <f>F10A!D260</f>
        <v>0</v>
      </c>
      <c r="D257" s="685">
        <f>F10A!E260</f>
        <v>0</v>
      </c>
      <c r="E257" s="685">
        <f>F10A!L260</f>
        <v>0</v>
      </c>
      <c r="F257" s="685">
        <f>F10A!K260</f>
        <v>0</v>
      </c>
      <c r="G257" s="685">
        <f>F10A!J260</f>
        <v>0</v>
      </c>
      <c r="H257" s="1179"/>
      <c r="I257" s="1179">
        <f t="shared" si="6"/>
        <v>0</v>
      </c>
      <c r="J257" s="1179"/>
      <c r="K257" s="1179"/>
      <c r="L257" s="1179">
        <f t="shared" si="7"/>
        <v>0</v>
      </c>
    </row>
    <row r="258" spans="1:12" ht="14.5">
      <c r="A258" s="1418" t="s">
        <v>1135</v>
      </c>
      <c r="B258" s="1482">
        <f>F10A!C261</f>
        <v>0</v>
      </c>
      <c r="C258" s="685">
        <f>F10A!D261</f>
        <v>0</v>
      </c>
      <c r="D258" s="685">
        <f>F10A!E261</f>
        <v>0</v>
      </c>
      <c r="E258" s="685">
        <f>F10A!L261</f>
        <v>0</v>
      </c>
      <c r="F258" s="685">
        <f>F10A!K261</f>
        <v>0</v>
      </c>
      <c r="G258" s="685">
        <f>F10A!J261</f>
        <v>0</v>
      </c>
      <c r="H258" s="1179"/>
      <c r="I258" s="1179">
        <f t="shared" si="6"/>
        <v>0</v>
      </c>
      <c r="J258" s="1179"/>
      <c r="K258" s="1179"/>
      <c r="L258" s="1179">
        <f t="shared" si="7"/>
        <v>0</v>
      </c>
    </row>
    <row r="259" spans="1:12" ht="14.5">
      <c r="A259" s="1414" t="s">
        <v>1425</v>
      </c>
      <c r="B259" s="1482">
        <f>F10A!C262</f>
        <v>1</v>
      </c>
      <c r="C259" s="685">
        <f>F10A!D262</f>
        <v>7.8573333333333331</v>
      </c>
      <c r="D259" s="685">
        <f>F10A!E262</f>
        <v>10800</v>
      </c>
      <c r="E259" s="685">
        <f>F10A!L262</f>
        <v>0</v>
      </c>
      <c r="F259" s="685">
        <f>F10A!K262</f>
        <v>3.8879999999999999</v>
      </c>
      <c r="G259" s="685">
        <f>F10A!J262</f>
        <v>6.6787333333333336</v>
      </c>
      <c r="H259" s="1179"/>
      <c r="I259" s="1179">
        <f t="shared" si="6"/>
        <v>10.566733333333334</v>
      </c>
      <c r="J259" s="1179"/>
      <c r="K259" s="1179"/>
      <c r="L259" s="1179">
        <f t="shared" si="7"/>
        <v>10.566733333333334</v>
      </c>
    </row>
    <row r="260" spans="1:12" ht="14.5">
      <c r="A260" s="1418"/>
      <c r="B260" s="1482">
        <f>F10A!C263</f>
        <v>0</v>
      </c>
      <c r="C260" s="685">
        <f>F10A!D263</f>
        <v>0</v>
      </c>
      <c r="D260" s="685">
        <f>F10A!E263</f>
        <v>0</v>
      </c>
      <c r="E260" s="685">
        <f>F10A!L263</f>
        <v>0</v>
      </c>
      <c r="F260" s="685">
        <f>F10A!K263</f>
        <v>0</v>
      </c>
      <c r="G260" s="685">
        <f>F10A!J263</f>
        <v>0</v>
      </c>
      <c r="H260" s="1179"/>
      <c r="I260" s="1179">
        <f t="shared" si="6"/>
        <v>0</v>
      </c>
      <c r="J260" s="1179"/>
      <c r="K260" s="1179"/>
      <c r="L260" s="1179">
        <f t="shared" si="7"/>
        <v>0</v>
      </c>
    </row>
    <row r="261" spans="1:12" ht="14.5">
      <c r="A261" s="1414" t="s">
        <v>1137</v>
      </c>
      <c r="B261" s="1482">
        <f>F10A!C264</f>
        <v>0</v>
      </c>
      <c r="C261" s="685">
        <f>F10A!D264</f>
        <v>0</v>
      </c>
      <c r="D261" s="685">
        <f>F10A!E264</f>
        <v>0</v>
      </c>
      <c r="E261" s="685">
        <f>F10A!L264</f>
        <v>0</v>
      </c>
      <c r="F261" s="685">
        <f>F10A!K264</f>
        <v>0</v>
      </c>
      <c r="G261" s="685">
        <f>F10A!J264</f>
        <v>0</v>
      </c>
      <c r="H261" s="1179"/>
      <c r="I261" s="1179">
        <f t="shared" si="6"/>
        <v>0</v>
      </c>
      <c r="J261" s="1179"/>
      <c r="K261" s="1179"/>
      <c r="L261" s="1179">
        <f t="shared" si="7"/>
        <v>0</v>
      </c>
    </row>
    <row r="262" spans="1:12" ht="14.5">
      <c r="A262" s="1418" t="s">
        <v>1138</v>
      </c>
      <c r="B262" s="1482">
        <f>F10A!C265</f>
        <v>40.804000000000002</v>
      </c>
      <c r="C262" s="685">
        <f>F10A!D265</f>
        <v>159.74281200000001</v>
      </c>
      <c r="D262" s="685">
        <f>F10A!E265</f>
        <v>38951.498400000004</v>
      </c>
      <c r="E262" s="685">
        <f>F10A!L265</f>
        <v>0</v>
      </c>
      <c r="F262" s="685">
        <f>F10A!K265</f>
        <v>12.208980798000002</v>
      </c>
      <c r="G262" s="685">
        <f>F10A!J265</f>
        <v>135.7813902</v>
      </c>
      <c r="H262" s="1179"/>
      <c r="I262" s="1179">
        <f t="shared" si="6"/>
        <v>147.990370998</v>
      </c>
      <c r="J262" s="1179"/>
      <c r="K262" s="1179"/>
      <c r="L262" s="1179">
        <f t="shared" si="7"/>
        <v>147.990370998</v>
      </c>
    </row>
    <row r="263" spans="1:12" ht="14.5">
      <c r="A263" s="1418" t="s">
        <v>1139</v>
      </c>
      <c r="B263" s="1482">
        <f>F10A!C266</f>
        <v>17.341700000000003</v>
      </c>
      <c r="C263" s="685">
        <f>F10A!D266</f>
        <v>330.81679380000003</v>
      </c>
      <c r="D263" s="685">
        <f>F10A!E266</f>
        <v>92778.095000000001</v>
      </c>
      <c r="E263" s="685">
        <f>F10A!L266</f>
        <v>0</v>
      </c>
      <c r="F263" s="685">
        <f>F10A!K266</f>
        <v>28.249552034999997</v>
      </c>
      <c r="G263" s="685">
        <f>F10A!J266</f>
        <v>277.88610679200008</v>
      </c>
      <c r="H263" s="1179"/>
      <c r="I263" s="1179">
        <f t="shared" ref="I263:I271" si="8">MAX(SUM(F263:G263),E263)</f>
        <v>306.1356588270001</v>
      </c>
      <c r="J263" s="1179"/>
      <c r="K263" s="1179"/>
      <c r="L263" s="1179">
        <f t="shared" ref="L263:L271" si="9">I263+J263+K263</f>
        <v>306.1356588270001</v>
      </c>
    </row>
    <row r="264" spans="1:12" ht="14.5">
      <c r="A264" s="1418" t="s">
        <v>1140</v>
      </c>
      <c r="B264" s="1482">
        <f>F10A!C267</f>
        <v>0</v>
      </c>
      <c r="C264" s="685">
        <f>F10A!D267</f>
        <v>0</v>
      </c>
      <c r="D264" s="685">
        <f>F10A!E267</f>
        <v>0</v>
      </c>
      <c r="E264" s="685">
        <f>F10A!L267</f>
        <v>0</v>
      </c>
      <c r="F264" s="685">
        <f>F10A!K267</f>
        <v>0</v>
      </c>
      <c r="G264" s="685">
        <f>F10A!J267</f>
        <v>0</v>
      </c>
      <c r="H264" s="1179"/>
      <c r="I264" s="1179">
        <f t="shared" si="8"/>
        <v>0</v>
      </c>
      <c r="J264" s="1179"/>
      <c r="K264" s="1179"/>
      <c r="L264" s="1179">
        <f t="shared" si="9"/>
        <v>0</v>
      </c>
    </row>
    <row r="265" spans="1:12" ht="14.5">
      <c r="A265" s="1414" t="s">
        <v>1425</v>
      </c>
      <c r="B265" s="1482">
        <f>F10A!C268</f>
        <v>58.145700000000005</v>
      </c>
      <c r="C265" s="685">
        <f>F10A!D268</f>
        <v>490.55960580000004</v>
      </c>
      <c r="D265" s="685">
        <f>F10A!E268</f>
        <v>131729.59340000001</v>
      </c>
      <c r="E265" s="685">
        <f>F10A!L268</f>
        <v>0</v>
      </c>
      <c r="F265" s="685">
        <f>F10A!K268</f>
        <v>40.458532833</v>
      </c>
      <c r="G265" s="685">
        <f>F10A!J268</f>
        <v>413.66749699200011</v>
      </c>
      <c r="H265" s="1179"/>
      <c r="I265" s="1179">
        <f t="shared" si="8"/>
        <v>454.1260298250001</v>
      </c>
      <c r="J265" s="1179"/>
      <c r="K265" s="1179"/>
      <c r="L265" s="1179">
        <f t="shared" si="9"/>
        <v>454.1260298250001</v>
      </c>
    </row>
    <row r="266" spans="1:12" ht="14.5">
      <c r="A266" s="1418"/>
      <c r="B266" s="1482">
        <f>F10A!C269</f>
        <v>0</v>
      </c>
      <c r="C266" s="685">
        <f>F10A!D269</f>
        <v>0</v>
      </c>
      <c r="D266" s="685">
        <f>F10A!E269</f>
        <v>0</v>
      </c>
      <c r="E266" s="685">
        <f>F10A!L269</f>
        <v>0</v>
      </c>
      <c r="F266" s="685">
        <f>F10A!K269</f>
        <v>0</v>
      </c>
      <c r="G266" s="685">
        <f>F10A!J269</f>
        <v>0</v>
      </c>
      <c r="H266" s="1179"/>
      <c r="I266" s="1179">
        <f t="shared" si="8"/>
        <v>0</v>
      </c>
      <c r="J266" s="1179"/>
      <c r="K266" s="1179"/>
      <c r="L266" s="1179">
        <f t="shared" si="9"/>
        <v>0</v>
      </c>
    </row>
    <row r="267" spans="1:12" ht="14.5">
      <c r="A267" s="1414" t="s">
        <v>1434</v>
      </c>
      <c r="B267" s="1482">
        <f>F10A!C270</f>
        <v>1</v>
      </c>
      <c r="C267" s="685">
        <f>F10A!D270</f>
        <v>2.8090000000000002</v>
      </c>
      <c r="D267" s="685">
        <f>F10A!E270</f>
        <v>410</v>
      </c>
      <c r="E267" s="685">
        <f>F10A!L270</f>
        <v>0</v>
      </c>
      <c r="F267" s="685">
        <f>F10A!K270</f>
        <v>0</v>
      </c>
      <c r="G267" s="685">
        <f>F10A!J270</f>
        <v>2.1994470000000002</v>
      </c>
      <c r="H267" s="1179"/>
      <c r="I267" s="1179">
        <f t="shared" si="8"/>
        <v>2.1994470000000002</v>
      </c>
      <c r="J267" s="1179"/>
      <c r="K267" s="1179"/>
      <c r="L267" s="1179">
        <f t="shared" si="9"/>
        <v>2.1994470000000002</v>
      </c>
    </row>
    <row r="268" spans="1:12" ht="14.5">
      <c r="A268" s="1418"/>
      <c r="B268" s="1482">
        <f>F10A!C271</f>
        <v>0</v>
      </c>
      <c r="C268" s="685">
        <f>F10A!D271</f>
        <v>0</v>
      </c>
      <c r="D268" s="685">
        <f>F10A!E271</f>
        <v>0</v>
      </c>
      <c r="E268" s="685">
        <f>F10A!L271</f>
        <v>0</v>
      </c>
      <c r="F268" s="685">
        <f>F10A!K271</f>
        <v>0</v>
      </c>
      <c r="G268" s="685">
        <f>F10A!J271</f>
        <v>0</v>
      </c>
      <c r="H268" s="1179"/>
      <c r="I268" s="1179">
        <f t="shared" si="8"/>
        <v>0</v>
      </c>
      <c r="J268" s="1179"/>
      <c r="K268" s="1179"/>
      <c r="L268" s="1179">
        <f t="shared" si="9"/>
        <v>0</v>
      </c>
    </row>
    <row r="269" spans="1:12" ht="14.5">
      <c r="A269" s="1414" t="s">
        <v>1470</v>
      </c>
      <c r="B269" s="1482">
        <f>F10A!C272</f>
        <v>0</v>
      </c>
      <c r="C269" s="685">
        <f>F10A!D272</f>
        <v>0</v>
      </c>
      <c r="D269" s="685">
        <f>F10A!E272</f>
        <v>0</v>
      </c>
      <c r="E269" s="685">
        <f>F10A!L272</f>
        <v>0</v>
      </c>
      <c r="F269" s="685">
        <f>F10A!K272</f>
        <v>0</v>
      </c>
      <c r="G269" s="685">
        <f>F10A!J272</f>
        <v>0</v>
      </c>
      <c r="H269" s="1179"/>
      <c r="I269" s="1179">
        <f t="shared" si="8"/>
        <v>0</v>
      </c>
      <c r="J269" s="1179"/>
      <c r="K269" s="1179"/>
      <c r="L269" s="1179">
        <f t="shared" si="9"/>
        <v>0</v>
      </c>
    </row>
    <row r="270" spans="1:12" ht="14.5">
      <c r="A270" s="1418"/>
      <c r="B270" s="1482">
        <f>F10A!C273</f>
        <v>0</v>
      </c>
      <c r="C270" s="685">
        <f>F10A!D273</f>
        <v>0</v>
      </c>
      <c r="D270" s="685">
        <f>F10A!E273</f>
        <v>0</v>
      </c>
      <c r="E270" s="685">
        <f>F10A!L273</f>
        <v>0</v>
      </c>
      <c r="F270" s="685">
        <f>F10A!K273</f>
        <v>0</v>
      </c>
      <c r="G270" s="685">
        <f>F10A!J273</f>
        <v>0</v>
      </c>
      <c r="H270" s="1179"/>
      <c r="I270" s="1179">
        <f t="shared" si="8"/>
        <v>0</v>
      </c>
      <c r="J270" s="1179"/>
      <c r="K270" s="1179"/>
      <c r="L270" s="1179">
        <f t="shared" si="9"/>
        <v>0</v>
      </c>
    </row>
    <row r="271" spans="1:12" ht="14.5">
      <c r="A271" s="1414" t="s">
        <v>126</v>
      </c>
      <c r="B271" s="1482">
        <f>F10A!C274</f>
        <v>9428037.6161499992</v>
      </c>
      <c r="C271" s="685">
        <f>F10A!D274</f>
        <v>22660.994932223985</v>
      </c>
      <c r="D271" s="685">
        <f>F10A!E274</f>
        <v>15046637.830860185</v>
      </c>
      <c r="E271" s="685">
        <f>F10A!L274</f>
        <v>0</v>
      </c>
      <c r="F271" s="685">
        <f>F10A!K274</f>
        <v>2994.5287072223155</v>
      </c>
      <c r="G271" s="685">
        <f>F10A!J274</f>
        <v>10727.808341231625</v>
      </c>
      <c r="H271" s="1179"/>
      <c r="I271" s="1179">
        <f t="shared" si="8"/>
        <v>13722.337048453941</v>
      </c>
      <c r="J271" s="1179"/>
      <c r="K271" s="1179"/>
      <c r="L271" s="1179">
        <f t="shared" si="9"/>
        <v>13722.337048453941</v>
      </c>
    </row>
  </sheetData>
  <printOptions horizontalCentered="1"/>
  <pageMargins left="0.19685039370078741" right="0.19685039370078741" top="0.19685039370078741" bottom="0.19685039370078741" header="0.19685039370078741" footer="0.19685039370078741"/>
  <pageSetup paperSize="9" scale="37" fitToHeight="3"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view="pageBreakPreview" zoomScale="91" zoomScaleSheetLayoutView="91" workbookViewId="0">
      <selection activeCell="C105" sqref="C105"/>
    </sheetView>
  </sheetViews>
  <sheetFormatPr defaultColWidth="9.1796875" defaultRowHeight="18.75" customHeight="1"/>
  <cols>
    <col min="1" max="1" width="18.453125" style="603" bestFit="1" customWidth="1"/>
    <col min="2" max="2" width="45.26953125" style="603" customWidth="1"/>
    <col min="3" max="3" width="18.26953125" style="603" customWidth="1"/>
    <col min="4" max="4" width="16.54296875" style="603" customWidth="1"/>
    <col min="5" max="6" width="14.7265625" style="603" bestFit="1" customWidth="1"/>
    <col min="7" max="7" width="12.54296875" style="603" bestFit="1" customWidth="1"/>
    <col min="8" max="16384" width="9.1796875" style="603"/>
  </cols>
  <sheetData>
    <row r="1" spans="1:7" ht="18.75" customHeight="1">
      <c r="A1" s="2993" t="s">
        <v>1604</v>
      </c>
      <c r="B1" s="2993"/>
      <c r="C1" s="2993"/>
      <c r="D1" s="2993"/>
      <c r="E1" s="2993"/>
      <c r="F1" s="2993"/>
      <c r="G1" s="2993"/>
    </row>
    <row r="2" spans="1:7" ht="18.75" customHeight="1">
      <c r="A2" s="613" t="s">
        <v>1215</v>
      </c>
      <c r="B2" s="605"/>
      <c r="C2" s="605"/>
      <c r="D2" s="605"/>
      <c r="E2" s="605"/>
      <c r="F2" s="605"/>
      <c r="G2" s="605"/>
    </row>
    <row r="3" spans="1:7" ht="18.75" customHeight="1">
      <c r="A3" s="573" t="s">
        <v>1282</v>
      </c>
      <c r="B3" s="573"/>
      <c r="C3" s="573"/>
      <c r="D3" s="573"/>
      <c r="E3" s="573"/>
      <c r="F3" s="573"/>
      <c r="G3" s="573"/>
    </row>
    <row r="4" spans="1:7" ht="18.75" customHeight="1">
      <c r="A4" s="608"/>
      <c r="B4" s="621"/>
      <c r="C4" s="621"/>
      <c r="D4" s="621"/>
      <c r="E4" s="621"/>
      <c r="F4" s="621"/>
      <c r="G4" s="627" t="s">
        <v>141</v>
      </c>
    </row>
    <row r="5" spans="1:7" ht="31.5" customHeight="1">
      <c r="A5" s="3529" t="s">
        <v>106</v>
      </c>
      <c r="B5" s="3529" t="s">
        <v>14</v>
      </c>
      <c r="C5" s="3530" t="s">
        <v>885</v>
      </c>
      <c r="D5" s="3531"/>
      <c r="E5" s="932" t="s">
        <v>575</v>
      </c>
      <c r="F5" s="932" t="s">
        <v>1181</v>
      </c>
      <c r="G5" s="932" t="s">
        <v>952</v>
      </c>
    </row>
    <row r="6" spans="1:7" ht="18.75" customHeight="1">
      <c r="A6" s="3529"/>
      <c r="B6" s="3529"/>
      <c r="C6" s="932" t="s">
        <v>553</v>
      </c>
      <c r="D6" s="932" t="s">
        <v>551</v>
      </c>
      <c r="E6" s="660" t="s">
        <v>545</v>
      </c>
      <c r="F6" s="660" t="s">
        <v>546</v>
      </c>
      <c r="G6" s="660" t="s">
        <v>547</v>
      </c>
    </row>
    <row r="7" spans="1:7" ht="18.75" customHeight="1">
      <c r="A7" s="238"/>
      <c r="B7" s="238"/>
      <c r="C7" s="661"/>
      <c r="D7" s="661"/>
      <c r="E7" s="662"/>
      <c r="F7" s="662"/>
      <c r="G7" s="662"/>
    </row>
    <row r="8" spans="1:7" ht="29">
      <c r="A8" s="355">
        <v>1</v>
      </c>
      <c r="B8" s="633" t="s">
        <v>1310</v>
      </c>
      <c r="C8" s="863"/>
      <c r="D8" s="863"/>
      <c r="E8" s="864"/>
      <c r="F8" s="821"/>
      <c r="G8" s="821"/>
    </row>
    <row r="9" spans="1:7" ht="14.5">
      <c r="A9" s="355">
        <v>2</v>
      </c>
      <c r="B9" s="505" t="s">
        <v>1311</v>
      </c>
      <c r="C9" s="863"/>
      <c r="D9" s="863"/>
      <c r="E9" s="864"/>
      <c r="F9" s="821"/>
      <c r="G9" s="821"/>
    </row>
    <row r="10" spans="1:7" ht="33.75" customHeight="1">
      <c r="A10" s="355">
        <f>A9+1</f>
        <v>3</v>
      </c>
      <c r="B10" s="505" t="s">
        <v>1312</v>
      </c>
      <c r="C10" s="863"/>
      <c r="D10" s="863"/>
      <c r="E10" s="864"/>
      <c r="F10" s="474"/>
      <c r="G10" s="474"/>
    </row>
    <row r="11" spans="1:7" ht="29">
      <c r="A11" s="355">
        <f>A10+1</f>
        <v>4</v>
      </c>
      <c r="B11" s="505" t="s">
        <v>1313</v>
      </c>
      <c r="C11" s="863"/>
      <c r="D11" s="863"/>
      <c r="E11" s="864"/>
      <c r="F11" s="821"/>
      <c r="G11" s="474"/>
    </row>
    <row r="12" spans="1:7" ht="18.75" customHeight="1">
      <c r="A12" s="355">
        <v>5</v>
      </c>
      <c r="B12" s="505" t="s">
        <v>1314</v>
      </c>
      <c r="C12" s="863"/>
      <c r="D12" s="863"/>
      <c r="E12" s="864"/>
      <c r="F12" s="821"/>
      <c r="G12" s="821"/>
    </row>
    <row r="13" spans="1:7" ht="27.75" customHeight="1">
      <c r="A13" s="355">
        <f>A12+1</f>
        <v>6</v>
      </c>
      <c r="B13" s="505" t="s">
        <v>1316</v>
      </c>
      <c r="C13" s="1182">
        <f>2%*'F1'!E13</f>
        <v>271.7688</v>
      </c>
      <c r="D13" s="1182">
        <f>2%*'F1'!F13</f>
        <v>233.817134592</v>
      </c>
      <c r="E13" s="1182">
        <f>2%*'F1'!G13</f>
        <v>233.817134592</v>
      </c>
      <c r="F13" s="1182">
        <f>2%*'F1'!H13</f>
        <v>269.38539571735333</v>
      </c>
      <c r="G13" s="1182">
        <f>2%*'F1'!I13</f>
        <v>274.44674096907892</v>
      </c>
    </row>
    <row r="14" spans="1:7" ht="35.25" customHeight="1">
      <c r="A14" s="634">
        <v>7</v>
      </c>
      <c r="B14" s="635" t="s">
        <v>1315</v>
      </c>
      <c r="C14" s="741">
        <f>MIN(C13,'F1'!D33)</f>
        <v>164.6061</v>
      </c>
      <c r="D14" s="741">
        <f>MIN(D13,'F1'!E33)</f>
        <v>233.817134592</v>
      </c>
      <c r="E14" s="741">
        <f>MIN(E13,'F1'!F33)</f>
        <v>175.26230000000001</v>
      </c>
      <c r="F14" s="741">
        <f>F13</f>
        <v>269.38539571735333</v>
      </c>
      <c r="G14" s="741">
        <f t="shared" ref="G14" si="0">G13</f>
        <v>274.44674096907892</v>
      </c>
    </row>
    <row r="15" spans="1:7" ht="18.75" customHeight="1">
      <c r="A15" s="630"/>
      <c r="B15" s="865" t="s">
        <v>1357</v>
      </c>
      <c r="C15" s="631"/>
      <c r="D15" s="631"/>
      <c r="E15" s="632"/>
      <c r="F15" s="632"/>
      <c r="G15" s="632"/>
    </row>
    <row r="16" spans="1:7" ht="18.75" customHeight="1">
      <c r="A16" s="602"/>
      <c r="B16" s="224"/>
      <c r="C16" s="224"/>
      <c r="D16" s="224"/>
      <c r="E16" s="625"/>
      <c r="F16" s="625"/>
      <c r="G16" s="625"/>
    </row>
    <row r="17" spans="1:7" ht="18.75" customHeight="1">
      <c r="A17" s="602"/>
      <c r="B17" s="224"/>
      <c r="C17" s="224"/>
      <c r="D17" s="224"/>
      <c r="E17" s="625"/>
      <c r="F17" s="625"/>
      <c r="G17" s="625"/>
    </row>
    <row r="18" spans="1:7" ht="18.75" customHeight="1">
      <c r="A18" s="602"/>
      <c r="B18" s="224"/>
      <c r="C18" s="224"/>
      <c r="D18" s="224"/>
      <c r="E18" s="625"/>
      <c r="F18" s="625"/>
      <c r="G18" s="625"/>
    </row>
    <row r="19" spans="1:7" ht="18.75" customHeight="1">
      <c r="F19" s="3327"/>
      <c r="G19" s="3327"/>
    </row>
  </sheetData>
  <mergeCells count="5">
    <mergeCell ref="A5:A6"/>
    <mergeCell ref="B5:B6"/>
    <mergeCell ref="F19:G19"/>
    <mergeCell ref="A1:G1"/>
    <mergeCell ref="C5:D5"/>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workbookViewId="0">
      <selection activeCell="C105" sqref="C105"/>
    </sheetView>
  </sheetViews>
  <sheetFormatPr defaultRowHeight="14.5"/>
  <cols>
    <col min="1" max="1" width="6.453125" customWidth="1"/>
    <col min="2" max="2" width="23.1796875" customWidth="1"/>
    <col min="3" max="3" width="14.26953125" customWidth="1"/>
    <col min="4" max="4" width="8.7265625" style="578" bestFit="1" customWidth="1"/>
    <col min="5" max="5" width="11.26953125" bestFit="1" customWidth="1"/>
    <col min="6" max="6" width="9.453125" bestFit="1" customWidth="1"/>
  </cols>
  <sheetData>
    <row r="1" spans="1:11">
      <c r="A1" s="580" t="s">
        <v>1223</v>
      </c>
      <c r="B1" s="580"/>
      <c r="C1" s="580"/>
      <c r="D1" s="580"/>
      <c r="E1" s="580"/>
      <c r="F1" s="580"/>
      <c r="G1" s="580"/>
      <c r="H1" s="580"/>
      <c r="I1" s="580"/>
      <c r="J1" s="580"/>
    </row>
    <row r="2" spans="1:11">
      <c r="A2" s="2993" t="s">
        <v>1604</v>
      </c>
      <c r="B2" s="2993"/>
      <c r="C2" s="2993"/>
      <c r="D2" s="2993"/>
      <c r="E2" s="2993"/>
      <c r="F2" s="2993"/>
      <c r="G2" s="2993"/>
      <c r="H2" s="2993"/>
      <c r="I2" s="2993"/>
      <c r="J2" s="2993"/>
    </row>
    <row r="3" spans="1:11">
      <c r="A3" s="574" t="s">
        <v>1214</v>
      </c>
      <c r="B3" s="574"/>
      <c r="C3" s="574"/>
      <c r="D3" s="574"/>
      <c r="E3" s="574"/>
      <c r="F3" s="574"/>
      <c r="G3" s="580"/>
      <c r="H3" s="580"/>
      <c r="I3" s="580"/>
      <c r="J3" s="580"/>
      <c r="K3" s="442"/>
    </row>
    <row r="5" spans="1:11" ht="45" customHeight="1">
      <c r="A5" s="3532" t="s">
        <v>1222</v>
      </c>
      <c r="B5" s="3532"/>
      <c r="C5" s="3532"/>
      <c r="D5" s="3532"/>
      <c r="E5" s="3532"/>
      <c r="F5" s="3532"/>
      <c r="G5" s="582"/>
      <c r="H5" s="582"/>
      <c r="I5" s="582"/>
      <c r="J5" s="582"/>
    </row>
    <row r="6" spans="1:11" ht="29">
      <c r="A6" s="583" t="s">
        <v>1217</v>
      </c>
      <c r="B6" s="583" t="s">
        <v>1216</v>
      </c>
      <c r="C6" s="583" t="s">
        <v>1218</v>
      </c>
      <c r="D6" s="583" t="s">
        <v>1221</v>
      </c>
      <c r="E6" s="583" t="s">
        <v>1219</v>
      </c>
      <c r="F6" s="583" t="s">
        <v>1220</v>
      </c>
    </row>
    <row r="7" spans="1:11">
      <c r="A7" s="1469">
        <v>1</v>
      </c>
      <c r="B7" s="245"/>
      <c r="C7" s="245"/>
      <c r="D7" s="245"/>
      <c r="E7" s="245"/>
      <c r="F7" s="245"/>
    </row>
    <row r="8" spans="1:11">
      <c r="A8" s="1469">
        <v>2</v>
      </c>
      <c r="B8" s="245"/>
      <c r="C8" s="245"/>
      <c r="D8" s="245"/>
      <c r="E8" s="245"/>
      <c r="F8" s="245"/>
    </row>
    <row r="9" spans="1:11">
      <c r="A9" s="1469">
        <v>3</v>
      </c>
      <c r="B9" s="245"/>
      <c r="C9" s="245"/>
      <c r="D9" s="245"/>
      <c r="E9" s="245"/>
      <c r="F9" s="245"/>
    </row>
    <row r="10" spans="1:11">
      <c r="A10" s="1469">
        <v>4</v>
      </c>
      <c r="B10" s="245"/>
      <c r="C10" s="245"/>
      <c r="D10" s="245"/>
      <c r="E10" s="245"/>
      <c r="F10" s="245"/>
    </row>
    <row r="11" spans="1:11">
      <c r="A11" s="1469">
        <v>5</v>
      </c>
      <c r="B11" s="245"/>
      <c r="C11" s="245"/>
      <c r="D11" s="245"/>
      <c r="E11" s="245"/>
      <c r="F11" s="245"/>
    </row>
    <row r="12" spans="1:11">
      <c r="A12" s="1469">
        <v>6</v>
      </c>
      <c r="B12" s="245"/>
      <c r="C12" s="245"/>
      <c r="D12" s="245"/>
      <c r="E12" s="245"/>
      <c r="F12" s="245"/>
    </row>
    <row r="13" spans="1:11">
      <c r="A13" s="1469">
        <v>7</v>
      </c>
      <c r="B13" s="245" t="s">
        <v>1347</v>
      </c>
      <c r="C13" s="245"/>
      <c r="D13" s="245"/>
      <c r="E13" s="245"/>
      <c r="F13" s="245"/>
    </row>
    <row r="14" spans="1:11">
      <c r="A14" s="1469">
        <v>8</v>
      </c>
      <c r="B14" s="245"/>
      <c r="C14" s="245"/>
      <c r="D14" s="245"/>
      <c r="E14" s="245"/>
      <c r="F14" s="245"/>
    </row>
    <row r="15" spans="1:11">
      <c r="A15" s="1469">
        <v>9</v>
      </c>
      <c r="B15" s="245"/>
      <c r="C15" s="245"/>
      <c r="D15" s="245"/>
      <c r="E15" s="245"/>
      <c r="F15" s="245"/>
    </row>
    <row r="16" spans="1:11">
      <c r="A16" s="1469">
        <v>10</v>
      </c>
      <c r="B16" s="245"/>
      <c r="C16" s="245"/>
      <c r="D16" s="245"/>
      <c r="E16" s="245"/>
      <c r="F16" s="245"/>
    </row>
    <row r="17" spans="1:6">
      <c r="A17" s="1469">
        <v>11</v>
      </c>
      <c r="B17" s="245"/>
      <c r="C17" s="245"/>
      <c r="D17" s="245"/>
      <c r="E17" s="245"/>
      <c r="F17" s="245"/>
    </row>
    <row r="18" spans="1:6">
      <c r="A18" s="1469">
        <v>12</v>
      </c>
      <c r="B18" s="245"/>
      <c r="C18" s="245"/>
      <c r="D18" s="245"/>
      <c r="E18" s="245"/>
      <c r="F18" s="245"/>
    </row>
    <row r="19" spans="1:6">
      <c r="A19" s="1469">
        <v>13</v>
      </c>
      <c r="B19" s="245"/>
      <c r="C19" s="245"/>
      <c r="D19" s="245"/>
      <c r="E19" s="245"/>
      <c r="F19" s="245"/>
    </row>
    <row r="20" spans="1:6">
      <c r="A20" s="1469">
        <v>14</v>
      </c>
      <c r="B20" s="245"/>
      <c r="C20" s="245"/>
      <c r="D20" s="245"/>
      <c r="E20" s="245"/>
      <c r="F20" s="245"/>
    </row>
    <row r="21" spans="1:6">
      <c r="A21" s="1469">
        <v>15</v>
      </c>
      <c r="B21" s="245"/>
      <c r="C21" s="245"/>
      <c r="D21" s="245"/>
      <c r="E21" s="245"/>
      <c r="F21" s="245"/>
    </row>
    <row r="22" spans="1:6">
      <c r="A22" s="1469">
        <v>16</v>
      </c>
      <c r="B22" s="245"/>
      <c r="C22" s="245"/>
      <c r="D22" s="245"/>
      <c r="E22" s="245"/>
      <c r="F22" s="245"/>
    </row>
    <row r="23" spans="1:6">
      <c r="A23" s="1469">
        <v>17</v>
      </c>
      <c r="B23" s="245"/>
      <c r="C23" s="245"/>
      <c r="D23" s="245"/>
      <c r="E23" s="245"/>
      <c r="F23" s="245"/>
    </row>
    <row r="24" spans="1:6">
      <c r="A24" s="1469">
        <v>18</v>
      </c>
      <c r="B24" s="245"/>
      <c r="C24" s="245"/>
      <c r="D24" s="245"/>
      <c r="E24" s="245"/>
      <c r="F24" s="245"/>
    </row>
    <row r="25" spans="1:6">
      <c r="A25" s="1469">
        <v>19</v>
      </c>
      <c r="B25" s="245"/>
      <c r="C25" s="245"/>
      <c r="D25" s="245"/>
      <c r="E25" s="245"/>
      <c r="F25" s="245"/>
    </row>
    <row r="26" spans="1:6">
      <c r="A26" s="1469">
        <v>20</v>
      </c>
      <c r="B26" s="245"/>
      <c r="C26" s="245"/>
      <c r="D26" s="245"/>
      <c r="E26" s="245"/>
      <c r="F26" s="245"/>
    </row>
    <row r="27" spans="1:6">
      <c r="A27" s="1469">
        <v>21</v>
      </c>
      <c r="B27" s="245"/>
      <c r="C27" s="245"/>
      <c r="D27" s="245"/>
      <c r="E27" s="245"/>
      <c r="F27" s="245"/>
    </row>
    <row r="28" spans="1:6">
      <c r="A28" s="1469">
        <v>22</v>
      </c>
      <c r="B28" s="245"/>
      <c r="C28" s="245"/>
      <c r="D28" s="245"/>
      <c r="E28" s="245"/>
      <c r="F28" s="245"/>
    </row>
    <row r="29" spans="1:6">
      <c r="A29" s="1469">
        <v>23</v>
      </c>
      <c r="B29" s="245"/>
      <c r="C29" s="245"/>
      <c r="D29" s="245"/>
      <c r="E29" s="245"/>
      <c r="F29" s="245"/>
    </row>
    <row r="30" spans="1:6">
      <c r="A30" s="1469">
        <v>24</v>
      </c>
      <c r="B30" s="245"/>
      <c r="C30" s="245"/>
      <c r="D30" s="245"/>
      <c r="E30" s="245"/>
      <c r="F30" s="245"/>
    </row>
    <row r="31" spans="1:6">
      <c r="A31" s="1469">
        <v>25</v>
      </c>
      <c r="B31" s="245"/>
      <c r="C31" s="245"/>
      <c r="D31" s="245"/>
      <c r="E31" s="245"/>
      <c r="F31" s="245"/>
    </row>
    <row r="32" spans="1:6">
      <c r="A32" s="1469">
        <v>26</v>
      </c>
      <c r="B32" s="245"/>
      <c r="C32" s="245"/>
      <c r="D32" s="245"/>
      <c r="E32" s="245"/>
      <c r="F32" s="245"/>
    </row>
    <row r="33" spans="1:6">
      <c r="A33" s="1469">
        <v>27</v>
      </c>
      <c r="B33" s="245"/>
      <c r="C33" s="245"/>
      <c r="D33" s="245"/>
      <c r="E33" s="245"/>
      <c r="F33" s="245"/>
    </row>
    <row r="34" spans="1:6">
      <c r="A34" s="1469">
        <v>28</v>
      </c>
      <c r="B34" s="245"/>
      <c r="C34" s="245"/>
      <c r="D34" s="245"/>
      <c r="E34" s="245"/>
      <c r="F34" s="245"/>
    </row>
    <row r="35" spans="1:6">
      <c r="A35" s="1469">
        <v>29</v>
      </c>
      <c r="B35" s="245"/>
      <c r="C35" s="245"/>
      <c r="D35" s="245"/>
      <c r="E35" s="245"/>
      <c r="F35" s="245"/>
    </row>
    <row r="36" spans="1:6">
      <c r="A36" s="1469">
        <v>30</v>
      </c>
      <c r="B36" s="245"/>
      <c r="C36" s="245"/>
      <c r="D36" s="245"/>
      <c r="E36" s="245"/>
      <c r="F36" s="245"/>
    </row>
    <row r="37" spans="1:6">
      <c r="A37" s="1469" t="s">
        <v>861</v>
      </c>
      <c r="B37" s="245"/>
      <c r="C37" s="245"/>
      <c r="D37" s="245"/>
      <c r="E37" s="245"/>
      <c r="F37" s="245"/>
    </row>
    <row r="38" spans="1:6">
      <c r="A38" s="1469" t="s">
        <v>861</v>
      </c>
      <c r="B38" s="245"/>
      <c r="C38" s="245"/>
      <c r="D38" s="245"/>
      <c r="E38" s="245"/>
      <c r="F38" s="245"/>
    </row>
    <row r="39" spans="1:6">
      <c r="A39" s="1469" t="s">
        <v>861</v>
      </c>
      <c r="B39" s="245"/>
      <c r="C39" s="245"/>
      <c r="D39" s="245"/>
      <c r="E39" s="245"/>
      <c r="F39" s="245"/>
    </row>
    <row r="40" spans="1:6">
      <c r="A40" s="1469" t="s">
        <v>861</v>
      </c>
      <c r="B40" s="245"/>
      <c r="C40" s="245"/>
      <c r="D40" s="245"/>
      <c r="E40" s="245"/>
      <c r="F40" s="245"/>
    </row>
    <row r="41" spans="1:6">
      <c r="A41" s="3533" t="s">
        <v>1234</v>
      </c>
      <c r="B41" s="3533"/>
      <c r="C41" s="3533"/>
      <c r="D41" s="3533"/>
      <c r="E41" s="3533"/>
      <c r="F41" s="3533"/>
    </row>
  </sheetData>
  <mergeCells count="3">
    <mergeCell ref="A2:J2"/>
    <mergeCell ref="A5:F5"/>
    <mergeCell ref="A41:F41"/>
  </mergeCells>
  <printOptions horizontalCentered="1"/>
  <pageMargins left="0.19685039370078741" right="0.19685039370078741" top="0.19685039370078741" bottom="0.19685039370078741" header="0.19685039370078741" footer="0.19685039370078741"/>
  <pageSetup paperSize="9" scale="92"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workbookViewId="0">
      <selection activeCell="C105" sqref="C105"/>
    </sheetView>
  </sheetViews>
  <sheetFormatPr defaultColWidth="9.1796875" defaultRowHeight="14.5"/>
  <cols>
    <col min="1" max="1" width="6.453125" style="578" customWidth="1"/>
    <col min="2" max="2" width="23.1796875" style="578" customWidth="1"/>
    <col min="3" max="3" width="7.26953125" style="578" bestFit="1" customWidth="1"/>
    <col min="4" max="4" width="18.1796875" style="578" bestFit="1" customWidth="1"/>
    <col min="5" max="5" width="9.26953125" style="578" bestFit="1" customWidth="1"/>
    <col min="6" max="6" width="22.1796875" style="578" customWidth="1"/>
    <col min="7" max="16384" width="9.1796875" style="578"/>
  </cols>
  <sheetData>
    <row r="1" spans="1:11">
      <c r="A1" s="580" t="s">
        <v>1283</v>
      </c>
      <c r="B1" s="580"/>
      <c r="C1" s="580"/>
      <c r="D1" s="580"/>
      <c r="E1" s="580"/>
      <c r="F1" s="580"/>
      <c r="G1" s="580"/>
      <c r="H1" s="580"/>
      <c r="I1" s="580"/>
      <c r="J1" s="580"/>
    </row>
    <row r="2" spans="1:11">
      <c r="A2" s="2993" t="s">
        <v>1604</v>
      </c>
      <c r="B2" s="2993"/>
      <c r="C2" s="2993"/>
      <c r="D2" s="2993"/>
      <c r="E2" s="2993"/>
      <c r="F2" s="2993"/>
      <c r="G2" s="2993"/>
      <c r="H2" s="2993"/>
      <c r="I2" s="2993"/>
      <c r="J2" s="2993"/>
    </row>
    <row r="3" spans="1:11">
      <c r="A3" s="574" t="s">
        <v>1228</v>
      </c>
      <c r="B3" s="574"/>
      <c r="C3" s="574"/>
      <c r="D3" s="574"/>
      <c r="E3" s="574"/>
      <c r="F3" s="574"/>
      <c r="G3" s="580"/>
      <c r="H3" s="580"/>
      <c r="I3" s="580"/>
      <c r="J3" s="580"/>
      <c r="K3" s="442"/>
    </row>
    <row r="5" spans="1:11" ht="43.5">
      <c r="A5" s="583" t="s">
        <v>1217</v>
      </c>
      <c r="B5" s="583" t="s">
        <v>1224</v>
      </c>
      <c r="C5" s="583" t="s">
        <v>1225</v>
      </c>
      <c r="D5" s="583" t="s">
        <v>1227</v>
      </c>
      <c r="E5" s="583" t="s">
        <v>1226</v>
      </c>
      <c r="F5" s="583" t="s">
        <v>1229</v>
      </c>
    </row>
    <row r="6" spans="1:11">
      <c r="A6" s="1469">
        <v>1</v>
      </c>
      <c r="B6" s="245"/>
      <c r="C6" s="245"/>
      <c r="D6" s="245"/>
      <c r="E6" s="245"/>
      <c r="F6" s="245"/>
    </row>
    <row r="7" spans="1:11">
      <c r="A7" s="1469">
        <v>2</v>
      </c>
      <c r="B7" s="245"/>
      <c r="C7" s="245"/>
      <c r="D7" s="245"/>
      <c r="E7" s="245"/>
      <c r="F7" s="245"/>
    </row>
    <row r="8" spans="1:11">
      <c r="A8" s="1469">
        <v>3</v>
      </c>
      <c r="B8" s="245"/>
      <c r="C8" s="245"/>
      <c r="D8" s="245"/>
      <c r="E8" s="245"/>
      <c r="F8" s="245"/>
    </row>
    <row r="9" spans="1:11">
      <c r="A9" s="1469">
        <v>4</v>
      </c>
      <c r="B9" s="245"/>
      <c r="C9" s="245"/>
      <c r="D9" s="245"/>
      <c r="E9" s="245"/>
      <c r="F9" s="245"/>
    </row>
    <row r="10" spans="1:11">
      <c r="A10" s="1469">
        <v>5</v>
      </c>
      <c r="B10" s="245" t="s">
        <v>1348</v>
      </c>
      <c r="C10" s="245"/>
      <c r="D10" s="245"/>
      <c r="E10" s="245"/>
      <c r="F10" s="245"/>
    </row>
    <row r="11" spans="1:11">
      <c r="A11" s="1469">
        <v>6</v>
      </c>
      <c r="B11" s="245"/>
      <c r="C11" s="245"/>
      <c r="D11" s="245"/>
      <c r="E11" s="245"/>
      <c r="F11" s="245"/>
    </row>
    <row r="12" spans="1:11">
      <c r="A12" s="1469">
        <v>7</v>
      </c>
      <c r="B12" s="245"/>
      <c r="C12" s="245"/>
      <c r="D12" s="245"/>
      <c r="E12" s="245"/>
      <c r="F12" s="245"/>
    </row>
    <row r="13" spans="1:11">
      <c r="A13" s="1469">
        <v>8</v>
      </c>
      <c r="B13" s="245"/>
      <c r="C13" s="245"/>
      <c r="D13" s="245"/>
      <c r="E13" s="245"/>
      <c r="F13" s="245"/>
    </row>
    <row r="14" spans="1:11">
      <c r="A14" s="1469">
        <v>9</v>
      </c>
      <c r="B14" s="245"/>
      <c r="C14" s="245"/>
      <c r="D14" s="245"/>
      <c r="E14" s="245"/>
      <c r="F14" s="245"/>
    </row>
    <row r="15" spans="1:11">
      <c r="A15" s="1469">
        <v>10</v>
      </c>
      <c r="B15" s="245"/>
      <c r="C15" s="245"/>
      <c r="D15" s="245"/>
      <c r="E15" s="245"/>
      <c r="F15" s="245"/>
    </row>
    <row r="16" spans="1:11">
      <c r="A16" s="1469" t="s">
        <v>861</v>
      </c>
      <c r="B16" s="245"/>
      <c r="C16" s="245"/>
      <c r="D16" s="245"/>
      <c r="E16" s="245"/>
      <c r="F16" s="245"/>
    </row>
    <row r="17" spans="1:6">
      <c r="A17" s="1469" t="s">
        <v>861</v>
      </c>
      <c r="B17" s="245"/>
      <c r="C17" s="245"/>
      <c r="D17" s="245"/>
      <c r="E17" s="245"/>
      <c r="F17" s="245"/>
    </row>
    <row r="18" spans="1:6">
      <c r="A18" s="1469" t="s">
        <v>861</v>
      </c>
      <c r="B18" s="245"/>
      <c r="C18" s="245"/>
      <c r="D18" s="245"/>
      <c r="E18" s="245"/>
      <c r="F18" s="245"/>
    </row>
    <row r="19" spans="1:6">
      <c r="A19" s="1469" t="s">
        <v>861</v>
      </c>
      <c r="B19" s="245"/>
      <c r="C19" s="245"/>
      <c r="D19" s="245"/>
      <c r="E19" s="245"/>
      <c r="F19" s="245"/>
    </row>
    <row r="20" spans="1:6">
      <c r="A20" s="3533" t="s">
        <v>1230</v>
      </c>
      <c r="B20" s="3533"/>
      <c r="C20" s="3533"/>
      <c r="D20" s="3533"/>
      <c r="E20" s="3533"/>
      <c r="F20" s="3533"/>
    </row>
  </sheetData>
  <mergeCells count="2">
    <mergeCell ref="A2:J2"/>
    <mergeCell ref="A20:F20"/>
  </mergeCells>
  <printOptions horizontalCentered="1"/>
  <pageMargins left="0.19685039370078741" right="0.19685039370078741" top="0.19685039370078741" bottom="0.19685039370078741" header="0.19685039370078741" footer="0.19685039370078741"/>
  <pageSetup paperSize="9"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BreakPreview" topLeftCell="A3" zoomScale="60" zoomScaleNormal="100" workbookViewId="0">
      <selection activeCell="C105" sqref="C105"/>
    </sheetView>
  </sheetViews>
  <sheetFormatPr defaultColWidth="8.7265625" defaultRowHeight="14.5"/>
  <cols>
    <col min="1" max="2" width="8.7265625" style="2665"/>
    <col min="3" max="3" width="11.7265625" style="2665" bestFit="1" customWidth="1"/>
    <col min="4" max="4" width="10.453125" style="2665" bestFit="1" customWidth="1"/>
    <col min="5" max="5" width="8.7265625" style="2665"/>
    <col min="6" max="6" width="10.453125" style="2665" bestFit="1" customWidth="1"/>
    <col min="7" max="8" width="8.7265625" style="2665"/>
    <col min="9" max="9" width="10" style="2665" bestFit="1" customWidth="1"/>
    <col min="10" max="16384" width="8.7265625" style="2665"/>
  </cols>
  <sheetData>
    <row r="1" spans="1:9">
      <c r="A1" s="307" t="s">
        <v>2831</v>
      </c>
      <c r="B1" s="307"/>
      <c r="C1" s="1323"/>
      <c r="D1" s="1321"/>
      <c r="E1" s="1321"/>
      <c r="F1" s="1321"/>
      <c r="G1" s="1321"/>
      <c r="H1" s="1321"/>
      <c r="I1" s="1321"/>
    </row>
    <row r="2" spans="1:9">
      <c r="A2" s="3534" t="s">
        <v>2256</v>
      </c>
      <c r="B2" s="3534"/>
      <c r="C2" s="3534"/>
      <c r="D2" s="3534"/>
      <c r="E2" s="3534"/>
      <c r="F2" s="3534"/>
      <c r="G2" s="3534"/>
      <c r="H2" s="1321"/>
      <c r="I2" s="1321"/>
    </row>
    <row r="3" spans="1:9">
      <c r="A3" s="304" t="s">
        <v>2832</v>
      </c>
      <c r="B3" s="304"/>
      <c r="C3" s="304"/>
      <c r="D3" s="304"/>
      <c r="E3" s="304"/>
      <c r="F3" s="3060"/>
      <c r="G3" s="3060"/>
      <c r="H3" s="2661"/>
      <c r="I3" s="2661"/>
    </row>
    <row r="4" spans="1:9">
      <c r="A4" s="308"/>
      <c r="B4" s="308"/>
      <c r="C4" s="2670"/>
      <c r="D4" s="308"/>
      <c r="E4" s="308"/>
      <c r="F4" s="3061"/>
      <c r="G4" s="3061"/>
      <c r="H4" s="2660"/>
      <c r="I4" s="2660"/>
    </row>
    <row r="5" spans="1:9">
      <c r="A5" s="3044" t="s">
        <v>117</v>
      </c>
      <c r="B5" s="3414"/>
      <c r="C5" s="2994" t="s">
        <v>14</v>
      </c>
      <c r="D5" s="3018" t="s">
        <v>884</v>
      </c>
      <c r="E5" s="3019"/>
      <c r="F5" s="3022"/>
      <c r="G5" s="2655"/>
      <c r="H5" s="2663"/>
      <c r="I5" s="2654" t="s">
        <v>542</v>
      </c>
    </row>
    <row r="6" spans="1:9" ht="29">
      <c r="A6" s="3046"/>
      <c r="B6" s="3048"/>
      <c r="C6" s="2994"/>
      <c r="D6" s="2653" t="s">
        <v>556</v>
      </c>
      <c r="E6" s="2653" t="s">
        <v>555</v>
      </c>
      <c r="F6" s="2653" t="s">
        <v>553</v>
      </c>
      <c r="G6" s="2653" t="s">
        <v>551</v>
      </c>
      <c r="H6" s="2656"/>
      <c r="I6" s="2653" t="s">
        <v>545</v>
      </c>
    </row>
    <row r="7" spans="1:9" ht="29">
      <c r="A7" s="3049"/>
      <c r="B7" s="3051"/>
      <c r="C7" s="2994"/>
      <c r="D7" s="2653" t="s">
        <v>554</v>
      </c>
      <c r="E7" s="2653" t="s">
        <v>554</v>
      </c>
      <c r="F7" s="2653" t="s">
        <v>554</v>
      </c>
      <c r="G7" s="2653" t="s">
        <v>554</v>
      </c>
      <c r="H7" s="2668" t="s">
        <v>543</v>
      </c>
      <c r="I7" s="2664" t="s">
        <v>544</v>
      </c>
    </row>
    <row r="8" spans="1:9" ht="43.5">
      <c r="A8" s="35" t="s">
        <v>57</v>
      </c>
      <c r="B8" s="263"/>
      <c r="C8" s="2671" t="s">
        <v>2833</v>
      </c>
      <c r="D8" s="1869"/>
      <c r="E8" s="1869"/>
      <c r="F8" s="263"/>
      <c r="G8" s="263"/>
      <c r="H8" s="263"/>
      <c r="I8" s="1065"/>
    </row>
    <row r="9" spans="1:9" ht="43.5">
      <c r="A9" s="263"/>
      <c r="B9" s="29">
        <v>1</v>
      </c>
      <c r="C9" s="2672" t="s">
        <v>2834</v>
      </c>
      <c r="D9" s="524"/>
      <c r="E9" s="524"/>
      <c r="F9" s="1743">
        <v>25674.649999999998</v>
      </c>
      <c r="G9" s="1743">
        <v>26128.230000000003</v>
      </c>
      <c r="H9" s="1743"/>
      <c r="I9" s="2673">
        <v>27279.267</v>
      </c>
    </row>
    <row r="10" spans="1:9" ht="43.5">
      <c r="A10" s="263"/>
      <c r="B10" s="29">
        <v>2</v>
      </c>
      <c r="C10" s="2672" t="s">
        <v>2835</v>
      </c>
      <c r="D10" s="524"/>
      <c r="E10" s="524"/>
      <c r="F10" s="1743">
        <v>1817.2</v>
      </c>
      <c r="G10" s="1743">
        <v>1169.0244339999999</v>
      </c>
      <c r="H10" s="1743"/>
      <c r="I10" s="1065">
        <v>978.38100000000009</v>
      </c>
    </row>
    <row r="11" spans="1:9" ht="72.5">
      <c r="A11" s="263"/>
      <c r="B11" s="29">
        <v>3</v>
      </c>
      <c r="C11" s="2672" t="s">
        <v>2836</v>
      </c>
      <c r="D11" s="2674"/>
      <c r="E11" s="2674"/>
      <c r="F11" s="2675">
        <v>23626.83</v>
      </c>
      <c r="G11" s="2675">
        <v>24761.055041409996</v>
      </c>
      <c r="H11" s="2675"/>
      <c r="I11" s="2676">
        <v>26008.351999999999</v>
      </c>
    </row>
    <row r="12" spans="1:9">
      <c r="A12" s="263"/>
      <c r="B12" s="29">
        <v>4</v>
      </c>
      <c r="C12" s="2672" t="s">
        <v>2837</v>
      </c>
      <c r="D12" s="1443"/>
      <c r="E12" s="1443"/>
      <c r="F12" s="1743">
        <f>F9-F10-F11</f>
        <v>230.61999999999534</v>
      </c>
      <c r="G12" s="1743">
        <f>G9-G10-G11</f>
        <v>198.15052459000799</v>
      </c>
      <c r="H12" s="1743"/>
      <c r="I12" s="1743">
        <f>I9-I10-I11</f>
        <v>292.53399999999965</v>
      </c>
    </row>
    <row r="13" spans="1:9" ht="43.5">
      <c r="A13" s="263"/>
      <c r="B13" s="2677">
        <v>5</v>
      </c>
      <c r="C13" s="2678" t="s">
        <v>2838</v>
      </c>
      <c r="D13" s="1869"/>
      <c r="E13" s="1869"/>
      <c r="F13" s="2679">
        <f t="shared" ref="F13:G13" si="0">F12/F9*100%</f>
        <v>8.9824009285421752E-3</v>
      </c>
      <c r="G13" s="2679">
        <f t="shared" si="0"/>
        <v>7.5837714452914708E-3</v>
      </c>
      <c r="H13" s="2679"/>
      <c r="I13" s="2679">
        <f t="shared" ref="I13" si="1">I12/I9*100%</f>
        <v>1.0723675236581675E-2</v>
      </c>
    </row>
    <row r="14" spans="1:9">
      <c r="A14" s="263"/>
      <c r="B14" s="2651"/>
      <c r="C14" s="2680"/>
      <c r="D14" s="2681"/>
      <c r="E14" s="2682"/>
      <c r="F14" s="2683"/>
      <c r="G14" s="2683"/>
      <c r="H14" s="2683"/>
      <c r="I14" s="1065"/>
    </row>
    <row r="15" spans="1:9" ht="43.5">
      <c r="A15" s="35" t="s">
        <v>58</v>
      </c>
      <c r="B15" s="263"/>
      <c r="C15" s="2671" t="s">
        <v>2839</v>
      </c>
      <c r="D15" s="1869"/>
      <c r="E15" s="1869"/>
      <c r="F15" s="1065"/>
      <c r="G15" s="1065"/>
      <c r="H15" s="1065"/>
      <c r="I15" s="1065"/>
    </row>
    <row r="16" spans="1:9" ht="43.5">
      <c r="A16" s="263"/>
      <c r="B16" s="29">
        <v>1</v>
      </c>
      <c r="C16" s="2672" t="s">
        <v>2834</v>
      </c>
      <c r="D16" s="524"/>
      <c r="E16" s="524"/>
      <c r="F16" s="1743">
        <f>F11</f>
        <v>23626.83</v>
      </c>
      <c r="G16" s="1743">
        <f>G11</f>
        <v>24761.055041409996</v>
      </c>
      <c r="H16" s="1743"/>
      <c r="I16" s="1065">
        <v>26008.233</v>
      </c>
    </row>
    <row r="17" spans="1:9" ht="43.5">
      <c r="A17" s="263"/>
      <c r="B17" s="29">
        <v>2</v>
      </c>
      <c r="C17" s="2672" t="s">
        <v>2835</v>
      </c>
      <c r="D17" s="524"/>
      <c r="E17" s="524"/>
      <c r="F17" s="1743">
        <v>18664.079000000002</v>
      </c>
      <c r="G17" s="1743">
        <v>19913.304573999998</v>
      </c>
      <c r="H17" s="1743"/>
      <c r="I17" s="1065">
        <v>21450.131000000001</v>
      </c>
    </row>
    <row r="18" spans="1:9" ht="72.5">
      <c r="A18" s="263"/>
      <c r="B18" s="29">
        <v>3</v>
      </c>
      <c r="C18" s="2672" t="s">
        <v>2836</v>
      </c>
      <c r="D18" s="2674"/>
      <c r="E18" s="2674"/>
      <c r="F18" s="1743">
        <f>F16-F17</f>
        <v>4962.7510000000002</v>
      </c>
      <c r="G18" s="1743">
        <f>G16-G17</f>
        <v>4847.7504674099982</v>
      </c>
      <c r="H18" s="1743"/>
      <c r="I18" s="1743">
        <f>I16-I17</f>
        <v>4558.101999999999</v>
      </c>
    </row>
    <row r="19" spans="1:9">
      <c r="A19" s="263"/>
      <c r="B19" s="29">
        <v>4</v>
      </c>
      <c r="C19" s="2672" t="s">
        <v>2837</v>
      </c>
      <c r="D19" s="1443"/>
      <c r="E19" s="1443"/>
      <c r="F19" s="1743">
        <f>F16-F17</f>
        <v>4962.7510000000002</v>
      </c>
      <c r="G19" s="1743">
        <f>G16-G17</f>
        <v>4847.7504674099982</v>
      </c>
      <c r="H19" s="1743"/>
      <c r="I19" s="1743">
        <f>I16-I17</f>
        <v>4558.101999999999</v>
      </c>
    </row>
    <row r="20" spans="1:9" ht="43.5">
      <c r="A20" s="263"/>
      <c r="B20" s="2677">
        <v>5</v>
      </c>
      <c r="C20" s="2678" t="s">
        <v>2838</v>
      </c>
      <c r="D20" s="1869" t="e">
        <f t="shared" ref="D20:I20" si="2">D19/D16*100%</f>
        <v>#DIV/0!</v>
      </c>
      <c r="E20" s="1869" t="e">
        <f t="shared" si="2"/>
        <v>#DIV/0!</v>
      </c>
      <c r="F20" s="2679">
        <f t="shared" si="2"/>
        <v>0.21004726406377833</v>
      </c>
      <c r="G20" s="2679">
        <f t="shared" si="2"/>
        <v>0.19578125646515049</v>
      </c>
      <c r="H20" s="2679"/>
      <c r="I20" s="2679">
        <f t="shared" si="2"/>
        <v>0.17525611986019962</v>
      </c>
    </row>
    <row r="21" spans="1:9">
      <c r="A21" s="263"/>
      <c r="B21" s="2651"/>
      <c r="C21" s="2680"/>
      <c r="D21" s="1869"/>
      <c r="E21" s="1408"/>
      <c r="F21" s="1065"/>
      <c r="G21" s="1065"/>
      <c r="H21" s="1065"/>
      <c r="I21" s="1065"/>
    </row>
    <row r="22" spans="1:9" ht="29">
      <c r="A22" s="35" t="s">
        <v>67</v>
      </c>
      <c r="B22" s="263"/>
      <c r="C22" s="2671" t="s">
        <v>2840</v>
      </c>
      <c r="D22" s="1869"/>
      <c r="E22" s="1869"/>
      <c r="F22" s="1065"/>
      <c r="G22" s="1065"/>
      <c r="H22" s="1065"/>
      <c r="I22" s="1065"/>
    </row>
    <row r="23" spans="1:9" ht="43.5">
      <c r="A23" s="263"/>
      <c r="B23" s="29">
        <v>1</v>
      </c>
      <c r="C23" s="2672" t="s">
        <v>2834</v>
      </c>
      <c r="D23" s="2684"/>
      <c r="E23" s="2684"/>
      <c r="F23" s="1065"/>
      <c r="G23" s="1065"/>
      <c r="H23" s="1065"/>
      <c r="I23" s="1065"/>
    </row>
    <row r="24" spans="1:9" ht="43.5">
      <c r="A24" s="263"/>
      <c r="B24" s="29">
        <v>2</v>
      </c>
      <c r="C24" s="2672" t="s">
        <v>2835</v>
      </c>
      <c r="D24" s="2684"/>
      <c r="E24" s="2684"/>
      <c r="F24" s="1065"/>
      <c r="G24" s="1065"/>
      <c r="H24" s="1065"/>
      <c r="I24" s="1065"/>
    </row>
    <row r="25" spans="1:9">
      <c r="A25" s="263"/>
      <c r="B25" s="29">
        <v>3</v>
      </c>
      <c r="C25" s="2672" t="s">
        <v>2837</v>
      </c>
      <c r="D25" s="2684"/>
      <c r="E25" s="2684"/>
      <c r="F25" s="1065"/>
      <c r="G25" s="1065"/>
      <c r="H25" s="1065"/>
      <c r="I25" s="1065"/>
    </row>
    <row r="26" spans="1:9" ht="43.5">
      <c r="A26" s="263"/>
      <c r="B26" s="2677">
        <v>4</v>
      </c>
      <c r="C26" s="2685" t="s">
        <v>2841</v>
      </c>
      <c r="D26" s="1869" t="e">
        <f t="shared" ref="D26:I26" si="3">D25/D22*100%</f>
        <v>#DIV/0!</v>
      </c>
      <c r="E26" s="1869" t="e">
        <f t="shared" si="3"/>
        <v>#DIV/0!</v>
      </c>
      <c r="F26" s="1869" t="e">
        <f t="shared" si="3"/>
        <v>#DIV/0!</v>
      </c>
      <c r="G26" s="1869" t="e">
        <f t="shared" si="3"/>
        <v>#DIV/0!</v>
      </c>
      <c r="H26" s="1869"/>
      <c r="I26" s="1869" t="e">
        <f t="shared" si="3"/>
        <v>#DIV/0!</v>
      </c>
    </row>
    <row r="27" spans="1:9">
      <c r="A27" s="263"/>
      <c r="B27" s="2651"/>
      <c r="C27" s="2680"/>
      <c r="D27" s="1869"/>
      <c r="E27" s="1408"/>
      <c r="F27" s="1065"/>
      <c r="G27" s="1065"/>
      <c r="H27" s="1065"/>
      <c r="I27" s="1065"/>
    </row>
    <row r="28" spans="1:9" ht="29">
      <c r="A28" s="35" t="s">
        <v>68</v>
      </c>
      <c r="B28" s="263"/>
      <c r="C28" s="2671" t="s">
        <v>2842</v>
      </c>
      <c r="D28" s="1869"/>
      <c r="E28" s="1869"/>
      <c r="F28" s="1065"/>
      <c r="G28" s="1065"/>
      <c r="H28" s="1065"/>
      <c r="I28" s="1065"/>
    </row>
    <row r="29" spans="1:9" ht="29">
      <c r="A29" s="263"/>
      <c r="B29" s="29">
        <v>1</v>
      </c>
      <c r="C29" s="87" t="s">
        <v>2843</v>
      </c>
      <c r="D29" s="1065"/>
      <c r="E29" s="1065"/>
      <c r="F29" s="2673">
        <f>F9</f>
        <v>25674.649999999998</v>
      </c>
      <c r="G29" s="2673">
        <f>G9</f>
        <v>26128.230000000003</v>
      </c>
      <c r="H29" s="2673"/>
      <c r="I29" s="2673">
        <f>I9</f>
        <v>27279.267</v>
      </c>
    </row>
    <row r="30" spans="1:9" ht="43.5">
      <c r="A30" s="263"/>
      <c r="B30" s="29">
        <v>2</v>
      </c>
      <c r="C30" s="87" t="s">
        <v>2844</v>
      </c>
      <c r="D30" s="1065"/>
      <c r="E30" s="1065"/>
      <c r="F30" s="2673">
        <f>F10+F17+F24</f>
        <v>20481.279000000002</v>
      </c>
      <c r="G30" s="2673">
        <f>G10+G17+G24</f>
        <v>21082.329007999997</v>
      </c>
      <c r="H30" s="2673"/>
      <c r="I30" s="2673">
        <f>I10+I17+I24</f>
        <v>22428.512000000002</v>
      </c>
    </row>
    <row r="31" spans="1:9" ht="43.5">
      <c r="A31" s="263"/>
      <c r="B31" s="2686">
        <v>3</v>
      </c>
      <c r="C31" s="2687" t="s">
        <v>2845</v>
      </c>
      <c r="D31" s="1065" t="e">
        <f>(D29-D30)/D29*100%</f>
        <v>#DIV/0!</v>
      </c>
      <c r="E31" s="1065" t="e">
        <f t="shared" ref="E31:G31" si="4">(E29-E30)/E29*100%</f>
        <v>#DIV/0!</v>
      </c>
      <c r="F31" s="2688">
        <f t="shared" si="4"/>
        <v>0.2022762140866573</v>
      </c>
      <c r="G31" s="2688">
        <f t="shared" si="4"/>
        <v>0.19312065884294519</v>
      </c>
      <c r="H31" s="2688"/>
      <c r="I31" s="1253">
        <f t="shared" ref="I31" si="5">(I29-I30)/I29</f>
        <v>0.17781837759790237</v>
      </c>
    </row>
    <row r="32" spans="1:9">
      <c r="A32" s="1321" t="s">
        <v>2846</v>
      </c>
      <c r="B32" s="1321"/>
      <c r="C32" s="2689"/>
      <c r="D32" s="1321"/>
      <c r="E32" s="1321"/>
      <c r="F32" s="1321"/>
      <c r="G32" s="1321"/>
      <c r="H32" s="1321"/>
      <c r="I32" s="1321"/>
    </row>
    <row r="33" spans="1:9">
      <c r="A33" s="1321">
        <v>1</v>
      </c>
      <c r="B33" s="3534" t="s">
        <v>2847</v>
      </c>
      <c r="C33" s="3534"/>
      <c r="D33" s="3534"/>
      <c r="E33" s="3534"/>
      <c r="F33" s="3534"/>
      <c r="G33" s="3534"/>
      <c r="H33" s="1321"/>
      <c r="I33" s="1321"/>
    </row>
    <row r="34" spans="1:9">
      <c r="A34" s="1321">
        <v>2</v>
      </c>
      <c r="B34" s="3534" t="s">
        <v>2848</v>
      </c>
      <c r="C34" s="3534"/>
      <c r="D34" s="3534"/>
      <c r="E34" s="3534"/>
      <c r="F34" s="3534"/>
      <c r="G34" s="3534"/>
      <c r="H34" s="1321"/>
      <c r="I34" s="1321"/>
    </row>
  </sheetData>
  <mergeCells count="8">
    <mergeCell ref="B33:G33"/>
    <mergeCell ref="B34:G34"/>
    <mergeCell ref="A2:G2"/>
    <mergeCell ref="F3:G3"/>
    <mergeCell ref="F4:G4"/>
    <mergeCell ref="A5:B7"/>
    <mergeCell ref="C5:C7"/>
    <mergeCell ref="D5:F5"/>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view="pageBreakPreview" topLeftCell="O2" zoomScale="60" zoomScaleNormal="100" workbookViewId="0">
      <selection activeCell="C105" sqref="C105"/>
    </sheetView>
  </sheetViews>
  <sheetFormatPr defaultColWidth="8.7265625" defaultRowHeight="14.5"/>
  <cols>
    <col min="1" max="1" width="8.7265625" style="2665" customWidth="1"/>
    <col min="2" max="2" width="39" style="2665" bestFit="1" customWidth="1"/>
    <col min="3" max="3" width="23.81640625" style="2665" bestFit="1" customWidth="1"/>
    <col min="4" max="4" width="23.1796875" style="2665" bestFit="1" customWidth="1"/>
    <col min="5" max="5" width="17" style="2665" bestFit="1" customWidth="1"/>
    <col min="6" max="6" width="23.81640625" style="2665" bestFit="1" customWidth="1"/>
    <col min="7" max="7" width="23.1796875" style="2665" bestFit="1" customWidth="1"/>
    <col min="8" max="8" width="17" style="2665" bestFit="1" customWidth="1"/>
    <col min="9" max="9" width="23.81640625" style="2665" bestFit="1" customWidth="1"/>
    <col min="10" max="10" width="23.1796875" style="2665" bestFit="1" customWidth="1"/>
    <col min="11" max="11" width="17" style="2665" bestFit="1" customWidth="1"/>
    <col min="12" max="12" width="23.81640625" style="2665" bestFit="1" customWidth="1"/>
    <col min="13" max="13" width="23.1796875" style="2665" bestFit="1" customWidth="1"/>
    <col min="14" max="14" width="17" style="2665" bestFit="1" customWidth="1"/>
    <col min="15" max="15" width="23.81640625" style="2665" bestFit="1" customWidth="1"/>
    <col min="16" max="16" width="23.1796875" style="2665" bestFit="1" customWidth="1"/>
    <col min="17" max="17" width="17" style="2665" bestFit="1" customWidth="1"/>
    <col min="18" max="18" width="23.81640625" style="2665" bestFit="1" customWidth="1"/>
    <col min="19" max="19" width="23.1796875" style="2665" bestFit="1" customWidth="1"/>
    <col min="20" max="20" width="17" style="2665" bestFit="1" customWidth="1"/>
    <col min="21" max="16384" width="8.7265625" style="2665"/>
  </cols>
  <sheetData>
    <row r="1" spans="1:20">
      <c r="A1" s="2665" t="s">
        <v>2849</v>
      </c>
    </row>
    <row r="2" spans="1:20">
      <c r="A2" s="2665" t="s">
        <v>2256</v>
      </c>
    </row>
    <row r="3" spans="1:20">
      <c r="A3" s="2665" t="s">
        <v>2850</v>
      </c>
    </row>
    <row r="5" spans="1:20" ht="21" customHeight="1">
      <c r="A5" s="3422" t="s">
        <v>2851</v>
      </c>
      <c r="B5" s="3422" t="s">
        <v>14</v>
      </c>
      <c r="C5" s="3479" t="s">
        <v>2852</v>
      </c>
      <c r="D5" s="3480"/>
      <c r="E5" s="3480"/>
      <c r="F5" s="3480"/>
      <c r="G5" s="3480"/>
      <c r="H5" s="3480"/>
      <c r="I5" s="3480"/>
      <c r="J5" s="3480"/>
      <c r="K5" s="3481"/>
      <c r="L5" s="2667" t="s">
        <v>575</v>
      </c>
      <c r="M5" s="2667"/>
      <c r="N5" s="2667"/>
      <c r="O5" s="2667" t="s">
        <v>550</v>
      </c>
      <c r="P5" s="2667"/>
      <c r="Q5" s="2667"/>
      <c r="R5" s="2667" t="s">
        <v>952</v>
      </c>
      <c r="S5" s="2667"/>
      <c r="T5" s="2667"/>
    </row>
    <row r="6" spans="1:20" ht="20.149999999999999" customHeight="1">
      <c r="A6" s="3423"/>
      <c r="B6" s="3423"/>
      <c r="C6" s="2667" t="s">
        <v>555</v>
      </c>
      <c r="D6" s="2667"/>
      <c r="E6" s="2667"/>
      <c r="F6" s="2667" t="s">
        <v>553</v>
      </c>
      <c r="G6" s="2667"/>
      <c r="H6" s="2667"/>
      <c r="I6" s="2667" t="s">
        <v>551</v>
      </c>
      <c r="J6" s="2667"/>
      <c r="K6" s="2667"/>
      <c r="L6" s="2667" t="s">
        <v>545</v>
      </c>
      <c r="M6" s="2667"/>
      <c r="N6" s="2667"/>
      <c r="O6" s="2667" t="s">
        <v>546</v>
      </c>
      <c r="P6" s="2667"/>
      <c r="Q6" s="2667"/>
      <c r="R6" s="2667" t="s">
        <v>547</v>
      </c>
      <c r="S6" s="2667"/>
      <c r="T6" s="2667"/>
    </row>
    <row r="7" spans="1:20" ht="17.5" customHeight="1">
      <c r="A7" s="3423"/>
      <c r="B7" s="3423"/>
      <c r="C7" s="2667" t="s">
        <v>560</v>
      </c>
      <c r="D7" s="2667"/>
      <c r="E7" s="2667"/>
      <c r="F7" s="2667" t="s">
        <v>560</v>
      </c>
      <c r="G7" s="2667"/>
      <c r="H7" s="2667"/>
      <c r="I7" s="2667" t="s">
        <v>560</v>
      </c>
      <c r="J7" s="2667"/>
      <c r="K7" s="2667"/>
      <c r="L7" s="2667" t="s">
        <v>544</v>
      </c>
      <c r="M7" s="2667"/>
      <c r="N7" s="2667"/>
      <c r="O7" s="2667" t="s">
        <v>1418</v>
      </c>
      <c r="P7" s="2667"/>
      <c r="Q7" s="2667"/>
      <c r="R7" s="2667" t="s">
        <v>283</v>
      </c>
      <c r="S7" s="2667"/>
      <c r="T7" s="2667"/>
    </row>
    <row r="8" spans="1:20" ht="25" customHeight="1">
      <c r="A8" s="3424"/>
      <c r="B8" s="3424"/>
      <c r="C8" s="2667" t="s">
        <v>2853</v>
      </c>
      <c r="D8" s="2667" t="s">
        <v>2854</v>
      </c>
      <c r="E8" s="2667" t="s">
        <v>2855</v>
      </c>
      <c r="F8" s="2667" t="s">
        <v>2853</v>
      </c>
      <c r="G8" s="2667" t="s">
        <v>2854</v>
      </c>
      <c r="H8" s="2667" t="s">
        <v>2855</v>
      </c>
      <c r="I8" s="2667" t="s">
        <v>2853</v>
      </c>
      <c r="J8" s="2667" t="s">
        <v>2854</v>
      </c>
      <c r="K8" s="2667" t="s">
        <v>2855</v>
      </c>
      <c r="L8" s="2667" t="s">
        <v>2853</v>
      </c>
      <c r="M8" s="2667" t="s">
        <v>2854</v>
      </c>
      <c r="N8" s="2667" t="s">
        <v>2855</v>
      </c>
      <c r="O8" s="2667" t="s">
        <v>2853</v>
      </c>
      <c r="P8" s="2667" t="s">
        <v>2854</v>
      </c>
      <c r="Q8" s="2667" t="s">
        <v>2855</v>
      </c>
      <c r="R8" s="2667" t="s">
        <v>2853</v>
      </c>
      <c r="S8" s="2667" t="s">
        <v>2854</v>
      </c>
      <c r="T8" s="2667" t="s">
        <v>2855</v>
      </c>
    </row>
    <row r="9" spans="1:20">
      <c r="A9" s="3"/>
      <c r="B9" s="3"/>
      <c r="C9" s="3"/>
      <c r="D9" s="3"/>
      <c r="E9" s="3"/>
      <c r="F9" s="3"/>
      <c r="G9" s="3"/>
      <c r="H9" s="3"/>
      <c r="I9" s="3"/>
      <c r="J9" s="3"/>
      <c r="K9" s="3"/>
      <c r="L9" s="3"/>
      <c r="M9" s="3"/>
      <c r="N9" s="3"/>
      <c r="O9" s="3"/>
      <c r="P9" s="3"/>
      <c r="Q9" s="3"/>
      <c r="R9" s="3"/>
      <c r="S9" s="3"/>
      <c r="T9" s="3"/>
    </row>
    <row r="10" spans="1:20">
      <c r="A10" s="3">
        <v>1</v>
      </c>
      <c r="B10" s="3" t="s">
        <v>2856</v>
      </c>
      <c r="C10" s="3"/>
      <c r="D10" s="3"/>
      <c r="E10" s="3"/>
      <c r="F10" s="3"/>
      <c r="G10" s="3"/>
      <c r="H10" s="3"/>
      <c r="I10" s="3"/>
      <c r="J10" s="3"/>
      <c r="K10" s="3"/>
      <c r="L10" s="3"/>
      <c r="M10" s="3"/>
      <c r="N10" s="3"/>
      <c r="O10" s="3"/>
      <c r="P10" s="3"/>
      <c r="Q10" s="3"/>
      <c r="R10" s="3"/>
      <c r="S10" s="3"/>
      <c r="T10" s="3"/>
    </row>
    <row r="11" spans="1:20">
      <c r="A11" s="3"/>
      <c r="B11" s="3" t="s">
        <v>2857</v>
      </c>
      <c r="C11" s="3">
        <v>2000</v>
      </c>
      <c r="D11" s="3">
        <v>315</v>
      </c>
      <c r="E11" s="3">
        <v>18415</v>
      </c>
      <c r="F11" s="3">
        <v>700</v>
      </c>
      <c r="G11" s="3">
        <v>200</v>
      </c>
      <c r="H11" s="3">
        <v>19115</v>
      </c>
      <c r="I11" s="3">
        <v>500</v>
      </c>
      <c r="J11" s="3">
        <v>320</v>
      </c>
      <c r="K11" s="3">
        <v>19615</v>
      </c>
      <c r="L11" s="3">
        <f>N11-K11</f>
        <v>300</v>
      </c>
      <c r="M11" s="3"/>
      <c r="N11" s="3">
        <v>19915</v>
      </c>
      <c r="O11" s="3">
        <f>Q11-N11</f>
        <v>400</v>
      </c>
      <c r="P11" s="3"/>
      <c r="Q11" s="3">
        <v>20315</v>
      </c>
      <c r="R11" s="3">
        <f>T11-Q11</f>
        <v>450</v>
      </c>
      <c r="S11" s="3"/>
      <c r="T11" s="3">
        <v>20765</v>
      </c>
    </row>
    <row r="12" spans="1:20">
      <c r="A12" s="3"/>
      <c r="B12" s="3" t="s">
        <v>2858</v>
      </c>
      <c r="C12" s="3">
        <v>14300</v>
      </c>
      <c r="D12" s="3">
        <v>416</v>
      </c>
      <c r="E12" s="3">
        <v>173280</v>
      </c>
      <c r="F12" s="3">
        <v>5000</v>
      </c>
      <c r="G12" s="3">
        <v>1500</v>
      </c>
      <c r="H12" s="3">
        <v>178280</v>
      </c>
      <c r="I12" s="3">
        <v>4000</v>
      </c>
      <c r="J12" s="3">
        <v>1281</v>
      </c>
      <c r="K12" s="3">
        <v>182280</v>
      </c>
      <c r="L12" s="3">
        <f t="shared" ref="L12:L14" si="0">N12-K12</f>
        <v>3408</v>
      </c>
      <c r="M12" s="3"/>
      <c r="N12" s="3">
        <v>185688</v>
      </c>
      <c r="O12" s="3">
        <f t="shared" ref="O12:O14" si="1">Q12-N12</f>
        <v>1892</v>
      </c>
      <c r="P12" s="3"/>
      <c r="Q12" s="3">
        <v>187580</v>
      </c>
      <c r="R12" s="3">
        <f t="shared" ref="R12:R14" si="2">T12-Q12</f>
        <v>2750</v>
      </c>
      <c r="S12" s="3"/>
      <c r="T12" s="3">
        <v>190330</v>
      </c>
    </row>
    <row r="13" spans="1:20">
      <c r="A13" s="3"/>
      <c r="B13" s="3" t="s">
        <v>2859</v>
      </c>
      <c r="C13" s="3">
        <v>3000</v>
      </c>
      <c r="D13" s="3">
        <v>612</v>
      </c>
      <c r="E13" s="3">
        <v>402393</v>
      </c>
      <c r="F13" s="3">
        <v>3000</v>
      </c>
      <c r="G13" s="3">
        <v>1254</v>
      </c>
      <c r="H13" s="3">
        <v>405393</v>
      </c>
      <c r="I13" s="3">
        <v>2000</v>
      </c>
      <c r="J13" s="3">
        <v>1564</v>
      </c>
      <c r="K13" s="3">
        <v>407393</v>
      </c>
      <c r="L13" s="3">
        <f t="shared" si="0"/>
        <v>1500</v>
      </c>
      <c r="M13" s="3"/>
      <c r="N13" s="3">
        <v>408893</v>
      </c>
      <c r="O13" s="3">
        <f t="shared" si="1"/>
        <v>1900</v>
      </c>
      <c r="P13" s="3"/>
      <c r="Q13" s="3">
        <v>410793</v>
      </c>
      <c r="R13" s="3">
        <f t="shared" si="2"/>
        <v>1850</v>
      </c>
      <c r="S13" s="3"/>
      <c r="T13" s="3">
        <v>412643</v>
      </c>
    </row>
    <row r="14" spans="1:20">
      <c r="A14" s="3"/>
      <c r="B14" s="3" t="s">
        <v>22</v>
      </c>
      <c r="C14" s="3">
        <v>19300</v>
      </c>
      <c r="D14" s="3">
        <v>1343</v>
      </c>
      <c r="E14" s="3">
        <v>594088</v>
      </c>
      <c r="F14" s="3">
        <v>8700</v>
      </c>
      <c r="G14" s="3">
        <v>2954</v>
      </c>
      <c r="H14" s="3">
        <v>602788</v>
      </c>
      <c r="I14" s="3">
        <v>6500</v>
      </c>
      <c r="J14" s="3">
        <v>3165</v>
      </c>
      <c r="K14" s="3">
        <v>609288</v>
      </c>
      <c r="L14" s="3">
        <f t="shared" si="0"/>
        <v>5208</v>
      </c>
      <c r="M14" s="3"/>
      <c r="N14" s="3">
        <f>SUM(N11:N13)</f>
        <v>614496</v>
      </c>
      <c r="O14" s="3">
        <f t="shared" si="1"/>
        <v>4192</v>
      </c>
      <c r="P14" s="3"/>
      <c r="Q14" s="3">
        <f>SUM(Q11:Q13)</f>
        <v>618688</v>
      </c>
      <c r="R14" s="3">
        <f t="shared" si="2"/>
        <v>5050</v>
      </c>
      <c r="S14" s="3"/>
      <c r="T14" s="3">
        <f>SUM(T11:T13)</f>
        <v>623738</v>
      </c>
    </row>
    <row r="15" spans="1:20">
      <c r="A15" s="3"/>
      <c r="B15" s="3"/>
      <c r="C15" s="3"/>
      <c r="D15" s="3"/>
      <c r="E15" s="3"/>
      <c r="F15" s="3"/>
      <c r="G15" s="3"/>
      <c r="H15" s="3"/>
      <c r="I15" s="3"/>
      <c r="J15" s="3"/>
      <c r="K15" s="3"/>
      <c r="L15" s="3"/>
      <c r="M15" s="3"/>
      <c r="N15" s="3"/>
      <c r="O15" s="3"/>
      <c r="P15" s="3"/>
      <c r="Q15" s="3"/>
      <c r="R15" s="3"/>
      <c r="S15" s="3"/>
      <c r="T15" s="3"/>
    </row>
    <row r="16" spans="1:20">
      <c r="A16" s="3">
        <v>2</v>
      </c>
      <c r="B16" s="3" t="s">
        <v>2860</v>
      </c>
      <c r="C16" s="3">
        <v>80</v>
      </c>
      <c r="D16" s="3">
        <v>0</v>
      </c>
      <c r="E16" s="3">
        <v>1084</v>
      </c>
      <c r="F16" s="3">
        <v>88</v>
      </c>
      <c r="G16" s="3">
        <v>0</v>
      </c>
      <c r="H16" s="3">
        <v>1172</v>
      </c>
      <c r="I16" s="3">
        <v>50</v>
      </c>
      <c r="J16" s="3">
        <v>0</v>
      </c>
      <c r="K16" s="3">
        <v>1222</v>
      </c>
      <c r="L16" s="3">
        <v>30</v>
      </c>
      <c r="M16" s="3"/>
      <c r="N16" s="3">
        <f>L16+K16</f>
        <v>1252</v>
      </c>
      <c r="O16" s="3">
        <v>30</v>
      </c>
      <c r="P16" s="3"/>
      <c r="Q16" s="3">
        <f>N16+O16</f>
        <v>1282</v>
      </c>
      <c r="R16" s="3">
        <v>10</v>
      </c>
      <c r="S16" s="3"/>
      <c r="T16" s="3">
        <f>R16+Q16</f>
        <v>1292</v>
      </c>
    </row>
    <row r="17" spans="1:20">
      <c r="A17" s="3"/>
      <c r="B17" s="3"/>
      <c r="C17" s="3"/>
      <c r="D17" s="3"/>
      <c r="E17" s="3"/>
      <c r="F17" s="3"/>
      <c r="G17" s="3"/>
      <c r="H17" s="3"/>
      <c r="I17" s="3"/>
      <c r="J17" s="3"/>
      <c r="K17" s="3"/>
      <c r="L17" s="3"/>
      <c r="M17" s="3"/>
      <c r="N17" s="3"/>
      <c r="O17" s="3"/>
      <c r="P17" s="3"/>
      <c r="Q17" s="3"/>
      <c r="R17" s="3"/>
      <c r="S17" s="3"/>
      <c r="T17" s="3"/>
    </row>
    <row r="18" spans="1:20">
      <c r="A18" s="3">
        <v>3</v>
      </c>
      <c r="B18" s="3" t="s">
        <v>2861</v>
      </c>
      <c r="C18" s="3"/>
      <c r="D18" s="3"/>
      <c r="E18" s="3"/>
      <c r="F18" s="3"/>
      <c r="G18" s="3"/>
      <c r="H18" s="3"/>
      <c r="I18" s="3"/>
      <c r="J18" s="3"/>
      <c r="K18" s="3"/>
      <c r="L18" s="3"/>
      <c r="M18" s="3"/>
      <c r="N18" s="3"/>
      <c r="O18" s="3"/>
      <c r="P18" s="3"/>
      <c r="Q18" s="3"/>
      <c r="R18" s="3"/>
      <c r="S18" s="3"/>
      <c r="T18" s="3"/>
    </row>
    <row r="19" spans="1:20">
      <c r="A19" s="3"/>
      <c r="B19" s="3" t="s">
        <v>2862</v>
      </c>
      <c r="C19" s="3">
        <v>400</v>
      </c>
      <c r="D19" s="3">
        <v>0</v>
      </c>
      <c r="E19" s="3">
        <v>9830</v>
      </c>
      <c r="F19" s="3">
        <v>440</v>
      </c>
      <c r="G19" s="3">
        <v>0</v>
      </c>
      <c r="H19" s="3">
        <v>10270</v>
      </c>
      <c r="I19" s="3">
        <v>250</v>
      </c>
      <c r="J19" s="3">
        <v>0</v>
      </c>
      <c r="K19" s="3">
        <v>10520</v>
      </c>
      <c r="L19" s="3">
        <f>N19-K19</f>
        <v>300</v>
      </c>
      <c r="M19" s="3"/>
      <c r="N19" s="3">
        <v>10820</v>
      </c>
      <c r="O19" s="3">
        <f>Q19-N19</f>
        <v>275</v>
      </c>
      <c r="P19" s="3"/>
      <c r="Q19" s="3">
        <v>11095</v>
      </c>
      <c r="R19" s="3">
        <f>T19-Q19</f>
        <v>250</v>
      </c>
      <c r="S19" s="3"/>
      <c r="T19" s="3">
        <v>11345</v>
      </c>
    </row>
    <row r="20" spans="1:20">
      <c r="A20" s="3"/>
      <c r="B20" s="3"/>
      <c r="C20" s="3"/>
      <c r="D20" s="3"/>
      <c r="E20" s="3"/>
      <c r="F20" s="3"/>
      <c r="G20" s="3"/>
      <c r="H20" s="3"/>
      <c r="I20" s="3"/>
      <c r="J20" s="3"/>
      <c r="K20" s="3"/>
      <c r="L20" s="3"/>
      <c r="M20" s="3"/>
      <c r="N20" s="3"/>
      <c r="O20" s="3"/>
      <c r="P20" s="3"/>
      <c r="Q20" s="3"/>
      <c r="R20" s="3"/>
      <c r="S20" s="3"/>
      <c r="T20" s="3"/>
    </row>
    <row r="21" spans="1:20">
      <c r="A21" s="3">
        <v>3</v>
      </c>
      <c r="B21" s="3" t="s">
        <v>2863</v>
      </c>
      <c r="C21" s="3"/>
      <c r="D21" s="3"/>
      <c r="E21" s="3"/>
      <c r="F21" s="3"/>
      <c r="G21" s="3"/>
      <c r="H21" s="3"/>
      <c r="I21" s="3"/>
      <c r="J21" s="3"/>
      <c r="K21" s="3"/>
      <c r="L21" s="3"/>
      <c r="M21" s="3"/>
      <c r="N21" s="3"/>
      <c r="O21" s="3"/>
      <c r="P21" s="3"/>
      <c r="Q21" s="3"/>
      <c r="R21" s="3"/>
      <c r="S21" s="3"/>
      <c r="T21" s="3"/>
    </row>
    <row r="22" spans="1:20">
      <c r="A22" s="3"/>
      <c r="B22" s="3" t="s">
        <v>2864</v>
      </c>
      <c r="C22" s="3">
        <v>466</v>
      </c>
      <c r="D22" s="3">
        <v>0</v>
      </c>
      <c r="E22" s="3">
        <v>9896</v>
      </c>
      <c r="F22" s="3">
        <v>506</v>
      </c>
      <c r="G22" s="3">
        <v>0</v>
      </c>
      <c r="H22" s="3">
        <v>10402</v>
      </c>
      <c r="I22" s="3">
        <v>287.5</v>
      </c>
      <c r="J22" s="3">
        <v>0</v>
      </c>
      <c r="K22" s="3">
        <v>10689.5</v>
      </c>
      <c r="L22" s="3">
        <f>N22-K22</f>
        <v>441.10000000000036</v>
      </c>
      <c r="M22" s="3"/>
      <c r="N22" s="3">
        <v>11130.6</v>
      </c>
      <c r="O22" s="3">
        <f>Q22-N22</f>
        <v>220.39999999999964</v>
      </c>
      <c r="P22" s="3"/>
      <c r="Q22" s="3">
        <v>11351</v>
      </c>
      <c r="R22" s="3">
        <f>T22-Q22</f>
        <v>287</v>
      </c>
      <c r="S22" s="3"/>
      <c r="T22" s="3">
        <v>11638</v>
      </c>
    </row>
    <row r="23" spans="1:20">
      <c r="A23" s="3"/>
      <c r="B23" s="3"/>
      <c r="C23" s="3"/>
      <c r="D23" s="3"/>
      <c r="E23" s="3"/>
      <c r="F23" s="3"/>
      <c r="G23" s="3"/>
      <c r="H23" s="3"/>
      <c r="I23" s="3"/>
      <c r="J23" s="3"/>
      <c r="K23" s="3"/>
      <c r="L23" s="3"/>
      <c r="M23" s="3"/>
      <c r="N23" s="3"/>
      <c r="O23" s="3"/>
      <c r="P23" s="3"/>
      <c r="Q23" s="3"/>
      <c r="R23" s="3"/>
      <c r="S23" s="3"/>
      <c r="T23" s="3"/>
    </row>
    <row r="24" spans="1:20">
      <c r="A24" s="3">
        <v>4</v>
      </c>
      <c r="B24" s="3" t="s">
        <v>2865</v>
      </c>
      <c r="C24" s="3"/>
      <c r="D24" s="3"/>
      <c r="E24" s="3"/>
      <c r="F24" s="3"/>
      <c r="G24" s="3"/>
      <c r="H24" s="3"/>
      <c r="I24" s="3"/>
      <c r="J24" s="3"/>
      <c r="K24" s="3"/>
      <c r="L24" s="3"/>
      <c r="M24" s="3"/>
      <c r="N24" s="3"/>
      <c r="O24" s="3"/>
      <c r="P24" s="3"/>
      <c r="Q24" s="3"/>
      <c r="R24" s="3"/>
      <c r="S24" s="3"/>
      <c r="T24" s="3"/>
    </row>
    <row r="25" spans="1:20">
      <c r="A25" s="3"/>
      <c r="B25" s="3" t="s">
        <v>2866</v>
      </c>
      <c r="C25" s="3"/>
      <c r="D25" s="3"/>
      <c r="E25" s="3"/>
      <c r="F25" s="3"/>
      <c r="G25" s="3"/>
      <c r="H25" s="3"/>
      <c r="I25" s="3"/>
      <c r="J25" s="3"/>
      <c r="K25" s="3"/>
      <c r="L25" s="3"/>
      <c r="M25" s="3"/>
      <c r="N25" s="3"/>
      <c r="O25" s="3"/>
      <c r="P25" s="3"/>
      <c r="Q25" s="3"/>
      <c r="R25" s="3"/>
      <c r="S25" s="3"/>
      <c r="T25" s="3"/>
    </row>
    <row r="26" spans="1:20">
      <c r="A26" s="3"/>
      <c r="B26" s="3" t="s">
        <v>2867</v>
      </c>
      <c r="C26" s="3"/>
      <c r="D26" s="3"/>
      <c r="E26" s="3"/>
      <c r="F26" s="3"/>
      <c r="G26" s="3"/>
      <c r="H26" s="3"/>
      <c r="I26" s="3"/>
      <c r="J26" s="3"/>
      <c r="K26" s="3"/>
      <c r="L26" s="3"/>
      <c r="M26" s="3"/>
      <c r="N26" s="3"/>
      <c r="O26" s="3"/>
      <c r="P26" s="3"/>
      <c r="Q26" s="3"/>
      <c r="R26" s="3"/>
      <c r="S26" s="3"/>
      <c r="T26" s="3"/>
    </row>
    <row r="27" spans="1:20">
      <c r="A27" s="3"/>
      <c r="B27" s="3" t="s">
        <v>2868</v>
      </c>
      <c r="C27" s="3"/>
      <c r="D27" s="3"/>
      <c r="E27" s="3"/>
      <c r="F27" s="3"/>
      <c r="G27" s="3"/>
      <c r="H27" s="3"/>
      <c r="I27" s="3"/>
      <c r="J27" s="3"/>
      <c r="K27" s="3"/>
      <c r="L27" s="3"/>
      <c r="M27" s="3"/>
      <c r="N27" s="3"/>
      <c r="O27" s="3"/>
      <c r="P27" s="3"/>
      <c r="Q27" s="3"/>
      <c r="R27" s="3"/>
      <c r="S27" s="3"/>
      <c r="T27" s="3"/>
    </row>
    <row r="28" spans="1:20">
      <c r="A28" s="3"/>
      <c r="B28" s="3" t="s">
        <v>2869</v>
      </c>
      <c r="C28" s="3"/>
      <c r="D28" s="3"/>
      <c r="E28" s="3"/>
      <c r="F28" s="3"/>
      <c r="G28" s="3"/>
      <c r="H28" s="3"/>
      <c r="I28" s="3"/>
      <c r="J28" s="3"/>
      <c r="K28" s="3"/>
      <c r="L28" s="3"/>
      <c r="M28" s="3"/>
      <c r="N28" s="3"/>
      <c r="O28" s="3"/>
      <c r="P28" s="3"/>
      <c r="Q28" s="3"/>
      <c r="R28" s="3"/>
      <c r="S28" s="3"/>
      <c r="T28" s="3"/>
    </row>
    <row r="29" spans="1:20">
      <c r="A29" s="3"/>
      <c r="B29" s="3" t="s">
        <v>2870</v>
      </c>
      <c r="C29" s="3"/>
      <c r="D29" s="3"/>
      <c r="E29" s="3"/>
      <c r="F29" s="3"/>
      <c r="G29" s="3"/>
      <c r="H29" s="3"/>
      <c r="I29" s="3"/>
      <c r="J29" s="3"/>
      <c r="K29" s="3"/>
      <c r="L29" s="3"/>
      <c r="M29" s="3"/>
      <c r="N29" s="3"/>
      <c r="O29" s="3"/>
      <c r="P29" s="3"/>
      <c r="Q29" s="3"/>
      <c r="R29" s="3"/>
      <c r="S29" s="3"/>
      <c r="T29" s="3"/>
    </row>
    <row r="30" spans="1:20">
      <c r="A30" s="3"/>
      <c r="B30" s="3" t="s">
        <v>22</v>
      </c>
      <c r="C30" s="3">
        <v>0</v>
      </c>
      <c r="D30" s="3">
        <v>0</v>
      </c>
      <c r="E30" s="3">
        <v>0</v>
      </c>
      <c r="F30" s="3">
        <v>0</v>
      </c>
      <c r="G30" s="3">
        <v>0</v>
      </c>
      <c r="H30" s="3">
        <v>0</v>
      </c>
      <c r="I30" s="3">
        <v>0</v>
      </c>
      <c r="J30" s="3">
        <v>0</v>
      </c>
      <c r="K30" s="3">
        <v>0</v>
      </c>
      <c r="L30" s="3">
        <v>0</v>
      </c>
      <c r="M30" s="3">
        <v>0</v>
      </c>
      <c r="N30" s="3">
        <v>0</v>
      </c>
      <c r="O30" s="3">
        <v>0</v>
      </c>
      <c r="P30" s="3">
        <v>0</v>
      </c>
      <c r="Q30" s="3">
        <v>0</v>
      </c>
      <c r="R30" s="3">
        <v>0</v>
      </c>
      <c r="S30" s="3">
        <v>0</v>
      </c>
      <c r="T30" s="3">
        <v>0</v>
      </c>
    </row>
    <row r="31" spans="1:20">
      <c r="A31" s="3"/>
      <c r="B31" s="3"/>
      <c r="C31" s="3"/>
      <c r="D31" s="3"/>
      <c r="E31" s="3"/>
      <c r="F31" s="3"/>
      <c r="G31" s="3"/>
      <c r="H31" s="3"/>
      <c r="I31" s="3"/>
      <c r="J31" s="3"/>
      <c r="K31" s="3"/>
      <c r="L31" s="3"/>
      <c r="M31" s="3"/>
      <c r="N31" s="3"/>
      <c r="O31" s="3"/>
      <c r="P31" s="3"/>
      <c r="Q31" s="3"/>
      <c r="R31" s="3"/>
      <c r="S31" s="3"/>
      <c r="T31" s="3"/>
    </row>
    <row r="32" spans="1:20">
      <c r="A32" s="3">
        <v>5</v>
      </c>
      <c r="B32" s="3" t="s">
        <v>2871</v>
      </c>
      <c r="C32" s="3"/>
      <c r="D32" s="3"/>
      <c r="E32" s="3"/>
      <c r="F32" s="3"/>
      <c r="G32" s="3"/>
      <c r="H32" s="3"/>
      <c r="I32" s="3"/>
      <c r="J32" s="3"/>
      <c r="K32" s="3"/>
      <c r="L32" s="3"/>
      <c r="M32" s="3"/>
      <c r="N32" s="3"/>
      <c r="O32" s="3"/>
      <c r="P32" s="3"/>
      <c r="Q32" s="3"/>
      <c r="R32" s="3"/>
      <c r="S32" s="3"/>
      <c r="T32" s="3"/>
    </row>
    <row r="33" spans="1:20">
      <c r="A33" s="3"/>
      <c r="B33" s="3" t="s">
        <v>2872</v>
      </c>
      <c r="C33" s="3"/>
      <c r="D33" s="3"/>
      <c r="E33" s="3"/>
      <c r="F33" s="3"/>
      <c r="G33" s="3"/>
      <c r="H33" s="3"/>
      <c r="I33" s="3"/>
      <c r="J33" s="3"/>
      <c r="K33" s="3"/>
      <c r="L33" s="3"/>
      <c r="M33" s="3"/>
      <c r="N33" s="3"/>
      <c r="O33" s="3"/>
      <c r="P33" s="3"/>
      <c r="Q33" s="3"/>
      <c r="R33" s="3"/>
      <c r="S33" s="3"/>
      <c r="T33" s="3"/>
    </row>
    <row r="34" spans="1:20">
      <c r="A34" s="3"/>
      <c r="B34" s="3" t="s">
        <v>2873</v>
      </c>
      <c r="C34" s="3"/>
      <c r="D34" s="3"/>
      <c r="E34" s="3"/>
      <c r="F34" s="3"/>
      <c r="G34" s="3"/>
      <c r="H34" s="3"/>
      <c r="I34" s="3"/>
      <c r="J34" s="3"/>
      <c r="K34" s="3"/>
      <c r="L34" s="3"/>
      <c r="M34" s="3"/>
      <c r="N34" s="3"/>
      <c r="O34" s="3"/>
      <c r="P34" s="3"/>
      <c r="Q34" s="3"/>
      <c r="R34" s="3"/>
      <c r="S34" s="3"/>
      <c r="T34" s="3"/>
    </row>
    <row r="35" spans="1:20">
      <c r="A35" s="3"/>
      <c r="B35" s="3" t="s">
        <v>22</v>
      </c>
      <c r="C35" s="3">
        <v>0</v>
      </c>
      <c r="D35" s="3">
        <v>0</v>
      </c>
      <c r="E35" s="3">
        <v>0</v>
      </c>
      <c r="F35" s="3">
        <v>0</v>
      </c>
      <c r="G35" s="3">
        <v>0</v>
      </c>
      <c r="H35" s="3">
        <v>0</v>
      </c>
      <c r="I35" s="3">
        <v>0</v>
      </c>
      <c r="J35" s="3">
        <v>0</v>
      </c>
      <c r="K35" s="3">
        <v>0</v>
      </c>
      <c r="L35" s="3">
        <v>0</v>
      </c>
      <c r="M35" s="3">
        <v>0</v>
      </c>
      <c r="N35" s="3">
        <v>0</v>
      </c>
      <c r="O35" s="3">
        <v>0</v>
      </c>
      <c r="P35" s="3">
        <v>0</v>
      </c>
      <c r="Q35" s="3">
        <v>0</v>
      </c>
      <c r="R35" s="3">
        <v>0</v>
      </c>
      <c r="S35" s="3">
        <v>0</v>
      </c>
      <c r="T35" s="3">
        <v>0</v>
      </c>
    </row>
    <row r="36" spans="1:20">
      <c r="A36" s="3"/>
      <c r="B36" s="3"/>
      <c r="C36" s="3"/>
      <c r="D36" s="3"/>
      <c r="E36" s="3"/>
      <c r="F36" s="3"/>
      <c r="G36" s="3"/>
      <c r="H36" s="3"/>
      <c r="I36" s="3"/>
      <c r="J36" s="3"/>
      <c r="K36" s="3"/>
      <c r="L36" s="3"/>
      <c r="M36" s="3"/>
      <c r="N36" s="3"/>
      <c r="O36" s="3"/>
      <c r="P36" s="3"/>
      <c r="Q36" s="3"/>
      <c r="R36" s="3"/>
      <c r="S36" s="3"/>
      <c r="T36" s="3"/>
    </row>
    <row r="37" spans="1:20">
      <c r="A37" s="3">
        <v>6</v>
      </c>
      <c r="B37" s="3" t="s">
        <v>2874</v>
      </c>
      <c r="C37" s="3"/>
      <c r="D37" s="3"/>
      <c r="E37" s="3"/>
      <c r="F37" s="3"/>
      <c r="G37" s="3"/>
      <c r="H37" s="3"/>
      <c r="I37" s="3"/>
      <c r="J37" s="3"/>
      <c r="K37" s="3"/>
      <c r="L37" s="3"/>
      <c r="M37" s="3"/>
      <c r="N37" s="3"/>
      <c r="O37" s="3"/>
      <c r="P37" s="3"/>
      <c r="Q37" s="3"/>
      <c r="R37" s="3"/>
      <c r="S37" s="3"/>
      <c r="T37" s="3"/>
    </row>
    <row r="38" spans="1:20">
      <c r="A38" s="3"/>
      <c r="B38" s="3" t="s">
        <v>469</v>
      </c>
      <c r="C38" s="3"/>
      <c r="D38" s="3"/>
      <c r="E38" s="3"/>
      <c r="F38" s="3"/>
      <c r="G38" s="3"/>
      <c r="H38" s="3"/>
      <c r="I38" s="3"/>
      <c r="J38" s="3"/>
      <c r="K38" s="3"/>
      <c r="L38" s="3"/>
      <c r="M38" s="3"/>
      <c r="N38" s="3"/>
      <c r="O38" s="3"/>
      <c r="P38" s="3"/>
      <c r="Q38" s="3"/>
      <c r="R38" s="3"/>
      <c r="S38" s="3"/>
      <c r="T38" s="3"/>
    </row>
    <row r="39" spans="1:20">
      <c r="A39" s="3"/>
      <c r="B39" s="3" t="s">
        <v>470</v>
      </c>
      <c r="C39" s="3"/>
      <c r="D39" s="3"/>
      <c r="E39" s="3"/>
      <c r="F39" s="3"/>
      <c r="G39" s="3"/>
      <c r="H39" s="3"/>
      <c r="I39" s="3"/>
      <c r="J39" s="3"/>
      <c r="K39" s="3"/>
      <c r="L39" s="3"/>
      <c r="M39" s="3"/>
      <c r="N39" s="3"/>
      <c r="O39" s="3"/>
      <c r="P39" s="3"/>
      <c r="Q39" s="3"/>
      <c r="R39" s="3"/>
      <c r="S39" s="3"/>
      <c r="T39" s="3"/>
    </row>
    <row r="40" spans="1:20">
      <c r="A40" s="3"/>
      <c r="B40" s="3" t="s">
        <v>2875</v>
      </c>
      <c r="C40" s="3"/>
      <c r="D40" s="3"/>
      <c r="E40" s="3"/>
      <c r="F40" s="3"/>
      <c r="G40" s="3"/>
      <c r="H40" s="3"/>
      <c r="I40" s="3"/>
      <c r="J40" s="3"/>
      <c r="K40" s="3"/>
      <c r="L40" s="3"/>
      <c r="M40" s="3"/>
      <c r="N40" s="3"/>
      <c r="O40" s="3"/>
      <c r="P40" s="3"/>
      <c r="Q40" s="3"/>
      <c r="R40" s="3"/>
      <c r="S40" s="3"/>
      <c r="T40" s="3"/>
    </row>
    <row r="41" spans="1:20">
      <c r="A41" s="3"/>
      <c r="B41" s="3" t="s">
        <v>22</v>
      </c>
      <c r="C41" s="3">
        <v>0</v>
      </c>
      <c r="D41" s="3">
        <v>0</v>
      </c>
      <c r="E41" s="3">
        <v>0</v>
      </c>
      <c r="F41" s="3">
        <v>0</v>
      </c>
      <c r="G41" s="3">
        <v>0</v>
      </c>
      <c r="H41" s="3">
        <v>0</v>
      </c>
      <c r="I41" s="3">
        <v>0</v>
      </c>
      <c r="J41" s="3">
        <v>0</v>
      </c>
      <c r="K41" s="3">
        <v>0</v>
      </c>
      <c r="L41" s="3">
        <v>0</v>
      </c>
      <c r="M41" s="3">
        <v>0</v>
      </c>
      <c r="N41" s="3">
        <v>0</v>
      </c>
      <c r="O41" s="3">
        <v>0</v>
      </c>
      <c r="P41" s="3">
        <v>0</v>
      </c>
      <c r="Q41" s="3">
        <v>0</v>
      </c>
      <c r="R41" s="3">
        <v>0</v>
      </c>
      <c r="S41" s="3">
        <v>0</v>
      </c>
      <c r="T41" s="3">
        <v>0</v>
      </c>
    </row>
    <row r="42" spans="1:20">
      <c r="A42" s="3"/>
      <c r="B42" s="3"/>
      <c r="C42" s="3"/>
      <c r="D42" s="3"/>
      <c r="E42" s="3"/>
      <c r="F42" s="3"/>
      <c r="G42" s="3"/>
      <c r="H42" s="3"/>
      <c r="I42" s="3"/>
      <c r="J42" s="3"/>
      <c r="K42" s="3"/>
      <c r="L42" s="3"/>
      <c r="M42" s="3"/>
      <c r="N42" s="3"/>
      <c r="O42" s="3"/>
      <c r="P42" s="3"/>
      <c r="Q42" s="3"/>
      <c r="R42" s="3"/>
      <c r="S42" s="3"/>
      <c r="T42" s="3"/>
    </row>
    <row r="43" spans="1:20">
      <c r="A43" s="3">
        <v>7</v>
      </c>
      <c r="B43" s="3" t="s">
        <v>2876</v>
      </c>
      <c r="C43" s="3"/>
      <c r="D43" s="3"/>
      <c r="E43" s="3"/>
      <c r="F43" s="3"/>
      <c r="G43" s="3"/>
      <c r="H43" s="3"/>
      <c r="I43" s="3"/>
      <c r="J43" s="3"/>
      <c r="K43" s="3"/>
      <c r="L43" s="3"/>
      <c r="M43" s="3"/>
      <c r="N43" s="3"/>
      <c r="O43" s="3"/>
      <c r="P43" s="3"/>
      <c r="Q43" s="3"/>
      <c r="R43" s="3"/>
      <c r="S43" s="3"/>
      <c r="T43" s="3"/>
    </row>
    <row r="44" spans="1:20">
      <c r="A44" s="3"/>
      <c r="B44" s="3" t="s">
        <v>469</v>
      </c>
      <c r="C44" s="3"/>
      <c r="D44" s="3"/>
      <c r="E44" s="3"/>
      <c r="F44" s="3"/>
      <c r="G44" s="3"/>
      <c r="H44" s="3"/>
      <c r="I44" s="3"/>
      <c r="J44" s="3"/>
      <c r="K44" s="3"/>
      <c r="L44" s="3"/>
      <c r="M44" s="3"/>
      <c r="N44" s="3"/>
      <c r="O44" s="3"/>
      <c r="P44" s="3"/>
      <c r="Q44" s="3"/>
      <c r="R44" s="3"/>
      <c r="S44" s="3"/>
      <c r="T44" s="3"/>
    </row>
    <row r="45" spans="1:20">
      <c r="A45" s="3"/>
      <c r="B45" s="3" t="s">
        <v>470</v>
      </c>
      <c r="C45" s="3"/>
      <c r="D45" s="3"/>
      <c r="E45" s="3"/>
      <c r="F45" s="3"/>
      <c r="G45" s="3"/>
      <c r="H45" s="3"/>
      <c r="I45" s="3"/>
      <c r="J45" s="3"/>
      <c r="K45" s="3"/>
      <c r="L45" s="3"/>
      <c r="M45" s="3"/>
      <c r="N45" s="3"/>
      <c r="O45" s="3"/>
      <c r="P45" s="3"/>
      <c r="Q45" s="3"/>
      <c r="R45" s="3"/>
      <c r="S45" s="3"/>
      <c r="T45" s="3"/>
    </row>
    <row r="46" spans="1:20">
      <c r="A46" s="3"/>
      <c r="B46" s="3" t="s">
        <v>2875</v>
      </c>
      <c r="C46" s="3"/>
      <c r="D46" s="3"/>
      <c r="E46" s="3"/>
      <c r="F46" s="3"/>
      <c r="G46" s="3"/>
      <c r="H46" s="3"/>
      <c r="I46" s="3"/>
      <c r="J46" s="3"/>
      <c r="K46" s="3"/>
      <c r="L46" s="3"/>
      <c r="M46" s="3"/>
      <c r="N46" s="3"/>
      <c r="O46" s="3"/>
      <c r="P46" s="3"/>
      <c r="Q46" s="3"/>
      <c r="R46" s="3"/>
      <c r="S46" s="3"/>
      <c r="T46" s="3"/>
    </row>
    <row r="47" spans="1:20">
      <c r="A47" s="3"/>
      <c r="B47" s="3" t="s">
        <v>22</v>
      </c>
      <c r="C47" s="3">
        <v>0</v>
      </c>
      <c r="D47" s="3">
        <v>0</v>
      </c>
      <c r="E47" s="3">
        <v>0</v>
      </c>
      <c r="F47" s="3">
        <v>0</v>
      </c>
      <c r="G47" s="3">
        <v>0</v>
      </c>
      <c r="H47" s="3">
        <v>0</v>
      </c>
      <c r="I47" s="3">
        <v>0</v>
      </c>
      <c r="J47" s="3">
        <v>0</v>
      </c>
      <c r="K47" s="3">
        <v>0</v>
      </c>
      <c r="L47" s="3">
        <v>0</v>
      </c>
      <c r="M47" s="3">
        <v>0</v>
      </c>
      <c r="N47" s="3">
        <v>0</v>
      </c>
      <c r="O47" s="3">
        <v>0</v>
      </c>
      <c r="P47" s="3">
        <v>0</v>
      </c>
      <c r="Q47" s="3">
        <v>0</v>
      </c>
      <c r="R47" s="3">
        <v>0</v>
      </c>
      <c r="S47" s="3">
        <v>0</v>
      </c>
      <c r="T47" s="3">
        <v>0</v>
      </c>
    </row>
  </sheetData>
  <mergeCells count="3">
    <mergeCell ref="A5:A8"/>
    <mergeCell ref="B5:B8"/>
    <mergeCell ref="C5:K5"/>
  </mergeCells>
  <pageMargins left="0.70866141732283472" right="0.70866141732283472" top="0.74803149606299213" bottom="0.74803149606299213" header="0.31496062992125984" footer="0.31496062992125984"/>
  <pageSetup scale="49" orientation="portrait" r:id="rId1"/>
  <colBreaks count="2" manualBreakCount="2">
    <brk id="6" max="46" man="1"/>
    <brk id="1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112</vt:i4>
      </vt:variant>
    </vt:vector>
  </HeadingPairs>
  <TitlesOfParts>
    <vt:vector size="220" baseType="lpstr">
      <vt:lpstr>Index</vt:lpstr>
      <vt:lpstr>Notes</vt:lpstr>
      <vt:lpstr>S1</vt:lpstr>
      <vt:lpstr>S2</vt:lpstr>
      <vt:lpstr>S3</vt:lpstr>
      <vt:lpstr>S4</vt:lpstr>
      <vt:lpstr>F1</vt:lpstr>
      <vt:lpstr>F2</vt:lpstr>
      <vt:lpstr>F3</vt:lpstr>
      <vt:lpstr>F4</vt:lpstr>
      <vt:lpstr>F4A</vt:lpstr>
      <vt:lpstr>F5</vt:lpstr>
      <vt:lpstr>F5A</vt:lpstr>
      <vt:lpstr>F6</vt:lpstr>
      <vt:lpstr>F7</vt:lpstr>
      <vt:lpstr>F7A</vt:lpstr>
      <vt:lpstr>F8</vt:lpstr>
      <vt:lpstr>F9</vt:lpstr>
      <vt:lpstr>F9A</vt:lpstr>
      <vt:lpstr>F10</vt:lpstr>
      <vt:lpstr>F10A</vt:lpstr>
      <vt:lpstr>F10B</vt:lpstr>
      <vt:lpstr>F11</vt:lpstr>
      <vt:lpstr>F11A</vt:lpstr>
      <vt:lpstr>F12</vt:lpstr>
      <vt:lpstr>F13_20 21</vt:lpstr>
      <vt:lpstr>F13_20_21</vt:lpstr>
      <vt:lpstr>F13_21_22</vt:lpstr>
      <vt:lpstr>F13B_20-21_True Up</vt:lpstr>
      <vt:lpstr>F13_22_23</vt:lpstr>
      <vt:lpstr>F13A</vt:lpstr>
      <vt:lpstr>F13B 20 21_TrueUp</vt:lpstr>
      <vt:lpstr>F13B_21_22_APR</vt:lpstr>
      <vt:lpstr>F13B_22_23_ARR</vt:lpstr>
      <vt:lpstr>F13C</vt:lpstr>
      <vt:lpstr>F13D</vt:lpstr>
      <vt:lpstr>F 13E</vt:lpstr>
      <vt:lpstr>F13 F</vt:lpstr>
      <vt:lpstr>F13G_PuVVNL</vt:lpstr>
      <vt:lpstr>F13I</vt:lpstr>
      <vt:lpstr>F13J</vt:lpstr>
      <vt:lpstr>F13K</vt:lpstr>
      <vt:lpstr>DBST FY 2020-21</vt:lpstr>
      <vt:lpstr>DBST FY 2021-22</vt:lpstr>
      <vt:lpstr>DBST FY 2022-23</vt:lpstr>
      <vt:lpstr>F14</vt:lpstr>
      <vt:lpstr>F15</vt:lpstr>
      <vt:lpstr>F16</vt:lpstr>
      <vt:lpstr>F17</vt:lpstr>
      <vt:lpstr>F18</vt:lpstr>
      <vt:lpstr>F19</vt:lpstr>
      <vt:lpstr>F19A</vt:lpstr>
      <vt:lpstr>F19B</vt:lpstr>
      <vt:lpstr>F19C</vt:lpstr>
      <vt:lpstr>F20</vt:lpstr>
      <vt:lpstr>F21</vt:lpstr>
      <vt:lpstr>F21A</vt:lpstr>
      <vt:lpstr>F22</vt:lpstr>
      <vt:lpstr>F23</vt:lpstr>
      <vt:lpstr>F24</vt:lpstr>
      <vt:lpstr>F25</vt:lpstr>
      <vt:lpstr>F26</vt:lpstr>
      <vt:lpstr>F27</vt:lpstr>
      <vt:lpstr>F28</vt:lpstr>
      <vt:lpstr>F29</vt:lpstr>
      <vt:lpstr>F29A</vt:lpstr>
      <vt:lpstr>F29B</vt:lpstr>
      <vt:lpstr>F29C</vt:lpstr>
      <vt:lpstr>F29D</vt:lpstr>
      <vt:lpstr>F29E</vt:lpstr>
      <vt:lpstr>F30</vt:lpstr>
      <vt:lpstr>F30A</vt:lpstr>
      <vt:lpstr>F31</vt:lpstr>
      <vt:lpstr>F32</vt:lpstr>
      <vt:lpstr>F32A</vt:lpstr>
      <vt:lpstr>F33</vt:lpstr>
      <vt:lpstr>F34</vt:lpstr>
      <vt:lpstr>F35</vt:lpstr>
      <vt:lpstr>F36</vt:lpstr>
      <vt:lpstr>F37</vt:lpstr>
      <vt:lpstr>F38</vt:lpstr>
      <vt:lpstr>F39</vt:lpstr>
      <vt:lpstr>F40</vt:lpstr>
      <vt:lpstr>F40A</vt:lpstr>
      <vt:lpstr>F41</vt:lpstr>
      <vt:lpstr>F42</vt:lpstr>
      <vt:lpstr>F43</vt:lpstr>
      <vt:lpstr>F44</vt:lpstr>
      <vt:lpstr>F44A</vt:lpstr>
      <vt:lpstr>F45</vt:lpstr>
      <vt:lpstr>F46</vt:lpstr>
      <vt:lpstr>F47</vt:lpstr>
      <vt:lpstr>F48</vt:lpstr>
      <vt:lpstr>F49</vt:lpstr>
      <vt:lpstr>F50</vt:lpstr>
      <vt:lpstr>F51</vt:lpstr>
      <vt:lpstr>F52</vt:lpstr>
      <vt:lpstr>P1</vt:lpstr>
      <vt:lpstr>P3</vt:lpstr>
      <vt:lpstr>P5</vt:lpstr>
      <vt:lpstr>P6</vt:lpstr>
      <vt:lpstr>P7</vt:lpstr>
      <vt:lpstr>P8</vt:lpstr>
      <vt:lpstr>P9</vt:lpstr>
      <vt:lpstr>P10</vt:lpstr>
      <vt:lpstr>P11</vt:lpstr>
      <vt:lpstr>P13</vt:lpstr>
      <vt:lpstr>P14</vt:lpstr>
      <vt:lpstr>'DBST FY 2020-21'!Print_Area</vt:lpstr>
      <vt:lpstr>'DBST FY 2021-22'!Print_Area</vt:lpstr>
      <vt:lpstr>'DBST FY 2022-23'!Print_Area</vt:lpstr>
      <vt:lpstr>'F 13E'!Print_Area</vt:lpstr>
      <vt:lpstr>'F1'!Print_Area</vt:lpstr>
      <vt:lpstr>'F10'!Print_Area</vt:lpstr>
      <vt:lpstr>F10A!Print_Area</vt:lpstr>
      <vt:lpstr>F10B!Print_Area</vt:lpstr>
      <vt:lpstr>'F11'!Print_Area</vt:lpstr>
      <vt:lpstr>F11A!Print_Area</vt:lpstr>
      <vt:lpstr>'F12'!Print_Area</vt:lpstr>
      <vt:lpstr>'F13_20 21'!Print_Area</vt:lpstr>
      <vt:lpstr>F13_20_21!Print_Area</vt:lpstr>
      <vt:lpstr>F13_21_22!Print_Area</vt:lpstr>
      <vt:lpstr>F13_22_23!Print_Area</vt:lpstr>
      <vt:lpstr>F13A!Print_Area</vt:lpstr>
      <vt:lpstr>'F13B 20 21_TrueUp'!Print_Area</vt:lpstr>
      <vt:lpstr>'F13B_20-21_True Up'!Print_Area</vt:lpstr>
      <vt:lpstr>F13B_21_22_APR!Print_Area</vt:lpstr>
      <vt:lpstr>F13B_22_23_ARR!Print_Area</vt:lpstr>
      <vt:lpstr>F13C!Print_Area</vt:lpstr>
      <vt:lpstr>F13D!Print_Area</vt:lpstr>
      <vt:lpstr>F13G_PuVVNL!Print_Area</vt:lpstr>
      <vt:lpstr>'F16'!Print_Area</vt:lpstr>
      <vt:lpstr>'F17'!Print_Area</vt:lpstr>
      <vt:lpstr>F19A!Print_Area</vt:lpstr>
      <vt:lpstr>'F2'!Print_Area</vt:lpstr>
      <vt:lpstr>'F20'!Print_Area</vt:lpstr>
      <vt:lpstr>'F21'!Print_Area</vt:lpstr>
      <vt:lpstr>'F24'!Print_Area</vt:lpstr>
      <vt:lpstr>'F25'!Print_Area</vt:lpstr>
      <vt:lpstr>'F26'!Print_Area</vt:lpstr>
      <vt:lpstr>'F27'!Print_Area</vt:lpstr>
      <vt:lpstr>'F28'!Print_Area</vt:lpstr>
      <vt:lpstr>'F29'!Print_Area</vt:lpstr>
      <vt:lpstr>F29A!Print_Area</vt:lpstr>
      <vt:lpstr>F29B!Print_Area</vt:lpstr>
      <vt:lpstr>F29C!Print_Area</vt:lpstr>
      <vt:lpstr>F29D!Print_Area</vt:lpstr>
      <vt:lpstr>F29E!Print_Area</vt:lpstr>
      <vt:lpstr>'F3'!Print_Area</vt:lpstr>
      <vt:lpstr>'F31'!Print_Area</vt:lpstr>
      <vt:lpstr>'F32'!Print_Area</vt:lpstr>
      <vt:lpstr>'F33'!Print_Area</vt:lpstr>
      <vt:lpstr>'F34'!Print_Area</vt:lpstr>
      <vt:lpstr>'F38'!Print_Area</vt:lpstr>
      <vt:lpstr>'F4'!Print_Area</vt:lpstr>
      <vt:lpstr>F40A!Print_Area</vt:lpstr>
      <vt:lpstr>'F44'!Print_Area</vt:lpstr>
      <vt:lpstr>F44A!Print_Area</vt:lpstr>
      <vt:lpstr>'F46'!Print_Area</vt:lpstr>
      <vt:lpstr>'F49'!Print_Area</vt:lpstr>
      <vt:lpstr>F4A!Print_Area</vt:lpstr>
      <vt:lpstr>'F5'!Print_Area</vt:lpstr>
      <vt:lpstr>'F50'!Print_Area</vt:lpstr>
      <vt:lpstr>F5A!Print_Area</vt:lpstr>
      <vt:lpstr>'F6'!Print_Area</vt:lpstr>
      <vt:lpstr>'F7'!Print_Area</vt:lpstr>
      <vt:lpstr>F7A!Print_Area</vt:lpstr>
      <vt:lpstr>'F8'!Print_Area</vt:lpstr>
      <vt:lpstr>'F9'!Print_Area</vt:lpstr>
      <vt:lpstr>F9A!Print_Area</vt:lpstr>
      <vt:lpstr>Index!Print_Area</vt:lpstr>
      <vt:lpstr>Notes!Print_Area</vt:lpstr>
      <vt:lpstr>'S1'!Print_Area</vt:lpstr>
      <vt:lpstr>'S2'!Print_Area</vt:lpstr>
      <vt:lpstr>'S3'!Print_Area</vt:lpstr>
      <vt:lpstr>'S4'!Print_Area</vt:lpstr>
      <vt:lpstr>'F 13E'!Print_Titles</vt:lpstr>
      <vt:lpstr>'F1'!Print_Titles</vt:lpstr>
      <vt:lpstr>'F10'!Print_Titles</vt:lpstr>
      <vt:lpstr>F10A!Print_Titles</vt:lpstr>
      <vt:lpstr>F10B!Print_Titles</vt:lpstr>
      <vt:lpstr>'F11'!Print_Titles</vt:lpstr>
      <vt:lpstr>F11A!Print_Titles</vt:lpstr>
      <vt:lpstr>'F12'!Print_Titles</vt:lpstr>
      <vt:lpstr>'F13_20 21'!Print_Titles</vt:lpstr>
      <vt:lpstr>F13_20_21!Print_Titles</vt:lpstr>
      <vt:lpstr>F13_21_22!Print_Titles</vt:lpstr>
      <vt:lpstr>F13_22_23!Print_Titles</vt:lpstr>
      <vt:lpstr>'F13B 20 21_TrueUp'!Print_Titles</vt:lpstr>
      <vt:lpstr>'F13B_20-21_True Up'!Print_Titles</vt:lpstr>
      <vt:lpstr>F13B_21_22_APR!Print_Titles</vt:lpstr>
      <vt:lpstr>F13B_22_23_ARR!Print_Titles</vt:lpstr>
      <vt:lpstr>F13C!Print_Titles</vt:lpstr>
      <vt:lpstr>F13D!Print_Titles</vt:lpstr>
      <vt:lpstr>F13G_PuVVNL!Print_Titles</vt:lpstr>
      <vt:lpstr>'F2'!Print_Titles</vt:lpstr>
      <vt:lpstr>'F3'!Print_Titles</vt:lpstr>
      <vt:lpstr>'F4'!Print_Titles</vt:lpstr>
      <vt:lpstr>'F44'!Print_Titles</vt:lpstr>
      <vt:lpstr>F44A!Print_Titles</vt:lpstr>
      <vt:lpstr>'F46'!Print_Titles</vt:lpstr>
      <vt:lpstr>'F47'!Print_Titles</vt:lpstr>
      <vt:lpstr>'F48'!Print_Titles</vt:lpstr>
      <vt:lpstr>'F49'!Print_Titles</vt:lpstr>
      <vt:lpstr>F4A!Print_Titles</vt:lpstr>
      <vt:lpstr>'F5'!Print_Titles</vt:lpstr>
      <vt:lpstr>'F51'!Print_Titles</vt:lpstr>
      <vt:lpstr>F5A!Print_Titles</vt:lpstr>
      <vt:lpstr>'F6'!Print_Titles</vt:lpstr>
      <vt:lpstr>'F7'!Print_Titles</vt:lpstr>
      <vt:lpstr>'F8'!Print_Titles</vt:lpstr>
      <vt:lpstr>'F9'!Print_Titles</vt:lpstr>
      <vt:lpstr>F9A!Print_Titles</vt:lpstr>
      <vt:lpstr>Index!Print_Titles</vt:lpstr>
      <vt:lpstr>'P14'!Print_Titles</vt:lpstr>
      <vt:lpstr>'P3'!Print_Titles</vt:lpstr>
      <vt:lpstr>'S1'!Print_Titles</vt:lpstr>
      <vt:lpstr>'S2'!Print_Titles</vt:lpstr>
      <vt:lpstr>'S3'!Print_Titles</vt:lpstr>
      <vt:lpstr>'S4'!Print_Titles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UPPCL</dc:creator>
  <cp:lastModifiedBy>MERCADOS</cp:lastModifiedBy>
  <cp:lastPrinted>2022-03-07T05:18:30Z</cp:lastPrinted>
  <dcterms:created xsi:type="dcterms:W3CDTF">2013-08-17T04:54:53Z</dcterms:created>
  <dcterms:modified xsi:type="dcterms:W3CDTF">2022-04-23T09:22:13Z</dcterms:modified>
</cp:coreProperties>
</file>